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drawings/drawing4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0af8eb5ba838f2ea/Desktop/"/>
    </mc:Choice>
  </mc:AlternateContent>
  <xr:revisionPtr revIDLastSave="13" documentId="8_{76EE0BFC-C5EB-4799-92CB-3F7DFBE4FFAC}" xr6:coauthVersionLast="47" xr6:coauthVersionMax="47" xr10:uidLastSave="{BBFFF139-5891-4DA9-8238-8FBB6B71D9BD}"/>
  <bookViews>
    <workbookView xWindow="-120" yWindow="-120" windowWidth="20730" windowHeight="11040" tabRatio="810" activeTab="4" xr2:uid="{00000000-000D-0000-FFFF-FFFF00000000}"/>
  </bookViews>
  <sheets>
    <sheet name="Summary" sheetId="326" r:id="rId1"/>
    <sheet name="Charts" sheetId="327" r:id="rId2"/>
    <sheet name="FS Semi" sheetId="265" r:id="rId3"/>
    <sheet name="FS Semi_P99" sheetId="315" r:id="rId4"/>
    <sheet name="FS Ann" sheetId="277" r:id="rId5"/>
    <sheet name="Output" sheetId="269" r:id="rId6"/>
    <sheet name="S&amp;U" sheetId="310" r:id="rId7"/>
    <sheet name="InpC" sheetId="48" r:id="rId8"/>
    <sheet name="InpS" sheetId="304" r:id="rId9"/>
    <sheet name="Sensitivity" sheetId="325" r:id="rId10"/>
    <sheet name="InpS - m" sheetId="309" r:id="rId11"/>
    <sheet name="ConTime" sheetId="305" r:id="rId12"/>
    <sheet name="ConCost" sheetId="306" r:id="rId13"/>
    <sheet name="ConFin" sheetId="307" r:id="rId14"/>
    <sheet name="__Checkbox_Settings__" sheetId="319" state="veryHidden" r:id="rId15"/>
    <sheet name="Time" sheetId="273" r:id="rId16"/>
    <sheet name="Esc" sheetId="289" r:id="rId17"/>
    <sheet name="Ops" sheetId="278" r:id="rId18"/>
    <sheet name="Acct" sheetId="285" r:id="rId19"/>
    <sheet name="Debt" sheetId="321" r:id="rId20"/>
    <sheet name="Solve" sheetId="311" r:id="rId21"/>
    <sheet name="DSRA" sheetId="314" r:id="rId22"/>
    <sheet name="Equity" sheetId="286" r:id="rId23"/>
    <sheet name="Tax" sheetId="282" r:id="rId24"/>
    <sheet name="Metrics" sheetId="288" r:id="rId25"/>
    <sheet name="Chart data" sheetId="328" r:id="rId26"/>
    <sheet name="Check" sheetId="264" r:id="rId27"/>
    <sheet name="Tmp" sheetId="275" r:id="rId28"/>
  </sheets>
  <definedNames>
    <definedName name="CASE_ACTIVE">InpC!$F$4</definedName>
    <definedName name="CHK_TOL">InpC!$F$409</definedName>
    <definedName name="FX">InpC!$F$120</definedName>
    <definedName name="InputRowTemplate">InpC!$E$429:$T$429</definedName>
    <definedName name="MasterSolveCheck">Solve!$F$84</definedName>
    <definedName name="PCT_TOL">InpC!$F$410</definedName>
    <definedName name="SMU">InpC!$F$416</definedName>
    <definedName name="SolveCopy">Solve!$J$24:$CV$42</definedName>
    <definedName name="SolvePaste">Solve!$J$47:$CV$65</definedName>
    <definedName name="Thousand">InpC!$F$419</definedName>
    <definedName name="TrackActive">Output!$H$5</definedName>
    <definedName name="TrackLiveResults">Output!$H$6:$H$180</definedName>
    <definedName name="TrackStoredResults">Output!$M$5:$O$5</definedName>
    <definedName name="TRK_TOL">InpC!$F$408</definedName>
  </definedNames>
  <calcPr calcId="191029" calcMode="manual" calcCompleted="0" calcOnSave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1" i="282" l="1"/>
  <c r="F31" i="282"/>
  <c r="G31" i="282"/>
  <c r="J299" i="321"/>
  <c r="J346" i="321"/>
  <c r="F334" i="321"/>
  <c r="F335" i="321"/>
  <c r="F336" i="321"/>
  <c r="F341" i="321"/>
  <c r="J342" i="321"/>
  <c r="J348" i="321"/>
  <c r="F51" i="311"/>
  <c r="F325" i="307"/>
  <c r="J327" i="307"/>
  <c r="J330" i="307"/>
  <c r="J66" i="307"/>
  <c r="J50" i="307"/>
  <c r="J51" i="307"/>
  <c r="J67" i="307"/>
  <c r="F53" i="311"/>
  <c r="F62" i="307"/>
  <c r="F64" i="307"/>
  <c r="F71" i="307"/>
  <c r="J101" i="307"/>
  <c r="J102" i="307"/>
  <c r="F97" i="307"/>
  <c r="F99" i="307"/>
  <c r="F106" i="307"/>
  <c r="F50" i="311"/>
  <c r="F107" i="307"/>
  <c r="F108" i="307"/>
  <c r="F110" i="307"/>
  <c r="J112" i="307"/>
  <c r="J115" i="307"/>
  <c r="K66" i="307"/>
  <c r="J54" i="307"/>
  <c r="J56" i="307"/>
  <c r="K53" i="307"/>
  <c r="K46" i="307"/>
  <c r="K47" i="307"/>
  <c r="K49" i="307"/>
  <c r="K50" i="307"/>
  <c r="K51" i="307"/>
  <c r="K67" i="307"/>
  <c r="F49" i="311"/>
  <c r="F162" i="307"/>
  <c r="F175" i="307"/>
  <c r="K101" i="307"/>
  <c r="K102" i="307"/>
  <c r="L66" i="307"/>
  <c r="K54" i="307"/>
  <c r="K56" i="307"/>
  <c r="L53" i="307"/>
  <c r="L46" i="307"/>
  <c r="L47" i="307"/>
  <c r="L49" i="307"/>
  <c r="L50" i="307"/>
  <c r="L51" i="307"/>
  <c r="L67" i="307"/>
  <c r="L101" i="307"/>
  <c r="L102" i="307"/>
  <c r="M66" i="307"/>
  <c r="L54" i="307"/>
  <c r="L56" i="307"/>
  <c r="M53" i="307"/>
  <c r="M46" i="307"/>
  <c r="M47" i="307"/>
  <c r="M49" i="307"/>
  <c r="M50" i="307"/>
  <c r="M51" i="307"/>
  <c r="M67" i="307"/>
  <c r="M101" i="307"/>
  <c r="M102" i="307"/>
  <c r="N66" i="307"/>
  <c r="M54" i="307"/>
  <c r="M56" i="307"/>
  <c r="N53" i="307"/>
  <c r="N46" i="307"/>
  <c r="N47" i="307"/>
  <c r="N49" i="307"/>
  <c r="N50" i="307"/>
  <c r="N51" i="307"/>
  <c r="N67" i="307"/>
  <c r="N101" i="307"/>
  <c r="N102" i="307"/>
  <c r="O66" i="307"/>
  <c r="N54" i="307"/>
  <c r="N56" i="307"/>
  <c r="O53" i="307"/>
  <c r="O46" i="307"/>
  <c r="O47" i="307"/>
  <c r="O49" i="307"/>
  <c r="O50" i="307"/>
  <c r="O51" i="307"/>
  <c r="O67" i="307"/>
  <c r="O101" i="307"/>
  <c r="O102" i="307"/>
  <c r="P66" i="307"/>
  <c r="O54" i="307"/>
  <c r="O56" i="307"/>
  <c r="P53" i="307"/>
  <c r="P46" i="307"/>
  <c r="P47" i="307"/>
  <c r="P49" i="307"/>
  <c r="P50" i="307"/>
  <c r="P51" i="307"/>
  <c r="P67" i="307"/>
  <c r="P101" i="307"/>
  <c r="P102" i="307"/>
  <c r="Q66" i="307"/>
  <c r="P54" i="307"/>
  <c r="P56" i="307"/>
  <c r="Q53" i="307"/>
  <c r="Q46" i="307"/>
  <c r="Q47" i="307"/>
  <c r="Q49" i="307"/>
  <c r="Q50" i="307"/>
  <c r="Q51" i="307"/>
  <c r="Q67" i="307"/>
  <c r="Q101" i="307"/>
  <c r="Q102" i="307"/>
  <c r="R66" i="307"/>
  <c r="Q54" i="307"/>
  <c r="Q56" i="307"/>
  <c r="R53" i="307"/>
  <c r="R46" i="307"/>
  <c r="R47" i="307"/>
  <c r="R49" i="307"/>
  <c r="R50" i="307"/>
  <c r="R51" i="307"/>
  <c r="R67" i="307"/>
  <c r="R101" i="307"/>
  <c r="R102" i="307"/>
  <c r="S66" i="307"/>
  <c r="R54" i="307"/>
  <c r="R56" i="307"/>
  <c r="S53" i="307"/>
  <c r="S46" i="307"/>
  <c r="S47" i="307"/>
  <c r="S49" i="307"/>
  <c r="S50" i="307"/>
  <c r="S51" i="307"/>
  <c r="S67" i="307"/>
  <c r="S101" i="307"/>
  <c r="S102" i="307"/>
  <c r="T66" i="307"/>
  <c r="S54" i="307"/>
  <c r="S56" i="307"/>
  <c r="T53" i="307"/>
  <c r="T46" i="307"/>
  <c r="T47" i="307"/>
  <c r="T49" i="307"/>
  <c r="T50" i="307"/>
  <c r="T51" i="307"/>
  <c r="T67" i="307"/>
  <c r="T101" i="307"/>
  <c r="T102" i="307"/>
  <c r="U66" i="307"/>
  <c r="T54" i="307"/>
  <c r="T56" i="307"/>
  <c r="U53" i="307"/>
  <c r="U46" i="307"/>
  <c r="U47" i="307"/>
  <c r="U49" i="307"/>
  <c r="U50" i="307"/>
  <c r="U51" i="307"/>
  <c r="U67" i="307"/>
  <c r="U101" i="307"/>
  <c r="U102" i="307"/>
  <c r="V66" i="307"/>
  <c r="U54" i="307"/>
  <c r="U56" i="307"/>
  <c r="V53" i="307"/>
  <c r="V46" i="307"/>
  <c r="V47" i="307"/>
  <c r="V49" i="307"/>
  <c r="V50" i="307"/>
  <c r="V51" i="307"/>
  <c r="V67" i="307"/>
  <c r="V101" i="307"/>
  <c r="V102" i="307"/>
  <c r="W66" i="307"/>
  <c r="V54" i="307"/>
  <c r="V56" i="307"/>
  <c r="W53" i="307"/>
  <c r="W46" i="307"/>
  <c r="W47" i="307"/>
  <c r="W49" i="307"/>
  <c r="W50" i="307"/>
  <c r="W51" i="307"/>
  <c r="W67" i="307"/>
  <c r="W101" i="307"/>
  <c r="W102" i="307"/>
  <c r="X66" i="307"/>
  <c r="W54" i="307"/>
  <c r="W56" i="307"/>
  <c r="X53" i="307"/>
  <c r="X46" i="307"/>
  <c r="X47" i="307"/>
  <c r="X49" i="307"/>
  <c r="X50" i="307"/>
  <c r="X51" i="307"/>
  <c r="X67" i="307"/>
  <c r="X101" i="307"/>
  <c r="X102" i="307"/>
  <c r="Y66" i="307"/>
  <c r="X54" i="307"/>
  <c r="X56" i="307"/>
  <c r="Y53" i="307"/>
  <c r="Y46" i="307"/>
  <c r="Y47" i="307"/>
  <c r="Y49" i="307"/>
  <c r="Y50" i="307"/>
  <c r="Y51" i="307"/>
  <c r="Y67" i="307"/>
  <c r="Y101" i="307"/>
  <c r="Y102" i="307"/>
  <c r="Z66" i="307"/>
  <c r="Y54" i="307"/>
  <c r="Y56" i="307"/>
  <c r="Z53" i="307"/>
  <c r="Z46" i="307"/>
  <c r="Z47" i="307"/>
  <c r="Z49" i="307"/>
  <c r="Z50" i="307"/>
  <c r="Z51" i="307"/>
  <c r="Z67" i="307"/>
  <c r="Z101" i="307"/>
  <c r="Z102" i="307"/>
  <c r="AA66" i="307"/>
  <c r="Z54" i="307"/>
  <c r="Z56" i="307"/>
  <c r="AA53" i="307"/>
  <c r="AA46" i="307"/>
  <c r="AA47" i="307"/>
  <c r="AA49" i="307"/>
  <c r="AA50" i="307"/>
  <c r="AA51" i="307"/>
  <c r="AA67" i="307"/>
  <c r="AA101" i="307"/>
  <c r="AA102" i="307"/>
  <c r="AB66" i="307"/>
  <c r="AA54" i="307"/>
  <c r="AA56" i="307"/>
  <c r="AB53" i="307"/>
  <c r="AB46" i="307"/>
  <c r="AB47" i="307"/>
  <c r="AB49" i="307"/>
  <c r="AB50" i="307"/>
  <c r="AB51" i="307"/>
  <c r="AB67" i="307"/>
  <c r="AB101" i="307"/>
  <c r="AB102" i="307"/>
  <c r="AC66" i="307"/>
  <c r="AB54" i="307"/>
  <c r="AB56" i="307"/>
  <c r="AC53" i="307"/>
  <c r="AC46" i="307"/>
  <c r="AC47" i="307"/>
  <c r="AC49" i="307"/>
  <c r="AC50" i="307"/>
  <c r="AC51" i="307"/>
  <c r="AC67" i="307"/>
  <c r="AC101" i="307"/>
  <c r="AC102" i="307"/>
  <c r="AD66" i="307"/>
  <c r="AC54" i="307"/>
  <c r="AC56" i="307"/>
  <c r="AD53" i="307"/>
  <c r="AD46" i="307"/>
  <c r="AD47" i="307"/>
  <c r="AD49" i="307"/>
  <c r="AD50" i="307"/>
  <c r="AD51" i="307"/>
  <c r="AD67" i="307"/>
  <c r="AD101" i="307"/>
  <c r="AD102" i="307"/>
  <c r="AE66" i="307"/>
  <c r="AD54" i="307"/>
  <c r="AD56" i="307"/>
  <c r="AE53" i="307"/>
  <c r="AE46" i="307"/>
  <c r="AE47" i="307"/>
  <c r="AE49" i="307"/>
  <c r="AE50" i="307"/>
  <c r="AE51" i="307"/>
  <c r="AE67" i="307"/>
  <c r="AE101" i="307"/>
  <c r="AE102" i="307"/>
  <c r="AF66" i="307"/>
  <c r="AE54" i="307"/>
  <c r="AE56" i="307"/>
  <c r="AF53" i="307"/>
  <c r="AF46" i="307"/>
  <c r="AF47" i="307"/>
  <c r="AF49" i="307"/>
  <c r="AF50" i="307"/>
  <c r="AF51" i="307"/>
  <c r="AF67" i="307"/>
  <c r="AF101" i="307"/>
  <c r="AF102" i="307"/>
  <c r="AG66" i="307"/>
  <c r="AF54" i="307"/>
  <c r="AF56" i="307"/>
  <c r="AG53" i="307"/>
  <c r="AG46" i="307"/>
  <c r="AG47" i="307"/>
  <c r="AG49" i="307"/>
  <c r="AG50" i="307"/>
  <c r="AG51" i="307"/>
  <c r="AG67" i="307"/>
  <c r="AG101" i="307"/>
  <c r="AG102" i="307"/>
  <c r="AH66" i="307"/>
  <c r="AG54" i="307"/>
  <c r="AG56" i="307"/>
  <c r="AH53" i="307"/>
  <c r="AH46" i="307"/>
  <c r="AH47" i="307"/>
  <c r="AH49" i="307"/>
  <c r="AH50" i="307"/>
  <c r="AH51" i="307"/>
  <c r="AH67" i="307"/>
  <c r="AH101" i="307"/>
  <c r="AH102" i="307"/>
  <c r="AI66" i="307"/>
  <c r="AH54" i="307"/>
  <c r="AH56" i="307"/>
  <c r="AI53" i="307"/>
  <c r="AI46" i="307"/>
  <c r="AI47" i="307"/>
  <c r="AI49" i="307"/>
  <c r="AI50" i="307"/>
  <c r="AI51" i="307"/>
  <c r="AI67" i="307"/>
  <c r="AI101" i="307"/>
  <c r="AI102" i="307"/>
  <c r="AJ66" i="307"/>
  <c r="AI54" i="307"/>
  <c r="AI56" i="307"/>
  <c r="AJ53" i="307"/>
  <c r="AJ46" i="307"/>
  <c r="AJ47" i="307"/>
  <c r="AJ49" i="307"/>
  <c r="AJ50" i="307"/>
  <c r="AJ51" i="307"/>
  <c r="AJ67" i="307"/>
  <c r="AJ101" i="307"/>
  <c r="AJ102" i="307"/>
  <c r="AK66" i="307"/>
  <c r="AJ54" i="307"/>
  <c r="AJ56" i="307"/>
  <c r="AK53" i="307"/>
  <c r="AK46" i="307"/>
  <c r="AK47" i="307"/>
  <c r="AK49" i="307"/>
  <c r="AK50" i="307"/>
  <c r="AK51" i="307"/>
  <c r="AK67" i="307"/>
  <c r="AK101" i="307"/>
  <c r="AK102" i="307"/>
  <c r="AL66" i="307"/>
  <c r="AK54" i="307"/>
  <c r="AK56" i="307"/>
  <c r="AL53" i="307"/>
  <c r="AL46" i="307"/>
  <c r="AL47" i="307"/>
  <c r="AL49" i="307"/>
  <c r="AL50" i="307"/>
  <c r="AL51" i="307"/>
  <c r="AL67" i="307"/>
  <c r="AL101" i="307"/>
  <c r="AL102" i="307"/>
  <c r="AM66" i="307"/>
  <c r="AL54" i="307"/>
  <c r="AL56" i="307"/>
  <c r="AM53" i="307"/>
  <c r="AM46" i="307"/>
  <c r="AM47" i="307"/>
  <c r="AM49" i="307"/>
  <c r="AM50" i="307"/>
  <c r="AM51" i="307"/>
  <c r="AM67" i="307"/>
  <c r="AM101" i="307"/>
  <c r="AM102" i="307"/>
  <c r="AN66" i="307"/>
  <c r="AM54" i="307"/>
  <c r="AM56" i="307"/>
  <c r="AN53" i="307"/>
  <c r="AN46" i="307"/>
  <c r="AN47" i="307"/>
  <c r="AN49" i="307"/>
  <c r="AN50" i="307"/>
  <c r="AN51" i="307"/>
  <c r="AN67" i="307"/>
  <c r="AN101" i="307"/>
  <c r="AN102" i="307"/>
  <c r="AO66" i="307"/>
  <c r="AN54" i="307"/>
  <c r="AN56" i="307"/>
  <c r="AO53" i="307"/>
  <c r="AO46" i="307"/>
  <c r="AO47" i="307"/>
  <c r="AO49" i="307"/>
  <c r="AO50" i="307"/>
  <c r="AO51" i="307"/>
  <c r="AO67" i="307"/>
  <c r="AO101" i="307"/>
  <c r="AO102" i="307"/>
  <c r="AP66" i="307"/>
  <c r="AO54" i="307"/>
  <c r="AO56" i="307"/>
  <c r="AP53" i="307"/>
  <c r="AP46" i="307"/>
  <c r="AP47" i="307"/>
  <c r="AP49" i="307"/>
  <c r="AP50" i="307"/>
  <c r="AP51" i="307"/>
  <c r="AP67" i="307"/>
  <c r="AP101" i="307"/>
  <c r="AP102" i="307"/>
  <c r="AQ66" i="307"/>
  <c r="AP54" i="307"/>
  <c r="AP56" i="307"/>
  <c r="AQ53" i="307"/>
  <c r="AQ46" i="307"/>
  <c r="AQ47" i="307"/>
  <c r="AQ49" i="307"/>
  <c r="AQ50" i="307"/>
  <c r="AQ51" i="307"/>
  <c r="AQ67" i="307"/>
  <c r="AQ101" i="307"/>
  <c r="AQ102" i="307"/>
  <c r="AR66" i="307"/>
  <c r="AQ54" i="307"/>
  <c r="AQ56" i="307"/>
  <c r="AR53" i="307"/>
  <c r="AR46" i="307"/>
  <c r="AR47" i="307"/>
  <c r="AR49" i="307"/>
  <c r="AR50" i="307"/>
  <c r="AR51" i="307"/>
  <c r="AR67" i="307"/>
  <c r="AR101" i="307"/>
  <c r="AR102" i="307"/>
  <c r="AS66" i="307"/>
  <c r="AR54" i="307"/>
  <c r="AR56" i="307"/>
  <c r="AS53" i="307"/>
  <c r="AS46" i="307"/>
  <c r="AS47" i="307"/>
  <c r="AS49" i="307"/>
  <c r="AS50" i="307"/>
  <c r="AS51" i="307"/>
  <c r="AS67" i="307"/>
  <c r="AS101" i="307"/>
  <c r="AS102" i="307"/>
  <c r="AT66" i="307"/>
  <c r="AS54" i="307"/>
  <c r="AS56" i="307"/>
  <c r="AT53" i="307"/>
  <c r="AT46" i="307"/>
  <c r="AT47" i="307"/>
  <c r="AT49" i="307"/>
  <c r="AT50" i="307"/>
  <c r="AT51" i="307"/>
  <c r="AT67" i="307"/>
  <c r="AT101" i="307"/>
  <c r="AT102" i="307"/>
  <c r="AU66" i="307"/>
  <c r="AT54" i="307"/>
  <c r="AT56" i="307"/>
  <c r="AU53" i="307"/>
  <c r="AU46" i="307"/>
  <c r="AU47" i="307"/>
  <c r="AU49" i="307"/>
  <c r="AU50" i="307"/>
  <c r="AU51" i="307"/>
  <c r="AU67" i="307"/>
  <c r="AU101" i="307"/>
  <c r="AU102" i="307"/>
  <c r="AV66" i="307"/>
  <c r="AU54" i="307"/>
  <c r="AU56" i="307"/>
  <c r="AV53" i="307"/>
  <c r="AV46" i="307"/>
  <c r="AV47" i="307"/>
  <c r="AV49" i="307"/>
  <c r="AV50" i="307"/>
  <c r="AV51" i="307"/>
  <c r="AV67" i="307"/>
  <c r="AV101" i="307"/>
  <c r="AV102" i="307"/>
  <c r="AW66" i="307"/>
  <c r="AV54" i="307"/>
  <c r="AV56" i="307"/>
  <c r="AW53" i="307"/>
  <c r="AW46" i="307"/>
  <c r="AW47" i="307"/>
  <c r="AW49" i="307"/>
  <c r="AW50" i="307"/>
  <c r="AW51" i="307"/>
  <c r="AW67" i="307"/>
  <c r="AW101" i="307"/>
  <c r="AW102" i="307"/>
  <c r="AX66" i="307"/>
  <c r="AW54" i="307"/>
  <c r="AW56" i="307"/>
  <c r="AX53" i="307"/>
  <c r="AX46" i="307"/>
  <c r="AX47" i="307"/>
  <c r="AX49" i="307"/>
  <c r="AX50" i="307"/>
  <c r="AX51" i="307"/>
  <c r="AX67" i="307"/>
  <c r="AX101" i="307"/>
  <c r="AX102" i="307"/>
  <c r="AY66" i="307"/>
  <c r="AX54" i="307"/>
  <c r="AX56" i="307"/>
  <c r="AY53" i="307"/>
  <c r="AY46" i="307"/>
  <c r="AY47" i="307"/>
  <c r="AY49" i="307"/>
  <c r="AY50" i="307"/>
  <c r="AY51" i="307"/>
  <c r="AY67" i="307"/>
  <c r="AY101" i="307"/>
  <c r="AY102" i="307"/>
  <c r="AZ66" i="307"/>
  <c r="AY54" i="307"/>
  <c r="AY56" i="307"/>
  <c r="AZ53" i="307"/>
  <c r="AZ46" i="307"/>
  <c r="AZ47" i="307"/>
  <c r="AZ49" i="307"/>
  <c r="AZ50" i="307"/>
  <c r="AZ51" i="307"/>
  <c r="AZ67" i="307"/>
  <c r="AZ101" i="307"/>
  <c r="AZ102" i="307"/>
  <c r="BA66" i="307"/>
  <c r="AZ54" i="307"/>
  <c r="AZ56" i="307"/>
  <c r="BA53" i="307"/>
  <c r="BA46" i="307"/>
  <c r="BA47" i="307"/>
  <c r="BA49" i="307"/>
  <c r="BA50" i="307"/>
  <c r="BA51" i="307"/>
  <c r="BA67" i="307"/>
  <c r="BA101" i="307"/>
  <c r="BA102" i="307"/>
  <c r="BB66" i="307"/>
  <c r="BA54" i="307"/>
  <c r="BA56" i="307"/>
  <c r="BB53" i="307"/>
  <c r="BB46" i="307"/>
  <c r="BB47" i="307"/>
  <c r="BB49" i="307"/>
  <c r="BB50" i="307"/>
  <c r="BB51" i="307"/>
  <c r="BB67" i="307"/>
  <c r="BB101" i="307"/>
  <c r="BB102" i="307"/>
  <c r="BC66" i="307"/>
  <c r="BB54" i="307"/>
  <c r="BB56" i="307"/>
  <c r="BC53" i="307"/>
  <c r="BC46" i="307"/>
  <c r="BC47" i="307"/>
  <c r="BC49" i="307"/>
  <c r="BC50" i="307"/>
  <c r="BC51" i="307"/>
  <c r="BC67" i="307"/>
  <c r="BC101" i="307"/>
  <c r="BC102" i="307"/>
  <c r="BD66" i="307"/>
  <c r="BC54" i="307"/>
  <c r="BC56" i="307"/>
  <c r="BD53" i="307"/>
  <c r="BD46" i="307"/>
  <c r="BD47" i="307"/>
  <c r="BD49" i="307"/>
  <c r="BD50" i="307"/>
  <c r="BD51" i="307"/>
  <c r="BD67" i="307"/>
  <c r="BD101" i="307"/>
  <c r="BD102" i="307"/>
  <c r="BE66" i="307"/>
  <c r="BD54" i="307"/>
  <c r="BD56" i="307"/>
  <c r="BE53" i="307"/>
  <c r="BE46" i="307"/>
  <c r="BE47" i="307"/>
  <c r="BE49" i="307"/>
  <c r="BE50" i="307"/>
  <c r="BE51" i="307"/>
  <c r="BE67" i="307"/>
  <c r="BE101" i="307"/>
  <c r="BE102" i="307"/>
  <c r="J291" i="321"/>
  <c r="K342" i="321"/>
  <c r="K291" i="321"/>
  <c r="L342" i="321"/>
  <c r="L291" i="321"/>
  <c r="M342" i="321"/>
  <c r="M291" i="321"/>
  <c r="N342" i="321"/>
  <c r="N291" i="321"/>
  <c r="F305" i="321"/>
  <c r="O342" i="321"/>
  <c r="O291" i="321"/>
  <c r="P342" i="321"/>
  <c r="P291" i="321"/>
  <c r="F306" i="321"/>
  <c r="Q342" i="321"/>
  <c r="Q291" i="321"/>
  <c r="R342" i="321"/>
  <c r="R291" i="321"/>
  <c r="F307" i="321"/>
  <c r="S342" i="321"/>
  <c r="S291" i="321"/>
  <c r="T342" i="321"/>
  <c r="T291" i="321"/>
  <c r="F308" i="321"/>
  <c r="U342" i="321"/>
  <c r="U291" i="321"/>
  <c r="V342" i="321"/>
  <c r="V291" i="321"/>
  <c r="F309" i="321"/>
  <c r="W342" i="321"/>
  <c r="W291" i="321"/>
  <c r="X342" i="321"/>
  <c r="X291" i="321"/>
  <c r="F310" i="321"/>
  <c r="Y342" i="321"/>
  <c r="Y291" i="321"/>
  <c r="Z342" i="321"/>
  <c r="Z291" i="321"/>
  <c r="F311" i="321"/>
  <c r="AA342" i="321"/>
  <c r="AA291" i="321"/>
  <c r="AB342" i="321"/>
  <c r="AB291" i="321"/>
  <c r="F312" i="321"/>
  <c r="AC342" i="321"/>
  <c r="AC291" i="321"/>
  <c r="AD342" i="321"/>
  <c r="AD291" i="321"/>
  <c r="F313" i="321"/>
  <c r="AE342" i="321"/>
  <c r="AE291" i="321"/>
  <c r="AF342" i="321"/>
  <c r="AF291" i="321"/>
  <c r="F314" i="321"/>
  <c r="AG342" i="321"/>
  <c r="AG291" i="321"/>
  <c r="AH342" i="321"/>
  <c r="AH291" i="321"/>
  <c r="F315" i="321"/>
  <c r="AI342" i="321"/>
  <c r="AI291" i="321"/>
  <c r="AJ342" i="321"/>
  <c r="AJ291" i="321"/>
  <c r="F316" i="321"/>
  <c r="AK342" i="321"/>
  <c r="AK291" i="321"/>
  <c r="AL342" i="321"/>
  <c r="AL291" i="321"/>
  <c r="F317" i="321"/>
  <c r="AM342" i="321"/>
  <c r="AM291" i="321"/>
  <c r="AN342" i="321"/>
  <c r="AN291" i="321"/>
  <c r="F318" i="321"/>
  <c r="AO342" i="321"/>
  <c r="AO291" i="321"/>
  <c r="AP342" i="321"/>
  <c r="AP291" i="321"/>
  <c r="F319" i="321"/>
  <c r="AQ342" i="321"/>
  <c r="AQ291" i="321"/>
  <c r="AR342" i="321"/>
  <c r="AR291" i="321"/>
  <c r="F320" i="321"/>
  <c r="AS342" i="321"/>
  <c r="AS291" i="321"/>
  <c r="AT342" i="321"/>
  <c r="AT291" i="321"/>
  <c r="F321" i="321"/>
  <c r="AU342" i="321"/>
  <c r="AU291" i="321"/>
  <c r="AV342" i="321"/>
  <c r="AV291" i="321"/>
  <c r="AW342" i="321"/>
  <c r="AW291" i="321"/>
  <c r="AX342" i="321"/>
  <c r="AX291" i="321"/>
  <c r="AY342" i="321"/>
  <c r="AY291" i="321"/>
  <c r="AZ342" i="321"/>
  <c r="AZ291" i="321"/>
  <c r="BA342" i="321"/>
  <c r="BA291" i="321"/>
  <c r="BB342" i="321"/>
  <c r="BB291" i="321"/>
  <c r="BC342" i="321"/>
  <c r="BC291" i="321"/>
  <c r="BD342" i="321"/>
  <c r="BD291" i="321"/>
  <c r="BE342" i="321"/>
  <c r="BE291" i="321"/>
  <c r="BF342" i="321"/>
  <c r="BF300" i="321"/>
  <c r="BF291" i="321"/>
  <c r="BG342" i="321"/>
  <c r="BG300" i="321"/>
  <c r="BG291" i="321"/>
  <c r="BH342" i="321"/>
  <c r="BH300" i="321"/>
  <c r="BH291" i="321"/>
  <c r="BI342" i="321"/>
  <c r="BI300" i="321"/>
  <c r="BI291" i="321"/>
  <c r="BJ342" i="321"/>
  <c r="BJ300" i="321"/>
  <c r="BJ291" i="321"/>
  <c r="BK342" i="321"/>
  <c r="BK300" i="321"/>
  <c r="BK291" i="321"/>
  <c r="BL342" i="321"/>
  <c r="BL300" i="321"/>
  <c r="BL291" i="321"/>
  <c r="BM342" i="321"/>
  <c r="BM300" i="321"/>
  <c r="BM291" i="321"/>
  <c r="BN342" i="321"/>
  <c r="BN300" i="321"/>
  <c r="BN291" i="321"/>
  <c r="BO342" i="321"/>
  <c r="BO300" i="321"/>
  <c r="BO291" i="321"/>
  <c r="BP342" i="321"/>
  <c r="BP300" i="321"/>
  <c r="BP291" i="321"/>
  <c r="BQ342" i="321"/>
  <c r="BQ300" i="321"/>
  <c r="BQ291" i="321"/>
  <c r="BR342" i="321"/>
  <c r="BR300" i="321"/>
  <c r="BR291" i="321"/>
  <c r="BS342" i="321"/>
  <c r="BS300" i="321"/>
  <c r="BS291" i="321"/>
  <c r="BT342" i="321"/>
  <c r="BT300" i="321"/>
  <c r="BT291" i="321"/>
  <c r="BU342" i="321"/>
  <c r="BU300" i="321"/>
  <c r="BU291" i="321"/>
  <c r="BV342" i="321"/>
  <c r="BV300" i="321"/>
  <c r="BV291" i="321"/>
  <c r="BW342" i="321"/>
  <c r="BW300" i="321"/>
  <c r="BW291" i="321"/>
  <c r="BX342" i="321"/>
  <c r="BX300" i="321"/>
  <c r="BX291" i="321"/>
  <c r="BY342" i="321"/>
  <c r="BY300" i="321"/>
  <c r="BY291" i="321"/>
  <c r="BZ342" i="321"/>
  <c r="BZ300" i="321"/>
  <c r="BZ291" i="321"/>
  <c r="CA342" i="321"/>
  <c r="CA300" i="321"/>
  <c r="CA291" i="321"/>
  <c r="CB342" i="321"/>
  <c r="CB300" i="321"/>
  <c r="CB291" i="321"/>
  <c r="CC342" i="321"/>
  <c r="CC300" i="321"/>
  <c r="CC291" i="321"/>
  <c r="CD342" i="321"/>
  <c r="CD300" i="321"/>
  <c r="CD291" i="321"/>
  <c r="CE342" i="321"/>
  <c r="CE300" i="321"/>
  <c r="CE291" i="321"/>
  <c r="CF342" i="321"/>
  <c r="CF300" i="321"/>
  <c r="CF291" i="321"/>
  <c r="CG342" i="321"/>
  <c r="CG300" i="321"/>
  <c r="CG291" i="321"/>
  <c r="CH342" i="321"/>
  <c r="CH300" i="321"/>
  <c r="CH291" i="321"/>
  <c r="CI342" i="321"/>
  <c r="CI300" i="321"/>
  <c r="CI291" i="321"/>
  <c r="CJ342" i="321"/>
  <c r="CJ300" i="321"/>
  <c r="CJ291" i="321"/>
  <c r="CK342" i="321"/>
  <c r="CK300" i="321"/>
  <c r="CK291" i="321"/>
  <c r="CL342" i="321"/>
  <c r="CL300" i="321"/>
  <c r="CL291" i="321"/>
  <c r="CM342" i="321"/>
  <c r="CM300" i="321"/>
  <c r="CM291" i="321"/>
  <c r="CN342" i="321"/>
  <c r="CN300" i="321"/>
  <c r="CN291" i="321"/>
  <c r="CO342" i="321"/>
  <c r="CO300" i="321"/>
  <c r="CO291" i="321"/>
  <c r="CP342" i="321"/>
  <c r="CP300" i="321"/>
  <c r="CP291" i="321"/>
  <c r="CQ342" i="321"/>
  <c r="CQ300" i="321"/>
  <c r="CQ291" i="321"/>
  <c r="CR342" i="321"/>
  <c r="CR300" i="321"/>
  <c r="CR291" i="321"/>
  <c r="CS342" i="321"/>
  <c r="CS300" i="321"/>
  <c r="CS291" i="321"/>
  <c r="CT342" i="321"/>
  <c r="CT300" i="321"/>
  <c r="CT291" i="321"/>
  <c r="CU342" i="321"/>
  <c r="CU300" i="321"/>
  <c r="CU291" i="321"/>
  <c r="CV342" i="321"/>
  <c r="I31" i="282"/>
  <c r="CW354" i="321"/>
  <c r="CW355" i="321"/>
  <c r="CW356" i="321"/>
  <c r="CW31" i="282"/>
  <c r="CX354" i="321"/>
  <c r="CX355" i="321"/>
  <c r="CX356" i="321"/>
  <c r="CX31" i="282"/>
  <c r="CY354" i="321"/>
  <c r="CY355" i="321"/>
  <c r="CY356" i="321"/>
  <c r="CY31" i="282"/>
  <c r="CZ354" i="321"/>
  <c r="CZ355" i="321"/>
  <c r="CZ356" i="321"/>
  <c r="CZ31" i="282"/>
  <c r="DA354" i="321"/>
  <c r="DA355" i="321"/>
  <c r="DA356" i="321"/>
  <c r="DA31" i="282"/>
  <c r="DB354" i="321"/>
  <c r="DB355" i="321"/>
  <c r="DB356" i="321"/>
  <c r="DB31" i="282"/>
  <c r="DC354" i="321"/>
  <c r="DC355" i="321"/>
  <c r="DC356" i="321"/>
  <c r="DC31" i="282"/>
  <c r="DD354" i="321"/>
  <c r="DD355" i="321"/>
  <c r="DD356" i="321"/>
  <c r="DD31" i="282"/>
  <c r="DE354" i="321"/>
  <c r="DE355" i="321"/>
  <c r="DE356" i="321"/>
  <c r="DE31" i="282"/>
  <c r="DF354" i="321"/>
  <c r="DF355" i="321"/>
  <c r="DF356" i="321"/>
  <c r="DF31" i="282"/>
  <c r="DG354" i="321"/>
  <c r="DG355" i="321"/>
  <c r="DG356" i="321"/>
  <c r="DG31" i="282"/>
  <c r="DH354" i="321"/>
  <c r="DH355" i="321"/>
  <c r="DH356" i="321"/>
  <c r="DH31" i="282"/>
  <c r="DI354" i="321"/>
  <c r="DI355" i="321"/>
  <c r="DI356" i="321"/>
  <c r="DI31" i="282"/>
  <c r="DJ354" i="321"/>
  <c r="DJ355" i="321"/>
  <c r="DJ356" i="321"/>
  <c r="DJ31" i="282"/>
  <c r="DK354" i="321"/>
  <c r="DK355" i="321"/>
  <c r="DK356" i="321"/>
  <c r="DK31" i="282"/>
  <c r="DL354" i="321"/>
  <c r="DL355" i="321"/>
  <c r="DL356" i="321"/>
  <c r="DL31" i="282"/>
  <c r="DM354" i="321"/>
  <c r="DM355" i="321"/>
  <c r="DM356" i="321"/>
  <c r="DM31" i="282"/>
  <c r="DN354" i="321"/>
  <c r="DN355" i="321"/>
  <c r="DN356" i="321"/>
  <c r="DN31" i="282"/>
  <c r="DO354" i="321"/>
  <c r="DO355" i="321"/>
  <c r="DO356" i="321"/>
  <c r="DO31" i="282"/>
  <c r="DP354" i="321"/>
  <c r="DP355" i="321"/>
  <c r="DP356" i="321"/>
  <c r="DP31" i="282"/>
  <c r="DQ354" i="321"/>
  <c r="DQ355" i="321"/>
  <c r="DQ356" i="321"/>
  <c r="DQ31" i="282"/>
  <c r="DR354" i="321"/>
  <c r="DR355" i="321"/>
  <c r="DR356" i="321"/>
  <c r="DR31" i="282"/>
  <c r="DS354" i="321"/>
  <c r="DS355" i="321"/>
  <c r="DS356" i="321"/>
  <c r="DS31" i="282"/>
  <c r="DT354" i="321"/>
  <c r="DT355" i="321"/>
  <c r="DT356" i="321"/>
  <c r="DT31" i="282"/>
  <c r="DU354" i="321"/>
  <c r="DU355" i="321"/>
  <c r="DU356" i="321"/>
  <c r="DU31" i="282"/>
  <c r="DV354" i="321"/>
  <c r="DV355" i="321"/>
  <c r="DV356" i="321"/>
  <c r="DV31" i="282"/>
  <c r="DW354" i="321"/>
  <c r="DW355" i="321"/>
  <c r="DW356" i="321"/>
  <c r="DW31" i="282"/>
  <c r="DX354" i="321"/>
  <c r="DX355" i="321"/>
  <c r="DX356" i="321"/>
  <c r="DX31" i="282"/>
  <c r="DY354" i="321"/>
  <c r="DY355" i="321"/>
  <c r="DY356" i="321"/>
  <c r="DY31" i="282"/>
  <c r="DZ354" i="321"/>
  <c r="DZ355" i="321"/>
  <c r="DZ356" i="321"/>
  <c r="DZ31" i="282"/>
  <c r="EA354" i="321"/>
  <c r="EA355" i="321"/>
  <c r="EA356" i="321"/>
  <c r="EA31" i="282"/>
  <c r="EB354" i="321"/>
  <c r="EB355" i="321"/>
  <c r="EB356" i="321"/>
  <c r="EB31" i="282"/>
  <c r="EC354" i="321"/>
  <c r="EC355" i="321"/>
  <c r="EC356" i="321"/>
  <c r="EC31" i="282"/>
  <c r="ED354" i="321"/>
  <c r="ED355" i="321"/>
  <c r="ED356" i="321"/>
  <c r="ED31" i="282"/>
  <c r="EE354" i="321"/>
  <c r="EE355" i="321"/>
  <c r="EE356" i="321"/>
  <c r="EE31" i="282"/>
  <c r="EF354" i="321"/>
  <c r="EF355" i="321"/>
  <c r="EF356" i="321"/>
  <c r="EF31" i="282"/>
  <c r="EG354" i="321"/>
  <c r="EG355" i="321"/>
  <c r="EG356" i="321"/>
  <c r="EG31" i="282"/>
  <c r="EH354" i="321"/>
  <c r="EH355" i="321"/>
  <c r="EH356" i="321"/>
  <c r="EH31" i="282"/>
  <c r="EI354" i="321"/>
  <c r="EI355" i="321"/>
  <c r="EI356" i="321"/>
  <c r="EI31" i="282"/>
  <c r="EJ354" i="321"/>
  <c r="EJ355" i="321"/>
  <c r="EJ356" i="321"/>
  <c r="EJ31" i="282"/>
  <c r="EK354" i="321"/>
  <c r="EK355" i="321"/>
  <c r="EK356" i="321"/>
  <c r="EK31" i="282"/>
  <c r="EL354" i="321"/>
  <c r="EL355" i="321"/>
  <c r="EL356" i="321"/>
  <c r="EL31" i="282"/>
  <c r="EM354" i="321"/>
  <c r="EM355" i="321"/>
  <c r="EM356" i="321"/>
  <c r="EM31" i="282"/>
  <c r="EN354" i="321"/>
  <c r="EN355" i="321"/>
  <c r="EN356" i="321"/>
  <c r="EN31" i="282"/>
  <c r="EO354" i="321"/>
  <c r="EO355" i="321"/>
  <c r="EO356" i="321"/>
  <c r="EO31" i="282"/>
  <c r="EP354" i="321"/>
  <c r="EP355" i="321"/>
  <c r="EP356" i="321"/>
  <c r="EP31" i="282"/>
  <c r="EQ354" i="321"/>
  <c r="EQ355" i="321"/>
  <c r="EQ356" i="321"/>
  <c r="EQ31" i="282"/>
  <c r="ER354" i="321"/>
  <c r="ER355" i="321"/>
  <c r="ER356" i="321"/>
  <c r="ER31" i="282"/>
  <c r="ES354" i="321"/>
  <c r="ES355" i="321"/>
  <c r="ES356" i="321"/>
  <c r="ES31" i="282"/>
  <c r="ET354" i="321"/>
  <c r="ET355" i="321"/>
  <c r="ET356" i="321"/>
  <c r="ET31" i="282"/>
  <c r="EU354" i="321"/>
  <c r="EU355" i="321"/>
  <c r="EU356" i="321"/>
  <c r="EU31" i="282"/>
  <c r="EV354" i="321"/>
  <c r="EV355" i="321"/>
  <c r="EV356" i="321"/>
  <c r="EV31" i="282"/>
  <c r="EW354" i="321"/>
  <c r="EW355" i="321"/>
  <c r="EW356" i="321"/>
  <c r="EW31" i="282"/>
  <c r="EX354" i="321"/>
  <c r="EX355" i="321"/>
  <c r="EX356" i="321"/>
  <c r="EX31" i="282"/>
  <c r="EY354" i="321"/>
  <c r="EY355" i="321"/>
  <c r="EY356" i="321"/>
  <c r="EY31" i="282"/>
  <c r="EZ354" i="321"/>
  <c r="EZ355" i="321"/>
  <c r="EZ356" i="321"/>
  <c r="EZ31" i="282"/>
  <c r="FA354" i="321"/>
  <c r="FA355" i="321"/>
  <c r="FA356" i="321"/>
  <c r="FA31" i="282"/>
  <c r="FB354" i="321"/>
  <c r="FB355" i="321"/>
  <c r="FB356" i="321"/>
  <c r="FB31" i="282"/>
  <c r="FC354" i="321"/>
  <c r="FC355" i="321"/>
  <c r="FC356" i="321"/>
  <c r="FC31" i="282"/>
  <c r="FD354" i="321"/>
  <c r="FD355" i="321"/>
  <c r="FD356" i="321"/>
  <c r="FD31" i="282"/>
  <c r="FE354" i="321"/>
  <c r="FE355" i="321"/>
  <c r="FE356" i="321"/>
  <c r="FE31" i="282"/>
  <c r="FF354" i="321"/>
  <c r="FF355" i="321"/>
  <c r="FF356" i="321"/>
  <c r="FF31" i="282"/>
  <c r="FG354" i="321"/>
  <c r="FG355" i="321"/>
  <c r="FG356" i="321"/>
  <c r="FG31" i="282"/>
  <c r="FH354" i="321"/>
  <c r="FH355" i="321"/>
  <c r="FH356" i="321"/>
  <c r="FH31" i="282"/>
  <c r="FI354" i="321"/>
  <c r="FI355" i="321"/>
  <c r="FI356" i="321"/>
  <c r="FI31" i="282"/>
  <c r="FJ354" i="321"/>
  <c r="FJ355" i="321"/>
  <c r="FJ356" i="321"/>
  <c r="FJ31" i="282"/>
  <c r="FK354" i="321"/>
  <c r="FK355" i="321"/>
  <c r="FK356" i="321"/>
  <c r="FK31" i="282"/>
  <c r="FL354" i="321"/>
  <c r="FL355" i="321"/>
  <c r="FL356" i="321"/>
  <c r="FL31" i="282"/>
  <c r="FM354" i="321"/>
  <c r="FM355" i="321"/>
  <c r="FM356" i="321"/>
  <c r="FM31" i="282"/>
  <c r="FN354" i="321"/>
  <c r="FN355" i="321"/>
  <c r="FN356" i="321"/>
  <c r="FN31" i="282"/>
  <c r="FO354" i="321"/>
  <c r="FO355" i="321"/>
  <c r="FO356" i="321"/>
  <c r="FO31" i="282"/>
  <c r="FP354" i="321"/>
  <c r="FP355" i="321"/>
  <c r="FP356" i="321"/>
  <c r="FP31" i="282"/>
  <c r="FQ354" i="321"/>
  <c r="FQ355" i="321"/>
  <c r="FQ356" i="321"/>
  <c r="FQ31" i="282"/>
  <c r="FR354" i="321"/>
  <c r="FR355" i="321"/>
  <c r="FR356" i="321"/>
  <c r="FR31" i="282"/>
  <c r="FS354" i="321"/>
  <c r="FS355" i="321"/>
  <c r="FS356" i="321"/>
  <c r="FS31" i="282"/>
  <c r="FT354" i="321"/>
  <c r="FT355" i="321"/>
  <c r="FT356" i="321"/>
  <c r="FT31" i="282"/>
  <c r="FU354" i="321"/>
  <c r="FU355" i="321"/>
  <c r="FU356" i="321"/>
  <c r="FU31" i="282"/>
  <c r="FV354" i="321"/>
  <c r="FV355" i="321"/>
  <c r="FV356" i="321"/>
  <c r="FV31" i="282"/>
  <c r="FW354" i="321"/>
  <c r="FW355" i="321"/>
  <c r="FW356" i="321"/>
  <c r="FW31" i="282"/>
  <c r="FX354" i="321"/>
  <c r="FX355" i="321"/>
  <c r="FX356" i="321"/>
  <c r="FX31" i="282"/>
  <c r="FY354" i="321"/>
  <c r="FY355" i="321"/>
  <c r="FY356" i="321"/>
  <c r="FY31" i="282"/>
  <c r="FZ354" i="321"/>
  <c r="FZ355" i="321"/>
  <c r="FZ356" i="321"/>
  <c r="FZ31" i="282"/>
  <c r="GA354" i="321"/>
  <c r="GA355" i="321"/>
  <c r="GA356" i="321"/>
  <c r="GA31" i="282"/>
  <c r="GB354" i="321"/>
  <c r="GB355" i="321"/>
  <c r="GB356" i="321"/>
  <c r="GB31" i="282"/>
  <c r="GC354" i="321"/>
  <c r="GC355" i="321"/>
  <c r="GC356" i="321"/>
  <c r="GC31" i="282"/>
  <c r="GD354" i="321"/>
  <c r="GD355" i="321"/>
  <c r="GD356" i="321"/>
  <c r="GD31" i="282"/>
  <c r="GE354" i="321"/>
  <c r="GE355" i="321"/>
  <c r="GE356" i="321"/>
  <c r="GE31" i="282"/>
  <c r="GF354" i="321"/>
  <c r="GF355" i="321"/>
  <c r="GF356" i="321"/>
  <c r="GF31" i="282"/>
  <c r="GG354" i="321"/>
  <c r="GG355" i="321"/>
  <c r="GG356" i="321"/>
  <c r="GG31" i="282"/>
  <c r="GH354" i="321"/>
  <c r="GH355" i="321"/>
  <c r="GH356" i="321"/>
  <c r="GH31" i="282"/>
  <c r="GI354" i="321"/>
  <c r="GI355" i="321"/>
  <c r="GI356" i="321"/>
  <c r="GI31" i="282"/>
  <c r="GJ354" i="321"/>
  <c r="GJ355" i="321"/>
  <c r="GJ356" i="321"/>
  <c r="GJ31" i="282"/>
  <c r="E29" i="282"/>
  <c r="F29" i="282"/>
  <c r="G237" i="321"/>
  <c r="G244" i="321"/>
  <c r="G29" i="282"/>
  <c r="J187" i="321"/>
  <c r="J234" i="321"/>
  <c r="F222" i="321"/>
  <c r="F223" i="321"/>
  <c r="F224" i="321"/>
  <c r="F229" i="321"/>
  <c r="J230" i="321"/>
  <c r="J236" i="321"/>
  <c r="F241" i="321"/>
  <c r="F304" i="307"/>
  <c r="J306" i="307"/>
  <c r="J309" i="307"/>
  <c r="J179" i="321"/>
  <c r="K230" i="321"/>
  <c r="K179" i="321"/>
  <c r="L230" i="321"/>
  <c r="L179" i="321"/>
  <c r="M230" i="321"/>
  <c r="M179" i="321"/>
  <c r="N230" i="321"/>
  <c r="N179" i="321"/>
  <c r="F193" i="321"/>
  <c r="O230" i="321"/>
  <c r="O179" i="321"/>
  <c r="P230" i="321"/>
  <c r="P179" i="321"/>
  <c r="F194" i="321"/>
  <c r="Q230" i="321"/>
  <c r="Q179" i="321"/>
  <c r="R230" i="321"/>
  <c r="R179" i="321"/>
  <c r="F195" i="321"/>
  <c r="S230" i="321"/>
  <c r="S179" i="321"/>
  <c r="T230" i="321"/>
  <c r="T179" i="321"/>
  <c r="F196" i="321"/>
  <c r="U230" i="321"/>
  <c r="U179" i="321"/>
  <c r="V230" i="321"/>
  <c r="V179" i="321"/>
  <c r="F197" i="321"/>
  <c r="W230" i="321"/>
  <c r="W179" i="321"/>
  <c r="X230" i="321"/>
  <c r="X179" i="321"/>
  <c r="F198" i="321"/>
  <c r="Y230" i="321"/>
  <c r="Y179" i="321"/>
  <c r="Z230" i="321"/>
  <c r="Z179" i="321"/>
  <c r="F199" i="321"/>
  <c r="AA230" i="321"/>
  <c r="AA179" i="321"/>
  <c r="AB230" i="321"/>
  <c r="AB179" i="321"/>
  <c r="F200" i="321"/>
  <c r="AC230" i="321"/>
  <c r="AC179" i="321"/>
  <c r="AD230" i="321"/>
  <c r="AD179" i="321"/>
  <c r="F201" i="321"/>
  <c r="AE230" i="321"/>
  <c r="AE179" i="321"/>
  <c r="AF230" i="321"/>
  <c r="AF179" i="321"/>
  <c r="F202" i="321"/>
  <c r="AG230" i="321"/>
  <c r="AG179" i="321"/>
  <c r="AH230" i="321"/>
  <c r="AH179" i="321"/>
  <c r="F203" i="321"/>
  <c r="AI230" i="321"/>
  <c r="AI179" i="321"/>
  <c r="AJ230" i="321"/>
  <c r="AJ179" i="321"/>
  <c r="F204" i="321"/>
  <c r="AK230" i="321"/>
  <c r="AK179" i="321"/>
  <c r="AL230" i="321"/>
  <c r="AL179" i="321"/>
  <c r="F205" i="321"/>
  <c r="AM230" i="321"/>
  <c r="AM179" i="321"/>
  <c r="AN230" i="321"/>
  <c r="AN179" i="321"/>
  <c r="F206" i="321"/>
  <c r="AO230" i="321"/>
  <c r="AO179" i="321"/>
  <c r="AP230" i="321"/>
  <c r="AP179" i="321"/>
  <c r="F207" i="321"/>
  <c r="AQ230" i="321"/>
  <c r="AQ179" i="321"/>
  <c r="AR230" i="321"/>
  <c r="AR179" i="321"/>
  <c r="F208" i="321"/>
  <c r="AS230" i="321"/>
  <c r="AS179" i="321"/>
  <c r="AT230" i="321"/>
  <c r="AT179" i="321"/>
  <c r="F209" i="321"/>
  <c r="AU230" i="321"/>
  <c r="AU179" i="321"/>
  <c r="AV230" i="321"/>
  <c r="AV179" i="321"/>
  <c r="AW230" i="321"/>
  <c r="AW179" i="321"/>
  <c r="AX230" i="321"/>
  <c r="AX179" i="321"/>
  <c r="AY230" i="321"/>
  <c r="AY179" i="321"/>
  <c r="AZ230" i="321"/>
  <c r="AZ179" i="321"/>
  <c r="BA230" i="321"/>
  <c r="BA179" i="321"/>
  <c r="BB230" i="321"/>
  <c r="BB179" i="321"/>
  <c r="BC230" i="321"/>
  <c r="BC179" i="321"/>
  <c r="BD230" i="321"/>
  <c r="BD179" i="321"/>
  <c r="BE230" i="321"/>
  <c r="BE179" i="321"/>
  <c r="BF230" i="321"/>
  <c r="BF188" i="321"/>
  <c r="BF179" i="321"/>
  <c r="BG230" i="321"/>
  <c r="BG188" i="321"/>
  <c r="BG179" i="321"/>
  <c r="BH230" i="321"/>
  <c r="BH188" i="321"/>
  <c r="BH179" i="321"/>
  <c r="BI230" i="321"/>
  <c r="BI188" i="321"/>
  <c r="BI179" i="321"/>
  <c r="BJ230" i="321"/>
  <c r="BJ188" i="321"/>
  <c r="BJ179" i="321"/>
  <c r="BK230" i="321"/>
  <c r="BK188" i="321"/>
  <c r="BK179" i="321"/>
  <c r="BL230" i="321"/>
  <c r="BL188" i="321"/>
  <c r="BL179" i="321"/>
  <c r="BM230" i="321"/>
  <c r="BM188" i="321"/>
  <c r="BM179" i="321"/>
  <c r="BN230" i="321"/>
  <c r="BN188" i="321"/>
  <c r="BN179" i="321"/>
  <c r="BO230" i="321"/>
  <c r="BO188" i="321"/>
  <c r="BO179" i="321"/>
  <c r="BP230" i="321"/>
  <c r="BP188" i="321"/>
  <c r="BP179" i="321"/>
  <c r="BQ230" i="321"/>
  <c r="BQ188" i="321"/>
  <c r="BQ179" i="321"/>
  <c r="BR230" i="321"/>
  <c r="BR188" i="321"/>
  <c r="BR179" i="321"/>
  <c r="BS230" i="321"/>
  <c r="BS188" i="321"/>
  <c r="BS179" i="321"/>
  <c r="BT230" i="321"/>
  <c r="BT188" i="321"/>
  <c r="BT179" i="321"/>
  <c r="BU230" i="321"/>
  <c r="BU188" i="321"/>
  <c r="BU179" i="321"/>
  <c r="BV230" i="321"/>
  <c r="BV188" i="321"/>
  <c r="BV179" i="321"/>
  <c r="BW230" i="321"/>
  <c r="BW188" i="321"/>
  <c r="BW179" i="321"/>
  <c r="BX230" i="321"/>
  <c r="BX188" i="321"/>
  <c r="BX179" i="321"/>
  <c r="BY230" i="321"/>
  <c r="BY188" i="321"/>
  <c r="BY179" i="321"/>
  <c r="BZ230" i="321"/>
  <c r="BZ188" i="321"/>
  <c r="BZ179" i="321"/>
  <c r="CA230" i="321"/>
  <c r="CA188" i="321"/>
  <c r="CA179" i="321"/>
  <c r="CB230" i="321"/>
  <c r="CB188" i="321"/>
  <c r="CB179" i="321"/>
  <c r="CC230" i="321"/>
  <c r="CC188" i="321"/>
  <c r="CC179" i="321"/>
  <c r="CD230" i="321"/>
  <c r="CD188" i="321"/>
  <c r="CD179" i="321"/>
  <c r="CE230" i="321"/>
  <c r="CE188" i="321"/>
  <c r="CE179" i="321"/>
  <c r="CF230" i="321"/>
  <c r="CF188" i="321"/>
  <c r="CF179" i="321"/>
  <c r="CG230" i="321"/>
  <c r="CG188" i="321"/>
  <c r="CG179" i="321"/>
  <c r="CH230" i="321"/>
  <c r="CH188" i="321"/>
  <c r="CH179" i="321"/>
  <c r="CI230" i="321"/>
  <c r="CI188" i="321"/>
  <c r="CI179" i="321"/>
  <c r="CJ230" i="321"/>
  <c r="CJ188" i="321"/>
  <c r="CJ179" i="321"/>
  <c r="CK230" i="321"/>
  <c r="CK188" i="321"/>
  <c r="CK179" i="321"/>
  <c r="CL230" i="321"/>
  <c r="CL188" i="321"/>
  <c r="CL179" i="321"/>
  <c r="CM230" i="321"/>
  <c r="CM188" i="321"/>
  <c r="CM179" i="321"/>
  <c r="CN230" i="321"/>
  <c r="CN188" i="321"/>
  <c r="CN179" i="321"/>
  <c r="CO230" i="321"/>
  <c r="CO188" i="321"/>
  <c r="CO179" i="321"/>
  <c r="CP230" i="321"/>
  <c r="CP188" i="321"/>
  <c r="CP179" i="321"/>
  <c r="CQ230" i="321"/>
  <c r="CQ188" i="321"/>
  <c r="CQ179" i="321"/>
  <c r="CR230" i="321"/>
  <c r="CR188" i="321"/>
  <c r="CR179" i="321"/>
  <c r="CS230" i="321"/>
  <c r="CS188" i="321"/>
  <c r="CS179" i="321"/>
  <c r="CT230" i="321"/>
  <c r="CT188" i="321"/>
  <c r="CT179" i="321"/>
  <c r="CU230" i="321"/>
  <c r="CU188" i="321"/>
  <c r="CU179" i="321"/>
  <c r="CV230" i="321"/>
  <c r="I29" i="282"/>
  <c r="CW29" i="282"/>
  <c r="CX29" i="282"/>
  <c r="CY29" i="282"/>
  <c r="CZ29" i="282"/>
  <c r="DA29" i="282"/>
  <c r="DB29" i="282"/>
  <c r="DC29" i="282"/>
  <c r="DD29" i="282"/>
  <c r="DE29" i="282"/>
  <c r="DF29" i="282"/>
  <c r="DG29" i="282"/>
  <c r="DH29" i="282"/>
  <c r="DI29" i="282"/>
  <c r="DJ29" i="282"/>
  <c r="DK29" i="282"/>
  <c r="DL29" i="282"/>
  <c r="DM29" i="282"/>
  <c r="DN29" i="282"/>
  <c r="DO29" i="282"/>
  <c r="DP29" i="282"/>
  <c r="DQ29" i="282"/>
  <c r="DR29" i="282"/>
  <c r="DS29" i="282"/>
  <c r="DT29" i="282"/>
  <c r="DU29" i="282"/>
  <c r="DV29" i="282"/>
  <c r="DW29" i="282"/>
  <c r="DX29" i="282"/>
  <c r="DY29" i="282"/>
  <c r="DZ29" i="282"/>
  <c r="EA29" i="282"/>
  <c r="EB29" i="282"/>
  <c r="EC29" i="282"/>
  <c r="ED29" i="282"/>
  <c r="EE29" i="282"/>
  <c r="EF29" i="282"/>
  <c r="EG29" i="282"/>
  <c r="EH29" i="282"/>
  <c r="EI29" i="282"/>
  <c r="EJ29" i="282"/>
  <c r="EK29" i="282"/>
  <c r="EL29" i="282"/>
  <c r="EM29" i="282"/>
  <c r="EN29" i="282"/>
  <c r="EO29" i="282"/>
  <c r="EP29" i="282"/>
  <c r="EQ29" i="282"/>
  <c r="ER29" i="282"/>
  <c r="ES29" i="282"/>
  <c r="ET29" i="282"/>
  <c r="EU29" i="282"/>
  <c r="EV29" i="282"/>
  <c r="EW29" i="282"/>
  <c r="EX29" i="282"/>
  <c r="EY29" i="282"/>
  <c r="EZ29" i="282"/>
  <c r="FA29" i="282"/>
  <c r="FB29" i="282"/>
  <c r="FC29" i="282"/>
  <c r="FD29" i="282"/>
  <c r="FE29" i="282"/>
  <c r="FF29" i="282"/>
  <c r="FG29" i="282"/>
  <c r="FH29" i="282"/>
  <c r="FI29" i="282"/>
  <c r="FJ29" i="282"/>
  <c r="FK29" i="282"/>
  <c r="FL29" i="282"/>
  <c r="FM29" i="282"/>
  <c r="FN29" i="282"/>
  <c r="FO29" i="282"/>
  <c r="FP29" i="282"/>
  <c r="FQ29" i="282"/>
  <c r="FR29" i="282"/>
  <c r="FS29" i="282"/>
  <c r="FT29" i="282"/>
  <c r="FU29" i="282"/>
  <c r="FV29" i="282"/>
  <c r="FW29" i="282"/>
  <c r="FX29" i="282"/>
  <c r="FY29" i="282"/>
  <c r="FZ29" i="282"/>
  <c r="GA29" i="282"/>
  <c r="GB29" i="282"/>
  <c r="GC29" i="282"/>
  <c r="GD29" i="282"/>
  <c r="GE29" i="282"/>
  <c r="GF29" i="282"/>
  <c r="GG29" i="282"/>
  <c r="GH29" i="282"/>
  <c r="GI29" i="282"/>
  <c r="GJ29" i="282"/>
  <c r="F60" i="321"/>
  <c r="F62" i="321"/>
  <c r="F63" i="321" a="1"/>
  <c r="F63" i="321"/>
  <c r="F358" i="307"/>
  <c r="F365" i="307"/>
  <c r="F377" i="307"/>
  <c r="F389" i="307"/>
  <c r="F54" i="311"/>
  <c r="F316" i="48"/>
  <c r="F317" i="48"/>
  <c r="F322" i="48"/>
  <c r="F505" i="307"/>
  <c r="F323" i="48"/>
  <c r="F511" i="307"/>
  <c r="F522" i="307"/>
  <c r="F533" i="307"/>
  <c r="F376" i="48"/>
  <c r="F377" i="48"/>
  <c r="F263" i="307"/>
  <c r="J265" i="307"/>
  <c r="J269" i="307"/>
  <c r="J33" i="307"/>
  <c r="K33" i="307"/>
  <c r="L33" i="307"/>
  <c r="M33" i="307"/>
  <c r="N33" i="307"/>
  <c r="O33" i="307"/>
  <c r="P33" i="307"/>
  <c r="Q33" i="307"/>
  <c r="R33" i="307"/>
  <c r="S33" i="307"/>
  <c r="T33" i="307"/>
  <c r="U33" i="307"/>
  <c r="V33" i="307"/>
  <c r="W33" i="307"/>
  <c r="X33" i="307"/>
  <c r="Y33" i="307"/>
  <c r="Z33" i="307"/>
  <c r="AA33" i="307"/>
  <c r="AB33" i="307"/>
  <c r="AC33" i="307"/>
  <c r="AD33" i="307"/>
  <c r="AE33" i="307"/>
  <c r="AF33" i="307"/>
  <c r="AG33" i="307"/>
  <c r="AH33" i="307"/>
  <c r="AI33" i="307"/>
  <c r="AJ33" i="307"/>
  <c r="AK33" i="307"/>
  <c r="AL33" i="307"/>
  <c r="AM33" i="307"/>
  <c r="AN33" i="307"/>
  <c r="AO33" i="307"/>
  <c r="AP33" i="307"/>
  <c r="AQ33" i="307"/>
  <c r="AR33" i="307"/>
  <c r="AS33" i="307"/>
  <c r="AT33" i="307"/>
  <c r="AU33" i="307"/>
  <c r="AV33" i="307"/>
  <c r="AW33" i="307"/>
  <c r="AX33" i="307"/>
  <c r="AY33" i="307"/>
  <c r="AZ33" i="307"/>
  <c r="BA33" i="307"/>
  <c r="BB33" i="307"/>
  <c r="BC33" i="307"/>
  <c r="BD33" i="307"/>
  <c r="BE33" i="307"/>
  <c r="F34" i="307"/>
  <c r="F439" i="307"/>
  <c r="F441" i="307"/>
  <c r="F442" i="307"/>
  <c r="F444" i="307"/>
  <c r="F448" i="307"/>
  <c r="F449" i="307"/>
  <c r="F239" i="307"/>
  <c r="F240" i="307"/>
  <c r="J21" i="282"/>
  <c r="F9" i="282"/>
  <c r="J10" i="282"/>
  <c r="J2" i="277"/>
  <c r="J4" i="277"/>
  <c r="J4" i="265"/>
  <c r="K4" i="265"/>
  <c r="L4" i="265"/>
  <c r="M4" i="265"/>
  <c r="N4" i="265"/>
  <c r="O4" i="265"/>
  <c r="P4" i="265"/>
  <c r="Q4" i="265"/>
  <c r="R4" i="265"/>
  <c r="S4" i="265"/>
  <c r="T4" i="265"/>
  <c r="U4" i="265"/>
  <c r="V4" i="265"/>
  <c r="W4" i="265"/>
  <c r="X4" i="265"/>
  <c r="Y4" i="265"/>
  <c r="Z4" i="265"/>
  <c r="AA4" i="265"/>
  <c r="AB4" i="265"/>
  <c r="AC4" i="265"/>
  <c r="AD4" i="265"/>
  <c r="AE4" i="265"/>
  <c r="AF4" i="265"/>
  <c r="AG4" i="265"/>
  <c r="AH4" i="265"/>
  <c r="AI4" i="265"/>
  <c r="AJ4" i="265"/>
  <c r="AK4" i="265"/>
  <c r="AL4" i="265"/>
  <c r="AM4" i="265"/>
  <c r="AN4" i="265"/>
  <c r="AO4" i="265"/>
  <c r="AP4" i="265"/>
  <c r="AQ4" i="265"/>
  <c r="AR4" i="265"/>
  <c r="AS4" i="265"/>
  <c r="AT4" i="265"/>
  <c r="AU4" i="265"/>
  <c r="AV4" i="265"/>
  <c r="AW4" i="265"/>
  <c r="AX4" i="265"/>
  <c r="AY4" i="265"/>
  <c r="AZ4" i="265"/>
  <c r="BA4" i="265"/>
  <c r="BB4" i="265"/>
  <c r="BC4" i="265"/>
  <c r="BD4" i="265"/>
  <c r="BE4" i="265"/>
  <c r="BF4" i="265"/>
  <c r="BG4" i="265"/>
  <c r="BH4" i="265"/>
  <c r="BI4" i="265"/>
  <c r="BJ4" i="265"/>
  <c r="BK4" i="265"/>
  <c r="BL4" i="265"/>
  <c r="BM4" i="265"/>
  <c r="BN4" i="265"/>
  <c r="BO4" i="265"/>
  <c r="BP4" i="265"/>
  <c r="BQ4" i="265"/>
  <c r="BR4" i="265"/>
  <c r="BS4" i="265"/>
  <c r="BT4" i="265"/>
  <c r="BU4" i="265"/>
  <c r="BV4" i="265"/>
  <c r="BW4" i="265"/>
  <c r="BX4" i="265"/>
  <c r="BY4" i="265"/>
  <c r="BZ4" i="265"/>
  <c r="CA4" i="265"/>
  <c r="CB4" i="265"/>
  <c r="CC4" i="265"/>
  <c r="CD4" i="265"/>
  <c r="CE4" i="265"/>
  <c r="CF4" i="265"/>
  <c r="CG4" i="265"/>
  <c r="CH4" i="265"/>
  <c r="CI4" i="265"/>
  <c r="CJ4" i="265"/>
  <c r="CK4" i="265"/>
  <c r="CL4" i="265"/>
  <c r="CM4" i="265"/>
  <c r="CN4" i="265"/>
  <c r="CO4" i="265"/>
  <c r="CP4" i="265"/>
  <c r="CQ4" i="265"/>
  <c r="CR4" i="265"/>
  <c r="CS4" i="265"/>
  <c r="CT4" i="265"/>
  <c r="CU4" i="265"/>
  <c r="CV4" i="265"/>
  <c r="K2" i="277"/>
  <c r="K4" i="277"/>
  <c r="L2" i="277"/>
  <c r="L4" i="277"/>
  <c r="M2" i="277"/>
  <c r="M4" i="277"/>
  <c r="N2" i="277"/>
  <c r="N4" i="277"/>
  <c r="O2" i="277"/>
  <c r="O4" i="277"/>
  <c r="P2" i="277"/>
  <c r="P4" i="277"/>
  <c r="Q2" i="277"/>
  <c r="Q4" i="277"/>
  <c r="R2" i="277"/>
  <c r="R4" i="277"/>
  <c r="S2" i="277"/>
  <c r="S4" i="277"/>
  <c r="T2" i="277"/>
  <c r="T4" i="277"/>
  <c r="U2" i="277"/>
  <c r="U4" i="277"/>
  <c r="V2" i="277"/>
  <c r="V4" i="277"/>
  <c r="W2" i="277"/>
  <c r="W4" i="277"/>
  <c r="X2" i="277"/>
  <c r="X4" i="277"/>
  <c r="Y2" i="277"/>
  <c r="Y4" i="277"/>
  <c r="Z2" i="277"/>
  <c r="Z4" i="277"/>
  <c r="AA2" i="277"/>
  <c r="AA4" i="277"/>
  <c r="AB2" i="277"/>
  <c r="AB4" i="277"/>
  <c r="AC2" i="277"/>
  <c r="AC4" i="277"/>
  <c r="AD2" i="277"/>
  <c r="AD4" i="277"/>
  <c r="AE2" i="277"/>
  <c r="AE4" i="277"/>
  <c r="AF2" i="277"/>
  <c r="AF4" i="277"/>
  <c r="AG2" i="277"/>
  <c r="AG4" i="277"/>
  <c r="AH2" i="277"/>
  <c r="AH4" i="277"/>
  <c r="AI2" i="277"/>
  <c r="AI4" i="277"/>
  <c r="AJ2" i="277"/>
  <c r="AJ4" i="277"/>
  <c r="AK2" i="277"/>
  <c r="AK4" i="277"/>
  <c r="AL2" i="277"/>
  <c r="AL4" i="277"/>
  <c r="AM2" i="277"/>
  <c r="AM4" i="277"/>
  <c r="AN2" i="277"/>
  <c r="AN4" i="277"/>
  <c r="AO2" i="277"/>
  <c r="AO4" i="277"/>
  <c r="AP2" i="277"/>
  <c r="AP4" i="277"/>
  <c r="AQ2" i="277"/>
  <c r="AQ4" i="277"/>
  <c r="AR2" i="277"/>
  <c r="AR4" i="277"/>
  <c r="AS2" i="277"/>
  <c r="AS4" i="277"/>
  <c r="AT2" i="277"/>
  <c r="AT4" i="277"/>
  <c r="AU2" i="277"/>
  <c r="AU4" i="277"/>
  <c r="AV2" i="277"/>
  <c r="AV4" i="277"/>
  <c r="AW2" i="277"/>
  <c r="AW4" i="277"/>
  <c r="AX2" i="277"/>
  <c r="AX4" i="277"/>
  <c r="AY2" i="277"/>
  <c r="AY4" i="277"/>
  <c r="AZ2" i="277"/>
  <c r="AZ4" i="277"/>
  <c r="BA2" i="277"/>
  <c r="BA4" i="277"/>
  <c r="BB2" i="277"/>
  <c r="BB4" i="277"/>
  <c r="BC70" i="277"/>
  <c r="BD70" i="277"/>
  <c r="BC68" i="277"/>
  <c r="BD68" i="277"/>
  <c r="BC20" i="277"/>
  <c r="BD20" i="277"/>
  <c r="BC18" i="277"/>
  <c r="BD18" i="277"/>
  <c r="E70" i="265"/>
  <c r="F70" i="265"/>
  <c r="G70" i="265"/>
  <c r="I70" i="265"/>
  <c r="CW357" i="321"/>
  <c r="CW70" i="265"/>
  <c r="CX357" i="321"/>
  <c r="CX70" i="265"/>
  <c r="CY357" i="321"/>
  <c r="CY70" i="265"/>
  <c r="CZ357" i="321"/>
  <c r="CZ70" i="265"/>
  <c r="DA357" i="321"/>
  <c r="DA70" i="265"/>
  <c r="DB357" i="321"/>
  <c r="DB70" i="265"/>
  <c r="DC357" i="321"/>
  <c r="DC70" i="265"/>
  <c r="DD357" i="321"/>
  <c r="DD70" i="265"/>
  <c r="DE357" i="321"/>
  <c r="DE70" i="265"/>
  <c r="DF357" i="321"/>
  <c r="DF70" i="265"/>
  <c r="DG357" i="321"/>
  <c r="DG70" i="265"/>
  <c r="DH357" i="321"/>
  <c r="DH70" i="265"/>
  <c r="DI357" i="321"/>
  <c r="DI70" i="265"/>
  <c r="DJ357" i="321"/>
  <c r="DJ70" i="265"/>
  <c r="DK357" i="321"/>
  <c r="DK70" i="265"/>
  <c r="DL357" i="321"/>
  <c r="DL70" i="265"/>
  <c r="DM357" i="321"/>
  <c r="DM70" i="265"/>
  <c r="DN357" i="321"/>
  <c r="DN70" i="265"/>
  <c r="DO357" i="321"/>
  <c r="DO70" i="265"/>
  <c r="DP357" i="321"/>
  <c r="DP70" i="265"/>
  <c r="DQ357" i="321"/>
  <c r="DQ70" i="265"/>
  <c r="DR357" i="321"/>
  <c r="DR70" i="265"/>
  <c r="DS357" i="321"/>
  <c r="DS70" i="265"/>
  <c r="DT357" i="321"/>
  <c r="DT70" i="265"/>
  <c r="DU357" i="321"/>
  <c r="DU70" i="265"/>
  <c r="DV357" i="321"/>
  <c r="DV70" i="265"/>
  <c r="DW357" i="321"/>
  <c r="DW70" i="265"/>
  <c r="DX357" i="321"/>
  <c r="DX70" i="265"/>
  <c r="DY357" i="321"/>
  <c r="DY70" i="265"/>
  <c r="DZ357" i="321"/>
  <c r="DZ70" i="265"/>
  <c r="EA357" i="321"/>
  <c r="EA70" i="265"/>
  <c r="EB357" i="321"/>
  <c r="EB70" i="265"/>
  <c r="EC357" i="321"/>
  <c r="EC70" i="265"/>
  <c r="ED357" i="321"/>
  <c r="ED70" i="265"/>
  <c r="EE357" i="321"/>
  <c r="EE70" i="265"/>
  <c r="EF357" i="321"/>
  <c r="EF70" i="265"/>
  <c r="EG357" i="321"/>
  <c r="EG70" i="265"/>
  <c r="EH357" i="321"/>
  <c r="EH70" i="265"/>
  <c r="EI357" i="321"/>
  <c r="EI70" i="265"/>
  <c r="EJ357" i="321"/>
  <c r="EJ70" i="265"/>
  <c r="EK357" i="321"/>
  <c r="EK70" i="265"/>
  <c r="EL357" i="321"/>
  <c r="EL70" i="265"/>
  <c r="EM357" i="321"/>
  <c r="EM70" i="265"/>
  <c r="EN357" i="321"/>
  <c r="EN70" i="265"/>
  <c r="EO357" i="321"/>
  <c r="EO70" i="265"/>
  <c r="EP357" i="321"/>
  <c r="EP70" i="265"/>
  <c r="EQ357" i="321"/>
  <c r="EQ70" i="265"/>
  <c r="ER357" i="321"/>
  <c r="ER70" i="265"/>
  <c r="ES357" i="321"/>
  <c r="ES70" i="265"/>
  <c r="ET357" i="321"/>
  <c r="ET70" i="265"/>
  <c r="EU357" i="321"/>
  <c r="EU70" i="265"/>
  <c r="EV357" i="321"/>
  <c r="EV70" i="265"/>
  <c r="EW357" i="321"/>
  <c r="EW70" i="265"/>
  <c r="EX357" i="321"/>
  <c r="EX70" i="265"/>
  <c r="EY357" i="321"/>
  <c r="EY70" i="265"/>
  <c r="EZ357" i="321"/>
  <c r="EZ70" i="265"/>
  <c r="FA357" i="321"/>
  <c r="FA70" i="265"/>
  <c r="FB357" i="321"/>
  <c r="FB70" i="265"/>
  <c r="FC357" i="321"/>
  <c r="FC70" i="265"/>
  <c r="FD357" i="321"/>
  <c r="FD70" i="265"/>
  <c r="FE357" i="321"/>
  <c r="FE70" i="265"/>
  <c r="FF357" i="321"/>
  <c r="FF70" i="265"/>
  <c r="FG357" i="321"/>
  <c r="FG70" i="265"/>
  <c r="FH357" i="321"/>
  <c r="FH70" i="265"/>
  <c r="FI357" i="321"/>
  <c r="FI70" i="265"/>
  <c r="FJ357" i="321"/>
  <c r="FJ70" i="265"/>
  <c r="FK357" i="321"/>
  <c r="FK70" i="265"/>
  <c r="FL357" i="321"/>
  <c r="FL70" i="265"/>
  <c r="FM357" i="321"/>
  <c r="FM70" i="265"/>
  <c r="FN357" i="321"/>
  <c r="FN70" i="265"/>
  <c r="FO357" i="321"/>
  <c r="FO70" i="265"/>
  <c r="FP357" i="321"/>
  <c r="FP70" i="265"/>
  <c r="FQ357" i="321"/>
  <c r="FQ70" i="265"/>
  <c r="FR357" i="321"/>
  <c r="FR70" i="265"/>
  <c r="FS357" i="321"/>
  <c r="FS70" i="265"/>
  <c r="FT357" i="321"/>
  <c r="FT70" i="265"/>
  <c r="FU357" i="321"/>
  <c r="FU70" i="265"/>
  <c r="FV357" i="321"/>
  <c r="FV70" i="265"/>
  <c r="FW357" i="321"/>
  <c r="FW70" i="265"/>
  <c r="FX357" i="321"/>
  <c r="FX70" i="265"/>
  <c r="FY357" i="321"/>
  <c r="FY70" i="265"/>
  <c r="FZ357" i="321"/>
  <c r="FZ70" i="265"/>
  <c r="GA357" i="321"/>
  <c r="GA70" i="265"/>
  <c r="GB357" i="321"/>
  <c r="GB70" i="265"/>
  <c r="GC357" i="321"/>
  <c r="GC70" i="265"/>
  <c r="GD357" i="321"/>
  <c r="GD70" i="265"/>
  <c r="GE357" i="321"/>
  <c r="GE70" i="265"/>
  <c r="GF357" i="321"/>
  <c r="GF70" i="265"/>
  <c r="GG357" i="321"/>
  <c r="GG70" i="265"/>
  <c r="GH357" i="321"/>
  <c r="GH70" i="265"/>
  <c r="GI357" i="321"/>
  <c r="GI70" i="265"/>
  <c r="GJ357" i="321"/>
  <c r="GJ70" i="265"/>
  <c r="E68" i="265"/>
  <c r="F68" i="265"/>
  <c r="G245" i="321"/>
  <c r="G68" i="265"/>
  <c r="I68" i="265"/>
  <c r="CW68" i="265"/>
  <c r="CX68" i="265"/>
  <c r="CY68" i="265"/>
  <c r="CZ68" i="265"/>
  <c r="DA68" i="265"/>
  <c r="DB68" i="265"/>
  <c r="DC68" i="265"/>
  <c r="DD68" i="265"/>
  <c r="DE68" i="265"/>
  <c r="DF68" i="265"/>
  <c r="DG68" i="265"/>
  <c r="DH68" i="265"/>
  <c r="DI68" i="265"/>
  <c r="DJ68" i="265"/>
  <c r="DK68" i="265"/>
  <c r="DL68" i="265"/>
  <c r="DM68" i="265"/>
  <c r="DN68" i="265"/>
  <c r="DO68" i="265"/>
  <c r="DP68" i="265"/>
  <c r="DQ68" i="265"/>
  <c r="DR68" i="265"/>
  <c r="DS68" i="265"/>
  <c r="DT68" i="265"/>
  <c r="DU68" i="265"/>
  <c r="DV68" i="265"/>
  <c r="DW68" i="265"/>
  <c r="DX68" i="265"/>
  <c r="DY68" i="265"/>
  <c r="DZ68" i="265"/>
  <c r="EA68" i="265"/>
  <c r="EB68" i="265"/>
  <c r="EC68" i="265"/>
  <c r="ED68" i="265"/>
  <c r="EE68" i="265"/>
  <c r="EF68" i="265"/>
  <c r="EG68" i="265"/>
  <c r="EH68" i="265"/>
  <c r="EI68" i="265"/>
  <c r="EJ68" i="265"/>
  <c r="EK68" i="265"/>
  <c r="EL68" i="265"/>
  <c r="EM68" i="265"/>
  <c r="EN68" i="265"/>
  <c r="EO68" i="265"/>
  <c r="EP68" i="265"/>
  <c r="EQ68" i="265"/>
  <c r="ER68" i="265"/>
  <c r="ES68" i="265"/>
  <c r="ET68" i="265"/>
  <c r="EU68" i="265"/>
  <c r="EV68" i="265"/>
  <c r="EW68" i="265"/>
  <c r="EX68" i="265"/>
  <c r="EY68" i="265"/>
  <c r="EZ68" i="265"/>
  <c r="FA68" i="265"/>
  <c r="FB68" i="265"/>
  <c r="FC68" i="265"/>
  <c r="FD68" i="265"/>
  <c r="FE68" i="265"/>
  <c r="FF68" i="265"/>
  <c r="FG68" i="265"/>
  <c r="FH68" i="265"/>
  <c r="FI68" i="265"/>
  <c r="FJ68" i="265"/>
  <c r="FK68" i="265"/>
  <c r="FL68" i="265"/>
  <c r="FM68" i="265"/>
  <c r="FN68" i="265"/>
  <c r="FO68" i="265"/>
  <c r="FP68" i="265"/>
  <c r="FQ68" i="265"/>
  <c r="FR68" i="265"/>
  <c r="FS68" i="265"/>
  <c r="FT68" i="265"/>
  <c r="FU68" i="265"/>
  <c r="FV68" i="265"/>
  <c r="FW68" i="265"/>
  <c r="FX68" i="265"/>
  <c r="FY68" i="265"/>
  <c r="FZ68" i="265"/>
  <c r="GA68" i="265"/>
  <c r="GB68" i="265"/>
  <c r="GC68" i="265"/>
  <c r="GD68" i="265"/>
  <c r="GE68" i="265"/>
  <c r="GF68" i="265"/>
  <c r="GG68" i="265"/>
  <c r="GH68" i="265"/>
  <c r="GI68" i="265"/>
  <c r="GJ68" i="265"/>
  <c r="E18" i="265"/>
  <c r="F18" i="265"/>
  <c r="G18" i="265"/>
  <c r="I18" i="265"/>
  <c r="CW18" i="265"/>
  <c r="CX18" i="265"/>
  <c r="CY18" i="265"/>
  <c r="CZ18" i="265"/>
  <c r="DA18" i="265"/>
  <c r="DB18" i="265"/>
  <c r="DC18" i="265"/>
  <c r="DD18" i="265"/>
  <c r="DE18" i="265"/>
  <c r="DF18" i="265"/>
  <c r="DG18" i="265"/>
  <c r="DH18" i="265"/>
  <c r="DI18" i="265"/>
  <c r="DJ18" i="265"/>
  <c r="DK18" i="265"/>
  <c r="DL18" i="265"/>
  <c r="DM18" i="265"/>
  <c r="DN18" i="265"/>
  <c r="DO18" i="265"/>
  <c r="DP18" i="265"/>
  <c r="DQ18" i="265"/>
  <c r="DR18" i="265"/>
  <c r="DS18" i="265"/>
  <c r="DT18" i="265"/>
  <c r="DU18" i="265"/>
  <c r="DV18" i="265"/>
  <c r="DW18" i="265"/>
  <c r="DX18" i="265"/>
  <c r="DY18" i="265"/>
  <c r="DZ18" i="265"/>
  <c r="EA18" i="265"/>
  <c r="EB18" i="265"/>
  <c r="EC18" i="265"/>
  <c r="ED18" i="265"/>
  <c r="EE18" i="265"/>
  <c r="EF18" i="265"/>
  <c r="EG18" i="265"/>
  <c r="EH18" i="265"/>
  <c r="EI18" i="265"/>
  <c r="EJ18" i="265"/>
  <c r="EK18" i="265"/>
  <c r="EL18" i="265"/>
  <c r="EM18" i="265"/>
  <c r="EN18" i="265"/>
  <c r="EO18" i="265"/>
  <c r="EP18" i="265"/>
  <c r="EQ18" i="265"/>
  <c r="ER18" i="265"/>
  <c r="ES18" i="265"/>
  <c r="ET18" i="265"/>
  <c r="EU18" i="265"/>
  <c r="EV18" i="265"/>
  <c r="EW18" i="265"/>
  <c r="EX18" i="265"/>
  <c r="EY18" i="265"/>
  <c r="EZ18" i="265"/>
  <c r="FA18" i="265"/>
  <c r="FB18" i="265"/>
  <c r="FC18" i="265"/>
  <c r="FD18" i="265"/>
  <c r="FE18" i="265"/>
  <c r="FF18" i="265"/>
  <c r="FG18" i="265"/>
  <c r="FH18" i="265"/>
  <c r="FI18" i="265"/>
  <c r="FJ18" i="265"/>
  <c r="FK18" i="265"/>
  <c r="FL18" i="265"/>
  <c r="FM18" i="265"/>
  <c r="FN18" i="265"/>
  <c r="FO18" i="265"/>
  <c r="FP18" i="265"/>
  <c r="FQ18" i="265"/>
  <c r="FR18" i="265"/>
  <c r="FS18" i="265"/>
  <c r="FT18" i="265"/>
  <c r="FU18" i="265"/>
  <c r="FV18" i="265"/>
  <c r="FW18" i="265"/>
  <c r="FX18" i="265"/>
  <c r="FY18" i="265"/>
  <c r="FZ18" i="265"/>
  <c r="GA18" i="265"/>
  <c r="GB18" i="265"/>
  <c r="GC18" i="265"/>
  <c r="GD18" i="265"/>
  <c r="GE18" i="265"/>
  <c r="GF18" i="265"/>
  <c r="GG18" i="265"/>
  <c r="GH18" i="265"/>
  <c r="GI18" i="265"/>
  <c r="GJ18" i="265"/>
  <c r="E20" i="265"/>
  <c r="F20" i="265"/>
  <c r="G20" i="265"/>
  <c r="I20" i="265"/>
  <c r="CW20" i="265"/>
  <c r="CX20" i="265"/>
  <c r="CY20" i="265"/>
  <c r="CZ20" i="265"/>
  <c r="DA20" i="265"/>
  <c r="DB20" i="265"/>
  <c r="DC20" i="265"/>
  <c r="DD20" i="265"/>
  <c r="DE20" i="265"/>
  <c r="DF20" i="265"/>
  <c r="DG20" i="265"/>
  <c r="DH20" i="265"/>
  <c r="DI20" i="265"/>
  <c r="DJ20" i="265"/>
  <c r="DK20" i="265"/>
  <c r="DL20" i="265"/>
  <c r="DM20" i="265"/>
  <c r="DN20" i="265"/>
  <c r="DO20" i="265"/>
  <c r="DP20" i="265"/>
  <c r="DQ20" i="265"/>
  <c r="DR20" i="265"/>
  <c r="DS20" i="265"/>
  <c r="DT20" i="265"/>
  <c r="DU20" i="265"/>
  <c r="DV20" i="265"/>
  <c r="DW20" i="265"/>
  <c r="DX20" i="265"/>
  <c r="DY20" i="265"/>
  <c r="DZ20" i="265"/>
  <c r="EA20" i="265"/>
  <c r="EB20" i="265"/>
  <c r="EC20" i="265"/>
  <c r="ED20" i="265"/>
  <c r="EE20" i="265"/>
  <c r="EF20" i="265"/>
  <c r="EG20" i="265"/>
  <c r="EH20" i="265"/>
  <c r="EI20" i="265"/>
  <c r="EJ20" i="265"/>
  <c r="EK20" i="265"/>
  <c r="EL20" i="265"/>
  <c r="EM20" i="265"/>
  <c r="EN20" i="265"/>
  <c r="EO20" i="265"/>
  <c r="EP20" i="265"/>
  <c r="EQ20" i="265"/>
  <c r="ER20" i="265"/>
  <c r="ES20" i="265"/>
  <c r="ET20" i="265"/>
  <c r="EU20" i="265"/>
  <c r="EV20" i="265"/>
  <c r="EW20" i="265"/>
  <c r="EX20" i="265"/>
  <c r="EY20" i="265"/>
  <c r="EZ20" i="265"/>
  <c r="FA20" i="265"/>
  <c r="FB20" i="265"/>
  <c r="FC20" i="265"/>
  <c r="FD20" i="265"/>
  <c r="FE20" i="265"/>
  <c r="FF20" i="265"/>
  <c r="FG20" i="265"/>
  <c r="FH20" i="265"/>
  <c r="FI20" i="265"/>
  <c r="FJ20" i="265"/>
  <c r="FK20" i="265"/>
  <c r="FL20" i="265"/>
  <c r="FM20" i="265"/>
  <c r="FN20" i="265"/>
  <c r="FO20" i="265"/>
  <c r="FP20" i="265"/>
  <c r="FQ20" i="265"/>
  <c r="FR20" i="265"/>
  <c r="FS20" i="265"/>
  <c r="FT20" i="265"/>
  <c r="FU20" i="265"/>
  <c r="FV20" i="265"/>
  <c r="FW20" i="265"/>
  <c r="FX20" i="265"/>
  <c r="FY20" i="265"/>
  <c r="FZ20" i="265"/>
  <c r="GA20" i="265"/>
  <c r="GB20" i="265"/>
  <c r="GC20" i="265"/>
  <c r="GD20" i="265"/>
  <c r="GE20" i="265"/>
  <c r="GF20" i="265"/>
  <c r="GG20" i="265"/>
  <c r="GH20" i="265"/>
  <c r="GI20" i="265"/>
  <c r="GJ20" i="265"/>
  <c r="F48" i="311"/>
  <c r="F41" i="278"/>
  <c r="F43" i="278"/>
  <c r="F46" i="278"/>
  <c r="F74" i="282"/>
  <c r="J401" i="321"/>
  <c r="J379" i="321"/>
  <c r="J376" i="321"/>
  <c r="K376" i="321"/>
  <c r="L376" i="321"/>
  <c r="M376" i="321"/>
  <c r="N376" i="321"/>
  <c r="F385" i="321"/>
  <c r="F390" i="321"/>
  <c r="O391" i="321"/>
  <c r="J433" i="321"/>
  <c r="J411" i="321"/>
  <c r="J408" i="321"/>
  <c r="K408" i="321"/>
  <c r="L408" i="321"/>
  <c r="M408" i="321"/>
  <c r="N408" i="321"/>
  <c r="F417" i="321"/>
  <c r="F422" i="321"/>
  <c r="O423" i="321"/>
  <c r="F578" i="321"/>
  <c r="O579" i="321"/>
  <c r="F577" i="321"/>
  <c r="F571" i="321"/>
  <c r="J608" i="321"/>
  <c r="F538" i="321"/>
  <c r="J539" i="321"/>
  <c r="J540" i="321"/>
  <c r="F537" i="321"/>
  <c r="J541" i="321"/>
  <c r="J555" i="321"/>
  <c r="J551" i="321"/>
  <c r="F549" i="321"/>
  <c r="J563" i="321"/>
  <c r="J565" i="321"/>
  <c r="F576" i="321"/>
  <c r="F587" i="321"/>
  <c r="F588" i="321"/>
  <c r="F586" i="321"/>
  <c r="F594" i="321"/>
  <c r="F595" i="321"/>
  <c r="F596" i="321"/>
  <c r="O598" i="321"/>
  <c r="F704" i="321"/>
  <c r="J684" i="321"/>
  <c r="J673" i="321"/>
  <c r="J675" i="321"/>
  <c r="F697" i="321"/>
  <c r="F698" i="321"/>
  <c r="F705" i="321"/>
  <c r="O707" i="321"/>
  <c r="J483" i="321"/>
  <c r="J452" i="321"/>
  <c r="F450" i="321"/>
  <c r="F451" i="321"/>
  <c r="J453" i="321"/>
  <c r="J454" i="321"/>
  <c r="J468" i="321"/>
  <c r="J462" i="321"/>
  <c r="J395" i="321"/>
  <c r="J391" i="321"/>
  <c r="J427" i="321"/>
  <c r="J423" i="321"/>
  <c r="J579" i="321"/>
  <c r="J572" i="321"/>
  <c r="J573" i="321"/>
  <c r="J574" i="321"/>
  <c r="J580" i="321"/>
  <c r="J581" i="321"/>
  <c r="J582" i="321"/>
  <c r="J583" i="321"/>
  <c r="J23" i="265"/>
  <c r="J589" i="321"/>
  <c r="J590" i="321"/>
  <c r="J591" i="321"/>
  <c r="J24" i="265"/>
  <c r="J601" i="321"/>
  <c r="J598" i="321"/>
  <c r="J603" i="321"/>
  <c r="J701" i="321"/>
  <c r="J702" i="321"/>
  <c r="J706" i="321"/>
  <c r="J707" i="321"/>
  <c r="J708" i="321"/>
  <c r="J709" i="321"/>
  <c r="J711" i="321"/>
  <c r="J712" i="321"/>
  <c r="J713" i="321"/>
  <c r="J714" i="321"/>
  <c r="J715" i="321"/>
  <c r="J26" i="265"/>
  <c r="J455" i="321"/>
  <c r="J27" i="265"/>
  <c r="K391" i="321"/>
  <c r="K423" i="321"/>
  <c r="L391" i="321"/>
  <c r="L423" i="321"/>
  <c r="J34" i="282"/>
  <c r="J35" i="282"/>
  <c r="J36" i="282"/>
  <c r="J37" i="282"/>
  <c r="J67" i="282"/>
  <c r="J59" i="282"/>
  <c r="M391" i="321"/>
  <c r="M423" i="321"/>
  <c r="N391" i="321"/>
  <c r="N423" i="321"/>
  <c r="O376" i="321"/>
  <c r="O408" i="321"/>
  <c r="P391" i="321"/>
  <c r="P376" i="321"/>
  <c r="P423" i="321"/>
  <c r="P408" i="321"/>
  <c r="Q391" i="321"/>
  <c r="Q376" i="321"/>
  <c r="Q423" i="321"/>
  <c r="Q408" i="321"/>
  <c r="R391" i="321"/>
  <c r="R376" i="321"/>
  <c r="R423" i="321"/>
  <c r="R408" i="321"/>
  <c r="S391" i="321"/>
  <c r="S376" i="321"/>
  <c r="S423" i="321"/>
  <c r="S408" i="321"/>
  <c r="T391" i="321"/>
  <c r="T376" i="321"/>
  <c r="T423" i="321"/>
  <c r="T408" i="321"/>
  <c r="U391" i="321"/>
  <c r="U376" i="321"/>
  <c r="U423" i="321"/>
  <c r="U408" i="321"/>
  <c r="V391" i="321"/>
  <c r="V376" i="321"/>
  <c r="V423" i="321"/>
  <c r="V408" i="321"/>
  <c r="W391" i="321"/>
  <c r="W376" i="321"/>
  <c r="W423" i="321"/>
  <c r="W408" i="321"/>
  <c r="X391" i="321"/>
  <c r="X376" i="321"/>
  <c r="X423" i="321"/>
  <c r="X408" i="321"/>
  <c r="Y391" i="321"/>
  <c r="Y376" i="321"/>
  <c r="Y423" i="321"/>
  <c r="Y408" i="321"/>
  <c r="Z391" i="321"/>
  <c r="Z376" i="321"/>
  <c r="Z423" i="321"/>
  <c r="Z408" i="321"/>
  <c r="AA391" i="321"/>
  <c r="AA376" i="321"/>
  <c r="AA423" i="321"/>
  <c r="AA408" i="321"/>
  <c r="AB391" i="321"/>
  <c r="AB376" i="321"/>
  <c r="AB423" i="321"/>
  <c r="AB408" i="321"/>
  <c r="AC391" i="321"/>
  <c r="AC376" i="321"/>
  <c r="AC423" i="321"/>
  <c r="AC408" i="321"/>
  <c r="AD391" i="321"/>
  <c r="AD376" i="321"/>
  <c r="AD423" i="321"/>
  <c r="AD408" i="321"/>
  <c r="AE391" i="321"/>
  <c r="AE376" i="321"/>
  <c r="AE423" i="321"/>
  <c r="AE408" i="321"/>
  <c r="AF391" i="321"/>
  <c r="AF376" i="321"/>
  <c r="AF423" i="321"/>
  <c r="AF408" i="321"/>
  <c r="AG391" i="321"/>
  <c r="AG376" i="321"/>
  <c r="AG423" i="321"/>
  <c r="AG408" i="321"/>
  <c r="AH391" i="321"/>
  <c r="AH376" i="321"/>
  <c r="AH423" i="321"/>
  <c r="AH408" i="321"/>
  <c r="AI391" i="321"/>
  <c r="AI376" i="321"/>
  <c r="AI423" i="321"/>
  <c r="AI408" i="321"/>
  <c r="AJ391" i="321"/>
  <c r="AJ376" i="321"/>
  <c r="AJ423" i="321"/>
  <c r="AJ408" i="321"/>
  <c r="AK391" i="321"/>
  <c r="AK376" i="321"/>
  <c r="AK423" i="321"/>
  <c r="AK408" i="321"/>
  <c r="AL391" i="321"/>
  <c r="AL376" i="321"/>
  <c r="AL423" i="321"/>
  <c r="AL408" i="321"/>
  <c r="AM391" i="321"/>
  <c r="AM376" i="321"/>
  <c r="AM423" i="321"/>
  <c r="AM408" i="321"/>
  <c r="AN391" i="321"/>
  <c r="AN376" i="321"/>
  <c r="AN423" i="321"/>
  <c r="AN408" i="321"/>
  <c r="AO391" i="321"/>
  <c r="AO376" i="321"/>
  <c r="AO423" i="321"/>
  <c r="AO408" i="321"/>
  <c r="AP391" i="321"/>
  <c r="AP376" i="321"/>
  <c r="AP423" i="321"/>
  <c r="AP408" i="321"/>
  <c r="AQ391" i="321"/>
  <c r="AQ376" i="321"/>
  <c r="AQ423" i="321"/>
  <c r="AQ408" i="321"/>
  <c r="AR391" i="321"/>
  <c r="AR376" i="321"/>
  <c r="AR423" i="321"/>
  <c r="AR408" i="321"/>
  <c r="AS391" i="321"/>
  <c r="AS376" i="321"/>
  <c r="AS423" i="321"/>
  <c r="AS408" i="321"/>
  <c r="AT391" i="321"/>
  <c r="AT376" i="321"/>
  <c r="AT423" i="321"/>
  <c r="AT408" i="321"/>
  <c r="AU391" i="321"/>
  <c r="AU376" i="321"/>
  <c r="AU423" i="321"/>
  <c r="AU408" i="321"/>
  <c r="AV391" i="321"/>
  <c r="AV376" i="321"/>
  <c r="AV423" i="321"/>
  <c r="AV408" i="321"/>
  <c r="AW391" i="321"/>
  <c r="AW376" i="321"/>
  <c r="AW423" i="321"/>
  <c r="AW408" i="321"/>
  <c r="AX391" i="321"/>
  <c r="AX376" i="321"/>
  <c r="AX423" i="321"/>
  <c r="AX408" i="321"/>
  <c r="AY391" i="321"/>
  <c r="AY376" i="321"/>
  <c r="AY423" i="321"/>
  <c r="AY408" i="321"/>
  <c r="AZ391" i="321"/>
  <c r="AZ376" i="321"/>
  <c r="AZ423" i="321"/>
  <c r="AZ408" i="321"/>
  <c r="BA391" i="321"/>
  <c r="BA376" i="321"/>
  <c r="BA423" i="321"/>
  <c r="BA408" i="321"/>
  <c r="BB391" i="321"/>
  <c r="BB376" i="321"/>
  <c r="BB423" i="321"/>
  <c r="BB408" i="321"/>
  <c r="BC391" i="321"/>
  <c r="BC376" i="321"/>
  <c r="BC423" i="321"/>
  <c r="BC408" i="321"/>
  <c r="BD391" i="321"/>
  <c r="BD376" i="321"/>
  <c r="BD423" i="321"/>
  <c r="BD408" i="321"/>
  <c r="BE391" i="321"/>
  <c r="BE376" i="321"/>
  <c r="BE423" i="321"/>
  <c r="BE408" i="321"/>
  <c r="BF391" i="321"/>
  <c r="BF376" i="321"/>
  <c r="BF423" i="321"/>
  <c r="BF408" i="321"/>
  <c r="BF402" i="321"/>
  <c r="BG391" i="321"/>
  <c r="BG376" i="321"/>
  <c r="BF434" i="321"/>
  <c r="BG423" i="321"/>
  <c r="BG408" i="321"/>
  <c r="BG402" i="321"/>
  <c r="BH391" i="321"/>
  <c r="BH376" i="321"/>
  <c r="BG434" i="321"/>
  <c r="BH423" i="321"/>
  <c r="BH408" i="321"/>
  <c r="BH402" i="321"/>
  <c r="BI391" i="321"/>
  <c r="BI376" i="321"/>
  <c r="BH434" i="321"/>
  <c r="BI423" i="321"/>
  <c r="BI408" i="321"/>
  <c r="BI402" i="321"/>
  <c r="BJ391" i="321"/>
  <c r="BJ376" i="321"/>
  <c r="BI434" i="321"/>
  <c r="BJ423" i="321"/>
  <c r="BJ408" i="321"/>
  <c r="BJ402" i="321"/>
  <c r="BK391" i="321"/>
  <c r="BK376" i="321"/>
  <c r="BJ434" i="321"/>
  <c r="BK423" i="321"/>
  <c r="BK408" i="321"/>
  <c r="BK402" i="321"/>
  <c r="BL391" i="321"/>
  <c r="BL376" i="321"/>
  <c r="BK434" i="321"/>
  <c r="BL423" i="321"/>
  <c r="BL408" i="321"/>
  <c r="BL402" i="321"/>
  <c r="BM391" i="321"/>
  <c r="BM376" i="321"/>
  <c r="BL434" i="321"/>
  <c r="BM423" i="321"/>
  <c r="BM408" i="321"/>
  <c r="BM402" i="321"/>
  <c r="BN391" i="321"/>
  <c r="BN376" i="321"/>
  <c r="BM434" i="321"/>
  <c r="BN423" i="321"/>
  <c r="BN408" i="321"/>
  <c r="BN402" i="321"/>
  <c r="BO391" i="321"/>
  <c r="BO376" i="321"/>
  <c r="BN434" i="321"/>
  <c r="BO423" i="321"/>
  <c r="BO408" i="321"/>
  <c r="BO402" i="321"/>
  <c r="BP391" i="321"/>
  <c r="BP376" i="321"/>
  <c r="BO434" i="321"/>
  <c r="BP423" i="321"/>
  <c r="BP408" i="321"/>
  <c r="BP402" i="321"/>
  <c r="BQ391" i="321"/>
  <c r="BQ376" i="321"/>
  <c r="BP434" i="321"/>
  <c r="BQ423" i="321"/>
  <c r="BQ408" i="321"/>
  <c r="BQ402" i="321"/>
  <c r="BR391" i="321"/>
  <c r="BR376" i="321"/>
  <c r="BQ434" i="321"/>
  <c r="BR423" i="321"/>
  <c r="BR408" i="321"/>
  <c r="BR402" i="321"/>
  <c r="BS391" i="321"/>
  <c r="BS376" i="321"/>
  <c r="BR434" i="321"/>
  <c r="BS423" i="321"/>
  <c r="BS408" i="321"/>
  <c r="BS402" i="321"/>
  <c r="BT391" i="321"/>
  <c r="BT376" i="321"/>
  <c r="BS434" i="321"/>
  <c r="BT423" i="321"/>
  <c r="BT408" i="321"/>
  <c r="BT402" i="321"/>
  <c r="BU391" i="321"/>
  <c r="BU376" i="321"/>
  <c r="BT434" i="321"/>
  <c r="BU423" i="321"/>
  <c r="BU408" i="321"/>
  <c r="BU402" i="321"/>
  <c r="BV391" i="321"/>
  <c r="BV376" i="321"/>
  <c r="BU434" i="321"/>
  <c r="BV423" i="321"/>
  <c r="BV408" i="321"/>
  <c r="BV402" i="321"/>
  <c r="BW391" i="321"/>
  <c r="BW376" i="321"/>
  <c r="BV434" i="321"/>
  <c r="BW423" i="321"/>
  <c r="BW408" i="321"/>
  <c r="BW402" i="321"/>
  <c r="BX391" i="321"/>
  <c r="BX376" i="321"/>
  <c r="BW434" i="321"/>
  <c r="BX423" i="321"/>
  <c r="BX408" i="321"/>
  <c r="BX402" i="321"/>
  <c r="BY391" i="321"/>
  <c r="BY376" i="321"/>
  <c r="BX434" i="321"/>
  <c r="BY423" i="321"/>
  <c r="BY408" i="321"/>
  <c r="BY402" i="321"/>
  <c r="BZ391" i="321"/>
  <c r="BZ376" i="321"/>
  <c r="BY434" i="321"/>
  <c r="BZ423" i="321"/>
  <c r="BZ408" i="321"/>
  <c r="BZ402" i="321"/>
  <c r="CA391" i="321"/>
  <c r="CA376" i="321"/>
  <c r="BZ434" i="321"/>
  <c r="CA423" i="321"/>
  <c r="CA408" i="321"/>
  <c r="CA402" i="321"/>
  <c r="CB391" i="321"/>
  <c r="CB376" i="321"/>
  <c r="CA434" i="321"/>
  <c r="CB423" i="321"/>
  <c r="CB408" i="321"/>
  <c r="CB402" i="321"/>
  <c r="CC391" i="321"/>
  <c r="CC376" i="321"/>
  <c r="CB434" i="321"/>
  <c r="CC423" i="321"/>
  <c r="CC408" i="321"/>
  <c r="CC402" i="321"/>
  <c r="CD391" i="321"/>
  <c r="CD376" i="321"/>
  <c r="CC434" i="321"/>
  <c r="CD423" i="321"/>
  <c r="CD408" i="321"/>
  <c r="CD402" i="321"/>
  <c r="CE391" i="321"/>
  <c r="CE376" i="321"/>
  <c r="CD434" i="321"/>
  <c r="CE423" i="321"/>
  <c r="CE408" i="321"/>
  <c r="CE402" i="321"/>
  <c r="CF391" i="321"/>
  <c r="CF376" i="321"/>
  <c r="CE434" i="321"/>
  <c r="CF423" i="321"/>
  <c r="CF408" i="321"/>
  <c r="CF402" i="321"/>
  <c r="CG391" i="321"/>
  <c r="CG376" i="321"/>
  <c r="CF434" i="321"/>
  <c r="CG423" i="321"/>
  <c r="CG408" i="321"/>
  <c r="CG402" i="321"/>
  <c r="CH391" i="321"/>
  <c r="CH376" i="321"/>
  <c r="CG434" i="321"/>
  <c r="CH423" i="321"/>
  <c r="CH408" i="321"/>
  <c r="CH402" i="321"/>
  <c r="CI391" i="321"/>
  <c r="CI376" i="321"/>
  <c r="CH434" i="321"/>
  <c r="CI423" i="321"/>
  <c r="CI408" i="321"/>
  <c r="CI402" i="321"/>
  <c r="CJ391" i="321"/>
  <c r="CJ376" i="321"/>
  <c r="CI434" i="321"/>
  <c r="CJ423" i="321"/>
  <c r="CJ408" i="321"/>
  <c r="CJ402" i="321"/>
  <c r="CK391" i="321"/>
  <c r="CK376" i="321"/>
  <c r="CJ434" i="321"/>
  <c r="CK423" i="321"/>
  <c r="CK408" i="321"/>
  <c r="CK402" i="321"/>
  <c r="CL391" i="321"/>
  <c r="CL376" i="321"/>
  <c r="CK434" i="321"/>
  <c r="CL423" i="321"/>
  <c r="CL408" i="321"/>
  <c r="CL402" i="321"/>
  <c r="CM391" i="321"/>
  <c r="CM376" i="321"/>
  <c r="CL434" i="321"/>
  <c r="CM423" i="321"/>
  <c r="CM408" i="321"/>
  <c r="CM402" i="321"/>
  <c r="CN391" i="321"/>
  <c r="CN376" i="321"/>
  <c r="CM434" i="321"/>
  <c r="CN423" i="321"/>
  <c r="CN408" i="321"/>
  <c r="CN402" i="321"/>
  <c r="CO391" i="321"/>
  <c r="CO376" i="321"/>
  <c r="CN434" i="321"/>
  <c r="CO423" i="321"/>
  <c r="CO408" i="321"/>
  <c r="CO402" i="321"/>
  <c r="CP391" i="321"/>
  <c r="CP376" i="321"/>
  <c r="CO434" i="321"/>
  <c r="CP423" i="321"/>
  <c r="CP408" i="321"/>
  <c r="CP402" i="321"/>
  <c r="CQ391" i="321"/>
  <c r="CQ376" i="321"/>
  <c r="CP434" i="321"/>
  <c r="CQ423" i="321"/>
  <c r="CQ408" i="321"/>
  <c r="CQ402" i="321"/>
  <c r="CR391" i="321"/>
  <c r="CR376" i="321"/>
  <c r="CQ434" i="321"/>
  <c r="CR423" i="321"/>
  <c r="CR408" i="321"/>
  <c r="CR402" i="321"/>
  <c r="CS391" i="321"/>
  <c r="CS376" i="321"/>
  <c r="CR434" i="321"/>
  <c r="CS423" i="321"/>
  <c r="CS408" i="321"/>
  <c r="CS402" i="321"/>
  <c r="CT391" i="321"/>
  <c r="CT376" i="321"/>
  <c r="CS434" i="321"/>
  <c r="CT423" i="321"/>
  <c r="CT408" i="321"/>
  <c r="CT402" i="321"/>
  <c r="CU391" i="321"/>
  <c r="CU376" i="321"/>
  <c r="CT434" i="321"/>
  <c r="CU423" i="321"/>
  <c r="CU408" i="321"/>
  <c r="CV179" i="321"/>
  <c r="CV291" i="321"/>
  <c r="CU402" i="321"/>
  <c r="CV391" i="321"/>
  <c r="CV376" i="321"/>
  <c r="CU434" i="321"/>
  <c r="CV423" i="321"/>
  <c r="CV408" i="321"/>
  <c r="J620" i="307"/>
  <c r="K620" i="307"/>
  <c r="L620" i="307"/>
  <c r="M620" i="307"/>
  <c r="N620" i="307"/>
  <c r="O620" i="307"/>
  <c r="P620" i="307"/>
  <c r="Q620" i="307"/>
  <c r="R620" i="307"/>
  <c r="S620" i="307"/>
  <c r="T620" i="307"/>
  <c r="U620" i="307"/>
  <c r="V620" i="307"/>
  <c r="W620" i="307"/>
  <c r="X620" i="307"/>
  <c r="Y620" i="307"/>
  <c r="Z620" i="307"/>
  <c r="AA620" i="307"/>
  <c r="AB620" i="307"/>
  <c r="AC620" i="307"/>
  <c r="AD620" i="307"/>
  <c r="AE620" i="307"/>
  <c r="AF620" i="307"/>
  <c r="AG620" i="307"/>
  <c r="AH620" i="307"/>
  <c r="AI620" i="307"/>
  <c r="AJ620" i="307"/>
  <c r="AK620" i="307"/>
  <c r="AL620" i="307"/>
  <c r="AM620" i="307"/>
  <c r="AN620" i="307"/>
  <c r="AO620" i="307"/>
  <c r="AP620" i="307"/>
  <c r="AQ620" i="307"/>
  <c r="AR620" i="307"/>
  <c r="AS620" i="307"/>
  <c r="AT620" i="307"/>
  <c r="AU620" i="307"/>
  <c r="AV620" i="307"/>
  <c r="AW620" i="307"/>
  <c r="AX620" i="307"/>
  <c r="AY620" i="307"/>
  <c r="AZ620" i="307"/>
  <c r="BA620" i="307"/>
  <c r="BB620" i="307"/>
  <c r="BC620" i="307"/>
  <c r="BD620" i="307"/>
  <c r="BE620" i="307"/>
  <c r="J60" i="265"/>
  <c r="J61" i="265"/>
  <c r="J84" i="265"/>
  <c r="J477" i="321"/>
  <c r="F83" i="282"/>
  <c r="K579" i="321"/>
  <c r="K598" i="321"/>
  <c r="K707" i="321"/>
  <c r="L579" i="321"/>
  <c r="L598" i="321"/>
  <c r="L707" i="321"/>
  <c r="M579" i="321"/>
  <c r="M598" i="321"/>
  <c r="M707" i="321"/>
  <c r="N579" i="321"/>
  <c r="N598" i="321"/>
  <c r="N707" i="321"/>
  <c r="P579" i="321"/>
  <c r="P598" i="321"/>
  <c r="P707" i="321"/>
  <c r="E70" i="277"/>
  <c r="F70" i="277"/>
  <c r="G70" i="277"/>
  <c r="I70" i="277"/>
  <c r="E68" i="277"/>
  <c r="F68" i="277"/>
  <c r="G68" i="277"/>
  <c r="I68" i="277"/>
  <c r="E18" i="277"/>
  <c r="F18" i="277"/>
  <c r="G18" i="277"/>
  <c r="I18" i="277"/>
  <c r="E20" i="277"/>
  <c r="F20" i="277"/>
  <c r="G20" i="277"/>
  <c r="I20" i="277"/>
  <c r="I4" i="48"/>
  <c r="F197" i="48"/>
  <c r="F229" i="48"/>
  <c r="F198" i="48"/>
  <c r="F9" i="304"/>
  <c r="J13" i="304"/>
  <c r="I136" i="273"/>
  <c r="F18" i="48"/>
  <c r="F71" i="305"/>
  <c r="F19" i="48"/>
  <c r="F72" i="305"/>
  <c r="F73" i="305"/>
  <c r="F127" i="273"/>
  <c r="F128" i="273"/>
  <c r="F135" i="273"/>
  <c r="J10" i="273"/>
  <c r="J13" i="273"/>
  <c r="J14" i="273"/>
  <c r="J19" i="273"/>
  <c r="F13" i="48"/>
  <c r="F17" i="273"/>
  <c r="J20" i="273"/>
  <c r="J24" i="273"/>
  <c r="F16" i="48"/>
  <c r="F23" i="273"/>
  <c r="J25" i="273"/>
  <c r="J136" i="273"/>
  <c r="J137" i="273"/>
  <c r="J143" i="273"/>
  <c r="I144" i="273"/>
  <c r="J145" i="273"/>
  <c r="J207" i="273"/>
  <c r="I176" i="273"/>
  <c r="F167" i="273"/>
  <c r="F168" i="273"/>
  <c r="F175" i="273"/>
  <c r="J176" i="273"/>
  <c r="J177" i="273"/>
  <c r="J183" i="273"/>
  <c r="I184" i="273"/>
  <c r="J185" i="273"/>
  <c r="J208" i="273"/>
  <c r="J209" i="273"/>
  <c r="G6" i="325"/>
  <c r="F16" i="325"/>
  <c r="F228" i="48"/>
  <c r="J245" i="273"/>
  <c r="J244" i="273"/>
  <c r="J246" i="273"/>
  <c r="I89" i="273"/>
  <c r="J90" i="273"/>
  <c r="J104" i="273"/>
  <c r="I105" i="273"/>
  <c r="J106" i="273"/>
  <c r="F401" i="48"/>
  <c r="J633" i="307"/>
  <c r="J10" i="305"/>
  <c r="J13" i="305"/>
  <c r="J14" i="305"/>
  <c r="J54" i="305"/>
  <c r="J56" i="305"/>
  <c r="J634" i="307"/>
  <c r="F171" i="48"/>
  <c r="F303" i="307"/>
  <c r="J314" i="307"/>
  <c r="J305" i="307"/>
  <c r="F299" i="307"/>
  <c r="F371" i="48"/>
  <c r="F45" i="307"/>
  <c r="J53" i="307"/>
  <c r="J46" i="307"/>
  <c r="J47" i="307"/>
  <c r="J49" i="307"/>
  <c r="J152" i="306"/>
  <c r="F384" i="48"/>
  <c r="F151" i="306"/>
  <c r="J154" i="306"/>
  <c r="J156" i="306"/>
  <c r="I67" i="305"/>
  <c r="J68" i="305"/>
  <c r="J80" i="305"/>
  <c r="I81" i="305"/>
  <c r="J82" i="305"/>
  <c r="J157" i="306"/>
  <c r="J158" i="306"/>
  <c r="J216" i="306"/>
  <c r="J197" i="306"/>
  <c r="F385" i="48"/>
  <c r="F196" i="306"/>
  <c r="J199" i="306"/>
  <c r="J201" i="306"/>
  <c r="J202" i="306"/>
  <c r="J203" i="306"/>
  <c r="J209" i="306"/>
  <c r="J205" i="306"/>
  <c r="J206" i="306"/>
  <c r="J207" i="306"/>
  <c r="J210" i="306"/>
  <c r="J211" i="306"/>
  <c r="J217" i="306"/>
  <c r="J218" i="306"/>
  <c r="J221" i="306"/>
  <c r="F44" i="48"/>
  <c r="F220" i="306"/>
  <c r="J222" i="306"/>
  <c r="J68" i="307"/>
  <c r="J69" i="307" s="1"/>
  <c r="F63" i="307"/>
  <c r="F153" i="48"/>
  <c r="F61" i="307"/>
  <c r="J88" i="307"/>
  <c r="J72" i="307"/>
  <c r="I63" i="305"/>
  <c r="F62" i="305"/>
  <c r="J18" i="305"/>
  <c r="F17" i="305"/>
  <c r="J19" i="305"/>
  <c r="J22" i="305"/>
  <c r="J23" i="305"/>
  <c r="J63" i="305"/>
  <c r="J64" i="305"/>
  <c r="J73" i="307"/>
  <c r="J74" i="307"/>
  <c r="J103" i="307"/>
  <c r="J104" i="307" s="1"/>
  <c r="J114" i="307" s="1"/>
  <c r="J116" i="307" s="1"/>
  <c r="F98" i="307"/>
  <c r="F96" i="307"/>
  <c r="I111" i="307"/>
  <c r="J310" i="307"/>
  <c r="K10" i="305"/>
  <c r="K13" i="305"/>
  <c r="K14" i="305"/>
  <c r="K54" i="305"/>
  <c r="J55" i="305"/>
  <c r="F53" i="305"/>
  <c r="K56" i="305"/>
  <c r="K634" i="307"/>
  <c r="L10" i="305"/>
  <c r="L13" i="305"/>
  <c r="L14" i="305"/>
  <c r="L54" i="305"/>
  <c r="K55" i="305"/>
  <c r="L56" i="305"/>
  <c r="L634" i="307"/>
  <c r="M10" i="305"/>
  <c r="M13" i="305"/>
  <c r="M14" i="305"/>
  <c r="M54" i="305"/>
  <c r="L55" i="305"/>
  <c r="M56" i="305"/>
  <c r="M634" i="307"/>
  <c r="N10" i="305"/>
  <c r="N13" i="305"/>
  <c r="N14" i="305"/>
  <c r="N54" i="305"/>
  <c r="M55" i="305"/>
  <c r="N56" i="305"/>
  <c r="N634" i="307"/>
  <c r="O10" i="305"/>
  <c r="O13" i="305"/>
  <c r="O14" i="305"/>
  <c r="O54" i="305"/>
  <c r="N55" i="305"/>
  <c r="O56" i="305"/>
  <c r="O634" i="307"/>
  <c r="P10" i="305"/>
  <c r="P13" i="305"/>
  <c r="P14" i="305"/>
  <c r="P54" i="305"/>
  <c r="O55" i="305"/>
  <c r="P56" i="305"/>
  <c r="P634" i="307"/>
  <c r="Q10" i="305"/>
  <c r="Q13" i="305"/>
  <c r="Q14" i="305"/>
  <c r="Q54" i="305"/>
  <c r="P55" i="305"/>
  <c r="Q56" i="305"/>
  <c r="Q634" i="307"/>
  <c r="R10" i="305"/>
  <c r="R13" i="305"/>
  <c r="R14" i="305"/>
  <c r="R54" i="305"/>
  <c r="Q55" i="305"/>
  <c r="R56" i="305"/>
  <c r="R634" i="307"/>
  <c r="S10" i="305"/>
  <c r="S13" i="305"/>
  <c r="S14" i="305"/>
  <c r="S54" i="305"/>
  <c r="R55" i="305"/>
  <c r="S56" i="305"/>
  <c r="S634" i="307"/>
  <c r="T10" i="305"/>
  <c r="T13" i="305"/>
  <c r="T14" i="305"/>
  <c r="T54" i="305"/>
  <c r="S55" i="305"/>
  <c r="T56" i="305"/>
  <c r="T634" i="307"/>
  <c r="U10" i="305"/>
  <c r="U13" i="305"/>
  <c r="U14" i="305"/>
  <c r="U54" i="305"/>
  <c r="T55" i="305"/>
  <c r="U56" i="305"/>
  <c r="U634" i="307"/>
  <c r="V10" i="305"/>
  <c r="V13" i="305"/>
  <c r="V14" i="305"/>
  <c r="V54" i="305"/>
  <c r="U55" i="305"/>
  <c r="V56" i="305"/>
  <c r="V634" i="307"/>
  <c r="W10" i="305"/>
  <c r="W13" i="305"/>
  <c r="W14" i="305"/>
  <c r="W54" i="305"/>
  <c r="V55" i="305"/>
  <c r="W56" i="305"/>
  <c r="W634" i="307"/>
  <c r="X10" i="305"/>
  <c r="X13" i="305"/>
  <c r="X14" i="305"/>
  <c r="X54" i="305"/>
  <c r="W55" i="305"/>
  <c r="X56" i="305"/>
  <c r="X634" i="307"/>
  <c r="Y10" i="305"/>
  <c r="Y13" i="305"/>
  <c r="Y14" i="305"/>
  <c r="Y54" i="305"/>
  <c r="X55" i="305"/>
  <c r="Y56" i="305"/>
  <c r="Y634" i="307"/>
  <c r="Z10" i="305"/>
  <c r="Z13" i="305"/>
  <c r="Z14" i="305"/>
  <c r="Z54" i="305"/>
  <c r="Y55" i="305"/>
  <c r="Z56" i="305"/>
  <c r="Z634" i="307"/>
  <c r="AA10" i="305"/>
  <c r="AA13" i="305"/>
  <c r="AA14" i="305"/>
  <c r="AA54" i="305"/>
  <c r="Z55" i="305"/>
  <c r="AA56" i="305"/>
  <c r="AA634" i="307"/>
  <c r="AB10" i="305"/>
  <c r="AB13" i="305"/>
  <c r="AB14" i="305"/>
  <c r="AB54" i="305"/>
  <c r="AA55" i="305"/>
  <c r="AB56" i="305"/>
  <c r="AB634" i="307"/>
  <c r="AC10" i="305"/>
  <c r="AC13" i="305"/>
  <c r="AC14" i="305"/>
  <c r="AC54" i="305"/>
  <c r="AB55" i="305"/>
  <c r="AC56" i="305"/>
  <c r="AC634" i="307"/>
  <c r="AD10" i="305"/>
  <c r="AD13" i="305"/>
  <c r="AD14" i="305"/>
  <c r="AD54" i="305"/>
  <c r="AC55" i="305"/>
  <c r="AD56" i="305"/>
  <c r="AD634" i="307"/>
  <c r="AE10" i="305"/>
  <c r="AE13" i="305"/>
  <c r="AE14" i="305"/>
  <c r="AE54" i="305"/>
  <c r="AD55" i="305"/>
  <c r="AE56" i="305"/>
  <c r="AE634" i="307"/>
  <c r="AF10" i="305"/>
  <c r="AF13" i="305"/>
  <c r="AF14" i="305"/>
  <c r="AF54" i="305"/>
  <c r="AE55" i="305"/>
  <c r="AF56" i="305"/>
  <c r="AF634" i="307"/>
  <c r="AG10" i="305"/>
  <c r="AG13" i="305"/>
  <c r="AG14" i="305"/>
  <c r="AG54" i="305"/>
  <c r="AF55" i="305"/>
  <c r="AG56" i="305"/>
  <c r="AG634" i="307"/>
  <c r="AH10" i="305"/>
  <c r="AH13" i="305"/>
  <c r="AH14" i="305"/>
  <c r="AH54" i="305"/>
  <c r="AG55" i="305"/>
  <c r="AH56" i="305"/>
  <c r="AH634" i="307"/>
  <c r="AI10" i="305"/>
  <c r="AI13" i="305"/>
  <c r="AI14" i="305"/>
  <c r="AI54" i="305"/>
  <c r="AH55" i="305"/>
  <c r="AI56" i="305"/>
  <c r="AI634" i="307"/>
  <c r="AJ10" i="305"/>
  <c r="AJ13" i="305"/>
  <c r="AJ14" i="305"/>
  <c r="AJ54" i="305"/>
  <c r="AI55" i="305"/>
  <c r="AJ56" i="305"/>
  <c r="AJ634" i="307"/>
  <c r="AK10" i="305"/>
  <c r="AK13" i="305"/>
  <c r="AK14" i="305"/>
  <c r="AK54" i="305"/>
  <c r="AJ55" i="305"/>
  <c r="AK56" i="305"/>
  <c r="AK634" i="307"/>
  <c r="AL10" i="305"/>
  <c r="AL13" i="305"/>
  <c r="AL14" i="305"/>
  <c r="AL54" i="305"/>
  <c r="AK55" i="305"/>
  <c r="AL56" i="305"/>
  <c r="AL634" i="307"/>
  <c r="AM10" i="305"/>
  <c r="AM13" i="305"/>
  <c r="AM14" i="305"/>
  <c r="AM54" i="305"/>
  <c r="AL55" i="305"/>
  <c r="AM56" i="305"/>
  <c r="AM634" i="307"/>
  <c r="AN10" i="305"/>
  <c r="AN13" i="305"/>
  <c r="AN14" i="305"/>
  <c r="AN54" i="305"/>
  <c r="AM55" i="305"/>
  <c r="AN56" i="305"/>
  <c r="AN634" i="307"/>
  <c r="AO10" i="305"/>
  <c r="AO13" i="305"/>
  <c r="AO14" i="305"/>
  <c r="AO54" i="305"/>
  <c r="AN55" i="305"/>
  <c r="AO56" i="305"/>
  <c r="AO634" i="307"/>
  <c r="AP10" i="305"/>
  <c r="AP13" i="305"/>
  <c r="AP14" i="305"/>
  <c r="AP54" i="305"/>
  <c r="AO55" i="305"/>
  <c r="AP56" i="305"/>
  <c r="AP634" i="307"/>
  <c r="AQ10" i="305"/>
  <c r="AQ13" i="305"/>
  <c r="AQ14" i="305"/>
  <c r="AQ54" i="305"/>
  <c r="AP55" i="305"/>
  <c r="AQ56" i="305"/>
  <c r="AQ634" i="307"/>
  <c r="AR10" i="305"/>
  <c r="AR13" i="305"/>
  <c r="AR14" i="305"/>
  <c r="AR54" i="305"/>
  <c r="AQ55" i="305"/>
  <c r="AR56" i="305"/>
  <c r="AR634" i="307"/>
  <c r="AS10" i="305"/>
  <c r="AS13" i="305"/>
  <c r="AS14" i="305"/>
  <c r="AS54" i="305"/>
  <c r="AR55" i="305"/>
  <c r="AS56" i="305"/>
  <c r="AS634" i="307"/>
  <c r="AT10" i="305"/>
  <c r="AT13" i="305"/>
  <c r="AT14" i="305"/>
  <c r="AT54" i="305"/>
  <c r="AS55" i="305"/>
  <c r="AT56" i="305"/>
  <c r="AT634" i="307"/>
  <c r="AU10" i="305"/>
  <c r="AU13" i="305"/>
  <c r="AU14" i="305"/>
  <c r="AU54" i="305"/>
  <c r="AT55" i="305"/>
  <c r="AU56" i="305"/>
  <c r="AU634" i="307"/>
  <c r="AV10" i="305"/>
  <c r="AV13" i="305"/>
  <c r="AV14" i="305"/>
  <c r="AV54" i="305"/>
  <c r="AU55" i="305"/>
  <c r="AV56" i="305"/>
  <c r="AV634" i="307"/>
  <c r="AW10" i="305"/>
  <c r="AW13" i="305"/>
  <c r="AW14" i="305"/>
  <c r="AW54" i="305"/>
  <c r="AV55" i="305"/>
  <c r="AW56" i="305"/>
  <c r="AW634" i="307"/>
  <c r="AX10" i="305"/>
  <c r="AX13" i="305"/>
  <c r="AX14" i="305"/>
  <c r="AX54" i="305"/>
  <c r="AW55" i="305"/>
  <c r="AX56" i="305"/>
  <c r="AX634" i="307"/>
  <c r="AY10" i="305"/>
  <c r="AY13" i="305"/>
  <c r="AY14" i="305"/>
  <c r="AY54" i="305"/>
  <c r="AX55" i="305"/>
  <c r="AY56" i="305"/>
  <c r="AY634" i="307"/>
  <c r="AZ10" i="305"/>
  <c r="AZ13" i="305"/>
  <c r="AZ14" i="305"/>
  <c r="AZ54" i="305"/>
  <c r="AY55" i="305"/>
  <c r="AZ56" i="305"/>
  <c r="AZ634" i="307"/>
  <c r="BA10" i="305"/>
  <c r="BA13" i="305"/>
  <c r="BA14" i="305"/>
  <c r="BA54" i="305"/>
  <c r="AZ55" i="305"/>
  <c r="BA56" i="305"/>
  <c r="BA634" i="307"/>
  <c r="BB10" i="305"/>
  <c r="BB13" i="305"/>
  <c r="BB14" i="305"/>
  <c r="BB54" i="305"/>
  <c r="BA55" i="305"/>
  <c r="BB56" i="305"/>
  <c r="BB634" i="307"/>
  <c r="BC10" i="305"/>
  <c r="BC13" i="305"/>
  <c r="BC14" i="305"/>
  <c r="BC54" i="305"/>
  <c r="BB55" i="305"/>
  <c r="BC56" i="305"/>
  <c r="BC634" i="307"/>
  <c r="BD10" i="305"/>
  <c r="BD13" i="305"/>
  <c r="BD14" i="305"/>
  <c r="BD54" i="305"/>
  <c r="BC55" i="305"/>
  <c r="BD56" i="305"/>
  <c r="BD634" i="307"/>
  <c r="BE10" i="305"/>
  <c r="BE13" i="305"/>
  <c r="BE14" i="305"/>
  <c r="BE54" i="305"/>
  <c r="BD55" i="305"/>
  <c r="BE56" i="305"/>
  <c r="BE634" i="307"/>
  <c r="K152" i="306"/>
  <c r="F46" i="48"/>
  <c r="F146" i="306"/>
  <c r="F143" i="306"/>
  <c r="F145" i="306"/>
  <c r="J85" i="305"/>
  <c r="J86" i="305"/>
  <c r="J140" i="306"/>
  <c r="F15" i="325"/>
  <c r="F112" i="306"/>
  <c r="J141" i="306"/>
  <c r="J147" i="306"/>
  <c r="F144" i="306"/>
  <c r="J148" i="306"/>
  <c r="J149" i="306"/>
  <c r="J153" i="306"/>
  <c r="K154" i="306"/>
  <c r="K156" i="306"/>
  <c r="J67" i="305"/>
  <c r="K68" i="305"/>
  <c r="K80" i="305"/>
  <c r="I76" i="305"/>
  <c r="F75" i="305"/>
  <c r="J76" i="305"/>
  <c r="J77" i="305"/>
  <c r="J81" i="305"/>
  <c r="K82" i="305"/>
  <c r="K157" i="306"/>
  <c r="K158" i="306"/>
  <c r="K216" i="306"/>
  <c r="K197" i="306"/>
  <c r="J192" i="306"/>
  <c r="J193" i="306"/>
  <c r="F14" i="325"/>
  <c r="F164" i="306"/>
  <c r="J194" i="306"/>
  <c r="J198" i="306"/>
  <c r="K199" i="306"/>
  <c r="K201" i="306"/>
  <c r="K202" i="306"/>
  <c r="K203" i="306"/>
  <c r="K209" i="306"/>
  <c r="K205" i="306"/>
  <c r="K206" i="306"/>
  <c r="K207" i="306"/>
  <c r="K210" i="306"/>
  <c r="K211" i="306"/>
  <c r="K217" i="306"/>
  <c r="K218" i="306"/>
  <c r="K221" i="306"/>
  <c r="K222" i="306"/>
  <c r="K68" i="307"/>
  <c r="K69" i="307" s="1"/>
  <c r="F159" i="48"/>
  <c r="F212" i="307"/>
  <c r="J119" i="307"/>
  <c r="J213" i="307"/>
  <c r="J148" i="307"/>
  <c r="F165" i="48"/>
  <c r="F140" i="307"/>
  <c r="J137" i="307"/>
  <c r="F134" i="307"/>
  <c r="J138" i="307"/>
  <c r="J142" i="307"/>
  <c r="F157" i="48"/>
  <c r="F141" i="307"/>
  <c r="J96" i="305"/>
  <c r="J95" i="305"/>
  <c r="J97" i="305"/>
  <c r="J143" i="307"/>
  <c r="J144" i="307"/>
  <c r="J145" i="307"/>
  <c r="J147" i="307"/>
  <c r="J149" i="307"/>
  <c r="J150" i="307"/>
  <c r="J156" i="307"/>
  <c r="F155" i="48"/>
  <c r="F152" i="307"/>
  <c r="J153" i="307"/>
  <c r="J154" i="307"/>
  <c r="J157" i="307"/>
  <c r="J158" i="307"/>
  <c r="J205" i="307"/>
  <c r="F167" i="48"/>
  <c r="F161" i="307"/>
  <c r="J163" i="307"/>
  <c r="J164" i="307" s="1"/>
  <c r="F166" i="307"/>
  <c r="J178" i="307"/>
  <c r="J179" i="307" s="1"/>
  <c r="J184" i="307" s="1"/>
  <c r="J176" i="307"/>
  <c r="J186" i="307"/>
  <c r="F181" i="307"/>
  <c r="F168" i="48"/>
  <c r="F182" i="307"/>
  <c r="F183" i="307"/>
  <c r="J185" i="307"/>
  <c r="F189" i="307"/>
  <c r="J216" i="307"/>
  <c r="K18" i="305"/>
  <c r="K19" i="305"/>
  <c r="K22" i="305"/>
  <c r="K23" i="305"/>
  <c r="K63" i="305"/>
  <c r="K64" i="305"/>
  <c r="K73" i="307"/>
  <c r="K74" i="307"/>
  <c r="K103" i="307"/>
  <c r="K104" i="307" s="1"/>
  <c r="K114" i="307" s="1"/>
  <c r="K310" i="307"/>
  <c r="L152" i="306"/>
  <c r="K85" i="305"/>
  <c r="K86" i="305"/>
  <c r="K140" i="306"/>
  <c r="K141" i="306"/>
  <c r="K147" i="306"/>
  <c r="K148" i="306"/>
  <c r="K149" i="306"/>
  <c r="K153" i="306"/>
  <c r="L154" i="306"/>
  <c r="L156" i="306"/>
  <c r="K67" i="305"/>
  <c r="L68" i="305"/>
  <c r="L80" i="305"/>
  <c r="K76" i="305"/>
  <c r="K77" i="305"/>
  <c r="K81" i="305"/>
  <c r="L82" i="305"/>
  <c r="L157" i="306"/>
  <c r="L158" i="306"/>
  <c r="L216" i="306"/>
  <c r="L197" i="306"/>
  <c r="K192" i="306"/>
  <c r="K193" i="306"/>
  <c r="K194" i="306"/>
  <c r="K198" i="306"/>
  <c r="L199" i="306"/>
  <c r="L201" i="306"/>
  <c r="L202" i="306"/>
  <c r="L203" i="306"/>
  <c r="L209" i="306"/>
  <c r="L205" i="306"/>
  <c r="L206" i="306"/>
  <c r="L207" i="306"/>
  <c r="L210" i="306"/>
  <c r="L211" i="306"/>
  <c r="L217" i="306"/>
  <c r="L218" i="306"/>
  <c r="L221" i="306"/>
  <c r="L222" i="306"/>
  <c r="L68" i="307"/>
  <c r="L69" i="307" s="1"/>
  <c r="J121" i="307"/>
  <c r="K137" i="307"/>
  <c r="K138" i="307" s="1"/>
  <c r="K142" i="307" s="1"/>
  <c r="K96" i="305"/>
  <c r="K95" i="305"/>
  <c r="K97" i="305"/>
  <c r="K143" i="307"/>
  <c r="K144" i="307"/>
  <c r="K149" i="307"/>
  <c r="K163" i="307"/>
  <c r="K164" i="307" s="1"/>
  <c r="K178" i="307"/>
  <c r="K186" i="307"/>
  <c r="K185" i="307"/>
  <c r="K216" i="307"/>
  <c r="L18" i="305"/>
  <c r="L19" i="305"/>
  <c r="L22" i="305"/>
  <c r="L23" i="305"/>
  <c r="L63" i="305"/>
  <c r="L64" i="305"/>
  <c r="L73" i="307"/>
  <c r="L74" i="307"/>
  <c r="L103" i="307"/>
  <c r="L104" i="307" s="1"/>
  <c r="L114" i="307" s="1"/>
  <c r="L310" i="307"/>
  <c r="M152" i="306"/>
  <c r="L85" i="305"/>
  <c r="L86" i="305"/>
  <c r="L140" i="306"/>
  <c r="L141" i="306"/>
  <c r="L147" i="306"/>
  <c r="L148" i="306"/>
  <c r="L149" i="306"/>
  <c r="L153" i="306"/>
  <c r="M154" i="306"/>
  <c r="M156" i="306"/>
  <c r="L67" i="305"/>
  <c r="M68" i="305"/>
  <c r="M80" i="305"/>
  <c r="L76" i="305"/>
  <c r="L77" i="305"/>
  <c r="L81" i="305"/>
  <c r="M82" i="305"/>
  <c r="M157" i="306"/>
  <c r="M158" i="306"/>
  <c r="M216" i="306"/>
  <c r="M197" i="306"/>
  <c r="L192" i="306"/>
  <c r="L193" i="306"/>
  <c r="L194" i="306"/>
  <c r="L198" i="306"/>
  <c r="M199" i="306"/>
  <c r="M201" i="306"/>
  <c r="M202" i="306"/>
  <c r="M203" i="306"/>
  <c r="M209" i="306"/>
  <c r="M205" i="306"/>
  <c r="M206" i="306"/>
  <c r="M207" i="306"/>
  <c r="M210" i="306"/>
  <c r="M211" i="306"/>
  <c r="M217" i="306"/>
  <c r="M218" i="306"/>
  <c r="M221" i="306"/>
  <c r="M222" i="306"/>
  <c r="M68" i="307"/>
  <c r="M69" i="307" s="1"/>
  <c r="L137" i="307"/>
  <c r="L138" i="307" s="1"/>
  <c r="L142" i="307" s="1"/>
  <c r="L96" i="305"/>
  <c r="L95" i="305"/>
  <c r="L97" i="305"/>
  <c r="L143" i="307"/>
  <c r="L144" i="307"/>
  <c r="L149" i="307"/>
  <c r="L163" i="307"/>
  <c r="L164" i="307" s="1"/>
  <c r="L178" i="307"/>
  <c r="L186" i="307"/>
  <c r="L185" i="307"/>
  <c r="L216" i="307"/>
  <c r="M18" i="305"/>
  <c r="M19" i="305"/>
  <c r="M22" i="305"/>
  <c r="M23" i="305"/>
  <c r="M63" i="305"/>
  <c r="M64" i="305"/>
  <c r="M73" i="307"/>
  <c r="M74" i="307"/>
  <c r="M103" i="307"/>
  <c r="M104" i="307" s="1"/>
  <c r="M114" i="307" s="1"/>
  <c r="M310" i="307"/>
  <c r="N152" i="306"/>
  <c r="M85" i="305"/>
  <c r="M86" i="305"/>
  <c r="M140" i="306"/>
  <c r="M141" i="306"/>
  <c r="M147" i="306"/>
  <c r="M148" i="306"/>
  <c r="M149" i="306"/>
  <c r="M153" i="306"/>
  <c r="N154" i="306"/>
  <c r="N156" i="306"/>
  <c r="M67" i="305"/>
  <c r="N68" i="305"/>
  <c r="N80" i="305"/>
  <c r="M76" i="305"/>
  <c r="M77" i="305"/>
  <c r="M81" i="305"/>
  <c r="N82" i="305"/>
  <c r="N157" i="306"/>
  <c r="N158" i="306"/>
  <c r="N216" i="306"/>
  <c r="N197" i="306"/>
  <c r="M192" i="306"/>
  <c r="M193" i="306"/>
  <c r="M194" i="306"/>
  <c r="M198" i="306"/>
  <c r="N199" i="306"/>
  <c r="N201" i="306"/>
  <c r="N202" i="306"/>
  <c r="N203" i="306"/>
  <c r="N209" i="306"/>
  <c r="N205" i="306"/>
  <c r="N206" i="306"/>
  <c r="N207" i="306"/>
  <c r="N210" i="306"/>
  <c r="N211" i="306"/>
  <c r="N217" i="306"/>
  <c r="N218" i="306"/>
  <c r="N221" i="306"/>
  <c r="N222" i="306"/>
  <c r="N68" i="307"/>
  <c r="N69" i="307" s="1"/>
  <c r="M137" i="307"/>
  <c r="M138" i="307" s="1"/>
  <c r="M142" i="307" s="1"/>
  <c r="M96" i="305"/>
  <c r="M95" i="305"/>
  <c r="M97" i="305"/>
  <c r="M143" i="307"/>
  <c r="M144" i="307"/>
  <c r="M149" i="307"/>
  <c r="M163" i="307"/>
  <c r="M164" i="307" s="1"/>
  <c r="M178" i="307"/>
  <c r="M186" i="307"/>
  <c r="M185" i="307"/>
  <c r="M216" i="307"/>
  <c r="N18" i="305"/>
  <c r="N19" i="305"/>
  <c r="N22" i="305"/>
  <c r="N23" i="305"/>
  <c r="N63" i="305"/>
  <c r="N64" i="305"/>
  <c r="N73" i="307"/>
  <c r="N74" i="307"/>
  <c r="N103" i="307"/>
  <c r="N104" i="307" s="1"/>
  <c r="N114" i="307" s="1"/>
  <c r="N310" i="307"/>
  <c r="O152" i="306"/>
  <c r="N85" i="305"/>
  <c r="N86" i="305"/>
  <c r="N140" i="306"/>
  <c r="F43" i="48"/>
  <c r="F111" i="306"/>
  <c r="F48" i="48"/>
  <c r="F114" i="306"/>
  <c r="N141" i="306"/>
  <c r="N147" i="306"/>
  <c r="N148" i="306"/>
  <c r="N149" i="306"/>
  <c r="N153" i="306"/>
  <c r="O154" i="306"/>
  <c r="O156" i="306"/>
  <c r="N67" i="305"/>
  <c r="O68" i="305"/>
  <c r="O80" i="305"/>
  <c r="N76" i="305"/>
  <c r="N77" i="305"/>
  <c r="N81" i="305"/>
  <c r="O82" i="305"/>
  <c r="O157" i="306"/>
  <c r="O158" i="306"/>
  <c r="O216" i="306"/>
  <c r="O197" i="306"/>
  <c r="N192" i="306"/>
  <c r="F163" i="306"/>
  <c r="F86" i="48"/>
  <c r="F166" i="306"/>
  <c r="N193" i="306"/>
  <c r="N194" i="306"/>
  <c r="N198" i="306"/>
  <c r="O199" i="306"/>
  <c r="O201" i="306"/>
  <c r="O202" i="306"/>
  <c r="O203" i="306"/>
  <c r="O209" i="306"/>
  <c r="O205" i="306"/>
  <c r="O206" i="306"/>
  <c r="O207" i="306"/>
  <c r="O210" i="306"/>
  <c r="O211" i="306"/>
  <c r="O217" i="306"/>
  <c r="O218" i="306"/>
  <c r="O221" i="306"/>
  <c r="O222" i="306"/>
  <c r="O68" i="307"/>
  <c r="O69" i="307" s="1"/>
  <c r="N137" i="307"/>
  <c r="N130" i="307"/>
  <c r="F162" i="48"/>
  <c r="F128" i="307"/>
  <c r="F163" i="48"/>
  <c r="F133" i="307"/>
  <c r="F14" i="309"/>
  <c r="N18" i="309"/>
  <c r="N136" i="307"/>
  <c r="N96" i="305"/>
  <c r="N95" i="305"/>
  <c r="N97" i="305"/>
  <c r="N143" i="307"/>
  <c r="N144" i="307"/>
  <c r="N149" i="307"/>
  <c r="N163" i="307"/>
  <c r="N164" i="307" s="1"/>
  <c r="N178" i="307"/>
  <c r="N186" i="307"/>
  <c r="N185" i="307"/>
  <c r="N216" i="307"/>
  <c r="O18" i="305"/>
  <c r="O19" i="305"/>
  <c r="O22" i="305"/>
  <c r="O23" i="305"/>
  <c r="O63" i="305"/>
  <c r="O64" i="305"/>
  <c r="O73" i="307"/>
  <c r="O74" i="307"/>
  <c r="O103" i="307"/>
  <c r="O104" i="307" s="1"/>
  <c r="O114" i="307" s="1"/>
  <c r="O310" i="307"/>
  <c r="P152" i="306"/>
  <c r="O85" i="305"/>
  <c r="O86" i="305"/>
  <c r="O140" i="306"/>
  <c r="F49" i="48"/>
  <c r="F115" i="306"/>
  <c r="O141" i="306"/>
  <c r="O147" i="306"/>
  <c r="O148" i="306"/>
  <c r="O149" i="306"/>
  <c r="O153" i="306"/>
  <c r="P154" i="306"/>
  <c r="P156" i="306"/>
  <c r="O67" i="305"/>
  <c r="P68" i="305"/>
  <c r="P80" i="305"/>
  <c r="O76" i="305"/>
  <c r="O77" i="305"/>
  <c r="O81" i="305"/>
  <c r="P82" i="305"/>
  <c r="P157" i="306"/>
  <c r="P158" i="306"/>
  <c r="P216" i="306"/>
  <c r="P197" i="306"/>
  <c r="O192" i="306"/>
  <c r="F87" i="48"/>
  <c r="F167" i="306"/>
  <c r="O193" i="306"/>
  <c r="O194" i="306"/>
  <c r="O198" i="306"/>
  <c r="P199" i="306"/>
  <c r="P201" i="306"/>
  <c r="P202" i="306"/>
  <c r="P203" i="306"/>
  <c r="P209" i="306"/>
  <c r="P205" i="306"/>
  <c r="P206" i="306"/>
  <c r="P207" i="306"/>
  <c r="P210" i="306"/>
  <c r="P211" i="306"/>
  <c r="P217" i="306"/>
  <c r="P218" i="306"/>
  <c r="P221" i="306"/>
  <c r="P222" i="306"/>
  <c r="P68" i="307"/>
  <c r="P69" i="307" s="1"/>
  <c r="O137" i="307"/>
  <c r="O130" i="307"/>
  <c r="O18" i="309"/>
  <c r="O136" i="307"/>
  <c r="O96" i="305"/>
  <c r="O95" i="305"/>
  <c r="O97" i="305"/>
  <c r="O143" i="307"/>
  <c r="O144" i="307"/>
  <c r="O149" i="307"/>
  <c r="O163" i="307"/>
  <c r="O164" i="307" s="1"/>
  <c r="O178" i="307"/>
  <c r="O186" i="307"/>
  <c r="O185" i="307"/>
  <c r="O216" i="307"/>
  <c r="P18" i="305"/>
  <c r="P19" i="305"/>
  <c r="P22" i="305"/>
  <c r="P23" i="305"/>
  <c r="P63" i="305"/>
  <c r="P64" i="305"/>
  <c r="P73" i="307"/>
  <c r="P74" i="307"/>
  <c r="P103" i="307"/>
  <c r="P104" i="307" s="1"/>
  <c r="P114" i="307" s="1"/>
  <c r="P310" i="307"/>
  <c r="Q152" i="306"/>
  <c r="P85" i="305"/>
  <c r="P86" i="305"/>
  <c r="P140" i="306"/>
  <c r="F50" i="48"/>
  <c r="F116" i="306"/>
  <c r="P141" i="306"/>
  <c r="P147" i="306"/>
  <c r="P148" i="306"/>
  <c r="P149" i="306"/>
  <c r="P153" i="306"/>
  <c r="Q154" i="306"/>
  <c r="Q156" i="306"/>
  <c r="P67" i="305"/>
  <c r="Q68" i="305"/>
  <c r="Q80" i="305"/>
  <c r="P76" i="305"/>
  <c r="P77" i="305"/>
  <c r="P81" i="305"/>
  <c r="Q82" i="305"/>
  <c r="Q157" i="306"/>
  <c r="Q158" i="306"/>
  <c r="Q216" i="306"/>
  <c r="Q197" i="306"/>
  <c r="P192" i="306"/>
  <c r="F88" i="48"/>
  <c r="F168" i="306"/>
  <c r="P193" i="306"/>
  <c r="P194" i="306"/>
  <c r="P198" i="306"/>
  <c r="Q199" i="306"/>
  <c r="Q201" i="306"/>
  <c r="Q202" i="306"/>
  <c r="Q203" i="306"/>
  <c r="Q209" i="306"/>
  <c r="Q205" i="306"/>
  <c r="Q206" i="306"/>
  <c r="Q207" i="306"/>
  <c r="Q210" i="306"/>
  <c r="Q211" i="306"/>
  <c r="Q217" i="306"/>
  <c r="Q218" i="306"/>
  <c r="Q221" i="306"/>
  <c r="Q222" i="306"/>
  <c r="Q68" i="307"/>
  <c r="Q69" i="307" s="1"/>
  <c r="P137" i="307"/>
  <c r="P130" i="307"/>
  <c r="P18" i="309"/>
  <c r="P136" i="307"/>
  <c r="P96" i="305"/>
  <c r="P95" i="305"/>
  <c r="P97" i="305"/>
  <c r="P143" i="307"/>
  <c r="P144" i="307"/>
  <c r="P149" i="307"/>
  <c r="P163" i="307"/>
  <c r="P164" i="307" s="1"/>
  <c r="P178" i="307"/>
  <c r="P186" i="307"/>
  <c r="P185" i="307"/>
  <c r="P216" i="307"/>
  <c r="Q18" i="305"/>
  <c r="Q19" i="305"/>
  <c r="Q22" i="305"/>
  <c r="Q23" i="305"/>
  <c r="Q63" i="305"/>
  <c r="Q64" i="305"/>
  <c r="Q73" i="307"/>
  <c r="Q74" i="307"/>
  <c r="Q103" i="307"/>
  <c r="Q104" i="307" s="1"/>
  <c r="Q114" i="307" s="1"/>
  <c r="Q310" i="307"/>
  <c r="R152" i="306"/>
  <c r="Q85" i="305"/>
  <c r="Q86" i="305"/>
  <c r="Q140" i="306"/>
  <c r="F51" i="48"/>
  <c r="F117" i="306"/>
  <c r="Q141" i="306"/>
  <c r="Q147" i="306"/>
  <c r="Q148" i="306"/>
  <c r="Q149" i="306"/>
  <c r="Q153" i="306"/>
  <c r="R154" i="306"/>
  <c r="R156" i="306"/>
  <c r="Q67" i="305"/>
  <c r="R68" i="305"/>
  <c r="R80" i="305"/>
  <c r="Q76" i="305"/>
  <c r="Q77" i="305"/>
  <c r="Q81" i="305"/>
  <c r="R82" i="305"/>
  <c r="R157" i="306"/>
  <c r="R158" i="306"/>
  <c r="R216" i="306"/>
  <c r="R197" i="306"/>
  <c r="Q192" i="306"/>
  <c r="F89" i="48"/>
  <c r="F169" i="306"/>
  <c r="Q193" i="306"/>
  <c r="Q194" i="306"/>
  <c r="Q198" i="306"/>
  <c r="R199" i="306"/>
  <c r="R201" i="306"/>
  <c r="R202" i="306"/>
  <c r="R203" i="306"/>
  <c r="R209" i="306"/>
  <c r="R205" i="306"/>
  <c r="R206" i="306"/>
  <c r="R207" i="306"/>
  <c r="R210" i="306"/>
  <c r="R211" i="306"/>
  <c r="R217" i="306"/>
  <c r="R218" i="306"/>
  <c r="R221" i="306"/>
  <c r="R222" i="306"/>
  <c r="R68" i="307"/>
  <c r="R69" i="307" s="1"/>
  <c r="Q137" i="307"/>
  <c r="Q130" i="307"/>
  <c r="Q18" i="309"/>
  <c r="Q136" i="307"/>
  <c r="Q96" i="305"/>
  <c r="Q95" i="305"/>
  <c r="Q97" i="305"/>
  <c r="Q143" i="307"/>
  <c r="Q144" i="307"/>
  <c r="Q149" i="307"/>
  <c r="Q163" i="307"/>
  <c r="Q164" i="307" s="1"/>
  <c r="Q178" i="307"/>
  <c r="Q186" i="307"/>
  <c r="Q185" i="307"/>
  <c r="Q216" i="307"/>
  <c r="R18" i="305"/>
  <c r="R19" i="305"/>
  <c r="R22" i="305"/>
  <c r="R23" i="305"/>
  <c r="R63" i="305"/>
  <c r="R64" i="305"/>
  <c r="R73" i="307"/>
  <c r="R74" i="307"/>
  <c r="R103" i="307"/>
  <c r="R104" i="307" s="1"/>
  <c r="R114" i="307" s="1"/>
  <c r="R310" i="307"/>
  <c r="S152" i="306"/>
  <c r="R85" i="305"/>
  <c r="R86" i="305"/>
  <c r="R140" i="306"/>
  <c r="F52" i="48"/>
  <c r="F118" i="306"/>
  <c r="R141" i="306"/>
  <c r="R147" i="306"/>
  <c r="R148" i="306"/>
  <c r="R149" i="306"/>
  <c r="R153" i="306"/>
  <c r="S154" i="306"/>
  <c r="S156" i="306"/>
  <c r="R67" i="305"/>
  <c r="S68" i="305"/>
  <c r="S80" i="305"/>
  <c r="R76" i="305"/>
  <c r="R77" i="305"/>
  <c r="R81" i="305"/>
  <c r="S82" i="305"/>
  <c r="S157" i="306"/>
  <c r="S158" i="306"/>
  <c r="S216" i="306"/>
  <c r="S197" i="306"/>
  <c r="R192" i="306"/>
  <c r="F90" i="48"/>
  <c r="F170" i="306"/>
  <c r="R193" i="306"/>
  <c r="R194" i="306"/>
  <c r="R198" i="306"/>
  <c r="S199" i="306"/>
  <c r="S201" i="306"/>
  <c r="S202" i="306"/>
  <c r="S203" i="306"/>
  <c r="S209" i="306"/>
  <c r="S205" i="306"/>
  <c r="S206" i="306"/>
  <c r="S207" i="306"/>
  <c r="S210" i="306"/>
  <c r="S211" i="306"/>
  <c r="S217" i="306"/>
  <c r="S218" i="306"/>
  <c r="S221" i="306"/>
  <c r="S222" i="306"/>
  <c r="S68" i="307"/>
  <c r="S69" i="307" s="1"/>
  <c r="R137" i="307"/>
  <c r="R130" i="307"/>
  <c r="R18" i="309"/>
  <c r="R136" i="307"/>
  <c r="R96" i="305"/>
  <c r="R95" i="305"/>
  <c r="R97" i="305"/>
  <c r="R143" i="307"/>
  <c r="R144" i="307"/>
  <c r="R149" i="307"/>
  <c r="R163" i="307"/>
  <c r="R164" i="307" s="1"/>
  <c r="R178" i="307"/>
  <c r="R186" i="307"/>
  <c r="R185" i="307"/>
  <c r="R216" i="307"/>
  <c r="S18" i="305"/>
  <c r="S19" i="305"/>
  <c r="S22" i="305"/>
  <c r="S23" i="305"/>
  <c r="S63" i="305"/>
  <c r="S64" i="305"/>
  <c r="S73" i="307"/>
  <c r="S74" i="307"/>
  <c r="S103" i="307"/>
  <c r="S104" i="307" s="1"/>
  <c r="S114" i="307" s="1"/>
  <c r="S310" i="307"/>
  <c r="T152" i="306"/>
  <c r="S85" i="305"/>
  <c r="S86" i="305"/>
  <c r="S140" i="306"/>
  <c r="F53" i="48"/>
  <c r="F119" i="306"/>
  <c r="S141" i="306"/>
  <c r="S147" i="306"/>
  <c r="S148" i="306"/>
  <c r="S149" i="306"/>
  <c r="S153" i="306"/>
  <c r="T154" i="306"/>
  <c r="T156" i="306"/>
  <c r="S67" i="305"/>
  <c r="T68" i="305"/>
  <c r="T80" i="305"/>
  <c r="S76" i="305"/>
  <c r="S77" i="305"/>
  <c r="S81" i="305"/>
  <c r="T82" i="305"/>
  <c r="T157" i="306"/>
  <c r="T158" i="306"/>
  <c r="T216" i="306"/>
  <c r="T197" i="306"/>
  <c r="S192" i="306"/>
  <c r="F91" i="48"/>
  <c r="F171" i="306"/>
  <c r="S193" i="306"/>
  <c r="S194" i="306"/>
  <c r="S198" i="306"/>
  <c r="T199" i="306"/>
  <c r="T201" i="306"/>
  <c r="T202" i="306"/>
  <c r="T203" i="306"/>
  <c r="T209" i="306"/>
  <c r="T205" i="306"/>
  <c r="T206" i="306"/>
  <c r="T207" i="306"/>
  <c r="T210" i="306"/>
  <c r="T211" i="306"/>
  <c r="T217" i="306"/>
  <c r="T218" i="306"/>
  <c r="T221" i="306"/>
  <c r="T222" i="306"/>
  <c r="T68" i="307"/>
  <c r="T69" i="307" s="1"/>
  <c r="S137" i="307"/>
  <c r="S130" i="307"/>
  <c r="S18" i="309"/>
  <c r="S136" i="307"/>
  <c r="S96" i="305"/>
  <c r="S95" i="305"/>
  <c r="S97" i="305"/>
  <c r="S143" i="307"/>
  <c r="S144" i="307"/>
  <c r="S149" i="307"/>
  <c r="S163" i="307"/>
  <c r="S164" i="307" s="1"/>
  <c r="S178" i="307"/>
  <c r="S186" i="307"/>
  <c r="S185" i="307"/>
  <c r="S216" i="307"/>
  <c r="T18" i="305"/>
  <c r="T19" i="305"/>
  <c r="T22" i="305"/>
  <c r="T23" i="305"/>
  <c r="T63" i="305"/>
  <c r="T64" i="305"/>
  <c r="T73" i="307"/>
  <c r="T74" i="307"/>
  <c r="T103" i="307"/>
  <c r="T104" i="307" s="1"/>
  <c r="T114" i="307" s="1"/>
  <c r="T310" i="307"/>
  <c r="U152" i="306"/>
  <c r="T85" i="305"/>
  <c r="T86" i="305"/>
  <c r="T140" i="306"/>
  <c r="F54" i="48"/>
  <c r="F120" i="306"/>
  <c r="T141" i="306"/>
  <c r="T147" i="306"/>
  <c r="T148" i="306"/>
  <c r="T149" i="306"/>
  <c r="T153" i="306"/>
  <c r="U154" i="306"/>
  <c r="U156" i="306"/>
  <c r="T67" i="305"/>
  <c r="U68" i="305"/>
  <c r="U80" i="305"/>
  <c r="T76" i="305"/>
  <c r="T77" i="305"/>
  <c r="T81" i="305"/>
  <c r="U82" i="305"/>
  <c r="U157" i="306"/>
  <c r="U158" i="306"/>
  <c r="U216" i="306"/>
  <c r="U197" i="306"/>
  <c r="T192" i="306"/>
  <c r="F92" i="48"/>
  <c r="F172" i="306"/>
  <c r="T193" i="306"/>
  <c r="T194" i="306"/>
  <c r="T198" i="306"/>
  <c r="U199" i="306"/>
  <c r="U201" i="306"/>
  <c r="U202" i="306"/>
  <c r="U203" i="306"/>
  <c r="U209" i="306"/>
  <c r="U205" i="306"/>
  <c r="U206" i="306"/>
  <c r="U207" i="306"/>
  <c r="U210" i="306"/>
  <c r="U211" i="306"/>
  <c r="U217" i="306"/>
  <c r="U218" i="306"/>
  <c r="U221" i="306"/>
  <c r="U222" i="306"/>
  <c r="U68" i="307"/>
  <c r="U69" i="307" s="1"/>
  <c r="T137" i="307"/>
  <c r="T130" i="307"/>
  <c r="T18" i="309"/>
  <c r="T136" i="307"/>
  <c r="T96" i="305"/>
  <c r="T95" i="305"/>
  <c r="T97" i="305"/>
  <c r="T143" i="307"/>
  <c r="T144" i="307"/>
  <c r="T149" i="307"/>
  <c r="T163" i="307"/>
  <c r="T164" i="307" s="1"/>
  <c r="T178" i="307"/>
  <c r="T186" i="307"/>
  <c r="T185" i="307"/>
  <c r="T216" i="307"/>
  <c r="U18" i="305"/>
  <c r="U19" i="305"/>
  <c r="U22" i="305"/>
  <c r="U23" i="305"/>
  <c r="U63" i="305"/>
  <c r="U64" i="305"/>
  <c r="U73" i="307"/>
  <c r="U74" i="307"/>
  <c r="U103" i="307"/>
  <c r="U104" i="307" s="1"/>
  <c r="U114" i="307" s="1"/>
  <c r="U310" i="307"/>
  <c r="V152" i="306"/>
  <c r="U85" i="305"/>
  <c r="U86" i="305"/>
  <c r="U140" i="306"/>
  <c r="F55" i="48"/>
  <c r="F121" i="306"/>
  <c r="U141" i="306"/>
  <c r="U147" i="306"/>
  <c r="U148" i="306"/>
  <c r="U149" i="306"/>
  <c r="U153" i="306"/>
  <c r="V154" i="306"/>
  <c r="V156" i="306"/>
  <c r="U67" i="305"/>
  <c r="V68" i="305"/>
  <c r="V80" i="305"/>
  <c r="U76" i="305"/>
  <c r="U77" i="305"/>
  <c r="U81" i="305"/>
  <c r="V82" i="305"/>
  <c r="V157" i="306"/>
  <c r="V158" i="306"/>
  <c r="V216" i="306"/>
  <c r="V197" i="306"/>
  <c r="U192" i="306"/>
  <c r="F93" i="48"/>
  <c r="F173" i="306"/>
  <c r="U193" i="306"/>
  <c r="U194" i="306"/>
  <c r="U198" i="306"/>
  <c r="V199" i="306"/>
  <c r="V201" i="306"/>
  <c r="V202" i="306"/>
  <c r="V203" i="306"/>
  <c r="V209" i="306"/>
  <c r="V205" i="306"/>
  <c r="V206" i="306"/>
  <c r="V207" i="306"/>
  <c r="V210" i="306"/>
  <c r="V211" i="306"/>
  <c r="V217" i="306"/>
  <c r="V218" i="306"/>
  <c r="V221" i="306"/>
  <c r="V222" i="306"/>
  <c r="V68" i="307"/>
  <c r="V69" i="307" s="1"/>
  <c r="U137" i="307"/>
  <c r="U130" i="307"/>
  <c r="U18" i="309"/>
  <c r="U136" i="307"/>
  <c r="U96" i="305"/>
  <c r="U95" i="305"/>
  <c r="U97" i="305"/>
  <c r="U143" i="307"/>
  <c r="U144" i="307"/>
  <c r="U149" i="307"/>
  <c r="U163" i="307"/>
  <c r="U164" i="307" s="1"/>
  <c r="U178" i="307"/>
  <c r="U186" i="307"/>
  <c r="U185" i="307"/>
  <c r="U216" i="307"/>
  <c r="V18" i="305"/>
  <c r="V19" i="305"/>
  <c r="V22" i="305"/>
  <c r="V23" i="305"/>
  <c r="V63" i="305"/>
  <c r="V64" i="305"/>
  <c r="V73" i="307"/>
  <c r="V74" i="307"/>
  <c r="V103" i="307"/>
  <c r="V104" i="307" s="1"/>
  <c r="V114" i="307" s="1"/>
  <c r="V310" i="307"/>
  <c r="W152" i="306"/>
  <c r="V85" i="305"/>
  <c r="V86" i="305"/>
  <c r="V140" i="306"/>
  <c r="F56" i="48"/>
  <c r="F122" i="306"/>
  <c r="V141" i="306"/>
  <c r="V147" i="306"/>
  <c r="V148" i="306"/>
  <c r="V149" i="306"/>
  <c r="V153" i="306"/>
  <c r="W154" i="306"/>
  <c r="W156" i="306"/>
  <c r="V67" i="305"/>
  <c r="W68" i="305"/>
  <c r="W80" i="305"/>
  <c r="V76" i="305"/>
  <c r="V77" i="305"/>
  <c r="V81" i="305"/>
  <c r="W82" i="305"/>
  <c r="W157" i="306"/>
  <c r="W158" i="306"/>
  <c r="W216" i="306"/>
  <c r="W197" i="306"/>
  <c r="V192" i="306"/>
  <c r="F94" i="48"/>
  <c r="F174" i="306"/>
  <c r="V193" i="306"/>
  <c r="V194" i="306"/>
  <c r="V198" i="306"/>
  <c r="W199" i="306"/>
  <c r="W201" i="306"/>
  <c r="W202" i="306"/>
  <c r="W203" i="306"/>
  <c r="W209" i="306"/>
  <c r="W205" i="306"/>
  <c r="W206" i="306"/>
  <c r="W207" i="306"/>
  <c r="W210" i="306"/>
  <c r="W211" i="306"/>
  <c r="W217" i="306"/>
  <c r="W218" i="306"/>
  <c r="W221" i="306"/>
  <c r="W222" i="306"/>
  <c r="W68" i="307"/>
  <c r="W69" i="307" s="1"/>
  <c r="V137" i="307"/>
  <c r="V130" i="307"/>
  <c r="V18" i="309"/>
  <c r="V136" i="307"/>
  <c r="V96" i="305"/>
  <c r="V95" i="305"/>
  <c r="V97" i="305"/>
  <c r="V143" i="307"/>
  <c r="V144" i="307"/>
  <c r="V149" i="307"/>
  <c r="V163" i="307"/>
  <c r="V164" i="307" s="1"/>
  <c r="V178" i="307"/>
  <c r="V186" i="307"/>
  <c r="V185" i="307"/>
  <c r="V216" i="307"/>
  <c r="W18" i="305"/>
  <c r="W19" i="305"/>
  <c r="W22" i="305"/>
  <c r="W23" i="305"/>
  <c r="W63" i="305"/>
  <c r="W64" i="305"/>
  <c r="W73" i="307"/>
  <c r="W74" i="307"/>
  <c r="W103" i="307"/>
  <c r="W104" i="307" s="1"/>
  <c r="W114" i="307" s="1"/>
  <c r="W310" i="307"/>
  <c r="X152" i="306"/>
  <c r="W85" i="305"/>
  <c r="W86" i="305"/>
  <c r="W140" i="306"/>
  <c r="F57" i="48"/>
  <c r="F123" i="306"/>
  <c r="W141" i="306"/>
  <c r="W147" i="306"/>
  <c r="W148" i="306"/>
  <c r="W149" i="306"/>
  <c r="W153" i="306"/>
  <c r="X154" i="306"/>
  <c r="X156" i="306"/>
  <c r="W67" i="305"/>
  <c r="X68" i="305"/>
  <c r="X80" i="305"/>
  <c r="W76" i="305"/>
  <c r="W77" i="305"/>
  <c r="W81" i="305"/>
  <c r="X82" i="305"/>
  <c r="X157" i="306"/>
  <c r="X158" i="306"/>
  <c r="X216" i="306"/>
  <c r="X197" i="306"/>
  <c r="W192" i="306"/>
  <c r="F95" i="48"/>
  <c r="F175" i="306"/>
  <c r="W193" i="306"/>
  <c r="W194" i="306"/>
  <c r="W198" i="306"/>
  <c r="X199" i="306"/>
  <c r="X201" i="306"/>
  <c r="X202" i="306"/>
  <c r="X203" i="306"/>
  <c r="X209" i="306"/>
  <c r="X205" i="306"/>
  <c r="X206" i="306"/>
  <c r="X207" i="306"/>
  <c r="X210" i="306"/>
  <c r="X211" i="306"/>
  <c r="X217" i="306"/>
  <c r="X218" i="306"/>
  <c r="X221" i="306"/>
  <c r="X222" i="306"/>
  <c r="X68" i="307"/>
  <c r="X69" i="307" s="1"/>
  <c r="W137" i="307"/>
  <c r="W130" i="307"/>
  <c r="W18" i="309"/>
  <c r="W136" i="307"/>
  <c r="W96" i="305"/>
  <c r="W95" i="305"/>
  <c r="W97" i="305"/>
  <c r="W143" i="307"/>
  <c r="W144" i="307"/>
  <c r="W149" i="307"/>
  <c r="W163" i="307"/>
  <c r="W164" i="307" s="1"/>
  <c r="W178" i="307"/>
  <c r="W186" i="307"/>
  <c r="W185" i="307"/>
  <c r="W216" i="307"/>
  <c r="X18" i="305"/>
  <c r="X19" i="305"/>
  <c r="X22" i="305"/>
  <c r="X23" i="305"/>
  <c r="X63" i="305"/>
  <c r="X64" i="305"/>
  <c r="X73" i="307"/>
  <c r="X74" i="307"/>
  <c r="X103" i="307"/>
  <c r="X104" i="307" s="1"/>
  <c r="X114" i="307" s="1"/>
  <c r="X310" i="307"/>
  <c r="Y152" i="306"/>
  <c r="X85" i="305"/>
  <c r="X86" i="305"/>
  <c r="X140" i="306"/>
  <c r="F58" i="48"/>
  <c r="F124" i="306"/>
  <c r="X141" i="306"/>
  <c r="X147" i="306"/>
  <c r="X148" i="306"/>
  <c r="X149" i="306"/>
  <c r="X153" i="306"/>
  <c r="Y154" i="306"/>
  <c r="Y156" i="306"/>
  <c r="X67" i="305"/>
  <c r="Y68" i="305"/>
  <c r="Y80" i="305"/>
  <c r="X76" i="305"/>
  <c r="X77" i="305"/>
  <c r="X81" i="305"/>
  <c r="Y82" i="305"/>
  <c r="Y157" i="306"/>
  <c r="Y158" i="306"/>
  <c r="Y216" i="306"/>
  <c r="Y197" i="306"/>
  <c r="X192" i="306"/>
  <c r="F96" i="48"/>
  <c r="F176" i="306"/>
  <c r="X193" i="306"/>
  <c r="X194" i="306"/>
  <c r="X198" i="306"/>
  <c r="Y199" i="306"/>
  <c r="Y201" i="306"/>
  <c r="Y202" i="306"/>
  <c r="Y203" i="306"/>
  <c r="Y209" i="306"/>
  <c r="Y205" i="306"/>
  <c r="Y206" i="306"/>
  <c r="Y207" i="306"/>
  <c r="Y210" i="306"/>
  <c r="Y211" i="306"/>
  <c r="Y217" i="306"/>
  <c r="Y218" i="306"/>
  <c r="Y221" i="306"/>
  <c r="Y222" i="306"/>
  <c r="Y68" i="307"/>
  <c r="Y69" i="307" s="1"/>
  <c r="X137" i="307"/>
  <c r="X130" i="307"/>
  <c r="X18" i="309"/>
  <c r="X136" i="307"/>
  <c r="X96" i="305"/>
  <c r="X95" i="305"/>
  <c r="X97" i="305"/>
  <c r="X143" i="307"/>
  <c r="X144" i="307"/>
  <c r="X149" i="307"/>
  <c r="X163" i="307"/>
  <c r="X164" i="307" s="1"/>
  <c r="X178" i="307"/>
  <c r="X186" i="307"/>
  <c r="X185" i="307"/>
  <c r="X216" i="307"/>
  <c r="Y18" i="305"/>
  <c r="Y19" i="305"/>
  <c r="Y22" i="305"/>
  <c r="Y23" i="305"/>
  <c r="Y63" i="305"/>
  <c r="Y64" i="305"/>
  <c r="Y73" i="307"/>
  <c r="Y74" i="307"/>
  <c r="Y103" i="307"/>
  <c r="Y104" i="307" s="1"/>
  <c r="Y114" i="307" s="1"/>
  <c r="Y310" i="307"/>
  <c r="Z152" i="306"/>
  <c r="Y85" i="305"/>
  <c r="Y86" i="305"/>
  <c r="Y140" i="306"/>
  <c r="F59" i="48"/>
  <c r="F125" i="306"/>
  <c r="Y141" i="306"/>
  <c r="Y147" i="306"/>
  <c r="Y148" i="306"/>
  <c r="Y149" i="306"/>
  <c r="Y153" i="306"/>
  <c r="Z154" i="306"/>
  <c r="Z156" i="306"/>
  <c r="Y67" i="305"/>
  <c r="Z68" i="305"/>
  <c r="Z80" i="305"/>
  <c r="Y76" i="305"/>
  <c r="Y77" i="305"/>
  <c r="Y81" i="305"/>
  <c r="Z82" i="305"/>
  <c r="Z157" i="306"/>
  <c r="Z158" i="306"/>
  <c r="Z216" i="306"/>
  <c r="Z197" i="306"/>
  <c r="Y192" i="306"/>
  <c r="F97" i="48"/>
  <c r="F177" i="306"/>
  <c r="Y193" i="306"/>
  <c r="Y194" i="306"/>
  <c r="Y198" i="306"/>
  <c r="Z199" i="306"/>
  <c r="Z201" i="306"/>
  <c r="Z202" i="306"/>
  <c r="Z203" i="306"/>
  <c r="Z209" i="306"/>
  <c r="Z205" i="306"/>
  <c r="Z206" i="306"/>
  <c r="Z207" i="306"/>
  <c r="Z210" i="306"/>
  <c r="Z211" i="306"/>
  <c r="Z217" i="306"/>
  <c r="Z218" i="306"/>
  <c r="Z221" i="306"/>
  <c r="Z222" i="306"/>
  <c r="Z68" i="307"/>
  <c r="Z69" i="307" s="1"/>
  <c r="Y137" i="307"/>
  <c r="Y130" i="307"/>
  <c r="Y18" i="309"/>
  <c r="Y136" i="307"/>
  <c r="Y96" i="305"/>
  <c r="Y95" i="305"/>
  <c r="Y97" i="305"/>
  <c r="Y143" i="307"/>
  <c r="Y144" i="307"/>
  <c r="Y149" i="307"/>
  <c r="Y163" i="307"/>
  <c r="Y164" i="307" s="1"/>
  <c r="Y178" i="307"/>
  <c r="Y186" i="307"/>
  <c r="Y185" i="307"/>
  <c r="Y216" i="307"/>
  <c r="Z18" i="305"/>
  <c r="Z19" i="305"/>
  <c r="Z22" i="305"/>
  <c r="Z23" i="305"/>
  <c r="Z63" i="305"/>
  <c r="Z64" i="305"/>
  <c r="Z73" i="307"/>
  <c r="Z74" i="307"/>
  <c r="Z103" i="307"/>
  <c r="Z104" i="307" s="1"/>
  <c r="Z114" i="307" s="1"/>
  <c r="Z310" i="307"/>
  <c r="AA152" i="306"/>
  <c r="Z85" i="305"/>
  <c r="Z86" i="305"/>
  <c r="Z140" i="306"/>
  <c r="F60" i="48"/>
  <c r="F126" i="306"/>
  <c r="Z141" i="306"/>
  <c r="Z147" i="306"/>
  <c r="Z148" i="306"/>
  <c r="Z149" i="306"/>
  <c r="Z153" i="306"/>
  <c r="AA154" i="306"/>
  <c r="AA156" i="306"/>
  <c r="Z67" i="305"/>
  <c r="AA68" i="305"/>
  <c r="AA80" i="305"/>
  <c r="Z76" i="305"/>
  <c r="Z77" i="305"/>
  <c r="Z81" i="305"/>
  <c r="AA82" i="305"/>
  <c r="AA157" i="306"/>
  <c r="AA158" i="306"/>
  <c r="AA216" i="306"/>
  <c r="AA197" i="306"/>
  <c r="Z192" i="306"/>
  <c r="F98" i="48"/>
  <c r="F178" i="306"/>
  <c r="Z193" i="306"/>
  <c r="Z194" i="306"/>
  <c r="Z198" i="306"/>
  <c r="AA199" i="306"/>
  <c r="AA201" i="306"/>
  <c r="AA202" i="306"/>
  <c r="AA203" i="306"/>
  <c r="AA209" i="306"/>
  <c r="AA205" i="306"/>
  <c r="AA206" i="306"/>
  <c r="AA207" i="306"/>
  <c r="AA210" i="306"/>
  <c r="AA211" i="306"/>
  <c r="AA217" i="306"/>
  <c r="AA218" i="306"/>
  <c r="AA221" i="306"/>
  <c r="AA222" i="306"/>
  <c r="AA68" i="307"/>
  <c r="AA69" i="307" s="1"/>
  <c r="Z137" i="307"/>
  <c r="Z130" i="307"/>
  <c r="Z18" i="309"/>
  <c r="Z136" i="307"/>
  <c r="Z96" i="305"/>
  <c r="Z95" i="305"/>
  <c r="Z97" i="305"/>
  <c r="Z143" i="307"/>
  <c r="Z144" i="307"/>
  <c r="Z149" i="307"/>
  <c r="Z163" i="307"/>
  <c r="Z164" i="307" s="1"/>
  <c r="Z178" i="307"/>
  <c r="Z186" i="307"/>
  <c r="Z185" i="307"/>
  <c r="Z216" i="307"/>
  <c r="AA18" i="305"/>
  <c r="AA19" i="305"/>
  <c r="AA22" i="305"/>
  <c r="AA23" i="305"/>
  <c r="AA63" i="305"/>
  <c r="AA64" i="305"/>
  <c r="AA73" i="307"/>
  <c r="AA74" i="307"/>
  <c r="AA103" i="307"/>
  <c r="AA104" i="307" s="1"/>
  <c r="AA114" i="307" s="1"/>
  <c r="AA310" i="307"/>
  <c r="AB152" i="306"/>
  <c r="AA85" i="305"/>
  <c r="AA86" i="305"/>
  <c r="AA140" i="306"/>
  <c r="F61" i="48"/>
  <c r="F127" i="306"/>
  <c r="AA141" i="306"/>
  <c r="AA147" i="306"/>
  <c r="AA148" i="306"/>
  <c r="AA149" i="306"/>
  <c r="AA153" i="306"/>
  <c r="AB154" i="306"/>
  <c r="AB156" i="306"/>
  <c r="AA67" i="305"/>
  <c r="AB68" i="305"/>
  <c r="AB80" i="305"/>
  <c r="AA76" i="305"/>
  <c r="AA77" i="305"/>
  <c r="AA81" i="305"/>
  <c r="AB82" i="305"/>
  <c r="AB157" i="306"/>
  <c r="AB158" i="306"/>
  <c r="AB216" i="306"/>
  <c r="AB197" i="306"/>
  <c r="AA192" i="306"/>
  <c r="F99" i="48"/>
  <c r="F179" i="306"/>
  <c r="AA193" i="306"/>
  <c r="AA194" i="306"/>
  <c r="AA198" i="306"/>
  <c r="AB199" i="306"/>
  <c r="AB201" i="306"/>
  <c r="AB202" i="306"/>
  <c r="AB203" i="306"/>
  <c r="AB209" i="306"/>
  <c r="AB205" i="306"/>
  <c r="AB206" i="306"/>
  <c r="AB207" i="306"/>
  <c r="AB210" i="306"/>
  <c r="AB211" i="306"/>
  <c r="AB217" i="306"/>
  <c r="AB218" i="306"/>
  <c r="AB221" i="306"/>
  <c r="AB222" i="306"/>
  <c r="AB68" i="307"/>
  <c r="AB69" i="307" s="1"/>
  <c r="AA137" i="307"/>
  <c r="AA130" i="307"/>
  <c r="AA18" i="309"/>
  <c r="AA136" i="307"/>
  <c r="AA96" i="305"/>
  <c r="AA95" i="305"/>
  <c r="AA97" i="305"/>
  <c r="AA143" i="307"/>
  <c r="AA144" i="307"/>
  <c r="AA149" i="307"/>
  <c r="AA163" i="307"/>
  <c r="AA164" i="307" s="1"/>
  <c r="AA178" i="307"/>
  <c r="AA186" i="307"/>
  <c r="AA185" i="307"/>
  <c r="AA216" i="307"/>
  <c r="AB18" i="305"/>
  <c r="AB19" i="305"/>
  <c r="AB22" i="305"/>
  <c r="AB23" i="305"/>
  <c r="AB63" i="305"/>
  <c r="AB64" i="305"/>
  <c r="AB73" i="307"/>
  <c r="AB74" i="307"/>
  <c r="AB103" i="307"/>
  <c r="AB104" i="307" s="1"/>
  <c r="AB114" i="307" s="1"/>
  <c r="AB310" i="307"/>
  <c r="AC152" i="306"/>
  <c r="AB85" i="305"/>
  <c r="AB86" i="305"/>
  <c r="AB140" i="306"/>
  <c r="F62" i="48"/>
  <c r="F128" i="306"/>
  <c r="AB141" i="306"/>
  <c r="AB147" i="306"/>
  <c r="AB148" i="306"/>
  <c r="AB149" i="306"/>
  <c r="AB153" i="306"/>
  <c r="AC154" i="306"/>
  <c r="AC156" i="306"/>
  <c r="AB67" i="305"/>
  <c r="AC68" i="305"/>
  <c r="AC80" i="305"/>
  <c r="AB76" i="305"/>
  <c r="AB77" i="305"/>
  <c r="AB81" i="305"/>
  <c r="AC82" i="305"/>
  <c r="AC157" i="306"/>
  <c r="AC158" i="306"/>
  <c r="AC216" i="306"/>
  <c r="AC197" i="306"/>
  <c r="AB192" i="306"/>
  <c r="F100" i="48"/>
  <c r="F180" i="306"/>
  <c r="AB193" i="306"/>
  <c r="AB194" i="306"/>
  <c r="AB198" i="306"/>
  <c r="AC199" i="306"/>
  <c r="AC201" i="306"/>
  <c r="AC202" i="306"/>
  <c r="AC203" i="306"/>
  <c r="AC209" i="306"/>
  <c r="AC205" i="306"/>
  <c r="AC206" i="306"/>
  <c r="AC207" i="306"/>
  <c r="AC210" i="306"/>
  <c r="AC211" i="306"/>
  <c r="AC217" i="306"/>
  <c r="AC218" i="306"/>
  <c r="AC221" i="306"/>
  <c r="AC222" i="306"/>
  <c r="AC68" i="307"/>
  <c r="AC69" i="307" s="1"/>
  <c r="AB137" i="307"/>
  <c r="AB130" i="307"/>
  <c r="AB18" i="309"/>
  <c r="AB136" i="307"/>
  <c r="AB96" i="305"/>
  <c r="AB95" i="305"/>
  <c r="AB97" i="305"/>
  <c r="AB143" i="307"/>
  <c r="AB144" i="307"/>
  <c r="AB149" i="307"/>
  <c r="AB163" i="307"/>
  <c r="AB164" i="307" s="1"/>
  <c r="AB178" i="307"/>
  <c r="AB186" i="307"/>
  <c r="AB185" i="307"/>
  <c r="AB216" i="307"/>
  <c r="AC18" i="305"/>
  <c r="AC19" i="305"/>
  <c r="AC22" i="305"/>
  <c r="AC23" i="305"/>
  <c r="AC63" i="305"/>
  <c r="AC64" i="305"/>
  <c r="AC73" i="307"/>
  <c r="AC74" i="307"/>
  <c r="AC103" i="307"/>
  <c r="AC104" i="307" s="1"/>
  <c r="AC114" i="307" s="1"/>
  <c r="AC310" i="307"/>
  <c r="AD152" i="306"/>
  <c r="AC85" i="305"/>
  <c r="AC86" i="305"/>
  <c r="AC140" i="306"/>
  <c r="F63" i="48"/>
  <c r="F129" i="306"/>
  <c r="AC141" i="306"/>
  <c r="AC147" i="306"/>
  <c r="AC148" i="306"/>
  <c r="AC149" i="306"/>
  <c r="AC153" i="306"/>
  <c r="AD154" i="306"/>
  <c r="AD156" i="306"/>
  <c r="AC67" i="305"/>
  <c r="AD68" i="305"/>
  <c r="AD80" i="305"/>
  <c r="AC76" i="305"/>
  <c r="AC77" i="305"/>
  <c r="AC81" i="305"/>
  <c r="AD82" i="305"/>
  <c r="AD157" i="306"/>
  <c r="AD158" i="306"/>
  <c r="AD216" i="306"/>
  <c r="AD197" i="306"/>
  <c r="AC192" i="306"/>
  <c r="F101" i="48"/>
  <c r="F181" i="306"/>
  <c r="AC193" i="306"/>
  <c r="AC194" i="306"/>
  <c r="AC198" i="306"/>
  <c r="AD199" i="306"/>
  <c r="AD201" i="306"/>
  <c r="AD202" i="306"/>
  <c r="AD203" i="306"/>
  <c r="AD209" i="306"/>
  <c r="AD205" i="306"/>
  <c r="AD206" i="306"/>
  <c r="AD207" i="306"/>
  <c r="AD210" i="306"/>
  <c r="AD211" i="306"/>
  <c r="AD217" i="306"/>
  <c r="AD218" i="306"/>
  <c r="AD221" i="306"/>
  <c r="AD222" i="306"/>
  <c r="AD68" i="307"/>
  <c r="AD69" i="307" s="1"/>
  <c r="AC137" i="307"/>
  <c r="AC130" i="307"/>
  <c r="AC18" i="309"/>
  <c r="AC136" i="307"/>
  <c r="AC96" i="305"/>
  <c r="AC95" i="305"/>
  <c r="AC97" i="305"/>
  <c r="AC143" i="307"/>
  <c r="AC144" i="307"/>
  <c r="AC149" i="307"/>
  <c r="AC163" i="307"/>
  <c r="AC164" i="307" s="1"/>
  <c r="AC178" i="307"/>
  <c r="AC186" i="307"/>
  <c r="AC185" i="307"/>
  <c r="AC216" i="307"/>
  <c r="AD18" i="305"/>
  <c r="AD19" i="305"/>
  <c r="AD22" i="305"/>
  <c r="AD23" i="305"/>
  <c r="AD63" i="305"/>
  <c r="AD64" i="305"/>
  <c r="AD73" i="307"/>
  <c r="AD74" i="307"/>
  <c r="AD103" i="307"/>
  <c r="AD104" i="307" s="1"/>
  <c r="AD114" i="307" s="1"/>
  <c r="AD310" i="307"/>
  <c r="AE152" i="306"/>
  <c r="AD85" i="305"/>
  <c r="AD86" i="305"/>
  <c r="AD140" i="306"/>
  <c r="F64" i="48"/>
  <c r="F130" i="306"/>
  <c r="AD141" i="306"/>
  <c r="AD147" i="306"/>
  <c r="AD148" i="306"/>
  <c r="AD149" i="306"/>
  <c r="AD153" i="306"/>
  <c r="AE154" i="306"/>
  <c r="AE156" i="306"/>
  <c r="AD67" i="305"/>
  <c r="AE68" i="305"/>
  <c r="AE80" i="305"/>
  <c r="AD76" i="305"/>
  <c r="AD77" i="305"/>
  <c r="AD81" i="305"/>
  <c r="AE82" i="305"/>
  <c r="AE157" i="306"/>
  <c r="AE158" i="306"/>
  <c r="AE216" i="306"/>
  <c r="AE197" i="306"/>
  <c r="AD192" i="306"/>
  <c r="F102" i="48"/>
  <c r="F182" i="306"/>
  <c r="AD193" i="306"/>
  <c r="AD194" i="306"/>
  <c r="AD198" i="306"/>
  <c r="AE199" i="306"/>
  <c r="AE201" i="306"/>
  <c r="AE202" i="306"/>
  <c r="AE203" i="306"/>
  <c r="AE209" i="306"/>
  <c r="AE205" i="306"/>
  <c r="AE206" i="306"/>
  <c r="AE207" i="306"/>
  <c r="AE210" i="306"/>
  <c r="AE211" i="306"/>
  <c r="AE217" i="306"/>
  <c r="AE218" i="306"/>
  <c r="AE221" i="306"/>
  <c r="AE222" i="306"/>
  <c r="AE68" i="307"/>
  <c r="AE69" i="307" s="1"/>
  <c r="AD137" i="307"/>
  <c r="AD130" i="307"/>
  <c r="AD18" i="309"/>
  <c r="AD136" i="307"/>
  <c r="AD96" i="305"/>
  <c r="AD95" i="305"/>
  <c r="AD97" i="305"/>
  <c r="AD143" i="307"/>
  <c r="AD144" i="307"/>
  <c r="AD149" i="307"/>
  <c r="AD163" i="307"/>
  <c r="AD164" i="307" s="1"/>
  <c r="AD178" i="307"/>
  <c r="AD186" i="307"/>
  <c r="AD185" i="307"/>
  <c r="AD216" i="307"/>
  <c r="AE18" i="305"/>
  <c r="AE19" i="305"/>
  <c r="AE22" i="305"/>
  <c r="AE23" i="305"/>
  <c r="AE63" i="305"/>
  <c r="AE64" i="305"/>
  <c r="AE73" i="307"/>
  <c r="AE74" i="307"/>
  <c r="AE103" i="307"/>
  <c r="AE104" i="307" s="1"/>
  <c r="AE114" i="307" s="1"/>
  <c r="AE310" i="307"/>
  <c r="AF152" i="306"/>
  <c r="AE85" i="305"/>
  <c r="AE86" i="305"/>
  <c r="AE140" i="306"/>
  <c r="F65" i="48"/>
  <c r="F131" i="306"/>
  <c r="AE141" i="306"/>
  <c r="AE147" i="306"/>
  <c r="AE148" i="306"/>
  <c r="AE149" i="306"/>
  <c r="AE153" i="306"/>
  <c r="AF154" i="306"/>
  <c r="AF156" i="306"/>
  <c r="AE67" i="305"/>
  <c r="AF68" i="305"/>
  <c r="AF80" i="305"/>
  <c r="AE76" i="305"/>
  <c r="AE77" i="305"/>
  <c r="AE81" i="305"/>
  <c r="AF82" i="305"/>
  <c r="AF157" i="306"/>
  <c r="AF158" i="306"/>
  <c r="AF216" i="306"/>
  <c r="AF197" i="306"/>
  <c r="AE192" i="306"/>
  <c r="F103" i="48"/>
  <c r="F183" i="306"/>
  <c r="AE193" i="306"/>
  <c r="AE194" i="306"/>
  <c r="AE198" i="306"/>
  <c r="AF199" i="306"/>
  <c r="AF201" i="306"/>
  <c r="AF202" i="306"/>
  <c r="AF203" i="306"/>
  <c r="AF209" i="306"/>
  <c r="AF205" i="306"/>
  <c r="AF206" i="306"/>
  <c r="AF207" i="306"/>
  <c r="AF210" i="306"/>
  <c r="AF211" i="306"/>
  <c r="AF217" i="306"/>
  <c r="AF218" i="306"/>
  <c r="AF221" i="306"/>
  <c r="AF222" i="306"/>
  <c r="AF68" i="307"/>
  <c r="AF69" i="307" s="1"/>
  <c r="AE137" i="307"/>
  <c r="AE130" i="307"/>
  <c r="AE18" i="309"/>
  <c r="AE136" i="307"/>
  <c r="AE96" i="305"/>
  <c r="AE95" i="305"/>
  <c r="AE97" i="305"/>
  <c r="AE143" i="307"/>
  <c r="AE144" i="307"/>
  <c r="AE149" i="307"/>
  <c r="AE163" i="307"/>
  <c r="AE164" i="307" s="1"/>
  <c r="AE178" i="307"/>
  <c r="AE186" i="307"/>
  <c r="AE185" i="307"/>
  <c r="AE216" i="307"/>
  <c r="AF18" i="305"/>
  <c r="AF19" i="305"/>
  <c r="AF22" i="305"/>
  <c r="AF23" i="305"/>
  <c r="AF63" i="305"/>
  <c r="AF64" i="305"/>
  <c r="AF73" i="307"/>
  <c r="AF74" i="307"/>
  <c r="AF103" i="307"/>
  <c r="AF104" i="307" s="1"/>
  <c r="AF114" i="307" s="1"/>
  <c r="AF310" i="307"/>
  <c r="AG152" i="306"/>
  <c r="AF85" i="305"/>
  <c r="AF86" i="305"/>
  <c r="AF140" i="306"/>
  <c r="F66" i="48"/>
  <c r="F132" i="306"/>
  <c r="AF141" i="306"/>
  <c r="AF147" i="306"/>
  <c r="AF148" i="306"/>
  <c r="AF149" i="306"/>
  <c r="AF153" i="306"/>
  <c r="AG154" i="306"/>
  <c r="AG156" i="306"/>
  <c r="AF67" i="305"/>
  <c r="AG68" i="305"/>
  <c r="AG80" i="305"/>
  <c r="AF76" i="305"/>
  <c r="AF77" i="305"/>
  <c r="AF81" i="305"/>
  <c r="AG82" i="305"/>
  <c r="AG157" i="306"/>
  <c r="AG158" i="306"/>
  <c r="AG216" i="306"/>
  <c r="AG197" i="306"/>
  <c r="AF192" i="306"/>
  <c r="F104" i="48"/>
  <c r="F184" i="306"/>
  <c r="AF193" i="306"/>
  <c r="AF194" i="306"/>
  <c r="AF198" i="306"/>
  <c r="AG199" i="306"/>
  <c r="AG201" i="306"/>
  <c r="AG202" i="306"/>
  <c r="AG203" i="306"/>
  <c r="AG209" i="306"/>
  <c r="AG205" i="306"/>
  <c r="AG206" i="306"/>
  <c r="AG207" i="306"/>
  <c r="AG210" i="306"/>
  <c r="AG211" i="306"/>
  <c r="AG217" i="306"/>
  <c r="AG218" i="306"/>
  <c r="AG221" i="306"/>
  <c r="AG222" i="306"/>
  <c r="AG68" i="307"/>
  <c r="AG69" i="307" s="1"/>
  <c r="AF137" i="307"/>
  <c r="AF130" i="307"/>
  <c r="AF18" i="309"/>
  <c r="AF136" i="307"/>
  <c r="AF96" i="305"/>
  <c r="AF95" i="305"/>
  <c r="AF97" i="305"/>
  <c r="AF143" i="307"/>
  <c r="AF144" i="307"/>
  <c r="AF149" i="307"/>
  <c r="AF163" i="307"/>
  <c r="AF164" i="307" s="1"/>
  <c r="AF178" i="307"/>
  <c r="AF186" i="307"/>
  <c r="AF185" i="307"/>
  <c r="AF216" i="307"/>
  <c r="AG18" i="305"/>
  <c r="AG19" i="305"/>
  <c r="AG22" i="305"/>
  <c r="AG23" i="305"/>
  <c r="AG63" i="305"/>
  <c r="AG64" i="305"/>
  <c r="AG73" i="307"/>
  <c r="AG74" i="307"/>
  <c r="AG103" i="307"/>
  <c r="AG104" i="307" s="1"/>
  <c r="AG114" i="307" s="1"/>
  <c r="AG310" i="307"/>
  <c r="AH152" i="306"/>
  <c r="AG85" i="305"/>
  <c r="AG86" i="305"/>
  <c r="AG140" i="306"/>
  <c r="F67" i="48"/>
  <c r="F133" i="306"/>
  <c r="AG141" i="306"/>
  <c r="AG147" i="306"/>
  <c r="AG148" i="306"/>
  <c r="AG149" i="306"/>
  <c r="AG153" i="306"/>
  <c r="AH154" i="306"/>
  <c r="AH156" i="306"/>
  <c r="AG67" i="305"/>
  <c r="AH68" i="305"/>
  <c r="AH80" i="305"/>
  <c r="AG76" i="305"/>
  <c r="AG77" i="305"/>
  <c r="AG81" i="305"/>
  <c r="AH82" i="305"/>
  <c r="AH157" i="306"/>
  <c r="AH158" i="306"/>
  <c r="AH216" i="306"/>
  <c r="AH197" i="306"/>
  <c r="AG192" i="306"/>
  <c r="F105" i="48"/>
  <c r="F185" i="306"/>
  <c r="AG193" i="306"/>
  <c r="AG194" i="306"/>
  <c r="AG198" i="306"/>
  <c r="AH199" i="306"/>
  <c r="AH201" i="306"/>
  <c r="AH202" i="306"/>
  <c r="AH203" i="306"/>
  <c r="AH209" i="306"/>
  <c r="AH205" i="306"/>
  <c r="AH206" i="306"/>
  <c r="AH207" i="306"/>
  <c r="AH210" i="306"/>
  <c r="AH211" i="306"/>
  <c r="AH217" i="306"/>
  <c r="AH218" i="306"/>
  <c r="AH221" i="306"/>
  <c r="AH222" i="306"/>
  <c r="AH68" i="307"/>
  <c r="AH69" i="307" s="1"/>
  <c r="AG137" i="307"/>
  <c r="AG130" i="307"/>
  <c r="AG18" i="309"/>
  <c r="AG136" i="307"/>
  <c r="AG96" i="305"/>
  <c r="AG95" i="305"/>
  <c r="AG97" i="305"/>
  <c r="AG143" i="307"/>
  <c r="AG144" i="307"/>
  <c r="AG149" i="307"/>
  <c r="AG163" i="307"/>
  <c r="AG164" i="307" s="1"/>
  <c r="AG178" i="307"/>
  <c r="AG186" i="307"/>
  <c r="AG185" i="307"/>
  <c r="AG216" i="307"/>
  <c r="AH18" i="305"/>
  <c r="AH19" i="305"/>
  <c r="AH22" i="305"/>
  <c r="AH23" i="305"/>
  <c r="AH63" i="305"/>
  <c r="AH64" i="305"/>
  <c r="AH73" i="307"/>
  <c r="AH74" i="307"/>
  <c r="AH103" i="307"/>
  <c r="AH104" i="307" s="1"/>
  <c r="AH114" i="307" s="1"/>
  <c r="AH310" i="307"/>
  <c r="AI152" i="306"/>
  <c r="AH85" i="305"/>
  <c r="AH86" i="305"/>
  <c r="AH140" i="306"/>
  <c r="F68" i="48"/>
  <c r="F134" i="306"/>
  <c r="AH141" i="306"/>
  <c r="AH147" i="306"/>
  <c r="AH148" i="306"/>
  <c r="AH149" i="306"/>
  <c r="AH153" i="306"/>
  <c r="AI154" i="306"/>
  <c r="AI156" i="306"/>
  <c r="AH67" i="305"/>
  <c r="AI68" i="305"/>
  <c r="AI80" i="305"/>
  <c r="AH76" i="305"/>
  <c r="AH77" i="305"/>
  <c r="AH81" i="305"/>
  <c r="AI82" i="305"/>
  <c r="AI157" i="306"/>
  <c r="AI158" i="306"/>
  <c r="AI216" i="306"/>
  <c r="AI197" i="306"/>
  <c r="AH192" i="306"/>
  <c r="F106" i="48"/>
  <c r="F186" i="306"/>
  <c r="AH193" i="306"/>
  <c r="AH194" i="306"/>
  <c r="AH198" i="306"/>
  <c r="AI199" i="306"/>
  <c r="AI201" i="306"/>
  <c r="AI202" i="306"/>
  <c r="AI203" i="306"/>
  <c r="AI209" i="306"/>
  <c r="AI205" i="306"/>
  <c r="AI206" i="306"/>
  <c r="AI207" i="306"/>
  <c r="AI210" i="306"/>
  <c r="AI211" i="306"/>
  <c r="AI217" i="306"/>
  <c r="AI218" i="306"/>
  <c r="AI221" i="306"/>
  <c r="AI222" i="306"/>
  <c r="AI68" i="307"/>
  <c r="AI69" i="307" s="1"/>
  <c r="AH137" i="307"/>
  <c r="AH130" i="307"/>
  <c r="AH18" i="309"/>
  <c r="AH136" i="307"/>
  <c r="AH96" i="305"/>
  <c r="AH95" i="305"/>
  <c r="AH97" i="305"/>
  <c r="AH143" i="307"/>
  <c r="AH144" i="307"/>
  <c r="AH149" i="307"/>
  <c r="AH163" i="307"/>
  <c r="AH164" i="307" s="1"/>
  <c r="AH178" i="307"/>
  <c r="AH186" i="307"/>
  <c r="AH185" i="307"/>
  <c r="AH216" i="307"/>
  <c r="AI18" i="305"/>
  <c r="AI19" i="305"/>
  <c r="AI22" i="305"/>
  <c r="AI23" i="305"/>
  <c r="AI63" i="305"/>
  <c r="AI64" i="305"/>
  <c r="AI73" i="307"/>
  <c r="AI74" i="307"/>
  <c r="AI103" i="307"/>
  <c r="AI104" i="307" s="1"/>
  <c r="AI114" i="307" s="1"/>
  <c r="AI310" i="307"/>
  <c r="AJ152" i="306"/>
  <c r="AI85" i="305"/>
  <c r="AI86" i="305"/>
  <c r="AI140" i="306"/>
  <c r="F69" i="48"/>
  <c r="F135" i="306"/>
  <c r="AI141" i="306"/>
  <c r="AI147" i="306"/>
  <c r="AI148" i="306"/>
  <c r="AI149" i="306"/>
  <c r="AI153" i="306"/>
  <c r="AJ154" i="306"/>
  <c r="AJ156" i="306"/>
  <c r="AI67" i="305"/>
  <c r="AJ68" i="305"/>
  <c r="AJ80" i="305"/>
  <c r="AI76" i="305"/>
  <c r="AI77" i="305"/>
  <c r="AI81" i="305"/>
  <c r="AJ82" i="305"/>
  <c r="AJ157" i="306"/>
  <c r="AJ158" i="306"/>
  <c r="AJ216" i="306"/>
  <c r="AJ197" i="306"/>
  <c r="AI192" i="306"/>
  <c r="F107" i="48"/>
  <c r="F187" i="306"/>
  <c r="AI193" i="306"/>
  <c r="AI194" i="306"/>
  <c r="AI198" i="306"/>
  <c r="AJ199" i="306"/>
  <c r="AJ201" i="306"/>
  <c r="AJ202" i="306"/>
  <c r="AJ203" i="306"/>
  <c r="AJ209" i="306"/>
  <c r="AJ205" i="306"/>
  <c r="AJ206" i="306"/>
  <c r="AJ207" i="306"/>
  <c r="AJ210" i="306"/>
  <c r="AJ211" i="306"/>
  <c r="AJ217" i="306"/>
  <c r="AJ218" i="306"/>
  <c r="AJ221" i="306"/>
  <c r="AJ222" i="306"/>
  <c r="AJ68" i="307"/>
  <c r="AJ69" i="307" s="1"/>
  <c r="AI137" i="307"/>
  <c r="AI130" i="307"/>
  <c r="AI18" i="309"/>
  <c r="AI136" i="307"/>
  <c r="AI96" i="305"/>
  <c r="AI95" i="305"/>
  <c r="AI97" i="305"/>
  <c r="AI143" i="307"/>
  <c r="AI144" i="307"/>
  <c r="AI149" i="307"/>
  <c r="AI163" i="307"/>
  <c r="AI164" i="307" s="1"/>
  <c r="AI178" i="307"/>
  <c r="AI186" i="307"/>
  <c r="AI185" i="307"/>
  <c r="AI216" i="307"/>
  <c r="AJ18" i="305"/>
  <c r="AJ19" i="305"/>
  <c r="AJ22" i="305"/>
  <c r="AJ23" i="305"/>
  <c r="AJ63" i="305"/>
  <c r="AJ64" i="305"/>
  <c r="AJ73" i="307"/>
  <c r="AJ74" i="307"/>
  <c r="AJ103" i="307"/>
  <c r="AJ104" i="307" s="1"/>
  <c r="AJ114" i="307" s="1"/>
  <c r="AJ310" i="307"/>
  <c r="AK152" i="306"/>
  <c r="AJ85" i="305"/>
  <c r="AJ86" i="305"/>
  <c r="AJ140" i="306"/>
  <c r="F70" i="48"/>
  <c r="F136" i="306"/>
  <c r="AJ141" i="306"/>
  <c r="AJ147" i="306"/>
  <c r="AJ148" i="306"/>
  <c r="AJ149" i="306"/>
  <c r="AJ153" i="306"/>
  <c r="AK154" i="306"/>
  <c r="AK156" i="306"/>
  <c r="AJ67" i="305"/>
  <c r="AK68" i="305"/>
  <c r="AK80" i="305"/>
  <c r="AJ76" i="305"/>
  <c r="AJ77" i="305"/>
  <c r="AJ81" i="305"/>
  <c r="AK82" i="305"/>
  <c r="AK157" i="306"/>
  <c r="AK158" i="306"/>
  <c r="AK216" i="306"/>
  <c r="AK197" i="306"/>
  <c r="AJ192" i="306"/>
  <c r="F108" i="48"/>
  <c r="F188" i="306"/>
  <c r="AJ193" i="306"/>
  <c r="AJ194" i="306"/>
  <c r="AJ198" i="306"/>
  <c r="AK199" i="306"/>
  <c r="AK201" i="306"/>
  <c r="AK202" i="306"/>
  <c r="AK203" i="306"/>
  <c r="AK209" i="306"/>
  <c r="AK205" i="306"/>
  <c r="AK206" i="306"/>
  <c r="AK207" i="306"/>
  <c r="AK210" i="306"/>
  <c r="AK211" i="306"/>
  <c r="AK217" i="306"/>
  <c r="AK218" i="306"/>
  <c r="AK221" i="306"/>
  <c r="AK222" i="306"/>
  <c r="AK68" i="307"/>
  <c r="AK69" i="307" s="1"/>
  <c r="AJ137" i="307"/>
  <c r="AJ130" i="307"/>
  <c r="AJ18" i="309"/>
  <c r="AJ136" i="307"/>
  <c r="AJ96" i="305"/>
  <c r="AJ95" i="305"/>
  <c r="AJ97" i="305"/>
  <c r="AJ143" i="307"/>
  <c r="AJ144" i="307"/>
  <c r="AJ149" i="307"/>
  <c r="AJ163" i="307"/>
  <c r="AJ164" i="307" s="1"/>
  <c r="AJ178" i="307"/>
  <c r="AJ186" i="307"/>
  <c r="AJ185" i="307"/>
  <c r="AJ216" i="307"/>
  <c r="AK18" i="305"/>
  <c r="AK19" i="305"/>
  <c r="AK22" i="305"/>
  <c r="AK23" i="305"/>
  <c r="AK63" i="305"/>
  <c r="AK64" i="305"/>
  <c r="AK73" i="307"/>
  <c r="AK74" i="307"/>
  <c r="AK103" i="307"/>
  <c r="AK104" i="307" s="1"/>
  <c r="AK114" i="307" s="1"/>
  <c r="AK310" i="307"/>
  <c r="AL152" i="306"/>
  <c r="AK85" i="305"/>
  <c r="AK86" i="305"/>
  <c r="AK140" i="306"/>
  <c r="F71" i="48"/>
  <c r="F137" i="306"/>
  <c r="AK141" i="306"/>
  <c r="AK147" i="306"/>
  <c r="AK148" i="306"/>
  <c r="AK149" i="306"/>
  <c r="AK153" i="306"/>
  <c r="AL154" i="306"/>
  <c r="AL156" i="306"/>
  <c r="AK67" i="305"/>
  <c r="AL68" i="305"/>
  <c r="AL80" i="305"/>
  <c r="AK76" i="305"/>
  <c r="AK77" i="305"/>
  <c r="AK81" i="305"/>
  <c r="AL82" i="305"/>
  <c r="AL157" i="306"/>
  <c r="AL158" i="306"/>
  <c r="AL216" i="306"/>
  <c r="AL197" i="306"/>
  <c r="AK192" i="306"/>
  <c r="F109" i="48"/>
  <c r="F189" i="306"/>
  <c r="AK193" i="306"/>
  <c r="AK194" i="306"/>
  <c r="AK198" i="306"/>
  <c r="AL199" i="306"/>
  <c r="AL201" i="306"/>
  <c r="AL202" i="306"/>
  <c r="AL203" i="306"/>
  <c r="AL209" i="306"/>
  <c r="AL205" i="306"/>
  <c r="AL206" i="306"/>
  <c r="AL207" i="306"/>
  <c r="AL210" i="306"/>
  <c r="AL211" i="306"/>
  <c r="AL217" i="306"/>
  <c r="AL218" i="306"/>
  <c r="AL221" i="306"/>
  <c r="AL222" i="306"/>
  <c r="AL68" i="307"/>
  <c r="AL69" i="307" s="1"/>
  <c r="AK137" i="307"/>
  <c r="AK130" i="307"/>
  <c r="AK18" i="309"/>
  <c r="AK136" i="307"/>
  <c r="AK96" i="305"/>
  <c r="AK95" i="305"/>
  <c r="AK97" i="305"/>
  <c r="AK143" i="307"/>
  <c r="AK144" i="307"/>
  <c r="AK149" i="307"/>
  <c r="AK163" i="307"/>
  <c r="AK164" i="307" s="1"/>
  <c r="AK178" i="307"/>
  <c r="AK186" i="307"/>
  <c r="AK185" i="307"/>
  <c r="AK216" i="307"/>
  <c r="AL18" i="305"/>
  <c r="AL19" i="305"/>
  <c r="AL22" i="305"/>
  <c r="AL23" i="305"/>
  <c r="AL63" i="305"/>
  <c r="AL64" i="305"/>
  <c r="AL73" i="307"/>
  <c r="AL74" i="307"/>
  <c r="AL103" i="307"/>
  <c r="AL104" i="307" s="1"/>
  <c r="AL114" i="307" s="1"/>
  <c r="AL310" i="307"/>
  <c r="AM152" i="306"/>
  <c r="AL85" i="305"/>
  <c r="AL86" i="305"/>
  <c r="AL140" i="306"/>
  <c r="F72" i="48"/>
  <c r="F138" i="306"/>
  <c r="AL141" i="306"/>
  <c r="AL147" i="306"/>
  <c r="AL148" i="306"/>
  <c r="AL149" i="306"/>
  <c r="AL153" i="306"/>
  <c r="AM154" i="306"/>
  <c r="AM156" i="306"/>
  <c r="AL67" i="305"/>
  <c r="AM68" i="305"/>
  <c r="AM80" i="305"/>
  <c r="AL76" i="305"/>
  <c r="AL77" i="305"/>
  <c r="AL81" i="305"/>
  <c r="AM82" i="305"/>
  <c r="AM157" i="306"/>
  <c r="AM158" i="306"/>
  <c r="AM216" i="306"/>
  <c r="AM197" i="306"/>
  <c r="AL192" i="306"/>
  <c r="F110" i="48"/>
  <c r="F190" i="306"/>
  <c r="AL193" i="306"/>
  <c r="AL194" i="306"/>
  <c r="AL198" i="306"/>
  <c r="AM199" i="306"/>
  <c r="AM201" i="306"/>
  <c r="AM202" i="306"/>
  <c r="AM203" i="306"/>
  <c r="AM209" i="306"/>
  <c r="AM205" i="306"/>
  <c r="AM206" i="306"/>
  <c r="AM207" i="306"/>
  <c r="AM210" i="306"/>
  <c r="AM211" i="306"/>
  <c r="AM217" i="306"/>
  <c r="AM218" i="306"/>
  <c r="AM221" i="306"/>
  <c r="AM222" i="306"/>
  <c r="AM68" i="307"/>
  <c r="AM69" i="307" s="1"/>
  <c r="AL137" i="307"/>
  <c r="AL130" i="307"/>
  <c r="AL18" i="309"/>
  <c r="AL136" i="307"/>
  <c r="AL96" i="305"/>
  <c r="AL95" i="305"/>
  <c r="AL97" i="305"/>
  <c r="AL143" i="307"/>
  <c r="AL144" i="307"/>
  <c r="AL149" i="307"/>
  <c r="AL163" i="307"/>
  <c r="AL164" i="307" s="1"/>
  <c r="AL178" i="307"/>
  <c r="AL186" i="307"/>
  <c r="AL185" i="307"/>
  <c r="AL216" i="307"/>
  <c r="AM18" i="305"/>
  <c r="AM19" i="305"/>
  <c r="AM22" i="305"/>
  <c r="AM23" i="305"/>
  <c r="AM63" i="305"/>
  <c r="AM64" i="305"/>
  <c r="AM73" i="307"/>
  <c r="AM74" i="307"/>
  <c r="AM103" i="307"/>
  <c r="AM104" i="307" s="1"/>
  <c r="AM114" i="307" s="1"/>
  <c r="AM310" i="307"/>
  <c r="AN152" i="306"/>
  <c r="AM85" i="305"/>
  <c r="AM86" i="305"/>
  <c r="AM140" i="306"/>
  <c r="F73" i="48"/>
  <c r="F139" i="306"/>
  <c r="AM141" i="306"/>
  <c r="AM147" i="306"/>
  <c r="AM148" i="306"/>
  <c r="AM149" i="306"/>
  <c r="AM153" i="306"/>
  <c r="AN154" i="306"/>
  <c r="AN156" i="306"/>
  <c r="AM67" i="305"/>
  <c r="AN68" i="305"/>
  <c r="AN80" i="305"/>
  <c r="AM76" i="305"/>
  <c r="AM77" i="305"/>
  <c r="AM81" i="305"/>
  <c r="AN82" i="305"/>
  <c r="AN157" i="306"/>
  <c r="AN158" i="306"/>
  <c r="AN216" i="306"/>
  <c r="AN197" i="306"/>
  <c r="AM192" i="306"/>
  <c r="F111" i="48"/>
  <c r="F191" i="306"/>
  <c r="AM193" i="306"/>
  <c r="AM194" i="306"/>
  <c r="AM198" i="306"/>
  <c r="AN199" i="306"/>
  <c r="AN201" i="306"/>
  <c r="AN202" i="306"/>
  <c r="AN203" i="306"/>
  <c r="AN209" i="306"/>
  <c r="AN205" i="306"/>
  <c r="AN206" i="306"/>
  <c r="AN207" i="306"/>
  <c r="AN210" i="306"/>
  <c r="AN211" i="306"/>
  <c r="AN217" i="306"/>
  <c r="AN218" i="306"/>
  <c r="AN221" i="306"/>
  <c r="AN222" i="306"/>
  <c r="AN68" i="307"/>
  <c r="AN69" i="307" s="1"/>
  <c r="AM137" i="307"/>
  <c r="AM130" i="307"/>
  <c r="AM18" i="309"/>
  <c r="AM136" i="307"/>
  <c r="AM96" i="305"/>
  <c r="AM95" i="305"/>
  <c r="AM97" i="305"/>
  <c r="AM143" i="307"/>
  <c r="AM144" i="307"/>
  <c r="AM149" i="307"/>
  <c r="AM163" i="307"/>
  <c r="AM164" i="307" s="1"/>
  <c r="AM178" i="307"/>
  <c r="AM186" i="307"/>
  <c r="AM185" i="307"/>
  <c r="AM216" i="307"/>
  <c r="AN18" i="305"/>
  <c r="AN19" i="305"/>
  <c r="AN22" i="305"/>
  <c r="AN23" i="305"/>
  <c r="AN63" i="305"/>
  <c r="AN64" i="305"/>
  <c r="AN73" i="307"/>
  <c r="AN74" i="307"/>
  <c r="AN103" i="307"/>
  <c r="AN104" i="307" s="1"/>
  <c r="AN114" i="307" s="1"/>
  <c r="AN310" i="307"/>
  <c r="AO152" i="306"/>
  <c r="AN85" i="305"/>
  <c r="AN86" i="305"/>
  <c r="AN140" i="306"/>
  <c r="AN141" i="306"/>
  <c r="AN147" i="306"/>
  <c r="AN148" i="306"/>
  <c r="AN149" i="306"/>
  <c r="AN153" i="306"/>
  <c r="AO154" i="306"/>
  <c r="AO156" i="306"/>
  <c r="AN67" i="305"/>
  <c r="AO68" i="305"/>
  <c r="AO80" i="305"/>
  <c r="AN76" i="305"/>
  <c r="AN77" i="305"/>
  <c r="AN81" i="305"/>
  <c r="AO82" i="305"/>
  <c r="AO157" i="306"/>
  <c r="AO158" i="306"/>
  <c r="AO216" i="306"/>
  <c r="AO197" i="306"/>
  <c r="AN192" i="306"/>
  <c r="AN193" i="306"/>
  <c r="AN194" i="306"/>
  <c r="AN198" i="306"/>
  <c r="AO199" i="306"/>
  <c r="AO201" i="306"/>
  <c r="AO202" i="306"/>
  <c r="AO203" i="306"/>
  <c r="AO209" i="306"/>
  <c r="AO205" i="306"/>
  <c r="AO206" i="306"/>
  <c r="AO207" i="306"/>
  <c r="AO210" i="306"/>
  <c r="AO211" i="306"/>
  <c r="AO217" i="306"/>
  <c r="AO218" i="306"/>
  <c r="AO221" i="306"/>
  <c r="AO222" i="306"/>
  <c r="AO68" i="307"/>
  <c r="AO69" i="307" s="1"/>
  <c r="AN137" i="307"/>
  <c r="AN138" i="307" s="1"/>
  <c r="AN142" i="307" s="1"/>
  <c r="AN96" i="305"/>
  <c r="AN95" i="305"/>
  <c r="AN97" i="305"/>
  <c r="AN143" i="307"/>
  <c r="AN144" i="307"/>
  <c r="AN149" i="307"/>
  <c r="AN163" i="307"/>
  <c r="AN164" i="307" s="1"/>
  <c r="AN178" i="307"/>
  <c r="AN186" i="307"/>
  <c r="AN185" i="307"/>
  <c r="AN216" i="307"/>
  <c r="AO18" i="305"/>
  <c r="AO19" i="305"/>
  <c r="AO22" i="305"/>
  <c r="AO23" i="305"/>
  <c r="AO63" i="305"/>
  <c r="AO64" i="305"/>
  <c r="AO73" i="307"/>
  <c r="AO74" i="307"/>
  <c r="AO103" i="307"/>
  <c r="AO104" i="307" s="1"/>
  <c r="AO114" i="307" s="1"/>
  <c r="AO310" i="307"/>
  <c r="AP152" i="306"/>
  <c r="AO85" i="305"/>
  <c r="AO86" i="305"/>
  <c r="AO140" i="306"/>
  <c r="AO141" i="306"/>
  <c r="AO147" i="306"/>
  <c r="AO148" i="306"/>
  <c r="AO149" i="306"/>
  <c r="AO153" i="306"/>
  <c r="AP154" i="306"/>
  <c r="AP156" i="306"/>
  <c r="AO67" i="305"/>
  <c r="AP68" i="305"/>
  <c r="AP80" i="305"/>
  <c r="AO76" i="305"/>
  <c r="AO77" i="305"/>
  <c r="AO81" i="305"/>
  <c r="AP82" i="305"/>
  <c r="AP157" i="306"/>
  <c r="AP158" i="306"/>
  <c r="AP216" i="306"/>
  <c r="AP197" i="306"/>
  <c r="AO192" i="306"/>
  <c r="AO193" i="306"/>
  <c r="AO194" i="306"/>
  <c r="AO198" i="306"/>
  <c r="AP199" i="306"/>
  <c r="AP201" i="306"/>
  <c r="AP202" i="306"/>
  <c r="AP203" i="306"/>
  <c r="AP209" i="306"/>
  <c r="AP205" i="306"/>
  <c r="AP206" i="306"/>
  <c r="AP207" i="306"/>
  <c r="AP210" i="306"/>
  <c r="AP211" i="306"/>
  <c r="AP217" i="306"/>
  <c r="AP218" i="306"/>
  <c r="AP221" i="306"/>
  <c r="AP222" i="306"/>
  <c r="AP68" i="307"/>
  <c r="AP69" i="307" s="1"/>
  <c r="AO137" i="307"/>
  <c r="AO138" i="307" s="1"/>
  <c r="AO142" i="307" s="1"/>
  <c r="AO96" i="305"/>
  <c r="AO95" i="305"/>
  <c r="AO97" i="305"/>
  <c r="AO143" i="307"/>
  <c r="AO144" i="307"/>
  <c r="AO149" i="307"/>
  <c r="AO163" i="307"/>
  <c r="AO164" i="307" s="1"/>
  <c r="AO178" i="307"/>
  <c r="AO186" i="307"/>
  <c r="AO185" i="307"/>
  <c r="AO216" i="307"/>
  <c r="AP18" i="305"/>
  <c r="AP19" i="305"/>
  <c r="AP22" i="305"/>
  <c r="AP23" i="305"/>
  <c r="AP63" i="305"/>
  <c r="AP64" i="305"/>
  <c r="AP73" i="307"/>
  <c r="AP74" i="307"/>
  <c r="AP103" i="307"/>
  <c r="AP104" i="307" s="1"/>
  <c r="AP114" i="307" s="1"/>
  <c r="AP310" i="307"/>
  <c r="AQ152" i="306"/>
  <c r="AP85" i="305"/>
  <c r="AP86" i="305"/>
  <c r="AP140" i="306"/>
  <c r="AP141" i="306"/>
  <c r="AP147" i="306"/>
  <c r="AP148" i="306"/>
  <c r="AP149" i="306"/>
  <c r="AP153" i="306"/>
  <c r="AQ154" i="306"/>
  <c r="AQ156" i="306"/>
  <c r="AP67" i="305"/>
  <c r="AQ68" i="305"/>
  <c r="AQ80" i="305"/>
  <c r="AP76" i="305"/>
  <c r="AP77" i="305"/>
  <c r="AP81" i="305"/>
  <c r="AQ82" i="305"/>
  <c r="AQ157" i="306"/>
  <c r="AQ158" i="306"/>
  <c r="AQ216" i="306"/>
  <c r="AQ197" i="306"/>
  <c r="AP192" i="306"/>
  <c r="AP193" i="306"/>
  <c r="AP194" i="306"/>
  <c r="AP198" i="306"/>
  <c r="AQ199" i="306"/>
  <c r="AQ201" i="306"/>
  <c r="AQ202" i="306"/>
  <c r="AQ203" i="306"/>
  <c r="AQ209" i="306"/>
  <c r="AQ205" i="306"/>
  <c r="AQ206" i="306"/>
  <c r="AQ207" i="306"/>
  <c r="AQ210" i="306"/>
  <c r="AQ211" i="306"/>
  <c r="AQ217" i="306"/>
  <c r="AQ218" i="306"/>
  <c r="AQ221" i="306"/>
  <c r="AQ222" i="306"/>
  <c r="AQ68" i="307"/>
  <c r="AQ69" i="307" s="1"/>
  <c r="AP137" i="307"/>
  <c r="AP138" i="307" s="1"/>
  <c r="AP142" i="307" s="1"/>
  <c r="AP96" i="305"/>
  <c r="AP95" i="305"/>
  <c r="AP97" i="305"/>
  <c r="AP143" i="307"/>
  <c r="AP144" i="307"/>
  <c r="AP149" i="307"/>
  <c r="AP163" i="307"/>
  <c r="AP164" i="307" s="1"/>
  <c r="AP178" i="307"/>
  <c r="AP186" i="307"/>
  <c r="AP185" i="307"/>
  <c r="AP216" i="307"/>
  <c r="AQ18" i="305"/>
  <c r="AQ19" i="305"/>
  <c r="AQ22" i="305"/>
  <c r="AQ23" i="305"/>
  <c r="AQ63" i="305"/>
  <c r="AQ64" i="305"/>
  <c r="AQ73" i="307"/>
  <c r="AQ74" i="307"/>
  <c r="AQ103" i="307"/>
  <c r="AQ104" i="307" s="1"/>
  <c r="AQ114" i="307" s="1"/>
  <c r="AQ310" i="307"/>
  <c r="AR152" i="306"/>
  <c r="AQ85" i="305"/>
  <c r="AQ86" i="305"/>
  <c r="AQ140" i="306"/>
  <c r="AQ141" i="306"/>
  <c r="AQ147" i="306"/>
  <c r="AQ148" i="306"/>
  <c r="AQ149" i="306"/>
  <c r="AQ153" i="306"/>
  <c r="AR154" i="306"/>
  <c r="AR156" i="306"/>
  <c r="AQ67" i="305"/>
  <c r="AR68" i="305"/>
  <c r="AR80" i="305"/>
  <c r="AQ76" i="305"/>
  <c r="AQ77" i="305"/>
  <c r="AQ81" i="305"/>
  <c r="AR82" i="305"/>
  <c r="AR157" i="306"/>
  <c r="AR158" i="306"/>
  <c r="AR216" i="306"/>
  <c r="AR197" i="306"/>
  <c r="AQ192" i="306"/>
  <c r="AQ193" i="306"/>
  <c r="AQ194" i="306"/>
  <c r="AQ198" i="306"/>
  <c r="AR199" i="306"/>
  <c r="AR201" i="306"/>
  <c r="AR202" i="306"/>
  <c r="AR203" i="306"/>
  <c r="AR209" i="306"/>
  <c r="AR205" i="306"/>
  <c r="AR206" i="306"/>
  <c r="AR207" i="306"/>
  <c r="AR210" i="306"/>
  <c r="AR211" i="306"/>
  <c r="AR217" i="306"/>
  <c r="AR218" i="306"/>
  <c r="AR221" i="306"/>
  <c r="AR222" i="306"/>
  <c r="AR68" i="307"/>
  <c r="AR69" i="307" s="1"/>
  <c r="AQ137" i="307"/>
  <c r="AQ138" i="307" s="1"/>
  <c r="AQ142" i="307" s="1"/>
  <c r="AQ96" i="305"/>
  <c r="AQ95" i="305"/>
  <c r="AQ97" i="305"/>
  <c r="AQ143" i="307"/>
  <c r="AQ144" i="307"/>
  <c r="AQ149" i="307"/>
  <c r="AQ163" i="307"/>
  <c r="AQ164" i="307" s="1"/>
  <c r="AQ178" i="307"/>
  <c r="AQ186" i="307"/>
  <c r="AQ185" i="307"/>
  <c r="AQ216" i="307"/>
  <c r="AR18" i="305"/>
  <c r="AR19" i="305"/>
  <c r="AR22" i="305"/>
  <c r="AR23" i="305"/>
  <c r="AR63" i="305"/>
  <c r="AR64" i="305"/>
  <c r="AR73" i="307"/>
  <c r="AR74" i="307"/>
  <c r="AR103" i="307"/>
  <c r="AR104" i="307" s="1"/>
  <c r="AR114" i="307" s="1"/>
  <c r="AR310" i="307"/>
  <c r="AS152" i="306"/>
  <c r="AR85" i="305"/>
  <c r="AR86" i="305"/>
  <c r="AR140" i="306"/>
  <c r="AR141" i="306"/>
  <c r="AR147" i="306"/>
  <c r="AR148" i="306"/>
  <c r="AR149" i="306"/>
  <c r="AR153" i="306"/>
  <c r="AS154" i="306"/>
  <c r="AS156" i="306"/>
  <c r="AR67" i="305"/>
  <c r="AS68" i="305"/>
  <c r="AS80" i="305"/>
  <c r="AR76" i="305"/>
  <c r="AR77" i="305"/>
  <c r="AR81" i="305"/>
  <c r="AS82" i="305"/>
  <c r="AS157" i="306"/>
  <c r="AS158" i="306"/>
  <c r="AS216" i="306"/>
  <c r="AS197" i="306"/>
  <c r="AR192" i="306"/>
  <c r="AR193" i="306"/>
  <c r="AR194" i="306"/>
  <c r="AR198" i="306"/>
  <c r="AS199" i="306"/>
  <c r="AS201" i="306"/>
  <c r="AS202" i="306"/>
  <c r="AS203" i="306"/>
  <c r="AS209" i="306"/>
  <c r="AS205" i="306"/>
  <c r="AS206" i="306"/>
  <c r="AS207" i="306"/>
  <c r="AS210" i="306"/>
  <c r="AS211" i="306"/>
  <c r="AS217" i="306"/>
  <c r="AS218" i="306"/>
  <c r="AS221" i="306"/>
  <c r="AS222" i="306"/>
  <c r="AS68" i="307"/>
  <c r="AS69" i="307" s="1"/>
  <c r="AR137" i="307"/>
  <c r="AR138" i="307" s="1"/>
  <c r="AR142" i="307" s="1"/>
  <c r="AR96" i="305"/>
  <c r="AR95" i="305"/>
  <c r="AR97" i="305"/>
  <c r="AR143" i="307"/>
  <c r="AR144" i="307"/>
  <c r="AR149" i="307"/>
  <c r="AR163" i="307"/>
  <c r="AR164" i="307" s="1"/>
  <c r="AR178" i="307"/>
  <c r="AR186" i="307"/>
  <c r="AR185" i="307"/>
  <c r="AR216" i="307"/>
  <c r="AS18" i="305"/>
  <c r="AS19" i="305"/>
  <c r="AS22" i="305"/>
  <c r="AS23" i="305"/>
  <c r="AS63" i="305"/>
  <c r="AS64" i="305"/>
  <c r="AS73" i="307"/>
  <c r="AS74" i="307"/>
  <c r="AS103" i="307"/>
  <c r="AS104" i="307" s="1"/>
  <c r="AS114" i="307" s="1"/>
  <c r="AS310" i="307"/>
  <c r="AT152" i="306"/>
  <c r="AS85" i="305"/>
  <c r="AS86" i="305"/>
  <c r="AS140" i="306"/>
  <c r="AS141" i="306"/>
  <c r="AS147" i="306"/>
  <c r="AS148" i="306"/>
  <c r="AS149" i="306"/>
  <c r="AS153" i="306"/>
  <c r="AT154" i="306"/>
  <c r="AT156" i="306"/>
  <c r="AS67" i="305"/>
  <c r="AT68" i="305"/>
  <c r="AT80" i="305"/>
  <c r="AS76" i="305"/>
  <c r="AS77" i="305"/>
  <c r="AS81" i="305"/>
  <c r="AT82" i="305"/>
  <c r="AT157" i="306"/>
  <c r="AT158" i="306"/>
  <c r="AT216" i="306"/>
  <c r="AT197" i="306"/>
  <c r="AS192" i="306"/>
  <c r="AS193" i="306"/>
  <c r="AS194" i="306"/>
  <c r="AS198" i="306"/>
  <c r="AT199" i="306"/>
  <c r="AT201" i="306"/>
  <c r="AT202" i="306"/>
  <c r="AT203" i="306"/>
  <c r="AT209" i="306"/>
  <c r="AT205" i="306"/>
  <c r="AT206" i="306"/>
  <c r="AT207" i="306"/>
  <c r="AT210" i="306"/>
  <c r="AT211" i="306"/>
  <c r="AT217" i="306"/>
  <c r="AT218" i="306"/>
  <c r="AT221" i="306"/>
  <c r="AT222" i="306"/>
  <c r="AT68" i="307"/>
  <c r="AT69" i="307" s="1"/>
  <c r="AS137" i="307"/>
  <c r="AS138" i="307" s="1"/>
  <c r="AS142" i="307" s="1"/>
  <c r="AS96" i="305"/>
  <c r="AS95" i="305"/>
  <c r="AS97" i="305"/>
  <c r="AS143" i="307"/>
  <c r="AS144" i="307"/>
  <c r="AS149" i="307"/>
  <c r="AS163" i="307"/>
  <c r="AS164" i="307" s="1"/>
  <c r="AS178" i="307"/>
  <c r="AS186" i="307"/>
  <c r="AS185" i="307"/>
  <c r="AS216" i="307"/>
  <c r="AT18" i="305"/>
  <c r="AT19" i="305"/>
  <c r="AT22" i="305"/>
  <c r="AT23" i="305"/>
  <c r="AT63" i="305"/>
  <c r="AT64" i="305"/>
  <c r="AT73" i="307"/>
  <c r="AT74" i="307"/>
  <c r="AT103" i="307"/>
  <c r="AT104" i="307" s="1"/>
  <c r="AT114" i="307" s="1"/>
  <c r="AT310" i="307"/>
  <c r="AU152" i="306"/>
  <c r="AT85" i="305"/>
  <c r="AT86" i="305"/>
  <c r="AT140" i="306"/>
  <c r="AT141" i="306"/>
  <c r="AT147" i="306"/>
  <c r="AT148" i="306"/>
  <c r="AT149" i="306"/>
  <c r="AT153" i="306"/>
  <c r="AU154" i="306"/>
  <c r="AU156" i="306"/>
  <c r="AT67" i="305"/>
  <c r="AU68" i="305"/>
  <c r="AU80" i="305"/>
  <c r="AT76" i="305"/>
  <c r="AT77" i="305"/>
  <c r="AT81" i="305"/>
  <c r="AU82" i="305"/>
  <c r="AU157" i="306"/>
  <c r="AU158" i="306"/>
  <c r="AU216" i="306"/>
  <c r="AU197" i="306"/>
  <c r="AT192" i="306"/>
  <c r="AT193" i="306"/>
  <c r="AT194" i="306"/>
  <c r="AT198" i="306"/>
  <c r="AU199" i="306"/>
  <c r="AU201" i="306"/>
  <c r="AU202" i="306"/>
  <c r="AU203" i="306"/>
  <c r="AU209" i="306"/>
  <c r="AU205" i="306"/>
  <c r="AU206" i="306"/>
  <c r="AU207" i="306"/>
  <c r="AU210" i="306"/>
  <c r="AU211" i="306"/>
  <c r="AU217" i="306"/>
  <c r="AU218" i="306"/>
  <c r="AU221" i="306"/>
  <c r="AU222" i="306"/>
  <c r="AU68" i="307"/>
  <c r="AU69" i="307" s="1"/>
  <c r="AT137" i="307"/>
  <c r="AT138" i="307" s="1"/>
  <c r="AT142" i="307" s="1"/>
  <c r="AT96" i="305"/>
  <c r="AT95" i="305"/>
  <c r="AT97" i="305"/>
  <c r="AT143" i="307"/>
  <c r="AT144" i="307"/>
  <c r="AT149" i="307"/>
  <c r="AT163" i="307"/>
  <c r="AT164" i="307" s="1"/>
  <c r="AT178" i="307"/>
  <c r="AT186" i="307"/>
  <c r="AT185" i="307"/>
  <c r="AT216" i="307"/>
  <c r="AU18" i="305"/>
  <c r="AU19" i="305"/>
  <c r="AU22" i="305"/>
  <c r="AU23" i="305"/>
  <c r="AU63" i="305"/>
  <c r="AU64" i="305"/>
  <c r="AU73" i="307"/>
  <c r="AU74" i="307"/>
  <c r="AU103" i="307"/>
  <c r="AU104" i="307" s="1"/>
  <c r="AU114" i="307" s="1"/>
  <c r="AU310" i="307"/>
  <c r="AV152" i="306"/>
  <c r="AU85" i="305"/>
  <c r="AU86" i="305"/>
  <c r="AU140" i="306"/>
  <c r="AU141" i="306"/>
  <c r="AU147" i="306"/>
  <c r="AU148" i="306"/>
  <c r="AU149" i="306"/>
  <c r="AU153" i="306"/>
  <c r="AV154" i="306"/>
  <c r="AV156" i="306"/>
  <c r="AU67" i="305"/>
  <c r="AV68" i="305"/>
  <c r="AV80" i="305"/>
  <c r="AU76" i="305"/>
  <c r="AU77" i="305"/>
  <c r="AU81" i="305"/>
  <c r="AV82" i="305"/>
  <c r="AV157" i="306"/>
  <c r="AV158" i="306"/>
  <c r="AV216" i="306"/>
  <c r="AV197" i="306"/>
  <c r="AU192" i="306"/>
  <c r="AU193" i="306"/>
  <c r="AU194" i="306"/>
  <c r="AU198" i="306"/>
  <c r="AV199" i="306"/>
  <c r="AV201" i="306"/>
  <c r="AV202" i="306"/>
  <c r="AV203" i="306"/>
  <c r="AV209" i="306"/>
  <c r="AV205" i="306"/>
  <c r="AV206" i="306"/>
  <c r="AV207" i="306"/>
  <c r="AV210" i="306"/>
  <c r="AV211" i="306"/>
  <c r="AV217" i="306"/>
  <c r="AV218" i="306"/>
  <c r="AV221" i="306"/>
  <c r="AV222" i="306"/>
  <c r="AV68" i="307"/>
  <c r="AV69" i="307" s="1"/>
  <c r="AU137" i="307"/>
  <c r="AU138" i="307" s="1"/>
  <c r="AU142" i="307" s="1"/>
  <c r="AU96" i="305"/>
  <c r="AU95" i="305"/>
  <c r="AU97" i="305"/>
  <c r="AU143" i="307"/>
  <c r="AU144" i="307"/>
  <c r="AU149" i="307"/>
  <c r="AU163" i="307"/>
  <c r="AU164" i="307" s="1"/>
  <c r="AU178" i="307"/>
  <c r="AU186" i="307"/>
  <c r="AU185" i="307"/>
  <c r="AU216" i="307"/>
  <c r="AV18" i="305"/>
  <c r="AV19" i="305"/>
  <c r="AV22" i="305"/>
  <c r="AV23" i="305"/>
  <c r="AV63" i="305"/>
  <c r="AV64" i="305"/>
  <c r="AV73" i="307"/>
  <c r="AV74" i="307"/>
  <c r="AV103" i="307"/>
  <c r="AV104" i="307" s="1"/>
  <c r="AV114" i="307" s="1"/>
  <c r="AV310" i="307"/>
  <c r="AW152" i="306"/>
  <c r="AV85" i="305"/>
  <c r="AV86" i="305"/>
  <c r="AV140" i="306"/>
  <c r="AV141" i="306"/>
  <c r="AV147" i="306"/>
  <c r="AV148" i="306"/>
  <c r="AV149" i="306"/>
  <c r="AV153" i="306"/>
  <c r="AW154" i="306"/>
  <c r="AW156" i="306"/>
  <c r="AV67" i="305"/>
  <c r="AW68" i="305"/>
  <c r="AW80" i="305"/>
  <c r="AV76" i="305"/>
  <c r="AV77" i="305"/>
  <c r="AV81" i="305"/>
  <c r="AW82" i="305"/>
  <c r="AW157" i="306"/>
  <c r="AW158" i="306"/>
  <c r="AW216" i="306"/>
  <c r="AW197" i="306"/>
  <c r="AV192" i="306"/>
  <c r="AV193" i="306"/>
  <c r="AV194" i="306"/>
  <c r="AV198" i="306"/>
  <c r="AW199" i="306"/>
  <c r="AW201" i="306"/>
  <c r="AW202" i="306"/>
  <c r="AW203" i="306"/>
  <c r="AW209" i="306"/>
  <c r="AW205" i="306"/>
  <c r="AW206" i="306"/>
  <c r="AW207" i="306"/>
  <c r="AW210" i="306"/>
  <c r="AW211" i="306"/>
  <c r="AW217" i="306"/>
  <c r="AW218" i="306"/>
  <c r="AW221" i="306"/>
  <c r="AW222" i="306"/>
  <c r="AW68" i="307"/>
  <c r="AW69" i="307" s="1"/>
  <c r="AV137" i="307"/>
  <c r="AV138" i="307" s="1"/>
  <c r="AV142" i="307" s="1"/>
  <c r="AV96" i="305"/>
  <c r="AV95" i="305"/>
  <c r="AV97" i="305"/>
  <c r="AV143" i="307"/>
  <c r="AV144" i="307"/>
  <c r="AV149" i="307"/>
  <c r="AV163" i="307"/>
  <c r="AV164" i="307" s="1"/>
  <c r="AV178" i="307"/>
  <c r="AV186" i="307"/>
  <c r="AV185" i="307"/>
  <c r="AV216" i="307"/>
  <c r="AW18" i="305"/>
  <c r="AW19" i="305"/>
  <c r="AW22" i="305"/>
  <c r="AW23" i="305"/>
  <c r="AW63" i="305"/>
  <c r="AW64" i="305"/>
  <c r="AW73" i="307"/>
  <c r="AW74" i="307"/>
  <c r="AW103" i="307"/>
  <c r="AW104" i="307" s="1"/>
  <c r="AW114" i="307" s="1"/>
  <c r="AW310" i="307"/>
  <c r="AX152" i="306"/>
  <c r="AW85" i="305"/>
  <c r="AW86" i="305"/>
  <c r="AW140" i="306"/>
  <c r="AW141" i="306"/>
  <c r="AW147" i="306"/>
  <c r="AW148" i="306"/>
  <c r="AW149" i="306"/>
  <c r="AW153" i="306"/>
  <c r="AX154" i="306"/>
  <c r="AX156" i="306"/>
  <c r="AW67" i="305"/>
  <c r="AX68" i="305"/>
  <c r="AX80" i="305"/>
  <c r="AW76" i="305"/>
  <c r="AW77" i="305"/>
  <c r="AW81" i="305"/>
  <c r="AX82" i="305"/>
  <c r="AX157" i="306"/>
  <c r="AX158" i="306"/>
  <c r="AX216" i="306"/>
  <c r="AX197" i="306"/>
  <c r="AW192" i="306"/>
  <c r="AW193" i="306"/>
  <c r="AW194" i="306"/>
  <c r="AW198" i="306"/>
  <c r="AX199" i="306"/>
  <c r="AX201" i="306"/>
  <c r="AX202" i="306"/>
  <c r="AX203" i="306"/>
  <c r="AX209" i="306"/>
  <c r="AX205" i="306"/>
  <c r="AX206" i="306"/>
  <c r="AX207" i="306"/>
  <c r="AX210" i="306"/>
  <c r="AX211" i="306"/>
  <c r="AX217" i="306"/>
  <c r="AX218" i="306"/>
  <c r="AX221" i="306"/>
  <c r="AX222" i="306"/>
  <c r="AX68" i="307"/>
  <c r="AX69" i="307" s="1"/>
  <c r="AW137" i="307"/>
  <c r="AW138" i="307" s="1"/>
  <c r="AW142" i="307" s="1"/>
  <c r="AW96" i="305"/>
  <c r="AW95" i="305"/>
  <c r="AW97" i="305"/>
  <c r="AW143" i="307"/>
  <c r="AW144" i="307"/>
  <c r="AW149" i="307"/>
  <c r="AW163" i="307"/>
  <c r="AW164" i="307" s="1"/>
  <c r="AW178" i="307"/>
  <c r="AW186" i="307"/>
  <c r="AW185" i="307"/>
  <c r="AW216" i="307"/>
  <c r="AX18" i="305"/>
  <c r="AX19" i="305"/>
  <c r="AX22" i="305"/>
  <c r="AX23" i="305"/>
  <c r="AX63" i="305"/>
  <c r="AX64" i="305"/>
  <c r="AX73" i="307"/>
  <c r="AX74" i="307"/>
  <c r="AX103" i="307"/>
  <c r="AX104" i="307" s="1"/>
  <c r="AX114" i="307" s="1"/>
  <c r="AX310" i="307"/>
  <c r="AY152" i="306"/>
  <c r="AX85" i="305"/>
  <c r="AX86" i="305"/>
  <c r="AX140" i="306"/>
  <c r="AX141" i="306"/>
  <c r="AX147" i="306"/>
  <c r="AX148" i="306"/>
  <c r="AX149" i="306"/>
  <c r="AX153" i="306"/>
  <c r="AY154" i="306"/>
  <c r="AY156" i="306"/>
  <c r="AX67" i="305"/>
  <c r="AY68" i="305"/>
  <c r="AY80" i="305"/>
  <c r="AX76" i="305"/>
  <c r="AX77" i="305"/>
  <c r="AX81" i="305"/>
  <c r="AY82" i="305"/>
  <c r="AY157" i="306"/>
  <c r="AY158" i="306"/>
  <c r="AY216" i="306"/>
  <c r="AY197" i="306"/>
  <c r="AX192" i="306"/>
  <c r="AX193" i="306"/>
  <c r="AX194" i="306"/>
  <c r="AX198" i="306"/>
  <c r="AY199" i="306"/>
  <c r="AY201" i="306"/>
  <c r="AY202" i="306"/>
  <c r="AY203" i="306"/>
  <c r="AY209" i="306"/>
  <c r="AY205" i="306"/>
  <c r="AY206" i="306"/>
  <c r="AY207" i="306"/>
  <c r="AY210" i="306"/>
  <c r="AY211" i="306"/>
  <c r="AY217" i="306"/>
  <c r="AY218" i="306"/>
  <c r="AY221" i="306"/>
  <c r="AY222" i="306"/>
  <c r="AY68" i="307"/>
  <c r="AY69" i="307" s="1"/>
  <c r="AX137" i="307"/>
  <c r="AX138" i="307" s="1"/>
  <c r="AX142" i="307" s="1"/>
  <c r="AX96" i="305"/>
  <c r="AX95" i="305"/>
  <c r="AX97" i="305"/>
  <c r="AX143" i="307"/>
  <c r="AX144" i="307"/>
  <c r="AX149" i="307"/>
  <c r="AX163" i="307"/>
  <c r="AX164" i="307" s="1"/>
  <c r="AX178" i="307"/>
  <c r="AX186" i="307"/>
  <c r="AX185" i="307"/>
  <c r="AX216" i="307"/>
  <c r="AY18" i="305"/>
  <c r="AY19" i="305"/>
  <c r="AY22" i="305"/>
  <c r="AY23" i="305"/>
  <c r="AY63" i="305"/>
  <c r="AY64" i="305"/>
  <c r="AY73" i="307"/>
  <c r="AY74" i="307"/>
  <c r="AY103" i="307"/>
  <c r="AY104" i="307" s="1"/>
  <c r="AY114" i="307" s="1"/>
  <c r="AY310" i="307"/>
  <c r="AZ152" i="306"/>
  <c r="AY85" i="305"/>
  <c r="AY86" i="305"/>
  <c r="AY140" i="306"/>
  <c r="AY141" i="306"/>
  <c r="AY147" i="306"/>
  <c r="AY148" i="306"/>
  <c r="AY149" i="306"/>
  <c r="AY153" i="306"/>
  <c r="AZ154" i="306"/>
  <c r="AZ156" i="306"/>
  <c r="AY67" i="305"/>
  <c r="AZ68" i="305"/>
  <c r="AZ80" i="305"/>
  <c r="AY76" i="305"/>
  <c r="AY77" i="305"/>
  <c r="AY81" i="305"/>
  <c r="AZ82" i="305"/>
  <c r="AZ157" i="306"/>
  <c r="AZ158" i="306"/>
  <c r="AZ216" i="306"/>
  <c r="AZ197" i="306"/>
  <c r="AY192" i="306"/>
  <c r="AY193" i="306"/>
  <c r="AY194" i="306"/>
  <c r="AY198" i="306"/>
  <c r="AZ199" i="306"/>
  <c r="AZ201" i="306"/>
  <c r="AZ202" i="306"/>
  <c r="AZ203" i="306"/>
  <c r="AZ209" i="306"/>
  <c r="AZ205" i="306"/>
  <c r="AZ206" i="306"/>
  <c r="AZ207" i="306"/>
  <c r="AZ210" i="306"/>
  <c r="AZ211" i="306"/>
  <c r="AZ217" i="306"/>
  <c r="AZ218" i="306"/>
  <c r="AZ221" i="306"/>
  <c r="AZ222" i="306"/>
  <c r="AZ68" i="307"/>
  <c r="AZ69" i="307" s="1"/>
  <c r="AY137" i="307"/>
  <c r="AY138" i="307" s="1"/>
  <c r="AY142" i="307" s="1"/>
  <c r="AY96" i="305"/>
  <c r="AY95" i="305"/>
  <c r="AY97" i="305"/>
  <c r="AY143" i="307"/>
  <c r="AY144" i="307"/>
  <c r="AY149" i="307"/>
  <c r="AY163" i="307"/>
  <c r="AY164" i="307" s="1"/>
  <c r="AY178" i="307"/>
  <c r="AY186" i="307"/>
  <c r="AY185" i="307"/>
  <c r="AY216" i="307"/>
  <c r="AZ18" i="305"/>
  <c r="AZ19" i="305"/>
  <c r="AZ22" i="305"/>
  <c r="AZ23" i="305"/>
  <c r="AZ63" i="305"/>
  <c r="AZ64" i="305"/>
  <c r="AZ73" i="307"/>
  <c r="AZ74" i="307"/>
  <c r="AZ103" i="307"/>
  <c r="AZ104" i="307" s="1"/>
  <c r="AZ114" i="307" s="1"/>
  <c r="AZ310" i="307"/>
  <c r="BA152" i="306"/>
  <c r="AZ85" i="305"/>
  <c r="AZ86" i="305"/>
  <c r="AZ140" i="306"/>
  <c r="AZ141" i="306"/>
  <c r="AZ147" i="306"/>
  <c r="AZ148" i="306"/>
  <c r="AZ149" i="306"/>
  <c r="AZ153" i="306"/>
  <c r="BA154" i="306"/>
  <c r="BA156" i="306"/>
  <c r="AZ67" i="305"/>
  <c r="BA68" i="305"/>
  <c r="BA80" i="305"/>
  <c r="AZ76" i="305"/>
  <c r="AZ77" i="305"/>
  <c r="AZ81" i="305"/>
  <c r="BA82" i="305"/>
  <c r="BA157" i="306"/>
  <c r="BA158" i="306"/>
  <c r="BA216" i="306"/>
  <c r="BA197" i="306"/>
  <c r="AZ192" i="306"/>
  <c r="AZ193" i="306"/>
  <c r="AZ194" i="306"/>
  <c r="AZ198" i="306"/>
  <c r="BA199" i="306"/>
  <c r="BA201" i="306"/>
  <c r="BA202" i="306"/>
  <c r="BA203" i="306"/>
  <c r="BA209" i="306"/>
  <c r="BA205" i="306"/>
  <c r="BA206" i="306"/>
  <c r="BA207" i="306"/>
  <c r="BA210" i="306"/>
  <c r="BA211" i="306"/>
  <c r="BA217" i="306"/>
  <c r="BA218" i="306"/>
  <c r="BA221" i="306"/>
  <c r="BA222" i="306"/>
  <c r="BA68" i="307"/>
  <c r="BA69" i="307" s="1"/>
  <c r="AZ137" i="307"/>
  <c r="AZ138" i="307" s="1"/>
  <c r="AZ142" i="307" s="1"/>
  <c r="AZ96" i="305"/>
  <c r="AZ95" i="305"/>
  <c r="AZ97" i="305"/>
  <c r="AZ143" i="307"/>
  <c r="AZ144" i="307"/>
  <c r="AZ149" i="307"/>
  <c r="AZ163" i="307"/>
  <c r="AZ164" i="307" s="1"/>
  <c r="AZ178" i="307"/>
  <c r="AZ186" i="307"/>
  <c r="AZ185" i="307"/>
  <c r="AZ216" i="307"/>
  <c r="BA18" i="305"/>
  <c r="BA19" i="305"/>
  <c r="BA22" i="305"/>
  <c r="BA23" i="305"/>
  <c r="BA63" i="305"/>
  <c r="BA64" i="305"/>
  <c r="BA73" i="307"/>
  <c r="BA74" i="307"/>
  <c r="BA103" i="307"/>
  <c r="BA104" i="307" s="1"/>
  <c r="BA114" i="307" s="1"/>
  <c r="BA310" i="307"/>
  <c r="BB152" i="306"/>
  <c r="BA85" i="305"/>
  <c r="BA86" i="305"/>
  <c r="BA140" i="306"/>
  <c r="BA141" i="306"/>
  <c r="BA147" i="306"/>
  <c r="BA148" i="306"/>
  <c r="BA149" i="306"/>
  <c r="BA153" i="306"/>
  <c r="BB154" i="306"/>
  <c r="BB156" i="306"/>
  <c r="BA67" i="305"/>
  <c r="BB68" i="305"/>
  <c r="BB80" i="305"/>
  <c r="BA76" i="305"/>
  <c r="BA77" i="305"/>
  <c r="BA81" i="305"/>
  <c r="BB82" i="305"/>
  <c r="BB157" i="306"/>
  <c r="BB158" i="306"/>
  <c r="BB216" i="306"/>
  <c r="BB197" i="306"/>
  <c r="BA192" i="306"/>
  <c r="BA193" i="306"/>
  <c r="BA194" i="306"/>
  <c r="BA198" i="306"/>
  <c r="BB199" i="306"/>
  <c r="BB201" i="306"/>
  <c r="BB202" i="306"/>
  <c r="BB203" i="306"/>
  <c r="BB209" i="306"/>
  <c r="BB205" i="306"/>
  <c r="BB206" i="306"/>
  <c r="BB207" i="306"/>
  <c r="BB210" i="306"/>
  <c r="BB211" i="306"/>
  <c r="BB217" i="306"/>
  <c r="BB218" i="306"/>
  <c r="BB221" i="306"/>
  <c r="BB222" i="306"/>
  <c r="BB68" i="307"/>
  <c r="BB69" i="307" s="1"/>
  <c r="BA137" i="307"/>
  <c r="BA138" i="307" s="1"/>
  <c r="BA142" i="307" s="1"/>
  <c r="BA96" i="305"/>
  <c r="BA95" i="305"/>
  <c r="BA97" i="305"/>
  <c r="BA143" i="307"/>
  <c r="BA144" i="307"/>
  <c r="BA149" i="307"/>
  <c r="BA163" i="307"/>
  <c r="BA164" i="307" s="1"/>
  <c r="BA178" i="307"/>
  <c r="BA186" i="307"/>
  <c r="BA185" i="307"/>
  <c r="BA216" i="307"/>
  <c r="BB18" i="305"/>
  <c r="BB19" i="305"/>
  <c r="BB22" i="305"/>
  <c r="BB23" i="305"/>
  <c r="BB63" i="305"/>
  <c r="BB64" i="305"/>
  <c r="BB73" i="307"/>
  <c r="BB74" i="307"/>
  <c r="BB103" i="307"/>
  <c r="BB104" i="307" s="1"/>
  <c r="BB114" i="307" s="1"/>
  <c r="BB310" i="307"/>
  <c r="BC152" i="306"/>
  <c r="BB85" i="305"/>
  <c r="BB86" i="305"/>
  <c r="BB140" i="306"/>
  <c r="BB141" i="306"/>
  <c r="BB147" i="306"/>
  <c r="BB148" i="306"/>
  <c r="BB149" i="306"/>
  <c r="BB153" i="306"/>
  <c r="BC154" i="306"/>
  <c r="BC156" i="306"/>
  <c r="BB67" i="305"/>
  <c r="BC68" i="305"/>
  <c r="BC80" i="305"/>
  <c r="BB76" i="305"/>
  <c r="BB77" i="305"/>
  <c r="BB81" i="305"/>
  <c r="BC82" i="305"/>
  <c r="BC157" i="306"/>
  <c r="BC158" i="306"/>
  <c r="BC216" i="306"/>
  <c r="BC197" i="306"/>
  <c r="BB192" i="306"/>
  <c r="BB193" i="306"/>
  <c r="BB194" i="306"/>
  <c r="BB198" i="306"/>
  <c r="BC199" i="306"/>
  <c r="BC201" i="306"/>
  <c r="BC202" i="306"/>
  <c r="BC203" i="306"/>
  <c r="BC209" i="306"/>
  <c r="BC205" i="306"/>
  <c r="BC206" i="306"/>
  <c r="BC207" i="306"/>
  <c r="BC210" i="306"/>
  <c r="BC211" i="306"/>
  <c r="BC217" i="306"/>
  <c r="BC218" i="306"/>
  <c r="BC221" i="306"/>
  <c r="BC222" i="306"/>
  <c r="BC68" i="307"/>
  <c r="BC69" i="307" s="1"/>
  <c r="BB137" i="307"/>
  <c r="BB138" i="307" s="1"/>
  <c r="BB142" i="307" s="1"/>
  <c r="BB96" i="305"/>
  <c r="BB95" i="305"/>
  <c r="BB97" i="305"/>
  <c r="BB143" i="307"/>
  <c r="BB144" i="307"/>
  <c r="BB149" i="307"/>
  <c r="BB163" i="307"/>
  <c r="BB164" i="307" s="1"/>
  <c r="BB178" i="307"/>
  <c r="BB186" i="307"/>
  <c r="BB185" i="307"/>
  <c r="BB216" i="307"/>
  <c r="BC18" i="305"/>
  <c r="BC19" i="305"/>
  <c r="BC22" i="305"/>
  <c r="BC23" i="305"/>
  <c r="BC63" i="305"/>
  <c r="BC64" i="305"/>
  <c r="BC73" i="307"/>
  <c r="BC74" i="307"/>
  <c r="BC103" i="307"/>
  <c r="BC104" i="307" s="1"/>
  <c r="BC114" i="307" s="1"/>
  <c r="BC310" i="307"/>
  <c r="BD152" i="306"/>
  <c r="BC85" i="305"/>
  <c r="BC86" i="305"/>
  <c r="BC140" i="306"/>
  <c r="BC141" i="306"/>
  <c r="BC147" i="306"/>
  <c r="BC148" i="306"/>
  <c r="BC149" i="306"/>
  <c r="BC153" i="306"/>
  <c r="BD154" i="306"/>
  <c r="BD156" i="306"/>
  <c r="BC67" i="305"/>
  <c r="BD68" i="305"/>
  <c r="BD80" i="305"/>
  <c r="BC76" i="305"/>
  <c r="BC77" i="305"/>
  <c r="BC81" i="305"/>
  <c r="BD82" i="305"/>
  <c r="BD157" i="306"/>
  <c r="BD158" i="306"/>
  <c r="BD216" i="306"/>
  <c r="BD197" i="306"/>
  <c r="BC192" i="306"/>
  <c r="BC193" i="306"/>
  <c r="BC194" i="306"/>
  <c r="BC198" i="306"/>
  <c r="BD199" i="306"/>
  <c r="BD201" i="306"/>
  <c r="BD202" i="306"/>
  <c r="BD203" i="306"/>
  <c r="BD209" i="306"/>
  <c r="BD205" i="306"/>
  <c r="BD206" i="306"/>
  <c r="BD207" i="306"/>
  <c r="BD210" i="306"/>
  <c r="BD211" i="306"/>
  <c r="BD217" i="306"/>
  <c r="BD218" i="306"/>
  <c r="BD221" i="306"/>
  <c r="BD222" i="306"/>
  <c r="BD68" i="307"/>
  <c r="BD69" i="307" s="1"/>
  <c r="BC137" i="307"/>
  <c r="BC138" i="307" s="1"/>
  <c r="BC142" i="307" s="1"/>
  <c r="BC96" i="305"/>
  <c r="BC95" i="305"/>
  <c r="BC97" i="305"/>
  <c r="BC143" i="307"/>
  <c r="BC144" i="307"/>
  <c r="BC149" i="307"/>
  <c r="BC163" i="307"/>
  <c r="BC164" i="307" s="1"/>
  <c r="BC178" i="307"/>
  <c r="BC186" i="307"/>
  <c r="BC185" i="307"/>
  <c r="BC216" i="307"/>
  <c r="BD18" i="305"/>
  <c r="BD19" i="305"/>
  <c r="BD22" i="305"/>
  <c r="BD23" i="305"/>
  <c r="BD63" i="305"/>
  <c r="BD64" i="305"/>
  <c r="BD73" i="307"/>
  <c r="BD74" i="307"/>
  <c r="BD103" i="307"/>
  <c r="BD104" i="307" s="1"/>
  <c r="BD114" i="307" s="1"/>
  <c r="BD310" i="307"/>
  <c r="BE152" i="306"/>
  <c r="BD85" i="305"/>
  <c r="BD86" i="305"/>
  <c r="BD140" i="306"/>
  <c r="BD141" i="306"/>
  <c r="BD147" i="306"/>
  <c r="BD148" i="306"/>
  <c r="BD149" i="306"/>
  <c r="BD153" i="306"/>
  <c r="BE154" i="306"/>
  <c r="BE156" i="306"/>
  <c r="BD67" i="305"/>
  <c r="BE68" i="305"/>
  <c r="BE80" i="305"/>
  <c r="BD76" i="305"/>
  <c r="BD77" i="305"/>
  <c r="BD81" i="305"/>
  <c r="BE82" i="305"/>
  <c r="BE157" i="306"/>
  <c r="BE158" i="306"/>
  <c r="BE216" i="306"/>
  <c r="BE197" i="306"/>
  <c r="BD192" i="306"/>
  <c r="BD193" i="306"/>
  <c r="BD194" i="306"/>
  <c r="BD198" i="306"/>
  <c r="BE199" i="306"/>
  <c r="BE201" i="306"/>
  <c r="BE202" i="306"/>
  <c r="BE203" i="306"/>
  <c r="BE209" i="306"/>
  <c r="BE205" i="306"/>
  <c r="BE206" i="306"/>
  <c r="BE207" i="306"/>
  <c r="BE210" i="306"/>
  <c r="BE211" i="306"/>
  <c r="BE217" i="306"/>
  <c r="BE218" i="306"/>
  <c r="BE221" i="306"/>
  <c r="BE222" i="306"/>
  <c r="BE68" i="307"/>
  <c r="BE69" i="307" s="1"/>
  <c r="BD137" i="307"/>
  <c r="BD138" i="307" s="1"/>
  <c r="BD142" i="307" s="1"/>
  <c r="BD96" i="305"/>
  <c r="BD95" i="305"/>
  <c r="BD97" i="305"/>
  <c r="BD143" i="307"/>
  <c r="BD144" i="307"/>
  <c r="BD149" i="307"/>
  <c r="BD163" i="307"/>
  <c r="BD164" i="307" s="1"/>
  <c r="BD178" i="307"/>
  <c r="BD186" i="307"/>
  <c r="BD185" i="307"/>
  <c r="BD216" i="307"/>
  <c r="BE18" i="305"/>
  <c r="BE19" i="305"/>
  <c r="BE22" i="305"/>
  <c r="BE23" i="305"/>
  <c r="BE63" i="305"/>
  <c r="BE64" i="305"/>
  <c r="BE73" i="307"/>
  <c r="BE74" i="307"/>
  <c r="BE103" i="307"/>
  <c r="BE104" i="307" s="1"/>
  <c r="BE114" i="307" s="1"/>
  <c r="BE310" i="307"/>
  <c r="K13" i="304"/>
  <c r="K10" i="273"/>
  <c r="K13" i="273"/>
  <c r="K14" i="273"/>
  <c r="K19" i="273"/>
  <c r="F18" i="273"/>
  <c r="K20" i="273"/>
  <c r="K24" i="273"/>
  <c r="K25" i="273"/>
  <c r="K136" i="273"/>
  <c r="K137" i="273"/>
  <c r="K143" i="273"/>
  <c r="I140" i="273"/>
  <c r="F21" i="48"/>
  <c r="F259" i="48"/>
  <c r="F260" i="48"/>
  <c r="F261" i="48"/>
  <c r="F131" i="273"/>
  <c r="F132" i="273"/>
  <c r="F130" i="273"/>
  <c r="F133" i="273"/>
  <c r="F139" i="273"/>
  <c r="J140" i="273"/>
  <c r="J141" i="273"/>
  <c r="J144" i="273"/>
  <c r="K145" i="273"/>
  <c r="K207" i="273"/>
  <c r="K176" i="273"/>
  <c r="K177" i="273"/>
  <c r="K183" i="273"/>
  <c r="I180" i="273"/>
  <c r="F172" i="48"/>
  <c r="F297" i="48"/>
  <c r="F298" i="48"/>
  <c r="F299" i="48"/>
  <c r="F301" i="48"/>
  <c r="F171" i="273"/>
  <c r="F172" i="273"/>
  <c r="F170" i="273"/>
  <c r="F173" i="273"/>
  <c r="F179" i="273"/>
  <c r="J180" i="273"/>
  <c r="J181" i="273"/>
  <c r="J184" i="273"/>
  <c r="K185" i="273"/>
  <c r="K208" i="273"/>
  <c r="K209" i="273"/>
  <c r="K245" i="273"/>
  <c r="K244" i="273"/>
  <c r="K246" i="273"/>
  <c r="I80" i="273"/>
  <c r="F79" i="273"/>
  <c r="J80" i="273"/>
  <c r="J81" i="273"/>
  <c r="J19" i="282" s="1"/>
  <c r="J89" i="273"/>
  <c r="K90" i="273"/>
  <c r="K589" i="321" s="1"/>
  <c r="K590" i="321" s="1"/>
  <c r="K104" i="273"/>
  <c r="J100" i="273"/>
  <c r="F94" i="273"/>
  <c r="F22" i="48"/>
  <c r="F95" i="273"/>
  <c r="F96" i="273"/>
  <c r="F93" i="273"/>
  <c r="F97" i="273"/>
  <c r="F99" i="273"/>
  <c r="J101" i="273"/>
  <c r="J105" i="273"/>
  <c r="K106" i="273"/>
  <c r="K633" i="307"/>
  <c r="L13" i="304"/>
  <c r="L10" i="273"/>
  <c r="L13" i="273"/>
  <c r="L14" i="273"/>
  <c r="L19" i="273"/>
  <c r="L20" i="273"/>
  <c r="L24" i="273"/>
  <c r="L25" i="273"/>
  <c r="L136" i="273"/>
  <c r="L137" i="273"/>
  <c r="L143" i="273"/>
  <c r="K140" i="273"/>
  <c r="K141" i="273"/>
  <c r="K144" i="273"/>
  <c r="L145" i="273"/>
  <c r="L207" i="273"/>
  <c r="L176" i="273"/>
  <c r="L177" i="273"/>
  <c r="L183" i="273"/>
  <c r="K180" i="273"/>
  <c r="K181" i="273"/>
  <c r="K184" i="273"/>
  <c r="L185" i="273"/>
  <c r="L208" i="273"/>
  <c r="L209" i="273"/>
  <c r="L245" i="273"/>
  <c r="L244" i="273"/>
  <c r="L246" i="273"/>
  <c r="K80" i="273"/>
  <c r="K81" i="273"/>
  <c r="K19" i="282" s="1"/>
  <c r="K89" i="273"/>
  <c r="L90" i="273"/>
  <c r="L589" i="321" s="1"/>
  <c r="L590" i="321" s="1"/>
  <c r="L104" i="273"/>
  <c r="K100" i="273"/>
  <c r="K101" i="273"/>
  <c r="K105" i="273"/>
  <c r="L106" i="273"/>
  <c r="L633" i="307"/>
  <c r="M13" i="304"/>
  <c r="M10" i="273"/>
  <c r="M13" i="273"/>
  <c r="M14" i="273"/>
  <c r="M19" i="273"/>
  <c r="M20" i="273"/>
  <c r="M24" i="273"/>
  <c r="M25" i="273"/>
  <c r="M136" i="273"/>
  <c r="M137" i="273"/>
  <c r="M143" i="273"/>
  <c r="L140" i="273"/>
  <c r="L141" i="273"/>
  <c r="L144" i="273"/>
  <c r="M145" i="273"/>
  <c r="M207" i="273"/>
  <c r="M176" i="273"/>
  <c r="M177" i="273"/>
  <c r="M183" i="273"/>
  <c r="L180" i="273"/>
  <c r="L181" i="273"/>
  <c r="L184" i="273"/>
  <c r="M185" i="273"/>
  <c r="M208" i="273"/>
  <c r="M209" i="273"/>
  <c r="M245" i="273"/>
  <c r="M244" i="273"/>
  <c r="M246" i="273"/>
  <c r="L80" i="273"/>
  <c r="L81" i="273"/>
  <c r="L19" i="282" s="1"/>
  <c r="L89" i="273"/>
  <c r="M90" i="273"/>
  <c r="M589" i="321" s="1"/>
  <c r="M590" i="321" s="1"/>
  <c r="M104" i="273"/>
  <c r="L100" i="273"/>
  <c r="L101" i="273"/>
  <c r="L105" i="273"/>
  <c r="M106" i="273"/>
  <c r="M633" i="307"/>
  <c r="N13" i="304"/>
  <c r="N10" i="273"/>
  <c r="N13" i="273"/>
  <c r="N14" i="273"/>
  <c r="N19" i="273"/>
  <c r="N20" i="273"/>
  <c r="N24" i="273"/>
  <c r="N25" i="273"/>
  <c r="N136" i="273"/>
  <c r="N137" i="273"/>
  <c r="N143" i="273"/>
  <c r="M140" i="273"/>
  <c r="M141" i="273"/>
  <c r="M144" i="273"/>
  <c r="N145" i="273"/>
  <c r="N207" i="273"/>
  <c r="N176" i="273"/>
  <c r="N177" i="273"/>
  <c r="N183" i="273"/>
  <c r="M180" i="273"/>
  <c r="M181" i="273"/>
  <c r="M184" i="273"/>
  <c r="N185" i="273"/>
  <c r="N208" i="273"/>
  <c r="N209" i="273"/>
  <c r="N245" i="273"/>
  <c r="N244" i="273"/>
  <c r="N246" i="273"/>
  <c r="M80" i="273"/>
  <c r="M81" i="273"/>
  <c r="M19" i="282" s="1"/>
  <c r="M89" i="273"/>
  <c r="N90" i="273"/>
  <c r="N589" i="321" s="1"/>
  <c r="N590" i="321" s="1"/>
  <c r="N104" i="273"/>
  <c r="M100" i="273"/>
  <c r="M101" i="273"/>
  <c r="M105" i="273"/>
  <c r="N106" i="273"/>
  <c r="N633" i="307"/>
  <c r="O13" i="304"/>
  <c r="O10" i="273"/>
  <c r="O13" i="273"/>
  <c r="O14" i="273"/>
  <c r="O19" i="273"/>
  <c r="O20" i="273"/>
  <c r="O24" i="273"/>
  <c r="O25" i="273"/>
  <c r="O136" i="273"/>
  <c r="O137" i="273"/>
  <c r="O143" i="273"/>
  <c r="N140" i="273"/>
  <c r="N141" i="273"/>
  <c r="N144" i="273"/>
  <c r="O145" i="273"/>
  <c r="O207" i="273"/>
  <c r="O176" i="273"/>
  <c r="O177" i="273"/>
  <c r="O183" i="273"/>
  <c r="N180" i="273"/>
  <c r="N181" i="273"/>
  <c r="N184" i="273"/>
  <c r="O185" i="273"/>
  <c r="O208" i="273"/>
  <c r="O209" i="273"/>
  <c r="I237" i="273"/>
  <c r="J238" i="273"/>
  <c r="J239" i="273"/>
  <c r="J29" i="273"/>
  <c r="F15" i="48"/>
  <c r="F28" i="273"/>
  <c r="J30" i="273"/>
  <c r="J237" i="273"/>
  <c r="K238" i="273"/>
  <c r="K239" i="273"/>
  <c r="K29" i="273"/>
  <c r="K30" i="273"/>
  <c r="K237" i="273"/>
  <c r="L238" i="273"/>
  <c r="L239" i="273"/>
  <c r="L29" i="273"/>
  <c r="L30" i="273"/>
  <c r="L237" i="273"/>
  <c r="M238" i="273"/>
  <c r="M239" i="273"/>
  <c r="M29" i="273"/>
  <c r="M30" i="273"/>
  <c r="M237" i="273"/>
  <c r="N238" i="273"/>
  <c r="N239" i="273"/>
  <c r="N29" i="273"/>
  <c r="N30" i="273"/>
  <c r="N237" i="273"/>
  <c r="N80" i="273"/>
  <c r="N81" i="273"/>
  <c r="N19" i="282" s="1"/>
  <c r="N89" i="273"/>
  <c r="O90" i="273"/>
  <c r="O589" i="321" s="1"/>
  <c r="O590" i="321" s="1"/>
  <c r="O104" i="273"/>
  <c r="N100" i="273"/>
  <c r="N101" i="273"/>
  <c r="N105" i="273"/>
  <c r="O106" i="273"/>
  <c r="O238" i="273"/>
  <c r="O239" i="273"/>
  <c r="F231" i="48"/>
  <c r="O245" i="273"/>
  <c r="O244" i="273"/>
  <c r="O246" i="273"/>
  <c r="O633" i="307"/>
  <c r="P13" i="304"/>
  <c r="P10" i="273"/>
  <c r="P13" i="273"/>
  <c r="P14" i="273"/>
  <c r="P19" i="273"/>
  <c r="P20" i="273"/>
  <c r="P24" i="273"/>
  <c r="P25" i="273"/>
  <c r="P136" i="273"/>
  <c r="P137" i="273"/>
  <c r="P143" i="273"/>
  <c r="O140" i="273"/>
  <c r="O141" i="273"/>
  <c r="O144" i="273"/>
  <c r="P145" i="273"/>
  <c r="P207" i="273"/>
  <c r="P176" i="273"/>
  <c r="P177" i="273"/>
  <c r="P183" i="273"/>
  <c r="O180" i="273"/>
  <c r="O181" i="273"/>
  <c r="O184" i="273"/>
  <c r="P185" i="273"/>
  <c r="P208" i="273"/>
  <c r="P209" i="273"/>
  <c r="O29" i="273"/>
  <c r="O30" i="273"/>
  <c r="O237" i="273"/>
  <c r="O80" i="273"/>
  <c r="O81" i="273"/>
  <c r="O19" i="282" s="1"/>
  <c r="O89" i="273"/>
  <c r="P90" i="273"/>
  <c r="P589" i="321" s="1"/>
  <c r="P590" i="321" s="1"/>
  <c r="P104" i="273"/>
  <c r="O100" i="273"/>
  <c r="O101" i="273"/>
  <c r="O105" i="273"/>
  <c r="P106" i="273"/>
  <c r="P238" i="273"/>
  <c r="P239" i="273"/>
  <c r="P245" i="273"/>
  <c r="P244" i="273"/>
  <c r="P246" i="273"/>
  <c r="P633" i="307"/>
  <c r="Q13" i="304"/>
  <c r="Q10" i="273"/>
  <c r="Q13" i="273"/>
  <c r="Q14" i="273"/>
  <c r="Q19" i="273"/>
  <c r="Q20" i="273"/>
  <c r="Q24" i="273"/>
  <c r="Q25" i="273"/>
  <c r="Q136" i="273"/>
  <c r="Q137" i="273"/>
  <c r="Q143" i="273"/>
  <c r="P140" i="273"/>
  <c r="P141" i="273"/>
  <c r="P144" i="273"/>
  <c r="Q145" i="273"/>
  <c r="Q207" i="273"/>
  <c r="Q176" i="273"/>
  <c r="Q177" i="273"/>
  <c r="Q183" i="273"/>
  <c r="P180" i="273"/>
  <c r="P181" i="273"/>
  <c r="P184" i="273"/>
  <c r="Q185" i="273"/>
  <c r="Q208" i="273"/>
  <c r="Q209" i="273"/>
  <c r="P29" i="273"/>
  <c r="P30" i="273"/>
  <c r="P237" i="273"/>
  <c r="P80" i="273"/>
  <c r="P81" i="273"/>
  <c r="P89" i="273"/>
  <c r="Q90" i="273"/>
  <c r="Q104" i="273"/>
  <c r="P100" i="273"/>
  <c r="P101" i="273"/>
  <c r="P105" i="273"/>
  <c r="Q106" i="273"/>
  <c r="Q238" i="273"/>
  <c r="Q239" i="273"/>
  <c r="F232" i="48"/>
  <c r="Q245" i="273"/>
  <c r="Q244" i="273"/>
  <c r="Q246" i="273"/>
  <c r="Q633" i="307"/>
  <c r="R13" i="304"/>
  <c r="R10" i="273"/>
  <c r="R13" i="273"/>
  <c r="R14" i="273"/>
  <c r="R19" i="273"/>
  <c r="R20" i="273"/>
  <c r="R24" i="273"/>
  <c r="R25" i="273"/>
  <c r="R136" i="273"/>
  <c r="R137" i="273"/>
  <c r="R143" i="273"/>
  <c r="Q140" i="273"/>
  <c r="Q141" i="273"/>
  <c r="Q144" i="273"/>
  <c r="R145" i="273"/>
  <c r="R207" i="273"/>
  <c r="R176" i="273"/>
  <c r="R177" i="273"/>
  <c r="R183" i="273"/>
  <c r="Q180" i="273"/>
  <c r="Q181" i="273"/>
  <c r="Q184" i="273"/>
  <c r="R185" i="273"/>
  <c r="R208" i="273"/>
  <c r="R209" i="273"/>
  <c r="Q29" i="273"/>
  <c r="Q30" i="273"/>
  <c r="Q237" i="273"/>
  <c r="Q80" i="273"/>
  <c r="Q81" i="273"/>
  <c r="Q89" i="273"/>
  <c r="R90" i="273"/>
  <c r="R104" i="273"/>
  <c r="Q100" i="273"/>
  <c r="Q101" i="273"/>
  <c r="Q105" i="273"/>
  <c r="R106" i="273"/>
  <c r="R238" i="273"/>
  <c r="R239" i="273"/>
  <c r="R245" i="273"/>
  <c r="R244" i="273"/>
  <c r="R246" i="273"/>
  <c r="R633" i="307"/>
  <c r="S13" i="304"/>
  <c r="S10" i="273"/>
  <c r="S13" i="273"/>
  <c r="S14" i="273"/>
  <c r="S19" i="273"/>
  <c r="S20" i="273"/>
  <c r="S24" i="273"/>
  <c r="S25" i="273"/>
  <c r="S136" i="273"/>
  <c r="S137" i="273"/>
  <c r="S143" i="273"/>
  <c r="R140" i="273"/>
  <c r="R141" i="273"/>
  <c r="R144" i="273"/>
  <c r="S145" i="273"/>
  <c r="S207" i="273"/>
  <c r="S176" i="273"/>
  <c r="S177" i="273"/>
  <c r="S183" i="273"/>
  <c r="R180" i="273"/>
  <c r="R181" i="273"/>
  <c r="R184" i="273"/>
  <c r="S185" i="273"/>
  <c r="S208" i="273"/>
  <c r="S209" i="273"/>
  <c r="R29" i="273"/>
  <c r="R30" i="273"/>
  <c r="R237" i="273"/>
  <c r="R80" i="273"/>
  <c r="R81" i="273"/>
  <c r="R89" i="273"/>
  <c r="S90" i="273"/>
  <c r="S104" i="273"/>
  <c r="R100" i="273"/>
  <c r="R101" i="273"/>
  <c r="R105" i="273"/>
  <c r="S106" i="273"/>
  <c r="S238" i="273"/>
  <c r="S239" i="273"/>
  <c r="F233" i="48"/>
  <c r="S245" i="273"/>
  <c r="S244" i="273"/>
  <c r="S246" i="273"/>
  <c r="S633" i="307"/>
  <c r="T13" i="304"/>
  <c r="T10" i="273"/>
  <c r="T13" i="273"/>
  <c r="T14" i="273"/>
  <c r="T19" i="273"/>
  <c r="T20" i="273"/>
  <c r="T24" i="273"/>
  <c r="T25" i="273"/>
  <c r="T136" i="273"/>
  <c r="T137" i="273"/>
  <c r="T143" i="273"/>
  <c r="S140" i="273"/>
  <c r="S141" i="273"/>
  <c r="S144" i="273"/>
  <c r="T145" i="273"/>
  <c r="T207" i="273"/>
  <c r="T176" i="273"/>
  <c r="T177" i="273"/>
  <c r="T183" i="273"/>
  <c r="S180" i="273"/>
  <c r="S181" i="273"/>
  <c r="S184" i="273"/>
  <c r="T185" i="273"/>
  <c r="T208" i="273"/>
  <c r="T209" i="273"/>
  <c r="S29" i="273"/>
  <c r="S30" i="273"/>
  <c r="S237" i="273"/>
  <c r="S80" i="273"/>
  <c r="S81" i="273"/>
  <c r="S89" i="273"/>
  <c r="T90" i="273"/>
  <c r="T104" i="273"/>
  <c r="S100" i="273"/>
  <c r="S101" i="273"/>
  <c r="S105" i="273"/>
  <c r="T106" i="273"/>
  <c r="T238" i="273"/>
  <c r="T239" i="273"/>
  <c r="T245" i="273"/>
  <c r="T244" i="273"/>
  <c r="T246" i="273"/>
  <c r="T633" i="307"/>
  <c r="U13" i="304"/>
  <c r="U10" i="273"/>
  <c r="U13" i="273"/>
  <c r="U14" i="273"/>
  <c r="U19" i="273"/>
  <c r="U20" i="273"/>
  <c r="U24" i="273"/>
  <c r="U25" i="273"/>
  <c r="U136" i="273"/>
  <c r="U137" i="273"/>
  <c r="U143" i="273"/>
  <c r="T140" i="273"/>
  <c r="T141" i="273"/>
  <c r="T144" i="273"/>
  <c r="U145" i="273"/>
  <c r="U207" i="273"/>
  <c r="U176" i="273"/>
  <c r="U177" i="273"/>
  <c r="U183" i="273"/>
  <c r="T180" i="273"/>
  <c r="T181" i="273"/>
  <c r="T184" i="273"/>
  <c r="U185" i="273"/>
  <c r="U208" i="273"/>
  <c r="U209" i="273"/>
  <c r="T29" i="273"/>
  <c r="T30" i="273"/>
  <c r="T237" i="273"/>
  <c r="T80" i="273"/>
  <c r="T81" i="273"/>
  <c r="T89" i="273"/>
  <c r="U90" i="273"/>
  <c r="U104" i="273"/>
  <c r="T100" i="273"/>
  <c r="T101" i="273"/>
  <c r="T105" i="273"/>
  <c r="U106" i="273"/>
  <c r="U238" i="273"/>
  <c r="U239" i="273"/>
  <c r="F234" i="48"/>
  <c r="U245" i="273"/>
  <c r="U244" i="273"/>
  <c r="U246" i="273"/>
  <c r="U633" i="307"/>
  <c r="V13" i="304"/>
  <c r="V10" i="273"/>
  <c r="V13" i="273"/>
  <c r="V14" i="273"/>
  <c r="V19" i="273"/>
  <c r="V20" i="273"/>
  <c r="V24" i="273"/>
  <c r="V25" i="273"/>
  <c r="V136" i="273"/>
  <c r="V137" i="273"/>
  <c r="V143" i="273"/>
  <c r="U140" i="273"/>
  <c r="U141" i="273"/>
  <c r="U144" i="273"/>
  <c r="V145" i="273"/>
  <c r="V207" i="273"/>
  <c r="V176" i="273"/>
  <c r="V177" i="273"/>
  <c r="V183" i="273"/>
  <c r="U180" i="273"/>
  <c r="U181" i="273"/>
  <c r="U184" i="273"/>
  <c r="V185" i="273"/>
  <c r="V208" i="273"/>
  <c r="V209" i="273"/>
  <c r="U29" i="273"/>
  <c r="U30" i="273"/>
  <c r="U237" i="273"/>
  <c r="U80" i="273"/>
  <c r="U81" i="273"/>
  <c r="U89" i="273"/>
  <c r="V90" i="273"/>
  <c r="V104" i="273"/>
  <c r="U100" i="273"/>
  <c r="U101" i="273"/>
  <c r="U105" i="273"/>
  <c r="V106" i="273"/>
  <c r="V238" i="273"/>
  <c r="V239" i="273"/>
  <c r="V245" i="273"/>
  <c r="V244" i="273"/>
  <c r="V246" i="273"/>
  <c r="V633" i="307"/>
  <c r="W13" i="304"/>
  <c r="W10" i="273"/>
  <c r="W13" i="273"/>
  <c r="W14" i="273"/>
  <c r="W19" i="273"/>
  <c r="W20" i="273"/>
  <c r="W24" i="273"/>
  <c r="W25" i="273"/>
  <c r="W136" i="273"/>
  <c r="W137" i="273"/>
  <c r="W143" i="273"/>
  <c r="V140" i="273"/>
  <c r="V141" i="273"/>
  <c r="V144" i="273"/>
  <c r="W145" i="273"/>
  <c r="W207" i="273"/>
  <c r="W176" i="273"/>
  <c r="W177" i="273"/>
  <c r="W183" i="273"/>
  <c r="V180" i="273"/>
  <c r="V181" i="273"/>
  <c r="V184" i="273"/>
  <c r="W185" i="273"/>
  <c r="W208" i="273"/>
  <c r="W209" i="273"/>
  <c r="V29" i="273"/>
  <c r="V30" i="273"/>
  <c r="V237" i="273"/>
  <c r="V80" i="273"/>
  <c r="V81" i="273"/>
  <c r="V89" i="273"/>
  <c r="W90" i="273"/>
  <c r="W104" i="273"/>
  <c r="V100" i="273"/>
  <c r="V101" i="273"/>
  <c r="V105" i="273"/>
  <c r="W106" i="273"/>
  <c r="W238" i="273"/>
  <c r="W239" i="273"/>
  <c r="F235" i="48"/>
  <c r="W245" i="273"/>
  <c r="W244" i="273"/>
  <c r="W246" i="273"/>
  <c r="W633" i="307"/>
  <c r="X13" i="304"/>
  <c r="X10" i="273"/>
  <c r="X13" i="273"/>
  <c r="X14" i="273"/>
  <c r="X19" i="273"/>
  <c r="X20" i="273"/>
  <c r="X24" i="273"/>
  <c r="X25" i="273"/>
  <c r="X136" i="273"/>
  <c r="X137" i="273"/>
  <c r="X143" i="273"/>
  <c r="W140" i="273"/>
  <c r="W141" i="273"/>
  <c r="W144" i="273"/>
  <c r="X145" i="273"/>
  <c r="X207" i="273"/>
  <c r="X176" i="273"/>
  <c r="X177" i="273"/>
  <c r="X183" i="273"/>
  <c r="W180" i="273"/>
  <c r="W181" i="273"/>
  <c r="W184" i="273"/>
  <c r="X185" i="273"/>
  <c r="X208" i="273"/>
  <c r="X209" i="273"/>
  <c r="W29" i="273"/>
  <c r="W30" i="273"/>
  <c r="W237" i="273"/>
  <c r="W80" i="273"/>
  <c r="W81" i="273"/>
  <c r="W89" i="273"/>
  <c r="X90" i="273"/>
  <c r="X104" i="273"/>
  <c r="W100" i="273"/>
  <c r="W101" i="273"/>
  <c r="W105" i="273"/>
  <c r="X106" i="273"/>
  <c r="X238" i="273"/>
  <c r="X239" i="273"/>
  <c r="X245" i="273"/>
  <c r="X244" i="273"/>
  <c r="X246" i="273"/>
  <c r="X633" i="307"/>
  <c r="Y13" i="304"/>
  <c r="Y10" i="273"/>
  <c r="Y13" i="273"/>
  <c r="Y14" i="273"/>
  <c r="Y19" i="273"/>
  <c r="Y20" i="273"/>
  <c r="Y24" i="273"/>
  <c r="Y25" i="273"/>
  <c r="Y136" i="273"/>
  <c r="Y137" i="273"/>
  <c r="Y143" i="273"/>
  <c r="X140" i="273"/>
  <c r="X141" i="273"/>
  <c r="X144" i="273"/>
  <c r="Y145" i="273"/>
  <c r="Y207" i="273"/>
  <c r="Y176" i="273"/>
  <c r="Y177" i="273"/>
  <c r="Y183" i="273"/>
  <c r="X180" i="273"/>
  <c r="X181" i="273"/>
  <c r="X184" i="273"/>
  <c r="Y185" i="273"/>
  <c r="Y208" i="273"/>
  <c r="Y209" i="273"/>
  <c r="X29" i="273"/>
  <c r="X30" i="273"/>
  <c r="X237" i="273"/>
  <c r="X80" i="273"/>
  <c r="X81" i="273"/>
  <c r="X89" i="273"/>
  <c r="Y90" i="273"/>
  <c r="Y104" i="273"/>
  <c r="X100" i="273"/>
  <c r="X101" i="273"/>
  <c r="X105" i="273"/>
  <c r="Y106" i="273"/>
  <c r="Y238" i="273"/>
  <c r="Y239" i="273"/>
  <c r="F236" i="48"/>
  <c r="Y245" i="273"/>
  <c r="Y244" i="273"/>
  <c r="Y246" i="273"/>
  <c r="Y633" i="307"/>
  <c r="Z13" i="304"/>
  <c r="Z10" i="273"/>
  <c r="Z13" i="273"/>
  <c r="Z14" i="273"/>
  <c r="Z19" i="273"/>
  <c r="Z20" i="273"/>
  <c r="Z24" i="273"/>
  <c r="Z25" i="273"/>
  <c r="Z136" i="273"/>
  <c r="Z137" i="273"/>
  <c r="Z143" i="273"/>
  <c r="Y140" i="273"/>
  <c r="Y141" i="273"/>
  <c r="Y144" i="273"/>
  <c r="Z145" i="273"/>
  <c r="Z207" i="273"/>
  <c r="Z176" i="273"/>
  <c r="Z177" i="273"/>
  <c r="Z183" i="273"/>
  <c r="Y180" i="273"/>
  <c r="Y181" i="273"/>
  <c r="Y184" i="273"/>
  <c r="Z185" i="273"/>
  <c r="Z208" i="273"/>
  <c r="Z209" i="273"/>
  <c r="Y29" i="273"/>
  <c r="Y30" i="273"/>
  <c r="Y237" i="273"/>
  <c r="Y80" i="273"/>
  <c r="Y81" i="273"/>
  <c r="Y89" i="273"/>
  <c r="Z90" i="273"/>
  <c r="Z104" i="273"/>
  <c r="Y100" i="273"/>
  <c r="Y101" i="273"/>
  <c r="Y105" i="273"/>
  <c r="Z106" i="273"/>
  <c r="Z238" i="273"/>
  <c r="Z239" i="273"/>
  <c r="Z245" i="273"/>
  <c r="Z244" i="273"/>
  <c r="Z246" i="273"/>
  <c r="Z633" i="307"/>
  <c r="AA13" i="304"/>
  <c r="AA10" i="273"/>
  <c r="AA13" i="273"/>
  <c r="AA14" i="273"/>
  <c r="AA19" i="273"/>
  <c r="AA20" i="273"/>
  <c r="AA24" i="273"/>
  <c r="AA25" i="273"/>
  <c r="AA136" i="273"/>
  <c r="AA137" i="273"/>
  <c r="AA143" i="273"/>
  <c r="Z140" i="273"/>
  <c r="Z141" i="273"/>
  <c r="Z144" i="273"/>
  <c r="AA145" i="273"/>
  <c r="AA207" i="273"/>
  <c r="AA176" i="273"/>
  <c r="AA177" i="273"/>
  <c r="AA183" i="273"/>
  <c r="Z180" i="273"/>
  <c r="Z181" i="273"/>
  <c r="Z184" i="273"/>
  <c r="AA185" i="273"/>
  <c r="AA208" i="273"/>
  <c r="AA209" i="273"/>
  <c r="Z29" i="273"/>
  <c r="Z30" i="273"/>
  <c r="Z237" i="273"/>
  <c r="Z80" i="273"/>
  <c r="Z81" i="273"/>
  <c r="Z89" i="273"/>
  <c r="AA90" i="273"/>
  <c r="AA104" i="273"/>
  <c r="Z100" i="273"/>
  <c r="Z101" i="273"/>
  <c r="Z105" i="273"/>
  <c r="AA106" i="273"/>
  <c r="AA238" i="273"/>
  <c r="AA239" i="273"/>
  <c r="F237" i="48"/>
  <c r="AA245" i="273"/>
  <c r="AA244" i="273"/>
  <c r="AA246" i="273"/>
  <c r="AA633" i="307"/>
  <c r="AB13" i="304"/>
  <c r="AB10" i="273"/>
  <c r="AB13" i="273"/>
  <c r="AB14" i="273"/>
  <c r="AB19" i="273"/>
  <c r="AB20" i="273"/>
  <c r="AB24" i="273"/>
  <c r="AB25" i="273"/>
  <c r="AB136" i="273"/>
  <c r="AB137" i="273"/>
  <c r="AB143" i="273"/>
  <c r="AA140" i="273"/>
  <c r="AA141" i="273"/>
  <c r="AA144" i="273"/>
  <c r="AB145" i="273"/>
  <c r="AB207" i="273"/>
  <c r="AB176" i="273"/>
  <c r="AB177" i="273"/>
  <c r="AB183" i="273"/>
  <c r="AA180" i="273"/>
  <c r="AA181" i="273"/>
  <c r="AA184" i="273"/>
  <c r="AB185" i="273"/>
  <c r="AB208" i="273"/>
  <c r="AB209" i="273"/>
  <c r="AA29" i="273"/>
  <c r="AA30" i="273"/>
  <c r="AA237" i="273"/>
  <c r="AA80" i="273"/>
  <c r="AA81" i="273"/>
  <c r="AA89" i="273"/>
  <c r="AB90" i="273"/>
  <c r="AB104" i="273"/>
  <c r="AA100" i="273"/>
  <c r="AA101" i="273"/>
  <c r="AA105" i="273"/>
  <c r="AB106" i="273"/>
  <c r="AB238" i="273"/>
  <c r="AB239" i="273"/>
  <c r="AB245" i="273"/>
  <c r="AB244" i="273"/>
  <c r="AB246" i="273"/>
  <c r="AB633" i="307"/>
  <c r="AC13" i="304"/>
  <c r="AC10" i="273"/>
  <c r="AC13" i="273"/>
  <c r="AC14" i="273"/>
  <c r="AC19" i="273"/>
  <c r="AC20" i="273"/>
  <c r="AC24" i="273"/>
  <c r="AC25" i="273"/>
  <c r="AC136" i="273"/>
  <c r="AC137" i="273"/>
  <c r="AC143" i="273"/>
  <c r="AB140" i="273"/>
  <c r="AB141" i="273"/>
  <c r="AB144" i="273"/>
  <c r="AC145" i="273"/>
  <c r="AC207" i="273"/>
  <c r="AC176" i="273"/>
  <c r="AC177" i="273"/>
  <c r="AC183" i="273"/>
  <c r="AB180" i="273"/>
  <c r="AB181" i="273"/>
  <c r="AB184" i="273"/>
  <c r="AC185" i="273"/>
  <c r="AC208" i="273"/>
  <c r="AC209" i="273"/>
  <c r="AB29" i="273"/>
  <c r="AB30" i="273"/>
  <c r="AB237" i="273"/>
  <c r="AB80" i="273"/>
  <c r="AB81" i="273"/>
  <c r="AB89" i="273"/>
  <c r="AC90" i="273"/>
  <c r="AC104" i="273"/>
  <c r="AB100" i="273"/>
  <c r="AB101" i="273"/>
  <c r="AB105" i="273"/>
  <c r="AC106" i="273"/>
  <c r="AC238" i="273"/>
  <c r="AC239" i="273"/>
  <c r="F238" i="48"/>
  <c r="AC245" i="273"/>
  <c r="AC244" i="273"/>
  <c r="AC246" i="273"/>
  <c r="AC633" i="307"/>
  <c r="AD13" i="304"/>
  <c r="AD10" i="273"/>
  <c r="AD13" i="273"/>
  <c r="AD14" i="273"/>
  <c r="AD19" i="273"/>
  <c r="AD20" i="273"/>
  <c r="AD24" i="273"/>
  <c r="AD25" i="273"/>
  <c r="AD136" i="273"/>
  <c r="AD137" i="273"/>
  <c r="AD143" i="273"/>
  <c r="AC140" i="273"/>
  <c r="AC141" i="273"/>
  <c r="AC144" i="273"/>
  <c r="AD145" i="273"/>
  <c r="AD207" i="273"/>
  <c r="AD176" i="273"/>
  <c r="AD177" i="273"/>
  <c r="AD183" i="273"/>
  <c r="AC180" i="273"/>
  <c r="AC181" i="273"/>
  <c r="AC184" i="273"/>
  <c r="AD185" i="273"/>
  <c r="AD208" i="273"/>
  <c r="AD209" i="273"/>
  <c r="AC29" i="273"/>
  <c r="AC30" i="273"/>
  <c r="AC237" i="273"/>
  <c r="AC80" i="273"/>
  <c r="AC81" i="273"/>
  <c r="AC89" i="273"/>
  <c r="AD90" i="273"/>
  <c r="AD104" i="273"/>
  <c r="AC100" i="273"/>
  <c r="AC101" i="273"/>
  <c r="AC105" i="273"/>
  <c r="AD106" i="273"/>
  <c r="AD238" i="273"/>
  <c r="AD239" i="273"/>
  <c r="AD245" i="273"/>
  <c r="AD244" i="273"/>
  <c r="AD246" i="273"/>
  <c r="AD633" i="307"/>
  <c r="AE13" i="304"/>
  <c r="AE10" i="273"/>
  <c r="AE13" i="273"/>
  <c r="AE14" i="273"/>
  <c r="AE19" i="273"/>
  <c r="AE20" i="273"/>
  <c r="AE24" i="273"/>
  <c r="AE25" i="273"/>
  <c r="AE136" i="273"/>
  <c r="AE137" i="273"/>
  <c r="AE143" i="273"/>
  <c r="AD140" i="273"/>
  <c r="AD141" i="273"/>
  <c r="AD144" i="273"/>
  <c r="AE145" i="273"/>
  <c r="AE207" i="273"/>
  <c r="AE176" i="273"/>
  <c r="AE177" i="273"/>
  <c r="AE183" i="273"/>
  <c r="AD180" i="273"/>
  <c r="AD181" i="273"/>
  <c r="AD184" i="273"/>
  <c r="AE185" i="273"/>
  <c r="AE208" i="273"/>
  <c r="AE209" i="273"/>
  <c r="AD29" i="273"/>
  <c r="AD30" i="273"/>
  <c r="AD237" i="273"/>
  <c r="AD80" i="273"/>
  <c r="AD81" i="273"/>
  <c r="AD89" i="273"/>
  <c r="AE90" i="273"/>
  <c r="AE104" i="273"/>
  <c r="AD100" i="273"/>
  <c r="AD101" i="273"/>
  <c r="AD105" i="273"/>
  <c r="AE106" i="273"/>
  <c r="AE238" i="273"/>
  <c r="AE239" i="273"/>
  <c r="F239" i="48"/>
  <c r="AE245" i="273"/>
  <c r="AE244" i="273"/>
  <c r="AE246" i="273"/>
  <c r="AE633" i="307"/>
  <c r="AF13" i="304"/>
  <c r="AF10" i="273"/>
  <c r="AF13" i="273"/>
  <c r="AF14" i="273"/>
  <c r="AF19" i="273"/>
  <c r="AF20" i="273"/>
  <c r="AF24" i="273"/>
  <c r="AF25" i="273"/>
  <c r="AF136" i="273"/>
  <c r="AF137" i="273"/>
  <c r="AF143" i="273"/>
  <c r="AE140" i="273"/>
  <c r="AE141" i="273"/>
  <c r="AE144" i="273"/>
  <c r="AF145" i="273"/>
  <c r="AF207" i="273"/>
  <c r="AF176" i="273"/>
  <c r="AF177" i="273"/>
  <c r="AF183" i="273"/>
  <c r="AE180" i="273"/>
  <c r="AE181" i="273"/>
  <c r="AE184" i="273"/>
  <c r="AF185" i="273"/>
  <c r="AF208" i="273"/>
  <c r="AF209" i="273"/>
  <c r="AE29" i="273"/>
  <c r="AE30" i="273"/>
  <c r="AE237" i="273"/>
  <c r="AE80" i="273"/>
  <c r="AE81" i="273"/>
  <c r="AE89" i="273"/>
  <c r="AF90" i="273"/>
  <c r="AF104" i="273"/>
  <c r="AE100" i="273"/>
  <c r="AE101" i="273"/>
  <c r="AE105" i="273"/>
  <c r="AF106" i="273"/>
  <c r="AF238" i="273"/>
  <c r="AF239" i="273"/>
  <c r="AF245" i="273"/>
  <c r="AF244" i="273"/>
  <c r="AF246" i="273"/>
  <c r="AF633" i="307"/>
  <c r="AG13" i="304"/>
  <c r="AG10" i="273"/>
  <c r="AG13" i="273"/>
  <c r="AG14" i="273"/>
  <c r="AG19" i="273"/>
  <c r="AG20" i="273"/>
  <c r="AG24" i="273"/>
  <c r="AG25" i="273"/>
  <c r="AG136" i="273"/>
  <c r="AG137" i="273"/>
  <c r="AG143" i="273"/>
  <c r="AF140" i="273"/>
  <c r="AF141" i="273"/>
  <c r="AF144" i="273"/>
  <c r="AG145" i="273"/>
  <c r="AG207" i="273"/>
  <c r="AG176" i="273"/>
  <c r="AG177" i="273"/>
  <c r="AG183" i="273"/>
  <c r="AF180" i="273"/>
  <c r="AF181" i="273"/>
  <c r="AF184" i="273"/>
  <c r="AG185" i="273"/>
  <c r="AG208" i="273"/>
  <c r="AG209" i="273"/>
  <c r="AF29" i="273"/>
  <c r="AF30" i="273"/>
  <c r="AF237" i="273"/>
  <c r="AF80" i="273"/>
  <c r="AF81" i="273"/>
  <c r="AF89" i="273"/>
  <c r="AG90" i="273"/>
  <c r="AG104" i="273"/>
  <c r="AF100" i="273"/>
  <c r="AF101" i="273"/>
  <c r="AF105" i="273"/>
  <c r="AG106" i="273"/>
  <c r="AG238" i="273"/>
  <c r="AG239" i="273"/>
  <c r="F240" i="48"/>
  <c r="AG245" i="273"/>
  <c r="AG244" i="273"/>
  <c r="AG246" i="273"/>
  <c r="AG633" i="307"/>
  <c r="AH13" i="304"/>
  <c r="AH10" i="273"/>
  <c r="AH13" i="273"/>
  <c r="AH14" i="273"/>
  <c r="AH19" i="273"/>
  <c r="AH20" i="273"/>
  <c r="AH24" i="273"/>
  <c r="AH25" i="273"/>
  <c r="AH136" i="273"/>
  <c r="AH137" i="273"/>
  <c r="AH143" i="273"/>
  <c r="AG140" i="273"/>
  <c r="AG141" i="273"/>
  <c r="AG144" i="273"/>
  <c r="AH145" i="273"/>
  <c r="AH207" i="273"/>
  <c r="AH176" i="273"/>
  <c r="AH177" i="273"/>
  <c r="AH183" i="273"/>
  <c r="AG180" i="273"/>
  <c r="AG181" i="273"/>
  <c r="AG184" i="273"/>
  <c r="AH185" i="273"/>
  <c r="AH208" i="273"/>
  <c r="AH209" i="273"/>
  <c r="AG29" i="273"/>
  <c r="AG30" i="273"/>
  <c r="AG237" i="273"/>
  <c r="AG80" i="273"/>
  <c r="AG81" i="273"/>
  <c r="AG89" i="273"/>
  <c r="AH90" i="273"/>
  <c r="AH104" i="273"/>
  <c r="AG100" i="273"/>
  <c r="AG101" i="273"/>
  <c r="AG105" i="273"/>
  <c r="AH106" i="273"/>
  <c r="AH238" i="273"/>
  <c r="AH239" i="273"/>
  <c r="AH245" i="273"/>
  <c r="AH244" i="273"/>
  <c r="AH246" i="273"/>
  <c r="AH633" i="307"/>
  <c r="AI13" i="304"/>
  <c r="AI10" i="273"/>
  <c r="AI13" i="273"/>
  <c r="AI14" i="273"/>
  <c r="AI19" i="273"/>
  <c r="AI20" i="273"/>
  <c r="AI24" i="273"/>
  <c r="AI25" i="273"/>
  <c r="AI136" i="273"/>
  <c r="AI137" i="273"/>
  <c r="AI143" i="273"/>
  <c r="AH140" i="273"/>
  <c r="AH141" i="273"/>
  <c r="AH144" i="273"/>
  <c r="AI145" i="273"/>
  <c r="AI207" i="273"/>
  <c r="AI176" i="273"/>
  <c r="AI177" i="273"/>
  <c r="AI183" i="273"/>
  <c r="AH180" i="273"/>
  <c r="AH181" i="273"/>
  <c r="AH184" i="273"/>
  <c r="AI185" i="273"/>
  <c r="AI208" i="273"/>
  <c r="AI209" i="273"/>
  <c r="AH29" i="273"/>
  <c r="AH30" i="273"/>
  <c r="AH237" i="273"/>
  <c r="AH80" i="273"/>
  <c r="AH81" i="273"/>
  <c r="AH89" i="273"/>
  <c r="AI90" i="273"/>
  <c r="AI104" i="273"/>
  <c r="AH100" i="273"/>
  <c r="AH101" i="273"/>
  <c r="AH105" i="273"/>
  <c r="AI106" i="273"/>
  <c r="AI238" i="273"/>
  <c r="AI239" i="273"/>
  <c r="F241" i="48"/>
  <c r="AI245" i="273"/>
  <c r="AI244" i="273"/>
  <c r="AI246" i="273"/>
  <c r="AI633" i="307"/>
  <c r="AJ13" i="304"/>
  <c r="AJ10" i="273"/>
  <c r="AJ13" i="273"/>
  <c r="AJ14" i="273"/>
  <c r="AJ19" i="273"/>
  <c r="AJ20" i="273"/>
  <c r="AJ24" i="273"/>
  <c r="AJ25" i="273"/>
  <c r="AJ136" i="273"/>
  <c r="AJ137" i="273"/>
  <c r="AJ143" i="273"/>
  <c r="AI140" i="273"/>
  <c r="AI141" i="273"/>
  <c r="AI144" i="273"/>
  <c r="AJ145" i="273"/>
  <c r="AJ207" i="273"/>
  <c r="AJ176" i="273"/>
  <c r="AJ177" i="273"/>
  <c r="AJ183" i="273"/>
  <c r="AI180" i="273"/>
  <c r="AI181" i="273"/>
  <c r="AI184" i="273"/>
  <c r="AJ185" i="273"/>
  <c r="AJ208" i="273"/>
  <c r="AJ209" i="273"/>
  <c r="AI29" i="273"/>
  <c r="AI30" i="273"/>
  <c r="AI237" i="273"/>
  <c r="AI80" i="273"/>
  <c r="AI81" i="273"/>
  <c r="AI89" i="273"/>
  <c r="AJ90" i="273"/>
  <c r="AJ104" i="273"/>
  <c r="AI100" i="273"/>
  <c r="AI101" i="273"/>
  <c r="AI105" i="273"/>
  <c r="AJ106" i="273"/>
  <c r="AJ238" i="273"/>
  <c r="AJ239" i="273"/>
  <c r="AJ245" i="273"/>
  <c r="AJ244" i="273"/>
  <c r="AJ246" i="273"/>
  <c r="AJ633" i="307"/>
  <c r="AK13" i="304"/>
  <c r="AK10" i="273"/>
  <c r="AK13" i="273"/>
  <c r="AK14" i="273"/>
  <c r="AK19" i="273"/>
  <c r="AK20" i="273"/>
  <c r="AK24" i="273"/>
  <c r="AK25" i="273"/>
  <c r="AK136" i="273"/>
  <c r="AK137" i="273"/>
  <c r="AK143" i="273"/>
  <c r="AJ140" i="273"/>
  <c r="AJ141" i="273"/>
  <c r="AJ144" i="273"/>
  <c r="AK145" i="273"/>
  <c r="AK207" i="273"/>
  <c r="AK176" i="273"/>
  <c r="AK177" i="273"/>
  <c r="AK183" i="273"/>
  <c r="AJ180" i="273"/>
  <c r="AJ181" i="273"/>
  <c r="AJ184" i="273"/>
  <c r="AK185" i="273"/>
  <c r="AK208" i="273"/>
  <c r="AK209" i="273"/>
  <c r="AJ29" i="273"/>
  <c r="AJ30" i="273"/>
  <c r="AJ237" i="273"/>
  <c r="AJ80" i="273"/>
  <c r="AJ81" i="273"/>
  <c r="AJ89" i="273"/>
  <c r="AK90" i="273"/>
  <c r="AK104" i="273"/>
  <c r="AJ100" i="273"/>
  <c r="AJ101" i="273"/>
  <c r="AJ105" i="273"/>
  <c r="AK106" i="273"/>
  <c r="AK238" i="273"/>
  <c r="AK239" i="273"/>
  <c r="F242" i="48"/>
  <c r="AK245" i="273"/>
  <c r="AK244" i="273"/>
  <c r="AK246" i="273"/>
  <c r="AK633" i="307"/>
  <c r="AL13" i="304"/>
  <c r="AL10" i="273"/>
  <c r="AL13" i="273"/>
  <c r="AL14" i="273"/>
  <c r="AL19" i="273"/>
  <c r="AL20" i="273"/>
  <c r="AL24" i="273"/>
  <c r="AL25" i="273"/>
  <c r="AL136" i="273"/>
  <c r="AL137" i="273"/>
  <c r="AL143" i="273"/>
  <c r="AK140" i="273"/>
  <c r="AK141" i="273"/>
  <c r="AK144" i="273"/>
  <c r="AL145" i="273"/>
  <c r="AL207" i="273"/>
  <c r="AL176" i="273"/>
  <c r="AL177" i="273"/>
  <c r="AL183" i="273"/>
  <c r="AK180" i="273"/>
  <c r="AK181" i="273"/>
  <c r="AK184" i="273"/>
  <c r="AL185" i="273"/>
  <c r="AL208" i="273"/>
  <c r="AL209" i="273"/>
  <c r="AK29" i="273"/>
  <c r="AK30" i="273"/>
  <c r="AK237" i="273"/>
  <c r="AK80" i="273"/>
  <c r="AK81" i="273"/>
  <c r="AK89" i="273"/>
  <c r="AL90" i="273"/>
  <c r="AL104" i="273"/>
  <c r="AK100" i="273"/>
  <c r="AK101" i="273"/>
  <c r="AK105" i="273"/>
  <c r="AL106" i="273"/>
  <c r="AL238" i="273"/>
  <c r="AL239" i="273"/>
  <c r="AL245" i="273"/>
  <c r="AL244" i="273"/>
  <c r="AL246" i="273"/>
  <c r="AL633" i="307"/>
  <c r="AM13" i="304"/>
  <c r="AM10" i="273"/>
  <c r="AM13" i="273"/>
  <c r="AM14" i="273"/>
  <c r="AM19" i="273"/>
  <c r="AM20" i="273"/>
  <c r="AM24" i="273"/>
  <c r="AM25" i="273"/>
  <c r="AM136" i="273"/>
  <c r="AM137" i="273"/>
  <c r="AM143" i="273"/>
  <c r="AL140" i="273"/>
  <c r="AL141" i="273"/>
  <c r="AL144" i="273"/>
  <c r="AM145" i="273"/>
  <c r="AM207" i="273"/>
  <c r="AM176" i="273"/>
  <c r="AM177" i="273"/>
  <c r="AM183" i="273"/>
  <c r="AL180" i="273"/>
  <c r="AL181" i="273"/>
  <c r="AL184" i="273"/>
  <c r="AM185" i="273"/>
  <c r="AM208" i="273"/>
  <c r="AM209" i="273"/>
  <c r="AL29" i="273"/>
  <c r="AL30" i="273"/>
  <c r="AL237" i="273"/>
  <c r="AL80" i="273"/>
  <c r="AL81" i="273"/>
  <c r="AL89" i="273"/>
  <c r="AM90" i="273"/>
  <c r="AM104" i="273"/>
  <c r="AL100" i="273"/>
  <c r="AL101" i="273"/>
  <c r="AL105" i="273"/>
  <c r="AM106" i="273"/>
  <c r="AM238" i="273"/>
  <c r="AM239" i="273"/>
  <c r="F243" i="48"/>
  <c r="AM245" i="273"/>
  <c r="AM244" i="273"/>
  <c r="AM246" i="273"/>
  <c r="AM633" i="307"/>
  <c r="AN13" i="304"/>
  <c r="AN10" i="273"/>
  <c r="AN13" i="273"/>
  <c r="AN14" i="273"/>
  <c r="AN19" i="273"/>
  <c r="AN20" i="273"/>
  <c r="AN24" i="273"/>
  <c r="AN25" i="273"/>
  <c r="AN136" i="273"/>
  <c r="AN137" i="273"/>
  <c r="AN143" i="273"/>
  <c r="AM140" i="273"/>
  <c r="AM141" i="273"/>
  <c r="AM144" i="273"/>
  <c r="AN145" i="273"/>
  <c r="AN207" i="273"/>
  <c r="AN176" i="273"/>
  <c r="AN177" i="273"/>
  <c r="AN183" i="273"/>
  <c r="AM180" i="273"/>
  <c r="AM181" i="273"/>
  <c r="AM184" i="273"/>
  <c r="AN185" i="273"/>
  <c r="AN208" i="273"/>
  <c r="AN209" i="273"/>
  <c r="AM29" i="273"/>
  <c r="AM30" i="273"/>
  <c r="AM237" i="273"/>
  <c r="AM80" i="273"/>
  <c r="AM81" i="273"/>
  <c r="AM89" i="273"/>
  <c r="AN90" i="273"/>
  <c r="AN104" i="273"/>
  <c r="AM100" i="273"/>
  <c r="AM101" i="273"/>
  <c r="AM105" i="273"/>
  <c r="AN106" i="273"/>
  <c r="AN238" i="273"/>
  <c r="AN239" i="273"/>
  <c r="AN245" i="273"/>
  <c r="AN244" i="273"/>
  <c r="AN246" i="273"/>
  <c r="AN633" i="307"/>
  <c r="AO13" i="304"/>
  <c r="AO10" i="273"/>
  <c r="AO13" i="273"/>
  <c r="AO14" i="273"/>
  <c r="AO19" i="273"/>
  <c r="AO20" i="273"/>
  <c r="AO24" i="273"/>
  <c r="AO25" i="273"/>
  <c r="AO136" i="273"/>
  <c r="AO137" i="273"/>
  <c r="AO143" i="273"/>
  <c r="AN140" i="273"/>
  <c r="AN141" i="273"/>
  <c r="AN144" i="273"/>
  <c r="AO145" i="273"/>
  <c r="AO207" i="273"/>
  <c r="AO176" i="273"/>
  <c r="AO177" i="273"/>
  <c r="AO183" i="273"/>
  <c r="AN180" i="273"/>
  <c r="AN181" i="273"/>
  <c r="AN184" i="273"/>
  <c r="AO185" i="273"/>
  <c r="AO208" i="273"/>
  <c r="AO209" i="273"/>
  <c r="AN29" i="273"/>
  <c r="AN30" i="273"/>
  <c r="AN237" i="273"/>
  <c r="AN80" i="273"/>
  <c r="AN81" i="273"/>
  <c r="AN89" i="273"/>
  <c r="AO90" i="273"/>
  <c r="AO104" i="273"/>
  <c r="AN100" i="273"/>
  <c r="AN101" i="273"/>
  <c r="AN105" i="273"/>
  <c r="AO106" i="273"/>
  <c r="AO238" i="273"/>
  <c r="AO239" i="273"/>
  <c r="F244" i="48"/>
  <c r="AO245" i="273"/>
  <c r="AO244" i="273"/>
  <c r="AO246" i="273"/>
  <c r="AO633" i="307"/>
  <c r="AP13" i="304"/>
  <c r="AP10" i="273"/>
  <c r="AP13" i="273"/>
  <c r="AP14" i="273"/>
  <c r="AP19" i="273"/>
  <c r="AP20" i="273"/>
  <c r="AP24" i="273"/>
  <c r="AP25" i="273"/>
  <c r="AP136" i="273"/>
  <c r="AP137" i="273"/>
  <c r="AP143" i="273"/>
  <c r="AO140" i="273"/>
  <c r="AO141" i="273"/>
  <c r="AO144" i="273"/>
  <c r="AP145" i="273"/>
  <c r="AP207" i="273"/>
  <c r="AP176" i="273"/>
  <c r="AP177" i="273"/>
  <c r="AP183" i="273"/>
  <c r="AO180" i="273"/>
  <c r="AO181" i="273"/>
  <c r="AO184" i="273"/>
  <c r="AP185" i="273"/>
  <c r="AP208" i="273"/>
  <c r="AP209" i="273"/>
  <c r="AO29" i="273"/>
  <c r="AO30" i="273"/>
  <c r="AO237" i="273"/>
  <c r="AO80" i="273"/>
  <c r="AO81" i="273"/>
  <c r="AO89" i="273"/>
  <c r="AP90" i="273"/>
  <c r="AP104" i="273"/>
  <c r="AO100" i="273"/>
  <c r="AO101" i="273"/>
  <c r="AO105" i="273"/>
  <c r="AP106" i="273"/>
  <c r="AP238" i="273"/>
  <c r="AP239" i="273"/>
  <c r="AP245" i="273"/>
  <c r="AP244" i="273"/>
  <c r="AP246" i="273"/>
  <c r="AP633" i="307"/>
  <c r="AQ13" i="304"/>
  <c r="AQ10" i="273"/>
  <c r="AQ13" i="273"/>
  <c r="AQ14" i="273"/>
  <c r="AQ19" i="273"/>
  <c r="AQ20" i="273"/>
  <c r="AQ24" i="273"/>
  <c r="AQ25" i="273"/>
  <c r="AQ136" i="273"/>
  <c r="AQ137" i="273"/>
  <c r="AQ143" i="273"/>
  <c r="AP140" i="273"/>
  <c r="AP141" i="273"/>
  <c r="AP144" i="273"/>
  <c r="AQ145" i="273"/>
  <c r="AQ207" i="273"/>
  <c r="AQ176" i="273"/>
  <c r="AQ177" i="273"/>
  <c r="AQ183" i="273"/>
  <c r="AP180" i="273"/>
  <c r="AP181" i="273"/>
  <c r="AP184" i="273"/>
  <c r="AQ185" i="273"/>
  <c r="AQ208" i="273"/>
  <c r="AQ209" i="273"/>
  <c r="AP29" i="273"/>
  <c r="AP30" i="273"/>
  <c r="AP237" i="273"/>
  <c r="AP80" i="273"/>
  <c r="AP81" i="273"/>
  <c r="AP89" i="273"/>
  <c r="AQ90" i="273"/>
  <c r="AQ104" i="273"/>
  <c r="AP100" i="273"/>
  <c r="AP101" i="273"/>
  <c r="AP105" i="273"/>
  <c r="AQ106" i="273"/>
  <c r="AQ238" i="273"/>
  <c r="AQ239" i="273"/>
  <c r="F245" i="48"/>
  <c r="AQ245" i="273"/>
  <c r="AQ244" i="273"/>
  <c r="AQ246" i="273"/>
  <c r="AQ633" i="307"/>
  <c r="AR13" i="304"/>
  <c r="AR10" i="273"/>
  <c r="AR13" i="273"/>
  <c r="AR14" i="273"/>
  <c r="AR19" i="273"/>
  <c r="AR20" i="273"/>
  <c r="AR24" i="273"/>
  <c r="AR25" i="273"/>
  <c r="AR136" i="273"/>
  <c r="AR137" i="273"/>
  <c r="AR143" i="273"/>
  <c r="AQ140" i="273"/>
  <c r="AQ141" i="273"/>
  <c r="AQ144" i="273"/>
  <c r="AR145" i="273"/>
  <c r="AR207" i="273"/>
  <c r="AR176" i="273"/>
  <c r="AR177" i="273"/>
  <c r="AR183" i="273"/>
  <c r="AQ180" i="273"/>
  <c r="AQ181" i="273"/>
  <c r="AQ184" i="273"/>
  <c r="AR185" i="273"/>
  <c r="AR208" i="273"/>
  <c r="AR209" i="273"/>
  <c r="AQ29" i="273"/>
  <c r="AQ30" i="273"/>
  <c r="AQ237" i="273"/>
  <c r="AQ80" i="273"/>
  <c r="AQ81" i="273"/>
  <c r="AQ89" i="273"/>
  <c r="AR90" i="273"/>
  <c r="AR104" i="273"/>
  <c r="AQ100" i="273"/>
  <c r="AQ101" i="273"/>
  <c r="AQ105" i="273"/>
  <c r="AR106" i="273"/>
  <c r="AR238" i="273"/>
  <c r="AR239" i="273"/>
  <c r="AR245" i="273"/>
  <c r="AR244" i="273"/>
  <c r="AR246" i="273"/>
  <c r="AR633" i="307"/>
  <c r="AS13" i="304"/>
  <c r="AS10" i="273"/>
  <c r="AS13" i="273"/>
  <c r="AS14" i="273"/>
  <c r="AS19" i="273"/>
  <c r="AS20" i="273"/>
  <c r="AS24" i="273"/>
  <c r="AS25" i="273"/>
  <c r="AS136" i="273"/>
  <c r="AS137" i="273"/>
  <c r="AS143" i="273"/>
  <c r="AR140" i="273"/>
  <c r="AR141" i="273"/>
  <c r="AR144" i="273"/>
  <c r="AS145" i="273"/>
  <c r="AS207" i="273"/>
  <c r="AS176" i="273"/>
  <c r="AS177" i="273"/>
  <c r="AS183" i="273"/>
  <c r="AR180" i="273"/>
  <c r="AR181" i="273"/>
  <c r="AR184" i="273"/>
  <c r="AS185" i="273"/>
  <c r="AS208" i="273"/>
  <c r="AS209" i="273"/>
  <c r="AR29" i="273"/>
  <c r="AR30" i="273"/>
  <c r="AR237" i="273"/>
  <c r="AR80" i="273"/>
  <c r="AR81" i="273"/>
  <c r="AR89" i="273"/>
  <c r="AS90" i="273"/>
  <c r="AS104" i="273"/>
  <c r="AR100" i="273"/>
  <c r="AR101" i="273"/>
  <c r="AR105" i="273"/>
  <c r="AS106" i="273"/>
  <c r="AS238" i="273"/>
  <c r="AS239" i="273"/>
  <c r="F246" i="48"/>
  <c r="AS245" i="273"/>
  <c r="AS244" i="273"/>
  <c r="AS246" i="273"/>
  <c r="AS633" i="307"/>
  <c r="AT13" i="304"/>
  <c r="AT10" i="273"/>
  <c r="AT13" i="273"/>
  <c r="AT14" i="273"/>
  <c r="AT19" i="273"/>
  <c r="AT20" i="273"/>
  <c r="AT24" i="273"/>
  <c r="AT25" i="273"/>
  <c r="AT136" i="273"/>
  <c r="AT137" i="273"/>
  <c r="AT143" i="273"/>
  <c r="AS140" i="273"/>
  <c r="AS141" i="273"/>
  <c r="AS144" i="273"/>
  <c r="AT145" i="273"/>
  <c r="AT207" i="273"/>
  <c r="AT176" i="273"/>
  <c r="AT177" i="273"/>
  <c r="AT183" i="273"/>
  <c r="AS180" i="273"/>
  <c r="AS181" i="273"/>
  <c r="AS184" i="273"/>
  <c r="AT185" i="273"/>
  <c r="AT208" i="273"/>
  <c r="AT209" i="273"/>
  <c r="AS29" i="273"/>
  <c r="AS30" i="273"/>
  <c r="AS237" i="273"/>
  <c r="AS80" i="273"/>
  <c r="AS81" i="273"/>
  <c r="AS89" i="273"/>
  <c r="AT90" i="273"/>
  <c r="AT104" i="273"/>
  <c r="AS100" i="273"/>
  <c r="AS101" i="273"/>
  <c r="AS105" i="273"/>
  <c r="AT106" i="273"/>
  <c r="AT238" i="273"/>
  <c r="AT239" i="273"/>
  <c r="AT245" i="273"/>
  <c r="AT244" i="273"/>
  <c r="AT246" i="273"/>
  <c r="AT633" i="307"/>
  <c r="AU13" i="304"/>
  <c r="AU10" i="273"/>
  <c r="AU13" i="273"/>
  <c r="AU14" i="273"/>
  <c r="AU19" i="273"/>
  <c r="AU20" i="273"/>
  <c r="AU24" i="273"/>
  <c r="AU25" i="273"/>
  <c r="AU136" i="273"/>
  <c r="AU137" i="273"/>
  <c r="AU143" i="273"/>
  <c r="AT140" i="273"/>
  <c r="AT141" i="273"/>
  <c r="AT144" i="273"/>
  <c r="AU145" i="273"/>
  <c r="AU207" i="273"/>
  <c r="AU176" i="273"/>
  <c r="AU177" i="273"/>
  <c r="AU183" i="273"/>
  <c r="AT180" i="273"/>
  <c r="AT181" i="273"/>
  <c r="AT184" i="273"/>
  <c r="AU185" i="273"/>
  <c r="AU208" i="273"/>
  <c r="AU209" i="273"/>
  <c r="AT29" i="273"/>
  <c r="AT30" i="273"/>
  <c r="AT237" i="273"/>
  <c r="AT80" i="273"/>
  <c r="AT81" i="273"/>
  <c r="AT89" i="273"/>
  <c r="AU90" i="273"/>
  <c r="AU104" i="273"/>
  <c r="AT100" i="273"/>
  <c r="AT101" i="273"/>
  <c r="AT105" i="273"/>
  <c r="AU106" i="273"/>
  <c r="AU238" i="273"/>
  <c r="AU239" i="273"/>
  <c r="F247" i="48"/>
  <c r="AU245" i="273"/>
  <c r="AU244" i="273"/>
  <c r="AU246" i="273"/>
  <c r="AU633" i="307"/>
  <c r="AV13" i="304"/>
  <c r="AV10" i="273"/>
  <c r="AV13" i="273"/>
  <c r="AV14" i="273"/>
  <c r="AV19" i="273"/>
  <c r="AV20" i="273"/>
  <c r="AV24" i="273"/>
  <c r="AV25" i="273"/>
  <c r="AV136" i="273"/>
  <c r="AV137" i="273"/>
  <c r="AV143" i="273"/>
  <c r="AU140" i="273"/>
  <c r="AU141" i="273"/>
  <c r="AU144" i="273"/>
  <c r="AV145" i="273"/>
  <c r="AV207" i="273"/>
  <c r="AV176" i="273"/>
  <c r="AV177" i="273"/>
  <c r="AV183" i="273"/>
  <c r="AU180" i="273"/>
  <c r="AU181" i="273"/>
  <c r="AU184" i="273"/>
  <c r="AV185" i="273"/>
  <c r="AV208" i="273"/>
  <c r="AV209" i="273"/>
  <c r="AU29" i="273"/>
  <c r="AU30" i="273"/>
  <c r="AU237" i="273"/>
  <c r="AU80" i="273"/>
  <c r="AU81" i="273"/>
  <c r="AU89" i="273"/>
  <c r="AV90" i="273"/>
  <c r="AV104" i="273"/>
  <c r="AU100" i="273"/>
  <c r="AU101" i="273"/>
  <c r="AU105" i="273"/>
  <c r="AV106" i="273"/>
  <c r="AV238" i="273"/>
  <c r="AV239" i="273"/>
  <c r="AV245" i="273"/>
  <c r="AV244" i="273"/>
  <c r="AV246" i="273"/>
  <c r="AV633" i="307"/>
  <c r="AW13" i="304"/>
  <c r="AW10" i="273"/>
  <c r="AW13" i="273"/>
  <c r="AW14" i="273"/>
  <c r="AW19" i="273"/>
  <c r="AW20" i="273"/>
  <c r="AW24" i="273"/>
  <c r="AW25" i="273"/>
  <c r="AW136" i="273"/>
  <c r="AW137" i="273"/>
  <c r="AW143" i="273"/>
  <c r="AV140" i="273"/>
  <c r="AV141" i="273"/>
  <c r="AV144" i="273"/>
  <c r="AW145" i="273"/>
  <c r="AW207" i="273"/>
  <c r="AW176" i="273"/>
  <c r="AW177" i="273"/>
  <c r="AW183" i="273"/>
  <c r="AV180" i="273"/>
  <c r="AV181" i="273"/>
  <c r="AV184" i="273"/>
  <c r="AW185" i="273"/>
  <c r="AW208" i="273"/>
  <c r="AW209" i="273"/>
  <c r="AW245" i="273"/>
  <c r="AW244" i="273"/>
  <c r="AW246" i="273"/>
  <c r="AV80" i="273"/>
  <c r="AV81" i="273"/>
  <c r="AV89" i="273"/>
  <c r="AW90" i="273"/>
  <c r="AW104" i="273"/>
  <c r="AV100" i="273"/>
  <c r="AV101" i="273"/>
  <c r="AV105" i="273"/>
  <c r="AW106" i="273"/>
  <c r="AW633" i="307"/>
  <c r="AX13" i="304"/>
  <c r="AX10" i="273"/>
  <c r="AX13" i="273"/>
  <c r="AX14" i="273"/>
  <c r="AX19" i="273"/>
  <c r="AX20" i="273"/>
  <c r="AX24" i="273"/>
  <c r="AX25" i="273"/>
  <c r="AX136" i="273"/>
  <c r="AX137" i="273"/>
  <c r="AX143" i="273"/>
  <c r="AW140" i="273"/>
  <c r="AW141" i="273"/>
  <c r="AW144" i="273"/>
  <c r="AX145" i="273"/>
  <c r="AX207" i="273"/>
  <c r="AX176" i="273"/>
  <c r="AX177" i="273"/>
  <c r="AX183" i="273"/>
  <c r="AW180" i="273"/>
  <c r="AW181" i="273"/>
  <c r="AW184" i="273"/>
  <c r="AX185" i="273"/>
  <c r="AX208" i="273"/>
  <c r="AX209" i="273"/>
  <c r="AX245" i="273"/>
  <c r="AX244" i="273"/>
  <c r="AX246" i="273"/>
  <c r="AW80" i="273"/>
  <c r="AW81" i="273"/>
  <c r="AW89" i="273"/>
  <c r="AX90" i="273"/>
  <c r="AX104" i="273"/>
  <c r="AW100" i="273"/>
  <c r="AW101" i="273"/>
  <c r="AW105" i="273"/>
  <c r="AX106" i="273"/>
  <c r="AX633" i="307"/>
  <c r="AY13" i="304"/>
  <c r="AY10" i="273"/>
  <c r="AY13" i="273"/>
  <c r="AY14" i="273"/>
  <c r="AY19" i="273"/>
  <c r="AY20" i="273"/>
  <c r="AY24" i="273"/>
  <c r="AY25" i="273"/>
  <c r="AY136" i="273"/>
  <c r="AY137" i="273"/>
  <c r="AY143" i="273"/>
  <c r="AX140" i="273"/>
  <c r="AX141" i="273"/>
  <c r="AX144" i="273"/>
  <c r="AY145" i="273"/>
  <c r="AY207" i="273"/>
  <c r="AY176" i="273"/>
  <c r="AY177" i="273"/>
  <c r="AY183" i="273"/>
  <c r="AX180" i="273"/>
  <c r="AX181" i="273"/>
  <c r="AX184" i="273"/>
  <c r="AY185" i="273"/>
  <c r="AY208" i="273"/>
  <c r="AY209" i="273"/>
  <c r="AY245" i="273"/>
  <c r="AY244" i="273"/>
  <c r="AY246" i="273"/>
  <c r="AX80" i="273"/>
  <c r="AX81" i="273"/>
  <c r="AX89" i="273"/>
  <c r="AY90" i="273"/>
  <c r="AY104" i="273"/>
  <c r="AX100" i="273"/>
  <c r="AX101" i="273"/>
  <c r="AX105" i="273"/>
  <c r="AY106" i="273"/>
  <c r="AY633" i="307"/>
  <c r="AZ13" i="304"/>
  <c r="AZ10" i="273"/>
  <c r="AZ13" i="273"/>
  <c r="AZ14" i="273"/>
  <c r="AZ19" i="273"/>
  <c r="AZ20" i="273"/>
  <c r="AZ24" i="273"/>
  <c r="AZ25" i="273"/>
  <c r="AZ136" i="273"/>
  <c r="AZ137" i="273"/>
  <c r="AZ143" i="273"/>
  <c r="AY140" i="273"/>
  <c r="AY141" i="273"/>
  <c r="AY144" i="273"/>
  <c r="AZ145" i="273"/>
  <c r="AZ207" i="273"/>
  <c r="AZ176" i="273"/>
  <c r="AZ177" i="273"/>
  <c r="AZ183" i="273"/>
  <c r="AY180" i="273"/>
  <c r="AY181" i="273"/>
  <c r="AY184" i="273"/>
  <c r="AZ185" i="273"/>
  <c r="AZ208" i="273"/>
  <c r="AZ209" i="273"/>
  <c r="AZ245" i="273"/>
  <c r="AZ244" i="273"/>
  <c r="AZ246" i="273"/>
  <c r="AY80" i="273"/>
  <c r="AY81" i="273"/>
  <c r="AY89" i="273"/>
  <c r="AZ90" i="273"/>
  <c r="AZ104" i="273"/>
  <c r="AY100" i="273"/>
  <c r="AY101" i="273"/>
  <c r="AY105" i="273"/>
  <c r="AZ106" i="273"/>
  <c r="AZ633" i="307"/>
  <c r="BA13" i="304"/>
  <c r="BA10" i="273"/>
  <c r="BA13" i="273"/>
  <c r="BA14" i="273"/>
  <c r="BA19" i="273"/>
  <c r="BA20" i="273"/>
  <c r="BA24" i="273"/>
  <c r="BA25" i="273"/>
  <c r="BA136" i="273"/>
  <c r="BA137" i="273"/>
  <c r="BA143" i="273"/>
  <c r="AZ140" i="273"/>
  <c r="AZ141" i="273"/>
  <c r="AZ144" i="273"/>
  <c r="BA145" i="273"/>
  <c r="BA207" i="273"/>
  <c r="BA176" i="273"/>
  <c r="BA177" i="273"/>
  <c r="BA183" i="273"/>
  <c r="AZ180" i="273"/>
  <c r="AZ181" i="273"/>
  <c r="AZ184" i="273"/>
  <c r="BA185" i="273"/>
  <c r="BA208" i="273"/>
  <c r="BA209" i="273"/>
  <c r="BA245" i="273"/>
  <c r="BA244" i="273"/>
  <c r="BA246" i="273"/>
  <c r="AZ80" i="273"/>
  <c r="AZ81" i="273"/>
  <c r="AZ89" i="273"/>
  <c r="BA90" i="273"/>
  <c r="BA104" i="273"/>
  <c r="AZ100" i="273"/>
  <c r="AZ101" i="273"/>
  <c r="AZ105" i="273"/>
  <c r="BA106" i="273"/>
  <c r="BA633" i="307"/>
  <c r="BB13" i="304"/>
  <c r="BB10" i="273"/>
  <c r="BB13" i="273"/>
  <c r="BB14" i="273"/>
  <c r="BB19" i="273"/>
  <c r="BB20" i="273"/>
  <c r="BB24" i="273"/>
  <c r="BB25" i="273"/>
  <c r="BB136" i="273"/>
  <c r="BB137" i="273"/>
  <c r="BB143" i="273"/>
  <c r="BA140" i="273"/>
  <c r="BA141" i="273"/>
  <c r="BA144" i="273"/>
  <c r="BB145" i="273"/>
  <c r="BB207" i="273"/>
  <c r="BB176" i="273"/>
  <c r="BB177" i="273"/>
  <c r="BB183" i="273"/>
  <c r="BA180" i="273"/>
  <c r="BA181" i="273"/>
  <c r="BA184" i="273"/>
  <c r="BB185" i="273"/>
  <c r="BB208" i="273"/>
  <c r="BB209" i="273"/>
  <c r="BB245" i="273"/>
  <c r="BB244" i="273"/>
  <c r="BB246" i="273"/>
  <c r="BA80" i="273"/>
  <c r="BA81" i="273"/>
  <c r="BA89" i="273"/>
  <c r="BB90" i="273"/>
  <c r="BB104" i="273"/>
  <c r="BA100" i="273"/>
  <c r="BA101" i="273"/>
  <c r="BA105" i="273"/>
  <c r="BB106" i="273"/>
  <c r="BB633" i="307"/>
  <c r="BC13" i="304"/>
  <c r="BC10" i="273"/>
  <c r="BC13" i="273"/>
  <c r="BC14" i="273"/>
  <c r="BC19" i="273"/>
  <c r="BC20" i="273"/>
  <c r="BC24" i="273"/>
  <c r="BC25" i="273"/>
  <c r="BC136" i="273"/>
  <c r="BC137" i="273"/>
  <c r="BC143" i="273"/>
  <c r="BB140" i="273"/>
  <c r="BB141" i="273"/>
  <c r="BB144" i="273"/>
  <c r="BC145" i="273"/>
  <c r="BC207" i="273"/>
  <c r="BC176" i="273"/>
  <c r="BC177" i="273"/>
  <c r="BC183" i="273"/>
  <c r="BB180" i="273"/>
  <c r="BB181" i="273"/>
  <c r="BB184" i="273"/>
  <c r="BC185" i="273"/>
  <c r="BC208" i="273"/>
  <c r="BC209" i="273"/>
  <c r="BC245" i="273"/>
  <c r="BC244" i="273"/>
  <c r="BC246" i="273"/>
  <c r="BB80" i="273"/>
  <c r="BB81" i="273"/>
  <c r="BB89" i="273"/>
  <c r="BC90" i="273"/>
  <c r="BC104" i="273"/>
  <c r="BB100" i="273"/>
  <c r="BB101" i="273"/>
  <c r="BB105" i="273"/>
  <c r="BC106" i="273"/>
  <c r="BC633" i="307"/>
  <c r="BD13" i="304"/>
  <c r="BD10" i="273"/>
  <c r="BD13" i="273"/>
  <c r="BD14" i="273"/>
  <c r="BD19" i="273"/>
  <c r="BD20" i="273"/>
  <c r="BD24" i="273"/>
  <c r="BD25" i="273"/>
  <c r="BD136" i="273"/>
  <c r="BD137" i="273"/>
  <c r="BD143" i="273"/>
  <c r="BC140" i="273"/>
  <c r="BC141" i="273"/>
  <c r="BC144" i="273"/>
  <c r="BD145" i="273"/>
  <c r="BD207" i="273"/>
  <c r="BD176" i="273"/>
  <c r="BD177" i="273"/>
  <c r="BD183" i="273"/>
  <c r="BC180" i="273"/>
  <c r="BC181" i="273"/>
  <c r="BC184" i="273"/>
  <c r="BD185" i="273"/>
  <c r="BD208" i="273"/>
  <c r="BD209" i="273"/>
  <c r="BD245" i="273"/>
  <c r="BD244" i="273"/>
  <c r="BD246" i="273"/>
  <c r="BC80" i="273"/>
  <c r="BC81" i="273"/>
  <c r="BC89" i="273"/>
  <c r="BD90" i="273"/>
  <c r="BD104" i="273"/>
  <c r="BC100" i="273"/>
  <c r="BC101" i="273"/>
  <c r="BC105" i="273"/>
  <c r="BD106" i="273"/>
  <c r="BD633" i="307"/>
  <c r="BE13" i="304"/>
  <c r="BE10" i="273"/>
  <c r="BE13" i="273"/>
  <c r="BE14" i="273"/>
  <c r="BE19" i="273"/>
  <c r="BE20" i="273"/>
  <c r="BE24" i="273"/>
  <c r="BE25" i="273"/>
  <c r="BE136" i="273"/>
  <c r="BE137" i="273"/>
  <c r="BE143" i="273"/>
  <c r="BD140" i="273"/>
  <c r="BD141" i="273"/>
  <c r="BD144" i="273"/>
  <c r="BE145" i="273"/>
  <c r="BE207" i="273"/>
  <c r="BE176" i="273"/>
  <c r="BE177" i="273"/>
  <c r="BE183" i="273"/>
  <c r="BD180" i="273"/>
  <c r="BD181" i="273"/>
  <c r="BD184" i="273"/>
  <c r="BE185" i="273"/>
  <c r="BE208" i="273"/>
  <c r="BE209" i="273"/>
  <c r="BE245" i="273"/>
  <c r="BE244" i="273"/>
  <c r="BE246" i="273"/>
  <c r="BD80" i="273"/>
  <c r="BD81" i="273"/>
  <c r="BD89" i="273"/>
  <c r="BE90" i="273"/>
  <c r="BE104" i="273"/>
  <c r="BD100" i="273"/>
  <c r="BD101" i="273"/>
  <c r="BD105" i="273"/>
  <c r="BE106" i="273"/>
  <c r="BE633" i="307"/>
  <c r="BF13" i="304"/>
  <c r="BF10" i="273"/>
  <c r="BF13" i="273"/>
  <c r="BF14" i="273"/>
  <c r="BF19" i="273"/>
  <c r="BF20" i="273"/>
  <c r="BF24" i="273"/>
  <c r="BF25" i="273"/>
  <c r="BF136" i="273"/>
  <c r="BF137" i="273"/>
  <c r="BF143" i="273"/>
  <c r="BE140" i="273"/>
  <c r="BE141" i="273"/>
  <c r="BE144" i="273"/>
  <c r="BF145" i="273"/>
  <c r="BF207" i="273"/>
  <c r="BF176" i="273"/>
  <c r="BF177" i="273"/>
  <c r="BF183" i="273"/>
  <c r="BE180" i="273"/>
  <c r="BE181" i="273"/>
  <c r="BE184" i="273"/>
  <c r="BF185" i="273"/>
  <c r="BF208" i="273"/>
  <c r="BF209" i="273"/>
  <c r="BF245" i="273"/>
  <c r="BF244" i="273"/>
  <c r="BF246" i="273"/>
  <c r="BE80" i="273"/>
  <c r="BE81" i="273"/>
  <c r="BE89" i="273"/>
  <c r="BF90" i="273"/>
  <c r="BF104" i="273"/>
  <c r="BE100" i="273"/>
  <c r="BE101" i="273"/>
  <c r="BE105" i="273"/>
  <c r="BF106" i="273"/>
  <c r="BG13" i="304"/>
  <c r="BG10" i="273"/>
  <c r="BG13" i="273"/>
  <c r="BG14" i="273"/>
  <c r="BG19" i="273"/>
  <c r="BG20" i="273"/>
  <c r="BG24" i="273"/>
  <c r="BG25" i="273"/>
  <c r="BG136" i="273"/>
  <c r="BG137" i="273"/>
  <c r="BG143" i="273"/>
  <c r="BF140" i="273"/>
  <c r="BF141" i="273"/>
  <c r="BF144" i="273"/>
  <c r="BG145" i="273"/>
  <c r="BG207" i="273"/>
  <c r="BG176" i="273"/>
  <c r="BG177" i="273"/>
  <c r="BG183" i="273"/>
  <c r="BF180" i="273"/>
  <c r="BF181" i="273"/>
  <c r="BF184" i="273"/>
  <c r="BG185" i="273"/>
  <c r="BG208" i="273"/>
  <c r="BG209" i="273"/>
  <c r="BG245" i="273"/>
  <c r="BG244" i="273"/>
  <c r="BG246" i="273"/>
  <c r="BF80" i="273"/>
  <c r="BF81" i="273"/>
  <c r="BF89" i="273"/>
  <c r="BG90" i="273"/>
  <c r="BG104" i="273"/>
  <c r="BF100" i="273"/>
  <c r="BF101" i="273"/>
  <c r="BF105" i="273"/>
  <c r="BG106" i="273"/>
  <c r="BH13" i="304"/>
  <c r="BH10" i="273"/>
  <c r="BH13" i="273"/>
  <c r="BH14" i="273"/>
  <c r="BH19" i="273"/>
  <c r="BH20" i="273"/>
  <c r="BH24" i="273"/>
  <c r="BH25" i="273"/>
  <c r="BH136" i="273"/>
  <c r="BH137" i="273"/>
  <c r="BH143" i="273"/>
  <c r="BG140" i="273"/>
  <c r="BG141" i="273"/>
  <c r="BG144" i="273"/>
  <c r="BH145" i="273"/>
  <c r="BH207" i="273"/>
  <c r="BH176" i="273"/>
  <c r="BH177" i="273"/>
  <c r="BH183" i="273"/>
  <c r="BG180" i="273"/>
  <c r="BG181" i="273"/>
  <c r="BG184" i="273"/>
  <c r="BH185" i="273"/>
  <c r="BH208" i="273"/>
  <c r="BH209" i="273"/>
  <c r="BH245" i="273"/>
  <c r="BH244" i="273"/>
  <c r="BH246" i="273"/>
  <c r="BG80" i="273"/>
  <c r="BG81" i="273"/>
  <c r="BG89" i="273"/>
  <c r="BH90" i="273"/>
  <c r="BH104" i="273"/>
  <c r="BG100" i="273"/>
  <c r="BG101" i="273"/>
  <c r="BG105" i="273"/>
  <c r="BH106" i="273"/>
  <c r="BI13" i="304"/>
  <c r="BI10" i="273"/>
  <c r="BI13" i="273"/>
  <c r="BI14" i="273"/>
  <c r="BI19" i="273"/>
  <c r="BI20" i="273"/>
  <c r="BI24" i="273"/>
  <c r="BI25" i="273"/>
  <c r="BI136" i="273"/>
  <c r="BI137" i="273"/>
  <c r="BI143" i="273"/>
  <c r="BH140" i="273"/>
  <c r="BH141" i="273"/>
  <c r="BH144" i="273"/>
  <c r="BI145" i="273"/>
  <c r="BI207" i="273"/>
  <c r="BI176" i="273"/>
  <c r="BI177" i="273"/>
  <c r="BI183" i="273"/>
  <c r="BH180" i="273"/>
  <c r="BH181" i="273"/>
  <c r="BH184" i="273"/>
  <c r="BI185" i="273"/>
  <c r="BI208" i="273"/>
  <c r="BI209" i="273"/>
  <c r="BI245" i="273"/>
  <c r="BI244" i="273"/>
  <c r="BI246" i="273"/>
  <c r="BH80" i="273"/>
  <c r="BH81" i="273"/>
  <c r="BH89" i="273"/>
  <c r="BI90" i="273"/>
  <c r="BI104" i="273"/>
  <c r="BH100" i="273"/>
  <c r="BH101" i="273"/>
  <c r="BH105" i="273"/>
  <c r="BI106" i="273"/>
  <c r="BJ13" i="304"/>
  <c r="BJ10" i="273"/>
  <c r="BJ13" i="273"/>
  <c r="BJ14" i="273"/>
  <c r="BJ19" i="273"/>
  <c r="BJ20" i="273"/>
  <c r="BJ24" i="273"/>
  <c r="BJ25" i="273"/>
  <c r="BJ136" i="273"/>
  <c r="BJ137" i="273"/>
  <c r="BJ143" i="273"/>
  <c r="BI140" i="273"/>
  <c r="BI141" i="273"/>
  <c r="BI144" i="273"/>
  <c r="BJ145" i="273"/>
  <c r="BJ207" i="273"/>
  <c r="BJ176" i="273"/>
  <c r="BJ177" i="273"/>
  <c r="BJ183" i="273"/>
  <c r="BI180" i="273"/>
  <c r="BI181" i="273"/>
  <c r="BI184" i="273"/>
  <c r="BJ185" i="273"/>
  <c r="BJ208" i="273"/>
  <c r="BJ209" i="273"/>
  <c r="BJ245" i="273"/>
  <c r="BJ244" i="273"/>
  <c r="BJ246" i="273"/>
  <c r="BI80" i="273"/>
  <c r="BI81" i="273"/>
  <c r="BI89" i="273"/>
  <c r="BJ90" i="273"/>
  <c r="BJ104" i="273"/>
  <c r="BI100" i="273"/>
  <c r="BI101" i="273"/>
  <c r="BI105" i="273"/>
  <c r="BJ106" i="273"/>
  <c r="BK13" i="304"/>
  <c r="BK10" i="273"/>
  <c r="BK13" i="273"/>
  <c r="BK14" i="273"/>
  <c r="BK19" i="273"/>
  <c r="BK20" i="273"/>
  <c r="BK24" i="273"/>
  <c r="BK25" i="273"/>
  <c r="BK136" i="273"/>
  <c r="BK137" i="273"/>
  <c r="BK143" i="273"/>
  <c r="BJ140" i="273"/>
  <c r="BJ141" i="273"/>
  <c r="BJ144" i="273"/>
  <c r="BK145" i="273"/>
  <c r="BK207" i="273"/>
  <c r="BK176" i="273"/>
  <c r="BK177" i="273"/>
  <c r="BK183" i="273"/>
  <c r="BJ180" i="273"/>
  <c r="BJ181" i="273"/>
  <c r="BJ184" i="273"/>
  <c r="BK185" i="273"/>
  <c r="BK208" i="273"/>
  <c r="BK209" i="273"/>
  <c r="BK245" i="273"/>
  <c r="BK244" i="273"/>
  <c r="BK246" i="273"/>
  <c r="BJ80" i="273"/>
  <c r="BJ81" i="273"/>
  <c r="BJ89" i="273"/>
  <c r="BK90" i="273"/>
  <c r="BK104" i="273"/>
  <c r="BJ100" i="273"/>
  <c r="BJ101" i="273"/>
  <c r="BJ105" i="273"/>
  <c r="BK106" i="273"/>
  <c r="BL13" i="304"/>
  <c r="BL10" i="273"/>
  <c r="BL13" i="273"/>
  <c r="BL14" i="273"/>
  <c r="BL19" i="273"/>
  <c r="BL20" i="273"/>
  <c r="BL24" i="273"/>
  <c r="BL25" i="273"/>
  <c r="BL136" i="273"/>
  <c r="BL137" i="273"/>
  <c r="BL143" i="273"/>
  <c r="BK140" i="273"/>
  <c r="BK141" i="273"/>
  <c r="BK144" i="273"/>
  <c r="BL145" i="273"/>
  <c r="BL207" i="273"/>
  <c r="BL176" i="273"/>
  <c r="BL177" i="273"/>
  <c r="BL183" i="273"/>
  <c r="BK180" i="273"/>
  <c r="BK181" i="273"/>
  <c r="BK184" i="273"/>
  <c r="BL185" i="273"/>
  <c r="BL208" i="273"/>
  <c r="BL209" i="273"/>
  <c r="BL245" i="273"/>
  <c r="BL244" i="273"/>
  <c r="BL246" i="273"/>
  <c r="BK80" i="273"/>
  <c r="BK81" i="273"/>
  <c r="BK89" i="273"/>
  <c r="BL90" i="273"/>
  <c r="BL104" i="273"/>
  <c r="BK100" i="273"/>
  <c r="BK101" i="273"/>
  <c r="BK105" i="273"/>
  <c r="BL106" i="273"/>
  <c r="BM13" i="304"/>
  <c r="BM10" i="273"/>
  <c r="BM13" i="273"/>
  <c r="BM14" i="273"/>
  <c r="BM19" i="273"/>
  <c r="BM20" i="273"/>
  <c r="BM24" i="273"/>
  <c r="BM25" i="273"/>
  <c r="BM136" i="273"/>
  <c r="BM137" i="273"/>
  <c r="BM143" i="273"/>
  <c r="BL140" i="273"/>
  <c r="BL141" i="273"/>
  <c r="BL144" i="273"/>
  <c r="BM145" i="273"/>
  <c r="BM207" i="273"/>
  <c r="BM176" i="273"/>
  <c r="BM177" i="273"/>
  <c r="BM183" i="273"/>
  <c r="BL180" i="273"/>
  <c r="BL181" i="273"/>
  <c r="BL184" i="273"/>
  <c r="BM185" i="273"/>
  <c r="BM208" i="273"/>
  <c r="BM209" i="273"/>
  <c r="BM245" i="273"/>
  <c r="BM244" i="273"/>
  <c r="BM246" i="273"/>
  <c r="BL80" i="273"/>
  <c r="BL81" i="273"/>
  <c r="BL89" i="273"/>
  <c r="BM90" i="273"/>
  <c r="BM104" i="273"/>
  <c r="BL100" i="273"/>
  <c r="BL101" i="273"/>
  <c r="BL105" i="273"/>
  <c r="BM106" i="273"/>
  <c r="BN13" i="304"/>
  <c r="BN10" i="273"/>
  <c r="BN13" i="273"/>
  <c r="BN14" i="273"/>
  <c r="BN19" i="273"/>
  <c r="BN20" i="273"/>
  <c r="BN24" i="273"/>
  <c r="BN25" i="273"/>
  <c r="BN136" i="273"/>
  <c r="BN137" i="273"/>
  <c r="BN143" i="273"/>
  <c r="BM140" i="273"/>
  <c r="BM141" i="273"/>
  <c r="BM144" i="273"/>
  <c r="BN145" i="273"/>
  <c r="BN207" i="273"/>
  <c r="BN176" i="273"/>
  <c r="BN177" i="273"/>
  <c r="BN183" i="273"/>
  <c r="BM180" i="273"/>
  <c r="BM181" i="273"/>
  <c r="BM184" i="273"/>
  <c r="BN185" i="273"/>
  <c r="BN208" i="273"/>
  <c r="BN209" i="273"/>
  <c r="BN245" i="273"/>
  <c r="BN244" i="273"/>
  <c r="BN246" i="273"/>
  <c r="BM80" i="273"/>
  <c r="BM81" i="273"/>
  <c r="BM89" i="273"/>
  <c r="BN90" i="273"/>
  <c r="BN104" i="273"/>
  <c r="BM100" i="273"/>
  <c r="BM101" i="273"/>
  <c r="BM105" i="273"/>
  <c r="BN106" i="273"/>
  <c r="BO13" i="304"/>
  <c r="BO10" i="273"/>
  <c r="BO13" i="273"/>
  <c r="BO14" i="273"/>
  <c r="BO19" i="273"/>
  <c r="BO20" i="273"/>
  <c r="BO24" i="273"/>
  <c r="BO25" i="273"/>
  <c r="BO136" i="273"/>
  <c r="BO137" i="273"/>
  <c r="BO143" i="273"/>
  <c r="BN140" i="273"/>
  <c r="BN141" i="273"/>
  <c r="BN144" i="273"/>
  <c r="BO145" i="273"/>
  <c r="BO207" i="273"/>
  <c r="BO176" i="273"/>
  <c r="BO177" i="273"/>
  <c r="BO183" i="273"/>
  <c r="BN180" i="273"/>
  <c r="BN181" i="273"/>
  <c r="BN184" i="273"/>
  <c r="BO185" i="273"/>
  <c r="BO208" i="273"/>
  <c r="BO209" i="273"/>
  <c r="BO245" i="273"/>
  <c r="BO244" i="273"/>
  <c r="BO246" i="273"/>
  <c r="BN80" i="273"/>
  <c r="BN81" i="273"/>
  <c r="BN89" i="273"/>
  <c r="BO90" i="273"/>
  <c r="BO104" i="273"/>
  <c r="BN100" i="273"/>
  <c r="BN101" i="273"/>
  <c r="BN105" i="273"/>
  <c r="BO106" i="273"/>
  <c r="BP13" i="304"/>
  <c r="BP10" i="273"/>
  <c r="BP13" i="273"/>
  <c r="BP14" i="273"/>
  <c r="BP19" i="273"/>
  <c r="BP20" i="273"/>
  <c r="BP24" i="273"/>
  <c r="BP25" i="273"/>
  <c r="BP136" i="273"/>
  <c r="BP137" i="273"/>
  <c r="BP143" i="273"/>
  <c r="BO140" i="273"/>
  <c r="BO141" i="273"/>
  <c r="BO144" i="273"/>
  <c r="BP145" i="273"/>
  <c r="BP207" i="273"/>
  <c r="BP176" i="273"/>
  <c r="BP177" i="273"/>
  <c r="BP183" i="273"/>
  <c r="BO180" i="273"/>
  <c r="BO181" i="273"/>
  <c r="BO184" i="273"/>
  <c r="BP185" i="273"/>
  <c r="BP208" i="273"/>
  <c r="BP209" i="273"/>
  <c r="BP245" i="273"/>
  <c r="BP244" i="273"/>
  <c r="BP246" i="273"/>
  <c r="BO80" i="273"/>
  <c r="BO81" i="273"/>
  <c r="BO89" i="273"/>
  <c r="BP90" i="273"/>
  <c r="BP104" i="273"/>
  <c r="BO100" i="273"/>
  <c r="BO101" i="273"/>
  <c r="BO105" i="273"/>
  <c r="BP106" i="273"/>
  <c r="BQ13" i="304"/>
  <c r="BQ10" i="273"/>
  <c r="BQ13" i="273"/>
  <c r="BQ14" i="273"/>
  <c r="BQ19" i="273"/>
  <c r="BQ20" i="273"/>
  <c r="BQ24" i="273"/>
  <c r="BQ25" i="273"/>
  <c r="BQ136" i="273"/>
  <c r="BQ137" i="273"/>
  <c r="BQ143" i="273"/>
  <c r="BP140" i="273"/>
  <c r="BP141" i="273"/>
  <c r="BP144" i="273"/>
  <c r="BQ145" i="273"/>
  <c r="BQ207" i="273"/>
  <c r="BQ176" i="273"/>
  <c r="BQ177" i="273"/>
  <c r="BQ183" i="273"/>
  <c r="BP180" i="273"/>
  <c r="BP181" i="273"/>
  <c r="BP184" i="273"/>
  <c r="BQ185" i="273"/>
  <c r="BQ208" i="273"/>
  <c r="BQ209" i="273"/>
  <c r="BQ245" i="273"/>
  <c r="BQ244" i="273"/>
  <c r="BQ246" i="273"/>
  <c r="BP80" i="273"/>
  <c r="BP81" i="273"/>
  <c r="BP89" i="273"/>
  <c r="BQ90" i="273"/>
  <c r="BQ104" i="273"/>
  <c r="BP100" i="273"/>
  <c r="BP101" i="273"/>
  <c r="BP105" i="273"/>
  <c r="BQ106" i="273"/>
  <c r="BR13" i="304"/>
  <c r="BR10" i="273"/>
  <c r="BR13" i="273"/>
  <c r="BR14" i="273"/>
  <c r="BR19" i="273"/>
  <c r="BR20" i="273"/>
  <c r="BR24" i="273"/>
  <c r="BR25" i="273"/>
  <c r="BR136" i="273"/>
  <c r="BR137" i="273"/>
  <c r="BR143" i="273"/>
  <c r="BQ140" i="273"/>
  <c r="BQ141" i="273"/>
  <c r="BQ144" i="273"/>
  <c r="BR145" i="273"/>
  <c r="BR207" i="273"/>
  <c r="BR176" i="273"/>
  <c r="BR177" i="273"/>
  <c r="BR183" i="273"/>
  <c r="BQ180" i="273"/>
  <c r="BQ181" i="273"/>
  <c r="BQ184" i="273"/>
  <c r="BR185" i="273"/>
  <c r="BR208" i="273"/>
  <c r="BR209" i="273"/>
  <c r="BR245" i="273"/>
  <c r="BR244" i="273"/>
  <c r="BR246" i="273"/>
  <c r="BQ80" i="273"/>
  <c r="BQ81" i="273"/>
  <c r="BQ89" i="273"/>
  <c r="BR90" i="273"/>
  <c r="BR104" i="273"/>
  <c r="BQ100" i="273"/>
  <c r="BQ101" i="273"/>
  <c r="BQ105" i="273"/>
  <c r="BR106" i="273"/>
  <c r="BS13" i="304"/>
  <c r="BS10" i="273"/>
  <c r="BS13" i="273"/>
  <c r="BS14" i="273"/>
  <c r="BS19" i="273"/>
  <c r="BS20" i="273"/>
  <c r="BS24" i="273"/>
  <c r="BS25" i="273"/>
  <c r="BS136" i="273"/>
  <c r="BS137" i="273"/>
  <c r="BS143" i="273"/>
  <c r="BR140" i="273"/>
  <c r="BR141" i="273"/>
  <c r="BR144" i="273"/>
  <c r="BS145" i="273"/>
  <c r="BS207" i="273"/>
  <c r="BS176" i="273"/>
  <c r="BS177" i="273"/>
  <c r="BS183" i="273"/>
  <c r="BR180" i="273"/>
  <c r="BR181" i="273"/>
  <c r="BR184" i="273"/>
  <c r="BS185" i="273"/>
  <c r="BS208" i="273"/>
  <c r="BS209" i="273"/>
  <c r="BS245" i="273"/>
  <c r="BS244" i="273"/>
  <c r="BS246" i="273"/>
  <c r="BR80" i="273"/>
  <c r="BR81" i="273"/>
  <c r="BR89" i="273"/>
  <c r="BS90" i="273"/>
  <c r="BS104" i="273"/>
  <c r="BR100" i="273"/>
  <c r="BR101" i="273"/>
  <c r="BR105" i="273"/>
  <c r="BS106" i="273"/>
  <c r="BT13" i="304"/>
  <c r="BT10" i="273"/>
  <c r="BT13" i="273"/>
  <c r="BT14" i="273"/>
  <c r="BT19" i="273"/>
  <c r="BT20" i="273"/>
  <c r="BT24" i="273"/>
  <c r="BT25" i="273"/>
  <c r="BT136" i="273"/>
  <c r="BT137" i="273"/>
  <c r="BT143" i="273"/>
  <c r="BS140" i="273"/>
  <c r="BS141" i="273"/>
  <c r="BS144" i="273"/>
  <c r="BT145" i="273"/>
  <c r="BT207" i="273"/>
  <c r="BT176" i="273"/>
  <c r="BT177" i="273"/>
  <c r="BT183" i="273"/>
  <c r="BS180" i="273"/>
  <c r="BS181" i="273"/>
  <c r="BS184" i="273"/>
  <c r="BT185" i="273"/>
  <c r="BT208" i="273"/>
  <c r="BT209" i="273"/>
  <c r="BT245" i="273"/>
  <c r="BT244" i="273"/>
  <c r="BT246" i="273"/>
  <c r="BS80" i="273"/>
  <c r="BS81" i="273"/>
  <c r="BS89" i="273"/>
  <c r="BT90" i="273"/>
  <c r="BT104" i="273"/>
  <c r="BS100" i="273"/>
  <c r="BS101" i="273"/>
  <c r="BS105" i="273"/>
  <c r="BT106" i="273"/>
  <c r="BU13" i="304"/>
  <c r="BU10" i="273"/>
  <c r="BU13" i="273"/>
  <c r="BU14" i="273"/>
  <c r="BU19" i="273"/>
  <c r="BU20" i="273"/>
  <c r="BU24" i="273"/>
  <c r="BU25" i="273"/>
  <c r="BU136" i="273"/>
  <c r="BU137" i="273"/>
  <c r="BU143" i="273"/>
  <c r="BT140" i="273"/>
  <c r="BT141" i="273"/>
  <c r="BT144" i="273"/>
  <c r="BU145" i="273"/>
  <c r="BU207" i="273"/>
  <c r="BU176" i="273"/>
  <c r="BU177" i="273"/>
  <c r="BU183" i="273"/>
  <c r="BT180" i="273"/>
  <c r="BT181" i="273"/>
  <c r="BT184" i="273"/>
  <c r="BU185" i="273"/>
  <c r="BU208" i="273"/>
  <c r="BU209" i="273"/>
  <c r="BU245" i="273"/>
  <c r="BU244" i="273"/>
  <c r="BU246" i="273"/>
  <c r="BT80" i="273"/>
  <c r="BT81" i="273"/>
  <c r="BT89" i="273"/>
  <c r="BU90" i="273"/>
  <c r="BU104" i="273"/>
  <c r="BT100" i="273"/>
  <c r="BT101" i="273"/>
  <c r="BT105" i="273"/>
  <c r="BU106" i="273"/>
  <c r="BV13" i="304"/>
  <c r="BV10" i="273"/>
  <c r="BV13" i="273"/>
  <c r="BV14" i="273"/>
  <c r="BV19" i="273"/>
  <c r="BV20" i="273"/>
  <c r="BV24" i="273"/>
  <c r="BV25" i="273"/>
  <c r="BV136" i="273"/>
  <c r="BV137" i="273"/>
  <c r="BV143" i="273"/>
  <c r="BU140" i="273"/>
  <c r="BU141" i="273"/>
  <c r="BU144" i="273"/>
  <c r="BV145" i="273"/>
  <c r="BV207" i="273"/>
  <c r="BV176" i="273"/>
  <c r="BV177" i="273"/>
  <c r="BV183" i="273"/>
  <c r="BU180" i="273"/>
  <c r="BU181" i="273"/>
  <c r="BU184" i="273"/>
  <c r="BV185" i="273"/>
  <c r="BV208" i="273"/>
  <c r="BV209" i="273"/>
  <c r="BV245" i="273"/>
  <c r="BV244" i="273"/>
  <c r="BV246" i="273"/>
  <c r="BU80" i="273"/>
  <c r="BU81" i="273"/>
  <c r="BU89" i="273"/>
  <c r="BV90" i="273"/>
  <c r="BV104" i="273"/>
  <c r="BU100" i="273"/>
  <c r="BU101" i="273"/>
  <c r="BU105" i="273"/>
  <c r="BV106" i="273"/>
  <c r="BW13" i="304"/>
  <c r="BW10" i="273"/>
  <c r="BW13" i="273"/>
  <c r="BW14" i="273"/>
  <c r="BW19" i="273"/>
  <c r="BW20" i="273"/>
  <c r="BW24" i="273"/>
  <c r="BW25" i="273"/>
  <c r="BW136" i="273"/>
  <c r="BW137" i="273"/>
  <c r="BW143" i="273"/>
  <c r="BV140" i="273"/>
  <c r="BV141" i="273"/>
  <c r="BV144" i="273"/>
  <c r="BW145" i="273"/>
  <c r="BW207" i="273"/>
  <c r="BW176" i="273"/>
  <c r="BW177" i="273"/>
  <c r="BW183" i="273"/>
  <c r="BV180" i="273"/>
  <c r="BV181" i="273"/>
  <c r="BV184" i="273"/>
  <c r="BW185" i="273"/>
  <c r="BW208" i="273"/>
  <c r="BW209" i="273"/>
  <c r="BW245" i="273"/>
  <c r="BW244" i="273"/>
  <c r="BW246" i="273"/>
  <c r="BV80" i="273"/>
  <c r="BV81" i="273"/>
  <c r="BV89" i="273"/>
  <c r="BW90" i="273"/>
  <c r="BW104" i="273"/>
  <c r="BV100" i="273"/>
  <c r="BV101" i="273"/>
  <c r="BV105" i="273"/>
  <c r="BW106" i="273"/>
  <c r="BX13" i="304"/>
  <c r="BX10" i="273"/>
  <c r="BX13" i="273"/>
  <c r="BX14" i="273"/>
  <c r="BX19" i="273"/>
  <c r="BX20" i="273"/>
  <c r="BX24" i="273"/>
  <c r="BX25" i="273"/>
  <c r="BX136" i="273"/>
  <c r="BX137" i="273"/>
  <c r="BX143" i="273"/>
  <c r="BW140" i="273"/>
  <c r="BW141" i="273"/>
  <c r="BW144" i="273"/>
  <c r="BX145" i="273"/>
  <c r="BX207" i="273"/>
  <c r="BX176" i="273"/>
  <c r="BX177" i="273"/>
  <c r="BX183" i="273"/>
  <c r="BW180" i="273"/>
  <c r="BW181" i="273"/>
  <c r="BW184" i="273"/>
  <c r="BX185" i="273"/>
  <c r="BX208" i="273"/>
  <c r="BX209" i="273"/>
  <c r="BX245" i="273"/>
  <c r="BX244" i="273"/>
  <c r="BX246" i="273"/>
  <c r="BW80" i="273"/>
  <c r="BW81" i="273"/>
  <c r="BW89" i="273"/>
  <c r="BX90" i="273"/>
  <c r="BX104" i="273"/>
  <c r="BW100" i="273"/>
  <c r="BW101" i="273"/>
  <c r="BW105" i="273"/>
  <c r="BX106" i="273"/>
  <c r="BY13" i="304"/>
  <c r="BY10" i="273"/>
  <c r="BY13" i="273"/>
  <c r="BY14" i="273"/>
  <c r="BY19" i="273"/>
  <c r="BY20" i="273"/>
  <c r="BY24" i="273"/>
  <c r="BY25" i="273"/>
  <c r="BY136" i="273"/>
  <c r="BY137" i="273"/>
  <c r="BY143" i="273"/>
  <c r="BX140" i="273"/>
  <c r="BX141" i="273"/>
  <c r="BX144" i="273"/>
  <c r="BY145" i="273"/>
  <c r="BY207" i="273"/>
  <c r="BY176" i="273"/>
  <c r="BY177" i="273"/>
  <c r="BY183" i="273"/>
  <c r="BX180" i="273"/>
  <c r="BX181" i="273"/>
  <c r="BX184" i="273"/>
  <c r="BY185" i="273"/>
  <c r="BY208" i="273"/>
  <c r="BY209" i="273"/>
  <c r="BY245" i="273"/>
  <c r="BY244" i="273"/>
  <c r="BY246" i="273"/>
  <c r="BX80" i="273"/>
  <c r="BX81" i="273"/>
  <c r="BX89" i="273"/>
  <c r="BY90" i="273"/>
  <c r="BY104" i="273"/>
  <c r="BX100" i="273"/>
  <c r="BX101" i="273"/>
  <c r="BX105" i="273"/>
  <c r="BY106" i="273"/>
  <c r="BZ13" i="304"/>
  <c r="BZ10" i="273"/>
  <c r="BZ13" i="273"/>
  <c r="BZ14" i="273"/>
  <c r="BZ19" i="273"/>
  <c r="BZ20" i="273"/>
  <c r="BZ24" i="273"/>
  <c r="BZ25" i="273"/>
  <c r="BZ136" i="273"/>
  <c r="BZ137" i="273"/>
  <c r="BZ143" i="273"/>
  <c r="BY140" i="273"/>
  <c r="BY141" i="273"/>
  <c r="BY144" i="273"/>
  <c r="BZ145" i="273"/>
  <c r="BZ207" i="273"/>
  <c r="BZ176" i="273"/>
  <c r="BZ177" i="273"/>
  <c r="BZ183" i="273"/>
  <c r="BY180" i="273"/>
  <c r="BY181" i="273"/>
  <c r="BY184" i="273"/>
  <c r="BZ185" i="273"/>
  <c r="BZ208" i="273"/>
  <c r="BZ209" i="273"/>
  <c r="BZ245" i="273"/>
  <c r="BZ244" i="273"/>
  <c r="BZ246" i="273"/>
  <c r="BY80" i="273"/>
  <c r="BY81" i="273"/>
  <c r="BY89" i="273"/>
  <c r="BZ90" i="273"/>
  <c r="BZ104" i="273"/>
  <c r="BY100" i="273"/>
  <c r="BY101" i="273"/>
  <c r="BY105" i="273"/>
  <c r="BZ106" i="273"/>
  <c r="CA13" i="304"/>
  <c r="CA10" i="273"/>
  <c r="CA13" i="273"/>
  <c r="CA14" i="273"/>
  <c r="CA19" i="273"/>
  <c r="CA20" i="273"/>
  <c r="CA24" i="273"/>
  <c r="CA25" i="273"/>
  <c r="CA136" i="273"/>
  <c r="CA137" i="273"/>
  <c r="CA143" i="273"/>
  <c r="BZ140" i="273"/>
  <c r="BZ141" i="273"/>
  <c r="BZ144" i="273"/>
  <c r="CA145" i="273"/>
  <c r="CA207" i="273"/>
  <c r="CA176" i="273"/>
  <c r="CA177" i="273"/>
  <c r="CA183" i="273"/>
  <c r="BZ180" i="273"/>
  <c r="BZ181" i="273"/>
  <c r="BZ184" i="273"/>
  <c r="CA185" i="273"/>
  <c r="CA208" i="273"/>
  <c r="CA209" i="273"/>
  <c r="CA245" i="273"/>
  <c r="CA244" i="273"/>
  <c r="CA246" i="273"/>
  <c r="BZ80" i="273"/>
  <c r="BZ81" i="273"/>
  <c r="BZ89" i="273"/>
  <c r="CA90" i="273"/>
  <c r="CA104" i="273"/>
  <c r="BZ100" i="273"/>
  <c r="BZ101" i="273"/>
  <c r="BZ105" i="273"/>
  <c r="CA106" i="273"/>
  <c r="CB13" i="304"/>
  <c r="CB10" i="273"/>
  <c r="CB13" i="273"/>
  <c r="CB14" i="273"/>
  <c r="CB19" i="273"/>
  <c r="CB20" i="273"/>
  <c r="CB24" i="273"/>
  <c r="CB25" i="273"/>
  <c r="CB136" i="273"/>
  <c r="CB137" i="273"/>
  <c r="CB143" i="273"/>
  <c r="CA140" i="273"/>
  <c r="CA141" i="273"/>
  <c r="CA144" i="273"/>
  <c r="CB145" i="273"/>
  <c r="CB207" i="273"/>
  <c r="CB176" i="273"/>
  <c r="CB177" i="273"/>
  <c r="CB183" i="273"/>
  <c r="CA180" i="273"/>
  <c r="CA181" i="273"/>
  <c r="CA184" i="273"/>
  <c r="CB185" i="273"/>
  <c r="CB208" i="273"/>
  <c r="CB209" i="273"/>
  <c r="CB245" i="273"/>
  <c r="CB244" i="273"/>
  <c r="CB246" i="273"/>
  <c r="CA80" i="273"/>
  <c r="CA81" i="273"/>
  <c r="CA89" i="273"/>
  <c r="CB90" i="273"/>
  <c r="CB104" i="273"/>
  <c r="CA100" i="273"/>
  <c r="CA101" i="273"/>
  <c r="CA105" i="273"/>
  <c r="CB106" i="273"/>
  <c r="CC13" i="304"/>
  <c r="CC10" i="273"/>
  <c r="CC13" i="273"/>
  <c r="CC14" i="273"/>
  <c r="CC19" i="273"/>
  <c r="CC20" i="273"/>
  <c r="CC24" i="273"/>
  <c r="CC25" i="273"/>
  <c r="CC136" i="273"/>
  <c r="CC137" i="273"/>
  <c r="CC143" i="273"/>
  <c r="CB140" i="273"/>
  <c r="CB141" i="273"/>
  <c r="CB144" i="273"/>
  <c r="CC145" i="273"/>
  <c r="CC207" i="273"/>
  <c r="CC176" i="273"/>
  <c r="CC177" i="273"/>
  <c r="CC183" i="273"/>
  <c r="CB180" i="273"/>
  <c r="CB181" i="273"/>
  <c r="CB184" i="273"/>
  <c r="CC185" i="273"/>
  <c r="CC208" i="273"/>
  <c r="CC209" i="273"/>
  <c r="CC245" i="273"/>
  <c r="CC244" i="273"/>
  <c r="CC246" i="273"/>
  <c r="CB80" i="273"/>
  <c r="CB81" i="273"/>
  <c r="CB89" i="273"/>
  <c r="CC90" i="273"/>
  <c r="CC104" i="273"/>
  <c r="CB100" i="273"/>
  <c r="CB101" i="273"/>
  <c r="CB105" i="273"/>
  <c r="CC106" i="273"/>
  <c r="CD13" i="304"/>
  <c r="CD10" i="273"/>
  <c r="CD13" i="273"/>
  <c r="CD14" i="273"/>
  <c r="CD19" i="273"/>
  <c r="CD20" i="273"/>
  <c r="CD24" i="273"/>
  <c r="CD25" i="273"/>
  <c r="CD136" i="273"/>
  <c r="CD137" i="273"/>
  <c r="CD143" i="273"/>
  <c r="CC140" i="273"/>
  <c r="CC141" i="273"/>
  <c r="CC144" i="273"/>
  <c r="CD145" i="273"/>
  <c r="CD207" i="273"/>
  <c r="CD176" i="273"/>
  <c r="CD177" i="273"/>
  <c r="CD183" i="273"/>
  <c r="CC180" i="273"/>
  <c r="CC181" i="273"/>
  <c r="CC184" i="273"/>
  <c r="CD185" i="273"/>
  <c r="CD208" i="273"/>
  <c r="CD209" i="273"/>
  <c r="CD245" i="273"/>
  <c r="CD244" i="273"/>
  <c r="CD246" i="273"/>
  <c r="CC80" i="273"/>
  <c r="CC81" i="273"/>
  <c r="CC89" i="273"/>
  <c r="CD90" i="273"/>
  <c r="CD104" i="273"/>
  <c r="CC100" i="273"/>
  <c r="CC101" i="273"/>
  <c r="CC105" i="273"/>
  <c r="CD106" i="273"/>
  <c r="CE13" i="304"/>
  <c r="CE10" i="273"/>
  <c r="CE13" i="273"/>
  <c r="CE14" i="273"/>
  <c r="CE19" i="273"/>
  <c r="CE20" i="273"/>
  <c r="CE24" i="273"/>
  <c r="CE25" i="273"/>
  <c r="CE136" i="273"/>
  <c r="CE137" i="273"/>
  <c r="CE143" i="273"/>
  <c r="CD140" i="273"/>
  <c r="CD141" i="273"/>
  <c r="CD144" i="273"/>
  <c r="CE145" i="273"/>
  <c r="CE207" i="273"/>
  <c r="CE176" i="273"/>
  <c r="CE177" i="273"/>
  <c r="CE183" i="273"/>
  <c r="CD180" i="273"/>
  <c r="CD181" i="273"/>
  <c r="CD184" i="273"/>
  <c r="CE185" i="273"/>
  <c r="CE208" i="273"/>
  <c r="CE209" i="273"/>
  <c r="CE245" i="273"/>
  <c r="CE244" i="273"/>
  <c r="CE246" i="273"/>
  <c r="CD80" i="273"/>
  <c r="CD81" i="273"/>
  <c r="CD89" i="273"/>
  <c r="CE90" i="273"/>
  <c r="CE104" i="273"/>
  <c r="CD100" i="273"/>
  <c r="CD101" i="273"/>
  <c r="CD105" i="273"/>
  <c r="CE106" i="273"/>
  <c r="CF13" i="304"/>
  <c r="CF10" i="273"/>
  <c r="CF13" i="273"/>
  <c r="CF14" i="273"/>
  <c r="CF19" i="273"/>
  <c r="CF20" i="273"/>
  <c r="CF24" i="273"/>
  <c r="CF25" i="273"/>
  <c r="CF136" i="273"/>
  <c r="CF137" i="273"/>
  <c r="CF143" i="273"/>
  <c r="CE140" i="273"/>
  <c r="CE141" i="273"/>
  <c r="CE144" i="273"/>
  <c r="CF145" i="273"/>
  <c r="CF207" i="273"/>
  <c r="CF176" i="273"/>
  <c r="CF177" i="273"/>
  <c r="CF183" i="273"/>
  <c r="CE180" i="273"/>
  <c r="CE181" i="273"/>
  <c r="CE184" i="273"/>
  <c r="CF185" i="273"/>
  <c r="CF208" i="273"/>
  <c r="CF209" i="273"/>
  <c r="CF245" i="273"/>
  <c r="CF244" i="273"/>
  <c r="CF246" i="273"/>
  <c r="CE80" i="273"/>
  <c r="CE81" i="273"/>
  <c r="CE89" i="273"/>
  <c r="CF90" i="273"/>
  <c r="CF104" i="273"/>
  <c r="CE100" i="273"/>
  <c r="CE101" i="273"/>
  <c r="CE105" i="273"/>
  <c r="CF106" i="273"/>
  <c r="CG13" i="304"/>
  <c r="CG10" i="273"/>
  <c r="CG13" i="273"/>
  <c r="CG14" i="273"/>
  <c r="CG19" i="273"/>
  <c r="CG20" i="273"/>
  <c r="CG24" i="273"/>
  <c r="CG25" i="273"/>
  <c r="CG136" i="273"/>
  <c r="CG137" i="273"/>
  <c r="CG143" i="273"/>
  <c r="CF140" i="273"/>
  <c r="CF141" i="273"/>
  <c r="CF144" i="273"/>
  <c r="CG145" i="273"/>
  <c r="CG207" i="273"/>
  <c r="CG176" i="273"/>
  <c r="CG177" i="273"/>
  <c r="CG183" i="273"/>
  <c r="CF180" i="273"/>
  <c r="CF181" i="273"/>
  <c r="CF184" i="273"/>
  <c r="CG185" i="273"/>
  <c r="CG208" i="273"/>
  <c r="CG209" i="273"/>
  <c r="CG245" i="273"/>
  <c r="CG244" i="273"/>
  <c r="CG246" i="273"/>
  <c r="CF80" i="273"/>
  <c r="CF81" i="273"/>
  <c r="CF89" i="273"/>
  <c r="CG90" i="273"/>
  <c r="CG104" i="273"/>
  <c r="CF100" i="273"/>
  <c r="CF101" i="273"/>
  <c r="CF105" i="273"/>
  <c r="CG106" i="273"/>
  <c r="CH13" i="304"/>
  <c r="CH10" i="273"/>
  <c r="CH13" i="273"/>
  <c r="CH14" i="273"/>
  <c r="CH19" i="273"/>
  <c r="CH20" i="273"/>
  <c r="CH24" i="273"/>
  <c r="CH25" i="273"/>
  <c r="CH136" i="273"/>
  <c r="CH137" i="273"/>
  <c r="CH143" i="273"/>
  <c r="CG140" i="273"/>
  <c r="CG141" i="273"/>
  <c r="CG144" i="273"/>
  <c r="CH145" i="273"/>
  <c r="CH207" i="273"/>
  <c r="CH176" i="273"/>
  <c r="CH177" i="273"/>
  <c r="CH183" i="273"/>
  <c r="CG180" i="273"/>
  <c r="CG181" i="273"/>
  <c r="CG184" i="273"/>
  <c r="CH185" i="273"/>
  <c r="CH208" i="273"/>
  <c r="CH209" i="273"/>
  <c r="CH245" i="273"/>
  <c r="CH244" i="273"/>
  <c r="CH246" i="273"/>
  <c r="CG80" i="273"/>
  <c r="CG81" i="273"/>
  <c r="CG89" i="273"/>
  <c r="CH90" i="273"/>
  <c r="CH104" i="273"/>
  <c r="CG100" i="273"/>
  <c r="CG101" i="273"/>
  <c r="CG105" i="273"/>
  <c r="CH106" i="273"/>
  <c r="CI13" i="304"/>
  <c r="CI10" i="273"/>
  <c r="CI13" i="273"/>
  <c r="CI14" i="273"/>
  <c r="CI19" i="273"/>
  <c r="CI20" i="273"/>
  <c r="CI24" i="273"/>
  <c r="CI25" i="273"/>
  <c r="CI136" i="273"/>
  <c r="CI137" i="273"/>
  <c r="CI143" i="273"/>
  <c r="CH140" i="273"/>
  <c r="CH141" i="273"/>
  <c r="CH144" i="273"/>
  <c r="CI145" i="273"/>
  <c r="CI207" i="273"/>
  <c r="CI176" i="273"/>
  <c r="CI177" i="273"/>
  <c r="CI183" i="273"/>
  <c r="CH180" i="273"/>
  <c r="CH181" i="273"/>
  <c r="CH184" i="273"/>
  <c r="CI185" i="273"/>
  <c r="CI208" i="273"/>
  <c r="CI209" i="273"/>
  <c r="CI245" i="273"/>
  <c r="CI244" i="273"/>
  <c r="CI246" i="273"/>
  <c r="CH80" i="273"/>
  <c r="CH81" i="273"/>
  <c r="CH89" i="273"/>
  <c r="CI90" i="273"/>
  <c r="CI104" i="273"/>
  <c r="CH100" i="273"/>
  <c r="CH101" i="273"/>
  <c r="CH105" i="273"/>
  <c r="CI106" i="273"/>
  <c r="CJ13" i="304"/>
  <c r="CJ10" i="273"/>
  <c r="CJ13" i="273"/>
  <c r="CJ14" i="273"/>
  <c r="CJ19" i="273"/>
  <c r="CJ20" i="273"/>
  <c r="CJ24" i="273"/>
  <c r="CJ25" i="273"/>
  <c r="CJ136" i="273"/>
  <c r="CJ137" i="273"/>
  <c r="CJ143" i="273"/>
  <c r="CI140" i="273"/>
  <c r="CI141" i="273"/>
  <c r="CI144" i="273"/>
  <c r="CJ145" i="273"/>
  <c r="CJ207" i="273"/>
  <c r="CJ176" i="273"/>
  <c r="CJ177" i="273"/>
  <c r="CJ183" i="273"/>
  <c r="CI180" i="273"/>
  <c r="CI181" i="273"/>
  <c r="CI184" i="273"/>
  <c r="CJ185" i="273"/>
  <c r="CJ208" i="273"/>
  <c r="CJ209" i="273"/>
  <c r="CJ245" i="273"/>
  <c r="CJ244" i="273"/>
  <c r="CJ246" i="273"/>
  <c r="CI80" i="273"/>
  <c r="CI81" i="273"/>
  <c r="CI89" i="273"/>
  <c r="CJ90" i="273"/>
  <c r="CJ104" i="273"/>
  <c r="CI100" i="273"/>
  <c r="CI101" i="273"/>
  <c r="CI105" i="273"/>
  <c r="CJ106" i="273"/>
  <c r="CK13" i="304"/>
  <c r="CK10" i="273"/>
  <c r="CK13" i="273"/>
  <c r="CK14" i="273"/>
  <c r="CK19" i="273"/>
  <c r="CK20" i="273"/>
  <c r="CK24" i="273"/>
  <c r="CK25" i="273"/>
  <c r="CK136" i="273"/>
  <c r="CK137" i="273"/>
  <c r="CK143" i="273"/>
  <c r="CJ140" i="273"/>
  <c r="CJ141" i="273"/>
  <c r="CJ144" i="273"/>
  <c r="CK145" i="273"/>
  <c r="CK207" i="273"/>
  <c r="CK176" i="273"/>
  <c r="CK177" i="273"/>
  <c r="CK183" i="273"/>
  <c r="CJ180" i="273"/>
  <c r="CJ181" i="273"/>
  <c r="CJ184" i="273"/>
  <c r="CK185" i="273"/>
  <c r="CK208" i="273"/>
  <c r="CK209" i="273"/>
  <c r="CK245" i="273"/>
  <c r="CK244" i="273"/>
  <c r="CK246" i="273"/>
  <c r="CJ80" i="273"/>
  <c r="CJ81" i="273"/>
  <c r="CJ89" i="273"/>
  <c r="CK90" i="273"/>
  <c r="CK104" i="273"/>
  <c r="CJ100" i="273"/>
  <c r="CJ101" i="273"/>
  <c r="CJ105" i="273"/>
  <c r="CK106" i="273"/>
  <c r="CL13" i="304"/>
  <c r="CL10" i="273"/>
  <c r="CL13" i="273"/>
  <c r="CL14" i="273"/>
  <c r="CL19" i="273"/>
  <c r="CL20" i="273"/>
  <c r="CL24" i="273"/>
  <c r="CL25" i="273"/>
  <c r="CL136" i="273"/>
  <c r="CL137" i="273"/>
  <c r="CL143" i="273"/>
  <c r="CK140" i="273"/>
  <c r="CK141" i="273"/>
  <c r="CK144" i="273"/>
  <c r="CL145" i="273"/>
  <c r="CL207" i="273"/>
  <c r="CL176" i="273"/>
  <c r="CL177" i="273"/>
  <c r="CL183" i="273"/>
  <c r="CK180" i="273"/>
  <c r="CK181" i="273"/>
  <c r="CK184" i="273"/>
  <c r="CL185" i="273"/>
  <c r="CL208" i="273"/>
  <c r="CL209" i="273"/>
  <c r="CL245" i="273"/>
  <c r="CL244" i="273"/>
  <c r="CL246" i="273"/>
  <c r="CK80" i="273"/>
  <c r="CK81" i="273"/>
  <c r="CK89" i="273"/>
  <c r="CL90" i="273"/>
  <c r="CL104" i="273"/>
  <c r="CK100" i="273"/>
  <c r="CK101" i="273"/>
  <c r="CK105" i="273"/>
  <c r="CL106" i="273"/>
  <c r="CM13" i="304"/>
  <c r="CM10" i="273"/>
  <c r="CM13" i="273"/>
  <c r="CM14" i="273"/>
  <c r="CM19" i="273"/>
  <c r="CM20" i="273"/>
  <c r="CM24" i="273"/>
  <c r="CM25" i="273"/>
  <c r="CM136" i="273"/>
  <c r="CM137" i="273"/>
  <c r="CM143" i="273"/>
  <c r="CL140" i="273"/>
  <c r="CL141" i="273"/>
  <c r="CL144" i="273"/>
  <c r="CM145" i="273"/>
  <c r="CM207" i="273"/>
  <c r="CM176" i="273"/>
  <c r="CM177" i="273"/>
  <c r="CM183" i="273"/>
  <c r="CL180" i="273"/>
  <c r="CL181" i="273"/>
  <c r="CL184" i="273"/>
  <c r="CM185" i="273"/>
  <c r="CM208" i="273"/>
  <c r="CM209" i="273"/>
  <c r="CM245" i="273"/>
  <c r="CM244" i="273"/>
  <c r="CM246" i="273"/>
  <c r="CL80" i="273"/>
  <c r="CL81" i="273"/>
  <c r="CL89" i="273"/>
  <c r="CM90" i="273"/>
  <c r="CM104" i="273"/>
  <c r="CL100" i="273"/>
  <c r="CL101" i="273"/>
  <c r="CL105" i="273"/>
  <c r="CM106" i="273"/>
  <c r="CN13" i="304"/>
  <c r="CN10" i="273"/>
  <c r="CN13" i="273"/>
  <c r="CN14" i="273"/>
  <c r="CN19" i="273"/>
  <c r="CN20" i="273"/>
  <c r="CN24" i="273"/>
  <c r="CN25" i="273"/>
  <c r="CN136" i="273"/>
  <c r="CN137" i="273"/>
  <c r="CN143" i="273"/>
  <c r="CM140" i="273"/>
  <c r="CM141" i="273"/>
  <c r="CM144" i="273"/>
  <c r="CN145" i="273"/>
  <c r="CN207" i="273"/>
  <c r="CN176" i="273"/>
  <c r="CN177" i="273"/>
  <c r="CN183" i="273"/>
  <c r="CM180" i="273"/>
  <c r="CM181" i="273"/>
  <c r="CM184" i="273"/>
  <c r="CN185" i="273"/>
  <c r="CN208" i="273"/>
  <c r="CN209" i="273"/>
  <c r="CN245" i="273"/>
  <c r="CN244" i="273"/>
  <c r="CN246" i="273"/>
  <c r="CM80" i="273"/>
  <c r="CM81" i="273"/>
  <c r="CM89" i="273"/>
  <c r="CN90" i="273"/>
  <c r="CN104" i="273"/>
  <c r="CM100" i="273"/>
  <c r="CM101" i="273"/>
  <c r="CM105" i="273"/>
  <c r="CN106" i="273"/>
  <c r="CO13" i="304"/>
  <c r="CO10" i="273"/>
  <c r="CO13" i="273"/>
  <c r="CO14" i="273"/>
  <c r="CO19" i="273"/>
  <c r="CO20" i="273"/>
  <c r="CO24" i="273"/>
  <c r="CO25" i="273"/>
  <c r="CO136" i="273"/>
  <c r="CO137" i="273"/>
  <c r="CO143" i="273"/>
  <c r="CN140" i="273"/>
  <c r="CN141" i="273"/>
  <c r="CN144" i="273"/>
  <c r="CO145" i="273"/>
  <c r="CO207" i="273"/>
  <c r="CO176" i="273"/>
  <c r="CO177" i="273"/>
  <c r="CO183" i="273"/>
  <c r="CN180" i="273"/>
  <c r="CN181" i="273"/>
  <c r="CN184" i="273"/>
  <c r="CO185" i="273"/>
  <c r="CO208" i="273"/>
  <c r="CO209" i="273"/>
  <c r="CO245" i="273"/>
  <c r="CO244" i="273"/>
  <c r="CO246" i="273"/>
  <c r="CN80" i="273"/>
  <c r="CN81" i="273"/>
  <c r="CN89" i="273"/>
  <c r="CO90" i="273"/>
  <c r="CO104" i="273"/>
  <c r="CN100" i="273"/>
  <c r="CN101" i="273"/>
  <c r="CN105" i="273"/>
  <c r="CO106" i="273"/>
  <c r="CP13" i="304"/>
  <c r="CP10" i="273"/>
  <c r="CP13" i="273"/>
  <c r="CP14" i="273"/>
  <c r="CP19" i="273"/>
  <c r="CP20" i="273"/>
  <c r="CP24" i="273"/>
  <c r="CP25" i="273"/>
  <c r="CP136" i="273"/>
  <c r="CP137" i="273"/>
  <c r="CP143" i="273"/>
  <c r="CO140" i="273"/>
  <c r="CO141" i="273"/>
  <c r="CO144" i="273"/>
  <c r="CP145" i="273"/>
  <c r="CP207" i="273"/>
  <c r="CP176" i="273"/>
  <c r="CP177" i="273"/>
  <c r="CP183" i="273"/>
  <c r="CO180" i="273"/>
  <c r="CO181" i="273"/>
  <c r="CO184" i="273"/>
  <c r="CP185" i="273"/>
  <c r="CP208" i="273"/>
  <c r="CP209" i="273"/>
  <c r="CP245" i="273"/>
  <c r="CP244" i="273"/>
  <c r="CP246" i="273"/>
  <c r="CO80" i="273"/>
  <c r="CO81" i="273"/>
  <c r="CO89" i="273"/>
  <c r="CP90" i="273"/>
  <c r="CP104" i="273"/>
  <c r="CO100" i="273"/>
  <c r="CO101" i="273"/>
  <c r="CO105" i="273"/>
  <c r="CP106" i="273"/>
  <c r="CQ13" i="304"/>
  <c r="CQ10" i="273"/>
  <c r="CQ13" i="273"/>
  <c r="CQ14" i="273"/>
  <c r="CQ19" i="273"/>
  <c r="CQ20" i="273"/>
  <c r="CQ24" i="273"/>
  <c r="CQ25" i="273"/>
  <c r="CQ136" i="273"/>
  <c r="CQ137" i="273"/>
  <c r="CQ143" i="273"/>
  <c r="CP140" i="273"/>
  <c r="CP141" i="273"/>
  <c r="CP144" i="273"/>
  <c r="CQ145" i="273"/>
  <c r="CQ207" i="273"/>
  <c r="CQ176" i="273"/>
  <c r="CQ177" i="273"/>
  <c r="CQ183" i="273"/>
  <c r="CP180" i="273"/>
  <c r="CP181" i="273"/>
  <c r="CP184" i="273"/>
  <c r="CQ185" i="273"/>
  <c r="CQ208" i="273"/>
  <c r="CQ209" i="273"/>
  <c r="CQ245" i="273"/>
  <c r="CQ244" i="273"/>
  <c r="CQ246" i="273"/>
  <c r="CP80" i="273"/>
  <c r="CP81" i="273"/>
  <c r="CP89" i="273"/>
  <c r="CQ90" i="273"/>
  <c r="CQ104" i="273"/>
  <c r="CP100" i="273"/>
  <c r="CP101" i="273"/>
  <c r="CP105" i="273"/>
  <c r="CQ106" i="273"/>
  <c r="CR13" i="304"/>
  <c r="CR10" i="273"/>
  <c r="CR13" i="273"/>
  <c r="CR14" i="273"/>
  <c r="CR19" i="273"/>
  <c r="CR20" i="273"/>
  <c r="CR24" i="273"/>
  <c r="CR25" i="273"/>
  <c r="CR136" i="273"/>
  <c r="CR137" i="273"/>
  <c r="CR143" i="273"/>
  <c r="CQ140" i="273"/>
  <c r="CQ141" i="273"/>
  <c r="CQ144" i="273"/>
  <c r="CR145" i="273"/>
  <c r="CR207" i="273"/>
  <c r="CR176" i="273"/>
  <c r="CR177" i="273"/>
  <c r="CR183" i="273"/>
  <c r="CQ180" i="273"/>
  <c r="CQ181" i="273"/>
  <c r="CQ184" i="273"/>
  <c r="CR185" i="273"/>
  <c r="CR208" i="273"/>
  <c r="CR209" i="273"/>
  <c r="CR245" i="273"/>
  <c r="CR244" i="273"/>
  <c r="CR246" i="273"/>
  <c r="CQ80" i="273"/>
  <c r="CQ81" i="273"/>
  <c r="CQ89" i="273"/>
  <c r="CR90" i="273"/>
  <c r="CR104" i="273"/>
  <c r="CQ100" i="273"/>
  <c r="CQ101" i="273"/>
  <c r="CQ105" i="273"/>
  <c r="CR106" i="273"/>
  <c r="CS13" i="304"/>
  <c r="CS10" i="273"/>
  <c r="CS13" i="273"/>
  <c r="CS14" i="273"/>
  <c r="CS19" i="273"/>
  <c r="CS20" i="273"/>
  <c r="CS24" i="273"/>
  <c r="CS25" i="273"/>
  <c r="CS136" i="273"/>
  <c r="CS137" i="273"/>
  <c r="CS143" i="273"/>
  <c r="CR140" i="273"/>
  <c r="CR141" i="273"/>
  <c r="CR144" i="273"/>
  <c r="CS145" i="273"/>
  <c r="CS207" i="273"/>
  <c r="CS176" i="273"/>
  <c r="CS177" i="273"/>
  <c r="CS183" i="273"/>
  <c r="CR180" i="273"/>
  <c r="CR181" i="273"/>
  <c r="CR184" i="273"/>
  <c r="CS185" i="273"/>
  <c r="CS208" i="273"/>
  <c r="CS209" i="273"/>
  <c r="CS245" i="273"/>
  <c r="CS244" i="273"/>
  <c r="CS246" i="273"/>
  <c r="CR80" i="273"/>
  <c r="CR81" i="273"/>
  <c r="CR89" i="273"/>
  <c r="CS90" i="273"/>
  <c r="CS104" i="273"/>
  <c r="CR100" i="273"/>
  <c r="CR101" i="273"/>
  <c r="CR105" i="273"/>
  <c r="CS106" i="273"/>
  <c r="CT13" i="304"/>
  <c r="CT10" i="273"/>
  <c r="CT13" i="273"/>
  <c r="CT14" i="273"/>
  <c r="CT19" i="273"/>
  <c r="CT20" i="273"/>
  <c r="CT24" i="273"/>
  <c r="CT25" i="273"/>
  <c r="CT136" i="273"/>
  <c r="CT137" i="273"/>
  <c r="CT143" i="273"/>
  <c r="CS140" i="273"/>
  <c r="CS141" i="273"/>
  <c r="CS144" i="273"/>
  <c r="CT145" i="273"/>
  <c r="CT207" i="273"/>
  <c r="CT176" i="273"/>
  <c r="CT177" i="273"/>
  <c r="CT183" i="273"/>
  <c r="CS180" i="273"/>
  <c r="CS181" i="273"/>
  <c r="CS184" i="273"/>
  <c r="CT185" i="273"/>
  <c r="CT208" i="273"/>
  <c r="CT209" i="273"/>
  <c r="CT245" i="273"/>
  <c r="CT244" i="273"/>
  <c r="CT246" i="273"/>
  <c r="CS80" i="273"/>
  <c r="CS81" i="273"/>
  <c r="CS89" i="273"/>
  <c r="CT90" i="273"/>
  <c r="CT104" i="273"/>
  <c r="CS100" i="273"/>
  <c r="CS101" i="273"/>
  <c r="CS105" i="273"/>
  <c r="CT106" i="273"/>
  <c r="CU13" i="304"/>
  <c r="CU10" i="273"/>
  <c r="CU13" i="273"/>
  <c r="CU14" i="273"/>
  <c r="CU19" i="273"/>
  <c r="CU20" i="273"/>
  <c r="CU24" i="273"/>
  <c r="CU25" i="273"/>
  <c r="CU136" i="273"/>
  <c r="CU137" i="273"/>
  <c r="CU143" i="273"/>
  <c r="CT140" i="273"/>
  <c r="CT141" i="273"/>
  <c r="CT144" i="273"/>
  <c r="CU145" i="273"/>
  <c r="CU207" i="273"/>
  <c r="CU176" i="273"/>
  <c r="CU177" i="273"/>
  <c r="CU183" i="273"/>
  <c r="CT180" i="273"/>
  <c r="CT181" i="273"/>
  <c r="CT184" i="273"/>
  <c r="CU185" i="273"/>
  <c r="CU208" i="273"/>
  <c r="CU209" i="273"/>
  <c r="CU245" i="273"/>
  <c r="CU244" i="273"/>
  <c r="CU246" i="273"/>
  <c r="CT80" i="273"/>
  <c r="CT81" i="273"/>
  <c r="CT89" i="273"/>
  <c r="CU90" i="273"/>
  <c r="CU104" i="273"/>
  <c r="CT100" i="273"/>
  <c r="CT101" i="273"/>
  <c r="CT105" i="273"/>
  <c r="CU106" i="273"/>
  <c r="CV13" i="304"/>
  <c r="CV10" i="273"/>
  <c r="CV13" i="273"/>
  <c r="CV14" i="273"/>
  <c r="CV19" i="273"/>
  <c r="CV20" i="273"/>
  <c r="CV24" i="273"/>
  <c r="CV25" i="273"/>
  <c r="CV136" i="273"/>
  <c r="CV137" i="273"/>
  <c r="CV143" i="273"/>
  <c r="CU140" i="273"/>
  <c r="CU141" i="273"/>
  <c r="CU144" i="273"/>
  <c r="CV145" i="273"/>
  <c r="CV207" i="273"/>
  <c r="CV176" i="273"/>
  <c r="CV177" i="273"/>
  <c r="CV183" i="273"/>
  <c r="CU180" i="273"/>
  <c r="CU181" i="273"/>
  <c r="CU184" i="273"/>
  <c r="CV185" i="273"/>
  <c r="CV208" i="273"/>
  <c r="CV209" i="273"/>
  <c r="CV245" i="273"/>
  <c r="CV244" i="273"/>
  <c r="CV246" i="273"/>
  <c r="CU80" i="273"/>
  <c r="CU81" i="273"/>
  <c r="CU89" i="273"/>
  <c r="CV90" i="273"/>
  <c r="CV104" i="273"/>
  <c r="CU100" i="273"/>
  <c r="CU101" i="273"/>
  <c r="CU105" i="273"/>
  <c r="CV106" i="273"/>
  <c r="G243" i="321"/>
  <c r="F242" i="321"/>
  <c r="E242" i="321"/>
  <c r="G242" i="321"/>
  <c r="I242" i="321"/>
  <c r="CW242" i="321"/>
  <c r="CX242" i="321"/>
  <c r="CY242" i="321"/>
  <c r="CZ242" i="321"/>
  <c r="DA242" i="321"/>
  <c r="DB242" i="321"/>
  <c r="DC242" i="321"/>
  <c r="DD242" i="321"/>
  <c r="DE242" i="321"/>
  <c r="DF242" i="321"/>
  <c r="DG242" i="321"/>
  <c r="DH242" i="321"/>
  <c r="DI242" i="321"/>
  <c r="DJ242" i="321"/>
  <c r="DK242" i="321"/>
  <c r="DL242" i="321"/>
  <c r="DM242" i="321"/>
  <c r="DN242" i="321"/>
  <c r="DO242" i="321"/>
  <c r="DP242" i="321"/>
  <c r="DQ242" i="321"/>
  <c r="DR242" i="321"/>
  <c r="DS242" i="321"/>
  <c r="DT242" i="321"/>
  <c r="DU242" i="321"/>
  <c r="DV242" i="321"/>
  <c r="DW242" i="321"/>
  <c r="DX242" i="321"/>
  <c r="DY242" i="321"/>
  <c r="DZ242" i="321"/>
  <c r="EA242" i="321"/>
  <c r="EB242" i="321"/>
  <c r="EC242" i="321"/>
  <c r="ED242" i="321"/>
  <c r="EE242" i="321"/>
  <c r="EF242" i="321"/>
  <c r="EG242" i="321"/>
  <c r="EH242" i="321"/>
  <c r="EI242" i="321"/>
  <c r="EJ242" i="321"/>
  <c r="EK242" i="321"/>
  <c r="EL242" i="321"/>
  <c r="EM242" i="321"/>
  <c r="EN242" i="321"/>
  <c r="EO242" i="321"/>
  <c r="EP242" i="321"/>
  <c r="EQ242" i="321"/>
  <c r="ER242" i="321"/>
  <c r="ES242" i="321"/>
  <c r="ET242" i="321"/>
  <c r="EU242" i="321"/>
  <c r="EV242" i="321"/>
  <c r="EW242" i="321"/>
  <c r="EX242" i="321"/>
  <c r="EY242" i="321"/>
  <c r="EZ242" i="321"/>
  <c r="FA242" i="321"/>
  <c r="FB242" i="321"/>
  <c r="FC242" i="321"/>
  <c r="FD242" i="321"/>
  <c r="FE242" i="321"/>
  <c r="FF242" i="321"/>
  <c r="FG242" i="321"/>
  <c r="FH242" i="321"/>
  <c r="FI242" i="321"/>
  <c r="FJ242" i="321"/>
  <c r="FK242" i="321"/>
  <c r="FL242" i="321"/>
  <c r="FM242" i="321"/>
  <c r="FN242" i="321"/>
  <c r="FO242" i="321"/>
  <c r="FP242" i="321"/>
  <c r="FQ242" i="321"/>
  <c r="FR242" i="321"/>
  <c r="FS242" i="321"/>
  <c r="FT242" i="321"/>
  <c r="FU242" i="321"/>
  <c r="FV242" i="321"/>
  <c r="FW242" i="321"/>
  <c r="FX242" i="321"/>
  <c r="FY242" i="321"/>
  <c r="FZ242" i="321"/>
  <c r="GA242" i="321"/>
  <c r="GB242" i="321"/>
  <c r="GC242" i="321"/>
  <c r="GD242" i="321"/>
  <c r="GE242" i="321"/>
  <c r="GF242" i="321"/>
  <c r="GG242" i="321"/>
  <c r="GH242" i="321"/>
  <c r="GI242" i="321"/>
  <c r="GJ242" i="321"/>
  <c r="E241" i="321"/>
  <c r="G241" i="321"/>
  <c r="F33" i="278"/>
  <c r="F19" i="311"/>
  <c r="F400" i="48"/>
  <c r="F41" i="288"/>
  <c r="F36" i="48"/>
  <c r="F21" i="278"/>
  <c r="F37" i="48"/>
  <c r="F22" i="278"/>
  <c r="F23" i="278"/>
  <c r="F24" i="278"/>
  <c r="F25" i="278"/>
  <c r="F26" i="278"/>
  <c r="F28" i="278"/>
  <c r="F81" i="48"/>
  <c r="F30" i="278"/>
  <c r="J12" i="278"/>
  <c r="J13" i="278"/>
  <c r="J32" i="278"/>
  <c r="J18" i="278"/>
  <c r="J19" i="278"/>
  <c r="J33" i="278"/>
  <c r="F19" i="325"/>
  <c r="F29" i="278"/>
  <c r="F31" i="278"/>
  <c r="J34" i="278"/>
  <c r="J68" i="278"/>
  <c r="F42" i="278"/>
  <c r="F119" i="48"/>
  <c r="F17" i="325"/>
  <c r="F118" i="48"/>
  <c r="F120" i="48"/>
  <c r="F37" i="278"/>
  <c r="J38" i="278"/>
  <c r="J39" i="278"/>
  <c r="J48" i="278"/>
  <c r="J50" i="278" s="1"/>
  <c r="J59" i="278" s="1"/>
  <c r="F47" i="278"/>
  <c r="J49" i="278"/>
  <c r="F52" i="278"/>
  <c r="J54" i="278"/>
  <c r="F53" i="278"/>
  <c r="J23" i="289"/>
  <c r="J225" i="273"/>
  <c r="F221" i="273"/>
  <c r="F222" i="273"/>
  <c r="F224" i="273"/>
  <c r="J226" i="273"/>
  <c r="J21" i="289"/>
  <c r="J24" i="289"/>
  <c r="J55" i="278"/>
  <c r="J56" i="278"/>
  <c r="J57" i="278"/>
  <c r="J60" i="278"/>
  <c r="F64" i="278"/>
  <c r="F66" i="278"/>
  <c r="F65" i="278"/>
  <c r="J70" i="278"/>
  <c r="F73" i="278"/>
  <c r="F114" i="48"/>
  <c r="F112" i="278"/>
  <c r="F113" i="278"/>
  <c r="J54" i="289"/>
  <c r="J52" i="289"/>
  <c r="J55" i="289"/>
  <c r="J114" i="278"/>
  <c r="J115" i="278"/>
  <c r="F111" i="278"/>
  <c r="J116" i="278"/>
  <c r="J152" i="278"/>
  <c r="F115" i="48"/>
  <c r="F145" i="278"/>
  <c r="F146" i="278"/>
  <c r="J147" i="278"/>
  <c r="J148" i="278"/>
  <c r="J149" i="278"/>
  <c r="J153" i="278"/>
  <c r="J154" i="278"/>
  <c r="J155" i="278"/>
  <c r="J10" i="265" s="1"/>
  <c r="F399" i="48"/>
  <c r="F61" i="306"/>
  <c r="F136" i="48"/>
  <c r="F13" i="306"/>
  <c r="F137" i="48"/>
  <c r="F14" i="306"/>
  <c r="J16" i="306"/>
  <c r="F13" i="325"/>
  <c r="F9" i="306"/>
  <c r="F138" i="48"/>
  <c r="F10" i="306"/>
  <c r="F11" i="306"/>
  <c r="F15" i="306"/>
  <c r="J17" i="306"/>
  <c r="J62" i="306"/>
  <c r="J63" i="306"/>
  <c r="J81" i="306"/>
  <c r="F139" i="48"/>
  <c r="F30" i="306"/>
  <c r="F31" i="306"/>
  <c r="F32" i="306"/>
  <c r="F34" i="306"/>
  <c r="J35" i="306"/>
  <c r="J36" i="306"/>
  <c r="J82" i="306"/>
  <c r="F141" i="48"/>
  <c r="F44" i="306"/>
  <c r="J45" i="306"/>
  <c r="J46" i="306"/>
  <c r="J84" i="306"/>
  <c r="F142" i="48"/>
  <c r="F49" i="306"/>
  <c r="J51" i="306"/>
  <c r="F143" i="48"/>
  <c r="F50" i="306"/>
  <c r="J52" i="306"/>
  <c r="J53" i="306"/>
  <c r="J85" i="306"/>
  <c r="J88" i="306"/>
  <c r="J79" i="306"/>
  <c r="F20" i="306"/>
  <c r="F21" i="306"/>
  <c r="J22" i="306"/>
  <c r="J23" i="306"/>
  <c r="J80" i="306"/>
  <c r="F140" i="48"/>
  <c r="F39" i="306"/>
  <c r="J40" i="306"/>
  <c r="J41" i="306"/>
  <c r="J83" i="306"/>
  <c r="F144" i="48"/>
  <c r="F56" i="306"/>
  <c r="J57" i="306"/>
  <c r="J58" i="306"/>
  <c r="J86" i="306"/>
  <c r="F66" i="306"/>
  <c r="F146" i="48"/>
  <c r="F67" i="306"/>
  <c r="F68" i="306"/>
  <c r="F70" i="306"/>
  <c r="F147" i="48"/>
  <c r="F71" i="306"/>
  <c r="F72" i="306"/>
  <c r="J73" i="306"/>
  <c r="J74" i="306"/>
  <c r="J87" i="306"/>
  <c r="J89" i="306"/>
  <c r="K16" i="306"/>
  <c r="K17" i="306"/>
  <c r="K62" i="306"/>
  <c r="K63" i="306"/>
  <c r="K81" i="306"/>
  <c r="K35" i="306"/>
  <c r="K36" i="306"/>
  <c r="K82" i="306"/>
  <c r="K45" i="306"/>
  <c r="K46" i="306"/>
  <c r="K84" i="306"/>
  <c r="K51" i="306"/>
  <c r="K52" i="306"/>
  <c r="K53" i="306"/>
  <c r="K85" i="306"/>
  <c r="K88" i="306"/>
  <c r="K79" i="306"/>
  <c r="K22" i="306"/>
  <c r="K23" i="306"/>
  <c r="K80" i="306"/>
  <c r="K40" i="306"/>
  <c r="K41" i="306"/>
  <c r="K83" i="306"/>
  <c r="K57" i="306"/>
  <c r="K58" i="306"/>
  <c r="K86" i="306"/>
  <c r="K73" i="306"/>
  <c r="K74" i="306"/>
  <c r="K87" i="306"/>
  <c r="K89" i="306"/>
  <c r="L16" i="306"/>
  <c r="L17" i="306"/>
  <c r="L62" i="306"/>
  <c r="L63" i="306"/>
  <c r="L81" i="306"/>
  <c r="L35" i="306"/>
  <c r="L36" i="306"/>
  <c r="L82" i="306"/>
  <c r="L45" i="306"/>
  <c r="L46" i="306"/>
  <c r="L84" i="306"/>
  <c r="L51" i="306"/>
  <c r="L52" i="306"/>
  <c r="L53" i="306"/>
  <c r="L85" i="306"/>
  <c r="L88" i="306"/>
  <c r="L79" i="306"/>
  <c r="L22" i="306"/>
  <c r="L23" i="306"/>
  <c r="L80" i="306"/>
  <c r="L40" i="306"/>
  <c r="L41" i="306"/>
  <c r="L83" i="306"/>
  <c r="L57" i="306"/>
  <c r="L58" i="306"/>
  <c r="L86" i="306"/>
  <c r="L73" i="306"/>
  <c r="L74" i="306"/>
  <c r="L87" i="306"/>
  <c r="L89" i="306"/>
  <c r="M16" i="306"/>
  <c r="M17" i="306"/>
  <c r="M62" i="306"/>
  <c r="M63" i="306"/>
  <c r="M81" i="306"/>
  <c r="M35" i="306"/>
  <c r="M36" i="306"/>
  <c r="M82" i="306"/>
  <c r="M45" i="306"/>
  <c r="M46" i="306"/>
  <c r="M84" i="306"/>
  <c r="M51" i="306"/>
  <c r="M52" i="306"/>
  <c r="M53" i="306"/>
  <c r="M85" i="306"/>
  <c r="M88" i="306"/>
  <c r="M79" i="306"/>
  <c r="M22" i="306"/>
  <c r="M23" i="306"/>
  <c r="M80" i="306"/>
  <c r="M40" i="306"/>
  <c r="M41" i="306"/>
  <c r="M83" i="306"/>
  <c r="M57" i="306"/>
  <c r="M58" i="306"/>
  <c r="M86" i="306"/>
  <c r="M73" i="306"/>
  <c r="M74" i="306"/>
  <c r="M87" i="306"/>
  <c r="M89" i="306"/>
  <c r="N16" i="306"/>
  <c r="N17" i="306"/>
  <c r="N62" i="306"/>
  <c r="N63" i="306"/>
  <c r="N81" i="306"/>
  <c r="N35" i="306"/>
  <c r="N36" i="306"/>
  <c r="N82" i="306"/>
  <c r="N45" i="306"/>
  <c r="N46" i="306"/>
  <c r="N84" i="306"/>
  <c r="N51" i="306"/>
  <c r="N52" i="306"/>
  <c r="N53" i="306"/>
  <c r="N85" i="306"/>
  <c r="N88" i="306"/>
  <c r="N79" i="306"/>
  <c r="N22" i="306"/>
  <c r="N23" i="306"/>
  <c r="N80" i="306"/>
  <c r="N40" i="306"/>
  <c r="N41" i="306"/>
  <c r="N83" i="306"/>
  <c r="N57" i="306"/>
  <c r="N58" i="306"/>
  <c r="N86" i="306"/>
  <c r="N73" i="306"/>
  <c r="N74" i="306"/>
  <c r="N87" i="306"/>
  <c r="N89" i="306"/>
  <c r="O16" i="306"/>
  <c r="O17" i="306"/>
  <c r="O62" i="306"/>
  <c r="O63" i="306"/>
  <c r="O81" i="306"/>
  <c r="O35" i="306"/>
  <c r="O36" i="306"/>
  <c r="O82" i="306"/>
  <c r="O45" i="306"/>
  <c r="O46" i="306"/>
  <c r="O84" i="306"/>
  <c r="O51" i="306"/>
  <c r="O52" i="306"/>
  <c r="O53" i="306"/>
  <c r="O85" i="306"/>
  <c r="O88" i="306"/>
  <c r="O79" i="306"/>
  <c r="O22" i="306"/>
  <c r="O23" i="306"/>
  <c r="O80" i="306"/>
  <c r="O40" i="306"/>
  <c r="O41" i="306"/>
  <c r="O83" i="306"/>
  <c r="O57" i="306"/>
  <c r="O58" i="306"/>
  <c r="O86" i="306"/>
  <c r="O73" i="306"/>
  <c r="O74" i="306"/>
  <c r="O87" i="306"/>
  <c r="O89" i="306"/>
  <c r="P16" i="306"/>
  <c r="P17" i="306"/>
  <c r="P62" i="306"/>
  <c r="P63" i="306"/>
  <c r="P81" i="306"/>
  <c r="P35" i="306"/>
  <c r="P36" i="306"/>
  <c r="P82" i="306"/>
  <c r="P45" i="306"/>
  <c r="P46" i="306"/>
  <c r="P84" i="306"/>
  <c r="P51" i="306"/>
  <c r="P52" i="306"/>
  <c r="P53" i="306"/>
  <c r="P85" i="306"/>
  <c r="P88" i="306"/>
  <c r="P79" i="306"/>
  <c r="P22" i="306"/>
  <c r="P23" i="306"/>
  <c r="P80" i="306"/>
  <c r="P40" i="306"/>
  <c r="P41" i="306"/>
  <c r="P83" i="306"/>
  <c r="P57" i="306"/>
  <c r="P58" i="306"/>
  <c r="P86" i="306"/>
  <c r="P73" i="306"/>
  <c r="P74" i="306"/>
  <c r="P87" i="306"/>
  <c r="P89" i="306"/>
  <c r="Q16" i="306"/>
  <c r="Q17" i="306"/>
  <c r="Q62" i="306"/>
  <c r="Q63" i="306"/>
  <c r="Q81" i="306"/>
  <c r="Q35" i="306"/>
  <c r="Q36" i="306"/>
  <c r="Q82" i="306"/>
  <c r="Q45" i="306"/>
  <c r="Q46" i="306"/>
  <c r="Q84" i="306"/>
  <c r="Q51" i="306"/>
  <c r="Q52" i="306"/>
  <c r="Q53" i="306"/>
  <c r="Q85" i="306"/>
  <c r="Q88" i="306"/>
  <c r="Q79" i="306"/>
  <c r="Q22" i="306"/>
  <c r="Q23" i="306"/>
  <c r="Q80" i="306"/>
  <c r="Q40" i="306"/>
  <c r="Q41" i="306"/>
  <c r="Q83" i="306"/>
  <c r="Q57" i="306"/>
  <c r="Q58" i="306"/>
  <c r="Q86" i="306"/>
  <c r="Q73" i="306"/>
  <c r="Q74" i="306"/>
  <c r="Q87" i="306"/>
  <c r="Q89" i="306"/>
  <c r="R16" i="306"/>
  <c r="R17" i="306"/>
  <c r="R62" i="306"/>
  <c r="R63" i="306"/>
  <c r="R81" i="306"/>
  <c r="R35" i="306"/>
  <c r="R36" i="306"/>
  <c r="R82" i="306"/>
  <c r="R45" i="306"/>
  <c r="R46" i="306"/>
  <c r="R84" i="306"/>
  <c r="R51" i="306"/>
  <c r="R52" i="306"/>
  <c r="R53" i="306"/>
  <c r="R85" i="306"/>
  <c r="R88" i="306"/>
  <c r="R79" i="306"/>
  <c r="R22" i="306"/>
  <c r="R23" i="306"/>
  <c r="R80" i="306"/>
  <c r="R40" i="306"/>
  <c r="R41" i="306"/>
  <c r="R83" i="306"/>
  <c r="R57" i="306"/>
  <c r="R58" i="306"/>
  <c r="R86" i="306"/>
  <c r="R73" i="306"/>
  <c r="R74" i="306"/>
  <c r="R87" i="306"/>
  <c r="R89" i="306"/>
  <c r="S16" i="306"/>
  <c r="S17" i="306"/>
  <c r="S62" i="306"/>
  <c r="S63" i="306"/>
  <c r="S81" i="306"/>
  <c r="S35" i="306"/>
  <c r="S36" i="306"/>
  <c r="S82" i="306"/>
  <c r="S45" i="306"/>
  <c r="S46" i="306"/>
  <c r="S84" i="306"/>
  <c r="S51" i="306"/>
  <c r="S52" i="306"/>
  <c r="S53" i="306"/>
  <c r="S85" i="306"/>
  <c r="S88" i="306"/>
  <c r="S79" i="306"/>
  <c r="S22" i="306"/>
  <c r="S23" i="306"/>
  <c r="S80" i="306"/>
  <c r="S40" i="306"/>
  <c r="S41" i="306"/>
  <c r="S83" i="306"/>
  <c r="S57" i="306"/>
  <c r="S58" i="306"/>
  <c r="S86" i="306"/>
  <c r="S73" i="306"/>
  <c r="S74" i="306"/>
  <c r="S87" i="306"/>
  <c r="S89" i="306"/>
  <c r="T16" i="306"/>
  <c r="T17" i="306"/>
  <c r="T62" i="306"/>
  <c r="T63" i="306"/>
  <c r="T81" i="306"/>
  <c r="T35" i="306"/>
  <c r="T36" i="306"/>
  <c r="T82" i="306"/>
  <c r="T45" i="306"/>
  <c r="T46" i="306"/>
  <c r="T84" i="306"/>
  <c r="T51" i="306"/>
  <c r="T52" i="306"/>
  <c r="T53" i="306"/>
  <c r="T85" i="306"/>
  <c r="T88" i="306"/>
  <c r="T79" i="306"/>
  <c r="T22" i="306"/>
  <c r="T23" i="306"/>
  <c r="T80" i="306"/>
  <c r="T40" i="306"/>
  <c r="T41" i="306"/>
  <c r="T83" i="306"/>
  <c r="T57" i="306"/>
  <c r="T58" i="306"/>
  <c r="T86" i="306"/>
  <c r="T73" i="306"/>
  <c r="T74" i="306"/>
  <c r="T87" i="306"/>
  <c r="T89" i="306"/>
  <c r="U16" i="306"/>
  <c r="U17" i="306"/>
  <c r="U62" i="306"/>
  <c r="U63" i="306"/>
  <c r="U81" i="306"/>
  <c r="U35" i="306"/>
  <c r="U36" i="306"/>
  <c r="U82" i="306"/>
  <c r="U45" i="306"/>
  <c r="U46" i="306"/>
  <c r="U84" i="306"/>
  <c r="U51" i="306"/>
  <c r="U52" i="306"/>
  <c r="U53" i="306"/>
  <c r="U85" i="306"/>
  <c r="U88" i="306"/>
  <c r="U79" i="306"/>
  <c r="U22" i="306"/>
  <c r="U23" i="306"/>
  <c r="U80" i="306"/>
  <c r="U40" i="306"/>
  <c r="U41" i="306"/>
  <c r="U83" i="306"/>
  <c r="U57" i="306"/>
  <c r="U58" i="306"/>
  <c r="U86" i="306"/>
  <c r="U73" i="306"/>
  <c r="U74" i="306"/>
  <c r="U87" i="306"/>
  <c r="U89" i="306"/>
  <c r="V16" i="306"/>
  <c r="V17" i="306"/>
  <c r="V62" i="306"/>
  <c r="V63" i="306"/>
  <c r="V81" i="306"/>
  <c r="V35" i="306"/>
  <c r="V36" i="306"/>
  <c r="V82" i="306"/>
  <c r="V45" i="306"/>
  <c r="V46" i="306"/>
  <c r="V84" i="306"/>
  <c r="V51" i="306"/>
  <c r="V52" i="306"/>
  <c r="V53" i="306"/>
  <c r="V85" i="306"/>
  <c r="V88" i="306"/>
  <c r="V79" i="306"/>
  <c r="V22" i="306"/>
  <c r="V23" i="306"/>
  <c r="V80" i="306"/>
  <c r="V40" i="306"/>
  <c r="V41" i="306"/>
  <c r="V83" i="306"/>
  <c r="V57" i="306"/>
  <c r="V58" i="306"/>
  <c r="V86" i="306"/>
  <c r="V73" i="306"/>
  <c r="V74" i="306"/>
  <c r="V87" i="306"/>
  <c r="V89" i="306"/>
  <c r="W16" i="306"/>
  <c r="W17" i="306"/>
  <c r="W62" i="306"/>
  <c r="W63" i="306"/>
  <c r="W81" i="306"/>
  <c r="W35" i="306"/>
  <c r="W36" i="306"/>
  <c r="W82" i="306"/>
  <c r="W45" i="306"/>
  <c r="W46" i="306"/>
  <c r="W84" i="306"/>
  <c r="W51" i="306"/>
  <c r="W52" i="306"/>
  <c r="W53" i="306"/>
  <c r="W85" i="306"/>
  <c r="W88" i="306"/>
  <c r="W79" i="306"/>
  <c r="W22" i="306"/>
  <c r="W23" i="306"/>
  <c r="W80" i="306"/>
  <c r="W40" i="306"/>
  <c r="W41" i="306"/>
  <c r="W83" i="306"/>
  <c r="W57" i="306"/>
  <c r="W58" i="306"/>
  <c r="W86" i="306"/>
  <c r="W73" i="306"/>
  <c r="W74" i="306"/>
  <c r="W87" i="306"/>
  <c r="W89" i="306"/>
  <c r="X16" i="306"/>
  <c r="X17" i="306"/>
  <c r="X62" i="306"/>
  <c r="X63" i="306"/>
  <c r="X81" i="306"/>
  <c r="X35" i="306"/>
  <c r="X36" i="306"/>
  <c r="X82" i="306"/>
  <c r="X45" i="306"/>
  <c r="X46" i="306"/>
  <c r="X84" i="306"/>
  <c r="X51" i="306"/>
  <c r="X52" i="306"/>
  <c r="X53" i="306"/>
  <c r="X85" i="306"/>
  <c r="X88" i="306"/>
  <c r="X79" i="306"/>
  <c r="X22" i="306"/>
  <c r="X23" i="306"/>
  <c r="X80" i="306"/>
  <c r="X40" i="306"/>
  <c r="X41" i="306"/>
  <c r="X83" i="306"/>
  <c r="X57" i="306"/>
  <c r="X58" i="306"/>
  <c r="X86" i="306"/>
  <c r="X73" i="306"/>
  <c r="X74" i="306"/>
  <c r="X87" i="306"/>
  <c r="X89" i="306"/>
  <c r="Y16" i="306"/>
  <c r="Y17" i="306"/>
  <c r="Y62" i="306"/>
  <c r="Y63" i="306"/>
  <c r="Y81" i="306"/>
  <c r="Y35" i="306"/>
  <c r="Y36" i="306"/>
  <c r="Y82" i="306"/>
  <c r="Y45" i="306"/>
  <c r="Y46" i="306"/>
  <c r="Y84" i="306"/>
  <c r="Y51" i="306"/>
  <c r="Y52" i="306"/>
  <c r="Y53" i="306"/>
  <c r="Y85" i="306"/>
  <c r="Y88" i="306"/>
  <c r="Y79" i="306"/>
  <c r="Y22" i="306"/>
  <c r="Y23" i="306"/>
  <c r="Y80" i="306"/>
  <c r="Y40" i="306"/>
  <c r="Y41" i="306"/>
  <c r="Y83" i="306"/>
  <c r="Y57" i="306"/>
  <c r="Y58" i="306"/>
  <c r="Y86" i="306"/>
  <c r="Y73" i="306"/>
  <c r="Y74" i="306"/>
  <c r="Y87" i="306"/>
  <c r="Y89" i="306"/>
  <c r="Z16" i="306"/>
  <c r="Z17" i="306"/>
  <c r="Z62" i="306"/>
  <c r="Z63" i="306"/>
  <c r="Z81" i="306"/>
  <c r="Z35" i="306"/>
  <c r="Z36" i="306"/>
  <c r="Z82" i="306"/>
  <c r="Z45" i="306"/>
  <c r="Z46" i="306"/>
  <c r="Z84" i="306"/>
  <c r="Z51" i="306"/>
  <c r="Z52" i="306"/>
  <c r="Z53" i="306"/>
  <c r="Z85" i="306"/>
  <c r="Z88" i="306"/>
  <c r="Z79" i="306"/>
  <c r="Z22" i="306"/>
  <c r="Z23" i="306"/>
  <c r="Z80" i="306"/>
  <c r="Z40" i="306"/>
  <c r="Z41" i="306"/>
  <c r="Z83" i="306"/>
  <c r="Z57" i="306"/>
  <c r="Z58" i="306"/>
  <c r="Z86" i="306"/>
  <c r="Z73" i="306"/>
  <c r="Z74" i="306"/>
  <c r="Z87" i="306"/>
  <c r="Z89" i="306"/>
  <c r="AA16" i="306"/>
  <c r="AA17" i="306"/>
  <c r="AA62" i="306"/>
  <c r="AA63" i="306"/>
  <c r="AA81" i="306"/>
  <c r="AA35" i="306"/>
  <c r="AA36" i="306"/>
  <c r="AA82" i="306"/>
  <c r="AA45" i="306"/>
  <c r="AA46" i="306"/>
  <c r="AA84" i="306"/>
  <c r="AA51" i="306"/>
  <c r="AA52" i="306"/>
  <c r="AA53" i="306"/>
  <c r="AA85" i="306"/>
  <c r="AA88" i="306"/>
  <c r="AA79" i="306"/>
  <c r="AA22" i="306"/>
  <c r="AA23" i="306"/>
  <c r="AA80" i="306"/>
  <c r="AA40" i="306"/>
  <c r="AA41" i="306"/>
  <c r="AA83" i="306"/>
  <c r="AA57" i="306"/>
  <c r="AA58" i="306"/>
  <c r="AA86" i="306"/>
  <c r="AA73" i="306"/>
  <c r="AA74" i="306"/>
  <c r="AA87" i="306"/>
  <c r="AA89" i="306"/>
  <c r="AB16" i="306"/>
  <c r="AB17" i="306"/>
  <c r="AB62" i="306"/>
  <c r="AB63" i="306"/>
  <c r="AB81" i="306"/>
  <c r="AB35" i="306"/>
  <c r="AB36" i="306"/>
  <c r="AB82" i="306"/>
  <c r="AB45" i="306"/>
  <c r="AB46" i="306"/>
  <c r="AB84" i="306"/>
  <c r="AB51" i="306"/>
  <c r="AB52" i="306"/>
  <c r="AB53" i="306"/>
  <c r="AB85" i="306"/>
  <c r="AB88" i="306"/>
  <c r="AB79" i="306"/>
  <c r="AB22" i="306"/>
  <c r="AB23" i="306"/>
  <c r="AB80" i="306"/>
  <c r="AB40" i="306"/>
  <c r="AB41" i="306"/>
  <c r="AB83" i="306"/>
  <c r="AB57" i="306"/>
  <c r="AB58" i="306"/>
  <c r="AB86" i="306"/>
  <c r="AB73" i="306"/>
  <c r="AB74" i="306"/>
  <c r="AB87" i="306"/>
  <c r="AB89" i="306"/>
  <c r="AC16" i="306"/>
  <c r="AC17" i="306"/>
  <c r="AC62" i="306"/>
  <c r="AC63" i="306"/>
  <c r="AC81" i="306"/>
  <c r="AC35" i="306"/>
  <c r="AC36" i="306"/>
  <c r="AC82" i="306"/>
  <c r="AC45" i="306"/>
  <c r="AC46" i="306"/>
  <c r="AC84" i="306"/>
  <c r="AC51" i="306"/>
  <c r="AC52" i="306"/>
  <c r="AC53" i="306"/>
  <c r="AC85" i="306"/>
  <c r="AC88" i="306"/>
  <c r="AC79" i="306"/>
  <c r="AC22" i="306"/>
  <c r="AC23" i="306"/>
  <c r="AC80" i="306"/>
  <c r="AC40" i="306"/>
  <c r="AC41" i="306"/>
  <c r="AC83" i="306"/>
  <c r="AC57" i="306"/>
  <c r="AC58" i="306"/>
  <c r="AC86" i="306"/>
  <c r="AC73" i="306"/>
  <c r="AC74" i="306"/>
  <c r="AC87" i="306"/>
  <c r="AC89" i="306"/>
  <c r="AD16" i="306"/>
  <c r="AD17" i="306"/>
  <c r="AD62" i="306"/>
  <c r="AD63" i="306"/>
  <c r="AD81" i="306"/>
  <c r="AD35" i="306"/>
  <c r="AD36" i="306"/>
  <c r="AD82" i="306"/>
  <c r="AD45" i="306"/>
  <c r="AD46" i="306"/>
  <c r="AD84" i="306"/>
  <c r="AD51" i="306"/>
  <c r="AD52" i="306"/>
  <c r="AD53" i="306"/>
  <c r="AD85" i="306"/>
  <c r="AD88" i="306"/>
  <c r="AD79" i="306"/>
  <c r="AD22" i="306"/>
  <c r="AD23" i="306"/>
  <c r="AD80" i="306"/>
  <c r="AD40" i="306"/>
  <c r="AD41" i="306"/>
  <c r="AD83" i="306"/>
  <c r="AD57" i="306"/>
  <c r="AD58" i="306"/>
  <c r="AD86" i="306"/>
  <c r="AD73" i="306"/>
  <c r="AD74" i="306"/>
  <c r="AD87" i="306"/>
  <c r="AD89" i="306"/>
  <c r="AE16" i="306"/>
  <c r="AE17" i="306"/>
  <c r="AE62" i="306"/>
  <c r="AE63" i="306"/>
  <c r="AE81" i="306"/>
  <c r="AE35" i="306"/>
  <c r="AE36" i="306"/>
  <c r="AE82" i="306"/>
  <c r="AE45" i="306"/>
  <c r="AE46" i="306"/>
  <c r="AE84" i="306"/>
  <c r="AE51" i="306"/>
  <c r="AE52" i="306"/>
  <c r="AE53" i="306"/>
  <c r="AE85" i="306"/>
  <c r="AE88" i="306"/>
  <c r="AE79" i="306"/>
  <c r="AE22" i="306"/>
  <c r="AE23" i="306"/>
  <c r="AE80" i="306"/>
  <c r="AE40" i="306"/>
  <c r="AE41" i="306"/>
  <c r="AE83" i="306"/>
  <c r="AE57" i="306"/>
  <c r="AE58" i="306"/>
  <c r="AE86" i="306"/>
  <c r="AE73" i="306"/>
  <c r="AE74" i="306"/>
  <c r="AE87" i="306"/>
  <c r="AE89" i="306"/>
  <c r="AF16" i="306"/>
  <c r="AF17" i="306"/>
  <c r="AF62" i="306"/>
  <c r="AF63" i="306"/>
  <c r="AF81" i="306"/>
  <c r="AF35" i="306"/>
  <c r="AF36" i="306"/>
  <c r="AF82" i="306"/>
  <c r="AF45" i="306"/>
  <c r="AF46" i="306"/>
  <c r="AF84" i="306"/>
  <c r="AF51" i="306"/>
  <c r="AF52" i="306"/>
  <c r="AF53" i="306"/>
  <c r="AF85" i="306"/>
  <c r="AF88" i="306"/>
  <c r="AF79" i="306"/>
  <c r="AF22" i="306"/>
  <c r="AF23" i="306"/>
  <c r="AF80" i="306"/>
  <c r="AF40" i="306"/>
  <c r="AF41" i="306"/>
  <c r="AF83" i="306"/>
  <c r="AF57" i="306"/>
  <c r="AF58" i="306"/>
  <c r="AF86" i="306"/>
  <c r="AF73" i="306"/>
  <c r="AF74" i="306"/>
  <c r="AF87" i="306"/>
  <c r="AF89" i="306"/>
  <c r="AG16" i="306"/>
  <c r="AG17" i="306"/>
  <c r="AG62" i="306"/>
  <c r="AG63" i="306"/>
  <c r="AG81" i="306"/>
  <c r="AG35" i="306"/>
  <c r="AG36" i="306"/>
  <c r="AG82" i="306"/>
  <c r="AG45" i="306"/>
  <c r="AG46" i="306"/>
  <c r="AG84" i="306"/>
  <c r="AG51" i="306"/>
  <c r="AG52" i="306"/>
  <c r="AG53" i="306"/>
  <c r="AG85" i="306"/>
  <c r="AG88" i="306"/>
  <c r="AG79" i="306"/>
  <c r="AG22" i="306"/>
  <c r="AG23" i="306"/>
  <c r="AG80" i="306"/>
  <c r="AG40" i="306"/>
  <c r="AG41" i="306"/>
  <c r="AG83" i="306"/>
  <c r="AG57" i="306"/>
  <c r="AG58" i="306"/>
  <c r="AG86" i="306"/>
  <c r="AG73" i="306"/>
  <c r="AG74" i="306"/>
  <c r="AG87" i="306"/>
  <c r="AG89" i="306"/>
  <c r="AH16" i="306"/>
  <c r="AH17" i="306"/>
  <c r="AH62" i="306"/>
  <c r="AH63" i="306"/>
  <c r="AH81" i="306"/>
  <c r="AH35" i="306"/>
  <c r="AH36" i="306"/>
  <c r="AH82" i="306"/>
  <c r="AH45" i="306"/>
  <c r="AH46" i="306"/>
  <c r="AH84" i="306"/>
  <c r="AH51" i="306"/>
  <c r="AH52" i="306"/>
  <c r="AH53" i="306"/>
  <c r="AH85" i="306"/>
  <c r="AH88" i="306"/>
  <c r="AH79" i="306"/>
  <c r="AH22" i="306"/>
  <c r="AH23" i="306"/>
  <c r="AH80" i="306"/>
  <c r="AH40" i="306"/>
  <c r="AH41" i="306"/>
  <c r="AH83" i="306"/>
  <c r="AH57" i="306"/>
  <c r="AH58" i="306"/>
  <c r="AH86" i="306"/>
  <c r="AH73" i="306"/>
  <c r="AH74" i="306"/>
  <c r="AH87" i="306"/>
  <c r="AH89" i="306"/>
  <c r="AI16" i="306"/>
  <c r="AI17" i="306"/>
  <c r="AI62" i="306"/>
  <c r="AI63" i="306"/>
  <c r="AI81" i="306"/>
  <c r="AI35" i="306"/>
  <c r="AI36" i="306"/>
  <c r="AI82" i="306"/>
  <c r="AI45" i="306"/>
  <c r="AI46" i="306"/>
  <c r="AI84" i="306"/>
  <c r="AI51" i="306"/>
  <c r="AI52" i="306"/>
  <c r="AI53" i="306"/>
  <c r="AI85" i="306"/>
  <c r="AI88" i="306"/>
  <c r="AI79" i="306"/>
  <c r="AI22" i="306"/>
  <c r="AI23" i="306"/>
  <c r="AI80" i="306"/>
  <c r="AI40" i="306"/>
  <c r="AI41" i="306"/>
  <c r="AI83" i="306"/>
  <c r="AI57" i="306"/>
  <c r="AI58" i="306"/>
  <c r="AI86" i="306"/>
  <c r="AI73" i="306"/>
  <c r="AI74" i="306"/>
  <c r="AI87" i="306"/>
  <c r="AI89" i="306"/>
  <c r="AJ16" i="306"/>
  <c r="AJ17" i="306"/>
  <c r="AJ62" i="306"/>
  <c r="AJ63" i="306"/>
  <c r="AJ81" i="306"/>
  <c r="AJ35" i="306"/>
  <c r="AJ36" i="306"/>
  <c r="AJ82" i="306"/>
  <c r="AJ45" i="306"/>
  <c r="AJ46" i="306"/>
  <c r="AJ84" i="306"/>
  <c r="AJ51" i="306"/>
  <c r="AJ52" i="306"/>
  <c r="AJ53" i="306"/>
  <c r="AJ85" i="306"/>
  <c r="AJ88" i="306"/>
  <c r="AJ79" i="306"/>
  <c r="AJ22" i="306"/>
  <c r="AJ23" i="306"/>
  <c r="AJ80" i="306"/>
  <c r="AJ40" i="306"/>
  <c r="AJ41" i="306"/>
  <c r="AJ83" i="306"/>
  <c r="AJ57" i="306"/>
  <c r="AJ58" i="306"/>
  <c r="AJ86" i="306"/>
  <c r="AJ73" i="306"/>
  <c r="AJ74" i="306"/>
  <c r="AJ87" i="306"/>
  <c r="AJ89" i="306"/>
  <c r="AK16" i="306"/>
  <c r="AK17" i="306"/>
  <c r="AK62" i="306"/>
  <c r="AK63" i="306"/>
  <c r="AK81" i="306"/>
  <c r="AK35" i="306"/>
  <c r="AK36" i="306"/>
  <c r="AK82" i="306"/>
  <c r="AK45" i="306"/>
  <c r="AK46" i="306"/>
  <c r="AK84" i="306"/>
  <c r="AK51" i="306"/>
  <c r="AK52" i="306"/>
  <c r="AK53" i="306"/>
  <c r="AK85" i="306"/>
  <c r="AK88" i="306"/>
  <c r="AK79" i="306"/>
  <c r="AK22" i="306"/>
  <c r="AK23" i="306"/>
  <c r="AK80" i="306"/>
  <c r="AK40" i="306"/>
  <c r="AK41" i="306"/>
  <c r="AK83" i="306"/>
  <c r="AK57" i="306"/>
  <c r="AK58" i="306"/>
  <c r="AK86" i="306"/>
  <c r="AK73" i="306"/>
  <c r="AK74" i="306"/>
  <c r="AK87" i="306"/>
  <c r="AK89" i="306"/>
  <c r="AL16" i="306"/>
  <c r="AL17" i="306"/>
  <c r="AL62" i="306"/>
  <c r="AL63" i="306"/>
  <c r="AL81" i="306"/>
  <c r="AL35" i="306"/>
  <c r="AL36" i="306"/>
  <c r="AL82" i="306"/>
  <c r="AL45" i="306"/>
  <c r="AL46" i="306"/>
  <c r="AL84" i="306"/>
  <c r="AL51" i="306"/>
  <c r="AL52" i="306"/>
  <c r="AL53" i="306"/>
  <c r="AL85" i="306"/>
  <c r="AL88" i="306"/>
  <c r="AL79" i="306"/>
  <c r="AL22" i="306"/>
  <c r="AL23" i="306"/>
  <c r="AL80" i="306"/>
  <c r="AL40" i="306"/>
  <c r="AL41" i="306"/>
  <c r="AL83" i="306"/>
  <c r="AL57" i="306"/>
  <c r="AL58" i="306"/>
  <c r="AL86" i="306"/>
  <c r="AL73" i="306"/>
  <c r="AL74" i="306"/>
  <c r="AL87" i="306"/>
  <c r="AL89" i="306"/>
  <c r="AM16" i="306"/>
  <c r="AM17" i="306"/>
  <c r="AM62" i="306"/>
  <c r="AM63" i="306"/>
  <c r="AM81" i="306"/>
  <c r="AM35" i="306"/>
  <c r="AM36" i="306"/>
  <c r="AM82" i="306"/>
  <c r="AM45" i="306"/>
  <c r="AM46" i="306"/>
  <c r="AM84" i="306"/>
  <c r="AM51" i="306"/>
  <c r="AM52" i="306"/>
  <c r="AM53" i="306"/>
  <c r="AM85" i="306"/>
  <c r="AM88" i="306"/>
  <c r="AM79" i="306"/>
  <c r="AM22" i="306"/>
  <c r="AM23" i="306"/>
  <c r="AM80" i="306"/>
  <c r="AM40" i="306"/>
  <c r="AM41" i="306"/>
  <c r="AM83" i="306"/>
  <c r="AM57" i="306"/>
  <c r="AM58" i="306"/>
  <c r="AM86" i="306"/>
  <c r="AM73" i="306"/>
  <c r="AM74" i="306"/>
  <c r="AM87" i="306"/>
  <c r="AM89" i="306"/>
  <c r="AN16" i="306"/>
  <c r="AN17" i="306"/>
  <c r="AN62" i="306"/>
  <c r="AN63" i="306"/>
  <c r="AN81" i="306"/>
  <c r="AN35" i="306"/>
  <c r="AN36" i="306"/>
  <c r="AN82" i="306"/>
  <c r="AN45" i="306"/>
  <c r="AN46" i="306"/>
  <c r="AN84" i="306"/>
  <c r="AN51" i="306"/>
  <c r="AN52" i="306"/>
  <c r="AN53" i="306"/>
  <c r="AN85" i="306"/>
  <c r="AN88" i="306"/>
  <c r="AN79" i="306"/>
  <c r="AN22" i="306"/>
  <c r="AN23" i="306"/>
  <c r="AN80" i="306"/>
  <c r="AN40" i="306"/>
  <c r="AN41" i="306"/>
  <c r="AN83" i="306"/>
  <c r="AN57" i="306"/>
  <c r="AN58" i="306"/>
  <c r="AN86" i="306"/>
  <c r="AN73" i="306"/>
  <c r="AN74" i="306"/>
  <c r="AN87" i="306"/>
  <c r="AN89" i="306"/>
  <c r="AO16" i="306"/>
  <c r="AO17" i="306"/>
  <c r="AO62" i="306"/>
  <c r="AO63" i="306"/>
  <c r="AO81" i="306"/>
  <c r="AO35" i="306"/>
  <c r="AO36" i="306"/>
  <c r="AO82" i="306"/>
  <c r="AO45" i="306"/>
  <c r="AO46" i="306"/>
  <c r="AO84" i="306"/>
  <c r="AO51" i="306"/>
  <c r="AO52" i="306"/>
  <c r="AO53" i="306"/>
  <c r="AO85" i="306"/>
  <c r="AO88" i="306"/>
  <c r="AO79" i="306"/>
  <c r="AO22" i="306"/>
  <c r="AO23" i="306"/>
  <c r="AO80" i="306"/>
  <c r="AO40" i="306"/>
  <c r="AO41" i="306"/>
  <c r="AO83" i="306"/>
  <c r="AO57" i="306"/>
  <c r="AO58" i="306"/>
  <c r="AO86" i="306"/>
  <c r="AO73" i="306"/>
  <c r="AO74" i="306"/>
  <c r="AO87" i="306"/>
  <c r="AO89" i="306"/>
  <c r="AP16" i="306"/>
  <c r="AP17" i="306"/>
  <c r="AP62" i="306"/>
  <c r="AP63" i="306"/>
  <c r="AP81" i="306"/>
  <c r="AP35" i="306"/>
  <c r="AP36" i="306"/>
  <c r="AP82" i="306"/>
  <c r="AP45" i="306"/>
  <c r="AP46" i="306"/>
  <c r="AP84" i="306"/>
  <c r="AP51" i="306"/>
  <c r="AP52" i="306"/>
  <c r="AP53" i="306"/>
  <c r="AP85" i="306"/>
  <c r="AP88" i="306"/>
  <c r="AP79" i="306"/>
  <c r="AP22" i="306"/>
  <c r="AP23" i="306"/>
  <c r="AP80" i="306"/>
  <c r="AP40" i="306"/>
  <c r="AP41" i="306"/>
  <c r="AP83" i="306"/>
  <c r="AP57" i="306"/>
  <c r="AP58" i="306"/>
  <c r="AP86" i="306"/>
  <c r="AP73" i="306"/>
  <c r="AP74" i="306"/>
  <c r="AP87" i="306"/>
  <c r="AP89" i="306"/>
  <c r="AQ16" i="306"/>
  <c r="AQ17" i="306"/>
  <c r="AQ62" i="306"/>
  <c r="AQ63" i="306"/>
  <c r="AQ81" i="306"/>
  <c r="AQ35" i="306"/>
  <c r="AQ36" i="306"/>
  <c r="AQ82" i="306"/>
  <c r="AQ45" i="306"/>
  <c r="AQ46" i="306"/>
  <c r="AQ84" i="306"/>
  <c r="AQ51" i="306"/>
  <c r="AQ52" i="306"/>
  <c r="AQ53" i="306"/>
  <c r="AQ85" i="306"/>
  <c r="AQ88" i="306"/>
  <c r="AQ79" i="306"/>
  <c r="AQ22" i="306"/>
  <c r="AQ23" i="306"/>
  <c r="AQ80" i="306"/>
  <c r="AQ40" i="306"/>
  <c r="AQ41" i="306"/>
  <c r="AQ83" i="306"/>
  <c r="AQ57" i="306"/>
  <c r="AQ58" i="306"/>
  <c r="AQ86" i="306"/>
  <c r="AQ73" i="306"/>
  <c r="AQ74" i="306"/>
  <c r="AQ87" i="306"/>
  <c r="AQ89" i="306"/>
  <c r="AR16" i="306"/>
  <c r="AR17" i="306"/>
  <c r="AR62" i="306"/>
  <c r="AR63" i="306"/>
  <c r="AR81" i="306"/>
  <c r="AR35" i="306"/>
  <c r="AR36" i="306"/>
  <c r="AR82" i="306"/>
  <c r="AR45" i="306"/>
  <c r="AR46" i="306"/>
  <c r="AR84" i="306"/>
  <c r="AR51" i="306"/>
  <c r="AR52" i="306"/>
  <c r="AR53" i="306"/>
  <c r="AR85" i="306"/>
  <c r="AR88" i="306"/>
  <c r="AR79" i="306"/>
  <c r="AR22" i="306"/>
  <c r="AR23" i="306"/>
  <c r="AR80" i="306"/>
  <c r="AR40" i="306"/>
  <c r="AR41" i="306"/>
  <c r="AR83" i="306"/>
  <c r="AR57" i="306"/>
  <c r="AR58" i="306"/>
  <c r="AR86" i="306"/>
  <c r="AR73" i="306"/>
  <c r="AR74" i="306"/>
  <c r="AR87" i="306"/>
  <c r="AR89" i="306"/>
  <c r="AS16" i="306"/>
  <c r="AS17" i="306"/>
  <c r="AS62" i="306"/>
  <c r="AS63" i="306"/>
  <c r="AS81" i="306"/>
  <c r="AS35" i="306"/>
  <c r="AS36" i="306"/>
  <c r="AS82" i="306"/>
  <c r="AS45" i="306"/>
  <c r="AS46" i="306"/>
  <c r="AS84" i="306"/>
  <c r="AS51" i="306"/>
  <c r="AS52" i="306"/>
  <c r="AS53" i="306"/>
  <c r="AS85" i="306"/>
  <c r="AS88" i="306"/>
  <c r="AS79" i="306"/>
  <c r="AS22" i="306"/>
  <c r="AS23" i="306"/>
  <c r="AS80" i="306"/>
  <c r="AS40" i="306"/>
  <c r="AS41" i="306"/>
  <c r="AS83" i="306"/>
  <c r="AS57" i="306"/>
  <c r="AS58" i="306"/>
  <c r="AS86" i="306"/>
  <c r="AS73" i="306"/>
  <c r="AS74" i="306"/>
  <c r="AS87" i="306"/>
  <c r="AS89" i="306"/>
  <c r="AT16" i="306"/>
  <c r="AT17" i="306"/>
  <c r="AT62" i="306"/>
  <c r="AT63" i="306"/>
  <c r="AT81" i="306"/>
  <c r="AT35" i="306"/>
  <c r="AT36" i="306"/>
  <c r="AT82" i="306"/>
  <c r="AT45" i="306"/>
  <c r="AT46" i="306"/>
  <c r="AT84" i="306"/>
  <c r="AT51" i="306"/>
  <c r="AT52" i="306"/>
  <c r="AT53" i="306"/>
  <c r="AT85" i="306"/>
  <c r="AT88" i="306"/>
  <c r="AT79" i="306"/>
  <c r="AT22" i="306"/>
  <c r="AT23" i="306"/>
  <c r="AT80" i="306"/>
  <c r="AT40" i="306"/>
  <c r="AT41" i="306"/>
  <c r="AT83" i="306"/>
  <c r="AT57" i="306"/>
  <c r="AT58" i="306"/>
  <c r="AT86" i="306"/>
  <c r="AT73" i="306"/>
  <c r="AT74" i="306"/>
  <c r="AT87" i="306"/>
  <c r="AT89" i="306"/>
  <c r="AU16" i="306"/>
  <c r="AU17" i="306"/>
  <c r="AU62" i="306"/>
  <c r="AU63" i="306"/>
  <c r="AU81" i="306"/>
  <c r="AU35" i="306"/>
  <c r="AU36" i="306"/>
  <c r="AU82" i="306"/>
  <c r="AU45" i="306"/>
  <c r="AU46" i="306"/>
  <c r="AU84" i="306"/>
  <c r="AU51" i="306"/>
  <c r="AU52" i="306"/>
  <c r="AU53" i="306"/>
  <c r="AU85" i="306"/>
  <c r="AU88" i="306"/>
  <c r="AU79" i="306"/>
  <c r="AU22" i="306"/>
  <c r="AU23" i="306"/>
  <c r="AU80" i="306"/>
  <c r="AU40" i="306"/>
  <c r="AU41" i="306"/>
  <c r="AU83" i="306"/>
  <c r="AU57" i="306"/>
  <c r="AU58" i="306"/>
  <c r="AU86" i="306"/>
  <c r="AU73" i="306"/>
  <c r="AU74" i="306"/>
  <c r="AU87" i="306"/>
  <c r="AU89" i="306"/>
  <c r="AV16" i="306"/>
  <c r="AV17" i="306"/>
  <c r="AV62" i="306"/>
  <c r="AV63" i="306"/>
  <c r="AV81" i="306"/>
  <c r="AV35" i="306"/>
  <c r="AV36" i="306"/>
  <c r="AV82" i="306"/>
  <c r="AV45" i="306"/>
  <c r="AV46" i="306"/>
  <c r="AV84" i="306"/>
  <c r="AV51" i="306"/>
  <c r="AV52" i="306"/>
  <c r="AV53" i="306"/>
  <c r="AV85" i="306"/>
  <c r="AV88" i="306"/>
  <c r="AV79" i="306"/>
  <c r="AV22" i="306"/>
  <c r="AV23" i="306"/>
  <c r="AV80" i="306"/>
  <c r="AV40" i="306"/>
  <c r="AV41" i="306"/>
  <c r="AV83" i="306"/>
  <c r="AV57" i="306"/>
  <c r="AV58" i="306"/>
  <c r="AV86" i="306"/>
  <c r="AV73" i="306"/>
  <c r="AV74" i="306"/>
  <c r="AV87" i="306"/>
  <c r="AV89" i="306"/>
  <c r="AW16" i="306"/>
  <c r="AW17" i="306"/>
  <c r="AW62" i="306"/>
  <c r="AW63" i="306"/>
  <c r="AW81" i="306"/>
  <c r="AW35" i="306"/>
  <c r="AW36" i="306"/>
  <c r="AW82" i="306"/>
  <c r="AW45" i="306"/>
  <c r="AW46" i="306"/>
  <c r="AW84" i="306"/>
  <c r="AW51" i="306"/>
  <c r="AW52" i="306"/>
  <c r="AW53" i="306"/>
  <c r="AW85" i="306"/>
  <c r="AW88" i="306"/>
  <c r="AW79" i="306"/>
  <c r="AW22" i="306"/>
  <c r="AW23" i="306"/>
  <c r="AW80" i="306"/>
  <c r="AW40" i="306"/>
  <c r="AW41" i="306"/>
  <c r="AW83" i="306"/>
  <c r="AW57" i="306"/>
  <c r="AW58" i="306"/>
  <c r="AW86" i="306"/>
  <c r="AW73" i="306"/>
  <c r="AW74" i="306"/>
  <c r="AW87" i="306"/>
  <c r="AW89" i="306"/>
  <c r="AX16" i="306"/>
  <c r="AX17" i="306"/>
  <c r="AX62" i="306"/>
  <c r="AX63" i="306"/>
  <c r="AX81" i="306"/>
  <c r="AX35" i="306"/>
  <c r="AX36" i="306"/>
  <c r="AX82" i="306"/>
  <c r="AX45" i="306"/>
  <c r="AX46" i="306"/>
  <c r="AX84" i="306"/>
  <c r="AX51" i="306"/>
  <c r="AX52" i="306"/>
  <c r="AX53" i="306"/>
  <c r="AX85" i="306"/>
  <c r="AX88" i="306"/>
  <c r="AX79" i="306"/>
  <c r="AX22" i="306"/>
  <c r="AX23" i="306"/>
  <c r="AX80" i="306"/>
  <c r="AX40" i="306"/>
  <c r="AX41" i="306"/>
  <c r="AX83" i="306"/>
  <c r="AX57" i="306"/>
  <c r="AX58" i="306"/>
  <c r="AX86" i="306"/>
  <c r="AX73" i="306"/>
  <c r="AX74" i="306"/>
  <c r="AX87" i="306"/>
  <c r="AX89" i="306"/>
  <c r="AY16" i="306"/>
  <c r="AY17" i="306"/>
  <c r="AY62" i="306"/>
  <c r="AY63" i="306"/>
  <c r="AY81" i="306"/>
  <c r="AY35" i="306"/>
  <c r="AY36" i="306"/>
  <c r="AY82" i="306"/>
  <c r="AY45" i="306"/>
  <c r="AY46" i="306"/>
  <c r="AY84" i="306"/>
  <c r="AY51" i="306"/>
  <c r="AY52" i="306"/>
  <c r="AY53" i="306"/>
  <c r="AY85" i="306"/>
  <c r="AY88" i="306"/>
  <c r="AY79" i="306"/>
  <c r="AY22" i="306"/>
  <c r="AY23" i="306"/>
  <c r="AY80" i="306"/>
  <c r="AY40" i="306"/>
  <c r="AY41" i="306"/>
  <c r="AY83" i="306"/>
  <c r="AY57" i="306"/>
  <c r="AY58" i="306"/>
  <c r="AY86" i="306"/>
  <c r="AY73" i="306"/>
  <c r="AY74" i="306"/>
  <c r="AY87" i="306"/>
  <c r="AY89" i="306"/>
  <c r="AZ16" i="306"/>
  <c r="AZ17" i="306"/>
  <c r="AZ62" i="306"/>
  <c r="AZ63" i="306"/>
  <c r="AZ81" i="306"/>
  <c r="AZ35" i="306"/>
  <c r="AZ36" i="306"/>
  <c r="AZ82" i="306"/>
  <c r="AZ45" i="306"/>
  <c r="AZ46" i="306"/>
  <c r="AZ84" i="306"/>
  <c r="AZ51" i="306"/>
  <c r="AZ52" i="306"/>
  <c r="AZ53" i="306"/>
  <c r="AZ85" i="306"/>
  <c r="AZ88" i="306"/>
  <c r="AZ79" i="306"/>
  <c r="AZ22" i="306"/>
  <c r="AZ23" i="306"/>
  <c r="AZ80" i="306"/>
  <c r="AZ40" i="306"/>
  <c r="AZ41" i="306"/>
  <c r="AZ83" i="306"/>
  <c r="AZ57" i="306"/>
  <c r="AZ58" i="306"/>
  <c r="AZ86" i="306"/>
  <c r="AZ73" i="306"/>
  <c r="AZ74" i="306"/>
  <c r="AZ87" i="306"/>
  <c r="AZ89" i="306"/>
  <c r="BA16" i="306"/>
  <c r="BA17" i="306"/>
  <c r="BA62" i="306"/>
  <c r="BA63" i="306"/>
  <c r="BA81" i="306"/>
  <c r="BA35" i="306"/>
  <c r="BA36" i="306"/>
  <c r="BA82" i="306"/>
  <c r="BA45" i="306"/>
  <c r="BA46" i="306"/>
  <c r="BA84" i="306"/>
  <c r="BA51" i="306"/>
  <c r="BA52" i="306"/>
  <c r="BA53" i="306"/>
  <c r="BA85" i="306"/>
  <c r="BA88" i="306"/>
  <c r="BA79" i="306"/>
  <c r="BA22" i="306"/>
  <c r="BA23" i="306"/>
  <c r="BA80" i="306"/>
  <c r="BA40" i="306"/>
  <c r="BA41" i="306"/>
  <c r="BA83" i="306"/>
  <c r="BA57" i="306"/>
  <c r="BA58" i="306"/>
  <c r="BA86" i="306"/>
  <c r="BA73" i="306"/>
  <c r="BA74" i="306"/>
  <c r="BA87" i="306"/>
  <c r="BA89" i="306"/>
  <c r="BB16" i="306"/>
  <c r="BB17" i="306"/>
  <c r="BB62" i="306"/>
  <c r="BB63" i="306"/>
  <c r="BB81" i="306"/>
  <c r="BB35" i="306"/>
  <c r="BB36" i="306"/>
  <c r="BB82" i="306"/>
  <c r="BB45" i="306"/>
  <c r="BB46" i="306"/>
  <c r="BB84" i="306"/>
  <c r="BB51" i="306"/>
  <c r="BB52" i="306"/>
  <c r="BB53" i="306"/>
  <c r="BB85" i="306"/>
  <c r="BB88" i="306"/>
  <c r="BB79" i="306"/>
  <c r="BB22" i="306"/>
  <c r="BB23" i="306"/>
  <c r="BB80" i="306"/>
  <c r="BB40" i="306"/>
  <c r="BB41" i="306"/>
  <c r="BB83" i="306"/>
  <c r="BB57" i="306"/>
  <c r="BB58" i="306"/>
  <c r="BB86" i="306"/>
  <c r="BB73" i="306"/>
  <c r="BB74" i="306"/>
  <c r="BB87" i="306"/>
  <c r="BB89" i="306"/>
  <c r="BC16" i="306"/>
  <c r="BC17" i="306"/>
  <c r="BC62" i="306"/>
  <c r="BC63" i="306"/>
  <c r="BC81" i="306"/>
  <c r="BC35" i="306"/>
  <c r="BC36" i="306"/>
  <c r="BC82" i="306"/>
  <c r="BC45" i="306"/>
  <c r="BC46" i="306"/>
  <c r="BC84" i="306"/>
  <c r="BC51" i="306"/>
  <c r="BC52" i="306"/>
  <c r="BC53" i="306"/>
  <c r="BC85" i="306"/>
  <c r="BC88" i="306"/>
  <c r="BC79" i="306"/>
  <c r="BC22" i="306"/>
  <c r="BC23" i="306"/>
  <c r="BC80" i="306"/>
  <c r="BC40" i="306"/>
  <c r="BC41" i="306"/>
  <c r="BC83" i="306"/>
  <c r="BC57" i="306"/>
  <c r="BC58" i="306"/>
  <c r="BC86" i="306"/>
  <c r="BC73" i="306"/>
  <c r="BC74" i="306"/>
  <c r="BC87" i="306"/>
  <c r="BC89" i="306"/>
  <c r="BD16" i="306"/>
  <c r="BD17" i="306"/>
  <c r="BD62" i="306"/>
  <c r="BD63" i="306"/>
  <c r="BD81" i="306"/>
  <c r="BD35" i="306"/>
  <c r="BD36" i="306"/>
  <c r="BD82" i="306"/>
  <c r="BD45" i="306"/>
  <c r="BD46" i="306"/>
  <c r="BD84" i="306"/>
  <c r="BD51" i="306"/>
  <c r="BD52" i="306"/>
  <c r="BD53" i="306"/>
  <c r="BD85" i="306"/>
  <c r="BD88" i="306"/>
  <c r="BD79" i="306"/>
  <c r="BD22" i="306"/>
  <c r="BD23" i="306"/>
  <c r="BD80" i="306"/>
  <c r="BD40" i="306"/>
  <c r="BD41" i="306"/>
  <c r="BD83" i="306"/>
  <c r="BD57" i="306"/>
  <c r="BD58" i="306"/>
  <c r="BD86" i="306"/>
  <c r="BD73" i="306"/>
  <c r="BD74" i="306"/>
  <c r="BD87" i="306"/>
  <c r="BD89" i="306"/>
  <c r="BE16" i="306"/>
  <c r="BE17" i="306"/>
  <c r="BE62" i="306"/>
  <c r="BE63" i="306"/>
  <c r="BE81" i="306"/>
  <c r="BE35" i="306"/>
  <c r="BE36" i="306"/>
  <c r="BE82" i="306"/>
  <c r="BE45" i="306"/>
  <c r="BE46" i="306"/>
  <c r="BE84" i="306"/>
  <c r="BE51" i="306"/>
  <c r="BE76" i="305"/>
  <c r="BE77" i="305"/>
  <c r="BE52" i="306"/>
  <c r="BE53" i="306"/>
  <c r="BE85" i="306"/>
  <c r="BE88" i="306"/>
  <c r="BE79" i="306"/>
  <c r="BE22" i="306"/>
  <c r="BE23" i="306"/>
  <c r="BE80" i="306"/>
  <c r="BE40" i="306"/>
  <c r="BE41" i="306"/>
  <c r="BE83" i="306"/>
  <c r="BE57" i="306"/>
  <c r="BE58" i="306"/>
  <c r="BE86" i="306"/>
  <c r="BE73" i="306"/>
  <c r="BE74" i="306"/>
  <c r="BE87" i="306"/>
  <c r="BE89" i="306"/>
  <c r="F90" i="306"/>
  <c r="F9" i="285"/>
  <c r="J225" i="306"/>
  <c r="J227" i="306"/>
  <c r="J226" i="306"/>
  <c r="J228" i="306"/>
  <c r="K225" i="306"/>
  <c r="K227" i="306"/>
  <c r="K226" i="306"/>
  <c r="K228" i="306"/>
  <c r="L225" i="306"/>
  <c r="L227" i="306"/>
  <c r="L226" i="306"/>
  <c r="L228" i="306"/>
  <c r="M225" i="306"/>
  <c r="M227" i="306"/>
  <c r="M226" i="306"/>
  <c r="M228" i="306"/>
  <c r="N225" i="306"/>
  <c r="N227" i="306"/>
  <c r="N226" i="306"/>
  <c r="N228" i="306"/>
  <c r="O225" i="306"/>
  <c r="O227" i="306"/>
  <c r="O226" i="306"/>
  <c r="O228" i="306"/>
  <c r="P225" i="306"/>
  <c r="P227" i="306"/>
  <c r="P226" i="306"/>
  <c r="P228" i="306"/>
  <c r="Q225" i="306"/>
  <c r="Q227" i="306"/>
  <c r="Q226" i="306"/>
  <c r="Q228" i="306"/>
  <c r="R225" i="306"/>
  <c r="R227" i="306"/>
  <c r="R226" i="306"/>
  <c r="R228" i="306"/>
  <c r="S225" i="306"/>
  <c r="S227" i="306"/>
  <c r="S226" i="306"/>
  <c r="S228" i="306"/>
  <c r="T225" i="306"/>
  <c r="T227" i="306"/>
  <c r="T226" i="306"/>
  <c r="T228" i="306"/>
  <c r="U225" i="306"/>
  <c r="U227" i="306"/>
  <c r="U226" i="306"/>
  <c r="U228" i="306"/>
  <c r="V225" i="306"/>
  <c r="V227" i="306"/>
  <c r="V226" i="306"/>
  <c r="V228" i="306"/>
  <c r="W225" i="306"/>
  <c r="W227" i="306"/>
  <c r="W226" i="306"/>
  <c r="W228" i="306"/>
  <c r="X225" i="306"/>
  <c r="X227" i="306"/>
  <c r="X226" i="306"/>
  <c r="X228" i="306"/>
  <c r="Y225" i="306"/>
  <c r="Y227" i="306"/>
  <c r="Y226" i="306"/>
  <c r="Y228" i="306"/>
  <c r="Z225" i="306"/>
  <c r="Z227" i="306"/>
  <c r="Z226" i="306"/>
  <c r="Z228" i="306"/>
  <c r="AA225" i="306"/>
  <c r="AA227" i="306"/>
  <c r="AA226" i="306"/>
  <c r="AA228" i="306"/>
  <c r="AB225" i="306"/>
  <c r="AB227" i="306"/>
  <c r="AB226" i="306"/>
  <c r="AB228" i="306"/>
  <c r="AC225" i="306"/>
  <c r="AC227" i="306"/>
  <c r="AC226" i="306"/>
  <c r="AC228" i="306"/>
  <c r="AD225" i="306"/>
  <c r="AD227" i="306"/>
  <c r="AD226" i="306"/>
  <c r="AD228" i="306"/>
  <c r="AE225" i="306"/>
  <c r="AE227" i="306"/>
  <c r="AE226" i="306"/>
  <c r="AE228" i="306"/>
  <c r="AF225" i="306"/>
  <c r="AF227" i="306"/>
  <c r="AF226" i="306"/>
  <c r="AF228" i="306"/>
  <c r="AG225" i="306"/>
  <c r="AG227" i="306"/>
  <c r="AG226" i="306"/>
  <c r="AG228" i="306"/>
  <c r="AH225" i="306"/>
  <c r="AH227" i="306"/>
  <c r="AH226" i="306"/>
  <c r="AH228" i="306"/>
  <c r="AI225" i="306"/>
  <c r="AI227" i="306"/>
  <c r="AI226" i="306"/>
  <c r="AI228" i="306"/>
  <c r="AJ225" i="306"/>
  <c r="AJ227" i="306"/>
  <c r="AJ226" i="306"/>
  <c r="AJ228" i="306"/>
  <c r="AK225" i="306"/>
  <c r="AK227" i="306"/>
  <c r="AK226" i="306"/>
  <c r="AK228" i="306"/>
  <c r="AL225" i="306"/>
  <c r="AL227" i="306"/>
  <c r="AL226" i="306"/>
  <c r="AL228" i="306"/>
  <c r="AM225" i="306"/>
  <c r="AM227" i="306"/>
  <c r="AM226" i="306"/>
  <c r="AM228" i="306"/>
  <c r="AN225" i="306"/>
  <c r="AN227" i="306"/>
  <c r="AN226" i="306"/>
  <c r="AN228" i="306"/>
  <c r="AO225" i="306"/>
  <c r="AO227" i="306"/>
  <c r="AO226" i="306"/>
  <c r="AO228" i="306"/>
  <c r="AP225" i="306"/>
  <c r="AP227" i="306"/>
  <c r="AP226" i="306"/>
  <c r="AP228" i="306"/>
  <c r="AQ225" i="306"/>
  <c r="AQ227" i="306"/>
  <c r="AQ226" i="306"/>
  <c r="AQ228" i="306"/>
  <c r="AR225" i="306"/>
  <c r="AR227" i="306"/>
  <c r="AR226" i="306"/>
  <c r="AR228" i="306"/>
  <c r="AS225" i="306"/>
  <c r="AS227" i="306"/>
  <c r="AS226" i="306"/>
  <c r="AS228" i="306"/>
  <c r="AT225" i="306"/>
  <c r="AT227" i="306"/>
  <c r="AT226" i="306"/>
  <c r="AT228" i="306"/>
  <c r="AU225" i="306"/>
  <c r="AU227" i="306"/>
  <c r="AU226" i="306"/>
  <c r="AU228" i="306"/>
  <c r="AV225" i="306"/>
  <c r="AV227" i="306"/>
  <c r="AV226" i="306"/>
  <c r="AV228" i="306"/>
  <c r="AW225" i="306"/>
  <c r="AW227" i="306"/>
  <c r="AW226" i="306"/>
  <c r="AW228" i="306"/>
  <c r="AX225" i="306"/>
  <c r="AX227" i="306"/>
  <c r="AX226" i="306"/>
  <c r="AX228" i="306"/>
  <c r="AY225" i="306"/>
  <c r="AY227" i="306"/>
  <c r="AY226" i="306"/>
  <c r="AY228" i="306"/>
  <c r="AZ225" i="306"/>
  <c r="AZ227" i="306"/>
  <c r="AZ226" i="306"/>
  <c r="AZ228" i="306"/>
  <c r="BA225" i="306"/>
  <c r="BA227" i="306"/>
  <c r="BA226" i="306"/>
  <c r="BA228" i="306"/>
  <c r="BB225" i="306"/>
  <c r="BB227" i="306"/>
  <c r="BB226" i="306"/>
  <c r="BB228" i="306"/>
  <c r="BC225" i="306"/>
  <c r="BC227" i="306"/>
  <c r="BC226" i="306"/>
  <c r="BC228" i="306"/>
  <c r="BD225" i="306"/>
  <c r="BD227" i="306"/>
  <c r="BD226" i="306"/>
  <c r="BD228" i="306"/>
  <c r="BE85" i="305"/>
  <c r="BE86" i="305"/>
  <c r="BE140" i="306"/>
  <c r="BE141" i="306"/>
  <c r="BE147" i="306"/>
  <c r="BE148" i="306"/>
  <c r="BE149" i="306"/>
  <c r="BE225" i="306"/>
  <c r="BE227" i="306"/>
  <c r="BE192" i="306"/>
  <c r="BE193" i="306"/>
  <c r="BE194" i="306"/>
  <c r="BE226" i="306"/>
  <c r="BE228" i="306"/>
  <c r="F229" i="306"/>
  <c r="F10" i="285"/>
  <c r="F11" i="285"/>
  <c r="F15" i="282" s="1"/>
  <c r="F13" i="285"/>
  <c r="F394" i="48"/>
  <c r="F14" i="285"/>
  <c r="F15" i="285"/>
  <c r="J122" i="273"/>
  <c r="I123" i="273"/>
  <c r="J124" i="273"/>
  <c r="J16" i="285"/>
  <c r="J17" i="285"/>
  <c r="J18" i="285"/>
  <c r="J13" i="265" s="1"/>
  <c r="F176" i="48"/>
  <c r="F356" i="307"/>
  <c r="F357" i="307"/>
  <c r="F196" i="48"/>
  <c r="J359" i="307"/>
  <c r="J360" i="307" s="1"/>
  <c r="J370" i="307" s="1"/>
  <c r="F185" i="48"/>
  <c r="F363" i="307"/>
  <c r="F364" i="307"/>
  <c r="J366" i="307"/>
  <c r="J367" i="307" s="1"/>
  <c r="J371" i="307" s="1"/>
  <c r="F179" i="48"/>
  <c r="F181" i="48"/>
  <c r="F182" i="48"/>
  <c r="F382" i="307"/>
  <c r="F376" i="307"/>
  <c r="J378" i="307"/>
  <c r="J379" i="307"/>
  <c r="J380" i="307" s="1"/>
  <c r="J384" i="307" s="1"/>
  <c r="J385" i="307" s="1"/>
  <c r="J400" i="307" s="1"/>
  <c r="F383" i="307"/>
  <c r="F188" i="48"/>
  <c r="F190" i="48"/>
  <c r="F191" i="48"/>
  <c r="F394" i="307"/>
  <c r="F388" i="307"/>
  <c r="J335" i="307"/>
  <c r="J390" i="307"/>
  <c r="J391" i="307"/>
  <c r="J392" i="307" s="1"/>
  <c r="J396" i="307" s="1"/>
  <c r="J397" i="307" s="1"/>
  <c r="J401" i="307" s="1"/>
  <c r="F395" i="307"/>
  <c r="F178" i="48"/>
  <c r="F406" i="307"/>
  <c r="F407" i="307"/>
  <c r="F408" i="307"/>
  <c r="F409" i="307"/>
  <c r="F412" i="307"/>
  <c r="F411" i="307"/>
  <c r="J413" i="307"/>
  <c r="J414" i="307"/>
  <c r="J415" i="307"/>
  <c r="J416" i="307"/>
  <c r="J432" i="307"/>
  <c r="F187" i="48"/>
  <c r="F419" i="307"/>
  <c r="F420" i="307"/>
  <c r="F421" i="307"/>
  <c r="F422" i="307"/>
  <c r="F425" i="307"/>
  <c r="F266" i="48"/>
  <c r="F424" i="307"/>
  <c r="J426" i="307"/>
  <c r="J427" i="307"/>
  <c r="J428" i="307"/>
  <c r="J429" i="307"/>
  <c r="J433" i="307"/>
  <c r="J434" i="307"/>
  <c r="J585" i="307"/>
  <c r="F327" i="48"/>
  <c r="F504" i="307"/>
  <c r="F312" i="48"/>
  <c r="F311" i="48"/>
  <c r="F313" i="48"/>
  <c r="F315" i="48"/>
  <c r="F319" i="48"/>
  <c r="J506" i="307"/>
  <c r="J507" i="307" s="1"/>
  <c r="J516" i="307" s="1"/>
  <c r="F335" i="48"/>
  <c r="F510" i="307"/>
  <c r="F320" i="48"/>
  <c r="J512" i="307"/>
  <c r="J513" i="307" s="1"/>
  <c r="J517" i="307" s="1"/>
  <c r="F331" i="48"/>
  <c r="F329" i="48"/>
  <c r="F332" i="48"/>
  <c r="F527" i="307"/>
  <c r="J472" i="307"/>
  <c r="J523" i="307"/>
  <c r="J524" i="307"/>
  <c r="J525" i="307" s="1"/>
  <c r="J529" i="307" s="1"/>
  <c r="J530" i="307" s="1"/>
  <c r="J544" i="307" s="1"/>
  <c r="F528" i="307"/>
  <c r="F339" i="48"/>
  <c r="F337" i="48"/>
  <c r="F340" i="48"/>
  <c r="F538" i="307"/>
  <c r="J492" i="307"/>
  <c r="J534" i="307"/>
  <c r="J535" i="307"/>
  <c r="J536" i="307" s="1"/>
  <c r="J540" i="307" s="1"/>
  <c r="J541" i="307" s="1"/>
  <c r="J545" i="307" s="1"/>
  <c r="F539" i="307"/>
  <c r="F550" i="307"/>
  <c r="J552" i="307"/>
  <c r="F551" i="307"/>
  <c r="J553" i="307"/>
  <c r="J556" i="307"/>
  <c r="F344" i="48"/>
  <c r="F555" i="307"/>
  <c r="J557" i="307"/>
  <c r="J558" i="307"/>
  <c r="J559" i="307"/>
  <c r="J560" i="307"/>
  <c r="J576" i="307"/>
  <c r="F563" i="307"/>
  <c r="J565" i="307"/>
  <c r="F564" i="307"/>
  <c r="J566" i="307"/>
  <c r="J569" i="307"/>
  <c r="F347" i="48"/>
  <c r="F568" i="307"/>
  <c r="J570" i="307"/>
  <c r="J571" i="307"/>
  <c r="J572" i="307"/>
  <c r="J573" i="307"/>
  <c r="J577" i="307"/>
  <c r="J578" i="307"/>
  <c r="J588" i="307"/>
  <c r="J594" i="307"/>
  <c r="F375" i="48"/>
  <c r="J257" i="307"/>
  <c r="J264" i="307"/>
  <c r="F379" i="48"/>
  <c r="F267" i="307"/>
  <c r="F268" i="307"/>
  <c r="J270" i="307"/>
  <c r="J271" i="307" s="1"/>
  <c r="J595" i="307" s="1"/>
  <c r="K359" i="307"/>
  <c r="K360" i="307" s="1"/>
  <c r="K370" i="307" s="1"/>
  <c r="K366" i="307"/>
  <c r="K367" i="307" s="1"/>
  <c r="K371" i="307" s="1"/>
  <c r="K379" i="307"/>
  <c r="F324" i="307"/>
  <c r="J326" i="307"/>
  <c r="F320" i="307"/>
  <c r="J331" i="307"/>
  <c r="K391" i="307"/>
  <c r="K413" i="307"/>
  <c r="K415" i="307"/>
  <c r="K426" i="307"/>
  <c r="K428" i="307"/>
  <c r="K506" i="307"/>
  <c r="K507" i="307" s="1"/>
  <c r="K516" i="307" s="1"/>
  <c r="K512" i="307"/>
  <c r="K513" i="307" s="1"/>
  <c r="K517" i="307" s="1"/>
  <c r="F458" i="307"/>
  <c r="F223" i="306"/>
  <c r="F443" i="307"/>
  <c r="F445" i="307" s="1"/>
  <c r="F440" i="307"/>
  <c r="J460" i="307"/>
  <c r="F463" i="307"/>
  <c r="K524" i="307"/>
  <c r="F478" i="307"/>
  <c r="J480" i="307"/>
  <c r="F483" i="307"/>
  <c r="K535" i="307"/>
  <c r="K552" i="307"/>
  <c r="K553" i="307"/>
  <c r="K556" i="307"/>
  <c r="K557" i="307"/>
  <c r="K559" i="307"/>
  <c r="K565" i="307"/>
  <c r="K566" i="307"/>
  <c r="K569" i="307"/>
  <c r="K570" i="307"/>
  <c r="K572" i="307"/>
  <c r="J244" i="307"/>
  <c r="K270" i="307"/>
  <c r="L359" i="307"/>
  <c r="L360" i="307" s="1"/>
  <c r="L370" i="307" s="1"/>
  <c r="L366" i="307"/>
  <c r="L367" i="307" s="1"/>
  <c r="L371" i="307" s="1"/>
  <c r="L379" i="307"/>
  <c r="K331" i="307"/>
  <c r="L391" i="307"/>
  <c r="L413" i="307"/>
  <c r="L415" i="307"/>
  <c r="L426" i="307"/>
  <c r="L428" i="307"/>
  <c r="L506" i="307"/>
  <c r="L507" i="307" s="1"/>
  <c r="L516" i="307" s="1"/>
  <c r="L512" i="307"/>
  <c r="L513" i="307" s="1"/>
  <c r="L517" i="307" s="1"/>
  <c r="L524" i="307"/>
  <c r="L535" i="307"/>
  <c r="L552" i="307"/>
  <c r="L553" i="307"/>
  <c r="L556" i="307"/>
  <c r="L557" i="307"/>
  <c r="L559" i="307"/>
  <c r="L565" i="307"/>
  <c r="L566" i="307"/>
  <c r="L569" i="307"/>
  <c r="L570" i="307"/>
  <c r="L572" i="307"/>
  <c r="L270" i="307"/>
  <c r="M359" i="307"/>
  <c r="M360" i="307" s="1"/>
  <c r="M370" i="307" s="1"/>
  <c r="M366" i="307"/>
  <c r="M367" i="307" s="1"/>
  <c r="M371" i="307" s="1"/>
  <c r="M379" i="307"/>
  <c r="L331" i="307"/>
  <c r="M391" i="307"/>
  <c r="M413" i="307"/>
  <c r="M415" i="307"/>
  <c r="M426" i="307"/>
  <c r="M428" i="307"/>
  <c r="M506" i="307"/>
  <c r="M507" i="307" s="1"/>
  <c r="M516" i="307" s="1"/>
  <c r="M512" i="307"/>
  <c r="M513" i="307" s="1"/>
  <c r="M517" i="307" s="1"/>
  <c r="M524" i="307"/>
  <c r="M535" i="307"/>
  <c r="M552" i="307"/>
  <c r="M553" i="307"/>
  <c r="M556" i="307"/>
  <c r="M557" i="307"/>
  <c r="M559" i="307"/>
  <c r="M565" i="307"/>
  <c r="M566" i="307"/>
  <c r="M569" i="307"/>
  <c r="M570" i="307"/>
  <c r="M572" i="307"/>
  <c r="M270" i="307"/>
  <c r="N359" i="307"/>
  <c r="N360" i="307" s="1"/>
  <c r="N370" i="307" s="1"/>
  <c r="N366" i="307"/>
  <c r="N367" i="307" s="1"/>
  <c r="N371" i="307" s="1"/>
  <c r="N379" i="307"/>
  <c r="M331" i="307"/>
  <c r="N391" i="307"/>
  <c r="N413" i="307"/>
  <c r="N415" i="307"/>
  <c r="N426" i="307"/>
  <c r="N428" i="307"/>
  <c r="N506" i="307"/>
  <c r="N507" i="307" s="1"/>
  <c r="N516" i="307" s="1"/>
  <c r="N512" i="307"/>
  <c r="N513" i="307" s="1"/>
  <c r="N517" i="307" s="1"/>
  <c r="N524" i="307"/>
  <c r="N535" i="307"/>
  <c r="N552" i="307"/>
  <c r="N553" i="307"/>
  <c r="N556" i="307"/>
  <c r="N557" i="307"/>
  <c r="N559" i="307"/>
  <c r="N565" i="307"/>
  <c r="N566" i="307"/>
  <c r="N569" i="307"/>
  <c r="N570" i="307"/>
  <c r="N572" i="307"/>
  <c r="N270" i="307"/>
  <c r="O359" i="307"/>
  <c r="O360" i="307" s="1"/>
  <c r="O370" i="307" s="1"/>
  <c r="O366" i="307"/>
  <c r="O367" i="307" s="1"/>
  <c r="O371" i="307" s="1"/>
  <c r="O379" i="307"/>
  <c r="N331" i="307"/>
  <c r="O391" i="307"/>
  <c r="O413" i="307"/>
  <c r="O415" i="307"/>
  <c r="O426" i="307"/>
  <c r="O428" i="307"/>
  <c r="O506" i="307"/>
  <c r="O507" i="307" s="1"/>
  <c r="O516" i="307" s="1"/>
  <c r="O512" i="307"/>
  <c r="O513" i="307" s="1"/>
  <c r="O517" i="307" s="1"/>
  <c r="O524" i="307"/>
  <c r="O535" i="307"/>
  <c r="O552" i="307"/>
  <c r="O553" i="307"/>
  <c r="O556" i="307"/>
  <c r="O557" i="307"/>
  <c r="O559" i="307"/>
  <c r="O565" i="307"/>
  <c r="O566" i="307"/>
  <c r="O569" i="307"/>
  <c r="O570" i="307"/>
  <c r="O572" i="307"/>
  <c r="O270" i="307"/>
  <c r="P359" i="307"/>
  <c r="P360" i="307" s="1"/>
  <c r="P370" i="307" s="1"/>
  <c r="P366" i="307"/>
  <c r="P367" i="307" s="1"/>
  <c r="P371" i="307" s="1"/>
  <c r="P379" i="307"/>
  <c r="O331" i="307"/>
  <c r="P391" i="307"/>
  <c r="P413" i="307"/>
  <c r="P415" i="307"/>
  <c r="P426" i="307"/>
  <c r="P428" i="307"/>
  <c r="P506" i="307"/>
  <c r="P507" i="307" s="1"/>
  <c r="P516" i="307" s="1"/>
  <c r="P512" i="307"/>
  <c r="P513" i="307" s="1"/>
  <c r="P517" i="307" s="1"/>
  <c r="P524" i="307"/>
  <c r="P535" i="307"/>
  <c r="P552" i="307"/>
  <c r="P553" i="307"/>
  <c r="P556" i="307"/>
  <c r="P557" i="307"/>
  <c r="P559" i="307"/>
  <c r="P565" i="307"/>
  <c r="P566" i="307"/>
  <c r="P569" i="307"/>
  <c r="P570" i="307"/>
  <c r="P572" i="307"/>
  <c r="P270" i="307"/>
  <c r="Q359" i="307"/>
  <c r="Q360" i="307" s="1"/>
  <c r="Q370" i="307" s="1"/>
  <c r="Q366" i="307"/>
  <c r="Q367" i="307" s="1"/>
  <c r="Q371" i="307" s="1"/>
  <c r="Q379" i="307"/>
  <c r="P331" i="307"/>
  <c r="Q391" i="307"/>
  <c r="Q413" i="307"/>
  <c r="Q415" i="307"/>
  <c r="Q426" i="307"/>
  <c r="Q428" i="307"/>
  <c r="Q506" i="307"/>
  <c r="Q507" i="307" s="1"/>
  <c r="Q516" i="307" s="1"/>
  <c r="Q512" i="307"/>
  <c r="Q513" i="307" s="1"/>
  <c r="Q517" i="307" s="1"/>
  <c r="Q524" i="307"/>
  <c r="Q535" i="307"/>
  <c r="Q552" i="307"/>
  <c r="Q553" i="307"/>
  <c r="Q556" i="307"/>
  <c r="Q557" i="307"/>
  <c r="Q559" i="307"/>
  <c r="Q565" i="307"/>
  <c r="Q566" i="307"/>
  <c r="Q569" i="307"/>
  <c r="Q570" i="307"/>
  <c r="Q572" i="307"/>
  <c r="Q270" i="307"/>
  <c r="R359" i="307"/>
  <c r="R360" i="307" s="1"/>
  <c r="R370" i="307" s="1"/>
  <c r="R366" i="307"/>
  <c r="R367" i="307" s="1"/>
  <c r="R371" i="307" s="1"/>
  <c r="R379" i="307"/>
  <c r="Q331" i="307"/>
  <c r="R391" i="307"/>
  <c r="R413" i="307"/>
  <c r="R415" i="307"/>
  <c r="R426" i="307"/>
  <c r="R428" i="307"/>
  <c r="R506" i="307"/>
  <c r="R507" i="307" s="1"/>
  <c r="R516" i="307" s="1"/>
  <c r="R512" i="307"/>
  <c r="R513" i="307" s="1"/>
  <c r="R517" i="307" s="1"/>
  <c r="R524" i="307"/>
  <c r="R535" i="307"/>
  <c r="R552" i="307"/>
  <c r="R553" i="307"/>
  <c r="R556" i="307"/>
  <c r="R557" i="307"/>
  <c r="R559" i="307"/>
  <c r="R565" i="307"/>
  <c r="R566" i="307"/>
  <c r="R569" i="307"/>
  <c r="R570" i="307"/>
  <c r="R572" i="307"/>
  <c r="R270" i="307"/>
  <c r="S359" i="307"/>
  <c r="S360" i="307" s="1"/>
  <c r="S370" i="307" s="1"/>
  <c r="S366" i="307"/>
  <c r="S367" i="307" s="1"/>
  <c r="S371" i="307" s="1"/>
  <c r="S379" i="307"/>
  <c r="R331" i="307"/>
  <c r="S391" i="307"/>
  <c r="S413" i="307"/>
  <c r="S415" i="307"/>
  <c r="S426" i="307"/>
  <c r="S428" i="307"/>
  <c r="S506" i="307"/>
  <c r="S507" i="307" s="1"/>
  <c r="S516" i="307" s="1"/>
  <c r="S512" i="307"/>
  <c r="S513" i="307" s="1"/>
  <c r="S517" i="307" s="1"/>
  <c r="S524" i="307"/>
  <c r="S535" i="307"/>
  <c r="S552" i="307"/>
  <c r="S553" i="307"/>
  <c r="S556" i="307"/>
  <c r="S557" i="307"/>
  <c r="S559" i="307"/>
  <c r="S565" i="307"/>
  <c r="S566" i="307"/>
  <c r="S569" i="307"/>
  <c r="S570" i="307"/>
  <c r="S572" i="307"/>
  <c r="S270" i="307"/>
  <c r="T359" i="307"/>
  <c r="T360" i="307" s="1"/>
  <c r="T370" i="307" s="1"/>
  <c r="T366" i="307"/>
  <c r="T367" i="307" s="1"/>
  <c r="T371" i="307" s="1"/>
  <c r="T379" i="307"/>
  <c r="S331" i="307"/>
  <c r="T391" i="307"/>
  <c r="T413" i="307"/>
  <c r="T415" i="307"/>
  <c r="T426" i="307"/>
  <c r="T428" i="307"/>
  <c r="T506" i="307"/>
  <c r="T507" i="307" s="1"/>
  <c r="T516" i="307" s="1"/>
  <c r="T512" i="307"/>
  <c r="T513" i="307" s="1"/>
  <c r="T517" i="307" s="1"/>
  <c r="T524" i="307"/>
  <c r="T535" i="307"/>
  <c r="T552" i="307"/>
  <c r="T553" i="307"/>
  <c r="T556" i="307"/>
  <c r="T557" i="307"/>
  <c r="T559" i="307"/>
  <c r="T565" i="307"/>
  <c r="T566" i="307"/>
  <c r="T569" i="307"/>
  <c r="T570" i="307"/>
  <c r="T572" i="307"/>
  <c r="T270" i="307"/>
  <c r="U359" i="307"/>
  <c r="U360" i="307" s="1"/>
  <c r="U370" i="307" s="1"/>
  <c r="U366" i="307"/>
  <c r="U367" i="307" s="1"/>
  <c r="U371" i="307" s="1"/>
  <c r="U379" i="307"/>
  <c r="T331" i="307"/>
  <c r="U391" i="307"/>
  <c r="U413" i="307"/>
  <c r="U415" i="307"/>
  <c r="U426" i="307"/>
  <c r="U428" i="307"/>
  <c r="U506" i="307"/>
  <c r="U507" i="307" s="1"/>
  <c r="U516" i="307" s="1"/>
  <c r="U512" i="307"/>
  <c r="U513" i="307" s="1"/>
  <c r="U517" i="307" s="1"/>
  <c r="U524" i="307"/>
  <c r="U535" i="307"/>
  <c r="U552" i="307"/>
  <c r="U553" i="307"/>
  <c r="U556" i="307"/>
  <c r="U557" i="307"/>
  <c r="U559" i="307"/>
  <c r="U565" i="307"/>
  <c r="U566" i="307"/>
  <c r="U569" i="307"/>
  <c r="U570" i="307"/>
  <c r="U572" i="307"/>
  <c r="U270" i="307"/>
  <c r="V359" i="307"/>
  <c r="V360" i="307" s="1"/>
  <c r="V370" i="307" s="1"/>
  <c r="V366" i="307"/>
  <c r="V367" i="307" s="1"/>
  <c r="V371" i="307" s="1"/>
  <c r="V379" i="307"/>
  <c r="U331" i="307"/>
  <c r="V391" i="307"/>
  <c r="V413" i="307"/>
  <c r="V415" i="307"/>
  <c r="V426" i="307"/>
  <c r="V428" i="307"/>
  <c r="V506" i="307"/>
  <c r="V507" i="307" s="1"/>
  <c r="V516" i="307" s="1"/>
  <c r="V512" i="307"/>
  <c r="V513" i="307" s="1"/>
  <c r="V517" i="307" s="1"/>
  <c r="V524" i="307"/>
  <c r="V535" i="307"/>
  <c r="V552" i="307"/>
  <c r="V553" i="307"/>
  <c r="V556" i="307"/>
  <c r="V557" i="307"/>
  <c r="V559" i="307"/>
  <c r="V565" i="307"/>
  <c r="V566" i="307"/>
  <c r="V569" i="307"/>
  <c r="V570" i="307"/>
  <c r="V572" i="307"/>
  <c r="V270" i="307"/>
  <c r="W359" i="307"/>
  <c r="W360" i="307" s="1"/>
  <c r="W370" i="307" s="1"/>
  <c r="W366" i="307"/>
  <c r="W367" i="307" s="1"/>
  <c r="W371" i="307" s="1"/>
  <c r="W379" i="307"/>
  <c r="V331" i="307"/>
  <c r="W391" i="307"/>
  <c r="W413" i="307"/>
  <c r="W415" i="307"/>
  <c r="W426" i="307"/>
  <c r="W428" i="307"/>
  <c r="W506" i="307"/>
  <c r="W507" i="307" s="1"/>
  <c r="W516" i="307" s="1"/>
  <c r="W512" i="307"/>
  <c r="W513" i="307" s="1"/>
  <c r="W517" i="307" s="1"/>
  <c r="W524" i="307"/>
  <c r="W535" i="307"/>
  <c r="W552" i="307"/>
  <c r="W553" i="307"/>
  <c r="W556" i="307"/>
  <c r="W557" i="307"/>
  <c r="W559" i="307"/>
  <c r="W565" i="307"/>
  <c r="W566" i="307"/>
  <c r="W569" i="307"/>
  <c r="W570" i="307"/>
  <c r="W572" i="307"/>
  <c r="W270" i="307"/>
  <c r="X359" i="307"/>
  <c r="X360" i="307" s="1"/>
  <c r="X370" i="307" s="1"/>
  <c r="X366" i="307"/>
  <c r="X367" i="307" s="1"/>
  <c r="X371" i="307" s="1"/>
  <c r="X379" i="307"/>
  <c r="W331" i="307"/>
  <c r="X391" i="307"/>
  <c r="X413" i="307"/>
  <c r="X415" i="307"/>
  <c r="X426" i="307"/>
  <c r="X428" i="307"/>
  <c r="X506" i="307"/>
  <c r="X507" i="307" s="1"/>
  <c r="X516" i="307" s="1"/>
  <c r="X512" i="307"/>
  <c r="X513" i="307" s="1"/>
  <c r="X517" i="307" s="1"/>
  <c r="X524" i="307"/>
  <c r="X535" i="307"/>
  <c r="X552" i="307"/>
  <c r="X553" i="307"/>
  <c r="X556" i="307"/>
  <c r="X557" i="307"/>
  <c r="X559" i="307"/>
  <c r="X565" i="307"/>
  <c r="X566" i="307"/>
  <c r="X569" i="307"/>
  <c r="X570" i="307"/>
  <c r="X572" i="307"/>
  <c r="X270" i="307"/>
  <c r="Y359" i="307"/>
  <c r="Y360" i="307" s="1"/>
  <c r="Y370" i="307" s="1"/>
  <c r="Y366" i="307"/>
  <c r="Y367" i="307" s="1"/>
  <c r="Y371" i="307" s="1"/>
  <c r="Y379" i="307"/>
  <c r="X331" i="307"/>
  <c r="Y391" i="307"/>
  <c r="Y413" i="307"/>
  <c r="Y415" i="307"/>
  <c r="Y426" i="307"/>
  <c r="Y428" i="307"/>
  <c r="Y506" i="307"/>
  <c r="Y507" i="307" s="1"/>
  <c r="Y516" i="307" s="1"/>
  <c r="Y512" i="307"/>
  <c r="Y513" i="307" s="1"/>
  <c r="Y517" i="307" s="1"/>
  <c r="Y524" i="307"/>
  <c r="Y535" i="307"/>
  <c r="Y552" i="307"/>
  <c r="Y553" i="307"/>
  <c r="Y556" i="307"/>
  <c r="Y557" i="307"/>
  <c r="Y559" i="307"/>
  <c r="Y565" i="307"/>
  <c r="Y566" i="307"/>
  <c r="Y569" i="307"/>
  <c r="Y570" i="307"/>
  <c r="Y572" i="307"/>
  <c r="Y270" i="307"/>
  <c r="Z359" i="307"/>
  <c r="Z360" i="307" s="1"/>
  <c r="Z370" i="307" s="1"/>
  <c r="Z366" i="307"/>
  <c r="Z367" i="307" s="1"/>
  <c r="Z371" i="307" s="1"/>
  <c r="Z379" i="307"/>
  <c r="Y331" i="307"/>
  <c r="Z391" i="307"/>
  <c r="Z413" i="307"/>
  <c r="Z415" i="307"/>
  <c r="Z426" i="307"/>
  <c r="Z428" i="307"/>
  <c r="Z506" i="307"/>
  <c r="Z507" i="307" s="1"/>
  <c r="Z516" i="307" s="1"/>
  <c r="Z512" i="307"/>
  <c r="Z513" i="307" s="1"/>
  <c r="Z517" i="307" s="1"/>
  <c r="Z524" i="307"/>
  <c r="Z535" i="307"/>
  <c r="Z552" i="307"/>
  <c r="Z553" i="307"/>
  <c r="Z556" i="307"/>
  <c r="Z557" i="307"/>
  <c r="Z559" i="307"/>
  <c r="Z565" i="307"/>
  <c r="Z566" i="307"/>
  <c r="Z569" i="307"/>
  <c r="Z570" i="307"/>
  <c r="Z572" i="307"/>
  <c r="Z270" i="307"/>
  <c r="AA359" i="307"/>
  <c r="AA360" i="307" s="1"/>
  <c r="AA370" i="307" s="1"/>
  <c r="AA366" i="307"/>
  <c r="AA367" i="307" s="1"/>
  <c r="AA371" i="307" s="1"/>
  <c r="AA379" i="307"/>
  <c r="Z331" i="307"/>
  <c r="AA391" i="307"/>
  <c r="AA413" i="307"/>
  <c r="AA415" i="307"/>
  <c r="AA426" i="307"/>
  <c r="AA428" i="307"/>
  <c r="AA506" i="307"/>
  <c r="AA507" i="307" s="1"/>
  <c r="AA516" i="307" s="1"/>
  <c r="AA512" i="307"/>
  <c r="AA513" i="307" s="1"/>
  <c r="AA517" i="307" s="1"/>
  <c r="AA524" i="307"/>
  <c r="AA535" i="307"/>
  <c r="AA552" i="307"/>
  <c r="AA553" i="307"/>
  <c r="AA556" i="307"/>
  <c r="AA557" i="307"/>
  <c r="AA559" i="307"/>
  <c r="AA565" i="307"/>
  <c r="AA566" i="307"/>
  <c r="AA569" i="307"/>
  <c r="AA570" i="307"/>
  <c r="AA572" i="307"/>
  <c r="AA270" i="307"/>
  <c r="AB359" i="307"/>
  <c r="AB360" i="307" s="1"/>
  <c r="AB370" i="307" s="1"/>
  <c r="AB366" i="307"/>
  <c r="AB367" i="307" s="1"/>
  <c r="AB371" i="307" s="1"/>
  <c r="AB379" i="307"/>
  <c r="AA331" i="307"/>
  <c r="AB391" i="307"/>
  <c r="AB413" i="307"/>
  <c r="AB415" i="307"/>
  <c r="AB426" i="307"/>
  <c r="AB428" i="307"/>
  <c r="AB506" i="307"/>
  <c r="AB507" i="307" s="1"/>
  <c r="AB516" i="307" s="1"/>
  <c r="AB512" i="307"/>
  <c r="AB513" i="307" s="1"/>
  <c r="AB517" i="307" s="1"/>
  <c r="AB524" i="307"/>
  <c r="AB535" i="307"/>
  <c r="AB552" i="307"/>
  <c r="AB553" i="307"/>
  <c r="AB556" i="307"/>
  <c r="AB557" i="307"/>
  <c r="AB559" i="307"/>
  <c r="AB565" i="307"/>
  <c r="AB566" i="307"/>
  <c r="AB569" i="307"/>
  <c r="AB570" i="307"/>
  <c r="AB572" i="307"/>
  <c r="AB270" i="307"/>
  <c r="AC359" i="307"/>
  <c r="AC360" i="307" s="1"/>
  <c r="AC370" i="307" s="1"/>
  <c r="AC366" i="307"/>
  <c r="AC367" i="307" s="1"/>
  <c r="AC371" i="307" s="1"/>
  <c r="AC379" i="307"/>
  <c r="AB331" i="307"/>
  <c r="AC391" i="307"/>
  <c r="AC413" i="307"/>
  <c r="AC415" i="307"/>
  <c r="AC426" i="307"/>
  <c r="AC428" i="307"/>
  <c r="AC506" i="307"/>
  <c r="AC507" i="307" s="1"/>
  <c r="AC516" i="307" s="1"/>
  <c r="AC512" i="307"/>
  <c r="AC513" i="307" s="1"/>
  <c r="AC517" i="307" s="1"/>
  <c r="AC524" i="307"/>
  <c r="AC535" i="307"/>
  <c r="AC552" i="307"/>
  <c r="AC553" i="307"/>
  <c r="AC556" i="307"/>
  <c r="AC557" i="307"/>
  <c r="AC559" i="307"/>
  <c r="AC565" i="307"/>
  <c r="AC566" i="307"/>
  <c r="AC569" i="307"/>
  <c r="AC570" i="307"/>
  <c r="AC572" i="307"/>
  <c r="AC270" i="307"/>
  <c r="AD359" i="307"/>
  <c r="AD360" i="307" s="1"/>
  <c r="AD370" i="307" s="1"/>
  <c r="AD366" i="307"/>
  <c r="AD367" i="307" s="1"/>
  <c r="AD371" i="307" s="1"/>
  <c r="AD379" i="307"/>
  <c r="AC331" i="307"/>
  <c r="AD391" i="307"/>
  <c r="AD413" i="307"/>
  <c r="AD415" i="307"/>
  <c r="AD426" i="307"/>
  <c r="AD428" i="307"/>
  <c r="AD506" i="307"/>
  <c r="AD507" i="307" s="1"/>
  <c r="AD516" i="307" s="1"/>
  <c r="AD512" i="307"/>
  <c r="AD513" i="307" s="1"/>
  <c r="AD517" i="307" s="1"/>
  <c r="AD524" i="307"/>
  <c r="AD535" i="307"/>
  <c r="AD552" i="307"/>
  <c r="AD553" i="307"/>
  <c r="AD556" i="307"/>
  <c r="AD557" i="307"/>
  <c r="AD559" i="307"/>
  <c r="AD565" i="307"/>
  <c r="AD566" i="307"/>
  <c r="AD569" i="307"/>
  <c r="AD570" i="307"/>
  <c r="AD572" i="307"/>
  <c r="AD270" i="307"/>
  <c r="AE359" i="307"/>
  <c r="AE360" i="307" s="1"/>
  <c r="AE370" i="307" s="1"/>
  <c r="AE366" i="307"/>
  <c r="AE367" i="307" s="1"/>
  <c r="AE371" i="307" s="1"/>
  <c r="AE379" i="307"/>
  <c r="AD331" i="307"/>
  <c r="AE391" i="307"/>
  <c r="AE413" i="307"/>
  <c r="AE415" i="307"/>
  <c r="AE426" i="307"/>
  <c r="AE428" i="307"/>
  <c r="AE506" i="307"/>
  <c r="AE507" i="307" s="1"/>
  <c r="AE516" i="307" s="1"/>
  <c r="AE512" i="307"/>
  <c r="AE513" i="307" s="1"/>
  <c r="AE517" i="307" s="1"/>
  <c r="AE524" i="307"/>
  <c r="AE535" i="307"/>
  <c r="AE552" i="307"/>
  <c r="AE553" i="307"/>
  <c r="AE556" i="307"/>
  <c r="AE557" i="307"/>
  <c r="AE559" i="307"/>
  <c r="AE565" i="307"/>
  <c r="AE566" i="307"/>
  <c r="AE569" i="307"/>
  <c r="AE570" i="307"/>
  <c r="AE572" i="307"/>
  <c r="AE270" i="307"/>
  <c r="AF359" i="307"/>
  <c r="AF360" i="307" s="1"/>
  <c r="AF370" i="307" s="1"/>
  <c r="AF366" i="307"/>
  <c r="AF367" i="307" s="1"/>
  <c r="AF371" i="307" s="1"/>
  <c r="AF379" i="307"/>
  <c r="AE331" i="307"/>
  <c r="AF391" i="307"/>
  <c r="AF413" i="307"/>
  <c r="AF415" i="307"/>
  <c r="AF426" i="307"/>
  <c r="AF428" i="307"/>
  <c r="AF506" i="307"/>
  <c r="AF507" i="307" s="1"/>
  <c r="AF516" i="307" s="1"/>
  <c r="AF512" i="307"/>
  <c r="AF513" i="307" s="1"/>
  <c r="AF517" i="307" s="1"/>
  <c r="AF524" i="307"/>
  <c r="AF535" i="307"/>
  <c r="AF552" i="307"/>
  <c r="AF553" i="307"/>
  <c r="AF556" i="307"/>
  <c r="AF557" i="307"/>
  <c r="AF559" i="307"/>
  <c r="AF565" i="307"/>
  <c r="AF566" i="307"/>
  <c r="AF569" i="307"/>
  <c r="AF570" i="307"/>
  <c r="AF572" i="307"/>
  <c r="AF270" i="307"/>
  <c r="AG359" i="307"/>
  <c r="AG360" i="307" s="1"/>
  <c r="AG370" i="307" s="1"/>
  <c r="AG366" i="307"/>
  <c r="AG367" i="307" s="1"/>
  <c r="AG371" i="307" s="1"/>
  <c r="AG379" i="307"/>
  <c r="AF331" i="307"/>
  <c r="AG391" i="307"/>
  <c r="AG413" i="307"/>
  <c r="AG415" i="307"/>
  <c r="AG426" i="307"/>
  <c r="AG428" i="307"/>
  <c r="AG506" i="307"/>
  <c r="AG507" i="307" s="1"/>
  <c r="AG516" i="307" s="1"/>
  <c r="AG512" i="307"/>
  <c r="AG513" i="307" s="1"/>
  <c r="AG517" i="307" s="1"/>
  <c r="AG524" i="307"/>
  <c r="AG535" i="307"/>
  <c r="AG552" i="307"/>
  <c r="AG553" i="307"/>
  <c r="AG556" i="307"/>
  <c r="AG557" i="307"/>
  <c r="AG559" i="307"/>
  <c r="AG565" i="307"/>
  <c r="AG566" i="307"/>
  <c r="AG569" i="307"/>
  <c r="AG570" i="307"/>
  <c r="AG572" i="307"/>
  <c r="AG270" i="307"/>
  <c r="AH359" i="307"/>
  <c r="AH360" i="307" s="1"/>
  <c r="AH370" i="307" s="1"/>
  <c r="AH366" i="307"/>
  <c r="AH367" i="307" s="1"/>
  <c r="AH371" i="307" s="1"/>
  <c r="AH379" i="307"/>
  <c r="AG331" i="307"/>
  <c r="AH391" i="307"/>
  <c r="AH413" i="307"/>
  <c r="AH415" i="307"/>
  <c r="AH426" i="307"/>
  <c r="AH428" i="307"/>
  <c r="AH506" i="307"/>
  <c r="AH507" i="307" s="1"/>
  <c r="AH516" i="307" s="1"/>
  <c r="AH512" i="307"/>
  <c r="AH513" i="307" s="1"/>
  <c r="AH517" i="307" s="1"/>
  <c r="AH524" i="307"/>
  <c r="AH535" i="307"/>
  <c r="AH552" i="307"/>
  <c r="AH553" i="307"/>
  <c r="AH556" i="307"/>
  <c r="AH557" i="307"/>
  <c r="AH559" i="307"/>
  <c r="AH565" i="307"/>
  <c r="AH566" i="307"/>
  <c r="AH569" i="307"/>
  <c r="AH570" i="307"/>
  <c r="AH572" i="307"/>
  <c r="AH270" i="307"/>
  <c r="AI359" i="307"/>
  <c r="AI360" i="307" s="1"/>
  <c r="AI370" i="307" s="1"/>
  <c r="AI366" i="307"/>
  <c r="AI367" i="307" s="1"/>
  <c r="AI371" i="307" s="1"/>
  <c r="AI379" i="307"/>
  <c r="AH331" i="307"/>
  <c r="AI391" i="307"/>
  <c r="AI413" i="307"/>
  <c r="AI415" i="307"/>
  <c r="AI426" i="307"/>
  <c r="AI428" i="307"/>
  <c r="AI506" i="307"/>
  <c r="AI507" i="307" s="1"/>
  <c r="AI516" i="307" s="1"/>
  <c r="AI512" i="307"/>
  <c r="AI513" i="307" s="1"/>
  <c r="AI517" i="307" s="1"/>
  <c r="AI524" i="307"/>
  <c r="AI535" i="307"/>
  <c r="AI552" i="307"/>
  <c r="AI553" i="307"/>
  <c r="AI556" i="307"/>
  <c r="AI557" i="307"/>
  <c r="AI559" i="307"/>
  <c r="AI565" i="307"/>
  <c r="AI566" i="307"/>
  <c r="AI569" i="307"/>
  <c r="AI570" i="307"/>
  <c r="AI572" i="307"/>
  <c r="AI270" i="307"/>
  <c r="AJ359" i="307"/>
  <c r="AJ360" i="307" s="1"/>
  <c r="AJ370" i="307" s="1"/>
  <c r="AJ366" i="307"/>
  <c r="AJ367" i="307" s="1"/>
  <c r="AJ371" i="307" s="1"/>
  <c r="AJ379" i="307"/>
  <c r="AI331" i="307"/>
  <c r="AJ391" i="307"/>
  <c r="AJ413" i="307"/>
  <c r="AJ415" i="307"/>
  <c r="AJ426" i="307"/>
  <c r="AJ428" i="307"/>
  <c r="AJ506" i="307"/>
  <c r="AJ507" i="307" s="1"/>
  <c r="AJ516" i="307" s="1"/>
  <c r="AJ512" i="307"/>
  <c r="AJ513" i="307" s="1"/>
  <c r="AJ517" i="307" s="1"/>
  <c r="AJ524" i="307"/>
  <c r="AJ535" i="307"/>
  <c r="AJ552" i="307"/>
  <c r="AJ553" i="307"/>
  <c r="AJ556" i="307"/>
  <c r="AJ557" i="307"/>
  <c r="AJ559" i="307"/>
  <c r="AJ565" i="307"/>
  <c r="AJ566" i="307"/>
  <c r="AJ569" i="307"/>
  <c r="AJ570" i="307"/>
  <c r="AJ572" i="307"/>
  <c r="AJ270" i="307"/>
  <c r="AK359" i="307"/>
  <c r="AK360" i="307" s="1"/>
  <c r="AK370" i="307" s="1"/>
  <c r="AK366" i="307"/>
  <c r="AK367" i="307" s="1"/>
  <c r="AK371" i="307" s="1"/>
  <c r="AK379" i="307"/>
  <c r="AJ331" i="307"/>
  <c r="AK391" i="307"/>
  <c r="AK413" i="307"/>
  <c r="AK415" i="307"/>
  <c r="AK426" i="307"/>
  <c r="AK428" i="307"/>
  <c r="AK506" i="307"/>
  <c r="AK507" i="307" s="1"/>
  <c r="AK516" i="307" s="1"/>
  <c r="AK512" i="307"/>
  <c r="AK513" i="307" s="1"/>
  <c r="AK517" i="307" s="1"/>
  <c r="AK524" i="307"/>
  <c r="AK535" i="307"/>
  <c r="AK552" i="307"/>
  <c r="AK553" i="307"/>
  <c r="AK556" i="307"/>
  <c r="AK557" i="307"/>
  <c r="AK559" i="307"/>
  <c r="AK565" i="307"/>
  <c r="AK566" i="307"/>
  <c r="AK569" i="307"/>
  <c r="AK570" i="307"/>
  <c r="AK572" i="307"/>
  <c r="AK270" i="307"/>
  <c r="AL359" i="307"/>
  <c r="AL360" i="307" s="1"/>
  <c r="AL370" i="307" s="1"/>
  <c r="AL366" i="307"/>
  <c r="AL367" i="307" s="1"/>
  <c r="AL371" i="307" s="1"/>
  <c r="AL379" i="307"/>
  <c r="AK331" i="307"/>
  <c r="AL391" i="307"/>
  <c r="AL413" i="307"/>
  <c r="AL415" i="307"/>
  <c r="AL426" i="307"/>
  <c r="AL428" i="307"/>
  <c r="AL506" i="307"/>
  <c r="AL507" i="307" s="1"/>
  <c r="AL516" i="307" s="1"/>
  <c r="AL512" i="307"/>
  <c r="AL513" i="307" s="1"/>
  <c r="AL517" i="307" s="1"/>
  <c r="AL524" i="307"/>
  <c r="AL535" i="307"/>
  <c r="AL552" i="307"/>
  <c r="AL553" i="307"/>
  <c r="AL556" i="307"/>
  <c r="AL557" i="307"/>
  <c r="AL559" i="307"/>
  <c r="AL565" i="307"/>
  <c r="AL566" i="307"/>
  <c r="AL569" i="307"/>
  <c r="AL570" i="307"/>
  <c r="AL572" i="307"/>
  <c r="AL270" i="307"/>
  <c r="AM359" i="307"/>
  <c r="AM360" i="307" s="1"/>
  <c r="AM370" i="307" s="1"/>
  <c r="AM366" i="307"/>
  <c r="AM367" i="307" s="1"/>
  <c r="AM371" i="307" s="1"/>
  <c r="AM379" i="307"/>
  <c r="AL331" i="307"/>
  <c r="AM391" i="307"/>
  <c r="AM413" i="307"/>
  <c r="AM415" i="307"/>
  <c r="AM426" i="307"/>
  <c r="AM428" i="307"/>
  <c r="AM506" i="307"/>
  <c r="AM507" i="307" s="1"/>
  <c r="AM516" i="307" s="1"/>
  <c r="AM512" i="307"/>
  <c r="AM513" i="307" s="1"/>
  <c r="AM517" i="307" s="1"/>
  <c r="AM524" i="307"/>
  <c r="AM535" i="307"/>
  <c r="AM552" i="307"/>
  <c r="AM553" i="307"/>
  <c r="AM556" i="307"/>
  <c r="AM557" i="307"/>
  <c r="AM559" i="307"/>
  <c r="AM565" i="307"/>
  <c r="AM566" i="307"/>
  <c r="AM569" i="307"/>
  <c r="AM570" i="307"/>
  <c r="AM572" i="307"/>
  <c r="AM270" i="307"/>
  <c r="AN359" i="307"/>
  <c r="AN360" i="307" s="1"/>
  <c r="AN370" i="307" s="1"/>
  <c r="AN366" i="307"/>
  <c r="AN367" i="307" s="1"/>
  <c r="AN371" i="307" s="1"/>
  <c r="AN379" i="307"/>
  <c r="AM331" i="307"/>
  <c r="AN391" i="307"/>
  <c r="AN413" i="307"/>
  <c r="AN415" i="307"/>
  <c r="AN426" i="307"/>
  <c r="AN428" i="307"/>
  <c r="AN506" i="307"/>
  <c r="AN507" i="307" s="1"/>
  <c r="AN516" i="307" s="1"/>
  <c r="AN512" i="307"/>
  <c r="AN513" i="307" s="1"/>
  <c r="AN517" i="307" s="1"/>
  <c r="AN524" i="307"/>
  <c r="AN535" i="307"/>
  <c r="AN552" i="307"/>
  <c r="AN553" i="307"/>
  <c r="AN556" i="307"/>
  <c r="AN557" i="307"/>
  <c r="AN559" i="307"/>
  <c r="AN565" i="307"/>
  <c r="AN566" i="307"/>
  <c r="AN569" i="307"/>
  <c r="AN570" i="307"/>
  <c r="AN572" i="307"/>
  <c r="AN270" i="307"/>
  <c r="AO359" i="307"/>
  <c r="AO360" i="307" s="1"/>
  <c r="AO370" i="307" s="1"/>
  <c r="AO366" i="307"/>
  <c r="AO367" i="307" s="1"/>
  <c r="AO371" i="307" s="1"/>
  <c r="AO379" i="307"/>
  <c r="AN331" i="307"/>
  <c r="AO391" i="307"/>
  <c r="AO413" i="307"/>
  <c r="AO415" i="307"/>
  <c r="AO426" i="307"/>
  <c r="AO428" i="307"/>
  <c r="AO506" i="307"/>
  <c r="AO507" i="307" s="1"/>
  <c r="AO516" i="307" s="1"/>
  <c r="AO512" i="307"/>
  <c r="AO513" i="307" s="1"/>
  <c r="AO517" i="307" s="1"/>
  <c r="AO524" i="307"/>
  <c r="AO535" i="307"/>
  <c r="AO552" i="307"/>
  <c r="AO553" i="307"/>
  <c r="AO556" i="307"/>
  <c r="AO557" i="307"/>
  <c r="AO559" i="307"/>
  <c r="AO565" i="307"/>
  <c r="AO566" i="307"/>
  <c r="AO569" i="307"/>
  <c r="AO570" i="307"/>
  <c r="AO572" i="307"/>
  <c r="AO270" i="307"/>
  <c r="AP359" i="307"/>
  <c r="AP360" i="307" s="1"/>
  <c r="AP370" i="307" s="1"/>
  <c r="AP366" i="307"/>
  <c r="AP367" i="307" s="1"/>
  <c r="AP371" i="307" s="1"/>
  <c r="AP379" i="307"/>
  <c r="AO331" i="307"/>
  <c r="AP391" i="307"/>
  <c r="AP413" i="307"/>
  <c r="AP415" i="307"/>
  <c r="AP426" i="307"/>
  <c r="AP428" i="307"/>
  <c r="AP506" i="307"/>
  <c r="AP507" i="307" s="1"/>
  <c r="AP516" i="307" s="1"/>
  <c r="AP512" i="307"/>
  <c r="AP513" i="307" s="1"/>
  <c r="AP517" i="307" s="1"/>
  <c r="AP524" i="307"/>
  <c r="AP535" i="307"/>
  <c r="AP552" i="307"/>
  <c r="AP553" i="307"/>
  <c r="AP556" i="307"/>
  <c r="AP557" i="307"/>
  <c r="AP559" i="307"/>
  <c r="AP565" i="307"/>
  <c r="AP566" i="307"/>
  <c r="AP569" i="307"/>
  <c r="AP570" i="307"/>
  <c r="AP572" i="307"/>
  <c r="AP270" i="307"/>
  <c r="AQ359" i="307"/>
  <c r="AQ360" i="307" s="1"/>
  <c r="AQ370" i="307" s="1"/>
  <c r="AQ366" i="307"/>
  <c r="AQ367" i="307" s="1"/>
  <c r="AQ371" i="307" s="1"/>
  <c r="AQ379" i="307"/>
  <c r="AP331" i="307"/>
  <c r="AQ391" i="307"/>
  <c r="AQ413" i="307"/>
  <c r="AQ415" i="307"/>
  <c r="AQ426" i="307"/>
  <c r="AQ428" i="307"/>
  <c r="AQ506" i="307"/>
  <c r="AQ507" i="307" s="1"/>
  <c r="AQ516" i="307" s="1"/>
  <c r="AQ512" i="307"/>
  <c r="AQ513" i="307" s="1"/>
  <c r="AQ517" i="307" s="1"/>
  <c r="AQ524" i="307"/>
  <c r="AQ535" i="307"/>
  <c r="AQ552" i="307"/>
  <c r="AQ553" i="307"/>
  <c r="AQ556" i="307"/>
  <c r="AQ557" i="307"/>
  <c r="AQ559" i="307"/>
  <c r="AQ565" i="307"/>
  <c r="AQ566" i="307"/>
  <c r="AQ569" i="307"/>
  <c r="AQ570" i="307"/>
  <c r="AQ572" i="307"/>
  <c r="AQ270" i="307"/>
  <c r="AR359" i="307"/>
  <c r="AR360" i="307" s="1"/>
  <c r="AR370" i="307" s="1"/>
  <c r="AR366" i="307"/>
  <c r="AR367" i="307" s="1"/>
  <c r="AR371" i="307" s="1"/>
  <c r="AR379" i="307"/>
  <c r="AQ331" i="307"/>
  <c r="AR391" i="307"/>
  <c r="AR413" i="307"/>
  <c r="AR415" i="307"/>
  <c r="AR426" i="307"/>
  <c r="AR428" i="307"/>
  <c r="AR506" i="307"/>
  <c r="AR507" i="307" s="1"/>
  <c r="AR516" i="307" s="1"/>
  <c r="AR512" i="307"/>
  <c r="AR513" i="307" s="1"/>
  <c r="AR517" i="307" s="1"/>
  <c r="AR524" i="307"/>
  <c r="AR535" i="307"/>
  <c r="AR552" i="307"/>
  <c r="AR553" i="307"/>
  <c r="AR556" i="307"/>
  <c r="AR557" i="307"/>
  <c r="AR559" i="307"/>
  <c r="AR565" i="307"/>
  <c r="AR566" i="307"/>
  <c r="AR569" i="307"/>
  <c r="AR570" i="307"/>
  <c r="AR572" i="307"/>
  <c r="AR270" i="307"/>
  <c r="AS359" i="307"/>
  <c r="AS360" i="307" s="1"/>
  <c r="AS370" i="307" s="1"/>
  <c r="AS366" i="307"/>
  <c r="AS367" i="307" s="1"/>
  <c r="AS371" i="307" s="1"/>
  <c r="AS379" i="307"/>
  <c r="AR331" i="307"/>
  <c r="AS391" i="307"/>
  <c r="AS413" i="307"/>
  <c r="AS415" i="307"/>
  <c r="AS426" i="307"/>
  <c r="AS428" i="307"/>
  <c r="AS506" i="307"/>
  <c r="AS507" i="307" s="1"/>
  <c r="AS516" i="307" s="1"/>
  <c r="AS512" i="307"/>
  <c r="AS513" i="307" s="1"/>
  <c r="AS517" i="307" s="1"/>
  <c r="AS524" i="307"/>
  <c r="AS535" i="307"/>
  <c r="AS552" i="307"/>
  <c r="AS553" i="307"/>
  <c r="AS556" i="307"/>
  <c r="AS557" i="307"/>
  <c r="AS559" i="307"/>
  <c r="AS565" i="307"/>
  <c r="AS566" i="307"/>
  <c r="AS569" i="307"/>
  <c r="AS570" i="307"/>
  <c r="AS572" i="307"/>
  <c r="AS270" i="307"/>
  <c r="AT359" i="307"/>
  <c r="AT360" i="307" s="1"/>
  <c r="AT370" i="307" s="1"/>
  <c r="AT366" i="307"/>
  <c r="AT367" i="307" s="1"/>
  <c r="AT371" i="307" s="1"/>
  <c r="AT379" i="307"/>
  <c r="AS331" i="307"/>
  <c r="AT391" i="307"/>
  <c r="AT413" i="307"/>
  <c r="AT415" i="307"/>
  <c r="AT426" i="307"/>
  <c r="AT428" i="307"/>
  <c r="AT506" i="307"/>
  <c r="AT507" i="307" s="1"/>
  <c r="AT516" i="307" s="1"/>
  <c r="AT512" i="307"/>
  <c r="AT513" i="307" s="1"/>
  <c r="AT517" i="307" s="1"/>
  <c r="AT524" i="307"/>
  <c r="AT535" i="307"/>
  <c r="AT552" i="307"/>
  <c r="AT553" i="307"/>
  <c r="AT556" i="307"/>
  <c r="AT557" i="307"/>
  <c r="AT559" i="307"/>
  <c r="AT565" i="307"/>
  <c r="AT566" i="307"/>
  <c r="AT569" i="307"/>
  <c r="AT570" i="307"/>
  <c r="AT572" i="307"/>
  <c r="AT270" i="307"/>
  <c r="AU359" i="307"/>
  <c r="AU360" i="307" s="1"/>
  <c r="AU370" i="307" s="1"/>
  <c r="AU366" i="307"/>
  <c r="AU367" i="307" s="1"/>
  <c r="AU371" i="307" s="1"/>
  <c r="AU379" i="307"/>
  <c r="AT331" i="307"/>
  <c r="AU391" i="307"/>
  <c r="AU413" i="307"/>
  <c r="AU415" i="307"/>
  <c r="AU426" i="307"/>
  <c r="AU428" i="307"/>
  <c r="AU506" i="307"/>
  <c r="AU507" i="307" s="1"/>
  <c r="AU516" i="307" s="1"/>
  <c r="AU512" i="307"/>
  <c r="AU513" i="307" s="1"/>
  <c r="AU517" i="307" s="1"/>
  <c r="AU524" i="307"/>
  <c r="AU535" i="307"/>
  <c r="AU552" i="307"/>
  <c r="AU553" i="307"/>
  <c r="AU556" i="307"/>
  <c r="AU557" i="307"/>
  <c r="AU559" i="307"/>
  <c r="AU565" i="307"/>
  <c r="AU566" i="307"/>
  <c r="AU569" i="307"/>
  <c r="AU570" i="307"/>
  <c r="AU572" i="307"/>
  <c r="AU270" i="307"/>
  <c r="AV359" i="307"/>
  <c r="AV360" i="307" s="1"/>
  <c r="AV370" i="307" s="1"/>
  <c r="AV366" i="307"/>
  <c r="AV367" i="307" s="1"/>
  <c r="AV371" i="307" s="1"/>
  <c r="AV379" i="307"/>
  <c r="AU331" i="307"/>
  <c r="AV391" i="307"/>
  <c r="AV413" i="307"/>
  <c r="AV415" i="307"/>
  <c r="AV426" i="307"/>
  <c r="AV428" i="307"/>
  <c r="AV506" i="307"/>
  <c r="AV507" i="307" s="1"/>
  <c r="AV516" i="307" s="1"/>
  <c r="AV512" i="307"/>
  <c r="AV513" i="307" s="1"/>
  <c r="AV517" i="307" s="1"/>
  <c r="AV524" i="307"/>
  <c r="AV535" i="307"/>
  <c r="AV552" i="307"/>
  <c r="AV553" i="307"/>
  <c r="AV556" i="307"/>
  <c r="AV557" i="307"/>
  <c r="AV559" i="307"/>
  <c r="AV565" i="307"/>
  <c r="AV566" i="307"/>
  <c r="AV569" i="307"/>
  <c r="AV570" i="307"/>
  <c r="AV572" i="307"/>
  <c r="AV270" i="307"/>
  <c r="AW359" i="307"/>
  <c r="AW360" i="307" s="1"/>
  <c r="AW370" i="307" s="1"/>
  <c r="AW366" i="307"/>
  <c r="AW367" i="307" s="1"/>
  <c r="AW371" i="307" s="1"/>
  <c r="AW379" i="307"/>
  <c r="AV331" i="307"/>
  <c r="AW391" i="307"/>
  <c r="AW413" i="307"/>
  <c r="AW415" i="307"/>
  <c r="AW426" i="307"/>
  <c r="AW428" i="307"/>
  <c r="AW506" i="307"/>
  <c r="AW507" i="307" s="1"/>
  <c r="AW516" i="307" s="1"/>
  <c r="AW512" i="307"/>
  <c r="AW513" i="307" s="1"/>
  <c r="AW517" i="307" s="1"/>
  <c r="AW524" i="307"/>
  <c r="AW535" i="307"/>
  <c r="AW552" i="307"/>
  <c r="AW553" i="307"/>
  <c r="AW556" i="307"/>
  <c r="AW557" i="307"/>
  <c r="AW559" i="307"/>
  <c r="AW565" i="307"/>
  <c r="AW566" i="307"/>
  <c r="AW569" i="307"/>
  <c r="AW570" i="307"/>
  <c r="AW572" i="307"/>
  <c r="AW270" i="307"/>
  <c r="AX359" i="307"/>
  <c r="AX360" i="307" s="1"/>
  <c r="AX370" i="307" s="1"/>
  <c r="AX366" i="307"/>
  <c r="AX367" i="307" s="1"/>
  <c r="AX371" i="307" s="1"/>
  <c r="AX379" i="307"/>
  <c r="AW331" i="307"/>
  <c r="AX391" i="307"/>
  <c r="AX413" i="307"/>
  <c r="AX415" i="307"/>
  <c r="AX426" i="307"/>
  <c r="AX428" i="307"/>
  <c r="AX506" i="307"/>
  <c r="AX507" i="307" s="1"/>
  <c r="AX516" i="307" s="1"/>
  <c r="AX512" i="307"/>
  <c r="AX513" i="307" s="1"/>
  <c r="AX517" i="307" s="1"/>
  <c r="AX524" i="307"/>
  <c r="AX535" i="307"/>
  <c r="AX552" i="307"/>
  <c r="AX553" i="307"/>
  <c r="AX556" i="307"/>
  <c r="AX557" i="307"/>
  <c r="AX559" i="307"/>
  <c r="AX565" i="307"/>
  <c r="AX566" i="307"/>
  <c r="AX569" i="307"/>
  <c r="AX570" i="307"/>
  <c r="AX572" i="307"/>
  <c r="AX270" i="307"/>
  <c r="AY359" i="307"/>
  <c r="AY360" i="307" s="1"/>
  <c r="AY370" i="307" s="1"/>
  <c r="AY366" i="307"/>
  <c r="AY367" i="307" s="1"/>
  <c r="AY371" i="307" s="1"/>
  <c r="AY379" i="307"/>
  <c r="AX331" i="307"/>
  <c r="AY391" i="307"/>
  <c r="AY413" i="307"/>
  <c r="AY415" i="307"/>
  <c r="AY426" i="307"/>
  <c r="AY428" i="307"/>
  <c r="AY506" i="307"/>
  <c r="AY507" i="307" s="1"/>
  <c r="AY516" i="307" s="1"/>
  <c r="AY512" i="307"/>
  <c r="AY513" i="307" s="1"/>
  <c r="AY517" i="307" s="1"/>
  <c r="AY524" i="307"/>
  <c r="AY535" i="307"/>
  <c r="AY552" i="307"/>
  <c r="AY553" i="307"/>
  <c r="AY556" i="307"/>
  <c r="AY557" i="307"/>
  <c r="AY559" i="307"/>
  <c r="AY565" i="307"/>
  <c r="AY566" i="307"/>
  <c r="AY569" i="307"/>
  <c r="AY570" i="307"/>
  <c r="AY572" i="307"/>
  <c r="AY270" i="307"/>
  <c r="AZ359" i="307"/>
  <c r="AZ360" i="307" s="1"/>
  <c r="AZ370" i="307" s="1"/>
  <c r="AZ366" i="307"/>
  <c r="AZ367" i="307" s="1"/>
  <c r="AZ371" i="307" s="1"/>
  <c r="AZ379" i="307"/>
  <c r="AY331" i="307"/>
  <c r="AZ391" i="307"/>
  <c r="AZ413" i="307"/>
  <c r="AZ415" i="307"/>
  <c r="AZ426" i="307"/>
  <c r="AZ428" i="307"/>
  <c r="AZ506" i="307"/>
  <c r="AZ507" i="307" s="1"/>
  <c r="AZ516" i="307" s="1"/>
  <c r="AZ512" i="307"/>
  <c r="AZ513" i="307" s="1"/>
  <c r="AZ517" i="307" s="1"/>
  <c r="AZ524" i="307"/>
  <c r="AZ535" i="307"/>
  <c r="AZ552" i="307"/>
  <c r="AZ553" i="307"/>
  <c r="AZ556" i="307"/>
  <c r="AZ557" i="307"/>
  <c r="AZ559" i="307"/>
  <c r="AZ565" i="307"/>
  <c r="AZ566" i="307"/>
  <c r="AZ569" i="307"/>
  <c r="AZ570" i="307"/>
  <c r="AZ572" i="307"/>
  <c r="AZ270" i="307"/>
  <c r="BA359" i="307"/>
  <c r="BA360" i="307" s="1"/>
  <c r="BA370" i="307" s="1"/>
  <c r="BA366" i="307"/>
  <c r="BA367" i="307" s="1"/>
  <c r="BA371" i="307" s="1"/>
  <c r="BA379" i="307"/>
  <c r="AZ331" i="307"/>
  <c r="BA391" i="307"/>
  <c r="BA413" i="307"/>
  <c r="BA415" i="307"/>
  <c r="BA426" i="307"/>
  <c r="BA428" i="307"/>
  <c r="BA506" i="307"/>
  <c r="BA507" i="307" s="1"/>
  <c r="BA516" i="307" s="1"/>
  <c r="BA512" i="307"/>
  <c r="BA513" i="307" s="1"/>
  <c r="BA517" i="307" s="1"/>
  <c r="BA524" i="307"/>
  <c r="BA535" i="307"/>
  <c r="BA552" i="307"/>
  <c r="BA553" i="307"/>
  <c r="BA556" i="307"/>
  <c r="BA557" i="307"/>
  <c r="BA559" i="307"/>
  <c r="BA565" i="307"/>
  <c r="BA566" i="307"/>
  <c r="BA569" i="307"/>
  <c r="BA570" i="307"/>
  <c r="BA572" i="307"/>
  <c r="BA270" i="307"/>
  <c r="BB359" i="307"/>
  <c r="BB360" i="307" s="1"/>
  <c r="BB370" i="307" s="1"/>
  <c r="BB366" i="307"/>
  <c r="BB367" i="307" s="1"/>
  <c r="BB371" i="307" s="1"/>
  <c r="BB379" i="307"/>
  <c r="BA331" i="307"/>
  <c r="BB391" i="307"/>
  <c r="BB413" i="307"/>
  <c r="BB415" i="307"/>
  <c r="BB426" i="307"/>
  <c r="BB428" i="307"/>
  <c r="BB506" i="307"/>
  <c r="BB507" i="307" s="1"/>
  <c r="BB516" i="307" s="1"/>
  <c r="BB512" i="307"/>
  <c r="BB513" i="307" s="1"/>
  <c r="BB517" i="307" s="1"/>
  <c r="BB524" i="307"/>
  <c r="BB535" i="307"/>
  <c r="BB552" i="307"/>
  <c r="BB553" i="307"/>
  <c r="BB556" i="307"/>
  <c r="BB557" i="307"/>
  <c r="BB559" i="307"/>
  <c r="BB565" i="307"/>
  <c r="BB566" i="307"/>
  <c r="BB569" i="307"/>
  <c r="BB570" i="307"/>
  <c r="BB572" i="307"/>
  <c r="BB270" i="307"/>
  <c r="BC359" i="307"/>
  <c r="BC360" i="307" s="1"/>
  <c r="BC370" i="307" s="1"/>
  <c r="BC366" i="307"/>
  <c r="BC367" i="307" s="1"/>
  <c r="BC371" i="307" s="1"/>
  <c r="BC379" i="307"/>
  <c r="BB331" i="307"/>
  <c r="BC391" i="307"/>
  <c r="BC413" i="307"/>
  <c r="BC415" i="307"/>
  <c r="BC426" i="307"/>
  <c r="BC428" i="307"/>
  <c r="BC506" i="307"/>
  <c r="BC507" i="307" s="1"/>
  <c r="BC516" i="307" s="1"/>
  <c r="BC512" i="307"/>
  <c r="BC513" i="307" s="1"/>
  <c r="BC517" i="307" s="1"/>
  <c r="BC524" i="307"/>
  <c r="BC535" i="307"/>
  <c r="BC552" i="307"/>
  <c r="BC553" i="307"/>
  <c r="BC556" i="307"/>
  <c r="BC557" i="307"/>
  <c r="BC559" i="307"/>
  <c r="BC565" i="307"/>
  <c r="BC566" i="307"/>
  <c r="BC569" i="307"/>
  <c r="BC570" i="307"/>
  <c r="BC572" i="307"/>
  <c r="BC270" i="307"/>
  <c r="BD359" i="307"/>
  <c r="BD360" i="307" s="1"/>
  <c r="BD370" i="307" s="1"/>
  <c r="BD366" i="307"/>
  <c r="BD367" i="307" s="1"/>
  <c r="BD371" i="307" s="1"/>
  <c r="BD379" i="307"/>
  <c r="BC331" i="307"/>
  <c r="BD391" i="307"/>
  <c r="BD413" i="307"/>
  <c r="BD415" i="307"/>
  <c r="BD426" i="307"/>
  <c r="BD428" i="307"/>
  <c r="BD506" i="307"/>
  <c r="BD507" i="307" s="1"/>
  <c r="BD516" i="307" s="1"/>
  <c r="BD512" i="307"/>
  <c r="BD513" i="307" s="1"/>
  <c r="BD517" i="307" s="1"/>
  <c r="BD524" i="307"/>
  <c r="BD535" i="307"/>
  <c r="BD552" i="307"/>
  <c r="BD553" i="307"/>
  <c r="BD556" i="307"/>
  <c r="BD557" i="307"/>
  <c r="BD559" i="307"/>
  <c r="BD565" i="307"/>
  <c r="BD566" i="307"/>
  <c r="BD569" i="307"/>
  <c r="BD570" i="307"/>
  <c r="BD572" i="307"/>
  <c r="BD270" i="307"/>
  <c r="BE359" i="307"/>
  <c r="BE360" i="307" s="1"/>
  <c r="BE370" i="307" s="1"/>
  <c r="BE366" i="307"/>
  <c r="BE367" i="307" s="1"/>
  <c r="BE371" i="307" s="1"/>
  <c r="BE379" i="307"/>
  <c r="BD331" i="307"/>
  <c r="BE391" i="307"/>
  <c r="BE96" i="305"/>
  <c r="BE95" i="305"/>
  <c r="BE97" i="305"/>
  <c r="BE413" i="307"/>
  <c r="BE415" i="307"/>
  <c r="BE426" i="307"/>
  <c r="BE428" i="307"/>
  <c r="BE506" i="307"/>
  <c r="BE507" i="307" s="1"/>
  <c r="BE516" i="307" s="1"/>
  <c r="BE512" i="307"/>
  <c r="BE513" i="307" s="1"/>
  <c r="BE517" i="307" s="1"/>
  <c r="BE524" i="307"/>
  <c r="BE535" i="307"/>
  <c r="BE552" i="307"/>
  <c r="BE553" i="307"/>
  <c r="BE556" i="307"/>
  <c r="BE557" i="307"/>
  <c r="BE559" i="307"/>
  <c r="BE565" i="307"/>
  <c r="BE566" i="307"/>
  <c r="BE569" i="307"/>
  <c r="BE570" i="307"/>
  <c r="BE572" i="307"/>
  <c r="BE178" i="307"/>
  <c r="BE186" i="307"/>
  <c r="BE185" i="307"/>
  <c r="BE137" i="307"/>
  <c r="BE138" i="307" s="1"/>
  <c r="BE142" i="307" s="1"/>
  <c r="BE143" i="307"/>
  <c r="BE144" i="307"/>
  <c r="BE149" i="307"/>
  <c r="BE270" i="307"/>
  <c r="BE163" i="307"/>
  <c r="BE164" i="307" s="1"/>
  <c r="F33" i="285"/>
  <c r="F34" i="285"/>
  <c r="J36" i="285"/>
  <c r="F35" i="285"/>
  <c r="F267" i="48"/>
  <c r="F360" i="48"/>
  <c r="F366" i="48"/>
  <c r="F365" i="48"/>
  <c r="F363" i="48"/>
  <c r="F367" i="48"/>
  <c r="F166" i="48"/>
  <c r="F372" i="48"/>
  <c r="BE331" i="307"/>
  <c r="J638" i="307"/>
  <c r="J639" i="307"/>
  <c r="K639" i="307"/>
  <c r="L639" i="307"/>
  <c r="M639" i="307"/>
  <c r="N639" i="307"/>
  <c r="O639" i="307"/>
  <c r="P639" i="307"/>
  <c r="Q639" i="307"/>
  <c r="R639" i="307"/>
  <c r="S639" i="307"/>
  <c r="T639" i="307"/>
  <c r="U639" i="307"/>
  <c r="V639" i="307"/>
  <c r="W639" i="307"/>
  <c r="X639" i="307"/>
  <c r="Y639" i="307"/>
  <c r="Z639" i="307"/>
  <c r="AA639" i="307"/>
  <c r="AB639" i="307"/>
  <c r="AC639" i="307"/>
  <c r="AD639" i="307"/>
  <c r="AE639" i="307"/>
  <c r="AF639" i="307"/>
  <c r="AG639" i="307"/>
  <c r="AH639" i="307"/>
  <c r="AI639" i="307"/>
  <c r="AJ639" i="307"/>
  <c r="AK639" i="307"/>
  <c r="AL639" i="307"/>
  <c r="AM639" i="307"/>
  <c r="AN639" i="307"/>
  <c r="AO639" i="307"/>
  <c r="AP639" i="307"/>
  <c r="AQ639" i="307"/>
  <c r="AR639" i="307"/>
  <c r="AS639" i="307"/>
  <c r="AT639" i="307"/>
  <c r="AU639" i="307"/>
  <c r="AV639" i="307"/>
  <c r="AW639" i="307"/>
  <c r="AX639" i="307"/>
  <c r="AY639" i="307"/>
  <c r="AZ639" i="307"/>
  <c r="BA639" i="307"/>
  <c r="BB639" i="307"/>
  <c r="BC639" i="307"/>
  <c r="BD639" i="307"/>
  <c r="BE639" i="307"/>
  <c r="J653" i="307"/>
  <c r="J654" i="307"/>
  <c r="K654" i="307"/>
  <c r="L654" i="307"/>
  <c r="M654" i="307"/>
  <c r="N654" i="307"/>
  <c r="O654" i="307"/>
  <c r="P654" i="307"/>
  <c r="Q654" i="307"/>
  <c r="R654" i="307"/>
  <c r="S654" i="307"/>
  <c r="T654" i="307"/>
  <c r="U654" i="307"/>
  <c r="V654" i="307"/>
  <c r="W654" i="307"/>
  <c r="X654" i="307"/>
  <c r="Y654" i="307"/>
  <c r="Z654" i="307"/>
  <c r="AA654" i="307"/>
  <c r="AB654" i="307"/>
  <c r="AC654" i="307"/>
  <c r="AD654" i="307"/>
  <c r="AE654" i="307"/>
  <c r="AF654" i="307"/>
  <c r="AG654" i="307"/>
  <c r="AH654" i="307"/>
  <c r="AI654" i="307"/>
  <c r="AJ654" i="307"/>
  <c r="AK654" i="307"/>
  <c r="AL654" i="307"/>
  <c r="AM654" i="307"/>
  <c r="AN654" i="307"/>
  <c r="AO654" i="307"/>
  <c r="AP654" i="307"/>
  <c r="AQ654" i="307"/>
  <c r="AR654" i="307"/>
  <c r="AS654" i="307"/>
  <c r="AT654" i="307"/>
  <c r="AU654" i="307"/>
  <c r="AV654" i="307"/>
  <c r="AW654" i="307"/>
  <c r="AX654" i="307"/>
  <c r="AY654" i="307"/>
  <c r="AZ654" i="307"/>
  <c r="BA654" i="307"/>
  <c r="BB654" i="307"/>
  <c r="BC654" i="307"/>
  <c r="BD654" i="307"/>
  <c r="BE654" i="307"/>
  <c r="J658" i="307"/>
  <c r="J659" i="307"/>
  <c r="K659" i="307"/>
  <c r="L659" i="307"/>
  <c r="M659" i="307"/>
  <c r="N659" i="307"/>
  <c r="O659" i="307"/>
  <c r="P659" i="307"/>
  <c r="Q659" i="307"/>
  <c r="R659" i="307"/>
  <c r="S659" i="307"/>
  <c r="T659" i="307"/>
  <c r="U659" i="307"/>
  <c r="V659" i="307"/>
  <c r="W659" i="307"/>
  <c r="X659" i="307"/>
  <c r="Y659" i="307"/>
  <c r="Z659" i="307"/>
  <c r="AA659" i="307"/>
  <c r="AB659" i="307"/>
  <c r="AC659" i="307"/>
  <c r="AD659" i="307"/>
  <c r="AE659" i="307"/>
  <c r="AF659" i="307"/>
  <c r="AG659" i="307"/>
  <c r="AH659" i="307"/>
  <c r="AI659" i="307"/>
  <c r="AJ659" i="307"/>
  <c r="AK659" i="307"/>
  <c r="AL659" i="307"/>
  <c r="AM659" i="307"/>
  <c r="AN659" i="307"/>
  <c r="AO659" i="307"/>
  <c r="AP659" i="307"/>
  <c r="AQ659" i="307"/>
  <c r="AR659" i="307"/>
  <c r="AS659" i="307"/>
  <c r="AT659" i="307"/>
  <c r="AU659" i="307"/>
  <c r="AV659" i="307"/>
  <c r="AW659" i="307"/>
  <c r="AX659" i="307"/>
  <c r="AY659" i="307"/>
  <c r="AZ659" i="307"/>
  <c r="BA659" i="307"/>
  <c r="BB659" i="307"/>
  <c r="BC659" i="307"/>
  <c r="BD659" i="307"/>
  <c r="BE659" i="307"/>
  <c r="K638" i="307"/>
  <c r="K653" i="307"/>
  <c r="K658" i="307"/>
  <c r="J15" i="314"/>
  <c r="F10" i="314"/>
  <c r="F11" i="314"/>
  <c r="F12" i="314"/>
  <c r="F14" i="314"/>
  <c r="K15" i="314"/>
  <c r="L15" i="314"/>
  <c r="L638" i="307"/>
  <c r="L653" i="307"/>
  <c r="L658" i="307"/>
  <c r="M638" i="307"/>
  <c r="M653" i="307"/>
  <c r="M658" i="307"/>
  <c r="N638" i="307"/>
  <c r="F269" i="48"/>
  <c r="N653" i="307"/>
  <c r="N658" i="307"/>
  <c r="O638" i="307"/>
  <c r="O653" i="307"/>
  <c r="O658" i="307"/>
  <c r="P638" i="307"/>
  <c r="F270" i="48"/>
  <c r="P653" i="307"/>
  <c r="P658" i="307"/>
  <c r="Q638" i="307"/>
  <c r="Q653" i="307"/>
  <c r="Q658" i="307"/>
  <c r="R638" i="307"/>
  <c r="F271" i="48"/>
  <c r="R653" i="307"/>
  <c r="R658" i="307"/>
  <c r="S638" i="307"/>
  <c r="S653" i="307"/>
  <c r="S658" i="307"/>
  <c r="T638" i="307"/>
  <c r="F272" i="48"/>
  <c r="T653" i="307"/>
  <c r="T658" i="307"/>
  <c r="U638" i="307"/>
  <c r="U653" i="307"/>
  <c r="U658" i="307"/>
  <c r="V638" i="307"/>
  <c r="F273" i="48"/>
  <c r="V653" i="307"/>
  <c r="V658" i="307"/>
  <c r="W638" i="307"/>
  <c r="W653" i="307"/>
  <c r="W658" i="307"/>
  <c r="X638" i="307"/>
  <c r="F274" i="48"/>
  <c r="X653" i="307"/>
  <c r="X658" i="307"/>
  <c r="Y638" i="307"/>
  <c r="Y653" i="307"/>
  <c r="Y658" i="307"/>
  <c r="Z638" i="307"/>
  <c r="F275" i="48"/>
  <c r="Z653" i="307"/>
  <c r="Z658" i="307"/>
  <c r="AA638" i="307"/>
  <c r="AA653" i="307"/>
  <c r="AA658" i="307"/>
  <c r="AB638" i="307"/>
  <c r="F276" i="48"/>
  <c r="AB653" i="307"/>
  <c r="AB658" i="307"/>
  <c r="AC638" i="307"/>
  <c r="AC653" i="307"/>
  <c r="AC658" i="307"/>
  <c r="AD638" i="307"/>
  <c r="F277" i="48"/>
  <c r="AD653" i="307"/>
  <c r="AD658" i="307"/>
  <c r="AE638" i="307"/>
  <c r="AE653" i="307"/>
  <c r="AE658" i="307"/>
  <c r="AF638" i="307"/>
  <c r="F278" i="48"/>
  <c r="AF653" i="307"/>
  <c r="AF658" i="307"/>
  <c r="AG638" i="307"/>
  <c r="AG653" i="307"/>
  <c r="AG658" i="307"/>
  <c r="AH638" i="307"/>
  <c r="F279" i="48"/>
  <c r="AH653" i="307"/>
  <c r="AH658" i="307"/>
  <c r="AI638" i="307"/>
  <c r="AI653" i="307"/>
  <c r="AI658" i="307"/>
  <c r="AJ638" i="307"/>
  <c r="F280" i="48"/>
  <c r="AJ653" i="307"/>
  <c r="AJ658" i="307"/>
  <c r="AK638" i="307"/>
  <c r="AK653" i="307"/>
  <c r="AK658" i="307"/>
  <c r="AL638" i="307"/>
  <c r="F281" i="48"/>
  <c r="AL653" i="307"/>
  <c r="AL658" i="307"/>
  <c r="AM638" i="307"/>
  <c r="AM653" i="307"/>
  <c r="AM658" i="307"/>
  <c r="AN638" i="307"/>
  <c r="F282" i="48"/>
  <c r="AN653" i="307"/>
  <c r="AN658" i="307"/>
  <c r="AO638" i="307"/>
  <c r="AO653" i="307"/>
  <c r="AO658" i="307"/>
  <c r="AP638" i="307"/>
  <c r="F283" i="48"/>
  <c r="AP653" i="307"/>
  <c r="AP658" i="307"/>
  <c r="AQ638" i="307"/>
  <c r="AQ653" i="307"/>
  <c r="AQ658" i="307"/>
  <c r="AR638" i="307"/>
  <c r="F284" i="48"/>
  <c r="AR653" i="307"/>
  <c r="AR658" i="307"/>
  <c r="AS638" i="307"/>
  <c r="AS653" i="307"/>
  <c r="AS658" i="307"/>
  <c r="AT638" i="307"/>
  <c r="F285" i="48"/>
  <c r="AT653" i="307"/>
  <c r="AT658" i="307"/>
  <c r="AU638" i="307"/>
  <c r="AU653" i="307"/>
  <c r="AU658" i="307"/>
  <c r="AV638" i="307"/>
  <c r="AV653" i="307"/>
  <c r="AV658" i="307"/>
  <c r="AW638" i="307"/>
  <c r="AW653" i="307"/>
  <c r="AW658" i="307"/>
  <c r="AX638" i="307"/>
  <c r="AX653" i="307"/>
  <c r="AX658" i="307"/>
  <c r="AY638" i="307"/>
  <c r="AY653" i="307"/>
  <c r="AY658" i="307"/>
  <c r="AZ638" i="307"/>
  <c r="AZ653" i="307"/>
  <c r="AZ658" i="307"/>
  <c r="BA638" i="307"/>
  <c r="BA653" i="307"/>
  <c r="BA658" i="307"/>
  <c r="BB638" i="307"/>
  <c r="BB653" i="307"/>
  <c r="BB658" i="307"/>
  <c r="BC638" i="307"/>
  <c r="BC653" i="307"/>
  <c r="BC658" i="307"/>
  <c r="BD638" i="307"/>
  <c r="BD653" i="307"/>
  <c r="BD658" i="307"/>
  <c r="BE638" i="307"/>
  <c r="BE653" i="307"/>
  <c r="BE658" i="307"/>
  <c r="M15" i="314"/>
  <c r="N15" i="314"/>
  <c r="O15" i="314"/>
  <c r="P15" i="314"/>
  <c r="Q15" i="314"/>
  <c r="R15" i="314"/>
  <c r="S15" i="314"/>
  <c r="T15" i="314"/>
  <c r="U15" i="314"/>
  <c r="V15" i="314"/>
  <c r="W15" i="314"/>
  <c r="X15" i="314"/>
  <c r="Y15" i="314"/>
  <c r="Z15" i="314"/>
  <c r="AA15" i="314"/>
  <c r="AB15" i="314"/>
  <c r="AC15" i="314"/>
  <c r="AD15" i="314"/>
  <c r="AE15" i="314"/>
  <c r="AF15" i="314"/>
  <c r="AG15" i="314"/>
  <c r="AH15" i="314"/>
  <c r="AI15" i="314"/>
  <c r="AJ15" i="314"/>
  <c r="AK15" i="314"/>
  <c r="AL15" i="314"/>
  <c r="AM15" i="314"/>
  <c r="AN15" i="314"/>
  <c r="AO15" i="314"/>
  <c r="AP15" i="314"/>
  <c r="AQ15" i="314"/>
  <c r="AR15" i="314"/>
  <c r="AS15" i="314"/>
  <c r="AT15" i="314"/>
  <c r="AU15" i="314"/>
  <c r="AV15" i="314"/>
  <c r="AW15" i="314"/>
  <c r="AX15" i="314"/>
  <c r="AY15" i="314"/>
  <c r="AZ15" i="314"/>
  <c r="BA15" i="314"/>
  <c r="BB15" i="314"/>
  <c r="BC15" i="314"/>
  <c r="BD15" i="314"/>
  <c r="BE15" i="314"/>
  <c r="BF15" i="314"/>
  <c r="BG15" i="314"/>
  <c r="BH15" i="314"/>
  <c r="BI15" i="314"/>
  <c r="BJ15" i="314"/>
  <c r="BK15" i="314"/>
  <c r="BL15" i="314"/>
  <c r="BM15" i="314"/>
  <c r="BN15" i="314"/>
  <c r="BO15" i="314"/>
  <c r="BP15" i="314"/>
  <c r="BQ15" i="314"/>
  <c r="BR15" i="314"/>
  <c r="BS15" i="314"/>
  <c r="BT15" i="314"/>
  <c r="BU15" i="314"/>
  <c r="BV15" i="314"/>
  <c r="BW15" i="314"/>
  <c r="BX15" i="314"/>
  <c r="BY15" i="314"/>
  <c r="BZ15" i="314"/>
  <c r="CA15" i="314"/>
  <c r="CB15" i="314"/>
  <c r="CC15" i="314"/>
  <c r="CD15" i="314"/>
  <c r="CE15" i="314"/>
  <c r="CF15" i="314"/>
  <c r="CG15" i="314"/>
  <c r="CH15" i="314"/>
  <c r="CI15" i="314"/>
  <c r="CJ15" i="314"/>
  <c r="CK15" i="314"/>
  <c r="CL15" i="314"/>
  <c r="CM15" i="314"/>
  <c r="CN15" i="314"/>
  <c r="CO15" i="314"/>
  <c r="CP15" i="314"/>
  <c r="CQ15" i="314"/>
  <c r="CR15" i="314"/>
  <c r="CS15" i="314"/>
  <c r="CT15" i="314"/>
  <c r="CU15" i="314"/>
  <c r="CV15" i="314"/>
  <c r="J17" i="314"/>
  <c r="J24" i="314"/>
  <c r="F350" i="48"/>
  <c r="F20" i="314"/>
  <c r="F351" i="48"/>
  <c r="F21" i="314"/>
  <c r="J172" i="314"/>
  <c r="F355" i="48"/>
  <c r="F168" i="314"/>
  <c r="F357" i="48"/>
  <c r="F169" i="314"/>
  <c r="F170" i="314"/>
  <c r="F368" i="48"/>
  <c r="F403" i="48"/>
  <c r="F402" i="48"/>
  <c r="J45" i="286"/>
  <c r="J70" i="286"/>
  <c r="F387" i="48"/>
  <c r="F160" i="278"/>
  <c r="J162" i="278"/>
  <c r="J161" i="278"/>
  <c r="J171" i="278"/>
  <c r="J166" i="278"/>
  <c r="J258" i="306"/>
  <c r="K258" i="306"/>
  <c r="L258" i="306"/>
  <c r="M258" i="306"/>
  <c r="N258" i="306"/>
  <c r="O258" i="306"/>
  <c r="P258" i="306"/>
  <c r="Q258" i="306"/>
  <c r="R258" i="306"/>
  <c r="S258" i="306"/>
  <c r="T258" i="306"/>
  <c r="U258" i="306"/>
  <c r="V258" i="306"/>
  <c r="W258" i="306"/>
  <c r="X258" i="306"/>
  <c r="Y258" i="306"/>
  <c r="Z258" i="306"/>
  <c r="AA258" i="306"/>
  <c r="AB258" i="306"/>
  <c r="AC258" i="306"/>
  <c r="AD258" i="306"/>
  <c r="AE258" i="306"/>
  <c r="AF258" i="306"/>
  <c r="AG258" i="306"/>
  <c r="AH258" i="306"/>
  <c r="AI258" i="306"/>
  <c r="AJ258" i="306"/>
  <c r="AK258" i="306"/>
  <c r="AL258" i="306"/>
  <c r="AM258" i="306"/>
  <c r="AN258" i="306"/>
  <c r="AO258" i="306"/>
  <c r="AP258" i="306"/>
  <c r="AQ258" i="306"/>
  <c r="AR258" i="306"/>
  <c r="AS258" i="306"/>
  <c r="AT258" i="306"/>
  <c r="AU258" i="306"/>
  <c r="AV258" i="306"/>
  <c r="AW258" i="306"/>
  <c r="AX258" i="306"/>
  <c r="AY258" i="306"/>
  <c r="AZ258" i="306"/>
  <c r="BA258" i="306"/>
  <c r="BB258" i="306"/>
  <c r="BC258" i="306"/>
  <c r="BD258" i="306"/>
  <c r="BE258" i="306"/>
  <c r="J256" i="306"/>
  <c r="J257" i="306"/>
  <c r="K257" i="306"/>
  <c r="L257" i="306"/>
  <c r="M257" i="306"/>
  <c r="N257" i="306"/>
  <c r="O257" i="306"/>
  <c r="P257" i="306"/>
  <c r="Q257" i="306"/>
  <c r="R257" i="306"/>
  <c r="S257" i="306"/>
  <c r="T257" i="306"/>
  <c r="U257" i="306"/>
  <c r="V257" i="306"/>
  <c r="W257" i="306"/>
  <c r="X257" i="306"/>
  <c r="Y257" i="306"/>
  <c r="Z257" i="306"/>
  <c r="AA257" i="306"/>
  <c r="AB257" i="306"/>
  <c r="AC257" i="306"/>
  <c r="AD257" i="306"/>
  <c r="AE257" i="306"/>
  <c r="AF257" i="306"/>
  <c r="AG257" i="306"/>
  <c r="AH257" i="306"/>
  <c r="AI257" i="306"/>
  <c r="AJ257" i="306"/>
  <c r="AK257" i="306"/>
  <c r="AL257" i="306"/>
  <c r="AM257" i="306"/>
  <c r="AN257" i="306"/>
  <c r="AO257" i="306"/>
  <c r="AP257" i="306"/>
  <c r="AQ257" i="306"/>
  <c r="AR257" i="306"/>
  <c r="AS257" i="306"/>
  <c r="AT257" i="306"/>
  <c r="AU257" i="306"/>
  <c r="AV257" i="306"/>
  <c r="AW257" i="306"/>
  <c r="AX257" i="306"/>
  <c r="AY257" i="306"/>
  <c r="AZ257" i="306"/>
  <c r="BA257" i="306"/>
  <c r="BB257" i="306"/>
  <c r="BC257" i="306"/>
  <c r="BD257" i="306"/>
  <c r="BE257" i="306"/>
  <c r="J259" i="306"/>
  <c r="J42" i="265" s="1"/>
  <c r="J177" i="278"/>
  <c r="J179" i="278"/>
  <c r="J223" i="278"/>
  <c r="J217" i="278"/>
  <c r="F388" i="48"/>
  <c r="F210" i="278"/>
  <c r="J213" i="278"/>
  <c r="J212" i="278"/>
  <c r="J211" i="278"/>
  <c r="J214" i="278"/>
  <c r="J218" i="278"/>
  <c r="J222" i="278"/>
  <c r="J216" i="278"/>
  <c r="J219" i="278"/>
  <c r="J224" i="278"/>
  <c r="J225" i="278"/>
  <c r="J229" i="278"/>
  <c r="J228" i="278"/>
  <c r="J230" i="278"/>
  <c r="J231" i="278"/>
  <c r="J238" i="278"/>
  <c r="J239" i="278"/>
  <c r="I109" i="273"/>
  <c r="J110" i="273"/>
  <c r="J240" i="278"/>
  <c r="J268" i="278"/>
  <c r="J274" i="278"/>
  <c r="J266" i="278"/>
  <c r="J220" i="278"/>
  <c r="J44" i="265" s="1"/>
  <c r="J273" i="306"/>
  <c r="K273" i="306"/>
  <c r="L273" i="306"/>
  <c r="M273" i="306"/>
  <c r="N273" i="306"/>
  <c r="O273" i="306"/>
  <c r="P273" i="306"/>
  <c r="Q273" i="306"/>
  <c r="R273" i="306"/>
  <c r="S273" i="306"/>
  <c r="T273" i="306"/>
  <c r="U273" i="306"/>
  <c r="V273" i="306"/>
  <c r="W273" i="306"/>
  <c r="X273" i="306"/>
  <c r="Y273" i="306"/>
  <c r="Z273" i="306"/>
  <c r="AA273" i="306"/>
  <c r="AB273" i="306"/>
  <c r="AC273" i="306"/>
  <c r="AD273" i="306"/>
  <c r="AE273" i="306"/>
  <c r="AF273" i="306"/>
  <c r="AG273" i="306"/>
  <c r="AH273" i="306"/>
  <c r="AI273" i="306"/>
  <c r="AJ273" i="306"/>
  <c r="AK273" i="306"/>
  <c r="AL273" i="306"/>
  <c r="AM273" i="306"/>
  <c r="AN273" i="306"/>
  <c r="AO273" i="306"/>
  <c r="AP273" i="306"/>
  <c r="AQ273" i="306"/>
  <c r="AR273" i="306"/>
  <c r="AS273" i="306"/>
  <c r="AT273" i="306"/>
  <c r="AU273" i="306"/>
  <c r="AV273" i="306"/>
  <c r="AW273" i="306"/>
  <c r="AX273" i="306"/>
  <c r="AY273" i="306"/>
  <c r="AZ273" i="306"/>
  <c r="BA273" i="306"/>
  <c r="BB273" i="306"/>
  <c r="BC273" i="306"/>
  <c r="BD273" i="306"/>
  <c r="BE273" i="306"/>
  <c r="J271" i="306"/>
  <c r="J272" i="306"/>
  <c r="K272" i="306"/>
  <c r="L272" i="306"/>
  <c r="M272" i="306"/>
  <c r="N272" i="306"/>
  <c r="O272" i="306"/>
  <c r="P272" i="306"/>
  <c r="Q272" i="306"/>
  <c r="R272" i="306"/>
  <c r="S272" i="306"/>
  <c r="T272" i="306"/>
  <c r="U272" i="306"/>
  <c r="V272" i="306"/>
  <c r="W272" i="306"/>
  <c r="X272" i="306"/>
  <c r="Y272" i="306"/>
  <c r="Z272" i="306"/>
  <c r="AA272" i="306"/>
  <c r="AB272" i="306"/>
  <c r="AC272" i="306"/>
  <c r="AD272" i="306"/>
  <c r="AE272" i="306"/>
  <c r="AF272" i="306"/>
  <c r="AG272" i="306"/>
  <c r="AH272" i="306"/>
  <c r="AI272" i="306"/>
  <c r="AJ272" i="306"/>
  <c r="AK272" i="306"/>
  <c r="AL272" i="306"/>
  <c r="AM272" i="306"/>
  <c r="AN272" i="306"/>
  <c r="AO272" i="306"/>
  <c r="AP272" i="306"/>
  <c r="AQ272" i="306"/>
  <c r="AR272" i="306"/>
  <c r="AS272" i="306"/>
  <c r="AT272" i="306"/>
  <c r="AU272" i="306"/>
  <c r="AV272" i="306"/>
  <c r="AW272" i="306"/>
  <c r="AX272" i="306"/>
  <c r="AY272" i="306"/>
  <c r="AZ272" i="306"/>
  <c r="BA272" i="306"/>
  <c r="BB272" i="306"/>
  <c r="BC272" i="306"/>
  <c r="BD272" i="306"/>
  <c r="BE272" i="306"/>
  <c r="J274" i="306"/>
  <c r="J317" i="278"/>
  <c r="J323" i="278"/>
  <c r="J318" i="278"/>
  <c r="J319" i="278"/>
  <c r="J320" i="278"/>
  <c r="J321" i="278"/>
  <c r="J45" i="265" s="1"/>
  <c r="J235" i="306"/>
  <c r="K235" i="306"/>
  <c r="L235" i="306"/>
  <c r="M235" i="306"/>
  <c r="N235" i="306"/>
  <c r="O235" i="306"/>
  <c r="P235" i="306"/>
  <c r="Q235" i="306"/>
  <c r="R235" i="306"/>
  <c r="S235" i="306"/>
  <c r="T235" i="306"/>
  <c r="U235" i="306"/>
  <c r="V235" i="306"/>
  <c r="W235" i="306"/>
  <c r="X235" i="306"/>
  <c r="Y235" i="306"/>
  <c r="Z235" i="306"/>
  <c r="AA235" i="306"/>
  <c r="AB235" i="306"/>
  <c r="AC235" i="306"/>
  <c r="AD235" i="306"/>
  <c r="AE235" i="306"/>
  <c r="AF235" i="306"/>
  <c r="AG235" i="306"/>
  <c r="AH235" i="306"/>
  <c r="AI235" i="306"/>
  <c r="AJ235" i="306"/>
  <c r="AK235" i="306"/>
  <c r="AL235" i="306"/>
  <c r="AM235" i="306"/>
  <c r="AN235" i="306"/>
  <c r="AO235" i="306"/>
  <c r="AP235" i="306"/>
  <c r="AQ235" i="306"/>
  <c r="AR235" i="306"/>
  <c r="AS235" i="306"/>
  <c r="AT235" i="306"/>
  <c r="AU235" i="306"/>
  <c r="AV235" i="306"/>
  <c r="AW235" i="306"/>
  <c r="AX235" i="306"/>
  <c r="AY235" i="306"/>
  <c r="AZ235" i="306"/>
  <c r="BA235" i="306"/>
  <c r="BB235" i="306"/>
  <c r="BC235" i="306"/>
  <c r="BD235" i="306"/>
  <c r="BE235" i="306"/>
  <c r="J233" i="306"/>
  <c r="J234" i="306"/>
  <c r="K234" i="306"/>
  <c r="L234" i="306"/>
  <c r="M234" i="306"/>
  <c r="N234" i="306"/>
  <c r="O234" i="306"/>
  <c r="P234" i="306"/>
  <c r="Q234" i="306"/>
  <c r="R234" i="306"/>
  <c r="S234" i="306"/>
  <c r="T234" i="306"/>
  <c r="U234" i="306"/>
  <c r="V234" i="306"/>
  <c r="W234" i="306"/>
  <c r="X234" i="306"/>
  <c r="Y234" i="306"/>
  <c r="Z234" i="306"/>
  <c r="AA234" i="306"/>
  <c r="AB234" i="306"/>
  <c r="AC234" i="306"/>
  <c r="AD234" i="306"/>
  <c r="AE234" i="306"/>
  <c r="AF234" i="306"/>
  <c r="AG234" i="306"/>
  <c r="AH234" i="306"/>
  <c r="AI234" i="306"/>
  <c r="AJ234" i="306"/>
  <c r="AK234" i="306"/>
  <c r="AL234" i="306"/>
  <c r="AM234" i="306"/>
  <c r="AN234" i="306"/>
  <c r="AO234" i="306"/>
  <c r="AP234" i="306"/>
  <c r="AQ234" i="306"/>
  <c r="AR234" i="306"/>
  <c r="AS234" i="306"/>
  <c r="AT234" i="306"/>
  <c r="AU234" i="306"/>
  <c r="AV234" i="306"/>
  <c r="AW234" i="306"/>
  <c r="AX234" i="306"/>
  <c r="AY234" i="306"/>
  <c r="AZ234" i="306"/>
  <c r="BA234" i="306"/>
  <c r="BB234" i="306"/>
  <c r="BC234" i="306"/>
  <c r="BD234" i="306"/>
  <c r="BE234" i="306"/>
  <c r="J236" i="306"/>
  <c r="J237" i="306"/>
  <c r="J49" i="265" s="1"/>
  <c r="J607" i="307"/>
  <c r="J608" i="307"/>
  <c r="K608" i="307"/>
  <c r="L608" i="307"/>
  <c r="M608" i="307"/>
  <c r="N608" i="307"/>
  <c r="O608" i="307"/>
  <c r="P608" i="307"/>
  <c r="Q608" i="307"/>
  <c r="R608" i="307"/>
  <c r="S608" i="307"/>
  <c r="T608" i="307"/>
  <c r="U608" i="307"/>
  <c r="V608" i="307"/>
  <c r="W608" i="307"/>
  <c r="X608" i="307"/>
  <c r="Y608" i="307"/>
  <c r="Z608" i="307"/>
  <c r="AA608" i="307"/>
  <c r="AB608" i="307"/>
  <c r="AC608" i="307"/>
  <c r="AD608" i="307"/>
  <c r="AE608" i="307"/>
  <c r="AF608" i="307"/>
  <c r="AG608" i="307"/>
  <c r="AH608" i="307"/>
  <c r="AI608" i="307"/>
  <c r="AJ608" i="307"/>
  <c r="AK608" i="307"/>
  <c r="AL608" i="307"/>
  <c r="AM608" i="307"/>
  <c r="AN608" i="307"/>
  <c r="AO608" i="307"/>
  <c r="AP608" i="307"/>
  <c r="AQ608" i="307"/>
  <c r="AR608" i="307"/>
  <c r="AS608" i="307"/>
  <c r="AT608" i="307"/>
  <c r="AU608" i="307"/>
  <c r="AV608" i="307"/>
  <c r="AW608" i="307"/>
  <c r="AX608" i="307"/>
  <c r="AY608" i="307"/>
  <c r="AZ608" i="307"/>
  <c r="BA608" i="307"/>
  <c r="BB608" i="307"/>
  <c r="BC608" i="307"/>
  <c r="BD608" i="307"/>
  <c r="BE608" i="307"/>
  <c r="E60" i="278"/>
  <c r="E52" i="278"/>
  <c r="G132" i="278"/>
  <c r="G52" i="278"/>
  <c r="O38" i="278"/>
  <c r="O39" i="278"/>
  <c r="O54" i="278"/>
  <c r="O23" i="289"/>
  <c r="O225" i="273"/>
  <c r="O226" i="273"/>
  <c r="O21" i="289"/>
  <c r="F125" i="48"/>
  <c r="F19" i="289"/>
  <c r="F18" i="325"/>
  <c r="F20" i="289"/>
  <c r="O16" i="289"/>
  <c r="F126" i="48"/>
  <c r="F14" i="289"/>
  <c r="O11" i="289"/>
  <c r="O10" i="289"/>
  <c r="F123" i="48"/>
  <c r="F9" i="289"/>
  <c r="O12" i="289"/>
  <c r="O15" i="289"/>
  <c r="O17" i="289"/>
  <c r="O22" i="289"/>
  <c r="O24" i="289"/>
  <c r="O55" i="278"/>
  <c r="O56" i="278"/>
  <c r="O57" i="278"/>
  <c r="O60" i="278"/>
  <c r="E42" i="278"/>
  <c r="G42" i="278"/>
  <c r="O48" i="278"/>
  <c r="O49" i="278"/>
  <c r="O12" i="278"/>
  <c r="F80" i="48"/>
  <c r="F10" i="278"/>
  <c r="O11" i="278"/>
  <c r="O13" i="278"/>
  <c r="O32" i="278"/>
  <c r="O18" i="278"/>
  <c r="F232" i="273"/>
  <c r="J233" i="273"/>
  <c r="J234" i="273"/>
  <c r="K233" i="273"/>
  <c r="K234" i="273"/>
  <c r="L233" i="273"/>
  <c r="L234" i="273"/>
  <c r="M233" i="273"/>
  <c r="M234" i="273"/>
  <c r="N233" i="273"/>
  <c r="N234" i="273"/>
  <c r="O233" i="273"/>
  <c r="O234" i="273"/>
  <c r="O17" i="278"/>
  <c r="F76" i="48"/>
  <c r="F15" i="278"/>
  <c r="O19" i="278"/>
  <c r="O33" i="278"/>
  <c r="O34" i="278"/>
  <c r="O68" i="278"/>
  <c r="O70" i="278"/>
  <c r="M44" i="273"/>
  <c r="L44" i="273"/>
  <c r="K44" i="273"/>
  <c r="J44" i="273"/>
  <c r="F14" i="48"/>
  <c r="F42" i="273"/>
  <c r="J45" i="273"/>
  <c r="F43" i="273"/>
  <c r="K45" i="273"/>
  <c r="L45" i="273"/>
  <c r="M45" i="273"/>
  <c r="J34" i="273"/>
  <c r="F32" i="273"/>
  <c r="J36" i="273"/>
  <c r="J38" i="273"/>
  <c r="J39" i="273"/>
  <c r="K34" i="273"/>
  <c r="J35" i="273"/>
  <c r="F33" i="273"/>
  <c r="K36" i="273"/>
  <c r="K38" i="273"/>
  <c r="K39" i="273"/>
  <c r="L34" i="273"/>
  <c r="K35" i="273"/>
  <c r="L36" i="273"/>
  <c r="L38" i="273"/>
  <c r="L39" i="273"/>
  <c r="K38" i="278"/>
  <c r="K39" i="278"/>
  <c r="K48" i="278"/>
  <c r="K49" i="278"/>
  <c r="K54" i="278"/>
  <c r="K23" i="289"/>
  <c r="K225" i="273"/>
  <c r="K226" i="273"/>
  <c r="K21" i="289"/>
  <c r="K16" i="289"/>
  <c r="K11" i="289"/>
  <c r="K10" i="289"/>
  <c r="K12" i="289"/>
  <c r="K15" i="289"/>
  <c r="K17" i="289"/>
  <c r="K22" i="289"/>
  <c r="K24" i="289"/>
  <c r="K55" i="278"/>
  <c r="K56" i="278"/>
  <c r="K57" i="278"/>
  <c r="K60" i="278"/>
  <c r="K12" i="278"/>
  <c r="K13" i="278"/>
  <c r="K32" i="278"/>
  <c r="K18" i="278"/>
  <c r="K19" i="278"/>
  <c r="K33" i="278"/>
  <c r="K34" i="278"/>
  <c r="K68" i="278"/>
  <c r="K70" i="278"/>
  <c r="L38" i="278"/>
  <c r="L39" i="278"/>
  <c r="L48" i="278"/>
  <c r="L49" i="278"/>
  <c r="L54" i="278"/>
  <c r="L23" i="289"/>
  <c r="L225" i="273"/>
  <c r="L226" i="273"/>
  <c r="L21" i="289"/>
  <c r="L24" i="289"/>
  <c r="L55" i="278"/>
  <c r="L56" i="278"/>
  <c r="L57" i="278"/>
  <c r="L60" i="278"/>
  <c r="L12" i="278"/>
  <c r="L13" i="278"/>
  <c r="L32" i="278"/>
  <c r="L18" i="278"/>
  <c r="L19" i="278"/>
  <c r="L33" i="278"/>
  <c r="L34" i="278"/>
  <c r="L68" i="278"/>
  <c r="L70" i="278"/>
  <c r="M38" i="278"/>
  <c r="M39" i="278"/>
  <c r="M48" i="278"/>
  <c r="M49" i="278"/>
  <c r="M54" i="278"/>
  <c r="M23" i="289"/>
  <c r="M225" i="273"/>
  <c r="M226" i="273"/>
  <c r="M21" i="289"/>
  <c r="M16" i="289"/>
  <c r="M11" i="289"/>
  <c r="M10" i="289"/>
  <c r="M12" i="289"/>
  <c r="M15" i="289"/>
  <c r="M17" i="289"/>
  <c r="M22" i="289"/>
  <c r="M24" i="289"/>
  <c r="M55" i="278"/>
  <c r="M56" i="278"/>
  <c r="M57" i="278"/>
  <c r="M60" i="278"/>
  <c r="M12" i="278"/>
  <c r="M13" i="278"/>
  <c r="M32" i="278"/>
  <c r="M18" i="278"/>
  <c r="M19" i="278"/>
  <c r="M33" i="278"/>
  <c r="M34" i="278"/>
  <c r="M68" i="278"/>
  <c r="M70" i="278"/>
  <c r="N38" i="278"/>
  <c r="N39" i="278"/>
  <c r="N48" i="278"/>
  <c r="N49" i="278"/>
  <c r="N54" i="278"/>
  <c r="N23" i="289"/>
  <c r="N225" i="273"/>
  <c r="N226" i="273"/>
  <c r="N21" i="289"/>
  <c r="N24" i="289"/>
  <c r="N55" i="278"/>
  <c r="N56" i="278"/>
  <c r="N57" i="278"/>
  <c r="N60" i="278"/>
  <c r="N12" i="278"/>
  <c r="N13" i="278"/>
  <c r="N32" i="278"/>
  <c r="N18" i="278"/>
  <c r="N19" i="278"/>
  <c r="N33" i="278"/>
  <c r="N34" i="278"/>
  <c r="N68" i="278"/>
  <c r="N70" i="278"/>
  <c r="P38" i="278"/>
  <c r="P39" i="278"/>
  <c r="P48" i="278"/>
  <c r="P49" i="278"/>
  <c r="P54" i="278"/>
  <c r="P23" i="289"/>
  <c r="P225" i="273"/>
  <c r="P226" i="273"/>
  <c r="P21" i="289"/>
  <c r="P24" i="289"/>
  <c r="P55" i="278"/>
  <c r="P56" i="278"/>
  <c r="P57" i="278"/>
  <c r="P60" i="278"/>
  <c r="P12" i="278"/>
  <c r="P11" i="278"/>
  <c r="P13" i="278"/>
  <c r="P32" i="278"/>
  <c r="P18" i="278"/>
  <c r="P233" i="273"/>
  <c r="P234" i="273"/>
  <c r="P17" i="278"/>
  <c r="F77" i="48"/>
  <c r="F16" i="278"/>
  <c r="P19" i="278"/>
  <c r="P33" i="278"/>
  <c r="P34" i="278"/>
  <c r="P68" i="278"/>
  <c r="P70" i="278"/>
  <c r="Q38" i="278"/>
  <c r="Q39" i="278"/>
  <c r="Q48" i="278"/>
  <c r="Q49" i="278"/>
  <c r="Q50" i="278"/>
  <c r="Q59" i="278"/>
  <c r="Q54" i="278"/>
  <c r="Q23" i="289"/>
  <c r="Q225" i="273"/>
  <c r="Q226" i="273"/>
  <c r="Q21" i="289"/>
  <c r="Q16" i="289"/>
  <c r="Q11" i="289"/>
  <c r="Q10" i="289"/>
  <c r="Q12" i="289"/>
  <c r="Q15" i="289"/>
  <c r="Q17" i="289"/>
  <c r="Q22" i="289"/>
  <c r="Q24" i="289"/>
  <c r="Q55" i="278"/>
  <c r="Q56" i="278"/>
  <c r="Q57" i="278"/>
  <c r="Q60" i="278"/>
  <c r="Q61" i="278"/>
  <c r="Q67" i="278"/>
  <c r="Q12" i="278"/>
  <c r="Q11" i="278"/>
  <c r="Q13" i="278"/>
  <c r="Q32" i="278"/>
  <c r="Q18" i="278"/>
  <c r="Q233" i="273"/>
  <c r="Q234" i="273"/>
  <c r="Q17" i="278"/>
  <c r="Q19" i="278"/>
  <c r="Q33" i="278"/>
  <c r="Q34" i="278"/>
  <c r="Q68" i="278"/>
  <c r="Q70" i="278"/>
  <c r="Q71" i="278"/>
  <c r="Q74" i="278"/>
  <c r="Q75" i="278"/>
  <c r="Q9" i="265"/>
  <c r="R38" i="278"/>
  <c r="R39" i="278"/>
  <c r="R48" i="278"/>
  <c r="R49" i="278"/>
  <c r="R50" i="278"/>
  <c r="R59" i="278"/>
  <c r="R54" i="278"/>
  <c r="R23" i="289"/>
  <c r="R225" i="273"/>
  <c r="R226" i="273"/>
  <c r="R21" i="289"/>
  <c r="R24" i="289"/>
  <c r="R55" i="278"/>
  <c r="R56" i="278"/>
  <c r="R57" i="278"/>
  <c r="R60" i="278"/>
  <c r="R61" i="278"/>
  <c r="R67" i="278"/>
  <c r="R12" i="278"/>
  <c r="R11" i="278"/>
  <c r="R13" i="278"/>
  <c r="R32" i="278"/>
  <c r="R18" i="278"/>
  <c r="R233" i="273"/>
  <c r="R234" i="273"/>
  <c r="R17" i="278"/>
  <c r="R19" i="278"/>
  <c r="R33" i="278"/>
  <c r="R34" i="278"/>
  <c r="R68" i="278"/>
  <c r="R70" i="278"/>
  <c r="R71" i="278"/>
  <c r="R74" i="278"/>
  <c r="R75" i="278"/>
  <c r="R9" i="265"/>
  <c r="S38" i="278"/>
  <c r="S39" i="278"/>
  <c r="S48" i="278"/>
  <c r="S49" i="278"/>
  <c r="S50" i="278"/>
  <c r="S59" i="278"/>
  <c r="S54" i="278"/>
  <c r="S23" i="289"/>
  <c r="S225" i="273"/>
  <c r="S226" i="273"/>
  <c r="S21" i="289"/>
  <c r="S16" i="289"/>
  <c r="S11" i="289"/>
  <c r="S10" i="289"/>
  <c r="S12" i="289"/>
  <c r="S15" i="289"/>
  <c r="S17" i="289"/>
  <c r="S22" i="289"/>
  <c r="S24" i="289"/>
  <c r="S55" i="278"/>
  <c r="S56" i="278"/>
  <c r="S57" i="278"/>
  <c r="S60" i="278"/>
  <c r="S61" i="278"/>
  <c r="S67" i="278"/>
  <c r="S12" i="278"/>
  <c r="S11" i="278"/>
  <c r="S13" i="278"/>
  <c r="S32" i="278"/>
  <c r="S18" i="278"/>
  <c r="S233" i="273"/>
  <c r="S234" i="273"/>
  <c r="S17" i="278"/>
  <c r="S19" i="278"/>
  <c r="S33" i="278"/>
  <c r="S34" i="278"/>
  <c r="S68" i="278"/>
  <c r="S70" i="278"/>
  <c r="S71" i="278"/>
  <c r="S74" i="278"/>
  <c r="S75" i="278"/>
  <c r="S9" i="265"/>
  <c r="T38" i="278"/>
  <c r="T39" i="278"/>
  <c r="T48" i="278"/>
  <c r="T49" i="278"/>
  <c r="T50" i="278"/>
  <c r="T59" i="278"/>
  <c r="T54" i="278"/>
  <c r="T23" i="289"/>
  <c r="T225" i="273"/>
  <c r="T226" i="273"/>
  <c r="T21" i="289"/>
  <c r="T24" i="289"/>
  <c r="T55" i="278"/>
  <c r="T56" i="278"/>
  <c r="T57" i="278"/>
  <c r="T60" i="278"/>
  <c r="T61" i="278"/>
  <c r="T67" i="278"/>
  <c r="T12" i="278"/>
  <c r="T11" i="278"/>
  <c r="T13" i="278"/>
  <c r="T32" i="278"/>
  <c r="T18" i="278"/>
  <c r="T233" i="273"/>
  <c r="T234" i="273"/>
  <c r="T17" i="278"/>
  <c r="T19" i="278"/>
  <c r="T33" i="278"/>
  <c r="T34" i="278"/>
  <c r="T68" i="278"/>
  <c r="T70" i="278"/>
  <c r="T71" i="278"/>
  <c r="T74" i="278"/>
  <c r="T75" i="278"/>
  <c r="T9" i="265"/>
  <c r="U38" i="278"/>
  <c r="U39" i="278"/>
  <c r="U48" i="278"/>
  <c r="U49" i="278"/>
  <c r="U50" i="278"/>
  <c r="U59" i="278"/>
  <c r="U54" i="278"/>
  <c r="U23" i="289"/>
  <c r="U225" i="273"/>
  <c r="U226" i="273"/>
  <c r="U21" i="289"/>
  <c r="U16" i="289"/>
  <c r="U11" i="289"/>
  <c r="U10" i="289"/>
  <c r="U12" i="289"/>
  <c r="U15" i="289"/>
  <c r="U17" i="289"/>
  <c r="U22" i="289"/>
  <c r="U24" i="289"/>
  <c r="U55" i="278"/>
  <c r="U56" i="278"/>
  <c r="U57" i="278"/>
  <c r="U60" i="278"/>
  <c r="U61" i="278"/>
  <c r="U67" i="278"/>
  <c r="U12" i="278"/>
  <c r="U11" i="278"/>
  <c r="U13" i="278"/>
  <c r="U32" i="278"/>
  <c r="U18" i="278"/>
  <c r="U233" i="273"/>
  <c r="U234" i="273"/>
  <c r="U17" i="278"/>
  <c r="U19" i="278"/>
  <c r="U33" i="278"/>
  <c r="U34" i="278"/>
  <c r="U68" i="278"/>
  <c r="U70" i="278"/>
  <c r="U71" i="278"/>
  <c r="U74" i="278"/>
  <c r="U75" i="278"/>
  <c r="U9" i="265"/>
  <c r="V38" i="278"/>
  <c r="V39" i="278"/>
  <c r="V48" i="278"/>
  <c r="V49" i="278"/>
  <c r="V50" i="278"/>
  <c r="V59" i="278"/>
  <c r="V54" i="278"/>
  <c r="V23" i="289"/>
  <c r="V225" i="273"/>
  <c r="V226" i="273"/>
  <c r="V21" i="289"/>
  <c r="V24" i="289"/>
  <c r="V55" i="278"/>
  <c r="V56" i="278"/>
  <c r="V57" i="278"/>
  <c r="V60" i="278"/>
  <c r="V61" i="278"/>
  <c r="V67" i="278"/>
  <c r="V12" i="278"/>
  <c r="V11" i="278"/>
  <c r="V13" i="278"/>
  <c r="V32" i="278"/>
  <c r="V18" i="278"/>
  <c r="V233" i="273"/>
  <c r="V234" i="273"/>
  <c r="V17" i="278"/>
  <c r="V19" i="278"/>
  <c r="V33" i="278"/>
  <c r="V34" i="278"/>
  <c r="V68" i="278"/>
  <c r="V70" i="278"/>
  <c r="V71" i="278"/>
  <c r="V74" i="278"/>
  <c r="V75" i="278"/>
  <c r="V9" i="265"/>
  <c r="W38" i="278"/>
  <c r="W39" i="278"/>
  <c r="W48" i="278"/>
  <c r="W49" i="278"/>
  <c r="W50" i="278"/>
  <c r="W59" i="278"/>
  <c r="W54" i="278"/>
  <c r="W23" i="289"/>
  <c r="W225" i="273"/>
  <c r="W226" i="273"/>
  <c r="W21" i="289"/>
  <c r="W16" i="289"/>
  <c r="W11" i="289"/>
  <c r="W10" i="289"/>
  <c r="W12" i="289"/>
  <c r="W15" i="289"/>
  <c r="W17" i="289"/>
  <c r="W22" i="289"/>
  <c r="W24" i="289"/>
  <c r="W55" i="278"/>
  <c r="W56" i="278"/>
  <c r="W57" i="278"/>
  <c r="W60" i="278"/>
  <c r="W61" i="278"/>
  <c r="W67" i="278"/>
  <c r="W12" i="278"/>
  <c r="W11" i="278"/>
  <c r="W13" i="278"/>
  <c r="W32" i="278"/>
  <c r="W18" i="278"/>
  <c r="W233" i="273"/>
  <c r="W234" i="273"/>
  <c r="W17" i="278"/>
  <c r="W19" i="278"/>
  <c r="W33" i="278"/>
  <c r="W34" i="278"/>
  <c r="W68" i="278"/>
  <c r="W70" i="278"/>
  <c r="W71" i="278"/>
  <c r="W74" i="278"/>
  <c r="W75" i="278"/>
  <c r="W9" i="265"/>
  <c r="X38" i="278"/>
  <c r="X39" i="278"/>
  <c r="X48" i="278"/>
  <c r="X49" i="278"/>
  <c r="X50" i="278"/>
  <c r="X59" i="278"/>
  <c r="X54" i="278"/>
  <c r="X23" i="289"/>
  <c r="X225" i="273"/>
  <c r="X226" i="273"/>
  <c r="X21" i="289"/>
  <c r="X24" i="289"/>
  <c r="X55" i="278"/>
  <c r="X56" i="278"/>
  <c r="X57" i="278"/>
  <c r="X60" i="278"/>
  <c r="X61" i="278"/>
  <c r="X67" i="278"/>
  <c r="X12" i="278"/>
  <c r="X11" i="278"/>
  <c r="X13" i="278"/>
  <c r="X32" i="278"/>
  <c r="X18" i="278"/>
  <c r="X233" i="273"/>
  <c r="X234" i="273"/>
  <c r="X17" i="278"/>
  <c r="X19" i="278"/>
  <c r="X33" i="278"/>
  <c r="X34" i="278"/>
  <c r="X68" i="278"/>
  <c r="X70" i="278"/>
  <c r="X71" i="278"/>
  <c r="X74" i="278"/>
  <c r="X75" i="278"/>
  <c r="X9" i="265"/>
  <c r="Y38" i="278"/>
  <c r="Y39" i="278"/>
  <c r="Y48" i="278"/>
  <c r="Y49" i="278"/>
  <c r="Y50" i="278"/>
  <c r="Y59" i="278"/>
  <c r="Y54" i="278"/>
  <c r="Y23" i="289"/>
  <c r="Y225" i="273"/>
  <c r="Y226" i="273"/>
  <c r="Y21" i="289"/>
  <c r="Y16" i="289"/>
  <c r="Y11" i="289"/>
  <c r="Y10" i="289"/>
  <c r="Y12" i="289"/>
  <c r="Y15" i="289"/>
  <c r="Y17" i="289"/>
  <c r="Y22" i="289"/>
  <c r="Y24" i="289"/>
  <c r="Y55" i="278"/>
  <c r="Y56" i="278"/>
  <c r="Y57" i="278"/>
  <c r="Y60" i="278"/>
  <c r="Y61" i="278"/>
  <c r="Y67" i="278"/>
  <c r="Y12" i="278"/>
  <c r="Y11" i="278"/>
  <c r="Y13" i="278"/>
  <c r="Y32" i="278"/>
  <c r="Y18" i="278"/>
  <c r="Y233" i="273"/>
  <c r="Y234" i="273"/>
  <c r="Y17" i="278"/>
  <c r="Y19" i="278"/>
  <c r="Y33" i="278"/>
  <c r="Y34" i="278"/>
  <c r="Y68" i="278"/>
  <c r="Y70" i="278"/>
  <c r="Y71" i="278"/>
  <c r="Y74" i="278"/>
  <c r="Y75" i="278"/>
  <c r="Y9" i="265"/>
  <c r="Z38" i="278"/>
  <c r="Z39" i="278"/>
  <c r="Z48" i="278"/>
  <c r="Z49" i="278"/>
  <c r="Z50" i="278"/>
  <c r="Z59" i="278"/>
  <c r="Z54" i="278"/>
  <c r="Z23" i="289"/>
  <c r="Z225" i="273"/>
  <c r="Z226" i="273"/>
  <c r="Z21" i="289"/>
  <c r="Z24" i="289"/>
  <c r="Z55" i="278"/>
  <c r="Z56" i="278"/>
  <c r="Z57" i="278"/>
  <c r="Z60" i="278"/>
  <c r="Z61" i="278"/>
  <c r="Z67" i="278"/>
  <c r="Z12" i="278"/>
  <c r="Z11" i="278"/>
  <c r="Z13" i="278"/>
  <c r="Z32" i="278"/>
  <c r="Z18" i="278"/>
  <c r="Z233" i="273"/>
  <c r="Z234" i="273"/>
  <c r="Z17" i="278"/>
  <c r="Z19" i="278"/>
  <c r="Z33" i="278"/>
  <c r="Z34" i="278"/>
  <c r="Z68" i="278"/>
  <c r="Z70" i="278"/>
  <c r="Z71" i="278"/>
  <c r="Z74" i="278"/>
  <c r="Z75" i="278"/>
  <c r="Z9" i="265"/>
  <c r="AA38" i="278"/>
  <c r="AA39" i="278"/>
  <c r="AA48" i="278"/>
  <c r="AA49" i="278"/>
  <c r="AA50" i="278"/>
  <c r="AA59" i="278"/>
  <c r="AA54" i="278"/>
  <c r="AA23" i="289"/>
  <c r="AA225" i="273"/>
  <c r="AA226" i="273"/>
  <c r="AA21" i="289"/>
  <c r="AA16" i="289"/>
  <c r="AA11" i="289"/>
  <c r="AA10" i="289"/>
  <c r="AA12" i="289"/>
  <c r="AA15" i="289"/>
  <c r="AA17" i="289"/>
  <c r="AA22" i="289"/>
  <c r="AA24" i="289"/>
  <c r="AA55" i="278"/>
  <c r="AA56" i="278"/>
  <c r="AA57" i="278"/>
  <c r="AA60" i="278"/>
  <c r="AA61" i="278"/>
  <c r="AA67" i="278"/>
  <c r="AA12" i="278"/>
  <c r="AA11" i="278"/>
  <c r="AA13" i="278"/>
  <c r="AA32" i="278"/>
  <c r="AA18" i="278"/>
  <c r="AA233" i="273"/>
  <c r="AA234" i="273"/>
  <c r="AA17" i="278"/>
  <c r="AA19" i="278"/>
  <c r="AA33" i="278"/>
  <c r="AA34" i="278"/>
  <c r="AA68" i="278"/>
  <c r="AA70" i="278"/>
  <c r="AA71" i="278"/>
  <c r="AA74" i="278"/>
  <c r="AA75" i="278"/>
  <c r="AA9" i="265"/>
  <c r="AB38" i="278"/>
  <c r="AB39" i="278"/>
  <c r="AB48" i="278"/>
  <c r="AB49" i="278"/>
  <c r="AB50" i="278"/>
  <c r="AB59" i="278"/>
  <c r="AB54" i="278"/>
  <c r="AB23" i="289"/>
  <c r="AB225" i="273"/>
  <c r="AB226" i="273"/>
  <c r="AB21" i="289"/>
  <c r="AB24" i="289"/>
  <c r="AB55" i="278"/>
  <c r="AB56" i="278"/>
  <c r="AB57" i="278"/>
  <c r="AB60" i="278"/>
  <c r="AB61" i="278"/>
  <c r="AB67" i="278"/>
  <c r="AB12" i="278"/>
  <c r="AB11" i="278"/>
  <c r="AB13" i="278"/>
  <c r="AB32" i="278"/>
  <c r="AB18" i="278"/>
  <c r="AB233" i="273"/>
  <c r="AB234" i="273"/>
  <c r="AB17" i="278"/>
  <c r="AB19" i="278"/>
  <c r="AB33" i="278"/>
  <c r="AB34" i="278"/>
  <c r="AB68" i="278"/>
  <c r="AB70" i="278"/>
  <c r="AB71" i="278"/>
  <c r="AB74" i="278"/>
  <c r="AB75" i="278"/>
  <c r="AB9" i="265"/>
  <c r="AC38" i="278"/>
  <c r="AC39" i="278"/>
  <c r="AC48" i="278"/>
  <c r="AC49" i="278"/>
  <c r="AC50" i="278"/>
  <c r="AC59" i="278"/>
  <c r="AC54" i="278"/>
  <c r="AC23" i="289"/>
  <c r="AC225" i="273"/>
  <c r="AC226" i="273"/>
  <c r="AC21" i="289"/>
  <c r="AC16" i="289"/>
  <c r="AC11" i="289"/>
  <c r="AC10" i="289"/>
  <c r="AC12" i="289"/>
  <c r="AC15" i="289"/>
  <c r="AC17" i="289"/>
  <c r="AC22" i="289"/>
  <c r="AC24" i="289"/>
  <c r="AC55" i="278"/>
  <c r="AC56" i="278"/>
  <c r="AC57" i="278"/>
  <c r="AC60" i="278"/>
  <c r="AC61" i="278"/>
  <c r="AC67" i="278"/>
  <c r="AC12" i="278"/>
  <c r="AC11" i="278"/>
  <c r="AC13" i="278"/>
  <c r="AC32" i="278"/>
  <c r="AC18" i="278"/>
  <c r="AC233" i="273"/>
  <c r="AC234" i="273"/>
  <c r="AC17" i="278"/>
  <c r="AC19" i="278"/>
  <c r="AC33" i="278"/>
  <c r="AC34" i="278"/>
  <c r="AC68" i="278"/>
  <c r="AC70" i="278"/>
  <c r="AC71" i="278"/>
  <c r="AC74" i="278"/>
  <c r="AC75" i="278"/>
  <c r="AC9" i="265"/>
  <c r="AD38" i="278"/>
  <c r="AD39" i="278"/>
  <c r="AD48" i="278"/>
  <c r="AD49" i="278"/>
  <c r="AD50" i="278"/>
  <c r="AD59" i="278"/>
  <c r="AD54" i="278"/>
  <c r="AD23" i="289"/>
  <c r="AD225" i="273"/>
  <c r="AD226" i="273"/>
  <c r="AD21" i="289"/>
  <c r="AD24" i="289"/>
  <c r="AD55" i="278"/>
  <c r="AD56" i="278"/>
  <c r="AD57" i="278"/>
  <c r="AD60" i="278"/>
  <c r="AD61" i="278"/>
  <c r="AD67" i="278"/>
  <c r="AD12" i="278"/>
  <c r="AD11" i="278"/>
  <c r="AD13" i="278"/>
  <c r="AD32" i="278"/>
  <c r="AD18" i="278"/>
  <c r="AD233" i="273"/>
  <c r="AD234" i="273"/>
  <c r="AD17" i="278"/>
  <c r="AD19" i="278"/>
  <c r="AD33" i="278"/>
  <c r="AD34" i="278"/>
  <c r="AD68" i="278"/>
  <c r="AD70" i="278"/>
  <c r="AD71" i="278"/>
  <c r="AD74" i="278"/>
  <c r="AD75" i="278"/>
  <c r="AD9" i="265"/>
  <c r="AE38" i="278"/>
  <c r="AE39" i="278"/>
  <c r="AE48" i="278"/>
  <c r="AE49" i="278"/>
  <c r="AE50" i="278"/>
  <c r="AE59" i="278"/>
  <c r="AE54" i="278"/>
  <c r="AE23" i="289"/>
  <c r="AE225" i="273"/>
  <c r="AE226" i="273"/>
  <c r="AE21" i="289"/>
  <c r="AE16" i="289"/>
  <c r="AE11" i="289"/>
  <c r="AE10" i="289"/>
  <c r="AE12" i="289"/>
  <c r="AE15" i="289"/>
  <c r="AE17" i="289"/>
  <c r="AE22" i="289"/>
  <c r="AE24" i="289"/>
  <c r="AE55" i="278"/>
  <c r="AE56" i="278"/>
  <c r="AE57" i="278"/>
  <c r="AE60" i="278"/>
  <c r="AE61" i="278"/>
  <c r="AE67" i="278"/>
  <c r="AE12" i="278"/>
  <c r="AE11" i="278"/>
  <c r="AE13" i="278"/>
  <c r="AE32" i="278"/>
  <c r="AE18" i="278"/>
  <c r="AE233" i="273"/>
  <c r="AE234" i="273"/>
  <c r="AE17" i="278"/>
  <c r="AE19" i="278"/>
  <c r="AE33" i="278"/>
  <c r="AE34" i="278"/>
  <c r="AE68" i="278"/>
  <c r="AE70" i="278"/>
  <c r="AE71" i="278"/>
  <c r="AE74" i="278"/>
  <c r="AE75" i="278"/>
  <c r="AE9" i="265"/>
  <c r="AF38" i="278"/>
  <c r="AF39" i="278"/>
  <c r="AF48" i="278"/>
  <c r="AF49" i="278"/>
  <c r="AF50" i="278"/>
  <c r="AF59" i="278"/>
  <c r="AF54" i="278"/>
  <c r="AF23" i="289"/>
  <c r="AF225" i="273"/>
  <c r="AF226" i="273"/>
  <c r="AF21" i="289"/>
  <c r="AF24" i="289"/>
  <c r="AF55" i="278"/>
  <c r="AF56" i="278"/>
  <c r="AF57" i="278"/>
  <c r="AF60" i="278"/>
  <c r="AF61" i="278"/>
  <c r="AF67" i="278"/>
  <c r="AF12" i="278"/>
  <c r="AF11" i="278"/>
  <c r="AF13" i="278"/>
  <c r="AF32" i="278"/>
  <c r="AF18" i="278"/>
  <c r="AF233" i="273"/>
  <c r="AF234" i="273"/>
  <c r="AF17" i="278"/>
  <c r="AF19" i="278"/>
  <c r="AF33" i="278"/>
  <c r="AF34" i="278"/>
  <c r="AF68" i="278"/>
  <c r="AF70" i="278"/>
  <c r="AF71" i="278"/>
  <c r="AF74" i="278"/>
  <c r="AF75" i="278"/>
  <c r="AF9" i="265"/>
  <c r="AG38" i="278"/>
  <c r="AG39" i="278"/>
  <c r="AG48" i="278"/>
  <c r="AG49" i="278"/>
  <c r="AG50" i="278"/>
  <c r="AG59" i="278"/>
  <c r="AG54" i="278"/>
  <c r="AG23" i="289"/>
  <c r="AG225" i="273"/>
  <c r="AG226" i="273"/>
  <c r="AG21" i="289"/>
  <c r="AG16" i="289"/>
  <c r="AG11" i="289"/>
  <c r="AG10" i="289"/>
  <c r="AG12" i="289"/>
  <c r="AG15" i="289"/>
  <c r="AG17" i="289"/>
  <c r="AG22" i="289"/>
  <c r="AG24" i="289"/>
  <c r="AG55" i="278"/>
  <c r="AG56" i="278"/>
  <c r="AG57" i="278"/>
  <c r="AG60" i="278"/>
  <c r="AG61" i="278"/>
  <c r="AG67" i="278"/>
  <c r="AG12" i="278"/>
  <c r="AG11" i="278"/>
  <c r="AG13" i="278"/>
  <c r="AG32" i="278"/>
  <c r="AG18" i="278"/>
  <c r="AG233" i="273"/>
  <c r="AG234" i="273"/>
  <c r="AG17" i="278"/>
  <c r="AG19" i="278"/>
  <c r="AG33" i="278"/>
  <c r="AG34" i="278"/>
  <c r="AG68" i="278"/>
  <c r="AG70" i="278"/>
  <c r="AG71" i="278"/>
  <c r="AG74" i="278"/>
  <c r="AG75" i="278"/>
  <c r="AG9" i="265"/>
  <c r="AH38" i="278"/>
  <c r="AH39" i="278"/>
  <c r="AH48" i="278"/>
  <c r="AH49" i="278"/>
  <c r="AH50" i="278"/>
  <c r="AH59" i="278"/>
  <c r="AH54" i="278"/>
  <c r="AH23" i="289"/>
  <c r="AH225" i="273"/>
  <c r="AH226" i="273"/>
  <c r="AH21" i="289"/>
  <c r="AH24" i="289"/>
  <c r="AH55" i="278"/>
  <c r="AH56" i="278"/>
  <c r="AH57" i="278"/>
  <c r="AH60" i="278"/>
  <c r="AH61" i="278"/>
  <c r="AH67" i="278"/>
  <c r="AH12" i="278"/>
  <c r="AH11" i="278"/>
  <c r="AH13" i="278"/>
  <c r="AH32" i="278"/>
  <c r="AH18" i="278"/>
  <c r="AH233" i="273"/>
  <c r="AH234" i="273"/>
  <c r="AH17" i="278"/>
  <c r="AH19" i="278"/>
  <c r="AH33" i="278"/>
  <c r="AH34" i="278"/>
  <c r="AH68" i="278"/>
  <c r="AH70" i="278"/>
  <c r="AH71" i="278"/>
  <c r="AH74" i="278"/>
  <c r="AH75" i="278"/>
  <c r="AH9" i="265"/>
  <c r="AI38" i="278"/>
  <c r="AI39" i="278"/>
  <c r="AI48" i="278"/>
  <c r="AI49" i="278"/>
  <c r="AI50" i="278"/>
  <c r="AI59" i="278"/>
  <c r="AI54" i="278"/>
  <c r="AI23" i="289"/>
  <c r="AI225" i="273"/>
  <c r="AI226" i="273"/>
  <c r="AI21" i="289"/>
  <c r="AI16" i="289"/>
  <c r="AI11" i="289"/>
  <c r="AI10" i="289"/>
  <c r="AI12" i="289"/>
  <c r="AI15" i="289"/>
  <c r="AI17" i="289"/>
  <c r="AI22" i="289"/>
  <c r="AI24" i="289"/>
  <c r="AI55" i="278"/>
  <c r="AI56" i="278"/>
  <c r="AI57" i="278"/>
  <c r="AI60" i="278"/>
  <c r="AI61" i="278"/>
  <c r="AI67" i="278"/>
  <c r="AI12" i="278"/>
  <c r="AI11" i="278"/>
  <c r="AI13" i="278"/>
  <c r="AI32" i="278"/>
  <c r="AI18" i="278"/>
  <c r="AI233" i="273"/>
  <c r="AI234" i="273"/>
  <c r="AI17" i="278"/>
  <c r="AI19" i="278"/>
  <c r="AI33" i="278"/>
  <c r="AI34" i="278"/>
  <c r="AI68" i="278"/>
  <c r="AI70" i="278"/>
  <c r="AI71" i="278"/>
  <c r="AI74" i="278"/>
  <c r="AI75" i="278"/>
  <c r="AI9" i="265"/>
  <c r="AJ38" i="278"/>
  <c r="AJ39" i="278"/>
  <c r="AJ48" i="278"/>
  <c r="AJ49" i="278"/>
  <c r="AJ50" i="278"/>
  <c r="AJ59" i="278"/>
  <c r="AJ54" i="278"/>
  <c r="AJ23" i="289"/>
  <c r="AJ225" i="273"/>
  <c r="AJ226" i="273"/>
  <c r="AJ21" i="289"/>
  <c r="AJ24" i="289"/>
  <c r="AJ55" i="278"/>
  <c r="AJ56" i="278"/>
  <c r="AJ57" i="278"/>
  <c r="AJ60" i="278"/>
  <c r="AJ61" i="278"/>
  <c r="AJ67" i="278"/>
  <c r="AJ12" i="278"/>
  <c r="AJ11" i="278"/>
  <c r="AJ13" i="278"/>
  <c r="AJ32" i="278"/>
  <c r="AJ18" i="278"/>
  <c r="AJ233" i="273"/>
  <c r="AJ234" i="273"/>
  <c r="AJ17" i="278"/>
  <c r="AJ19" i="278"/>
  <c r="AJ33" i="278"/>
  <c r="AJ34" i="278"/>
  <c r="AJ68" i="278"/>
  <c r="AJ70" i="278"/>
  <c r="AJ71" i="278"/>
  <c r="AJ74" i="278"/>
  <c r="AJ75" i="278"/>
  <c r="AJ9" i="265"/>
  <c r="AK38" i="278"/>
  <c r="AK39" i="278"/>
  <c r="AK48" i="278"/>
  <c r="AK49" i="278"/>
  <c r="AK50" i="278"/>
  <c r="AK59" i="278"/>
  <c r="AK54" i="278"/>
  <c r="AK23" i="289"/>
  <c r="AK225" i="273"/>
  <c r="AK226" i="273"/>
  <c r="AK21" i="289"/>
  <c r="AK16" i="289"/>
  <c r="AK11" i="289"/>
  <c r="AK10" i="289"/>
  <c r="AK12" i="289"/>
  <c r="AK15" i="289"/>
  <c r="AK17" i="289"/>
  <c r="AK22" i="289"/>
  <c r="AK24" i="289"/>
  <c r="AK55" i="278"/>
  <c r="AK56" i="278"/>
  <c r="AK57" i="278"/>
  <c r="AK60" i="278"/>
  <c r="AK61" i="278"/>
  <c r="AK67" i="278"/>
  <c r="AK12" i="278"/>
  <c r="AK11" i="278"/>
  <c r="AK13" i="278"/>
  <c r="AK32" i="278"/>
  <c r="AK18" i="278"/>
  <c r="AK233" i="273"/>
  <c r="AK234" i="273"/>
  <c r="AK17" i="278"/>
  <c r="AK19" i="278"/>
  <c r="AK33" i="278"/>
  <c r="AK34" i="278"/>
  <c r="AK68" i="278"/>
  <c r="AK70" i="278"/>
  <c r="AK71" i="278"/>
  <c r="AK74" i="278"/>
  <c r="AK75" i="278"/>
  <c r="AK9" i="265"/>
  <c r="AL38" i="278"/>
  <c r="AL39" i="278"/>
  <c r="AL48" i="278"/>
  <c r="AL49" i="278"/>
  <c r="AL50" i="278"/>
  <c r="AL59" i="278"/>
  <c r="AL54" i="278"/>
  <c r="AL23" i="289"/>
  <c r="AL225" i="273"/>
  <c r="AL226" i="273"/>
  <c r="AL21" i="289"/>
  <c r="AL24" i="289"/>
  <c r="AL55" i="278"/>
  <c r="AL56" i="278"/>
  <c r="AL57" i="278"/>
  <c r="AL60" i="278"/>
  <c r="AL61" i="278"/>
  <c r="AL67" i="278"/>
  <c r="AL12" i="278"/>
  <c r="AL11" i="278"/>
  <c r="AL13" i="278"/>
  <c r="AL32" i="278"/>
  <c r="AL18" i="278"/>
  <c r="AL233" i="273"/>
  <c r="AL234" i="273"/>
  <c r="AL17" i="278"/>
  <c r="AL19" i="278"/>
  <c r="AL33" i="278"/>
  <c r="AL34" i="278"/>
  <c r="AL68" i="278"/>
  <c r="AL70" i="278"/>
  <c r="AL71" i="278"/>
  <c r="AL74" i="278"/>
  <c r="AL75" i="278"/>
  <c r="AL9" i="265"/>
  <c r="AM38" i="278"/>
  <c r="AM39" i="278"/>
  <c r="AM48" i="278"/>
  <c r="AM49" i="278"/>
  <c r="AM50" i="278"/>
  <c r="AM59" i="278"/>
  <c r="AM54" i="278"/>
  <c r="AM23" i="289"/>
  <c r="AM225" i="273"/>
  <c r="AM226" i="273"/>
  <c r="AM21" i="289"/>
  <c r="AM16" i="289"/>
  <c r="AM11" i="289"/>
  <c r="AM10" i="289"/>
  <c r="AM12" i="289"/>
  <c r="AM15" i="289"/>
  <c r="AM17" i="289"/>
  <c r="AM22" i="289"/>
  <c r="AM24" i="289"/>
  <c r="AM55" i="278"/>
  <c r="AM56" i="278"/>
  <c r="AM57" i="278"/>
  <c r="AM60" i="278"/>
  <c r="AM61" i="278"/>
  <c r="AM67" i="278"/>
  <c r="AM12" i="278"/>
  <c r="AM11" i="278"/>
  <c r="AM13" i="278"/>
  <c r="AM32" i="278"/>
  <c r="AM18" i="278"/>
  <c r="AM233" i="273"/>
  <c r="AM234" i="273"/>
  <c r="AM17" i="278"/>
  <c r="AM19" i="278"/>
  <c r="AM33" i="278"/>
  <c r="AM34" i="278"/>
  <c r="AM68" i="278"/>
  <c r="AM70" i="278"/>
  <c r="AM71" i="278"/>
  <c r="AM74" i="278"/>
  <c r="AM75" i="278"/>
  <c r="AM9" i="265"/>
  <c r="AN38" i="278"/>
  <c r="AN39" i="278"/>
  <c r="AN48" i="278"/>
  <c r="AN49" i="278"/>
  <c r="AN50" i="278"/>
  <c r="AN59" i="278"/>
  <c r="AN54" i="278"/>
  <c r="AN23" i="289"/>
  <c r="AN225" i="273"/>
  <c r="AN226" i="273"/>
  <c r="AN21" i="289"/>
  <c r="AN24" i="289"/>
  <c r="AN55" i="278"/>
  <c r="AN56" i="278"/>
  <c r="AN57" i="278"/>
  <c r="AN60" i="278"/>
  <c r="AN61" i="278"/>
  <c r="AN67" i="278"/>
  <c r="AN12" i="278"/>
  <c r="AN11" i="278"/>
  <c r="AN13" i="278"/>
  <c r="AN32" i="278"/>
  <c r="AN18" i="278"/>
  <c r="AN233" i="273"/>
  <c r="AN234" i="273"/>
  <c r="AN17" i="278"/>
  <c r="AN19" i="278"/>
  <c r="AN33" i="278"/>
  <c r="AN34" i="278"/>
  <c r="AN68" i="278"/>
  <c r="AN70" i="278"/>
  <c r="AN71" i="278"/>
  <c r="AN74" i="278"/>
  <c r="AN75" i="278"/>
  <c r="AN9" i="265"/>
  <c r="AO38" i="278"/>
  <c r="AO39" i="278"/>
  <c r="AO48" i="278"/>
  <c r="AO49" i="278"/>
  <c r="AO50" i="278"/>
  <c r="AO59" i="278"/>
  <c r="AO54" i="278"/>
  <c r="AO23" i="289"/>
  <c r="AO225" i="273"/>
  <c r="AO226" i="273"/>
  <c r="AO21" i="289"/>
  <c r="AO16" i="289"/>
  <c r="AO11" i="289"/>
  <c r="AO10" i="289"/>
  <c r="AO12" i="289"/>
  <c r="AO15" i="289"/>
  <c r="AO17" i="289"/>
  <c r="AO22" i="289"/>
  <c r="AO24" i="289"/>
  <c r="AO55" i="278"/>
  <c r="AO56" i="278"/>
  <c r="AO57" i="278"/>
  <c r="AO60" i="278"/>
  <c r="AO61" i="278"/>
  <c r="AO67" i="278"/>
  <c r="AO12" i="278"/>
  <c r="AO11" i="278"/>
  <c r="AO13" i="278"/>
  <c r="AO32" i="278"/>
  <c r="AO18" i="278"/>
  <c r="AO233" i="273"/>
  <c r="AO234" i="273"/>
  <c r="AO17" i="278"/>
  <c r="AO19" i="278"/>
  <c r="AO33" i="278"/>
  <c r="AO34" i="278"/>
  <c r="AO68" i="278"/>
  <c r="AO70" i="278"/>
  <c r="AO71" i="278"/>
  <c r="AO74" i="278"/>
  <c r="AO75" i="278"/>
  <c r="AO9" i="265"/>
  <c r="AP38" i="278"/>
  <c r="AP39" i="278"/>
  <c r="AP48" i="278"/>
  <c r="AP49" i="278"/>
  <c r="AP50" i="278"/>
  <c r="AP59" i="278"/>
  <c r="AP54" i="278"/>
  <c r="AP23" i="289"/>
  <c r="AP225" i="273"/>
  <c r="AP226" i="273"/>
  <c r="AP21" i="289"/>
  <c r="AP24" i="289"/>
  <c r="AP55" i="278"/>
  <c r="AP56" i="278"/>
  <c r="AP57" i="278"/>
  <c r="AP60" i="278"/>
  <c r="AP61" i="278"/>
  <c r="AP67" i="278"/>
  <c r="AP12" i="278"/>
  <c r="AP11" i="278"/>
  <c r="AP13" i="278"/>
  <c r="AP32" i="278"/>
  <c r="AP18" i="278"/>
  <c r="AP233" i="273"/>
  <c r="AP234" i="273"/>
  <c r="AP17" i="278"/>
  <c r="AP19" i="278"/>
  <c r="AP33" i="278"/>
  <c r="AP34" i="278"/>
  <c r="AP68" i="278"/>
  <c r="AP70" i="278"/>
  <c r="AP71" i="278"/>
  <c r="AP74" i="278"/>
  <c r="AP75" i="278"/>
  <c r="AP9" i="265"/>
  <c r="AQ38" i="278"/>
  <c r="AQ39" i="278"/>
  <c r="AQ48" i="278"/>
  <c r="AQ49" i="278"/>
  <c r="AQ50" i="278"/>
  <c r="AQ59" i="278"/>
  <c r="AQ54" i="278"/>
  <c r="AQ23" i="289"/>
  <c r="AQ225" i="273"/>
  <c r="AQ226" i="273"/>
  <c r="AQ21" i="289"/>
  <c r="AQ16" i="289"/>
  <c r="AQ11" i="289"/>
  <c r="AQ10" i="289"/>
  <c r="AQ12" i="289"/>
  <c r="AQ15" i="289"/>
  <c r="AQ17" i="289"/>
  <c r="AQ22" i="289"/>
  <c r="AQ24" i="289"/>
  <c r="AQ55" i="278"/>
  <c r="AQ56" i="278"/>
  <c r="AQ57" i="278"/>
  <c r="AQ60" i="278"/>
  <c r="AQ61" i="278"/>
  <c r="AQ67" i="278"/>
  <c r="AQ12" i="278"/>
  <c r="AQ11" i="278"/>
  <c r="AQ13" i="278"/>
  <c r="AQ32" i="278"/>
  <c r="AQ18" i="278"/>
  <c r="AQ233" i="273"/>
  <c r="AQ234" i="273"/>
  <c r="AQ17" i="278"/>
  <c r="AQ19" i="278"/>
  <c r="AQ33" i="278"/>
  <c r="AQ34" i="278"/>
  <c r="AQ68" i="278"/>
  <c r="AQ70" i="278"/>
  <c r="AQ71" i="278"/>
  <c r="AQ74" i="278"/>
  <c r="AQ75" i="278"/>
  <c r="AQ9" i="265"/>
  <c r="AR38" i="278"/>
  <c r="AR39" i="278"/>
  <c r="AR48" i="278"/>
  <c r="AR49" i="278"/>
  <c r="AR50" i="278"/>
  <c r="AR59" i="278"/>
  <c r="AR54" i="278"/>
  <c r="AR23" i="289"/>
  <c r="AR225" i="273"/>
  <c r="AR226" i="273"/>
  <c r="AR21" i="289"/>
  <c r="AR24" i="289"/>
  <c r="AR55" i="278"/>
  <c r="AR56" i="278"/>
  <c r="AR57" i="278"/>
  <c r="AR60" i="278"/>
  <c r="AR61" i="278"/>
  <c r="AR67" i="278"/>
  <c r="AR12" i="278"/>
  <c r="AR11" i="278"/>
  <c r="AR13" i="278"/>
  <c r="AR32" i="278"/>
  <c r="AR18" i="278"/>
  <c r="AR233" i="273"/>
  <c r="AR234" i="273"/>
  <c r="AR17" i="278"/>
  <c r="AR19" i="278"/>
  <c r="AR33" i="278"/>
  <c r="AR34" i="278"/>
  <c r="AR68" i="278"/>
  <c r="AR70" i="278"/>
  <c r="AR71" i="278"/>
  <c r="AR74" i="278"/>
  <c r="AR75" i="278"/>
  <c r="AR9" i="265"/>
  <c r="AS38" i="278"/>
  <c r="AS39" i="278"/>
  <c r="AS48" i="278"/>
  <c r="AS49" i="278"/>
  <c r="AS50" i="278"/>
  <c r="AS59" i="278"/>
  <c r="AS54" i="278"/>
  <c r="AS23" i="289"/>
  <c r="AS225" i="273"/>
  <c r="AS226" i="273"/>
  <c r="AS21" i="289"/>
  <c r="AS16" i="289"/>
  <c r="AS11" i="289"/>
  <c r="AS10" i="289"/>
  <c r="AS12" i="289"/>
  <c r="AS15" i="289"/>
  <c r="AS17" i="289"/>
  <c r="AS22" i="289"/>
  <c r="AS24" i="289"/>
  <c r="AS55" i="278"/>
  <c r="AS56" i="278"/>
  <c r="AS57" i="278"/>
  <c r="AS60" i="278"/>
  <c r="AS61" i="278"/>
  <c r="AS67" i="278"/>
  <c r="AS12" i="278"/>
  <c r="AS11" i="278"/>
  <c r="AS13" i="278"/>
  <c r="AS32" i="278"/>
  <c r="AS18" i="278"/>
  <c r="AS233" i="273"/>
  <c r="AS234" i="273"/>
  <c r="AS17" i="278"/>
  <c r="AS19" i="278"/>
  <c r="AS33" i="278"/>
  <c r="AS34" i="278"/>
  <c r="AS68" i="278"/>
  <c r="AS70" i="278"/>
  <c r="AS71" i="278"/>
  <c r="AS74" i="278"/>
  <c r="AS75" i="278"/>
  <c r="AS9" i="265"/>
  <c r="AT38" i="278"/>
  <c r="AT39" i="278"/>
  <c r="AT48" i="278"/>
  <c r="AT49" i="278"/>
  <c r="AT50" i="278"/>
  <c r="AT59" i="278"/>
  <c r="AT54" i="278"/>
  <c r="AT23" i="289"/>
  <c r="AT225" i="273"/>
  <c r="AT226" i="273"/>
  <c r="AT21" i="289"/>
  <c r="AT24" i="289"/>
  <c r="AT55" i="278"/>
  <c r="AT56" i="278"/>
  <c r="AT57" i="278"/>
  <c r="AT60" i="278"/>
  <c r="AT61" i="278"/>
  <c r="AT67" i="278"/>
  <c r="AT12" i="278"/>
  <c r="AT11" i="278"/>
  <c r="AT13" i="278"/>
  <c r="AT32" i="278"/>
  <c r="AT18" i="278"/>
  <c r="AT233" i="273"/>
  <c r="AT234" i="273"/>
  <c r="AT17" i="278"/>
  <c r="AT19" i="278"/>
  <c r="AT33" i="278"/>
  <c r="AT34" i="278"/>
  <c r="AT68" i="278"/>
  <c r="AT70" i="278"/>
  <c r="AT71" i="278"/>
  <c r="AT74" i="278"/>
  <c r="AT75" i="278"/>
  <c r="AT9" i="265"/>
  <c r="AU38" i="278"/>
  <c r="AU39" i="278"/>
  <c r="AU48" i="278"/>
  <c r="AU49" i="278"/>
  <c r="AU50" i="278"/>
  <c r="AU59" i="278"/>
  <c r="AU54" i="278"/>
  <c r="AU23" i="289"/>
  <c r="AU225" i="273"/>
  <c r="AU226" i="273"/>
  <c r="AU21" i="289"/>
  <c r="AU16" i="289"/>
  <c r="AU11" i="289"/>
  <c r="AU10" i="289"/>
  <c r="AU12" i="289"/>
  <c r="AU15" i="289"/>
  <c r="AU17" i="289"/>
  <c r="AU22" i="289"/>
  <c r="AU24" i="289"/>
  <c r="AU55" i="278"/>
  <c r="AU56" i="278"/>
  <c r="AU57" i="278"/>
  <c r="AU60" i="278"/>
  <c r="AU61" i="278"/>
  <c r="AU67" i="278"/>
  <c r="AU12" i="278"/>
  <c r="AU11" i="278"/>
  <c r="AU13" i="278"/>
  <c r="AU32" i="278"/>
  <c r="AU18" i="278"/>
  <c r="AU233" i="273"/>
  <c r="AU234" i="273"/>
  <c r="AU17" i="278"/>
  <c r="AU19" i="278"/>
  <c r="AU33" i="278"/>
  <c r="AU34" i="278"/>
  <c r="AU68" i="278"/>
  <c r="AU70" i="278"/>
  <c r="AU71" i="278"/>
  <c r="AU74" i="278"/>
  <c r="AU75" i="278"/>
  <c r="AU9" i="265"/>
  <c r="AV38" i="278"/>
  <c r="AV39" i="278"/>
  <c r="AV48" i="278"/>
  <c r="AV49" i="278"/>
  <c r="AV50" i="278"/>
  <c r="AV59" i="278"/>
  <c r="AV54" i="278"/>
  <c r="AV23" i="289"/>
  <c r="AV225" i="273"/>
  <c r="AV226" i="273"/>
  <c r="AV21" i="289"/>
  <c r="AV24" i="289"/>
  <c r="AV55" i="278"/>
  <c r="AV56" i="278"/>
  <c r="AV57" i="278"/>
  <c r="AV60" i="278"/>
  <c r="AV61" i="278"/>
  <c r="AV67" i="278"/>
  <c r="AV12" i="278"/>
  <c r="AV11" i="278"/>
  <c r="AV13" i="278"/>
  <c r="AV32" i="278"/>
  <c r="AV18" i="278"/>
  <c r="AV233" i="273"/>
  <c r="AV234" i="273"/>
  <c r="AV17" i="278"/>
  <c r="AV19" i="278"/>
  <c r="AV33" i="278"/>
  <c r="AV34" i="278"/>
  <c r="AV68" i="278"/>
  <c r="AV70" i="278"/>
  <c r="AV71" i="278"/>
  <c r="AV74" i="278"/>
  <c r="AV75" i="278"/>
  <c r="AV9" i="265"/>
  <c r="AW38" i="278"/>
  <c r="AW39" i="278"/>
  <c r="AW48" i="278"/>
  <c r="AW49" i="278"/>
  <c r="AW50" i="278"/>
  <c r="AW59" i="278"/>
  <c r="AW54" i="278"/>
  <c r="AW23" i="289"/>
  <c r="AW225" i="273"/>
  <c r="AW226" i="273"/>
  <c r="AW21" i="289"/>
  <c r="AW16" i="289"/>
  <c r="AW11" i="289"/>
  <c r="AW10" i="289"/>
  <c r="AW12" i="289"/>
  <c r="AW15" i="289"/>
  <c r="AW17" i="289"/>
  <c r="AW22" i="289"/>
  <c r="AW24" i="289"/>
  <c r="AW55" i="278"/>
  <c r="AW56" i="278"/>
  <c r="AW57" i="278"/>
  <c r="AW60" i="278"/>
  <c r="AW61" i="278"/>
  <c r="AW67" i="278"/>
  <c r="AW12" i="278"/>
  <c r="AV29" i="273"/>
  <c r="AV30" i="273"/>
  <c r="AV237" i="273"/>
  <c r="AW238" i="273"/>
  <c r="AW239" i="273"/>
  <c r="AW11" i="278"/>
  <c r="AW13" i="278"/>
  <c r="AW32" i="278"/>
  <c r="AW18" i="278"/>
  <c r="AW233" i="273"/>
  <c r="AW234" i="273"/>
  <c r="AW17" i="278"/>
  <c r="AW19" i="278"/>
  <c r="AW33" i="278"/>
  <c r="AW34" i="278"/>
  <c r="AW68" i="278"/>
  <c r="AW70" i="278"/>
  <c r="AW71" i="278"/>
  <c r="AW74" i="278"/>
  <c r="AW75" i="278"/>
  <c r="AW9" i="265"/>
  <c r="AX38" i="278"/>
  <c r="AX39" i="278"/>
  <c r="AX48" i="278"/>
  <c r="AX49" i="278"/>
  <c r="AX50" i="278"/>
  <c r="AX59" i="278"/>
  <c r="AX54" i="278"/>
  <c r="AX23" i="289"/>
  <c r="AX225" i="273"/>
  <c r="AX226" i="273"/>
  <c r="AX21" i="289"/>
  <c r="AX24" i="289"/>
  <c r="AX55" i="278"/>
  <c r="AX56" i="278"/>
  <c r="AX57" i="278"/>
  <c r="AX60" i="278"/>
  <c r="AX61" i="278"/>
  <c r="AX67" i="278"/>
  <c r="AX12" i="278"/>
  <c r="AW29" i="273"/>
  <c r="AW30" i="273"/>
  <c r="AW237" i="273"/>
  <c r="AX238" i="273"/>
  <c r="AX239" i="273"/>
  <c r="AX11" i="278"/>
  <c r="AX13" i="278"/>
  <c r="AX32" i="278"/>
  <c r="AX18" i="278"/>
  <c r="AX233" i="273"/>
  <c r="AX234" i="273"/>
  <c r="AX17" i="278"/>
  <c r="AX19" i="278"/>
  <c r="AX33" i="278"/>
  <c r="AX34" i="278"/>
  <c r="AX68" i="278"/>
  <c r="AX70" i="278"/>
  <c r="AX71" i="278"/>
  <c r="AX74" i="278"/>
  <c r="AX75" i="278"/>
  <c r="AX9" i="265"/>
  <c r="AY38" i="278"/>
  <c r="AY39" i="278"/>
  <c r="AY48" i="278"/>
  <c r="AY49" i="278"/>
  <c r="AY50" i="278"/>
  <c r="AY59" i="278"/>
  <c r="AY54" i="278"/>
  <c r="AY23" i="289"/>
  <c r="AY225" i="273"/>
  <c r="AY226" i="273"/>
  <c r="AY21" i="289"/>
  <c r="AY16" i="289"/>
  <c r="AY11" i="289"/>
  <c r="AY10" i="289"/>
  <c r="AY12" i="289"/>
  <c r="AY15" i="289"/>
  <c r="AY17" i="289"/>
  <c r="AY22" i="289"/>
  <c r="AY24" i="289"/>
  <c r="AY55" i="278"/>
  <c r="AY56" i="278"/>
  <c r="AY57" i="278"/>
  <c r="AY60" i="278"/>
  <c r="AY61" i="278"/>
  <c r="AY67" i="278"/>
  <c r="AY12" i="278"/>
  <c r="AX29" i="273"/>
  <c r="AX30" i="273"/>
  <c r="AX237" i="273"/>
  <c r="AY238" i="273"/>
  <c r="AY239" i="273"/>
  <c r="AY11" i="278"/>
  <c r="AY13" i="278"/>
  <c r="AY32" i="278"/>
  <c r="AY18" i="278"/>
  <c r="AY233" i="273"/>
  <c r="AY234" i="273"/>
  <c r="AY17" i="278"/>
  <c r="AY19" i="278"/>
  <c r="AY33" i="278"/>
  <c r="AY34" i="278"/>
  <c r="AY68" i="278"/>
  <c r="AY70" i="278"/>
  <c r="AY71" i="278"/>
  <c r="AY74" i="278"/>
  <c r="AY75" i="278"/>
  <c r="AY9" i="265"/>
  <c r="AZ38" i="278"/>
  <c r="AZ39" i="278"/>
  <c r="AZ48" i="278"/>
  <c r="AZ49" i="278"/>
  <c r="AZ50" i="278"/>
  <c r="AZ59" i="278"/>
  <c r="AZ54" i="278"/>
  <c r="AZ23" i="289"/>
  <c r="AZ225" i="273"/>
  <c r="AZ226" i="273"/>
  <c r="AZ21" i="289"/>
  <c r="AZ24" i="289"/>
  <c r="AZ55" i="278"/>
  <c r="AZ56" i="278"/>
  <c r="AZ57" i="278"/>
  <c r="AZ60" i="278"/>
  <c r="AZ61" i="278"/>
  <c r="AZ67" i="278"/>
  <c r="AZ12" i="278"/>
  <c r="AY29" i="273"/>
  <c r="AY30" i="273"/>
  <c r="AY237" i="273"/>
  <c r="AZ238" i="273"/>
  <c r="AZ239" i="273"/>
  <c r="AZ11" i="278"/>
  <c r="AZ13" i="278"/>
  <c r="AZ32" i="278"/>
  <c r="AZ18" i="278"/>
  <c r="AZ233" i="273"/>
  <c r="AZ234" i="273"/>
  <c r="AZ17" i="278"/>
  <c r="AZ19" i="278"/>
  <c r="AZ33" i="278"/>
  <c r="AZ34" i="278"/>
  <c r="AZ68" i="278"/>
  <c r="AZ70" i="278"/>
  <c r="AZ71" i="278"/>
  <c r="AZ74" i="278"/>
  <c r="AZ75" i="278"/>
  <c r="AZ9" i="265"/>
  <c r="BA38" i="278"/>
  <c r="BA39" i="278"/>
  <c r="BA48" i="278"/>
  <c r="BA49" i="278"/>
  <c r="BA50" i="278"/>
  <c r="BA59" i="278"/>
  <c r="BA54" i="278"/>
  <c r="BA23" i="289"/>
  <c r="BA225" i="273"/>
  <c r="BA226" i="273"/>
  <c r="BA21" i="289"/>
  <c r="BA16" i="289"/>
  <c r="BA11" i="289"/>
  <c r="BA10" i="289"/>
  <c r="BA12" i="289"/>
  <c r="BA15" i="289"/>
  <c r="BA17" i="289"/>
  <c r="BA22" i="289"/>
  <c r="BA24" i="289"/>
  <c r="BA55" i="278"/>
  <c r="BA56" i="278"/>
  <c r="BA57" i="278"/>
  <c r="BA60" i="278"/>
  <c r="BA61" i="278"/>
  <c r="BA67" i="278"/>
  <c r="BA12" i="278"/>
  <c r="AZ29" i="273"/>
  <c r="AZ30" i="273"/>
  <c r="AZ237" i="273"/>
  <c r="BA238" i="273"/>
  <c r="BA239" i="273"/>
  <c r="BA11" i="278"/>
  <c r="BA13" i="278"/>
  <c r="BA32" i="278"/>
  <c r="BA18" i="278"/>
  <c r="BA233" i="273"/>
  <c r="BA234" i="273"/>
  <c r="BA17" i="278"/>
  <c r="BA19" i="278"/>
  <c r="BA33" i="278"/>
  <c r="BA34" i="278"/>
  <c r="BA68" i="278"/>
  <c r="BA70" i="278"/>
  <c r="BA71" i="278"/>
  <c r="BA74" i="278"/>
  <c r="BA75" i="278"/>
  <c r="BA9" i="265"/>
  <c r="BB38" i="278"/>
  <c r="BB39" i="278"/>
  <c r="BB48" i="278"/>
  <c r="BB49" i="278"/>
  <c r="BB50" i="278"/>
  <c r="BB59" i="278"/>
  <c r="BB54" i="278"/>
  <c r="BB23" i="289"/>
  <c r="BB225" i="273"/>
  <c r="BB226" i="273"/>
  <c r="BB21" i="289"/>
  <c r="BB24" i="289"/>
  <c r="BB55" i="278"/>
  <c r="BB56" i="278"/>
  <c r="BB57" i="278"/>
  <c r="BB60" i="278"/>
  <c r="BB61" i="278"/>
  <c r="BB67" i="278"/>
  <c r="BB12" i="278"/>
  <c r="BA29" i="273"/>
  <c r="BA30" i="273"/>
  <c r="BA237" i="273"/>
  <c r="BB238" i="273"/>
  <c r="BB239" i="273"/>
  <c r="BB11" i="278"/>
  <c r="BB13" i="278"/>
  <c r="BB32" i="278"/>
  <c r="BB18" i="278"/>
  <c r="BB233" i="273"/>
  <c r="BB234" i="273"/>
  <c r="BB17" i="278"/>
  <c r="BB19" i="278"/>
  <c r="BB33" i="278"/>
  <c r="BB34" i="278"/>
  <c r="BB68" i="278"/>
  <c r="BB70" i="278"/>
  <c r="BB71" i="278"/>
  <c r="BB74" i="278"/>
  <c r="BB75" i="278"/>
  <c r="BB9" i="265"/>
  <c r="BC38" i="278"/>
  <c r="BC39" i="278"/>
  <c r="BC48" i="278"/>
  <c r="BC49" i="278"/>
  <c r="BC50" i="278"/>
  <c r="BC59" i="278"/>
  <c r="BC54" i="278"/>
  <c r="BC23" i="289"/>
  <c r="BC225" i="273"/>
  <c r="BC226" i="273"/>
  <c r="BC21" i="289"/>
  <c r="BC16" i="289"/>
  <c r="BC11" i="289"/>
  <c r="BC10" i="289"/>
  <c r="BC12" i="289"/>
  <c r="BC15" i="289"/>
  <c r="BC17" i="289"/>
  <c r="BC22" i="289"/>
  <c r="BC24" i="289"/>
  <c r="BC55" i="278"/>
  <c r="BC56" i="278"/>
  <c r="BC57" i="278"/>
  <c r="BC60" i="278"/>
  <c r="BC61" i="278"/>
  <c r="BC67" i="278"/>
  <c r="BC12" i="278"/>
  <c r="BC13" i="278"/>
  <c r="BC32" i="278"/>
  <c r="BC18" i="278"/>
  <c r="BC19" i="278"/>
  <c r="BC33" i="278"/>
  <c r="BC34" i="278"/>
  <c r="BC68" i="278"/>
  <c r="BC70" i="278"/>
  <c r="BC71" i="278"/>
  <c r="BC74" i="278"/>
  <c r="BC75" i="278"/>
  <c r="BC9" i="265"/>
  <c r="BD38" i="278"/>
  <c r="BD39" i="278"/>
  <c r="BD48" i="278"/>
  <c r="BD49" i="278"/>
  <c r="BD50" i="278"/>
  <c r="BD59" i="278"/>
  <c r="BD54" i="278"/>
  <c r="BD23" i="289"/>
  <c r="BD225" i="273"/>
  <c r="BD226" i="273"/>
  <c r="BD21" i="289"/>
  <c r="BD24" i="289"/>
  <c r="BD55" i="278"/>
  <c r="BD56" i="278"/>
  <c r="BD57" i="278"/>
  <c r="BD60" i="278"/>
  <c r="BD61" i="278"/>
  <c r="BD67" i="278"/>
  <c r="BD12" i="278"/>
  <c r="BD13" i="278"/>
  <c r="BD32" i="278"/>
  <c r="BD18" i="278"/>
  <c r="BD19" i="278"/>
  <c r="BD33" i="278"/>
  <c r="BD34" i="278"/>
  <c r="BD68" i="278"/>
  <c r="BD70" i="278"/>
  <c r="BD71" i="278"/>
  <c r="BD74" i="278"/>
  <c r="BD75" i="278"/>
  <c r="BD9" i="265"/>
  <c r="BE38" i="278"/>
  <c r="BE39" i="278"/>
  <c r="BE48" i="278"/>
  <c r="BE49" i="278"/>
  <c r="BE50" i="278"/>
  <c r="BE59" i="278"/>
  <c r="BE54" i="278"/>
  <c r="BE23" i="289"/>
  <c r="BE225" i="273"/>
  <c r="BE226" i="273"/>
  <c r="BE21" i="289"/>
  <c r="BE16" i="289"/>
  <c r="BE11" i="289"/>
  <c r="BE10" i="289"/>
  <c r="BE12" i="289"/>
  <c r="BE15" i="289"/>
  <c r="BE17" i="289"/>
  <c r="BE22" i="289"/>
  <c r="BE24" i="289"/>
  <c r="BE55" i="278"/>
  <c r="BE56" i="278"/>
  <c r="BE57" i="278"/>
  <c r="BE60" i="278"/>
  <c r="BE61" i="278"/>
  <c r="BE67" i="278"/>
  <c r="BE12" i="278"/>
  <c r="BE13" i="278"/>
  <c r="BE32" i="278"/>
  <c r="BE18" i="278"/>
  <c r="BE19" i="278"/>
  <c r="BE33" i="278"/>
  <c r="BE34" i="278"/>
  <c r="BE68" i="278"/>
  <c r="BE70" i="278"/>
  <c r="BE71" i="278"/>
  <c r="BE74" i="278"/>
  <c r="BE75" i="278"/>
  <c r="BE9" i="265"/>
  <c r="BF38" i="278"/>
  <c r="BF39" i="278"/>
  <c r="BF48" i="278"/>
  <c r="BF49" i="278"/>
  <c r="BF50" i="278"/>
  <c r="BF59" i="278"/>
  <c r="BF54" i="278"/>
  <c r="BF23" i="289"/>
  <c r="BF225" i="273"/>
  <c r="BF226" i="273"/>
  <c r="BF21" i="289"/>
  <c r="BF24" i="289"/>
  <c r="BF55" i="278"/>
  <c r="BF56" i="278"/>
  <c r="BF57" i="278"/>
  <c r="BF60" i="278"/>
  <c r="BF61" i="278"/>
  <c r="BF67" i="278"/>
  <c r="BF12" i="278"/>
  <c r="BF13" i="278"/>
  <c r="BF32" i="278"/>
  <c r="BF18" i="278"/>
  <c r="BF19" i="278"/>
  <c r="BF33" i="278"/>
  <c r="BF34" i="278"/>
  <c r="BF68" i="278"/>
  <c r="BF70" i="278"/>
  <c r="BF71" i="278"/>
  <c r="BF74" i="278"/>
  <c r="BF75" i="278"/>
  <c r="BF9" i="265"/>
  <c r="BG38" i="278"/>
  <c r="BG39" i="278"/>
  <c r="BG48" i="278"/>
  <c r="BG49" i="278"/>
  <c r="BG50" i="278"/>
  <c r="BG59" i="278"/>
  <c r="BG54" i="278"/>
  <c r="BG23" i="289"/>
  <c r="BG225" i="273"/>
  <c r="BG226" i="273"/>
  <c r="BG21" i="289"/>
  <c r="BG16" i="289"/>
  <c r="BG11" i="289"/>
  <c r="BG10" i="289"/>
  <c r="BG12" i="289"/>
  <c r="BG15" i="289"/>
  <c r="BG17" i="289"/>
  <c r="BG22" i="289"/>
  <c r="BG24" i="289"/>
  <c r="BG55" i="278"/>
  <c r="BG56" i="278"/>
  <c r="BG57" i="278"/>
  <c r="BG60" i="278"/>
  <c r="BG61" i="278"/>
  <c r="BG67" i="278"/>
  <c r="BG12" i="278"/>
  <c r="BG13" i="278"/>
  <c r="BG32" i="278"/>
  <c r="BG18" i="278"/>
  <c r="BG19" i="278"/>
  <c r="BG33" i="278"/>
  <c r="BG34" i="278"/>
  <c r="BG68" i="278"/>
  <c r="BG70" i="278"/>
  <c r="BG71" i="278"/>
  <c r="BG74" i="278"/>
  <c r="BG75" i="278"/>
  <c r="BG9" i="265"/>
  <c r="BH38" i="278"/>
  <c r="BH39" i="278"/>
  <c r="BH48" i="278"/>
  <c r="BH49" i="278"/>
  <c r="BH50" i="278"/>
  <c r="BH59" i="278"/>
  <c r="BH54" i="278"/>
  <c r="BH23" i="289"/>
  <c r="BH225" i="273"/>
  <c r="BH226" i="273"/>
  <c r="BH21" i="289"/>
  <c r="BH24" i="289"/>
  <c r="BH55" i="278"/>
  <c r="BH56" i="278"/>
  <c r="BH57" i="278"/>
  <c r="BH60" i="278"/>
  <c r="BH61" i="278"/>
  <c r="BH67" i="278"/>
  <c r="BH12" i="278"/>
  <c r="BH13" i="278"/>
  <c r="BH32" i="278"/>
  <c r="BH18" i="278"/>
  <c r="BH19" i="278"/>
  <c r="BH33" i="278"/>
  <c r="BH34" i="278"/>
  <c r="BH68" i="278"/>
  <c r="BH70" i="278"/>
  <c r="BH71" i="278"/>
  <c r="BH74" i="278"/>
  <c r="BH75" i="278"/>
  <c r="BH9" i="265"/>
  <c r="BI38" i="278"/>
  <c r="BI39" i="278"/>
  <c r="BI48" i="278"/>
  <c r="BI49" i="278"/>
  <c r="BI50" i="278"/>
  <c r="BI59" i="278"/>
  <c r="BI54" i="278"/>
  <c r="BI23" i="289"/>
  <c r="BI225" i="273"/>
  <c r="BI226" i="273"/>
  <c r="BI21" i="289"/>
  <c r="BI16" i="289"/>
  <c r="BI11" i="289"/>
  <c r="BI10" i="289"/>
  <c r="BI12" i="289"/>
  <c r="BI15" i="289"/>
  <c r="BI17" i="289"/>
  <c r="BI22" i="289"/>
  <c r="BI24" i="289"/>
  <c r="BI55" i="278"/>
  <c r="BI56" i="278"/>
  <c r="BI57" i="278"/>
  <c r="BI60" i="278"/>
  <c r="BI61" i="278"/>
  <c r="BI67" i="278"/>
  <c r="BI12" i="278"/>
  <c r="BI13" i="278"/>
  <c r="BI32" i="278"/>
  <c r="BI18" i="278"/>
  <c r="BI19" i="278"/>
  <c r="BI33" i="278"/>
  <c r="BI34" i="278"/>
  <c r="BI68" i="278"/>
  <c r="BI70" i="278"/>
  <c r="BI71" i="278"/>
  <c r="BI74" i="278"/>
  <c r="BI75" i="278"/>
  <c r="BI9" i="265"/>
  <c r="BJ38" i="278"/>
  <c r="BJ39" i="278"/>
  <c r="BJ48" i="278"/>
  <c r="BJ49" i="278"/>
  <c r="BJ50" i="278"/>
  <c r="BJ59" i="278"/>
  <c r="BJ54" i="278"/>
  <c r="BJ23" i="289"/>
  <c r="BJ225" i="273"/>
  <c r="BJ226" i="273"/>
  <c r="BJ21" i="289"/>
  <c r="BJ24" i="289"/>
  <c r="BJ55" i="278"/>
  <c r="BJ56" i="278"/>
  <c r="BJ57" i="278"/>
  <c r="BJ60" i="278"/>
  <c r="BJ61" i="278"/>
  <c r="BJ67" i="278"/>
  <c r="BJ12" i="278"/>
  <c r="BJ13" i="278"/>
  <c r="BJ32" i="278"/>
  <c r="BJ18" i="278"/>
  <c r="BJ19" i="278"/>
  <c r="BJ33" i="278"/>
  <c r="BJ34" i="278"/>
  <c r="BJ68" i="278"/>
  <c r="BJ70" i="278"/>
  <c r="BJ71" i="278"/>
  <c r="BJ74" i="278"/>
  <c r="BJ75" i="278"/>
  <c r="BJ9" i="265"/>
  <c r="BK38" i="278"/>
  <c r="BK39" i="278"/>
  <c r="BK48" i="278"/>
  <c r="BK49" i="278"/>
  <c r="BK50" i="278"/>
  <c r="BK59" i="278"/>
  <c r="BK54" i="278"/>
  <c r="BK23" i="289"/>
  <c r="BK225" i="273"/>
  <c r="BK226" i="273"/>
  <c r="BK21" i="289"/>
  <c r="BK16" i="289"/>
  <c r="BK11" i="289"/>
  <c r="BK10" i="289"/>
  <c r="BK12" i="289"/>
  <c r="BK15" i="289"/>
  <c r="BK17" i="289"/>
  <c r="BK22" i="289"/>
  <c r="BK24" i="289"/>
  <c r="BK55" i="278"/>
  <c r="BK56" i="278"/>
  <c r="BK57" i="278"/>
  <c r="BK60" i="278"/>
  <c r="BK61" i="278"/>
  <c r="BK67" i="278"/>
  <c r="BK12" i="278"/>
  <c r="BK13" i="278"/>
  <c r="BK32" i="278"/>
  <c r="BK18" i="278"/>
  <c r="BK19" i="278"/>
  <c r="BK33" i="278"/>
  <c r="BK34" i="278"/>
  <c r="BK68" i="278"/>
  <c r="BK70" i="278"/>
  <c r="BK71" i="278"/>
  <c r="BK74" i="278"/>
  <c r="BK75" i="278"/>
  <c r="BK9" i="265"/>
  <c r="BL38" i="278"/>
  <c r="BL39" i="278"/>
  <c r="BL48" i="278"/>
  <c r="BL49" i="278"/>
  <c r="BL50" i="278"/>
  <c r="BL59" i="278"/>
  <c r="BL54" i="278"/>
  <c r="BL23" i="289"/>
  <c r="BL225" i="273"/>
  <c r="BL226" i="273"/>
  <c r="BL21" i="289"/>
  <c r="BL24" i="289"/>
  <c r="BL55" i="278"/>
  <c r="BL56" i="278"/>
  <c r="BL57" i="278"/>
  <c r="BL60" i="278"/>
  <c r="BL61" i="278"/>
  <c r="BL67" i="278"/>
  <c r="BL12" i="278"/>
  <c r="BL13" i="278"/>
  <c r="BL32" i="278"/>
  <c r="BL18" i="278"/>
  <c r="BL19" i="278"/>
  <c r="BL33" i="278"/>
  <c r="BL34" i="278"/>
  <c r="BL68" i="278"/>
  <c r="BL70" i="278"/>
  <c r="BL71" i="278"/>
  <c r="BL74" i="278"/>
  <c r="BL75" i="278"/>
  <c r="BL9" i="265"/>
  <c r="BM38" i="278"/>
  <c r="BM39" i="278"/>
  <c r="BM48" i="278"/>
  <c r="BM49" i="278"/>
  <c r="BM50" i="278"/>
  <c r="BM59" i="278"/>
  <c r="BM54" i="278"/>
  <c r="BM23" i="289"/>
  <c r="BM225" i="273"/>
  <c r="BM226" i="273"/>
  <c r="BM21" i="289"/>
  <c r="BM16" i="289"/>
  <c r="BM11" i="289"/>
  <c r="BM10" i="289"/>
  <c r="BM12" i="289"/>
  <c r="BM15" i="289"/>
  <c r="BM17" i="289"/>
  <c r="BM22" i="289"/>
  <c r="BM24" i="289"/>
  <c r="BM55" i="278"/>
  <c r="BM56" i="278"/>
  <c r="BM57" i="278"/>
  <c r="BM60" i="278"/>
  <c r="BM61" i="278"/>
  <c r="BM67" i="278"/>
  <c r="BM12" i="278"/>
  <c r="BM13" i="278"/>
  <c r="BM32" i="278"/>
  <c r="BM18" i="278"/>
  <c r="BM19" i="278"/>
  <c r="BM33" i="278"/>
  <c r="BM34" i="278"/>
  <c r="BM68" i="278"/>
  <c r="BM70" i="278"/>
  <c r="BM71" i="278"/>
  <c r="BM74" i="278"/>
  <c r="BM75" i="278"/>
  <c r="BM9" i="265"/>
  <c r="BN38" i="278"/>
  <c r="BN39" i="278"/>
  <c r="BN48" i="278"/>
  <c r="BN49" i="278"/>
  <c r="BN50" i="278"/>
  <c r="BN59" i="278"/>
  <c r="BN54" i="278"/>
  <c r="BN23" i="289"/>
  <c r="BN225" i="273"/>
  <c r="BN226" i="273"/>
  <c r="BN21" i="289"/>
  <c r="BN24" i="289"/>
  <c r="BN55" i="278"/>
  <c r="BN56" i="278"/>
  <c r="BN57" i="278"/>
  <c r="BN60" i="278"/>
  <c r="BN61" i="278"/>
  <c r="BN67" i="278"/>
  <c r="BN12" i="278"/>
  <c r="BN13" i="278"/>
  <c r="BN32" i="278"/>
  <c r="BN18" i="278"/>
  <c r="BN19" i="278"/>
  <c r="BN33" i="278"/>
  <c r="BN34" i="278"/>
  <c r="BN68" i="278"/>
  <c r="BN70" i="278"/>
  <c r="BN71" i="278"/>
  <c r="BN74" i="278"/>
  <c r="BN75" i="278"/>
  <c r="BN9" i="265"/>
  <c r="BO38" i="278"/>
  <c r="BO39" i="278"/>
  <c r="BO48" i="278"/>
  <c r="BO49" i="278"/>
  <c r="BO50" i="278"/>
  <c r="BO59" i="278"/>
  <c r="BO54" i="278"/>
  <c r="BO23" i="289"/>
  <c r="BO225" i="273"/>
  <c r="BO226" i="273"/>
  <c r="BO21" i="289"/>
  <c r="BO16" i="289"/>
  <c r="BO11" i="289"/>
  <c r="BO10" i="289"/>
  <c r="BO12" i="289"/>
  <c r="BO15" i="289"/>
  <c r="BO17" i="289"/>
  <c r="BO22" i="289"/>
  <c r="BO24" i="289"/>
  <c r="BO55" i="278"/>
  <c r="BO56" i="278"/>
  <c r="BO57" i="278"/>
  <c r="BO60" i="278"/>
  <c r="BO61" i="278"/>
  <c r="BO67" i="278"/>
  <c r="BO12" i="278"/>
  <c r="BO13" i="278"/>
  <c r="BO32" i="278"/>
  <c r="BO18" i="278"/>
  <c r="BO19" i="278"/>
  <c r="BO33" i="278"/>
  <c r="BO34" i="278"/>
  <c r="BO68" i="278"/>
  <c r="BO70" i="278"/>
  <c r="BO71" i="278"/>
  <c r="BO74" i="278"/>
  <c r="BO75" i="278"/>
  <c r="BO9" i="265"/>
  <c r="BP38" i="278"/>
  <c r="BP39" i="278"/>
  <c r="BP48" i="278"/>
  <c r="BP49" i="278"/>
  <c r="BP50" i="278"/>
  <c r="BP59" i="278"/>
  <c r="BP54" i="278"/>
  <c r="BP23" i="289"/>
  <c r="BP225" i="273"/>
  <c r="BP226" i="273"/>
  <c r="BP21" i="289"/>
  <c r="BP24" i="289"/>
  <c r="BP55" i="278"/>
  <c r="BP56" i="278"/>
  <c r="BP57" i="278"/>
  <c r="BP60" i="278"/>
  <c r="BP61" i="278"/>
  <c r="BP67" i="278"/>
  <c r="BP12" i="278"/>
  <c r="BP13" i="278"/>
  <c r="BP32" i="278"/>
  <c r="BP18" i="278"/>
  <c r="BP19" i="278"/>
  <c r="BP33" i="278"/>
  <c r="BP34" i="278"/>
  <c r="BP68" i="278"/>
  <c r="BP70" i="278"/>
  <c r="BP71" i="278"/>
  <c r="BP74" i="278"/>
  <c r="BP75" i="278"/>
  <c r="BP9" i="265"/>
  <c r="BQ38" i="278"/>
  <c r="BQ39" i="278"/>
  <c r="BQ48" i="278"/>
  <c r="BQ49" i="278"/>
  <c r="BQ50" i="278"/>
  <c r="BQ59" i="278"/>
  <c r="BQ54" i="278"/>
  <c r="BQ23" i="289"/>
  <c r="BQ225" i="273"/>
  <c r="BQ226" i="273"/>
  <c r="BQ21" i="289"/>
  <c r="BQ16" i="289"/>
  <c r="BQ11" i="289"/>
  <c r="BQ10" i="289"/>
  <c r="BQ12" i="289"/>
  <c r="BQ15" i="289"/>
  <c r="BQ17" i="289"/>
  <c r="BQ22" i="289"/>
  <c r="BQ24" i="289"/>
  <c r="BQ55" i="278"/>
  <c r="BQ56" i="278"/>
  <c r="BQ57" i="278"/>
  <c r="BQ60" i="278"/>
  <c r="BQ61" i="278"/>
  <c r="BQ67" i="278"/>
  <c r="BQ12" i="278"/>
  <c r="BQ13" i="278"/>
  <c r="BQ32" i="278"/>
  <c r="BQ18" i="278"/>
  <c r="BQ19" i="278"/>
  <c r="BQ33" i="278"/>
  <c r="BQ34" i="278"/>
  <c r="BQ68" i="278"/>
  <c r="BQ70" i="278"/>
  <c r="BQ71" i="278"/>
  <c r="BQ74" i="278"/>
  <c r="BQ75" i="278"/>
  <c r="BQ9" i="265"/>
  <c r="BR38" i="278"/>
  <c r="BR39" i="278"/>
  <c r="BR48" i="278"/>
  <c r="BR49" i="278"/>
  <c r="BR50" i="278"/>
  <c r="BR59" i="278"/>
  <c r="BR54" i="278"/>
  <c r="BR23" i="289"/>
  <c r="BR225" i="273"/>
  <c r="BR226" i="273"/>
  <c r="BR21" i="289"/>
  <c r="BR24" i="289"/>
  <c r="BR55" i="278"/>
  <c r="BR56" i="278"/>
  <c r="BR57" i="278"/>
  <c r="BR60" i="278"/>
  <c r="BR61" i="278"/>
  <c r="BR67" i="278"/>
  <c r="BR12" i="278"/>
  <c r="BR13" i="278"/>
  <c r="BR32" i="278"/>
  <c r="BR18" i="278"/>
  <c r="BR19" i="278"/>
  <c r="BR33" i="278"/>
  <c r="BR34" i="278"/>
  <c r="BR68" i="278"/>
  <c r="BR70" i="278"/>
  <c r="BR71" i="278"/>
  <c r="BR74" i="278"/>
  <c r="BR75" i="278"/>
  <c r="BR9" i="265"/>
  <c r="BS38" i="278"/>
  <c r="BS39" i="278"/>
  <c r="BS48" i="278"/>
  <c r="BS49" i="278"/>
  <c r="BS50" i="278"/>
  <c r="BS59" i="278"/>
  <c r="BS54" i="278"/>
  <c r="BS23" i="289"/>
  <c r="BS225" i="273"/>
  <c r="BS226" i="273"/>
  <c r="BS21" i="289"/>
  <c r="BS16" i="289"/>
  <c r="BS11" i="289"/>
  <c r="BS10" i="289"/>
  <c r="BS12" i="289"/>
  <c r="BS15" i="289"/>
  <c r="BS17" i="289"/>
  <c r="BS22" i="289"/>
  <c r="BS24" i="289"/>
  <c r="BS55" i="278"/>
  <c r="BS56" i="278"/>
  <c r="BS57" i="278"/>
  <c r="BS60" i="278"/>
  <c r="BS61" i="278"/>
  <c r="BS67" i="278"/>
  <c r="BS12" i="278"/>
  <c r="BS13" i="278"/>
  <c r="BS32" i="278"/>
  <c r="BS18" i="278"/>
  <c r="BS19" i="278"/>
  <c r="BS33" i="278"/>
  <c r="BS34" i="278"/>
  <c r="BS68" i="278"/>
  <c r="BS70" i="278"/>
  <c r="BS71" i="278"/>
  <c r="BS74" i="278"/>
  <c r="BS75" i="278"/>
  <c r="BS9" i="265"/>
  <c r="BT38" i="278"/>
  <c r="BT39" i="278"/>
  <c r="BT48" i="278"/>
  <c r="BT49" i="278"/>
  <c r="BT50" i="278"/>
  <c r="BT59" i="278"/>
  <c r="BT54" i="278"/>
  <c r="BT23" i="289"/>
  <c r="BT225" i="273"/>
  <c r="BT226" i="273"/>
  <c r="BT21" i="289"/>
  <c r="BT24" i="289"/>
  <c r="BT55" i="278"/>
  <c r="BT56" i="278"/>
  <c r="BT57" i="278"/>
  <c r="BT60" i="278"/>
  <c r="BT61" i="278"/>
  <c r="BT67" i="278"/>
  <c r="BT12" i="278"/>
  <c r="BT13" i="278"/>
  <c r="BT32" i="278"/>
  <c r="BT18" i="278"/>
  <c r="BT19" i="278"/>
  <c r="BT33" i="278"/>
  <c r="BT34" i="278"/>
  <c r="BT68" i="278"/>
  <c r="BT70" i="278"/>
  <c r="BT71" i="278"/>
  <c r="BT74" i="278"/>
  <c r="BT75" i="278"/>
  <c r="BT9" i="265"/>
  <c r="BU38" i="278"/>
  <c r="BU39" i="278"/>
  <c r="BU48" i="278"/>
  <c r="BU49" i="278"/>
  <c r="BU50" i="278"/>
  <c r="BU59" i="278"/>
  <c r="BU54" i="278"/>
  <c r="BU23" i="289"/>
  <c r="BU225" i="273"/>
  <c r="BU226" i="273"/>
  <c r="BU21" i="289"/>
  <c r="BU16" i="289"/>
  <c r="BU11" i="289"/>
  <c r="BU10" i="289"/>
  <c r="BU12" i="289"/>
  <c r="BU15" i="289"/>
  <c r="BU17" i="289"/>
  <c r="BU22" i="289"/>
  <c r="BU24" i="289"/>
  <c r="BU55" i="278"/>
  <c r="BU56" i="278"/>
  <c r="BU57" i="278"/>
  <c r="BU60" i="278"/>
  <c r="BU61" i="278"/>
  <c r="BU67" i="278"/>
  <c r="BU12" i="278"/>
  <c r="BU13" i="278"/>
  <c r="BU32" i="278"/>
  <c r="BU18" i="278"/>
  <c r="BU19" i="278"/>
  <c r="BU33" i="278"/>
  <c r="BU34" i="278"/>
  <c r="BU68" i="278"/>
  <c r="BU70" i="278"/>
  <c r="BU71" i="278"/>
  <c r="BU74" i="278"/>
  <c r="BU75" i="278"/>
  <c r="BU9" i="265"/>
  <c r="BV38" i="278"/>
  <c r="BV39" i="278"/>
  <c r="BV48" i="278"/>
  <c r="BV49" i="278"/>
  <c r="BV50" i="278"/>
  <c r="BV59" i="278"/>
  <c r="BV54" i="278"/>
  <c r="BV23" i="289"/>
  <c r="BV225" i="273"/>
  <c r="BV226" i="273"/>
  <c r="BV21" i="289"/>
  <c r="BV24" i="289"/>
  <c r="BV55" i="278"/>
  <c r="BV56" i="278"/>
  <c r="BV57" i="278"/>
  <c r="BV60" i="278"/>
  <c r="BV61" i="278"/>
  <c r="BV67" i="278"/>
  <c r="BV12" i="278"/>
  <c r="BV13" i="278"/>
  <c r="BV32" i="278"/>
  <c r="BV18" i="278"/>
  <c r="BV19" i="278"/>
  <c r="BV33" i="278"/>
  <c r="BV34" i="278"/>
  <c r="BV68" i="278"/>
  <c r="BV70" i="278"/>
  <c r="BV71" i="278"/>
  <c r="BV74" i="278"/>
  <c r="BV75" i="278"/>
  <c r="BV9" i="265"/>
  <c r="BW38" i="278"/>
  <c r="BW39" i="278"/>
  <c r="BW48" i="278"/>
  <c r="BW49" i="278"/>
  <c r="BW50" i="278"/>
  <c r="BW59" i="278"/>
  <c r="BW54" i="278"/>
  <c r="BW23" i="289"/>
  <c r="BW225" i="273"/>
  <c r="BW226" i="273"/>
  <c r="BW21" i="289"/>
  <c r="BW16" i="289"/>
  <c r="BW11" i="289"/>
  <c r="BW10" i="289"/>
  <c r="BW12" i="289"/>
  <c r="BW15" i="289"/>
  <c r="BW17" i="289"/>
  <c r="BW22" i="289"/>
  <c r="BW24" i="289"/>
  <c r="BW55" i="278"/>
  <c r="BW56" i="278"/>
  <c r="BW57" i="278"/>
  <c r="BW60" i="278"/>
  <c r="BW61" i="278"/>
  <c r="BW67" i="278"/>
  <c r="BW12" i="278"/>
  <c r="BW13" i="278"/>
  <c r="BW32" i="278"/>
  <c r="BW18" i="278"/>
  <c r="BW19" i="278"/>
  <c r="BW33" i="278"/>
  <c r="BW34" i="278"/>
  <c r="BW68" i="278"/>
  <c r="BW70" i="278"/>
  <c r="BW71" i="278"/>
  <c r="BW74" i="278"/>
  <c r="BW75" i="278"/>
  <c r="BW9" i="265"/>
  <c r="BX38" i="278"/>
  <c r="BX39" i="278"/>
  <c r="BX48" i="278"/>
  <c r="BX49" i="278"/>
  <c r="BX50" i="278"/>
  <c r="BX59" i="278"/>
  <c r="BX54" i="278"/>
  <c r="BX23" i="289"/>
  <c r="BX225" i="273"/>
  <c r="BX226" i="273"/>
  <c r="BX21" i="289"/>
  <c r="BX24" i="289"/>
  <c r="BX55" i="278"/>
  <c r="BX56" i="278"/>
  <c r="BX57" i="278"/>
  <c r="BX60" i="278"/>
  <c r="BX61" i="278"/>
  <c r="BX67" i="278"/>
  <c r="BX12" i="278"/>
  <c r="BX13" i="278"/>
  <c r="BX32" i="278"/>
  <c r="BX18" i="278"/>
  <c r="BX19" i="278"/>
  <c r="BX33" i="278"/>
  <c r="BX34" i="278"/>
  <c r="BX68" i="278"/>
  <c r="BX70" i="278"/>
  <c r="BX71" i="278"/>
  <c r="BX74" i="278"/>
  <c r="BX75" i="278"/>
  <c r="BX9" i="265"/>
  <c r="BY38" i="278"/>
  <c r="BY39" i="278"/>
  <c r="BY48" i="278"/>
  <c r="BY49" i="278"/>
  <c r="BY50" i="278"/>
  <c r="BY59" i="278"/>
  <c r="BY54" i="278"/>
  <c r="BY23" i="289"/>
  <c r="BY225" i="273"/>
  <c r="BY226" i="273"/>
  <c r="BY21" i="289"/>
  <c r="BY16" i="289"/>
  <c r="BY11" i="289"/>
  <c r="BY10" i="289"/>
  <c r="BY12" i="289"/>
  <c r="BY15" i="289"/>
  <c r="BY17" i="289"/>
  <c r="BY22" i="289"/>
  <c r="BY24" i="289"/>
  <c r="BY55" i="278"/>
  <c r="BY56" i="278"/>
  <c r="BY57" i="278"/>
  <c r="BY60" i="278"/>
  <c r="BY61" i="278"/>
  <c r="BY67" i="278"/>
  <c r="BY12" i="278"/>
  <c r="BY13" i="278"/>
  <c r="BY32" i="278"/>
  <c r="BY18" i="278"/>
  <c r="BY19" i="278"/>
  <c r="BY33" i="278"/>
  <c r="BY34" i="278"/>
  <c r="BY68" i="278"/>
  <c r="BY70" i="278"/>
  <c r="BY71" i="278"/>
  <c r="BY74" i="278"/>
  <c r="BY75" i="278"/>
  <c r="BY9" i="265"/>
  <c r="BZ38" i="278"/>
  <c r="BZ39" i="278"/>
  <c r="BZ48" i="278"/>
  <c r="BZ49" i="278"/>
  <c r="BZ50" i="278"/>
  <c r="BZ59" i="278"/>
  <c r="BZ54" i="278"/>
  <c r="BZ23" i="289"/>
  <c r="BZ225" i="273"/>
  <c r="BZ226" i="273"/>
  <c r="BZ21" i="289"/>
  <c r="BZ24" i="289"/>
  <c r="BZ55" i="278"/>
  <c r="BZ56" i="278"/>
  <c r="BZ57" i="278"/>
  <c r="BZ60" i="278"/>
  <c r="BZ61" i="278"/>
  <c r="BZ67" i="278"/>
  <c r="BZ12" i="278"/>
  <c r="BZ13" i="278"/>
  <c r="BZ32" i="278"/>
  <c r="BZ18" i="278"/>
  <c r="BZ19" i="278"/>
  <c r="BZ33" i="278"/>
  <c r="BZ34" i="278"/>
  <c r="BZ68" i="278"/>
  <c r="BZ70" i="278"/>
  <c r="BZ71" i="278"/>
  <c r="BZ74" i="278"/>
  <c r="BZ75" i="278"/>
  <c r="BZ9" i="265"/>
  <c r="CA38" i="278"/>
  <c r="CA39" i="278"/>
  <c r="CA48" i="278"/>
  <c r="CA49" i="278"/>
  <c r="CA50" i="278"/>
  <c r="CA59" i="278"/>
  <c r="CA54" i="278"/>
  <c r="CA23" i="289"/>
  <c r="CA225" i="273"/>
  <c r="CA226" i="273"/>
  <c r="CA21" i="289"/>
  <c r="CA16" i="289"/>
  <c r="CA11" i="289"/>
  <c r="CA10" i="289"/>
  <c r="CA12" i="289"/>
  <c r="CA15" i="289"/>
  <c r="CA17" i="289"/>
  <c r="CA22" i="289"/>
  <c r="CA24" i="289"/>
  <c r="CA55" i="278"/>
  <c r="CA56" i="278"/>
  <c r="CA57" i="278"/>
  <c r="CA60" i="278"/>
  <c r="CA61" i="278"/>
  <c r="CA67" i="278"/>
  <c r="CA12" i="278"/>
  <c r="CA13" i="278"/>
  <c r="CA32" i="278"/>
  <c r="CA18" i="278"/>
  <c r="CA19" i="278"/>
  <c r="CA33" i="278"/>
  <c r="CA34" i="278"/>
  <c r="CA68" i="278"/>
  <c r="CA70" i="278"/>
  <c r="CA71" i="278"/>
  <c r="CA74" i="278"/>
  <c r="CA75" i="278"/>
  <c r="CA9" i="265"/>
  <c r="CB38" i="278"/>
  <c r="CB39" i="278"/>
  <c r="CB48" i="278"/>
  <c r="CB49" i="278"/>
  <c r="CB50" i="278"/>
  <c r="CB59" i="278"/>
  <c r="CB54" i="278"/>
  <c r="CB23" i="289"/>
  <c r="CB225" i="273"/>
  <c r="CB226" i="273"/>
  <c r="CB21" i="289"/>
  <c r="CB24" i="289"/>
  <c r="CB55" i="278"/>
  <c r="CB56" i="278"/>
  <c r="CB57" i="278"/>
  <c r="CB60" i="278"/>
  <c r="CB61" i="278"/>
  <c r="CB67" i="278"/>
  <c r="CB12" i="278"/>
  <c r="CB13" i="278"/>
  <c r="CB32" i="278"/>
  <c r="CB18" i="278"/>
  <c r="CB19" i="278"/>
  <c r="CB33" i="278"/>
  <c r="CB34" i="278"/>
  <c r="CB68" i="278"/>
  <c r="CB70" i="278"/>
  <c r="CB71" i="278"/>
  <c r="CB74" i="278"/>
  <c r="CB75" i="278"/>
  <c r="CB9" i="265"/>
  <c r="CC38" i="278"/>
  <c r="CC39" i="278"/>
  <c r="CC48" i="278"/>
  <c r="CC49" i="278"/>
  <c r="CC50" i="278"/>
  <c r="CC59" i="278"/>
  <c r="CC54" i="278"/>
  <c r="CC23" i="289"/>
  <c r="CC225" i="273"/>
  <c r="CC226" i="273"/>
  <c r="CC21" i="289"/>
  <c r="CC16" i="289"/>
  <c r="CC11" i="289"/>
  <c r="CC10" i="289"/>
  <c r="CC12" i="289"/>
  <c r="CC15" i="289"/>
  <c r="CC17" i="289"/>
  <c r="CC22" i="289"/>
  <c r="CC24" i="289"/>
  <c r="CC55" i="278"/>
  <c r="CC56" i="278"/>
  <c r="CC57" i="278"/>
  <c r="CC60" i="278"/>
  <c r="CC61" i="278"/>
  <c r="CC67" i="278"/>
  <c r="CC12" i="278"/>
  <c r="CC13" i="278"/>
  <c r="CC32" i="278"/>
  <c r="CC18" i="278"/>
  <c r="CC19" i="278"/>
  <c r="CC33" i="278"/>
  <c r="CC34" i="278"/>
  <c r="CC68" i="278"/>
  <c r="CC70" i="278"/>
  <c r="CC71" i="278"/>
  <c r="CC74" i="278"/>
  <c r="CC75" i="278"/>
  <c r="CC9" i="265"/>
  <c r="CD38" i="278"/>
  <c r="CD39" i="278"/>
  <c r="CD48" i="278"/>
  <c r="CD49" i="278"/>
  <c r="CD50" i="278"/>
  <c r="CD59" i="278"/>
  <c r="CD54" i="278"/>
  <c r="CD23" i="289"/>
  <c r="CD225" i="273"/>
  <c r="CD226" i="273"/>
  <c r="CD21" i="289"/>
  <c r="CD24" i="289"/>
  <c r="CD55" i="278"/>
  <c r="CD56" i="278"/>
  <c r="CD57" i="278"/>
  <c r="CD60" i="278"/>
  <c r="CD61" i="278"/>
  <c r="CD67" i="278"/>
  <c r="CD12" i="278"/>
  <c r="CD13" i="278"/>
  <c r="CD32" i="278"/>
  <c r="CD18" i="278"/>
  <c r="CD19" i="278"/>
  <c r="CD33" i="278"/>
  <c r="CD34" i="278"/>
  <c r="CD68" i="278"/>
  <c r="CD70" i="278"/>
  <c r="CD71" i="278"/>
  <c r="CD74" i="278"/>
  <c r="CD75" i="278"/>
  <c r="CD9" i="265"/>
  <c r="CE38" i="278"/>
  <c r="CE39" i="278"/>
  <c r="CE48" i="278"/>
  <c r="CE49" i="278"/>
  <c r="CE50" i="278"/>
  <c r="CE59" i="278"/>
  <c r="CE54" i="278"/>
  <c r="CE23" i="289"/>
  <c r="CE225" i="273"/>
  <c r="CE226" i="273"/>
  <c r="CE21" i="289"/>
  <c r="CE16" i="289"/>
  <c r="CE11" i="289"/>
  <c r="CE10" i="289"/>
  <c r="CE12" i="289"/>
  <c r="CE15" i="289"/>
  <c r="CE17" i="289"/>
  <c r="CE22" i="289"/>
  <c r="CE24" i="289"/>
  <c r="CE55" i="278"/>
  <c r="CE56" i="278"/>
  <c r="CE57" i="278"/>
  <c r="CE60" i="278"/>
  <c r="CE61" i="278"/>
  <c r="CE67" i="278"/>
  <c r="CE12" i="278"/>
  <c r="CE13" i="278"/>
  <c r="CE32" i="278"/>
  <c r="CE18" i="278"/>
  <c r="CE19" i="278"/>
  <c r="CE33" i="278"/>
  <c r="CE34" i="278"/>
  <c r="CE68" i="278"/>
  <c r="CE70" i="278"/>
  <c r="CE71" i="278"/>
  <c r="CE74" i="278"/>
  <c r="CE75" i="278"/>
  <c r="CE9" i="265"/>
  <c r="CF38" i="278"/>
  <c r="CF39" i="278"/>
  <c r="CF48" i="278"/>
  <c r="CF49" i="278"/>
  <c r="CF50" i="278"/>
  <c r="CF59" i="278"/>
  <c r="CF54" i="278"/>
  <c r="CF23" i="289"/>
  <c r="CF225" i="273"/>
  <c r="CF226" i="273"/>
  <c r="CF21" i="289"/>
  <c r="CF24" i="289"/>
  <c r="CF55" i="278"/>
  <c r="CF56" i="278"/>
  <c r="CF57" i="278"/>
  <c r="CF60" i="278"/>
  <c r="CF61" i="278"/>
  <c r="CF67" i="278"/>
  <c r="CF12" i="278"/>
  <c r="CF13" i="278"/>
  <c r="CF32" i="278"/>
  <c r="CF18" i="278"/>
  <c r="CF19" i="278"/>
  <c r="CF33" i="278"/>
  <c r="CF34" i="278"/>
  <c r="CF68" i="278"/>
  <c r="CF70" i="278"/>
  <c r="CF71" i="278"/>
  <c r="CF74" i="278"/>
  <c r="CF75" i="278"/>
  <c r="CF9" i="265"/>
  <c r="CG38" i="278"/>
  <c r="CG39" i="278"/>
  <c r="CG48" i="278"/>
  <c r="CG49" i="278"/>
  <c r="CG50" i="278"/>
  <c r="CG59" i="278"/>
  <c r="CG54" i="278"/>
  <c r="CG23" i="289"/>
  <c r="CG225" i="273"/>
  <c r="CG226" i="273"/>
  <c r="CG21" i="289"/>
  <c r="CG16" i="289"/>
  <c r="CG11" i="289"/>
  <c r="CG10" i="289"/>
  <c r="CG12" i="289"/>
  <c r="CG15" i="289"/>
  <c r="CG17" i="289"/>
  <c r="CG22" i="289"/>
  <c r="CG24" i="289"/>
  <c r="CG55" i="278"/>
  <c r="CG56" i="278"/>
  <c r="CG57" i="278"/>
  <c r="CG60" i="278"/>
  <c r="CG61" i="278"/>
  <c r="CG67" i="278"/>
  <c r="CG12" i="278"/>
  <c r="CG13" i="278"/>
  <c r="CG32" i="278"/>
  <c r="CG18" i="278"/>
  <c r="CG19" i="278"/>
  <c r="CG33" i="278"/>
  <c r="CG34" i="278"/>
  <c r="CG68" i="278"/>
  <c r="CG70" i="278"/>
  <c r="CG71" i="278"/>
  <c r="CG74" i="278"/>
  <c r="CG75" i="278"/>
  <c r="CG9" i="265"/>
  <c r="CH38" i="278"/>
  <c r="CH39" i="278"/>
  <c r="CH48" i="278"/>
  <c r="CH49" i="278"/>
  <c r="CH50" i="278"/>
  <c r="CH59" i="278"/>
  <c r="CH54" i="278"/>
  <c r="CH23" i="289"/>
  <c r="CH225" i="273"/>
  <c r="CH226" i="273"/>
  <c r="CH21" i="289"/>
  <c r="CH24" i="289"/>
  <c r="CH55" i="278"/>
  <c r="CH56" i="278"/>
  <c r="CH57" i="278"/>
  <c r="CH60" i="278"/>
  <c r="CH61" i="278"/>
  <c r="CH67" i="278"/>
  <c r="CH12" i="278"/>
  <c r="CH13" i="278"/>
  <c r="CH32" i="278"/>
  <c r="CH18" i="278"/>
  <c r="CH19" i="278"/>
  <c r="CH33" i="278"/>
  <c r="CH34" i="278"/>
  <c r="CH68" i="278"/>
  <c r="CH70" i="278"/>
  <c r="CH71" i="278"/>
  <c r="CH74" i="278"/>
  <c r="CH75" i="278"/>
  <c r="CH9" i="265"/>
  <c r="CI38" i="278"/>
  <c r="CI39" i="278"/>
  <c r="CI48" i="278"/>
  <c r="CI49" i="278"/>
  <c r="CI50" i="278"/>
  <c r="CI59" i="278"/>
  <c r="CI54" i="278"/>
  <c r="CI23" i="289"/>
  <c r="CI225" i="273"/>
  <c r="CI226" i="273"/>
  <c r="CI21" i="289"/>
  <c r="CI16" i="289"/>
  <c r="CI11" i="289"/>
  <c r="CI10" i="289"/>
  <c r="CI12" i="289"/>
  <c r="CI15" i="289"/>
  <c r="CI17" i="289"/>
  <c r="CI22" i="289"/>
  <c r="CI24" i="289"/>
  <c r="CI55" i="278"/>
  <c r="CI56" i="278"/>
  <c r="CI57" i="278"/>
  <c r="CI60" i="278"/>
  <c r="CI61" i="278"/>
  <c r="CI67" i="278"/>
  <c r="CI12" i="278"/>
  <c r="CI13" i="278"/>
  <c r="CI32" i="278"/>
  <c r="CI18" i="278"/>
  <c r="CI19" i="278"/>
  <c r="CI33" i="278"/>
  <c r="CI34" i="278"/>
  <c r="CI68" i="278"/>
  <c r="CI70" i="278"/>
  <c r="CI71" i="278"/>
  <c r="CI74" i="278"/>
  <c r="CI75" i="278"/>
  <c r="CI9" i="265"/>
  <c r="CJ38" i="278"/>
  <c r="CJ39" i="278"/>
  <c r="CJ48" i="278"/>
  <c r="CJ49" i="278"/>
  <c r="CJ50" i="278"/>
  <c r="CJ59" i="278"/>
  <c r="CJ54" i="278"/>
  <c r="CJ23" i="289"/>
  <c r="CJ225" i="273"/>
  <c r="CJ226" i="273"/>
  <c r="CJ21" i="289"/>
  <c r="CJ24" i="289"/>
  <c r="CJ55" i="278"/>
  <c r="CJ56" i="278"/>
  <c r="CJ57" i="278"/>
  <c r="CJ60" i="278"/>
  <c r="CJ61" i="278"/>
  <c r="CJ67" i="278"/>
  <c r="CJ12" i="278"/>
  <c r="CJ13" i="278"/>
  <c r="CJ32" i="278"/>
  <c r="CJ18" i="278"/>
  <c r="CJ19" i="278"/>
  <c r="CJ33" i="278"/>
  <c r="CJ34" i="278"/>
  <c r="CJ68" i="278"/>
  <c r="CJ70" i="278"/>
  <c r="CJ71" i="278"/>
  <c r="CJ74" i="278"/>
  <c r="CJ75" i="278"/>
  <c r="CJ9" i="265"/>
  <c r="CK38" i="278"/>
  <c r="CK39" i="278"/>
  <c r="CK48" i="278"/>
  <c r="CK49" i="278"/>
  <c r="CK50" i="278"/>
  <c r="CK59" i="278"/>
  <c r="CK54" i="278"/>
  <c r="CK23" i="289"/>
  <c r="CK225" i="273"/>
  <c r="CK226" i="273"/>
  <c r="CK21" i="289"/>
  <c r="CK16" i="289"/>
  <c r="CK11" i="289"/>
  <c r="CK10" i="289"/>
  <c r="CK12" i="289"/>
  <c r="CK15" i="289"/>
  <c r="CK17" i="289"/>
  <c r="CK22" i="289"/>
  <c r="CK24" i="289"/>
  <c r="CK55" i="278"/>
  <c r="CK56" i="278"/>
  <c r="CK57" i="278"/>
  <c r="CK60" i="278"/>
  <c r="CK61" i="278"/>
  <c r="CK67" i="278"/>
  <c r="CK12" i="278"/>
  <c r="CK13" i="278"/>
  <c r="CK32" i="278"/>
  <c r="CK18" i="278"/>
  <c r="CK19" i="278"/>
  <c r="CK33" i="278"/>
  <c r="CK34" i="278"/>
  <c r="CK68" i="278"/>
  <c r="CK70" i="278"/>
  <c r="CK71" i="278"/>
  <c r="CK74" i="278"/>
  <c r="CK75" i="278"/>
  <c r="CK9" i="265"/>
  <c r="CL38" i="278"/>
  <c r="CL39" i="278"/>
  <c r="CL48" i="278"/>
  <c r="CL49" i="278"/>
  <c r="CL50" i="278"/>
  <c r="CL59" i="278"/>
  <c r="CL54" i="278"/>
  <c r="CL23" i="289"/>
  <c r="CL225" i="273"/>
  <c r="CL226" i="273"/>
  <c r="CL21" i="289"/>
  <c r="CL24" i="289"/>
  <c r="CL55" i="278"/>
  <c r="CL56" i="278"/>
  <c r="CL57" i="278"/>
  <c r="CL60" i="278"/>
  <c r="CL61" i="278"/>
  <c r="CL67" i="278"/>
  <c r="CL12" i="278"/>
  <c r="CL13" i="278"/>
  <c r="CL32" i="278"/>
  <c r="CL18" i="278"/>
  <c r="CL19" i="278"/>
  <c r="CL33" i="278"/>
  <c r="CL34" i="278"/>
  <c r="CL68" i="278"/>
  <c r="CL70" i="278"/>
  <c r="CL71" i="278"/>
  <c r="CL74" i="278"/>
  <c r="CL75" i="278"/>
  <c r="CL9" i="265"/>
  <c r="CM38" i="278"/>
  <c r="CM39" i="278"/>
  <c r="CM48" i="278"/>
  <c r="CM49" i="278"/>
  <c r="CM50" i="278"/>
  <c r="CM59" i="278"/>
  <c r="CM54" i="278"/>
  <c r="CM23" i="289"/>
  <c r="CM225" i="273"/>
  <c r="CM226" i="273"/>
  <c r="CM21" i="289"/>
  <c r="CM16" i="289"/>
  <c r="CM11" i="289"/>
  <c r="CM10" i="289"/>
  <c r="CM12" i="289"/>
  <c r="CM15" i="289"/>
  <c r="CM17" i="289"/>
  <c r="CM22" i="289"/>
  <c r="CM24" i="289"/>
  <c r="CM55" i="278"/>
  <c r="CM56" i="278"/>
  <c r="CM57" i="278"/>
  <c r="CM60" i="278"/>
  <c r="CM61" i="278"/>
  <c r="CM67" i="278"/>
  <c r="CM12" i="278"/>
  <c r="CM13" i="278"/>
  <c r="CM32" i="278"/>
  <c r="CM18" i="278"/>
  <c r="CM19" i="278"/>
  <c r="CM33" i="278"/>
  <c r="CM34" i="278"/>
  <c r="CM68" i="278"/>
  <c r="CM70" i="278"/>
  <c r="CM71" i="278"/>
  <c r="CM74" i="278"/>
  <c r="CM75" i="278"/>
  <c r="CM9" i="265"/>
  <c r="CN38" i="278"/>
  <c r="CN39" i="278"/>
  <c r="CN48" i="278"/>
  <c r="CN49" i="278"/>
  <c r="CN50" i="278"/>
  <c r="CN59" i="278"/>
  <c r="CN54" i="278"/>
  <c r="CN23" i="289"/>
  <c r="CN225" i="273"/>
  <c r="CN226" i="273"/>
  <c r="CN21" i="289"/>
  <c r="CN24" i="289"/>
  <c r="CN55" i="278"/>
  <c r="CN56" i="278"/>
  <c r="CN57" i="278"/>
  <c r="CN60" i="278"/>
  <c r="CN61" i="278"/>
  <c r="CN67" i="278"/>
  <c r="CN12" i="278"/>
  <c r="CN13" i="278"/>
  <c r="CN32" i="278"/>
  <c r="CN18" i="278"/>
  <c r="CN19" i="278"/>
  <c r="CN33" i="278"/>
  <c r="CN34" i="278"/>
  <c r="CN68" i="278"/>
  <c r="CN70" i="278"/>
  <c r="CN71" i="278"/>
  <c r="CN74" i="278"/>
  <c r="CN75" i="278"/>
  <c r="CN9" i="265"/>
  <c r="CO38" i="278"/>
  <c r="CO39" i="278"/>
  <c r="CO48" i="278"/>
  <c r="CO49" i="278"/>
  <c r="CO50" i="278"/>
  <c r="CO59" i="278"/>
  <c r="CO54" i="278"/>
  <c r="CO23" i="289"/>
  <c r="CO225" i="273"/>
  <c r="CO226" i="273"/>
  <c r="CO21" i="289"/>
  <c r="CO16" i="289"/>
  <c r="CO11" i="289"/>
  <c r="CO10" i="289"/>
  <c r="CO12" i="289"/>
  <c r="CO15" i="289"/>
  <c r="CO17" i="289"/>
  <c r="CO22" i="289"/>
  <c r="CO24" i="289"/>
  <c r="CO55" i="278"/>
  <c r="CO56" i="278"/>
  <c r="CO57" i="278"/>
  <c r="CO60" i="278"/>
  <c r="CO61" i="278"/>
  <c r="CO67" i="278"/>
  <c r="CO12" i="278"/>
  <c r="CO13" i="278"/>
  <c r="CO32" i="278"/>
  <c r="CO18" i="278"/>
  <c r="CO19" i="278"/>
  <c r="CO33" i="278"/>
  <c r="CO34" i="278"/>
  <c r="CO68" i="278"/>
  <c r="CO70" i="278"/>
  <c r="CO71" i="278"/>
  <c r="CO74" i="278"/>
  <c r="CO75" i="278"/>
  <c r="CO9" i="265"/>
  <c r="CP38" i="278"/>
  <c r="CP39" i="278"/>
  <c r="CP48" i="278"/>
  <c r="CP49" i="278"/>
  <c r="CP50" i="278"/>
  <c r="CP59" i="278"/>
  <c r="CP54" i="278"/>
  <c r="CP23" i="289"/>
  <c r="CP225" i="273"/>
  <c r="CP226" i="273"/>
  <c r="CP21" i="289"/>
  <c r="CP24" i="289"/>
  <c r="CP55" i="278"/>
  <c r="CP56" i="278"/>
  <c r="CP57" i="278"/>
  <c r="CP60" i="278"/>
  <c r="CP61" i="278"/>
  <c r="CP67" i="278"/>
  <c r="CP12" i="278"/>
  <c r="CP13" i="278"/>
  <c r="CP32" i="278"/>
  <c r="CP18" i="278"/>
  <c r="CP19" i="278"/>
  <c r="CP33" i="278"/>
  <c r="CP34" i="278"/>
  <c r="CP68" i="278"/>
  <c r="CP70" i="278"/>
  <c r="CP71" i="278"/>
  <c r="CP74" i="278"/>
  <c r="CP75" i="278"/>
  <c r="CP9" i="265"/>
  <c r="CQ38" i="278"/>
  <c r="CQ39" i="278"/>
  <c r="CQ48" i="278"/>
  <c r="CQ49" i="278"/>
  <c r="CQ50" i="278"/>
  <c r="CQ59" i="278"/>
  <c r="CQ54" i="278"/>
  <c r="CQ23" i="289"/>
  <c r="CQ225" i="273"/>
  <c r="CQ226" i="273"/>
  <c r="CQ21" i="289"/>
  <c r="CQ16" i="289"/>
  <c r="CQ11" i="289"/>
  <c r="CQ10" i="289"/>
  <c r="CQ12" i="289"/>
  <c r="CQ15" i="289"/>
  <c r="CQ17" i="289"/>
  <c r="CQ22" i="289"/>
  <c r="CQ24" i="289"/>
  <c r="CQ55" i="278"/>
  <c r="CQ56" i="278"/>
  <c r="CQ57" i="278"/>
  <c r="CQ60" i="278"/>
  <c r="CQ61" i="278"/>
  <c r="CQ67" i="278"/>
  <c r="CQ12" i="278"/>
  <c r="CQ13" i="278"/>
  <c r="CQ32" i="278"/>
  <c r="CQ18" i="278"/>
  <c r="CQ19" i="278"/>
  <c r="CQ33" i="278"/>
  <c r="CQ34" i="278"/>
  <c r="CQ68" i="278"/>
  <c r="CQ70" i="278"/>
  <c r="CQ71" i="278"/>
  <c r="CQ74" i="278"/>
  <c r="CQ75" i="278"/>
  <c r="CQ9" i="265"/>
  <c r="CR38" i="278"/>
  <c r="CR39" i="278"/>
  <c r="CR48" i="278"/>
  <c r="CR49" i="278"/>
  <c r="CR50" i="278"/>
  <c r="CR59" i="278"/>
  <c r="CR54" i="278"/>
  <c r="CR23" i="289"/>
  <c r="CR225" i="273"/>
  <c r="CR226" i="273"/>
  <c r="CR21" i="289"/>
  <c r="CR24" i="289"/>
  <c r="CR55" i="278"/>
  <c r="CR56" i="278"/>
  <c r="CR57" i="278"/>
  <c r="CR60" i="278"/>
  <c r="CR61" i="278"/>
  <c r="CR67" i="278"/>
  <c r="CR12" i="278"/>
  <c r="CR13" i="278"/>
  <c r="CR32" i="278"/>
  <c r="CR18" i="278"/>
  <c r="CR19" i="278"/>
  <c r="CR33" i="278"/>
  <c r="CR34" i="278"/>
  <c r="CR68" i="278"/>
  <c r="CR70" i="278"/>
  <c r="CR71" i="278"/>
  <c r="CR74" i="278"/>
  <c r="CR75" i="278"/>
  <c r="CR9" i="265"/>
  <c r="CS38" i="278"/>
  <c r="CS39" i="278"/>
  <c r="CS48" i="278"/>
  <c r="CS49" i="278"/>
  <c r="CS50" i="278"/>
  <c r="CS59" i="278"/>
  <c r="CS54" i="278"/>
  <c r="CS23" i="289"/>
  <c r="CS225" i="273"/>
  <c r="CS226" i="273"/>
  <c r="CS21" i="289"/>
  <c r="CS16" i="289"/>
  <c r="CS11" i="289"/>
  <c r="CS10" i="289"/>
  <c r="CS12" i="289"/>
  <c r="CS15" i="289"/>
  <c r="CS17" i="289"/>
  <c r="CS22" i="289"/>
  <c r="CS24" i="289"/>
  <c r="CS55" i="278"/>
  <c r="CS56" i="278"/>
  <c r="CS57" i="278"/>
  <c r="CS60" i="278"/>
  <c r="CS61" i="278"/>
  <c r="CS67" i="278"/>
  <c r="CS12" i="278"/>
  <c r="CS13" i="278"/>
  <c r="CS32" i="278"/>
  <c r="CS18" i="278"/>
  <c r="CS19" i="278"/>
  <c r="CS33" i="278"/>
  <c r="CS34" i="278"/>
  <c r="CS68" i="278"/>
  <c r="CS70" i="278"/>
  <c r="CS71" i="278"/>
  <c r="CS74" i="278"/>
  <c r="CS75" i="278"/>
  <c r="CS9" i="265"/>
  <c r="CT38" i="278"/>
  <c r="CT39" i="278"/>
  <c r="CT48" i="278"/>
  <c r="CT49" i="278"/>
  <c r="CT50" i="278"/>
  <c r="CT59" i="278"/>
  <c r="CT54" i="278"/>
  <c r="CT23" i="289"/>
  <c r="CT225" i="273"/>
  <c r="CT226" i="273"/>
  <c r="CT21" i="289"/>
  <c r="CT24" i="289"/>
  <c r="CT55" i="278"/>
  <c r="CT56" i="278"/>
  <c r="CT57" i="278"/>
  <c r="CT60" i="278"/>
  <c r="CT61" i="278"/>
  <c r="CT67" i="278"/>
  <c r="CT12" i="278"/>
  <c r="CT13" i="278"/>
  <c r="CT32" i="278"/>
  <c r="CT18" i="278"/>
  <c r="CT19" i="278"/>
  <c r="CT33" i="278"/>
  <c r="CT34" i="278"/>
  <c r="CT68" i="278"/>
  <c r="CT70" i="278"/>
  <c r="CT71" i="278"/>
  <c r="CT74" i="278"/>
  <c r="CT75" i="278"/>
  <c r="CT9" i="265"/>
  <c r="CU38" i="278"/>
  <c r="CU39" i="278"/>
  <c r="CU48" i="278"/>
  <c r="CU49" i="278"/>
  <c r="CU50" i="278"/>
  <c r="CU59" i="278"/>
  <c r="CU54" i="278"/>
  <c r="CU23" i="289"/>
  <c r="CU225" i="273"/>
  <c r="CU226" i="273"/>
  <c r="CU21" i="289"/>
  <c r="CU16" i="289"/>
  <c r="CU11" i="289"/>
  <c r="CU10" i="289"/>
  <c r="CU12" i="289"/>
  <c r="CU15" i="289"/>
  <c r="CU17" i="289"/>
  <c r="CU22" i="289"/>
  <c r="CU24" i="289"/>
  <c r="CU55" i="278"/>
  <c r="CU56" i="278"/>
  <c r="CU57" i="278"/>
  <c r="CU60" i="278"/>
  <c r="CU61" i="278"/>
  <c r="CU67" i="278"/>
  <c r="CU12" i="278"/>
  <c r="CU13" i="278"/>
  <c r="CU32" i="278"/>
  <c r="CU18" i="278"/>
  <c r="CU19" i="278"/>
  <c r="CU33" i="278"/>
  <c r="CU34" i="278"/>
  <c r="CU68" i="278"/>
  <c r="CU70" i="278"/>
  <c r="CU71" i="278"/>
  <c r="CU74" i="278"/>
  <c r="CU75" i="278"/>
  <c r="CU9" i="265"/>
  <c r="CV38" i="278"/>
  <c r="CV39" i="278"/>
  <c r="CV48" i="278"/>
  <c r="CV49" i="278"/>
  <c r="CV50" i="278"/>
  <c r="CV59" i="278"/>
  <c r="CV54" i="278"/>
  <c r="CV23" i="289"/>
  <c r="CV225" i="273"/>
  <c r="CV226" i="273"/>
  <c r="CV21" i="289"/>
  <c r="CV24" i="289"/>
  <c r="CV55" i="278"/>
  <c r="CV56" i="278"/>
  <c r="CV57" i="278"/>
  <c r="CV60" i="278"/>
  <c r="CV61" i="278"/>
  <c r="CV67" i="278"/>
  <c r="CV12" i="278"/>
  <c r="CV13" i="278"/>
  <c r="CV32" i="278"/>
  <c r="CV18" i="278"/>
  <c r="CV19" i="278"/>
  <c r="CV33" i="278"/>
  <c r="CV34" i="278"/>
  <c r="CV68" i="278"/>
  <c r="CV70" i="278"/>
  <c r="CV71" i="278"/>
  <c r="CV74" i="278"/>
  <c r="CV75" i="278"/>
  <c r="CV9" i="265"/>
  <c r="M34" i="273"/>
  <c r="L35" i="273"/>
  <c r="M36" i="273"/>
  <c r="M38" i="273"/>
  <c r="M39" i="273"/>
  <c r="N34" i="273"/>
  <c r="M35" i="273"/>
  <c r="N36" i="273"/>
  <c r="N38" i="273"/>
  <c r="N39" i="273"/>
  <c r="O34" i="273"/>
  <c r="N35" i="273"/>
  <c r="O36" i="273"/>
  <c r="O38" i="273"/>
  <c r="O39" i="273"/>
  <c r="P34" i="273"/>
  <c r="O35" i="273"/>
  <c r="P36" i="273"/>
  <c r="P38" i="273"/>
  <c r="P39" i="273"/>
  <c r="Q34" i="273"/>
  <c r="P35" i="273"/>
  <c r="Q36" i="273"/>
  <c r="Q38" i="273"/>
  <c r="Q39" i="273"/>
  <c r="R34" i="273"/>
  <c r="Q35" i="273"/>
  <c r="R36" i="273"/>
  <c r="R38" i="273"/>
  <c r="R39" i="273"/>
  <c r="S34" i="273"/>
  <c r="R35" i="273"/>
  <c r="S36" i="273"/>
  <c r="S38" i="273"/>
  <c r="S39" i="273"/>
  <c r="T34" i="273"/>
  <c r="S35" i="273"/>
  <c r="T36" i="273"/>
  <c r="T38" i="273"/>
  <c r="T39" i="273"/>
  <c r="U34" i="273"/>
  <c r="T35" i="273"/>
  <c r="U36" i="273"/>
  <c r="U38" i="273"/>
  <c r="U39" i="273"/>
  <c r="V34" i="273"/>
  <c r="U35" i="273"/>
  <c r="V36" i="273"/>
  <c r="V38" i="273"/>
  <c r="V39" i="273"/>
  <c r="W34" i="273"/>
  <c r="V35" i="273"/>
  <c r="W36" i="273"/>
  <c r="W38" i="273"/>
  <c r="W39" i="273"/>
  <c r="X34" i="273"/>
  <c r="W35" i="273"/>
  <c r="X36" i="273"/>
  <c r="X38" i="273"/>
  <c r="X39" i="273"/>
  <c r="Y34" i="273"/>
  <c r="X35" i="273"/>
  <c r="Y36" i="273"/>
  <c r="Y38" i="273"/>
  <c r="Y39" i="273"/>
  <c r="Z34" i="273"/>
  <c r="Y35" i="273"/>
  <c r="Z36" i="273"/>
  <c r="Z38" i="273"/>
  <c r="Z39" i="273"/>
  <c r="AA34" i="273"/>
  <c r="Z35" i="273"/>
  <c r="AA36" i="273"/>
  <c r="AA38" i="273"/>
  <c r="AA39" i="273"/>
  <c r="AB34" i="273"/>
  <c r="AA35" i="273"/>
  <c r="AB36" i="273"/>
  <c r="AB38" i="273"/>
  <c r="AB39" i="273"/>
  <c r="AC34" i="273"/>
  <c r="AB35" i="273"/>
  <c r="AC36" i="273"/>
  <c r="AC38" i="273"/>
  <c r="AC39" i="273"/>
  <c r="AD34" i="273"/>
  <c r="AC35" i="273"/>
  <c r="AD36" i="273"/>
  <c r="AD38" i="273"/>
  <c r="AD39" i="273"/>
  <c r="AE34" i="273"/>
  <c r="AD35" i="273"/>
  <c r="AE36" i="273"/>
  <c r="AE38" i="273"/>
  <c r="AE39" i="273"/>
  <c r="AF34" i="273"/>
  <c r="AE35" i="273"/>
  <c r="AF36" i="273"/>
  <c r="AF38" i="273"/>
  <c r="AF39" i="273"/>
  <c r="AG34" i="273"/>
  <c r="AF35" i="273"/>
  <c r="AG36" i="273"/>
  <c r="AG38" i="273"/>
  <c r="AG39" i="273"/>
  <c r="AH34" i="273"/>
  <c r="AG35" i="273"/>
  <c r="AH36" i="273"/>
  <c r="AH38" i="273"/>
  <c r="AH39" i="273"/>
  <c r="AI34" i="273"/>
  <c r="AH35" i="273"/>
  <c r="AI36" i="273"/>
  <c r="AI38" i="273"/>
  <c r="AI39" i="273"/>
  <c r="AJ34" i="273"/>
  <c r="AI35" i="273"/>
  <c r="AJ36" i="273"/>
  <c r="AJ38" i="273"/>
  <c r="AJ39" i="273"/>
  <c r="AK34" i="273"/>
  <c r="AJ35" i="273"/>
  <c r="AK36" i="273"/>
  <c r="AK38" i="273"/>
  <c r="AK39" i="273"/>
  <c r="AL34" i="273"/>
  <c r="AK35" i="273"/>
  <c r="AL36" i="273"/>
  <c r="AL38" i="273"/>
  <c r="AL39" i="273"/>
  <c r="AM34" i="273"/>
  <c r="AL35" i="273"/>
  <c r="AM36" i="273"/>
  <c r="AM38" i="273"/>
  <c r="AM39" i="273"/>
  <c r="AN34" i="273"/>
  <c r="AM35" i="273"/>
  <c r="AN36" i="273"/>
  <c r="AN38" i="273"/>
  <c r="AN39" i="273"/>
  <c r="AO34" i="273"/>
  <c r="AN35" i="273"/>
  <c r="AO36" i="273"/>
  <c r="AO38" i="273"/>
  <c r="AO39" i="273"/>
  <c r="AP34" i="273"/>
  <c r="AO35" i="273"/>
  <c r="AP36" i="273"/>
  <c r="AP38" i="273"/>
  <c r="AP39" i="273"/>
  <c r="AQ34" i="273"/>
  <c r="AP35" i="273"/>
  <c r="AQ36" i="273"/>
  <c r="AQ38" i="273"/>
  <c r="AQ39" i="273"/>
  <c r="AR34" i="273"/>
  <c r="AQ35" i="273"/>
  <c r="AR36" i="273"/>
  <c r="AR38" i="273"/>
  <c r="AR39" i="273"/>
  <c r="AS34" i="273"/>
  <c r="AR35" i="273"/>
  <c r="AS36" i="273"/>
  <c r="AS38" i="273"/>
  <c r="AS39" i="273"/>
  <c r="AT34" i="273"/>
  <c r="AS35" i="273"/>
  <c r="AT36" i="273"/>
  <c r="AT38" i="273"/>
  <c r="AT39" i="273"/>
  <c r="AU34" i="273"/>
  <c r="AT35" i="273"/>
  <c r="AU36" i="273"/>
  <c r="AU38" i="273"/>
  <c r="AU39" i="273"/>
  <c r="AV34" i="273"/>
  <c r="AU35" i="273"/>
  <c r="AV36" i="273"/>
  <c r="AV38" i="273"/>
  <c r="AV39" i="273"/>
  <c r="AW34" i="273"/>
  <c r="AV35" i="273"/>
  <c r="AW36" i="273"/>
  <c r="AW38" i="273"/>
  <c r="AW39" i="273"/>
  <c r="AX34" i="273"/>
  <c r="AW35" i="273"/>
  <c r="AX36" i="273"/>
  <c r="AX38" i="273"/>
  <c r="AX39" i="273"/>
  <c r="AY34" i="273"/>
  <c r="AX35" i="273"/>
  <c r="AY36" i="273"/>
  <c r="AY38" i="273"/>
  <c r="AY39" i="273"/>
  <c r="AZ34" i="273"/>
  <c r="AY35" i="273"/>
  <c r="AZ36" i="273"/>
  <c r="AZ38" i="273"/>
  <c r="AZ39" i="273"/>
  <c r="BA34" i="273"/>
  <c r="AZ35" i="273"/>
  <c r="BA36" i="273"/>
  <c r="BA38" i="273"/>
  <c r="BA39" i="273"/>
  <c r="BB34" i="273"/>
  <c r="BA35" i="273"/>
  <c r="BB36" i="273"/>
  <c r="BB38" i="273"/>
  <c r="BB39" i="273"/>
  <c r="BC34" i="273"/>
  <c r="BB29" i="273"/>
  <c r="BB30" i="273"/>
  <c r="BB35" i="273"/>
  <c r="BC36" i="273"/>
  <c r="BC38" i="273"/>
  <c r="BC39" i="273"/>
  <c r="BD34" i="273"/>
  <c r="BC29" i="273"/>
  <c r="BC30" i="273"/>
  <c r="BC35" i="273"/>
  <c r="BD36" i="273"/>
  <c r="BD38" i="273"/>
  <c r="BD39" i="273"/>
  <c r="BE34" i="273"/>
  <c r="BD29" i="273"/>
  <c r="BD30" i="273"/>
  <c r="BD35" i="273"/>
  <c r="BE36" i="273"/>
  <c r="BE38" i="273"/>
  <c r="BE39" i="273"/>
  <c r="BF34" i="273"/>
  <c r="BE29" i="273"/>
  <c r="BE30" i="273"/>
  <c r="BE35" i="273"/>
  <c r="BF36" i="273"/>
  <c r="BF38" i="273"/>
  <c r="BF39" i="273"/>
  <c r="BG34" i="273"/>
  <c r="BF29" i="273"/>
  <c r="BF30" i="273"/>
  <c r="BF35" i="273"/>
  <c r="BG36" i="273"/>
  <c r="BG38" i="273"/>
  <c r="BG39" i="273"/>
  <c r="BH34" i="273"/>
  <c r="BG29" i="273"/>
  <c r="BG30" i="273"/>
  <c r="BG35" i="273"/>
  <c r="BH36" i="273"/>
  <c r="BH38" i="273"/>
  <c r="BH39" i="273"/>
  <c r="BI34" i="273"/>
  <c r="BH29" i="273"/>
  <c r="BH30" i="273"/>
  <c r="BH35" i="273"/>
  <c r="BI36" i="273"/>
  <c r="BI38" i="273"/>
  <c r="BI39" i="273"/>
  <c r="BJ34" i="273"/>
  <c r="BI29" i="273"/>
  <c r="BI30" i="273"/>
  <c r="BI35" i="273"/>
  <c r="BJ36" i="273"/>
  <c r="BJ38" i="273"/>
  <c r="BJ39" i="273"/>
  <c r="BK34" i="273"/>
  <c r="BJ29" i="273"/>
  <c r="BJ30" i="273"/>
  <c r="BJ35" i="273"/>
  <c r="BK36" i="273"/>
  <c r="BK38" i="273"/>
  <c r="BK39" i="273"/>
  <c r="BL34" i="273"/>
  <c r="BK29" i="273"/>
  <c r="BK30" i="273"/>
  <c r="BK35" i="273"/>
  <c r="BL36" i="273"/>
  <c r="BL38" i="273"/>
  <c r="BL39" i="273"/>
  <c r="BM34" i="273"/>
  <c r="BL29" i="273"/>
  <c r="BL30" i="273"/>
  <c r="BL35" i="273"/>
  <c r="BM36" i="273"/>
  <c r="BM38" i="273"/>
  <c r="BM39" i="273"/>
  <c r="BN34" i="273"/>
  <c r="BM29" i="273"/>
  <c r="BM30" i="273"/>
  <c r="BM35" i="273"/>
  <c r="BN36" i="273"/>
  <c r="BN38" i="273"/>
  <c r="BN39" i="273"/>
  <c r="BO34" i="273"/>
  <c r="BN29" i="273"/>
  <c r="BN30" i="273"/>
  <c r="BN35" i="273"/>
  <c r="BO36" i="273"/>
  <c r="BO38" i="273"/>
  <c r="BO39" i="273"/>
  <c r="BP34" i="273"/>
  <c r="BO29" i="273"/>
  <c r="BO30" i="273"/>
  <c r="BO35" i="273"/>
  <c r="BP36" i="273"/>
  <c r="BP38" i="273"/>
  <c r="BP39" i="273"/>
  <c r="BQ34" i="273"/>
  <c r="BP29" i="273"/>
  <c r="BP30" i="273"/>
  <c r="BP35" i="273"/>
  <c r="BQ36" i="273"/>
  <c r="BQ38" i="273"/>
  <c r="BQ39" i="273"/>
  <c r="BR34" i="273"/>
  <c r="BQ29" i="273"/>
  <c r="BQ30" i="273"/>
  <c r="BQ35" i="273"/>
  <c r="BR36" i="273"/>
  <c r="BR38" i="273"/>
  <c r="BR39" i="273"/>
  <c r="BS34" i="273"/>
  <c r="BR29" i="273"/>
  <c r="BR30" i="273"/>
  <c r="BR35" i="273"/>
  <c r="BS36" i="273"/>
  <c r="BS38" i="273"/>
  <c r="BS39" i="273"/>
  <c r="BT34" i="273"/>
  <c r="BS29" i="273"/>
  <c r="BS30" i="273"/>
  <c r="BS35" i="273"/>
  <c r="BT36" i="273"/>
  <c r="BT38" i="273"/>
  <c r="BT39" i="273"/>
  <c r="BU34" i="273"/>
  <c r="BT29" i="273"/>
  <c r="BT30" i="273"/>
  <c r="BT35" i="273"/>
  <c r="BU36" i="273"/>
  <c r="BU38" i="273"/>
  <c r="BU39" i="273"/>
  <c r="BV34" i="273"/>
  <c r="BU29" i="273"/>
  <c r="BU30" i="273"/>
  <c r="BU35" i="273"/>
  <c r="BV36" i="273"/>
  <c r="BV38" i="273"/>
  <c r="BV39" i="273"/>
  <c r="BW34" i="273"/>
  <c r="BV29" i="273"/>
  <c r="BV30" i="273"/>
  <c r="BV35" i="273"/>
  <c r="BW36" i="273"/>
  <c r="BW38" i="273"/>
  <c r="BW39" i="273"/>
  <c r="BX34" i="273"/>
  <c r="BW29" i="273"/>
  <c r="BW30" i="273"/>
  <c r="BW35" i="273"/>
  <c r="BX36" i="273"/>
  <c r="BX38" i="273"/>
  <c r="BX39" i="273"/>
  <c r="BY34" i="273"/>
  <c r="BX29" i="273"/>
  <c r="BX30" i="273"/>
  <c r="BX35" i="273"/>
  <c r="BY36" i="273"/>
  <c r="BY38" i="273"/>
  <c r="BY39" i="273"/>
  <c r="BZ34" i="273"/>
  <c r="BY29" i="273"/>
  <c r="BY30" i="273"/>
  <c r="BY35" i="273"/>
  <c r="BZ36" i="273"/>
  <c r="BZ38" i="273"/>
  <c r="BZ39" i="273"/>
  <c r="CA34" i="273"/>
  <c r="BZ29" i="273"/>
  <c r="BZ30" i="273"/>
  <c r="BZ35" i="273"/>
  <c r="CA36" i="273"/>
  <c r="CA38" i="273"/>
  <c r="CA39" i="273"/>
  <c r="CB34" i="273"/>
  <c r="CA29" i="273"/>
  <c r="CA30" i="273"/>
  <c r="CA35" i="273"/>
  <c r="CB36" i="273"/>
  <c r="CB38" i="273"/>
  <c r="CB39" i="273"/>
  <c r="CC34" i="273"/>
  <c r="CB29" i="273"/>
  <c r="CB30" i="273"/>
  <c r="CB35" i="273"/>
  <c r="CC36" i="273"/>
  <c r="CC38" i="273"/>
  <c r="CC39" i="273"/>
  <c r="CD34" i="273"/>
  <c r="CC29" i="273"/>
  <c r="CC30" i="273"/>
  <c r="CC35" i="273"/>
  <c r="CD36" i="273"/>
  <c r="CD38" i="273"/>
  <c r="CD39" i="273"/>
  <c r="CE34" i="273"/>
  <c r="CD29" i="273"/>
  <c r="CD30" i="273"/>
  <c r="CD35" i="273"/>
  <c r="CE36" i="273"/>
  <c r="CE38" i="273"/>
  <c r="CE39" i="273"/>
  <c r="CF34" i="273"/>
  <c r="CE29" i="273"/>
  <c r="CE30" i="273"/>
  <c r="CE35" i="273"/>
  <c r="CF36" i="273"/>
  <c r="CF38" i="273"/>
  <c r="CF39" i="273"/>
  <c r="CG34" i="273"/>
  <c r="CF29" i="273"/>
  <c r="CF30" i="273"/>
  <c r="CF35" i="273"/>
  <c r="CG36" i="273"/>
  <c r="CG38" i="273"/>
  <c r="CG39" i="273"/>
  <c r="CH34" i="273"/>
  <c r="CG29" i="273"/>
  <c r="CG30" i="273"/>
  <c r="CG35" i="273"/>
  <c r="CH36" i="273"/>
  <c r="CH38" i="273"/>
  <c r="CH39" i="273"/>
  <c r="CI34" i="273"/>
  <c r="CH29" i="273"/>
  <c r="CH30" i="273"/>
  <c r="CH35" i="273"/>
  <c r="CI36" i="273"/>
  <c r="CI38" i="273"/>
  <c r="CI39" i="273"/>
  <c r="CJ34" i="273"/>
  <c r="CI29" i="273"/>
  <c r="CI30" i="273"/>
  <c r="CI35" i="273"/>
  <c r="CJ36" i="273"/>
  <c r="CJ38" i="273"/>
  <c r="CJ39" i="273"/>
  <c r="CK34" i="273"/>
  <c r="CJ29" i="273"/>
  <c r="CJ30" i="273"/>
  <c r="CJ35" i="273"/>
  <c r="CK36" i="273"/>
  <c r="CK38" i="273"/>
  <c r="CK39" i="273"/>
  <c r="CL34" i="273"/>
  <c r="CK29" i="273"/>
  <c r="CK30" i="273"/>
  <c r="CK35" i="273"/>
  <c r="CL36" i="273"/>
  <c r="CL38" i="273"/>
  <c r="CL39" i="273"/>
  <c r="CM34" i="273"/>
  <c r="CL29" i="273"/>
  <c r="CL30" i="273"/>
  <c r="CL35" i="273"/>
  <c r="CM36" i="273"/>
  <c r="CM38" i="273"/>
  <c r="CM39" i="273"/>
  <c r="CN34" i="273"/>
  <c r="CM29" i="273"/>
  <c r="CM30" i="273"/>
  <c r="CM35" i="273"/>
  <c r="CN36" i="273"/>
  <c r="CN38" i="273"/>
  <c r="CN39" i="273"/>
  <c r="CO34" i="273"/>
  <c r="CN29" i="273"/>
  <c r="CN30" i="273"/>
  <c r="CN35" i="273"/>
  <c r="CO36" i="273"/>
  <c r="CO38" i="273"/>
  <c r="CO39" i="273"/>
  <c r="CP34" i="273"/>
  <c r="CO29" i="273"/>
  <c r="CO30" i="273"/>
  <c r="CO35" i="273"/>
  <c r="CP36" i="273"/>
  <c r="CP38" i="273"/>
  <c r="CP39" i="273"/>
  <c r="CQ34" i="273"/>
  <c r="CP29" i="273"/>
  <c r="CP30" i="273"/>
  <c r="CP35" i="273"/>
  <c r="CQ36" i="273"/>
  <c r="CQ38" i="273"/>
  <c r="CQ39" i="273"/>
  <c r="CR34" i="273"/>
  <c r="CQ29" i="273"/>
  <c r="CQ30" i="273"/>
  <c r="CQ35" i="273"/>
  <c r="CR36" i="273"/>
  <c r="CR38" i="273"/>
  <c r="CR39" i="273"/>
  <c r="CS34" i="273"/>
  <c r="CR29" i="273"/>
  <c r="CR30" i="273"/>
  <c r="CR35" i="273"/>
  <c r="CS36" i="273"/>
  <c r="CS38" i="273"/>
  <c r="CS39" i="273"/>
  <c r="CT34" i="273"/>
  <c r="CS29" i="273"/>
  <c r="CS30" i="273"/>
  <c r="CS35" i="273"/>
  <c r="CT36" i="273"/>
  <c r="CT38" i="273"/>
  <c r="CT39" i="273"/>
  <c r="CU34" i="273"/>
  <c r="CT29" i="273"/>
  <c r="CT30" i="273"/>
  <c r="CT35" i="273"/>
  <c r="CU36" i="273"/>
  <c r="CU38" i="273"/>
  <c r="CU39" i="273"/>
  <c r="CV34" i="273"/>
  <c r="CU29" i="273"/>
  <c r="CU30" i="273"/>
  <c r="CU35" i="273"/>
  <c r="CV36" i="273"/>
  <c r="CV38" i="273"/>
  <c r="CV39" i="273"/>
  <c r="O54" i="289"/>
  <c r="O52" i="289"/>
  <c r="F128" i="48"/>
  <c r="F50" i="289"/>
  <c r="F51" i="289"/>
  <c r="O47" i="289"/>
  <c r="F131" i="48"/>
  <c r="F45" i="289"/>
  <c r="O46" i="289"/>
  <c r="O48" i="289"/>
  <c r="O53" i="289"/>
  <c r="O55" i="289"/>
  <c r="O114" i="278"/>
  <c r="O115" i="278"/>
  <c r="O116" i="278"/>
  <c r="O152" i="278"/>
  <c r="O147" i="278"/>
  <c r="O148" i="278"/>
  <c r="O149" i="278"/>
  <c r="O153" i="278"/>
  <c r="O154" i="278"/>
  <c r="F129" i="278"/>
  <c r="F131" i="278"/>
  <c r="O133" i="278"/>
  <c r="O134" i="278"/>
  <c r="F130" i="278"/>
  <c r="O135" i="278"/>
  <c r="O136" i="278"/>
  <c r="O137" i="278"/>
  <c r="G139" i="278"/>
  <c r="H138" i="278"/>
  <c r="E138" i="278"/>
  <c r="F138" i="278"/>
  <c r="G138" i="278"/>
  <c r="I138" i="278"/>
  <c r="J120" i="278"/>
  <c r="J138" i="278"/>
  <c r="K120" i="278"/>
  <c r="K138" i="278"/>
  <c r="L120" i="278"/>
  <c r="L138" i="278"/>
  <c r="M120" i="278"/>
  <c r="M138" i="278"/>
  <c r="N120" i="278"/>
  <c r="N138" i="278"/>
  <c r="O120" i="278"/>
  <c r="O138" i="278"/>
  <c r="P120" i="278"/>
  <c r="P138" i="278"/>
  <c r="Q120" i="278"/>
  <c r="Q138" i="278"/>
  <c r="R120" i="278"/>
  <c r="R138" i="278"/>
  <c r="S120" i="278"/>
  <c r="S138" i="278"/>
  <c r="T120" i="278"/>
  <c r="T138" i="278"/>
  <c r="U120" i="278"/>
  <c r="U138" i="278"/>
  <c r="V120" i="278"/>
  <c r="V138" i="278"/>
  <c r="W120" i="278"/>
  <c r="W138" i="278"/>
  <c r="X120" i="278"/>
  <c r="X138" i="278"/>
  <c r="Y120" i="278"/>
  <c r="Y138" i="278"/>
  <c r="Z120" i="278"/>
  <c r="Z138" i="278"/>
  <c r="AA120" i="278"/>
  <c r="AA138" i="278"/>
  <c r="AB120" i="278"/>
  <c r="AB138" i="278"/>
  <c r="AC120" i="278"/>
  <c r="AC138" i="278"/>
  <c r="AD120" i="278"/>
  <c r="AD138" i="278"/>
  <c r="AE120" i="278"/>
  <c r="AE138" i="278"/>
  <c r="AF120" i="278"/>
  <c r="AF138" i="278"/>
  <c r="AG120" i="278"/>
  <c r="AG138" i="278"/>
  <c r="AH120" i="278"/>
  <c r="AH138" i="278"/>
  <c r="AI120" i="278"/>
  <c r="AI138" i="278"/>
  <c r="AJ120" i="278"/>
  <c r="AJ138" i="278"/>
  <c r="AK120" i="278"/>
  <c r="AK138" i="278"/>
  <c r="AL120" i="278"/>
  <c r="AL138" i="278"/>
  <c r="AM120" i="278"/>
  <c r="AM138" i="278"/>
  <c r="AN120" i="278"/>
  <c r="AN138" i="278"/>
  <c r="AO120" i="278"/>
  <c r="AO138" i="278"/>
  <c r="AP120" i="278"/>
  <c r="AP138" i="278"/>
  <c r="AQ120" i="278"/>
  <c r="AQ138" i="278"/>
  <c r="AR120" i="278"/>
  <c r="AR138" i="278"/>
  <c r="AS120" i="278"/>
  <c r="AS138" i="278"/>
  <c r="AT120" i="278"/>
  <c r="AT138" i="278"/>
  <c r="AU120" i="278"/>
  <c r="AU138" i="278"/>
  <c r="AV120" i="278"/>
  <c r="AV138" i="278"/>
  <c r="AW120" i="278"/>
  <c r="AW138" i="278"/>
  <c r="AX120" i="278"/>
  <c r="AX138" i="278"/>
  <c r="AY120" i="278"/>
  <c r="AY138" i="278"/>
  <c r="AZ120" i="278"/>
  <c r="AZ138" i="278"/>
  <c r="BA120" i="278"/>
  <c r="BA138" i="278"/>
  <c r="BB120" i="278"/>
  <c r="BB138" i="278"/>
  <c r="BC138" i="278"/>
  <c r="BD120" i="278"/>
  <c r="BD138" i="278"/>
  <c r="BE120" i="278"/>
  <c r="BE138" i="278"/>
  <c r="BF120" i="278"/>
  <c r="BF138" i="278"/>
  <c r="BG120" i="278"/>
  <c r="BG138" i="278"/>
  <c r="BH120" i="278"/>
  <c r="BH138" i="278"/>
  <c r="BI120" i="278"/>
  <c r="BI138" i="278"/>
  <c r="BJ120" i="278"/>
  <c r="BJ138" i="278"/>
  <c r="BK120" i="278"/>
  <c r="BK138" i="278"/>
  <c r="BL120" i="278"/>
  <c r="BL138" i="278"/>
  <c r="BM120" i="278"/>
  <c r="BM138" i="278"/>
  <c r="BN120" i="278"/>
  <c r="BN138" i="278"/>
  <c r="BO120" i="278"/>
  <c r="BO138" i="278"/>
  <c r="BP120" i="278"/>
  <c r="BP138" i="278"/>
  <c r="BQ120" i="278"/>
  <c r="BQ138" i="278"/>
  <c r="BR120" i="278"/>
  <c r="BR138" i="278"/>
  <c r="BS120" i="278"/>
  <c r="BS138" i="278"/>
  <c r="BT120" i="278"/>
  <c r="BT138" i="278"/>
  <c r="BU120" i="278"/>
  <c r="BU138" i="278"/>
  <c r="BV120" i="278"/>
  <c r="BV138" i="278"/>
  <c r="BW120" i="278"/>
  <c r="BW138" i="278"/>
  <c r="BX120" i="278"/>
  <c r="BX138" i="278"/>
  <c r="BY120" i="278"/>
  <c r="BY138" i="278"/>
  <c r="BZ120" i="278"/>
  <c r="BZ138" i="278"/>
  <c r="CA120" i="278"/>
  <c r="CA138" i="278"/>
  <c r="CB120" i="278"/>
  <c r="CB138" i="278"/>
  <c r="CC120" i="278"/>
  <c r="CC138" i="278"/>
  <c r="CD120" i="278"/>
  <c r="CD138" i="278"/>
  <c r="CE120" i="278"/>
  <c r="CE138" i="278"/>
  <c r="CF120" i="278"/>
  <c r="CF138" i="278"/>
  <c r="CG120" i="278"/>
  <c r="CG138" i="278"/>
  <c r="CH120" i="278"/>
  <c r="CH138" i="278"/>
  <c r="CI120" i="278"/>
  <c r="CI138" i="278"/>
  <c r="CJ120" i="278"/>
  <c r="CJ138" i="278"/>
  <c r="CK120" i="278"/>
  <c r="CK138" i="278"/>
  <c r="CL120" i="278"/>
  <c r="CL138" i="278"/>
  <c r="CM120" i="278"/>
  <c r="CM138" i="278"/>
  <c r="CN120" i="278"/>
  <c r="CN138" i="278"/>
  <c r="CO120" i="278"/>
  <c r="CO138" i="278"/>
  <c r="CP120" i="278"/>
  <c r="CP138" i="278"/>
  <c r="CQ120" i="278"/>
  <c r="CQ138" i="278"/>
  <c r="CR120" i="278"/>
  <c r="CR138" i="278"/>
  <c r="CS120" i="278"/>
  <c r="CS138" i="278"/>
  <c r="CT120" i="278"/>
  <c r="CT138" i="278"/>
  <c r="CU120" i="278"/>
  <c r="CU138" i="278"/>
  <c r="CV120" i="278"/>
  <c r="CV138" i="278"/>
  <c r="J133" i="278"/>
  <c r="K133" i="278"/>
  <c r="L133" i="278"/>
  <c r="M133" i="278"/>
  <c r="N133" i="278"/>
  <c r="P133" i="278"/>
  <c r="Q133" i="278"/>
  <c r="R133" i="278"/>
  <c r="S133" i="278"/>
  <c r="T133" i="278"/>
  <c r="U133" i="278"/>
  <c r="V133" i="278"/>
  <c r="W133" i="278"/>
  <c r="X133" i="278"/>
  <c r="Y133" i="278"/>
  <c r="Z133" i="278"/>
  <c r="AA133" i="278"/>
  <c r="AB133" i="278"/>
  <c r="AC133" i="278"/>
  <c r="AD133" i="278"/>
  <c r="AE133" i="278"/>
  <c r="AF133" i="278"/>
  <c r="AG133" i="278"/>
  <c r="AH133" i="278"/>
  <c r="AI133" i="278"/>
  <c r="AJ133" i="278"/>
  <c r="AK133" i="278"/>
  <c r="AL133" i="278"/>
  <c r="AM133" i="278"/>
  <c r="AN133" i="278"/>
  <c r="AO133" i="278"/>
  <c r="AP133" i="278"/>
  <c r="AQ133" i="278"/>
  <c r="AR133" i="278"/>
  <c r="AS133" i="278"/>
  <c r="AT133" i="278"/>
  <c r="AU133" i="278"/>
  <c r="AV133" i="278"/>
  <c r="AW133" i="278"/>
  <c r="AX133" i="278"/>
  <c r="AY133" i="278"/>
  <c r="AZ133" i="278"/>
  <c r="BA133" i="278"/>
  <c r="BB133" i="278"/>
  <c r="BC133" i="278"/>
  <c r="BD133" i="278"/>
  <c r="BE133" i="278"/>
  <c r="BF133" i="278"/>
  <c r="BG133" i="278"/>
  <c r="BH133" i="278"/>
  <c r="BI133" i="278"/>
  <c r="BJ133" i="278"/>
  <c r="BK133" i="278"/>
  <c r="BL133" i="278"/>
  <c r="BM133" i="278"/>
  <c r="BN133" i="278"/>
  <c r="BO133" i="278"/>
  <c r="BP133" i="278"/>
  <c r="BQ133" i="278"/>
  <c r="BR133" i="278"/>
  <c r="BS133" i="278"/>
  <c r="BT133" i="278"/>
  <c r="BU133" i="278"/>
  <c r="BV133" i="278"/>
  <c r="BW133" i="278"/>
  <c r="BX133" i="278"/>
  <c r="BY133" i="278"/>
  <c r="BZ133" i="278"/>
  <c r="CA133" i="278"/>
  <c r="CB133" i="278"/>
  <c r="CC133" i="278"/>
  <c r="CD133" i="278"/>
  <c r="CE133" i="278"/>
  <c r="CF133" i="278"/>
  <c r="CG133" i="278"/>
  <c r="CH133" i="278"/>
  <c r="CI133" i="278"/>
  <c r="CJ133" i="278"/>
  <c r="CK133" i="278"/>
  <c r="CL133" i="278"/>
  <c r="CM133" i="278"/>
  <c r="CN133" i="278"/>
  <c r="CO133" i="278"/>
  <c r="CP133" i="278"/>
  <c r="CQ133" i="278"/>
  <c r="CR133" i="278"/>
  <c r="CS133" i="278"/>
  <c r="CT133" i="278"/>
  <c r="CU133" i="278"/>
  <c r="CV133" i="278"/>
  <c r="H133" i="278"/>
  <c r="J134" i="278"/>
  <c r="J135" i="278"/>
  <c r="J136" i="278"/>
  <c r="J137" i="278"/>
  <c r="K134" i="278"/>
  <c r="K135" i="278"/>
  <c r="K54" i="289"/>
  <c r="K52" i="289"/>
  <c r="K47" i="289"/>
  <c r="K46" i="289"/>
  <c r="K48" i="289"/>
  <c r="K53" i="289"/>
  <c r="K55" i="289"/>
  <c r="K136" i="278"/>
  <c r="K137" i="278"/>
  <c r="L134" i="278"/>
  <c r="L135" i="278"/>
  <c r="L54" i="289"/>
  <c r="L52" i="289"/>
  <c r="L55" i="289"/>
  <c r="L136" i="278"/>
  <c r="L137" i="278"/>
  <c r="M134" i="278"/>
  <c r="M135" i="278"/>
  <c r="M54" i="289"/>
  <c r="M52" i="289"/>
  <c r="M47" i="289"/>
  <c r="M46" i="289"/>
  <c r="M48" i="289"/>
  <c r="M53" i="289"/>
  <c r="M55" i="289"/>
  <c r="M136" i="278"/>
  <c r="M137" i="278"/>
  <c r="N134" i="278"/>
  <c r="N135" i="278"/>
  <c r="N54" i="289"/>
  <c r="N52" i="289"/>
  <c r="N55" i="289"/>
  <c r="N136" i="278"/>
  <c r="N137" i="278"/>
  <c r="P134" i="278"/>
  <c r="P135" i="278"/>
  <c r="P54" i="289"/>
  <c r="P52" i="289"/>
  <c r="P55" i="289"/>
  <c r="P136" i="278"/>
  <c r="P137" i="278"/>
  <c r="Q134" i="278"/>
  <c r="Q135" i="278"/>
  <c r="Q54" i="289"/>
  <c r="Q52" i="289"/>
  <c r="Q47" i="289"/>
  <c r="Q46" i="289"/>
  <c r="Q48" i="289"/>
  <c r="Q53" i="289"/>
  <c r="Q55" i="289"/>
  <c r="Q136" i="278"/>
  <c r="Q137" i="278"/>
  <c r="R134" i="278"/>
  <c r="R135" i="278"/>
  <c r="R54" i="289"/>
  <c r="R52" i="289"/>
  <c r="R55" i="289"/>
  <c r="R136" i="278"/>
  <c r="R137" i="278"/>
  <c r="S134" i="278"/>
  <c r="S135" i="278"/>
  <c r="S54" i="289"/>
  <c r="S52" i="289"/>
  <c r="S47" i="289"/>
  <c r="S46" i="289"/>
  <c r="S48" i="289"/>
  <c r="S53" i="289"/>
  <c r="S55" i="289"/>
  <c r="S136" i="278"/>
  <c r="S137" i="278"/>
  <c r="T134" i="278"/>
  <c r="T135" i="278"/>
  <c r="T54" i="289"/>
  <c r="T52" i="289"/>
  <c r="T55" i="289"/>
  <c r="T136" i="278"/>
  <c r="T137" i="278"/>
  <c r="U134" i="278"/>
  <c r="U135" i="278"/>
  <c r="U54" i="289"/>
  <c r="U52" i="289"/>
  <c r="U47" i="289"/>
  <c r="U46" i="289"/>
  <c r="U48" i="289"/>
  <c r="U53" i="289"/>
  <c r="U55" i="289"/>
  <c r="U136" i="278"/>
  <c r="U137" i="278"/>
  <c r="V134" i="278"/>
  <c r="V135" i="278"/>
  <c r="V54" i="289"/>
  <c r="V52" i="289"/>
  <c r="V55" i="289"/>
  <c r="V136" i="278"/>
  <c r="V137" i="278"/>
  <c r="W134" i="278"/>
  <c r="W135" i="278"/>
  <c r="W54" i="289"/>
  <c r="W52" i="289"/>
  <c r="W47" i="289"/>
  <c r="W46" i="289"/>
  <c r="W48" i="289"/>
  <c r="W53" i="289"/>
  <c r="W55" i="289"/>
  <c r="W136" i="278"/>
  <c r="W137" i="278"/>
  <c r="X134" i="278"/>
  <c r="X135" i="278"/>
  <c r="X54" i="289"/>
  <c r="X52" i="289"/>
  <c r="X55" i="289"/>
  <c r="X136" i="278"/>
  <c r="X137" i="278"/>
  <c r="Y134" i="278"/>
  <c r="Y135" i="278"/>
  <c r="Y54" i="289"/>
  <c r="Y52" i="289"/>
  <c r="Y47" i="289"/>
  <c r="Y46" i="289"/>
  <c r="Y48" i="289"/>
  <c r="Y53" i="289"/>
  <c r="Y55" i="289"/>
  <c r="Y136" i="278"/>
  <c r="Y137" i="278"/>
  <c r="Z134" i="278"/>
  <c r="Z135" i="278"/>
  <c r="Z54" i="289"/>
  <c r="Z52" i="289"/>
  <c r="Z55" i="289"/>
  <c r="Z136" i="278"/>
  <c r="Z137" i="278"/>
  <c r="AA134" i="278"/>
  <c r="AA135" i="278"/>
  <c r="AA54" i="289"/>
  <c r="AA52" i="289"/>
  <c r="AA47" i="289"/>
  <c r="AA46" i="289"/>
  <c r="AA48" i="289"/>
  <c r="AA53" i="289"/>
  <c r="AA55" i="289"/>
  <c r="AA136" i="278"/>
  <c r="AA137" i="278"/>
  <c r="AB134" i="278"/>
  <c r="AB135" i="278"/>
  <c r="AB54" i="289"/>
  <c r="AB52" i="289"/>
  <c r="AB55" i="289"/>
  <c r="AB136" i="278"/>
  <c r="AB137" i="278"/>
  <c r="AC134" i="278"/>
  <c r="AC135" i="278"/>
  <c r="AC54" i="289"/>
  <c r="AC52" i="289"/>
  <c r="AC47" i="289"/>
  <c r="AC46" i="289"/>
  <c r="AC48" i="289"/>
  <c r="AC53" i="289"/>
  <c r="AC55" i="289"/>
  <c r="AC136" i="278"/>
  <c r="AC137" i="278"/>
  <c r="AD134" i="278"/>
  <c r="AD135" i="278"/>
  <c r="AD54" i="289"/>
  <c r="AD52" i="289"/>
  <c r="AD55" i="289"/>
  <c r="AD136" i="278"/>
  <c r="AD137" i="278"/>
  <c r="AE134" i="278"/>
  <c r="AE135" i="278"/>
  <c r="AE54" i="289"/>
  <c r="AE52" i="289"/>
  <c r="AE47" i="289"/>
  <c r="AE46" i="289"/>
  <c r="AE48" i="289"/>
  <c r="AE53" i="289"/>
  <c r="AE55" i="289"/>
  <c r="AE136" i="278"/>
  <c r="AE137" i="278"/>
  <c r="AF134" i="278"/>
  <c r="AF135" i="278"/>
  <c r="AF54" i="289"/>
  <c r="AF52" i="289"/>
  <c r="AF55" i="289"/>
  <c r="AF136" i="278"/>
  <c r="AF137" i="278"/>
  <c r="AG134" i="278"/>
  <c r="AG135" i="278"/>
  <c r="AG54" i="289"/>
  <c r="AG52" i="289"/>
  <c r="AG47" i="289"/>
  <c r="AG46" i="289"/>
  <c r="AG48" i="289"/>
  <c r="AG53" i="289"/>
  <c r="AG55" i="289"/>
  <c r="AG136" i="278"/>
  <c r="AG137" i="278"/>
  <c r="AH134" i="278"/>
  <c r="AH135" i="278"/>
  <c r="AH54" i="289"/>
  <c r="AH52" i="289"/>
  <c r="AH55" i="289"/>
  <c r="AH136" i="278"/>
  <c r="AH137" i="278"/>
  <c r="AI134" i="278"/>
  <c r="AI135" i="278"/>
  <c r="AI54" i="289"/>
  <c r="AI52" i="289"/>
  <c r="AI47" i="289"/>
  <c r="AI46" i="289"/>
  <c r="AI48" i="289"/>
  <c r="AI53" i="289"/>
  <c r="AI55" i="289"/>
  <c r="AI136" i="278"/>
  <c r="AI137" i="278"/>
  <c r="AJ134" i="278"/>
  <c r="AJ135" i="278"/>
  <c r="AJ54" i="289"/>
  <c r="AJ52" i="289"/>
  <c r="AJ55" i="289"/>
  <c r="AJ136" i="278"/>
  <c r="AJ137" i="278"/>
  <c r="AK134" i="278"/>
  <c r="AK135" i="278"/>
  <c r="AK54" i="289"/>
  <c r="AK52" i="289"/>
  <c r="AK47" i="289"/>
  <c r="AK46" i="289"/>
  <c r="AK48" i="289"/>
  <c r="AK53" i="289"/>
  <c r="AK55" i="289"/>
  <c r="AK136" i="278"/>
  <c r="AK137" i="278"/>
  <c r="AL134" i="278"/>
  <c r="AL135" i="278"/>
  <c r="AL54" i="289"/>
  <c r="AL52" i="289"/>
  <c r="AL55" i="289"/>
  <c r="AL136" i="278"/>
  <c r="AL137" i="278"/>
  <c r="AM134" i="278"/>
  <c r="AM135" i="278"/>
  <c r="AM54" i="289"/>
  <c r="AM52" i="289"/>
  <c r="AM47" i="289"/>
  <c r="AM46" i="289"/>
  <c r="AM48" i="289"/>
  <c r="AM53" i="289"/>
  <c r="AM55" i="289"/>
  <c r="AM136" i="278"/>
  <c r="AM137" i="278"/>
  <c r="AN134" i="278"/>
  <c r="AN135" i="278"/>
  <c r="AN54" i="289"/>
  <c r="AN52" i="289"/>
  <c r="AN55" i="289"/>
  <c r="AN136" i="278"/>
  <c r="AN137" i="278"/>
  <c r="AO134" i="278"/>
  <c r="AO135" i="278"/>
  <c r="AO54" i="289"/>
  <c r="AO52" i="289"/>
  <c r="AO47" i="289"/>
  <c r="AO46" i="289"/>
  <c r="AO48" i="289"/>
  <c r="AO53" i="289"/>
  <c r="AO55" i="289"/>
  <c r="AO136" i="278"/>
  <c r="AO137" i="278"/>
  <c r="AP134" i="278"/>
  <c r="AP135" i="278"/>
  <c r="AP54" i="289"/>
  <c r="AP52" i="289"/>
  <c r="AP55" i="289"/>
  <c r="AP136" i="278"/>
  <c r="AP137" i="278"/>
  <c r="AQ134" i="278"/>
  <c r="AQ135" i="278"/>
  <c r="AQ54" i="289"/>
  <c r="AQ52" i="289"/>
  <c r="AQ47" i="289"/>
  <c r="AQ46" i="289"/>
  <c r="AQ48" i="289"/>
  <c r="AQ53" i="289"/>
  <c r="AQ55" i="289"/>
  <c r="AQ136" i="278"/>
  <c r="AQ137" i="278"/>
  <c r="AR134" i="278"/>
  <c r="AR135" i="278"/>
  <c r="AR54" i="289"/>
  <c r="AR52" i="289"/>
  <c r="AR55" i="289"/>
  <c r="AR136" i="278"/>
  <c r="AR137" i="278"/>
  <c r="AS134" i="278"/>
  <c r="AS135" i="278"/>
  <c r="AS54" i="289"/>
  <c r="AS52" i="289"/>
  <c r="AS47" i="289"/>
  <c r="AS46" i="289"/>
  <c r="AS48" i="289"/>
  <c r="AS53" i="289"/>
  <c r="AS55" i="289"/>
  <c r="AS136" i="278"/>
  <c r="AS137" i="278"/>
  <c r="AT134" i="278"/>
  <c r="AT135" i="278"/>
  <c r="AT54" i="289"/>
  <c r="AT52" i="289"/>
  <c r="AT55" i="289"/>
  <c r="AT136" i="278"/>
  <c r="AT137" i="278"/>
  <c r="AU134" i="278"/>
  <c r="AU135" i="278"/>
  <c r="AU54" i="289"/>
  <c r="AU52" i="289"/>
  <c r="AU47" i="289"/>
  <c r="AU46" i="289"/>
  <c r="AU48" i="289"/>
  <c r="AU53" i="289"/>
  <c r="AU55" i="289"/>
  <c r="AU136" i="278"/>
  <c r="AU137" i="278"/>
  <c r="AV134" i="278"/>
  <c r="AV135" i="278"/>
  <c r="AV54" i="289"/>
  <c r="AV52" i="289"/>
  <c r="AV55" i="289"/>
  <c r="AV136" i="278"/>
  <c r="AV137" i="278"/>
  <c r="AW134" i="278"/>
  <c r="AW135" i="278"/>
  <c r="AW54" i="289"/>
  <c r="AW52" i="289"/>
  <c r="AW47" i="289"/>
  <c r="AW46" i="289"/>
  <c r="AW48" i="289"/>
  <c r="AW53" i="289"/>
  <c r="AW55" i="289"/>
  <c r="AW136" i="278"/>
  <c r="AW137" i="278"/>
  <c r="AX134" i="278"/>
  <c r="AX135" i="278"/>
  <c r="AX54" i="289"/>
  <c r="AX52" i="289"/>
  <c r="AX55" i="289"/>
  <c r="AX136" i="278"/>
  <c r="AX137" i="278"/>
  <c r="AY134" i="278"/>
  <c r="AY135" i="278"/>
  <c r="AY54" i="289"/>
  <c r="AY52" i="289"/>
  <c r="AY47" i="289"/>
  <c r="AY46" i="289"/>
  <c r="AY48" i="289"/>
  <c r="AY53" i="289"/>
  <c r="AY55" i="289"/>
  <c r="AY136" i="278"/>
  <c r="AY137" i="278"/>
  <c r="AZ134" i="278"/>
  <c r="AZ135" i="278"/>
  <c r="AZ54" i="289"/>
  <c r="AZ52" i="289"/>
  <c r="AZ55" i="289"/>
  <c r="AZ136" i="278"/>
  <c r="AZ137" i="278"/>
  <c r="BA134" i="278"/>
  <c r="BA135" i="278"/>
  <c r="BA54" i="289"/>
  <c r="BA52" i="289"/>
  <c r="BA47" i="289"/>
  <c r="BA46" i="289"/>
  <c r="BA48" i="289"/>
  <c r="BA53" i="289"/>
  <c r="BA55" i="289"/>
  <c r="BA136" i="278"/>
  <c r="BA137" i="278"/>
  <c r="BB134" i="278"/>
  <c r="BB135" i="278"/>
  <c r="BB54" i="289"/>
  <c r="BB52" i="289"/>
  <c r="BB55" i="289"/>
  <c r="BB136" i="278"/>
  <c r="BB137" i="278"/>
  <c r="BC134" i="278"/>
  <c r="BC135" i="278"/>
  <c r="BC54" i="289"/>
  <c r="BC52" i="289"/>
  <c r="BC47" i="289"/>
  <c r="BC46" i="289"/>
  <c r="BC48" i="289"/>
  <c r="BC53" i="289"/>
  <c r="BC55" i="289"/>
  <c r="BC136" i="278"/>
  <c r="BC137" i="278"/>
  <c r="BD134" i="278"/>
  <c r="BD135" i="278"/>
  <c r="BD54" i="289"/>
  <c r="BD52" i="289"/>
  <c r="BD55" i="289"/>
  <c r="BD136" i="278"/>
  <c r="BD137" i="278"/>
  <c r="BE134" i="278"/>
  <c r="BE135" i="278"/>
  <c r="BE54" i="289"/>
  <c r="BE52" i="289"/>
  <c r="BE47" i="289"/>
  <c r="BE46" i="289"/>
  <c r="BE48" i="289"/>
  <c r="BE53" i="289"/>
  <c r="BE55" i="289"/>
  <c r="BE136" i="278"/>
  <c r="BE137" i="278"/>
  <c r="BF134" i="278"/>
  <c r="BF135" i="278"/>
  <c r="BF54" i="289"/>
  <c r="BF52" i="289"/>
  <c r="BF55" i="289"/>
  <c r="BF136" i="278"/>
  <c r="BF137" i="278"/>
  <c r="BG134" i="278"/>
  <c r="BG135" i="278"/>
  <c r="BG54" i="289"/>
  <c r="BG52" i="289"/>
  <c r="BG47" i="289"/>
  <c r="BG46" i="289"/>
  <c r="BG48" i="289"/>
  <c r="BG53" i="289"/>
  <c r="BG55" i="289"/>
  <c r="BG136" i="278"/>
  <c r="BG137" i="278"/>
  <c r="BH134" i="278"/>
  <c r="BH135" i="278"/>
  <c r="BH54" i="289"/>
  <c r="BH52" i="289"/>
  <c r="BH55" i="289"/>
  <c r="BH136" i="278"/>
  <c r="BH137" i="278"/>
  <c r="BI134" i="278"/>
  <c r="BI135" i="278"/>
  <c r="BI54" i="289"/>
  <c r="BI52" i="289"/>
  <c r="BI47" i="289"/>
  <c r="BI46" i="289"/>
  <c r="BI48" i="289"/>
  <c r="BI53" i="289"/>
  <c r="BI55" i="289"/>
  <c r="BI136" i="278"/>
  <c r="BI137" i="278"/>
  <c r="BJ134" i="278"/>
  <c r="BJ135" i="278"/>
  <c r="BJ54" i="289"/>
  <c r="BJ52" i="289"/>
  <c r="BJ55" i="289"/>
  <c r="BJ136" i="278"/>
  <c r="BJ137" i="278"/>
  <c r="BK134" i="278"/>
  <c r="BK135" i="278"/>
  <c r="BK54" i="289"/>
  <c r="BK52" i="289"/>
  <c r="BK47" i="289"/>
  <c r="BK46" i="289"/>
  <c r="BK48" i="289"/>
  <c r="BK53" i="289"/>
  <c r="BK55" i="289"/>
  <c r="BK136" i="278"/>
  <c r="BK137" i="278"/>
  <c r="BL134" i="278"/>
  <c r="BL135" i="278"/>
  <c r="BL54" i="289"/>
  <c r="BL52" i="289"/>
  <c r="BL55" i="289"/>
  <c r="BL136" i="278"/>
  <c r="BL137" i="278"/>
  <c r="BM134" i="278"/>
  <c r="BM135" i="278"/>
  <c r="BM54" i="289"/>
  <c r="BM52" i="289"/>
  <c r="BM47" i="289"/>
  <c r="BM46" i="289"/>
  <c r="BM48" i="289"/>
  <c r="BM53" i="289"/>
  <c r="BM55" i="289"/>
  <c r="BM136" i="278"/>
  <c r="BM137" i="278"/>
  <c r="BN134" i="278"/>
  <c r="BN135" i="278"/>
  <c r="BN54" i="289"/>
  <c r="BN52" i="289"/>
  <c r="BN55" i="289"/>
  <c r="BN136" i="278"/>
  <c r="BN137" i="278"/>
  <c r="BO134" i="278"/>
  <c r="BO135" i="278"/>
  <c r="BO54" i="289"/>
  <c r="BO52" i="289"/>
  <c r="BO47" i="289"/>
  <c r="BO46" i="289"/>
  <c r="BO48" i="289"/>
  <c r="BO53" i="289"/>
  <c r="BO55" i="289"/>
  <c r="BO136" i="278"/>
  <c r="BO137" i="278"/>
  <c r="BP134" i="278"/>
  <c r="BP135" i="278"/>
  <c r="BP54" i="289"/>
  <c r="BP52" i="289"/>
  <c r="BP55" i="289"/>
  <c r="BP136" i="278"/>
  <c r="BP137" i="278"/>
  <c r="BQ134" i="278"/>
  <c r="BQ135" i="278"/>
  <c r="BQ54" i="289"/>
  <c r="BQ52" i="289"/>
  <c r="BQ47" i="289"/>
  <c r="BQ46" i="289"/>
  <c r="BQ48" i="289"/>
  <c r="BQ53" i="289"/>
  <c r="BQ55" i="289"/>
  <c r="BQ136" i="278"/>
  <c r="BQ137" i="278"/>
  <c r="BR134" i="278"/>
  <c r="BR135" i="278"/>
  <c r="BR54" i="289"/>
  <c r="BR52" i="289"/>
  <c r="BR55" i="289"/>
  <c r="BR136" i="278"/>
  <c r="BR137" i="278"/>
  <c r="BS134" i="278"/>
  <c r="BS135" i="278"/>
  <c r="BS54" i="289"/>
  <c r="BS52" i="289"/>
  <c r="BS47" i="289"/>
  <c r="BS46" i="289"/>
  <c r="BS48" i="289"/>
  <c r="BS53" i="289"/>
  <c r="BS55" i="289"/>
  <c r="BS136" i="278"/>
  <c r="BS137" i="278"/>
  <c r="BT134" i="278"/>
  <c r="BT135" i="278"/>
  <c r="BT54" i="289"/>
  <c r="BT52" i="289"/>
  <c r="BT55" i="289"/>
  <c r="BT136" i="278"/>
  <c r="BT137" i="278"/>
  <c r="BU134" i="278"/>
  <c r="BU135" i="278"/>
  <c r="BU54" i="289"/>
  <c r="BU52" i="289"/>
  <c r="BU47" i="289"/>
  <c r="BU46" i="289"/>
  <c r="BU48" i="289"/>
  <c r="BU53" i="289"/>
  <c r="BU55" i="289"/>
  <c r="BU136" i="278"/>
  <c r="BU137" i="278"/>
  <c r="BV134" i="278"/>
  <c r="BV135" i="278"/>
  <c r="BV54" i="289"/>
  <c r="BV52" i="289"/>
  <c r="BV55" i="289"/>
  <c r="BV136" i="278"/>
  <c r="BV137" i="278"/>
  <c r="BW134" i="278"/>
  <c r="BW135" i="278"/>
  <c r="BW54" i="289"/>
  <c r="BW52" i="289"/>
  <c r="BW47" i="289"/>
  <c r="BW46" i="289"/>
  <c r="BW48" i="289"/>
  <c r="BW53" i="289"/>
  <c r="BW55" i="289"/>
  <c r="BW136" i="278"/>
  <c r="BW137" i="278"/>
  <c r="BX134" i="278"/>
  <c r="BX135" i="278"/>
  <c r="BX54" i="289"/>
  <c r="BX52" i="289"/>
  <c r="BX55" i="289"/>
  <c r="BX136" i="278"/>
  <c r="BX137" i="278"/>
  <c r="BY134" i="278"/>
  <c r="BY135" i="278"/>
  <c r="BY54" i="289"/>
  <c r="BY52" i="289"/>
  <c r="BY47" i="289"/>
  <c r="BY46" i="289"/>
  <c r="BY48" i="289"/>
  <c r="BY53" i="289"/>
  <c r="BY55" i="289"/>
  <c r="BY136" i="278"/>
  <c r="BY137" i="278"/>
  <c r="BZ134" i="278"/>
  <c r="BZ135" i="278"/>
  <c r="BZ54" i="289"/>
  <c r="BZ52" i="289"/>
  <c r="BZ55" i="289"/>
  <c r="BZ136" i="278"/>
  <c r="BZ137" i="278"/>
  <c r="CA134" i="278"/>
  <c r="CA135" i="278"/>
  <c r="CA54" i="289"/>
  <c r="CA52" i="289"/>
  <c r="CA47" i="289"/>
  <c r="CA46" i="289"/>
  <c r="CA48" i="289"/>
  <c r="CA53" i="289"/>
  <c r="CA55" i="289"/>
  <c r="CA136" i="278"/>
  <c r="CA137" i="278"/>
  <c r="CB134" i="278"/>
  <c r="CB135" i="278"/>
  <c r="CB54" i="289"/>
  <c r="CB52" i="289"/>
  <c r="CB55" i="289"/>
  <c r="CB136" i="278"/>
  <c r="CB137" i="278"/>
  <c r="CC134" i="278"/>
  <c r="CC135" i="278"/>
  <c r="CC54" i="289"/>
  <c r="CC52" i="289"/>
  <c r="CC47" i="289"/>
  <c r="CC46" i="289"/>
  <c r="CC48" i="289"/>
  <c r="CC53" i="289"/>
  <c r="CC55" i="289"/>
  <c r="CC136" i="278"/>
  <c r="CC137" i="278"/>
  <c r="CD134" i="278"/>
  <c r="CD135" i="278"/>
  <c r="CD54" i="289"/>
  <c r="CD52" i="289"/>
  <c r="CD55" i="289"/>
  <c r="CD136" i="278"/>
  <c r="CD137" i="278"/>
  <c r="CE134" i="278"/>
  <c r="CE135" i="278"/>
  <c r="CE54" i="289"/>
  <c r="CE52" i="289"/>
  <c r="CE47" i="289"/>
  <c r="CE46" i="289"/>
  <c r="CE48" i="289"/>
  <c r="CE53" i="289"/>
  <c r="CE55" i="289"/>
  <c r="CE136" i="278"/>
  <c r="CE137" i="278"/>
  <c r="CF134" i="278"/>
  <c r="CF135" i="278"/>
  <c r="CF54" i="289"/>
  <c r="CF52" i="289"/>
  <c r="CF55" i="289"/>
  <c r="CF136" i="278"/>
  <c r="CF137" i="278"/>
  <c r="CG134" i="278"/>
  <c r="CG135" i="278"/>
  <c r="CG54" i="289"/>
  <c r="CG52" i="289"/>
  <c r="CG47" i="289"/>
  <c r="CG46" i="289"/>
  <c r="CG48" i="289"/>
  <c r="CG53" i="289"/>
  <c r="CG55" i="289"/>
  <c r="CG136" i="278"/>
  <c r="CG137" i="278"/>
  <c r="CH134" i="278"/>
  <c r="CH135" i="278"/>
  <c r="CH54" i="289"/>
  <c r="CH52" i="289"/>
  <c r="CH55" i="289"/>
  <c r="CH136" i="278"/>
  <c r="CH137" i="278"/>
  <c r="CI134" i="278"/>
  <c r="CI135" i="278"/>
  <c r="CI54" i="289"/>
  <c r="CI52" i="289"/>
  <c r="CI47" i="289"/>
  <c r="CI46" i="289"/>
  <c r="CI48" i="289"/>
  <c r="CI53" i="289"/>
  <c r="CI55" i="289"/>
  <c r="CI136" i="278"/>
  <c r="CI137" i="278"/>
  <c r="CJ134" i="278"/>
  <c r="CJ135" i="278"/>
  <c r="CJ54" i="289"/>
  <c r="CJ52" i="289"/>
  <c r="CJ55" i="289"/>
  <c r="CJ136" i="278"/>
  <c r="CJ137" i="278"/>
  <c r="CK134" i="278"/>
  <c r="CK135" i="278"/>
  <c r="CK54" i="289"/>
  <c r="CK52" i="289"/>
  <c r="CK47" i="289"/>
  <c r="CK46" i="289"/>
  <c r="CK48" i="289"/>
  <c r="CK53" i="289"/>
  <c r="CK55" i="289"/>
  <c r="CK136" i="278"/>
  <c r="CK137" i="278"/>
  <c r="CL134" i="278"/>
  <c r="CL135" i="278"/>
  <c r="CL54" i="289"/>
  <c r="CL52" i="289"/>
  <c r="CL55" i="289"/>
  <c r="CL136" i="278"/>
  <c r="CL137" i="278"/>
  <c r="CM134" i="278"/>
  <c r="CM135" i="278"/>
  <c r="CM54" i="289"/>
  <c r="CM52" i="289"/>
  <c r="CM47" i="289"/>
  <c r="CM46" i="289"/>
  <c r="CM48" i="289"/>
  <c r="CM53" i="289"/>
  <c r="CM55" i="289"/>
  <c r="CM136" i="278"/>
  <c r="CM137" i="278"/>
  <c r="CN134" i="278"/>
  <c r="CN135" i="278"/>
  <c r="CN54" i="289"/>
  <c r="CN52" i="289"/>
  <c r="CN55" i="289"/>
  <c r="CN136" i="278"/>
  <c r="CN137" i="278"/>
  <c r="CO134" i="278"/>
  <c r="CO135" i="278"/>
  <c r="CO54" i="289"/>
  <c r="CO52" i="289"/>
  <c r="CO47" i="289"/>
  <c r="CO46" i="289"/>
  <c r="CO48" i="289"/>
  <c r="CO53" i="289"/>
  <c r="CO55" i="289"/>
  <c r="CO136" i="278"/>
  <c r="CO137" i="278"/>
  <c r="CP134" i="278"/>
  <c r="CP135" i="278"/>
  <c r="CP54" i="289"/>
  <c r="CP52" i="289"/>
  <c r="CP55" i="289"/>
  <c r="CP136" i="278"/>
  <c r="CP137" i="278"/>
  <c r="CQ134" i="278"/>
  <c r="CQ135" i="278"/>
  <c r="CQ54" i="289"/>
  <c r="CQ52" i="289"/>
  <c r="CQ47" i="289"/>
  <c r="CQ46" i="289"/>
  <c r="CQ48" i="289"/>
  <c r="CQ53" i="289"/>
  <c r="CQ55" i="289"/>
  <c r="CQ136" i="278"/>
  <c r="CQ137" i="278"/>
  <c r="CR134" i="278"/>
  <c r="CR135" i="278"/>
  <c r="CR54" i="289"/>
  <c r="CR52" i="289"/>
  <c r="CR55" i="289"/>
  <c r="CR136" i="278"/>
  <c r="CR137" i="278"/>
  <c r="CS134" i="278"/>
  <c r="CS135" i="278"/>
  <c r="CS54" i="289"/>
  <c r="CS52" i="289"/>
  <c r="CS47" i="289"/>
  <c r="CS46" i="289"/>
  <c r="CS48" i="289"/>
  <c r="CS53" i="289"/>
  <c r="CS55" i="289"/>
  <c r="CS136" i="278"/>
  <c r="CS137" i="278"/>
  <c r="CT134" i="278"/>
  <c r="CT135" i="278"/>
  <c r="CT54" i="289"/>
  <c r="CT52" i="289"/>
  <c r="CT55" i="289"/>
  <c r="CT136" i="278"/>
  <c r="CT137" i="278"/>
  <c r="CU134" i="278"/>
  <c r="CU135" i="278"/>
  <c r="CU54" i="289"/>
  <c r="CU52" i="289"/>
  <c r="CU47" i="289"/>
  <c r="CU46" i="289"/>
  <c r="CU48" i="289"/>
  <c r="CU53" i="289"/>
  <c r="CU55" i="289"/>
  <c r="CU136" i="278"/>
  <c r="CU137" i="278"/>
  <c r="CV134" i="278"/>
  <c r="CV135" i="278"/>
  <c r="CV54" i="289"/>
  <c r="CV52" i="289"/>
  <c r="CV55" i="289"/>
  <c r="CV136" i="278"/>
  <c r="CV137" i="278"/>
  <c r="H137" i="278"/>
  <c r="E136" i="278"/>
  <c r="F136" i="278"/>
  <c r="G136" i="278"/>
  <c r="H136" i="278"/>
  <c r="I136" i="278"/>
  <c r="F137" i="278"/>
  <c r="G137" i="278"/>
  <c r="F83" i="48"/>
  <c r="F44" i="278"/>
  <c r="I137" i="278"/>
  <c r="E135" i="278"/>
  <c r="F135" i="278"/>
  <c r="G135" i="278"/>
  <c r="H106" i="273"/>
  <c r="H135" i="278"/>
  <c r="I135" i="278"/>
  <c r="E134" i="278"/>
  <c r="F134" i="278"/>
  <c r="G134" i="278"/>
  <c r="H134" i="278"/>
  <c r="I134" i="278"/>
  <c r="E133" i="278"/>
  <c r="F133" i="278"/>
  <c r="G133" i="278"/>
  <c r="H34" i="278"/>
  <c r="I133" i="278"/>
  <c r="H132" i="278"/>
  <c r="I132" i="278"/>
  <c r="E131" i="278"/>
  <c r="G131" i="278"/>
  <c r="E130" i="278"/>
  <c r="G130" i="278"/>
  <c r="E129" i="278"/>
  <c r="G129" i="278"/>
  <c r="E66" i="278"/>
  <c r="E127" i="278"/>
  <c r="F127" i="278"/>
  <c r="G127" i="278"/>
  <c r="H127" i="278"/>
  <c r="I127" i="278"/>
  <c r="J127" i="278"/>
  <c r="K127" i="278"/>
  <c r="L127" i="278"/>
  <c r="M127" i="278"/>
  <c r="N127" i="278"/>
  <c r="O127" i="278"/>
  <c r="P127" i="278"/>
  <c r="Q127" i="278"/>
  <c r="R127" i="278"/>
  <c r="S127" i="278"/>
  <c r="T127" i="278"/>
  <c r="U127" i="278"/>
  <c r="V127" i="278"/>
  <c r="W127" i="278"/>
  <c r="X127" i="278"/>
  <c r="Y127" i="278"/>
  <c r="Z127" i="278"/>
  <c r="AA127" i="278"/>
  <c r="AB127" i="278"/>
  <c r="AC127" i="278"/>
  <c r="AD127" i="278"/>
  <c r="AE127" i="278"/>
  <c r="AF127" i="278"/>
  <c r="AG127" i="278"/>
  <c r="AH127" i="278"/>
  <c r="AI127" i="278"/>
  <c r="AJ127" i="278"/>
  <c r="AK127" i="278"/>
  <c r="AL127" i="278"/>
  <c r="AM127" i="278"/>
  <c r="AN127" i="278"/>
  <c r="AO127" i="278"/>
  <c r="AP127" i="278"/>
  <c r="AQ127" i="278"/>
  <c r="AR127" i="278"/>
  <c r="AS127" i="278"/>
  <c r="AT127" i="278"/>
  <c r="AU127" i="278"/>
  <c r="AV127" i="278"/>
  <c r="AW127" i="278"/>
  <c r="AX127" i="278"/>
  <c r="AY127" i="278"/>
  <c r="AZ127" i="278"/>
  <c r="BA127" i="278"/>
  <c r="BB127" i="278"/>
  <c r="BC127" i="278"/>
  <c r="BD127" i="278"/>
  <c r="BE127" i="278"/>
  <c r="BF127" i="278"/>
  <c r="BG127" i="278"/>
  <c r="BH127" i="278"/>
  <c r="BI127" i="278"/>
  <c r="BJ127" i="278"/>
  <c r="BK127" i="278"/>
  <c r="BL127" i="278"/>
  <c r="BM127" i="278"/>
  <c r="BN127" i="278"/>
  <c r="BO127" i="278"/>
  <c r="BP127" i="278"/>
  <c r="BQ127" i="278"/>
  <c r="BR127" i="278"/>
  <c r="BS127" i="278"/>
  <c r="BT127" i="278"/>
  <c r="BU127" i="278"/>
  <c r="BV127" i="278"/>
  <c r="BW127" i="278"/>
  <c r="BX127" i="278"/>
  <c r="BY127" i="278"/>
  <c r="BZ127" i="278"/>
  <c r="CA127" i="278"/>
  <c r="CB127" i="278"/>
  <c r="CC127" i="278"/>
  <c r="CD127" i="278"/>
  <c r="CE127" i="278"/>
  <c r="CF127" i="278"/>
  <c r="CG127" i="278"/>
  <c r="CH127" i="278"/>
  <c r="CI127" i="278"/>
  <c r="CJ127" i="278"/>
  <c r="CK127" i="278"/>
  <c r="CL127" i="278"/>
  <c r="CM127" i="278"/>
  <c r="CN127" i="278"/>
  <c r="CO127" i="278"/>
  <c r="CP127" i="278"/>
  <c r="CQ127" i="278"/>
  <c r="CR127" i="278"/>
  <c r="CS127" i="278"/>
  <c r="CT127" i="278"/>
  <c r="CU127" i="278"/>
  <c r="CV127" i="278"/>
  <c r="E104" i="273"/>
  <c r="G87" i="278"/>
  <c r="F87" i="278"/>
  <c r="E87" i="278"/>
  <c r="E115" i="278"/>
  <c r="F115" i="278"/>
  <c r="G115" i="278"/>
  <c r="H115" i="278"/>
  <c r="I115" i="278"/>
  <c r="K115" i="278"/>
  <c r="L115" i="278"/>
  <c r="M115" i="278"/>
  <c r="N115" i="278"/>
  <c r="P115" i="278"/>
  <c r="Q115" i="278"/>
  <c r="R115" i="278"/>
  <c r="S115" i="278"/>
  <c r="T115" i="278"/>
  <c r="U115" i="278"/>
  <c r="V115" i="278"/>
  <c r="W115" i="278"/>
  <c r="X115" i="278"/>
  <c r="Y115" i="278"/>
  <c r="Z115" i="278"/>
  <c r="AA115" i="278"/>
  <c r="AB115" i="278"/>
  <c r="AC115" i="278"/>
  <c r="AD115" i="278"/>
  <c r="AE115" i="278"/>
  <c r="AF115" i="278"/>
  <c r="AG115" i="278"/>
  <c r="AH115" i="278"/>
  <c r="AI115" i="278"/>
  <c r="AJ115" i="278"/>
  <c r="AK115" i="278"/>
  <c r="AL115" i="278"/>
  <c r="AM115" i="278"/>
  <c r="AN115" i="278"/>
  <c r="AO115" i="278"/>
  <c r="AP115" i="278"/>
  <c r="AQ115" i="278"/>
  <c r="AR115" i="278"/>
  <c r="AS115" i="278"/>
  <c r="AT115" i="278"/>
  <c r="AU115" i="278"/>
  <c r="AV115" i="278"/>
  <c r="AW115" i="278"/>
  <c r="AX115" i="278"/>
  <c r="AY115" i="278"/>
  <c r="AZ115" i="278"/>
  <c r="BA115" i="278"/>
  <c r="BB115" i="278"/>
  <c r="BC115" i="278"/>
  <c r="BD115" i="278"/>
  <c r="BE115" i="278"/>
  <c r="BF115" i="278"/>
  <c r="BG115" i="278"/>
  <c r="BH115" i="278"/>
  <c r="BI115" i="278"/>
  <c r="BJ115" i="278"/>
  <c r="BK115" i="278"/>
  <c r="BL115" i="278"/>
  <c r="BM115" i="278"/>
  <c r="BN115" i="278"/>
  <c r="BO115" i="278"/>
  <c r="BP115" i="278"/>
  <c r="BQ115" i="278"/>
  <c r="BR115" i="278"/>
  <c r="BS115" i="278"/>
  <c r="BT115" i="278"/>
  <c r="BU115" i="278"/>
  <c r="BV115" i="278"/>
  <c r="BW115" i="278"/>
  <c r="BX115" i="278"/>
  <c r="BY115" i="278"/>
  <c r="BZ115" i="278"/>
  <c r="CA115" i="278"/>
  <c r="CB115" i="278"/>
  <c r="CC115" i="278"/>
  <c r="CD115" i="278"/>
  <c r="CE115" i="278"/>
  <c r="CF115" i="278"/>
  <c r="CG115" i="278"/>
  <c r="CH115" i="278"/>
  <c r="CI115" i="278"/>
  <c r="CJ115" i="278"/>
  <c r="CK115" i="278"/>
  <c r="CL115" i="278"/>
  <c r="CM115" i="278"/>
  <c r="CN115" i="278"/>
  <c r="CO115" i="278"/>
  <c r="CP115" i="278"/>
  <c r="CQ115" i="278"/>
  <c r="CR115" i="278"/>
  <c r="CS115" i="278"/>
  <c r="CT115" i="278"/>
  <c r="CU115" i="278"/>
  <c r="CV115" i="278"/>
  <c r="G60" i="278"/>
  <c r="F60" i="278"/>
  <c r="K114" i="278"/>
  <c r="K116" i="278"/>
  <c r="L114" i="278"/>
  <c r="L116" i="278"/>
  <c r="M114" i="278"/>
  <c r="M116" i="278"/>
  <c r="N114" i="278"/>
  <c r="N116" i="278"/>
  <c r="P114" i="278"/>
  <c r="P116" i="278"/>
  <c r="Q114" i="278"/>
  <c r="Q116" i="278"/>
  <c r="R114" i="278"/>
  <c r="R116" i="278"/>
  <c r="S114" i="278"/>
  <c r="S116" i="278"/>
  <c r="T114" i="278"/>
  <c r="T116" i="278"/>
  <c r="U114" i="278"/>
  <c r="U116" i="278"/>
  <c r="V114" i="278"/>
  <c r="V116" i="278"/>
  <c r="W114" i="278"/>
  <c r="W116" i="278"/>
  <c r="X114" i="278"/>
  <c r="X116" i="278"/>
  <c r="Y114" i="278"/>
  <c r="Y116" i="278"/>
  <c r="Z114" i="278"/>
  <c r="Z116" i="278"/>
  <c r="AA114" i="278"/>
  <c r="AA116" i="278"/>
  <c r="AB114" i="278"/>
  <c r="AB116" i="278"/>
  <c r="AC114" i="278"/>
  <c r="AC116" i="278"/>
  <c r="AD114" i="278"/>
  <c r="AD116" i="278"/>
  <c r="AE114" i="278"/>
  <c r="AE116" i="278"/>
  <c r="AF114" i="278"/>
  <c r="AF116" i="278"/>
  <c r="AG114" i="278"/>
  <c r="AG116" i="278"/>
  <c r="AH114" i="278"/>
  <c r="AH116" i="278"/>
  <c r="AI114" i="278"/>
  <c r="AI116" i="278"/>
  <c r="AJ114" i="278"/>
  <c r="AJ116" i="278"/>
  <c r="AK114" i="278"/>
  <c r="AK116" i="278"/>
  <c r="AL114" i="278"/>
  <c r="AL116" i="278"/>
  <c r="AM114" i="278"/>
  <c r="AM116" i="278"/>
  <c r="AN114" i="278"/>
  <c r="AN116" i="278"/>
  <c r="AO114" i="278"/>
  <c r="AO116" i="278"/>
  <c r="AP114" i="278"/>
  <c r="AP116" i="278"/>
  <c r="AQ114" i="278"/>
  <c r="AQ116" i="278"/>
  <c r="AR114" i="278"/>
  <c r="AR116" i="278"/>
  <c r="AS114" i="278"/>
  <c r="AS116" i="278"/>
  <c r="AT114" i="278"/>
  <c r="AT116" i="278"/>
  <c r="AU114" i="278"/>
  <c r="AU116" i="278"/>
  <c r="AV114" i="278"/>
  <c r="AV116" i="278"/>
  <c r="AW114" i="278"/>
  <c r="AW116" i="278"/>
  <c r="AX114" i="278"/>
  <c r="AX116" i="278"/>
  <c r="AY114" i="278"/>
  <c r="AY116" i="278"/>
  <c r="AZ114" i="278"/>
  <c r="AZ116" i="278"/>
  <c r="BA114" i="278"/>
  <c r="BA116" i="278"/>
  <c r="BB114" i="278"/>
  <c r="BB116" i="278"/>
  <c r="BC114" i="278"/>
  <c r="BC116" i="278"/>
  <c r="BD114" i="278"/>
  <c r="BD116" i="278"/>
  <c r="BE114" i="278"/>
  <c r="BE116" i="278"/>
  <c r="BF114" i="278"/>
  <c r="BF116" i="278"/>
  <c r="BG114" i="278"/>
  <c r="BG116" i="278"/>
  <c r="BH114" i="278"/>
  <c r="BH116" i="278"/>
  <c r="BI114" i="278"/>
  <c r="BI116" i="278"/>
  <c r="BJ114" i="278"/>
  <c r="BJ116" i="278"/>
  <c r="BK114" i="278"/>
  <c r="BK116" i="278"/>
  <c r="BL114" i="278"/>
  <c r="BL116" i="278"/>
  <c r="BM114" i="278"/>
  <c r="BM116" i="278"/>
  <c r="BN114" i="278"/>
  <c r="BN116" i="278"/>
  <c r="BO114" i="278"/>
  <c r="BO116" i="278"/>
  <c r="BP114" i="278"/>
  <c r="BP116" i="278"/>
  <c r="BQ114" i="278"/>
  <c r="BQ116" i="278"/>
  <c r="BR114" i="278"/>
  <c r="BR116" i="278"/>
  <c r="BS114" i="278"/>
  <c r="BS116" i="278"/>
  <c r="BT114" i="278"/>
  <c r="BT116" i="278"/>
  <c r="BU114" i="278"/>
  <c r="BU116" i="278"/>
  <c r="BV114" i="278"/>
  <c r="BV116" i="278"/>
  <c r="BW114" i="278"/>
  <c r="BW116" i="278"/>
  <c r="BX114" i="278"/>
  <c r="BX116" i="278"/>
  <c r="BY114" i="278"/>
  <c r="BY116" i="278"/>
  <c r="BZ114" i="278"/>
  <c r="BZ116" i="278"/>
  <c r="CA114" i="278"/>
  <c r="CA116" i="278"/>
  <c r="CB114" i="278"/>
  <c r="CB116" i="278"/>
  <c r="CC114" i="278"/>
  <c r="CC116" i="278"/>
  <c r="CD114" i="278"/>
  <c r="CD116" i="278"/>
  <c r="CE114" i="278"/>
  <c r="CE116" i="278"/>
  <c r="CF114" i="278"/>
  <c r="CF116" i="278"/>
  <c r="CG114" i="278"/>
  <c r="CG116" i="278"/>
  <c r="CH114" i="278"/>
  <c r="CH116" i="278"/>
  <c r="CI114" i="278"/>
  <c r="CI116" i="278"/>
  <c r="CJ114" i="278"/>
  <c r="CJ116" i="278"/>
  <c r="CK114" i="278"/>
  <c r="CK116" i="278"/>
  <c r="CL114" i="278"/>
  <c r="CL116" i="278"/>
  <c r="CM114" i="278"/>
  <c r="CM116" i="278"/>
  <c r="CN114" i="278"/>
  <c r="CN116" i="278"/>
  <c r="CO114" i="278"/>
  <c r="CO116" i="278"/>
  <c r="CP114" i="278"/>
  <c r="CP116" i="278"/>
  <c r="CQ114" i="278"/>
  <c r="CQ116" i="278"/>
  <c r="CR114" i="278"/>
  <c r="CR116" i="278"/>
  <c r="CS114" i="278"/>
  <c r="CS116" i="278"/>
  <c r="CT114" i="278"/>
  <c r="CT116" i="278"/>
  <c r="CU114" i="278"/>
  <c r="CU116" i="278"/>
  <c r="CV114" i="278"/>
  <c r="CV116" i="278"/>
  <c r="H116" i="278"/>
  <c r="G122" i="278"/>
  <c r="F143" i="278"/>
  <c r="H142" i="278"/>
  <c r="G142" i="278"/>
  <c r="F142" i="278"/>
  <c r="E142" i="278"/>
  <c r="G141" i="278"/>
  <c r="F141" i="278"/>
  <c r="E141" i="278"/>
  <c r="E82" i="278"/>
  <c r="G82" i="278"/>
  <c r="E81" i="278"/>
  <c r="G81" i="278"/>
  <c r="M399" i="48"/>
  <c r="L399" i="48"/>
  <c r="E119" i="328"/>
  <c r="G119" i="328"/>
  <c r="E86" i="278"/>
  <c r="G86" i="278"/>
  <c r="E80" i="278"/>
  <c r="G80" i="278"/>
  <c r="E118" i="328"/>
  <c r="G118" i="328"/>
  <c r="E28" i="278"/>
  <c r="G28" i="278"/>
  <c r="E23" i="278"/>
  <c r="G23" i="278"/>
  <c r="E25" i="278"/>
  <c r="G25" i="278"/>
  <c r="E24" i="278"/>
  <c r="G24" i="278"/>
  <c r="E22" i="278"/>
  <c r="G22" i="278"/>
  <c r="E21" i="278"/>
  <c r="G21" i="278"/>
  <c r="G5" i="48"/>
  <c r="E121" i="315"/>
  <c r="F121" i="315"/>
  <c r="H121" i="315"/>
  <c r="I121" i="315"/>
  <c r="F30" i="315"/>
  <c r="I30" i="315"/>
  <c r="CW30" i="315"/>
  <c r="CX30" i="315"/>
  <c r="CY30" i="315"/>
  <c r="CZ30" i="315"/>
  <c r="DA30" i="315"/>
  <c r="DB30" i="315"/>
  <c r="DC30" i="315"/>
  <c r="DD30" i="315"/>
  <c r="DE30" i="315"/>
  <c r="DF30" i="315"/>
  <c r="DG30" i="315"/>
  <c r="DH30" i="315"/>
  <c r="DI30" i="315"/>
  <c r="DJ30" i="315"/>
  <c r="DK30" i="315"/>
  <c r="DL30" i="315"/>
  <c r="DM30" i="315"/>
  <c r="DN30" i="315"/>
  <c r="DO30" i="315"/>
  <c r="DP30" i="315"/>
  <c r="DQ30" i="315"/>
  <c r="DR30" i="315"/>
  <c r="DS30" i="315"/>
  <c r="DT30" i="315"/>
  <c r="DU30" i="315"/>
  <c r="DV30" i="315"/>
  <c r="DW30" i="315"/>
  <c r="DX30" i="315"/>
  <c r="DY30" i="315"/>
  <c r="DZ30" i="315"/>
  <c r="EA30" i="315"/>
  <c r="EB30" i="315"/>
  <c r="EC30" i="315"/>
  <c r="ED30" i="315"/>
  <c r="EE30" i="315"/>
  <c r="EF30" i="315"/>
  <c r="EG30" i="315"/>
  <c r="EH30" i="315"/>
  <c r="EI30" i="315"/>
  <c r="EJ30" i="315"/>
  <c r="EK30" i="315"/>
  <c r="EL30" i="315"/>
  <c r="EM30" i="315"/>
  <c r="EN30" i="315"/>
  <c r="EO30" i="315"/>
  <c r="EP30" i="315"/>
  <c r="EQ30" i="315"/>
  <c r="ER30" i="315"/>
  <c r="ES30" i="315"/>
  <c r="ET30" i="315"/>
  <c r="EU30" i="315"/>
  <c r="EV30" i="315"/>
  <c r="EW30" i="315"/>
  <c r="EX30" i="315"/>
  <c r="EY30" i="315"/>
  <c r="EZ30" i="315"/>
  <c r="FA30" i="315"/>
  <c r="FB30" i="315"/>
  <c r="FC30" i="315"/>
  <c r="FD30" i="315"/>
  <c r="FE30" i="315"/>
  <c r="FF30" i="315"/>
  <c r="FG30" i="315"/>
  <c r="FH30" i="315"/>
  <c r="FI30" i="315"/>
  <c r="FJ30" i="315"/>
  <c r="FK30" i="315"/>
  <c r="FL30" i="315"/>
  <c r="FM30" i="315"/>
  <c r="FN30" i="315"/>
  <c r="FO30" i="315"/>
  <c r="FP30" i="315"/>
  <c r="FQ30" i="315"/>
  <c r="FR30" i="315"/>
  <c r="FS30" i="315"/>
  <c r="FT30" i="315"/>
  <c r="FU30" i="315"/>
  <c r="FV30" i="315"/>
  <c r="FW30" i="315"/>
  <c r="FX30" i="315"/>
  <c r="FY30" i="315"/>
  <c r="FZ30" i="315"/>
  <c r="GA30" i="315"/>
  <c r="GB30" i="315"/>
  <c r="GC30" i="315"/>
  <c r="GD30" i="315"/>
  <c r="GE30" i="315"/>
  <c r="GF30" i="315"/>
  <c r="GG30" i="315"/>
  <c r="GH30" i="315"/>
  <c r="GI30" i="315"/>
  <c r="GJ30" i="315"/>
  <c r="E161" i="282"/>
  <c r="F161" i="282"/>
  <c r="I161" i="282"/>
  <c r="GJ44" i="315"/>
  <c r="GI44" i="315"/>
  <c r="GH44" i="315"/>
  <c r="GG44" i="315"/>
  <c r="GF44" i="315"/>
  <c r="GE44" i="315"/>
  <c r="GD44" i="315"/>
  <c r="GC44" i="315"/>
  <c r="GB44" i="315"/>
  <c r="GA44" i="315"/>
  <c r="FZ44" i="315"/>
  <c r="FY44" i="315"/>
  <c r="FX44" i="315"/>
  <c r="FW44" i="315"/>
  <c r="FV44" i="315"/>
  <c r="FU44" i="315"/>
  <c r="FT44" i="315"/>
  <c r="FS44" i="315"/>
  <c r="FR44" i="315"/>
  <c r="FQ44" i="315"/>
  <c r="FP44" i="315"/>
  <c r="FO44" i="315"/>
  <c r="FN44" i="315"/>
  <c r="FM44" i="315"/>
  <c r="FL44" i="315"/>
  <c r="FK44" i="315"/>
  <c r="FJ44" i="315"/>
  <c r="FI44" i="315"/>
  <c r="FH44" i="315"/>
  <c r="FG44" i="315"/>
  <c r="FF44" i="315"/>
  <c r="FE44" i="315"/>
  <c r="FD44" i="315"/>
  <c r="FC44" i="315"/>
  <c r="FB44" i="315"/>
  <c r="FA44" i="315"/>
  <c r="EZ44" i="315"/>
  <c r="EY44" i="315"/>
  <c r="EX44" i="315"/>
  <c r="EW44" i="315"/>
  <c r="EV44" i="315"/>
  <c r="EU44" i="315"/>
  <c r="ET44" i="315"/>
  <c r="ES44" i="315"/>
  <c r="ER44" i="315"/>
  <c r="EQ44" i="315"/>
  <c r="EP44" i="315"/>
  <c r="EO44" i="315"/>
  <c r="EN44" i="315"/>
  <c r="EM44" i="315"/>
  <c r="EL44" i="315"/>
  <c r="EK44" i="315"/>
  <c r="EJ44" i="315"/>
  <c r="EI44" i="315"/>
  <c r="EH44" i="315"/>
  <c r="EG44" i="315"/>
  <c r="EF44" i="315"/>
  <c r="EE44" i="315"/>
  <c r="ED44" i="315"/>
  <c r="EC44" i="315"/>
  <c r="EB44" i="315"/>
  <c r="EA44" i="315"/>
  <c r="DZ44" i="315"/>
  <c r="DY44" i="315"/>
  <c r="DX44" i="315"/>
  <c r="DW44" i="315"/>
  <c r="DV44" i="315"/>
  <c r="DU44" i="315"/>
  <c r="DT44" i="315"/>
  <c r="DS44" i="315"/>
  <c r="DR44" i="315"/>
  <c r="DQ44" i="315"/>
  <c r="DP44" i="315"/>
  <c r="DO44" i="315"/>
  <c r="DN44" i="315"/>
  <c r="DM44" i="315"/>
  <c r="DL44" i="315"/>
  <c r="DK44" i="315"/>
  <c r="DJ44" i="315"/>
  <c r="DI44" i="315"/>
  <c r="DH44" i="315"/>
  <c r="DG44" i="315"/>
  <c r="DF44" i="315"/>
  <c r="DE44" i="315"/>
  <c r="DD44" i="315"/>
  <c r="DC44" i="315"/>
  <c r="DB44" i="315"/>
  <c r="DA44" i="315"/>
  <c r="CZ44" i="315"/>
  <c r="CY44" i="315"/>
  <c r="CX44" i="315"/>
  <c r="CW44" i="315"/>
  <c r="I44" i="315"/>
  <c r="F44" i="315"/>
  <c r="F29" i="315"/>
  <c r="I29" i="315"/>
  <c r="CW29" i="315"/>
  <c r="CW31" i="315"/>
  <c r="CX29" i="315"/>
  <c r="CX31" i="315"/>
  <c r="CY29" i="315"/>
  <c r="CZ29" i="315"/>
  <c r="DA29" i="315"/>
  <c r="DA31" i="315"/>
  <c r="DB29" i="315"/>
  <c r="DB31" i="315"/>
  <c r="DC29" i="315"/>
  <c r="DD29" i="315"/>
  <c r="DE29" i="315"/>
  <c r="DE31" i="315"/>
  <c r="DF29" i="315"/>
  <c r="DF31" i="315"/>
  <c r="DG29" i="315"/>
  <c r="DH29" i="315"/>
  <c r="DI29" i="315"/>
  <c r="DI31" i="315"/>
  <c r="DJ29" i="315"/>
  <c r="DJ31" i="315"/>
  <c r="DK29" i="315"/>
  <c r="DL29" i="315"/>
  <c r="DM29" i="315"/>
  <c r="DM31" i="315"/>
  <c r="DN29" i="315"/>
  <c r="DN31" i="315"/>
  <c r="DO29" i="315"/>
  <c r="DP29" i="315"/>
  <c r="DQ29" i="315"/>
  <c r="DQ31" i="315"/>
  <c r="DR29" i="315"/>
  <c r="DR31" i="315"/>
  <c r="DS29" i="315"/>
  <c r="DT29" i="315"/>
  <c r="DU29" i="315"/>
  <c r="DU31" i="315"/>
  <c r="DV29" i="315"/>
  <c r="DV31" i="315"/>
  <c r="DW29" i="315"/>
  <c r="DX29" i="315"/>
  <c r="DY29" i="315"/>
  <c r="DY31" i="315"/>
  <c r="DZ29" i="315"/>
  <c r="DZ31" i="315"/>
  <c r="EA29" i="315"/>
  <c r="EB29" i="315"/>
  <c r="EC29" i="315"/>
  <c r="EC31" i="315"/>
  <c r="ED29" i="315"/>
  <c r="ED31" i="315"/>
  <c r="EE29" i="315"/>
  <c r="EF29" i="315"/>
  <c r="EG29" i="315"/>
  <c r="EG31" i="315"/>
  <c r="EH29" i="315"/>
  <c r="EH31" i="315"/>
  <c r="EI29" i="315"/>
  <c r="EJ29" i="315"/>
  <c r="EK29" i="315"/>
  <c r="EK31" i="315"/>
  <c r="EL29" i="315"/>
  <c r="EL31" i="315"/>
  <c r="EM29" i="315"/>
  <c r="EN29" i="315"/>
  <c r="EO29" i="315"/>
  <c r="EO31" i="315"/>
  <c r="EP29" i="315"/>
  <c r="EP31" i="315"/>
  <c r="EQ29" i="315"/>
  <c r="ER29" i="315"/>
  <c r="ES29" i="315"/>
  <c r="ES31" i="315"/>
  <c r="ET29" i="315"/>
  <c r="ET31" i="315"/>
  <c r="EU29" i="315"/>
  <c r="EV29" i="315"/>
  <c r="EW29" i="315"/>
  <c r="EW31" i="315"/>
  <c r="EX29" i="315"/>
  <c r="EX31" i="315"/>
  <c r="EY29" i="315"/>
  <c r="EZ29" i="315"/>
  <c r="FA29" i="315"/>
  <c r="FA31" i="315"/>
  <c r="FB29" i="315"/>
  <c r="FB31" i="315"/>
  <c r="FC29" i="315"/>
  <c r="FD29" i="315"/>
  <c r="FE29" i="315"/>
  <c r="FE31" i="315"/>
  <c r="FF29" i="315"/>
  <c r="FF31" i="315"/>
  <c r="FG29" i="315"/>
  <c r="FH29" i="315"/>
  <c r="FI29" i="315"/>
  <c r="FI31" i="315"/>
  <c r="FJ29" i="315"/>
  <c r="FJ31" i="315"/>
  <c r="FK29" i="315"/>
  <c r="FL29" i="315"/>
  <c r="FM29" i="315"/>
  <c r="FM31" i="315"/>
  <c r="FN29" i="315"/>
  <c r="FN31" i="315"/>
  <c r="FO29" i="315"/>
  <c r="FP29" i="315"/>
  <c r="FQ29" i="315"/>
  <c r="FQ31" i="315"/>
  <c r="FR29" i="315"/>
  <c r="FR31" i="315"/>
  <c r="FS29" i="315"/>
  <c r="FT29" i="315"/>
  <c r="FU29" i="315"/>
  <c r="FU31" i="315"/>
  <c r="FV29" i="315"/>
  <c r="FV31" i="315"/>
  <c r="FW29" i="315"/>
  <c r="FX29" i="315"/>
  <c r="FY29" i="315"/>
  <c r="FY31" i="315"/>
  <c r="FZ29" i="315"/>
  <c r="FZ31" i="315"/>
  <c r="GA29" i="315"/>
  <c r="GB29" i="315"/>
  <c r="GC29" i="315"/>
  <c r="GC31" i="315"/>
  <c r="GD29" i="315"/>
  <c r="GD31" i="315"/>
  <c r="GE29" i="315"/>
  <c r="GF29" i="315"/>
  <c r="GG29" i="315"/>
  <c r="GG31" i="315"/>
  <c r="GH29" i="315"/>
  <c r="GH31" i="315"/>
  <c r="GI29" i="315"/>
  <c r="GJ29" i="315"/>
  <c r="E143" i="282"/>
  <c r="F143" i="282"/>
  <c r="I143" i="282"/>
  <c r="CW143" i="282"/>
  <c r="CX143" i="282"/>
  <c r="CY143" i="282"/>
  <c r="CZ143" i="282"/>
  <c r="DA143" i="282"/>
  <c r="DB143" i="282"/>
  <c r="DC143" i="282"/>
  <c r="DD143" i="282"/>
  <c r="DE143" i="282"/>
  <c r="DF143" i="282"/>
  <c r="DG143" i="282"/>
  <c r="DH143" i="282"/>
  <c r="DI143" i="282"/>
  <c r="DJ143" i="282"/>
  <c r="DK143" i="282"/>
  <c r="DL143" i="282"/>
  <c r="DM143" i="282"/>
  <c r="DN143" i="282"/>
  <c r="DO143" i="282"/>
  <c r="DP143" i="282"/>
  <c r="DQ143" i="282"/>
  <c r="DR143" i="282"/>
  <c r="DS143" i="282"/>
  <c r="DT143" i="282"/>
  <c r="DU143" i="282"/>
  <c r="DV143" i="282"/>
  <c r="DW143" i="282"/>
  <c r="DX143" i="282"/>
  <c r="DY143" i="282"/>
  <c r="DZ143" i="282"/>
  <c r="EA143" i="282"/>
  <c r="EB143" i="282"/>
  <c r="EC143" i="282"/>
  <c r="ED143" i="282"/>
  <c r="EE143" i="282"/>
  <c r="EF143" i="282"/>
  <c r="EG143" i="282"/>
  <c r="EH143" i="282"/>
  <c r="EI143" i="282"/>
  <c r="EJ143" i="282"/>
  <c r="EK143" i="282"/>
  <c r="EL143" i="282"/>
  <c r="EM143" i="282"/>
  <c r="EN143" i="282"/>
  <c r="EO143" i="282"/>
  <c r="EP143" i="282"/>
  <c r="EQ143" i="282"/>
  <c r="ER143" i="282"/>
  <c r="ES143" i="282"/>
  <c r="ET143" i="282"/>
  <c r="EU143" i="282"/>
  <c r="EV143" i="282"/>
  <c r="EW143" i="282"/>
  <c r="EX143" i="282"/>
  <c r="EY143" i="282"/>
  <c r="EZ143" i="282"/>
  <c r="FA143" i="282"/>
  <c r="FB143" i="282"/>
  <c r="FC143" i="282"/>
  <c r="FD143" i="282"/>
  <c r="FE143" i="282"/>
  <c r="FF143" i="282"/>
  <c r="FG143" i="282"/>
  <c r="FH143" i="282"/>
  <c r="FI143" i="282"/>
  <c r="FJ143" i="282"/>
  <c r="FK143" i="282"/>
  <c r="FL143" i="282"/>
  <c r="FM143" i="282"/>
  <c r="FN143" i="282"/>
  <c r="FO143" i="282"/>
  <c r="FP143" i="282"/>
  <c r="FQ143" i="282"/>
  <c r="FR143" i="282"/>
  <c r="FS143" i="282"/>
  <c r="FT143" i="282"/>
  <c r="FU143" i="282"/>
  <c r="FV143" i="282"/>
  <c r="FW143" i="282"/>
  <c r="FX143" i="282"/>
  <c r="FY143" i="282"/>
  <c r="FZ143" i="282"/>
  <c r="GA143" i="282"/>
  <c r="GB143" i="282"/>
  <c r="GC143" i="282"/>
  <c r="GD143" i="282"/>
  <c r="GE143" i="282"/>
  <c r="GF143" i="282"/>
  <c r="GG143" i="282"/>
  <c r="GH143" i="282"/>
  <c r="GI143" i="282"/>
  <c r="GJ143" i="282"/>
  <c r="E127" i="282"/>
  <c r="F127" i="282"/>
  <c r="H127" i="282"/>
  <c r="I127" i="282"/>
  <c r="CW127" i="282"/>
  <c r="CX127" i="282"/>
  <c r="CY127" i="282"/>
  <c r="CZ127" i="282"/>
  <c r="DA127" i="282"/>
  <c r="DB127" i="282"/>
  <c r="DC127" i="282"/>
  <c r="DD127" i="282"/>
  <c r="DE127" i="282"/>
  <c r="DF127" i="282"/>
  <c r="DG127" i="282"/>
  <c r="DH127" i="282"/>
  <c r="DI127" i="282"/>
  <c r="DJ127" i="282"/>
  <c r="DK127" i="282"/>
  <c r="DL127" i="282"/>
  <c r="DM127" i="282"/>
  <c r="DN127" i="282"/>
  <c r="DO127" i="282"/>
  <c r="DP127" i="282"/>
  <c r="DQ127" i="282"/>
  <c r="DR127" i="282"/>
  <c r="DS127" i="282"/>
  <c r="DT127" i="282"/>
  <c r="DU127" i="282"/>
  <c r="DV127" i="282"/>
  <c r="DW127" i="282"/>
  <c r="DX127" i="282"/>
  <c r="DY127" i="282"/>
  <c r="DZ127" i="282"/>
  <c r="EA127" i="282"/>
  <c r="EB127" i="282"/>
  <c r="EC127" i="282"/>
  <c r="ED127" i="282"/>
  <c r="EE127" i="282"/>
  <c r="EF127" i="282"/>
  <c r="EG127" i="282"/>
  <c r="EH127" i="282"/>
  <c r="EI127" i="282"/>
  <c r="EJ127" i="282"/>
  <c r="EK127" i="282"/>
  <c r="EL127" i="282"/>
  <c r="EM127" i="282"/>
  <c r="EN127" i="282"/>
  <c r="EO127" i="282"/>
  <c r="EP127" i="282"/>
  <c r="EQ127" i="282"/>
  <c r="ER127" i="282"/>
  <c r="ES127" i="282"/>
  <c r="ET127" i="282"/>
  <c r="EU127" i="282"/>
  <c r="EV127" i="282"/>
  <c r="EW127" i="282"/>
  <c r="EX127" i="282"/>
  <c r="EY127" i="282"/>
  <c r="EZ127" i="282"/>
  <c r="FA127" i="282"/>
  <c r="FB127" i="282"/>
  <c r="FC127" i="282"/>
  <c r="FD127" i="282"/>
  <c r="FE127" i="282"/>
  <c r="FF127" i="282"/>
  <c r="FG127" i="282"/>
  <c r="FH127" i="282"/>
  <c r="FI127" i="282"/>
  <c r="FJ127" i="282"/>
  <c r="FK127" i="282"/>
  <c r="FL127" i="282"/>
  <c r="FM127" i="282"/>
  <c r="FN127" i="282"/>
  <c r="FO127" i="282"/>
  <c r="FP127" i="282"/>
  <c r="FQ127" i="282"/>
  <c r="FR127" i="282"/>
  <c r="FS127" i="282"/>
  <c r="FT127" i="282"/>
  <c r="FU127" i="282"/>
  <c r="FV127" i="282"/>
  <c r="FW127" i="282"/>
  <c r="FX127" i="282"/>
  <c r="FY127" i="282"/>
  <c r="FZ127" i="282"/>
  <c r="GA127" i="282"/>
  <c r="GB127" i="282"/>
  <c r="GC127" i="282"/>
  <c r="GD127" i="282"/>
  <c r="GE127" i="282"/>
  <c r="GF127" i="282"/>
  <c r="GG127" i="282"/>
  <c r="GH127" i="282"/>
  <c r="GI127" i="282"/>
  <c r="GJ127" i="282"/>
  <c r="E137" i="282"/>
  <c r="F137" i="282"/>
  <c r="I137" i="282"/>
  <c r="CW137" i="282"/>
  <c r="CX137" i="282"/>
  <c r="CY137" i="282"/>
  <c r="CZ137" i="282"/>
  <c r="DA137" i="282"/>
  <c r="DB137" i="282"/>
  <c r="DC137" i="282"/>
  <c r="DD137" i="282"/>
  <c r="DE137" i="282"/>
  <c r="DF137" i="282"/>
  <c r="DG137" i="282"/>
  <c r="DH137" i="282"/>
  <c r="DI137" i="282"/>
  <c r="DJ137" i="282"/>
  <c r="DK137" i="282"/>
  <c r="DL137" i="282"/>
  <c r="DM137" i="282"/>
  <c r="DN137" i="282"/>
  <c r="DO137" i="282"/>
  <c r="DP137" i="282"/>
  <c r="DQ137" i="282"/>
  <c r="DR137" i="282"/>
  <c r="DS137" i="282"/>
  <c r="DT137" i="282"/>
  <c r="DU137" i="282"/>
  <c r="DV137" i="282"/>
  <c r="DW137" i="282"/>
  <c r="DX137" i="282"/>
  <c r="DY137" i="282"/>
  <c r="DZ137" i="282"/>
  <c r="EA137" i="282"/>
  <c r="EB137" i="282"/>
  <c r="EC137" i="282"/>
  <c r="ED137" i="282"/>
  <c r="EE137" i="282"/>
  <c r="EF137" i="282"/>
  <c r="EG137" i="282"/>
  <c r="EH137" i="282"/>
  <c r="EI137" i="282"/>
  <c r="EJ137" i="282"/>
  <c r="EK137" i="282"/>
  <c r="EL137" i="282"/>
  <c r="EM137" i="282"/>
  <c r="EN137" i="282"/>
  <c r="EO137" i="282"/>
  <c r="EP137" i="282"/>
  <c r="EQ137" i="282"/>
  <c r="ER137" i="282"/>
  <c r="ES137" i="282"/>
  <c r="ET137" i="282"/>
  <c r="EU137" i="282"/>
  <c r="EV137" i="282"/>
  <c r="EW137" i="282"/>
  <c r="EX137" i="282"/>
  <c r="EY137" i="282"/>
  <c r="EZ137" i="282"/>
  <c r="FA137" i="282"/>
  <c r="FB137" i="282"/>
  <c r="FC137" i="282"/>
  <c r="FD137" i="282"/>
  <c r="FE137" i="282"/>
  <c r="FF137" i="282"/>
  <c r="FG137" i="282"/>
  <c r="FH137" i="282"/>
  <c r="FI137" i="282"/>
  <c r="FJ137" i="282"/>
  <c r="FK137" i="282"/>
  <c r="FL137" i="282"/>
  <c r="FM137" i="282"/>
  <c r="FN137" i="282"/>
  <c r="FO137" i="282"/>
  <c r="FP137" i="282"/>
  <c r="FQ137" i="282"/>
  <c r="FR137" i="282"/>
  <c r="FS137" i="282"/>
  <c r="FT137" i="282"/>
  <c r="FU137" i="282"/>
  <c r="FV137" i="282"/>
  <c r="FW137" i="282"/>
  <c r="FX137" i="282"/>
  <c r="FY137" i="282"/>
  <c r="FZ137" i="282"/>
  <c r="GA137" i="282"/>
  <c r="GB137" i="282"/>
  <c r="GC137" i="282"/>
  <c r="GD137" i="282"/>
  <c r="GE137" i="282"/>
  <c r="GF137" i="282"/>
  <c r="GG137" i="282"/>
  <c r="GH137" i="282"/>
  <c r="GI137" i="282"/>
  <c r="GJ137" i="282"/>
  <c r="E136" i="282"/>
  <c r="F136" i="282"/>
  <c r="I136" i="282"/>
  <c r="CW136" i="282"/>
  <c r="CX136" i="282"/>
  <c r="CY136" i="282"/>
  <c r="CZ136" i="282"/>
  <c r="DA136" i="282"/>
  <c r="DB136" i="282"/>
  <c r="DC136" i="282"/>
  <c r="DD136" i="282"/>
  <c r="DE136" i="282"/>
  <c r="DF136" i="282"/>
  <c r="DG136" i="282"/>
  <c r="DH136" i="282"/>
  <c r="DI136" i="282"/>
  <c r="DJ136" i="282"/>
  <c r="DK136" i="282"/>
  <c r="DL136" i="282"/>
  <c r="DM136" i="282"/>
  <c r="DN136" i="282"/>
  <c r="DO136" i="282"/>
  <c r="DP136" i="282"/>
  <c r="DQ136" i="282"/>
  <c r="DR136" i="282"/>
  <c r="DS136" i="282"/>
  <c r="DT136" i="282"/>
  <c r="DU136" i="282"/>
  <c r="DV136" i="282"/>
  <c r="DW136" i="282"/>
  <c r="DX136" i="282"/>
  <c r="DY136" i="282"/>
  <c r="DZ136" i="282"/>
  <c r="EA136" i="282"/>
  <c r="EB136" i="282"/>
  <c r="EC136" i="282"/>
  <c r="ED136" i="282"/>
  <c r="EE136" i="282"/>
  <c r="EF136" i="282"/>
  <c r="EG136" i="282"/>
  <c r="EH136" i="282"/>
  <c r="EI136" i="282"/>
  <c r="EJ136" i="282"/>
  <c r="EK136" i="282"/>
  <c r="EL136" i="282"/>
  <c r="EM136" i="282"/>
  <c r="EN136" i="282"/>
  <c r="EO136" i="282"/>
  <c r="EP136" i="282"/>
  <c r="EQ136" i="282"/>
  <c r="ER136" i="282"/>
  <c r="ES136" i="282"/>
  <c r="ET136" i="282"/>
  <c r="EU136" i="282"/>
  <c r="EV136" i="282"/>
  <c r="EW136" i="282"/>
  <c r="EX136" i="282"/>
  <c r="EY136" i="282"/>
  <c r="EZ136" i="282"/>
  <c r="FA136" i="282"/>
  <c r="FB136" i="282"/>
  <c r="FC136" i="282"/>
  <c r="FD136" i="282"/>
  <c r="FE136" i="282"/>
  <c r="FF136" i="282"/>
  <c r="FG136" i="282"/>
  <c r="FH136" i="282"/>
  <c r="FI136" i="282"/>
  <c r="FJ136" i="282"/>
  <c r="FK136" i="282"/>
  <c r="FL136" i="282"/>
  <c r="FM136" i="282"/>
  <c r="FN136" i="282"/>
  <c r="FO136" i="282"/>
  <c r="FP136" i="282"/>
  <c r="FQ136" i="282"/>
  <c r="FR136" i="282"/>
  <c r="FS136" i="282"/>
  <c r="FT136" i="282"/>
  <c r="FU136" i="282"/>
  <c r="FV136" i="282"/>
  <c r="FW136" i="282"/>
  <c r="FX136" i="282"/>
  <c r="FY136" i="282"/>
  <c r="FZ136" i="282"/>
  <c r="GA136" i="282"/>
  <c r="GB136" i="282"/>
  <c r="GC136" i="282"/>
  <c r="GD136" i="282"/>
  <c r="GE136" i="282"/>
  <c r="GF136" i="282"/>
  <c r="GG136" i="282"/>
  <c r="GH136" i="282"/>
  <c r="GI136" i="282"/>
  <c r="GJ136" i="282"/>
  <c r="E131" i="282"/>
  <c r="F131" i="282"/>
  <c r="I131" i="282"/>
  <c r="CW131" i="282"/>
  <c r="CX131" i="282"/>
  <c r="CY131" i="282"/>
  <c r="CZ131" i="282"/>
  <c r="DA131" i="282"/>
  <c r="DB131" i="282"/>
  <c r="DC131" i="282"/>
  <c r="DD131" i="282"/>
  <c r="DE131" i="282"/>
  <c r="DF131" i="282"/>
  <c r="DG131" i="282"/>
  <c r="DH131" i="282"/>
  <c r="DI131" i="282"/>
  <c r="DJ131" i="282"/>
  <c r="DK131" i="282"/>
  <c r="DL131" i="282"/>
  <c r="DM131" i="282"/>
  <c r="DN131" i="282"/>
  <c r="DO131" i="282"/>
  <c r="DP131" i="282"/>
  <c r="DQ131" i="282"/>
  <c r="DR131" i="282"/>
  <c r="DS131" i="282"/>
  <c r="DT131" i="282"/>
  <c r="DU131" i="282"/>
  <c r="DV131" i="282"/>
  <c r="DW131" i="282"/>
  <c r="DX131" i="282"/>
  <c r="DY131" i="282"/>
  <c r="DZ131" i="282"/>
  <c r="EA131" i="282"/>
  <c r="EB131" i="282"/>
  <c r="EC131" i="282"/>
  <c r="ED131" i="282"/>
  <c r="EE131" i="282"/>
  <c r="EF131" i="282"/>
  <c r="EG131" i="282"/>
  <c r="EH131" i="282"/>
  <c r="EI131" i="282"/>
  <c r="EJ131" i="282"/>
  <c r="EK131" i="282"/>
  <c r="EL131" i="282"/>
  <c r="EM131" i="282"/>
  <c r="EN131" i="282"/>
  <c r="EO131" i="282"/>
  <c r="EP131" i="282"/>
  <c r="EQ131" i="282"/>
  <c r="ER131" i="282"/>
  <c r="ES131" i="282"/>
  <c r="ET131" i="282"/>
  <c r="EU131" i="282"/>
  <c r="EV131" i="282"/>
  <c r="EW131" i="282"/>
  <c r="EX131" i="282"/>
  <c r="EY131" i="282"/>
  <c r="EZ131" i="282"/>
  <c r="FA131" i="282"/>
  <c r="FB131" i="282"/>
  <c r="FC131" i="282"/>
  <c r="FD131" i="282"/>
  <c r="FE131" i="282"/>
  <c r="FF131" i="282"/>
  <c r="FG131" i="282"/>
  <c r="FH131" i="282"/>
  <c r="FI131" i="282"/>
  <c r="FJ131" i="282"/>
  <c r="FK131" i="282"/>
  <c r="FL131" i="282"/>
  <c r="FM131" i="282"/>
  <c r="FN131" i="282"/>
  <c r="FO131" i="282"/>
  <c r="FP131" i="282"/>
  <c r="FQ131" i="282"/>
  <c r="FR131" i="282"/>
  <c r="FS131" i="282"/>
  <c r="FT131" i="282"/>
  <c r="FU131" i="282"/>
  <c r="FV131" i="282"/>
  <c r="FW131" i="282"/>
  <c r="FX131" i="282"/>
  <c r="FY131" i="282"/>
  <c r="FZ131" i="282"/>
  <c r="GA131" i="282"/>
  <c r="GB131" i="282"/>
  <c r="GC131" i="282"/>
  <c r="GD131" i="282"/>
  <c r="GE131" i="282"/>
  <c r="GF131" i="282"/>
  <c r="GG131" i="282"/>
  <c r="GH131" i="282"/>
  <c r="GI131" i="282"/>
  <c r="GJ131" i="282"/>
  <c r="GJ130" i="282"/>
  <c r="GI130" i="282"/>
  <c r="GH130" i="282"/>
  <c r="GG130" i="282"/>
  <c r="GF130" i="282"/>
  <c r="GE130" i="282"/>
  <c r="GD130" i="282"/>
  <c r="GC130" i="282"/>
  <c r="GB130" i="282"/>
  <c r="GA130" i="282"/>
  <c r="FZ130" i="282"/>
  <c r="FY130" i="282"/>
  <c r="FX130" i="282"/>
  <c r="FW130" i="282"/>
  <c r="FV130" i="282"/>
  <c r="FU130" i="282"/>
  <c r="FT130" i="282"/>
  <c r="FS130" i="282"/>
  <c r="FR130" i="282"/>
  <c r="FQ130" i="282"/>
  <c r="FP130" i="282"/>
  <c r="FO130" i="282"/>
  <c r="FN130" i="282"/>
  <c r="FM130" i="282"/>
  <c r="FL130" i="282"/>
  <c r="FK130" i="282"/>
  <c r="FJ130" i="282"/>
  <c r="FI130" i="282"/>
  <c r="FH130" i="282"/>
  <c r="FG130" i="282"/>
  <c r="FF130" i="282"/>
  <c r="FE130" i="282"/>
  <c r="FD130" i="282"/>
  <c r="FC130" i="282"/>
  <c r="FB130" i="282"/>
  <c r="FA130" i="282"/>
  <c r="EZ130" i="282"/>
  <c r="EY130" i="282"/>
  <c r="EX130" i="282"/>
  <c r="EW130" i="282"/>
  <c r="EV130" i="282"/>
  <c r="EU130" i="282"/>
  <c r="ET130" i="282"/>
  <c r="ES130" i="282"/>
  <c r="ER130" i="282"/>
  <c r="EQ130" i="282"/>
  <c r="EP130" i="282"/>
  <c r="EO130" i="282"/>
  <c r="EN130" i="282"/>
  <c r="EM130" i="282"/>
  <c r="EL130" i="282"/>
  <c r="EK130" i="282"/>
  <c r="EJ130" i="282"/>
  <c r="EI130" i="282"/>
  <c r="EH130" i="282"/>
  <c r="EG130" i="282"/>
  <c r="EF130" i="282"/>
  <c r="EE130" i="282"/>
  <c r="ED130" i="282"/>
  <c r="EC130" i="282"/>
  <c r="EB130" i="282"/>
  <c r="EA130" i="282"/>
  <c r="DZ130" i="282"/>
  <c r="DY130" i="282"/>
  <c r="DX130" i="282"/>
  <c r="DW130" i="282"/>
  <c r="DV130" i="282"/>
  <c r="DU130" i="282"/>
  <c r="DT130" i="282"/>
  <c r="DS130" i="282"/>
  <c r="DR130" i="282"/>
  <c r="DQ130" i="282"/>
  <c r="DP130" i="282"/>
  <c r="DO130" i="282"/>
  <c r="DN130" i="282"/>
  <c r="DM130" i="282"/>
  <c r="DL130" i="282"/>
  <c r="DK130" i="282"/>
  <c r="DJ130" i="282"/>
  <c r="DI130" i="282"/>
  <c r="DH130" i="282"/>
  <c r="DG130" i="282"/>
  <c r="DF130" i="282"/>
  <c r="DE130" i="282"/>
  <c r="DD130" i="282"/>
  <c r="DC130" i="282"/>
  <c r="DB130" i="282"/>
  <c r="DA130" i="282"/>
  <c r="CZ130" i="282"/>
  <c r="CY130" i="282"/>
  <c r="CX130" i="282"/>
  <c r="CW130" i="282"/>
  <c r="I130" i="282"/>
  <c r="F130" i="282"/>
  <c r="E130" i="282"/>
  <c r="E126" i="282"/>
  <c r="F126" i="282"/>
  <c r="I126" i="282"/>
  <c r="CW126" i="282"/>
  <c r="CX126" i="282"/>
  <c r="CY126" i="282"/>
  <c r="CZ126" i="282"/>
  <c r="DA126" i="282"/>
  <c r="DB126" i="282"/>
  <c r="DC126" i="282"/>
  <c r="DD126" i="282"/>
  <c r="DE126" i="282"/>
  <c r="DF126" i="282"/>
  <c r="DG126" i="282"/>
  <c r="DH126" i="282"/>
  <c r="DI126" i="282"/>
  <c r="DJ126" i="282"/>
  <c r="DK126" i="282"/>
  <c r="DL126" i="282"/>
  <c r="DM126" i="282"/>
  <c r="DN126" i="282"/>
  <c r="DO126" i="282"/>
  <c r="DP126" i="282"/>
  <c r="DQ126" i="282"/>
  <c r="DR126" i="282"/>
  <c r="DS126" i="282"/>
  <c r="DT126" i="282"/>
  <c r="DU126" i="282"/>
  <c r="DV126" i="282"/>
  <c r="DW126" i="282"/>
  <c r="DX126" i="282"/>
  <c r="DY126" i="282"/>
  <c r="DZ126" i="282"/>
  <c r="EA126" i="282"/>
  <c r="EB126" i="282"/>
  <c r="EC126" i="282"/>
  <c r="ED126" i="282"/>
  <c r="EE126" i="282"/>
  <c r="EF126" i="282"/>
  <c r="EG126" i="282"/>
  <c r="EH126" i="282"/>
  <c r="EI126" i="282"/>
  <c r="EJ126" i="282"/>
  <c r="EK126" i="282"/>
  <c r="EL126" i="282"/>
  <c r="EM126" i="282"/>
  <c r="EN126" i="282"/>
  <c r="EO126" i="282"/>
  <c r="EP126" i="282"/>
  <c r="EQ126" i="282"/>
  <c r="ER126" i="282"/>
  <c r="ES126" i="282"/>
  <c r="ET126" i="282"/>
  <c r="EU126" i="282"/>
  <c r="EV126" i="282"/>
  <c r="EW126" i="282"/>
  <c r="EX126" i="282"/>
  <c r="EY126" i="282"/>
  <c r="EZ126" i="282"/>
  <c r="FA126" i="282"/>
  <c r="FB126" i="282"/>
  <c r="FC126" i="282"/>
  <c r="FD126" i="282"/>
  <c r="FE126" i="282"/>
  <c r="FF126" i="282"/>
  <c r="FG126" i="282"/>
  <c r="FH126" i="282"/>
  <c r="FI126" i="282"/>
  <c r="FJ126" i="282"/>
  <c r="FK126" i="282"/>
  <c r="FL126" i="282"/>
  <c r="FM126" i="282"/>
  <c r="FN126" i="282"/>
  <c r="FO126" i="282"/>
  <c r="FP126" i="282"/>
  <c r="FQ126" i="282"/>
  <c r="FR126" i="282"/>
  <c r="FS126" i="282"/>
  <c r="FT126" i="282"/>
  <c r="FU126" i="282"/>
  <c r="FV126" i="282"/>
  <c r="FW126" i="282"/>
  <c r="FX126" i="282"/>
  <c r="FY126" i="282"/>
  <c r="FZ126" i="282"/>
  <c r="GA126" i="282"/>
  <c r="GB126" i="282"/>
  <c r="GC126" i="282"/>
  <c r="GD126" i="282"/>
  <c r="GE126" i="282"/>
  <c r="GF126" i="282"/>
  <c r="GG126" i="282"/>
  <c r="GH126" i="282"/>
  <c r="GI126" i="282"/>
  <c r="GJ126" i="282"/>
  <c r="I123" i="282"/>
  <c r="F123" i="282"/>
  <c r="E123" i="282"/>
  <c r="E120" i="282"/>
  <c r="F120" i="282"/>
  <c r="I120" i="282"/>
  <c r="E116" i="282"/>
  <c r="F116" i="282"/>
  <c r="I116" i="282"/>
  <c r="CW116" i="282"/>
  <c r="CX116" i="282"/>
  <c r="CY116" i="282"/>
  <c r="CZ116" i="282"/>
  <c r="DA116" i="282"/>
  <c r="DB116" i="282"/>
  <c r="DC116" i="282"/>
  <c r="DD116" i="282"/>
  <c r="DE116" i="282"/>
  <c r="DF116" i="282"/>
  <c r="DG116" i="282"/>
  <c r="DH116" i="282"/>
  <c r="DI116" i="282"/>
  <c r="DJ116" i="282"/>
  <c r="DK116" i="282"/>
  <c r="DL116" i="282"/>
  <c r="DM116" i="282"/>
  <c r="DN116" i="282"/>
  <c r="DO116" i="282"/>
  <c r="DP116" i="282"/>
  <c r="DQ116" i="282"/>
  <c r="DR116" i="282"/>
  <c r="DS116" i="282"/>
  <c r="DT116" i="282"/>
  <c r="DU116" i="282"/>
  <c r="DV116" i="282"/>
  <c r="DW116" i="282"/>
  <c r="DX116" i="282"/>
  <c r="DY116" i="282"/>
  <c r="DZ116" i="282"/>
  <c r="EA116" i="282"/>
  <c r="EB116" i="282"/>
  <c r="EC116" i="282"/>
  <c r="ED116" i="282"/>
  <c r="EE116" i="282"/>
  <c r="EF116" i="282"/>
  <c r="EG116" i="282"/>
  <c r="EH116" i="282"/>
  <c r="EI116" i="282"/>
  <c r="EJ116" i="282"/>
  <c r="EK116" i="282"/>
  <c r="EL116" i="282"/>
  <c r="EM116" i="282"/>
  <c r="EN116" i="282"/>
  <c r="EO116" i="282"/>
  <c r="EP116" i="282"/>
  <c r="EQ116" i="282"/>
  <c r="ER116" i="282"/>
  <c r="ES116" i="282"/>
  <c r="ET116" i="282"/>
  <c r="EU116" i="282"/>
  <c r="EV116" i="282"/>
  <c r="EW116" i="282"/>
  <c r="EX116" i="282"/>
  <c r="EY116" i="282"/>
  <c r="EZ116" i="282"/>
  <c r="FA116" i="282"/>
  <c r="FB116" i="282"/>
  <c r="FC116" i="282"/>
  <c r="FD116" i="282"/>
  <c r="FE116" i="282"/>
  <c r="FF116" i="282"/>
  <c r="FG116" i="282"/>
  <c r="FH116" i="282"/>
  <c r="FI116" i="282"/>
  <c r="FJ116" i="282"/>
  <c r="FK116" i="282"/>
  <c r="FL116" i="282"/>
  <c r="FM116" i="282"/>
  <c r="FN116" i="282"/>
  <c r="FO116" i="282"/>
  <c r="FP116" i="282"/>
  <c r="FQ116" i="282"/>
  <c r="FR116" i="282"/>
  <c r="FS116" i="282"/>
  <c r="FT116" i="282"/>
  <c r="FU116" i="282"/>
  <c r="FV116" i="282"/>
  <c r="FW116" i="282"/>
  <c r="FX116" i="282"/>
  <c r="FY116" i="282"/>
  <c r="FZ116" i="282"/>
  <c r="GA116" i="282"/>
  <c r="GB116" i="282"/>
  <c r="GC116" i="282"/>
  <c r="GD116" i="282"/>
  <c r="GE116" i="282"/>
  <c r="GF116" i="282"/>
  <c r="GG116" i="282"/>
  <c r="GH116" i="282"/>
  <c r="GI116" i="282"/>
  <c r="GJ116" i="282"/>
  <c r="E103" i="282"/>
  <c r="F103" i="282"/>
  <c r="I103" i="282"/>
  <c r="CW103" i="282"/>
  <c r="CX103" i="282"/>
  <c r="CY103" i="282"/>
  <c r="CZ103" i="282"/>
  <c r="DA103" i="282"/>
  <c r="DB103" i="282"/>
  <c r="DC103" i="282"/>
  <c r="DD103" i="282"/>
  <c r="DE103" i="282"/>
  <c r="DF103" i="282"/>
  <c r="DG103" i="282"/>
  <c r="DH103" i="282"/>
  <c r="DI103" i="282"/>
  <c r="DJ103" i="282"/>
  <c r="DK103" i="282"/>
  <c r="DL103" i="282"/>
  <c r="DM103" i="282"/>
  <c r="DN103" i="282"/>
  <c r="DO103" i="282"/>
  <c r="DP103" i="282"/>
  <c r="DQ103" i="282"/>
  <c r="DR103" i="282"/>
  <c r="DS103" i="282"/>
  <c r="DT103" i="282"/>
  <c r="DU103" i="282"/>
  <c r="DV103" i="282"/>
  <c r="DW103" i="282"/>
  <c r="DX103" i="282"/>
  <c r="DY103" i="282"/>
  <c r="DZ103" i="282"/>
  <c r="EA103" i="282"/>
  <c r="EB103" i="282"/>
  <c r="EC103" i="282"/>
  <c r="ED103" i="282"/>
  <c r="EE103" i="282"/>
  <c r="EF103" i="282"/>
  <c r="EG103" i="282"/>
  <c r="EH103" i="282"/>
  <c r="EI103" i="282"/>
  <c r="EJ103" i="282"/>
  <c r="EK103" i="282"/>
  <c r="EL103" i="282"/>
  <c r="EM103" i="282"/>
  <c r="EN103" i="282"/>
  <c r="EO103" i="282"/>
  <c r="EP103" i="282"/>
  <c r="EQ103" i="282"/>
  <c r="ER103" i="282"/>
  <c r="ES103" i="282"/>
  <c r="ET103" i="282"/>
  <c r="EU103" i="282"/>
  <c r="EV103" i="282"/>
  <c r="EW103" i="282"/>
  <c r="EX103" i="282"/>
  <c r="EY103" i="282"/>
  <c r="EZ103" i="282"/>
  <c r="FA103" i="282"/>
  <c r="FB103" i="282"/>
  <c r="FC103" i="282"/>
  <c r="FD103" i="282"/>
  <c r="FE103" i="282"/>
  <c r="FF103" i="282"/>
  <c r="FG103" i="282"/>
  <c r="FH103" i="282"/>
  <c r="FI103" i="282"/>
  <c r="FJ103" i="282"/>
  <c r="FK103" i="282"/>
  <c r="FL103" i="282"/>
  <c r="FM103" i="282"/>
  <c r="FN103" i="282"/>
  <c r="FO103" i="282"/>
  <c r="FP103" i="282"/>
  <c r="FQ103" i="282"/>
  <c r="FR103" i="282"/>
  <c r="FS103" i="282"/>
  <c r="FT103" i="282"/>
  <c r="FU103" i="282"/>
  <c r="FV103" i="282"/>
  <c r="FW103" i="282"/>
  <c r="FX103" i="282"/>
  <c r="FY103" i="282"/>
  <c r="FZ103" i="282"/>
  <c r="GA103" i="282"/>
  <c r="GB103" i="282"/>
  <c r="GC103" i="282"/>
  <c r="GD103" i="282"/>
  <c r="GE103" i="282"/>
  <c r="GF103" i="282"/>
  <c r="GG103" i="282"/>
  <c r="GH103" i="282"/>
  <c r="GI103" i="282"/>
  <c r="GJ103" i="282"/>
  <c r="E106" i="282"/>
  <c r="F106" i="282"/>
  <c r="I106" i="282"/>
  <c r="CW106" i="282"/>
  <c r="CX106" i="282"/>
  <c r="CY106" i="282"/>
  <c r="CZ106" i="282"/>
  <c r="DA106" i="282"/>
  <c r="DB106" i="282"/>
  <c r="DC106" i="282"/>
  <c r="DD106" i="282"/>
  <c r="DE106" i="282"/>
  <c r="DF106" i="282"/>
  <c r="DG106" i="282"/>
  <c r="DH106" i="282"/>
  <c r="DI106" i="282"/>
  <c r="DJ106" i="282"/>
  <c r="DK106" i="282"/>
  <c r="DL106" i="282"/>
  <c r="DM106" i="282"/>
  <c r="DN106" i="282"/>
  <c r="DO106" i="282"/>
  <c r="DP106" i="282"/>
  <c r="DQ106" i="282"/>
  <c r="DR106" i="282"/>
  <c r="DS106" i="282"/>
  <c r="DT106" i="282"/>
  <c r="DU106" i="282"/>
  <c r="DV106" i="282"/>
  <c r="DW106" i="282"/>
  <c r="DX106" i="282"/>
  <c r="DY106" i="282"/>
  <c r="DZ106" i="282"/>
  <c r="EA106" i="282"/>
  <c r="EB106" i="282"/>
  <c r="EC106" i="282"/>
  <c r="ED106" i="282"/>
  <c r="EE106" i="282"/>
  <c r="EF106" i="282"/>
  <c r="EG106" i="282"/>
  <c r="EH106" i="282"/>
  <c r="EI106" i="282"/>
  <c r="EJ106" i="282"/>
  <c r="EK106" i="282"/>
  <c r="EL106" i="282"/>
  <c r="EM106" i="282"/>
  <c r="EN106" i="282"/>
  <c r="EO106" i="282"/>
  <c r="EP106" i="282"/>
  <c r="EQ106" i="282"/>
  <c r="ER106" i="282"/>
  <c r="ES106" i="282"/>
  <c r="ET106" i="282"/>
  <c r="EU106" i="282"/>
  <c r="EV106" i="282"/>
  <c r="EW106" i="282"/>
  <c r="EX106" i="282"/>
  <c r="EY106" i="282"/>
  <c r="EZ106" i="282"/>
  <c r="FA106" i="282"/>
  <c r="FB106" i="282"/>
  <c r="FC106" i="282"/>
  <c r="FD106" i="282"/>
  <c r="FE106" i="282"/>
  <c r="FF106" i="282"/>
  <c r="FG106" i="282"/>
  <c r="FH106" i="282"/>
  <c r="FI106" i="282"/>
  <c r="FJ106" i="282"/>
  <c r="FK106" i="282"/>
  <c r="FL106" i="282"/>
  <c r="FM106" i="282"/>
  <c r="FN106" i="282"/>
  <c r="FO106" i="282"/>
  <c r="FP106" i="282"/>
  <c r="FQ106" i="282"/>
  <c r="FR106" i="282"/>
  <c r="FS106" i="282"/>
  <c r="FT106" i="282"/>
  <c r="FU106" i="282"/>
  <c r="FV106" i="282"/>
  <c r="FW106" i="282"/>
  <c r="FX106" i="282"/>
  <c r="FY106" i="282"/>
  <c r="FZ106" i="282"/>
  <c r="GA106" i="282"/>
  <c r="GB106" i="282"/>
  <c r="GC106" i="282"/>
  <c r="GD106" i="282"/>
  <c r="GE106" i="282"/>
  <c r="GF106" i="282"/>
  <c r="GG106" i="282"/>
  <c r="GH106" i="282"/>
  <c r="GI106" i="282"/>
  <c r="GJ106" i="282"/>
  <c r="G108" i="282"/>
  <c r="G116" i="282"/>
  <c r="I107" i="282"/>
  <c r="F107" i="282"/>
  <c r="E107" i="282"/>
  <c r="I105" i="282"/>
  <c r="F105" i="282"/>
  <c r="E105" i="282"/>
  <c r="I104" i="282"/>
  <c r="F104" i="282"/>
  <c r="E104" i="282"/>
  <c r="I102" i="282"/>
  <c r="F102" i="282"/>
  <c r="E102" i="282"/>
  <c r="I101" i="282"/>
  <c r="F101" i="282"/>
  <c r="E101" i="282"/>
  <c r="I100" i="282"/>
  <c r="F100" i="282"/>
  <c r="E100" i="282"/>
  <c r="I99" i="282"/>
  <c r="F99" i="282"/>
  <c r="E99" i="282"/>
  <c r="I98" i="282"/>
  <c r="F98" i="282"/>
  <c r="E98" i="282"/>
  <c r="E112" i="282"/>
  <c r="F112" i="282"/>
  <c r="I112" i="282"/>
  <c r="CW112" i="282"/>
  <c r="CX112" i="282"/>
  <c r="CY112" i="282"/>
  <c r="CZ112" i="282"/>
  <c r="DA112" i="282"/>
  <c r="DB112" i="282"/>
  <c r="DC112" i="282"/>
  <c r="DD112" i="282"/>
  <c r="DE112" i="282"/>
  <c r="DF112" i="282"/>
  <c r="DG112" i="282"/>
  <c r="DH112" i="282"/>
  <c r="DI112" i="282"/>
  <c r="DJ112" i="282"/>
  <c r="DK112" i="282"/>
  <c r="DL112" i="282"/>
  <c r="DM112" i="282"/>
  <c r="DN112" i="282"/>
  <c r="DO112" i="282"/>
  <c r="DP112" i="282"/>
  <c r="DQ112" i="282"/>
  <c r="DR112" i="282"/>
  <c r="DS112" i="282"/>
  <c r="DT112" i="282"/>
  <c r="DU112" i="282"/>
  <c r="DV112" i="282"/>
  <c r="DW112" i="282"/>
  <c r="DX112" i="282"/>
  <c r="DY112" i="282"/>
  <c r="DZ112" i="282"/>
  <c r="EA112" i="282"/>
  <c r="EB112" i="282"/>
  <c r="EC112" i="282"/>
  <c r="ED112" i="282"/>
  <c r="EE112" i="282"/>
  <c r="EF112" i="282"/>
  <c r="EG112" i="282"/>
  <c r="EH112" i="282"/>
  <c r="EI112" i="282"/>
  <c r="EJ112" i="282"/>
  <c r="EK112" i="282"/>
  <c r="EL112" i="282"/>
  <c r="EM112" i="282"/>
  <c r="EN112" i="282"/>
  <c r="EO112" i="282"/>
  <c r="EP112" i="282"/>
  <c r="EQ112" i="282"/>
  <c r="ER112" i="282"/>
  <c r="ES112" i="282"/>
  <c r="ET112" i="282"/>
  <c r="EU112" i="282"/>
  <c r="EV112" i="282"/>
  <c r="EW112" i="282"/>
  <c r="EX112" i="282"/>
  <c r="EY112" i="282"/>
  <c r="EZ112" i="282"/>
  <c r="FA112" i="282"/>
  <c r="FB112" i="282"/>
  <c r="FC112" i="282"/>
  <c r="FD112" i="282"/>
  <c r="FE112" i="282"/>
  <c r="FF112" i="282"/>
  <c r="FG112" i="282"/>
  <c r="FH112" i="282"/>
  <c r="FI112" i="282"/>
  <c r="FJ112" i="282"/>
  <c r="FK112" i="282"/>
  <c r="FL112" i="282"/>
  <c r="FM112" i="282"/>
  <c r="FN112" i="282"/>
  <c r="FO112" i="282"/>
  <c r="FP112" i="282"/>
  <c r="FQ112" i="282"/>
  <c r="FR112" i="282"/>
  <c r="FS112" i="282"/>
  <c r="FT112" i="282"/>
  <c r="FU112" i="282"/>
  <c r="FV112" i="282"/>
  <c r="FW112" i="282"/>
  <c r="FX112" i="282"/>
  <c r="FY112" i="282"/>
  <c r="FZ112" i="282"/>
  <c r="GA112" i="282"/>
  <c r="GB112" i="282"/>
  <c r="GC112" i="282"/>
  <c r="GD112" i="282"/>
  <c r="GE112" i="282"/>
  <c r="GF112" i="282"/>
  <c r="GG112" i="282"/>
  <c r="GH112" i="282"/>
  <c r="GI112" i="282"/>
  <c r="GJ112" i="282"/>
  <c r="G162" i="282"/>
  <c r="G121" i="315"/>
  <c r="J160" i="282"/>
  <c r="G160" i="282"/>
  <c r="G156" i="282"/>
  <c r="G30" i="315"/>
  <c r="E156" i="282"/>
  <c r="E30" i="315"/>
  <c r="G155" i="282"/>
  <c r="G161" i="282"/>
  <c r="GJ154" i="282"/>
  <c r="GI154" i="282"/>
  <c r="GH154" i="282"/>
  <c r="GG154" i="282"/>
  <c r="GF154" i="282"/>
  <c r="GE154" i="282"/>
  <c r="GD154" i="282"/>
  <c r="GC154" i="282"/>
  <c r="GB154" i="282"/>
  <c r="GA154" i="282"/>
  <c r="FZ154" i="282"/>
  <c r="FY154" i="282"/>
  <c r="FX154" i="282"/>
  <c r="FW154" i="282"/>
  <c r="FV154" i="282"/>
  <c r="FU154" i="282"/>
  <c r="FT154" i="282"/>
  <c r="FS154" i="282"/>
  <c r="FR154" i="282"/>
  <c r="FQ154" i="282"/>
  <c r="FP154" i="282"/>
  <c r="FO154" i="282"/>
  <c r="FN154" i="282"/>
  <c r="FM154" i="282"/>
  <c r="FL154" i="282"/>
  <c r="FK154" i="282"/>
  <c r="FJ154" i="282"/>
  <c r="FI154" i="282"/>
  <c r="FH154" i="282"/>
  <c r="FG154" i="282"/>
  <c r="FF154" i="282"/>
  <c r="FE154" i="282"/>
  <c r="FD154" i="282"/>
  <c r="FC154" i="282"/>
  <c r="FB154" i="282"/>
  <c r="FA154" i="282"/>
  <c r="EZ154" i="282"/>
  <c r="EY154" i="282"/>
  <c r="EX154" i="282"/>
  <c r="EW154" i="282"/>
  <c r="EV154" i="282"/>
  <c r="EU154" i="282"/>
  <c r="ET154" i="282"/>
  <c r="ES154" i="282"/>
  <c r="ER154" i="282"/>
  <c r="EQ154" i="282"/>
  <c r="EP154" i="282"/>
  <c r="EO154" i="282"/>
  <c r="EN154" i="282"/>
  <c r="EM154" i="282"/>
  <c r="EL154" i="282"/>
  <c r="EK154" i="282"/>
  <c r="EJ154" i="282"/>
  <c r="EI154" i="282"/>
  <c r="EH154" i="282"/>
  <c r="EG154" i="282"/>
  <c r="EF154" i="282"/>
  <c r="EE154" i="282"/>
  <c r="ED154" i="282"/>
  <c r="EC154" i="282"/>
  <c r="EB154" i="282"/>
  <c r="EA154" i="282"/>
  <c r="DZ154" i="282"/>
  <c r="DY154" i="282"/>
  <c r="DX154" i="282"/>
  <c r="DW154" i="282"/>
  <c r="DV154" i="282"/>
  <c r="DU154" i="282"/>
  <c r="DT154" i="282"/>
  <c r="DS154" i="282"/>
  <c r="DR154" i="282"/>
  <c r="DQ154" i="282"/>
  <c r="DP154" i="282"/>
  <c r="DO154" i="282"/>
  <c r="DN154" i="282"/>
  <c r="DM154" i="282"/>
  <c r="DL154" i="282"/>
  <c r="DK154" i="282"/>
  <c r="DJ154" i="282"/>
  <c r="DI154" i="282"/>
  <c r="DH154" i="282"/>
  <c r="DG154" i="282"/>
  <c r="DF154" i="282"/>
  <c r="DE154" i="282"/>
  <c r="DD154" i="282"/>
  <c r="DC154" i="282"/>
  <c r="DB154" i="282"/>
  <c r="DA154" i="282"/>
  <c r="CZ154" i="282"/>
  <c r="CY154" i="282"/>
  <c r="CX154" i="282"/>
  <c r="CW154" i="282"/>
  <c r="I154" i="282"/>
  <c r="F154" i="282"/>
  <c r="E154" i="282"/>
  <c r="GJ153" i="282"/>
  <c r="GI153" i="282"/>
  <c r="GH153" i="282"/>
  <c r="GG153" i="282"/>
  <c r="GF153" i="282"/>
  <c r="GE153" i="282"/>
  <c r="GD153" i="282"/>
  <c r="GC153" i="282"/>
  <c r="GB153" i="282"/>
  <c r="GA153" i="282"/>
  <c r="FZ153" i="282"/>
  <c r="FY153" i="282"/>
  <c r="FX153" i="282"/>
  <c r="FW153" i="282"/>
  <c r="FV153" i="282"/>
  <c r="FU153" i="282"/>
  <c r="FT153" i="282"/>
  <c r="FS153" i="282"/>
  <c r="FR153" i="282"/>
  <c r="FQ153" i="282"/>
  <c r="FP153" i="282"/>
  <c r="FO153" i="282"/>
  <c r="FN153" i="282"/>
  <c r="FM153" i="282"/>
  <c r="FL153" i="282"/>
  <c r="FK153" i="282"/>
  <c r="FJ153" i="282"/>
  <c r="FI153" i="282"/>
  <c r="FH153" i="282"/>
  <c r="FG153" i="282"/>
  <c r="FF153" i="282"/>
  <c r="FE153" i="282"/>
  <c r="FD153" i="282"/>
  <c r="FC153" i="282"/>
  <c r="FB153" i="282"/>
  <c r="FA153" i="282"/>
  <c r="EZ153" i="282"/>
  <c r="EY153" i="282"/>
  <c r="EX153" i="282"/>
  <c r="EW153" i="282"/>
  <c r="EV153" i="282"/>
  <c r="EU153" i="282"/>
  <c r="ET153" i="282"/>
  <c r="ES153" i="282"/>
  <c r="ER153" i="282"/>
  <c r="EQ153" i="282"/>
  <c r="EP153" i="282"/>
  <c r="EO153" i="282"/>
  <c r="EN153" i="282"/>
  <c r="EM153" i="282"/>
  <c r="EL153" i="282"/>
  <c r="EK153" i="282"/>
  <c r="EJ153" i="282"/>
  <c r="EI153" i="282"/>
  <c r="EH153" i="282"/>
  <c r="EG153" i="282"/>
  <c r="EF153" i="282"/>
  <c r="EE153" i="282"/>
  <c r="ED153" i="282"/>
  <c r="EC153" i="282"/>
  <c r="EB153" i="282"/>
  <c r="EA153" i="282"/>
  <c r="DZ153" i="282"/>
  <c r="DY153" i="282"/>
  <c r="DX153" i="282"/>
  <c r="DW153" i="282"/>
  <c r="DV153" i="282"/>
  <c r="DU153" i="282"/>
  <c r="DT153" i="282"/>
  <c r="DS153" i="282"/>
  <c r="DR153" i="282"/>
  <c r="DQ153" i="282"/>
  <c r="DP153" i="282"/>
  <c r="DO153" i="282"/>
  <c r="DN153" i="282"/>
  <c r="DM153" i="282"/>
  <c r="DL153" i="282"/>
  <c r="DK153" i="282"/>
  <c r="DJ153" i="282"/>
  <c r="DI153" i="282"/>
  <c r="DH153" i="282"/>
  <c r="DG153" i="282"/>
  <c r="DF153" i="282"/>
  <c r="DE153" i="282"/>
  <c r="DD153" i="282"/>
  <c r="DC153" i="282"/>
  <c r="DB153" i="282"/>
  <c r="DA153" i="282"/>
  <c r="CZ153" i="282"/>
  <c r="CY153" i="282"/>
  <c r="CX153" i="282"/>
  <c r="CW153" i="282"/>
  <c r="I153" i="282"/>
  <c r="F153" i="282"/>
  <c r="E153" i="282"/>
  <c r="GJ152" i="282"/>
  <c r="GI152" i="282"/>
  <c r="GH152" i="282"/>
  <c r="GG152" i="282"/>
  <c r="GF152" i="282"/>
  <c r="GE152" i="282"/>
  <c r="GD152" i="282"/>
  <c r="GC152" i="282"/>
  <c r="GB152" i="282"/>
  <c r="GA152" i="282"/>
  <c r="FZ152" i="282"/>
  <c r="FY152" i="282"/>
  <c r="FX152" i="282"/>
  <c r="FW152" i="282"/>
  <c r="FV152" i="282"/>
  <c r="FU152" i="282"/>
  <c r="FT152" i="282"/>
  <c r="FS152" i="282"/>
  <c r="FR152" i="282"/>
  <c r="FQ152" i="282"/>
  <c r="FP152" i="282"/>
  <c r="FO152" i="282"/>
  <c r="FN152" i="282"/>
  <c r="FM152" i="282"/>
  <c r="FL152" i="282"/>
  <c r="FK152" i="282"/>
  <c r="FJ152" i="282"/>
  <c r="FI152" i="282"/>
  <c r="FH152" i="282"/>
  <c r="FG152" i="282"/>
  <c r="FF152" i="282"/>
  <c r="FE152" i="282"/>
  <c r="FD152" i="282"/>
  <c r="FC152" i="282"/>
  <c r="FB152" i="282"/>
  <c r="FA152" i="282"/>
  <c r="EZ152" i="282"/>
  <c r="EY152" i="282"/>
  <c r="EX152" i="282"/>
  <c r="EW152" i="282"/>
  <c r="EV152" i="282"/>
  <c r="EU152" i="282"/>
  <c r="ET152" i="282"/>
  <c r="ES152" i="282"/>
  <c r="ER152" i="282"/>
  <c r="EQ152" i="282"/>
  <c r="EP152" i="282"/>
  <c r="EO152" i="282"/>
  <c r="EN152" i="282"/>
  <c r="EM152" i="282"/>
  <c r="EL152" i="282"/>
  <c r="EK152" i="282"/>
  <c r="EJ152" i="282"/>
  <c r="EI152" i="282"/>
  <c r="EH152" i="282"/>
  <c r="EG152" i="282"/>
  <c r="EF152" i="282"/>
  <c r="EE152" i="282"/>
  <c r="ED152" i="282"/>
  <c r="EC152" i="282"/>
  <c r="EB152" i="282"/>
  <c r="EA152" i="282"/>
  <c r="DZ152" i="282"/>
  <c r="DY152" i="282"/>
  <c r="DX152" i="282"/>
  <c r="DW152" i="282"/>
  <c r="DV152" i="282"/>
  <c r="DU152" i="282"/>
  <c r="DT152" i="282"/>
  <c r="DS152" i="282"/>
  <c r="DR152" i="282"/>
  <c r="DQ152" i="282"/>
  <c r="DP152" i="282"/>
  <c r="DO152" i="282"/>
  <c r="DN152" i="282"/>
  <c r="DM152" i="282"/>
  <c r="DL152" i="282"/>
  <c r="DK152" i="282"/>
  <c r="DJ152" i="282"/>
  <c r="DI152" i="282"/>
  <c r="DH152" i="282"/>
  <c r="DG152" i="282"/>
  <c r="DF152" i="282"/>
  <c r="DE152" i="282"/>
  <c r="DD152" i="282"/>
  <c r="DC152" i="282"/>
  <c r="DB152" i="282"/>
  <c r="DA152" i="282"/>
  <c r="CZ152" i="282"/>
  <c r="CY152" i="282"/>
  <c r="CX152" i="282"/>
  <c r="CW152" i="282"/>
  <c r="I152" i="282"/>
  <c r="F152" i="282"/>
  <c r="E152" i="282"/>
  <c r="G151" i="282"/>
  <c r="E151" i="282"/>
  <c r="G145" i="282"/>
  <c r="E145" i="282"/>
  <c r="G144" i="282"/>
  <c r="G142" i="282"/>
  <c r="E142" i="282"/>
  <c r="G138" i="282"/>
  <c r="J135" i="282"/>
  <c r="J127" i="282"/>
  <c r="G135" i="282"/>
  <c r="G127" i="282"/>
  <c r="G132" i="282"/>
  <c r="G143" i="282"/>
  <c r="G128" i="282"/>
  <c r="G124" i="282"/>
  <c r="G136" i="282"/>
  <c r="G121" i="282"/>
  <c r="G117" i="282"/>
  <c r="G123" i="282"/>
  <c r="GJ115" i="282"/>
  <c r="GI115" i="282"/>
  <c r="GH115" i="282"/>
  <c r="GG115" i="282"/>
  <c r="GF115" i="282"/>
  <c r="GE115" i="282"/>
  <c r="GD115" i="282"/>
  <c r="GC115" i="282"/>
  <c r="GB115" i="282"/>
  <c r="GA115" i="282"/>
  <c r="FZ115" i="282"/>
  <c r="FY115" i="282"/>
  <c r="FX115" i="282"/>
  <c r="FW115" i="282"/>
  <c r="FV115" i="282"/>
  <c r="FU115" i="282"/>
  <c r="FT115" i="282"/>
  <c r="FS115" i="282"/>
  <c r="FR115" i="282"/>
  <c r="FQ115" i="282"/>
  <c r="FP115" i="282"/>
  <c r="FO115" i="282"/>
  <c r="FN115" i="282"/>
  <c r="FM115" i="282"/>
  <c r="FL115" i="282"/>
  <c r="FK115" i="282"/>
  <c r="FJ115" i="282"/>
  <c r="FI115" i="282"/>
  <c r="FH115" i="282"/>
  <c r="FG115" i="282"/>
  <c r="FF115" i="282"/>
  <c r="FE115" i="282"/>
  <c r="FD115" i="282"/>
  <c r="FC115" i="282"/>
  <c r="FB115" i="282"/>
  <c r="FA115" i="282"/>
  <c r="EZ115" i="282"/>
  <c r="EY115" i="282"/>
  <c r="EX115" i="282"/>
  <c r="EW115" i="282"/>
  <c r="EV115" i="282"/>
  <c r="EU115" i="282"/>
  <c r="ET115" i="282"/>
  <c r="ES115" i="282"/>
  <c r="ER115" i="282"/>
  <c r="EQ115" i="282"/>
  <c r="EP115" i="282"/>
  <c r="EO115" i="282"/>
  <c r="EN115" i="282"/>
  <c r="EM115" i="282"/>
  <c r="EL115" i="282"/>
  <c r="EK115" i="282"/>
  <c r="EJ115" i="282"/>
  <c r="EI115" i="282"/>
  <c r="EH115" i="282"/>
  <c r="EG115" i="282"/>
  <c r="EF115" i="282"/>
  <c r="EE115" i="282"/>
  <c r="ED115" i="282"/>
  <c r="EC115" i="282"/>
  <c r="EB115" i="282"/>
  <c r="EA115" i="282"/>
  <c r="DZ115" i="282"/>
  <c r="DY115" i="282"/>
  <c r="DX115" i="282"/>
  <c r="DW115" i="282"/>
  <c r="DV115" i="282"/>
  <c r="DU115" i="282"/>
  <c r="DT115" i="282"/>
  <c r="DS115" i="282"/>
  <c r="DR115" i="282"/>
  <c r="DQ115" i="282"/>
  <c r="DP115" i="282"/>
  <c r="DO115" i="282"/>
  <c r="DN115" i="282"/>
  <c r="DM115" i="282"/>
  <c r="DL115" i="282"/>
  <c r="DK115" i="282"/>
  <c r="DJ115" i="282"/>
  <c r="DI115" i="282"/>
  <c r="DH115" i="282"/>
  <c r="DG115" i="282"/>
  <c r="DF115" i="282"/>
  <c r="DE115" i="282"/>
  <c r="DD115" i="282"/>
  <c r="DC115" i="282"/>
  <c r="DB115" i="282"/>
  <c r="DA115" i="282"/>
  <c r="CZ115" i="282"/>
  <c r="CY115" i="282"/>
  <c r="CX115" i="282"/>
  <c r="CW115" i="282"/>
  <c r="I115" i="282"/>
  <c r="F115" i="282"/>
  <c r="E115" i="282"/>
  <c r="GJ114" i="282"/>
  <c r="GI114" i="282"/>
  <c r="GH114" i="282"/>
  <c r="GG114" i="282"/>
  <c r="GF114" i="282"/>
  <c r="GE114" i="282"/>
  <c r="GD114" i="282"/>
  <c r="GC114" i="282"/>
  <c r="GB114" i="282"/>
  <c r="GA114" i="282"/>
  <c r="FZ114" i="282"/>
  <c r="FY114" i="282"/>
  <c r="FX114" i="282"/>
  <c r="FW114" i="282"/>
  <c r="FV114" i="282"/>
  <c r="FU114" i="282"/>
  <c r="FT114" i="282"/>
  <c r="FS114" i="282"/>
  <c r="FR114" i="282"/>
  <c r="FQ114" i="282"/>
  <c r="FP114" i="282"/>
  <c r="FO114" i="282"/>
  <c r="FN114" i="282"/>
  <c r="FM114" i="282"/>
  <c r="FL114" i="282"/>
  <c r="FK114" i="282"/>
  <c r="FJ114" i="282"/>
  <c r="FI114" i="282"/>
  <c r="FH114" i="282"/>
  <c r="FG114" i="282"/>
  <c r="FF114" i="282"/>
  <c r="FE114" i="282"/>
  <c r="FD114" i="282"/>
  <c r="FC114" i="282"/>
  <c r="FB114" i="282"/>
  <c r="FA114" i="282"/>
  <c r="EZ114" i="282"/>
  <c r="EY114" i="282"/>
  <c r="EX114" i="282"/>
  <c r="EW114" i="282"/>
  <c r="EV114" i="282"/>
  <c r="EU114" i="282"/>
  <c r="ET114" i="282"/>
  <c r="ES114" i="282"/>
  <c r="ER114" i="282"/>
  <c r="EQ114" i="282"/>
  <c r="EP114" i="282"/>
  <c r="EO114" i="282"/>
  <c r="EN114" i="282"/>
  <c r="EM114" i="282"/>
  <c r="EL114" i="282"/>
  <c r="EK114" i="282"/>
  <c r="EJ114" i="282"/>
  <c r="EI114" i="282"/>
  <c r="EH114" i="282"/>
  <c r="EG114" i="282"/>
  <c r="EF114" i="282"/>
  <c r="EE114" i="282"/>
  <c r="ED114" i="282"/>
  <c r="EC114" i="282"/>
  <c r="EB114" i="282"/>
  <c r="EA114" i="282"/>
  <c r="DZ114" i="282"/>
  <c r="DY114" i="282"/>
  <c r="DX114" i="282"/>
  <c r="DW114" i="282"/>
  <c r="DV114" i="282"/>
  <c r="DU114" i="282"/>
  <c r="DT114" i="282"/>
  <c r="DS114" i="282"/>
  <c r="DR114" i="282"/>
  <c r="DQ114" i="282"/>
  <c r="DP114" i="282"/>
  <c r="DO114" i="282"/>
  <c r="DN114" i="282"/>
  <c r="DM114" i="282"/>
  <c r="DL114" i="282"/>
  <c r="DK114" i="282"/>
  <c r="DJ114" i="282"/>
  <c r="DI114" i="282"/>
  <c r="DH114" i="282"/>
  <c r="DG114" i="282"/>
  <c r="DF114" i="282"/>
  <c r="DE114" i="282"/>
  <c r="DD114" i="282"/>
  <c r="DC114" i="282"/>
  <c r="DB114" i="282"/>
  <c r="DA114" i="282"/>
  <c r="CZ114" i="282"/>
  <c r="CY114" i="282"/>
  <c r="CX114" i="282"/>
  <c r="CW114" i="282"/>
  <c r="I114" i="282"/>
  <c r="F114" i="282"/>
  <c r="E114" i="282"/>
  <c r="GJ113" i="282"/>
  <c r="GJ117" i="282"/>
  <c r="GJ123" i="282"/>
  <c r="GI113" i="282"/>
  <c r="GH113" i="282"/>
  <c r="GG113" i="282"/>
  <c r="GF113" i="282"/>
  <c r="GF117" i="282"/>
  <c r="GF123" i="282"/>
  <c r="GE113" i="282"/>
  <c r="GD113" i="282"/>
  <c r="GC113" i="282"/>
  <c r="GB113" i="282"/>
  <c r="GB117" i="282"/>
  <c r="GB123" i="282"/>
  <c r="GA113" i="282"/>
  <c r="FZ113" i="282"/>
  <c r="FY113" i="282"/>
  <c r="FX113" i="282"/>
  <c r="FX117" i="282"/>
  <c r="FX123" i="282"/>
  <c r="FW113" i="282"/>
  <c r="FV113" i="282"/>
  <c r="FU113" i="282"/>
  <c r="FT113" i="282"/>
  <c r="FT117" i="282"/>
  <c r="FT123" i="282"/>
  <c r="FS113" i="282"/>
  <c r="FR113" i="282"/>
  <c r="FQ113" i="282"/>
  <c r="FP113" i="282"/>
  <c r="FP117" i="282"/>
  <c r="FP123" i="282"/>
  <c r="FO113" i="282"/>
  <c r="FN113" i="282"/>
  <c r="FM113" i="282"/>
  <c r="FL113" i="282"/>
  <c r="FL117" i="282"/>
  <c r="FL123" i="282"/>
  <c r="FK113" i="282"/>
  <c r="FJ113" i="282"/>
  <c r="FI113" i="282"/>
  <c r="FH113" i="282"/>
  <c r="FH117" i="282"/>
  <c r="FH123" i="282"/>
  <c r="FG113" i="282"/>
  <c r="FF113" i="282"/>
  <c r="FE113" i="282"/>
  <c r="FD113" i="282"/>
  <c r="FD117" i="282"/>
  <c r="FD123" i="282"/>
  <c r="FC113" i="282"/>
  <c r="FB113" i="282"/>
  <c r="FA113" i="282"/>
  <c r="EZ113" i="282"/>
  <c r="EZ117" i="282"/>
  <c r="EZ123" i="282"/>
  <c r="EY113" i="282"/>
  <c r="EX113" i="282"/>
  <c r="EW113" i="282"/>
  <c r="EV113" i="282"/>
  <c r="EV117" i="282"/>
  <c r="EV123" i="282"/>
  <c r="EU113" i="282"/>
  <c r="ET113" i="282"/>
  <c r="ES113" i="282"/>
  <c r="ER113" i="282"/>
  <c r="ER117" i="282"/>
  <c r="ER123" i="282"/>
  <c r="EQ113" i="282"/>
  <c r="EP113" i="282"/>
  <c r="EO113" i="282"/>
  <c r="EN113" i="282"/>
  <c r="EN117" i="282"/>
  <c r="EN123" i="282"/>
  <c r="EM113" i="282"/>
  <c r="EL113" i="282"/>
  <c r="EK113" i="282"/>
  <c r="EJ113" i="282"/>
  <c r="EJ117" i="282"/>
  <c r="EJ123" i="282"/>
  <c r="EI113" i="282"/>
  <c r="EH113" i="282"/>
  <c r="EG113" i="282"/>
  <c r="EF113" i="282"/>
  <c r="EF117" i="282"/>
  <c r="EF123" i="282"/>
  <c r="EE113" i="282"/>
  <c r="ED113" i="282"/>
  <c r="EC113" i="282"/>
  <c r="EB113" i="282"/>
  <c r="EB117" i="282"/>
  <c r="EB123" i="282"/>
  <c r="EA113" i="282"/>
  <c r="DZ113" i="282"/>
  <c r="DY113" i="282"/>
  <c r="DX113" i="282"/>
  <c r="DX117" i="282"/>
  <c r="DX123" i="282"/>
  <c r="DW113" i="282"/>
  <c r="DV113" i="282"/>
  <c r="DU113" i="282"/>
  <c r="DT113" i="282"/>
  <c r="DT117" i="282"/>
  <c r="DT123" i="282"/>
  <c r="DS113" i="282"/>
  <c r="DR113" i="282"/>
  <c r="DQ113" i="282"/>
  <c r="DP113" i="282"/>
  <c r="DP117" i="282"/>
  <c r="DP123" i="282"/>
  <c r="DO113" i="282"/>
  <c r="DN113" i="282"/>
  <c r="DM113" i="282"/>
  <c r="DL113" i="282"/>
  <c r="DL117" i="282"/>
  <c r="DL123" i="282"/>
  <c r="DK113" i="282"/>
  <c r="DJ113" i="282"/>
  <c r="DI113" i="282"/>
  <c r="DH113" i="282"/>
  <c r="DH117" i="282"/>
  <c r="DH123" i="282"/>
  <c r="DG113" i="282"/>
  <c r="DF113" i="282"/>
  <c r="DE113" i="282"/>
  <c r="DD113" i="282"/>
  <c r="DD117" i="282"/>
  <c r="DD123" i="282"/>
  <c r="DC113" i="282"/>
  <c r="DB113" i="282"/>
  <c r="DA113" i="282"/>
  <c r="CZ113" i="282"/>
  <c r="CZ117" i="282"/>
  <c r="CZ123" i="282"/>
  <c r="CY113" i="282"/>
  <c r="CX113" i="282"/>
  <c r="CW113" i="282"/>
  <c r="I113" i="282"/>
  <c r="F113" i="282"/>
  <c r="E113" i="282"/>
  <c r="E75" i="282"/>
  <c r="F75" i="282"/>
  <c r="I75" i="282"/>
  <c r="CW75" i="282"/>
  <c r="CX75" i="282"/>
  <c r="CY75" i="282"/>
  <c r="CZ75" i="282"/>
  <c r="DA75" i="282"/>
  <c r="DB75" i="282"/>
  <c r="DC75" i="282"/>
  <c r="DD75" i="282"/>
  <c r="DE75" i="282"/>
  <c r="DF75" i="282"/>
  <c r="DG75" i="282"/>
  <c r="DH75" i="282"/>
  <c r="DI75" i="282"/>
  <c r="DJ75" i="282"/>
  <c r="DK75" i="282"/>
  <c r="DL75" i="282"/>
  <c r="DM75" i="282"/>
  <c r="DN75" i="282"/>
  <c r="DO75" i="282"/>
  <c r="DP75" i="282"/>
  <c r="DQ75" i="282"/>
  <c r="DR75" i="282"/>
  <c r="DS75" i="282"/>
  <c r="DT75" i="282"/>
  <c r="DU75" i="282"/>
  <c r="DV75" i="282"/>
  <c r="DW75" i="282"/>
  <c r="DX75" i="282"/>
  <c r="DY75" i="282"/>
  <c r="DZ75" i="282"/>
  <c r="EA75" i="282"/>
  <c r="EB75" i="282"/>
  <c r="EC75" i="282"/>
  <c r="ED75" i="282"/>
  <c r="EE75" i="282"/>
  <c r="EF75" i="282"/>
  <c r="EG75" i="282"/>
  <c r="EH75" i="282"/>
  <c r="EI75" i="282"/>
  <c r="EJ75" i="282"/>
  <c r="EK75" i="282"/>
  <c r="EL75" i="282"/>
  <c r="EM75" i="282"/>
  <c r="EN75" i="282"/>
  <c r="EO75" i="282"/>
  <c r="EP75" i="282"/>
  <c r="EQ75" i="282"/>
  <c r="ER75" i="282"/>
  <c r="ES75" i="282"/>
  <c r="ET75" i="282"/>
  <c r="EU75" i="282"/>
  <c r="EV75" i="282"/>
  <c r="EW75" i="282"/>
  <c r="EX75" i="282"/>
  <c r="EY75" i="282"/>
  <c r="EZ75" i="282"/>
  <c r="FA75" i="282"/>
  <c r="FB75" i="282"/>
  <c r="FC75" i="282"/>
  <c r="FD75" i="282"/>
  <c r="FE75" i="282"/>
  <c r="FF75" i="282"/>
  <c r="FG75" i="282"/>
  <c r="FH75" i="282"/>
  <c r="FI75" i="282"/>
  <c r="FJ75" i="282"/>
  <c r="FK75" i="282"/>
  <c r="FL75" i="282"/>
  <c r="FM75" i="282"/>
  <c r="FN75" i="282"/>
  <c r="FO75" i="282"/>
  <c r="FP75" i="282"/>
  <c r="FQ75" i="282"/>
  <c r="FR75" i="282"/>
  <c r="FS75" i="282"/>
  <c r="FT75" i="282"/>
  <c r="FU75" i="282"/>
  <c r="FV75" i="282"/>
  <c r="FW75" i="282"/>
  <c r="FX75" i="282"/>
  <c r="FY75" i="282"/>
  <c r="FZ75" i="282"/>
  <c r="GA75" i="282"/>
  <c r="GB75" i="282"/>
  <c r="GC75" i="282"/>
  <c r="GD75" i="282"/>
  <c r="GE75" i="282"/>
  <c r="GF75" i="282"/>
  <c r="GG75" i="282"/>
  <c r="GH75" i="282"/>
  <c r="GI75" i="282"/>
  <c r="GJ75" i="282"/>
  <c r="E59" i="282"/>
  <c r="F59" i="282"/>
  <c r="H59" i="282"/>
  <c r="I59" i="282"/>
  <c r="CW59" i="282"/>
  <c r="CX59" i="282"/>
  <c r="CY59" i="282"/>
  <c r="CZ59" i="282"/>
  <c r="DA59" i="282"/>
  <c r="DB59" i="282"/>
  <c r="DC59" i="282"/>
  <c r="DD59" i="282"/>
  <c r="DE59" i="282"/>
  <c r="DF59" i="282"/>
  <c r="DG59" i="282"/>
  <c r="DH59" i="282"/>
  <c r="DI59" i="282"/>
  <c r="DJ59" i="282"/>
  <c r="DK59" i="282"/>
  <c r="DL59" i="282"/>
  <c r="DM59" i="282"/>
  <c r="DN59" i="282"/>
  <c r="DO59" i="282"/>
  <c r="DP59" i="282"/>
  <c r="DQ59" i="282"/>
  <c r="DR59" i="282"/>
  <c r="DS59" i="282"/>
  <c r="DT59" i="282"/>
  <c r="DU59" i="282"/>
  <c r="DV59" i="282"/>
  <c r="DW59" i="282"/>
  <c r="DX59" i="282"/>
  <c r="DY59" i="282"/>
  <c r="DZ59" i="282"/>
  <c r="EA59" i="282"/>
  <c r="EB59" i="282"/>
  <c r="EC59" i="282"/>
  <c r="ED59" i="282"/>
  <c r="EE59" i="282"/>
  <c r="EF59" i="282"/>
  <c r="EG59" i="282"/>
  <c r="EH59" i="282"/>
  <c r="EI59" i="282"/>
  <c r="EJ59" i="282"/>
  <c r="EK59" i="282"/>
  <c r="EL59" i="282"/>
  <c r="EM59" i="282"/>
  <c r="EN59" i="282"/>
  <c r="EO59" i="282"/>
  <c r="EP59" i="282"/>
  <c r="EQ59" i="282"/>
  <c r="ER59" i="282"/>
  <c r="ES59" i="282"/>
  <c r="ET59" i="282"/>
  <c r="EU59" i="282"/>
  <c r="EV59" i="282"/>
  <c r="EW59" i="282"/>
  <c r="EX59" i="282"/>
  <c r="EY59" i="282"/>
  <c r="EZ59" i="282"/>
  <c r="FA59" i="282"/>
  <c r="FB59" i="282"/>
  <c r="FC59" i="282"/>
  <c r="FD59" i="282"/>
  <c r="FE59" i="282"/>
  <c r="FF59" i="282"/>
  <c r="FG59" i="282"/>
  <c r="FH59" i="282"/>
  <c r="FI59" i="282"/>
  <c r="FJ59" i="282"/>
  <c r="FK59" i="282"/>
  <c r="FL59" i="282"/>
  <c r="FM59" i="282"/>
  <c r="FN59" i="282"/>
  <c r="FO59" i="282"/>
  <c r="FP59" i="282"/>
  <c r="FQ59" i="282"/>
  <c r="FR59" i="282"/>
  <c r="FS59" i="282"/>
  <c r="FT59" i="282"/>
  <c r="FU59" i="282"/>
  <c r="FV59" i="282"/>
  <c r="FW59" i="282"/>
  <c r="FX59" i="282"/>
  <c r="FY59" i="282"/>
  <c r="FZ59" i="282"/>
  <c r="GA59" i="282"/>
  <c r="GB59" i="282"/>
  <c r="GC59" i="282"/>
  <c r="GD59" i="282"/>
  <c r="GE59" i="282"/>
  <c r="GF59" i="282"/>
  <c r="GG59" i="282"/>
  <c r="GH59" i="282"/>
  <c r="GI59" i="282"/>
  <c r="GJ59" i="282"/>
  <c r="E69" i="282"/>
  <c r="F69" i="282"/>
  <c r="I69" i="282"/>
  <c r="CW69" i="282"/>
  <c r="CX69" i="282"/>
  <c r="CY69" i="282"/>
  <c r="CZ69" i="282"/>
  <c r="DA69" i="282"/>
  <c r="DB69" i="282"/>
  <c r="DC69" i="282"/>
  <c r="DD69" i="282"/>
  <c r="DE69" i="282"/>
  <c r="DF69" i="282"/>
  <c r="DG69" i="282"/>
  <c r="DH69" i="282"/>
  <c r="DI69" i="282"/>
  <c r="DJ69" i="282"/>
  <c r="DK69" i="282"/>
  <c r="DL69" i="282"/>
  <c r="DM69" i="282"/>
  <c r="DN69" i="282"/>
  <c r="DO69" i="282"/>
  <c r="DP69" i="282"/>
  <c r="DQ69" i="282"/>
  <c r="DR69" i="282"/>
  <c r="DS69" i="282"/>
  <c r="DT69" i="282"/>
  <c r="DU69" i="282"/>
  <c r="DV69" i="282"/>
  <c r="DW69" i="282"/>
  <c r="DX69" i="282"/>
  <c r="DY69" i="282"/>
  <c r="DZ69" i="282"/>
  <c r="EA69" i="282"/>
  <c r="EB69" i="282"/>
  <c r="EC69" i="282"/>
  <c r="ED69" i="282"/>
  <c r="EE69" i="282"/>
  <c r="EF69" i="282"/>
  <c r="EG69" i="282"/>
  <c r="EH69" i="282"/>
  <c r="EI69" i="282"/>
  <c r="EJ69" i="282"/>
  <c r="EK69" i="282"/>
  <c r="EL69" i="282"/>
  <c r="EM69" i="282"/>
  <c r="EN69" i="282"/>
  <c r="EO69" i="282"/>
  <c r="EP69" i="282"/>
  <c r="EQ69" i="282"/>
  <c r="ER69" i="282"/>
  <c r="ES69" i="282"/>
  <c r="ET69" i="282"/>
  <c r="EU69" i="282"/>
  <c r="EV69" i="282"/>
  <c r="EW69" i="282"/>
  <c r="EX69" i="282"/>
  <c r="EY69" i="282"/>
  <c r="EZ69" i="282"/>
  <c r="FA69" i="282"/>
  <c r="FB69" i="282"/>
  <c r="FC69" i="282"/>
  <c r="FD69" i="282"/>
  <c r="FE69" i="282"/>
  <c r="FF69" i="282"/>
  <c r="FG69" i="282"/>
  <c r="FH69" i="282"/>
  <c r="FI69" i="282"/>
  <c r="FJ69" i="282"/>
  <c r="FK69" i="282"/>
  <c r="FL69" i="282"/>
  <c r="FM69" i="282"/>
  <c r="FN69" i="282"/>
  <c r="FO69" i="282"/>
  <c r="FP69" i="282"/>
  <c r="FQ69" i="282"/>
  <c r="FR69" i="282"/>
  <c r="FS69" i="282"/>
  <c r="FT69" i="282"/>
  <c r="FU69" i="282"/>
  <c r="FV69" i="282"/>
  <c r="FW69" i="282"/>
  <c r="FX69" i="282"/>
  <c r="FY69" i="282"/>
  <c r="FZ69" i="282"/>
  <c r="GA69" i="282"/>
  <c r="GB69" i="282"/>
  <c r="GC69" i="282"/>
  <c r="GD69" i="282"/>
  <c r="GE69" i="282"/>
  <c r="GF69" i="282"/>
  <c r="GG69" i="282"/>
  <c r="GH69" i="282"/>
  <c r="GI69" i="282"/>
  <c r="GJ69" i="282"/>
  <c r="E68" i="282"/>
  <c r="F68" i="282"/>
  <c r="I68" i="282"/>
  <c r="CW68" i="282"/>
  <c r="CX68" i="282"/>
  <c r="CY68" i="282"/>
  <c r="CZ68" i="282"/>
  <c r="DA68" i="282"/>
  <c r="DB68" i="282"/>
  <c r="DC68" i="282"/>
  <c r="DD68" i="282"/>
  <c r="DE68" i="282"/>
  <c r="DF68" i="282"/>
  <c r="DG68" i="282"/>
  <c r="DH68" i="282"/>
  <c r="DI68" i="282"/>
  <c r="DJ68" i="282"/>
  <c r="DK68" i="282"/>
  <c r="DL68" i="282"/>
  <c r="DM68" i="282"/>
  <c r="DN68" i="282"/>
  <c r="DO68" i="282"/>
  <c r="DP68" i="282"/>
  <c r="DQ68" i="282"/>
  <c r="DR68" i="282"/>
  <c r="DS68" i="282"/>
  <c r="DT68" i="282"/>
  <c r="DU68" i="282"/>
  <c r="DV68" i="282"/>
  <c r="DW68" i="282"/>
  <c r="DX68" i="282"/>
  <c r="DY68" i="282"/>
  <c r="DZ68" i="282"/>
  <c r="EA68" i="282"/>
  <c r="EB68" i="282"/>
  <c r="EC68" i="282"/>
  <c r="ED68" i="282"/>
  <c r="EE68" i="282"/>
  <c r="EF68" i="282"/>
  <c r="EG68" i="282"/>
  <c r="EH68" i="282"/>
  <c r="EI68" i="282"/>
  <c r="EJ68" i="282"/>
  <c r="EK68" i="282"/>
  <c r="EL68" i="282"/>
  <c r="EM68" i="282"/>
  <c r="EN68" i="282"/>
  <c r="EO68" i="282"/>
  <c r="EP68" i="282"/>
  <c r="EQ68" i="282"/>
  <c r="ER68" i="282"/>
  <c r="ES68" i="282"/>
  <c r="ET68" i="282"/>
  <c r="EU68" i="282"/>
  <c r="EV68" i="282"/>
  <c r="EW68" i="282"/>
  <c r="EX68" i="282"/>
  <c r="EY68" i="282"/>
  <c r="EZ68" i="282"/>
  <c r="FA68" i="282"/>
  <c r="FB68" i="282"/>
  <c r="FC68" i="282"/>
  <c r="FD68" i="282"/>
  <c r="FE68" i="282"/>
  <c r="FF68" i="282"/>
  <c r="FG68" i="282"/>
  <c r="FH68" i="282"/>
  <c r="FI68" i="282"/>
  <c r="FJ68" i="282"/>
  <c r="FK68" i="282"/>
  <c r="FL68" i="282"/>
  <c r="FM68" i="282"/>
  <c r="FN68" i="282"/>
  <c r="FO68" i="282"/>
  <c r="FP68" i="282"/>
  <c r="FQ68" i="282"/>
  <c r="FR68" i="282"/>
  <c r="FS68" i="282"/>
  <c r="FT68" i="282"/>
  <c r="FU68" i="282"/>
  <c r="FV68" i="282"/>
  <c r="FW68" i="282"/>
  <c r="FX68" i="282"/>
  <c r="FY68" i="282"/>
  <c r="FZ68" i="282"/>
  <c r="GA68" i="282"/>
  <c r="GB68" i="282"/>
  <c r="GC68" i="282"/>
  <c r="GD68" i="282"/>
  <c r="GE68" i="282"/>
  <c r="GF68" i="282"/>
  <c r="GG68" i="282"/>
  <c r="GH68" i="282"/>
  <c r="GI68" i="282"/>
  <c r="GJ68" i="282"/>
  <c r="E125" i="265"/>
  <c r="E125" i="277"/>
  <c r="F125" i="265"/>
  <c r="F125" i="277"/>
  <c r="H125" i="265"/>
  <c r="I125" i="265"/>
  <c r="F113" i="269"/>
  <c r="F35" i="265"/>
  <c r="F112" i="269"/>
  <c r="F110" i="269"/>
  <c r="F106" i="269"/>
  <c r="F28" i="265"/>
  <c r="F105" i="269"/>
  <c r="F22" i="265"/>
  <c r="F99" i="269"/>
  <c r="F94" i="269"/>
  <c r="F14" i="265"/>
  <c r="F93" i="269"/>
  <c r="F13" i="265"/>
  <c r="F92" i="269"/>
  <c r="F90" i="269"/>
  <c r="BC33" i="277"/>
  <c r="BD33" i="277"/>
  <c r="F32" i="265"/>
  <c r="F32" i="277"/>
  <c r="I32" i="265"/>
  <c r="CW32" i="265"/>
  <c r="CX32" i="265"/>
  <c r="CY32" i="265"/>
  <c r="CZ32" i="265"/>
  <c r="DA32" i="265"/>
  <c r="DB32" i="265"/>
  <c r="DC32" i="265"/>
  <c r="DD32" i="265"/>
  <c r="DE32" i="265"/>
  <c r="DF32" i="265"/>
  <c r="DG32" i="265"/>
  <c r="DH32" i="265"/>
  <c r="DI32" i="265"/>
  <c r="DJ32" i="265"/>
  <c r="DK32" i="265"/>
  <c r="DL32" i="265"/>
  <c r="DM32" i="265"/>
  <c r="DN32" i="265"/>
  <c r="DO32" i="265"/>
  <c r="DP32" i="265"/>
  <c r="DQ32" i="265"/>
  <c r="DR32" i="265"/>
  <c r="DS32" i="265"/>
  <c r="DT32" i="265"/>
  <c r="DU32" i="265"/>
  <c r="DV32" i="265"/>
  <c r="DW32" i="265"/>
  <c r="DX32" i="265"/>
  <c r="DY32" i="265"/>
  <c r="DZ32" i="265"/>
  <c r="EA32" i="265"/>
  <c r="EB32" i="265"/>
  <c r="EC32" i="265"/>
  <c r="ED32" i="265"/>
  <c r="EE32" i="265"/>
  <c r="EF32" i="265"/>
  <c r="EG32" i="265"/>
  <c r="EH32" i="265"/>
  <c r="EI32" i="265"/>
  <c r="EJ32" i="265"/>
  <c r="EK32" i="265"/>
  <c r="EL32" i="265"/>
  <c r="EM32" i="265"/>
  <c r="EN32" i="265"/>
  <c r="EO32" i="265"/>
  <c r="EP32" i="265"/>
  <c r="EQ32" i="265"/>
  <c r="ER32" i="265"/>
  <c r="ES32" i="265"/>
  <c r="ET32" i="265"/>
  <c r="EU32" i="265"/>
  <c r="EV32" i="265"/>
  <c r="EW32" i="265"/>
  <c r="EX32" i="265"/>
  <c r="EY32" i="265"/>
  <c r="EZ32" i="265"/>
  <c r="FA32" i="265"/>
  <c r="FB32" i="265"/>
  <c r="FC32" i="265"/>
  <c r="FD32" i="265"/>
  <c r="FE32" i="265"/>
  <c r="FF32" i="265"/>
  <c r="FG32" i="265"/>
  <c r="FH32" i="265"/>
  <c r="FI32" i="265"/>
  <c r="FJ32" i="265"/>
  <c r="FK32" i="265"/>
  <c r="FL32" i="265"/>
  <c r="FM32" i="265"/>
  <c r="FN32" i="265"/>
  <c r="FO32" i="265"/>
  <c r="FP32" i="265"/>
  <c r="FQ32" i="265"/>
  <c r="FR32" i="265"/>
  <c r="FS32" i="265"/>
  <c r="FT32" i="265"/>
  <c r="FU32" i="265"/>
  <c r="FV32" i="265"/>
  <c r="FW32" i="265"/>
  <c r="FX32" i="265"/>
  <c r="FY32" i="265"/>
  <c r="FZ32" i="265"/>
  <c r="GA32" i="265"/>
  <c r="GB32" i="265"/>
  <c r="GC32" i="265"/>
  <c r="GD32" i="265"/>
  <c r="GE32" i="265"/>
  <c r="GF32" i="265"/>
  <c r="GG32" i="265"/>
  <c r="GH32" i="265"/>
  <c r="GI32" i="265"/>
  <c r="GJ32" i="265"/>
  <c r="G88" i="282"/>
  <c r="G32" i="265"/>
  <c r="G109" i="269"/>
  <c r="E88" i="282"/>
  <c r="E32" i="265"/>
  <c r="E93" i="282"/>
  <c r="F93" i="282"/>
  <c r="I93" i="282"/>
  <c r="G94" i="282"/>
  <c r="G125" i="265"/>
  <c r="J92" i="282"/>
  <c r="G92" i="282"/>
  <c r="G87" i="282"/>
  <c r="GJ84" i="282"/>
  <c r="GI84" i="282"/>
  <c r="GH84" i="282"/>
  <c r="GG84" i="282"/>
  <c r="GF84" i="282"/>
  <c r="GE84" i="282"/>
  <c r="GD84" i="282"/>
  <c r="GC84" i="282"/>
  <c r="GB84" i="282"/>
  <c r="GA84" i="282"/>
  <c r="FZ84" i="282"/>
  <c r="FY84" i="282"/>
  <c r="FX84" i="282"/>
  <c r="FW84" i="282"/>
  <c r="FV84" i="282"/>
  <c r="FU84" i="282"/>
  <c r="FT84" i="282"/>
  <c r="FS84" i="282"/>
  <c r="FR84" i="282"/>
  <c r="FQ84" i="282"/>
  <c r="FP84" i="282"/>
  <c r="FO84" i="282"/>
  <c r="FN84" i="282"/>
  <c r="FM84" i="282"/>
  <c r="FL84" i="282"/>
  <c r="FK84" i="282"/>
  <c r="FJ84" i="282"/>
  <c r="FI84" i="282"/>
  <c r="FH84" i="282"/>
  <c r="FG84" i="282"/>
  <c r="FF84" i="282"/>
  <c r="FE84" i="282"/>
  <c r="FD84" i="282"/>
  <c r="FC84" i="282"/>
  <c r="FB84" i="282"/>
  <c r="FA84" i="282"/>
  <c r="EZ84" i="282"/>
  <c r="EY84" i="282"/>
  <c r="EX84" i="282"/>
  <c r="EW84" i="282"/>
  <c r="EV84" i="282"/>
  <c r="EU84" i="282"/>
  <c r="ET84" i="282"/>
  <c r="ES84" i="282"/>
  <c r="ER84" i="282"/>
  <c r="EQ84" i="282"/>
  <c r="EP84" i="282"/>
  <c r="EO84" i="282"/>
  <c r="EN84" i="282"/>
  <c r="EM84" i="282"/>
  <c r="EL84" i="282"/>
  <c r="EK84" i="282"/>
  <c r="EJ84" i="282"/>
  <c r="EI84" i="282"/>
  <c r="EH84" i="282"/>
  <c r="EG84" i="282"/>
  <c r="EF84" i="282"/>
  <c r="EE84" i="282"/>
  <c r="ED84" i="282"/>
  <c r="EC84" i="282"/>
  <c r="EB84" i="282"/>
  <c r="EA84" i="282"/>
  <c r="DZ84" i="282"/>
  <c r="DY84" i="282"/>
  <c r="DX84" i="282"/>
  <c r="DW84" i="282"/>
  <c r="DV84" i="282"/>
  <c r="DU84" i="282"/>
  <c r="DT84" i="282"/>
  <c r="DS84" i="282"/>
  <c r="DR84" i="282"/>
  <c r="DQ84" i="282"/>
  <c r="DP84" i="282"/>
  <c r="DO84" i="282"/>
  <c r="DN84" i="282"/>
  <c r="DM84" i="282"/>
  <c r="DL84" i="282"/>
  <c r="DK84" i="282"/>
  <c r="DJ84" i="282"/>
  <c r="DI84" i="282"/>
  <c r="DH84" i="282"/>
  <c r="DG84" i="282"/>
  <c r="DF84" i="282"/>
  <c r="DE84" i="282"/>
  <c r="DD84" i="282"/>
  <c r="DC84" i="282"/>
  <c r="DB84" i="282"/>
  <c r="DA84" i="282"/>
  <c r="CZ84" i="282"/>
  <c r="CY84" i="282"/>
  <c r="CX84" i="282"/>
  <c r="CW84" i="282"/>
  <c r="I84" i="282"/>
  <c r="F84" i="282"/>
  <c r="E84" i="282"/>
  <c r="GJ86" i="282"/>
  <c r="GI86" i="282"/>
  <c r="GH86" i="282"/>
  <c r="GG86" i="282"/>
  <c r="GF86" i="282"/>
  <c r="GE86" i="282"/>
  <c r="GD86" i="282"/>
  <c r="GC86" i="282"/>
  <c r="GB86" i="282"/>
  <c r="GA86" i="282"/>
  <c r="FZ86" i="282"/>
  <c r="FY86" i="282"/>
  <c r="FX86" i="282"/>
  <c r="FW86" i="282"/>
  <c r="FV86" i="282"/>
  <c r="FU86" i="282"/>
  <c r="FT86" i="282"/>
  <c r="FS86" i="282"/>
  <c r="FR86" i="282"/>
  <c r="FQ86" i="282"/>
  <c r="FP86" i="282"/>
  <c r="FO86" i="282"/>
  <c r="FN86" i="282"/>
  <c r="FM86" i="282"/>
  <c r="FL86" i="282"/>
  <c r="FK86" i="282"/>
  <c r="FJ86" i="282"/>
  <c r="FI86" i="282"/>
  <c r="FH86" i="282"/>
  <c r="FG86" i="282"/>
  <c r="FF86" i="282"/>
  <c r="FE86" i="282"/>
  <c r="FD86" i="282"/>
  <c r="FC86" i="282"/>
  <c r="FB86" i="282"/>
  <c r="FA86" i="282"/>
  <c r="EZ86" i="282"/>
  <c r="EY86" i="282"/>
  <c r="EX86" i="282"/>
  <c r="EW86" i="282"/>
  <c r="EV86" i="282"/>
  <c r="EU86" i="282"/>
  <c r="ET86" i="282"/>
  <c r="ES86" i="282"/>
  <c r="ER86" i="282"/>
  <c r="EQ86" i="282"/>
  <c r="EP86" i="282"/>
  <c r="EO86" i="282"/>
  <c r="EN86" i="282"/>
  <c r="EM86" i="282"/>
  <c r="EL86" i="282"/>
  <c r="EK86" i="282"/>
  <c r="EJ86" i="282"/>
  <c r="EI86" i="282"/>
  <c r="EH86" i="282"/>
  <c r="EG86" i="282"/>
  <c r="EF86" i="282"/>
  <c r="EE86" i="282"/>
  <c r="ED86" i="282"/>
  <c r="EC86" i="282"/>
  <c r="EB86" i="282"/>
  <c r="EA86" i="282"/>
  <c r="DZ86" i="282"/>
  <c r="DY86" i="282"/>
  <c r="DX86" i="282"/>
  <c r="DW86" i="282"/>
  <c r="DV86" i="282"/>
  <c r="DU86" i="282"/>
  <c r="DT86" i="282"/>
  <c r="DS86" i="282"/>
  <c r="DR86" i="282"/>
  <c r="DQ86" i="282"/>
  <c r="DP86" i="282"/>
  <c r="DO86" i="282"/>
  <c r="DN86" i="282"/>
  <c r="DM86" i="282"/>
  <c r="DL86" i="282"/>
  <c r="DK86" i="282"/>
  <c r="DJ86" i="282"/>
  <c r="DI86" i="282"/>
  <c r="DH86" i="282"/>
  <c r="DG86" i="282"/>
  <c r="DF86" i="282"/>
  <c r="DE86" i="282"/>
  <c r="DD86" i="282"/>
  <c r="DC86" i="282"/>
  <c r="DB86" i="282"/>
  <c r="DA86" i="282"/>
  <c r="CZ86" i="282"/>
  <c r="CY86" i="282"/>
  <c r="CX86" i="282"/>
  <c r="CW86" i="282"/>
  <c r="I86" i="282"/>
  <c r="F86" i="282"/>
  <c r="E86" i="282"/>
  <c r="GJ85" i="282"/>
  <c r="GI85" i="282"/>
  <c r="GH85" i="282"/>
  <c r="GG85" i="282"/>
  <c r="GF85" i="282"/>
  <c r="GE85" i="282"/>
  <c r="GD85" i="282"/>
  <c r="GC85" i="282"/>
  <c r="GB85" i="282"/>
  <c r="GA85" i="282"/>
  <c r="FZ85" i="282"/>
  <c r="FY85" i="282"/>
  <c r="FX85" i="282"/>
  <c r="FW85" i="282"/>
  <c r="FV85" i="282"/>
  <c r="FU85" i="282"/>
  <c r="FT85" i="282"/>
  <c r="FS85" i="282"/>
  <c r="FR85" i="282"/>
  <c r="FQ85" i="282"/>
  <c r="FP85" i="282"/>
  <c r="FO85" i="282"/>
  <c r="FN85" i="282"/>
  <c r="FM85" i="282"/>
  <c r="FL85" i="282"/>
  <c r="FK85" i="282"/>
  <c r="FJ85" i="282"/>
  <c r="FI85" i="282"/>
  <c r="FH85" i="282"/>
  <c r="FG85" i="282"/>
  <c r="FF85" i="282"/>
  <c r="FE85" i="282"/>
  <c r="FD85" i="282"/>
  <c r="FC85" i="282"/>
  <c r="FB85" i="282"/>
  <c r="FA85" i="282"/>
  <c r="EZ85" i="282"/>
  <c r="EY85" i="282"/>
  <c r="EX85" i="282"/>
  <c r="EW85" i="282"/>
  <c r="EV85" i="282"/>
  <c r="EU85" i="282"/>
  <c r="ET85" i="282"/>
  <c r="ES85" i="282"/>
  <c r="ER85" i="282"/>
  <c r="EQ85" i="282"/>
  <c r="EP85" i="282"/>
  <c r="EO85" i="282"/>
  <c r="EN85" i="282"/>
  <c r="EM85" i="282"/>
  <c r="EL85" i="282"/>
  <c r="EK85" i="282"/>
  <c r="EJ85" i="282"/>
  <c r="EI85" i="282"/>
  <c r="EH85" i="282"/>
  <c r="EG85" i="282"/>
  <c r="EF85" i="282"/>
  <c r="EE85" i="282"/>
  <c r="ED85" i="282"/>
  <c r="EC85" i="282"/>
  <c r="EB85" i="282"/>
  <c r="EA85" i="282"/>
  <c r="DZ85" i="282"/>
  <c r="DY85" i="282"/>
  <c r="DX85" i="282"/>
  <c r="DW85" i="282"/>
  <c r="DV85" i="282"/>
  <c r="DU85" i="282"/>
  <c r="DT85" i="282"/>
  <c r="DS85" i="282"/>
  <c r="DR85" i="282"/>
  <c r="DQ85" i="282"/>
  <c r="DP85" i="282"/>
  <c r="DO85" i="282"/>
  <c r="DN85" i="282"/>
  <c r="DM85" i="282"/>
  <c r="DL85" i="282"/>
  <c r="DK85" i="282"/>
  <c r="DJ85" i="282"/>
  <c r="DI85" i="282"/>
  <c r="DH85" i="282"/>
  <c r="DG85" i="282"/>
  <c r="DF85" i="282"/>
  <c r="DE85" i="282"/>
  <c r="DD85" i="282"/>
  <c r="DC85" i="282"/>
  <c r="DB85" i="282"/>
  <c r="DA85" i="282"/>
  <c r="CZ85" i="282"/>
  <c r="CY85" i="282"/>
  <c r="CX85" i="282"/>
  <c r="CW85" i="282"/>
  <c r="I85" i="282"/>
  <c r="F85" i="282"/>
  <c r="E85" i="282"/>
  <c r="G83" i="282"/>
  <c r="E83" i="282"/>
  <c r="GJ46" i="265"/>
  <c r="GI46" i="265"/>
  <c r="GH46" i="265"/>
  <c r="GG46" i="265"/>
  <c r="GF46" i="265"/>
  <c r="GE46" i="265"/>
  <c r="GD46" i="265"/>
  <c r="GC46" i="265"/>
  <c r="GB46" i="265"/>
  <c r="GA46" i="265"/>
  <c r="FZ46" i="265"/>
  <c r="FY46" i="265"/>
  <c r="FX46" i="265"/>
  <c r="FW46" i="265"/>
  <c r="FV46" i="265"/>
  <c r="FU46" i="265"/>
  <c r="FT46" i="265"/>
  <c r="FS46" i="265"/>
  <c r="FR46" i="265"/>
  <c r="FQ46" i="265"/>
  <c r="FP46" i="265"/>
  <c r="FO46" i="265"/>
  <c r="FN46" i="265"/>
  <c r="FM46" i="265"/>
  <c r="FL46" i="265"/>
  <c r="FK46" i="265"/>
  <c r="FJ46" i="265"/>
  <c r="FI46" i="265"/>
  <c r="FH46" i="265"/>
  <c r="FG46" i="265"/>
  <c r="FF46" i="265"/>
  <c r="FE46" i="265"/>
  <c r="FD46" i="265"/>
  <c r="FC46" i="265"/>
  <c r="FB46" i="265"/>
  <c r="FA46" i="265"/>
  <c r="EZ46" i="265"/>
  <c r="EY46" i="265"/>
  <c r="EX46" i="265"/>
  <c r="EW46" i="265"/>
  <c r="EV46" i="265"/>
  <c r="EU46" i="265"/>
  <c r="ET46" i="265"/>
  <c r="ES46" i="265"/>
  <c r="ER46" i="265"/>
  <c r="EQ46" i="265"/>
  <c r="EP46" i="265"/>
  <c r="EO46" i="265"/>
  <c r="EN46" i="265"/>
  <c r="EM46" i="265"/>
  <c r="EL46" i="265"/>
  <c r="EK46" i="265"/>
  <c r="EJ46" i="265"/>
  <c r="EI46" i="265"/>
  <c r="EH46" i="265"/>
  <c r="EG46" i="265"/>
  <c r="EF46" i="265"/>
  <c r="EE46" i="265"/>
  <c r="ED46" i="265"/>
  <c r="EC46" i="265"/>
  <c r="EB46" i="265"/>
  <c r="EA46" i="265"/>
  <c r="DZ46" i="265"/>
  <c r="DY46" i="265"/>
  <c r="DX46" i="265"/>
  <c r="DW46" i="265"/>
  <c r="DV46" i="265"/>
  <c r="DU46" i="265"/>
  <c r="DT46" i="265"/>
  <c r="DS46" i="265"/>
  <c r="DR46" i="265"/>
  <c r="DQ46" i="265"/>
  <c r="DP46" i="265"/>
  <c r="DO46" i="265"/>
  <c r="DN46" i="265"/>
  <c r="DM46" i="265"/>
  <c r="DL46" i="265"/>
  <c r="DK46" i="265"/>
  <c r="DJ46" i="265"/>
  <c r="DI46" i="265"/>
  <c r="DH46" i="265"/>
  <c r="DG46" i="265"/>
  <c r="DF46" i="265"/>
  <c r="DE46" i="265"/>
  <c r="DD46" i="265"/>
  <c r="DC46" i="265"/>
  <c r="DB46" i="265"/>
  <c r="DA46" i="265"/>
  <c r="CZ46" i="265"/>
  <c r="CY46" i="265"/>
  <c r="CX46" i="265"/>
  <c r="CW46" i="265"/>
  <c r="I46" i="265"/>
  <c r="F46" i="265"/>
  <c r="F46" i="277"/>
  <c r="F31" i="265"/>
  <c r="I31" i="265"/>
  <c r="CW31" i="265"/>
  <c r="CX31" i="265"/>
  <c r="CY31" i="265"/>
  <c r="CZ31" i="265"/>
  <c r="DA31" i="265"/>
  <c r="DB31" i="265"/>
  <c r="DC31" i="265"/>
  <c r="DD31" i="265"/>
  <c r="DE31" i="265"/>
  <c r="DE33" i="265"/>
  <c r="DF31" i="265"/>
  <c r="DG31" i="265"/>
  <c r="DH31" i="265"/>
  <c r="DI31" i="265"/>
  <c r="DJ31" i="265"/>
  <c r="DK31" i="265"/>
  <c r="DL31" i="265"/>
  <c r="DM31" i="265"/>
  <c r="DN31" i="265"/>
  <c r="DO31" i="265"/>
  <c r="DP31" i="265"/>
  <c r="DQ31" i="265"/>
  <c r="DQ33" i="265"/>
  <c r="DR31" i="265"/>
  <c r="DS31" i="265"/>
  <c r="DT31" i="265"/>
  <c r="DU31" i="265"/>
  <c r="DU33" i="265"/>
  <c r="DV31" i="265"/>
  <c r="DW31" i="265"/>
  <c r="DX31" i="265"/>
  <c r="DY31" i="265"/>
  <c r="DZ31" i="265"/>
  <c r="EA31" i="265"/>
  <c r="EB31" i="265"/>
  <c r="EC31" i="265"/>
  <c r="ED31" i="265"/>
  <c r="EE31" i="265"/>
  <c r="EF31" i="265"/>
  <c r="EG31" i="265"/>
  <c r="EG33" i="265"/>
  <c r="EH31" i="265"/>
  <c r="EI31" i="265"/>
  <c r="EJ31" i="265"/>
  <c r="EK31" i="265"/>
  <c r="EK33" i="265"/>
  <c r="EL31" i="265"/>
  <c r="EM31" i="265"/>
  <c r="EN31" i="265"/>
  <c r="EO31" i="265"/>
  <c r="EP31" i="265"/>
  <c r="EQ31" i="265"/>
  <c r="ER31" i="265"/>
  <c r="ES31" i="265"/>
  <c r="ET31" i="265"/>
  <c r="EU31" i="265"/>
  <c r="EV31" i="265"/>
  <c r="EW31" i="265"/>
  <c r="EW33" i="265"/>
  <c r="EX31" i="265"/>
  <c r="EY31" i="265"/>
  <c r="EZ31" i="265"/>
  <c r="FA31" i="265"/>
  <c r="FA33" i="265"/>
  <c r="FB31" i="265"/>
  <c r="FC31" i="265"/>
  <c r="FD31" i="265"/>
  <c r="FE31" i="265"/>
  <c r="FF31" i="265"/>
  <c r="FG31" i="265"/>
  <c r="FH31" i="265"/>
  <c r="FI31" i="265"/>
  <c r="FJ31" i="265"/>
  <c r="FK31" i="265"/>
  <c r="FL31" i="265"/>
  <c r="FM31" i="265"/>
  <c r="FM33" i="265"/>
  <c r="FN31" i="265"/>
  <c r="FO31" i="265"/>
  <c r="FP31" i="265"/>
  <c r="FQ31" i="265"/>
  <c r="FQ33" i="265"/>
  <c r="FR31" i="265"/>
  <c r="FS31" i="265"/>
  <c r="FT31" i="265"/>
  <c r="FU31" i="265"/>
  <c r="FV31" i="265"/>
  <c r="FW31" i="265"/>
  <c r="FX31" i="265"/>
  <c r="FY31" i="265"/>
  <c r="FZ31" i="265"/>
  <c r="GA31" i="265"/>
  <c r="GB31" i="265"/>
  <c r="GC31" i="265"/>
  <c r="GC33" i="265"/>
  <c r="GD31" i="265"/>
  <c r="GE31" i="265"/>
  <c r="GF31" i="265"/>
  <c r="GG31" i="265"/>
  <c r="GG33" i="265"/>
  <c r="GH31" i="265"/>
  <c r="GI31" i="265"/>
  <c r="GJ31" i="265"/>
  <c r="I55" i="282"/>
  <c r="F55" i="282"/>
  <c r="E55" i="282"/>
  <c r="E52" i="282"/>
  <c r="F52" i="282"/>
  <c r="I52" i="282"/>
  <c r="G49" i="282"/>
  <c r="E48" i="282"/>
  <c r="F48" i="282"/>
  <c r="I48" i="282"/>
  <c r="CW48" i="282"/>
  <c r="CX48" i="282"/>
  <c r="CY48" i="282"/>
  <c r="CZ48" i="282"/>
  <c r="DA48" i="282"/>
  <c r="DB48" i="282"/>
  <c r="DC48" i="282"/>
  <c r="DD48" i="282"/>
  <c r="DE48" i="282"/>
  <c r="DF48" i="282"/>
  <c r="DG48" i="282"/>
  <c r="DH48" i="282"/>
  <c r="DI48" i="282"/>
  <c r="DJ48" i="282"/>
  <c r="DK48" i="282"/>
  <c r="DL48" i="282"/>
  <c r="DM48" i="282"/>
  <c r="DN48" i="282"/>
  <c r="DO48" i="282"/>
  <c r="DP48" i="282"/>
  <c r="DQ48" i="282"/>
  <c r="DR48" i="282"/>
  <c r="DS48" i="282"/>
  <c r="DT48" i="282"/>
  <c r="DU48" i="282"/>
  <c r="DV48" i="282"/>
  <c r="DW48" i="282"/>
  <c r="DX48" i="282"/>
  <c r="DY48" i="282"/>
  <c r="DZ48" i="282"/>
  <c r="EA48" i="282"/>
  <c r="EB48" i="282"/>
  <c r="EC48" i="282"/>
  <c r="ED48" i="282"/>
  <c r="EE48" i="282"/>
  <c r="EF48" i="282"/>
  <c r="EG48" i="282"/>
  <c r="EH48" i="282"/>
  <c r="EI48" i="282"/>
  <c r="EJ48" i="282"/>
  <c r="EK48" i="282"/>
  <c r="EL48" i="282"/>
  <c r="EM48" i="282"/>
  <c r="EN48" i="282"/>
  <c r="EO48" i="282"/>
  <c r="EP48" i="282"/>
  <c r="EQ48" i="282"/>
  <c r="ER48" i="282"/>
  <c r="ES48" i="282"/>
  <c r="ET48" i="282"/>
  <c r="EU48" i="282"/>
  <c r="EV48" i="282"/>
  <c r="EW48" i="282"/>
  <c r="EX48" i="282"/>
  <c r="EY48" i="282"/>
  <c r="EZ48" i="282"/>
  <c r="FA48" i="282"/>
  <c r="FB48" i="282"/>
  <c r="FC48" i="282"/>
  <c r="FD48" i="282"/>
  <c r="FE48" i="282"/>
  <c r="FF48" i="282"/>
  <c r="FG48" i="282"/>
  <c r="FH48" i="282"/>
  <c r="FI48" i="282"/>
  <c r="FJ48" i="282"/>
  <c r="FK48" i="282"/>
  <c r="FL48" i="282"/>
  <c r="FM48" i="282"/>
  <c r="FN48" i="282"/>
  <c r="FO48" i="282"/>
  <c r="FP48" i="282"/>
  <c r="FQ48" i="282"/>
  <c r="FR48" i="282"/>
  <c r="FS48" i="282"/>
  <c r="FT48" i="282"/>
  <c r="FU48" i="282"/>
  <c r="FV48" i="282"/>
  <c r="FW48" i="282"/>
  <c r="FX48" i="282"/>
  <c r="FY48" i="282"/>
  <c r="FZ48" i="282"/>
  <c r="GA48" i="282"/>
  <c r="GB48" i="282"/>
  <c r="GC48" i="282"/>
  <c r="GD48" i="282"/>
  <c r="GE48" i="282"/>
  <c r="GF48" i="282"/>
  <c r="GG48" i="282"/>
  <c r="GH48" i="282"/>
  <c r="GI48" i="282"/>
  <c r="GJ48" i="282"/>
  <c r="E47" i="282"/>
  <c r="F47" i="282"/>
  <c r="I47" i="282"/>
  <c r="CW47" i="282"/>
  <c r="CX47" i="282"/>
  <c r="CY47" i="282"/>
  <c r="CZ47" i="282"/>
  <c r="DA47" i="282"/>
  <c r="DB47" i="282"/>
  <c r="DC47" i="282"/>
  <c r="DD47" i="282"/>
  <c r="DE47" i="282"/>
  <c r="DF47" i="282"/>
  <c r="DG47" i="282"/>
  <c r="DH47" i="282"/>
  <c r="DI47" i="282"/>
  <c r="DJ47" i="282"/>
  <c r="DK47" i="282"/>
  <c r="DL47" i="282"/>
  <c r="DM47" i="282"/>
  <c r="DN47" i="282"/>
  <c r="DO47" i="282"/>
  <c r="DP47" i="282"/>
  <c r="DQ47" i="282"/>
  <c r="DR47" i="282"/>
  <c r="DS47" i="282"/>
  <c r="DT47" i="282"/>
  <c r="DU47" i="282"/>
  <c r="DV47" i="282"/>
  <c r="DW47" i="282"/>
  <c r="DX47" i="282"/>
  <c r="DY47" i="282"/>
  <c r="DZ47" i="282"/>
  <c r="EA47" i="282"/>
  <c r="EB47" i="282"/>
  <c r="EC47" i="282"/>
  <c r="ED47" i="282"/>
  <c r="EE47" i="282"/>
  <c r="EF47" i="282"/>
  <c r="EG47" i="282"/>
  <c r="EH47" i="282"/>
  <c r="EI47" i="282"/>
  <c r="EJ47" i="282"/>
  <c r="EK47" i="282"/>
  <c r="EL47" i="282"/>
  <c r="EM47" i="282"/>
  <c r="EN47" i="282"/>
  <c r="EO47" i="282"/>
  <c r="EP47" i="282"/>
  <c r="EQ47" i="282"/>
  <c r="ER47" i="282"/>
  <c r="ES47" i="282"/>
  <c r="ET47" i="282"/>
  <c r="EU47" i="282"/>
  <c r="EV47" i="282"/>
  <c r="EW47" i="282"/>
  <c r="EX47" i="282"/>
  <c r="EY47" i="282"/>
  <c r="EZ47" i="282"/>
  <c r="FA47" i="282"/>
  <c r="FB47" i="282"/>
  <c r="FC47" i="282"/>
  <c r="FD47" i="282"/>
  <c r="FE47" i="282"/>
  <c r="FF47" i="282"/>
  <c r="FG47" i="282"/>
  <c r="FH47" i="282"/>
  <c r="FI47" i="282"/>
  <c r="FJ47" i="282"/>
  <c r="FK47" i="282"/>
  <c r="FL47" i="282"/>
  <c r="FM47" i="282"/>
  <c r="FN47" i="282"/>
  <c r="FO47" i="282"/>
  <c r="FP47" i="282"/>
  <c r="FQ47" i="282"/>
  <c r="FR47" i="282"/>
  <c r="FS47" i="282"/>
  <c r="FT47" i="282"/>
  <c r="FU47" i="282"/>
  <c r="FV47" i="282"/>
  <c r="FW47" i="282"/>
  <c r="FX47" i="282"/>
  <c r="FY47" i="282"/>
  <c r="FZ47" i="282"/>
  <c r="GA47" i="282"/>
  <c r="GB47" i="282"/>
  <c r="GC47" i="282"/>
  <c r="GD47" i="282"/>
  <c r="GE47" i="282"/>
  <c r="GF47" i="282"/>
  <c r="GG47" i="282"/>
  <c r="GH47" i="282"/>
  <c r="GI47" i="282"/>
  <c r="GJ47" i="282"/>
  <c r="E46" i="282"/>
  <c r="F46" i="282"/>
  <c r="I46" i="282"/>
  <c r="CW46" i="282"/>
  <c r="CX46" i="282"/>
  <c r="CY46" i="282"/>
  <c r="CZ46" i="282"/>
  <c r="DA46" i="282"/>
  <c r="DB46" i="282"/>
  <c r="DC46" i="282"/>
  <c r="DD46" i="282"/>
  <c r="DE46" i="282"/>
  <c r="DF46" i="282"/>
  <c r="DG46" i="282"/>
  <c r="DH46" i="282"/>
  <c r="DI46" i="282"/>
  <c r="DJ46" i="282"/>
  <c r="DK46" i="282"/>
  <c r="DL46" i="282"/>
  <c r="DM46" i="282"/>
  <c r="DN46" i="282"/>
  <c r="DO46" i="282"/>
  <c r="DP46" i="282"/>
  <c r="DQ46" i="282"/>
  <c r="DR46" i="282"/>
  <c r="DS46" i="282"/>
  <c r="DT46" i="282"/>
  <c r="DU46" i="282"/>
  <c r="DV46" i="282"/>
  <c r="DW46" i="282"/>
  <c r="DX46" i="282"/>
  <c r="DY46" i="282"/>
  <c r="DZ46" i="282"/>
  <c r="EA46" i="282"/>
  <c r="EB46" i="282"/>
  <c r="EC46" i="282"/>
  <c r="ED46" i="282"/>
  <c r="EE46" i="282"/>
  <c r="EF46" i="282"/>
  <c r="EG46" i="282"/>
  <c r="EH46" i="282"/>
  <c r="EI46" i="282"/>
  <c r="EJ46" i="282"/>
  <c r="EK46" i="282"/>
  <c r="EL46" i="282"/>
  <c r="EM46" i="282"/>
  <c r="EN46" i="282"/>
  <c r="EO46" i="282"/>
  <c r="EP46" i="282"/>
  <c r="EQ46" i="282"/>
  <c r="ER46" i="282"/>
  <c r="ES46" i="282"/>
  <c r="ET46" i="282"/>
  <c r="EU46" i="282"/>
  <c r="EV46" i="282"/>
  <c r="EW46" i="282"/>
  <c r="EX46" i="282"/>
  <c r="EY46" i="282"/>
  <c r="EZ46" i="282"/>
  <c r="FA46" i="282"/>
  <c r="FB46" i="282"/>
  <c r="FC46" i="282"/>
  <c r="FD46" i="282"/>
  <c r="FE46" i="282"/>
  <c r="FF46" i="282"/>
  <c r="FG46" i="282"/>
  <c r="FH46" i="282"/>
  <c r="FI46" i="282"/>
  <c r="FJ46" i="282"/>
  <c r="FK46" i="282"/>
  <c r="FL46" i="282"/>
  <c r="FM46" i="282"/>
  <c r="FN46" i="282"/>
  <c r="FO46" i="282"/>
  <c r="FP46" i="282"/>
  <c r="FQ46" i="282"/>
  <c r="FR46" i="282"/>
  <c r="FS46" i="282"/>
  <c r="FT46" i="282"/>
  <c r="FU46" i="282"/>
  <c r="FV46" i="282"/>
  <c r="FW46" i="282"/>
  <c r="FX46" i="282"/>
  <c r="FY46" i="282"/>
  <c r="FZ46" i="282"/>
  <c r="GA46" i="282"/>
  <c r="GB46" i="282"/>
  <c r="GC46" i="282"/>
  <c r="GD46" i="282"/>
  <c r="GE46" i="282"/>
  <c r="GF46" i="282"/>
  <c r="GG46" i="282"/>
  <c r="GH46" i="282"/>
  <c r="GI46" i="282"/>
  <c r="GJ46" i="282"/>
  <c r="E45" i="282"/>
  <c r="F45" i="282"/>
  <c r="I45" i="282"/>
  <c r="CW45" i="282"/>
  <c r="CX45" i="282"/>
  <c r="CY45" i="282"/>
  <c r="CZ45" i="282"/>
  <c r="DA45" i="282"/>
  <c r="DB45" i="282"/>
  <c r="DC45" i="282"/>
  <c r="DD45" i="282"/>
  <c r="DE45" i="282"/>
  <c r="DF45" i="282"/>
  <c r="DG45" i="282"/>
  <c r="DH45" i="282"/>
  <c r="DI45" i="282"/>
  <c r="DJ45" i="282"/>
  <c r="DK45" i="282"/>
  <c r="DL45" i="282"/>
  <c r="DM45" i="282"/>
  <c r="DN45" i="282"/>
  <c r="DO45" i="282"/>
  <c r="DP45" i="282"/>
  <c r="DQ45" i="282"/>
  <c r="DR45" i="282"/>
  <c r="DS45" i="282"/>
  <c r="DT45" i="282"/>
  <c r="DU45" i="282"/>
  <c r="DV45" i="282"/>
  <c r="DW45" i="282"/>
  <c r="DX45" i="282"/>
  <c r="DY45" i="282"/>
  <c r="DZ45" i="282"/>
  <c r="EA45" i="282"/>
  <c r="EB45" i="282"/>
  <c r="EC45" i="282"/>
  <c r="ED45" i="282"/>
  <c r="EE45" i="282"/>
  <c r="EF45" i="282"/>
  <c r="EG45" i="282"/>
  <c r="EH45" i="282"/>
  <c r="EI45" i="282"/>
  <c r="EJ45" i="282"/>
  <c r="EK45" i="282"/>
  <c r="EL45" i="282"/>
  <c r="EM45" i="282"/>
  <c r="EN45" i="282"/>
  <c r="EO45" i="282"/>
  <c r="EP45" i="282"/>
  <c r="EQ45" i="282"/>
  <c r="ER45" i="282"/>
  <c r="ES45" i="282"/>
  <c r="ET45" i="282"/>
  <c r="EU45" i="282"/>
  <c r="EV45" i="282"/>
  <c r="EW45" i="282"/>
  <c r="EX45" i="282"/>
  <c r="EY45" i="282"/>
  <c r="EZ45" i="282"/>
  <c r="FA45" i="282"/>
  <c r="FB45" i="282"/>
  <c r="FC45" i="282"/>
  <c r="FD45" i="282"/>
  <c r="FE45" i="282"/>
  <c r="FF45" i="282"/>
  <c r="FG45" i="282"/>
  <c r="FH45" i="282"/>
  <c r="FI45" i="282"/>
  <c r="FJ45" i="282"/>
  <c r="FK45" i="282"/>
  <c r="FL45" i="282"/>
  <c r="FM45" i="282"/>
  <c r="FN45" i="282"/>
  <c r="FO45" i="282"/>
  <c r="FP45" i="282"/>
  <c r="FQ45" i="282"/>
  <c r="FR45" i="282"/>
  <c r="FS45" i="282"/>
  <c r="FT45" i="282"/>
  <c r="FU45" i="282"/>
  <c r="FV45" i="282"/>
  <c r="FW45" i="282"/>
  <c r="FX45" i="282"/>
  <c r="FY45" i="282"/>
  <c r="FZ45" i="282"/>
  <c r="GA45" i="282"/>
  <c r="GB45" i="282"/>
  <c r="GC45" i="282"/>
  <c r="GD45" i="282"/>
  <c r="GE45" i="282"/>
  <c r="GF45" i="282"/>
  <c r="GG45" i="282"/>
  <c r="GH45" i="282"/>
  <c r="GI45" i="282"/>
  <c r="GJ45" i="282"/>
  <c r="E44" i="282"/>
  <c r="F44" i="282"/>
  <c r="I44" i="282"/>
  <c r="CW44" i="282"/>
  <c r="CX44" i="282"/>
  <c r="CY44" i="282"/>
  <c r="CZ44" i="282"/>
  <c r="DA44" i="282"/>
  <c r="DB44" i="282"/>
  <c r="DC44" i="282"/>
  <c r="DD44" i="282"/>
  <c r="DE44" i="282"/>
  <c r="DF44" i="282"/>
  <c r="DG44" i="282"/>
  <c r="DH44" i="282"/>
  <c r="DI44" i="282"/>
  <c r="DJ44" i="282"/>
  <c r="DK44" i="282"/>
  <c r="DL44" i="282"/>
  <c r="DM44" i="282"/>
  <c r="DN44" i="282"/>
  <c r="DO44" i="282"/>
  <c r="DP44" i="282"/>
  <c r="DQ44" i="282"/>
  <c r="DR44" i="282"/>
  <c r="DS44" i="282"/>
  <c r="DT44" i="282"/>
  <c r="DU44" i="282"/>
  <c r="DV44" i="282"/>
  <c r="DW44" i="282"/>
  <c r="DX44" i="282"/>
  <c r="DY44" i="282"/>
  <c r="DZ44" i="282"/>
  <c r="EA44" i="282"/>
  <c r="EB44" i="282"/>
  <c r="EC44" i="282"/>
  <c r="ED44" i="282"/>
  <c r="EE44" i="282"/>
  <c r="EF44" i="282"/>
  <c r="EG44" i="282"/>
  <c r="EH44" i="282"/>
  <c r="EI44" i="282"/>
  <c r="EJ44" i="282"/>
  <c r="EK44" i="282"/>
  <c r="EL44" i="282"/>
  <c r="EM44" i="282"/>
  <c r="EN44" i="282"/>
  <c r="EO44" i="282"/>
  <c r="EP44" i="282"/>
  <c r="EQ44" i="282"/>
  <c r="ER44" i="282"/>
  <c r="ES44" i="282"/>
  <c r="ET44" i="282"/>
  <c r="EU44" i="282"/>
  <c r="EV44" i="282"/>
  <c r="EW44" i="282"/>
  <c r="EX44" i="282"/>
  <c r="EY44" i="282"/>
  <c r="EZ44" i="282"/>
  <c r="FA44" i="282"/>
  <c r="FB44" i="282"/>
  <c r="FC44" i="282"/>
  <c r="FD44" i="282"/>
  <c r="FE44" i="282"/>
  <c r="FF44" i="282"/>
  <c r="FG44" i="282"/>
  <c r="FH44" i="282"/>
  <c r="FI44" i="282"/>
  <c r="FJ44" i="282"/>
  <c r="FK44" i="282"/>
  <c r="FL44" i="282"/>
  <c r="FM44" i="282"/>
  <c r="FN44" i="282"/>
  <c r="FO44" i="282"/>
  <c r="FP44" i="282"/>
  <c r="FQ44" i="282"/>
  <c r="FR44" i="282"/>
  <c r="FS44" i="282"/>
  <c r="FT44" i="282"/>
  <c r="FU44" i="282"/>
  <c r="FV44" i="282"/>
  <c r="FW44" i="282"/>
  <c r="FX44" i="282"/>
  <c r="FY44" i="282"/>
  <c r="FZ44" i="282"/>
  <c r="GA44" i="282"/>
  <c r="GB44" i="282"/>
  <c r="GC44" i="282"/>
  <c r="GD44" i="282"/>
  <c r="GE44" i="282"/>
  <c r="GF44" i="282"/>
  <c r="GG44" i="282"/>
  <c r="GH44" i="282"/>
  <c r="GI44" i="282"/>
  <c r="GJ44" i="282"/>
  <c r="J5" i="269"/>
  <c r="G271" i="307"/>
  <c r="G43" i="310"/>
  <c r="G81" i="269"/>
  <c r="E43" i="310"/>
  <c r="E81" i="269"/>
  <c r="F160" i="328"/>
  <c r="J674" i="307"/>
  <c r="CV29" i="314"/>
  <c r="CV32" i="314"/>
  <c r="J34" i="326"/>
  <c r="E267" i="307"/>
  <c r="G267" i="307"/>
  <c r="I5" i="48"/>
  <c r="F43" i="310"/>
  <c r="I43" i="310"/>
  <c r="E595" i="307"/>
  <c r="F595" i="307"/>
  <c r="I595" i="307"/>
  <c r="E30" i="307"/>
  <c r="F30" i="307"/>
  <c r="I30" i="307"/>
  <c r="E269" i="307"/>
  <c r="F269" i="307"/>
  <c r="G265" i="307"/>
  <c r="G269" i="307"/>
  <c r="H269" i="307"/>
  <c r="I269" i="307"/>
  <c r="F68" i="307"/>
  <c r="I270" i="307"/>
  <c r="G270" i="307"/>
  <c r="F270" i="307"/>
  <c r="E270" i="307"/>
  <c r="G268" i="307"/>
  <c r="E268" i="307"/>
  <c r="G222" i="306"/>
  <c r="E68" i="307"/>
  <c r="I264" i="307"/>
  <c r="H264" i="307"/>
  <c r="G257" i="307"/>
  <c r="G264" i="307"/>
  <c r="F264" i="307"/>
  <c r="E264" i="307"/>
  <c r="G377" i="48"/>
  <c r="E263" i="307"/>
  <c r="G63" i="306"/>
  <c r="G23" i="310"/>
  <c r="G61" i="269"/>
  <c r="E23" i="310"/>
  <c r="E61" i="269"/>
  <c r="F281" i="307"/>
  <c r="F111" i="305"/>
  <c r="J114" i="305"/>
  <c r="K114" i="305"/>
  <c r="L114" i="305"/>
  <c r="M114" i="305"/>
  <c r="N114" i="305"/>
  <c r="O114" i="305"/>
  <c r="P114" i="305"/>
  <c r="Q114" i="305"/>
  <c r="R114" i="305"/>
  <c r="S114" i="305"/>
  <c r="T114" i="305"/>
  <c r="U114" i="305"/>
  <c r="V114" i="305"/>
  <c r="W114" i="305"/>
  <c r="X114" i="305"/>
  <c r="Y114" i="305"/>
  <c r="Z114" i="305"/>
  <c r="AA114" i="305"/>
  <c r="AB114" i="305"/>
  <c r="AC114" i="305"/>
  <c r="AD114" i="305"/>
  <c r="AE114" i="305"/>
  <c r="AF114" i="305"/>
  <c r="AG114" i="305"/>
  <c r="AH114" i="305"/>
  <c r="AI114" i="305"/>
  <c r="AJ114" i="305"/>
  <c r="AK114" i="305"/>
  <c r="AL114" i="305"/>
  <c r="AM114" i="305"/>
  <c r="AN114" i="305"/>
  <c r="AO114" i="305"/>
  <c r="AP114" i="305"/>
  <c r="AQ114" i="305"/>
  <c r="AR114" i="305"/>
  <c r="AS114" i="305"/>
  <c r="AT114" i="305"/>
  <c r="AU114" i="305"/>
  <c r="AV114" i="305"/>
  <c r="AW114" i="305"/>
  <c r="AX114" i="305"/>
  <c r="AY114" i="305"/>
  <c r="AZ114" i="305"/>
  <c r="BA114" i="305"/>
  <c r="BB114" i="305"/>
  <c r="BC114" i="305"/>
  <c r="BD114" i="305"/>
  <c r="R282" i="307"/>
  <c r="J282" i="307"/>
  <c r="K282" i="307"/>
  <c r="L282" i="307"/>
  <c r="M282" i="307"/>
  <c r="N282" i="307"/>
  <c r="O282" i="307"/>
  <c r="P282" i="307"/>
  <c r="Q282" i="307"/>
  <c r="S282" i="307"/>
  <c r="T282" i="307"/>
  <c r="U282" i="307"/>
  <c r="V282" i="307"/>
  <c r="W282" i="307"/>
  <c r="X282" i="307"/>
  <c r="Y282" i="307"/>
  <c r="Z282" i="307"/>
  <c r="AA282" i="307"/>
  <c r="AB282" i="307"/>
  <c r="AC282" i="307"/>
  <c r="AD282" i="307"/>
  <c r="AE282" i="307"/>
  <c r="AF282" i="307"/>
  <c r="AG282" i="307"/>
  <c r="AH282" i="307"/>
  <c r="AI282" i="307"/>
  <c r="AJ282" i="307"/>
  <c r="AK282" i="307"/>
  <c r="AL282" i="307"/>
  <c r="AM282" i="307"/>
  <c r="AN282" i="307"/>
  <c r="AO282" i="307"/>
  <c r="AP282" i="307"/>
  <c r="AQ282" i="307"/>
  <c r="AR282" i="307"/>
  <c r="AS282" i="307"/>
  <c r="AT282" i="307"/>
  <c r="AU282" i="307"/>
  <c r="AV282" i="307"/>
  <c r="AW282" i="307"/>
  <c r="AX282" i="307"/>
  <c r="AY282" i="307"/>
  <c r="AZ282" i="307"/>
  <c r="BA282" i="307"/>
  <c r="BB282" i="307"/>
  <c r="BC282" i="307"/>
  <c r="BD282" i="307"/>
  <c r="BE282" i="307"/>
  <c r="E287" i="307"/>
  <c r="F287" i="307"/>
  <c r="G279" i="307"/>
  <c r="G287" i="307"/>
  <c r="I287" i="307"/>
  <c r="G277" i="307"/>
  <c r="E277" i="307"/>
  <c r="I278" i="307"/>
  <c r="G53" i="306"/>
  <c r="G278" i="307"/>
  <c r="F278" i="307"/>
  <c r="E278" i="307"/>
  <c r="F94" i="278"/>
  <c r="F96" i="278"/>
  <c r="F89" i="278"/>
  <c r="F95" i="278"/>
  <c r="BE114" i="305"/>
  <c r="J664" i="321"/>
  <c r="J643" i="321"/>
  <c r="J657" i="321"/>
  <c r="J527" i="321"/>
  <c r="J496" i="321"/>
  <c r="F495" i="321"/>
  <c r="J122" i="286"/>
  <c r="J138" i="286"/>
  <c r="J196" i="278"/>
  <c r="J283" i="278"/>
  <c r="J298" i="278"/>
  <c r="J290" i="278"/>
  <c r="E197" i="288"/>
  <c r="F197" i="288"/>
  <c r="G194" i="288"/>
  <c r="G197" i="288"/>
  <c r="I197" i="288"/>
  <c r="J673" i="307"/>
  <c r="I193" i="288"/>
  <c r="G508" i="321"/>
  <c r="G193" i="288"/>
  <c r="F193" i="288"/>
  <c r="E193" i="288"/>
  <c r="I192" i="288"/>
  <c r="G148" i="286"/>
  <c r="G192" i="288"/>
  <c r="F192" i="288"/>
  <c r="E192" i="288"/>
  <c r="G191" i="288"/>
  <c r="E191" i="288"/>
  <c r="F254" i="273"/>
  <c r="I258" i="273"/>
  <c r="J663" i="307"/>
  <c r="J668" i="307"/>
  <c r="J220" i="307"/>
  <c r="J618" i="307"/>
  <c r="J643" i="307"/>
  <c r="F115" i="273"/>
  <c r="K220" i="307"/>
  <c r="BF678" i="321"/>
  <c r="BF685" i="321"/>
  <c r="BF686" i="321"/>
  <c r="BG678" i="321"/>
  <c r="BG685" i="321"/>
  <c r="BG686" i="321"/>
  <c r="BH678" i="321"/>
  <c r="BH685" i="321"/>
  <c r="BH686" i="321"/>
  <c r="BI678" i="321"/>
  <c r="BI685" i="321"/>
  <c r="BI686" i="321"/>
  <c r="BJ678" i="321"/>
  <c r="BJ685" i="321"/>
  <c r="BJ686" i="321"/>
  <c r="BK678" i="321"/>
  <c r="BK685" i="321"/>
  <c r="BK686" i="321"/>
  <c r="BL678" i="321"/>
  <c r="BL685" i="321"/>
  <c r="BL686" i="321"/>
  <c r="BM678" i="321"/>
  <c r="BM685" i="321"/>
  <c r="BM686" i="321"/>
  <c r="BN678" i="321"/>
  <c r="BN685" i="321"/>
  <c r="BN686" i="321"/>
  <c r="BO678" i="321"/>
  <c r="BO685" i="321"/>
  <c r="BO686" i="321"/>
  <c r="BP678" i="321"/>
  <c r="BP685" i="321"/>
  <c r="BP686" i="321"/>
  <c r="BQ678" i="321"/>
  <c r="BQ685" i="321"/>
  <c r="BQ686" i="321"/>
  <c r="BR678" i="321"/>
  <c r="BR685" i="321"/>
  <c r="BR686" i="321"/>
  <c r="BS678" i="321"/>
  <c r="BS685" i="321"/>
  <c r="BS686" i="321"/>
  <c r="BT678" i="321"/>
  <c r="BT685" i="321"/>
  <c r="BT686" i="321"/>
  <c r="BU678" i="321"/>
  <c r="BU685" i="321"/>
  <c r="BU686" i="321"/>
  <c r="BV678" i="321"/>
  <c r="BV685" i="321"/>
  <c r="BV686" i="321"/>
  <c r="BW678" i="321"/>
  <c r="BW685" i="321"/>
  <c r="BW686" i="321"/>
  <c r="BX678" i="321"/>
  <c r="BX685" i="321"/>
  <c r="BX686" i="321"/>
  <c r="BY678" i="321"/>
  <c r="BY685" i="321"/>
  <c r="BY686" i="321"/>
  <c r="BZ678" i="321"/>
  <c r="BZ685" i="321"/>
  <c r="BZ686" i="321"/>
  <c r="CA678" i="321"/>
  <c r="CA685" i="321"/>
  <c r="CA686" i="321"/>
  <c r="CB678" i="321"/>
  <c r="CB685" i="321"/>
  <c r="CB686" i="321"/>
  <c r="CC678" i="321"/>
  <c r="CC685" i="321"/>
  <c r="CC686" i="321"/>
  <c r="CD678" i="321"/>
  <c r="CD685" i="321"/>
  <c r="CD686" i="321"/>
  <c r="CE678" i="321"/>
  <c r="CE685" i="321"/>
  <c r="CE686" i="321"/>
  <c r="CF678" i="321"/>
  <c r="CF685" i="321"/>
  <c r="CF686" i="321"/>
  <c r="CG678" i="321"/>
  <c r="CG685" i="321"/>
  <c r="CG686" i="321"/>
  <c r="CH678" i="321"/>
  <c r="CH685" i="321"/>
  <c r="CH686" i="321"/>
  <c r="CI678" i="321"/>
  <c r="CI685" i="321"/>
  <c r="CI686" i="321"/>
  <c r="CJ678" i="321"/>
  <c r="CJ685" i="321"/>
  <c r="CJ686" i="321"/>
  <c r="CK678" i="321"/>
  <c r="CK685" i="321"/>
  <c r="CK686" i="321"/>
  <c r="CL678" i="321"/>
  <c r="CL685" i="321"/>
  <c r="CL686" i="321"/>
  <c r="CM678" i="321"/>
  <c r="CM685" i="321"/>
  <c r="CM686" i="321"/>
  <c r="CN678" i="321"/>
  <c r="CN685" i="321"/>
  <c r="CN686" i="321"/>
  <c r="CO678" i="321"/>
  <c r="CO685" i="321"/>
  <c r="CO686" i="321"/>
  <c r="CP678" i="321"/>
  <c r="CP685" i="321"/>
  <c r="CP686" i="321"/>
  <c r="CQ678" i="321"/>
  <c r="CQ685" i="321"/>
  <c r="CQ686" i="321"/>
  <c r="CR678" i="321"/>
  <c r="CR685" i="321"/>
  <c r="CR686" i="321"/>
  <c r="CS678" i="321"/>
  <c r="CS685" i="321"/>
  <c r="CS686" i="321"/>
  <c r="CT678" i="321"/>
  <c r="CT685" i="321"/>
  <c r="CT686" i="321"/>
  <c r="CU678" i="321"/>
  <c r="CU685" i="321"/>
  <c r="CU686" i="321"/>
  <c r="E47" i="288"/>
  <c r="F47" i="288"/>
  <c r="G44" i="288"/>
  <c r="G47" i="288"/>
  <c r="I47" i="288"/>
  <c r="G41" i="288"/>
  <c r="E41" i="288"/>
  <c r="I43" i="288"/>
  <c r="G464" i="321"/>
  <c r="G43" i="288"/>
  <c r="F43" i="288"/>
  <c r="E43" i="288"/>
  <c r="I42" i="288"/>
  <c r="G80" i="286"/>
  <c r="G42" i="288"/>
  <c r="F42" i="288"/>
  <c r="E42" i="288"/>
  <c r="E11" i="307"/>
  <c r="F11" i="307"/>
  <c r="G11" i="307"/>
  <c r="I11" i="307"/>
  <c r="F23" i="310"/>
  <c r="I23" i="310"/>
  <c r="E81" i="306"/>
  <c r="F81" i="306"/>
  <c r="G81" i="306"/>
  <c r="I81" i="306"/>
  <c r="G61" i="306"/>
  <c r="E61" i="306"/>
  <c r="E62" i="306"/>
  <c r="F62" i="306"/>
  <c r="G17" i="306"/>
  <c r="G62" i="306"/>
  <c r="I62" i="306"/>
  <c r="CV218" i="273"/>
  <c r="CV114" i="288"/>
  <c r="CV115" i="288"/>
  <c r="CV264" i="288"/>
  <c r="CV265" i="288"/>
  <c r="F97" i="314"/>
  <c r="J102" i="314"/>
  <c r="CV188" i="321"/>
  <c r="CV300" i="321"/>
  <c r="CV402" i="321"/>
  <c r="CV434" i="321"/>
  <c r="E20" i="314"/>
  <c r="G20" i="314"/>
  <c r="J245" i="306"/>
  <c r="J53" i="286"/>
  <c r="J458" i="321" s="1"/>
  <c r="J48" i="314"/>
  <c r="J81" i="314"/>
  <c r="J37" i="314"/>
  <c r="J9" i="286"/>
  <c r="J19" i="286"/>
  <c r="J13" i="286"/>
  <c r="J37" i="286"/>
  <c r="J31" i="286"/>
  <c r="J74" i="286"/>
  <c r="I154" i="273"/>
  <c r="I162" i="273"/>
  <c r="I194" i="273"/>
  <c r="I202" i="273"/>
  <c r="G97" i="314"/>
  <c r="E97" i="314"/>
  <c r="E10" i="314"/>
  <c r="G10" i="314"/>
  <c r="J239" i="306"/>
  <c r="K256" i="306"/>
  <c r="K271" i="306"/>
  <c r="J261" i="306"/>
  <c r="J266" i="306"/>
  <c r="K261" i="306"/>
  <c r="K266" i="306"/>
  <c r="BF42" i="265"/>
  <c r="BG42" i="265"/>
  <c r="BH42" i="265"/>
  <c r="BI42" i="265"/>
  <c r="BJ42" i="265"/>
  <c r="BK42" i="265"/>
  <c r="BL42" i="265"/>
  <c r="BM42" i="265"/>
  <c r="BN42" i="265"/>
  <c r="BO42" i="265"/>
  <c r="BP42" i="265"/>
  <c r="BQ42" i="265"/>
  <c r="BR42" i="265"/>
  <c r="BS42" i="265"/>
  <c r="BT42" i="265"/>
  <c r="BU42" i="265"/>
  <c r="BV42" i="265"/>
  <c r="BW42" i="265"/>
  <c r="BX42" i="265"/>
  <c r="BY42" i="265"/>
  <c r="BZ42" i="265"/>
  <c r="CA42" i="265"/>
  <c r="CB42" i="265"/>
  <c r="CC42" i="265"/>
  <c r="CD42" i="265"/>
  <c r="CE42" i="265"/>
  <c r="CF42" i="265"/>
  <c r="CG42" i="265"/>
  <c r="CH42" i="265"/>
  <c r="CI42" i="265"/>
  <c r="CJ42" i="265"/>
  <c r="CK42" i="265"/>
  <c r="CL42" i="265"/>
  <c r="CM42" i="265"/>
  <c r="CN42" i="265"/>
  <c r="CO42" i="265"/>
  <c r="CP42" i="265"/>
  <c r="CQ42" i="265"/>
  <c r="CR42" i="265"/>
  <c r="CS42" i="265"/>
  <c r="CT42" i="265"/>
  <c r="CU42" i="265"/>
  <c r="CV42" i="265"/>
  <c r="CV685" i="321"/>
  <c r="CV686" i="321"/>
  <c r="CV678" i="321"/>
  <c r="G34" i="285"/>
  <c r="E34" i="285"/>
  <c r="E53" i="273"/>
  <c r="F53" i="273"/>
  <c r="G53" i="273"/>
  <c r="I71" i="273"/>
  <c r="I53" i="273"/>
  <c r="G53" i="311"/>
  <c r="E97" i="307"/>
  <c r="E503" i="321"/>
  <c r="J130" i="286"/>
  <c r="J502" i="321"/>
  <c r="J616" i="321"/>
  <c r="J246" i="278"/>
  <c r="J247" i="278"/>
  <c r="J622" i="321"/>
  <c r="J634" i="321"/>
  <c r="J636" i="321"/>
  <c r="J96" i="286"/>
  <c r="J90" i="286"/>
  <c r="J86" i="286"/>
  <c r="J114" i="286"/>
  <c r="J108" i="286"/>
  <c r="J142" i="286"/>
  <c r="J160" i="314"/>
  <c r="J127" i="314"/>
  <c r="BF40" i="315"/>
  <c r="BG40" i="315"/>
  <c r="BH40" i="315"/>
  <c r="BI40" i="315"/>
  <c r="BJ40" i="315"/>
  <c r="BK40" i="315"/>
  <c r="BL40" i="315"/>
  <c r="BM40" i="315"/>
  <c r="BN40" i="315"/>
  <c r="BO40" i="315"/>
  <c r="BP40" i="315"/>
  <c r="BQ40" i="315"/>
  <c r="BR40" i="315"/>
  <c r="BS40" i="315"/>
  <c r="BT40" i="315"/>
  <c r="BU40" i="315"/>
  <c r="BV40" i="315"/>
  <c r="BW40" i="315"/>
  <c r="BX40" i="315"/>
  <c r="BY40" i="315"/>
  <c r="BZ40" i="315"/>
  <c r="CA40" i="315"/>
  <c r="CB40" i="315"/>
  <c r="CC40" i="315"/>
  <c r="CD40" i="315"/>
  <c r="CE40" i="315"/>
  <c r="CF40" i="315"/>
  <c r="CG40" i="315"/>
  <c r="CH40" i="315"/>
  <c r="CI40" i="315"/>
  <c r="CJ40" i="315"/>
  <c r="CK40" i="315"/>
  <c r="CL40" i="315"/>
  <c r="CM40" i="315"/>
  <c r="CN40" i="315"/>
  <c r="CO40" i="315"/>
  <c r="CP40" i="315"/>
  <c r="CQ40" i="315"/>
  <c r="CR40" i="315"/>
  <c r="CS40" i="315"/>
  <c r="CT40" i="315"/>
  <c r="CU40" i="315"/>
  <c r="CV40" i="315"/>
  <c r="E107" i="328"/>
  <c r="J15" i="326"/>
  <c r="E108" i="328"/>
  <c r="J16" i="326"/>
  <c r="E110" i="328"/>
  <c r="E109" i="328"/>
  <c r="E10" i="321"/>
  <c r="F10" i="321"/>
  <c r="G65" i="265"/>
  <c r="I10" i="321"/>
  <c r="F6" i="48"/>
  <c r="M7" i="48"/>
  <c r="J37" i="326"/>
  <c r="G223" i="306"/>
  <c r="G443" i="307"/>
  <c r="E443" i="307"/>
  <c r="E52" i="306"/>
  <c r="F52" i="306"/>
  <c r="G52" i="306"/>
  <c r="I52" i="306"/>
  <c r="G143" i="48"/>
  <c r="G50" i="306"/>
  <c r="E50" i="306"/>
  <c r="I418" i="321"/>
  <c r="H418" i="321"/>
  <c r="G418" i="321"/>
  <c r="F418" i="321"/>
  <c r="E418" i="321"/>
  <c r="I386" i="321"/>
  <c r="H386" i="321"/>
  <c r="G386" i="321"/>
  <c r="F386" i="321"/>
  <c r="E386" i="321"/>
  <c r="E337" i="321"/>
  <c r="F337" i="321"/>
  <c r="G337" i="321"/>
  <c r="H337" i="321"/>
  <c r="I337" i="321"/>
  <c r="E329" i="321"/>
  <c r="G329" i="321"/>
  <c r="E328" i="321"/>
  <c r="G328" i="321"/>
  <c r="E327" i="321"/>
  <c r="G327" i="321"/>
  <c r="E326" i="321"/>
  <c r="G326" i="321"/>
  <c r="E325" i="321"/>
  <c r="G325" i="321"/>
  <c r="E324" i="321"/>
  <c r="G324" i="321"/>
  <c r="E323" i="321"/>
  <c r="G323" i="321"/>
  <c r="E322" i="321"/>
  <c r="G322" i="321"/>
  <c r="E321" i="321"/>
  <c r="G321" i="321"/>
  <c r="E320" i="321"/>
  <c r="G320" i="321"/>
  <c r="E319" i="321"/>
  <c r="G319" i="321"/>
  <c r="E318" i="321"/>
  <c r="G318" i="321"/>
  <c r="E317" i="321"/>
  <c r="G317" i="321"/>
  <c r="E316" i="321"/>
  <c r="G316" i="321"/>
  <c r="E315" i="321"/>
  <c r="G315" i="321"/>
  <c r="E314" i="321"/>
  <c r="G314" i="321"/>
  <c r="E313" i="321"/>
  <c r="G313" i="321"/>
  <c r="E312" i="321"/>
  <c r="G312" i="321"/>
  <c r="E311" i="321"/>
  <c r="G311" i="321"/>
  <c r="E310" i="321"/>
  <c r="G310" i="321"/>
  <c r="E309" i="321"/>
  <c r="G309" i="321"/>
  <c r="E308" i="321"/>
  <c r="G308" i="321"/>
  <c r="E307" i="321"/>
  <c r="G307" i="321"/>
  <c r="E306" i="321"/>
  <c r="G306" i="321"/>
  <c r="E305" i="321"/>
  <c r="G305" i="321"/>
  <c r="I331" i="321"/>
  <c r="G331" i="321"/>
  <c r="F331" i="321"/>
  <c r="E331" i="321"/>
  <c r="I330" i="321"/>
  <c r="H330" i="321"/>
  <c r="G330" i="321"/>
  <c r="F330" i="321"/>
  <c r="E330" i="321"/>
  <c r="E225" i="321"/>
  <c r="F225" i="321"/>
  <c r="G225" i="321"/>
  <c r="H225" i="321"/>
  <c r="I225" i="321"/>
  <c r="E217" i="321"/>
  <c r="G217" i="321"/>
  <c r="E216" i="321"/>
  <c r="G216" i="321"/>
  <c r="E215" i="321"/>
  <c r="G215" i="321"/>
  <c r="E214" i="321"/>
  <c r="G214" i="321"/>
  <c r="E213" i="321"/>
  <c r="G213" i="321"/>
  <c r="E212" i="321"/>
  <c r="G212" i="321"/>
  <c r="E211" i="321"/>
  <c r="G211" i="321"/>
  <c r="E210" i="321"/>
  <c r="G210" i="321"/>
  <c r="E209" i="321"/>
  <c r="G209" i="321"/>
  <c r="E208" i="321"/>
  <c r="G208" i="321"/>
  <c r="E207" i="321"/>
  <c r="G207" i="321"/>
  <c r="E206" i="321"/>
  <c r="G206" i="321"/>
  <c r="E205" i="321"/>
  <c r="G205" i="321"/>
  <c r="E204" i="321"/>
  <c r="G204" i="321"/>
  <c r="E203" i="321"/>
  <c r="G203" i="321"/>
  <c r="E202" i="321"/>
  <c r="G202" i="321"/>
  <c r="E201" i="321"/>
  <c r="G201" i="321"/>
  <c r="E200" i="321"/>
  <c r="G200" i="321"/>
  <c r="E199" i="321"/>
  <c r="G199" i="321"/>
  <c r="E198" i="321"/>
  <c r="G198" i="321"/>
  <c r="E197" i="321"/>
  <c r="G197" i="321"/>
  <c r="E196" i="321"/>
  <c r="G196" i="321"/>
  <c r="E195" i="321"/>
  <c r="G195" i="321"/>
  <c r="E194" i="321"/>
  <c r="G194" i="321"/>
  <c r="E193" i="321"/>
  <c r="G193" i="321"/>
  <c r="I219" i="321"/>
  <c r="G219" i="321"/>
  <c r="F219" i="321"/>
  <c r="E219" i="321"/>
  <c r="I218" i="321"/>
  <c r="H218" i="321"/>
  <c r="G218" i="321"/>
  <c r="F218" i="321"/>
  <c r="E218" i="321"/>
  <c r="R2" i="48"/>
  <c r="E297" i="48"/>
  <c r="G297" i="48"/>
  <c r="E300" i="48"/>
  <c r="G300" i="48"/>
  <c r="J648" i="307"/>
  <c r="J628" i="307"/>
  <c r="J38" i="314"/>
  <c r="J613" i="307"/>
  <c r="J40" i="285"/>
  <c r="J276" i="306"/>
  <c r="J23" i="285"/>
  <c r="K607" i="307"/>
  <c r="K648" i="307"/>
  <c r="K628" i="307"/>
  <c r="K613" i="307"/>
  <c r="K233" i="306"/>
  <c r="BF41" i="285"/>
  <c r="BF24" i="285"/>
  <c r="BF25" i="285"/>
  <c r="BG41" i="285"/>
  <c r="BG24" i="285"/>
  <c r="BG25" i="285"/>
  <c r="BH41" i="285"/>
  <c r="BH24" i="285"/>
  <c r="BH25" i="285"/>
  <c r="BI41" i="285"/>
  <c r="BI24" i="285"/>
  <c r="BI25" i="285"/>
  <c r="BJ41" i="285"/>
  <c r="BJ24" i="285"/>
  <c r="BJ25" i="285"/>
  <c r="BK41" i="285"/>
  <c r="BK24" i="285"/>
  <c r="BK25" i="285"/>
  <c r="BL41" i="285"/>
  <c r="BL24" i="285"/>
  <c r="BL25" i="285"/>
  <c r="BM41" i="285"/>
  <c r="BM24" i="285"/>
  <c r="BM25" i="285"/>
  <c r="BN41" i="285"/>
  <c r="BN24" i="285"/>
  <c r="BN25" i="285"/>
  <c r="BO41" i="285"/>
  <c r="BO24" i="285"/>
  <c r="BO25" i="285"/>
  <c r="BP41" i="285"/>
  <c r="BP24" i="285"/>
  <c r="BP25" i="285"/>
  <c r="BQ41" i="285"/>
  <c r="BQ24" i="285"/>
  <c r="BQ25" i="285"/>
  <c r="BR41" i="285"/>
  <c r="BR24" i="285"/>
  <c r="BR25" i="285"/>
  <c r="BS41" i="285"/>
  <c r="BS24" i="285"/>
  <c r="BS25" i="285"/>
  <c r="BT41" i="285"/>
  <c r="BT24" i="285"/>
  <c r="BT25" i="285"/>
  <c r="BU41" i="285"/>
  <c r="BU24" i="285"/>
  <c r="BU25" i="285"/>
  <c r="BV41" i="285"/>
  <c r="BV24" i="285"/>
  <c r="BV25" i="285"/>
  <c r="BW41" i="285"/>
  <c r="BW24" i="285"/>
  <c r="BW25" i="285"/>
  <c r="BX41" i="285"/>
  <c r="BX24" i="285"/>
  <c r="BX25" i="285"/>
  <c r="BY41" i="285"/>
  <c r="BY24" i="285"/>
  <c r="BY25" i="285"/>
  <c r="BZ41" i="285"/>
  <c r="BZ24" i="285"/>
  <c r="BZ25" i="285"/>
  <c r="CA41" i="285"/>
  <c r="CA24" i="285"/>
  <c r="CA25" i="285"/>
  <c r="CB41" i="285"/>
  <c r="CB24" i="285"/>
  <c r="CB25" i="285"/>
  <c r="CC41" i="285"/>
  <c r="CC24" i="285"/>
  <c r="CC25" i="285"/>
  <c r="CD41" i="285"/>
  <c r="CD24" i="285"/>
  <c r="CD25" i="285"/>
  <c r="CE41" i="285"/>
  <c r="CE24" i="285"/>
  <c r="CE25" i="285"/>
  <c r="CF41" i="285"/>
  <c r="CF24" i="285"/>
  <c r="CF25" i="285"/>
  <c r="CG41" i="285"/>
  <c r="CG24" i="285"/>
  <c r="CG25" i="285"/>
  <c r="CH41" i="285"/>
  <c r="CH24" i="285"/>
  <c r="CH25" i="285"/>
  <c r="CI41" i="285"/>
  <c r="CI24" i="285"/>
  <c r="CI25" i="285"/>
  <c r="CJ41" i="285"/>
  <c r="CJ24" i="285"/>
  <c r="CJ25" i="285"/>
  <c r="CK41" i="285"/>
  <c r="CK24" i="285"/>
  <c r="CK25" i="285"/>
  <c r="CL41" i="285"/>
  <c r="CL24" i="285"/>
  <c r="CL25" i="285"/>
  <c r="CM41" i="285"/>
  <c r="CM24" i="285"/>
  <c r="CM25" i="285"/>
  <c r="CN41" i="285"/>
  <c r="CN24" i="285"/>
  <c r="CN25" i="285"/>
  <c r="CO41" i="285"/>
  <c r="CO24" i="285"/>
  <c r="CO25" i="285"/>
  <c r="CP41" i="285"/>
  <c r="CP24" i="285"/>
  <c r="CP25" i="285"/>
  <c r="CQ41" i="285"/>
  <c r="CQ24" i="285"/>
  <c r="CQ25" i="285"/>
  <c r="CR41" i="285"/>
  <c r="CR24" i="285"/>
  <c r="CR25" i="285"/>
  <c r="CS41" i="285"/>
  <c r="CS24" i="285"/>
  <c r="CS25" i="285"/>
  <c r="CT41" i="285"/>
  <c r="CT24" i="285"/>
  <c r="CT25" i="285"/>
  <c r="CU41" i="285"/>
  <c r="CU24" i="285"/>
  <c r="CU25" i="285"/>
  <c r="CV41" i="285"/>
  <c r="CV24" i="285"/>
  <c r="CV25" i="285"/>
  <c r="J116" i="314"/>
  <c r="J117" i="314"/>
  <c r="O43" i="321"/>
  <c r="P43" i="321"/>
  <c r="Q43" i="321"/>
  <c r="R43" i="321"/>
  <c r="S43" i="321"/>
  <c r="T43" i="321"/>
  <c r="U43" i="321"/>
  <c r="V43" i="321"/>
  <c r="W43" i="321"/>
  <c r="X43" i="321"/>
  <c r="Y43" i="321"/>
  <c r="Z43" i="321"/>
  <c r="AA43" i="321"/>
  <c r="AB43" i="321"/>
  <c r="AC43" i="321"/>
  <c r="AD43" i="321"/>
  <c r="AE43" i="321"/>
  <c r="AF43" i="321"/>
  <c r="AG43" i="321"/>
  <c r="AH43" i="321"/>
  <c r="AI43" i="321"/>
  <c r="AJ43" i="321"/>
  <c r="AK43" i="321"/>
  <c r="AL43" i="321"/>
  <c r="AM43" i="321"/>
  <c r="AN43" i="321"/>
  <c r="F214" i="48"/>
  <c r="F27" i="321"/>
  <c r="AO43" i="321"/>
  <c r="AP43" i="321"/>
  <c r="AQ43" i="321"/>
  <c r="AR43" i="321"/>
  <c r="AS43" i="321"/>
  <c r="AT43" i="321"/>
  <c r="AU43" i="321"/>
  <c r="AV43" i="321"/>
  <c r="AW43" i="321"/>
  <c r="AX43" i="321"/>
  <c r="AY43" i="321"/>
  <c r="AZ43" i="321"/>
  <c r="BA43" i="321"/>
  <c r="BB43" i="321"/>
  <c r="BC43" i="321"/>
  <c r="BD43" i="321"/>
  <c r="BE43" i="321"/>
  <c r="BF43" i="321"/>
  <c r="BG43" i="321"/>
  <c r="BH43" i="321"/>
  <c r="BI43" i="321"/>
  <c r="BJ43" i="321"/>
  <c r="BK43" i="321"/>
  <c r="BL43" i="321"/>
  <c r="BM43" i="321"/>
  <c r="BN43" i="321"/>
  <c r="BO43" i="321"/>
  <c r="BP43" i="321"/>
  <c r="BQ43" i="321"/>
  <c r="BR43" i="321"/>
  <c r="BS43" i="321"/>
  <c r="BT43" i="321"/>
  <c r="BU43" i="321"/>
  <c r="BV43" i="321"/>
  <c r="BW43" i="321"/>
  <c r="BX43" i="321"/>
  <c r="BY43" i="321"/>
  <c r="BZ43" i="321"/>
  <c r="CA43" i="321"/>
  <c r="CB43" i="321"/>
  <c r="CC43" i="321"/>
  <c r="CD43" i="321"/>
  <c r="CE43" i="321"/>
  <c r="CF43" i="321"/>
  <c r="CG43" i="321"/>
  <c r="CH43" i="321"/>
  <c r="CI43" i="321"/>
  <c r="CJ43" i="321"/>
  <c r="CK43" i="321"/>
  <c r="CL43" i="321"/>
  <c r="CM43" i="321"/>
  <c r="CN43" i="321"/>
  <c r="CO43" i="321"/>
  <c r="CP43" i="321"/>
  <c r="CQ43" i="321"/>
  <c r="F11" i="325"/>
  <c r="F30" i="48"/>
  <c r="F18" i="311"/>
  <c r="J112" i="321"/>
  <c r="J113" i="321"/>
  <c r="J114" i="321"/>
  <c r="F52" i="311"/>
  <c r="F88" i="321"/>
  <c r="BF317" i="278"/>
  <c r="BF324" i="278"/>
  <c r="BF325" i="278"/>
  <c r="BG317" i="278"/>
  <c r="BG324" i="278"/>
  <c r="BG325" i="278"/>
  <c r="BH317" i="278"/>
  <c r="BH324" i="278"/>
  <c r="BH325" i="278"/>
  <c r="BI317" i="278"/>
  <c r="BI324" i="278"/>
  <c r="BI325" i="278"/>
  <c r="BJ317" i="278"/>
  <c r="BJ324" i="278"/>
  <c r="BJ325" i="278"/>
  <c r="BK317" i="278"/>
  <c r="BK324" i="278"/>
  <c r="BK325" i="278"/>
  <c r="BL317" i="278"/>
  <c r="BL324" i="278"/>
  <c r="BL325" i="278"/>
  <c r="BM317" i="278"/>
  <c r="BM324" i="278"/>
  <c r="BM325" i="278"/>
  <c r="BN317" i="278"/>
  <c r="BN324" i="278"/>
  <c r="BN325" i="278"/>
  <c r="BO317" i="278"/>
  <c r="BO324" i="278"/>
  <c r="BO325" i="278"/>
  <c r="BP317" i="278"/>
  <c r="BP324" i="278"/>
  <c r="BP325" i="278"/>
  <c r="BQ317" i="278"/>
  <c r="BQ324" i="278"/>
  <c r="BQ325" i="278"/>
  <c r="BR317" i="278"/>
  <c r="BR324" i="278"/>
  <c r="BR325" i="278"/>
  <c r="BS317" i="278"/>
  <c r="BS324" i="278"/>
  <c r="BS325" i="278"/>
  <c r="BT317" i="278"/>
  <c r="BT324" i="278"/>
  <c r="BT325" i="278"/>
  <c r="BU317" i="278"/>
  <c r="BU324" i="278"/>
  <c r="BU325" i="278"/>
  <c r="BV317" i="278"/>
  <c r="BV324" i="278"/>
  <c r="BV325" i="278"/>
  <c r="BW317" i="278"/>
  <c r="BW324" i="278"/>
  <c r="BW325" i="278"/>
  <c r="BX317" i="278"/>
  <c r="BX324" i="278"/>
  <c r="BX325" i="278"/>
  <c r="BY317" i="278"/>
  <c r="BY324" i="278"/>
  <c r="BY325" i="278"/>
  <c r="BZ317" i="278"/>
  <c r="BZ324" i="278"/>
  <c r="BZ325" i="278"/>
  <c r="CA317" i="278"/>
  <c r="CA324" i="278"/>
  <c r="CA325" i="278"/>
  <c r="CB317" i="278"/>
  <c r="CB324" i="278"/>
  <c r="CB325" i="278"/>
  <c r="CC317" i="278"/>
  <c r="CC324" i="278"/>
  <c r="CC325" i="278"/>
  <c r="CD317" i="278"/>
  <c r="CD324" i="278"/>
  <c r="CD325" i="278"/>
  <c r="CE317" i="278"/>
  <c r="CE324" i="278"/>
  <c r="CE325" i="278"/>
  <c r="CF317" i="278"/>
  <c r="CF324" i="278"/>
  <c r="CF325" i="278"/>
  <c r="CG317" i="278"/>
  <c r="CG324" i="278"/>
  <c r="CG325" i="278"/>
  <c r="CH317" i="278"/>
  <c r="CH324" i="278"/>
  <c r="CH325" i="278"/>
  <c r="CI317" i="278"/>
  <c r="CI324" i="278"/>
  <c r="CI325" i="278"/>
  <c r="CJ317" i="278"/>
  <c r="CJ324" i="278"/>
  <c r="CJ325" i="278"/>
  <c r="CK317" i="278"/>
  <c r="CK324" i="278"/>
  <c r="CK325" i="278"/>
  <c r="CL317" i="278"/>
  <c r="CL324" i="278"/>
  <c r="CL325" i="278"/>
  <c r="CM317" i="278"/>
  <c r="CM324" i="278"/>
  <c r="CM325" i="278"/>
  <c r="CN317" i="278"/>
  <c r="CN324" i="278"/>
  <c r="CN325" i="278"/>
  <c r="CO317" i="278"/>
  <c r="CO324" i="278"/>
  <c r="CO325" i="278"/>
  <c r="CP317" i="278"/>
  <c r="CP324" i="278"/>
  <c r="CP325" i="278"/>
  <c r="CQ317" i="278"/>
  <c r="CQ324" i="278"/>
  <c r="CQ325" i="278"/>
  <c r="CR317" i="278"/>
  <c r="CR324" i="278"/>
  <c r="CR325" i="278"/>
  <c r="CS317" i="278"/>
  <c r="CS324" i="278"/>
  <c r="CS325" i="278"/>
  <c r="CT317" i="278"/>
  <c r="CT324" i="278"/>
  <c r="CT325" i="278"/>
  <c r="CU317" i="278"/>
  <c r="CU324" i="278"/>
  <c r="CU325" i="278"/>
  <c r="CV317" i="278"/>
  <c r="CV324" i="278"/>
  <c r="CV325" i="278"/>
  <c r="K618" i="307"/>
  <c r="J623" i="307"/>
  <c r="K623" i="307"/>
  <c r="BF445" i="321"/>
  <c r="BG445" i="321"/>
  <c r="BH445" i="321"/>
  <c r="BI445" i="321"/>
  <c r="BJ445" i="321"/>
  <c r="BK445" i="321"/>
  <c r="BL445" i="321"/>
  <c r="BM445" i="321"/>
  <c r="BN445" i="321"/>
  <c r="BO445" i="321"/>
  <c r="BP445" i="321"/>
  <c r="BQ445" i="321"/>
  <c r="BR445" i="321"/>
  <c r="BS445" i="321"/>
  <c r="BT445" i="321"/>
  <c r="BU445" i="321"/>
  <c r="BV445" i="321"/>
  <c r="BW445" i="321"/>
  <c r="BX445" i="321"/>
  <c r="BY445" i="321"/>
  <c r="BZ445" i="321"/>
  <c r="CA445" i="321"/>
  <c r="CB445" i="321"/>
  <c r="CC445" i="321"/>
  <c r="CD445" i="321"/>
  <c r="CE445" i="321"/>
  <c r="CF445" i="321"/>
  <c r="CG445" i="321"/>
  <c r="CH445" i="321"/>
  <c r="CI445" i="321"/>
  <c r="CJ445" i="321"/>
  <c r="CK445" i="321"/>
  <c r="CL445" i="321"/>
  <c r="CM445" i="321"/>
  <c r="CN445" i="321"/>
  <c r="CO445" i="321"/>
  <c r="CP445" i="321"/>
  <c r="CQ445" i="321"/>
  <c r="CR445" i="321"/>
  <c r="CS445" i="321"/>
  <c r="CT445" i="321"/>
  <c r="CU445" i="321"/>
  <c r="CV445" i="321"/>
  <c r="J251" i="306"/>
  <c r="J309" i="278"/>
  <c r="J305" i="278"/>
  <c r="K251" i="306"/>
  <c r="BF310" i="278"/>
  <c r="BF311" i="278"/>
  <c r="BG310" i="278"/>
  <c r="BG311" i="278"/>
  <c r="BH310" i="278"/>
  <c r="BH311" i="278"/>
  <c r="BI310" i="278"/>
  <c r="BI311" i="278"/>
  <c r="BJ310" i="278"/>
  <c r="BJ311" i="278"/>
  <c r="BK310" i="278"/>
  <c r="BK311" i="278"/>
  <c r="BL310" i="278"/>
  <c r="BL311" i="278"/>
  <c r="BM310" i="278"/>
  <c r="BM311" i="278"/>
  <c r="BN310" i="278"/>
  <c r="BN311" i="278"/>
  <c r="BO310" i="278"/>
  <c r="BO311" i="278"/>
  <c r="BP310" i="278"/>
  <c r="BP311" i="278"/>
  <c r="BQ310" i="278"/>
  <c r="BQ311" i="278"/>
  <c r="BR310" i="278"/>
  <c r="BR311" i="278"/>
  <c r="BS310" i="278"/>
  <c r="BS311" i="278"/>
  <c r="BT310" i="278"/>
  <c r="BT311" i="278"/>
  <c r="BU310" i="278"/>
  <c r="BU311" i="278"/>
  <c r="BV310" i="278"/>
  <c r="BV311" i="278"/>
  <c r="BW310" i="278"/>
  <c r="BW311" i="278"/>
  <c r="BX310" i="278"/>
  <c r="BX311" i="278"/>
  <c r="BY310" i="278"/>
  <c r="BY311" i="278"/>
  <c r="BZ310" i="278"/>
  <c r="BZ311" i="278"/>
  <c r="CA310" i="278"/>
  <c r="CA311" i="278"/>
  <c r="CB310" i="278"/>
  <c r="CB311" i="278"/>
  <c r="CC310" i="278"/>
  <c r="CC311" i="278"/>
  <c r="CD310" i="278"/>
  <c r="CD311" i="278"/>
  <c r="CE310" i="278"/>
  <c r="CE311" i="278"/>
  <c r="CF310" i="278"/>
  <c r="CF311" i="278"/>
  <c r="CG310" i="278"/>
  <c r="CG311" i="278"/>
  <c r="CH310" i="278"/>
  <c r="CH311" i="278"/>
  <c r="CI310" i="278"/>
  <c r="CI311" i="278"/>
  <c r="CJ310" i="278"/>
  <c r="CJ311" i="278"/>
  <c r="CK310" i="278"/>
  <c r="CK311" i="278"/>
  <c r="CL310" i="278"/>
  <c r="CL311" i="278"/>
  <c r="CM310" i="278"/>
  <c r="CM311" i="278"/>
  <c r="CN310" i="278"/>
  <c r="CN311" i="278"/>
  <c r="CO310" i="278"/>
  <c r="CO311" i="278"/>
  <c r="CP310" i="278"/>
  <c r="CP311" i="278"/>
  <c r="CQ310" i="278"/>
  <c r="CQ311" i="278"/>
  <c r="CR310" i="278"/>
  <c r="CR311" i="278"/>
  <c r="CS310" i="278"/>
  <c r="CS311" i="278"/>
  <c r="CT310" i="278"/>
  <c r="CT311" i="278"/>
  <c r="CU310" i="278"/>
  <c r="CU311" i="278"/>
  <c r="CV310" i="278"/>
  <c r="CV311" i="278"/>
  <c r="F17" i="265"/>
  <c r="F96" i="269"/>
  <c r="F19" i="265"/>
  <c r="F97" i="269"/>
  <c r="F21" i="265"/>
  <c r="F21" i="277"/>
  <c r="F23" i="265"/>
  <c r="F100" i="269"/>
  <c r="F24" i="265"/>
  <c r="F101" i="269"/>
  <c r="F25" i="265"/>
  <c r="F102" i="269"/>
  <c r="F26" i="265"/>
  <c r="F103" i="269"/>
  <c r="F27" i="265"/>
  <c r="F104" i="269"/>
  <c r="I17" i="265"/>
  <c r="I19" i="265"/>
  <c r="I21" i="265"/>
  <c r="I22" i="265"/>
  <c r="I23" i="265"/>
  <c r="I24" i="265"/>
  <c r="I25" i="265"/>
  <c r="I26" i="265"/>
  <c r="I27" i="265"/>
  <c r="I53" i="265"/>
  <c r="I56" i="265"/>
  <c r="I60" i="265"/>
  <c r="I61" i="265"/>
  <c r="I62" i="265"/>
  <c r="F53" i="265"/>
  <c r="F56" i="265"/>
  <c r="F60" i="265"/>
  <c r="F61" i="265"/>
  <c r="F138" i="269"/>
  <c r="F62" i="265"/>
  <c r="F63" i="265"/>
  <c r="F64" i="265"/>
  <c r="I63" i="265"/>
  <c r="I64" i="265"/>
  <c r="F67" i="265"/>
  <c r="F69" i="265"/>
  <c r="F71" i="265"/>
  <c r="F146" i="269"/>
  <c r="F72" i="265"/>
  <c r="F72" i="277"/>
  <c r="F73" i="265"/>
  <c r="F74" i="265"/>
  <c r="F75" i="265"/>
  <c r="F150" i="269"/>
  <c r="F76" i="265"/>
  <c r="F76" i="277"/>
  <c r="I67" i="265"/>
  <c r="I69" i="265"/>
  <c r="I71" i="265"/>
  <c r="I72" i="265"/>
  <c r="I73" i="265"/>
  <c r="I74" i="265"/>
  <c r="I75" i="265"/>
  <c r="I76" i="265"/>
  <c r="F84" i="265"/>
  <c r="I84" i="265"/>
  <c r="F87" i="265"/>
  <c r="F87" i="277"/>
  <c r="F88" i="265"/>
  <c r="I87" i="265"/>
  <c r="I88" i="265"/>
  <c r="H118" i="265"/>
  <c r="I118" i="265"/>
  <c r="H119" i="265"/>
  <c r="I119" i="265"/>
  <c r="H120" i="265"/>
  <c r="H63" i="328"/>
  <c r="I120" i="265"/>
  <c r="I63" i="328"/>
  <c r="H121" i="265"/>
  <c r="I121" i="265"/>
  <c r="H122" i="265"/>
  <c r="I122" i="265"/>
  <c r="H123" i="265"/>
  <c r="I123" i="265"/>
  <c r="H124" i="265"/>
  <c r="I124" i="265"/>
  <c r="F118" i="265"/>
  <c r="F119" i="265"/>
  <c r="F120" i="265"/>
  <c r="F63" i="328"/>
  <c r="F121" i="265"/>
  <c r="F121" i="277"/>
  <c r="F122" i="265"/>
  <c r="F123" i="265"/>
  <c r="F124" i="265"/>
  <c r="F124" i="277"/>
  <c r="H134" i="265"/>
  <c r="I134" i="265"/>
  <c r="H135" i="265"/>
  <c r="I135" i="265"/>
  <c r="F134" i="265"/>
  <c r="F135" i="265"/>
  <c r="K673" i="307"/>
  <c r="BF48" i="315"/>
  <c r="BF52" i="315"/>
  <c r="BF53" i="315"/>
  <c r="BF55" i="315"/>
  <c r="BF56" i="315"/>
  <c r="BF57" i="315"/>
  <c r="BF528" i="321"/>
  <c r="BG48" i="315"/>
  <c r="BG52" i="315"/>
  <c r="BG53" i="315"/>
  <c r="BG55" i="315"/>
  <c r="BG56" i="315"/>
  <c r="BG57" i="315"/>
  <c r="BG528" i="321"/>
  <c r="BH48" i="315"/>
  <c r="BH52" i="315"/>
  <c r="BH53" i="315"/>
  <c r="BH55" i="315"/>
  <c r="BH56" i="315"/>
  <c r="BH57" i="315"/>
  <c r="BF97" i="286"/>
  <c r="BF115" i="286"/>
  <c r="BH528" i="321"/>
  <c r="BI48" i="315"/>
  <c r="BI52" i="315"/>
  <c r="BI53" i="315"/>
  <c r="BI55" i="315"/>
  <c r="BI56" i="315"/>
  <c r="BI57" i="315"/>
  <c r="BG97" i="286"/>
  <c r="BG115" i="286"/>
  <c r="BI528" i="321"/>
  <c r="BJ48" i="315"/>
  <c r="BJ52" i="315"/>
  <c r="BJ53" i="315"/>
  <c r="BJ55" i="315"/>
  <c r="BJ56" i="315"/>
  <c r="BJ57" i="315"/>
  <c r="BH97" i="286"/>
  <c r="BH115" i="286"/>
  <c r="BJ528" i="321"/>
  <c r="BK48" i="315"/>
  <c r="BK52" i="315"/>
  <c r="BK53" i="315"/>
  <c r="BK55" i="315"/>
  <c r="BK56" i="315"/>
  <c r="BK57" i="315"/>
  <c r="BI97" i="286"/>
  <c r="BI115" i="286"/>
  <c r="BK528" i="321"/>
  <c r="BL48" i="315"/>
  <c r="BL52" i="315"/>
  <c r="BL53" i="315"/>
  <c r="BL55" i="315"/>
  <c r="BL56" i="315"/>
  <c r="BL57" i="315"/>
  <c r="BJ97" i="286"/>
  <c r="BJ115" i="286"/>
  <c r="BL528" i="321"/>
  <c r="BM48" i="315"/>
  <c r="BM52" i="315"/>
  <c r="BM53" i="315"/>
  <c r="BM55" i="315"/>
  <c r="BM56" i="315"/>
  <c r="BM57" i="315"/>
  <c r="BK97" i="286"/>
  <c r="BK115" i="286"/>
  <c r="BM528" i="321"/>
  <c r="BN48" i="315"/>
  <c r="BN52" i="315"/>
  <c r="BN53" i="315"/>
  <c r="BN55" i="315"/>
  <c r="BN56" i="315"/>
  <c r="BN57" i="315"/>
  <c r="BL97" i="286"/>
  <c r="BL115" i="286"/>
  <c r="BN528" i="321"/>
  <c r="BO48" i="315"/>
  <c r="BO52" i="315"/>
  <c r="BO53" i="315"/>
  <c r="BO55" i="315"/>
  <c r="BO56" i="315"/>
  <c r="BO57" i="315"/>
  <c r="BM97" i="286"/>
  <c r="BM115" i="286"/>
  <c r="BO528" i="321"/>
  <c r="BP48" i="315"/>
  <c r="BP52" i="315"/>
  <c r="BP53" i="315"/>
  <c r="BP55" i="315"/>
  <c r="BP56" i="315"/>
  <c r="BP57" i="315"/>
  <c r="BN97" i="286"/>
  <c r="BN115" i="286"/>
  <c r="BP528" i="321"/>
  <c r="BQ48" i="315"/>
  <c r="BQ52" i="315"/>
  <c r="BQ53" i="315"/>
  <c r="BQ55" i="315"/>
  <c r="BQ56" i="315"/>
  <c r="BQ57" i="315"/>
  <c r="BO97" i="286"/>
  <c r="BO115" i="286"/>
  <c r="BQ528" i="321"/>
  <c r="BR48" i="315"/>
  <c r="BR52" i="315"/>
  <c r="BR53" i="315"/>
  <c r="BR55" i="315"/>
  <c r="BR56" i="315"/>
  <c r="BR57" i="315"/>
  <c r="BP97" i="286"/>
  <c r="BP115" i="286"/>
  <c r="BR528" i="321"/>
  <c r="BS48" i="315"/>
  <c r="BS52" i="315"/>
  <c r="BS53" i="315"/>
  <c r="BS55" i="315"/>
  <c r="BS56" i="315"/>
  <c r="BS57" i="315"/>
  <c r="BQ97" i="286"/>
  <c r="BQ115" i="286"/>
  <c r="BS528" i="321"/>
  <c r="BT48" i="315"/>
  <c r="BT52" i="315"/>
  <c r="BT53" i="315"/>
  <c r="BT55" i="315"/>
  <c r="BT56" i="315"/>
  <c r="BT57" i="315"/>
  <c r="BR97" i="286"/>
  <c r="BR115" i="286"/>
  <c r="BT528" i="321"/>
  <c r="BU48" i="315"/>
  <c r="BU52" i="315"/>
  <c r="BU53" i="315"/>
  <c r="BU55" i="315"/>
  <c r="BU56" i="315"/>
  <c r="BU57" i="315"/>
  <c r="BS97" i="286"/>
  <c r="BS115" i="286"/>
  <c r="BU528" i="321"/>
  <c r="BV48" i="315"/>
  <c r="BV52" i="315"/>
  <c r="BV53" i="315"/>
  <c r="BV55" i="315"/>
  <c r="BV56" i="315"/>
  <c r="BV57" i="315"/>
  <c r="BT97" i="286"/>
  <c r="BT115" i="286"/>
  <c r="BV528" i="321"/>
  <c r="BW48" i="315"/>
  <c r="BW52" i="315"/>
  <c r="BW53" i="315"/>
  <c r="BW55" i="315"/>
  <c r="BW56" i="315"/>
  <c r="BW57" i="315"/>
  <c r="BU97" i="286"/>
  <c r="BU115" i="286"/>
  <c r="BW528" i="321"/>
  <c r="BX48" i="315"/>
  <c r="BX52" i="315"/>
  <c r="BX53" i="315"/>
  <c r="BX55" i="315"/>
  <c r="BX56" i="315"/>
  <c r="BX57" i="315"/>
  <c r="BV97" i="286"/>
  <c r="BV115" i="286"/>
  <c r="BX528" i="321"/>
  <c r="BY48" i="315"/>
  <c r="BY52" i="315"/>
  <c r="BY53" i="315"/>
  <c r="BY55" i="315"/>
  <c r="BY56" i="315"/>
  <c r="BY57" i="315"/>
  <c r="BW97" i="286"/>
  <c r="BW115" i="286"/>
  <c r="BY528" i="321"/>
  <c r="BZ48" i="315"/>
  <c r="BZ52" i="315"/>
  <c r="BZ53" i="315"/>
  <c r="BZ55" i="315"/>
  <c r="BZ56" i="315"/>
  <c r="BZ57" i="315"/>
  <c r="BX97" i="286"/>
  <c r="BX115" i="286"/>
  <c r="BZ528" i="321"/>
  <c r="CA48" i="315"/>
  <c r="CA52" i="315"/>
  <c r="CA53" i="315"/>
  <c r="CA55" i="315"/>
  <c r="CA56" i="315"/>
  <c r="CA57" i="315"/>
  <c r="BY97" i="286"/>
  <c r="BY115" i="286"/>
  <c r="CA528" i="321"/>
  <c r="CB48" i="315"/>
  <c r="CB52" i="315"/>
  <c r="CB53" i="315"/>
  <c r="CB55" i="315"/>
  <c r="CB56" i="315"/>
  <c r="CB57" i="315"/>
  <c r="BZ97" i="286"/>
  <c r="BZ115" i="286"/>
  <c r="CB528" i="321"/>
  <c r="CC48" i="315"/>
  <c r="CC52" i="315"/>
  <c r="CC53" i="315"/>
  <c r="CC55" i="315"/>
  <c r="CC56" i="315"/>
  <c r="CC57" i="315"/>
  <c r="CA97" i="286"/>
  <c r="CA115" i="286"/>
  <c r="CC528" i="321"/>
  <c r="CD48" i="315"/>
  <c r="CD52" i="315"/>
  <c r="CD53" i="315"/>
  <c r="CD55" i="315"/>
  <c r="CD56" i="315"/>
  <c r="CD57" i="315"/>
  <c r="CB97" i="286"/>
  <c r="CB115" i="286"/>
  <c r="CD528" i="321"/>
  <c r="CE48" i="315"/>
  <c r="CE52" i="315"/>
  <c r="CE53" i="315"/>
  <c r="CE55" i="315"/>
  <c r="CE56" i="315"/>
  <c r="CE57" i="315"/>
  <c r="CC97" i="286"/>
  <c r="CC115" i="286"/>
  <c r="CE528" i="321"/>
  <c r="CF48" i="315"/>
  <c r="CF52" i="315"/>
  <c r="CF53" i="315"/>
  <c r="CF55" i="315"/>
  <c r="CF56" i="315"/>
  <c r="CF57" i="315"/>
  <c r="CD97" i="286"/>
  <c r="CD115" i="286"/>
  <c r="CF528" i="321"/>
  <c r="CG48" i="315"/>
  <c r="CG52" i="315"/>
  <c r="CG53" i="315"/>
  <c r="CG55" i="315"/>
  <c r="CG56" i="315"/>
  <c r="CG57" i="315"/>
  <c r="CE97" i="286"/>
  <c r="CE115" i="286"/>
  <c r="CG528" i="321"/>
  <c r="CH48" i="315"/>
  <c r="CH52" i="315"/>
  <c r="CH53" i="315"/>
  <c r="CH55" i="315"/>
  <c r="CH56" i="315"/>
  <c r="CH57" i="315"/>
  <c r="CF97" i="286"/>
  <c r="CF115" i="286"/>
  <c r="CH528" i="321"/>
  <c r="CI48" i="315"/>
  <c r="CI52" i="315"/>
  <c r="CI53" i="315"/>
  <c r="CI55" i="315"/>
  <c r="CI56" i="315"/>
  <c r="CI57" i="315"/>
  <c r="CG97" i="286"/>
  <c r="CG115" i="286"/>
  <c r="CI528" i="321"/>
  <c r="CJ48" i="315"/>
  <c r="CJ52" i="315"/>
  <c r="CJ53" i="315"/>
  <c r="CJ55" i="315"/>
  <c r="CJ56" i="315"/>
  <c r="CJ57" i="315"/>
  <c r="CH97" i="286"/>
  <c r="CH115" i="286"/>
  <c r="CJ528" i="321"/>
  <c r="CK48" i="315"/>
  <c r="CK52" i="315"/>
  <c r="CK53" i="315"/>
  <c r="CK55" i="315"/>
  <c r="CK56" i="315"/>
  <c r="CK57" i="315"/>
  <c r="CI97" i="286"/>
  <c r="CI115" i="286"/>
  <c r="CK528" i="321"/>
  <c r="CL48" i="315"/>
  <c r="CL52" i="315"/>
  <c r="CL53" i="315"/>
  <c r="CL55" i="315"/>
  <c r="CL56" i="315"/>
  <c r="CL57" i="315"/>
  <c r="CJ97" i="286"/>
  <c r="CJ115" i="286"/>
  <c r="CL528" i="321"/>
  <c r="CM48" i="315"/>
  <c r="CM52" i="315"/>
  <c r="CM53" i="315"/>
  <c r="CM55" i="315"/>
  <c r="CM56" i="315"/>
  <c r="CM57" i="315"/>
  <c r="CK97" i="286"/>
  <c r="CK115" i="286"/>
  <c r="CM528" i="321"/>
  <c r="CN48" i="315"/>
  <c r="CN52" i="315"/>
  <c r="CN53" i="315"/>
  <c r="CN55" i="315"/>
  <c r="CN56" i="315"/>
  <c r="CN57" i="315"/>
  <c r="CL97" i="286"/>
  <c r="CL115" i="286"/>
  <c r="CN528" i="321"/>
  <c r="CO48" i="315"/>
  <c r="CO52" i="315"/>
  <c r="CO53" i="315"/>
  <c r="CO55" i="315"/>
  <c r="CO56" i="315"/>
  <c r="CO57" i="315"/>
  <c r="CM97" i="286"/>
  <c r="CM115" i="286"/>
  <c r="CO528" i="321"/>
  <c r="CP48" i="315"/>
  <c r="CP52" i="315"/>
  <c r="CP53" i="315"/>
  <c r="CP55" i="315"/>
  <c r="CP56" i="315"/>
  <c r="CP57" i="315"/>
  <c r="CN97" i="286"/>
  <c r="CN115" i="286"/>
  <c r="CP528" i="321"/>
  <c r="CQ48" i="315"/>
  <c r="CQ52" i="315"/>
  <c r="CQ53" i="315"/>
  <c r="CQ55" i="315"/>
  <c r="CQ56" i="315"/>
  <c r="CQ57" i="315"/>
  <c r="G33" i="314"/>
  <c r="G157" i="314"/>
  <c r="E157" i="314"/>
  <c r="E135" i="288"/>
  <c r="F135" i="288"/>
  <c r="G500" i="307"/>
  <c r="G135" i="288"/>
  <c r="I135" i="288"/>
  <c r="BF135" i="288"/>
  <c r="BG135" i="288"/>
  <c r="BH135" i="288"/>
  <c r="BI135" i="288"/>
  <c r="BJ135" i="288"/>
  <c r="BK135" i="288"/>
  <c r="BL135" i="288"/>
  <c r="BM135" i="288"/>
  <c r="BN135" i="288"/>
  <c r="BO135" i="288"/>
  <c r="BP135" i="288"/>
  <c r="BQ135" i="288"/>
  <c r="BR135" i="288"/>
  <c r="BS135" i="288"/>
  <c r="BT135" i="288"/>
  <c r="BU135" i="288"/>
  <c r="BV135" i="288"/>
  <c r="BW135" i="288"/>
  <c r="BX135" i="288"/>
  <c r="BY135" i="288"/>
  <c r="BZ135" i="288"/>
  <c r="CA135" i="288"/>
  <c r="CB135" i="288"/>
  <c r="CC135" i="288"/>
  <c r="CD135" i="288"/>
  <c r="CE135" i="288"/>
  <c r="CF135" i="288"/>
  <c r="CG135" i="288"/>
  <c r="CH135" i="288"/>
  <c r="CI135" i="288"/>
  <c r="CJ135" i="288"/>
  <c r="CK135" i="288"/>
  <c r="CL135" i="288"/>
  <c r="CM135" i="288"/>
  <c r="CN135" i="288"/>
  <c r="CO135" i="288"/>
  <c r="CP135" i="288"/>
  <c r="CQ135" i="288"/>
  <c r="CR135" i="288"/>
  <c r="CS135" i="288"/>
  <c r="CT135" i="288"/>
  <c r="CU135" i="288"/>
  <c r="CV135" i="288"/>
  <c r="E21" i="307"/>
  <c r="F21" i="307"/>
  <c r="G154" i="307"/>
  <c r="G21" i="307"/>
  <c r="I21" i="307"/>
  <c r="E20" i="307"/>
  <c r="F20" i="307"/>
  <c r="G191" i="307"/>
  <c r="G20" i="307"/>
  <c r="I20" i="307"/>
  <c r="E19" i="307"/>
  <c r="F19" i="307"/>
  <c r="G168" i="307"/>
  <c r="G19" i="307"/>
  <c r="I19" i="307"/>
  <c r="E368" i="321"/>
  <c r="F368" i="321"/>
  <c r="G413" i="321"/>
  <c r="G435" i="321"/>
  <c r="G368" i="321"/>
  <c r="I368" i="321"/>
  <c r="E365" i="321"/>
  <c r="F365" i="321"/>
  <c r="G397" i="321"/>
  <c r="G105" i="288"/>
  <c r="I365" i="321"/>
  <c r="E367" i="321"/>
  <c r="F367" i="321"/>
  <c r="G429" i="321"/>
  <c r="G257" i="288"/>
  <c r="I367" i="321"/>
  <c r="J252" i="288"/>
  <c r="J254" i="288"/>
  <c r="J258" i="288"/>
  <c r="E257" i="288"/>
  <c r="F257" i="288"/>
  <c r="I257" i="288"/>
  <c r="E258" i="288"/>
  <c r="F258" i="288"/>
  <c r="G433" i="321"/>
  <c r="G411" i="321"/>
  <c r="H258" i="288"/>
  <c r="I258" i="288"/>
  <c r="CQ528" i="321"/>
  <c r="CR52" i="315"/>
  <c r="CR53" i="315"/>
  <c r="CR528" i="321"/>
  <c r="CS52" i="315"/>
  <c r="CS53" i="315"/>
  <c r="CS528" i="321"/>
  <c r="CT52" i="315"/>
  <c r="CT53" i="315"/>
  <c r="CT528" i="321"/>
  <c r="CU52" i="315"/>
  <c r="CU53" i="315"/>
  <c r="CU528" i="321"/>
  <c r="CV52" i="315"/>
  <c r="CV53" i="315"/>
  <c r="CV528" i="321"/>
  <c r="CV272" i="288"/>
  <c r="I271" i="288"/>
  <c r="H271" i="288"/>
  <c r="G436" i="321"/>
  <c r="F271" i="288"/>
  <c r="E271" i="288"/>
  <c r="BF54" i="265"/>
  <c r="BF55" i="265"/>
  <c r="BF484" i="321"/>
  <c r="BG54" i="265"/>
  <c r="BG55" i="265"/>
  <c r="BG484" i="321"/>
  <c r="BH54" i="265"/>
  <c r="BH55" i="265"/>
  <c r="BH484" i="321"/>
  <c r="BI54" i="265"/>
  <c r="BI55" i="265"/>
  <c r="BI484" i="321"/>
  <c r="BJ54" i="265"/>
  <c r="BJ55" i="265"/>
  <c r="BJ484" i="321"/>
  <c r="BK54" i="265"/>
  <c r="BK55" i="265"/>
  <c r="BK484" i="321"/>
  <c r="BL54" i="265"/>
  <c r="BL55" i="265"/>
  <c r="BL484" i="321"/>
  <c r="BM54" i="265"/>
  <c r="BM55" i="265"/>
  <c r="BM484" i="321"/>
  <c r="BN54" i="265"/>
  <c r="BN55" i="265"/>
  <c r="BN484" i="321"/>
  <c r="BO54" i="265"/>
  <c r="BO55" i="265"/>
  <c r="BO484" i="321"/>
  <c r="BP54" i="265"/>
  <c r="BP55" i="265"/>
  <c r="BP484" i="321"/>
  <c r="BQ54" i="265"/>
  <c r="BQ55" i="265"/>
  <c r="BQ484" i="321"/>
  <c r="BR54" i="265"/>
  <c r="BR55" i="265"/>
  <c r="BR484" i="321"/>
  <c r="BS54" i="265"/>
  <c r="BS55" i="265"/>
  <c r="BS484" i="321"/>
  <c r="BT54" i="265"/>
  <c r="BT55" i="265"/>
  <c r="BT484" i="321"/>
  <c r="BU54" i="265"/>
  <c r="BU55" i="265"/>
  <c r="BU484" i="321"/>
  <c r="BV54" i="265"/>
  <c r="BV55" i="265"/>
  <c r="BV484" i="321"/>
  <c r="BW54" i="265"/>
  <c r="BW55" i="265"/>
  <c r="BW484" i="321"/>
  <c r="BX54" i="265"/>
  <c r="BX55" i="265"/>
  <c r="BX484" i="321"/>
  <c r="BY54" i="265"/>
  <c r="BY55" i="265"/>
  <c r="BY484" i="321"/>
  <c r="BZ54" i="265"/>
  <c r="BZ55" i="265"/>
  <c r="BZ484" i="321"/>
  <c r="CA54" i="265"/>
  <c r="CA55" i="265"/>
  <c r="CA484" i="321"/>
  <c r="CB54" i="265"/>
  <c r="CB55" i="265"/>
  <c r="CB484" i="321"/>
  <c r="CC54" i="265"/>
  <c r="CC55" i="265"/>
  <c r="CC484" i="321"/>
  <c r="CD54" i="265"/>
  <c r="CD55" i="265"/>
  <c r="CD484" i="321"/>
  <c r="CE54" i="265"/>
  <c r="CE55" i="265"/>
  <c r="CE484" i="321"/>
  <c r="CF54" i="265"/>
  <c r="CF55" i="265"/>
  <c r="CF484" i="321"/>
  <c r="CG54" i="265"/>
  <c r="CG55" i="265"/>
  <c r="CG484" i="321"/>
  <c r="CH54" i="265"/>
  <c r="CH55" i="265"/>
  <c r="CH484" i="321"/>
  <c r="CI54" i="265"/>
  <c r="CI55" i="265"/>
  <c r="CI484" i="321"/>
  <c r="CJ54" i="265"/>
  <c r="CJ55" i="265"/>
  <c r="CJ484" i="321"/>
  <c r="CK54" i="265"/>
  <c r="CK55" i="265"/>
  <c r="CK484" i="321"/>
  <c r="CL54" i="265"/>
  <c r="CL55" i="265"/>
  <c r="CL484" i="321"/>
  <c r="CM54" i="265"/>
  <c r="CM55" i="265"/>
  <c r="CM484" i="321"/>
  <c r="CN54" i="265"/>
  <c r="CN55" i="265"/>
  <c r="CN484" i="321"/>
  <c r="CO54" i="265"/>
  <c r="CO55" i="265"/>
  <c r="CO484" i="321"/>
  <c r="CP54" i="265"/>
  <c r="CP55" i="265"/>
  <c r="CP484" i="321"/>
  <c r="CQ54" i="265"/>
  <c r="CQ55" i="265"/>
  <c r="CQ484" i="321"/>
  <c r="CR54" i="265"/>
  <c r="CR55" i="265"/>
  <c r="CR484" i="321"/>
  <c r="CS54" i="265"/>
  <c r="CS55" i="265"/>
  <c r="CS484" i="321"/>
  <c r="CT54" i="265"/>
  <c r="CT55" i="265"/>
  <c r="CT484" i="321"/>
  <c r="CU54" i="265"/>
  <c r="CU55" i="265"/>
  <c r="CU484" i="321"/>
  <c r="CV54" i="265"/>
  <c r="CV55" i="265"/>
  <c r="CV484" i="321"/>
  <c r="CV122" i="288"/>
  <c r="E121" i="288"/>
  <c r="F121" i="288"/>
  <c r="H121" i="288"/>
  <c r="I121" i="288"/>
  <c r="J102" i="288"/>
  <c r="J104" i="288"/>
  <c r="J108" i="288"/>
  <c r="E108" i="288"/>
  <c r="F108" i="288"/>
  <c r="H108" i="288"/>
  <c r="I108" i="288"/>
  <c r="E107" i="288"/>
  <c r="F107" i="288"/>
  <c r="I107" i="288"/>
  <c r="E33" i="282"/>
  <c r="F33" i="282"/>
  <c r="I33" i="282"/>
  <c r="E540" i="307"/>
  <c r="F540" i="307"/>
  <c r="G536" i="307"/>
  <c r="G540" i="307"/>
  <c r="H540" i="307"/>
  <c r="I540" i="307"/>
  <c r="E14" i="310"/>
  <c r="F14" i="310"/>
  <c r="I14" i="310"/>
  <c r="G382" i="321"/>
  <c r="G75" i="265"/>
  <c r="G150" i="269"/>
  <c r="E414" i="321"/>
  <c r="E76" i="265"/>
  <c r="G398" i="321"/>
  <c r="E430" i="321"/>
  <c r="E72" i="265"/>
  <c r="F122" i="277"/>
  <c r="E122" i="265"/>
  <c r="E122" i="277"/>
  <c r="BF49" i="265"/>
  <c r="BG49" i="265"/>
  <c r="BF50" i="265"/>
  <c r="BG50" i="265"/>
  <c r="BF51" i="265"/>
  <c r="BG51" i="265"/>
  <c r="BF52" i="265"/>
  <c r="BG52" i="265"/>
  <c r="BF57" i="265"/>
  <c r="BG57" i="265"/>
  <c r="BF58" i="265"/>
  <c r="BG58" i="265"/>
  <c r="BF59" i="265"/>
  <c r="BG59" i="265"/>
  <c r="BH49" i="265"/>
  <c r="BI49" i="265"/>
  <c r="BJ49" i="265"/>
  <c r="BK49" i="265"/>
  <c r="BH50" i="265"/>
  <c r="BI50" i="265"/>
  <c r="BJ50" i="265"/>
  <c r="BK50" i="265"/>
  <c r="BH51" i="265"/>
  <c r="BI51" i="265"/>
  <c r="BJ51" i="265"/>
  <c r="BK51" i="265"/>
  <c r="BH52" i="265"/>
  <c r="BI52" i="265"/>
  <c r="BJ52" i="265"/>
  <c r="BK52" i="265"/>
  <c r="BH57" i="265"/>
  <c r="BI57" i="265"/>
  <c r="BJ57" i="265"/>
  <c r="BK57" i="265"/>
  <c r="BH58" i="265"/>
  <c r="BI58" i="265"/>
  <c r="BJ58" i="265"/>
  <c r="BK58" i="265"/>
  <c r="BH59" i="265"/>
  <c r="BI59" i="265"/>
  <c r="BJ59" i="265"/>
  <c r="BK59" i="265"/>
  <c r="BL49" i="265"/>
  <c r="BM49" i="265"/>
  <c r="BN49" i="265"/>
  <c r="BO49" i="265"/>
  <c r="BL50" i="265"/>
  <c r="BM50" i="265"/>
  <c r="BN50" i="265"/>
  <c r="BO50" i="265"/>
  <c r="BL51" i="265"/>
  <c r="BM51" i="265"/>
  <c r="BN51" i="265"/>
  <c r="BO51" i="265"/>
  <c r="BL52" i="265"/>
  <c r="BM52" i="265"/>
  <c r="BN52" i="265"/>
  <c r="BO52" i="265"/>
  <c r="BL57" i="265"/>
  <c r="BM57" i="265"/>
  <c r="BN57" i="265"/>
  <c r="BO57" i="265"/>
  <c r="BL58" i="265"/>
  <c r="BM58" i="265"/>
  <c r="BN58" i="265"/>
  <c r="BO58" i="265"/>
  <c r="BL59" i="265"/>
  <c r="BM59" i="265"/>
  <c r="BN59" i="265"/>
  <c r="BO59" i="265"/>
  <c r="BP49" i="265"/>
  <c r="BQ49" i="265"/>
  <c r="BR49" i="265"/>
  <c r="BS49" i="265"/>
  <c r="BP50" i="265"/>
  <c r="BQ50" i="265"/>
  <c r="BR50" i="265"/>
  <c r="BS50" i="265"/>
  <c r="BP51" i="265"/>
  <c r="BQ51" i="265"/>
  <c r="BR51" i="265"/>
  <c r="BS51" i="265"/>
  <c r="BP52" i="265"/>
  <c r="BQ52" i="265"/>
  <c r="BR52" i="265"/>
  <c r="BS52" i="265"/>
  <c r="BP57" i="265"/>
  <c r="BQ57" i="265"/>
  <c r="BR57" i="265"/>
  <c r="BS57" i="265"/>
  <c r="BP58" i="265"/>
  <c r="BQ58" i="265"/>
  <c r="BR58" i="265"/>
  <c r="BS58" i="265"/>
  <c r="BP59" i="265"/>
  <c r="BQ59" i="265"/>
  <c r="BR59" i="265"/>
  <c r="BS59" i="265"/>
  <c r="BT49" i="265"/>
  <c r="BU49" i="265"/>
  <c r="BV49" i="265"/>
  <c r="BW49" i="265"/>
  <c r="BT50" i="265"/>
  <c r="BU50" i="265"/>
  <c r="BV50" i="265"/>
  <c r="BW50" i="265"/>
  <c r="BT51" i="265"/>
  <c r="BU51" i="265"/>
  <c r="BV51" i="265"/>
  <c r="BW51" i="265"/>
  <c r="BT52" i="265"/>
  <c r="BU52" i="265"/>
  <c r="BV52" i="265"/>
  <c r="BW52" i="265"/>
  <c r="BT57" i="265"/>
  <c r="BU57" i="265"/>
  <c r="BV57" i="265"/>
  <c r="BW57" i="265"/>
  <c r="BT58" i="265"/>
  <c r="BU58" i="265"/>
  <c r="BV58" i="265"/>
  <c r="BW58" i="265"/>
  <c r="BT59" i="265"/>
  <c r="BU59" i="265"/>
  <c r="BV59" i="265"/>
  <c r="BW59" i="265"/>
  <c r="BX49" i="265"/>
  <c r="BY49" i="265"/>
  <c r="BZ49" i="265"/>
  <c r="CA49" i="265"/>
  <c r="BX50" i="265"/>
  <c r="BY50" i="265"/>
  <c r="BZ50" i="265"/>
  <c r="CA50" i="265"/>
  <c r="BX51" i="265"/>
  <c r="BY51" i="265"/>
  <c r="BZ51" i="265"/>
  <c r="CA51" i="265"/>
  <c r="BX52" i="265"/>
  <c r="BY52" i="265"/>
  <c r="BZ52" i="265"/>
  <c r="CA52" i="265"/>
  <c r="BX57" i="265"/>
  <c r="BY57" i="265"/>
  <c r="BZ57" i="265"/>
  <c r="CA57" i="265"/>
  <c r="BX58" i="265"/>
  <c r="BY58" i="265"/>
  <c r="BZ58" i="265"/>
  <c r="CA58" i="265"/>
  <c r="BX59" i="265"/>
  <c r="BY59" i="265"/>
  <c r="BZ59" i="265"/>
  <c r="CA59" i="265"/>
  <c r="CB49" i="265"/>
  <c r="CC49" i="265"/>
  <c r="CD49" i="265"/>
  <c r="CE49" i="265"/>
  <c r="CB50" i="265"/>
  <c r="CC50" i="265"/>
  <c r="CD50" i="265"/>
  <c r="CE50" i="265"/>
  <c r="CB51" i="265"/>
  <c r="CC51" i="265"/>
  <c r="CD51" i="265"/>
  <c r="CE51" i="265"/>
  <c r="CB52" i="265"/>
  <c r="CC52" i="265"/>
  <c r="CD52" i="265"/>
  <c r="CE52" i="265"/>
  <c r="CB57" i="265"/>
  <c r="CC57" i="265"/>
  <c r="CD57" i="265"/>
  <c r="CE57" i="265"/>
  <c r="CB58" i="265"/>
  <c r="CC58" i="265"/>
  <c r="CD58" i="265"/>
  <c r="CE58" i="265"/>
  <c r="CB59" i="265"/>
  <c r="CC59" i="265"/>
  <c r="CD59" i="265"/>
  <c r="CE59" i="265"/>
  <c r="CF49" i="265"/>
  <c r="CG49" i="265"/>
  <c r="CH49" i="265"/>
  <c r="CI49" i="265"/>
  <c r="CF50" i="265"/>
  <c r="CG50" i="265"/>
  <c r="CH50" i="265"/>
  <c r="CI50" i="265"/>
  <c r="CF51" i="265"/>
  <c r="CG51" i="265"/>
  <c r="CH51" i="265"/>
  <c r="CI51" i="265"/>
  <c r="CF52" i="265"/>
  <c r="CG52" i="265"/>
  <c r="CH52" i="265"/>
  <c r="CI52" i="265"/>
  <c r="CF57" i="265"/>
  <c r="CG57" i="265"/>
  <c r="CH57" i="265"/>
  <c r="CI57" i="265"/>
  <c r="CF58" i="265"/>
  <c r="CG58" i="265"/>
  <c r="CH58" i="265"/>
  <c r="CI58" i="265"/>
  <c r="CF59" i="265"/>
  <c r="CG59" i="265"/>
  <c r="CH59" i="265"/>
  <c r="CI59" i="265"/>
  <c r="CJ49" i="265"/>
  <c r="CK49" i="265"/>
  <c r="CL49" i="265"/>
  <c r="CM49" i="265"/>
  <c r="CJ50" i="265"/>
  <c r="CK50" i="265"/>
  <c r="CL50" i="265"/>
  <c r="CM50" i="265"/>
  <c r="CJ51" i="265"/>
  <c r="CK51" i="265"/>
  <c r="CL51" i="265"/>
  <c r="CM51" i="265"/>
  <c r="CJ52" i="265"/>
  <c r="CK52" i="265"/>
  <c r="CL52" i="265"/>
  <c r="CM52" i="265"/>
  <c r="CJ57" i="265"/>
  <c r="CK57" i="265"/>
  <c r="CL57" i="265"/>
  <c r="CM57" i="265"/>
  <c r="CJ58" i="265"/>
  <c r="CK58" i="265"/>
  <c r="CL58" i="265"/>
  <c r="CM58" i="265"/>
  <c r="CJ59" i="265"/>
  <c r="CK59" i="265"/>
  <c r="CL59" i="265"/>
  <c r="CM59" i="265"/>
  <c r="CN49" i="265"/>
  <c r="CO49" i="265"/>
  <c r="CP49" i="265"/>
  <c r="CQ49" i="265"/>
  <c r="CN50" i="265"/>
  <c r="CO50" i="265"/>
  <c r="CP50" i="265"/>
  <c r="CQ50" i="265"/>
  <c r="CN51" i="265"/>
  <c r="CO51" i="265"/>
  <c r="CP51" i="265"/>
  <c r="CQ51" i="265"/>
  <c r="CN52" i="265"/>
  <c r="CO52" i="265"/>
  <c r="CP52" i="265"/>
  <c r="CQ52" i="265"/>
  <c r="CN57" i="265"/>
  <c r="CO57" i="265"/>
  <c r="CP57" i="265"/>
  <c r="CQ57" i="265"/>
  <c r="CN58" i="265"/>
  <c r="CO58" i="265"/>
  <c r="CP58" i="265"/>
  <c r="CQ58" i="265"/>
  <c r="CN59" i="265"/>
  <c r="CO59" i="265"/>
  <c r="CP59" i="265"/>
  <c r="CQ59" i="265"/>
  <c r="CR49" i="265"/>
  <c r="CS49" i="265"/>
  <c r="CT49" i="265"/>
  <c r="CU49" i="265"/>
  <c r="CR50" i="265"/>
  <c r="CS50" i="265"/>
  <c r="CT50" i="265"/>
  <c r="CU50" i="265"/>
  <c r="CR51" i="265"/>
  <c r="CS51" i="265"/>
  <c r="CT51" i="265"/>
  <c r="CU51" i="265"/>
  <c r="CR52" i="265"/>
  <c r="CS52" i="265"/>
  <c r="CT52" i="265"/>
  <c r="CU52" i="265"/>
  <c r="CR57" i="265"/>
  <c r="CS57" i="265"/>
  <c r="CT57" i="265"/>
  <c r="CU57" i="265"/>
  <c r="CR58" i="265"/>
  <c r="CS58" i="265"/>
  <c r="CT58" i="265"/>
  <c r="CU58" i="265"/>
  <c r="CR59" i="265"/>
  <c r="CS59" i="265"/>
  <c r="CT59" i="265"/>
  <c r="CU59" i="265"/>
  <c r="CV49" i="265"/>
  <c r="CV50" i="265"/>
  <c r="CV51" i="265"/>
  <c r="CV52" i="265"/>
  <c r="CV57" i="265"/>
  <c r="CV58" i="265"/>
  <c r="CV59" i="265"/>
  <c r="G414" i="321"/>
  <c r="G76" i="265"/>
  <c r="G76" i="277"/>
  <c r="G430" i="321"/>
  <c r="F22" i="277"/>
  <c r="E118" i="315"/>
  <c r="F118" i="315"/>
  <c r="H118" i="315"/>
  <c r="I118" i="315"/>
  <c r="BF47" i="315"/>
  <c r="BF49" i="315"/>
  <c r="BF50" i="315"/>
  <c r="BG47" i="315"/>
  <c r="BG49" i="315"/>
  <c r="BG50" i="315"/>
  <c r="BH47" i="315"/>
  <c r="BH49" i="315"/>
  <c r="BH50" i="315"/>
  <c r="BI47" i="315"/>
  <c r="BI49" i="315"/>
  <c r="BI50" i="315"/>
  <c r="BJ47" i="315"/>
  <c r="BJ49" i="315"/>
  <c r="BJ50" i="315"/>
  <c r="BK47" i="315"/>
  <c r="BK49" i="315"/>
  <c r="BK50" i="315"/>
  <c r="BL47" i="315"/>
  <c r="BL49" i="315"/>
  <c r="BL50" i="315"/>
  <c r="BM47" i="315"/>
  <c r="BM49" i="315"/>
  <c r="BM50" i="315"/>
  <c r="BN47" i="315"/>
  <c r="BN49" i="315"/>
  <c r="BN50" i="315"/>
  <c r="BO47" i="315"/>
  <c r="BO49" i="315"/>
  <c r="BO50" i="315"/>
  <c r="BP47" i="315"/>
  <c r="BP49" i="315"/>
  <c r="BP50" i="315"/>
  <c r="BQ47" i="315"/>
  <c r="BQ49" i="315"/>
  <c r="BQ50" i="315"/>
  <c r="BR47" i="315"/>
  <c r="BR49" i="315"/>
  <c r="BR50" i="315"/>
  <c r="BS47" i="315"/>
  <c r="BS49" i="315"/>
  <c r="BS50" i="315"/>
  <c r="BT47" i="315"/>
  <c r="BT49" i="315"/>
  <c r="BT50" i="315"/>
  <c r="BU47" i="315"/>
  <c r="BU49" i="315"/>
  <c r="BU50" i="315"/>
  <c r="BV47" i="315"/>
  <c r="BV49" i="315"/>
  <c r="BV50" i="315"/>
  <c r="BW47" i="315"/>
  <c r="BW49" i="315"/>
  <c r="BW50" i="315"/>
  <c r="BX47" i="315"/>
  <c r="BX49" i="315"/>
  <c r="BX50" i="315"/>
  <c r="BY47" i="315"/>
  <c r="BY49" i="315"/>
  <c r="BY50" i="315"/>
  <c r="BZ47" i="315"/>
  <c r="BZ49" i="315"/>
  <c r="BZ50" i="315"/>
  <c r="CA47" i="315"/>
  <c r="CA49" i="315"/>
  <c r="CA50" i="315"/>
  <c r="CB47" i="315"/>
  <c r="CB49" i="315"/>
  <c r="CB50" i="315"/>
  <c r="CC47" i="315"/>
  <c r="CC49" i="315"/>
  <c r="CC50" i="315"/>
  <c r="CD47" i="315"/>
  <c r="CD49" i="315"/>
  <c r="CD50" i="315"/>
  <c r="CE47" i="315"/>
  <c r="CE49" i="315"/>
  <c r="CE50" i="315"/>
  <c r="CF47" i="315"/>
  <c r="CF49" i="315"/>
  <c r="CF50" i="315"/>
  <c r="CG47" i="315"/>
  <c r="CG49" i="315"/>
  <c r="CG50" i="315"/>
  <c r="CH47" i="315"/>
  <c r="CH49" i="315"/>
  <c r="CH50" i="315"/>
  <c r="CI47" i="315"/>
  <c r="CI49" i="315"/>
  <c r="CI50" i="315"/>
  <c r="CJ47" i="315"/>
  <c r="CJ49" i="315"/>
  <c r="CJ50" i="315"/>
  <c r="CK47" i="315"/>
  <c r="CK49" i="315"/>
  <c r="CK50" i="315"/>
  <c r="CL47" i="315"/>
  <c r="CL49" i="315"/>
  <c r="CL50" i="315"/>
  <c r="CM47" i="315"/>
  <c r="CM49" i="315"/>
  <c r="CM50" i="315"/>
  <c r="CN47" i="315"/>
  <c r="CN49" i="315"/>
  <c r="CN50" i="315"/>
  <c r="CO47" i="315"/>
  <c r="CO49" i="315"/>
  <c r="CO50" i="315"/>
  <c r="CP47" i="315"/>
  <c r="CP49" i="315"/>
  <c r="CP50" i="315"/>
  <c r="CQ47" i="315"/>
  <c r="CQ49" i="315"/>
  <c r="CQ50" i="315"/>
  <c r="CR47" i="315"/>
  <c r="CR48" i="315"/>
  <c r="CR49" i="315"/>
  <c r="CR50" i="315"/>
  <c r="CR55" i="315"/>
  <c r="CR56" i="315"/>
  <c r="CR57" i="315"/>
  <c r="CS47" i="315"/>
  <c r="CS48" i="315"/>
  <c r="CS49" i="315"/>
  <c r="CS50" i="315"/>
  <c r="CS55" i="315"/>
  <c r="CS56" i="315"/>
  <c r="CS57" i="315"/>
  <c r="CT47" i="315"/>
  <c r="CT48" i="315"/>
  <c r="CT49" i="315"/>
  <c r="CT50" i="315"/>
  <c r="CT55" i="315"/>
  <c r="CT56" i="315"/>
  <c r="CT57" i="315"/>
  <c r="CU47" i="315"/>
  <c r="CU48" i="315"/>
  <c r="CU49" i="315"/>
  <c r="CU50" i="315"/>
  <c r="CU55" i="315"/>
  <c r="CU56" i="315"/>
  <c r="CU57" i="315"/>
  <c r="CV47" i="315"/>
  <c r="CV48" i="315"/>
  <c r="CV49" i="315"/>
  <c r="CV50" i="315"/>
  <c r="CV55" i="315"/>
  <c r="CV56" i="315"/>
  <c r="CV57" i="315"/>
  <c r="E72" i="315"/>
  <c r="F72" i="315"/>
  <c r="G72" i="315"/>
  <c r="I72" i="315"/>
  <c r="I68" i="315"/>
  <c r="F68" i="315"/>
  <c r="E20" i="315"/>
  <c r="F20" i="315"/>
  <c r="I20" i="315"/>
  <c r="E435" i="321"/>
  <c r="F435" i="321"/>
  <c r="I435" i="321"/>
  <c r="E434" i="321"/>
  <c r="F434" i="321"/>
  <c r="G661" i="307"/>
  <c r="G434" i="321"/>
  <c r="I434" i="321"/>
  <c r="E427" i="321"/>
  <c r="F427" i="321"/>
  <c r="H427" i="321"/>
  <c r="I427" i="321"/>
  <c r="E428" i="321"/>
  <c r="F428" i="321"/>
  <c r="G428" i="321"/>
  <c r="H428" i="321"/>
  <c r="I428" i="321"/>
  <c r="E424" i="321"/>
  <c r="F424" i="321"/>
  <c r="G424" i="321"/>
  <c r="H424" i="321"/>
  <c r="I424" i="321"/>
  <c r="E422" i="321"/>
  <c r="G422" i="321"/>
  <c r="E411" i="321"/>
  <c r="F411" i="321"/>
  <c r="H411" i="321"/>
  <c r="I411" i="321"/>
  <c r="E412" i="321"/>
  <c r="F412" i="321"/>
  <c r="G409" i="321"/>
  <c r="G412" i="321"/>
  <c r="I412" i="321"/>
  <c r="E408" i="321"/>
  <c r="F408" i="321"/>
  <c r="G408" i="321"/>
  <c r="H64" i="311"/>
  <c r="H408" i="321"/>
  <c r="I408" i="321"/>
  <c r="E407" i="321"/>
  <c r="G490" i="307"/>
  <c r="G407" i="321"/>
  <c r="G381" i="321"/>
  <c r="G403" i="321"/>
  <c r="G401" i="321"/>
  <c r="I423" i="321"/>
  <c r="H423" i="321"/>
  <c r="G423" i="321"/>
  <c r="F423" i="321"/>
  <c r="E423" i="321"/>
  <c r="I419" i="321"/>
  <c r="H419" i="321"/>
  <c r="G419" i="321"/>
  <c r="F419" i="321"/>
  <c r="E419" i="321"/>
  <c r="G417" i="321"/>
  <c r="E417" i="321"/>
  <c r="G377" i="321"/>
  <c r="E402" i="321"/>
  <c r="F402" i="321"/>
  <c r="G656" i="307"/>
  <c r="G402" i="321"/>
  <c r="I402" i="321"/>
  <c r="E568" i="307"/>
  <c r="G568" i="307"/>
  <c r="E660" i="307"/>
  <c r="F660" i="307"/>
  <c r="G489" i="307"/>
  <c r="G493" i="307"/>
  <c r="G660" i="307"/>
  <c r="I660" i="307"/>
  <c r="G469" i="307"/>
  <c r="I659" i="307"/>
  <c r="H659" i="307"/>
  <c r="G659" i="307"/>
  <c r="F659" i="307"/>
  <c r="E659" i="307"/>
  <c r="I658" i="307"/>
  <c r="H658" i="307"/>
  <c r="G658" i="307"/>
  <c r="F658" i="307"/>
  <c r="E658" i="307"/>
  <c r="E655" i="307"/>
  <c r="F655" i="307"/>
  <c r="G655" i="307"/>
  <c r="I655" i="307"/>
  <c r="I654" i="307"/>
  <c r="H654" i="307"/>
  <c r="G654" i="307"/>
  <c r="F654" i="307"/>
  <c r="E654" i="307"/>
  <c r="I653" i="307"/>
  <c r="H653" i="307"/>
  <c r="G653" i="307"/>
  <c r="F653" i="307"/>
  <c r="E653" i="307"/>
  <c r="E650" i="307"/>
  <c r="F650" i="307"/>
  <c r="G650" i="307"/>
  <c r="I650" i="307"/>
  <c r="E499" i="307"/>
  <c r="F499" i="307"/>
  <c r="G499" i="307"/>
  <c r="I499" i="307"/>
  <c r="E498" i="307"/>
  <c r="F498" i="307"/>
  <c r="G498" i="307"/>
  <c r="I498" i="307"/>
  <c r="E577" i="307"/>
  <c r="F577" i="307"/>
  <c r="G573" i="307"/>
  <c r="G577" i="307"/>
  <c r="I577" i="307"/>
  <c r="E576" i="307"/>
  <c r="F576" i="307"/>
  <c r="G560" i="307"/>
  <c r="G576" i="307"/>
  <c r="I576" i="307"/>
  <c r="E571" i="307"/>
  <c r="F571" i="307"/>
  <c r="G492" i="307"/>
  <c r="G571" i="307"/>
  <c r="H571" i="307"/>
  <c r="I571" i="307"/>
  <c r="E569" i="307"/>
  <c r="F569" i="307"/>
  <c r="G569" i="307"/>
  <c r="H569" i="307"/>
  <c r="I569" i="307"/>
  <c r="E563" i="307"/>
  <c r="G563" i="307"/>
  <c r="I572" i="307"/>
  <c r="G572" i="307"/>
  <c r="F572" i="307"/>
  <c r="E572" i="307"/>
  <c r="G472" i="307"/>
  <c r="I570" i="307"/>
  <c r="H570" i="307"/>
  <c r="G570" i="307"/>
  <c r="F570" i="307"/>
  <c r="E570" i="307"/>
  <c r="I565" i="307"/>
  <c r="H565" i="307"/>
  <c r="G565" i="307"/>
  <c r="F565" i="307"/>
  <c r="E565" i="307"/>
  <c r="G564" i="307"/>
  <c r="E564" i="307"/>
  <c r="E534" i="307"/>
  <c r="F534" i="307"/>
  <c r="H534" i="307"/>
  <c r="I534" i="307"/>
  <c r="E493" i="307"/>
  <c r="F493" i="307"/>
  <c r="I493" i="307"/>
  <c r="E488" i="307"/>
  <c r="F488" i="307"/>
  <c r="G481" i="307"/>
  <c r="G488" i="307"/>
  <c r="H488" i="307"/>
  <c r="I488" i="307"/>
  <c r="E487" i="307"/>
  <c r="F487" i="307"/>
  <c r="G485" i="307"/>
  <c r="G487" i="307"/>
  <c r="I487" i="307"/>
  <c r="E480" i="307"/>
  <c r="F480" i="307"/>
  <c r="H480" i="307"/>
  <c r="I480" i="307"/>
  <c r="E483" i="307"/>
  <c r="G483" i="307"/>
  <c r="E478" i="307"/>
  <c r="G478" i="307"/>
  <c r="G495" i="307"/>
  <c r="G461" i="307"/>
  <c r="G465" i="307"/>
  <c r="G467" i="307"/>
  <c r="I484" i="307"/>
  <c r="G455" i="307"/>
  <c r="G464" i="307"/>
  <c r="F484" i="307"/>
  <c r="E484" i="307"/>
  <c r="G450" i="307"/>
  <c r="G479" i="307"/>
  <c r="E479" i="307"/>
  <c r="E467" i="307"/>
  <c r="F467" i="307"/>
  <c r="I467" i="307"/>
  <c r="E464" i="307"/>
  <c r="F464" i="307"/>
  <c r="I464" i="307"/>
  <c r="G463" i="307"/>
  <c r="E463" i="307"/>
  <c r="E458" i="307"/>
  <c r="G458" i="307"/>
  <c r="E545" i="307"/>
  <c r="F545" i="307"/>
  <c r="G541" i="307"/>
  <c r="G545" i="307"/>
  <c r="I545" i="307"/>
  <c r="E544" i="307"/>
  <c r="F544" i="307"/>
  <c r="G530" i="307"/>
  <c r="G544" i="307"/>
  <c r="I544" i="307"/>
  <c r="E538" i="307"/>
  <c r="G538" i="307"/>
  <c r="E533" i="307"/>
  <c r="G323" i="48"/>
  <c r="G533" i="307"/>
  <c r="G525" i="307"/>
  <c r="G539" i="307"/>
  <c r="E539" i="307"/>
  <c r="I535" i="307"/>
  <c r="G535" i="307"/>
  <c r="F535" i="307"/>
  <c r="E535" i="307"/>
  <c r="E522" i="307"/>
  <c r="G322" i="48"/>
  <c r="E517" i="307"/>
  <c r="F517" i="307"/>
  <c r="G513" i="307"/>
  <c r="G517" i="307"/>
  <c r="I517" i="307"/>
  <c r="E516" i="307"/>
  <c r="F516" i="307"/>
  <c r="G507" i="307"/>
  <c r="G516" i="307"/>
  <c r="I516" i="307"/>
  <c r="E511" i="307"/>
  <c r="E510" i="307"/>
  <c r="G510" i="307"/>
  <c r="I512" i="307"/>
  <c r="G512" i="307"/>
  <c r="F512" i="307"/>
  <c r="E512" i="307"/>
  <c r="E505" i="307"/>
  <c r="G21" i="264"/>
  <c r="E21" i="264"/>
  <c r="E306" i="48"/>
  <c r="G306" i="48"/>
  <c r="E305" i="48"/>
  <c r="G305" i="48"/>
  <c r="G20" i="264"/>
  <c r="E20" i="264"/>
  <c r="E113" i="288"/>
  <c r="F113" i="288"/>
  <c r="I113" i="288"/>
  <c r="E85" i="288"/>
  <c r="F85" i="288"/>
  <c r="I85" i="288"/>
  <c r="E65" i="288"/>
  <c r="F65" i="288"/>
  <c r="I65" i="288"/>
  <c r="E320" i="48"/>
  <c r="G320" i="48"/>
  <c r="E319" i="48"/>
  <c r="G319" i="48"/>
  <c r="E291" i="321"/>
  <c r="F291" i="321"/>
  <c r="G291" i="321"/>
  <c r="I291" i="321"/>
  <c r="E41" i="311"/>
  <c r="F41" i="311"/>
  <c r="G41" i="311"/>
  <c r="E347" i="321"/>
  <c r="F347" i="321"/>
  <c r="G347" i="321"/>
  <c r="H347" i="321"/>
  <c r="I347" i="321"/>
  <c r="I51" i="321"/>
  <c r="G51" i="321"/>
  <c r="F51" i="321"/>
  <c r="E51" i="321"/>
  <c r="E166" i="288"/>
  <c r="F166" i="288"/>
  <c r="G295" i="321"/>
  <c r="G166" i="288"/>
  <c r="I166" i="288"/>
  <c r="I254" i="288"/>
  <c r="H254" i="288"/>
  <c r="G299" i="321"/>
  <c r="G254" i="288"/>
  <c r="F254" i="288"/>
  <c r="E254" i="288"/>
  <c r="I253" i="288"/>
  <c r="G349" i="321"/>
  <c r="F253" i="288"/>
  <c r="E253" i="288"/>
  <c r="I269" i="288"/>
  <c r="H269" i="288"/>
  <c r="G302" i="321"/>
  <c r="G119" i="288"/>
  <c r="G269" i="288"/>
  <c r="F269" i="288"/>
  <c r="E269" i="288"/>
  <c r="E119" i="288"/>
  <c r="F119" i="288"/>
  <c r="H119" i="288"/>
  <c r="I119" i="288"/>
  <c r="E104" i="288"/>
  <c r="F104" i="288"/>
  <c r="G104" i="288"/>
  <c r="H104" i="288"/>
  <c r="I104" i="288"/>
  <c r="E103" i="288"/>
  <c r="F103" i="288"/>
  <c r="I103" i="288"/>
  <c r="E30" i="282"/>
  <c r="F30" i="282"/>
  <c r="I30" i="282"/>
  <c r="E119" i="265"/>
  <c r="E120" i="265"/>
  <c r="E63" i="328"/>
  <c r="G74" i="328"/>
  <c r="E50" i="321"/>
  <c r="F50" i="321"/>
  <c r="I50" i="321"/>
  <c r="G184" i="321"/>
  <c r="G73" i="265"/>
  <c r="G73" i="277"/>
  <c r="F149" i="269"/>
  <c r="E296" i="321"/>
  <c r="E74" i="265"/>
  <c r="G238" i="321"/>
  <c r="G67" i="265"/>
  <c r="G144" i="269"/>
  <c r="F145" i="269"/>
  <c r="E350" i="321"/>
  <c r="E19" i="265"/>
  <c r="E69" i="265"/>
  <c r="F120" i="277"/>
  <c r="G296" i="321"/>
  <c r="G74" i="265"/>
  <c r="G74" i="277"/>
  <c r="F74" i="277"/>
  <c r="G350" i="321"/>
  <c r="G19" i="265"/>
  <c r="G19" i="277"/>
  <c r="F69" i="277"/>
  <c r="F19" i="277"/>
  <c r="E116" i="315"/>
  <c r="F116" i="315"/>
  <c r="H116" i="315"/>
  <c r="I116" i="315"/>
  <c r="E70" i="315"/>
  <c r="F70" i="315"/>
  <c r="I70" i="315"/>
  <c r="I66" i="315"/>
  <c r="F66" i="315"/>
  <c r="E66" i="315"/>
  <c r="E346" i="321"/>
  <c r="F346" i="321"/>
  <c r="G346" i="321"/>
  <c r="H346" i="321"/>
  <c r="I346" i="321"/>
  <c r="E18" i="315"/>
  <c r="F18" i="315"/>
  <c r="I18" i="315"/>
  <c r="E364" i="321"/>
  <c r="F364" i="321"/>
  <c r="G364" i="321"/>
  <c r="I364" i="321"/>
  <c r="E363" i="321"/>
  <c r="F363" i="321"/>
  <c r="I363" i="321"/>
  <c r="E287" i="321"/>
  <c r="F287" i="321"/>
  <c r="G284" i="321"/>
  <c r="G287" i="321"/>
  <c r="I287" i="321"/>
  <c r="E294" i="321"/>
  <c r="F294" i="321"/>
  <c r="G292" i="321"/>
  <c r="G294" i="321"/>
  <c r="I294" i="321"/>
  <c r="G333" i="307"/>
  <c r="G286" i="321"/>
  <c r="E290" i="321"/>
  <c r="E286" i="321"/>
  <c r="H63" i="311"/>
  <c r="H376" i="321"/>
  <c r="G172" i="321"/>
  <c r="G175" i="321"/>
  <c r="G312" i="307"/>
  <c r="G83" i="321"/>
  <c r="E178" i="321"/>
  <c r="E174" i="321"/>
  <c r="E175" i="321"/>
  <c r="F175" i="321"/>
  <c r="I175" i="321"/>
  <c r="E182" i="321"/>
  <c r="F182" i="321"/>
  <c r="G180" i="321"/>
  <c r="G182" i="321"/>
  <c r="I182" i="321"/>
  <c r="E280" i="321"/>
  <c r="G280" i="321"/>
  <c r="E281" i="321"/>
  <c r="F281" i="321"/>
  <c r="G254" i="321"/>
  <c r="G281" i="321"/>
  <c r="I281" i="321"/>
  <c r="E282" i="321"/>
  <c r="F282" i="321"/>
  <c r="G260" i="321"/>
  <c r="G282" i="321"/>
  <c r="I282" i="321"/>
  <c r="E283" i="321"/>
  <c r="F283" i="321"/>
  <c r="G278" i="321"/>
  <c r="G283" i="321"/>
  <c r="I283" i="321"/>
  <c r="G166" i="321"/>
  <c r="G171" i="321"/>
  <c r="G148" i="321"/>
  <c r="G170" i="321"/>
  <c r="G142" i="321"/>
  <c r="E259" i="321"/>
  <c r="F259" i="321"/>
  <c r="G259" i="321"/>
  <c r="I259" i="321"/>
  <c r="E258" i="321"/>
  <c r="F258" i="321"/>
  <c r="G258" i="321"/>
  <c r="H258" i="321"/>
  <c r="I258" i="321"/>
  <c r="I257" i="321"/>
  <c r="G52" i="321"/>
  <c r="F257" i="321"/>
  <c r="E257" i="321"/>
  <c r="E272" i="321"/>
  <c r="G272" i="321"/>
  <c r="E268" i="321"/>
  <c r="F268" i="321"/>
  <c r="G268" i="321"/>
  <c r="H268" i="321"/>
  <c r="I268" i="321"/>
  <c r="E264" i="321"/>
  <c r="F264" i="321"/>
  <c r="G264" i="321"/>
  <c r="H264" i="321"/>
  <c r="I264" i="321"/>
  <c r="E263" i="321"/>
  <c r="F263" i="321"/>
  <c r="G263" i="321"/>
  <c r="I263" i="321"/>
  <c r="E156" i="321"/>
  <c r="F156" i="321"/>
  <c r="G156" i="321"/>
  <c r="H156" i="321"/>
  <c r="I156" i="321"/>
  <c r="E152" i="321"/>
  <c r="F152" i="321"/>
  <c r="G152" i="321"/>
  <c r="H152" i="321"/>
  <c r="I152" i="321"/>
  <c r="E151" i="321"/>
  <c r="F151" i="321"/>
  <c r="G151" i="321"/>
  <c r="I151" i="321"/>
  <c r="E159" i="321"/>
  <c r="E170" i="321"/>
  <c r="F170" i="321"/>
  <c r="I170" i="321"/>
  <c r="E147" i="321"/>
  <c r="F147" i="321"/>
  <c r="G147" i="321"/>
  <c r="I147" i="321"/>
  <c r="E146" i="321"/>
  <c r="F146" i="321"/>
  <c r="G146" i="321"/>
  <c r="H146" i="321"/>
  <c r="I146" i="321"/>
  <c r="E145" i="321"/>
  <c r="F145" i="321"/>
  <c r="I145" i="321"/>
  <c r="E131" i="321"/>
  <c r="F131" i="321"/>
  <c r="G131" i="321"/>
  <c r="I131" i="321"/>
  <c r="E130" i="321"/>
  <c r="F130" i="321"/>
  <c r="G130" i="321"/>
  <c r="I130" i="321"/>
  <c r="I128" i="321"/>
  <c r="H128" i="321"/>
  <c r="G128" i="321"/>
  <c r="F128" i="321"/>
  <c r="E128" i="321"/>
  <c r="I127" i="321"/>
  <c r="H127" i="321"/>
  <c r="G127" i="321"/>
  <c r="F127" i="321"/>
  <c r="E127" i="321"/>
  <c r="G125" i="321"/>
  <c r="E125" i="321"/>
  <c r="G124" i="321"/>
  <c r="E124" i="321"/>
  <c r="E120" i="321"/>
  <c r="F120" i="321"/>
  <c r="G120" i="321"/>
  <c r="H120" i="321"/>
  <c r="I120" i="321"/>
  <c r="J120" i="321"/>
  <c r="I121" i="321"/>
  <c r="H121" i="321"/>
  <c r="G114" i="321"/>
  <c r="G121" i="321"/>
  <c r="F121" i="321"/>
  <c r="E121" i="321"/>
  <c r="E117" i="321"/>
  <c r="F117" i="321"/>
  <c r="H117" i="321"/>
  <c r="I117" i="321"/>
  <c r="E116" i="321"/>
  <c r="F116" i="321"/>
  <c r="G187" i="321"/>
  <c r="G252" i="288"/>
  <c r="G116" i="321"/>
  <c r="H116" i="321"/>
  <c r="I116" i="321"/>
  <c r="J116" i="321"/>
  <c r="E113" i="321"/>
  <c r="F113" i="321"/>
  <c r="G113" i="321"/>
  <c r="H113" i="321"/>
  <c r="I113" i="321"/>
  <c r="E112" i="321"/>
  <c r="F112" i="321"/>
  <c r="G112" i="321"/>
  <c r="H112" i="321"/>
  <c r="I112" i="321"/>
  <c r="E275" i="321"/>
  <c r="G273" i="321"/>
  <c r="G275" i="321"/>
  <c r="E301" i="321"/>
  <c r="F301" i="321"/>
  <c r="G301" i="321"/>
  <c r="I301" i="321"/>
  <c r="E300" i="321"/>
  <c r="F300" i="321"/>
  <c r="G641" i="307"/>
  <c r="G300" i="321"/>
  <c r="I300" i="321"/>
  <c r="E335" i="321"/>
  <c r="G335" i="321"/>
  <c r="E341" i="321"/>
  <c r="G341" i="321"/>
  <c r="E343" i="321"/>
  <c r="F343" i="321"/>
  <c r="G343" i="321"/>
  <c r="H343" i="321"/>
  <c r="I343" i="321"/>
  <c r="E276" i="321"/>
  <c r="F276" i="321"/>
  <c r="I276" i="321"/>
  <c r="E277" i="321"/>
  <c r="F277" i="321"/>
  <c r="G277" i="321"/>
  <c r="I277" i="321"/>
  <c r="E271" i="321"/>
  <c r="E267" i="321"/>
  <c r="F267" i="321"/>
  <c r="G267" i="321"/>
  <c r="I267" i="321"/>
  <c r="E253" i="321"/>
  <c r="F253" i="321"/>
  <c r="G253" i="321"/>
  <c r="I253" i="321"/>
  <c r="E252" i="321"/>
  <c r="G252" i="321"/>
  <c r="E139" i="321"/>
  <c r="E251" i="321"/>
  <c r="G251" i="321"/>
  <c r="I348" i="321"/>
  <c r="G348" i="321"/>
  <c r="F348" i="321"/>
  <c r="E348" i="321"/>
  <c r="I342" i="321"/>
  <c r="H342" i="321"/>
  <c r="G342" i="321"/>
  <c r="F342" i="321"/>
  <c r="E342" i="321"/>
  <c r="I338" i="321"/>
  <c r="H338" i="321"/>
  <c r="G338" i="321"/>
  <c r="F338" i="321"/>
  <c r="E338" i="321"/>
  <c r="G336" i="321"/>
  <c r="E336" i="321"/>
  <c r="G334" i="321"/>
  <c r="E334" i="321"/>
  <c r="G183" i="321"/>
  <c r="G189" i="321"/>
  <c r="G164" i="321"/>
  <c r="G161" i="321"/>
  <c r="G163" i="321"/>
  <c r="E188" i="321"/>
  <c r="F188" i="321"/>
  <c r="G636" i="307"/>
  <c r="G188" i="321"/>
  <c r="I188" i="321"/>
  <c r="E640" i="307"/>
  <c r="F640" i="307"/>
  <c r="G332" i="307"/>
  <c r="I640" i="307"/>
  <c r="E635" i="307"/>
  <c r="F635" i="307"/>
  <c r="G311" i="307"/>
  <c r="G315" i="307"/>
  <c r="I635" i="307"/>
  <c r="I639" i="307"/>
  <c r="H639" i="307"/>
  <c r="G639" i="307"/>
  <c r="F639" i="307"/>
  <c r="E639" i="307"/>
  <c r="I638" i="307"/>
  <c r="H638" i="307"/>
  <c r="G638" i="307"/>
  <c r="F638" i="307"/>
  <c r="E638" i="307"/>
  <c r="G343" i="307"/>
  <c r="G13" i="310"/>
  <c r="I634" i="307"/>
  <c r="H634" i="307"/>
  <c r="G634" i="307"/>
  <c r="F634" i="307"/>
  <c r="E634" i="307"/>
  <c r="I633" i="307"/>
  <c r="H633" i="307"/>
  <c r="G633" i="307"/>
  <c r="F633" i="307"/>
  <c r="E633" i="307"/>
  <c r="E108" i="321"/>
  <c r="G98" i="321"/>
  <c r="E109" i="321"/>
  <c r="G107" i="321"/>
  <c r="E107" i="321"/>
  <c r="G106" i="321"/>
  <c r="E106" i="321"/>
  <c r="E102" i="321"/>
  <c r="E103" i="321"/>
  <c r="G101" i="321"/>
  <c r="E101" i="321"/>
  <c r="G100" i="321"/>
  <c r="E100" i="321"/>
  <c r="G97" i="321"/>
  <c r="E97" i="321"/>
  <c r="E96" i="321"/>
  <c r="E95" i="321"/>
  <c r="G95" i="321"/>
  <c r="E94" i="321"/>
  <c r="G94" i="321"/>
  <c r="E91" i="321"/>
  <c r="G91" i="321"/>
  <c r="E89" i="321"/>
  <c r="E83" i="321"/>
  <c r="G90" i="321"/>
  <c r="E90" i="321"/>
  <c r="G52" i="311"/>
  <c r="G88" i="321"/>
  <c r="E88" i="321"/>
  <c r="G85" i="321"/>
  <c r="E85" i="321"/>
  <c r="G84" i="321"/>
  <c r="E84" i="321"/>
  <c r="E82" i="321"/>
  <c r="G80" i="321"/>
  <c r="G29" i="311"/>
  <c r="E29" i="311"/>
  <c r="E28" i="311"/>
  <c r="G53" i="321"/>
  <c r="G28" i="311"/>
  <c r="E79" i="321"/>
  <c r="F79" i="321"/>
  <c r="G79" i="321"/>
  <c r="I79" i="321"/>
  <c r="E78" i="321"/>
  <c r="F78" i="321"/>
  <c r="I78" i="321"/>
  <c r="E77" i="321"/>
  <c r="G77" i="321"/>
  <c r="E76" i="321"/>
  <c r="G76" i="321"/>
  <c r="E75" i="321"/>
  <c r="G75" i="321"/>
  <c r="E71" i="321"/>
  <c r="F71" i="321"/>
  <c r="G71" i="321"/>
  <c r="I71" i="321"/>
  <c r="E70" i="321"/>
  <c r="F70" i="321"/>
  <c r="G70" i="321"/>
  <c r="I70" i="321"/>
  <c r="E230" i="288"/>
  <c r="F230" i="288"/>
  <c r="G230" i="288"/>
  <c r="I230" i="288"/>
  <c r="I259" i="288"/>
  <c r="G259" i="288"/>
  <c r="F259" i="288"/>
  <c r="E259" i="288"/>
  <c r="I241" i="288"/>
  <c r="G241" i="288"/>
  <c r="F241" i="288"/>
  <c r="E241" i="288"/>
  <c r="I236" i="288"/>
  <c r="G236" i="288"/>
  <c r="F236" i="288"/>
  <c r="E236" i="288"/>
  <c r="I217" i="288"/>
  <c r="G217" i="288"/>
  <c r="F217" i="288"/>
  <c r="E217" i="288"/>
  <c r="I167" i="288"/>
  <c r="G167" i="288"/>
  <c r="F167" i="288"/>
  <c r="E167" i="288"/>
  <c r="I161" i="288"/>
  <c r="G161" i="288"/>
  <c r="F161" i="288"/>
  <c r="E161" i="288"/>
  <c r="I109" i="288"/>
  <c r="G109" i="288"/>
  <c r="F109" i="288"/>
  <c r="E109" i="288"/>
  <c r="I91" i="288"/>
  <c r="G91" i="288"/>
  <c r="F91" i="288"/>
  <c r="E91" i="288"/>
  <c r="I86" i="288"/>
  <c r="G86" i="288"/>
  <c r="F86" i="288"/>
  <c r="E86" i="288"/>
  <c r="I80" i="288"/>
  <c r="G80" i="288"/>
  <c r="F80" i="288"/>
  <c r="E80" i="288"/>
  <c r="E67" i="288"/>
  <c r="F67" i="288"/>
  <c r="G67" i="288"/>
  <c r="I67" i="288"/>
  <c r="E217" i="273"/>
  <c r="F217" i="273"/>
  <c r="G217" i="273"/>
  <c r="I217" i="273"/>
  <c r="E45" i="321"/>
  <c r="F45" i="321"/>
  <c r="G45" i="321"/>
  <c r="I45" i="321"/>
  <c r="E40" i="321"/>
  <c r="F40" i="321"/>
  <c r="G40" i="321"/>
  <c r="I40" i="321"/>
  <c r="E36" i="285"/>
  <c r="F36" i="285"/>
  <c r="G36" i="285"/>
  <c r="I36" i="285"/>
  <c r="E172" i="314"/>
  <c r="F172" i="314"/>
  <c r="G172" i="314"/>
  <c r="I172" i="314"/>
  <c r="E89" i="314"/>
  <c r="F89" i="314"/>
  <c r="G89" i="314"/>
  <c r="I89" i="314"/>
  <c r="E11" i="321"/>
  <c r="F11" i="321"/>
  <c r="G11" i="321"/>
  <c r="I11" i="321"/>
  <c r="E123" i="314"/>
  <c r="F123" i="314"/>
  <c r="G123" i="314"/>
  <c r="I123" i="314"/>
  <c r="E111" i="314"/>
  <c r="F111" i="314"/>
  <c r="G111" i="314"/>
  <c r="I111" i="314"/>
  <c r="I44" i="314"/>
  <c r="G44" i="314"/>
  <c r="F44" i="314"/>
  <c r="E44" i="314"/>
  <c r="E24" i="314"/>
  <c r="F24" i="314"/>
  <c r="G24" i="314"/>
  <c r="I24" i="314"/>
  <c r="E213" i="273"/>
  <c r="F213" i="273"/>
  <c r="G213" i="273"/>
  <c r="I213" i="273"/>
  <c r="E212" i="273"/>
  <c r="F212" i="273"/>
  <c r="G212" i="273"/>
  <c r="I212" i="273"/>
  <c r="E208" i="273"/>
  <c r="F208" i="273"/>
  <c r="G208" i="273"/>
  <c r="I208" i="273"/>
  <c r="E207" i="273"/>
  <c r="F207" i="273"/>
  <c r="G207" i="273"/>
  <c r="I207" i="273"/>
  <c r="E201" i="273"/>
  <c r="F201" i="273"/>
  <c r="G201" i="273"/>
  <c r="I201" i="273"/>
  <c r="E202" i="273"/>
  <c r="F202" i="273"/>
  <c r="G202" i="273"/>
  <c r="E197" i="273"/>
  <c r="G197" i="273"/>
  <c r="E193" i="273"/>
  <c r="G193" i="273"/>
  <c r="E189" i="273"/>
  <c r="G189" i="273"/>
  <c r="E183" i="273"/>
  <c r="F183" i="273"/>
  <c r="G183" i="273"/>
  <c r="I183" i="273"/>
  <c r="E184" i="273"/>
  <c r="F184" i="273"/>
  <c r="G184" i="273"/>
  <c r="E179" i="273"/>
  <c r="G179" i="273"/>
  <c r="E171" i="273"/>
  <c r="G171" i="273"/>
  <c r="E175" i="273"/>
  <c r="G175" i="273"/>
  <c r="I198" i="273"/>
  <c r="H198" i="273"/>
  <c r="G198" i="273"/>
  <c r="F198" i="273"/>
  <c r="E198" i="273"/>
  <c r="H194" i="273"/>
  <c r="G194" i="273"/>
  <c r="F194" i="273"/>
  <c r="E194" i="273"/>
  <c r="G190" i="273"/>
  <c r="E190" i="273"/>
  <c r="G188" i="273"/>
  <c r="E188" i="273"/>
  <c r="H180" i="273"/>
  <c r="G180" i="273"/>
  <c r="F180" i="273"/>
  <c r="E180" i="273"/>
  <c r="H176" i="273"/>
  <c r="G176" i="273"/>
  <c r="F176" i="273"/>
  <c r="E176" i="273"/>
  <c r="G172" i="273"/>
  <c r="E172" i="273"/>
  <c r="G170" i="273"/>
  <c r="E170" i="273"/>
  <c r="G167" i="273"/>
  <c r="E167" i="273"/>
  <c r="E164" i="288"/>
  <c r="G344" i="307"/>
  <c r="G164" i="288"/>
  <c r="E454" i="307"/>
  <c r="F454" i="307"/>
  <c r="I454" i="307"/>
  <c r="E249" i="307"/>
  <c r="F249" i="307"/>
  <c r="I249" i="307"/>
  <c r="E134" i="288"/>
  <c r="F134" i="288"/>
  <c r="I134" i="288"/>
  <c r="BF134" i="288"/>
  <c r="BG134" i="288"/>
  <c r="BH134" i="288"/>
  <c r="BI134" i="288"/>
  <c r="BJ134" i="288"/>
  <c r="BK134" i="288"/>
  <c r="BL134" i="288"/>
  <c r="BM134" i="288"/>
  <c r="BN134" i="288"/>
  <c r="BO134" i="288"/>
  <c r="BP134" i="288"/>
  <c r="BQ134" i="288"/>
  <c r="BR134" i="288"/>
  <c r="BS134" i="288"/>
  <c r="BT134" i="288"/>
  <c r="BU134" i="288"/>
  <c r="BV134" i="288"/>
  <c r="BW134" i="288"/>
  <c r="BX134" i="288"/>
  <c r="BY134" i="288"/>
  <c r="BZ134" i="288"/>
  <c r="CA134" i="288"/>
  <c r="CB134" i="288"/>
  <c r="CC134" i="288"/>
  <c r="CD134" i="288"/>
  <c r="CE134" i="288"/>
  <c r="CF134" i="288"/>
  <c r="CG134" i="288"/>
  <c r="CH134" i="288"/>
  <c r="CI134" i="288"/>
  <c r="CJ134" i="288"/>
  <c r="CK134" i="288"/>
  <c r="CL134" i="288"/>
  <c r="CM134" i="288"/>
  <c r="CN134" i="288"/>
  <c r="CO134" i="288"/>
  <c r="CP134" i="288"/>
  <c r="CQ134" i="288"/>
  <c r="CR134" i="288"/>
  <c r="CS134" i="288"/>
  <c r="CT134" i="288"/>
  <c r="CU134" i="288"/>
  <c r="CV134" i="288"/>
  <c r="E13" i="310"/>
  <c r="F13" i="310"/>
  <c r="I13" i="310"/>
  <c r="E630" i="307"/>
  <c r="F630" i="307"/>
  <c r="I630" i="307"/>
  <c r="E433" i="307"/>
  <c r="F433" i="307"/>
  <c r="G429" i="307"/>
  <c r="G433" i="307"/>
  <c r="I433" i="307"/>
  <c r="E432" i="307"/>
  <c r="F432" i="307"/>
  <c r="G416" i="307"/>
  <c r="G432" i="307"/>
  <c r="I432" i="307"/>
  <c r="E427" i="307"/>
  <c r="F427" i="307"/>
  <c r="G335" i="307"/>
  <c r="G427" i="307"/>
  <c r="H427" i="307"/>
  <c r="I427" i="307"/>
  <c r="E424" i="307"/>
  <c r="G424" i="307"/>
  <c r="E425" i="307"/>
  <c r="G425" i="307"/>
  <c r="E420" i="307"/>
  <c r="G420" i="307"/>
  <c r="E419" i="307"/>
  <c r="G419" i="307"/>
  <c r="I428" i="307"/>
  <c r="G428" i="307"/>
  <c r="F428" i="307"/>
  <c r="E428" i="307"/>
  <c r="G314" i="307"/>
  <c r="G378" i="307"/>
  <c r="I426" i="307"/>
  <c r="H426" i="307"/>
  <c r="G426" i="307"/>
  <c r="F426" i="307"/>
  <c r="E426" i="307"/>
  <c r="G421" i="307"/>
  <c r="E421" i="307"/>
  <c r="E401" i="307"/>
  <c r="F401" i="307"/>
  <c r="G397" i="307"/>
  <c r="G401" i="307"/>
  <c r="I401" i="307"/>
  <c r="E400" i="307"/>
  <c r="F400" i="307"/>
  <c r="G385" i="307"/>
  <c r="G400" i="307"/>
  <c r="I400" i="307"/>
  <c r="E394" i="307"/>
  <c r="G394" i="307"/>
  <c r="E396" i="307"/>
  <c r="F396" i="307"/>
  <c r="G392" i="307"/>
  <c r="G396" i="307"/>
  <c r="H396" i="307"/>
  <c r="I396" i="307"/>
  <c r="E390" i="307"/>
  <c r="F390" i="307"/>
  <c r="H390" i="307"/>
  <c r="I390" i="307"/>
  <c r="E388" i="307"/>
  <c r="G388" i="307"/>
  <c r="G380" i="307"/>
  <c r="G395" i="307"/>
  <c r="E395" i="307"/>
  <c r="I391" i="307"/>
  <c r="G391" i="307"/>
  <c r="F391" i="307"/>
  <c r="E391" i="307"/>
  <c r="G63" i="321"/>
  <c r="G389" i="307"/>
  <c r="E389" i="307"/>
  <c r="G376" i="307"/>
  <c r="E376" i="307"/>
  <c r="E583" i="307"/>
  <c r="F583" i="307"/>
  <c r="G372" i="307"/>
  <c r="G583" i="307"/>
  <c r="I583" i="307"/>
  <c r="E22" i="307"/>
  <c r="F22" i="307"/>
  <c r="G22" i="307"/>
  <c r="I22" i="307"/>
  <c r="E35" i="310"/>
  <c r="F35" i="310"/>
  <c r="G35" i="310"/>
  <c r="I35" i="310"/>
  <c r="E371" i="307"/>
  <c r="F371" i="307"/>
  <c r="G367" i="307"/>
  <c r="G371" i="307"/>
  <c r="I371" i="307"/>
  <c r="E370" i="307"/>
  <c r="F370" i="307"/>
  <c r="G360" i="307"/>
  <c r="G370" i="307"/>
  <c r="I370" i="307"/>
  <c r="E363" i="307"/>
  <c r="G363" i="307"/>
  <c r="E364" i="307"/>
  <c r="G364" i="307"/>
  <c r="I366" i="307"/>
  <c r="G366" i="307"/>
  <c r="F366" i="307"/>
  <c r="E366" i="307"/>
  <c r="E365" i="307"/>
  <c r="E357" i="307"/>
  <c r="G357" i="307"/>
  <c r="E347" i="307"/>
  <c r="F347" i="307"/>
  <c r="I347" i="307"/>
  <c r="J346" i="307"/>
  <c r="G349" i="307"/>
  <c r="G346" i="307"/>
  <c r="E342" i="307"/>
  <c r="F342" i="307"/>
  <c r="I342" i="307"/>
  <c r="E341" i="307"/>
  <c r="F341" i="307"/>
  <c r="I341" i="307"/>
  <c r="E329" i="307"/>
  <c r="F329" i="307"/>
  <c r="G322" i="307"/>
  <c r="G329" i="307"/>
  <c r="I329" i="307"/>
  <c r="E330" i="307"/>
  <c r="F330" i="307"/>
  <c r="G327" i="307"/>
  <c r="G330" i="307"/>
  <c r="H330" i="307"/>
  <c r="I330" i="307"/>
  <c r="E336" i="307"/>
  <c r="F336" i="307"/>
  <c r="I336" i="307"/>
  <c r="E326" i="307"/>
  <c r="F326" i="307"/>
  <c r="H326" i="307"/>
  <c r="I326" i="307"/>
  <c r="E324" i="307"/>
  <c r="G324" i="307"/>
  <c r="E320" i="307"/>
  <c r="G320" i="307"/>
  <c r="G338" i="307"/>
  <c r="I331" i="307"/>
  <c r="G331" i="307"/>
  <c r="F331" i="307"/>
  <c r="E331" i="307"/>
  <c r="G306" i="307"/>
  <c r="G309" i="307"/>
  <c r="G301" i="307"/>
  <c r="G308" i="307"/>
  <c r="G51" i="311"/>
  <c r="G325" i="307"/>
  <c r="E325" i="307"/>
  <c r="I321" i="307"/>
  <c r="G296" i="307"/>
  <c r="G321" i="307"/>
  <c r="F321" i="307"/>
  <c r="E321" i="307"/>
  <c r="G303" i="307"/>
  <c r="E303" i="307"/>
  <c r="E310" i="307"/>
  <c r="F310" i="307"/>
  <c r="G310" i="307"/>
  <c r="I310" i="307"/>
  <c r="E308" i="307"/>
  <c r="F308" i="307"/>
  <c r="I308" i="307"/>
  <c r="E300" i="307"/>
  <c r="F300" i="307"/>
  <c r="I300" i="307"/>
  <c r="E299" i="307"/>
  <c r="G299" i="307"/>
  <c r="E294" i="307"/>
  <c r="F294" i="307"/>
  <c r="G79" i="307"/>
  <c r="G248" i="307"/>
  <c r="I294" i="307"/>
  <c r="E295" i="307"/>
  <c r="F295" i="307"/>
  <c r="G116" i="307"/>
  <c r="I295" i="307"/>
  <c r="E293" i="307"/>
  <c r="F293" i="307"/>
  <c r="G69" i="307"/>
  <c r="G293" i="307"/>
  <c r="I293" i="307"/>
  <c r="G298" i="48"/>
  <c r="E298" i="48"/>
  <c r="E49" i="321"/>
  <c r="F49" i="321"/>
  <c r="I49" i="321"/>
  <c r="G369" i="321"/>
  <c r="G229" i="288"/>
  <c r="E165" i="288"/>
  <c r="F165" i="288"/>
  <c r="G165" i="288"/>
  <c r="I165" i="288"/>
  <c r="E240" i="288"/>
  <c r="F240" i="288"/>
  <c r="G231" i="288"/>
  <c r="G240" i="288"/>
  <c r="H240" i="288"/>
  <c r="I240" i="288"/>
  <c r="J228" i="288"/>
  <c r="K228" i="288"/>
  <c r="I229" i="288"/>
  <c r="F229" i="288"/>
  <c r="E229" i="288"/>
  <c r="I216" i="288"/>
  <c r="F216" i="288"/>
  <c r="E216" i="288"/>
  <c r="E270" i="288"/>
  <c r="F270" i="288"/>
  <c r="G404" i="321"/>
  <c r="G117" i="315"/>
  <c r="H270" i="288"/>
  <c r="I270" i="288"/>
  <c r="E268" i="288"/>
  <c r="F268" i="288"/>
  <c r="G190" i="321"/>
  <c r="G115" i="315"/>
  <c r="H268" i="288"/>
  <c r="I268" i="288"/>
  <c r="E115" i="315"/>
  <c r="F115" i="315"/>
  <c r="H115" i="315"/>
  <c r="I115" i="315"/>
  <c r="E117" i="315"/>
  <c r="F117" i="315"/>
  <c r="H117" i="315"/>
  <c r="I117" i="315"/>
  <c r="I110" i="314"/>
  <c r="F110" i="314"/>
  <c r="E110" i="314"/>
  <c r="I103" i="314"/>
  <c r="F103" i="314"/>
  <c r="E103" i="314"/>
  <c r="E256" i="288"/>
  <c r="F256" i="288"/>
  <c r="H256" i="288"/>
  <c r="I256" i="288"/>
  <c r="E255" i="288"/>
  <c r="F255" i="288"/>
  <c r="I255" i="288"/>
  <c r="E252" i="288"/>
  <c r="F252" i="288"/>
  <c r="H252" i="288"/>
  <c r="I252" i="288"/>
  <c r="E251" i="288"/>
  <c r="F251" i="288"/>
  <c r="I251" i="288"/>
  <c r="E382" i="321"/>
  <c r="E71" i="315"/>
  <c r="F71" i="315"/>
  <c r="I71" i="315"/>
  <c r="E184" i="321"/>
  <c r="E69" i="315"/>
  <c r="F69" i="315"/>
  <c r="I69" i="315"/>
  <c r="E398" i="321"/>
  <c r="E67" i="315"/>
  <c r="F67" i="315"/>
  <c r="I67" i="315"/>
  <c r="E238" i="321"/>
  <c r="E65" i="315"/>
  <c r="F65" i="315"/>
  <c r="G65" i="315"/>
  <c r="I65" i="315"/>
  <c r="F17" i="315"/>
  <c r="I17" i="315"/>
  <c r="E19" i="315"/>
  <c r="F19" i="315"/>
  <c r="I19" i="315"/>
  <c r="G173" i="314"/>
  <c r="G107" i="282"/>
  <c r="E174" i="314"/>
  <c r="E77" i="315"/>
  <c r="F77" i="315"/>
  <c r="G174" i="314"/>
  <c r="I77" i="315"/>
  <c r="E26" i="315"/>
  <c r="F26" i="315"/>
  <c r="I26" i="315"/>
  <c r="E272" i="288"/>
  <c r="F272" i="288"/>
  <c r="G272" i="288"/>
  <c r="I272" i="288"/>
  <c r="E264" i="288"/>
  <c r="F264" i="288"/>
  <c r="G264" i="288"/>
  <c r="I264" i="288"/>
  <c r="I376" i="321"/>
  <c r="G376" i="321"/>
  <c r="F376" i="321"/>
  <c r="E376" i="321"/>
  <c r="I179" i="321"/>
  <c r="G179" i="321"/>
  <c r="F179" i="321"/>
  <c r="E179" i="321"/>
  <c r="F3" i="48"/>
  <c r="A1" i="321"/>
  <c r="J78" i="288"/>
  <c r="K78" i="288"/>
  <c r="J84" i="288"/>
  <c r="K84" i="288"/>
  <c r="E715" i="321"/>
  <c r="E26" i="265"/>
  <c r="E32" i="264"/>
  <c r="E33" i="264"/>
  <c r="E654" i="321"/>
  <c r="E58" i="315"/>
  <c r="E114" i="315"/>
  <c r="E94" i="286"/>
  <c r="E87" i="315"/>
  <c r="E122" i="315"/>
  <c r="E123" i="315"/>
  <c r="E112" i="286"/>
  <c r="E88" i="315"/>
  <c r="BF58" i="288"/>
  <c r="BG58" i="288"/>
  <c r="BH58" i="288"/>
  <c r="BI58" i="288"/>
  <c r="BJ58" i="288"/>
  <c r="BK58" i="288"/>
  <c r="BL58" i="288"/>
  <c r="BM58" i="288"/>
  <c r="BN58" i="288"/>
  <c r="BO58" i="288"/>
  <c r="BP58" i="288"/>
  <c r="BQ58" i="288"/>
  <c r="BR58" i="288"/>
  <c r="BS58" i="288"/>
  <c r="BT58" i="288"/>
  <c r="BU58" i="288"/>
  <c r="BV58" i="288"/>
  <c r="BW58" i="288"/>
  <c r="BX58" i="288"/>
  <c r="BY58" i="288"/>
  <c r="BZ58" i="288"/>
  <c r="CA58" i="288"/>
  <c r="CB58" i="288"/>
  <c r="CC58" i="288"/>
  <c r="CD58" i="288"/>
  <c r="CE58" i="288"/>
  <c r="CF58" i="288"/>
  <c r="CG58" i="288"/>
  <c r="CH58" i="288"/>
  <c r="CI58" i="288"/>
  <c r="CJ58" i="288"/>
  <c r="CK58" i="288"/>
  <c r="CL58" i="288"/>
  <c r="CM58" i="288"/>
  <c r="CN58" i="288"/>
  <c r="CO58" i="288"/>
  <c r="CP58" i="288"/>
  <c r="CQ58" i="288"/>
  <c r="CR58" i="288"/>
  <c r="CS58" i="288"/>
  <c r="CT58" i="288"/>
  <c r="CU58" i="288"/>
  <c r="CV58" i="288"/>
  <c r="E30" i="311"/>
  <c r="E26" i="311"/>
  <c r="E27" i="311"/>
  <c r="E19" i="311"/>
  <c r="A1" i="325"/>
  <c r="E223" i="321"/>
  <c r="E66" i="321"/>
  <c r="E171" i="321"/>
  <c r="E452" i="321"/>
  <c r="E453" i="321"/>
  <c r="E455" i="321"/>
  <c r="E497" i="321"/>
  <c r="E543" i="321"/>
  <c r="E687" i="321"/>
  <c r="E596" i="321"/>
  <c r="E560" i="321"/>
  <c r="E555" i="321"/>
  <c r="E395" i="321"/>
  <c r="E46" i="288"/>
  <c r="E196" i="288"/>
  <c r="E139" i="288"/>
  <c r="E53" i="288"/>
  <c r="E181" i="288"/>
  <c r="E201" i="288"/>
  <c r="E202" i="288"/>
  <c r="E9" i="288"/>
  <c r="E31" i="286"/>
  <c r="E143" i="286"/>
  <c r="E70" i="286"/>
  <c r="E21" i="265"/>
  <c r="E58" i="265"/>
  <c r="E71" i="265"/>
  <c r="E146" i="269"/>
  <c r="E75" i="265"/>
  <c r="E121" i="265"/>
  <c r="E127" i="265"/>
  <c r="E583" i="321"/>
  <c r="E23" i="265"/>
  <c r="E118" i="265"/>
  <c r="E81" i="265"/>
  <c r="E81" i="277"/>
  <c r="E681" i="321"/>
  <c r="E53" i="265"/>
  <c r="E223" i="307"/>
  <c r="E229" i="307"/>
  <c r="E55" i="265"/>
  <c r="E56" i="265"/>
  <c r="E123" i="265"/>
  <c r="E123" i="277"/>
  <c r="E117" i="265"/>
  <c r="E117" i="277"/>
  <c r="E110" i="265"/>
  <c r="E110" i="277"/>
  <c r="E321" i="278"/>
  <c r="E42" i="265"/>
  <c r="E42" i="277"/>
  <c r="E34" i="282"/>
  <c r="E14" i="282"/>
  <c r="E33" i="285"/>
  <c r="E29" i="310"/>
  <c r="E30" i="310"/>
  <c r="E41" i="307"/>
  <c r="E448" i="307"/>
  <c r="E63" i="307"/>
  <c r="E304" i="307"/>
  <c r="E98" i="307"/>
  <c r="E62" i="307"/>
  <c r="E40" i="307"/>
  <c r="E17" i="307"/>
  <c r="E18" i="307"/>
  <c r="E251" i="273"/>
  <c r="I75" i="273"/>
  <c r="J76" i="273"/>
  <c r="J55" i="273"/>
  <c r="J56" i="273"/>
  <c r="F62" i="273"/>
  <c r="F61" i="273"/>
  <c r="F60" i="273"/>
  <c r="F59" i="273"/>
  <c r="E311" i="48"/>
  <c r="E362" i="48"/>
  <c r="E118" i="48"/>
  <c r="E30" i="48"/>
  <c r="E13" i="269"/>
  <c r="E14" i="269"/>
  <c r="E20" i="269"/>
  <c r="E19" i="269"/>
  <c r="E16" i="269"/>
  <c r="E89" i="305"/>
  <c r="E107" i="265"/>
  <c r="E59" i="328"/>
  <c r="E111" i="265"/>
  <c r="E60" i="328"/>
  <c r="E32" i="328"/>
  <c r="G47" i="328"/>
  <c r="G45" i="328"/>
  <c r="G44" i="328"/>
  <c r="E27" i="328"/>
  <c r="E24" i="328"/>
  <c r="E296" i="278"/>
  <c r="E272" i="278"/>
  <c r="E262" i="278"/>
  <c r="F262" i="278"/>
  <c r="G241" i="278"/>
  <c r="I262" i="278"/>
  <c r="E3" i="305"/>
  <c r="BE55" i="305"/>
  <c r="I55" i="305"/>
  <c r="H55" i="305"/>
  <c r="G55" i="305"/>
  <c r="F55" i="305"/>
  <c r="E55" i="305"/>
  <c r="E13" i="305"/>
  <c r="F13" i="305"/>
  <c r="G13" i="305"/>
  <c r="H13" i="305"/>
  <c r="I13" i="305"/>
  <c r="E25" i="285"/>
  <c r="F25" i="285"/>
  <c r="G279" i="306"/>
  <c r="G25" i="285"/>
  <c r="I25" i="285"/>
  <c r="E278" i="306"/>
  <c r="F278" i="306"/>
  <c r="G228" i="306"/>
  <c r="G278" i="306"/>
  <c r="I278" i="306"/>
  <c r="G211" i="306"/>
  <c r="G273" i="306"/>
  <c r="I277" i="306"/>
  <c r="H277" i="306"/>
  <c r="G277" i="306"/>
  <c r="F277" i="306"/>
  <c r="E277" i="306"/>
  <c r="I276" i="306"/>
  <c r="H276" i="306"/>
  <c r="G276" i="306"/>
  <c r="F276" i="306"/>
  <c r="E276" i="306"/>
  <c r="F24" i="328"/>
  <c r="G479" i="321"/>
  <c r="G24" i="328"/>
  <c r="I24" i="328"/>
  <c r="E11" i="328"/>
  <c r="F11" i="328"/>
  <c r="G11" i="328"/>
  <c r="H11" i="328"/>
  <c r="I11" i="328"/>
  <c r="E236" i="321"/>
  <c r="F236" i="321"/>
  <c r="G236" i="321"/>
  <c r="I236" i="321"/>
  <c r="CO97" i="286"/>
  <c r="CO115" i="286"/>
  <c r="CP97" i="286"/>
  <c r="CP115" i="286"/>
  <c r="CQ97" i="286"/>
  <c r="CQ115" i="286"/>
  <c r="CR97" i="286"/>
  <c r="CR115" i="286"/>
  <c r="CS97" i="286"/>
  <c r="CS115" i="286"/>
  <c r="CT97" i="286"/>
  <c r="CT115" i="286"/>
  <c r="CU97" i="286"/>
  <c r="CU115" i="286"/>
  <c r="CV97" i="286"/>
  <c r="CV115" i="286"/>
  <c r="BF20" i="286"/>
  <c r="BF38" i="286"/>
  <c r="BG20" i="286"/>
  <c r="BG38" i="286"/>
  <c r="BH20" i="286"/>
  <c r="BH38" i="286"/>
  <c r="BI20" i="286"/>
  <c r="BI38" i="286"/>
  <c r="BJ20" i="286"/>
  <c r="BJ38" i="286"/>
  <c r="BK20" i="286"/>
  <c r="BK38" i="286"/>
  <c r="BL20" i="286"/>
  <c r="BL38" i="286"/>
  <c r="BM20" i="286"/>
  <c r="BM38" i="286"/>
  <c r="BN20" i="286"/>
  <c r="BN38" i="286"/>
  <c r="BO20" i="286"/>
  <c r="BO38" i="286"/>
  <c r="BP20" i="286"/>
  <c r="BP38" i="286"/>
  <c r="BQ20" i="286"/>
  <c r="BQ38" i="286"/>
  <c r="BR20" i="286"/>
  <c r="BR38" i="286"/>
  <c r="BS20" i="286"/>
  <c r="BS38" i="286"/>
  <c r="BT20" i="286"/>
  <c r="BT38" i="286"/>
  <c r="BU20" i="286"/>
  <c r="BU38" i="286"/>
  <c r="BV20" i="286"/>
  <c r="BV38" i="286"/>
  <c r="BW20" i="286"/>
  <c r="BW38" i="286"/>
  <c r="BX20" i="286"/>
  <c r="BX38" i="286"/>
  <c r="BY20" i="286"/>
  <c r="BY38" i="286"/>
  <c r="BZ20" i="286"/>
  <c r="BZ38" i="286"/>
  <c r="CA20" i="286"/>
  <c r="CA38" i="286"/>
  <c r="CB20" i="286"/>
  <c r="CB38" i="286"/>
  <c r="CC20" i="286"/>
  <c r="CC38" i="286"/>
  <c r="CD20" i="286"/>
  <c r="CD38" i="286"/>
  <c r="CE20" i="286"/>
  <c r="CE38" i="286"/>
  <c r="CF20" i="286"/>
  <c r="CF38" i="286"/>
  <c r="CG20" i="286"/>
  <c r="CG38" i="286"/>
  <c r="CH20" i="286"/>
  <c r="CH38" i="286"/>
  <c r="CI20" i="286"/>
  <c r="CI38" i="286"/>
  <c r="CJ20" i="286"/>
  <c r="CJ38" i="286"/>
  <c r="CK20" i="286"/>
  <c r="CK38" i="286"/>
  <c r="CL20" i="286"/>
  <c r="CL38" i="286"/>
  <c r="CM20" i="286"/>
  <c r="CM38" i="286"/>
  <c r="CN20" i="286"/>
  <c r="CN38" i="286"/>
  <c r="CO20" i="286"/>
  <c r="CO38" i="286"/>
  <c r="CP20" i="286"/>
  <c r="CP38" i="286"/>
  <c r="CQ20" i="286"/>
  <c r="CQ38" i="286"/>
  <c r="CR20" i="286"/>
  <c r="CR38" i="286"/>
  <c r="CS20" i="286"/>
  <c r="CS38" i="286"/>
  <c r="CT20" i="286"/>
  <c r="CT38" i="286"/>
  <c r="CU20" i="286"/>
  <c r="CU38" i="286"/>
  <c r="CV20" i="286"/>
  <c r="CV38" i="286"/>
  <c r="I38" i="286"/>
  <c r="G646" i="307"/>
  <c r="G115" i="286"/>
  <c r="F38" i="286"/>
  <c r="E38" i="286"/>
  <c r="E115" i="286"/>
  <c r="F115" i="286"/>
  <c r="I115" i="286"/>
  <c r="I97" i="286"/>
  <c r="G621" i="307"/>
  <c r="G54" i="265"/>
  <c r="F97" i="286"/>
  <c r="E97" i="286"/>
  <c r="E20" i="286"/>
  <c r="F20" i="286"/>
  <c r="I20" i="286"/>
  <c r="I528" i="321"/>
  <c r="G676" i="307"/>
  <c r="G528" i="321"/>
  <c r="F528" i="321"/>
  <c r="E528" i="321"/>
  <c r="E484" i="321"/>
  <c r="F484" i="321"/>
  <c r="I484" i="321"/>
  <c r="E675" i="307"/>
  <c r="F675" i="307"/>
  <c r="G86" i="307"/>
  <c r="G675" i="307"/>
  <c r="I675" i="307"/>
  <c r="I674" i="307"/>
  <c r="H674" i="307"/>
  <c r="G674" i="307"/>
  <c r="F674" i="307"/>
  <c r="E674" i="307"/>
  <c r="I673" i="307"/>
  <c r="H673" i="307"/>
  <c r="G673" i="307"/>
  <c r="F673" i="307"/>
  <c r="E673" i="307"/>
  <c r="G651" i="307"/>
  <c r="G58" i="265"/>
  <c r="G135" i="269"/>
  <c r="G631" i="307"/>
  <c r="G55" i="315"/>
  <c r="E686" i="321"/>
  <c r="F686" i="321"/>
  <c r="G671" i="307"/>
  <c r="G686" i="321"/>
  <c r="I686" i="321"/>
  <c r="E685" i="321"/>
  <c r="F685" i="321"/>
  <c r="G666" i="307"/>
  <c r="G685" i="321"/>
  <c r="I685" i="321"/>
  <c r="E670" i="307"/>
  <c r="F670" i="307"/>
  <c r="G208" i="307"/>
  <c r="G670" i="307"/>
  <c r="I670" i="307"/>
  <c r="I669" i="307"/>
  <c r="H669" i="307"/>
  <c r="G669" i="307"/>
  <c r="F669" i="307"/>
  <c r="E669" i="307"/>
  <c r="I668" i="307"/>
  <c r="H668" i="307"/>
  <c r="G668" i="307"/>
  <c r="F668" i="307"/>
  <c r="E668" i="307"/>
  <c r="E665" i="307"/>
  <c r="F665" i="307"/>
  <c r="I665" i="307"/>
  <c r="I664" i="307"/>
  <c r="H664" i="307"/>
  <c r="G664" i="307"/>
  <c r="F664" i="307"/>
  <c r="E664" i="307"/>
  <c r="I663" i="307"/>
  <c r="H663" i="307"/>
  <c r="G663" i="307"/>
  <c r="F663" i="307"/>
  <c r="E663" i="307"/>
  <c r="E64" i="286"/>
  <c r="F64" i="286"/>
  <c r="G56" i="286"/>
  <c r="G64" i="286"/>
  <c r="H64" i="286"/>
  <c r="I64" i="286"/>
  <c r="E41" i="285"/>
  <c r="F41" i="285"/>
  <c r="G616" i="307"/>
  <c r="G41" i="285"/>
  <c r="I41" i="285"/>
  <c r="E615" i="307"/>
  <c r="F615" i="307"/>
  <c r="G601" i="307"/>
  <c r="G615" i="307"/>
  <c r="I615" i="307"/>
  <c r="G596" i="307"/>
  <c r="G599" i="307"/>
  <c r="I614" i="307"/>
  <c r="H614" i="307"/>
  <c r="G614" i="307"/>
  <c r="F614" i="307"/>
  <c r="E614" i="307"/>
  <c r="I613" i="307"/>
  <c r="H613" i="307"/>
  <c r="G613" i="307"/>
  <c r="F613" i="307"/>
  <c r="E613" i="307"/>
  <c r="G89" i="306"/>
  <c r="G92" i="306"/>
  <c r="E600" i="307"/>
  <c r="F600" i="307"/>
  <c r="I600" i="307"/>
  <c r="E599" i="307"/>
  <c r="F599" i="307"/>
  <c r="I599" i="307"/>
  <c r="E24" i="285"/>
  <c r="F24" i="285"/>
  <c r="G236" i="306"/>
  <c r="G24" i="285"/>
  <c r="I24" i="285"/>
  <c r="E82" i="328"/>
  <c r="E21" i="328"/>
  <c r="F21" i="328"/>
  <c r="I21" i="328"/>
  <c r="E101" i="328"/>
  <c r="G101" i="328"/>
  <c r="E83" i="328"/>
  <c r="G83" i="328"/>
  <c r="G81" i="328"/>
  <c r="H62" i="328"/>
  <c r="I62" i="328"/>
  <c r="F62" i="328"/>
  <c r="G84" i="314"/>
  <c r="G111" i="265"/>
  <c r="H111" i="265"/>
  <c r="H60" i="328"/>
  <c r="I111" i="265"/>
  <c r="I60" i="328"/>
  <c r="F111" i="265"/>
  <c r="F60" i="328"/>
  <c r="H107" i="265"/>
  <c r="H59" i="328"/>
  <c r="I107" i="265"/>
  <c r="I59" i="328"/>
  <c r="I85" i="273"/>
  <c r="F107" i="265"/>
  <c r="F59" i="328"/>
  <c r="E25" i="328"/>
  <c r="F25" i="328"/>
  <c r="I25" i="328"/>
  <c r="E23" i="328"/>
  <c r="F23" i="328"/>
  <c r="I23" i="328"/>
  <c r="E120" i="328"/>
  <c r="E18" i="326"/>
  <c r="G120" i="328"/>
  <c r="E57" i="328"/>
  <c r="F57" i="328"/>
  <c r="G57" i="328"/>
  <c r="H57" i="328"/>
  <c r="I57" i="328"/>
  <c r="E20" i="328"/>
  <c r="F20" i="328"/>
  <c r="I20" i="328"/>
  <c r="E30" i="328"/>
  <c r="F30" i="328"/>
  <c r="G149" i="278"/>
  <c r="G30" i="328"/>
  <c r="I30" i="328"/>
  <c r="E29" i="328"/>
  <c r="F29" i="328"/>
  <c r="G29" i="328"/>
  <c r="I29" i="328"/>
  <c r="F27" i="328"/>
  <c r="G75" i="278"/>
  <c r="G9" i="265"/>
  <c r="G88" i="269"/>
  <c r="I27" i="328"/>
  <c r="E18" i="328"/>
  <c r="F18" i="328"/>
  <c r="F38" i="328"/>
  <c r="G18" i="328"/>
  <c r="G38" i="328"/>
  <c r="I18" i="328"/>
  <c r="E17" i="328"/>
  <c r="F17" i="328"/>
  <c r="F37" i="328"/>
  <c r="G17" i="328"/>
  <c r="G37" i="328"/>
  <c r="I17" i="328"/>
  <c r="E112" i="328"/>
  <c r="G112" i="328"/>
  <c r="G95" i="328"/>
  <c r="E95" i="328"/>
  <c r="G96" i="328"/>
  <c r="E96" i="328"/>
  <c r="E93" i="328"/>
  <c r="E92" i="328"/>
  <c r="J6" i="326"/>
  <c r="E11" i="326"/>
  <c r="J35" i="326"/>
  <c r="J33" i="326"/>
  <c r="J32" i="326"/>
  <c r="J27" i="326"/>
  <c r="J5" i="328"/>
  <c r="K5" i="328"/>
  <c r="E4" i="328"/>
  <c r="E3" i="328"/>
  <c r="E2" i="328"/>
  <c r="F32" i="328"/>
  <c r="G11" i="265"/>
  <c r="I32" i="328"/>
  <c r="E9" i="328"/>
  <c r="F9" i="328"/>
  <c r="G9" i="328"/>
  <c r="H9" i="328"/>
  <c r="I9" i="328"/>
  <c r="BC9" i="328"/>
  <c r="BD9" i="328"/>
  <c r="BE9" i="328"/>
  <c r="BF9" i="328"/>
  <c r="BG9" i="328"/>
  <c r="BH9" i="328"/>
  <c r="BI9" i="328"/>
  <c r="BJ9" i="328"/>
  <c r="BK9" i="328"/>
  <c r="BL9" i="328"/>
  <c r="BM9" i="328"/>
  <c r="BN9" i="328"/>
  <c r="BO9" i="328"/>
  <c r="BP9" i="328"/>
  <c r="BQ9" i="328"/>
  <c r="BR9" i="328"/>
  <c r="BS9" i="328"/>
  <c r="BT9" i="328"/>
  <c r="BU9" i="328"/>
  <c r="BV9" i="328"/>
  <c r="BW9" i="328"/>
  <c r="BX9" i="328"/>
  <c r="BY9" i="328"/>
  <c r="BZ9" i="328"/>
  <c r="CA9" i="328"/>
  <c r="CB9" i="328"/>
  <c r="CC9" i="328"/>
  <c r="CD9" i="328"/>
  <c r="CE9" i="328"/>
  <c r="CF9" i="328"/>
  <c r="CG9" i="328"/>
  <c r="CH9" i="328"/>
  <c r="CI9" i="328"/>
  <c r="CJ9" i="328"/>
  <c r="CK9" i="328"/>
  <c r="CL9" i="328"/>
  <c r="CM9" i="328"/>
  <c r="CN9" i="328"/>
  <c r="CO9" i="328"/>
  <c r="CP9" i="328"/>
  <c r="CQ9" i="328"/>
  <c r="CR9" i="328"/>
  <c r="CS9" i="328"/>
  <c r="CT9" i="328"/>
  <c r="CU9" i="328"/>
  <c r="CV9" i="328"/>
  <c r="E117" i="328"/>
  <c r="G117" i="328"/>
  <c r="G92" i="328"/>
  <c r="G93" i="328"/>
  <c r="G85" i="328"/>
  <c r="G87" i="328"/>
  <c r="G86" i="328"/>
  <c r="G79" i="328"/>
  <c r="G82" i="328"/>
  <c r="G73" i="328"/>
  <c r="G71" i="328"/>
  <c r="G70" i="328"/>
  <c r="G52" i="328"/>
  <c r="G50" i="328"/>
  <c r="G49" i="328"/>
  <c r="G43" i="328"/>
  <c r="G41" i="328"/>
  <c r="G40" i="328"/>
  <c r="I8" i="328"/>
  <c r="H8" i="328"/>
  <c r="G8" i="328"/>
  <c r="F8" i="328"/>
  <c r="E8" i="328"/>
  <c r="A1" i="328"/>
  <c r="A1" i="327"/>
  <c r="E33" i="326"/>
  <c r="E30" i="326"/>
  <c r="E29" i="326"/>
  <c r="J31" i="326"/>
  <c r="J30" i="326"/>
  <c r="J29" i="326"/>
  <c r="E26" i="326"/>
  <c r="J26" i="326"/>
  <c r="E25" i="326"/>
  <c r="J25" i="326"/>
  <c r="E24" i="326"/>
  <c r="J23" i="326"/>
  <c r="E23" i="326"/>
  <c r="J20" i="326"/>
  <c r="E17" i="326"/>
  <c r="E16" i="326"/>
  <c r="J18" i="326"/>
  <c r="E15" i="326"/>
  <c r="J17" i="326"/>
  <c r="J13" i="326"/>
  <c r="J12" i="326"/>
  <c r="E12" i="326"/>
  <c r="J11" i="326"/>
  <c r="J7" i="326"/>
  <c r="E6" i="326"/>
  <c r="A1" i="326"/>
  <c r="G112" i="306"/>
  <c r="E112" i="306"/>
  <c r="G164" i="306"/>
  <c r="E164" i="306"/>
  <c r="E50" i="310"/>
  <c r="F50" i="310"/>
  <c r="G60" i="310"/>
  <c r="G69" i="310"/>
  <c r="I50" i="310"/>
  <c r="E48" i="310"/>
  <c r="F48" i="310"/>
  <c r="G65" i="310"/>
  <c r="G48" i="310"/>
  <c r="I48" i="310"/>
  <c r="E70" i="310"/>
  <c r="F70" i="310"/>
  <c r="J68" i="310"/>
  <c r="I70" i="310"/>
  <c r="E69" i="310"/>
  <c r="F69" i="310"/>
  <c r="I69" i="310"/>
  <c r="I64" i="310"/>
  <c r="G45" i="310"/>
  <c r="G64" i="310"/>
  <c r="F64" i="310"/>
  <c r="E64" i="310"/>
  <c r="I63" i="310"/>
  <c r="G16" i="310"/>
  <c r="G63" i="310"/>
  <c r="F63" i="310"/>
  <c r="E63" i="310"/>
  <c r="E62" i="310"/>
  <c r="F62" i="310"/>
  <c r="G68" i="310"/>
  <c r="G62" i="310"/>
  <c r="H62" i="310"/>
  <c r="I62" i="310"/>
  <c r="J62" i="310"/>
  <c r="I59" i="310"/>
  <c r="F59" i="310"/>
  <c r="E59" i="310"/>
  <c r="I58" i="310"/>
  <c r="F58" i="310"/>
  <c r="E58" i="310"/>
  <c r="G71" i="310"/>
  <c r="E53" i="310"/>
  <c r="F53" i="310"/>
  <c r="G51" i="310"/>
  <c r="G53" i="310"/>
  <c r="I53" i="310"/>
  <c r="E124" i="315"/>
  <c r="F124" i="315"/>
  <c r="G125" i="286"/>
  <c r="G124" i="315"/>
  <c r="H124" i="315"/>
  <c r="I124" i="315"/>
  <c r="E103" i="315"/>
  <c r="F103" i="315"/>
  <c r="G133" i="286"/>
  <c r="G103" i="315"/>
  <c r="H103" i="315"/>
  <c r="I103" i="315"/>
  <c r="E58" i="286"/>
  <c r="F58" i="286"/>
  <c r="H58" i="286"/>
  <c r="I58" i="286"/>
  <c r="E128" i="265"/>
  <c r="F128" i="265"/>
  <c r="G48" i="286"/>
  <c r="G128" i="265"/>
  <c r="G128" i="277"/>
  <c r="H128" i="265"/>
  <c r="I128" i="265"/>
  <c r="G207" i="306"/>
  <c r="G30" i="310"/>
  <c r="G68" i="269"/>
  <c r="E68" i="269"/>
  <c r="G74" i="306"/>
  <c r="G87" i="306"/>
  <c r="E67" i="269"/>
  <c r="G218" i="306"/>
  <c r="G221" i="306"/>
  <c r="G15" i="310"/>
  <c r="G55" i="269"/>
  <c r="E15" i="310"/>
  <c r="E55" i="269"/>
  <c r="I113" i="315"/>
  <c r="H113" i="315"/>
  <c r="G326" i="278"/>
  <c r="F113" i="315"/>
  <c r="E113" i="315"/>
  <c r="I106" i="315"/>
  <c r="H106" i="315"/>
  <c r="G312" i="278"/>
  <c r="G106" i="315"/>
  <c r="F106" i="315"/>
  <c r="E106" i="315"/>
  <c r="I40" i="315"/>
  <c r="G259" i="306"/>
  <c r="G42" i="265"/>
  <c r="F40" i="315"/>
  <c r="E40" i="315"/>
  <c r="F117" i="265"/>
  <c r="F117" i="277"/>
  <c r="H117" i="265"/>
  <c r="I117" i="265"/>
  <c r="F110" i="265"/>
  <c r="F110" i="277"/>
  <c r="H110" i="265"/>
  <c r="I110" i="265"/>
  <c r="E318" i="278"/>
  <c r="F318" i="278"/>
  <c r="G323" i="278"/>
  <c r="G318" i="278"/>
  <c r="H318" i="278"/>
  <c r="I318" i="278"/>
  <c r="I319" i="278"/>
  <c r="G319" i="278"/>
  <c r="F319" i="278"/>
  <c r="E319" i="278"/>
  <c r="E317" i="278"/>
  <c r="F317" i="278"/>
  <c r="G274" i="306"/>
  <c r="G317" i="278"/>
  <c r="I317" i="278"/>
  <c r="E273" i="306"/>
  <c r="F273" i="306"/>
  <c r="I273" i="306"/>
  <c r="G199" i="306"/>
  <c r="G268" i="306"/>
  <c r="I272" i="306"/>
  <c r="H272" i="306"/>
  <c r="G272" i="306"/>
  <c r="F272" i="306"/>
  <c r="E272" i="306"/>
  <c r="I271" i="306"/>
  <c r="H271" i="306"/>
  <c r="G271" i="306"/>
  <c r="F271" i="306"/>
  <c r="E271" i="306"/>
  <c r="G269" i="306"/>
  <c r="G325" i="278"/>
  <c r="F42" i="265"/>
  <c r="I42" i="265"/>
  <c r="I103" i="307"/>
  <c r="F103" i="307"/>
  <c r="E103" i="307"/>
  <c r="I68" i="307"/>
  <c r="G169" i="278"/>
  <c r="F41" i="265"/>
  <c r="J306" i="278"/>
  <c r="J307" i="278"/>
  <c r="G321" i="278"/>
  <c r="F45" i="265"/>
  <c r="F45" i="277"/>
  <c r="G307" i="278"/>
  <c r="F42" i="277"/>
  <c r="I43" i="315"/>
  <c r="F43" i="315"/>
  <c r="I45" i="265"/>
  <c r="G320" i="278"/>
  <c r="G309" i="278"/>
  <c r="G154" i="278"/>
  <c r="G223" i="278"/>
  <c r="E325" i="278"/>
  <c r="F325" i="278"/>
  <c r="I325" i="278"/>
  <c r="E324" i="278"/>
  <c r="F324" i="278"/>
  <c r="G264" i="306"/>
  <c r="G324" i="278"/>
  <c r="I324" i="278"/>
  <c r="I311" i="278"/>
  <c r="G311" i="278"/>
  <c r="F311" i="278"/>
  <c r="E311" i="278"/>
  <c r="E268" i="306"/>
  <c r="F268" i="306"/>
  <c r="I268" i="306"/>
  <c r="E263" i="306"/>
  <c r="F263" i="306"/>
  <c r="G194" i="306"/>
  <c r="G263" i="306"/>
  <c r="I263" i="306"/>
  <c r="G154" i="306"/>
  <c r="G156" i="306"/>
  <c r="I267" i="306"/>
  <c r="H267" i="306"/>
  <c r="G267" i="306"/>
  <c r="F267" i="306"/>
  <c r="E267" i="306"/>
  <c r="I266" i="306"/>
  <c r="H266" i="306"/>
  <c r="G266" i="306"/>
  <c r="F266" i="306"/>
  <c r="E266" i="306"/>
  <c r="G149" i="306"/>
  <c r="G225" i="306"/>
  <c r="I262" i="306"/>
  <c r="H262" i="306"/>
  <c r="G262" i="306"/>
  <c r="F262" i="306"/>
  <c r="E262" i="306"/>
  <c r="I261" i="306"/>
  <c r="H261" i="306"/>
  <c r="G261" i="306"/>
  <c r="F261" i="306"/>
  <c r="E261" i="306"/>
  <c r="I306" i="278"/>
  <c r="G306" i="278"/>
  <c r="F306" i="278"/>
  <c r="E306" i="278"/>
  <c r="E305" i="278"/>
  <c r="F305" i="278"/>
  <c r="G305" i="278"/>
  <c r="H305" i="278"/>
  <c r="I305" i="278"/>
  <c r="E310" i="278"/>
  <c r="F310" i="278"/>
  <c r="G254" i="306"/>
  <c r="G310" i="278"/>
  <c r="I310" i="278"/>
  <c r="G225" i="278"/>
  <c r="G116" i="265"/>
  <c r="G116" i="277"/>
  <c r="G222" i="278"/>
  <c r="G219" i="278"/>
  <c r="G214" i="278"/>
  <c r="G218" i="278"/>
  <c r="G199" i="278"/>
  <c r="G203" i="278"/>
  <c r="G196" i="278"/>
  <c r="G194" i="278"/>
  <c r="G198" i="278"/>
  <c r="G105" i="278"/>
  <c r="G188" i="278"/>
  <c r="G189" i="278"/>
  <c r="G193" i="278"/>
  <c r="E173" i="278"/>
  <c r="F173" i="278"/>
  <c r="I173" i="278"/>
  <c r="E258" i="306"/>
  <c r="F258" i="306"/>
  <c r="I258" i="306"/>
  <c r="I257" i="306"/>
  <c r="H257" i="306"/>
  <c r="G257" i="306"/>
  <c r="F257" i="306"/>
  <c r="E257" i="306"/>
  <c r="I256" i="306"/>
  <c r="H256" i="306"/>
  <c r="G256" i="306"/>
  <c r="F256" i="306"/>
  <c r="E256" i="306"/>
  <c r="E253" i="306"/>
  <c r="F253" i="306"/>
  <c r="I253" i="306"/>
  <c r="I252" i="306"/>
  <c r="H252" i="306"/>
  <c r="G252" i="306"/>
  <c r="F252" i="306"/>
  <c r="E252" i="306"/>
  <c r="I251" i="306"/>
  <c r="H251" i="306"/>
  <c r="G251" i="306"/>
  <c r="F251" i="306"/>
  <c r="E251" i="306"/>
  <c r="I201" i="306"/>
  <c r="F201" i="306"/>
  <c r="E201" i="306"/>
  <c r="E156" i="306"/>
  <c r="F156" i="306"/>
  <c r="I156" i="306"/>
  <c r="I157" i="306"/>
  <c r="G157" i="306"/>
  <c r="F157" i="306"/>
  <c r="E157" i="306"/>
  <c r="E15" i="282"/>
  <c r="G11" i="285"/>
  <c r="G15" i="282"/>
  <c r="E13" i="285"/>
  <c r="G90" i="306"/>
  <c r="G9" i="285"/>
  <c r="E90" i="306"/>
  <c r="E9" i="285"/>
  <c r="G229" i="306"/>
  <c r="G10" i="285"/>
  <c r="E10" i="285"/>
  <c r="G106" i="306"/>
  <c r="E227" i="306"/>
  <c r="F227" i="306"/>
  <c r="G227" i="306"/>
  <c r="I227" i="306"/>
  <c r="E226" i="306"/>
  <c r="F226" i="306"/>
  <c r="G226" i="306"/>
  <c r="I226" i="306"/>
  <c r="E225" i="306"/>
  <c r="F225" i="306"/>
  <c r="I225" i="306"/>
  <c r="F15" i="310"/>
  <c r="I15" i="310"/>
  <c r="F30" i="310"/>
  <c r="I30" i="310"/>
  <c r="F18" i="307"/>
  <c r="G18" i="307"/>
  <c r="I18" i="307"/>
  <c r="E88" i="306"/>
  <c r="F88" i="306"/>
  <c r="G88" i="306"/>
  <c r="I88" i="306"/>
  <c r="G42" i="307"/>
  <c r="E42" i="307"/>
  <c r="E221" i="306"/>
  <c r="F221" i="306"/>
  <c r="I221" i="306"/>
  <c r="G220" i="306"/>
  <c r="E220" i="306"/>
  <c r="E217" i="306"/>
  <c r="F217" i="306"/>
  <c r="I217" i="306"/>
  <c r="I216" i="306"/>
  <c r="G158" i="306"/>
  <c r="G216" i="306"/>
  <c r="F216" i="306"/>
  <c r="E216" i="306"/>
  <c r="E210" i="306"/>
  <c r="F210" i="306"/>
  <c r="G210" i="306"/>
  <c r="I210" i="306"/>
  <c r="E209" i="306"/>
  <c r="F209" i="306"/>
  <c r="G203" i="306"/>
  <c r="G209" i="306"/>
  <c r="I209" i="306"/>
  <c r="E206" i="306"/>
  <c r="F206" i="306"/>
  <c r="I206" i="306"/>
  <c r="E205" i="306"/>
  <c r="F205" i="306"/>
  <c r="I205" i="306"/>
  <c r="E198" i="306"/>
  <c r="F198" i="306"/>
  <c r="I198" i="306"/>
  <c r="G196" i="306"/>
  <c r="E196" i="306"/>
  <c r="I202" i="306"/>
  <c r="G202" i="306"/>
  <c r="F202" i="306"/>
  <c r="E202" i="306"/>
  <c r="I197" i="306"/>
  <c r="H197" i="306"/>
  <c r="G197" i="306"/>
  <c r="F197" i="306"/>
  <c r="E197" i="306"/>
  <c r="E153" i="306"/>
  <c r="F153" i="306"/>
  <c r="I153" i="306"/>
  <c r="E152" i="306"/>
  <c r="F152" i="306"/>
  <c r="G152" i="306"/>
  <c r="H152" i="306"/>
  <c r="I152" i="306"/>
  <c r="E151" i="306"/>
  <c r="G151" i="306"/>
  <c r="E114" i="305"/>
  <c r="F114" i="305"/>
  <c r="G114" i="305"/>
  <c r="H14" i="305"/>
  <c r="H114" i="305"/>
  <c r="I114" i="305"/>
  <c r="E112" i="305"/>
  <c r="F112" i="305"/>
  <c r="G112" i="305"/>
  <c r="H112" i="305"/>
  <c r="I112" i="305"/>
  <c r="E113" i="305"/>
  <c r="F113" i="305"/>
  <c r="G113" i="305"/>
  <c r="I113" i="305"/>
  <c r="G111" i="305"/>
  <c r="E111" i="305"/>
  <c r="G110" i="305"/>
  <c r="E110" i="305"/>
  <c r="I107" i="305"/>
  <c r="H107" i="305"/>
  <c r="G107" i="305"/>
  <c r="F107" i="305"/>
  <c r="E107" i="305"/>
  <c r="G106" i="305"/>
  <c r="E106" i="305"/>
  <c r="I103" i="305"/>
  <c r="H103" i="305"/>
  <c r="G103" i="305"/>
  <c r="F103" i="305"/>
  <c r="E103" i="305"/>
  <c r="G102" i="305"/>
  <c r="E102" i="305"/>
  <c r="G111" i="48"/>
  <c r="G191" i="306"/>
  <c r="G110" i="48"/>
  <c r="G190" i="306"/>
  <c r="G109" i="48"/>
  <c r="G189" i="306"/>
  <c r="G108" i="48"/>
  <c r="G188" i="306"/>
  <c r="G107" i="48"/>
  <c r="G187" i="306"/>
  <c r="G106" i="48"/>
  <c r="G186" i="306"/>
  <c r="G105" i="48"/>
  <c r="G185" i="306"/>
  <c r="G104" i="48"/>
  <c r="G184" i="306"/>
  <c r="G103" i="48"/>
  <c r="G183" i="306"/>
  <c r="G102" i="48"/>
  <c r="G182" i="306"/>
  <c r="G101" i="48"/>
  <c r="G181" i="306"/>
  <c r="G100" i="48"/>
  <c r="G180" i="306"/>
  <c r="G99" i="48"/>
  <c r="G179" i="306"/>
  <c r="G98" i="48"/>
  <c r="G178" i="306"/>
  <c r="G97" i="48"/>
  <c r="G177" i="306"/>
  <c r="G96" i="48"/>
  <c r="G176" i="306"/>
  <c r="G95" i="48"/>
  <c r="G175" i="306"/>
  <c r="G94" i="48"/>
  <c r="G174" i="306"/>
  <c r="G93" i="48"/>
  <c r="G173" i="306"/>
  <c r="G92" i="48"/>
  <c r="G172" i="306"/>
  <c r="G91" i="48"/>
  <c r="G171" i="306"/>
  <c r="G90" i="48"/>
  <c r="G170" i="306"/>
  <c r="G89" i="48"/>
  <c r="G169" i="306"/>
  <c r="G88" i="48"/>
  <c r="G168" i="306"/>
  <c r="G87" i="48"/>
  <c r="G167" i="306"/>
  <c r="G86" i="48"/>
  <c r="G166" i="306"/>
  <c r="E191" i="306"/>
  <c r="E190" i="306"/>
  <c r="E189" i="306"/>
  <c r="E188" i="306"/>
  <c r="E187" i="306"/>
  <c r="E186" i="306"/>
  <c r="E185" i="306"/>
  <c r="E184" i="306"/>
  <c r="E183" i="306"/>
  <c r="E182" i="306"/>
  <c r="E181" i="306"/>
  <c r="E180" i="306"/>
  <c r="E179" i="306"/>
  <c r="E178" i="306"/>
  <c r="E177" i="306"/>
  <c r="E176" i="306"/>
  <c r="E175" i="306"/>
  <c r="E174" i="306"/>
  <c r="E173" i="306"/>
  <c r="E172" i="306"/>
  <c r="E171" i="306"/>
  <c r="E170" i="306"/>
  <c r="E169" i="306"/>
  <c r="E168" i="306"/>
  <c r="E167" i="306"/>
  <c r="E166" i="306"/>
  <c r="I193" i="306"/>
  <c r="G193" i="306"/>
  <c r="F193" i="306"/>
  <c r="E193" i="306"/>
  <c r="I192" i="306"/>
  <c r="H192" i="306"/>
  <c r="G192" i="306"/>
  <c r="F192" i="306"/>
  <c r="E192" i="306"/>
  <c r="G163" i="306"/>
  <c r="E163" i="306"/>
  <c r="E148" i="306"/>
  <c r="F148" i="306"/>
  <c r="G148" i="306"/>
  <c r="I148" i="306"/>
  <c r="G145" i="306"/>
  <c r="E145" i="306"/>
  <c r="G144" i="306"/>
  <c r="E144" i="306"/>
  <c r="G143" i="306"/>
  <c r="E143" i="306"/>
  <c r="E147" i="306"/>
  <c r="F147" i="306"/>
  <c r="G147" i="306"/>
  <c r="I147" i="306"/>
  <c r="G146" i="306"/>
  <c r="E146" i="306"/>
  <c r="E140" i="306"/>
  <c r="F140" i="306"/>
  <c r="G140" i="306"/>
  <c r="H140" i="306"/>
  <c r="I140" i="306"/>
  <c r="E85" i="305"/>
  <c r="F85" i="305"/>
  <c r="G85" i="305"/>
  <c r="I85" i="305"/>
  <c r="BE5" i="310"/>
  <c r="BD5" i="310"/>
  <c r="BC5" i="310"/>
  <c r="BB5" i="310"/>
  <c r="BA5" i="310"/>
  <c r="AZ5" i="310"/>
  <c r="AY5" i="310"/>
  <c r="AX5" i="310"/>
  <c r="AW5" i="310"/>
  <c r="AV5" i="310"/>
  <c r="AU5" i="310"/>
  <c r="AT5" i="310"/>
  <c r="AS5" i="310"/>
  <c r="AR5" i="310"/>
  <c r="AQ5" i="310"/>
  <c r="AP5" i="310"/>
  <c r="AO5" i="310"/>
  <c r="AN5" i="310"/>
  <c r="AM5" i="310"/>
  <c r="AL5" i="310"/>
  <c r="AK5" i="310"/>
  <c r="AJ5" i="310"/>
  <c r="AI5" i="310"/>
  <c r="AH5" i="310"/>
  <c r="AG5" i="310"/>
  <c r="AF5" i="310"/>
  <c r="AE5" i="310"/>
  <c r="AD5" i="310"/>
  <c r="AC5" i="310"/>
  <c r="AB5" i="310"/>
  <c r="AA5" i="310"/>
  <c r="Z5" i="310"/>
  <c r="Y5" i="310"/>
  <c r="X5" i="310"/>
  <c r="W5" i="310"/>
  <c r="V5" i="310"/>
  <c r="U5" i="310"/>
  <c r="T5" i="310"/>
  <c r="S5" i="310"/>
  <c r="R5" i="310"/>
  <c r="Q5" i="310"/>
  <c r="P5" i="310"/>
  <c r="O5" i="310"/>
  <c r="N5" i="310"/>
  <c r="M5" i="310"/>
  <c r="L5" i="310"/>
  <c r="K5" i="310"/>
  <c r="J5" i="310"/>
  <c r="E5" i="310"/>
  <c r="BE5" i="307"/>
  <c r="BD5" i="307"/>
  <c r="BC5" i="307"/>
  <c r="BB5" i="307"/>
  <c r="BA5" i="307"/>
  <c r="AZ5" i="307"/>
  <c r="AY5" i="307"/>
  <c r="AX5" i="307"/>
  <c r="AW5" i="307"/>
  <c r="AV5" i="307"/>
  <c r="AU5" i="307"/>
  <c r="AT5" i="307"/>
  <c r="AS5" i="307"/>
  <c r="AR5" i="307"/>
  <c r="AQ5" i="307"/>
  <c r="AP5" i="307"/>
  <c r="AO5" i="307"/>
  <c r="AN5" i="307"/>
  <c r="AM5" i="307"/>
  <c r="AL5" i="307"/>
  <c r="AK5" i="307"/>
  <c r="AJ5" i="307"/>
  <c r="AI5" i="307"/>
  <c r="AH5" i="307"/>
  <c r="AG5" i="307"/>
  <c r="AF5" i="307"/>
  <c r="AE5" i="307"/>
  <c r="AD5" i="307"/>
  <c r="AC5" i="307"/>
  <c r="AB5" i="307"/>
  <c r="AA5" i="307"/>
  <c r="Z5" i="307"/>
  <c r="Y5" i="307"/>
  <c r="X5" i="307"/>
  <c r="W5" i="307"/>
  <c r="V5" i="307"/>
  <c r="U5" i="307"/>
  <c r="T5" i="307"/>
  <c r="S5" i="307"/>
  <c r="R5" i="307"/>
  <c r="Q5" i="307"/>
  <c r="P5" i="307"/>
  <c r="O5" i="307"/>
  <c r="N5" i="307"/>
  <c r="M5" i="307"/>
  <c r="L5" i="307"/>
  <c r="K5" i="307"/>
  <c r="J5" i="307"/>
  <c r="E5" i="307"/>
  <c r="BE5" i="306"/>
  <c r="BD5" i="306"/>
  <c r="BC5" i="306"/>
  <c r="BB5" i="306"/>
  <c r="BA5" i="306"/>
  <c r="AZ5" i="306"/>
  <c r="AY5" i="306"/>
  <c r="AX5" i="306"/>
  <c r="AW5" i="306"/>
  <c r="AV5" i="306"/>
  <c r="AU5" i="306"/>
  <c r="AT5" i="306"/>
  <c r="AS5" i="306"/>
  <c r="AR5" i="306"/>
  <c r="AQ5" i="306"/>
  <c r="AP5" i="306"/>
  <c r="AO5" i="306"/>
  <c r="AN5" i="306"/>
  <c r="AM5" i="306"/>
  <c r="AL5" i="306"/>
  <c r="AK5" i="306"/>
  <c r="AJ5" i="306"/>
  <c r="AI5" i="306"/>
  <c r="AH5" i="306"/>
  <c r="AG5" i="306"/>
  <c r="AF5" i="306"/>
  <c r="AE5" i="306"/>
  <c r="AD5" i="306"/>
  <c r="AC5" i="306"/>
  <c r="AB5" i="306"/>
  <c r="AA5" i="306"/>
  <c r="Z5" i="306"/>
  <c r="Y5" i="306"/>
  <c r="X5" i="306"/>
  <c r="W5" i="306"/>
  <c r="V5" i="306"/>
  <c r="U5" i="306"/>
  <c r="T5" i="306"/>
  <c r="S5" i="306"/>
  <c r="R5" i="306"/>
  <c r="Q5" i="306"/>
  <c r="P5" i="306"/>
  <c r="O5" i="306"/>
  <c r="N5" i="306"/>
  <c r="M5" i="306"/>
  <c r="L5" i="306"/>
  <c r="K5" i="306"/>
  <c r="J5" i="306"/>
  <c r="E5" i="306"/>
  <c r="J5" i="305"/>
  <c r="K5" i="305"/>
  <c r="L5" i="305"/>
  <c r="M5" i="305"/>
  <c r="N5" i="305"/>
  <c r="O5" i="305"/>
  <c r="P5" i="305"/>
  <c r="Q5" i="305"/>
  <c r="R5" i="305"/>
  <c r="S5" i="305"/>
  <c r="T5" i="305"/>
  <c r="U5" i="305"/>
  <c r="V5" i="305"/>
  <c r="W5" i="305"/>
  <c r="X5" i="305"/>
  <c r="Y5" i="305"/>
  <c r="Z5" i="305"/>
  <c r="AA5" i="305"/>
  <c r="AB5" i="305"/>
  <c r="AC5" i="305"/>
  <c r="AD5" i="305"/>
  <c r="AE5" i="305"/>
  <c r="AF5" i="305"/>
  <c r="AG5" i="305"/>
  <c r="AH5" i="305"/>
  <c r="AI5" i="305"/>
  <c r="AJ5" i="305"/>
  <c r="AK5" i="305"/>
  <c r="AL5" i="305"/>
  <c r="AM5" i="305"/>
  <c r="AN5" i="305"/>
  <c r="AO5" i="305"/>
  <c r="AP5" i="305"/>
  <c r="AQ5" i="305"/>
  <c r="AR5" i="305"/>
  <c r="AS5" i="305"/>
  <c r="AT5" i="305"/>
  <c r="AU5" i="305"/>
  <c r="AV5" i="305"/>
  <c r="AW5" i="305"/>
  <c r="AX5" i="305"/>
  <c r="AY5" i="305"/>
  <c r="AZ5" i="305"/>
  <c r="BA5" i="305"/>
  <c r="BB5" i="305"/>
  <c r="BC5" i="305"/>
  <c r="BD5" i="305"/>
  <c r="BE5" i="305"/>
  <c r="E5" i="305"/>
  <c r="G139" i="306"/>
  <c r="G138" i="306"/>
  <c r="G137" i="306"/>
  <c r="G136" i="306"/>
  <c r="G135" i="306"/>
  <c r="G134" i="306"/>
  <c r="G133" i="306"/>
  <c r="G132" i="306"/>
  <c r="G131" i="306"/>
  <c r="G130" i="306"/>
  <c r="G129" i="306"/>
  <c r="G128" i="306"/>
  <c r="G127" i="306"/>
  <c r="G126" i="306"/>
  <c r="G125" i="306"/>
  <c r="G124" i="306"/>
  <c r="G123" i="306"/>
  <c r="G122" i="306"/>
  <c r="G121" i="306"/>
  <c r="G120" i="306"/>
  <c r="G119" i="306"/>
  <c r="G118" i="306"/>
  <c r="G117" i="306"/>
  <c r="G116" i="306"/>
  <c r="G115" i="306"/>
  <c r="G114" i="306"/>
  <c r="E139" i="306"/>
  <c r="E138" i="306"/>
  <c r="E137" i="306"/>
  <c r="E136" i="306"/>
  <c r="E135" i="306"/>
  <c r="E134" i="306"/>
  <c r="E133" i="306"/>
  <c r="E132" i="306"/>
  <c r="E131" i="306"/>
  <c r="E130" i="306"/>
  <c r="E129" i="306"/>
  <c r="E128" i="306"/>
  <c r="E127" i="306"/>
  <c r="E126" i="306"/>
  <c r="E125" i="306"/>
  <c r="E124" i="306"/>
  <c r="E123" i="306"/>
  <c r="E122" i="306"/>
  <c r="E121" i="306"/>
  <c r="E120" i="306"/>
  <c r="E119" i="306"/>
  <c r="E118" i="306"/>
  <c r="E117" i="306"/>
  <c r="E116" i="306"/>
  <c r="E115" i="306"/>
  <c r="E114" i="306"/>
  <c r="G111" i="306"/>
  <c r="E111" i="306"/>
  <c r="F70" i="311"/>
  <c r="J5" i="265"/>
  <c r="K5" i="265"/>
  <c r="F9" i="265"/>
  <c r="F88" i="269"/>
  <c r="F10" i="265"/>
  <c r="F89" i="269"/>
  <c r="I9" i="265"/>
  <c r="I10" i="265"/>
  <c r="I13" i="265"/>
  <c r="I14" i="265"/>
  <c r="I28" i="265"/>
  <c r="I35" i="265"/>
  <c r="F43" i="265"/>
  <c r="F44" i="265"/>
  <c r="I41" i="265"/>
  <c r="I43" i="265"/>
  <c r="I44" i="265"/>
  <c r="I49" i="265"/>
  <c r="I50" i="265"/>
  <c r="I51" i="265"/>
  <c r="I52" i="265"/>
  <c r="I54" i="265"/>
  <c r="I55" i="265"/>
  <c r="I57" i="265"/>
  <c r="I58" i="265"/>
  <c r="I59" i="265"/>
  <c r="F49" i="265"/>
  <c r="F50" i="265"/>
  <c r="F51" i="265"/>
  <c r="F52" i="265"/>
  <c r="F54" i="265"/>
  <c r="F55" i="265"/>
  <c r="F57" i="265"/>
  <c r="F58" i="265"/>
  <c r="F59" i="265"/>
  <c r="F79" i="265"/>
  <c r="F80" i="265"/>
  <c r="F81" i="265"/>
  <c r="I79" i="265"/>
  <c r="I80" i="265"/>
  <c r="I81" i="265"/>
  <c r="F91" i="265"/>
  <c r="F91" i="277"/>
  <c r="F92" i="265"/>
  <c r="I91" i="265"/>
  <c r="I92" i="265"/>
  <c r="F95" i="265"/>
  <c r="I95" i="265"/>
  <c r="H102" i="265"/>
  <c r="I102" i="265"/>
  <c r="H103" i="265"/>
  <c r="I103" i="265"/>
  <c r="F102" i="265"/>
  <c r="F103" i="265"/>
  <c r="H108" i="265"/>
  <c r="I108" i="265"/>
  <c r="H109" i="265"/>
  <c r="I109" i="265"/>
  <c r="F108" i="265"/>
  <c r="F108" i="277"/>
  <c r="F109" i="265"/>
  <c r="F109" i="277"/>
  <c r="F116" i="265"/>
  <c r="F126" i="265"/>
  <c r="F126" i="277"/>
  <c r="F127" i="265"/>
  <c r="H116" i="265"/>
  <c r="I116" i="265"/>
  <c r="H126" i="265"/>
  <c r="I126" i="265"/>
  <c r="H127" i="265"/>
  <c r="I127" i="265"/>
  <c r="E66" i="306"/>
  <c r="G30" i="48"/>
  <c r="G18" i="306"/>
  <c r="G9" i="288"/>
  <c r="E15" i="306"/>
  <c r="G15" i="306"/>
  <c r="E9" i="306"/>
  <c r="G9" i="306"/>
  <c r="G10" i="306"/>
  <c r="E10" i="306"/>
  <c r="G29" i="278"/>
  <c r="E29" i="278"/>
  <c r="G51" i="289"/>
  <c r="E51" i="289"/>
  <c r="F129" i="48"/>
  <c r="F29" i="289"/>
  <c r="F35" i="289"/>
  <c r="G35" i="289"/>
  <c r="E35" i="289"/>
  <c r="E20" i="289"/>
  <c r="G20" i="289"/>
  <c r="G118" i="48"/>
  <c r="G698" i="321"/>
  <c r="E698" i="321"/>
  <c r="G595" i="321"/>
  <c r="E595" i="321"/>
  <c r="G385" i="321"/>
  <c r="E385" i="321"/>
  <c r="E224" i="321"/>
  <c r="G224" i="321"/>
  <c r="G551" i="307"/>
  <c r="E551" i="307"/>
  <c r="G408" i="307"/>
  <c r="E408" i="307"/>
  <c r="E134" i="307"/>
  <c r="G134" i="307"/>
  <c r="G89" i="278"/>
  <c r="E89" i="278"/>
  <c r="E31" i="278"/>
  <c r="G31" i="278"/>
  <c r="E111" i="278"/>
  <c r="G111" i="278"/>
  <c r="J234" i="288"/>
  <c r="K234" i="288"/>
  <c r="F132" i="288"/>
  <c r="BF139" i="288"/>
  <c r="BG139" i="288"/>
  <c r="BH139" i="288"/>
  <c r="BI139" i="288"/>
  <c r="BJ139" i="288"/>
  <c r="BK139" i="288"/>
  <c r="BL139" i="288"/>
  <c r="BM139" i="288"/>
  <c r="BN139" i="288"/>
  <c r="BO139" i="288"/>
  <c r="BP139" i="288"/>
  <c r="BQ139" i="288"/>
  <c r="BR139" i="288"/>
  <c r="BS139" i="288"/>
  <c r="BT139" i="288"/>
  <c r="BU139" i="288"/>
  <c r="BV139" i="288"/>
  <c r="BW139" i="288"/>
  <c r="BX139" i="288"/>
  <c r="BY139" i="288"/>
  <c r="BZ139" i="288"/>
  <c r="CA139" i="288"/>
  <c r="CB139" i="288"/>
  <c r="CC139" i="288"/>
  <c r="CD139" i="288"/>
  <c r="CE139" i="288"/>
  <c r="CF139" i="288"/>
  <c r="CG139" i="288"/>
  <c r="CH139" i="288"/>
  <c r="CI139" i="288"/>
  <c r="CJ139" i="288"/>
  <c r="CK139" i="288"/>
  <c r="CL139" i="288"/>
  <c r="CM139" i="288"/>
  <c r="CN139" i="288"/>
  <c r="CO139" i="288"/>
  <c r="CP139" i="288"/>
  <c r="CQ139" i="288"/>
  <c r="CR139" i="288"/>
  <c r="CS139" i="288"/>
  <c r="CT139" i="288"/>
  <c r="CU139" i="288"/>
  <c r="CV139" i="288"/>
  <c r="G547" i="321"/>
  <c r="E238" i="307"/>
  <c r="J38" i="305"/>
  <c r="J40" i="305"/>
  <c r="I89" i="305"/>
  <c r="J90" i="305"/>
  <c r="J41" i="305"/>
  <c r="F44" i="305"/>
  <c r="K38" i="305"/>
  <c r="L38" i="305"/>
  <c r="M38" i="305"/>
  <c r="F45" i="305"/>
  <c r="N38" i="305"/>
  <c r="F46" i="305"/>
  <c r="O38" i="305"/>
  <c r="P38" i="305"/>
  <c r="Q38" i="305"/>
  <c r="R38" i="305"/>
  <c r="S38" i="305"/>
  <c r="T38" i="305"/>
  <c r="U38" i="305"/>
  <c r="V38" i="305"/>
  <c r="W38" i="305"/>
  <c r="X38" i="305"/>
  <c r="Y38" i="305"/>
  <c r="Z38" i="305"/>
  <c r="AA38" i="305"/>
  <c r="AB38" i="305"/>
  <c r="AC38" i="305"/>
  <c r="AD38" i="305"/>
  <c r="AE38" i="305"/>
  <c r="AF38" i="305"/>
  <c r="AG38" i="305"/>
  <c r="AH38" i="305"/>
  <c r="AI38" i="305"/>
  <c r="AJ38" i="305"/>
  <c r="AK38" i="305"/>
  <c r="AL38" i="305"/>
  <c r="AM38" i="305"/>
  <c r="AN38" i="305"/>
  <c r="F47" i="305"/>
  <c r="AO38" i="305"/>
  <c r="AP38" i="305"/>
  <c r="AQ38" i="305"/>
  <c r="AR38" i="305"/>
  <c r="AS38" i="305"/>
  <c r="AT38" i="305"/>
  <c r="AU38" i="305"/>
  <c r="AV38" i="305"/>
  <c r="AW38" i="305"/>
  <c r="AX38" i="305"/>
  <c r="AY38" i="305"/>
  <c r="AZ38" i="305"/>
  <c r="BA38" i="305"/>
  <c r="BB38" i="305"/>
  <c r="BC38" i="305"/>
  <c r="BD38" i="305"/>
  <c r="BE38" i="305"/>
  <c r="E37" i="289"/>
  <c r="E22" i="289"/>
  <c r="F181" i="288"/>
  <c r="G25" i="288"/>
  <c r="G181" i="288"/>
  <c r="F22" i="288"/>
  <c r="BF24" i="288"/>
  <c r="BG24" i="288"/>
  <c r="BH24" i="288"/>
  <c r="BI24" i="288"/>
  <c r="BJ24" i="288"/>
  <c r="BK24" i="288"/>
  <c r="BL24" i="288"/>
  <c r="BM24" i="288"/>
  <c r="BN24" i="288"/>
  <c r="BO24" i="288"/>
  <c r="BP24" i="288"/>
  <c r="BQ24" i="288"/>
  <c r="BR24" i="288"/>
  <c r="BS24" i="288"/>
  <c r="BT24" i="288"/>
  <c r="BU24" i="288"/>
  <c r="BV24" i="288"/>
  <c r="BW24" i="288"/>
  <c r="BX24" i="288"/>
  <c r="BY24" i="288"/>
  <c r="BZ24" i="288"/>
  <c r="CA24" i="288"/>
  <c r="CB24" i="288"/>
  <c r="CC24" i="288"/>
  <c r="CD24" i="288"/>
  <c r="CE24" i="288"/>
  <c r="CF24" i="288"/>
  <c r="CG24" i="288"/>
  <c r="CH24" i="288"/>
  <c r="CI24" i="288"/>
  <c r="CJ24" i="288"/>
  <c r="CK24" i="288"/>
  <c r="CL24" i="288"/>
  <c r="CM24" i="288"/>
  <c r="CN24" i="288"/>
  <c r="CO24" i="288"/>
  <c r="CP24" i="288"/>
  <c r="CQ24" i="288"/>
  <c r="CR24" i="288"/>
  <c r="CS24" i="288"/>
  <c r="CT24" i="288"/>
  <c r="CU24" i="288"/>
  <c r="CV24" i="288"/>
  <c r="I181" i="288"/>
  <c r="I453" i="321"/>
  <c r="G453" i="321"/>
  <c r="F453" i="321"/>
  <c r="F497" i="321"/>
  <c r="G497" i="321"/>
  <c r="I497" i="321"/>
  <c r="F202" i="288"/>
  <c r="G111" i="286"/>
  <c r="G116" i="286"/>
  <c r="G202" i="288"/>
  <c r="I202" i="288"/>
  <c r="F201" i="288"/>
  <c r="G93" i="286"/>
  <c r="G105" i="286"/>
  <c r="G201" i="288"/>
  <c r="I201" i="288"/>
  <c r="F88" i="315"/>
  <c r="G112" i="286"/>
  <c r="G88" i="315"/>
  <c r="I88" i="315"/>
  <c r="F123" i="315"/>
  <c r="G117" i="286"/>
  <c r="G123" i="315"/>
  <c r="H123" i="315"/>
  <c r="I123" i="315"/>
  <c r="E109" i="286"/>
  <c r="F109" i="286"/>
  <c r="G106" i="286"/>
  <c r="G109" i="286"/>
  <c r="H109" i="286"/>
  <c r="I109" i="286"/>
  <c r="E108" i="286"/>
  <c r="F108" i="286"/>
  <c r="G114" i="286"/>
  <c r="G108" i="286"/>
  <c r="H108" i="286"/>
  <c r="I108" i="286"/>
  <c r="E116" i="286"/>
  <c r="F116" i="286"/>
  <c r="I116" i="286"/>
  <c r="E105" i="286"/>
  <c r="F105" i="286"/>
  <c r="I105" i="286"/>
  <c r="E104" i="286"/>
  <c r="F104" i="286"/>
  <c r="G88" i="286"/>
  <c r="G104" i="286"/>
  <c r="H104" i="286"/>
  <c r="I104" i="286"/>
  <c r="G34" i="286"/>
  <c r="I110" i="286"/>
  <c r="G110" i="286"/>
  <c r="F110" i="286"/>
  <c r="E110" i="286"/>
  <c r="G29" i="286"/>
  <c r="G37" i="286"/>
  <c r="G31" i="286"/>
  <c r="E32" i="286"/>
  <c r="F32" i="286"/>
  <c r="G32" i="286"/>
  <c r="H32" i="286"/>
  <c r="I32" i="286"/>
  <c r="E28" i="286"/>
  <c r="F28" i="286"/>
  <c r="G16" i="286"/>
  <c r="I28" i="286"/>
  <c r="E27" i="286"/>
  <c r="F27" i="286"/>
  <c r="G11" i="286"/>
  <c r="H27" i="286"/>
  <c r="I27" i="286"/>
  <c r="F87" i="315"/>
  <c r="G94" i="286"/>
  <c r="G87" i="315"/>
  <c r="I87" i="315"/>
  <c r="E98" i="286"/>
  <c r="F98" i="286"/>
  <c r="G98" i="286"/>
  <c r="I98" i="286"/>
  <c r="F122" i="315"/>
  <c r="G99" i="286"/>
  <c r="G122" i="315"/>
  <c r="H122" i="315"/>
  <c r="I122" i="315"/>
  <c r="E91" i="286"/>
  <c r="F91" i="286"/>
  <c r="G91" i="286"/>
  <c r="H91" i="286"/>
  <c r="I91" i="286"/>
  <c r="E90" i="286"/>
  <c r="F90" i="286"/>
  <c r="G96" i="286"/>
  <c r="G90" i="286"/>
  <c r="H90" i="286"/>
  <c r="I90" i="286"/>
  <c r="E87" i="286"/>
  <c r="F87" i="286"/>
  <c r="G85" i="315"/>
  <c r="G87" i="286"/>
  <c r="I87" i="286"/>
  <c r="E86" i="286"/>
  <c r="F86" i="286"/>
  <c r="G130" i="286"/>
  <c r="G86" i="286"/>
  <c r="H86" i="286"/>
  <c r="I86" i="286"/>
  <c r="I92" i="286"/>
  <c r="G92" i="286"/>
  <c r="F92" i="286"/>
  <c r="E92" i="286"/>
  <c r="G19" i="286"/>
  <c r="G53" i="286"/>
  <c r="G9" i="286"/>
  <c r="E14" i="286"/>
  <c r="F14" i="286"/>
  <c r="H14" i="286"/>
  <c r="I14" i="286"/>
  <c r="E10" i="286"/>
  <c r="F10" i="286"/>
  <c r="G89" i="265"/>
  <c r="G164" i="269"/>
  <c r="I10" i="286"/>
  <c r="E9" i="286"/>
  <c r="F9" i="286"/>
  <c r="H9" i="286"/>
  <c r="I9" i="286"/>
  <c r="E594" i="307"/>
  <c r="F594" i="307"/>
  <c r="I594" i="307"/>
  <c r="E593" i="307"/>
  <c r="F593" i="307"/>
  <c r="I593" i="307"/>
  <c r="E592" i="307"/>
  <c r="F592" i="307"/>
  <c r="I592" i="307"/>
  <c r="J261" i="273"/>
  <c r="I262" i="273"/>
  <c r="J263" i="273"/>
  <c r="J61" i="314"/>
  <c r="G40" i="286"/>
  <c r="G127" i="265"/>
  <c r="G127" i="277"/>
  <c r="G22" i="286"/>
  <c r="G126" i="265"/>
  <c r="G126" i="277"/>
  <c r="E126" i="265"/>
  <c r="G488" i="321"/>
  <c r="G124" i="265"/>
  <c r="G124" i="277"/>
  <c r="E124" i="265"/>
  <c r="G688" i="321"/>
  <c r="G123" i="265"/>
  <c r="G123" i="277"/>
  <c r="G611" i="321"/>
  <c r="G118" i="265"/>
  <c r="G118" i="277"/>
  <c r="E116" i="265"/>
  <c r="E116" i="277"/>
  <c r="G174" i="278"/>
  <c r="G109" i="265"/>
  <c r="G109" i="277"/>
  <c r="E109" i="265"/>
  <c r="E109" i="277"/>
  <c r="G276" i="278"/>
  <c r="G108" i="265"/>
  <c r="G108" i="277"/>
  <c r="E108" i="265"/>
  <c r="E108" i="277"/>
  <c r="G43" i="285"/>
  <c r="G103" i="265"/>
  <c r="G103" i="277"/>
  <c r="E103" i="265"/>
  <c r="G27" i="285"/>
  <c r="G102" i="265"/>
  <c r="G102" i="277"/>
  <c r="E102" i="265"/>
  <c r="G81" i="286"/>
  <c r="G95" i="265"/>
  <c r="E81" i="286"/>
  <c r="E95" i="265"/>
  <c r="G35" i="286"/>
  <c r="G92" i="265"/>
  <c r="E35" i="286"/>
  <c r="E92" i="265"/>
  <c r="G17" i="286"/>
  <c r="G91" i="265"/>
  <c r="E17" i="286"/>
  <c r="E91" i="265"/>
  <c r="G480" i="321"/>
  <c r="G88" i="265"/>
  <c r="E480" i="321"/>
  <c r="E88" i="265"/>
  <c r="G465" i="321"/>
  <c r="G87" i="265"/>
  <c r="G162" i="269"/>
  <c r="E465" i="321"/>
  <c r="E87" i="265"/>
  <c r="G715" i="321"/>
  <c r="G26" i="265"/>
  <c r="G81" i="265"/>
  <c r="G156" i="269"/>
  <c r="G75" i="314"/>
  <c r="G80" i="265"/>
  <c r="G155" i="269"/>
  <c r="E80" i="265"/>
  <c r="G67" i="314"/>
  <c r="G79" i="265"/>
  <c r="G154" i="269"/>
  <c r="E67" i="314"/>
  <c r="E79" i="265"/>
  <c r="E73" i="265"/>
  <c r="E67" i="265"/>
  <c r="E144" i="269"/>
  <c r="G568" i="321"/>
  <c r="G64" i="265"/>
  <c r="G141" i="269"/>
  <c r="E568" i="321"/>
  <c r="E64" i="265"/>
  <c r="E64" i="277"/>
  <c r="G557" i="321"/>
  <c r="G63" i="265"/>
  <c r="G140" i="269"/>
  <c r="E63" i="265"/>
  <c r="G605" i="321"/>
  <c r="G62" i="265"/>
  <c r="E605" i="321"/>
  <c r="E62" i="265"/>
  <c r="G591" i="321"/>
  <c r="G24" i="265"/>
  <c r="E591" i="321"/>
  <c r="E61" i="265"/>
  <c r="G583" i="321"/>
  <c r="G23" i="265"/>
  <c r="G100" i="269"/>
  <c r="G60" i="265"/>
  <c r="G137" i="269"/>
  <c r="E59" i="265"/>
  <c r="E57" i="265"/>
  <c r="G447" i="321"/>
  <c r="G56" i="265"/>
  <c r="G229" i="307"/>
  <c r="G55" i="265"/>
  <c r="G132" i="269"/>
  <c r="E54" i="265"/>
  <c r="G681" i="321"/>
  <c r="G53" i="265"/>
  <c r="G130" i="269"/>
  <c r="G249" i="306"/>
  <c r="G50" i="315"/>
  <c r="E249" i="306"/>
  <c r="E52" i="265"/>
  <c r="G243" i="306"/>
  <c r="G51" i="265"/>
  <c r="E243" i="306"/>
  <c r="E51" i="265"/>
  <c r="G611" i="307"/>
  <c r="G48" i="315"/>
  <c r="E611" i="307"/>
  <c r="E50" i="265"/>
  <c r="G237" i="306"/>
  <c r="G47" i="315"/>
  <c r="E237" i="306"/>
  <c r="E49" i="265"/>
  <c r="G77" i="282"/>
  <c r="G46" i="265"/>
  <c r="G123" i="269"/>
  <c r="E77" i="282"/>
  <c r="G220" i="278"/>
  <c r="G44" i="265"/>
  <c r="E220" i="278"/>
  <c r="E44" i="265"/>
  <c r="G269" i="278"/>
  <c r="G43" i="265"/>
  <c r="E43" i="265"/>
  <c r="E41" i="265"/>
  <c r="G35" i="265"/>
  <c r="G112" i="269"/>
  <c r="E35" i="265"/>
  <c r="G28" i="265"/>
  <c r="G105" i="269"/>
  <c r="E28" i="265"/>
  <c r="G455" i="321"/>
  <c r="G27" i="265"/>
  <c r="E27" i="265"/>
  <c r="G25" i="265"/>
  <c r="G102" i="269"/>
  <c r="E25" i="265"/>
  <c r="E24" i="265"/>
  <c r="G38" i="285"/>
  <c r="G14" i="265"/>
  <c r="G93" i="269"/>
  <c r="E38" i="285"/>
  <c r="E14" i="265"/>
  <c r="E14" i="277"/>
  <c r="G18" i="285"/>
  <c r="G13" i="265"/>
  <c r="G92" i="269"/>
  <c r="E18" i="285"/>
  <c r="E13" i="265"/>
  <c r="G155" i="278"/>
  <c r="G10" i="265"/>
  <c r="G89" i="269"/>
  <c r="E155" i="278"/>
  <c r="E9" i="265"/>
  <c r="J140" i="314"/>
  <c r="BF206" i="288"/>
  <c r="BG206" i="288"/>
  <c r="BH206" i="288"/>
  <c r="BI206" i="288"/>
  <c r="BJ206" i="288"/>
  <c r="BK206" i="288"/>
  <c r="BL206" i="288"/>
  <c r="BM206" i="288"/>
  <c r="BN206" i="288"/>
  <c r="BO206" i="288"/>
  <c r="BP206" i="288"/>
  <c r="BQ206" i="288"/>
  <c r="BR206" i="288"/>
  <c r="BS206" i="288"/>
  <c r="BT206" i="288"/>
  <c r="BU206" i="288"/>
  <c r="BV206" i="288"/>
  <c r="BW206" i="288"/>
  <c r="BX206" i="288"/>
  <c r="BY206" i="288"/>
  <c r="BZ206" i="288"/>
  <c r="CA206" i="288"/>
  <c r="CB206" i="288"/>
  <c r="CC206" i="288"/>
  <c r="CD206" i="288"/>
  <c r="CE206" i="288"/>
  <c r="CF206" i="288"/>
  <c r="CG206" i="288"/>
  <c r="CH206" i="288"/>
  <c r="CI206" i="288"/>
  <c r="CJ206" i="288"/>
  <c r="CK206" i="288"/>
  <c r="CL206" i="288"/>
  <c r="CM206" i="288"/>
  <c r="CN206" i="288"/>
  <c r="CO206" i="288"/>
  <c r="CP206" i="288"/>
  <c r="CQ206" i="288"/>
  <c r="CR206" i="288"/>
  <c r="CS206" i="288"/>
  <c r="CT206" i="288"/>
  <c r="CU206" i="288"/>
  <c r="CV206" i="288"/>
  <c r="BF56" i="288"/>
  <c r="BG56" i="288"/>
  <c r="BH56" i="288"/>
  <c r="BI56" i="288"/>
  <c r="BJ56" i="288"/>
  <c r="BK56" i="288"/>
  <c r="BL56" i="288"/>
  <c r="BM56" i="288"/>
  <c r="BN56" i="288"/>
  <c r="BO56" i="288"/>
  <c r="BP56" i="288"/>
  <c r="BQ56" i="288"/>
  <c r="BR56" i="288"/>
  <c r="BS56" i="288"/>
  <c r="BT56" i="288"/>
  <c r="BU56" i="288"/>
  <c r="BV56" i="288"/>
  <c r="BW56" i="288"/>
  <c r="BX56" i="288"/>
  <c r="BY56" i="288"/>
  <c r="BZ56" i="288"/>
  <c r="CA56" i="288"/>
  <c r="CB56" i="288"/>
  <c r="CC56" i="288"/>
  <c r="CD56" i="288"/>
  <c r="CE56" i="288"/>
  <c r="CF56" i="288"/>
  <c r="CG56" i="288"/>
  <c r="CH56" i="288"/>
  <c r="CI56" i="288"/>
  <c r="CJ56" i="288"/>
  <c r="CK56" i="288"/>
  <c r="CL56" i="288"/>
  <c r="CM56" i="288"/>
  <c r="CN56" i="288"/>
  <c r="CO56" i="288"/>
  <c r="CP56" i="288"/>
  <c r="CQ56" i="288"/>
  <c r="CR56" i="288"/>
  <c r="CS56" i="288"/>
  <c r="CT56" i="288"/>
  <c r="CU56" i="288"/>
  <c r="CV56" i="288"/>
  <c r="F142" i="277"/>
  <c r="J5" i="277"/>
  <c r="K5" i="277"/>
  <c r="E104" i="278"/>
  <c r="F104" i="278"/>
  <c r="G104" i="278"/>
  <c r="I104" i="278"/>
  <c r="G103" i="278"/>
  <c r="E103" i="278"/>
  <c r="E98" i="278"/>
  <c r="F98" i="278"/>
  <c r="G98" i="278"/>
  <c r="I98" i="278"/>
  <c r="I100" i="278"/>
  <c r="G100" i="278"/>
  <c r="F100" i="278"/>
  <c r="E100" i="278"/>
  <c r="I97" i="278"/>
  <c r="H97" i="278"/>
  <c r="G97" i="278"/>
  <c r="F97" i="278"/>
  <c r="E97" i="278"/>
  <c r="G96" i="278"/>
  <c r="E96" i="278"/>
  <c r="G95" i="278"/>
  <c r="E95" i="278"/>
  <c r="G94" i="278"/>
  <c r="E94" i="278"/>
  <c r="E74" i="278"/>
  <c r="F74" i="278"/>
  <c r="G74" i="278"/>
  <c r="I74" i="278"/>
  <c r="G73" i="278"/>
  <c r="E73" i="278"/>
  <c r="E67" i="278"/>
  <c r="F67" i="278"/>
  <c r="G67" i="278"/>
  <c r="H67" i="278"/>
  <c r="I67" i="278"/>
  <c r="E64" i="278"/>
  <c r="G64" i="278"/>
  <c r="H60" i="278"/>
  <c r="I60" i="278"/>
  <c r="E59" i="278"/>
  <c r="F59" i="278"/>
  <c r="G59" i="278"/>
  <c r="H59" i="278"/>
  <c r="I59" i="278"/>
  <c r="I56" i="278"/>
  <c r="G56" i="278"/>
  <c r="F56" i="278"/>
  <c r="E56" i="278"/>
  <c r="E55" i="278"/>
  <c r="F55" i="278"/>
  <c r="G55" i="278"/>
  <c r="H55" i="278"/>
  <c r="I55" i="278"/>
  <c r="E54" i="278"/>
  <c r="F54" i="278"/>
  <c r="G54" i="278"/>
  <c r="H54" i="278"/>
  <c r="I54" i="278"/>
  <c r="G53" i="278"/>
  <c r="E53" i="278"/>
  <c r="E49" i="278"/>
  <c r="F49" i="278"/>
  <c r="G49" i="278"/>
  <c r="I49" i="278"/>
  <c r="E48" i="278"/>
  <c r="F48" i="278"/>
  <c r="G48" i="278"/>
  <c r="H48" i="278"/>
  <c r="I48" i="278"/>
  <c r="E46" i="278"/>
  <c r="G46" i="278"/>
  <c r="G47" i="278"/>
  <c r="E47" i="278"/>
  <c r="G44" i="278"/>
  <c r="E44" i="278"/>
  <c r="G41" i="278"/>
  <c r="E41" i="278"/>
  <c r="E38" i="278"/>
  <c r="F38" i="278"/>
  <c r="G38" i="278"/>
  <c r="H38" i="278"/>
  <c r="I38" i="278"/>
  <c r="E37" i="278"/>
  <c r="G37" i="278"/>
  <c r="F37" i="289"/>
  <c r="G37" i="289"/>
  <c r="H37" i="289"/>
  <c r="I37" i="289"/>
  <c r="J31" i="289"/>
  <c r="E29" i="289"/>
  <c r="G29" i="289"/>
  <c r="I38" i="289"/>
  <c r="G38" i="289"/>
  <c r="F38" i="289"/>
  <c r="E38" i="289"/>
  <c r="J47" i="289"/>
  <c r="I36" i="289"/>
  <c r="G36" i="289"/>
  <c r="F36" i="289"/>
  <c r="E36" i="289"/>
  <c r="G34" i="289"/>
  <c r="E34" i="289"/>
  <c r="I31" i="289"/>
  <c r="G31" i="289"/>
  <c r="F31" i="289"/>
  <c r="E31" i="289"/>
  <c r="I30" i="289"/>
  <c r="H30" i="289"/>
  <c r="G30" i="289"/>
  <c r="F30" i="289"/>
  <c r="E30" i="289"/>
  <c r="E23" i="289"/>
  <c r="F23" i="289"/>
  <c r="G23" i="289"/>
  <c r="I23" i="289"/>
  <c r="F22" i="289"/>
  <c r="G22" i="289"/>
  <c r="H22" i="289"/>
  <c r="I22" i="289"/>
  <c r="J16" i="289"/>
  <c r="I21" i="289"/>
  <c r="G21" i="289"/>
  <c r="F21" i="289"/>
  <c r="E21" i="289"/>
  <c r="E14" i="289"/>
  <c r="G14" i="289"/>
  <c r="I16" i="289"/>
  <c r="G16" i="289"/>
  <c r="F16" i="289"/>
  <c r="E16" i="289"/>
  <c r="I15" i="289"/>
  <c r="H15" i="289"/>
  <c r="G15" i="289"/>
  <c r="F15" i="289"/>
  <c r="E15" i="289"/>
  <c r="E54" i="289"/>
  <c r="F54" i="289"/>
  <c r="G54" i="289"/>
  <c r="I54" i="289"/>
  <c r="E53" i="289"/>
  <c r="F53" i="289"/>
  <c r="G53" i="289"/>
  <c r="H53" i="289"/>
  <c r="I53" i="289"/>
  <c r="E50" i="289"/>
  <c r="G50" i="289"/>
  <c r="E47" i="289"/>
  <c r="F47" i="289"/>
  <c r="G47" i="289"/>
  <c r="I47" i="289"/>
  <c r="E46" i="289"/>
  <c r="F46" i="289"/>
  <c r="G46" i="289"/>
  <c r="H46" i="289"/>
  <c r="I46" i="289"/>
  <c r="E11" i="289"/>
  <c r="F11" i="289"/>
  <c r="G11" i="289"/>
  <c r="I11" i="289"/>
  <c r="G24" i="273"/>
  <c r="G225" i="273"/>
  <c r="H24" i="273"/>
  <c r="H225" i="273"/>
  <c r="I24" i="273"/>
  <c r="I225" i="273"/>
  <c r="E24" i="273"/>
  <c r="E225" i="273"/>
  <c r="F24" i="273"/>
  <c r="F225" i="273"/>
  <c r="E224" i="273"/>
  <c r="G224" i="273"/>
  <c r="G221" i="273"/>
  <c r="E221" i="273"/>
  <c r="E10" i="289"/>
  <c r="F10" i="289"/>
  <c r="G10" i="289"/>
  <c r="H10" i="289"/>
  <c r="I10" i="289"/>
  <c r="E9" i="289"/>
  <c r="G9" i="289"/>
  <c r="E45" i="289"/>
  <c r="G45" i="289"/>
  <c r="I52" i="289"/>
  <c r="E142" i="277"/>
  <c r="G142" i="277"/>
  <c r="G14" i="269"/>
  <c r="E182" i="288"/>
  <c r="F182" i="288"/>
  <c r="G179" i="288"/>
  <c r="G182" i="288"/>
  <c r="I182" i="288"/>
  <c r="E177" i="288"/>
  <c r="F177" i="288"/>
  <c r="G45" i="315"/>
  <c r="G177" i="288"/>
  <c r="I177" i="288"/>
  <c r="I184" i="288"/>
  <c r="H184" i="288"/>
  <c r="G184" i="288"/>
  <c r="F184" i="288"/>
  <c r="E184" i="288"/>
  <c r="CV183" i="288"/>
  <c r="CU183" i="288"/>
  <c r="CT183" i="288"/>
  <c r="CS183" i="288"/>
  <c r="CR183" i="288"/>
  <c r="CQ183" i="288"/>
  <c r="CP183" i="288"/>
  <c r="CO183" i="288"/>
  <c r="CN183" i="288"/>
  <c r="CM183" i="288"/>
  <c r="CL183" i="288"/>
  <c r="CK183" i="288"/>
  <c r="CJ183" i="288"/>
  <c r="CI183" i="288"/>
  <c r="CH183" i="288"/>
  <c r="CG183" i="288"/>
  <c r="CF183" i="288"/>
  <c r="CE183" i="288"/>
  <c r="CD183" i="288"/>
  <c r="CC183" i="288"/>
  <c r="CB183" i="288"/>
  <c r="CA183" i="288"/>
  <c r="BZ183" i="288"/>
  <c r="BY183" i="288"/>
  <c r="BX183" i="288"/>
  <c r="BW183" i="288"/>
  <c r="BV183" i="288"/>
  <c r="BU183" i="288"/>
  <c r="BT183" i="288"/>
  <c r="BS183" i="288"/>
  <c r="BR183" i="288"/>
  <c r="BQ183" i="288"/>
  <c r="BP183" i="288"/>
  <c r="BO183" i="288"/>
  <c r="BN183" i="288"/>
  <c r="BM183" i="288"/>
  <c r="BL183" i="288"/>
  <c r="BK183" i="288"/>
  <c r="BJ183" i="288"/>
  <c r="BI183" i="288"/>
  <c r="BH183" i="288"/>
  <c r="BG183" i="288"/>
  <c r="BF183" i="288"/>
  <c r="I183" i="288"/>
  <c r="H183" i="288"/>
  <c r="G183" i="288"/>
  <c r="F183" i="288"/>
  <c r="E183" i="288"/>
  <c r="G29" i="288"/>
  <c r="G32" i="288"/>
  <c r="I178" i="288"/>
  <c r="G17" i="288"/>
  <c r="G178" i="288"/>
  <c r="F178" i="288"/>
  <c r="E178" i="288"/>
  <c r="G93" i="306"/>
  <c r="G24" i="288"/>
  <c r="G420" i="48"/>
  <c r="G22" i="288"/>
  <c r="G13" i="269"/>
  <c r="E34" i="288"/>
  <c r="F34" i="288"/>
  <c r="G34" i="288"/>
  <c r="H34" i="288"/>
  <c r="I34" i="288"/>
  <c r="E33" i="288"/>
  <c r="F33" i="288"/>
  <c r="G33" i="288"/>
  <c r="H33" i="288"/>
  <c r="I33" i="288"/>
  <c r="BF33" i="288"/>
  <c r="BG33" i="288"/>
  <c r="BH33" i="288"/>
  <c r="BI33" i="288"/>
  <c r="BJ33" i="288"/>
  <c r="BK33" i="288"/>
  <c r="BL33" i="288"/>
  <c r="BM33" i="288"/>
  <c r="BN33" i="288"/>
  <c r="BO33" i="288"/>
  <c r="BP33" i="288"/>
  <c r="BQ33" i="288"/>
  <c r="BR33" i="288"/>
  <c r="BS33" i="288"/>
  <c r="BT33" i="288"/>
  <c r="BU33" i="288"/>
  <c r="BV33" i="288"/>
  <c r="BW33" i="288"/>
  <c r="BX33" i="288"/>
  <c r="BY33" i="288"/>
  <c r="BZ33" i="288"/>
  <c r="CA33" i="288"/>
  <c r="CB33" i="288"/>
  <c r="CC33" i="288"/>
  <c r="CD33" i="288"/>
  <c r="CE33" i="288"/>
  <c r="CF33" i="288"/>
  <c r="CG33" i="288"/>
  <c r="CH33" i="288"/>
  <c r="CI33" i="288"/>
  <c r="CJ33" i="288"/>
  <c r="CK33" i="288"/>
  <c r="CL33" i="288"/>
  <c r="CM33" i="288"/>
  <c r="CN33" i="288"/>
  <c r="CO33" i="288"/>
  <c r="CP33" i="288"/>
  <c r="CQ33" i="288"/>
  <c r="CR33" i="288"/>
  <c r="CS33" i="288"/>
  <c r="CT33" i="288"/>
  <c r="CU33" i="288"/>
  <c r="CV33" i="288"/>
  <c r="E32" i="288"/>
  <c r="F32" i="288"/>
  <c r="I32" i="288"/>
  <c r="E31" i="288"/>
  <c r="F31" i="288"/>
  <c r="G31" i="288"/>
  <c r="I31" i="288"/>
  <c r="E28" i="288"/>
  <c r="F28" i="288"/>
  <c r="G28" i="288"/>
  <c r="I28" i="288"/>
  <c r="E27" i="288"/>
  <c r="F27" i="288"/>
  <c r="G47" i="265"/>
  <c r="G124" i="269"/>
  <c r="I27" i="288"/>
  <c r="E24" i="288"/>
  <c r="F24" i="288"/>
  <c r="I24" i="288"/>
  <c r="E92" i="306"/>
  <c r="F92" i="306"/>
  <c r="I92" i="306"/>
  <c r="E23" i="288"/>
  <c r="F23" i="288"/>
  <c r="G23" i="288"/>
  <c r="I23" i="288"/>
  <c r="E22" i="288"/>
  <c r="K239" i="306"/>
  <c r="I203" i="288"/>
  <c r="G203" i="288"/>
  <c r="F203" i="288"/>
  <c r="E203" i="288"/>
  <c r="F53" i="288"/>
  <c r="G53" i="288"/>
  <c r="I53" i="288"/>
  <c r="E16" i="288"/>
  <c r="F16" i="288"/>
  <c r="G16" i="288"/>
  <c r="I16" i="288"/>
  <c r="E14" i="288"/>
  <c r="G11" i="288"/>
  <c r="G14" i="288"/>
  <c r="E13" i="288"/>
  <c r="G13" i="288"/>
  <c r="E10" i="288"/>
  <c r="G24" i="306"/>
  <c r="G10" i="288"/>
  <c r="G137" i="48"/>
  <c r="G14" i="306"/>
  <c r="G136" i="48"/>
  <c r="G21" i="306"/>
  <c r="F17" i="307"/>
  <c r="I17" i="307"/>
  <c r="F29" i="310"/>
  <c r="I29" i="310"/>
  <c r="E87" i="306"/>
  <c r="F87" i="306"/>
  <c r="I87" i="306"/>
  <c r="E73" i="306"/>
  <c r="F73" i="306"/>
  <c r="G73" i="306"/>
  <c r="I73" i="306"/>
  <c r="E72" i="306"/>
  <c r="G72" i="306"/>
  <c r="E71" i="306"/>
  <c r="G71" i="306"/>
  <c r="E70" i="306"/>
  <c r="G68" i="306"/>
  <c r="G70" i="306"/>
  <c r="E67" i="306"/>
  <c r="G67" i="306"/>
  <c r="E377" i="307"/>
  <c r="E358" i="307"/>
  <c r="E259" i="48"/>
  <c r="G259" i="48"/>
  <c r="E34" i="306"/>
  <c r="G32" i="306"/>
  <c r="G34" i="306"/>
  <c r="E31" i="306"/>
  <c r="G31" i="306"/>
  <c r="G30" i="306"/>
  <c r="E30" i="306"/>
  <c r="E153" i="278"/>
  <c r="F153" i="278"/>
  <c r="I153" i="278"/>
  <c r="E152" i="278"/>
  <c r="F152" i="278"/>
  <c r="I152" i="278"/>
  <c r="E145" i="278"/>
  <c r="G145" i="278"/>
  <c r="I148" i="278"/>
  <c r="G148" i="278"/>
  <c r="F148" i="278"/>
  <c r="E148" i="278"/>
  <c r="I147" i="278"/>
  <c r="H147" i="278"/>
  <c r="G147" i="278"/>
  <c r="F147" i="278"/>
  <c r="E147" i="278"/>
  <c r="G146" i="278"/>
  <c r="E146" i="278"/>
  <c r="I73" i="307"/>
  <c r="G73" i="307"/>
  <c r="F73" i="307"/>
  <c r="E73" i="307"/>
  <c r="I74" i="307"/>
  <c r="G74" i="307"/>
  <c r="F74" i="307"/>
  <c r="E74" i="307"/>
  <c r="E625" i="307"/>
  <c r="F625" i="307"/>
  <c r="I625" i="307"/>
  <c r="E89" i="307"/>
  <c r="F89" i="307"/>
  <c r="I89" i="307"/>
  <c r="G26" i="269"/>
  <c r="G25" i="269"/>
  <c r="E26" i="269"/>
  <c r="E25" i="269"/>
  <c r="G23" i="269"/>
  <c r="G22" i="269"/>
  <c r="E23" i="269"/>
  <c r="E22" i="269"/>
  <c r="G35" i="269"/>
  <c r="G34" i="269"/>
  <c r="E35" i="269"/>
  <c r="E34" i="269"/>
  <c r="G29" i="269"/>
  <c r="G28" i="269"/>
  <c r="E29" i="269"/>
  <c r="E28" i="269"/>
  <c r="G17" i="269"/>
  <c r="E17" i="269"/>
  <c r="G14" i="282"/>
  <c r="E32" i="285"/>
  <c r="G32" i="285"/>
  <c r="G209" i="307"/>
  <c r="G27" i="311"/>
  <c r="G597" i="307"/>
  <c r="E597" i="307"/>
  <c r="E591" i="307"/>
  <c r="F591" i="307"/>
  <c r="G589" i="307"/>
  <c r="G591" i="307"/>
  <c r="I591" i="307"/>
  <c r="F139" i="288"/>
  <c r="I139" i="288"/>
  <c r="G19" i="311"/>
  <c r="H82" i="269"/>
  <c r="G82" i="269"/>
  <c r="G42" i="310"/>
  <c r="G80" i="269"/>
  <c r="G101" i="306"/>
  <c r="G41" i="310"/>
  <c r="G79" i="269"/>
  <c r="G578" i="307"/>
  <c r="G40" i="310"/>
  <c r="G78" i="269"/>
  <c r="G546" i="307"/>
  <c r="G587" i="307"/>
  <c r="G518" i="307"/>
  <c r="G38" i="310"/>
  <c r="G76" i="269"/>
  <c r="G434" i="307"/>
  <c r="G37" i="310"/>
  <c r="G75" i="269"/>
  <c r="G402" i="307"/>
  <c r="G36" i="310"/>
  <c r="G74" i="269"/>
  <c r="G73" i="269"/>
  <c r="G217" i="307"/>
  <c r="G34" i="310"/>
  <c r="G72" i="269"/>
  <c r="G32" i="310"/>
  <c r="G70" i="269"/>
  <c r="G58" i="306"/>
  <c r="G28" i="310"/>
  <c r="G66" i="269"/>
  <c r="G27" i="310"/>
  <c r="G65" i="269"/>
  <c r="G46" i="306"/>
  <c r="G26" i="310"/>
  <c r="G64" i="269"/>
  <c r="G41" i="306"/>
  <c r="G25" i="310"/>
  <c r="G63" i="269"/>
  <c r="G36" i="306"/>
  <c r="G12" i="307"/>
  <c r="G23" i="306"/>
  <c r="G22" i="310"/>
  <c r="G60" i="269"/>
  <c r="G53" i="269"/>
  <c r="G255" i="307"/>
  <c r="G258" i="307"/>
  <c r="G51" i="307"/>
  <c r="G9" i="310"/>
  <c r="G49" i="269"/>
  <c r="E21" i="310"/>
  <c r="E59" i="269"/>
  <c r="E22" i="310"/>
  <c r="E60" i="269"/>
  <c r="E24" i="310"/>
  <c r="E62" i="269"/>
  <c r="E25" i="310"/>
  <c r="E63" i="269"/>
  <c r="E26" i="310"/>
  <c r="E64" i="269"/>
  <c r="E27" i="310"/>
  <c r="E65" i="269"/>
  <c r="E28" i="310"/>
  <c r="E66" i="269"/>
  <c r="E31" i="310"/>
  <c r="E69" i="269"/>
  <c r="E32" i="310"/>
  <c r="E70" i="269"/>
  <c r="E33" i="310"/>
  <c r="E71" i="269"/>
  <c r="E34" i="310"/>
  <c r="E72" i="269"/>
  <c r="E73" i="269"/>
  <c r="E36" i="310"/>
  <c r="E74" i="269"/>
  <c r="E37" i="310"/>
  <c r="E75" i="269"/>
  <c r="E38" i="310"/>
  <c r="E76" i="269"/>
  <c r="E39" i="310"/>
  <c r="E77" i="269"/>
  <c r="E40" i="310"/>
  <c r="E78" i="269"/>
  <c r="E41" i="310"/>
  <c r="E79" i="269"/>
  <c r="E42" i="310"/>
  <c r="E80" i="269"/>
  <c r="E82" i="269"/>
  <c r="E83" i="269"/>
  <c r="E9" i="310"/>
  <c r="E49" i="269"/>
  <c r="E10" i="310"/>
  <c r="E50" i="269"/>
  <c r="E11" i="310"/>
  <c r="E51" i="269"/>
  <c r="E12" i="310"/>
  <c r="E52" i="269"/>
  <c r="E53" i="269"/>
  <c r="E54" i="269"/>
  <c r="E56" i="269"/>
  <c r="G63" i="315"/>
  <c r="G215" i="288"/>
  <c r="G12" i="321"/>
  <c r="G39" i="311"/>
  <c r="E14" i="321"/>
  <c r="G14" i="321"/>
  <c r="E15" i="321"/>
  <c r="G15" i="321"/>
  <c r="E16" i="321"/>
  <c r="G16" i="321"/>
  <c r="E17" i="321"/>
  <c r="G17" i="321"/>
  <c r="E18" i="321"/>
  <c r="G18" i="321"/>
  <c r="E19" i="321"/>
  <c r="G19" i="321"/>
  <c r="E20" i="321"/>
  <c r="G20" i="321"/>
  <c r="E21" i="321"/>
  <c r="G21" i="321"/>
  <c r="E22" i="321"/>
  <c r="G22" i="321"/>
  <c r="E23" i="321"/>
  <c r="G23" i="321"/>
  <c r="E24" i="321"/>
  <c r="G24" i="321"/>
  <c r="E25" i="321"/>
  <c r="G25" i="321"/>
  <c r="E26" i="321"/>
  <c r="G26" i="321"/>
  <c r="E27" i="321"/>
  <c r="G27" i="321"/>
  <c r="E28" i="321"/>
  <c r="G28" i="321"/>
  <c r="E29" i="321"/>
  <c r="G29" i="321"/>
  <c r="E30" i="321"/>
  <c r="G30" i="321"/>
  <c r="E31" i="321"/>
  <c r="G31" i="321"/>
  <c r="E32" i="321"/>
  <c r="G32" i="321"/>
  <c r="E33" i="321"/>
  <c r="G33" i="321"/>
  <c r="E34" i="321"/>
  <c r="G34" i="321"/>
  <c r="E35" i="321"/>
  <c r="F222" i="48"/>
  <c r="F35" i="321"/>
  <c r="G35" i="321"/>
  <c r="E36" i="321"/>
  <c r="F223" i="48"/>
  <c r="F36" i="321"/>
  <c r="G36" i="321"/>
  <c r="E37" i="321"/>
  <c r="G37" i="321"/>
  <c r="E38" i="321"/>
  <c r="G38" i="321"/>
  <c r="E39" i="321"/>
  <c r="F39" i="321"/>
  <c r="G39" i="321"/>
  <c r="H39" i="321"/>
  <c r="I39" i="321"/>
  <c r="E43" i="321"/>
  <c r="F43" i="321"/>
  <c r="G43" i="321"/>
  <c r="H62" i="311"/>
  <c r="H43" i="321"/>
  <c r="I43" i="321"/>
  <c r="J43" i="321"/>
  <c r="K43" i="321"/>
  <c r="L43" i="321"/>
  <c r="M43" i="321"/>
  <c r="N43" i="321"/>
  <c r="CR43" i="321"/>
  <c r="CS43" i="321"/>
  <c r="CT43" i="321"/>
  <c r="CU43" i="321"/>
  <c r="CV43" i="321"/>
  <c r="E44" i="321"/>
  <c r="F44" i="321"/>
  <c r="G44" i="321"/>
  <c r="H44" i="321"/>
  <c r="I44" i="321"/>
  <c r="G46" i="321"/>
  <c r="G48" i="321"/>
  <c r="E48" i="321"/>
  <c r="F48" i="321"/>
  <c r="I48" i="321"/>
  <c r="E56" i="321"/>
  <c r="G56" i="321"/>
  <c r="E34" i="307"/>
  <c r="E57" i="321"/>
  <c r="G34" i="307"/>
  <c r="G439" i="307"/>
  <c r="G58" i="321"/>
  <c r="G61" i="321"/>
  <c r="E60" i="321"/>
  <c r="G60" i="321"/>
  <c r="E61" i="321"/>
  <c r="E62" i="321"/>
  <c r="G62" i="321"/>
  <c r="E65" i="321"/>
  <c r="E168" i="321"/>
  <c r="G168" i="321"/>
  <c r="E169" i="321"/>
  <c r="F169" i="321"/>
  <c r="G169" i="321"/>
  <c r="I169" i="321"/>
  <c r="F171" i="321"/>
  <c r="I171" i="321"/>
  <c r="E140" i="321"/>
  <c r="G140" i="321"/>
  <c r="E141" i="321"/>
  <c r="F141" i="321"/>
  <c r="G141" i="321"/>
  <c r="I141" i="321"/>
  <c r="E155" i="321"/>
  <c r="F155" i="321"/>
  <c r="G155" i="321"/>
  <c r="I155" i="321"/>
  <c r="E160" i="321"/>
  <c r="G160" i="321"/>
  <c r="E163" i="321"/>
  <c r="E164" i="321"/>
  <c r="F164" i="321"/>
  <c r="I164" i="321"/>
  <c r="E165" i="321"/>
  <c r="F165" i="321"/>
  <c r="G165" i="321"/>
  <c r="I165" i="321"/>
  <c r="E189" i="321"/>
  <c r="F189" i="321"/>
  <c r="I189" i="321"/>
  <c r="E222" i="321"/>
  <c r="G222" i="321"/>
  <c r="G223" i="321"/>
  <c r="E226" i="321"/>
  <c r="F226" i="321"/>
  <c r="G226" i="321"/>
  <c r="H226" i="321"/>
  <c r="I226" i="321"/>
  <c r="E229" i="321"/>
  <c r="G229" i="321"/>
  <c r="E230" i="321"/>
  <c r="F230" i="321"/>
  <c r="G230" i="321"/>
  <c r="H230" i="321"/>
  <c r="I230" i="321"/>
  <c r="E231" i="321"/>
  <c r="F231" i="321"/>
  <c r="G231" i="321"/>
  <c r="H231" i="321"/>
  <c r="I231" i="321"/>
  <c r="E234" i="321"/>
  <c r="F234" i="321"/>
  <c r="H234" i="321"/>
  <c r="I234" i="321"/>
  <c r="E235" i="321"/>
  <c r="F235" i="321"/>
  <c r="G235" i="321"/>
  <c r="H235" i="321"/>
  <c r="I235" i="321"/>
  <c r="E361" i="321"/>
  <c r="F361" i="321"/>
  <c r="I361" i="321"/>
  <c r="E362" i="321"/>
  <c r="F362" i="321"/>
  <c r="G362" i="321"/>
  <c r="I362" i="321"/>
  <c r="E366" i="321"/>
  <c r="F366" i="321"/>
  <c r="I366" i="321"/>
  <c r="E375" i="321"/>
  <c r="G470" i="307"/>
  <c r="G375" i="321"/>
  <c r="E379" i="321"/>
  <c r="F379" i="321"/>
  <c r="H379" i="321"/>
  <c r="I379" i="321"/>
  <c r="E380" i="321"/>
  <c r="F380" i="321"/>
  <c r="G380" i="321"/>
  <c r="I380" i="321"/>
  <c r="E387" i="321"/>
  <c r="F387" i="321"/>
  <c r="G387" i="321"/>
  <c r="H387" i="321"/>
  <c r="I387" i="321"/>
  <c r="E390" i="321"/>
  <c r="G390" i="321"/>
  <c r="E391" i="321"/>
  <c r="F391" i="321"/>
  <c r="G391" i="321"/>
  <c r="H391" i="321"/>
  <c r="I391" i="321"/>
  <c r="E392" i="321"/>
  <c r="F392" i="321"/>
  <c r="G392" i="321"/>
  <c r="H392" i="321"/>
  <c r="I392" i="321"/>
  <c r="F395" i="321"/>
  <c r="H395" i="321"/>
  <c r="I395" i="321"/>
  <c r="E396" i="321"/>
  <c r="F396" i="321"/>
  <c r="G396" i="321"/>
  <c r="H396" i="321"/>
  <c r="I396" i="321"/>
  <c r="E403" i="321"/>
  <c r="F403" i="321"/>
  <c r="I403" i="321"/>
  <c r="E442" i="321"/>
  <c r="F442" i="321"/>
  <c r="G676" i="321"/>
  <c r="G442" i="321"/>
  <c r="I442" i="321"/>
  <c r="G443" i="321"/>
  <c r="G196" i="288"/>
  <c r="E445" i="321"/>
  <c r="F445" i="321"/>
  <c r="G626" i="307"/>
  <c r="G445" i="321"/>
  <c r="I445" i="321"/>
  <c r="E446" i="321"/>
  <c r="F446" i="321"/>
  <c r="I446" i="321"/>
  <c r="E450" i="321"/>
  <c r="G450" i="321"/>
  <c r="E451" i="321"/>
  <c r="G451" i="321"/>
  <c r="F452" i="321"/>
  <c r="G483" i="321"/>
  <c r="G452" i="321"/>
  <c r="H452" i="321"/>
  <c r="I452" i="321"/>
  <c r="G454" i="321"/>
  <c r="G462" i="321"/>
  <c r="E458" i="321"/>
  <c r="F458" i="321"/>
  <c r="G458" i="321"/>
  <c r="H458" i="321"/>
  <c r="I458" i="321"/>
  <c r="E459" i="321"/>
  <c r="F459" i="321"/>
  <c r="G85" i="265"/>
  <c r="I459" i="321"/>
  <c r="G460" i="321"/>
  <c r="G473" i="321"/>
  <c r="E462" i="321"/>
  <c r="F462" i="321"/>
  <c r="I462" i="321"/>
  <c r="E463" i="321"/>
  <c r="F463" i="321"/>
  <c r="G463" i="321"/>
  <c r="H463" i="321"/>
  <c r="I463" i="321"/>
  <c r="E468" i="321"/>
  <c r="F468" i="321"/>
  <c r="I468" i="321"/>
  <c r="E469" i="321"/>
  <c r="F469" i="321"/>
  <c r="G469" i="321"/>
  <c r="I469" i="321"/>
  <c r="G470" i="321"/>
  <c r="E473" i="321"/>
  <c r="F473" i="321"/>
  <c r="H473" i="321"/>
  <c r="I473" i="321"/>
  <c r="E474" i="321"/>
  <c r="F474" i="321"/>
  <c r="I474" i="321"/>
  <c r="G475" i="321"/>
  <c r="G478" i="321"/>
  <c r="E477" i="321"/>
  <c r="F477" i="321"/>
  <c r="H477" i="321"/>
  <c r="I477" i="321"/>
  <c r="E478" i="321"/>
  <c r="F478" i="321"/>
  <c r="H478" i="321"/>
  <c r="I478" i="321"/>
  <c r="E485" i="321"/>
  <c r="F485" i="321"/>
  <c r="G485" i="321"/>
  <c r="I485" i="321"/>
  <c r="E486" i="321"/>
  <c r="F486" i="321"/>
  <c r="G486" i="321"/>
  <c r="I486" i="321"/>
  <c r="E487" i="321"/>
  <c r="F487" i="321"/>
  <c r="G487" i="321"/>
  <c r="I487" i="321"/>
  <c r="E494" i="321"/>
  <c r="G494" i="321"/>
  <c r="E495" i="321"/>
  <c r="G495" i="321"/>
  <c r="E496" i="321"/>
  <c r="F496" i="321"/>
  <c r="G527" i="321"/>
  <c r="G496" i="321"/>
  <c r="H496" i="321"/>
  <c r="I496" i="321"/>
  <c r="G498" i="321"/>
  <c r="G103" i="282"/>
  <c r="E499" i="321"/>
  <c r="E25" i="315"/>
  <c r="G499" i="321"/>
  <c r="G25" i="315"/>
  <c r="E502" i="321"/>
  <c r="F502" i="321"/>
  <c r="G502" i="321"/>
  <c r="H502" i="321"/>
  <c r="I502" i="321"/>
  <c r="F503" i="321"/>
  <c r="G81" i="315"/>
  <c r="G503" i="321"/>
  <c r="I503" i="321"/>
  <c r="G504" i="321"/>
  <c r="E506" i="321"/>
  <c r="F506" i="321"/>
  <c r="I506" i="321"/>
  <c r="E507" i="321"/>
  <c r="F507" i="321"/>
  <c r="H507" i="321"/>
  <c r="I507" i="321"/>
  <c r="E509" i="321"/>
  <c r="G509" i="321"/>
  <c r="E512" i="321"/>
  <c r="F512" i="321"/>
  <c r="I512" i="321"/>
  <c r="E513" i="321"/>
  <c r="F513" i="321"/>
  <c r="G513" i="321"/>
  <c r="I513" i="321"/>
  <c r="G514" i="321"/>
  <c r="E517" i="321"/>
  <c r="F517" i="321"/>
  <c r="H517" i="321"/>
  <c r="I517" i="321"/>
  <c r="E518" i="321"/>
  <c r="F518" i="321"/>
  <c r="I518" i="321"/>
  <c r="G519" i="321"/>
  <c r="E521" i="321"/>
  <c r="F521" i="321"/>
  <c r="H521" i="321"/>
  <c r="I521" i="321"/>
  <c r="E522" i="321"/>
  <c r="F522" i="321"/>
  <c r="G522" i="321"/>
  <c r="H522" i="321"/>
  <c r="I522" i="321"/>
  <c r="G523" i="321"/>
  <c r="G200" i="288"/>
  <c r="E524" i="321"/>
  <c r="E84" i="315"/>
  <c r="G524" i="321"/>
  <c r="G84" i="315"/>
  <c r="E529" i="321"/>
  <c r="F529" i="321"/>
  <c r="G529" i="321"/>
  <c r="I529" i="321"/>
  <c r="E530" i="321"/>
  <c r="F530" i="321"/>
  <c r="G530" i="321"/>
  <c r="I530" i="321"/>
  <c r="E531" i="321"/>
  <c r="F531" i="321"/>
  <c r="I531" i="321"/>
  <c r="G532" i="321"/>
  <c r="E537" i="321"/>
  <c r="G537" i="321"/>
  <c r="E538" i="321"/>
  <c r="G363" i="48"/>
  <c r="G538" i="321"/>
  <c r="E539" i="321"/>
  <c r="F539" i="321"/>
  <c r="G608" i="321"/>
  <c r="H539" i="321"/>
  <c r="I539" i="321"/>
  <c r="E540" i="321"/>
  <c r="F540" i="321"/>
  <c r="G540" i="321"/>
  <c r="I540" i="321"/>
  <c r="G541" i="321"/>
  <c r="G555" i="321"/>
  <c r="G543" i="321"/>
  <c r="E544" i="321"/>
  <c r="F544" i="321"/>
  <c r="I544" i="321"/>
  <c r="E545" i="321"/>
  <c r="F545" i="321"/>
  <c r="G545" i="321"/>
  <c r="I545" i="321"/>
  <c r="J545" i="321"/>
  <c r="G546" i="321"/>
  <c r="E549" i="321"/>
  <c r="G549" i="321"/>
  <c r="E550" i="321"/>
  <c r="F550" i="321"/>
  <c r="I550" i="321"/>
  <c r="E551" i="321"/>
  <c r="F551" i="321"/>
  <c r="G551" i="321"/>
  <c r="I551" i="321"/>
  <c r="E552" i="321"/>
  <c r="F552" i="321"/>
  <c r="G552" i="321"/>
  <c r="I552" i="321"/>
  <c r="G553" i="321"/>
  <c r="G559" i="321"/>
  <c r="F555" i="321"/>
  <c r="H555" i="321"/>
  <c r="I555" i="321"/>
  <c r="E556" i="321"/>
  <c r="F556" i="321"/>
  <c r="I556" i="321"/>
  <c r="E559" i="321"/>
  <c r="F559" i="321"/>
  <c r="I559" i="321"/>
  <c r="F560" i="321"/>
  <c r="I560" i="321"/>
  <c r="E563" i="321"/>
  <c r="F563" i="321"/>
  <c r="H563" i="321"/>
  <c r="I563" i="321"/>
  <c r="E564" i="321"/>
  <c r="F564" i="321"/>
  <c r="I564" i="321"/>
  <c r="E565" i="321"/>
  <c r="F565" i="321"/>
  <c r="G565" i="321"/>
  <c r="I565" i="321"/>
  <c r="E566" i="321"/>
  <c r="F566" i="321"/>
  <c r="G566" i="321"/>
  <c r="I566" i="321"/>
  <c r="G567" i="321"/>
  <c r="G610" i="321"/>
  <c r="E571" i="321"/>
  <c r="E572" i="321"/>
  <c r="F572" i="321"/>
  <c r="H572" i="321"/>
  <c r="I572" i="321"/>
  <c r="E573" i="321"/>
  <c r="F573" i="321"/>
  <c r="G573" i="321"/>
  <c r="I573" i="321"/>
  <c r="G574" i="321"/>
  <c r="G580" i="321"/>
  <c r="E576" i="321"/>
  <c r="G576" i="321"/>
  <c r="E577" i="321"/>
  <c r="G577" i="321"/>
  <c r="E578" i="321"/>
  <c r="G578" i="321"/>
  <c r="E579" i="321"/>
  <c r="F579" i="321"/>
  <c r="G579" i="321"/>
  <c r="H579" i="321"/>
  <c r="I579" i="321"/>
  <c r="E580" i="321"/>
  <c r="F580" i="321"/>
  <c r="H580" i="321"/>
  <c r="I580" i="321"/>
  <c r="E581" i="321"/>
  <c r="F581" i="321"/>
  <c r="G581" i="321"/>
  <c r="I581" i="321"/>
  <c r="G582" i="321"/>
  <c r="E586" i="321"/>
  <c r="G586" i="321"/>
  <c r="E587" i="321"/>
  <c r="G587" i="321"/>
  <c r="E588" i="321"/>
  <c r="E589" i="321"/>
  <c r="F589" i="321"/>
  <c r="G589" i="321"/>
  <c r="I589" i="321"/>
  <c r="G590" i="321"/>
  <c r="G105" i="282"/>
  <c r="E594" i="321"/>
  <c r="G594" i="321"/>
  <c r="G596" i="321"/>
  <c r="E597" i="321"/>
  <c r="F597" i="321"/>
  <c r="G597" i="321"/>
  <c r="H597" i="321"/>
  <c r="I597" i="321"/>
  <c r="E598" i="321"/>
  <c r="F598" i="321"/>
  <c r="G598" i="321"/>
  <c r="H598" i="321"/>
  <c r="I598" i="321"/>
  <c r="E601" i="321"/>
  <c r="F601" i="321"/>
  <c r="H601" i="321"/>
  <c r="I601" i="321"/>
  <c r="E602" i="321"/>
  <c r="F602" i="321"/>
  <c r="G602" i="321"/>
  <c r="H602" i="321"/>
  <c r="I602" i="321"/>
  <c r="E603" i="321"/>
  <c r="F603" i="321"/>
  <c r="G603" i="321"/>
  <c r="I603" i="321"/>
  <c r="G604" i="321"/>
  <c r="G38" i="282"/>
  <c r="E609" i="321"/>
  <c r="F609" i="321"/>
  <c r="I609" i="321"/>
  <c r="E610" i="321"/>
  <c r="F610" i="321"/>
  <c r="I610" i="321"/>
  <c r="E614" i="321"/>
  <c r="G614" i="321"/>
  <c r="E615" i="321"/>
  <c r="G615" i="321"/>
  <c r="E616" i="321"/>
  <c r="F616" i="321"/>
  <c r="G664" i="321"/>
  <c r="G657" i="321"/>
  <c r="H616" i="321"/>
  <c r="I616" i="321"/>
  <c r="E617" i="321"/>
  <c r="F617" i="321"/>
  <c r="G617" i="321"/>
  <c r="I617" i="321"/>
  <c r="G618" i="321"/>
  <c r="G626" i="321"/>
  <c r="E620" i="321"/>
  <c r="G620" i="321"/>
  <c r="E621" i="321"/>
  <c r="F621" i="321"/>
  <c r="G248" i="278"/>
  <c r="G621" i="321"/>
  <c r="I621" i="321"/>
  <c r="E622" i="321"/>
  <c r="F622" i="321"/>
  <c r="G622" i="321"/>
  <c r="I622" i="321"/>
  <c r="E623" i="321"/>
  <c r="F623" i="321"/>
  <c r="G623" i="321"/>
  <c r="I623" i="321"/>
  <c r="G624" i="321"/>
  <c r="G630" i="321"/>
  <c r="E626" i="321"/>
  <c r="F626" i="321"/>
  <c r="H626" i="321"/>
  <c r="I626" i="321"/>
  <c r="E627" i="321"/>
  <c r="F627" i="321"/>
  <c r="G627" i="321"/>
  <c r="I627" i="321"/>
  <c r="G628" i="321"/>
  <c r="E630" i="321"/>
  <c r="F630" i="321"/>
  <c r="I630" i="321"/>
  <c r="E631" i="321"/>
  <c r="F631" i="321"/>
  <c r="I631" i="321"/>
  <c r="E634" i="321"/>
  <c r="F634" i="321"/>
  <c r="H634" i="321"/>
  <c r="I634" i="321"/>
  <c r="E635" i="321"/>
  <c r="F635" i="321"/>
  <c r="I635" i="321"/>
  <c r="E636" i="321"/>
  <c r="F636" i="321"/>
  <c r="G636" i="321"/>
  <c r="I636" i="321"/>
  <c r="E637" i="321"/>
  <c r="F637" i="321"/>
  <c r="G637" i="321"/>
  <c r="I637" i="321"/>
  <c r="G638" i="321"/>
  <c r="E639" i="321"/>
  <c r="G639" i="321"/>
  <c r="G62" i="315"/>
  <c r="E642" i="321"/>
  <c r="G642" i="321"/>
  <c r="E643" i="321"/>
  <c r="F643" i="321"/>
  <c r="H643" i="321"/>
  <c r="I643" i="321"/>
  <c r="E644" i="321"/>
  <c r="F644" i="321"/>
  <c r="G644" i="321"/>
  <c r="I644" i="321"/>
  <c r="G645" i="321"/>
  <c r="G651" i="321"/>
  <c r="E647" i="321"/>
  <c r="G647" i="321"/>
  <c r="E648" i="321"/>
  <c r="G648" i="321"/>
  <c r="E649" i="321"/>
  <c r="G649" i="321"/>
  <c r="E650" i="321"/>
  <c r="F650" i="321"/>
  <c r="G650" i="321"/>
  <c r="H650" i="321"/>
  <c r="I650" i="321"/>
  <c r="E651" i="321"/>
  <c r="F651" i="321"/>
  <c r="H651" i="321"/>
  <c r="I651" i="321"/>
  <c r="E652" i="321"/>
  <c r="F652" i="321"/>
  <c r="G652" i="321"/>
  <c r="I652" i="321"/>
  <c r="G653" i="321"/>
  <c r="G654" i="321"/>
  <c r="E657" i="321"/>
  <c r="F657" i="321"/>
  <c r="H657" i="321"/>
  <c r="I657" i="321"/>
  <c r="E658" i="321"/>
  <c r="F658" i="321"/>
  <c r="G658" i="321"/>
  <c r="H658" i="321"/>
  <c r="I658" i="321"/>
  <c r="E659" i="321"/>
  <c r="F659" i="321"/>
  <c r="G659" i="321"/>
  <c r="I659" i="321"/>
  <c r="G660" i="321"/>
  <c r="G106" i="282"/>
  <c r="E661" i="321"/>
  <c r="E23" i="315"/>
  <c r="G661" i="321"/>
  <c r="E665" i="321"/>
  <c r="F665" i="321"/>
  <c r="I665" i="321"/>
  <c r="E666" i="321"/>
  <c r="F666" i="321"/>
  <c r="G666" i="321"/>
  <c r="I666" i="321"/>
  <c r="G667" i="321"/>
  <c r="G114" i="315"/>
  <c r="E673" i="321"/>
  <c r="F673" i="321"/>
  <c r="G684" i="321"/>
  <c r="G673" i="321"/>
  <c r="H673" i="321"/>
  <c r="I673" i="321"/>
  <c r="E674" i="321"/>
  <c r="F674" i="321"/>
  <c r="G674" i="321"/>
  <c r="I674" i="321"/>
  <c r="E675" i="321"/>
  <c r="F675" i="321"/>
  <c r="G675" i="321"/>
  <c r="I675" i="321"/>
  <c r="E227" i="307"/>
  <c r="E233" i="307"/>
  <c r="E678" i="321"/>
  <c r="F678" i="321"/>
  <c r="G233" i="307"/>
  <c r="G678" i="321"/>
  <c r="I678" i="321"/>
  <c r="E679" i="321"/>
  <c r="F679" i="321"/>
  <c r="I679" i="321"/>
  <c r="G680" i="321"/>
  <c r="G687" i="321"/>
  <c r="F687" i="321"/>
  <c r="I687" i="321"/>
  <c r="E692" i="321"/>
  <c r="G692" i="321"/>
  <c r="E693" i="321"/>
  <c r="F693" i="321"/>
  <c r="G693" i="321"/>
  <c r="H693" i="321"/>
  <c r="I693" i="321"/>
  <c r="J693" i="321"/>
  <c r="E694" i="321"/>
  <c r="F694" i="321"/>
  <c r="G694" i="321"/>
  <c r="I694" i="321"/>
  <c r="J694" i="321"/>
  <c r="J695" i="321"/>
  <c r="J699" i="321"/>
  <c r="E697" i="321"/>
  <c r="G697" i="321"/>
  <c r="E699" i="321"/>
  <c r="F699" i="321"/>
  <c r="G699" i="321"/>
  <c r="H699" i="321"/>
  <c r="I699" i="321"/>
  <c r="E700" i="321"/>
  <c r="F700" i="321"/>
  <c r="G700" i="321"/>
  <c r="H700" i="321"/>
  <c r="I700" i="321"/>
  <c r="E701" i="321"/>
  <c r="F701" i="321"/>
  <c r="G701" i="321"/>
  <c r="I701" i="321"/>
  <c r="E704" i="321"/>
  <c r="G704" i="321"/>
  <c r="E705" i="321"/>
  <c r="G705" i="321"/>
  <c r="E706" i="321"/>
  <c r="F706" i="321"/>
  <c r="G706" i="321"/>
  <c r="H706" i="321"/>
  <c r="I706" i="321"/>
  <c r="E707" i="321"/>
  <c r="F707" i="321"/>
  <c r="G707" i="321"/>
  <c r="H707" i="321"/>
  <c r="I707" i="321"/>
  <c r="E708" i="321"/>
  <c r="F708" i="321"/>
  <c r="G708" i="321"/>
  <c r="I708" i="321"/>
  <c r="E711" i="321"/>
  <c r="F711" i="321"/>
  <c r="G711" i="321"/>
  <c r="H711" i="321"/>
  <c r="I711" i="321"/>
  <c r="E712" i="321"/>
  <c r="F712" i="321"/>
  <c r="H712" i="321"/>
  <c r="I712" i="321"/>
  <c r="E713" i="321"/>
  <c r="F713" i="321"/>
  <c r="G713" i="321"/>
  <c r="I713" i="321"/>
  <c r="G714" i="321"/>
  <c r="G102" i="282"/>
  <c r="K5" i="321"/>
  <c r="J5" i="321"/>
  <c r="E5" i="321"/>
  <c r="E4" i="321"/>
  <c r="E3" i="321"/>
  <c r="E2" i="321"/>
  <c r="G121" i="314"/>
  <c r="E121" i="314"/>
  <c r="G42" i="314"/>
  <c r="E42" i="314"/>
  <c r="G257" i="278"/>
  <c r="E257" i="278"/>
  <c r="I196" i="288"/>
  <c r="F196" i="288"/>
  <c r="F46" i="288"/>
  <c r="I46" i="288"/>
  <c r="I54" i="315"/>
  <c r="F54" i="315"/>
  <c r="E54" i="315"/>
  <c r="E442" i="307"/>
  <c r="I101" i="307"/>
  <c r="G101" i="307"/>
  <c r="F101" i="307"/>
  <c r="E101" i="307"/>
  <c r="I261" i="273"/>
  <c r="G261" i="273"/>
  <c r="F261" i="273"/>
  <c r="E261" i="273"/>
  <c r="H258" i="273"/>
  <c r="G258" i="273"/>
  <c r="F258" i="273"/>
  <c r="E258" i="273"/>
  <c r="I220" i="307"/>
  <c r="H220" i="307"/>
  <c r="G220" i="307"/>
  <c r="F220" i="307"/>
  <c r="E220" i="307"/>
  <c r="G254" i="273"/>
  <c r="E254" i="273"/>
  <c r="G98" i="307"/>
  <c r="F160" i="269"/>
  <c r="E160" i="269"/>
  <c r="G85" i="277"/>
  <c r="I24" i="315"/>
  <c r="F24" i="315"/>
  <c r="I53" i="315"/>
  <c r="F53" i="315"/>
  <c r="I51" i="315"/>
  <c r="F51" i="315"/>
  <c r="I119" i="315"/>
  <c r="H119" i="315"/>
  <c r="F119" i="315"/>
  <c r="E119" i="315"/>
  <c r="F123" i="277"/>
  <c r="I80" i="315"/>
  <c r="F80" i="315"/>
  <c r="F84" i="277"/>
  <c r="F55" i="277"/>
  <c r="F26" i="277"/>
  <c r="F34" i="282"/>
  <c r="I34" i="282"/>
  <c r="G252" i="273"/>
  <c r="E252" i="273"/>
  <c r="G251" i="273"/>
  <c r="E253" i="273"/>
  <c r="G253" i="273"/>
  <c r="E257" i="273"/>
  <c r="G257" i="273"/>
  <c r="E262" i="273"/>
  <c r="F262" i="273"/>
  <c r="G262" i="273"/>
  <c r="F11" i="310"/>
  <c r="I11" i="310"/>
  <c r="I10" i="310"/>
  <c r="F10" i="310"/>
  <c r="F31" i="310"/>
  <c r="I31" i="310"/>
  <c r="F32" i="310"/>
  <c r="I32" i="310"/>
  <c r="F33" i="310"/>
  <c r="I33" i="310"/>
  <c r="F34" i="310"/>
  <c r="I34" i="310"/>
  <c r="I221" i="307"/>
  <c r="H221" i="307"/>
  <c r="G221" i="307"/>
  <c r="F221" i="307"/>
  <c r="E221" i="307"/>
  <c r="I216" i="307"/>
  <c r="G216" i="307"/>
  <c r="F216" i="307"/>
  <c r="E216" i="307"/>
  <c r="I186" i="307"/>
  <c r="G186" i="307"/>
  <c r="F186" i="307"/>
  <c r="E186" i="307"/>
  <c r="I185" i="307"/>
  <c r="H185" i="307"/>
  <c r="G185" i="307"/>
  <c r="F185" i="307"/>
  <c r="E185" i="307"/>
  <c r="I178" i="307"/>
  <c r="G178" i="307"/>
  <c r="F178" i="307"/>
  <c r="E178" i="307"/>
  <c r="I163" i="307"/>
  <c r="G163" i="307"/>
  <c r="F163" i="307"/>
  <c r="E163" i="307"/>
  <c r="I149" i="307"/>
  <c r="G149" i="307"/>
  <c r="F149" i="307"/>
  <c r="E149" i="307"/>
  <c r="I144" i="307"/>
  <c r="G144" i="307"/>
  <c r="F144" i="307"/>
  <c r="E144" i="307"/>
  <c r="I143" i="307"/>
  <c r="H143" i="307"/>
  <c r="G143" i="307"/>
  <c r="F143" i="307"/>
  <c r="E143" i="307"/>
  <c r="I137" i="307"/>
  <c r="G137" i="307"/>
  <c r="F137" i="307"/>
  <c r="E137" i="307"/>
  <c r="I130" i="307"/>
  <c r="G130" i="307"/>
  <c r="F130" i="307"/>
  <c r="E130" i="307"/>
  <c r="I102" i="307"/>
  <c r="F102" i="307"/>
  <c r="E102" i="307"/>
  <c r="I85" i="307"/>
  <c r="F85" i="307"/>
  <c r="E85" i="307"/>
  <c r="I284" i="307"/>
  <c r="F284" i="307"/>
  <c r="E284" i="307"/>
  <c r="E96" i="307"/>
  <c r="G96" i="307"/>
  <c r="G99" i="307"/>
  <c r="G26" i="311"/>
  <c r="G104" i="307"/>
  <c r="G114" i="307"/>
  <c r="E106" i="307"/>
  <c r="E107" i="307"/>
  <c r="G107" i="307"/>
  <c r="G108" i="307"/>
  <c r="G110" i="307"/>
  <c r="E110" i="307"/>
  <c r="E111" i="307"/>
  <c r="F111" i="307"/>
  <c r="G112" i="307"/>
  <c r="G115" i="307"/>
  <c r="E114" i="307"/>
  <c r="F114" i="307"/>
  <c r="I114" i="307"/>
  <c r="E115" i="307"/>
  <c r="F115" i="307"/>
  <c r="H115" i="307"/>
  <c r="I115" i="307"/>
  <c r="G119" i="307"/>
  <c r="G129" i="307"/>
  <c r="J129" i="307"/>
  <c r="E120" i="307"/>
  <c r="F120" i="307"/>
  <c r="I120" i="307"/>
  <c r="E121" i="307"/>
  <c r="F121" i="307"/>
  <c r="I121" i="307"/>
  <c r="E122" i="307"/>
  <c r="F122" i="307"/>
  <c r="I122" i="307"/>
  <c r="E123" i="307"/>
  <c r="F123" i="307"/>
  <c r="I123" i="307"/>
  <c r="E124" i="307"/>
  <c r="F124" i="307"/>
  <c r="I124" i="307"/>
  <c r="G125" i="307"/>
  <c r="E128" i="307"/>
  <c r="G128" i="307"/>
  <c r="E129" i="307"/>
  <c r="F129" i="307"/>
  <c r="H129" i="307"/>
  <c r="I129" i="307"/>
  <c r="E133" i="307"/>
  <c r="G133" i="307"/>
  <c r="E135" i="307"/>
  <c r="F135" i="307"/>
  <c r="G135" i="307"/>
  <c r="H135" i="307"/>
  <c r="I135" i="307"/>
  <c r="E136" i="307"/>
  <c r="F136" i="307"/>
  <c r="G136" i="307"/>
  <c r="H136" i="307"/>
  <c r="I136" i="307"/>
  <c r="E140" i="307"/>
  <c r="G140" i="307"/>
  <c r="E141" i="307"/>
  <c r="G141" i="307"/>
  <c r="E142" i="307"/>
  <c r="F142" i="307"/>
  <c r="G142" i="307"/>
  <c r="H142" i="307"/>
  <c r="I142" i="307"/>
  <c r="E147" i="307"/>
  <c r="F147" i="307"/>
  <c r="G147" i="307"/>
  <c r="H147" i="307"/>
  <c r="I147" i="307"/>
  <c r="E148" i="307"/>
  <c r="F148" i="307"/>
  <c r="H148" i="307"/>
  <c r="I148" i="307"/>
  <c r="G150" i="307"/>
  <c r="G156" i="307"/>
  <c r="E152" i="307"/>
  <c r="G152" i="307"/>
  <c r="E153" i="307"/>
  <c r="F153" i="307"/>
  <c r="I153" i="307"/>
  <c r="G157" i="307"/>
  <c r="E156" i="307"/>
  <c r="F156" i="307"/>
  <c r="I156" i="307"/>
  <c r="E157" i="307"/>
  <c r="F157" i="307"/>
  <c r="I157" i="307"/>
  <c r="G158" i="307"/>
  <c r="G121" i="307"/>
  <c r="E161" i="307"/>
  <c r="G161" i="307"/>
  <c r="E162" i="307"/>
  <c r="G162" i="307"/>
  <c r="G164" i="307"/>
  <c r="G167" i="307"/>
  <c r="E166" i="307"/>
  <c r="G166" i="307"/>
  <c r="E167" i="307"/>
  <c r="F167" i="307"/>
  <c r="I167" i="307"/>
  <c r="E170" i="307"/>
  <c r="F170" i="307"/>
  <c r="I170" i="307"/>
  <c r="E171" i="307"/>
  <c r="F171" i="307"/>
  <c r="I171" i="307"/>
  <c r="G172" i="307"/>
  <c r="G122" i="307"/>
  <c r="E175" i="307"/>
  <c r="G175" i="307"/>
  <c r="E176" i="307"/>
  <c r="F176" i="307"/>
  <c r="H176" i="307"/>
  <c r="I176" i="307"/>
  <c r="E177" i="307"/>
  <c r="F177" i="307"/>
  <c r="I177" i="307"/>
  <c r="G179" i="307"/>
  <c r="G184" i="307"/>
  <c r="E181" i="307"/>
  <c r="G181" i="307"/>
  <c r="E182" i="307"/>
  <c r="G182" i="307"/>
  <c r="E183" i="307"/>
  <c r="G183" i="307"/>
  <c r="E184" i="307"/>
  <c r="F184" i="307"/>
  <c r="H184" i="307"/>
  <c r="I184" i="307"/>
  <c r="G187" i="307"/>
  <c r="G193" i="307"/>
  <c r="E189" i="307"/>
  <c r="G189" i="307"/>
  <c r="E190" i="307"/>
  <c r="F190" i="307"/>
  <c r="I190" i="307"/>
  <c r="E193" i="307"/>
  <c r="F193" i="307"/>
  <c r="I193" i="307"/>
  <c r="E194" i="307"/>
  <c r="F194" i="307"/>
  <c r="I194" i="307"/>
  <c r="G195" i="307"/>
  <c r="G207" i="307"/>
  <c r="E198" i="307"/>
  <c r="F198" i="307"/>
  <c r="I198" i="307"/>
  <c r="E199" i="307"/>
  <c r="F199" i="307"/>
  <c r="I199" i="307"/>
  <c r="E200" i="307"/>
  <c r="F200" i="307"/>
  <c r="I200" i="307"/>
  <c r="G201" i="307"/>
  <c r="G224" i="307"/>
  <c r="E202" i="307"/>
  <c r="E225" i="307"/>
  <c r="E231" i="307"/>
  <c r="G202" i="307"/>
  <c r="G225" i="307"/>
  <c r="E205" i="307"/>
  <c r="F205" i="307"/>
  <c r="I205" i="307"/>
  <c r="E206" i="307"/>
  <c r="F206" i="307"/>
  <c r="I206" i="307"/>
  <c r="E207" i="307"/>
  <c r="F207" i="307"/>
  <c r="I207" i="307"/>
  <c r="E212" i="307"/>
  <c r="G212" i="307"/>
  <c r="E213" i="307"/>
  <c r="F213" i="307"/>
  <c r="H213" i="307"/>
  <c r="I213" i="307"/>
  <c r="E214" i="307"/>
  <c r="F214" i="307"/>
  <c r="I214" i="307"/>
  <c r="E215" i="307"/>
  <c r="F215" i="307"/>
  <c r="I215" i="307"/>
  <c r="E53" i="315"/>
  <c r="F223" i="307"/>
  <c r="I223" i="307"/>
  <c r="E224" i="307"/>
  <c r="E230" i="307"/>
  <c r="F224" i="307"/>
  <c r="I224" i="307"/>
  <c r="F225" i="307"/>
  <c r="I225" i="307"/>
  <c r="E226" i="307"/>
  <c r="E232" i="307"/>
  <c r="F226" i="307"/>
  <c r="I226" i="307"/>
  <c r="F227" i="307"/>
  <c r="I227" i="307"/>
  <c r="G230" i="307"/>
  <c r="G231" i="307"/>
  <c r="G232" i="307"/>
  <c r="E81" i="307"/>
  <c r="F81" i="307"/>
  <c r="I81" i="307"/>
  <c r="G82" i="307"/>
  <c r="G84" i="307"/>
  <c r="E84" i="307"/>
  <c r="F84" i="307"/>
  <c r="I84" i="307"/>
  <c r="E61" i="307"/>
  <c r="G61" i="307"/>
  <c r="G40" i="307"/>
  <c r="G14" i="309"/>
  <c r="E14" i="309"/>
  <c r="G46" i="288"/>
  <c r="G442" i="307"/>
  <c r="G176" i="307"/>
  <c r="F132" i="269"/>
  <c r="F159" i="269"/>
  <c r="G119" i="315"/>
  <c r="G51" i="315"/>
  <c r="G171" i="307"/>
  <c r="G198" i="307"/>
  <c r="G206" i="307"/>
  <c r="E22" i="315"/>
  <c r="E21" i="315"/>
  <c r="E39" i="282"/>
  <c r="F39" i="282"/>
  <c r="I39" i="282"/>
  <c r="G25" i="314"/>
  <c r="G171" i="314"/>
  <c r="E169" i="314"/>
  <c r="G169" i="314"/>
  <c r="E168" i="314"/>
  <c r="G168" i="314"/>
  <c r="G39" i="282"/>
  <c r="I171" i="314"/>
  <c r="H171" i="314"/>
  <c r="F171" i="314"/>
  <c r="E171" i="314"/>
  <c r="G170" i="314"/>
  <c r="E170" i="314"/>
  <c r="E86" i="314"/>
  <c r="G86" i="314"/>
  <c r="I117" i="314"/>
  <c r="G117" i="314"/>
  <c r="F117" i="314"/>
  <c r="E117" i="314"/>
  <c r="G114" i="314"/>
  <c r="E114" i="314"/>
  <c r="E38" i="314"/>
  <c r="F38" i="314"/>
  <c r="G38" i="314"/>
  <c r="I38" i="314"/>
  <c r="E35" i="314"/>
  <c r="G35" i="314"/>
  <c r="G33" i="264"/>
  <c r="G32" i="264"/>
  <c r="E38" i="282"/>
  <c r="F38" i="282"/>
  <c r="I38" i="282"/>
  <c r="E37" i="282"/>
  <c r="F37" i="282"/>
  <c r="I37" i="282"/>
  <c r="E36" i="282"/>
  <c r="F36" i="282"/>
  <c r="I36" i="282"/>
  <c r="F141" i="269"/>
  <c r="F140" i="269"/>
  <c r="F137" i="269"/>
  <c r="E141" i="269"/>
  <c r="E140" i="269"/>
  <c r="F24" i="277"/>
  <c r="F118" i="277"/>
  <c r="E118" i="277"/>
  <c r="F114" i="315"/>
  <c r="H114" i="315"/>
  <c r="I114" i="315"/>
  <c r="E62" i="315"/>
  <c r="F62" i="315"/>
  <c r="I62" i="315"/>
  <c r="E61" i="315"/>
  <c r="F61" i="315"/>
  <c r="I61" i="315"/>
  <c r="F60" i="315"/>
  <c r="G23" i="315"/>
  <c r="I60" i="315"/>
  <c r="F59" i="315"/>
  <c r="I59" i="315"/>
  <c r="F58" i="315"/>
  <c r="G21" i="315"/>
  <c r="I58" i="315"/>
  <c r="F23" i="315"/>
  <c r="I23" i="315"/>
  <c r="F22" i="315"/>
  <c r="I22" i="315"/>
  <c r="F21" i="315"/>
  <c r="I21" i="315"/>
  <c r="G362" i="48"/>
  <c r="E244" i="278"/>
  <c r="F244" i="278"/>
  <c r="G205" i="278"/>
  <c r="G244" i="278"/>
  <c r="I244" i="278"/>
  <c r="I247" i="278"/>
  <c r="G247" i="278"/>
  <c r="F247" i="278"/>
  <c r="E247" i="278"/>
  <c r="I246" i="278"/>
  <c r="G246" i="278"/>
  <c r="F246" i="278"/>
  <c r="E246" i="278"/>
  <c r="I245" i="278"/>
  <c r="G231" i="278"/>
  <c r="F245" i="278"/>
  <c r="E245" i="278"/>
  <c r="E238" i="278"/>
  <c r="F238" i="278"/>
  <c r="I238" i="278"/>
  <c r="E237" i="278"/>
  <c r="F237" i="278"/>
  <c r="G180" i="278"/>
  <c r="G237" i="278"/>
  <c r="I237" i="278"/>
  <c r="I240" i="278"/>
  <c r="G240" i="278"/>
  <c r="F240" i="278"/>
  <c r="E240" i="278"/>
  <c r="I239" i="278"/>
  <c r="G239" i="278"/>
  <c r="F239" i="278"/>
  <c r="E239" i="278"/>
  <c r="F136" i="269"/>
  <c r="I32" i="282"/>
  <c r="F32" i="282"/>
  <c r="E32" i="282"/>
  <c r="E52" i="288"/>
  <c r="F52" i="288"/>
  <c r="I52" i="288"/>
  <c r="E106" i="288"/>
  <c r="F106" i="288"/>
  <c r="H106" i="288"/>
  <c r="I106" i="288"/>
  <c r="E105" i="288"/>
  <c r="F105" i="288"/>
  <c r="I105" i="288"/>
  <c r="E120" i="288"/>
  <c r="F120" i="288"/>
  <c r="H120" i="288"/>
  <c r="I120" i="288"/>
  <c r="F127" i="277"/>
  <c r="E127" i="277"/>
  <c r="E121" i="277"/>
  <c r="E57" i="315"/>
  <c r="F57" i="315"/>
  <c r="I57" i="315"/>
  <c r="E56" i="315"/>
  <c r="F56" i="315"/>
  <c r="I56" i="315"/>
  <c r="E39" i="286"/>
  <c r="F39" i="286"/>
  <c r="I39" i="286"/>
  <c r="F31" i="286"/>
  <c r="H31" i="286"/>
  <c r="I31" i="286"/>
  <c r="I33" i="286"/>
  <c r="G33" i="286"/>
  <c r="F33" i="286"/>
  <c r="E33" i="286"/>
  <c r="I649" i="307"/>
  <c r="H649" i="307"/>
  <c r="G649" i="307"/>
  <c r="F649" i="307"/>
  <c r="E649" i="307"/>
  <c r="I648" i="307"/>
  <c r="H648" i="307"/>
  <c r="G648" i="307"/>
  <c r="F648" i="307"/>
  <c r="E648" i="307"/>
  <c r="E645" i="307"/>
  <c r="F645" i="307"/>
  <c r="I645" i="307"/>
  <c r="I644" i="307"/>
  <c r="H644" i="307"/>
  <c r="G644" i="307"/>
  <c r="F644" i="307"/>
  <c r="E644" i="307"/>
  <c r="I643" i="307"/>
  <c r="H643" i="307"/>
  <c r="G643" i="307"/>
  <c r="F643" i="307"/>
  <c r="E643" i="307"/>
  <c r="F12" i="310"/>
  <c r="I12" i="310"/>
  <c r="F40" i="310"/>
  <c r="I40" i="310"/>
  <c r="F39" i="310"/>
  <c r="I39" i="310"/>
  <c r="F38" i="310"/>
  <c r="I38" i="310"/>
  <c r="E27" i="307"/>
  <c r="F27" i="307"/>
  <c r="I27" i="307"/>
  <c r="E26" i="307"/>
  <c r="F26" i="307"/>
  <c r="I26" i="307"/>
  <c r="E25" i="307"/>
  <c r="F25" i="307"/>
  <c r="I25" i="307"/>
  <c r="E586" i="307"/>
  <c r="F586" i="307"/>
  <c r="I586" i="307"/>
  <c r="E587" i="307"/>
  <c r="F587" i="307"/>
  <c r="I587" i="307"/>
  <c r="E588" i="307"/>
  <c r="F588" i="307"/>
  <c r="I588" i="307"/>
  <c r="E285" i="307"/>
  <c r="F285" i="307"/>
  <c r="I285" i="307"/>
  <c r="E528" i="307"/>
  <c r="G528" i="307"/>
  <c r="E258" i="307"/>
  <c r="F258" i="307"/>
  <c r="I258" i="307"/>
  <c r="E254" i="307"/>
  <c r="F254" i="307"/>
  <c r="G245" i="307"/>
  <c r="G254" i="307"/>
  <c r="H254" i="307"/>
  <c r="I254" i="307"/>
  <c r="E253" i="307"/>
  <c r="F253" i="307"/>
  <c r="G251" i="307"/>
  <c r="G253" i="307"/>
  <c r="I253" i="307"/>
  <c r="E250" i="307"/>
  <c r="F250" i="307"/>
  <c r="I250" i="307"/>
  <c r="E248" i="307"/>
  <c r="F248" i="307"/>
  <c r="I248" i="307"/>
  <c r="E247" i="307"/>
  <c r="F247" i="307"/>
  <c r="I247" i="307"/>
  <c r="E244" i="307"/>
  <c r="F244" i="307"/>
  <c r="H244" i="307"/>
  <c r="I244" i="307"/>
  <c r="G260" i="307"/>
  <c r="E243" i="307"/>
  <c r="G241" i="307"/>
  <c r="G243" i="307"/>
  <c r="E240" i="307"/>
  <c r="G239" i="307"/>
  <c r="E239" i="307"/>
  <c r="G445" i="307"/>
  <c r="G238" i="307"/>
  <c r="G43" i="307"/>
  <c r="G30" i="311"/>
  <c r="E309" i="307"/>
  <c r="F309" i="307"/>
  <c r="H309" i="307"/>
  <c r="I309" i="307"/>
  <c r="E305" i="307"/>
  <c r="F305" i="307"/>
  <c r="G305" i="307"/>
  <c r="H305" i="307"/>
  <c r="I305" i="307"/>
  <c r="G304" i="307"/>
  <c r="E473" i="307"/>
  <c r="F473" i="307"/>
  <c r="I473" i="307"/>
  <c r="E559" i="307"/>
  <c r="F559" i="307"/>
  <c r="G559" i="307"/>
  <c r="I559" i="307"/>
  <c r="E558" i="307"/>
  <c r="F558" i="307"/>
  <c r="H558" i="307"/>
  <c r="I558" i="307"/>
  <c r="E557" i="307"/>
  <c r="F557" i="307"/>
  <c r="G557" i="307"/>
  <c r="H557" i="307"/>
  <c r="I557" i="307"/>
  <c r="E556" i="307"/>
  <c r="F556" i="307"/>
  <c r="G556" i="307"/>
  <c r="H556" i="307"/>
  <c r="I556" i="307"/>
  <c r="E555" i="307"/>
  <c r="G555" i="307"/>
  <c r="E552" i="307"/>
  <c r="F552" i="307"/>
  <c r="G552" i="307"/>
  <c r="H552" i="307"/>
  <c r="I552" i="307"/>
  <c r="E550" i="307"/>
  <c r="G550" i="307"/>
  <c r="E529" i="307"/>
  <c r="F529" i="307"/>
  <c r="G529" i="307"/>
  <c r="H529" i="307"/>
  <c r="I529" i="307"/>
  <c r="E527" i="307"/>
  <c r="G527" i="307"/>
  <c r="E524" i="307"/>
  <c r="F524" i="307"/>
  <c r="G524" i="307"/>
  <c r="I524" i="307"/>
  <c r="E523" i="307"/>
  <c r="F523" i="307"/>
  <c r="H523" i="307"/>
  <c r="I523" i="307"/>
  <c r="I629" i="307"/>
  <c r="H629" i="307"/>
  <c r="G629" i="307"/>
  <c r="F629" i="307"/>
  <c r="E629" i="307"/>
  <c r="I619" i="307"/>
  <c r="H619" i="307"/>
  <c r="G619" i="307"/>
  <c r="F619" i="307"/>
  <c r="E619" i="307"/>
  <c r="G317" i="48"/>
  <c r="G376" i="48"/>
  <c r="I506" i="307"/>
  <c r="G506" i="307"/>
  <c r="F506" i="307"/>
  <c r="E506" i="307"/>
  <c r="E504" i="307"/>
  <c r="G504" i="307"/>
  <c r="E460" i="307"/>
  <c r="F460" i="307"/>
  <c r="H460" i="307"/>
  <c r="I460" i="307"/>
  <c r="G475" i="307"/>
  <c r="I618" i="307"/>
  <c r="H618" i="307"/>
  <c r="G618" i="307"/>
  <c r="F618" i="307"/>
  <c r="E618" i="307"/>
  <c r="E468" i="307"/>
  <c r="F468" i="307"/>
  <c r="G468" i="307"/>
  <c r="H468" i="307"/>
  <c r="I468" i="307"/>
  <c r="E453" i="307"/>
  <c r="F453" i="307"/>
  <c r="I453" i="307"/>
  <c r="E452" i="307"/>
  <c r="F452" i="307"/>
  <c r="I452" i="307"/>
  <c r="E459" i="307"/>
  <c r="G459" i="307"/>
  <c r="E449" i="307"/>
  <c r="G448" i="307"/>
  <c r="E447" i="307"/>
  <c r="E444" i="307"/>
  <c r="E441" i="307"/>
  <c r="G64" i="307"/>
  <c r="G441" i="307"/>
  <c r="E440" i="307"/>
  <c r="G440" i="307"/>
  <c r="E376" i="48"/>
  <c r="E375" i="48"/>
  <c r="G313" i="48"/>
  <c r="G375" i="48"/>
  <c r="G316" i="48"/>
  <c r="E316" i="48"/>
  <c r="G31" i="311"/>
  <c r="E315" i="48"/>
  <c r="E14" i="306"/>
  <c r="I22" i="306"/>
  <c r="G22" i="306"/>
  <c r="F22" i="306"/>
  <c r="E22" i="306"/>
  <c r="E21" i="306"/>
  <c r="BF147" i="288"/>
  <c r="BG147" i="288"/>
  <c r="BH147" i="288"/>
  <c r="BI147" i="288"/>
  <c r="BJ147" i="288"/>
  <c r="BK147" i="288"/>
  <c r="BL147" i="288"/>
  <c r="BM147" i="288"/>
  <c r="BN147" i="288"/>
  <c r="BO147" i="288"/>
  <c r="BP147" i="288"/>
  <c r="BQ147" i="288"/>
  <c r="BR147" i="288"/>
  <c r="BS147" i="288"/>
  <c r="BT147" i="288"/>
  <c r="BU147" i="288"/>
  <c r="BV147" i="288"/>
  <c r="BW147" i="288"/>
  <c r="BX147" i="288"/>
  <c r="BY147" i="288"/>
  <c r="BZ147" i="288"/>
  <c r="CA147" i="288"/>
  <c r="CB147" i="288"/>
  <c r="CC147" i="288"/>
  <c r="CD147" i="288"/>
  <c r="CE147" i="288"/>
  <c r="CF147" i="288"/>
  <c r="CG147" i="288"/>
  <c r="CH147" i="288"/>
  <c r="CI147" i="288"/>
  <c r="CJ147" i="288"/>
  <c r="CK147" i="288"/>
  <c r="CL147" i="288"/>
  <c r="CM147" i="288"/>
  <c r="CN147" i="288"/>
  <c r="CO147" i="288"/>
  <c r="CP147" i="288"/>
  <c r="CQ147" i="288"/>
  <c r="CR147" i="288"/>
  <c r="CS147" i="288"/>
  <c r="CT147" i="288"/>
  <c r="CU147" i="288"/>
  <c r="CV147" i="288"/>
  <c r="E161" i="273"/>
  <c r="E157" i="273"/>
  <c r="G157" i="273"/>
  <c r="E139" i="273"/>
  <c r="G139" i="273"/>
  <c r="E130" i="273"/>
  <c r="G130" i="273"/>
  <c r="E131" i="273"/>
  <c r="G131" i="273"/>
  <c r="E132" i="273"/>
  <c r="G132" i="273"/>
  <c r="G127" i="273"/>
  <c r="E127" i="273"/>
  <c r="G144" i="273"/>
  <c r="F144" i="273"/>
  <c r="E144" i="273"/>
  <c r="I143" i="273"/>
  <c r="G143" i="273"/>
  <c r="F143" i="273"/>
  <c r="E143" i="273"/>
  <c r="H140" i="273"/>
  <c r="G140" i="273"/>
  <c r="F140" i="273"/>
  <c r="E140" i="273"/>
  <c r="H136" i="273"/>
  <c r="G136" i="273"/>
  <c r="F136" i="273"/>
  <c r="E136" i="273"/>
  <c r="G135" i="273"/>
  <c r="E135" i="273"/>
  <c r="F161" i="273"/>
  <c r="G161" i="273"/>
  <c r="I161" i="273"/>
  <c r="E153" i="273"/>
  <c r="G153" i="273"/>
  <c r="G149" i="273"/>
  <c r="E149" i="273"/>
  <c r="G150" i="273"/>
  <c r="E150" i="273"/>
  <c r="G148" i="273"/>
  <c r="E148" i="273"/>
  <c r="H154" i="273"/>
  <c r="G154" i="273"/>
  <c r="F154" i="273"/>
  <c r="E154" i="273"/>
  <c r="E91" i="278"/>
  <c r="F91" i="278"/>
  <c r="G91" i="278"/>
  <c r="H91" i="278"/>
  <c r="I91" i="278"/>
  <c r="E90" i="278"/>
  <c r="F90" i="278"/>
  <c r="G90" i="278"/>
  <c r="H90" i="278"/>
  <c r="I90" i="278"/>
  <c r="E267" i="278"/>
  <c r="F267" i="278"/>
  <c r="G263" i="278"/>
  <c r="G267" i="278"/>
  <c r="I267" i="278"/>
  <c r="E266" i="278"/>
  <c r="F266" i="278"/>
  <c r="G274" i="278"/>
  <c r="G266" i="278"/>
  <c r="H266" i="278"/>
  <c r="I266" i="278"/>
  <c r="I268" i="278"/>
  <c r="G268" i="278"/>
  <c r="F268" i="278"/>
  <c r="E268" i="278"/>
  <c r="I292" i="278"/>
  <c r="G292" i="278"/>
  <c r="F292" i="278"/>
  <c r="E292" i="278"/>
  <c r="E290" i="278"/>
  <c r="F290" i="278"/>
  <c r="G298" i="278"/>
  <c r="G290" i="278"/>
  <c r="H290" i="278"/>
  <c r="I290" i="278"/>
  <c r="E291" i="278"/>
  <c r="F291" i="278"/>
  <c r="G287" i="278"/>
  <c r="G291" i="278"/>
  <c r="I291" i="278"/>
  <c r="G284" i="278"/>
  <c r="G286" i="278"/>
  <c r="E286" i="278"/>
  <c r="F286" i="278"/>
  <c r="I286" i="278"/>
  <c r="I283" i="278"/>
  <c r="G283" i="278"/>
  <c r="F283" i="278"/>
  <c r="E283" i="278"/>
  <c r="E281" i="278"/>
  <c r="F281" i="278"/>
  <c r="I281" i="278"/>
  <c r="E282" i="278"/>
  <c r="F282" i="278"/>
  <c r="I282" i="278"/>
  <c r="I162" i="278"/>
  <c r="G162" i="278"/>
  <c r="F162" i="278"/>
  <c r="E162" i="278"/>
  <c r="E178" i="278"/>
  <c r="F178" i="278"/>
  <c r="G178" i="278"/>
  <c r="H178" i="278"/>
  <c r="I178" i="278"/>
  <c r="E177" i="278"/>
  <c r="F177" i="278"/>
  <c r="G171" i="278"/>
  <c r="G177" i="278"/>
  <c r="H177" i="278"/>
  <c r="I177" i="278"/>
  <c r="I179" i="278"/>
  <c r="G179" i="278"/>
  <c r="F179" i="278"/>
  <c r="E179" i="278"/>
  <c r="I187" i="278"/>
  <c r="G187" i="278"/>
  <c r="F187" i="278"/>
  <c r="E187" i="278"/>
  <c r="I204" i="278"/>
  <c r="G204" i="278"/>
  <c r="F204" i="278"/>
  <c r="E204" i="278"/>
  <c r="E203" i="278"/>
  <c r="F203" i="278"/>
  <c r="H203" i="278"/>
  <c r="I203" i="278"/>
  <c r="E202" i="278"/>
  <c r="F202" i="278"/>
  <c r="G202" i="278"/>
  <c r="H202" i="278"/>
  <c r="I202" i="278"/>
  <c r="E212" i="278"/>
  <c r="F212" i="278"/>
  <c r="G212" i="278"/>
  <c r="I212" i="278"/>
  <c r="E230" i="278"/>
  <c r="F230" i="278"/>
  <c r="G230" i="278"/>
  <c r="I230" i="278"/>
  <c r="E229" i="278"/>
  <c r="F229" i="278"/>
  <c r="H229" i="278"/>
  <c r="I229" i="278"/>
  <c r="E228" i="278"/>
  <c r="F228" i="278"/>
  <c r="G228" i="278"/>
  <c r="H228" i="278"/>
  <c r="I228" i="278"/>
  <c r="G260" i="278"/>
  <c r="E295" i="278"/>
  <c r="F49" i="315"/>
  <c r="I49" i="315"/>
  <c r="F9" i="315"/>
  <c r="F10" i="315"/>
  <c r="I9" i="315"/>
  <c r="I10" i="315"/>
  <c r="F25" i="315"/>
  <c r="I25" i="315"/>
  <c r="F33" i="315"/>
  <c r="I33" i="315"/>
  <c r="F39" i="315"/>
  <c r="F41" i="315"/>
  <c r="F42" i="315"/>
  <c r="I39" i="315"/>
  <c r="I41" i="315"/>
  <c r="I42" i="315"/>
  <c r="F47" i="315"/>
  <c r="F48" i="315"/>
  <c r="F50" i="315"/>
  <c r="F52" i="315"/>
  <c r="F55" i="315"/>
  <c r="I47" i="315"/>
  <c r="I48" i="315"/>
  <c r="I50" i="315"/>
  <c r="I52" i="315"/>
  <c r="I55" i="315"/>
  <c r="F83" i="315"/>
  <c r="F84" i="315"/>
  <c r="I83" i="315"/>
  <c r="I84" i="315"/>
  <c r="F91" i="315"/>
  <c r="I91" i="315"/>
  <c r="H104" i="315"/>
  <c r="I104" i="315"/>
  <c r="H105" i="315"/>
  <c r="I105" i="315"/>
  <c r="F104" i="315"/>
  <c r="F105" i="315"/>
  <c r="H112" i="315"/>
  <c r="I112" i="315"/>
  <c r="F112" i="315"/>
  <c r="H120" i="315"/>
  <c r="I120" i="315"/>
  <c r="F120" i="315"/>
  <c r="G89" i="315"/>
  <c r="G143" i="286"/>
  <c r="G76" i="286"/>
  <c r="G79" i="286"/>
  <c r="G72" i="286"/>
  <c r="G78" i="286"/>
  <c r="G93" i="265"/>
  <c r="G45" i="286"/>
  <c r="G70" i="286"/>
  <c r="E105" i="315"/>
  <c r="G300" i="278"/>
  <c r="G104" i="315"/>
  <c r="E104" i="315"/>
  <c r="G293" i="278"/>
  <c r="G41" i="315"/>
  <c r="E41" i="315"/>
  <c r="I299" i="278"/>
  <c r="F299" i="278"/>
  <c r="E299" i="278"/>
  <c r="I296" i="278"/>
  <c r="G296" i="278"/>
  <c r="F296" i="278"/>
  <c r="G255" i="278"/>
  <c r="G258" i="278"/>
  <c r="G39" i="315"/>
  <c r="E39" i="315"/>
  <c r="I198" i="278"/>
  <c r="F198" i="278"/>
  <c r="E198" i="278"/>
  <c r="I197" i="278"/>
  <c r="F197" i="278"/>
  <c r="E197" i="278"/>
  <c r="I193" i="278"/>
  <c r="H193" i="278"/>
  <c r="F193" i="278"/>
  <c r="E193" i="278"/>
  <c r="I192" i="278"/>
  <c r="F192" i="278"/>
  <c r="E192" i="278"/>
  <c r="I191" i="278"/>
  <c r="H191" i="278"/>
  <c r="F191" i="278"/>
  <c r="E191" i="278"/>
  <c r="I188" i="278"/>
  <c r="F188" i="278"/>
  <c r="E188" i="278"/>
  <c r="G164" i="278"/>
  <c r="G168" i="278"/>
  <c r="I186" i="278"/>
  <c r="H186" i="278"/>
  <c r="G186" i="278"/>
  <c r="F186" i="278"/>
  <c r="E186" i="278"/>
  <c r="G185" i="278"/>
  <c r="E185" i="278"/>
  <c r="E9" i="315"/>
  <c r="G88" i="278"/>
  <c r="E88" i="278"/>
  <c r="F155" i="288"/>
  <c r="F160" i="288"/>
  <c r="E79" i="273"/>
  <c r="E113" i="273"/>
  <c r="E23" i="314"/>
  <c r="E27" i="314"/>
  <c r="E28" i="314"/>
  <c r="E112" i="288"/>
  <c r="E262" i="288"/>
  <c r="E263" i="288"/>
  <c r="E101" i="314"/>
  <c r="E98" i="314"/>
  <c r="G98" i="314"/>
  <c r="G101" i="314"/>
  <c r="E102" i="314"/>
  <c r="F102" i="314"/>
  <c r="G102" i="314"/>
  <c r="H102" i="314"/>
  <c r="I102" i="314"/>
  <c r="E104" i="314"/>
  <c r="F104" i="314"/>
  <c r="G104" i="314"/>
  <c r="I104" i="314"/>
  <c r="G105" i="314"/>
  <c r="G109" i="314"/>
  <c r="E107" i="314"/>
  <c r="G107" i="314"/>
  <c r="E108" i="314"/>
  <c r="G108" i="314"/>
  <c r="E109" i="314"/>
  <c r="F109" i="314"/>
  <c r="H109" i="314"/>
  <c r="I109" i="314"/>
  <c r="G112" i="314"/>
  <c r="G115" i="314"/>
  <c r="E115" i="314"/>
  <c r="F115" i="314"/>
  <c r="H115" i="314"/>
  <c r="I115" i="314"/>
  <c r="E116" i="314"/>
  <c r="F116" i="314"/>
  <c r="G160" i="314"/>
  <c r="H116" i="314"/>
  <c r="I116" i="314"/>
  <c r="E118" i="314"/>
  <c r="F118" i="314"/>
  <c r="G118" i="314"/>
  <c r="I118" i="314"/>
  <c r="G119" i="314"/>
  <c r="E122" i="314"/>
  <c r="F122" i="314"/>
  <c r="H122" i="314"/>
  <c r="I122" i="314"/>
  <c r="G124" i="314"/>
  <c r="G144" i="314"/>
  <c r="E127" i="314"/>
  <c r="F127" i="314"/>
  <c r="H127" i="314"/>
  <c r="I127" i="314"/>
  <c r="E128" i="314"/>
  <c r="F128" i="314"/>
  <c r="G73" i="315"/>
  <c r="G128" i="314"/>
  <c r="I128" i="314"/>
  <c r="E129" i="314"/>
  <c r="F129" i="314"/>
  <c r="G129" i="314"/>
  <c r="I129" i="314"/>
  <c r="G130" i="314"/>
  <c r="G132" i="314"/>
  <c r="E132" i="314"/>
  <c r="F132" i="314"/>
  <c r="H132" i="314"/>
  <c r="I132" i="314"/>
  <c r="G133" i="314"/>
  <c r="G143" i="314"/>
  <c r="E135" i="314"/>
  <c r="F135" i="314"/>
  <c r="H135" i="314"/>
  <c r="I135" i="314"/>
  <c r="E136" i="314"/>
  <c r="F136" i="314"/>
  <c r="G136" i="314"/>
  <c r="I136" i="314"/>
  <c r="G137" i="314"/>
  <c r="G139" i="314"/>
  <c r="E139" i="314"/>
  <c r="F139" i="314"/>
  <c r="I139" i="314"/>
  <c r="E140" i="314"/>
  <c r="F140" i="314"/>
  <c r="H140" i="314"/>
  <c r="I140" i="314"/>
  <c r="G141" i="314"/>
  <c r="G152" i="314"/>
  <c r="E143" i="314"/>
  <c r="F143" i="314"/>
  <c r="H143" i="314"/>
  <c r="I143" i="314"/>
  <c r="E144" i="314"/>
  <c r="F144" i="314"/>
  <c r="I144" i="314"/>
  <c r="G145" i="314"/>
  <c r="G161" i="314"/>
  <c r="E146" i="314"/>
  <c r="E75" i="315"/>
  <c r="G146" i="314"/>
  <c r="G75" i="315"/>
  <c r="E149" i="314"/>
  <c r="F149" i="314"/>
  <c r="H149" i="314"/>
  <c r="I149" i="314"/>
  <c r="G150" i="314"/>
  <c r="G153" i="314"/>
  <c r="E152" i="314"/>
  <c r="F152" i="314"/>
  <c r="I152" i="314"/>
  <c r="E153" i="314"/>
  <c r="F153" i="314"/>
  <c r="I153" i="314"/>
  <c r="G154" i="314"/>
  <c r="E158" i="314"/>
  <c r="F158" i="314"/>
  <c r="G158" i="314"/>
  <c r="I158" i="314"/>
  <c r="E161" i="314"/>
  <c r="F161" i="314"/>
  <c r="I161" i="314"/>
  <c r="E162" i="314"/>
  <c r="F162" i="314"/>
  <c r="I162" i="314"/>
  <c r="G163" i="314"/>
  <c r="G107" i="315"/>
  <c r="G27" i="315"/>
  <c r="G112" i="282"/>
  <c r="G11" i="315"/>
  <c r="G122" i="286"/>
  <c r="G138" i="286"/>
  <c r="E123" i="286"/>
  <c r="F123" i="286"/>
  <c r="G31" i="315"/>
  <c r="G139" i="286"/>
  <c r="I123" i="286"/>
  <c r="E124" i="286"/>
  <c r="F124" i="286"/>
  <c r="G124" i="286"/>
  <c r="I124" i="286"/>
  <c r="E131" i="286"/>
  <c r="F131" i="286"/>
  <c r="I131" i="286"/>
  <c r="E132" i="286"/>
  <c r="F132" i="286"/>
  <c r="I132" i="286"/>
  <c r="E138" i="286"/>
  <c r="F138" i="286"/>
  <c r="H138" i="286"/>
  <c r="I138" i="286"/>
  <c r="E139" i="286"/>
  <c r="F139" i="286"/>
  <c r="I139" i="286"/>
  <c r="G140" i="286"/>
  <c r="G146" i="286"/>
  <c r="E142" i="286"/>
  <c r="F142" i="286"/>
  <c r="H142" i="286"/>
  <c r="I142" i="286"/>
  <c r="F143" i="286"/>
  <c r="I143" i="286"/>
  <c r="G144" i="286"/>
  <c r="G147" i="286"/>
  <c r="E146" i="286"/>
  <c r="F146" i="286"/>
  <c r="H146" i="286"/>
  <c r="I146" i="286"/>
  <c r="E147" i="286"/>
  <c r="F147" i="286"/>
  <c r="H147" i="286"/>
  <c r="I147" i="286"/>
  <c r="E149" i="286"/>
  <c r="E91" i="315"/>
  <c r="G149" i="286"/>
  <c r="G33" i="315"/>
  <c r="E259" i="278"/>
  <c r="I49" i="310"/>
  <c r="G49" i="310"/>
  <c r="F49" i="310"/>
  <c r="E49" i="310"/>
  <c r="I47" i="310"/>
  <c r="G47" i="310"/>
  <c r="F47" i="310"/>
  <c r="E47" i="310"/>
  <c r="F9" i="310"/>
  <c r="F21" i="310"/>
  <c r="F22" i="310"/>
  <c r="F24" i="310"/>
  <c r="F25" i="310"/>
  <c r="F26" i="310"/>
  <c r="F27" i="310"/>
  <c r="F28" i="310"/>
  <c r="F36" i="310"/>
  <c r="F37" i="310"/>
  <c r="F41" i="310"/>
  <c r="F42" i="310"/>
  <c r="F39" i="311"/>
  <c r="F40" i="311"/>
  <c r="H34" i="311"/>
  <c r="I34" i="311"/>
  <c r="I35" i="311"/>
  <c r="F34" i="311"/>
  <c r="F35" i="311"/>
  <c r="I38" i="311"/>
  <c r="F38" i="311"/>
  <c r="H38" i="311"/>
  <c r="H58" i="311"/>
  <c r="H33" i="307"/>
  <c r="BF79" i="311"/>
  <c r="BG79" i="311"/>
  <c r="BH79" i="311"/>
  <c r="BI79" i="311"/>
  <c r="BJ79" i="311"/>
  <c r="BK79" i="311"/>
  <c r="BL79" i="311"/>
  <c r="BM79" i="311"/>
  <c r="BN79" i="311"/>
  <c r="BO79" i="311"/>
  <c r="BP79" i="311"/>
  <c r="BQ79" i="311"/>
  <c r="BR79" i="311"/>
  <c r="BS79" i="311"/>
  <c r="BT79" i="311"/>
  <c r="BU79" i="311"/>
  <c r="BV79" i="311"/>
  <c r="BW79" i="311"/>
  <c r="BX79" i="311"/>
  <c r="BY79" i="311"/>
  <c r="BZ79" i="311"/>
  <c r="CA79" i="311"/>
  <c r="CB79" i="311"/>
  <c r="CC79" i="311"/>
  <c r="CD79" i="311"/>
  <c r="CE79" i="311"/>
  <c r="CF79" i="311"/>
  <c r="CG79" i="311"/>
  <c r="CH79" i="311"/>
  <c r="CI79" i="311"/>
  <c r="CJ79" i="311"/>
  <c r="CK79" i="311"/>
  <c r="CL79" i="311"/>
  <c r="CM79" i="311"/>
  <c r="CN79" i="311"/>
  <c r="CO79" i="311"/>
  <c r="CP79" i="311"/>
  <c r="CQ79" i="311"/>
  <c r="CR79" i="311"/>
  <c r="CS79" i="311"/>
  <c r="CT79" i="311"/>
  <c r="CU79" i="311"/>
  <c r="CV79" i="311"/>
  <c r="G82" i="265"/>
  <c r="G157" i="269"/>
  <c r="E198" i="288"/>
  <c r="F198" i="288"/>
  <c r="I198" i="288"/>
  <c r="E199" i="288"/>
  <c r="F199" i="288"/>
  <c r="I199" i="288"/>
  <c r="E200" i="288"/>
  <c r="F200" i="288"/>
  <c r="I200" i="288"/>
  <c r="G204" i="288"/>
  <c r="G207" i="288"/>
  <c r="E206" i="288"/>
  <c r="F206" i="288"/>
  <c r="G288" i="307"/>
  <c r="G206" i="288"/>
  <c r="I206" i="288"/>
  <c r="E207" i="288"/>
  <c r="F207" i="288"/>
  <c r="I207" i="288"/>
  <c r="E208" i="288"/>
  <c r="F208" i="288"/>
  <c r="G208" i="288"/>
  <c r="H208" i="288"/>
  <c r="I208" i="288"/>
  <c r="BF208" i="288"/>
  <c r="BG208" i="288"/>
  <c r="BH208" i="288"/>
  <c r="BI208" i="288"/>
  <c r="BJ208" i="288"/>
  <c r="BK208" i="288"/>
  <c r="BL208" i="288"/>
  <c r="BM208" i="288"/>
  <c r="BN208" i="288"/>
  <c r="BO208" i="288"/>
  <c r="BP208" i="288"/>
  <c r="BQ208" i="288"/>
  <c r="BR208" i="288"/>
  <c r="BS208" i="288"/>
  <c r="BT208" i="288"/>
  <c r="BU208" i="288"/>
  <c r="BV208" i="288"/>
  <c r="BW208" i="288"/>
  <c r="BX208" i="288"/>
  <c r="BY208" i="288"/>
  <c r="BZ208" i="288"/>
  <c r="CA208" i="288"/>
  <c r="CB208" i="288"/>
  <c r="CC208" i="288"/>
  <c r="CD208" i="288"/>
  <c r="CE208" i="288"/>
  <c r="CF208" i="288"/>
  <c r="CG208" i="288"/>
  <c r="CH208" i="288"/>
  <c r="CI208" i="288"/>
  <c r="CJ208" i="288"/>
  <c r="CK208" i="288"/>
  <c r="CL208" i="288"/>
  <c r="CM208" i="288"/>
  <c r="CN208" i="288"/>
  <c r="CO208" i="288"/>
  <c r="CP208" i="288"/>
  <c r="CQ208" i="288"/>
  <c r="CR208" i="288"/>
  <c r="CS208" i="288"/>
  <c r="CT208" i="288"/>
  <c r="CU208" i="288"/>
  <c r="CV208" i="288"/>
  <c r="E209" i="288"/>
  <c r="F209" i="288"/>
  <c r="G209" i="288"/>
  <c r="H209" i="288"/>
  <c r="I209" i="288"/>
  <c r="E215" i="288"/>
  <c r="F215" i="288"/>
  <c r="I215" i="288"/>
  <c r="E220" i="288"/>
  <c r="F220" i="288"/>
  <c r="G220" i="288"/>
  <c r="H220" i="288"/>
  <c r="I220" i="288"/>
  <c r="E227" i="288"/>
  <c r="G227" i="288"/>
  <c r="E228" i="288"/>
  <c r="F228" i="288"/>
  <c r="G228" i="288"/>
  <c r="H228" i="288"/>
  <c r="I228" i="288"/>
  <c r="E233" i="288"/>
  <c r="G233" i="288"/>
  <c r="E234" i="288"/>
  <c r="F234" i="288"/>
  <c r="G234" i="288"/>
  <c r="H234" i="288"/>
  <c r="I234" i="288"/>
  <c r="E235" i="288"/>
  <c r="F235" i="288"/>
  <c r="I235" i="288"/>
  <c r="G237" i="288"/>
  <c r="G239" i="288"/>
  <c r="E239" i="288"/>
  <c r="F239" i="288"/>
  <c r="H239" i="288"/>
  <c r="I239" i="288"/>
  <c r="E244" i="288"/>
  <c r="F244" i="288"/>
  <c r="G244" i="288"/>
  <c r="H244" i="288"/>
  <c r="I244" i="288"/>
  <c r="F262" i="288"/>
  <c r="G262" i="288"/>
  <c r="H262" i="288"/>
  <c r="I262" i="288"/>
  <c r="F263" i="288"/>
  <c r="I263" i="288"/>
  <c r="G265" i="288"/>
  <c r="G267" i="288"/>
  <c r="E267" i="288"/>
  <c r="F267" i="288"/>
  <c r="H267" i="288"/>
  <c r="I267" i="288"/>
  <c r="E275" i="288"/>
  <c r="F275" i="288"/>
  <c r="G275" i="288"/>
  <c r="H275" i="288"/>
  <c r="I275" i="288"/>
  <c r="G140" i="288"/>
  <c r="G145" i="288"/>
  <c r="E18" i="311"/>
  <c r="G18" i="311"/>
  <c r="F27" i="314"/>
  <c r="H27" i="314"/>
  <c r="I27" i="314"/>
  <c r="F28" i="314"/>
  <c r="G28" i="314"/>
  <c r="I28" i="314"/>
  <c r="G29" i="314"/>
  <c r="G32" i="314"/>
  <c r="E31" i="314"/>
  <c r="G31" i="314"/>
  <c r="E32" i="314"/>
  <c r="F32" i="314"/>
  <c r="I32" i="314"/>
  <c r="G78" i="315"/>
  <c r="F157" i="269"/>
  <c r="E157" i="269"/>
  <c r="G82" i="277"/>
  <c r="E146" i="288"/>
  <c r="F146" i="288"/>
  <c r="G143" i="288"/>
  <c r="G146" i="288"/>
  <c r="I146" i="288"/>
  <c r="I142" i="288"/>
  <c r="F142" i="288"/>
  <c r="E142" i="288"/>
  <c r="E70" i="311"/>
  <c r="G70" i="311"/>
  <c r="E83" i="315"/>
  <c r="G83" i="315"/>
  <c r="G120" i="315"/>
  <c r="E120" i="315"/>
  <c r="E76" i="315"/>
  <c r="F76" i="315"/>
  <c r="I76" i="315"/>
  <c r="F75" i="315"/>
  <c r="I75" i="315"/>
  <c r="E107" i="315"/>
  <c r="F107" i="315"/>
  <c r="H107" i="315"/>
  <c r="I107" i="315"/>
  <c r="G33" i="265"/>
  <c r="G110" i="269"/>
  <c r="G77" i="265"/>
  <c r="G29" i="265"/>
  <c r="E14" i="264"/>
  <c r="G14" i="264"/>
  <c r="E70" i="288"/>
  <c r="F70" i="288"/>
  <c r="G70" i="288"/>
  <c r="H70" i="288"/>
  <c r="I70" i="288"/>
  <c r="I66" i="288"/>
  <c r="F66" i="288"/>
  <c r="E66" i="288"/>
  <c r="F123" i="269"/>
  <c r="F80" i="277"/>
  <c r="E80" i="277"/>
  <c r="F154" i="269"/>
  <c r="G133" i="315"/>
  <c r="I131" i="315"/>
  <c r="H131" i="315"/>
  <c r="G125" i="315"/>
  <c r="G131" i="315"/>
  <c r="F131" i="315"/>
  <c r="E131" i="315"/>
  <c r="I130" i="315"/>
  <c r="H130" i="315"/>
  <c r="G110" i="315"/>
  <c r="G130" i="315"/>
  <c r="F130" i="315"/>
  <c r="E130" i="315"/>
  <c r="E112" i="315"/>
  <c r="G108" i="315"/>
  <c r="G100" i="315"/>
  <c r="I99" i="315"/>
  <c r="H99" i="315"/>
  <c r="F99" i="315"/>
  <c r="E99" i="315"/>
  <c r="I98" i="315"/>
  <c r="H98" i="315"/>
  <c r="F98" i="315"/>
  <c r="E98" i="315"/>
  <c r="G92" i="315"/>
  <c r="E55" i="315"/>
  <c r="E52" i="315"/>
  <c r="G42" i="315"/>
  <c r="E42" i="315"/>
  <c r="G34" i="315"/>
  <c r="G15" i="315"/>
  <c r="I14" i="315"/>
  <c r="G14" i="315"/>
  <c r="F14" i="315"/>
  <c r="E14" i="315"/>
  <c r="I13" i="315"/>
  <c r="F13" i="315"/>
  <c r="E13" i="315"/>
  <c r="G10" i="315"/>
  <c r="E5" i="315"/>
  <c r="E4" i="315"/>
  <c r="E3" i="315"/>
  <c r="E2" i="315"/>
  <c r="E40" i="311"/>
  <c r="G40" i="311"/>
  <c r="E39" i="311"/>
  <c r="G11" i="275"/>
  <c r="G8" i="275"/>
  <c r="E38" i="273"/>
  <c r="F38" i="273"/>
  <c r="G38" i="273"/>
  <c r="H38" i="273"/>
  <c r="I38" i="273"/>
  <c r="G33" i="273"/>
  <c r="E33" i="273"/>
  <c r="E10" i="311"/>
  <c r="G10" i="311"/>
  <c r="E13" i="311"/>
  <c r="G13" i="311"/>
  <c r="G137" i="277"/>
  <c r="G137" i="265"/>
  <c r="G384" i="307"/>
  <c r="G317" i="307"/>
  <c r="G90" i="307"/>
  <c r="G88" i="307"/>
  <c r="G72" i="307"/>
  <c r="G65" i="277"/>
  <c r="G19" i="264"/>
  <c r="E19" i="264"/>
  <c r="G32" i="269"/>
  <c r="G31" i="269"/>
  <c r="E32" i="269"/>
  <c r="E31" i="269"/>
  <c r="E125" i="288"/>
  <c r="F125" i="288"/>
  <c r="G125" i="288"/>
  <c r="H125" i="288"/>
  <c r="I125" i="288"/>
  <c r="I122" i="288"/>
  <c r="G122" i="288"/>
  <c r="F122" i="288"/>
  <c r="E122" i="288"/>
  <c r="E118" i="288"/>
  <c r="F118" i="288"/>
  <c r="H118" i="288"/>
  <c r="I118" i="288"/>
  <c r="E117" i="288"/>
  <c r="F117" i="288"/>
  <c r="G115" i="288"/>
  <c r="G117" i="288"/>
  <c r="H117" i="288"/>
  <c r="I117" i="288"/>
  <c r="E114" i="288"/>
  <c r="F114" i="288"/>
  <c r="G114" i="288"/>
  <c r="I114" i="288"/>
  <c r="F112" i="288"/>
  <c r="G112" i="288"/>
  <c r="H112" i="288"/>
  <c r="I112" i="288"/>
  <c r="E102" i="288"/>
  <c r="F102" i="288"/>
  <c r="H102" i="288"/>
  <c r="I102" i="288"/>
  <c r="E101" i="288"/>
  <c r="F101" i="288"/>
  <c r="I101" i="288"/>
  <c r="G39" i="269"/>
  <c r="G37" i="269"/>
  <c r="E39" i="269"/>
  <c r="E37" i="269"/>
  <c r="E171" i="288"/>
  <c r="F171" i="288"/>
  <c r="G171" i="288"/>
  <c r="H171" i="288"/>
  <c r="I171" i="288"/>
  <c r="E170" i="288"/>
  <c r="F170" i="288"/>
  <c r="G170" i="288"/>
  <c r="I170" i="288"/>
  <c r="G160" i="288"/>
  <c r="E160" i="288"/>
  <c r="E159" i="288"/>
  <c r="G159" i="288"/>
  <c r="E158" i="288"/>
  <c r="G158" i="288"/>
  <c r="E155" i="288"/>
  <c r="G155" i="288"/>
  <c r="E154" i="288"/>
  <c r="G154" i="288"/>
  <c r="E145" i="288"/>
  <c r="F145" i="288"/>
  <c r="I145" i="288"/>
  <c r="I148" i="288"/>
  <c r="H148" i="288"/>
  <c r="G148" i="288"/>
  <c r="F148" i="288"/>
  <c r="E148" i="288"/>
  <c r="I147" i="288"/>
  <c r="H147" i="288"/>
  <c r="G147" i="288"/>
  <c r="F147" i="288"/>
  <c r="E147" i="288"/>
  <c r="E132" i="288"/>
  <c r="G136" i="288"/>
  <c r="G138" i="288"/>
  <c r="E138" i="288"/>
  <c r="F138" i="288"/>
  <c r="I138" i="288"/>
  <c r="E133" i="288"/>
  <c r="F133" i="288"/>
  <c r="G133" i="288"/>
  <c r="I133" i="288"/>
  <c r="G20" i="269"/>
  <c r="G19" i="269"/>
  <c r="E94" i="288"/>
  <c r="F94" i="288"/>
  <c r="G94" i="288"/>
  <c r="H94" i="288"/>
  <c r="I94" i="288"/>
  <c r="E90" i="288"/>
  <c r="F90" i="288"/>
  <c r="G81" i="288"/>
  <c r="G90" i="288"/>
  <c r="H90" i="288"/>
  <c r="I90" i="288"/>
  <c r="E89" i="288"/>
  <c r="F89" i="288"/>
  <c r="G87" i="288"/>
  <c r="G89" i="288"/>
  <c r="H89" i="288"/>
  <c r="I89" i="288"/>
  <c r="I84" i="288"/>
  <c r="H84" i="288"/>
  <c r="G84" i="288"/>
  <c r="F84" i="288"/>
  <c r="E84" i="288"/>
  <c r="G83" i="288"/>
  <c r="E83" i="288"/>
  <c r="E77" i="288"/>
  <c r="G77" i="288"/>
  <c r="I79" i="288"/>
  <c r="F79" i="288"/>
  <c r="E79" i="288"/>
  <c r="I78" i="288"/>
  <c r="H78" i="288"/>
  <c r="G78" i="288"/>
  <c r="F78" i="288"/>
  <c r="E78" i="288"/>
  <c r="E78" i="314"/>
  <c r="I42" i="310"/>
  <c r="E29" i="307"/>
  <c r="F29" i="307"/>
  <c r="I29" i="307"/>
  <c r="E247" i="306"/>
  <c r="F247" i="306"/>
  <c r="I247" i="306"/>
  <c r="G248" i="306"/>
  <c r="I246" i="306"/>
  <c r="H246" i="306"/>
  <c r="G246" i="306"/>
  <c r="F246" i="306"/>
  <c r="E246" i="306"/>
  <c r="I245" i="306"/>
  <c r="H245" i="306"/>
  <c r="G245" i="306"/>
  <c r="F245" i="306"/>
  <c r="E245" i="306"/>
  <c r="E104" i="306"/>
  <c r="I105" i="306"/>
  <c r="G105" i="306"/>
  <c r="F105" i="306"/>
  <c r="E105" i="306"/>
  <c r="G18" i="264"/>
  <c r="E18" i="264"/>
  <c r="E21" i="314"/>
  <c r="G21" i="314"/>
  <c r="F152" i="269"/>
  <c r="E152" i="269"/>
  <c r="F111" i="277"/>
  <c r="E111" i="277"/>
  <c r="G71" i="314"/>
  <c r="G74" i="314"/>
  <c r="G77" i="277"/>
  <c r="G81" i="314"/>
  <c r="G61" i="314"/>
  <c r="G66" i="314"/>
  <c r="G82" i="314"/>
  <c r="G62" i="314"/>
  <c r="G73" i="314"/>
  <c r="G58" i="314"/>
  <c r="G60" i="314"/>
  <c r="G54" i="314"/>
  <c r="G64" i="314"/>
  <c r="G51" i="314"/>
  <c r="G56" i="314"/>
  <c r="G45" i="314"/>
  <c r="G65" i="314"/>
  <c r="G40" i="314"/>
  <c r="G43" i="314"/>
  <c r="G18" i="314"/>
  <c r="G22" i="314"/>
  <c r="I79" i="314"/>
  <c r="G79" i="314"/>
  <c r="F79" i="314"/>
  <c r="E79" i="314"/>
  <c r="I57" i="314"/>
  <c r="G57" i="314"/>
  <c r="F57" i="314"/>
  <c r="E57" i="314"/>
  <c r="E50" i="314"/>
  <c r="F50" i="314"/>
  <c r="G50" i="314"/>
  <c r="I50" i="314"/>
  <c r="E49" i="314"/>
  <c r="F49" i="314"/>
  <c r="I49" i="314"/>
  <c r="E48" i="314"/>
  <c r="F48" i="314"/>
  <c r="H48" i="314"/>
  <c r="I48" i="314"/>
  <c r="E39" i="314"/>
  <c r="F39" i="314"/>
  <c r="G39" i="314"/>
  <c r="I39" i="314"/>
  <c r="I23" i="314"/>
  <c r="F23" i="314"/>
  <c r="E17" i="314"/>
  <c r="F17" i="314"/>
  <c r="G17" i="314"/>
  <c r="I17" i="314"/>
  <c r="E16" i="314"/>
  <c r="F16" i="314"/>
  <c r="I16" i="314"/>
  <c r="E15" i="314"/>
  <c r="F15" i="314"/>
  <c r="G15" i="314"/>
  <c r="H15" i="314"/>
  <c r="I15" i="314"/>
  <c r="E14" i="314"/>
  <c r="G14" i="314"/>
  <c r="G11" i="314"/>
  <c r="E11" i="314"/>
  <c r="I88" i="314"/>
  <c r="H88" i="314"/>
  <c r="F88" i="314"/>
  <c r="E88" i="314"/>
  <c r="I87" i="314"/>
  <c r="H87" i="314"/>
  <c r="F87" i="314"/>
  <c r="E87" i="314"/>
  <c r="I83" i="314"/>
  <c r="F83" i="314"/>
  <c r="E83" i="314"/>
  <c r="I82" i="314"/>
  <c r="F82" i="314"/>
  <c r="E82" i="314"/>
  <c r="I74" i="314"/>
  <c r="F74" i="314"/>
  <c r="E74" i="314"/>
  <c r="I73" i="314"/>
  <c r="F73" i="314"/>
  <c r="E73" i="314"/>
  <c r="I70" i="314"/>
  <c r="H70" i="314"/>
  <c r="F70" i="314"/>
  <c r="E70" i="314"/>
  <c r="I65" i="314"/>
  <c r="F65" i="314"/>
  <c r="E65" i="314"/>
  <c r="I64" i="314"/>
  <c r="H64" i="314"/>
  <c r="F64" i="314"/>
  <c r="E64" i="314"/>
  <c r="I61" i="314"/>
  <c r="H61" i="314"/>
  <c r="F61" i="314"/>
  <c r="E61" i="314"/>
  <c r="I60" i="314"/>
  <c r="F60" i="314"/>
  <c r="E60" i="314"/>
  <c r="I56" i="314"/>
  <c r="H56" i="314"/>
  <c r="F56" i="314"/>
  <c r="E56" i="314"/>
  <c r="I53" i="314"/>
  <c r="H53" i="314"/>
  <c r="F53" i="314"/>
  <c r="E53" i="314"/>
  <c r="I43" i="314"/>
  <c r="H43" i="314"/>
  <c r="F43" i="314"/>
  <c r="E43" i="314"/>
  <c r="I37" i="314"/>
  <c r="H37" i="314"/>
  <c r="F37" i="314"/>
  <c r="E37" i="314"/>
  <c r="I36" i="314"/>
  <c r="H36" i="314"/>
  <c r="F36" i="314"/>
  <c r="E36" i="314"/>
  <c r="I22" i="314"/>
  <c r="H22" i="314"/>
  <c r="F22" i="314"/>
  <c r="E22" i="314"/>
  <c r="E5" i="314"/>
  <c r="E4" i="314"/>
  <c r="E3" i="314"/>
  <c r="E2" i="314"/>
  <c r="E35" i="282"/>
  <c r="F35" i="282"/>
  <c r="I35" i="282"/>
  <c r="E50" i="288"/>
  <c r="F50" i="288"/>
  <c r="I50" i="288"/>
  <c r="E49" i="288"/>
  <c r="F49" i="288"/>
  <c r="I49" i="288"/>
  <c r="E124" i="277"/>
  <c r="E56" i="277"/>
  <c r="F56" i="277"/>
  <c r="I624" i="307"/>
  <c r="H624" i="307"/>
  <c r="G624" i="307"/>
  <c r="F624" i="307"/>
  <c r="E624" i="307"/>
  <c r="I623" i="307"/>
  <c r="H623" i="307"/>
  <c r="G623" i="307"/>
  <c r="F623" i="307"/>
  <c r="E623" i="307"/>
  <c r="E78" i="307"/>
  <c r="F78" i="307"/>
  <c r="H78" i="307"/>
  <c r="I78" i="307"/>
  <c r="E77" i="307"/>
  <c r="F77" i="307"/>
  <c r="I77" i="307"/>
  <c r="G75" i="307"/>
  <c r="G78" i="307"/>
  <c r="E72" i="307"/>
  <c r="F72" i="307"/>
  <c r="H72" i="307"/>
  <c r="I72" i="307"/>
  <c r="E71" i="307"/>
  <c r="E67" i="307"/>
  <c r="F67" i="307"/>
  <c r="I67" i="307"/>
  <c r="I66" i="307"/>
  <c r="G66" i="307"/>
  <c r="F66" i="307"/>
  <c r="E66" i="307"/>
  <c r="G63" i="307"/>
  <c r="G45" i="307"/>
  <c r="E45" i="307"/>
  <c r="F164" i="269"/>
  <c r="E164" i="269"/>
  <c r="G89" i="277"/>
  <c r="G43" i="269"/>
  <c r="E43" i="269"/>
  <c r="E42" i="269"/>
  <c r="E41" i="269"/>
  <c r="G65" i="286"/>
  <c r="G42" i="269"/>
  <c r="E61" i="286"/>
  <c r="G61" i="286"/>
  <c r="G62" i="286"/>
  <c r="F62" i="286"/>
  <c r="E62" i="286"/>
  <c r="I63" i="286"/>
  <c r="G63" i="286"/>
  <c r="F63" i="286"/>
  <c r="E63" i="286"/>
  <c r="G59" i="286"/>
  <c r="G41" i="269"/>
  <c r="G10" i="269"/>
  <c r="E10" i="269"/>
  <c r="E25" i="311"/>
  <c r="G15" i="311"/>
  <c r="E15" i="311"/>
  <c r="G14" i="311"/>
  <c r="E14" i="311"/>
  <c r="G9" i="311"/>
  <c r="E9" i="311"/>
  <c r="F120" i="269"/>
  <c r="E275" i="278"/>
  <c r="F275" i="278"/>
  <c r="I275" i="278"/>
  <c r="E271" i="278"/>
  <c r="I272" i="278"/>
  <c r="G272" i="278"/>
  <c r="F272" i="278"/>
  <c r="F51" i="277"/>
  <c r="E241" i="306"/>
  <c r="F241" i="306"/>
  <c r="I241" i="306"/>
  <c r="G242" i="306"/>
  <c r="I240" i="306"/>
  <c r="H240" i="306"/>
  <c r="G240" i="306"/>
  <c r="F240" i="306"/>
  <c r="E240" i="306"/>
  <c r="I239" i="306"/>
  <c r="H239" i="306"/>
  <c r="G239" i="306"/>
  <c r="F239" i="306"/>
  <c r="E239" i="306"/>
  <c r="I41" i="310"/>
  <c r="E28" i="307"/>
  <c r="F28" i="307"/>
  <c r="I28" i="307"/>
  <c r="I100" i="306"/>
  <c r="G100" i="306"/>
  <c r="F100" i="306"/>
  <c r="E100" i="306"/>
  <c r="E99" i="306"/>
  <c r="E258" i="278"/>
  <c r="F258" i="278"/>
  <c r="H258" i="278"/>
  <c r="I258" i="278"/>
  <c r="F259" i="278"/>
  <c r="G259" i="278"/>
  <c r="I259" i="278"/>
  <c r="E254" i="278"/>
  <c r="F254" i="278"/>
  <c r="H254" i="278"/>
  <c r="I254" i="278"/>
  <c r="E253" i="278"/>
  <c r="F253" i="278"/>
  <c r="H253" i="278"/>
  <c r="I253" i="278"/>
  <c r="I59" i="288"/>
  <c r="H59" i="288"/>
  <c r="G59" i="288"/>
  <c r="F59" i="288"/>
  <c r="E59" i="288"/>
  <c r="E58" i="288"/>
  <c r="F58" i="288"/>
  <c r="G58" i="288"/>
  <c r="H58" i="288"/>
  <c r="I58" i="288"/>
  <c r="E57" i="288"/>
  <c r="F57" i="288"/>
  <c r="I57" i="288"/>
  <c r="G54" i="288"/>
  <c r="G57" i="288"/>
  <c r="I51" i="288"/>
  <c r="F51" i="288"/>
  <c r="E51" i="288"/>
  <c r="I48" i="288"/>
  <c r="F48" i="288"/>
  <c r="E48" i="288"/>
  <c r="E56" i="288"/>
  <c r="F56" i="288"/>
  <c r="I56" i="288"/>
  <c r="E281" i="307"/>
  <c r="E282" i="307"/>
  <c r="F282" i="307"/>
  <c r="G282" i="307"/>
  <c r="I282" i="307"/>
  <c r="I286" i="307"/>
  <c r="F286" i="307"/>
  <c r="E286" i="307"/>
  <c r="E283" i="307"/>
  <c r="F283" i="307"/>
  <c r="I283" i="307"/>
  <c r="E18" i="282"/>
  <c r="G16" i="282"/>
  <c r="G18" i="282"/>
  <c r="E103" i="277"/>
  <c r="F103" i="277"/>
  <c r="E42" i="285"/>
  <c r="F42" i="285"/>
  <c r="I42" i="285"/>
  <c r="G40" i="285"/>
  <c r="G33" i="285"/>
  <c r="G37" i="285"/>
  <c r="G35" i="285"/>
  <c r="E35" i="285"/>
  <c r="E57" i="277"/>
  <c r="F57" i="277"/>
  <c r="I628" i="307"/>
  <c r="H628" i="307"/>
  <c r="G628" i="307"/>
  <c r="F628" i="307"/>
  <c r="E628" i="307"/>
  <c r="E620" i="307"/>
  <c r="F620" i="307"/>
  <c r="I620" i="307"/>
  <c r="F127" i="269"/>
  <c r="E609" i="307"/>
  <c r="F609" i="307"/>
  <c r="I609" i="307"/>
  <c r="G610" i="307"/>
  <c r="I608" i="307"/>
  <c r="H608" i="307"/>
  <c r="G608" i="307"/>
  <c r="F608" i="307"/>
  <c r="E608" i="307"/>
  <c r="I607" i="307"/>
  <c r="H607" i="307"/>
  <c r="G607" i="307"/>
  <c r="F607" i="307"/>
  <c r="E607" i="307"/>
  <c r="E585" i="307"/>
  <c r="F585" i="307"/>
  <c r="I585" i="307"/>
  <c r="E584" i="307"/>
  <c r="F584" i="307"/>
  <c r="I584" i="307"/>
  <c r="F126" i="269"/>
  <c r="E235" i="306"/>
  <c r="F235" i="306"/>
  <c r="I235" i="306"/>
  <c r="E234" i="306"/>
  <c r="F234" i="306"/>
  <c r="G234" i="306"/>
  <c r="H234" i="306"/>
  <c r="I234" i="306"/>
  <c r="E233" i="306"/>
  <c r="F233" i="306"/>
  <c r="G233" i="306"/>
  <c r="H233" i="306"/>
  <c r="I233" i="306"/>
  <c r="E54" i="305"/>
  <c r="F54" i="305"/>
  <c r="G54" i="305"/>
  <c r="I54" i="305"/>
  <c r="G53" i="305"/>
  <c r="E53" i="305"/>
  <c r="F142" i="269"/>
  <c r="E142" i="269"/>
  <c r="E171" i="269"/>
  <c r="E168" i="269"/>
  <c r="E124" i="269"/>
  <c r="E113" i="269"/>
  <c r="E110" i="269"/>
  <c r="E106" i="269"/>
  <c r="E94" i="269"/>
  <c r="E90" i="269"/>
  <c r="I37" i="310"/>
  <c r="G17" i="264"/>
  <c r="E17" i="264"/>
  <c r="I33" i="307"/>
  <c r="G33" i="307"/>
  <c r="F33" i="307"/>
  <c r="E33" i="307"/>
  <c r="E50" i="307"/>
  <c r="F50" i="307"/>
  <c r="G50" i="307"/>
  <c r="I50" i="307"/>
  <c r="E38" i="311"/>
  <c r="G38" i="311"/>
  <c r="E35" i="311"/>
  <c r="E34" i="311"/>
  <c r="G34" i="311"/>
  <c r="G407" i="307"/>
  <c r="E407" i="307"/>
  <c r="G406" i="307"/>
  <c r="E406" i="307"/>
  <c r="I24" i="307"/>
  <c r="I23" i="307"/>
  <c r="E24" i="307"/>
  <c r="F24" i="307"/>
  <c r="I415" i="307"/>
  <c r="G415" i="307"/>
  <c r="F415" i="307"/>
  <c r="E415" i="307"/>
  <c r="E413" i="307"/>
  <c r="F413" i="307"/>
  <c r="G413" i="307"/>
  <c r="H413" i="307"/>
  <c r="I413" i="307"/>
  <c r="E95" i="305"/>
  <c r="F95" i="305"/>
  <c r="G95" i="305"/>
  <c r="H95" i="305"/>
  <c r="I95" i="305"/>
  <c r="I96" i="305"/>
  <c r="H96" i="305"/>
  <c r="G96" i="305"/>
  <c r="F96" i="305"/>
  <c r="E96" i="305"/>
  <c r="G412" i="307"/>
  <c r="E412" i="307"/>
  <c r="G411" i="307"/>
  <c r="E411" i="307"/>
  <c r="E414" i="307"/>
  <c r="F414" i="307"/>
  <c r="H414" i="307"/>
  <c r="I414" i="307"/>
  <c r="G382" i="307"/>
  <c r="E382" i="307"/>
  <c r="E23" i="307"/>
  <c r="F23" i="307"/>
  <c r="I36" i="310"/>
  <c r="E383" i="307"/>
  <c r="G383" i="307"/>
  <c r="E384" i="307"/>
  <c r="F384" i="307"/>
  <c r="H384" i="307"/>
  <c r="I384" i="307"/>
  <c r="E379" i="307"/>
  <c r="F379" i="307"/>
  <c r="G379" i="307"/>
  <c r="I379" i="307"/>
  <c r="E378" i="307"/>
  <c r="F378" i="307"/>
  <c r="H378" i="307"/>
  <c r="I378" i="307"/>
  <c r="G356" i="307"/>
  <c r="E356" i="307"/>
  <c r="I359" i="307"/>
  <c r="G359" i="307"/>
  <c r="F359" i="307"/>
  <c r="E359" i="307"/>
  <c r="E315" i="307"/>
  <c r="F315" i="307"/>
  <c r="I315" i="307"/>
  <c r="G56" i="307"/>
  <c r="G53" i="307"/>
  <c r="G46" i="307"/>
  <c r="G47" i="307"/>
  <c r="G49" i="307"/>
  <c r="I9" i="310"/>
  <c r="E54" i="307"/>
  <c r="F54" i="307"/>
  <c r="I54" i="307"/>
  <c r="E49" i="307"/>
  <c r="F49" i="307"/>
  <c r="H49" i="307"/>
  <c r="I49" i="307"/>
  <c r="E46" i="307"/>
  <c r="F46" i="307"/>
  <c r="H46" i="307"/>
  <c r="I46" i="307"/>
  <c r="G32" i="307"/>
  <c r="G35" i="311"/>
  <c r="I16" i="307"/>
  <c r="F16" i="307"/>
  <c r="E16" i="307"/>
  <c r="I15" i="307"/>
  <c r="F15" i="307"/>
  <c r="E15" i="307"/>
  <c r="I14" i="307"/>
  <c r="F14" i="307"/>
  <c r="E14" i="307"/>
  <c r="I13" i="307"/>
  <c r="F13" i="307"/>
  <c r="E13" i="307"/>
  <c r="I12" i="307"/>
  <c r="F12" i="307"/>
  <c r="E12" i="307"/>
  <c r="I10" i="307"/>
  <c r="F10" i="307"/>
  <c r="E10" i="307"/>
  <c r="I9" i="307"/>
  <c r="F9" i="307"/>
  <c r="E9" i="307"/>
  <c r="I28" i="310"/>
  <c r="I27" i="310"/>
  <c r="I26" i="310"/>
  <c r="I25" i="310"/>
  <c r="I24" i="310"/>
  <c r="I22" i="310"/>
  <c r="I21" i="310"/>
  <c r="E86" i="306"/>
  <c r="F86" i="306"/>
  <c r="I86" i="306"/>
  <c r="E85" i="306"/>
  <c r="F85" i="306"/>
  <c r="I85" i="306"/>
  <c r="E84" i="306"/>
  <c r="F84" i="306"/>
  <c r="I84" i="306"/>
  <c r="E83" i="306"/>
  <c r="F83" i="306"/>
  <c r="I83" i="306"/>
  <c r="E82" i="306"/>
  <c r="F82" i="306"/>
  <c r="I82" i="306"/>
  <c r="E80" i="306"/>
  <c r="F80" i="306"/>
  <c r="I80" i="306"/>
  <c r="E79" i="306"/>
  <c r="F79" i="306"/>
  <c r="I79" i="306"/>
  <c r="E56" i="306"/>
  <c r="G144" i="48"/>
  <c r="G56" i="306"/>
  <c r="E49" i="306"/>
  <c r="G142" i="48"/>
  <c r="G49" i="306"/>
  <c r="E44" i="306"/>
  <c r="G141" i="48"/>
  <c r="G44" i="306"/>
  <c r="E39" i="306"/>
  <c r="G140" i="48"/>
  <c r="G39" i="306"/>
  <c r="G20" i="306"/>
  <c r="E20" i="306"/>
  <c r="E13" i="306"/>
  <c r="E57" i="306"/>
  <c r="F57" i="306"/>
  <c r="G57" i="306"/>
  <c r="I57" i="306"/>
  <c r="I51" i="306"/>
  <c r="G51" i="306"/>
  <c r="F51" i="306"/>
  <c r="E51" i="306"/>
  <c r="I45" i="306"/>
  <c r="G45" i="306"/>
  <c r="F45" i="306"/>
  <c r="E45" i="306"/>
  <c r="E40" i="306"/>
  <c r="F40" i="306"/>
  <c r="G40" i="306"/>
  <c r="I40" i="306"/>
  <c r="E35" i="306"/>
  <c r="F35" i="306"/>
  <c r="G35" i="306"/>
  <c r="I35" i="306"/>
  <c r="E16" i="306"/>
  <c r="F16" i="306"/>
  <c r="G16" i="306"/>
  <c r="I16" i="306"/>
  <c r="G16" i="264"/>
  <c r="E16" i="264"/>
  <c r="E4" i="310"/>
  <c r="E3" i="310"/>
  <c r="E2" i="310"/>
  <c r="H9" i="309"/>
  <c r="E5" i="309"/>
  <c r="E4" i="309"/>
  <c r="E3" i="309"/>
  <c r="E2" i="309"/>
  <c r="E15" i="275"/>
  <c r="F15" i="275"/>
  <c r="G15" i="275"/>
  <c r="I15" i="275"/>
  <c r="E4" i="307"/>
  <c r="E3" i="307"/>
  <c r="E2" i="307"/>
  <c r="E4" i="305"/>
  <c r="E34" i="305"/>
  <c r="F34" i="305"/>
  <c r="G34" i="305"/>
  <c r="H34" i="305"/>
  <c r="I34" i="305"/>
  <c r="E31" i="305"/>
  <c r="F31" i="305"/>
  <c r="G31" i="305"/>
  <c r="I31" i="305"/>
  <c r="E30" i="305"/>
  <c r="F30" i="305"/>
  <c r="G30" i="305"/>
  <c r="I30" i="305"/>
  <c r="E26" i="305"/>
  <c r="F26" i="305"/>
  <c r="G26" i="305"/>
  <c r="H26" i="305"/>
  <c r="I26" i="305"/>
  <c r="G29" i="305"/>
  <c r="E29" i="305"/>
  <c r="G25" i="305"/>
  <c r="E25" i="305"/>
  <c r="G28" i="273"/>
  <c r="E28" i="273"/>
  <c r="E3" i="306"/>
  <c r="E2" i="306"/>
  <c r="E4" i="306"/>
  <c r="E72" i="305"/>
  <c r="G72" i="305"/>
  <c r="E49" i="273"/>
  <c r="F49" i="273"/>
  <c r="G49" i="273"/>
  <c r="H49" i="273"/>
  <c r="I49" i="273"/>
  <c r="E49" i="305"/>
  <c r="F49" i="305"/>
  <c r="G49" i="305"/>
  <c r="H49" i="305"/>
  <c r="I49" i="305"/>
  <c r="E41" i="305"/>
  <c r="F41" i="305"/>
  <c r="G41" i="305"/>
  <c r="I41" i="305"/>
  <c r="F89" i="305"/>
  <c r="G89" i="305"/>
  <c r="E40" i="305"/>
  <c r="F40" i="305"/>
  <c r="G40" i="305"/>
  <c r="I40" i="305"/>
  <c r="E39" i="305"/>
  <c r="F39" i="305"/>
  <c r="G39" i="305"/>
  <c r="I39" i="305"/>
  <c r="E38" i="305"/>
  <c r="F38" i="305"/>
  <c r="G38" i="305"/>
  <c r="I38" i="305"/>
  <c r="G48" i="305"/>
  <c r="F48" i="305"/>
  <c r="E48" i="305"/>
  <c r="G47" i="305"/>
  <c r="E47" i="305"/>
  <c r="G46" i="305"/>
  <c r="E46" i="305"/>
  <c r="G45" i="305"/>
  <c r="E45" i="305"/>
  <c r="G44" i="305"/>
  <c r="E44" i="305"/>
  <c r="I19" i="282"/>
  <c r="G19" i="282"/>
  <c r="F19" i="282"/>
  <c r="E19" i="282"/>
  <c r="E60" i="273"/>
  <c r="G60" i="273"/>
  <c r="E54" i="273"/>
  <c r="F54" i="273"/>
  <c r="G54" i="273"/>
  <c r="I54" i="273"/>
  <c r="E162" i="273"/>
  <c r="F162" i="273"/>
  <c r="G162" i="273"/>
  <c r="I158" i="273"/>
  <c r="H158" i="273"/>
  <c r="G158" i="273"/>
  <c r="F158" i="273"/>
  <c r="E158" i="273"/>
  <c r="E123" i="273"/>
  <c r="F123" i="273"/>
  <c r="G123" i="273"/>
  <c r="E122" i="273"/>
  <c r="F122" i="273"/>
  <c r="G122" i="273"/>
  <c r="I122" i="273"/>
  <c r="G118" i="273"/>
  <c r="E118" i="273"/>
  <c r="I119" i="273"/>
  <c r="H119" i="273"/>
  <c r="G119" i="273"/>
  <c r="F119" i="273"/>
  <c r="E119" i="273"/>
  <c r="G113" i="273"/>
  <c r="E105" i="273"/>
  <c r="F105" i="273"/>
  <c r="G105" i="273"/>
  <c r="F104" i="273"/>
  <c r="G104" i="273"/>
  <c r="I104" i="273"/>
  <c r="E89" i="273"/>
  <c r="F89" i="273"/>
  <c r="G89" i="273"/>
  <c r="E85" i="273"/>
  <c r="F85" i="273"/>
  <c r="G85" i="273"/>
  <c r="E84" i="273"/>
  <c r="F84" i="273"/>
  <c r="G84" i="273"/>
  <c r="I84" i="273"/>
  <c r="E75" i="273"/>
  <c r="F75" i="273"/>
  <c r="G75" i="273"/>
  <c r="G79" i="273"/>
  <c r="H80" i="273"/>
  <c r="G80" i="273"/>
  <c r="F80" i="273"/>
  <c r="E80" i="273"/>
  <c r="E93" i="273"/>
  <c r="G93" i="273"/>
  <c r="E81" i="305"/>
  <c r="F81" i="305"/>
  <c r="G81" i="305"/>
  <c r="E80" i="305"/>
  <c r="F80" i="305"/>
  <c r="G80" i="305"/>
  <c r="I80" i="305"/>
  <c r="G75" i="305"/>
  <c r="E75" i="305"/>
  <c r="H76" i="305"/>
  <c r="G76" i="305"/>
  <c r="F76" i="305"/>
  <c r="E76" i="305"/>
  <c r="G71" i="305"/>
  <c r="E71" i="305"/>
  <c r="E67" i="305"/>
  <c r="F67" i="305"/>
  <c r="G67" i="305"/>
  <c r="E63" i="305"/>
  <c r="F63" i="305"/>
  <c r="G63" i="305"/>
  <c r="H63" i="305"/>
  <c r="G62" i="305"/>
  <c r="E62" i="305"/>
  <c r="E2" i="305"/>
  <c r="E22" i="305"/>
  <c r="F22" i="305"/>
  <c r="G22" i="305"/>
  <c r="H22" i="305"/>
  <c r="I22" i="305"/>
  <c r="I18" i="305"/>
  <c r="G18" i="305"/>
  <c r="F18" i="305"/>
  <c r="E18" i="305"/>
  <c r="G17" i="305"/>
  <c r="E17" i="305"/>
  <c r="G9" i="304"/>
  <c r="E9" i="304"/>
  <c r="E5" i="304"/>
  <c r="E4" i="304"/>
  <c r="E3" i="304"/>
  <c r="E2" i="304"/>
  <c r="M2" i="48"/>
  <c r="E5" i="278"/>
  <c r="E4" i="278"/>
  <c r="E3" i="278"/>
  <c r="E2" i="278"/>
  <c r="E5" i="273"/>
  <c r="E4" i="273"/>
  <c r="E3" i="273"/>
  <c r="E2" i="273"/>
  <c r="L2" i="48"/>
  <c r="G19" i="289"/>
  <c r="E19" i="289"/>
  <c r="E114" i="278"/>
  <c r="F114" i="278"/>
  <c r="G114" i="278"/>
  <c r="H114" i="278"/>
  <c r="I114" i="278"/>
  <c r="E52" i="289"/>
  <c r="F52" i="289"/>
  <c r="G52" i="289"/>
  <c r="E5" i="289"/>
  <c r="E4" i="289"/>
  <c r="E3" i="289"/>
  <c r="E2" i="289"/>
  <c r="G210" i="278"/>
  <c r="E210" i="278"/>
  <c r="G160" i="278"/>
  <c r="E160" i="278"/>
  <c r="F116" i="277"/>
  <c r="I223" i="278"/>
  <c r="F223" i="278"/>
  <c r="E223" i="278"/>
  <c r="E224" i="278"/>
  <c r="F224" i="278"/>
  <c r="I224" i="278"/>
  <c r="E218" i="278"/>
  <c r="F218" i="278"/>
  <c r="H218" i="278"/>
  <c r="I218" i="278"/>
  <c r="I217" i="278"/>
  <c r="F217" i="278"/>
  <c r="E217" i="278"/>
  <c r="E216" i="278"/>
  <c r="F216" i="278"/>
  <c r="H216" i="278"/>
  <c r="I216" i="278"/>
  <c r="E213" i="278"/>
  <c r="F213" i="278"/>
  <c r="I213" i="278"/>
  <c r="G224" i="278"/>
  <c r="I211" i="278"/>
  <c r="H211" i="278"/>
  <c r="G211" i="278"/>
  <c r="F211" i="278"/>
  <c r="E211" i="278"/>
  <c r="F118" i="269"/>
  <c r="E166" i="278"/>
  <c r="F166" i="278"/>
  <c r="H166" i="278"/>
  <c r="I166" i="278"/>
  <c r="I172" i="278"/>
  <c r="F172" i="278"/>
  <c r="E172" i="278"/>
  <c r="I167" i="278"/>
  <c r="F167" i="278"/>
  <c r="E167" i="278"/>
  <c r="E168" i="278"/>
  <c r="F168" i="278"/>
  <c r="H168" i="278"/>
  <c r="I168" i="278"/>
  <c r="I161" i="278"/>
  <c r="H161" i="278"/>
  <c r="G161" i="278"/>
  <c r="F161" i="278"/>
  <c r="E161" i="278"/>
  <c r="E163" i="278"/>
  <c r="F163" i="278"/>
  <c r="I163" i="278"/>
  <c r="G74" i="282"/>
  <c r="E74" i="282"/>
  <c r="G9" i="282"/>
  <c r="E9" i="282"/>
  <c r="G64" i="282"/>
  <c r="E63" i="282"/>
  <c r="F63" i="282"/>
  <c r="I63" i="282"/>
  <c r="I62" i="282"/>
  <c r="F62" i="282"/>
  <c r="E62" i="282"/>
  <c r="G56" i="282"/>
  <c r="G68" i="282"/>
  <c r="G60" i="282"/>
  <c r="G63" i="282"/>
  <c r="E58" i="282"/>
  <c r="F58" i="282"/>
  <c r="I58" i="282"/>
  <c r="G53" i="282"/>
  <c r="G62" i="282"/>
  <c r="G70" i="282"/>
  <c r="G67" i="282"/>
  <c r="G40" i="282"/>
  <c r="E28" i="282"/>
  <c r="F28" i="282"/>
  <c r="I28" i="282"/>
  <c r="E11" i="282"/>
  <c r="F11" i="282"/>
  <c r="G11" i="282"/>
  <c r="I11" i="282"/>
  <c r="E23" i="282"/>
  <c r="F23" i="282"/>
  <c r="I23" i="282"/>
  <c r="G12" i="282"/>
  <c r="G115" i="282"/>
  <c r="E10" i="282"/>
  <c r="F10" i="282"/>
  <c r="H10" i="282"/>
  <c r="I10" i="282"/>
  <c r="G24" i="282"/>
  <c r="G21" i="282"/>
  <c r="G10" i="282"/>
  <c r="G76" i="282"/>
  <c r="F144" i="269"/>
  <c r="I244" i="273"/>
  <c r="H244" i="273"/>
  <c r="G244" i="273"/>
  <c r="F244" i="273"/>
  <c r="E244" i="273"/>
  <c r="I245" i="273"/>
  <c r="H245" i="273"/>
  <c r="G245" i="273"/>
  <c r="F245" i="273"/>
  <c r="E245" i="273"/>
  <c r="F119" i="277"/>
  <c r="F148" i="269"/>
  <c r="E148" i="269"/>
  <c r="G16" i="269"/>
  <c r="E75" i="286"/>
  <c r="F75" i="286"/>
  <c r="I75" i="286"/>
  <c r="F35" i="277"/>
  <c r="I55" i="286"/>
  <c r="F55" i="286"/>
  <c r="E55" i="286"/>
  <c r="E47" i="286"/>
  <c r="F47" i="286"/>
  <c r="I47" i="286"/>
  <c r="E79" i="286"/>
  <c r="F79" i="286"/>
  <c r="H79" i="286"/>
  <c r="I79" i="286"/>
  <c r="E78" i="286"/>
  <c r="F78" i="286"/>
  <c r="H78" i="286"/>
  <c r="I78" i="286"/>
  <c r="E74" i="286"/>
  <c r="F74" i="286"/>
  <c r="H74" i="286"/>
  <c r="I74" i="286"/>
  <c r="I71" i="286"/>
  <c r="F71" i="286"/>
  <c r="E71" i="286"/>
  <c r="F70" i="286"/>
  <c r="H70" i="286"/>
  <c r="I70" i="286"/>
  <c r="E21" i="286"/>
  <c r="F21" i="286"/>
  <c r="I21" i="286"/>
  <c r="I15" i="286"/>
  <c r="G15" i="286"/>
  <c r="F15" i="286"/>
  <c r="E15" i="286"/>
  <c r="E13" i="286"/>
  <c r="F13" i="286"/>
  <c r="G13" i="286"/>
  <c r="H13" i="286"/>
  <c r="I13" i="286"/>
  <c r="E126" i="277"/>
  <c r="E102" i="277"/>
  <c r="F102" i="277"/>
  <c r="F13" i="277"/>
  <c r="E26" i="285"/>
  <c r="F26" i="285"/>
  <c r="G17" i="285"/>
  <c r="I26" i="285"/>
  <c r="G23" i="285"/>
  <c r="E16" i="285"/>
  <c r="F16" i="285"/>
  <c r="G16" i="285"/>
  <c r="I16" i="285"/>
  <c r="G114" i="273"/>
  <c r="E114" i="273"/>
  <c r="G14" i="285"/>
  <c r="E14" i="285"/>
  <c r="G115" i="273"/>
  <c r="E115" i="273"/>
  <c r="G15" i="285"/>
  <c r="E15" i="285"/>
  <c r="G112" i="278"/>
  <c r="E112" i="278"/>
  <c r="E113" i="278"/>
  <c r="G113" i="278"/>
  <c r="F9" i="277"/>
  <c r="I70" i="278"/>
  <c r="G70" i="278"/>
  <c r="F70" i="278"/>
  <c r="E70" i="278"/>
  <c r="E68" i="278"/>
  <c r="F68" i="278"/>
  <c r="G68" i="278"/>
  <c r="I68" i="278"/>
  <c r="G66" i="278"/>
  <c r="G65" i="278"/>
  <c r="E65" i="278"/>
  <c r="E30" i="278"/>
  <c r="G30" i="278"/>
  <c r="I18" i="278"/>
  <c r="G18" i="278"/>
  <c r="F18" i="278"/>
  <c r="E18" i="278"/>
  <c r="E17" i="278"/>
  <c r="F17" i="278"/>
  <c r="G17" i="278"/>
  <c r="H17" i="278"/>
  <c r="I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E107" i="277"/>
  <c r="F107" i="277"/>
  <c r="E128" i="277"/>
  <c r="F128" i="277"/>
  <c r="E54" i="286"/>
  <c r="F54" i="286"/>
  <c r="I54" i="286"/>
  <c r="E46" i="286"/>
  <c r="F46" i="286"/>
  <c r="I46" i="286"/>
  <c r="G14" i="275"/>
  <c r="J8" i="275"/>
  <c r="J11" i="275"/>
  <c r="K8" i="275"/>
  <c r="K11" i="275"/>
  <c r="L8" i="275"/>
  <c r="L11" i="275"/>
  <c r="M8" i="275"/>
  <c r="M11" i="275"/>
  <c r="N8" i="275"/>
  <c r="N11" i="275"/>
  <c r="O8" i="275"/>
  <c r="O11" i="275"/>
  <c r="P8" i="275"/>
  <c r="P11" i="275"/>
  <c r="Q8" i="275"/>
  <c r="Q11" i="275"/>
  <c r="R8" i="275"/>
  <c r="R11" i="275"/>
  <c r="S8" i="275"/>
  <c r="S11" i="275"/>
  <c r="T8" i="275"/>
  <c r="T11" i="275"/>
  <c r="U8" i="275"/>
  <c r="U11" i="275"/>
  <c r="V8" i="275"/>
  <c r="V11" i="275"/>
  <c r="W8" i="275"/>
  <c r="W11" i="275"/>
  <c r="X8" i="275"/>
  <c r="X11" i="275"/>
  <c r="Y8" i="275"/>
  <c r="Y11" i="275"/>
  <c r="Z8" i="275"/>
  <c r="Z11" i="275"/>
  <c r="AA8" i="275"/>
  <c r="AA11" i="275"/>
  <c r="AB8" i="275"/>
  <c r="AB11" i="275"/>
  <c r="AC8" i="275"/>
  <c r="AC11" i="275"/>
  <c r="AD8" i="275"/>
  <c r="AD11" i="275"/>
  <c r="AE8" i="275"/>
  <c r="AE11" i="275"/>
  <c r="AF8" i="275"/>
  <c r="AF11" i="275"/>
  <c r="AG8" i="275"/>
  <c r="AG11" i="275"/>
  <c r="AH8" i="275"/>
  <c r="AH11" i="275"/>
  <c r="AI8" i="275"/>
  <c r="AI11" i="275"/>
  <c r="AJ8" i="275"/>
  <c r="AJ11" i="275"/>
  <c r="AK8" i="275"/>
  <c r="AK11" i="275"/>
  <c r="AL8" i="275"/>
  <c r="AL11" i="275"/>
  <c r="AM8" i="275"/>
  <c r="AM11" i="275"/>
  <c r="AN8" i="275"/>
  <c r="AN11" i="275"/>
  <c r="AO8" i="275"/>
  <c r="AO11" i="275"/>
  <c r="AP8" i="275"/>
  <c r="AP11" i="275"/>
  <c r="AQ8" i="275"/>
  <c r="AQ11" i="275"/>
  <c r="AR8" i="275"/>
  <c r="AR11" i="275"/>
  <c r="AS8" i="275"/>
  <c r="AS11" i="275"/>
  <c r="AT8" i="275"/>
  <c r="AT11" i="275"/>
  <c r="AU8" i="275"/>
  <c r="AU11" i="275"/>
  <c r="AV8" i="275"/>
  <c r="AV11" i="275"/>
  <c r="AW8" i="275"/>
  <c r="AW11" i="275"/>
  <c r="AX8" i="275"/>
  <c r="AX11" i="275"/>
  <c r="AY8" i="275"/>
  <c r="AY11" i="275"/>
  <c r="AZ8" i="275"/>
  <c r="AZ11" i="275"/>
  <c r="BA8" i="275"/>
  <c r="BA11" i="275"/>
  <c r="BB8" i="275"/>
  <c r="BB11" i="275"/>
  <c r="BC8" i="275"/>
  <c r="BC11" i="275"/>
  <c r="BD8" i="275"/>
  <c r="BD11" i="275"/>
  <c r="BE8" i="275"/>
  <c r="BE11" i="275"/>
  <c r="BF8" i="275"/>
  <c r="BF11" i="275"/>
  <c r="BG8" i="275"/>
  <c r="BG11" i="275"/>
  <c r="BH8" i="275"/>
  <c r="BH11" i="275"/>
  <c r="BI8" i="275"/>
  <c r="BI11" i="275"/>
  <c r="BJ8" i="275"/>
  <c r="BJ11" i="275"/>
  <c r="BK8" i="275"/>
  <c r="BK11" i="275"/>
  <c r="BL8" i="275"/>
  <c r="BL11" i="275"/>
  <c r="BM8" i="275"/>
  <c r="BM11" i="275"/>
  <c r="BN8" i="275"/>
  <c r="BN11" i="275"/>
  <c r="BO8" i="275"/>
  <c r="BO11" i="275"/>
  <c r="BP8" i="275"/>
  <c r="BP11" i="275"/>
  <c r="BQ8" i="275"/>
  <c r="BQ11" i="275"/>
  <c r="BR8" i="275"/>
  <c r="BR11" i="275"/>
  <c r="BS8" i="275"/>
  <c r="BS11" i="275"/>
  <c r="BT8" i="275"/>
  <c r="BT11" i="275"/>
  <c r="BU8" i="275"/>
  <c r="BU11" i="275"/>
  <c r="BV8" i="275"/>
  <c r="BV11" i="275"/>
  <c r="BW8" i="275"/>
  <c r="BW11" i="275"/>
  <c r="BX8" i="275"/>
  <c r="BX11" i="275"/>
  <c r="BY8" i="275"/>
  <c r="BY11" i="275"/>
  <c r="BZ8" i="275"/>
  <c r="BZ11" i="275"/>
  <c r="CA8" i="275"/>
  <c r="CA11" i="275"/>
  <c r="CB8" i="275"/>
  <c r="CB11" i="275"/>
  <c r="CC8" i="275"/>
  <c r="CC11" i="275"/>
  <c r="CD8" i="275"/>
  <c r="CD11" i="275"/>
  <c r="CE8" i="275"/>
  <c r="CE11" i="275"/>
  <c r="CF8" i="275"/>
  <c r="CF11" i="275"/>
  <c r="CG8" i="275"/>
  <c r="CG11" i="275"/>
  <c r="CH8" i="275"/>
  <c r="CH11" i="275"/>
  <c r="CI8" i="275"/>
  <c r="CI11" i="275"/>
  <c r="CJ8" i="275"/>
  <c r="CJ11" i="275"/>
  <c r="CK8" i="275"/>
  <c r="CK11" i="275"/>
  <c r="CL8" i="275"/>
  <c r="CL11" i="275"/>
  <c r="CM8" i="275"/>
  <c r="CM11" i="275"/>
  <c r="CN8" i="275"/>
  <c r="CN11" i="275"/>
  <c r="CO8" i="275"/>
  <c r="CO11" i="275"/>
  <c r="CP8" i="275"/>
  <c r="CP11" i="275"/>
  <c r="CQ8" i="275"/>
  <c r="CQ11" i="275"/>
  <c r="CR8" i="275"/>
  <c r="CR11" i="275"/>
  <c r="CS8" i="275"/>
  <c r="CS11" i="275"/>
  <c r="CT8" i="275"/>
  <c r="CT11" i="275"/>
  <c r="CU8" i="275"/>
  <c r="CU11" i="275"/>
  <c r="CV8" i="275"/>
  <c r="CV11" i="275"/>
  <c r="E109" i="273"/>
  <c r="F109" i="273"/>
  <c r="G109" i="273"/>
  <c r="G95" i="273"/>
  <c r="E95" i="273"/>
  <c r="G96" i="265"/>
  <c r="G171" i="269"/>
  <c r="F171" i="269"/>
  <c r="F168" i="269"/>
  <c r="F124" i="269"/>
  <c r="G36" i="265"/>
  <c r="G113" i="269"/>
  <c r="G15" i="265"/>
  <c r="G94" i="269"/>
  <c r="I238" i="273"/>
  <c r="G238" i="273"/>
  <c r="F238" i="273"/>
  <c r="E238" i="273"/>
  <c r="I233" i="273"/>
  <c r="G233" i="273"/>
  <c r="F233" i="273"/>
  <c r="E233" i="273"/>
  <c r="G99" i="273"/>
  <c r="E99" i="273"/>
  <c r="G10" i="278"/>
  <c r="E10" i="278"/>
  <c r="E56" i="273"/>
  <c r="F56" i="273"/>
  <c r="G56" i="273"/>
  <c r="I56" i="273"/>
  <c r="E32" i="278"/>
  <c r="F32" i="278"/>
  <c r="G32" i="278"/>
  <c r="H32" i="278"/>
  <c r="I32" i="278"/>
  <c r="E33" i="278"/>
  <c r="G33" i="278"/>
  <c r="I33" i="278"/>
  <c r="G42" i="273"/>
  <c r="E42" i="273"/>
  <c r="G96" i="273"/>
  <c r="E96" i="273"/>
  <c r="G94" i="273"/>
  <c r="E94" i="273"/>
  <c r="G20" i="275"/>
  <c r="G17" i="275"/>
  <c r="I55" i="273"/>
  <c r="G55" i="273"/>
  <c r="F55" i="273"/>
  <c r="E55" i="273"/>
  <c r="E5" i="288"/>
  <c r="E4" i="288"/>
  <c r="E3" i="288"/>
  <c r="E2" i="288"/>
  <c r="G17" i="273"/>
  <c r="E17" i="273"/>
  <c r="E237" i="273"/>
  <c r="F237" i="273"/>
  <c r="G237" i="273"/>
  <c r="G232" i="273"/>
  <c r="E232" i="273"/>
  <c r="H23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G15" i="264"/>
  <c r="E15" i="264"/>
  <c r="G13" i="264"/>
  <c r="E13" i="264"/>
  <c r="H177" i="269"/>
  <c r="H176" i="269"/>
  <c r="H2" i="269"/>
  <c r="I135" i="277"/>
  <c r="H135" i="277"/>
  <c r="F135" i="277"/>
  <c r="E135" i="277"/>
  <c r="I134" i="277"/>
  <c r="H134" i="277"/>
  <c r="F134" i="277"/>
  <c r="E134" i="277"/>
  <c r="G129" i="277"/>
  <c r="G135" i="277"/>
  <c r="G114" i="277"/>
  <c r="G134" i="277"/>
  <c r="G112" i="277"/>
  <c r="G104" i="277"/>
  <c r="G96" i="277"/>
  <c r="G93" i="277"/>
  <c r="G47" i="277"/>
  <c r="G36" i="277"/>
  <c r="G33" i="277"/>
  <c r="G29" i="277"/>
  <c r="G15" i="277"/>
  <c r="G11" i="277"/>
  <c r="E5" i="277"/>
  <c r="E4" i="277"/>
  <c r="E3" i="277"/>
  <c r="E2" i="277"/>
  <c r="E135" i="265"/>
  <c r="E134" i="265"/>
  <c r="G129" i="265"/>
  <c r="G135" i="265"/>
  <c r="G114" i="265"/>
  <c r="G134" i="265"/>
  <c r="G112" i="265"/>
  <c r="G104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5"/>
  <c r="E4" i="285"/>
  <c r="E3" i="285"/>
  <c r="E2" i="285"/>
  <c r="I63" i="273"/>
  <c r="H63" i="273"/>
  <c r="G63" i="273"/>
  <c r="F63" i="273"/>
  <c r="E63" i="273"/>
  <c r="G62" i="273"/>
  <c r="E62" i="273"/>
  <c r="G61" i="273"/>
  <c r="E61" i="273"/>
  <c r="G59" i="273"/>
  <c r="E59" i="273"/>
  <c r="I48" i="273"/>
  <c r="H48" i="273"/>
  <c r="G48" i="273"/>
  <c r="F48" i="273"/>
  <c r="E48" i="273"/>
  <c r="I47" i="273"/>
  <c r="H47" i="273"/>
  <c r="G47" i="273"/>
  <c r="F47" i="273"/>
  <c r="E47" i="273"/>
  <c r="I44" i="273"/>
  <c r="G44" i="273"/>
  <c r="F44" i="273"/>
  <c r="E44" i="273"/>
  <c r="G43" i="273"/>
  <c r="E43" i="273"/>
  <c r="I100" i="273"/>
  <c r="H100" i="273"/>
  <c r="G100" i="273"/>
  <c r="F100" i="273"/>
  <c r="E100" i="273"/>
  <c r="H71" i="273"/>
  <c r="G71" i="273"/>
  <c r="F71" i="273"/>
  <c r="E71" i="273"/>
  <c r="G70" i="273"/>
  <c r="E70" i="273"/>
  <c r="I35" i="273"/>
  <c r="G35" i="273"/>
  <c r="F35" i="273"/>
  <c r="E35" i="273"/>
  <c r="I34" i="273"/>
  <c r="G34" i="273"/>
  <c r="F34" i="273"/>
  <c r="E34" i="273"/>
  <c r="G32" i="273"/>
  <c r="E32" i="273"/>
  <c r="I29" i="273"/>
  <c r="H29" i="273"/>
  <c r="G29" i="273"/>
  <c r="F29" i="273"/>
  <c r="E29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S2" i="48"/>
  <c r="Q2" i="48"/>
  <c r="P2" i="48"/>
  <c r="O2" i="48"/>
  <c r="K2" i="48"/>
  <c r="H33" i="278"/>
  <c r="E132" i="269"/>
  <c r="E49" i="315"/>
  <c r="G14" i="307"/>
  <c r="G49" i="288"/>
  <c r="G28" i="307"/>
  <c r="E95" i="277"/>
  <c r="E50" i="315"/>
  <c r="G24" i="307"/>
  <c r="G85" i="306"/>
  <c r="E47" i="315"/>
  <c r="E439" i="307"/>
  <c r="G80" i="306"/>
  <c r="G13" i="307"/>
  <c r="H22" i="306"/>
  <c r="G47" i="286"/>
  <c r="E104" i="269"/>
  <c r="G74" i="286"/>
  <c r="E55" i="277"/>
  <c r="F155" i="269"/>
  <c r="E60" i="315"/>
  <c r="G52" i="288"/>
  <c r="J5" i="285"/>
  <c r="E128" i="269"/>
  <c r="J5" i="273"/>
  <c r="J5" i="286"/>
  <c r="J5" i="288"/>
  <c r="J5" i="309"/>
  <c r="J5" i="282"/>
  <c r="J5" i="304"/>
  <c r="E39" i="307"/>
  <c r="G50" i="288"/>
  <c r="G118" i="288"/>
  <c r="G91" i="315"/>
  <c r="G48" i="314"/>
  <c r="G71" i="307"/>
  <c r="G102" i="288"/>
  <c r="E73" i="277"/>
  <c r="E166" i="269"/>
  <c r="G9" i="307"/>
  <c r="J5" i="278"/>
  <c r="J5" i="314"/>
  <c r="G48" i="288"/>
  <c r="F49" i="277"/>
  <c r="G29" i="307"/>
  <c r="E33" i="315"/>
  <c r="J5" i="275"/>
  <c r="J5" i="289"/>
  <c r="G39" i="286"/>
  <c r="E59" i="315"/>
  <c r="E101" i="269"/>
  <c r="G83" i="314"/>
  <c r="J5" i="315"/>
  <c r="G15" i="307"/>
  <c r="G167" i="278"/>
  <c r="E93" i="269"/>
  <c r="G67" i="277"/>
  <c r="E134" i="269"/>
  <c r="G241" i="306"/>
  <c r="G84" i="306"/>
  <c r="G282" i="278"/>
  <c r="G216" i="278"/>
  <c r="G217" i="278"/>
  <c r="E131" i="269"/>
  <c r="F54" i="277"/>
  <c r="G191" i="278"/>
  <c r="F60" i="277"/>
  <c r="G83" i="306"/>
  <c r="G235" i="288"/>
  <c r="J28" i="314"/>
  <c r="J259" i="278"/>
  <c r="E112" i="269"/>
  <c r="G414" i="307"/>
  <c r="E52" i="277"/>
  <c r="E98" i="269"/>
  <c r="H16" i="306"/>
  <c r="G122" i="314"/>
  <c r="G149" i="314"/>
  <c r="G10" i="307"/>
  <c r="E48" i="315"/>
  <c r="E50" i="277"/>
  <c r="F73" i="277"/>
  <c r="H24" i="275"/>
  <c r="F17" i="277"/>
  <c r="F27" i="277"/>
  <c r="E88" i="269"/>
  <c r="E9" i="277"/>
  <c r="G286" i="307"/>
  <c r="G247" i="306"/>
  <c r="E139" i="269"/>
  <c r="E62" i="277"/>
  <c r="F167" i="269"/>
  <c r="F92" i="277"/>
  <c r="E167" i="269"/>
  <c r="E92" i="277"/>
  <c r="E136" i="269"/>
  <c r="E59" i="277"/>
  <c r="E150" i="269"/>
  <c r="E75" i="277"/>
  <c r="E102" i="269"/>
  <c r="F23" i="277"/>
  <c r="E105" i="269"/>
  <c r="E155" i="269"/>
  <c r="E156" i="269"/>
  <c r="F59" i="277"/>
  <c r="F43" i="277"/>
  <c r="F67" i="277"/>
  <c r="F79" i="277"/>
  <c r="F63" i="277"/>
  <c r="F28" i="277"/>
  <c r="E170" i="269"/>
  <c r="G444" i="307"/>
  <c r="E71" i="277"/>
  <c r="F64" i="277"/>
  <c r="G106" i="288"/>
  <c r="E63" i="277"/>
  <c r="G58" i="315"/>
  <c r="G60" i="315"/>
  <c r="F131" i="269"/>
  <c r="F50" i="277"/>
  <c r="G285" i="307"/>
  <c r="E133" i="269"/>
  <c r="F134" i="269"/>
  <c r="G586" i="307"/>
  <c r="G585" i="307"/>
  <c r="G250" i="307"/>
  <c r="G473" i="307"/>
  <c r="G25" i="307"/>
  <c r="F128" i="269"/>
  <c r="F133" i="269"/>
  <c r="E54" i="277"/>
  <c r="G558" i="307"/>
  <c r="G460" i="307"/>
  <c r="J30" i="305"/>
  <c r="G447" i="307"/>
  <c r="G53" i="314"/>
  <c r="G281" i="307"/>
  <c r="G132" i="288"/>
  <c r="G16" i="307"/>
  <c r="G86" i="306"/>
  <c r="G127" i="314"/>
  <c r="G142" i="286"/>
  <c r="G523" i="307"/>
  <c r="G135" i="314"/>
  <c r="G132" i="286"/>
  <c r="E27" i="277"/>
  <c r="E51" i="277"/>
  <c r="E91" i="277"/>
  <c r="J130" i="307"/>
  <c r="E24" i="277"/>
  <c r="E35" i="277"/>
  <c r="E127" i="269"/>
  <c r="E129" i="269"/>
  <c r="E25" i="277"/>
  <c r="J136" i="314"/>
  <c r="J50" i="314"/>
  <c r="J57" i="314"/>
  <c r="J129" i="314"/>
  <c r="E28" i="277"/>
  <c r="E126" i="269"/>
  <c r="E49" i="277"/>
  <c r="I214" i="48" a="1"/>
  <c r="I214" i="48"/>
  <c r="E21" i="277"/>
  <c r="J63" i="286"/>
  <c r="K5" i="315"/>
  <c r="K5" i="309"/>
  <c r="K5" i="289"/>
  <c r="K5" i="288"/>
  <c r="K5" i="278"/>
  <c r="K5" i="273"/>
  <c r="K5" i="282"/>
  <c r="K5" i="314"/>
  <c r="K5" i="285"/>
  <c r="K5" i="275"/>
  <c r="K5" i="286"/>
  <c r="K5" i="304"/>
  <c r="G28" i="277"/>
  <c r="L30" i="305"/>
  <c r="K30" i="305"/>
  <c r="J131" i="307"/>
  <c r="J135" i="307"/>
  <c r="M30" i="305"/>
  <c r="N30" i="305"/>
  <c r="O30" i="305"/>
  <c r="P30" i="305"/>
  <c r="Q30" i="305"/>
  <c r="R30" i="305"/>
  <c r="S30" i="305"/>
  <c r="T30" i="305"/>
  <c r="U30" i="305"/>
  <c r="V30" i="305"/>
  <c r="W30" i="305"/>
  <c r="X30" i="305"/>
  <c r="Y30" i="305"/>
  <c r="Z30" i="305"/>
  <c r="AA30" i="305"/>
  <c r="AB30" i="305"/>
  <c r="AC30" i="305"/>
  <c r="AD30" i="305"/>
  <c r="AE30" i="305"/>
  <c r="AF30" i="305"/>
  <c r="AG30" i="305"/>
  <c r="AH30" i="305"/>
  <c r="AI30" i="305"/>
  <c r="AJ30" i="305"/>
  <c r="AK30" i="305"/>
  <c r="AL30" i="305"/>
  <c r="AM30" i="305"/>
  <c r="AN30" i="305"/>
  <c r="AO30" i="305"/>
  <c r="AP30" i="305"/>
  <c r="AQ30" i="305"/>
  <c r="AR30" i="305"/>
  <c r="AS30" i="305"/>
  <c r="AT30" i="305"/>
  <c r="AU30" i="305"/>
  <c r="AV30" i="305"/>
  <c r="AW30" i="305"/>
  <c r="AX30" i="305"/>
  <c r="AY30" i="305"/>
  <c r="AZ30" i="305"/>
  <c r="BA30" i="305"/>
  <c r="BB30" i="305"/>
  <c r="BC30" i="305"/>
  <c r="BD30" i="305"/>
  <c r="BE30" i="305"/>
  <c r="H30" i="305"/>
  <c r="H38" i="305"/>
  <c r="H54" i="305"/>
  <c r="H282" i="307"/>
  <c r="H18" i="305"/>
  <c r="CV117" i="288"/>
  <c r="CV267" i="288"/>
  <c r="G104" i="306"/>
  <c r="G36" i="314"/>
  <c r="G244" i="307"/>
  <c r="G34" i="282"/>
  <c r="G56" i="269"/>
  <c r="G83" i="269"/>
  <c r="G41" i="307"/>
  <c r="G78" i="314"/>
  <c r="G88" i="314"/>
  <c r="G213" i="278"/>
  <c r="G32" i="282"/>
  <c r="G70" i="314"/>
  <c r="G79" i="306"/>
  <c r="G23" i="307"/>
  <c r="G71" i="286"/>
  <c r="G235" i="306"/>
  <c r="G98" i="315"/>
  <c r="G87" i="314"/>
  <c r="G200" i="307"/>
  <c r="G199" i="307"/>
  <c r="G54" i="315"/>
  <c r="G24" i="315"/>
  <c r="G588" i="321"/>
  <c r="G521" i="321"/>
  <c r="G474" i="321"/>
  <c r="G446" i="321"/>
  <c r="G366" i="321"/>
  <c r="G361" i="321"/>
  <c r="G10" i="310"/>
  <c r="G50" i="269"/>
  <c r="G21" i="310"/>
  <c r="G59" i="269"/>
  <c r="G33" i="310"/>
  <c r="G71" i="269"/>
  <c r="K82" i="269"/>
  <c r="L82" i="269"/>
  <c r="G152" i="278"/>
  <c r="G153" i="278"/>
  <c r="G57" i="265"/>
  <c r="G134" i="269"/>
  <c r="G121" i="265"/>
  <c r="G121" i="277"/>
  <c r="G592" i="307"/>
  <c r="G593" i="307"/>
  <c r="G594" i="307"/>
  <c r="G206" i="306"/>
  <c r="G59" i="310"/>
  <c r="G23" i="328"/>
  <c r="G25" i="328"/>
  <c r="G69" i="315"/>
  <c r="G70" i="315"/>
  <c r="G59" i="315"/>
  <c r="G16" i="314"/>
  <c r="G27" i="314"/>
  <c r="G571" i="321"/>
  <c r="G358" i="307"/>
  <c r="G198" i="288"/>
  <c r="G66" i="288"/>
  <c r="G199" i="288"/>
  <c r="G120" i="288"/>
  <c r="G56" i="315"/>
  <c r="G449" i="307"/>
  <c r="G37" i="314"/>
  <c r="G46" i="286"/>
  <c r="G55" i="286"/>
  <c r="G170" i="307"/>
  <c r="G194" i="307"/>
  <c r="G106" i="307"/>
  <c r="G226" i="307"/>
  <c r="G518" i="321"/>
  <c r="G66" i="321"/>
  <c r="G31" i="310"/>
  <c r="G69" i="269"/>
  <c r="G377" i="307"/>
  <c r="G17" i="307"/>
  <c r="G217" i="306"/>
  <c r="G58" i="286"/>
  <c r="G38" i="286"/>
  <c r="G17" i="315"/>
  <c r="G270" i="288"/>
  <c r="F39" i="48"/>
  <c r="F81" i="278"/>
  <c r="G103" i="269"/>
  <c r="G26" i="277"/>
  <c r="G28" i="286"/>
  <c r="G51" i="288"/>
  <c r="G21" i="286"/>
  <c r="G112" i="315"/>
  <c r="G153" i="307"/>
  <c r="G631" i="321"/>
  <c r="G665" i="321"/>
  <c r="G61" i="315"/>
  <c r="G295" i="307"/>
  <c r="G665" i="307"/>
  <c r="G214" i="307"/>
  <c r="G177" i="307"/>
  <c r="G11" i="310"/>
  <c r="G51" i="269"/>
  <c r="G223" i="307"/>
  <c r="G120" i="307"/>
  <c r="G142" i="269"/>
  <c r="G10" i="321"/>
  <c r="G113" i="288"/>
  <c r="G85" i="288"/>
  <c r="G65" i="288"/>
  <c r="G20" i="328"/>
  <c r="G97" i="307"/>
  <c r="G62" i="307"/>
  <c r="G77" i="307"/>
  <c r="G295" i="278"/>
  <c r="G271" i="278"/>
  <c r="G190" i="307"/>
  <c r="G111" i="307"/>
  <c r="G517" i="321"/>
  <c r="G507" i="321"/>
  <c r="G131" i="269"/>
  <c r="G54" i="277"/>
  <c r="G97" i="286"/>
  <c r="G52" i="315"/>
  <c r="G145" i="321"/>
  <c r="G257" i="321"/>
  <c r="G78" i="321"/>
  <c r="G634" i="321"/>
  <c r="G643" i="321"/>
  <c r="G539" i="321"/>
  <c r="G572" i="321"/>
  <c r="G601" i="321"/>
  <c r="G563" i="321"/>
  <c r="G66" i="306"/>
  <c r="G311" i="48"/>
  <c r="G27" i="286"/>
  <c r="G14" i="286"/>
  <c r="G153" i="306"/>
  <c r="G253" i="306"/>
  <c r="G109" i="321"/>
  <c r="G103" i="321"/>
  <c r="G174" i="321"/>
  <c r="G139" i="321"/>
  <c r="G96" i="321"/>
  <c r="G159" i="321"/>
  <c r="G102" i="321"/>
  <c r="G263" i="307"/>
  <c r="G240" i="307"/>
  <c r="G168" i="269"/>
  <c r="G54" i="286"/>
  <c r="G238" i="278"/>
  <c r="G245" i="278"/>
  <c r="G84" i="265"/>
  <c r="G80" i="315"/>
  <c r="G294" i="307"/>
  <c r="G85" i="307"/>
  <c r="G453" i="307"/>
  <c r="G67" i="307"/>
  <c r="G452" i="307"/>
  <c r="G13" i="306"/>
  <c r="G75" i="286"/>
  <c r="G99" i="306"/>
  <c r="G162" i="314"/>
  <c r="G76" i="315"/>
  <c r="G116" i="314"/>
  <c r="G140" i="314"/>
  <c r="G247" i="307"/>
  <c r="G104" i="282"/>
  <c r="G36" i="282"/>
  <c r="G24" i="310"/>
  <c r="G62" i="269"/>
  <c r="G82" i="306"/>
  <c r="G39" i="310"/>
  <c r="G77" i="269"/>
  <c r="G26" i="307"/>
  <c r="G27" i="328"/>
  <c r="G172" i="278"/>
  <c r="G163" i="278"/>
  <c r="G522" i="307"/>
  <c r="G505" i="307"/>
  <c r="G256" i="288"/>
  <c r="G379" i="321"/>
  <c r="G395" i="321"/>
  <c r="G271" i="288"/>
  <c r="G118" i="315"/>
  <c r="G121" i="288"/>
  <c r="G122" i="265"/>
  <c r="G122" i="277"/>
  <c r="G68" i="307"/>
  <c r="G103" i="307"/>
  <c r="F40" i="48"/>
  <c r="F82" i="278"/>
  <c r="G57" i="315"/>
  <c r="G609" i="307"/>
  <c r="G79" i="288"/>
  <c r="G275" i="278"/>
  <c r="G27" i="307"/>
  <c r="G347" i="307"/>
  <c r="G82" i="321"/>
  <c r="G89" i="321"/>
  <c r="G108" i="321"/>
  <c r="F255" i="48"/>
  <c r="G58" i="277"/>
  <c r="G584" i="307"/>
  <c r="G23" i="314"/>
  <c r="G28" i="282"/>
  <c r="G75" i="277"/>
  <c r="G101" i="288"/>
  <c r="G142" i="288"/>
  <c r="G215" i="307"/>
  <c r="G284" i="307"/>
  <c r="G556" i="321"/>
  <c r="G234" i="321"/>
  <c r="G89" i="307"/>
  <c r="G625" i="307"/>
  <c r="G59" i="265"/>
  <c r="G600" i="307"/>
  <c r="G71" i="315"/>
  <c r="G271" i="321"/>
  <c r="G116" i="315"/>
  <c r="G120" i="265"/>
  <c r="G63" i="328"/>
  <c r="F205" i="48"/>
  <c r="F18" i="321"/>
  <c r="F98" i="314"/>
  <c r="F99" i="314"/>
  <c r="F101" i="314"/>
  <c r="I255" i="48" a="1"/>
  <c r="I255" i="48"/>
  <c r="F206" i="48"/>
  <c r="F19" i="321"/>
  <c r="F254" i="48"/>
  <c r="F216" i="321"/>
  <c r="F185" i="278"/>
  <c r="F494" i="321"/>
  <c r="I379" i="48" a="1"/>
  <c r="I379" i="48"/>
  <c r="F353" i="48"/>
  <c r="F31" i="314"/>
  <c r="I241" i="48" a="1"/>
  <c r="I241" i="48"/>
  <c r="F213" i="48"/>
  <c r="F26" i="321"/>
  <c r="A1" i="265"/>
  <c r="I372" i="48" a="1"/>
  <c r="I372" i="48"/>
  <c r="F217" i="48"/>
  <c r="F30" i="321"/>
  <c r="F209" i="48"/>
  <c r="F22" i="321"/>
  <c r="F201" i="48"/>
  <c r="F14" i="321"/>
  <c r="F251" i="48"/>
  <c r="I251" i="48" a="1"/>
  <c r="I251" i="48"/>
  <c r="F291" i="48"/>
  <c r="F327" i="321"/>
  <c r="I37" i="48" a="1"/>
  <c r="I37" i="48"/>
  <c r="F295" i="48"/>
  <c r="F189" i="273"/>
  <c r="J669" i="307"/>
  <c r="I246" i="48" a="1"/>
  <c r="I246" i="48"/>
  <c r="I205" i="48" a="1"/>
  <c r="I205" i="48"/>
  <c r="A1" i="275"/>
  <c r="F221" i="48"/>
  <c r="F34" i="321"/>
  <c r="F101" i="328"/>
  <c r="F102" i="328"/>
  <c r="M11" i="326"/>
  <c r="F263" i="48"/>
  <c r="F168" i="321"/>
  <c r="F218" i="48"/>
  <c r="F210" i="48"/>
  <c r="F23" i="321"/>
  <c r="F202" i="48"/>
  <c r="F15" i="321"/>
  <c r="F250" i="48"/>
  <c r="F212" i="321"/>
  <c r="F290" i="48"/>
  <c r="F326" i="321"/>
  <c r="I36" i="48" a="1"/>
  <c r="I36" i="48"/>
  <c r="J644" i="307"/>
  <c r="F160" i="48"/>
  <c r="F253" i="273"/>
  <c r="F249" i="48"/>
  <c r="F211" i="321"/>
  <c r="F286" i="48"/>
  <c r="F322" i="321"/>
  <c r="I280" i="48" a="1"/>
  <c r="I280" i="48"/>
  <c r="I266" i="48" a="1"/>
  <c r="I266" i="48"/>
  <c r="I77" i="48" a="1"/>
  <c r="I77" i="48"/>
  <c r="A1" i="311"/>
  <c r="F224" i="48"/>
  <c r="F37" i="321"/>
  <c r="I129" i="48" a="1"/>
  <c r="I129" i="48"/>
  <c r="F28" i="48"/>
  <c r="F303" i="48"/>
  <c r="F280" i="321"/>
  <c r="F219" i="48"/>
  <c r="F32" i="321"/>
  <c r="F215" i="48"/>
  <c r="F28" i="321"/>
  <c r="F211" i="48"/>
  <c r="F207" i="48"/>
  <c r="F203" i="48"/>
  <c r="F16" i="321"/>
  <c r="F253" i="48"/>
  <c r="F215" i="321"/>
  <c r="F289" i="48"/>
  <c r="F325" i="321"/>
  <c r="F293" i="48"/>
  <c r="F329" i="321"/>
  <c r="F373" i="48"/>
  <c r="F13" i="288"/>
  <c r="F88" i="278"/>
  <c r="I400" i="48" a="1"/>
  <c r="I400" i="48"/>
  <c r="F248" i="48"/>
  <c r="F210" i="321"/>
  <c r="I260" i="48" a="1"/>
  <c r="I260" i="48"/>
  <c r="I339" i="48" a="1"/>
  <c r="I339" i="48"/>
  <c r="F692" i="321"/>
  <c r="I155" i="48" a="1"/>
  <c r="I155" i="48"/>
  <c r="I222" i="48" a="1"/>
  <c r="I222" i="48"/>
  <c r="I196" i="48" a="1"/>
  <c r="I196" i="48"/>
  <c r="I223" i="48" a="1"/>
  <c r="I223" i="48"/>
  <c r="A1" i="305"/>
  <c r="F225" i="48"/>
  <c r="F38" i="321"/>
  <c r="F220" i="48"/>
  <c r="F33" i="321"/>
  <c r="F194" i="48"/>
  <c r="I194" i="48" a="1"/>
  <c r="I194" i="48"/>
  <c r="F27" i="48"/>
  <c r="F13" i="311"/>
  <c r="F216" i="48"/>
  <c r="F29" i="321"/>
  <c r="F212" i="48"/>
  <c r="F208" i="48"/>
  <c r="F204" i="48"/>
  <c r="F252" i="48"/>
  <c r="I252" i="48" a="1"/>
  <c r="I252" i="48"/>
  <c r="F288" i="48"/>
  <c r="I288" i="48" a="1"/>
  <c r="I288" i="48"/>
  <c r="F292" i="48"/>
  <c r="F328" i="321"/>
  <c r="F257" i="48"/>
  <c r="F149" i="273"/>
  <c r="F354" i="48"/>
  <c r="F114" i="314"/>
  <c r="I299" i="48" a="1"/>
  <c r="I299" i="48"/>
  <c r="F61" i="286"/>
  <c r="I347" i="48" a="1"/>
  <c r="I347" i="48"/>
  <c r="I331" i="48" a="1"/>
  <c r="I331" i="48"/>
  <c r="I190" i="48" a="1"/>
  <c r="I190" i="48"/>
  <c r="I210" i="48" a="1"/>
  <c r="I210" i="48"/>
  <c r="I249" i="48" a="1"/>
  <c r="I249" i="48"/>
  <c r="I225" i="48" a="1"/>
  <c r="I225" i="48"/>
  <c r="F217" i="321"/>
  <c r="A1" i="264"/>
  <c r="A1" i="289"/>
  <c r="A1" i="309"/>
  <c r="A1" i="269"/>
  <c r="A1" i="48"/>
  <c r="A1" i="278"/>
  <c r="J252" i="306"/>
  <c r="J629" i="307"/>
  <c r="I363" i="48" a="1"/>
  <c r="I363" i="48"/>
  <c r="H3" i="269"/>
  <c r="A1" i="273"/>
  <c r="A1" i="288"/>
  <c r="F86" i="328"/>
  <c r="G8" i="326"/>
  <c r="J614" i="307"/>
  <c r="J267" i="306"/>
  <c r="J619" i="307"/>
  <c r="J221" i="307"/>
  <c r="J664" i="307"/>
  <c r="A1" i="285"/>
  <c r="J624" i="307"/>
  <c r="J277" i="306"/>
  <c r="J649" i="307"/>
  <c r="J246" i="306"/>
  <c r="G192" i="278"/>
  <c r="G197" i="278"/>
  <c r="G110" i="265"/>
  <c r="G110" i="277"/>
  <c r="G9" i="315"/>
  <c r="G166" i="278"/>
  <c r="E119" i="269"/>
  <c r="G128" i="269"/>
  <c r="G51" i="277"/>
  <c r="G139" i="269"/>
  <c r="G62" i="277"/>
  <c r="G170" i="269"/>
  <c r="G95" i="277"/>
  <c r="G101" i="269"/>
  <c r="G24" i="277"/>
  <c r="G167" i="269"/>
  <c r="G92" i="277"/>
  <c r="G133" i="269"/>
  <c r="G56" i="277"/>
  <c r="G159" i="269"/>
  <c r="G84" i="277"/>
  <c r="G166" i="269"/>
  <c r="G91" i="277"/>
  <c r="G104" i="269"/>
  <c r="G27" i="277"/>
  <c r="G163" i="269"/>
  <c r="G88" i="277"/>
  <c r="G49" i="314"/>
  <c r="G152" i="269"/>
  <c r="G459" i="321"/>
  <c r="G160" i="269"/>
  <c r="I213" i="48" a="1"/>
  <c r="I213" i="48"/>
  <c r="G22" i="315"/>
  <c r="G54" i="307"/>
  <c r="G49" i="315"/>
  <c r="G588" i="307"/>
  <c r="G123" i="286"/>
  <c r="G253" i="278"/>
  <c r="G56" i="288"/>
  <c r="G87" i="277"/>
  <c r="G13" i="315"/>
  <c r="G106" i="269"/>
  <c r="G44" i="282"/>
  <c r="G645" i="307"/>
  <c r="G81" i="307"/>
  <c r="G531" i="321"/>
  <c r="G512" i="321"/>
  <c r="G65" i="321"/>
  <c r="G57" i="321"/>
  <c r="G12" i="310"/>
  <c r="G52" i="269"/>
  <c r="G49" i="265"/>
  <c r="G50" i="265"/>
  <c r="G52" i="265"/>
  <c r="G61" i="265"/>
  <c r="G29" i="310"/>
  <c r="G67" i="269"/>
  <c r="G341" i="307"/>
  <c r="G635" i="307"/>
  <c r="G640" i="307"/>
  <c r="G336" i="307"/>
  <c r="G251" i="288"/>
  <c r="G98" i="282"/>
  <c r="G49" i="321"/>
  <c r="G72" i="265"/>
  <c r="G72" i="277"/>
  <c r="G22" i="265"/>
  <c r="G22" i="277"/>
  <c r="G68" i="315"/>
  <c r="G20" i="315"/>
  <c r="G21" i="265"/>
  <c r="G19" i="315"/>
  <c r="G67" i="315"/>
  <c r="F117" i="328"/>
  <c r="H15" i="326"/>
  <c r="G81" i="277"/>
  <c r="G105" i="315"/>
  <c r="G620" i="307"/>
  <c r="G254" i="278"/>
  <c r="G35" i="277"/>
  <c r="G60" i="277"/>
  <c r="G315" i="48"/>
  <c r="G281" i="278"/>
  <c r="G299" i="278"/>
  <c r="G35" i="282"/>
  <c r="G26" i="285"/>
  <c r="G153" i="282"/>
  <c r="G45" i="282"/>
  <c r="G113" i="282"/>
  <c r="G227" i="307"/>
  <c r="G124" i="307"/>
  <c r="G213" i="307"/>
  <c r="G712" i="321"/>
  <c r="G679" i="321"/>
  <c r="G609" i="321"/>
  <c r="G32" i="328"/>
  <c r="G90" i="269"/>
  <c r="G77" i="315"/>
  <c r="G26" i="315"/>
  <c r="G342" i="307"/>
  <c r="G367" i="321"/>
  <c r="G107" i="288"/>
  <c r="G33" i="282"/>
  <c r="G101" i="282"/>
  <c r="G365" i="321"/>
  <c r="G255" i="288"/>
  <c r="G100" i="282"/>
  <c r="G30" i="307"/>
  <c r="G595" i="307"/>
  <c r="G149" i="269"/>
  <c r="G253" i="288"/>
  <c r="G103" i="288"/>
  <c r="G30" i="282"/>
  <c r="G50" i="321"/>
  <c r="G99" i="282"/>
  <c r="G363" i="321"/>
  <c r="G276" i="321"/>
  <c r="I232" i="48" a="1"/>
  <c r="I232" i="48"/>
  <c r="G9" i="277"/>
  <c r="G283" i="307"/>
  <c r="G229" i="278"/>
  <c r="G39" i="307"/>
  <c r="G99" i="315"/>
  <c r="G102" i="307"/>
  <c r="G42" i="285"/>
  <c r="G154" i="282"/>
  <c r="G46" i="282"/>
  <c r="G114" i="282"/>
  <c r="G37" i="282"/>
  <c r="G205" i="307"/>
  <c r="G53" i="315"/>
  <c r="G148" i="307"/>
  <c r="G560" i="321"/>
  <c r="G506" i="321"/>
  <c r="G198" i="306"/>
  <c r="G205" i="306"/>
  <c r="G258" i="306"/>
  <c r="G484" i="321"/>
  <c r="G20" i="286"/>
  <c r="G258" i="288"/>
  <c r="G108" i="288"/>
  <c r="G427" i="321"/>
  <c r="F277" i="307"/>
  <c r="F191" i="288"/>
  <c r="I271" i="48" a="1"/>
  <c r="I271" i="48"/>
  <c r="F150" i="273"/>
  <c r="G85" i="282"/>
  <c r="G86" i="282"/>
  <c r="G103" i="314"/>
  <c r="G110" i="314"/>
  <c r="G365" i="307"/>
  <c r="G134" i="288"/>
  <c r="G249" i="307"/>
  <c r="G454" i="307"/>
  <c r="G14" i="310"/>
  <c r="G54" i="269"/>
  <c r="G119" i="265"/>
  <c r="G119" i="277"/>
  <c r="G21" i="328"/>
  <c r="G268" i="288"/>
  <c r="G216" i="288"/>
  <c r="G630" i="307"/>
  <c r="G511" i="307"/>
  <c r="F287" i="48"/>
  <c r="I181" i="48" a="1"/>
  <c r="I181" i="48"/>
  <c r="G120" i="269"/>
  <c r="G43" i="277"/>
  <c r="E44" i="277"/>
  <c r="E121" i="269"/>
  <c r="G41" i="265"/>
  <c r="G118" i="269"/>
  <c r="G173" i="278"/>
  <c r="G262" i="278"/>
  <c r="G544" i="321"/>
  <c r="G550" i="321"/>
  <c r="G564" i="321"/>
  <c r="E10" i="265"/>
  <c r="E10" i="315"/>
  <c r="E41" i="277"/>
  <c r="E118" i="269"/>
  <c r="G121" i="269"/>
  <c r="G44" i="277"/>
  <c r="J54" i="273"/>
  <c r="J84" i="273"/>
  <c r="J86" i="273"/>
  <c r="G113" i="315"/>
  <c r="G117" i="265"/>
  <c r="G117" i="277"/>
  <c r="G42" i="277"/>
  <c r="G119" i="269"/>
  <c r="J17" i="278"/>
  <c r="J90" i="278"/>
  <c r="J644" i="321"/>
  <c r="J204" i="278"/>
  <c r="J91" i="278"/>
  <c r="J659" i="321"/>
  <c r="J652" i="321"/>
  <c r="J497" i="321"/>
  <c r="J100" i="278"/>
  <c r="J104" i="314"/>
  <c r="J617" i="321"/>
  <c r="K663" i="307"/>
  <c r="K668" i="307"/>
  <c r="K102" i="314"/>
  <c r="K245" i="306"/>
  <c r="K643" i="307"/>
  <c r="K276" i="306"/>
  <c r="I70" i="48" a="1"/>
  <c r="I70" i="48"/>
  <c r="I387" i="48" a="1"/>
  <c r="I387" i="48"/>
  <c r="F159" i="288"/>
  <c r="I76" i="48" a="1"/>
  <c r="I76" i="48"/>
  <c r="F190" i="273"/>
  <c r="I16" i="48" a="1"/>
  <c r="I16" i="48"/>
  <c r="J262" i="306"/>
  <c r="J240" i="306"/>
  <c r="E45" i="265"/>
  <c r="E43" i="315"/>
  <c r="A1" i="286"/>
  <c r="A1" i="304"/>
  <c r="A1" i="277"/>
  <c r="A1" i="314"/>
  <c r="A1" i="282"/>
  <c r="A1" i="306"/>
  <c r="A1" i="307"/>
  <c r="A1" i="315"/>
  <c r="A1" i="310"/>
  <c r="F324" i="321"/>
  <c r="I6" i="48"/>
  <c r="L7" i="48"/>
  <c r="K7" i="48"/>
  <c r="I291" i="48" a="1"/>
  <c r="I291" i="48"/>
  <c r="J202" i="278"/>
  <c r="J191" i="278"/>
  <c r="F648" i="321"/>
  <c r="E44" i="315"/>
  <c r="E29" i="315"/>
  <c r="DL120" i="282"/>
  <c r="G120" i="282"/>
  <c r="G130" i="282"/>
  <c r="G126" i="282"/>
  <c r="G44" i="315"/>
  <c r="G29" i="315"/>
  <c r="DP120" i="282"/>
  <c r="CZ120" i="282"/>
  <c r="GJ120" i="282"/>
  <c r="GF120" i="282"/>
  <c r="GB120" i="282"/>
  <c r="FX120" i="282"/>
  <c r="FT120" i="282"/>
  <c r="FP120" i="282"/>
  <c r="FL120" i="282"/>
  <c r="FH120" i="282"/>
  <c r="FD120" i="282"/>
  <c r="EZ120" i="282"/>
  <c r="EV120" i="282"/>
  <c r="ER120" i="282"/>
  <c r="EN120" i="282"/>
  <c r="EJ120" i="282"/>
  <c r="EF120" i="282"/>
  <c r="EB120" i="282"/>
  <c r="DX120" i="282"/>
  <c r="DT120" i="282"/>
  <c r="DD120" i="282"/>
  <c r="G137" i="282"/>
  <c r="G131" i="282"/>
  <c r="DH120" i="282"/>
  <c r="GI31" i="315"/>
  <c r="GE31" i="315"/>
  <c r="GA31" i="315"/>
  <c r="FW31" i="315"/>
  <c r="FS31" i="315"/>
  <c r="FO31" i="315"/>
  <c r="FK31" i="315"/>
  <c r="FG31" i="315"/>
  <c r="FC31" i="315"/>
  <c r="EY31" i="315"/>
  <c r="EU31" i="315"/>
  <c r="EQ31" i="315"/>
  <c r="EM31" i="315"/>
  <c r="EI31" i="315"/>
  <c r="EE31" i="315"/>
  <c r="EA31" i="315"/>
  <c r="DW31" i="315"/>
  <c r="DS31" i="315"/>
  <c r="DO31" i="315"/>
  <c r="DK31" i="315"/>
  <c r="DG31" i="315"/>
  <c r="DC31" i="315"/>
  <c r="CY31" i="315"/>
  <c r="GJ31" i="315"/>
  <c r="GF31" i="315"/>
  <c r="GB31" i="315"/>
  <c r="FX31" i="315"/>
  <c r="FT31" i="315"/>
  <c r="FP31" i="315"/>
  <c r="FL31" i="315"/>
  <c r="FH31" i="315"/>
  <c r="FD31" i="315"/>
  <c r="EZ31" i="315"/>
  <c r="EV31" i="315"/>
  <c r="ER31" i="315"/>
  <c r="EN31" i="315"/>
  <c r="EJ31" i="315"/>
  <c r="EF31" i="315"/>
  <c r="EB31" i="315"/>
  <c r="DX31" i="315"/>
  <c r="DT31" i="315"/>
  <c r="DP31" i="315"/>
  <c r="DL31" i="315"/>
  <c r="DH31" i="315"/>
  <c r="DD31" i="315"/>
  <c r="CZ31" i="315"/>
  <c r="CW117" i="282"/>
  <c r="DI117" i="282"/>
  <c r="DQ117" i="282"/>
  <c r="DY117" i="282"/>
  <c r="EG117" i="282"/>
  <c r="EO117" i="282"/>
  <c r="EW117" i="282"/>
  <c r="FE117" i="282"/>
  <c r="FM117" i="282"/>
  <c r="FU117" i="282"/>
  <c r="GC117" i="282"/>
  <c r="G75" i="282"/>
  <c r="CX117" i="282"/>
  <c r="DB117" i="282"/>
  <c r="DF117" i="282"/>
  <c r="DJ117" i="282"/>
  <c r="DN117" i="282"/>
  <c r="DR117" i="282"/>
  <c r="DV117" i="282"/>
  <c r="DZ117" i="282"/>
  <c r="ED117" i="282"/>
  <c r="EH117" i="282"/>
  <c r="EL117" i="282"/>
  <c r="EP117" i="282"/>
  <c r="ET117" i="282"/>
  <c r="EX117" i="282"/>
  <c r="FB117" i="282"/>
  <c r="FF117" i="282"/>
  <c r="FJ117" i="282"/>
  <c r="FN117" i="282"/>
  <c r="FR117" i="282"/>
  <c r="FV117" i="282"/>
  <c r="FZ117" i="282"/>
  <c r="GD117" i="282"/>
  <c r="GH117" i="282"/>
  <c r="DA117" i="282"/>
  <c r="DE117" i="282"/>
  <c r="DM117" i="282"/>
  <c r="DU117" i="282"/>
  <c r="EC117" i="282"/>
  <c r="EK117" i="282"/>
  <c r="ES117" i="282"/>
  <c r="FA117" i="282"/>
  <c r="FI117" i="282"/>
  <c r="FQ117" i="282"/>
  <c r="FY117" i="282"/>
  <c r="GG117" i="282"/>
  <c r="CY117" i="282"/>
  <c r="DC117" i="282"/>
  <c r="DG117" i="282"/>
  <c r="DK117" i="282"/>
  <c r="DO117" i="282"/>
  <c r="DS117" i="282"/>
  <c r="DW117" i="282"/>
  <c r="EA117" i="282"/>
  <c r="EE117" i="282"/>
  <c r="EI117" i="282"/>
  <c r="EM117" i="282"/>
  <c r="EQ117" i="282"/>
  <c r="EU117" i="282"/>
  <c r="EY117" i="282"/>
  <c r="FC117" i="282"/>
  <c r="FG117" i="282"/>
  <c r="FK117" i="282"/>
  <c r="FO117" i="282"/>
  <c r="FS117" i="282"/>
  <c r="FW117" i="282"/>
  <c r="GA117" i="282"/>
  <c r="GE117" i="282"/>
  <c r="GI117" i="282"/>
  <c r="E138" i="269"/>
  <c r="E61" i="277"/>
  <c r="E88" i="277"/>
  <c r="E163" i="269"/>
  <c r="J117" i="321"/>
  <c r="J118" i="321"/>
  <c r="J127" i="321"/>
  <c r="J121" i="321"/>
  <c r="J122" i="321"/>
  <c r="J128" i="321"/>
  <c r="E87" i="277"/>
  <c r="E162" i="269"/>
  <c r="E100" i="269"/>
  <c r="E23" i="277"/>
  <c r="E74" i="277"/>
  <c r="E149" i="269"/>
  <c r="E147" i="269"/>
  <c r="E72" i="277"/>
  <c r="E130" i="269"/>
  <c r="E53" i="277"/>
  <c r="E26" i="277"/>
  <c r="E103" i="269"/>
  <c r="E97" i="269"/>
  <c r="E19" i="277"/>
  <c r="G59" i="282"/>
  <c r="G25" i="277"/>
  <c r="F162" i="269"/>
  <c r="E24" i="315"/>
  <c r="E68" i="315"/>
  <c r="F147" i="269"/>
  <c r="F151" i="269"/>
  <c r="J256" i="288"/>
  <c r="J521" i="321"/>
  <c r="G93" i="282"/>
  <c r="G148" i="269"/>
  <c r="G55" i="282"/>
  <c r="F98" i="269"/>
  <c r="F61" i="277"/>
  <c r="F71" i="277"/>
  <c r="E67" i="277"/>
  <c r="F25" i="277"/>
  <c r="G58" i="282"/>
  <c r="E51" i="315"/>
  <c r="E60" i="265"/>
  <c r="E84" i="265"/>
  <c r="E22" i="265"/>
  <c r="E22" i="277"/>
  <c r="J498" i="321"/>
  <c r="J499" i="321"/>
  <c r="G97" i="269"/>
  <c r="G151" i="269"/>
  <c r="F75" i="277"/>
  <c r="G84" i="282"/>
  <c r="G152" i="282"/>
  <c r="E80" i="315"/>
  <c r="E17" i="265"/>
  <c r="E17" i="315"/>
  <c r="J106" i="288"/>
  <c r="GI33" i="265"/>
  <c r="GE33" i="265"/>
  <c r="GA33" i="265"/>
  <c r="FW33" i="265"/>
  <c r="FS33" i="265"/>
  <c r="FO33" i="265"/>
  <c r="FK33" i="265"/>
  <c r="FG33" i="265"/>
  <c r="FC33" i="265"/>
  <c r="EY33" i="265"/>
  <c r="EU33" i="265"/>
  <c r="EQ33" i="265"/>
  <c r="EM33" i="265"/>
  <c r="EI33" i="265"/>
  <c r="EE33" i="265"/>
  <c r="EA33" i="265"/>
  <c r="DW33" i="265"/>
  <c r="DS33" i="265"/>
  <c r="DO33" i="265"/>
  <c r="DK33" i="265"/>
  <c r="DG33" i="265"/>
  <c r="DC33" i="265"/>
  <c r="CY33" i="265"/>
  <c r="G147" i="269"/>
  <c r="G69" i="282"/>
  <c r="F108" i="269"/>
  <c r="F31" i="277"/>
  <c r="E46" i="265"/>
  <c r="E46" i="277"/>
  <c r="E31" i="265"/>
  <c r="E31" i="277"/>
  <c r="GG49" i="282"/>
  <c r="GC49" i="282"/>
  <c r="FY49" i="282"/>
  <c r="FU49" i="282"/>
  <c r="FU55" i="282"/>
  <c r="FQ49" i="282"/>
  <c r="FQ52" i="282"/>
  <c r="FM49" i="282"/>
  <c r="FI49" i="282"/>
  <c r="FE49" i="282"/>
  <c r="FE52" i="282"/>
  <c r="FA49" i="282"/>
  <c r="EW49" i="282"/>
  <c r="ES49" i="282"/>
  <c r="ES52" i="282"/>
  <c r="EO49" i="282"/>
  <c r="EO52" i="282"/>
  <c r="EK49" i="282"/>
  <c r="EG49" i="282"/>
  <c r="EC49" i="282"/>
  <c r="DY49" i="282"/>
  <c r="DY52" i="282"/>
  <c r="DU49" i="282"/>
  <c r="DQ49" i="282"/>
  <c r="DM49" i="282"/>
  <c r="DI49" i="282"/>
  <c r="DI55" i="282"/>
  <c r="DE49" i="282"/>
  <c r="DA49" i="282"/>
  <c r="CW49" i="282"/>
  <c r="CW52" i="282"/>
  <c r="EJ49" i="282"/>
  <c r="EJ55" i="282"/>
  <c r="G32" i="277"/>
  <c r="E109" i="269"/>
  <c r="E32" i="277"/>
  <c r="G125" i="277"/>
  <c r="FP49" i="282"/>
  <c r="GD33" i="265"/>
  <c r="FV33" i="265"/>
  <c r="FN33" i="265"/>
  <c r="FF33" i="265"/>
  <c r="EX33" i="265"/>
  <c r="EP33" i="265"/>
  <c r="EH33" i="265"/>
  <c r="DV33" i="265"/>
  <c r="DN33" i="265"/>
  <c r="DF33" i="265"/>
  <c r="CX33" i="265"/>
  <c r="F109" i="269"/>
  <c r="GI49" i="282"/>
  <c r="GE49" i="282"/>
  <c r="GA49" i="282"/>
  <c r="GA55" i="282"/>
  <c r="FW49" i="282"/>
  <c r="FS49" i="282"/>
  <c r="FO49" i="282"/>
  <c r="FK49" i="282"/>
  <c r="FK52" i="282"/>
  <c r="FG49" i="282"/>
  <c r="FC49" i="282"/>
  <c r="EY49" i="282"/>
  <c r="EY55" i="282"/>
  <c r="EU49" i="282"/>
  <c r="EU55" i="282"/>
  <c r="EQ49" i="282"/>
  <c r="EM49" i="282"/>
  <c r="EM55" i="282"/>
  <c r="EI49" i="282"/>
  <c r="EE49" i="282"/>
  <c r="EE55" i="282"/>
  <c r="DS49" i="282"/>
  <c r="DO49" i="282"/>
  <c r="DK49" i="282"/>
  <c r="DG49" i="282"/>
  <c r="DG55" i="282"/>
  <c r="DC49" i="282"/>
  <c r="CY49" i="282"/>
  <c r="FY33" i="265"/>
  <c r="FU33" i="265"/>
  <c r="FI33" i="265"/>
  <c r="FE33" i="265"/>
  <c r="ES33" i="265"/>
  <c r="EO33" i="265"/>
  <c r="EC33" i="265"/>
  <c r="DY33" i="265"/>
  <c r="DM33" i="265"/>
  <c r="DI33" i="265"/>
  <c r="DA33" i="265"/>
  <c r="CW33" i="265"/>
  <c r="GH33" i="265"/>
  <c r="FZ33" i="265"/>
  <c r="FR33" i="265"/>
  <c r="FJ33" i="265"/>
  <c r="FB33" i="265"/>
  <c r="ET33" i="265"/>
  <c r="EL33" i="265"/>
  <c r="ED33" i="265"/>
  <c r="DZ33" i="265"/>
  <c r="DR33" i="265"/>
  <c r="DJ33" i="265"/>
  <c r="DB33" i="265"/>
  <c r="GJ33" i="265"/>
  <c r="GF33" i="265"/>
  <c r="GB33" i="265"/>
  <c r="FX33" i="265"/>
  <c r="FT33" i="265"/>
  <c r="FP33" i="265"/>
  <c r="FL33" i="265"/>
  <c r="FH33" i="265"/>
  <c r="FD33" i="265"/>
  <c r="EZ33" i="265"/>
  <c r="EV33" i="265"/>
  <c r="ER33" i="265"/>
  <c r="EN33" i="265"/>
  <c r="EJ33" i="265"/>
  <c r="EF33" i="265"/>
  <c r="EB33" i="265"/>
  <c r="DX33" i="265"/>
  <c r="DT33" i="265"/>
  <c r="DP33" i="265"/>
  <c r="DL33" i="265"/>
  <c r="DH33" i="265"/>
  <c r="DD33" i="265"/>
  <c r="CZ33" i="265"/>
  <c r="G131" i="286"/>
  <c r="G263" i="288"/>
  <c r="F170" i="269"/>
  <c r="F95" i="277"/>
  <c r="F58" i="277"/>
  <c r="F135" i="269"/>
  <c r="G27" i="288"/>
  <c r="G23" i="277"/>
  <c r="E43" i="277"/>
  <c r="E120" i="269"/>
  <c r="G63" i="277"/>
  <c r="G64" i="277"/>
  <c r="E79" i="277"/>
  <c r="E154" i="269"/>
  <c r="G80" i="277"/>
  <c r="G60" i="328"/>
  <c r="G111" i="277"/>
  <c r="E45" i="277"/>
  <c r="E122" i="269"/>
  <c r="E58" i="277"/>
  <c r="E135" i="269"/>
  <c r="E145" i="269"/>
  <c r="E69" i="277"/>
  <c r="E62" i="328"/>
  <c r="E119" i="277"/>
  <c r="E151" i="269"/>
  <c r="E76" i="277"/>
  <c r="F163" i="269"/>
  <c r="F88" i="277"/>
  <c r="F139" i="269"/>
  <c r="F62" i="277"/>
  <c r="F130" i="269"/>
  <c r="F53" i="277"/>
  <c r="F52" i="277"/>
  <c r="F129" i="269"/>
  <c r="F14" i="277"/>
  <c r="F122" i="269"/>
  <c r="F119" i="269"/>
  <c r="F41" i="277"/>
  <c r="G10" i="286"/>
  <c r="F81" i="277"/>
  <c r="F156" i="269"/>
  <c r="F44" i="277"/>
  <c r="F121" i="269"/>
  <c r="F10" i="277"/>
  <c r="F166" i="269"/>
  <c r="E99" i="269"/>
  <c r="E120" i="277"/>
  <c r="GJ49" i="282"/>
  <c r="GF49" i="282"/>
  <c r="GB49" i="282"/>
  <c r="FX49" i="282"/>
  <c r="FT49" i="282"/>
  <c r="FL49" i="282"/>
  <c r="FH49" i="282"/>
  <c r="FD49" i="282"/>
  <c r="EZ49" i="282"/>
  <c r="EV49" i="282"/>
  <c r="ER49" i="282"/>
  <c r="EN49" i="282"/>
  <c r="EF49" i="282"/>
  <c r="EB49" i="282"/>
  <c r="DX49" i="282"/>
  <c r="DT49" i="282"/>
  <c r="DT55" i="282"/>
  <c r="DP49" i="282"/>
  <c r="DL49" i="282"/>
  <c r="DH49" i="282"/>
  <c r="DD49" i="282"/>
  <c r="CZ49" i="282"/>
  <c r="G46" i="277"/>
  <c r="DW49" i="282"/>
  <c r="DW55" i="282"/>
  <c r="GH49" i="282"/>
  <c r="GD49" i="282"/>
  <c r="FZ49" i="282"/>
  <c r="FZ52" i="282"/>
  <c r="FV49" i="282"/>
  <c r="FR49" i="282"/>
  <c r="FN49" i="282"/>
  <c r="FN55" i="282"/>
  <c r="FJ49" i="282"/>
  <c r="FF49" i="282"/>
  <c r="FF52" i="282"/>
  <c r="FB49" i="282"/>
  <c r="EX49" i="282"/>
  <c r="ET49" i="282"/>
  <c r="EP49" i="282"/>
  <c r="EL49" i="282"/>
  <c r="EH49" i="282"/>
  <c r="EH52" i="282"/>
  <c r="ED49" i="282"/>
  <c r="DZ49" i="282"/>
  <c r="DV49" i="282"/>
  <c r="DR49" i="282"/>
  <c r="DN49" i="282"/>
  <c r="DJ49" i="282"/>
  <c r="DJ52" i="282"/>
  <c r="DF49" i="282"/>
  <c r="DB49" i="282"/>
  <c r="DB55" i="282"/>
  <c r="CX49" i="282"/>
  <c r="EA49" i="282"/>
  <c r="G52" i="282"/>
  <c r="G31" i="265"/>
  <c r="G108" i="269"/>
  <c r="GI55" i="282"/>
  <c r="FW55" i="282"/>
  <c r="FO52" i="282"/>
  <c r="EQ52" i="282"/>
  <c r="FJ55" i="282"/>
  <c r="DZ55" i="282"/>
  <c r="DV52" i="282"/>
  <c r="DR52" i="282"/>
  <c r="FG55" i="282"/>
  <c r="FC52" i="282"/>
  <c r="EE52" i="282"/>
  <c r="DS52" i="282"/>
  <c r="GC52" i="282"/>
  <c r="FY55" i="282"/>
  <c r="FQ55" i="282"/>
  <c r="G23" i="282"/>
  <c r="G47" i="282"/>
  <c r="GJ55" i="282"/>
  <c r="FL55" i="282"/>
  <c r="FL52" i="282"/>
  <c r="EV55" i="282"/>
  <c r="EV52" i="282"/>
  <c r="GF52" i="282"/>
  <c r="FM52" i="282"/>
  <c r="EW55" i="282"/>
  <c r="ES55" i="282"/>
  <c r="EG55" i="282"/>
  <c r="EC52" i="282"/>
  <c r="DQ55" i="282"/>
  <c r="DI52" i="282"/>
  <c r="DA55" i="282"/>
  <c r="GA52" i="282"/>
  <c r="EB55" i="282"/>
  <c r="EB52" i="282"/>
  <c r="DL55" i="282"/>
  <c r="DL52" i="282"/>
  <c r="G48" i="282"/>
  <c r="E13" i="277"/>
  <c r="E92" i="269"/>
  <c r="E108" i="269"/>
  <c r="E123" i="269"/>
  <c r="F40" i="307"/>
  <c r="J82" i="269"/>
  <c r="H101" i="307"/>
  <c r="F41" i="307"/>
  <c r="H291" i="321"/>
  <c r="H50" i="307"/>
  <c r="H179" i="321"/>
  <c r="F66" i="321"/>
  <c r="H66" i="307"/>
  <c r="H10" i="269"/>
  <c r="K10" i="269"/>
  <c r="L10" i="269"/>
  <c r="F57" i="321"/>
  <c r="F14" i="311"/>
  <c r="F82" i="321"/>
  <c r="G10" i="277"/>
  <c r="G53" i="277"/>
  <c r="G79" i="277"/>
  <c r="G14" i="277"/>
  <c r="G13" i="277"/>
  <c r="G55" i="277"/>
  <c r="G13" i="285"/>
  <c r="G45" i="265"/>
  <c r="G43" i="315"/>
  <c r="G123" i="307"/>
  <c r="G616" i="321"/>
  <c r="G468" i="321"/>
  <c r="G635" i="321"/>
  <c r="G477" i="321"/>
  <c r="G139" i="288"/>
  <c r="G40" i="315"/>
  <c r="G50" i="310"/>
  <c r="G178" i="321"/>
  <c r="G290" i="321"/>
  <c r="G18" i="315"/>
  <c r="G69" i="265"/>
  <c r="G17" i="265"/>
  <c r="G96" i="269"/>
  <c r="G484" i="307"/>
  <c r="G480" i="307"/>
  <c r="G534" i="307"/>
  <c r="G71" i="265"/>
  <c r="G146" i="269"/>
  <c r="G201" i="306"/>
  <c r="G107" i="265"/>
  <c r="G300" i="307"/>
  <c r="G117" i="321"/>
  <c r="G66" i="315"/>
  <c r="G58" i="310"/>
  <c r="G70" i="310"/>
  <c r="G326" i="307"/>
  <c r="G390" i="307"/>
  <c r="I273" i="48" a="1"/>
  <c r="I273" i="48"/>
  <c r="F615" i="321"/>
  <c r="F110" i="305"/>
  <c r="F34" i="289"/>
  <c r="I221" i="48" a="1"/>
  <c r="I221" i="48"/>
  <c r="G57" i="277"/>
  <c r="F107" i="314"/>
  <c r="I187" i="48" a="1"/>
  <c r="I187" i="48"/>
  <c r="I239" i="48" a="1"/>
  <c r="I239" i="48"/>
  <c r="I327" i="48" a="1"/>
  <c r="I327" i="48"/>
  <c r="I275" i="48" a="1"/>
  <c r="I275" i="48"/>
  <c r="I137" i="48" a="1"/>
  <c r="I137" i="48"/>
  <c r="I147" i="48" a="1"/>
  <c r="I147" i="48"/>
  <c r="F121" i="314"/>
  <c r="I50" i="48" a="1"/>
  <c r="I50" i="48"/>
  <c r="I293" i="48" a="1"/>
  <c r="I293" i="48"/>
  <c r="I143" i="48" a="1"/>
  <c r="I143" i="48"/>
  <c r="G120" i="277"/>
  <c r="I373" i="48" a="1"/>
  <c r="I373" i="48"/>
  <c r="I357" i="48" a="1"/>
  <c r="I357" i="48"/>
  <c r="I355" i="48" a="1"/>
  <c r="I355" i="48"/>
  <c r="F642" i="321"/>
  <c r="I217" i="48" a="1"/>
  <c r="I217" i="48"/>
  <c r="I229" i="48" a="1"/>
  <c r="I229" i="48"/>
  <c r="I128" i="48" a="1"/>
  <c r="I128" i="48"/>
  <c r="I250" i="48" a="1"/>
  <c r="I250" i="48"/>
  <c r="I125" i="48" a="1"/>
  <c r="I125" i="48"/>
  <c r="G136" i="269"/>
  <c r="G59" i="277"/>
  <c r="F86" i="314"/>
  <c r="I278" i="48" a="1"/>
  <c r="I278" i="48"/>
  <c r="I247" i="48" a="1"/>
  <c r="I247" i="48"/>
  <c r="I337" i="48" a="1"/>
  <c r="I337" i="48"/>
  <c r="I236" i="48" a="1"/>
  <c r="I236" i="48"/>
  <c r="I368" i="48" a="1"/>
  <c r="I368" i="48"/>
  <c r="F42" i="314"/>
  <c r="I15" i="48" a="1"/>
  <c r="I15" i="48"/>
  <c r="F429" i="48"/>
  <c r="I429" i="48" a="1"/>
  <c r="I429" i="48"/>
  <c r="I39" i="48" a="1"/>
  <c r="I39" i="48"/>
  <c r="F543" i="321"/>
  <c r="I276" i="48" a="1"/>
  <c r="I276" i="48"/>
  <c r="I224" i="48" a="1"/>
  <c r="I224" i="48"/>
  <c r="I206" i="48" a="1"/>
  <c r="I206" i="48"/>
  <c r="I40" i="48" a="1"/>
  <c r="I40" i="48"/>
  <c r="I46" i="48" a="1"/>
  <c r="I46" i="48"/>
  <c r="I89" i="48" a="1"/>
  <c r="I89" i="48"/>
  <c r="I209" i="48" a="1"/>
  <c r="I209" i="48"/>
  <c r="I71" i="48" a="1"/>
  <c r="I71" i="48"/>
  <c r="I144" i="48" a="1"/>
  <c r="I144" i="48"/>
  <c r="F80" i="278"/>
  <c r="F83" i="278"/>
  <c r="I92" i="48" a="1"/>
  <c r="I92" i="48"/>
  <c r="F214" i="321"/>
  <c r="I61" i="48" a="1"/>
  <c r="I61" i="48"/>
  <c r="I253" i="48" a="1"/>
  <c r="I253" i="48"/>
  <c r="I388" i="48" a="1"/>
  <c r="I388" i="48"/>
  <c r="I202" i="48" a="1"/>
  <c r="I202" i="48"/>
  <c r="I160" i="48" a="1"/>
  <c r="I160" i="48"/>
  <c r="I104" i="48" a="1"/>
  <c r="I104" i="48"/>
  <c r="I244" i="48" a="1"/>
  <c r="I244" i="48"/>
  <c r="I254" i="48" a="1"/>
  <c r="I254" i="48"/>
  <c r="I115" i="48" a="1"/>
  <c r="I115" i="48"/>
  <c r="I367" i="48" a="1"/>
  <c r="I367" i="48"/>
  <c r="F31" i="321"/>
  <c r="I218" i="48" a="1"/>
  <c r="I218" i="48"/>
  <c r="I197" i="48" a="1"/>
  <c r="I197" i="48"/>
  <c r="I281" i="48" a="1"/>
  <c r="I281" i="48"/>
  <c r="F257" i="278"/>
  <c r="F614" i="321"/>
  <c r="F108" i="314"/>
  <c r="F620" i="321"/>
  <c r="I138" i="48" a="1"/>
  <c r="I138" i="48"/>
  <c r="I269" i="48" a="1"/>
  <c r="I269" i="48"/>
  <c r="I141" i="48" a="1"/>
  <c r="I141" i="48"/>
  <c r="I292" i="48" a="1"/>
  <c r="I292" i="48"/>
  <c r="I289" i="48" a="1"/>
  <c r="I289" i="48"/>
  <c r="I27" i="48" a="1"/>
  <c r="I27" i="48"/>
  <c r="I277" i="48" a="1"/>
  <c r="I277" i="48"/>
  <c r="I215" i="48" a="1"/>
  <c r="I215" i="48"/>
  <c r="I283" i="48" a="1"/>
  <c r="I283" i="48"/>
  <c r="I216" i="48" a="1"/>
  <c r="I216" i="48"/>
  <c r="I242" i="48" a="1"/>
  <c r="I242" i="48"/>
  <c r="I81" i="48" a="1"/>
  <c r="I81" i="48"/>
  <c r="J645" i="321"/>
  <c r="J651" i="321"/>
  <c r="I220" i="48" a="1"/>
  <c r="I220" i="48"/>
  <c r="F29" i="305"/>
  <c r="J32" i="305"/>
  <c r="J34" i="305"/>
  <c r="J35" i="305"/>
  <c r="J4" i="305"/>
  <c r="I83" i="48" a="1"/>
  <c r="I83" i="48"/>
  <c r="I114" i="48" a="1"/>
  <c r="I114" i="48"/>
  <c r="I228" i="48" a="1"/>
  <c r="I228" i="48"/>
  <c r="I142" i="48" a="1"/>
  <c r="I142" i="48"/>
  <c r="I166" i="48" a="1"/>
  <c r="I166" i="48"/>
  <c r="I263" i="48" a="1"/>
  <c r="I263" i="48"/>
  <c r="I272" i="48" a="1"/>
  <c r="I272" i="48"/>
  <c r="F120" i="328"/>
  <c r="H18" i="326"/>
  <c r="F78" i="48"/>
  <c r="F19" i="264"/>
  <c r="I295" i="48" a="1"/>
  <c r="I295" i="48"/>
  <c r="I201" i="48" a="1"/>
  <c r="I201" i="48"/>
  <c r="I290" i="48" a="1"/>
  <c r="I290" i="48"/>
  <c r="F213" i="321"/>
  <c r="I185" i="48" a="1"/>
  <c r="I185" i="48"/>
  <c r="I285" i="48" a="1"/>
  <c r="I285" i="48"/>
  <c r="I286" i="48" a="1"/>
  <c r="I286" i="48"/>
  <c r="I57" i="48" a="1"/>
  <c r="I57" i="48"/>
  <c r="F56" i="321"/>
  <c r="F58" i="321"/>
  <c r="F61" i="321"/>
  <c r="I394" i="48" a="1"/>
  <c r="I394" i="48"/>
  <c r="J263" i="306"/>
  <c r="I240" i="48" a="1"/>
  <c r="I240" i="48"/>
  <c r="I67" i="48" a="1"/>
  <c r="I67" i="48"/>
  <c r="I140" i="48" a="1"/>
  <c r="I140" i="48"/>
  <c r="I234" i="48" a="1"/>
  <c r="I234" i="48"/>
  <c r="F25" i="305"/>
  <c r="I267" i="48" a="1"/>
  <c r="I267" i="48"/>
  <c r="I303" i="48" a="1"/>
  <c r="I303" i="48"/>
  <c r="I366" i="48" a="1"/>
  <c r="I366" i="48"/>
  <c r="I60" i="48" a="1"/>
  <c r="I60" i="48"/>
  <c r="I178" i="48" a="1"/>
  <c r="I178" i="48"/>
  <c r="I14" i="48" a="1"/>
  <c r="I14" i="48"/>
  <c r="I231" i="48" a="1"/>
  <c r="I231" i="48"/>
  <c r="I238" i="48" a="1"/>
  <c r="I238" i="48"/>
  <c r="F647" i="321"/>
  <c r="I360" i="48" a="1"/>
  <c r="I360" i="48"/>
  <c r="F24" i="321"/>
  <c r="I211" i="48" a="1"/>
  <c r="I211" i="48"/>
  <c r="F10" i="311"/>
  <c r="I28" i="48" a="1"/>
  <c r="I28" i="48"/>
  <c r="I179" i="48" a="1"/>
  <c r="I179" i="48"/>
  <c r="I119" i="48" a="1"/>
  <c r="I119" i="48"/>
  <c r="F21" i="321"/>
  <c r="I208" i="48" a="1"/>
  <c r="I208" i="48"/>
  <c r="F104" i="328"/>
  <c r="M12" i="326"/>
  <c r="I344" i="48" a="1"/>
  <c r="I344" i="48"/>
  <c r="F106" i="305"/>
  <c r="I402" i="48" a="1"/>
  <c r="I402" i="48"/>
  <c r="F25" i="321"/>
  <c r="I212" i="48" a="1"/>
  <c r="I212" i="48"/>
  <c r="I279" i="48" a="1"/>
  <c r="I279" i="48"/>
  <c r="I365" i="48" a="1"/>
  <c r="I365" i="48"/>
  <c r="F20" i="321"/>
  <c r="I207" i="48" a="1"/>
  <c r="I207" i="48"/>
  <c r="F142" i="282"/>
  <c r="I257" i="48" a="1"/>
  <c r="I257" i="48"/>
  <c r="F151" i="282"/>
  <c r="DD155" i="282"/>
  <c r="DD161" i="282"/>
  <c r="I248" i="48" a="1"/>
  <c r="I248" i="48"/>
  <c r="I219" i="48" a="1"/>
  <c r="I219" i="48"/>
  <c r="F114" i="273"/>
  <c r="I126" i="48" a="1"/>
  <c r="I126" i="48"/>
  <c r="I351" i="48" a="1"/>
  <c r="I351" i="48"/>
  <c r="I203" i="48" a="1"/>
  <c r="I203" i="48"/>
  <c r="I329" i="48" a="1"/>
  <c r="I329" i="48"/>
  <c r="I403" i="48" a="1"/>
  <c r="I403" i="48"/>
  <c r="F649" i="321"/>
  <c r="I21" i="48" a="1"/>
  <c r="I21" i="48"/>
  <c r="F35" i="314"/>
  <c r="I354" i="48" a="1"/>
  <c r="I354" i="48"/>
  <c r="F17" i="321"/>
  <c r="I204" i="48" a="1"/>
  <c r="I204" i="48"/>
  <c r="I56" i="48" a="1"/>
  <c r="I56" i="48"/>
  <c r="I162" i="48" a="1"/>
  <c r="I162" i="48"/>
  <c r="I80" i="48" a="1"/>
  <c r="I80" i="48"/>
  <c r="EK155" i="282"/>
  <c r="EK161" i="282"/>
  <c r="FP155" i="282"/>
  <c r="FP161" i="282"/>
  <c r="EZ155" i="282"/>
  <c r="EZ161" i="282"/>
  <c r="I235" i="48" a="1"/>
  <c r="I235" i="48"/>
  <c r="EL155" i="282"/>
  <c r="EL161" i="282"/>
  <c r="I87" i="48" a="1"/>
  <c r="I87" i="48"/>
  <c r="I48" i="48" a="1"/>
  <c r="I48" i="48"/>
  <c r="I22" i="48" a="1"/>
  <c r="I22" i="48"/>
  <c r="I243" i="48" a="1"/>
  <c r="I243" i="48"/>
  <c r="I93" i="48" a="1"/>
  <c r="I93" i="48"/>
  <c r="I59" i="48" a="1"/>
  <c r="I59" i="48"/>
  <c r="I63" i="48" a="1"/>
  <c r="I63" i="48"/>
  <c r="G41" i="277"/>
  <c r="I96" i="48" a="1"/>
  <c r="I96" i="48"/>
  <c r="I91" i="48" a="1"/>
  <c r="I91" i="48"/>
  <c r="I108" i="48" a="1"/>
  <c r="I108" i="48"/>
  <c r="I146" i="48" a="1"/>
  <c r="I146" i="48"/>
  <c r="I335" i="48" a="1"/>
  <c r="I335" i="48"/>
  <c r="I270" i="48" a="1"/>
  <c r="I270" i="48"/>
  <c r="I274" i="48" a="1"/>
  <c r="I274" i="48"/>
  <c r="I282" i="48" a="1"/>
  <c r="I282" i="48"/>
  <c r="J253" i="306"/>
  <c r="I157" i="48" a="1"/>
  <c r="I157" i="48"/>
  <c r="I176" i="48" a="1"/>
  <c r="I176" i="48"/>
  <c r="I233" i="48" a="1"/>
  <c r="I233" i="48"/>
  <c r="I237" i="48" a="1"/>
  <c r="I237" i="48"/>
  <c r="F102" i="305"/>
  <c r="I123" i="48" a="1"/>
  <c r="I123" i="48"/>
  <c r="G126" i="269"/>
  <c r="G49" i="277"/>
  <c r="G62" i="328"/>
  <c r="GH155" i="282"/>
  <c r="GH161" i="282"/>
  <c r="DV155" i="282"/>
  <c r="DV161" i="282"/>
  <c r="I106" i="48" a="1"/>
  <c r="I106" i="48"/>
  <c r="I163" i="48" a="1"/>
  <c r="I163" i="48"/>
  <c r="I284" i="48" a="1"/>
  <c r="I284" i="48"/>
  <c r="G138" i="269"/>
  <c r="G61" i="277"/>
  <c r="G127" i="269"/>
  <c r="G50" i="277"/>
  <c r="I245" i="48" a="1"/>
  <c r="I245" i="48"/>
  <c r="G98" i="269"/>
  <c r="G21" i="277"/>
  <c r="G99" i="269"/>
  <c r="I399" i="48" a="1"/>
  <c r="I399" i="48"/>
  <c r="I100" i="48" a="1"/>
  <c r="I100" i="48"/>
  <c r="I69" i="48" a="1"/>
  <c r="I69" i="48"/>
  <c r="I52" i="48" a="1"/>
  <c r="I52" i="48"/>
  <c r="I107" i="48" a="1"/>
  <c r="I107" i="48"/>
  <c r="I139" i="48" a="1"/>
  <c r="I139" i="48"/>
  <c r="I188" i="48" a="1"/>
  <c r="I188" i="48"/>
  <c r="F323" i="321"/>
  <c r="I287" i="48" a="1"/>
  <c r="I287" i="48"/>
  <c r="G129" i="269"/>
  <c r="G52" i="277"/>
  <c r="J330" i="321"/>
  <c r="J218" i="321"/>
  <c r="J39" i="321"/>
  <c r="J11" i="278"/>
  <c r="E10" i="277"/>
  <c r="E89" i="269"/>
  <c r="J38" i="289"/>
  <c r="J133" i="288"/>
  <c r="J136" i="288"/>
  <c r="J138" i="288"/>
  <c r="J23" i="288"/>
  <c r="J25" i="288"/>
  <c r="K38" i="289"/>
  <c r="K133" i="288"/>
  <c r="K23" i="288"/>
  <c r="J4" i="286"/>
  <c r="L220" i="307"/>
  <c r="L668" i="307"/>
  <c r="L102" i="314"/>
  <c r="L271" i="306"/>
  <c r="L628" i="307"/>
  <c r="L256" i="306"/>
  <c r="L261" i="306"/>
  <c r="L266" i="306"/>
  <c r="L245" i="306"/>
  <c r="L663" i="307"/>
  <c r="L648" i="307"/>
  <c r="L276" i="306"/>
  <c r="L251" i="306"/>
  <c r="L643" i="307"/>
  <c r="L618" i="307"/>
  <c r="L228" i="288"/>
  <c r="L613" i="307"/>
  <c r="L233" i="306"/>
  <c r="L623" i="307"/>
  <c r="L84" i="288"/>
  <c r="L5" i="328"/>
  <c r="L5" i="265"/>
  <c r="L78" i="288"/>
  <c r="L607" i="307"/>
  <c r="L673" i="307"/>
  <c r="L234" i="288"/>
  <c r="L5" i="273"/>
  <c r="L5" i="289"/>
  <c r="L5" i="282"/>
  <c r="L5" i="315"/>
  <c r="L5" i="314"/>
  <c r="L5" i="278"/>
  <c r="L5" i="277"/>
  <c r="L239" i="306"/>
  <c r="L5" i="304"/>
  <c r="L5" i="309"/>
  <c r="L5" i="288"/>
  <c r="L5" i="286"/>
  <c r="L5" i="321"/>
  <c r="L5" i="275"/>
  <c r="L5" i="285"/>
  <c r="I90" i="48" a="1"/>
  <c r="I90" i="48"/>
  <c r="I62" i="48" a="1"/>
  <c r="I62" i="48"/>
  <c r="I384" i="48" a="1"/>
  <c r="I384" i="48"/>
  <c r="I88" i="48" a="1"/>
  <c r="I88" i="48"/>
  <c r="I68" i="48" a="1"/>
  <c r="I68" i="48"/>
  <c r="G45" i="277"/>
  <c r="G122" i="269"/>
  <c r="FM155" i="282"/>
  <c r="FM161" i="282"/>
  <c r="EW155" i="282"/>
  <c r="EW161" i="282"/>
  <c r="DA155" i="282"/>
  <c r="DA161" i="282"/>
  <c r="GB155" i="282"/>
  <c r="GB161" i="282"/>
  <c r="EF155" i="282"/>
  <c r="EF161" i="282"/>
  <c r="DP155" i="282"/>
  <c r="DP161" i="282"/>
  <c r="GE155" i="282"/>
  <c r="GE161" i="282"/>
  <c r="FK155" i="282"/>
  <c r="FK161" i="282"/>
  <c r="DO155" i="282"/>
  <c r="DO161" i="282"/>
  <c r="CY155" i="282"/>
  <c r="CY161" i="282"/>
  <c r="I53" i="48" a="1"/>
  <c r="I53" i="48"/>
  <c r="I97" i="48" a="1"/>
  <c r="I97" i="48"/>
  <c r="I101" i="48" a="1"/>
  <c r="I101" i="48"/>
  <c r="I73" i="48" a="1"/>
  <c r="I73" i="48"/>
  <c r="I385" i="48" a="1"/>
  <c r="I385" i="48"/>
  <c r="I43" i="48" a="1"/>
  <c r="I43" i="48"/>
  <c r="I51" i="48" a="1"/>
  <c r="I51" i="48"/>
  <c r="I103" i="48" a="1"/>
  <c r="I103" i="48"/>
  <c r="I109" i="48" a="1"/>
  <c r="I109" i="48"/>
  <c r="F251" i="273"/>
  <c r="I159" i="48" a="1"/>
  <c r="I159" i="48"/>
  <c r="GD155" i="282"/>
  <c r="GD161" i="282"/>
  <c r="FN155" i="282"/>
  <c r="FN161" i="282"/>
  <c r="DR155" i="282"/>
  <c r="DR161" i="282"/>
  <c r="DB155" i="282"/>
  <c r="DB161" i="282"/>
  <c r="F227" i="288"/>
  <c r="F83" i="288"/>
  <c r="F233" i="288"/>
  <c r="F77" i="288"/>
  <c r="FY155" i="282"/>
  <c r="FY161" i="282"/>
  <c r="FI155" i="282"/>
  <c r="FI161" i="282"/>
  <c r="DM155" i="282"/>
  <c r="DM161" i="282"/>
  <c r="CW155" i="282"/>
  <c r="CW161" i="282"/>
  <c r="ER155" i="282"/>
  <c r="ER161" i="282"/>
  <c r="EB155" i="282"/>
  <c r="EB161" i="282"/>
  <c r="FW155" i="282"/>
  <c r="FW161" i="282"/>
  <c r="FG155" i="282"/>
  <c r="FG161" i="282"/>
  <c r="DK155" i="282"/>
  <c r="DK161" i="282"/>
  <c r="I136" i="48" a="1"/>
  <c r="I136" i="48"/>
  <c r="I94" i="48" a="1"/>
  <c r="I94" i="48"/>
  <c r="I98" i="48" a="1"/>
  <c r="I98" i="48"/>
  <c r="I64" i="48" a="1"/>
  <c r="I64" i="48"/>
  <c r="I167" i="48" a="1"/>
  <c r="I167" i="48"/>
  <c r="F79" i="328"/>
  <c r="I18" i="48" a="1"/>
  <c r="I18" i="48"/>
  <c r="F70" i="273"/>
  <c r="I86" i="48" a="1"/>
  <c r="I86" i="48"/>
  <c r="I54" i="48" a="1"/>
  <c r="I54" i="48"/>
  <c r="I66" i="48" a="1"/>
  <c r="I66" i="48"/>
  <c r="I110" i="48" a="1"/>
  <c r="I110" i="48"/>
  <c r="I165" i="48" a="1"/>
  <c r="I165" i="48"/>
  <c r="ET155" i="282"/>
  <c r="ET161" i="282"/>
  <c r="ED155" i="282"/>
  <c r="ED161" i="282"/>
  <c r="I58" i="48" a="1"/>
  <c r="I58" i="48"/>
  <c r="I72" i="48" a="1"/>
  <c r="I72" i="48"/>
  <c r="F82" i="328"/>
  <c r="G7" i="326"/>
  <c r="F154" i="288"/>
  <c r="F156" i="288"/>
  <c r="F158" i="288"/>
  <c r="I19" i="48" a="1"/>
  <c r="I19" i="48"/>
  <c r="I102" i="48" a="1"/>
  <c r="I102" i="48"/>
  <c r="I171" i="48" a="1"/>
  <c r="I171" i="48"/>
  <c r="EO155" i="282"/>
  <c r="EO161" i="282"/>
  <c r="DY155" i="282"/>
  <c r="DY161" i="282"/>
  <c r="FT155" i="282"/>
  <c r="FT161" i="282"/>
  <c r="FD155" i="282"/>
  <c r="FD161" i="282"/>
  <c r="DH155" i="282"/>
  <c r="DH161" i="282"/>
  <c r="FS155" i="282"/>
  <c r="FS161" i="282"/>
  <c r="DW155" i="282"/>
  <c r="DW161" i="282"/>
  <c r="DG155" i="282"/>
  <c r="DG161" i="282"/>
  <c r="I44" i="48" a="1"/>
  <c r="I44" i="48"/>
  <c r="I95" i="48" a="1"/>
  <c r="I95" i="48"/>
  <c r="I99" i="48" a="1"/>
  <c r="I99" i="48"/>
  <c r="I65" i="48" a="1"/>
  <c r="I65" i="48"/>
  <c r="I198" i="48" a="1"/>
  <c r="I198" i="48"/>
  <c r="I13" i="48" a="1"/>
  <c r="I13" i="48"/>
  <c r="I49" i="48" a="1"/>
  <c r="I49" i="48"/>
  <c r="I55" i="48" a="1"/>
  <c r="I55" i="48"/>
  <c r="I105" i="48" a="1"/>
  <c r="I105" i="48"/>
  <c r="I111" i="48" a="1"/>
  <c r="I111" i="48"/>
  <c r="I168" i="48" a="1"/>
  <c r="I168" i="48"/>
  <c r="EP155" i="282"/>
  <c r="EP161" i="282"/>
  <c r="DZ155" i="282"/>
  <c r="DZ161" i="282"/>
  <c r="GA123" i="282"/>
  <c r="GA120" i="282"/>
  <c r="FK123" i="282"/>
  <c r="FK120" i="282"/>
  <c r="EU123" i="282"/>
  <c r="EU120" i="282"/>
  <c r="EE123" i="282"/>
  <c r="EE120" i="282"/>
  <c r="DO123" i="282"/>
  <c r="DO120" i="282"/>
  <c r="CY123" i="282"/>
  <c r="CY120" i="282"/>
  <c r="FI123" i="282"/>
  <c r="FI120" i="282"/>
  <c r="EC123" i="282"/>
  <c r="EC120" i="282"/>
  <c r="DA120" i="282"/>
  <c r="DA123" i="282"/>
  <c r="GD123" i="282"/>
  <c r="GD120" i="282"/>
  <c r="FN123" i="282"/>
  <c r="FN120" i="282"/>
  <c r="EX123" i="282"/>
  <c r="EX120" i="282"/>
  <c r="EH123" i="282"/>
  <c r="EH120" i="282"/>
  <c r="DR123" i="282"/>
  <c r="DR120" i="282"/>
  <c r="DB123" i="282"/>
  <c r="DB120" i="282"/>
  <c r="FU123" i="282"/>
  <c r="FU120" i="282"/>
  <c r="EO123" i="282"/>
  <c r="EO120" i="282"/>
  <c r="DI120" i="282"/>
  <c r="DI123" i="282"/>
  <c r="FW123" i="282"/>
  <c r="FW120" i="282"/>
  <c r="FG123" i="282"/>
  <c r="FG120" i="282"/>
  <c r="EQ123" i="282"/>
  <c r="EQ120" i="282"/>
  <c r="EA123" i="282"/>
  <c r="EA120" i="282"/>
  <c r="DK123" i="282"/>
  <c r="DK120" i="282"/>
  <c r="GG123" i="282"/>
  <c r="GG120" i="282"/>
  <c r="FA123" i="282"/>
  <c r="FA120" i="282"/>
  <c r="DU123" i="282"/>
  <c r="DU120" i="282"/>
  <c r="FZ123" i="282"/>
  <c r="FZ120" i="282"/>
  <c r="FJ123" i="282"/>
  <c r="FJ120" i="282"/>
  <c r="ET123" i="282"/>
  <c r="ET120" i="282"/>
  <c r="ED123" i="282"/>
  <c r="ED120" i="282"/>
  <c r="DN123" i="282"/>
  <c r="DN120" i="282"/>
  <c r="CX120" i="282"/>
  <c r="CX123" i="282"/>
  <c r="FM123" i="282"/>
  <c r="FM120" i="282"/>
  <c r="EG123" i="282"/>
  <c r="EG120" i="282"/>
  <c r="CW120" i="282"/>
  <c r="CW123" i="282"/>
  <c r="GI123" i="282"/>
  <c r="GI120" i="282"/>
  <c r="FS123" i="282"/>
  <c r="FS120" i="282"/>
  <c r="FC123" i="282"/>
  <c r="FC120" i="282"/>
  <c r="EM123" i="282"/>
  <c r="EM120" i="282"/>
  <c r="DW123" i="282"/>
  <c r="DW120" i="282"/>
  <c r="DG123" i="282"/>
  <c r="DG120" i="282"/>
  <c r="FY123" i="282"/>
  <c r="FY120" i="282"/>
  <c r="ES123" i="282"/>
  <c r="ES120" i="282"/>
  <c r="DM120" i="282"/>
  <c r="DM123" i="282"/>
  <c r="FV123" i="282"/>
  <c r="FV120" i="282"/>
  <c r="FF123" i="282"/>
  <c r="FF120" i="282"/>
  <c r="EP123" i="282"/>
  <c r="EP120" i="282"/>
  <c r="DZ123" i="282"/>
  <c r="DZ120" i="282"/>
  <c r="DJ123" i="282"/>
  <c r="DJ120" i="282"/>
  <c r="FE123" i="282"/>
  <c r="FE120" i="282"/>
  <c r="DY123" i="282"/>
  <c r="DY120" i="282"/>
  <c r="GE123" i="282"/>
  <c r="GE120" i="282"/>
  <c r="FO123" i="282"/>
  <c r="FO120" i="282"/>
  <c r="EY123" i="282"/>
  <c r="EY120" i="282"/>
  <c r="EI123" i="282"/>
  <c r="EI120" i="282"/>
  <c r="DS123" i="282"/>
  <c r="DS120" i="282"/>
  <c r="DC123" i="282"/>
  <c r="DC120" i="282"/>
  <c r="FQ123" i="282"/>
  <c r="FQ120" i="282"/>
  <c r="EK123" i="282"/>
  <c r="EK120" i="282"/>
  <c r="DE120" i="282"/>
  <c r="DE123" i="282"/>
  <c r="GH123" i="282"/>
  <c r="GH120" i="282"/>
  <c r="FR123" i="282"/>
  <c r="FR120" i="282"/>
  <c r="FB123" i="282"/>
  <c r="FB120" i="282"/>
  <c r="EL123" i="282"/>
  <c r="EL120" i="282"/>
  <c r="DV123" i="282"/>
  <c r="DV120" i="282"/>
  <c r="DF123" i="282"/>
  <c r="DF120" i="282"/>
  <c r="GC123" i="282"/>
  <c r="GC120" i="282"/>
  <c r="EW123" i="282"/>
  <c r="EW120" i="282"/>
  <c r="DQ123" i="282"/>
  <c r="DQ120" i="282"/>
  <c r="DG52" i="282"/>
  <c r="EJ52" i="282"/>
  <c r="DY55" i="282"/>
  <c r="EO55" i="282"/>
  <c r="FE55" i="282"/>
  <c r="FU52" i="282"/>
  <c r="EA55" i="282"/>
  <c r="EP55" i="282"/>
  <c r="DX55" i="282"/>
  <c r="CY55" i="282"/>
  <c r="FC55" i="282"/>
  <c r="CW55" i="282"/>
  <c r="FI52" i="282"/>
  <c r="DX52" i="282"/>
  <c r="CX52" i="282"/>
  <c r="DN52" i="282"/>
  <c r="ED52" i="282"/>
  <c r="ET55" i="282"/>
  <c r="FJ52" i="282"/>
  <c r="FZ55" i="282"/>
  <c r="GF55" i="282"/>
  <c r="DC55" i="282"/>
  <c r="DS55" i="282"/>
  <c r="EQ55" i="282"/>
  <c r="FG52" i="282"/>
  <c r="FW52" i="282"/>
  <c r="FP55" i="282"/>
  <c r="DA52" i="282"/>
  <c r="DQ52" i="282"/>
  <c r="EG52" i="282"/>
  <c r="EW52" i="282"/>
  <c r="FM55" i="282"/>
  <c r="GC55" i="282"/>
  <c r="J103" i="282"/>
  <c r="J512" i="321"/>
  <c r="J506" i="321"/>
  <c r="E84" i="277"/>
  <c r="E159" i="269"/>
  <c r="DJ55" i="282"/>
  <c r="DW52" i="282"/>
  <c r="ER55" i="282"/>
  <c r="GB55" i="282"/>
  <c r="EM52" i="282"/>
  <c r="DM55" i="282"/>
  <c r="FI55" i="282"/>
  <c r="ER52" i="282"/>
  <c r="CY52" i="282"/>
  <c r="EA52" i="282"/>
  <c r="EP52" i="282"/>
  <c r="DB52" i="282"/>
  <c r="DR55" i="282"/>
  <c r="EH55" i="282"/>
  <c r="EX52" i="282"/>
  <c r="FN52" i="282"/>
  <c r="GD55" i="282"/>
  <c r="CZ55" i="282"/>
  <c r="DP55" i="282"/>
  <c r="EF55" i="282"/>
  <c r="EZ55" i="282"/>
  <c r="FT52" i="282"/>
  <c r="GJ52" i="282"/>
  <c r="EU52" i="282"/>
  <c r="FK55" i="282"/>
  <c r="DE52" i="282"/>
  <c r="DU52" i="282"/>
  <c r="EK52" i="282"/>
  <c r="FA52" i="282"/>
  <c r="GG55" i="282"/>
  <c r="E60" i="277"/>
  <c r="E137" i="269"/>
  <c r="DZ52" i="282"/>
  <c r="FV52" i="282"/>
  <c r="DH55" i="282"/>
  <c r="FH55" i="282"/>
  <c r="DO52" i="282"/>
  <c r="FS52" i="282"/>
  <c r="E17" i="277"/>
  <c r="E96" i="269"/>
  <c r="G69" i="277"/>
  <c r="G145" i="269"/>
  <c r="DM52" i="282"/>
  <c r="EC55" i="282"/>
  <c r="FY52" i="282"/>
  <c r="DO55" i="282"/>
  <c r="FS55" i="282"/>
  <c r="FF55" i="282"/>
  <c r="GI52" i="282"/>
  <c r="DF55" i="282"/>
  <c r="DV55" i="282"/>
  <c r="EL55" i="282"/>
  <c r="FB52" i="282"/>
  <c r="FR52" i="282"/>
  <c r="GH52" i="282"/>
  <c r="DD55" i="282"/>
  <c r="DT52" i="282"/>
  <c r="EN52" i="282"/>
  <c r="FD52" i="282"/>
  <c r="FX52" i="282"/>
  <c r="DK55" i="282"/>
  <c r="EI52" i="282"/>
  <c r="EY52" i="282"/>
  <c r="FO55" i="282"/>
  <c r="GE55" i="282"/>
  <c r="CZ52" i="282"/>
  <c r="EF52" i="282"/>
  <c r="DC52" i="282"/>
  <c r="DP52" i="282"/>
  <c r="EZ52" i="282"/>
  <c r="DE55" i="282"/>
  <c r="DU55" i="282"/>
  <c r="EK55" i="282"/>
  <c r="FA55" i="282"/>
  <c r="FP52" i="282"/>
  <c r="FD55" i="282"/>
  <c r="FT55" i="282"/>
  <c r="GG52" i="282"/>
  <c r="EX55" i="282"/>
  <c r="GD52" i="282"/>
  <c r="G31" i="277"/>
  <c r="DD52" i="282"/>
  <c r="EN55" i="282"/>
  <c r="DK52" i="282"/>
  <c r="GE52" i="282"/>
  <c r="EL52" i="282"/>
  <c r="GH55" i="282"/>
  <c r="DH52" i="282"/>
  <c r="FX55" i="282"/>
  <c r="EI55" i="282"/>
  <c r="DF52" i="282"/>
  <c r="FR55" i="282"/>
  <c r="GB52" i="282"/>
  <c r="FB55" i="282"/>
  <c r="CX55" i="282"/>
  <c r="DN55" i="282"/>
  <c r="ED55" i="282"/>
  <c r="ET52" i="282"/>
  <c r="FV55" i="282"/>
  <c r="FH52" i="282"/>
  <c r="F65" i="321"/>
  <c r="F67" i="321"/>
  <c r="F31" i="311"/>
  <c r="J31" i="311"/>
  <c r="J78" i="311"/>
  <c r="F78" i="311"/>
  <c r="J10" i="269"/>
  <c r="F39" i="307"/>
  <c r="I371" i="48" a="1"/>
  <c r="I371" i="48"/>
  <c r="I312" i="48" a="1"/>
  <c r="I312" i="48"/>
  <c r="I153" i="48" a="1"/>
  <c r="I153" i="48"/>
  <c r="G71" i="277"/>
  <c r="G17" i="277"/>
  <c r="F300" i="48"/>
  <c r="F305" i="48"/>
  <c r="J25" i="315"/>
  <c r="G59" i="328"/>
  <c r="G107" i="277"/>
  <c r="J618" i="321"/>
  <c r="J626" i="321"/>
  <c r="DU155" i="282"/>
  <c r="DU161" i="282"/>
  <c r="K48" i="273"/>
  <c r="FF155" i="282"/>
  <c r="FF161" i="282"/>
  <c r="EM155" i="282"/>
  <c r="EM161" i="282"/>
  <c r="DX155" i="282"/>
  <c r="DX161" i="282"/>
  <c r="GJ155" i="282"/>
  <c r="GJ161" i="282"/>
  <c r="FE155" i="282"/>
  <c r="FE161" i="282"/>
  <c r="CX155" i="282"/>
  <c r="CX161" i="282"/>
  <c r="FJ155" i="282"/>
  <c r="FJ161" i="282"/>
  <c r="EA155" i="282"/>
  <c r="EA161" i="282"/>
  <c r="GA155" i="282"/>
  <c r="GA161" i="282"/>
  <c r="FH155" i="282"/>
  <c r="FH161" i="282"/>
  <c r="EC155" i="282"/>
  <c r="EC161" i="282"/>
  <c r="EH155" i="282"/>
  <c r="EH161" i="282"/>
  <c r="EE155" i="282"/>
  <c r="EE161" i="282"/>
  <c r="GI155" i="282"/>
  <c r="GI161" i="282"/>
  <c r="EV155" i="282"/>
  <c r="EV161" i="282"/>
  <c r="DQ155" i="282"/>
  <c r="DQ161" i="282"/>
  <c r="GC155" i="282"/>
  <c r="GC161" i="282"/>
  <c r="EY155" i="282"/>
  <c r="EY161" i="282"/>
  <c r="FR155" i="282"/>
  <c r="FR161" i="282"/>
  <c r="GG155" i="282"/>
  <c r="GG161" i="282"/>
  <c r="EI155" i="282"/>
  <c r="EI161" i="282"/>
  <c r="FV155" i="282"/>
  <c r="FV161" i="282"/>
  <c r="FC155" i="282"/>
  <c r="FC161" i="282"/>
  <c r="EN155" i="282"/>
  <c r="EN161" i="282"/>
  <c r="DI155" i="282"/>
  <c r="DI161" i="282"/>
  <c r="FU155" i="282"/>
  <c r="FU161" i="282"/>
  <c r="DN155" i="282"/>
  <c r="DN161" i="282"/>
  <c r="FZ155" i="282"/>
  <c r="FZ161" i="282"/>
  <c r="EQ155" i="282"/>
  <c r="EQ161" i="282"/>
  <c r="DL155" i="282"/>
  <c r="DL161" i="282"/>
  <c r="FX155" i="282"/>
  <c r="FX161" i="282"/>
  <c r="ES155" i="282"/>
  <c r="ES161" i="282"/>
  <c r="EX155" i="282"/>
  <c r="EX161" i="282"/>
  <c r="EU155" i="282"/>
  <c r="EU161" i="282"/>
  <c r="CZ155" i="282"/>
  <c r="CZ161" i="282"/>
  <c r="FL155" i="282"/>
  <c r="FL161" i="282"/>
  <c r="EG155" i="282"/>
  <c r="EG161" i="282"/>
  <c r="DS155" i="282"/>
  <c r="DS161" i="282"/>
  <c r="DJ155" i="282"/>
  <c r="DJ161" i="282"/>
  <c r="DF155" i="282"/>
  <c r="DF161" i="282"/>
  <c r="DC155" i="282"/>
  <c r="DC161" i="282"/>
  <c r="DT155" i="282"/>
  <c r="DT161" i="282"/>
  <c r="FA155" i="282"/>
  <c r="FA161" i="282"/>
  <c r="FB155" i="282"/>
  <c r="FB161" i="282"/>
  <c r="FO155" i="282"/>
  <c r="FO161" i="282"/>
  <c r="FQ155" i="282"/>
  <c r="FQ161" i="282"/>
  <c r="GF155" i="282"/>
  <c r="GF161" i="282"/>
  <c r="DE155" i="282"/>
  <c r="DE161" i="282"/>
  <c r="EJ155" i="282"/>
  <c r="EJ161" i="282"/>
  <c r="DS87" i="282"/>
  <c r="DS93" i="282"/>
  <c r="DC87" i="282"/>
  <c r="DC93" i="282"/>
  <c r="DW87" i="282"/>
  <c r="DW93" i="282"/>
  <c r="EQ87" i="282"/>
  <c r="EQ93" i="282"/>
  <c r="FK87" i="282"/>
  <c r="FK93" i="282"/>
  <c r="GA87" i="282"/>
  <c r="GA93" i="282"/>
  <c r="FX87" i="282"/>
  <c r="FX93" i="282"/>
  <c r="CX87" i="282"/>
  <c r="CX93" i="282"/>
  <c r="DN87" i="282"/>
  <c r="DN93" i="282"/>
  <c r="ED87" i="282"/>
  <c r="ED93" i="282"/>
  <c r="ET87" i="282"/>
  <c r="ET93" i="282"/>
  <c r="FJ87" i="282"/>
  <c r="FJ93" i="282"/>
  <c r="FZ87" i="282"/>
  <c r="FZ93" i="282"/>
  <c r="CZ87" i="282"/>
  <c r="CZ93" i="282"/>
  <c r="DP87" i="282"/>
  <c r="DP93" i="282"/>
  <c r="EF87" i="282"/>
  <c r="EF93" i="282"/>
  <c r="EV87" i="282"/>
  <c r="EV93" i="282"/>
  <c r="FL87" i="282"/>
  <c r="FL93" i="282"/>
  <c r="DE87" i="282"/>
  <c r="DE93" i="282"/>
  <c r="DU87" i="282"/>
  <c r="DU93" i="282"/>
  <c r="EK87" i="282"/>
  <c r="EK93" i="282"/>
  <c r="FA87" i="282"/>
  <c r="FA93" i="282"/>
  <c r="FQ87" i="282"/>
  <c r="FQ93" i="282"/>
  <c r="GG87" i="282"/>
  <c r="GG93" i="282"/>
  <c r="EY87" i="282"/>
  <c r="EY93" i="282"/>
  <c r="DG87" i="282"/>
  <c r="DG93" i="282"/>
  <c r="EU87" i="282"/>
  <c r="EU93" i="282"/>
  <c r="GI87" i="282"/>
  <c r="GI93" i="282"/>
  <c r="DB87" i="282"/>
  <c r="DB93" i="282"/>
  <c r="EH87" i="282"/>
  <c r="EH93" i="282"/>
  <c r="EX87" i="282"/>
  <c r="EX93" i="282"/>
  <c r="GD87" i="282"/>
  <c r="GD93" i="282"/>
  <c r="DT87" i="282"/>
  <c r="DT93" i="282"/>
  <c r="EZ87" i="282"/>
  <c r="EZ93" i="282"/>
  <c r="DI87" i="282"/>
  <c r="DI93" i="282"/>
  <c r="EO87" i="282"/>
  <c r="EO93" i="282"/>
  <c r="FU87" i="282"/>
  <c r="FU93" i="282"/>
  <c r="EE87" i="282"/>
  <c r="EE93" i="282"/>
  <c r="FC87" i="282"/>
  <c r="FC93" i="282"/>
  <c r="GF87" i="282"/>
  <c r="GF93" i="282"/>
  <c r="DV87" i="282"/>
  <c r="DV93" i="282"/>
  <c r="FB87" i="282"/>
  <c r="FB93" i="282"/>
  <c r="GH87" i="282"/>
  <c r="GH93" i="282"/>
  <c r="DX87" i="282"/>
  <c r="DX93" i="282"/>
  <c r="FD87" i="282"/>
  <c r="FD93" i="282"/>
  <c r="DM87" i="282"/>
  <c r="DM93" i="282"/>
  <c r="ES87" i="282"/>
  <c r="ES93" i="282"/>
  <c r="FY87" i="282"/>
  <c r="FY93" i="282"/>
  <c r="EA87" i="282"/>
  <c r="EA93" i="282"/>
  <c r="FO87" i="282"/>
  <c r="FO93" i="282"/>
  <c r="GB87" i="282"/>
  <c r="GB93" i="282"/>
  <c r="DR87" i="282"/>
  <c r="DR93" i="282"/>
  <c r="FN87" i="282"/>
  <c r="FN93" i="282"/>
  <c r="DD87" i="282"/>
  <c r="DD93" i="282"/>
  <c r="EJ87" i="282"/>
  <c r="EJ93" i="282"/>
  <c r="FP87" i="282"/>
  <c r="FP93" i="282"/>
  <c r="DY87" i="282"/>
  <c r="DY93" i="282"/>
  <c r="FE87" i="282"/>
  <c r="FE93" i="282"/>
  <c r="GE87" i="282"/>
  <c r="GE93" i="282"/>
  <c r="DK87" i="282"/>
  <c r="DK93" i="282"/>
  <c r="FS87" i="282"/>
  <c r="FS93" i="282"/>
  <c r="DF87" i="282"/>
  <c r="DF93" i="282"/>
  <c r="EL87" i="282"/>
  <c r="EL93" i="282"/>
  <c r="FR87" i="282"/>
  <c r="FR93" i="282"/>
  <c r="DH87" i="282"/>
  <c r="DH93" i="282"/>
  <c r="EN87" i="282"/>
  <c r="EN93" i="282"/>
  <c r="CW87" i="282"/>
  <c r="CW93" i="282"/>
  <c r="EC87" i="282"/>
  <c r="EC93" i="282"/>
  <c r="FI87" i="282"/>
  <c r="FI93" i="282"/>
  <c r="EI87" i="282"/>
  <c r="EI93" i="282"/>
  <c r="EM87" i="282"/>
  <c r="EM93" i="282"/>
  <c r="FT87" i="282"/>
  <c r="FT93" i="282"/>
  <c r="EP87" i="282"/>
  <c r="EP93" i="282"/>
  <c r="DL87" i="282"/>
  <c r="DL93" i="282"/>
  <c r="DA87" i="282"/>
  <c r="DA93" i="282"/>
  <c r="FM87" i="282"/>
  <c r="FM93" i="282"/>
  <c r="FG87" i="282"/>
  <c r="FG93" i="282"/>
  <c r="GJ87" i="282"/>
  <c r="GJ93" i="282"/>
  <c r="FF87" i="282"/>
  <c r="FF93" i="282"/>
  <c r="EB87" i="282"/>
  <c r="EB93" i="282"/>
  <c r="DQ87" i="282"/>
  <c r="DQ93" i="282"/>
  <c r="GC87" i="282"/>
  <c r="GC93" i="282"/>
  <c r="CY87" i="282"/>
  <c r="CY93" i="282"/>
  <c r="FW87" i="282"/>
  <c r="FW93" i="282"/>
  <c r="DJ87" i="282"/>
  <c r="DJ93" i="282"/>
  <c r="FV87" i="282"/>
  <c r="FV93" i="282"/>
  <c r="ER87" i="282"/>
  <c r="ER93" i="282"/>
  <c r="EG87" i="282"/>
  <c r="EG93" i="282"/>
  <c r="DO87" i="282"/>
  <c r="DO93" i="282"/>
  <c r="DZ87" i="282"/>
  <c r="DZ93" i="282"/>
  <c r="FH87" i="282"/>
  <c r="FH93" i="282"/>
  <c r="EW87" i="282"/>
  <c r="EW93" i="282"/>
  <c r="F103" i="278"/>
  <c r="G160" i="328"/>
  <c r="J29" i="310"/>
  <c r="J4" i="278"/>
  <c r="J4" i="304"/>
  <c r="J4" i="275"/>
  <c r="J4" i="309"/>
  <c r="F86" i="278"/>
  <c r="J92" i="278"/>
  <c r="J18" i="328"/>
  <c r="F119" i="328"/>
  <c r="H17" i="326"/>
  <c r="F118" i="328"/>
  <c r="H16" i="326"/>
  <c r="M663" i="307"/>
  <c r="M245" i="306"/>
  <c r="M668" i="307"/>
  <c r="M220" i="307"/>
  <c r="M271" i="306"/>
  <c r="M607" i="307"/>
  <c r="M613" i="307"/>
  <c r="M266" i="306"/>
  <c r="M102" i="314"/>
  <c r="M261" i="306"/>
  <c r="M233" i="306"/>
  <c r="M5" i="265"/>
  <c r="M643" i="307"/>
  <c r="M673" i="307"/>
  <c r="M628" i="307"/>
  <c r="M618" i="307"/>
  <c r="M251" i="306"/>
  <c r="M228" i="288"/>
  <c r="M256" i="306"/>
  <c r="M276" i="306"/>
  <c r="M648" i="307"/>
  <c r="M234" i="288"/>
  <c r="M84" i="288"/>
  <c r="M623" i="307"/>
  <c r="M5" i="328"/>
  <c r="M5" i="315"/>
  <c r="M5" i="288"/>
  <c r="M5" i="275"/>
  <c r="M5" i="285"/>
  <c r="M5" i="304"/>
  <c r="M5" i="278"/>
  <c r="M5" i="321"/>
  <c r="M5" i="289"/>
  <c r="M5" i="273"/>
  <c r="M5" i="309"/>
  <c r="M239" i="306"/>
  <c r="M5" i="282"/>
  <c r="M5" i="314"/>
  <c r="M5" i="277"/>
  <c r="M78" i="288"/>
  <c r="M5" i="286"/>
  <c r="J4" i="273"/>
  <c r="J11" i="328"/>
  <c r="J4" i="314"/>
  <c r="J4" i="289"/>
  <c r="J31" i="288"/>
  <c r="J181" i="288"/>
  <c r="J9" i="328"/>
  <c r="J12" i="328"/>
  <c r="J48" i="273"/>
  <c r="J4" i="321"/>
  <c r="J4" i="310"/>
  <c r="J4" i="282"/>
  <c r="J4" i="315"/>
  <c r="J4" i="285"/>
  <c r="J4" i="307"/>
  <c r="J4" i="306"/>
  <c r="J4" i="288"/>
  <c r="L38" i="289"/>
  <c r="L133" i="288"/>
  <c r="L23" i="288"/>
  <c r="J2" i="328"/>
  <c r="J10" i="289"/>
  <c r="AN18" i="309"/>
  <c r="AN136" i="307"/>
  <c r="AW18" i="309"/>
  <c r="AW136" i="307"/>
  <c r="AX18" i="309"/>
  <c r="AX136" i="307"/>
  <c r="M18" i="309"/>
  <c r="M136" i="307"/>
  <c r="AR18" i="309"/>
  <c r="AR136" i="307"/>
  <c r="AV18" i="309"/>
  <c r="AV136" i="307"/>
  <c r="BE18" i="309"/>
  <c r="BE136" i="307"/>
  <c r="K18" i="309"/>
  <c r="K136" i="307"/>
  <c r="AS18" i="309"/>
  <c r="AS136" i="307"/>
  <c r="AT18" i="309"/>
  <c r="AT136" i="307"/>
  <c r="AU18" i="309"/>
  <c r="AU136" i="307"/>
  <c r="BD18" i="309"/>
  <c r="BD136" i="307"/>
  <c r="J18" i="309"/>
  <c r="J136" i="307"/>
  <c r="AQ18" i="309"/>
  <c r="AQ136" i="307"/>
  <c r="BA18" i="309"/>
  <c r="BA136" i="307"/>
  <c r="AZ18" i="309"/>
  <c r="AZ136" i="307"/>
  <c r="AY18" i="309"/>
  <c r="AY136" i="307"/>
  <c r="L18" i="309"/>
  <c r="L136" i="307"/>
  <c r="BC18" i="309"/>
  <c r="BC136" i="307"/>
  <c r="AP18" i="309"/>
  <c r="AP136" i="307"/>
  <c r="AO18" i="309"/>
  <c r="AO136" i="307"/>
  <c r="BB18" i="309"/>
  <c r="BB136" i="307"/>
  <c r="F173" i="48"/>
  <c r="F20" i="264"/>
  <c r="F7" i="48"/>
  <c r="J107" i="305"/>
  <c r="J108" i="305"/>
  <c r="J112" i="305"/>
  <c r="J103" i="305"/>
  <c r="J104" i="305"/>
  <c r="J113" i="305"/>
  <c r="F81" i="328"/>
  <c r="F7" i="326"/>
  <c r="H6" i="326"/>
  <c r="F105" i="328"/>
  <c r="M13" i="326"/>
  <c r="H43" i="269"/>
  <c r="K43" i="269"/>
  <c r="J43" i="269"/>
  <c r="N674" i="307"/>
  <c r="N619" i="307"/>
  <c r="N221" i="307"/>
  <c r="N669" i="307"/>
  <c r="N664" i="307"/>
  <c r="N644" i="307"/>
  <c r="N246" i="306"/>
  <c r="N262" i="306"/>
  <c r="N267" i="306"/>
  <c r="N614" i="307"/>
  <c r="N649" i="307"/>
  <c r="N629" i="307"/>
  <c r="N277" i="306"/>
  <c r="N624" i="307"/>
  <c r="N240" i="306"/>
  <c r="N252" i="306"/>
  <c r="M221" i="307"/>
  <c r="M669" i="307"/>
  <c r="M664" i="307"/>
  <c r="M644" i="307"/>
  <c r="M674" i="307"/>
  <c r="M619" i="307"/>
  <c r="M267" i="306"/>
  <c r="M246" i="306"/>
  <c r="M262" i="306"/>
  <c r="M649" i="307"/>
  <c r="M629" i="307"/>
  <c r="M277" i="306"/>
  <c r="M614" i="307"/>
  <c r="M624" i="307"/>
  <c r="M240" i="306"/>
  <c r="M252" i="306"/>
  <c r="K664" i="307"/>
  <c r="K644" i="307"/>
  <c r="K674" i="307"/>
  <c r="K619" i="307"/>
  <c r="K221" i="307"/>
  <c r="K669" i="307"/>
  <c r="K267" i="306"/>
  <c r="K246" i="306"/>
  <c r="K262" i="306"/>
  <c r="K649" i="307"/>
  <c r="K629" i="307"/>
  <c r="K614" i="307"/>
  <c r="K277" i="306"/>
  <c r="K624" i="307"/>
  <c r="K252" i="306"/>
  <c r="K240" i="306"/>
  <c r="L669" i="307"/>
  <c r="L664" i="307"/>
  <c r="L644" i="307"/>
  <c r="L674" i="307"/>
  <c r="L619" i="307"/>
  <c r="L221" i="307"/>
  <c r="L267" i="306"/>
  <c r="L246" i="306"/>
  <c r="L262" i="306"/>
  <c r="L649" i="307"/>
  <c r="L629" i="307"/>
  <c r="L277" i="306"/>
  <c r="L614" i="307"/>
  <c r="L240" i="306"/>
  <c r="L252" i="306"/>
  <c r="L624" i="307"/>
  <c r="F83" i="328"/>
  <c r="J105" i="282"/>
  <c r="J17" i="307"/>
  <c r="F148" i="273"/>
  <c r="F151" i="273"/>
  <c r="F153" i="273"/>
  <c r="F87" i="328"/>
  <c r="H8" i="326"/>
  <c r="K9" i="328"/>
  <c r="K12" i="328"/>
  <c r="F113" i="273"/>
  <c r="F116" i="273"/>
  <c r="F118" i="273"/>
  <c r="F252" i="273"/>
  <c r="F255" i="273"/>
  <c r="F257" i="273"/>
  <c r="F188" i="273"/>
  <c r="F191" i="273"/>
  <c r="F193" i="273"/>
  <c r="J98" i="278"/>
  <c r="J17" i="328"/>
  <c r="J24" i="310"/>
  <c r="J12" i="307"/>
  <c r="N220" i="307"/>
  <c r="N102" i="314"/>
  <c r="N245" i="306"/>
  <c r="N271" i="306"/>
  <c r="N261" i="306"/>
  <c r="N648" i="307"/>
  <c r="N233" i="306"/>
  <c r="N663" i="307"/>
  <c r="N256" i="306"/>
  <c r="N266" i="306"/>
  <c r="N668" i="307"/>
  <c r="N628" i="307"/>
  <c r="N623" i="307"/>
  <c r="N673" i="307"/>
  <c r="N5" i="328"/>
  <c r="N643" i="307"/>
  <c r="N613" i="307"/>
  <c r="N276" i="306"/>
  <c r="N618" i="307"/>
  <c r="N251" i="306"/>
  <c r="N228" i="288"/>
  <c r="N78" i="288"/>
  <c r="N607" i="307"/>
  <c r="N234" i="288"/>
  <c r="N84" i="288"/>
  <c r="N5" i="265"/>
  <c r="N5" i="277"/>
  <c r="N239" i="306"/>
  <c r="N5" i="315"/>
  <c r="N5" i="286"/>
  <c r="N5" i="314"/>
  <c r="N5" i="321"/>
  <c r="N5" i="278"/>
  <c r="N5" i="282"/>
  <c r="N5" i="289"/>
  <c r="N5" i="285"/>
  <c r="N5" i="288"/>
  <c r="N5" i="304"/>
  <c r="N5" i="273"/>
  <c r="N5" i="275"/>
  <c r="N5" i="309"/>
  <c r="M133" i="288"/>
  <c r="M23" i="288"/>
  <c r="M38" i="289"/>
  <c r="J115" i="305"/>
  <c r="AW21" i="310"/>
  <c r="AW9" i="307"/>
  <c r="O21" i="310"/>
  <c r="O9" i="307"/>
  <c r="BE9" i="307"/>
  <c r="BE21" i="310"/>
  <c r="Z9" i="307"/>
  <c r="Z21" i="310"/>
  <c r="AM9" i="307"/>
  <c r="AM21" i="310"/>
  <c r="AL21" i="310"/>
  <c r="AL9" i="307"/>
  <c r="BC21" i="310"/>
  <c r="BC9" i="307"/>
  <c r="AR9" i="307"/>
  <c r="AR21" i="310"/>
  <c r="AA21" i="310"/>
  <c r="AA9" i="307"/>
  <c r="AN9" i="307"/>
  <c r="AN21" i="310"/>
  <c r="AC21" i="310"/>
  <c r="AC9" i="307"/>
  <c r="U21" i="310"/>
  <c r="U9" i="307"/>
  <c r="F306" i="48"/>
  <c r="F307" i="48"/>
  <c r="F21" i="264"/>
  <c r="AX22" i="310"/>
  <c r="AX10" i="307"/>
  <c r="AV10" i="307"/>
  <c r="AV22" i="310"/>
  <c r="U22" i="310"/>
  <c r="U10" i="307"/>
  <c r="AT10" i="307"/>
  <c r="AT22" i="310"/>
  <c r="N22" i="310"/>
  <c r="N10" i="307"/>
  <c r="Y10" i="307"/>
  <c r="Y22" i="310"/>
  <c r="J22" i="310"/>
  <c r="H23" i="306"/>
  <c r="F24" i="306"/>
  <c r="F10" i="288"/>
  <c r="J10" i="307"/>
  <c r="AE22" i="310"/>
  <c r="AE10" i="307"/>
  <c r="BA10" i="307"/>
  <c r="BA22" i="310"/>
  <c r="AB22" i="310"/>
  <c r="AB10" i="307"/>
  <c r="S10" i="307"/>
  <c r="S22" i="310"/>
  <c r="AW22" i="310"/>
  <c r="AW10" i="307"/>
  <c r="CG597" i="321"/>
  <c r="CG700" i="321"/>
  <c r="AW597" i="321"/>
  <c r="AW700" i="321"/>
  <c r="CM597" i="321"/>
  <c r="CM700" i="321"/>
  <c r="CC597" i="321"/>
  <c r="CC700" i="321"/>
  <c r="BH597" i="321"/>
  <c r="BH700" i="321"/>
  <c r="Y597" i="321"/>
  <c r="Y700" i="321"/>
  <c r="CF700" i="321"/>
  <c r="CF597" i="321"/>
  <c r="AE597" i="321"/>
  <c r="AE700" i="321"/>
  <c r="CO597" i="321"/>
  <c r="CO700" i="321"/>
  <c r="BW700" i="321"/>
  <c r="BW597" i="321"/>
  <c r="AJ597" i="321"/>
  <c r="AJ700" i="321"/>
  <c r="BZ700" i="321"/>
  <c r="BZ597" i="321"/>
  <c r="BE597" i="321"/>
  <c r="BE700" i="321"/>
  <c r="AD597" i="321"/>
  <c r="AD700" i="321"/>
  <c r="CH597" i="321"/>
  <c r="CH700" i="321"/>
  <c r="BO700" i="321"/>
  <c r="BO597" i="321"/>
  <c r="AN597" i="321"/>
  <c r="AN700" i="321"/>
  <c r="BA597" i="321"/>
  <c r="BA700" i="321"/>
  <c r="AR597" i="321"/>
  <c r="AR700" i="321"/>
  <c r="AF597" i="321"/>
  <c r="AF700" i="321"/>
  <c r="T597" i="321"/>
  <c r="T700" i="321"/>
  <c r="AQ597" i="321"/>
  <c r="AQ700" i="321"/>
  <c r="U597" i="321"/>
  <c r="U700" i="321"/>
  <c r="AI9" i="307"/>
  <c r="AI21" i="310"/>
  <c r="AZ9" i="307"/>
  <c r="AZ21" i="310"/>
  <c r="S21" i="310"/>
  <c r="S9" i="307"/>
  <c r="AX9" i="307"/>
  <c r="AX21" i="310"/>
  <c r="R9" i="307"/>
  <c r="R21" i="310"/>
  <c r="AO9" i="307"/>
  <c r="AO21" i="310"/>
  <c r="V21" i="310"/>
  <c r="V9" i="307"/>
  <c r="W9" i="307"/>
  <c r="W21" i="310"/>
  <c r="AB9" i="307"/>
  <c r="AB21" i="310"/>
  <c r="AG21" i="310"/>
  <c r="AG9" i="307"/>
  <c r="AF21" i="310"/>
  <c r="AF9" i="307"/>
  <c r="AS21" i="310"/>
  <c r="AS9" i="307"/>
  <c r="AH10" i="307"/>
  <c r="AH22" i="310"/>
  <c r="AF22" i="310"/>
  <c r="AF10" i="307"/>
  <c r="BE22" i="310"/>
  <c r="BE10" i="307"/>
  <c r="AL10" i="307"/>
  <c r="AL22" i="310"/>
  <c r="AA10" i="307"/>
  <c r="AA22" i="310"/>
  <c r="AG22" i="310"/>
  <c r="AG10" i="307"/>
  <c r="AQ22" i="310"/>
  <c r="AQ10" i="307"/>
  <c r="BD22" i="310"/>
  <c r="BD10" i="307"/>
  <c r="AZ22" i="310"/>
  <c r="AZ10" i="307"/>
  <c r="T22" i="310"/>
  <c r="T10" i="307"/>
  <c r="AK22" i="310"/>
  <c r="AK10" i="307"/>
  <c r="AO22" i="310"/>
  <c r="AO10" i="307"/>
  <c r="BU700" i="321"/>
  <c r="BU597" i="321"/>
  <c r="CR597" i="321"/>
  <c r="CR700" i="321"/>
  <c r="CK597" i="321"/>
  <c r="CK700" i="321"/>
  <c r="BV597" i="321"/>
  <c r="BV700" i="321"/>
  <c r="BF597" i="321"/>
  <c r="BF700" i="321"/>
  <c r="Q597" i="321"/>
  <c r="Q700" i="321"/>
  <c r="CA597" i="321"/>
  <c r="CA700" i="321"/>
  <c r="W597" i="321"/>
  <c r="W700" i="321"/>
  <c r="CL597" i="321"/>
  <c r="CL700" i="321"/>
  <c r="BN597" i="321"/>
  <c r="BN700" i="321"/>
  <c r="M700" i="321"/>
  <c r="BT597" i="321"/>
  <c r="BT700" i="321"/>
  <c r="AZ597" i="321"/>
  <c r="AZ700" i="321"/>
  <c r="V597" i="321"/>
  <c r="V700" i="321"/>
  <c r="BY700" i="321"/>
  <c r="BY597" i="321"/>
  <c r="BJ597" i="321"/>
  <c r="BJ700" i="321"/>
  <c r="AG597" i="321"/>
  <c r="AG700" i="321"/>
  <c r="AY597" i="321"/>
  <c r="AY700" i="321"/>
  <c r="AP597" i="321"/>
  <c r="AP700" i="321"/>
  <c r="AB597" i="321"/>
  <c r="AB700" i="321"/>
  <c r="R597" i="321"/>
  <c r="R700" i="321"/>
  <c r="AM597" i="321"/>
  <c r="AM700" i="321"/>
  <c r="S597" i="321"/>
  <c r="S700" i="321"/>
  <c r="K103" i="305"/>
  <c r="K104" i="305"/>
  <c r="K113" i="305"/>
  <c r="K107" i="305"/>
  <c r="K108" i="305"/>
  <c r="K112" i="305"/>
  <c r="K2" i="328"/>
  <c r="K268" i="306"/>
  <c r="AD21" i="310"/>
  <c r="AD9" i="307"/>
  <c r="AJ9" i="307"/>
  <c r="AJ21" i="310"/>
  <c r="AY21" i="310"/>
  <c r="AY9" i="307"/>
  <c r="AP9" i="307"/>
  <c r="AP21" i="310"/>
  <c r="J21" i="310"/>
  <c r="H17" i="306"/>
  <c r="F18" i="306"/>
  <c r="F9" i="288"/>
  <c r="F11" i="288"/>
  <c r="F14" i="288"/>
  <c r="J9" i="307"/>
  <c r="BB21" i="310"/>
  <c r="BB9" i="307"/>
  <c r="N21" i="310"/>
  <c r="N9" i="307"/>
  <c r="AQ21" i="310"/>
  <c r="AQ9" i="307"/>
  <c r="L9" i="307"/>
  <c r="L21" i="310"/>
  <c r="BD21" i="310"/>
  <c r="BD9" i="307"/>
  <c r="X9" i="307"/>
  <c r="X21" i="310"/>
  <c r="AE21" i="310"/>
  <c r="AE9" i="307"/>
  <c r="R22" i="310"/>
  <c r="R10" i="307"/>
  <c r="P22" i="310"/>
  <c r="P10" i="307"/>
  <c r="Q22" i="310"/>
  <c r="Q10" i="307"/>
  <c r="AD22" i="310"/>
  <c r="AD10" i="307"/>
  <c r="AS22" i="310"/>
  <c r="AS10" i="307"/>
  <c r="AP10" i="307"/>
  <c r="AP22" i="310"/>
  <c r="AC10" i="307"/>
  <c r="AC22" i="310"/>
  <c r="AN10" i="307"/>
  <c r="AN22" i="310"/>
  <c r="AR10" i="307"/>
  <c r="AR22" i="310"/>
  <c r="L22" i="310"/>
  <c r="L10" i="307"/>
  <c r="AM22" i="310"/>
  <c r="AM10" i="307"/>
  <c r="AU22" i="310"/>
  <c r="AU10" i="307"/>
  <c r="BL597" i="321"/>
  <c r="BL700" i="321"/>
  <c r="L700" i="321"/>
  <c r="CI597" i="321"/>
  <c r="CI700" i="321"/>
  <c r="BS700" i="321"/>
  <c r="BS597" i="321"/>
  <c r="BB597" i="321"/>
  <c r="BB700" i="321"/>
  <c r="CS597" i="321"/>
  <c r="CS700" i="321"/>
  <c r="BG700" i="321"/>
  <c r="BG597" i="321"/>
  <c r="CD597" i="321"/>
  <c r="CD700" i="321"/>
  <c r="BK700" i="321"/>
  <c r="BK597" i="321"/>
  <c r="CU597" i="321"/>
  <c r="CU700" i="321"/>
  <c r="BR700" i="321"/>
  <c r="BR597" i="321"/>
  <c r="AO597" i="321"/>
  <c r="AO700" i="321"/>
  <c r="K700" i="321"/>
  <c r="BX597" i="321"/>
  <c r="BX700" i="321"/>
  <c r="BI700" i="321"/>
  <c r="BI597" i="321"/>
  <c r="N700" i="321"/>
  <c r="AV597" i="321"/>
  <c r="AV700" i="321"/>
  <c r="AK597" i="321"/>
  <c r="AK700" i="321"/>
  <c r="Z597" i="321"/>
  <c r="Z700" i="321"/>
  <c r="J700" i="321"/>
  <c r="AC597" i="321"/>
  <c r="AC700" i="321"/>
  <c r="J26" i="305"/>
  <c r="J27" i="305"/>
  <c r="J31" i="305"/>
  <c r="K32" i="305"/>
  <c r="K34" i="305"/>
  <c r="K35" i="305"/>
  <c r="K4" i="305"/>
  <c r="J183" i="288"/>
  <c r="J2" i="309"/>
  <c r="J208" i="288"/>
  <c r="J58" i="288"/>
  <c r="J2" i="307"/>
  <c r="J2" i="306"/>
  <c r="J33" i="288"/>
  <c r="J147" i="288"/>
  <c r="J2" i="310"/>
  <c r="J2" i="305"/>
  <c r="J34" i="311"/>
  <c r="J268" i="306"/>
  <c r="K21" i="310"/>
  <c r="K9" i="307"/>
  <c r="T9" i="307"/>
  <c r="T21" i="310"/>
  <c r="Y9" i="307"/>
  <c r="Y21" i="310"/>
  <c r="AH9" i="307"/>
  <c r="AH21" i="310"/>
  <c r="M21" i="310"/>
  <c r="M9" i="307"/>
  <c r="AT21" i="310"/>
  <c r="AT9" i="307"/>
  <c r="AK21" i="310"/>
  <c r="AK9" i="307"/>
  <c r="Q21" i="310"/>
  <c r="Q9" i="307"/>
  <c r="AU21" i="310"/>
  <c r="AU9" i="307"/>
  <c r="AV21" i="310"/>
  <c r="AV9" i="307"/>
  <c r="P21" i="310"/>
  <c r="P9" i="307"/>
  <c r="BA21" i="310"/>
  <c r="BA9" i="307"/>
  <c r="F85" i="328"/>
  <c r="F8" i="326"/>
  <c r="H7" i="326"/>
  <c r="K22" i="310"/>
  <c r="K10" i="307"/>
  <c r="AI10" i="307"/>
  <c r="AI22" i="310"/>
  <c r="BB22" i="310"/>
  <c r="BB10" i="307"/>
  <c r="V22" i="310"/>
  <c r="V10" i="307"/>
  <c r="M22" i="310"/>
  <c r="M10" i="307"/>
  <c r="Z22" i="310"/>
  <c r="Z10" i="307"/>
  <c r="BC10" i="307"/>
  <c r="BC22" i="310"/>
  <c r="X22" i="310"/>
  <c r="X10" i="307"/>
  <c r="AJ10" i="307"/>
  <c r="AJ22" i="310"/>
  <c r="AY10" i="307"/>
  <c r="AY22" i="310"/>
  <c r="O22" i="310"/>
  <c r="O10" i="307"/>
  <c r="W10" i="307"/>
  <c r="W22" i="310"/>
  <c r="CT597" i="321"/>
  <c r="CT700" i="321"/>
  <c r="CP700" i="321"/>
  <c r="CP597" i="321"/>
  <c r="CE597" i="321"/>
  <c r="CE700" i="321"/>
  <c r="BM700" i="321"/>
  <c r="BM597" i="321"/>
  <c r="AU597" i="321"/>
  <c r="AU700" i="321"/>
  <c r="CN700" i="321"/>
  <c r="CN597" i="321"/>
  <c r="AL597" i="321"/>
  <c r="AL700" i="321"/>
  <c r="CV700" i="321"/>
  <c r="CV597" i="321"/>
  <c r="CB597" i="321"/>
  <c r="CB700" i="321"/>
  <c r="AX597" i="321"/>
  <c r="AX700" i="321"/>
  <c r="CQ597" i="321"/>
  <c r="CQ700" i="321"/>
  <c r="BQ700" i="321"/>
  <c r="BQ597" i="321"/>
  <c r="AH597" i="321"/>
  <c r="AH700" i="321"/>
  <c r="CJ597" i="321"/>
  <c r="CJ700" i="321"/>
  <c r="BP597" i="321"/>
  <c r="BP700" i="321"/>
  <c r="BC700" i="321"/>
  <c r="BC597" i="321"/>
  <c r="BD597" i="321"/>
  <c r="BD700" i="321"/>
  <c r="AT597" i="321"/>
  <c r="AT700" i="321"/>
  <c r="AI597" i="321"/>
  <c r="AI700" i="321"/>
  <c r="X700" i="321"/>
  <c r="X597" i="321"/>
  <c r="AS597" i="321"/>
  <c r="AS700" i="321"/>
  <c r="AA597" i="321"/>
  <c r="AA700" i="321"/>
  <c r="L43" i="269"/>
  <c r="J9" i="310"/>
  <c r="J283" i="307"/>
  <c r="F26" i="311"/>
  <c r="J26" i="311"/>
  <c r="J73" i="311"/>
  <c r="F73" i="311"/>
  <c r="O664" i="307"/>
  <c r="O644" i="307"/>
  <c r="O674" i="307"/>
  <c r="O619" i="307"/>
  <c r="O221" i="307"/>
  <c r="O669" i="307"/>
  <c r="O267" i="306"/>
  <c r="O246" i="306"/>
  <c r="O262" i="306"/>
  <c r="O649" i="307"/>
  <c r="O629" i="307"/>
  <c r="O277" i="306"/>
  <c r="O614" i="307"/>
  <c r="O624" i="307"/>
  <c r="O240" i="306"/>
  <c r="O252" i="306"/>
  <c r="J22" i="315"/>
  <c r="J59" i="315"/>
  <c r="M48" i="273"/>
  <c r="F197" i="273"/>
  <c r="F157" i="273"/>
  <c r="L48" i="273"/>
  <c r="L9" i="328"/>
  <c r="L12" i="328"/>
  <c r="J89" i="305"/>
  <c r="K90" i="305"/>
  <c r="K41" i="305"/>
  <c r="K115" i="305"/>
  <c r="J28" i="310"/>
  <c r="J100" i="306"/>
  <c r="J105" i="306"/>
  <c r="O663" i="307"/>
  <c r="O102" i="314"/>
  <c r="O643" i="307"/>
  <c r="O276" i="306"/>
  <c r="O261" i="306"/>
  <c r="O668" i="307"/>
  <c r="O220" i="307"/>
  <c r="O245" i="306"/>
  <c r="O266" i="306"/>
  <c r="O648" i="307"/>
  <c r="O618" i="307"/>
  <c r="O228" i="288"/>
  <c r="O78" i="288"/>
  <c r="O84" i="288"/>
  <c r="O628" i="307"/>
  <c r="O623" i="307"/>
  <c r="O613" i="307"/>
  <c r="O673" i="307"/>
  <c r="O233" i="306"/>
  <c r="O271" i="306"/>
  <c r="O256" i="306"/>
  <c r="O607" i="307"/>
  <c r="O234" i="288"/>
  <c r="O5" i="321"/>
  <c r="O5" i="282"/>
  <c r="O5" i="286"/>
  <c r="O5" i="314"/>
  <c r="O5" i="277"/>
  <c r="O239" i="306"/>
  <c r="O5" i="315"/>
  <c r="O5" i="273"/>
  <c r="O5" i="288"/>
  <c r="O251" i="306"/>
  <c r="O5" i="265"/>
  <c r="O5" i="289"/>
  <c r="O5" i="275"/>
  <c r="O5" i="285"/>
  <c r="O5" i="304"/>
  <c r="O5" i="309"/>
  <c r="O5" i="328"/>
  <c r="O5" i="278"/>
  <c r="N44" i="273"/>
  <c r="N38" i="289"/>
  <c r="N133" i="288"/>
  <c r="N23" i="288"/>
  <c r="AU11" i="307"/>
  <c r="AU23" i="310"/>
  <c r="Q23" i="310"/>
  <c r="Q11" i="307"/>
  <c r="AT11" i="307"/>
  <c r="AT23" i="310"/>
  <c r="M11" i="307"/>
  <c r="M23" i="310"/>
  <c r="AH11" i="307"/>
  <c r="AH23" i="310"/>
  <c r="Y11" i="307"/>
  <c r="Y23" i="310"/>
  <c r="H79" i="306"/>
  <c r="H9" i="307"/>
  <c r="H62" i="306"/>
  <c r="H21" i="310"/>
  <c r="AP23" i="310"/>
  <c r="AP11" i="307"/>
  <c r="L10" i="289"/>
  <c r="L2" i="328"/>
  <c r="K26" i="305"/>
  <c r="K27" i="305"/>
  <c r="K31" i="305"/>
  <c r="L32" i="305"/>
  <c r="L34" i="305"/>
  <c r="L35" i="305"/>
  <c r="L4" i="305"/>
  <c r="K147" i="288"/>
  <c r="K2" i="309"/>
  <c r="K183" i="288"/>
  <c r="K208" i="288"/>
  <c r="K33" i="288"/>
  <c r="K2" i="307"/>
  <c r="K2" i="310"/>
  <c r="K34" i="311"/>
  <c r="K58" i="288"/>
  <c r="K2" i="306"/>
  <c r="K2" i="305"/>
  <c r="AG11" i="307"/>
  <c r="AG23" i="310"/>
  <c r="R23" i="310"/>
  <c r="R11" i="307"/>
  <c r="S23" i="310"/>
  <c r="S11" i="307"/>
  <c r="H22" i="310"/>
  <c r="H80" i="306"/>
  <c r="H10" i="307"/>
  <c r="AC23" i="310"/>
  <c r="AC11" i="307"/>
  <c r="AN11" i="307"/>
  <c r="AN23" i="310"/>
  <c r="BC23" i="310"/>
  <c r="BC11" i="307"/>
  <c r="T23" i="310"/>
  <c r="T11" i="307"/>
  <c r="X23" i="310"/>
  <c r="X11" i="307"/>
  <c r="BD23" i="310"/>
  <c r="BD11" i="307"/>
  <c r="AY23" i="310"/>
  <c r="AY11" i="307"/>
  <c r="AD23" i="310"/>
  <c r="AD11" i="307"/>
  <c r="L103" i="305"/>
  <c r="L104" i="305"/>
  <c r="L113" i="305"/>
  <c r="L107" i="305"/>
  <c r="L108" i="305"/>
  <c r="L112" i="305"/>
  <c r="V23" i="310"/>
  <c r="V11" i="307"/>
  <c r="AX23" i="310"/>
  <c r="AX11" i="307"/>
  <c r="AA23" i="310"/>
  <c r="AA11" i="307"/>
  <c r="Z11" i="307"/>
  <c r="Z23" i="310"/>
  <c r="P23" i="310"/>
  <c r="P11" i="307"/>
  <c r="AV11" i="307"/>
  <c r="AV23" i="310"/>
  <c r="AK11" i="307"/>
  <c r="AK23" i="310"/>
  <c r="AE11" i="307"/>
  <c r="AE23" i="310"/>
  <c r="AQ11" i="307"/>
  <c r="AQ23" i="310"/>
  <c r="AJ11" i="307"/>
  <c r="AJ23" i="310"/>
  <c r="AB11" i="307"/>
  <c r="AB23" i="310"/>
  <c r="AO23" i="310"/>
  <c r="AO11" i="307"/>
  <c r="AZ23" i="310"/>
  <c r="AZ11" i="307"/>
  <c r="U23" i="310"/>
  <c r="U11" i="307"/>
  <c r="AR23" i="310"/>
  <c r="AR11" i="307"/>
  <c r="AL23" i="310"/>
  <c r="AL11" i="307"/>
  <c r="O11" i="307"/>
  <c r="O23" i="310"/>
  <c r="AW23" i="310"/>
  <c r="AW11" i="307"/>
  <c r="BA23" i="310"/>
  <c r="BA11" i="307"/>
  <c r="K23" i="310"/>
  <c r="K11" i="307"/>
  <c r="L23" i="310"/>
  <c r="L11" i="307"/>
  <c r="N23" i="310"/>
  <c r="N11" i="307"/>
  <c r="BB11" i="307"/>
  <c r="BB23" i="310"/>
  <c r="H63" i="306"/>
  <c r="J23" i="310"/>
  <c r="J11" i="307"/>
  <c r="J258" i="273"/>
  <c r="J154" i="273"/>
  <c r="J3" i="328"/>
  <c r="J8" i="328"/>
  <c r="J2" i="273"/>
  <c r="J2" i="288"/>
  <c r="J2" i="321"/>
  <c r="J2" i="282"/>
  <c r="J119" i="273"/>
  <c r="J120" i="273"/>
  <c r="J123" i="273"/>
  <c r="J194" i="273"/>
  <c r="J59" i="288"/>
  <c r="J148" i="288"/>
  <c r="J2" i="275"/>
  <c r="J2" i="315"/>
  <c r="J2" i="286"/>
  <c r="J198" i="273"/>
  <c r="J158" i="273"/>
  <c r="J2" i="278"/>
  <c r="J184" i="288"/>
  <c r="J2" i="289"/>
  <c r="J49" i="273"/>
  <c r="J209" i="288"/>
  <c r="J71" i="273"/>
  <c r="J2" i="265"/>
  <c r="J2" i="304"/>
  <c r="J2" i="285"/>
  <c r="J34" i="288"/>
  <c r="J2" i="314"/>
  <c r="J38" i="311"/>
  <c r="AS23" i="310"/>
  <c r="AS11" i="307"/>
  <c r="AF23" i="310"/>
  <c r="AF11" i="307"/>
  <c r="W23" i="310"/>
  <c r="W11" i="307"/>
  <c r="AI11" i="307"/>
  <c r="AI23" i="310"/>
  <c r="AM11" i="307"/>
  <c r="AM23" i="310"/>
  <c r="BE11" i="307"/>
  <c r="BE23" i="310"/>
  <c r="P669" i="307"/>
  <c r="P664" i="307"/>
  <c r="P644" i="307"/>
  <c r="P674" i="307"/>
  <c r="P619" i="307"/>
  <c r="P221" i="307"/>
  <c r="P267" i="306"/>
  <c r="P246" i="306"/>
  <c r="P262" i="306"/>
  <c r="P649" i="307"/>
  <c r="P629" i="307"/>
  <c r="P277" i="306"/>
  <c r="P614" i="307"/>
  <c r="P240" i="306"/>
  <c r="P252" i="306"/>
  <c r="P624" i="307"/>
  <c r="N45" i="273"/>
  <c r="N9" i="328"/>
  <c r="J16" i="307"/>
  <c r="M9" i="328"/>
  <c r="M12" i="328"/>
  <c r="J159" i="273"/>
  <c r="J162" i="273"/>
  <c r="J36" i="289"/>
  <c r="J39" i="289"/>
  <c r="L115" i="305"/>
  <c r="J11" i="289"/>
  <c r="J12" i="289"/>
  <c r="J30" i="289"/>
  <c r="J32" i="289"/>
  <c r="J37" i="289"/>
  <c r="N48" i="273"/>
  <c r="P668" i="307"/>
  <c r="P220" i="307"/>
  <c r="P256" i="306"/>
  <c r="P628" i="307"/>
  <c r="P245" i="306"/>
  <c r="P271" i="306"/>
  <c r="P663" i="307"/>
  <c r="P102" i="314"/>
  <c r="P261" i="306"/>
  <c r="P607" i="307"/>
  <c r="P233" i="306"/>
  <c r="P251" i="306"/>
  <c r="P643" i="307"/>
  <c r="P266" i="306"/>
  <c r="P613" i="307"/>
  <c r="P623" i="307"/>
  <c r="P276" i="306"/>
  <c r="P673" i="307"/>
  <c r="P5" i="328"/>
  <c r="P5" i="265"/>
  <c r="P78" i="288"/>
  <c r="P228" i="288"/>
  <c r="P5" i="314"/>
  <c r="P5" i="273"/>
  <c r="P5" i="304"/>
  <c r="P648" i="307"/>
  <c r="P234" i="288"/>
  <c r="P5" i="309"/>
  <c r="P5" i="278"/>
  <c r="P5" i="286"/>
  <c r="P5" i="277"/>
  <c r="P239" i="306"/>
  <c r="P5" i="315"/>
  <c r="P5" i="288"/>
  <c r="P5" i="285"/>
  <c r="P5" i="321"/>
  <c r="P5" i="282"/>
  <c r="P618" i="307"/>
  <c r="P5" i="275"/>
  <c r="P84" i="288"/>
  <c r="P5" i="289"/>
  <c r="O44" i="273"/>
  <c r="O45" i="273"/>
  <c r="O38" i="289"/>
  <c r="O133" i="288"/>
  <c r="O23" i="288"/>
  <c r="J199" i="273"/>
  <c r="J202" i="273"/>
  <c r="J195" i="273"/>
  <c r="J39" i="305"/>
  <c r="J42" i="305"/>
  <c r="J49" i="305"/>
  <c r="J50" i="305"/>
  <c r="J3" i="309"/>
  <c r="H59" i="269"/>
  <c r="K59" i="269"/>
  <c r="F138" i="328"/>
  <c r="J155" i="273"/>
  <c r="K36" i="289"/>
  <c r="J259" i="273"/>
  <c r="J674" i="321" s="1"/>
  <c r="J676" i="321" s="1"/>
  <c r="K258" i="273"/>
  <c r="K158" i="273"/>
  <c r="K159" i="273"/>
  <c r="K162" i="273"/>
  <c r="K59" i="288"/>
  <c r="K2" i="289"/>
  <c r="K2" i="278"/>
  <c r="K2" i="273"/>
  <c r="K2" i="285"/>
  <c r="K119" i="273"/>
  <c r="K120" i="273"/>
  <c r="K123" i="273"/>
  <c r="K198" i="273"/>
  <c r="K199" i="273"/>
  <c r="K202" i="273"/>
  <c r="K3" i="328"/>
  <c r="K8" i="328"/>
  <c r="K2" i="304"/>
  <c r="K2" i="314"/>
  <c r="K2" i="315"/>
  <c r="K71" i="273"/>
  <c r="K72" i="273"/>
  <c r="K38" i="311"/>
  <c r="K49" i="273"/>
  <c r="K209" i="288"/>
  <c r="K184" i="288"/>
  <c r="K2" i="282"/>
  <c r="K194" i="273"/>
  <c r="K2" i="286"/>
  <c r="K2" i="321"/>
  <c r="K34" i="288"/>
  <c r="K154" i="273"/>
  <c r="K155" i="273"/>
  <c r="K2" i="275"/>
  <c r="K148" i="288"/>
  <c r="K2" i="265"/>
  <c r="K2" i="288"/>
  <c r="H11" i="307"/>
  <c r="H81" i="306"/>
  <c r="H23" i="310"/>
  <c r="H61" i="269"/>
  <c r="K61" i="269"/>
  <c r="F142" i="328"/>
  <c r="L26" i="305"/>
  <c r="L27" i="305"/>
  <c r="L31" i="305"/>
  <c r="M32" i="305"/>
  <c r="M34" i="305"/>
  <c r="M35" i="305"/>
  <c r="M4" i="305"/>
  <c r="L2" i="309"/>
  <c r="L183" i="288"/>
  <c r="L33" i="288"/>
  <c r="L2" i="307"/>
  <c r="L147" i="288"/>
  <c r="L58" i="288"/>
  <c r="L208" i="288"/>
  <c r="L34" i="311"/>
  <c r="L2" i="306"/>
  <c r="L2" i="305"/>
  <c r="L2" i="310"/>
  <c r="J72" i="273"/>
  <c r="J650" i="321"/>
  <c r="J653" i="321"/>
  <c r="J654" i="321"/>
  <c r="J21" i="315"/>
  <c r="J186" i="278"/>
  <c r="J109" i="273"/>
  <c r="K110" i="273"/>
  <c r="J637" i="321"/>
  <c r="J292" i="278"/>
  <c r="J15" i="286"/>
  <c r="K39" i="305"/>
  <c r="M103" i="305"/>
  <c r="M104" i="305"/>
  <c r="M113" i="305"/>
  <c r="M107" i="305"/>
  <c r="M108" i="305"/>
  <c r="M112" i="305"/>
  <c r="F139" i="328"/>
  <c r="G139" i="328"/>
  <c r="H60" i="269"/>
  <c r="K60" i="269"/>
  <c r="M2" i="328"/>
  <c r="N12" i="328"/>
  <c r="Q221" i="307"/>
  <c r="Q669" i="307"/>
  <c r="Q664" i="307"/>
  <c r="Q644" i="307"/>
  <c r="Q674" i="307"/>
  <c r="Q619" i="307"/>
  <c r="Q267" i="306"/>
  <c r="Q246" i="306"/>
  <c r="Q262" i="306"/>
  <c r="Q649" i="307"/>
  <c r="Q629" i="307"/>
  <c r="Q277" i="306"/>
  <c r="Q614" i="307"/>
  <c r="Q624" i="307"/>
  <c r="Q240" i="306"/>
  <c r="Q252" i="306"/>
  <c r="K283" i="307"/>
  <c r="K9" i="310"/>
  <c r="J33" i="286"/>
  <c r="J92" i="286"/>
  <c r="J110" i="286"/>
  <c r="J623" i="321"/>
  <c r="J24" i="307"/>
  <c r="J37" i="310"/>
  <c r="J187" i="278"/>
  <c r="J16" i="288"/>
  <c r="J17" i="288"/>
  <c r="J203" i="288"/>
  <c r="J46" i="289"/>
  <c r="J48" i="289"/>
  <c r="J53" i="289"/>
  <c r="J15" i="289"/>
  <c r="J17" i="289"/>
  <c r="J22" i="289"/>
  <c r="J3" i="305"/>
  <c r="M115" i="305"/>
  <c r="O9" i="328"/>
  <c r="O12" i="328"/>
  <c r="J3" i="307"/>
  <c r="O48" i="273"/>
  <c r="J3" i="306"/>
  <c r="J3" i="310"/>
  <c r="Q245" i="306"/>
  <c r="Q663" i="307"/>
  <c r="Q271" i="306"/>
  <c r="Q607" i="307"/>
  <c r="Q613" i="307"/>
  <c r="Q668" i="307"/>
  <c r="Q102" i="314"/>
  <c r="Q256" i="306"/>
  <c r="Q628" i="307"/>
  <c r="Q261" i="306"/>
  <c r="Q643" i="307"/>
  <c r="Q618" i="307"/>
  <c r="Q251" i="306"/>
  <c r="Q228" i="288"/>
  <c r="Q266" i="306"/>
  <c r="Q233" i="306"/>
  <c r="Q220" i="307"/>
  <c r="Q276" i="306"/>
  <c r="Q623" i="307"/>
  <c r="Q648" i="307"/>
  <c r="Q673" i="307"/>
  <c r="Q84" i="288"/>
  <c r="Q234" i="288"/>
  <c r="Q5" i="328"/>
  <c r="Q5" i="265"/>
  <c r="Q78" i="288"/>
  <c r="Q5" i="275"/>
  <c r="Q5" i="286"/>
  <c r="Q5" i="285"/>
  <c r="Q5" i="282"/>
  <c r="Q5" i="288"/>
  <c r="Q5" i="278"/>
  <c r="Q5" i="321"/>
  <c r="Q5" i="304"/>
  <c r="Q5" i="309"/>
  <c r="Q5" i="273"/>
  <c r="Q5" i="314"/>
  <c r="Q239" i="306"/>
  <c r="Q5" i="289"/>
  <c r="Q5" i="277"/>
  <c r="Q5" i="315"/>
  <c r="P44" i="273"/>
  <c r="P45" i="273"/>
  <c r="P48" i="273"/>
  <c r="P38" i="289"/>
  <c r="P133" i="288"/>
  <c r="P23" i="288"/>
  <c r="J58" i="315"/>
  <c r="K53" i="273"/>
  <c r="K75" i="273"/>
  <c r="L76" i="273"/>
  <c r="J30" i="328"/>
  <c r="L39" i="305"/>
  <c r="N103" i="305"/>
  <c r="N104" i="305"/>
  <c r="N113" i="305"/>
  <c r="N115" i="305"/>
  <c r="N107" i="305"/>
  <c r="N108" i="305"/>
  <c r="N112" i="305"/>
  <c r="J102" i="282"/>
  <c r="L11" i="289"/>
  <c r="L12" i="289"/>
  <c r="L36" i="289"/>
  <c r="J33" i="310"/>
  <c r="J21" i="307"/>
  <c r="J198" i="307"/>
  <c r="K109" i="273"/>
  <c r="L110" i="273"/>
  <c r="K623" i="321"/>
  <c r="K110" i="286"/>
  <c r="K212" i="278"/>
  <c r="K292" i="278"/>
  <c r="K15" i="286"/>
  <c r="K92" i="286"/>
  <c r="K16" i="288"/>
  <c r="K17" i="288"/>
  <c r="K268" i="278"/>
  <c r="K637" i="321"/>
  <c r="K33" i="286"/>
  <c r="K162" i="278"/>
  <c r="K187" i="278"/>
  <c r="K186" i="278"/>
  <c r="K161" i="278"/>
  <c r="K650" i="321"/>
  <c r="K211" i="278"/>
  <c r="J278" i="306"/>
  <c r="J30" i="310"/>
  <c r="J18" i="307"/>
  <c r="F140" i="328"/>
  <c r="G138" i="328"/>
  <c r="K40" i="305"/>
  <c r="K42" i="305"/>
  <c r="J286" i="307"/>
  <c r="J278" i="307"/>
  <c r="J279" i="307"/>
  <c r="J287" i="307"/>
  <c r="J27" i="310"/>
  <c r="J15" i="307"/>
  <c r="J263" i="321"/>
  <c r="J201" i="273"/>
  <c r="J203" i="273"/>
  <c r="J29" i="328"/>
  <c r="K26" i="310"/>
  <c r="K14" i="307"/>
  <c r="J28" i="288"/>
  <c r="J178" i="288"/>
  <c r="J53" i="288"/>
  <c r="J104" i="282"/>
  <c r="L158" i="273"/>
  <c r="L159" i="273"/>
  <c r="L162" i="273"/>
  <c r="L2" i="265"/>
  <c r="L2" i="321"/>
  <c r="L2" i="286"/>
  <c r="L49" i="273"/>
  <c r="L184" i="288"/>
  <c r="L209" i="288"/>
  <c r="L2" i="282"/>
  <c r="L258" i="273"/>
  <c r="L259" i="273"/>
  <c r="L674" i="321" s="1"/>
  <c r="L198" i="273"/>
  <c r="L199" i="273"/>
  <c r="L202" i="273"/>
  <c r="L3" i="328"/>
  <c r="L8" i="328"/>
  <c r="L2" i="278"/>
  <c r="L2" i="275"/>
  <c r="L148" i="288"/>
  <c r="L2" i="315"/>
  <c r="L194" i="273"/>
  <c r="L2" i="304"/>
  <c r="L119" i="273"/>
  <c r="L120" i="273"/>
  <c r="L123" i="273"/>
  <c r="L154" i="273"/>
  <c r="L155" i="273"/>
  <c r="L59" i="288"/>
  <c r="L2" i="273"/>
  <c r="L38" i="311"/>
  <c r="L2" i="314"/>
  <c r="L2" i="288"/>
  <c r="L71" i="273"/>
  <c r="L72" i="273"/>
  <c r="L34" i="288"/>
  <c r="L2" i="285"/>
  <c r="L2" i="289"/>
  <c r="J40" i="310"/>
  <c r="J27" i="307"/>
  <c r="K30" i="289"/>
  <c r="L59" i="269"/>
  <c r="J59" i="269"/>
  <c r="J13" i="307"/>
  <c r="J25" i="310"/>
  <c r="K89" i="305"/>
  <c r="L90" i="305"/>
  <c r="L41" i="305"/>
  <c r="K100" i="306"/>
  <c r="K105" i="306"/>
  <c r="M26" i="305"/>
  <c r="M27" i="305"/>
  <c r="M31" i="305"/>
  <c r="N32" i="305"/>
  <c r="N34" i="305"/>
  <c r="N35" i="305"/>
  <c r="N4" i="305"/>
  <c r="M147" i="288"/>
  <c r="M2" i="307"/>
  <c r="M2" i="305"/>
  <c r="M183" i="288"/>
  <c r="M2" i="310"/>
  <c r="M208" i="288"/>
  <c r="M2" i="306"/>
  <c r="M34" i="311"/>
  <c r="M58" i="288"/>
  <c r="M33" i="288"/>
  <c r="M2" i="309"/>
  <c r="K25" i="310"/>
  <c r="K13" i="307"/>
  <c r="L40" i="305"/>
  <c r="K56" i="273"/>
  <c r="K240" i="278"/>
  <c r="K247" i="278"/>
  <c r="G142" i="328"/>
  <c r="L24" i="326"/>
  <c r="K24" i="326"/>
  <c r="L195" i="273"/>
  <c r="J262" i="273"/>
  <c r="J272" i="278"/>
  <c r="J158" i="314"/>
  <c r="J15" i="275"/>
  <c r="J20" i="275"/>
  <c r="K17" i="275"/>
  <c r="J296" i="278"/>
  <c r="J39" i="314"/>
  <c r="J118" i="314"/>
  <c r="J79" i="314"/>
  <c r="J85" i="273"/>
  <c r="J161" i="273"/>
  <c r="J163" i="273"/>
  <c r="J151" i="321"/>
  <c r="J14" i="307"/>
  <c r="J26" i="310"/>
  <c r="N10" i="289"/>
  <c r="N2" i="328"/>
  <c r="L105" i="306"/>
  <c r="L89" i="305"/>
  <c r="M90" i="305"/>
  <c r="M41" i="305"/>
  <c r="L100" i="306"/>
  <c r="L60" i="269"/>
  <c r="J60" i="269"/>
  <c r="J75" i="273"/>
  <c r="K76" i="273"/>
  <c r="J53" i="273"/>
  <c r="J57" i="273"/>
  <c r="J63" i="273"/>
  <c r="J64" i="273"/>
  <c r="J3" i="285"/>
  <c r="L61" i="269"/>
  <c r="J61" i="269"/>
  <c r="K259" i="273"/>
  <c r="K674" i="321" s="1"/>
  <c r="K272" i="278"/>
  <c r="K85" i="273"/>
  <c r="K79" i="314"/>
  <c r="K15" i="275"/>
  <c r="K158" i="314"/>
  <c r="K39" i="314"/>
  <c r="K296" i="278"/>
  <c r="K118" i="314"/>
  <c r="K161" i="273"/>
  <c r="K151" i="321"/>
  <c r="K195" i="273"/>
  <c r="K4" i="315"/>
  <c r="K4" i="285"/>
  <c r="K4" i="288"/>
  <c r="K4" i="306"/>
  <c r="K4" i="314"/>
  <c r="K4" i="286"/>
  <c r="K4" i="273"/>
  <c r="K4" i="282"/>
  <c r="K4" i="304"/>
  <c r="K4" i="310"/>
  <c r="K4" i="278"/>
  <c r="K11" i="328"/>
  <c r="K4" i="275"/>
  <c r="K4" i="309"/>
  <c r="K4" i="321"/>
  <c r="K4" i="289"/>
  <c r="K4" i="307"/>
  <c r="J43" i="310"/>
  <c r="J30" i="307"/>
  <c r="R674" i="307"/>
  <c r="R619" i="307"/>
  <c r="R221" i="307"/>
  <c r="R669" i="307"/>
  <c r="R664" i="307"/>
  <c r="R644" i="307"/>
  <c r="R246" i="306"/>
  <c r="R262" i="306"/>
  <c r="R267" i="306"/>
  <c r="R614" i="307"/>
  <c r="R649" i="307"/>
  <c r="R629" i="307"/>
  <c r="R277" i="306"/>
  <c r="R624" i="307"/>
  <c r="R240" i="306"/>
  <c r="R252" i="306"/>
  <c r="J123" i="314"/>
  <c r="K20" i="275"/>
  <c r="L17" i="275"/>
  <c r="J89" i="314"/>
  <c r="P9" i="328"/>
  <c r="P12" i="328"/>
  <c r="J40" i="321"/>
  <c r="J41" i="321"/>
  <c r="J44" i="321"/>
  <c r="J44" i="314"/>
  <c r="J11" i="321"/>
  <c r="J111" i="314"/>
  <c r="J4" i="328"/>
  <c r="J3" i="275"/>
  <c r="J3" i="289"/>
  <c r="J3" i="304"/>
  <c r="J3" i="321"/>
  <c r="R668" i="307"/>
  <c r="R102" i="314"/>
  <c r="R220" i="307"/>
  <c r="R245" i="306"/>
  <c r="R648" i="307"/>
  <c r="R233" i="306"/>
  <c r="R261" i="306"/>
  <c r="R663" i="307"/>
  <c r="R256" i="306"/>
  <c r="R266" i="306"/>
  <c r="R271" i="306"/>
  <c r="R643" i="307"/>
  <c r="R623" i="307"/>
  <c r="R673" i="307"/>
  <c r="R5" i="328"/>
  <c r="R628" i="307"/>
  <c r="R613" i="307"/>
  <c r="R618" i="307"/>
  <c r="R251" i="306"/>
  <c r="R228" i="288"/>
  <c r="R276" i="306"/>
  <c r="R607" i="307"/>
  <c r="R84" i="288"/>
  <c r="R234" i="288"/>
  <c r="R5" i="265"/>
  <c r="R78" i="288"/>
  <c r="R5" i="277"/>
  <c r="R239" i="306"/>
  <c r="R5" i="282"/>
  <c r="R5" i="285"/>
  <c r="R5" i="315"/>
  <c r="R5" i="321"/>
  <c r="R5" i="314"/>
  <c r="R5" i="275"/>
  <c r="R5" i="289"/>
  <c r="R5" i="286"/>
  <c r="R5" i="304"/>
  <c r="R5" i="278"/>
  <c r="R5" i="288"/>
  <c r="R5" i="273"/>
  <c r="R5" i="309"/>
  <c r="J3" i="288"/>
  <c r="J3" i="315"/>
  <c r="J3" i="314"/>
  <c r="Q44" i="273"/>
  <c r="Q45" i="273"/>
  <c r="Q9" i="328"/>
  <c r="Q38" i="289"/>
  <c r="Q133" i="288"/>
  <c r="Q23" i="288"/>
  <c r="J47" i="273"/>
  <c r="J50" i="273"/>
  <c r="J3" i="277"/>
  <c r="J3" i="278"/>
  <c r="J3" i="265"/>
  <c r="J3" i="273"/>
  <c r="J3" i="282"/>
  <c r="J3" i="286"/>
  <c r="K27" i="310"/>
  <c r="K278" i="307"/>
  <c r="K279" i="307"/>
  <c r="K287" i="307"/>
  <c r="K15" i="307"/>
  <c r="K286" i="307"/>
  <c r="M105" i="306"/>
  <c r="M89" i="305"/>
  <c r="N90" i="305"/>
  <c r="N41" i="305"/>
  <c r="M100" i="306"/>
  <c r="L151" i="321"/>
  <c r="L161" i="273"/>
  <c r="L42" i="305"/>
  <c r="K49" i="305"/>
  <c r="K50" i="305"/>
  <c r="K201" i="273"/>
  <c r="K203" i="273"/>
  <c r="K263" i="321"/>
  <c r="L262" i="273"/>
  <c r="O2" i="328"/>
  <c r="K28" i="310"/>
  <c r="K16" i="307"/>
  <c r="J131" i="321"/>
  <c r="J267" i="321"/>
  <c r="J71" i="321"/>
  <c r="J213" i="273"/>
  <c r="J277" i="321"/>
  <c r="J259" i="321"/>
  <c r="J253" i="321"/>
  <c r="G140" i="328"/>
  <c r="L23" i="326"/>
  <c r="K23" i="326"/>
  <c r="J24" i="315"/>
  <c r="J80" i="315"/>
  <c r="L14" i="307"/>
  <c r="L26" i="310"/>
  <c r="M36" i="289"/>
  <c r="K117" i="314"/>
  <c r="K55" i="273"/>
  <c r="K38" i="314"/>
  <c r="K28" i="314"/>
  <c r="K122" i="273"/>
  <c r="K124" i="273"/>
  <c r="K259" i="278"/>
  <c r="K261" i="273"/>
  <c r="K263" i="273"/>
  <c r="L16" i="288"/>
  <c r="L17" i="288"/>
  <c r="L212" i="278"/>
  <c r="L623" i="321"/>
  <c r="L33" i="286"/>
  <c r="L109" i="273"/>
  <c r="M110" i="273"/>
  <c r="L637" i="321"/>
  <c r="L110" i="286"/>
  <c r="L162" i="278"/>
  <c r="L292" i="278"/>
  <c r="L15" i="286"/>
  <c r="L268" i="278"/>
  <c r="L187" i="278"/>
  <c r="L92" i="286"/>
  <c r="L79" i="314"/>
  <c r="L118" i="314"/>
  <c r="L158" i="314"/>
  <c r="L39" i="314"/>
  <c r="L296" i="278"/>
  <c r="L15" i="275"/>
  <c r="L20" i="275"/>
  <c r="M17" i="275"/>
  <c r="L272" i="278"/>
  <c r="L85" i="273"/>
  <c r="L161" i="278"/>
  <c r="L650" i="321"/>
  <c r="L211" i="278"/>
  <c r="L186" i="278"/>
  <c r="L247" i="278"/>
  <c r="L56" i="273"/>
  <c r="L240" i="278"/>
  <c r="L15" i="289"/>
  <c r="L46" i="289"/>
  <c r="L30" i="289"/>
  <c r="N208" i="288"/>
  <c r="N2" i="306"/>
  <c r="N34" i="311"/>
  <c r="N2" i="310"/>
  <c r="N2" i="307"/>
  <c r="N2" i="309"/>
  <c r="N26" i="305"/>
  <c r="N27" i="305"/>
  <c r="N31" i="305"/>
  <c r="O32" i="305"/>
  <c r="O34" i="305"/>
  <c r="O35" i="305"/>
  <c r="O4" i="305"/>
  <c r="N2" i="305"/>
  <c r="N33" i="288"/>
  <c r="N58" i="288"/>
  <c r="N183" i="288"/>
  <c r="N147" i="288"/>
  <c r="L84" i="273"/>
  <c r="L54" i="273"/>
  <c r="L28" i="314"/>
  <c r="L117" i="314"/>
  <c r="L122" i="273"/>
  <c r="L259" i="278"/>
  <c r="L261" i="273"/>
  <c r="L55" i="273"/>
  <c r="L38" i="314"/>
  <c r="L53" i="273"/>
  <c r="L75" i="273"/>
  <c r="M76" i="273"/>
  <c r="K54" i="273"/>
  <c r="K57" i="273"/>
  <c r="K84" i="273"/>
  <c r="K86" i="273"/>
  <c r="J130" i="321"/>
  <c r="J165" i="321"/>
  <c r="J212" i="273"/>
  <c r="J70" i="321"/>
  <c r="K163" i="273"/>
  <c r="J141" i="321"/>
  <c r="J147" i="321"/>
  <c r="J155" i="321"/>
  <c r="K130" i="307"/>
  <c r="K262" i="273"/>
  <c r="L11" i="328"/>
  <c r="L4" i="273"/>
  <c r="L4" i="306"/>
  <c r="L4" i="275"/>
  <c r="L4" i="285"/>
  <c r="L4" i="286"/>
  <c r="L4" i="278"/>
  <c r="L4" i="282"/>
  <c r="L4" i="321"/>
  <c r="L4" i="315"/>
  <c r="L4" i="314"/>
  <c r="L4" i="289"/>
  <c r="L4" i="288"/>
  <c r="L4" i="304"/>
  <c r="L4" i="309"/>
  <c r="L4" i="307"/>
  <c r="L4" i="310"/>
  <c r="M39" i="305"/>
  <c r="L16" i="307"/>
  <c r="L28" i="310"/>
  <c r="L201" i="273"/>
  <c r="L263" i="321"/>
  <c r="K178" i="288"/>
  <c r="K53" i="288"/>
  <c r="K28" i="288"/>
  <c r="K203" i="288"/>
  <c r="O107" i="305"/>
  <c r="O108" i="305"/>
  <c r="O112" i="305"/>
  <c r="O103" i="305"/>
  <c r="O104" i="305"/>
  <c r="O113" i="305"/>
  <c r="O115" i="305"/>
  <c r="M40" i="305"/>
  <c r="L25" i="310"/>
  <c r="L13" i="307"/>
  <c r="M119" i="273"/>
  <c r="M120" i="273"/>
  <c r="M123" i="273"/>
  <c r="M154" i="273"/>
  <c r="M3" i="328"/>
  <c r="M8" i="328"/>
  <c r="M2" i="275"/>
  <c r="M2" i="315"/>
  <c r="M2" i="278"/>
  <c r="M2" i="288"/>
  <c r="M258" i="273"/>
  <c r="M259" i="273"/>
  <c r="M674" i="321" s="1"/>
  <c r="M194" i="273"/>
  <c r="M195" i="273"/>
  <c r="M59" i="288"/>
  <c r="M34" i="288"/>
  <c r="M2" i="282"/>
  <c r="M209" i="288"/>
  <c r="M2" i="285"/>
  <c r="M158" i="273"/>
  <c r="M159" i="273"/>
  <c r="M162" i="273"/>
  <c r="M71" i="273"/>
  <c r="M2" i="304"/>
  <c r="M2" i="314"/>
  <c r="M184" i="288"/>
  <c r="M2" i="289"/>
  <c r="M148" i="288"/>
  <c r="M198" i="273"/>
  <c r="M199" i="273"/>
  <c r="M202" i="273"/>
  <c r="M2" i="265"/>
  <c r="M2" i="286"/>
  <c r="M38" i="311"/>
  <c r="M49" i="273"/>
  <c r="M2" i="321"/>
  <c r="M2" i="273"/>
  <c r="L283" i="307"/>
  <c r="L9" i="310"/>
  <c r="S664" i="307"/>
  <c r="S644" i="307"/>
  <c r="S674" i="307"/>
  <c r="S619" i="307"/>
  <c r="S221" i="307"/>
  <c r="S669" i="307"/>
  <c r="S267" i="306"/>
  <c r="S246" i="306"/>
  <c r="S262" i="306"/>
  <c r="S649" i="307"/>
  <c r="S629" i="307"/>
  <c r="S277" i="306"/>
  <c r="S614" i="307"/>
  <c r="S624" i="307"/>
  <c r="S240" i="306"/>
  <c r="S252" i="306"/>
  <c r="Q48" i="273"/>
  <c r="M15" i="307"/>
  <c r="L86" i="273"/>
  <c r="J72" i="321"/>
  <c r="J79" i="321"/>
  <c r="R44" i="273"/>
  <c r="R45" i="273"/>
  <c r="R48" i="273"/>
  <c r="R38" i="289"/>
  <c r="R133" i="288"/>
  <c r="R23" i="288"/>
  <c r="S663" i="307"/>
  <c r="S102" i="314"/>
  <c r="S668" i="307"/>
  <c r="S245" i="306"/>
  <c r="S271" i="306"/>
  <c r="S643" i="307"/>
  <c r="S276" i="306"/>
  <c r="S256" i="306"/>
  <c r="S220" i="307"/>
  <c r="S607" i="307"/>
  <c r="S233" i="306"/>
  <c r="S618" i="307"/>
  <c r="S239" i="306"/>
  <c r="S228" i="288"/>
  <c r="S78" i="288"/>
  <c r="S84" i="288"/>
  <c r="S628" i="307"/>
  <c r="S266" i="306"/>
  <c r="S673" i="307"/>
  <c r="S613" i="307"/>
  <c r="S251" i="306"/>
  <c r="S261" i="306"/>
  <c r="S648" i="307"/>
  <c r="S5" i="328"/>
  <c r="S234" i="288"/>
  <c r="S623" i="307"/>
  <c r="S5" i="321"/>
  <c r="S5" i="309"/>
  <c r="S5" i="273"/>
  <c r="S5" i="278"/>
  <c r="S5" i="277"/>
  <c r="S5" i="285"/>
  <c r="S5" i="304"/>
  <c r="S5" i="289"/>
  <c r="S5" i="315"/>
  <c r="S5" i="288"/>
  <c r="S5" i="282"/>
  <c r="S5" i="314"/>
  <c r="S5" i="265"/>
  <c r="S5" i="286"/>
  <c r="S5" i="275"/>
  <c r="M201" i="273"/>
  <c r="M263" i="321"/>
  <c r="O58" i="288"/>
  <c r="O2" i="307"/>
  <c r="O2" i="305"/>
  <c r="O26" i="305"/>
  <c r="O27" i="305"/>
  <c r="O31" i="305"/>
  <c r="P32" i="305"/>
  <c r="P34" i="305"/>
  <c r="P35" i="305"/>
  <c r="P4" i="305"/>
  <c r="O208" i="288"/>
  <c r="O33" i="288"/>
  <c r="O183" i="288"/>
  <c r="O2" i="309"/>
  <c r="O147" i="288"/>
  <c r="O2" i="306"/>
  <c r="O2" i="310"/>
  <c r="O34" i="311"/>
  <c r="N39" i="305"/>
  <c r="M25" i="310"/>
  <c r="M13" i="307"/>
  <c r="L105" i="282"/>
  <c r="M247" i="278"/>
  <c r="M56" i="273"/>
  <c r="M240" i="278"/>
  <c r="J92" i="306"/>
  <c r="J93" i="306"/>
  <c r="J24" i="288"/>
  <c r="K3" i="310"/>
  <c r="K3" i="305"/>
  <c r="K3" i="306"/>
  <c r="K3" i="309"/>
  <c r="K3" i="307"/>
  <c r="N89" i="305"/>
  <c r="O90" i="305"/>
  <c r="O41" i="305"/>
  <c r="N105" i="306"/>
  <c r="N100" i="306"/>
  <c r="M26" i="310"/>
  <c r="M14" i="307"/>
  <c r="J15" i="310"/>
  <c r="K253" i="306"/>
  <c r="J214" i="273"/>
  <c r="L57" i="273"/>
  <c r="K63" i="273"/>
  <c r="K64" i="273"/>
  <c r="K105" i="282"/>
  <c r="P10" i="289"/>
  <c r="P2" i="328"/>
  <c r="N71" i="273"/>
  <c r="N198" i="273"/>
  <c r="N199" i="273"/>
  <c r="N202" i="273"/>
  <c r="N2" i="289"/>
  <c r="N184" i="288"/>
  <c r="N2" i="278"/>
  <c r="N2" i="314"/>
  <c r="N2" i="304"/>
  <c r="N158" i="273"/>
  <c r="N159" i="273"/>
  <c r="N162" i="273"/>
  <c r="N2" i="265"/>
  <c r="N49" i="273"/>
  <c r="N2" i="285"/>
  <c r="N34" i="288"/>
  <c r="N2" i="286"/>
  <c r="N38" i="311"/>
  <c r="N119" i="273"/>
  <c r="N120" i="273"/>
  <c r="N123" i="273"/>
  <c r="N154" i="273"/>
  <c r="N155" i="273"/>
  <c r="N3" i="328"/>
  <c r="N8" i="328"/>
  <c r="N2" i="273"/>
  <c r="N2" i="282"/>
  <c r="N2" i="321"/>
  <c r="N2" i="275"/>
  <c r="N258" i="273"/>
  <c r="N194" i="273"/>
  <c r="N195" i="273"/>
  <c r="N59" i="288"/>
  <c r="N2" i="288"/>
  <c r="N148" i="288"/>
  <c r="N2" i="315"/>
  <c r="N209" i="288"/>
  <c r="M42" i="305"/>
  <c r="L49" i="305"/>
  <c r="L50" i="305"/>
  <c r="M16" i="307"/>
  <c r="M28" i="310"/>
  <c r="M161" i="278"/>
  <c r="M186" i="278"/>
  <c r="M211" i="278"/>
  <c r="M650" i="321"/>
  <c r="P103" i="305"/>
  <c r="P104" i="305"/>
  <c r="P113" i="305"/>
  <c r="P115" i="305"/>
  <c r="P107" i="305"/>
  <c r="P108" i="305"/>
  <c r="P112" i="305"/>
  <c r="M4" i="288"/>
  <c r="M4" i="321"/>
  <c r="M4" i="286"/>
  <c r="M4" i="304"/>
  <c r="M4" i="273"/>
  <c r="M4" i="315"/>
  <c r="M4" i="285"/>
  <c r="M4" i="309"/>
  <c r="M4" i="275"/>
  <c r="M4" i="314"/>
  <c r="M4" i="282"/>
  <c r="M4" i="289"/>
  <c r="M11" i="328"/>
  <c r="M4" i="278"/>
  <c r="M4" i="306"/>
  <c r="M4" i="310"/>
  <c r="M4" i="307"/>
  <c r="N40" i="305"/>
  <c r="K29" i="310"/>
  <c r="K17" i="307"/>
  <c r="L130" i="307"/>
  <c r="M54" i="273"/>
  <c r="M84" i="273"/>
  <c r="L28" i="288"/>
  <c r="L203" i="288"/>
  <c r="L53" i="288"/>
  <c r="L178" i="288"/>
  <c r="K71" i="321"/>
  <c r="K131" i="321"/>
  <c r="K253" i="321"/>
  <c r="K277" i="321"/>
  <c r="L203" i="273"/>
  <c r="K259" i="321"/>
  <c r="K213" i="273"/>
  <c r="K267" i="321"/>
  <c r="M72" i="273"/>
  <c r="N36" i="289"/>
  <c r="N11" i="289"/>
  <c r="N12" i="289"/>
  <c r="L24" i="314"/>
  <c r="M16" i="288"/>
  <c r="M17" i="288"/>
  <c r="M623" i="321"/>
  <c r="M110" i="286"/>
  <c r="M212" i="278"/>
  <c r="M637" i="321"/>
  <c r="M33" i="286"/>
  <c r="M162" i="278"/>
  <c r="M292" i="278"/>
  <c r="M92" i="286"/>
  <c r="M109" i="273"/>
  <c r="N110" i="273"/>
  <c r="M268" i="278"/>
  <c r="M187" i="278"/>
  <c r="M15" i="286"/>
  <c r="M262" i="273"/>
  <c r="M155" i="273"/>
  <c r="L27" i="310"/>
  <c r="L286" i="307"/>
  <c r="L15" i="307"/>
  <c r="L278" i="307"/>
  <c r="L279" i="307"/>
  <c r="L287" i="307"/>
  <c r="K24" i="310"/>
  <c r="K12" i="307"/>
  <c r="K147" i="321"/>
  <c r="K165" i="321"/>
  <c r="K212" i="273"/>
  <c r="K130" i="321"/>
  <c r="L163" i="273"/>
  <c r="K141" i="321"/>
  <c r="K70" i="321"/>
  <c r="K155" i="321"/>
  <c r="J133" i="321"/>
  <c r="J146" i="321"/>
  <c r="J134" i="321"/>
  <c r="J258" i="321"/>
  <c r="L263" i="273"/>
  <c r="M55" i="273"/>
  <c r="M259" i="278"/>
  <c r="M261" i="273"/>
  <c r="M28" i="314"/>
  <c r="M117" i="314"/>
  <c r="M38" i="314"/>
  <c r="M122" i="273"/>
  <c r="L124" i="273"/>
  <c r="K16" i="285"/>
  <c r="K17" i="278"/>
  <c r="K617" i="321"/>
  <c r="K622" i="321"/>
  <c r="K204" i="278"/>
  <c r="K694" i="321"/>
  <c r="K136" i="314"/>
  <c r="K230" i="278"/>
  <c r="K652" i="321"/>
  <c r="K644" i="321"/>
  <c r="K283" i="278"/>
  <c r="K63" i="286"/>
  <c r="K50" i="314"/>
  <c r="K17" i="314"/>
  <c r="K148" i="278"/>
  <c r="K104" i="314"/>
  <c r="K100" i="278"/>
  <c r="K636" i="321"/>
  <c r="K306" i="278"/>
  <c r="K129" i="314"/>
  <c r="K545" i="321"/>
  <c r="K179" i="278"/>
  <c r="K239" i="278"/>
  <c r="K319" i="278"/>
  <c r="K246" i="278"/>
  <c r="K659" i="321"/>
  <c r="K497" i="321"/>
  <c r="K31" i="289"/>
  <c r="K32" i="289"/>
  <c r="K37" i="289"/>
  <c r="K39" i="289"/>
  <c r="L39" i="289"/>
  <c r="K57" i="314"/>
  <c r="M30" i="289"/>
  <c r="Q12" i="328"/>
  <c r="K24" i="314"/>
  <c r="K172" i="314"/>
  <c r="K111" i="314"/>
  <c r="K36" i="285"/>
  <c r="K44" i="314"/>
  <c r="K123" i="314"/>
  <c r="K11" i="321"/>
  <c r="K40" i="321"/>
  <c r="K41" i="321"/>
  <c r="K44" i="321"/>
  <c r="K89" i="314"/>
  <c r="T669" i="307"/>
  <c r="T664" i="307"/>
  <c r="T644" i="307"/>
  <c r="T674" i="307"/>
  <c r="T619" i="307"/>
  <c r="T221" i="307"/>
  <c r="T267" i="306"/>
  <c r="T246" i="306"/>
  <c r="T262" i="306"/>
  <c r="T649" i="307"/>
  <c r="T629" i="307"/>
  <c r="T277" i="306"/>
  <c r="T614" i="307"/>
  <c r="T240" i="306"/>
  <c r="T252" i="306"/>
  <c r="T624" i="307"/>
  <c r="R9" i="328"/>
  <c r="M86" i="273"/>
  <c r="M286" i="307"/>
  <c r="L11" i="321"/>
  <c r="L111" i="314"/>
  <c r="L172" i="314"/>
  <c r="L40" i="321"/>
  <c r="L41" i="321"/>
  <c r="L44" i="321"/>
  <c r="L123" i="314"/>
  <c r="L36" i="285"/>
  <c r="M27" i="310"/>
  <c r="M278" i="307"/>
  <c r="M279" i="307"/>
  <c r="M287" i="307"/>
  <c r="L89" i="314"/>
  <c r="L44" i="314"/>
  <c r="J42" i="315"/>
  <c r="J10" i="315"/>
  <c r="M263" i="273"/>
  <c r="K214" i="273"/>
  <c r="K86" i="288"/>
  <c r="T668" i="307"/>
  <c r="T220" i="307"/>
  <c r="T663" i="307"/>
  <c r="T102" i="314"/>
  <c r="T256" i="306"/>
  <c r="T628" i="307"/>
  <c r="T613" i="307"/>
  <c r="T271" i="306"/>
  <c r="T261" i="306"/>
  <c r="T251" i="306"/>
  <c r="T643" i="307"/>
  <c r="T623" i="307"/>
  <c r="T233" i="306"/>
  <c r="T673" i="307"/>
  <c r="T245" i="306"/>
  <c r="T607" i="307"/>
  <c r="T276" i="306"/>
  <c r="T266" i="306"/>
  <c r="T618" i="307"/>
  <c r="T239" i="306"/>
  <c r="T228" i="288"/>
  <c r="T78" i="288"/>
  <c r="T5" i="265"/>
  <c r="T234" i="288"/>
  <c r="T84" i="288"/>
  <c r="T5" i="328"/>
  <c r="T5" i="315"/>
  <c r="T5" i="286"/>
  <c r="T5" i="304"/>
  <c r="T5" i="282"/>
  <c r="T5" i="309"/>
  <c r="T5" i="285"/>
  <c r="T648" i="307"/>
  <c r="T5" i="277"/>
  <c r="T5" i="314"/>
  <c r="T5" i="275"/>
  <c r="T5" i="278"/>
  <c r="T5" i="273"/>
  <c r="T5" i="288"/>
  <c r="T5" i="321"/>
  <c r="T5" i="289"/>
  <c r="S44" i="273"/>
  <c r="S45" i="273"/>
  <c r="S9" i="328"/>
  <c r="S38" i="289"/>
  <c r="S133" i="288"/>
  <c r="S23" i="288"/>
  <c r="K72" i="321"/>
  <c r="K79" i="321"/>
  <c r="O39" i="305"/>
  <c r="N201" i="273"/>
  <c r="N263" i="321"/>
  <c r="O36" i="289"/>
  <c r="K90" i="278"/>
  <c r="M124" i="273"/>
  <c r="L16" i="285"/>
  <c r="M105" i="282"/>
  <c r="L24" i="310"/>
  <c r="L12" i="307"/>
  <c r="M49" i="305"/>
  <c r="M50" i="305"/>
  <c r="N42" i="305"/>
  <c r="Q2" i="328"/>
  <c r="L63" i="273"/>
  <c r="L64" i="273"/>
  <c r="K91" i="278"/>
  <c r="K218" i="321"/>
  <c r="K330" i="321"/>
  <c r="K11" i="278"/>
  <c r="K39" i="321"/>
  <c r="K147" i="278"/>
  <c r="K149" i="278"/>
  <c r="L70" i="321"/>
  <c r="L155" i="321"/>
  <c r="L147" i="321"/>
  <c r="L165" i="321"/>
  <c r="L130" i="321"/>
  <c r="L212" i="273"/>
  <c r="L141" i="321"/>
  <c r="N161" i="273"/>
  <c r="N151" i="321"/>
  <c r="N46" i="289"/>
  <c r="N15" i="289"/>
  <c r="N30" i="289"/>
  <c r="M53" i="273"/>
  <c r="M57" i="273"/>
  <c r="M75" i="273"/>
  <c r="N76" i="273"/>
  <c r="L131" i="321"/>
  <c r="L259" i="321"/>
  <c r="L71" i="321"/>
  <c r="L277" i="321"/>
  <c r="M203" i="273"/>
  <c r="L253" i="321"/>
  <c r="L213" i="273"/>
  <c r="L267" i="321"/>
  <c r="Q103" i="305"/>
  <c r="Q104" i="305"/>
  <c r="Q113" i="305"/>
  <c r="Q115" i="305"/>
  <c r="Q107" i="305"/>
  <c r="Q108" i="305"/>
  <c r="Q112" i="305"/>
  <c r="J51" i="321"/>
  <c r="J86" i="288"/>
  <c r="J241" i="288"/>
  <c r="J242" i="288"/>
  <c r="J244" i="288"/>
  <c r="J67" i="288"/>
  <c r="J68" i="288"/>
  <c r="J259" i="288"/>
  <c r="J260" i="288"/>
  <c r="J262" i="288"/>
  <c r="J80" i="288"/>
  <c r="J236" i="288"/>
  <c r="J217" i="288"/>
  <c r="J218" i="288"/>
  <c r="J220" i="288"/>
  <c r="J167" i="288"/>
  <c r="J217" i="273"/>
  <c r="J230" i="288"/>
  <c r="J45" i="321"/>
  <c r="J46" i="321"/>
  <c r="J48" i="321"/>
  <c r="J91" i="288"/>
  <c r="J109" i="288"/>
  <c r="J110" i="288"/>
  <c r="J112" i="288"/>
  <c r="J161" i="288"/>
  <c r="J162" i="288"/>
  <c r="J171" i="288"/>
  <c r="N25" i="310"/>
  <c r="N13" i="307"/>
  <c r="L148" i="278"/>
  <c r="L179" i="278"/>
  <c r="L17" i="278"/>
  <c r="L319" i="278"/>
  <c r="L283" i="278"/>
  <c r="L100" i="278"/>
  <c r="L659" i="321"/>
  <c r="L545" i="321"/>
  <c r="L136" i="314"/>
  <c r="L17" i="314"/>
  <c r="L239" i="278"/>
  <c r="L230" i="278"/>
  <c r="L16" i="289"/>
  <c r="L17" i="289"/>
  <c r="L22" i="289"/>
  <c r="L617" i="321"/>
  <c r="L636" i="321"/>
  <c r="L306" i="278"/>
  <c r="L63" i="286"/>
  <c r="L50" i="314"/>
  <c r="L47" i="289"/>
  <c r="L48" i="289"/>
  <c r="L53" i="289"/>
  <c r="L246" i="278"/>
  <c r="L644" i="321"/>
  <c r="L57" i="314"/>
  <c r="L694" i="321"/>
  <c r="L104" i="314"/>
  <c r="L204" i="278"/>
  <c r="L622" i="321"/>
  <c r="L652" i="321"/>
  <c r="L497" i="321"/>
  <c r="L31" i="289"/>
  <c r="L32" i="289"/>
  <c r="L37" i="289"/>
  <c r="L129" i="314"/>
  <c r="M161" i="273"/>
  <c r="M163" i="273"/>
  <c r="M151" i="321"/>
  <c r="N240" i="278"/>
  <c r="N247" i="278"/>
  <c r="N56" i="273"/>
  <c r="M28" i="288"/>
  <c r="M203" i="288"/>
  <c r="M53" i="288"/>
  <c r="M178" i="288"/>
  <c r="L29" i="310"/>
  <c r="L17" i="307"/>
  <c r="N650" i="321"/>
  <c r="N211" i="278"/>
  <c r="N161" i="278"/>
  <c r="N186" i="278"/>
  <c r="K263" i="306"/>
  <c r="M272" i="278"/>
  <c r="M85" i="273"/>
  <c r="M79" i="314"/>
  <c r="M15" i="275"/>
  <c r="M20" i="275"/>
  <c r="N17" i="275"/>
  <c r="M296" i="278"/>
  <c r="M118" i="314"/>
  <c r="M158" i="314"/>
  <c r="M39" i="314"/>
  <c r="N11" i="328"/>
  <c r="N4" i="304"/>
  <c r="N4" i="306"/>
  <c r="N4" i="278"/>
  <c r="N4" i="289"/>
  <c r="N4" i="321"/>
  <c r="N4" i="273"/>
  <c r="N4" i="288"/>
  <c r="N4" i="286"/>
  <c r="N4" i="275"/>
  <c r="N4" i="315"/>
  <c r="N4" i="285"/>
  <c r="N4" i="307"/>
  <c r="N4" i="310"/>
  <c r="N4" i="309"/>
  <c r="N4" i="314"/>
  <c r="N4" i="282"/>
  <c r="O158" i="273"/>
  <c r="O159" i="273"/>
  <c r="O162" i="273"/>
  <c r="O71" i="273"/>
  <c r="O72" i="273"/>
  <c r="O184" i="288"/>
  <c r="O2" i="278"/>
  <c r="O38" i="311"/>
  <c r="O2" i="315"/>
  <c r="O2" i="304"/>
  <c r="O194" i="273"/>
  <c r="O2" i="265"/>
  <c r="O49" i="273"/>
  <c r="O2" i="321"/>
  <c r="O2" i="273"/>
  <c r="O34" i="288"/>
  <c r="O2" i="286"/>
  <c r="O258" i="273"/>
  <c r="O154" i="273"/>
  <c r="O155" i="273"/>
  <c r="O59" i="288"/>
  <c r="O148" i="288"/>
  <c r="O209" i="288"/>
  <c r="O2" i="314"/>
  <c r="O2" i="288"/>
  <c r="O119" i="273"/>
  <c r="O120" i="273"/>
  <c r="O123" i="273"/>
  <c r="O198" i="273"/>
  <c r="O199" i="273"/>
  <c r="O202" i="273"/>
  <c r="O3" i="328"/>
  <c r="O8" i="328"/>
  <c r="O2" i="275"/>
  <c r="O2" i="289"/>
  <c r="O2" i="282"/>
  <c r="O2" i="285"/>
  <c r="K161" i="288"/>
  <c r="K91" i="288"/>
  <c r="M130" i="307"/>
  <c r="P58" i="288"/>
  <c r="P2" i="310"/>
  <c r="P2" i="305"/>
  <c r="P26" i="305"/>
  <c r="P27" i="305"/>
  <c r="P31" i="305"/>
  <c r="Q32" i="305"/>
  <c r="Q34" i="305"/>
  <c r="Q35" i="305"/>
  <c r="Q4" i="305"/>
  <c r="P2" i="309"/>
  <c r="P147" i="288"/>
  <c r="P33" i="288"/>
  <c r="P2" i="306"/>
  <c r="P183" i="288"/>
  <c r="P2" i="307"/>
  <c r="P208" i="288"/>
  <c r="P34" i="311"/>
  <c r="L3" i="307"/>
  <c r="L3" i="309"/>
  <c r="L3" i="310"/>
  <c r="L3" i="306"/>
  <c r="L3" i="305"/>
  <c r="N259" i="273"/>
  <c r="N674" i="321" s="1"/>
  <c r="N212" i="278"/>
  <c r="N16" i="288"/>
  <c r="N17" i="288"/>
  <c r="N187" i="278"/>
  <c r="N110" i="286"/>
  <c r="N637" i="321"/>
  <c r="N15" i="286"/>
  <c r="N162" i="278"/>
  <c r="N292" i="278"/>
  <c r="N33" i="286"/>
  <c r="N109" i="273"/>
  <c r="O110" i="273"/>
  <c r="N268" i="278"/>
  <c r="N623" i="321"/>
  <c r="N92" i="286"/>
  <c r="K3" i="278"/>
  <c r="K3" i="273"/>
  <c r="K3" i="265"/>
  <c r="K4" i="328"/>
  <c r="K3" i="304"/>
  <c r="K3" i="289"/>
  <c r="K3" i="285"/>
  <c r="K47" i="273"/>
  <c r="K3" i="275"/>
  <c r="K3" i="314"/>
  <c r="K3" i="282"/>
  <c r="K3" i="321"/>
  <c r="K3" i="315"/>
  <c r="K3" i="286"/>
  <c r="K3" i="288"/>
  <c r="N28" i="310"/>
  <c r="N16" i="307"/>
  <c r="N72" i="273"/>
  <c r="O40" i="305"/>
  <c r="N14" i="307"/>
  <c r="N26" i="310"/>
  <c r="U221" i="307"/>
  <c r="U669" i="307"/>
  <c r="U664" i="307"/>
  <c r="U644" i="307"/>
  <c r="U674" i="307"/>
  <c r="U619" i="307"/>
  <c r="U267" i="306"/>
  <c r="U246" i="306"/>
  <c r="U262" i="306"/>
  <c r="U649" i="307"/>
  <c r="U629" i="307"/>
  <c r="U277" i="306"/>
  <c r="U614" i="307"/>
  <c r="U624" i="307"/>
  <c r="U240" i="306"/>
  <c r="U252" i="306"/>
  <c r="R12" i="328"/>
  <c r="M283" i="307"/>
  <c r="M9" i="310"/>
  <c r="K241" i="288"/>
  <c r="K242" i="288"/>
  <c r="K244" i="288"/>
  <c r="K109" i="288"/>
  <c r="K259" i="288"/>
  <c r="K217" i="273"/>
  <c r="J218" i="273"/>
  <c r="J114" i="288"/>
  <c r="K236" i="288"/>
  <c r="K230" i="288"/>
  <c r="K167" i="288"/>
  <c r="K217" i="288"/>
  <c r="K218" i="288"/>
  <c r="K220" i="288"/>
  <c r="K51" i="321"/>
  <c r="K45" i="321"/>
  <c r="K46" i="321"/>
  <c r="K48" i="321"/>
  <c r="K67" i="288"/>
  <c r="K68" i="288"/>
  <c r="K70" i="288"/>
  <c r="K80" i="288"/>
  <c r="M44" i="314"/>
  <c r="J245" i="278"/>
  <c r="J112" i="315"/>
  <c r="K222" i="278"/>
  <c r="K216" i="278"/>
  <c r="J116" i="265"/>
  <c r="J254" i="278"/>
  <c r="S48" i="273"/>
  <c r="M36" i="285"/>
  <c r="T44" i="273"/>
  <c r="T45" i="273"/>
  <c r="T9" i="328"/>
  <c r="T38" i="289"/>
  <c r="T133" i="288"/>
  <c r="T23" i="288"/>
  <c r="M11" i="321"/>
  <c r="M24" i="314"/>
  <c r="M89" i="314"/>
  <c r="L72" i="321"/>
  <c r="L79" i="321"/>
  <c r="U245" i="306"/>
  <c r="U663" i="307"/>
  <c r="U220" i="307"/>
  <c r="U607" i="307"/>
  <c r="U613" i="307"/>
  <c r="U668" i="307"/>
  <c r="U256" i="306"/>
  <c r="U643" i="307"/>
  <c r="U266" i="306"/>
  <c r="U84" i="288"/>
  <c r="U628" i="307"/>
  <c r="U261" i="306"/>
  <c r="U102" i="314"/>
  <c r="U233" i="306"/>
  <c r="U271" i="306"/>
  <c r="U623" i="307"/>
  <c r="U276" i="306"/>
  <c r="U673" i="307"/>
  <c r="U648" i="307"/>
  <c r="U618" i="307"/>
  <c r="U251" i="306"/>
  <c r="U239" i="306"/>
  <c r="U5" i="328"/>
  <c r="U234" i="288"/>
  <c r="U5" i="265"/>
  <c r="U78" i="288"/>
  <c r="U5" i="278"/>
  <c r="U5" i="285"/>
  <c r="U5" i="286"/>
  <c r="U5" i="314"/>
  <c r="U5" i="273"/>
  <c r="U5" i="288"/>
  <c r="U5" i="321"/>
  <c r="U5" i="289"/>
  <c r="U5" i="309"/>
  <c r="U5" i="282"/>
  <c r="U5" i="277"/>
  <c r="U5" i="275"/>
  <c r="U5" i="304"/>
  <c r="U228" i="288"/>
  <c r="U5" i="315"/>
  <c r="M40" i="321"/>
  <c r="M41" i="321"/>
  <c r="M44" i="321"/>
  <c r="M111" i="314"/>
  <c r="M123" i="314"/>
  <c r="M172" i="314"/>
  <c r="L214" i="273"/>
  <c r="L241" i="288"/>
  <c r="L242" i="288"/>
  <c r="L244" i="288"/>
  <c r="K162" i="288"/>
  <c r="K171" i="288"/>
  <c r="N27" i="310"/>
  <c r="N15" i="307"/>
  <c r="N278" i="307"/>
  <c r="N279" i="307"/>
  <c r="N287" i="307"/>
  <c r="N286" i="307"/>
  <c r="P89" i="305"/>
  <c r="Q90" i="305"/>
  <c r="Q41" i="305"/>
  <c r="P100" i="306"/>
  <c r="P105" i="306"/>
  <c r="O296" i="278"/>
  <c r="O79" i="314"/>
  <c r="O85" i="273"/>
  <c r="O272" i="278"/>
  <c r="O118" i="314"/>
  <c r="O39" i="314"/>
  <c r="O158" i="314"/>
  <c r="O15" i="275"/>
  <c r="M63" i="273"/>
  <c r="M64" i="273"/>
  <c r="N262" i="273"/>
  <c r="J122" i="288"/>
  <c r="J272" i="288"/>
  <c r="J264" i="288"/>
  <c r="O211" i="278"/>
  <c r="O161" i="278"/>
  <c r="O186" i="278"/>
  <c r="O650" i="321"/>
  <c r="O16" i="288"/>
  <c r="O17" i="288"/>
  <c r="O109" i="273"/>
  <c r="P110" i="273"/>
  <c r="O292" i="278"/>
  <c r="O110" i="286"/>
  <c r="O162" i="278"/>
  <c r="O623" i="321"/>
  <c r="O15" i="286"/>
  <c r="O212" i="278"/>
  <c r="O268" i="278"/>
  <c r="O637" i="321"/>
  <c r="O33" i="286"/>
  <c r="O187" i="278"/>
  <c r="O92" i="286"/>
  <c r="O53" i="273"/>
  <c r="O75" i="273"/>
  <c r="P76" i="273"/>
  <c r="L11" i="278"/>
  <c r="L218" i="321"/>
  <c r="L330" i="321"/>
  <c r="L39" i="321"/>
  <c r="L90" i="278"/>
  <c r="N272" i="278"/>
  <c r="N39" i="314"/>
  <c r="N158" i="314"/>
  <c r="N15" i="275"/>
  <c r="N20" i="275"/>
  <c r="O17" i="275"/>
  <c r="N296" i="278"/>
  <c r="N118" i="314"/>
  <c r="N79" i="314"/>
  <c r="N85" i="273"/>
  <c r="N163" i="273"/>
  <c r="M70" i="321"/>
  <c r="M212" i="273"/>
  <c r="M141" i="321"/>
  <c r="M147" i="321"/>
  <c r="M155" i="321"/>
  <c r="M130" i="321"/>
  <c r="M165" i="321"/>
  <c r="N49" i="305"/>
  <c r="N50" i="305"/>
  <c r="O42" i="305"/>
  <c r="O14" i="307"/>
  <c r="O26" i="310"/>
  <c r="M29" i="310"/>
  <c r="M17" i="307"/>
  <c r="M24" i="310"/>
  <c r="M12" i="307"/>
  <c r="N28" i="314"/>
  <c r="N261" i="273"/>
  <c r="N263" i="273"/>
  <c r="N122" i="273"/>
  <c r="N124" i="273"/>
  <c r="N117" i="314"/>
  <c r="N38" i="314"/>
  <c r="N55" i="273"/>
  <c r="N259" i="278"/>
  <c r="O195" i="273"/>
  <c r="J177" i="307"/>
  <c r="J11" i="310"/>
  <c r="R103" i="305"/>
  <c r="R104" i="305"/>
  <c r="R113" i="305"/>
  <c r="R115" i="305"/>
  <c r="R107" i="305"/>
  <c r="R108" i="305"/>
  <c r="R112" i="305"/>
  <c r="M71" i="321"/>
  <c r="M253" i="321"/>
  <c r="N203" i="273"/>
  <c r="M131" i="321"/>
  <c r="M213" i="273"/>
  <c r="M277" i="321"/>
  <c r="M259" i="321"/>
  <c r="M267" i="321"/>
  <c r="K153" i="278"/>
  <c r="K30" i="328"/>
  <c r="M3" i="306"/>
  <c r="M3" i="305"/>
  <c r="M3" i="309"/>
  <c r="M3" i="307"/>
  <c r="M3" i="310"/>
  <c r="M16" i="285"/>
  <c r="O30" i="289"/>
  <c r="P40" i="305"/>
  <c r="O25" i="310"/>
  <c r="O13" i="307"/>
  <c r="O161" i="273"/>
  <c r="O151" i="321"/>
  <c r="O153" i="321"/>
  <c r="O156" i="321"/>
  <c r="P119" i="273"/>
  <c r="P120" i="273"/>
  <c r="P123" i="273"/>
  <c r="P158" i="273"/>
  <c r="P159" i="273"/>
  <c r="P162" i="273"/>
  <c r="P59" i="288"/>
  <c r="P49" i="273"/>
  <c r="P209" i="288"/>
  <c r="P2" i="285"/>
  <c r="P2" i="278"/>
  <c r="P71" i="273"/>
  <c r="P72" i="273"/>
  <c r="P194" i="273"/>
  <c r="P195" i="273"/>
  <c r="P34" i="288"/>
  <c r="P2" i="273"/>
  <c r="P2" i="304"/>
  <c r="P2" i="275"/>
  <c r="P2" i="289"/>
  <c r="P154" i="273"/>
  <c r="P155" i="273"/>
  <c r="P2" i="265"/>
  <c r="P2" i="321"/>
  <c r="P2" i="314"/>
  <c r="P148" i="288"/>
  <c r="P184" i="288"/>
  <c r="P2" i="315"/>
  <c r="P258" i="273"/>
  <c r="P198" i="273"/>
  <c r="P199" i="273"/>
  <c r="P202" i="273"/>
  <c r="P3" i="328"/>
  <c r="P8" i="328"/>
  <c r="P38" i="311"/>
  <c r="P2" i="282"/>
  <c r="P2" i="288"/>
  <c r="P2" i="286"/>
  <c r="L91" i="278"/>
  <c r="M17" i="314"/>
  <c r="M148" i="278"/>
  <c r="M17" i="278"/>
  <c r="M104" i="314"/>
  <c r="M283" i="278"/>
  <c r="M100" i="278"/>
  <c r="M694" i="321"/>
  <c r="M129" i="314"/>
  <c r="M230" i="278"/>
  <c r="M319" i="278"/>
  <c r="M246" i="278"/>
  <c r="M644" i="321"/>
  <c r="M497" i="321"/>
  <c r="M63" i="286"/>
  <c r="M136" i="314"/>
  <c r="M636" i="321"/>
  <c r="M57" i="314"/>
  <c r="M179" i="278"/>
  <c r="M617" i="321"/>
  <c r="M622" i="321"/>
  <c r="M652" i="321"/>
  <c r="M306" i="278"/>
  <c r="M545" i="321"/>
  <c r="M50" i="314"/>
  <c r="M204" i="278"/>
  <c r="M31" i="289"/>
  <c r="M32" i="289"/>
  <c r="M37" i="289"/>
  <c r="M39" i="289"/>
  <c r="N39" i="289"/>
  <c r="M239" i="278"/>
  <c r="M659" i="321"/>
  <c r="J70" i="288"/>
  <c r="J57" i="328"/>
  <c r="N84" i="273"/>
  <c r="N86" i="273"/>
  <c r="N54" i="273"/>
  <c r="K29" i="328"/>
  <c r="K152" i="278"/>
  <c r="L47" i="273"/>
  <c r="L3" i="282"/>
  <c r="L3" i="321"/>
  <c r="L4" i="328"/>
  <c r="L3" i="265"/>
  <c r="L3" i="275"/>
  <c r="L3" i="315"/>
  <c r="L3" i="286"/>
  <c r="L3" i="273"/>
  <c r="L3" i="314"/>
  <c r="L3" i="288"/>
  <c r="L3" i="285"/>
  <c r="L3" i="278"/>
  <c r="L3" i="304"/>
  <c r="L3" i="289"/>
  <c r="R2" i="328"/>
  <c r="R10" i="289"/>
  <c r="O4" i="286"/>
  <c r="O4" i="310"/>
  <c r="O4" i="282"/>
  <c r="O4" i="289"/>
  <c r="O4" i="273"/>
  <c r="O4" i="306"/>
  <c r="O4" i="285"/>
  <c r="O4" i="288"/>
  <c r="O11" i="328"/>
  <c r="O4" i="315"/>
  <c r="O4" i="314"/>
  <c r="O4" i="321"/>
  <c r="O4" i="275"/>
  <c r="O4" i="309"/>
  <c r="O4" i="304"/>
  <c r="O4" i="278"/>
  <c r="O4" i="307"/>
  <c r="K92" i="278"/>
  <c r="L263" i="306"/>
  <c r="N53" i="273"/>
  <c r="N75" i="273"/>
  <c r="O76" i="273"/>
  <c r="K278" i="306"/>
  <c r="K30" i="310"/>
  <c r="K18" i="307"/>
  <c r="O100" i="306"/>
  <c r="O89" i="305"/>
  <c r="P90" i="305"/>
  <c r="P41" i="305"/>
  <c r="O105" i="306"/>
  <c r="O56" i="273"/>
  <c r="O240" i="278"/>
  <c r="O247" i="278"/>
  <c r="N53" i="288"/>
  <c r="N178" i="288"/>
  <c r="N28" i="288"/>
  <c r="N203" i="288"/>
  <c r="O259" i="273"/>
  <c r="O674" i="321" s="1"/>
  <c r="L268" i="306"/>
  <c r="P11" i="289"/>
  <c r="P12" i="289"/>
  <c r="P36" i="289"/>
  <c r="Q58" i="288"/>
  <c r="Q2" i="309"/>
  <c r="Q208" i="288"/>
  <c r="Q26" i="305"/>
  <c r="Q27" i="305"/>
  <c r="Q31" i="305"/>
  <c r="R32" i="305"/>
  <c r="R34" i="305"/>
  <c r="R35" i="305"/>
  <c r="R4" i="305"/>
  <c r="Q183" i="288"/>
  <c r="Q2" i="310"/>
  <c r="Q2" i="307"/>
  <c r="Q2" i="306"/>
  <c r="Q147" i="288"/>
  <c r="Q33" i="288"/>
  <c r="Q2" i="305"/>
  <c r="Q34" i="311"/>
  <c r="L147" i="278"/>
  <c r="L149" i="278"/>
  <c r="L253" i="306"/>
  <c r="S12" i="328"/>
  <c r="V674" i="307"/>
  <c r="V619" i="307"/>
  <c r="V221" i="307"/>
  <c r="V669" i="307"/>
  <c r="V664" i="307"/>
  <c r="V644" i="307"/>
  <c r="V246" i="306"/>
  <c r="V262" i="306"/>
  <c r="V267" i="306"/>
  <c r="V614" i="307"/>
  <c r="V649" i="307"/>
  <c r="V629" i="307"/>
  <c r="V277" i="306"/>
  <c r="V624" i="307"/>
  <c r="V240" i="306"/>
  <c r="V252" i="306"/>
  <c r="N11" i="321"/>
  <c r="L217" i="288"/>
  <c r="L218" i="288"/>
  <c r="L220" i="288"/>
  <c r="J282" i="278"/>
  <c r="K57" i="328"/>
  <c r="L259" i="288"/>
  <c r="L45" i="321"/>
  <c r="L46" i="321"/>
  <c r="L48" i="321"/>
  <c r="K228" i="278"/>
  <c r="L67" i="288"/>
  <c r="L68" i="288"/>
  <c r="L57" i="328"/>
  <c r="L217" i="273"/>
  <c r="K218" i="273"/>
  <c r="K122" i="288"/>
  <c r="L80" i="288"/>
  <c r="L86" i="288"/>
  <c r="L91" i="288"/>
  <c r="L167" i="288"/>
  <c r="L236" i="288"/>
  <c r="L161" i="288"/>
  <c r="L162" i="288"/>
  <c r="L171" i="288"/>
  <c r="L230" i="288"/>
  <c r="L109" i="288"/>
  <c r="L51" i="321"/>
  <c r="K154" i="278"/>
  <c r="K217" i="278"/>
  <c r="N57" i="273"/>
  <c r="N63" i="273"/>
  <c r="N64" i="273"/>
  <c r="T48" i="273"/>
  <c r="N89" i="314"/>
  <c r="N36" i="285"/>
  <c r="N172" i="314"/>
  <c r="N123" i="314"/>
  <c r="V668" i="307"/>
  <c r="V102" i="314"/>
  <c r="V220" i="307"/>
  <c r="V648" i="307"/>
  <c r="V233" i="306"/>
  <c r="V245" i="306"/>
  <c r="V607" i="307"/>
  <c r="V276" i="306"/>
  <c r="V623" i="307"/>
  <c r="V673" i="307"/>
  <c r="V5" i="328"/>
  <c r="V256" i="306"/>
  <c r="V628" i="307"/>
  <c r="V618" i="307"/>
  <c r="V251" i="306"/>
  <c r="V239" i="306"/>
  <c r="V228" i="288"/>
  <c r="V613" i="307"/>
  <c r="V663" i="307"/>
  <c r="V261" i="306"/>
  <c r="V84" i="288"/>
  <c r="V643" i="307"/>
  <c r="V234" i="288"/>
  <c r="V271" i="306"/>
  <c r="V5" i="265"/>
  <c r="V78" i="288"/>
  <c r="V5" i="277"/>
  <c r="V5" i="315"/>
  <c r="V5" i="275"/>
  <c r="V5" i="285"/>
  <c r="V5" i="321"/>
  <c r="V5" i="278"/>
  <c r="V5" i="304"/>
  <c r="V5" i="288"/>
  <c r="V5" i="314"/>
  <c r="V5" i="309"/>
  <c r="V5" i="289"/>
  <c r="V5" i="273"/>
  <c r="V266" i="306"/>
  <c r="V5" i="282"/>
  <c r="V5" i="286"/>
  <c r="M72" i="321"/>
  <c r="M79" i="321"/>
  <c r="U44" i="273"/>
  <c r="U45" i="273"/>
  <c r="U133" i="288"/>
  <c r="U38" i="289"/>
  <c r="U23" i="288"/>
  <c r="N40" i="321"/>
  <c r="N41" i="321"/>
  <c r="N44" i="321"/>
  <c r="N44" i="314"/>
  <c r="N24" i="314"/>
  <c r="N111" i="314"/>
  <c r="P53" i="273"/>
  <c r="P75" i="273"/>
  <c r="Q76" i="273"/>
  <c r="N16" i="285"/>
  <c r="P161" i="273"/>
  <c r="P151" i="321"/>
  <c r="Q36" i="289"/>
  <c r="N71" i="321"/>
  <c r="N131" i="321"/>
  <c r="N267" i="321"/>
  <c r="N213" i="273"/>
  <c r="N253" i="321"/>
  <c r="N277" i="321"/>
  <c r="N259" i="321"/>
  <c r="P4" i="288"/>
  <c r="P4" i="273"/>
  <c r="P4" i="309"/>
  <c r="P4" i="286"/>
  <c r="P11" i="328"/>
  <c r="P4" i="306"/>
  <c r="P4" i="321"/>
  <c r="P4" i="307"/>
  <c r="P4" i="315"/>
  <c r="P4" i="282"/>
  <c r="P4" i="285"/>
  <c r="P4" i="278"/>
  <c r="P4" i="310"/>
  <c r="P4" i="275"/>
  <c r="P4" i="314"/>
  <c r="P4" i="289"/>
  <c r="P4" i="304"/>
  <c r="O286" i="307"/>
  <c r="O27" i="310"/>
  <c r="O278" i="307"/>
  <c r="O279" i="307"/>
  <c r="O287" i="307"/>
  <c r="O15" i="307"/>
  <c r="M253" i="306"/>
  <c r="K17" i="328"/>
  <c r="K98" i="278"/>
  <c r="K18" i="328"/>
  <c r="M39" i="321"/>
  <c r="M218" i="321"/>
  <c r="M330" i="321"/>
  <c r="M11" i="278"/>
  <c r="M147" i="278"/>
  <c r="M149" i="278"/>
  <c r="P650" i="321"/>
  <c r="P211" i="278"/>
  <c r="P161" i="278"/>
  <c r="P186" i="278"/>
  <c r="M263" i="306"/>
  <c r="R2" i="305"/>
  <c r="R33" i="288"/>
  <c r="R34" i="311"/>
  <c r="R26" i="305"/>
  <c r="R27" i="305"/>
  <c r="R31" i="305"/>
  <c r="S32" i="305"/>
  <c r="S34" i="305"/>
  <c r="S35" i="305"/>
  <c r="S4" i="305"/>
  <c r="R183" i="288"/>
  <c r="R147" i="288"/>
  <c r="R58" i="288"/>
  <c r="R208" i="288"/>
  <c r="R2" i="307"/>
  <c r="R2" i="309"/>
  <c r="R2" i="306"/>
  <c r="R2" i="310"/>
  <c r="O201" i="273"/>
  <c r="O203" i="273"/>
  <c r="O263" i="321"/>
  <c r="O265" i="321"/>
  <c r="O268" i="321"/>
  <c r="P39" i="305"/>
  <c r="P42" i="305"/>
  <c r="N3" i="306"/>
  <c r="N3" i="305"/>
  <c r="N3" i="309"/>
  <c r="N3" i="307"/>
  <c r="N3" i="310"/>
  <c r="O163" i="273"/>
  <c r="N212" i="273"/>
  <c r="N141" i="321"/>
  <c r="N165" i="321"/>
  <c r="N147" i="321"/>
  <c r="N155" i="321"/>
  <c r="N70" i="321"/>
  <c r="N130" i="321"/>
  <c r="O122" i="273"/>
  <c r="O124" i="273"/>
  <c r="O259" i="278"/>
  <c r="O261" i="273"/>
  <c r="O263" i="273"/>
  <c r="O55" i="273"/>
  <c r="O38" i="314"/>
  <c r="O28" i="314"/>
  <c r="O117" i="314"/>
  <c r="P259" i="273"/>
  <c r="P674" i="321" s="1"/>
  <c r="M3" i="278"/>
  <c r="M3" i="273"/>
  <c r="M3" i="286"/>
  <c r="M3" i="288"/>
  <c r="M3" i="275"/>
  <c r="M47" i="273"/>
  <c r="M3" i="289"/>
  <c r="M4" i="328"/>
  <c r="M3" i="314"/>
  <c r="M3" i="321"/>
  <c r="M3" i="285"/>
  <c r="M3" i="315"/>
  <c r="M3" i="304"/>
  <c r="M3" i="282"/>
  <c r="M3" i="265"/>
  <c r="P46" i="289"/>
  <c r="P30" i="289"/>
  <c r="P15" i="289"/>
  <c r="M90" i="278"/>
  <c r="N105" i="282"/>
  <c r="O49" i="305"/>
  <c r="O50" i="305"/>
  <c r="L152" i="278"/>
  <c r="L29" i="328"/>
  <c r="M268" i="306"/>
  <c r="P16" i="288"/>
  <c r="P17" i="288"/>
  <c r="P187" i="278"/>
  <c r="P33" i="286"/>
  <c r="P109" i="273"/>
  <c r="Q110" i="273"/>
  <c r="P268" i="278"/>
  <c r="P623" i="321"/>
  <c r="P110" i="286"/>
  <c r="P212" i="278"/>
  <c r="P162" i="278"/>
  <c r="P292" i="278"/>
  <c r="P15" i="286"/>
  <c r="P637" i="321"/>
  <c r="P92" i="286"/>
  <c r="P201" i="273"/>
  <c r="P263" i="321"/>
  <c r="P54" i="273"/>
  <c r="P84" i="273"/>
  <c r="N24" i="310"/>
  <c r="N12" i="307"/>
  <c r="N29" i="310"/>
  <c r="N17" i="307"/>
  <c r="O20" i="275"/>
  <c r="P17" i="275"/>
  <c r="P16" i="307"/>
  <c r="P28" i="310"/>
  <c r="O262" i="273"/>
  <c r="O16" i="307"/>
  <c r="O28" i="310"/>
  <c r="O54" i="273"/>
  <c r="O84" i="273"/>
  <c r="O86" i="273"/>
  <c r="M91" i="278"/>
  <c r="Q39" i="305"/>
  <c r="L92" i="278"/>
  <c r="O53" i="288"/>
  <c r="O28" i="288"/>
  <c r="O178" i="288"/>
  <c r="O203" i="288"/>
  <c r="L30" i="328"/>
  <c r="L153" i="278"/>
  <c r="K92" i="306"/>
  <c r="K93" i="306"/>
  <c r="K24" i="288"/>
  <c r="K25" i="288"/>
  <c r="S2" i="328"/>
  <c r="N319" i="278"/>
  <c r="N246" i="278"/>
  <c r="N636" i="321"/>
  <c r="N63" i="286"/>
  <c r="N47" i="289"/>
  <c r="N48" i="289"/>
  <c r="N53" i="289"/>
  <c r="N129" i="314"/>
  <c r="N230" i="278"/>
  <c r="N148" i="278"/>
  <c r="N179" i="278"/>
  <c r="N104" i="314"/>
  <c r="N622" i="321"/>
  <c r="N644" i="321"/>
  <c r="N306" i="278"/>
  <c r="N694" i="321"/>
  <c r="N545" i="321"/>
  <c r="N659" i="321"/>
  <c r="N16" i="289"/>
  <c r="N17" i="289"/>
  <c r="N22" i="289"/>
  <c r="N17" i="314"/>
  <c r="N17" i="278"/>
  <c r="N239" i="278"/>
  <c r="N100" i="278"/>
  <c r="N204" i="278"/>
  <c r="N652" i="321"/>
  <c r="N497" i="321"/>
  <c r="N136" i="314"/>
  <c r="N57" i="314"/>
  <c r="N283" i="278"/>
  <c r="N50" i="314"/>
  <c r="N617" i="321"/>
  <c r="N31" i="289"/>
  <c r="N32" i="289"/>
  <c r="N37" i="289"/>
  <c r="Q258" i="273"/>
  <c r="Q259" i="273"/>
  <c r="Q194" i="273"/>
  <c r="Q59" i="288"/>
  <c r="Q2" i="289"/>
  <c r="Q2" i="315"/>
  <c r="Q148" i="288"/>
  <c r="Q2" i="288"/>
  <c r="Q154" i="273"/>
  <c r="Q71" i="273"/>
  <c r="Q72" i="273"/>
  <c r="Q2" i="314"/>
  <c r="Q34" i="288"/>
  <c r="Q184" i="288"/>
  <c r="Q2" i="278"/>
  <c r="Q2" i="275"/>
  <c r="Q198" i="273"/>
  <c r="Q199" i="273"/>
  <c r="Q202" i="273"/>
  <c r="Q2" i="265"/>
  <c r="Q2" i="286"/>
  <c r="Q49" i="273"/>
  <c r="Q2" i="304"/>
  <c r="Q2" i="321"/>
  <c r="Q2" i="285"/>
  <c r="Q119" i="273"/>
  <c r="Q120" i="273"/>
  <c r="Q123" i="273"/>
  <c r="Q158" i="273"/>
  <c r="Q159" i="273"/>
  <c r="Q162" i="273"/>
  <c r="Q3" i="328"/>
  <c r="Q8" i="328"/>
  <c r="Q38" i="311"/>
  <c r="Q2" i="273"/>
  <c r="Q2" i="282"/>
  <c r="Q209" i="288"/>
  <c r="S107" i="305"/>
  <c r="S108" i="305"/>
  <c r="S112" i="305"/>
  <c r="S103" i="305"/>
  <c r="S104" i="305"/>
  <c r="S113" i="305"/>
  <c r="S115" i="305"/>
  <c r="M214" i="273"/>
  <c r="P240" i="278"/>
  <c r="P247" i="278"/>
  <c r="P56" i="273"/>
  <c r="P28" i="314"/>
  <c r="P117" i="314"/>
  <c r="P122" i="273"/>
  <c r="P38" i="314"/>
  <c r="P261" i="273"/>
  <c r="P55" i="273"/>
  <c r="P259" i="278"/>
  <c r="T12" i="328"/>
  <c r="W664" i="307"/>
  <c r="W644" i="307"/>
  <c r="W674" i="307"/>
  <c r="W619" i="307"/>
  <c r="W221" i="307"/>
  <c r="W669" i="307"/>
  <c r="W267" i="306"/>
  <c r="W246" i="306"/>
  <c r="W262" i="306"/>
  <c r="W649" i="307"/>
  <c r="W629" i="307"/>
  <c r="W277" i="306"/>
  <c r="W614" i="307"/>
  <c r="W624" i="307"/>
  <c r="W240" i="306"/>
  <c r="W252" i="306"/>
  <c r="N283" i="307"/>
  <c r="N9" i="310"/>
  <c r="L70" i="288"/>
  <c r="K272" i="288"/>
  <c r="P263" i="273"/>
  <c r="K213" i="278"/>
  <c r="K214" i="278"/>
  <c r="K218" i="278"/>
  <c r="K114" i="288"/>
  <c r="O57" i="273"/>
  <c r="P57" i="273"/>
  <c r="N214" i="273"/>
  <c r="N217" i="288"/>
  <c r="N218" i="288"/>
  <c r="N220" i="288"/>
  <c r="K155" i="278"/>
  <c r="K10" i="265" s="1"/>
  <c r="K10" i="315"/>
  <c r="K223" i="278"/>
  <c r="K264" i="288"/>
  <c r="K219" i="278"/>
  <c r="K224" i="278"/>
  <c r="K225" i="278"/>
  <c r="U48" i="273"/>
  <c r="U9" i="328"/>
  <c r="U12" i="328"/>
  <c r="V44" i="273"/>
  <c r="V45" i="273"/>
  <c r="V9" i="328"/>
  <c r="V38" i="289"/>
  <c r="V133" i="288"/>
  <c r="V23" i="288"/>
  <c r="W663" i="307"/>
  <c r="W102" i="314"/>
  <c r="W643" i="307"/>
  <c r="W276" i="306"/>
  <c r="W256" i="306"/>
  <c r="W668" i="307"/>
  <c r="W245" i="306"/>
  <c r="W220" i="307"/>
  <c r="W613" i="307"/>
  <c r="W618" i="307"/>
  <c r="W239" i="306"/>
  <c r="W228" i="288"/>
  <c r="W628" i="307"/>
  <c r="W261" i="306"/>
  <c r="W233" i="306"/>
  <c r="W271" i="306"/>
  <c r="W266" i="306"/>
  <c r="W251" i="306"/>
  <c r="W607" i="307"/>
  <c r="W623" i="307"/>
  <c r="W78" i="288"/>
  <c r="W673" i="307"/>
  <c r="W84" i="288"/>
  <c r="W5" i="328"/>
  <c r="W648" i="307"/>
  <c r="W234" i="288"/>
  <c r="W5" i="265"/>
  <c r="W5" i="321"/>
  <c r="W5" i="282"/>
  <c r="W5" i="278"/>
  <c r="W5" i="309"/>
  <c r="W5" i="277"/>
  <c r="W5" i="315"/>
  <c r="W5" i="273"/>
  <c r="W5" i="314"/>
  <c r="W5" i="289"/>
  <c r="W5" i="285"/>
  <c r="W5" i="304"/>
  <c r="W5" i="288"/>
  <c r="W5" i="286"/>
  <c r="W5" i="275"/>
  <c r="N72" i="321"/>
  <c r="N79" i="321"/>
  <c r="O131" i="321"/>
  <c r="O277" i="321"/>
  <c r="O253" i="321"/>
  <c r="P203" i="273"/>
  <c r="O259" i="321"/>
  <c r="O213" i="273"/>
  <c r="O267" i="321"/>
  <c r="O71" i="321"/>
  <c r="R39" i="305"/>
  <c r="Q272" i="278"/>
  <c r="Q85" i="273"/>
  <c r="Q79" i="314"/>
  <c r="Q39" i="314"/>
  <c r="Q19" i="282"/>
  <c r="Q15" i="275"/>
  <c r="Q296" i="278"/>
  <c r="Q118" i="314"/>
  <c r="Q158" i="314"/>
  <c r="L18" i="307"/>
  <c r="L92" i="306"/>
  <c r="L93" i="306"/>
  <c r="L278" i="306"/>
  <c r="L30" i="310"/>
  <c r="P49" i="305"/>
  <c r="P50" i="305"/>
  <c r="P105" i="282"/>
  <c r="M217" i="288"/>
  <c r="M218" i="288"/>
  <c r="M220" i="288"/>
  <c r="M91" i="288"/>
  <c r="M217" i="273"/>
  <c r="L218" i="273"/>
  <c r="M51" i="321"/>
  <c r="M45" i="321"/>
  <c r="M46" i="321"/>
  <c r="M48" i="321"/>
  <c r="M86" i="288"/>
  <c r="M230" i="288"/>
  <c r="M109" i="288"/>
  <c r="M161" i="288"/>
  <c r="M162" i="288"/>
  <c r="M171" i="288"/>
  <c r="M236" i="288"/>
  <c r="M167" i="288"/>
  <c r="M80" i="288"/>
  <c r="M241" i="288"/>
  <c r="M242" i="288"/>
  <c r="M244" i="288"/>
  <c r="M259" i="288"/>
  <c r="M67" i="288"/>
  <c r="M68" i="288"/>
  <c r="Q11" i="282"/>
  <c r="Q552" i="321"/>
  <c r="Q187" i="278"/>
  <c r="Q15" i="286"/>
  <c r="Q566" i="321"/>
  <c r="Q109" i="273"/>
  <c r="R110" i="273"/>
  <c r="Q292" i="278"/>
  <c r="Q110" i="286"/>
  <c r="Q16" i="288"/>
  <c r="Q17" i="288"/>
  <c r="Q268" i="278"/>
  <c r="Q637" i="321"/>
  <c r="Q33" i="286"/>
  <c r="Q92" i="286"/>
  <c r="Q162" i="278"/>
  <c r="Q212" i="278"/>
  <c r="Q623" i="321"/>
  <c r="Q4" i="282"/>
  <c r="Q4" i="275"/>
  <c r="Q4" i="309"/>
  <c r="Q4" i="314"/>
  <c r="Q4" i="285"/>
  <c r="Q11" i="328"/>
  <c r="Q4" i="321"/>
  <c r="Q4" i="289"/>
  <c r="Q4" i="278"/>
  <c r="Q4" i="286"/>
  <c r="Q4" i="273"/>
  <c r="Q4" i="315"/>
  <c r="Q4" i="310"/>
  <c r="Q4" i="304"/>
  <c r="Q4" i="306"/>
  <c r="Q4" i="307"/>
  <c r="Q4" i="288"/>
  <c r="N90" i="278"/>
  <c r="L98" i="278"/>
  <c r="L18" i="328"/>
  <c r="M17" i="328"/>
  <c r="O17" i="307"/>
  <c r="O29" i="310"/>
  <c r="L17" i="328"/>
  <c r="P13" i="307"/>
  <c r="P25" i="310"/>
  <c r="M153" i="278"/>
  <c r="M30" i="328"/>
  <c r="Q674" i="321"/>
  <c r="Q262" i="273"/>
  <c r="P124" i="273"/>
  <c r="O16" i="285"/>
  <c r="N51" i="321"/>
  <c r="N263" i="306"/>
  <c r="T107" i="305"/>
  <c r="T108" i="305"/>
  <c r="T112" i="305"/>
  <c r="T103" i="305"/>
  <c r="T104" i="305"/>
  <c r="T113" i="305"/>
  <c r="T115" i="305"/>
  <c r="K181" i="288"/>
  <c r="K31" i="288"/>
  <c r="Q25" i="310"/>
  <c r="Q13" i="307"/>
  <c r="P163" i="273"/>
  <c r="O147" i="321"/>
  <c r="O130" i="321"/>
  <c r="O212" i="273"/>
  <c r="O141" i="321"/>
  <c r="O70" i="321"/>
  <c r="O155" i="321"/>
  <c r="O165" i="321"/>
  <c r="P27" i="310"/>
  <c r="P286" i="307"/>
  <c r="P15" i="307"/>
  <c r="P278" i="307"/>
  <c r="P279" i="307"/>
  <c r="P287" i="307"/>
  <c r="N147" i="278"/>
  <c r="N149" i="278"/>
  <c r="R11" i="289"/>
  <c r="R12" i="289"/>
  <c r="R36" i="289"/>
  <c r="Q30" i="289"/>
  <c r="N253" i="306"/>
  <c r="S2" i="309"/>
  <c r="S2" i="305"/>
  <c r="S34" i="311"/>
  <c r="S33" i="288"/>
  <c r="S58" i="288"/>
  <c r="S147" i="288"/>
  <c r="S2" i="306"/>
  <c r="S183" i="288"/>
  <c r="S26" i="305"/>
  <c r="S27" i="305"/>
  <c r="S31" i="305"/>
  <c r="T32" i="305"/>
  <c r="T34" i="305"/>
  <c r="T35" i="305"/>
  <c r="T4" i="305"/>
  <c r="S2" i="310"/>
  <c r="S208" i="288"/>
  <c r="S2" i="307"/>
  <c r="Q211" i="278"/>
  <c r="Q186" i="278"/>
  <c r="Q579" i="321"/>
  <c r="Q650" i="321"/>
  <c r="Q598" i="321"/>
  <c r="Q599" i="321"/>
  <c r="Q707" i="321"/>
  <c r="Q161" i="278"/>
  <c r="Q155" i="273"/>
  <c r="P19" i="282"/>
  <c r="P296" i="278"/>
  <c r="P15" i="275"/>
  <c r="P20" i="275"/>
  <c r="Q17" i="275"/>
  <c r="P79" i="314"/>
  <c r="P85" i="273"/>
  <c r="P272" i="278"/>
  <c r="P39" i="314"/>
  <c r="P158" i="314"/>
  <c r="P118" i="314"/>
  <c r="N91" i="278"/>
  <c r="N218" i="321"/>
  <c r="N11" i="278"/>
  <c r="N330" i="321"/>
  <c r="N39" i="321"/>
  <c r="T10" i="289"/>
  <c r="T2" i="328"/>
  <c r="Q100" i="306"/>
  <c r="Q89" i="305"/>
  <c r="R90" i="305"/>
  <c r="R41" i="305"/>
  <c r="Q105" i="306"/>
  <c r="P86" i="273"/>
  <c r="Q53" i="273"/>
  <c r="Q75" i="273"/>
  <c r="R76" i="273"/>
  <c r="Q56" i="273"/>
  <c r="Q240" i="278"/>
  <c r="Q247" i="278"/>
  <c r="L154" i="278"/>
  <c r="O3" i="307"/>
  <c r="O3" i="310"/>
  <c r="O3" i="309"/>
  <c r="O3" i="305"/>
  <c r="O3" i="306"/>
  <c r="P14" i="307"/>
  <c r="P26" i="310"/>
  <c r="N268" i="306"/>
  <c r="R49" i="273"/>
  <c r="R2" i="286"/>
  <c r="R158" i="273"/>
  <c r="R159" i="273"/>
  <c r="R162" i="273"/>
  <c r="R2" i="265"/>
  <c r="R2" i="304"/>
  <c r="R38" i="311"/>
  <c r="R2" i="321"/>
  <c r="R2" i="275"/>
  <c r="R2" i="315"/>
  <c r="R154" i="273"/>
  <c r="R155" i="273"/>
  <c r="R209" i="288"/>
  <c r="R2" i="288"/>
  <c r="R198" i="273"/>
  <c r="R199" i="273"/>
  <c r="R202" i="273"/>
  <c r="R34" i="288"/>
  <c r="R119" i="273"/>
  <c r="R120" i="273"/>
  <c r="R123" i="273"/>
  <c r="R194" i="273"/>
  <c r="R3" i="328"/>
  <c r="R8" i="328"/>
  <c r="R2" i="285"/>
  <c r="R2" i="278"/>
  <c r="R2" i="273"/>
  <c r="R148" i="288"/>
  <c r="R258" i="273"/>
  <c r="R259" i="273"/>
  <c r="R59" i="288"/>
  <c r="R2" i="314"/>
  <c r="R2" i="282"/>
  <c r="R71" i="273"/>
  <c r="R184" i="288"/>
  <c r="R2" i="289"/>
  <c r="K15" i="310"/>
  <c r="Q54" i="273"/>
  <c r="Q84" i="273"/>
  <c r="N230" i="288"/>
  <c r="O17" i="314"/>
  <c r="O239" i="278"/>
  <c r="O617" i="321"/>
  <c r="O636" i="321"/>
  <c r="O319" i="278"/>
  <c r="O63" i="286"/>
  <c r="O57" i="314"/>
  <c r="O179" i="278"/>
  <c r="O652" i="321"/>
  <c r="O230" i="278"/>
  <c r="O104" i="314"/>
  <c r="O100" i="278"/>
  <c r="O659" i="321"/>
  <c r="O306" i="278"/>
  <c r="O50" i="314"/>
  <c r="O545" i="321"/>
  <c r="O283" i="278"/>
  <c r="O204" i="278"/>
  <c r="O246" i="278"/>
  <c r="O644" i="321"/>
  <c r="O497" i="321"/>
  <c r="O136" i="314"/>
  <c r="O129" i="314"/>
  <c r="O622" i="321"/>
  <c r="O31" i="289"/>
  <c r="O32" i="289"/>
  <c r="O37" i="289"/>
  <c r="O39" i="289"/>
  <c r="P39" i="289"/>
  <c r="N3" i="285"/>
  <c r="N3" i="289"/>
  <c r="N3" i="275"/>
  <c r="N3" i="314"/>
  <c r="N4" i="328"/>
  <c r="N3" i="315"/>
  <c r="N3" i="273"/>
  <c r="N3" i="286"/>
  <c r="N3" i="278"/>
  <c r="N3" i="265"/>
  <c r="N3" i="282"/>
  <c r="N3" i="288"/>
  <c r="N3" i="304"/>
  <c r="N47" i="273"/>
  <c r="L50" i="273"/>
  <c r="L3" i="277"/>
  <c r="N3" i="321"/>
  <c r="R40" i="305"/>
  <c r="Q26" i="310"/>
  <c r="Q14" i="307"/>
  <c r="P203" i="288"/>
  <c r="P53" i="288"/>
  <c r="P178" i="288"/>
  <c r="P28" i="288"/>
  <c r="M92" i="278"/>
  <c r="O24" i="310"/>
  <c r="O12" i="307"/>
  <c r="P262" i="273"/>
  <c r="O105" i="282"/>
  <c r="Q40" i="305"/>
  <c r="Q42" i="305"/>
  <c r="Q195" i="273"/>
  <c r="M29" i="328"/>
  <c r="M152" i="278"/>
  <c r="O24" i="314"/>
  <c r="O44" i="314"/>
  <c r="O36" i="285"/>
  <c r="O172" i="314"/>
  <c r="O111" i="314"/>
  <c r="O123" i="314"/>
  <c r="O40" i="321"/>
  <c r="O11" i="321"/>
  <c r="O89" i="314"/>
  <c r="X669" i="307"/>
  <c r="X664" i="307"/>
  <c r="X644" i="307"/>
  <c r="X674" i="307"/>
  <c r="X619" i="307"/>
  <c r="X221" i="307"/>
  <c r="X267" i="306"/>
  <c r="X246" i="306"/>
  <c r="X262" i="306"/>
  <c r="X649" i="307"/>
  <c r="X629" i="307"/>
  <c r="X277" i="306"/>
  <c r="X614" i="307"/>
  <c r="X240" i="306"/>
  <c r="X252" i="306"/>
  <c r="X624" i="307"/>
  <c r="M18" i="307"/>
  <c r="N86" i="288"/>
  <c r="N241" i="288"/>
  <c r="N242" i="288"/>
  <c r="N244" i="288"/>
  <c r="N167" i="288"/>
  <c r="N236" i="288"/>
  <c r="N259" i="288"/>
  <c r="N80" i="288"/>
  <c r="L15" i="310"/>
  <c r="N109" i="288"/>
  <c r="O63" i="273"/>
  <c r="O64" i="273"/>
  <c r="O3" i="315"/>
  <c r="N217" i="273"/>
  <c r="M218" i="273"/>
  <c r="M272" i="288"/>
  <c r="N67" i="288"/>
  <c r="N68" i="288"/>
  <c r="N70" i="288"/>
  <c r="N45" i="321"/>
  <c r="N46" i="321"/>
  <c r="N48" i="321"/>
  <c r="N91" i="288"/>
  <c r="N161" i="288"/>
  <c r="N162" i="288"/>
  <c r="N171" i="288"/>
  <c r="K220" i="278"/>
  <c r="K44" i="265" s="1"/>
  <c r="N57" i="328"/>
  <c r="V48" i="273"/>
  <c r="K116" i="265"/>
  <c r="K254" i="278"/>
  <c r="L222" i="278"/>
  <c r="L228" i="278"/>
  <c r="K229" i="278"/>
  <c r="K231" i="278"/>
  <c r="K238" i="278"/>
  <c r="K112" i="315"/>
  <c r="M154" i="278"/>
  <c r="M213" i="278"/>
  <c r="M214" i="278"/>
  <c r="M218" i="278"/>
  <c r="S25" i="310"/>
  <c r="S39" i="305"/>
  <c r="S14" i="307"/>
  <c r="O214" i="273"/>
  <c r="X668" i="307"/>
  <c r="X220" i="307"/>
  <c r="X245" i="306"/>
  <c r="X256" i="306"/>
  <c r="X628" i="307"/>
  <c r="X663" i="307"/>
  <c r="X102" i="314"/>
  <c r="X643" i="307"/>
  <c r="X271" i="306"/>
  <c r="X261" i="306"/>
  <c r="X251" i="306"/>
  <c r="X78" i="288"/>
  <c r="X613" i="307"/>
  <c r="X673" i="307"/>
  <c r="X233" i="306"/>
  <c r="X618" i="307"/>
  <c r="X239" i="306"/>
  <c r="X228" i="288"/>
  <c r="X607" i="307"/>
  <c r="X276" i="306"/>
  <c r="X266" i="306"/>
  <c r="X623" i="307"/>
  <c r="X5" i="265"/>
  <c r="X84" i="288"/>
  <c r="X5" i="328"/>
  <c r="X5" i="278"/>
  <c r="X5" i="273"/>
  <c r="X5" i="275"/>
  <c r="X5" i="285"/>
  <c r="X5" i="304"/>
  <c r="X5" i="288"/>
  <c r="X5" i="277"/>
  <c r="X5" i="315"/>
  <c r="X5" i="309"/>
  <c r="X5" i="286"/>
  <c r="X5" i="314"/>
  <c r="X5" i="289"/>
  <c r="X648" i="307"/>
  <c r="X5" i="321"/>
  <c r="X234" i="288"/>
  <c r="X5" i="282"/>
  <c r="W44" i="273"/>
  <c r="W45" i="273"/>
  <c r="W38" i="289"/>
  <c r="W133" i="288"/>
  <c r="W23" i="288"/>
  <c r="M264" i="288"/>
  <c r="Q49" i="305"/>
  <c r="Q50" i="305"/>
  <c r="R42" i="305"/>
  <c r="R49" i="305"/>
  <c r="R50" i="305"/>
  <c r="R3" i="310"/>
  <c r="R19" i="282"/>
  <c r="R296" i="278"/>
  <c r="R39" i="314"/>
  <c r="R79" i="314"/>
  <c r="R85" i="273"/>
  <c r="R118" i="314"/>
  <c r="R272" i="278"/>
  <c r="R15" i="275"/>
  <c r="R158" i="314"/>
  <c r="Q278" i="307"/>
  <c r="Q279" i="307"/>
  <c r="Q287" i="307"/>
  <c r="Q15" i="307"/>
  <c r="Q27" i="310"/>
  <c r="Q286" i="307"/>
  <c r="S100" i="306"/>
  <c r="S89" i="305"/>
  <c r="T90" i="305"/>
  <c r="T41" i="305"/>
  <c r="S105" i="306"/>
  <c r="Q161" i="273"/>
  <c r="Q163" i="273"/>
  <c r="Q151" i="321"/>
  <c r="N29" i="328"/>
  <c r="N152" i="278"/>
  <c r="R11" i="328"/>
  <c r="R4" i="309"/>
  <c r="R4" i="307"/>
  <c r="R4" i="306"/>
  <c r="R4" i="289"/>
  <c r="R4" i="314"/>
  <c r="R4" i="321"/>
  <c r="R4" i="275"/>
  <c r="R4" i="278"/>
  <c r="R4" i="285"/>
  <c r="R4" i="315"/>
  <c r="R4" i="286"/>
  <c r="R4" i="282"/>
  <c r="R4" i="304"/>
  <c r="R4" i="310"/>
  <c r="R4" i="288"/>
  <c r="R4" i="273"/>
  <c r="U103" i="305"/>
  <c r="U104" i="305"/>
  <c r="U113" i="305"/>
  <c r="U115" i="305"/>
  <c r="U107" i="305"/>
  <c r="U108" i="305"/>
  <c r="U112" i="305"/>
  <c r="P12" i="307"/>
  <c r="P24" i="310"/>
  <c r="P3" i="310"/>
  <c r="P3" i="305"/>
  <c r="P3" i="306"/>
  <c r="P3" i="307"/>
  <c r="P3" i="309"/>
  <c r="S40" i="305"/>
  <c r="P213" i="273"/>
  <c r="P267" i="321"/>
  <c r="P259" i="321"/>
  <c r="P131" i="321"/>
  <c r="P71" i="321"/>
  <c r="P277" i="321"/>
  <c r="P253" i="321"/>
  <c r="R674" i="321"/>
  <c r="R262" i="273"/>
  <c r="O253" i="306"/>
  <c r="P148" i="278"/>
  <c r="P239" i="278"/>
  <c r="P104" i="314"/>
  <c r="P283" i="278"/>
  <c r="P659" i="321"/>
  <c r="P617" i="321"/>
  <c r="P136" i="314"/>
  <c r="P17" i="314"/>
  <c r="P47" i="289"/>
  <c r="P48" i="289"/>
  <c r="P53" i="289"/>
  <c r="P644" i="321"/>
  <c r="P246" i="278"/>
  <c r="P636" i="321"/>
  <c r="P545" i="321"/>
  <c r="P57" i="314"/>
  <c r="P100" i="278"/>
  <c r="P16" i="289"/>
  <c r="P17" i="289"/>
  <c r="P22" i="289"/>
  <c r="P622" i="321"/>
  <c r="P306" i="278"/>
  <c r="P50" i="314"/>
  <c r="P63" i="286"/>
  <c r="P497" i="321"/>
  <c r="P652" i="321"/>
  <c r="P204" i="278"/>
  <c r="P31" i="289"/>
  <c r="P32" i="289"/>
  <c r="P37" i="289"/>
  <c r="P230" i="278"/>
  <c r="P179" i="278"/>
  <c r="P319" i="278"/>
  <c r="P129" i="314"/>
  <c r="R72" i="273"/>
  <c r="U2" i="328"/>
  <c r="N30" i="328"/>
  <c r="N153" i="278"/>
  <c r="O72" i="321"/>
  <c r="O79" i="321"/>
  <c r="P16" i="285"/>
  <c r="Q203" i="288"/>
  <c r="Q28" i="288"/>
  <c r="Q53" i="288"/>
  <c r="Q178" i="288"/>
  <c r="R56" i="273"/>
  <c r="R240" i="278"/>
  <c r="R247" i="278"/>
  <c r="R28" i="314"/>
  <c r="R261" i="273"/>
  <c r="R55" i="273"/>
  <c r="R122" i="273"/>
  <c r="R38" i="314"/>
  <c r="R259" i="278"/>
  <c r="R589" i="321"/>
  <c r="R590" i="321"/>
  <c r="R117" i="314"/>
  <c r="R14" i="307"/>
  <c r="R26" i="310"/>
  <c r="P63" i="273"/>
  <c r="P64" i="273"/>
  <c r="R54" i="273"/>
  <c r="R84" i="273"/>
  <c r="Q263" i="321"/>
  <c r="Q201" i="273"/>
  <c r="Q203" i="273"/>
  <c r="O39" i="321"/>
  <c r="O41" i="321"/>
  <c r="O44" i="321"/>
  <c r="R552" i="321"/>
  <c r="R268" i="278"/>
  <c r="R623" i="321"/>
  <c r="R15" i="286"/>
  <c r="R162" i="278"/>
  <c r="R11" i="282"/>
  <c r="R16" i="288"/>
  <c r="R17" i="288"/>
  <c r="R292" i="278"/>
  <c r="R33" i="286"/>
  <c r="R637" i="321"/>
  <c r="R566" i="321"/>
  <c r="R109" i="273"/>
  <c r="S110" i="273"/>
  <c r="R187" i="278"/>
  <c r="R92" i="286"/>
  <c r="R212" i="278"/>
  <c r="R110" i="286"/>
  <c r="L155" i="278"/>
  <c r="L10" i="265" s="1"/>
  <c r="L217" i="278"/>
  <c r="L223" i="278"/>
  <c r="L213" i="278"/>
  <c r="L214" i="278"/>
  <c r="L218" i="278"/>
  <c r="Q86" i="273"/>
  <c r="Q16" i="307"/>
  <c r="Q28" i="310"/>
  <c r="Q122" i="273"/>
  <c r="Q124" i="273"/>
  <c r="Q261" i="273"/>
  <c r="Q263" i="273"/>
  <c r="Q589" i="321"/>
  <c r="Q590" i="321"/>
  <c r="Q117" i="314"/>
  <c r="Q259" i="278"/>
  <c r="Q55" i="273"/>
  <c r="Q57" i="273"/>
  <c r="Q38" i="314"/>
  <c r="Q28" i="314"/>
  <c r="R195" i="273"/>
  <c r="Q602" i="321"/>
  <c r="Q658" i="321"/>
  <c r="R46" i="289"/>
  <c r="R15" i="289"/>
  <c r="R30" i="289"/>
  <c r="P212" i="273"/>
  <c r="P141" i="321"/>
  <c r="P70" i="321"/>
  <c r="P155" i="321"/>
  <c r="P147" i="321"/>
  <c r="P165" i="321"/>
  <c r="P130" i="321"/>
  <c r="S158" i="273"/>
  <c r="S159" i="273"/>
  <c r="S162" i="273"/>
  <c r="S71" i="273"/>
  <c r="S184" i="288"/>
  <c r="S2" i="304"/>
  <c r="S2" i="289"/>
  <c r="S2" i="314"/>
  <c r="S2" i="278"/>
  <c r="S3" i="328"/>
  <c r="S8" i="328"/>
  <c r="S148" i="288"/>
  <c r="S194" i="273"/>
  <c r="S2" i="265"/>
  <c r="S49" i="273"/>
  <c r="S2" i="321"/>
  <c r="S2" i="282"/>
  <c r="S38" i="311"/>
  <c r="S2" i="315"/>
  <c r="S198" i="273"/>
  <c r="S199" i="273"/>
  <c r="S202" i="273"/>
  <c r="S209" i="288"/>
  <c r="S2" i="285"/>
  <c r="S258" i="273"/>
  <c r="S154" i="273"/>
  <c r="S155" i="273"/>
  <c r="S59" i="288"/>
  <c r="S2" i="286"/>
  <c r="S2" i="273"/>
  <c r="S2" i="288"/>
  <c r="S34" i="288"/>
  <c r="S119" i="273"/>
  <c r="S120" i="273"/>
  <c r="S123" i="273"/>
  <c r="S2" i="275"/>
  <c r="O268" i="306"/>
  <c r="P29" i="310"/>
  <c r="P17" i="307"/>
  <c r="N92" i="278"/>
  <c r="Q20" i="275"/>
  <c r="R17" i="275"/>
  <c r="R13" i="307"/>
  <c r="R25" i="310"/>
  <c r="M98" i="278"/>
  <c r="M18" i="328"/>
  <c r="R161" i="278"/>
  <c r="R186" i="278"/>
  <c r="R211" i="278"/>
  <c r="R707" i="321"/>
  <c r="R579" i="321"/>
  <c r="R598" i="321"/>
  <c r="R599" i="321"/>
  <c r="R650" i="321"/>
  <c r="R161" i="273"/>
  <c r="R151" i="321"/>
  <c r="O263" i="306"/>
  <c r="R105" i="306"/>
  <c r="R100" i="306"/>
  <c r="R89" i="305"/>
  <c r="S90" i="305"/>
  <c r="S41" i="305"/>
  <c r="S36" i="289"/>
  <c r="T26" i="305"/>
  <c r="T27" i="305"/>
  <c r="T31" i="305"/>
  <c r="U32" i="305"/>
  <c r="U34" i="305"/>
  <c r="U35" i="305"/>
  <c r="U4" i="305"/>
  <c r="T2" i="310"/>
  <c r="T2" i="306"/>
  <c r="T183" i="288"/>
  <c r="T33" i="288"/>
  <c r="T2" i="309"/>
  <c r="T147" i="288"/>
  <c r="T58" i="288"/>
  <c r="T34" i="311"/>
  <c r="T2" i="305"/>
  <c r="T208" i="288"/>
  <c r="T2" i="307"/>
  <c r="M57" i="328"/>
  <c r="M70" i="288"/>
  <c r="L122" i="288"/>
  <c r="L264" i="288"/>
  <c r="L272" i="288"/>
  <c r="L114" i="288"/>
  <c r="Y221" i="307"/>
  <c r="Y669" i="307"/>
  <c r="Y664" i="307"/>
  <c r="Y644" i="307"/>
  <c r="Y674" i="307"/>
  <c r="Y619" i="307"/>
  <c r="Y267" i="306"/>
  <c r="Y246" i="306"/>
  <c r="Y262" i="306"/>
  <c r="Y649" i="307"/>
  <c r="Y629" i="307"/>
  <c r="Y277" i="306"/>
  <c r="Y614" i="307"/>
  <c r="Y624" i="307"/>
  <c r="Y240" i="306"/>
  <c r="Y252" i="306"/>
  <c r="L24" i="288"/>
  <c r="L25" i="288"/>
  <c r="V12" i="328"/>
  <c r="O283" i="307"/>
  <c r="O9" i="310"/>
  <c r="P24" i="314"/>
  <c r="P36" i="285"/>
  <c r="P172" i="314"/>
  <c r="P111" i="314"/>
  <c r="P123" i="314"/>
  <c r="P44" i="314"/>
  <c r="P40" i="321"/>
  <c r="P11" i="321"/>
  <c r="P89" i="314"/>
  <c r="O3" i="321"/>
  <c r="M223" i="278"/>
  <c r="M30" i="310"/>
  <c r="R3" i="306"/>
  <c r="M278" i="306"/>
  <c r="M122" i="288"/>
  <c r="M114" i="288"/>
  <c r="O3" i="304"/>
  <c r="O3" i="275"/>
  <c r="S13" i="307"/>
  <c r="O3" i="278"/>
  <c r="O3" i="289"/>
  <c r="O3" i="273"/>
  <c r="O3" i="288"/>
  <c r="K282" i="278"/>
  <c r="O3" i="285"/>
  <c r="O4" i="328"/>
  <c r="O3" i="265"/>
  <c r="O3" i="286"/>
  <c r="O3" i="282"/>
  <c r="O47" i="273"/>
  <c r="O3" i="314"/>
  <c r="T89" i="305"/>
  <c r="U90" i="305"/>
  <c r="U41" i="305"/>
  <c r="N30" i="310"/>
  <c r="Q11" i="321"/>
  <c r="Q36" i="285"/>
  <c r="M155" i="278"/>
  <c r="M10" i="265" s="1"/>
  <c r="K42" i="315"/>
  <c r="T100" i="306"/>
  <c r="M217" i="278"/>
  <c r="S26" i="310"/>
  <c r="T105" i="306"/>
  <c r="R3" i="307"/>
  <c r="R3" i="309"/>
  <c r="L216" i="278"/>
  <c r="L219" i="278"/>
  <c r="L224" i="278"/>
  <c r="L225" i="278"/>
  <c r="W9" i="328"/>
  <c r="W12" i="328"/>
  <c r="R3" i="305"/>
  <c r="W48" i="273"/>
  <c r="S42" i="305"/>
  <c r="S49" i="305"/>
  <c r="S50" i="305"/>
  <c r="S3" i="305"/>
  <c r="K245" i="278"/>
  <c r="O91" i="278"/>
  <c r="Q44" i="314"/>
  <c r="Q40" i="321"/>
  <c r="Q111" i="314"/>
  <c r="T40" i="305"/>
  <c r="Q89" i="314"/>
  <c r="Q24" i="314"/>
  <c r="Q123" i="314"/>
  <c r="Q172" i="314"/>
  <c r="O51" i="321"/>
  <c r="O230" i="288"/>
  <c r="O217" i="273"/>
  <c r="N218" i="273"/>
  <c r="O86" i="288"/>
  <c r="O236" i="288"/>
  <c r="O45" i="321"/>
  <c r="O46" i="321"/>
  <c r="O48" i="321"/>
  <c r="O91" i="288"/>
  <c r="O67" i="288"/>
  <c r="O241" i="288"/>
  <c r="O161" i="288"/>
  <c r="O162" i="288"/>
  <c r="O171" i="288"/>
  <c r="O80" i="288"/>
  <c r="O217" i="288"/>
  <c r="O109" i="288"/>
  <c r="O167" i="288"/>
  <c r="O259" i="288"/>
  <c r="X38" i="289"/>
  <c r="X133" i="288"/>
  <c r="X44" i="273"/>
  <c r="X45" i="273"/>
  <c r="X48" i="273"/>
  <c r="X23" i="288"/>
  <c r="P214" i="273"/>
  <c r="P241" i="288"/>
  <c r="Y245" i="306"/>
  <c r="Y663" i="307"/>
  <c r="Y607" i="307"/>
  <c r="Y613" i="307"/>
  <c r="Y220" i="307"/>
  <c r="Y256" i="306"/>
  <c r="Y102" i="314"/>
  <c r="Y668" i="307"/>
  <c r="Y648" i="307"/>
  <c r="Y276" i="306"/>
  <c r="Y266" i="306"/>
  <c r="Y84" i="288"/>
  <c r="Y628" i="307"/>
  <c r="Y623" i="307"/>
  <c r="Y233" i="306"/>
  <c r="Y261" i="306"/>
  <c r="Y673" i="307"/>
  <c r="Y271" i="306"/>
  <c r="Y618" i="307"/>
  <c r="Y251" i="306"/>
  <c r="Y239" i="306"/>
  <c r="Y228" i="288"/>
  <c r="Y643" i="307"/>
  <c r="Y234" i="288"/>
  <c r="Y78" i="288"/>
  <c r="Y5" i="265"/>
  <c r="Y5" i="314"/>
  <c r="Y5" i="273"/>
  <c r="Y5" i="288"/>
  <c r="Y5" i="328"/>
  <c r="Y5" i="309"/>
  <c r="Y5" i="315"/>
  <c r="Y5" i="282"/>
  <c r="Y5" i="321"/>
  <c r="Y5" i="286"/>
  <c r="Y5" i="278"/>
  <c r="Y5" i="289"/>
  <c r="Y5" i="285"/>
  <c r="Y5" i="277"/>
  <c r="Y5" i="275"/>
  <c r="Y5" i="304"/>
  <c r="P72" i="321"/>
  <c r="P79" i="321"/>
  <c r="N278" i="306"/>
  <c r="N18" i="307"/>
  <c r="R27" i="310"/>
  <c r="R278" i="307"/>
  <c r="R279" i="307"/>
  <c r="R287" i="307"/>
  <c r="R15" i="307"/>
  <c r="R286" i="307"/>
  <c r="S161" i="273"/>
  <c r="S151" i="321"/>
  <c r="Q63" i="273"/>
  <c r="Q64" i="273"/>
  <c r="O90" i="278"/>
  <c r="Q277" i="321"/>
  <c r="Q259" i="321"/>
  <c r="Q131" i="321"/>
  <c r="Q253" i="321"/>
  <c r="Q213" i="273"/>
  <c r="Q267" i="321"/>
  <c r="Q71" i="321"/>
  <c r="T39" i="305"/>
  <c r="Q540" i="321"/>
  <c r="Q694" i="321"/>
  <c r="Q551" i="321"/>
  <c r="Q603" i="321"/>
  <c r="Q644" i="321"/>
  <c r="Q283" i="278"/>
  <c r="Q246" i="278"/>
  <c r="Q306" i="278"/>
  <c r="Q50" i="314"/>
  <c r="Q204" i="278"/>
  <c r="Q136" i="314"/>
  <c r="Q17" i="314"/>
  <c r="Q179" i="278"/>
  <c r="Q701" i="321"/>
  <c r="Q708" i="321"/>
  <c r="Q565" i="321"/>
  <c r="Q652" i="321"/>
  <c r="Q659" i="321"/>
  <c r="Q622" i="321"/>
  <c r="Q31" i="289"/>
  <c r="Q32" i="289"/>
  <c r="Q37" i="289"/>
  <c r="Q39" i="289"/>
  <c r="R39" i="289"/>
  <c r="Q57" i="314"/>
  <c r="Q675" i="321"/>
  <c r="Q545" i="321"/>
  <c r="Q239" i="278"/>
  <c r="Q230" i="278"/>
  <c r="Q573" i="321"/>
  <c r="Q713" i="321"/>
  <c r="Q104" i="314"/>
  <c r="Q636" i="321"/>
  <c r="Q319" i="278"/>
  <c r="Q453" i="321"/>
  <c r="Q129" i="314"/>
  <c r="Q63" i="286"/>
  <c r="Q148" i="278"/>
  <c r="Q497" i="321"/>
  <c r="Q581" i="321"/>
  <c r="Q100" i="278"/>
  <c r="Q617" i="321"/>
  <c r="Q16" i="285"/>
  <c r="R124" i="273"/>
  <c r="P263" i="306"/>
  <c r="S598" i="321"/>
  <c r="S599" i="321"/>
  <c r="S161" i="278"/>
  <c r="S211" i="278"/>
  <c r="S186" i="278"/>
  <c r="S579" i="321"/>
  <c r="S650" i="321"/>
  <c r="S707" i="321"/>
  <c r="Q147" i="321"/>
  <c r="Q155" i="321"/>
  <c r="Q70" i="321"/>
  <c r="Q72" i="321"/>
  <c r="Q79" i="321"/>
  <c r="Q165" i="321"/>
  <c r="R163" i="273"/>
  <c r="Q130" i="321"/>
  <c r="Q141" i="321"/>
  <c r="Q212" i="273"/>
  <c r="P167" i="288"/>
  <c r="P67" i="288"/>
  <c r="P217" i="273"/>
  <c r="O218" i="273"/>
  <c r="P109" i="288"/>
  <c r="P51" i="321"/>
  <c r="P80" i="288"/>
  <c r="Q29" i="310"/>
  <c r="Q17" i="307"/>
  <c r="R105" i="282"/>
  <c r="R591" i="321"/>
  <c r="R37" i="282"/>
  <c r="V2" i="328"/>
  <c r="V10" i="289"/>
  <c r="R75" i="273"/>
  <c r="S76" i="273"/>
  <c r="R53" i="273"/>
  <c r="R57" i="273"/>
  <c r="O29" i="328"/>
  <c r="V107" i="305"/>
  <c r="V108" i="305"/>
  <c r="V112" i="305"/>
  <c r="V103" i="305"/>
  <c r="V104" i="305"/>
  <c r="V113" i="305"/>
  <c r="V115" i="305"/>
  <c r="R20" i="275"/>
  <c r="S17" i="275"/>
  <c r="N17" i="328"/>
  <c r="S19" i="282"/>
  <c r="S158" i="314"/>
  <c r="S39" i="314"/>
  <c r="S79" i="314"/>
  <c r="S85" i="273"/>
  <c r="S272" i="278"/>
  <c r="S118" i="314"/>
  <c r="S296" i="278"/>
  <c r="S15" i="275"/>
  <c r="P253" i="306"/>
  <c r="Q105" i="282"/>
  <c r="Q591" i="321"/>
  <c r="Q37" i="282"/>
  <c r="S4" i="304"/>
  <c r="S4" i="286"/>
  <c r="S4" i="310"/>
  <c r="S4" i="306"/>
  <c r="S11" i="328"/>
  <c r="S4" i="309"/>
  <c r="S4" i="278"/>
  <c r="S4" i="273"/>
  <c r="S4" i="315"/>
  <c r="S4" i="285"/>
  <c r="S4" i="282"/>
  <c r="S4" i="307"/>
  <c r="S4" i="288"/>
  <c r="S4" i="314"/>
  <c r="S4" i="289"/>
  <c r="S4" i="275"/>
  <c r="S4" i="321"/>
  <c r="Q24" i="310"/>
  <c r="Q12" i="307"/>
  <c r="P3" i="288"/>
  <c r="P3" i="282"/>
  <c r="P3" i="304"/>
  <c r="P3" i="315"/>
  <c r="P3" i="289"/>
  <c r="P3" i="314"/>
  <c r="P3" i="286"/>
  <c r="P3" i="321"/>
  <c r="P3" i="278"/>
  <c r="P3" i="285"/>
  <c r="P4" i="328"/>
  <c r="P47" i="273"/>
  <c r="P3" i="275"/>
  <c r="P3" i="273"/>
  <c r="P3" i="265"/>
  <c r="P147" i="278"/>
  <c r="P149" i="278"/>
  <c r="N154" i="278"/>
  <c r="S122" i="273"/>
  <c r="S117" i="314"/>
  <c r="S589" i="321"/>
  <c r="S590" i="321"/>
  <c r="S38" i="314"/>
  <c r="S261" i="273"/>
  <c r="S28" i="314"/>
  <c r="S55" i="273"/>
  <c r="S259" i="278"/>
  <c r="S30" i="289"/>
  <c r="P268" i="306"/>
  <c r="M92" i="306"/>
  <c r="M93" i="306"/>
  <c r="M24" i="288"/>
  <c r="M25" i="288"/>
  <c r="R263" i="321"/>
  <c r="R201" i="273"/>
  <c r="R203" i="273"/>
  <c r="S247" i="278"/>
  <c r="S56" i="273"/>
  <c r="S240" i="278"/>
  <c r="R263" i="273"/>
  <c r="T119" i="273"/>
  <c r="T120" i="273"/>
  <c r="T123" i="273"/>
  <c r="T198" i="273"/>
  <c r="T199" i="273"/>
  <c r="T202" i="273"/>
  <c r="T3" i="328"/>
  <c r="T8" i="328"/>
  <c r="T2" i="286"/>
  <c r="T2" i="315"/>
  <c r="T209" i="288"/>
  <c r="T148" i="288"/>
  <c r="T2" i="275"/>
  <c r="T2" i="289"/>
  <c r="T258" i="273"/>
  <c r="T259" i="273"/>
  <c r="T158" i="273"/>
  <c r="T159" i="273"/>
  <c r="T162" i="273"/>
  <c r="T59" i="288"/>
  <c r="T2" i="278"/>
  <c r="T2" i="304"/>
  <c r="T2" i="285"/>
  <c r="T49" i="273"/>
  <c r="T154" i="273"/>
  <c r="T2" i="321"/>
  <c r="T184" i="288"/>
  <c r="T71" i="273"/>
  <c r="T72" i="273"/>
  <c r="T194" i="273"/>
  <c r="T34" i="288"/>
  <c r="T2" i="273"/>
  <c r="T2" i="288"/>
  <c r="T38" i="311"/>
  <c r="T2" i="282"/>
  <c r="T2" i="265"/>
  <c r="T2" i="314"/>
  <c r="S259" i="273"/>
  <c r="P39" i="321"/>
  <c r="P41" i="321"/>
  <c r="P44" i="321"/>
  <c r="Q3" i="310"/>
  <c r="Q3" i="307"/>
  <c r="Q3" i="309"/>
  <c r="Q3" i="305"/>
  <c r="Q3" i="306"/>
  <c r="R16" i="307"/>
  <c r="R28" i="310"/>
  <c r="R602" i="321"/>
  <c r="R658" i="321"/>
  <c r="N98" i="278"/>
  <c r="N18" i="328"/>
  <c r="S16" i="288"/>
  <c r="S17" i="288"/>
  <c r="S212" i="278"/>
  <c r="S637" i="321"/>
  <c r="S92" i="286"/>
  <c r="S268" i="278"/>
  <c r="S33" i="286"/>
  <c r="S162" i="278"/>
  <c r="S566" i="321"/>
  <c r="S623" i="321"/>
  <c r="S110" i="286"/>
  <c r="S11" i="282"/>
  <c r="S109" i="273"/>
  <c r="T110" i="273"/>
  <c r="S292" i="278"/>
  <c r="S15" i="286"/>
  <c r="S552" i="321"/>
  <c r="S187" i="278"/>
  <c r="L10" i="315"/>
  <c r="R178" i="288"/>
  <c r="R28" i="288"/>
  <c r="R203" i="288"/>
  <c r="R53" i="288"/>
  <c r="R86" i="273"/>
  <c r="S195" i="273"/>
  <c r="T11" i="289"/>
  <c r="T12" i="289"/>
  <c r="T36" i="289"/>
  <c r="S72" i="273"/>
  <c r="O30" i="328"/>
  <c r="U2" i="307"/>
  <c r="U2" i="309"/>
  <c r="U147" i="288"/>
  <c r="U2" i="306"/>
  <c r="U58" i="288"/>
  <c r="U34" i="311"/>
  <c r="U183" i="288"/>
  <c r="U2" i="310"/>
  <c r="U26" i="305"/>
  <c r="U27" i="305"/>
  <c r="U31" i="305"/>
  <c r="V32" i="305"/>
  <c r="V34" i="305"/>
  <c r="V35" i="305"/>
  <c r="V4" i="305"/>
  <c r="U33" i="288"/>
  <c r="U2" i="305"/>
  <c r="U208" i="288"/>
  <c r="S28" i="310"/>
  <c r="S16" i="307"/>
  <c r="L31" i="288"/>
  <c r="L181" i="288"/>
  <c r="T28" i="310"/>
  <c r="T16" i="307"/>
  <c r="Z674" i="307"/>
  <c r="Z619" i="307"/>
  <c r="Z221" i="307"/>
  <c r="Z669" i="307"/>
  <c r="Z664" i="307"/>
  <c r="Z644" i="307"/>
  <c r="Z246" i="306"/>
  <c r="Z262" i="306"/>
  <c r="Z267" i="306"/>
  <c r="Z614" i="307"/>
  <c r="Z649" i="307"/>
  <c r="Z629" i="307"/>
  <c r="Z277" i="306"/>
  <c r="Z624" i="307"/>
  <c r="Z240" i="306"/>
  <c r="Z252" i="306"/>
  <c r="L220" i="278"/>
  <c r="L44" i="265" s="1"/>
  <c r="O92" i="278"/>
  <c r="O18" i="328"/>
  <c r="P259" i="288"/>
  <c r="P161" i="288"/>
  <c r="P162" i="288"/>
  <c r="P171" i="288"/>
  <c r="S286" i="307"/>
  <c r="S27" i="310"/>
  <c r="M10" i="315"/>
  <c r="S3" i="309"/>
  <c r="S15" i="307"/>
  <c r="S278" i="307"/>
  <c r="S279" i="307"/>
  <c r="S287" i="307"/>
  <c r="S3" i="307"/>
  <c r="S3" i="310"/>
  <c r="S3" i="306"/>
  <c r="U39" i="305"/>
  <c r="T42" i="305"/>
  <c r="T49" i="305"/>
  <c r="T50" i="305"/>
  <c r="T3" i="305"/>
  <c r="T15" i="307"/>
  <c r="X9" i="328"/>
  <c r="X12" i="328"/>
  <c r="P91" i="278"/>
  <c r="P86" i="288"/>
  <c r="P236" i="288"/>
  <c r="P230" i="288"/>
  <c r="P217" i="288"/>
  <c r="P45" i="321"/>
  <c r="P46" i="321"/>
  <c r="P48" i="321"/>
  <c r="P91" i="288"/>
  <c r="N264" i="288"/>
  <c r="N122" i="288"/>
  <c r="N114" i="288"/>
  <c r="N272" i="288"/>
  <c r="Q253" i="306"/>
  <c r="N92" i="306"/>
  <c r="N93" i="306"/>
  <c r="T24" i="310"/>
  <c r="Y44" i="273"/>
  <c r="Y45" i="273"/>
  <c r="Y133" i="288"/>
  <c r="Y38" i="289"/>
  <c r="Y23" i="288"/>
  <c r="Z668" i="307"/>
  <c r="Z102" i="314"/>
  <c r="Z220" i="307"/>
  <c r="Z648" i="307"/>
  <c r="Z233" i="306"/>
  <c r="Z245" i="306"/>
  <c r="Z663" i="307"/>
  <c r="Z256" i="306"/>
  <c r="Z613" i="307"/>
  <c r="Z623" i="307"/>
  <c r="Z673" i="307"/>
  <c r="Z5" i="328"/>
  <c r="Z628" i="307"/>
  <c r="Z271" i="306"/>
  <c r="Z266" i="306"/>
  <c r="Z276" i="306"/>
  <c r="Z607" i="307"/>
  <c r="Z228" i="288"/>
  <c r="Z643" i="307"/>
  <c r="Z261" i="306"/>
  <c r="Z618" i="307"/>
  <c r="Z251" i="306"/>
  <c r="Z239" i="306"/>
  <c r="Z234" i="288"/>
  <c r="Z78" i="288"/>
  <c r="Z5" i="265"/>
  <c r="Z84" i="288"/>
  <c r="Z5" i="277"/>
  <c r="Z5" i="278"/>
  <c r="Z5" i="309"/>
  <c r="Z5" i="282"/>
  <c r="Z5" i="321"/>
  <c r="Z5" i="275"/>
  <c r="Z5" i="273"/>
  <c r="Z5" i="288"/>
  <c r="Z5" i="314"/>
  <c r="Z5" i="285"/>
  <c r="Z5" i="315"/>
  <c r="Z5" i="304"/>
  <c r="Z5" i="289"/>
  <c r="Z5" i="286"/>
  <c r="S20" i="275"/>
  <c r="T17" i="275"/>
  <c r="S263" i="273"/>
  <c r="T29" i="310"/>
  <c r="Q214" i="273"/>
  <c r="P90" i="278"/>
  <c r="R71" i="321"/>
  <c r="R253" i="321"/>
  <c r="R259" i="321"/>
  <c r="R267" i="321"/>
  <c r="R131" i="321"/>
  <c r="R213" i="273"/>
  <c r="R277" i="321"/>
  <c r="T674" i="321"/>
  <c r="T262" i="273"/>
  <c r="R63" i="273"/>
  <c r="R64" i="273"/>
  <c r="S262" i="273"/>
  <c r="S674" i="321"/>
  <c r="Q263" i="306"/>
  <c r="P153" i="278"/>
  <c r="P30" i="328"/>
  <c r="T75" i="273"/>
  <c r="U76" i="273"/>
  <c r="T53" i="273"/>
  <c r="V2" i="309"/>
  <c r="V2" i="306"/>
  <c r="V2" i="305"/>
  <c r="V33" i="288"/>
  <c r="V34" i="311"/>
  <c r="V208" i="288"/>
  <c r="V26" i="305"/>
  <c r="V27" i="305"/>
  <c r="V31" i="305"/>
  <c r="W32" i="305"/>
  <c r="W34" i="305"/>
  <c r="W35" i="305"/>
  <c r="W4" i="305"/>
  <c r="V183" i="288"/>
  <c r="V147" i="288"/>
  <c r="V58" i="288"/>
  <c r="V2" i="307"/>
  <c r="V2" i="310"/>
  <c r="S84" i="273"/>
  <c r="S86" i="273"/>
  <c r="S54" i="273"/>
  <c r="R59" i="315"/>
  <c r="R61" i="265"/>
  <c r="R24" i="265"/>
  <c r="R22" i="315"/>
  <c r="R17" i="307"/>
  <c r="R29" i="310"/>
  <c r="O272" i="288"/>
  <c r="O122" i="288"/>
  <c r="O114" i="288"/>
  <c r="O264" i="288"/>
  <c r="T79" i="314"/>
  <c r="T158" i="314"/>
  <c r="T15" i="275"/>
  <c r="T272" i="278"/>
  <c r="T39" i="314"/>
  <c r="T118" i="314"/>
  <c r="T296" i="278"/>
  <c r="T85" i="273"/>
  <c r="T19" i="282"/>
  <c r="Q147" i="278"/>
  <c r="Q149" i="278"/>
  <c r="U40" i="305"/>
  <c r="Q3" i="288"/>
  <c r="Q47" i="273"/>
  <c r="Q3" i="289"/>
  <c r="Q4" i="328"/>
  <c r="Q3" i="282"/>
  <c r="Q3" i="321"/>
  <c r="Q3" i="265"/>
  <c r="Q3" i="304"/>
  <c r="Q3" i="278"/>
  <c r="Q3" i="285"/>
  <c r="Q3" i="314"/>
  <c r="Q3" i="275"/>
  <c r="Q3" i="273"/>
  <c r="Q3" i="315"/>
  <c r="Q3" i="286"/>
  <c r="T11" i="328"/>
  <c r="T4" i="310"/>
  <c r="T4" i="321"/>
  <c r="T4" i="285"/>
  <c r="T4" i="278"/>
  <c r="T4" i="314"/>
  <c r="T4" i="315"/>
  <c r="T4" i="309"/>
  <c r="T4" i="304"/>
  <c r="T4" i="282"/>
  <c r="T4" i="306"/>
  <c r="T4" i="275"/>
  <c r="T4" i="288"/>
  <c r="T4" i="289"/>
  <c r="T4" i="286"/>
  <c r="T4" i="307"/>
  <c r="T4" i="273"/>
  <c r="T195" i="273"/>
  <c r="T117" i="314"/>
  <c r="T259" i="278"/>
  <c r="T28" i="314"/>
  <c r="T38" i="314"/>
  <c r="T122" i="273"/>
  <c r="T55" i="273"/>
  <c r="T589" i="321"/>
  <c r="T590" i="321"/>
  <c r="T261" i="273"/>
  <c r="W103" i="305"/>
  <c r="W104" i="305"/>
  <c r="W113" i="305"/>
  <c r="W115" i="305"/>
  <c r="W107" i="305"/>
  <c r="W108" i="305"/>
  <c r="W112" i="305"/>
  <c r="U36" i="289"/>
  <c r="S53" i="273"/>
  <c r="S75" i="273"/>
  <c r="T76" i="273"/>
  <c r="T30" i="289"/>
  <c r="T15" i="289"/>
  <c r="T46" i="289"/>
  <c r="M181" i="288"/>
  <c r="M31" i="288"/>
  <c r="N217" i="278"/>
  <c r="N223" i="278"/>
  <c r="N213" i="278"/>
  <c r="N214" i="278"/>
  <c r="N218" i="278"/>
  <c r="N155" i="278"/>
  <c r="N10" i="265" s="1"/>
  <c r="Q22" i="315"/>
  <c r="Q61" i="265"/>
  <c r="Q59" i="315"/>
  <c r="Q24" i="265"/>
  <c r="U258" i="273"/>
  <c r="U158" i="273"/>
  <c r="U159" i="273"/>
  <c r="U162" i="273"/>
  <c r="U3" i="328"/>
  <c r="U8" i="328"/>
  <c r="U49" i="273"/>
  <c r="U2" i="273"/>
  <c r="U2" i="288"/>
  <c r="U2" i="282"/>
  <c r="U2" i="285"/>
  <c r="U2" i="321"/>
  <c r="U119" i="273"/>
  <c r="U120" i="273"/>
  <c r="U123" i="273"/>
  <c r="U194" i="273"/>
  <c r="U195" i="273"/>
  <c r="U59" i="288"/>
  <c r="U34" i="288"/>
  <c r="U209" i="288"/>
  <c r="U2" i="314"/>
  <c r="U2" i="275"/>
  <c r="U2" i="265"/>
  <c r="U148" i="288"/>
  <c r="U154" i="273"/>
  <c r="U71" i="273"/>
  <c r="U72" i="273"/>
  <c r="U2" i="304"/>
  <c r="U2" i="278"/>
  <c r="U184" i="288"/>
  <c r="U2" i="289"/>
  <c r="U2" i="286"/>
  <c r="U38" i="311"/>
  <c r="U198" i="273"/>
  <c r="U199" i="273"/>
  <c r="U202" i="273"/>
  <c r="U2" i="315"/>
  <c r="S163" i="273"/>
  <c r="R141" i="321"/>
  <c r="R212" i="273"/>
  <c r="R130" i="321"/>
  <c r="R70" i="321"/>
  <c r="R155" i="321"/>
  <c r="R147" i="321"/>
  <c r="R165" i="321"/>
  <c r="S658" i="321"/>
  <c r="S602" i="321"/>
  <c r="Q268" i="306"/>
  <c r="R16" i="285"/>
  <c r="S124" i="273"/>
  <c r="Q39" i="321"/>
  <c r="Q41" i="321"/>
  <c r="Q44" i="321"/>
  <c r="T14" i="307"/>
  <c r="T26" i="310"/>
  <c r="P278" i="306"/>
  <c r="U105" i="306"/>
  <c r="U100" i="306"/>
  <c r="U89" i="305"/>
  <c r="V90" i="305"/>
  <c r="V41" i="305"/>
  <c r="S263" i="321"/>
  <c r="S201" i="273"/>
  <c r="S203" i="273"/>
  <c r="T56" i="273"/>
  <c r="T247" i="278"/>
  <c r="T240" i="278"/>
  <c r="S178" i="288"/>
  <c r="S203" i="288"/>
  <c r="S53" i="288"/>
  <c r="S28" i="288"/>
  <c r="T155" i="273"/>
  <c r="T212" i="278"/>
  <c r="T268" i="278"/>
  <c r="T637" i="321"/>
  <c r="T110" i="286"/>
  <c r="T109" i="273"/>
  <c r="U110" i="273"/>
  <c r="T11" i="282"/>
  <c r="T552" i="321"/>
  <c r="T187" i="278"/>
  <c r="T15" i="286"/>
  <c r="T623" i="321"/>
  <c r="T566" i="321"/>
  <c r="T16" i="288"/>
  <c r="T17" i="288"/>
  <c r="T292" i="278"/>
  <c r="T92" i="286"/>
  <c r="T162" i="278"/>
  <c r="T33" i="286"/>
  <c r="T598" i="321"/>
  <c r="T599" i="321"/>
  <c r="T186" i="278"/>
  <c r="T579" i="321"/>
  <c r="T707" i="321"/>
  <c r="T161" i="278"/>
  <c r="T650" i="321"/>
  <c r="T211" i="278"/>
  <c r="S105" i="282"/>
  <c r="S591" i="321"/>
  <c r="S37" i="282"/>
  <c r="P152" i="278"/>
  <c r="P29" i="328"/>
  <c r="W2" i="328"/>
  <c r="R24" i="310"/>
  <c r="R12" i="307"/>
  <c r="R239" i="278"/>
  <c r="R63" i="286"/>
  <c r="R701" i="321"/>
  <c r="R708" i="321"/>
  <c r="R603" i="321"/>
  <c r="R230" i="278"/>
  <c r="R617" i="321"/>
  <c r="R622" i="321"/>
  <c r="R636" i="321"/>
  <c r="R31" i="289"/>
  <c r="R32" i="289"/>
  <c r="R37" i="289"/>
  <c r="R545" i="321"/>
  <c r="R136" i="314"/>
  <c r="R319" i="278"/>
  <c r="R453" i="321"/>
  <c r="R129" i="314"/>
  <c r="R565" i="321"/>
  <c r="R246" i="278"/>
  <c r="R306" i="278"/>
  <c r="R551" i="321"/>
  <c r="R573" i="321"/>
  <c r="R713" i="321"/>
  <c r="R540" i="321"/>
  <c r="R104" i="314"/>
  <c r="R644" i="321"/>
  <c r="R204" i="278"/>
  <c r="R497" i="321"/>
  <c r="R57" i="314"/>
  <c r="R50" i="314"/>
  <c r="R652" i="321"/>
  <c r="R47" i="289"/>
  <c r="R48" i="289"/>
  <c r="R53" i="289"/>
  <c r="R694" i="321"/>
  <c r="R100" i="278"/>
  <c r="R659" i="321"/>
  <c r="R17" i="314"/>
  <c r="R581" i="321"/>
  <c r="R675" i="321"/>
  <c r="R179" i="278"/>
  <c r="R283" i="278"/>
  <c r="R148" i="278"/>
  <c r="R16" i="289"/>
  <c r="R17" i="289"/>
  <c r="R22" i="289"/>
  <c r="M15" i="310"/>
  <c r="T25" i="310"/>
  <c r="T13" i="307"/>
  <c r="S24" i="314"/>
  <c r="AA664" i="307"/>
  <c r="AA644" i="307"/>
  <c r="AA674" i="307"/>
  <c r="AA619" i="307"/>
  <c r="AA221" i="307"/>
  <c r="AA669" i="307"/>
  <c r="AA267" i="306"/>
  <c r="AA246" i="306"/>
  <c r="AA262" i="306"/>
  <c r="AA649" i="307"/>
  <c r="AA629" i="307"/>
  <c r="AA277" i="306"/>
  <c r="AA614" i="307"/>
  <c r="AA624" i="307"/>
  <c r="AA240" i="306"/>
  <c r="AA252" i="306"/>
  <c r="U26" i="310"/>
  <c r="U14" i="307"/>
  <c r="V40" i="305"/>
  <c r="M222" i="278"/>
  <c r="L229" i="278"/>
  <c r="L231" i="278"/>
  <c r="L116" i="265"/>
  <c r="L254" i="278"/>
  <c r="L112" i="315"/>
  <c r="N24" i="288"/>
  <c r="N25" i="288"/>
  <c r="L42" i="315"/>
  <c r="R24" i="314"/>
  <c r="R36" i="285"/>
  <c r="R172" i="314"/>
  <c r="R111" i="314"/>
  <c r="R123" i="314"/>
  <c r="R44" i="314"/>
  <c r="R40" i="321"/>
  <c r="R11" i="321"/>
  <c r="R89" i="314"/>
  <c r="N15" i="310"/>
  <c r="P283" i="307"/>
  <c r="P9" i="310"/>
  <c r="T3" i="306"/>
  <c r="T3" i="310"/>
  <c r="T3" i="307"/>
  <c r="O98" i="278"/>
  <c r="Y48" i="273"/>
  <c r="U25" i="310"/>
  <c r="O17" i="328"/>
  <c r="T3" i="309"/>
  <c r="P17" i="328"/>
  <c r="U13" i="307"/>
  <c r="T20" i="275"/>
  <c r="U17" i="275"/>
  <c r="U27" i="310"/>
  <c r="S111" i="314"/>
  <c r="S172" i="314"/>
  <c r="T27" i="310"/>
  <c r="T286" i="307"/>
  <c r="Y9" i="328"/>
  <c r="Y12" i="328"/>
  <c r="R214" i="273"/>
  <c r="R51" i="321"/>
  <c r="T278" i="307"/>
  <c r="T279" i="307"/>
  <c r="T287" i="307"/>
  <c r="T12" i="307"/>
  <c r="R241" i="288"/>
  <c r="U42" i="305"/>
  <c r="U49" i="305"/>
  <c r="U50" i="305"/>
  <c r="U3" i="305"/>
  <c r="P92" i="278"/>
  <c r="P18" i="328"/>
  <c r="R45" i="321"/>
  <c r="T17" i="307"/>
  <c r="V100" i="306"/>
  <c r="R167" i="288"/>
  <c r="V105" i="306"/>
  <c r="P154" i="278"/>
  <c r="P217" i="278"/>
  <c r="S11" i="321"/>
  <c r="U29" i="310"/>
  <c r="V89" i="305"/>
  <c r="W90" i="305"/>
  <c r="W41" i="305"/>
  <c r="S123" i="314"/>
  <c r="R72" i="321"/>
  <c r="R79" i="321"/>
  <c r="T263" i="273"/>
  <c r="Z44" i="273"/>
  <c r="Z45" i="273"/>
  <c r="Z38" i="289"/>
  <c r="Z133" i="288"/>
  <c r="Z23" i="288"/>
  <c r="AA663" i="307"/>
  <c r="AA102" i="314"/>
  <c r="AA668" i="307"/>
  <c r="AA220" i="307"/>
  <c r="AA245" i="306"/>
  <c r="AA256" i="306"/>
  <c r="AA643" i="307"/>
  <c r="AA276" i="306"/>
  <c r="AA618" i="307"/>
  <c r="AA228" i="288"/>
  <c r="AA628" i="307"/>
  <c r="AA251" i="306"/>
  <c r="AA613" i="307"/>
  <c r="AA261" i="306"/>
  <c r="AA623" i="307"/>
  <c r="AA607" i="307"/>
  <c r="AA233" i="306"/>
  <c r="AA271" i="306"/>
  <c r="AA266" i="306"/>
  <c r="AA673" i="307"/>
  <c r="AA239" i="306"/>
  <c r="AA84" i="288"/>
  <c r="AA5" i="328"/>
  <c r="AA648" i="307"/>
  <c r="AA234" i="288"/>
  <c r="AA5" i="321"/>
  <c r="AA5" i="278"/>
  <c r="AA5" i="314"/>
  <c r="AA5" i="282"/>
  <c r="AA78" i="288"/>
  <c r="AA5" i="265"/>
  <c r="AA5" i="277"/>
  <c r="AA5" i="285"/>
  <c r="AA5" i="275"/>
  <c r="AA5" i="309"/>
  <c r="AA5" i="304"/>
  <c r="AA5" i="315"/>
  <c r="AA5" i="286"/>
  <c r="AA5" i="289"/>
  <c r="AA5" i="273"/>
  <c r="AA5" i="288"/>
  <c r="U24" i="310"/>
  <c r="P18" i="307"/>
  <c r="P30" i="310"/>
  <c r="S57" i="273"/>
  <c r="S63" i="273"/>
  <c r="S64" i="273"/>
  <c r="Q45" i="321"/>
  <c r="Q46" i="321"/>
  <c r="Q48" i="321"/>
  <c r="Q161" i="288"/>
  <c r="Q162" i="288"/>
  <c r="Q171" i="288"/>
  <c r="Q259" i="288"/>
  <c r="Q109" i="288"/>
  <c r="Q217" i="288"/>
  <c r="Q236" i="288"/>
  <c r="Q51" i="321"/>
  <c r="Q91" i="288"/>
  <c r="Q230" i="288"/>
  <c r="Q86" i="288"/>
  <c r="Q241" i="288"/>
  <c r="Q167" i="288"/>
  <c r="Q67" i="288"/>
  <c r="Q217" i="273"/>
  <c r="P218" i="273"/>
  <c r="Q80" i="288"/>
  <c r="S213" i="273"/>
  <c r="S131" i="321"/>
  <c r="S71" i="321"/>
  <c r="S259" i="321"/>
  <c r="S253" i="321"/>
  <c r="S277" i="321"/>
  <c r="S267" i="321"/>
  <c r="Q90" i="278"/>
  <c r="U278" i="307"/>
  <c r="U279" i="307"/>
  <c r="U287" i="307"/>
  <c r="U286" i="307"/>
  <c r="T28" i="288"/>
  <c r="T53" i="288"/>
  <c r="T203" i="288"/>
  <c r="T178" i="288"/>
  <c r="U11" i="328"/>
  <c r="U4" i="315"/>
  <c r="U4" i="289"/>
  <c r="U4" i="309"/>
  <c r="U4" i="288"/>
  <c r="U4" i="310"/>
  <c r="U4" i="321"/>
  <c r="U4" i="314"/>
  <c r="U4" i="285"/>
  <c r="U4" i="306"/>
  <c r="U4" i="282"/>
  <c r="U4" i="286"/>
  <c r="U4" i="307"/>
  <c r="U4" i="273"/>
  <c r="U4" i="304"/>
  <c r="U4" i="275"/>
  <c r="U4" i="278"/>
  <c r="U16" i="307"/>
  <c r="U28" i="310"/>
  <c r="S70" i="321"/>
  <c r="S155" i="321"/>
  <c r="S147" i="321"/>
  <c r="S165" i="321"/>
  <c r="S130" i="321"/>
  <c r="S141" i="321"/>
  <c r="S212" i="273"/>
  <c r="U259" i="273"/>
  <c r="T84" i="273"/>
  <c r="T86" i="273"/>
  <c r="T54" i="273"/>
  <c r="S29" i="310"/>
  <c r="S17" i="307"/>
  <c r="T105" i="282"/>
  <c r="T591" i="321"/>
  <c r="T37" i="282"/>
  <c r="T263" i="321"/>
  <c r="T201" i="273"/>
  <c r="T203" i="273"/>
  <c r="Q153" i="278"/>
  <c r="Q30" i="328"/>
  <c r="U79" i="314"/>
  <c r="U118" i="314"/>
  <c r="U296" i="278"/>
  <c r="U19" i="282"/>
  <c r="U15" i="275"/>
  <c r="U272" i="278"/>
  <c r="U39" i="314"/>
  <c r="U158" i="314"/>
  <c r="U85" i="273"/>
  <c r="Q97" i="278"/>
  <c r="V258" i="273"/>
  <c r="V259" i="273"/>
  <c r="V154" i="273"/>
  <c r="V155" i="273"/>
  <c r="V59" i="288"/>
  <c r="V49" i="273"/>
  <c r="V2" i="286"/>
  <c r="V2" i="289"/>
  <c r="V2" i="314"/>
  <c r="V71" i="273"/>
  <c r="V72" i="273"/>
  <c r="V198" i="273"/>
  <c r="V199" i="273"/>
  <c r="V202" i="273"/>
  <c r="V38" i="311"/>
  <c r="V184" i="288"/>
  <c r="V2" i="285"/>
  <c r="V2" i="275"/>
  <c r="V2" i="315"/>
  <c r="V158" i="273"/>
  <c r="V159" i="273"/>
  <c r="V162" i="273"/>
  <c r="V2" i="265"/>
  <c r="V2" i="288"/>
  <c r="V2" i="278"/>
  <c r="V34" i="288"/>
  <c r="V2" i="273"/>
  <c r="V2" i="282"/>
  <c r="V119" i="273"/>
  <c r="V120" i="273"/>
  <c r="V123" i="273"/>
  <c r="V194" i="273"/>
  <c r="V3" i="328"/>
  <c r="V8" i="328"/>
  <c r="V148" i="288"/>
  <c r="V209" i="288"/>
  <c r="V2" i="321"/>
  <c r="V2" i="304"/>
  <c r="U53" i="273"/>
  <c r="U75" i="273"/>
  <c r="V76" i="273"/>
  <c r="O223" i="278"/>
  <c r="O155" i="278"/>
  <c r="O10" i="265" s="1"/>
  <c r="O213" i="278"/>
  <c r="O214" i="278"/>
  <c r="O218" i="278"/>
  <c r="O217" i="278"/>
  <c r="W2" i="310"/>
  <c r="W2" i="305"/>
  <c r="W147" i="288"/>
  <c r="W58" i="288"/>
  <c r="W208" i="288"/>
  <c r="W2" i="307"/>
  <c r="W2" i="309"/>
  <c r="W33" i="288"/>
  <c r="W26" i="305"/>
  <c r="W27" i="305"/>
  <c r="W31" i="305"/>
  <c r="X32" i="305"/>
  <c r="X34" i="305"/>
  <c r="X35" i="305"/>
  <c r="X4" i="305"/>
  <c r="W34" i="311"/>
  <c r="W2" i="306"/>
  <c r="W183" i="288"/>
  <c r="U201" i="273"/>
  <c r="U263" i="321"/>
  <c r="Q29" i="328"/>
  <c r="Q152" i="278"/>
  <c r="V39" i="305"/>
  <c r="U84" i="273"/>
  <c r="U54" i="273"/>
  <c r="O30" i="310"/>
  <c r="O18" i="307"/>
  <c r="O278" i="306"/>
  <c r="R4" i="328"/>
  <c r="R3" i="321"/>
  <c r="R3" i="288"/>
  <c r="R3" i="285"/>
  <c r="R3" i="273"/>
  <c r="R3" i="304"/>
  <c r="R3" i="314"/>
  <c r="R3" i="282"/>
  <c r="R3" i="278"/>
  <c r="R3" i="286"/>
  <c r="R3" i="289"/>
  <c r="R3" i="275"/>
  <c r="R3" i="315"/>
  <c r="R3" i="265"/>
  <c r="R47" i="273"/>
  <c r="Q91" i="278"/>
  <c r="X10" i="289"/>
  <c r="X2" i="328"/>
  <c r="R253" i="306"/>
  <c r="T602" i="321"/>
  <c r="T658" i="321"/>
  <c r="U155" i="273"/>
  <c r="V11" i="289"/>
  <c r="V12" i="289"/>
  <c r="V36" i="289"/>
  <c r="U579" i="321"/>
  <c r="U650" i="321"/>
  <c r="U707" i="321"/>
  <c r="U598" i="321"/>
  <c r="U599" i="321"/>
  <c r="U161" i="278"/>
  <c r="U211" i="278"/>
  <c r="U186" i="278"/>
  <c r="U30" i="289"/>
  <c r="R147" i="278"/>
  <c r="R149" i="278"/>
  <c r="U28" i="314"/>
  <c r="U261" i="273"/>
  <c r="U122" i="273"/>
  <c r="U259" i="278"/>
  <c r="U589" i="321"/>
  <c r="U590" i="321"/>
  <c r="U117" i="314"/>
  <c r="U55" i="273"/>
  <c r="U38" i="314"/>
  <c r="R268" i="306"/>
  <c r="R39" i="321"/>
  <c r="R41" i="321"/>
  <c r="R44" i="321"/>
  <c r="S148" i="278"/>
  <c r="S540" i="321"/>
  <c r="S581" i="321"/>
  <c r="S713" i="321"/>
  <c r="S573" i="321"/>
  <c r="S652" i="321"/>
  <c r="S283" i="278"/>
  <c r="S319" i="278"/>
  <c r="S453" i="321"/>
  <c r="S136" i="314"/>
  <c r="S17" i="314"/>
  <c r="S603" i="321"/>
  <c r="S179" i="278"/>
  <c r="S701" i="321"/>
  <c r="S708" i="321"/>
  <c r="S551" i="321"/>
  <c r="S246" i="278"/>
  <c r="S659" i="321"/>
  <c r="S617" i="321"/>
  <c r="S50" i="314"/>
  <c r="S63" i="286"/>
  <c r="S239" i="278"/>
  <c r="S230" i="278"/>
  <c r="S675" i="321"/>
  <c r="S694" i="321"/>
  <c r="S104" i="314"/>
  <c r="S622" i="321"/>
  <c r="S636" i="321"/>
  <c r="S497" i="321"/>
  <c r="S129" i="314"/>
  <c r="S545" i="321"/>
  <c r="S565" i="321"/>
  <c r="S644" i="321"/>
  <c r="S204" i="278"/>
  <c r="S100" i="278"/>
  <c r="S306" i="278"/>
  <c r="S31" i="289"/>
  <c r="S32" i="289"/>
  <c r="S37" i="289"/>
  <c r="S39" i="289"/>
  <c r="T39" i="289"/>
  <c r="S57" i="314"/>
  <c r="S24" i="265"/>
  <c r="S22" i="315"/>
  <c r="S61" i="265"/>
  <c r="S59" i="315"/>
  <c r="R263" i="306"/>
  <c r="U240" i="278"/>
  <c r="U247" i="278"/>
  <c r="U56" i="273"/>
  <c r="T161" i="273"/>
  <c r="T163" i="273"/>
  <c r="T151" i="321"/>
  <c r="T124" i="273"/>
  <c r="S16" i="285"/>
  <c r="U552" i="321"/>
  <c r="U566" i="321"/>
  <c r="U637" i="321"/>
  <c r="U110" i="286"/>
  <c r="U109" i="273"/>
  <c r="V110" i="273"/>
  <c r="U268" i="278"/>
  <c r="U623" i="321"/>
  <c r="U33" i="286"/>
  <c r="U16" i="288"/>
  <c r="U17" i="288"/>
  <c r="U162" i="278"/>
  <c r="U187" i="278"/>
  <c r="U92" i="286"/>
  <c r="U212" i="278"/>
  <c r="U11" i="282"/>
  <c r="U292" i="278"/>
  <c r="U15" i="286"/>
  <c r="N10" i="315"/>
  <c r="S24" i="310"/>
  <c r="S12" i="307"/>
  <c r="X103" i="305"/>
  <c r="X104" i="305"/>
  <c r="X113" i="305"/>
  <c r="X115" i="305"/>
  <c r="X107" i="305"/>
  <c r="X108" i="305"/>
  <c r="X112" i="305"/>
  <c r="S40" i="321"/>
  <c r="S36" i="285"/>
  <c r="S89" i="314"/>
  <c r="S44" i="314"/>
  <c r="P92" i="306"/>
  <c r="P93" i="306"/>
  <c r="V28" i="310"/>
  <c r="V16" i="307"/>
  <c r="L238" i="278"/>
  <c r="L245" i="278"/>
  <c r="L282" i="278"/>
  <c r="U3" i="310"/>
  <c r="M228" i="278"/>
  <c r="M216" i="278"/>
  <c r="M219" i="278"/>
  <c r="N31" i="288"/>
  <c r="N181" i="288"/>
  <c r="AB669" i="307"/>
  <c r="AB664" i="307"/>
  <c r="AB644" i="307"/>
  <c r="AB674" i="307"/>
  <c r="AB619" i="307"/>
  <c r="AB221" i="307"/>
  <c r="AB267" i="306"/>
  <c r="AB246" i="306"/>
  <c r="AB262" i="306"/>
  <c r="AB649" i="307"/>
  <c r="AB629" i="307"/>
  <c r="AB277" i="306"/>
  <c r="AB614" i="307"/>
  <c r="AB240" i="306"/>
  <c r="AB252" i="306"/>
  <c r="AB624" i="307"/>
  <c r="Z48" i="273"/>
  <c r="R46" i="321"/>
  <c r="R48" i="321"/>
  <c r="R91" i="288"/>
  <c r="U15" i="307"/>
  <c r="R259" i="288"/>
  <c r="Z9" i="328"/>
  <c r="Z12" i="328"/>
  <c r="S72" i="321"/>
  <c r="S79" i="321"/>
  <c r="R236" i="288"/>
  <c r="R109" i="288"/>
  <c r="R161" i="288"/>
  <c r="S253" i="306"/>
  <c r="U20" i="275"/>
  <c r="V17" i="275"/>
  <c r="U3" i="307"/>
  <c r="U3" i="306"/>
  <c r="R86" i="288"/>
  <c r="R217" i="288"/>
  <c r="U12" i="307"/>
  <c r="U3" i="309"/>
  <c r="R80" i="288"/>
  <c r="R230" i="288"/>
  <c r="V42" i="305"/>
  <c r="V49" i="305"/>
  <c r="V50" i="305"/>
  <c r="V3" i="305"/>
  <c r="R217" i="273"/>
  <c r="Q218" i="273"/>
  <c r="Q114" i="288"/>
  <c r="R67" i="288"/>
  <c r="P213" i="278"/>
  <c r="P214" i="278"/>
  <c r="P218" i="278"/>
  <c r="P98" i="278"/>
  <c r="Q122" i="288"/>
  <c r="U17" i="307"/>
  <c r="Q272" i="288"/>
  <c r="U263" i="273"/>
  <c r="Q154" i="278"/>
  <c r="Q217" i="278"/>
  <c r="V29" i="310"/>
  <c r="V12" i="307"/>
  <c r="P223" i="278"/>
  <c r="P155" i="278"/>
  <c r="P10" i="265" s="1"/>
  <c r="S91" i="278"/>
  <c r="Q213" i="278"/>
  <c r="Q214" i="278"/>
  <c r="Q218" i="278"/>
  <c r="T57" i="273"/>
  <c r="T63" i="273"/>
  <c r="T64" i="273"/>
  <c r="AB668" i="307"/>
  <c r="AB220" i="307"/>
  <c r="AB663" i="307"/>
  <c r="AB102" i="314"/>
  <c r="AB256" i="306"/>
  <c r="AB628" i="307"/>
  <c r="AB271" i="306"/>
  <c r="AB261" i="306"/>
  <c r="AB251" i="306"/>
  <c r="AB78" i="288"/>
  <c r="AB648" i="307"/>
  <c r="AB276" i="306"/>
  <c r="AB266" i="306"/>
  <c r="AB239" i="306"/>
  <c r="AB618" i="307"/>
  <c r="AB228" i="288"/>
  <c r="AB643" i="307"/>
  <c r="AB613" i="307"/>
  <c r="AB623" i="307"/>
  <c r="AB233" i="306"/>
  <c r="AB5" i="265"/>
  <c r="AB245" i="306"/>
  <c r="AB84" i="288"/>
  <c r="AB5" i="328"/>
  <c r="AB673" i="307"/>
  <c r="AB607" i="307"/>
  <c r="AB234" i="288"/>
  <c r="AB5" i="275"/>
  <c r="AB5" i="309"/>
  <c r="AB5" i="278"/>
  <c r="AB5" i="288"/>
  <c r="AB5" i="273"/>
  <c r="AB5" i="289"/>
  <c r="AB5" i="277"/>
  <c r="AB5" i="314"/>
  <c r="AB5" i="285"/>
  <c r="AB5" i="304"/>
  <c r="AB5" i="282"/>
  <c r="AB5" i="321"/>
  <c r="AB5" i="286"/>
  <c r="AB5" i="315"/>
  <c r="Q223" i="278"/>
  <c r="R162" i="288"/>
  <c r="R171" i="288"/>
  <c r="AA44" i="273"/>
  <c r="AA45" i="273"/>
  <c r="AA48" i="273"/>
  <c r="AA38" i="289"/>
  <c r="AA133" i="288"/>
  <c r="AA23" i="288"/>
  <c r="S214" i="273"/>
  <c r="S217" i="273"/>
  <c r="R218" i="273"/>
  <c r="U86" i="273"/>
  <c r="P264" i="288"/>
  <c r="P272" i="288"/>
  <c r="P114" i="288"/>
  <c r="P122" i="288"/>
  <c r="R90" i="278"/>
  <c r="T213" i="273"/>
  <c r="T253" i="321"/>
  <c r="T259" i="321"/>
  <c r="T71" i="321"/>
  <c r="T267" i="321"/>
  <c r="T277" i="321"/>
  <c r="U203" i="273"/>
  <c r="T131" i="321"/>
  <c r="V674" i="321"/>
  <c r="V262" i="273"/>
  <c r="U253" i="306"/>
  <c r="U602" i="321"/>
  <c r="U658" i="321"/>
  <c r="V46" i="289"/>
  <c r="V30" i="289"/>
  <c r="V15" i="289"/>
  <c r="V13" i="307"/>
  <c r="V25" i="310"/>
  <c r="V84" i="273"/>
  <c r="V54" i="273"/>
  <c r="V151" i="321"/>
  <c r="V161" i="273"/>
  <c r="R91" i="278"/>
  <c r="V53" i="273"/>
  <c r="V75" i="273"/>
  <c r="W76" i="273"/>
  <c r="T147" i="321"/>
  <c r="T165" i="321"/>
  <c r="T130" i="321"/>
  <c r="T212" i="273"/>
  <c r="T141" i="321"/>
  <c r="T70" i="321"/>
  <c r="T155" i="321"/>
  <c r="W119" i="273"/>
  <c r="W120" i="273"/>
  <c r="W123" i="273"/>
  <c r="W154" i="273"/>
  <c r="W59" i="288"/>
  <c r="W148" i="288"/>
  <c r="W2" i="273"/>
  <c r="W2" i="286"/>
  <c r="W34" i="288"/>
  <c r="W258" i="273"/>
  <c r="W259" i="273"/>
  <c r="W198" i="273"/>
  <c r="W199" i="273"/>
  <c r="W202" i="273"/>
  <c r="W3" i="328"/>
  <c r="W8" i="328"/>
  <c r="W2" i="304"/>
  <c r="W38" i="311"/>
  <c r="W2" i="278"/>
  <c r="W2" i="285"/>
  <c r="W158" i="273"/>
  <c r="W159" i="273"/>
  <c r="W162" i="273"/>
  <c r="W71" i="273"/>
  <c r="W184" i="288"/>
  <c r="W2" i="275"/>
  <c r="W49" i="273"/>
  <c r="W2" i="282"/>
  <c r="W2" i="315"/>
  <c r="W194" i="273"/>
  <c r="W195" i="273"/>
  <c r="W2" i="265"/>
  <c r="W2" i="289"/>
  <c r="W2" i="321"/>
  <c r="W209" i="288"/>
  <c r="W2" i="288"/>
  <c r="W2" i="314"/>
  <c r="X33" i="288"/>
  <c r="X208" i="288"/>
  <c r="X183" i="288"/>
  <c r="X2" i="309"/>
  <c r="X2" i="305"/>
  <c r="X2" i="310"/>
  <c r="X58" i="288"/>
  <c r="X34" i="311"/>
  <c r="X147" i="288"/>
  <c r="X26" i="305"/>
  <c r="X27" i="305"/>
  <c r="X31" i="305"/>
  <c r="Y32" i="305"/>
  <c r="Y34" i="305"/>
  <c r="Y35" i="305"/>
  <c r="Y4" i="305"/>
  <c r="X2" i="306"/>
  <c r="X2" i="307"/>
  <c r="T16" i="285"/>
  <c r="U124" i="273"/>
  <c r="S268" i="306"/>
  <c r="S147" i="278"/>
  <c r="S149" i="278"/>
  <c r="U105" i="282"/>
  <c r="U591" i="321"/>
  <c r="U37" i="282"/>
  <c r="Y2" i="328"/>
  <c r="V19" i="282"/>
  <c r="V296" i="278"/>
  <c r="V15" i="275"/>
  <c r="V20" i="275"/>
  <c r="W17" i="275"/>
  <c r="V79" i="314"/>
  <c r="V85" i="273"/>
  <c r="V272" i="278"/>
  <c r="V118" i="314"/>
  <c r="V158" i="314"/>
  <c r="V39" i="314"/>
  <c r="S263" i="306"/>
  <c r="S3" i="289"/>
  <c r="S3" i="273"/>
  <c r="S3" i="278"/>
  <c r="S4" i="328"/>
  <c r="S3" i="285"/>
  <c r="S3" i="286"/>
  <c r="S3" i="265"/>
  <c r="S47" i="273"/>
  <c r="S3" i="275"/>
  <c r="S3" i="314"/>
  <c r="S3" i="288"/>
  <c r="S3" i="321"/>
  <c r="S3" i="304"/>
  <c r="S3" i="315"/>
  <c r="S3" i="282"/>
  <c r="V11" i="328"/>
  <c r="V4" i="310"/>
  <c r="V4" i="275"/>
  <c r="V4" i="306"/>
  <c r="V4" i="307"/>
  <c r="V4" i="321"/>
  <c r="V4" i="278"/>
  <c r="V4" i="286"/>
  <c r="V4" i="288"/>
  <c r="V4" i="315"/>
  <c r="V4" i="314"/>
  <c r="V4" i="309"/>
  <c r="V4" i="289"/>
  <c r="V4" i="282"/>
  <c r="V4" i="304"/>
  <c r="V4" i="285"/>
  <c r="V4" i="273"/>
  <c r="U53" i="288"/>
  <c r="U178" i="288"/>
  <c r="U28" i="288"/>
  <c r="U203" i="288"/>
  <c r="V240" i="278"/>
  <c r="V247" i="278"/>
  <c r="V56" i="273"/>
  <c r="T17" i="314"/>
  <c r="T708" i="321"/>
  <c r="T551" i="321"/>
  <c r="T565" i="321"/>
  <c r="T239" i="278"/>
  <c r="T636" i="321"/>
  <c r="T47" i="289"/>
  <c r="T48" i="289"/>
  <c r="T53" i="289"/>
  <c r="T204" i="278"/>
  <c r="T319" i="278"/>
  <c r="T545" i="321"/>
  <c r="T136" i="314"/>
  <c r="T306" i="278"/>
  <c r="T581" i="321"/>
  <c r="T230" i="278"/>
  <c r="T617" i="321"/>
  <c r="T31" i="289"/>
  <c r="T32" i="289"/>
  <c r="T37" i="289"/>
  <c r="T573" i="321"/>
  <c r="T713" i="321"/>
  <c r="T148" i="278"/>
  <c r="T701" i="321"/>
  <c r="T644" i="321"/>
  <c r="T659" i="321"/>
  <c r="T283" i="278"/>
  <c r="T63" i="286"/>
  <c r="T540" i="321"/>
  <c r="T497" i="321"/>
  <c r="T675" i="321"/>
  <c r="T246" i="278"/>
  <c r="T694" i="321"/>
  <c r="T603" i="321"/>
  <c r="T179" i="278"/>
  <c r="T104" i="314"/>
  <c r="T16" i="289"/>
  <c r="T17" i="289"/>
  <c r="T22" i="289"/>
  <c r="T100" i="278"/>
  <c r="T622" i="321"/>
  <c r="T453" i="321"/>
  <c r="T57" i="314"/>
  <c r="T129" i="314"/>
  <c r="T652" i="321"/>
  <c r="T50" i="314"/>
  <c r="R153" i="278"/>
  <c r="R30" i="328"/>
  <c r="R97" i="278"/>
  <c r="O92" i="306"/>
  <c r="O93" i="306"/>
  <c r="O24" i="288"/>
  <c r="O25" i="288"/>
  <c r="W40" i="305"/>
  <c r="V26" i="310"/>
  <c r="V14" i="307"/>
  <c r="V186" i="278"/>
  <c r="V161" i="278"/>
  <c r="V211" i="278"/>
  <c r="V650" i="321"/>
  <c r="V598" i="321"/>
  <c r="V599" i="321"/>
  <c r="V579" i="321"/>
  <c r="V707" i="321"/>
  <c r="V55" i="273"/>
  <c r="V259" i="278"/>
  <c r="V28" i="314"/>
  <c r="V261" i="273"/>
  <c r="V122" i="273"/>
  <c r="V117" i="314"/>
  <c r="V589" i="321"/>
  <c r="V590" i="321"/>
  <c r="V38" i="314"/>
  <c r="U262" i="273"/>
  <c r="U674" i="321"/>
  <c r="Q92" i="278"/>
  <c r="Y103" i="305"/>
  <c r="Y104" i="305"/>
  <c r="Y113" i="305"/>
  <c r="Y115" i="305"/>
  <c r="Y107" i="305"/>
  <c r="Y108" i="305"/>
  <c r="Y112" i="305"/>
  <c r="S39" i="321"/>
  <c r="S41" i="321"/>
  <c r="S44" i="321"/>
  <c r="R152" i="278"/>
  <c r="R29" i="328"/>
  <c r="U151" i="321"/>
  <c r="U161" i="273"/>
  <c r="U163" i="273"/>
  <c r="O10" i="315"/>
  <c r="V566" i="321"/>
  <c r="V109" i="273"/>
  <c r="W110" i="273"/>
  <c r="V292" i="278"/>
  <c r="V110" i="286"/>
  <c r="V212" i="278"/>
  <c r="V268" i="278"/>
  <c r="V623" i="321"/>
  <c r="V15" i="286"/>
  <c r="V162" i="278"/>
  <c r="V552" i="321"/>
  <c r="V637" i="321"/>
  <c r="V33" i="286"/>
  <c r="V11" i="282"/>
  <c r="V16" i="288"/>
  <c r="V17" i="288"/>
  <c r="V187" i="278"/>
  <c r="V92" i="286"/>
  <c r="T61" i="265"/>
  <c r="T24" i="265"/>
  <c r="T22" i="315"/>
  <c r="T59" i="315"/>
  <c r="V195" i="273"/>
  <c r="W36" i="289"/>
  <c r="T24" i="314"/>
  <c r="T36" i="285"/>
  <c r="T172" i="314"/>
  <c r="T111" i="314"/>
  <c r="T123" i="314"/>
  <c r="T40" i="321"/>
  <c r="T44" i="314"/>
  <c r="T89" i="314"/>
  <c r="T11" i="321"/>
  <c r="AC221" i="307"/>
  <c r="AC669" i="307"/>
  <c r="AC664" i="307"/>
  <c r="AC644" i="307"/>
  <c r="AC674" i="307"/>
  <c r="AC619" i="307"/>
  <c r="AC267" i="306"/>
  <c r="AC246" i="306"/>
  <c r="AC262" i="306"/>
  <c r="AC649" i="307"/>
  <c r="AC629" i="307"/>
  <c r="AC277" i="306"/>
  <c r="AC614" i="307"/>
  <c r="AC624" i="307"/>
  <c r="AC240" i="306"/>
  <c r="AC252" i="306"/>
  <c r="P15" i="310"/>
  <c r="Q9" i="310"/>
  <c r="Q283" i="307"/>
  <c r="P24" i="288"/>
  <c r="P25" i="288"/>
  <c r="M224" i="278"/>
  <c r="M225" i="278"/>
  <c r="M220" i="278"/>
  <c r="M44" i="265" s="1"/>
  <c r="V3" i="309"/>
  <c r="W29" i="310"/>
  <c r="S230" i="288"/>
  <c r="Q264" i="288"/>
  <c r="V3" i="307"/>
  <c r="V3" i="306"/>
  <c r="V3" i="310"/>
  <c r="V17" i="307"/>
  <c r="S259" i="288"/>
  <c r="AA9" i="328"/>
  <c r="AA12" i="328"/>
  <c r="S167" i="288"/>
  <c r="V24" i="310"/>
  <c r="S80" i="288"/>
  <c r="W24" i="310"/>
  <c r="S217" i="288"/>
  <c r="S241" i="288"/>
  <c r="S45" i="321"/>
  <c r="S46" i="321"/>
  <c r="S48" i="321"/>
  <c r="U57" i="273"/>
  <c r="U63" i="273"/>
  <c r="U64" i="273"/>
  <c r="Q155" i="278"/>
  <c r="Q10" i="315"/>
  <c r="S236" i="288"/>
  <c r="S51" i="321"/>
  <c r="V27" i="310"/>
  <c r="V15" i="307"/>
  <c r="V286" i="307"/>
  <c r="V278" i="307"/>
  <c r="V279" i="307"/>
  <c r="V287" i="307"/>
  <c r="S67" i="288"/>
  <c r="S86" i="288"/>
  <c r="P10" i="315"/>
  <c r="Q10" i="265"/>
  <c r="U263" i="306"/>
  <c r="V253" i="306"/>
  <c r="T72" i="321"/>
  <c r="T79" i="321"/>
  <c r="AB44" i="273"/>
  <c r="AB45" i="273"/>
  <c r="AB38" i="289"/>
  <c r="AB133" i="288"/>
  <c r="AB23" i="288"/>
  <c r="S91" i="288"/>
  <c r="S109" i="288"/>
  <c r="S161" i="288"/>
  <c r="S162" i="288"/>
  <c r="S171" i="288"/>
  <c r="AC245" i="306"/>
  <c r="AC663" i="307"/>
  <c r="AC220" i="307"/>
  <c r="AC102" i="314"/>
  <c r="AC607" i="307"/>
  <c r="AC613" i="307"/>
  <c r="AC266" i="306"/>
  <c r="AC84" i="288"/>
  <c r="AC233" i="306"/>
  <c r="AC673" i="307"/>
  <c r="AC256" i="306"/>
  <c r="AC648" i="307"/>
  <c r="AC276" i="306"/>
  <c r="AC239" i="306"/>
  <c r="AC618" i="307"/>
  <c r="AC251" i="306"/>
  <c r="AC228" i="288"/>
  <c r="AC668" i="307"/>
  <c r="AC643" i="307"/>
  <c r="AC261" i="306"/>
  <c r="AC78" i="288"/>
  <c r="AC234" i="288"/>
  <c r="AC628" i="307"/>
  <c r="AC623" i="307"/>
  <c r="AC5" i="265"/>
  <c r="AC271" i="306"/>
  <c r="AC5" i="328"/>
  <c r="AC5" i="275"/>
  <c r="AC5" i="278"/>
  <c r="AC5" i="288"/>
  <c r="AC5" i="286"/>
  <c r="AC5" i="282"/>
  <c r="AC5" i="314"/>
  <c r="AC5" i="321"/>
  <c r="AC5" i="304"/>
  <c r="AC5" i="315"/>
  <c r="AC5" i="309"/>
  <c r="AC5" i="289"/>
  <c r="AC5" i="273"/>
  <c r="AC5" i="285"/>
  <c r="AC5" i="277"/>
  <c r="R30" i="310"/>
  <c r="R278" i="306"/>
  <c r="R18" i="307"/>
  <c r="V86" i="273"/>
  <c r="R17" i="328"/>
  <c r="Q17" i="328"/>
  <c r="Z107" i="305"/>
  <c r="Z108" i="305"/>
  <c r="Z112" i="305"/>
  <c r="Z103" i="305"/>
  <c r="Z104" i="305"/>
  <c r="Z113" i="305"/>
  <c r="Z115" i="305"/>
  <c r="V105" i="282"/>
  <c r="V591" i="321"/>
  <c r="V37" i="282"/>
  <c r="X39" i="305"/>
  <c r="O181" i="288"/>
  <c r="O31" i="288"/>
  <c r="T39" i="321"/>
  <c r="U17" i="314"/>
  <c r="U148" i="278"/>
  <c r="U540" i="321"/>
  <c r="U694" i="321"/>
  <c r="U551" i="321"/>
  <c r="U283" i="278"/>
  <c r="U617" i="321"/>
  <c r="U319" i="278"/>
  <c r="U31" i="289"/>
  <c r="U32" i="289"/>
  <c r="U37" i="289"/>
  <c r="U39" i="289"/>
  <c r="V39" i="289"/>
  <c r="U136" i="314"/>
  <c r="U204" i="278"/>
  <c r="U603" i="321"/>
  <c r="U179" i="278"/>
  <c r="U701" i="321"/>
  <c r="U708" i="321"/>
  <c r="U104" i="314"/>
  <c r="U644" i="321"/>
  <c r="U246" i="278"/>
  <c r="U453" i="321"/>
  <c r="U129" i="314"/>
  <c r="U57" i="314"/>
  <c r="U636" i="321"/>
  <c r="U63" i="286"/>
  <c r="U565" i="321"/>
  <c r="U239" i="278"/>
  <c r="U230" i="278"/>
  <c r="U573" i="321"/>
  <c r="U713" i="321"/>
  <c r="U100" i="278"/>
  <c r="U652" i="321"/>
  <c r="U622" i="321"/>
  <c r="U497" i="321"/>
  <c r="U545" i="321"/>
  <c r="U50" i="314"/>
  <c r="U581" i="321"/>
  <c r="U675" i="321"/>
  <c r="U306" i="278"/>
  <c r="U659" i="321"/>
  <c r="V163" i="273"/>
  <c r="U147" i="321"/>
  <c r="U212" i="273"/>
  <c r="U141" i="321"/>
  <c r="U130" i="321"/>
  <c r="U155" i="321"/>
  <c r="U70" i="321"/>
  <c r="U165" i="321"/>
  <c r="W4" i="314"/>
  <c r="W4" i="304"/>
  <c r="W4" i="278"/>
  <c r="W4" i="307"/>
  <c r="W4" i="315"/>
  <c r="W4" i="289"/>
  <c r="W4" i="285"/>
  <c r="W4" i="288"/>
  <c r="W4" i="282"/>
  <c r="W4" i="286"/>
  <c r="W4" i="306"/>
  <c r="W4" i="310"/>
  <c r="W11" i="328"/>
  <c r="W4" i="309"/>
  <c r="W4" i="273"/>
  <c r="W4" i="321"/>
  <c r="W4" i="275"/>
  <c r="S90" i="278"/>
  <c r="S92" i="278"/>
  <c r="S98" i="278"/>
  <c r="T41" i="321"/>
  <c r="T44" i="321"/>
  <c r="V201" i="273"/>
  <c r="V203" i="273"/>
  <c r="V263" i="321"/>
  <c r="V203" i="288"/>
  <c r="V53" i="288"/>
  <c r="V178" i="288"/>
  <c r="V28" i="288"/>
  <c r="T263" i="306"/>
  <c r="W39" i="305"/>
  <c r="W42" i="305"/>
  <c r="Q278" i="306"/>
  <c r="Q18" i="307"/>
  <c r="Q30" i="310"/>
  <c r="S29" i="328"/>
  <c r="S152" i="278"/>
  <c r="X11" i="289"/>
  <c r="X12" i="289"/>
  <c r="X36" i="289"/>
  <c r="W30" i="289"/>
  <c r="W247" i="278"/>
  <c r="W56" i="273"/>
  <c r="W240" i="278"/>
  <c r="X105" i="306"/>
  <c r="X89" i="305"/>
  <c r="Y90" i="305"/>
  <c r="Y41" i="305"/>
  <c r="X100" i="306"/>
  <c r="R154" i="278"/>
  <c r="Q18" i="328"/>
  <c r="Q98" i="278"/>
  <c r="Q101" i="278"/>
  <c r="Q104" i="278"/>
  <c r="Q105" i="278"/>
  <c r="T253" i="306"/>
  <c r="W674" i="321"/>
  <c r="W262" i="273"/>
  <c r="V602" i="321"/>
  <c r="V658" i="321"/>
  <c r="W72" i="273"/>
  <c r="T147" i="278"/>
  <c r="T149" i="278"/>
  <c r="V124" i="273"/>
  <c r="U16" i="285"/>
  <c r="T3" i="265"/>
  <c r="T3" i="278"/>
  <c r="T3" i="288"/>
  <c r="T3" i="273"/>
  <c r="T3" i="289"/>
  <c r="T3" i="315"/>
  <c r="T3" i="321"/>
  <c r="T4" i="328"/>
  <c r="T47" i="273"/>
  <c r="T3" i="314"/>
  <c r="T3" i="285"/>
  <c r="T3" i="275"/>
  <c r="T3" i="282"/>
  <c r="T3" i="304"/>
  <c r="T3" i="286"/>
  <c r="W16" i="288"/>
  <c r="W17" i="288"/>
  <c r="W162" i="278"/>
  <c r="W623" i="321"/>
  <c r="W110" i="286"/>
  <c r="W212" i="278"/>
  <c r="W11" i="282"/>
  <c r="W187" i="278"/>
  <c r="W15" i="286"/>
  <c r="W552" i="321"/>
  <c r="W268" i="278"/>
  <c r="W292" i="278"/>
  <c r="W33" i="286"/>
  <c r="W566" i="321"/>
  <c r="W109" i="273"/>
  <c r="X110" i="273"/>
  <c r="W637" i="321"/>
  <c r="W92" i="286"/>
  <c r="T214" i="273"/>
  <c r="X258" i="273"/>
  <c r="X259" i="273"/>
  <c r="X198" i="273"/>
  <c r="X199" i="273"/>
  <c r="X202" i="273"/>
  <c r="X3" i="328"/>
  <c r="X8" i="328"/>
  <c r="X2" i="314"/>
  <c r="X2" i="273"/>
  <c r="X148" i="288"/>
  <c r="X184" i="288"/>
  <c r="X119" i="273"/>
  <c r="X120" i="273"/>
  <c r="X123" i="273"/>
  <c r="X158" i="273"/>
  <c r="X159" i="273"/>
  <c r="X162" i="273"/>
  <c r="X59" i="288"/>
  <c r="X2" i="282"/>
  <c r="X38" i="311"/>
  <c r="X209" i="288"/>
  <c r="X2" i="304"/>
  <c r="X71" i="273"/>
  <c r="X72" i="273"/>
  <c r="X194" i="273"/>
  <c r="X34" i="288"/>
  <c r="X2" i="285"/>
  <c r="X2" i="286"/>
  <c r="X2" i="275"/>
  <c r="X2" i="315"/>
  <c r="X154" i="273"/>
  <c r="X155" i="273"/>
  <c r="X2" i="265"/>
  <c r="X2" i="321"/>
  <c r="X2" i="278"/>
  <c r="X2" i="289"/>
  <c r="X49" i="273"/>
  <c r="X2" i="288"/>
  <c r="R92" i="278"/>
  <c r="W105" i="306"/>
  <c r="W100" i="306"/>
  <c r="W89" i="305"/>
  <c r="X90" i="305"/>
  <c r="X41" i="305"/>
  <c r="Y2" i="307"/>
  <c r="Y183" i="288"/>
  <c r="Y2" i="306"/>
  <c r="Y58" i="288"/>
  <c r="Y33" i="288"/>
  <c r="Y34" i="311"/>
  <c r="Y26" i="305"/>
  <c r="Y27" i="305"/>
  <c r="Y31" i="305"/>
  <c r="Z32" i="305"/>
  <c r="Z34" i="305"/>
  <c r="Z35" i="305"/>
  <c r="Z4" i="305"/>
  <c r="Y208" i="288"/>
  <c r="Y147" i="288"/>
  <c r="Y2" i="310"/>
  <c r="Y2" i="309"/>
  <c r="Y2" i="305"/>
  <c r="V263" i="273"/>
  <c r="W201" i="273"/>
  <c r="W263" i="321"/>
  <c r="R272" i="288"/>
  <c r="R264" i="288"/>
  <c r="R122" i="288"/>
  <c r="R114" i="288"/>
  <c r="T268" i="306"/>
  <c r="W55" i="273"/>
  <c r="W38" i="314"/>
  <c r="W28" i="314"/>
  <c r="W259" i="278"/>
  <c r="W589" i="321"/>
  <c r="W590" i="321"/>
  <c r="W261" i="273"/>
  <c r="W117" i="314"/>
  <c r="W122" i="273"/>
  <c r="Z2" i="328"/>
  <c r="Z10" i="289"/>
  <c r="U24" i="265"/>
  <c r="U22" i="315"/>
  <c r="U59" i="315"/>
  <c r="U61" i="265"/>
  <c r="S153" i="278"/>
  <c r="S30" i="328"/>
  <c r="W211" i="278"/>
  <c r="W186" i="278"/>
  <c r="W579" i="321"/>
  <c r="W650" i="321"/>
  <c r="W707" i="321"/>
  <c r="W598" i="321"/>
  <c r="W599" i="321"/>
  <c r="W161" i="278"/>
  <c r="W155" i="273"/>
  <c r="W54" i="273"/>
  <c r="W84" i="273"/>
  <c r="O15" i="310"/>
  <c r="S97" i="278"/>
  <c r="U213" i="273"/>
  <c r="U259" i="321"/>
  <c r="U71" i="321"/>
  <c r="U267" i="321"/>
  <c r="U253" i="321"/>
  <c r="U131" i="321"/>
  <c r="U277" i="321"/>
  <c r="U24" i="314"/>
  <c r="U172" i="314"/>
  <c r="U36" i="285"/>
  <c r="U111" i="314"/>
  <c r="U11" i="321"/>
  <c r="U123" i="314"/>
  <c r="U44" i="314"/>
  <c r="U40" i="321"/>
  <c r="U89" i="314"/>
  <c r="M42" i="315"/>
  <c r="P31" i="288"/>
  <c r="P181" i="288"/>
  <c r="AB9" i="328"/>
  <c r="M229" i="278"/>
  <c r="M231" i="278"/>
  <c r="N222" i="278"/>
  <c r="M116" i="265"/>
  <c r="M112" i="315"/>
  <c r="M254" i="278"/>
  <c r="W17" i="307"/>
  <c r="AD674" i="307"/>
  <c r="AD619" i="307"/>
  <c r="AD221" i="307"/>
  <c r="AD669" i="307"/>
  <c r="AD664" i="307"/>
  <c r="AD644" i="307"/>
  <c r="AD246" i="306"/>
  <c r="AD262" i="306"/>
  <c r="AD267" i="306"/>
  <c r="AD614" i="307"/>
  <c r="AD649" i="307"/>
  <c r="AD629" i="307"/>
  <c r="AD277" i="306"/>
  <c r="AD624" i="307"/>
  <c r="AD240" i="306"/>
  <c r="AD252" i="306"/>
  <c r="V263" i="306"/>
  <c r="W86" i="273"/>
  <c r="V268" i="306"/>
  <c r="V57" i="273"/>
  <c r="V63" i="273"/>
  <c r="V64" i="273"/>
  <c r="R172" i="278"/>
  <c r="R92" i="306"/>
  <c r="R93" i="306"/>
  <c r="R24" i="288"/>
  <c r="R25" i="288"/>
  <c r="R181" i="288"/>
  <c r="W12" i="307"/>
  <c r="AB48" i="273"/>
  <c r="S18" i="328"/>
  <c r="S101" i="278"/>
  <c r="S104" i="278"/>
  <c r="S105" i="278"/>
  <c r="S192" i="278"/>
  <c r="AC44" i="273"/>
  <c r="AC45" i="273"/>
  <c r="AC48" i="273"/>
  <c r="AC133" i="288"/>
  <c r="AC23" i="288"/>
  <c r="AC38" i="289"/>
  <c r="AD668" i="307"/>
  <c r="AD102" i="314"/>
  <c r="AD220" i="307"/>
  <c r="AD245" i="306"/>
  <c r="AD256" i="306"/>
  <c r="AD663" i="307"/>
  <c r="AD648" i="307"/>
  <c r="AD233" i="306"/>
  <c r="AD239" i="306"/>
  <c r="AD623" i="307"/>
  <c r="AD673" i="307"/>
  <c r="AD5" i="328"/>
  <c r="AD628" i="307"/>
  <c r="AD261" i="306"/>
  <c r="AD613" i="307"/>
  <c r="AD271" i="306"/>
  <c r="AD266" i="306"/>
  <c r="AD607" i="307"/>
  <c r="AD276" i="306"/>
  <c r="AD618" i="307"/>
  <c r="AD251" i="306"/>
  <c r="AD228" i="288"/>
  <c r="AD78" i="288"/>
  <c r="AD234" i="288"/>
  <c r="AD643" i="307"/>
  <c r="AD84" i="288"/>
  <c r="AD5" i="265"/>
  <c r="AD5" i="282"/>
  <c r="AD5" i="286"/>
  <c r="AD5" i="289"/>
  <c r="AD5" i="277"/>
  <c r="AD5" i="321"/>
  <c r="AD5" i="304"/>
  <c r="AD5" i="288"/>
  <c r="AD5" i="314"/>
  <c r="AD5" i="278"/>
  <c r="AD5" i="273"/>
  <c r="AD5" i="275"/>
  <c r="AD5" i="315"/>
  <c r="AD5" i="285"/>
  <c r="AD5" i="309"/>
  <c r="S17" i="328"/>
  <c r="U72" i="321"/>
  <c r="U79" i="321"/>
  <c r="U214" i="273"/>
  <c r="U161" i="288"/>
  <c r="U217" i="288"/>
  <c r="S172" i="278"/>
  <c r="T90" i="278"/>
  <c r="Y89" i="305"/>
  <c r="Z90" i="305"/>
  <c r="Z41" i="305"/>
  <c r="Y105" i="306"/>
  <c r="Y100" i="306"/>
  <c r="X272" i="278"/>
  <c r="X15" i="275"/>
  <c r="X296" i="278"/>
  <c r="X118" i="314"/>
  <c r="X19" i="282"/>
  <c r="X158" i="314"/>
  <c r="X39" i="314"/>
  <c r="X79" i="314"/>
  <c r="X85" i="273"/>
  <c r="X53" i="273"/>
  <c r="X75" i="273"/>
  <c r="Y76" i="273"/>
  <c r="X161" i="273"/>
  <c r="X151" i="321"/>
  <c r="X4" i="304"/>
  <c r="X4" i="314"/>
  <c r="X4" i="282"/>
  <c r="X4" i="273"/>
  <c r="X4" i="315"/>
  <c r="X4" i="307"/>
  <c r="X4" i="275"/>
  <c r="X4" i="309"/>
  <c r="X4" i="310"/>
  <c r="X4" i="306"/>
  <c r="X4" i="288"/>
  <c r="X4" i="289"/>
  <c r="X11" i="328"/>
  <c r="X4" i="286"/>
  <c r="X4" i="321"/>
  <c r="X4" i="278"/>
  <c r="X4" i="285"/>
  <c r="Y39" i="305"/>
  <c r="X162" i="278"/>
  <c r="X552" i="321"/>
  <c r="X623" i="321"/>
  <c r="X33" i="286"/>
  <c r="X11" i="282"/>
  <c r="X268" i="278"/>
  <c r="X637" i="321"/>
  <c r="X110" i="286"/>
  <c r="X16" i="288"/>
  <c r="X17" i="288"/>
  <c r="X566" i="321"/>
  <c r="X187" i="278"/>
  <c r="X15" i="286"/>
  <c r="X109" i="273"/>
  <c r="Y110" i="273"/>
  <c r="X212" i="278"/>
  <c r="X292" i="278"/>
  <c r="X92" i="286"/>
  <c r="T217" i="288"/>
  <c r="T167" i="288"/>
  <c r="T161" i="288"/>
  <c r="T162" i="288"/>
  <c r="T171" i="288"/>
  <c r="T241" i="288"/>
  <c r="T67" i="288"/>
  <c r="T217" i="273"/>
  <c r="S218" i="273"/>
  <c r="T91" i="288"/>
  <c r="T236" i="288"/>
  <c r="T45" i="321"/>
  <c r="T46" i="321"/>
  <c r="T48" i="321"/>
  <c r="T109" i="288"/>
  <c r="T86" i="288"/>
  <c r="T51" i="321"/>
  <c r="T259" i="288"/>
  <c r="T230" i="288"/>
  <c r="T80" i="288"/>
  <c r="T29" i="328"/>
  <c r="T152" i="278"/>
  <c r="W53" i="273"/>
  <c r="W75" i="273"/>
  <c r="X76" i="273"/>
  <c r="Q192" i="278"/>
  <c r="Q197" i="278"/>
  <c r="Q188" i="278"/>
  <c r="Q189" i="278"/>
  <c r="Q193" i="278"/>
  <c r="Q9" i="315"/>
  <c r="Q11" i="315"/>
  <c r="X46" i="289"/>
  <c r="X30" i="289"/>
  <c r="X15" i="289"/>
  <c r="U4" i="328"/>
  <c r="U3" i="285"/>
  <c r="U3" i="321"/>
  <c r="U3" i="286"/>
  <c r="U3" i="278"/>
  <c r="U3" i="315"/>
  <c r="U3" i="289"/>
  <c r="U3" i="288"/>
  <c r="U3" i="282"/>
  <c r="U3" i="304"/>
  <c r="U3" i="275"/>
  <c r="U3" i="273"/>
  <c r="U3" i="314"/>
  <c r="U3" i="265"/>
  <c r="U47" i="273"/>
  <c r="W49" i="305"/>
  <c r="W50" i="305"/>
  <c r="U268" i="306"/>
  <c r="Y40" i="305"/>
  <c r="W161" i="273"/>
  <c r="W163" i="273"/>
  <c r="W151" i="321"/>
  <c r="X240" i="278"/>
  <c r="X247" i="278"/>
  <c r="X56" i="273"/>
  <c r="T153" i="278"/>
  <c r="T30" i="328"/>
  <c r="Q92" i="306"/>
  <c r="Q93" i="306"/>
  <c r="Q24" i="288"/>
  <c r="Q25" i="288"/>
  <c r="X25" i="310"/>
  <c r="X13" i="307"/>
  <c r="AA103" i="305"/>
  <c r="AA104" i="305"/>
  <c r="AA113" i="305"/>
  <c r="AA115" i="305"/>
  <c r="AA107" i="305"/>
  <c r="AA108" i="305"/>
  <c r="AA112" i="305"/>
  <c r="Q11" i="265"/>
  <c r="Q32" i="328"/>
  <c r="Q167" i="278"/>
  <c r="Q163" i="278"/>
  <c r="Q164" i="278"/>
  <c r="Q168" i="278"/>
  <c r="Q172" i="278"/>
  <c r="Q27" i="328"/>
  <c r="X674" i="321"/>
  <c r="X262" i="273"/>
  <c r="W602" i="321"/>
  <c r="W658" i="321"/>
  <c r="W263" i="273"/>
  <c r="T278" i="306"/>
  <c r="W28" i="310"/>
  <c r="W16" i="307"/>
  <c r="R18" i="328"/>
  <c r="R98" i="278"/>
  <c r="R101" i="278"/>
  <c r="R104" i="278"/>
  <c r="R105" i="278"/>
  <c r="X598" i="321"/>
  <c r="X599" i="321"/>
  <c r="X650" i="321"/>
  <c r="X161" i="278"/>
  <c r="X579" i="321"/>
  <c r="X186" i="278"/>
  <c r="X707" i="321"/>
  <c r="X211" i="278"/>
  <c r="W79" i="314"/>
  <c r="W85" i="273"/>
  <c r="W272" i="278"/>
  <c r="W118" i="314"/>
  <c r="W296" i="278"/>
  <c r="W39" i="314"/>
  <c r="W19" i="282"/>
  <c r="W158" i="314"/>
  <c r="W15" i="275"/>
  <c r="W20" i="275"/>
  <c r="X17" i="275"/>
  <c r="Y198" i="273"/>
  <c r="Y199" i="273"/>
  <c r="Y202" i="273"/>
  <c r="Y2" i="265"/>
  <c r="Y148" i="288"/>
  <c r="Y2" i="288"/>
  <c r="Y184" i="288"/>
  <c r="Y2" i="321"/>
  <c r="Y2" i="286"/>
  <c r="Y119" i="273"/>
  <c r="Y120" i="273"/>
  <c r="Y123" i="273"/>
  <c r="Y158" i="273"/>
  <c r="Y159" i="273"/>
  <c r="Y162" i="273"/>
  <c r="Y3" i="328"/>
  <c r="Y8" i="328"/>
  <c r="Y2" i="315"/>
  <c r="Y2" i="314"/>
  <c r="Y2" i="289"/>
  <c r="Y2" i="285"/>
  <c r="Y258" i="273"/>
  <c r="Y194" i="273"/>
  <c r="Y59" i="288"/>
  <c r="Y2" i="304"/>
  <c r="Y2" i="278"/>
  <c r="Y38" i="311"/>
  <c r="Y2" i="273"/>
  <c r="Y154" i="273"/>
  <c r="Y155" i="273"/>
  <c r="Y71" i="273"/>
  <c r="Y72" i="273"/>
  <c r="Y2" i="282"/>
  <c r="Y34" i="288"/>
  <c r="Y2" i="275"/>
  <c r="Y49" i="273"/>
  <c r="Y209" i="288"/>
  <c r="R213" i="278"/>
  <c r="R214" i="278"/>
  <c r="R218" i="278"/>
  <c r="R223" i="278"/>
  <c r="R217" i="278"/>
  <c r="R155" i="278"/>
  <c r="X195" i="273"/>
  <c r="W26" i="310"/>
  <c r="W14" i="307"/>
  <c r="V212" i="273"/>
  <c r="V141" i="321"/>
  <c r="V147" i="321"/>
  <c r="V155" i="321"/>
  <c r="V130" i="321"/>
  <c r="V165" i="321"/>
  <c r="V70" i="321"/>
  <c r="U39" i="321"/>
  <c r="U41" i="321"/>
  <c r="U44" i="321"/>
  <c r="V213" i="273"/>
  <c r="V277" i="321"/>
  <c r="V131" i="321"/>
  <c r="V253" i="321"/>
  <c r="V71" i="321"/>
  <c r="V267" i="321"/>
  <c r="W203" i="273"/>
  <c r="V259" i="321"/>
  <c r="AA2" i="328"/>
  <c r="W105" i="282"/>
  <c r="W37" i="282"/>
  <c r="W591" i="321"/>
  <c r="T91" i="278"/>
  <c r="T97" i="278"/>
  <c r="W28" i="288"/>
  <c r="W178" i="288"/>
  <c r="W203" i="288"/>
  <c r="W53" i="288"/>
  <c r="W124" i="273"/>
  <c r="V16" i="285"/>
  <c r="Y36" i="289"/>
  <c r="X16" i="307"/>
  <c r="X28" i="310"/>
  <c r="S154" i="278"/>
  <c r="X40" i="305"/>
  <c r="X42" i="305"/>
  <c r="W13" i="307"/>
  <c r="W25" i="310"/>
  <c r="V230" i="278"/>
  <c r="V581" i="321"/>
  <c r="V675" i="321"/>
  <c r="V179" i="278"/>
  <c r="V617" i="321"/>
  <c r="V246" i="278"/>
  <c r="V652" i="321"/>
  <c r="V306" i="278"/>
  <c r="V50" i="314"/>
  <c r="V16" i="289"/>
  <c r="V17" i="289"/>
  <c r="V22" i="289"/>
  <c r="V713" i="321"/>
  <c r="V283" i="278"/>
  <c r="V694" i="321"/>
  <c r="V565" i="321"/>
  <c r="V148" i="278"/>
  <c r="V239" i="278"/>
  <c r="V100" i="278"/>
  <c r="V622" i="321"/>
  <c r="V319" i="278"/>
  <c r="V31" i="289"/>
  <c r="V32" i="289"/>
  <c r="V37" i="289"/>
  <c r="V57" i="314"/>
  <c r="V129" i="314"/>
  <c r="V551" i="321"/>
  <c r="V644" i="321"/>
  <c r="V63" i="286"/>
  <c r="V701" i="321"/>
  <c r="V708" i="321"/>
  <c r="V603" i="321"/>
  <c r="V104" i="314"/>
  <c r="V204" i="278"/>
  <c r="V636" i="321"/>
  <c r="V497" i="321"/>
  <c r="V47" i="289"/>
  <c r="V48" i="289"/>
  <c r="V53" i="289"/>
  <c r="V545" i="321"/>
  <c r="V573" i="321"/>
  <c r="V659" i="321"/>
  <c r="V136" i="314"/>
  <c r="V17" i="314"/>
  <c r="V540" i="321"/>
  <c r="V453" i="321"/>
  <c r="U147" i="278"/>
  <c r="U149" i="278"/>
  <c r="X26" i="310"/>
  <c r="X14" i="307"/>
  <c r="V22" i="315"/>
  <c r="V24" i="265"/>
  <c r="V61" i="265"/>
  <c r="V59" i="315"/>
  <c r="Z2" i="309"/>
  <c r="Z2" i="307"/>
  <c r="Z2" i="310"/>
  <c r="Z26" i="305"/>
  <c r="Z27" i="305"/>
  <c r="Z31" i="305"/>
  <c r="AA32" i="305"/>
  <c r="AA34" i="305"/>
  <c r="AA35" i="305"/>
  <c r="AA4" i="305"/>
  <c r="Z183" i="288"/>
  <c r="Z208" i="288"/>
  <c r="Z58" i="288"/>
  <c r="Z2" i="305"/>
  <c r="Z34" i="311"/>
  <c r="Z2" i="306"/>
  <c r="Z33" i="288"/>
  <c r="Z147" i="288"/>
  <c r="W268" i="306"/>
  <c r="AE664" i="307"/>
  <c r="AE644" i="307"/>
  <c r="AE674" i="307"/>
  <c r="AE619" i="307"/>
  <c r="AE221" i="307"/>
  <c r="AE669" i="307"/>
  <c r="AE267" i="306"/>
  <c r="AE246" i="306"/>
  <c r="AE262" i="306"/>
  <c r="AE649" i="307"/>
  <c r="AE629" i="307"/>
  <c r="AE277" i="306"/>
  <c r="AE614" i="307"/>
  <c r="AE624" i="307"/>
  <c r="AE240" i="306"/>
  <c r="AE252" i="306"/>
  <c r="M238" i="278"/>
  <c r="M282" i="278"/>
  <c r="M245" i="278"/>
  <c r="AB12" i="328"/>
  <c r="W253" i="306"/>
  <c r="V24" i="314"/>
  <c r="V36" i="285"/>
  <c r="V172" i="314"/>
  <c r="V111" i="314"/>
  <c r="V123" i="314"/>
  <c r="V40" i="321"/>
  <c r="V11" i="321"/>
  <c r="V44" i="314"/>
  <c r="V89" i="314"/>
  <c r="R15" i="310"/>
  <c r="W263" i="306"/>
  <c r="S197" i="278"/>
  <c r="N216" i="278"/>
  <c r="N219" i="278"/>
  <c r="N228" i="278"/>
  <c r="R283" i="307"/>
  <c r="R9" i="310"/>
  <c r="S188" i="278"/>
  <c r="S189" i="278"/>
  <c r="S193" i="278"/>
  <c r="S9" i="315"/>
  <c r="AC9" i="328"/>
  <c r="R31" i="288"/>
  <c r="W57" i="273"/>
  <c r="W63" i="273"/>
  <c r="W64" i="273"/>
  <c r="W40" i="321"/>
  <c r="R163" i="278"/>
  <c r="R164" i="278"/>
  <c r="R168" i="278"/>
  <c r="W36" i="285"/>
  <c r="R27" i="328"/>
  <c r="R167" i="278"/>
  <c r="S27" i="328"/>
  <c r="U109" i="288"/>
  <c r="U236" i="288"/>
  <c r="S163" i="278"/>
  <c r="S164" i="278"/>
  <c r="S168" i="278"/>
  <c r="S167" i="278"/>
  <c r="T18" i="307"/>
  <c r="U217" i="273"/>
  <c r="T218" i="273"/>
  <c r="T264" i="288"/>
  <c r="Y15" i="307"/>
  <c r="U80" i="288"/>
  <c r="T30" i="310"/>
  <c r="U86" i="288"/>
  <c r="U91" i="288"/>
  <c r="U230" i="288"/>
  <c r="U167" i="288"/>
  <c r="U67" i="288"/>
  <c r="U241" i="288"/>
  <c r="AD44" i="273"/>
  <c r="AD45" i="273"/>
  <c r="AD9" i="328"/>
  <c r="AD38" i="289"/>
  <c r="AD133" i="288"/>
  <c r="AD23" i="288"/>
  <c r="V72" i="321"/>
  <c r="V79" i="321"/>
  <c r="U51" i="321"/>
  <c r="U45" i="321"/>
  <c r="U46" i="321"/>
  <c r="U48" i="321"/>
  <c r="U259" i="288"/>
  <c r="AE663" i="307"/>
  <c r="AE102" i="314"/>
  <c r="AE668" i="307"/>
  <c r="AE220" i="307"/>
  <c r="AE245" i="306"/>
  <c r="AE256" i="306"/>
  <c r="AE643" i="307"/>
  <c r="AE276" i="306"/>
  <c r="AE618" i="307"/>
  <c r="AE228" i="288"/>
  <c r="AE648" i="307"/>
  <c r="AE623" i="307"/>
  <c r="AE628" i="307"/>
  <c r="AE673" i="307"/>
  <c r="AE613" i="307"/>
  <c r="AE261" i="306"/>
  <c r="AE239" i="306"/>
  <c r="AE233" i="306"/>
  <c r="AE266" i="306"/>
  <c r="AE251" i="306"/>
  <c r="AE78" i="288"/>
  <c r="AE234" i="288"/>
  <c r="AE271" i="306"/>
  <c r="AE5" i="321"/>
  <c r="AE5" i="282"/>
  <c r="AE5" i="285"/>
  <c r="AE5" i="273"/>
  <c r="AE607" i="307"/>
  <c r="AE84" i="288"/>
  <c r="AE5" i="275"/>
  <c r="AE5" i="304"/>
  <c r="AE5" i="314"/>
  <c r="AE5" i="328"/>
  <c r="AE5" i="265"/>
  <c r="AE5" i="277"/>
  <c r="AE5" i="288"/>
  <c r="AE5" i="286"/>
  <c r="AE5" i="278"/>
  <c r="AE5" i="315"/>
  <c r="AE5" i="309"/>
  <c r="AE5" i="289"/>
  <c r="W89" i="314"/>
  <c r="W123" i="314"/>
  <c r="W24" i="314"/>
  <c r="T114" i="288"/>
  <c r="W11" i="321"/>
  <c r="W111" i="314"/>
  <c r="V214" i="273"/>
  <c r="V67" i="288"/>
  <c r="T154" i="278"/>
  <c r="W44" i="314"/>
  <c r="W172" i="314"/>
  <c r="U162" i="288"/>
  <c r="U171" i="288"/>
  <c r="X278" i="307"/>
  <c r="X279" i="307"/>
  <c r="X287" i="307"/>
  <c r="X15" i="307"/>
  <c r="X286" i="307"/>
  <c r="X27" i="310"/>
  <c r="Y151" i="321"/>
  <c r="Y161" i="273"/>
  <c r="Y42" i="305"/>
  <c r="X49" i="305"/>
  <c r="X50" i="305"/>
  <c r="U90" i="278"/>
  <c r="Z39" i="305"/>
  <c r="Y53" i="273"/>
  <c r="Y75" i="273"/>
  <c r="Z76" i="273"/>
  <c r="U30" i="328"/>
  <c r="U153" i="278"/>
  <c r="W694" i="321"/>
  <c r="W551" i="321"/>
  <c r="W603" i="321"/>
  <c r="W540" i="321"/>
  <c r="W246" i="278"/>
  <c r="W204" i="278"/>
  <c r="W659" i="321"/>
  <c r="W497" i="321"/>
  <c r="W31" i="289"/>
  <c r="W32" i="289"/>
  <c r="W37" i="289"/>
  <c r="W39" i="289"/>
  <c r="X39" i="289"/>
  <c r="W129" i="314"/>
  <c r="W708" i="321"/>
  <c r="W565" i="321"/>
  <c r="W179" i="278"/>
  <c r="W701" i="321"/>
  <c r="W622" i="321"/>
  <c r="W283" i="278"/>
  <c r="W617" i="321"/>
  <c r="W306" i="278"/>
  <c r="W50" i="314"/>
  <c r="W581" i="321"/>
  <c r="W148" i="278"/>
  <c r="W100" i="278"/>
  <c r="W453" i="321"/>
  <c r="W136" i="314"/>
  <c r="W17" i="314"/>
  <c r="W573" i="321"/>
  <c r="W713" i="321"/>
  <c r="W239" i="278"/>
  <c r="W230" i="278"/>
  <c r="W636" i="321"/>
  <c r="W644" i="321"/>
  <c r="W319" i="278"/>
  <c r="W63" i="286"/>
  <c r="W545" i="321"/>
  <c r="W675" i="321"/>
  <c r="W104" i="314"/>
  <c r="W652" i="321"/>
  <c r="W57" i="314"/>
  <c r="V4" i="328"/>
  <c r="V3" i="321"/>
  <c r="V3" i="289"/>
  <c r="V3" i="275"/>
  <c r="V3" i="314"/>
  <c r="V3" i="315"/>
  <c r="V3" i="282"/>
  <c r="V3" i="278"/>
  <c r="V3" i="288"/>
  <c r="V47" i="273"/>
  <c r="V3" i="304"/>
  <c r="V3" i="273"/>
  <c r="V3" i="286"/>
  <c r="V3" i="265"/>
  <c r="V3" i="285"/>
  <c r="Y30" i="289"/>
  <c r="Y19" i="282"/>
  <c r="Y158" i="314"/>
  <c r="Y118" i="314"/>
  <c r="Y272" i="278"/>
  <c r="Y85" i="273"/>
  <c r="Y79" i="314"/>
  <c r="Y39" i="314"/>
  <c r="Y296" i="278"/>
  <c r="Y15" i="275"/>
  <c r="U91" i="278"/>
  <c r="X602" i="321"/>
  <c r="X658" i="321"/>
  <c r="AA208" i="288"/>
  <c r="AA2" i="307"/>
  <c r="AA2" i="309"/>
  <c r="AA58" i="288"/>
  <c r="AA2" i="310"/>
  <c r="AA34" i="311"/>
  <c r="AA183" i="288"/>
  <c r="AA33" i="288"/>
  <c r="AA26" i="305"/>
  <c r="AA27" i="305"/>
  <c r="AA31" i="305"/>
  <c r="AB32" i="305"/>
  <c r="AB34" i="305"/>
  <c r="AB35" i="305"/>
  <c r="AB4" i="305"/>
  <c r="AA147" i="288"/>
  <c r="AA2" i="305"/>
  <c r="AA2" i="306"/>
  <c r="Y4" i="278"/>
  <c r="Y4" i="304"/>
  <c r="Y4" i="314"/>
  <c r="Y4" i="307"/>
  <c r="Y4" i="321"/>
  <c r="Y4" i="273"/>
  <c r="Y4" i="288"/>
  <c r="Y4" i="309"/>
  <c r="Y4" i="315"/>
  <c r="Y4" i="289"/>
  <c r="Y11" i="328"/>
  <c r="Y4" i="310"/>
  <c r="Y4" i="275"/>
  <c r="Y4" i="282"/>
  <c r="Y4" i="285"/>
  <c r="Y4" i="286"/>
  <c r="Y4" i="306"/>
  <c r="Z158" i="273"/>
  <c r="Z159" i="273"/>
  <c r="Z162" i="273"/>
  <c r="Z2" i="265"/>
  <c r="Z2" i="275"/>
  <c r="Z49" i="273"/>
  <c r="Z34" i="288"/>
  <c r="Z2" i="289"/>
  <c r="Z2" i="278"/>
  <c r="Z258" i="273"/>
  <c r="Z194" i="273"/>
  <c r="Z195" i="273"/>
  <c r="Z3" i="328"/>
  <c r="Z8" i="328"/>
  <c r="Z209" i="288"/>
  <c r="Z2" i="273"/>
  <c r="Z2" i="321"/>
  <c r="Z2" i="304"/>
  <c r="Z119" i="273"/>
  <c r="Z120" i="273"/>
  <c r="Z123" i="273"/>
  <c r="Z154" i="273"/>
  <c r="Z155" i="273"/>
  <c r="Z59" i="288"/>
  <c r="Z38" i="311"/>
  <c r="Z2" i="288"/>
  <c r="Z2" i="285"/>
  <c r="Z2" i="286"/>
  <c r="Z71" i="273"/>
  <c r="Z198" i="273"/>
  <c r="Z199" i="273"/>
  <c r="Z202" i="273"/>
  <c r="Z148" i="288"/>
  <c r="Z184" i="288"/>
  <c r="Z2" i="314"/>
  <c r="Z2" i="282"/>
  <c r="Z2" i="315"/>
  <c r="X54" i="273"/>
  <c r="X84" i="273"/>
  <c r="X86" i="273"/>
  <c r="Y14" i="307"/>
  <c r="Y26" i="310"/>
  <c r="X20" i="275"/>
  <c r="Y17" i="275"/>
  <c r="Y16" i="307"/>
  <c r="Y28" i="310"/>
  <c r="U152" i="278"/>
  <c r="U29" i="328"/>
  <c r="W16" i="285"/>
  <c r="U97" i="278"/>
  <c r="R10" i="265"/>
  <c r="R11" i="265"/>
  <c r="R32" i="328"/>
  <c r="R10" i="315"/>
  <c r="Y566" i="321"/>
  <c r="Y109" i="273"/>
  <c r="Z110" i="273"/>
  <c r="Y292" i="278"/>
  <c r="Y15" i="286"/>
  <c r="Y16" i="288"/>
  <c r="Y17" i="288"/>
  <c r="Y162" i="278"/>
  <c r="Y637" i="321"/>
  <c r="Y110" i="286"/>
  <c r="Y212" i="278"/>
  <c r="Y268" i="278"/>
  <c r="Y623" i="321"/>
  <c r="Y33" i="286"/>
  <c r="Y11" i="282"/>
  <c r="Y552" i="321"/>
  <c r="Y187" i="278"/>
  <c r="Y92" i="286"/>
  <c r="R192" i="278"/>
  <c r="R197" i="278"/>
  <c r="R9" i="315"/>
  <c r="R188" i="278"/>
  <c r="R189" i="278"/>
  <c r="R193" i="278"/>
  <c r="S264" i="288"/>
  <c r="S272" i="288"/>
  <c r="S122" i="288"/>
  <c r="S114" i="288"/>
  <c r="V39" i="321"/>
  <c r="V41" i="321"/>
  <c r="V44" i="321"/>
  <c r="S213" i="278"/>
  <c r="S214" i="278"/>
  <c r="S218" i="278"/>
  <c r="S217" i="278"/>
  <c r="S155" i="278"/>
  <c r="S223" i="278"/>
  <c r="W61" i="265"/>
  <c r="W59" i="315"/>
  <c r="W22" i="315"/>
  <c r="W24" i="265"/>
  <c r="W70" i="321"/>
  <c r="W155" i="321"/>
  <c r="W147" i="321"/>
  <c r="W165" i="321"/>
  <c r="X163" i="273"/>
  <c r="W130" i="321"/>
  <c r="W212" i="273"/>
  <c r="W141" i="321"/>
  <c r="V161" i="288"/>
  <c r="V162" i="288"/>
  <c r="V171" i="288"/>
  <c r="X55" i="273"/>
  <c r="X259" i="278"/>
  <c r="X28" i="314"/>
  <c r="X117" i="314"/>
  <c r="X122" i="273"/>
  <c r="X124" i="273"/>
  <c r="X38" i="314"/>
  <c r="X589" i="321"/>
  <c r="X590" i="321"/>
  <c r="X261" i="273"/>
  <c r="X263" i="273"/>
  <c r="Q15" i="310"/>
  <c r="W3" i="307"/>
  <c r="W3" i="305"/>
  <c r="W3" i="306"/>
  <c r="W3" i="309"/>
  <c r="W3" i="310"/>
  <c r="Y240" i="278"/>
  <c r="Y247" i="278"/>
  <c r="Y56" i="273"/>
  <c r="X203" i="288"/>
  <c r="X178" i="288"/>
  <c r="X28" i="288"/>
  <c r="X53" i="288"/>
  <c r="Z40" i="305"/>
  <c r="Y54" i="273"/>
  <c r="Y84" i="273"/>
  <c r="T92" i="278"/>
  <c r="V147" i="278"/>
  <c r="V149" i="278"/>
  <c r="AB2" i="328"/>
  <c r="AB10" i="289"/>
  <c r="W213" i="273"/>
  <c r="W253" i="321"/>
  <c r="W71" i="321"/>
  <c r="W277" i="321"/>
  <c r="W131" i="321"/>
  <c r="W259" i="321"/>
  <c r="W267" i="321"/>
  <c r="W278" i="307"/>
  <c r="W279" i="307"/>
  <c r="W287" i="307"/>
  <c r="W15" i="307"/>
  <c r="W286" i="307"/>
  <c r="W27" i="310"/>
  <c r="X201" i="273"/>
  <c r="X203" i="273"/>
  <c r="X263" i="321"/>
  <c r="Y161" i="278"/>
  <c r="Y650" i="321"/>
  <c r="Y186" i="278"/>
  <c r="Y598" i="321"/>
  <c r="Y599" i="321"/>
  <c r="Y211" i="278"/>
  <c r="Y579" i="321"/>
  <c r="Y707" i="321"/>
  <c r="Y195" i="273"/>
  <c r="AB107" i="305"/>
  <c r="AB108" i="305"/>
  <c r="AB112" i="305"/>
  <c r="AB103" i="305"/>
  <c r="AB104" i="305"/>
  <c r="AB113" i="305"/>
  <c r="AB115" i="305"/>
  <c r="Q181" i="288"/>
  <c r="Q31" i="288"/>
  <c r="S18" i="307"/>
  <c r="S30" i="310"/>
  <c r="S278" i="306"/>
  <c r="Y259" i="273"/>
  <c r="Z11" i="289"/>
  <c r="Z12" i="289"/>
  <c r="Z36" i="289"/>
  <c r="Y25" i="310"/>
  <c r="Y13" i="307"/>
  <c r="Y55" i="273"/>
  <c r="Y259" i="278"/>
  <c r="Y28" i="314"/>
  <c r="Y117" i="314"/>
  <c r="Y122" i="273"/>
  <c r="Y261" i="273"/>
  <c r="Y589" i="321"/>
  <c r="Y590" i="321"/>
  <c r="Y38" i="314"/>
  <c r="X268" i="306"/>
  <c r="AC12" i="328"/>
  <c r="AF669" i="307"/>
  <c r="AF664" i="307"/>
  <c r="AF644" i="307"/>
  <c r="AF674" i="307"/>
  <c r="AF619" i="307"/>
  <c r="AF221" i="307"/>
  <c r="AF267" i="306"/>
  <c r="AF246" i="306"/>
  <c r="AF262" i="306"/>
  <c r="AF649" i="307"/>
  <c r="AF629" i="307"/>
  <c r="AF277" i="306"/>
  <c r="AF614" i="307"/>
  <c r="AF240" i="306"/>
  <c r="AF252" i="306"/>
  <c r="AF624" i="307"/>
  <c r="N224" i="278"/>
  <c r="N225" i="278"/>
  <c r="N220" i="278"/>
  <c r="N44" i="265" s="1"/>
  <c r="T92" i="306"/>
  <c r="T93" i="306"/>
  <c r="T24" i="288"/>
  <c r="T25" i="288"/>
  <c r="T31" i="288"/>
  <c r="Y278" i="307"/>
  <c r="Y279" i="307"/>
  <c r="Y287" i="307"/>
  <c r="AB40" i="305"/>
  <c r="V167" i="288"/>
  <c r="V109" i="288"/>
  <c r="AA39" i="305"/>
  <c r="V230" i="288"/>
  <c r="V236" i="288"/>
  <c r="V241" i="288"/>
  <c r="Y27" i="310"/>
  <c r="Y286" i="307"/>
  <c r="V217" i="273"/>
  <c r="U218" i="273"/>
  <c r="U122" i="288"/>
  <c r="V259" i="288"/>
  <c r="V86" i="288"/>
  <c r="V91" i="288"/>
  <c r="U154" i="278"/>
  <c r="U213" i="278"/>
  <c r="U214" i="278"/>
  <c r="U218" i="278"/>
  <c r="X57" i="273"/>
  <c r="X63" i="273"/>
  <c r="X64" i="273"/>
  <c r="U92" i="278"/>
  <c r="U98" i="278"/>
  <c r="U101" i="278"/>
  <c r="U104" i="278"/>
  <c r="U105" i="278"/>
  <c r="U192" i="278"/>
  <c r="T122" i="288"/>
  <c r="T272" i="288"/>
  <c r="AA14" i="307"/>
  <c r="V80" i="288"/>
  <c r="W214" i="273"/>
  <c r="AD48" i="273"/>
  <c r="V278" i="306"/>
  <c r="AA25" i="310"/>
  <c r="V45" i="321"/>
  <c r="V46" i="321"/>
  <c r="V48" i="321"/>
  <c r="V217" i="288"/>
  <c r="V51" i="321"/>
  <c r="AF668" i="307"/>
  <c r="AF220" i="307"/>
  <c r="AF256" i="306"/>
  <c r="AF663" i="307"/>
  <c r="AF245" i="306"/>
  <c r="AF102" i="314"/>
  <c r="AF628" i="307"/>
  <c r="AF271" i="306"/>
  <c r="AF261" i="306"/>
  <c r="AF251" i="306"/>
  <c r="AF78" i="288"/>
  <c r="AF607" i="307"/>
  <c r="AF233" i="306"/>
  <c r="AF648" i="307"/>
  <c r="AF276" i="306"/>
  <c r="AF266" i="306"/>
  <c r="AF623" i="307"/>
  <c r="AF643" i="307"/>
  <c r="AF673" i="307"/>
  <c r="AF84" i="288"/>
  <c r="AF5" i="328"/>
  <c r="AF5" i="265"/>
  <c r="AF613" i="307"/>
  <c r="AF239" i="306"/>
  <c r="AF228" i="288"/>
  <c r="AF618" i="307"/>
  <c r="AF5" i="273"/>
  <c r="AF5" i="315"/>
  <c r="AF5" i="278"/>
  <c r="AF234" i="288"/>
  <c r="AF5" i="285"/>
  <c r="AF5" i="282"/>
  <c r="AF5" i="288"/>
  <c r="AF5" i="314"/>
  <c r="AF5" i="275"/>
  <c r="AF5" i="289"/>
  <c r="AF5" i="277"/>
  <c r="AF5" i="321"/>
  <c r="AF5" i="286"/>
  <c r="AF5" i="304"/>
  <c r="AF5" i="309"/>
  <c r="AE44" i="273"/>
  <c r="AE45" i="273"/>
  <c r="AE9" i="328"/>
  <c r="AE38" i="289"/>
  <c r="AE133" i="288"/>
  <c r="AE23" i="288"/>
  <c r="T223" i="278"/>
  <c r="T155" i="278"/>
  <c r="T217" i="278"/>
  <c r="T213" i="278"/>
  <c r="T214" i="278"/>
  <c r="T218" i="278"/>
  <c r="W72" i="321"/>
  <c r="W79" i="321"/>
  <c r="V97" i="278"/>
  <c r="X540" i="321"/>
  <c r="X694" i="321"/>
  <c r="X246" i="278"/>
  <c r="X63" i="286"/>
  <c r="X497" i="321"/>
  <c r="X179" i="278"/>
  <c r="X701" i="321"/>
  <c r="X708" i="321"/>
  <c r="X104" i="314"/>
  <c r="X47" i="289"/>
  <c r="X48" i="289"/>
  <c r="X53" i="289"/>
  <c r="X100" i="278"/>
  <c r="X17" i="314"/>
  <c r="X148" i="278"/>
  <c r="X239" i="278"/>
  <c r="X551" i="321"/>
  <c r="X573" i="321"/>
  <c r="X713" i="321"/>
  <c r="X636" i="321"/>
  <c r="X659" i="321"/>
  <c r="X204" i="278"/>
  <c r="X319" i="278"/>
  <c r="X545" i="321"/>
  <c r="X50" i="314"/>
  <c r="X581" i="321"/>
  <c r="X617" i="321"/>
  <c r="X453" i="321"/>
  <c r="X136" i="314"/>
  <c r="X565" i="321"/>
  <c r="X16" i="289"/>
  <c r="X17" i="289"/>
  <c r="X22" i="289"/>
  <c r="X129" i="314"/>
  <c r="X622" i="321"/>
  <c r="X603" i="321"/>
  <c r="X230" i="278"/>
  <c r="X675" i="321"/>
  <c r="X644" i="321"/>
  <c r="X283" i="278"/>
  <c r="X57" i="314"/>
  <c r="X652" i="321"/>
  <c r="X306" i="278"/>
  <c r="X31" i="289"/>
  <c r="X32" i="289"/>
  <c r="X37" i="289"/>
  <c r="S92" i="306"/>
  <c r="S93" i="306"/>
  <c r="S24" i="288"/>
  <c r="S25" i="288"/>
  <c r="AC2" i="328"/>
  <c r="X24" i="310"/>
  <c r="X12" i="307"/>
  <c r="AA194" i="273"/>
  <c r="AA195" i="273"/>
  <c r="AA2" i="265"/>
  <c r="AA2" i="278"/>
  <c r="AA2" i="285"/>
  <c r="AA49" i="273"/>
  <c r="AA34" i="288"/>
  <c r="AA2" i="315"/>
  <c r="AA184" i="288"/>
  <c r="AA2" i="304"/>
  <c r="AA119" i="273"/>
  <c r="AA120" i="273"/>
  <c r="AA123" i="273"/>
  <c r="AA154" i="273"/>
  <c r="AA155" i="273"/>
  <c r="AA59" i="288"/>
  <c r="AA2" i="314"/>
  <c r="AA2" i="286"/>
  <c r="AA2" i="275"/>
  <c r="AA2" i="289"/>
  <c r="AA71" i="273"/>
  <c r="AA72" i="273"/>
  <c r="AA38" i="311"/>
  <c r="AA258" i="273"/>
  <c r="AA259" i="273"/>
  <c r="AA198" i="273"/>
  <c r="AA199" i="273"/>
  <c r="AA202" i="273"/>
  <c r="AA3" i="328"/>
  <c r="AA8" i="328"/>
  <c r="AA148" i="288"/>
  <c r="AA2" i="288"/>
  <c r="AA2" i="282"/>
  <c r="AA209" i="288"/>
  <c r="AA158" i="273"/>
  <c r="AA159" i="273"/>
  <c r="AA162" i="273"/>
  <c r="AA2" i="321"/>
  <c r="AA2" i="273"/>
  <c r="Z72" i="273"/>
  <c r="Z158" i="314"/>
  <c r="Z39" i="314"/>
  <c r="Z19" i="282"/>
  <c r="Z296" i="278"/>
  <c r="Z118" i="314"/>
  <c r="Z79" i="314"/>
  <c r="Z85" i="273"/>
  <c r="Z272" i="278"/>
  <c r="Z15" i="275"/>
  <c r="Z589" i="321"/>
  <c r="Z590" i="321"/>
  <c r="Z117" i="314"/>
  <c r="Z55" i="273"/>
  <c r="Z38" i="314"/>
  <c r="Z122" i="273"/>
  <c r="Z28" i="314"/>
  <c r="Z261" i="273"/>
  <c r="Z259" i="278"/>
  <c r="Z84" i="273"/>
  <c r="Z54" i="273"/>
  <c r="V30" i="310"/>
  <c r="W51" i="321"/>
  <c r="Y105" i="282"/>
  <c r="Y591" i="321"/>
  <c r="Y37" i="282"/>
  <c r="W3" i="289"/>
  <c r="W3" i="314"/>
  <c r="W3" i="315"/>
  <c r="W4" i="328"/>
  <c r="W3" i="286"/>
  <c r="W3" i="288"/>
  <c r="W3" i="273"/>
  <c r="W47" i="273"/>
  <c r="W3" i="285"/>
  <c r="W3" i="278"/>
  <c r="W3" i="275"/>
  <c r="W3" i="321"/>
  <c r="W3" i="265"/>
  <c r="W3" i="282"/>
  <c r="W3" i="304"/>
  <c r="V29" i="328"/>
  <c r="V152" i="278"/>
  <c r="X105" i="282"/>
  <c r="X591" i="321"/>
  <c r="X37" i="282"/>
  <c r="U114" i="288"/>
  <c r="AA100" i="306"/>
  <c r="AA89" i="305"/>
  <c r="AB90" i="305"/>
  <c r="AB41" i="305"/>
  <c r="AA105" i="306"/>
  <c r="AA36" i="289"/>
  <c r="U223" i="278"/>
  <c r="Y86" i="273"/>
  <c r="Z579" i="321"/>
  <c r="Z186" i="278"/>
  <c r="Z707" i="321"/>
  <c r="Z650" i="321"/>
  <c r="Z211" i="278"/>
  <c r="Z161" i="278"/>
  <c r="Z598" i="321"/>
  <c r="Z599" i="321"/>
  <c r="Z161" i="273"/>
  <c r="Z151" i="321"/>
  <c r="V30" i="328"/>
  <c r="V153" i="278"/>
  <c r="S10" i="265"/>
  <c r="S11" i="265"/>
  <c r="S32" i="328"/>
  <c r="S10" i="315"/>
  <c r="S11" i="315"/>
  <c r="V90" i="278"/>
  <c r="V18" i="307"/>
  <c r="W86" i="288"/>
  <c r="Y263" i="273"/>
  <c r="Y674" i="321"/>
  <c r="Y262" i="273"/>
  <c r="AB2" i="309"/>
  <c r="AB208" i="288"/>
  <c r="AB34" i="311"/>
  <c r="AB58" i="288"/>
  <c r="AB2" i="306"/>
  <c r="AB2" i="307"/>
  <c r="AB26" i="305"/>
  <c r="AB27" i="305"/>
  <c r="AB31" i="305"/>
  <c r="AC32" i="305"/>
  <c r="AC34" i="305"/>
  <c r="AC35" i="305"/>
  <c r="AC4" i="305"/>
  <c r="AB2" i="305"/>
  <c r="AB147" i="288"/>
  <c r="AB33" i="288"/>
  <c r="AB2" i="310"/>
  <c r="AB183" i="288"/>
  <c r="AC103" i="305"/>
  <c r="AC104" i="305"/>
  <c r="AC113" i="305"/>
  <c r="AC115" i="305"/>
  <c r="AC107" i="305"/>
  <c r="AC108" i="305"/>
  <c r="AC112" i="305"/>
  <c r="Y57" i="273"/>
  <c r="T98" i="278"/>
  <c r="T101" i="278"/>
  <c r="T104" i="278"/>
  <c r="T105" i="278"/>
  <c r="T18" i="328"/>
  <c r="Z4" i="273"/>
  <c r="Z4" i="309"/>
  <c r="Z4" i="288"/>
  <c r="Z4" i="289"/>
  <c r="Z11" i="328"/>
  <c r="Z4" i="306"/>
  <c r="Z4" i="314"/>
  <c r="Z4" i="315"/>
  <c r="Z4" i="307"/>
  <c r="Z4" i="278"/>
  <c r="Z4" i="286"/>
  <c r="Z4" i="321"/>
  <c r="Z4" i="275"/>
  <c r="Z4" i="310"/>
  <c r="Z4" i="282"/>
  <c r="Z4" i="304"/>
  <c r="Z4" i="285"/>
  <c r="X147" i="321"/>
  <c r="X165" i="321"/>
  <c r="Y163" i="273"/>
  <c r="X130" i="321"/>
  <c r="X212" i="273"/>
  <c r="X141" i="321"/>
  <c r="X70" i="321"/>
  <c r="X155" i="321"/>
  <c r="X29" i="310"/>
  <c r="X17" i="307"/>
  <c r="Z89" i="305"/>
  <c r="AA90" i="305"/>
  <c r="AA41" i="305"/>
  <c r="Z105" i="306"/>
  <c r="Z100" i="306"/>
  <c r="Z240" i="278"/>
  <c r="Z247" i="278"/>
  <c r="Z56" i="273"/>
  <c r="X16" i="285"/>
  <c r="Y124" i="273"/>
  <c r="Z212" i="278"/>
  <c r="Z162" i="278"/>
  <c r="Z637" i="321"/>
  <c r="Z33" i="286"/>
  <c r="Z552" i="321"/>
  <c r="Z11" i="282"/>
  <c r="Z187" i="278"/>
  <c r="Z92" i="286"/>
  <c r="Z109" i="273"/>
  <c r="AA110" i="273"/>
  <c r="Z623" i="321"/>
  <c r="Z16" i="288"/>
  <c r="Z17" i="288"/>
  <c r="Z566" i="321"/>
  <c r="Z292" i="278"/>
  <c r="Z110" i="286"/>
  <c r="Z268" i="278"/>
  <c r="Z15" i="286"/>
  <c r="Z259" i="273"/>
  <c r="Y20" i="275"/>
  <c r="Z17" i="275"/>
  <c r="W147" i="278"/>
  <c r="W149" i="278"/>
  <c r="Z13" i="307"/>
  <c r="Z25" i="310"/>
  <c r="Z26" i="310"/>
  <c r="Z14" i="307"/>
  <c r="X3" i="309"/>
  <c r="X3" i="310"/>
  <c r="X3" i="306"/>
  <c r="X3" i="307"/>
  <c r="X3" i="305"/>
  <c r="T17" i="328"/>
  <c r="Z30" i="289"/>
  <c r="Z46" i="289"/>
  <c r="Z15" i="289"/>
  <c r="Y201" i="273"/>
  <c r="Y263" i="321"/>
  <c r="Y602" i="321"/>
  <c r="Y658" i="321"/>
  <c r="Z263" i="321"/>
  <c r="Z201" i="273"/>
  <c r="X213" i="273"/>
  <c r="X267" i="321"/>
  <c r="X259" i="321"/>
  <c r="X71" i="321"/>
  <c r="X131" i="321"/>
  <c r="X277" i="321"/>
  <c r="Y203" i="273"/>
  <c r="X253" i="321"/>
  <c r="V91" i="278"/>
  <c r="R11" i="315"/>
  <c r="Y203" i="288"/>
  <c r="Y53" i="288"/>
  <c r="Y28" i="288"/>
  <c r="Y178" i="288"/>
  <c r="W39" i="321"/>
  <c r="W41" i="321"/>
  <c r="W44" i="321"/>
  <c r="AA40" i="305"/>
  <c r="Y49" i="305"/>
  <c r="Y50" i="305"/>
  <c r="Z42" i="305"/>
  <c r="Z49" i="305"/>
  <c r="Z50" i="305"/>
  <c r="Z3" i="307"/>
  <c r="Y36" i="285"/>
  <c r="N229" i="278"/>
  <c r="N231" i="278"/>
  <c r="O222" i="278"/>
  <c r="N116" i="265"/>
  <c r="N254" i="278"/>
  <c r="N112" i="315"/>
  <c r="AG221" i="307"/>
  <c r="AG669" i="307"/>
  <c r="AG664" i="307"/>
  <c r="AG644" i="307"/>
  <c r="AG674" i="307"/>
  <c r="AG619" i="307"/>
  <c r="AG267" i="306"/>
  <c r="AG246" i="306"/>
  <c r="AG262" i="306"/>
  <c r="AG649" i="307"/>
  <c r="AG629" i="307"/>
  <c r="AG277" i="306"/>
  <c r="AG614" i="307"/>
  <c r="AG624" i="307"/>
  <c r="AG240" i="306"/>
  <c r="AG252" i="306"/>
  <c r="T15" i="310"/>
  <c r="S283" i="307"/>
  <c r="S9" i="310"/>
  <c r="AD12" i="328"/>
  <c r="X24" i="314"/>
  <c r="X172" i="314"/>
  <c r="X36" i="285"/>
  <c r="X111" i="314"/>
  <c r="X123" i="314"/>
  <c r="X44" i="314"/>
  <c r="X11" i="321"/>
  <c r="X89" i="314"/>
  <c r="X40" i="321"/>
  <c r="N42" i="315"/>
  <c r="W18" i="307"/>
  <c r="T181" i="288"/>
  <c r="W278" i="306"/>
  <c r="AA26" i="310"/>
  <c r="V92" i="306"/>
  <c r="V93" i="306"/>
  <c r="V24" i="288"/>
  <c r="V25" i="288"/>
  <c r="V31" i="288"/>
  <c r="U155" i="278"/>
  <c r="U10" i="265"/>
  <c r="AA27" i="310"/>
  <c r="U272" i="288"/>
  <c r="U9" i="315"/>
  <c r="U188" i="278"/>
  <c r="U189" i="278"/>
  <c r="U193" i="278"/>
  <c r="U18" i="328"/>
  <c r="AE48" i="273"/>
  <c r="AA13" i="307"/>
  <c r="Y123" i="314"/>
  <c r="U197" i="278"/>
  <c r="W217" i="288"/>
  <c r="W236" i="288"/>
  <c r="W241" i="288"/>
  <c r="W161" i="288"/>
  <c r="W162" i="288"/>
  <c r="W171" i="288"/>
  <c r="W217" i="273"/>
  <c r="V218" i="273"/>
  <c r="W230" i="288"/>
  <c r="U217" i="278"/>
  <c r="U264" i="288"/>
  <c r="W109" i="288"/>
  <c r="W67" i="288"/>
  <c r="W167" i="288"/>
  <c r="W45" i="321"/>
  <c r="W46" i="321"/>
  <c r="W48" i="321"/>
  <c r="W91" i="288"/>
  <c r="W259" i="288"/>
  <c r="W80" i="288"/>
  <c r="Y24" i="314"/>
  <c r="AG245" i="306"/>
  <c r="AG663" i="307"/>
  <c r="AG668" i="307"/>
  <c r="AG220" i="307"/>
  <c r="AG256" i="306"/>
  <c r="AG607" i="307"/>
  <c r="AG613" i="307"/>
  <c r="AG266" i="306"/>
  <c r="AG84" i="288"/>
  <c r="AG628" i="307"/>
  <c r="AG271" i="306"/>
  <c r="AG239" i="306"/>
  <c r="AG618" i="307"/>
  <c r="AG251" i="306"/>
  <c r="AG228" i="288"/>
  <c r="AG233" i="306"/>
  <c r="AG102" i="314"/>
  <c r="AG648" i="307"/>
  <c r="AG276" i="306"/>
  <c r="AG623" i="307"/>
  <c r="AG234" i="288"/>
  <c r="AG261" i="306"/>
  <c r="AG5" i="328"/>
  <c r="AG5" i="265"/>
  <c r="AG643" i="307"/>
  <c r="AG5" i="277"/>
  <c r="AG5" i="275"/>
  <c r="AG5" i="309"/>
  <c r="AG5" i="314"/>
  <c r="AG673" i="307"/>
  <c r="AG5" i="286"/>
  <c r="AG5" i="315"/>
  <c r="AG5" i="273"/>
  <c r="AG78" i="288"/>
  <c r="AG5" i="321"/>
  <c r="AG5" i="278"/>
  <c r="AG5" i="282"/>
  <c r="AG5" i="289"/>
  <c r="AG5" i="285"/>
  <c r="AG5" i="288"/>
  <c r="AG5" i="304"/>
  <c r="AF44" i="273"/>
  <c r="AF45" i="273"/>
  <c r="AF48" i="273"/>
  <c r="AF38" i="289"/>
  <c r="AF133" i="288"/>
  <c r="AF23" i="288"/>
  <c r="Z3" i="306"/>
  <c r="W30" i="310"/>
  <c r="Z3" i="310"/>
  <c r="T10" i="315"/>
  <c r="T10" i="265"/>
  <c r="AB89" i="305"/>
  <c r="AC90" i="305"/>
  <c r="AC41" i="305"/>
  <c r="AB100" i="306"/>
  <c r="AB105" i="306"/>
  <c r="AA75" i="273"/>
  <c r="AB76" i="273"/>
  <c r="AA53" i="273"/>
  <c r="W90" i="278"/>
  <c r="Z278" i="307"/>
  <c r="Z279" i="307"/>
  <c r="Z287" i="307"/>
  <c r="Z15" i="307"/>
  <c r="Z27" i="310"/>
  <c r="Z286" i="307"/>
  <c r="AA262" i="273"/>
  <c r="AA674" i="321"/>
  <c r="Z53" i="288"/>
  <c r="Z178" i="288"/>
  <c r="Z28" i="288"/>
  <c r="Z203" i="288"/>
  <c r="Z28" i="310"/>
  <c r="Z16" i="307"/>
  <c r="X3" i="282"/>
  <c r="X3" i="278"/>
  <c r="X3" i="321"/>
  <c r="X3" i="265"/>
  <c r="X4" i="328"/>
  <c r="X47" i="273"/>
  <c r="X3" i="285"/>
  <c r="X3" i="275"/>
  <c r="X3" i="288"/>
  <c r="X3" i="304"/>
  <c r="X3" i="286"/>
  <c r="X3" i="289"/>
  <c r="X3" i="315"/>
  <c r="X3" i="314"/>
  <c r="X3" i="273"/>
  <c r="AA151" i="321"/>
  <c r="AA161" i="273"/>
  <c r="AB11" i="289"/>
  <c r="AB12" i="289"/>
  <c r="AB36" i="289"/>
  <c r="U17" i="328"/>
  <c r="Z602" i="321"/>
  <c r="Z658" i="321"/>
  <c r="AA28" i="310"/>
  <c r="AA16" i="307"/>
  <c r="X253" i="306"/>
  <c r="Y24" i="265"/>
  <c r="Y22" i="315"/>
  <c r="Y59" i="315"/>
  <c r="Y61" i="265"/>
  <c r="AA28" i="314"/>
  <c r="AA38" i="314"/>
  <c r="AA122" i="273"/>
  <c r="AA259" i="278"/>
  <c r="AA589" i="321"/>
  <c r="AA590" i="321"/>
  <c r="AA261" i="273"/>
  <c r="AA55" i="273"/>
  <c r="AA117" i="314"/>
  <c r="Y89" i="314"/>
  <c r="Y11" i="321"/>
  <c r="Z3" i="305"/>
  <c r="Y3" i="307"/>
  <c r="Y3" i="306"/>
  <c r="Y3" i="310"/>
  <c r="Y3" i="309"/>
  <c r="Y3" i="305"/>
  <c r="W91" i="278"/>
  <c r="AA4" i="275"/>
  <c r="AA4" i="278"/>
  <c r="AA4" i="282"/>
  <c r="AA4" i="286"/>
  <c r="AA11" i="328"/>
  <c r="AA4" i="306"/>
  <c r="AA4" i="289"/>
  <c r="AA4" i="321"/>
  <c r="AA4" i="309"/>
  <c r="AA4" i="273"/>
  <c r="AA4" i="285"/>
  <c r="AA4" i="307"/>
  <c r="AA4" i="314"/>
  <c r="AA4" i="288"/>
  <c r="AA4" i="310"/>
  <c r="AA4" i="304"/>
  <c r="AA4" i="315"/>
  <c r="Y213" i="273"/>
  <c r="Y277" i="321"/>
  <c r="Z203" i="273"/>
  <c r="Y71" i="321"/>
  <c r="Y253" i="321"/>
  <c r="Y131" i="321"/>
  <c r="Y267" i="321"/>
  <c r="Y259" i="321"/>
  <c r="W153" i="278"/>
  <c r="W30" i="328"/>
  <c r="Z674" i="321"/>
  <c r="Z262" i="273"/>
  <c r="X214" i="273"/>
  <c r="Y63" i="273"/>
  <c r="Y64" i="273"/>
  <c r="AC58" i="288"/>
  <c r="AC33" i="288"/>
  <c r="AC183" i="288"/>
  <c r="AC2" i="306"/>
  <c r="AC26" i="305"/>
  <c r="AC27" i="305"/>
  <c r="AC31" i="305"/>
  <c r="AD32" i="305"/>
  <c r="AD34" i="305"/>
  <c r="AD35" i="305"/>
  <c r="AD4" i="305"/>
  <c r="AC34" i="311"/>
  <c r="AC2" i="305"/>
  <c r="AC208" i="288"/>
  <c r="AC2" i="309"/>
  <c r="AC2" i="307"/>
  <c r="AC147" i="288"/>
  <c r="AC2" i="310"/>
  <c r="AB71" i="273"/>
  <c r="AB72" i="273"/>
  <c r="AB34" i="288"/>
  <c r="AB2" i="304"/>
  <c r="AB154" i="273"/>
  <c r="AB155" i="273"/>
  <c r="AB148" i="288"/>
  <c r="AB2" i="321"/>
  <c r="AB119" i="273"/>
  <c r="AB120" i="273"/>
  <c r="AB123" i="273"/>
  <c r="AB198" i="273"/>
  <c r="AB199" i="273"/>
  <c r="AB202" i="273"/>
  <c r="AB3" i="328"/>
  <c r="AB8" i="328"/>
  <c r="AB2" i="282"/>
  <c r="AB38" i="311"/>
  <c r="AB2" i="315"/>
  <c r="AB184" i="288"/>
  <c r="AB158" i="273"/>
  <c r="AB159" i="273"/>
  <c r="AB162" i="273"/>
  <c r="AB49" i="273"/>
  <c r="AB2" i="278"/>
  <c r="AB2" i="275"/>
  <c r="AB209" i="288"/>
  <c r="AB2" i="265"/>
  <c r="AB2" i="288"/>
  <c r="AB258" i="273"/>
  <c r="AB259" i="273"/>
  <c r="AB59" i="288"/>
  <c r="AB2" i="286"/>
  <c r="AB2" i="273"/>
  <c r="AB194" i="273"/>
  <c r="AB195" i="273"/>
  <c r="AB2" i="285"/>
  <c r="AB2" i="314"/>
  <c r="AB2" i="289"/>
  <c r="AA30" i="289"/>
  <c r="X263" i="306"/>
  <c r="V154" i="278"/>
  <c r="Z86" i="273"/>
  <c r="X39" i="321"/>
  <c r="X41" i="321"/>
  <c r="X44" i="321"/>
  <c r="Y40" i="321"/>
  <c r="Y111" i="314"/>
  <c r="Z3" i="309"/>
  <c r="W152" i="278"/>
  <c r="W29" i="328"/>
  <c r="AA240" i="278"/>
  <c r="AA247" i="278"/>
  <c r="AA56" i="273"/>
  <c r="V92" i="278"/>
  <c r="W97" i="278"/>
  <c r="Y17" i="307"/>
  <c r="Y29" i="310"/>
  <c r="Z105" i="282"/>
  <c r="Z591" i="321"/>
  <c r="Z37" i="282"/>
  <c r="Z53" i="273"/>
  <c r="Z57" i="273"/>
  <c r="Z75" i="273"/>
  <c r="AA76" i="273"/>
  <c r="AD2" i="328"/>
  <c r="AD10" i="289"/>
  <c r="Y694" i="321"/>
  <c r="Y551" i="321"/>
  <c r="Y603" i="321"/>
  <c r="Y540" i="321"/>
  <c r="Y100" i="278"/>
  <c r="Y652" i="321"/>
  <c r="Y622" i="321"/>
  <c r="Y497" i="321"/>
  <c r="Y545" i="321"/>
  <c r="Y50" i="314"/>
  <c r="Y148" i="278"/>
  <c r="Y644" i="321"/>
  <c r="Y57" i="314"/>
  <c r="Y701" i="321"/>
  <c r="Y708" i="321"/>
  <c r="Y565" i="321"/>
  <c r="Y179" i="278"/>
  <c r="Y204" i="278"/>
  <c r="Y659" i="321"/>
  <c r="Y636" i="321"/>
  <c r="Y306" i="278"/>
  <c r="Y63" i="286"/>
  <c r="Y675" i="321"/>
  <c r="Y104" i="314"/>
  <c r="Y453" i="321"/>
  <c r="Y129" i="314"/>
  <c r="Y17" i="314"/>
  <c r="Y230" i="278"/>
  <c r="Y573" i="321"/>
  <c r="Y713" i="321"/>
  <c r="Y239" i="278"/>
  <c r="Y283" i="278"/>
  <c r="Y617" i="321"/>
  <c r="Y319" i="278"/>
  <c r="Y31" i="289"/>
  <c r="Y32" i="289"/>
  <c r="Y37" i="289"/>
  <c r="Y39" i="289"/>
  <c r="Z39" i="289"/>
  <c r="Y136" i="314"/>
  <c r="Y581" i="321"/>
  <c r="Y246" i="278"/>
  <c r="Y44" i="314"/>
  <c r="Y172" i="314"/>
  <c r="U30" i="310"/>
  <c r="U278" i="306"/>
  <c r="U18" i="307"/>
  <c r="S15" i="310"/>
  <c r="T172" i="278"/>
  <c r="T27" i="328"/>
  <c r="T167" i="278"/>
  <c r="T163" i="278"/>
  <c r="T164" i="278"/>
  <c r="T168" i="278"/>
  <c r="X147" i="278"/>
  <c r="X149" i="278"/>
  <c r="Z124" i="273"/>
  <c r="Y16" i="285"/>
  <c r="X72" i="321"/>
  <c r="X79" i="321"/>
  <c r="Y147" i="321"/>
  <c r="Y165" i="321"/>
  <c r="Z163" i="273"/>
  <c r="Y70" i="321"/>
  <c r="Y130" i="321"/>
  <c r="Y212" i="273"/>
  <c r="Y141" i="321"/>
  <c r="Y155" i="321"/>
  <c r="T9" i="315"/>
  <c r="T188" i="278"/>
  <c r="T189" i="278"/>
  <c r="T193" i="278"/>
  <c r="T197" i="278"/>
  <c r="T192" i="278"/>
  <c r="AD107" i="305"/>
  <c r="AD108" i="305"/>
  <c r="AD112" i="305"/>
  <c r="AD103" i="305"/>
  <c r="AD104" i="305"/>
  <c r="AD113" i="305"/>
  <c r="AD115" i="305"/>
  <c r="AA263" i="321"/>
  <c r="AA201" i="273"/>
  <c r="Y12" i="307"/>
  <c r="Y24" i="310"/>
  <c r="X22" i="315"/>
  <c r="X61" i="265"/>
  <c r="X24" i="265"/>
  <c r="X59" i="315"/>
  <c r="AA42" i="305"/>
  <c r="AA49" i="305"/>
  <c r="AA50" i="305"/>
  <c r="AA3" i="306"/>
  <c r="Z263" i="273"/>
  <c r="Z20" i="275"/>
  <c r="AA17" i="275"/>
  <c r="AA162" i="278"/>
  <c r="AA212" i="278"/>
  <c r="AA637" i="321"/>
  <c r="AA92" i="286"/>
  <c r="AA11" i="282"/>
  <c r="AA552" i="321"/>
  <c r="AA623" i="321"/>
  <c r="AA110" i="286"/>
  <c r="AA566" i="321"/>
  <c r="AA109" i="273"/>
  <c r="AB110" i="273"/>
  <c r="AA187" i="278"/>
  <c r="AA15" i="286"/>
  <c r="AA16" i="288"/>
  <c r="AA17" i="288"/>
  <c r="AA268" i="278"/>
  <c r="AA292" i="278"/>
  <c r="AA33" i="286"/>
  <c r="AA707" i="321"/>
  <c r="AA598" i="321"/>
  <c r="AA599" i="321"/>
  <c r="AA161" i="278"/>
  <c r="AA211" i="278"/>
  <c r="AA186" i="278"/>
  <c r="AA579" i="321"/>
  <c r="AA650" i="321"/>
  <c r="S181" i="288"/>
  <c r="S31" i="288"/>
  <c r="AH674" i="307"/>
  <c r="AH619" i="307"/>
  <c r="AH221" i="307"/>
  <c r="AH669" i="307"/>
  <c r="AH664" i="307"/>
  <c r="AH644" i="307"/>
  <c r="AH246" i="306"/>
  <c r="AH262" i="306"/>
  <c r="AH267" i="306"/>
  <c r="AH614" i="307"/>
  <c r="AH649" i="307"/>
  <c r="AH629" i="307"/>
  <c r="AH277" i="306"/>
  <c r="AH624" i="307"/>
  <c r="AH240" i="306"/>
  <c r="AH252" i="306"/>
  <c r="O216" i="278"/>
  <c r="O219" i="278"/>
  <c r="O228" i="278"/>
  <c r="V15" i="310"/>
  <c r="N238" i="278"/>
  <c r="N245" i="278"/>
  <c r="N282" i="278"/>
  <c r="AE12" i="328"/>
  <c r="AA3" i="305"/>
  <c r="V181" i="288"/>
  <c r="X18" i="307"/>
  <c r="U10" i="315"/>
  <c r="U11" i="315"/>
  <c r="X30" i="310"/>
  <c r="X278" i="306"/>
  <c r="T11" i="265"/>
  <c r="T32" i="328"/>
  <c r="W92" i="306"/>
  <c r="W93" i="306"/>
  <c r="W24" i="288"/>
  <c r="W25" i="288"/>
  <c r="W181" i="288"/>
  <c r="AA3" i="309"/>
  <c r="AF9" i="328"/>
  <c r="AF12" i="328"/>
  <c r="AA278" i="307"/>
  <c r="AA279" i="307"/>
  <c r="AA287" i="307"/>
  <c r="AA286" i="307"/>
  <c r="AA15" i="307"/>
  <c r="AC100" i="306"/>
  <c r="AC105" i="306"/>
  <c r="AA3" i="307"/>
  <c r="AA3" i="310"/>
  <c r="AC89" i="305"/>
  <c r="AD90" i="305"/>
  <c r="AD41" i="305"/>
  <c r="V272" i="288"/>
  <c r="V122" i="288"/>
  <c r="V114" i="288"/>
  <c r="V264" i="288"/>
  <c r="Y72" i="321"/>
  <c r="Y79" i="321"/>
  <c r="AH668" i="307"/>
  <c r="AH102" i="314"/>
  <c r="AH220" i="307"/>
  <c r="AH245" i="306"/>
  <c r="AH256" i="306"/>
  <c r="AH648" i="307"/>
  <c r="AH233" i="306"/>
  <c r="AH239" i="306"/>
  <c r="AH623" i="307"/>
  <c r="AH673" i="307"/>
  <c r="AH5" i="328"/>
  <c r="AH643" i="307"/>
  <c r="AH663" i="307"/>
  <c r="AH628" i="307"/>
  <c r="AH261" i="306"/>
  <c r="AH618" i="307"/>
  <c r="AH251" i="306"/>
  <c r="AH228" i="288"/>
  <c r="AH613" i="307"/>
  <c r="AH271" i="306"/>
  <c r="AH266" i="306"/>
  <c r="AH276" i="306"/>
  <c r="AH78" i="288"/>
  <c r="AH84" i="288"/>
  <c r="AH234" i="288"/>
  <c r="AH5" i="265"/>
  <c r="AH5" i="278"/>
  <c r="AH5" i="282"/>
  <c r="AH5" i="315"/>
  <c r="AH5" i="277"/>
  <c r="AH5" i="321"/>
  <c r="AH5" i="285"/>
  <c r="AH5" i="289"/>
  <c r="AH5" i="314"/>
  <c r="AH607" i="307"/>
  <c r="AH5" i="273"/>
  <c r="AH5" i="286"/>
  <c r="AH5" i="309"/>
  <c r="AH5" i="288"/>
  <c r="AH5" i="275"/>
  <c r="AH5" i="304"/>
  <c r="AG44" i="273"/>
  <c r="AG45" i="273"/>
  <c r="AG38" i="289"/>
  <c r="AG133" i="288"/>
  <c r="AG23" i="288"/>
  <c r="T11" i="315"/>
  <c r="Z63" i="273"/>
  <c r="Z64" i="273"/>
  <c r="AC39" i="305"/>
  <c r="X91" i="278"/>
  <c r="Z24" i="310"/>
  <c r="Z12" i="307"/>
  <c r="X90" i="278"/>
  <c r="AA54" i="273"/>
  <c r="AA57" i="273"/>
  <c r="AA84" i="273"/>
  <c r="AA86" i="273"/>
  <c r="Y268" i="306"/>
  <c r="AA263" i="273"/>
  <c r="U163" i="278"/>
  <c r="U164" i="278"/>
  <c r="U168" i="278"/>
  <c r="U27" i="328"/>
  <c r="U11" i="265"/>
  <c r="U32" i="328"/>
  <c r="U172" i="278"/>
  <c r="U167" i="278"/>
  <c r="Z17" i="307"/>
  <c r="Z29" i="310"/>
  <c r="AD34" i="311"/>
  <c r="AD2" i="307"/>
  <c r="AD2" i="306"/>
  <c r="AD26" i="305"/>
  <c r="AD27" i="305"/>
  <c r="AD31" i="305"/>
  <c r="AE32" i="305"/>
  <c r="AE34" i="305"/>
  <c r="AE35" i="305"/>
  <c r="AE4" i="305"/>
  <c r="AD183" i="288"/>
  <c r="AD2" i="305"/>
  <c r="AD2" i="310"/>
  <c r="AD58" i="288"/>
  <c r="AD208" i="288"/>
  <c r="AD147" i="288"/>
  <c r="AD33" i="288"/>
  <c r="AD2" i="309"/>
  <c r="AA163" i="273"/>
  <c r="Z70" i="321"/>
  <c r="Z212" i="273"/>
  <c r="Z141" i="321"/>
  <c r="Z165" i="321"/>
  <c r="Z147" i="321"/>
  <c r="Z155" i="321"/>
  <c r="Z130" i="321"/>
  <c r="AE2" i="328"/>
  <c r="AB11" i="328"/>
  <c r="AB4" i="306"/>
  <c r="AB4" i="321"/>
  <c r="AB4" i="310"/>
  <c r="AB4" i="304"/>
  <c r="AB4" i="307"/>
  <c r="AB4" i="275"/>
  <c r="AB4" i="273"/>
  <c r="AB4" i="285"/>
  <c r="AB4" i="286"/>
  <c r="AB4" i="314"/>
  <c r="AB4" i="289"/>
  <c r="AB4" i="278"/>
  <c r="AB4" i="288"/>
  <c r="AB4" i="315"/>
  <c r="AB4" i="282"/>
  <c r="AB4" i="309"/>
  <c r="V98" i="278"/>
  <c r="V101" i="278"/>
  <c r="V104" i="278"/>
  <c r="V105" i="278"/>
  <c r="V18" i="328"/>
  <c r="W154" i="278"/>
  <c r="X97" i="278"/>
  <c r="AB11" i="282"/>
  <c r="AB16" i="288"/>
  <c r="AB17" i="288"/>
  <c r="AB187" i="278"/>
  <c r="AB15" i="286"/>
  <c r="AB566" i="321"/>
  <c r="AB109" i="273"/>
  <c r="AC110" i="273"/>
  <c r="AB292" i="278"/>
  <c r="AB92" i="286"/>
  <c r="AB552" i="321"/>
  <c r="AB637" i="321"/>
  <c r="AB212" i="278"/>
  <c r="AB162" i="278"/>
  <c r="AB623" i="321"/>
  <c r="AB33" i="286"/>
  <c r="AB268" i="278"/>
  <c r="AB110" i="286"/>
  <c r="Y3" i="315"/>
  <c r="Y3" i="265"/>
  <c r="Y3" i="289"/>
  <c r="Y3" i="286"/>
  <c r="Y3" i="278"/>
  <c r="Y3" i="273"/>
  <c r="Y3" i="314"/>
  <c r="Y47" i="273"/>
  <c r="Y3" i="304"/>
  <c r="Y3" i="288"/>
  <c r="Y4" i="328"/>
  <c r="Y3" i="285"/>
  <c r="Y3" i="321"/>
  <c r="Y3" i="275"/>
  <c r="Y3" i="282"/>
  <c r="AA203" i="273"/>
  <c r="Z259" i="321"/>
  <c r="Z213" i="273"/>
  <c r="Z253" i="321"/>
  <c r="Z267" i="321"/>
  <c r="Z131" i="321"/>
  <c r="Z277" i="321"/>
  <c r="Z71" i="321"/>
  <c r="AC198" i="273"/>
  <c r="AC199" i="273"/>
  <c r="AC202" i="273"/>
  <c r="AC2" i="265"/>
  <c r="AC209" i="288"/>
  <c r="AC2" i="314"/>
  <c r="AC38" i="311"/>
  <c r="AC2" i="321"/>
  <c r="AC2" i="315"/>
  <c r="AC71" i="273"/>
  <c r="AC72" i="273"/>
  <c r="AC184" i="288"/>
  <c r="AC258" i="273"/>
  <c r="AC158" i="273"/>
  <c r="AC159" i="273"/>
  <c r="AC162" i="273"/>
  <c r="AC3" i="328"/>
  <c r="AC8" i="328"/>
  <c r="AC2" i="275"/>
  <c r="AC49" i="273"/>
  <c r="AC2" i="289"/>
  <c r="AC2" i="278"/>
  <c r="AC154" i="273"/>
  <c r="AC155" i="273"/>
  <c r="AC34" i="288"/>
  <c r="AC148" i="288"/>
  <c r="AC119" i="273"/>
  <c r="AC120" i="273"/>
  <c r="AC123" i="273"/>
  <c r="AC194" i="273"/>
  <c r="AC195" i="273"/>
  <c r="AC59" i="288"/>
  <c r="AC2" i="282"/>
  <c r="AC2" i="273"/>
  <c r="AC2" i="304"/>
  <c r="AC2" i="288"/>
  <c r="AC2" i="286"/>
  <c r="AC2" i="285"/>
  <c r="AA105" i="282"/>
  <c r="AA37" i="282"/>
  <c r="AA591" i="321"/>
  <c r="Y253" i="306"/>
  <c r="X152" i="278"/>
  <c r="X29" i="328"/>
  <c r="Z694" i="321"/>
  <c r="Z565" i="321"/>
  <c r="Z148" i="278"/>
  <c r="Z239" i="278"/>
  <c r="Z551" i="321"/>
  <c r="Z100" i="278"/>
  <c r="Z622" i="321"/>
  <c r="Z319" i="278"/>
  <c r="Z31" i="289"/>
  <c r="Z32" i="289"/>
  <c r="Z37" i="289"/>
  <c r="Z545" i="321"/>
  <c r="Z136" i="314"/>
  <c r="Z581" i="321"/>
  <c r="Z179" i="278"/>
  <c r="Z246" i="278"/>
  <c r="Z708" i="321"/>
  <c r="Z603" i="321"/>
  <c r="Z230" i="278"/>
  <c r="Z104" i="314"/>
  <c r="Z204" i="278"/>
  <c r="Z636" i="321"/>
  <c r="Z497" i="321"/>
  <c r="Z63" i="286"/>
  <c r="Z57" i="314"/>
  <c r="Z675" i="321"/>
  <c r="Z701" i="321"/>
  <c r="Z652" i="321"/>
  <c r="Z16" i="289"/>
  <c r="Z17" i="289"/>
  <c r="Z22" i="289"/>
  <c r="Z17" i="314"/>
  <c r="Z573" i="321"/>
  <c r="Z713" i="321"/>
  <c r="Z540" i="321"/>
  <c r="Z659" i="321"/>
  <c r="Z283" i="278"/>
  <c r="Z644" i="321"/>
  <c r="Z453" i="321"/>
  <c r="Z47" i="289"/>
  <c r="Z48" i="289"/>
  <c r="Z53" i="289"/>
  <c r="Z129" i="314"/>
  <c r="Z50" i="314"/>
  <c r="Z617" i="321"/>
  <c r="Z306" i="278"/>
  <c r="AB39" i="305"/>
  <c r="AB42" i="305"/>
  <c r="AB263" i="321"/>
  <c r="AB201" i="273"/>
  <c r="AB84" i="273"/>
  <c r="AB54" i="273"/>
  <c r="AA658" i="321"/>
  <c r="AA602" i="321"/>
  <c r="AB272" i="278"/>
  <c r="AB15" i="275"/>
  <c r="AB296" i="278"/>
  <c r="AB39" i="314"/>
  <c r="AB79" i="314"/>
  <c r="AB19" i="282"/>
  <c r="AB158" i="314"/>
  <c r="AB118" i="314"/>
  <c r="AB85" i="273"/>
  <c r="V17" i="328"/>
  <c r="Y214" i="273"/>
  <c r="Z16" i="285"/>
  <c r="AA124" i="273"/>
  <c r="Y147" i="278"/>
  <c r="Y149" i="278"/>
  <c r="V213" i="278"/>
  <c r="V214" i="278"/>
  <c r="V218" i="278"/>
  <c r="V223" i="278"/>
  <c r="V217" i="278"/>
  <c r="V155" i="278"/>
  <c r="AC36" i="289"/>
  <c r="W92" i="278"/>
  <c r="AB28" i="310"/>
  <c r="AB16" i="307"/>
  <c r="AA296" i="278"/>
  <c r="AA39" i="314"/>
  <c r="AA19" i="282"/>
  <c r="AA158" i="314"/>
  <c r="AA118" i="314"/>
  <c r="AA79" i="314"/>
  <c r="AA85" i="273"/>
  <c r="AA272" i="278"/>
  <c r="AA15" i="275"/>
  <c r="AA20" i="275"/>
  <c r="AB17" i="275"/>
  <c r="AA178" i="288"/>
  <c r="AA28" i="288"/>
  <c r="AA203" i="288"/>
  <c r="AA53" i="288"/>
  <c r="AB56" i="273"/>
  <c r="AB240" i="278"/>
  <c r="AB247" i="278"/>
  <c r="Y263" i="306"/>
  <c r="AE103" i="305"/>
  <c r="AE104" i="305"/>
  <c r="AE113" i="305"/>
  <c r="AE115" i="305"/>
  <c r="AE107" i="305"/>
  <c r="AE108" i="305"/>
  <c r="AE112" i="305"/>
  <c r="X153" i="278"/>
  <c r="X30" i="328"/>
  <c r="U92" i="306"/>
  <c r="U93" i="306"/>
  <c r="U24" i="288"/>
  <c r="U25" i="288"/>
  <c r="Y39" i="321"/>
  <c r="Y41" i="321"/>
  <c r="Y44" i="321"/>
  <c r="AB53" i="273"/>
  <c r="AB75" i="273"/>
  <c r="AC76" i="273"/>
  <c r="Z61" i="265"/>
  <c r="Z22" i="315"/>
  <c r="Z59" i="315"/>
  <c r="Z24" i="265"/>
  <c r="AB579" i="321"/>
  <c r="AB598" i="321"/>
  <c r="AB599" i="321"/>
  <c r="AB707" i="321"/>
  <c r="AB650" i="321"/>
  <c r="AB161" i="278"/>
  <c r="AB186" i="278"/>
  <c r="AB211" i="278"/>
  <c r="AB674" i="321"/>
  <c r="AB262" i="273"/>
  <c r="X51" i="321"/>
  <c r="X259" i="288"/>
  <c r="X161" i="288"/>
  <c r="X162" i="288"/>
  <c r="X171" i="288"/>
  <c r="X80" i="288"/>
  <c r="X230" i="288"/>
  <c r="X217" i="288"/>
  <c r="X167" i="288"/>
  <c r="X109" i="288"/>
  <c r="X241" i="288"/>
  <c r="X45" i="321"/>
  <c r="X46" i="321"/>
  <c r="X48" i="321"/>
  <c r="X86" i="288"/>
  <c r="X67" i="288"/>
  <c r="X217" i="273"/>
  <c r="W218" i="273"/>
  <c r="X91" i="288"/>
  <c r="X236" i="288"/>
  <c r="AB161" i="273"/>
  <c r="AB151" i="321"/>
  <c r="AB15" i="289"/>
  <c r="AB46" i="289"/>
  <c r="AB30" i="289"/>
  <c r="AC28" i="310"/>
  <c r="AC16" i="307"/>
  <c r="W15" i="310"/>
  <c r="Z24" i="314"/>
  <c r="Z36" i="285"/>
  <c r="Z172" i="314"/>
  <c r="Z111" i="314"/>
  <c r="Z123" i="314"/>
  <c r="Z40" i="321"/>
  <c r="Z11" i="321"/>
  <c r="Z44" i="314"/>
  <c r="Z89" i="314"/>
  <c r="W31" i="288"/>
  <c r="X92" i="306"/>
  <c r="X93" i="306"/>
  <c r="X24" i="288"/>
  <c r="X25" i="288"/>
  <c r="O224" i="278"/>
  <c r="O225" i="278"/>
  <c r="O220" i="278"/>
  <c r="O44" i="265" s="1"/>
  <c r="T283" i="307"/>
  <c r="T9" i="310"/>
  <c r="AI664" i="307"/>
  <c r="AI644" i="307"/>
  <c r="AI674" i="307"/>
  <c r="AI619" i="307"/>
  <c r="AI221" i="307"/>
  <c r="AI669" i="307"/>
  <c r="AI267" i="306"/>
  <c r="AI246" i="306"/>
  <c r="AI262" i="306"/>
  <c r="AI649" i="307"/>
  <c r="AI629" i="307"/>
  <c r="AI277" i="306"/>
  <c r="AI614" i="307"/>
  <c r="AI624" i="307"/>
  <c r="AI240" i="306"/>
  <c r="AI252" i="306"/>
  <c r="AG48" i="273"/>
  <c r="AG9" i="328"/>
  <c r="AG12" i="328"/>
  <c r="X92" i="278"/>
  <c r="X98" i="278"/>
  <c r="X101" i="278"/>
  <c r="X104" i="278"/>
  <c r="X105" i="278"/>
  <c r="X192" i="278"/>
  <c r="AB20" i="275"/>
  <c r="AC17" i="275"/>
  <c r="X18" i="328"/>
  <c r="AH44" i="273"/>
  <c r="AH45" i="273"/>
  <c r="AH38" i="289"/>
  <c r="AH133" i="288"/>
  <c r="AH23" i="288"/>
  <c r="AI663" i="307"/>
  <c r="AI102" i="314"/>
  <c r="AI668" i="307"/>
  <c r="AI245" i="306"/>
  <c r="AI220" i="307"/>
  <c r="AI256" i="306"/>
  <c r="AI643" i="307"/>
  <c r="AI276" i="306"/>
  <c r="AI618" i="307"/>
  <c r="AI228" i="288"/>
  <c r="AI607" i="307"/>
  <c r="AI233" i="306"/>
  <c r="AI271" i="306"/>
  <c r="AI266" i="306"/>
  <c r="AI673" i="307"/>
  <c r="AI648" i="307"/>
  <c r="AI239" i="306"/>
  <c r="AI628" i="307"/>
  <c r="AI251" i="306"/>
  <c r="AI613" i="307"/>
  <c r="AI78" i="288"/>
  <c r="AI261" i="306"/>
  <c r="AI623" i="307"/>
  <c r="AI84" i="288"/>
  <c r="AI5" i="328"/>
  <c r="AI234" i="288"/>
  <c r="AI5" i="321"/>
  <c r="AI5" i="309"/>
  <c r="AI5" i="315"/>
  <c r="AI5" i="278"/>
  <c r="AI5" i="282"/>
  <c r="AI5" i="285"/>
  <c r="AI5" i="289"/>
  <c r="AI5" i="277"/>
  <c r="AI5" i="314"/>
  <c r="AI5" i="275"/>
  <c r="AI5" i="273"/>
  <c r="AI5" i="288"/>
  <c r="AI5" i="304"/>
  <c r="AI5" i="265"/>
  <c r="AI5" i="286"/>
  <c r="AA63" i="273"/>
  <c r="AA64" i="273"/>
  <c r="AC53" i="273"/>
  <c r="AC75" i="273"/>
  <c r="AD76" i="273"/>
  <c r="W272" i="288"/>
  <c r="W122" i="288"/>
  <c r="W114" i="288"/>
  <c r="W264" i="288"/>
  <c r="AC84" i="273"/>
  <c r="AC54" i="273"/>
  <c r="AF107" i="305"/>
  <c r="AF108" i="305"/>
  <c r="AF112" i="305"/>
  <c r="AF103" i="305"/>
  <c r="AF104" i="305"/>
  <c r="AF113" i="305"/>
  <c r="AF115" i="305"/>
  <c r="AA29" i="310"/>
  <c r="AA17" i="307"/>
  <c r="Z263" i="306"/>
  <c r="AC151" i="321"/>
  <c r="AC161" i="273"/>
  <c r="Y90" i="278"/>
  <c r="AB14" i="307"/>
  <c r="AB26" i="310"/>
  <c r="AB25" i="310"/>
  <c r="AB13" i="307"/>
  <c r="AC40" i="305"/>
  <c r="AC42" i="305"/>
  <c r="AA239" i="278"/>
  <c r="AA230" i="278"/>
  <c r="AA573" i="321"/>
  <c r="AA713" i="321"/>
  <c r="AA104" i="314"/>
  <c r="AA100" i="278"/>
  <c r="AA652" i="321"/>
  <c r="AA453" i="321"/>
  <c r="AA50" i="314"/>
  <c r="AA545" i="321"/>
  <c r="AA179" i="278"/>
  <c r="AA708" i="321"/>
  <c r="AA636" i="321"/>
  <c r="AA136" i="314"/>
  <c r="AA581" i="321"/>
  <c r="AA675" i="321"/>
  <c r="AA148" i="278"/>
  <c r="AA246" i="278"/>
  <c r="AA204" i="278"/>
  <c r="AA659" i="321"/>
  <c r="AA497" i="321"/>
  <c r="AA63" i="286"/>
  <c r="AA57" i="314"/>
  <c r="AA17" i="314"/>
  <c r="AA644" i="321"/>
  <c r="AA129" i="314"/>
  <c r="AA540" i="321"/>
  <c r="AA694" i="321"/>
  <c r="AA551" i="321"/>
  <c r="AA603" i="321"/>
  <c r="AA622" i="321"/>
  <c r="AA283" i="278"/>
  <c r="AA617" i="321"/>
  <c r="AA306" i="278"/>
  <c r="AA31" i="289"/>
  <c r="AA32" i="289"/>
  <c r="AA37" i="289"/>
  <c r="AA39" i="289"/>
  <c r="AB39" i="289"/>
  <c r="AA701" i="321"/>
  <c r="AA565" i="321"/>
  <c r="AA319" i="278"/>
  <c r="AC212" i="278"/>
  <c r="AC11" i="282"/>
  <c r="AC292" i="278"/>
  <c r="AC15" i="286"/>
  <c r="AC187" i="278"/>
  <c r="AC552" i="321"/>
  <c r="AC566" i="321"/>
  <c r="AC637" i="321"/>
  <c r="AC110" i="286"/>
  <c r="AC16" i="288"/>
  <c r="AC17" i="288"/>
  <c r="AC109" i="273"/>
  <c r="AD110" i="273"/>
  <c r="AC268" i="278"/>
  <c r="AC623" i="321"/>
  <c r="AC33" i="286"/>
  <c r="AC92" i="286"/>
  <c r="AC162" i="278"/>
  <c r="AC4" i="310"/>
  <c r="AC4" i="306"/>
  <c r="AC4" i="314"/>
  <c r="AC4" i="273"/>
  <c r="AC4" i="309"/>
  <c r="AC11" i="328"/>
  <c r="AC4" i="307"/>
  <c r="AC4" i="275"/>
  <c r="AC4" i="282"/>
  <c r="AC4" i="304"/>
  <c r="AC4" i="286"/>
  <c r="AC4" i="289"/>
  <c r="AC4" i="321"/>
  <c r="AC4" i="285"/>
  <c r="AC4" i="278"/>
  <c r="AC4" i="315"/>
  <c r="AC4" i="288"/>
  <c r="Z253" i="306"/>
  <c r="AC201" i="273"/>
  <c r="AC263" i="321"/>
  <c r="Z147" i="278"/>
  <c r="Z149" i="278"/>
  <c r="Y97" i="278"/>
  <c r="Y45" i="321"/>
  <c r="Y46" i="321"/>
  <c r="Y48" i="321"/>
  <c r="Y217" i="273"/>
  <c r="X218" i="273"/>
  <c r="Y259" i="288"/>
  <c r="Y236" i="288"/>
  <c r="Y80" i="288"/>
  <c r="Y51" i="321"/>
  <c r="Y91" i="288"/>
  <c r="Y109" i="288"/>
  <c r="Y217" i="288"/>
  <c r="Y241" i="288"/>
  <c r="Y67" i="288"/>
  <c r="Y167" i="288"/>
  <c r="Y86" i="288"/>
  <c r="Y230" i="288"/>
  <c r="Y161" i="288"/>
  <c r="AB86" i="273"/>
  <c r="AB49" i="305"/>
  <c r="AB50" i="305"/>
  <c r="V9" i="315"/>
  <c r="V188" i="278"/>
  <c r="V189" i="278"/>
  <c r="V193" i="278"/>
  <c r="V192" i="278"/>
  <c r="V197" i="278"/>
  <c r="Y91" i="278"/>
  <c r="Z214" i="273"/>
  <c r="AD258" i="273"/>
  <c r="AD259" i="273"/>
  <c r="AD154" i="273"/>
  <c r="AD155" i="273"/>
  <c r="AD59" i="288"/>
  <c r="AD2" i="285"/>
  <c r="AD2" i="314"/>
  <c r="AD2" i="275"/>
  <c r="AD2" i="288"/>
  <c r="AD3" i="328"/>
  <c r="AD8" i="328"/>
  <c r="AD209" i="288"/>
  <c r="AD71" i="273"/>
  <c r="AD198" i="273"/>
  <c r="AD199" i="273"/>
  <c r="AD202" i="273"/>
  <c r="AD2" i="273"/>
  <c r="AD184" i="288"/>
  <c r="AD34" i="288"/>
  <c r="AD38" i="311"/>
  <c r="AD2" i="278"/>
  <c r="AD194" i="273"/>
  <c r="AD195" i="273"/>
  <c r="AD2" i="315"/>
  <c r="AD158" i="273"/>
  <c r="AD159" i="273"/>
  <c r="AD162" i="273"/>
  <c r="AD2" i="265"/>
  <c r="AD2" i="282"/>
  <c r="AD2" i="304"/>
  <c r="AD2" i="321"/>
  <c r="AD2" i="289"/>
  <c r="AD148" i="288"/>
  <c r="AD2" i="286"/>
  <c r="AD119" i="273"/>
  <c r="AD120" i="273"/>
  <c r="AD123" i="273"/>
  <c r="AD49" i="273"/>
  <c r="Z268" i="306"/>
  <c r="AA12" i="307"/>
  <c r="AA24" i="310"/>
  <c r="AC30" i="289"/>
  <c r="AC211" i="278"/>
  <c r="AC186" i="278"/>
  <c r="AC598" i="321"/>
  <c r="AC599" i="321"/>
  <c r="AC579" i="321"/>
  <c r="AC650" i="321"/>
  <c r="AC161" i="278"/>
  <c r="AC707" i="321"/>
  <c r="AF10" i="289"/>
  <c r="AF2" i="328"/>
  <c r="AC13" i="307"/>
  <c r="AC25" i="310"/>
  <c r="U181" i="288"/>
  <c r="U31" i="288"/>
  <c r="AE183" i="288"/>
  <c r="AE2" i="306"/>
  <c r="AE34" i="311"/>
  <c r="AE2" i="307"/>
  <c r="AE147" i="288"/>
  <c r="AE208" i="288"/>
  <c r="AE26" i="305"/>
  <c r="AE27" i="305"/>
  <c r="AE31" i="305"/>
  <c r="AF32" i="305"/>
  <c r="AF34" i="305"/>
  <c r="AF35" i="305"/>
  <c r="AF4" i="305"/>
  <c r="AE33" i="288"/>
  <c r="AE58" i="288"/>
  <c r="AE2" i="310"/>
  <c r="AE2" i="305"/>
  <c r="AE2" i="309"/>
  <c r="AB589" i="321"/>
  <c r="AB590" i="321"/>
  <c r="AB261" i="273"/>
  <c r="AB263" i="273"/>
  <c r="AB55" i="273"/>
  <c r="AB57" i="273"/>
  <c r="AB117" i="314"/>
  <c r="AB259" i="278"/>
  <c r="AB28" i="314"/>
  <c r="AB38" i="314"/>
  <c r="AB122" i="273"/>
  <c r="AB124" i="273"/>
  <c r="V10" i="265"/>
  <c r="V10" i="315"/>
  <c r="Y153" i="278"/>
  <c r="Y30" i="328"/>
  <c r="X154" i="278"/>
  <c r="W17" i="328"/>
  <c r="AA71" i="321"/>
  <c r="AA259" i="321"/>
  <c r="AA131" i="321"/>
  <c r="AA277" i="321"/>
  <c r="AA267" i="321"/>
  <c r="AB203" i="273"/>
  <c r="AA253" i="321"/>
  <c r="AA213" i="273"/>
  <c r="U15" i="310"/>
  <c r="Z72" i="321"/>
  <c r="Z79" i="321"/>
  <c r="AC14" i="307"/>
  <c r="AC26" i="310"/>
  <c r="Z3" i="273"/>
  <c r="Z3" i="278"/>
  <c r="Z3" i="275"/>
  <c r="Z3" i="289"/>
  <c r="Z3" i="286"/>
  <c r="Z3" i="314"/>
  <c r="Z3" i="285"/>
  <c r="Z47" i="273"/>
  <c r="Z3" i="304"/>
  <c r="Z4" i="328"/>
  <c r="Z3" i="321"/>
  <c r="Z3" i="265"/>
  <c r="Z3" i="288"/>
  <c r="Z3" i="315"/>
  <c r="Z3" i="282"/>
  <c r="AB602" i="321"/>
  <c r="AB658" i="321"/>
  <c r="AD11" i="289"/>
  <c r="AD12" i="289"/>
  <c r="AD36" i="289"/>
  <c r="W98" i="278"/>
  <c r="W101" i="278"/>
  <c r="W104" i="278"/>
  <c r="W105" i="278"/>
  <c r="W18" i="328"/>
  <c r="Y29" i="328"/>
  <c r="Y152" i="278"/>
  <c r="Y154" i="278"/>
  <c r="Y217" i="278"/>
  <c r="AA16" i="285"/>
  <c r="V172" i="278"/>
  <c r="V27" i="328"/>
  <c r="V163" i="278"/>
  <c r="V164" i="278"/>
  <c r="V168" i="278"/>
  <c r="V167" i="278"/>
  <c r="AC55" i="273"/>
  <c r="AC259" i="278"/>
  <c r="AC38" i="314"/>
  <c r="AC28" i="314"/>
  <c r="AC117" i="314"/>
  <c r="AC122" i="273"/>
  <c r="AC261" i="273"/>
  <c r="AC263" i="273"/>
  <c r="AC589" i="321"/>
  <c r="AC590" i="321"/>
  <c r="AB27" i="310"/>
  <c r="AB278" i="307"/>
  <c r="AB279" i="307"/>
  <c r="AB287" i="307"/>
  <c r="AB15" i="307"/>
  <c r="AB286" i="307"/>
  <c r="Z39" i="321"/>
  <c r="Z41" i="321"/>
  <c r="Z44" i="321"/>
  <c r="AA24" i="265"/>
  <c r="AA22" i="315"/>
  <c r="AA61" i="265"/>
  <c r="AA59" i="315"/>
  <c r="AC259" i="273"/>
  <c r="AC240" i="278"/>
  <c r="AC247" i="278"/>
  <c r="AC56" i="273"/>
  <c r="AB53" i="288"/>
  <c r="AB203" i="288"/>
  <c r="AB28" i="288"/>
  <c r="AB178" i="288"/>
  <c r="W217" i="278"/>
  <c r="W155" i="278"/>
  <c r="W213" i="278"/>
  <c r="W214" i="278"/>
  <c r="W218" i="278"/>
  <c r="W223" i="278"/>
  <c r="AA147" i="321"/>
  <c r="AA165" i="321"/>
  <c r="AB163" i="273"/>
  <c r="AA130" i="321"/>
  <c r="AA70" i="321"/>
  <c r="AA212" i="273"/>
  <c r="AA141" i="321"/>
  <c r="AA155" i="321"/>
  <c r="AD40" i="305"/>
  <c r="X15" i="310"/>
  <c r="O42" i="315"/>
  <c r="P222" i="278"/>
  <c r="O229" i="278"/>
  <c r="O231" i="278"/>
  <c r="O116" i="265"/>
  <c r="O112" i="315"/>
  <c r="O254" i="278"/>
  <c r="AJ669" i="307"/>
  <c r="AJ664" i="307"/>
  <c r="AJ644" i="307"/>
  <c r="AJ674" i="307"/>
  <c r="AJ619" i="307"/>
  <c r="AJ221" i="307"/>
  <c r="AJ267" i="306"/>
  <c r="AJ246" i="306"/>
  <c r="AJ262" i="306"/>
  <c r="AJ649" i="307"/>
  <c r="AJ629" i="307"/>
  <c r="AJ277" i="306"/>
  <c r="AJ614" i="307"/>
  <c r="AJ240" i="306"/>
  <c r="AJ252" i="306"/>
  <c r="AJ624" i="307"/>
  <c r="AA24" i="314"/>
  <c r="AA36" i="285"/>
  <c r="AA172" i="314"/>
  <c r="AA111" i="314"/>
  <c r="AA123" i="314"/>
  <c r="AA40" i="321"/>
  <c r="AA44" i="314"/>
  <c r="AA11" i="321"/>
  <c r="AA89" i="314"/>
  <c r="X31" i="288"/>
  <c r="X181" i="288"/>
  <c r="X188" i="278"/>
  <c r="X189" i="278"/>
  <c r="X193" i="278"/>
  <c r="AC15" i="307"/>
  <c r="X197" i="278"/>
  <c r="X9" i="315"/>
  <c r="AH48" i="273"/>
  <c r="AC286" i="307"/>
  <c r="AC278" i="307"/>
  <c r="AC279" i="307"/>
  <c r="AC287" i="307"/>
  <c r="AC27" i="310"/>
  <c r="AB36" i="285"/>
  <c r="V11" i="265"/>
  <c r="V32" i="328"/>
  <c r="Y213" i="278"/>
  <c r="Y214" i="278"/>
  <c r="Y218" i="278"/>
  <c r="AJ668" i="307"/>
  <c r="AJ220" i="307"/>
  <c r="AJ663" i="307"/>
  <c r="AJ102" i="314"/>
  <c r="AJ256" i="306"/>
  <c r="AJ245" i="306"/>
  <c r="AJ628" i="307"/>
  <c r="AJ271" i="306"/>
  <c r="AJ261" i="306"/>
  <c r="AJ251" i="306"/>
  <c r="AJ78" i="288"/>
  <c r="AJ613" i="307"/>
  <c r="AJ623" i="307"/>
  <c r="AJ607" i="307"/>
  <c r="AJ233" i="306"/>
  <c r="AJ673" i="307"/>
  <c r="AJ648" i="307"/>
  <c r="AJ276" i="306"/>
  <c r="AJ266" i="306"/>
  <c r="AJ239" i="306"/>
  <c r="AJ618" i="307"/>
  <c r="AJ228" i="288"/>
  <c r="AJ5" i="265"/>
  <c r="AJ643" i="307"/>
  <c r="AJ5" i="273"/>
  <c r="AJ5" i="289"/>
  <c r="AJ5" i="278"/>
  <c r="AJ5" i="309"/>
  <c r="AJ5" i="315"/>
  <c r="AJ5" i="282"/>
  <c r="AJ84" i="288"/>
  <c r="AJ234" i="288"/>
  <c r="AJ5" i="288"/>
  <c r="AJ5" i="275"/>
  <c r="AJ5" i="286"/>
  <c r="AJ5" i="285"/>
  <c r="AJ5" i="277"/>
  <c r="AJ5" i="304"/>
  <c r="AJ5" i="314"/>
  <c r="AJ5" i="328"/>
  <c r="AJ5" i="321"/>
  <c r="AH9" i="328"/>
  <c r="AH12" i="328"/>
  <c r="AI44" i="273"/>
  <c r="AI45" i="273"/>
  <c r="AI48" i="273"/>
  <c r="AI38" i="289"/>
  <c r="AI133" i="288"/>
  <c r="AI23" i="288"/>
  <c r="AB44" i="314"/>
  <c r="Y223" i="278"/>
  <c r="Z97" i="278"/>
  <c r="Y155" i="278"/>
  <c r="Y10" i="265"/>
  <c r="AA214" i="273"/>
  <c r="AA72" i="321"/>
  <c r="AA79" i="321"/>
  <c r="AC86" i="273"/>
  <c r="AB63" i="273"/>
  <c r="AB64" i="273"/>
  <c r="AC57" i="273"/>
  <c r="AB701" i="321"/>
  <c r="AB708" i="321"/>
  <c r="AB603" i="321"/>
  <c r="AB230" i="278"/>
  <c r="AB644" i="321"/>
  <c r="AB617" i="321"/>
  <c r="AB246" i="278"/>
  <c r="AB306" i="278"/>
  <c r="AB31" i="289"/>
  <c r="AB32" i="289"/>
  <c r="AB37" i="289"/>
  <c r="AB57" i="314"/>
  <c r="AB694" i="321"/>
  <c r="AB636" i="321"/>
  <c r="AB453" i="321"/>
  <c r="AB551" i="321"/>
  <c r="AB573" i="321"/>
  <c r="AB713" i="321"/>
  <c r="AB540" i="321"/>
  <c r="AB104" i="314"/>
  <c r="AB652" i="321"/>
  <c r="AB100" i="278"/>
  <c r="AB622" i="321"/>
  <c r="AB497" i="321"/>
  <c r="AB129" i="314"/>
  <c r="AB565" i="321"/>
  <c r="AB239" i="278"/>
  <c r="AB659" i="321"/>
  <c r="AB136" i="314"/>
  <c r="AB17" i="314"/>
  <c r="AB581" i="321"/>
  <c r="AB675" i="321"/>
  <c r="AB179" i="278"/>
  <c r="AB16" i="289"/>
  <c r="AB17" i="289"/>
  <c r="AB22" i="289"/>
  <c r="AB47" i="289"/>
  <c r="AB48" i="289"/>
  <c r="AB53" i="289"/>
  <c r="AB204" i="278"/>
  <c r="AB319" i="278"/>
  <c r="AB545" i="321"/>
  <c r="AB50" i="314"/>
  <c r="AB148" i="278"/>
  <c r="AB283" i="278"/>
  <c r="AB63" i="286"/>
  <c r="AC124" i="273"/>
  <c r="AB16" i="285"/>
  <c r="X17" i="328"/>
  <c r="Z45" i="321"/>
  <c r="Z46" i="321"/>
  <c r="Z48" i="321"/>
  <c r="Z51" i="321"/>
  <c r="Z86" i="288"/>
  <c r="Z236" i="288"/>
  <c r="Z259" i="288"/>
  <c r="Z80" i="288"/>
  <c r="Z109" i="288"/>
  <c r="Z67" i="288"/>
  <c r="Z241" i="288"/>
  <c r="Z217" i="288"/>
  <c r="Z167" i="288"/>
  <c r="Z217" i="273"/>
  <c r="Y218" i="273"/>
  <c r="Z230" i="288"/>
  <c r="Z91" i="288"/>
  <c r="Z161" i="288"/>
  <c r="Z162" i="288"/>
  <c r="Z171" i="288"/>
  <c r="Y162" i="288"/>
  <c r="Y171" i="288"/>
  <c r="AD247" i="278"/>
  <c r="AD56" i="273"/>
  <c r="AD240" i="278"/>
  <c r="AG103" i="305"/>
  <c r="AG104" i="305"/>
  <c r="AG113" i="305"/>
  <c r="AG115" i="305"/>
  <c r="AG107" i="305"/>
  <c r="AG108" i="305"/>
  <c r="AG112" i="305"/>
  <c r="AD262" i="273"/>
  <c r="AD674" i="321"/>
  <c r="W192" i="278"/>
  <c r="W197" i="278"/>
  <c r="W9" i="315"/>
  <c r="W188" i="278"/>
  <c r="W189" i="278"/>
  <c r="W193" i="278"/>
  <c r="AD15" i="289"/>
  <c r="AD30" i="289"/>
  <c r="AD46" i="289"/>
  <c r="AD89" i="305"/>
  <c r="AE90" i="305"/>
  <c r="AE41" i="305"/>
  <c r="AD100" i="306"/>
  <c r="AD105" i="306"/>
  <c r="AE36" i="289"/>
  <c r="AB213" i="273"/>
  <c r="AB253" i="321"/>
  <c r="AB131" i="321"/>
  <c r="AB259" i="321"/>
  <c r="AB267" i="321"/>
  <c r="AB71" i="321"/>
  <c r="AB277" i="321"/>
  <c r="AC203" i="273"/>
  <c r="X155" i="278"/>
  <c r="X217" i="278"/>
  <c r="X223" i="278"/>
  <c r="X213" i="278"/>
  <c r="X214" i="278"/>
  <c r="X218" i="278"/>
  <c r="AB3" i="307"/>
  <c r="AB3" i="306"/>
  <c r="AB3" i="305"/>
  <c r="AB3" i="310"/>
  <c r="AB3" i="309"/>
  <c r="X122" i="288"/>
  <c r="X264" i="288"/>
  <c r="X272" i="288"/>
  <c r="X114" i="288"/>
  <c r="Z153" i="278"/>
  <c r="Z30" i="328"/>
  <c r="Y92" i="278"/>
  <c r="AD272" i="278"/>
  <c r="AD39" i="314"/>
  <c r="AD85" i="273"/>
  <c r="AD158" i="314"/>
  <c r="AD118" i="314"/>
  <c r="AD19" i="282"/>
  <c r="AD296" i="278"/>
  <c r="AD15" i="275"/>
  <c r="AD79" i="314"/>
  <c r="AE105" i="306"/>
  <c r="AE100" i="306"/>
  <c r="AE89" i="305"/>
  <c r="AF90" i="305"/>
  <c r="AF41" i="305"/>
  <c r="AD162" i="278"/>
  <c r="AD552" i="321"/>
  <c r="AD637" i="321"/>
  <c r="AD33" i="286"/>
  <c r="AD268" i="278"/>
  <c r="AD11" i="282"/>
  <c r="AD16" i="288"/>
  <c r="AD17" i="288"/>
  <c r="AD187" i="278"/>
  <c r="AD92" i="286"/>
  <c r="AD212" i="278"/>
  <c r="AD15" i="286"/>
  <c r="AD566" i="321"/>
  <c r="AD109" i="273"/>
  <c r="AE110" i="273"/>
  <c r="AD292" i="278"/>
  <c r="AD110" i="286"/>
  <c r="AD623" i="321"/>
  <c r="AB70" i="321"/>
  <c r="AB155" i="321"/>
  <c r="AB130" i="321"/>
  <c r="AB147" i="321"/>
  <c r="AB165" i="321"/>
  <c r="AC163" i="273"/>
  <c r="AB141" i="321"/>
  <c r="AB212" i="273"/>
  <c r="AB214" i="273"/>
  <c r="AC262" i="273"/>
  <c r="AC674" i="321"/>
  <c r="AC105" i="282"/>
  <c r="AC591" i="321"/>
  <c r="AC37" i="282"/>
  <c r="AA263" i="306"/>
  <c r="AE158" i="273"/>
  <c r="AE159" i="273"/>
  <c r="AE162" i="273"/>
  <c r="AE71" i="273"/>
  <c r="AE184" i="288"/>
  <c r="AE209" i="288"/>
  <c r="AE148" i="288"/>
  <c r="AE2" i="315"/>
  <c r="AE2" i="282"/>
  <c r="AE198" i="273"/>
  <c r="AE199" i="273"/>
  <c r="AE202" i="273"/>
  <c r="AE2" i="285"/>
  <c r="AE194" i="273"/>
  <c r="AE2" i="265"/>
  <c r="AE2" i="275"/>
  <c r="AE2" i="321"/>
  <c r="AE49" i="273"/>
  <c r="AE34" i="288"/>
  <c r="AE2" i="278"/>
  <c r="AE3" i="328"/>
  <c r="AE8" i="328"/>
  <c r="AE2" i="273"/>
  <c r="AE119" i="273"/>
  <c r="AE120" i="273"/>
  <c r="AE123" i="273"/>
  <c r="AE154" i="273"/>
  <c r="AE59" i="288"/>
  <c r="AE38" i="311"/>
  <c r="AE2" i="314"/>
  <c r="AE2" i="289"/>
  <c r="AE2" i="286"/>
  <c r="AE258" i="273"/>
  <c r="AE259" i="273"/>
  <c r="AE2" i="288"/>
  <c r="AE2" i="304"/>
  <c r="AB105" i="282"/>
  <c r="AB37" i="282"/>
  <c r="AB591" i="321"/>
  <c r="AB17" i="307"/>
  <c r="AB29" i="310"/>
  <c r="AD4" i="321"/>
  <c r="AD4" i="309"/>
  <c r="AD4" i="304"/>
  <c r="AD4" i="288"/>
  <c r="AD4" i="314"/>
  <c r="AD4" i="273"/>
  <c r="AD4" i="282"/>
  <c r="AD4" i="278"/>
  <c r="AD4" i="286"/>
  <c r="AD4" i="275"/>
  <c r="AD4" i="310"/>
  <c r="AD4" i="315"/>
  <c r="AD4" i="289"/>
  <c r="AD4" i="307"/>
  <c r="AD4" i="285"/>
  <c r="AD11" i="328"/>
  <c r="AD4" i="306"/>
  <c r="AD72" i="273"/>
  <c r="AE72" i="273"/>
  <c r="V11" i="315"/>
  <c r="AC49" i="305"/>
  <c r="AC50" i="305"/>
  <c r="Z29" i="328"/>
  <c r="Z152" i="278"/>
  <c r="AC178" i="288"/>
  <c r="AC53" i="288"/>
  <c r="AC28" i="288"/>
  <c r="AC203" i="288"/>
  <c r="AA147" i="278"/>
  <c r="AA149" i="278"/>
  <c r="AA268" i="306"/>
  <c r="AF33" i="288"/>
  <c r="AF34" i="311"/>
  <c r="AF2" i="310"/>
  <c r="AF26" i="305"/>
  <c r="AF27" i="305"/>
  <c r="AF31" i="305"/>
  <c r="AG32" i="305"/>
  <c r="AG34" i="305"/>
  <c r="AG35" i="305"/>
  <c r="AG4" i="305"/>
  <c r="AF147" i="288"/>
  <c r="AF2" i="307"/>
  <c r="AF208" i="288"/>
  <c r="AF2" i="305"/>
  <c r="AF58" i="288"/>
  <c r="AF2" i="306"/>
  <c r="AF2" i="309"/>
  <c r="AF183" i="288"/>
  <c r="AD84" i="273"/>
  <c r="AD54" i="273"/>
  <c r="AC296" i="278"/>
  <c r="AC39" i="314"/>
  <c r="AC19" i="282"/>
  <c r="AC158" i="314"/>
  <c r="AC118" i="314"/>
  <c r="AC15" i="275"/>
  <c r="AC20" i="275"/>
  <c r="AD17" i="275"/>
  <c r="AC272" i="278"/>
  <c r="AC85" i="273"/>
  <c r="AC79" i="314"/>
  <c r="AG2" i="328"/>
  <c r="Z90" i="278"/>
  <c r="W10" i="315"/>
  <c r="W10" i="265"/>
  <c r="AD151" i="321"/>
  <c r="AD161" i="273"/>
  <c r="Z91" i="278"/>
  <c r="AA253" i="306"/>
  <c r="W163" i="278"/>
  <c r="W164" i="278"/>
  <c r="W168" i="278"/>
  <c r="W167" i="278"/>
  <c r="W172" i="278"/>
  <c r="W27" i="328"/>
  <c r="AB24" i="310"/>
  <c r="AB12" i="307"/>
  <c r="AC602" i="321"/>
  <c r="AC658" i="321"/>
  <c r="AD201" i="273"/>
  <c r="AD263" i="321"/>
  <c r="AD579" i="321"/>
  <c r="AD650" i="321"/>
  <c r="AD211" i="278"/>
  <c r="AD707" i="321"/>
  <c r="AD186" i="278"/>
  <c r="AD598" i="321"/>
  <c r="AD599" i="321"/>
  <c r="AD161" i="278"/>
  <c r="AD39" i="305"/>
  <c r="AD42" i="305"/>
  <c r="AA39" i="321"/>
  <c r="AA41" i="321"/>
  <c r="AA44" i="321"/>
  <c r="AA4" i="328"/>
  <c r="AA3" i="315"/>
  <c r="AA3" i="275"/>
  <c r="AA3" i="304"/>
  <c r="AA3" i="273"/>
  <c r="AA47" i="273"/>
  <c r="AA3" i="288"/>
  <c r="AA3" i="286"/>
  <c r="AA3" i="282"/>
  <c r="AA3" i="289"/>
  <c r="AA3" i="321"/>
  <c r="AA3" i="285"/>
  <c r="AA3" i="265"/>
  <c r="AA3" i="278"/>
  <c r="AA3" i="314"/>
  <c r="AB89" i="314"/>
  <c r="AB111" i="314"/>
  <c r="AB40" i="321"/>
  <c r="AB172" i="314"/>
  <c r="AB11" i="321"/>
  <c r="AB123" i="314"/>
  <c r="AB24" i="314"/>
  <c r="O238" i="278"/>
  <c r="O245" i="278"/>
  <c r="O282" i="278"/>
  <c r="AK221" i="307"/>
  <c r="AK669" i="307"/>
  <c r="AK664" i="307"/>
  <c r="AK644" i="307"/>
  <c r="AK674" i="307"/>
  <c r="AK619" i="307"/>
  <c r="AK267" i="306"/>
  <c r="AK246" i="306"/>
  <c r="AK262" i="306"/>
  <c r="AK649" i="307"/>
  <c r="AK629" i="307"/>
  <c r="AK277" i="306"/>
  <c r="AK614" i="307"/>
  <c r="AK624" i="307"/>
  <c r="AK240" i="306"/>
  <c r="AK252" i="306"/>
  <c r="P228" i="278"/>
  <c r="P216" i="278"/>
  <c r="P219" i="278"/>
  <c r="U9" i="310"/>
  <c r="U283" i="307"/>
  <c r="AI9" i="328"/>
  <c r="Y18" i="307"/>
  <c r="Y92" i="306"/>
  <c r="Y93" i="306"/>
  <c r="Y24" i="288"/>
  <c r="Y25" i="288"/>
  <c r="Y31" i="288"/>
  <c r="Y30" i="310"/>
  <c r="Y10" i="315"/>
  <c r="W11" i="265"/>
  <c r="W32" i="328"/>
  <c r="AD86" i="273"/>
  <c r="AA91" i="278"/>
  <c r="AJ44" i="273"/>
  <c r="AJ45" i="273"/>
  <c r="AJ9" i="328"/>
  <c r="AJ38" i="289"/>
  <c r="AJ133" i="288"/>
  <c r="AJ23" i="288"/>
  <c r="AK245" i="306"/>
  <c r="AK663" i="307"/>
  <c r="AK220" i="307"/>
  <c r="AK102" i="314"/>
  <c r="AK668" i="307"/>
  <c r="AK607" i="307"/>
  <c r="AK613" i="307"/>
  <c r="AK266" i="306"/>
  <c r="AK84" i="288"/>
  <c r="AK643" i="307"/>
  <c r="AK261" i="306"/>
  <c r="AK628" i="307"/>
  <c r="AK271" i="306"/>
  <c r="AK623" i="307"/>
  <c r="AK256" i="306"/>
  <c r="AK233" i="306"/>
  <c r="AK673" i="307"/>
  <c r="AK276" i="306"/>
  <c r="AK5" i="328"/>
  <c r="AK234" i="288"/>
  <c r="AK5" i="265"/>
  <c r="AK239" i="306"/>
  <c r="AK228" i="288"/>
  <c r="AK78" i="288"/>
  <c r="AK618" i="307"/>
  <c r="AK5" i="277"/>
  <c r="AK5" i="304"/>
  <c r="AK5" i="315"/>
  <c r="AK5" i="275"/>
  <c r="AK5" i="285"/>
  <c r="AK5" i="273"/>
  <c r="AK5" i="286"/>
  <c r="AK5" i="321"/>
  <c r="AK5" i="288"/>
  <c r="AK5" i="289"/>
  <c r="AK5" i="282"/>
  <c r="AK5" i="309"/>
  <c r="AK251" i="306"/>
  <c r="AK5" i="278"/>
  <c r="AK648" i="307"/>
  <c r="AK5" i="314"/>
  <c r="AB72" i="321"/>
  <c r="AB79" i="321"/>
  <c r="AD20" i="275"/>
  <c r="AE17" i="275"/>
  <c r="Y17" i="328"/>
  <c r="AA67" i="288"/>
  <c r="AA236" i="288"/>
  <c r="AA161" i="288"/>
  <c r="AA162" i="288"/>
  <c r="AA171" i="288"/>
  <c r="AA91" i="288"/>
  <c r="AA230" i="288"/>
  <c r="AA241" i="288"/>
  <c r="AA80" i="288"/>
  <c r="AA217" i="288"/>
  <c r="AA167" i="288"/>
  <c r="AA217" i="273"/>
  <c r="Z218" i="273"/>
  <c r="AA45" i="321"/>
  <c r="AA46" i="321"/>
  <c r="AA48" i="321"/>
  <c r="AA86" i="288"/>
  <c r="AA109" i="288"/>
  <c r="AA259" i="288"/>
  <c r="AA51" i="321"/>
  <c r="Y278" i="306"/>
  <c r="Z92" i="278"/>
  <c r="AF100" i="306"/>
  <c r="AF89" i="305"/>
  <c r="AG90" i="305"/>
  <c r="AG41" i="305"/>
  <c r="AF105" i="306"/>
  <c r="AA90" i="278"/>
  <c r="AA92" i="278"/>
  <c r="AA18" i="328"/>
  <c r="AA30" i="328"/>
  <c r="AA153" i="278"/>
  <c r="AE155" i="273"/>
  <c r="Y18" i="328"/>
  <c r="Y98" i="278"/>
  <c r="Y101" i="278"/>
  <c r="Y104" i="278"/>
  <c r="Y105" i="278"/>
  <c r="AC213" i="273"/>
  <c r="AC131" i="321"/>
  <c r="AD203" i="273"/>
  <c r="AC71" i="321"/>
  <c r="AC259" i="321"/>
  <c r="AC277" i="321"/>
  <c r="AC253" i="321"/>
  <c r="AC267" i="321"/>
  <c r="AC17" i="307"/>
  <c r="AC29" i="310"/>
  <c r="AD14" i="307"/>
  <c r="AD26" i="310"/>
  <c r="AF154" i="273"/>
  <c r="AF155" i="273"/>
  <c r="AF2" i="265"/>
  <c r="AF2" i="321"/>
  <c r="AF2" i="289"/>
  <c r="AF2" i="286"/>
  <c r="AF184" i="288"/>
  <c r="AF2" i="304"/>
  <c r="AF34" i="288"/>
  <c r="AF2" i="314"/>
  <c r="AF258" i="273"/>
  <c r="AF198" i="273"/>
  <c r="AF199" i="273"/>
  <c r="AF202" i="273"/>
  <c r="AF3" i="328"/>
  <c r="AF8" i="328"/>
  <c r="AF2" i="282"/>
  <c r="AF2" i="285"/>
  <c r="AF38" i="311"/>
  <c r="AF2" i="288"/>
  <c r="AF71" i="273"/>
  <c r="AF72" i="273"/>
  <c r="AF2" i="278"/>
  <c r="AF119" i="273"/>
  <c r="AF120" i="273"/>
  <c r="AF123" i="273"/>
  <c r="AF158" i="273"/>
  <c r="AF159" i="273"/>
  <c r="AF162" i="273"/>
  <c r="AF59" i="288"/>
  <c r="AF49" i="273"/>
  <c r="AF2" i="275"/>
  <c r="AF2" i="315"/>
  <c r="AF209" i="288"/>
  <c r="AF194" i="273"/>
  <c r="AF2" i="273"/>
  <c r="AF148" i="288"/>
  <c r="AE4" i="273"/>
  <c r="AE4" i="315"/>
  <c r="AE4" i="289"/>
  <c r="AE4" i="288"/>
  <c r="AE11" i="328"/>
  <c r="AE4" i="321"/>
  <c r="AE4" i="310"/>
  <c r="AE4" i="314"/>
  <c r="AE4" i="306"/>
  <c r="AE4" i="286"/>
  <c r="AE4" i="309"/>
  <c r="AE4" i="285"/>
  <c r="AE4" i="282"/>
  <c r="AE4" i="278"/>
  <c r="AE4" i="307"/>
  <c r="AE4" i="275"/>
  <c r="AE4" i="304"/>
  <c r="AA152" i="278"/>
  <c r="AA29" i="328"/>
  <c r="AC3" i="310"/>
  <c r="AC3" i="307"/>
  <c r="AC3" i="309"/>
  <c r="AC3" i="306"/>
  <c r="AC3" i="305"/>
  <c r="AE262" i="273"/>
  <c r="AE674" i="321"/>
  <c r="AE195" i="273"/>
  <c r="AC70" i="321"/>
  <c r="AC165" i="321"/>
  <c r="AC130" i="321"/>
  <c r="AD163" i="273"/>
  <c r="AC147" i="321"/>
  <c r="AC212" i="273"/>
  <c r="AC141" i="321"/>
  <c r="AC155" i="321"/>
  <c r="AE28" i="310"/>
  <c r="AE16" i="307"/>
  <c r="AE122" i="273"/>
  <c r="AE259" i="278"/>
  <c r="AE589" i="321"/>
  <c r="AE590" i="321"/>
  <c r="AE261" i="273"/>
  <c r="AE117" i="314"/>
  <c r="AE55" i="273"/>
  <c r="AE38" i="314"/>
  <c r="AE28" i="314"/>
  <c r="AC16" i="285"/>
  <c r="AC63" i="273"/>
  <c r="AC64" i="273"/>
  <c r="AF11" i="289"/>
  <c r="AF12" i="289"/>
  <c r="AF36" i="289"/>
  <c r="AE39" i="305"/>
  <c r="AB59" i="315"/>
  <c r="AB24" i="265"/>
  <c r="AB61" i="265"/>
  <c r="AB22" i="315"/>
  <c r="AB268" i="306"/>
  <c r="AD53" i="288"/>
  <c r="AD178" i="288"/>
  <c r="AD28" i="288"/>
  <c r="AD203" i="288"/>
  <c r="AH103" i="305"/>
  <c r="AH104" i="305"/>
  <c r="AH113" i="305"/>
  <c r="AH107" i="305"/>
  <c r="AH108" i="305"/>
  <c r="AH112" i="305"/>
  <c r="AD13" i="307"/>
  <c r="AD25" i="310"/>
  <c r="AB263" i="306"/>
  <c r="AH10" i="289"/>
  <c r="AH2" i="328"/>
  <c r="AB147" i="278"/>
  <c r="AB149" i="278"/>
  <c r="AD49" i="305"/>
  <c r="AD50" i="305"/>
  <c r="AE53" i="273"/>
  <c r="AE75" i="273"/>
  <c r="AF76" i="273"/>
  <c r="AF39" i="305"/>
  <c r="AE598" i="321"/>
  <c r="AE599" i="321"/>
  <c r="AE161" i="278"/>
  <c r="AE211" i="278"/>
  <c r="AE186" i="278"/>
  <c r="AE707" i="321"/>
  <c r="AE579" i="321"/>
  <c r="AE650" i="321"/>
  <c r="AE240" i="278"/>
  <c r="AE247" i="278"/>
  <c r="AE56" i="273"/>
  <c r="AA97" i="278"/>
  <c r="AE30" i="289"/>
  <c r="AD16" i="307"/>
  <c r="AD28" i="310"/>
  <c r="AG208" i="288"/>
  <c r="AG183" i="288"/>
  <c r="AG2" i="307"/>
  <c r="AG2" i="305"/>
  <c r="AG2" i="306"/>
  <c r="AG147" i="288"/>
  <c r="AG2" i="309"/>
  <c r="AG26" i="305"/>
  <c r="AG27" i="305"/>
  <c r="AG31" i="305"/>
  <c r="AH32" i="305"/>
  <c r="AH34" i="305"/>
  <c r="AH35" i="305"/>
  <c r="AH4" i="305"/>
  <c r="AG58" i="288"/>
  <c r="AG33" i="288"/>
  <c r="AG34" i="311"/>
  <c r="AG2" i="310"/>
  <c r="Y272" i="288"/>
  <c r="Y122" i="288"/>
  <c r="Y114" i="288"/>
  <c r="Y264" i="288"/>
  <c r="AC12" i="307"/>
  <c r="AC24" i="310"/>
  <c r="X172" i="278"/>
  <c r="X27" i="328"/>
  <c r="X163" i="278"/>
  <c r="X164" i="278"/>
  <c r="X168" i="278"/>
  <c r="X167" i="278"/>
  <c r="AB3" i="286"/>
  <c r="AB3" i="265"/>
  <c r="AB3" i="321"/>
  <c r="AB3" i="275"/>
  <c r="AB4" i="328"/>
  <c r="AB47" i="273"/>
  <c r="AB3" i="282"/>
  <c r="AB3" i="278"/>
  <c r="AB3" i="314"/>
  <c r="AB3" i="273"/>
  <c r="AB3" i="288"/>
  <c r="AB3" i="315"/>
  <c r="AB3" i="304"/>
  <c r="AB3" i="289"/>
  <c r="AB3" i="285"/>
  <c r="AE40" i="305"/>
  <c r="AD658" i="321"/>
  <c r="AD602" i="321"/>
  <c r="AB253" i="306"/>
  <c r="AD589" i="321"/>
  <c r="AD590" i="321"/>
  <c r="AD259" i="278"/>
  <c r="AD117" i="314"/>
  <c r="AD55" i="273"/>
  <c r="AD38" i="314"/>
  <c r="AD122" i="273"/>
  <c r="AD124" i="273"/>
  <c r="AD28" i="314"/>
  <c r="AD261" i="273"/>
  <c r="AD263" i="273"/>
  <c r="Z154" i="278"/>
  <c r="AD53" i="273"/>
  <c r="AD57" i="273"/>
  <c r="AD75" i="273"/>
  <c r="AE76" i="273"/>
  <c r="AE566" i="321"/>
  <c r="AE109" i="273"/>
  <c r="AF110" i="273"/>
  <c r="AE637" i="321"/>
  <c r="AE92" i="286"/>
  <c r="AE292" i="278"/>
  <c r="AE16" i="288"/>
  <c r="AE17" i="288"/>
  <c r="AE162" i="278"/>
  <c r="AE623" i="321"/>
  <c r="AE110" i="286"/>
  <c r="AE268" i="278"/>
  <c r="AE212" i="278"/>
  <c r="AE11" i="282"/>
  <c r="AE187" i="278"/>
  <c r="AE15" i="286"/>
  <c r="AE552" i="321"/>
  <c r="AE33" i="286"/>
  <c r="AC22" i="315"/>
  <c r="AC59" i="315"/>
  <c r="AC61" i="265"/>
  <c r="AC24" i="265"/>
  <c r="AB51" i="321"/>
  <c r="AB259" i="288"/>
  <c r="AB161" i="288"/>
  <c r="AB80" i="288"/>
  <c r="AB86" i="288"/>
  <c r="AB217" i="288"/>
  <c r="AB167" i="288"/>
  <c r="AB109" i="288"/>
  <c r="AB241" i="288"/>
  <c r="AB45" i="321"/>
  <c r="AB67" i="288"/>
  <c r="AB217" i="273"/>
  <c r="AA218" i="273"/>
  <c r="AB91" i="288"/>
  <c r="AB236" i="288"/>
  <c r="AB230" i="288"/>
  <c r="X10" i="315"/>
  <c r="X11" i="315"/>
  <c r="X10" i="265"/>
  <c r="W11" i="315"/>
  <c r="AB39" i="321"/>
  <c r="AB41" i="321"/>
  <c r="AB44" i="321"/>
  <c r="AC17" i="314"/>
  <c r="AC603" i="321"/>
  <c r="AC540" i="321"/>
  <c r="AC694" i="321"/>
  <c r="AC551" i="321"/>
  <c r="AC283" i="278"/>
  <c r="AC617" i="321"/>
  <c r="AC319" i="278"/>
  <c r="AC31" i="289"/>
  <c r="AC32" i="289"/>
  <c r="AC37" i="289"/>
  <c r="AC39" i="289"/>
  <c r="AD39" i="289"/>
  <c r="AC136" i="314"/>
  <c r="AC581" i="321"/>
  <c r="AC659" i="321"/>
  <c r="AC129" i="314"/>
  <c r="AC565" i="321"/>
  <c r="AC179" i="278"/>
  <c r="AC701" i="321"/>
  <c r="AC708" i="321"/>
  <c r="AC104" i="314"/>
  <c r="AC644" i="321"/>
  <c r="AC246" i="278"/>
  <c r="AC453" i="321"/>
  <c r="AC50" i="314"/>
  <c r="AC57" i="314"/>
  <c r="AC148" i="278"/>
  <c r="AC204" i="278"/>
  <c r="AC306" i="278"/>
  <c r="AC239" i="278"/>
  <c r="AC230" i="278"/>
  <c r="AC573" i="321"/>
  <c r="AC713" i="321"/>
  <c r="AC100" i="278"/>
  <c r="AC652" i="321"/>
  <c r="AC622" i="321"/>
  <c r="AC497" i="321"/>
  <c r="AC545" i="321"/>
  <c r="AC63" i="286"/>
  <c r="AC675" i="321"/>
  <c r="AC636" i="321"/>
  <c r="AA98" i="278"/>
  <c r="P224" i="278"/>
  <c r="P225" i="278"/>
  <c r="P220" i="278"/>
  <c r="P44" i="265" s="1"/>
  <c r="AL674" i="307"/>
  <c r="AL619" i="307"/>
  <c r="AL221" i="307"/>
  <c r="AL669" i="307"/>
  <c r="AL664" i="307"/>
  <c r="AL644" i="307"/>
  <c r="AL246" i="306"/>
  <c r="AL262" i="306"/>
  <c r="AL267" i="306"/>
  <c r="AL614" i="307"/>
  <c r="AL649" i="307"/>
  <c r="AL629" i="307"/>
  <c r="AL277" i="306"/>
  <c r="AL624" i="307"/>
  <c r="AL240" i="306"/>
  <c r="AL252" i="306"/>
  <c r="AI12" i="328"/>
  <c r="AC24" i="314"/>
  <c r="AC172" i="314"/>
  <c r="AC36" i="285"/>
  <c r="AC111" i="314"/>
  <c r="AC11" i="321"/>
  <c r="AC123" i="314"/>
  <c r="AC44" i="314"/>
  <c r="AC89" i="314"/>
  <c r="AC40" i="321"/>
  <c r="AH40" i="305"/>
  <c r="Y181" i="288"/>
  <c r="AC214" i="273"/>
  <c r="AC259" i="288"/>
  <c r="AA154" i="278"/>
  <c r="AA217" i="278"/>
  <c r="AC72" i="321"/>
  <c r="AC79" i="321"/>
  <c r="AG39" i="305"/>
  <c r="AA101" i="278"/>
  <c r="AA104" i="278"/>
  <c r="AA105" i="278"/>
  <c r="AA188" i="278"/>
  <c r="AA189" i="278"/>
  <c r="AA193" i="278"/>
  <c r="AJ48" i="273"/>
  <c r="AE42" i="305"/>
  <c r="AE49" i="305"/>
  <c r="AE50" i="305"/>
  <c r="AG25" i="310"/>
  <c r="AB46" i="321"/>
  <c r="AB48" i="321"/>
  <c r="AL668" i="307"/>
  <c r="AL102" i="314"/>
  <c r="AL220" i="307"/>
  <c r="AL663" i="307"/>
  <c r="AL256" i="306"/>
  <c r="AL648" i="307"/>
  <c r="AL233" i="306"/>
  <c r="AL239" i="306"/>
  <c r="AL623" i="307"/>
  <c r="AL673" i="307"/>
  <c r="AL5" i="328"/>
  <c r="AL245" i="306"/>
  <c r="AL607" i="307"/>
  <c r="AL276" i="306"/>
  <c r="AL618" i="307"/>
  <c r="AL251" i="306"/>
  <c r="AL228" i="288"/>
  <c r="AL643" i="307"/>
  <c r="AL628" i="307"/>
  <c r="AL261" i="306"/>
  <c r="AL266" i="306"/>
  <c r="AL84" i="288"/>
  <c r="AL613" i="307"/>
  <c r="AL234" i="288"/>
  <c r="AL5" i="265"/>
  <c r="AL5" i="275"/>
  <c r="AL5" i="304"/>
  <c r="AL5" i="314"/>
  <c r="AL271" i="306"/>
  <c r="AL5" i="277"/>
  <c r="AL5" i="321"/>
  <c r="AL5" i="278"/>
  <c r="AL5" i="286"/>
  <c r="AL5" i="309"/>
  <c r="AL5" i="288"/>
  <c r="AL5" i="285"/>
  <c r="AL5" i="289"/>
  <c r="AL5" i="315"/>
  <c r="AL5" i="282"/>
  <c r="AL5" i="273"/>
  <c r="AL78" i="288"/>
  <c r="AK44" i="273"/>
  <c r="AK45" i="273"/>
  <c r="AK133" i="288"/>
  <c r="AK38" i="289"/>
  <c r="AK23" i="288"/>
  <c r="AB162" i="288"/>
  <c r="AB171" i="288"/>
  <c r="Z18" i="328"/>
  <c r="Z98" i="278"/>
  <c r="Z101" i="278"/>
  <c r="Z104" i="278"/>
  <c r="Z105" i="278"/>
  <c r="Z122" i="288"/>
  <c r="Z114" i="288"/>
  <c r="Z264" i="288"/>
  <c r="Z272" i="288"/>
  <c r="AA17" i="328"/>
  <c r="AF278" i="307"/>
  <c r="AF279" i="307"/>
  <c r="AF287" i="307"/>
  <c r="AH115" i="305"/>
  <c r="Y163" i="278"/>
  <c r="Y164" i="278"/>
  <c r="Y168" i="278"/>
  <c r="Y11" i="265"/>
  <c r="Y32" i="328"/>
  <c r="Y172" i="278"/>
  <c r="Y167" i="278"/>
  <c r="Y27" i="328"/>
  <c r="Z278" i="306"/>
  <c r="Z18" i="307"/>
  <c r="Z30" i="310"/>
  <c r="X11" i="265"/>
  <c r="X32" i="328"/>
  <c r="AB91" i="278"/>
  <c r="AF151" i="321"/>
  <c r="AF161" i="273"/>
  <c r="AB90" i="278"/>
  <c r="AD63" i="273"/>
  <c r="AD64" i="273"/>
  <c r="AI2" i="328"/>
  <c r="AH26" i="305"/>
  <c r="AH27" i="305"/>
  <c r="AH31" i="305"/>
  <c r="AI32" i="305"/>
  <c r="AI34" i="305"/>
  <c r="AI35" i="305"/>
  <c r="AI4" i="305"/>
  <c r="AH183" i="288"/>
  <c r="AH2" i="307"/>
  <c r="AH2" i="309"/>
  <c r="AH2" i="306"/>
  <c r="AH58" i="288"/>
  <c r="AH147" i="288"/>
  <c r="AH33" i="288"/>
  <c r="AH2" i="310"/>
  <c r="AH208" i="288"/>
  <c r="AH2" i="305"/>
  <c r="AH34" i="311"/>
  <c r="AF40" i="305"/>
  <c r="AE124" i="273"/>
  <c r="AD16" i="285"/>
  <c r="AE105" i="282"/>
  <c r="AE37" i="282"/>
  <c r="AE591" i="321"/>
  <c r="AC241" i="288"/>
  <c r="AC67" i="288"/>
  <c r="AE263" i="321"/>
  <c r="AE201" i="273"/>
  <c r="AE203" i="273"/>
  <c r="AG36" i="289"/>
  <c r="AA163" i="278"/>
  <c r="AA164" i="278"/>
  <c r="AA168" i="278"/>
  <c r="AD230" i="278"/>
  <c r="AD581" i="321"/>
  <c r="AD675" i="321"/>
  <c r="AD179" i="278"/>
  <c r="AD617" i="321"/>
  <c r="AD246" i="278"/>
  <c r="AD652" i="321"/>
  <c r="AD306" i="278"/>
  <c r="AD50" i="314"/>
  <c r="AD16" i="289"/>
  <c r="AD17" i="289"/>
  <c r="AD22" i="289"/>
  <c r="AD694" i="321"/>
  <c r="AD565" i="321"/>
  <c r="AD239" i="278"/>
  <c r="AD622" i="321"/>
  <c r="AD31" i="289"/>
  <c r="AD32" i="289"/>
  <c r="AD37" i="289"/>
  <c r="AD551" i="321"/>
  <c r="AD283" i="278"/>
  <c r="AD136" i="314"/>
  <c r="AD148" i="278"/>
  <c r="AD100" i="278"/>
  <c r="AD319" i="278"/>
  <c r="AD47" i="289"/>
  <c r="AD48" i="289"/>
  <c r="AD53" i="289"/>
  <c r="AD63" i="286"/>
  <c r="AD17" i="314"/>
  <c r="AD573" i="321"/>
  <c r="AD540" i="321"/>
  <c r="AD644" i="321"/>
  <c r="AD129" i="314"/>
  <c r="AD701" i="321"/>
  <c r="AD708" i="321"/>
  <c r="AD603" i="321"/>
  <c r="AD104" i="314"/>
  <c r="AD204" i="278"/>
  <c r="AD636" i="321"/>
  <c r="AD497" i="321"/>
  <c r="AD57" i="314"/>
  <c r="AD545" i="321"/>
  <c r="AD713" i="321"/>
  <c r="AD659" i="321"/>
  <c r="AD453" i="321"/>
  <c r="AD12" i="307"/>
  <c r="AD24" i="310"/>
  <c r="AE272" i="278"/>
  <c r="AE39" i="314"/>
  <c r="AE85" i="273"/>
  <c r="AE296" i="278"/>
  <c r="AE118" i="314"/>
  <c r="AE79" i="314"/>
  <c r="AE19" i="282"/>
  <c r="AE158" i="314"/>
  <c r="AE15" i="275"/>
  <c r="AE20" i="275"/>
  <c r="AF17" i="275"/>
  <c r="AA272" i="288"/>
  <c r="AA122" i="288"/>
  <c r="AA114" i="288"/>
  <c r="AA264" i="288"/>
  <c r="AF75" i="273"/>
  <c r="AG76" i="273"/>
  <c r="AF53" i="273"/>
  <c r="AF240" i="278"/>
  <c r="AF247" i="278"/>
  <c r="AF56" i="273"/>
  <c r="AD105" i="282"/>
  <c r="AD591" i="321"/>
  <c r="AD37" i="282"/>
  <c r="AF4" i="275"/>
  <c r="AF4" i="285"/>
  <c r="AF4" i="278"/>
  <c r="AF4" i="309"/>
  <c r="AF4" i="304"/>
  <c r="AF4" i="307"/>
  <c r="AF4" i="286"/>
  <c r="AF4" i="288"/>
  <c r="AF4" i="315"/>
  <c r="AF4" i="282"/>
  <c r="AF11" i="328"/>
  <c r="AF4" i="314"/>
  <c r="AF4" i="321"/>
  <c r="AF4" i="306"/>
  <c r="AF4" i="273"/>
  <c r="AF4" i="310"/>
  <c r="AF4" i="289"/>
  <c r="AG40" i="305"/>
  <c r="AF14" i="307"/>
  <c r="AF26" i="310"/>
  <c r="AF54" i="273"/>
  <c r="AF84" i="273"/>
  <c r="AB152" i="278"/>
  <c r="AB29" i="328"/>
  <c r="AE27" i="310"/>
  <c r="AE286" i="307"/>
  <c r="AE278" i="307"/>
  <c r="AE279" i="307"/>
  <c r="AE287" i="307"/>
  <c r="AE15" i="307"/>
  <c r="AB97" i="278"/>
  <c r="AF259" i="273"/>
  <c r="AG154" i="273"/>
  <c r="AG155" i="273"/>
  <c r="AG71" i="273"/>
  <c r="AG2" i="304"/>
  <c r="AG34" i="288"/>
  <c r="AG184" i="288"/>
  <c r="AG2" i="286"/>
  <c r="AG2" i="288"/>
  <c r="AG258" i="273"/>
  <c r="AG2" i="275"/>
  <c r="AG2" i="314"/>
  <c r="AG198" i="273"/>
  <c r="AG199" i="273"/>
  <c r="AG202" i="273"/>
  <c r="AG2" i="265"/>
  <c r="AG2" i="289"/>
  <c r="AG2" i="273"/>
  <c r="AG2" i="315"/>
  <c r="AG2" i="321"/>
  <c r="AG2" i="285"/>
  <c r="AG59" i="288"/>
  <c r="AG2" i="278"/>
  <c r="AG119" i="273"/>
  <c r="AG120" i="273"/>
  <c r="AG123" i="273"/>
  <c r="AG158" i="273"/>
  <c r="AG159" i="273"/>
  <c r="AG162" i="273"/>
  <c r="AG3" i="328"/>
  <c r="AG8" i="328"/>
  <c r="AG148" i="288"/>
  <c r="AG209" i="288"/>
  <c r="AG2" i="282"/>
  <c r="AG38" i="311"/>
  <c r="AG194" i="273"/>
  <c r="AG195" i="273"/>
  <c r="AG49" i="273"/>
  <c r="AE161" i="273"/>
  <c r="AE163" i="273"/>
  <c r="AE151" i="321"/>
  <c r="AE203" i="288"/>
  <c r="AE53" i="288"/>
  <c r="AE178" i="288"/>
  <c r="AE28" i="288"/>
  <c r="AE84" i="273"/>
  <c r="AE86" i="273"/>
  <c r="AE54" i="273"/>
  <c r="AE57" i="273"/>
  <c r="AF16" i="307"/>
  <c r="AF28" i="310"/>
  <c r="AC147" i="278"/>
  <c r="AC149" i="278"/>
  <c r="Z217" i="278"/>
  <c r="Z155" i="278"/>
  <c r="Z213" i="278"/>
  <c r="Z214" i="278"/>
  <c r="Z218" i="278"/>
  <c r="Z223" i="278"/>
  <c r="AB30" i="328"/>
  <c r="AB153" i="278"/>
  <c r="AD286" i="307"/>
  <c r="AD27" i="310"/>
  <c r="AD278" i="307"/>
  <c r="AD279" i="307"/>
  <c r="AD287" i="307"/>
  <c r="AD15" i="307"/>
  <c r="AI103" i="305"/>
  <c r="AI104" i="305"/>
  <c r="AI113" i="305"/>
  <c r="AI115" i="305"/>
  <c r="AI107" i="305"/>
  <c r="AI108" i="305"/>
  <c r="AI112" i="305"/>
  <c r="AE13" i="307"/>
  <c r="AE25" i="310"/>
  <c r="AE14" i="307"/>
  <c r="AE26" i="310"/>
  <c r="AC3" i="314"/>
  <c r="AC47" i="273"/>
  <c r="AC3" i="288"/>
  <c r="AC4" i="328"/>
  <c r="AC3" i="321"/>
  <c r="AC3" i="278"/>
  <c r="AC3" i="275"/>
  <c r="AC3" i="285"/>
  <c r="AC3" i="315"/>
  <c r="AC3" i="273"/>
  <c r="AC3" i="265"/>
  <c r="AC3" i="286"/>
  <c r="AC3" i="304"/>
  <c r="AC3" i="282"/>
  <c r="AC3" i="289"/>
  <c r="AD212" i="273"/>
  <c r="AD141" i="321"/>
  <c r="AD147" i="321"/>
  <c r="AD155" i="321"/>
  <c r="AD130" i="321"/>
  <c r="AD165" i="321"/>
  <c r="AD70" i="321"/>
  <c r="Z17" i="328"/>
  <c r="AF211" i="278"/>
  <c r="AF161" i="278"/>
  <c r="AF598" i="321"/>
  <c r="AF599" i="321"/>
  <c r="AF650" i="321"/>
  <c r="AF707" i="321"/>
  <c r="AF579" i="321"/>
  <c r="AF186" i="278"/>
  <c r="AF162" i="278"/>
  <c r="AF552" i="321"/>
  <c r="AF623" i="321"/>
  <c r="AF33" i="286"/>
  <c r="AF268" i="278"/>
  <c r="AF110" i="286"/>
  <c r="AF109" i="273"/>
  <c r="AG110" i="273"/>
  <c r="AF92" i="286"/>
  <c r="AF11" i="282"/>
  <c r="AF637" i="321"/>
  <c r="AF212" i="278"/>
  <c r="AF16" i="288"/>
  <c r="AF17" i="288"/>
  <c r="AF566" i="321"/>
  <c r="AF187" i="278"/>
  <c r="AF15" i="286"/>
  <c r="AF292" i="278"/>
  <c r="Y9" i="315"/>
  <c r="Y11" i="315"/>
  <c r="Y192" i="278"/>
  <c r="Y188" i="278"/>
  <c r="Y189" i="278"/>
  <c r="Y193" i="278"/>
  <c r="Y197" i="278"/>
  <c r="AC253" i="306"/>
  <c r="AD3" i="309"/>
  <c r="AD3" i="310"/>
  <c r="AD3" i="305"/>
  <c r="AD3" i="307"/>
  <c r="AD3" i="306"/>
  <c r="AC39" i="321"/>
  <c r="AC41" i="321"/>
  <c r="AC44" i="321"/>
  <c r="AC263" i="306"/>
  <c r="AD17" i="307"/>
  <c r="AD29" i="310"/>
  <c r="AF296" i="278"/>
  <c r="AF15" i="275"/>
  <c r="AF19" i="282"/>
  <c r="AF158" i="314"/>
  <c r="AF39" i="314"/>
  <c r="AF118" i="314"/>
  <c r="AF79" i="314"/>
  <c r="AF85" i="273"/>
  <c r="AF272" i="278"/>
  <c r="AE602" i="321"/>
  <c r="AE658" i="321"/>
  <c r="AF286" i="307"/>
  <c r="AF25" i="310"/>
  <c r="AF13" i="307"/>
  <c r="AC268" i="306"/>
  <c r="AF46" i="289"/>
  <c r="AF30" i="289"/>
  <c r="AF15" i="289"/>
  <c r="AE263" i="273"/>
  <c r="AF195" i="273"/>
  <c r="AD131" i="321"/>
  <c r="AD259" i="321"/>
  <c r="AD71" i="321"/>
  <c r="AD267" i="321"/>
  <c r="AD213" i="273"/>
  <c r="AD277" i="321"/>
  <c r="AD253" i="321"/>
  <c r="AD24" i="314"/>
  <c r="AD36" i="285"/>
  <c r="AD172" i="314"/>
  <c r="AD111" i="314"/>
  <c r="AD123" i="314"/>
  <c r="AD40" i="321"/>
  <c r="AD11" i="321"/>
  <c r="AD44" i="314"/>
  <c r="AD89" i="314"/>
  <c r="V9" i="310"/>
  <c r="V283" i="307"/>
  <c r="Z15" i="310"/>
  <c r="P229" i="278"/>
  <c r="P231" i="278"/>
  <c r="Q222" i="278"/>
  <c r="P116" i="265"/>
  <c r="P254" i="278"/>
  <c r="P112" i="315"/>
  <c r="AM664" i="307"/>
  <c r="AM644" i="307"/>
  <c r="AM674" i="307"/>
  <c r="AM619" i="307"/>
  <c r="AM221" i="307"/>
  <c r="AM669" i="307"/>
  <c r="AM267" i="306"/>
  <c r="AM246" i="306"/>
  <c r="AM262" i="306"/>
  <c r="AM649" i="307"/>
  <c r="AM629" i="307"/>
  <c r="AM277" i="306"/>
  <c r="AM614" i="307"/>
  <c r="AM624" i="307"/>
  <c r="AM240" i="306"/>
  <c r="AM252" i="306"/>
  <c r="AE24" i="314"/>
  <c r="AE36" i="285"/>
  <c r="AE172" i="314"/>
  <c r="AE111" i="314"/>
  <c r="AE123" i="314"/>
  <c r="AE40" i="321"/>
  <c r="AE44" i="314"/>
  <c r="AE11" i="321"/>
  <c r="AE89" i="314"/>
  <c r="AJ12" i="328"/>
  <c r="P42" i="315"/>
  <c r="AA213" i="278"/>
  <c r="AA214" i="278"/>
  <c r="AA218" i="278"/>
  <c r="AA223" i="278"/>
  <c r="AF42" i="305"/>
  <c r="AG42" i="305"/>
  <c r="AG49" i="305"/>
  <c r="AG50" i="305"/>
  <c r="AG3" i="310"/>
  <c r="AA155" i="278"/>
  <c r="AA10" i="315"/>
  <c r="AC51" i="321"/>
  <c r="AA167" i="278"/>
  <c r="AC217" i="273"/>
  <c r="AB218" i="273"/>
  <c r="AB264" i="288"/>
  <c r="AA197" i="278"/>
  <c r="AF15" i="307"/>
  <c r="AC230" i="288"/>
  <c r="AC161" i="288"/>
  <c r="AC162" i="288"/>
  <c r="AC171" i="288"/>
  <c r="AC80" i="288"/>
  <c r="AC45" i="321"/>
  <c r="AC46" i="321"/>
  <c r="AC48" i="321"/>
  <c r="AA9" i="315"/>
  <c r="AC86" i="288"/>
  <c r="AC109" i="288"/>
  <c r="AC236" i="288"/>
  <c r="AC217" i="288"/>
  <c r="AF27" i="310"/>
  <c r="AC167" i="288"/>
  <c r="AC91" i="288"/>
  <c r="AH14" i="307"/>
  <c r="AG14" i="307"/>
  <c r="AK48" i="273"/>
  <c r="AG26" i="310"/>
  <c r="AA278" i="306"/>
  <c r="AG13" i="307"/>
  <c r="AK9" i="328"/>
  <c r="AK12" i="328"/>
  <c r="AH39" i="305"/>
  <c r="AA30" i="310"/>
  <c r="AH13" i="307"/>
  <c r="AA18" i="307"/>
  <c r="AA192" i="278"/>
  <c r="AA27" i="328"/>
  <c r="AA172" i="278"/>
  <c r="AL38" i="289"/>
  <c r="AL133" i="288"/>
  <c r="AL44" i="273"/>
  <c r="AL45" i="273"/>
  <c r="AL48" i="273"/>
  <c r="AL23" i="288"/>
  <c r="AM663" i="307"/>
  <c r="AM102" i="314"/>
  <c r="AM220" i="307"/>
  <c r="AM245" i="306"/>
  <c r="AM256" i="306"/>
  <c r="AM668" i="307"/>
  <c r="AM643" i="307"/>
  <c r="AM276" i="306"/>
  <c r="AM618" i="307"/>
  <c r="AM228" i="288"/>
  <c r="AM613" i="307"/>
  <c r="AM261" i="306"/>
  <c r="AM239" i="306"/>
  <c r="AM607" i="307"/>
  <c r="AM233" i="306"/>
  <c r="AM271" i="306"/>
  <c r="AM266" i="306"/>
  <c r="AM251" i="306"/>
  <c r="AM648" i="307"/>
  <c r="AM623" i="307"/>
  <c r="AM673" i="307"/>
  <c r="AM78" i="288"/>
  <c r="AM84" i="288"/>
  <c r="AM5" i="328"/>
  <c r="AM628" i="307"/>
  <c r="AM234" i="288"/>
  <c r="AM5" i="265"/>
  <c r="AM5" i="321"/>
  <c r="AM5" i="304"/>
  <c r="AM5" i="273"/>
  <c r="AM5" i="288"/>
  <c r="AM5" i="285"/>
  <c r="AM5" i="286"/>
  <c r="AM5" i="315"/>
  <c r="AM5" i="277"/>
  <c r="AM5" i="309"/>
  <c r="AM5" i="314"/>
  <c r="AM5" i="275"/>
  <c r="AM5" i="278"/>
  <c r="AM5" i="289"/>
  <c r="AM5" i="282"/>
  <c r="Y15" i="310"/>
  <c r="Z92" i="306"/>
  <c r="Z93" i="306"/>
  <c r="Z24" i="288"/>
  <c r="Z25" i="288"/>
  <c r="Z188" i="278"/>
  <c r="Z189" i="278"/>
  <c r="Z193" i="278"/>
  <c r="Z192" i="278"/>
  <c r="Z197" i="278"/>
  <c r="Z9" i="315"/>
  <c r="AF20" i="275"/>
  <c r="AG17" i="275"/>
  <c r="AB92" i="278"/>
  <c r="AE147" i="321"/>
  <c r="AE165" i="321"/>
  <c r="AE70" i="321"/>
  <c r="AF163" i="273"/>
  <c r="AE130" i="321"/>
  <c r="AE212" i="273"/>
  <c r="AE141" i="321"/>
  <c r="AE155" i="321"/>
  <c r="AD253" i="306"/>
  <c r="AI183" i="288"/>
  <c r="AI2" i="310"/>
  <c r="AI2" i="309"/>
  <c r="AI26" i="305"/>
  <c r="AI27" i="305"/>
  <c r="AI31" i="305"/>
  <c r="AJ32" i="305"/>
  <c r="AJ34" i="305"/>
  <c r="AJ35" i="305"/>
  <c r="AJ4" i="305"/>
  <c r="AI147" i="288"/>
  <c r="AI2" i="306"/>
  <c r="AI2" i="307"/>
  <c r="AI33" i="288"/>
  <c r="AI58" i="288"/>
  <c r="AI2" i="305"/>
  <c r="AI208" i="288"/>
  <c r="AI34" i="311"/>
  <c r="AC90" i="278"/>
  <c r="AF674" i="321"/>
  <c r="AF262" i="273"/>
  <c r="AG30" i="289"/>
  <c r="AE24" i="265"/>
  <c r="AE59" i="315"/>
  <c r="AE22" i="315"/>
  <c r="AE61" i="265"/>
  <c r="AE16" i="285"/>
  <c r="AH89" i="305"/>
  <c r="AI90" i="305"/>
  <c r="AI41" i="305"/>
  <c r="AH105" i="306"/>
  <c r="AH100" i="306"/>
  <c r="AG161" i="273"/>
  <c r="AG151" i="321"/>
  <c r="AA92" i="306"/>
  <c r="AA93" i="306"/>
  <c r="AA24" i="288"/>
  <c r="AA25" i="288"/>
  <c r="AF53" i="288"/>
  <c r="AF203" i="288"/>
  <c r="AF28" i="288"/>
  <c r="AF178" i="288"/>
  <c r="AD214" i="273"/>
  <c r="Z10" i="265"/>
  <c r="Z10" i="315"/>
  <c r="AC30" i="328"/>
  <c r="AC153" i="278"/>
  <c r="AG84" i="273"/>
  <c r="AG54" i="273"/>
  <c r="AC97" i="278"/>
  <c r="AD3" i="273"/>
  <c r="AD3" i="278"/>
  <c r="AD3" i="315"/>
  <c r="AD3" i="285"/>
  <c r="AD4" i="328"/>
  <c r="AD3" i="265"/>
  <c r="AD3" i="282"/>
  <c r="AD3" i="289"/>
  <c r="AD3" i="314"/>
  <c r="AD3" i="304"/>
  <c r="AD3" i="275"/>
  <c r="AD3" i="286"/>
  <c r="AD3" i="288"/>
  <c r="AD47" i="273"/>
  <c r="AD3" i="321"/>
  <c r="AF201" i="273"/>
  <c r="AF203" i="273"/>
  <c r="AF263" i="321"/>
  <c r="AD268" i="306"/>
  <c r="Z172" i="278"/>
  <c r="Z27" i="328"/>
  <c r="Z163" i="278"/>
  <c r="Z164" i="278"/>
  <c r="Z168" i="278"/>
  <c r="Z167" i="278"/>
  <c r="AG72" i="273"/>
  <c r="AE29" i="310"/>
  <c r="AE17" i="307"/>
  <c r="AE71" i="321"/>
  <c r="AE259" i="321"/>
  <c r="AE267" i="321"/>
  <c r="AE131" i="321"/>
  <c r="AE277" i="321"/>
  <c r="AE253" i="321"/>
  <c r="AE213" i="273"/>
  <c r="AG105" i="306"/>
  <c r="AG100" i="306"/>
  <c r="AG89" i="305"/>
  <c r="AH90" i="305"/>
  <c r="AH41" i="305"/>
  <c r="AG55" i="273"/>
  <c r="AG38" i="314"/>
  <c r="AG261" i="273"/>
  <c r="AG28" i="314"/>
  <c r="AG117" i="314"/>
  <c r="AG122" i="273"/>
  <c r="AG259" i="278"/>
  <c r="AG589" i="321"/>
  <c r="AG590" i="321"/>
  <c r="AH11" i="289"/>
  <c r="AH12" i="289"/>
  <c r="AH36" i="289"/>
  <c r="AG11" i="328"/>
  <c r="AG4" i="304"/>
  <c r="AG4" i="288"/>
  <c r="AG4" i="285"/>
  <c r="AG4" i="289"/>
  <c r="AG4" i="321"/>
  <c r="AG4" i="286"/>
  <c r="AG4" i="306"/>
  <c r="AG4" i="309"/>
  <c r="AG4" i="278"/>
  <c r="AG4" i="307"/>
  <c r="AG4" i="310"/>
  <c r="AG4" i="314"/>
  <c r="AG4" i="315"/>
  <c r="AG4" i="275"/>
  <c r="AG4" i="282"/>
  <c r="AG4" i="273"/>
  <c r="AD72" i="321"/>
  <c r="AD79" i="321"/>
  <c r="AJ103" i="305"/>
  <c r="AJ104" i="305"/>
  <c r="AJ113" i="305"/>
  <c r="AJ115" i="305"/>
  <c r="AJ107" i="305"/>
  <c r="AJ108" i="305"/>
  <c r="AJ112" i="305"/>
  <c r="AC152" i="278"/>
  <c r="AC29" i="328"/>
  <c r="AG161" i="278"/>
  <c r="AG650" i="321"/>
  <c r="AG707" i="321"/>
  <c r="AG598" i="321"/>
  <c r="AG599" i="321"/>
  <c r="AG579" i="321"/>
  <c r="AG211" i="278"/>
  <c r="AG186" i="278"/>
  <c r="AG16" i="288"/>
  <c r="AG17" i="288"/>
  <c r="AG162" i="278"/>
  <c r="AG637" i="321"/>
  <c r="AG110" i="286"/>
  <c r="AG109" i="273"/>
  <c r="AH110" i="273"/>
  <c r="AG212" i="278"/>
  <c r="AG268" i="278"/>
  <c r="AG623" i="321"/>
  <c r="AG33" i="286"/>
  <c r="AG292" i="278"/>
  <c r="AG11" i="282"/>
  <c r="AG552" i="321"/>
  <c r="AG187" i="278"/>
  <c r="AG92" i="286"/>
  <c r="AG566" i="321"/>
  <c r="AG15" i="286"/>
  <c r="AB154" i="278"/>
  <c r="AG259" i="273"/>
  <c r="AJ2" i="328"/>
  <c r="AJ10" i="289"/>
  <c r="AE3" i="309"/>
  <c r="AE3" i="305"/>
  <c r="AE3" i="310"/>
  <c r="AE3" i="306"/>
  <c r="AE3" i="307"/>
  <c r="AF55" i="273"/>
  <c r="AF38" i="314"/>
  <c r="AF259" i="278"/>
  <c r="AF117" i="314"/>
  <c r="AF28" i="314"/>
  <c r="AF122" i="273"/>
  <c r="AF124" i="273"/>
  <c r="AF261" i="273"/>
  <c r="AF263" i="273"/>
  <c r="AF589" i="321"/>
  <c r="AF590" i="321"/>
  <c r="AF57" i="273"/>
  <c r="AE63" i="273"/>
  <c r="AE64" i="273"/>
  <c r="AD263" i="306"/>
  <c r="AH258" i="273"/>
  <c r="AH259" i="273"/>
  <c r="AH194" i="273"/>
  <c r="AH195" i="273"/>
  <c r="AH3" i="328"/>
  <c r="AH8" i="328"/>
  <c r="AH2" i="288"/>
  <c r="AH2" i="278"/>
  <c r="AH2" i="321"/>
  <c r="AH148" i="288"/>
  <c r="AH2" i="282"/>
  <c r="AH38" i="311"/>
  <c r="AH119" i="273"/>
  <c r="AH120" i="273"/>
  <c r="AH123" i="273"/>
  <c r="AH154" i="273"/>
  <c r="AH155" i="273"/>
  <c r="AH59" i="288"/>
  <c r="AH2" i="273"/>
  <c r="AH49" i="273"/>
  <c r="AH2" i="314"/>
  <c r="AH2" i="285"/>
  <c r="AH158" i="273"/>
  <c r="AH159" i="273"/>
  <c r="AH162" i="273"/>
  <c r="AH34" i="288"/>
  <c r="AH71" i="273"/>
  <c r="AH198" i="273"/>
  <c r="AH199" i="273"/>
  <c r="AH202" i="273"/>
  <c r="AH209" i="288"/>
  <c r="AH184" i="288"/>
  <c r="AH2" i="315"/>
  <c r="AH2" i="289"/>
  <c r="AH2" i="286"/>
  <c r="AH2" i="265"/>
  <c r="AH2" i="275"/>
  <c r="AH2" i="304"/>
  <c r="AG247" i="278"/>
  <c r="AG240" i="278"/>
  <c r="AG56" i="273"/>
  <c r="AF602" i="321"/>
  <c r="AF658" i="321"/>
  <c r="AD147" i="278"/>
  <c r="AD149" i="278"/>
  <c r="AG263" i="321"/>
  <c r="AG201" i="273"/>
  <c r="AF86" i="273"/>
  <c r="AD61" i="265"/>
  <c r="AD59" i="315"/>
  <c r="AD24" i="265"/>
  <c r="AD22" i="315"/>
  <c r="AC91" i="278"/>
  <c r="AE694" i="321"/>
  <c r="AE551" i="321"/>
  <c r="AE603" i="321"/>
  <c r="AE540" i="321"/>
  <c r="AE246" i="278"/>
  <c r="AE204" i="278"/>
  <c r="AE659" i="321"/>
  <c r="AE497" i="321"/>
  <c r="AE129" i="314"/>
  <c r="AE63" i="286"/>
  <c r="AE675" i="321"/>
  <c r="AE100" i="278"/>
  <c r="AE57" i="314"/>
  <c r="AE708" i="321"/>
  <c r="AE565" i="321"/>
  <c r="AE179" i="278"/>
  <c r="AE701" i="321"/>
  <c r="AE622" i="321"/>
  <c r="AE283" i="278"/>
  <c r="AE617" i="321"/>
  <c r="AE306" i="278"/>
  <c r="AE31" i="289"/>
  <c r="AE32" i="289"/>
  <c r="AE37" i="289"/>
  <c r="AE39" i="289"/>
  <c r="AF39" i="289"/>
  <c r="AE148" i="278"/>
  <c r="AE104" i="314"/>
  <c r="AE453" i="321"/>
  <c r="AE17" i="314"/>
  <c r="AE573" i="321"/>
  <c r="AE713" i="321"/>
  <c r="AE239" i="278"/>
  <c r="AE230" i="278"/>
  <c r="AE636" i="321"/>
  <c r="AE644" i="321"/>
  <c r="AE319" i="278"/>
  <c r="AE50" i="314"/>
  <c r="AE136" i="314"/>
  <c r="AE581" i="321"/>
  <c r="AE652" i="321"/>
  <c r="AE545" i="321"/>
  <c r="AD39" i="321"/>
  <c r="AD41" i="321"/>
  <c r="AD44" i="321"/>
  <c r="AE24" i="310"/>
  <c r="AE12" i="307"/>
  <c r="AN669" i="307"/>
  <c r="AN664" i="307"/>
  <c r="AN644" i="307"/>
  <c r="AN674" i="307"/>
  <c r="AN619" i="307"/>
  <c r="AN221" i="307"/>
  <c r="AN267" i="306"/>
  <c r="AN246" i="306"/>
  <c r="AN262" i="306"/>
  <c r="AN649" i="307"/>
  <c r="AN629" i="307"/>
  <c r="AN277" i="306"/>
  <c r="AN614" i="307"/>
  <c r="AN240" i="306"/>
  <c r="AN252" i="306"/>
  <c r="AN624" i="307"/>
  <c r="Q228" i="278"/>
  <c r="Q216" i="278"/>
  <c r="Q219" i="278"/>
  <c r="P238" i="278"/>
  <c r="P245" i="278"/>
  <c r="P282" i="278"/>
  <c r="AH26" i="310"/>
  <c r="AA10" i="265"/>
  <c r="AA11" i="265"/>
  <c r="AA32" i="328"/>
  <c r="AI40" i="305"/>
  <c r="AF49" i="305"/>
  <c r="AF50" i="305"/>
  <c r="AF3" i="309"/>
  <c r="AI105" i="306"/>
  <c r="AB272" i="288"/>
  <c r="AI28" i="310"/>
  <c r="AI89" i="305"/>
  <c r="AJ90" i="305"/>
  <c r="AJ41" i="305"/>
  <c r="AB114" i="288"/>
  <c r="AA11" i="315"/>
  <c r="AG3" i="307"/>
  <c r="AB122" i="288"/>
  <c r="AH25" i="310"/>
  <c r="AG3" i="305"/>
  <c r="AH27" i="310"/>
  <c r="AH15" i="307"/>
  <c r="AH286" i="307"/>
  <c r="AH278" i="307"/>
  <c r="AH279" i="307"/>
  <c r="AH287" i="307"/>
  <c r="AL9" i="328"/>
  <c r="AL12" i="328"/>
  <c r="AH42" i="305"/>
  <c r="AH49" i="305"/>
  <c r="AH50" i="305"/>
  <c r="AH3" i="307"/>
  <c r="AI100" i="306"/>
  <c r="AG3" i="309"/>
  <c r="AG3" i="306"/>
  <c r="AN668" i="307"/>
  <c r="AN220" i="307"/>
  <c r="AN245" i="306"/>
  <c r="AN256" i="306"/>
  <c r="AN102" i="314"/>
  <c r="AN663" i="307"/>
  <c r="AN628" i="307"/>
  <c r="AN271" i="306"/>
  <c r="AN261" i="306"/>
  <c r="AN251" i="306"/>
  <c r="AN78" i="288"/>
  <c r="AN643" i="307"/>
  <c r="AN673" i="307"/>
  <c r="AN613" i="307"/>
  <c r="AN239" i="306"/>
  <c r="AN618" i="307"/>
  <c r="AN228" i="288"/>
  <c r="AN607" i="307"/>
  <c r="AN233" i="306"/>
  <c r="AN276" i="306"/>
  <c r="AN5" i="265"/>
  <c r="AN266" i="306"/>
  <c r="AN84" i="288"/>
  <c r="AN5" i="328"/>
  <c r="AN648" i="307"/>
  <c r="AN5" i="285"/>
  <c r="AN5" i="273"/>
  <c r="AN5" i="275"/>
  <c r="AN623" i="307"/>
  <c r="AN5" i="288"/>
  <c r="AN5" i="282"/>
  <c r="AN5" i="304"/>
  <c r="AN5" i="286"/>
  <c r="AN5" i="289"/>
  <c r="AN5" i="315"/>
  <c r="AN234" i="288"/>
  <c r="AN5" i="278"/>
  <c r="AN5" i="314"/>
  <c r="AN5" i="309"/>
  <c r="AN5" i="277"/>
  <c r="AN5" i="321"/>
  <c r="AM44" i="273"/>
  <c r="AM45" i="273"/>
  <c r="AM9" i="328"/>
  <c r="AM38" i="289"/>
  <c r="AM133" i="288"/>
  <c r="AM23" i="288"/>
  <c r="AE214" i="273"/>
  <c r="AE230" i="288"/>
  <c r="AB17" i="328"/>
  <c r="AB98" i="278"/>
  <c r="AB101" i="278"/>
  <c r="AB104" i="278"/>
  <c r="AB105" i="278"/>
  <c r="AB18" i="328"/>
  <c r="Z31" i="288"/>
  <c r="Z181" i="288"/>
  <c r="Z11" i="265"/>
  <c r="Z32" i="328"/>
  <c r="Z11" i="315"/>
  <c r="AD97" i="278"/>
  <c r="AC18" i="307"/>
  <c r="AD91" i="278"/>
  <c r="AF16" i="285"/>
  <c r="AG124" i="273"/>
  <c r="AD90" i="278"/>
  <c r="AD92" i="278"/>
  <c r="AD98" i="278"/>
  <c r="AD17" i="328"/>
  <c r="AH263" i="321"/>
  <c r="AH201" i="273"/>
  <c r="AE253" i="306"/>
  <c r="AD29" i="328"/>
  <c r="AD152" i="278"/>
  <c r="AH579" i="321"/>
  <c r="AH186" i="278"/>
  <c r="AH650" i="321"/>
  <c r="AH707" i="321"/>
  <c r="AH598" i="321"/>
  <c r="AH599" i="321"/>
  <c r="AH211" i="278"/>
  <c r="AH161" i="278"/>
  <c r="AG674" i="321"/>
  <c r="AG262" i="273"/>
  <c r="AH674" i="321"/>
  <c r="AH262" i="273"/>
  <c r="AJ33" i="288"/>
  <c r="AJ2" i="309"/>
  <c r="AJ34" i="311"/>
  <c r="AJ26" i="305"/>
  <c r="AJ27" i="305"/>
  <c r="AJ31" i="305"/>
  <c r="AK32" i="305"/>
  <c r="AK34" i="305"/>
  <c r="AK35" i="305"/>
  <c r="AK4" i="305"/>
  <c r="AJ2" i="310"/>
  <c r="AJ2" i="306"/>
  <c r="AJ147" i="288"/>
  <c r="AJ208" i="288"/>
  <c r="AJ58" i="288"/>
  <c r="AJ2" i="307"/>
  <c r="AJ183" i="288"/>
  <c r="AJ2" i="305"/>
  <c r="AH46" i="289"/>
  <c r="AH15" i="289"/>
  <c r="AH30" i="289"/>
  <c r="AG28" i="310"/>
  <c r="AG16" i="307"/>
  <c r="AF131" i="321"/>
  <c r="AF259" i="321"/>
  <c r="AF253" i="321"/>
  <c r="AF71" i="321"/>
  <c r="AF277" i="321"/>
  <c r="AG203" i="273"/>
  <c r="AF267" i="321"/>
  <c r="AF213" i="273"/>
  <c r="AG53" i="273"/>
  <c r="AG57" i="273"/>
  <c r="AG75" i="273"/>
  <c r="AH76" i="273"/>
  <c r="AH151" i="321"/>
  <c r="AH161" i="273"/>
  <c r="AD67" i="288"/>
  <c r="AD217" i="288"/>
  <c r="AD80" i="288"/>
  <c r="AD161" i="288"/>
  <c r="AD162" i="288"/>
  <c r="AD171" i="288"/>
  <c r="AD45" i="321"/>
  <c r="AD46" i="321"/>
  <c r="AD48" i="321"/>
  <c r="AD217" i="273"/>
  <c r="AC218" i="273"/>
  <c r="AD167" i="288"/>
  <c r="AD259" i="288"/>
  <c r="AD109" i="288"/>
  <c r="AD230" i="288"/>
  <c r="AD86" i="288"/>
  <c r="AD51" i="321"/>
  <c r="AD91" i="288"/>
  <c r="AD241" i="288"/>
  <c r="AD236" i="288"/>
  <c r="AF29" i="310"/>
  <c r="AF17" i="307"/>
  <c r="AI36" i="289"/>
  <c r="AH109" i="273"/>
  <c r="AI110" i="273"/>
  <c r="AH268" i="278"/>
  <c r="AH623" i="321"/>
  <c r="AH15" i="286"/>
  <c r="AH566" i="321"/>
  <c r="AH212" i="278"/>
  <c r="AH162" i="278"/>
  <c r="AH637" i="321"/>
  <c r="AH33" i="286"/>
  <c r="AH187" i="278"/>
  <c r="AH92" i="286"/>
  <c r="AH292" i="278"/>
  <c r="AH552" i="321"/>
  <c r="AH11" i="282"/>
  <c r="AH16" i="288"/>
  <c r="AH17" i="288"/>
  <c r="AH110" i="286"/>
  <c r="AE47" i="273"/>
  <c r="AE3" i="286"/>
  <c r="AE3" i="265"/>
  <c r="AE3" i="289"/>
  <c r="AE4" i="328"/>
  <c r="AE3" i="273"/>
  <c r="AE3" i="321"/>
  <c r="AE3" i="275"/>
  <c r="AE3" i="288"/>
  <c r="AE3" i="314"/>
  <c r="AE3" i="282"/>
  <c r="AE3" i="304"/>
  <c r="AE3" i="315"/>
  <c r="AE3" i="278"/>
  <c r="AE3" i="285"/>
  <c r="AB223" i="278"/>
  <c r="AB213" i="278"/>
  <c r="AB214" i="278"/>
  <c r="AB218" i="278"/>
  <c r="AB155" i="278"/>
  <c r="AB217" i="278"/>
  <c r="AH240" i="278"/>
  <c r="AH247" i="278"/>
  <c r="AH56" i="273"/>
  <c r="AG203" i="288"/>
  <c r="AG53" i="288"/>
  <c r="AG28" i="288"/>
  <c r="AG178" i="288"/>
  <c r="AC154" i="278"/>
  <c r="AG27" i="310"/>
  <c r="AG278" i="307"/>
  <c r="AG279" i="307"/>
  <c r="AG287" i="307"/>
  <c r="AG15" i="307"/>
  <c r="AG286" i="307"/>
  <c r="AG86" i="273"/>
  <c r="AA31" i="288"/>
  <c r="AA181" i="288"/>
  <c r="AC92" i="278"/>
  <c r="AF3" i="306"/>
  <c r="AF12" i="307"/>
  <c r="AF24" i="310"/>
  <c r="AF212" i="273"/>
  <c r="AF130" i="321"/>
  <c r="AF70" i="321"/>
  <c r="AF155" i="321"/>
  <c r="AG163" i="273"/>
  <c r="AF147" i="321"/>
  <c r="AF165" i="321"/>
  <c r="AF141" i="321"/>
  <c r="AI194" i="273"/>
  <c r="AI2" i="265"/>
  <c r="AI2" i="315"/>
  <c r="AI2" i="288"/>
  <c r="AI38" i="311"/>
  <c r="AI34" i="288"/>
  <c r="AI2" i="278"/>
  <c r="AI71" i="273"/>
  <c r="AI72" i="273"/>
  <c r="AI2" i="286"/>
  <c r="AI119" i="273"/>
  <c r="AI120" i="273"/>
  <c r="AI123" i="273"/>
  <c r="AI154" i="273"/>
  <c r="AI59" i="288"/>
  <c r="AI2" i="314"/>
  <c r="AI209" i="288"/>
  <c r="AI2" i="289"/>
  <c r="AI2" i="273"/>
  <c r="AI184" i="288"/>
  <c r="AI2" i="304"/>
  <c r="AI258" i="273"/>
  <c r="AI198" i="273"/>
  <c r="AI199" i="273"/>
  <c r="AI202" i="273"/>
  <c r="AI3" i="328"/>
  <c r="AI8" i="328"/>
  <c r="AI49" i="273"/>
  <c r="AI148" i="288"/>
  <c r="AI2" i="285"/>
  <c r="AI2" i="275"/>
  <c r="AI158" i="273"/>
  <c r="AI159" i="273"/>
  <c r="AI162" i="273"/>
  <c r="AI2" i="321"/>
  <c r="AI2" i="282"/>
  <c r="AE268" i="306"/>
  <c r="AF63" i="273"/>
  <c r="AF64" i="273"/>
  <c r="AK2" i="328"/>
  <c r="AH11" i="328"/>
  <c r="AH4" i="309"/>
  <c r="AH4" i="285"/>
  <c r="AH4" i="282"/>
  <c r="AH4" i="304"/>
  <c r="AH4" i="310"/>
  <c r="AH4" i="307"/>
  <c r="AH4" i="321"/>
  <c r="AH4" i="306"/>
  <c r="AH4" i="273"/>
  <c r="AH4" i="288"/>
  <c r="AH4" i="286"/>
  <c r="AH4" i="289"/>
  <c r="AH4" i="314"/>
  <c r="AH4" i="275"/>
  <c r="AH4" i="278"/>
  <c r="AH4" i="315"/>
  <c r="AG296" i="278"/>
  <c r="AG118" i="314"/>
  <c r="AG79" i="314"/>
  <c r="AG19" i="282"/>
  <c r="AG158" i="314"/>
  <c r="AG15" i="275"/>
  <c r="AG20" i="275"/>
  <c r="AH17" i="275"/>
  <c r="AG39" i="314"/>
  <c r="AG272" i="278"/>
  <c r="AG85" i="273"/>
  <c r="AK107" i="305"/>
  <c r="AK108" i="305"/>
  <c r="AK112" i="305"/>
  <c r="AK103" i="305"/>
  <c r="AK104" i="305"/>
  <c r="AK113" i="305"/>
  <c r="AK115" i="305"/>
  <c r="AG105" i="282"/>
  <c r="AG591" i="321"/>
  <c r="AG37" i="282"/>
  <c r="AE263" i="306"/>
  <c r="AE39" i="321"/>
  <c r="AE41" i="321"/>
  <c r="AE44" i="321"/>
  <c r="AF17" i="314"/>
  <c r="AF148" i="278"/>
  <c r="AF239" i="278"/>
  <c r="AF551" i="321"/>
  <c r="AF573" i="321"/>
  <c r="AF713" i="321"/>
  <c r="AF636" i="321"/>
  <c r="AF47" i="289"/>
  <c r="AF48" i="289"/>
  <c r="AF53" i="289"/>
  <c r="AF204" i="278"/>
  <c r="AF319" i="278"/>
  <c r="AF545" i="321"/>
  <c r="AF57" i="314"/>
  <c r="AF701" i="321"/>
  <c r="AF104" i="314"/>
  <c r="AF622" i="321"/>
  <c r="AF603" i="321"/>
  <c r="AF230" i="278"/>
  <c r="AF581" i="321"/>
  <c r="AF675" i="321"/>
  <c r="AF16" i="289"/>
  <c r="AF17" i="289"/>
  <c r="AF22" i="289"/>
  <c r="AF659" i="321"/>
  <c r="AF283" i="278"/>
  <c r="AF453" i="321"/>
  <c r="AF136" i="314"/>
  <c r="AF50" i="314"/>
  <c r="AF100" i="278"/>
  <c r="AF129" i="314"/>
  <c r="AF540" i="321"/>
  <c r="AF694" i="321"/>
  <c r="AF565" i="321"/>
  <c r="AF644" i="321"/>
  <c r="AF617" i="321"/>
  <c r="AF246" i="278"/>
  <c r="AF306" i="278"/>
  <c r="AF31" i="289"/>
  <c r="AF32" i="289"/>
  <c r="AF37" i="289"/>
  <c r="AF63" i="286"/>
  <c r="AF179" i="278"/>
  <c r="AF708" i="321"/>
  <c r="AF652" i="321"/>
  <c r="AF497" i="321"/>
  <c r="AE147" i="278"/>
  <c r="AE149" i="278"/>
  <c r="AD153" i="278"/>
  <c r="AD30" i="328"/>
  <c r="AI259" i="273"/>
  <c r="AF105" i="282"/>
  <c r="AF37" i="282"/>
  <c r="AF591" i="321"/>
  <c r="AG658" i="321"/>
  <c r="AG602" i="321"/>
  <c r="AG263" i="273"/>
  <c r="AH72" i="273"/>
  <c r="AB18" i="307"/>
  <c r="AB30" i="310"/>
  <c r="AB278" i="306"/>
  <c r="AH16" i="307"/>
  <c r="AH28" i="310"/>
  <c r="AA15" i="310"/>
  <c r="AE72" i="321"/>
  <c r="AE79" i="321"/>
  <c r="AI16" i="307"/>
  <c r="AF24" i="314"/>
  <c r="AF172" i="314"/>
  <c r="AF36" i="285"/>
  <c r="AF111" i="314"/>
  <c r="AF123" i="314"/>
  <c r="AF44" i="314"/>
  <c r="AF89" i="314"/>
  <c r="AF40" i="321"/>
  <c r="AF11" i="321"/>
  <c r="AH3" i="305"/>
  <c r="AH3" i="309"/>
  <c r="W283" i="307"/>
  <c r="W9" i="310"/>
  <c r="Q224" i="278"/>
  <c r="Q225" i="278"/>
  <c r="Q220" i="278"/>
  <c r="AO221" i="307"/>
  <c r="AO669" i="307"/>
  <c r="AO664" i="307"/>
  <c r="AO644" i="307"/>
  <c r="AO674" i="307"/>
  <c r="AO619" i="307"/>
  <c r="AO267" i="306"/>
  <c r="AO246" i="306"/>
  <c r="AO262" i="306"/>
  <c r="AO649" i="307"/>
  <c r="AO629" i="307"/>
  <c r="AO277" i="306"/>
  <c r="AO614" i="307"/>
  <c r="AO624" i="307"/>
  <c r="AO240" i="306"/>
  <c r="AO252" i="306"/>
  <c r="AF3" i="305"/>
  <c r="AH3" i="306"/>
  <c r="AF3" i="307"/>
  <c r="AF3" i="310"/>
  <c r="AH3" i="310"/>
  <c r="AJ100" i="306"/>
  <c r="AD18" i="328"/>
  <c r="AM48" i="273"/>
  <c r="AE241" i="288"/>
  <c r="AE86" i="288"/>
  <c r="AE109" i="288"/>
  <c r="AE217" i="273"/>
  <c r="AD218" i="273"/>
  <c r="AD272" i="288"/>
  <c r="AC278" i="306"/>
  <c r="AE91" i="288"/>
  <c r="AC30" i="310"/>
  <c r="AE67" i="288"/>
  <c r="AE80" i="288"/>
  <c r="AE217" i="288"/>
  <c r="AE161" i="288"/>
  <c r="AE162" i="288"/>
  <c r="AE171" i="288"/>
  <c r="AE167" i="288"/>
  <c r="AB27" i="328"/>
  <c r="AB167" i="278"/>
  <c r="AB172" i="278"/>
  <c r="AB163" i="278"/>
  <c r="AB164" i="278"/>
  <c r="AB168" i="278"/>
  <c r="AE51" i="321"/>
  <c r="AE259" i="288"/>
  <c r="AE45" i="321"/>
  <c r="AE46" i="321"/>
  <c r="AE48" i="321"/>
  <c r="AE236" i="288"/>
  <c r="AO245" i="306"/>
  <c r="AO663" i="307"/>
  <c r="AO256" i="306"/>
  <c r="AO220" i="307"/>
  <c r="AO102" i="314"/>
  <c r="AO607" i="307"/>
  <c r="AO613" i="307"/>
  <c r="AO266" i="306"/>
  <c r="AO84" i="288"/>
  <c r="AO648" i="307"/>
  <c r="AO276" i="306"/>
  <c r="AO623" i="307"/>
  <c r="AO643" i="307"/>
  <c r="AO261" i="306"/>
  <c r="AO673" i="307"/>
  <c r="AO628" i="307"/>
  <c r="AO271" i="306"/>
  <c r="AO239" i="306"/>
  <c r="AO618" i="307"/>
  <c r="AO251" i="306"/>
  <c r="AO228" i="288"/>
  <c r="AO234" i="288"/>
  <c r="AO668" i="307"/>
  <c r="AO233" i="306"/>
  <c r="AO78" i="288"/>
  <c r="AO5" i="265"/>
  <c r="AO5" i="328"/>
  <c r="AO5" i="277"/>
  <c r="AO5" i="275"/>
  <c r="AO5" i="315"/>
  <c r="AO5" i="273"/>
  <c r="AO5" i="289"/>
  <c r="AO5" i="314"/>
  <c r="AO5" i="286"/>
  <c r="AO5" i="321"/>
  <c r="AO5" i="288"/>
  <c r="AO5" i="309"/>
  <c r="AO5" i="282"/>
  <c r="AO5" i="304"/>
  <c r="AO5" i="278"/>
  <c r="AO5" i="285"/>
  <c r="AN44" i="273"/>
  <c r="AN45" i="273"/>
  <c r="AN48" i="273"/>
  <c r="AN38" i="289"/>
  <c r="AN133" i="288"/>
  <c r="AN23" i="288"/>
  <c r="AF72" i="321"/>
  <c r="AF79" i="321"/>
  <c r="AB192" i="278"/>
  <c r="AB197" i="278"/>
  <c r="AB9" i="315"/>
  <c r="AB188" i="278"/>
  <c r="AB189" i="278"/>
  <c r="AB193" i="278"/>
  <c r="AD101" i="278"/>
  <c r="AD104" i="278"/>
  <c r="AD105" i="278"/>
  <c r="AD9" i="315"/>
  <c r="AF214" i="273"/>
  <c r="AF67" i="288"/>
  <c r="AE90" i="278"/>
  <c r="AI272" i="278"/>
  <c r="AI39" i="314"/>
  <c r="AI118" i="314"/>
  <c r="AI85" i="273"/>
  <c r="AI296" i="278"/>
  <c r="AI79" i="314"/>
  <c r="AI19" i="282"/>
  <c r="AI158" i="314"/>
  <c r="AI15" i="275"/>
  <c r="AG63" i="273"/>
  <c r="AG64" i="273"/>
  <c r="AE30" i="328"/>
  <c r="AE153" i="278"/>
  <c r="AF39" i="321"/>
  <c r="AF41" i="321"/>
  <c r="AF44" i="321"/>
  <c r="AG70" i="321"/>
  <c r="AG165" i="321"/>
  <c r="AH163" i="273"/>
  <c r="AG147" i="321"/>
  <c r="AG212" i="273"/>
  <c r="AG141" i="321"/>
  <c r="AG130" i="321"/>
  <c r="AG155" i="321"/>
  <c r="AC213" i="278"/>
  <c r="AC214" i="278"/>
  <c r="AC218" i="278"/>
  <c r="AC217" i="278"/>
  <c r="AC155" i="278"/>
  <c r="AC223" i="278"/>
  <c r="AH602" i="321"/>
  <c r="AH658" i="321"/>
  <c r="AJ89" i="305"/>
  <c r="AK90" i="305"/>
  <c r="AK41" i="305"/>
  <c r="AG17" i="307"/>
  <c r="AG29" i="310"/>
  <c r="AF147" i="278"/>
  <c r="AF149" i="278"/>
  <c r="AL107" i="305"/>
  <c r="AL108" i="305"/>
  <c r="AL112" i="305"/>
  <c r="AL103" i="305"/>
  <c r="AL104" i="305"/>
  <c r="AL113" i="305"/>
  <c r="AL115" i="305"/>
  <c r="AK58" i="288"/>
  <c r="AK33" i="288"/>
  <c r="AK2" i="310"/>
  <c r="AK26" i="305"/>
  <c r="AK27" i="305"/>
  <c r="AK31" i="305"/>
  <c r="AL32" i="305"/>
  <c r="AL34" i="305"/>
  <c r="AL35" i="305"/>
  <c r="AL4" i="305"/>
  <c r="AK208" i="288"/>
  <c r="AK2" i="307"/>
  <c r="AK34" i="311"/>
  <c r="AK2" i="305"/>
  <c r="AK2" i="309"/>
  <c r="AK183" i="288"/>
  <c r="AK147" i="288"/>
  <c r="AK2" i="306"/>
  <c r="AF4" i="328"/>
  <c r="AF47" i="273"/>
  <c r="AF3" i="285"/>
  <c r="AF3" i="289"/>
  <c r="AF3" i="288"/>
  <c r="AF3" i="265"/>
  <c r="AF3" i="315"/>
  <c r="AF3" i="278"/>
  <c r="AF3" i="286"/>
  <c r="AF3" i="273"/>
  <c r="AF3" i="314"/>
  <c r="AF3" i="304"/>
  <c r="AF3" i="275"/>
  <c r="AF3" i="282"/>
  <c r="AF3" i="321"/>
  <c r="AI155" i="273"/>
  <c r="AI195" i="273"/>
  <c r="AC98" i="278"/>
  <c r="AC101" i="278"/>
  <c r="AC104" i="278"/>
  <c r="AC105" i="278"/>
  <c r="AC18" i="328"/>
  <c r="AF263" i="306"/>
  <c r="AH272" i="278"/>
  <c r="AH15" i="275"/>
  <c r="AH20" i="275"/>
  <c r="AI17" i="275"/>
  <c r="AH79" i="314"/>
  <c r="AH158" i="314"/>
  <c r="AH39" i="314"/>
  <c r="AH19" i="282"/>
  <c r="AH296" i="278"/>
  <c r="AH118" i="314"/>
  <c r="AH85" i="273"/>
  <c r="AI11" i="328"/>
  <c r="AI4" i="278"/>
  <c r="AI4" i="314"/>
  <c r="AI4" i="321"/>
  <c r="AI4" i="275"/>
  <c r="AI4" i="289"/>
  <c r="AI4" i="288"/>
  <c r="AI4" i="310"/>
  <c r="AI4" i="315"/>
  <c r="AI4" i="306"/>
  <c r="AI4" i="309"/>
  <c r="AI4" i="307"/>
  <c r="AI4" i="285"/>
  <c r="AI4" i="273"/>
  <c r="AI4" i="286"/>
  <c r="AI4" i="282"/>
  <c r="AI4" i="304"/>
  <c r="AI247" i="278"/>
  <c r="AI240" i="278"/>
  <c r="AI56" i="273"/>
  <c r="AE91" i="278"/>
  <c r="AI39" i="305"/>
  <c r="AI42" i="305"/>
  <c r="AF253" i="306"/>
  <c r="AF109" i="288"/>
  <c r="AG24" i="310"/>
  <c r="AG12" i="307"/>
  <c r="AB92" i="306"/>
  <c r="AB93" i="306"/>
  <c r="AB24" i="288"/>
  <c r="AB25" i="288"/>
  <c r="AH75" i="273"/>
  <c r="AI76" i="273"/>
  <c r="AH53" i="273"/>
  <c r="AI674" i="321"/>
  <c r="AI262" i="273"/>
  <c r="AJ11" i="289"/>
  <c r="AJ12" i="289"/>
  <c r="AJ36" i="289"/>
  <c r="AC17" i="328"/>
  <c r="AB10" i="315"/>
  <c r="AB10" i="265"/>
  <c r="AG16" i="285"/>
  <c r="AJ105" i="306"/>
  <c r="AJ39" i="305"/>
  <c r="AF24" i="265"/>
  <c r="AF22" i="315"/>
  <c r="AF59" i="315"/>
  <c r="AF61" i="265"/>
  <c r="AI75" i="273"/>
  <c r="AJ76" i="273"/>
  <c r="AI53" i="273"/>
  <c r="AE29" i="328"/>
  <c r="AE152" i="278"/>
  <c r="AG581" i="321"/>
  <c r="AG675" i="321"/>
  <c r="AG148" i="278"/>
  <c r="AG104" i="314"/>
  <c r="AG644" i="321"/>
  <c r="AG246" i="278"/>
  <c r="AG453" i="321"/>
  <c r="AG63" i="286"/>
  <c r="AG50" i="314"/>
  <c r="AG694" i="321"/>
  <c r="AG603" i="321"/>
  <c r="AG100" i="278"/>
  <c r="AG622" i="321"/>
  <c r="AG545" i="321"/>
  <c r="AG230" i="278"/>
  <c r="AG283" i="278"/>
  <c r="AG31" i="289"/>
  <c r="AG32" i="289"/>
  <c r="AG37" i="289"/>
  <c r="AG39" i="289"/>
  <c r="AH39" i="289"/>
  <c r="AG551" i="321"/>
  <c r="AG540" i="321"/>
  <c r="AG652" i="321"/>
  <c r="AG497" i="321"/>
  <c r="AG129" i="314"/>
  <c r="AG17" i="314"/>
  <c r="AG713" i="321"/>
  <c r="AG239" i="278"/>
  <c r="AG617" i="321"/>
  <c r="AG136" i="314"/>
  <c r="AG701" i="321"/>
  <c r="AG708" i="321"/>
  <c r="AG565" i="321"/>
  <c r="AG179" i="278"/>
  <c r="AG204" i="278"/>
  <c r="AG659" i="321"/>
  <c r="AG636" i="321"/>
  <c r="AG306" i="278"/>
  <c r="AG57" i="314"/>
  <c r="AG573" i="321"/>
  <c r="AG319" i="278"/>
  <c r="AF268" i="306"/>
  <c r="AG59" i="315"/>
  <c r="AG61" i="265"/>
  <c r="AG24" i="265"/>
  <c r="AG22" i="315"/>
  <c r="AH589" i="321"/>
  <c r="AH590" i="321"/>
  <c r="AH117" i="314"/>
  <c r="AH122" i="273"/>
  <c r="AH124" i="273"/>
  <c r="AH55" i="273"/>
  <c r="AH259" i="278"/>
  <c r="AH28" i="314"/>
  <c r="AH261" i="273"/>
  <c r="AH263" i="273"/>
  <c r="AH38" i="314"/>
  <c r="AJ154" i="273"/>
  <c r="AJ155" i="273"/>
  <c r="AJ2" i="265"/>
  <c r="AJ2" i="321"/>
  <c r="AJ49" i="273"/>
  <c r="AJ2" i="275"/>
  <c r="AJ184" i="288"/>
  <c r="AJ2" i="278"/>
  <c r="AJ71" i="273"/>
  <c r="AJ2" i="288"/>
  <c r="AJ2" i="304"/>
  <c r="AJ119" i="273"/>
  <c r="AJ120" i="273"/>
  <c r="AJ123" i="273"/>
  <c r="AJ198" i="273"/>
  <c r="AJ199" i="273"/>
  <c r="AJ202" i="273"/>
  <c r="AJ3" i="328"/>
  <c r="AJ8" i="328"/>
  <c r="AJ148" i="288"/>
  <c r="AJ2" i="286"/>
  <c r="AJ38" i="311"/>
  <c r="AJ2" i="282"/>
  <c r="AJ194" i="273"/>
  <c r="AJ195" i="273"/>
  <c r="AJ2" i="289"/>
  <c r="AJ258" i="273"/>
  <c r="AJ158" i="273"/>
  <c r="AJ159" i="273"/>
  <c r="AJ162" i="273"/>
  <c r="AJ59" i="288"/>
  <c r="AJ2" i="273"/>
  <c r="AJ2" i="285"/>
  <c r="AJ2" i="315"/>
  <c r="AJ209" i="288"/>
  <c r="AJ34" i="288"/>
  <c r="AJ2" i="314"/>
  <c r="AL2" i="328"/>
  <c r="AL10" i="289"/>
  <c r="AE97" i="278"/>
  <c r="AI598" i="321"/>
  <c r="AI599" i="321"/>
  <c r="AI161" i="278"/>
  <c r="AI211" i="278"/>
  <c r="AI186" i="278"/>
  <c r="AI707" i="321"/>
  <c r="AI579" i="321"/>
  <c r="AI650" i="321"/>
  <c r="AI11" i="282"/>
  <c r="AI552" i="321"/>
  <c r="AI623" i="321"/>
  <c r="AI110" i="286"/>
  <c r="AI162" i="278"/>
  <c r="AI92" i="286"/>
  <c r="AI566" i="321"/>
  <c r="AI109" i="273"/>
  <c r="AJ110" i="273"/>
  <c r="AI187" i="278"/>
  <c r="AI15" i="286"/>
  <c r="AI637" i="321"/>
  <c r="AI16" i="288"/>
  <c r="AI17" i="288"/>
  <c r="AI268" i="278"/>
  <c r="AI292" i="278"/>
  <c r="AI33" i="286"/>
  <c r="AI212" i="278"/>
  <c r="AH178" i="288"/>
  <c r="AH28" i="288"/>
  <c r="AH53" i="288"/>
  <c r="AH203" i="288"/>
  <c r="AI30" i="289"/>
  <c r="AC114" i="288"/>
  <c r="AC272" i="288"/>
  <c r="AC264" i="288"/>
  <c r="AC122" i="288"/>
  <c r="AH84" i="273"/>
  <c r="AH86" i="273"/>
  <c r="AH54" i="273"/>
  <c r="AG213" i="273"/>
  <c r="AG259" i="321"/>
  <c r="AG131" i="321"/>
  <c r="AG71" i="321"/>
  <c r="AG277" i="321"/>
  <c r="AG253" i="321"/>
  <c r="AG267" i="321"/>
  <c r="AH203" i="273"/>
  <c r="AD154" i="278"/>
  <c r="AG24" i="314"/>
  <c r="AG36" i="285"/>
  <c r="AG172" i="314"/>
  <c r="AG111" i="314"/>
  <c r="AG11" i="321"/>
  <c r="AG123" i="314"/>
  <c r="AG44" i="314"/>
  <c r="AG40" i="321"/>
  <c r="AG89" i="314"/>
  <c r="AN9" i="328"/>
  <c r="AD167" i="278"/>
  <c r="AD172" i="278"/>
  <c r="Q42" i="315"/>
  <c r="Q44" i="265"/>
  <c r="AP674" i="307"/>
  <c r="AP619" i="307"/>
  <c r="AP221" i="307"/>
  <c r="AP669" i="307"/>
  <c r="AP664" i="307"/>
  <c r="AP644" i="307"/>
  <c r="AP246" i="306"/>
  <c r="AP262" i="306"/>
  <c r="AP267" i="306"/>
  <c r="AP614" i="307"/>
  <c r="AP649" i="307"/>
  <c r="AP629" i="307"/>
  <c r="AP277" i="306"/>
  <c r="AP624" i="307"/>
  <c r="AP240" i="306"/>
  <c r="AP252" i="306"/>
  <c r="AJ28" i="310"/>
  <c r="AJ16" i="307"/>
  <c r="AM12" i="328"/>
  <c r="R222" i="278"/>
  <c r="Q229" i="278"/>
  <c r="Q231" i="278"/>
  <c r="Q116" i="265"/>
  <c r="Q112" i="315"/>
  <c r="Q254" i="278"/>
  <c r="AD163" i="278"/>
  <c r="AD164" i="278"/>
  <c r="AD168" i="278"/>
  <c r="AF91" i="278"/>
  <c r="AH123" i="314"/>
  <c r="AB11" i="265"/>
  <c r="AB32" i="328"/>
  <c r="AD114" i="288"/>
  <c r="AH40" i="321"/>
  <c r="AF161" i="288"/>
  <c r="AF162" i="288"/>
  <c r="AF171" i="288"/>
  <c r="AF217" i="273"/>
  <c r="AE218" i="273"/>
  <c r="AE272" i="288"/>
  <c r="AF91" i="288"/>
  <c r="AF217" i="288"/>
  <c r="AF236" i="288"/>
  <c r="AD264" i="288"/>
  <c r="AF80" i="288"/>
  <c r="AF241" i="288"/>
  <c r="AF259" i="288"/>
  <c r="AF167" i="288"/>
  <c r="AD27" i="328"/>
  <c r="AH36" i="285"/>
  <c r="AC92" i="306"/>
  <c r="AC93" i="306"/>
  <c r="AC24" i="288"/>
  <c r="AC25" i="288"/>
  <c r="AC31" i="288"/>
  <c r="AD122" i="288"/>
  <c r="AH89" i="314"/>
  <c r="AH24" i="314"/>
  <c r="AD197" i="278"/>
  <c r="AB11" i="315"/>
  <c r="AH44" i="314"/>
  <c r="AH111" i="314"/>
  <c r="AD192" i="278"/>
  <c r="AD188" i="278"/>
  <c r="AD189" i="278"/>
  <c r="AD193" i="278"/>
  <c r="AH11" i="321"/>
  <c r="AH172" i="314"/>
  <c r="AP668" i="307"/>
  <c r="AP102" i="314"/>
  <c r="AP220" i="307"/>
  <c r="AP663" i="307"/>
  <c r="AP245" i="306"/>
  <c r="AP256" i="306"/>
  <c r="AP648" i="307"/>
  <c r="AP233" i="306"/>
  <c r="AP239" i="306"/>
  <c r="AP623" i="307"/>
  <c r="AP673" i="307"/>
  <c r="AP5" i="328"/>
  <c r="AP613" i="307"/>
  <c r="AP271" i="306"/>
  <c r="AP266" i="306"/>
  <c r="AP607" i="307"/>
  <c r="AP276" i="306"/>
  <c r="AP643" i="307"/>
  <c r="AP618" i="307"/>
  <c r="AP251" i="306"/>
  <c r="AP234" i="288"/>
  <c r="AP628" i="307"/>
  <c r="AP261" i="306"/>
  <c r="AP78" i="288"/>
  <c r="AP5" i="265"/>
  <c r="AP228" i="288"/>
  <c r="AP5" i="309"/>
  <c r="AP5" i="285"/>
  <c r="AP5" i="282"/>
  <c r="AP5" i="277"/>
  <c r="AP5" i="321"/>
  <c r="AP5" i="273"/>
  <c r="AP5" i="314"/>
  <c r="AP5" i="304"/>
  <c r="AP5" i="286"/>
  <c r="AP5" i="275"/>
  <c r="AP5" i="278"/>
  <c r="AP5" i="288"/>
  <c r="AP5" i="315"/>
  <c r="AP5" i="289"/>
  <c r="AP84" i="288"/>
  <c r="AO44" i="273"/>
  <c r="AO45" i="273"/>
  <c r="AO48" i="273"/>
  <c r="AO133" i="288"/>
  <c r="AO38" i="289"/>
  <c r="AO23" i="288"/>
  <c r="AH57" i="273"/>
  <c r="AH63" i="273"/>
  <c r="AH64" i="273"/>
  <c r="AI20" i="275"/>
  <c r="AJ17" i="275"/>
  <c r="AF51" i="321"/>
  <c r="AF86" i="288"/>
  <c r="AF45" i="321"/>
  <c r="AF46" i="321"/>
  <c r="AF48" i="321"/>
  <c r="AF230" i="288"/>
  <c r="AE154" i="278"/>
  <c r="AE213" i="278"/>
  <c r="AE214" i="278"/>
  <c r="AE218" i="278"/>
  <c r="AJ263" i="321"/>
  <c r="AJ201" i="273"/>
  <c r="AJ278" i="307"/>
  <c r="AJ279" i="307"/>
  <c r="AJ287" i="307"/>
  <c r="AJ15" i="307"/>
  <c r="AJ286" i="307"/>
  <c r="AJ27" i="310"/>
  <c r="AH16" i="285"/>
  <c r="AF90" i="278"/>
  <c r="AM2" i="328"/>
  <c r="AK40" i="305"/>
  <c r="AK154" i="273"/>
  <c r="AK155" i="273"/>
  <c r="AK71" i="273"/>
  <c r="AK72" i="273"/>
  <c r="AK49" i="273"/>
  <c r="AK34" i="288"/>
  <c r="AK38" i="311"/>
  <c r="AK2" i="314"/>
  <c r="AK2" i="315"/>
  <c r="AK2" i="265"/>
  <c r="AK2" i="278"/>
  <c r="AK184" i="288"/>
  <c r="AK2" i="282"/>
  <c r="AK198" i="273"/>
  <c r="AK199" i="273"/>
  <c r="AK202" i="273"/>
  <c r="AK2" i="286"/>
  <c r="AK2" i="321"/>
  <c r="AK258" i="273"/>
  <c r="AK259" i="273"/>
  <c r="AK158" i="273"/>
  <c r="AK159" i="273"/>
  <c r="AK162" i="273"/>
  <c r="AK3" i="328"/>
  <c r="AK8" i="328"/>
  <c r="AK2" i="304"/>
  <c r="AK2" i="285"/>
  <c r="AK209" i="288"/>
  <c r="AK148" i="288"/>
  <c r="AK119" i="273"/>
  <c r="AK120" i="273"/>
  <c r="AK123" i="273"/>
  <c r="AK194" i="273"/>
  <c r="AK195" i="273"/>
  <c r="AK59" i="288"/>
  <c r="AK2" i="275"/>
  <c r="AK2" i="289"/>
  <c r="AK2" i="273"/>
  <c r="AK2" i="288"/>
  <c r="AJ40" i="305"/>
  <c r="AJ42" i="305"/>
  <c r="AD278" i="306"/>
  <c r="AD30" i="310"/>
  <c r="AD18" i="307"/>
  <c r="AM103" i="305"/>
  <c r="AM104" i="305"/>
  <c r="AM113" i="305"/>
  <c r="AM115" i="305"/>
  <c r="AM107" i="305"/>
  <c r="AM108" i="305"/>
  <c r="AM112" i="305"/>
  <c r="AI203" i="288"/>
  <c r="AI53" i="288"/>
  <c r="AI28" i="288"/>
  <c r="AI178" i="288"/>
  <c r="AH105" i="282"/>
  <c r="AH37" i="282"/>
  <c r="AH591" i="321"/>
  <c r="AG147" i="278"/>
  <c r="AG149" i="278"/>
  <c r="AF97" i="278"/>
  <c r="AI54" i="273"/>
  <c r="AI84" i="273"/>
  <c r="AI86" i="273"/>
  <c r="AK36" i="289"/>
  <c r="AI26" i="310"/>
  <c r="AI14" i="307"/>
  <c r="AI25" i="310"/>
  <c r="AI13" i="307"/>
  <c r="AG268" i="306"/>
  <c r="AF153" i="278"/>
  <c r="AF30" i="328"/>
  <c r="AH130" i="321"/>
  <c r="AH165" i="321"/>
  <c r="AH147" i="321"/>
  <c r="AH70" i="321"/>
  <c r="AH155" i="321"/>
  <c r="AH212" i="273"/>
  <c r="AH141" i="321"/>
  <c r="AJ211" i="278"/>
  <c r="AJ598" i="321"/>
  <c r="AJ599" i="321"/>
  <c r="AJ161" i="278"/>
  <c r="AJ579" i="321"/>
  <c r="AJ707" i="321"/>
  <c r="AJ650" i="321"/>
  <c r="AJ186" i="278"/>
  <c r="AJ552" i="321"/>
  <c r="AJ268" i="278"/>
  <c r="AJ637" i="321"/>
  <c r="AJ110" i="286"/>
  <c r="AJ16" i="288"/>
  <c r="AJ17" i="288"/>
  <c r="AJ15" i="286"/>
  <c r="AJ11" i="282"/>
  <c r="AJ187" i="278"/>
  <c r="AJ566" i="321"/>
  <c r="AJ109" i="273"/>
  <c r="AK110" i="273"/>
  <c r="AJ292" i="278"/>
  <c r="AJ92" i="286"/>
  <c r="AJ212" i="278"/>
  <c r="AJ162" i="278"/>
  <c r="AJ623" i="321"/>
  <c r="AJ33" i="286"/>
  <c r="AC188" i="278"/>
  <c r="AC189" i="278"/>
  <c r="AC193" i="278"/>
  <c r="AC9" i="315"/>
  <c r="AC192" i="278"/>
  <c r="AC197" i="278"/>
  <c r="AJ161" i="273"/>
  <c r="AJ151" i="321"/>
  <c r="AJ56" i="273"/>
  <c r="AJ240" i="278"/>
  <c r="AJ247" i="278"/>
  <c r="AJ259" i="273"/>
  <c r="AC163" i="278"/>
  <c r="AC164" i="278"/>
  <c r="AC168" i="278"/>
  <c r="AC27" i="328"/>
  <c r="AC172" i="278"/>
  <c r="AC167" i="278"/>
  <c r="AJ11" i="328"/>
  <c r="AJ4" i="289"/>
  <c r="AJ4" i="286"/>
  <c r="AJ4" i="282"/>
  <c r="AJ4" i="306"/>
  <c r="AJ4" i="315"/>
  <c r="AJ4" i="304"/>
  <c r="AJ4" i="309"/>
  <c r="AJ4" i="288"/>
  <c r="AJ4" i="321"/>
  <c r="AJ4" i="278"/>
  <c r="AJ4" i="285"/>
  <c r="AJ4" i="273"/>
  <c r="AJ4" i="314"/>
  <c r="AJ4" i="310"/>
  <c r="AJ4" i="275"/>
  <c r="AJ4" i="307"/>
  <c r="AB181" i="288"/>
  <c r="AB31" i="288"/>
  <c r="AG263" i="306"/>
  <c r="AI278" i="307"/>
  <c r="AI279" i="307"/>
  <c r="AI287" i="307"/>
  <c r="AI15" i="307"/>
  <c r="AI27" i="310"/>
  <c r="AI286" i="307"/>
  <c r="AI201" i="273"/>
  <c r="AI203" i="273"/>
  <c r="AI263" i="321"/>
  <c r="AL26" i="305"/>
  <c r="AL27" i="305"/>
  <c r="AL31" i="305"/>
  <c r="AM32" i="305"/>
  <c r="AM34" i="305"/>
  <c r="AM35" i="305"/>
  <c r="AM4" i="305"/>
  <c r="AL2" i="310"/>
  <c r="AL33" i="288"/>
  <c r="AL2" i="305"/>
  <c r="AL58" i="288"/>
  <c r="AL183" i="288"/>
  <c r="AL2" i="307"/>
  <c r="AL2" i="306"/>
  <c r="AL147" i="288"/>
  <c r="AL34" i="311"/>
  <c r="AL2" i="309"/>
  <c r="AL208" i="288"/>
  <c r="AF152" i="278"/>
  <c r="AF29" i="328"/>
  <c r="AH17" i="307"/>
  <c r="AH29" i="310"/>
  <c r="AH12" i="307"/>
  <c r="AH24" i="310"/>
  <c r="AG3" i="265"/>
  <c r="AG3" i="273"/>
  <c r="AG3" i="304"/>
  <c r="AG3" i="275"/>
  <c r="AG3" i="288"/>
  <c r="AG3" i="289"/>
  <c r="AG47" i="273"/>
  <c r="AG3" i="286"/>
  <c r="AG3" i="282"/>
  <c r="AG3" i="315"/>
  <c r="AG4" i="328"/>
  <c r="AG3" i="278"/>
  <c r="AG3" i="321"/>
  <c r="AG3" i="285"/>
  <c r="AG3" i="314"/>
  <c r="AE92" i="278"/>
  <c r="AH213" i="273"/>
  <c r="AH253" i="321"/>
  <c r="AH131" i="321"/>
  <c r="AH259" i="321"/>
  <c r="AH71" i="321"/>
  <c r="AH267" i="321"/>
  <c r="AH277" i="321"/>
  <c r="AI602" i="321"/>
  <c r="AI658" i="321"/>
  <c r="AE223" i="278"/>
  <c r="AJ13" i="307"/>
  <c r="AJ25" i="310"/>
  <c r="AI49" i="305"/>
  <c r="AI50" i="305"/>
  <c r="AC10" i="315"/>
  <c r="AC10" i="265"/>
  <c r="AB15" i="310"/>
  <c r="AD217" i="278"/>
  <c r="AD155" i="278"/>
  <c r="AD223" i="278"/>
  <c r="AD213" i="278"/>
  <c r="AD214" i="278"/>
  <c r="AD218" i="278"/>
  <c r="AC15" i="310"/>
  <c r="AJ72" i="273"/>
  <c r="AH694" i="321"/>
  <c r="AH565" i="321"/>
  <c r="AH148" i="278"/>
  <c r="AH239" i="278"/>
  <c r="AH551" i="321"/>
  <c r="AH100" i="278"/>
  <c r="AH622" i="321"/>
  <c r="AH319" i="278"/>
  <c r="AH129" i="314"/>
  <c r="AH545" i="321"/>
  <c r="AH57" i="314"/>
  <c r="AH675" i="321"/>
  <c r="AH701" i="321"/>
  <c r="AH652" i="321"/>
  <c r="AH16" i="289"/>
  <c r="AH17" i="289"/>
  <c r="AH22" i="289"/>
  <c r="AH708" i="321"/>
  <c r="AH603" i="321"/>
  <c r="AH230" i="278"/>
  <c r="AH104" i="314"/>
  <c r="AH204" i="278"/>
  <c r="AH636" i="321"/>
  <c r="AH497" i="321"/>
  <c r="AH63" i="286"/>
  <c r="AH50" i="314"/>
  <c r="AH617" i="321"/>
  <c r="AH31" i="289"/>
  <c r="AH32" i="289"/>
  <c r="AH37" i="289"/>
  <c r="AH17" i="314"/>
  <c r="AH573" i="321"/>
  <c r="AH713" i="321"/>
  <c r="AH540" i="321"/>
  <c r="AH659" i="321"/>
  <c r="AH283" i="278"/>
  <c r="AH644" i="321"/>
  <c r="AH453" i="321"/>
  <c r="AH136" i="314"/>
  <c r="AH47" i="289"/>
  <c r="AH48" i="289"/>
  <c r="AH53" i="289"/>
  <c r="AH581" i="321"/>
  <c r="AH179" i="278"/>
  <c r="AH246" i="278"/>
  <c r="AH306" i="278"/>
  <c r="AG39" i="321"/>
  <c r="AG41" i="321"/>
  <c r="AG44" i="321"/>
  <c r="AJ84" i="273"/>
  <c r="AJ54" i="273"/>
  <c r="AJ14" i="307"/>
  <c r="AJ26" i="310"/>
  <c r="AJ46" i="289"/>
  <c r="AJ30" i="289"/>
  <c r="AJ15" i="289"/>
  <c r="AG253" i="306"/>
  <c r="AK39" i="305"/>
  <c r="AI589" i="321"/>
  <c r="AI590" i="321"/>
  <c r="AI259" i="278"/>
  <c r="AI55" i="273"/>
  <c r="AI261" i="273"/>
  <c r="AI263" i="273"/>
  <c r="AI122" i="273"/>
  <c r="AI124" i="273"/>
  <c r="AI28" i="314"/>
  <c r="AI117" i="314"/>
  <c r="AI38" i="314"/>
  <c r="AI151" i="321"/>
  <c r="AI161" i="273"/>
  <c r="AI163" i="273"/>
  <c r="AG214" i="273"/>
  <c r="AG72" i="321"/>
  <c r="AG79" i="321"/>
  <c r="AJ55" i="273"/>
  <c r="AJ259" i="278"/>
  <c r="AJ28" i="314"/>
  <c r="AJ117" i="314"/>
  <c r="AJ589" i="321"/>
  <c r="AJ590" i="321"/>
  <c r="AJ122" i="273"/>
  <c r="AJ261" i="273"/>
  <c r="AJ38" i="314"/>
  <c r="Q238" i="278"/>
  <c r="Q282" i="278"/>
  <c r="Q245" i="278"/>
  <c r="AQ664" i="307"/>
  <c r="AQ644" i="307"/>
  <c r="AQ674" i="307"/>
  <c r="AQ619" i="307"/>
  <c r="AQ221" i="307"/>
  <c r="AQ669" i="307"/>
  <c r="AQ267" i="306"/>
  <c r="AQ246" i="306"/>
  <c r="AQ262" i="306"/>
  <c r="AQ649" i="307"/>
  <c r="AQ629" i="307"/>
  <c r="AQ277" i="306"/>
  <c r="AQ614" i="307"/>
  <c r="AQ624" i="307"/>
  <c r="AQ240" i="306"/>
  <c r="AQ252" i="306"/>
  <c r="R228" i="278"/>
  <c r="R216" i="278"/>
  <c r="R219" i="278"/>
  <c r="X283" i="307"/>
  <c r="X9" i="310"/>
  <c r="AN12" i="328"/>
  <c r="AF92" i="278"/>
  <c r="AE264" i="288"/>
  <c r="AE114" i="288"/>
  <c r="AO9" i="328"/>
  <c r="AE122" i="288"/>
  <c r="AC181" i="288"/>
  <c r="AF154" i="278"/>
  <c r="AF155" i="278"/>
  <c r="AF10" i="265"/>
  <c r="AI89" i="314"/>
  <c r="AJ263" i="273"/>
  <c r="AI11" i="321"/>
  <c r="AI123" i="314"/>
  <c r="AI111" i="314"/>
  <c r="AF217" i="278"/>
  <c r="AE217" i="278"/>
  <c r="AQ663" i="307"/>
  <c r="AQ102" i="314"/>
  <c r="AQ668" i="307"/>
  <c r="AQ220" i="307"/>
  <c r="AQ245" i="306"/>
  <c r="AQ643" i="307"/>
  <c r="AQ276" i="306"/>
  <c r="AQ618" i="307"/>
  <c r="AQ228" i="288"/>
  <c r="AQ628" i="307"/>
  <c r="AQ251" i="306"/>
  <c r="AQ613" i="307"/>
  <c r="AQ261" i="306"/>
  <c r="AQ623" i="307"/>
  <c r="AQ607" i="307"/>
  <c r="AQ233" i="306"/>
  <c r="AQ271" i="306"/>
  <c r="AQ266" i="306"/>
  <c r="AQ673" i="307"/>
  <c r="AQ84" i="288"/>
  <c r="AQ5" i="328"/>
  <c r="AQ234" i="288"/>
  <c r="AQ78" i="288"/>
  <c r="AQ5" i="321"/>
  <c r="AQ5" i="289"/>
  <c r="AQ5" i="315"/>
  <c r="AQ5" i="285"/>
  <c r="AQ648" i="307"/>
  <c r="AQ239" i="306"/>
  <c r="AQ5" i="265"/>
  <c r="AQ5" i="309"/>
  <c r="AQ5" i="314"/>
  <c r="AQ5" i="275"/>
  <c r="AQ256" i="306"/>
  <c r="AQ5" i="277"/>
  <c r="AQ5" i="278"/>
  <c r="AQ5" i="273"/>
  <c r="AQ5" i="286"/>
  <c r="AQ5" i="304"/>
  <c r="AQ5" i="288"/>
  <c r="AQ5" i="282"/>
  <c r="AE155" i="278"/>
  <c r="AE10" i="315"/>
  <c r="AI57" i="273"/>
  <c r="AI63" i="273"/>
  <c r="AI64" i="273"/>
  <c r="AP44" i="273"/>
  <c r="AP45" i="273"/>
  <c r="AP48" i="273"/>
  <c r="AP38" i="289"/>
  <c r="AP133" i="288"/>
  <c r="AP23" i="288"/>
  <c r="AF213" i="278"/>
  <c r="AF214" i="278"/>
  <c r="AF218" i="278"/>
  <c r="AI44" i="314"/>
  <c r="AI172" i="314"/>
  <c r="AI40" i="321"/>
  <c r="AI36" i="285"/>
  <c r="AG90" i="278"/>
  <c r="AI212" i="273"/>
  <c r="AI141" i="321"/>
  <c r="AI130" i="321"/>
  <c r="AI70" i="321"/>
  <c r="AI155" i="321"/>
  <c r="AI147" i="321"/>
  <c r="AI165" i="321"/>
  <c r="AJ163" i="273"/>
  <c r="AI540" i="321"/>
  <c r="AI694" i="321"/>
  <c r="AI551" i="321"/>
  <c r="AI603" i="321"/>
  <c r="AI622" i="321"/>
  <c r="AI283" i="278"/>
  <c r="AI617" i="321"/>
  <c r="AI306" i="278"/>
  <c r="AI63" i="286"/>
  <c r="AI581" i="321"/>
  <c r="AI246" i="278"/>
  <c r="AI497" i="321"/>
  <c r="AI17" i="314"/>
  <c r="AI179" i="278"/>
  <c r="AI701" i="321"/>
  <c r="AI708" i="321"/>
  <c r="AI565" i="321"/>
  <c r="AI636" i="321"/>
  <c r="AI644" i="321"/>
  <c r="AI319" i="278"/>
  <c r="AI136" i="314"/>
  <c r="AI545" i="321"/>
  <c r="AI675" i="321"/>
  <c r="AI204" i="278"/>
  <c r="AI31" i="289"/>
  <c r="AI32" i="289"/>
  <c r="AI37" i="289"/>
  <c r="AI39" i="289"/>
  <c r="AJ39" i="289"/>
  <c r="AI239" i="278"/>
  <c r="AI230" i="278"/>
  <c r="AI573" i="321"/>
  <c r="AI713" i="321"/>
  <c r="AI104" i="314"/>
  <c r="AI100" i="278"/>
  <c r="AI652" i="321"/>
  <c r="AI453" i="321"/>
  <c r="AI129" i="314"/>
  <c r="AI50" i="314"/>
  <c r="AI148" i="278"/>
  <c r="AI659" i="321"/>
  <c r="AI57" i="314"/>
  <c r="AJ124" i="273"/>
  <c r="AI16" i="285"/>
  <c r="AK16" i="288"/>
  <c r="AK17" i="288"/>
  <c r="AK162" i="278"/>
  <c r="AK187" i="278"/>
  <c r="AK92" i="286"/>
  <c r="AK292" i="278"/>
  <c r="AK109" i="273"/>
  <c r="AL110" i="273"/>
  <c r="AK33" i="286"/>
  <c r="AK212" i="278"/>
  <c r="AK11" i="282"/>
  <c r="AK15" i="286"/>
  <c r="AK623" i="321"/>
  <c r="AK552" i="321"/>
  <c r="AK566" i="321"/>
  <c r="AK637" i="321"/>
  <c r="AK110" i="286"/>
  <c r="AK268" i="278"/>
  <c r="AE17" i="328"/>
  <c r="AJ105" i="282"/>
  <c r="AJ37" i="282"/>
  <c r="AJ591" i="321"/>
  <c r="AL39" i="305"/>
  <c r="AI29" i="310"/>
  <c r="AI17" i="307"/>
  <c r="AJ86" i="273"/>
  <c r="AI3" i="305"/>
  <c r="AI3" i="306"/>
  <c r="AI3" i="307"/>
  <c r="AI3" i="310"/>
  <c r="AI3" i="309"/>
  <c r="AH268" i="306"/>
  <c r="AK161" i="273"/>
  <c r="AK151" i="321"/>
  <c r="AL11" i="289"/>
  <c r="AL12" i="289"/>
  <c r="AL36" i="289"/>
  <c r="AJ203" i="288"/>
  <c r="AJ53" i="288"/>
  <c r="AJ178" i="288"/>
  <c r="AJ28" i="288"/>
  <c r="AH214" i="273"/>
  <c r="AG153" i="278"/>
  <c r="AG30" i="328"/>
  <c r="AH253" i="306"/>
  <c r="AK598" i="321"/>
  <c r="AK599" i="321"/>
  <c r="AK161" i="278"/>
  <c r="AK211" i="278"/>
  <c r="AK186" i="278"/>
  <c r="AK579" i="321"/>
  <c r="AK650" i="321"/>
  <c r="AK707" i="321"/>
  <c r="AN10" i="289"/>
  <c r="AN2" i="328"/>
  <c r="AI12" i="307"/>
  <c r="AI24" i="310"/>
  <c r="AK13" i="307"/>
  <c r="AK25" i="310"/>
  <c r="AJ53" i="273"/>
  <c r="AJ75" i="273"/>
  <c r="AK76" i="273"/>
  <c r="AG91" i="278"/>
  <c r="AM58" i="288"/>
  <c r="AM2" i="306"/>
  <c r="AM208" i="288"/>
  <c r="AM147" i="288"/>
  <c r="AM26" i="305"/>
  <c r="AM27" i="305"/>
  <c r="AM31" i="305"/>
  <c r="AN32" i="305"/>
  <c r="AN34" i="305"/>
  <c r="AN35" i="305"/>
  <c r="AN4" i="305"/>
  <c r="AM2" i="307"/>
  <c r="AM33" i="288"/>
  <c r="AM2" i="310"/>
  <c r="AM183" i="288"/>
  <c r="AM2" i="309"/>
  <c r="AM34" i="311"/>
  <c r="AM2" i="305"/>
  <c r="AL105" i="306"/>
  <c r="AL100" i="306"/>
  <c r="AL89" i="305"/>
  <c r="AM90" i="305"/>
  <c r="AM41" i="305"/>
  <c r="AI105" i="282"/>
  <c r="AI591" i="321"/>
  <c r="AI37" i="282"/>
  <c r="AK14" i="307"/>
  <c r="AK26" i="310"/>
  <c r="AF30" i="310"/>
  <c r="AF278" i="306"/>
  <c r="AE30" i="310"/>
  <c r="AE278" i="306"/>
  <c r="AE18" i="307"/>
  <c r="AK263" i="321"/>
  <c r="AK201" i="273"/>
  <c r="AL158" i="273"/>
  <c r="AL159" i="273"/>
  <c r="AL162" i="273"/>
  <c r="AL2" i="265"/>
  <c r="AL148" i="288"/>
  <c r="AL2" i="315"/>
  <c r="AL34" i="288"/>
  <c r="AL2" i="285"/>
  <c r="AL2" i="286"/>
  <c r="AL2" i="288"/>
  <c r="AL2" i="273"/>
  <c r="AL119" i="273"/>
  <c r="AL120" i="273"/>
  <c r="AL123" i="273"/>
  <c r="AL194" i="273"/>
  <c r="AL195" i="273"/>
  <c r="AL3" i="328"/>
  <c r="AL8" i="328"/>
  <c r="AL2" i="289"/>
  <c r="AL49" i="273"/>
  <c r="AL2" i="321"/>
  <c r="AL2" i="304"/>
  <c r="AL198" i="273"/>
  <c r="AL199" i="273"/>
  <c r="AL202" i="273"/>
  <c r="AL2" i="278"/>
  <c r="AL258" i="273"/>
  <c r="AL154" i="273"/>
  <c r="AL59" i="288"/>
  <c r="AL2" i="282"/>
  <c r="AL2" i="275"/>
  <c r="AL38" i="311"/>
  <c r="AL2" i="314"/>
  <c r="AL71" i="273"/>
  <c r="AL72" i="273"/>
  <c r="AL184" i="288"/>
  <c r="AL209" i="288"/>
  <c r="AC11" i="315"/>
  <c r="AJ658" i="321"/>
  <c r="AJ602" i="321"/>
  <c r="AK79" i="314"/>
  <c r="AK39" i="314"/>
  <c r="AK296" i="278"/>
  <c r="AK118" i="314"/>
  <c r="AK85" i="273"/>
  <c r="AK19" i="282"/>
  <c r="AK158" i="314"/>
  <c r="AK15" i="275"/>
  <c r="AK272" i="278"/>
  <c r="AG29" i="328"/>
  <c r="AG152" i="278"/>
  <c r="AN103" i="305"/>
  <c r="AN104" i="305"/>
  <c r="AN113" i="305"/>
  <c r="AN115" i="305"/>
  <c r="AN107" i="305"/>
  <c r="AN108" i="305"/>
  <c r="AN112" i="305"/>
  <c r="AD92" i="306"/>
  <c r="AD93" i="306"/>
  <c r="AD24" i="288"/>
  <c r="AD25" i="288"/>
  <c r="AF17" i="328"/>
  <c r="AG51" i="321"/>
  <c r="AG91" i="288"/>
  <c r="AG109" i="288"/>
  <c r="AG217" i="273"/>
  <c r="AF218" i="273"/>
  <c r="AG67" i="288"/>
  <c r="AG167" i="288"/>
  <c r="AG86" i="288"/>
  <c r="AG230" i="288"/>
  <c r="AG45" i="321"/>
  <c r="AG46" i="321"/>
  <c r="AG48" i="321"/>
  <c r="AG236" i="288"/>
  <c r="AG217" i="288"/>
  <c r="AG161" i="288"/>
  <c r="AG162" i="288"/>
  <c r="AG171" i="288"/>
  <c r="AG80" i="288"/>
  <c r="AG241" i="288"/>
  <c r="AG259" i="288"/>
  <c r="AH39" i="321"/>
  <c r="AH41" i="321"/>
  <c r="AH44" i="321"/>
  <c r="AD10" i="315"/>
  <c r="AD11" i="315"/>
  <c r="AD10" i="265"/>
  <c r="AD11" i="265"/>
  <c r="AD32" i="328"/>
  <c r="AK42" i="305"/>
  <c r="AJ49" i="305"/>
  <c r="AJ50" i="305"/>
  <c r="AE98" i="278"/>
  <c r="AE101" i="278"/>
  <c r="AE104" i="278"/>
  <c r="AE105" i="278"/>
  <c r="AE18" i="328"/>
  <c r="AJ262" i="273"/>
  <c r="AJ674" i="321"/>
  <c r="AG97" i="278"/>
  <c r="AK240" i="278"/>
  <c r="AK247" i="278"/>
  <c r="AK56" i="273"/>
  <c r="AH147" i="278"/>
  <c r="AH149" i="278"/>
  <c r="AK105" i="306"/>
  <c r="AK100" i="306"/>
  <c r="AK89" i="305"/>
  <c r="AL90" i="305"/>
  <c r="AL41" i="305"/>
  <c r="AL40" i="305"/>
  <c r="AK53" i="273"/>
  <c r="AK75" i="273"/>
  <c r="AL76" i="273"/>
  <c r="AK4" i="306"/>
  <c r="AK4" i="314"/>
  <c r="AK4" i="309"/>
  <c r="AK4" i="304"/>
  <c r="AK11" i="328"/>
  <c r="AK4" i="285"/>
  <c r="AK4" i="286"/>
  <c r="AK4" i="278"/>
  <c r="AK4" i="310"/>
  <c r="AK4" i="282"/>
  <c r="AK4" i="315"/>
  <c r="AK4" i="275"/>
  <c r="AK4" i="288"/>
  <c r="AK4" i="273"/>
  <c r="AK4" i="289"/>
  <c r="AK4" i="321"/>
  <c r="AK4" i="307"/>
  <c r="AI213" i="273"/>
  <c r="AI267" i="321"/>
  <c r="AI253" i="321"/>
  <c r="AI71" i="321"/>
  <c r="AI259" i="321"/>
  <c r="AI131" i="321"/>
  <c r="AI277" i="321"/>
  <c r="AJ203" i="273"/>
  <c r="AC11" i="265"/>
  <c r="AC32" i="328"/>
  <c r="AK674" i="321"/>
  <c r="AK262" i="273"/>
  <c r="AJ272" i="278"/>
  <c r="AJ15" i="275"/>
  <c r="AJ20" i="275"/>
  <c r="AK17" i="275"/>
  <c r="AJ79" i="314"/>
  <c r="AJ296" i="278"/>
  <c r="AJ118" i="314"/>
  <c r="AJ19" i="282"/>
  <c r="AJ158" i="314"/>
  <c r="AJ39" i="314"/>
  <c r="AJ85" i="273"/>
  <c r="AH72" i="321"/>
  <c r="AH79" i="321"/>
  <c r="AK30" i="289"/>
  <c r="AH24" i="265"/>
  <c r="AH22" i="315"/>
  <c r="AH61" i="265"/>
  <c r="AH59" i="315"/>
  <c r="AH263" i="306"/>
  <c r="AF98" i="278"/>
  <c r="AF101" i="278"/>
  <c r="AF104" i="278"/>
  <c r="AF105" i="278"/>
  <c r="AF18" i="328"/>
  <c r="AH3" i="275"/>
  <c r="AH3" i="314"/>
  <c r="AH3" i="289"/>
  <c r="AH3" i="286"/>
  <c r="AH3" i="278"/>
  <c r="AH3" i="273"/>
  <c r="AH3" i="265"/>
  <c r="AH3" i="315"/>
  <c r="AH3" i="285"/>
  <c r="AH3" i="321"/>
  <c r="AH3" i="282"/>
  <c r="AH3" i="304"/>
  <c r="AH3" i="288"/>
  <c r="AH47" i="273"/>
  <c r="AH4" i="328"/>
  <c r="AI24" i="314"/>
  <c r="AF10" i="315"/>
  <c r="AR669" i="307"/>
  <c r="AR664" i="307"/>
  <c r="AR644" i="307"/>
  <c r="AR674" i="307"/>
  <c r="AR619" i="307"/>
  <c r="AR221" i="307"/>
  <c r="AR267" i="306"/>
  <c r="AR246" i="306"/>
  <c r="AR262" i="306"/>
  <c r="AR649" i="307"/>
  <c r="AR629" i="307"/>
  <c r="AR277" i="306"/>
  <c r="AR614" i="307"/>
  <c r="AR240" i="306"/>
  <c r="AR252" i="306"/>
  <c r="AR624" i="307"/>
  <c r="AO12" i="328"/>
  <c r="R224" i="278"/>
  <c r="R225" i="278"/>
  <c r="R220" i="278"/>
  <c r="AF18" i="307"/>
  <c r="AF223" i="278"/>
  <c r="AJ123" i="314"/>
  <c r="AE10" i="265"/>
  <c r="AP9" i="328"/>
  <c r="AP12" i="328"/>
  <c r="AJ57" i="273"/>
  <c r="AJ63" i="273"/>
  <c r="AJ64" i="273"/>
  <c r="AR668" i="307"/>
  <c r="AR220" i="307"/>
  <c r="AR663" i="307"/>
  <c r="AR102" i="314"/>
  <c r="AR256" i="306"/>
  <c r="AR245" i="306"/>
  <c r="AR628" i="307"/>
  <c r="AR271" i="306"/>
  <c r="AR261" i="306"/>
  <c r="AR251" i="306"/>
  <c r="AR78" i="288"/>
  <c r="AR648" i="307"/>
  <c r="AR276" i="306"/>
  <c r="AR266" i="306"/>
  <c r="AR239" i="306"/>
  <c r="AR618" i="307"/>
  <c r="AR228" i="288"/>
  <c r="AR643" i="307"/>
  <c r="AR613" i="307"/>
  <c r="AR623" i="307"/>
  <c r="AR607" i="307"/>
  <c r="AR5" i="265"/>
  <c r="AR233" i="306"/>
  <c r="AR673" i="307"/>
  <c r="AR84" i="288"/>
  <c r="AR5" i="328"/>
  <c r="AR234" i="288"/>
  <c r="AR5" i="285"/>
  <c r="AR5" i="314"/>
  <c r="AR5" i="278"/>
  <c r="AR5" i="273"/>
  <c r="AR5" i="288"/>
  <c r="AR5" i="282"/>
  <c r="AR5" i="275"/>
  <c r="AR5" i="315"/>
  <c r="AR5" i="304"/>
  <c r="AR5" i="289"/>
  <c r="AR5" i="321"/>
  <c r="AR5" i="286"/>
  <c r="AR5" i="309"/>
  <c r="AR5" i="277"/>
  <c r="AQ44" i="273"/>
  <c r="AQ45" i="273"/>
  <c r="AQ9" i="328"/>
  <c r="AQ38" i="289"/>
  <c r="AQ133" i="288"/>
  <c r="AQ23" i="288"/>
  <c r="AJ36" i="285"/>
  <c r="AJ24" i="314"/>
  <c r="AJ11" i="321"/>
  <c r="AJ44" i="314"/>
  <c r="AG154" i="278"/>
  <c r="AG213" i="278"/>
  <c r="AG214" i="278"/>
  <c r="AG218" i="278"/>
  <c r="AH91" i="278"/>
  <c r="AL79" i="314"/>
  <c r="AL85" i="273"/>
  <c r="AL19" i="282"/>
  <c r="AL272" i="278"/>
  <c r="AL39" i="314"/>
  <c r="AL296" i="278"/>
  <c r="AL158" i="314"/>
  <c r="AL118" i="314"/>
  <c r="AL15" i="275"/>
  <c r="AH90" i="278"/>
  <c r="AM39" i="305"/>
  <c r="AI268" i="306"/>
  <c r="AJ267" i="321"/>
  <c r="AJ277" i="321"/>
  <c r="AK203" i="273"/>
  <c r="AJ253" i="321"/>
  <c r="AJ131" i="321"/>
  <c r="AJ213" i="273"/>
  <c r="AJ71" i="321"/>
  <c r="AJ259" i="321"/>
  <c r="AF11" i="265"/>
  <c r="AF32" i="328"/>
  <c r="AF172" i="278"/>
  <c r="AF167" i="278"/>
  <c r="AF163" i="278"/>
  <c r="AF164" i="278"/>
  <c r="AF168" i="278"/>
  <c r="AF27" i="328"/>
  <c r="AL30" i="289"/>
  <c r="AL46" i="289"/>
  <c r="AL15" i="289"/>
  <c r="AL14" i="307"/>
  <c r="AL26" i="310"/>
  <c r="AI263" i="306"/>
  <c r="AJ694" i="321"/>
  <c r="AJ565" i="321"/>
  <c r="AJ148" i="278"/>
  <c r="AJ239" i="278"/>
  <c r="AJ644" i="321"/>
  <c r="AJ659" i="321"/>
  <c r="AJ283" i="278"/>
  <c r="AJ453" i="321"/>
  <c r="AJ129" i="314"/>
  <c r="AJ136" i="314"/>
  <c r="AJ17" i="314"/>
  <c r="AJ675" i="321"/>
  <c r="AJ636" i="321"/>
  <c r="AJ319" i="278"/>
  <c r="AJ50" i="314"/>
  <c r="AJ701" i="321"/>
  <c r="AJ708" i="321"/>
  <c r="AJ603" i="321"/>
  <c r="AJ230" i="278"/>
  <c r="AJ652" i="321"/>
  <c r="AJ617" i="321"/>
  <c r="AJ246" i="278"/>
  <c r="AJ306" i="278"/>
  <c r="AJ31" i="289"/>
  <c r="AJ32" i="289"/>
  <c r="AJ37" i="289"/>
  <c r="AJ63" i="286"/>
  <c r="AJ57" i="314"/>
  <c r="AJ47" i="289"/>
  <c r="AJ48" i="289"/>
  <c r="AJ53" i="289"/>
  <c r="AJ545" i="321"/>
  <c r="AJ551" i="321"/>
  <c r="AJ573" i="321"/>
  <c r="AJ713" i="321"/>
  <c r="AJ540" i="321"/>
  <c r="AJ104" i="314"/>
  <c r="AJ16" i="289"/>
  <c r="AJ17" i="289"/>
  <c r="AJ22" i="289"/>
  <c r="AJ100" i="278"/>
  <c r="AJ622" i="321"/>
  <c r="AJ497" i="321"/>
  <c r="AJ581" i="321"/>
  <c r="AJ179" i="278"/>
  <c r="AJ204" i="278"/>
  <c r="AM36" i="289"/>
  <c r="AK28" i="314"/>
  <c r="AK259" i="278"/>
  <c r="AK122" i="273"/>
  <c r="AK124" i="273"/>
  <c r="AK261" i="273"/>
  <c r="AK263" i="273"/>
  <c r="AK38" i="314"/>
  <c r="AK589" i="321"/>
  <c r="AK590" i="321"/>
  <c r="AK117" i="314"/>
  <c r="AK55" i="273"/>
  <c r="AK16" i="307"/>
  <c r="AK28" i="310"/>
  <c r="AL4" i="306"/>
  <c r="AL4" i="273"/>
  <c r="AL4" i="278"/>
  <c r="AL4" i="275"/>
  <c r="AL4" i="307"/>
  <c r="AL4" i="288"/>
  <c r="AL4" i="310"/>
  <c r="AL4" i="285"/>
  <c r="AL4" i="282"/>
  <c r="AL4" i="289"/>
  <c r="AL11" i="328"/>
  <c r="AL4" i="286"/>
  <c r="AL4" i="315"/>
  <c r="AL4" i="304"/>
  <c r="AL4" i="309"/>
  <c r="AL4" i="321"/>
  <c r="AL4" i="314"/>
  <c r="AE197" i="278"/>
  <c r="AE188" i="278"/>
  <c r="AE189" i="278"/>
  <c r="AE193" i="278"/>
  <c r="AE9" i="315"/>
  <c r="AE11" i="315"/>
  <c r="AE192" i="278"/>
  <c r="AO107" i="305"/>
  <c r="AO108" i="305"/>
  <c r="AO112" i="305"/>
  <c r="AO103" i="305"/>
  <c r="AO104" i="305"/>
  <c r="AO113" i="305"/>
  <c r="AO115" i="305"/>
  <c r="AK20" i="275"/>
  <c r="AL17" i="275"/>
  <c r="AL155" i="273"/>
  <c r="AK54" i="273"/>
  <c r="AK84" i="273"/>
  <c r="AK86" i="273"/>
  <c r="AK602" i="321"/>
  <c r="AK658" i="321"/>
  <c r="AH217" i="288"/>
  <c r="AH259" i="288"/>
  <c r="AH80" i="288"/>
  <c r="AH109" i="288"/>
  <c r="AH86" i="288"/>
  <c r="AH45" i="321"/>
  <c r="AH46" i="321"/>
  <c r="AH48" i="321"/>
  <c r="AH167" i="288"/>
  <c r="AH217" i="273"/>
  <c r="AG218" i="273"/>
  <c r="AH230" i="288"/>
  <c r="AH51" i="321"/>
  <c r="AH67" i="288"/>
  <c r="AH91" i="288"/>
  <c r="AH241" i="288"/>
  <c r="AH161" i="288"/>
  <c r="AH162" i="288"/>
  <c r="AH171" i="288"/>
  <c r="AH236" i="288"/>
  <c r="AL25" i="310"/>
  <c r="AL13" i="307"/>
  <c r="AD15" i="310"/>
  <c r="AI39" i="321"/>
  <c r="AI41" i="321"/>
  <c r="AI44" i="321"/>
  <c r="AI214" i="273"/>
  <c r="AN58" i="288"/>
  <c r="AN2" i="305"/>
  <c r="AN183" i="288"/>
  <c r="AN2" i="307"/>
  <c r="AN26" i="305"/>
  <c r="AN27" i="305"/>
  <c r="AN31" i="305"/>
  <c r="AO32" i="305"/>
  <c r="AO34" i="305"/>
  <c r="AO35" i="305"/>
  <c r="AO4" i="305"/>
  <c r="AN2" i="309"/>
  <c r="AN147" i="288"/>
  <c r="AN208" i="288"/>
  <c r="AN33" i="288"/>
  <c r="AN2" i="306"/>
  <c r="AN2" i="310"/>
  <c r="AN34" i="311"/>
  <c r="AL11" i="282"/>
  <c r="AL16" i="288"/>
  <c r="AL17" i="288"/>
  <c r="AL187" i="278"/>
  <c r="AL92" i="286"/>
  <c r="AL637" i="321"/>
  <c r="AL566" i="321"/>
  <c r="AL109" i="273"/>
  <c r="AM110" i="273"/>
  <c r="AL292" i="278"/>
  <c r="AL110" i="286"/>
  <c r="AL162" i="278"/>
  <c r="AL33" i="286"/>
  <c r="AL212" i="278"/>
  <c r="AL268" i="278"/>
  <c r="AL623" i="321"/>
  <c r="AL15" i="286"/>
  <c r="AL552" i="321"/>
  <c r="AO2" i="328"/>
  <c r="AK53" i="288"/>
  <c r="AK178" i="288"/>
  <c r="AK28" i="288"/>
  <c r="AK203" i="288"/>
  <c r="AI47" i="273"/>
  <c r="AI3" i="289"/>
  <c r="AI3" i="286"/>
  <c r="AI3" i="304"/>
  <c r="AI3" i="315"/>
  <c r="AI3" i="321"/>
  <c r="AI3" i="265"/>
  <c r="AI3" i="285"/>
  <c r="AI3" i="314"/>
  <c r="AI4" i="328"/>
  <c r="AI3" i="288"/>
  <c r="AI3" i="278"/>
  <c r="AI3" i="273"/>
  <c r="AI3" i="275"/>
  <c r="AI3" i="282"/>
  <c r="AM158" i="273"/>
  <c r="AM159" i="273"/>
  <c r="AM162" i="273"/>
  <c r="AM71" i="273"/>
  <c r="AM72" i="273"/>
  <c r="AM184" i="288"/>
  <c r="AM2" i="321"/>
  <c r="AM2" i="314"/>
  <c r="AM2" i="304"/>
  <c r="AM38" i="311"/>
  <c r="AM258" i="273"/>
  <c r="AM259" i="273"/>
  <c r="AM2" i="289"/>
  <c r="AM2" i="315"/>
  <c r="AM194" i="273"/>
  <c r="AM2" i="265"/>
  <c r="AM209" i="288"/>
  <c r="AM49" i="273"/>
  <c r="AM2" i="278"/>
  <c r="AM34" i="288"/>
  <c r="AM2" i="273"/>
  <c r="AM198" i="273"/>
  <c r="AM199" i="273"/>
  <c r="AM202" i="273"/>
  <c r="AM2" i="275"/>
  <c r="AM119" i="273"/>
  <c r="AM120" i="273"/>
  <c r="AM123" i="273"/>
  <c r="AM154" i="273"/>
  <c r="AM59" i="288"/>
  <c r="AM2" i="282"/>
  <c r="AM148" i="288"/>
  <c r="AM2" i="285"/>
  <c r="AM2" i="288"/>
  <c r="AM3" i="328"/>
  <c r="AM8" i="328"/>
  <c r="AM2" i="286"/>
  <c r="AL263" i="321"/>
  <c r="AL201" i="273"/>
  <c r="AL84" i="273"/>
  <c r="AL54" i="273"/>
  <c r="AJ3" i="307"/>
  <c r="AJ3" i="306"/>
  <c r="AJ3" i="305"/>
  <c r="AJ3" i="309"/>
  <c r="AJ3" i="310"/>
  <c r="AJ29" i="310"/>
  <c r="AJ17" i="307"/>
  <c r="AF122" i="288"/>
  <c r="AF114" i="288"/>
  <c r="AF264" i="288"/>
  <c r="AF272" i="288"/>
  <c r="AF92" i="306"/>
  <c r="AF93" i="306"/>
  <c r="AF24" i="288"/>
  <c r="AF25" i="288"/>
  <c r="AI24" i="265"/>
  <c r="AI59" i="315"/>
  <c r="AI22" i="315"/>
  <c r="AI61" i="265"/>
  <c r="AL16" i="307"/>
  <c r="AL28" i="310"/>
  <c r="AH97" i="278"/>
  <c r="AE27" i="328"/>
  <c r="AE167" i="278"/>
  <c r="AE172" i="278"/>
  <c r="AE163" i="278"/>
  <c r="AE164" i="278"/>
  <c r="AE168" i="278"/>
  <c r="AJ16" i="285"/>
  <c r="AJ70" i="321"/>
  <c r="AJ155" i="321"/>
  <c r="AJ212" i="273"/>
  <c r="AJ147" i="321"/>
  <c r="AJ165" i="321"/>
  <c r="AK163" i="273"/>
  <c r="AJ130" i="321"/>
  <c r="AJ141" i="321"/>
  <c r="AI72" i="321"/>
  <c r="AI79" i="321"/>
  <c r="AF192" i="278"/>
  <c r="AF197" i="278"/>
  <c r="AF188" i="278"/>
  <c r="AF189" i="278"/>
  <c r="AF193" i="278"/>
  <c r="AF9" i="315"/>
  <c r="AF11" i="315"/>
  <c r="AH152" i="278"/>
  <c r="AH29" i="328"/>
  <c r="AL75" i="273"/>
  <c r="AM76" i="273"/>
  <c r="AL53" i="273"/>
  <c r="AM100" i="306"/>
  <c r="AM89" i="305"/>
  <c r="AN90" i="305"/>
  <c r="AN41" i="305"/>
  <c r="AM105" i="306"/>
  <c r="AK286" i="307"/>
  <c r="AK278" i="307"/>
  <c r="AK279" i="307"/>
  <c r="AK287" i="307"/>
  <c r="AK27" i="310"/>
  <c r="AK15" i="307"/>
  <c r="AH153" i="278"/>
  <c r="AH30" i="328"/>
  <c r="AK49" i="305"/>
  <c r="AK50" i="305"/>
  <c r="AL42" i="305"/>
  <c r="AJ12" i="307"/>
  <c r="AJ24" i="310"/>
  <c r="AD31" i="288"/>
  <c r="AD181" i="288"/>
  <c r="AL28" i="314"/>
  <c r="AL261" i="273"/>
  <c r="AL117" i="314"/>
  <c r="AL122" i="273"/>
  <c r="AL38" i="314"/>
  <c r="AL55" i="273"/>
  <c r="AL589" i="321"/>
  <c r="AL590" i="321"/>
  <c r="AL259" i="278"/>
  <c r="AL161" i="278"/>
  <c r="AL598" i="321"/>
  <c r="AL599" i="321"/>
  <c r="AL211" i="278"/>
  <c r="AL186" i="278"/>
  <c r="AL579" i="321"/>
  <c r="AL650" i="321"/>
  <c r="AL707" i="321"/>
  <c r="AE92" i="306"/>
  <c r="AE93" i="306"/>
  <c r="AE24" i="288"/>
  <c r="AE25" i="288"/>
  <c r="AL259" i="273"/>
  <c r="AM40" i="305"/>
  <c r="AJ61" i="265"/>
  <c r="AJ59" i="315"/>
  <c r="AJ22" i="315"/>
  <c r="AJ24" i="265"/>
  <c r="AL56" i="273"/>
  <c r="AL247" i="278"/>
  <c r="AL240" i="278"/>
  <c r="AI253" i="306"/>
  <c r="AI147" i="278"/>
  <c r="AI149" i="278"/>
  <c r="AG92" i="278"/>
  <c r="AJ40" i="321"/>
  <c r="AJ111" i="314"/>
  <c r="AJ89" i="314"/>
  <c r="AJ172" i="314"/>
  <c r="Y9" i="310"/>
  <c r="Y283" i="307"/>
  <c r="R229" i="278"/>
  <c r="R231" i="278"/>
  <c r="S222" i="278"/>
  <c r="R116" i="265"/>
  <c r="R112" i="315"/>
  <c r="R254" i="278"/>
  <c r="AS221" i="307"/>
  <c r="AS669" i="307"/>
  <c r="AS664" i="307"/>
  <c r="AS644" i="307"/>
  <c r="AS674" i="307"/>
  <c r="AS619" i="307"/>
  <c r="AS267" i="306"/>
  <c r="AS246" i="306"/>
  <c r="AS262" i="306"/>
  <c r="AS649" i="307"/>
  <c r="AS629" i="307"/>
  <c r="AS277" i="306"/>
  <c r="AS614" i="307"/>
  <c r="AS624" i="307"/>
  <c r="AS240" i="306"/>
  <c r="AS252" i="306"/>
  <c r="R42" i="315"/>
  <c r="R44" i="265"/>
  <c r="AJ214" i="273"/>
  <c r="AJ51" i="321"/>
  <c r="AL263" i="273"/>
  <c r="AE11" i="265"/>
  <c r="AE32" i="328"/>
  <c r="AJ45" i="321"/>
  <c r="AQ48" i="273"/>
  <c r="AG217" i="278"/>
  <c r="AJ236" i="288"/>
  <c r="AJ241" i="288"/>
  <c r="AJ167" i="288"/>
  <c r="AJ217" i="288"/>
  <c r="AJ72" i="321"/>
  <c r="AJ79" i="321"/>
  <c r="AJ67" i="288"/>
  <c r="AJ80" i="288"/>
  <c r="AJ161" i="288"/>
  <c r="AK57" i="273"/>
  <c r="AK63" i="273"/>
  <c r="AK64" i="273"/>
  <c r="AS245" i="306"/>
  <c r="AS663" i="307"/>
  <c r="AS220" i="307"/>
  <c r="AS668" i="307"/>
  <c r="AS256" i="306"/>
  <c r="AS102" i="314"/>
  <c r="AS607" i="307"/>
  <c r="AS613" i="307"/>
  <c r="AS266" i="306"/>
  <c r="AS84" i="288"/>
  <c r="AS233" i="306"/>
  <c r="AS673" i="307"/>
  <c r="AS648" i="307"/>
  <c r="AS276" i="306"/>
  <c r="AS239" i="306"/>
  <c r="AS618" i="307"/>
  <c r="AS251" i="306"/>
  <c r="AS228" i="288"/>
  <c r="AS643" i="307"/>
  <c r="AS261" i="306"/>
  <c r="AS623" i="307"/>
  <c r="AS78" i="288"/>
  <c r="AS234" i="288"/>
  <c r="AS5" i="265"/>
  <c r="AS628" i="307"/>
  <c r="AS5" i="328"/>
  <c r="AS5" i="277"/>
  <c r="AS5" i="309"/>
  <c r="AS5" i="286"/>
  <c r="AS5" i="278"/>
  <c r="AS5" i="289"/>
  <c r="AS5" i="304"/>
  <c r="AS5" i="282"/>
  <c r="AS271" i="306"/>
  <c r="AS5" i="321"/>
  <c r="AS5" i="314"/>
  <c r="AS5" i="315"/>
  <c r="AS5" i="275"/>
  <c r="AS5" i="285"/>
  <c r="AS5" i="273"/>
  <c r="AS5" i="288"/>
  <c r="AH92" i="278"/>
  <c r="AR44" i="273"/>
  <c r="AR45" i="273"/>
  <c r="AR48" i="273"/>
  <c r="AR38" i="289"/>
  <c r="AR133" i="288"/>
  <c r="AR23" i="288"/>
  <c r="AG223" i="278"/>
  <c r="AI91" i="278"/>
  <c r="AG155" i="278"/>
  <c r="AG10" i="265"/>
  <c r="AH154" i="278"/>
  <c r="AK565" i="321"/>
  <c r="AK179" i="278"/>
  <c r="AK701" i="321"/>
  <c r="AK708" i="321"/>
  <c r="AK104" i="314"/>
  <c r="AK644" i="321"/>
  <c r="AK246" i="278"/>
  <c r="AK453" i="321"/>
  <c r="AK136" i="314"/>
  <c r="AK63" i="286"/>
  <c r="AK603" i="321"/>
  <c r="AK617" i="321"/>
  <c r="AK129" i="314"/>
  <c r="AK239" i="278"/>
  <c r="AK230" i="278"/>
  <c r="AK573" i="321"/>
  <c r="AK713" i="321"/>
  <c r="AK100" i="278"/>
  <c r="AK652" i="321"/>
  <c r="AK622" i="321"/>
  <c r="AK497" i="321"/>
  <c r="AK545" i="321"/>
  <c r="AK57" i="314"/>
  <c r="AK540" i="321"/>
  <c r="AK694" i="321"/>
  <c r="AK283" i="278"/>
  <c r="AK31" i="289"/>
  <c r="AK32" i="289"/>
  <c r="AK37" i="289"/>
  <c r="AK39" i="289"/>
  <c r="AL39" i="289"/>
  <c r="AK148" i="278"/>
  <c r="AK581" i="321"/>
  <c r="AK675" i="321"/>
  <c r="AK204" i="278"/>
  <c r="AK659" i="321"/>
  <c r="AK636" i="321"/>
  <c r="AK306" i="278"/>
  <c r="AK50" i="314"/>
  <c r="AK17" i="314"/>
  <c r="AK551" i="321"/>
  <c r="AK319" i="278"/>
  <c r="AM674" i="321"/>
  <c r="AM262" i="273"/>
  <c r="AE31" i="288"/>
  <c r="AE181" i="288"/>
  <c r="AM75" i="273"/>
  <c r="AN76" i="273"/>
  <c r="AM53" i="273"/>
  <c r="AG17" i="328"/>
  <c r="AM552" i="321"/>
  <c r="AM268" i="278"/>
  <c r="AM292" i="278"/>
  <c r="AM33" i="286"/>
  <c r="AM212" i="278"/>
  <c r="AM15" i="286"/>
  <c r="AM566" i="321"/>
  <c r="AM109" i="273"/>
  <c r="AN110" i="273"/>
  <c r="AM637" i="321"/>
  <c r="AM92" i="286"/>
  <c r="AM187" i="278"/>
  <c r="AM16" i="288"/>
  <c r="AM17" i="288"/>
  <c r="AM162" i="278"/>
  <c r="AM623" i="321"/>
  <c r="AM110" i="286"/>
  <c r="AM11" i="282"/>
  <c r="AJ4" i="328"/>
  <c r="AJ47" i="273"/>
  <c r="AJ3" i="304"/>
  <c r="AJ3" i="285"/>
  <c r="AJ3" i="275"/>
  <c r="AJ3" i="273"/>
  <c r="AJ3" i="314"/>
  <c r="AJ3" i="289"/>
  <c r="AJ3" i="265"/>
  <c r="AJ3" i="315"/>
  <c r="AJ3" i="288"/>
  <c r="AJ3" i="278"/>
  <c r="AJ3" i="286"/>
  <c r="AJ3" i="282"/>
  <c r="AJ3" i="321"/>
  <c r="AM122" i="273"/>
  <c r="AM259" i="278"/>
  <c r="AM117" i="314"/>
  <c r="AM589" i="321"/>
  <c r="AM590" i="321"/>
  <c r="AM261" i="273"/>
  <c r="AM55" i="273"/>
  <c r="AM38" i="314"/>
  <c r="AM28" i="314"/>
  <c r="AI153" i="278"/>
  <c r="AI30" i="328"/>
  <c r="AI97" i="278"/>
  <c r="AN36" i="289"/>
  <c r="AN11" i="289"/>
  <c r="AN12" i="289"/>
  <c r="AM19" i="282"/>
  <c r="AM158" i="314"/>
  <c r="AM39" i="314"/>
  <c r="AM15" i="275"/>
  <c r="AM79" i="314"/>
  <c r="AM85" i="273"/>
  <c r="AM296" i="278"/>
  <c r="AM272" i="278"/>
  <c r="AM118" i="314"/>
  <c r="AM54" i="273"/>
  <c r="AM84" i="273"/>
  <c r="AF31" i="288"/>
  <c r="AF181" i="288"/>
  <c r="AP10" i="289"/>
  <c r="AP2" i="328"/>
  <c r="AM4" i="275"/>
  <c r="AM4" i="314"/>
  <c r="AM4" i="282"/>
  <c r="AM4" i="286"/>
  <c r="AM4" i="315"/>
  <c r="AM4" i="307"/>
  <c r="AM4" i="309"/>
  <c r="AM4" i="285"/>
  <c r="AM4" i="304"/>
  <c r="AM4" i="288"/>
  <c r="AM11" i="328"/>
  <c r="AM4" i="289"/>
  <c r="AM4" i="306"/>
  <c r="AM4" i="321"/>
  <c r="AM4" i="278"/>
  <c r="AM4" i="310"/>
  <c r="AM4" i="273"/>
  <c r="AL203" i="288"/>
  <c r="AL28" i="288"/>
  <c r="AL53" i="288"/>
  <c r="AL178" i="288"/>
  <c r="AO58" i="288"/>
  <c r="AO147" i="288"/>
  <c r="AO183" i="288"/>
  <c r="AO34" i="311"/>
  <c r="AO26" i="305"/>
  <c r="AO27" i="305"/>
  <c r="AO31" i="305"/>
  <c r="AP32" i="305"/>
  <c r="AP34" i="305"/>
  <c r="AP35" i="305"/>
  <c r="AP4" i="305"/>
  <c r="AO33" i="288"/>
  <c r="AO2" i="309"/>
  <c r="AO2" i="310"/>
  <c r="AO2" i="307"/>
  <c r="AO208" i="288"/>
  <c r="AO2" i="306"/>
  <c r="AO2" i="305"/>
  <c r="AK24" i="310"/>
  <c r="AK12" i="307"/>
  <c r="AF15" i="310"/>
  <c r="AL20" i="275"/>
  <c r="AM17" i="275"/>
  <c r="AG18" i="328"/>
  <c r="AG98" i="278"/>
  <c r="AG101" i="278"/>
  <c r="AG104" i="278"/>
  <c r="AG105" i="278"/>
  <c r="AL674" i="321"/>
  <c r="AL262" i="273"/>
  <c r="AM56" i="273"/>
  <c r="AM240" i="278"/>
  <c r="AM247" i="278"/>
  <c r="AK105" i="282"/>
  <c r="AK37" i="282"/>
  <c r="AK591" i="321"/>
  <c r="AM25" i="310"/>
  <c r="AM13" i="307"/>
  <c r="AJ147" i="278"/>
  <c r="AJ149" i="278"/>
  <c r="AN154" i="273"/>
  <c r="AN2" i="265"/>
  <c r="AN2" i="321"/>
  <c r="AN2" i="278"/>
  <c r="AN148" i="288"/>
  <c r="AN184" i="288"/>
  <c r="AN2" i="289"/>
  <c r="AN194" i="273"/>
  <c r="AN38" i="311"/>
  <c r="AN258" i="273"/>
  <c r="AN198" i="273"/>
  <c r="AN199" i="273"/>
  <c r="AN202" i="273"/>
  <c r="AN3" i="328"/>
  <c r="AN8" i="328"/>
  <c r="AN2" i="273"/>
  <c r="AN2" i="315"/>
  <c r="AN2" i="285"/>
  <c r="AN2" i="314"/>
  <c r="AN34" i="288"/>
  <c r="AN2" i="275"/>
  <c r="AN119" i="273"/>
  <c r="AN120" i="273"/>
  <c r="AN123" i="273"/>
  <c r="AN158" i="273"/>
  <c r="AN159" i="273"/>
  <c r="AN162" i="273"/>
  <c r="AN59" i="288"/>
  <c r="AN2" i="282"/>
  <c r="AN49" i="273"/>
  <c r="AN2" i="304"/>
  <c r="AN2" i="288"/>
  <c r="AN71" i="273"/>
  <c r="AN72" i="273"/>
  <c r="AN209" i="288"/>
  <c r="AN2" i="286"/>
  <c r="AI90" i="278"/>
  <c r="AM195" i="273"/>
  <c r="AI45" i="321"/>
  <c r="AI46" i="321"/>
  <c r="AI48" i="321"/>
  <c r="AI230" i="288"/>
  <c r="AI259" i="288"/>
  <c r="AI86" i="288"/>
  <c r="AI217" i="273"/>
  <c r="AH218" i="273"/>
  <c r="AI51" i="321"/>
  <c r="AI241" i="288"/>
  <c r="AI109" i="288"/>
  <c r="AI80" i="288"/>
  <c r="AI217" i="288"/>
  <c r="AI91" i="288"/>
  <c r="AI67" i="288"/>
  <c r="AI236" i="288"/>
  <c r="AI161" i="288"/>
  <c r="AI162" i="288"/>
  <c r="AI171" i="288"/>
  <c r="AI167" i="288"/>
  <c r="AL278" i="307"/>
  <c r="AL279" i="307"/>
  <c r="AL287" i="307"/>
  <c r="AL15" i="307"/>
  <c r="AL27" i="310"/>
  <c r="AL286" i="307"/>
  <c r="AG272" i="288"/>
  <c r="AG114" i="288"/>
  <c r="AG122" i="288"/>
  <c r="AG264" i="288"/>
  <c r="AM155" i="273"/>
  <c r="AP103" i="305"/>
  <c r="AP104" i="305"/>
  <c r="AP113" i="305"/>
  <c r="AP115" i="305"/>
  <c r="AP107" i="305"/>
  <c r="AP108" i="305"/>
  <c r="AP112" i="305"/>
  <c r="AL203" i="273"/>
  <c r="AK277" i="321"/>
  <c r="AK253" i="321"/>
  <c r="AK213" i="273"/>
  <c r="AK259" i="321"/>
  <c r="AK131" i="321"/>
  <c r="AK71" i="321"/>
  <c r="AK267" i="321"/>
  <c r="AN40" i="305"/>
  <c r="AM26" i="310"/>
  <c r="AM14" i="307"/>
  <c r="AL658" i="321"/>
  <c r="AL602" i="321"/>
  <c r="AK3" i="309"/>
  <c r="AK3" i="305"/>
  <c r="AK3" i="307"/>
  <c r="AK3" i="306"/>
  <c r="AK3" i="310"/>
  <c r="AK212" i="273"/>
  <c r="AK141" i="321"/>
  <c r="AK130" i="321"/>
  <c r="AK70" i="321"/>
  <c r="AK147" i="321"/>
  <c r="AK155" i="321"/>
  <c r="AK165" i="321"/>
  <c r="AJ263" i="306"/>
  <c r="AM211" i="278"/>
  <c r="AM186" i="278"/>
  <c r="AM598" i="321"/>
  <c r="AM599" i="321"/>
  <c r="AM579" i="321"/>
  <c r="AM650" i="321"/>
  <c r="AM707" i="321"/>
  <c r="AM161" i="278"/>
  <c r="AI152" i="278"/>
  <c r="AI29" i="328"/>
  <c r="AL105" i="282"/>
  <c r="AL37" i="282"/>
  <c r="AL591" i="321"/>
  <c r="AL49" i="305"/>
  <c r="AL50" i="305"/>
  <c r="AM42" i="305"/>
  <c r="AM28" i="310"/>
  <c r="AM16" i="307"/>
  <c r="AK16" i="285"/>
  <c r="AL124" i="273"/>
  <c r="AJ253" i="306"/>
  <c r="AL86" i="273"/>
  <c r="AE15" i="310"/>
  <c r="AG30" i="310"/>
  <c r="AG18" i="307"/>
  <c r="AG278" i="306"/>
  <c r="AL161" i="273"/>
  <c r="AL163" i="273"/>
  <c r="AL151" i="321"/>
  <c r="AK29" i="310"/>
  <c r="AK17" i="307"/>
  <c r="AM30" i="289"/>
  <c r="AJ39" i="321"/>
  <c r="AJ41" i="321"/>
  <c r="AJ44" i="321"/>
  <c r="AJ268" i="306"/>
  <c r="AL36" i="285"/>
  <c r="AK24" i="314"/>
  <c r="AK172" i="314"/>
  <c r="AK36" i="285"/>
  <c r="AK111" i="314"/>
  <c r="AK11" i="321"/>
  <c r="AK123" i="314"/>
  <c r="AK44" i="314"/>
  <c r="AK40" i="321"/>
  <c r="AK89" i="314"/>
  <c r="S228" i="278"/>
  <c r="S216" i="278"/>
  <c r="S219" i="278"/>
  <c r="AT674" i="307"/>
  <c r="AT619" i="307"/>
  <c r="AT221" i="307"/>
  <c r="AT669" i="307"/>
  <c r="AT664" i="307"/>
  <c r="AT644" i="307"/>
  <c r="AT246" i="306"/>
  <c r="AT262" i="306"/>
  <c r="AT267" i="306"/>
  <c r="AT614" i="307"/>
  <c r="AT649" i="307"/>
  <c r="AT629" i="307"/>
  <c r="AT277" i="306"/>
  <c r="AT624" i="307"/>
  <c r="AT240" i="306"/>
  <c r="AT252" i="306"/>
  <c r="R238" i="278"/>
  <c r="R245" i="278"/>
  <c r="R282" i="278"/>
  <c r="AJ217" i="273"/>
  <c r="AI218" i="273"/>
  <c r="AI122" i="288"/>
  <c r="AJ259" i="288"/>
  <c r="AJ91" i="288"/>
  <c r="AJ109" i="288"/>
  <c r="AJ230" i="288"/>
  <c r="AJ86" i="288"/>
  <c r="AR9" i="328"/>
  <c r="AL57" i="273"/>
  <c r="AL63" i="273"/>
  <c r="AL64" i="273"/>
  <c r="AJ46" i="321"/>
  <c r="AJ48" i="321"/>
  <c r="AI114" i="288"/>
  <c r="AG10" i="315"/>
  <c r="AJ162" i="288"/>
  <c r="AJ171" i="288"/>
  <c r="AJ91" i="278"/>
  <c r="AH27" i="328"/>
  <c r="AH17" i="328"/>
  <c r="AI30" i="310"/>
  <c r="AI92" i="278"/>
  <c r="AI98" i="278"/>
  <c r="AI101" i="278"/>
  <c r="AI104" i="278"/>
  <c r="AI105" i="278"/>
  <c r="AI192" i="278"/>
  <c r="AL123" i="314"/>
  <c r="AS44" i="273"/>
  <c r="AS45" i="273"/>
  <c r="AS9" i="328"/>
  <c r="AS133" i="288"/>
  <c r="AS38" i="289"/>
  <c r="AS23" i="288"/>
  <c r="AH98" i="278"/>
  <c r="AH101" i="278"/>
  <c r="AH104" i="278"/>
  <c r="AH105" i="278"/>
  <c r="AH18" i="328"/>
  <c r="AT668" i="307"/>
  <c r="AT102" i="314"/>
  <c r="AT220" i="307"/>
  <c r="AT245" i="306"/>
  <c r="AT256" i="306"/>
  <c r="AT648" i="307"/>
  <c r="AT233" i="306"/>
  <c r="AT239" i="306"/>
  <c r="AT623" i="307"/>
  <c r="AT673" i="307"/>
  <c r="AT5" i="328"/>
  <c r="AT628" i="307"/>
  <c r="AT261" i="306"/>
  <c r="AT613" i="307"/>
  <c r="AT271" i="306"/>
  <c r="AT266" i="306"/>
  <c r="AT663" i="307"/>
  <c r="AT607" i="307"/>
  <c r="AT276" i="306"/>
  <c r="AT618" i="307"/>
  <c r="AT251" i="306"/>
  <c r="AT228" i="288"/>
  <c r="AT78" i="288"/>
  <c r="AT234" i="288"/>
  <c r="AT84" i="288"/>
  <c r="AT5" i="265"/>
  <c r="AT5" i="285"/>
  <c r="AT5" i="304"/>
  <c r="AT5" i="273"/>
  <c r="AT5" i="277"/>
  <c r="AT5" i="321"/>
  <c r="AT5" i="286"/>
  <c r="AT5" i="314"/>
  <c r="AT5" i="315"/>
  <c r="AT643" i="307"/>
  <c r="AT5" i="275"/>
  <c r="AT5" i="288"/>
  <c r="AT5" i="282"/>
  <c r="AT5" i="278"/>
  <c r="AT5" i="309"/>
  <c r="AT5" i="289"/>
  <c r="AM20" i="275"/>
  <c r="AN17" i="275"/>
  <c r="AH155" i="278"/>
  <c r="AH223" i="278"/>
  <c r="AH217" i="278"/>
  <c r="AH213" i="278"/>
  <c r="AH214" i="278"/>
  <c r="AH218" i="278"/>
  <c r="AI154" i="278"/>
  <c r="AI213" i="278"/>
  <c r="AI214" i="278"/>
  <c r="AI218" i="278"/>
  <c r="AK72" i="321"/>
  <c r="AK79" i="321"/>
  <c r="AJ97" i="278"/>
  <c r="AN272" i="278"/>
  <c r="AN39" i="314"/>
  <c r="AN79" i="314"/>
  <c r="AN296" i="278"/>
  <c r="AN15" i="275"/>
  <c r="AN85" i="273"/>
  <c r="AN19" i="282"/>
  <c r="AN158" i="314"/>
  <c r="AN118" i="314"/>
  <c r="AL130" i="321"/>
  <c r="AL165" i="321"/>
  <c r="AL155" i="321"/>
  <c r="AL70" i="321"/>
  <c r="AL212" i="273"/>
  <c r="AL141" i="321"/>
  <c r="AL147" i="321"/>
  <c r="AO39" i="305"/>
  <c r="AJ90" i="278"/>
  <c r="AO89" i="305"/>
  <c r="AP90" i="305"/>
  <c r="AP41" i="305"/>
  <c r="AO100" i="306"/>
  <c r="AO105" i="306"/>
  <c r="AM49" i="305"/>
  <c r="AM50" i="305"/>
  <c r="AM86" i="273"/>
  <c r="AN46" i="289"/>
  <c r="AN30" i="289"/>
  <c r="AN15" i="289"/>
  <c r="AL230" i="278"/>
  <c r="AL581" i="321"/>
  <c r="AL675" i="321"/>
  <c r="AL179" i="278"/>
  <c r="AL617" i="321"/>
  <c r="AL246" i="278"/>
  <c r="AL652" i="321"/>
  <c r="AL31" i="289"/>
  <c r="AL32" i="289"/>
  <c r="AL37" i="289"/>
  <c r="AL306" i="278"/>
  <c r="AL16" i="289"/>
  <c r="AL17" i="289"/>
  <c r="AL22" i="289"/>
  <c r="AL713" i="321"/>
  <c r="AL659" i="321"/>
  <c r="AL453" i="321"/>
  <c r="AL694" i="321"/>
  <c r="AL565" i="321"/>
  <c r="AL148" i="278"/>
  <c r="AL239" i="278"/>
  <c r="AL100" i="278"/>
  <c r="AL622" i="321"/>
  <c r="AL319" i="278"/>
  <c r="AL47" i="289"/>
  <c r="AL48" i="289"/>
  <c r="AL53" i="289"/>
  <c r="AL50" i="314"/>
  <c r="AL57" i="314"/>
  <c r="AL17" i="314"/>
  <c r="AL573" i="321"/>
  <c r="AL540" i="321"/>
  <c r="AL644" i="321"/>
  <c r="AL129" i="314"/>
  <c r="AL701" i="321"/>
  <c r="AL708" i="321"/>
  <c r="AL603" i="321"/>
  <c r="AL104" i="314"/>
  <c r="AL204" i="278"/>
  <c r="AL636" i="321"/>
  <c r="AL497" i="321"/>
  <c r="AL63" i="286"/>
  <c r="AL545" i="321"/>
  <c r="AL551" i="321"/>
  <c r="AL283" i="278"/>
  <c r="AL136" i="314"/>
  <c r="AL89" i="314"/>
  <c r="AL24" i="314"/>
  <c r="AL3" i="306"/>
  <c r="AL3" i="305"/>
  <c r="AL3" i="307"/>
  <c r="AL3" i="310"/>
  <c r="AL3" i="309"/>
  <c r="AM658" i="321"/>
  <c r="AM602" i="321"/>
  <c r="AK268" i="306"/>
  <c r="AL277" i="321"/>
  <c r="AL267" i="321"/>
  <c r="AL213" i="273"/>
  <c r="AL253" i="321"/>
  <c r="AL131" i="321"/>
  <c r="AL259" i="321"/>
  <c r="AL71" i="321"/>
  <c r="AM151" i="321"/>
  <c r="AM161" i="273"/>
  <c r="AM163" i="273"/>
  <c r="AN195" i="273"/>
  <c r="AJ30" i="328"/>
  <c r="AJ153" i="278"/>
  <c r="AO36" i="289"/>
  <c r="AG188" i="278"/>
  <c r="AG189" i="278"/>
  <c r="AG193" i="278"/>
  <c r="AG9" i="315"/>
  <c r="AG197" i="278"/>
  <c r="AG192" i="278"/>
  <c r="AK263" i="306"/>
  <c r="AH18" i="307"/>
  <c r="AH278" i="306"/>
  <c r="AH30" i="310"/>
  <c r="AM263" i="273"/>
  <c r="AK39" i="321"/>
  <c r="AK41" i="321"/>
  <c r="AK44" i="321"/>
  <c r="AL24" i="310"/>
  <c r="AL12" i="307"/>
  <c r="AN53" i="273"/>
  <c r="AN75" i="273"/>
  <c r="AO76" i="273"/>
  <c r="AN259" i="273"/>
  <c r="AO154" i="273"/>
  <c r="AO155" i="273"/>
  <c r="AO71" i="273"/>
  <c r="AO72" i="273"/>
  <c r="AO148" i="288"/>
  <c r="AO2" i="285"/>
  <c r="AO184" i="288"/>
  <c r="AO2" i="289"/>
  <c r="AO2" i="286"/>
  <c r="AO258" i="273"/>
  <c r="AO259" i="273"/>
  <c r="AO34" i="288"/>
  <c r="AO2" i="314"/>
  <c r="AO198" i="273"/>
  <c r="AO199" i="273"/>
  <c r="AO202" i="273"/>
  <c r="AO2" i="265"/>
  <c r="AO2" i="273"/>
  <c r="AO2" i="275"/>
  <c r="AO2" i="282"/>
  <c r="AO2" i="321"/>
  <c r="AO38" i="311"/>
  <c r="AO194" i="273"/>
  <c r="AO195" i="273"/>
  <c r="AO2" i="304"/>
  <c r="AO119" i="273"/>
  <c r="AO120" i="273"/>
  <c r="AO123" i="273"/>
  <c r="AO158" i="273"/>
  <c r="AO159" i="273"/>
  <c r="AO162" i="273"/>
  <c r="AO3" i="328"/>
  <c r="AO8" i="328"/>
  <c r="AO2" i="278"/>
  <c r="AO49" i="273"/>
  <c r="AO209" i="288"/>
  <c r="AO2" i="315"/>
  <c r="AO59" i="288"/>
  <c r="AO2" i="288"/>
  <c r="AQ2" i="328"/>
  <c r="AL44" i="314"/>
  <c r="AN105" i="306"/>
  <c r="AN100" i="306"/>
  <c r="AN89" i="305"/>
  <c r="AO90" i="305"/>
  <c r="AO41" i="305"/>
  <c r="AM124" i="273"/>
  <c r="AL16" i="285"/>
  <c r="AL24" i="265"/>
  <c r="AL59" i="315"/>
  <c r="AL22" i="315"/>
  <c r="AL61" i="265"/>
  <c r="AL17" i="307"/>
  <c r="AL29" i="310"/>
  <c r="AP58" i="288"/>
  <c r="AP34" i="311"/>
  <c r="AP2" i="306"/>
  <c r="AP26" i="305"/>
  <c r="AP27" i="305"/>
  <c r="AP31" i="305"/>
  <c r="AQ32" i="305"/>
  <c r="AQ34" i="305"/>
  <c r="AQ35" i="305"/>
  <c r="AQ4" i="305"/>
  <c r="AP147" i="288"/>
  <c r="AP2" i="310"/>
  <c r="AP2" i="307"/>
  <c r="AP2" i="305"/>
  <c r="AP183" i="288"/>
  <c r="AP2" i="309"/>
  <c r="AP33" i="288"/>
  <c r="AP208" i="288"/>
  <c r="AH122" i="288"/>
  <c r="AH114" i="288"/>
  <c r="AH272" i="288"/>
  <c r="AH264" i="288"/>
  <c r="AM201" i="273"/>
  <c r="AM203" i="273"/>
  <c r="AM263" i="321"/>
  <c r="AN579" i="321"/>
  <c r="AN186" i="278"/>
  <c r="AN598" i="321"/>
  <c r="AN599" i="321"/>
  <c r="AN707" i="321"/>
  <c r="AN211" i="278"/>
  <c r="AN161" i="278"/>
  <c r="AN650" i="321"/>
  <c r="AN11" i="282"/>
  <c r="AN268" i="278"/>
  <c r="AN637" i="321"/>
  <c r="AN110" i="286"/>
  <c r="AN623" i="321"/>
  <c r="AN16" i="288"/>
  <c r="AN17" i="288"/>
  <c r="AN566" i="321"/>
  <c r="AN187" i="278"/>
  <c r="AN15" i="286"/>
  <c r="AN162" i="278"/>
  <c r="AN33" i="286"/>
  <c r="AN109" i="273"/>
  <c r="AO110" i="273"/>
  <c r="AN212" i="278"/>
  <c r="AN292" i="278"/>
  <c r="AN92" i="286"/>
  <c r="AN552" i="321"/>
  <c r="AJ29" i="328"/>
  <c r="AJ152" i="278"/>
  <c r="AK59" i="315"/>
  <c r="AK22" i="315"/>
  <c r="AK61" i="265"/>
  <c r="AK24" i="265"/>
  <c r="AM278" i="307"/>
  <c r="AM279" i="307"/>
  <c r="AM287" i="307"/>
  <c r="AM15" i="307"/>
  <c r="AM286" i="307"/>
  <c r="AM27" i="310"/>
  <c r="AK253" i="306"/>
  <c r="AN55" i="273"/>
  <c r="AN259" i="278"/>
  <c r="AN28" i="314"/>
  <c r="AN117" i="314"/>
  <c r="AN261" i="273"/>
  <c r="AN122" i="273"/>
  <c r="AN38" i="314"/>
  <c r="AN589" i="321"/>
  <c r="AN590" i="321"/>
  <c r="AM105" i="282"/>
  <c r="AM591" i="321"/>
  <c r="AM37" i="282"/>
  <c r="AM203" i="288"/>
  <c r="AM178" i="288"/>
  <c r="AM53" i="288"/>
  <c r="AM28" i="288"/>
  <c r="AN56" i="273"/>
  <c r="AN247" i="278"/>
  <c r="AN240" i="278"/>
  <c r="AN84" i="273"/>
  <c r="AN54" i="273"/>
  <c r="AK3" i="275"/>
  <c r="AK47" i="273"/>
  <c r="AK3" i="285"/>
  <c r="AK3" i="315"/>
  <c r="AK3" i="289"/>
  <c r="AK4" i="328"/>
  <c r="AK3" i="304"/>
  <c r="AK3" i="321"/>
  <c r="AK3" i="314"/>
  <c r="AK3" i="286"/>
  <c r="AK3" i="288"/>
  <c r="AK3" i="265"/>
  <c r="AK3" i="278"/>
  <c r="AK3" i="273"/>
  <c r="AK3" i="282"/>
  <c r="AG92" i="306"/>
  <c r="AG93" i="306"/>
  <c r="AG24" i="288"/>
  <c r="AG25" i="288"/>
  <c r="AQ103" i="305"/>
  <c r="AQ104" i="305"/>
  <c r="AQ113" i="305"/>
  <c r="AQ115" i="305"/>
  <c r="AQ107" i="305"/>
  <c r="AQ108" i="305"/>
  <c r="AQ112" i="305"/>
  <c r="AN11" i="328"/>
  <c r="AN4" i="282"/>
  <c r="AN4" i="321"/>
  <c r="AN4" i="278"/>
  <c r="AN4" i="310"/>
  <c r="AN4" i="306"/>
  <c r="AN4" i="285"/>
  <c r="AN4" i="275"/>
  <c r="AN4" i="288"/>
  <c r="AN4" i="304"/>
  <c r="AN4" i="314"/>
  <c r="AN4" i="289"/>
  <c r="AN4" i="273"/>
  <c r="AN4" i="315"/>
  <c r="AN4" i="309"/>
  <c r="AN4" i="286"/>
  <c r="AN4" i="307"/>
  <c r="AL40" i="321"/>
  <c r="AK214" i="273"/>
  <c r="AN155" i="273"/>
  <c r="AN39" i="305"/>
  <c r="AN42" i="305"/>
  <c r="AG172" i="278"/>
  <c r="AG11" i="265"/>
  <c r="AG32" i="328"/>
  <c r="AG27" i="328"/>
  <c r="AG167" i="278"/>
  <c r="AG163" i="278"/>
  <c r="AG164" i="278"/>
  <c r="AG168" i="278"/>
  <c r="AK147" i="278"/>
  <c r="AK149" i="278"/>
  <c r="AL111" i="314"/>
  <c r="AL11" i="321"/>
  <c r="AL172" i="314"/>
  <c r="Z9" i="310"/>
  <c r="Z283" i="307"/>
  <c r="S224" i="278"/>
  <c r="S225" i="278"/>
  <c r="S220" i="278"/>
  <c r="AU664" i="307"/>
  <c r="AU644" i="307"/>
  <c r="AU674" i="307"/>
  <c r="AU619" i="307"/>
  <c r="AU221" i="307"/>
  <c r="AU669" i="307"/>
  <c r="AU267" i="306"/>
  <c r="AU246" i="306"/>
  <c r="AU262" i="306"/>
  <c r="AU649" i="307"/>
  <c r="AU629" i="307"/>
  <c r="AU277" i="306"/>
  <c r="AU614" i="307"/>
  <c r="AU624" i="307"/>
  <c r="AU240" i="306"/>
  <c r="AU252" i="306"/>
  <c r="AI272" i="288"/>
  <c r="AI264" i="288"/>
  <c r="AM57" i="273"/>
  <c r="AN57" i="273"/>
  <c r="AM44" i="314"/>
  <c r="AI9" i="315"/>
  <c r="AI217" i="278"/>
  <c r="AM172" i="314"/>
  <c r="AI188" i="278"/>
  <c r="AI189" i="278"/>
  <c r="AI193" i="278"/>
  <c r="AG11" i="315"/>
  <c r="AI18" i="307"/>
  <c r="AI223" i="278"/>
  <c r="AJ92" i="278"/>
  <c r="AJ18" i="328"/>
  <c r="AS48" i="273"/>
  <c r="AI155" i="278"/>
  <c r="AI10" i="315"/>
  <c r="AJ17" i="328"/>
  <c r="AH167" i="278"/>
  <c r="AH163" i="278"/>
  <c r="AH164" i="278"/>
  <c r="AH168" i="278"/>
  <c r="AH172" i="278"/>
  <c r="AL214" i="273"/>
  <c r="AL45" i="321"/>
  <c r="AI197" i="278"/>
  <c r="AI18" i="328"/>
  <c r="AI278" i="306"/>
  <c r="AU663" i="307"/>
  <c r="AU102" i="314"/>
  <c r="AU245" i="306"/>
  <c r="AU256" i="306"/>
  <c r="AU668" i="307"/>
  <c r="AU643" i="307"/>
  <c r="AU276" i="306"/>
  <c r="AU618" i="307"/>
  <c r="AU228" i="288"/>
  <c r="AU220" i="307"/>
  <c r="AU648" i="307"/>
  <c r="AU623" i="307"/>
  <c r="AU628" i="307"/>
  <c r="AU673" i="307"/>
  <c r="AU613" i="307"/>
  <c r="AU261" i="306"/>
  <c r="AU239" i="306"/>
  <c r="AU607" i="307"/>
  <c r="AU271" i="306"/>
  <c r="AU233" i="306"/>
  <c r="AU266" i="306"/>
  <c r="AU251" i="306"/>
  <c r="AU78" i="288"/>
  <c r="AU234" i="288"/>
  <c r="AU84" i="288"/>
  <c r="AU5" i="321"/>
  <c r="AU5" i="289"/>
  <c r="AU5" i="315"/>
  <c r="AU5" i="282"/>
  <c r="AU5" i="328"/>
  <c r="AU5" i="304"/>
  <c r="AU5" i="286"/>
  <c r="AU5" i="285"/>
  <c r="AU5" i="265"/>
  <c r="AU5" i="277"/>
  <c r="AU5" i="275"/>
  <c r="AU5" i="314"/>
  <c r="AU5" i="278"/>
  <c r="AU5" i="309"/>
  <c r="AU5" i="273"/>
  <c r="AU5" i="288"/>
  <c r="AH192" i="278"/>
  <c r="AH188" i="278"/>
  <c r="AH189" i="278"/>
  <c r="AH193" i="278"/>
  <c r="AH197" i="278"/>
  <c r="AH9" i="315"/>
  <c r="AT44" i="273"/>
  <c r="AT45" i="273"/>
  <c r="AT9" i="328"/>
  <c r="AT38" i="289"/>
  <c r="AT23" i="288"/>
  <c r="AT133" i="288"/>
  <c r="AI17" i="328"/>
  <c r="AH10" i="265"/>
  <c r="AH10" i="315"/>
  <c r="AN20" i="275"/>
  <c r="AO17" i="275"/>
  <c r="AK91" i="278"/>
  <c r="AN263" i="273"/>
  <c r="AM131" i="321"/>
  <c r="AM277" i="321"/>
  <c r="AM253" i="321"/>
  <c r="AM259" i="321"/>
  <c r="AM213" i="273"/>
  <c r="AM267" i="321"/>
  <c r="AM71" i="321"/>
  <c r="AO263" i="321"/>
  <c r="AO201" i="273"/>
  <c r="AM147" i="321"/>
  <c r="AM165" i="321"/>
  <c r="AM130" i="321"/>
  <c r="AM70" i="321"/>
  <c r="AM212" i="273"/>
  <c r="AM141" i="321"/>
  <c r="AM155" i="321"/>
  <c r="AK90" i="278"/>
  <c r="AK97" i="278"/>
  <c r="AN105" i="282"/>
  <c r="AN591" i="321"/>
  <c r="AN37" i="282"/>
  <c r="AO56" i="273"/>
  <c r="AO240" i="278"/>
  <c r="AO247" i="278"/>
  <c r="AO272" i="278"/>
  <c r="AO85" i="273"/>
  <c r="AO158" i="314"/>
  <c r="AO79" i="314"/>
  <c r="AO39" i="314"/>
  <c r="AO118" i="314"/>
  <c r="AO296" i="278"/>
  <c r="AO15" i="275"/>
  <c r="AO19" i="282"/>
  <c r="AL253" i="306"/>
  <c r="AM40" i="321"/>
  <c r="AM36" i="285"/>
  <c r="AL147" i="278"/>
  <c r="AL149" i="278"/>
  <c r="AQ26" i="305"/>
  <c r="AQ27" i="305"/>
  <c r="AQ31" i="305"/>
  <c r="AR32" i="305"/>
  <c r="AR34" i="305"/>
  <c r="AR35" i="305"/>
  <c r="AR4" i="305"/>
  <c r="AQ2" i="305"/>
  <c r="AQ33" i="288"/>
  <c r="AQ2" i="310"/>
  <c r="AQ183" i="288"/>
  <c r="AQ208" i="288"/>
  <c r="AQ34" i="311"/>
  <c r="AQ2" i="307"/>
  <c r="AQ147" i="288"/>
  <c r="AQ2" i="309"/>
  <c r="AQ2" i="306"/>
  <c r="AQ58" i="288"/>
  <c r="AN16" i="307"/>
  <c r="AN28" i="310"/>
  <c r="AO674" i="321"/>
  <c r="AO262" i="273"/>
  <c r="AN201" i="273"/>
  <c r="AN203" i="273"/>
  <c r="AN263" i="321"/>
  <c r="AL263" i="306"/>
  <c r="AM581" i="321"/>
  <c r="AM675" i="321"/>
  <c r="AM148" i="278"/>
  <c r="AM104" i="314"/>
  <c r="AM100" i="278"/>
  <c r="AM652" i="321"/>
  <c r="AM453" i="321"/>
  <c r="AM129" i="314"/>
  <c r="AM545" i="321"/>
  <c r="AM17" i="314"/>
  <c r="AM230" i="278"/>
  <c r="AM319" i="278"/>
  <c r="AM694" i="321"/>
  <c r="AM551" i="321"/>
  <c r="AM603" i="321"/>
  <c r="AM540" i="321"/>
  <c r="AM246" i="278"/>
  <c r="AM204" i="278"/>
  <c r="AM659" i="321"/>
  <c r="AM497" i="321"/>
  <c r="AM63" i="286"/>
  <c r="AM136" i="314"/>
  <c r="AM573" i="321"/>
  <c r="AM636" i="321"/>
  <c r="AM57" i="314"/>
  <c r="AM708" i="321"/>
  <c r="AM565" i="321"/>
  <c r="AM179" i="278"/>
  <c r="AM701" i="321"/>
  <c r="AM622" i="321"/>
  <c r="AM283" i="278"/>
  <c r="AM617" i="321"/>
  <c r="AM306" i="278"/>
  <c r="AM31" i="289"/>
  <c r="AM32" i="289"/>
  <c r="AM37" i="289"/>
  <c r="AM39" i="289"/>
  <c r="AN39" i="289"/>
  <c r="AM713" i="321"/>
  <c r="AM239" i="278"/>
  <c r="AM644" i="321"/>
  <c r="AM50" i="314"/>
  <c r="AN86" i="273"/>
  <c r="AO28" i="310"/>
  <c r="AO16" i="307"/>
  <c r="AL72" i="321"/>
  <c r="AL79" i="321"/>
  <c r="AN26" i="310"/>
  <c r="AN14" i="307"/>
  <c r="AO40" i="305"/>
  <c r="AO42" i="305"/>
  <c r="AP39" i="305"/>
  <c r="AN130" i="307"/>
  <c r="AO30" i="289"/>
  <c r="AM89" i="314"/>
  <c r="AM123" i="314"/>
  <c r="AM24" i="314"/>
  <c r="AK152" i="278"/>
  <c r="AK29" i="328"/>
  <c r="AP119" i="273"/>
  <c r="AP120" i="273"/>
  <c r="AP123" i="273"/>
  <c r="AP154" i="273"/>
  <c r="AP155" i="273"/>
  <c r="AP59" i="288"/>
  <c r="AP2" i="282"/>
  <c r="AP2" i="286"/>
  <c r="AP2" i="273"/>
  <c r="AP2" i="289"/>
  <c r="AP3" i="328"/>
  <c r="AP8" i="328"/>
  <c r="AP2" i="321"/>
  <c r="AP71" i="273"/>
  <c r="AP72" i="273"/>
  <c r="AP198" i="273"/>
  <c r="AP199" i="273"/>
  <c r="AP202" i="273"/>
  <c r="AP38" i="311"/>
  <c r="AP184" i="288"/>
  <c r="AP2" i="278"/>
  <c r="AP209" i="288"/>
  <c r="AP2" i="285"/>
  <c r="AP258" i="273"/>
  <c r="AP259" i="273"/>
  <c r="AP2" i="288"/>
  <c r="AP2" i="314"/>
  <c r="AP158" i="273"/>
  <c r="AP159" i="273"/>
  <c r="AP162" i="273"/>
  <c r="AP2" i="265"/>
  <c r="AP2" i="315"/>
  <c r="AP2" i="275"/>
  <c r="AP34" i="288"/>
  <c r="AP2" i="304"/>
  <c r="AP49" i="273"/>
  <c r="AP194" i="273"/>
  <c r="AP148" i="288"/>
  <c r="AN13" i="307"/>
  <c r="AN25" i="310"/>
  <c r="AM24" i="310"/>
  <c r="AM12" i="307"/>
  <c r="AO161" i="273"/>
  <c r="AO151" i="321"/>
  <c r="AM59" i="315"/>
  <c r="AM24" i="265"/>
  <c r="AM22" i="315"/>
  <c r="AM61" i="265"/>
  <c r="AJ154" i="278"/>
  <c r="AN178" i="288"/>
  <c r="AN28" i="288"/>
  <c r="AN203" i="288"/>
  <c r="AN53" i="288"/>
  <c r="AG15" i="310"/>
  <c r="AR10" i="289"/>
  <c r="AR2" i="328"/>
  <c r="AN262" i="273"/>
  <c r="AN674" i="321"/>
  <c r="AL4" i="328"/>
  <c r="AL3" i="321"/>
  <c r="AL3" i="285"/>
  <c r="AL3" i="289"/>
  <c r="AL3" i="275"/>
  <c r="AL3" i="278"/>
  <c r="AL3" i="288"/>
  <c r="AL3" i="282"/>
  <c r="AL3" i="273"/>
  <c r="AL47" i="273"/>
  <c r="AL3" i="265"/>
  <c r="AL3" i="315"/>
  <c r="AL3" i="304"/>
  <c r="AL3" i="314"/>
  <c r="AL3" i="286"/>
  <c r="AH92" i="306"/>
  <c r="AH93" i="306"/>
  <c r="AH24" i="288"/>
  <c r="AH25" i="288"/>
  <c r="AL268" i="306"/>
  <c r="AP40" i="305"/>
  <c r="AO14" i="307"/>
  <c r="AO26" i="310"/>
  <c r="AG31" i="288"/>
  <c r="AG181" i="288"/>
  <c r="AN602" i="321"/>
  <c r="AN658" i="321"/>
  <c r="AN124" i="273"/>
  <c r="AM16" i="285"/>
  <c r="AO75" i="273"/>
  <c r="AP76" i="273"/>
  <c r="AO53" i="273"/>
  <c r="AJ18" i="307"/>
  <c r="AN49" i="305"/>
  <c r="AN50" i="305"/>
  <c r="AO25" i="310"/>
  <c r="AO13" i="307"/>
  <c r="AL86" i="288"/>
  <c r="AO28" i="314"/>
  <c r="AO261" i="273"/>
  <c r="AO38" i="314"/>
  <c r="AO122" i="273"/>
  <c r="AO117" i="314"/>
  <c r="AO589" i="321"/>
  <c r="AO590" i="321"/>
  <c r="AO259" i="278"/>
  <c r="AO55" i="273"/>
  <c r="AM11" i="321"/>
  <c r="AM111" i="314"/>
  <c r="AK30" i="328"/>
  <c r="AK153" i="278"/>
  <c r="AP11" i="289"/>
  <c r="AP12" i="289"/>
  <c r="AP36" i="289"/>
  <c r="AN151" i="321"/>
  <c r="AN161" i="273"/>
  <c r="AN163" i="273"/>
  <c r="AM17" i="307"/>
  <c r="AM29" i="310"/>
  <c r="AK45" i="321"/>
  <c r="AK46" i="321"/>
  <c r="AK48" i="321"/>
  <c r="AK217" i="273"/>
  <c r="AJ218" i="273"/>
  <c r="AK259" i="288"/>
  <c r="AK236" i="288"/>
  <c r="AK217" i="288"/>
  <c r="AK51" i="321"/>
  <c r="AK91" i="288"/>
  <c r="AK109" i="288"/>
  <c r="AK80" i="288"/>
  <c r="AK67" i="288"/>
  <c r="AK167" i="288"/>
  <c r="AK86" i="288"/>
  <c r="AK230" i="288"/>
  <c r="AK161" i="288"/>
  <c r="AK162" i="288"/>
  <c r="AK171" i="288"/>
  <c r="AK241" i="288"/>
  <c r="AR103" i="305"/>
  <c r="AR104" i="305"/>
  <c r="AR113" i="305"/>
  <c r="AR115" i="305"/>
  <c r="AR107" i="305"/>
  <c r="AR108" i="305"/>
  <c r="AR112" i="305"/>
  <c r="AO707" i="321"/>
  <c r="AO186" i="278"/>
  <c r="AO579" i="321"/>
  <c r="AO161" i="278"/>
  <c r="AO650" i="321"/>
  <c r="AO211" i="278"/>
  <c r="AO598" i="321"/>
  <c r="AO599" i="321"/>
  <c r="AO16" i="288"/>
  <c r="AO17" i="288"/>
  <c r="AO162" i="278"/>
  <c r="AO637" i="321"/>
  <c r="AO110" i="286"/>
  <c r="AO566" i="321"/>
  <c r="AO15" i="286"/>
  <c r="AO212" i="278"/>
  <c r="AO268" i="278"/>
  <c r="AO623" i="321"/>
  <c r="AO33" i="286"/>
  <c r="AO109" i="273"/>
  <c r="AP110" i="273"/>
  <c r="AO11" i="282"/>
  <c r="AO552" i="321"/>
  <c r="AO187" i="278"/>
  <c r="AO92" i="286"/>
  <c r="AO292" i="278"/>
  <c r="AO54" i="273"/>
  <c r="AO84" i="273"/>
  <c r="AO4" i="288"/>
  <c r="AO4" i="321"/>
  <c r="AO4" i="314"/>
  <c r="AO4" i="275"/>
  <c r="AO4" i="282"/>
  <c r="AO4" i="309"/>
  <c r="AO4" i="306"/>
  <c r="AO4" i="289"/>
  <c r="AO4" i="273"/>
  <c r="AO4" i="315"/>
  <c r="AO4" i="304"/>
  <c r="AO4" i="278"/>
  <c r="AO4" i="286"/>
  <c r="AO4" i="310"/>
  <c r="AO4" i="307"/>
  <c r="AO11" i="328"/>
  <c r="AO4" i="285"/>
  <c r="AL39" i="321"/>
  <c r="AL41" i="321"/>
  <c r="AL44" i="321"/>
  <c r="AM3" i="306"/>
  <c r="AM3" i="310"/>
  <c r="AM3" i="307"/>
  <c r="AM3" i="305"/>
  <c r="AM3" i="309"/>
  <c r="AV669" i="307"/>
  <c r="AV664" i="307"/>
  <c r="AV644" i="307"/>
  <c r="AV674" i="307"/>
  <c r="AV619" i="307"/>
  <c r="AV221" i="307"/>
  <c r="AV267" i="306"/>
  <c r="AV246" i="306"/>
  <c r="AV262" i="306"/>
  <c r="AV649" i="307"/>
  <c r="AV629" i="307"/>
  <c r="AV277" i="306"/>
  <c r="AV614" i="307"/>
  <c r="AV240" i="306"/>
  <c r="AV252" i="306"/>
  <c r="AV624" i="307"/>
  <c r="T222" i="278"/>
  <c r="S229" i="278"/>
  <c r="S231" i="278"/>
  <c r="S116" i="265"/>
  <c r="S112" i="315"/>
  <c r="S254" i="278"/>
  <c r="S42" i="315"/>
  <c r="S44" i="265"/>
  <c r="AM63" i="273"/>
  <c r="AM64" i="273"/>
  <c r="AJ30" i="310"/>
  <c r="AT48" i="273"/>
  <c r="AJ172" i="278"/>
  <c r="AL241" i="288"/>
  <c r="AL230" i="288"/>
  <c r="AJ278" i="306"/>
  <c r="AI11" i="315"/>
  <c r="AL109" i="288"/>
  <c r="AL91" i="288"/>
  <c r="AL217" i="288"/>
  <c r="AL259" i="288"/>
  <c r="AL67" i="288"/>
  <c r="AL167" i="288"/>
  <c r="AI92" i="306"/>
  <c r="AI93" i="306"/>
  <c r="AI24" i="288"/>
  <c r="AI25" i="288"/>
  <c r="AI181" i="288"/>
  <c r="AL51" i="321"/>
  <c r="AL217" i="273"/>
  <c r="AK218" i="273"/>
  <c r="AK122" i="288"/>
  <c r="AL236" i="288"/>
  <c r="AL161" i="288"/>
  <c r="AL162" i="288"/>
  <c r="AL171" i="288"/>
  <c r="AL80" i="288"/>
  <c r="AJ98" i="278"/>
  <c r="AJ101" i="278"/>
  <c r="AJ104" i="278"/>
  <c r="AJ105" i="278"/>
  <c r="AJ188" i="278"/>
  <c r="AJ189" i="278"/>
  <c r="AJ193" i="278"/>
  <c r="AI10" i="265"/>
  <c r="AM72" i="321"/>
  <c r="AM79" i="321"/>
  <c r="AH11" i="265"/>
  <c r="AH32" i="328"/>
  <c r="AJ163" i="278"/>
  <c r="AJ164" i="278"/>
  <c r="AJ168" i="278"/>
  <c r="AJ167" i="278"/>
  <c r="AK92" i="278"/>
  <c r="AJ27" i="328"/>
  <c r="AO20" i="275"/>
  <c r="AP17" i="275"/>
  <c r="AH11" i="315"/>
  <c r="AV668" i="307"/>
  <c r="AV220" i="307"/>
  <c r="AV256" i="306"/>
  <c r="AV663" i="307"/>
  <c r="AV628" i="307"/>
  <c r="AV271" i="306"/>
  <c r="AV261" i="306"/>
  <c r="AV251" i="306"/>
  <c r="AV78" i="288"/>
  <c r="AV607" i="307"/>
  <c r="AV233" i="306"/>
  <c r="AV245" i="306"/>
  <c r="AV648" i="307"/>
  <c r="AV276" i="306"/>
  <c r="AV266" i="306"/>
  <c r="AV623" i="307"/>
  <c r="AV643" i="307"/>
  <c r="AV673" i="307"/>
  <c r="AV239" i="306"/>
  <c r="AV228" i="288"/>
  <c r="AV84" i="288"/>
  <c r="AV5" i="328"/>
  <c r="AV5" i="265"/>
  <c r="AV102" i="314"/>
  <c r="AV618" i="307"/>
  <c r="AV613" i="307"/>
  <c r="AV5" i="278"/>
  <c r="AV5" i="315"/>
  <c r="AV5" i="273"/>
  <c r="AV234" i="288"/>
  <c r="AV5" i="309"/>
  <c r="AV5" i="286"/>
  <c r="AV5" i="288"/>
  <c r="AV5" i="285"/>
  <c r="AV5" i="282"/>
  <c r="AV5" i="314"/>
  <c r="AV5" i="277"/>
  <c r="AV5" i="321"/>
  <c r="AV5" i="289"/>
  <c r="AV5" i="275"/>
  <c r="AV5" i="304"/>
  <c r="AI167" i="278"/>
  <c r="AI163" i="278"/>
  <c r="AI164" i="278"/>
  <c r="AI168" i="278"/>
  <c r="AI172" i="278"/>
  <c r="AI27" i="328"/>
  <c r="AU38" i="289"/>
  <c r="AU133" i="288"/>
  <c r="AU44" i="273"/>
  <c r="AU45" i="273"/>
  <c r="AU9" i="328"/>
  <c r="AU23" i="288"/>
  <c r="AO263" i="273"/>
  <c r="AM214" i="273"/>
  <c r="AN212" i="273"/>
  <c r="AN141" i="321"/>
  <c r="AN70" i="321"/>
  <c r="AN155" i="321"/>
  <c r="AN130" i="321"/>
  <c r="AN147" i="321"/>
  <c r="AN165" i="321"/>
  <c r="AO163" i="273"/>
  <c r="AL90" i="278"/>
  <c r="AP240" i="278"/>
  <c r="AP247" i="278"/>
  <c r="AP56" i="273"/>
  <c r="AL46" i="321"/>
  <c r="AL48" i="321"/>
  <c r="AM39" i="321"/>
  <c r="AM41" i="321"/>
  <c r="AM44" i="321"/>
  <c r="AP272" i="278"/>
  <c r="AP39" i="314"/>
  <c r="AP79" i="314"/>
  <c r="AP158" i="314"/>
  <c r="AP15" i="275"/>
  <c r="AP85" i="273"/>
  <c r="AP19" i="282"/>
  <c r="AP296" i="278"/>
  <c r="AP118" i="314"/>
  <c r="AN3" i="306"/>
  <c r="AN3" i="307"/>
  <c r="AN3" i="309"/>
  <c r="AN3" i="305"/>
  <c r="AN3" i="310"/>
  <c r="AJ92" i="306"/>
  <c r="AJ93" i="306"/>
  <c r="AJ24" i="288"/>
  <c r="AJ25" i="288"/>
  <c r="AO124" i="273"/>
  <c r="AN16" i="285"/>
  <c r="AJ223" i="278"/>
  <c r="AJ155" i="278"/>
  <c r="AJ213" i="278"/>
  <c r="AJ214" i="278"/>
  <c r="AJ218" i="278"/>
  <c r="AJ217" i="278"/>
  <c r="AN29" i="310"/>
  <c r="AN17" i="307"/>
  <c r="AO57" i="273"/>
  <c r="AN63" i="273"/>
  <c r="AN64" i="273"/>
  <c r="AP105" i="306"/>
  <c r="AP100" i="306"/>
  <c r="AP89" i="305"/>
  <c r="AQ90" i="305"/>
  <c r="AQ41" i="305"/>
  <c r="AM253" i="306"/>
  <c r="AL152" i="278"/>
  <c r="AL29" i="328"/>
  <c r="AN24" i="265"/>
  <c r="AN22" i="315"/>
  <c r="AN59" i="315"/>
  <c r="AN61" i="265"/>
  <c r="AO286" i="307"/>
  <c r="AO278" i="307"/>
  <c r="AO279" i="307"/>
  <c r="AO287" i="307"/>
  <c r="AO15" i="307"/>
  <c r="AO27" i="310"/>
  <c r="AS107" i="305"/>
  <c r="AS108" i="305"/>
  <c r="AS112" i="305"/>
  <c r="AS103" i="305"/>
  <c r="AS104" i="305"/>
  <c r="AS113" i="305"/>
  <c r="AS115" i="305"/>
  <c r="AO49" i="305"/>
  <c r="AO50" i="305"/>
  <c r="AP42" i="305"/>
  <c r="AP84" i="273"/>
  <c r="AP54" i="273"/>
  <c r="AP109" i="273"/>
  <c r="AQ110" i="273"/>
  <c r="AP268" i="278"/>
  <c r="AP623" i="321"/>
  <c r="AP15" i="286"/>
  <c r="AP566" i="321"/>
  <c r="AP212" i="278"/>
  <c r="AP162" i="278"/>
  <c r="AP187" i="278"/>
  <c r="AP33" i="286"/>
  <c r="AP16" i="288"/>
  <c r="AP17" i="288"/>
  <c r="AP110" i="286"/>
  <c r="AP552" i="321"/>
  <c r="AP11" i="282"/>
  <c r="AP637" i="321"/>
  <c r="AP92" i="286"/>
  <c r="AP292" i="278"/>
  <c r="AQ40" i="305"/>
  <c r="AP26" i="310"/>
  <c r="AP14" i="307"/>
  <c r="AM3" i="321"/>
  <c r="AM3" i="282"/>
  <c r="AM3" i="315"/>
  <c r="AM3" i="278"/>
  <c r="AM3" i="275"/>
  <c r="AM3" i="285"/>
  <c r="AM47" i="273"/>
  <c r="AM3" i="265"/>
  <c r="AM3" i="286"/>
  <c r="AM3" i="314"/>
  <c r="AM3" i="304"/>
  <c r="AM4" i="328"/>
  <c r="AM3" i="289"/>
  <c r="AM3" i="273"/>
  <c r="AM3" i="288"/>
  <c r="AP53" i="273"/>
  <c r="AP75" i="273"/>
  <c r="AQ76" i="273"/>
  <c r="AP674" i="321"/>
  <c r="AP262" i="273"/>
  <c r="AR33" i="288"/>
  <c r="AR2" i="307"/>
  <c r="AR183" i="288"/>
  <c r="AR26" i="305"/>
  <c r="AR27" i="305"/>
  <c r="AR31" i="305"/>
  <c r="AS32" i="305"/>
  <c r="AS34" i="305"/>
  <c r="AS35" i="305"/>
  <c r="AS4" i="305"/>
  <c r="AR147" i="288"/>
  <c r="AR2" i="310"/>
  <c r="AR34" i="311"/>
  <c r="AR208" i="288"/>
  <c r="AR58" i="288"/>
  <c r="AR2" i="305"/>
  <c r="AR2" i="309"/>
  <c r="AR2" i="306"/>
  <c r="AJ272" i="288"/>
  <c r="AJ114" i="288"/>
  <c r="AJ122" i="288"/>
  <c r="AJ264" i="288"/>
  <c r="AP15" i="289"/>
  <c r="AP30" i="289"/>
  <c r="AP46" i="289"/>
  <c r="AK272" i="288"/>
  <c r="AQ258" i="273"/>
  <c r="AQ259" i="273"/>
  <c r="AQ198" i="273"/>
  <c r="AQ199" i="273"/>
  <c r="AQ202" i="273"/>
  <c r="AQ3" i="328"/>
  <c r="AQ8" i="328"/>
  <c r="AQ148" i="288"/>
  <c r="AQ2" i="314"/>
  <c r="AQ2" i="273"/>
  <c r="AQ2" i="282"/>
  <c r="AQ59" i="288"/>
  <c r="AQ2" i="286"/>
  <c r="AQ158" i="273"/>
  <c r="AQ159" i="273"/>
  <c r="AQ162" i="273"/>
  <c r="AQ71" i="273"/>
  <c r="AQ72" i="273"/>
  <c r="AQ184" i="288"/>
  <c r="AQ2" i="304"/>
  <c r="AQ2" i="275"/>
  <c r="AQ38" i="311"/>
  <c r="AQ2" i="289"/>
  <c r="AQ119" i="273"/>
  <c r="AQ120" i="273"/>
  <c r="AQ123" i="273"/>
  <c r="AQ2" i="288"/>
  <c r="AQ194" i="273"/>
  <c r="AQ2" i="265"/>
  <c r="AQ2" i="278"/>
  <c r="AQ2" i="321"/>
  <c r="AQ2" i="285"/>
  <c r="AQ2" i="315"/>
  <c r="AQ209" i="288"/>
  <c r="AQ154" i="273"/>
  <c r="AQ49" i="273"/>
  <c r="AQ34" i="288"/>
  <c r="AP161" i="273"/>
  <c r="AP151" i="321"/>
  <c r="AP195" i="273"/>
  <c r="AQ195" i="273"/>
  <c r="AK154" i="278"/>
  <c r="AN12" i="307"/>
  <c r="AN24" i="310"/>
  <c r="AP25" i="310"/>
  <c r="AP13" i="307"/>
  <c r="AO86" i="273"/>
  <c r="AN540" i="321"/>
  <c r="AN694" i="321"/>
  <c r="AN565" i="321"/>
  <c r="AN652" i="321"/>
  <c r="AN16" i="289"/>
  <c r="AN17" i="289"/>
  <c r="AN22" i="289"/>
  <c r="AN246" i="278"/>
  <c r="AN306" i="278"/>
  <c r="AN31" i="289"/>
  <c r="AN32" i="289"/>
  <c r="AN37" i="289"/>
  <c r="AN136" i="314"/>
  <c r="AN283" i="278"/>
  <c r="AN129" i="314"/>
  <c r="AN179" i="278"/>
  <c r="AN701" i="321"/>
  <c r="AN708" i="321"/>
  <c r="AN104" i="314"/>
  <c r="AN47" i="289"/>
  <c r="AN48" i="289"/>
  <c r="AN53" i="289"/>
  <c r="AN100" i="278"/>
  <c r="AN622" i="321"/>
  <c r="AN497" i="321"/>
  <c r="AN57" i="314"/>
  <c r="AN230" i="278"/>
  <c r="AN675" i="321"/>
  <c r="AN617" i="321"/>
  <c r="AN63" i="286"/>
  <c r="AN17" i="314"/>
  <c r="AN148" i="278"/>
  <c r="AN239" i="278"/>
  <c r="AN551" i="321"/>
  <c r="AN573" i="321"/>
  <c r="AN713" i="321"/>
  <c r="AN636" i="321"/>
  <c r="AN659" i="321"/>
  <c r="AN204" i="278"/>
  <c r="AN319" i="278"/>
  <c r="AN545" i="321"/>
  <c r="AN50" i="314"/>
  <c r="AN603" i="321"/>
  <c r="AN581" i="321"/>
  <c r="AN644" i="321"/>
  <c r="AN453" i="321"/>
  <c r="AM263" i="306"/>
  <c r="AL153" i="278"/>
  <c r="AL30" i="328"/>
  <c r="AP28" i="314"/>
  <c r="AP261" i="273"/>
  <c r="AP122" i="273"/>
  <c r="AP117" i="314"/>
  <c r="AP38" i="314"/>
  <c r="AP55" i="273"/>
  <c r="AP589" i="321"/>
  <c r="AP590" i="321"/>
  <c r="AP259" i="278"/>
  <c r="AP4" i="288"/>
  <c r="AP4" i="286"/>
  <c r="AP4" i="289"/>
  <c r="AP4" i="309"/>
  <c r="AP4" i="314"/>
  <c r="AP4" i="307"/>
  <c r="AP4" i="273"/>
  <c r="AP4" i="275"/>
  <c r="AP4" i="304"/>
  <c r="AP4" i="278"/>
  <c r="AP11" i="328"/>
  <c r="AP4" i="285"/>
  <c r="AP4" i="306"/>
  <c r="AP4" i="310"/>
  <c r="AP4" i="315"/>
  <c r="AP4" i="321"/>
  <c r="AP4" i="282"/>
  <c r="AN286" i="307"/>
  <c r="AN278" i="307"/>
  <c r="AN279" i="307"/>
  <c r="AN287" i="307"/>
  <c r="AN27" i="310"/>
  <c r="AN15" i="307"/>
  <c r="AO130" i="307"/>
  <c r="AQ105" i="306"/>
  <c r="AQ89" i="305"/>
  <c r="AR90" i="305"/>
  <c r="AR41" i="305"/>
  <c r="AQ100" i="306"/>
  <c r="AO203" i="273"/>
  <c r="AN71" i="321"/>
  <c r="AN277" i="321"/>
  <c r="AN213" i="273"/>
  <c r="AN253" i="321"/>
  <c r="AN267" i="321"/>
  <c r="AN131" i="321"/>
  <c r="AN259" i="321"/>
  <c r="AO53" i="288"/>
  <c r="AO178" i="288"/>
  <c r="AO203" i="288"/>
  <c r="AO28" i="288"/>
  <c r="AO602" i="321"/>
  <c r="AO658" i="321"/>
  <c r="AO105" i="282"/>
  <c r="AO37" i="282"/>
  <c r="AO591" i="321"/>
  <c r="AQ36" i="289"/>
  <c r="AH181" i="288"/>
  <c r="AH31" i="288"/>
  <c r="AS2" i="328"/>
  <c r="AP707" i="321"/>
  <c r="AP211" i="278"/>
  <c r="AP161" i="278"/>
  <c r="AP579" i="321"/>
  <c r="AP598" i="321"/>
  <c r="AP599" i="321"/>
  <c r="AP186" i="278"/>
  <c r="AP650" i="321"/>
  <c r="AL91" i="278"/>
  <c r="AM147" i="278"/>
  <c r="AM149" i="278"/>
  <c r="AL97" i="278"/>
  <c r="AM268" i="306"/>
  <c r="AH15" i="310"/>
  <c r="AO24" i="314"/>
  <c r="AA283" i="307"/>
  <c r="AA9" i="310"/>
  <c r="S238" i="278"/>
  <c r="S282" i="278"/>
  <c r="S245" i="278"/>
  <c r="AW221" i="307"/>
  <c r="AW669" i="307"/>
  <c r="AW664" i="307"/>
  <c r="AW644" i="307"/>
  <c r="AW674" i="307"/>
  <c r="AW619" i="307"/>
  <c r="AW267" i="306"/>
  <c r="AW246" i="306"/>
  <c r="AW262" i="306"/>
  <c r="AW649" i="307"/>
  <c r="AW629" i="307"/>
  <c r="AW277" i="306"/>
  <c r="AW614" i="307"/>
  <c r="AW624" i="307"/>
  <c r="AW240" i="306"/>
  <c r="AW252" i="306"/>
  <c r="AN24" i="314"/>
  <c r="AN172" i="314"/>
  <c r="AN36" i="285"/>
  <c r="AN111" i="314"/>
  <c r="AN123" i="314"/>
  <c r="AN44" i="314"/>
  <c r="AN11" i="321"/>
  <c r="AN89" i="314"/>
  <c r="AN40" i="321"/>
  <c r="T228" i="278"/>
  <c r="T216" i="278"/>
  <c r="T219" i="278"/>
  <c r="AK17" i="328"/>
  <c r="AU48" i="273"/>
  <c r="AI11" i="265"/>
  <c r="AI32" i="328"/>
  <c r="AI31" i="288"/>
  <c r="AK114" i="288"/>
  <c r="AJ197" i="278"/>
  <c r="AK264" i="288"/>
  <c r="AP20" i="275"/>
  <c r="AQ17" i="275"/>
  <c r="AJ192" i="278"/>
  <c r="AJ9" i="315"/>
  <c r="AK163" i="278"/>
  <c r="AK164" i="278"/>
  <c r="AK168" i="278"/>
  <c r="AK172" i="278"/>
  <c r="AK167" i="278"/>
  <c r="AK27" i="328"/>
  <c r="AO40" i="321"/>
  <c r="AO111" i="314"/>
  <c r="AP263" i="273"/>
  <c r="AI15" i="310"/>
  <c r="AK18" i="328"/>
  <c r="AK98" i="278"/>
  <c r="AK101" i="278"/>
  <c r="AK104" i="278"/>
  <c r="AK105" i="278"/>
  <c r="AW245" i="306"/>
  <c r="AW663" i="307"/>
  <c r="AW668" i="307"/>
  <c r="AW102" i="314"/>
  <c r="AW220" i="307"/>
  <c r="AW256" i="306"/>
  <c r="AW607" i="307"/>
  <c r="AW613" i="307"/>
  <c r="AW266" i="306"/>
  <c r="AW84" i="288"/>
  <c r="AW628" i="307"/>
  <c r="AW271" i="306"/>
  <c r="AW239" i="306"/>
  <c r="AW618" i="307"/>
  <c r="AW251" i="306"/>
  <c r="AW228" i="288"/>
  <c r="AW233" i="306"/>
  <c r="AW648" i="307"/>
  <c r="AW276" i="306"/>
  <c r="AW623" i="307"/>
  <c r="AW234" i="288"/>
  <c r="AW5" i="328"/>
  <c r="AW5" i="265"/>
  <c r="AW261" i="306"/>
  <c r="AW673" i="307"/>
  <c r="AW5" i="277"/>
  <c r="AW5" i="285"/>
  <c r="AW5" i="286"/>
  <c r="AW5" i="304"/>
  <c r="AW78" i="288"/>
  <c r="AW5" i="288"/>
  <c r="AW5" i="314"/>
  <c r="AW5" i="278"/>
  <c r="AW5" i="321"/>
  <c r="AW5" i="273"/>
  <c r="AW5" i="309"/>
  <c r="AW5" i="275"/>
  <c r="AW643" i="307"/>
  <c r="AW5" i="315"/>
  <c r="AW5" i="282"/>
  <c r="AW5" i="289"/>
  <c r="AO44" i="314"/>
  <c r="AO172" i="314"/>
  <c r="AO123" i="314"/>
  <c r="AO36" i="285"/>
  <c r="AV44" i="273"/>
  <c r="AV45" i="273"/>
  <c r="AV38" i="289"/>
  <c r="AV133" i="288"/>
  <c r="AV23" i="288"/>
  <c r="AO89" i="314"/>
  <c r="AO11" i="321"/>
  <c r="AR100" i="306"/>
  <c r="AM91" i="278"/>
  <c r="AR89" i="305"/>
  <c r="AS90" i="305"/>
  <c r="AS41" i="305"/>
  <c r="AM51" i="321"/>
  <c r="AM241" i="288"/>
  <c r="AM109" i="288"/>
  <c r="AM80" i="288"/>
  <c r="AM67" i="288"/>
  <c r="AM236" i="288"/>
  <c r="AM161" i="288"/>
  <c r="AM162" i="288"/>
  <c r="AM171" i="288"/>
  <c r="AM45" i="321"/>
  <c r="AM46" i="321"/>
  <c r="AM48" i="321"/>
  <c r="AM259" i="288"/>
  <c r="AM217" i="288"/>
  <c r="AM167" i="288"/>
  <c r="AM217" i="273"/>
  <c r="AL218" i="273"/>
  <c r="AM91" i="288"/>
  <c r="AM230" i="288"/>
  <c r="AM86" i="288"/>
  <c r="AR105" i="306"/>
  <c r="AN147" i="278"/>
  <c r="AN149" i="278"/>
  <c r="AO29" i="310"/>
  <c r="AO17" i="307"/>
  <c r="AR39" i="305"/>
  <c r="AJ181" i="288"/>
  <c r="AJ31" i="288"/>
  <c r="AM153" i="278"/>
  <c r="AM30" i="328"/>
  <c r="AP602" i="321"/>
  <c r="AP658" i="321"/>
  <c r="AQ11" i="328"/>
  <c r="AQ4" i="306"/>
  <c r="AQ4" i="310"/>
  <c r="AQ4" i="321"/>
  <c r="AQ4" i="273"/>
  <c r="AQ4" i="314"/>
  <c r="AQ4" i="275"/>
  <c r="AQ4" i="282"/>
  <c r="AQ4" i="304"/>
  <c r="AQ4" i="286"/>
  <c r="AQ4" i="289"/>
  <c r="AQ4" i="307"/>
  <c r="AQ4" i="315"/>
  <c r="AQ4" i="309"/>
  <c r="AQ4" i="285"/>
  <c r="AQ4" i="288"/>
  <c r="AQ4" i="278"/>
  <c r="AQ30" i="289"/>
  <c r="AO24" i="265"/>
  <c r="AO61" i="265"/>
  <c r="AO22" i="315"/>
  <c r="AO59" i="315"/>
  <c r="AN268" i="306"/>
  <c r="AO694" i="321"/>
  <c r="AO551" i="321"/>
  <c r="AO603" i="321"/>
  <c r="AO540" i="321"/>
  <c r="AO100" i="278"/>
  <c r="AO652" i="321"/>
  <c r="AO622" i="321"/>
  <c r="AO497" i="321"/>
  <c r="AO545" i="321"/>
  <c r="AO129" i="314"/>
  <c r="AO675" i="321"/>
  <c r="AO104" i="314"/>
  <c r="AO453" i="321"/>
  <c r="AO701" i="321"/>
  <c r="AO708" i="321"/>
  <c r="AO565" i="321"/>
  <c r="AO179" i="278"/>
  <c r="AO204" i="278"/>
  <c r="AO659" i="321"/>
  <c r="AO636" i="321"/>
  <c r="AO306" i="278"/>
  <c r="AO57" i="314"/>
  <c r="AO148" i="278"/>
  <c r="AO644" i="321"/>
  <c r="AO50" i="314"/>
  <c r="AO17" i="314"/>
  <c r="AO230" i="278"/>
  <c r="AO573" i="321"/>
  <c r="AO713" i="321"/>
  <c r="AO239" i="278"/>
  <c r="AO283" i="278"/>
  <c r="AO617" i="321"/>
  <c r="AO319" i="278"/>
  <c r="AO31" i="289"/>
  <c r="AO32" i="289"/>
  <c r="AO37" i="289"/>
  <c r="AO39" i="289"/>
  <c r="AP39" i="289"/>
  <c r="AO63" i="286"/>
  <c r="AO581" i="321"/>
  <c r="AO246" i="278"/>
  <c r="AO136" i="314"/>
  <c r="AK223" i="278"/>
  <c r="AK213" i="278"/>
  <c r="AK214" i="278"/>
  <c r="AK218" i="278"/>
  <c r="AK155" i="278"/>
  <c r="AK217" i="278"/>
  <c r="AQ566" i="321"/>
  <c r="AQ109" i="273"/>
  <c r="AR110" i="273"/>
  <c r="AQ623" i="321"/>
  <c r="AQ15" i="286"/>
  <c r="AQ11" i="282"/>
  <c r="AQ637" i="321"/>
  <c r="AQ16" i="288"/>
  <c r="AQ17" i="288"/>
  <c r="AQ268" i="278"/>
  <c r="AQ292" i="278"/>
  <c r="AQ33" i="286"/>
  <c r="AQ110" i="286"/>
  <c r="AQ162" i="278"/>
  <c r="AQ212" i="278"/>
  <c r="AQ187" i="278"/>
  <c r="AQ92" i="286"/>
  <c r="AQ552" i="321"/>
  <c r="AK278" i="306"/>
  <c r="AK30" i="310"/>
  <c r="AK18" i="307"/>
  <c r="AQ39" i="305"/>
  <c r="AQ42" i="305"/>
  <c r="AO3" i="305"/>
  <c r="AO3" i="307"/>
  <c r="AO3" i="310"/>
  <c r="AO3" i="306"/>
  <c r="AO3" i="309"/>
  <c r="AL154" i="278"/>
  <c r="AM97" i="278"/>
  <c r="AL30" i="310"/>
  <c r="AL18" i="307"/>
  <c r="AN72" i="321"/>
  <c r="AN79" i="321"/>
  <c r="AQ707" i="321"/>
  <c r="AQ650" i="321"/>
  <c r="AQ598" i="321"/>
  <c r="AQ599" i="321"/>
  <c r="AQ161" i="278"/>
  <c r="AQ579" i="321"/>
  <c r="AQ211" i="278"/>
  <c r="AQ186" i="278"/>
  <c r="AM152" i="278"/>
  <c r="AM29" i="328"/>
  <c r="AQ262" i="273"/>
  <c r="AQ674" i="321"/>
  <c r="AT2" i="328"/>
  <c r="AT10" i="289"/>
  <c r="AO253" i="321"/>
  <c r="AO213" i="273"/>
  <c r="AO277" i="321"/>
  <c r="AO267" i="321"/>
  <c r="AO71" i="321"/>
  <c r="AO259" i="321"/>
  <c r="AO131" i="321"/>
  <c r="AJ15" i="310"/>
  <c r="AP130" i="307"/>
  <c r="AN39" i="321"/>
  <c r="AN41" i="321"/>
  <c r="AN44" i="321"/>
  <c r="AQ75" i="273"/>
  <c r="AR76" i="273"/>
  <c r="AQ53" i="273"/>
  <c r="AQ54" i="273"/>
  <c r="AQ84" i="273"/>
  <c r="AP203" i="288"/>
  <c r="AP53" i="288"/>
  <c r="AP28" i="288"/>
  <c r="AP178" i="288"/>
  <c r="AS208" i="288"/>
  <c r="AS183" i="288"/>
  <c r="AS2" i="310"/>
  <c r="AS2" i="309"/>
  <c r="AS33" i="288"/>
  <c r="AS34" i="311"/>
  <c r="AS2" i="305"/>
  <c r="AS26" i="305"/>
  <c r="AS27" i="305"/>
  <c r="AS31" i="305"/>
  <c r="AT32" i="305"/>
  <c r="AT34" i="305"/>
  <c r="AT35" i="305"/>
  <c r="AT4" i="305"/>
  <c r="AS58" i="288"/>
  <c r="AS2" i="307"/>
  <c r="AS2" i="306"/>
  <c r="AS147" i="288"/>
  <c r="AT103" i="305"/>
  <c r="AT104" i="305"/>
  <c r="AT113" i="305"/>
  <c r="AT107" i="305"/>
  <c r="AT108" i="305"/>
  <c r="AT112" i="305"/>
  <c r="AN3" i="278"/>
  <c r="AN3" i="314"/>
  <c r="AN3" i="265"/>
  <c r="AN3" i="275"/>
  <c r="AN3" i="315"/>
  <c r="AN3" i="289"/>
  <c r="AN3" i="282"/>
  <c r="AN3" i="321"/>
  <c r="AN3" i="304"/>
  <c r="AN4" i="328"/>
  <c r="AN47" i="273"/>
  <c r="AN3" i="285"/>
  <c r="AN3" i="286"/>
  <c r="AN3" i="288"/>
  <c r="AN3" i="273"/>
  <c r="AJ10" i="265"/>
  <c r="AJ11" i="265"/>
  <c r="AJ32" i="328"/>
  <c r="AJ10" i="315"/>
  <c r="AP124" i="273"/>
  <c r="AO16" i="285"/>
  <c r="AL92" i="278"/>
  <c r="AO24" i="310"/>
  <c r="AO12" i="307"/>
  <c r="AR36" i="289"/>
  <c r="AR11" i="289"/>
  <c r="AR12" i="289"/>
  <c r="AP105" i="282"/>
  <c r="AP37" i="282"/>
  <c r="AP591" i="321"/>
  <c r="AN253" i="306"/>
  <c r="AP201" i="273"/>
  <c r="AP203" i="273"/>
  <c r="AP263" i="321"/>
  <c r="AP49" i="305"/>
  <c r="AP50" i="305"/>
  <c r="AM90" i="278"/>
  <c r="AO212" i="273"/>
  <c r="AO141" i="321"/>
  <c r="AO130" i="321"/>
  <c r="AO155" i="321"/>
  <c r="AP163" i="273"/>
  <c r="AO147" i="321"/>
  <c r="AO165" i="321"/>
  <c r="AO70" i="321"/>
  <c r="AQ16" i="307"/>
  <c r="AQ28" i="310"/>
  <c r="AR71" i="273"/>
  <c r="AR194" i="273"/>
  <c r="AR195" i="273"/>
  <c r="AR34" i="288"/>
  <c r="AR2" i="282"/>
  <c r="AR2" i="304"/>
  <c r="AR2" i="273"/>
  <c r="AR49" i="273"/>
  <c r="AR2" i="321"/>
  <c r="AR2" i="289"/>
  <c r="AR148" i="288"/>
  <c r="AR258" i="273"/>
  <c r="AR2" i="275"/>
  <c r="AR2" i="315"/>
  <c r="AR154" i="273"/>
  <c r="AR2" i="265"/>
  <c r="AR2" i="288"/>
  <c r="AR209" i="288"/>
  <c r="AR59" i="288"/>
  <c r="AR2" i="286"/>
  <c r="AR119" i="273"/>
  <c r="AR120" i="273"/>
  <c r="AR123" i="273"/>
  <c r="AR198" i="273"/>
  <c r="AR199" i="273"/>
  <c r="AR202" i="273"/>
  <c r="AR3" i="328"/>
  <c r="AR8" i="328"/>
  <c r="AR2" i="278"/>
  <c r="AR2" i="314"/>
  <c r="AR2" i="285"/>
  <c r="AR184" i="288"/>
  <c r="AR158" i="273"/>
  <c r="AR159" i="273"/>
  <c r="AR162" i="273"/>
  <c r="AR38" i="311"/>
  <c r="AN263" i="306"/>
  <c r="AQ201" i="273"/>
  <c r="AQ263" i="321"/>
  <c r="AQ247" i="278"/>
  <c r="AQ240" i="278"/>
  <c r="AQ56" i="273"/>
  <c r="AP86" i="273"/>
  <c r="AP16" i="307"/>
  <c r="AP28" i="310"/>
  <c r="AP57" i="273"/>
  <c r="AO63" i="273"/>
  <c r="AO64" i="273"/>
  <c r="AP27" i="310"/>
  <c r="AP278" i="307"/>
  <c r="AP279" i="307"/>
  <c r="AP287" i="307"/>
  <c r="AP286" i="307"/>
  <c r="AP15" i="307"/>
  <c r="AQ155" i="273"/>
  <c r="AQ589" i="321"/>
  <c r="AQ590" i="321"/>
  <c r="AQ261" i="273"/>
  <c r="AQ263" i="273"/>
  <c r="AQ122" i="273"/>
  <c r="AQ55" i="273"/>
  <c r="AQ259" i="278"/>
  <c r="AQ28" i="314"/>
  <c r="AQ38" i="314"/>
  <c r="AQ117" i="314"/>
  <c r="AN214" i="273"/>
  <c r="AX674" i="307"/>
  <c r="AX619" i="307"/>
  <c r="AX221" i="307"/>
  <c r="AX669" i="307"/>
  <c r="AX664" i="307"/>
  <c r="AX644" i="307"/>
  <c r="AX246" i="306"/>
  <c r="AX262" i="306"/>
  <c r="AX267" i="306"/>
  <c r="AX614" i="307"/>
  <c r="AX649" i="307"/>
  <c r="AX629" i="307"/>
  <c r="AX277" i="306"/>
  <c r="AX624" i="307"/>
  <c r="AX240" i="306"/>
  <c r="AX252" i="306"/>
  <c r="T224" i="278"/>
  <c r="T225" i="278"/>
  <c r="T220" i="278"/>
  <c r="AR28" i="310"/>
  <c r="AR16" i="307"/>
  <c r="AJ11" i="315"/>
  <c r="AV48" i="273"/>
  <c r="AV9" i="328"/>
  <c r="AO72" i="321"/>
  <c r="AO79" i="321"/>
  <c r="AR27" i="310"/>
  <c r="AN91" i="278"/>
  <c r="AT115" i="305"/>
  <c r="AM17" i="328"/>
  <c r="AK188" i="278"/>
  <c r="AK189" i="278"/>
  <c r="AK193" i="278"/>
  <c r="AK9" i="315"/>
  <c r="AK192" i="278"/>
  <c r="AK197" i="278"/>
  <c r="AL278" i="306"/>
  <c r="AX668" i="307"/>
  <c r="AX102" i="314"/>
  <c r="AX220" i="307"/>
  <c r="AX245" i="306"/>
  <c r="AX663" i="307"/>
  <c r="AX648" i="307"/>
  <c r="AX233" i="306"/>
  <c r="AX239" i="306"/>
  <c r="AX623" i="307"/>
  <c r="AX673" i="307"/>
  <c r="AX5" i="328"/>
  <c r="AX256" i="306"/>
  <c r="AX643" i="307"/>
  <c r="AX628" i="307"/>
  <c r="AX261" i="306"/>
  <c r="AX618" i="307"/>
  <c r="AX251" i="306"/>
  <c r="AX228" i="288"/>
  <c r="AX613" i="307"/>
  <c r="AX271" i="306"/>
  <c r="AX266" i="306"/>
  <c r="AX607" i="307"/>
  <c r="AX78" i="288"/>
  <c r="AX276" i="306"/>
  <c r="AX84" i="288"/>
  <c r="AX234" i="288"/>
  <c r="AX5" i="265"/>
  <c r="AX5" i="289"/>
  <c r="AX5" i="278"/>
  <c r="AX5" i="309"/>
  <c r="AX5" i="277"/>
  <c r="AX5" i="321"/>
  <c r="AX5" i="275"/>
  <c r="AX5" i="273"/>
  <c r="AX5" i="315"/>
  <c r="AX5" i="314"/>
  <c r="AX5" i="288"/>
  <c r="AX5" i="285"/>
  <c r="AX5" i="282"/>
  <c r="AX5" i="286"/>
  <c r="AX5" i="304"/>
  <c r="AM92" i="278"/>
  <c r="AM98" i="278"/>
  <c r="AM101" i="278"/>
  <c r="AM104" i="278"/>
  <c r="AM105" i="278"/>
  <c r="AW44" i="273"/>
  <c r="AW45" i="273"/>
  <c r="AW9" i="328"/>
  <c r="AW38" i="289"/>
  <c r="AW133" i="288"/>
  <c r="AW23" i="288"/>
  <c r="AL122" i="288"/>
  <c r="AL114" i="288"/>
  <c r="AL264" i="288"/>
  <c r="AL272" i="288"/>
  <c r="AO214" i="273"/>
  <c r="AO67" i="288"/>
  <c r="AM154" i="278"/>
  <c r="AM155" i="278"/>
  <c r="AR79" i="314"/>
  <c r="AR85" i="273"/>
  <c r="AR158" i="314"/>
  <c r="AR272" i="278"/>
  <c r="AR118" i="314"/>
  <c r="AR15" i="275"/>
  <c r="AR296" i="278"/>
  <c r="AR39" i="314"/>
  <c r="AR19" i="282"/>
  <c r="AP213" i="273"/>
  <c r="AP253" i="321"/>
  <c r="AP131" i="321"/>
  <c r="AP259" i="321"/>
  <c r="AP71" i="321"/>
  <c r="AP267" i="321"/>
  <c r="AQ203" i="273"/>
  <c r="AP277" i="321"/>
  <c r="AN90" i="278"/>
  <c r="AN217" i="288"/>
  <c r="AN167" i="288"/>
  <c r="AN109" i="288"/>
  <c r="AN241" i="288"/>
  <c r="AN51" i="321"/>
  <c r="AN80" i="288"/>
  <c r="AN67" i="288"/>
  <c r="AN217" i="273"/>
  <c r="AM218" i="273"/>
  <c r="AN91" i="288"/>
  <c r="AN236" i="288"/>
  <c r="AN161" i="288"/>
  <c r="AN162" i="288"/>
  <c r="AN171" i="288"/>
  <c r="AN45" i="321"/>
  <c r="AN46" i="321"/>
  <c r="AN48" i="321"/>
  <c r="AN230" i="288"/>
  <c r="AN86" i="288"/>
  <c r="AN259" i="288"/>
  <c r="AQ105" i="282"/>
  <c r="AQ591" i="321"/>
  <c r="AQ37" i="282"/>
  <c r="AP63" i="273"/>
  <c r="AP64" i="273"/>
  <c r="AQ57" i="273"/>
  <c r="AO263" i="306"/>
  <c r="AP70" i="321"/>
  <c r="AP212" i="273"/>
  <c r="AP214" i="273"/>
  <c r="AP45" i="321"/>
  <c r="AP141" i="321"/>
  <c r="AP165" i="321"/>
  <c r="AP147" i="321"/>
  <c r="AP155" i="321"/>
  <c r="AP130" i="321"/>
  <c r="AP3" i="307"/>
  <c r="AP3" i="305"/>
  <c r="AP3" i="306"/>
  <c r="AP3" i="310"/>
  <c r="AP3" i="309"/>
  <c r="AP22" i="315"/>
  <c r="AP61" i="265"/>
  <c r="AP59" i="315"/>
  <c r="AP24" i="265"/>
  <c r="AR15" i="289"/>
  <c r="AR46" i="289"/>
  <c r="AR30" i="289"/>
  <c r="AL98" i="278"/>
  <c r="AL101" i="278"/>
  <c r="AL104" i="278"/>
  <c r="AL105" i="278"/>
  <c r="AL18" i="328"/>
  <c r="AP16" i="285"/>
  <c r="AQ124" i="273"/>
  <c r="AT58" i="288"/>
  <c r="AT183" i="288"/>
  <c r="AT2" i="305"/>
  <c r="AT26" i="305"/>
  <c r="AT27" i="305"/>
  <c r="AT31" i="305"/>
  <c r="AU32" i="305"/>
  <c r="AU34" i="305"/>
  <c r="AU35" i="305"/>
  <c r="AU4" i="305"/>
  <c r="AT147" i="288"/>
  <c r="AT34" i="311"/>
  <c r="AT2" i="310"/>
  <c r="AT33" i="288"/>
  <c r="AT2" i="309"/>
  <c r="AT2" i="306"/>
  <c r="AT208" i="288"/>
  <c r="AT2" i="307"/>
  <c r="AR84" i="273"/>
  <c r="AR54" i="273"/>
  <c r="AP17" i="307"/>
  <c r="AP29" i="310"/>
  <c r="AQ602" i="321"/>
  <c r="AQ658" i="321"/>
  <c r="AQ203" i="288"/>
  <c r="AQ178" i="288"/>
  <c r="AQ53" i="288"/>
  <c r="AQ28" i="288"/>
  <c r="AS40" i="305"/>
  <c r="AL17" i="328"/>
  <c r="AQ161" i="273"/>
  <c r="AQ163" i="273"/>
  <c r="AQ151" i="321"/>
  <c r="AR201" i="273"/>
  <c r="AR263" i="321"/>
  <c r="AO253" i="306"/>
  <c r="AQ79" i="314"/>
  <c r="AQ85" i="273"/>
  <c r="AQ19" i="282"/>
  <c r="AQ272" i="278"/>
  <c r="AQ118" i="314"/>
  <c r="AQ158" i="314"/>
  <c r="AQ296" i="278"/>
  <c r="AQ39" i="314"/>
  <c r="AQ15" i="275"/>
  <c r="AQ20" i="275"/>
  <c r="AR17" i="275"/>
  <c r="AQ86" i="273"/>
  <c r="AQ130" i="307"/>
  <c r="AU2" i="328"/>
  <c r="AL223" i="278"/>
  <c r="AL213" i="278"/>
  <c r="AL214" i="278"/>
  <c r="AL218" i="278"/>
  <c r="AL155" i="278"/>
  <c r="AL217" i="278"/>
  <c r="AQ14" i="307"/>
  <c r="AQ26" i="310"/>
  <c r="AK10" i="315"/>
  <c r="AK10" i="265"/>
  <c r="AK11" i="265"/>
  <c r="AK32" i="328"/>
  <c r="AN29" i="328"/>
  <c r="AN152" i="278"/>
  <c r="AR155" i="273"/>
  <c r="AR707" i="321"/>
  <c r="AR650" i="321"/>
  <c r="AR579" i="321"/>
  <c r="AR161" i="278"/>
  <c r="AR186" i="278"/>
  <c r="AR211" i="278"/>
  <c r="AR598" i="321"/>
  <c r="AR599" i="321"/>
  <c r="AR259" i="273"/>
  <c r="AR11" i="328"/>
  <c r="AR4" i="309"/>
  <c r="AR4" i="321"/>
  <c r="AR4" i="310"/>
  <c r="AR4" i="304"/>
  <c r="AR4" i="306"/>
  <c r="AR4" i="288"/>
  <c r="AR4" i="289"/>
  <c r="AR4" i="315"/>
  <c r="AR4" i="286"/>
  <c r="AR4" i="285"/>
  <c r="AR4" i="282"/>
  <c r="AR4" i="314"/>
  <c r="AR4" i="275"/>
  <c r="AR4" i="307"/>
  <c r="AR4" i="273"/>
  <c r="AR4" i="278"/>
  <c r="AS36" i="289"/>
  <c r="AU103" i="305"/>
  <c r="AU104" i="305"/>
  <c r="AU113" i="305"/>
  <c r="AU107" i="305"/>
  <c r="AU108" i="305"/>
  <c r="AU112" i="305"/>
  <c r="AP24" i="310"/>
  <c r="AP12" i="307"/>
  <c r="AR40" i="305"/>
  <c r="AR42" i="305"/>
  <c r="AR49" i="305"/>
  <c r="AR50" i="305"/>
  <c r="AR72" i="273"/>
  <c r="AR247" i="278"/>
  <c r="AR240" i="278"/>
  <c r="AR56" i="273"/>
  <c r="AP694" i="321"/>
  <c r="AP565" i="321"/>
  <c r="AP148" i="278"/>
  <c r="AP239" i="278"/>
  <c r="AP551" i="321"/>
  <c r="AP100" i="278"/>
  <c r="AP622" i="321"/>
  <c r="AP319" i="278"/>
  <c r="AP31" i="289"/>
  <c r="AP32" i="289"/>
  <c r="AP37" i="289"/>
  <c r="AP136" i="314"/>
  <c r="AP50" i="314"/>
  <c r="AP675" i="321"/>
  <c r="AP179" i="278"/>
  <c r="AP617" i="321"/>
  <c r="AP652" i="321"/>
  <c r="AP129" i="314"/>
  <c r="AP708" i="321"/>
  <c r="AP603" i="321"/>
  <c r="AP230" i="278"/>
  <c r="AP104" i="314"/>
  <c r="AP204" i="278"/>
  <c r="AP636" i="321"/>
  <c r="AP497" i="321"/>
  <c r="AP63" i="286"/>
  <c r="AP545" i="321"/>
  <c r="AP581" i="321"/>
  <c r="AP701" i="321"/>
  <c r="AP246" i="278"/>
  <c r="AP306" i="278"/>
  <c r="AP16" i="289"/>
  <c r="AP17" i="289"/>
  <c r="AP22" i="289"/>
  <c r="AP17" i="314"/>
  <c r="AP573" i="321"/>
  <c r="AP713" i="321"/>
  <c r="AP540" i="321"/>
  <c r="AP659" i="321"/>
  <c r="AP283" i="278"/>
  <c r="AP644" i="321"/>
  <c r="AP453" i="321"/>
  <c r="AP47" i="289"/>
  <c r="AP48" i="289"/>
  <c r="AP53" i="289"/>
  <c r="AP57" i="314"/>
  <c r="AO147" i="278"/>
  <c r="AO149" i="278"/>
  <c r="AR14" i="307"/>
  <c r="AR26" i="310"/>
  <c r="AN153" i="278"/>
  <c r="AN30" i="328"/>
  <c r="AO3" i="273"/>
  <c r="AO3" i="304"/>
  <c r="AO3" i="282"/>
  <c r="AO3" i="289"/>
  <c r="AO3" i="265"/>
  <c r="AO3" i="314"/>
  <c r="AO3" i="285"/>
  <c r="AO47" i="273"/>
  <c r="AO3" i="286"/>
  <c r="AO3" i="288"/>
  <c r="AO3" i="275"/>
  <c r="AO4" i="328"/>
  <c r="AO3" i="278"/>
  <c r="AO3" i="321"/>
  <c r="AO3" i="315"/>
  <c r="AO268" i="306"/>
  <c r="AR11" i="282"/>
  <c r="AR16" i="288"/>
  <c r="AR17" i="288"/>
  <c r="AR292" i="278"/>
  <c r="AR15" i="286"/>
  <c r="AR637" i="321"/>
  <c r="AR110" i="286"/>
  <c r="AR566" i="321"/>
  <c r="AR109" i="273"/>
  <c r="AS110" i="273"/>
  <c r="AR623" i="321"/>
  <c r="AR92" i="286"/>
  <c r="AR268" i="278"/>
  <c r="AR212" i="278"/>
  <c r="AR162" i="278"/>
  <c r="AR187" i="278"/>
  <c r="AR33" i="286"/>
  <c r="AR552" i="321"/>
  <c r="AQ49" i="305"/>
  <c r="AQ50" i="305"/>
  <c r="AS258" i="273"/>
  <c r="AS158" i="273"/>
  <c r="AS159" i="273"/>
  <c r="AS162" i="273"/>
  <c r="AS3" i="328"/>
  <c r="AS8" i="328"/>
  <c r="AS2" i="285"/>
  <c r="AS2" i="288"/>
  <c r="AS2" i="314"/>
  <c r="AS2" i="278"/>
  <c r="AS2" i="273"/>
  <c r="AS2" i="275"/>
  <c r="AS2" i="321"/>
  <c r="AS119" i="273"/>
  <c r="AS120" i="273"/>
  <c r="AS123" i="273"/>
  <c r="AS194" i="273"/>
  <c r="AS195" i="273"/>
  <c r="AS59" i="288"/>
  <c r="AS34" i="288"/>
  <c r="AS148" i="288"/>
  <c r="AS209" i="288"/>
  <c r="AS198" i="273"/>
  <c r="AS199" i="273"/>
  <c r="AS202" i="273"/>
  <c r="AS2" i="286"/>
  <c r="AS2" i="289"/>
  <c r="AS154" i="273"/>
  <c r="AS71" i="273"/>
  <c r="AS72" i="273"/>
  <c r="AS2" i="304"/>
  <c r="AS2" i="315"/>
  <c r="AS184" i="288"/>
  <c r="AS38" i="311"/>
  <c r="AS2" i="282"/>
  <c r="AS2" i="265"/>
  <c r="AS49" i="273"/>
  <c r="AN97" i="278"/>
  <c r="AL92" i="306"/>
  <c r="AL93" i="306"/>
  <c r="AL24" i="288"/>
  <c r="AL25" i="288"/>
  <c r="AQ13" i="307"/>
  <c r="AQ25" i="310"/>
  <c r="AQ27" i="310"/>
  <c r="AQ286" i="307"/>
  <c r="AQ278" i="307"/>
  <c r="AQ279" i="307"/>
  <c r="AQ287" i="307"/>
  <c r="AQ15" i="307"/>
  <c r="AK92" i="306"/>
  <c r="AK93" i="306"/>
  <c r="AK24" i="288"/>
  <c r="AK25" i="288"/>
  <c r="AO39" i="321"/>
  <c r="AO41" i="321"/>
  <c r="AO44" i="321"/>
  <c r="AR13" i="307"/>
  <c r="AR25" i="310"/>
  <c r="AW48" i="273"/>
  <c r="T44" i="265"/>
  <c r="T42" i="315"/>
  <c r="AP24" i="314"/>
  <c r="AP36" i="285"/>
  <c r="AP172" i="314"/>
  <c r="AP111" i="314"/>
  <c r="AP123" i="314"/>
  <c r="AP40" i="321"/>
  <c r="AP11" i="321"/>
  <c r="AP44" i="314"/>
  <c r="AP89" i="314"/>
  <c r="U222" i="278"/>
  <c r="T229" i="278"/>
  <c r="T231" i="278"/>
  <c r="T116" i="265"/>
  <c r="T254" i="278"/>
  <c r="T112" i="315"/>
  <c r="AB283" i="307"/>
  <c r="AB9" i="310"/>
  <c r="AY664" i="307"/>
  <c r="AY644" i="307"/>
  <c r="AY674" i="307"/>
  <c r="AY619" i="307"/>
  <c r="AY221" i="307"/>
  <c r="AY669" i="307"/>
  <c r="AY267" i="306"/>
  <c r="AY246" i="306"/>
  <c r="AY262" i="306"/>
  <c r="AY649" i="307"/>
  <c r="AY629" i="307"/>
  <c r="AY277" i="306"/>
  <c r="AY614" i="307"/>
  <c r="AY624" i="307"/>
  <c r="AY240" i="306"/>
  <c r="AY252" i="306"/>
  <c r="AM223" i="278"/>
  <c r="AP109" i="288"/>
  <c r="AN92" i="278"/>
  <c r="AN98" i="278"/>
  <c r="AN101" i="278"/>
  <c r="AN104" i="278"/>
  <c r="AN105" i="278"/>
  <c r="AO45" i="321"/>
  <c r="AO46" i="321"/>
  <c r="AO48" i="321"/>
  <c r="AR286" i="307"/>
  <c r="AU115" i="305"/>
  <c r="AM172" i="278"/>
  <c r="AR15" i="307"/>
  <c r="AR278" i="307"/>
  <c r="AR279" i="307"/>
  <c r="AR287" i="307"/>
  <c r="AP259" i="288"/>
  <c r="AO217" i="273"/>
  <c r="AN218" i="273"/>
  <c r="AN122" i="288"/>
  <c r="AP80" i="288"/>
  <c r="AP217" i="288"/>
  <c r="AM18" i="328"/>
  <c r="AO230" i="288"/>
  <c r="AO236" i="288"/>
  <c r="AO51" i="321"/>
  <c r="AN30" i="310"/>
  <c r="AK11" i="315"/>
  <c r="AO167" i="288"/>
  <c r="AO86" i="288"/>
  <c r="AO259" i="288"/>
  <c r="AO241" i="288"/>
  <c r="AX44" i="273"/>
  <c r="AX45" i="273"/>
  <c r="AX9" i="328"/>
  <c r="AX38" i="289"/>
  <c r="AX23" i="288"/>
  <c r="AX133" i="288"/>
  <c r="AP236" i="288"/>
  <c r="AP86" i="288"/>
  <c r="AP51" i="321"/>
  <c r="AM217" i="278"/>
  <c r="AP72" i="321"/>
  <c r="AP79" i="321"/>
  <c r="AY663" i="307"/>
  <c r="AY102" i="314"/>
  <c r="AY668" i="307"/>
  <c r="AY245" i="306"/>
  <c r="AY256" i="306"/>
  <c r="AY220" i="307"/>
  <c r="AY643" i="307"/>
  <c r="AY276" i="306"/>
  <c r="AY618" i="307"/>
  <c r="AY228" i="288"/>
  <c r="AY607" i="307"/>
  <c r="AY233" i="306"/>
  <c r="AY271" i="306"/>
  <c r="AY266" i="306"/>
  <c r="AY673" i="307"/>
  <c r="AY648" i="307"/>
  <c r="AY239" i="306"/>
  <c r="AY628" i="307"/>
  <c r="AY251" i="306"/>
  <c r="AY623" i="307"/>
  <c r="AY78" i="288"/>
  <c r="AY613" i="307"/>
  <c r="AY84" i="288"/>
  <c r="AY5" i="328"/>
  <c r="AY234" i="288"/>
  <c r="AY5" i="321"/>
  <c r="AY5" i="304"/>
  <c r="AY5" i="273"/>
  <c r="AY5" i="314"/>
  <c r="AY5" i="282"/>
  <c r="AY5" i="289"/>
  <c r="AY5" i="286"/>
  <c r="AY5" i="277"/>
  <c r="AY5" i="285"/>
  <c r="AY5" i="315"/>
  <c r="AY5" i="309"/>
  <c r="AY5" i="275"/>
  <c r="AY261" i="306"/>
  <c r="AY5" i="265"/>
  <c r="AY5" i="288"/>
  <c r="AY5" i="278"/>
  <c r="AP161" i="288"/>
  <c r="AP91" i="288"/>
  <c r="AM213" i="278"/>
  <c r="AM214" i="278"/>
  <c r="AM218" i="278"/>
  <c r="AP241" i="288"/>
  <c r="AP67" i="288"/>
  <c r="AP230" i="288"/>
  <c r="AP217" i="273"/>
  <c r="AO218" i="273"/>
  <c r="AO122" i="288"/>
  <c r="AP167" i="288"/>
  <c r="AO109" i="288"/>
  <c r="AO80" i="288"/>
  <c r="AO91" i="288"/>
  <c r="AO217" i="288"/>
  <c r="AO161" i="288"/>
  <c r="AO162" i="288"/>
  <c r="AO171" i="288"/>
  <c r="AS201" i="273"/>
  <c r="AS263" i="321"/>
  <c r="AR3" i="305"/>
  <c r="AR3" i="306"/>
  <c r="AR3" i="309"/>
  <c r="AR3" i="307"/>
  <c r="AR3" i="310"/>
  <c r="AQ147" i="321"/>
  <c r="AQ165" i="321"/>
  <c r="AQ130" i="321"/>
  <c r="AQ212" i="273"/>
  <c r="AQ141" i="321"/>
  <c r="AQ70" i="321"/>
  <c r="AQ155" i="321"/>
  <c r="AS53" i="273"/>
  <c r="AS75" i="273"/>
  <c r="AT76" i="273"/>
  <c r="AR130" i="307"/>
  <c r="AS707" i="321"/>
  <c r="AS598" i="321"/>
  <c r="AS599" i="321"/>
  <c r="AS161" i="278"/>
  <c r="AS579" i="321"/>
  <c r="AS211" i="278"/>
  <c r="AS186" i="278"/>
  <c r="AS650" i="321"/>
  <c r="AS16" i="288"/>
  <c r="AS17" i="288"/>
  <c r="AS162" i="278"/>
  <c r="AS292" i="278"/>
  <c r="AS92" i="286"/>
  <c r="AS268" i="278"/>
  <c r="AS212" i="278"/>
  <c r="AS11" i="282"/>
  <c r="AS187" i="278"/>
  <c r="AS15" i="286"/>
  <c r="AS109" i="273"/>
  <c r="AT110" i="273"/>
  <c r="AS33" i="286"/>
  <c r="AS552" i="321"/>
  <c r="AS566" i="321"/>
  <c r="AS637" i="321"/>
  <c r="AS110" i="286"/>
  <c r="AS623" i="321"/>
  <c r="AO153" i="278"/>
  <c r="AO30" i="328"/>
  <c r="AQ581" i="321"/>
  <c r="AQ675" i="321"/>
  <c r="AQ148" i="278"/>
  <c r="AQ246" i="278"/>
  <c r="AQ283" i="278"/>
  <c r="AQ659" i="321"/>
  <c r="AQ497" i="321"/>
  <c r="AQ50" i="314"/>
  <c r="AQ129" i="314"/>
  <c r="AQ17" i="314"/>
  <c r="AQ636" i="321"/>
  <c r="AQ57" i="314"/>
  <c r="AQ540" i="321"/>
  <c r="AQ694" i="321"/>
  <c r="AQ551" i="321"/>
  <c r="AQ603" i="321"/>
  <c r="AQ622" i="321"/>
  <c r="AQ644" i="321"/>
  <c r="AQ617" i="321"/>
  <c r="AQ306" i="278"/>
  <c r="AQ31" i="289"/>
  <c r="AQ32" i="289"/>
  <c r="AQ37" i="289"/>
  <c r="AQ39" i="289"/>
  <c r="AR39" i="289"/>
  <c r="AQ701" i="321"/>
  <c r="AQ319" i="278"/>
  <c r="AQ239" i="278"/>
  <c r="AQ230" i="278"/>
  <c r="AQ573" i="321"/>
  <c r="AQ713" i="321"/>
  <c r="AQ104" i="314"/>
  <c r="AQ204" i="278"/>
  <c r="AQ100" i="278"/>
  <c r="AQ453" i="321"/>
  <c r="AQ136" i="314"/>
  <c r="AQ545" i="321"/>
  <c r="AQ179" i="278"/>
  <c r="AQ708" i="321"/>
  <c r="AQ565" i="321"/>
  <c r="AQ652" i="321"/>
  <c r="AQ63" i="286"/>
  <c r="AO90" i="278"/>
  <c r="AR75" i="273"/>
  <c r="AS76" i="273"/>
  <c r="AR53" i="273"/>
  <c r="AV103" i="305"/>
  <c r="AV104" i="305"/>
  <c r="AV113" i="305"/>
  <c r="AV115" i="305"/>
  <c r="AV107" i="305"/>
  <c r="AV108" i="305"/>
  <c r="AV112" i="305"/>
  <c r="AM9" i="315"/>
  <c r="AM192" i="278"/>
  <c r="AM197" i="278"/>
  <c r="AM188" i="278"/>
  <c r="AM189" i="278"/>
  <c r="AM193" i="278"/>
  <c r="AR602" i="321"/>
  <c r="AR658" i="321"/>
  <c r="AO91" i="278"/>
  <c r="AQ17" i="307"/>
  <c r="AQ29" i="310"/>
  <c r="AK15" i="310"/>
  <c r="AP253" i="306"/>
  <c r="AS39" i="305"/>
  <c r="AS42" i="305"/>
  <c r="AS49" i="305"/>
  <c r="AS50" i="305"/>
  <c r="AS3" i="306"/>
  <c r="AQ16" i="285"/>
  <c r="AP268" i="306"/>
  <c r="AL15" i="310"/>
  <c r="AO97" i="278"/>
  <c r="AS11" i="328"/>
  <c r="AS4" i="282"/>
  <c r="AS4" i="286"/>
  <c r="AS4" i="304"/>
  <c r="AS4" i="315"/>
  <c r="AS4" i="307"/>
  <c r="AS4" i="321"/>
  <c r="AS4" i="288"/>
  <c r="AS4" i="314"/>
  <c r="AS4" i="306"/>
  <c r="AS4" i="309"/>
  <c r="AS4" i="285"/>
  <c r="AS4" i="289"/>
  <c r="AS4" i="278"/>
  <c r="AS4" i="310"/>
  <c r="AS4" i="273"/>
  <c r="AS4" i="275"/>
  <c r="AR53" i="288"/>
  <c r="AR203" i="288"/>
  <c r="AR28" i="288"/>
  <c r="AR178" i="288"/>
  <c r="AM278" i="306"/>
  <c r="AM18" i="307"/>
  <c r="AM30" i="310"/>
  <c r="AS259" i="273"/>
  <c r="AN154" i="278"/>
  <c r="AM10" i="265"/>
  <c r="AM10" i="315"/>
  <c r="AQ24" i="310"/>
  <c r="AQ12" i="307"/>
  <c r="AR86" i="273"/>
  <c r="AT71" i="273"/>
  <c r="AT72" i="273"/>
  <c r="AT198" i="273"/>
  <c r="AT199" i="273"/>
  <c r="AT202" i="273"/>
  <c r="AT2" i="288"/>
  <c r="AT2" i="315"/>
  <c r="AT34" i="288"/>
  <c r="AT38" i="311"/>
  <c r="AT2" i="286"/>
  <c r="AT59" i="288"/>
  <c r="AT2" i="275"/>
  <c r="AT158" i="273"/>
  <c r="AT159" i="273"/>
  <c r="AT162" i="273"/>
  <c r="AT2" i="265"/>
  <c r="AT2" i="273"/>
  <c r="AT2" i="314"/>
  <c r="AT2" i="321"/>
  <c r="AT2" i="282"/>
  <c r="AT2" i="278"/>
  <c r="AT258" i="273"/>
  <c r="AT259" i="273"/>
  <c r="AT184" i="288"/>
  <c r="AT49" i="273"/>
  <c r="AT148" i="288"/>
  <c r="AT119" i="273"/>
  <c r="AT120" i="273"/>
  <c r="AT123" i="273"/>
  <c r="AT194" i="273"/>
  <c r="AT3" i="328"/>
  <c r="AT8" i="328"/>
  <c r="AT2" i="289"/>
  <c r="AT2" i="285"/>
  <c r="AT209" i="288"/>
  <c r="AT2" i="304"/>
  <c r="AT154" i="273"/>
  <c r="AP263" i="306"/>
  <c r="AQ24" i="265"/>
  <c r="AQ22" i="315"/>
  <c r="AQ61" i="265"/>
  <c r="AQ59" i="315"/>
  <c r="AS28" i="314"/>
  <c r="AS259" i="278"/>
  <c r="AS589" i="321"/>
  <c r="AS590" i="321"/>
  <c r="AS122" i="273"/>
  <c r="AS261" i="273"/>
  <c r="AS55" i="273"/>
  <c r="AS38" i="314"/>
  <c r="AS117" i="314"/>
  <c r="AL31" i="288"/>
  <c r="AL181" i="288"/>
  <c r="AQ3" i="306"/>
  <c r="AQ3" i="305"/>
  <c r="AQ3" i="310"/>
  <c r="AQ3" i="307"/>
  <c r="AQ3" i="309"/>
  <c r="AO152" i="278"/>
  <c r="AO29" i="328"/>
  <c r="AS30" i="289"/>
  <c r="AR262" i="273"/>
  <c r="AR674" i="321"/>
  <c r="AL10" i="265"/>
  <c r="AL10" i="315"/>
  <c r="AV10" i="289"/>
  <c r="AV2" i="328"/>
  <c r="AS155" i="273"/>
  <c r="AL167" i="278"/>
  <c r="AL163" i="278"/>
  <c r="AL164" i="278"/>
  <c r="AL168" i="278"/>
  <c r="AL172" i="278"/>
  <c r="AL27" i="328"/>
  <c r="AT11" i="289"/>
  <c r="AT12" i="289"/>
  <c r="AT36" i="289"/>
  <c r="AS89" i="305"/>
  <c r="AT90" i="305"/>
  <c r="AT41" i="305"/>
  <c r="AS105" i="306"/>
  <c r="AS100" i="306"/>
  <c r="AQ63" i="273"/>
  <c r="AQ64" i="273"/>
  <c r="AM122" i="288"/>
  <c r="AM114" i="288"/>
  <c r="AM264" i="288"/>
  <c r="AM272" i="288"/>
  <c r="AN18" i="328"/>
  <c r="AR20" i="275"/>
  <c r="AS17" i="275"/>
  <c r="AK31" i="288"/>
  <c r="AK181" i="288"/>
  <c r="AS240" i="278"/>
  <c r="AS247" i="278"/>
  <c r="AS56" i="273"/>
  <c r="AP147" i="278"/>
  <c r="AP149" i="278"/>
  <c r="AP39" i="321"/>
  <c r="AP41" i="321"/>
  <c r="AP44" i="321"/>
  <c r="AP46" i="321"/>
  <c r="AP48" i="321"/>
  <c r="AU2" i="310"/>
  <c r="AU147" i="288"/>
  <c r="AU2" i="307"/>
  <c r="AU58" i="288"/>
  <c r="AU208" i="288"/>
  <c r="AU2" i="309"/>
  <c r="AU26" i="305"/>
  <c r="AU27" i="305"/>
  <c r="AU31" i="305"/>
  <c r="AV32" i="305"/>
  <c r="AV34" i="305"/>
  <c r="AV35" i="305"/>
  <c r="AV4" i="305"/>
  <c r="AU2" i="306"/>
  <c r="AU2" i="305"/>
  <c r="AU183" i="288"/>
  <c r="AU34" i="311"/>
  <c r="AU33" i="288"/>
  <c r="AR161" i="273"/>
  <c r="AR163" i="273"/>
  <c r="AR151" i="321"/>
  <c r="AM163" i="278"/>
  <c r="AM164" i="278"/>
  <c r="AM168" i="278"/>
  <c r="AR122" i="273"/>
  <c r="AR124" i="273"/>
  <c r="AR261" i="273"/>
  <c r="AR263" i="273"/>
  <c r="AR28" i="314"/>
  <c r="AR589" i="321"/>
  <c r="AR590" i="321"/>
  <c r="AR259" i="278"/>
  <c r="AR117" i="314"/>
  <c r="AR55" i="273"/>
  <c r="AR38" i="314"/>
  <c r="AT39" i="305"/>
  <c r="AL188" i="278"/>
  <c r="AL189" i="278"/>
  <c r="AL193" i="278"/>
  <c r="AL192" i="278"/>
  <c r="AL197" i="278"/>
  <c r="AL9" i="315"/>
  <c r="AP3" i="304"/>
  <c r="AP3" i="282"/>
  <c r="AP47" i="273"/>
  <c r="AP4" i="328"/>
  <c r="AP3" i="321"/>
  <c r="AP3" i="265"/>
  <c r="AP3" i="278"/>
  <c r="AP3" i="286"/>
  <c r="AP3" i="314"/>
  <c r="AP3" i="273"/>
  <c r="AP3" i="275"/>
  <c r="AP3" i="288"/>
  <c r="AP3" i="315"/>
  <c r="AP3" i="285"/>
  <c r="AP3" i="289"/>
  <c r="AN17" i="328"/>
  <c r="AQ213" i="273"/>
  <c r="AQ267" i="321"/>
  <c r="AQ71" i="321"/>
  <c r="AQ259" i="321"/>
  <c r="AQ131" i="321"/>
  <c r="AQ277" i="321"/>
  <c r="AR203" i="273"/>
  <c r="AQ253" i="321"/>
  <c r="AZ669" i="307"/>
  <c r="AZ664" i="307"/>
  <c r="AZ644" i="307"/>
  <c r="AZ674" i="307"/>
  <c r="AZ619" i="307"/>
  <c r="AZ221" i="307"/>
  <c r="AZ267" i="306"/>
  <c r="AZ246" i="306"/>
  <c r="AZ262" i="306"/>
  <c r="AZ649" i="307"/>
  <c r="AZ629" i="307"/>
  <c r="AZ277" i="306"/>
  <c r="AZ614" i="307"/>
  <c r="AZ240" i="306"/>
  <c r="AZ252" i="306"/>
  <c r="AZ624" i="307"/>
  <c r="AQ24" i="314"/>
  <c r="AQ36" i="285"/>
  <c r="AQ172" i="314"/>
  <c r="AQ111" i="314"/>
  <c r="AQ123" i="314"/>
  <c r="AQ40" i="321"/>
  <c r="AQ44" i="314"/>
  <c r="AQ11" i="321"/>
  <c r="AQ89" i="314"/>
  <c r="T238" i="278"/>
  <c r="T282" i="278"/>
  <c r="T245" i="278"/>
  <c r="U228" i="278"/>
  <c r="U216" i="278"/>
  <c r="U219" i="278"/>
  <c r="AM27" i="328"/>
  <c r="AM167" i="278"/>
  <c r="AM11" i="265"/>
  <c r="AM32" i="328"/>
  <c r="AO18" i="307"/>
  <c r="AN114" i="288"/>
  <c r="AS3" i="310"/>
  <c r="AN272" i="288"/>
  <c r="AS3" i="309"/>
  <c r="AS3" i="305"/>
  <c r="AR57" i="273"/>
  <c r="AR63" i="273"/>
  <c r="AR64" i="273"/>
  <c r="AS172" i="314"/>
  <c r="AS3" i="307"/>
  <c r="AO154" i="278"/>
  <c r="AO155" i="278"/>
  <c r="AN264" i="288"/>
  <c r="AO264" i="288"/>
  <c r="AR40" i="321"/>
  <c r="AO272" i="288"/>
  <c r="AO114" i="288"/>
  <c r="AN278" i="306"/>
  <c r="AR172" i="314"/>
  <c r="AN18" i="307"/>
  <c r="AX48" i="273"/>
  <c r="AL11" i="265"/>
  <c r="AL32" i="328"/>
  <c r="AP162" i="288"/>
  <c r="AP171" i="288"/>
  <c r="AP91" i="278"/>
  <c r="AY44" i="273"/>
  <c r="AY45" i="273"/>
  <c r="AY38" i="289"/>
  <c r="AY133" i="288"/>
  <c r="AY23" i="288"/>
  <c r="AZ668" i="307"/>
  <c r="AZ220" i="307"/>
  <c r="AZ663" i="307"/>
  <c r="AZ102" i="314"/>
  <c r="AZ256" i="306"/>
  <c r="AZ245" i="306"/>
  <c r="AZ628" i="307"/>
  <c r="AZ271" i="306"/>
  <c r="AZ261" i="306"/>
  <c r="AZ251" i="306"/>
  <c r="AZ78" i="288"/>
  <c r="AZ613" i="307"/>
  <c r="AZ623" i="307"/>
  <c r="AZ607" i="307"/>
  <c r="AZ233" i="306"/>
  <c r="AZ673" i="307"/>
  <c r="AZ648" i="307"/>
  <c r="AZ276" i="306"/>
  <c r="AZ266" i="306"/>
  <c r="AZ239" i="306"/>
  <c r="AZ618" i="307"/>
  <c r="AZ228" i="288"/>
  <c r="AZ5" i="265"/>
  <c r="AZ643" i="307"/>
  <c r="AZ5" i="286"/>
  <c r="AZ5" i="289"/>
  <c r="AZ5" i="315"/>
  <c r="AZ84" i="288"/>
  <c r="AZ5" i="275"/>
  <c r="AZ5" i="304"/>
  <c r="AZ5" i="314"/>
  <c r="AZ5" i="328"/>
  <c r="AZ234" i="288"/>
  <c r="AZ5" i="273"/>
  <c r="AZ5" i="282"/>
  <c r="AZ5" i="278"/>
  <c r="AZ5" i="277"/>
  <c r="AZ5" i="288"/>
  <c r="AZ5" i="285"/>
  <c r="AZ5" i="321"/>
  <c r="AZ5" i="309"/>
  <c r="AR44" i="314"/>
  <c r="AR36" i="285"/>
  <c r="AR11" i="321"/>
  <c r="AR123" i="314"/>
  <c r="AR24" i="314"/>
  <c r="AR89" i="314"/>
  <c r="AR111" i="314"/>
  <c r="AN172" i="278"/>
  <c r="AN167" i="278"/>
  <c r="AN163" i="278"/>
  <c r="AN164" i="278"/>
  <c r="AN168" i="278"/>
  <c r="AN27" i="328"/>
  <c r="AR16" i="285"/>
  <c r="AS124" i="273"/>
  <c r="AT674" i="321"/>
  <c r="AT262" i="273"/>
  <c r="AP90" i="278"/>
  <c r="AR147" i="321"/>
  <c r="AR165" i="321"/>
  <c r="AR141" i="321"/>
  <c r="AR212" i="273"/>
  <c r="AR130" i="321"/>
  <c r="AR70" i="321"/>
  <c r="AR155" i="321"/>
  <c r="AT158" i="314"/>
  <c r="AT39" i="314"/>
  <c r="AT19" i="282"/>
  <c r="AT296" i="278"/>
  <c r="AT15" i="275"/>
  <c r="AT79" i="314"/>
  <c r="AT85" i="273"/>
  <c r="AT272" i="278"/>
  <c r="AT118" i="314"/>
  <c r="AR17" i="314"/>
  <c r="AR581" i="321"/>
  <c r="AR675" i="321"/>
  <c r="AR179" i="278"/>
  <c r="AR16" i="289"/>
  <c r="AR17" i="289"/>
  <c r="AR22" i="289"/>
  <c r="AR652" i="321"/>
  <c r="AR204" i="278"/>
  <c r="AR319" i="278"/>
  <c r="AR545" i="321"/>
  <c r="AR129" i="314"/>
  <c r="AR573" i="321"/>
  <c r="AR644" i="321"/>
  <c r="AR497" i="321"/>
  <c r="AR694" i="321"/>
  <c r="AR565" i="321"/>
  <c r="AR148" i="278"/>
  <c r="AR239" i="278"/>
  <c r="AR100" i="278"/>
  <c r="AR47" i="289"/>
  <c r="AR48" i="289"/>
  <c r="AR53" i="289"/>
  <c r="AR283" i="278"/>
  <c r="AR453" i="321"/>
  <c r="AR136" i="314"/>
  <c r="AR63" i="286"/>
  <c r="AR713" i="321"/>
  <c r="AR104" i="314"/>
  <c r="AR57" i="314"/>
  <c r="AR701" i="321"/>
  <c r="AR708" i="321"/>
  <c r="AR603" i="321"/>
  <c r="AR230" i="278"/>
  <c r="AR636" i="321"/>
  <c r="AR659" i="321"/>
  <c r="AR246" i="278"/>
  <c r="AR306" i="278"/>
  <c r="AR31" i="289"/>
  <c r="AR32" i="289"/>
  <c r="AR37" i="289"/>
  <c r="AR50" i="314"/>
  <c r="AR540" i="321"/>
  <c r="AR622" i="321"/>
  <c r="AR551" i="321"/>
  <c r="AR617" i="321"/>
  <c r="AU40" i="305"/>
  <c r="AP153" i="278"/>
  <c r="AP30" i="328"/>
  <c r="AQ268" i="306"/>
  <c r="AT707" i="321"/>
  <c r="AT650" i="321"/>
  <c r="AT161" i="278"/>
  <c r="AT598" i="321"/>
  <c r="AT599" i="321"/>
  <c r="AT211" i="278"/>
  <c r="AT579" i="321"/>
  <c r="AT186" i="278"/>
  <c r="AP97" i="278"/>
  <c r="AT11" i="328"/>
  <c r="AT4" i="273"/>
  <c r="AT4" i="285"/>
  <c r="AT4" i="306"/>
  <c r="AT4" i="278"/>
  <c r="AT4" i="321"/>
  <c r="AT4" i="289"/>
  <c r="AT4" i="310"/>
  <c r="AT4" i="288"/>
  <c r="AT4" i="286"/>
  <c r="AT4" i="315"/>
  <c r="AT4" i="304"/>
  <c r="AT4" i="282"/>
  <c r="AT4" i="314"/>
  <c r="AT4" i="309"/>
  <c r="AT4" i="307"/>
  <c r="AT4" i="275"/>
  <c r="AS13" i="307"/>
  <c r="AS25" i="310"/>
  <c r="AS54" i="273"/>
  <c r="AS84" i="273"/>
  <c r="AS86" i="273"/>
  <c r="AQ39" i="321"/>
  <c r="AQ41" i="321"/>
  <c r="AQ44" i="321"/>
  <c r="AQ214" i="273"/>
  <c r="AT25" i="310"/>
  <c r="AT13" i="307"/>
  <c r="AP152" i="278"/>
  <c r="AP29" i="328"/>
  <c r="AN9" i="315"/>
  <c r="AN188" i="278"/>
  <c r="AN189" i="278"/>
  <c r="AN193" i="278"/>
  <c r="AN192" i="278"/>
  <c r="AN197" i="278"/>
  <c r="AQ263" i="306"/>
  <c r="AT195" i="273"/>
  <c r="AS105" i="282"/>
  <c r="AS591" i="321"/>
  <c r="AS37" i="282"/>
  <c r="AT105" i="306"/>
  <c r="AT100" i="306"/>
  <c r="AT89" i="305"/>
  <c r="AU90" i="305"/>
  <c r="AU41" i="305"/>
  <c r="AU36" i="289"/>
  <c r="AN223" i="278"/>
  <c r="AN213" i="278"/>
  <c r="AN214" i="278"/>
  <c r="AN218" i="278"/>
  <c r="AN217" i="278"/>
  <c r="AN155" i="278"/>
  <c r="AS296" i="278"/>
  <c r="AS15" i="275"/>
  <c r="AS20" i="275"/>
  <c r="AT17" i="275"/>
  <c r="AS19" i="282"/>
  <c r="AS158" i="314"/>
  <c r="AS118" i="314"/>
  <c r="AS39" i="314"/>
  <c r="AS272" i="278"/>
  <c r="AS85" i="273"/>
  <c r="AS79" i="314"/>
  <c r="AM11" i="315"/>
  <c r="AV26" i="305"/>
  <c r="AV27" i="305"/>
  <c r="AV31" i="305"/>
  <c r="AW32" i="305"/>
  <c r="AW34" i="305"/>
  <c r="AW35" i="305"/>
  <c r="AW4" i="305"/>
  <c r="AV2" i="310"/>
  <c r="AV183" i="288"/>
  <c r="AV33" i="288"/>
  <c r="AV208" i="288"/>
  <c r="AV147" i="288"/>
  <c r="AV2" i="309"/>
  <c r="AV2" i="306"/>
  <c r="AV2" i="305"/>
  <c r="AV58" i="288"/>
  <c r="AV34" i="311"/>
  <c r="AV2" i="307"/>
  <c r="AO92" i="278"/>
  <c r="AR29" i="310"/>
  <c r="AR17" i="307"/>
  <c r="AS130" i="307"/>
  <c r="AR131" i="321"/>
  <c r="AR259" i="321"/>
  <c r="AR71" i="321"/>
  <c r="AR277" i="321"/>
  <c r="AS203" i="273"/>
  <c r="AR267" i="321"/>
  <c r="AR253" i="321"/>
  <c r="AR213" i="273"/>
  <c r="AR105" i="282"/>
  <c r="AR37" i="282"/>
  <c r="AR591" i="321"/>
  <c r="AO30" i="310"/>
  <c r="AS28" i="310"/>
  <c r="AS16" i="307"/>
  <c r="AT15" i="289"/>
  <c r="AT30" i="289"/>
  <c r="AT46" i="289"/>
  <c r="AQ253" i="306"/>
  <c r="AU119" i="273"/>
  <c r="AU120" i="273"/>
  <c r="AU123" i="273"/>
  <c r="AU154" i="273"/>
  <c r="AU59" i="288"/>
  <c r="AU2" i="282"/>
  <c r="AU38" i="311"/>
  <c r="AU209" i="288"/>
  <c r="AU49" i="273"/>
  <c r="AU258" i="273"/>
  <c r="AU259" i="273"/>
  <c r="AU198" i="273"/>
  <c r="AU199" i="273"/>
  <c r="AU202" i="273"/>
  <c r="AU3" i="328"/>
  <c r="AU8" i="328"/>
  <c r="AU2" i="285"/>
  <c r="AU2" i="315"/>
  <c r="AU148" i="288"/>
  <c r="AU2" i="304"/>
  <c r="AU158" i="273"/>
  <c r="AU159" i="273"/>
  <c r="AU162" i="273"/>
  <c r="AU71" i="273"/>
  <c r="AU72" i="273"/>
  <c r="AU184" i="288"/>
  <c r="AU2" i="288"/>
  <c r="AU2" i="314"/>
  <c r="AU2" i="286"/>
  <c r="AU2" i="289"/>
  <c r="AU194" i="273"/>
  <c r="AU2" i="265"/>
  <c r="AU2" i="278"/>
  <c r="AU2" i="321"/>
  <c r="AU2" i="275"/>
  <c r="AU34" i="288"/>
  <c r="AU2" i="273"/>
  <c r="AS674" i="321"/>
  <c r="AS262" i="273"/>
  <c r="AM92" i="306"/>
  <c r="AM93" i="306"/>
  <c r="AM24" i="288"/>
  <c r="AM25" i="288"/>
  <c r="AS26" i="310"/>
  <c r="AS14" i="307"/>
  <c r="AW103" i="305"/>
  <c r="AW104" i="305"/>
  <c r="AW113" i="305"/>
  <c r="AW115" i="305"/>
  <c r="AW107" i="305"/>
  <c r="AW108" i="305"/>
  <c r="AW112" i="305"/>
  <c r="AT240" i="278"/>
  <c r="AT247" i="278"/>
  <c r="AT56" i="273"/>
  <c r="AQ72" i="321"/>
  <c r="AQ79" i="321"/>
  <c r="AL11" i="315"/>
  <c r="AT26" i="310"/>
  <c r="AT14" i="307"/>
  <c r="AT53" i="273"/>
  <c r="AT75" i="273"/>
  <c r="AU76" i="273"/>
  <c r="AQ3" i="321"/>
  <c r="AQ3" i="273"/>
  <c r="AQ3" i="289"/>
  <c r="AQ3" i="265"/>
  <c r="AQ3" i="282"/>
  <c r="AQ3" i="288"/>
  <c r="AQ3" i="285"/>
  <c r="AQ4" i="328"/>
  <c r="AQ3" i="304"/>
  <c r="AQ3" i="315"/>
  <c r="AQ3" i="275"/>
  <c r="AQ47" i="273"/>
  <c r="AQ3" i="314"/>
  <c r="AQ3" i="278"/>
  <c r="AQ3" i="286"/>
  <c r="AS161" i="273"/>
  <c r="AS163" i="273"/>
  <c r="AS151" i="321"/>
  <c r="AW2" i="328"/>
  <c r="AS263" i="273"/>
  <c r="AT212" i="278"/>
  <c r="AT268" i="278"/>
  <c r="AT187" i="278"/>
  <c r="AT15" i="286"/>
  <c r="AT162" i="278"/>
  <c r="AT552" i="321"/>
  <c r="AT637" i="321"/>
  <c r="AT33" i="286"/>
  <c r="AT11" i="282"/>
  <c r="AT16" i="288"/>
  <c r="AT17" i="288"/>
  <c r="AT292" i="278"/>
  <c r="AT92" i="286"/>
  <c r="AT566" i="321"/>
  <c r="AT109" i="273"/>
  <c r="AU110" i="273"/>
  <c r="AT623" i="321"/>
  <c r="AT110" i="286"/>
  <c r="AT40" i="305"/>
  <c r="AT42" i="305"/>
  <c r="AQ147" i="278"/>
  <c r="AQ149" i="278"/>
  <c r="AS203" i="288"/>
  <c r="AS28" i="288"/>
  <c r="AS53" i="288"/>
  <c r="AS178" i="288"/>
  <c r="AS602" i="321"/>
  <c r="AS658" i="321"/>
  <c r="AT155" i="273"/>
  <c r="AR12" i="307"/>
  <c r="AR24" i="310"/>
  <c r="AT54" i="273"/>
  <c r="AT84" i="273"/>
  <c r="U224" i="278"/>
  <c r="U225" i="278"/>
  <c r="U220" i="278"/>
  <c r="BA221" i="307"/>
  <c r="BA669" i="307"/>
  <c r="BA664" i="307"/>
  <c r="BA644" i="307"/>
  <c r="BA674" i="307"/>
  <c r="BA619" i="307"/>
  <c r="BA267" i="306"/>
  <c r="BA246" i="306"/>
  <c r="BA262" i="306"/>
  <c r="BA649" i="307"/>
  <c r="BA629" i="307"/>
  <c r="BA277" i="306"/>
  <c r="BA614" i="307"/>
  <c r="BA624" i="307"/>
  <c r="BA240" i="306"/>
  <c r="BA252" i="306"/>
  <c r="AS11" i="321"/>
  <c r="AC9" i="310"/>
  <c r="AC283" i="307"/>
  <c r="AO278" i="306"/>
  <c r="AS40" i="321"/>
  <c r="AS39" i="321"/>
  <c r="AS41" i="321"/>
  <c r="AS44" i="321"/>
  <c r="AS111" i="314"/>
  <c r="AY9" i="328"/>
  <c r="AO217" i="278"/>
  <c r="AO17" i="328"/>
  <c r="AO213" i="278"/>
  <c r="AO214" i="278"/>
  <c r="AO218" i="278"/>
  <c r="AO223" i="278"/>
  <c r="AS57" i="273"/>
  <c r="AS63" i="273"/>
  <c r="AS64" i="273"/>
  <c r="AS89" i="314"/>
  <c r="AS36" i="285"/>
  <c r="AS44" i="314"/>
  <c r="AS24" i="314"/>
  <c r="AS123" i="314"/>
  <c r="AY48" i="273"/>
  <c r="AN92" i="306"/>
  <c r="AN93" i="306"/>
  <c r="AN24" i="288"/>
  <c r="AN25" i="288"/>
  <c r="AP92" i="278"/>
  <c r="AZ38" i="289"/>
  <c r="AZ133" i="288"/>
  <c r="AZ44" i="273"/>
  <c r="AZ45" i="273"/>
  <c r="AZ48" i="273"/>
  <c r="AZ23" i="288"/>
  <c r="BA245" i="306"/>
  <c r="BA663" i="307"/>
  <c r="BA220" i="307"/>
  <c r="BA102" i="314"/>
  <c r="BA256" i="306"/>
  <c r="BA668" i="307"/>
  <c r="BA607" i="307"/>
  <c r="BA613" i="307"/>
  <c r="BA266" i="306"/>
  <c r="BA84" i="288"/>
  <c r="BA643" i="307"/>
  <c r="BA261" i="306"/>
  <c r="BA628" i="307"/>
  <c r="BA271" i="306"/>
  <c r="BA623" i="307"/>
  <c r="BA233" i="306"/>
  <c r="BA673" i="307"/>
  <c r="BA648" i="307"/>
  <c r="BA5" i="328"/>
  <c r="BA234" i="288"/>
  <c r="BA276" i="306"/>
  <c r="BA239" i="306"/>
  <c r="BA228" i="288"/>
  <c r="BA5" i="265"/>
  <c r="BA618" i="307"/>
  <c r="BA251" i="306"/>
  <c r="BA78" i="288"/>
  <c r="BA5" i="277"/>
  <c r="BA5" i="275"/>
  <c r="BA5" i="315"/>
  <c r="BA5" i="304"/>
  <c r="BA5" i="314"/>
  <c r="BA5" i="273"/>
  <c r="BA5" i="286"/>
  <c r="BA5" i="321"/>
  <c r="BA5" i="309"/>
  <c r="BA5" i="282"/>
  <c r="BA5" i="285"/>
  <c r="BA5" i="289"/>
  <c r="BA5" i="288"/>
  <c r="BA5" i="278"/>
  <c r="AT278" i="307"/>
  <c r="AT279" i="307"/>
  <c r="AT287" i="307"/>
  <c r="AT15" i="307"/>
  <c r="AT27" i="310"/>
  <c r="AT286" i="307"/>
  <c r="AS212" i="273"/>
  <c r="AS141" i="321"/>
  <c r="AS130" i="321"/>
  <c r="AS155" i="321"/>
  <c r="AS70" i="321"/>
  <c r="AS165" i="321"/>
  <c r="AS147" i="321"/>
  <c r="AO167" i="278"/>
  <c r="AO163" i="278"/>
  <c r="AO164" i="278"/>
  <c r="AO168" i="278"/>
  <c r="AO172" i="278"/>
  <c r="AO27" i="328"/>
  <c r="AV105" i="306"/>
  <c r="AV89" i="305"/>
  <c r="AW90" i="305"/>
  <c r="AW41" i="305"/>
  <c r="AV100" i="306"/>
  <c r="AV286" i="307"/>
  <c r="AV39" i="305"/>
  <c r="AR147" i="278"/>
  <c r="AR149" i="278"/>
  <c r="AT130" i="307"/>
  <c r="AU247" i="278"/>
  <c r="AU56" i="273"/>
  <c r="AU240" i="278"/>
  <c r="AT203" i="288"/>
  <c r="AT53" i="288"/>
  <c r="AT178" i="288"/>
  <c r="AT28" i="288"/>
  <c r="AW58" i="288"/>
  <c r="AW33" i="288"/>
  <c r="AW208" i="288"/>
  <c r="AW26" i="305"/>
  <c r="AW27" i="305"/>
  <c r="AW31" i="305"/>
  <c r="AX32" i="305"/>
  <c r="AX34" i="305"/>
  <c r="AX35" i="305"/>
  <c r="AX4" i="305"/>
  <c r="AW2" i="310"/>
  <c r="AW2" i="306"/>
  <c r="AW2" i="309"/>
  <c r="AW34" i="311"/>
  <c r="AW147" i="288"/>
  <c r="AW2" i="307"/>
  <c r="AW183" i="288"/>
  <c r="AW2" i="305"/>
  <c r="AM181" i="288"/>
  <c r="AM31" i="288"/>
  <c r="AU707" i="321"/>
  <c r="AU598" i="321"/>
  <c r="AU599" i="321"/>
  <c r="AU161" i="278"/>
  <c r="AU211" i="278"/>
  <c r="AU186" i="278"/>
  <c r="AU650" i="321"/>
  <c r="AU579" i="321"/>
  <c r="AU272" i="278"/>
  <c r="AU118" i="314"/>
  <c r="AU296" i="278"/>
  <c r="AU15" i="275"/>
  <c r="AU19" i="282"/>
  <c r="AU158" i="314"/>
  <c r="AU39" i="314"/>
  <c r="AU79" i="314"/>
  <c r="AU85" i="273"/>
  <c r="AR22" i="315"/>
  <c r="AR61" i="265"/>
  <c r="AR59" i="315"/>
  <c r="AR24" i="265"/>
  <c r="AS253" i="321"/>
  <c r="AS267" i="321"/>
  <c r="AS277" i="321"/>
  <c r="AS213" i="273"/>
  <c r="AS131" i="321"/>
  <c r="AS71" i="321"/>
  <c r="AS259" i="321"/>
  <c r="AS29" i="310"/>
  <c r="AS17" i="307"/>
  <c r="AO98" i="278"/>
  <c r="AO101" i="278"/>
  <c r="AO104" i="278"/>
  <c r="AO105" i="278"/>
  <c r="AO18" i="328"/>
  <c r="AU30" i="289"/>
  <c r="AS59" i="315"/>
  <c r="AS61" i="265"/>
  <c r="AS24" i="265"/>
  <c r="AS22" i="315"/>
  <c r="AT201" i="273"/>
  <c r="AT203" i="273"/>
  <c r="AT263" i="321"/>
  <c r="AU39" i="305"/>
  <c r="AU42" i="305"/>
  <c r="AR72" i="321"/>
  <c r="AR79" i="321"/>
  <c r="AT161" i="273"/>
  <c r="AT163" i="273"/>
  <c r="AT151" i="321"/>
  <c r="AQ153" i="278"/>
  <c r="AQ30" i="328"/>
  <c r="AS27" i="310"/>
  <c r="AS278" i="307"/>
  <c r="AS279" i="307"/>
  <c r="AS287" i="307"/>
  <c r="AS15" i="307"/>
  <c r="AS286" i="307"/>
  <c r="AQ90" i="278"/>
  <c r="AS24" i="310"/>
  <c r="AS12" i="307"/>
  <c r="AT28" i="310"/>
  <c r="AT16" i="307"/>
  <c r="AP154" i="278"/>
  <c r="AQ67" i="288"/>
  <c r="AQ236" i="288"/>
  <c r="AQ161" i="288"/>
  <c r="AQ162" i="288"/>
  <c r="AQ171" i="288"/>
  <c r="AQ217" i="288"/>
  <c r="AQ167" i="288"/>
  <c r="AQ217" i="273"/>
  <c r="AP218" i="273"/>
  <c r="AQ91" i="288"/>
  <c r="AQ45" i="321"/>
  <c r="AQ46" i="321"/>
  <c r="AQ48" i="321"/>
  <c r="AQ230" i="288"/>
  <c r="AQ259" i="288"/>
  <c r="AQ86" i="288"/>
  <c r="AQ51" i="321"/>
  <c r="AQ241" i="288"/>
  <c r="AQ109" i="288"/>
  <c r="AQ80" i="288"/>
  <c r="AQ97" i="278"/>
  <c r="AU195" i="273"/>
  <c r="AV36" i="289"/>
  <c r="AV11" i="289"/>
  <c r="AV12" i="289"/>
  <c r="AT20" i="275"/>
  <c r="AU17" i="275"/>
  <c r="AQ152" i="278"/>
  <c r="AQ29" i="328"/>
  <c r="AU89" i="305"/>
  <c r="AV90" i="305"/>
  <c r="AV41" i="305"/>
  <c r="AU100" i="306"/>
  <c r="AU105" i="306"/>
  <c r="AU262" i="273"/>
  <c r="AU674" i="321"/>
  <c r="AX2" i="328"/>
  <c r="AX10" i="289"/>
  <c r="AR263" i="306"/>
  <c r="AQ91" i="278"/>
  <c r="AX103" i="305"/>
  <c r="AX104" i="305"/>
  <c r="AX113" i="305"/>
  <c r="AX115" i="305"/>
  <c r="AX107" i="305"/>
  <c r="AX108" i="305"/>
  <c r="AX112" i="305"/>
  <c r="AU566" i="321"/>
  <c r="AU109" i="273"/>
  <c r="AV110" i="273"/>
  <c r="AU187" i="278"/>
  <c r="AU92" i="286"/>
  <c r="AU16" i="288"/>
  <c r="AU17" i="288"/>
  <c r="AU162" i="278"/>
  <c r="AU637" i="321"/>
  <c r="AU110" i="286"/>
  <c r="AU212" i="278"/>
  <c r="AU11" i="282"/>
  <c r="AU623" i="321"/>
  <c r="AU15" i="286"/>
  <c r="AU552" i="321"/>
  <c r="AU268" i="278"/>
  <c r="AU292" i="278"/>
  <c r="AU33" i="286"/>
  <c r="AT28" i="314"/>
  <c r="AT122" i="273"/>
  <c r="AT124" i="273"/>
  <c r="AT259" i="278"/>
  <c r="AT589" i="321"/>
  <c r="AT590" i="321"/>
  <c r="AT38" i="314"/>
  <c r="AT55" i="273"/>
  <c r="AT117" i="314"/>
  <c r="AT261" i="273"/>
  <c r="AT263" i="273"/>
  <c r="AT86" i="273"/>
  <c r="AT602" i="321"/>
  <c r="AT658" i="321"/>
  <c r="AV119" i="273"/>
  <c r="AV120" i="273"/>
  <c r="AV123" i="273"/>
  <c r="AV158" i="273"/>
  <c r="AV159" i="273"/>
  <c r="AV162" i="273"/>
  <c r="AV59" i="288"/>
  <c r="AV209" i="288"/>
  <c r="AV2" i="289"/>
  <c r="AV49" i="273"/>
  <c r="AV2" i="288"/>
  <c r="AV71" i="273"/>
  <c r="AV72" i="273"/>
  <c r="AV194" i="273"/>
  <c r="AV34" i="288"/>
  <c r="AV2" i="286"/>
  <c r="AV2" i="275"/>
  <c r="AV2" i="304"/>
  <c r="AV38" i="311"/>
  <c r="AV154" i="273"/>
  <c r="AV155" i="273"/>
  <c r="AV2" i="265"/>
  <c r="AV2" i="321"/>
  <c r="AV2" i="278"/>
  <c r="AV2" i="314"/>
  <c r="AV184" i="288"/>
  <c r="AV2" i="315"/>
  <c r="AV258" i="273"/>
  <c r="AV259" i="273"/>
  <c r="AV198" i="273"/>
  <c r="AV199" i="273"/>
  <c r="AV202" i="273"/>
  <c r="AV3" i="328"/>
  <c r="AV8" i="328"/>
  <c r="AV2" i="273"/>
  <c r="AV2" i="282"/>
  <c r="AV148" i="288"/>
  <c r="AV2" i="285"/>
  <c r="AS565" i="321"/>
  <c r="AS179" i="278"/>
  <c r="AS701" i="321"/>
  <c r="AS708" i="321"/>
  <c r="AS104" i="314"/>
  <c r="AS652" i="321"/>
  <c r="AS246" i="278"/>
  <c r="AS453" i="321"/>
  <c r="AS63" i="286"/>
  <c r="AS136" i="314"/>
  <c r="AS239" i="278"/>
  <c r="AS230" i="278"/>
  <c r="AS573" i="321"/>
  <c r="AS713" i="321"/>
  <c r="AS204" i="278"/>
  <c r="AS100" i="278"/>
  <c r="AS622" i="321"/>
  <c r="AS497" i="321"/>
  <c r="AS306" i="278"/>
  <c r="AS50" i="314"/>
  <c r="AS148" i="278"/>
  <c r="AS581" i="321"/>
  <c r="AS675" i="321"/>
  <c r="AS283" i="278"/>
  <c r="AS659" i="321"/>
  <c r="AS636" i="321"/>
  <c r="AS31" i="289"/>
  <c r="AS32" i="289"/>
  <c r="AS37" i="289"/>
  <c r="AS39" i="289"/>
  <c r="AT39" i="289"/>
  <c r="AS545" i="321"/>
  <c r="AS17" i="314"/>
  <c r="AS603" i="321"/>
  <c r="AS540" i="321"/>
  <c r="AS694" i="321"/>
  <c r="AS551" i="321"/>
  <c r="AS644" i="321"/>
  <c r="AS617" i="321"/>
  <c r="AS319" i="278"/>
  <c r="AS57" i="314"/>
  <c r="AS129" i="314"/>
  <c r="AR39" i="321"/>
  <c r="AR41" i="321"/>
  <c r="AR44" i="321"/>
  <c r="AU589" i="321"/>
  <c r="AU590" i="321"/>
  <c r="AU259" i="278"/>
  <c r="AU55" i="273"/>
  <c r="AU261" i="273"/>
  <c r="AU28" i="314"/>
  <c r="AU38" i="314"/>
  <c r="AU122" i="273"/>
  <c r="AU117" i="314"/>
  <c r="AR214" i="273"/>
  <c r="AT49" i="305"/>
  <c r="AT50" i="305"/>
  <c r="AU4" i="306"/>
  <c r="AU4" i="286"/>
  <c r="AU4" i="314"/>
  <c r="AU4" i="315"/>
  <c r="AU11" i="328"/>
  <c r="AU4" i="304"/>
  <c r="AU4" i="289"/>
  <c r="AU4" i="321"/>
  <c r="AU4" i="285"/>
  <c r="AU4" i="288"/>
  <c r="AU4" i="278"/>
  <c r="AU4" i="310"/>
  <c r="AU4" i="309"/>
  <c r="AU4" i="282"/>
  <c r="AU4" i="275"/>
  <c r="AU4" i="307"/>
  <c r="AU4" i="273"/>
  <c r="AU84" i="273"/>
  <c r="AU54" i="273"/>
  <c r="AR253" i="306"/>
  <c r="AU53" i="273"/>
  <c r="AU75" i="273"/>
  <c r="AV76" i="273"/>
  <c r="AO92" i="306"/>
  <c r="AO93" i="306"/>
  <c r="AO24" i="288"/>
  <c r="AO25" i="288"/>
  <c r="AN10" i="265"/>
  <c r="AN11" i="265"/>
  <c r="AN32" i="328"/>
  <c r="AN10" i="315"/>
  <c r="AN11" i="315"/>
  <c r="AU155" i="273"/>
  <c r="AO10" i="265"/>
  <c r="AO10" i="315"/>
  <c r="AR268" i="306"/>
  <c r="AM15" i="310"/>
  <c r="AR3" i="282"/>
  <c r="AR3" i="288"/>
  <c r="AR3" i="321"/>
  <c r="AR4" i="328"/>
  <c r="AR47" i="273"/>
  <c r="AR3" i="265"/>
  <c r="AR3" i="273"/>
  <c r="AR3" i="304"/>
  <c r="AR3" i="315"/>
  <c r="AR3" i="286"/>
  <c r="AR3" i="285"/>
  <c r="AR3" i="275"/>
  <c r="AR3" i="314"/>
  <c r="AR3" i="278"/>
  <c r="AR3" i="289"/>
  <c r="AS16" i="285"/>
  <c r="U44" i="265"/>
  <c r="U42" i="315"/>
  <c r="BB674" i="307"/>
  <c r="BB619" i="307"/>
  <c r="BB221" i="307"/>
  <c r="BB669" i="307"/>
  <c r="BB664" i="307"/>
  <c r="BB644" i="307"/>
  <c r="BB246" i="306"/>
  <c r="BB262" i="306"/>
  <c r="BB267" i="306"/>
  <c r="BB614" i="307"/>
  <c r="BB649" i="307"/>
  <c r="BB629" i="307"/>
  <c r="BB277" i="306"/>
  <c r="BB624" i="307"/>
  <c r="BB240" i="306"/>
  <c r="BB252" i="306"/>
  <c r="U229" i="278"/>
  <c r="U231" i="278"/>
  <c r="V222" i="278"/>
  <c r="U116" i="265"/>
  <c r="U112" i="315"/>
  <c r="U254" i="278"/>
  <c r="AP18" i="307"/>
  <c r="AQ154" i="278"/>
  <c r="AP30" i="310"/>
  <c r="AV15" i="307"/>
  <c r="AR91" i="278"/>
  <c r="AP92" i="306"/>
  <c r="AP93" i="306"/>
  <c r="AP24" i="288"/>
  <c r="AP25" i="288"/>
  <c r="AP31" i="288"/>
  <c r="AV278" i="307"/>
  <c r="AV279" i="307"/>
  <c r="AV287" i="307"/>
  <c r="AP278" i="306"/>
  <c r="AV27" i="310"/>
  <c r="AT57" i="273"/>
  <c r="AT63" i="273"/>
  <c r="AT64" i="273"/>
  <c r="AN15" i="310"/>
  <c r="AZ9" i="328"/>
  <c r="AN31" i="288"/>
  <c r="AN181" i="288"/>
  <c r="AR97" i="278"/>
  <c r="BA44" i="273"/>
  <c r="BA45" i="273"/>
  <c r="BA9" i="328"/>
  <c r="BA38" i="289"/>
  <c r="BA133" i="288"/>
  <c r="BA23" i="288"/>
  <c r="BB668" i="307"/>
  <c r="BB102" i="314"/>
  <c r="BB220" i="307"/>
  <c r="BB245" i="306"/>
  <c r="BB663" i="307"/>
  <c r="BB256" i="306"/>
  <c r="BB648" i="307"/>
  <c r="BB233" i="306"/>
  <c r="BB239" i="306"/>
  <c r="BB623" i="307"/>
  <c r="BB673" i="307"/>
  <c r="BB5" i="328"/>
  <c r="BB607" i="307"/>
  <c r="BB276" i="306"/>
  <c r="BB618" i="307"/>
  <c r="BB251" i="306"/>
  <c r="BB228" i="288"/>
  <c r="BB643" i="307"/>
  <c r="BB628" i="307"/>
  <c r="BB261" i="306"/>
  <c r="BB271" i="306"/>
  <c r="BB84" i="288"/>
  <c r="BB266" i="306"/>
  <c r="BB234" i="288"/>
  <c r="BB613" i="307"/>
  <c r="BB5" i="265"/>
  <c r="BB5" i="275"/>
  <c r="BB5" i="278"/>
  <c r="BB5" i="286"/>
  <c r="BB5" i="277"/>
  <c r="BB5" i="321"/>
  <c r="BB5" i="282"/>
  <c r="BB5" i="309"/>
  <c r="BB5" i="304"/>
  <c r="BB78" i="288"/>
  <c r="BB5" i="288"/>
  <c r="BB5" i="273"/>
  <c r="BB5" i="314"/>
  <c r="BB5" i="285"/>
  <c r="BB5" i="315"/>
  <c r="BB5" i="289"/>
  <c r="AP17" i="328"/>
  <c r="AP27" i="328"/>
  <c r="AP98" i="278"/>
  <c r="AP101" i="278"/>
  <c r="AP104" i="278"/>
  <c r="AP105" i="278"/>
  <c r="AP18" i="328"/>
  <c r="AU20" i="275"/>
  <c r="AV17" i="275"/>
  <c r="AT212" i="273"/>
  <c r="AT141" i="321"/>
  <c r="AT147" i="321"/>
  <c r="AT155" i="321"/>
  <c r="AT130" i="321"/>
  <c r="AT165" i="321"/>
  <c r="AT70" i="321"/>
  <c r="AR90" i="278"/>
  <c r="AV53" i="273"/>
  <c r="AV75" i="273"/>
  <c r="AW76" i="273"/>
  <c r="AO31" i="288"/>
  <c r="AO181" i="288"/>
  <c r="AW198" i="273"/>
  <c r="AW199" i="273"/>
  <c r="AW202" i="273"/>
  <c r="AW2" i="265"/>
  <c r="AW2" i="278"/>
  <c r="AW2" i="289"/>
  <c r="AW2" i="275"/>
  <c r="AW2" i="321"/>
  <c r="AW2" i="285"/>
  <c r="AW119" i="273"/>
  <c r="AW120" i="273"/>
  <c r="AW123" i="273"/>
  <c r="AW158" i="273"/>
  <c r="AW159" i="273"/>
  <c r="AW162" i="273"/>
  <c r="AW3" i="328"/>
  <c r="AW8" i="328"/>
  <c r="AW2" i="288"/>
  <c r="AW148" i="288"/>
  <c r="AW2" i="273"/>
  <c r="AW209" i="288"/>
  <c r="AW258" i="273"/>
  <c r="AW259" i="273"/>
  <c r="AW194" i="273"/>
  <c r="AW59" i="288"/>
  <c r="AW2" i="282"/>
  <c r="AW2" i="304"/>
  <c r="AW38" i="311"/>
  <c r="AW49" i="273"/>
  <c r="AW154" i="273"/>
  <c r="AW71" i="273"/>
  <c r="AW2" i="314"/>
  <c r="AW34" i="288"/>
  <c r="AW184" i="288"/>
  <c r="AW2" i="315"/>
  <c r="AW2" i="286"/>
  <c r="AU49" i="305"/>
  <c r="AU50" i="305"/>
  <c r="AS147" i="278"/>
  <c r="AS149" i="278"/>
  <c r="AT17" i="314"/>
  <c r="AT551" i="321"/>
  <c r="AT573" i="321"/>
  <c r="AT713" i="321"/>
  <c r="AT540" i="321"/>
  <c r="AT659" i="321"/>
  <c r="AT246" i="278"/>
  <c r="AT644" i="321"/>
  <c r="AT453" i="321"/>
  <c r="AT306" i="278"/>
  <c r="AT16" i="289"/>
  <c r="AT17" i="289"/>
  <c r="AT22" i="289"/>
  <c r="AT230" i="278"/>
  <c r="AT581" i="321"/>
  <c r="AT675" i="321"/>
  <c r="AT179" i="278"/>
  <c r="AT617" i="321"/>
  <c r="AT622" i="321"/>
  <c r="AT652" i="321"/>
  <c r="AT31" i="289"/>
  <c r="AT32" i="289"/>
  <c r="AT37" i="289"/>
  <c r="AT47" i="289"/>
  <c r="AT48" i="289"/>
  <c r="AT53" i="289"/>
  <c r="AT57" i="314"/>
  <c r="AT694" i="321"/>
  <c r="AT565" i="321"/>
  <c r="AT148" i="278"/>
  <c r="AT239" i="278"/>
  <c r="AT204" i="278"/>
  <c r="AT100" i="278"/>
  <c r="AT319" i="278"/>
  <c r="AT129" i="314"/>
  <c r="AT545" i="321"/>
  <c r="AT50" i="314"/>
  <c r="AT701" i="321"/>
  <c r="AT708" i="321"/>
  <c r="AT603" i="321"/>
  <c r="AT104" i="314"/>
  <c r="AT283" i="278"/>
  <c r="AT636" i="321"/>
  <c r="AT497" i="321"/>
  <c r="AT136" i="314"/>
  <c r="AT63" i="286"/>
  <c r="AY103" i="305"/>
  <c r="AY104" i="305"/>
  <c r="AY113" i="305"/>
  <c r="AY115" i="305"/>
  <c r="AY107" i="305"/>
  <c r="AY108" i="305"/>
  <c r="AY112" i="305"/>
  <c r="AS268" i="306"/>
  <c r="AU28" i="310"/>
  <c r="AU16" i="307"/>
  <c r="AQ217" i="278"/>
  <c r="AQ155" i="278"/>
  <c r="AQ223" i="278"/>
  <c r="AQ213" i="278"/>
  <c r="AQ214" i="278"/>
  <c r="AQ218" i="278"/>
  <c r="AV19" i="282"/>
  <c r="AV158" i="314"/>
  <c r="AV15" i="275"/>
  <c r="AV79" i="314"/>
  <c r="AV85" i="273"/>
  <c r="AV272" i="278"/>
  <c r="AV118" i="314"/>
  <c r="AV296" i="278"/>
  <c r="AV39" i="314"/>
  <c r="AS3" i="304"/>
  <c r="AS47" i="273"/>
  <c r="AS3" i="282"/>
  <c r="AS4" i="328"/>
  <c r="AS3" i="285"/>
  <c r="AS3" i="321"/>
  <c r="AS3" i="265"/>
  <c r="AS3" i="289"/>
  <c r="AS3" i="315"/>
  <c r="AS3" i="314"/>
  <c r="AS3" i="286"/>
  <c r="AS3" i="275"/>
  <c r="AS3" i="273"/>
  <c r="AS3" i="278"/>
  <c r="AS3" i="288"/>
  <c r="AU26" i="310"/>
  <c r="AU14" i="307"/>
  <c r="AU658" i="321"/>
  <c r="AU602" i="321"/>
  <c r="AT12" i="307"/>
  <c r="AT24" i="310"/>
  <c r="AR152" i="278"/>
  <c r="AR29" i="328"/>
  <c r="AV26" i="310"/>
  <c r="AV14" i="307"/>
  <c r="AW39" i="305"/>
  <c r="AV161" i="273"/>
  <c r="AV151" i="321"/>
  <c r="AW36" i="289"/>
  <c r="AT3" i="310"/>
  <c r="AT3" i="305"/>
  <c r="AT3" i="309"/>
  <c r="AT3" i="306"/>
  <c r="AT3" i="307"/>
  <c r="AV579" i="321"/>
  <c r="AV186" i="278"/>
  <c r="AV707" i="321"/>
  <c r="AV211" i="278"/>
  <c r="AV161" i="278"/>
  <c r="AV598" i="321"/>
  <c r="AV599" i="321"/>
  <c r="AV650" i="321"/>
  <c r="AT105" i="282"/>
  <c r="AT591" i="321"/>
  <c r="AT37" i="282"/>
  <c r="AV56" i="273"/>
  <c r="AV240" i="278"/>
  <c r="AV247" i="278"/>
  <c r="AY2" i="328"/>
  <c r="AP213" i="278"/>
  <c r="AP214" i="278"/>
  <c r="AP218" i="278"/>
  <c r="AP217" i="278"/>
  <c r="AP155" i="278"/>
  <c r="AP223" i="278"/>
  <c r="AS253" i="306"/>
  <c r="AU130" i="307"/>
  <c r="AV28" i="310"/>
  <c r="AV16" i="307"/>
  <c r="AU124" i="273"/>
  <c r="AT16" i="285"/>
  <c r="AU161" i="273"/>
  <c r="AU163" i="273"/>
  <c r="AU151" i="321"/>
  <c r="AW105" i="306"/>
  <c r="AW100" i="306"/>
  <c r="AW89" i="305"/>
  <c r="AX90" i="305"/>
  <c r="AX41" i="305"/>
  <c r="AO15" i="310"/>
  <c r="AV674" i="321"/>
  <c r="AV262" i="273"/>
  <c r="AR67" i="288"/>
  <c r="AR217" i="273"/>
  <c r="AQ218" i="273"/>
  <c r="AR91" i="288"/>
  <c r="AR45" i="321"/>
  <c r="AR46" i="321"/>
  <c r="AR48" i="321"/>
  <c r="AR230" i="288"/>
  <c r="AR51" i="321"/>
  <c r="AR259" i="288"/>
  <c r="AR161" i="288"/>
  <c r="AR162" i="288"/>
  <c r="AR171" i="288"/>
  <c r="AR80" i="288"/>
  <c r="AR217" i="288"/>
  <c r="AR109" i="288"/>
  <c r="AR86" i="288"/>
  <c r="AR167" i="288"/>
  <c r="AR241" i="288"/>
  <c r="AR236" i="288"/>
  <c r="AU53" i="288"/>
  <c r="AU28" i="288"/>
  <c r="AU178" i="288"/>
  <c r="AU203" i="288"/>
  <c r="AX2" i="309"/>
  <c r="AX34" i="311"/>
  <c r="AX2" i="310"/>
  <c r="AX26" i="305"/>
  <c r="AX27" i="305"/>
  <c r="AX31" i="305"/>
  <c r="AY32" i="305"/>
  <c r="AY34" i="305"/>
  <c r="AY35" i="305"/>
  <c r="AY4" i="305"/>
  <c r="AX183" i="288"/>
  <c r="AX33" i="288"/>
  <c r="AX58" i="288"/>
  <c r="AX147" i="288"/>
  <c r="AX208" i="288"/>
  <c r="AX2" i="306"/>
  <c r="AX2" i="305"/>
  <c r="AX2" i="307"/>
  <c r="AV46" i="289"/>
  <c r="AV30" i="289"/>
  <c r="AV15" i="289"/>
  <c r="AU263" i="321"/>
  <c r="AU201" i="273"/>
  <c r="AU203" i="273"/>
  <c r="AQ92" i="278"/>
  <c r="AV122" i="273"/>
  <c r="AV117" i="314"/>
  <c r="AV589" i="321"/>
  <c r="AV590" i="321"/>
  <c r="AV261" i="273"/>
  <c r="AV55" i="273"/>
  <c r="AV259" i="278"/>
  <c r="AV28" i="314"/>
  <c r="AV38" i="314"/>
  <c r="AT29" i="310"/>
  <c r="AT17" i="307"/>
  <c r="AV25" i="310"/>
  <c r="AV13" i="307"/>
  <c r="AW40" i="305"/>
  <c r="AS72" i="321"/>
  <c r="AS79" i="321"/>
  <c r="AS214" i="273"/>
  <c r="AV84" i="273"/>
  <c r="AV54" i="273"/>
  <c r="AV4" i="315"/>
  <c r="AV4" i="275"/>
  <c r="AV4" i="321"/>
  <c r="AV4" i="288"/>
  <c r="AV4" i="314"/>
  <c r="AV4" i="306"/>
  <c r="AV4" i="273"/>
  <c r="AV4" i="310"/>
  <c r="AV4" i="282"/>
  <c r="AV4" i="278"/>
  <c r="AV4" i="285"/>
  <c r="AV4" i="289"/>
  <c r="AV11" i="328"/>
  <c r="AV4" i="304"/>
  <c r="AV4" i="286"/>
  <c r="AV4" i="309"/>
  <c r="AV4" i="307"/>
  <c r="AU263" i="273"/>
  <c r="AU105" i="282"/>
  <c r="AU591" i="321"/>
  <c r="AU37" i="282"/>
  <c r="AV11" i="282"/>
  <c r="AV268" i="278"/>
  <c r="AV637" i="321"/>
  <c r="AV110" i="286"/>
  <c r="AV16" i="288"/>
  <c r="AV17" i="288"/>
  <c r="AV566" i="321"/>
  <c r="AV292" i="278"/>
  <c r="AV15" i="286"/>
  <c r="AV109" i="273"/>
  <c r="AW110" i="273"/>
  <c r="AV212" i="278"/>
  <c r="AV623" i="321"/>
  <c r="AV92" i="286"/>
  <c r="AV162" i="278"/>
  <c r="AV552" i="321"/>
  <c r="AV187" i="278"/>
  <c r="AV33" i="286"/>
  <c r="AW72" i="273"/>
  <c r="AU86" i="273"/>
  <c r="AP272" i="288"/>
  <c r="AP122" i="288"/>
  <c r="AP114" i="288"/>
  <c r="AP264" i="288"/>
  <c r="AV195" i="273"/>
  <c r="AV40" i="305"/>
  <c r="AV42" i="305"/>
  <c r="AU25" i="310"/>
  <c r="AU13" i="307"/>
  <c r="AO192" i="278"/>
  <c r="AO197" i="278"/>
  <c r="AO188" i="278"/>
  <c r="AO189" i="278"/>
  <c r="AO193" i="278"/>
  <c r="AO9" i="315"/>
  <c r="AO11" i="315"/>
  <c r="AS263" i="306"/>
  <c r="AT131" i="321"/>
  <c r="AT259" i="321"/>
  <c r="AT71" i="321"/>
  <c r="AT267" i="321"/>
  <c r="AT277" i="321"/>
  <c r="AT213" i="273"/>
  <c r="AT253" i="321"/>
  <c r="AR153" i="278"/>
  <c r="AR30" i="328"/>
  <c r="AO11" i="265"/>
  <c r="AO32" i="328"/>
  <c r="AU36" i="285"/>
  <c r="AT24" i="314"/>
  <c r="AT36" i="285"/>
  <c r="AT172" i="314"/>
  <c r="AT111" i="314"/>
  <c r="AT123" i="314"/>
  <c r="AT40" i="321"/>
  <c r="AT39" i="321"/>
  <c r="AT41" i="321"/>
  <c r="AT44" i="321"/>
  <c r="AT11" i="321"/>
  <c r="AT44" i="314"/>
  <c r="AT89" i="314"/>
  <c r="V216" i="278"/>
  <c r="V219" i="278"/>
  <c r="V228" i="278"/>
  <c r="AD9" i="310"/>
  <c r="AD283" i="307"/>
  <c r="U238" i="278"/>
  <c r="U245" i="278"/>
  <c r="U282" i="278"/>
  <c r="BC664" i="307"/>
  <c r="BC644" i="307"/>
  <c r="BC674" i="307"/>
  <c r="BC619" i="307"/>
  <c r="BC221" i="307"/>
  <c r="BC669" i="307"/>
  <c r="BC267" i="306"/>
  <c r="BC246" i="306"/>
  <c r="BC262" i="306"/>
  <c r="BC649" i="307"/>
  <c r="BC629" i="307"/>
  <c r="BC277" i="306"/>
  <c r="BC614" i="307"/>
  <c r="BC624" i="307"/>
  <c r="BC240" i="306"/>
  <c r="BC252" i="306"/>
  <c r="AP181" i="288"/>
  <c r="AU57" i="273"/>
  <c r="AR92" i="278"/>
  <c r="AR18" i="328"/>
  <c r="BB44" i="273"/>
  <c r="BB45" i="273"/>
  <c r="BB9" i="328"/>
  <c r="BB38" i="289"/>
  <c r="BB23" i="288"/>
  <c r="BB133" i="288"/>
  <c r="BA48" i="273"/>
  <c r="AU11" i="321"/>
  <c r="BC663" i="307"/>
  <c r="BC102" i="314"/>
  <c r="BC668" i="307"/>
  <c r="BC245" i="306"/>
  <c r="BC256" i="306"/>
  <c r="BC643" i="307"/>
  <c r="BC276" i="306"/>
  <c r="BC618" i="307"/>
  <c r="BC228" i="288"/>
  <c r="BC613" i="307"/>
  <c r="BC261" i="306"/>
  <c r="BC239" i="306"/>
  <c r="BC607" i="307"/>
  <c r="BC233" i="306"/>
  <c r="BC271" i="306"/>
  <c r="BC266" i="306"/>
  <c r="BC251" i="306"/>
  <c r="BC220" i="307"/>
  <c r="BC648" i="307"/>
  <c r="BC623" i="307"/>
  <c r="BC78" i="288"/>
  <c r="BC84" i="288"/>
  <c r="BC5" i="328"/>
  <c r="BC234" i="288"/>
  <c r="BC5" i="265"/>
  <c r="BC5" i="321"/>
  <c r="BC5" i="273"/>
  <c r="BC5" i="289"/>
  <c r="BC5" i="309"/>
  <c r="BC628" i="307"/>
  <c r="BC5" i="304"/>
  <c r="BC5" i="275"/>
  <c r="BC5" i="285"/>
  <c r="BC673" i="307"/>
  <c r="BC5" i="286"/>
  <c r="BC5" i="282"/>
  <c r="BC5" i="315"/>
  <c r="BC5" i="288"/>
  <c r="BC5" i="314"/>
  <c r="BC5" i="278"/>
  <c r="AP172" i="278"/>
  <c r="AP167" i="278"/>
  <c r="AP163" i="278"/>
  <c r="AP164" i="278"/>
  <c r="AP168" i="278"/>
  <c r="AU172" i="314"/>
  <c r="AT72" i="321"/>
  <c r="AT79" i="321"/>
  <c r="AP9" i="315"/>
  <c r="AP192" i="278"/>
  <c r="AP188" i="278"/>
  <c r="AP189" i="278"/>
  <c r="AP193" i="278"/>
  <c r="AP197" i="278"/>
  <c r="AU44" i="314"/>
  <c r="AU24" i="314"/>
  <c r="AU123" i="314"/>
  <c r="AV20" i="275"/>
  <c r="AW17" i="275"/>
  <c r="AU89" i="314"/>
  <c r="AU111" i="314"/>
  <c r="AS91" i="278"/>
  <c r="AV130" i="307"/>
  <c r="AU147" i="321"/>
  <c r="AU165" i="321"/>
  <c r="AU130" i="321"/>
  <c r="AU212" i="273"/>
  <c r="AU141" i="321"/>
  <c r="AU70" i="321"/>
  <c r="AU155" i="321"/>
  <c r="AV163" i="273"/>
  <c r="AS90" i="278"/>
  <c r="AU253" i="321"/>
  <c r="AU213" i="273"/>
  <c r="AU267" i="321"/>
  <c r="AU71" i="321"/>
  <c r="AU259" i="321"/>
  <c r="AU131" i="321"/>
  <c r="AU277" i="321"/>
  <c r="AX258" i="273"/>
  <c r="AX194" i="273"/>
  <c r="AX195" i="273"/>
  <c r="AX3" i="328"/>
  <c r="AX8" i="328"/>
  <c r="AX2" i="315"/>
  <c r="AX209" i="288"/>
  <c r="AX2" i="321"/>
  <c r="AX2" i="273"/>
  <c r="AX119" i="273"/>
  <c r="AX120" i="273"/>
  <c r="AX123" i="273"/>
  <c r="AX154" i="273"/>
  <c r="AX59" i="288"/>
  <c r="AX2" i="285"/>
  <c r="AX2" i="304"/>
  <c r="AX2" i="288"/>
  <c r="AX2" i="314"/>
  <c r="AX71" i="273"/>
  <c r="AX72" i="273"/>
  <c r="AX198" i="273"/>
  <c r="AX199" i="273"/>
  <c r="AX202" i="273"/>
  <c r="AX2" i="282"/>
  <c r="AX184" i="288"/>
  <c r="AX2" i="278"/>
  <c r="AX49" i="273"/>
  <c r="AX2" i="275"/>
  <c r="AX158" i="273"/>
  <c r="AX159" i="273"/>
  <c r="AX162" i="273"/>
  <c r="AX2" i="265"/>
  <c r="AX148" i="288"/>
  <c r="AX38" i="311"/>
  <c r="AX34" i="288"/>
  <c r="AX2" i="289"/>
  <c r="AX2" i="286"/>
  <c r="AX40" i="305"/>
  <c r="AX155" i="273"/>
  <c r="AQ17" i="328"/>
  <c r="AW75" i="273"/>
  <c r="AX76" i="273"/>
  <c r="AW53" i="273"/>
  <c r="AW240" i="278"/>
  <c r="AW247" i="278"/>
  <c r="AW56" i="273"/>
  <c r="AV178" i="288"/>
  <c r="AV28" i="288"/>
  <c r="AV53" i="288"/>
  <c r="AV203" i="288"/>
  <c r="AS67" i="288"/>
  <c r="AS167" i="288"/>
  <c r="AS86" i="288"/>
  <c r="AS230" i="288"/>
  <c r="AS217" i="288"/>
  <c r="AS161" i="288"/>
  <c r="AS162" i="288"/>
  <c r="AS171" i="288"/>
  <c r="AS80" i="288"/>
  <c r="AS241" i="288"/>
  <c r="AS45" i="321"/>
  <c r="AS46" i="321"/>
  <c r="AS48" i="321"/>
  <c r="AS217" i="273"/>
  <c r="AR218" i="273"/>
  <c r="AS259" i="288"/>
  <c r="AS236" i="288"/>
  <c r="AS51" i="321"/>
  <c r="AS91" i="288"/>
  <c r="AS109" i="288"/>
  <c r="AX11" i="289"/>
  <c r="AX12" i="289"/>
  <c r="AX36" i="289"/>
  <c r="AS97" i="278"/>
  <c r="AV602" i="321"/>
  <c r="AV658" i="321"/>
  <c r="AW30" i="289"/>
  <c r="AW13" i="307"/>
  <c r="AW25" i="310"/>
  <c r="AT263" i="306"/>
  <c r="AS152" i="278"/>
  <c r="AS29" i="328"/>
  <c r="AU3" i="309"/>
  <c r="AU3" i="305"/>
  <c r="AU3" i="310"/>
  <c r="AU3" i="306"/>
  <c r="AU3" i="307"/>
  <c r="AX259" i="273"/>
  <c r="AT3" i="275"/>
  <c r="AT3" i="278"/>
  <c r="AT3" i="314"/>
  <c r="AT3" i="315"/>
  <c r="AT3" i="282"/>
  <c r="AT3" i="289"/>
  <c r="AT47" i="273"/>
  <c r="AT4" i="328"/>
  <c r="AT3" i="321"/>
  <c r="AT3" i="286"/>
  <c r="AT3" i="273"/>
  <c r="AT3" i="285"/>
  <c r="AT3" i="288"/>
  <c r="AT3" i="265"/>
  <c r="AT3" i="304"/>
  <c r="AQ278" i="306"/>
  <c r="AQ18" i="307"/>
  <c r="AQ30" i="310"/>
  <c r="AS30" i="328"/>
  <c r="AS153" i="278"/>
  <c r="AW42" i="305"/>
  <c r="AV49" i="305"/>
  <c r="AV50" i="305"/>
  <c r="AW579" i="321"/>
  <c r="AW211" i="278"/>
  <c r="AW707" i="321"/>
  <c r="AW186" i="278"/>
  <c r="AW161" i="278"/>
  <c r="AW650" i="321"/>
  <c r="AW598" i="321"/>
  <c r="AW599" i="321"/>
  <c r="AT97" i="278"/>
  <c r="AT268" i="306"/>
  <c r="AV201" i="273"/>
  <c r="AV203" i="273"/>
  <c r="AV263" i="321"/>
  <c r="AU59" i="315"/>
  <c r="AU24" i="265"/>
  <c r="AU22" i="315"/>
  <c r="AU61" i="265"/>
  <c r="AV263" i="273"/>
  <c r="AW195" i="273"/>
  <c r="AU29" i="310"/>
  <c r="AU17" i="307"/>
  <c r="AU24" i="310"/>
  <c r="AU12" i="307"/>
  <c r="AP10" i="265"/>
  <c r="AP10" i="315"/>
  <c r="AT22" i="315"/>
  <c r="AT61" i="265"/>
  <c r="AT59" i="315"/>
  <c r="AT24" i="265"/>
  <c r="AW14" i="307"/>
  <c r="AW26" i="310"/>
  <c r="AR154" i="278"/>
  <c r="AZ103" i="305"/>
  <c r="AZ104" i="305"/>
  <c r="AZ113" i="305"/>
  <c r="AZ115" i="305"/>
  <c r="AZ107" i="305"/>
  <c r="AZ108" i="305"/>
  <c r="AZ112" i="305"/>
  <c r="AU694" i="321"/>
  <c r="AU551" i="321"/>
  <c r="AU603" i="321"/>
  <c r="AU540" i="321"/>
  <c r="AU246" i="278"/>
  <c r="AU283" i="278"/>
  <c r="AU659" i="321"/>
  <c r="AU497" i="321"/>
  <c r="AU31" i="289"/>
  <c r="AU32" i="289"/>
  <c r="AU37" i="289"/>
  <c r="AU39" i="289"/>
  <c r="AV39" i="289"/>
  <c r="AU50" i="314"/>
  <c r="AU708" i="321"/>
  <c r="AU565" i="321"/>
  <c r="AU179" i="278"/>
  <c r="AU701" i="321"/>
  <c r="AU622" i="321"/>
  <c r="AU644" i="321"/>
  <c r="AU617" i="321"/>
  <c r="AU306" i="278"/>
  <c r="AU57" i="314"/>
  <c r="AU17" i="314"/>
  <c r="AU573" i="321"/>
  <c r="AU713" i="321"/>
  <c r="AU239" i="278"/>
  <c r="AU230" i="278"/>
  <c r="AU636" i="321"/>
  <c r="AU652" i="321"/>
  <c r="AU319" i="278"/>
  <c r="AU63" i="286"/>
  <c r="AU129" i="314"/>
  <c r="AU581" i="321"/>
  <c r="AU675" i="321"/>
  <c r="AU148" i="278"/>
  <c r="AU104" i="314"/>
  <c r="AU204" i="278"/>
  <c r="AU100" i="278"/>
  <c r="AU453" i="321"/>
  <c r="AU136" i="314"/>
  <c r="AU545" i="321"/>
  <c r="AW16" i="288"/>
  <c r="AW17" i="288"/>
  <c r="AW162" i="278"/>
  <c r="AW637" i="321"/>
  <c r="AW110" i="286"/>
  <c r="AW212" i="278"/>
  <c r="AW268" i="278"/>
  <c r="AW623" i="321"/>
  <c r="AW33" i="286"/>
  <c r="AW11" i="282"/>
  <c r="AW552" i="321"/>
  <c r="AW292" i="278"/>
  <c r="AW92" i="286"/>
  <c r="AW566" i="321"/>
  <c r="AW187" i="278"/>
  <c r="AW15" i="286"/>
  <c r="AW109" i="273"/>
  <c r="AX110" i="273"/>
  <c r="AW54" i="273"/>
  <c r="AW84" i="273"/>
  <c r="AW28" i="310"/>
  <c r="AW16" i="307"/>
  <c r="AW4" i="307"/>
  <c r="AW4" i="278"/>
  <c r="AW4" i="315"/>
  <c r="AW4" i="289"/>
  <c r="AW4" i="285"/>
  <c r="AW4" i="306"/>
  <c r="AW4" i="275"/>
  <c r="AW4" i="314"/>
  <c r="AW4" i="304"/>
  <c r="AW4" i="288"/>
  <c r="AW4" i="282"/>
  <c r="AW4" i="273"/>
  <c r="AW11" i="328"/>
  <c r="AW4" i="321"/>
  <c r="AW4" i="309"/>
  <c r="AW4" i="310"/>
  <c r="AW4" i="286"/>
  <c r="AU63" i="273"/>
  <c r="AU64" i="273"/>
  <c r="AV57" i="273"/>
  <c r="AV86" i="273"/>
  <c r="AV105" i="282"/>
  <c r="AV591" i="321"/>
  <c r="AV37" i="282"/>
  <c r="AQ98" i="278"/>
  <c r="AQ101" i="278"/>
  <c r="AQ104" i="278"/>
  <c r="AQ105" i="278"/>
  <c r="AQ18" i="328"/>
  <c r="AW155" i="273"/>
  <c r="AQ264" i="288"/>
  <c r="AQ272" i="288"/>
  <c r="AQ122" i="288"/>
  <c r="AQ114" i="288"/>
  <c r="AU16" i="285"/>
  <c r="AV124" i="273"/>
  <c r="AU286" i="307"/>
  <c r="AU27" i="310"/>
  <c r="AU278" i="307"/>
  <c r="AU279" i="307"/>
  <c r="AU287" i="307"/>
  <c r="AU15" i="307"/>
  <c r="AZ10" i="289"/>
  <c r="AZ2" i="328"/>
  <c r="AW674" i="321"/>
  <c r="AW262" i="273"/>
  <c r="AT253" i="306"/>
  <c r="AW55" i="273"/>
  <c r="AW38" i="314"/>
  <c r="AW28" i="314"/>
  <c r="AW261" i="273"/>
  <c r="AW122" i="273"/>
  <c r="AW259" i="278"/>
  <c r="AW589" i="321"/>
  <c r="AW590" i="321"/>
  <c r="AW117" i="314"/>
  <c r="AQ10" i="315"/>
  <c r="AQ10" i="265"/>
  <c r="AY26" i="305"/>
  <c r="AY27" i="305"/>
  <c r="AY31" i="305"/>
  <c r="AZ32" i="305"/>
  <c r="AZ34" i="305"/>
  <c r="AZ35" i="305"/>
  <c r="AZ4" i="305"/>
  <c r="AY2" i="309"/>
  <c r="AY2" i="307"/>
  <c r="AY183" i="288"/>
  <c r="AY34" i="311"/>
  <c r="AY33" i="288"/>
  <c r="AY147" i="288"/>
  <c r="AY2" i="305"/>
  <c r="AY208" i="288"/>
  <c r="AY58" i="288"/>
  <c r="AY2" i="306"/>
  <c r="AY2" i="310"/>
  <c r="AT147" i="278"/>
  <c r="AT149" i="278"/>
  <c r="AR17" i="328"/>
  <c r="AT214" i="273"/>
  <c r="AU40" i="321"/>
  <c r="AU39" i="321"/>
  <c r="AU41" i="321"/>
  <c r="AU44" i="321"/>
  <c r="BD669" i="307"/>
  <c r="BD664" i="307"/>
  <c r="BD644" i="307"/>
  <c r="BD674" i="307"/>
  <c r="BD619" i="307"/>
  <c r="BD221" i="307"/>
  <c r="BD267" i="306"/>
  <c r="BD246" i="306"/>
  <c r="BD262" i="306"/>
  <c r="BD649" i="307"/>
  <c r="BD629" i="307"/>
  <c r="BD277" i="306"/>
  <c r="BD614" i="307"/>
  <c r="BD240" i="306"/>
  <c r="BD252" i="306"/>
  <c r="BD624" i="307"/>
  <c r="V224" i="278"/>
  <c r="V225" i="278"/>
  <c r="V220" i="278"/>
  <c r="AR98" i="278"/>
  <c r="AR101" i="278"/>
  <c r="AR104" i="278"/>
  <c r="AR105" i="278"/>
  <c r="AR188" i="278"/>
  <c r="AR189" i="278"/>
  <c r="AR193" i="278"/>
  <c r="AP15" i="310"/>
  <c r="AV44" i="314"/>
  <c r="BB48" i="273"/>
  <c r="AP11" i="265"/>
  <c r="AP32" i="328"/>
  <c r="BD668" i="307"/>
  <c r="BD220" i="307"/>
  <c r="BD245" i="306"/>
  <c r="BD256" i="306"/>
  <c r="BD663" i="307"/>
  <c r="BD102" i="314"/>
  <c r="BD628" i="307"/>
  <c r="BD271" i="306"/>
  <c r="BD261" i="306"/>
  <c r="BD251" i="306"/>
  <c r="BD78" i="288"/>
  <c r="BD643" i="307"/>
  <c r="BD673" i="307"/>
  <c r="BD613" i="307"/>
  <c r="BD239" i="306"/>
  <c r="BD618" i="307"/>
  <c r="BD228" i="288"/>
  <c r="BD607" i="307"/>
  <c r="BD233" i="306"/>
  <c r="BD648" i="307"/>
  <c r="BD5" i="265"/>
  <c r="BD276" i="306"/>
  <c r="BD266" i="306"/>
  <c r="BD623" i="307"/>
  <c r="BD84" i="288"/>
  <c r="BD5" i="328"/>
  <c r="BD5" i="286"/>
  <c r="BD5" i="282"/>
  <c r="BD5" i="285"/>
  <c r="BD5" i="304"/>
  <c r="BD5" i="275"/>
  <c r="BD5" i="289"/>
  <c r="BD5" i="314"/>
  <c r="BD5" i="315"/>
  <c r="BD5" i="273"/>
  <c r="BD234" i="288"/>
  <c r="BD5" i="309"/>
  <c r="BD5" i="278"/>
  <c r="BD5" i="321"/>
  <c r="BD5" i="288"/>
  <c r="AP11" i="315"/>
  <c r="BC38" i="289"/>
  <c r="BC133" i="288"/>
  <c r="BC23" i="288"/>
  <c r="AV11" i="321"/>
  <c r="AV111" i="314"/>
  <c r="AW263" i="273"/>
  <c r="AS92" i="278"/>
  <c r="AS18" i="328"/>
  <c r="AW286" i="307"/>
  <c r="AW27" i="310"/>
  <c r="AW278" i="307"/>
  <c r="AW279" i="307"/>
  <c r="AW287" i="307"/>
  <c r="AW15" i="307"/>
  <c r="AV40" i="321"/>
  <c r="AV39" i="321"/>
  <c r="AV41" i="321"/>
  <c r="AV44" i="321"/>
  <c r="AV36" i="285"/>
  <c r="AV89" i="314"/>
  <c r="AV172" i="314"/>
  <c r="AX272" i="278"/>
  <c r="AX39" i="314"/>
  <c r="AX15" i="275"/>
  <c r="AX158" i="314"/>
  <c r="AX19" i="282"/>
  <c r="AX296" i="278"/>
  <c r="AX118" i="314"/>
  <c r="AX79" i="314"/>
  <c r="AX85" i="273"/>
  <c r="AW272" i="278"/>
  <c r="AW85" i="273"/>
  <c r="AW79" i="314"/>
  <c r="AW118" i="314"/>
  <c r="AW296" i="278"/>
  <c r="AW39" i="314"/>
  <c r="AW19" i="282"/>
  <c r="AW158" i="314"/>
  <c r="AW15" i="275"/>
  <c r="AW20" i="275"/>
  <c r="AX17" i="275"/>
  <c r="AQ92" i="306"/>
  <c r="AQ93" i="306"/>
  <c r="AQ24" i="288"/>
  <c r="AQ25" i="288"/>
  <c r="AT91" i="278"/>
  <c r="AY89" i="305"/>
  <c r="AZ90" i="305"/>
  <c r="AZ41" i="305"/>
  <c r="AY105" i="306"/>
  <c r="AY100" i="306"/>
  <c r="AX54" i="273"/>
  <c r="AX84" i="273"/>
  <c r="AX161" i="273"/>
  <c r="AX151" i="321"/>
  <c r="AX707" i="321"/>
  <c r="AX211" i="278"/>
  <c r="AX161" i="278"/>
  <c r="AX598" i="321"/>
  <c r="AX599" i="321"/>
  <c r="AX186" i="278"/>
  <c r="AX579" i="321"/>
  <c r="AX650" i="321"/>
  <c r="AV213" i="273"/>
  <c r="AV253" i="321"/>
  <c r="AV131" i="321"/>
  <c r="AV259" i="321"/>
  <c r="AV267" i="321"/>
  <c r="AV71" i="321"/>
  <c r="AV277" i="321"/>
  <c r="AT30" i="328"/>
  <c r="AT153" i="278"/>
  <c r="AW105" i="282"/>
  <c r="AW37" i="282"/>
  <c r="AW591" i="321"/>
  <c r="BA2" i="328"/>
  <c r="AW124" i="273"/>
  <c r="AV16" i="285"/>
  <c r="AQ197" i="278"/>
  <c r="AQ9" i="315"/>
  <c r="AQ11" i="315"/>
  <c r="AQ188" i="278"/>
  <c r="AQ189" i="278"/>
  <c r="AQ193" i="278"/>
  <c r="AQ192" i="278"/>
  <c r="AT90" i="278"/>
  <c r="BA103" i="305"/>
  <c r="BA104" i="305"/>
  <c r="BA113" i="305"/>
  <c r="BA115" i="305"/>
  <c r="BA107" i="305"/>
  <c r="BA108" i="305"/>
  <c r="BA112" i="305"/>
  <c r="AW602" i="321"/>
  <c r="AW658" i="321"/>
  <c r="AV3" i="305"/>
  <c r="AV3" i="309"/>
  <c r="AV3" i="307"/>
  <c r="AV3" i="306"/>
  <c r="AV3" i="310"/>
  <c r="AR30" i="310"/>
  <c r="AR18" i="307"/>
  <c r="AR278" i="306"/>
  <c r="AU268" i="306"/>
  <c r="AX100" i="306"/>
  <c r="AX89" i="305"/>
  <c r="AY90" i="305"/>
  <c r="AY41" i="305"/>
  <c r="AX105" i="306"/>
  <c r="AQ167" i="278"/>
  <c r="AQ163" i="278"/>
  <c r="AQ164" i="278"/>
  <c r="AQ168" i="278"/>
  <c r="AQ172" i="278"/>
  <c r="AQ27" i="328"/>
  <c r="AQ11" i="265"/>
  <c r="AQ32" i="328"/>
  <c r="AU72" i="321"/>
  <c r="AU79" i="321"/>
  <c r="AV29" i="310"/>
  <c r="AV17" i="307"/>
  <c r="AV12" i="307"/>
  <c r="AV24" i="310"/>
  <c r="AT45" i="321"/>
  <c r="AT46" i="321"/>
  <c r="AT48" i="321"/>
  <c r="AT167" i="288"/>
  <c r="AT217" i="273"/>
  <c r="AS218" i="273"/>
  <c r="AT230" i="288"/>
  <c r="AT109" i="288"/>
  <c r="AT67" i="288"/>
  <c r="AT91" i="288"/>
  <c r="AT241" i="288"/>
  <c r="AT161" i="288"/>
  <c r="AT162" i="288"/>
  <c r="AT171" i="288"/>
  <c r="AT259" i="288"/>
  <c r="AT51" i="321"/>
  <c r="AT86" i="288"/>
  <c r="AT236" i="288"/>
  <c r="AT217" i="288"/>
  <c r="AT80" i="288"/>
  <c r="AX53" i="273"/>
  <c r="AX75" i="273"/>
  <c r="AY76" i="273"/>
  <c r="AX263" i="321"/>
  <c r="AX201" i="273"/>
  <c r="AR163" i="278"/>
  <c r="AR164" i="278"/>
  <c r="AR168" i="278"/>
  <c r="AR172" i="278"/>
  <c r="AR167" i="278"/>
  <c r="AR27" i="328"/>
  <c r="AT152" i="278"/>
  <c r="AT29" i="328"/>
  <c r="AR192" i="278"/>
  <c r="AR9" i="315"/>
  <c r="AX240" i="278"/>
  <c r="AX247" i="278"/>
  <c r="AX56" i="273"/>
  <c r="AW28" i="288"/>
  <c r="AW203" i="288"/>
  <c r="AW53" i="288"/>
  <c r="AW178" i="288"/>
  <c r="AU147" i="278"/>
  <c r="AU149" i="278"/>
  <c r="AZ26" i="305"/>
  <c r="AZ27" i="305"/>
  <c r="AZ31" i="305"/>
  <c r="BA32" i="305"/>
  <c r="BA34" i="305"/>
  <c r="BA35" i="305"/>
  <c r="BA4" i="305"/>
  <c r="AZ2" i="305"/>
  <c r="AZ183" i="288"/>
  <c r="AZ147" i="288"/>
  <c r="AZ33" i="288"/>
  <c r="AZ2" i="307"/>
  <c r="AZ2" i="306"/>
  <c r="AZ58" i="288"/>
  <c r="AZ2" i="309"/>
  <c r="AZ34" i="311"/>
  <c r="AZ208" i="288"/>
  <c r="AZ2" i="310"/>
  <c r="AR213" i="278"/>
  <c r="AR214" i="278"/>
  <c r="AR218" i="278"/>
  <c r="AR217" i="278"/>
  <c r="AR155" i="278"/>
  <c r="AR223" i="278"/>
  <c r="AW49" i="305"/>
  <c r="AW50" i="305"/>
  <c r="AX262" i="273"/>
  <c r="AX674" i="321"/>
  <c r="AY36" i="289"/>
  <c r="AR122" i="288"/>
  <c r="AR264" i="288"/>
  <c r="AR114" i="288"/>
  <c r="AR272" i="288"/>
  <c r="AU263" i="306"/>
  <c r="AX212" i="278"/>
  <c r="AX162" i="278"/>
  <c r="AX637" i="321"/>
  <c r="AX33" i="286"/>
  <c r="AX552" i="321"/>
  <c r="AX11" i="282"/>
  <c r="AX292" i="278"/>
  <c r="AX92" i="286"/>
  <c r="AX16" i="288"/>
  <c r="AX17" i="288"/>
  <c r="AX566" i="321"/>
  <c r="AX623" i="321"/>
  <c r="AX110" i="286"/>
  <c r="AX109" i="273"/>
  <c r="AY110" i="273"/>
  <c r="AX268" i="278"/>
  <c r="AX187" i="278"/>
  <c r="AX15" i="286"/>
  <c r="AW130" i="307"/>
  <c r="AU47" i="273"/>
  <c r="AU3" i="265"/>
  <c r="AU3" i="285"/>
  <c r="AU3" i="273"/>
  <c r="AU4" i="328"/>
  <c r="AU3" i="314"/>
  <c r="AU3" i="321"/>
  <c r="AU3" i="275"/>
  <c r="AU3" i="278"/>
  <c r="AU3" i="315"/>
  <c r="AU3" i="304"/>
  <c r="AU3" i="286"/>
  <c r="AU3" i="288"/>
  <c r="AU3" i="282"/>
  <c r="AU3" i="289"/>
  <c r="AX4" i="286"/>
  <c r="AX4" i="273"/>
  <c r="AX4" i="307"/>
  <c r="AX4" i="310"/>
  <c r="AX4" i="289"/>
  <c r="AX4" i="278"/>
  <c r="AX4" i="288"/>
  <c r="AX4" i="282"/>
  <c r="AX11" i="328"/>
  <c r="AX4" i="285"/>
  <c r="AX4" i="315"/>
  <c r="AX4" i="306"/>
  <c r="AX4" i="275"/>
  <c r="AX4" i="321"/>
  <c r="AX4" i="309"/>
  <c r="AX4" i="304"/>
  <c r="AX4" i="314"/>
  <c r="AW161" i="273"/>
  <c r="AW163" i="273"/>
  <c r="AW151" i="321"/>
  <c r="AV61" i="265"/>
  <c r="AV59" i="315"/>
  <c r="AV24" i="265"/>
  <c r="AV22" i="315"/>
  <c r="AV63" i="273"/>
  <c r="AV64" i="273"/>
  <c r="AW57" i="273"/>
  <c r="AW86" i="273"/>
  <c r="AV540" i="321"/>
  <c r="AV694" i="321"/>
  <c r="AV565" i="321"/>
  <c r="AV16" i="289"/>
  <c r="AV17" i="289"/>
  <c r="AV22" i="289"/>
  <c r="AV659" i="321"/>
  <c r="AV246" i="278"/>
  <c r="AV306" i="278"/>
  <c r="AV31" i="289"/>
  <c r="AV32" i="289"/>
  <c r="AV37" i="289"/>
  <c r="AV57" i="314"/>
  <c r="AV603" i="321"/>
  <c r="AV636" i="321"/>
  <c r="AV136" i="314"/>
  <c r="AV179" i="278"/>
  <c r="AV701" i="321"/>
  <c r="AV708" i="321"/>
  <c r="AV104" i="314"/>
  <c r="AV644" i="321"/>
  <c r="AV617" i="321"/>
  <c r="AV622" i="321"/>
  <c r="AV497" i="321"/>
  <c r="AV129" i="314"/>
  <c r="AV230" i="278"/>
  <c r="AV675" i="321"/>
  <c r="AV283" i="278"/>
  <c r="AV63" i="286"/>
  <c r="AV17" i="314"/>
  <c r="AV148" i="278"/>
  <c r="AV239" i="278"/>
  <c r="AV551" i="321"/>
  <c r="AV573" i="321"/>
  <c r="AV713" i="321"/>
  <c r="AV100" i="278"/>
  <c r="AV652" i="321"/>
  <c r="AV204" i="278"/>
  <c r="AV319" i="278"/>
  <c r="AV545" i="321"/>
  <c r="AV50" i="314"/>
  <c r="AV581" i="321"/>
  <c r="AV47" i="289"/>
  <c r="AV48" i="289"/>
  <c r="AV53" i="289"/>
  <c r="AV453" i="321"/>
  <c r="AW201" i="273"/>
  <c r="AW203" i="273"/>
  <c r="AW263" i="321"/>
  <c r="AS154" i="278"/>
  <c r="AY194" i="273"/>
  <c r="AY2" i="265"/>
  <c r="AY2" i="286"/>
  <c r="AY2" i="321"/>
  <c r="AY2" i="314"/>
  <c r="AY34" i="288"/>
  <c r="AY38" i="311"/>
  <c r="AY119" i="273"/>
  <c r="AY120" i="273"/>
  <c r="AY123" i="273"/>
  <c r="AY154" i="273"/>
  <c r="AY155" i="273"/>
  <c r="AY59" i="288"/>
  <c r="AY2" i="289"/>
  <c r="AY209" i="288"/>
  <c r="AY2" i="315"/>
  <c r="AY2" i="273"/>
  <c r="AY258" i="273"/>
  <c r="AY259" i="273"/>
  <c r="AY198" i="273"/>
  <c r="AY199" i="273"/>
  <c r="AY202" i="273"/>
  <c r="AY3" i="328"/>
  <c r="AY8" i="328"/>
  <c r="AY2" i="285"/>
  <c r="AY2" i="282"/>
  <c r="AY2" i="278"/>
  <c r="AY148" i="288"/>
  <c r="AY158" i="273"/>
  <c r="AY159" i="273"/>
  <c r="AY162" i="273"/>
  <c r="AY71" i="273"/>
  <c r="AY72" i="273"/>
  <c r="AY184" i="288"/>
  <c r="AY2" i="304"/>
  <c r="AY2" i="288"/>
  <c r="AY49" i="273"/>
  <c r="AY2" i="275"/>
  <c r="AX39" i="305"/>
  <c r="AX42" i="305"/>
  <c r="AX15" i="289"/>
  <c r="AX30" i="289"/>
  <c r="AX46" i="289"/>
  <c r="AU253" i="306"/>
  <c r="AV70" i="321"/>
  <c r="AV155" i="321"/>
  <c r="AV212" i="273"/>
  <c r="AV147" i="321"/>
  <c r="AV165" i="321"/>
  <c r="AV141" i="321"/>
  <c r="AV130" i="321"/>
  <c r="AU214" i="273"/>
  <c r="AV123" i="314"/>
  <c r="AV24" i="314"/>
  <c r="V44" i="265"/>
  <c r="V42" i="315"/>
  <c r="W222" i="278"/>
  <c r="V229" i="278"/>
  <c r="V231" i="278"/>
  <c r="V116" i="265"/>
  <c r="V112" i="315"/>
  <c r="V254" i="278"/>
  <c r="AE283" i="307"/>
  <c r="AE9" i="310"/>
  <c r="BE221" i="307"/>
  <c r="BE669" i="307"/>
  <c r="BE664" i="307"/>
  <c r="BE644" i="307"/>
  <c r="BE674" i="307"/>
  <c r="BE619" i="307"/>
  <c r="BE267" i="306"/>
  <c r="BE246" i="306"/>
  <c r="BE262" i="306"/>
  <c r="BE649" i="307"/>
  <c r="BE629" i="307"/>
  <c r="BE277" i="306"/>
  <c r="BE614" i="307"/>
  <c r="BE624" i="307"/>
  <c r="BE240" i="306"/>
  <c r="BE252" i="306"/>
  <c r="AR197" i="278"/>
  <c r="AS98" i="278"/>
  <c r="AS101" i="278"/>
  <c r="AS104" i="278"/>
  <c r="AS105" i="278"/>
  <c r="AS9" i="315"/>
  <c r="AV72" i="321"/>
  <c r="AV79" i="321"/>
  <c r="AS17" i="328"/>
  <c r="AT17" i="328"/>
  <c r="AT154" i="278"/>
  <c r="AT92" i="278"/>
  <c r="AT98" i="278"/>
  <c r="AT101" i="278"/>
  <c r="AT104" i="278"/>
  <c r="AT105" i="278"/>
  <c r="AT197" i="278"/>
  <c r="BD38" i="289"/>
  <c r="BD133" i="288"/>
  <c r="BD23" i="288"/>
  <c r="BE245" i="306"/>
  <c r="BE663" i="307"/>
  <c r="BE220" i="307"/>
  <c r="BE256" i="306"/>
  <c r="BE102" i="314"/>
  <c r="BE607" i="307"/>
  <c r="BE610" i="307"/>
  <c r="BE611" i="307"/>
  <c r="BE613" i="307"/>
  <c r="BE84" i="288"/>
  <c r="BE648" i="307"/>
  <c r="BE276" i="306"/>
  <c r="BE279" i="306"/>
  <c r="BE25" i="285"/>
  <c r="BE261" i="306"/>
  <c r="BE623" i="307"/>
  <c r="BE668" i="307"/>
  <c r="BE643" i="307"/>
  <c r="BE646" i="307"/>
  <c r="BE266" i="306"/>
  <c r="BE673" i="307"/>
  <c r="BE628" i="307"/>
  <c r="BE271" i="306"/>
  <c r="BE239" i="306"/>
  <c r="BE618" i="307"/>
  <c r="BE251" i="306"/>
  <c r="BE228" i="288"/>
  <c r="BE234" i="288"/>
  <c r="BE78" i="288"/>
  <c r="BE5" i="265"/>
  <c r="BE233" i="306"/>
  <c r="BE236" i="306"/>
  <c r="BE5" i="288"/>
  <c r="BE5" i="315"/>
  <c r="BE5" i="309"/>
  <c r="BE5" i="285"/>
  <c r="BE5" i="314"/>
  <c r="BE5" i="304"/>
  <c r="BE5" i="321"/>
  <c r="BE5" i="278"/>
  <c r="BE5" i="273"/>
  <c r="BE5" i="282"/>
  <c r="BE5" i="328"/>
  <c r="BE5" i="289"/>
  <c r="BE5" i="275"/>
  <c r="BE5" i="286"/>
  <c r="AX20" i="275"/>
  <c r="AY17" i="275"/>
  <c r="AW71" i="321"/>
  <c r="AW131" i="321"/>
  <c r="AW253" i="321"/>
  <c r="AW267" i="321"/>
  <c r="AW277" i="321"/>
  <c r="AW259" i="321"/>
  <c r="AX203" i="273"/>
  <c r="AW213" i="273"/>
  <c r="AW212" i="273"/>
  <c r="AW141" i="321"/>
  <c r="AW130" i="321"/>
  <c r="AW155" i="321"/>
  <c r="AW70" i="321"/>
  <c r="AW147" i="321"/>
  <c r="AW165" i="321"/>
  <c r="AX163" i="273"/>
  <c r="AU90" i="278"/>
  <c r="AX49" i="305"/>
  <c r="AX50" i="305"/>
  <c r="AY151" i="321"/>
  <c r="AY161" i="273"/>
  <c r="AZ39" i="305"/>
  <c r="AY11" i="328"/>
  <c r="AY4" i="307"/>
  <c r="AY4" i="289"/>
  <c r="AY4" i="288"/>
  <c r="AY4" i="282"/>
  <c r="AY4" i="315"/>
  <c r="AY4" i="309"/>
  <c r="AY4" i="306"/>
  <c r="AY4" i="275"/>
  <c r="AY4" i="321"/>
  <c r="AY4" i="286"/>
  <c r="AY4" i="314"/>
  <c r="AY4" i="278"/>
  <c r="AY4" i="285"/>
  <c r="AY4" i="304"/>
  <c r="AY4" i="310"/>
  <c r="AY4" i="273"/>
  <c r="AX25" i="310"/>
  <c r="AX13" i="307"/>
  <c r="AS213" i="278"/>
  <c r="AS214" i="278"/>
  <c r="AS218" i="278"/>
  <c r="AS217" i="278"/>
  <c r="AS223" i="278"/>
  <c r="AS155" i="278"/>
  <c r="AY674" i="321"/>
  <c r="AY262" i="273"/>
  <c r="AR10" i="315"/>
  <c r="AR11" i="315"/>
  <c r="AR10" i="265"/>
  <c r="AR11" i="265"/>
  <c r="AR32" i="328"/>
  <c r="AV147" i="278"/>
  <c r="AV149" i="278"/>
  <c r="AZ36" i="289"/>
  <c r="AZ11" i="289"/>
  <c r="AZ12" i="289"/>
  <c r="AW22" i="315"/>
  <c r="AW59" i="315"/>
  <c r="AW61" i="265"/>
  <c r="AW24" i="265"/>
  <c r="AY16" i="307"/>
  <c r="AY28" i="310"/>
  <c r="AV214" i="273"/>
  <c r="AY579" i="321"/>
  <c r="AY650" i="321"/>
  <c r="AY211" i="278"/>
  <c r="AY707" i="321"/>
  <c r="AY186" i="278"/>
  <c r="AY598" i="321"/>
  <c r="AY599" i="321"/>
  <c r="AY161" i="278"/>
  <c r="AU91" i="278"/>
  <c r="AW63" i="273"/>
  <c r="AW64" i="273"/>
  <c r="AW17" i="307"/>
  <c r="AW29" i="310"/>
  <c r="AY247" i="278"/>
  <c r="AY56" i="273"/>
  <c r="AY240" i="278"/>
  <c r="AQ15" i="310"/>
  <c r="AW3" i="306"/>
  <c r="AW3" i="309"/>
  <c r="AW3" i="310"/>
  <c r="AW3" i="307"/>
  <c r="AW3" i="305"/>
  <c r="AY54" i="273"/>
  <c r="AY84" i="273"/>
  <c r="AV263" i="306"/>
  <c r="AS30" i="310"/>
  <c r="AS18" i="307"/>
  <c r="AS278" i="306"/>
  <c r="O279" i="306"/>
  <c r="O25" i="285"/>
  <c r="AU97" i="278"/>
  <c r="AY589" i="321"/>
  <c r="AY590" i="321"/>
  <c r="AY261" i="273"/>
  <c r="AY55" i="273"/>
  <c r="AY38" i="314"/>
  <c r="AY117" i="314"/>
  <c r="AY28" i="314"/>
  <c r="AY259" i="278"/>
  <c r="AY122" i="273"/>
  <c r="AW24" i="310"/>
  <c r="AW12" i="307"/>
  <c r="AX14" i="307"/>
  <c r="AX26" i="310"/>
  <c r="AV3" i="288"/>
  <c r="AV3" i="315"/>
  <c r="AV3" i="321"/>
  <c r="AV3" i="289"/>
  <c r="AV4" i="328"/>
  <c r="AV47" i="273"/>
  <c r="AV3" i="278"/>
  <c r="AV3" i="265"/>
  <c r="AV3" i="286"/>
  <c r="AV3" i="304"/>
  <c r="AV3" i="314"/>
  <c r="AV3" i="285"/>
  <c r="AV3" i="273"/>
  <c r="AV3" i="275"/>
  <c r="AV3" i="282"/>
  <c r="AX203" i="288"/>
  <c r="AX53" i="288"/>
  <c r="AX178" i="288"/>
  <c r="AX28" i="288"/>
  <c r="AY39" i="305"/>
  <c r="AY30" i="289"/>
  <c r="AU30" i="328"/>
  <c r="AU153" i="278"/>
  <c r="AS167" i="278"/>
  <c r="AS163" i="278"/>
  <c r="AS164" i="278"/>
  <c r="AS168" i="278"/>
  <c r="AS27" i="328"/>
  <c r="AS172" i="278"/>
  <c r="AV253" i="306"/>
  <c r="AX16" i="307"/>
  <c r="AX28" i="310"/>
  <c r="BA208" i="288"/>
  <c r="BA147" i="288"/>
  <c r="BA2" i="310"/>
  <c r="BA2" i="306"/>
  <c r="BA34" i="311"/>
  <c r="BA183" i="288"/>
  <c r="BA2" i="305"/>
  <c r="BA26" i="305"/>
  <c r="BA27" i="305"/>
  <c r="BA31" i="305"/>
  <c r="BB32" i="305"/>
  <c r="BB34" i="305"/>
  <c r="BB35" i="305"/>
  <c r="BB4" i="305"/>
  <c r="BA2" i="309"/>
  <c r="BA58" i="288"/>
  <c r="BA33" i="288"/>
  <c r="BA2" i="307"/>
  <c r="AW16" i="285"/>
  <c r="AX602" i="321"/>
  <c r="AX658" i="321"/>
  <c r="AU217" i="288"/>
  <c r="AU45" i="321"/>
  <c r="AU46" i="321"/>
  <c r="AU48" i="321"/>
  <c r="AU241" i="288"/>
  <c r="AU161" i="288"/>
  <c r="AU162" i="288"/>
  <c r="AU171" i="288"/>
  <c r="AU230" i="288"/>
  <c r="AU51" i="321"/>
  <c r="AU236" i="288"/>
  <c r="AU86" i="288"/>
  <c r="AU67" i="288"/>
  <c r="AU259" i="288"/>
  <c r="AU80" i="288"/>
  <c r="AU109" i="288"/>
  <c r="AU91" i="288"/>
  <c r="AU217" i="273"/>
  <c r="AT218" i="273"/>
  <c r="AU167" i="288"/>
  <c r="AY40" i="305"/>
  <c r="AY566" i="321"/>
  <c r="AY268" i="278"/>
  <c r="AY292" i="278"/>
  <c r="AY33" i="286"/>
  <c r="AY552" i="321"/>
  <c r="AY15" i="286"/>
  <c r="AY162" i="278"/>
  <c r="AY16" i="288"/>
  <c r="AY17" i="288"/>
  <c r="AY187" i="278"/>
  <c r="AY92" i="286"/>
  <c r="AY623" i="321"/>
  <c r="AY109" i="273"/>
  <c r="AZ110" i="273"/>
  <c r="AY212" i="278"/>
  <c r="AY637" i="321"/>
  <c r="AY110" i="286"/>
  <c r="AY11" i="282"/>
  <c r="AW694" i="321"/>
  <c r="AW551" i="321"/>
  <c r="AW603" i="321"/>
  <c r="AW540" i="321"/>
  <c r="AW204" i="278"/>
  <c r="AW100" i="278"/>
  <c r="AW622" i="321"/>
  <c r="AW497" i="321"/>
  <c r="AW63" i="286"/>
  <c r="AW136" i="314"/>
  <c r="AW581" i="321"/>
  <c r="AW148" i="278"/>
  <c r="AW652" i="321"/>
  <c r="AW701" i="321"/>
  <c r="AW708" i="321"/>
  <c r="AW565" i="321"/>
  <c r="AW179" i="278"/>
  <c r="AW283" i="278"/>
  <c r="AW659" i="321"/>
  <c r="AW636" i="321"/>
  <c r="AW31" i="289"/>
  <c r="AW32" i="289"/>
  <c r="AW37" i="289"/>
  <c r="AW39" i="289"/>
  <c r="AX39" i="289"/>
  <c r="AW129" i="314"/>
  <c r="AW675" i="321"/>
  <c r="AW104" i="314"/>
  <c r="AW246" i="278"/>
  <c r="AW545" i="321"/>
  <c r="AW17" i="314"/>
  <c r="AW230" i="278"/>
  <c r="AW573" i="321"/>
  <c r="AW713" i="321"/>
  <c r="AW239" i="278"/>
  <c r="AW644" i="321"/>
  <c r="AW617" i="321"/>
  <c r="AW319" i="278"/>
  <c r="AW57" i="314"/>
  <c r="AW306" i="278"/>
  <c r="AW453" i="321"/>
  <c r="AW50" i="314"/>
  <c r="AY53" i="273"/>
  <c r="AY75" i="273"/>
  <c r="AZ76" i="273"/>
  <c r="AX130" i="307"/>
  <c r="AS192" i="278"/>
  <c r="AS197" i="278"/>
  <c r="AS188" i="278"/>
  <c r="AS189" i="278"/>
  <c r="AS193" i="278"/>
  <c r="AV268" i="306"/>
  <c r="AU29" i="328"/>
  <c r="AU152" i="278"/>
  <c r="AZ71" i="273"/>
  <c r="AZ72" i="273"/>
  <c r="AZ194" i="273"/>
  <c r="AZ34" i="288"/>
  <c r="AZ2" i="314"/>
  <c r="AZ2" i="286"/>
  <c r="AZ2" i="304"/>
  <c r="AZ2" i="278"/>
  <c r="AZ158" i="273"/>
  <c r="AZ159" i="273"/>
  <c r="AZ162" i="273"/>
  <c r="AZ209" i="288"/>
  <c r="AZ2" i="288"/>
  <c r="AZ154" i="273"/>
  <c r="AZ2" i="265"/>
  <c r="AZ2" i="321"/>
  <c r="AZ148" i="288"/>
  <c r="AZ2" i="289"/>
  <c r="AZ184" i="288"/>
  <c r="AZ2" i="273"/>
  <c r="AZ59" i="288"/>
  <c r="AZ2" i="285"/>
  <c r="AZ119" i="273"/>
  <c r="AZ120" i="273"/>
  <c r="AZ123" i="273"/>
  <c r="AZ198" i="273"/>
  <c r="AZ199" i="273"/>
  <c r="AZ202" i="273"/>
  <c r="AZ3" i="328"/>
  <c r="AZ8" i="328"/>
  <c r="AZ2" i="275"/>
  <c r="AZ49" i="273"/>
  <c r="AZ2" i="282"/>
  <c r="AZ38" i="311"/>
  <c r="AZ258" i="273"/>
  <c r="AZ2" i="315"/>
  <c r="AS114" i="288"/>
  <c r="AS272" i="288"/>
  <c r="AS264" i="288"/>
  <c r="AS122" i="288"/>
  <c r="AY195" i="273"/>
  <c r="AR92" i="306"/>
  <c r="AR93" i="306"/>
  <c r="AR24" i="288"/>
  <c r="AR25" i="288"/>
  <c r="BB107" i="305"/>
  <c r="BB108" i="305"/>
  <c r="BB112" i="305"/>
  <c r="BB103" i="305"/>
  <c r="BB104" i="305"/>
  <c r="BB113" i="305"/>
  <c r="BB115" i="305"/>
  <c r="BB2" i="328"/>
  <c r="BB10" i="289"/>
  <c r="AX86" i="273"/>
  <c r="AQ181" i="288"/>
  <c r="AQ31" i="288"/>
  <c r="AX55" i="273"/>
  <c r="AX57" i="273"/>
  <c r="AX38" i="314"/>
  <c r="AX28" i="314"/>
  <c r="AX261" i="273"/>
  <c r="AX263" i="273"/>
  <c r="AX122" i="273"/>
  <c r="AX124" i="273"/>
  <c r="AX259" i="278"/>
  <c r="AX589" i="321"/>
  <c r="AX590" i="321"/>
  <c r="AX117" i="314"/>
  <c r="N274" i="306"/>
  <c r="N317" i="278"/>
  <c r="T274" i="306"/>
  <c r="T317" i="278"/>
  <c r="U274" i="306"/>
  <c r="U317" i="278"/>
  <c r="AO274" i="306"/>
  <c r="AO317" i="278"/>
  <c r="AU274" i="306"/>
  <c r="AU317" i="278"/>
  <c r="AP274" i="306"/>
  <c r="AP317" i="278"/>
  <c r="AT274" i="306"/>
  <c r="AT317" i="278"/>
  <c r="AG274" i="306"/>
  <c r="AG317" i="278"/>
  <c r="BC274" i="306"/>
  <c r="BC317" i="278"/>
  <c r="W274" i="306"/>
  <c r="W317" i="278"/>
  <c r="L274" i="306"/>
  <c r="L317" i="278"/>
  <c r="AX274" i="306"/>
  <c r="AX317" i="278"/>
  <c r="AS274" i="306"/>
  <c r="AS317" i="278"/>
  <c r="AI274" i="306"/>
  <c r="AI317" i="278"/>
  <c r="AD274" i="306"/>
  <c r="AD317" i="278"/>
  <c r="AE274" i="306"/>
  <c r="AE317" i="278"/>
  <c r="AV274" i="306"/>
  <c r="AV317" i="278"/>
  <c r="X274" i="306"/>
  <c r="X317" i="278"/>
  <c r="Z274" i="306"/>
  <c r="Z317" i="278"/>
  <c r="AC274" i="306"/>
  <c r="AC317" i="278"/>
  <c r="BD274" i="306"/>
  <c r="BD317" i="278"/>
  <c r="AY274" i="306"/>
  <c r="AY317" i="278"/>
  <c r="S274" i="306"/>
  <c r="S317" i="278"/>
  <c r="AZ274" i="306"/>
  <c r="AZ317" i="278"/>
  <c r="AR274" i="306"/>
  <c r="AR317" i="278"/>
  <c r="AF274" i="306"/>
  <c r="AF317" i="278"/>
  <c r="M274" i="306"/>
  <c r="M317" i="278"/>
  <c r="V274" i="306"/>
  <c r="V317" i="278"/>
  <c r="BA274" i="306"/>
  <c r="BA317" i="278"/>
  <c r="AQ274" i="306"/>
  <c r="AQ317" i="278"/>
  <c r="AN274" i="306"/>
  <c r="AN317" i="278"/>
  <c r="BB274" i="306"/>
  <c r="BB317" i="278"/>
  <c r="Y274" i="306"/>
  <c r="Y317" i="278"/>
  <c r="AJ274" i="306"/>
  <c r="AJ317" i="278"/>
  <c r="AH274" i="306"/>
  <c r="AH317" i="278"/>
  <c r="R274" i="306"/>
  <c r="R317" i="278"/>
  <c r="BE274" i="306"/>
  <c r="BE317" i="278"/>
  <c r="AB274" i="306"/>
  <c r="AB317" i="278"/>
  <c r="AK274" i="306"/>
  <c r="AK317" i="278"/>
  <c r="AA274" i="306"/>
  <c r="AA317" i="278"/>
  <c r="AW274" i="306"/>
  <c r="AW317" i="278"/>
  <c r="AL274" i="306"/>
  <c r="AL317" i="278"/>
  <c r="AM274" i="306"/>
  <c r="AM317" i="278"/>
  <c r="AG626" i="307"/>
  <c r="AG445" i="321"/>
  <c r="AA626" i="307"/>
  <c r="AA445" i="321"/>
  <c r="AI626" i="307"/>
  <c r="AI445" i="321"/>
  <c r="AY626" i="307"/>
  <c r="AY445" i="321"/>
  <c r="AS626" i="307"/>
  <c r="AS445" i="321"/>
  <c r="BA626" i="307"/>
  <c r="BA445" i="321"/>
  <c r="AC626" i="307"/>
  <c r="AC445" i="321"/>
  <c r="U626" i="307"/>
  <c r="U445" i="321"/>
  <c r="BC626" i="307"/>
  <c r="BC445" i="321"/>
  <c r="BE626" i="307"/>
  <c r="BE445" i="321"/>
  <c r="Y626" i="307"/>
  <c r="Y445" i="321"/>
  <c r="AU626" i="307"/>
  <c r="AU445" i="321"/>
  <c r="AE626" i="307"/>
  <c r="AE445" i="321"/>
  <c r="W626" i="307"/>
  <c r="W445" i="321"/>
  <c r="S626" i="307"/>
  <c r="S445" i="321"/>
  <c r="AO626" i="307"/>
  <c r="AO445" i="321"/>
  <c r="AW626" i="307"/>
  <c r="AW445" i="321"/>
  <c r="AQ626" i="307"/>
  <c r="AQ445" i="321"/>
  <c r="AK626" i="307"/>
  <c r="AK445" i="321"/>
  <c r="AM626" i="307"/>
  <c r="AM445" i="321"/>
  <c r="AZ626" i="307"/>
  <c r="AZ445" i="321"/>
  <c r="AD626" i="307"/>
  <c r="AD445" i="321"/>
  <c r="T626" i="307"/>
  <c r="T445" i="321"/>
  <c r="BB626" i="307"/>
  <c r="BB445" i="321"/>
  <c r="AP626" i="307"/>
  <c r="AP445" i="321"/>
  <c r="AN626" i="307"/>
  <c r="AN445" i="321"/>
  <c r="AF626" i="307"/>
  <c r="AF445" i="321"/>
  <c r="AJ626" i="307"/>
  <c r="AJ445" i="321"/>
  <c r="AX626" i="307"/>
  <c r="AX445" i="321"/>
  <c r="BD626" i="307"/>
  <c r="BD445" i="321"/>
  <c r="Z626" i="307"/>
  <c r="Z445" i="321"/>
  <c r="V626" i="307"/>
  <c r="V445" i="321"/>
  <c r="AB626" i="307"/>
  <c r="AB445" i="321"/>
  <c r="AR626" i="307"/>
  <c r="AR445" i="321"/>
  <c r="AT626" i="307"/>
  <c r="AT445" i="321"/>
  <c r="AH626" i="307"/>
  <c r="AH445" i="321"/>
  <c r="AV626" i="307"/>
  <c r="AV445" i="321"/>
  <c r="X626" i="307"/>
  <c r="X445" i="321"/>
  <c r="AL626" i="307"/>
  <c r="AL445" i="321"/>
  <c r="R626" i="307"/>
  <c r="R445" i="321"/>
  <c r="AR651" i="307"/>
  <c r="AD651" i="307"/>
  <c r="BB651" i="307"/>
  <c r="AS651" i="307"/>
  <c r="W651" i="307"/>
  <c r="AQ651" i="307"/>
  <c r="AE651" i="307"/>
  <c r="AU651" i="307"/>
  <c r="AV651" i="307"/>
  <c r="AW651" i="307"/>
  <c r="BA651" i="307"/>
  <c r="AB651" i="307"/>
  <c r="Z651" i="307"/>
  <c r="AY651" i="307"/>
  <c r="AF651" i="307"/>
  <c r="Y651" i="307"/>
  <c r="AH651" i="307"/>
  <c r="V651" i="307"/>
  <c r="AX651" i="307"/>
  <c r="T651" i="307"/>
  <c r="X651" i="307"/>
  <c r="AT651" i="307"/>
  <c r="BC651" i="307"/>
  <c r="AM651" i="307"/>
  <c r="S651" i="307"/>
  <c r="AZ651" i="307"/>
  <c r="AA651" i="307"/>
  <c r="AP651" i="307"/>
  <c r="AC651" i="307"/>
  <c r="U651" i="307"/>
  <c r="AG651" i="307"/>
  <c r="AN651" i="307"/>
  <c r="BE651" i="307"/>
  <c r="AK651" i="307"/>
  <c r="AL651" i="307"/>
  <c r="AO651" i="307"/>
  <c r="BD651" i="307"/>
  <c r="AJ651" i="307"/>
  <c r="AI651" i="307"/>
  <c r="R651" i="307"/>
  <c r="U236" i="306"/>
  <c r="AA236" i="306"/>
  <c r="AW236" i="306"/>
  <c r="AQ236" i="306"/>
  <c r="AT236" i="306"/>
  <c r="AK236" i="306"/>
  <c r="AR236" i="306"/>
  <c r="AV236" i="306"/>
  <c r="W236" i="306"/>
  <c r="AZ236" i="306"/>
  <c r="T236" i="306"/>
  <c r="L236" i="306"/>
  <c r="AG236" i="306"/>
  <c r="AI236" i="306"/>
  <c r="AX236" i="306"/>
  <c r="BA236" i="306"/>
  <c r="AC236" i="306"/>
  <c r="AP236" i="306"/>
  <c r="BB236" i="306"/>
  <c r="AE236" i="306"/>
  <c r="AU236" i="306"/>
  <c r="BC236" i="306"/>
  <c r="Y236" i="306"/>
  <c r="AY236" i="306"/>
  <c r="R236" i="306"/>
  <c r="AB236" i="306"/>
  <c r="S236" i="306"/>
  <c r="X236" i="306"/>
  <c r="Z236" i="306"/>
  <c r="AD236" i="306"/>
  <c r="M236" i="306"/>
  <c r="AH236" i="306"/>
  <c r="AL236" i="306"/>
  <c r="AJ236" i="306"/>
  <c r="AM236" i="306"/>
  <c r="AN236" i="306"/>
  <c r="V236" i="306"/>
  <c r="AO236" i="306"/>
  <c r="AF236" i="306"/>
  <c r="N236" i="306"/>
  <c r="AS236" i="306"/>
  <c r="BD236" i="306"/>
  <c r="AI646" i="307"/>
  <c r="AW646" i="307"/>
  <c r="Z646" i="307"/>
  <c r="AP646" i="307"/>
  <c r="U646" i="307"/>
  <c r="AB646" i="307"/>
  <c r="AT646" i="307"/>
  <c r="R646" i="307"/>
  <c r="AJ646" i="307"/>
  <c r="AG646" i="307"/>
  <c r="W646" i="307"/>
  <c r="AH646" i="307"/>
  <c r="AK646" i="307"/>
  <c r="T646" i="307"/>
  <c r="Y646" i="307"/>
  <c r="AU646" i="307"/>
  <c r="BB646" i="307"/>
  <c r="BA646" i="307"/>
  <c r="AM646" i="307"/>
  <c r="AQ646" i="307"/>
  <c r="S646" i="307"/>
  <c r="AL646" i="307"/>
  <c r="BD646" i="307"/>
  <c r="AZ646" i="307"/>
  <c r="AY646" i="307"/>
  <c r="X646" i="307"/>
  <c r="AD646" i="307"/>
  <c r="AO646" i="307"/>
  <c r="AS646" i="307"/>
  <c r="AF646" i="307"/>
  <c r="AN646" i="307"/>
  <c r="AE646" i="307"/>
  <c r="AX646" i="307"/>
  <c r="AC646" i="307"/>
  <c r="AR646" i="307"/>
  <c r="AA646" i="307"/>
  <c r="BC646" i="307"/>
  <c r="V646" i="307"/>
  <c r="AV646" i="307"/>
  <c r="BD231" i="307"/>
  <c r="AV230" i="307"/>
  <c r="BB233" i="307"/>
  <c r="BB678" i="321"/>
  <c r="S230" i="307"/>
  <c r="AQ233" i="307"/>
  <c r="AQ678" i="321"/>
  <c r="AR230" i="307"/>
  <c r="AG233" i="307"/>
  <c r="AG678" i="321"/>
  <c r="Z232" i="307"/>
  <c r="AP230" i="307"/>
  <c r="AM233" i="307"/>
  <c r="AM678" i="321"/>
  <c r="AL232" i="307"/>
  <c r="T233" i="307"/>
  <c r="T678" i="321"/>
  <c r="AF231" i="307"/>
  <c r="AL229" i="307"/>
  <c r="AB233" i="307"/>
  <c r="AB678" i="321"/>
  <c r="U230" i="307"/>
  <c r="AH231" i="307"/>
  <c r="AP229" i="307"/>
  <c r="AV229" i="307"/>
  <c r="AE232" i="307"/>
  <c r="AB229" i="307"/>
  <c r="AM230" i="307"/>
  <c r="AV233" i="307"/>
  <c r="AV678" i="321"/>
  <c r="AB230" i="307"/>
  <c r="AW233" i="307"/>
  <c r="AW678" i="321"/>
  <c r="X229" i="307"/>
  <c r="S229" i="307"/>
  <c r="AT231" i="307"/>
  <c r="AJ232" i="307"/>
  <c r="AS230" i="307"/>
  <c r="AO229" i="307"/>
  <c r="AH232" i="307"/>
  <c r="AJ229" i="307"/>
  <c r="T232" i="307"/>
  <c r="AG231" i="307"/>
  <c r="AP231" i="307"/>
  <c r="AU230" i="307"/>
  <c r="AI232" i="307"/>
  <c r="V232" i="307"/>
  <c r="BC230" i="307"/>
  <c r="AL231" i="307"/>
  <c r="BB230" i="307"/>
  <c r="Y232" i="307"/>
  <c r="AZ231" i="307"/>
  <c r="AO233" i="307"/>
  <c r="AO678" i="321"/>
  <c r="BE229" i="307"/>
  <c r="AW231" i="307"/>
  <c r="AH233" i="307"/>
  <c r="AH678" i="321"/>
  <c r="AF230" i="307"/>
  <c r="BE233" i="307"/>
  <c r="BE678" i="321"/>
  <c r="Y230" i="307"/>
  <c r="Z233" i="307"/>
  <c r="Z678" i="321"/>
  <c r="AT230" i="307"/>
  <c r="Z229" i="307"/>
  <c r="W230" i="307"/>
  <c r="U233" i="307"/>
  <c r="U678" i="321"/>
  <c r="BA233" i="307"/>
  <c r="BA678" i="321"/>
  <c r="X232" i="307"/>
  <c r="T231" i="307"/>
  <c r="Z231" i="307"/>
  <c r="AZ232" i="307"/>
  <c r="AS229" i="307"/>
  <c r="AH229" i="307"/>
  <c r="AI230" i="307"/>
  <c r="W233" i="307"/>
  <c r="W678" i="321"/>
  <c r="AB231" i="307"/>
  <c r="AU231" i="307"/>
  <c r="AM229" i="307"/>
  <c r="AE231" i="307"/>
  <c r="AY229" i="307"/>
  <c r="BD232" i="307"/>
  <c r="AT229" i="307"/>
  <c r="AX230" i="307"/>
  <c r="AR232" i="307"/>
  <c r="AR229" i="307"/>
  <c r="AM232" i="307"/>
  <c r="AC230" i="307"/>
  <c r="X230" i="307"/>
  <c r="S232" i="307"/>
  <c r="BC231" i="307"/>
  <c r="AK230" i="307"/>
  <c r="BE231" i="307"/>
  <c r="Y229" i="307"/>
  <c r="AB232" i="307"/>
  <c r="T229" i="307"/>
  <c r="AV232" i="307"/>
  <c r="AD233" i="307"/>
  <c r="AD678" i="321"/>
  <c r="AO230" i="307"/>
  <c r="AS232" i="307"/>
  <c r="AH230" i="307"/>
  <c r="AX231" i="307"/>
  <c r="AK229" i="307"/>
  <c r="AJ230" i="307"/>
  <c r="AA233" i="307"/>
  <c r="AA678" i="321"/>
  <c r="R233" i="307"/>
  <c r="R678" i="321"/>
  <c r="AN230" i="307"/>
  <c r="BC232" i="307"/>
  <c r="BA229" i="307"/>
  <c r="AL230" i="307"/>
  <c r="AQ229" i="307"/>
  <c r="AQ230" i="307"/>
  <c r="AU233" i="307"/>
  <c r="AU678" i="321"/>
  <c r="AT233" i="307"/>
  <c r="AT678" i="321"/>
  <c r="AO231" i="307"/>
  <c r="AY231" i="307"/>
  <c r="AE233" i="307"/>
  <c r="AE678" i="321"/>
  <c r="V231" i="307"/>
  <c r="BC233" i="307"/>
  <c r="BC678" i="321"/>
  <c r="AV231" i="307"/>
  <c r="AC233" i="307"/>
  <c r="AC678" i="321"/>
  <c r="R232" i="307"/>
  <c r="Y233" i="307"/>
  <c r="Y678" i="321"/>
  <c r="AY230" i="307"/>
  <c r="AK233" i="307"/>
  <c r="AK678" i="321"/>
  <c r="AG230" i="307"/>
  <c r="AN232" i="307"/>
  <c r="AF229" i="307"/>
  <c r="BD230" i="307"/>
  <c r="AA231" i="307"/>
  <c r="V229" i="307"/>
  <c r="BB231" i="307"/>
  <c r="AU232" i="307"/>
  <c r="AI229" i="307"/>
  <c r="AF232" i="307"/>
  <c r="AD229" i="307"/>
  <c r="R231" i="307"/>
  <c r="W229" i="307"/>
  <c r="U232" i="307"/>
  <c r="AZ229" i="307"/>
  <c r="AY232" i="307"/>
  <c r="AU229" i="307"/>
  <c r="BB232" i="307"/>
  <c r="AK232" i="307"/>
  <c r="R230" i="307"/>
  <c r="U229" i="307"/>
  <c r="AA230" i="307"/>
  <c r="W232" i="307"/>
  <c r="BE230" i="307"/>
  <c r="BD233" i="307"/>
  <c r="BD678" i="321"/>
  <c r="AM231" i="307"/>
  <c r="AN233" i="307"/>
  <c r="AN678" i="321"/>
  <c r="AO232" i="307"/>
  <c r="AC232" i="307"/>
  <c r="Y231" i="307"/>
  <c r="X233" i="307"/>
  <c r="X678" i="321"/>
  <c r="AK231" i="307"/>
  <c r="S233" i="307"/>
  <c r="S678" i="321"/>
  <c r="AD230" i="307"/>
  <c r="AX232" i="307"/>
  <c r="AS231" i="307"/>
  <c r="V233" i="307"/>
  <c r="V678" i="321"/>
  <c r="W231" i="307"/>
  <c r="S231" i="307"/>
  <c r="BA231" i="307"/>
  <c r="AP232" i="307"/>
  <c r="AG229" i="307"/>
  <c r="AW230" i="307"/>
  <c r="AG232" i="307"/>
  <c r="AX229" i="307"/>
  <c r="AJ231" i="307"/>
  <c r="BC229" i="307"/>
  <c r="AC229" i="307"/>
  <c r="AA232" i="307"/>
  <c r="AW229" i="307"/>
  <c r="BA230" i="307"/>
  <c r="BD229" i="307"/>
  <c r="V230" i="307"/>
  <c r="AQ232" i="307"/>
  <c r="AN229" i="307"/>
  <c r="AI231" i="307"/>
  <c r="AD231" i="307"/>
  <c r="AE230" i="307"/>
  <c r="AQ231" i="307"/>
  <c r="AW232" i="307"/>
  <c r="AD232" i="307"/>
  <c r="T230" i="307"/>
  <c r="AL233" i="307"/>
  <c r="AL678" i="321"/>
  <c r="AT232" i="307"/>
  <c r="AP233" i="307"/>
  <c r="AP678" i="321"/>
  <c r="AF233" i="307"/>
  <c r="AF678" i="321"/>
  <c r="AY233" i="307"/>
  <c r="AY678" i="321"/>
  <c r="U231" i="307"/>
  <c r="AZ233" i="307"/>
  <c r="AZ678" i="321"/>
  <c r="AC231" i="307"/>
  <c r="AZ230" i="307"/>
  <c r="AI233" i="307"/>
  <c r="AI678" i="321"/>
  <c r="AX233" i="307"/>
  <c r="AX678" i="321"/>
  <c r="AJ233" i="307"/>
  <c r="AJ678" i="321"/>
  <c r="AE229" i="307"/>
  <c r="AS233" i="307"/>
  <c r="AS678" i="321"/>
  <c r="BA232" i="307"/>
  <c r="R229" i="307"/>
  <c r="Z230" i="307"/>
  <c r="AN231" i="307"/>
  <c r="AA229" i="307"/>
  <c r="X231" i="307"/>
  <c r="BE232" i="307"/>
  <c r="AR233" i="307"/>
  <c r="AR678" i="321"/>
  <c r="AR231" i="307"/>
  <c r="BB229" i="307"/>
  <c r="W228" i="278"/>
  <c r="W216" i="278"/>
  <c r="W219" i="278"/>
  <c r="AT167" i="278"/>
  <c r="AT163" i="278"/>
  <c r="AT164" i="278"/>
  <c r="AT168" i="278"/>
  <c r="AT172" i="278"/>
  <c r="AT27" i="328"/>
  <c r="L254" i="306"/>
  <c r="L310" i="278"/>
  <c r="M254" i="306"/>
  <c r="M310" i="278"/>
  <c r="V254" i="306"/>
  <c r="V310" i="278"/>
  <c r="BA254" i="306"/>
  <c r="BA310" i="278"/>
  <c r="BD254" i="306"/>
  <c r="BD310" i="278"/>
  <c r="AH254" i="306"/>
  <c r="AH310" i="278"/>
  <c r="Z254" i="306"/>
  <c r="Z310" i="278"/>
  <c r="BB254" i="306"/>
  <c r="BB310" i="278"/>
  <c r="X254" i="306"/>
  <c r="X310" i="278"/>
  <c r="AT254" i="306"/>
  <c r="AT310" i="278"/>
  <c r="AV254" i="306"/>
  <c r="AV310" i="278"/>
  <c r="U254" i="306"/>
  <c r="U310" i="278"/>
  <c r="AP254" i="306"/>
  <c r="AP310" i="278"/>
  <c r="AR254" i="306"/>
  <c r="AR310" i="278"/>
  <c r="O254" i="306"/>
  <c r="O310" i="278"/>
  <c r="AU254" i="306"/>
  <c r="AU310" i="278"/>
  <c r="BC254" i="306"/>
  <c r="BC310" i="278"/>
  <c r="AA254" i="306"/>
  <c r="AA310" i="278"/>
  <c r="S254" i="306"/>
  <c r="S310" i="278"/>
  <c r="AN254" i="306"/>
  <c r="AN310" i="278"/>
  <c r="W254" i="306"/>
  <c r="W310" i="278"/>
  <c r="AX254" i="306"/>
  <c r="AX310" i="278"/>
  <c r="R254" i="306"/>
  <c r="R310" i="278"/>
  <c r="AG254" i="306"/>
  <c r="AG310" i="278"/>
  <c r="AC254" i="306"/>
  <c r="AC310" i="278"/>
  <c r="BE254" i="306"/>
  <c r="BE310" i="278"/>
  <c r="AB254" i="306"/>
  <c r="AB310" i="278"/>
  <c r="AW254" i="306"/>
  <c r="AW310" i="278"/>
  <c r="AI254" i="306"/>
  <c r="AI310" i="278"/>
  <c r="AJ254" i="306"/>
  <c r="AJ310" i="278"/>
  <c r="AL254" i="306"/>
  <c r="AL310" i="278"/>
  <c r="AY254" i="306"/>
  <c r="AY310" i="278"/>
  <c r="AK254" i="306"/>
  <c r="AK310" i="278"/>
  <c r="AD254" i="306"/>
  <c r="AD310" i="278"/>
  <c r="AF254" i="306"/>
  <c r="AF310" i="278"/>
  <c r="AE254" i="306"/>
  <c r="AE310" i="278"/>
  <c r="AS254" i="306"/>
  <c r="AS310" i="278"/>
  <c r="AM254" i="306"/>
  <c r="AM310" i="278"/>
  <c r="Y254" i="306"/>
  <c r="Y310" i="278"/>
  <c r="AZ254" i="306"/>
  <c r="AZ310" i="278"/>
  <c r="T254" i="306"/>
  <c r="T310" i="278"/>
  <c r="AQ254" i="306"/>
  <c r="AQ310" i="278"/>
  <c r="AO254" i="306"/>
  <c r="AO310" i="278"/>
  <c r="N254" i="306"/>
  <c r="N310" i="278"/>
  <c r="M279" i="306"/>
  <c r="M25" i="285"/>
  <c r="AA279" i="306"/>
  <c r="AA25" i="285"/>
  <c r="N279" i="306"/>
  <c r="N25" i="285"/>
  <c r="AK279" i="306"/>
  <c r="AK25" i="285"/>
  <c r="BD279" i="306"/>
  <c r="BD25" i="285"/>
  <c r="AL279" i="306"/>
  <c r="AL25" i="285"/>
  <c r="AJ279" i="306"/>
  <c r="AJ25" i="285"/>
  <c r="X279" i="306"/>
  <c r="X25" i="285"/>
  <c r="R279" i="306"/>
  <c r="R25" i="285"/>
  <c r="BC279" i="306"/>
  <c r="BC25" i="285"/>
  <c r="AY279" i="306"/>
  <c r="AY25" i="285"/>
  <c r="AB279" i="306"/>
  <c r="AB25" i="285"/>
  <c r="AZ279" i="306"/>
  <c r="AZ25" i="285"/>
  <c r="U279" i="306"/>
  <c r="U25" i="285"/>
  <c r="AE279" i="306"/>
  <c r="AE25" i="285"/>
  <c r="S279" i="306"/>
  <c r="S25" i="285"/>
  <c r="T279" i="306"/>
  <c r="T25" i="285"/>
  <c r="AT279" i="306"/>
  <c r="AT25" i="285"/>
  <c r="V279" i="306"/>
  <c r="V25" i="285"/>
  <c r="AS279" i="306"/>
  <c r="AS25" i="285"/>
  <c r="W279" i="306"/>
  <c r="W25" i="285"/>
  <c r="AX279" i="306"/>
  <c r="AX25" i="285"/>
  <c r="AP279" i="306"/>
  <c r="AP25" i="285"/>
  <c r="AR279" i="306"/>
  <c r="AR25" i="285"/>
  <c r="AH279" i="306"/>
  <c r="AH25" i="285"/>
  <c r="AU279" i="306"/>
  <c r="AU25" i="285"/>
  <c r="AM279" i="306"/>
  <c r="AM25" i="285"/>
  <c r="AO279" i="306"/>
  <c r="AO25" i="285"/>
  <c r="AQ279" i="306"/>
  <c r="AQ25" i="285"/>
  <c r="BA279" i="306"/>
  <c r="BA25" i="285"/>
  <c r="L279" i="306"/>
  <c r="L25" i="285"/>
  <c r="Y279" i="306"/>
  <c r="Y25" i="285"/>
  <c r="AI279" i="306"/>
  <c r="AI25" i="285"/>
  <c r="AV279" i="306"/>
  <c r="AV25" i="285"/>
  <c r="AN279" i="306"/>
  <c r="AN25" i="285"/>
  <c r="BB279" i="306"/>
  <c r="BB25" i="285"/>
  <c r="Z279" i="306"/>
  <c r="Z25" i="285"/>
  <c r="AW279" i="306"/>
  <c r="AW25" i="285"/>
  <c r="AF279" i="306"/>
  <c r="AF25" i="285"/>
  <c r="AG279" i="306"/>
  <c r="AG25" i="285"/>
  <c r="AD279" i="306"/>
  <c r="AD25" i="285"/>
  <c r="AC279" i="306"/>
  <c r="AC25" i="285"/>
  <c r="AK248" i="306"/>
  <c r="AK249" i="306"/>
  <c r="U248" i="306"/>
  <c r="U249" i="306"/>
  <c r="AA248" i="306"/>
  <c r="AA249" i="306"/>
  <c r="AO248" i="306"/>
  <c r="AO249" i="306"/>
  <c r="AH248" i="306"/>
  <c r="AH249" i="306"/>
  <c r="AW248" i="306"/>
  <c r="AW249" i="306"/>
  <c r="Y248" i="306"/>
  <c r="Y249" i="306"/>
  <c r="AQ248" i="306"/>
  <c r="AQ249" i="306"/>
  <c r="AY248" i="306"/>
  <c r="AY249" i="306"/>
  <c r="T248" i="306"/>
  <c r="T249" i="306"/>
  <c r="AV248" i="306"/>
  <c r="AV249" i="306"/>
  <c r="X248" i="306"/>
  <c r="X249" i="306"/>
  <c r="AF248" i="306"/>
  <c r="AF249" i="306"/>
  <c r="AM248" i="306"/>
  <c r="AM249" i="306"/>
  <c r="AU248" i="306"/>
  <c r="AU249" i="306"/>
  <c r="AB248" i="306"/>
  <c r="AB249" i="306"/>
  <c r="AT248" i="306"/>
  <c r="AT249" i="306"/>
  <c r="AJ248" i="306"/>
  <c r="AJ249" i="306"/>
  <c r="AD248" i="306"/>
  <c r="AD249" i="306"/>
  <c r="AN248" i="306"/>
  <c r="AN249" i="306"/>
  <c r="V248" i="306"/>
  <c r="V249" i="306"/>
  <c r="BC248" i="306"/>
  <c r="BC249" i="306"/>
  <c r="Z248" i="306"/>
  <c r="Z249" i="306"/>
  <c r="BE248" i="306"/>
  <c r="BE249" i="306"/>
  <c r="R248" i="306"/>
  <c r="R249" i="306"/>
  <c r="AE248" i="306"/>
  <c r="AE249" i="306"/>
  <c r="AZ248" i="306"/>
  <c r="AZ249" i="306"/>
  <c r="AG248" i="306"/>
  <c r="AG249" i="306"/>
  <c r="BD248" i="306"/>
  <c r="BD249" i="306"/>
  <c r="W248" i="306"/>
  <c r="W249" i="306"/>
  <c r="BA248" i="306"/>
  <c r="BA249" i="306"/>
  <c r="AL248" i="306"/>
  <c r="AL249" i="306"/>
  <c r="AX248" i="306"/>
  <c r="AX249" i="306"/>
  <c r="AC248" i="306"/>
  <c r="AC249" i="306"/>
  <c r="AI248" i="306"/>
  <c r="AI249" i="306"/>
  <c r="AP248" i="306"/>
  <c r="AP249" i="306"/>
  <c r="AR248" i="306"/>
  <c r="AR249" i="306"/>
  <c r="S248" i="306"/>
  <c r="S249" i="306"/>
  <c r="BB248" i="306"/>
  <c r="BB249" i="306"/>
  <c r="AS248" i="306"/>
  <c r="AS249" i="306"/>
  <c r="AV676" i="307"/>
  <c r="AU676" i="307"/>
  <c r="AA676" i="307"/>
  <c r="S676" i="307"/>
  <c r="BD676" i="307"/>
  <c r="AT676" i="307"/>
  <c r="BB676" i="307"/>
  <c r="AI676" i="307"/>
  <c r="T676" i="307"/>
  <c r="AX676" i="307"/>
  <c r="X676" i="307"/>
  <c r="BE676" i="307"/>
  <c r="AR676" i="307"/>
  <c r="AC676" i="307"/>
  <c r="Y676" i="307"/>
  <c r="AM676" i="307"/>
  <c r="AW676" i="307"/>
  <c r="AQ676" i="307"/>
  <c r="AD676" i="307"/>
  <c r="AH676" i="307"/>
  <c r="AE676" i="307"/>
  <c r="BC676" i="307"/>
  <c r="Z676" i="307"/>
  <c r="AY676" i="307"/>
  <c r="AK676" i="307"/>
  <c r="W676" i="307"/>
  <c r="AN676" i="307"/>
  <c r="AS676" i="307"/>
  <c r="AG676" i="307"/>
  <c r="U676" i="307"/>
  <c r="BA676" i="307"/>
  <c r="AL676" i="307"/>
  <c r="AF676" i="307"/>
  <c r="V676" i="307"/>
  <c r="R676" i="307"/>
  <c r="AP676" i="307"/>
  <c r="AO676" i="307"/>
  <c r="AZ676" i="307"/>
  <c r="AB676" i="307"/>
  <c r="AJ676" i="307"/>
  <c r="AA671" i="307"/>
  <c r="AA686" i="321"/>
  <c r="AL671" i="307"/>
  <c r="AL686" i="321"/>
  <c r="AO671" i="307"/>
  <c r="AO686" i="321"/>
  <c r="AI671" i="307"/>
  <c r="AI686" i="321"/>
  <c r="AJ671" i="307"/>
  <c r="AJ686" i="321"/>
  <c r="AV671" i="307"/>
  <c r="AV686" i="321"/>
  <c r="X671" i="307"/>
  <c r="X686" i="321"/>
  <c r="BC671" i="307"/>
  <c r="BC686" i="321"/>
  <c r="AT671" i="307"/>
  <c r="AT686" i="321"/>
  <c r="AM671" i="307"/>
  <c r="AM686" i="321"/>
  <c r="BD671" i="307"/>
  <c r="BD686" i="321"/>
  <c r="BE671" i="307"/>
  <c r="BE686" i="321"/>
  <c r="T671" i="307"/>
  <c r="T686" i="321"/>
  <c r="AG671" i="307"/>
  <c r="AG686" i="321"/>
  <c r="U671" i="307"/>
  <c r="U686" i="321"/>
  <c r="Z671" i="307"/>
  <c r="Z686" i="321"/>
  <c r="AX671" i="307"/>
  <c r="AX686" i="321"/>
  <c r="AF671" i="307"/>
  <c r="AF686" i="321"/>
  <c r="AE671" i="307"/>
  <c r="AE686" i="321"/>
  <c r="AY671" i="307"/>
  <c r="AY686" i="321"/>
  <c r="AS671" i="307"/>
  <c r="AS686" i="321"/>
  <c r="AQ671" i="307"/>
  <c r="AQ686" i="321"/>
  <c r="AZ671" i="307"/>
  <c r="AZ686" i="321"/>
  <c r="AR671" i="307"/>
  <c r="AR686" i="321"/>
  <c r="AW671" i="307"/>
  <c r="AW686" i="321"/>
  <c r="AD671" i="307"/>
  <c r="AD686" i="321"/>
  <c r="BB671" i="307"/>
  <c r="BB686" i="321"/>
  <c r="AN671" i="307"/>
  <c r="AN686" i="321"/>
  <c r="V671" i="307"/>
  <c r="V686" i="321"/>
  <c r="AB671" i="307"/>
  <c r="AB686" i="321"/>
  <c r="AU671" i="307"/>
  <c r="AU686" i="321"/>
  <c r="AC671" i="307"/>
  <c r="AC686" i="321"/>
  <c r="AH671" i="307"/>
  <c r="AH686" i="321"/>
  <c r="AK671" i="307"/>
  <c r="AK686" i="321"/>
  <c r="BA671" i="307"/>
  <c r="BA686" i="321"/>
  <c r="Y671" i="307"/>
  <c r="Y686" i="321"/>
  <c r="AP671" i="307"/>
  <c r="AP686" i="321"/>
  <c r="W671" i="307"/>
  <c r="W686" i="321"/>
  <c r="S671" i="307"/>
  <c r="S686" i="321"/>
  <c r="R671" i="307"/>
  <c r="R686" i="321"/>
  <c r="AC616" i="307"/>
  <c r="AC41" i="285"/>
  <c r="AK616" i="307"/>
  <c r="AK41" i="285"/>
  <c r="AF616" i="307"/>
  <c r="AF41" i="285"/>
  <c r="AV616" i="307"/>
  <c r="AV41" i="285"/>
  <c r="AU616" i="307"/>
  <c r="AU41" i="285"/>
  <c r="AL616" i="307"/>
  <c r="AL41" i="285"/>
  <c r="T616" i="307"/>
  <c r="T41" i="285"/>
  <c r="BC616" i="307"/>
  <c r="BC41" i="285"/>
  <c r="AO616" i="307"/>
  <c r="AO41" i="285"/>
  <c r="S616" i="307"/>
  <c r="S41" i="285"/>
  <c r="R616" i="307"/>
  <c r="R41" i="285"/>
  <c r="U616" i="307"/>
  <c r="U41" i="285"/>
  <c r="AM616" i="307"/>
  <c r="AM41" i="285"/>
  <c r="AT616" i="307"/>
  <c r="AT41" i="285"/>
  <c r="V616" i="307"/>
  <c r="V41" i="285"/>
  <c r="AA616" i="307"/>
  <c r="AA41" i="285"/>
  <c r="AP616" i="307"/>
  <c r="AP41" i="285"/>
  <c r="AN616" i="307"/>
  <c r="AN41" i="285"/>
  <c r="AI616" i="307"/>
  <c r="AI41" i="285"/>
  <c r="AB616" i="307"/>
  <c r="AB41" i="285"/>
  <c r="BB616" i="307"/>
  <c r="BB41" i="285"/>
  <c r="AS616" i="307"/>
  <c r="AS41" i="285"/>
  <c r="AW616" i="307"/>
  <c r="AW41" i="285"/>
  <c r="BA616" i="307"/>
  <c r="BA41" i="285"/>
  <c r="BD616" i="307"/>
  <c r="BD41" i="285"/>
  <c r="AX616" i="307"/>
  <c r="AX41" i="285"/>
  <c r="AG616" i="307"/>
  <c r="AG41" i="285"/>
  <c r="AQ616" i="307"/>
  <c r="AQ41" i="285"/>
  <c r="AY616" i="307"/>
  <c r="AY41" i="285"/>
  <c r="AJ616" i="307"/>
  <c r="AJ41" i="285"/>
  <c r="X616" i="307"/>
  <c r="X41" i="285"/>
  <c r="AE616" i="307"/>
  <c r="AE41" i="285"/>
  <c r="AR616" i="307"/>
  <c r="AR41" i="285"/>
  <c r="Y616" i="307"/>
  <c r="Y41" i="285"/>
  <c r="W616" i="307"/>
  <c r="W41" i="285"/>
  <c r="BE616" i="307"/>
  <c r="BE41" i="285"/>
  <c r="AD616" i="307"/>
  <c r="AD41" i="285"/>
  <c r="AZ616" i="307"/>
  <c r="AZ41" i="285"/>
  <c r="Z616" i="307"/>
  <c r="Z41" i="285"/>
  <c r="AH616" i="307"/>
  <c r="AH41" i="285"/>
  <c r="Z264" i="306"/>
  <c r="Z324" i="278"/>
  <c r="M264" i="306"/>
  <c r="M324" i="278"/>
  <c r="L264" i="306"/>
  <c r="L324" i="278"/>
  <c r="Y264" i="306"/>
  <c r="Y324" i="278"/>
  <c r="BB264" i="306"/>
  <c r="BB324" i="278"/>
  <c r="W264" i="306"/>
  <c r="W324" i="278"/>
  <c r="T264" i="306"/>
  <c r="T324" i="278"/>
  <c r="AI264" i="306"/>
  <c r="AI324" i="278"/>
  <c r="AF264" i="306"/>
  <c r="AF324" i="278"/>
  <c r="AO264" i="306"/>
  <c r="AO324" i="278"/>
  <c r="AY264" i="306"/>
  <c r="AY324" i="278"/>
  <c r="AC264" i="306"/>
  <c r="AC324" i="278"/>
  <c r="BD264" i="306"/>
  <c r="BD324" i="278"/>
  <c r="AL264" i="306"/>
  <c r="AL324" i="278"/>
  <c r="AN264" i="306"/>
  <c r="AN324" i="278"/>
  <c r="O264" i="306"/>
  <c r="O324" i="278"/>
  <c r="AQ264" i="306"/>
  <c r="AQ324" i="278"/>
  <c r="BA264" i="306"/>
  <c r="BA324" i="278"/>
  <c r="S264" i="306"/>
  <c r="S324" i="278"/>
  <c r="AR264" i="306"/>
  <c r="AR324" i="278"/>
  <c r="BE264" i="306"/>
  <c r="BE324" i="278"/>
  <c r="N264" i="306"/>
  <c r="N324" i="278"/>
  <c r="AX264" i="306"/>
  <c r="AX324" i="278"/>
  <c r="V264" i="306"/>
  <c r="V324" i="278"/>
  <c r="X264" i="306"/>
  <c r="X324" i="278"/>
  <c r="AH264" i="306"/>
  <c r="AH324" i="278"/>
  <c r="AA264" i="306"/>
  <c r="AA324" i="278"/>
  <c r="AK264" i="306"/>
  <c r="AK324" i="278"/>
  <c r="BC264" i="306"/>
  <c r="BC324" i="278"/>
  <c r="AZ264" i="306"/>
  <c r="AZ324" i="278"/>
  <c r="AT264" i="306"/>
  <c r="AT324" i="278"/>
  <c r="AS264" i="306"/>
  <c r="AS324" i="278"/>
  <c r="AD264" i="306"/>
  <c r="AD324" i="278"/>
  <c r="AE264" i="306"/>
  <c r="AE324" i="278"/>
  <c r="AP264" i="306"/>
  <c r="AP324" i="278"/>
  <c r="AB264" i="306"/>
  <c r="AB324" i="278"/>
  <c r="AU264" i="306"/>
  <c r="AU324" i="278"/>
  <c r="R264" i="306"/>
  <c r="R324" i="278"/>
  <c r="AJ264" i="306"/>
  <c r="AJ324" i="278"/>
  <c r="U264" i="306"/>
  <c r="U324" i="278"/>
  <c r="AM264" i="306"/>
  <c r="AM324" i="278"/>
  <c r="AW264" i="306"/>
  <c r="AW324" i="278"/>
  <c r="AV264" i="306"/>
  <c r="AV324" i="278"/>
  <c r="AG264" i="306"/>
  <c r="AG324" i="278"/>
  <c r="AG621" i="307"/>
  <c r="W621" i="307"/>
  <c r="BB621" i="307"/>
  <c r="AH621" i="307"/>
  <c r="AR621" i="307"/>
  <c r="AY621" i="307"/>
  <c r="R621" i="307"/>
  <c r="Y621" i="307"/>
  <c r="U621" i="307"/>
  <c r="AT621" i="307"/>
  <c r="BC621" i="307"/>
  <c r="AJ621" i="307"/>
  <c r="AQ621" i="307"/>
  <c r="BE621" i="307"/>
  <c r="AV621" i="307"/>
  <c r="AX621" i="307"/>
  <c r="AM621" i="307"/>
  <c r="BA621" i="307"/>
  <c r="AU621" i="307"/>
  <c r="AB621" i="307"/>
  <c r="AI621" i="307"/>
  <c r="AK621" i="307"/>
  <c r="AN621" i="307"/>
  <c r="AP621" i="307"/>
  <c r="AL621" i="307"/>
  <c r="AS621" i="307"/>
  <c r="X621" i="307"/>
  <c r="T621" i="307"/>
  <c r="AA621" i="307"/>
  <c r="AC621" i="307"/>
  <c r="AF621" i="307"/>
  <c r="AW621" i="307"/>
  <c r="AO621" i="307"/>
  <c r="V621" i="307"/>
  <c r="AE621" i="307"/>
  <c r="AD621" i="307"/>
  <c r="S621" i="307"/>
  <c r="AZ621" i="307"/>
  <c r="BD621" i="307"/>
  <c r="Z621" i="307"/>
  <c r="AH666" i="307"/>
  <c r="AH685" i="321"/>
  <c r="AD666" i="307"/>
  <c r="AD685" i="321"/>
  <c r="AC666" i="307"/>
  <c r="AC685" i="321"/>
  <c r="Y666" i="307"/>
  <c r="Y685" i="321"/>
  <c r="BB666" i="307"/>
  <c r="BB685" i="321"/>
  <c r="W666" i="307"/>
  <c r="W685" i="321"/>
  <c r="AE666" i="307"/>
  <c r="AE685" i="321"/>
  <c r="T666" i="307"/>
  <c r="T685" i="321"/>
  <c r="AS666" i="307"/>
  <c r="AS685" i="321"/>
  <c r="AP666" i="307"/>
  <c r="AP685" i="321"/>
  <c r="AY666" i="307"/>
  <c r="AY685" i="321"/>
  <c r="U666" i="307"/>
  <c r="U685" i="321"/>
  <c r="AV666" i="307"/>
  <c r="AV685" i="321"/>
  <c r="AN666" i="307"/>
  <c r="AN685" i="321"/>
  <c r="AA666" i="307"/>
  <c r="AA685" i="321"/>
  <c r="BE666" i="307"/>
  <c r="BE685" i="321"/>
  <c r="BD666" i="307"/>
  <c r="BD685" i="321"/>
  <c r="Z666" i="307"/>
  <c r="Z685" i="321"/>
  <c r="AB666" i="307"/>
  <c r="AB685" i="321"/>
  <c r="AW666" i="307"/>
  <c r="AW685" i="321"/>
  <c r="AL666" i="307"/>
  <c r="AL685" i="321"/>
  <c r="AR666" i="307"/>
  <c r="AR685" i="321"/>
  <c r="AJ666" i="307"/>
  <c r="AJ685" i="321"/>
  <c r="AX666" i="307"/>
  <c r="AX685" i="321"/>
  <c r="S666" i="307"/>
  <c r="S685" i="321"/>
  <c r="AG666" i="307"/>
  <c r="AG685" i="321"/>
  <c r="AO666" i="307"/>
  <c r="AO685" i="321"/>
  <c r="BC666" i="307"/>
  <c r="BC685" i="321"/>
  <c r="V666" i="307"/>
  <c r="V685" i="321"/>
  <c r="AU666" i="307"/>
  <c r="AU685" i="321"/>
  <c r="AF666" i="307"/>
  <c r="AF685" i="321"/>
  <c r="X666" i="307"/>
  <c r="X685" i="321"/>
  <c r="AZ666" i="307"/>
  <c r="AZ685" i="321"/>
  <c r="AT666" i="307"/>
  <c r="AT685" i="321"/>
  <c r="AK666" i="307"/>
  <c r="AK685" i="321"/>
  <c r="BA666" i="307"/>
  <c r="BA685" i="321"/>
  <c r="R666" i="307"/>
  <c r="R685" i="321"/>
  <c r="AM666" i="307"/>
  <c r="AM685" i="321"/>
  <c r="AI666" i="307"/>
  <c r="AI685" i="321"/>
  <c r="AQ666" i="307"/>
  <c r="AQ685" i="321"/>
  <c r="Y242" i="306"/>
  <c r="Y243" i="306"/>
  <c r="AM242" i="306"/>
  <c r="AM243" i="306"/>
  <c r="AP242" i="306"/>
  <c r="AP243" i="306"/>
  <c r="AR242" i="306"/>
  <c r="AR243" i="306"/>
  <c r="S242" i="306"/>
  <c r="S243" i="306"/>
  <c r="AG242" i="306"/>
  <c r="AG243" i="306"/>
  <c r="V242" i="306"/>
  <c r="V243" i="306"/>
  <c r="AN242" i="306"/>
  <c r="AN243" i="306"/>
  <c r="AA242" i="306"/>
  <c r="AA243" i="306"/>
  <c r="AX242" i="306"/>
  <c r="AX243" i="306"/>
  <c r="AB242" i="306"/>
  <c r="AB243" i="306"/>
  <c r="T242" i="306"/>
  <c r="T243" i="306"/>
  <c r="BE242" i="306"/>
  <c r="BE243" i="306"/>
  <c r="BB242" i="306"/>
  <c r="BB243" i="306"/>
  <c r="AY242" i="306"/>
  <c r="AY243" i="306"/>
  <c r="AQ242" i="306"/>
  <c r="AQ243" i="306"/>
  <c r="U242" i="306"/>
  <c r="U243" i="306"/>
  <c r="AH242" i="306"/>
  <c r="AH243" i="306"/>
  <c r="AS242" i="306"/>
  <c r="AS243" i="306"/>
  <c r="AJ242" i="306"/>
  <c r="AJ243" i="306"/>
  <c r="AV242" i="306"/>
  <c r="AV243" i="306"/>
  <c r="AO242" i="306"/>
  <c r="AO243" i="306"/>
  <c r="AD242" i="306"/>
  <c r="AD243" i="306"/>
  <c r="AK242" i="306"/>
  <c r="AK243" i="306"/>
  <c r="AI242" i="306"/>
  <c r="AI243" i="306"/>
  <c r="X242" i="306"/>
  <c r="X243" i="306"/>
  <c r="BA242" i="306"/>
  <c r="BA243" i="306"/>
  <c r="AU242" i="306"/>
  <c r="AU243" i="306"/>
  <c r="AW242" i="306"/>
  <c r="AW243" i="306"/>
  <c r="AF242" i="306"/>
  <c r="AF243" i="306"/>
  <c r="AT242" i="306"/>
  <c r="AT243" i="306"/>
  <c r="W242" i="306"/>
  <c r="W243" i="306"/>
  <c r="AL242" i="306"/>
  <c r="AL243" i="306"/>
  <c r="BC242" i="306"/>
  <c r="BC243" i="306"/>
  <c r="R242" i="306"/>
  <c r="R243" i="306"/>
  <c r="AE242" i="306"/>
  <c r="AE243" i="306"/>
  <c r="BD242" i="306"/>
  <c r="BD243" i="306"/>
  <c r="Z242" i="306"/>
  <c r="Z243" i="306"/>
  <c r="AC242" i="306"/>
  <c r="AC243" i="306"/>
  <c r="AZ242" i="306"/>
  <c r="AZ243" i="306"/>
  <c r="S631" i="307"/>
  <c r="AD631" i="307"/>
  <c r="AQ631" i="307"/>
  <c r="AY631" i="307"/>
  <c r="BD631" i="307"/>
  <c r="AU631" i="307"/>
  <c r="T631" i="307"/>
  <c r="BA631" i="307"/>
  <c r="AR631" i="307"/>
  <c r="AO631" i="307"/>
  <c r="AI631" i="307"/>
  <c r="AA631" i="307"/>
  <c r="AG631" i="307"/>
  <c r="AE631" i="307"/>
  <c r="AC631" i="307"/>
  <c r="Z631" i="307"/>
  <c r="AF631" i="307"/>
  <c r="X631" i="307"/>
  <c r="AB631" i="307"/>
  <c r="BE631" i="307"/>
  <c r="AM631" i="307"/>
  <c r="AW631" i="307"/>
  <c r="Y631" i="307"/>
  <c r="AP631" i="307"/>
  <c r="AV631" i="307"/>
  <c r="AN631" i="307"/>
  <c r="AZ631" i="307"/>
  <c r="V631" i="307"/>
  <c r="AX631" i="307"/>
  <c r="AH631" i="307"/>
  <c r="BC631" i="307"/>
  <c r="AK631" i="307"/>
  <c r="AS631" i="307"/>
  <c r="U631" i="307"/>
  <c r="R631" i="307"/>
  <c r="W631" i="307"/>
  <c r="BB631" i="307"/>
  <c r="AT631" i="307"/>
  <c r="AL631" i="307"/>
  <c r="AJ631" i="307"/>
  <c r="L269" i="306"/>
  <c r="L325" i="278"/>
  <c r="M269" i="306"/>
  <c r="M325" i="278"/>
  <c r="BC269" i="306"/>
  <c r="BC325" i="278"/>
  <c r="AF269" i="306"/>
  <c r="AF325" i="278"/>
  <c r="AQ269" i="306"/>
  <c r="AQ325" i="278"/>
  <c r="N269" i="306"/>
  <c r="N325" i="278"/>
  <c r="BA269" i="306"/>
  <c r="BA325" i="278"/>
  <c r="AM269" i="306"/>
  <c r="AM325" i="278"/>
  <c r="AH269" i="306"/>
  <c r="AH325" i="278"/>
  <c r="S269" i="306"/>
  <c r="S325" i="278"/>
  <c r="BD269" i="306"/>
  <c r="BD325" i="278"/>
  <c r="AD269" i="306"/>
  <c r="AD325" i="278"/>
  <c r="AJ269" i="306"/>
  <c r="AJ325" i="278"/>
  <c r="BE269" i="306"/>
  <c r="BE325" i="278"/>
  <c r="AW269" i="306"/>
  <c r="AW325" i="278"/>
  <c r="AA269" i="306"/>
  <c r="AA325" i="278"/>
  <c r="R269" i="306"/>
  <c r="R325" i="278"/>
  <c r="W269" i="306"/>
  <c r="W325" i="278"/>
  <c r="AG269" i="306"/>
  <c r="AG325" i="278"/>
  <c r="AK269" i="306"/>
  <c r="AK325" i="278"/>
  <c r="AN269" i="306"/>
  <c r="AN325" i="278"/>
  <c r="BB269" i="306"/>
  <c r="BB325" i="278"/>
  <c r="AB269" i="306"/>
  <c r="AB325" i="278"/>
  <c r="AS269" i="306"/>
  <c r="AS325" i="278"/>
  <c r="T269" i="306"/>
  <c r="T325" i="278"/>
  <c r="AV269" i="306"/>
  <c r="AV325" i="278"/>
  <c r="AO269" i="306"/>
  <c r="AO325" i="278"/>
  <c r="AU269" i="306"/>
  <c r="AU325" i="278"/>
  <c r="AT269" i="306"/>
  <c r="AT325" i="278"/>
  <c r="AL269" i="306"/>
  <c r="AL325" i="278"/>
  <c r="X269" i="306"/>
  <c r="X325" i="278"/>
  <c r="AE269" i="306"/>
  <c r="AE325" i="278"/>
  <c r="AP269" i="306"/>
  <c r="AP325" i="278"/>
  <c r="AC269" i="306"/>
  <c r="AC325" i="278"/>
  <c r="O269" i="306"/>
  <c r="O325" i="278"/>
  <c r="AY269" i="306"/>
  <c r="AY325" i="278"/>
  <c r="AX269" i="306"/>
  <c r="AX325" i="278"/>
  <c r="Z269" i="306"/>
  <c r="Z325" i="278"/>
  <c r="Y269" i="306"/>
  <c r="Y325" i="278"/>
  <c r="AR269" i="306"/>
  <c r="AR325" i="278"/>
  <c r="AI269" i="306"/>
  <c r="AI325" i="278"/>
  <c r="U269" i="306"/>
  <c r="U325" i="278"/>
  <c r="V269" i="306"/>
  <c r="V325" i="278"/>
  <c r="AZ269" i="306"/>
  <c r="AZ325" i="278"/>
  <c r="J269" i="306"/>
  <c r="Y259" i="306"/>
  <c r="N259" i="306"/>
  <c r="N42" i="265" s="1"/>
  <c r="W259" i="306"/>
  <c r="AV259" i="306"/>
  <c r="AC259" i="306"/>
  <c r="AB259" i="306"/>
  <c r="AT259" i="306"/>
  <c r="AX259" i="306"/>
  <c r="AD259" i="306"/>
  <c r="AL259" i="306"/>
  <c r="T259" i="306"/>
  <c r="AQ259" i="306"/>
  <c r="X259" i="306"/>
  <c r="AF259" i="306"/>
  <c r="AK259" i="306"/>
  <c r="BB259" i="306"/>
  <c r="Z259" i="306"/>
  <c r="BE259" i="306"/>
  <c r="AE259" i="306"/>
  <c r="L259" i="306"/>
  <c r="L42" i="265" s="1"/>
  <c r="BD259" i="306"/>
  <c r="AN259" i="306"/>
  <c r="O259" i="306"/>
  <c r="O42" i="265" s="1"/>
  <c r="V259" i="306"/>
  <c r="AW259" i="306"/>
  <c r="AZ259" i="306"/>
  <c r="AG259" i="306"/>
  <c r="AJ259" i="306"/>
  <c r="S259" i="306"/>
  <c r="AS259" i="306"/>
  <c r="AH259" i="306"/>
  <c r="AR259" i="306"/>
  <c r="BA259" i="306"/>
  <c r="AU259" i="306"/>
  <c r="AY259" i="306"/>
  <c r="U259" i="306"/>
  <c r="AO259" i="306"/>
  <c r="M259" i="306"/>
  <c r="M42" i="265" s="1"/>
  <c r="BC259" i="306"/>
  <c r="AP259" i="306"/>
  <c r="AI259" i="306"/>
  <c r="AM259" i="306"/>
  <c r="R259" i="306"/>
  <c r="AA259" i="306"/>
  <c r="R610" i="307"/>
  <c r="R611" i="307"/>
  <c r="AU610" i="307"/>
  <c r="AU611" i="307"/>
  <c r="AJ610" i="307"/>
  <c r="AJ611" i="307"/>
  <c r="AN610" i="307"/>
  <c r="AN611" i="307"/>
  <c r="AT610" i="307"/>
  <c r="AT611" i="307"/>
  <c r="AF610" i="307"/>
  <c r="AF611" i="307"/>
  <c r="Y610" i="307"/>
  <c r="Y611" i="307"/>
  <c r="BD610" i="307"/>
  <c r="BD611" i="307"/>
  <c r="BA610" i="307"/>
  <c r="BA611" i="307"/>
  <c r="AV610" i="307"/>
  <c r="AV611" i="307"/>
  <c r="Z610" i="307"/>
  <c r="Z611" i="307"/>
  <c r="AC610" i="307"/>
  <c r="AC611" i="307"/>
  <c r="W610" i="307"/>
  <c r="W611" i="307"/>
  <c r="AL610" i="307"/>
  <c r="AL611" i="307"/>
  <c r="BB610" i="307"/>
  <c r="BB611" i="307"/>
  <c r="AG610" i="307"/>
  <c r="AG611" i="307"/>
  <c r="AY610" i="307"/>
  <c r="AY611" i="307"/>
  <c r="X610" i="307"/>
  <c r="X611" i="307"/>
  <c r="AI610" i="307"/>
  <c r="AI611" i="307"/>
  <c r="AA610" i="307"/>
  <c r="AA611" i="307"/>
  <c r="AZ610" i="307"/>
  <c r="AZ611" i="307"/>
  <c r="U610" i="307"/>
  <c r="U611" i="307"/>
  <c r="AB610" i="307"/>
  <c r="AB611" i="307"/>
  <c r="AK610" i="307"/>
  <c r="AK611" i="307"/>
  <c r="S610" i="307"/>
  <c r="S611" i="307"/>
  <c r="AO610" i="307"/>
  <c r="AO611" i="307"/>
  <c r="AP610" i="307"/>
  <c r="AP611" i="307"/>
  <c r="AW610" i="307"/>
  <c r="AW611" i="307"/>
  <c r="AE610" i="307"/>
  <c r="AE611" i="307"/>
  <c r="BC610" i="307"/>
  <c r="BC611" i="307"/>
  <c r="AH610" i="307"/>
  <c r="AH611" i="307"/>
  <c r="AQ610" i="307"/>
  <c r="AQ611" i="307"/>
  <c r="V610" i="307"/>
  <c r="V611" i="307"/>
  <c r="T610" i="307"/>
  <c r="T611" i="307"/>
  <c r="AS610" i="307"/>
  <c r="AS611" i="307"/>
  <c r="AM610" i="307"/>
  <c r="AM611" i="307"/>
  <c r="AD610" i="307"/>
  <c r="AD611" i="307"/>
  <c r="AR610" i="307"/>
  <c r="AR611" i="307"/>
  <c r="AX610" i="307"/>
  <c r="AX611" i="307"/>
  <c r="V238" i="278"/>
  <c r="V282" i="278"/>
  <c r="V245" i="278"/>
  <c r="AW24" i="314"/>
  <c r="AW36" i="285"/>
  <c r="AW172" i="314"/>
  <c r="AW111" i="314"/>
  <c r="AW11" i="321"/>
  <c r="AW123" i="314"/>
  <c r="AW44" i="314"/>
  <c r="AW40" i="321"/>
  <c r="AW41" i="321"/>
  <c r="AW44" i="321"/>
  <c r="AW89" i="314"/>
  <c r="AX123" i="314"/>
  <c r="AX89" i="314"/>
  <c r="AX24" i="314"/>
  <c r="AX40" i="321"/>
  <c r="AX41" i="321"/>
  <c r="AX44" i="321"/>
  <c r="AX36" i="285"/>
  <c r="AX44" i="314"/>
  <c r="AX111" i="314"/>
  <c r="AX11" i="321"/>
  <c r="AX172" i="314"/>
  <c r="AT192" i="278"/>
  <c r="AT9" i="315"/>
  <c r="AY42" i="305"/>
  <c r="AV91" i="278"/>
  <c r="AT213" i="278"/>
  <c r="AT214" i="278"/>
  <c r="AT218" i="278"/>
  <c r="AT155" i="278"/>
  <c r="AT217" i="278"/>
  <c r="AT223" i="278"/>
  <c r="AT188" i="278"/>
  <c r="AT189" i="278"/>
  <c r="AT193" i="278"/>
  <c r="AT18" i="328"/>
  <c r="AT278" i="306"/>
  <c r="AT30" i="310"/>
  <c r="AT18" i="307"/>
  <c r="BF102" i="314"/>
  <c r="BF5" i="328"/>
  <c r="BF234" i="288"/>
  <c r="BF228" i="288"/>
  <c r="BF78" i="288"/>
  <c r="BF5" i="265"/>
  <c r="BF5" i="278"/>
  <c r="BF5" i="282"/>
  <c r="BF5" i="289"/>
  <c r="BF5" i="321"/>
  <c r="BF5" i="304"/>
  <c r="BF5" i="285"/>
  <c r="BF5" i="273"/>
  <c r="BF84" i="288"/>
  <c r="BF5" i="314"/>
  <c r="BF5" i="275"/>
  <c r="BF5" i="286"/>
  <c r="BF5" i="288"/>
  <c r="BF5" i="315"/>
  <c r="AY86" i="273"/>
  <c r="AW214" i="273"/>
  <c r="AW230" i="288"/>
  <c r="BE133" i="288"/>
  <c r="BE38" i="289"/>
  <c r="BE23" i="288"/>
  <c r="BA16" i="307"/>
  <c r="BA105" i="306"/>
  <c r="AW72" i="321"/>
  <c r="AW79" i="321"/>
  <c r="AU18" i="307"/>
  <c r="AY57" i="273"/>
  <c r="AX63" i="273"/>
  <c r="AX64" i="273"/>
  <c r="AX17" i="314"/>
  <c r="AX573" i="321"/>
  <c r="AX713" i="321"/>
  <c r="AX540" i="321"/>
  <c r="AX659" i="321"/>
  <c r="AX246" i="278"/>
  <c r="AX644" i="321"/>
  <c r="AX453" i="321"/>
  <c r="AX50" i="314"/>
  <c r="AX16" i="289"/>
  <c r="AX17" i="289"/>
  <c r="AX22" i="289"/>
  <c r="AX104" i="314"/>
  <c r="AX497" i="321"/>
  <c r="AX581" i="321"/>
  <c r="AX675" i="321"/>
  <c r="AX179" i="278"/>
  <c r="AX701" i="321"/>
  <c r="AX617" i="321"/>
  <c r="AX622" i="321"/>
  <c r="AX652" i="321"/>
  <c r="AX306" i="278"/>
  <c r="AX545" i="321"/>
  <c r="AX63" i="286"/>
  <c r="AX708" i="321"/>
  <c r="AX230" i="278"/>
  <c r="AX283" i="278"/>
  <c r="AX129" i="314"/>
  <c r="AX694" i="321"/>
  <c r="AX565" i="321"/>
  <c r="AX148" i="278"/>
  <c r="AX239" i="278"/>
  <c r="AX551" i="321"/>
  <c r="AX204" i="278"/>
  <c r="AX100" i="278"/>
  <c r="AX319" i="278"/>
  <c r="AX31" i="289"/>
  <c r="AX32" i="289"/>
  <c r="AX37" i="289"/>
  <c r="AX136" i="314"/>
  <c r="AX57" i="314"/>
  <c r="AX603" i="321"/>
  <c r="AX636" i="321"/>
  <c r="AX47" i="289"/>
  <c r="AX48" i="289"/>
  <c r="AX53" i="289"/>
  <c r="AZ75" i="273"/>
  <c r="BA76" i="273"/>
  <c r="AZ53" i="273"/>
  <c r="AY49" i="305"/>
  <c r="AY50" i="305"/>
  <c r="AX17" i="307"/>
  <c r="AX29" i="310"/>
  <c r="AY203" i="288"/>
  <c r="AY53" i="288"/>
  <c r="AY178" i="288"/>
  <c r="AY28" i="288"/>
  <c r="AY105" i="282"/>
  <c r="AY591" i="321"/>
  <c r="AY37" i="282"/>
  <c r="BA100" i="306"/>
  <c r="BC107" i="305"/>
  <c r="BC108" i="305"/>
  <c r="BC112" i="305"/>
  <c r="BC103" i="305"/>
  <c r="BC104" i="305"/>
  <c r="BC113" i="305"/>
  <c r="BC115" i="305"/>
  <c r="AZ84" i="273"/>
  <c r="AZ54" i="273"/>
  <c r="AW39" i="321"/>
  <c r="AW218" i="321"/>
  <c r="AW330" i="321"/>
  <c r="AT114" i="288"/>
  <c r="AT122" i="288"/>
  <c r="AT264" i="288"/>
  <c r="AT272" i="288"/>
  <c r="BA39" i="305"/>
  <c r="AY13" i="307"/>
  <c r="AY25" i="310"/>
  <c r="AZ40" i="305"/>
  <c r="AZ42" i="305"/>
  <c r="AY263" i="273"/>
  <c r="AR15" i="310"/>
  <c r="O236" i="306"/>
  <c r="O24" i="285"/>
  <c r="AS92" i="306"/>
  <c r="AS93" i="306"/>
  <c r="AS24" i="288"/>
  <c r="AS25" i="288"/>
  <c r="AV51" i="321"/>
  <c r="AV259" i="288"/>
  <c r="AV161" i="288"/>
  <c r="AV80" i="288"/>
  <c r="AV45" i="321"/>
  <c r="AV46" i="321"/>
  <c r="AV48" i="321"/>
  <c r="AV217" i="288"/>
  <c r="AV167" i="288"/>
  <c r="AV109" i="288"/>
  <c r="AV241" i="288"/>
  <c r="AV86" i="288"/>
  <c r="AV67" i="288"/>
  <c r="AV217" i="273"/>
  <c r="AU218" i="273"/>
  <c r="AV91" i="288"/>
  <c r="AV236" i="288"/>
  <c r="AV230" i="288"/>
  <c r="AS10" i="265"/>
  <c r="AS11" i="265"/>
  <c r="AS32" i="328"/>
  <c r="AS10" i="315"/>
  <c r="AS11" i="315"/>
  <c r="BA40" i="305"/>
  <c r="AX212" i="273"/>
  <c r="AX141" i="321"/>
  <c r="AX147" i="321"/>
  <c r="AX155" i="321"/>
  <c r="AY163" i="273"/>
  <c r="AX130" i="321"/>
  <c r="AX165" i="321"/>
  <c r="AX70" i="321"/>
  <c r="BA36" i="289"/>
  <c r="AZ598" i="321"/>
  <c r="AZ599" i="321"/>
  <c r="AZ579" i="321"/>
  <c r="AZ211" i="278"/>
  <c r="AZ161" i="278"/>
  <c r="AZ707" i="321"/>
  <c r="AZ650" i="321"/>
  <c r="AZ186" i="278"/>
  <c r="AX105" i="282"/>
  <c r="AX591" i="321"/>
  <c r="AX37" i="282"/>
  <c r="BA258" i="273"/>
  <c r="BA198" i="273"/>
  <c r="BA199" i="273"/>
  <c r="BA202" i="273"/>
  <c r="BA3" i="328"/>
  <c r="BA8" i="328"/>
  <c r="BA49" i="273"/>
  <c r="BA2" i="315"/>
  <c r="BA2" i="288"/>
  <c r="BA2" i="289"/>
  <c r="BA158" i="273"/>
  <c r="BA159" i="273"/>
  <c r="BA162" i="273"/>
  <c r="BA2" i="278"/>
  <c r="BA2" i="304"/>
  <c r="BA119" i="273"/>
  <c r="BA120" i="273"/>
  <c r="BA123" i="273"/>
  <c r="BA194" i="273"/>
  <c r="BA195" i="273"/>
  <c r="BA59" i="288"/>
  <c r="BA148" i="288"/>
  <c r="BA2" i="314"/>
  <c r="BA2" i="275"/>
  <c r="BA2" i="285"/>
  <c r="BA2" i="265"/>
  <c r="BA184" i="288"/>
  <c r="BA154" i="273"/>
  <c r="BA155" i="273"/>
  <c r="BA71" i="273"/>
  <c r="BA72" i="273"/>
  <c r="BA38" i="311"/>
  <c r="BA34" i="288"/>
  <c r="BA2" i="282"/>
  <c r="BA2" i="273"/>
  <c r="BA2" i="286"/>
  <c r="BA209" i="288"/>
  <c r="BA2" i="321"/>
  <c r="AZ109" i="273"/>
  <c r="BA110" i="273"/>
  <c r="AZ552" i="321"/>
  <c r="AZ623" i="321"/>
  <c r="AZ92" i="286"/>
  <c r="AZ212" i="278"/>
  <c r="AZ566" i="321"/>
  <c r="AZ162" i="278"/>
  <c r="AZ187" i="278"/>
  <c r="AZ33" i="286"/>
  <c r="AZ11" i="282"/>
  <c r="AZ15" i="286"/>
  <c r="AZ16" i="288"/>
  <c r="AZ17" i="288"/>
  <c r="AZ268" i="278"/>
  <c r="AZ637" i="321"/>
  <c r="AZ110" i="286"/>
  <c r="AZ292" i="278"/>
  <c r="AU154" i="278"/>
  <c r="AY130" i="307"/>
  <c r="AZ155" i="273"/>
  <c r="AY19" i="282"/>
  <c r="AY158" i="314"/>
  <c r="AY118" i="314"/>
  <c r="AY296" i="278"/>
  <c r="AY79" i="314"/>
  <c r="AY85" i="273"/>
  <c r="AY15" i="275"/>
  <c r="AY20" i="275"/>
  <c r="AZ17" i="275"/>
  <c r="AY272" i="278"/>
  <c r="AY39" i="314"/>
  <c r="AW263" i="306"/>
  <c r="AZ195" i="273"/>
  <c r="AV153" i="278"/>
  <c r="AV30" i="328"/>
  <c r="AZ14" i="307"/>
  <c r="AZ26" i="310"/>
  <c r="AU92" i="278"/>
  <c r="BB26" i="305"/>
  <c r="BB27" i="305"/>
  <c r="BB31" i="305"/>
  <c r="BC32" i="305"/>
  <c r="BC34" i="305"/>
  <c r="BC35" i="305"/>
  <c r="BC4" i="305"/>
  <c r="BB183" i="288"/>
  <c r="BB147" i="288"/>
  <c r="BB2" i="307"/>
  <c r="BB58" i="288"/>
  <c r="BB208" i="288"/>
  <c r="BB2" i="309"/>
  <c r="BB34" i="311"/>
  <c r="BB2" i="310"/>
  <c r="BB2" i="305"/>
  <c r="BB2" i="306"/>
  <c r="BB33" i="288"/>
  <c r="AR181" i="288"/>
  <c r="AR31" i="288"/>
  <c r="AZ240" i="278"/>
  <c r="AZ247" i="278"/>
  <c r="AZ56" i="273"/>
  <c r="AY124" i="273"/>
  <c r="AX16" i="285"/>
  <c r="AY26" i="310"/>
  <c r="AY14" i="307"/>
  <c r="AW268" i="306"/>
  <c r="AX277" i="321"/>
  <c r="AX267" i="321"/>
  <c r="AX213" i="273"/>
  <c r="AX253" i="321"/>
  <c r="AX131" i="321"/>
  <c r="AX259" i="321"/>
  <c r="AX71" i="321"/>
  <c r="BA89" i="305"/>
  <c r="BB90" i="305"/>
  <c r="BB41" i="305"/>
  <c r="BC2" i="328"/>
  <c r="AY263" i="321"/>
  <c r="AY201" i="273"/>
  <c r="AY203" i="273"/>
  <c r="AX12" i="307"/>
  <c r="AX24" i="310"/>
  <c r="AW147" i="278"/>
  <c r="AW149" i="278"/>
  <c r="AZ259" i="273"/>
  <c r="AX286" i="307"/>
  <c r="AX278" i="307"/>
  <c r="AX279" i="307"/>
  <c r="AX287" i="307"/>
  <c r="AX15" i="307"/>
  <c r="AX27" i="310"/>
  <c r="AV97" i="278"/>
  <c r="AY286" i="307"/>
  <c r="AY27" i="310"/>
  <c r="AY278" i="307"/>
  <c r="AY279" i="307"/>
  <c r="AY287" i="307"/>
  <c r="AY15" i="307"/>
  <c r="AV90" i="278"/>
  <c r="AW253" i="306"/>
  <c r="AZ4" i="278"/>
  <c r="AZ4" i="307"/>
  <c r="AZ4" i="321"/>
  <c r="AZ4" i="315"/>
  <c r="AZ4" i="309"/>
  <c r="AZ4" i="286"/>
  <c r="AZ4" i="288"/>
  <c r="AZ4" i="304"/>
  <c r="AZ4" i="289"/>
  <c r="AZ4" i="314"/>
  <c r="AZ11" i="328"/>
  <c r="AZ4" i="275"/>
  <c r="AZ4" i="282"/>
  <c r="AZ4" i="273"/>
  <c r="AZ4" i="306"/>
  <c r="AZ4" i="310"/>
  <c r="AZ4" i="285"/>
  <c r="O274" i="306"/>
  <c r="O317" i="278"/>
  <c r="AW3" i="289"/>
  <c r="AW3" i="285"/>
  <c r="AW3" i="275"/>
  <c r="AW3" i="314"/>
  <c r="AW3" i="315"/>
  <c r="AW3" i="286"/>
  <c r="AW47" i="273"/>
  <c r="AW3" i="282"/>
  <c r="AW3" i="278"/>
  <c r="AW3" i="265"/>
  <c r="AW4" i="328"/>
  <c r="AW3" i="288"/>
  <c r="AW3" i="321"/>
  <c r="AW3" i="304"/>
  <c r="AW3" i="273"/>
  <c r="AY658" i="321"/>
  <c r="AY602" i="321"/>
  <c r="AZ105" i="306"/>
  <c r="AZ89" i="305"/>
  <c r="BA90" i="305"/>
  <c r="BA41" i="305"/>
  <c r="AZ100" i="306"/>
  <c r="AZ15" i="289"/>
  <c r="AZ46" i="289"/>
  <c r="AZ30" i="289"/>
  <c r="AV29" i="328"/>
  <c r="AV152" i="278"/>
  <c r="AZ25" i="310"/>
  <c r="AZ13" i="307"/>
  <c r="AX3" i="306"/>
  <c r="AX3" i="309"/>
  <c r="AX3" i="305"/>
  <c r="AX3" i="307"/>
  <c r="AX3" i="310"/>
  <c r="AW86" i="288"/>
  <c r="AW161" i="288"/>
  <c r="AR50" i="265"/>
  <c r="AR48" i="315"/>
  <c r="AS50" i="265"/>
  <c r="AS48" i="315"/>
  <c r="AH50" i="265"/>
  <c r="AH48" i="315"/>
  <c r="AP50" i="265"/>
  <c r="AP48" i="315"/>
  <c r="AK50" i="265"/>
  <c r="AK48" i="315"/>
  <c r="AZ50" i="265"/>
  <c r="AZ48" i="315"/>
  <c r="AY50" i="265"/>
  <c r="AY48" i="315"/>
  <c r="BB50" i="265"/>
  <c r="BB48" i="315"/>
  <c r="Z50" i="265"/>
  <c r="Z48" i="315"/>
  <c r="BD50" i="265"/>
  <c r="BD48" i="315"/>
  <c r="R50" i="265"/>
  <c r="R48" i="315"/>
  <c r="AM42" i="265"/>
  <c r="AM40" i="315"/>
  <c r="AM311" i="278"/>
  <c r="M40" i="315"/>
  <c r="M311" i="278"/>
  <c r="AU42" i="265"/>
  <c r="AU40" i="315"/>
  <c r="AU311" i="278"/>
  <c r="AS42" i="265"/>
  <c r="AS40" i="315"/>
  <c r="AS311" i="278"/>
  <c r="AZ42" i="265"/>
  <c r="AZ40" i="315"/>
  <c r="AZ311" i="278"/>
  <c r="AN42" i="265"/>
  <c r="AN40" i="315"/>
  <c r="AN311" i="278"/>
  <c r="BE42" i="265"/>
  <c r="BE40" i="315"/>
  <c r="BE311" i="278"/>
  <c r="AK42" i="265"/>
  <c r="AK40" i="315"/>
  <c r="AK311" i="278"/>
  <c r="T42" i="265"/>
  <c r="T40" i="315"/>
  <c r="T311" i="278"/>
  <c r="AV42" i="265"/>
  <c r="AV40" i="315"/>
  <c r="AV311" i="278"/>
  <c r="J325" i="278"/>
  <c r="AJ57" i="265"/>
  <c r="AJ55" i="315"/>
  <c r="W55" i="315"/>
  <c r="W57" i="265"/>
  <c r="AK55" i="315"/>
  <c r="AK57" i="265"/>
  <c r="V57" i="265"/>
  <c r="V55" i="315"/>
  <c r="AM55" i="315"/>
  <c r="AM57" i="265"/>
  <c r="AF57" i="265"/>
  <c r="AF55" i="315"/>
  <c r="AG55" i="315"/>
  <c r="AG57" i="265"/>
  <c r="AR57" i="265"/>
  <c r="AR55" i="315"/>
  <c r="AU55" i="315"/>
  <c r="AU57" i="265"/>
  <c r="AD57" i="265"/>
  <c r="AD55" i="315"/>
  <c r="BD49" i="315"/>
  <c r="BD51" i="265"/>
  <c r="R49" i="315"/>
  <c r="R51" i="265"/>
  <c r="AT49" i="315"/>
  <c r="AT51" i="265"/>
  <c r="AU49" i="315"/>
  <c r="AU51" i="265"/>
  <c r="AK49" i="315"/>
  <c r="AK51" i="265"/>
  <c r="U51" i="265"/>
  <c r="U49" i="315"/>
  <c r="AX49" i="315"/>
  <c r="AX51" i="265"/>
  <c r="AG49" i="315"/>
  <c r="AG51" i="265"/>
  <c r="AM49" i="315"/>
  <c r="AM51" i="265"/>
  <c r="BD97" i="286"/>
  <c r="BD54" i="265"/>
  <c r="BD52" i="315"/>
  <c r="BD20" i="286"/>
  <c r="AE20" i="286"/>
  <c r="AE54" i="265"/>
  <c r="AE97" i="286"/>
  <c r="AE52" i="315"/>
  <c r="AF97" i="286"/>
  <c r="AF54" i="265"/>
  <c r="AF52" i="315"/>
  <c r="AF20" i="286"/>
  <c r="X97" i="286"/>
  <c r="X54" i="265"/>
  <c r="X52" i="315"/>
  <c r="X20" i="286"/>
  <c r="AN97" i="286"/>
  <c r="AN54" i="265"/>
  <c r="AN52" i="315"/>
  <c r="AN20" i="286"/>
  <c r="AB97" i="286"/>
  <c r="AB54" i="265"/>
  <c r="AB52" i="315"/>
  <c r="AB20" i="286"/>
  <c r="AX54" i="265"/>
  <c r="AX52" i="315"/>
  <c r="AX20" i="286"/>
  <c r="AX97" i="286"/>
  <c r="AQ20" i="286"/>
  <c r="AQ54" i="265"/>
  <c r="AQ97" i="286"/>
  <c r="AQ52" i="315"/>
  <c r="BB54" i="265"/>
  <c r="BB52" i="315"/>
  <c r="BB20" i="286"/>
  <c r="BB97" i="286"/>
  <c r="AF283" i="307"/>
  <c r="AF9" i="310"/>
  <c r="AZ528" i="321"/>
  <c r="AZ484" i="321"/>
  <c r="V484" i="321"/>
  <c r="V528" i="321"/>
  <c r="BA528" i="321"/>
  <c r="BA484" i="321"/>
  <c r="AN528" i="321"/>
  <c r="AN484" i="321"/>
  <c r="Z484" i="321"/>
  <c r="Z528" i="321"/>
  <c r="AE528" i="321"/>
  <c r="AE484" i="321"/>
  <c r="AQ528" i="321"/>
  <c r="AQ484" i="321"/>
  <c r="AC528" i="321"/>
  <c r="AC484" i="321"/>
  <c r="AX484" i="321"/>
  <c r="AX528" i="321"/>
  <c r="BB484" i="321"/>
  <c r="BB528" i="321"/>
  <c r="AA528" i="321"/>
  <c r="AA484" i="321"/>
  <c r="BB52" i="265"/>
  <c r="BB50" i="315"/>
  <c r="AI52" i="265"/>
  <c r="AI50" i="315"/>
  <c r="AX52" i="265"/>
  <c r="AX50" i="315"/>
  <c r="BD52" i="265"/>
  <c r="BD50" i="315"/>
  <c r="R52" i="265"/>
  <c r="R50" i="315"/>
  <c r="V52" i="265"/>
  <c r="V50" i="315"/>
  <c r="AT52" i="265"/>
  <c r="AT50" i="315"/>
  <c r="AF52" i="265"/>
  <c r="AF50" i="315"/>
  <c r="AY52" i="265"/>
  <c r="AY50" i="315"/>
  <c r="AH52" i="265"/>
  <c r="AH50" i="315"/>
  <c r="U52" i="265"/>
  <c r="U50" i="315"/>
  <c r="W224" i="278"/>
  <c r="W225" i="278"/>
  <c r="W220" i="278"/>
  <c r="BB53" i="315"/>
  <c r="BB55" i="265"/>
  <c r="R55" i="265"/>
  <c r="R53" i="315"/>
  <c r="AC55" i="265"/>
  <c r="AC53" i="315"/>
  <c r="AZ55" i="265"/>
  <c r="AZ53" i="315"/>
  <c r="AK55" i="265"/>
  <c r="AK53" i="315"/>
  <c r="T55" i="265"/>
  <c r="T53" i="315"/>
  <c r="AR55" i="265"/>
  <c r="AR53" i="315"/>
  <c r="AH53" i="315"/>
  <c r="AH55" i="265"/>
  <c r="S53" i="315"/>
  <c r="S55" i="265"/>
  <c r="AV55" i="265"/>
  <c r="AV53" i="315"/>
  <c r="BC57" i="315"/>
  <c r="BC59" i="265"/>
  <c r="BC115" i="286"/>
  <c r="BC38" i="286"/>
  <c r="AC57" i="315"/>
  <c r="AC38" i="286"/>
  <c r="AC115" i="286"/>
  <c r="AC59" i="265"/>
  <c r="AN115" i="286"/>
  <c r="AN38" i="286"/>
  <c r="AN57" i="315"/>
  <c r="AN59" i="265"/>
  <c r="AO57" i="315"/>
  <c r="AO38" i="286"/>
  <c r="AO115" i="286"/>
  <c r="AO59" i="265"/>
  <c r="AZ115" i="286"/>
  <c r="AZ38" i="286"/>
  <c r="AZ57" i="315"/>
  <c r="AZ59" i="265"/>
  <c r="AQ57" i="315"/>
  <c r="AQ38" i="286"/>
  <c r="AQ115" i="286"/>
  <c r="AQ59" i="265"/>
  <c r="AU57" i="315"/>
  <c r="AU38" i="286"/>
  <c r="AU115" i="286"/>
  <c r="AU59" i="265"/>
  <c r="AK57" i="315"/>
  <c r="AK38" i="286"/>
  <c r="AK115" i="286"/>
  <c r="AK59" i="265"/>
  <c r="R115" i="286"/>
  <c r="R59" i="265"/>
  <c r="R57" i="315"/>
  <c r="R38" i="286"/>
  <c r="AP115" i="286"/>
  <c r="AP38" i="286"/>
  <c r="AP57" i="315"/>
  <c r="AP59" i="265"/>
  <c r="BD24" i="285"/>
  <c r="BD237" i="306"/>
  <c r="AF24" i="285"/>
  <c r="AF237" i="306"/>
  <c r="AM24" i="285"/>
  <c r="AM237" i="306"/>
  <c r="M24" i="285"/>
  <c r="M237" i="306"/>
  <c r="M49" i="265" s="1"/>
  <c r="S24" i="285"/>
  <c r="S237" i="306"/>
  <c r="AY24" i="285"/>
  <c r="AY237" i="306"/>
  <c r="AE24" i="285"/>
  <c r="AE237" i="306"/>
  <c r="BA24" i="285"/>
  <c r="BA237" i="306"/>
  <c r="L24" i="285"/>
  <c r="L237" i="306"/>
  <c r="L49" i="265" s="1"/>
  <c r="W24" i="285"/>
  <c r="W237" i="306"/>
  <c r="AT24" i="285"/>
  <c r="AT237" i="306"/>
  <c r="U24" i="285"/>
  <c r="U237" i="306"/>
  <c r="AI58" i="265"/>
  <c r="AI56" i="315"/>
  <c r="AL58" i="265"/>
  <c r="AL56" i="315"/>
  <c r="AG58" i="265"/>
  <c r="AG56" i="315"/>
  <c r="AP58" i="265"/>
  <c r="AP56" i="315"/>
  <c r="S58" i="265"/>
  <c r="S56" i="315"/>
  <c r="X58" i="265"/>
  <c r="X56" i="315"/>
  <c r="AH58" i="265"/>
  <c r="AH56" i="315"/>
  <c r="Z58" i="265"/>
  <c r="Z56" i="315"/>
  <c r="AE58" i="265"/>
  <c r="AE56" i="315"/>
  <c r="BB58" i="265"/>
  <c r="BB56" i="315"/>
  <c r="T50" i="265"/>
  <c r="T48" i="315"/>
  <c r="BC48" i="315"/>
  <c r="BC50" i="265"/>
  <c r="AO50" i="265"/>
  <c r="AO48" i="315"/>
  <c r="AB50" i="265"/>
  <c r="AB48" i="315"/>
  <c r="AA50" i="265"/>
  <c r="AA48" i="315"/>
  <c r="AL50" i="265"/>
  <c r="AL48" i="315"/>
  <c r="BE48" i="315"/>
  <c r="BE50" i="265"/>
  <c r="Y50" i="265"/>
  <c r="Y48" i="315"/>
  <c r="AN50" i="265"/>
  <c r="AN48" i="315"/>
  <c r="J40" i="315"/>
  <c r="J311" i="278"/>
  <c r="AI42" i="265"/>
  <c r="AI40" i="315"/>
  <c r="AI311" i="278"/>
  <c r="AO42" i="265"/>
  <c r="AO40" i="315"/>
  <c r="AO311" i="278"/>
  <c r="BA42" i="265"/>
  <c r="BA40" i="315"/>
  <c r="BA311" i="278"/>
  <c r="S42" i="265"/>
  <c r="S40" i="315"/>
  <c r="S311" i="278"/>
  <c r="AW42" i="265"/>
  <c r="AW40" i="315"/>
  <c r="AW311" i="278"/>
  <c r="BD42" i="265"/>
  <c r="BD40" i="315"/>
  <c r="BD311" i="278"/>
  <c r="AF42" i="265"/>
  <c r="AF40" i="315"/>
  <c r="AF311" i="278"/>
  <c r="AL42" i="265"/>
  <c r="AL40" i="315"/>
  <c r="AL311" i="278"/>
  <c r="AT42" i="265"/>
  <c r="AT40" i="315"/>
  <c r="AT311" i="278"/>
  <c r="W42" i="265"/>
  <c r="W40" i="315"/>
  <c r="W311" i="278"/>
  <c r="AL57" i="265"/>
  <c r="AL55" i="315"/>
  <c r="R57" i="265"/>
  <c r="R55" i="315"/>
  <c r="BC57" i="265"/>
  <c r="BC55" i="315"/>
  <c r="AZ57" i="265"/>
  <c r="AZ55" i="315"/>
  <c r="AP57" i="265"/>
  <c r="AP55" i="315"/>
  <c r="BE57" i="265"/>
  <c r="BE55" i="315"/>
  <c r="Z57" i="265"/>
  <c r="Z55" i="315"/>
  <c r="AA55" i="315"/>
  <c r="AA57" i="265"/>
  <c r="BD57" i="265"/>
  <c r="BD55" i="315"/>
  <c r="S57" i="265"/>
  <c r="S55" i="315"/>
  <c r="AZ49" i="315"/>
  <c r="AZ51" i="265"/>
  <c r="AE49" i="315"/>
  <c r="AE51" i="265"/>
  <c r="BC49" i="315"/>
  <c r="BC51" i="265"/>
  <c r="AF49" i="315"/>
  <c r="AF51" i="265"/>
  <c r="BA49" i="315"/>
  <c r="BA51" i="265"/>
  <c r="AD49" i="315"/>
  <c r="AD51" i="265"/>
  <c r="AJ49" i="315"/>
  <c r="AJ51" i="265"/>
  <c r="AQ49" i="315"/>
  <c r="AQ51" i="265"/>
  <c r="BE49" i="315"/>
  <c r="BE51" i="265"/>
  <c r="AA49" i="315"/>
  <c r="AA51" i="265"/>
  <c r="S51" i="265"/>
  <c r="S49" i="315"/>
  <c r="AZ97" i="286"/>
  <c r="AZ54" i="265"/>
  <c r="AZ52" i="315"/>
  <c r="AZ20" i="286"/>
  <c r="V54" i="265"/>
  <c r="V52" i="315"/>
  <c r="V20" i="286"/>
  <c r="V97" i="286"/>
  <c r="AC52" i="315"/>
  <c r="AC20" i="286"/>
  <c r="AC54" i="265"/>
  <c r="AC97" i="286"/>
  <c r="AS52" i="315"/>
  <c r="AS20" i="286"/>
  <c r="AS54" i="265"/>
  <c r="AS97" i="286"/>
  <c r="AU20" i="286"/>
  <c r="AU54" i="265"/>
  <c r="AU97" i="286"/>
  <c r="AU52" i="315"/>
  <c r="AV97" i="286"/>
  <c r="AV54" i="265"/>
  <c r="AV52" i="315"/>
  <c r="AV20" i="286"/>
  <c r="AJ97" i="286"/>
  <c r="AJ54" i="265"/>
  <c r="AJ52" i="315"/>
  <c r="AJ20" i="286"/>
  <c r="U52" i="315"/>
  <c r="U20" i="286"/>
  <c r="U54" i="265"/>
  <c r="U97" i="286"/>
  <c r="AY20" i="286"/>
  <c r="AY54" i="265"/>
  <c r="AY97" i="286"/>
  <c r="AY52" i="315"/>
  <c r="W20" i="286"/>
  <c r="W54" i="265"/>
  <c r="W97" i="286"/>
  <c r="W52" i="315"/>
  <c r="AO528" i="321"/>
  <c r="AO484" i="321"/>
  <c r="U528" i="321"/>
  <c r="U484" i="321"/>
  <c r="W528" i="321"/>
  <c r="W484" i="321"/>
  <c r="AH484" i="321"/>
  <c r="AH528" i="321"/>
  <c r="AW528" i="321"/>
  <c r="AW484" i="321"/>
  <c r="AR528" i="321"/>
  <c r="AR484" i="321"/>
  <c r="AT484" i="321"/>
  <c r="AT528" i="321"/>
  <c r="AU528" i="321"/>
  <c r="AU484" i="321"/>
  <c r="S52" i="265"/>
  <c r="S50" i="315"/>
  <c r="AL52" i="265"/>
  <c r="AL50" i="315"/>
  <c r="AG52" i="265"/>
  <c r="AG50" i="315"/>
  <c r="BE52" i="265"/>
  <c r="BE50" i="315"/>
  <c r="AN52" i="265"/>
  <c r="AN50" i="315"/>
  <c r="AB52" i="265"/>
  <c r="AB50" i="315"/>
  <c r="X52" i="265"/>
  <c r="X50" i="315"/>
  <c r="AQ52" i="265"/>
  <c r="AQ50" i="315"/>
  <c r="AO52" i="265"/>
  <c r="AO50" i="315"/>
  <c r="AA53" i="315"/>
  <c r="AA55" i="265"/>
  <c r="AN55" i="265"/>
  <c r="AN53" i="315"/>
  <c r="BC53" i="315"/>
  <c r="BC55" i="265"/>
  <c r="U55" i="265"/>
  <c r="U53" i="315"/>
  <c r="AD53" i="315"/>
  <c r="AD55" i="265"/>
  <c r="BA55" i="265"/>
  <c r="BA53" i="315"/>
  <c r="AY53" i="315"/>
  <c r="AY55" i="265"/>
  <c r="AS55" i="265"/>
  <c r="AS53" i="315"/>
  <c r="Z53" i="315"/>
  <c r="Z55" i="265"/>
  <c r="BE55" i="265"/>
  <c r="BE53" i="315"/>
  <c r="AJ55" i="265"/>
  <c r="AJ53" i="315"/>
  <c r="AP53" i="315"/>
  <c r="AP55" i="265"/>
  <c r="AA57" i="315"/>
  <c r="AA38" i="286"/>
  <c r="AA115" i="286"/>
  <c r="AA59" i="265"/>
  <c r="AD115" i="286"/>
  <c r="AD38" i="286"/>
  <c r="AD57" i="315"/>
  <c r="AD59" i="265"/>
  <c r="BD115" i="286"/>
  <c r="BD59" i="265"/>
  <c r="BD57" i="315"/>
  <c r="BD38" i="286"/>
  <c r="AM57" i="315"/>
  <c r="AM38" i="286"/>
  <c r="AM115" i="286"/>
  <c r="AM59" i="265"/>
  <c r="Y57" i="315"/>
  <c r="Y38" i="286"/>
  <c r="Y115" i="286"/>
  <c r="Y59" i="265"/>
  <c r="AH115" i="286"/>
  <c r="AH38" i="286"/>
  <c r="AH57" i="315"/>
  <c r="AH59" i="265"/>
  <c r="AT115" i="286"/>
  <c r="AT38" i="286"/>
  <c r="AT57" i="315"/>
  <c r="AT59" i="265"/>
  <c r="Z115" i="286"/>
  <c r="Z38" i="286"/>
  <c r="Z57" i="315"/>
  <c r="Z59" i="265"/>
  <c r="AS24" i="285"/>
  <c r="AS237" i="306"/>
  <c r="AO24" i="285"/>
  <c r="AO237" i="306"/>
  <c r="AJ24" i="285"/>
  <c r="AJ237" i="306"/>
  <c r="AD24" i="285"/>
  <c r="AD237" i="306"/>
  <c r="AB24" i="285"/>
  <c r="AB237" i="306"/>
  <c r="Y24" i="285"/>
  <c r="Y237" i="306"/>
  <c r="BB24" i="285"/>
  <c r="BB237" i="306"/>
  <c r="AX24" i="285"/>
  <c r="AX237" i="306"/>
  <c r="T24" i="285"/>
  <c r="T237" i="306"/>
  <c r="AV24" i="285"/>
  <c r="AV237" i="306"/>
  <c r="AQ24" i="285"/>
  <c r="AQ237" i="306"/>
  <c r="AJ58" i="265"/>
  <c r="AJ56" i="315"/>
  <c r="AK58" i="265"/>
  <c r="AK56" i="315"/>
  <c r="U58" i="265"/>
  <c r="U56" i="315"/>
  <c r="AA58" i="265"/>
  <c r="AA56" i="315"/>
  <c r="AM58" i="265"/>
  <c r="AM56" i="315"/>
  <c r="T56" i="315"/>
  <c r="T58" i="265"/>
  <c r="Y58" i="265"/>
  <c r="Y56" i="315"/>
  <c r="AB58" i="265"/>
  <c r="AB56" i="315"/>
  <c r="AV58" i="265"/>
  <c r="AV56" i="315"/>
  <c r="AQ58" i="265"/>
  <c r="AQ56" i="315"/>
  <c r="AD58" i="265"/>
  <c r="AD56" i="315"/>
  <c r="AD50" i="265"/>
  <c r="AD48" i="315"/>
  <c r="V50" i="265"/>
  <c r="V48" i="315"/>
  <c r="AE50" i="265"/>
  <c r="AE48" i="315"/>
  <c r="AI50" i="265"/>
  <c r="AI48" i="315"/>
  <c r="AG50" i="265"/>
  <c r="AG48" i="315"/>
  <c r="W50" i="265"/>
  <c r="W48" i="315"/>
  <c r="AV50" i="265"/>
  <c r="AV48" i="315"/>
  <c r="AF50" i="265"/>
  <c r="AF48" i="315"/>
  <c r="AJ50" i="265"/>
  <c r="AJ48" i="315"/>
  <c r="AA42" i="265"/>
  <c r="AA40" i="315"/>
  <c r="AA311" i="278"/>
  <c r="AP42" i="265"/>
  <c r="AP40" i="315"/>
  <c r="AP311" i="278"/>
  <c r="U42" i="265"/>
  <c r="U40" i="315"/>
  <c r="U311" i="278"/>
  <c r="AR42" i="265"/>
  <c r="AR40" i="315"/>
  <c r="AR311" i="278"/>
  <c r="AJ42" i="265"/>
  <c r="AJ40" i="315"/>
  <c r="AJ311" i="278"/>
  <c r="V42" i="265"/>
  <c r="V40" i="315"/>
  <c r="V311" i="278"/>
  <c r="L40" i="315"/>
  <c r="L311" i="278"/>
  <c r="Z42" i="265"/>
  <c r="Z40" i="315"/>
  <c r="Z311" i="278"/>
  <c r="X42" i="265"/>
  <c r="X40" i="315"/>
  <c r="X311" i="278"/>
  <c r="AD42" i="265"/>
  <c r="AD40" i="315"/>
  <c r="AD311" i="278"/>
  <c r="AB42" i="265"/>
  <c r="AB40" i="315"/>
  <c r="AB311" i="278"/>
  <c r="N311" i="278"/>
  <c r="N40" i="315"/>
  <c r="AT57" i="265"/>
  <c r="AT55" i="315"/>
  <c r="U55" i="315"/>
  <c r="U57" i="265"/>
  <c r="AH57" i="265"/>
  <c r="AH55" i="315"/>
  <c r="AN57" i="265"/>
  <c r="AN55" i="315"/>
  <c r="Y55" i="315"/>
  <c r="Y57" i="265"/>
  <c r="AB57" i="265"/>
  <c r="AB55" i="315"/>
  <c r="AC55" i="315"/>
  <c r="AC57" i="265"/>
  <c r="AI55" i="315"/>
  <c r="AI57" i="265"/>
  <c r="BA55" i="315"/>
  <c r="BA57" i="265"/>
  <c r="AY55" i="315"/>
  <c r="AY57" i="265"/>
  <c r="AC49" i="315"/>
  <c r="AC51" i="265"/>
  <c r="AL49" i="315"/>
  <c r="AL51" i="265"/>
  <c r="AW49" i="315"/>
  <c r="AW51" i="265"/>
  <c r="X51" i="265"/>
  <c r="X49" i="315"/>
  <c r="AO49" i="315"/>
  <c r="AO51" i="265"/>
  <c r="AS49" i="315"/>
  <c r="AS51" i="265"/>
  <c r="AY49" i="315"/>
  <c r="AY51" i="265"/>
  <c r="T51" i="265"/>
  <c r="T49" i="315"/>
  <c r="AN49" i="315"/>
  <c r="AN51" i="265"/>
  <c r="AR49" i="315"/>
  <c r="AR51" i="265"/>
  <c r="Y51" i="265"/>
  <c r="Y49" i="315"/>
  <c r="S20" i="286"/>
  <c r="S54" i="265"/>
  <c r="S97" i="286"/>
  <c r="S52" i="315"/>
  <c r="AO52" i="315"/>
  <c r="AO20" i="286"/>
  <c r="AO54" i="265"/>
  <c r="AO97" i="286"/>
  <c r="AA20" i="286"/>
  <c r="AA54" i="265"/>
  <c r="AA97" i="286"/>
  <c r="AA52" i="315"/>
  <c r="AL54" i="265"/>
  <c r="AL52" i="315"/>
  <c r="AL20" i="286"/>
  <c r="AL97" i="286"/>
  <c r="AK52" i="315"/>
  <c r="AK20" i="286"/>
  <c r="AK54" i="265"/>
  <c r="AK97" i="286"/>
  <c r="BA52" i="315"/>
  <c r="BA20" i="286"/>
  <c r="BA54" i="265"/>
  <c r="BA97" i="286"/>
  <c r="BE52" i="315"/>
  <c r="BE97" i="286"/>
  <c r="BE20" i="286"/>
  <c r="BE54" i="265"/>
  <c r="BC20" i="286"/>
  <c r="BC54" i="265"/>
  <c r="BC97" i="286"/>
  <c r="BC52" i="315"/>
  <c r="Y52" i="315"/>
  <c r="Y20" i="286"/>
  <c r="Y54" i="265"/>
  <c r="Y97" i="286"/>
  <c r="AR97" i="286"/>
  <c r="AR54" i="265"/>
  <c r="AR52" i="315"/>
  <c r="AR20" i="286"/>
  <c r="AJ528" i="321"/>
  <c r="AJ484" i="321"/>
  <c r="AP484" i="321"/>
  <c r="AP528" i="321"/>
  <c r="AF528" i="321"/>
  <c r="AF484" i="321"/>
  <c r="AG528" i="321"/>
  <c r="AG484" i="321"/>
  <c r="AK528" i="321"/>
  <c r="AK484" i="321"/>
  <c r="AM528" i="321"/>
  <c r="AM484" i="321"/>
  <c r="BE528" i="321"/>
  <c r="BE484" i="321"/>
  <c r="T484" i="321"/>
  <c r="T528" i="321"/>
  <c r="BD528" i="321"/>
  <c r="BD484" i="321"/>
  <c r="AV528" i="321"/>
  <c r="AV484" i="321"/>
  <c r="AR52" i="265"/>
  <c r="AR50" i="315"/>
  <c r="BA52" i="265"/>
  <c r="BA50" i="315"/>
  <c r="AZ52" i="265"/>
  <c r="AZ50" i="315"/>
  <c r="Z52" i="265"/>
  <c r="Z50" i="315"/>
  <c r="AD52" i="265"/>
  <c r="AD50" i="315"/>
  <c r="AU52" i="265"/>
  <c r="AU50" i="315"/>
  <c r="AV52" i="265"/>
  <c r="AV50" i="315"/>
  <c r="Y52" i="265"/>
  <c r="Y50" i="315"/>
  <c r="AK52" i="265"/>
  <c r="AK50" i="315"/>
  <c r="BA28" i="310"/>
  <c r="AW55" i="265"/>
  <c r="AW53" i="315"/>
  <c r="AG55" i="265"/>
  <c r="AG53" i="315"/>
  <c r="AU53" i="315"/>
  <c r="AU55" i="265"/>
  <c r="W53" i="315"/>
  <c r="W55" i="265"/>
  <c r="V53" i="315"/>
  <c r="V55" i="265"/>
  <c r="AF55" i="265"/>
  <c r="AF53" i="315"/>
  <c r="Y55" i="265"/>
  <c r="Y53" i="315"/>
  <c r="X55" i="265"/>
  <c r="X53" i="315"/>
  <c r="AB55" i="265"/>
  <c r="AB53" i="315"/>
  <c r="AV115" i="286"/>
  <c r="AV38" i="286"/>
  <c r="AV57" i="315"/>
  <c r="AV59" i="265"/>
  <c r="AX115" i="286"/>
  <c r="AX38" i="286"/>
  <c r="AX57" i="315"/>
  <c r="AX59" i="265"/>
  <c r="AF115" i="286"/>
  <c r="AF38" i="286"/>
  <c r="AF57" i="315"/>
  <c r="AF59" i="265"/>
  <c r="X115" i="286"/>
  <c r="X38" i="286"/>
  <c r="X57" i="315"/>
  <c r="X59" i="265"/>
  <c r="AL115" i="286"/>
  <c r="AL38" i="286"/>
  <c r="AL57" i="315"/>
  <c r="AL59" i="265"/>
  <c r="BA57" i="315"/>
  <c r="BA38" i="286"/>
  <c r="BA115" i="286"/>
  <c r="BA59" i="265"/>
  <c r="T115" i="286"/>
  <c r="T59" i="265"/>
  <c r="T38" i="286"/>
  <c r="T57" i="315"/>
  <c r="W57" i="315"/>
  <c r="W38" i="286"/>
  <c r="W115" i="286"/>
  <c r="W59" i="265"/>
  <c r="BE57" i="315"/>
  <c r="BE59" i="265"/>
  <c r="BE115" i="286"/>
  <c r="BE38" i="286"/>
  <c r="AB115" i="286"/>
  <c r="AB38" i="286"/>
  <c r="AB57" i="315"/>
  <c r="AB59" i="265"/>
  <c r="AW57" i="315"/>
  <c r="AW38" i="286"/>
  <c r="AW115" i="286"/>
  <c r="AW59" i="265"/>
  <c r="V24" i="285"/>
  <c r="V237" i="306"/>
  <c r="AL24" i="285"/>
  <c r="AL237" i="306"/>
  <c r="Z24" i="285"/>
  <c r="Z237" i="306"/>
  <c r="BE24" i="285"/>
  <c r="BE237" i="306"/>
  <c r="BC24" i="285"/>
  <c r="BC237" i="306"/>
  <c r="AP24" i="285"/>
  <c r="AP237" i="306"/>
  <c r="AI24" i="285"/>
  <c r="AI237" i="306"/>
  <c r="AZ24" i="285"/>
  <c r="AZ237" i="306"/>
  <c r="AR24" i="285"/>
  <c r="AR237" i="306"/>
  <c r="AW24" i="285"/>
  <c r="AW237" i="306"/>
  <c r="BD56" i="315"/>
  <c r="BD58" i="265"/>
  <c r="BE58" i="265"/>
  <c r="BE56" i="315"/>
  <c r="BC58" i="265"/>
  <c r="BC56" i="315"/>
  <c r="AX58" i="265"/>
  <c r="AX56" i="315"/>
  <c r="AF58" i="265"/>
  <c r="AF56" i="315"/>
  <c r="BA58" i="265"/>
  <c r="BA56" i="315"/>
  <c r="W58" i="265"/>
  <c r="W56" i="315"/>
  <c r="AR58" i="265"/>
  <c r="AR56" i="315"/>
  <c r="BB89" i="305"/>
  <c r="BC90" i="305"/>
  <c r="BC41" i="305"/>
  <c r="AX50" i="265"/>
  <c r="AX48" i="315"/>
  <c r="AM50" i="265"/>
  <c r="AM48" i="315"/>
  <c r="AQ50" i="265"/>
  <c r="AQ48" i="315"/>
  <c r="AW50" i="265"/>
  <c r="AW48" i="315"/>
  <c r="S48" i="315"/>
  <c r="S50" i="265"/>
  <c r="U50" i="265"/>
  <c r="U48" i="315"/>
  <c r="X50" i="265"/>
  <c r="X48" i="315"/>
  <c r="AC50" i="265"/>
  <c r="AC48" i="315"/>
  <c r="BA50" i="265"/>
  <c r="BA48" i="315"/>
  <c r="AT50" i="265"/>
  <c r="AT48" i="315"/>
  <c r="AU50" i="265"/>
  <c r="AU48" i="315"/>
  <c r="R42" i="265"/>
  <c r="R40" i="315"/>
  <c r="R311" i="278"/>
  <c r="BC42" i="265"/>
  <c r="BC40" i="315"/>
  <c r="BC311" i="278"/>
  <c r="AY42" i="265"/>
  <c r="AY40" i="315"/>
  <c r="AY311" i="278"/>
  <c r="AH42" i="265"/>
  <c r="AH40" i="315"/>
  <c r="AH311" i="278"/>
  <c r="AG42" i="265"/>
  <c r="AG40" i="315"/>
  <c r="AG311" i="278"/>
  <c r="O40" i="315"/>
  <c r="O311" i="278"/>
  <c r="AE42" i="265"/>
  <c r="AE40" i="315"/>
  <c r="AE311" i="278"/>
  <c r="BB42" i="265"/>
  <c r="BB40" i="315"/>
  <c r="BB311" i="278"/>
  <c r="AQ42" i="265"/>
  <c r="AQ40" i="315"/>
  <c r="AQ311" i="278"/>
  <c r="AX42" i="265"/>
  <c r="AX40" i="315"/>
  <c r="AX311" i="278"/>
  <c r="AC42" i="265"/>
  <c r="AC40" i="315"/>
  <c r="AC311" i="278"/>
  <c r="Y42" i="265"/>
  <c r="Y40" i="315"/>
  <c r="Y311" i="278"/>
  <c r="BB57" i="265"/>
  <c r="BB55" i="315"/>
  <c r="AS55" i="315"/>
  <c r="AS57" i="265"/>
  <c r="AX57" i="265"/>
  <c r="AX55" i="315"/>
  <c r="AV57" i="265"/>
  <c r="AV55" i="315"/>
  <c r="AW55" i="315"/>
  <c r="AW57" i="265"/>
  <c r="X57" i="265"/>
  <c r="X55" i="315"/>
  <c r="AE55" i="315"/>
  <c r="AE57" i="265"/>
  <c r="AO55" i="315"/>
  <c r="AO57" i="265"/>
  <c r="T57" i="265"/>
  <c r="T55" i="315"/>
  <c r="AQ55" i="315"/>
  <c r="AQ57" i="265"/>
  <c r="Z51" i="265"/>
  <c r="Z49" i="315"/>
  <c r="W51" i="265"/>
  <c r="W49" i="315"/>
  <c r="AI49" i="315"/>
  <c r="AI51" i="265"/>
  <c r="AV49" i="315"/>
  <c r="AV51" i="265"/>
  <c r="AH49" i="315"/>
  <c r="AH51" i="265"/>
  <c r="BB49" i="315"/>
  <c r="BB51" i="265"/>
  <c r="AB49" i="315"/>
  <c r="AB51" i="265"/>
  <c r="V51" i="265"/>
  <c r="V49" i="315"/>
  <c r="AP49" i="315"/>
  <c r="AP51" i="265"/>
  <c r="Z54" i="265"/>
  <c r="Z52" i="315"/>
  <c r="Z20" i="286"/>
  <c r="Z97" i="286"/>
  <c r="AD54" i="265"/>
  <c r="AD52" i="315"/>
  <c r="AD20" i="286"/>
  <c r="AD97" i="286"/>
  <c r="AW52" i="315"/>
  <c r="AW20" i="286"/>
  <c r="AW54" i="265"/>
  <c r="AW97" i="286"/>
  <c r="T97" i="286"/>
  <c r="T52" i="315"/>
  <c r="T54" i="265"/>
  <c r="T20" i="286"/>
  <c r="AP54" i="265"/>
  <c r="AP52" i="315"/>
  <c r="AP20" i="286"/>
  <c r="AP97" i="286"/>
  <c r="AI20" i="286"/>
  <c r="AI54" i="265"/>
  <c r="AI97" i="286"/>
  <c r="AI52" i="315"/>
  <c r="AM20" i="286"/>
  <c r="AM54" i="265"/>
  <c r="AM97" i="286"/>
  <c r="AM52" i="315"/>
  <c r="AT54" i="265"/>
  <c r="AT52" i="315"/>
  <c r="AT20" i="286"/>
  <c r="AT97" i="286"/>
  <c r="R54" i="265"/>
  <c r="R52" i="315"/>
  <c r="R97" i="286"/>
  <c r="R20" i="286"/>
  <c r="AH54" i="265"/>
  <c r="AH52" i="315"/>
  <c r="AH20" i="286"/>
  <c r="AH97" i="286"/>
  <c r="AG52" i="315"/>
  <c r="AG20" i="286"/>
  <c r="AG54" i="265"/>
  <c r="AG97" i="286"/>
  <c r="AB528" i="321"/>
  <c r="AB484" i="321"/>
  <c r="R484" i="321"/>
  <c r="R528" i="321"/>
  <c r="AL484" i="321"/>
  <c r="AL528" i="321"/>
  <c r="AS528" i="321"/>
  <c r="AS484" i="321"/>
  <c r="AY528" i="321"/>
  <c r="AY484" i="321"/>
  <c r="BC528" i="321"/>
  <c r="BC484" i="321"/>
  <c r="AD484" i="321"/>
  <c r="AD528" i="321"/>
  <c r="Y528" i="321"/>
  <c r="Y484" i="321"/>
  <c r="X528" i="321"/>
  <c r="X484" i="321"/>
  <c r="AI528" i="321"/>
  <c r="AI484" i="321"/>
  <c r="S484" i="321"/>
  <c r="S528" i="321"/>
  <c r="AS52" i="265"/>
  <c r="AS50" i="315"/>
  <c r="AP52" i="265"/>
  <c r="AP50" i="315"/>
  <c r="AC52" i="265"/>
  <c r="AC50" i="315"/>
  <c r="W52" i="265"/>
  <c r="W50" i="315"/>
  <c r="AE52" i="265"/>
  <c r="AE50" i="315"/>
  <c r="BC52" i="265"/>
  <c r="BC50" i="315"/>
  <c r="AJ52" i="265"/>
  <c r="AJ50" i="315"/>
  <c r="AM52" i="265"/>
  <c r="AM50" i="315"/>
  <c r="T52" i="265"/>
  <c r="T50" i="315"/>
  <c r="AW52" i="265"/>
  <c r="AW50" i="315"/>
  <c r="AA52" i="265"/>
  <c r="AA50" i="315"/>
  <c r="AE53" i="315"/>
  <c r="AE55" i="265"/>
  <c r="BD55" i="265"/>
  <c r="BD53" i="315"/>
  <c r="AX53" i="315"/>
  <c r="AX55" i="265"/>
  <c r="AI53" i="315"/>
  <c r="AI55" i="265"/>
  <c r="AQ53" i="315"/>
  <c r="AQ55" i="265"/>
  <c r="AT53" i="315"/>
  <c r="AT55" i="265"/>
  <c r="AM53" i="315"/>
  <c r="AM55" i="265"/>
  <c r="AO55" i="265"/>
  <c r="AO53" i="315"/>
  <c r="AL53" i="315"/>
  <c r="AL55" i="265"/>
  <c r="V115" i="286"/>
  <c r="V38" i="286"/>
  <c r="V57" i="315"/>
  <c r="V59" i="265"/>
  <c r="AR115" i="286"/>
  <c r="AR38" i="286"/>
  <c r="AR57" i="315"/>
  <c r="AR59" i="265"/>
  <c r="AE57" i="315"/>
  <c r="AE38" i="286"/>
  <c r="AE115" i="286"/>
  <c r="AE59" i="265"/>
  <c r="AS57" i="315"/>
  <c r="AS38" i="286"/>
  <c r="AS115" i="286"/>
  <c r="AS59" i="265"/>
  <c r="AY57" i="315"/>
  <c r="AY38" i="286"/>
  <c r="AY115" i="286"/>
  <c r="AY59" i="265"/>
  <c r="S57" i="315"/>
  <c r="S59" i="265"/>
  <c r="S115" i="286"/>
  <c r="S38" i="286"/>
  <c r="BB115" i="286"/>
  <c r="BB38" i="286"/>
  <c r="BB57" i="315"/>
  <c r="BB59" i="265"/>
  <c r="AG57" i="315"/>
  <c r="AG38" i="286"/>
  <c r="AG115" i="286"/>
  <c r="AG59" i="265"/>
  <c r="AJ115" i="286"/>
  <c r="AJ38" i="286"/>
  <c r="AJ57" i="315"/>
  <c r="AJ59" i="265"/>
  <c r="U57" i="315"/>
  <c r="U38" i="286"/>
  <c r="U115" i="286"/>
  <c r="U59" i="265"/>
  <c r="AI57" i="315"/>
  <c r="AI38" i="286"/>
  <c r="AI115" i="286"/>
  <c r="AI59" i="265"/>
  <c r="N24" i="285"/>
  <c r="N237" i="306"/>
  <c r="N49" i="265" s="1"/>
  <c r="AN24" i="285"/>
  <c r="AN237" i="306"/>
  <c r="AH24" i="285"/>
  <c r="AH237" i="306"/>
  <c r="X24" i="285"/>
  <c r="X237" i="306"/>
  <c r="R24" i="285"/>
  <c r="R237" i="306"/>
  <c r="AU24" i="285"/>
  <c r="AU237" i="306"/>
  <c r="AC24" i="285"/>
  <c r="AC237" i="306"/>
  <c r="AG24" i="285"/>
  <c r="AG237" i="306"/>
  <c r="AK24" i="285"/>
  <c r="AK237" i="306"/>
  <c r="AA24" i="285"/>
  <c r="AA237" i="306"/>
  <c r="R56" i="315"/>
  <c r="R58" i="265"/>
  <c r="AO58" i="265"/>
  <c r="AO56" i="315"/>
  <c r="AN58" i="265"/>
  <c r="AN56" i="315"/>
  <c r="AC58" i="265"/>
  <c r="AC56" i="315"/>
  <c r="AZ58" i="265"/>
  <c r="AZ56" i="315"/>
  <c r="AT58" i="265"/>
  <c r="AT56" i="315"/>
  <c r="V58" i="265"/>
  <c r="V56" i="315"/>
  <c r="AY58" i="265"/>
  <c r="AY56" i="315"/>
  <c r="AW58" i="265"/>
  <c r="AW56" i="315"/>
  <c r="AU58" i="265"/>
  <c r="AU56" i="315"/>
  <c r="AS58" i="265"/>
  <c r="AS56" i="315"/>
  <c r="BB39" i="305"/>
  <c r="AV92" i="278"/>
  <c r="AV98" i="278"/>
  <c r="AV101" i="278"/>
  <c r="AV104" i="278"/>
  <c r="AV105" i="278"/>
  <c r="BB14" i="307"/>
  <c r="BB13" i="307"/>
  <c r="BB16" i="307"/>
  <c r="BB105" i="306"/>
  <c r="AW236" i="288"/>
  <c r="AU278" i="306"/>
  <c r="AU30" i="310"/>
  <c r="BB100" i="306"/>
  <c r="AW109" i="288"/>
  <c r="O237" i="306"/>
  <c r="O49" i="265" s="1"/>
  <c r="AT92" i="306"/>
  <c r="AT93" i="306"/>
  <c r="AT24" i="288"/>
  <c r="AT25" i="288"/>
  <c r="AT10" i="265"/>
  <c r="AT11" i="265"/>
  <c r="AT32" i="328"/>
  <c r="AT10" i="315"/>
  <c r="AT11" i="315"/>
  <c r="AW259" i="288"/>
  <c r="AW51" i="321"/>
  <c r="AW217" i="288"/>
  <c r="AW167" i="288"/>
  <c r="AW217" i="273"/>
  <c r="AV218" i="273"/>
  <c r="AV264" i="288"/>
  <c r="AW241" i="288"/>
  <c r="AW91" i="288"/>
  <c r="AW67" i="288"/>
  <c r="BF38" i="289"/>
  <c r="BF23" i="288"/>
  <c r="BF25" i="288"/>
  <c r="BF133" i="288"/>
  <c r="BF136" i="288"/>
  <c r="BF138" i="288"/>
  <c r="BF140" i="288"/>
  <c r="BF145" i="288"/>
  <c r="AW45" i="321"/>
  <c r="AW46" i="321"/>
  <c r="AW48" i="321"/>
  <c r="AW80" i="288"/>
  <c r="BG102" i="314"/>
  <c r="BG228" i="288"/>
  <c r="BG84" i="288"/>
  <c r="BG5" i="328"/>
  <c r="BG234" i="288"/>
  <c r="BG5" i="321"/>
  <c r="BG5" i="315"/>
  <c r="BG5" i="275"/>
  <c r="BG5" i="285"/>
  <c r="BG5" i="265"/>
  <c r="BG5" i="282"/>
  <c r="BG5" i="304"/>
  <c r="BG5" i="278"/>
  <c r="BG5" i="273"/>
  <c r="BG5" i="288"/>
  <c r="BG78" i="288"/>
  <c r="BG5" i="286"/>
  <c r="BG5" i="314"/>
  <c r="BG5" i="289"/>
  <c r="AV154" i="278"/>
  <c r="AV155" i="278"/>
  <c r="AZ86" i="273"/>
  <c r="AY213" i="273"/>
  <c r="AY267" i="321"/>
  <c r="AY71" i="321"/>
  <c r="AY259" i="321"/>
  <c r="AY131" i="321"/>
  <c r="AY253" i="321"/>
  <c r="AY277" i="321"/>
  <c r="BA161" i="273"/>
  <c r="BA151" i="321"/>
  <c r="AZ49" i="305"/>
  <c r="AZ50" i="305"/>
  <c r="BA42" i="305"/>
  <c r="AZ286" i="307"/>
  <c r="AZ278" i="307"/>
  <c r="AZ279" i="307"/>
  <c r="AZ287" i="307"/>
  <c r="AZ27" i="310"/>
  <c r="AZ15" i="307"/>
  <c r="BA296" i="278"/>
  <c r="BA15" i="275"/>
  <c r="BA79" i="314"/>
  <c r="BA19" i="282"/>
  <c r="BA158" i="314"/>
  <c r="BA39" i="314"/>
  <c r="BA272" i="278"/>
  <c r="BA85" i="273"/>
  <c r="BA118" i="314"/>
  <c r="BA201" i="273"/>
  <c r="BA263" i="321"/>
  <c r="AZ201" i="273"/>
  <c r="AZ203" i="273"/>
  <c r="AZ263" i="321"/>
  <c r="AX72" i="321"/>
  <c r="AX79" i="321"/>
  <c r="BB40" i="305"/>
  <c r="BA14" i="307"/>
  <c r="BA26" i="310"/>
  <c r="BB119" i="273"/>
  <c r="BB120" i="273"/>
  <c r="BB123" i="273"/>
  <c r="BB198" i="273"/>
  <c r="BB199" i="273"/>
  <c r="BB202" i="273"/>
  <c r="BB2" i="265"/>
  <c r="BB209" i="288"/>
  <c r="BB148" i="288"/>
  <c r="BB34" i="288"/>
  <c r="BB2" i="289"/>
  <c r="BB49" i="273"/>
  <c r="BB2" i="278"/>
  <c r="BB258" i="273"/>
  <c r="BB154" i="273"/>
  <c r="BB3" i="328"/>
  <c r="BB8" i="328"/>
  <c r="BB2" i="282"/>
  <c r="BB2" i="273"/>
  <c r="BB2" i="321"/>
  <c r="BB2" i="304"/>
  <c r="BB158" i="273"/>
  <c r="BB159" i="273"/>
  <c r="BB162" i="273"/>
  <c r="BB184" i="288"/>
  <c r="BB2" i="314"/>
  <c r="BB71" i="273"/>
  <c r="BB194" i="273"/>
  <c r="BB195" i="273"/>
  <c r="BB59" i="288"/>
  <c r="BB2" i="288"/>
  <c r="BB2" i="286"/>
  <c r="BB2" i="315"/>
  <c r="BB38" i="311"/>
  <c r="BB2" i="285"/>
  <c r="BB2" i="275"/>
  <c r="BA11" i="328"/>
  <c r="BA4" i="289"/>
  <c r="BA4" i="309"/>
  <c r="BA4" i="315"/>
  <c r="BA4" i="275"/>
  <c r="BA4" i="285"/>
  <c r="BA4" i="306"/>
  <c r="BA4" i="321"/>
  <c r="BA4" i="282"/>
  <c r="BA4" i="314"/>
  <c r="BA4" i="286"/>
  <c r="BA4" i="278"/>
  <c r="BA4" i="288"/>
  <c r="BA4" i="273"/>
  <c r="BA4" i="307"/>
  <c r="BA4" i="310"/>
  <c r="BA4" i="304"/>
  <c r="AY3" i="310"/>
  <c r="AY3" i="305"/>
  <c r="AY3" i="307"/>
  <c r="AY3" i="306"/>
  <c r="AY3" i="309"/>
  <c r="AY239" i="278"/>
  <c r="AY230" i="278"/>
  <c r="AY573" i="321"/>
  <c r="AY713" i="321"/>
  <c r="AY104" i="314"/>
  <c r="AY204" i="278"/>
  <c r="AY100" i="278"/>
  <c r="AY453" i="321"/>
  <c r="AY136" i="314"/>
  <c r="AY545" i="321"/>
  <c r="AY540" i="321"/>
  <c r="AY603" i="321"/>
  <c r="AY617" i="321"/>
  <c r="AY31" i="289"/>
  <c r="AY32" i="289"/>
  <c r="AY37" i="289"/>
  <c r="AY39" i="289"/>
  <c r="AZ39" i="289"/>
  <c r="AY581" i="321"/>
  <c r="AY675" i="321"/>
  <c r="AY148" i="278"/>
  <c r="AY246" i="278"/>
  <c r="AY283" i="278"/>
  <c r="AY659" i="321"/>
  <c r="AY497" i="321"/>
  <c r="AY50" i="314"/>
  <c r="AY129" i="314"/>
  <c r="AY694" i="321"/>
  <c r="AY622" i="321"/>
  <c r="AY306" i="278"/>
  <c r="AY17" i="314"/>
  <c r="AY179" i="278"/>
  <c r="AY701" i="321"/>
  <c r="AY708" i="321"/>
  <c r="AY565" i="321"/>
  <c r="AY636" i="321"/>
  <c r="AY652" i="321"/>
  <c r="AY319" i="278"/>
  <c r="AY63" i="286"/>
  <c r="AY57" i="314"/>
  <c r="AY551" i="321"/>
  <c r="AY644" i="321"/>
  <c r="AV17" i="328"/>
  <c r="AX147" i="278"/>
  <c r="AX149" i="278"/>
  <c r="AY16" i="285"/>
  <c r="AW90" i="278"/>
  <c r="AX263" i="306"/>
  <c r="AZ28" i="288"/>
  <c r="AZ53" i="288"/>
  <c r="AZ203" i="288"/>
  <c r="AZ178" i="288"/>
  <c r="BA240" i="278"/>
  <c r="BA247" i="278"/>
  <c r="BA56" i="273"/>
  <c r="BA16" i="288"/>
  <c r="BA17" i="288"/>
  <c r="BA552" i="321"/>
  <c r="BA292" i="278"/>
  <c r="BA92" i="286"/>
  <c r="BA212" i="278"/>
  <c r="BA33" i="286"/>
  <c r="BA566" i="321"/>
  <c r="BA109" i="273"/>
  <c r="BB110" i="273"/>
  <c r="BA187" i="278"/>
  <c r="BA15" i="286"/>
  <c r="BA268" i="278"/>
  <c r="BA162" i="278"/>
  <c r="BA11" i="282"/>
  <c r="BA637" i="321"/>
  <c r="BA110" i="286"/>
  <c r="BA623" i="321"/>
  <c r="AZ602" i="321"/>
  <c r="AZ658" i="321"/>
  <c r="BD103" i="305"/>
  <c r="BD104" i="305"/>
  <c r="BD113" i="305"/>
  <c r="BD115" i="305"/>
  <c r="BD107" i="305"/>
  <c r="BD108" i="305"/>
  <c r="BD112" i="305"/>
  <c r="BB11" i="289"/>
  <c r="BB12" i="289"/>
  <c r="BB36" i="289"/>
  <c r="AZ79" i="314"/>
  <c r="AZ85" i="273"/>
  <c r="AZ15" i="275"/>
  <c r="AZ20" i="275"/>
  <c r="BA17" i="275"/>
  <c r="AZ272" i="278"/>
  <c r="AZ118" i="314"/>
  <c r="AZ19" i="282"/>
  <c r="AZ296" i="278"/>
  <c r="AZ39" i="314"/>
  <c r="AZ158" i="314"/>
  <c r="AX218" i="321"/>
  <c r="AX330" i="321"/>
  <c r="AX39" i="321"/>
  <c r="AU98" i="278"/>
  <c r="AU101" i="278"/>
  <c r="AU104" i="278"/>
  <c r="AU105" i="278"/>
  <c r="AU18" i="328"/>
  <c r="BA579" i="321"/>
  <c r="BA186" i="278"/>
  <c r="BA598" i="321"/>
  <c r="BA599" i="321"/>
  <c r="BA707" i="321"/>
  <c r="BA650" i="321"/>
  <c r="BA161" i="278"/>
  <c r="BA211" i="278"/>
  <c r="AU17" i="328"/>
  <c r="AW30" i="328"/>
  <c r="AW153" i="278"/>
  <c r="BD10" i="289"/>
  <c r="BD2" i="328"/>
  <c r="AU92" i="306"/>
  <c r="AU93" i="306"/>
  <c r="AU24" i="288"/>
  <c r="AU25" i="288"/>
  <c r="BA53" i="273"/>
  <c r="BA75" i="273"/>
  <c r="BB76" i="273"/>
  <c r="AZ122" i="273"/>
  <c r="AZ124" i="273"/>
  <c r="AZ261" i="273"/>
  <c r="AZ263" i="273"/>
  <c r="AZ28" i="314"/>
  <c r="AZ589" i="321"/>
  <c r="AZ590" i="321"/>
  <c r="AZ259" i="278"/>
  <c r="AZ38" i="314"/>
  <c r="AZ55" i="273"/>
  <c r="AZ57" i="273"/>
  <c r="AZ117" i="314"/>
  <c r="AZ161" i="273"/>
  <c r="AZ163" i="273"/>
  <c r="AZ151" i="321"/>
  <c r="AY24" i="310"/>
  <c r="AY12" i="307"/>
  <c r="BA30" i="289"/>
  <c r="AU272" i="288"/>
  <c r="AU122" i="288"/>
  <c r="AU264" i="288"/>
  <c r="AU114" i="288"/>
  <c r="AS31" i="288"/>
  <c r="AS181" i="288"/>
  <c r="AW97" i="278"/>
  <c r="BA54" i="273"/>
  <c r="BA84" i="273"/>
  <c r="AX3" i="282"/>
  <c r="AX3" i="288"/>
  <c r="AX3" i="286"/>
  <c r="AX3" i="314"/>
  <c r="AX47" i="273"/>
  <c r="AX3" i="273"/>
  <c r="AX3" i="289"/>
  <c r="AX3" i="275"/>
  <c r="AX3" i="315"/>
  <c r="AX3" i="285"/>
  <c r="AX4" i="328"/>
  <c r="AX3" i="321"/>
  <c r="AX3" i="278"/>
  <c r="AX3" i="304"/>
  <c r="AX3" i="265"/>
  <c r="AZ674" i="321"/>
  <c r="AZ262" i="273"/>
  <c r="AX253" i="306"/>
  <c r="AZ130" i="307"/>
  <c r="AU155" i="278"/>
  <c r="AU223" i="278"/>
  <c r="AU217" i="278"/>
  <c r="AU213" i="278"/>
  <c r="AU214" i="278"/>
  <c r="AU218" i="278"/>
  <c r="AZ28" i="310"/>
  <c r="AZ16" i="307"/>
  <c r="AS15" i="310"/>
  <c r="AW152" i="278"/>
  <c r="AW29" i="328"/>
  <c r="AX268" i="306"/>
  <c r="AW91" i="278"/>
  <c r="AY17" i="307"/>
  <c r="AY29" i="310"/>
  <c r="BB259" i="273"/>
  <c r="AX24" i="265"/>
  <c r="AX59" i="315"/>
  <c r="AX22" i="315"/>
  <c r="AX61" i="265"/>
  <c r="BA259" i="273"/>
  <c r="AY212" i="273"/>
  <c r="AY141" i="321"/>
  <c r="AY70" i="321"/>
  <c r="AY147" i="321"/>
  <c r="AY155" i="321"/>
  <c r="AY165" i="321"/>
  <c r="AY130" i="321"/>
  <c r="AX214" i="273"/>
  <c r="AV162" i="288"/>
  <c r="AV171" i="288"/>
  <c r="AW162" i="288"/>
  <c r="AW171" i="288"/>
  <c r="BA13" i="307"/>
  <c r="BA25" i="310"/>
  <c r="BC26" i="305"/>
  <c r="BC27" i="305"/>
  <c r="BC31" i="305"/>
  <c r="BD32" i="305"/>
  <c r="BD34" i="305"/>
  <c r="BD35" i="305"/>
  <c r="BD4" i="305"/>
  <c r="BC2" i="305"/>
  <c r="BC33" i="288"/>
  <c r="BC2" i="306"/>
  <c r="BC183" i="288"/>
  <c r="BC2" i="307"/>
  <c r="BC34" i="311"/>
  <c r="BC208" i="288"/>
  <c r="BC58" i="288"/>
  <c r="BC147" i="288"/>
  <c r="BC2" i="310"/>
  <c r="BC2" i="309"/>
  <c r="AY59" i="315"/>
  <c r="AY24" i="265"/>
  <c r="AY61" i="265"/>
  <c r="AY22" i="315"/>
  <c r="AY63" i="273"/>
  <c r="AY64" i="273"/>
  <c r="AZ24" i="314"/>
  <c r="AA49" i="265"/>
  <c r="AA47" i="315"/>
  <c r="O47" i="315"/>
  <c r="AC49" i="265"/>
  <c r="AC47" i="315"/>
  <c r="R49" i="265"/>
  <c r="R47" i="315"/>
  <c r="AH49" i="265"/>
  <c r="AH47" i="315"/>
  <c r="N47" i="315"/>
  <c r="AW49" i="265"/>
  <c r="AW47" i="315"/>
  <c r="AZ49" i="265"/>
  <c r="AZ47" i="315"/>
  <c r="AP49" i="265"/>
  <c r="AP47" i="315"/>
  <c r="BE49" i="265"/>
  <c r="BE47" i="315"/>
  <c r="AL49" i="265"/>
  <c r="AL47" i="315"/>
  <c r="AQ49" i="265"/>
  <c r="AQ47" i="315"/>
  <c r="T47" i="315"/>
  <c r="T49" i="265"/>
  <c r="BB49" i="265"/>
  <c r="BB47" i="315"/>
  <c r="AB49" i="265"/>
  <c r="AB47" i="315"/>
  <c r="AJ49" i="265"/>
  <c r="AJ47" i="315"/>
  <c r="AS49" i="265"/>
  <c r="AS47" i="315"/>
  <c r="W42" i="315"/>
  <c r="W44" i="265"/>
  <c r="U49" i="265"/>
  <c r="U47" i="315"/>
  <c r="W49" i="265"/>
  <c r="W47" i="315"/>
  <c r="BA49" i="265"/>
  <c r="BA47" i="315"/>
  <c r="AY49" i="265"/>
  <c r="AY47" i="315"/>
  <c r="M47" i="315"/>
  <c r="AF49" i="265"/>
  <c r="AF47" i="315"/>
  <c r="W229" i="278"/>
  <c r="W231" i="278"/>
  <c r="X222" i="278"/>
  <c r="W116" i="265"/>
  <c r="W112" i="315"/>
  <c r="W254" i="278"/>
  <c r="AY24" i="314"/>
  <c r="AY36" i="285"/>
  <c r="AY172" i="314"/>
  <c r="AY111" i="314"/>
  <c r="AY123" i="314"/>
  <c r="AY40" i="321"/>
  <c r="AY41" i="321"/>
  <c r="AY44" i="321"/>
  <c r="AY44" i="314"/>
  <c r="AY11" i="321"/>
  <c r="AY89" i="314"/>
  <c r="AK49" i="265"/>
  <c r="AK47" i="315"/>
  <c r="AG49" i="265"/>
  <c r="AG47" i="315"/>
  <c r="AU49" i="265"/>
  <c r="AU47" i="315"/>
  <c r="X47" i="315"/>
  <c r="X49" i="265"/>
  <c r="AN49" i="265"/>
  <c r="AN47" i="315"/>
  <c r="AR49" i="265"/>
  <c r="AR47" i="315"/>
  <c r="AI49" i="265"/>
  <c r="AI47" i="315"/>
  <c r="BC49" i="265"/>
  <c r="BC47" i="315"/>
  <c r="Z47" i="315"/>
  <c r="Z49" i="265"/>
  <c r="V47" i="315"/>
  <c r="V49" i="265"/>
  <c r="AV49" i="265"/>
  <c r="AV47" i="315"/>
  <c r="AX49" i="265"/>
  <c r="AX47" i="315"/>
  <c r="Y49" i="265"/>
  <c r="Y47" i="315"/>
  <c r="AD49" i="265"/>
  <c r="AD47" i="315"/>
  <c r="AO49" i="265"/>
  <c r="AO47" i="315"/>
  <c r="BC40" i="305"/>
  <c r="AT49" i="265"/>
  <c r="AT47" i="315"/>
  <c r="L47" i="315"/>
  <c r="AE49" i="265"/>
  <c r="AE47" i="315"/>
  <c r="S49" i="265"/>
  <c r="S47" i="315"/>
  <c r="AM49" i="265"/>
  <c r="AM47" i="315"/>
  <c r="BD49" i="265"/>
  <c r="BD47" i="315"/>
  <c r="AV18" i="328"/>
  <c r="BB28" i="310"/>
  <c r="AZ36" i="285"/>
  <c r="AV217" i="278"/>
  <c r="BB25" i="310"/>
  <c r="BC39" i="305"/>
  <c r="BC89" i="305"/>
  <c r="BD90" i="305"/>
  <c r="BD41" i="305"/>
  <c r="AV272" i="288"/>
  <c r="BB26" i="310"/>
  <c r="AV122" i="288"/>
  <c r="AZ89" i="314"/>
  <c r="AV114" i="288"/>
  <c r="AZ44" i="314"/>
  <c r="BC105" i="306"/>
  <c r="AZ111" i="314"/>
  <c r="AY214" i="273"/>
  <c r="AY236" i="288"/>
  <c r="BC100" i="306"/>
  <c r="AZ40" i="321"/>
  <c r="AZ41" i="321"/>
  <c r="AZ44" i="321"/>
  <c r="AZ172" i="314"/>
  <c r="AY86" i="288"/>
  <c r="AY72" i="321"/>
  <c r="AY79" i="321"/>
  <c r="AV223" i="278"/>
  <c r="AT31" i="288"/>
  <c r="AT181" i="288"/>
  <c r="AV213" i="278"/>
  <c r="AV214" i="278"/>
  <c r="AV218" i="278"/>
  <c r="AT15" i="310"/>
  <c r="BH102" i="314"/>
  <c r="BH78" i="288"/>
  <c r="BH228" i="288"/>
  <c r="BH5" i="265"/>
  <c r="BH84" i="288"/>
  <c r="BH5" i="328"/>
  <c r="BH234" i="288"/>
  <c r="BH5" i="275"/>
  <c r="BH5" i="314"/>
  <c r="BH5" i="278"/>
  <c r="BH5" i="288"/>
  <c r="BH5" i="282"/>
  <c r="BH5" i="286"/>
  <c r="BH5" i="315"/>
  <c r="BH5" i="289"/>
  <c r="BH5" i="321"/>
  <c r="BH5" i="285"/>
  <c r="BH5" i="304"/>
  <c r="BH5" i="273"/>
  <c r="BF31" i="288"/>
  <c r="BF181" i="288"/>
  <c r="BA86" i="273"/>
  <c r="BG38" i="289"/>
  <c r="BG133" i="288"/>
  <c r="BG136" i="288"/>
  <c r="BG138" i="288"/>
  <c r="BG140" i="288"/>
  <c r="BG145" i="288"/>
  <c r="BG23" i="288"/>
  <c r="BG25" i="288"/>
  <c r="AW92" i="278"/>
  <c r="AW18" i="328"/>
  <c r="BA20" i="275"/>
  <c r="BB17" i="275"/>
  <c r="AX91" i="278"/>
  <c r="AZ16" i="285"/>
  <c r="AV9" i="315"/>
  <c r="AV197" i="278"/>
  <c r="AV188" i="278"/>
  <c r="AV189" i="278"/>
  <c r="AV193" i="278"/>
  <c r="AV192" i="278"/>
  <c r="AZ267" i="321"/>
  <c r="AZ277" i="321"/>
  <c r="AZ259" i="321"/>
  <c r="BA203" i="273"/>
  <c r="AZ253" i="321"/>
  <c r="AZ213" i="273"/>
  <c r="AZ71" i="321"/>
  <c r="AZ131" i="321"/>
  <c r="AZ17" i="314"/>
  <c r="AZ581" i="321"/>
  <c r="AZ675" i="321"/>
  <c r="AZ540" i="321"/>
  <c r="AZ100" i="278"/>
  <c r="AZ16" i="289"/>
  <c r="AZ17" i="289"/>
  <c r="AZ22" i="289"/>
  <c r="AZ204" i="278"/>
  <c r="AZ319" i="278"/>
  <c r="AZ545" i="321"/>
  <c r="AZ136" i="314"/>
  <c r="AZ713" i="321"/>
  <c r="AZ565" i="321"/>
  <c r="AZ617" i="321"/>
  <c r="AZ31" i="289"/>
  <c r="AZ32" i="289"/>
  <c r="AZ37" i="289"/>
  <c r="AZ694" i="321"/>
  <c r="AZ551" i="321"/>
  <c r="AZ148" i="278"/>
  <c r="AZ179" i="278"/>
  <c r="AZ636" i="321"/>
  <c r="AZ47" i="289"/>
  <c r="AZ48" i="289"/>
  <c r="AZ53" i="289"/>
  <c r="AZ283" i="278"/>
  <c r="AZ453" i="321"/>
  <c r="AZ129" i="314"/>
  <c r="AZ57" i="314"/>
  <c r="AZ230" i="278"/>
  <c r="AZ652" i="321"/>
  <c r="AZ497" i="321"/>
  <c r="AZ701" i="321"/>
  <c r="AZ708" i="321"/>
  <c r="AZ603" i="321"/>
  <c r="AZ239" i="278"/>
  <c r="AZ644" i="321"/>
  <c r="AZ659" i="321"/>
  <c r="AZ246" i="278"/>
  <c r="AZ306" i="278"/>
  <c r="AZ63" i="286"/>
  <c r="AZ50" i="314"/>
  <c r="AZ573" i="321"/>
  <c r="AZ104" i="314"/>
  <c r="AZ622" i="321"/>
  <c r="AX97" i="278"/>
  <c r="BA163" i="273"/>
  <c r="AZ130" i="321"/>
  <c r="AZ212" i="273"/>
  <c r="AZ141" i="321"/>
  <c r="AZ147" i="321"/>
  <c r="AZ70" i="321"/>
  <c r="AZ155" i="321"/>
  <c r="AZ165" i="321"/>
  <c r="BA130" i="307"/>
  <c r="BC198" i="273"/>
  <c r="BC199" i="273"/>
  <c r="BC202" i="273"/>
  <c r="BC71" i="273"/>
  <c r="BC72" i="273"/>
  <c r="BC184" i="288"/>
  <c r="BC2" i="321"/>
  <c r="BC209" i="288"/>
  <c r="BC2" i="286"/>
  <c r="BC2" i="275"/>
  <c r="BC119" i="273"/>
  <c r="BC120" i="273"/>
  <c r="BC123" i="273"/>
  <c r="BC2" i="288"/>
  <c r="BC258" i="273"/>
  <c r="BC259" i="273"/>
  <c r="BC154" i="273"/>
  <c r="BC2" i="265"/>
  <c r="BC2" i="278"/>
  <c r="BC2" i="304"/>
  <c r="BC2" i="282"/>
  <c r="BC34" i="288"/>
  <c r="BC2" i="273"/>
  <c r="BC59" i="288"/>
  <c r="BC38" i="311"/>
  <c r="BC148" i="288"/>
  <c r="BC158" i="273"/>
  <c r="BC159" i="273"/>
  <c r="BC162" i="273"/>
  <c r="BC3" i="328"/>
  <c r="BC8" i="328"/>
  <c r="BC2" i="285"/>
  <c r="BC49" i="273"/>
  <c r="BC2" i="314"/>
  <c r="BC2" i="315"/>
  <c r="BC194" i="273"/>
  <c r="BC195" i="273"/>
  <c r="BC2" i="289"/>
  <c r="BE103" i="305"/>
  <c r="BE104" i="305"/>
  <c r="BE107" i="305"/>
  <c r="BE108" i="305"/>
  <c r="BE112" i="305"/>
  <c r="AX29" i="328"/>
  <c r="AX152" i="278"/>
  <c r="BB72" i="273"/>
  <c r="AU15" i="310"/>
  <c r="BB42" i="305"/>
  <c r="BB49" i="305"/>
  <c r="BB50" i="305"/>
  <c r="BB3" i="310"/>
  <c r="BA49" i="305"/>
  <c r="BA50" i="305"/>
  <c r="BC25" i="310"/>
  <c r="BC14" i="307"/>
  <c r="AX90" i="278"/>
  <c r="BB674" i="321"/>
  <c r="BB262" i="273"/>
  <c r="AY263" i="306"/>
  <c r="P264" i="306"/>
  <c r="P324" i="278"/>
  <c r="AZ105" i="282"/>
  <c r="AZ591" i="321"/>
  <c r="AZ37" i="282"/>
  <c r="AU31" i="288"/>
  <c r="AU181" i="288"/>
  <c r="BA55" i="273"/>
  <c r="BA57" i="273"/>
  <c r="BA38" i="314"/>
  <c r="BA117" i="314"/>
  <c r="BA28" i="314"/>
  <c r="BA259" i="278"/>
  <c r="BA122" i="273"/>
  <c r="BA124" i="273"/>
  <c r="BA261" i="273"/>
  <c r="BA263" i="273"/>
  <c r="BA589" i="321"/>
  <c r="BA590" i="321"/>
  <c r="BB30" i="289"/>
  <c r="BB46" i="289"/>
  <c r="BB15" i="289"/>
  <c r="BD33" i="288"/>
  <c r="BD34" i="311"/>
  <c r="BD208" i="288"/>
  <c r="BD183" i="288"/>
  <c r="BD147" i="288"/>
  <c r="BD2" i="307"/>
  <c r="BD2" i="309"/>
  <c r="BD26" i="305"/>
  <c r="BD27" i="305"/>
  <c r="BD31" i="305"/>
  <c r="BE32" i="305"/>
  <c r="BE34" i="305"/>
  <c r="BE35" i="305"/>
  <c r="BE4" i="305"/>
  <c r="BD58" i="288"/>
  <c r="BD2" i="310"/>
  <c r="BD2" i="305"/>
  <c r="BD2" i="306"/>
  <c r="BA278" i="307"/>
  <c r="BA279" i="307"/>
  <c r="BA287" i="307"/>
  <c r="BA15" i="307"/>
  <c r="BA286" i="307"/>
  <c r="BA27" i="310"/>
  <c r="BB247" i="278"/>
  <c r="BB56" i="273"/>
  <c r="BB240" i="278"/>
  <c r="AX153" i="278"/>
  <c r="AX30" i="328"/>
  <c r="BB237" i="273"/>
  <c r="AZ3" i="306"/>
  <c r="AZ3" i="305"/>
  <c r="AZ3" i="309"/>
  <c r="AZ3" i="307"/>
  <c r="AZ3" i="310"/>
  <c r="AU10" i="315"/>
  <c r="AU10" i="265"/>
  <c r="BB201" i="273"/>
  <c r="BB263" i="321"/>
  <c r="AZ63" i="273"/>
  <c r="AZ64" i="273"/>
  <c r="AX51" i="321"/>
  <c r="AX86" i="288"/>
  <c r="AX236" i="288"/>
  <c r="AX67" i="288"/>
  <c r="AX241" i="288"/>
  <c r="AX217" i="288"/>
  <c r="AX259" i="288"/>
  <c r="AX80" i="288"/>
  <c r="AX109" i="288"/>
  <c r="AX91" i="288"/>
  <c r="AX161" i="288"/>
  <c r="AX162" i="288"/>
  <c r="AX171" i="288"/>
  <c r="AX45" i="321"/>
  <c r="AX46" i="321"/>
  <c r="AX48" i="321"/>
  <c r="AX167" i="288"/>
  <c r="AX217" i="273"/>
  <c r="AW218" i="273"/>
  <c r="AX230" i="288"/>
  <c r="BB155" i="273"/>
  <c r="AW154" i="278"/>
  <c r="AZ24" i="310"/>
  <c r="AZ12" i="307"/>
  <c r="AY253" i="306"/>
  <c r="P254" i="306"/>
  <c r="P310" i="278"/>
  <c r="AU9" i="315"/>
  <c r="AU197" i="278"/>
  <c r="AU188" i="278"/>
  <c r="AU189" i="278"/>
  <c r="AU193" i="278"/>
  <c r="AU192" i="278"/>
  <c r="BB186" i="278"/>
  <c r="BB579" i="321"/>
  <c r="BB598" i="321"/>
  <c r="BB599" i="321"/>
  <c r="BB211" i="278"/>
  <c r="BB707" i="321"/>
  <c r="BB650" i="321"/>
  <c r="BB161" i="278"/>
  <c r="BB566" i="321"/>
  <c r="BB268" i="278"/>
  <c r="BB187" i="278"/>
  <c r="BB189" i="278"/>
  <c r="BB193" i="278"/>
  <c r="BB15" i="286"/>
  <c r="BB11" i="282"/>
  <c r="BB552" i="321"/>
  <c r="BB109" i="273"/>
  <c r="BC110" i="273"/>
  <c r="BB292" i="278"/>
  <c r="BB33" i="286"/>
  <c r="BB162" i="278"/>
  <c r="BB164" i="278"/>
  <c r="BB168" i="278"/>
  <c r="BB92" i="286"/>
  <c r="BB212" i="278"/>
  <c r="BB214" i="278"/>
  <c r="BB218" i="278"/>
  <c r="BB16" i="288"/>
  <c r="BB17" i="288"/>
  <c r="BB623" i="321"/>
  <c r="BB110" i="286"/>
  <c r="BB637" i="321"/>
  <c r="BB122" i="273"/>
  <c r="BB117" i="314"/>
  <c r="BB259" i="278"/>
  <c r="BB589" i="321"/>
  <c r="BB590" i="321"/>
  <c r="BB38" i="314"/>
  <c r="BB55" i="273"/>
  <c r="BB28" i="314"/>
  <c r="BB261" i="273"/>
  <c r="P259" i="306"/>
  <c r="P42" i="265" s="1"/>
  <c r="BA203" i="288"/>
  <c r="BA178" i="288"/>
  <c r="BA53" i="288"/>
  <c r="BA28" i="288"/>
  <c r="AY4" i="328"/>
  <c r="AY3" i="285"/>
  <c r="AY3" i="278"/>
  <c r="AY3" i="275"/>
  <c r="AY3" i="304"/>
  <c r="AY47" i="273"/>
  <c r="AY3" i="265"/>
  <c r="AY3" i="282"/>
  <c r="AY3" i="273"/>
  <c r="AY3" i="288"/>
  <c r="AY3" i="321"/>
  <c r="AY3" i="314"/>
  <c r="AY3" i="289"/>
  <c r="AY3" i="286"/>
  <c r="AY3" i="315"/>
  <c r="BA262" i="273"/>
  <c r="BA674" i="321"/>
  <c r="BB4" i="321"/>
  <c r="BB4" i="309"/>
  <c r="BB4" i="275"/>
  <c r="BB4" i="314"/>
  <c r="BB4" i="282"/>
  <c r="BB4" i="307"/>
  <c r="BB4" i="273"/>
  <c r="BB4" i="278"/>
  <c r="BB4" i="306"/>
  <c r="BB4" i="310"/>
  <c r="BB4" i="289"/>
  <c r="BB11" i="328"/>
  <c r="BB4" i="304"/>
  <c r="BB4" i="285"/>
  <c r="BB4" i="315"/>
  <c r="BB4" i="286"/>
  <c r="BB4" i="288"/>
  <c r="AZ29" i="310"/>
  <c r="AZ17" i="307"/>
  <c r="AV278" i="306"/>
  <c r="AV18" i="307"/>
  <c r="AV30" i="310"/>
  <c r="BB54" i="273"/>
  <c r="BB84" i="273"/>
  <c r="BE2" i="328"/>
  <c r="AU163" i="278"/>
  <c r="AU164" i="278"/>
  <c r="AU168" i="278"/>
  <c r="AU167" i="278"/>
  <c r="AU172" i="278"/>
  <c r="AU27" i="328"/>
  <c r="BA602" i="321"/>
  <c r="BA658" i="321"/>
  <c r="BB272" i="278"/>
  <c r="BB15" i="275"/>
  <c r="BB79" i="314"/>
  <c r="BB296" i="278"/>
  <c r="BB118" i="314"/>
  <c r="BB19" i="282"/>
  <c r="BB158" i="314"/>
  <c r="BB39" i="314"/>
  <c r="BB85" i="273"/>
  <c r="BC36" i="289"/>
  <c r="AY268" i="306"/>
  <c r="P269" i="306"/>
  <c r="P325" i="278"/>
  <c r="AV172" i="278"/>
  <c r="AV27" i="328"/>
  <c r="AV167" i="278"/>
  <c r="AV163" i="278"/>
  <c r="AV164" i="278"/>
  <c r="AV168" i="278"/>
  <c r="AV10" i="315"/>
  <c r="AV10" i="265"/>
  <c r="AY147" i="278"/>
  <c r="AY149" i="278"/>
  <c r="AY330" i="321"/>
  <c r="AY39" i="321"/>
  <c r="AY218" i="321"/>
  <c r="AZ11" i="321"/>
  <c r="AZ123" i="314"/>
  <c r="X228" i="278"/>
  <c r="X216" i="278"/>
  <c r="X219" i="278"/>
  <c r="BD40" i="305"/>
  <c r="BC28" i="310"/>
  <c r="BC16" i="307"/>
  <c r="W238" i="278"/>
  <c r="W282" i="278"/>
  <c r="W245" i="278"/>
  <c r="AG9" i="310"/>
  <c r="AG283" i="307"/>
  <c r="BB3" i="309"/>
  <c r="BB278" i="307"/>
  <c r="BB279" i="307"/>
  <c r="BB287" i="307"/>
  <c r="BB27" i="310"/>
  <c r="BB286" i="307"/>
  <c r="BB15" i="307"/>
  <c r="BC26" i="310"/>
  <c r="BB3" i="307"/>
  <c r="AW98" i="278"/>
  <c r="AW101" i="278"/>
  <c r="AW104" i="278"/>
  <c r="AW105" i="278"/>
  <c r="AW9" i="315"/>
  <c r="BB86" i="273"/>
  <c r="AY91" i="288"/>
  <c r="BD100" i="306"/>
  <c r="AY167" i="288"/>
  <c r="AY51" i="321"/>
  <c r="AY217" i="273"/>
  <c r="AX218" i="273"/>
  <c r="AX122" i="288"/>
  <c r="AY45" i="321"/>
  <c r="AY46" i="321"/>
  <c r="AY48" i="321"/>
  <c r="BB3" i="306"/>
  <c r="BC42" i="305"/>
  <c r="BC49" i="305"/>
  <c r="BC50" i="305"/>
  <c r="BC3" i="310"/>
  <c r="BB3" i="305"/>
  <c r="BC286" i="307"/>
  <c r="AZ72" i="321"/>
  <c r="AZ79" i="321"/>
  <c r="BC278" i="307"/>
  <c r="BC279" i="307"/>
  <c r="BC287" i="307"/>
  <c r="BD89" i="305"/>
  <c r="BE90" i="305"/>
  <c r="H90" i="305"/>
  <c r="H41" i="305"/>
  <c r="AU11" i="265"/>
  <c r="AU32" i="328"/>
  <c r="AY217" i="288"/>
  <c r="AY241" i="288"/>
  <c r="AY80" i="288"/>
  <c r="AY109" i="288"/>
  <c r="AY161" i="288"/>
  <c r="AY162" i="288"/>
  <c r="AY171" i="288"/>
  <c r="AY259" i="288"/>
  <c r="AY67" i="288"/>
  <c r="AY230" i="288"/>
  <c r="BB20" i="275"/>
  <c r="BC17" i="275"/>
  <c r="BD105" i="306"/>
  <c r="BC130" i="307"/>
  <c r="BC12" i="307"/>
  <c r="AX167" i="278"/>
  <c r="BH38" i="289"/>
  <c r="BH133" i="288"/>
  <c r="BH136" i="288"/>
  <c r="BH138" i="288"/>
  <c r="BH140" i="288"/>
  <c r="BH145" i="288"/>
  <c r="BH23" i="288"/>
  <c r="BH25" i="288"/>
  <c r="BI102" i="314"/>
  <c r="BI84" i="288"/>
  <c r="BI228" i="288"/>
  <c r="BI78" i="288"/>
  <c r="BI234" i="288"/>
  <c r="BI5" i="265"/>
  <c r="BI5" i="328"/>
  <c r="BI5" i="286"/>
  <c r="BI5" i="273"/>
  <c r="BI5" i="278"/>
  <c r="BI5" i="315"/>
  <c r="BI5" i="288"/>
  <c r="BI5" i="321"/>
  <c r="BI5" i="304"/>
  <c r="BI5" i="275"/>
  <c r="BI5" i="285"/>
  <c r="BI5" i="289"/>
  <c r="BI5" i="314"/>
  <c r="BI5" i="282"/>
  <c r="BG31" i="288"/>
  <c r="BG181" i="288"/>
  <c r="AX92" i="278"/>
  <c r="AX154" i="278"/>
  <c r="AX155" i="278"/>
  <c r="AX18" i="307"/>
  <c r="BC13" i="307"/>
  <c r="AY90" i="278"/>
  <c r="BA16" i="285"/>
  <c r="BB124" i="273"/>
  <c r="AY30" i="328"/>
  <c r="AY153" i="278"/>
  <c r="BC30" i="289"/>
  <c r="BC122" i="273"/>
  <c r="BC38" i="314"/>
  <c r="BC28" i="314"/>
  <c r="BC589" i="321"/>
  <c r="BC590" i="321"/>
  <c r="BC261" i="273"/>
  <c r="BC55" i="273"/>
  <c r="BC117" i="314"/>
  <c r="BC259" i="278"/>
  <c r="BC240" i="278"/>
  <c r="BC247" i="278"/>
  <c r="BC56" i="273"/>
  <c r="BC674" i="321"/>
  <c r="BC262" i="273"/>
  <c r="BD258" i="273"/>
  <c r="BD259" i="273"/>
  <c r="BD154" i="273"/>
  <c r="BD3" i="328"/>
  <c r="BD8" i="328"/>
  <c r="BD2" i="286"/>
  <c r="BD2" i="304"/>
  <c r="BD148" i="288"/>
  <c r="BD2" i="285"/>
  <c r="BD119" i="273"/>
  <c r="BD120" i="273"/>
  <c r="BD123" i="273"/>
  <c r="BD2" i="321"/>
  <c r="BD184" i="288"/>
  <c r="BD71" i="273"/>
  <c r="BD72" i="273"/>
  <c r="BD194" i="273"/>
  <c r="BD195" i="273"/>
  <c r="BD59" i="288"/>
  <c r="BD49" i="273"/>
  <c r="BD2" i="315"/>
  <c r="BD38" i="311"/>
  <c r="BD2" i="282"/>
  <c r="BD198" i="273"/>
  <c r="BD199" i="273"/>
  <c r="BD202" i="273"/>
  <c r="BD2" i="289"/>
  <c r="BD2" i="314"/>
  <c r="BD158" i="273"/>
  <c r="BD159" i="273"/>
  <c r="BD162" i="273"/>
  <c r="BD34" i="288"/>
  <c r="BD2" i="275"/>
  <c r="BD2" i="273"/>
  <c r="BD2" i="278"/>
  <c r="BD209" i="288"/>
  <c r="BD2" i="265"/>
  <c r="BD2" i="288"/>
  <c r="AZ22" i="315"/>
  <c r="AZ59" i="315"/>
  <c r="AZ61" i="265"/>
  <c r="AZ24" i="265"/>
  <c r="BA212" i="273"/>
  <c r="BA141" i="321"/>
  <c r="BA147" i="321"/>
  <c r="BA155" i="321"/>
  <c r="BA130" i="321"/>
  <c r="BA165" i="321"/>
  <c r="BA70" i="321"/>
  <c r="BA17" i="314"/>
  <c r="BA581" i="321"/>
  <c r="BA675" i="321"/>
  <c r="BA551" i="321"/>
  <c r="BA179" i="278"/>
  <c r="BA283" i="278"/>
  <c r="BA659" i="321"/>
  <c r="BA636" i="321"/>
  <c r="BA31" i="289"/>
  <c r="BA32" i="289"/>
  <c r="BA37" i="289"/>
  <c r="BA39" i="289"/>
  <c r="BB39" i="289"/>
  <c r="BA136" i="314"/>
  <c r="BA713" i="321"/>
  <c r="BA204" i="278"/>
  <c r="BA497" i="321"/>
  <c r="BA694" i="321"/>
  <c r="BA230" i="278"/>
  <c r="BA239" i="278"/>
  <c r="BA644" i="321"/>
  <c r="BA617" i="321"/>
  <c r="BA319" i="278"/>
  <c r="BA63" i="286"/>
  <c r="BA57" i="314"/>
  <c r="BA573" i="321"/>
  <c r="BA603" i="321"/>
  <c r="BA100" i="278"/>
  <c r="BA129" i="314"/>
  <c r="BA708" i="321"/>
  <c r="BA148" i="278"/>
  <c r="BA565" i="321"/>
  <c r="BA701" i="321"/>
  <c r="BA104" i="314"/>
  <c r="BA652" i="321"/>
  <c r="BA246" i="278"/>
  <c r="BA453" i="321"/>
  <c r="BA306" i="278"/>
  <c r="BA50" i="314"/>
  <c r="BA540" i="321"/>
  <c r="BA622" i="321"/>
  <c r="BA545" i="321"/>
  <c r="BE40" i="305"/>
  <c r="BC201" i="273"/>
  <c r="BC263" i="321"/>
  <c r="P40" i="315"/>
  <c r="P311" i="278"/>
  <c r="AW155" i="278"/>
  <c r="AW223" i="278"/>
  <c r="AW217" i="278"/>
  <c r="AW213" i="278"/>
  <c r="AW214" i="278"/>
  <c r="AW218" i="278"/>
  <c r="BB53" i="273"/>
  <c r="BB57" i="273"/>
  <c r="BB75" i="273"/>
  <c r="BC76" i="273"/>
  <c r="BE58" i="288"/>
  <c r="BE33" i="288"/>
  <c r="BE183" i="288"/>
  <c r="BE2" i="309"/>
  <c r="BE26" i="305"/>
  <c r="BE27" i="305"/>
  <c r="BE147" i="288"/>
  <c r="BE34" i="311"/>
  <c r="BE2" i="310"/>
  <c r="BE208" i="288"/>
  <c r="BE2" i="306"/>
  <c r="BE2" i="305"/>
  <c r="BE2" i="307"/>
  <c r="BB130" i="307"/>
  <c r="BA24" i="310"/>
  <c r="BA12" i="307"/>
  <c r="AV11" i="315"/>
  <c r="BF2" i="328"/>
  <c r="BF10" i="289"/>
  <c r="AW122" i="288"/>
  <c r="AW264" i="288"/>
  <c r="AW272" i="288"/>
  <c r="AW114" i="288"/>
  <c r="AY91" i="278"/>
  <c r="AZ253" i="306"/>
  <c r="BD39" i="305"/>
  <c r="BD25" i="310"/>
  <c r="AY152" i="278"/>
  <c r="AY29" i="328"/>
  <c r="AV11" i="265"/>
  <c r="AV32" i="328"/>
  <c r="AW192" i="278"/>
  <c r="BB53" i="288"/>
  <c r="BB178" i="288"/>
  <c r="BB203" i="288"/>
  <c r="BB28" i="288"/>
  <c r="BB658" i="321"/>
  <c r="BB602" i="321"/>
  <c r="AU11" i="315"/>
  <c r="BB161" i="273"/>
  <c r="BB163" i="273"/>
  <c r="BB151" i="321"/>
  <c r="AZ3" i="315"/>
  <c r="AZ3" i="304"/>
  <c r="AZ3" i="273"/>
  <c r="AZ3" i="278"/>
  <c r="AZ3" i="285"/>
  <c r="AZ3" i="314"/>
  <c r="AZ3" i="289"/>
  <c r="AZ3" i="321"/>
  <c r="AZ3" i="265"/>
  <c r="AZ3" i="275"/>
  <c r="AZ4" i="328"/>
  <c r="AZ47" i="273"/>
  <c r="AZ3" i="286"/>
  <c r="AZ3" i="288"/>
  <c r="AZ3" i="282"/>
  <c r="BA105" i="282"/>
  <c r="BA591" i="321"/>
  <c r="BA37" i="282"/>
  <c r="BA3" i="306"/>
  <c r="BA3" i="310"/>
  <c r="BA3" i="305"/>
  <c r="BA3" i="309"/>
  <c r="BA3" i="307"/>
  <c r="AY97" i="278"/>
  <c r="BC237" i="273"/>
  <c r="AZ214" i="273"/>
  <c r="BB203" i="273"/>
  <c r="BA253" i="321"/>
  <c r="BA71" i="321"/>
  <c r="BA213" i="273"/>
  <c r="BA277" i="321"/>
  <c r="BA131" i="321"/>
  <c r="BA259" i="321"/>
  <c r="BA267" i="321"/>
  <c r="AW30" i="310"/>
  <c r="AW18" i="307"/>
  <c r="AW278" i="306"/>
  <c r="AZ268" i="306"/>
  <c r="BC75" i="273"/>
  <c r="BD76" i="273"/>
  <c r="BC53" i="273"/>
  <c r="BC552" i="321"/>
  <c r="BC109" i="273"/>
  <c r="BD110" i="273"/>
  <c r="BC637" i="321"/>
  <c r="BC15" i="286"/>
  <c r="BC292" i="278"/>
  <c r="BC162" i="278"/>
  <c r="BC268" i="278"/>
  <c r="BC623" i="321"/>
  <c r="BC33" i="286"/>
  <c r="BC212" i="278"/>
  <c r="BC16" i="288"/>
  <c r="BC17" i="288"/>
  <c r="BC11" i="282"/>
  <c r="BC187" i="278"/>
  <c r="BC92" i="286"/>
  <c r="BC566" i="321"/>
  <c r="BC110" i="286"/>
  <c r="BC161" i="278"/>
  <c r="BC707" i="321"/>
  <c r="BC579" i="321"/>
  <c r="BC650" i="321"/>
  <c r="BC211" i="278"/>
  <c r="BC186" i="278"/>
  <c r="BC598" i="321"/>
  <c r="BC599" i="321"/>
  <c r="AZ147" i="278"/>
  <c r="AZ149" i="278"/>
  <c r="AV92" i="306"/>
  <c r="AV93" i="306"/>
  <c r="AV24" i="288"/>
  <c r="AV25" i="288"/>
  <c r="BB263" i="273"/>
  <c r="BB105" i="282"/>
  <c r="BB37" i="282"/>
  <c r="BB591" i="321"/>
  <c r="BA63" i="273"/>
  <c r="BA64" i="273"/>
  <c r="BC4" i="314"/>
  <c r="BC4" i="286"/>
  <c r="BC4" i="309"/>
  <c r="BC4" i="310"/>
  <c r="BC4" i="307"/>
  <c r="BC4" i="288"/>
  <c r="BC4" i="278"/>
  <c r="BC4" i="273"/>
  <c r="BC4" i="306"/>
  <c r="BC4" i="275"/>
  <c r="BC11" i="328"/>
  <c r="BC4" i="289"/>
  <c r="BC4" i="282"/>
  <c r="BC4" i="321"/>
  <c r="BC4" i="304"/>
  <c r="BC4" i="315"/>
  <c r="BC4" i="285"/>
  <c r="AW17" i="328"/>
  <c r="BD36" i="289"/>
  <c r="BD11" i="289"/>
  <c r="BD12" i="289"/>
  <c r="AZ263" i="306"/>
  <c r="BC155" i="273"/>
  <c r="BE113" i="305"/>
  <c r="BE115" i="305"/>
  <c r="H104" i="305"/>
  <c r="H113" i="305"/>
  <c r="BA29" i="310"/>
  <c r="BA17" i="307"/>
  <c r="AZ39" i="321"/>
  <c r="AZ330" i="321"/>
  <c r="AZ218" i="321"/>
  <c r="BC3" i="306"/>
  <c r="BD28" i="310"/>
  <c r="X224" i="278"/>
  <c r="X225" i="278"/>
  <c r="X220" i="278"/>
  <c r="BA24" i="314"/>
  <c r="BA36" i="285"/>
  <c r="BA172" i="314"/>
  <c r="BA111" i="314"/>
  <c r="BA11" i="321"/>
  <c r="BA123" i="314"/>
  <c r="BA44" i="314"/>
  <c r="BA40" i="321"/>
  <c r="BA41" i="321"/>
  <c r="BA44" i="321"/>
  <c r="BA89" i="314"/>
  <c r="AW188" i="278"/>
  <c r="AW189" i="278"/>
  <c r="AW193" i="278"/>
  <c r="BC24" i="310"/>
  <c r="AW197" i="278"/>
  <c r="AX272" i="288"/>
  <c r="BC29" i="310"/>
  <c r="AX27" i="328"/>
  <c r="BD16" i="307"/>
  <c r="BE41" i="305"/>
  <c r="BC3" i="307"/>
  <c r="BD42" i="305"/>
  <c r="BD49" i="305"/>
  <c r="BD50" i="305"/>
  <c r="BD3" i="306"/>
  <c r="BC3" i="309"/>
  <c r="BC3" i="305"/>
  <c r="BD29" i="310"/>
  <c r="AX264" i="288"/>
  <c r="AX114" i="288"/>
  <c r="BC27" i="310"/>
  <c r="BC17" i="307"/>
  <c r="H68" i="305"/>
  <c r="BC15" i="307"/>
  <c r="BD130" i="307"/>
  <c r="BD24" i="310"/>
  <c r="AX223" i="278"/>
  <c r="AY154" i="278"/>
  <c r="AY213" i="278"/>
  <c r="AY214" i="278"/>
  <c r="AY218" i="278"/>
  <c r="AX172" i="278"/>
  <c r="AX163" i="278"/>
  <c r="AX164" i="278"/>
  <c r="AX168" i="278"/>
  <c r="BD13" i="307"/>
  <c r="AX17" i="328"/>
  <c r="BH181" i="288"/>
  <c r="BH31" i="288"/>
  <c r="AX217" i="278"/>
  <c r="AX213" i="278"/>
  <c r="AX214" i="278"/>
  <c r="AX218" i="278"/>
  <c r="BI133" i="288"/>
  <c r="BI136" i="288"/>
  <c r="BI138" i="288"/>
  <c r="BI140" i="288"/>
  <c r="BI145" i="288"/>
  <c r="BI23" i="288"/>
  <c r="BI25" i="288"/>
  <c r="BI38" i="289"/>
  <c r="BJ102" i="314"/>
  <c r="BJ5" i="328"/>
  <c r="BJ228" i="288"/>
  <c r="BJ78" i="288"/>
  <c r="BJ234" i="288"/>
  <c r="BJ84" i="288"/>
  <c r="BJ5" i="265"/>
  <c r="BJ5" i="314"/>
  <c r="BJ5" i="282"/>
  <c r="BJ5" i="289"/>
  <c r="BJ5" i="321"/>
  <c r="BJ5" i="275"/>
  <c r="BJ5" i="304"/>
  <c r="BJ5" i="278"/>
  <c r="BJ5" i="273"/>
  <c r="BJ5" i="315"/>
  <c r="BJ5" i="285"/>
  <c r="BJ5" i="286"/>
  <c r="BJ5" i="288"/>
  <c r="AX278" i="306"/>
  <c r="AX30" i="310"/>
  <c r="AX18" i="328"/>
  <c r="AX98" i="278"/>
  <c r="AX101" i="278"/>
  <c r="AX104" i="278"/>
  <c r="AX105" i="278"/>
  <c r="BD26" i="310"/>
  <c r="BD201" i="273"/>
  <c r="BD263" i="321"/>
  <c r="BD240" i="278"/>
  <c r="BD247" i="278"/>
  <c r="BD56" i="273"/>
  <c r="H27" i="305"/>
  <c r="H31" i="305"/>
  <c r="BE31" i="305"/>
  <c r="BA147" i="278"/>
  <c r="BA149" i="278"/>
  <c r="BD237" i="273"/>
  <c r="BC124" i="273"/>
  <c r="BB16" i="285"/>
  <c r="BA263" i="306"/>
  <c r="BE36" i="289"/>
  <c r="BD4" i="273"/>
  <c r="BD4" i="286"/>
  <c r="BD4" i="307"/>
  <c r="BD4" i="278"/>
  <c r="BD4" i="288"/>
  <c r="BD4" i="304"/>
  <c r="BD4" i="275"/>
  <c r="BD4" i="315"/>
  <c r="BD4" i="306"/>
  <c r="BD4" i="285"/>
  <c r="BD11" i="328"/>
  <c r="BD4" i="310"/>
  <c r="BD4" i="314"/>
  <c r="BD4" i="282"/>
  <c r="BD4" i="309"/>
  <c r="BD4" i="321"/>
  <c r="BD4" i="289"/>
  <c r="BG2" i="328"/>
  <c r="BD674" i="321"/>
  <c r="BD262" i="273"/>
  <c r="AZ90" i="278"/>
  <c r="BD15" i="289"/>
  <c r="BD46" i="289"/>
  <c r="BD30" i="289"/>
  <c r="AW172" i="278"/>
  <c r="AW27" i="328"/>
  <c r="AW167" i="278"/>
  <c r="AW163" i="278"/>
  <c r="AW164" i="278"/>
  <c r="AW168" i="278"/>
  <c r="BB63" i="273"/>
  <c r="BB64" i="273"/>
  <c r="BE258" i="273"/>
  <c r="BE194" i="273"/>
  <c r="BE3" i="328"/>
  <c r="BE8" i="328"/>
  <c r="BE209" i="288"/>
  <c r="BE49" i="273"/>
  <c r="BE2" i="304"/>
  <c r="BE2" i="288"/>
  <c r="BE119" i="273"/>
  <c r="BE120" i="273"/>
  <c r="BE123" i="273"/>
  <c r="BE2" i="314"/>
  <c r="BE2" i="285"/>
  <c r="BE158" i="273"/>
  <c r="BE159" i="273"/>
  <c r="BE162" i="273"/>
  <c r="BE71" i="273"/>
  <c r="BE59" i="288"/>
  <c r="BE2" i="282"/>
  <c r="BE2" i="278"/>
  <c r="BE148" i="288"/>
  <c r="BE2" i="273"/>
  <c r="BE154" i="273"/>
  <c r="BE155" i="273"/>
  <c r="BE38" i="311"/>
  <c r="BE2" i="286"/>
  <c r="BE198" i="273"/>
  <c r="BE199" i="273"/>
  <c r="BE202" i="273"/>
  <c r="BE2" i="315"/>
  <c r="BE34" i="288"/>
  <c r="BE184" i="288"/>
  <c r="BE2" i="289"/>
  <c r="BE2" i="275"/>
  <c r="BE2" i="265"/>
  <c r="BE2" i="321"/>
  <c r="AW92" i="306"/>
  <c r="AW93" i="306"/>
  <c r="AW24" i="288"/>
  <c r="AW25" i="288"/>
  <c r="BD53" i="273"/>
  <c r="BD75" i="273"/>
  <c r="BE76" i="273"/>
  <c r="BA22" i="315"/>
  <c r="BA59" i="315"/>
  <c r="BA61" i="265"/>
  <c r="BA24" i="265"/>
  <c r="H64" i="305"/>
  <c r="BE67" i="305"/>
  <c r="BE39" i="305"/>
  <c r="H46" i="306"/>
  <c r="AW10" i="315"/>
  <c r="AW11" i="315"/>
  <c r="AW10" i="265"/>
  <c r="BA330" i="321"/>
  <c r="BA218" i="321"/>
  <c r="BA39" i="321"/>
  <c r="AV15" i="310"/>
  <c r="BC161" i="273"/>
  <c r="BC163" i="273"/>
  <c r="BC151" i="321"/>
  <c r="AZ67" i="288"/>
  <c r="AZ217" i="273"/>
  <c r="AY218" i="273"/>
  <c r="AZ91" i="288"/>
  <c r="AZ236" i="288"/>
  <c r="AZ217" i="288"/>
  <c r="AZ241" i="288"/>
  <c r="AZ45" i="321"/>
  <c r="AZ46" i="321"/>
  <c r="AZ48" i="321"/>
  <c r="AZ230" i="288"/>
  <c r="AZ86" i="288"/>
  <c r="AZ109" i="288"/>
  <c r="AZ51" i="321"/>
  <c r="AZ259" i="288"/>
  <c r="AZ161" i="288"/>
  <c r="AZ80" i="288"/>
  <c r="AZ167" i="288"/>
  <c r="BB212" i="273"/>
  <c r="BB141" i="321"/>
  <c r="BB147" i="321"/>
  <c r="BB155" i="321"/>
  <c r="BB70" i="321"/>
  <c r="BB165" i="321"/>
  <c r="BB130" i="321"/>
  <c r="BD14" i="307"/>
  <c r="AZ97" i="278"/>
  <c r="BA268" i="306"/>
  <c r="BA3" i="315"/>
  <c r="BA3" i="278"/>
  <c r="BA3" i="285"/>
  <c r="BA3" i="275"/>
  <c r="BA3" i="265"/>
  <c r="BA3" i="314"/>
  <c r="BA47" i="273"/>
  <c r="BA3" i="282"/>
  <c r="BA3" i="304"/>
  <c r="BA4" i="328"/>
  <c r="BA3" i="286"/>
  <c r="BA3" i="321"/>
  <c r="BA3" i="289"/>
  <c r="BA3" i="288"/>
  <c r="BA3" i="273"/>
  <c r="AV31" i="288"/>
  <c r="AV181" i="288"/>
  <c r="AZ152" i="278"/>
  <c r="AZ29" i="328"/>
  <c r="BC602" i="321"/>
  <c r="BC658" i="321"/>
  <c r="BC178" i="288"/>
  <c r="BC203" i="288"/>
  <c r="BC28" i="288"/>
  <c r="BC53" i="288"/>
  <c r="AX10" i="265"/>
  <c r="AX10" i="315"/>
  <c r="BB131" i="321"/>
  <c r="BB267" i="321"/>
  <c r="BB259" i="321"/>
  <c r="BC203" i="273"/>
  <c r="BB277" i="321"/>
  <c r="BB71" i="321"/>
  <c r="BB213" i="273"/>
  <c r="BB253" i="321"/>
  <c r="BD272" i="278"/>
  <c r="BD39" i="314"/>
  <c r="BD158" i="314"/>
  <c r="BD118" i="314"/>
  <c r="BD85" i="273"/>
  <c r="BD19" i="282"/>
  <c r="BD296" i="278"/>
  <c r="BD15" i="275"/>
  <c r="BD79" i="314"/>
  <c r="BC84" i="273"/>
  <c r="BC86" i="273"/>
  <c r="BC54" i="273"/>
  <c r="BC57" i="273"/>
  <c r="BB694" i="321"/>
  <c r="BB551" i="321"/>
  <c r="BB204" i="278"/>
  <c r="BB636" i="321"/>
  <c r="BB565" i="321"/>
  <c r="BB31" i="289"/>
  <c r="BB32" i="289"/>
  <c r="BB37" i="289"/>
  <c r="BB306" i="278"/>
  <c r="BB16" i="289"/>
  <c r="BB17" i="289"/>
  <c r="BB22" i="289"/>
  <c r="BB100" i="278"/>
  <c r="BB63" i="286"/>
  <c r="BB708" i="321"/>
  <c r="BB148" i="278"/>
  <c r="BB675" i="321"/>
  <c r="BB701" i="321"/>
  <c r="BB104" i="314"/>
  <c r="BB246" i="278"/>
  <c r="BB283" i="278"/>
  <c r="BB319" i="278"/>
  <c r="BB47" i="289"/>
  <c r="BB48" i="289"/>
  <c r="BB53" i="289"/>
  <c r="BB545" i="321"/>
  <c r="BB50" i="314"/>
  <c r="BB581" i="321"/>
  <c r="BB179" i="278"/>
  <c r="BB652" i="321"/>
  <c r="BB129" i="314"/>
  <c r="BB17" i="314"/>
  <c r="BB573" i="321"/>
  <c r="BB713" i="321"/>
  <c r="BB603" i="321"/>
  <c r="BB230" i="278"/>
  <c r="BB540" i="321"/>
  <c r="BB659" i="321"/>
  <c r="BB622" i="321"/>
  <c r="BB644" i="321"/>
  <c r="BB497" i="321"/>
  <c r="BB57" i="314"/>
  <c r="BB136" i="314"/>
  <c r="BB239" i="278"/>
  <c r="BB617" i="321"/>
  <c r="BB453" i="321"/>
  <c r="BA214" i="273"/>
  <c r="BD552" i="321"/>
  <c r="BD268" i="278"/>
  <c r="BD623" i="321"/>
  <c r="BD110" i="286"/>
  <c r="BD292" i="278"/>
  <c r="BD11" i="282"/>
  <c r="BD109" i="273"/>
  <c r="BE110" i="273"/>
  <c r="BD187" i="278"/>
  <c r="BD15" i="286"/>
  <c r="BD162" i="278"/>
  <c r="BD566" i="321"/>
  <c r="BD16" i="288"/>
  <c r="BD17" i="288"/>
  <c r="BD637" i="321"/>
  <c r="BD92" i="286"/>
  <c r="BD212" i="278"/>
  <c r="BD33" i="286"/>
  <c r="BC263" i="273"/>
  <c r="AY92" i="278"/>
  <c r="BA253" i="306"/>
  <c r="BB24" i="265"/>
  <c r="BB22" i="315"/>
  <c r="BB61" i="265"/>
  <c r="BB59" i="315"/>
  <c r="AZ30" i="328"/>
  <c r="AZ153" i="278"/>
  <c r="BD54" i="273"/>
  <c r="BD84" i="273"/>
  <c r="AZ91" i="278"/>
  <c r="BC296" i="278"/>
  <c r="BC39" i="314"/>
  <c r="BC19" i="282"/>
  <c r="BC158" i="314"/>
  <c r="BC15" i="275"/>
  <c r="BC20" i="275"/>
  <c r="BD17" i="275"/>
  <c r="BC272" i="278"/>
  <c r="BC79" i="314"/>
  <c r="BC85" i="273"/>
  <c r="BC118" i="314"/>
  <c r="BB29" i="310"/>
  <c r="BB17" i="307"/>
  <c r="BB12" i="307"/>
  <c r="BB24" i="310"/>
  <c r="BE100" i="306"/>
  <c r="H77" i="305"/>
  <c r="BE81" i="305"/>
  <c r="BE216" i="307"/>
  <c r="BE105" i="306"/>
  <c r="BE89" i="305"/>
  <c r="BA72" i="321"/>
  <c r="BA79" i="321"/>
  <c r="BD155" i="273"/>
  <c r="BD161" i="278"/>
  <c r="BD650" i="321"/>
  <c r="BD579" i="321"/>
  <c r="BD186" i="278"/>
  <c r="BD211" i="278"/>
  <c r="BD707" i="321"/>
  <c r="BD598" i="321"/>
  <c r="BD599" i="321"/>
  <c r="BC105" i="282"/>
  <c r="BC37" i="282"/>
  <c r="BC591" i="321"/>
  <c r="BB24" i="314"/>
  <c r="BB36" i="285"/>
  <c r="BB172" i="314"/>
  <c r="BB111" i="314"/>
  <c r="BB123" i="314"/>
  <c r="BB11" i="321"/>
  <c r="BB44" i="314"/>
  <c r="BB40" i="321"/>
  <c r="BB41" i="321"/>
  <c r="BB44" i="321"/>
  <c r="BB89" i="314"/>
  <c r="X44" i="265"/>
  <c r="X42" i="315"/>
  <c r="AH9" i="310"/>
  <c r="AH283" i="307"/>
  <c r="Y222" i="278"/>
  <c r="X229" i="278"/>
  <c r="X231" i="278"/>
  <c r="X116" i="265"/>
  <c r="X254" i="278"/>
  <c r="X112" i="315"/>
  <c r="H80" i="305"/>
  <c r="H40" i="305"/>
  <c r="H82" i="305"/>
  <c r="BD17" i="307"/>
  <c r="AX11" i="265"/>
  <c r="AX32" i="328"/>
  <c r="BC253" i="306"/>
  <c r="BE130" i="307"/>
  <c r="BD3" i="305"/>
  <c r="BD263" i="306"/>
  <c r="BD3" i="310"/>
  <c r="BE42" i="305"/>
  <c r="BE49" i="305"/>
  <c r="BE50" i="305"/>
  <c r="BE3" i="310"/>
  <c r="AY217" i="278"/>
  <c r="BD3" i="307"/>
  <c r="BD3" i="309"/>
  <c r="BD27" i="310"/>
  <c r="BD286" i="307"/>
  <c r="BD15" i="307"/>
  <c r="BD278" i="307"/>
  <c r="BD279" i="307"/>
  <c r="BD287" i="307"/>
  <c r="BD12" i="307"/>
  <c r="BB97" i="278"/>
  <c r="AY223" i="278"/>
  <c r="AY155" i="278"/>
  <c r="AY10" i="265"/>
  <c r="H513" i="307"/>
  <c r="H517" i="307"/>
  <c r="BK102" i="314"/>
  <c r="BK228" i="288"/>
  <c r="BK78" i="288"/>
  <c r="BK234" i="288"/>
  <c r="BK5" i="328"/>
  <c r="BK5" i="321"/>
  <c r="BK5" i="289"/>
  <c r="BK5" i="315"/>
  <c r="BK5" i="275"/>
  <c r="BK5" i="285"/>
  <c r="BK5" i="273"/>
  <c r="BK5" i="288"/>
  <c r="BK5" i="265"/>
  <c r="BK5" i="278"/>
  <c r="BK5" i="304"/>
  <c r="BK84" i="288"/>
  <c r="BK5" i="286"/>
  <c r="BK5" i="282"/>
  <c r="BK5" i="314"/>
  <c r="BI181" i="288"/>
  <c r="BI31" i="288"/>
  <c r="BJ38" i="289"/>
  <c r="BJ23" i="288"/>
  <c r="BJ25" i="288"/>
  <c r="BJ133" i="288"/>
  <c r="BJ136" i="288"/>
  <c r="BJ138" i="288"/>
  <c r="BJ140" i="288"/>
  <c r="BJ145" i="288"/>
  <c r="AX92" i="306"/>
  <c r="AX93" i="306"/>
  <c r="AX24" i="288"/>
  <c r="AX25" i="288"/>
  <c r="BD24" i="314"/>
  <c r="BC263" i="306"/>
  <c r="BD86" i="273"/>
  <c r="AX197" i="278"/>
  <c r="AX9" i="315"/>
  <c r="AX11" i="315"/>
  <c r="AX188" i="278"/>
  <c r="AX189" i="278"/>
  <c r="AX193" i="278"/>
  <c r="AX192" i="278"/>
  <c r="BE161" i="273"/>
  <c r="BE151" i="321"/>
  <c r="BC63" i="273"/>
  <c r="BC64" i="273"/>
  <c r="H26" i="310"/>
  <c r="H64" i="269"/>
  <c r="K64" i="269"/>
  <c r="H84" i="306"/>
  <c r="H14" i="307"/>
  <c r="BA90" i="278"/>
  <c r="H58" i="306"/>
  <c r="BE28" i="310"/>
  <c r="BE16" i="307"/>
  <c r="BF258" i="273"/>
  <c r="BF259" i="273"/>
  <c r="BF198" i="273"/>
  <c r="BF199" i="273"/>
  <c r="BF202" i="273"/>
  <c r="BF2" i="265"/>
  <c r="BF2" i="286"/>
  <c r="BF2" i="288"/>
  <c r="BF34" i="288"/>
  <c r="BF2" i="278"/>
  <c r="BF49" i="273"/>
  <c r="BF2" i="273"/>
  <c r="BF2" i="304"/>
  <c r="BF119" i="273"/>
  <c r="BF120" i="273"/>
  <c r="BF123" i="273"/>
  <c r="BF154" i="273"/>
  <c r="BF155" i="273"/>
  <c r="BF3" i="328"/>
  <c r="BF8" i="328"/>
  <c r="BF209" i="288"/>
  <c r="BF2" i="314"/>
  <c r="BF2" i="321"/>
  <c r="BF2" i="275"/>
  <c r="BF158" i="273"/>
  <c r="BF159" i="273"/>
  <c r="BF162" i="273"/>
  <c r="BF184" i="288"/>
  <c r="BF2" i="285"/>
  <c r="BF71" i="273"/>
  <c r="BF194" i="273"/>
  <c r="BF195" i="273"/>
  <c r="BF59" i="288"/>
  <c r="BF2" i="282"/>
  <c r="BF2" i="315"/>
  <c r="BF38" i="311"/>
  <c r="BF148" i="288"/>
  <c r="BF2" i="289"/>
  <c r="AY98" i="278"/>
  <c r="AY101" i="278"/>
  <c r="AY104" i="278"/>
  <c r="AY105" i="278"/>
  <c r="AY18" i="328"/>
  <c r="BB39" i="321"/>
  <c r="BB330" i="321"/>
  <c r="BB218" i="321"/>
  <c r="BB253" i="306"/>
  <c r="BC213" i="273"/>
  <c r="BC267" i="321"/>
  <c r="BC253" i="321"/>
  <c r="BC71" i="321"/>
  <c r="BC259" i="321"/>
  <c r="BC131" i="321"/>
  <c r="BC277" i="321"/>
  <c r="BD203" i="273"/>
  <c r="BA91" i="278"/>
  <c r="H164" i="307"/>
  <c r="BE72" i="273"/>
  <c r="BF72" i="273"/>
  <c r="BE195" i="273"/>
  <c r="BB3" i="285"/>
  <c r="BB3" i="275"/>
  <c r="BB3" i="288"/>
  <c r="BB3" i="278"/>
  <c r="BB3" i="315"/>
  <c r="BB3" i="282"/>
  <c r="BB47" i="273"/>
  <c r="BB3" i="289"/>
  <c r="BB4" i="328"/>
  <c r="BB3" i="321"/>
  <c r="BB3" i="304"/>
  <c r="BB3" i="265"/>
  <c r="BB3" i="273"/>
  <c r="BB3" i="314"/>
  <c r="BB3" i="286"/>
  <c r="BB268" i="306"/>
  <c r="BA30" i="328"/>
  <c r="BA153" i="278"/>
  <c r="BE19" i="282"/>
  <c r="BE158" i="314"/>
  <c r="BE15" i="275"/>
  <c r="BE39" i="314"/>
  <c r="BE272" i="278"/>
  <c r="BE85" i="273"/>
  <c r="BE296" i="278"/>
  <c r="BE79" i="314"/>
  <c r="BE118" i="314"/>
  <c r="BB263" i="306"/>
  <c r="BE589" i="321"/>
  <c r="BE590" i="321"/>
  <c r="BE117" i="314"/>
  <c r="BE259" i="278"/>
  <c r="BE55" i="273"/>
  <c r="BE38" i="314"/>
  <c r="BE28" i="314"/>
  <c r="BE261" i="273"/>
  <c r="BE122" i="273"/>
  <c r="AW15" i="310"/>
  <c r="AY264" i="288"/>
  <c r="AY272" i="288"/>
  <c r="AY122" i="288"/>
  <c r="AY114" i="288"/>
  <c r="H360" i="307"/>
  <c r="H370" i="307"/>
  <c r="H41" i="306"/>
  <c r="BE25" i="310"/>
  <c r="BE13" i="307"/>
  <c r="H507" i="307"/>
  <c r="H516" i="307"/>
  <c r="AW31" i="288"/>
  <c r="AW181" i="288"/>
  <c r="AW11" i="265"/>
  <c r="AW32" i="328"/>
  <c r="BE4" i="289"/>
  <c r="BE4" i="288"/>
  <c r="BE4" i="286"/>
  <c r="BE4" i="306"/>
  <c r="BE4" i="275"/>
  <c r="BE4" i="310"/>
  <c r="BE4" i="304"/>
  <c r="BE4" i="273"/>
  <c r="BE4" i="307"/>
  <c r="BE4" i="278"/>
  <c r="BE4" i="314"/>
  <c r="BE11" i="328"/>
  <c r="BE4" i="321"/>
  <c r="BE4" i="282"/>
  <c r="BE4" i="285"/>
  <c r="BE4" i="315"/>
  <c r="BE4" i="309"/>
  <c r="BB147" i="278"/>
  <c r="BB149" i="278"/>
  <c r="AY17" i="328"/>
  <c r="BD161" i="273"/>
  <c r="BD163" i="273"/>
  <c r="BD151" i="321"/>
  <c r="BA97" i="278"/>
  <c r="H57" i="306"/>
  <c r="H105" i="306"/>
  <c r="H81" i="305"/>
  <c r="H100" i="306"/>
  <c r="H52" i="306"/>
  <c r="H89" i="305"/>
  <c r="H216" i="307"/>
  <c r="BD28" i="314"/>
  <c r="BD259" i="278"/>
  <c r="BD55" i="273"/>
  <c r="BD57" i="273"/>
  <c r="BD122" i="273"/>
  <c r="BD124" i="273"/>
  <c r="BD261" i="273"/>
  <c r="BD263" i="273"/>
  <c r="BD38" i="314"/>
  <c r="BD589" i="321"/>
  <c r="BD590" i="321"/>
  <c r="BD117" i="314"/>
  <c r="BD28" i="288"/>
  <c r="BD178" i="288"/>
  <c r="BD53" i="288"/>
  <c r="BD203" i="288"/>
  <c r="BA217" i="288"/>
  <c r="BA218" i="288"/>
  <c r="BA220" i="288"/>
  <c r="BA161" i="288"/>
  <c r="BA162" i="288"/>
  <c r="BA171" i="288"/>
  <c r="BA241" i="288"/>
  <c r="BA242" i="288"/>
  <c r="BA244" i="288"/>
  <c r="BA51" i="321"/>
  <c r="BA80" i="288"/>
  <c r="BA236" i="288"/>
  <c r="BA259" i="288"/>
  <c r="BA109" i="288"/>
  <c r="BA86" i="288"/>
  <c r="BA45" i="321"/>
  <c r="BA46" i="321"/>
  <c r="BA48" i="321"/>
  <c r="BA167" i="288"/>
  <c r="BA217" i="273"/>
  <c r="AZ218" i="273"/>
  <c r="BA230" i="288"/>
  <c r="BA67" i="288"/>
  <c r="BA68" i="288"/>
  <c r="BA91" i="288"/>
  <c r="BB72" i="321"/>
  <c r="BB79" i="321"/>
  <c r="AZ162" i="288"/>
  <c r="AZ171" i="288"/>
  <c r="H367" i="307"/>
  <c r="H371" i="307"/>
  <c r="BE84" i="273"/>
  <c r="BE54" i="273"/>
  <c r="BE566" i="321"/>
  <c r="BE552" i="321"/>
  <c r="BE623" i="321"/>
  <c r="BE110" i="286"/>
  <c r="BE212" i="278"/>
  <c r="BE109" i="273"/>
  <c r="BF110" i="273"/>
  <c r="BE268" i="278"/>
  <c r="BE292" i="278"/>
  <c r="BE33" i="286"/>
  <c r="BE11" i="282"/>
  <c r="BE15" i="286"/>
  <c r="BE162" i="278"/>
  <c r="BE16" i="288"/>
  <c r="BE17" i="288"/>
  <c r="BE637" i="321"/>
  <c r="BE92" i="286"/>
  <c r="BE187" i="278"/>
  <c r="BE579" i="321"/>
  <c r="BE161" i="278"/>
  <c r="BE211" i="278"/>
  <c r="BE707" i="321"/>
  <c r="BE186" i="278"/>
  <c r="BE598" i="321"/>
  <c r="BE599" i="321"/>
  <c r="BE650" i="321"/>
  <c r="AZ92" i="278"/>
  <c r="BH2" i="328"/>
  <c r="BH10" i="289"/>
  <c r="AY30" i="310"/>
  <c r="AY278" i="306"/>
  <c r="AY18" i="307"/>
  <c r="BC61" i="265"/>
  <c r="BC59" i="315"/>
  <c r="BC24" i="265"/>
  <c r="BC22" i="315"/>
  <c r="BD658" i="321"/>
  <c r="BD602" i="321"/>
  <c r="BF11" i="289"/>
  <c r="BF12" i="289"/>
  <c r="BF36" i="289"/>
  <c r="BE247" i="278"/>
  <c r="BE240" i="278"/>
  <c r="BE56" i="273"/>
  <c r="BC708" i="321"/>
  <c r="BC551" i="321"/>
  <c r="BC283" i="278"/>
  <c r="BC644" i="321"/>
  <c r="BC100" i="278"/>
  <c r="BC453" i="321"/>
  <c r="BC50" i="314"/>
  <c r="BC136" i="314"/>
  <c r="BC565" i="321"/>
  <c r="BC675" i="321"/>
  <c r="BC57" i="314"/>
  <c r="BC573" i="321"/>
  <c r="BC148" i="278"/>
  <c r="BC540" i="321"/>
  <c r="BC104" i="314"/>
  <c r="BC617" i="321"/>
  <c r="BC652" i="321"/>
  <c r="BC659" i="321"/>
  <c r="BC497" i="321"/>
  <c r="BC31" i="289"/>
  <c r="BC32" i="289"/>
  <c r="BC37" i="289"/>
  <c r="BC39" i="289"/>
  <c r="BD39" i="289"/>
  <c r="BC63" i="286"/>
  <c r="BC233" i="273"/>
  <c r="BC234" i="273"/>
  <c r="BC17" i="278"/>
  <c r="BC17" i="314"/>
  <c r="BC581" i="321"/>
  <c r="BC603" i="321"/>
  <c r="BC179" i="278"/>
  <c r="BC230" i="278"/>
  <c r="BC713" i="321"/>
  <c r="BC238" i="273"/>
  <c r="BC239" i="273"/>
  <c r="BC246" i="278"/>
  <c r="BC636" i="321"/>
  <c r="BC694" i="321"/>
  <c r="BC306" i="278"/>
  <c r="BC129" i="314"/>
  <c r="BC239" i="278"/>
  <c r="BC622" i="321"/>
  <c r="BC545" i="321"/>
  <c r="BC701" i="321"/>
  <c r="BC702" i="321"/>
  <c r="BC706" i="321"/>
  <c r="BC709" i="321"/>
  <c r="BC711" i="321"/>
  <c r="BC204" i="278"/>
  <c r="BC319" i="278"/>
  <c r="BD20" i="275"/>
  <c r="BE17" i="275"/>
  <c r="AZ154" i="278"/>
  <c r="BC212" i="273"/>
  <c r="BC141" i="321"/>
  <c r="BC147" i="321"/>
  <c r="BC155" i="321"/>
  <c r="BC70" i="321"/>
  <c r="BC165" i="321"/>
  <c r="BC130" i="321"/>
  <c r="BB214" i="273"/>
  <c r="BE259" i="273"/>
  <c r="BE26" i="310"/>
  <c r="BE14" i="307"/>
  <c r="H512" i="307"/>
  <c r="H67" i="305"/>
  <c r="H163" i="307"/>
  <c r="H366" i="307"/>
  <c r="H178" i="307"/>
  <c r="H73" i="307"/>
  <c r="H45" i="306"/>
  <c r="H506" i="307"/>
  <c r="H359" i="307"/>
  <c r="H40" i="306"/>
  <c r="H39" i="305"/>
  <c r="H51" i="306"/>
  <c r="BE237" i="273"/>
  <c r="BE30" i="289"/>
  <c r="BC16" i="285"/>
  <c r="BA152" i="278"/>
  <c r="BA29" i="328"/>
  <c r="X238" i="278"/>
  <c r="X282" i="278"/>
  <c r="X245" i="278"/>
  <c r="H270" i="307"/>
  <c r="H572" i="307"/>
  <c r="H428" i="307"/>
  <c r="H310" i="307"/>
  <c r="H391" i="307"/>
  <c r="H202" i="306"/>
  <c r="H535" i="307"/>
  <c r="H331" i="307"/>
  <c r="H130" i="307"/>
  <c r="H524" i="307"/>
  <c r="H415" i="307"/>
  <c r="H73" i="306"/>
  <c r="H186" i="307"/>
  <c r="H144" i="307"/>
  <c r="H559" i="307"/>
  <c r="H148" i="306"/>
  <c r="H137" i="307"/>
  <c r="H379" i="307"/>
  <c r="H157" i="306"/>
  <c r="H193" i="306"/>
  <c r="H85" i="305"/>
  <c r="H74" i="307"/>
  <c r="H149" i="307"/>
  <c r="H35" i="306"/>
  <c r="Y216" i="278"/>
  <c r="Y219" i="278"/>
  <c r="Y228" i="278"/>
  <c r="BC24" i="314"/>
  <c r="BC36" i="285"/>
  <c r="BC172" i="314"/>
  <c r="BC111" i="314"/>
  <c r="BC44" i="314"/>
  <c r="BC123" i="314"/>
  <c r="BC11" i="321"/>
  <c r="BC89" i="314"/>
  <c r="BC40" i="321"/>
  <c r="BC41" i="321"/>
  <c r="BC44" i="321"/>
  <c r="H36" i="306"/>
  <c r="AY10" i="315"/>
  <c r="BE3" i="305"/>
  <c r="BC214" i="273"/>
  <c r="BC259" i="288"/>
  <c r="H74" i="306"/>
  <c r="H87" i="306"/>
  <c r="BD89" i="314"/>
  <c r="BE12" i="307"/>
  <c r="BE29" i="310"/>
  <c r="BE3" i="309"/>
  <c r="BE3" i="307"/>
  <c r="BE3" i="306"/>
  <c r="BD111" i="314"/>
  <c r="BE24" i="310"/>
  <c r="BE17" i="307"/>
  <c r="H154" i="306"/>
  <c r="F144" i="328"/>
  <c r="BA278" i="306"/>
  <c r="BD172" i="314"/>
  <c r="BD253" i="306"/>
  <c r="BD44" i="314"/>
  <c r="BD36" i="285"/>
  <c r="H141" i="306"/>
  <c r="H147" i="306"/>
  <c r="BC72" i="321"/>
  <c r="BC79" i="321"/>
  <c r="BD11" i="321"/>
  <c r="BD40" i="321"/>
  <c r="BD41" i="321"/>
  <c r="BD44" i="321"/>
  <c r="BD123" i="314"/>
  <c r="BJ31" i="288"/>
  <c r="BJ181" i="288"/>
  <c r="BK38" i="289"/>
  <c r="BK23" i="288"/>
  <c r="BK25" i="288"/>
  <c r="BK133" i="288"/>
  <c r="BK136" i="288"/>
  <c r="BK138" i="288"/>
  <c r="BK140" i="288"/>
  <c r="BK145" i="288"/>
  <c r="BL78" i="288"/>
  <c r="BL102" i="314"/>
  <c r="BL84" i="288"/>
  <c r="BL5" i="328"/>
  <c r="BL5" i="265"/>
  <c r="BL5" i="315"/>
  <c r="BL5" i="286"/>
  <c r="BL5" i="282"/>
  <c r="BL228" i="288"/>
  <c r="BL234" i="288"/>
  <c r="BL5" i="289"/>
  <c r="BL5" i="278"/>
  <c r="BL5" i="285"/>
  <c r="BL5" i="314"/>
  <c r="BL5" i="275"/>
  <c r="BL5" i="321"/>
  <c r="BL5" i="304"/>
  <c r="BL5" i="288"/>
  <c r="BL5" i="273"/>
  <c r="BC241" i="288"/>
  <c r="BC242" i="288"/>
  <c r="BC244" i="288"/>
  <c r="BC51" i="321"/>
  <c r="BA154" i="278"/>
  <c r="BA213" i="278"/>
  <c r="BA214" i="278"/>
  <c r="BA218" i="278"/>
  <c r="BE263" i="273"/>
  <c r="BC80" i="288"/>
  <c r="BC86" i="288"/>
  <c r="BC230" i="288"/>
  <c r="BC217" i="288"/>
  <c r="BC218" i="288"/>
  <c r="BC220" i="288"/>
  <c r="AX15" i="310"/>
  <c r="AX181" i="288"/>
  <c r="AX31" i="288"/>
  <c r="BC109" i="288"/>
  <c r="BC217" i="273"/>
  <c r="BB218" i="273"/>
  <c r="BB114" i="288"/>
  <c r="BC167" i="288"/>
  <c r="BE86" i="273"/>
  <c r="BD63" i="273"/>
  <c r="BD64" i="273"/>
  <c r="BD16" i="285"/>
  <c r="BE124" i="273"/>
  <c r="AZ217" i="278"/>
  <c r="AZ155" i="278"/>
  <c r="AZ223" i="278"/>
  <c r="AZ213" i="278"/>
  <c r="AZ214" i="278"/>
  <c r="AZ218" i="278"/>
  <c r="BD540" i="321"/>
  <c r="BD708" i="321"/>
  <c r="BD100" i="278"/>
  <c r="BD283" i="278"/>
  <c r="BD644" i="321"/>
  <c r="BD659" i="321"/>
  <c r="BD306" i="278"/>
  <c r="BD136" i="314"/>
  <c r="BD319" i="278"/>
  <c r="BD17" i="314"/>
  <c r="BD713" i="321"/>
  <c r="BD179" i="278"/>
  <c r="BD148" i="278"/>
  <c r="BD230" i="278"/>
  <c r="BD47" i="289"/>
  <c r="BD48" i="289"/>
  <c r="BD53" i="289"/>
  <c r="BD246" i="278"/>
  <c r="BD652" i="321"/>
  <c r="BD694" i="321"/>
  <c r="BD497" i="321"/>
  <c r="BD31" i="289"/>
  <c r="BD32" i="289"/>
  <c r="BD37" i="289"/>
  <c r="BD129" i="314"/>
  <c r="BD551" i="321"/>
  <c r="BD675" i="321"/>
  <c r="BD573" i="321"/>
  <c r="BD239" i="278"/>
  <c r="BD603" i="321"/>
  <c r="BD104" i="314"/>
  <c r="BD617" i="321"/>
  <c r="BD622" i="321"/>
  <c r="BD636" i="321"/>
  <c r="BD565" i="321"/>
  <c r="BD581" i="321"/>
  <c r="BD701" i="321"/>
  <c r="BD702" i="321"/>
  <c r="BD706" i="321"/>
  <c r="BD709" i="321"/>
  <c r="BD711" i="321"/>
  <c r="BD238" i="273"/>
  <c r="BD239" i="273"/>
  <c r="BD204" i="278"/>
  <c r="BD16" i="289"/>
  <c r="BD17" i="289"/>
  <c r="BD22" i="289"/>
  <c r="BD233" i="273"/>
  <c r="BD234" i="273"/>
  <c r="BD17" i="278"/>
  <c r="BD453" i="321"/>
  <c r="BD50" i="314"/>
  <c r="BD57" i="314"/>
  <c r="BD63" i="286"/>
  <c r="BD545" i="321"/>
  <c r="BF30" i="289"/>
  <c r="BF46" i="289"/>
  <c r="BF15" i="289"/>
  <c r="BI2" i="328"/>
  <c r="BE602" i="321"/>
  <c r="BE658" i="321"/>
  <c r="BF240" i="278"/>
  <c r="BF56" i="273"/>
  <c r="BF247" i="278"/>
  <c r="AZ30" i="310"/>
  <c r="AZ18" i="307"/>
  <c r="AZ278" i="306"/>
  <c r="BB90" i="278"/>
  <c r="AZ272" i="288"/>
  <c r="AZ114" i="288"/>
  <c r="AZ122" i="288"/>
  <c r="AZ264" i="288"/>
  <c r="BF674" i="321"/>
  <c r="BF262" i="273"/>
  <c r="BF53" i="273"/>
  <c r="BF75" i="273"/>
  <c r="BG76" i="273"/>
  <c r="H167" i="307"/>
  <c r="H170" i="307"/>
  <c r="BB91" i="278"/>
  <c r="BF237" i="273"/>
  <c r="BA92" i="278"/>
  <c r="AZ17" i="328"/>
  <c r="AZ18" i="328"/>
  <c r="AZ98" i="278"/>
  <c r="AZ101" i="278"/>
  <c r="AZ104" i="278"/>
  <c r="AZ105" i="278"/>
  <c r="BE203" i="288"/>
  <c r="BE28" i="288"/>
  <c r="BE53" i="288"/>
  <c r="BE178" i="288"/>
  <c r="BD105" i="282"/>
  <c r="BD37" i="282"/>
  <c r="BD591" i="321"/>
  <c r="BB153" i="278"/>
  <c r="BB30" i="328"/>
  <c r="BG36" i="289"/>
  <c r="BF151" i="321"/>
  <c r="BF161" i="273"/>
  <c r="BC268" i="306"/>
  <c r="BE53" i="273"/>
  <c r="BE57" i="273"/>
  <c r="BE75" i="273"/>
  <c r="BF76" i="273"/>
  <c r="BD131" i="321"/>
  <c r="BD259" i="321"/>
  <c r="BD267" i="321"/>
  <c r="BD277" i="321"/>
  <c r="BD71" i="321"/>
  <c r="BD213" i="273"/>
  <c r="BD253" i="321"/>
  <c r="BF212" i="278"/>
  <c r="BF109" i="273"/>
  <c r="BG110" i="273"/>
  <c r="BF292" i="278"/>
  <c r="BF33" i="286"/>
  <c r="BF162" i="278"/>
  <c r="BF552" i="321"/>
  <c r="BF11" i="282"/>
  <c r="BF637" i="321"/>
  <c r="BF92" i="286"/>
  <c r="BF187" i="278"/>
  <c r="BF16" i="288"/>
  <c r="BF17" i="288"/>
  <c r="BF566" i="321"/>
  <c r="BF623" i="321"/>
  <c r="BF110" i="286"/>
  <c r="BF15" i="286"/>
  <c r="BF268" i="278"/>
  <c r="BF211" i="278"/>
  <c r="BF650" i="321"/>
  <c r="BF707" i="321"/>
  <c r="BF598" i="321"/>
  <c r="BF599" i="321"/>
  <c r="BF186" i="278"/>
  <c r="BF579" i="321"/>
  <c r="BF161" i="278"/>
  <c r="BC47" i="273"/>
  <c r="BC3" i="278"/>
  <c r="BC3" i="314"/>
  <c r="BC3" i="289"/>
  <c r="BC3" i="321"/>
  <c r="BC3" i="265"/>
  <c r="BC3" i="304"/>
  <c r="BC3" i="285"/>
  <c r="BC3" i="286"/>
  <c r="BC3" i="288"/>
  <c r="BC3" i="315"/>
  <c r="BC4" i="328"/>
  <c r="BC3" i="282"/>
  <c r="BC3" i="275"/>
  <c r="BC3" i="273"/>
  <c r="BF296" i="278"/>
  <c r="BF15" i="275"/>
  <c r="BF19" i="282"/>
  <c r="BF158" i="314"/>
  <c r="BF118" i="314"/>
  <c r="BF272" i="278"/>
  <c r="BF79" i="314"/>
  <c r="BF85" i="273"/>
  <c r="BF39" i="314"/>
  <c r="BE27" i="310"/>
  <c r="BE286" i="307"/>
  <c r="BE278" i="307"/>
  <c r="BE279" i="307"/>
  <c r="BE15" i="307"/>
  <c r="H53" i="306"/>
  <c r="BE674" i="321"/>
  <c r="BE262" i="273"/>
  <c r="BC11" i="278"/>
  <c r="BC218" i="321"/>
  <c r="BC39" i="321"/>
  <c r="BC330" i="321"/>
  <c r="AY92" i="306"/>
  <c r="AY93" i="306"/>
  <c r="AY24" i="288"/>
  <c r="AY25" i="288"/>
  <c r="BA57" i="328"/>
  <c r="BA70" i="288"/>
  <c r="BB29" i="328"/>
  <c r="BB152" i="278"/>
  <c r="BG119" i="273"/>
  <c r="BG120" i="273"/>
  <c r="BG123" i="273"/>
  <c r="BG194" i="273"/>
  <c r="BG195" i="273"/>
  <c r="BG59" i="288"/>
  <c r="BG2" i="278"/>
  <c r="BG2" i="273"/>
  <c r="BG2" i="315"/>
  <c r="BG148" i="288"/>
  <c r="BG2" i="265"/>
  <c r="BG209" i="288"/>
  <c r="BG158" i="273"/>
  <c r="BG159" i="273"/>
  <c r="BG162" i="273"/>
  <c r="BG71" i="273"/>
  <c r="BG3" i="328"/>
  <c r="BG8" i="328"/>
  <c r="BG2" i="275"/>
  <c r="BG2" i="288"/>
  <c r="BG2" i="314"/>
  <c r="BG49" i="273"/>
  <c r="BG2" i="282"/>
  <c r="BG34" i="288"/>
  <c r="BG198" i="273"/>
  <c r="BG199" i="273"/>
  <c r="BG202" i="273"/>
  <c r="BG184" i="288"/>
  <c r="BG2" i="321"/>
  <c r="BG38" i="311"/>
  <c r="BG2" i="289"/>
  <c r="BG2" i="286"/>
  <c r="BG258" i="273"/>
  <c r="BG2" i="304"/>
  <c r="BG154" i="273"/>
  <c r="BG155" i="273"/>
  <c r="BG2" i="285"/>
  <c r="H13" i="307"/>
  <c r="H25" i="310"/>
  <c r="H83" i="306"/>
  <c r="BE20" i="275"/>
  <c r="BF17" i="275"/>
  <c r="BF201" i="273"/>
  <c r="BF263" i="321"/>
  <c r="AY192" i="278"/>
  <c r="AY197" i="278"/>
  <c r="AY188" i="278"/>
  <c r="AY189" i="278"/>
  <c r="AY193" i="278"/>
  <c r="AY9" i="315"/>
  <c r="AY11" i="315"/>
  <c r="H86" i="306"/>
  <c r="H28" i="310"/>
  <c r="H16" i="307"/>
  <c r="BA223" i="278"/>
  <c r="BF4" i="321"/>
  <c r="BF4" i="278"/>
  <c r="BF4" i="304"/>
  <c r="BF4" i="285"/>
  <c r="BF4" i="314"/>
  <c r="BF4" i="286"/>
  <c r="BF4" i="282"/>
  <c r="BF4" i="289"/>
  <c r="BF4" i="288"/>
  <c r="BF4" i="273"/>
  <c r="BF4" i="315"/>
  <c r="BF4" i="275"/>
  <c r="BF11" i="328"/>
  <c r="BB67" i="288"/>
  <c r="BB68" i="288"/>
  <c r="BB259" i="288"/>
  <c r="BB80" i="288"/>
  <c r="BB109" i="288"/>
  <c r="BB217" i="288"/>
  <c r="BB218" i="288"/>
  <c r="BB220" i="288"/>
  <c r="BB167" i="288"/>
  <c r="BB217" i="273"/>
  <c r="BA218" i="273"/>
  <c r="BB230" i="288"/>
  <c r="BB51" i="321"/>
  <c r="BB91" i="288"/>
  <c r="BB241" i="288"/>
  <c r="BB242" i="288"/>
  <c r="BB244" i="288"/>
  <c r="BB161" i="288"/>
  <c r="BB162" i="288"/>
  <c r="BB171" i="288"/>
  <c r="BB45" i="321"/>
  <c r="BB46" i="321"/>
  <c r="BB48" i="321"/>
  <c r="BB86" i="288"/>
  <c r="BB236" i="288"/>
  <c r="BD147" i="321"/>
  <c r="BD165" i="321"/>
  <c r="BE163" i="273"/>
  <c r="BD130" i="321"/>
  <c r="BD212" i="273"/>
  <c r="BD141" i="321"/>
  <c r="BD70" i="321"/>
  <c r="BD155" i="321"/>
  <c r="BC90" i="278"/>
  <c r="BC147" i="278"/>
  <c r="BC149" i="278"/>
  <c r="BC91" i="278"/>
  <c r="AY167" i="278"/>
  <c r="AY163" i="278"/>
  <c r="AY164" i="278"/>
  <c r="AY168" i="278"/>
  <c r="AY172" i="278"/>
  <c r="AY27" i="328"/>
  <c r="AY11" i="265"/>
  <c r="AY32" i="328"/>
  <c r="BE105" i="282"/>
  <c r="BE37" i="282"/>
  <c r="BE591" i="321"/>
  <c r="BF122" i="273"/>
  <c r="BF38" i="314"/>
  <c r="BF589" i="321"/>
  <c r="BF590" i="321"/>
  <c r="BF259" i="278"/>
  <c r="BF55" i="273"/>
  <c r="BF117" i="314"/>
  <c r="BF261" i="273"/>
  <c r="BF28" i="314"/>
  <c r="BE201" i="273"/>
  <c r="BE203" i="273"/>
  <c r="BE263" i="321"/>
  <c r="BE268" i="306"/>
  <c r="H24" i="310"/>
  <c r="H82" i="306"/>
  <c r="H12" i="307"/>
  <c r="H29" i="310"/>
  <c r="BB122" i="288"/>
  <c r="J64" i="269"/>
  <c r="L64" i="269"/>
  <c r="Y224" i="278"/>
  <c r="Y225" i="278"/>
  <c r="Y220" i="278"/>
  <c r="BE263" i="306"/>
  <c r="BE198" i="306"/>
  <c r="H194" i="306"/>
  <c r="G144" i="328"/>
  <c r="AI283" i="307"/>
  <c r="AI9" i="310"/>
  <c r="H17" i="307"/>
  <c r="H199" i="306"/>
  <c r="BC91" i="288"/>
  <c r="BD268" i="306"/>
  <c r="Q269" i="306"/>
  <c r="Q325" i="278"/>
  <c r="BC67" i="288"/>
  <c r="BC68" i="288"/>
  <c r="BC45" i="321"/>
  <c r="BC46" i="321"/>
  <c r="BC48" i="321"/>
  <c r="BC236" i="288"/>
  <c r="BC161" i="288"/>
  <c r="BC162" i="288"/>
  <c r="BC171" i="288"/>
  <c r="BA18" i="307"/>
  <c r="BA30" i="310"/>
  <c r="BD214" i="273"/>
  <c r="BD217" i="288"/>
  <c r="BD218" i="288"/>
  <c r="BD220" i="288"/>
  <c r="BB278" i="306"/>
  <c r="BF263" i="273"/>
  <c r="BB272" i="288"/>
  <c r="BA217" i="278"/>
  <c r="BA155" i="278"/>
  <c r="BA10" i="265"/>
  <c r="BD72" i="321"/>
  <c r="BD79" i="321"/>
  <c r="BL38" i="289"/>
  <c r="BL133" i="288"/>
  <c r="BL136" i="288"/>
  <c r="BL138" i="288"/>
  <c r="BL140" i="288"/>
  <c r="BL145" i="288"/>
  <c r="BL23" i="288"/>
  <c r="BL25" i="288"/>
  <c r="BK31" i="288"/>
  <c r="BK181" i="288"/>
  <c r="BM102" i="314"/>
  <c r="BM84" i="288"/>
  <c r="BM228" i="288"/>
  <c r="BM234" i="288"/>
  <c r="BM5" i="328"/>
  <c r="BM5" i="265"/>
  <c r="BM78" i="288"/>
  <c r="BM5" i="273"/>
  <c r="BM5" i="314"/>
  <c r="BM5" i="289"/>
  <c r="BM5" i="286"/>
  <c r="BM5" i="285"/>
  <c r="BM5" i="321"/>
  <c r="BM5" i="278"/>
  <c r="BM5" i="304"/>
  <c r="BM5" i="288"/>
  <c r="BM5" i="315"/>
  <c r="BM5" i="275"/>
  <c r="BM5" i="282"/>
  <c r="BB264" i="288"/>
  <c r="BB18" i="307"/>
  <c r="BB154" i="278"/>
  <c r="BG19" i="282"/>
  <c r="BG158" i="314"/>
  <c r="BG15" i="275"/>
  <c r="BG272" i="278"/>
  <c r="BG85" i="273"/>
  <c r="BG79" i="314"/>
  <c r="BG118" i="314"/>
  <c r="BG296" i="278"/>
  <c r="BG39" i="314"/>
  <c r="BE63" i="273"/>
  <c r="BE64" i="273"/>
  <c r="BE71" i="321"/>
  <c r="BE267" i="321"/>
  <c r="BF203" i="273"/>
  <c r="BE253" i="321"/>
  <c r="BE213" i="273"/>
  <c r="BE277" i="321"/>
  <c r="BE131" i="321"/>
  <c r="BE259" i="321"/>
  <c r="BG151" i="321"/>
  <c r="BG161" i="273"/>
  <c r="BC152" i="278"/>
  <c r="BC29" i="328"/>
  <c r="BF163" i="273"/>
  <c r="BE70" i="321"/>
  <c r="BE141" i="321"/>
  <c r="BE212" i="273"/>
  <c r="BE147" i="321"/>
  <c r="BE155" i="321"/>
  <c r="BE130" i="321"/>
  <c r="BE165" i="321"/>
  <c r="BG237" i="273"/>
  <c r="BH71" i="273"/>
  <c r="BH72" i="273"/>
  <c r="BH194" i="273"/>
  <c r="BH195" i="273"/>
  <c r="BH59" i="288"/>
  <c r="BH2" i="286"/>
  <c r="BH2" i="275"/>
  <c r="BH2" i="273"/>
  <c r="BH2" i="278"/>
  <c r="BH158" i="273"/>
  <c r="BH159" i="273"/>
  <c r="BH162" i="273"/>
  <c r="BH34" i="288"/>
  <c r="BH2" i="285"/>
  <c r="BH38" i="311"/>
  <c r="BH49" i="273"/>
  <c r="BH2" i="304"/>
  <c r="BH258" i="273"/>
  <c r="BH259" i="273"/>
  <c r="BH198" i="273"/>
  <c r="BH199" i="273"/>
  <c r="BH202" i="273"/>
  <c r="BH2" i="265"/>
  <c r="BH2" i="321"/>
  <c r="BH2" i="315"/>
  <c r="BH2" i="289"/>
  <c r="BH184" i="288"/>
  <c r="BH2" i="282"/>
  <c r="BH119" i="273"/>
  <c r="BH120" i="273"/>
  <c r="BH123" i="273"/>
  <c r="BH154" i="273"/>
  <c r="BH155" i="273"/>
  <c r="BH3" i="328"/>
  <c r="BH8" i="328"/>
  <c r="BH2" i="288"/>
  <c r="BH209" i="288"/>
  <c r="BH2" i="314"/>
  <c r="BH148" i="288"/>
  <c r="H279" i="307"/>
  <c r="H287" i="307"/>
  <c r="BE287" i="307"/>
  <c r="BG122" i="273"/>
  <c r="BG259" i="278"/>
  <c r="BG589" i="321"/>
  <c r="BG590" i="321"/>
  <c r="BG117" i="314"/>
  <c r="BG55" i="273"/>
  <c r="BG261" i="273"/>
  <c r="BG28" i="314"/>
  <c r="BG38" i="314"/>
  <c r="BG240" i="278"/>
  <c r="BG247" i="278"/>
  <c r="BG56" i="273"/>
  <c r="BF54" i="273"/>
  <c r="BF57" i="273"/>
  <c r="BF84" i="273"/>
  <c r="BF86" i="273"/>
  <c r="BG30" i="289"/>
  <c r="BD24" i="265"/>
  <c r="BD22" i="315"/>
  <c r="BD59" i="315"/>
  <c r="BD61" i="265"/>
  <c r="AZ167" i="278"/>
  <c r="AZ163" i="278"/>
  <c r="AZ164" i="278"/>
  <c r="AZ168" i="278"/>
  <c r="AZ172" i="278"/>
  <c r="AZ27" i="328"/>
  <c r="BG11" i="328"/>
  <c r="BG4" i="288"/>
  <c r="BG4" i="289"/>
  <c r="BG4" i="282"/>
  <c r="BG4" i="278"/>
  <c r="BG4" i="286"/>
  <c r="BG4" i="321"/>
  <c r="BG4" i="314"/>
  <c r="BG4" i="285"/>
  <c r="BG4" i="304"/>
  <c r="BG4" i="315"/>
  <c r="BG4" i="275"/>
  <c r="BG4" i="273"/>
  <c r="BD91" i="278"/>
  <c r="BE16" i="285"/>
  <c r="BF124" i="273"/>
  <c r="BG201" i="273"/>
  <c r="BG263" i="321"/>
  <c r="BE61" i="265"/>
  <c r="BE24" i="265"/>
  <c r="BE22" i="315"/>
  <c r="BE59" i="315"/>
  <c r="BC92" i="278"/>
  <c r="BB70" i="288"/>
  <c r="BB57" i="328"/>
  <c r="H66" i="269"/>
  <c r="K66" i="269"/>
  <c r="F149" i="328"/>
  <c r="G149" i="328"/>
  <c r="F148" i="328"/>
  <c r="G148" i="328"/>
  <c r="H63" i="269"/>
  <c r="K63" i="269"/>
  <c r="BG211" i="278"/>
  <c r="BG650" i="321"/>
  <c r="BG707" i="321"/>
  <c r="BG598" i="321"/>
  <c r="BG599" i="321"/>
  <c r="BG161" i="278"/>
  <c r="BG579" i="321"/>
  <c r="BG186" i="278"/>
  <c r="BA92" i="306"/>
  <c r="BA93" i="306"/>
  <c r="BA24" i="288"/>
  <c r="BA25" i="288"/>
  <c r="H15" i="307"/>
  <c r="H286" i="307"/>
  <c r="H27" i="310"/>
  <c r="H85" i="306"/>
  <c r="H278" i="307"/>
  <c r="AZ197" i="278"/>
  <c r="AZ9" i="315"/>
  <c r="AZ188" i="278"/>
  <c r="AZ189" i="278"/>
  <c r="AZ193" i="278"/>
  <c r="AZ192" i="278"/>
  <c r="BE603" i="321"/>
  <c r="BE179" i="278"/>
  <c r="BE230" i="278"/>
  <c r="BE713" i="321"/>
  <c r="BE104" i="314"/>
  <c r="BE100" i="278"/>
  <c r="BE283" i="278"/>
  <c r="BE659" i="321"/>
  <c r="BE497" i="321"/>
  <c r="BE545" i="321"/>
  <c r="BE129" i="314"/>
  <c r="BE17" i="314"/>
  <c r="BE701" i="321"/>
  <c r="BE702" i="321"/>
  <c r="BE706" i="321"/>
  <c r="BE239" i="278"/>
  <c r="BE675" i="321"/>
  <c r="BE573" i="321"/>
  <c r="BE233" i="273"/>
  <c r="BE234" i="273"/>
  <c r="BE17" i="278"/>
  <c r="BE246" i="278"/>
  <c r="BE644" i="321"/>
  <c r="BE694" i="321"/>
  <c r="BE31" i="289"/>
  <c r="BE32" i="289"/>
  <c r="BE37" i="289"/>
  <c r="BE39" i="289"/>
  <c r="BF39" i="289"/>
  <c r="BE57" i="314"/>
  <c r="BE708" i="321"/>
  <c r="BE551" i="321"/>
  <c r="BE581" i="321"/>
  <c r="BE617" i="321"/>
  <c r="BE622" i="321"/>
  <c r="BE652" i="321"/>
  <c r="BE319" i="278"/>
  <c r="BE136" i="314"/>
  <c r="BE63" i="286"/>
  <c r="BE148" i="278"/>
  <c r="BE540" i="321"/>
  <c r="BE565" i="321"/>
  <c r="BE238" i="273"/>
  <c r="BE239" i="273"/>
  <c r="BE204" i="278"/>
  <c r="BE636" i="321"/>
  <c r="BE453" i="321"/>
  <c r="BE50" i="314"/>
  <c r="BE306" i="278"/>
  <c r="BF105" i="282"/>
  <c r="BF591" i="321"/>
  <c r="BF37" i="282"/>
  <c r="BD147" i="278"/>
  <c r="BD149" i="278"/>
  <c r="BG259" i="273"/>
  <c r="BG552" i="321"/>
  <c r="BG566" i="321"/>
  <c r="BG637" i="321"/>
  <c r="BG110" i="286"/>
  <c r="BG162" i="278"/>
  <c r="BG268" i="278"/>
  <c r="BG623" i="321"/>
  <c r="BG15" i="286"/>
  <c r="BG16" i="288"/>
  <c r="BG17" i="288"/>
  <c r="BG109" i="273"/>
  <c r="BH110" i="273"/>
  <c r="BG187" i="278"/>
  <c r="BG92" i="286"/>
  <c r="BG212" i="278"/>
  <c r="BG11" i="282"/>
  <c r="BG292" i="278"/>
  <c r="BG33" i="286"/>
  <c r="AY31" i="288"/>
  <c r="AY181" i="288"/>
  <c r="BF20" i="275"/>
  <c r="BG17" i="275"/>
  <c r="BA98" i="278"/>
  <c r="BA101" i="278"/>
  <c r="BA104" i="278"/>
  <c r="BA105" i="278"/>
  <c r="BA18" i="328"/>
  <c r="BG54" i="273"/>
  <c r="BG84" i="273"/>
  <c r="AZ92" i="306"/>
  <c r="AZ93" i="306"/>
  <c r="AZ24" i="288"/>
  <c r="AZ25" i="288"/>
  <c r="BJ10" i="289"/>
  <c r="BJ2" i="328"/>
  <c r="AZ10" i="265"/>
  <c r="AZ10" i="315"/>
  <c r="BA17" i="328"/>
  <c r="AY15" i="310"/>
  <c r="BC153" i="278"/>
  <c r="BC30" i="328"/>
  <c r="BA264" i="288"/>
  <c r="BA114" i="288"/>
  <c r="BA272" i="288"/>
  <c r="BA122" i="288"/>
  <c r="BH11" i="289"/>
  <c r="BH12" i="289"/>
  <c r="BH36" i="289"/>
  <c r="BF658" i="321"/>
  <c r="BF602" i="321"/>
  <c r="BF178" i="288"/>
  <c r="BF28" i="288"/>
  <c r="BF203" i="288"/>
  <c r="BF53" i="288"/>
  <c r="BG72" i="273"/>
  <c r="BB92" i="278"/>
  <c r="BD330" i="321"/>
  <c r="BD39" i="321"/>
  <c r="BD218" i="321"/>
  <c r="BD11" i="278"/>
  <c r="BD90" i="278"/>
  <c r="BC97" i="278"/>
  <c r="BD3" i="304"/>
  <c r="BD3" i="315"/>
  <c r="BD3" i="285"/>
  <c r="BD3" i="273"/>
  <c r="BD3" i="314"/>
  <c r="BD3" i="286"/>
  <c r="BD3" i="282"/>
  <c r="BD3" i="275"/>
  <c r="BD3" i="265"/>
  <c r="BD3" i="289"/>
  <c r="BD3" i="321"/>
  <c r="BD4" i="328"/>
  <c r="BD47" i="273"/>
  <c r="BD3" i="278"/>
  <c r="BD3" i="288"/>
  <c r="BE253" i="306"/>
  <c r="BE153" i="306"/>
  <c r="H149" i="306"/>
  <c r="H158" i="306"/>
  <c r="H263" i="306"/>
  <c r="H226" i="306"/>
  <c r="H198" i="306"/>
  <c r="H201" i="306"/>
  <c r="H268" i="306"/>
  <c r="BE24" i="314"/>
  <c r="BE36" i="285"/>
  <c r="BE172" i="314"/>
  <c r="BE111" i="314"/>
  <c r="BE44" i="314"/>
  <c r="BE11" i="321"/>
  <c r="BE123" i="314"/>
  <c r="BE40" i="321"/>
  <c r="BE41" i="321"/>
  <c r="BE44" i="321"/>
  <c r="BE89" i="314"/>
  <c r="H156" i="306"/>
  <c r="H258" i="306"/>
  <c r="K269" i="306"/>
  <c r="J264" i="306"/>
  <c r="K264" i="306"/>
  <c r="K324" i="278"/>
  <c r="Q264" i="306"/>
  <c r="Q324" i="278"/>
  <c r="Y44" i="265"/>
  <c r="Y42" i="315"/>
  <c r="BB92" i="306"/>
  <c r="BB93" i="306"/>
  <c r="BB24" i="288"/>
  <c r="BB25" i="288"/>
  <c r="K259" i="306"/>
  <c r="K42" i="265" s="1"/>
  <c r="Q259" i="306"/>
  <c r="F151" i="328"/>
  <c r="H67" i="269"/>
  <c r="K67" i="269"/>
  <c r="F147" i="328"/>
  <c r="H62" i="269"/>
  <c r="K62" i="269"/>
  <c r="Z222" i="278"/>
  <c r="Y229" i="278"/>
  <c r="Y231" i="278"/>
  <c r="Y116" i="265"/>
  <c r="Y112" i="315"/>
  <c r="Y254" i="278"/>
  <c r="BB30" i="310"/>
  <c r="BC57" i="328"/>
  <c r="BC70" i="288"/>
  <c r="H203" i="306"/>
  <c r="BD217" i="273"/>
  <c r="BC218" i="273"/>
  <c r="BC122" i="288"/>
  <c r="BD167" i="288"/>
  <c r="BD91" i="288"/>
  <c r="BD236" i="288"/>
  <c r="BD18" i="307"/>
  <c r="BG263" i="273"/>
  <c r="BD67" i="288"/>
  <c r="BD68" i="288"/>
  <c r="BD51" i="321"/>
  <c r="BD161" i="288"/>
  <c r="BD162" i="288"/>
  <c r="BD171" i="288"/>
  <c r="BD241" i="288"/>
  <c r="BD242" i="288"/>
  <c r="BD244" i="288"/>
  <c r="BD86" i="288"/>
  <c r="BD80" i="288"/>
  <c r="BD45" i="321"/>
  <c r="BD46" i="321"/>
  <c r="BD48" i="321"/>
  <c r="BD109" i="288"/>
  <c r="BD259" i="288"/>
  <c r="BD230" i="288"/>
  <c r="BA10" i="315"/>
  <c r="BD278" i="306"/>
  <c r="BC278" i="306"/>
  <c r="BG86" i="273"/>
  <c r="AZ11" i="265"/>
  <c r="AZ32" i="328"/>
  <c r="BM133" i="288"/>
  <c r="BM136" i="288"/>
  <c r="BM138" i="288"/>
  <c r="BM140" i="288"/>
  <c r="BM145" i="288"/>
  <c r="BM38" i="289"/>
  <c r="BM23" i="288"/>
  <c r="BM25" i="288"/>
  <c r="BN102" i="314"/>
  <c r="BN5" i="328"/>
  <c r="BN228" i="288"/>
  <c r="BN78" i="288"/>
  <c r="BN84" i="288"/>
  <c r="BN234" i="288"/>
  <c r="BN5" i="265"/>
  <c r="BN5" i="275"/>
  <c r="BN5" i="278"/>
  <c r="BN5" i="314"/>
  <c r="BN5" i="321"/>
  <c r="BN5" i="273"/>
  <c r="BN5" i="282"/>
  <c r="BN5" i="286"/>
  <c r="BN5" i="289"/>
  <c r="BN5" i="315"/>
  <c r="BN5" i="304"/>
  <c r="BN5" i="285"/>
  <c r="BN5" i="288"/>
  <c r="BL31" i="288"/>
  <c r="BL181" i="288"/>
  <c r="BB217" i="278"/>
  <c r="BB223" i="278"/>
  <c r="BB155" i="278"/>
  <c r="BB213" i="278"/>
  <c r="BD92" i="278"/>
  <c r="BD97" i="278"/>
  <c r="BF63" i="273"/>
  <c r="BF64" i="273"/>
  <c r="BG53" i="273"/>
  <c r="BG57" i="273"/>
  <c r="BG75" i="273"/>
  <c r="BH76" i="273"/>
  <c r="BA197" i="278"/>
  <c r="BA9" i="315"/>
  <c r="BA188" i="278"/>
  <c r="BA189" i="278"/>
  <c r="BA193" i="278"/>
  <c r="BA192" i="278"/>
  <c r="BH79" i="314"/>
  <c r="BH85" i="273"/>
  <c r="BH272" i="278"/>
  <c r="BH15" i="275"/>
  <c r="BH158" i="314"/>
  <c r="BH118" i="314"/>
  <c r="BH19" i="282"/>
  <c r="BH296" i="278"/>
  <c r="BH39" i="314"/>
  <c r="BG674" i="321"/>
  <c r="BG262" i="273"/>
  <c r="BE91" i="278"/>
  <c r="BH4" i="314"/>
  <c r="BH4" i="289"/>
  <c r="BH4" i="286"/>
  <c r="BH11" i="328"/>
  <c r="BH4" i="278"/>
  <c r="BH4" i="304"/>
  <c r="BH4" i="285"/>
  <c r="BH4" i="275"/>
  <c r="BH4" i="282"/>
  <c r="BH4" i="315"/>
  <c r="BH4" i="273"/>
  <c r="BH4" i="321"/>
  <c r="BH4" i="288"/>
  <c r="BG163" i="273"/>
  <c r="BF130" i="321"/>
  <c r="BF212" i="273"/>
  <c r="BF141" i="321"/>
  <c r="BF147" i="321"/>
  <c r="BF155" i="321"/>
  <c r="BF70" i="321"/>
  <c r="BF165" i="321"/>
  <c r="BI36" i="289"/>
  <c r="BD29" i="328"/>
  <c r="BD152" i="278"/>
  <c r="AZ11" i="315"/>
  <c r="F145" i="328"/>
  <c r="H65" i="269"/>
  <c r="K65" i="269"/>
  <c r="L63" i="269"/>
  <c r="J63" i="269"/>
  <c r="L66" i="269"/>
  <c r="J66" i="269"/>
  <c r="BA15" i="310"/>
  <c r="BF16" i="285"/>
  <c r="BG124" i="273"/>
  <c r="BG105" i="282"/>
  <c r="BG37" i="282"/>
  <c r="BG591" i="321"/>
  <c r="BH237" i="273"/>
  <c r="BH161" i="273"/>
  <c r="BH151" i="321"/>
  <c r="BE214" i="273"/>
  <c r="BH55" i="273"/>
  <c r="BH117" i="314"/>
  <c r="BH28" i="314"/>
  <c r="BH38" i="314"/>
  <c r="BH122" i="273"/>
  <c r="BH261" i="273"/>
  <c r="BH589" i="321"/>
  <c r="BH590" i="321"/>
  <c r="BH259" i="278"/>
  <c r="BK2" i="328"/>
  <c r="BG178" i="288"/>
  <c r="BG203" i="288"/>
  <c r="BG53" i="288"/>
  <c r="BG28" i="288"/>
  <c r="BD153" i="278"/>
  <c r="BD30" i="328"/>
  <c r="BE39" i="321"/>
  <c r="BE330" i="321"/>
  <c r="BE11" i="278"/>
  <c r="BE218" i="321"/>
  <c r="BF565" i="321"/>
  <c r="BF581" i="321"/>
  <c r="BF701" i="321"/>
  <c r="BF702" i="321"/>
  <c r="BF706" i="321"/>
  <c r="BF104" i="314"/>
  <c r="BF622" i="321"/>
  <c r="BF652" i="321"/>
  <c r="BF659" i="321"/>
  <c r="BF319" i="278"/>
  <c r="BF47" i="289"/>
  <c r="BF48" i="289"/>
  <c r="BF53" i="289"/>
  <c r="BF50" i="314"/>
  <c r="BF540" i="321"/>
  <c r="BF708" i="321"/>
  <c r="BF617" i="321"/>
  <c r="BF238" i="273"/>
  <c r="BF239" i="273"/>
  <c r="BF636" i="321"/>
  <c r="BF694" i="321"/>
  <c r="BF306" i="278"/>
  <c r="BF57" i="314"/>
  <c r="BF16" i="289"/>
  <c r="BF17" i="289"/>
  <c r="BF22" i="289"/>
  <c r="BF713" i="321"/>
  <c r="BF179" i="278"/>
  <c r="BF148" i="278"/>
  <c r="BF230" i="278"/>
  <c r="BF233" i="273"/>
  <c r="BF234" i="273"/>
  <c r="BF17" i="278"/>
  <c r="BF100" i="278"/>
  <c r="BF204" i="278"/>
  <c r="BF497" i="321"/>
  <c r="BF31" i="289"/>
  <c r="BF32" i="289"/>
  <c r="BF37" i="289"/>
  <c r="BF129" i="314"/>
  <c r="BF136" i="314"/>
  <c r="BF17" i="314"/>
  <c r="BF675" i="321"/>
  <c r="BF573" i="321"/>
  <c r="BF239" i="278"/>
  <c r="BF603" i="321"/>
  <c r="BF551" i="321"/>
  <c r="BF246" i="278"/>
  <c r="BF644" i="321"/>
  <c r="BF283" i="278"/>
  <c r="BF453" i="321"/>
  <c r="BF63" i="286"/>
  <c r="BF545" i="321"/>
  <c r="BI158" i="273"/>
  <c r="BI159" i="273"/>
  <c r="BI162" i="273"/>
  <c r="BI59" i="288"/>
  <c r="BI34" i="288"/>
  <c r="BI2" i="315"/>
  <c r="BI2" i="278"/>
  <c r="BI2" i="304"/>
  <c r="BI38" i="311"/>
  <c r="BI198" i="273"/>
  <c r="BI199" i="273"/>
  <c r="BI202" i="273"/>
  <c r="BI71" i="273"/>
  <c r="BI72" i="273"/>
  <c r="BI2" i="282"/>
  <c r="BI184" i="288"/>
  <c r="BI119" i="273"/>
  <c r="BI120" i="273"/>
  <c r="BI123" i="273"/>
  <c r="BI154" i="273"/>
  <c r="BI155" i="273"/>
  <c r="BI2" i="265"/>
  <c r="BI209" i="288"/>
  <c r="BI148" i="288"/>
  <c r="BI2" i="275"/>
  <c r="BI2" i="321"/>
  <c r="BI2" i="285"/>
  <c r="BI258" i="273"/>
  <c r="BI194" i="273"/>
  <c r="BI3" i="328"/>
  <c r="BI8" i="328"/>
  <c r="BI2" i="288"/>
  <c r="BI2" i="273"/>
  <c r="BI49" i="273"/>
  <c r="BI2" i="314"/>
  <c r="BI2" i="289"/>
  <c r="BI2" i="286"/>
  <c r="BH46" i="289"/>
  <c r="BH15" i="289"/>
  <c r="BH30" i="289"/>
  <c r="BE90" i="278"/>
  <c r="BG602" i="321"/>
  <c r="BG658" i="321"/>
  <c r="AZ15" i="310"/>
  <c r="BI259" i="273"/>
  <c r="BI195" i="273"/>
  <c r="BH75" i="273"/>
  <c r="BI76" i="273"/>
  <c r="BH53" i="273"/>
  <c r="BC154" i="278"/>
  <c r="BF71" i="321"/>
  <c r="BF259" i="321"/>
  <c r="BF131" i="321"/>
  <c r="BF267" i="321"/>
  <c r="BG203" i="273"/>
  <c r="BF277" i="321"/>
  <c r="BF213" i="273"/>
  <c r="BF253" i="321"/>
  <c r="BE3" i="282"/>
  <c r="BE47" i="273"/>
  <c r="BE3" i="285"/>
  <c r="BE4" i="328"/>
  <c r="BE3" i="278"/>
  <c r="BE3" i="321"/>
  <c r="BE3" i="315"/>
  <c r="BE3" i="304"/>
  <c r="BE3" i="314"/>
  <c r="BE3" i="265"/>
  <c r="BE3" i="289"/>
  <c r="BE3" i="275"/>
  <c r="BE3" i="286"/>
  <c r="BE3" i="273"/>
  <c r="BE3" i="288"/>
  <c r="BG20" i="275"/>
  <c r="BH17" i="275"/>
  <c r="BA31" i="288"/>
  <c r="BA181" i="288"/>
  <c r="BC18" i="328"/>
  <c r="BC98" i="278"/>
  <c r="BC101" i="278"/>
  <c r="BC104" i="278"/>
  <c r="BC105" i="278"/>
  <c r="BH16" i="288"/>
  <c r="BH17" i="288"/>
  <c r="BH566" i="321"/>
  <c r="BH187" i="278"/>
  <c r="BH33" i="286"/>
  <c r="BH162" i="278"/>
  <c r="BH212" i="278"/>
  <c r="BH637" i="321"/>
  <c r="BH92" i="286"/>
  <c r="BH109" i="273"/>
  <c r="BI110" i="273"/>
  <c r="BH552" i="321"/>
  <c r="BH292" i="278"/>
  <c r="BH15" i="286"/>
  <c r="BH11" i="282"/>
  <c r="BH268" i="278"/>
  <c r="BH623" i="321"/>
  <c r="BH110" i="286"/>
  <c r="BB98" i="278"/>
  <c r="BB101" i="278"/>
  <c r="BB104" i="278"/>
  <c r="BB105" i="278"/>
  <c r="BB18" i="328"/>
  <c r="BH201" i="273"/>
  <c r="BH263" i="321"/>
  <c r="BA163" i="278"/>
  <c r="BA164" i="278"/>
  <c r="BA168" i="278"/>
  <c r="BA172" i="278"/>
  <c r="BA11" i="265"/>
  <c r="BA32" i="328"/>
  <c r="BA27" i="328"/>
  <c r="BA167" i="278"/>
  <c r="AZ31" i="288"/>
  <c r="AZ181" i="288"/>
  <c r="BH247" i="278"/>
  <c r="BH56" i="273"/>
  <c r="BH240" i="278"/>
  <c r="BH262" i="273"/>
  <c r="BH674" i="321"/>
  <c r="BC17" i="328"/>
  <c r="BF24" i="265"/>
  <c r="BF22" i="315"/>
  <c r="BF61" i="265"/>
  <c r="BF59" i="315"/>
  <c r="BE147" i="278"/>
  <c r="BE149" i="278"/>
  <c r="BE709" i="321"/>
  <c r="BE711" i="321"/>
  <c r="BB17" i="328"/>
  <c r="BH707" i="321"/>
  <c r="BH161" i="278"/>
  <c r="BH598" i="321"/>
  <c r="BH599" i="321"/>
  <c r="BH211" i="278"/>
  <c r="BH650" i="321"/>
  <c r="BH579" i="321"/>
  <c r="BH186" i="278"/>
  <c r="BE72" i="321"/>
  <c r="BE79" i="321"/>
  <c r="Z228" i="278"/>
  <c r="Z216" i="278"/>
  <c r="Z219" i="278"/>
  <c r="H209" i="306"/>
  <c r="H205" i="306"/>
  <c r="L62" i="269"/>
  <c r="J62" i="269"/>
  <c r="K40" i="315"/>
  <c r="K311" i="278"/>
  <c r="H259" i="306"/>
  <c r="K325" i="278"/>
  <c r="H269" i="306"/>
  <c r="H325" i="278"/>
  <c r="F150" i="328"/>
  <c r="G147" i="328"/>
  <c r="BD92" i="306"/>
  <c r="BD93" i="306"/>
  <c r="BD24" i="288"/>
  <c r="BD25" i="288"/>
  <c r="J67" i="269"/>
  <c r="L67" i="269"/>
  <c r="BB31" i="288"/>
  <c r="BB181" i="288"/>
  <c r="BB15" i="310"/>
  <c r="H216" i="306"/>
  <c r="H206" i="306"/>
  <c r="J254" i="306"/>
  <c r="K254" i="306"/>
  <c r="K310" i="278"/>
  <c r="Q254" i="306"/>
  <c r="Q310" i="278"/>
  <c r="F152" i="328"/>
  <c r="G151" i="328"/>
  <c r="AJ283" i="307"/>
  <c r="AJ9" i="310"/>
  <c r="Y238" i="278"/>
  <c r="Y245" i="278"/>
  <c r="Y282" i="278"/>
  <c r="Q42" i="265"/>
  <c r="Q40" i="315"/>
  <c r="Q311" i="278"/>
  <c r="J324" i="278"/>
  <c r="J326" i="278"/>
  <c r="H264" i="306"/>
  <c r="H324" i="278"/>
  <c r="BF24" i="314"/>
  <c r="BF36" i="285"/>
  <c r="BF172" i="314"/>
  <c r="BF111" i="314"/>
  <c r="BF44" i="314"/>
  <c r="BF11" i="321"/>
  <c r="BF123" i="314"/>
  <c r="BF40" i="321"/>
  <c r="BF41" i="321"/>
  <c r="BF44" i="321"/>
  <c r="BF89" i="314"/>
  <c r="H153" i="306"/>
  <c r="H253" i="306"/>
  <c r="H225" i="306"/>
  <c r="BC114" i="288"/>
  <c r="BD30" i="310"/>
  <c r="BC272" i="288"/>
  <c r="BC264" i="288"/>
  <c r="BE278" i="306"/>
  <c r="BH263" i="273"/>
  <c r="BD70" i="288"/>
  <c r="BD57" i="328"/>
  <c r="BA11" i="315"/>
  <c r="BE17" i="328"/>
  <c r="BE92" i="306"/>
  <c r="BE93" i="306"/>
  <c r="H207" i="306"/>
  <c r="H30" i="310"/>
  <c r="BE30" i="310"/>
  <c r="BC30" i="310"/>
  <c r="H211" i="306"/>
  <c r="BC18" i="307"/>
  <c r="BE18" i="307"/>
  <c r="BM181" i="288"/>
  <c r="BM31" i="288"/>
  <c r="BN38" i="289"/>
  <c r="BN23" i="288"/>
  <c r="BN25" i="288"/>
  <c r="BN133" i="288"/>
  <c r="BN136" i="288"/>
  <c r="BN138" i="288"/>
  <c r="BN140" i="288"/>
  <c r="BN145" i="288"/>
  <c r="BO102" i="314"/>
  <c r="BO228" i="288"/>
  <c r="BO78" i="288"/>
  <c r="BO84" i="288"/>
  <c r="BO5" i="328"/>
  <c r="BO234" i="288"/>
  <c r="BO5" i="321"/>
  <c r="BO5" i="275"/>
  <c r="BO5" i="286"/>
  <c r="BO5" i="289"/>
  <c r="BO5" i="282"/>
  <c r="BO5" i="314"/>
  <c r="BO5" i="278"/>
  <c r="BO5" i="304"/>
  <c r="BO5" i="288"/>
  <c r="BO5" i="265"/>
  <c r="BO5" i="285"/>
  <c r="BO5" i="273"/>
  <c r="BO5" i="315"/>
  <c r="BD98" i="278"/>
  <c r="BD18" i="328"/>
  <c r="BB10" i="315"/>
  <c r="BB10" i="265"/>
  <c r="BD154" i="278"/>
  <c r="BD155" i="278"/>
  <c r="BE92" i="278"/>
  <c r="BE18" i="328"/>
  <c r="BF709" i="321"/>
  <c r="BF711" i="321"/>
  <c r="BF72" i="321"/>
  <c r="BF79" i="321"/>
  <c r="BD101" i="278"/>
  <c r="BD104" i="278"/>
  <c r="BD105" i="278"/>
  <c r="BC167" i="278"/>
  <c r="BC27" i="328"/>
  <c r="BC172" i="278"/>
  <c r="BC163" i="278"/>
  <c r="BC164" i="278"/>
  <c r="BC168" i="278"/>
  <c r="BI161" i="273"/>
  <c r="BI151" i="321"/>
  <c r="BG63" i="273"/>
  <c r="BG64" i="273"/>
  <c r="BC188" i="278"/>
  <c r="BC189" i="278"/>
  <c r="BC193" i="278"/>
  <c r="BC9" i="315"/>
  <c r="BC192" i="278"/>
  <c r="BC197" i="278"/>
  <c r="BB172" i="278"/>
  <c r="BB163" i="278"/>
  <c r="BB11" i="265"/>
  <c r="BB32" i="328"/>
  <c r="BB27" i="328"/>
  <c r="BB167" i="278"/>
  <c r="BE152" i="278"/>
  <c r="BE29" i="328"/>
  <c r="BB188" i="278"/>
  <c r="BB192" i="278"/>
  <c r="BB197" i="278"/>
  <c r="BB9" i="315"/>
  <c r="BE98" i="278"/>
  <c r="BG59" i="315"/>
  <c r="BG24" i="265"/>
  <c r="BG22" i="315"/>
  <c r="BG61" i="265"/>
  <c r="BI30" i="289"/>
  <c r="BF214" i="273"/>
  <c r="BF147" i="278"/>
  <c r="BF149" i="278"/>
  <c r="BD17" i="328"/>
  <c r="BI84" i="273"/>
  <c r="BI54" i="273"/>
  <c r="BI211" i="278"/>
  <c r="BI650" i="321"/>
  <c r="BI707" i="321"/>
  <c r="BI186" i="278"/>
  <c r="BI161" i="278"/>
  <c r="BI579" i="321"/>
  <c r="BI598" i="321"/>
  <c r="BI599" i="321"/>
  <c r="BI53" i="273"/>
  <c r="BI75" i="273"/>
  <c r="BJ76" i="273"/>
  <c r="BF330" i="321"/>
  <c r="BF39" i="321"/>
  <c r="BF218" i="321"/>
  <c r="BF11" i="278"/>
  <c r="BL10" i="289"/>
  <c r="BL2" i="328"/>
  <c r="L65" i="269"/>
  <c r="J65" i="269"/>
  <c r="BI272" i="278"/>
  <c r="BI85" i="273"/>
  <c r="BI39" i="314"/>
  <c r="BI79" i="314"/>
  <c r="BI15" i="275"/>
  <c r="BI19" i="282"/>
  <c r="BI296" i="278"/>
  <c r="BI118" i="314"/>
  <c r="BI158" i="314"/>
  <c r="BE153" i="278"/>
  <c r="BE30" i="328"/>
  <c r="BI240" i="278"/>
  <c r="BI247" i="278"/>
  <c r="BI56" i="273"/>
  <c r="BH203" i="288"/>
  <c r="BH178" i="288"/>
  <c r="BH28" i="288"/>
  <c r="BH53" i="288"/>
  <c r="BE97" i="278"/>
  <c r="BG213" i="273"/>
  <c r="BG267" i="321"/>
  <c r="BG71" i="321"/>
  <c r="BG259" i="321"/>
  <c r="BG253" i="321"/>
  <c r="BG131" i="321"/>
  <c r="BG277" i="321"/>
  <c r="BH203" i="273"/>
  <c r="BI201" i="273"/>
  <c r="BI263" i="321"/>
  <c r="BJ11" i="289"/>
  <c r="BJ12" i="289"/>
  <c r="BJ36" i="289"/>
  <c r="BF90" i="278"/>
  <c r="BH105" i="282"/>
  <c r="BH591" i="321"/>
  <c r="BH37" i="282"/>
  <c r="BE67" i="288"/>
  <c r="BE68" i="288"/>
  <c r="BE167" i="288"/>
  <c r="BE86" i="288"/>
  <c r="BE230" i="288"/>
  <c r="BE51" i="321"/>
  <c r="BE161" i="288"/>
  <c r="BE162" i="288"/>
  <c r="BE171" i="288"/>
  <c r="BE80" i="288"/>
  <c r="BE241" i="288"/>
  <c r="BE242" i="288"/>
  <c r="BE244" i="288"/>
  <c r="BE217" i="288"/>
  <c r="BE218" i="288"/>
  <c r="BE220" i="288"/>
  <c r="BE217" i="273"/>
  <c r="BD218" i="273"/>
  <c r="BE259" i="288"/>
  <c r="BE236" i="288"/>
  <c r="BE45" i="321"/>
  <c r="BE46" i="321"/>
  <c r="BE48" i="321"/>
  <c r="BE91" i="288"/>
  <c r="BE109" i="288"/>
  <c r="BI4" i="282"/>
  <c r="BI4" i="285"/>
  <c r="BI4" i="275"/>
  <c r="BI4" i="304"/>
  <c r="BI4" i="278"/>
  <c r="BI4" i="288"/>
  <c r="BI11" i="328"/>
  <c r="BI4" i="321"/>
  <c r="BI4" i="289"/>
  <c r="BI4" i="315"/>
  <c r="BI4" i="314"/>
  <c r="BI4" i="273"/>
  <c r="BI4" i="286"/>
  <c r="F146" i="328"/>
  <c r="G145" i="328"/>
  <c r="BG70" i="321"/>
  <c r="BG165" i="321"/>
  <c r="BG147" i="321"/>
  <c r="BH163" i="273"/>
  <c r="BG130" i="321"/>
  <c r="BG212" i="273"/>
  <c r="BG141" i="321"/>
  <c r="BG155" i="321"/>
  <c r="BI589" i="321"/>
  <c r="BI590" i="321"/>
  <c r="BI38" i="314"/>
  <c r="BI55" i="273"/>
  <c r="BI259" i="278"/>
  <c r="BI28" i="314"/>
  <c r="BI117" i="314"/>
  <c r="BI122" i="273"/>
  <c r="BI261" i="273"/>
  <c r="BF3" i="304"/>
  <c r="BF3" i="282"/>
  <c r="BF47" i="273"/>
  <c r="BF3" i="286"/>
  <c r="BF4" i="328"/>
  <c r="BF3" i="321"/>
  <c r="BF3" i="275"/>
  <c r="BF3" i="289"/>
  <c r="BF3" i="315"/>
  <c r="BF3" i="285"/>
  <c r="BF3" i="278"/>
  <c r="BF3" i="314"/>
  <c r="BF3" i="273"/>
  <c r="BF3" i="288"/>
  <c r="BF3" i="265"/>
  <c r="BH658" i="321"/>
  <c r="BH602" i="321"/>
  <c r="BC213" i="278"/>
  <c r="BC214" i="278"/>
  <c r="BC218" i="278"/>
  <c r="BC217" i="278"/>
  <c r="BC155" i="278"/>
  <c r="BC223" i="278"/>
  <c r="BI674" i="321"/>
  <c r="BI262" i="273"/>
  <c r="BJ119" i="273"/>
  <c r="BJ120" i="273"/>
  <c r="BJ123" i="273"/>
  <c r="BJ198" i="273"/>
  <c r="BJ199" i="273"/>
  <c r="BJ202" i="273"/>
  <c r="BJ2" i="265"/>
  <c r="BJ2" i="286"/>
  <c r="BJ2" i="282"/>
  <c r="BJ34" i="288"/>
  <c r="BJ148" i="288"/>
  <c r="BJ2" i="288"/>
  <c r="BJ258" i="273"/>
  <c r="BJ259" i="273"/>
  <c r="BJ154" i="273"/>
  <c r="BJ3" i="328"/>
  <c r="BJ8" i="328"/>
  <c r="BJ49" i="273"/>
  <c r="BJ2" i="314"/>
  <c r="BJ2" i="321"/>
  <c r="BJ38" i="311"/>
  <c r="BJ71" i="273"/>
  <c r="BJ194" i="273"/>
  <c r="BJ59" i="288"/>
  <c r="BJ2" i="285"/>
  <c r="BJ2" i="304"/>
  <c r="BJ2" i="315"/>
  <c r="BJ209" i="288"/>
  <c r="BJ158" i="273"/>
  <c r="BJ159" i="273"/>
  <c r="BJ162" i="273"/>
  <c r="BJ2" i="273"/>
  <c r="BJ184" i="288"/>
  <c r="BJ2" i="278"/>
  <c r="BJ2" i="275"/>
  <c r="BJ2" i="289"/>
  <c r="BI11" i="282"/>
  <c r="BI552" i="321"/>
  <c r="BI623" i="321"/>
  <c r="BI110" i="286"/>
  <c r="BI566" i="321"/>
  <c r="BI268" i="278"/>
  <c r="BI292" i="278"/>
  <c r="BI15" i="286"/>
  <c r="BI162" i="278"/>
  <c r="BI16" i="288"/>
  <c r="BI17" i="288"/>
  <c r="BI637" i="321"/>
  <c r="BI92" i="286"/>
  <c r="BI109" i="273"/>
  <c r="BJ110" i="273"/>
  <c r="BI212" i="278"/>
  <c r="BI187" i="278"/>
  <c r="BI33" i="286"/>
  <c r="BI237" i="273"/>
  <c r="BG230" i="278"/>
  <c r="BG701" i="321"/>
  <c r="BG702" i="321"/>
  <c r="BG706" i="321"/>
  <c r="BG551" i="321"/>
  <c r="BG283" i="278"/>
  <c r="BG622" i="321"/>
  <c r="BG100" i="278"/>
  <c r="BG306" i="278"/>
  <c r="BG136" i="314"/>
  <c r="BG50" i="314"/>
  <c r="BG581" i="321"/>
  <c r="BG204" i="278"/>
  <c r="BG497" i="321"/>
  <c r="BG565" i="321"/>
  <c r="BG540" i="321"/>
  <c r="BG708" i="321"/>
  <c r="BG104" i="314"/>
  <c r="BG617" i="321"/>
  <c r="BG644" i="321"/>
  <c r="BG659" i="321"/>
  <c r="BG453" i="321"/>
  <c r="BG31" i="289"/>
  <c r="BG32" i="289"/>
  <c r="BG37" i="289"/>
  <c r="BG39" i="289"/>
  <c r="BH39" i="289"/>
  <c r="BG57" i="314"/>
  <c r="BG239" i="278"/>
  <c r="BG603" i="321"/>
  <c r="BG636" i="321"/>
  <c r="BG545" i="321"/>
  <c r="BG17" i="314"/>
  <c r="BG179" i="278"/>
  <c r="BG573" i="321"/>
  <c r="BG148" i="278"/>
  <c r="BG713" i="321"/>
  <c r="BG233" i="273"/>
  <c r="BG234" i="273"/>
  <c r="BG17" i="278"/>
  <c r="BG238" i="273"/>
  <c r="BG239" i="273"/>
  <c r="BG652" i="321"/>
  <c r="BG694" i="321"/>
  <c r="BG319" i="278"/>
  <c r="BG129" i="314"/>
  <c r="BG675" i="321"/>
  <c r="BG246" i="278"/>
  <c r="BG63" i="286"/>
  <c r="BF91" i="278"/>
  <c r="BH124" i="273"/>
  <c r="BG16" i="285"/>
  <c r="BH20" i="275"/>
  <c r="BI17" i="275"/>
  <c r="BH84" i="273"/>
  <c r="BH86" i="273"/>
  <c r="BH54" i="273"/>
  <c r="BH57" i="273"/>
  <c r="K323" i="278"/>
  <c r="J113" i="315"/>
  <c r="J117" i="265"/>
  <c r="H254" i="306"/>
  <c r="H310" i="278"/>
  <c r="J310" i="278"/>
  <c r="J312" i="278"/>
  <c r="BD15" i="310"/>
  <c r="G152" i="328"/>
  <c r="L27" i="326"/>
  <c r="K27" i="326"/>
  <c r="BG24" i="314"/>
  <c r="BG172" i="314"/>
  <c r="BG36" i="285"/>
  <c r="BG111" i="314"/>
  <c r="BG44" i="314"/>
  <c r="BG123" i="314"/>
  <c r="BG11" i="321"/>
  <c r="BG89" i="314"/>
  <c r="BG40" i="321"/>
  <c r="BG41" i="321"/>
  <c r="BG44" i="321"/>
  <c r="BD31" i="288"/>
  <c r="BD181" i="288"/>
  <c r="G150" i="328"/>
  <c r="K26" i="326"/>
  <c r="H42" i="265"/>
  <c r="H119" i="269"/>
  <c r="K119" i="269"/>
  <c r="H40" i="315"/>
  <c r="H311" i="278"/>
  <c r="H18" i="307"/>
  <c r="Z224" i="278"/>
  <c r="Z225" i="278"/>
  <c r="Z220" i="278"/>
  <c r="H228" i="306"/>
  <c r="H278" i="306"/>
  <c r="BC92" i="306"/>
  <c r="BC93" i="306"/>
  <c r="BC24" i="288"/>
  <c r="BC25" i="288"/>
  <c r="BC31" i="288"/>
  <c r="H210" i="306"/>
  <c r="BI263" i="273"/>
  <c r="H88" i="306"/>
  <c r="H227" i="306"/>
  <c r="H89" i="306"/>
  <c r="H235" i="306"/>
  <c r="Q236" i="306"/>
  <c r="BG709" i="321"/>
  <c r="BG711" i="321"/>
  <c r="H218" i="306"/>
  <c r="BG214" i="273"/>
  <c r="BG161" i="288"/>
  <c r="BD217" i="278"/>
  <c r="BG72" i="321"/>
  <c r="BG79" i="321"/>
  <c r="BD213" i="278"/>
  <c r="BD214" i="278"/>
  <c r="BD218" i="278"/>
  <c r="BB11" i="315"/>
  <c r="BO38" i="289"/>
  <c r="BO133" i="288"/>
  <c r="BO136" i="288"/>
  <c r="BO138" i="288"/>
  <c r="BO140" i="288"/>
  <c r="BO145" i="288"/>
  <c r="BO23" i="288"/>
  <c r="BO25" i="288"/>
  <c r="BN181" i="288"/>
  <c r="BN31" i="288"/>
  <c r="BE101" i="278"/>
  <c r="BE104" i="278"/>
  <c r="BE105" i="278"/>
  <c r="BD223" i="278"/>
  <c r="BP102" i="314"/>
  <c r="BP78" i="288"/>
  <c r="BP228" i="288"/>
  <c r="BP5" i="265"/>
  <c r="BP84" i="288"/>
  <c r="BP5" i="289"/>
  <c r="BP5" i="275"/>
  <c r="BP5" i="314"/>
  <c r="BP5" i="328"/>
  <c r="BP5" i="285"/>
  <c r="BP5" i="282"/>
  <c r="BP234" i="288"/>
  <c r="BP5" i="315"/>
  <c r="BP5" i="286"/>
  <c r="BP5" i="304"/>
  <c r="BP5" i="273"/>
  <c r="BP5" i="288"/>
  <c r="BP5" i="321"/>
  <c r="BP5" i="278"/>
  <c r="BE9" i="315"/>
  <c r="BD197" i="278"/>
  <c r="BD192" i="278"/>
  <c r="BD9" i="315"/>
  <c r="BD188" i="278"/>
  <c r="BD189" i="278"/>
  <c r="BD193" i="278"/>
  <c r="BI57" i="273"/>
  <c r="BH63" i="273"/>
  <c r="BH64" i="273"/>
  <c r="BI124" i="273"/>
  <c r="BH16" i="285"/>
  <c r="BJ161" i="278"/>
  <c r="BJ650" i="321"/>
  <c r="BJ598" i="321"/>
  <c r="BJ599" i="321"/>
  <c r="BJ211" i="278"/>
  <c r="BJ707" i="321"/>
  <c r="BJ579" i="321"/>
  <c r="BJ186" i="278"/>
  <c r="BH147" i="321"/>
  <c r="BH165" i="321"/>
  <c r="BI163" i="273"/>
  <c r="BH130" i="321"/>
  <c r="BH212" i="273"/>
  <c r="BH141" i="321"/>
  <c r="BH70" i="321"/>
  <c r="BH155" i="321"/>
  <c r="BE70" i="288"/>
  <c r="BE57" i="328"/>
  <c r="BF97" i="278"/>
  <c r="BI658" i="321"/>
  <c r="BI602" i="321"/>
  <c r="BI86" i="273"/>
  <c r="BF29" i="328"/>
  <c r="BF152" i="278"/>
  <c r="BD10" i="265"/>
  <c r="BD10" i="315"/>
  <c r="BG3" i="273"/>
  <c r="BG3" i="278"/>
  <c r="BG3" i="285"/>
  <c r="BG4" i="328"/>
  <c r="BG3" i="289"/>
  <c r="BG3" i="282"/>
  <c r="BG3" i="304"/>
  <c r="BG47" i="273"/>
  <c r="BG3" i="288"/>
  <c r="BG3" i="265"/>
  <c r="BG3" i="314"/>
  <c r="BG3" i="321"/>
  <c r="BG3" i="286"/>
  <c r="BG3" i="275"/>
  <c r="BG3" i="315"/>
  <c r="L119" i="269"/>
  <c r="J119" i="269"/>
  <c r="BH239" i="278"/>
  <c r="BH551" i="321"/>
  <c r="BH603" i="321"/>
  <c r="BH675" i="321"/>
  <c r="BH100" i="278"/>
  <c r="BH204" i="278"/>
  <c r="BH644" i="321"/>
  <c r="BH659" i="321"/>
  <c r="BH319" i="278"/>
  <c r="BH136" i="314"/>
  <c r="BH129" i="314"/>
  <c r="BH708" i="321"/>
  <c r="BH246" i="278"/>
  <c r="BH453" i="321"/>
  <c r="BH57" i="314"/>
  <c r="BH179" i="278"/>
  <c r="BH148" i="278"/>
  <c r="BH238" i="273"/>
  <c r="BH239" i="273"/>
  <c r="BH50" i="314"/>
  <c r="BH17" i="314"/>
  <c r="BH701" i="321"/>
  <c r="BH702" i="321"/>
  <c r="BH706" i="321"/>
  <c r="BH709" i="321"/>
  <c r="BH711" i="321"/>
  <c r="BH565" i="321"/>
  <c r="BH47" i="289"/>
  <c r="BH48" i="289"/>
  <c r="BH53" i="289"/>
  <c r="BH283" i="278"/>
  <c r="BH652" i="321"/>
  <c r="BH694" i="321"/>
  <c r="BH497" i="321"/>
  <c r="BH31" i="289"/>
  <c r="BH32" i="289"/>
  <c r="BH37" i="289"/>
  <c r="BH104" i="314"/>
  <c r="BH636" i="321"/>
  <c r="BH230" i="278"/>
  <c r="BH233" i="273"/>
  <c r="BH234" i="273"/>
  <c r="BH17" i="278"/>
  <c r="BH622" i="321"/>
  <c r="BH63" i="286"/>
  <c r="BH540" i="321"/>
  <c r="BH573" i="321"/>
  <c r="BH617" i="321"/>
  <c r="BH545" i="321"/>
  <c r="BH581" i="321"/>
  <c r="BH16" i="289"/>
  <c r="BH17" i="289"/>
  <c r="BH22" i="289"/>
  <c r="BH713" i="321"/>
  <c r="BH306" i="278"/>
  <c r="BJ262" i="273"/>
  <c r="BJ674" i="321"/>
  <c r="BJ566" i="321"/>
  <c r="BJ268" i="278"/>
  <c r="BJ187" i="278"/>
  <c r="BJ110" i="286"/>
  <c r="BJ16" i="288"/>
  <c r="BJ17" i="288"/>
  <c r="BJ162" i="278"/>
  <c r="BJ212" i="278"/>
  <c r="BJ292" i="278"/>
  <c r="BJ33" i="286"/>
  <c r="BJ11" i="282"/>
  <c r="BJ15" i="286"/>
  <c r="BJ109" i="273"/>
  <c r="BK110" i="273"/>
  <c r="BJ552" i="321"/>
  <c r="BJ637" i="321"/>
  <c r="BJ92" i="286"/>
  <c r="BJ623" i="321"/>
  <c r="BJ72" i="273"/>
  <c r="BJ155" i="273"/>
  <c r="BF92" i="278"/>
  <c r="BJ122" i="273"/>
  <c r="BJ259" i="278"/>
  <c r="BJ589" i="321"/>
  <c r="BJ590" i="321"/>
  <c r="BJ38" i="314"/>
  <c r="BJ55" i="273"/>
  <c r="BJ117" i="314"/>
  <c r="BJ28" i="314"/>
  <c r="BJ261" i="273"/>
  <c r="BJ263" i="273"/>
  <c r="BM2" i="328"/>
  <c r="BD167" i="278"/>
  <c r="BD27" i="328"/>
  <c r="BD172" i="278"/>
  <c r="BD163" i="278"/>
  <c r="BD164" i="278"/>
  <c r="BD168" i="278"/>
  <c r="BF45" i="321"/>
  <c r="BF46" i="321"/>
  <c r="BF48" i="321"/>
  <c r="BF86" i="288"/>
  <c r="BF236" i="288"/>
  <c r="BF67" i="288"/>
  <c r="BF68" i="288"/>
  <c r="BF259" i="288"/>
  <c r="BF80" i="288"/>
  <c r="BF109" i="288"/>
  <c r="BF217" i="288"/>
  <c r="BF218" i="288"/>
  <c r="BF220" i="288"/>
  <c r="BF167" i="288"/>
  <c r="BF217" i="273"/>
  <c r="BE218" i="273"/>
  <c r="BF230" i="288"/>
  <c r="BF51" i="321"/>
  <c r="BF91" i="288"/>
  <c r="BF241" i="288"/>
  <c r="BF242" i="288"/>
  <c r="BF244" i="288"/>
  <c r="BF161" i="288"/>
  <c r="BK36" i="289"/>
  <c r="BE154" i="278"/>
  <c r="BG91" i="278"/>
  <c r="BG90" i="278"/>
  <c r="BJ4" i="321"/>
  <c r="BJ4" i="285"/>
  <c r="BJ4" i="315"/>
  <c r="BJ4" i="314"/>
  <c r="BJ4" i="304"/>
  <c r="BJ4" i="273"/>
  <c r="BJ4" i="286"/>
  <c r="BJ11" i="328"/>
  <c r="BJ4" i="289"/>
  <c r="BJ4" i="278"/>
  <c r="BJ4" i="282"/>
  <c r="BJ4" i="288"/>
  <c r="BJ4" i="275"/>
  <c r="BI28" i="288"/>
  <c r="BI203" i="288"/>
  <c r="BI178" i="288"/>
  <c r="BI53" i="288"/>
  <c r="BH22" i="315"/>
  <c r="BH61" i="265"/>
  <c r="BH59" i="315"/>
  <c r="BH24" i="265"/>
  <c r="BJ46" i="289"/>
  <c r="BJ15" i="289"/>
  <c r="BJ30" i="289"/>
  <c r="BH131" i="321"/>
  <c r="BH259" i="321"/>
  <c r="BH71" i="321"/>
  <c r="BH277" i="321"/>
  <c r="BI203" i="273"/>
  <c r="BH267" i="321"/>
  <c r="BH213" i="273"/>
  <c r="BH253" i="321"/>
  <c r="BJ54" i="273"/>
  <c r="BJ84" i="273"/>
  <c r="BK158" i="273"/>
  <c r="BK159" i="273"/>
  <c r="BK162" i="273"/>
  <c r="BK71" i="273"/>
  <c r="BK72" i="273"/>
  <c r="BK3" i="328"/>
  <c r="BK8" i="328"/>
  <c r="BK2" i="285"/>
  <c r="BK2" i="304"/>
  <c r="BK2" i="278"/>
  <c r="BK49" i="273"/>
  <c r="BK258" i="273"/>
  <c r="BK2" i="282"/>
  <c r="BK2" i="315"/>
  <c r="BK198" i="273"/>
  <c r="BK199" i="273"/>
  <c r="BK202" i="273"/>
  <c r="BK184" i="288"/>
  <c r="BK2" i="321"/>
  <c r="BK2" i="273"/>
  <c r="BK2" i="288"/>
  <c r="BK2" i="286"/>
  <c r="BK194" i="273"/>
  <c r="BK195" i="273"/>
  <c r="BK2" i="314"/>
  <c r="BK119" i="273"/>
  <c r="BK120" i="273"/>
  <c r="BK123" i="273"/>
  <c r="BK154" i="273"/>
  <c r="BK2" i="265"/>
  <c r="BK38" i="311"/>
  <c r="BK2" i="289"/>
  <c r="BK2" i="275"/>
  <c r="BK34" i="288"/>
  <c r="BK209" i="288"/>
  <c r="BK59" i="288"/>
  <c r="BK148" i="288"/>
  <c r="BG218" i="321"/>
  <c r="BG39" i="321"/>
  <c r="BG330" i="321"/>
  <c r="BG11" i="278"/>
  <c r="BG147" i="278"/>
  <c r="BG149" i="278"/>
  <c r="BJ247" i="278"/>
  <c r="BJ240" i="278"/>
  <c r="BJ56" i="273"/>
  <c r="BJ237" i="273"/>
  <c r="BC10" i="265"/>
  <c r="BC11" i="265"/>
  <c r="BC32" i="328"/>
  <c r="BC10" i="315"/>
  <c r="BC11" i="315"/>
  <c r="BI105" i="282"/>
  <c r="BI37" i="282"/>
  <c r="BI591" i="321"/>
  <c r="G146" i="328"/>
  <c r="L25" i="326"/>
  <c r="K25" i="326"/>
  <c r="BD122" i="288"/>
  <c r="BD264" i="288"/>
  <c r="BD272" i="288"/>
  <c r="BD114" i="288"/>
  <c r="BJ195" i="273"/>
  <c r="BI20" i="275"/>
  <c r="BJ17" i="275"/>
  <c r="BF30" i="328"/>
  <c r="BF153" i="278"/>
  <c r="Z44" i="265"/>
  <c r="Z42" i="315"/>
  <c r="K274" i="306"/>
  <c r="K317" i="278"/>
  <c r="P274" i="306"/>
  <c r="P317" i="278"/>
  <c r="Q274" i="306"/>
  <c r="Q317" i="278"/>
  <c r="BE15" i="310"/>
  <c r="J106" i="315"/>
  <c r="J110" i="265"/>
  <c r="K309" i="278"/>
  <c r="AK9" i="310"/>
  <c r="AK283" i="307"/>
  <c r="BH24" i="314"/>
  <c r="BH172" i="314"/>
  <c r="BH36" i="285"/>
  <c r="BH111" i="314"/>
  <c r="BH44" i="314"/>
  <c r="BH123" i="314"/>
  <c r="BH89" i="314"/>
  <c r="BH11" i="321"/>
  <c r="BH40" i="321"/>
  <c r="BH41" i="321"/>
  <c r="BH44" i="321"/>
  <c r="K318" i="278"/>
  <c r="K326" i="278"/>
  <c r="BE24" i="288"/>
  <c r="BE25" i="288"/>
  <c r="H93" i="306"/>
  <c r="H24" i="288"/>
  <c r="J279" i="306"/>
  <c r="K279" i="306"/>
  <c r="K25" i="285"/>
  <c r="P279" i="306"/>
  <c r="P25" i="285"/>
  <c r="Q279" i="306"/>
  <c r="Q25" i="285"/>
  <c r="H217" i="306"/>
  <c r="H273" i="306"/>
  <c r="Z229" i="278"/>
  <c r="Z231" i="278"/>
  <c r="AA222" i="278"/>
  <c r="Z116" i="265"/>
  <c r="Z112" i="315"/>
  <c r="Z254" i="278"/>
  <c r="F169" i="328"/>
  <c r="H68" i="269"/>
  <c r="K68" i="269"/>
  <c r="K236" i="306"/>
  <c r="P236" i="306"/>
  <c r="L26" i="326"/>
  <c r="H92" i="306"/>
  <c r="BC181" i="288"/>
  <c r="BJ86" i="273"/>
  <c r="BG217" i="273"/>
  <c r="BF218" i="273"/>
  <c r="BF272" i="288"/>
  <c r="BG236" i="288"/>
  <c r="BG109" i="288"/>
  <c r="BG259" i="288"/>
  <c r="BG230" i="288"/>
  <c r="BG45" i="321"/>
  <c r="BG46" i="321"/>
  <c r="BG48" i="321"/>
  <c r="BG51" i="321"/>
  <c r="BG217" i="288"/>
  <c r="BG218" i="288"/>
  <c r="BG220" i="288"/>
  <c r="BG67" i="288"/>
  <c r="BG68" i="288"/>
  <c r="BG57" i="328"/>
  <c r="BG241" i="288"/>
  <c r="BG242" i="288"/>
  <c r="BG244" i="288"/>
  <c r="BG167" i="288"/>
  <c r="BG80" i="288"/>
  <c r="BG86" i="288"/>
  <c r="BG91" i="288"/>
  <c r="BG17" i="328"/>
  <c r="BC15" i="310"/>
  <c r="BP38" i="289"/>
  <c r="BP133" i="288"/>
  <c r="BP136" i="288"/>
  <c r="BP138" i="288"/>
  <c r="BP140" i="288"/>
  <c r="BP145" i="288"/>
  <c r="BP23" i="288"/>
  <c r="BP25" i="288"/>
  <c r="BQ102" i="314"/>
  <c r="BQ84" i="288"/>
  <c r="BQ228" i="288"/>
  <c r="BQ5" i="328"/>
  <c r="BQ234" i="288"/>
  <c r="BQ5" i="265"/>
  <c r="BQ78" i="288"/>
  <c r="BQ5" i="289"/>
  <c r="BQ5" i="278"/>
  <c r="BQ5" i="275"/>
  <c r="BQ5" i="286"/>
  <c r="BQ5" i="273"/>
  <c r="BQ5" i="321"/>
  <c r="BQ5" i="285"/>
  <c r="BQ5" i="288"/>
  <c r="BQ5" i="304"/>
  <c r="BQ5" i="282"/>
  <c r="BQ5" i="315"/>
  <c r="BQ5" i="314"/>
  <c r="BO181" i="288"/>
  <c r="BO31" i="288"/>
  <c r="BE192" i="278"/>
  <c r="BE188" i="278"/>
  <c r="BE189" i="278"/>
  <c r="BE193" i="278"/>
  <c r="BE197" i="278"/>
  <c r="BD11" i="265"/>
  <c r="BD32" i="328"/>
  <c r="BD11" i="315"/>
  <c r="BE163" i="278"/>
  <c r="BE164" i="278"/>
  <c r="BE168" i="278"/>
  <c r="BE172" i="278"/>
  <c r="BE27" i="328"/>
  <c r="BE167" i="278"/>
  <c r="BK201" i="273"/>
  <c r="BK263" i="321"/>
  <c r="BK53" i="273"/>
  <c r="BK75" i="273"/>
  <c r="BL76" i="273"/>
  <c r="BH147" i="278"/>
  <c r="BH149" i="278"/>
  <c r="BK237" i="273"/>
  <c r="BF162" i="288"/>
  <c r="BF171" i="288"/>
  <c r="BG162" i="288"/>
  <c r="BG171" i="288"/>
  <c r="BN2" i="328"/>
  <c r="BN10" i="289"/>
  <c r="BJ161" i="273"/>
  <c r="BJ163" i="273"/>
  <c r="BJ151" i="321"/>
  <c r="BI17" i="314"/>
  <c r="BI540" i="321"/>
  <c r="BI708" i="321"/>
  <c r="BI617" i="321"/>
  <c r="BI622" i="321"/>
  <c r="BI644" i="321"/>
  <c r="BI694" i="321"/>
  <c r="BI31" i="289"/>
  <c r="BI32" i="289"/>
  <c r="BI37" i="289"/>
  <c r="BI39" i="289"/>
  <c r="BJ39" i="289"/>
  <c r="BI545" i="321"/>
  <c r="BI179" i="278"/>
  <c r="BI148" i="278"/>
  <c r="BI713" i="321"/>
  <c r="BI233" i="273"/>
  <c r="BI234" i="273"/>
  <c r="BI17" i="278"/>
  <c r="BI238" i="273"/>
  <c r="BI239" i="273"/>
  <c r="BI50" i="314"/>
  <c r="BI573" i="321"/>
  <c r="BI652" i="321"/>
  <c r="BI453" i="321"/>
  <c r="BI63" i="286"/>
  <c r="BI239" i="278"/>
  <c r="BI581" i="321"/>
  <c r="BI603" i="321"/>
  <c r="BI675" i="321"/>
  <c r="BI565" i="321"/>
  <c r="BI100" i="278"/>
  <c r="BI204" i="278"/>
  <c r="BI636" i="321"/>
  <c r="BI319" i="278"/>
  <c r="BI136" i="314"/>
  <c r="BI57" i="314"/>
  <c r="BI230" i="278"/>
  <c r="BI701" i="321"/>
  <c r="BI702" i="321"/>
  <c r="BI706" i="321"/>
  <c r="BI551" i="321"/>
  <c r="BI104" i="314"/>
  <c r="BI246" i="278"/>
  <c r="BI283" i="278"/>
  <c r="BI659" i="321"/>
  <c r="BI497" i="321"/>
  <c r="BI306" i="278"/>
  <c r="BI129" i="314"/>
  <c r="BF17" i="328"/>
  <c r="BG30" i="328"/>
  <c r="BG153" i="278"/>
  <c r="BI71" i="321"/>
  <c r="BI267" i="321"/>
  <c r="BI253" i="321"/>
  <c r="BI213" i="273"/>
  <c r="BI259" i="321"/>
  <c r="BI277" i="321"/>
  <c r="BI131" i="321"/>
  <c r="BJ296" i="278"/>
  <c r="BJ39" i="314"/>
  <c r="BJ158" i="314"/>
  <c r="BJ118" i="314"/>
  <c r="BJ19" i="282"/>
  <c r="BJ15" i="275"/>
  <c r="BJ20" i="275"/>
  <c r="BK17" i="275"/>
  <c r="BJ79" i="314"/>
  <c r="BJ85" i="273"/>
  <c r="BJ272" i="278"/>
  <c r="BG92" i="278"/>
  <c r="BE213" i="278"/>
  <c r="BE214" i="278"/>
  <c r="BE218" i="278"/>
  <c r="BE217" i="278"/>
  <c r="BE155" i="278"/>
  <c r="BE223" i="278"/>
  <c r="BK30" i="289"/>
  <c r="BE264" i="288"/>
  <c r="BE114" i="288"/>
  <c r="BE272" i="288"/>
  <c r="BE122" i="288"/>
  <c r="BH11" i="278"/>
  <c r="BH39" i="321"/>
  <c r="BH218" i="321"/>
  <c r="BH330" i="321"/>
  <c r="BF154" i="278"/>
  <c r="BH214" i="273"/>
  <c r="BJ658" i="321"/>
  <c r="BJ602" i="321"/>
  <c r="BI16" i="285"/>
  <c r="BJ124" i="273"/>
  <c r="BL158" i="273"/>
  <c r="BL159" i="273"/>
  <c r="BL162" i="273"/>
  <c r="BL34" i="288"/>
  <c r="BL2" i="273"/>
  <c r="BL148" i="288"/>
  <c r="BL2" i="315"/>
  <c r="BL2" i="285"/>
  <c r="BL119" i="273"/>
  <c r="BL120" i="273"/>
  <c r="BL123" i="273"/>
  <c r="BL198" i="273"/>
  <c r="BL199" i="273"/>
  <c r="BL202" i="273"/>
  <c r="BL2" i="265"/>
  <c r="BL2" i="321"/>
  <c r="BL2" i="275"/>
  <c r="BL2" i="304"/>
  <c r="BL184" i="288"/>
  <c r="BL38" i="311"/>
  <c r="BL258" i="273"/>
  <c r="BL259" i="273"/>
  <c r="BL154" i="273"/>
  <c r="BL3" i="328"/>
  <c r="BL8" i="328"/>
  <c r="BL2" i="289"/>
  <c r="BL2" i="282"/>
  <c r="BL2" i="288"/>
  <c r="BL2" i="314"/>
  <c r="BL71" i="273"/>
  <c r="BL194" i="273"/>
  <c r="BL59" i="288"/>
  <c r="BL2" i="286"/>
  <c r="BL209" i="288"/>
  <c r="BL2" i="278"/>
  <c r="BL49" i="273"/>
  <c r="BI61" i="265"/>
  <c r="BI59" i="315"/>
  <c r="BI24" i="265"/>
  <c r="BI22" i="315"/>
  <c r="BG29" i="328"/>
  <c r="BG152" i="278"/>
  <c r="BK598" i="321"/>
  <c r="BK599" i="321"/>
  <c r="BK650" i="321"/>
  <c r="BK579" i="321"/>
  <c r="BK707" i="321"/>
  <c r="BK211" i="278"/>
  <c r="BK161" i="278"/>
  <c r="BK186" i="278"/>
  <c r="BF18" i="328"/>
  <c r="BF98" i="278"/>
  <c r="BJ75" i="273"/>
  <c r="BK76" i="273"/>
  <c r="BJ53" i="273"/>
  <c r="BJ57" i="273"/>
  <c r="BJ203" i="288"/>
  <c r="BJ53" i="288"/>
  <c r="BJ178" i="288"/>
  <c r="BJ28" i="288"/>
  <c r="BH90" i="278"/>
  <c r="BF101" i="278"/>
  <c r="BF104" i="278"/>
  <c r="BF105" i="278"/>
  <c r="BH3" i="285"/>
  <c r="BH3" i="275"/>
  <c r="BH3" i="321"/>
  <c r="BH4" i="328"/>
  <c r="BH3" i="265"/>
  <c r="BH47" i="273"/>
  <c r="BH3" i="288"/>
  <c r="BH3" i="278"/>
  <c r="BH3" i="282"/>
  <c r="BH3" i="273"/>
  <c r="BH3" i="315"/>
  <c r="BH3" i="286"/>
  <c r="BH3" i="304"/>
  <c r="BH3" i="314"/>
  <c r="BH3" i="289"/>
  <c r="BL36" i="289"/>
  <c r="BL11" i="289"/>
  <c r="BL12" i="289"/>
  <c r="BJ201" i="273"/>
  <c r="BJ203" i="273"/>
  <c r="BJ263" i="321"/>
  <c r="BK4" i="282"/>
  <c r="BK4" i="278"/>
  <c r="BK4" i="321"/>
  <c r="BK4" i="286"/>
  <c r="BK4" i="304"/>
  <c r="BK4" i="315"/>
  <c r="BK11" i="328"/>
  <c r="BK4" i="273"/>
  <c r="BK4" i="288"/>
  <c r="BK4" i="314"/>
  <c r="BK4" i="289"/>
  <c r="BK4" i="285"/>
  <c r="BK4" i="275"/>
  <c r="BK212" i="278"/>
  <c r="BK268" i="278"/>
  <c r="BK623" i="321"/>
  <c r="BK15" i="286"/>
  <c r="BK11" i="282"/>
  <c r="BK552" i="321"/>
  <c r="BK187" i="278"/>
  <c r="BK92" i="286"/>
  <c r="BK566" i="321"/>
  <c r="BK162" i="278"/>
  <c r="BK292" i="278"/>
  <c r="BK33" i="286"/>
  <c r="BK16" i="288"/>
  <c r="BK17" i="288"/>
  <c r="BK109" i="273"/>
  <c r="BL110" i="273"/>
  <c r="BK637" i="321"/>
  <c r="BK110" i="286"/>
  <c r="BF264" i="288"/>
  <c r="BK259" i="273"/>
  <c r="BF70" i="288"/>
  <c r="BF57" i="328"/>
  <c r="BJ105" i="282"/>
  <c r="BJ37" i="282"/>
  <c r="BJ591" i="321"/>
  <c r="BK155" i="273"/>
  <c r="BK247" i="278"/>
  <c r="BK56" i="273"/>
  <c r="BK240" i="278"/>
  <c r="BH91" i="278"/>
  <c r="BH72" i="321"/>
  <c r="BH79" i="321"/>
  <c r="BI130" i="321"/>
  <c r="BI165" i="321"/>
  <c r="BI141" i="321"/>
  <c r="BI155" i="321"/>
  <c r="BI70" i="321"/>
  <c r="BI212" i="273"/>
  <c r="BI147" i="321"/>
  <c r="BG97" i="278"/>
  <c r="BI63" i="273"/>
  <c r="BI64" i="273"/>
  <c r="Q24" i="285"/>
  <c r="Q237" i="306"/>
  <c r="G169" i="328"/>
  <c r="L35" i="326"/>
  <c r="K35" i="326"/>
  <c r="J25" i="285"/>
  <c r="H279" i="306"/>
  <c r="H25" i="285"/>
  <c r="L323" i="278"/>
  <c r="K117" i="265"/>
  <c r="K113" i="315"/>
  <c r="H274" i="306"/>
  <c r="H317" i="278"/>
  <c r="P24" i="285"/>
  <c r="P237" i="306"/>
  <c r="P49" i="265" s="1"/>
  <c r="BI24" i="314"/>
  <c r="BI36" i="285"/>
  <c r="BI172" i="314"/>
  <c r="BI111" i="314"/>
  <c r="BI44" i="314"/>
  <c r="BI11" i="321"/>
  <c r="BI123" i="314"/>
  <c r="BI40" i="321"/>
  <c r="BI41" i="321"/>
  <c r="BI44" i="321"/>
  <c r="BI89" i="314"/>
  <c r="AA228" i="278"/>
  <c r="AA216" i="278"/>
  <c r="AA219" i="278"/>
  <c r="K312" i="278"/>
  <c r="K305" i="278"/>
  <c r="K307" i="278"/>
  <c r="H15" i="310"/>
  <c r="H221" i="306"/>
  <c r="Z238" i="278"/>
  <c r="Z282" i="278"/>
  <c r="Z245" i="278"/>
  <c r="K24" i="285"/>
  <c r="K237" i="306"/>
  <c r="K49" i="265" s="1"/>
  <c r="J24" i="285"/>
  <c r="H236" i="306"/>
  <c r="H24" i="285"/>
  <c r="J68" i="269"/>
  <c r="L68" i="269"/>
  <c r="BE31" i="288"/>
  <c r="BE181" i="288"/>
  <c r="H222" i="306"/>
  <c r="K320" i="278"/>
  <c r="K321" i="278"/>
  <c r="K45" i="265" s="1"/>
  <c r="BF114" i="288"/>
  <c r="BF122" i="288"/>
  <c r="BG70" i="288"/>
  <c r="BI214" i="273"/>
  <c r="BI161" i="288"/>
  <c r="BI72" i="321"/>
  <c r="BI79" i="321"/>
  <c r="BR102" i="314"/>
  <c r="BR5" i="328"/>
  <c r="BR228" i="288"/>
  <c r="BR84" i="288"/>
  <c r="BR234" i="288"/>
  <c r="BR5" i="265"/>
  <c r="BR5" i="275"/>
  <c r="BR5" i="273"/>
  <c r="BR5" i="288"/>
  <c r="BR78" i="288"/>
  <c r="BR5" i="321"/>
  <c r="BR5" i="278"/>
  <c r="BR5" i="282"/>
  <c r="BR5" i="289"/>
  <c r="BR5" i="286"/>
  <c r="BR5" i="304"/>
  <c r="BR5" i="285"/>
  <c r="BR5" i="315"/>
  <c r="BR5" i="314"/>
  <c r="BP181" i="288"/>
  <c r="BP31" i="288"/>
  <c r="BQ133" i="288"/>
  <c r="BQ136" i="288"/>
  <c r="BQ138" i="288"/>
  <c r="BQ140" i="288"/>
  <c r="BQ145" i="288"/>
  <c r="BQ38" i="289"/>
  <c r="BQ23" i="288"/>
  <c r="BQ25" i="288"/>
  <c r="BG154" i="278"/>
  <c r="BG213" i="278"/>
  <c r="BG214" i="278"/>
  <c r="BG218" i="278"/>
  <c r="BK36" i="285"/>
  <c r="BJ63" i="273"/>
  <c r="BJ64" i="273"/>
  <c r="BF172" i="278"/>
  <c r="BF167" i="278"/>
  <c r="BF27" i="328"/>
  <c r="BF163" i="278"/>
  <c r="BF164" i="278"/>
  <c r="BF168" i="278"/>
  <c r="BJ71" i="321"/>
  <c r="BJ259" i="321"/>
  <c r="BJ131" i="321"/>
  <c r="BJ267" i="321"/>
  <c r="BK203" i="273"/>
  <c r="BJ277" i="321"/>
  <c r="BJ213" i="273"/>
  <c r="BJ253" i="321"/>
  <c r="BL240" i="278"/>
  <c r="BL247" i="278"/>
  <c r="BL56" i="273"/>
  <c r="BL72" i="273"/>
  <c r="BL707" i="321"/>
  <c r="BL579" i="321"/>
  <c r="BL650" i="321"/>
  <c r="BL161" i="278"/>
  <c r="BL598" i="321"/>
  <c r="BL599" i="321"/>
  <c r="BL186" i="278"/>
  <c r="BL211" i="278"/>
  <c r="BF217" i="278"/>
  <c r="BF223" i="278"/>
  <c r="BF155" i="278"/>
  <c r="BF213" i="278"/>
  <c r="BF214" i="278"/>
  <c r="BF218" i="278"/>
  <c r="BM36" i="289"/>
  <c r="BI90" i="278"/>
  <c r="BL4" i="286"/>
  <c r="BL4" i="321"/>
  <c r="BL4" i="278"/>
  <c r="BL4" i="282"/>
  <c r="BL4" i="304"/>
  <c r="BL4" i="273"/>
  <c r="BL11" i="328"/>
  <c r="BL4" i="275"/>
  <c r="BL4" i="289"/>
  <c r="BL4" i="285"/>
  <c r="BL4" i="315"/>
  <c r="BL4" i="288"/>
  <c r="BL4" i="314"/>
  <c r="BL84" i="273"/>
  <c r="BL54" i="273"/>
  <c r="BK161" i="273"/>
  <c r="BK163" i="273"/>
  <c r="BK151" i="321"/>
  <c r="BK53" i="288"/>
  <c r="BK28" i="288"/>
  <c r="BK178" i="288"/>
  <c r="BK203" i="288"/>
  <c r="BK54" i="273"/>
  <c r="BK84" i="273"/>
  <c r="BK86" i="273"/>
  <c r="BK658" i="321"/>
  <c r="BK602" i="321"/>
  <c r="BL11" i="282"/>
  <c r="BL16" i="288"/>
  <c r="BL17" i="288"/>
  <c r="BL187" i="278"/>
  <c r="BL33" i="286"/>
  <c r="BL162" i="278"/>
  <c r="BL92" i="286"/>
  <c r="BL292" i="278"/>
  <c r="BL623" i="321"/>
  <c r="BL566" i="321"/>
  <c r="BL637" i="321"/>
  <c r="BL212" i="278"/>
  <c r="BL15" i="286"/>
  <c r="BL110" i="286"/>
  <c r="BL109" i="273"/>
  <c r="BM110" i="273"/>
  <c r="BL552" i="321"/>
  <c r="BL268" i="278"/>
  <c r="BM158" i="273"/>
  <c r="BM159" i="273"/>
  <c r="BM162" i="273"/>
  <c r="BM59" i="288"/>
  <c r="BM34" i="288"/>
  <c r="BM2" i="278"/>
  <c r="BM2" i="315"/>
  <c r="BM209" i="288"/>
  <c r="BM198" i="273"/>
  <c r="BM199" i="273"/>
  <c r="BM202" i="273"/>
  <c r="BM2" i="286"/>
  <c r="BM2" i="275"/>
  <c r="BM2" i="282"/>
  <c r="BM154" i="273"/>
  <c r="BM2" i="289"/>
  <c r="BM2" i="314"/>
  <c r="BM71" i="273"/>
  <c r="BM38" i="311"/>
  <c r="BM184" i="288"/>
  <c r="BM119" i="273"/>
  <c r="BM120" i="273"/>
  <c r="BM123" i="273"/>
  <c r="BM2" i="288"/>
  <c r="BM2" i="321"/>
  <c r="BM2" i="265"/>
  <c r="BM2" i="273"/>
  <c r="BM258" i="273"/>
  <c r="BM259" i="273"/>
  <c r="BM194" i="273"/>
  <c r="BM3" i="328"/>
  <c r="BM8" i="328"/>
  <c r="BM2" i="285"/>
  <c r="BM148" i="288"/>
  <c r="BM2" i="304"/>
  <c r="BM49" i="273"/>
  <c r="BG98" i="278"/>
  <c r="BG101" i="278"/>
  <c r="BG104" i="278"/>
  <c r="BG105" i="278"/>
  <c r="BG18" i="328"/>
  <c r="BK28" i="314"/>
  <c r="BK259" i="278"/>
  <c r="BK38" i="314"/>
  <c r="BK122" i="273"/>
  <c r="BK124" i="273"/>
  <c r="BK589" i="321"/>
  <c r="BK590" i="321"/>
  <c r="BK261" i="273"/>
  <c r="BK263" i="273"/>
  <c r="BK55" i="273"/>
  <c r="BK117" i="314"/>
  <c r="BI147" i="278"/>
  <c r="BI149" i="278"/>
  <c r="BJ24" i="265"/>
  <c r="BJ22" i="315"/>
  <c r="BJ59" i="315"/>
  <c r="BJ61" i="265"/>
  <c r="BH97" i="278"/>
  <c r="BK272" i="278"/>
  <c r="BK85" i="273"/>
  <c r="BK79" i="314"/>
  <c r="BK39" i="314"/>
  <c r="BK296" i="278"/>
  <c r="BK118" i="314"/>
  <c r="BK19" i="282"/>
  <c r="BK158" i="314"/>
  <c r="BK15" i="275"/>
  <c r="BK20" i="275"/>
  <c r="BL17" i="275"/>
  <c r="BL674" i="321"/>
  <c r="BL262" i="273"/>
  <c r="BL237" i="273"/>
  <c r="BJ16" i="285"/>
  <c r="BJ17" i="285"/>
  <c r="BH67" i="288"/>
  <c r="BH68" i="288"/>
  <c r="BH259" i="288"/>
  <c r="BH161" i="288"/>
  <c r="BH162" i="288"/>
  <c r="BH171" i="288"/>
  <c r="BH80" i="288"/>
  <c r="BH51" i="321"/>
  <c r="BH109" i="288"/>
  <c r="BH241" i="288"/>
  <c r="BH242" i="288"/>
  <c r="BH244" i="288"/>
  <c r="BH167" i="288"/>
  <c r="BH217" i="288"/>
  <c r="BH218" i="288"/>
  <c r="BH220" i="288"/>
  <c r="BH217" i="273"/>
  <c r="BG218" i="273"/>
  <c r="BH91" i="288"/>
  <c r="BH236" i="288"/>
  <c r="BH45" i="321"/>
  <c r="BH46" i="321"/>
  <c r="BH48" i="321"/>
  <c r="BH230" i="288"/>
  <c r="BH86" i="288"/>
  <c r="BE10" i="265"/>
  <c r="BE11" i="265"/>
  <c r="BE32" i="328"/>
  <c r="BE10" i="315"/>
  <c r="BE11" i="315"/>
  <c r="BL155" i="273"/>
  <c r="BI709" i="321"/>
  <c r="BI711" i="321"/>
  <c r="BJ17" i="314"/>
  <c r="BJ551" i="321"/>
  <c r="BJ603" i="321"/>
  <c r="BJ675" i="321"/>
  <c r="BJ239" i="278"/>
  <c r="BJ622" i="321"/>
  <c r="BJ652" i="321"/>
  <c r="BJ283" i="278"/>
  <c r="BJ453" i="321"/>
  <c r="BJ57" i="314"/>
  <c r="BJ129" i="314"/>
  <c r="BJ701" i="321"/>
  <c r="BJ702" i="321"/>
  <c r="BJ706" i="321"/>
  <c r="BJ565" i="321"/>
  <c r="BJ104" i="314"/>
  <c r="BJ233" i="273"/>
  <c r="BJ234" i="273"/>
  <c r="BJ17" i="278"/>
  <c r="BJ636" i="321"/>
  <c r="BJ659" i="321"/>
  <c r="BJ319" i="278"/>
  <c r="BJ306" i="278"/>
  <c r="BJ16" i="289"/>
  <c r="BJ17" i="289"/>
  <c r="BJ22" i="289"/>
  <c r="BJ573" i="321"/>
  <c r="BJ708" i="321"/>
  <c r="BJ540" i="321"/>
  <c r="BJ617" i="321"/>
  <c r="BJ100" i="278"/>
  <c r="BJ238" i="273"/>
  <c r="BJ239" i="273"/>
  <c r="BJ694" i="321"/>
  <c r="BJ31" i="289"/>
  <c r="BJ32" i="289"/>
  <c r="BJ37" i="289"/>
  <c r="BJ47" i="289"/>
  <c r="BJ48" i="289"/>
  <c r="BJ53" i="289"/>
  <c r="BJ136" i="314"/>
  <c r="BJ230" i="278"/>
  <c r="BJ581" i="321"/>
  <c r="BJ148" i="278"/>
  <c r="BJ713" i="321"/>
  <c r="BJ179" i="278"/>
  <c r="BJ246" i="278"/>
  <c r="BJ644" i="321"/>
  <c r="BJ204" i="278"/>
  <c r="BJ497" i="321"/>
  <c r="BJ50" i="314"/>
  <c r="BJ545" i="321"/>
  <c r="BJ63" i="286"/>
  <c r="BI91" i="278"/>
  <c r="BH153" i="278"/>
  <c r="BH30" i="328"/>
  <c r="BI4" i="328"/>
  <c r="BI3" i="273"/>
  <c r="BI3" i="321"/>
  <c r="BI3" i="314"/>
  <c r="BI3" i="304"/>
  <c r="BI3" i="265"/>
  <c r="BI3" i="288"/>
  <c r="BI3" i="285"/>
  <c r="BI3" i="278"/>
  <c r="BI3" i="282"/>
  <c r="BI3" i="275"/>
  <c r="BI3" i="315"/>
  <c r="BI3" i="286"/>
  <c r="BI47" i="273"/>
  <c r="BI3" i="289"/>
  <c r="BI217" i="288"/>
  <c r="BI218" i="288"/>
  <c r="BI220" i="288"/>
  <c r="BJ70" i="321"/>
  <c r="BJ165" i="321"/>
  <c r="BJ130" i="321"/>
  <c r="BJ212" i="273"/>
  <c r="BJ141" i="321"/>
  <c r="BJ147" i="321"/>
  <c r="BJ155" i="321"/>
  <c r="BK262" i="273"/>
  <c r="BK674" i="321"/>
  <c r="BL46" i="289"/>
  <c r="BL30" i="289"/>
  <c r="BL15" i="289"/>
  <c r="BF188" i="278"/>
  <c r="BF189" i="278"/>
  <c r="BF193" i="278"/>
  <c r="BF192" i="278"/>
  <c r="BF197" i="278"/>
  <c r="BF9" i="315"/>
  <c r="BH92" i="278"/>
  <c r="BL195" i="273"/>
  <c r="BI11" i="278"/>
  <c r="BI330" i="321"/>
  <c r="BI218" i="321"/>
  <c r="BI39" i="321"/>
  <c r="BO2" i="328"/>
  <c r="BH152" i="278"/>
  <c r="BH29" i="328"/>
  <c r="F42" i="307"/>
  <c r="F43" i="307"/>
  <c r="F30" i="311"/>
  <c r="J30" i="311"/>
  <c r="J77" i="311"/>
  <c r="F77" i="311"/>
  <c r="Q17" i="285"/>
  <c r="O17" i="285"/>
  <c r="S17" i="285"/>
  <c r="N17" i="285"/>
  <c r="P17" i="285"/>
  <c r="L17" i="285"/>
  <c r="M17" i="285"/>
  <c r="R17" i="285"/>
  <c r="T17" i="285"/>
  <c r="V17" i="285"/>
  <c r="AA17" i="285"/>
  <c r="AD17" i="285"/>
  <c r="AI17" i="285"/>
  <c r="AL17" i="285"/>
  <c r="AQ17" i="285"/>
  <c r="AT17" i="285"/>
  <c r="AY17" i="285"/>
  <c r="BD17" i="285"/>
  <c r="BG17" i="285"/>
  <c r="BH17" i="285"/>
  <c r="U17" i="285"/>
  <c r="X17" i="285"/>
  <c r="AC17" i="285"/>
  <c r="AF17" i="285"/>
  <c r="AK17" i="285"/>
  <c r="AN17" i="285"/>
  <c r="AS17" i="285"/>
  <c r="AV17" i="285"/>
  <c r="BE17" i="285"/>
  <c r="W17" i="285"/>
  <c r="Z17" i="285"/>
  <c r="AE17" i="285"/>
  <c r="AH17" i="285"/>
  <c r="AM17" i="285"/>
  <c r="AP17" i="285"/>
  <c r="AU17" i="285"/>
  <c r="AX17" i="285"/>
  <c r="BA17" i="285"/>
  <c r="BB17" i="285"/>
  <c r="BC17" i="285"/>
  <c r="Y17" i="285"/>
  <c r="AB17" i="285"/>
  <c r="AG17" i="285"/>
  <c r="AJ17" i="285"/>
  <c r="AO17" i="285"/>
  <c r="AR17" i="285"/>
  <c r="AW17" i="285"/>
  <c r="AZ17" i="285"/>
  <c r="BF17" i="285"/>
  <c r="BI17" i="285"/>
  <c r="K17" i="285"/>
  <c r="J47" i="315"/>
  <c r="H237" i="306"/>
  <c r="K106" i="315"/>
  <c r="K110" i="265"/>
  <c r="L309" i="278"/>
  <c r="Q49" i="265"/>
  <c r="Q47" i="315"/>
  <c r="P47" i="315"/>
  <c r="H103" i="307"/>
  <c r="H68" i="307"/>
  <c r="K47" i="315"/>
  <c r="AA224" i="278"/>
  <c r="AA225" i="278"/>
  <c r="AA220" i="278"/>
  <c r="K43" i="315"/>
  <c r="BK11" i="321"/>
  <c r="BK40" i="321"/>
  <c r="BK41" i="321"/>
  <c r="BK44" i="321"/>
  <c r="H55" i="269"/>
  <c r="K55" i="269"/>
  <c r="F131" i="328"/>
  <c r="AL9" i="310"/>
  <c r="AL283" i="307"/>
  <c r="BJ24" i="314"/>
  <c r="BJ36" i="285"/>
  <c r="BJ172" i="314"/>
  <c r="BJ111" i="314"/>
  <c r="BJ44" i="314"/>
  <c r="BJ11" i="321"/>
  <c r="BJ123" i="314"/>
  <c r="BJ40" i="321"/>
  <c r="BJ41" i="321"/>
  <c r="BJ44" i="321"/>
  <c r="BJ89" i="314"/>
  <c r="L318" i="278"/>
  <c r="L320" i="278"/>
  <c r="L321" i="278"/>
  <c r="L45" i="265" s="1"/>
  <c r="L326" i="278"/>
  <c r="BK44" i="314"/>
  <c r="BK24" i="314"/>
  <c r="BG163" i="278"/>
  <c r="BG164" i="278"/>
  <c r="BG168" i="278"/>
  <c r="BG172" i="278"/>
  <c r="BI51" i="321"/>
  <c r="BI167" i="288"/>
  <c r="BI45" i="321"/>
  <c r="BI46" i="321"/>
  <c r="BI48" i="321"/>
  <c r="BI67" i="288"/>
  <c r="BI68" i="288"/>
  <c r="BI70" i="288"/>
  <c r="BI236" i="288"/>
  <c r="BI241" i="288"/>
  <c r="BI242" i="288"/>
  <c r="BI244" i="288"/>
  <c r="BG27" i="328"/>
  <c r="BI230" i="288"/>
  <c r="BI109" i="288"/>
  <c r="BI259" i="288"/>
  <c r="BI80" i="288"/>
  <c r="BI86" i="288"/>
  <c r="BI91" i="288"/>
  <c r="BI217" i="273"/>
  <c r="BH218" i="273"/>
  <c r="BH114" i="288"/>
  <c r="BG167" i="278"/>
  <c r="BK57" i="273"/>
  <c r="BK63" i="273"/>
  <c r="BK64" i="273"/>
  <c r="BG155" i="278"/>
  <c r="BG10" i="265"/>
  <c r="BI162" i="288"/>
  <c r="BI171" i="288"/>
  <c r="BG223" i="278"/>
  <c r="BK89" i="314"/>
  <c r="BK111" i="314"/>
  <c r="BR38" i="289"/>
  <c r="BR23" i="288"/>
  <c r="BR25" i="288"/>
  <c r="BR133" i="288"/>
  <c r="BR136" i="288"/>
  <c r="BR138" i="288"/>
  <c r="BR140" i="288"/>
  <c r="BR145" i="288"/>
  <c r="BL86" i="273"/>
  <c r="BI17" i="328"/>
  <c r="BK172" i="314"/>
  <c r="BK123" i="314"/>
  <c r="BQ181" i="288"/>
  <c r="BQ31" i="288"/>
  <c r="BS102" i="314"/>
  <c r="BS228" i="288"/>
  <c r="BS78" i="288"/>
  <c r="BS84" i="288"/>
  <c r="BS5" i="328"/>
  <c r="BS234" i="288"/>
  <c r="BS5" i="265"/>
  <c r="BS5" i="321"/>
  <c r="BS5" i="289"/>
  <c r="BS5" i="304"/>
  <c r="BS5" i="278"/>
  <c r="BS5" i="286"/>
  <c r="BS5" i="275"/>
  <c r="BS5" i="288"/>
  <c r="BS5" i="285"/>
  <c r="BS5" i="273"/>
  <c r="BS5" i="282"/>
  <c r="BS5" i="314"/>
  <c r="BS5" i="315"/>
  <c r="BG217" i="278"/>
  <c r="BH163" i="278"/>
  <c r="BH164" i="278"/>
  <c r="BH168" i="278"/>
  <c r="BH17" i="328"/>
  <c r="BJ85" i="282"/>
  <c r="BJ113" i="282"/>
  <c r="BJ153" i="282"/>
  <c r="BJ45" i="282"/>
  <c r="BG188" i="278"/>
  <c r="BG189" i="278"/>
  <c r="BG193" i="278"/>
  <c r="BG9" i="315"/>
  <c r="BG192" i="278"/>
  <c r="BG197" i="278"/>
  <c r="BP10" i="289"/>
  <c r="BP2" i="328"/>
  <c r="BI97" i="278"/>
  <c r="BL263" i="321"/>
  <c r="BL201" i="273"/>
  <c r="BK212" i="273"/>
  <c r="BK141" i="321"/>
  <c r="BK147" i="321"/>
  <c r="BK155" i="321"/>
  <c r="BK70" i="321"/>
  <c r="BK165" i="321"/>
  <c r="BK130" i="321"/>
  <c r="BK105" i="282"/>
  <c r="BK37" i="282"/>
  <c r="BK591" i="321"/>
  <c r="BM674" i="321"/>
  <c r="BM262" i="273"/>
  <c r="BM30" i="289"/>
  <c r="BF10" i="265"/>
  <c r="BF11" i="265"/>
  <c r="BF32" i="328"/>
  <c r="BF10" i="315"/>
  <c r="BF11" i="315"/>
  <c r="BM72" i="273"/>
  <c r="BK71" i="321"/>
  <c r="BK259" i="321"/>
  <c r="BK131" i="321"/>
  <c r="BK277" i="321"/>
  <c r="BL203" i="273"/>
  <c r="BK253" i="321"/>
  <c r="BK213" i="273"/>
  <c r="BK267" i="321"/>
  <c r="AW153" i="282"/>
  <c r="AW85" i="282"/>
  <c r="AW113" i="282"/>
  <c r="AW45" i="282"/>
  <c r="AG153" i="282"/>
  <c r="AG85" i="282"/>
  <c r="AG113" i="282"/>
  <c r="AG45" i="282"/>
  <c r="BC113" i="282"/>
  <c r="BC153" i="282"/>
  <c r="BC45" i="282"/>
  <c r="BC85" i="282"/>
  <c r="AU113" i="282"/>
  <c r="AU153" i="282"/>
  <c r="AU85" i="282"/>
  <c r="AU45" i="282"/>
  <c r="AE45" i="282"/>
  <c r="AE113" i="282"/>
  <c r="AE153" i="282"/>
  <c r="AE85" i="282"/>
  <c r="AV113" i="282"/>
  <c r="AV153" i="282"/>
  <c r="AV85" i="282"/>
  <c r="AV45" i="282"/>
  <c r="AF113" i="282"/>
  <c r="AF153" i="282"/>
  <c r="AF85" i="282"/>
  <c r="AF45" i="282"/>
  <c r="BH113" i="282"/>
  <c r="BH153" i="282"/>
  <c r="BH85" i="282"/>
  <c r="BH45" i="282"/>
  <c r="AT85" i="282"/>
  <c r="AT113" i="282"/>
  <c r="AT153" i="282"/>
  <c r="AT45" i="282"/>
  <c r="AD85" i="282"/>
  <c r="AD113" i="282"/>
  <c r="AD45" i="282"/>
  <c r="AD153" i="282"/>
  <c r="R85" i="282"/>
  <c r="R113" i="282"/>
  <c r="R153" i="282"/>
  <c r="R45" i="282"/>
  <c r="N113" i="282"/>
  <c r="N153" i="282"/>
  <c r="Q153" i="282"/>
  <c r="Q85" i="282"/>
  <c r="Q45" i="282"/>
  <c r="Q113" i="282"/>
  <c r="BH154" i="278"/>
  <c r="BL19" i="282"/>
  <c r="BL296" i="278"/>
  <c r="BL15" i="275"/>
  <c r="BL20" i="275"/>
  <c r="BM17" i="275"/>
  <c r="BL79" i="314"/>
  <c r="BL118" i="314"/>
  <c r="BL85" i="273"/>
  <c r="BL272" i="278"/>
  <c r="BL158" i="314"/>
  <c r="BL39" i="314"/>
  <c r="BH272" i="288"/>
  <c r="BN11" i="289"/>
  <c r="BN12" i="289"/>
  <c r="BN36" i="289"/>
  <c r="BJ91" i="278"/>
  <c r="BK16" i="285"/>
  <c r="BK17" i="285"/>
  <c r="BK18" i="285"/>
  <c r="BL28" i="314"/>
  <c r="BL259" i="278"/>
  <c r="BL122" i="273"/>
  <c r="BL124" i="273"/>
  <c r="BL117" i="314"/>
  <c r="BL589" i="321"/>
  <c r="BL590" i="321"/>
  <c r="BL261" i="273"/>
  <c r="BL263" i="273"/>
  <c r="BL55" i="273"/>
  <c r="BL38" i="314"/>
  <c r="BI153" i="278"/>
  <c r="BI30" i="328"/>
  <c r="BM16" i="288"/>
  <c r="BM17" i="288"/>
  <c r="BM109" i="273"/>
  <c r="BN110" i="273"/>
  <c r="BM187" i="278"/>
  <c r="BM33" i="286"/>
  <c r="BM110" i="286"/>
  <c r="BM212" i="278"/>
  <c r="BM552" i="321"/>
  <c r="BM268" i="278"/>
  <c r="BM292" i="278"/>
  <c r="BM15" i="286"/>
  <c r="BM623" i="321"/>
  <c r="BM566" i="321"/>
  <c r="BM162" i="278"/>
  <c r="BM637" i="321"/>
  <c r="BM92" i="286"/>
  <c r="BM11" i="282"/>
  <c r="BM240" i="278"/>
  <c r="BM247" i="278"/>
  <c r="BM56" i="273"/>
  <c r="BI92" i="278"/>
  <c r="BL53" i="273"/>
  <c r="BL75" i="273"/>
  <c r="BM76" i="273"/>
  <c r="K113" i="282"/>
  <c r="K153" i="282"/>
  <c r="AZ113" i="282"/>
  <c r="AZ153" i="282"/>
  <c r="AZ85" i="282"/>
  <c r="AZ45" i="282"/>
  <c r="AJ113" i="282"/>
  <c r="AJ153" i="282"/>
  <c r="AJ45" i="282"/>
  <c r="AJ85" i="282"/>
  <c r="AX85" i="282"/>
  <c r="AX113" i="282"/>
  <c r="AX153" i="282"/>
  <c r="AX45" i="282"/>
  <c r="AH85" i="282"/>
  <c r="AH113" i="282"/>
  <c r="AH153" i="282"/>
  <c r="AH45" i="282"/>
  <c r="BE153" i="282"/>
  <c r="BE85" i="282"/>
  <c r="BE113" i="282"/>
  <c r="BE45" i="282"/>
  <c r="AK153" i="282"/>
  <c r="AK85" i="282"/>
  <c r="AK113" i="282"/>
  <c r="AK45" i="282"/>
  <c r="U153" i="282"/>
  <c r="U85" i="282"/>
  <c r="U113" i="282"/>
  <c r="U45" i="282"/>
  <c r="AY113" i="282"/>
  <c r="AY153" i="282"/>
  <c r="AY45" i="282"/>
  <c r="AY85" i="282"/>
  <c r="AI113" i="282"/>
  <c r="AI153" i="282"/>
  <c r="AI85" i="282"/>
  <c r="AI45" i="282"/>
  <c r="T113" i="282"/>
  <c r="T153" i="282"/>
  <c r="T45" i="282"/>
  <c r="T85" i="282"/>
  <c r="P113" i="282"/>
  <c r="P153" i="282"/>
  <c r="J113" i="282"/>
  <c r="J153" i="282"/>
  <c r="BI153" i="282"/>
  <c r="BI85" i="282"/>
  <c r="BI45" i="282"/>
  <c r="BI113" i="282"/>
  <c r="AR113" i="282"/>
  <c r="AR153" i="282"/>
  <c r="AR85" i="282"/>
  <c r="AR45" i="282"/>
  <c r="AB113" i="282"/>
  <c r="AB153" i="282"/>
  <c r="AB45" i="282"/>
  <c r="AB85" i="282"/>
  <c r="BB85" i="282"/>
  <c r="BB113" i="282"/>
  <c r="BB153" i="282"/>
  <c r="BB45" i="282"/>
  <c r="AP85" i="282"/>
  <c r="AP113" i="282"/>
  <c r="AP45" i="282"/>
  <c r="AP153" i="282"/>
  <c r="Z85" i="282"/>
  <c r="Z113" i="282"/>
  <c r="Z45" i="282"/>
  <c r="Z153" i="282"/>
  <c r="AS153" i="282"/>
  <c r="AS85" i="282"/>
  <c r="AS45" i="282"/>
  <c r="AS113" i="282"/>
  <c r="AC153" i="282"/>
  <c r="AC85" i="282"/>
  <c r="AC113" i="282"/>
  <c r="AC45" i="282"/>
  <c r="BG113" i="282"/>
  <c r="BG153" i="282"/>
  <c r="BG45" i="282"/>
  <c r="BG85" i="282"/>
  <c r="AQ113" i="282"/>
  <c r="AQ153" i="282"/>
  <c r="AQ45" i="282"/>
  <c r="AQ85" i="282"/>
  <c r="AA45" i="282"/>
  <c r="AA113" i="282"/>
  <c r="AA153" i="282"/>
  <c r="AA85" i="282"/>
  <c r="M153" i="282"/>
  <c r="M113" i="282"/>
  <c r="S45" i="282"/>
  <c r="S113" i="282"/>
  <c r="S153" i="282"/>
  <c r="S85" i="282"/>
  <c r="BH18" i="328"/>
  <c r="BH98" i="278"/>
  <c r="BH101" i="278"/>
  <c r="BH104" i="278"/>
  <c r="BH105" i="278"/>
  <c r="BN119" i="273"/>
  <c r="BN120" i="273"/>
  <c r="BN123" i="273"/>
  <c r="BN154" i="273"/>
  <c r="BN3" i="328"/>
  <c r="BN8" i="328"/>
  <c r="BN2" i="314"/>
  <c r="BN2" i="278"/>
  <c r="BN2" i="321"/>
  <c r="BN2" i="273"/>
  <c r="BN71" i="273"/>
  <c r="BN72" i="273"/>
  <c r="BN194" i="273"/>
  <c r="BN59" i="288"/>
  <c r="BN2" i="288"/>
  <c r="BN2" i="275"/>
  <c r="BN2" i="285"/>
  <c r="BN2" i="315"/>
  <c r="BN158" i="273"/>
  <c r="BN159" i="273"/>
  <c r="BN162" i="273"/>
  <c r="BN49" i="273"/>
  <c r="BN184" i="288"/>
  <c r="BN2" i="304"/>
  <c r="BN2" i="286"/>
  <c r="BN2" i="282"/>
  <c r="BN258" i="273"/>
  <c r="BN198" i="273"/>
  <c r="BN199" i="273"/>
  <c r="BN202" i="273"/>
  <c r="BN2" i="265"/>
  <c r="BN38" i="311"/>
  <c r="BN148" i="288"/>
  <c r="BN34" i="288"/>
  <c r="BN2" i="289"/>
  <c r="BN209" i="288"/>
  <c r="BJ218" i="321"/>
  <c r="BJ330" i="321"/>
  <c r="BJ39" i="321"/>
  <c r="BJ11" i="278"/>
  <c r="BK708" i="321"/>
  <c r="BK239" i="278"/>
  <c r="BK617" i="321"/>
  <c r="BK238" i="273"/>
  <c r="BK239" i="273"/>
  <c r="BK100" i="278"/>
  <c r="BK306" i="278"/>
  <c r="BK136" i="314"/>
  <c r="BK545" i="321"/>
  <c r="BK573" i="321"/>
  <c r="BK148" i="278"/>
  <c r="BK713" i="321"/>
  <c r="BK104" i="314"/>
  <c r="BK233" i="273"/>
  <c r="BK234" i="273"/>
  <c r="BK17" i="278"/>
  <c r="BK644" i="321"/>
  <c r="BK659" i="321"/>
  <c r="BK453" i="321"/>
  <c r="BK31" i="289"/>
  <c r="BK32" i="289"/>
  <c r="BK37" i="289"/>
  <c r="BK39" i="289"/>
  <c r="BL39" i="289"/>
  <c r="BK129" i="314"/>
  <c r="BK17" i="314"/>
  <c r="BK581" i="321"/>
  <c r="BK603" i="321"/>
  <c r="BK675" i="321"/>
  <c r="BK565" i="321"/>
  <c r="BK540" i="321"/>
  <c r="BK204" i="278"/>
  <c r="BK246" i="278"/>
  <c r="BK652" i="321"/>
  <c r="BK694" i="321"/>
  <c r="BK319" i="278"/>
  <c r="BK50" i="314"/>
  <c r="BK230" i="278"/>
  <c r="BK701" i="321"/>
  <c r="BK702" i="321"/>
  <c r="BK706" i="321"/>
  <c r="BK551" i="321"/>
  <c r="BK179" i="278"/>
  <c r="BK283" i="278"/>
  <c r="BK622" i="321"/>
  <c r="BK636" i="321"/>
  <c r="BK497" i="321"/>
  <c r="BK57" i="314"/>
  <c r="BK63" i="286"/>
  <c r="BJ90" i="278"/>
  <c r="BL161" i="273"/>
  <c r="BL163" i="273"/>
  <c r="BL151" i="321"/>
  <c r="BG264" i="288"/>
  <c r="BG272" i="288"/>
  <c r="BG122" i="288"/>
  <c r="BG114" i="288"/>
  <c r="BM4" i="278"/>
  <c r="BM4" i="288"/>
  <c r="BM4" i="314"/>
  <c r="BM4" i="286"/>
  <c r="BM11" i="328"/>
  <c r="BM4" i="321"/>
  <c r="BM4" i="282"/>
  <c r="BM4" i="275"/>
  <c r="BM4" i="304"/>
  <c r="BM4" i="289"/>
  <c r="BM4" i="285"/>
  <c r="BM4" i="315"/>
  <c r="BM4" i="273"/>
  <c r="BI152" i="278"/>
  <c r="BI154" i="278"/>
  <c r="BI29" i="328"/>
  <c r="BL53" i="288"/>
  <c r="BL203" i="288"/>
  <c r="BL178" i="288"/>
  <c r="BL28" i="288"/>
  <c r="BJ4" i="328"/>
  <c r="BJ3" i="321"/>
  <c r="BJ3" i="315"/>
  <c r="BJ3" i="278"/>
  <c r="BJ3" i="285"/>
  <c r="BJ3" i="288"/>
  <c r="BJ3" i="275"/>
  <c r="BJ3" i="289"/>
  <c r="BJ3" i="273"/>
  <c r="BJ3" i="314"/>
  <c r="BJ3" i="265"/>
  <c r="BJ3" i="286"/>
  <c r="BJ3" i="282"/>
  <c r="BJ3" i="304"/>
  <c r="BJ47" i="273"/>
  <c r="BF85" i="282"/>
  <c r="BF113" i="282"/>
  <c r="BF153" i="282"/>
  <c r="BF45" i="282"/>
  <c r="AO153" i="282"/>
  <c r="AO85" i="282"/>
  <c r="AO113" i="282"/>
  <c r="AO45" i="282"/>
  <c r="Y153" i="282"/>
  <c r="Y85" i="282"/>
  <c r="Y113" i="282"/>
  <c r="Y45" i="282"/>
  <c r="BA153" i="282"/>
  <c r="BA85" i="282"/>
  <c r="BA113" i="282"/>
  <c r="BA45" i="282"/>
  <c r="AM113" i="282"/>
  <c r="AM153" i="282"/>
  <c r="AM45" i="282"/>
  <c r="AM85" i="282"/>
  <c r="W45" i="282"/>
  <c r="W113" i="282"/>
  <c r="W153" i="282"/>
  <c r="W85" i="282"/>
  <c r="AN113" i="282"/>
  <c r="AN153" i="282"/>
  <c r="AN85" i="282"/>
  <c r="AN45" i="282"/>
  <c r="X113" i="282"/>
  <c r="X153" i="282"/>
  <c r="X45" i="282"/>
  <c r="X85" i="282"/>
  <c r="BD113" i="282"/>
  <c r="BD153" i="282"/>
  <c r="BD85" i="282"/>
  <c r="BD45" i="282"/>
  <c r="AL85" i="282"/>
  <c r="AL113" i="282"/>
  <c r="AL153" i="282"/>
  <c r="AL45" i="282"/>
  <c r="V85" i="282"/>
  <c r="V113" i="282"/>
  <c r="V153" i="282"/>
  <c r="V45" i="282"/>
  <c r="L113" i="282"/>
  <c r="L153" i="282"/>
  <c r="O113" i="282"/>
  <c r="O153" i="282"/>
  <c r="BM195" i="273"/>
  <c r="BJ214" i="273"/>
  <c r="BJ72" i="321"/>
  <c r="BJ79" i="321"/>
  <c r="BJ709" i="321"/>
  <c r="BJ711" i="321"/>
  <c r="BH70" i="288"/>
  <c r="BH57" i="328"/>
  <c r="BJ147" i="278"/>
  <c r="BJ149" i="278"/>
  <c r="BM211" i="278"/>
  <c r="BM186" i="278"/>
  <c r="BM707" i="321"/>
  <c r="BM598" i="321"/>
  <c r="BM599" i="321"/>
  <c r="BM161" i="278"/>
  <c r="BM579" i="321"/>
  <c r="BM650" i="321"/>
  <c r="BM237" i="273"/>
  <c r="BL602" i="321"/>
  <c r="BL658" i="321"/>
  <c r="BM155" i="273"/>
  <c r="L312" i="278"/>
  <c r="L305" i="278"/>
  <c r="L307" i="278"/>
  <c r="K18" i="285"/>
  <c r="K13" i="265" s="1"/>
  <c r="K26" i="285"/>
  <c r="BI18" i="285"/>
  <c r="BI26" i="285"/>
  <c r="AR18" i="285"/>
  <c r="AR26" i="285"/>
  <c r="AB18" i="285"/>
  <c r="AB26" i="285"/>
  <c r="BC18" i="285"/>
  <c r="BC26" i="285"/>
  <c r="AU18" i="285"/>
  <c r="AU26" i="285"/>
  <c r="AE18" i="285"/>
  <c r="AE26" i="285"/>
  <c r="AN18" i="285"/>
  <c r="AN26" i="285"/>
  <c r="X18" i="285"/>
  <c r="X26" i="285"/>
  <c r="BH18" i="285"/>
  <c r="BH26" i="285"/>
  <c r="AT18" i="285"/>
  <c r="AT26" i="285"/>
  <c r="AD18" i="285"/>
  <c r="AD26" i="285"/>
  <c r="R18" i="285"/>
  <c r="R26" i="285"/>
  <c r="N18" i="285"/>
  <c r="N13" i="265" s="1"/>
  <c r="N26" i="285"/>
  <c r="Q18" i="285"/>
  <c r="Q26" i="285"/>
  <c r="M323" i="278"/>
  <c r="L117" i="265"/>
  <c r="L113" i="315"/>
  <c r="F33" i="326"/>
  <c r="G131" i="328"/>
  <c r="G33" i="326"/>
  <c r="L43" i="315"/>
  <c r="J55" i="269"/>
  <c r="L55" i="269"/>
  <c r="H49" i="265"/>
  <c r="H126" i="269"/>
  <c r="K126" i="269"/>
  <c r="H47" i="315"/>
  <c r="BF18" i="285"/>
  <c r="BF26" i="285"/>
  <c r="AO18" i="285"/>
  <c r="AO26" i="285"/>
  <c r="Y18" i="285"/>
  <c r="Y26" i="285"/>
  <c r="BB18" i="285"/>
  <c r="BB26" i="285"/>
  <c r="AP18" i="285"/>
  <c r="AP26" i="285"/>
  <c r="Z18" i="285"/>
  <c r="Z26" i="285"/>
  <c r="BE18" i="285"/>
  <c r="BE26" i="285"/>
  <c r="AK18" i="285"/>
  <c r="AK26" i="285"/>
  <c r="U18" i="285"/>
  <c r="U26" i="285"/>
  <c r="BG18" i="285"/>
  <c r="BG26" i="285"/>
  <c r="AQ18" i="285"/>
  <c r="AQ26" i="285"/>
  <c r="AA18" i="285"/>
  <c r="AA26" i="285"/>
  <c r="M18" i="285"/>
  <c r="M13" i="265" s="1"/>
  <c r="M26" i="285"/>
  <c r="S18" i="285"/>
  <c r="S26" i="285"/>
  <c r="AA42" i="315"/>
  <c r="AA44" i="265"/>
  <c r="AZ18" i="285"/>
  <c r="AZ26" i="285"/>
  <c r="AJ18" i="285"/>
  <c r="AJ26" i="285"/>
  <c r="BA18" i="285"/>
  <c r="BA26" i="285"/>
  <c r="AM18" i="285"/>
  <c r="AM26" i="285"/>
  <c r="W18" i="285"/>
  <c r="W26" i="285"/>
  <c r="AV18" i="285"/>
  <c r="AV26" i="285"/>
  <c r="AF18" i="285"/>
  <c r="AF26" i="285"/>
  <c r="BD18" i="285"/>
  <c r="BD26" i="285"/>
  <c r="AL18" i="285"/>
  <c r="AL26" i="285"/>
  <c r="V18" i="285"/>
  <c r="V26" i="285"/>
  <c r="L18" i="285"/>
  <c r="L13" i="265" s="1"/>
  <c r="L26" i="285"/>
  <c r="O18" i="285"/>
  <c r="O13" i="265" s="1"/>
  <c r="O26" i="285"/>
  <c r="AB222" i="278"/>
  <c r="AA229" i="278"/>
  <c r="AA231" i="278"/>
  <c r="AA116" i="265"/>
  <c r="AA254" i="278"/>
  <c r="AA112" i="315"/>
  <c r="J43" i="315"/>
  <c r="BJ18" i="285"/>
  <c r="BJ26" i="285"/>
  <c r="AW18" i="285"/>
  <c r="AW26" i="285"/>
  <c r="AG18" i="285"/>
  <c r="AG26" i="285"/>
  <c r="AX18" i="285"/>
  <c r="AX26" i="285"/>
  <c r="AH18" i="285"/>
  <c r="AH26" i="285"/>
  <c r="AS18" i="285"/>
  <c r="AS26" i="285"/>
  <c r="AC18" i="285"/>
  <c r="AC26" i="285"/>
  <c r="AY18" i="285"/>
  <c r="AY26" i="285"/>
  <c r="AI18" i="285"/>
  <c r="AI26" i="285"/>
  <c r="T18" i="285"/>
  <c r="T26" i="285"/>
  <c r="P18" i="285"/>
  <c r="P13" i="265" s="1"/>
  <c r="P26" i="285"/>
  <c r="J26" i="285"/>
  <c r="J27" i="285"/>
  <c r="BH264" i="288"/>
  <c r="BH122" i="288"/>
  <c r="BG10" i="315"/>
  <c r="BL57" i="273"/>
  <c r="BL63" i="273"/>
  <c r="BL64" i="273"/>
  <c r="BI57" i="328"/>
  <c r="BK26" i="285"/>
  <c r="BG11" i="265"/>
  <c r="BG32" i="328"/>
  <c r="BK709" i="321"/>
  <c r="BK711" i="321"/>
  <c r="BJ92" i="278"/>
  <c r="BJ18" i="328"/>
  <c r="BJ17" i="328"/>
  <c r="BK72" i="321"/>
  <c r="BK79" i="321"/>
  <c r="BT102" i="314"/>
  <c r="BT78" i="288"/>
  <c r="BT228" i="288"/>
  <c r="BT5" i="265"/>
  <c r="BT84" i="288"/>
  <c r="BT5" i="328"/>
  <c r="BT5" i="285"/>
  <c r="BT5" i="286"/>
  <c r="BT5" i="273"/>
  <c r="BT5" i="304"/>
  <c r="BT5" i="275"/>
  <c r="BT5" i="315"/>
  <c r="BT5" i="289"/>
  <c r="BT234" i="288"/>
  <c r="BT5" i="321"/>
  <c r="BT5" i="278"/>
  <c r="BT5" i="288"/>
  <c r="BT5" i="314"/>
  <c r="BT5" i="282"/>
  <c r="BS38" i="289"/>
  <c r="BS23" i="288"/>
  <c r="BS25" i="288"/>
  <c r="BS133" i="288"/>
  <c r="BS136" i="288"/>
  <c r="BS138" i="288"/>
  <c r="BS140" i="288"/>
  <c r="BS145" i="288"/>
  <c r="BR31" i="288"/>
  <c r="BR181" i="288"/>
  <c r="BH167" i="278"/>
  <c r="BH27" i="328"/>
  <c r="BH172" i="278"/>
  <c r="BL70" i="321"/>
  <c r="BL155" i="321"/>
  <c r="BL147" i="321"/>
  <c r="BL165" i="321"/>
  <c r="BL212" i="273"/>
  <c r="BL130" i="321"/>
  <c r="BL141" i="321"/>
  <c r="BN19" i="282"/>
  <c r="BN158" i="314"/>
  <c r="BN118" i="314"/>
  <c r="BN79" i="314"/>
  <c r="BN85" i="273"/>
  <c r="BN272" i="278"/>
  <c r="BN39" i="314"/>
  <c r="BN15" i="275"/>
  <c r="BN296" i="278"/>
  <c r="BN53" i="273"/>
  <c r="BN75" i="273"/>
  <c r="BO76" i="273"/>
  <c r="BL16" i="285"/>
  <c r="BL17" i="285"/>
  <c r="BK3" i="321"/>
  <c r="BK3" i="314"/>
  <c r="BK3" i="288"/>
  <c r="BK3" i="265"/>
  <c r="BK3" i="289"/>
  <c r="BK3" i="286"/>
  <c r="BK3" i="278"/>
  <c r="BK3" i="273"/>
  <c r="BK3" i="315"/>
  <c r="BK4" i="328"/>
  <c r="BK3" i="285"/>
  <c r="BK3" i="282"/>
  <c r="BK3" i="304"/>
  <c r="BK3" i="275"/>
  <c r="BK47" i="273"/>
  <c r="BM161" i="273"/>
  <c r="BM163" i="273"/>
  <c r="BM151" i="321"/>
  <c r="BN4" i="286"/>
  <c r="BN4" i="288"/>
  <c r="BN4" i="289"/>
  <c r="BN11" i="328"/>
  <c r="BN4" i="273"/>
  <c r="BN4" i="314"/>
  <c r="BN4" i="278"/>
  <c r="BN4" i="321"/>
  <c r="BN4" i="285"/>
  <c r="BN4" i="315"/>
  <c r="BN4" i="275"/>
  <c r="BN4" i="304"/>
  <c r="BN4" i="282"/>
  <c r="BJ97" i="278"/>
  <c r="BK218" i="321"/>
  <c r="BK39" i="321"/>
  <c r="BK11" i="278"/>
  <c r="BK330" i="321"/>
  <c r="BL701" i="321"/>
  <c r="BL702" i="321"/>
  <c r="BL706" i="321"/>
  <c r="BL565" i="321"/>
  <c r="BL16" i="289"/>
  <c r="BL17" i="289"/>
  <c r="BL22" i="289"/>
  <c r="BL233" i="273"/>
  <c r="BL234" i="273"/>
  <c r="BL17" i="278"/>
  <c r="BL622" i="321"/>
  <c r="BL636" i="321"/>
  <c r="BL306" i="278"/>
  <c r="BL57" i="314"/>
  <c r="BL63" i="286"/>
  <c r="BL573" i="321"/>
  <c r="BL708" i="321"/>
  <c r="BL540" i="321"/>
  <c r="BL100" i="278"/>
  <c r="BL204" i="278"/>
  <c r="BL238" i="273"/>
  <c r="BL239" i="273"/>
  <c r="BL659" i="321"/>
  <c r="BL319" i="278"/>
  <c r="BL31" i="289"/>
  <c r="BL32" i="289"/>
  <c r="BL37" i="289"/>
  <c r="BL50" i="314"/>
  <c r="BL551" i="321"/>
  <c r="BL603" i="321"/>
  <c r="BL104" i="314"/>
  <c r="BL652" i="321"/>
  <c r="BL136" i="314"/>
  <c r="BL617" i="321"/>
  <c r="BL545" i="321"/>
  <c r="BL17" i="314"/>
  <c r="BL581" i="321"/>
  <c r="BL148" i="278"/>
  <c r="BL713" i="321"/>
  <c r="BL179" i="278"/>
  <c r="BL230" i="278"/>
  <c r="BL47" i="289"/>
  <c r="BL48" i="289"/>
  <c r="BL53" i="289"/>
  <c r="BL283" i="278"/>
  <c r="BL644" i="321"/>
  <c r="BL694" i="321"/>
  <c r="BL497" i="321"/>
  <c r="BL129" i="314"/>
  <c r="BL675" i="321"/>
  <c r="BL246" i="278"/>
  <c r="BL453" i="321"/>
  <c r="BL239" i="278"/>
  <c r="BN259" i="273"/>
  <c r="BN707" i="321"/>
  <c r="BN598" i="321"/>
  <c r="BN599" i="321"/>
  <c r="BN161" i="278"/>
  <c r="BN211" i="278"/>
  <c r="BN186" i="278"/>
  <c r="BN650" i="321"/>
  <c r="BN579" i="321"/>
  <c r="BM54" i="273"/>
  <c r="BM84" i="273"/>
  <c r="BM86" i="273"/>
  <c r="BM53" i="288"/>
  <c r="BM178" i="288"/>
  <c r="BM28" i="288"/>
  <c r="BM203" i="288"/>
  <c r="BL105" i="282"/>
  <c r="BL591" i="321"/>
  <c r="BL37" i="282"/>
  <c r="BM122" i="273"/>
  <c r="BM124" i="273"/>
  <c r="BM261" i="273"/>
  <c r="BM263" i="273"/>
  <c r="BM589" i="321"/>
  <c r="BM590" i="321"/>
  <c r="BM259" i="278"/>
  <c r="BM55" i="273"/>
  <c r="BM117" i="314"/>
  <c r="BM28" i="314"/>
  <c r="BM38" i="314"/>
  <c r="BH217" i="278"/>
  <c r="BH155" i="278"/>
  <c r="BH213" i="278"/>
  <c r="BH214" i="278"/>
  <c r="BH218" i="278"/>
  <c r="BH223" i="278"/>
  <c r="BJ152" i="278"/>
  <c r="BJ29" i="328"/>
  <c r="BJ217" i="288"/>
  <c r="BJ218" i="288"/>
  <c r="BJ220" i="288"/>
  <c r="BJ167" i="288"/>
  <c r="BJ217" i="273"/>
  <c r="BI218" i="273"/>
  <c r="BJ230" i="288"/>
  <c r="BJ51" i="321"/>
  <c r="BJ91" i="288"/>
  <c r="BJ241" i="288"/>
  <c r="BJ242" i="288"/>
  <c r="BJ244" i="288"/>
  <c r="BJ161" i="288"/>
  <c r="BJ162" i="288"/>
  <c r="BJ171" i="288"/>
  <c r="BJ45" i="321"/>
  <c r="BJ46" i="321"/>
  <c r="BJ48" i="321"/>
  <c r="BJ86" i="288"/>
  <c r="BJ236" i="288"/>
  <c r="BJ67" i="288"/>
  <c r="BJ68" i="288"/>
  <c r="BJ259" i="288"/>
  <c r="BJ80" i="288"/>
  <c r="BJ109" i="288"/>
  <c r="BO119" i="273"/>
  <c r="BO120" i="273"/>
  <c r="BO123" i="273"/>
  <c r="BO194" i="273"/>
  <c r="BO59" i="288"/>
  <c r="BO148" i="288"/>
  <c r="BO2" i="289"/>
  <c r="BO2" i="278"/>
  <c r="BO38" i="311"/>
  <c r="BO158" i="273"/>
  <c r="BO159" i="273"/>
  <c r="BO162" i="273"/>
  <c r="BO71" i="273"/>
  <c r="BO3" i="328"/>
  <c r="BO8" i="328"/>
  <c r="BO2" i="288"/>
  <c r="BO2" i="282"/>
  <c r="BO2" i="285"/>
  <c r="BO2" i="315"/>
  <c r="BO198" i="273"/>
  <c r="BO199" i="273"/>
  <c r="BO202" i="273"/>
  <c r="BO184" i="288"/>
  <c r="BO2" i="286"/>
  <c r="BO2" i="273"/>
  <c r="BO49" i="273"/>
  <c r="BO2" i="314"/>
  <c r="BO258" i="273"/>
  <c r="BO259" i="273"/>
  <c r="BO154" i="273"/>
  <c r="BO155" i="273"/>
  <c r="BO2" i="265"/>
  <c r="BO2" i="275"/>
  <c r="BO2" i="321"/>
  <c r="BO2" i="304"/>
  <c r="BO34" i="288"/>
  <c r="BO209" i="288"/>
  <c r="BK90" i="278"/>
  <c r="BN16" i="288"/>
  <c r="BN17" i="288"/>
  <c r="BN566" i="321"/>
  <c r="BN623" i="321"/>
  <c r="BN15" i="286"/>
  <c r="BN162" i="278"/>
  <c r="BN268" i="278"/>
  <c r="BN187" i="278"/>
  <c r="BN110" i="286"/>
  <c r="BN637" i="321"/>
  <c r="BN212" i="278"/>
  <c r="BN109" i="273"/>
  <c r="BO110" i="273"/>
  <c r="BN292" i="278"/>
  <c r="BN33" i="286"/>
  <c r="BN552" i="321"/>
  <c r="BN92" i="286"/>
  <c r="BN11" i="282"/>
  <c r="BH197" i="278"/>
  <c r="BH9" i="315"/>
  <c r="BH188" i="278"/>
  <c r="BH189" i="278"/>
  <c r="BH193" i="278"/>
  <c r="BH192" i="278"/>
  <c r="BK113" i="282"/>
  <c r="BK153" i="282"/>
  <c r="BK85" i="282"/>
  <c r="BK45" i="282"/>
  <c r="BN195" i="273"/>
  <c r="BK214" i="273"/>
  <c r="L126" i="269"/>
  <c r="J126" i="269"/>
  <c r="BM658" i="321"/>
  <c r="BM602" i="321"/>
  <c r="BJ153" i="278"/>
  <c r="BJ30" i="328"/>
  <c r="BO36" i="289"/>
  <c r="BK147" i="278"/>
  <c r="BK149" i="278"/>
  <c r="BI18" i="328"/>
  <c r="BI98" i="278"/>
  <c r="BI101" i="278"/>
  <c r="BI104" i="278"/>
  <c r="BI105" i="278"/>
  <c r="BN15" i="289"/>
  <c r="BN46" i="289"/>
  <c r="BN30" i="289"/>
  <c r="BL71" i="321"/>
  <c r="BL277" i="321"/>
  <c r="BL267" i="321"/>
  <c r="BL259" i="321"/>
  <c r="BL131" i="321"/>
  <c r="BL213" i="273"/>
  <c r="BL253" i="321"/>
  <c r="BK61" i="265"/>
  <c r="BK59" i="315"/>
  <c r="BK24" i="265"/>
  <c r="BK22" i="315"/>
  <c r="BG11" i="315"/>
  <c r="BM19" i="282"/>
  <c r="BM158" i="314"/>
  <c r="BM39" i="314"/>
  <c r="BM272" i="278"/>
  <c r="BM85" i="273"/>
  <c r="BM79" i="314"/>
  <c r="BM118" i="314"/>
  <c r="BM296" i="278"/>
  <c r="BM15" i="275"/>
  <c r="BM20" i="275"/>
  <c r="BN17" i="275"/>
  <c r="BM201" i="273"/>
  <c r="BM203" i="273"/>
  <c r="BM263" i="321"/>
  <c r="BI155" i="278"/>
  <c r="BI217" i="278"/>
  <c r="BI213" i="278"/>
  <c r="BI214" i="278"/>
  <c r="BI218" i="278"/>
  <c r="BI223" i="278"/>
  <c r="BK91" i="278"/>
  <c r="BN237" i="273"/>
  <c r="BN240" i="278"/>
  <c r="BN247" i="278"/>
  <c r="BN56" i="273"/>
  <c r="BM53" i="273"/>
  <c r="BM75" i="273"/>
  <c r="BN76" i="273"/>
  <c r="BN155" i="273"/>
  <c r="BQ2" i="328"/>
  <c r="P13" i="315"/>
  <c r="AI13" i="265"/>
  <c r="AI13" i="315"/>
  <c r="AC13" i="265"/>
  <c r="AC13" i="315"/>
  <c r="AH13" i="265"/>
  <c r="AH13" i="315"/>
  <c r="BK13" i="265"/>
  <c r="BK13" i="315"/>
  <c r="AW13" i="265"/>
  <c r="AW13" i="315"/>
  <c r="K23" i="285"/>
  <c r="K27" i="285"/>
  <c r="J102" i="265"/>
  <c r="J98" i="315"/>
  <c r="J13" i="315"/>
  <c r="T13" i="265"/>
  <c r="T13" i="315"/>
  <c r="AY13" i="265"/>
  <c r="AY13" i="315"/>
  <c r="AS13" i="265"/>
  <c r="AS13" i="315"/>
  <c r="AX13" i="265"/>
  <c r="AX13" i="315"/>
  <c r="AG13" i="265"/>
  <c r="AG13" i="315"/>
  <c r="BJ13" i="265"/>
  <c r="BJ13" i="315"/>
  <c r="O13" i="315"/>
  <c r="V13" i="265"/>
  <c r="V13" i="315"/>
  <c r="BD13" i="265"/>
  <c r="BD13" i="315"/>
  <c r="AV13" i="265"/>
  <c r="AV13" i="315"/>
  <c r="AM13" i="265"/>
  <c r="AM13" i="315"/>
  <c r="AJ13" i="265"/>
  <c r="AJ13" i="315"/>
  <c r="M13" i="315"/>
  <c r="AQ13" i="265"/>
  <c r="AQ13" i="315"/>
  <c r="U13" i="265"/>
  <c r="U13" i="315"/>
  <c r="BE13" i="265"/>
  <c r="BE13" i="315"/>
  <c r="AP13" i="265"/>
  <c r="AP13" i="315"/>
  <c r="Y13" i="265"/>
  <c r="Y13" i="315"/>
  <c r="BF13" i="265"/>
  <c r="BF13" i="315"/>
  <c r="Q13" i="265"/>
  <c r="Q13" i="315"/>
  <c r="R13" i="265"/>
  <c r="R13" i="315"/>
  <c r="AT13" i="265"/>
  <c r="AT13" i="315"/>
  <c r="X13" i="265"/>
  <c r="X13" i="315"/>
  <c r="AE13" i="265"/>
  <c r="AE13" i="315"/>
  <c r="BC13" i="265"/>
  <c r="BC13" i="315"/>
  <c r="AR13" i="265"/>
  <c r="AR13" i="315"/>
  <c r="K13" i="315"/>
  <c r="L110" i="265"/>
  <c r="M309" i="278"/>
  <c r="L106" i="315"/>
  <c r="AA238" i="278"/>
  <c r="AA282" i="278"/>
  <c r="AA245" i="278"/>
  <c r="BL24" i="314"/>
  <c r="BL36" i="285"/>
  <c r="BL172" i="314"/>
  <c r="BL111" i="314"/>
  <c r="BL44" i="314"/>
  <c r="BL123" i="314"/>
  <c r="BL89" i="314"/>
  <c r="BL40" i="321"/>
  <c r="BL41" i="321"/>
  <c r="BL44" i="321"/>
  <c r="BL11" i="321"/>
  <c r="M318" i="278"/>
  <c r="M320" i="278"/>
  <c r="M326" i="278"/>
  <c r="AB228" i="278"/>
  <c r="AB216" i="278"/>
  <c r="AB219" i="278"/>
  <c r="L13" i="315"/>
  <c r="AL13" i="265"/>
  <c r="AL13" i="315"/>
  <c r="AF13" i="265"/>
  <c r="AF13" i="315"/>
  <c r="W13" i="265"/>
  <c r="W13" i="315"/>
  <c r="BA13" i="265"/>
  <c r="BA13" i="315"/>
  <c r="AZ13" i="265"/>
  <c r="AZ13" i="315"/>
  <c r="AM283" i="307"/>
  <c r="AM9" i="310"/>
  <c r="S13" i="265"/>
  <c r="S13" i="315"/>
  <c r="AA13" i="265"/>
  <c r="AA13" i="315"/>
  <c r="BG13" i="265"/>
  <c r="BG13" i="315"/>
  <c r="AK13" i="265"/>
  <c r="AK13" i="315"/>
  <c r="Z13" i="265"/>
  <c r="Z13" i="315"/>
  <c r="BB13" i="265"/>
  <c r="BB13" i="315"/>
  <c r="AO13" i="265"/>
  <c r="AO13" i="315"/>
  <c r="N13" i="315"/>
  <c r="AD13" i="265"/>
  <c r="AD13" i="315"/>
  <c r="BH13" i="265"/>
  <c r="BH13" i="315"/>
  <c r="AN13" i="265"/>
  <c r="AN13" i="315"/>
  <c r="AU13" i="265"/>
  <c r="AU13" i="315"/>
  <c r="AB13" i="265"/>
  <c r="AB13" i="315"/>
  <c r="BI13" i="265"/>
  <c r="BI13" i="315"/>
  <c r="BM123" i="314"/>
  <c r="BM44" i="314"/>
  <c r="BM24" i="314"/>
  <c r="BM89" i="314"/>
  <c r="BM57" i="273"/>
  <c r="BM63" i="273"/>
  <c r="BM64" i="273"/>
  <c r="BJ98" i="278"/>
  <c r="BJ101" i="278"/>
  <c r="BJ104" i="278"/>
  <c r="BJ105" i="278"/>
  <c r="BS181" i="288"/>
  <c r="BS31" i="288"/>
  <c r="BI27" i="328"/>
  <c r="BI172" i="278"/>
  <c r="BM36" i="285"/>
  <c r="BU102" i="314"/>
  <c r="BU84" i="288"/>
  <c r="BU228" i="288"/>
  <c r="BU234" i="288"/>
  <c r="BU78" i="288"/>
  <c r="BU5" i="265"/>
  <c r="BU5" i="328"/>
  <c r="BU5" i="321"/>
  <c r="BU5" i="288"/>
  <c r="BU5" i="289"/>
  <c r="BU5" i="273"/>
  <c r="BU5" i="282"/>
  <c r="BU5" i="315"/>
  <c r="BU5" i="314"/>
  <c r="BU5" i="278"/>
  <c r="BU5" i="286"/>
  <c r="BU5" i="275"/>
  <c r="BU5" i="304"/>
  <c r="BU5" i="285"/>
  <c r="BI163" i="278"/>
  <c r="BI164" i="278"/>
  <c r="BI168" i="278"/>
  <c r="BI167" i="278"/>
  <c r="BT38" i="289"/>
  <c r="BT133" i="288"/>
  <c r="BT136" i="288"/>
  <c r="BT138" i="288"/>
  <c r="BT140" i="288"/>
  <c r="BT145" i="288"/>
  <c r="BT23" i="288"/>
  <c r="BT25" i="288"/>
  <c r="BM11" i="321"/>
  <c r="BM172" i="314"/>
  <c r="BL72" i="321"/>
  <c r="BL79" i="321"/>
  <c r="BN20" i="275"/>
  <c r="BO17" i="275"/>
  <c r="BM40" i="321"/>
  <c r="BM41" i="321"/>
  <c r="BM44" i="321"/>
  <c r="BM111" i="314"/>
  <c r="BK92" i="278"/>
  <c r="BK98" i="278"/>
  <c r="BJ154" i="278"/>
  <c r="BJ155" i="278"/>
  <c r="BO674" i="321"/>
  <c r="BO262" i="273"/>
  <c r="BM147" i="321"/>
  <c r="BM155" i="321"/>
  <c r="BM130" i="321"/>
  <c r="BM165" i="321"/>
  <c r="BM70" i="321"/>
  <c r="BM212" i="273"/>
  <c r="BM141" i="321"/>
  <c r="BM253" i="321"/>
  <c r="BM213" i="273"/>
  <c r="BM277" i="321"/>
  <c r="BM131" i="321"/>
  <c r="BM259" i="321"/>
  <c r="BM71" i="321"/>
  <c r="BM267" i="321"/>
  <c r="BI197" i="278"/>
  <c r="BI9" i="315"/>
  <c r="BI188" i="278"/>
  <c r="BI189" i="278"/>
  <c r="BI193" i="278"/>
  <c r="BI192" i="278"/>
  <c r="BM603" i="321"/>
  <c r="BM675" i="321"/>
  <c r="BM565" i="321"/>
  <c r="BM540" i="321"/>
  <c r="BM104" i="314"/>
  <c r="BM622" i="321"/>
  <c r="BM644" i="321"/>
  <c r="BM659" i="321"/>
  <c r="BM497" i="321"/>
  <c r="BM129" i="314"/>
  <c r="BM63" i="286"/>
  <c r="BM17" i="314"/>
  <c r="BM701" i="321"/>
  <c r="BM702" i="321"/>
  <c r="BM706" i="321"/>
  <c r="BM551" i="321"/>
  <c r="BM179" i="278"/>
  <c r="BM573" i="321"/>
  <c r="BM617" i="321"/>
  <c r="BM233" i="273"/>
  <c r="BM234" i="273"/>
  <c r="BM17" i="278"/>
  <c r="BM652" i="321"/>
  <c r="BM694" i="321"/>
  <c r="BM31" i="289"/>
  <c r="BM32" i="289"/>
  <c r="BM37" i="289"/>
  <c r="BM39" i="289"/>
  <c r="BN39" i="289"/>
  <c r="BM57" i="314"/>
  <c r="BM708" i="321"/>
  <c r="BM239" i="278"/>
  <c r="BM581" i="321"/>
  <c r="BM100" i="278"/>
  <c r="BM204" i="278"/>
  <c r="BM636" i="321"/>
  <c r="BM453" i="321"/>
  <c r="BM50" i="314"/>
  <c r="BM136" i="314"/>
  <c r="BM148" i="278"/>
  <c r="BM713" i="321"/>
  <c r="BM230" i="278"/>
  <c r="BM246" i="278"/>
  <c r="BM283" i="278"/>
  <c r="BM238" i="273"/>
  <c r="BM239" i="273"/>
  <c r="BM319" i="278"/>
  <c r="BM545" i="321"/>
  <c r="BM306" i="278"/>
  <c r="BM16" i="285"/>
  <c r="BM17" i="285"/>
  <c r="BN151" i="321"/>
  <c r="BN161" i="273"/>
  <c r="BN163" i="273"/>
  <c r="BO4" i="289"/>
  <c r="BO4" i="286"/>
  <c r="BO4" i="288"/>
  <c r="BO4" i="315"/>
  <c r="BO4" i="273"/>
  <c r="BO4" i="321"/>
  <c r="BO4" i="282"/>
  <c r="BO4" i="275"/>
  <c r="BO4" i="285"/>
  <c r="BO4" i="304"/>
  <c r="BO4" i="278"/>
  <c r="BO4" i="314"/>
  <c r="BO11" i="328"/>
  <c r="BK97" i="278"/>
  <c r="BI10" i="315"/>
  <c r="BI10" i="265"/>
  <c r="BP158" i="273"/>
  <c r="BP159" i="273"/>
  <c r="BP162" i="273"/>
  <c r="BP34" i="288"/>
  <c r="BP2" i="273"/>
  <c r="BP148" i="288"/>
  <c r="BP2" i="289"/>
  <c r="BP2" i="278"/>
  <c r="BP258" i="273"/>
  <c r="BP198" i="273"/>
  <c r="BP199" i="273"/>
  <c r="BP202" i="273"/>
  <c r="BP2" i="265"/>
  <c r="BP2" i="321"/>
  <c r="BP2" i="304"/>
  <c r="BP38" i="311"/>
  <c r="BP2" i="275"/>
  <c r="BP2" i="282"/>
  <c r="BP71" i="273"/>
  <c r="BP72" i="273"/>
  <c r="BP209" i="288"/>
  <c r="BP119" i="273"/>
  <c r="BP120" i="273"/>
  <c r="BP123" i="273"/>
  <c r="BP154" i="273"/>
  <c r="BP3" i="328"/>
  <c r="BP8" i="328"/>
  <c r="BP2" i="285"/>
  <c r="BP49" i="273"/>
  <c r="BP2" i="315"/>
  <c r="BP184" i="288"/>
  <c r="BP59" i="288"/>
  <c r="BP2" i="288"/>
  <c r="BP194" i="273"/>
  <c r="BP195" i="273"/>
  <c r="BP2" i="314"/>
  <c r="BP2" i="286"/>
  <c r="BL147" i="278"/>
  <c r="BL149" i="278"/>
  <c r="BO30" i="289"/>
  <c r="BN28" i="288"/>
  <c r="BN203" i="288"/>
  <c r="BN178" i="288"/>
  <c r="BN53" i="288"/>
  <c r="BP155" i="273"/>
  <c r="BO237" i="273"/>
  <c r="BO579" i="321"/>
  <c r="BO186" i="278"/>
  <c r="BO211" i="278"/>
  <c r="BO650" i="321"/>
  <c r="BO161" i="278"/>
  <c r="BO707" i="321"/>
  <c r="BO598" i="321"/>
  <c r="BO599" i="321"/>
  <c r="BL3" i="286"/>
  <c r="BL3" i="289"/>
  <c r="BL3" i="315"/>
  <c r="BL3" i="278"/>
  <c r="BL3" i="275"/>
  <c r="BL3" i="285"/>
  <c r="BL3" i="321"/>
  <c r="BL3" i="314"/>
  <c r="BL3" i="288"/>
  <c r="BL3" i="265"/>
  <c r="BL3" i="282"/>
  <c r="BL3" i="273"/>
  <c r="BL3" i="304"/>
  <c r="BL4" i="328"/>
  <c r="BL47" i="273"/>
  <c r="BH10" i="265"/>
  <c r="BH11" i="265"/>
  <c r="BH32" i="328"/>
  <c r="BH10" i="315"/>
  <c r="BH11" i="315"/>
  <c r="BM105" i="282"/>
  <c r="BM591" i="321"/>
  <c r="BM37" i="282"/>
  <c r="BL24" i="265"/>
  <c r="BL22" i="315"/>
  <c r="BL61" i="265"/>
  <c r="BL59" i="315"/>
  <c r="BO84" i="273"/>
  <c r="BO54" i="273"/>
  <c r="BO28" i="314"/>
  <c r="BO259" i="278"/>
  <c r="BO122" i="273"/>
  <c r="BO117" i="314"/>
  <c r="BO589" i="321"/>
  <c r="BO590" i="321"/>
  <c r="BO261" i="273"/>
  <c r="BO55" i="273"/>
  <c r="BO38" i="314"/>
  <c r="BN54" i="273"/>
  <c r="BN84" i="273"/>
  <c r="BN86" i="273"/>
  <c r="BK153" i="278"/>
  <c r="BK30" i="328"/>
  <c r="BK67" i="288"/>
  <c r="BK68" i="288"/>
  <c r="BK167" i="288"/>
  <c r="BK217" i="273"/>
  <c r="BJ218" i="273"/>
  <c r="BK91" i="288"/>
  <c r="BK217" i="288"/>
  <c r="BK218" i="288"/>
  <c r="BK220" i="288"/>
  <c r="BK230" i="288"/>
  <c r="BK259" i="288"/>
  <c r="BK86" i="288"/>
  <c r="BK236" i="288"/>
  <c r="BK51" i="321"/>
  <c r="BK241" i="288"/>
  <c r="BK242" i="288"/>
  <c r="BK244" i="288"/>
  <c r="BK109" i="288"/>
  <c r="BK80" i="288"/>
  <c r="BK45" i="321"/>
  <c r="BK46" i="321"/>
  <c r="BK48" i="321"/>
  <c r="BK161" i="288"/>
  <c r="BK162" i="288"/>
  <c r="BK171" i="288"/>
  <c r="BO56" i="273"/>
  <c r="BO240" i="278"/>
  <c r="BO247" i="278"/>
  <c r="BO79" i="314"/>
  <c r="BO118" i="314"/>
  <c r="BO296" i="278"/>
  <c r="BO15" i="275"/>
  <c r="BO272" i="278"/>
  <c r="BO19" i="282"/>
  <c r="BO158" i="314"/>
  <c r="BO39" i="314"/>
  <c r="BO85" i="273"/>
  <c r="BO72" i="273"/>
  <c r="BJ70" i="288"/>
  <c r="BJ57" i="328"/>
  <c r="BN262" i="273"/>
  <c r="BN674" i="321"/>
  <c r="BL709" i="321"/>
  <c r="BL711" i="321"/>
  <c r="BN122" i="273"/>
  <c r="BN124" i="273"/>
  <c r="BN38" i="314"/>
  <c r="BN589" i="321"/>
  <c r="BN590" i="321"/>
  <c r="BN259" i="278"/>
  <c r="BN55" i="273"/>
  <c r="BN117" i="314"/>
  <c r="BN28" i="314"/>
  <c r="BN261" i="273"/>
  <c r="BN263" i="273"/>
  <c r="BK152" i="278"/>
  <c r="BK154" i="278"/>
  <c r="BK223" i="278"/>
  <c r="BK29" i="328"/>
  <c r="BN201" i="273"/>
  <c r="BN203" i="273"/>
  <c r="BN263" i="321"/>
  <c r="BO162" i="278"/>
  <c r="BO268" i="278"/>
  <c r="BO623" i="321"/>
  <c r="BO15" i="286"/>
  <c r="BO16" i="288"/>
  <c r="BO17" i="288"/>
  <c r="BO109" i="273"/>
  <c r="BP110" i="273"/>
  <c r="BO187" i="278"/>
  <c r="BO92" i="286"/>
  <c r="BO637" i="321"/>
  <c r="BO552" i="321"/>
  <c r="BO212" i="278"/>
  <c r="BO11" i="282"/>
  <c r="BO292" i="278"/>
  <c r="BO33" i="286"/>
  <c r="BO110" i="286"/>
  <c r="BO566" i="321"/>
  <c r="BI122" i="288"/>
  <c r="BI264" i="288"/>
  <c r="BI272" i="288"/>
  <c r="BI114" i="288"/>
  <c r="BL90" i="278"/>
  <c r="BL91" i="278"/>
  <c r="BR10" i="289"/>
  <c r="BR2" i="328"/>
  <c r="BP36" i="289"/>
  <c r="BP11" i="289"/>
  <c r="BP12" i="289"/>
  <c r="BO161" i="273"/>
  <c r="BO151" i="321"/>
  <c r="BN602" i="321"/>
  <c r="BN658" i="321"/>
  <c r="BO195" i="273"/>
  <c r="BL39" i="321"/>
  <c r="BL11" i="278"/>
  <c r="BL218" i="321"/>
  <c r="BL330" i="321"/>
  <c r="BL113" i="282"/>
  <c r="BL153" i="282"/>
  <c r="BL85" i="282"/>
  <c r="BL45" i="282"/>
  <c r="BL18" i="285"/>
  <c r="BL26" i="285"/>
  <c r="BL214" i="273"/>
  <c r="AB224" i="278"/>
  <c r="AB225" i="278"/>
  <c r="AB220" i="278"/>
  <c r="M321" i="278"/>
  <c r="M45" i="265" s="1"/>
  <c r="M312" i="278"/>
  <c r="M305" i="278"/>
  <c r="M307" i="278"/>
  <c r="N323" i="278"/>
  <c r="M117" i="265"/>
  <c r="M113" i="315"/>
  <c r="K98" i="315"/>
  <c r="K102" i="265"/>
  <c r="L23" i="285"/>
  <c r="L27" i="285"/>
  <c r="BJ217" i="278"/>
  <c r="BI11" i="265"/>
  <c r="BI32" i="328"/>
  <c r="BK217" i="278"/>
  <c r="BK18" i="328"/>
  <c r="BV102" i="314"/>
  <c r="BV5" i="328"/>
  <c r="BV228" i="288"/>
  <c r="BV234" i="288"/>
  <c r="BV78" i="288"/>
  <c r="BV5" i="265"/>
  <c r="BV84" i="288"/>
  <c r="BV5" i="321"/>
  <c r="BV5" i="289"/>
  <c r="BV5" i="285"/>
  <c r="BV5" i="286"/>
  <c r="BV5" i="273"/>
  <c r="BV5" i="315"/>
  <c r="BV5" i="288"/>
  <c r="BV5" i="304"/>
  <c r="BV5" i="278"/>
  <c r="BV5" i="275"/>
  <c r="BV5" i="282"/>
  <c r="BV5" i="314"/>
  <c r="BU133" i="288"/>
  <c r="BU136" i="288"/>
  <c r="BU138" i="288"/>
  <c r="BU140" i="288"/>
  <c r="BU145" i="288"/>
  <c r="BU23" i="288"/>
  <c r="BU25" i="288"/>
  <c r="BU38" i="289"/>
  <c r="BT181" i="288"/>
  <c r="BT31" i="288"/>
  <c r="BN57" i="273"/>
  <c r="BN63" i="273"/>
  <c r="BN64" i="273"/>
  <c r="BK155" i="278"/>
  <c r="BK10" i="315"/>
  <c r="BJ213" i="278"/>
  <c r="BJ214" i="278"/>
  <c r="BJ218" i="278"/>
  <c r="BO20" i="275"/>
  <c r="BP17" i="275"/>
  <c r="BJ223" i="278"/>
  <c r="BK213" i="278"/>
  <c r="BK214" i="278"/>
  <c r="BK218" i="278"/>
  <c r="BL92" i="278"/>
  <c r="BL18" i="328"/>
  <c r="BJ172" i="278"/>
  <c r="BJ167" i="278"/>
  <c r="BJ163" i="278"/>
  <c r="BJ164" i="278"/>
  <c r="BJ168" i="278"/>
  <c r="BJ27" i="328"/>
  <c r="BN131" i="321"/>
  <c r="BN267" i="321"/>
  <c r="BN277" i="321"/>
  <c r="BN213" i="273"/>
  <c r="BN253" i="321"/>
  <c r="BN71" i="321"/>
  <c r="BN259" i="321"/>
  <c r="BN701" i="321"/>
  <c r="BN702" i="321"/>
  <c r="BN706" i="321"/>
  <c r="BN565" i="321"/>
  <c r="BN104" i="314"/>
  <c r="BN622" i="321"/>
  <c r="BN636" i="321"/>
  <c r="BN659" i="321"/>
  <c r="BN319" i="278"/>
  <c r="BN63" i="286"/>
  <c r="BN47" i="289"/>
  <c r="BN48" i="289"/>
  <c r="BN53" i="289"/>
  <c r="BN708" i="321"/>
  <c r="BN540" i="321"/>
  <c r="BN573" i="321"/>
  <c r="BN238" i="273"/>
  <c r="BN239" i="273"/>
  <c r="BN100" i="278"/>
  <c r="BN233" i="273"/>
  <c r="BN234" i="273"/>
  <c r="BN17" i="278"/>
  <c r="BN694" i="321"/>
  <c r="BN306" i="278"/>
  <c r="BN136" i="314"/>
  <c r="BN16" i="289"/>
  <c r="BN17" i="289"/>
  <c r="BN22" i="289"/>
  <c r="BN148" i="278"/>
  <c r="BN713" i="321"/>
  <c r="BN179" i="278"/>
  <c r="BN230" i="278"/>
  <c r="BN581" i="321"/>
  <c r="BN617" i="321"/>
  <c r="BN644" i="321"/>
  <c r="BN204" i="278"/>
  <c r="BN497" i="321"/>
  <c r="BN31" i="289"/>
  <c r="BN32" i="289"/>
  <c r="BN37" i="289"/>
  <c r="BN545" i="321"/>
  <c r="BN50" i="314"/>
  <c r="BN17" i="314"/>
  <c r="BN603" i="321"/>
  <c r="BN675" i="321"/>
  <c r="BN239" i="278"/>
  <c r="BN551" i="321"/>
  <c r="BN246" i="278"/>
  <c r="BN652" i="321"/>
  <c r="BN283" i="278"/>
  <c r="BN453" i="321"/>
  <c r="BN129" i="314"/>
  <c r="BN57" i="314"/>
  <c r="BO124" i="273"/>
  <c r="BN16" i="285"/>
  <c r="BN17" i="285"/>
  <c r="BN212" i="273"/>
  <c r="BN141" i="321"/>
  <c r="BN147" i="321"/>
  <c r="BN155" i="321"/>
  <c r="BN70" i="321"/>
  <c r="BN165" i="321"/>
  <c r="BO163" i="273"/>
  <c r="BN130" i="321"/>
  <c r="BL217" i="288"/>
  <c r="BL218" i="288"/>
  <c r="BL220" i="288"/>
  <c r="BL217" i="273"/>
  <c r="BK218" i="273"/>
  <c r="BL91" i="288"/>
  <c r="BL236" i="288"/>
  <c r="BL45" i="321"/>
  <c r="BL46" i="321"/>
  <c r="BL48" i="321"/>
  <c r="BL230" i="288"/>
  <c r="BL86" i="288"/>
  <c r="BL67" i="288"/>
  <c r="BL68" i="288"/>
  <c r="BL259" i="288"/>
  <c r="BL161" i="288"/>
  <c r="BL162" i="288"/>
  <c r="BL171" i="288"/>
  <c r="BL80" i="288"/>
  <c r="BL51" i="321"/>
  <c r="BL167" i="288"/>
  <c r="BL109" i="288"/>
  <c r="BL241" i="288"/>
  <c r="BL242" i="288"/>
  <c r="BL244" i="288"/>
  <c r="BP30" i="289"/>
  <c r="BP15" i="289"/>
  <c r="BP46" i="289"/>
  <c r="BP263" i="321"/>
  <c r="BP201" i="273"/>
  <c r="BP247" i="278"/>
  <c r="BP56" i="273"/>
  <c r="BP240" i="278"/>
  <c r="BK57" i="328"/>
  <c r="BK70" i="288"/>
  <c r="BO105" i="282"/>
  <c r="BO591" i="321"/>
  <c r="BO37" i="282"/>
  <c r="BJ192" i="278"/>
  <c r="BJ197" i="278"/>
  <c r="BJ9" i="315"/>
  <c r="BJ188" i="278"/>
  <c r="BJ189" i="278"/>
  <c r="BJ193" i="278"/>
  <c r="BL152" i="278"/>
  <c r="BL29" i="328"/>
  <c r="BP259" i="273"/>
  <c r="BM39" i="321"/>
  <c r="BM330" i="321"/>
  <c r="BM11" i="278"/>
  <c r="BM218" i="321"/>
  <c r="BM90" i="278"/>
  <c r="BM72" i="321"/>
  <c r="BM79" i="321"/>
  <c r="BK17" i="328"/>
  <c r="BO178" i="288"/>
  <c r="BO203" i="288"/>
  <c r="BO53" i="288"/>
  <c r="BO28" i="288"/>
  <c r="BO602" i="321"/>
  <c r="BO658" i="321"/>
  <c r="BP4" i="289"/>
  <c r="BP4" i="321"/>
  <c r="BP4" i="285"/>
  <c r="BP4" i="304"/>
  <c r="BP4" i="315"/>
  <c r="BP4" i="278"/>
  <c r="BP11" i="328"/>
  <c r="BP4" i="288"/>
  <c r="BP4" i="273"/>
  <c r="BP4" i="275"/>
  <c r="BP4" i="314"/>
  <c r="BP4" i="282"/>
  <c r="BP4" i="286"/>
  <c r="BP211" i="278"/>
  <c r="BP186" i="278"/>
  <c r="BP579" i="321"/>
  <c r="BP650" i="321"/>
  <c r="BP707" i="321"/>
  <c r="BP598" i="321"/>
  <c r="BP599" i="321"/>
  <c r="BP161" i="278"/>
  <c r="BM147" i="278"/>
  <c r="BM149" i="278"/>
  <c r="BM709" i="321"/>
  <c r="BM711" i="321"/>
  <c r="BM3" i="282"/>
  <c r="BM47" i="273"/>
  <c r="BM3" i="314"/>
  <c r="BM4" i="328"/>
  <c r="BM3" i="285"/>
  <c r="BM3" i="321"/>
  <c r="BM3" i="273"/>
  <c r="BM3" i="286"/>
  <c r="BM3" i="278"/>
  <c r="BM3" i="275"/>
  <c r="BM3" i="304"/>
  <c r="BM3" i="289"/>
  <c r="BM3" i="288"/>
  <c r="BM3" i="265"/>
  <c r="BM3" i="315"/>
  <c r="BL13" i="315"/>
  <c r="BL13" i="265"/>
  <c r="BS2" i="328"/>
  <c r="BQ258" i="273"/>
  <c r="BQ259" i="273"/>
  <c r="BQ194" i="273"/>
  <c r="BQ195" i="273"/>
  <c r="BQ3" i="328"/>
  <c r="BQ8" i="328"/>
  <c r="BQ2" i="289"/>
  <c r="BQ38" i="311"/>
  <c r="BQ2" i="304"/>
  <c r="BQ2" i="314"/>
  <c r="BQ158" i="273"/>
  <c r="BQ159" i="273"/>
  <c r="BQ162" i="273"/>
  <c r="BQ71" i="273"/>
  <c r="BQ59" i="288"/>
  <c r="BQ148" i="288"/>
  <c r="BQ49" i="273"/>
  <c r="BQ2" i="275"/>
  <c r="BQ2" i="285"/>
  <c r="BQ198" i="273"/>
  <c r="BQ199" i="273"/>
  <c r="BQ202" i="273"/>
  <c r="BQ209" i="288"/>
  <c r="BQ34" i="288"/>
  <c r="BQ2" i="273"/>
  <c r="BQ2" i="315"/>
  <c r="BQ2" i="288"/>
  <c r="BQ119" i="273"/>
  <c r="BQ120" i="273"/>
  <c r="BQ123" i="273"/>
  <c r="BQ154" i="273"/>
  <c r="BQ155" i="273"/>
  <c r="BQ2" i="265"/>
  <c r="BQ2" i="282"/>
  <c r="BQ2" i="278"/>
  <c r="BQ184" i="288"/>
  <c r="BQ2" i="321"/>
  <c r="BQ2" i="286"/>
  <c r="BP53" i="273"/>
  <c r="BP75" i="273"/>
  <c r="BQ76" i="273"/>
  <c r="BJ264" i="288"/>
  <c r="BJ272" i="288"/>
  <c r="BJ122" i="288"/>
  <c r="BJ114" i="288"/>
  <c r="BM24" i="265"/>
  <c r="BM22" i="315"/>
  <c r="BM59" i="315"/>
  <c r="BM61" i="265"/>
  <c r="BP11" i="282"/>
  <c r="BP268" i="278"/>
  <c r="BP623" i="321"/>
  <c r="BP110" i="286"/>
  <c r="BP16" i="288"/>
  <c r="BP17" i="288"/>
  <c r="BP566" i="321"/>
  <c r="BP187" i="278"/>
  <c r="BP33" i="286"/>
  <c r="BP162" i="278"/>
  <c r="BP212" i="278"/>
  <c r="BP637" i="321"/>
  <c r="BP92" i="286"/>
  <c r="BP109" i="273"/>
  <c r="BQ110" i="273"/>
  <c r="BP552" i="321"/>
  <c r="BP292" i="278"/>
  <c r="BP15" i="286"/>
  <c r="BK101" i="278"/>
  <c r="BK104" i="278"/>
  <c r="BK105" i="278"/>
  <c r="BM91" i="278"/>
  <c r="BI11" i="315"/>
  <c r="BO263" i="321"/>
  <c r="BO201" i="273"/>
  <c r="BO203" i="273"/>
  <c r="BL97" i="278"/>
  <c r="BJ10" i="315"/>
  <c r="BJ10" i="265"/>
  <c r="BJ11" i="265"/>
  <c r="BJ32" i="328"/>
  <c r="BN105" i="282"/>
  <c r="BN37" i="282"/>
  <c r="BN591" i="321"/>
  <c r="BQ36" i="289"/>
  <c r="BO53" i="273"/>
  <c r="BO75" i="273"/>
  <c r="BP76" i="273"/>
  <c r="BP589" i="321"/>
  <c r="BP590" i="321"/>
  <c r="BP259" i="278"/>
  <c r="BP55" i="273"/>
  <c r="BP117" i="314"/>
  <c r="BP28" i="314"/>
  <c r="BP38" i="314"/>
  <c r="BP122" i="273"/>
  <c r="BP261" i="273"/>
  <c r="BO263" i="273"/>
  <c r="BO86" i="273"/>
  <c r="BP161" i="273"/>
  <c r="BP151" i="321"/>
  <c r="BL153" i="278"/>
  <c r="BL30" i="328"/>
  <c r="BP237" i="273"/>
  <c r="BM153" i="282"/>
  <c r="BM85" i="282"/>
  <c r="BM113" i="282"/>
  <c r="BM45" i="282"/>
  <c r="BM18" i="285"/>
  <c r="BM26" i="285"/>
  <c r="BM214" i="273"/>
  <c r="BK10" i="265"/>
  <c r="L102" i="265"/>
  <c r="M23" i="285"/>
  <c r="M27" i="285"/>
  <c r="L98" i="315"/>
  <c r="N318" i="278"/>
  <c r="N320" i="278"/>
  <c r="N326" i="278"/>
  <c r="BN24" i="314"/>
  <c r="BN172" i="314"/>
  <c r="BN36" i="285"/>
  <c r="BN111" i="314"/>
  <c r="BN44" i="314"/>
  <c r="BN11" i="321"/>
  <c r="BN123" i="314"/>
  <c r="BN40" i="321"/>
  <c r="BN41" i="321"/>
  <c r="BN44" i="321"/>
  <c r="BN89" i="314"/>
  <c r="AC222" i="278"/>
  <c r="AB229" i="278"/>
  <c r="AB231" i="278"/>
  <c r="AB116" i="265"/>
  <c r="AB254" i="278"/>
  <c r="AB112" i="315"/>
  <c r="N309" i="278"/>
  <c r="M106" i="315"/>
  <c r="M110" i="265"/>
  <c r="AN283" i="307"/>
  <c r="AN9" i="310"/>
  <c r="M43" i="315"/>
  <c r="AB44" i="265"/>
  <c r="AB42" i="315"/>
  <c r="BO11" i="321"/>
  <c r="BO36" i="285"/>
  <c r="BP172" i="314"/>
  <c r="BO40" i="321"/>
  <c r="BO41" i="321"/>
  <c r="BO44" i="321"/>
  <c r="BO44" i="314"/>
  <c r="BO24" i="314"/>
  <c r="BO123" i="314"/>
  <c r="BO172" i="314"/>
  <c r="BO89" i="314"/>
  <c r="BO111" i="314"/>
  <c r="BO57" i="273"/>
  <c r="BO63" i="273"/>
  <c r="BO64" i="273"/>
  <c r="BV38" i="289"/>
  <c r="BV23" i="288"/>
  <c r="BV25" i="288"/>
  <c r="BV133" i="288"/>
  <c r="BV136" i="288"/>
  <c r="BV138" i="288"/>
  <c r="BV140" i="288"/>
  <c r="BV145" i="288"/>
  <c r="BU181" i="288"/>
  <c r="BU31" i="288"/>
  <c r="BW102" i="314"/>
  <c r="BW228" i="288"/>
  <c r="BW84" i="288"/>
  <c r="BW5" i="328"/>
  <c r="BW234" i="288"/>
  <c r="BW5" i="321"/>
  <c r="BW5" i="265"/>
  <c r="BW78" i="288"/>
  <c r="BW5" i="282"/>
  <c r="BW5" i="315"/>
  <c r="BW5" i="275"/>
  <c r="BW5" i="286"/>
  <c r="BW5" i="285"/>
  <c r="BW5" i="289"/>
  <c r="BW5" i="288"/>
  <c r="BW5" i="314"/>
  <c r="BW5" i="273"/>
  <c r="BW5" i="278"/>
  <c r="BW5" i="304"/>
  <c r="BL98" i="278"/>
  <c r="BL101" i="278"/>
  <c r="BL104" i="278"/>
  <c r="BL105" i="278"/>
  <c r="BN72" i="321"/>
  <c r="BN79" i="321"/>
  <c r="BQ263" i="321"/>
  <c r="BQ201" i="273"/>
  <c r="BK163" i="278"/>
  <c r="BK164" i="278"/>
  <c r="BK168" i="278"/>
  <c r="BK172" i="278"/>
  <c r="BK11" i="265"/>
  <c r="BK32" i="328"/>
  <c r="BK27" i="328"/>
  <c r="BK167" i="278"/>
  <c r="BQ674" i="321"/>
  <c r="BQ262" i="273"/>
  <c r="BO213" i="273"/>
  <c r="BO267" i="321"/>
  <c r="BO71" i="321"/>
  <c r="BO259" i="321"/>
  <c r="BO131" i="321"/>
  <c r="BO277" i="321"/>
  <c r="BP203" i="273"/>
  <c r="BO253" i="321"/>
  <c r="BQ151" i="321"/>
  <c r="BQ161" i="273"/>
  <c r="BP84" i="273"/>
  <c r="BP86" i="273"/>
  <c r="BP54" i="273"/>
  <c r="BQ30" i="289"/>
  <c r="BN59" i="315"/>
  <c r="BN61" i="265"/>
  <c r="BN24" i="265"/>
  <c r="BN22" i="315"/>
  <c r="BK9" i="315"/>
  <c r="BK11" i="315"/>
  <c r="BK192" i="278"/>
  <c r="BK197" i="278"/>
  <c r="BK188" i="278"/>
  <c r="BK189" i="278"/>
  <c r="BK193" i="278"/>
  <c r="BQ247" i="278"/>
  <c r="BQ56" i="273"/>
  <c r="BQ240" i="278"/>
  <c r="BP203" i="288"/>
  <c r="BP178" i="288"/>
  <c r="BP28" i="288"/>
  <c r="BP53" i="288"/>
  <c r="BQ161" i="278"/>
  <c r="BQ650" i="321"/>
  <c r="BQ598" i="321"/>
  <c r="BQ599" i="321"/>
  <c r="BQ579" i="321"/>
  <c r="BQ211" i="278"/>
  <c r="BQ707" i="321"/>
  <c r="BQ186" i="278"/>
  <c r="BT10" i="289"/>
  <c r="BT2" i="328"/>
  <c r="BP658" i="321"/>
  <c r="BP602" i="321"/>
  <c r="BR36" i="289"/>
  <c r="BR11" i="289"/>
  <c r="BR12" i="289"/>
  <c r="BN214" i="273"/>
  <c r="BN91" i="278"/>
  <c r="BO230" i="278"/>
  <c r="BO701" i="321"/>
  <c r="BO702" i="321"/>
  <c r="BO706" i="321"/>
  <c r="BO551" i="321"/>
  <c r="BO617" i="321"/>
  <c r="BO644" i="321"/>
  <c r="BO100" i="278"/>
  <c r="BO306" i="278"/>
  <c r="BO63" i="286"/>
  <c r="BO545" i="321"/>
  <c r="BO565" i="321"/>
  <c r="BO540" i="321"/>
  <c r="BO708" i="321"/>
  <c r="BO104" i="314"/>
  <c r="BO246" i="278"/>
  <c r="BO652" i="321"/>
  <c r="BO659" i="321"/>
  <c r="BO453" i="321"/>
  <c r="BO129" i="314"/>
  <c r="BO136" i="314"/>
  <c r="BO17" i="314"/>
  <c r="BO179" i="278"/>
  <c r="BO573" i="321"/>
  <c r="BO148" i="278"/>
  <c r="BO713" i="321"/>
  <c r="BO204" i="278"/>
  <c r="BO622" i="321"/>
  <c r="BO636" i="321"/>
  <c r="BO694" i="321"/>
  <c r="BO319" i="278"/>
  <c r="BO31" i="289"/>
  <c r="BO32" i="289"/>
  <c r="BO37" i="289"/>
  <c r="BO39" i="289"/>
  <c r="BP39" i="289"/>
  <c r="BO239" i="278"/>
  <c r="BO581" i="321"/>
  <c r="BO603" i="321"/>
  <c r="BO675" i="321"/>
  <c r="BO283" i="278"/>
  <c r="BO233" i="273"/>
  <c r="BO234" i="273"/>
  <c r="BO17" i="278"/>
  <c r="BO238" i="273"/>
  <c r="BO239" i="273"/>
  <c r="BO497" i="321"/>
  <c r="BO57" i="314"/>
  <c r="BO50" i="314"/>
  <c r="BM13" i="265"/>
  <c r="BM13" i="315"/>
  <c r="BL17" i="328"/>
  <c r="BM30" i="328"/>
  <c r="BM153" i="278"/>
  <c r="BQ272" i="278"/>
  <c r="BQ85" i="273"/>
  <c r="BQ79" i="314"/>
  <c r="BQ15" i="275"/>
  <c r="BQ296" i="278"/>
  <c r="BQ39" i="314"/>
  <c r="BQ19" i="282"/>
  <c r="BQ158" i="314"/>
  <c r="BQ118" i="314"/>
  <c r="BL154" i="278"/>
  <c r="BR2" i="265"/>
  <c r="BR34" i="288"/>
  <c r="BR154" i="273"/>
  <c r="BR155" i="273"/>
  <c r="BR2" i="321"/>
  <c r="BR38" i="311"/>
  <c r="BR209" i="288"/>
  <c r="BR71" i="273"/>
  <c r="BR72" i="273"/>
  <c r="BR194" i="273"/>
  <c r="BR59" i="288"/>
  <c r="BR2" i="304"/>
  <c r="BR2" i="275"/>
  <c r="BR2" i="315"/>
  <c r="BR2" i="286"/>
  <c r="BR119" i="273"/>
  <c r="BR120" i="273"/>
  <c r="BR123" i="273"/>
  <c r="BR2" i="285"/>
  <c r="BR2" i="289"/>
  <c r="BR3" i="328"/>
  <c r="BR8" i="328"/>
  <c r="BR158" i="273"/>
  <c r="BR159" i="273"/>
  <c r="BR162" i="273"/>
  <c r="BR2" i="278"/>
  <c r="BR184" i="288"/>
  <c r="BR2" i="288"/>
  <c r="BR148" i="288"/>
  <c r="BR2" i="273"/>
  <c r="BR198" i="273"/>
  <c r="BR199" i="273"/>
  <c r="BR202" i="273"/>
  <c r="BR2" i="282"/>
  <c r="BR49" i="273"/>
  <c r="BR258" i="273"/>
  <c r="BR259" i="273"/>
  <c r="BR2" i="314"/>
  <c r="BL57" i="328"/>
  <c r="BL70" i="288"/>
  <c r="BN85" i="282"/>
  <c r="BN113" i="282"/>
  <c r="BN153" i="282"/>
  <c r="BN45" i="282"/>
  <c r="BN18" i="285"/>
  <c r="BN26" i="285"/>
  <c r="BQ4" i="286"/>
  <c r="BQ4" i="273"/>
  <c r="BQ4" i="278"/>
  <c r="BQ4" i="289"/>
  <c r="BQ4" i="321"/>
  <c r="BQ4" i="314"/>
  <c r="BQ4" i="282"/>
  <c r="BQ4" i="275"/>
  <c r="BQ11" i="328"/>
  <c r="BQ4" i="288"/>
  <c r="BQ4" i="285"/>
  <c r="BQ4" i="304"/>
  <c r="BQ4" i="315"/>
  <c r="BM152" i="278"/>
  <c r="BM29" i="328"/>
  <c r="BP158" i="314"/>
  <c r="BP15" i="275"/>
  <c r="BP20" i="275"/>
  <c r="BQ17" i="275"/>
  <c r="BP19" i="282"/>
  <c r="BP296" i="278"/>
  <c r="BP39" i="314"/>
  <c r="BP79" i="314"/>
  <c r="BP85" i="273"/>
  <c r="BP272" i="278"/>
  <c r="BP118" i="314"/>
  <c r="BP262" i="273"/>
  <c r="BP674" i="321"/>
  <c r="BO70" i="321"/>
  <c r="BO165" i="321"/>
  <c r="BP163" i="273"/>
  <c r="BO130" i="321"/>
  <c r="BO212" i="273"/>
  <c r="BO141" i="321"/>
  <c r="BO147" i="321"/>
  <c r="BO155" i="321"/>
  <c r="BO16" i="285"/>
  <c r="BO17" i="285"/>
  <c r="BP124" i="273"/>
  <c r="BN90" i="278"/>
  <c r="BN330" i="321"/>
  <c r="BN39" i="321"/>
  <c r="BN218" i="321"/>
  <c r="BN11" i="278"/>
  <c r="BM217" i="273"/>
  <c r="BL218" i="273"/>
  <c r="BM236" i="288"/>
  <c r="BM45" i="321"/>
  <c r="BM46" i="321"/>
  <c r="BM48" i="321"/>
  <c r="BM91" i="288"/>
  <c r="BM109" i="288"/>
  <c r="BM67" i="288"/>
  <c r="BM68" i="288"/>
  <c r="BM167" i="288"/>
  <c r="BM86" i="288"/>
  <c r="BM230" i="288"/>
  <c r="BM51" i="321"/>
  <c r="BM161" i="288"/>
  <c r="BM162" i="288"/>
  <c r="BM171" i="288"/>
  <c r="BM80" i="288"/>
  <c r="BM241" i="288"/>
  <c r="BM242" i="288"/>
  <c r="BM244" i="288"/>
  <c r="BM217" i="288"/>
  <c r="BM218" i="288"/>
  <c r="BM220" i="288"/>
  <c r="BM259" i="288"/>
  <c r="BP263" i="273"/>
  <c r="BP105" i="282"/>
  <c r="BP591" i="321"/>
  <c r="BP37" i="282"/>
  <c r="BM97" i="278"/>
  <c r="BQ84" i="273"/>
  <c r="BQ54" i="273"/>
  <c r="BQ237" i="273"/>
  <c r="BQ566" i="321"/>
  <c r="BQ268" i="278"/>
  <c r="BQ187" i="278"/>
  <c r="BQ110" i="286"/>
  <c r="BQ16" i="288"/>
  <c r="BQ17" i="288"/>
  <c r="BQ109" i="273"/>
  <c r="BR110" i="273"/>
  <c r="BQ292" i="278"/>
  <c r="BQ15" i="286"/>
  <c r="BQ162" i="278"/>
  <c r="BQ212" i="278"/>
  <c r="BQ637" i="321"/>
  <c r="BQ92" i="286"/>
  <c r="BQ11" i="282"/>
  <c r="BQ552" i="321"/>
  <c r="BQ623" i="321"/>
  <c r="BQ33" i="286"/>
  <c r="BN147" i="278"/>
  <c r="BN149" i="278"/>
  <c r="BM92" i="278"/>
  <c r="BQ72" i="273"/>
  <c r="BJ11" i="315"/>
  <c r="BO59" i="315"/>
  <c r="BO24" i="265"/>
  <c r="BO22" i="315"/>
  <c r="BO61" i="265"/>
  <c r="BK264" i="288"/>
  <c r="BK272" i="288"/>
  <c r="BK122" i="288"/>
  <c r="BK114" i="288"/>
  <c r="BN709" i="321"/>
  <c r="BN711" i="321"/>
  <c r="BN3" i="282"/>
  <c r="BN3" i="273"/>
  <c r="BN3" i="314"/>
  <c r="BN3" i="304"/>
  <c r="BN3" i="285"/>
  <c r="BN3" i="278"/>
  <c r="BN47" i="273"/>
  <c r="BN4" i="328"/>
  <c r="BN3" i="321"/>
  <c r="BN3" i="265"/>
  <c r="BN3" i="289"/>
  <c r="BN3" i="275"/>
  <c r="BN3" i="286"/>
  <c r="BN3" i="315"/>
  <c r="BN3" i="288"/>
  <c r="AB238" i="278"/>
  <c r="AB282" i="278"/>
  <c r="AB245" i="278"/>
  <c r="AC228" i="278"/>
  <c r="AC216" i="278"/>
  <c r="AC219" i="278"/>
  <c r="M102" i="265"/>
  <c r="N23" i="285"/>
  <c r="N27" i="285"/>
  <c r="M98" i="315"/>
  <c r="N312" i="278"/>
  <c r="N305" i="278"/>
  <c r="N307" i="278"/>
  <c r="O323" i="278"/>
  <c r="N113" i="315"/>
  <c r="N117" i="265"/>
  <c r="BP24" i="314"/>
  <c r="N321" i="278"/>
  <c r="N45" i="265" s="1"/>
  <c r="BP89" i="314"/>
  <c r="BP44" i="314"/>
  <c r="BP11" i="321"/>
  <c r="BP111" i="314"/>
  <c r="BP40" i="321"/>
  <c r="BP41" i="321"/>
  <c r="BP44" i="321"/>
  <c r="BP36" i="285"/>
  <c r="BP123" i="314"/>
  <c r="BP57" i="273"/>
  <c r="BO72" i="321"/>
  <c r="BO79" i="321"/>
  <c r="BX102" i="314"/>
  <c r="BX78" i="288"/>
  <c r="BX228" i="288"/>
  <c r="BX5" i="265"/>
  <c r="BX84" i="288"/>
  <c r="BX5" i="328"/>
  <c r="BX234" i="288"/>
  <c r="BX5" i="321"/>
  <c r="BX5" i="304"/>
  <c r="BX5" i="285"/>
  <c r="BX5" i="273"/>
  <c r="BX5" i="286"/>
  <c r="BX5" i="289"/>
  <c r="BX5" i="275"/>
  <c r="BX5" i="288"/>
  <c r="BX5" i="315"/>
  <c r="BX5" i="314"/>
  <c r="BX5" i="282"/>
  <c r="BX5" i="278"/>
  <c r="BM154" i="278"/>
  <c r="BM155" i="278"/>
  <c r="BW38" i="289"/>
  <c r="BW133" i="288"/>
  <c r="BW136" i="288"/>
  <c r="BW138" i="288"/>
  <c r="BW140" i="288"/>
  <c r="BW145" i="288"/>
  <c r="BW23" i="288"/>
  <c r="BW25" i="288"/>
  <c r="BV31" i="288"/>
  <c r="BV181" i="288"/>
  <c r="BO214" i="273"/>
  <c r="BO259" i="288"/>
  <c r="BQ86" i="273"/>
  <c r="BN92" i="278"/>
  <c r="BP63" i="273"/>
  <c r="BP64" i="273"/>
  <c r="BR674" i="321"/>
  <c r="BR262" i="273"/>
  <c r="BR53" i="273"/>
  <c r="BR75" i="273"/>
  <c r="BS76" i="273"/>
  <c r="BL167" i="278"/>
  <c r="BL163" i="278"/>
  <c r="BL164" i="278"/>
  <c r="BL168" i="278"/>
  <c r="BL172" i="278"/>
  <c r="BL27" i="328"/>
  <c r="BM18" i="328"/>
  <c r="BM98" i="278"/>
  <c r="BM101" i="278"/>
  <c r="BM104" i="278"/>
  <c r="BM105" i="278"/>
  <c r="BR19" i="282"/>
  <c r="BR118" i="314"/>
  <c r="BR296" i="278"/>
  <c r="BR39" i="314"/>
  <c r="BR79" i="314"/>
  <c r="BR158" i="314"/>
  <c r="BR15" i="275"/>
  <c r="BR272" i="278"/>
  <c r="BR85" i="273"/>
  <c r="BL272" i="288"/>
  <c r="BL114" i="288"/>
  <c r="BL122" i="288"/>
  <c r="BL264" i="288"/>
  <c r="BP70" i="321"/>
  <c r="BP155" i="321"/>
  <c r="BP147" i="321"/>
  <c r="BP165" i="321"/>
  <c r="BQ163" i="273"/>
  <c r="BP130" i="321"/>
  <c r="BP212" i="273"/>
  <c r="BP141" i="321"/>
  <c r="BM213" i="278"/>
  <c r="BM214" i="278"/>
  <c r="BM218" i="278"/>
  <c r="BN13" i="265"/>
  <c r="BN13" i="315"/>
  <c r="BR237" i="273"/>
  <c r="BQ20" i="275"/>
  <c r="BR17" i="275"/>
  <c r="BO91" i="278"/>
  <c r="BP239" i="278"/>
  <c r="BP551" i="321"/>
  <c r="BP603" i="321"/>
  <c r="BP675" i="321"/>
  <c r="BP617" i="321"/>
  <c r="BP246" i="278"/>
  <c r="BP644" i="321"/>
  <c r="BP659" i="321"/>
  <c r="BP319" i="278"/>
  <c r="BP31" i="289"/>
  <c r="BP32" i="289"/>
  <c r="BP37" i="289"/>
  <c r="BP57" i="314"/>
  <c r="BP17" i="314"/>
  <c r="BP701" i="321"/>
  <c r="BP702" i="321"/>
  <c r="BP706" i="321"/>
  <c r="BP565" i="321"/>
  <c r="BP16" i="289"/>
  <c r="BP17" i="289"/>
  <c r="BP22" i="289"/>
  <c r="BP622" i="321"/>
  <c r="BP652" i="321"/>
  <c r="BP694" i="321"/>
  <c r="BP497" i="321"/>
  <c r="BP136" i="314"/>
  <c r="BP540" i="321"/>
  <c r="BP573" i="321"/>
  <c r="BP708" i="321"/>
  <c r="BP104" i="314"/>
  <c r="BP204" i="278"/>
  <c r="BP233" i="273"/>
  <c r="BP234" i="273"/>
  <c r="BP17" i="278"/>
  <c r="BP636" i="321"/>
  <c r="BP453" i="321"/>
  <c r="BP545" i="321"/>
  <c r="BP129" i="314"/>
  <c r="BP179" i="278"/>
  <c r="BP230" i="278"/>
  <c r="BP581" i="321"/>
  <c r="BP148" i="278"/>
  <c r="BP713" i="321"/>
  <c r="BP47" i="289"/>
  <c r="BP48" i="289"/>
  <c r="BP53" i="289"/>
  <c r="BP283" i="278"/>
  <c r="BP100" i="278"/>
  <c r="BP238" i="273"/>
  <c r="BP239" i="273"/>
  <c r="BP306" i="278"/>
  <c r="BP63" i="286"/>
  <c r="BP50" i="314"/>
  <c r="BQ602" i="321"/>
  <c r="BQ658" i="321"/>
  <c r="BO3" i="304"/>
  <c r="BO3" i="288"/>
  <c r="BO3" i="314"/>
  <c r="BO4" i="328"/>
  <c r="BO3" i="282"/>
  <c r="BO3" i="285"/>
  <c r="BO3" i="273"/>
  <c r="BO47" i="273"/>
  <c r="BO3" i="289"/>
  <c r="BO3" i="265"/>
  <c r="BO3" i="286"/>
  <c r="BO3" i="321"/>
  <c r="BO3" i="275"/>
  <c r="BO3" i="278"/>
  <c r="BO3" i="315"/>
  <c r="BN153" i="278"/>
  <c r="BN30" i="328"/>
  <c r="BR247" i="278"/>
  <c r="BR56" i="273"/>
  <c r="BR240" i="278"/>
  <c r="BL192" i="278"/>
  <c r="BL197" i="278"/>
  <c r="BL9" i="315"/>
  <c r="BL188" i="278"/>
  <c r="BL189" i="278"/>
  <c r="BL193" i="278"/>
  <c r="BP16" i="285"/>
  <c r="BP17" i="285"/>
  <c r="BS36" i="289"/>
  <c r="BR195" i="273"/>
  <c r="BL223" i="278"/>
  <c r="BL213" i="278"/>
  <c r="BL214" i="278"/>
  <c r="BL218" i="278"/>
  <c r="BL217" i="278"/>
  <c r="BL155" i="278"/>
  <c r="BN97" i="278"/>
  <c r="BO39" i="321"/>
  <c r="BO330" i="321"/>
  <c r="BO11" i="278"/>
  <c r="BO218" i="321"/>
  <c r="BO90" i="278"/>
  <c r="BU2" i="328"/>
  <c r="BN29" i="328"/>
  <c r="BN152" i="278"/>
  <c r="BQ28" i="288"/>
  <c r="BQ203" i="288"/>
  <c r="BQ53" i="288"/>
  <c r="BQ178" i="288"/>
  <c r="BR4" i="321"/>
  <c r="BR4" i="315"/>
  <c r="BR4" i="273"/>
  <c r="BR4" i="286"/>
  <c r="BR4" i="275"/>
  <c r="BR4" i="289"/>
  <c r="BR4" i="282"/>
  <c r="BR4" i="278"/>
  <c r="BR4" i="314"/>
  <c r="BR11" i="328"/>
  <c r="BR4" i="285"/>
  <c r="BR4" i="304"/>
  <c r="BR4" i="288"/>
  <c r="BO113" i="282"/>
  <c r="BO153" i="282"/>
  <c r="BO45" i="282"/>
  <c r="BO85" i="282"/>
  <c r="BO18" i="285"/>
  <c r="BO26" i="285"/>
  <c r="BO217" i="273"/>
  <c r="BN218" i="273"/>
  <c r="BQ122" i="273"/>
  <c r="BQ124" i="273"/>
  <c r="BQ38" i="314"/>
  <c r="BQ589" i="321"/>
  <c r="BQ590" i="321"/>
  <c r="BQ259" i="278"/>
  <c r="BQ55" i="273"/>
  <c r="BQ117" i="314"/>
  <c r="BQ28" i="314"/>
  <c r="BQ261" i="273"/>
  <c r="BQ263" i="273"/>
  <c r="BS198" i="273"/>
  <c r="BS199" i="273"/>
  <c r="BS202" i="273"/>
  <c r="BS71" i="273"/>
  <c r="BS184" i="288"/>
  <c r="BS209" i="288"/>
  <c r="BS2" i="289"/>
  <c r="BS2" i="315"/>
  <c r="BS2" i="282"/>
  <c r="BS119" i="273"/>
  <c r="BS120" i="273"/>
  <c r="BS123" i="273"/>
  <c r="BS154" i="273"/>
  <c r="BS2" i="265"/>
  <c r="BS2" i="304"/>
  <c r="BS2" i="321"/>
  <c r="BS2" i="314"/>
  <c r="BS2" i="275"/>
  <c r="BS2" i="286"/>
  <c r="BS258" i="273"/>
  <c r="BS259" i="273"/>
  <c r="BS194" i="273"/>
  <c r="BS59" i="288"/>
  <c r="BS2" i="278"/>
  <c r="BS49" i="273"/>
  <c r="BS2" i="273"/>
  <c r="BS34" i="288"/>
  <c r="BS158" i="273"/>
  <c r="BS159" i="273"/>
  <c r="BS162" i="273"/>
  <c r="BS3" i="328"/>
  <c r="BS8" i="328"/>
  <c r="BS2" i="285"/>
  <c r="BS2" i="288"/>
  <c r="BS38" i="311"/>
  <c r="BS148" i="288"/>
  <c r="BR161" i="278"/>
  <c r="BR186" i="278"/>
  <c r="BR598" i="321"/>
  <c r="BR599" i="321"/>
  <c r="BR650" i="321"/>
  <c r="BR211" i="278"/>
  <c r="BR707" i="321"/>
  <c r="BR579" i="321"/>
  <c r="BS72" i="273"/>
  <c r="BO147" i="278"/>
  <c r="BO149" i="278"/>
  <c r="BR30" i="289"/>
  <c r="BR46" i="289"/>
  <c r="BR15" i="289"/>
  <c r="BM17" i="328"/>
  <c r="BP213" i="273"/>
  <c r="BP71" i="321"/>
  <c r="BP131" i="321"/>
  <c r="BP259" i="321"/>
  <c r="BP267" i="321"/>
  <c r="BP277" i="321"/>
  <c r="BQ203" i="273"/>
  <c r="BP253" i="321"/>
  <c r="BQ53" i="273"/>
  <c r="BQ75" i="273"/>
  <c r="BR76" i="273"/>
  <c r="BR161" i="273"/>
  <c r="BR151" i="321"/>
  <c r="BP59" i="315"/>
  <c r="BP24" i="265"/>
  <c r="BP22" i="315"/>
  <c r="BP61" i="265"/>
  <c r="BM57" i="328"/>
  <c r="BM70" i="288"/>
  <c r="BR11" i="282"/>
  <c r="BR162" i="278"/>
  <c r="BR187" i="278"/>
  <c r="BR33" i="286"/>
  <c r="BR566" i="321"/>
  <c r="BR268" i="278"/>
  <c r="BR292" i="278"/>
  <c r="BR92" i="286"/>
  <c r="BR16" i="288"/>
  <c r="BR17" i="288"/>
  <c r="BR552" i="321"/>
  <c r="BR637" i="321"/>
  <c r="BR15" i="286"/>
  <c r="BR212" i="278"/>
  <c r="BR109" i="273"/>
  <c r="BS110" i="273"/>
  <c r="BR623" i="321"/>
  <c r="BR110" i="286"/>
  <c r="BR55" i="273"/>
  <c r="BR38" i="314"/>
  <c r="BR28" i="314"/>
  <c r="BR261" i="273"/>
  <c r="BR122" i="273"/>
  <c r="BR259" i="278"/>
  <c r="BR589" i="321"/>
  <c r="BR590" i="321"/>
  <c r="BR117" i="314"/>
  <c r="BO709" i="321"/>
  <c r="BO711" i="321"/>
  <c r="BN67" i="288"/>
  <c r="BN68" i="288"/>
  <c r="BN259" i="288"/>
  <c r="BN80" i="288"/>
  <c r="BN109" i="288"/>
  <c r="BN217" i="288"/>
  <c r="BN218" i="288"/>
  <c r="BN220" i="288"/>
  <c r="BN167" i="288"/>
  <c r="BN217" i="273"/>
  <c r="BM218" i="273"/>
  <c r="BN230" i="288"/>
  <c r="BN51" i="321"/>
  <c r="BN91" i="288"/>
  <c r="BN241" i="288"/>
  <c r="BN242" i="288"/>
  <c r="BN244" i="288"/>
  <c r="BN161" i="288"/>
  <c r="BN45" i="321"/>
  <c r="BN46" i="321"/>
  <c r="BN48" i="321"/>
  <c r="BN86" i="288"/>
  <c r="BN236" i="288"/>
  <c r="N43" i="315"/>
  <c r="O326" i="278"/>
  <c r="O318" i="278"/>
  <c r="O320" i="278"/>
  <c r="AO9" i="310"/>
  <c r="AO283" i="307"/>
  <c r="AC224" i="278"/>
  <c r="AC225" i="278"/>
  <c r="AC220" i="278"/>
  <c r="N106" i="315"/>
  <c r="N110" i="265"/>
  <c r="O309" i="278"/>
  <c r="N102" i="265"/>
  <c r="O23" i="285"/>
  <c r="O27" i="285"/>
  <c r="N98" i="315"/>
  <c r="BO241" i="288"/>
  <c r="BO242" i="288"/>
  <c r="BO244" i="288"/>
  <c r="BO236" i="288"/>
  <c r="BO230" i="288"/>
  <c r="BO167" i="288"/>
  <c r="BO51" i="321"/>
  <c r="BO217" i="288"/>
  <c r="BO218" i="288"/>
  <c r="BO220" i="288"/>
  <c r="BO67" i="288"/>
  <c r="BO68" i="288"/>
  <c r="BO70" i="288"/>
  <c r="BO80" i="288"/>
  <c r="BO86" i="288"/>
  <c r="BO45" i="321"/>
  <c r="BO46" i="321"/>
  <c r="BO48" i="321"/>
  <c r="BO91" i="288"/>
  <c r="BO161" i="288"/>
  <c r="BO162" i="288"/>
  <c r="BO171" i="288"/>
  <c r="BO109" i="288"/>
  <c r="BP97" i="278"/>
  <c r="BY84" i="288"/>
  <c r="BY102" i="314"/>
  <c r="BY228" i="288"/>
  <c r="BY78" i="288"/>
  <c r="BY234" i="288"/>
  <c r="BY5" i="265"/>
  <c r="BY5" i="328"/>
  <c r="BY5" i="321"/>
  <c r="BY5" i="275"/>
  <c r="BY5" i="314"/>
  <c r="BY5" i="278"/>
  <c r="BY5" i="289"/>
  <c r="BY5" i="273"/>
  <c r="BY5" i="282"/>
  <c r="BY5" i="286"/>
  <c r="BY5" i="288"/>
  <c r="BY5" i="315"/>
  <c r="BY5" i="304"/>
  <c r="BY5" i="285"/>
  <c r="BQ57" i="273"/>
  <c r="BQ63" i="273"/>
  <c r="BQ64" i="273"/>
  <c r="BM223" i="278"/>
  <c r="BW31" i="288"/>
  <c r="BW181" i="288"/>
  <c r="BN17" i="328"/>
  <c r="BM217" i="278"/>
  <c r="BX38" i="289"/>
  <c r="BX133" i="288"/>
  <c r="BX136" i="288"/>
  <c r="BX138" i="288"/>
  <c r="BX140" i="288"/>
  <c r="BX145" i="288"/>
  <c r="BX23" i="288"/>
  <c r="BX25" i="288"/>
  <c r="BR263" i="273"/>
  <c r="BN98" i="278"/>
  <c r="BN101" i="278"/>
  <c r="BN104" i="278"/>
  <c r="BN105" i="278"/>
  <c r="BN18" i="328"/>
  <c r="BN154" i="278"/>
  <c r="BN223" i="278"/>
  <c r="BO92" i="278"/>
  <c r="BO98" i="278"/>
  <c r="BQ17" i="314"/>
  <c r="BQ230" i="278"/>
  <c r="BQ701" i="321"/>
  <c r="BQ702" i="321"/>
  <c r="BQ706" i="321"/>
  <c r="BQ551" i="321"/>
  <c r="BQ239" i="278"/>
  <c r="BQ238" i="273"/>
  <c r="BQ239" i="273"/>
  <c r="BQ100" i="278"/>
  <c r="BQ652" i="321"/>
  <c r="BQ694" i="321"/>
  <c r="BQ31" i="289"/>
  <c r="BQ32" i="289"/>
  <c r="BQ37" i="289"/>
  <c r="BQ39" i="289"/>
  <c r="BR39" i="289"/>
  <c r="BQ50" i="314"/>
  <c r="BQ708" i="321"/>
  <c r="BQ540" i="321"/>
  <c r="BQ617" i="321"/>
  <c r="BQ204" i="278"/>
  <c r="BQ636" i="321"/>
  <c r="BQ453" i="321"/>
  <c r="BQ63" i="286"/>
  <c r="BQ129" i="314"/>
  <c r="BQ573" i="321"/>
  <c r="BQ148" i="278"/>
  <c r="BQ713" i="321"/>
  <c r="BQ104" i="314"/>
  <c r="BQ246" i="278"/>
  <c r="BQ283" i="278"/>
  <c r="BQ233" i="273"/>
  <c r="BQ234" i="273"/>
  <c r="BQ17" i="278"/>
  <c r="BQ319" i="278"/>
  <c r="BQ306" i="278"/>
  <c r="BQ57" i="314"/>
  <c r="BQ581" i="321"/>
  <c r="BQ603" i="321"/>
  <c r="BQ675" i="321"/>
  <c r="BQ565" i="321"/>
  <c r="BQ179" i="278"/>
  <c r="BQ622" i="321"/>
  <c r="BQ644" i="321"/>
  <c r="BQ659" i="321"/>
  <c r="BQ497" i="321"/>
  <c r="BQ545" i="321"/>
  <c r="BQ136" i="314"/>
  <c r="BR124" i="273"/>
  <c r="BQ16" i="285"/>
  <c r="BQ17" i="285"/>
  <c r="BR178" i="288"/>
  <c r="BR28" i="288"/>
  <c r="BR203" i="288"/>
  <c r="BR53" i="288"/>
  <c r="BM167" i="278"/>
  <c r="BM27" i="328"/>
  <c r="BM163" i="278"/>
  <c r="BM164" i="278"/>
  <c r="BM168" i="278"/>
  <c r="BM172" i="278"/>
  <c r="BP147" i="278"/>
  <c r="BP149" i="278"/>
  <c r="BS237" i="273"/>
  <c r="BS161" i="278"/>
  <c r="BS186" i="278"/>
  <c r="BS211" i="278"/>
  <c r="BS579" i="321"/>
  <c r="BS598" i="321"/>
  <c r="BS599" i="321"/>
  <c r="BS707" i="321"/>
  <c r="BS650" i="321"/>
  <c r="BO13" i="265"/>
  <c r="BO13" i="315"/>
  <c r="BV2" i="328"/>
  <c r="BV10" i="289"/>
  <c r="BR263" i="321"/>
  <c r="BR201" i="273"/>
  <c r="BR203" i="273"/>
  <c r="BQ212" i="273"/>
  <c r="BQ141" i="321"/>
  <c r="BQ147" i="321"/>
  <c r="BQ155" i="321"/>
  <c r="BQ130" i="321"/>
  <c r="BQ165" i="321"/>
  <c r="BR163" i="273"/>
  <c r="BQ70" i="321"/>
  <c r="BP72" i="321"/>
  <c r="BP79" i="321"/>
  <c r="BS55" i="273"/>
  <c r="BS259" i="278"/>
  <c r="BS28" i="314"/>
  <c r="BS38" i="314"/>
  <c r="BS589" i="321"/>
  <c r="BS590" i="321"/>
  <c r="BS117" i="314"/>
  <c r="BS122" i="273"/>
  <c r="BS261" i="273"/>
  <c r="BN70" i="288"/>
  <c r="BN57" i="328"/>
  <c r="BQ253" i="321"/>
  <c r="BQ213" i="273"/>
  <c r="BQ277" i="321"/>
  <c r="BQ131" i="321"/>
  <c r="BQ259" i="321"/>
  <c r="BQ71" i="321"/>
  <c r="BQ267" i="321"/>
  <c r="BT71" i="273"/>
  <c r="BT72" i="273"/>
  <c r="BT154" i="273"/>
  <c r="BT155" i="273"/>
  <c r="BT3" i="328"/>
  <c r="BT8" i="328"/>
  <c r="BT2" i="275"/>
  <c r="BT184" i="288"/>
  <c r="BT158" i="273"/>
  <c r="BT159" i="273"/>
  <c r="BT162" i="273"/>
  <c r="BT2" i="285"/>
  <c r="BT49" i="273"/>
  <c r="BT2" i="286"/>
  <c r="BT194" i="273"/>
  <c r="BT195" i="273"/>
  <c r="BT209" i="288"/>
  <c r="BT2" i="315"/>
  <c r="BT198" i="273"/>
  <c r="BT199" i="273"/>
  <c r="BT202" i="273"/>
  <c r="BT34" i="288"/>
  <c r="BT2" i="278"/>
  <c r="BT38" i="311"/>
  <c r="BT119" i="273"/>
  <c r="BT120" i="273"/>
  <c r="BT123" i="273"/>
  <c r="BT258" i="273"/>
  <c r="BT2" i="265"/>
  <c r="BT2" i="321"/>
  <c r="BT2" i="282"/>
  <c r="BT2" i="289"/>
  <c r="BT2" i="314"/>
  <c r="BT2" i="273"/>
  <c r="BT2" i="304"/>
  <c r="BT2" i="288"/>
  <c r="BT59" i="288"/>
  <c r="BT148" i="288"/>
  <c r="BO153" i="278"/>
  <c r="BO30" i="328"/>
  <c r="BS162" i="278"/>
  <c r="BS16" i="288"/>
  <c r="BS17" i="288"/>
  <c r="BS292" i="278"/>
  <c r="BS33" i="286"/>
  <c r="BS11" i="282"/>
  <c r="BS212" i="278"/>
  <c r="BS637" i="321"/>
  <c r="BS110" i="286"/>
  <c r="BS268" i="278"/>
  <c r="BS109" i="273"/>
  <c r="BT110" i="273"/>
  <c r="BS623" i="321"/>
  <c r="BS15" i="286"/>
  <c r="BS566" i="321"/>
  <c r="BS552" i="321"/>
  <c r="BS187" i="278"/>
  <c r="BS92" i="286"/>
  <c r="BQ105" i="282"/>
  <c r="BQ591" i="321"/>
  <c r="BQ37" i="282"/>
  <c r="BN264" i="288"/>
  <c r="BN272" i="288"/>
  <c r="BN122" i="288"/>
  <c r="BN114" i="288"/>
  <c r="BP113" i="282"/>
  <c r="BP153" i="282"/>
  <c r="BP85" i="282"/>
  <c r="BP45" i="282"/>
  <c r="BP18" i="285"/>
  <c r="BP26" i="285"/>
  <c r="BP218" i="321"/>
  <c r="BP330" i="321"/>
  <c r="BP39" i="321"/>
  <c r="BP11" i="278"/>
  <c r="BP91" i="278"/>
  <c r="BS4" i="286"/>
  <c r="BS4" i="282"/>
  <c r="BS4" i="315"/>
  <c r="BS11" i="328"/>
  <c r="BS4" i="289"/>
  <c r="BS4" i="278"/>
  <c r="BS4" i="314"/>
  <c r="BS4" i="273"/>
  <c r="BS4" i="285"/>
  <c r="BS4" i="321"/>
  <c r="BS4" i="275"/>
  <c r="BS4" i="304"/>
  <c r="BS4" i="288"/>
  <c r="BN162" i="288"/>
  <c r="BN171" i="288"/>
  <c r="BR105" i="282"/>
  <c r="BR37" i="282"/>
  <c r="BR591" i="321"/>
  <c r="BS247" i="278"/>
  <c r="BS56" i="273"/>
  <c r="BS240" i="278"/>
  <c r="BR54" i="273"/>
  <c r="BR84" i="273"/>
  <c r="BR86" i="273"/>
  <c r="BT11" i="289"/>
  <c r="BT12" i="289"/>
  <c r="BT36" i="289"/>
  <c r="BO29" i="328"/>
  <c r="BO152" i="278"/>
  <c r="BR602" i="321"/>
  <c r="BR658" i="321"/>
  <c r="BS272" i="278"/>
  <c r="BS158" i="314"/>
  <c r="BS15" i="275"/>
  <c r="BS79" i="314"/>
  <c r="BS85" i="273"/>
  <c r="BS19" i="282"/>
  <c r="BS39" i="314"/>
  <c r="BS296" i="278"/>
  <c r="BS118" i="314"/>
  <c r="BS674" i="321"/>
  <c r="BS262" i="273"/>
  <c r="BS30" i="289"/>
  <c r="BP90" i="278"/>
  <c r="BP214" i="273"/>
  <c r="BS84" i="273"/>
  <c r="BS54" i="273"/>
  <c r="BM114" i="288"/>
  <c r="BM272" i="288"/>
  <c r="BM122" i="288"/>
  <c r="BM264" i="288"/>
  <c r="BO97" i="278"/>
  <c r="BM9" i="315"/>
  <c r="BM188" i="278"/>
  <c r="BM189" i="278"/>
  <c r="BM193" i="278"/>
  <c r="BM192" i="278"/>
  <c r="BM197" i="278"/>
  <c r="BS75" i="273"/>
  <c r="BT76" i="273"/>
  <c r="BS53" i="273"/>
  <c r="BS155" i="273"/>
  <c r="BO17" i="328"/>
  <c r="BL10" i="265"/>
  <c r="BL11" i="265"/>
  <c r="BL32" i="328"/>
  <c r="BL10" i="315"/>
  <c r="BL11" i="315"/>
  <c r="BS195" i="273"/>
  <c r="BP709" i="321"/>
  <c r="BP711" i="321"/>
  <c r="BM10" i="265"/>
  <c r="BM10" i="315"/>
  <c r="BR20" i="275"/>
  <c r="BS17" i="275"/>
  <c r="BP4" i="328"/>
  <c r="BP47" i="273"/>
  <c r="BP3" i="273"/>
  <c r="BP3" i="285"/>
  <c r="BP3" i="275"/>
  <c r="BP3" i="265"/>
  <c r="BP3" i="282"/>
  <c r="BP3" i="304"/>
  <c r="BP3" i="289"/>
  <c r="BP3" i="278"/>
  <c r="BP3" i="288"/>
  <c r="BP3" i="286"/>
  <c r="BP3" i="314"/>
  <c r="BP3" i="315"/>
  <c r="BP3" i="321"/>
  <c r="BQ24" i="314"/>
  <c r="BQ36" i="285"/>
  <c r="BQ172" i="314"/>
  <c r="BQ111" i="314"/>
  <c r="BQ44" i="314"/>
  <c r="BQ11" i="321"/>
  <c r="BQ123" i="314"/>
  <c r="BQ40" i="321"/>
  <c r="BQ41" i="321"/>
  <c r="BQ44" i="321"/>
  <c r="BQ89" i="314"/>
  <c r="O98" i="315"/>
  <c r="P23" i="285"/>
  <c r="P27" i="285"/>
  <c r="O102" i="265"/>
  <c r="AC42" i="315"/>
  <c r="AC44" i="265"/>
  <c r="O321" i="278"/>
  <c r="O45" i="265" s="1"/>
  <c r="AC229" i="278"/>
  <c r="AC231" i="278"/>
  <c r="AD222" i="278"/>
  <c r="AC116" i="265"/>
  <c r="AC112" i="315"/>
  <c r="AC254" i="278"/>
  <c r="P323" i="278"/>
  <c r="O117" i="265"/>
  <c r="O113" i="315"/>
  <c r="O312" i="278"/>
  <c r="O305" i="278"/>
  <c r="O307" i="278"/>
  <c r="BR172" i="314"/>
  <c r="BR36" i="285"/>
  <c r="BO57" i="328"/>
  <c r="BR123" i="314"/>
  <c r="BR11" i="321"/>
  <c r="BN163" i="278"/>
  <c r="BN164" i="278"/>
  <c r="BN168" i="278"/>
  <c r="BN167" i="278"/>
  <c r="BR44" i="314"/>
  <c r="BR57" i="273"/>
  <c r="BS57" i="273"/>
  <c r="BR89" i="314"/>
  <c r="BR24" i="314"/>
  <c r="BR40" i="321"/>
  <c r="BR41" i="321"/>
  <c r="BR44" i="321"/>
  <c r="BR111" i="314"/>
  <c r="BS263" i="273"/>
  <c r="BN27" i="328"/>
  <c r="BN155" i="278"/>
  <c r="BN10" i="315"/>
  <c r="BN172" i="278"/>
  <c r="BP92" i="278"/>
  <c r="BP18" i="328"/>
  <c r="BN217" i="278"/>
  <c r="BZ102" i="314"/>
  <c r="BZ5" i="328"/>
  <c r="BZ228" i="288"/>
  <c r="BZ78" i="288"/>
  <c r="BZ234" i="288"/>
  <c r="BZ84" i="288"/>
  <c r="BZ5" i="265"/>
  <c r="BZ5" i="321"/>
  <c r="BZ5" i="315"/>
  <c r="BZ5" i="285"/>
  <c r="BZ5" i="288"/>
  <c r="BZ5" i="282"/>
  <c r="BZ5" i="289"/>
  <c r="BZ5" i="278"/>
  <c r="BZ5" i="286"/>
  <c r="BZ5" i="314"/>
  <c r="BZ5" i="304"/>
  <c r="BZ5" i="275"/>
  <c r="BZ5" i="273"/>
  <c r="BN213" i="278"/>
  <c r="BN214" i="278"/>
  <c r="BN218" i="278"/>
  <c r="BX181" i="288"/>
  <c r="BX31" i="288"/>
  <c r="BY133" i="288"/>
  <c r="BY136" i="288"/>
  <c r="BY138" i="288"/>
  <c r="BY140" i="288"/>
  <c r="BY145" i="288"/>
  <c r="BY23" i="288"/>
  <c r="BY25" i="288"/>
  <c r="BY38" i="289"/>
  <c r="BN9" i="315"/>
  <c r="BN188" i="278"/>
  <c r="BN189" i="278"/>
  <c r="BN193" i="278"/>
  <c r="BN192" i="278"/>
  <c r="BN197" i="278"/>
  <c r="BO101" i="278"/>
  <c r="BO104" i="278"/>
  <c r="BO105" i="278"/>
  <c r="BO154" i="278"/>
  <c r="BO213" i="278"/>
  <c r="BO214" i="278"/>
  <c r="BO218" i="278"/>
  <c r="BO18" i="328"/>
  <c r="BQ214" i="273"/>
  <c r="BQ217" i="273"/>
  <c r="BP218" i="273"/>
  <c r="BS86" i="273"/>
  <c r="BU119" i="273"/>
  <c r="BU120" i="273"/>
  <c r="BU123" i="273"/>
  <c r="BU154" i="273"/>
  <c r="BU155" i="273"/>
  <c r="BU2" i="265"/>
  <c r="BU38" i="311"/>
  <c r="BU2" i="288"/>
  <c r="BU184" i="288"/>
  <c r="BU2" i="321"/>
  <c r="BU2" i="314"/>
  <c r="BU258" i="273"/>
  <c r="BU259" i="273"/>
  <c r="BU194" i="273"/>
  <c r="BU195" i="273"/>
  <c r="BU3" i="328"/>
  <c r="BU8" i="328"/>
  <c r="BU2" i="278"/>
  <c r="BU2" i="289"/>
  <c r="BU2" i="282"/>
  <c r="BU2" i="304"/>
  <c r="BU158" i="273"/>
  <c r="BU159" i="273"/>
  <c r="BU162" i="273"/>
  <c r="BU71" i="273"/>
  <c r="BU59" i="288"/>
  <c r="BU2" i="275"/>
  <c r="BU2" i="285"/>
  <c r="BU2" i="273"/>
  <c r="BU2" i="286"/>
  <c r="BU198" i="273"/>
  <c r="BU199" i="273"/>
  <c r="BU202" i="273"/>
  <c r="BU2" i="315"/>
  <c r="BU34" i="288"/>
  <c r="BU49" i="273"/>
  <c r="BU209" i="288"/>
  <c r="BU148" i="288"/>
  <c r="BT151" i="321"/>
  <c r="BT161" i="273"/>
  <c r="BT84" i="273"/>
  <c r="BT54" i="273"/>
  <c r="BM11" i="315"/>
  <c r="BT11" i="282"/>
  <c r="BT268" i="278"/>
  <c r="BT623" i="321"/>
  <c r="BT110" i="286"/>
  <c r="BT566" i="321"/>
  <c r="BT16" i="288"/>
  <c r="BT17" i="288"/>
  <c r="BT637" i="321"/>
  <c r="BT33" i="286"/>
  <c r="BT212" i="278"/>
  <c r="BT162" i="278"/>
  <c r="BT187" i="278"/>
  <c r="BT92" i="286"/>
  <c r="BT552" i="321"/>
  <c r="BT109" i="273"/>
  <c r="BU110" i="273"/>
  <c r="BT292" i="278"/>
  <c r="BT15" i="286"/>
  <c r="BT707" i="321"/>
  <c r="BT186" i="278"/>
  <c r="BT211" i="278"/>
  <c r="BT161" i="278"/>
  <c r="BT579" i="321"/>
  <c r="BT598" i="321"/>
  <c r="BT599" i="321"/>
  <c r="BT650" i="321"/>
  <c r="BR71" i="321"/>
  <c r="BR259" i="321"/>
  <c r="BR131" i="321"/>
  <c r="BR267" i="321"/>
  <c r="BR277" i="321"/>
  <c r="BR213" i="273"/>
  <c r="BR253" i="321"/>
  <c r="BW2" i="328"/>
  <c r="BS602" i="321"/>
  <c r="BS658" i="321"/>
  <c r="BT4" i="273"/>
  <c r="BT4" i="321"/>
  <c r="BT4" i="314"/>
  <c r="BT4" i="304"/>
  <c r="BT4" i="288"/>
  <c r="BT4" i="275"/>
  <c r="BT11" i="328"/>
  <c r="BT4" i="286"/>
  <c r="BT4" i="278"/>
  <c r="BT4" i="315"/>
  <c r="BT4" i="285"/>
  <c r="BT4" i="282"/>
  <c r="BT4" i="289"/>
  <c r="BM11" i="265"/>
  <c r="BM32" i="328"/>
  <c r="BQ153" i="282"/>
  <c r="BQ85" i="282"/>
  <c r="BQ113" i="282"/>
  <c r="BQ45" i="282"/>
  <c r="BQ18" i="285"/>
  <c r="BQ26" i="285"/>
  <c r="BR17" i="314"/>
  <c r="BR701" i="321"/>
  <c r="BR702" i="321"/>
  <c r="BR706" i="321"/>
  <c r="BR540" i="321"/>
  <c r="BR565" i="321"/>
  <c r="BR238" i="273"/>
  <c r="BR239" i="273"/>
  <c r="BR652" i="321"/>
  <c r="BR283" i="278"/>
  <c r="BR453" i="321"/>
  <c r="BR57" i="314"/>
  <c r="BR63" i="286"/>
  <c r="BR573" i="321"/>
  <c r="BR708" i="321"/>
  <c r="BR179" i="278"/>
  <c r="BR104" i="314"/>
  <c r="BR246" i="278"/>
  <c r="BR636" i="321"/>
  <c r="BR659" i="321"/>
  <c r="BR319" i="278"/>
  <c r="BR50" i="314"/>
  <c r="BR306" i="278"/>
  <c r="BR581" i="321"/>
  <c r="BR148" i="278"/>
  <c r="BR713" i="321"/>
  <c r="BR239" i="278"/>
  <c r="BR233" i="273"/>
  <c r="BR234" i="273"/>
  <c r="BR17" i="278"/>
  <c r="BR622" i="321"/>
  <c r="BR100" i="278"/>
  <c r="BR694" i="321"/>
  <c r="BR31" i="289"/>
  <c r="BR32" i="289"/>
  <c r="BR37" i="289"/>
  <c r="BR545" i="321"/>
  <c r="BR16" i="289"/>
  <c r="BR17" i="289"/>
  <c r="BR22" i="289"/>
  <c r="BR551" i="321"/>
  <c r="BR603" i="321"/>
  <c r="BR675" i="321"/>
  <c r="BR230" i="278"/>
  <c r="BR617" i="321"/>
  <c r="BR644" i="321"/>
  <c r="BR204" i="278"/>
  <c r="BR497" i="321"/>
  <c r="BR47" i="289"/>
  <c r="BR48" i="289"/>
  <c r="BR53" i="289"/>
  <c r="BR129" i="314"/>
  <c r="BR136" i="314"/>
  <c r="BQ91" i="278"/>
  <c r="BQ39" i="321"/>
  <c r="BQ330" i="321"/>
  <c r="BQ11" i="278"/>
  <c r="BQ218" i="321"/>
  <c r="BS161" i="273"/>
  <c r="BS163" i="273"/>
  <c r="BS151" i="321"/>
  <c r="BT28" i="314"/>
  <c r="BT38" i="314"/>
  <c r="BT122" i="273"/>
  <c r="BT261" i="273"/>
  <c r="BT589" i="321"/>
  <c r="BT590" i="321"/>
  <c r="BT259" i="278"/>
  <c r="BT55" i="273"/>
  <c r="BT117" i="314"/>
  <c r="BQ59" i="315"/>
  <c r="BQ24" i="265"/>
  <c r="BQ22" i="315"/>
  <c r="BQ61" i="265"/>
  <c r="BT240" i="278"/>
  <c r="BT247" i="278"/>
  <c r="BT56" i="273"/>
  <c r="BT237" i="273"/>
  <c r="BQ72" i="321"/>
  <c r="BQ79" i="321"/>
  <c r="BS124" i="273"/>
  <c r="BR16" i="285"/>
  <c r="BR17" i="285"/>
  <c r="BQ90" i="278"/>
  <c r="BS201" i="273"/>
  <c r="BS203" i="273"/>
  <c r="BS263" i="321"/>
  <c r="BP45" i="321"/>
  <c r="BP46" i="321"/>
  <c r="BP48" i="321"/>
  <c r="BP230" i="288"/>
  <c r="BP86" i="288"/>
  <c r="BP67" i="288"/>
  <c r="BP68" i="288"/>
  <c r="BP259" i="288"/>
  <c r="BP161" i="288"/>
  <c r="BP162" i="288"/>
  <c r="BP171" i="288"/>
  <c r="BP80" i="288"/>
  <c r="BP51" i="321"/>
  <c r="BP167" i="288"/>
  <c r="BP109" i="288"/>
  <c r="BP241" i="288"/>
  <c r="BP242" i="288"/>
  <c r="BP244" i="288"/>
  <c r="BP217" i="288"/>
  <c r="BP218" i="288"/>
  <c r="BP220" i="288"/>
  <c r="BP217" i="273"/>
  <c r="BO218" i="273"/>
  <c r="BP91" i="288"/>
  <c r="BP236" i="288"/>
  <c r="BS20" i="275"/>
  <c r="BT17" i="275"/>
  <c r="BR61" i="265"/>
  <c r="BR24" i="265"/>
  <c r="BR22" i="315"/>
  <c r="BR59" i="315"/>
  <c r="BS28" i="288"/>
  <c r="BS178" i="288"/>
  <c r="BS203" i="288"/>
  <c r="BS53" i="288"/>
  <c r="BT201" i="273"/>
  <c r="BT263" i="321"/>
  <c r="BS105" i="282"/>
  <c r="BS591" i="321"/>
  <c r="BS37" i="282"/>
  <c r="BR70" i="321"/>
  <c r="BR165" i="321"/>
  <c r="BR130" i="321"/>
  <c r="BR212" i="273"/>
  <c r="BR141" i="321"/>
  <c r="BR147" i="321"/>
  <c r="BR155" i="321"/>
  <c r="BP30" i="328"/>
  <c r="BP153" i="278"/>
  <c r="BQ3" i="285"/>
  <c r="BQ47" i="273"/>
  <c r="BQ3" i="273"/>
  <c r="BQ4" i="328"/>
  <c r="BQ3" i="275"/>
  <c r="BQ3" i="321"/>
  <c r="BQ3" i="278"/>
  <c r="BQ3" i="289"/>
  <c r="BQ3" i="314"/>
  <c r="BQ3" i="288"/>
  <c r="BQ3" i="282"/>
  <c r="BQ3" i="286"/>
  <c r="BQ3" i="265"/>
  <c r="BQ3" i="315"/>
  <c r="BQ3" i="304"/>
  <c r="BU36" i="289"/>
  <c r="BT53" i="273"/>
  <c r="BT75" i="273"/>
  <c r="BU76" i="273"/>
  <c r="BT30" i="289"/>
  <c r="BT46" i="289"/>
  <c r="BT15" i="289"/>
  <c r="BP13" i="265"/>
  <c r="BP13" i="315"/>
  <c r="BT259" i="273"/>
  <c r="BP29" i="328"/>
  <c r="BP152" i="278"/>
  <c r="BQ147" i="278"/>
  <c r="BQ149" i="278"/>
  <c r="BQ709" i="321"/>
  <c r="BQ711" i="321"/>
  <c r="AC238" i="278"/>
  <c r="AC245" i="278"/>
  <c r="AC282" i="278"/>
  <c r="P98" i="315"/>
  <c r="Q23" i="285"/>
  <c r="Q27" i="285"/>
  <c r="P102" i="265"/>
  <c r="O106" i="315"/>
  <c r="O110" i="265"/>
  <c r="P309" i="278"/>
  <c r="P318" i="278"/>
  <c r="P320" i="278"/>
  <c r="P321" i="278"/>
  <c r="P45" i="265" s="1"/>
  <c r="P326" i="278"/>
  <c r="AP9" i="310"/>
  <c r="AP283" i="307"/>
  <c r="AD216" i="278"/>
  <c r="AD219" i="278"/>
  <c r="AD228" i="278"/>
  <c r="O43" i="315"/>
  <c r="BN10" i="265"/>
  <c r="BN11" i="265"/>
  <c r="BN32" i="328"/>
  <c r="BR63" i="273"/>
  <c r="BR64" i="273"/>
  <c r="BR3" i="273"/>
  <c r="BO217" i="278"/>
  <c r="BT263" i="273"/>
  <c r="BR72" i="321"/>
  <c r="BR79" i="321"/>
  <c r="BO223" i="278"/>
  <c r="BR214" i="273"/>
  <c r="BR236" i="288"/>
  <c r="BQ161" i="288"/>
  <c r="BQ162" i="288"/>
  <c r="BQ171" i="288"/>
  <c r="BQ217" i="288"/>
  <c r="BQ218" i="288"/>
  <c r="BQ220" i="288"/>
  <c r="BO155" i="278"/>
  <c r="BO10" i="315"/>
  <c r="BN11" i="315"/>
  <c r="BP98" i="278"/>
  <c r="BP101" i="278"/>
  <c r="BP104" i="278"/>
  <c r="BP105" i="278"/>
  <c r="BR709" i="321"/>
  <c r="BR711" i="321"/>
  <c r="BP154" i="278"/>
  <c r="BP213" i="278"/>
  <c r="BP214" i="278"/>
  <c r="BP218" i="278"/>
  <c r="BY181" i="288"/>
  <c r="BY31" i="288"/>
  <c r="BQ167" i="288"/>
  <c r="BT86" i="273"/>
  <c r="CA102" i="314"/>
  <c r="CA228" i="288"/>
  <c r="CA78" i="288"/>
  <c r="CA234" i="288"/>
  <c r="CA5" i="321"/>
  <c r="CA84" i="288"/>
  <c r="CA5" i="265"/>
  <c r="CA5" i="328"/>
  <c r="CA5" i="315"/>
  <c r="CA5" i="275"/>
  <c r="CA5" i="278"/>
  <c r="CA5" i="304"/>
  <c r="CA5" i="286"/>
  <c r="CA5" i="282"/>
  <c r="CA5" i="289"/>
  <c r="CA5" i="314"/>
  <c r="CA5" i="288"/>
  <c r="CA5" i="273"/>
  <c r="CA5" i="285"/>
  <c r="BQ45" i="321"/>
  <c r="BQ46" i="321"/>
  <c r="BQ48" i="321"/>
  <c r="BZ38" i="289"/>
  <c r="BZ23" i="288"/>
  <c r="BZ25" i="288"/>
  <c r="BZ133" i="288"/>
  <c r="BZ136" i="288"/>
  <c r="BZ138" i="288"/>
  <c r="BZ140" i="288"/>
  <c r="BZ145" i="288"/>
  <c r="BQ92" i="278"/>
  <c r="BQ18" i="328"/>
  <c r="BQ51" i="321"/>
  <c r="BQ67" i="288"/>
  <c r="BQ68" i="288"/>
  <c r="BQ57" i="328"/>
  <c r="BQ236" i="288"/>
  <c r="BQ241" i="288"/>
  <c r="BQ242" i="288"/>
  <c r="BQ244" i="288"/>
  <c r="BQ230" i="288"/>
  <c r="BQ109" i="288"/>
  <c r="BQ259" i="288"/>
  <c r="BQ80" i="288"/>
  <c r="BQ86" i="288"/>
  <c r="BQ91" i="288"/>
  <c r="BO192" i="278"/>
  <c r="BO197" i="278"/>
  <c r="BO9" i="315"/>
  <c r="BO188" i="278"/>
  <c r="BO189" i="278"/>
  <c r="BO193" i="278"/>
  <c r="BT203" i="273"/>
  <c r="BS253" i="321"/>
  <c r="BS213" i="273"/>
  <c r="BS267" i="321"/>
  <c r="BS71" i="321"/>
  <c r="BS259" i="321"/>
  <c r="BS131" i="321"/>
  <c r="BS277" i="321"/>
  <c r="BQ29" i="328"/>
  <c r="BQ152" i="278"/>
  <c r="BU201" i="273"/>
  <c r="BU263" i="321"/>
  <c r="BV158" i="273"/>
  <c r="BV159" i="273"/>
  <c r="BV162" i="273"/>
  <c r="BV119" i="273"/>
  <c r="BV120" i="273"/>
  <c r="BV123" i="273"/>
  <c r="BV59" i="288"/>
  <c r="BV2" i="315"/>
  <c r="BV2" i="289"/>
  <c r="BV38" i="311"/>
  <c r="BV2" i="282"/>
  <c r="BV198" i="273"/>
  <c r="BV199" i="273"/>
  <c r="BV202" i="273"/>
  <c r="BV2" i="304"/>
  <c r="BV184" i="288"/>
  <c r="BV49" i="273"/>
  <c r="BV2" i="288"/>
  <c r="BV2" i="278"/>
  <c r="BV71" i="273"/>
  <c r="BV72" i="273"/>
  <c r="BV154" i="273"/>
  <c r="BV2" i="265"/>
  <c r="BV148" i="288"/>
  <c r="BV2" i="314"/>
  <c r="BV34" i="288"/>
  <c r="BV2" i="285"/>
  <c r="BV2" i="286"/>
  <c r="BV258" i="273"/>
  <c r="BV259" i="273"/>
  <c r="BV194" i="273"/>
  <c r="BV195" i="273"/>
  <c r="BV3" i="328"/>
  <c r="BV8" i="328"/>
  <c r="BV2" i="273"/>
  <c r="BV2" i="275"/>
  <c r="BV2" i="321"/>
  <c r="BV209" i="288"/>
  <c r="BT124" i="273"/>
  <c r="BS16" i="285"/>
  <c r="BS17" i="285"/>
  <c r="BU4" i="278"/>
  <c r="BU4" i="275"/>
  <c r="BU4" i="288"/>
  <c r="BU11" i="328"/>
  <c r="BU4" i="321"/>
  <c r="BU4" i="304"/>
  <c r="BU4" i="282"/>
  <c r="BU4" i="286"/>
  <c r="BU4" i="285"/>
  <c r="BU4" i="289"/>
  <c r="BU4" i="273"/>
  <c r="BU4" i="315"/>
  <c r="BU4" i="314"/>
  <c r="BT105" i="282"/>
  <c r="BT591" i="321"/>
  <c r="BT37" i="282"/>
  <c r="BU72" i="273"/>
  <c r="BR147" i="278"/>
  <c r="BR149" i="278"/>
  <c r="BP17" i="328"/>
  <c r="BO122" i="288"/>
  <c r="BO114" i="288"/>
  <c r="BO264" i="288"/>
  <c r="BO272" i="288"/>
  <c r="BQ97" i="278"/>
  <c r="BU566" i="321"/>
  <c r="BU162" i="278"/>
  <c r="BU637" i="321"/>
  <c r="BU92" i="286"/>
  <c r="BU16" i="288"/>
  <c r="BU17" i="288"/>
  <c r="BU109" i="273"/>
  <c r="BV110" i="273"/>
  <c r="BU623" i="321"/>
  <c r="BU33" i="286"/>
  <c r="BU212" i="278"/>
  <c r="BU268" i="278"/>
  <c r="BU187" i="278"/>
  <c r="BU110" i="286"/>
  <c r="BU552" i="321"/>
  <c r="BU11" i="282"/>
  <c r="BU292" i="278"/>
  <c r="BU15" i="286"/>
  <c r="BU674" i="321"/>
  <c r="BU262" i="273"/>
  <c r="BO10" i="265"/>
  <c r="BU54" i="273"/>
  <c r="BU84" i="273"/>
  <c r="BS212" i="273"/>
  <c r="BS141" i="321"/>
  <c r="BS147" i="321"/>
  <c r="BS155" i="321"/>
  <c r="BS70" i="321"/>
  <c r="BS165" i="321"/>
  <c r="BT163" i="273"/>
  <c r="BS130" i="321"/>
  <c r="BS61" i="265"/>
  <c r="BS59" i="315"/>
  <c r="BS24" i="265"/>
  <c r="BS22" i="315"/>
  <c r="BP70" i="288"/>
  <c r="BP57" i="328"/>
  <c r="BO167" i="278"/>
  <c r="BO163" i="278"/>
  <c r="BO164" i="278"/>
  <c r="BO168" i="278"/>
  <c r="BO27" i="328"/>
  <c r="BO172" i="278"/>
  <c r="BU151" i="321"/>
  <c r="BU161" i="273"/>
  <c r="BU296" i="278"/>
  <c r="BU118" i="314"/>
  <c r="BU272" i="278"/>
  <c r="BU158" i="314"/>
  <c r="BU15" i="275"/>
  <c r="BU19" i="282"/>
  <c r="BU85" i="273"/>
  <c r="BU79" i="314"/>
  <c r="BU39" i="314"/>
  <c r="BR90" i="278"/>
  <c r="BX10" i="289"/>
  <c r="BX2" i="328"/>
  <c r="BT602" i="321"/>
  <c r="BT658" i="321"/>
  <c r="BU247" i="278"/>
  <c r="BU56" i="273"/>
  <c r="BU240" i="278"/>
  <c r="BT53" i="288"/>
  <c r="BT203" i="288"/>
  <c r="BT178" i="288"/>
  <c r="BT28" i="288"/>
  <c r="BR3" i="282"/>
  <c r="BR3" i="275"/>
  <c r="BR47" i="273"/>
  <c r="BR3" i="289"/>
  <c r="BR3" i="278"/>
  <c r="BR3" i="314"/>
  <c r="BR3" i="265"/>
  <c r="BQ30" i="328"/>
  <c r="BQ153" i="278"/>
  <c r="BT674" i="321"/>
  <c r="BT262" i="273"/>
  <c r="BU30" i="289"/>
  <c r="BV36" i="289"/>
  <c r="BV11" i="289"/>
  <c r="BV12" i="289"/>
  <c r="BR85" i="282"/>
  <c r="BR113" i="282"/>
  <c r="BR153" i="282"/>
  <c r="BR45" i="282"/>
  <c r="BR18" i="285"/>
  <c r="BR26" i="285"/>
  <c r="BT79" i="314"/>
  <c r="BT296" i="278"/>
  <c r="BT15" i="275"/>
  <c r="BT20" i="275"/>
  <c r="BU17" i="275"/>
  <c r="BT19" i="282"/>
  <c r="BT85" i="273"/>
  <c r="BT272" i="278"/>
  <c r="BT118" i="314"/>
  <c r="BT158" i="314"/>
  <c r="BT39" i="314"/>
  <c r="BS708" i="321"/>
  <c r="BS104" i="314"/>
  <c r="BS179" i="278"/>
  <c r="BS100" i="278"/>
  <c r="BS246" i="278"/>
  <c r="BS636" i="321"/>
  <c r="BS497" i="321"/>
  <c r="BS50" i="314"/>
  <c r="BS129" i="314"/>
  <c r="BS148" i="278"/>
  <c r="BS713" i="321"/>
  <c r="BS573" i="321"/>
  <c r="BS581" i="321"/>
  <c r="BS204" i="278"/>
  <c r="BS622" i="321"/>
  <c r="BS233" i="273"/>
  <c r="BS234" i="273"/>
  <c r="BS17" i="278"/>
  <c r="BS306" i="278"/>
  <c r="BS136" i="314"/>
  <c r="BS545" i="321"/>
  <c r="BS603" i="321"/>
  <c r="BS675" i="321"/>
  <c r="BS540" i="321"/>
  <c r="BS239" i="278"/>
  <c r="BS230" i="278"/>
  <c r="BS283" i="278"/>
  <c r="BS644" i="321"/>
  <c r="BS659" i="321"/>
  <c r="BS453" i="321"/>
  <c r="BS57" i="314"/>
  <c r="BS63" i="286"/>
  <c r="BS17" i="314"/>
  <c r="BS701" i="321"/>
  <c r="BS702" i="321"/>
  <c r="BS706" i="321"/>
  <c r="BS551" i="321"/>
  <c r="BS565" i="321"/>
  <c r="BS238" i="273"/>
  <c r="BS239" i="273"/>
  <c r="BS617" i="321"/>
  <c r="BS652" i="321"/>
  <c r="BS694" i="321"/>
  <c r="BS319" i="278"/>
  <c r="BS31" i="289"/>
  <c r="BS32" i="289"/>
  <c r="BS37" i="289"/>
  <c r="BS39" i="289"/>
  <c r="BT39" i="289"/>
  <c r="BR91" i="278"/>
  <c r="BR39" i="321"/>
  <c r="BR218" i="321"/>
  <c r="BR330" i="321"/>
  <c r="BR11" i="278"/>
  <c r="BQ13" i="315"/>
  <c r="BQ13" i="265"/>
  <c r="BP264" i="288"/>
  <c r="BP272" i="288"/>
  <c r="BP114" i="288"/>
  <c r="BP122" i="288"/>
  <c r="BU237" i="273"/>
  <c r="BU707" i="321"/>
  <c r="BU598" i="321"/>
  <c r="BU599" i="321"/>
  <c r="BU161" i="278"/>
  <c r="BU579" i="321"/>
  <c r="BU186" i="278"/>
  <c r="BU211" i="278"/>
  <c r="BU650" i="321"/>
  <c r="BV155" i="273"/>
  <c r="BS63" i="273"/>
  <c r="BS64" i="273"/>
  <c r="BT57" i="273"/>
  <c r="P43" i="315"/>
  <c r="AD224" i="278"/>
  <c r="AD225" i="278"/>
  <c r="AD220" i="278"/>
  <c r="Q323" i="278"/>
  <c r="P117" i="265"/>
  <c r="P113" i="315"/>
  <c r="BS24" i="314"/>
  <c r="BS36" i="285"/>
  <c r="BS172" i="314"/>
  <c r="BS111" i="314"/>
  <c r="BS44" i="314"/>
  <c r="BS123" i="314"/>
  <c r="BS11" i="321"/>
  <c r="BS89" i="314"/>
  <c r="BS40" i="321"/>
  <c r="BS41" i="321"/>
  <c r="BS44" i="321"/>
  <c r="P312" i="278"/>
  <c r="P305" i="278"/>
  <c r="P307" i="278"/>
  <c r="R23" i="285"/>
  <c r="R27" i="285"/>
  <c r="Q98" i="315"/>
  <c r="Q102" i="265"/>
  <c r="BR80" i="288"/>
  <c r="BR86" i="288"/>
  <c r="BR3" i="304"/>
  <c r="BR3" i="321"/>
  <c r="BR3" i="288"/>
  <c r="BS72" i="321"/>
  <c r="BS79" i="321"/>
  <c r="BR241" i="288"/>
  <c r="BR242" i="288"/>
  <c r="BR244" i="288"/>
  <c r="BR3" i="315"/>
  <c r="BR4" i="328"/>
  <c r="BR3" i="285"/>
  <c r="BR217" i="273"/>
  <c r="BQ218" i="273"/>
  <c r="BR3" i="286"/>
  <c r="BT123" i="314"/>
  <c r="BQ98" i="278"/>
  <c r="BQ101" i="278"/>
  <c r="BQ104" i="278"/>
  <c r="BQ105" i="278"/>
  <c r="BQ197" i="278"/>
  <c r="BT36" i="285"/>
  <c r="BQ17" i="328"/>
  <c r="BR91" i="288"/>
  <c r="BR167" i="288"/>
  <c r="BR259" i="288"/>
  <c r="BR45" i="321"/>
  <c r="BR46" i="321"/>
  <c r="BR48" i="321"/>
  <c r="BR51" i="321"/>
  <c r="BR217" i="288"/>
  <c r="BR218" i="288"/>
  <c r="BR220" i="288"/>
  <c r="BR67" i="288"/>
  <c r="BR68" i="288"/>
  <c r="BR70" i="288"/>
  <c r="BR161" i="288"/>
  <c r="BR162" i="288"/>
  <c r="BR171" i="288"/>
  <c r="BR230" i="288"/>
  <c r="BR109" i="288"/>
  <c r="BT24" i="314"/>
  <c r="BS214" i="273"/>
  <c r="BS67" i="288"/>
  <c r="BS68" i="288"/>
  <c r="BT40" i="321"/>
  <c r="BT41" i="321"/>
  <c r="BT44" i="321"/>
  <c r="BS709" i="321"/>
  <c r="BS711" i="321"/>
  <c r="BP188" i="278"/>
  <c r="BP189" i="278"/>
  <c r="BP193" i="278"/>
  <c r="BP197" i="278"/>
  <c r="BP9" i="315"/>
  <c r="BP192" i="278"/>
  <c r="BQ70" i="288"/>
  <c r="BP155" i="278"/>
  <c r="BP223" i="278"/>
  <c r="BP217" i="278"/>
  <c r="BT89" i="314"/>
  <c r="BT172" i="314"/>
  <c r="CB102" i="314"/>
  <c r="CB78" i="288"/>
  <c r="CB84" i="288"/>
  <c r="CB5" i="328"/>
  <c r="CB5" i="265"/>
  <c r="CB228" i="288"/>
  <c r="CB234" i="288"/>
  <c r="CB5" i="321"/>
  <c r="CB5" i="304"/>
  <c r="CB5" i="273"/>
  <c r="CB5" i="314"/>
  <c r="CB5" i="282"/>
  <c r="CB5" i="315"/>
  <c r="CB5" i="285"/>
  <c r="CB5" i="289"/>
  <c r="CB5" i="286"/>
  <c r="CB5" i="278"/>
  <c r="CB5" i="288"/>
  <c r="CB5" i="275"/>
  <c r="BO11" i="265"/>
  <c r="BO32" i="328"/>
  <c r="BT44" i="314"/>
  <c r="BO11" i="315"/>
  <c r="BZ31" i="288"/>
  <c r="BZ181" i="288"/>
  <c r="CA38" i="289"/>
  <c r="CA133" i="288"/>
  <c r="CA136" i="288"/>
  <c r="CA138" i="288"/>
  <c r="CA140" i="288"/>
  <c r="CA145" i="288"/>
  <c r="CA23" i="288"/>
  <c r="CA25" i="288"/>
  <c r="BV151" i="321"/>
  <c r="BV161" i="273"/>
  <c r="BU602" i="321"/>
  <c r="BU658" i="321"/>
  <c r="BS91" i="278"/>
  <c r="BT708" i="321"/>
  <c r="BT573" i="321"/>
  <c r="BT540" i="321"/>
  <c r="BT238" i="273"/>
  <c r="BT239" i="273"/>
  <c r="BT204" i="278"/>
  <c r="BT16" i="289"/>
  <c r="BT17" i="289"/>
  <c r="BT22" i="289"/>
  <c r="BT233" i="273"/>
  <c r="BT234" i="273"/>
  <c r="BT319" i="278"/>
  <c r="BT63" i="286"/>
  <c r="BT129" i="314"/>
  <c r="BT148" i="278"/>
  <c r="BT713" i="321"/>
  <c r="BT675" i="321"/>
  <c r="BT179" i="278"/>
  <c r="BT47" i="289"/>
  <c r="BT48" i="289"/>
  <c r="BT53" i="289"/>
  <c r="BT283" i="278"/>
  <c r="BT644" i="321"/>
  <c r="BT659" i="321"/>
  <c r="BT497" i="321"/>
  <c r="BT31" i="289"/>
  <c r="BT32" i="289"/>
  <c r="BT37" i="289"/>
  <c r="BT136" i="314"/>
  <c r="BT603" i="321"/>
  <c r="BT581" i="321"/>
  <c r="BT565" i="321"/>
  <c r="BT239" i="278"/>
  <c r="BT617" i="321"/>
  <c r="BT246" i="278"/>
  <c r="BT652" i="321"/>
  <c r="BT694" i="321"/>
  <c r="BT306" i="278"/>
  <c r="BT50" i="314"/>
  <c r="BT17" i="314"/>
  <c r="BT701" i="321"/>
  <c r="BT702" i="321"/>
  <c r="BT706" i="321"/>
  <c r="BT551" i="321"/>
  <c r="BT104" i="314"/>
  <c r="BT230" i="278"/>
  <c r="BT100" i="278"/>
  <c r="BT622" i="321"/>
  <c r="BT636" i="321"/>
  <c r="BT453" i="321"/>
  <c r="BT545" i="321"/>
  <c r="BT57" i="314"/>
  <c r="BY2" i="328"/>
  <c r="BV122" i="273"/>
  <c r="BV117" i="314"/>
  <c r="BV55" i="273"/>
  <c r="BV38" i="314"/>
  <c r="BV28" i="314"/>
  <c r="BV261" i="273"/>
  <c r="BV589" i="321"/>
  <c r="BV590" i="321"/>
  <c r="BV259" i="278"/>
  <c r="BU86" i="273"/>
  <c r="BW158" i="273"/>
  <c r="BW159" i="273"/>
  <c r="BW162" i="273"/>
  <c r="BW119" i="273"/>
  <c r="BW120" i="273"/>
  <c r="BW123" i="273"/>
  <c r="BW59" i="288"/>
  <c r="BW2" i="286"/>
  <c r="BW2" i="304"/>
  <c r="BW209" i="288"/>
  <c r="BW49" i="273"/>
  <c r="BW198" i="273"/>
  <c r="BW199" i="273"/>
  <c r="BW202" i="273"/>
  <c r="BW71" i="273"/>
  <c r="BW72" i="273"/>
  <c r="BW3" i="328"/>
  <c r="BW8" i="328"/>
  <c r="BW2" i="315"/>
  <c r="BW2" i="278"/>
  <c r="BW2" i="314"/>
  <c r="BW2" i="285"/>
  <c r="BW154" i="273"/>
  <c r="BW155" i="273"/>
  <c r="BW184" i="288"/>
  <c r="BW2" i="321"/>
  <c r="BW2" i="289"/>
  <c r="BW2" i="282"/>
  <c r="BW2" i="273"/>
  <c r="BW258" i="273"/>
  <c r="BW259" i="273"/>
  <c r="BW194" i="273"/>
  <c r="BW195" i="273"/>
  <c r="BW2" i="265"/>
  <c r="BW2" i="288"/>
  <c r="BW2" i="275"/>
  <c r="BW148" i="288"/>
  <c r="BW34" i="288"/>
  <c r="BW38" i="311"/>
  <c r="BR29" i="328"/>
  <c r="BR152" i="278"/>
  <c r="BT16" i="285"/>
  <c r="BT17" i="285"/>
  <c r="BV4" i="321"/>
  <c r="BV4" i="288"/>
  <c r="BV4" i="314"/>
  <c r="BV4" i="315"/>
  <c r="BV4" i="285"/>
  <c r="BV4" i="304"/>
  <c r="BV4" i="275"/>
  <c r="BV4" i="286"/>
  <c r="BV4" i="282"/>
  <c r="BV11" i="328"/>
  <c r="BV4" i="278"/>
  <c r="BV4" i="273"/>
  <c r="BV4" i="289"/>
  <c r="BR97" i="278"/>
  <c r="BS218" i="321"/>
  <c r="BS39" i="321"/>
  <c r="BS330" i="321"/>
  <c r="BS11" i="278"/>
  <c r="BU28" i="314"/>
  <c r="BU261" i="273"/>
  <c r="BU263" i="273"/>
  <c r="BU122" i="273"/>
  <c r="BU124" i="273"/>
  <c r="BU259" i="278"/>
  <c r="BU589" i="321"/>
  <c r="BU590" i="321"/>
  <c r="BU117" i="314"/>
  <c r="BU55" i="273"/>
  <c r="BU38" i="314"/>
  <c r="BV674" i="321"/>
  <c r="BV262" i="273"/>
  <c r="BR92" i="278"/>
  <c r="BT147" i="321"/>
  <c r="BT165" i="321"/>
  <c r="BU163" i="273"/>
  <c r="BT130" i="321"/>
  <c r="BT212" i="273"/>
  <c r="BT141" i="321"/>
  <c r="BT70" i="321"/>
  <c r="BT155" i="321"/>
  <c r="BV247" i="278"/>
  <c r="BV56" i="273"/>
  <c r="BV240" i="278"/>
  <c r="BV79" i="314"/>
  <c r="BV158" i="314"/>
  <c r="BV15" i="275"/>
  <c r="BV272" i="278"/>
  <c r="BV85" i="273"/>
  <c r="BV19" i="282"/>
  <c r="BV39" i="314"/>
  <c r="BV296" i="278"/>
  <c r="BV118" i="314"/>
  <c r="BV211" i="278"/>
  <c r="BV186" i="278"/>
  <c r="BV579" i="321"/>
  <c r="BV650" i="321"/>
  <c r="BV707" i="321"/>
  <c r="BV598" i="321"/>
  <c r="BV599" i="321"/>
  <c r="BV161" i="278"/>
  <c r="BT63" i="273"/>
  <c r="BT64" i="273"/>
  <c r="BS90" i="278"/>
  <c r="BS147" i="278"/>
  <c r="BS149" i="278"/>
  <c r="BR13" i="315"/>
  <c r="BR13" i="265"/>
  <c r="BU28" i="288"/>
  <c r="BU203" i="288"/>
  <c r="BU53" i="288"/>
  <c r="BU178" i="288"/>
  <c r="BP163" i="278"/>
  <c r="BP164" i="278"/>
  <c r="BP168" i="278"/>
  <c r="BP27" i="328"/>
  <c r="BP172" i="278"/>
  <c r="BP167" i="278"/>
  <c r="BV53" i="273"/>
  <c r="BV75" i="273"/>
  <c r="BW76" i="273"/>
  <c r="BQ264" i="288"/>
  <c r="BQ114" i="288"/>
  <c r="BQ272" i="288"/>
  <c r="BQ122" i="288"/>
  <c r="BV16" i="288"/>
  <c r="BV17" i="288"/>
  <c r="BV11" i="282"/>
  <c r="BV637" i="321"/>
  <c r="BV15" i="286"/>
  <c r="BV566" i="321"/>
  <c r="BV623" i="321"/>
  <c r="BV187" i="278"/>
  <c r="BV92" i="286"/>
  <c r="BV268" i="278"/>
  <c r="BV110" i="286"/>
  <c r="BV212" i="278"/>
  <c r="BV162" i="278"/>
  <c r="BV33" i="286"/>
  <c r="BV552" i="321"/>
  <c r="BV109" i="273"/>
  <c r="BW110" i="273"/>
  <c r="BV292" i="278"/>
  <c r="BQ154" i="278"/>
  <c r="BS47" i="273"/>
  <c r="BS3" i="278"/>
  <c r="BS3" i="304"/>
  <c r="BS3" i="273"/>
  <c r="BS3" i="321"/>
  <c r="BS3" i="286"/>
  <c r="BS3" i="289"/>
  <c r="BS3" i="314"/>
  <c r="BS3" i="282"/>
  <c r="BS3" i="288"/>
  <c r="BS3" i="275"/>
  <c r="BS4" i="328"/>
  <c r="BS3" i="315"/>
  <c r="BS3" i="285"/>
  <c r="BS3" i="265"/>
  <c r="BV46" i="289"/>
  <c r="BV15" i="289"/>
  <c r="BV30" i="289"/>
  <c r="BU20" i="275"/>
  <c r="BV17" i="275"/>
  <c r="BV201" i="273"/>
  <c r="BV263" i="321"/>
  <c r="BW36" i="289"/>
  <c r="BR153" i="278"/>
  <c r="BR30" i="328"/>
  <c r="BU53" i="273"/>
  <c r="BU75" i="273"/>
  <c r="BV76" i="273"/>
  <c r="BT59" i="315"/>
  <c r="BT24" i="265"/>
  <c r="BT22" i="315"/>
  <c r="BT61" i="265"/>
  <c r="BS113" i="282"/>
  <c r="BS153" i="282"/>
  <c r="BS45" i="282"/>
  <c r="BS85" i="282"/>
  <c r="BS26" i="285"/>
  <c r="BS18" i="285"/>
  <c r="BV237" i="273"/>
  <c r="BT131" i="321"/>
  <c r="BT259" i="321"/>
  <c r="BT267" i="321"/>
  <c r="BT277" i="321"/>
  <c r="BU203" i="273"/>
  <c r="BT71" i="321"/>
  <c r="BT213" i="273"/>
  <c r="BT253" i="321"/>
  <c r="BT11" i="321"/>
  <c r="BT111" i="314"/>
  <c r="R98" i="315"/>
  <c r="S23" i="285"/>
  <c r="S27" i="285"/>
  <c r="R102" i="265"/>
  <c r="AQ283" i="307"/>
  <c r="AQ9" i="310"/>
  <c r="AD44" i="265"/>
  <c r="AD42" i="315"/>
  <c r="AE222" i="278"/>
  <c r="AD229" i="278"/>
  <c r="AD231" i="278"/>
  <c r="AD116" i="265"/>
  <c r="AD112" i="315"/>
  <c r="AD254" i="278"/>
  <c r="P110" i="265"/>
  <c r="Q309" i="278"/>
  <c r="P106" i="315"/>
  <c r="Q318" i="278"/>
  <c r="Q320" i="278"/>
  <c r="Q321" i="278"/>
  <c r="Q326" i="278"/>
  <c r="BR57" i="328"/>
  <c r="BU57" i="273"/>
  <c r="BS80" i="288"/>
  <c r="BS86" i="288"/>
  <c r="BS92" i="278"/>
  <c r="BS98" i="278"/>
  <c r="BS91" i="288"/>
  <c r="BS217" i="273"/>
  <c r="BR218" i="273"/>
  <c r="BR272" i="288"/>
  <c r="BS161" i="288"/>
  <c r="BS162" i="288"/>
  <c r="BS171" i="288"/>
  <c r="BS259" i="288"/>
  <c r="BS236" i="288"/>
  <c r="BS241" i="288"/>
  <c r="BS242" i="288"/>
  <c r="BS244" i="288"/>
  <c r="BS230" i="288"/>
  <c r="BS167" i="288"/>
  <c r="BS109" i="288"/>
  <c r="BS45" i="321"/>
  <c r="BS46" i="321"/>
  <c r="BS48" i="321"/>
  <c r="BS51" i="321"/>
  <c r="BS217" i="288"/>
  <c r="BS218" i="288"/>
  <c r="BS220" i="288"/>
  <c r="BQ9" i="315"/>
  <c r="BQ188" i="278"/>
  <c r="BQ189" i="278"/>
  <c r="BQ193" i="278"/>
  <c r="BQ192" i="278"/>
  <c r="BP10" i="315"/>
  <c r="BP11" i="315"/>
  <c r="BP10" i="265"/>
  <c r="BP11" i="265"/>
  <c r="BP32" i="328"/>
  <c r="CB38" i="289"/>
  <c r="CB133" i="288"/>
  <c r="CB136" i="288"/>
  <c r="CB138" i="288"/>
  <c r="CB140" i="288"/>
  <c r="CB145" i="288"/>
  <c r="CB23" i="288"/>
  <c r="CB25" i="288"/>
  <c r="BU89" i="314"/>
  <c r="CA31" i="288"/>
  <c r="CA181" i="288"/>
  <c r="BU44" i="314"/>
  <c r="CC102" i="314"/>
  <c r="CC84" i="288"/>
  <c r="CC228" i="288"/>
  <c r="CC234" i="288"/>
  <c r="CC5" i="328"/>
  <c r="CC5" i="265"/>
  <c r="CC5" i="321"/>
  <c r="CC78" i="288"/>
  <c r="CC5" i="278"/>
  <c r="CC5" i="304"/>
  <c r="CC5" i="286"/>
  <c r="CC5" i="275"/>
  <c r="CC5" i="273"/>
  <c r="CC5" i="289"/>
  <c r="CC5" i="282"/>
  <c r="CC5" i="314"/>
  <c r="CC5" i="288"/>
  <c r="CC5" i="285"/>
  <c r="CC5" i="315"/>
  <c r="BU40" i="321"/>
  <c r="BU41" i="321"/>
  <c r="BU44" i="321"/>
  <c r="BU36" i="285"/>
  <c r="BT709" i="321"/>
  <c r="BT711" i="321"/>
  <c r="BU172" i="314"/>
  <c r="BU123" i="314"/>
  <c r="BU11" i="321"/>
  <c r="BU24" i="314"/>
  <c r="BU148" i="278"/>
  <c r="BU713" i="321"/>
  <c r="BU104" i="314"/>
  <c r="BU581" i="321"/>
  <c r="BU238" i="273"/>
  <c r="BU239" i="273"/>
  <c r="BU204" i="278"/>
  <c r="BU636" i="321"/>
  <c r="BU319" i="278"/>
  <c r="BU545" i="321"/>
  <c r="BU136" i="314"/>
  <c r="BU17" i="314"/>
  <c r="BU603" i="321"/>
  <c r="BU675" i="321"/>
  <c r="BU565" i="321"/>
  <c r="BU540" i="321"/>
  <c r="BU230" i="278"/>
  <c r="BU246" i="278"/>
  <c r="BU283" i="278"/>
  <c r="BU659" i="321"/>
  <c r="BU497" i="321"/>
  <c r="BU129" i="314"/>
  <c r="BU57" i="314"/>
  <c r="BU701" i="321"/>
  <c r="BU702" i="321"/>
  <c r="BU706" i="321"/>
  <c r="BU551" i="321"/>
  <c r="BU179" i="278"/>
  <c r="BU233" i="273"/>
  <c r="BU234" i="273"/>
  <c r="BU622" i="321"/>
  <c r="BU644" i="321"/>
  <c r="BU694" i="321"/>
  <c r="BU31" i="289"/>
  <c r="BU32" i="289"/>
  <c r="BU37" i="289"/>
  <c r="BU39" i="289"/>
  <c r="BV39" i="289"/>
  <c r="BU63" i="286"/>
  <c r="BU708" i="321"/>
  <c r="BU239" i="278"/>
  <c r="BU573" i="321"/>
  <c r="BU617" i="321"/>
  <c r="BU100" i="278"/>
  <c r="BU652" i="321"/>
  <c r="BU453" i="321"/>
  <c r="BU50" i="314"/>
  <c r="BU306" i="278"/>
  <c r="BV124" i="273"/>
  <c r="BU16" i="285"/>
  <c r="BU17" i="285"/>
  <c r="BU63" i="273"/>
  <c r="BU64" i="273"/>
  <c r="BW30" i="289"/>
  <c r="BX158" i="273"/>
  <c r="BX159" i="273"/>
  <c r="BX162" i="273"/>
  <c r="BX194" i="273"/>
  <c r="BX195" i="273"/>
  <c r="BX59" i="288"/>
  <c r="BX2" i="273"/>
  <c r="BX2" i="315"/>
  <c r="BX2" i="288"/>
  <c r="BX2" i="289"/>
  <c r="BX198" i="273"/>
  <c r="BX199" i="273"/>
  <c r="BX202" i="273"/>
  <c r="BX34" i="288"/>
  <c r="BX49" i="273"/>
  <c r="BX2" i="285"/>
  <c r="BX2" i="314"/>
  <c r="BX148" i="288"/>
  <c r="BX258" i="273"/>
  <c r="BX259" i="273"/>
  <c r="BX119" i="273"/>
  <c r="BX120" i="273"/>
  <c r="BX123" i="273"/>
  <c r="BX2" i="265"/>
  <c r="BX2" i="321"/>
  <c r="BX2" i="304"/>
  <c r="BX209" i="288"/>
  <c r="BX184" i="288"/>
  <c r="BX2" i="282"/>
  <c r="BX71" i="273"/>
  <c r="BX72" i="273"/>
  <c r="BX154" i="273"/>
  <c r="BX155" i="273"/>
  <c r="BX3" i="328"/>
  <c r="BX8" i="328"/>
  <c r="BX2" i="275"/>
  <c r="BX2" i="278"/>
  <c r="BX38" i="311"/>
  <c r="BX2" i="286"/>
  <c r="BS152" i="278"/>
  <c r="BS29" i="328"/>
  <c r="BS18" i="328"/>
  <c r="BW272" i="278"/>
  <c r="BW158" i="314"/>
  <c r="BW118" i="314"/>
  <c r="BW79" i="314"/>
  <c r="BW85" i="273"/>
  <c r="BW19" i="282"/>
  <c r="BW15" i="275"/>
  <c r="BW296" i="278"/>
  <c r="BW39" i="314"/>
  <c r="BW263" i="321"/>
  <c r="BW201" i="273"/>
  <c r="BV20" i="275"/>
  <c r="BW17" i="275"/>
  <c r="BW268" i="278"/>
  <c r="BW566" i="321"/>
  <c r="BW623" i="321"/>
  <c r="BW15" i="286"/>
  <c r="BW16" i="288"/>
  <c r="BW17" i="288"/>
  <c r="BW162" i="278"/>
  <c r="BW187" i="278"/>
  <c r="BW92" i="286"/>
  <c r="BW212" i="278"/>
  <c r="BW109" i="273"/>
  <c r="BX110" i="273"/>
  <c r="BW292" i="278"/>
  <c r="BW33" i="286"/>
  <c r="BW552" i="321"/>
  <c r="BW11" i="282"/>
  <c r="BW637" i="321"/>
  <c r="BW110" i="286"/>
  <c r="BT91" i="278"/>
  <c r="BT17" i="278"/>
  <c r="BW11" i="328"/>
  <c r="BW4" i="282"/>
  <c r="BW4" i="304"/>
  <c r="BW4" i="275"/>
  <c r="BW4" i="278"/>
  <c r="BW4" i="315"/>
  <c r="BW4" i="321"/>
  <c r="BW4" i="288"/>
  <c r="BW4" i="285"/>
  <c r="BW4" i="273"/>
  <c r="BW4" i="314"/>
  <c r="BW4" i="289"/>
  <c r="BW4" i="286"/>
  <c r="BS13" i="315"/>
  <c r="BS13" i="265"/>
  <c r="BR122" i="288"/>
  <c r="BV178" i="288"/>
  <c r="BV28" i="288"/>
  <c r="BV203" i="288"/>
  <c r="BV53" i="288"/>
  <c r="BS153" i="278"/>
  <c r="BS30" i="328"/>
  <c r="BT214" i="273"/>
  <c r="BU105" i="282"/>
  <c r="BU591" i="321"/>
  <c r="BU37" i="282"/>
  <c r="BW240" i="278"/>
  <c r="BW247" i="278"/>
  <c r="BW56" i="273"/>
  <c r="BW674" i="321"/>
  <c r="BW262" i="273"/>
  <c r="BQ163" i="278"/>
  <c r="BQ164" i="278"/>
  <c r="BQ168" i="278"/>
  <c r="BQ172" i="278"/>
  <c r="BQ27" i="328"/>
  <c r="BQ167" i="278"/>
  <c r="BT3" i="273"/>
  <c r="BT3" i="285"/>
  <c r="BT3" i="321"/>
  <c r="BT4" i="328"/>
  <c r="BT47" i="273"/>
  <c r="BT3" i="315"/>
  <c r="BT3" i="282"/>
  <c r="BT3" i="288"/>
  <c r="BT3" i="278"/>
  <c r="BT3" i="314"/>
  <c r="BT3" i="289"/>
  <c r="BT3" i="304"/>
  <c r="BT3" i="265"/>
  <c r="BT3" i="275"/>
  <c r="BT3" i="286"/>
  <c r="BV602" i="321"/>
  <c r="BV658" i="321"/>
  <c r="BR98" i="278"/>
  <c r="BR101" i="278"/>
  <c r="BR104" i="278"/>
  <c r="BR105" i="278"/>
  <c r="BR18" i="328"/>
  <c r="BW53" i="273"/>
  <c r="BW75" i="273"/>
  <c r="BX76" i="273"/>
  <c r="BR154" i="278"/>
  <c r="BW237" i="273"/>
  <c r="BV105" i="282"/>
  <c r="BV37" i="282"/>
  <c r="BV591" i="321"/>
  <c r="BT90" i="278"/>
  <c r="BV203" i="273"/>
  <c r="BU253" i="321"/>
  <c r="BU213" i="273"/>
  <c r="BU277" i="321"/>
  <c r="BU131" i="321"/>
  <c r="BU259" i="321"/>
  <c r="BU71" i="321"/>
  <c r="BU267" i="321"/>
  <c r="BW161" i="273"/>
  <c r="BW151" i="321"/>
  <c r="BV54" i="273"/>
  <c r="BV84" i="273"/>
  <c r="BV86" i="273"/>
  <c r="BS57" i="328"/>
  <c r="BS70" i="288"/>
  <c r="BX11" i="289"/>
  <c r="BX12" i="289"/>
  <c r="BX36" i="289"/>
  <c r="BQ223" i="278"/>
  <c r="BQ213" i="278"/>
  <c r="BQ214" i="278"/>
  <c r="BQ218" i="278"/>
  <c r="BQ155" i="278"/>
  <c r="BQ217" i="278"/>
  <c r="BW84" i="273"/>
  <c r="BW54" i="273"/>
  <c r="BR17" i="328"/>
  <c r="BT147" i="278"/>
  <c r="BT149" i="278"/>
  <c r="BS97" i="278"/>
  <c r="BW28" i="314"/>
  <c r="BW55" i="273"/>
  <c r="BW261" i="273"/>
  <c r="BW259" i="278"/>
  <c r="BW589" i="321"/>
  <c r="BW590" i="321"/>
  <c r="BW117" i="314"/>
  <c r="BW122" i="273"/>
  <c r="BW38" i="314"/>
  <c r="BT72" i="321"/>
  <c r="BT79" i="321"/>
  <c r="BU212" i="273"/>
  <c r="BU214" i="273"/>
  <c r="BU155" i="321"/>
  <c r="BU147" i="321"/>
  <c r="BU165" i="321"/>
  <c r="BV163" i="273"/>
  <c r="BU70" i="321"/>
  <c r="BU141" i="321"/>
  <c r="BU130" i="321"/>
  <c r="BT113" i="282"/>
  <c r="BT153" i="282"/>
  <c r="BT85" i="282"/>
  <c r="BT45" i="282"/>
  <c r="BT18" i="285"/>
  <c r="BT26" i="285"/>
  <c r="BW707" i="321"/>
  <c r="BW598" i="321"/>
  <c r="BW599" i="321"/>
  <c r="BW579" i="321"/>
  <c r="BW650" i="321"/>
  <c r="BW211" i="278"/>
  <c r="BW186" i="278"/>
  <c r="BW161" i="278"/>
  <c r="BV263" i="273"/>
  <c r="BZ2" i="328"/>
  <c r="BZ10" i="289"/>
  <c r="BT11" i="278"/>
  <c r="BT330" i="321"/>
  <c r="BT39" i="321"/>
  <c r="BT218" i="321"/>
  <c r="BU111" i="314"/>
  <c r="R323" i="278"/>
  <c r="Q117" i="265"/>
  <c r="Q113" i="315"/>
  <c r="Q43" i="315"/>
  <c r="Q45" i="265"/>
  <c r="AD238" i="278"/>
  <c r="AD282" i="278"/>
  <c r="AD245" i="278"/>
  <c r="T23" i="285"/>
  <c r="T27" i="285"/>
  <c r="S98" i="315"/>
  <c r="S102" i="265"/>
  <c r="Q312" i="278"/>
  <c r="Q305" i="278"/>
  <c r="Q307" i="278"/>
  <c r="AE228" i="278"/>
  <c r="AE216" i="278"/>
  <c r="AE219" i="278"/>
  <c r="BV57" i="273"/>
  <c r="BR114" i="288"/>
  <c r="BR264" i="288"/>
  <c r="BT17" i="328"/>
  <c r="BS101" i="278"/>
  <c r="BS104" i="278"/>
  <c r="BS105" i="278"/>
  <c r="BS188" i="278"/>
  <c r="BS189" i="278"/>
  <c r="BS193" i="278"/>
  <c r="BT92" i="278"/>
  <c r="BT18" i="328"/>
  <c r="CB31" i="288"/>
  <c r="CB181" i="288"/>
  <c r="CC38" i="289"/>
  <c r="CC133" i="288"/>
  <c r="CC136" i="288"/>
  <c r="CC138" i="288"/>
  <c r="CC140" i="288"/>
  <c r="CC145" i="288"/>
  <c r="CC23" i="288"/>
  <c r="CC25" i="288"/>
  <c r="CD102" i="314"/>
  <c r="CD5" i="328"/>
  <c r="CD228" i="288"/>
  <c r="CD78" i="288"/>
  <c r="CD84" i="288"/>
  <c r="CD234" i="288"/>
  <c r="CD5" i="265"/>
  <c r="CD5" i="321"/>
  <c r="CD5" i="275"/>
  <c r="CD5" i="289"/>
  <c r="CD5" i="273"/>
  <c r="CD5" i="288"/>
  <c r="CD5" i="286"/>
  <c r="CD5" i="285"/>
  <c r="CD5" i="315"/>
  <c r="CD5" i="304"/>
  <c r="CD5" i="282"/>
  <c r="CD5" i="314"/>
  <c r="CD5" i="278"/>
  <c r="BU72" i="321"/>
  <c r="BU79" i="321"/>
  <c r="BS17" i="328"/>
  <c r="BW57" i="273"/>
  <c r="BV63" i="273"/>
  <c r="BV64" i="273"/>
  <c r="CA2" i="328"/>
  <c r="BW658" i="321"/>
  <c r="BW602" i="321"/>
  <c r="BX262" i="273"/>
  <c r="BX674" i="321"/>
  <c r="BT152" i="278"/>
  <c r="BT29" i="328"/>
  <c r="BR163" i="278"/>
  <c r="BR164" i="278"/>
  <c r="BR168" i="278"/>
  <c r="BR172" i="278"/>
  <c r="BR27" i="328"/>
  <c r="BR167" i="278"/>
  <c r="BQ10" i="315"/>
  <c r="BQ11" i="315"/>
  <c r="BQ10" i="265"/>
  <c r="BQ11" i="265"/>
  <c r="BQ32" i="328"/>
  <c r="BX30" i="289"/>
  <c r="BX46" i="289"/>
  <c r="BX15" i="289"/>
  <c r="BV213" i="273"/>
  <c r="BV253" i="321"/>
  <c r="BV71" i="321"/>
  <c r="BV259" i="321"/>
  <c r="BV131" i="321"/>
  <c r="BV267" i="321"/>
  <c r="BW203" i="273"/>
  <c r="BV277" i="321"/>
  <c r="BY158" i="273"/>
  <c r="BY159" i="273"/>
  <c r="BY162" i="273"/>
  <c r="BY194" i="273"/>
  <c r="BY195" i="273"/>
  <c r="BY2" i="265"/>
  <c r="BY2" i="288"/>
  <c r="BY2" i="275"/>
  <c r="BY49" i="273"/>
  <c r="BY2" i="321"/>
  <c r="BY2" i="278"/>
  <c r="BY198" i="273"/>
  <c r="BY199" i="273"/>
  <c r="BY202" i="273"/>
  <c r="BY258" i="273"/>
  <c r="BY3" i="328"/>
  <c r="BY8" i="328"/>
  <c r="BY2" i="304"/>
  <c r="BY2" i="314"/>
  <c r="BY209" i="288"/>
  <c r="BY38" i="311"/>
  <c r="BY119" i="273"/>
  <c r="BY120" i="273"/>
  <c r="BY123" i="273"/>
  <c r="BY59" i="288"/>
  <c r="BY34" i="288"/>
  <c r="BY2" i="315"/>
  <c r="BY2" i="282"/>
  <c r="BY148" i="288"/>
  <c r="BY154" i="273"/>
  <c r="BY155" i="273"/>
  <c r="BY71" i="273"/>
  <c r="BY72" i="273"/>
  <c r="BY2" i="286"/>
  <c r="BY2" i="285"/>
  <c r="BY184" i="288"/>
  <c r="BY2" i="289"/>
  <c r="BY2" i="273"/>
  <c r="BU61" i="265"/>
  <c r="BU59" i="315"/>
  <c r="BU24" i="265"/>
  <c r="BU22" i="315"/>
  <c r="BX247" i="278"/>
  <c r="BX56" i="273"/>
  <c r="BX240" i="278"/>
  <c r="BV16" i="285"/>
  <c r="BV17" i="285"/>
  <c r="BW124" i="273"/>
  <c r="BU709" i="321"/>
  <c r="BU711" i="321"/>
  <c r="BU39" i="321"/>
  <c r="BU330" i="321"/>
  <c r="BU11" i="278"/>
  <c r="BU218" i="321"/>
  <c r="BY36" i="289"/>
  <c r="BX263" i="321"/>
  <c r="BX201" i="273"/>
  <c r="BU17" i="278"/>
  <c r="BW178" i="288"/>
  <c r="BW53" i="288"/>
  <c r="BW203" i="288"/>
  <c r="BW28" i="288"/>
  <c r="BS154" i="278"/>
  <c r="BX237" i="273"/>
  <c r="BU91" i="278"/>
  <c r="BU90" i="278"/>
  <c r="BX53" i="273"/>
  <c r="BX75" i="273"/>
  <c r="BY76" i="273"/>
  <c r="BT13" i="265"/>
  <c r="BT13" i="315"/>
  <c r="BV70" i="321"/>
  <c r="BV165" i="321"/>
  <c r="BW163" i="273"/>
  <c r="BV130" i="321"/>
  <c r="BV212" i="273"/>
  <c r="BV141" i="321"/>
  <c r="BV147" i="321"/>
  <c r="BV155" i="321"/>
  <c r="BU45" i="321"/>
  <c r="BU46" i="321"/>
  <c r="BU48" i="321"/>
  <c r="BU91" i="288"/>
  <c r="BU109" i="288"/>
  <c r="BU67" i="288"/>
  <c r="BU68" i="288"/>
  <c r="BU167" i="288"/>
  <c r="BU86" i="288"/>
  <c r="BU230" i="288"/>
  <c r="BU51" i="321"/>
  <c r="BU161" i="288"/>
  <c r="BU80" i="288"/>
  <c r="BU241" i="288"/>
  <c r="BU242" i="288"/>
  <c r="BU244" i="288"/>
  <c r="BU217" i="288"/>
  <c r="BU218" i="288"/>
  <c r="BU220" i="288"/>
  <c r="BU217" i="273"/>
  <c r="BT218" i="273"/>
  <c r="BU259" i="288"/>
  <c r="BU236" i="288"/>
  <c r="BW263" i="273"/>
  <c r="BW86" i="273"/>
  <c r="BV61" i="265"/>
  <c r="BV24" i="265"/>
  <c r="BV22" i="315"/>
  <c r="BV59" i="315"/>
  <c r="BR213" i="278"/>
  <c r="BR214" i="278"/>
  <c r="BR218" i="278"/>
  <c r="BR217" i="278"/>
  <c r="BR155" i="278"/>
  <c r="BR223" i="278"/>
  <c r="BR197" i="278"/>
  <c r="BR188" i="278"/>
  <c r="BR189" i="278"/>
  <c r="BR193" i="278"/>
  <c r="BR9" i="315"/>
  <c r="BR192" i="278"/>
  <c r="BT45" i="321"/>
  <c r="BT46" i="321"/>
  <c r="BT48" i="321"/>
  <c r="BT51" i="321"/>
  <c r="BT217" i="273"/>
  <c r="BS218" i="273"/>
  <c r="BT80" i="288"/>
  <c r="BT217" i="288"/>
  <c r="BT218" i="288"/>
  <c r="BT220" i="288"/>
  <c r="BT161" i="288"/>
  <c r="BT162" i="288"/>
  <c r="BT171" i="288"/>
  <c r="BT241" i="288"/>
  <c r="BT242" i="288"/>
  <c r="BT244" i="288"/>
  <c r="BT259" i="288"/>
  <c r="BT109" i="288"/>
  <c r="BT236" i="288"/>
  <c r="BT67" i="288"/>
  <c r="BT68" i="288"/>
  <c r="BT167" i="288"/>
  <c r="BT91" i="288"/>
  <c r="BT86" i="288"/>
  <c r="BT230" i="288"/>
  <c r="BX122" i="273"/>
  <c r="BX261" i="273"/>
  <c r="BX589" i="321"/>
  <c r="BX590" i="321"/>
  <c r="BX117" i="314"/>
  <c r="BX55" i="273"/>
  <c r="BX38" i="314"/>
  <c r="BX28" i="314"/>
  <c r="BX259" i="278"/>
  <c r="BX211" i="278"/>
  <c r="BX650" i="321"/>
  <c r="BX579" i="321"/>
  <c r="BX186" i="278"/>
  <c r="BX707" i="321"/>
  <c r="BX598" i="321"/>
  <c r="BX599" i="321"/>
  <c r="BX161" i="278"/>
  <c r="BU4" i="328"/>
  <c r="BU3" i="265"/>
  <c r="BU3" i="321"/>
  <c r="BU3" i="282"/>
  <c r="BU3" i="278"/>
  <c r="BU3" i="288"/>
  <c r="BU3" i="285"/>
  <c r="BU3" i="315"/>
  <c r="BU3" i="275"/>
  <c r="BU3" i="286"/>
  <c r="BU3" i="304"/>
  <c r="BU3" i="289"/>
  <c r="BU3" i="314"/>
  <c r="BU47" i="273"/>
  <c r="BU3" i="273"/>
  <c r="BX151" i="321"/>
  <c r="BX161" i="273"/>
  <c r="BW105" i="282"/>
  <c r="BW591" i="321"/>
  <c r="BW37" i="282"/>
  <c r="BT153" i="278"/>
  <c r="BT30" i="328"/>
  <c r="BT97" i="278"/>
  <c r="BX4" i="315"/>
  <c r="BX4" i="273"/>
  <c r="BX4" i="275"/>
  <c r="BX4" i="314"/>
  <c r="BX4" i="278"/>
  <c r="BX4" i="304"/>
  <c r="BX4" i="289"/>
  <c r="BX4" i="321"/>
  <c r="BX4" i="282"/>
  <c r="BX11" i="328"/>
  <c r="BX4" i="285"/>
  <c r="BX4" i="288"/>
  <c r="BX4" i="286"/>
  <c r="BX84" i="273"/>
  <c r="BX54" i="273"/>
  <c r="BX19" i="282"/>
  <c r="BX296" i="278"/>
  <c r="BX15" i="275"/>
  <c r="BX79" i="314"/>
  <c r="BX85" i="273"/>
  <c r="BX272" i="278"/>
  <c r="BX39" i="314"/>
  <c r="BX158" i="314"/>
  <c r="BX118" i="314"/>
  <c r="BW20" i="275"/>
  <c r="BX17" i="275"/>
  <c r="BX11" i="282"/>
  <c r="BX268" i="278"/>
  <c r="BX623" i="321"/>
  <c r="BX110" i="286"/>
  <c r="BX16" i="288"/>
  <c r="BX17" i="288"/>
  <c r="BX566" i="321"/>
  <c r="BX637" i="321"/>
  <c r="BX33" i="286"/>
  <c r="BX162" i="278"/>
  <c r="BX212" i="278"/>
  <c r="BX187" i="278"/>
  <c r="BX92" i="286"/>
  <c r="BX109" i="273"/>
  <c r="BY110" i="273"/>
  <c r="BX552" i="321"/>
  <c r="BX292" i="278"/>
  <c r="BX15" i="286"/>
  <c r="BU153" i="282"/>
  <c r="BU85" i="282"/>
  <c r="BU113" i="282"/>
  <c r="BU45" i="282"/>
  <c r="BU26" i="285"/>
  <c r="BU18" i="285"/>
  <c r="BU147" i="278"/>
  <c r="BU149" i="278"/>
  <c r="BV603" i="321"/>
  <c r="BV675" i="321"/>
  <c r="BV239" i="278"/>
  <c r="BV551" i="321"/>
  <c r="BV246" i="278"/>
  <c r="BV652" i="321"/>
  <c r="BV283" i="278"/>
  <c r="BV453" i="321"/>
  <c r="BV57" i="314"/>
  <c r="BV136" i="314"/>
  <c r="BV204" i="278"/>
  <c r="BV31" i="289"/>
  <c r="BV32" i="289"/>
  <c r="BV37" i="289"/>
  <c r="BV701" i="321"/>
  <c r="BV702" i="321"/>
  <c r="BV706" i="321"/>
  <c r="BV565" i="321"/>
  <c r="BV104" i="314"/>
  <c r="BV622" i="321"/>
  <c r="BV636" i="321"/>
  <c r="BV659" i="321"/>
  <c r="BV319" i="278"/>
  <c r="BV47" i="289"/>
  <c r="BV48" i="289"/>
  <c r="BV53" i="289"/>
  <c r="BV16" i="289"/>
  <c r="BV17" i="289"/>
  <c r="BV22" i="289"/>
  <c r="BV306" i="278"/>
  <c r="BV129" i="314"/>
  <c r="BV230" i="278"/>
  <c r="BV644" i="321"/>
  <c r="BV63" i="286"/>
  <c r="BV17" i="314"/>
  <c r="BV708" i="321"/>
  <c r="BV540" i="321"/>
  <c r="BV573" i="321"/>
  <c r="BV617" i="321"/>
  <c r="BV238" i="273"/>
  <c r="BV239" i="273"/>
  <c r="BV100" i="278"/>
  <c r="BV694" i="321"/>
  <c r="BV50" i="314"/>
  <c r="BV713" i="321"/>
  <c r="BV581" i="321"/>
  <c r="BV497" i="321"/>
  <c r="BV148" i="278"/>
  <c r="BV179" i="278"/>
  <c r="BV233" i="273"/>
  <c r="BV234" i="273"/>
  <c r="BV545" i="321"/>
  <c r="R318" i="278"/>
  <c r="R320" i="278"/>
  <c r="R321" i="278"/>
  <c r="R326" i="278"/>
  <c r="BV24" i="314"/>
  <c r="BV172" i="314"/>
  <c r="BV111" i="314"/>
  <c r="BV36" i="285"/>
  <c r="BV44" i="314"/>
  <c r="BV11" i="321"/>
  <c r="BV123" i="314"/>
  <c r="BV40" i="321"/>
  <c r="BV41" i="321"/>
  <c r="BV44" i="321"/>
  <c r="BV89" i="314"/>
  <c r="AE224" i="278"/>
  <c r="AE225" i="278"/>
  <c r="AE220" i="278"/>
  <c r="R309" i="278"/>
  <c r="Q106" i="315"/>
  <c r="Q110" i="265"/>
  <c r="U23" i="285"/>
  <c r="U27" i="285"/>
  <c r="T98" i="315"/>
  <c r="T102" i="265"/>
  <c r="AR283" i="307"/>
  <c r="AR9" i="310"/>
  <c r="BU162" i="288"/>
  <c r="BU171" i="288"/>
  <c r="BV72" i="321"/>
  <c r="BV79" i="321"/>
  <c r="BT27" i="328"/>
  <c r="BT98" i="278"/>
  <c r="BT101" i="278"/>
  <c r="BT104" i="278"/>
  <c r="BT105" i="278"/>
  <c r="BS197" i="278"/>
  <c r="BS192" i="278"/>
  <c r="BS9" i="315"/>
  <c r="BX263" i="273"/>
  <c r="BV214" i="273"/>
  <c r="BV67" i="288"/>
  <c r="BV68" i="288"/>
  <c r="BV70" i="288"/>
  <c r="CD38" i="289"/>
  <c r="CD23" i="288"/>
  <c r="CD25" i="288"/>
  <c r="CD133" i="288"/>
  <c r="CD136" i="288"/>
  <c r="CD138" i="288"/>
  <c r="CD140" i="288"/>
  <c r="CD145" i="288"/>
  <c r="CE102" i="314"/>
  <c r="CE228" i="288"/>
  <c r="CE78" i="288"/>
  <c r="CE84" i="288"/>
  <c r="CE5" i="328"/>
  <c r="CE234" i="288"/>
  <c r="CE5" i="321"/>
  <c r="CE5" i="265"/>
  <c r="CE5" i="288"/>
  <c r="CE5" i="286"/>
  <c r="CE5" i="304"/>
  <c r="CE5" i="289"/>
  <c r="CE5" i="285"/>
  <c r="CE5" i="273"/>
  <c r="CE5" i="314"/>
  <c r="CE5" i="275"/>
  <c r="CE5" i="315"/>
  <c r="CE5" i="282"/>
  <c r="CE5" i="278"/>
  <c r="CC181" i="288"/>
  <c r="CC31" i="288"/>
  <c r="BS172" i="278"/>
  <c r="BS27" i="328"/>
  <c r="BS163" i="278"/>
  <c r="BS164" i="278"/>
  <c r="BS168" i="278"/>
  <c r="BS167" i="278"/>
  <c r="BX172" i="314"/>
  <c r="BX86" i="273"/>
  <c r="BU92" i="278"/>
  <c r="BU98" i="278"/>
  <c r="BV17" i="278"/>
  <c r="BV330" i="321"/>
  <c r="BV39" i="321"/>
  <c r="BV11" i="278"/>
  <c r="BV218" i="321"/>
  <c r="BV709" i="321"/>
  <c r="BV711" i="321"/>
  <c r="BV90" i="278"/>
  <c r="BW565" i="321"/>
  <c r="BW230" i="278"/>
  <c r="BW701" i="321"/>
  <c r="BW702" i="321"/>
  <c r="BW706" i="321"/>
  <c r="BW551" i="321"/>
  <c r="BW283" i="278"/>
  <c r="BW622" i="321"/>
  <c r="BW659" i="321"/>
  <c r="BW453" i="321"/>
  <c r="BW57" i="314"/>
  <c r="BW63" i="286"/>
  <c r="BW17" i="314"/>
  <c r="BW104" i="314"/>
  <c r="BW540" i="321"/>
  <c r="BW708" i="321"/>
  <c r="BW233" i="273"/>
  <c r="BW234" i="273"/>
  <c r="BW617" i="321"/>
  <c r="BW644" i="321"/>
  <c r="BW694" i="321"/>
  <c r="BW319" i="278"/>
  <c r="BW31" i="289"/>
  <c r="BW32" i="289"/>
  <c r="BW37" i="289"/>
  <c r="BW39" i="289"/>
  <c r="BX39" i="289"/>
  <c r="BW179" i="278"/>
  <c r="BW573" i="321"/>
  <c r="BW148" i="278"/>
  <c r="BW713" i="321"/>
  <c r="BW100" i="278"/>
  <c r="BW238" i="273"/>
  <c r="BW239" i="273"/>
  <c r="BW652" i="321"/>
  <c r="BW497" i="321"/>
  <c r="BW129" i="314"/>
  <c r="BW50" i="314"/>
  <c r="BW239" i="278"/>
  <c r="BW581" i="321"/>
  <c r="BW603" i="321"/>
  <c r="BW675" i="321"/>
  <c r="BW204" i="278"/>
  <c r="BW246" i="278"/>
  <c r="BW636" i="321"/>
  <c r="BW306" i="278"/>
  <c r="BW136" i="314"/>
  <c r="BW545" i="321"/>
  <c r="BU13" i="315"/>
  <c r="BU13" i="265"/>
  <c r="BY151" i="321"/>
  <c r="BY161" i="273"/>
  <c r="BY122" i="273"/>
  <c r="BY261" i="273"/>
  <c r="BY589" i="321"/>
  <c r="BY590" i="321"/>
  <c r="BY259" i="278"/>
  <c r="BY55" i="273"/>
  <c r="BY117" i="314"/>
  <c r="BY28" i="314"/>
  <c r="BY38" i="314"/>
  <c r="BW24" i="265"/>
  <c r="BW22" i="315"/>
  <c r="BW61" i="265"/>
  <c r="BW59" i="315"/>
  <c r="BT57" i="328"/>
  <c r="BT70" i="288"/>
  <c r="BS122" i="288"/>
  <c r="BS114" i="288"/>
  <c r="BS264" i="288"/>
  <c r="BS272" i="288"/>
  <c r="BW147" i="321"/>
  <c r="BW155" i="321"/>
  <c r="BW212" i="273"/>
  <c r="BW70" i="321"/>
  <c r="BW165" i="321"/>
  <c r="BX163" i="273"/>
  <c r="BW130" i="321"/>
  <c r="BW141" i="321"/>
  <c r="BZ71" i="273"/>
  <c r="BZ72" i="273"/>
  <c r="BZ154" i="273"/>
  <c r="BZ155" i="273"/>
  <c r="BZ2" i="265"/>
  <c r="BZ209" i="288"/>
  <c r="BZ2" i="314"/>
  <c r="BZ34" i="288"/>
  <c r="BZ2" i="275"/>
  <c r="BZ2" i="315"/>
  <c r="BZ119" i="273"/>
  <c r="BZ120" i="273"/>
  <c r="BZ123" i="273"/>
  <c r="BZ194" i="273"/>
  <c r="BZ3" i="328"/>
  <c r="BZ8" i="328"/>
  <c r="BZ2" i="278"/>
  <c r="BZ2" i="288"/>
  <c r="BZ2" i="321"/>
  <c r="BZ2" i="304"/>
  <c r="BZ158" i="273"/>
  <c r="BZ159" i="273"/>
  <c r="BZ162" i="273"/>
  <c r="BZ258" i="273"/>
  <c r="BZ259" i="273"/>
  <c r="BZ59" i="288"/>
  <c r="BZ148" i="288"/>
  <c r="BZ2" i="289"/>
  <c r="BZ2" i="285"/>
  <c r="BZ49" i="273"/>
  <c r="BZ198" i="273"/>
  <c r="BZ199" i="273"/>
  <c r="BZ202" i="273"/>
  <c r="BZ38" i="311"/>
  <c r="BZ184" i="288"/>
  <c r="BZ2" i="282"/>
  <c r="BZ2" i="273"/>
  <c r="BZ2" i="286"/>
  <c r="BY161" i="278"/>
  <c r="BY579" i="321"/>
  <c r="BY598" i="321"/>
  <c r="BY599" i="321"/>
  <c r="BY211" i="278"/>
  <c r="BY186" i="278"/>
  <c r="BY707" i="321"/>
  <c r="BY650" i="321"/>
  <c r="BW131" i="321"/>
  <c r="BW277" i="321"/>
  <c r="BX203" i="273"/>
  <c r="BW253" i="321"/>
  <c r="BW213" i="273"/>
  <c r="BW267" i="321"/>
  <c r="BW71" i="321"/>
  <c r="BW259" i="321"/>
  <c r="BV3" i="288"/>
  <c r="BV3" i="273"/>
  <c r="BV3" i="304"/>
  <c r="BV3" i="314"/>
  <c r="BV3" i="285"/>
  <c r="BV3" i="265"/>
  <c r="BV3" i="275"/>
  <c r="BV3" i="286"/>
  <c r="BV3" i="278"/>
  <c r="BV3" i="282"/>
  <c r="BV47" i="273"/>
  <c r="BV4" i="328"/>
  <c r="BV3" i="321"/>
  <c r="BV3" i="289"/>
  <c r="BV3" i="315"/>
  <c r="BV147" i="278"/>
  <c r="BV149" i="278"/>
  <c r="BY247" i="278"/>
  <c r="BY56" i="273"/>
  <c r="BY240" i="278"/>
  <c r="BX203" i="288"/>
  <c r="BX178" i="288"/>
  <c r="BX28" i="288"/>
  <c r="BX53" i="288"/>
  <c r="BX20" i="275"/>
  <c r="BY17" i="275"/>
  <c r="BX602" i="321"/>
  <c r="BX658" i="321"/>
  <c r="BX105" i="282"/>
  <c r="BX591" i="321"/>
  <c r="BX37" i="282"/>
  <c r="BR10" i="265"/>
  <c r="BR11" i="265"/>
  <c r="BR32" i="328"/>
  <c r="BR10" i="315"/>
  <c r="BR11" i="315"/>
  <c r="BY54" i="273"/>
  <c r="BY84" i="273"/>
  <c r="BS213" i="278"/>
  <c r="BS214" i="278"/>
  <c r="BS218" i="278"/>
  <c r="BS155" i="278"/>
  <c r="BS217" i="278"/>
  <c r="BS223" i="278"/>
  <c r="BY30" i="289"/>
  <c r="BW16" i="285"/>
  <c r="BW17" i="285"/>
  <c r="BX124" i="273"/>
  <c r="BY237" i="273"/>
  <c r="BX57" i="273"/>
  <c r="BW63" i="273"/>
  <c r="BW64" i="273"/>
  <c r="BU30" i="328"/>
  <c r="BU153" i="278"/>
  <c r="BT264" i="288"/>
  <c r="BT272" i="288"/>
  <c r="BT114" i="288"/>
  <c r="BT122" i="288"/>
  <c r="BY4" i="286"/>
  <c r="BY4" i="288"/>
  <c r="BY4" i="275"/>
  <c r="BY4" i="285"/>
  <c r="BY4" i="314"/>
  <c r="BY4" i="282"/>
  <c r="BY4" i="321"/>
  <c r="BY4" i="273"/>
  <c r="BY4" i="289"/>
  <c r="BY11" i="328"/>
  <c r="BY4" i="278"/>
  <c r="BY4" i="315"/>
  <c r="BY4" i="304"/>
  <c r="BU97" i="278"/>
  <c r="BV85" i="282"/>
  <c r="BV113" i="282"/>
  <c r="BV153" i="282"/>
  <c r="BV45" i="282"/>
  <c r="BV18" i="285"/>
  <c r="BV26" i="285"/>
  <c r="BY53" i="273"/>
  <c r="BY75" i="273"/>
  <c r="BZ76" i="273"/>
  <c r="BY259" i="273"/>
  <c r="BY109" i="273"/>
  <c r="BZ110" i="273"/>
  <c r="BY16" i="288"/>
  <c r="BY17" i="288"/>
  <c r="BY623" i="321"/>
  <c r="BY33" i="286"/>
  <c r="BY11" i="282"/>
  <c r="BY212" i="278"/>
  <c r="BY187" i="278"/>
  <c r="BY110" i="286"/>
  <c r="BY566" i="321"/>
  <c r="BY552" i="321"/>
  <c r="BY292" i="278"/>
  <c r="BY15" i="286"/>
  <c r="BY162" i="278"/>
  <c r="BY268" i="278"/>
  <c r="BY637" i="321"/>
  <c r="BY92" i="286"/>
  <c r="BT154" i="278"/>
  <c r="BV91" i="278"/>
  <c r="BU29" i="328"/>
  <c r="BU152" i="278"/>
  <c r="BY19" i="282"/>
  <c r="BY158" i="314"/>
  <c r="BY118" i="314"/>
  <c r="BY272" i="278"/>
  <c r="BY85" i="273"/>
  <c r="BY79" i="314"/>
  <c r="BY39" i="314"/>
  <c r="BY296" i="278"/>
  <c r="BY15" i="275"/>
  <c r="BY201" i="273"/>
  <c r="BY263" i="321"/>
  <c r="BU70" i="288"/>
  <c r="BU57" i="328"/>
  <c r="BZ36" i="289"/>
  <c r="BZ11" i="289"/>
  <c r="BZ12" i="289"/>
  <c r="CB2" i="328"/>
  <c r="CB10" i="289"/>
  <c r="AE229" i="278"/>
  <c r="AE231" i="278"/>
  <c r="AF222" i="278"/>
  <c r="AE116" i="265"/>
  <c r="AE112" i="315"/>
  <c r="AE254" i="278"/>
  <c r="S323" i="278"/>
  <c r="R113" i="315"/>
  <c r="R117" i="265"/>
  <c r="V23" i="285"/>
  <c r="V27" i="285"/>
  <c r="U102" i="265"/>
  <c r="U98" i="315"/>
  <c r="R43" i="315"/>
  <c r="R45" i="265"/>
  <c r="AE42" i="315"/>
  <c r="AE44" i="265"/>
  <c r="R312" i="278"/>
  <c r="R305" i="278"/>
  <c r="R307" i="278"/>
  <c r="BW24" i="314"/>
  <c r="BW172" i="314"/>
  <c r="BW36" i="285"/>
  <c r="BW111" i="314"/>
  <c r="BW44" i="314"/>
  <c r="BW123" i="314"/>
  <c r="BW11" i="321"/>
  <c r="BW89" i="314"/>
  <c r="BW40" i="321"/>
  <c r="BW41" i="321"/>
  <c r="BW44" i="321"/>
  <c r="BX44" i="314"/>
  <c r="BV91" i="288"/>
  <c r="BV259" i="288"/>
  <c r="BV236" i="288"/>
  <c r="BV241" i="288"/>
  <c r="BV242" i="288"/>
  <c r="BV244" i="288"/>
  <c r="BV45" i="321"/>
  <c r="BV46" i="321"/>
  <c r="BV48" i="321"/>
  <c r="BV80" i="288"/>
  <c r="BV161" i="288"/>
  <c r="BV162" i="288"/>
  <c r="BV171" i="288"/>
  <c r="BV86" i="288"/>
  <c r="BV109" i="288"/>
  <c r="BX24" i="314"/>
  <c r="BY86" i="273"/>
  <c r="BY263" i="273"/>
  <c r="BX40" i="321"/>
  <c r="BX41" i="321"/>
  <c r="BX44" i="321"/>
  <c r="BT172" i="278"/>
  <c r="BX36" i="285"/>
  <c r="BY24" i="314"/>
  <c r="BX89" i="314"/>
  <c r="BX111" i="314"/>
  <c r="BU18" i="328"/>
  <c r="BX11" i="321"/>
  <c r="BX123" i="314"/>
  <c r="BT163" i="278"/>
  <c r="BT164" i="278"/>
  <c r="BT168" i="278"/>
  <c r="BV57" i="328"/>
  <c r="BT167" i="278"/>
  <c r="BT9" i="315"/>
  <c r="BT188" i="278"/>
  <c r="BT189" i="278"/>
  <c r="BT193" i="278"/>
  <c r="BT192" i="278"/>
  <c r="BT197" i="278"/>
  <c r="BU154" i="278"/>
  <c r="BU223" i="278"/>
  <c r="BW709" i="321"/>
  <c r="BW711" i="321"/>
  <c r="CE38" i="289"/>
  <c r="CE133" i="288"/>
  <c r="CE136" i="288"/>
  <c r="CE138" i="288"/>
  <c r="CE140" i="288"/>
  <c r="CE145" i="288"/>
  <c r="CE23" i="288"/>
  <c r="CE25" i="288"/>
  <c r="BU101" i="278"/>
  <c r="BU104" i="278"/>
  <c r="BU105" i="278"/>
  <c r="BU17" i="328"/>
  <c r="BV51" i="321"/>
  <c r="BV217" i="273"/>
  <c r="BU218" i="273"/>
  <c r="BV230" i="288"/>
  <c r="BV167" i="288"/>
  <c r="BV217" i="288"/>
  <c r="BV218" i="288"/>
  <c r="BV220" i="288"/>
  <c r="BU163" i="278"/>
  <c r="BU164" i="278"/>
  <c r="BU168" i="278"/>
  <c r="CF102" i="314"/>
  <c r="CF78" i="288"/>
  <c r="CF228" i="288"/>
  <c r="CF5" i="265"/>
  <c r="CF5" i="328"/>
  <c r="CF234" i="288"/>
  <c r="CF84" i="288"/>
  <c r="CF5" i="304"/>
  <c r="CF5" i="288"/>
  <c r="CF5" i="286"/>
  <c r="CF5" i="275"/>
  <c r="CF5" i="285"/>
  <c r="CF5" i="314"/>
  <c r="CF5" i="289"/>
  <c r="CF5" i="315"/>
  <c r="CF5" i="273"/>
  <c r="CF5" i="321"/>
  <c r="CF5" i="278"/>
  <c r="CF5" i="282"/>
  <c r="CD181" i="288"/>
  <c r="CD31" i="288"/>
  <c r="BW17" i="278"/>
  <c r="BZ46" i="289"/>
  <c r="BZ15" i="289"/>
  <c r="BZ30" i="289"/>
  <c r="BY20" i="275"/>
  <c r="BZ17" i="275"/>
  <c r="BT223" i="278"/>
  <c r="BT213" i="278"/>
  <c r="BT214" i="278"/>
  <c r="BT218" i="278"/>
  <c r="BT155" i="278"/>
  <c r="BT217" i="278"/>
  <c r="BY262" i="273"/>
  <c r="BY674" i="321"/>
  <c r="BV13" i="315"/>
  <c r="BV13" i="265"/>
  <c r="BW3" i="321"/>
  <c r="BW3" i="275"/>
  <c r="BW3" i="265"/>
  <c r="BW3" i="278"/>
  <c r="BW3" i="285"/>
  <c r="BW3" i="314"/>
  <c r="BW3" i="286"/>
  <c r="BW4" i="328"/>
  <c r="BW3" i="288"/>
  <c r="BW3" i="289"/>
  <c r="BW3" i="273"/>
  <c r="BW47" i="273"/>
  <c r="BW3" i="282"/>
  <c r="BW3" i="315"/>
  <c r="BW3" i="304"/>
  <c r="BV29" i="328"/>
  <c r="BV152" i="278"/>
  <c r="BZ53" i="273"/>
  <c r="BZ75" i="273"/>
  <c r="CA76" i="273"/>
  <c r="BZ195" i="273"/>
  <c r="BZ161" i="278"/>
  <c r="BZ650" i="321"/>
  <c r="BZ598" i="321"/>
  <c r="BZ599" i="321"/>
  <c r="BZ579" i="321"/>
  <c r="BZ211" i="278"/>
  <c r="BZ707" i="321"/>
  <c r="BZ186" i="278"/>
  <c r="BW147" i="278"/>
  <c r="BW149" i="278"/>
  <c r="BY203" i="288"/>
  <c r="BY28" i="288"/>
  <c r="BY53" i="288"/>
  <c r="BY178" i="288"/>
  <c r="BZ54" i="273"/>
  <c r="BZ84" i="273"/>
  <c r="BX63" i="273"/>
  <c r="BX64" i="273"/>
  <c r="BY57" i="273"/>
  <c r="BZ161" i="273"/>
  <c r="BZ151" i="321"/>
  <c r="BS10" i="315"/>
  <c r="BS11" i="315"/>
  <c r="BS10" i="265"/>
  <c r="BS11" i="265"/>
  <c r="BS32" i="328"/>
  <c r="BX131" i="321"/>
  <c r="BX259" i="321"/>
  <c r="BX71" i="321"/>
  <c r="BX277" i="321"/>
  <c r="BY203" i="273"/>
  <c r="BX267" i="321"/>
  <c r="BX213" i="273"/>
  <c r="BX253" i="321"/>
  <c r="BZ566" i="321"/>
  <c r="BZ16" i="288"/>
  <c r="BZ17" i="288"/>
  <c r="BZ623" i="321"/>
  <c r="BZ110" i="286"/>
  <c r="BZ162" i="278"/>
  <c r="BZ268" i="278"/>
  <c r="BZ187" i="278"/>
  <c r="BZ33" i="286"/>
  <c r="BZ109" i="273"/>
  <c r="CA110" i="273"/>
  <c r="BZ212" i="278"/>
  <c r="BZ292" i="278"/>
  <c r="BZ92" i="286"/>
  <c r="BZ11" i="282"/>
  <c r="BZ552" i="321"/>
  <c r="BZ637" i="321"/>
  <c r="BZ15" i="286"/>
  <c r="BW72" i="321"/>
  <c r="BW79" i="321"/>
  <c r="BY105" i="282"/>
  <c r="BY591" i="321"/>
  <c r="BY37" i="282"/>
  <c r="BW218" i="321"/>
  <c r="BW39" i="321"/>
  <c r="BW330" i="321"/>
  <c r="BW11" i="278"/>
  <c r="BZ589" i="321"/>
  <c r="BZ590" i="321"/>
  <c r="BZ259" i="278"/>
  <c r="BZ122" i="273"/>
  <c r="BZ38" i="314"/>
  <c r="BZ55" i="273"/>
  <c r="BZ117" i="314"/>
  <c r="BZ28" i="314"/>
  <c r="BZ261" i="273"/>
  <c r="CA119" i="273"/>
  <c r="CA120" i="273"/>
  <c r="CA123" i="273"/>
  <c r="CA154" i="273"/>
  <c r="CA155" i="273"/>
  <c r="CA2" i="265"/>
  <c r="CA2" i="278"/>
  <c r="CA2" i="315"/>
  <c r="CA38" i="311"/>
  <c r="CA34" i="288"/>
  <c r="CA2" i="304"/>
  <c r="CA158" i="273"/>
  <c r="CA159" i="273"/>
  <c r="CA162" i="273"/>
  <c r="CA194" i="273"/>
  <c r="CA195" i="273"/>
  <c r="CA59" i="288"/>
  <c r="CA2" i="285"/>
  <c r="CA2" i="273"/>
  <c r="CA2" i="314"/>
  <c r="CA2" i="282"/>
  <c r="CA198" i="273"/>
  <c r="CA199" i="273"/>
  <c r="CA202" i="273"/>
  <c r="CA71" i="273"/>
  <c r="CA72" i="273"/>
  <c r="CA3" i="328"/>
  <c r="CA8" i="328"/>
  <c r="CA148" i="288"/>
  <c r="CA209" i="288"/>
  <c r="CA2" i="275"/>
  <c r="CA2" i="288"/>
  <c r="CA258" i="273"/>
  <c r="CA184" i="288"/>
  <c r="CA2" i="321"/>
  <c r="CA49" i="273"/>
  <c r="CA2" i="289"/>
  <c r="CA2" i="286"/>
  <c r="BZ240" i="278"/>
  <c r="BZ56" i="273"/>
  <c r="BZ247" i="278"/>
  <c r="BZ272" i="278"/>
  <c r="BZ118" i="314"/>
  <c r="BZ296" i="278"/>
  <c r="BZ39" i="314"/>
  <c r="BZ19" i="282"/>
  <c r="BZ158" i="314"/>
  <c r="BZ15" i="275"/>
  <c r="BZ79" i="314"/>
  <c r="BZ85" i="273"/>
  <c r="BX16" i="285"/>
  <c r="BX17" i="285"/>
  <c r="BY124" i="273"/>
  <c r="BY658" i="321"/>
  <c r="BY602" i="321"/>
  <c r="BZ237" i="273"/>
  <c r="BW214" i="273"/>
  <c r="BW91" i="278"/>
  <c r="BX551" i="321"/>
  <c r="BX603" i="321"/>
  <c r="BX675" i="321"/>
  <c r="BX617" i="321"/>
  <c r="BX283" i="278"/>
  <c r="BX652" i="321"/>
  <c r="BX694" i="321"/>
  <c r="BX545" i="321"/>
  <c r="BX57" i="314"/>
  <c r="BX17" i="314"/>
  <c r="BX540" i="321"/>
  <c r="BX701" i="321"/>
  <c r="BX702" i="321"/>
  <c r="BX706" i="321"/>
  <c r="BX565" i="321"/>
  <c r="BX238" i="273"/>
  <c r="BX239" i="273"/>
  <c r="BX246" i="278"/>
  <c r="BX636" i="321"/>
  <c r="BX453" i="321"/>
  <c r="BX136" i="314"/>
  <c r="BX63" i="286"/>
  <c r="BX179" i="278"/>
  <c r="BX230" i="278"/>
  <c r="BX573" i="321"/>
  <c r="BX708" i="321"/>
  <c r="BX233" i="273"/>
  <c r="BX234" i="273"/>
  <c r="BX100" i="278"/>
  <c r="BX622" i="321"/>
  <c r="BX16" i="289"/>
  <c r="BX17" i="289"/>
  <c r="BX22" i="289"/>
  <c r="BX319" i="278"/>
  <c r="BX306" i="278"/>
  <c r="BX50" i="314"/>
  <c r="BX239" i="278"/>
  <c r="BX104" i="314"/>
  <c r="BX581" i="321"/>
  <c r="BX148" i="278"/>
  <c r="BX713" i="321"/>
  <c r="BX47" i="289"/>
  <c r="BX48" i="289"/>
  <c r="BX53" i="289"/>
  <c r="BX204" i="278"/>
  <c r="BX644" i="321"/>
  <c r="BX659" i="321"/>
  <c r="BX497" i="321"/>
  <c r="BX31" i="289"/>
  <c r="BX32" i="289"/>
  <c r="BX37" i="289"/>
  <c r="BX129" i="314"/>
  <c r="CC2" i="328"/>
  <c r="BV97" i="278"/>
  <c r="CA36" i="289"/>
  <c r="BZ262" i="273"/>
  <c r="BZ674" i="321"/>
  <c r="BZ4" i="288"/>
  <c r="BZ4" i="285"/>
  <c r="BZ4" i="315"/>
  <c r="BZ11" i="328"/>
  <c r="BZ4" i="278"/>
  <c r="BZ4" i="286"/>
  <c r="BZ4" i="304"/>
  <c r="BZ4" i="321"/>
  <c r="BZ4" i="273"/>
  <c r="BZ4" i="282"/>
  <c r="BZ4" i="289"/>
  <c r="BZ4" i="314"/>
  <c r="BZ4" i="275"/>
  <c r="BW113" i="282"/>
  <c r="BW153" i="282"/>
  <c r="BW45" i="282"/>
  <c r="BW85" i="282"/>
  <c r="BW18" i="285"/>
  <c r="BW26" i="285"/>
  <c r="BX59" i="315"/>
  <c r="BX24" i="265"/>
  <c r="BX22" i="315"/>
  <c r="BX61" i="265"/>
  <c r="BV153" i="278"/>
  <c r="BV30" i="328"/>
  <c r="BY163" i="273"/>
  <c r="BX130" i="321"/>
  <c r="BX212" i="273"/>
  <c r="BX141" i="321"/>
  <c r="BX70" i="321"/>
  <c r="BX155" i="321"/>
  <c r="BX147" i="321"/>
  <c r="BX165" i="321"/>
  <c r="BW90" i="278"/>
  <c r="BV92" i="278"/>
  <c r="AF228" i="278"/>
  <c r="AF216" i="278"/>
  <c r="AF219" i="278"/>
  <c r="BY111" i="314"/>
  <c r="BY44" i="314"/>
  <c r="AS9" i="310"/>
  <c r="AS283" i="307"/>
  <c r="S318" i="278"/>
  <c r="S320" i="278"/>
  <c r="S321" i="278"/>
  <c r="S326" i="278"/>
  <c r="AE238" i="278"/>
  <c r="AE282" i="278"/>
  <c r="AE245" i="278"/>
  <c r="R106" i="315"/>
  <c r="R110" i="265"/>
  <c r="S309" i="278"/>
  <c r="W23" i="285"/>
  <c r="W27" i="285"/>
  <c r="V98" i="315"/>
  <c r="V102" i="265"/>
  <c r="BY89" i="314"/>
  <c r="BY36" i="285"/>
  <c r="BY123" i="314"/>
  <c r="BZ86" i="273"/>
  <c r="BY11" i="321"/>
  <c r="BY40" i="321"/>
  <c r="BY41" i="321"/>
  <c r="BY44" i="321"/>
  <c r="BY172" i="314"/>
  <c r="BZ263" i="273"/>
  <c r="BW92" i="278"/>
  <c r="BW18" i="328"/>
  <c r="BU217" i="278"/>
  <c r="BU155" i="278"/>
  <c r="BU213" i="278"/>
  <c r="BU214" i="278"/>
  <c r="BU218" i="278"/>
  <c r="CG102" i="314"/>
  <c r="CG84" i="288"/>
  <c r="CG5" i="328"/>
  <c r="CG234" i="288"/>
  <c r="CG5" i="265"/>
  <c r="CG78" i="288"/>
  <c r="CG228" i="288"/>
  <c r="CG5" i="321"/>
  <c r="CG5" i="289"/>
  <c r="CG5" i="314"/>
  <c r="CG5" i="288"/>
  <c r="CG5" i="285"/>
  <c r="CG5" i="286"/>
  <c r="CG5" i="304"/>
  <c r="CG5" i="275"/>
  <c r="CG5" i="282"/>
  <c r="CG5" i="278"/>
  <c r="CG5" i="273"/>
  <c r="CG5" i="315"/>
  <c r="BU167" i="278"/>
  <c r="BU272" i="288"/>
  <c r="BU122" i="288"/>
  <c r="BU114" i="288"/>
  <c r="BU264" i="288"/>
  <c r="BU188" i="278"/>
  <c r="BU189" i="278"/>
  <c r="BU193" i="278"/>
  <c r="BU9" i="315"/>
  <c r="BU192" i="278"/>
  <c r="BU197" i="278"/>
  <c r="BX72" i="321"/>
  <c r="BX79" i="321"/>
  <c r="CE181" i="288"/>
  <c r="CE31" i="288"/>
  <c r="BU172" i="278"/>
  <c r="BX214" i="273"/>
  <c r="BX51" i="321"/>
  <c r="BU27" i="328"/>
  <c r="CF38" i="289"/>
  <c r="CF133" i="288"/>
  <c r="CF136" i="288"/>
  <c r="CF138" i="288"/>
  <c r="CF140" i="288"/>
  <c r="CF145" i="288"/>
  <c r="CF23" i="288"/>
  <c r="CF25" i="288"/>
  <c r="BX709" i="321"/>
  <c r="BX711" i="321"/>
  <c r="BZ20" i="275"/>
  <c r="CA17" i="275"/>
  <c r="BX17" i="278"/>
  <c r="CA161" i="273"/>
  <c r="CA151" i="321"/>
  <c r="CA53" i="273"/>
  <c r="CA75" i="273"/>
  <c r="CB76" i="273"/>
  <c r="BW13" i="265"/>
  <c r="BW13" i="315"/>
  <c r="CD2" i="328"/>
  <c r="CD10" i="289"/>
  <c r="BY179" i="278"/>
  <c r="BY573" i="321"/>
  <c r="BY148" i="278"/>
  <c r="BY713" i="321"/>
  <c r="BY233" i="273"/>
  <c r="BY234" i="273"/>
  <c r="BY100" i="278"/>
  <c r="BY652" i="321"/>
  <c r="BY453" i="321"/>
  <c r="BY57" i="314"/>
  <c r="BY129" i="314"/>
  <c r="BY239" i="278"/>
  <c r="BY581" i="321"/>
  <c r="BY603" i="321"/>
  <c r="BY675" i="321"/>
  <c r="BY246" i="278"/>
  <c r="BY204" i="278"/>
  <c r="BY636" i="321"/>
  <c r="BY319" i="278"/>
  <c r="BY545" i="321"/>
  <c r="BY306" i="278"/>
  <c r="BY17" i="314"/>
  <c r="BY230" i="278"/>
  <c r="BY701" i="321"/>
  <c r="BY702" i="321"/>
  <c r="BY706" i="321"/>
  <c r="BY551" i="321"/>
  <c r="BY565" i="321"/>
  <c r="BY622" i="321"/>
  <c r="BY283" i="278"/>
  <c r="BY659" i="321"/>
  <c r="BY497" i="321"/>
  <c r="BY63" i="286"/>
  <c r="BY50" i="314"/>
  <c r="BY540" i="321"/>
  <c r="BY708" i="321"/>
  <c r="BY104" i="314"/>
  <c r="BY617" i="321"/>
  <c r="BY238" i="273"/>
  <c r="BY239" i="273"/>
  <c r="BY644" i="321"/>
  <c r="BY694" i="321"/>
  <c r="BY31" i="289"/>
  <c r="BY32" i="289"/>
  <c r="BY37" i="289"/>
  <c r="BY39" i="289"/>
  <c r="BZ39" i="289"/>
  <c r="BY136" i="314"/>
  <c r="BX91" i="278"/>
  <c r="BX90" i="278"/>
  <c r="BZ105" i="282"/>
  <c r="BZ591" i="321"/>
  <c r="BZ37" i="282"/>
  <c r="BY24" i="265"/>
  <c r="BY61" i="265"/>
  <c r="BY22" i="315"/>
  <c r="BY59" i="315"/>
  <c r="BY213" i="273"/>
  <c r="BY277" i="321"/>
  <c r="BY131" i="321"/>
  <c r="BY259" i="321"/>
  <c r="BY71" i="321"/>
  <c r="BY267" i="321"/>
  <c r="BY253" i="321"/>
  <c r="BX147" i="278"/>
  <c r="BX149" i="278"/>
  <c r="CA201" i="273"/>
  <c r="CA263" i="321"/>
  <c r="BV154" i="278"/>
  <c r="BW51" i="321"/>
  <c r="BW241" i="288"/>
  <c r="BW242" i="288"/>
  <c r="BW244" i="288"/>
  <c r="BW109" i="288"/>
  <c r="BW80" i="288"/>
  <c r="BW45" i="321"/>
  <c r="BW46" i="321"/>
  <c r="BW48" i="321"/>
  <c r="BW236" i="288"/>
  <c r="BW161" i="288"/>
  <c r="BW162" i="288"/>
  <c r="BW171" i="288"/>
  <c r="BW67" i="288"/>
  <c r="BW68" i="288"/>
  <c r="BW167" i="288"/>
  <c r="BW217" i="273"/>
  <c r="BV218" i="273"/>
  <c r="BW91" i="288"/>
  <c r="BW217" i="288"/>
  <c r="BW218" i="288"/>
  <c r="BW220" i="288"/>
  <c r="BW230" i="288"/>
  <c r="BW259" i="288"/>
  <c r="BW86" i="288"/>
  <c r="CA4" i="286"/>
  <c r="CA4" i="304"/>
  <c r="CA4" i="314"/>
  <c r="CA4" i="315"/>
  <c r="CA4" i="289"/>
  <c r="CA4" i="282"/>
  <c r="CA11" i="328"/>
  <c r="CA4" i="275"/>
  <c r="CA4" i="273"/>
  <c r="CA4" i="278"/>
  <c r="CA4" i="285"/>
  <c r="CA4" i="288"/>
  <c r="CA4" i="321"/>
  <c r="BZ124" i="273"/>
  <c r="BY16" i="285"/>
  <c r="BY17" i="285"/>
  <c r="CA237" i="273"/>
  <c r="CB11" i="289"/>
  <c r="CB12" i="289"/>
  <c r="CB36" i="289"/>
  <c r="BY63" i="273"/>
  <c r="BY64" i="273"/>
  <c r="BZ57" i="273"/>
  <c r="BV17" i="328"/>
  <c r="BZ201" i="273"/>
  <c r="BZ203" i="273"/>
  <c r="BZ263" i="321"/>
  <c r="BV98" i="278"/>
  <c r="BV18" i="328"/>
  <c r="BW97" i="278"/>
  <c r="BY147" i="321"/>
  <c r="BY155" i="321"/>
  <c r="BY70" i="321"/>
  <c r="BY165" i="321"/>
  <c r="BY130" i="321"/>
  <c r="BZ163" i="273"/>
  <c r="BY212" i="273"/>
  <c r="BY141" i="321"/>
  <c r="BV101" i="278"/>
  <c r="BV104" i="278"/>
  <c r="BV105" i="278"/>
  <c r="BX113" i="282"/>
  <c r="BX153" i="282"/>
  <c r="BX85" i="282"/>
  <c r="BX45" i="282"/>
  <c r="BX18" i="285"/>
  <c r="BX26" i="285"/>
  <c r="CA28" i="314"/>
  <c r="CA55" i="273"/>
  <c r="CA261" i="273"/>
  <c r="CA259" i="278"/>
  <c r="CA122" i="273"/>
  <c r="CA38" i="314"/>
  <c r="CA589" i="321"/>
  <c r="CA590" i="321"/>
  <c r="CA117" i="314"/>
  <c r="CA259" i="273"/>
  <c r="CA707" i="321"/>
  <c r="CA211" i="278"/>
  <c r="CA161" i="278"/>
  <c r="CA650" i="321"/>
  <c r="CA598" i="321"/>
  <c r="CA599" i="321"/>
  <c r="CA186" i="278"/>
  <c r="CA579" i="321"/>
  <c r="CB198" i="273"/>
  <c r="CB199" i="273"/>
  <c r="CB202" i="273"/>
  <c r="CB34" i="288"/>
  <c r="CB2" i="285"/>
  <c r="CB2" i="278"/>
  <c r="CB2" i="288"/>
  <c r="CB2" i="314"/>
  <c r="CB258" i="273"/>
  <c r="CB259" i="273"/>
  <c r="CB2" i="321"/>
  <c r="CB2" i="289"/>
  <c r="CB49" i="273"/>
  <c r="CB2" i="275"/>
  <c r="CB119" i="273"/>
  <c r="CB120" i="273"/>
  <c r="CB123" i="273"/>
  <c r="CB2" i="265"/>
  <c r="CB209" i="288"/>
  <c r="CB184" i="288"/>
  <c r="CB2" i="282"/>
  <c r="CB71" i="273"/>
  <c r="CB154" i="273"/>
  <c r="CB155" i="273"/>
  <c r="CB3" i="328"/>
  <c r="CB8" i="328"/>
  <c r="CB2" i="286"/>
  <c r="CB148" i="288"/>
  <c r="CB2" i="315"/>
  <c r="CB2" i="304"/>
  <c r="CB38" i="311"/>
  <c r="CB158" i="273"/>
  <c r="CB159" i="273"/>
  <c r="CB162" i="273"/>
  <c r="CB194" i="273"/>
  <c r="CB195" i="273"/>
  <c r="CB59" i="288"/>
  <c r="CB2" i="273"/>
  <c r="BZ203" i="288"/>
  <c r="BZ53" i="288"/>
  <c r="BZ178" i="288"/>
  <c r="BZ28" i="288"/>
  <c r="BX4" i="328"/>
  <c r="BX47" i="273"/>
  <c r="BX3" i="304"/>
  <c r="BX3" i="289"/>
  <c r="BX3" i="278"/>
  <c r="BX3" i="285"/>
  <c r="BX3" i="273"/>
  <c r="BX3" i="288"/>
  <c r="BX3" i="282"/>
  <c r="BX3" i="275"/>
  <c r="BX3" i="314"/>
  <c r="BX3" i="315"/>
  <c r="BX3" i="286"/>
  <c r="BX3" i="265"/>
  <c r="BX3" i="321"/>
  <c r="BW30" i="328"/>
  <c r="BW153" i="278"/>
  <c r="CA54" i="273"/>
  <c r="CA84" i="273"/>
  <c r="BT10" i="265"/>
  <c r="BT11" i="265"/>
  <c r="BT32" i="328"/>
  <c r="BT10" i="315"/>
  <c r="BT11" i="315"/>
  <c r="CA30" i="289"/>
  <c r="BX330" i="321"/>
  <c r="BX11" i="278"/>
  <c r="BX39" i="321"/>
  <c r="BX218" i="321"/>
  <c r="CA268" i="278"/>
  <c r="CA552" i="321"/>
  <c r="CA292" i="278"/>
  <c r="CA33" i="286"/>
  <c r="CA566" i="321"/>
  <c r="CA162" i="278"/>
  <c r="CA637" i="321"/>
  <c r="CA110" i="286"/>
  <c r="CA16" i="288"/>
  <c r="CA17" i="288"/>
  <c r="CA109" i="273"/>
  <c r="CB110" i="273"/>
  <c r="CA623" i="321"/>
  <c r="CA15" i="286"/>
  <c r="CA11" i="282"/>
  <c r="CA212" i="278"/>
  <c r="CA187" i="278"/>
  <c r="CA92" i="286"/>
  <c r="CA56" i="273"/>
  <c r="CA240" i="278"/>
  <c r="CA247" i="278"/>
  <c r="BW152" i="278"/>
  <c r="BW29" i="328"/>
  <c r="BZ658" i="321"/>
  <c r="BZ602" i="321"/>
  <c r="BZ36" i="285"/>
  <c r="X23" i="285"/>
  <c r="X27" i="285"/>
  <c r="W102" i="265"/>
  <c r="W98" i="315"/>
  <c r="S312" i="278"/>
  <c r="S305" i="278"/>
  <c r="S307" i="278"/>
  <c r="T323" i="278"/>
  <c r="S117" i="265"/>
  <c r="S113" i="315"/>
  <c r="S43" i="315"/>
  <c r="S45" i="265"/>
  <c r="AF224" i="278"/>
  <c r="AF225" i="278"/>
  <c r="AF220" i="278"/>
  <c r="CA263" i="273"/>
  <c r="CA86" i="273"/>
  <c r="BW17" i="328"/>
  <c r="BX67" i="288"/>
  <c r="BX68" i="288"/>
  <c r="BX57" i="328"/>
  <c r="BX217" i="288"/>
  <c r="BX218" i="288"/>
  <c r="BX220" i="288"/>
  <c r="BW98" i="278"/>
  <c r="BW101" i="278"/>
  <c r="BW104" i="278"/>
  <c r="BW105" i="278"/>
  <c r="BX167" i="288"/>
  <c r="BX230" i="288"/>
  <c r="BZ44" i="314"/>
  <c r="BW154" i="278"/>
  <c r="BW213" i="278"/>
  <c r="BW214" i="278"/>
  <c r="BW218" i="278"/>
  <c r="BX161" i="288"/>
  <c r="BX162" i="288"/>
  <c r="BX171" i="288"/>
  <c r="BX241" i="288"/>
  <c r="BX242" i="288"/>
  <c r="BX244" i="288"/>
  <c r="BY214" i="273"/>
  <c r="BY51" i="321"/>
  <c r="BX91" i="288"/>
  <c r="BU10" i="265"/>
  <c r="BU11" i="265"/>
  <c r="BU32" i="328"/>
  <c r="BU10" i="315"/>
  <c r="BU11" i="315"/>
  <c r="BX80" i="288"/>
  <c r="BX45" i="321"/>
  <c r="BX46" i="321"/>
  <c r="BX48" i="321"/>
  <c r="BX217" i="273"/>
  <c r="BW218" i="273"/>
  <c r="BW122" i="288"/>
  <c r="BX109" i="288"/>
  <c r="CF181" i="288"/>
  <c r="CF31" i="288"/>
  <c r="CH102" i="314"/>
  <c r="CH5" i="328"/>
  <c r="CH228" i="288"/>
  <c r="CH84" i="288"/>
  <c r="CH234" i="288"/>
  <c r="CH5" i="265"/>
  <c r="CH78" i="288"/>
  <c r="CH5" i="321"/>
  <c r="CH5" i="282"/>
  <c r="CH5" i="285"/>
  <c r="CH5" i="286"/>
  <c r="CH5" i="278"/>
  <c r="CH5" i="315"/>
  <c r="CH5" i="289"/>
  <c r="CH5" i="314"/>
  <c r="CH5" i="288"/>
  <c r="CH5" i="275"/>
  <c r="CH5" i="304"/>
  <c r="CH5" i="273"/>
  <c r="BY72" i="321"/>
  <c r="BY79" i="321"/>
  <c r="BX259" i="288"/>
  <c r="BX236" i="288"/>
  <c r="BX86" i="288"/>
  <c r="CG133" i="288"/>
  <c r="CG136" i="288"/>
  <c r="CG138" i="288"/>
  <c r="CG140" i="288"/>
  <c r="CG145" i="288"/>
  <c r="CG38" i="289"/>
  <c r="CG23" i="288"/>
  <c r="CG25" i="288"/>
  <c r="BX97" i="278"/>
  <c r="BY17" i="278"/>
  <c r="CB161" i="273"/>
  <c r="CB151" i="321"/>
  <c r="CA674" i="321"/>
  <c r="CA262" i="273"/>
  <c r="CB46" i="289"/>
  <c r="CB30" i="289"/>
  <c r="CB15" i="289"/>
  <c r="CA124" i="273"/>
  <c r="BZ16" i="285"/>
  <c r="BZ17" i="285"/>
  <c r="BZ40" i="321"/>
  <c r="BZ41" i="321"/>
  <c r="BZ44" i="321"/>
  <c r="BZ24" i="314"/>
  <c r="CA272" i="278"/>
  <c r="CA85" i="273"/>
  <c r="CA79" i="314"/>
  <c r="CA39" i="314"/>
  <c r="CA296" i="278"/>
  <c r="CA118" i="314"/>
  <c r="CA19" i="282"/>
  <c r="CA158" i="314"/>
  <c r="CA15" i="275"/>
  <c r="CA20" i="275"/>
  <c r="CB17" i="275"/>
  <c r="CB240" i="278"/>
  <c r="CB247" i="278"/>
  <c r="CB56" i="273"/>
  <c r="CC198" i="273"/>
  <c r="CC199" i="273"/>
  <c r="CC202" i="273"/>
  <c r="CC71" i="273"/>
  <c r="CC2" i="286"/>
  <c r="CC34" i="288"/>
  <c r="CC49" i="273"/>
  <c r="CC2" i="314"/>
  <c r="CC2" i="273"/>
  <c r="CC119" i="273"/>
  <c r="CC120" i="273"/>
  <c r="CC123" i="273"/>
  <c r="CC154" i="273"/>
  <c r="CC2" i="265"/>
  <c r="CC2" i="315"/>
  <c r="CC38" i="311"/>
  <c r="CC184" i="288"/>
  <c r="CC2" i="321"/>
  <c r="CC2" i="304"/>
  <c r="CC258" i="273"/>
  <c r="CC259" i="273"/>
  <c r="CC194" i="273"/>
  <c r="CC148" i="288"/>
  <c r="CC3" i="328"/>
  <c r="CC8" i="328"/>
  <c r="CC209" i="288"/>
  <c r="CC2" i="288"/>
  <c r="CC158" i="273"/>
  <c r="CC159" i="273"/>
  <c r="CC162" i="273"/>
  <c r="CC59" i="288"/>
  <c r="CC2" i="282"/>
  <c r="CC2" i="275"/>
  <c r="CC2" i="278"/>
  <c r="CC2" i="289"/>
  <c r="CC2" i="285"/>
  <c r="CB707" i="321"/>
  <c r="CB579" i="321"/>
  <c r="CB161" i="278"/>
  <c r="CB650" i="321"/>
  <c r="CB598" i="321"/>
  <c r="CB599" i="321"/>
  <c r="CB186" i="278"/>
  <c r="CB211" i="278"/>
  <c r="CA602" i="321"/>
  <c r="CA658" i="321"/>
  <c r="CB674" i="321"/>
  <c r="CB262" i="273"/>
  <c r="BX13" i="265"/>
  <c r="BX13" i="315"/>
  <c r="CA163" i="273"/>
  <c r="BZ130" i="321"/>
  <c r="BZ212" i="273"/>
  <c r="BZ141" i="321"/>
  <c r="BZ147" i="321"/>
  <c r="BZ155" i="321"/>
  <c r="BZ70" i="321"/>
  <c r="BZ165" i="321"/>
  <c r="BY153" i="282"/>
  <c r="BY85" i="282"/>
  <c r="BY45" i="282"/>
  <c r="BY113" i="282"/>
  <c r="BY18" i="285"/>
  <c r="BY26" i="285"/>
  <c r="BZ17" i="314"/>
  <c r="BZ573" i="321"/>
  <c r="BZ708" i="321"/>
  <c r="BZ540" i="321"/>
  <c r="BZ617" i="321"/>
  <c r="BZ644" i="321"/>
  <c r="BZ100" i="278"/>
  <c r="BZ694" i="321"/>
  <c r="BZ31" i="289"/>
  <c r="BZ32" i="289"/>
  <c r="BZ37" i="289"/>
  <c r="BZ47" i="289"/>
  <c r="BZ48" i="289"/>
  <c r="BZ53" i="289"/>
  <c r="BZ136" i="314"/>
  <c r="BZ230" i="278"/>
  <c r="BZ581" i="321"/>
  <c r="BZ148" i="278"/>
  <c r="BZ713" i="321"/>
  <c r="BZ179" i="278"/>
  <c r="BZ246" i="278"/>
  <c r="BZ652" i="321"/>
  <c r="BZ204" i="278"/>
  <c r="BZ497" i="321"/>
  <c r="BZ50" i="314"/>
  <c r="BZ545" i="321"/>
  <c r="BZ129" i="314"/>
  <c r="BZ551" i="321"/>
  <c r="BZ603" i="321"/>
  <c r="BZ675" i="321"/>
  <c r="BZ239" i="278"/>
  <c r="BZ622" i="321"/>
  <c r="BZ636" i="321"/>
  <c r="BZ283" i="278"/>
  <c r="BZ453" i="321"/>
  <c r="BZ306" i="278"/>
  <c r="BZ63" i="286"/>
  <c r="BZ701" i="321"/>
  <c r="BZ702" i="321"/>
  <c r="BZ706" i="321"/>
  <c r="BZ565" i="321"/>
  <c r="BZ104" i="314"/>
  <c r="BZ233" i="273"/>
  <c r="BZ234" i="273"/>
  <c r="BZ238" i="273"/>
  <c r="BZ239" i="273"/>
  <c r="BZ659" i="321"/>
  <c r="BZ319" i="278"/>
  <c r="BZ57" i="314"/>
  <c r="BZ16" i="289"/>
  <c r="BZ17" i="289"/>
  <c r="BZ22" i="289"/>
  <c r="CC36" i="289"/>
  <c r="BV9" i="315"/>
  <c r="BV192" i="278"/>
  <c r="BV197" i="278"/>
  <c r="BV188" i="278"/>
  <c r="BV189" i="278"/>
  <c r="BV193" i="278"/>
  <c r="BV264" i="288"/>
  <c r="BV272" i="288"/>
  <c r="BV122" i="288"/>
  <c r="BV114" i="288"/>
  <c r="BY90" i="278"/>
  <c r="CE2" i="328"/>
  <c r="BZ172" i="314"/>
  <c r="CB72" i="273"/>
  <c r="CA57" i="273"/>
  <c r="BZ63" i="273"/>
  <c r="BZ64" i="273"/>
  <c r="CB4" i="282"/>
  <c r="CB4" i="289"/>
  <c r="CB4" i="278"/>
  <c r="CB4" i="288"/>
  <c r="CB4" i="273"/>
  <c r="CB4" i="315"/>
  <c r="CB4" i="275"/>
  <c r="CB4" i="285"/>
  <c r="CB11" i="328"/>
  <c r="CB4" i="314"/>
  <c r="CB4" i="304"/>
  <c r="CB4" i="286"/>
  <c r="CB4" i="321"/>
  <c r="BX29" i="328"/>
  <c r="BX152" i="278"/>
  <c r="CA203" i="273"/>
  <c r="BZ277" i="321"/>
  <c r="BZ213" i="273"/>
  <c r="BZ253" i="321"/>
  <c r="BZ259" i="321"/>
  <c r="BZ131" i="321"/>
  <c r="BZ267" i="321"/>
  <c r="BZ71" i="321"/>
  <c r="BZ61" i="265"/>
  <c r="BZ24" i="265"/>
  <c r="BZ22" i="315"/>
  <c r="BZ59" i="315"/>
  <c r="BY147" i="278"/>
  <c r="BY149" i="278"/>
  <c r="CB84" i="273"/>
  <c r="CB54" i="273"/>
  <c r="CB201" i="273"/>
  <c r="CB263" i="321"/>
  <c r="CA28" i="288"/>
  <c r="CA178" i="288"/>
  <c r="CA203" i="288"/>
  <c r="CA53" i="288"/>
  <c r="CB237" i="273"/>
  <c r="BV163" i="278"/>
  <c r="BV164" i="278"/>
  <c r="BV168" i="278"/>
  <c r="BV172" i="278"/>
  <c r="BV167" i="278"/>
  <c r="BV27" i="328"/>
  <c r="BZ89" i="314"/>
  <c r="CB11" i="282"/>
  <c r="CB16" i="288"/>
  <c r="CB17" i="288"/>
  <c r="CB637" i="321"/>
  <c r="CB33" i="286"/>
  <c r="CB566" i="321"/>
  <c r="CB162" i="278"/>
  <c r="CB187" i="278"/>
  <c r="CB92" i="286"/>
  <c r="CB212" i="278"/>
  <c r="CB109" i="273"/>
  <c r="CC110" i="273"/>
  <c r="CB292" i="278"/>
  <c r="CB15" i="286"/>
  <c r="CB552" i="321"/>
  <c r="CB268" i="278"/>
  <c r="CB623" i="321"/>
  <c r="CB110" i="286"/>
  <c r="CA105" i="282"/>
  <c r="CA591" i="321"/>
  <c r="CA37" i="282"/>
  <c r="BY3" i="275"/>
  <c r="BY3" i="273"/>
  <c r="BY3" i="288"/>
  <c r="BY3" i="285"/>
  <c r="BY3" i="304"/>
  <c r="BY3" i="321"/>
  <c r="BY3" i="314"/>
  <c r="BY47" i="273"/>
  <c r="BY4" i="328"/>
  <c r="BY3" i="289"/>
  <c r="BY3" i="282"/>
  <c r="BY3" i="315"/>
  <c r="BY3" i="265"/>
  <c r="BY3" i="286"/>
  <c r="BY3" i="278"/>
  <c r="BW57" i="328"/>
  <c r="BW70" i="288"/>
  <c r="BV223" i="278"/>
  <c r="BV213" i="278"/>
  <c r="BV214" i="278"/>
  <c r="BV218" i="278"/>
  <c r="BV217" i="278"/>
  <c r="BV155" i="278"/>
  <c r="BX153" i="278"/>
  <c r="BX30" i="328"/>
  <c r="BX92" i="278"/>
  <c r="BY330" i="321"/>
  <c r="BY218" i="321"/>
  <c r="BY39" i="321"/>
  <c r="BY11" i="278"/>
  <c r="BY709" i="321"/>
  <c r="BY711" i="321"/>
  <c r="BY91" i="278"/>
  <c r="BZ123" i="314"/>
  <c r="BZ111" i="314"/>
  <c r="BZ11" i="321"/>
  <c r="Y23" i="285"/>
  <c r="Y27" i="285"/>
  <c r="X98" i="315"/>
  <c r="X102" i="265"/>
  <c r="T326" i="278"/>
  <c r="T318" i="278"/>
  <c r="T320" i="278"/>
  <c r="T321" i="278"/>
  <c r="AT9" i="310"/>
  <c r="AT283" i="307"/>
  <c r="S106" i="315"/>
  <c r="S110" i="265"/>
  <c r="T309" i="278"/>
  <c r="AF44" i="265"/>
  <c r="AF42" i="315"/>
  <c r="AG222" i="278"/>
  <c r="AF229" i="278"/>
  <c r="AF231" i="278"/>
  <c r="AF116" i="265"/>
  <c r="AF254" i="278"/>
  <c r="AF112" i="315"/>
  <c r="BY241" i="288"/>
  <c r="BY242" i="288"/>
  <c r="BY244" i="288"/>
  <c r="BY167" i="288"/>
  <c r="BY80" i="288"/>
  <c r="BY67" i="288"/>
  <c r="BY68" i="288"/>
  <c r="BY57" i="328"/>
  <c r="BW155" i="278"/>
  <c r="BW10" i="265"/>
  <c r="BY259" i="288"/>
  <c r="BY109" i="288"/>
  <c r="BY217" i="273"/>
  <c r="BX218" i="273"/>
  <c r="BX122" i="288"/>
  <c r="BW223" i="278"/>
  <c r="BY230" i="288"/>
  <c r="BY45" i="321"/>
  <c r="BY46" i="321"/>
  <c r="BY48" i="321"/>
  <c r="BY217" i="288"/>
  <c r="BY218" i="288"/>
  <c r="BY220" i="288"/>
  <c r="BY161" i="288"/>
  <c r="BY162" i="288"/>
  <c r="BY171" i="288"/>
  <c r="BW217" i="278"/>
  <c r="BX70" i="288"/>
  <c r="BY86" i="288"/>
  <c r="BY236" i="288"/>
  <c r="BY91" i="288"/>
  <c r="CB86" i="273"/>
  <c r="BW114" i="288"/>
  <c r="BW264" i="288"/>
  <c r="BW272" i="288"/>
  <c r="CG181" i="288"/>
  <c r="CG31" i="288"/>
  <c r="CH38" i="289"/>
  <c r="CH23" i="288"/>
  <c r="CH25" i="288"/>
  <c r="CH133" i="288"/>
  <c r="CH136" i="288"/>
  <c r="CH138" i="288"/>
  <c r="CH140" i="288"/>
  <c r="CH145" i="288"/>
  <c r="CI102" i="314"/>
  <c r="CI228" i="288"/>
  <c r="CI78" i="288"/>
  <c r="CI84" i="288"/>
  <c r="CI5" i="328"/>
  <c r="CI234" i="288"/>
  <c r="CI5" i="265"/>
  <c r="CI5" i="321"/>
  <c r="CI5" i="278"/>
  <c r="CI5" i="304"/>
  <c r="CI5" i="289"/>
  <c r="CI5" i="282"/>
  <c r="CI5" i="288"/>
  <c r="CI5" i="286"/>
  <c r="CI5" i="315"/>
  <c r="CI5" i="273"/>
  <c r="CI5" i="285"/>
  <c r="CI5" i="314"/>
  <c r="CI5" i="275"/>
  <c r="BZ709" i="321"/>
  <c r="BZ711" i="321"/>
  <c r="BZ17" i="278"/>
  <c r="CD158" i="273"/>
  <c r="CD159" i="273"/>
  <c r="CD162" i="273"/>
  <c r="CD119" i="273"/>
  <c r="CD120" i="273"/>
  <c r="CD123" i="273"/>
  <c r="CD59" i="288"/>
  <c r="CD2" i="288"/>
  <c r="CD2" i="289"/>
  <c r="CD209" i="288"/>
  <c r="CD2" i="286"/>
  <c r="CD198" i="273"/>
  <c r="CD199" i="273"/>
  <c r="CD202" i="273"/>
  <c r="CD2" i="273"/>
  <c r="CD184" i="288"/>
  <c r="CD34" i="288"/>
  <c r="CD2" i="314"/>
  <c r="CD2" i="275"/>
  <c r="CD71" i="273"/>
  <c r="CD72" i="273"/>
  <c r="CD154" i="273"/>
  <c r="CD2" i="265"/>
  <c r="CD2" i="315"/>
  <c r="CD148" i="288"/>
  <c r="CD2" i="321"/>
  <c r="CD49" i="273"/>
  <c r="CD2" i="285"/>
  <c r="CD258" i="273"/>
  <c r="CD259" i="273"/>
  <c r="CD194" i="273"/>
  <c r="CD195" i="273"/>
  <c r="CD3" i="328"/>
  <c r="CD8" i="328"/>
  <c r="CD2" i="282"/>
  <c r="CD2" i="278"/>
  <c r="CD38" i="311"/>
  <c r="CD2" i="304"/>
  <c r="BX98" i="278"/>
  <c r="BX101" i="278"/>
  <c r="BX104" i="278"/>
  <c r="BX105" i="278"/>
  <c r="BX18" i="328"/>
  <c r="BW163" i="278"/>
  <c r="BW164" i="278"/>
  <c r="BW168" i="278"/>
  <c r="BW167" i="278"/>
  <c r="BW27" i="328"/>
  <c r="BW172" i="278"/>
  <c r="CC262" i="273"/>
  <c r="CC674" i="321"/>
  <c r="CC4" i="273"/>
  <c r="CC4" i="314"/>
  <c r="CC4" i="278"/>
  <c r="CC4" i="282"/>
  <c r="CC4" i="289"/>
  <c r="CC4" i="315"/>
  <c r="CC4" i="275"/>
  <c r="CC4" i="286"/>
  <c r="CC4" i="285"/>
  <c r="CC11" i="328"/>
  <c r="CC4" i="321"/>
  <c r="CC4" i="288"/>
  <c r="CC4" i="304"/>
  <c r="BZ147" i="278"/>
  <c r="BZ149" i="278"/>
  <c r="CA63" i="273"/>
  <c r="CA64" i="273"/>
  <c r="CB75" i="273"/>
  <c r="CC76" i="273"/>
  <c r="CB53" i="273"/>
  <c r="CF2" i="328"/>
  <c r="CF10" i="289"/>
  <c r="BZ39" i="321"/>
  <c r="BZ11" i="278"/>
  <c r="BZ218" i="321"/>
  <c r="BZ330" i="321"/>
  <c r="CA104" i="314"/>
  <c r="CA701" i="321"/>
  <c r="CA702" i="321"/>
  <c r="CA706" i="321"/>
  <c r="CA551" i="321"/>
  <c r="CA179" i="278"/>
  <c r="CA283" i="278"/>
  <c r="CA622" i="321"/>
  <c r="CA636" i="321"/>
  <c r="CA306" i="278"/>
  <c r="CA136" i="314"/>
  <c r="CA545" i="321"/>
  <c r="CA713" i="321"/>
  <c r="CA100" i="278"/>
  <c r="CA694" i="321"/>
  <c r="CA573" i="321"/>
  <c r="CA708" i="321"/>
  <c r="CA239" i="278"/>
  <c r="CA617" i="321"/>
  <c r="CA238" i="273"/>
  <c r="CA239" i="273"/>
  <c r="CA659" i="321"/>
  <c r="CA453" i="321"/>
  <c r="CA63" i="286"/>
  <c r="CA129" i="314"/>
  <c r="CA581" i="321"/>
  <c r="CA233" i="273"/>
  <c r="CA234" i="273"/>
  <c r="CA319" i="278"/>
  <c r="CA230" i="278"/>
  <c r="CA603" i="321"/>
  <c r="CA675" i="321"/>
  <c r="CA565" i="321"/>
  <c r="CA540" i="321"/>
  <c r="CA204" i="278"/>
  <c r="CA246" i="278"/>
  <c r="CA652" i="321"/>
  <c r="CA497" i="321"/>
  <c r="CA57" i="314"/>
  <c r="CA50" i="314"/>
  <c r="CA17" i="314"/>
  <c r="CA148" i="278"/>
  <c r="CA644" i="321"/>
  <c r="CA31" i="289"/>
  <c r="CA32" i="289"/>
  <c r="CA37" i="289"/>
  <c r="CA39" i="289"/>
  <c r="CB39" i="289"/>
  <c r="BZ72" i="321"/>
  <c r="BZ79" i="321"/>
  <c r="BZ214" i="273"/>
  <c r="CA24" i="265"/>
  <c r="CA22" i="315"/>
  <c r="CA61" i="265"/>
  <c r="CA59" i="315"/>
  <c r="BY153" i="278"/>
  <c r="BY30" i="328"/>
  <c r="BW188" i="278"/>
  <c r="BW189" i="278"/>
  <c r="BW193" i="278"/>
  <c r="BW192" i="278"/>
  <c r="BW197" i="278"/>
  <c r="BW9" i="315"/>
  <c r="BY92" i="278"/>
  <c r="BZ91" i="278"/>
  <c r="CB602" i="321"/>
  <c r="CB658" i="321"/>
  <c r="CC155" i="273"/>
  <c r="CD155" i="273"/>
  <c r="CB117" i="314"/>
  <c r="CB38" i="314"/>
  <c r="CB589" i="321"/>
  <c r="CB590" i="321"/>
  <c r="CB261" i="273"/>
  <c r="CB263" i="273"/>
  <c r="CB55" i="273"/>
  <c r="CB28" i="314"/>
  <c r="CB259" i="278"/>
  <c r="CB122" i="273"/>
  <c r="CB124" i="273"/>
  <c r="CC240" i="278"/>
  <c r="CC247" i="278"/>
  <c r="CC56" i="273"/>
  <c r="CB53" i="288"/>
  <c r="CB203" i="288"/>
  <c r="CB178" i="288"/>
  <c r="CB28" i="288"/>
  <c r="CC195" i="273"/>
  <c r="BY97" i="278"/>
  <c r="BY152" i="278"/>
  <c r="BY29" i="328"/>
  <c r="CA131" i="321"/>
  <c r="CA277" i="321"/>
  <c r="CA213" i="273"/>
  <c r="CB203" i="273"/>
  <c r="CA253" i="321"/>
  <c r="CA71" i="321"/>
  <c r="CA259" i="321"/>
  <c r="CA267" i="321"/>
  <c r="CC19" i="282"/>
  <c r="CC85" i="273"/>
  <c r="CC79" i="314"/>
  <c r="CC118" i="314"/>
  <c r="CC296" i="278"/>
  <c r="CC15" i="275"/>
  <c r="CC272" i="278"/>
  <c r="CC158" i="314"/>
  <c r="CC39" i="314"/>
  <c r="BY13" i="265"/>
  <c r="BY13" i="315"/>
  <c r="CB163" i="273"/>
  <c r="CA130" i="321"/>
  <c r="CA155" i="321"/>
  <c r="CA212" i="273"/>
  <c r="CA141" i="321"/>
  <c r="CA70" i="321"/>
  <c r="CA72" i="321"/>
  <c r="CA79" i="321"/>
  <c r="CA165" i="321"/>
  <c r="CA147" i="321"/>
  <c r="CC579" i="321"/>
  <c r="CC186" i="278"/>
  <c r="CC211" i="278"/>
  <c r="CC650" i="321"/>
  <c r="CC598" i="321"/>
  <c r="CC599" i="321"/>
  <c r="CC161" i="278"/>
  <c r="CC707" i="321"/>
  <c r="BZ85" i="282"/>
  <c r="BZ113" i="282"/>
  <c r="BZ153" i="282"/>
  <c r="BZ45" i="282"/>
  <c r="BZ18" i="285"/>
  <c r="BZ26" i="285"/>
  <c r="CD36" i="289"/>
  <c r="CD11" i="289"/>
  <c r="CD12" i="289"/>
  <c r="BV10" i="265"/>
  <c r="BV11" i="265"/>
  <c r="BV32" i="328"/>
  <c r="BV10" i="315"/>
  <c r="BV11" i="315"/>
  <c r="CB272" i="278"/>
  <c r="CB118" i="314"/>
  <c r="CB158" i="314"/>
  <c r="CB39" i="314"/>
  <c r="CB79" i="314"/>
  <c r="CB296" i="278"/>
  <c r="CB15" i="275"/>
  <c r="CB20" i="275"/>
  <c r="CC17" i="275"/>
  <c r="CB19" i="282"/>
  <c r="CB85" i="273"/>
  <c r="BX154" i="278"/>
  <c r="BZ4" i="328"/>
  <c r="BZ3" i="321"/>
  <c r="BZ3" i="286"/>
  <c r="BZ3" i="288"/>
  <c r="BZ3" i="315"/>
  <c r="BZ3" i="273"/>
  <c r="BZ3" i="282"/>
  <c r="BZ3" i="289"/>
  <c r="BZ3" i="275"/>
  <c r="BZ3" i="285"/>
  <c r="BZ3" i="314"/>
  <c r="BZ3" i="265"/>
  <c r="BZ47" i="273"/>
  <c r="BZ3" i="304"/>
  <c r="BZ3" i="278"/>
  <c r="CC72" i="273"/>
  <c r="CC30" i="289"/>
  <c r="BZ90" i="278"/>
  <c r="BX17" i="328"/>
  <c r="CC237" i="273"/>
  <c r="CC552" i="321"/>
  <c r="CC11" i="282"/>
  <c r="CC292" i="278"/>
  <c r="CC15" i="286"/>
  <c r="CC16" i="288"/>
  <c r="CC17" i="288"/>
  <c r="CC33" i="286"/>
  <c r="CC566" i="321"/>
  <c r="CC162" i="278"/>
  <c r="CC637" i="321"/>
  <c r="CC92" i="286"/>
  <c r="CC623" i="321"/>
  <c r="CC109" i="273"/>
  <c r="CD110" i="273"/>
  <c r="CC212" i="278"/>
  <c r="CC268" i="278"/>
  <c r="CC187" i="278"/>
  <c r="CC110" i="286"/>
  <c r="CA16" i="285"/>
  <c r="CA17" i="285"/>
  <c r="T43" i="315"/>
  <c r="T45" i="265"/>
  <c r="CA24" i="314"/>
  <c r="CA36" i="285"/>
  <c r="CA172" i="314"/>
  <c r="CA111" i="314"/>
  <c r="CA44" i="314"/>
  <c r="CA123" i="314"/>
  <c r="CA11" i="321"/>
  <c r="CA89" i="314"/>
  <c r="CA40" i="321"/>
  <c r="CA41" i="321"/>
  <c r="CA44" i="321"/>
  <c r="T312" i="278"/>
  <c r="T305" i="278"/>
  <c r="T307" i="278"/>
  <c r="T117" i="265"/>
  <c r="U323" i="278"/>
  <c r="T113" i="315"/>
  <c r="AF238" i="278"/>
  <c r="AF282" i="278"/>
  <c r="AF245" i="278"/>
  <c r="CB24" i="314"/>
  <c r="CB36" i="285"/>
  <c r="CB111" i="314"/>
  <c r="CB172" i="314"/>
  <c r="CB44" i="314"/>
  <c r="CB123" i="314"/>
  <c r="CB89" i="314"/>
  <c r="CB40" i="321"/>
  <c r="CB41" i="321"/>
  <c r="CB44" i="321"/>
  <c r="CB11" i="321"/>
  <c r="Z23" i="285"/>
  <c r="Z27" i="285"/>
  <c r="Y102" i="265"/>
  <c r="Y98" i="315"/>
  <c r="AG216" i="278"/>
  <c r="AG219" i="278"/>
  <c r="AG228" i="278"/>
  <c r="BW10" i="315"/>
  <c r="BW11" i="315"/>
  <c r="BY70" i="288"/>
  <c r="BX264" i="288"/>
  <c r="BX114" i="288"/>
  <c r="BZ92" i="278"/>
  <c r="BZ98" i="278"/>
  <c r="BX272" i="288"/>
  <c r="BZ17" i="328"/>
  <c r="CA214" i="273"/>
  <c r="CA161" i="288"/>
  <c r="CI38" i="289"/>
  <c r="CI133" i="288"/>
  <c r="CI136" i="288"/>
  <c r="CI138" i="288"/>
  <c r="CI140" i="288"/>
  <c r="CI145" i="288"/>
  <c r="CI23" i="288"/>
  <c r="CI25" i="288"/>
  <c r="CJ102" i="314"/>
  <c r="CJ78" i="288"/>
  <c r="CJ228" i="288"/>
  <c r="CJ5" i="265"/>
  <c r="CJ84" i="288"/>
  <c r="CJ5" i="328"/>
  <c r="CJ5" i="286"/>
  <c r="CJ5" i="275"/>
  <c r="CJ5" i="273"/>
  <c r="CJ5" i="315"/>
  <c r="CJ5" i="289"/>
  <c r="CJ5" i="321"/>
  <c r="CJ5" i="288"/>
  <c r="CJ5" i="278"/>
  <c r="CJ5" i="282"/>
  <c r="CJ234" i="288"/>
  <c r="CJ5" i="314"/>
  <c r="CJ5" i="304"/>
  <c r="CJ5" i="285"/>
  <c r="CH31" i="288"/>
  <c r="CH181" i="288"/>
  <c r="CB57" i="273"/>
  <c r="CB63" i="273"/>
  <c r="CB64" i="273"/>
  <c r="BZ97" i="278"/>
  <c r="CA17" i="278"/>
  <c r="CB573" i="321"/>
  <c r="CB708" i="321"/>
  <c r="CB104" i="314"/>
  <c r="CB47" i="289"/>
  <c r="CB48" i="289"/>
  <c r="CB53" i="289"/>
  <c r="CB204" i="278"/>
  <c r="CB238" i="273"/>
  <c r="CB239" i="273"/>
  <c r="CB659" i="321"/>
  <c r="CB497" i="321"/>
  <c r="CB63" i="286"/>
  <c r="CB50" i="314"/>
  <c r="CB551" i="321"/>
  <c r="CB230" i="278"/>
  <c r="CB652" i="321"/>
  <c r="CB136" i="314"/>
  <c r="CB581" i="321"/>
  <c r="CB148" i="278"/>
  <c r="CB713" i="321"/>
  <c r="CB540" i="321"/>
  <c r="CB617" i="321"/>
  <c r="CB283" i="278"/>
  <c r="CB644" i="321"/>
  <c r="CB694" i="321"/>
  <c r="CB545" i="321"/>
  <c r="CB306" i="278"/>
  <c r="CB603" i="321"/>
  <c r="CB233" i="273"/>
  <c r="CB234" i="273"/>
  <c r="CB57" i="314"/>
  <c r="CB17" i="314"/>
  <c r="CB675" i="321"/>
  <c r="CB453" i="321"/>
  <c r="CB701" i="321"/>
  <c r="CB702" i="321"/>
  <c r="CB706" i="321"/>
  <c r="CB565" i="321"/>
  <c r="CB239" i="278"/>
  <c r="CB16" i="289"/>
  <c r="CB17" i="289"/>
  <c r="CB22" i="289"/>
  <c r="CB100" i="278"/>
  <c r="CB622" i="321"/>
  <c r="CB636" i="321"/>
  <c r="CB319" i="278"/>
  <c r="CB31" i="289"/>
  <c r="CB32" i="289"/>
  <c r="CB37" i="289"/>
  <c r="CB129" i="314"/>
  <c r="CB179" i="278"/>
  <c r="CB246" i="278"/>
  <c r="CC203" i="288"/>
  <c r="CC53" i="288"/>
  <c r="CC28" i="288"/>
  <c r="CC178" i="288"/>
  <c r="CE36" i="289"/>
  <c r="BZ13" i="315"/>
  <c r="BZ13" i="265"/>
  <c r="CC20" i="275"/>
  <c r="CD17" i="275"/>
  <c r="BY154" i="278"/>
  <c r="CD75" i="273"/>
  <c r="CE76" i="273"/>
  <c r="CD53" i="273"/>
  <c r="BY98" i="278"/>
  <c r="BY101" i="278"/>
  <c r="BY104" i="278"/>
  <c r="BY105" i="278"/>
  <c r="BY18" i="328"/>
  <c r="CA90" i="278"/>
  <c r="CD268" i="278"/>
  <c r="CD566" i="321"/>
  <c r="CD110" i="286"/>
  <c r="CD552" i="321"/>
  <c r="CD212" i="278"/>
  <c r="CD162" i="278"/>
  <c r="CD187" i="278"/>
  <c r="CD33" i="286"/>
  <c r="CD92" i="286"/>
  <c r="CD292" i="278"/>
  <c r="CD16" i="288"/>
  <c r="CD17" i="288"/>
  <c r="CD11" i="282"/>
  <c r="CD637" i="321"/>
  <c r="CD15" i="286"/>
  <c r="CD623" i="321"/>
  <c r="CD109" i="273"/>
  <c r="CE110" i="273"/>
  <c r="CD56" i="273"/>
  <c r="CD240" i="278"/>
  <c r="CD247" i="278"/>
  <c r="CE158" i="273"/>
  <c r="CE159" i="273"/>
  <c r="CE162" i="273"/>
  <c r="CE119" i="273"/>
  <c r="CE120" i="273"/>
  <c r="CE123" i="273"/>
  <c r="CE59" i="288"/>
  <c r="CE38" i="311"/>
  <c r="CE2" i="286"/>
  <c r="CE2" i="315"/>
  <c r="CE148" i="288"/>
  <c r="CE154" i="273"/>
  <c r="CE155" i="273"/>
  <c r="CE2" i="288"/>
  <c r="CE198" i="273"/>
  <c r="CE199" i="273"/>
  <c r="CE202" i="273"/>
  <c r="CE71" i="273"/>
  <c r="CE72" i="273"/>
  <c r="CE3" i="328"/>
  <c r="CE8" i="328"/>
  <c r="CE2" i="275"/>
  <c r="CE2" i="314"/>
  <c r="CE2" i="278"/>
  <c r="CE2" i="282"/>
  <c r="CE2" i="285"/>
  <c r="CE2" i="273"/>
  <c r="CE258" i="273"/>
  <c r="CE259" i="273"/>
  <c r="CE194" i="273"/>
  <c r="CE195" i="273"/>
  <c r="CE2" i="265"/>
  <c r="CE49" i="273"/>
  <c r="CE2" i="321"/>
  <c r="CE2" i="304"/>
  <c r="CE34" i="288"/>
  <c r="CE209" i="288"/>
  <c r="CE184" i="288"/>
  <c r="CE2" i="289"/>
  <c r="CC602" i="321"/>
  <c r="CC658" i="321"/>
  <c r="CB105" i="282"/>
  <c r="CB37" i="282"/>
  <c r="CB591" i="321"/>
  <c r="CD161" i="273"/>
  <c r="CD151" i="321"/>
  <c r="CA91" i="278"/>
  <c r="CG2" i="328"/>
  <c r="BZ153" i="278"/>
  <c r="BZ30" i="328"/>
  <c r="BX9" i="315"/>
  <c r="BX188" i="278"/>
  <c r="BX189" i="278"/>
  <c r="BX193" i="278"/>
  <c r="BX192" i="278"/>
  <c r="BX197" i="278"/>
  <c r="CD237" i="273"/>
  <c r="CB16" i="285"/>
  <c r="CB17" i="285"/>
  <c r="CD79" i="314"/>
  <c r="CD158" i="314"/>
  <c r="CD39" i="314"/>
  <c r="CD272" i="278"/>
  <c r="CD85" i="273"/>
  <c r="CD19" i="282"/>
  <c r="CD296" i="278"/>
  <c r="CD118" i="314"/>
  <c r="CD15" i="275"/>
  <c r="BX163" i="278"/>
  <c r="BX164" i="278"/>
  <c r="BX168" i="278"/>
  <c r="BX167" i="278"/>
  <c r="BX27" i="328"/>
  <c r="BX172" i="278"/>
  <c r="CC75" i="273"/>
  <c r="CD76" i="273"/>
  <c r="CC53" i="273"/>
  <c r="BX217" i="278"/>
  <c r="BX155" i="278"/>
  <c r="BX213" i="278"/>
  <c r="BX214" i="278"/>
  <c r="BX218" i="278"/>
  <c r="BX223" i="278"/>
  <c r="CC55" i="273"/>
  <c r="CC38" i="314"/>
  <c r="CC28" i="314"/>
  <c r="CC261" i="273"/>
  <c r="CC263" i="273"/>
  <c r="CC122" i="273"/>
  <c r="CC124" i="273"/>
  <c r="CC259" i="278"/>
  <c r="CC589" i="321"/>
  <c r="CC590" i="321"/>
  <c r="CC117" i="314"/>
  <c r="CD262" i="273"/>
  <c r="CD674" i="321"/>
  <c r="CB212" i="273"/>
  <c r="CB141" i="321"/>
  <c r="CB147" i="321"/>
  <c r="CB70" i="321"/>
  <c r="CB155" i="321"/>
  <c r="CB165" i="321"/>
  <c r="CB130" i="321"/>
  <c r="CD28" i="314"/>
  <c r="CD261" i="273"/>
  <c r="CD589" i="321"/>
  <c r="CD590" i="321"/>
  <c r="CD117" i="314"/>
  <c r="CD38" i="314"/>
  <c r="CD55" i="273"/>
  <c r="CD259" i="278"/>
  <c r="CD122" i="273"/>
  <c r="CC161" i="273"/>
  <c r="CC163" i="273"/>
  <c r="CC151" i="321"/>
  <c r="BZ51" i="321"/>
  <c r="BZ91" i="288"/>
  <c r="BZ241" i="288"/>
  <c r="BZ242" i="288"/>
  <c r="BZ244" i="288"/>
  <c r="BZ161" i="288"/>
  <c r="BZ67" i="288"/>
  <c r="BZ68" i="288"/>
  <c r="BZ45" i="321"/>
  <c r="BZ46" i="321"/>
  <c r="BZ48" i="321"/>
  <c r="BZ86" i="288"/>
  <c r="BZ236" i="288"/>
  <c r="BZ80" i="288"/>
  <c r="BZ259" i="288"/>
  <c r="BZ217" i="288"/>
  <c r="BZ218" i="288"/>
  <c r="BZ220" i="288"/>
  <c r="BZ167" i="288"/>
  <c r="BZ217" i="273"/>
  <c r="BY218" i="273"/>
  <c r="BZ230" i="288"/>
  <c r="BZ109" i="288"/>
  <c r="CA147" i="278"/>
  <c r="CA149" i="278"/>
  <c r="CA330" i="321"/>
  <c r="CA218" i="321"/>
  <c r="CA39" i="321"/>
  <c r="CA11" i="278"/>
  <c r="CC54" i="273"/>
  <c r="CC84" i="273"/>
  <c r="CC86" i="273"/>
  <c r="BZ29" i="328"/>
  <c r="BZ152" i="278"/>
  <c r="CA113" i="282"/>
  <c r="CA153" i="282"/>
  <c r="CA85" i="282"/>
  <c r="CA45" i="282"/>
  <c r="CA26" i="285"/>
  <c r="CA18" i="285"/>
  <c r="CD4" i="289"/>
  <c r="CD4" i="278"/>
  <c r="CD4" i="286"/>
  <c r="CD4" i="288"/>
  <c r="CD4" i="315"/>
  <c r="CD4" i="273"/>
  <c r="CD4" i="314"/>
  <c r="CD4" i="285"/>
  <c r="CD11" i="328"/>
  <c r="CD4" i="304"/>
  <c r="CD4" i="321"/>
  <c r="CD4" i="275"/>
  <c r="CD4" i="282"/>
  <c r="CD46" i="289"/>
  <c r="CD30" i="289"/>
  <c r="CD15" i="289"/>
  <c r="CA236" i="288"/>
  <c r="CB131" i="321"/>
  <c r="CB259" i="321"/>
  <c r="CB71" i="321"/>
  <c r="CB277" i="321"/>
  <c r="CB267" i="321"/>
  <c r="CB213" i="273"/>
  <c r="CB253" i="321"/>
  <c r="CC201" i="273"/>
  <c r="CC203" i="273"/>
  <c r="CC263" i="321"/>
  <c r="CD201" i="273"/>
  <c r="CD263" i="321"/>
  <c r="CA709" i="321"/>
  <c r="CA711" i="321"/>
  <c r="BY17" i="328"/>
  <c r="CA3" i="321"/>
  <c r="CA3" i="288"/>
  <c r="CA3" i="289"/>
  <c r="CA3" i="314"/>
  <c r="CA3" i="278"/>
  <c r="CA3" i="304"/>
  <c r="CA3" i="282"/>
  <c r="CA4" i="328"/>
  <c r="CA3" i="315"/>
  <c r="CA3" i="273"/>
  <c r="CA3" i="265"/>
  <c r="CA47" i="273"/>
  <c r="CA3" i="275"/>
  <c r="CA3" i="286"/>
  <c r="CA3" i="285"/>
  <c r="BW11" i="265"/>
  <c r="BW32" i="328"/>
  <c r="CD707" i="321"/>
  <c r="CD598" i="321"/>
  <c r="CD599" i="321"/>
  <c r="CD161" i="278"/>
  <c r="CD211" i="278"/>
  <c r="CD579" i="321"/>
  <c r="CD650" i="321"/>
  <c r="CD186" i="278"/>
  <c r="AA23" i="285"/>
  <c r="AA27" i="285"/>
  <c r="Z98" i="315"/>
  <c r="Z102" i="265"/>
  <c r="U326" i="278"/>
  <c r="U318" i="278"/>
  <c r="U320" i="278"/>
  <c r="U321" i="278"/>
  <c r="AU283" i="307"/>
  <c r="AU9" i="310"/>
  <c r="T110" i="265"/>
  <c r="U309" i="278"/>
  <c r="T106" i="315"/>
  <c r="AG224" i="278"/>
  <c r="AG225" i="278"/>
  <c r="AG220" i="278"/>
  <c r="CA109" i="288"/>
  <c r="CA217" i="273"/>
  <c r="BZ218" i="273"/>
  <c r="BZ122" i="288"/>
  <c r="BZ101" i="278"/>
  <c r="BZ104" i="278"/>
  <c r="BZ105" i="278"/>
  <c r="BZ192" i="278"/>
  <c r="BZ18" i="328"/>
  <c r="CA259" i="288"/>
  <c r="CA230" i="288"/>
  <c r="CA45" i="321"/>
  <c r="CA46" i="321"/>
  <c r="CA48" i="321"/>
  <c r="CA51" i="321"/>
  <c r="CA217" i="288"/>
  <c r="CA218" i="288"/>
  <c r="CA220" i="288"/>
  <c r="CA67" i="288"/>
  <c r="CA68" i="288"/>
  <c r="CA70" i="288"/>
  <c r="CA241" i="288"/>
  <c r="CA242" i="288"/>
  <c r="CA244" i="288"/>
  <c r="CA167" i="288"/>
  <c r="CA80" i="288"/>
  <c r="CA86" i="288"/>
  <c r="CA91" i="288"/>
  <c r="CD20" i="275"/>
  <c r="CE17" i="275"/>
  <c r="CI181" i="288"/>
  <c r="CI31" i="288"/>
  <c r="CB97" i="278"/>
  <c r="CK84" i="288"/>
  <c r="CK102" i="314"/>
  <c r="CK228" i="288"/>
  <c r="CK234" i="288"/>
  <c r="CK78" i="288"/>
  <c r="CK5" i="265"/>
  <c r="CK5" i="328"/>
  <c r="CK5" i="321"/>
  <c r="CK5" i="282"/>
  <c r="CK5" i="315"/>
  <c r="CK5" i="286"/>
  <c r="CK5" i="314"/>
  <c r="CK5" i="288"/>
  <c r="CK5" i="275"/>
  <c r="CK5" i="289"/>
  <c r="CK5" i="285"/>
  <c r="CK5" i="273"/>
  <c r="CK5" i="278"/>
  <c r="CK5" i="304"/>
  <c r="CJ38" i="289"/>
  <c r="CJ133" i="288"/>
  <c r="CJ136" i="288"/>
  <c r="CJ138" i="288"/>
  <c r="CJ140" i="288"/>
  <c r="CJ145" i="288"/>
  <c r="CJ23" i="288"/>
  <c r="CJ25" i="288"/>
  <c r="CC57" i="273"/>
  <c r="CC63" i="273"/>
  <c r="CC64" i="273"/>
  <c r="CD263" i="273"/>
  <c r="CC213" i="273"/>
  <c r="CC277" i="321"/>
  <c r="CC131" i="321"/>
  <c r="CC259" i="321"/>
  <c r="CC71" i="321"/>
  <c r="CC267" i="321"/>
  <c r="CD203" i="273"/>
  <c r="CC253" i="321"/>
  <c r="CC147" i="321"/>
  <c r="CC155" i="321"/>
  <c r="CC70" i="321"/>
  <c r="CC165" i="321"/>
  <c r="CD163" i="273"/>
  <c r="CC130" i="321"/>
  <c r="CC212" i="273"/>
  <c r="CC141" i="321"/>
  <c r="CB17" i="278"/>
  <c r="CD602" i="321"/>
  <c r="CD658" i="321"/>
  <c r="CE53" i="273"/>
  <c r="CE75" i="273"/>
  <c r="CF76" i="273"/>
  <c r="CB147" i="278"/>
  <c r="CB149" i="278"/>
  <c r="BZ162" i="288"/>
  <c r="BZ171" i="288"/>
  <c r="CA162" i="288"/>
  <c r="CA171" i="288"/>
  <c r="CD105" i="282"/>
  <c r="CD591" i="321"/>
  <c r="CD37" i="282"/>
  <c r="CC105" i="282"/>
  <c r="CC37" i="282"/>
  <c r="CC591" i="321"/>
  <c r="CE11" i="328"/>
  <c r="CE4" i="289"/>
  <c r="CE4" i="285"/>
  <c r="CE4" i="315"/>
  <c r="CE4" i="278"/>
  <c r="CE4" i="304"/>
  <c r="CE4" i="275"/>
  <c r="CE4" i="321"/>
  <c r="CE4" i="288"/>
  <c r="CE4" i="273"/>
  <c r="CE4" i="282"/>
  <c r="CE4" i="286"/>
  <c r="CE4" i="314"/>
  <c r="CH2" i="328"/>
  <c r="CH10" i="289"/>
  <c r="CE212" i="278"/>
  <c r="CE109" i="273"/>
  <c r="CF110" i="273"/>
  <c r="CE292" i="278"/>
  <c r="CE33" i="286"/>
  <c r="CE566" i="321"/>
  <c r="CE552" i="321"/>
  <c r="CE11" i="282"/>
  <c r="CE637" i="321"/>
  <c r="CE110" i="286"/>
  <c r="CE623" i="321"/>
  <c r="CE268" i="278"/>
  <c r="CE16" i="288"/>
  <c r="CE17" i="288"/>
  <c r="CE162" i="278"/>
  <c r="CE187" i="278"/>
  <c r="CE92" i="286"/>
  <c r="CE15" i="286"/>
  <c r="CE674" i="321"/>
  <c r="CE262" i="273"/>
  <c r="CE237" i="273"/>
  <c r="CF198" i="273"/>
  <c r="CF199" i="273"/>
  <c r="CF202" i="273"/>
  <c r="CF34" i="288"/>
  <c r="CF2" i="285"/>
  <c r="CF2" i="286"/>
  <c r="CF2" i="304"/>
  <c r="CF2" i="282"/>
  <c r="CF154" i="273"/>
  <c r="CF155" i="273"/>
  <c r="CF2" i="275"/>
  <c r="CF258" i="273"/>
  <c r="CF119" i="273"/>
  <c r="CF120" i="273"/>
  <c r="CF123" i="273"/>
  <c r="CF2" i="265"/>
  <c r="CF2" i="321"/>
  <c r="CF148" i="288"/>
  <c r="CF38" i="311"/>
  <c r="CF184" i="288"/>
  <c r="CF2" i="273"/>
  <c r="CF71" i="273"/>
  <c r="CF72" i="273"/>
  <c r="CF2" i="315"/>
  <c r="CF3" i="328"/>
  <c r="CF8" i="328"/>
  <c r="CF2" i="278"/>
  <c r="CF158" i="273"/>
  <c r="CF159" i="273"/>
  <c r="CF162" i="273"/>
  <c r="CF194" i="273"/>
  <c r="CF195" i="273"/>
  <c r="CF59" i="288"/>
  <c r="CF49" i="273"/>
  <c r="CF209" i="288"/>
  <c r="CF2" i="314"/>
  <c r="CF2" i="288"/>
  <c r="CF2" i="289"/>
  <c r="CE54" i="273"/>
  <c r="CE84" i="273"/>
  <c r="CE79" i="314"/>
  <c r="CE85" i="273"/>
  <c r="CE19" i="282"/>
  <c r="CE39" i="314"/>
  <c r="CE296" i="278"/>
  <c r="CE118" i="314"/>
  <c r="CE272" i="278"/>
  <c r="CE158" i="314"/>
  <c r="CE15" i="275"/>
  <c r="CE201" i="273"/>
  <c r="CE263" i="321"/>
  <c r="BZ272" i="288"/>
  <c r="BY163" i="278"/>
  <c r="BY164" i="278"/>
  <c r="BY168" i="278"/>
  <c r="BY172" i="278"/>
  <c r="BY27" i="328"/>
  <c r="BY167" i="278"/>
  <c r="CD54" i="273"/>
  <c r="CD57" i="273"/>
  <c r="CD84" i="273"/>
  <c r="CD86" i="273"/>
  <c r="CC16" i="285"/>
  <c r="CC17" i="285"/>
  <c r="CD124" i="273"/>
  <c r="CB24" i="265"/>
  <c r="CB22" i="315"/>
  <c r="CB59" i="315"/>
  <c r="CB61" i="265"/>
  <c r="CE211" i="278"/>
  <c r="CE186" i="278"/>
  <c r="CE707" i="321"/>
  <c r="CE598" i="321"/>
  <c r="CE599" i="321"/>
  <c r="CE161" i="278"/>
  <c r="CE579" i="321"/>
  <c r="CE650" i="321"/>
  <c r="BY223" i="278"/>
  <c r="BY213" i="278"/>
  <c r="BY214" i="278"/>
  <c r="BY218" i="278"/>
  <c r="BY155" i="278"/>
  <c r="BY217" i="278"/>
  <c r="CB3" i="285"/>
  <c r="CB3" i="304"/>
  <c r="CB3" i="321"/>
  <c r="CB4" i="328"/>
  <c r="CB47" i="273"/>
  <c r="CB3" i="265"/>
  <c r="CB3" i="273"/>
  <c r="CB3" i="275"/>
  <c r="CB3" i="315"/>
  <c r="CB3" i="286"/>
  <c r="CB3" i="314"/>
  <c r="CB3" i="282"/>
  <c r="CB3" i="288"/>
  <c r="CB3" i="289"/>
  <c r="CB3" i="278"/>
  <c r="CB90" i="278"/>
  <c r="CB11" i="278"/>
  <c r="CB218" i="321"/>
  <c r="CB330" i="321"/>
  <c r="CB39" i="321"/>
  <c r="CC17" i="314"/>
  <c r="CC603" i="321"/>
  <c r="CC675" i="321"/>
  <c r="CC565" i="321"/>
  <c r="CC540" i="321"/>
  <c r="CC230" i="278"/>
  <c r="CC233" i="273"/>
  <c r="CC234" i="273"/>
  <c r="CC17" i="278"/>
  <c r="CC644" i="321"/>
  <c r="CC659" i="321"/>
  <c r="CC497" i="321"/>
  <c r="CC545" i="321"/>
  <c r="CC57" i="314"/>
  <c r="CC701" i="321"/>
  <c r="CC702" i="321"/>
  <c r="CC706" i="321"/>
  <c r="CC551" i="321"/>
  <c r="CC179" i="278"/>
  <c r="CC617" i="321"/>
  <c r="CC100" i="278"/>
  <c r="CC652" i="321"/>
  <c r="CC694" i="321"/>
  <c r="CC306" i="278"/>
  <c r="CC129" i="314"/>
  <c r="CC708" i="321"/>
  <c r="CC239" i="278"/>
  <c r="CC573" i="321"/>
  <c r="CC246" i="278"/>
  <c r="CC204" i="278"/>
  <c r="CC636" i="321"/>
  <c r="CC453" i="321"/>
  <c r="CC31" i="289"/>
  <c r="CC32" i="289"/>
  <c r="CC37" i="289"/>
  <c r="CC39" i="289"/>
  <c r="CD39" i="289"/>
  <c r="CC63" i="286"/>
  <c r="CC148" i="278"/>
  <c r="CC713" i="321"/>
  <c r="CC104" i="314"/>
  <c r="CC581" i="321"/>
  <c r="CC622" i="321"/>
  <c r="CC283" i="278"/>
  <c r="CC238" i="273"/>
  <c r="CC239" i="273"/>
  <c r="CC319" i="278"/>
  <c r="CC50" i="314"/>
  <c r="CC136" i="314"/>
  <c r="CA13" i="265"/>
  <c r="CA13" i="315"/>
  <c r="BZ154" i="278"/>
  <c r="CA30" i="328"/>
  <c r="CA153" i="278"/>
  <c r="CB214" i="273"/>
  <c r="BX10" i="265"/>
  <c r="BX11" i="265"/>
  <c r="BX32" i="328"/>
  <c r="BX10" i="315"/>
  <c r="CE122" i="273"/>
  <c r="CE261" i="273"/>
  <c r="CE28" i="314"/>
  <c r="CE55" i="273"/>
  <c r="CE259" i="278"/>
  <c r="CE117" i="314"/>
  <c r="CE589" i="321"/>
  <c r="CE590" i="321"/>
  <c r="CE38" i="314"/>
  <c r="CB113" i="282"/>
  <c r="CB153" i="282"/>
  <c r="CB85" i="282"/>
  <c r="CB45" i="282"/>
  <c r="CB26" i="285"/>
  <c r="CB18" i="285"/>
  <c r="CE161" i="273"/>
  <c r="CE151" i="321"/>
  <c r="CE240" i="278"/>
  <c r="CE247" i="278"/>
  <c r="CE56" i="273"/>
  <c r="CA97" i="278"/>
  <c r="BY197" i="278"/>
  <c r="BY9" i="315"/>
  <c r="BY188" i="278"/>
  <c r="BY189" i="278"/>
  <c r="BY193" i="278"/>
  <c r="BY192" i="278"/>
  <c r="CE30" i="289"/>
  <c r="CA152" i="278"/>
  <c r="CA29" i="328"/>
  <c r="BY122" i="288"/>
  <c r="BY264" i="288"/>
  <c r="BY114" i="288"/>
  <c r="BY272" i="288"/>
  <c r="BZ57" i="328"/>
  <c r="BZ70" i="288"/>
  <c r="CB72" i="321"/>
  <c r="CB79" i="321"/>
  <c r="BX11" i="315"/>
  <c r="CD28" i="288"/>
  <c r="CD203" i="288"/>
  <c r="CD53" i="288"/>
  <c r="CD178" i="288"/>
  <c r="CF11" i="289"/>
  <c r="CF12" i="289"/>
  <c r="CF36" i="289"/>
  <c r="CA92" i="278"/>
  <c r="CB709" i="321"/>
  <c r="CB711" i="321"/>
  <c r="CB91" i="278"/>
  <c r="AG42" i="315"/>
  <c r="AG44" i="265"/>
  <c r="U43" i="315"/>
  <c r="U45" i="265"/>
  <c r="AB23" i="285"/>
  <c r="AB27" i="285"/>
  <c r="AA102" i="265"/>
  <c r="AA98" i="315"/>
  <c r="AH222" i="278"/>
  <c r="AG229" i="278"/>
  <c r="AG231" i="278"/>
  <c r="AG116" i="265"/>
  <c r="AG112" i="315"/>
  <c r="AG254" i="278"/>
  <c r="U117" i="265"/>
  <c r="U113" i="315"/>
  <c r="V323" i="278"/>
  <c r="CD172" i="314"/>
  <c r="U312" i="278"/>
  <c r="U305" i="278"/>
  <c r="U307" i="278"/>
  <c r="CC24" i="314"/>
  <c r="CC172" i="314"/>
  <c r="CC111" i="314"/>
  <c r="CC36" i="285"/>
  <c r="CC44" i="314"/>
  <c r="CC11" i="321"/>
  <c r="CC123" i="314"/>
  <c r="CC40" i="321"/>
  <c r="CC41" i="321"/>
  <c r="CC44" i="321"/>
  <c r="CC89" i="314"/>
  <c r="BZ197" i="278"/>
  <c r="BZ188" i="278"/>
  <c r="BZ189" i="278"/>
  <c r="BZ193" i="278"/>
  <c r="BZ9" i="315"/>
  <c r="BZ264" i="288"/>
  <c r="CD11" i="321"/>
  <c r="BZ114" i="288"/>
  <c r="CA57" i="328"/>
  <c r="CD40" i="321"/>
  <c r="CD41" i="321"/>
  <c r="CD44" i="321"/>
  <c r="CD36" i="285"/>
  <c r="CD24" i="314"/>
  <c r="CD89" i="314"/>
  <c r="CD44" i="314"/>
  <c r="CD123" i="314"/>
  <c r="CD111" i="314"/>
  <c r="CC709" i="321"/>
  <c r="CC711" i="321"/>
  <c r="CE263" i="273"/>
  <c r="CC214" i="273"/>
  <c r="CC72" i="321"/>
  <c r="CC79" i="321"/>
  <c r="CA154" i="278"/>
  <c r="CA223" i="278"/>
  <c r="BZ167" i="278"/>
  <c r="BZ163" i="278"/>
  <c r="BZ164" i="278"/>
  <c r="BZ168" i="278"/>
  <c r="BZ172" i="278"/>
  <c r="BZ27" i="328"/>
  <c r="CE20" i="275"/>
  <c r="CF17" i="275"/>
  <c r="CJ181" i="288"/>
  <c r="CJ31" i="288"/>
  <c r="CK133" i="288"/>
  <c r="CK136" i="288"/>
  <c r="CK138" i="288"/>
  <c r="CK140" i="288"/>
  <c r="CK145" i="288"/>
  <c r="CK23" i="288"/>
  <c r="CK25" i="288"/>
  <c r="CK38" i="289"/>
  <c r="CL102" i="314"/>
  <c r="CL5" i="328"/>
  <c r="CL228" i="288"/>
  <c r="CL234" i="288"/>
  <c r="CL78" i="288"/>
  <c r="CL5" i="265"/>
  <c r="CL84" i="288"/>
  <c r="CL5" i="321"/>
  <c r="CL5" i="285"/>
  <c r="CL5" i="315"/>
  <c r="CL5" i="282"/>
  <c r="CL5" i="289"/>
  <c r="CL5" i="273"/>
  <c r="CL5" i="314"/>
  <c r="CL5" i="286"/>
  <c r="CL5" i="278"/>
  <c r="CL5" i="275"/>
  <c r="CL5" i="304"/>
  <c r="CL5" i="288"/>
  <c r="CD63" i="273"/>
  <c r="CD64" i="273"/>
  <c r="CE57" i="273"/>
  <c r="CF161" i="273"/>
  <c r="CF151" i="321"/>
  <c r="CF263" i="321"/>
  <c r="CF201" i="273"/>
  <c r="CG36" i="289"/>
  <c r="BZ213" i="278"/>
  <c r="BZ214" i="278"/>
  <c r="BZ218" i="278"/>
  <c r="BZ217" i="278"/>
  <c r="BZ155" i="278"/>
  <c r="BZ223" i="278"/>
  <c r="CC91" i="278"/>
  <c r="CC90" i="278"/>
  <c r="BY10" i="315"/>
  <c r="BY11" i="315"/>
  <c r="BY10" i="265"/>
  <c r="BY11" i="265"/>
  <c r="BY32" i="328"/>
  <c r="CE658" i="321"/>
  <c r="CE602" i="321"/>
  <c r="CE86" i="273"/>
  <c r="CF598" i="321"/>
  <c r="CF599" i="321"/>
  <c r="CF161" i="278"/>
  <c r="CF211" i="278"/>
  <c r="CF650" i="321"/>
  <c r="CF579" i="321"/>
  <c r="CF186" i="278"/>
  <c r="CF707" i="321"/>
  <c r="CF56" i="273"/>
  <c r="CF240" i="278"/>
  <c r="CF247" i="278"/>
  <c r="CB153" i="278"/>
  <c r="CB30" i="328"/>
  <c r="CF15" i="289"/>
  <c r="CF46" i="289"/>
  <c r="CF30" i="289"/>
  <c r="CB51" i="321"/>
  <c r="CB167" i="288"/>
  <c r="CB109" i="288"/>
  <c r="CB241" i="288"/>
  <c r="CB242" i="288"/>
  <c r="CB244" i="288"/>
  <c r="CB217" i="288"/>
  <c r="CB218" i="288"/>
  <c r="CB220" i="288"/>
  <c r="CB217" i="273"/>
  <c r="CA218" i="273"/>
  <c r="CB91" i="288"/>
  <c r="CB236" i="288"/>
  <c r="CB45" i="321"/>
  <c r="CB46" i="321"/>
  <c r="CB48" i="321"/>
  <c r="CB230" i="288"/>
  <c r="CB86" i="288"/>
  <c r="CB67" i="288"/>
  <c r="CB68" i="288"/>
  <c r="CB259" i="288"/>
  <c r="CB161" i="288"/>
  <c r="CB162" i="288"/>
  <c r="CB171" i="288"/>
  <c r="CB80" i="288"/>
  <c r="CF272" i="278"/>
  <c r="CF118" i="314"/>
  <c r="CF158" i="314"/>
  <c r="CF39" i="314"/>
  <c r="CF19" i="282"/>
  <c r="CF296" i="278"/>
  <c r="CF15" i="275"/>
  <c r="CF20" i="275"/>
  <c r="CG17" i="275"/>
  <c r="CF79" i="314"/>
  <c r="CF85" i="273"/>
  <c r="CF109" i="273"/>
  <c r="CG110" i="273"/>
  <c r="CF552" i="321"/>
  <c r="CF292" i="278"/>
  <c r="CF15" i="286"/>
  <c r="CF11" i="282"/>
  <c r="CF268" i="278"/>
  <c r="CF623" i="321"/>
  <c r="CF110" i="286"/>
  <c r="CF16" i="288"/>
  <c r="CF17" i="288"/>
  <c r="CF566" i="321"/>
  <c r="CF637" i="321"/>
  <c r="CF33" i="286"/>
  <c r="CF162" i="278"/>
  <c r="CF212" i="278"/>
  <c r="CF187" i="278"/>
  <c r="CF92" i="286"/>
  <c r="CE178" i="288"/>
  <c r="CE203" i="288"/>
  <c r="CE53" i="288"/>
  <c r="CE28" i="288"/>
  <c r="CC24" i="265"/>
  <c r="CC22" i="315"/>
  <c r="CC61" i="265"/>
  <c r="CC59" i="315"/>
  <c r="CD61" i="265"/>
  <c r="CD24" i="265"/>
  <c r="CD22" i="315"/>
  <c r="CD59" i="315"/>
  <c r="CB152" i="278"/>
  <c r="CB29" i="328"/>
  <c r="CD71" i="321"/>
  <c r="CD259" i="321"/>
  <c r="CD131" i="321"/>
  <c r="CD267" i="321"/>
  <c r="CE203" i="273"/>
  <c r="CD277" i="321"/>
  <c r="CD213" i="273"/>
  <c r="CD253" i="321"/>
  <c r="CA98" i="278"/>
  <c r="CA101" i="278"/>
  <c r="CA104" i="278"/>
  <c r="CA105" i="278"/>
  <c r="CA18" i="328"/>
  <c r="CE105" i="282"/>
  <c r="CE591" i="321"/>
  <c r="CE37" i="282"/>
  <c r="CC11" i="278"/>
  <c r="CC218" i="321"/>
  <c r="CC39" i="321"/>
  <c r="CC330" i="321"/>
  <c r="CD16" i="285"/>
  <c r="CD17" i="285"/>
  <c r="CE124" i="273"/>
  <c r="CA17" i="328"/>
  <c r="CF259" i="273"/>
  <c r="CF4" i="278"/>
  <c r="CF4" i="321"/>
  <c r="CF4" i="275"/>
  <c r="CF4" i="285"/>
  <c r="CF4" i="273"/>
  <c r="CF4" i="288"/>
  <c r="CF11" i="328"/>
  <c r="CF4" i="315"/>
  <c r="CF4" i="282"/>
  <c r="CF4" i="314"/>
  <c r="CF4" i="304"/>
  <c r="CF4" i="286"/>
  <c r="CF4" i="289"/>
  <c r="CF75" i="273"/>
  <c r="CG76" i="273"/>
  <c r="CF53" i="273"/>
  <c r="CG119" i="273"/>
  <c r="CG120" i="273"/>
  <c r="CG123" i="273"/>
  <c r="CG71" i="273"/>
  <c r="CG59" i="288"/>
  <c r="CG2" i="278"/>
  <c r="CG2" i="288"/>
  <c r="CG2" i="304"/>
  <c r="CG209" i="288"/>
  <c r="CG154" i="273"/>
  <c r="CG2" i="275"/>
  <c r="CG34" i="288"/>
  <c r="CG2" i="286"/>
  <c r="CG2" i="282"/>
  <c r="CG148" i="288"/>
  <c r="CG158" i="273"/>
  <c r="CG159" i="273"/>
  <c r="CG162" i="273"/>
  <c r="CG194" i="273"/>
  <c r="CG2" i="265"/>
  <c r="CG2" i="289"/>
  <c r="CG49" i="273"/>
  <c r="CG184" i="288"/>
  <c r="CG2" i="285"/>
  <c r="CG2" i="273"/>
  <c r="CG198" i="273"/>
  <c r="CG199" i="273"/>
  <c r="CG202" i="273"/>
  <c r="CG258" i="273"/>
  <c r="CG259" i="273"/>
  <c r="CG3" i="328"/>
  <c r="CG8" i="328"/>
  <c r="CG38" i="311"/>
  <c r="CG2" i="314"/>
  <c r="CG2" i="315"/>
  <c r="CG2" i="321"/>
  <c r="CB13" i="265"/>
  <c r="CB13" i="315"/>
  <c r="CC147" i="278"/>
  <c r="CC149" i="278"/>
  <c r="CD603" i="321"/>
  <c r="CD675" i="321"/>
  <c r="CD239" i="278"/>
  <c r="CD551" i="321"/>
  <c r="CD246" i="278"/>
  <c r="CD636" i="321"/>
  <c r="CD283" i="278"/>
  <c r="CD453" i="321"/>
  <c r="CD129" i="314"/>
  <c r="CD136" i="314"/>
  <c r="CD100" i="278"/>
  <c r="CD16" i="289"/>
  <c r="CD17" i="289"/>
  <c r="CD22" i="289"/>
  <c r="CD701" i="321"/>
  <c r="CD702" i="321"/>
  <c r="CD706" i="321"/>
  <c r="CD565" i="321"/>
  <c r="CD104" i="314"/>
  <c r="CD622" i="321"/>
  <c r="CD233" i="273"/>
  <c r="CD234" i="273"/>
  <c r="CD17" i="278"/>
  <c r="CD659" i="321"/>
  <c r="CD319" i="278"/>
  <c r="CD63" i="286"/>
  <c r="CD47" i="289"/>
  <c r="CD48" i="289"/>
  <c r="CD53" i="289"/>
  <c r="CD238" i="273"/>
  <c r="CD239" i="273"/>
  <c r="CD306" i="278"/>
  <c r="CD17" i="314"/>
  <c r="CD708" i="321"/>
  <c r="CD540" i="321"/>
  <c r="CD573" i="321"/>
  <c r="CD694" i="321"/>
  <c r="CD148" i="278"/>
  <c r="CD713" i="321"/>
  <c r="CD179" i="278"/>
  <c r="CD230" i="278"/>
  <c r="CD581" i="321"/>
  <c r="CD617" i="321"/>
  <c r="CD652" i="321"/>
  <c r="CD204" i="278"/>
  <c r="CD497" i="321"/>
  <c r="CD50" i="314"/>
  <c r="CD545" i="321"/>
  <c r="CD57" i="314"/>
  <c r="CD644" i="321"/>
  <c r="CD31" i="289"/>
  <c r="CD32" i="289"/>
  <c r="CD37" i="289"/>
  <c r="CB92" i="278"/>
  <c r="CC153" i="282"/>
  <c r="CC85" i="282"/>
  <c r="CC113" i="282"/>
  <c r="CC45" i="282"/>
  <c r="CC18" i="285"/>
  <c r="CC26" i="285"/>
  <c r="CF122" i="273"/>
  <c r="CF259" i="278"/>
  <c r="CF589" i="321"/>
  <c r="CF590" i="321"/>
  <c r="CF261" i="273"/>
  <c r="CF55" i="273"/>
  <c r="CF117" i="314"/>
  <c r="CF28" i="314"/>
  <c r="CF38" i="314"/>
  <c r="CF237" i="273"/>
  <c r="CI2" i="328"/>
  <c r="CF54" i="273"/>
  <c r="CF84" i="273"/>
  <c r="CC3" i="288"/>
  <c r="CC3" i="285"/>
  <c r="CC3" i="265"/>
  <c r="CC3" i="289"/>
  <c r="CC4" i="328"/>
  <c r="CC3" i="286"/>
  <c r="CC47" i="273"/>
  <c r="CC3" i="282"/>
  <c r="CC3" i="273"/>
  <c r="CC3" i="315"/>
  <c r="CC3" i="304"/>
  <c r="CC3" i="278"/>
  <c r="CC3" i="314"/>
  <c r="CC3" i="275"/>
  <c r="CC3" i="321"/>
  <c r="CD212" i="273"/>
  <c r="CD141" i="321"/>
  <c r="CD147" i="321"/>
  <c r="CD155" i="321"/>
  <c r="CD165" i="321"/>
  <c r="CE163" i="273"/>
  <c r="CD130" i="321"/>
  <c r="CD70" i="321"/>
  <c r="CD72" i="321"/>
  <c r="CD79" i="321"/>
  <c r="AG238" i="278"/>
  <c r="AG245" i="278"/>
  <c r="AG282" i="278"/>
  <c r="V309" i="278"/>
  <c r="U106" i="315"/>
  <c r="U110" i="265"/>
  <c r="AH228" i="278"/>
  <c r="AH216" i="278"/>
  <c r="AH219" i="278"/>
  <c r="V326" i="278"/>
  <c r="V318" i="278"/>
  <c r="V320" i="278"/>
  <c r="V321" i="278"/>
  <c r="AV283" i="307"/>
  <c r="AV9" i="310"/>
  <c r="AC23" i="285"/>
  <c r="AC27" i="285"/>
  <c r="AB98" i="315"/>
  <c r="AB102" i="265"/>
  <c r="CA217" i="278"/>
  <c r="CF263" i="273"/>
  <c r="CA155" i="278"/>
  <c r="CA10" i="265"/>
  <c r="CA213" i="278"/>
  <c r="CA214" i="278"/>
  <c r="CA218" i="278"/>
  <c r="CF86" i="273"/>
  <c r="CC45" i="321"/>
  <c r="CC46" i="321"/>
  <c r="CC48" i="321"/>
  <c r="CC91" i="288"/>
  <c r="CC109" i="288"/>
  <c r="CC67" i="288"/>
  <c r="CC68" i="288"/>
  <c r="CC86" i="288"/>
  <c r="CC161" i="288"/>
  <c r="CC80" i="288"/>
  <c r="CC217" i="288"/>
  <c r="CC218" i="288"/>
  <c r="CC220" i="288"/>
  <c r="CC259" i="288"/>
  <c r="CC167" i="288"/>
  <c r="CC230" i="288"/>
  <c r="CC51" i="321"/>
  <c r="CC241" i="288"/>
  <c r="CC242" i="288"/>
  <c r="CC244" i="288"/>
  <c r="CC217" i="273"/>
  <c r="CB218" i="273"/>
  <c r="CC236" i="288"/>
  <c r="CC92" i="278"/>
  <c r="CC18" i="328"/>
  <c r="CD214" i="273"/>
  <c r="CD236" i="288"/>
  <c r="CD709" i="321"/>
  <c r="CD711" i="321"/>
  <c r="CC17" i="328"/>
  <c r="CL38" i="289"/>
  <c r="CL23" i="288"/>
  <c r="CL25" i="288"/>
  <c r="CL133" i="288"/>
  <c r="CL136" i="288"/>
  <c r="CL138" i="288"/>
  <c r="CL140" i="288"/>
  <c r="CL145" i="288"/>
  <c r="CM102" i="314"/>
  <c r="CM228" i="288"/>
  <c r="CM84" i="288"/>
  <c r="CM5" i="328"/>
  <c r="CM234" i="288"/>
  <c r="CM5" i="321"/>
  <c r="CM78" i="288"/>
  <c r="CM5" i="265"/>
  <c r="CM5" i="285"/>
  <c r="CM5" i="289"/>
  <c r="CM5" i="275"/>
  <c r="CM5" i="286"/>
  <c r="CM5" i="282"/>
  <c r="CM5" i="315"/>
  <c r="CM5" i="278"/>
  <c r="CM5" i="273"/>
  <c r="CM5" i="304"/>
  <c r="CM5" i="314"/>
  <c r="CM5" i="288"/>
  <c r="CK181" i="288"/>
  <c r="CK31" i="288"/>
  <c r="CG674" i="321"/>
  <c r="CG262" i="273"/>
  <c r="CA188" i="278"/>
  <c r="CA189" i="278"/>
  <c r="CA193" i="278"/>
  <c r="CA192" i="278"/>
  <c r="CA197" i="278"/>
  <c r="CA9" i="315"/>
  <c r="CE70" i="321"/>
  <c r="CE165" i="321"/>
  <c r="CF163" i="273"/>
  <c r="CE130" i="321"/>
  <c r="CE212" i="273"/>
  <c r="CE141" i="321"/>
  <c r="CE147" i="321"/>
  <c r="CE155" i="321"/>
  <c r="CJ10" i="289"/>
  <c r="CJ2" i="328"/>
  <c r="CG19" i="282"/>
  <c r="CG158" i="314"/>
  <c r="CG15" i="275"/>
  <c r="CG20" i="275"/>
  <c r="CH17" i="275"/>
  <c r="CG272" i="278"/>
  <c r="CG85" i="273"/>
  <c r="CG79" i="314"/>
  <c r="CG39" i="314"/>
  <c r="CG296" i="278"/>
  <c r="CG118" i="314"/>
  <c r="CC153" i="278"/>
  <c r="CC30" i="328"/>
  <c r="CG72" i="273"/>
  <c r="CH198" i="273"/>
  <c r="CH199" i="273"/>
  <c r="CH202" i="273"/>
  <c r="CH148" i="288"/>
  <c r="CH184" i="288"/>
  <c r="CH2" i="278"/>
  <c r="CH2" i="275"/>
  <c r="CH2" i="273"/>
  <c r="CH71" i="273"/>
  <c r="CH72" i="273"/>
  <c r="CH154" i="273"/>
  <c r="CH2" i="265"/>
  <c r="CH2" i="315"/>
  <c r="CH2" i="304"/>
  <c r="CH34" i="288"/>
  <c r="CH209" i="288"/>
  <c r="CH2" i="282"/>
  <c r="CH119" i="273"/>
  <c r="CH120" i="273"/>
  <c r="CH123" i="273"/>
  <c r="CH194" i="273"/>
  <c r="CH195" i="273"/>
  <c r="CH3" i="328"/>
  <c r="CH8" i="328"/>
  <c r="CH2" i="285"/>
  <c r="CH49" i="273"/>
  <c r="CH2" i="321"/>
  <c r="CH38" i="311"/>
  <c r="CH158" i="273"/>
  <c r="CH159" i="273"/>
  <c r="CH162" i="273"/>
  <c r="CH258" i="273"/>
  <c r="CH259" i="273"/>
  <c r="CH59" i="288"/>
  <c r="CH2" i="286"/>
  <c r="CH2" i="289"/>
  <c r="CH2" i="314"/>
  <c r="CH2" i="288"/>
  <c r="CF124" i="273"/>
  <c r="CE16" i="285"/>
  <c r="CE17" i="285"/>
  <c r="CE59" i="315"/>
  <c r="CE24" i="265"/>
  <c r="CE22" i="315"/>
  <c r="CE61" i="265"/>
  <c r="CE71" i="321"/>
  <c r="CE259" i="321"/>
  <c r="CE131" i="321"/>
  <c r="CE277" i="321"/>
  <c r="CF203" i="273"/>
  <c r="CE253" i="321"/>
  <c r="CE213" i="273"/>
  <c r="CE267" i="321"/>
  <c r="CG155" i="273"/>
  <c r="CC97" i="278"/>
  <c r="CD45" i="321"/>
  <c r="CD46" i="321"/>
  <c r="CD48" i="321"/>
  <c r="CD67" i="288"/>
  <c r="CD68" i="288"/>
  <c r="CD259" i="288"/>
  <c r="CD217" i="288"/>
  <c r="CD218" i="288"/>
  <c r="CD220" i="288"/>
  <c r="CD167" i="288"/>
  <c r="CD217" i="273"/>
  <c r="CC218" i="273"/>
  <c r="CD51" i="321"/>
  <c r="CD91" i="288"/>
  <c r="CD241" i="288"/>
  <c r="CD242" i="288"/>
  <c r="CD244" i="288"/>
  <c r="CC152" i="278"/>
  <c r="CC29" i="328"/>
  <c r="CG109" i="273"/>
  <c r="CH110" i="273"/>
  <c r="CG16" i="288"/>
  <c r="CG17" i="288"/>
  <c r="CG623" i="321"/>
  <c r="CG33" i="286"/>
  <c r="CG566" i="321"/>
  <c r="CG11" i="282"/>
  <c r="CG212" i="278"/>
  <c r="CG187" i="278"/>
  <c r="CG110" i="286"/>
  <c r="CG292" i="278"/>
  <c r="CG15" i="286"/>
  <c r="CG162" i="278"/>
  <c r="CG268" i="278"/>
  <c r="CG637" i="321"/>
  <c r="CG92" i="286"/>
  <c r="CG552" i="321"/>
  <c r="CF674" i="321"/>
  <c r="CF262" i="273"/>
  <c r="CD85" i="282"/>
  <c r="CD113" i="282"/>
  <c r="CD153" i="282"/>
  <c r="CD45" i="282"/>
  <c r="CD18" i="285"/>
  <c r="CD26" i="285"/>
  <c r="CG55" i="273"/>
  <c r="CG117" i="314"/>
  <c r="CG28" i="314"/>
  <c r="CG261" i="273"/>
  <c r="CG122" i="273"/>
  <c r="CG38" i="314"/>
  <c r="CG589" i="321"/>
  <c r="CG590" i="321"/>
  <c r="CG259" i="278"/>
  <c r="CA114" i="288"/>
  <c r="CA264" i="288"/>
  <c r="CA272" i="288"/>
  <c r="CA122" i="288"/>
  <c r="CG30" i="289"/>
  <c r="CG4" i="275"/>
  <c r="CG4" i="315"/>
  <c r="CG4" i="304"/>
  <c r="CG11" i="328"/>
  <c r="CG4" i="321"/>
  <c r="CG4" i="314"/>
  <c r="CG4" i="286"/>
  <c r="CG4" i="289"/>
  <c r="CG4" i="288"/>
  <c r="CG4" i="285"/>
  <c r="CG4" i="273"/>
  <c r="CG4" i="278"/>
  <c r="CG4" i="282"/>
  <c r="CC13" i="265"/>
  <c r="CC13" i="315"/>
  <c r="CD218" i="321"/>
  <c r="CD11" i="278"/>
  <c r="CD330" i="321"/>
  <c r="CD39" i="321"/>
  <c r="CD91" i="278"/>
  <c r="CD90" i="278"/>
  <c r="CE179" i="278"/>
  <c r="CE573" i="321"/>
  <c r="CE148" i="278"/>
  <c r="CE713" i="321"/>
  <c r="CE204" i="278"/>
  <c r="CE622" i="321"/>
  <c r="CE636" i="321"/>
  <c r="CE497" i="321"/>
  <c r="CE136" i="314"/>
  <c r="CE129" i="314"/>
  <c r="CE239" i="278"/>
  <c r="CE581" i="321"/>
  <c r="CE603" i="321"/>
  <c r="CE675" i="321"/>
  <c r="CE283" i="278"/>
  <c r="CE233" i="273"/>
  <c r="CE234" i="273"/>
  <c r="CE17" i="278"/>
  <c r="CE238" i="273"/>
  <c r="CE239" i="273"/>
  <c r="CE306" i="278"/>
  <c r="CE57" i="314"/>
  <c r="CE545" i="321"/>
  <c r="CE565" i="321"/>
  <c r="CE230" i="278"/>
  <c r="CE701" i="321"/>
  <c r="CE702" i="321"/>
  <c r="CE706" i="321"/>
  <c r="CE551" i="321"/>
  <c r="CE617" i="321"/>
  <c r="CE644" i="321"/>
  <c r="CE659" i="321"/>
  <c r="CE453" i="321"/>
  <c r="CE50" i="314"/>
  <c r="CE63" i="286"/>
  <c r="CE17" i="314"/>
  <c r="CE104" i="314"/>
  <c r="CE540" i="321"/>
  <c r="CE708" i="321"/>
  <c r="CE100" i="278"/>
  <c r="CE246" i="278"/>
  <c r="CE652" i="321"/>
  <c r="CE694" i="321"/>
  <c r="CE319" i="278"/>
  <c r="CE31" i="289"/>
  <c r="CE32" i="289"/>
  <c r="CE37" i="289"/>
  <c r="CE39" i="289"/>
  <c r="CF39" i="289"/>
  <c r="CG54" i="273"/>
  <c r="CG84" i="273"/>
  <c r="CG86" i="273"/>
  <c r="CB17" i="328"/>
  <c r="CB154" i="278"/>
  <c r="CF53" i="288"/>
  <c r="CF203" i="288"/>
  <c r="CF28" i="288"/>
  <c r="CF178" i="288"/>
  <c r="CE63" i="273"/>
  <c r="CE64" i="273"/>
  <c r="CF57" i="273"/>
  <c r="CF105" i="282"/>
  <c r="CF591" i="321"/>
  <c r="CF37" i="282"/>
  <c r="CB18" i="328"/>
  <c r="CB98" i="278"/>
  <c r="CB101" i="278"/>
  <c r="CB104" i="278"/>
  <c r="CB105" i="278"/>
  <c r="CD147" i="278"/>
  <c r="CD149" i="278"/>
  <c r="CG161" i="278"/>
  <c r="CG579" i="321"/>
  <c r="CG598" i="321"/>
  <c r="CG599" i="321"/>
  <c r="CG211" i="278"/>
  <c r="CG186" i="278"/>
  <c r="CG707" i="321"/>
  <c r="CG650" i="321"/>
  <c r="CG195" i="273"/>
  <c r="CG237" i="273"/>
  <c r="CH36" i="289"/>
  <c r="CH11" i="289"/>
  <c r="CH12" i="289"/>
  <c r="CA27" i="328"/>
  <c r="CA167" i="278"/>
  <c r="CA163" i="278"/>
  <c r="CA164" i="278"/>
  <c r="CA168" i="278"/>
  <c r="CA172" i="278"/>
  <c r="CG247" i="278"/>
  <c r="CG56" i="273"/>
  <c r="CG240" i="278"/>
  <c r="CB57" i="328"/>
  <c r="CB70" i="288"/>
  <c r="CC162" i="288"/>
  <c r="CC171" i="288"/>
  <c r="CF602" i="321"/>
  <c r="CF658" i="321"/>
  <c r="BZ10" i="265"/>
  <c r="BZ11" i="265"/>
  <c r="BZ32" i="328"/>
  <c r="BZ10" i="315"/>
  <c r="BZ11" i="315"/>
  <c r="CD4" i="328"/>
  <c r="CD3" i="321"/>
  <c r="CD3" i="273"/>
  <c r="CD3" i="286"/>
  <c r="CD3" i="289"/>
  <c r="CD3" i="285"/>
  <c r="CD3" i="288"/>
  <c r="CD3" i="282"/>
  <c r="CD3" i="314"/>
  <c r="CD3" i="275"/>
  <c r="CD3" i="278"/>
  <c r="CD3" i="315"/>
  <c r="CD3" i="304"/>
  <c r="CD3" i="265"/>
  <c r="CD47" i="273"/>
  <c r="V45" i="265"/>
  <c r="V43" i="315"/>
  <c r="AD23" i="285"/>
  <c r="AD27" i="285"/>
  <c r="AC102" i="265"/>
  <c r="AC98" i="315"/>
  <c r="AH224" i="278"/>
  <c r="AH225" i="278"/>
  <c r="AH220" i="278"/>
  <c r="V312" i="278"/>
  <c r="V305" i="278"/>
  <c r="V307" i="278"/>
  <c r="V113" i="315"/>
  <c r="W323" i="278"/>
  <c r="V117" i="265"/>
  <c r="CE24" i="314"/>
  <c r="CE172" i="314"/>
  <c r="CE36" i="285"/>
  <c r="CE111" i="314"/>
  <c r="CE44" i="314"/>
  <c r="CE123" i="314"/>
  <c r="CE11" i="321"/>
  <c r="CE89" i="314"/>
  <c r="CE40" i="321"/>
  <c r="CE41" i="321"/>
  <c r="CE44" i="321"/>
  <c r="CC98" i="278"/>
  <c r="CC101" i="278"/>
  <c r="CC104" i="278"/>
  <c r="CC105" i="278"/>
  <c r="CA10" i="315"/>
  <c r="CD161" i="288"/>
  <c r="CD162" i="288"/>
  <c r="CD171" i="288"/>
  <c r="CD230" i="288"/>
  <c r="CD80" i="288"/>
  <c r="CD86" i="288"/>
  <c r="CC57" i="328"/>
  <c r="CC70" i="288"/>
  <c r="CE214" i="273"/>
  <c r="CE91" i="288"/>
  <c r="CE72" i="321"/>
  <c r="CE79" i="321"/>
  <c r="CB272" i="288"/>
  <c r="CB122" i="288"/>
  <c r="CB114" i="288"/>
  <c r="CB264" i="288"/>
  <c r="CC154" i="278"/>
  <c r="CC155" i="278"/>
  <c r="CD109" i="288"/>
  <c r="CM38" i="289"/>
  <c r="CM133" i="288"/>
  <c r="CM136" i="288"/>
  <c r="CM138" i="288"/>
  <c r="CM140" i="288"/>
  <c r="CM145" i="288"/>
  <c r="CM23" i="288"/>
  <c r="CM25" i="288"/>
  <c r="CE709" i="321"/>
  <c r="CE711" i="321"/>
  <c r="CN102" i="314"/>
  <c r="CN78" i="288"/>
  <c r="CN228" i="288"/>
  <c r="CN5" i="265"/>
  <c r="CN84" i="288"/>
  <c r="CN5" i="328"/>
  <c r="CN234" i="288"/>
  <c r="CN5" i="321"/>
  <c r="CN5" i="278"/>
  <c r="CN5" i="314"/>
  <c r="CN5" i="285"/>
  <c r="CN5" i="286"/>
  <c r="CN5" i="315"/>
  <c r="CN5" i="304"/>
  <c r="CN5" i="289"/>
  <c r="CN5" i="288"/>
  <c r="CN5" i="275"/>
  <c r="CN5" i="282"/>
  <c r="CN5" i="273"/>
  <c r="CL31" i="288"/>
  <c r="CL181" i="288"/>
  <c r="CH19" i="282"/>
  <c r="CH158" i="314"/>
  <c r="CH15" i="275"/>
  <c r="CH20" i="275"/>
  <c r="CI17" i="275"/>
  <c r="CH79" i="314"/>
  <c r="CH85" i="273"/>
  <c r="CH272" i="278"/>
  <c r="CH118" i="314"/>
  <c r="CH296" i="278"/>
  <c r="CH39" i="314"/>
  <c r="CH46" i="289"/>
  <c r="CH15" i="289"/>
  <c r="CH30" i="289"/>
  <c r="CG201" i="273"/>
  <c r="CG203" i="273"/>
  <c r="CG263" i="321"/>
  <c r="CD153" i="278"/>
  <c r="CD30" i="328"/>
  <c r="CB163" i="278"/>
  <c r="CB164" i="278"/>
  <c r="CB168" i="278"/>
  <c r="CB172" i="278"/>
  <c r="CB27" i="328"/>
  <c r="CB167" i="278"/>
  <c r="CF179" i="278"/>
  <c r="CF230" i="278"/>
  <c r="CF573" i="321"/>
  <c r="CF708" i="321"/>
  <c r="CF47" i="289"/>
  <c r="CF48" i="289"/>
  <c r="CF53" i="289"/>
  <c r="CF204" i="278"/>
  <c r="CF233" i="273"/>
  <c r="CF234" i="273"/>
  <c r="CF17" i="278"/>
  <c r="CF238" i="273"/>
  <c r="CF239" i="273"/>
  <c r="CF319" i="278"/>
  <c r="CF57" i="314"/>
  <c r="CF306" i="278"/>
  <c r="CF239" i="278"/>
  <c r="CF104" i="314"/>
  <c r="CF581" i="321"/>
  <c r="CF148" i="278"/>
  <c r="CF713" i="321"/>
  <c r="CF617" i="321"/>
  <c r="CF283" i="278"/>
  <c r="CF644" i="321"/>
  <c r="CF659" i="321"/>
  <c r="CF497" i="321"/>
  <c r="CF31" i="289"/>
  <c r="CF32" i="289"/>
  <c r="CF37" i="289"/>
  <c r="CF50" i="314"/>
  <c r="CF551" i="321"/>
  <c r="CF603" i="321"/>
  <c r="CF675" i="321"/>
  <c r="CF16" i="289"/>
  <c r="CF17" i="289"/>
  <c r="CF22" i="289"/>
  <c r="CF246" i="278"/>
  <c r="CF652" i="321"/>
  <c r="CF694" i="321"/>
  <c r="CF545" i="321"/>
  <c r="CF63" i="286"/>
  <c r="CF17" i="314"/>
  <c r="CF540" i="321"/>
  <c r="CF701" i="321"/>
  <c r="CF702" i="321"/>
  <c r="CF706" i="321"/>
  <c r="CF565" i="321"/>
  <c r="CF100" i="278"/>
  <c r="CF622" i="321"/>
  <c r="CF636" i="321"/>
  <c r="CF453" i="321"/>
  <c r="CF129" i="314"/>
  <c r="CF136" i="314"/>
  <c r="CE330" i="321"/>
  <c r="CE11" i="278"/>
  <c r="CE218" i="321"/>
  <c r="CE39" i="321"/>
  <c r="CI36" i="289"/>
  <c r="CD97" i="278"/>
  <c r="CG105" i="282"/>
  <c r="CG37" i="282"/>
  <c r="CG591" i="321"/>
  <c r="CG178" i="288"/>
  <c r="CG28" i="288"/>
  <c r="CG203" i="288"/>
  <c r="CG53" i="288"/>
  <c r="CG124" i="273"/>
  <c r="CF16" i="285"/>
  <c r="CF17" i="285"/>
  <c r="CH552" i="321"/>
  <c r="CH566" i="321"/>
  <c r="CH16" i="288"/>
  <c r="CH17" i="288"/>
  <c r="CH623" i="321"/>
  <c r="CH110" i="286"/>
  <c r="CH162" i="278"/>
  <c r="CH187" i="278"/>
  <c r="CH33" i="286"/>
  <c r="CH268" i="278"/>
  <c r="CH109" i="273"/>
  <c r="CI110" i="273"/>
  <c r="CH212" i="278"/>
  <c r="CH292" i="278"/>
  <c r="CH92" i="286"/>
  <c r="CH11" i="282"/>
  <c r="CH637" i="321"/>
  <c r="CH15" i="286"/>
  <c r="CH4" i="275"/>
  <c r="CH4" i="278"/>
  <c r="CH4" i="289"/>
  <c r="CH11" i="328"/>
  <c r="CH4" i="285"/>
  <c r="CH4" i="315"/>
  <c r="CH4" i="288"/>
  <c r="CH4" i="321"/>
  <c r="CH4" i="286"/>
  <c r="CH4" i="314"/>
  <c r="CH4" i="282"/>
  <c r="CH4" i="304"/>
  <c r="CH4" i="273"/>
  <c r="CD152" i="278"/>
  <c r="CD29" i="328"/>
  <c r="CF22" i="315"/>
  <c r="CF61" i="265"/>
  <c r="CF59" i="315"/>
  <c r="CF24" i="265"/>
  <c r="CE90" i="278"/>
  <c r="CD13" i="265"/>
  <c r="CD13" i="315"/>
  <c r="CH247" i="278"/>
  <c r="CH56" i="273"/>
  <c r="CH240" i="278"/>
  <c r="CD70" i="288"/>
  <c r="CD57" i="328"/>
  <c r="CH237" i="273"/>
  <c r="CH53" i="273"/>
  <c r="CH75" i="273"/>
  <c r="CI76" i="273"/>
  <c r="CH122" i="273"/>
  <c r="CH117" i="314"/>
  <c r="CH55" i="273"/>
  <c r="CH38" i="314"/>
  <c r="CH28" i="314"/>
  <c r="CH589" i="321"/>
  <c r="CH590" i="321"/>
  <c r="CH259" i="278"/>
  <c r="CH261" i="273"/>
  <c r="CK2" i="328"/>
  <c r="CA11" i="265"/>
  <c r="CA32" i="328"/>
  <c r="CB197" i="278"/>
  <c r="CB9" i="315"/>
  <c r="CB188" i="278"/>
  <c r="CB189" i="278"/>
  <c r="CB193" i="278"/>
  <c r="CB192" i="278"/>
  <c r="CF63" i="273"/>
  <c r="CF64" i="273"/>
  <c r="CE147" i="278"/>
  <c r="CE149" i="278"/>
  <c r="CH674" i="321"/>
  <c r="CH262" i="273"/>
  <c r="CG161" i="273"/>
  <c r="CG151" i="321"/>
  <c r="CF253" i="321"/>
  <c r="CF213" i="273"/>
  <c r="CF71" i="321"/>
  <c r="CF131" i="321"/>
  <c r="CF259" i="321"/>
  <c r="CF267" i="321"/>
  <c r="CF277" i="321"/>
  <c r="CG75" i="273"/>
  <c r="CH76" i="273"/>
  <c r="CG53" i="273"/>
  <c r="CG57" i="273"/>
  <c r="CA11" i="315"/>
  <c r="CH201" i="273"/>
  <c r="CH263" i="321"/>
  <c r="CG602" i="321"/>
  <c r="CG658" i="321"/>
  <c r="CE3" i="289"/>
  <c r="CE3" i="304"/>
  <c r="CE3" i="278"/>
  <c r="CE4" i="328"/>
  <c r="CE3" i="314"/>
  <c r="CE3" i="315"/>
  <c r="CE3" i="275"/>
  <c r="CE47" i="273"/>
  <c r="CE3" i="288"/>
  <c r="CE3" i="282"/>
  <c r="CE3" i="273"/>
  <c r="CE3" i="321"/>
  <c r="CE3" i="286"/>
  <c r="CE3" i="285"/>
  <c r="CE3" i="265"/>
  <c r="CB223" i="278"/>
  <c r="CB213" i="278"/>
  <c r="CB214" i="278"/>
  <c r="CB218" i="278"/>
  <c r="CB217" i="278"/>
  <c r="CB155" i="278"/>
  <c r="CE91" i="278"/>
  <c r="CD92" i="278"/>
  <c r="CI198" i="273"/>
  <c r="CI199" i="273"/>
  <c r="CI202" i="273"/>
  <c r="CI3" i="328"/>
  <c r="CI8" i="328"/>
  <c r="CI2" i="288"/>
  <c r="CI2" i="275"/>
  <c r="CI2" i="278"/>
  <c r="CI49" i="273"/>
  <c r="CI258" i="273"/>
  <c r="CI259" i="273"/>
  <c r="CI71" i="273"/>
  <c r="CI184" i="288"/>
  <c r="CI2" i="289"/>
  <c r="CI2" i="315"/>
  <c r="CI148" i="288"/>
  <c r="CI2" i="304"/>
  <c r="CI119" i="273"/>
  <c r="CI120" i="273"/>
  <c r="CI123" i="273"/>
  <c r="CI154" i="273"/>
  <c r="CI155" i="273"/>
  <c r="CI2" i="265"/>
  <c r="CI2" i="273"/>
  <c r="CI2" i="321"/>
  <c r="CI2" i="314"/>
  <c r="CI34" i="288"/>
  <c r="CI2" i="282"/>
  <c r="CI158" i="273"/>
  <c r="CI159" i="273"/>
  <c r="CI162" i="273"/>
  <c r="CI194" i="273"/>
  <c r="CI195" i="273"/>
  <c r="CI59" i="288"/>
  <c r="CI2" i="286"/>
  <c r="CI38" i="311"/>
  <c r="CI2" i="285"/>
  <c r="CI209" i="288"/>
  <c r="CG263" i="273"/>
  <c r="CC264" i="288"/>
  <c r="CC114" i="288"/>
  <c r="CC272" i="288"/>
  <c r="CC122" i="288"/>
  <c r="CE113" i="282"/>
  <c r="CE153" i="282"/>
  <c r="CE45" i="282"/>
  <c r="CE85" i="282"/>
  <c r="CE26" i="285"/>
  <c r="CE18" i="285"/>
  <c r="CH579" i="321"/>
  <c r="CH211" i="278"/>
  <c r="CH707" i="321"/>
  <c r="CH186" i="278"/>
  <c r="CH161" i="278"/>
  <c r="CH650" i="321"/>
  <c r="CH598" i="321"/>
  <c r="CH599" i="321"/>
  <c r="CH155" i="273"/>
  <c r="CF70" i="321"/>
  <c r="CF155" i="321"/>
  <c r="CF147" i="321"/>
  <c r="CF165" i="321"/>
  <c r="CG163" i="273"/>
  <c r="CF130" i="321"/>
  <c r="CF212" i="273"/>
  <c r="CF141" i="321"/>
  <c r="W326" i="278"/>
  <c r="W318" i="278"/>
  <c r="W320" i="278"/>
  <c r="W321" i="278"/>
  <c r="V106" i="315"/>
  <c r="V110" i="265"/>
  <c r="W309" i="278"/>
  <c r="AE23" i="285"/>
  <c r="AE27" i="285"/>
  <c r="AD98" i="315"/>
  <c r="AD102" i="265"/>
  <c r="AH44" i="265"/>
  <c r="AH42" i="315"/>
  <c r="AW9" i="310"/>
  <c r="AW283" i="307"/>
  <c r="CF24" i="314"/>
  <c r="CF172" i="314"/>
  <c r="CF111" i="314"/>
  <c r="CF36" i="285"/>
  <c r="CF44" i="314"/>
  <c r="CF123" i="314"/>
  <c r="CF89" i="314"/>
  <c r="CF40" i="321"/>
  <c r="CF41" i="321"/>
  <c r="CF44" i="321"/>
  <c r="CF11" i="321"/>
  <c r="AH229" i="278"/>
  <c r="AH231" i="278"/>
  <c r="AI222" i="278"/>
  <c r="AH116" i="265"/>
  <c r="AH112" i="315"/>
  <c r="AH254" i="278"/>
  <c r="CE86" i="288"/>
  <c r="CC223" i="278"/>
  <c r="CE45" i="321"/>
  <c r="CE46" i="321"/>
  <c r="CE48" i="321"/>
  <c r="CF214" i="273"/>
  <c r="CF67" i="288"/>
  <c r="CF68" i="288"/>
  <c r="CF57" i="328"/>
  <c r="CE217" i="288"/>
  <c r="CE218" i="288"/>
  <c r="CE220" i="288"/>
  <c r="CE217" i="273"/>
  <c r="CD218" i="273"/>
  <c r="CE109" i="288"/>
  <c r="CE236" i="288"/>
  <c r="CE67" i="288"/>
  <c r="CE68" i="288"/>
  <c r="CE80" i="288"/>
  <c r="CE230" i="288"/>
  <c r="CE51" i="321"/>
  <c r="CE161" i="288"/>
  <c r="CE162" i="288"/>
  <c r="CE171" i="288"/>
  <c r="CE259" i="288"/>
  <c r="CE241" i="288"/>
  <c r="CE242" i="288"/>
  <c r="CE244" i="288"/>
  <c r="CE167" i="288"/>
  <c r="CC10" i="265"/>
  <c r="CC10" i="315"/>
  <c r="CC217" i="278"/>
  <c r="CC213" i="278"/>
  <c r="CC214" i="278"/>
  <c r="CC218" i="278"/>
  <c r="CC188" i="278"/>
  <c r="CC189" i="278"/>
  <c r="CC193" i="278"/>
  <c r="CC192" i="278"/>
  <c r="CC197" i="278"/>
  <c r="CC9" i="315"/>
  <c r="CM31" i="288"/>
  <c r="CM181" i="288"/>
  <c r="CH36" i="285"/>
  <c r="CD154" i="278"/>
  <c r="CD155" i="278"/>
  <c r="CO102" i="314"/>
  <c r="CO84" i="288"/>
  <c r="CO78" i="288"/>
  <c r="CO5" i="265"/>
  <c r="CO228" i="288"/>
  <c r="CO5" i="328"/>
  <c r="CO234" i="288"/>
  <c r="CO5" i="321"/>
  <c r="CO5" i="285"/>
  <c r="CO5" i="288"/>
  <c r="CO5" i="314"/>
  <c r="CO5" i="315"/>
  <c r="CO5" i="282"/>
  <c r="CO5" i="304"/>
  <c r="CO5" i="289"/>
  <c r="CO5" i="286"/>
  <c r="CO5" i="278"/>
  <c r="CO5" i="275"/>
  <c r="CO5" i="273"/>
  <c r="CN38" i="289"/>
  <c r="CN133" i="288"/>
  <c r="CN136" i="288"/>
  <c r="CN138" i="288"/>
  <c r="CN140" i="288"/>
  <c r="CN145" i="288"/>
  <c r="CN23" i="288"/>
  <c r="CN25" i="288"/>
  <c r="CF709" i="321"/>
  <c r="CF711" i="321"/>
  <c r="CF51" i="321"/>
  <c r="CF72" i="321"/>
  <c r="CF79" i="321"/>
  <c r="CI262" i="273"/>
  <c r="CI674" i="321"/>
  <c r="CG63" i="273"/>
  <c r="CG64" i="273"/>
  <c r="CH151" i="321"/>
  <c r="CH161" i="273"/>
  <c r="CH163" i="273"/>
  <c r="CH203" i="273"/>
  <c r="CG253" i="321"/>
  <c r="CG213" i="273"/>
  <c r="CG277" i="321"/>
  <c r="CG259" i="321"/>
  <c r="CG71" i="321"/>
  <c r="CG267" i="321"/>
  <c r="CG131" i="321"/>
  <c r="CE152" i="278"/>
  <c r="CE29" i="328"/>
  <c r="CL2" i="328"/>
  <c r="CL10" i="289"/>
  <c r="CH263" i="273"/>
  <c r="CE92" i="278"/>
  <c r="CI30" i="289"/>
  <c r="CD17" i="328"/>
  <c r="CG540" i="321"/>
  <c r="CG708" i="321"/>
  <c r="CG104" i="314"/>
  <c r="CG238" i="273"/>
  <c r="CG239" i="273"/>
  <c r="CG100" i="278"/>
  <c r="CG652" i="321"/>
  <c r="CG694" i="321"/>
  <c r="CG31" i="289"/>
  <c r="CG32" i="289"/>
  <c r="CG37" i="289"/>
  <c r="CG39" i="289"/>
  <c r="CH39" i="289"/>
  <c r="CG545" i="321"/>
  <c r="CG179" i="278"/>
  <c r="CG573" i="321"/>
  <c r="CG148" i="278"/>
  <c r="CG713" i="321"/>
  <c r="CG617" i="321"/>
  <c r="CG204" i="278"/>
  <c r="CG636" i="321"/>
  <c r="CG453" i="321"/>
  <c r="CG57" i="314"/>
  <c r="CG136" i="314"/>
  <c r="CG239" i="278"/>
  <c r="CG581" i="321"/>
  <c r="CG603" i="321"/>
  <c r="CG675" i="321"/>
  <c r="CG246" i="278"/>
  <c r="CG283" i="278"/>
  <c r="CG233" i="273"/>
  <c r="CG234" i="273"/>
  <c r="CG17" i="278"/>
  <c r="CG319" i="278"/>
  <c r="CG50" i="314"/>
  <c r="CG63" i="286"/>
  <c r="CG17" i="314"/>
  <c r="CG230" i="278"/>
  <c r="CG701" i="321"/>
  <c r="CG702" i="321"/>
  <c r="CG706" i="321"/>
  <c r="CG551" i="321"/>
  <c r="CG565" i="321"/>
  <c r="CG622" i="321"/>
  <c r="CG644" i="321"/>
  <c r="CG659" i="321"/>
  <c r="CG497" i="321"/>
  <c r="CG306" i="278"/>
  <c r="CG129" i="314"/>
  <c r="CF330" i="321"/>
  <c r="CF39" i="321"/>
  <c r="CF11" i="278"/>
  <c r="CF218" i="321"/>
  <c r="CI28" i="314"/>
  <c r="CI55" i="273"/>
  <c r="CI117" i="314"/>
  <c r="CI259" i="278"/>
  <c r="CI122" i="273"/>
  <c r="CI38" i="314"/>
  <c r="CI589" i="321"/>
  <c r="CI590" i="321"/>
  <c r="CI261" i="273"/>
  <c r="CG141" i="321"/>
  <c r="CG212" i="273"/>
  <c r="CG147" i="321"/>
  <c r="CG70" i="321"/>
  <c r="CG165" i="321"/>
  <c r="CG130" i="321"/>
  <c r="CG155" i="321"/>
  <c r="CI79" i="314"/>
  <c r="CI15" i="275"/>
  <c r="CI20" i="275"/>
  <c r="CJ17" i="275"/>
  <c r="CI296" i="278"/>
  <c r="CI118" i="314"/>
  <c r="CI19" i="282"/>
  <c r="CI158" i="314"/>
  <c r="CI39" i="314"/>
  <c r="CI272" i="278"/>
  <c r="CI85" i="273"/>
  <c r="CI201" i="273"/>
  <c r="CI263" i="321"/>
  <c r="CI579" i="321"/>
  <c r="CI707" i="321"/>
  <c r="CI211" i="278"/>
  <c r="CI161" i="278"/>
  <c r="CI650" i="321"/>
  <c r="CI598" i="321"/>
  <c r="CI599" i="321"/>
  <c r="CI186" i="278"/>
  <c r="CI237" i="273"/>
  <c r="CD98" i="278"/>
  <c r="CD101" i="278"/>
  <c r="CD104" i="278"/>
  <c r="CD105" i="278"/>
  <c r="CD18" i="328"/>
  <c r="CB10" i="265"/>
  <c r="CB11" i="265"/>
  <c r="CB32" i="328"/>
  <c r="CB10" i="315"/>
  <c r="CB11" i="315"/>
  <c r="CI54" i="273"/>
  <c r="CI84" i="273"/>
  <c r="CI161" i="273"/>
  <c r="CI151" i="321"/>
  <c r="CH178" i="288"/>
  <c r="CH28" i="288"/>
  <c r="CH203" i="288"/>
  <c r="CH53" i="288"/>
  <c r="CF113" i="282"/>
  <c r="CF153" i="282"/>
  <c r="CF85" i="282"/>
  <c r="CF45" i="282"/>
  <c r="CF18" i="285"/>
  <c r="CF26" i="285"/>
  <c r="CE97" i="278"/>
  <c r="CF91" i="278"/>
  <c r="CF90" i="278"/>
  <c r="CJ36" i="289"/>
  <c r="CJ11" i="289"/>
  <c r="CJ12" i="289"/>
  <c r="CH602" i="321"/>
  <c r="CH658" i="321"/>
  <c r="CE13" i="315"/>
  <c r="CE13" i="265"/>
  <c r="CI566" i="321"/>
  <c r="CI162" i="278"/>
  <c r="CI637" i="321"/>
  <c r="CI110" i="286"/>
  <c r="CI92" i="286"/>
  <c r="CI16" i="288"/>
  <c r="CI17" i="288"/>
  <c r="CI109" i="273"/>
  <c r="CJ110" i="273"/>
  <c r="CI623" i="321"/>
  <c r="CI15" i="286"/>
  <c r="CI187" i="278"/>
  <c r="CI11" i="282"/>
  <c r="CI212" i="278"/>
  <c r="CI268" i="278"/>
  <c r="CI552" i="321"/>
  <c r="CI292" i="278"/>
  <c r="CI33" i="286"/>
  <c r="CH84" i="273"/>
  <c r="CH86" i="273"/>
  <c r="CH54" i="273"/>
  <c r="CH57" i="273"/>
  <c r="CF147" i="278"/>
  <c r="CF149" i="278"/>
  <c r="CH105" i="282"/>
  <c r="CH591" i="321"/>
  <c r="CH37" i="282"/>
  <c r="CI247" i="278"/>
  <c r="CI56" i="273"/>
  <c r="CI240" i="278"/>
  <c r="CH124" i="273"/>
  <c r="CG16" i="285"/>
  <c r="CG17" i="285"/>
  <c r="CJ119" i="273"/>
  <c r="CJ120" i="273"/>
  <c r="CJ123" i="273"/>
  <c r="CJ258" i="273"/>
  <c r="CJ259" i="273"/>
  <c r="CJ2" i="265"/>
  <c r="CJ2" i="321"/>
  <c r="CJ2" i="288"/>
  <c r="CJ2" i="304"/>
  <c r="CJ184" i="288"/>
  <c r="CJ38" i="311"/>
  <c r="CJ71" i="273"/>
  <c r="CJ154" i="273"/>
  <c r="CJ155" i="273"/>
  <c r="CJ3" i="328"/>
  <c r="CJ8" i="328"/>
  <c r="CJ2" i="315"/>
  <c r="CJ2" i="289"/>
  <c r="CJ2" i="286"/>
  <c r="CJ2" i="285"/>
  <c r="CJ158" i="273"/>
  <c r="CJ159" i="273"/>
  <c r="CJ162" i="273"/>
  <c r="CJ194" i="273"/>
  <c r="CJ59" i="288"/>
  <c r="CJ2" i="278"/>
  <c r="CJ2" i="282"/>
  <c r="CJ209" i="288"/>
  <c r="CJ2" i="314"/>
  <c r="CJ198" i="273"/>
  <c r="CJ199" i="273"/>
  <c r="CJ202" i="273"/>
  <c r="CJ34" i="288"/>
  <c r="CJ148" i="288"/>
  <c r="CJ2" i="273"/>
  <c r="CJ2" i="275"/>
  <c r="CJ49" i="273"/>
  <c r="CI72" i="273"/>
  <c r="CC167" i="278"/>
  <c r="CC172" i="278"/>
  <c r="CC163" i="278"/>
  <c r="CC164" i="278"/>
  <c r="CC168" i="278"/>
  <c r="CC27" i="328"/>
  <c r="CE153" i="278"/>
  <c r="CE30" i="328"/>
  <c r="CF4" i="328"/>
  <c r="CF47" i="273"/>
  <c r="CF3" i="286"/>
  <c r="CF3" i="304"/>
  <c r="CF3" i="265"/>
  <c r="CF3" i="282"/>
  <c r="CF3" i="285"/>
  <c r="CF3" i="314"/>
  <c r="CF3" i="275"/>
  <c r="CF3" i="289"/>
  <c r="CF3" i="278"/>
  <c r="CF3" i="273"/>
  <c r="CF3" i="315"/>
  <c r="CF3" i="321"/>
  <c r="CF3" i="288"/>
  <c r="CI4" i="286"/>
  <c r="CI4" i="288"/>
  <c r="CI4" i="314"/>
  <c r="CI4" i="282"/>
  <c r="CI4" i="273"/>
  <c r="CI4" i="321"/>
  <c r="CI4" i="315"/>
  <c r="CI4" i="304"/>
  <c r="CI4" i="275"/>
  <c r="CI11" i="328"/>
  <c r="CI4" i="278"/>
  <c r="CI4" i="289"/>
  <c r="CI4" i="285"/>
  <c r="CD217" i="278"/>
  <c r="CG61" i="265"/>
  <c r="CG24" i="265"/>
  <c r="CG59" i="315"/>
  <c r="CG22" i="315"/>
  <c r="AH238" i="278"/>
  <c r="AH282" i="278"/>
  <c r="AH245" i="278"/>
  <c r="W43" i="315"/>
  <c r="W45" i="265"/>
  <c r="X323" i="278"/>
  <c r="W117" i="265"/>
  <c r="W113" i="315"/>
  <c r="AF23" i="285"/>
  <c r="AF27" i="285"/>
  <c r="AE102" i="265"/>
  <c r="AE98" i="315"/>
  <c r="AI228" i="278"/>
  <c r="AI216" i="278"/>
  <c r="AI219" i="278"/>
  <c r="CG24" i="314"/>
  <c r="CG36" i="285"/>
  <c r="CG111" i="314"/>
  <c r="CG172" i="314"/>
  <c r="CG44" i="314"/>
  <c r="CG11" i="321"/>
  <c r="CG123" i="314"/>
  <c r="CG40" i="321"/>
  <c r="CG41" i="321"/>
  <c r="CG44" i="321"/>
  <c r="CG89" i="314"/>
  <c r="W312" i="278"/>
  <c r="W305" i="278"/>
  <c r="W307" i="278"/>
  <c r="CF217" i="288"/>
  <c r="CF218" i="288"/>
  <c r="CF220" i="288"/>
  <c r="CF167" i="288"/>
  <c r="CF70" i="288"/>
  <c r="CH111" i="314"/>
  <c r="CF236" i="288"/>
  <c r="CF161" i="288"/>
  <c r="CF162" i="288"/>
  <c r="CF171" i="288"/>
  <c r="CF80" i="288"/>
  <c r="CH89" i="314"/>
  <c r="CH123" i="314"/>
  <c r="CF241" i="288"/>
  <c r="CF242" i="288"/>
  <c r="CF244" i="288"/>
  <c r="CF109" i="288"/>
  <c r="CF217" i="273"/>
  <c r="CE218" i="273"/>
  <c r="CE272" i="288"/>
  <c r="CH44" i="314"/>
  <c r="CF259" i="288"/>
  <c r="CF91" i="288"/>
  <c r="CF86" i="288"/>
  <c r="CC11" i="315"/>
  <c r="CF45" i="321"/>
  <c r="CF46" i="321"/>
  <c r="CF48" i="321"/>
  <c r="CF230" i="288"/>
  <c r="CH40" i="321"/>
  <c r="CH41" i="321"/>
  <c r="CH44" i="321"/>
  <c r="CH172" i="314"/>
  <c r="CH24" i="314"/>
  <c r="CD213" i="278"/>
  <c r="CD214" i="278"/>
  <c r="CD218" i="278"/>
  <c r="CC11" i="265"/>
  <c r="CC32" i="328"/>
  <c r="CD114" i="288"/>
  <c r="CD264" i="288"/>
  <c r="CD272" i="288"/>
  <c r="CD122" i="288"/>
  <c r="CE57" i="328"/>
  <c r="CE70" i="288"/>
  <c r="CH11" i="321"/>
  <c r="CD223" i="278"/>
  <c r="CP102" i="314"/>
  <c r="CP5" i="328"/>
  <c r="CP234" i="288"/>
  <c r="CP78" i="288"/>
  <c r="CP84" i="288"/>
  <c r="CP5" i="265"/>
  <c r="CP5" i="321"/>
  <c r="CP5" i="304"/>
  <c r="CP5" i="314"/>
  <c r="CP5" i="286"/>
  <c r="CP5" i="288"/>
  <c r="CP5" i="315"/>
  <c r="CP5" i="273"/>
  <c r="CP5" i="275"/>
  <c r="CP228" i="288"/>
  <c r="CP5" i="289"/>
  <c r="CP5" i="278"/>
  <c r="CP5" i="282"/>
  <c r="CP5" i="285"/>
  <c r="CN181" i="288"/>
  <c r="CN31" i="288"/>
  <c r="CO133" i="288"/>
  <c r="CO136" i="288"/>
  <c r="CO138" i="288"/>
  <c r="CO140" i="288"/>
  <c r="CO145" i="288"/>
  <c r="CO23" i="288"/>
  <c r="CO25" i="288"/>
  <c r="CO38" i="289"/>
  <c r="CF92" i="278"/>
  <c r="CF98" i="278"/>
  <c r="CG72" i="321"/>
  <c r="CG79" i="321"/>
  <c r="CI263" i="273"/>
  <c r="CE17" i="328"/>
  <c r="CF17" i="328"/>
  <c r="CH63" i="273"/>
  <c r="CH64" i="273"/>
  <c r="CJ79" i="314"/>
  <c r="CJ118" i="314"/>
  <c r="CJ158" i="314"/>
  <c r="CJ15" i="275"/>
  <c r="CJ20" i="275"/>
  <c r="CK17" i="275"/>
  <c r="CJ19" i="282"/>
  <c r="CJ296" i="278"/>
  <c r="CJ39" i="314"/>
  <c r="CJ272" i="278"/>
  <c r="CJ85" i="273"/>
  <c r="CJ674" i="321"/>
  <c r="CJ262" i="273"/>
  <c r="CF97" i="278"/>
  <c r="CD10" i="265"/>
  <c r="CD10" i="315"/>
  <c r="CK36" i="289"/>
  <c r="CI53" i="273"/>
  <c r="CI57" i="273"/>
  <c r="CI75" i="273"/>
  <c r="CJ76" i="273"/>
  <c r="CI124" i="273"/>
  <c r="CH16" i="285"/>
  <c r="CH17" i="285"/>
  <c r="CJ15" i="289"/>
  <c r="CJ30" i="289"/>
  <c r="CJ46" i="289"/>
  <c r="CJ4" i="289"/>
  <c r="CJ4" i="273"/>
  <c r="CJ4" i="275"/>
  <c r="CJ4" i="278"/>
  <c r="CJ4" i="288"/>
  <c r="CJ4" i="282"/>
  <c r="CJ4" i="314"/>
  <c r="CJ4" i="321"/>
  <c r="CJ4" i="315"/>
  <c r="CJ11" i="328"/>
  <c r="CJ4" i="285"/>
  <c r="CJ4" i="304"/>
  <c r="CJ4" i="286"/>
  <c r="CI602" i="321"/>
  <c r="CI658" i="321"/>
  <c r="CH17" i="314"/>
  <c r="CH573" i="321"/>
  <c r="CH708" i="321"/>
  <c r="CH540" i="321"/>
  <c r="CH233" i="273"/>
  <c r="CH234" i="273"/>
  <c r="CH17" i="278"/>
  <c r="CH622" i="321"/>
  <c r="CH100" i="278"/>
  <c r="CH694" i="321"/>
  <c r="CH31" i="289"/>
  <c r="CH32" i="289"/>
  <c r="CH37" i="289"/>
  <c r="CH545" i="321"/>
  <c r="CH50" i="314"/>
  <c r="CH230" i="278"/>
  <c r="CH581" i="321"/>
  <c r="CH148" i="278"/>
  <c r="CH713" i="321"/>
  <c r="CH179" i="278"/>
  <c r="CH617" i="321"/>
  <c r="CH644" i="321"/>
  <c r="CH204" i="278"/>
  <c r="CH497" i="321"/>
  <c r="CH47" i="289"/>
  <c r="CH48" i="289"/>
  <c r="CH53" i="289"/>
  <c r="CH63" i="286"/>
  <c r="CH129" i="314"/>
  <c r="CH551" i="321"/>
  <c r="CH603" i="321"/>
  <c r="CH675" i="321"/>
  <c r="CH239" i="278"/>
  <c r="CH238" i="273"/>
  <c r="CH239" i="273"/>
  <c r="CH652" i="321"/>
  <c r="CH283" i="278"/>
  <c r="CH453" i="321"/>
  <c r="CH57" i="314"/>
  <c r="CH306" i="278"/>
  <c r="CH701" i="321"/>
  <c r="CH702" i="321"/>
  <c r="CH706" i="321"/>
  <c r="CH565" i="321"/>
  <c r="CH104" i="314"/>
  <c r="CH246" i="278"/>
  <c r="CH636" i="321"/>
  <c r="CH659" i="321"/>
  <c r="CH319" i="278"/>
  <c r="CH136" i="314"/>
  <c r="CH16" i="289"/>
  <c r="CH17" i="289"/>
  <c r="CH22" i="289"/>
  <c r="CM2" i="328"/>
  <c r="CJ72" i="273"/>
  <c r="CD172" i="278"/>
  <c r="CD167" i="278"/>
  <c r="CD27" i="328"/>
  <c r="CD163" i="278"/>
  <c r="CD164" i="278"/>
  <c r="CD168" i="278"/>
  <c r="CK119" i="273"/>
  <c r="CK120" i="273"/>
  <c r="CK123" i="273"/>
  <c r="CK154" i="273"/>
  <c r="CK155" i="273"/>
  <c r="CK2" i="265"/>
  <c r="CK2" i="273"/>
  <c r="CK2" i="289"/>
  <c r="CK2" i="304"/>
  <c r="CK2" i="321"/>
  <c r="CK2" i="282"/>
  <c r="CK258" i="273"/>
  <c r="CK194" i="273"/>
  <c r="CK195" i="273"/>
  <c r="CK3" i="328"/>
  <c r="CK8" i="328"/>
  <c r="CK38" i="311"/>
  <c r="CK49" i="273"/>
  <c r="CK148" i="288"/>
  <c r="CK2" i="275"/>
  <c r="CK158" i="273"/>
  <c r="CK159" i="273"/>
  <c r="CK162" i="273"/>
  <c r="CK71" i="273"/>
  <c r="CK72" i="273"/>
  <c r="CK59" i="288"/>
  <c r="CK34" i="288"/>
  <c r="CK2" i="315"/>
  <c r="CK2" i="288"/>
  <c r="CK209" i="288"/>
  <c r="CK198" i="273"/>
  <c r="CK199" i="273"/>
  <c r="CK202" i="273"/>
  <c r="CK2" i="278"/>
  <c r="CK2" i="314"/>
  <c r="CK184" i="288"/>
  <c r="CK2" i="286"/>
  <c r="CK2" i="285"/>
  <c r="CJ237" i="273"/>
  <c r="CH59" i="315"/>
  <c r="CH61" i="265"/>
  <c r="CH24" i="265"/>
  <c r="CH22" i="315"/>
  <c r="CF152" i="278"/>
  <c r="CF29" i="328"/>
  <c r="CH212" i="273"/>
  <c r="CH141" i="321"/>
  <c r="CH147" i="321"/>
  <c r="CH155" i="321"/>
  <c r="CH70" i="321"/>
  <c r="CH165" i="321"/>
  <c r="CI163" i="273"/>
  <c r="CH130" i="321"/>
  <c r="CG90" i="278"/>
  <c r="CJ161" i="273"/>
  <c r="CJ151" i="321"/>
  <c r="CG3" i="273"/>
  <c r="CG3" i="315"/>
  <c r="CG3" i="304"/>
  <c r="CG3" i="288"/>
  <c r="CG3" i="285"/>
  <c r="CG3" i="314"/>
  <c r="CG3" i="278"/>
  <c r="CG3" i="275"/>
  <c r="CG3" i="286"/>
  <c r="CG47" i="273"/>
  <c r="CG3" i="282"/>
  <c r="CG4" i="328"/>
  <c r="CG3" i="289"/>
  <c r="CG3" i="321"/>
  <c r="CG3" i="265"/>
  <c r="CJ161" i="278"/>
  <c r="CJ650" i="321"/>
  <c r="CJ598" i="321"/>
  <c r="CJ599" i="321"/>
  <c r="CJ186" i="278"/>
  <c r="CJ211" i="278"/>
  <c r="CJ707" i="321"/>
  <c r="CJ579" i="321"/>
  <c r="CD192" i="278"/>
  <c r="CD197" i="278"/>
  <c r="CD188" i="278"/>
  <c r="CD189" i="278"/>
  <c r="CD193" i="278"/>
  <c r="CD9" i="315"/>
  <c r="CF153" i="278"/>
  <c r="CF30" i="328"/>
  <c r="CJ240" i="278"/>
  <c r="CJ247" i="278"/>
  <c r="CJ56" i="273"/>
  <c r="CI86" i="273"/>
  <c r="CG147" i="278"/>
  <c r="CG149" i="278"/>
  <c r="CJ11" i="282"/>
  <c r="CJ16" i="288"/>
  <c r="CJ17" i="288"/>
  <c r="CJ637" i="321"/>
  <c r="CJ33" i="286"/>
  <c r="CJ566" i="321"/>
  <c r="CJ162" i="278"/>
  <c r="CJ187" i="278"/>
  <c r="CJ92" i="286"/>
  <c r="CJ212" i="278"/>
  <c r="CJ109" i="273"/>
  <c r="CK110" i="273"/>
  <c r="CJ292" i="278"/>
  <c r="CJ15" i="286"/>
  <c r="CJ552" i="321"/>
  <c r="CJ268" i="278"/>
  <c r="CJ623" i="321"/>
  <c r="CJ110" i="286"/>
  <c r="CG153" i="282"/>
  <c r="CG85" i="282"/>
  <c r="CG113" i="282"/>
  <c r="CG45" i="282"/>
  <c r="CG18" i="285"/>
  <c r="CG26" i="285"/>
  <c r="CI28" i="288"/>
  <c r="CI178" i="288"/>
  <c r="CI203" i="288"/>
  <c r="CI53" i="288"/>
  <c r="CJ195" i="273"/>
  <c r="CF13" i="265"/>
  <c r="CF13" i="315"/>
  <c r="CJ28" i="314"/>
  <c r="CJ259" i="278"/>
  <c r="CJ122" i="273"/>
  <c r="CJ261" i="273"/>
  <c r="CJ589" i="321"/>
  <c r="CJ590" i="321"/>
  <c r="CJ117" i="314"/>
  <c r="CJ55" i="273"/>
  <c r="CJ38" i="314"/>
  <c r="CG214" i="273"/>
  <c r="CI105" i="282"/>
  <c r="CI591" i="321"/>
  <c r="CI37" i="282"/>
  <c r="CG709" i="321"/>
  <c r="CG711" i="321"/>
  <c r="CG91" i="278"/>
  <c r="CG218" i="321"/>
  <c r="CG39" i="321"/>
  <c r="CG330" i="321"/>
  <c r="CG11" i="278"/>
  <c r="CE98" i="278"/>
  <c r="CE101" i="278"/>
  <c r="CE104" i="278"/>
  <c r="CE105" i="278"/>
  <c r="CE18" i="328"/>
  <c r="CE154" i="278"/>
  <c r="CH71" i="321"/>
  <c r="CH259" i="321"/>
  <c r="CH131" i="321"/>
  <c r="CH267" i="321"/>
  <c r="CI203" i="273"/>
  <c r="CH277" i="321"/>
  <c r="CH213" i="273"/>
  <c r="CH253" i="321"/>
  <c r="AG23" i="285"/>
  <c r="AG27" i="285"/>
  <c r="AF98" i="315"/>
  <c r="AF102" i="265"/>
  <c r="W106" i="315"/>
  <c r="W110" i="265"/>
  <c r="X309" i="278"/>
  <c r="AI224" i="278"/>
  <c r="AI225" i="278"/>
  <c r="AI220" i="278"/>
  <c r="X326" i="278"/>
  <c r="X318" i="278"/>
  <c r="X320" i="278"/>
  <c r="X321" i="278"/>
  <c r="AX9" i="310"/>
  <c r="AX283" i="307"/>
  <c r="CE114" i="288"/>
  <c r="CE122" i="288"/>
  <c r="CE264" i="288"/>
  <c r="CF18" i="328"/>
  <c r="CE172" i="278"/>
  <c r="CE167" i="278"/>
  <c r="CE163" i="278"/>
  <c r="CE164" i="278"/>
  <c r="CE168" i="278"/>
  <c r="CE27" i="328"/>
  <c r="CQ102" i="314"/>
  <c r="CQ228" i="288"/>
  <c r="CQ234" i="288"/>
  <c r="CQ78" i="288"/>
  <c r="CQ5" i="321"/>
  <c r="CQ84" i="288"/>
  <c r="CQ5" i="328"/>
  <c r="CQ5" i="265"/>
  <c r="CQ5" i="282"/>
  <c r="CQ5" i="273"/>
  <c r="CQ5" i="278"/>
  <c r="CQ5" i="288"/>
  <c r="CQ5" i="275"/>
  <c r="CQ5" i="286"/>
  <c r="CQ5" i="304"/>
  <c r="CQ5" i="314"/>
  <c r="CQ5" i="315"/>
  <c r="CQ5" i="289"/>
  <c r="CQ5" i="285"/>
  <c r="CH214" i="273"/>
  <c r="CH109" i="288"/>
  <c r="CO181" i="288"/>
  <c r="CO31" i="288"/>
  <c r="CJ263" i="273"/>
  <c r="CP38" i="289"/>
  <c r="CP133" i="288"/>
  <c r="CP136" i="288"/>
  <c r="CP138" i="288"/>
  <c r="CP140" i="288"/>
  <c r="CP145" i="288"/>
  <c r="CP23" i="288"/>
  <c r="CP25" i="288"/>
  <c r="CG17" i="328"/>
  <c r="CH709" i="321"/>
  <c r="CH711" i="321"/>
  <c r="CI63" i="273"/>
  <c r="CI64" i="273"/>
  <c r="CE192" i="278"/>
  <c r="CE197" i="278"/>
  <c r="CE9" i="315"/>
  <c r="CE188" i="278"/>
  <c r="CE189" i="278"/>
  <c r="CE193" i="278"/>
  <c r="CK53" i="273"/>
  <c r="CK75" i="273"/>
  <c r="CL76" i="273"/>
  <c r="CG45" i="321"/>
  <c r="CG46" i="321"/>
  <c r="CG48" i="321"/>
  <c r="CG91" i="288"/>
  <c r="CG109" i="288"/>
  <c r="CG67" i="288"/>
  <c r="CG68" i="288"/>
  <c r="CG167" i="288"/>
  <c r="CG86" i="288"/>
  <c r="CG230" i="288"/>
  <c r="CG51" i="321"/>
  <c r="CG161" i="288"/>
  <c r="CG162" i="288"/>
  <c r="CG171" i="288"/>
  <c r="CG80" i="288"/>
  <c r="CG241" i="288"/>
  <c r="CG242" i="288"/>
  <c r="CG244" i="288"/>
  <c r="CG217" i="288"/>
  <c r="CG218" i="288"/>
  <c r="CG220" i="288"/>
  <c r="CG217" i="273"/>
  <c r="CF218" i="273"/>
  <c r="CG259" i="288"/>
  <c r="CG236" i="288"/>
  <c r="CJ201" i="273"/>
  <c r="CJ203" i="273"/>
  <c r="CJ263" i="321"/>
  <c r="CK161" i="273"/>
  <c r="CK151" i="321"/>
  <c r="CK56" i="273"/>
  <c r="CK240" i="278"/>
  <c r="CK247" i="278"/>
  <c r="CJ53" i="288"/>
  <c r="CJ203" i="288"/>
  <c r="CJ178" i="288"/>
  <c r="CJ28" i="288"/>
  <c r="CI147" i="321"/>
  <c r="CI155" i="321"/>
  <c r="CI70" i="321"/>
  <c r="CI165" i="321"/>
  <c r="CJ163" i="273"/>
  <c r="CI130" i="321"/>
  <c r="CI212" i="273"/>
  <c r="CI141" i="321"/>
  <c r="CK259" i="273"/>
  <c r="CH90" i="278"/>
  <c r="CF101" i="278"/>
  <c r="CF104" i="278"/>
  <c r="CF105" i="278"/>
  <c r="CJ105" i="282"/>
  <c r="CJ591" i="321"/>
  <c r="CJ37" i="282"/>
  <c r="CL71" i="273"/>
  <c r="CL154" i="273"/>
  <c r="CL155" i="273"/>
  <c r="CL2" i="265"/>
  <c r="CL2" i="278"/>
  <c r="CL2" i="275"/>
  <c r="CL2" i="321"/>
  <c r="CL2" i="304"/>
  <c r="CL2" i="273"/>
  <c r="CL258" i="273"/>
  <c r="CL259" i="273"/>
  <c r="CL194" i="273"/>
  <c r="CL195" i="273"/>
  <c r="CL3" i="328"/>
  <c r="CL8" i="328"/>
  <c r="CL2" i="289"/>
  <c r="CL148" i="288"/>
  <c r="CL2" i="315"/>
  <c r="CL2" i="286"/>
  <c r="CL158" i="273"/>
  <c r="CL159" i="273"/>
  <c r="CL162" i="273"/>
  <c r="CL119" i="273"/>
  <c r="CL120" i="273"/>
  <c r="CL123" i="273"/>
  <c r="CL59" i="288"/>
  <c r="CL184" i="288"/>
  <c r="CL2" i="288"/>
  <c r="CL2" i="314"/>
  <c r="CL2" i="282"/>
  <c r="CL198" i="273"/>
  <c r="CL199" i="273"/>
  <c r="CL202" i="273"/>
  <c r="CL2" i="285"/>
  <c r="CL209" i="288"/>
  <c r="CL34" i="288"/>
  <c r="CL49" i="273"/>
  <c r="CL38" i="311"/>
  <c r="CG152" i="278"/>
  <c r="CG29" i="328"/>
  <c r="CG92" i="278"/>
  <c r="CK237" i="273"/>
  <c r="CK579" i="321"/>
  <c r="CK186" i="278"/>
  <c r="CK211" i="278"/>
  <c r="CK650" i="321"/>
  <c r="CK707" i="321"/>
  <c r="CK598" i="321"/>
  <c r="CK599" i="321"/>
  <c r="CK161" i="278"/>
  <c r="CI17" i="314"/>
  <c r="CI581" i="321"/>
  <c r="CI148" i="278"/>
  <c r="CI713" i="321"/>
  <c r="CI238" i="273"/>
  <c r="CI239" i="273"/>
  <c r="CI617" i="321"/>
  <c r="CI652" i="321"/>
  <c r="CI694" i="321"/>
  <c r="CI319" i="278"/>
  <c r="CI129" i="314"/>
  <c r="CI230" i="278"/>
  <c r="CI603" i="321"/>
  <c r="CI675" i="321"/>
  <c r="CI565" i="321"/>
  <c r="CI540" i="321"/>
  <c r="CI100" i="278"/>
  <c r="CI246" i="278"/>
  <c r="CI636" i="321"/>
  <c r="CI497" i="321"/>
  <c r="CI63" i="286"/>
  <c r="CI545" i="321"/>
  <c r="CI104" i="314"/>
  <c r="CI701" i="321"/>
  <c r="CI702" i="321"/>
  <c r="CI706" i="321"/>
  <c r="CI551" i="321"/>
  <c r="CI179" i="278"/>
  <c r="CI204" i="278"/>
  <c r="CI622" i="321"/>
  <c r="CI233" i="273"/>
  <c r="CI234" i="273"/>
  <c r="CI17" i="278"/>
  <c r="CI306" i="278"/>
  <c r="CI50" i="314"/>
  <c r="CI136" i="314"/>
  <c r="CI573" i="321"/>
  <c r="CI708" i="321"/>
  <c r="CI239" i="278"/>
  <c r="CI283" i="278"/>
  <c r="CI644" i="321"/>
  <c r="CI659" i="321"/>
  <c r="CI453" i="321"/>
  <c r="CI31" i="289"/>
  <c r="CI32" i="289"/>
  <c r="CI37" i="289"/>
  <c r="CI39" i="289"/>
  <c r="CJ39" i="289"/>
  <c r="CI57" i="314"/>
  <c r="CD11" i="315"/>
  <c r="CI71" i="321"/>
  <c r="CI259" i="321"/>
  <c r="CI131" i="321"/>
  <c r="CI277" i="321"/>
  <c r="CI253" i="321"/>
  <c r="CI213" i="273"/>
  <c r="CI267" i="321"/>
  <c r="CI61" i="265"/>
  <c r="CI59" i="315"/>
  <c r="CI24" i="265"/>
  <c r="CI22" i="315"/>
  <c r="CG13" i="265"/>
  <c r="CG13" i="315"/>
  <c r="CL11" i="289"/>
  <c r="CL12" i="289"/>
  <c r="CL36" i="289"/>
  <c r="CH147" i="278"/>
  <c r="CH149" i="278"/>
  <c r="CJ658" i="321"/>
  <c r="CJ602" i="321"/>
  <c r="CH72" i="321"/>
  <c r="CH79" i="321"/>
  <c r="CF154" i="278"/>
  <c r="CK4" i="288"/>
  <c r="CK4" i="278"/>
  <c r="CK4" i="304"/>
  <c r="CK4" i="289"/>
  <c r="CK4" i="315"/>
  <c r="CK4" i="286"/>
  <c r="CK11" i="328"/>
  <c r="CK4" i="321"/>
  <c r="CK4" i="275"/>
  <c r="CK4" i="282"/>
  <c r="CK4" i="273"/>
  <c r="CK4" i="314"/>
  <c r="CK4" i="285"/>
  <c r="CH91" i="278"/>
  <c r="CH85" i="282"/>
  <c r="CH113" i="282"/>
  <c r="CH153" i="282"/>
  <c r="CH45" i="282"/>
  <c r="CH26" i="285"/>
  <c r="CH18" i="285"/>
  <c r="CK30" i="289"/>
  <c r="CD11" i="265"/>
  <c r="CD32" i="328"/>
  <c r="CK122" i="273"/>
  <c r="CK259" i="278"/>
  <c r="CK589" i="321"/>
  <c r="CK590" i="321"/>
  <c r="CK117" i="314"/>
  <c r="CK55" i="273"/>
  <c r="CK38" i="314"/>
  <c r="CK28" i="314"/>
  <c r="CK261" i="273"/>
  <c r="CK263" i="273"/>
  <c r="CE155" i="278"/>
  <c r="CE217" i="278"/>
  <c r="CE223" i="278"/>
  <c r="CE213" i="278"/>
  <c r="CE214" i="278"/>
  <c r="CE218" i="278"/>
  <c r="CK79" i="314"/>
  <c r="CK39" i="314"/>
  <c r="CK296" i="278"/>
  <c r="CK118" i="314"/>
  <c r="CK272" i="278"/>
  <c r="CK158" i="314"/>
  <c r="CK15" i="275"/>
  <c r="CK20" i="275"/>
  <c r="CL17" i="275"/>
  <c r="CK19" i="282"/>
  <c r="CK85" i="273"/>
  <c r="CG97" i="278"/>
  <c r="CG153" i="278"/>
  <c r="CG30" i="328"/>
  <c r="CK201" i="273"/>
  <c r="CK263" i="321"/>
  <c r="CK566" i="321"/>
  <c r="CK162" i="278"/>
  <c r="CK637" i="321"/>
  <c r="CK92" i="286"/>
  <c r="CK109" i="273"/>
  <c r="CL110" i="273"/>
  <c r="CK16" i="288"/>
  <c r="CK17" i="288"/>
  <c r="CK623" i="321"/>
  <c r="CK212" i="278"/>
  <c r="CK268" i="278"/>
  <c r="CK187" i="278"/>
  <c r="CK110" i="286"/>
  <c r="CK552" i="321"/>
  <c r="CK11" i="282"/>
  <c r="CK292" i="278"/>
  <c r="CK15" i="286"/>
  <c r="CK33" i="286"/>
  <c r="CJ53" i="273"/>
  <c r="CJ75" i="273"/>
  <c r="CK76" i="273"/>
  <c r="CN10" i="289"/>
  <c r="CN2" i="328"/>
  <c r="CH11" i="278"/>
  <c r="CH39" i="321"/>
  <c r="CH218" i="321"/>
  <c r="CH330" i="321"/>
  <c r="CJ124" i="273"/>
  <c r="CI16" i="285"/>
  <c r="CI17" i="285"/>
  <c r="CJ54" i="273"/>
  <c r="CJ84" i="273"/>
  <c r="CJ86" i="273"/>
  <c r="CH4" i="328"/>
  <c r="CH3" i="321"/>
  <c r="CH3" i="288"/>
  <c r="CH3" i="289"/>
  <c r="CH3" i="315"/>
  <c r="CH3" i="265"/>
  <c r="CH3" i="304"/>
  <c r="CH3" i="273"/>
  <c r="CH3" i="314"/>
  <c r="CH3" i="278"/>
  <c r="CH3" i="275"/>
  <c r="CH3" i="282"/>
  <c r="CH3" i="286"/>
  <c r="CH3" i="285"/>
  <c r="CH47" i="273"/>
  <c r="AJ222" i="278"/>
  <c r="AI229" i="278"/>
  <c r="AI231" i="278"/>
  <c r="AI116" i="265"/>
  <c r="AI112" i="315"/>
  <c r="AI254" i="278"/>
  <c r="X43" i="315"/>
  <c r="X45" i="265"/>
  <c r="X117" i="265"/>
  <c r="Y323" i="278"/>
  <c r="X113" i="315"/>
  <c r="X312" i="278"/>
  <c r="X305" i="278"/>
  <c r="X307" i="278"/>
  <c r="CJ172" i="314"/>
  <c r="CJ44" i="314"/>
  <c r="CJ123" i="314"/>
  <c r="CJ40" i="321"/>
  <c r="CJ41" i="321"/>
  <c r="CJ44" i="321"/>
  <c r="AI42" i="315"/>
  <c r="AI44" i="265"/>
  <c r="CI24" i="314"/>
  <c r="CI36" i="285"/>
  <c r="CI172" i="314"/>
  <c r="CI111" i="314"/>
  <c r="CI44" i="314"/>
  <c r="CI123" i="314"/>
  <c r="CI11" i="321"/>
  <c r="CI89" i="314"/>
  <c r="CI40" i="321"/>
  <c r="CI41" i="321"/>
  <c r="CI44" i="321"/>
  <c r="AH23" i="285"/>
  <c r="AH27" i="285"/>
  <c r="AG102" i="265"/>
  <c r="AG98" i="315"/>
  <c r="CJ89" i="314"/>
  <c r="CJ36" i="285"/>
  <c r="CH80" i="288"/>
  <c r="CJ24" i="314"/>
  <c r="CJ11" i="321"/>
  <c r="CJ111" i="314"/>
  <c r="CH241" i="288"/>
  <c r="CH242" i="288"/>
  <c r="CH244" i="288"/>
  <c r="CH86" i="288"/>
  <c r="CH217" i="273"/>
  <c r="CG218" i="273"/>
  <c r="CG114" i="288"/>
  <c r="CH45" i="321"/>
  <c r="CH46" i="321"/>
  <c r="CH48" i="321"/>
  <c r="CH91" i="288"/>
  <c r="CH167" i="288"/>
  <c r="CH259" i="288"/>
  <c r="CH236" i="288"/>
  <c r="CH51" i="321"/>
  <c r="CH217" i="288"/>
  <c r="CH218" i="288"/>
  <c r="CH220" i="288"/>
  <c r="CH67" i="288"/>
  <c r="CH68" i="288"/>
  <c r="CH57" i="328"/>
  <c r="CH161" i="288"/>
  <c r="CH162" i="288"/>
  <c r="CH171" i="288"/>
  <c r="CH230" i="288"/>
  <c r="CJ57" i="273"/>
  <c r="CJ63" i="273"/>
  <c r="CJ64" i="273"/>
  <c r="CP31" i="288"/>
  <c r="CP181" i="288"/>
  <c r="CR102" i="314"/>
  <c r="CR78" i="288"/>
  <c r="CR228" i="288"/>
  <c r="CR84" i="288"/>
  <c r="CR5" i="328"/>
  <c r="CR5" i="265"/>
  <c r="CR234" i="288"/>
  <c r="CR5" i="321"/>
  <c r="CR5" i="304"/>
  <c r="CR5" i="282"/>
  <c r="CR5" i="285"/>
  <c r="CR5" i="275"/>
  <c r="CR5" i="314"/>
  <c r="CR5" i="273"/>
  <c r="CR5" i="315"/>
  <c r="CR5" i="289"/>
  <c r="CR5" i="288"/>
  <c r="CR5" i="278"/>
  <c r="CR5" i="286"/>
  <c r="CQ38" i="289"/>
  <c r="CQ23" i="288"/>
  <c r="CQ25" i="288"/>
  <c r="CQ133" i="288"/>
  <c r="CQ136" i="288"/>
  <c r="CQ138" i="288"/>
  <c r="CQ140" i="288"/>
  <c r="CQ145" i="288"/>
  <c r="CG163" i="278"/>
  <c r="CG164" i="278"/>
  <c r="CG168" i="278"/>
  <c r="CG172" i="278"/>
  <c r="CG27" i="328"/>
  <c r="CG167" i="278"/>
  <c r="CK54" i="273"/>
  <c r="CK84" i="273"/>
  <c r="CK86" i="273"/>
  <c r="CL122" i="273"/>
  <c r="CL38" i="314"/>
  <c r="CL55" i="273"/>
  <c r="CL259" i="278"/>
  <c r="CL589" i="321"/>
  <c r="CL590" i="321"/>
  <c r="CL28" i="314"/>
  <c r="CL261" i="273"/>
  <c r="CL117" i="314"/>
  <c r="CH13" i="265"/>
  <c r="CH13" i="315"/>
  <c r="CH97" i="278"/>
  <c r="CH152" i="278"/>
  <c r="CH29" i="328"/>
  <c r="CJ573" i="321"/>
  <c r="CJ708" i="321"/>
  <c r="CJ104" i="314"/>
  <c r="CJ47" i="289"/>
  <c r="CJ48" i="289"/>
  <c r="CJ53" i="289"/>
  <c r="CJ283" i="278"/>
  <c r="CJ644" i="321"/>
  <c r="CJ659" i="321"/>
  <c r="CJ497" i="321"/>
  <c r="CJ63" i="286"/>
  <c r="CJ617" i="321"/>
  <c r="CJ652" i="321"/>
  <c r="CJ694" i="321"/>
  <c r="CJ581" i="321"/>
  <c r="CJ148" i="278"/>
  <c r="CJ713" i="321"/>
  <c r="CJ540" i="321"/>
  <c r="CJ57" i="314"/>
  <c r="CJ17" i="314"/>
  <c r="CJ551" i="321"/>
  <c r="CJ603" i="321"/>
  <c r="CJ675" i="321"/>
  <c r="CJ179" i="278"/>
  <c r="CJ230" i="278"/>
  <c r="CJ100" i="278"/>
  <c r="CJ622" i="321"/>
  <c r="CJ636" i="321"/>
  <c r="CJ453" i="321"/>
  <c r="CJ545" i="321"/>
  <c r="CJ136" i="314"/>
  <c r="CJ701" i="321"/>
  <c r="CJ702" i="321"/>
  <c r="CJ706" i="321"/>
  <c r="CJ565" i="321"/>
  <c r="CJ239" i="278"/>
  <c r="CJ238" i="273"/>
  <c r="CJ239" i="273"/>
  <c r="CJ204" i="278"/>
  <c r="CJ16" i="289"/>
  <c r="CJ17" i="289"/>
  <c r="CJ22" i="289"/>
  <c r="CJ233" i="273"/>
  <c r="CJ234" i="273"/>
  <c r="CJ17" i="278"/>
  <c r="CJ319" i="278"/>
  <c r="CJ129" i="314"/>
  <c r="CJ50" i="314"/>
  <c r="CJ31" i="289"/>
  <c r="CJ32" i="289"/>
  <c r="CJ37" i="289"/>
  <c r="CJ246" i="278"/>
  <c r="CJ306" i="278"/>
  <c r="CI218" i="321"/>
  <c r="CI39" i="321"/>
  <c r="CI330" i="321"/>
  <c r="CI11" i="278"/>
  <c r="CM36" i="289"/>
  <c r="CG98" i="278"/>
  <c r="CG101" i="278"/>
  <c r="CG104" i="278"/>
  <c r="CG105" i="278"/>
  <c r="CG18" i="328"/>
  <c r="CL237" i="273"/>
  <c r="CJ24" i="265"/>
  <c r="CJ22" i="315"/>
  <c r="CJ61" i="265"/>
  <c r="CJ59" i="315"/>
  <c r="CH92" i="278"/>
  <c r="CK163" i="273"/>
  <c r="CJ130" i="321"/>
  <c r="CJ212" i="273"/>
  <c r="CJ141" i="321"/>
  <c r="CJ70" i="321"/>
  <c r="CJ155" i="321"/>
  <c r="CJ147" i="321"/>
  <c r="CJ165" i="321"/>
  <c r="CL54" i="273"/>
  <c r="CL84" i="273"/>
  <c r="CI113" i="282"/>
  <c r="CI153" i="282"/>
  <c r="CI45" i="282"/>
  <c r="CI85" i="282"/>
  <c r="CI18" i="285"/>
  <c r="CI26" i="285"/>
  <c r="CK28" i="288"/>
  <c r="CK203" i="288"/>
  <c r="CK53" i="288"/>
  <c r="CK178" i="288"/>
  <c r="CK105" i="282"/>
  <c r="CK37" i="282"/>
  <c r="CK591" i="321"/>
  <c r="CL296" i="278"/>
  <c r="CL39" i="314"/>
  <c r="CL79" i="314"/>
  <c r="CL158" i="314"/>
  <c r="CL118" i="314"/>
  <c r="CL272" i="278"/>
  <c r="CL85" i="273"/>
  <c r="CL19" i="282"/>
  <c r="CL15" i="275"/>
  <c r="CL20" i="275"/>
  <c r="CM17" i="275"/>
  <c r="CF213" i="278"/>
  <c r="CF214" i="278"/>
  <c r="CF218" i="278"/>
  <c r="CF217" i="278"/>
  <c r="CF155" i="278"/>
  <c r="CF223" i="278"/>
  <c r="CH153" i="278"/>
  <c r="CH30" i="328"/>
  <c r="CL46" i="289"/>
  <c r="CL15" i="289"/>
  <c r="CL30" i="289"/>
  <c r="CI90" i="278"/>
  <c r="CI147" i="278"/>
  <c r="CI149" i="278"/>
  <c r="CL151" i="321"/>
  <c r="CL161" i="273"/>
  <c r="CL674" i="321"/>
  <c r="CL262" i="273"/>
  <c r="CF167" i="278"/>
  <c r="CF163" i="278"/>
  <c r="CF164" i="278"/>
  <c r="CF168" i="278"/>
  <c r="CF27" i="328"/>
  <c r="CF172" i="278"/>
  <c r="CJ16" i="285"/>
  <c r="CJ17" i="285"/>
  <c r="CK124" i="273"/>
  <c r="CO2" i="328"/>
  <c r="CL247" i="278"/>
  <c r="CL56" i="273"/>
  <c r="CL240" i="278"/>
  <c r="CE10" i="265"/>
  <c r="CE11" i="265"/>
  <c r="CE32" i="328"/>
  <c r="CE10" i="315"/>
  <c r="CE11" i="315"/>
  <c r="CL72" i="273"/>
  <c r="CK203" i="273"/>
  <c r="CJ71" i="321"/>
  <c r="CJ213" i="273"/>
  <c r="CJ253" i="321"/>
  <c r="CJ131" i="321"/>
  <c r="CJ259" i="321"/>
  <c r="CJ267" i="321"/>
  <c r="CJ277" i="321"/>
  <c r="CI709" i="321"/>
  <c r="CI711" i="321"/>
  <c r="CJ97" i="278"/>
  <c r="CL11" i="328"/>
  <c r="CL4" i="285"/>
  <c r="CL4" i="273"/>
  <c r="CL4" i="288"/>
  <c r="CL4" i="321"/>
  <c r="CL4" i="286"/>
  <c r="CL4" i="275"/>
  <c r="CL4" i="304"/>
  <c r="CL4" i="314"/>
  <c r="CL4" i="315"/>
  <c r="CL4" i="289"/>
  <c r="CL4" i="278"/>
  <c r="CL4" i="282"/>
  <c r="CG154" i="278"/>
  <c r="CL211" i="278"/>
  <c r="CL186" i="278"/>
  <c r="CL579" i="321"/>
  <c r="CL650" i="321"/>
  <c r="CL707" i="321"/>
  <c r="CL598" i="321"/>
  <c r="CL599" i="321"/>
  <c r="CL161" i="278"/>
  <c r="CF192" i="278"/>
  <c r="CF197" i="278"/>
  <c r="CF9" i="315"/>
  <c r="CF188" i="278"/>
  <c r="CF189" i="278"/>
  <c r="CF193" i="278"/>
  <c r="CK674" i="321"/>
  <c r="CK262" i="273"/>
  <c r="CI214" i="273"/>
  <c r="CI72" i="321"/>
  <c r="CI79" i="321"/>
  <c r="CF272" i="288"/>
  <c r="CF114" i="288"/>
  <c r="CF122" i="288"/>
  <c r="CF264" i="288"/>
  <c r="CL201" i="273"/>
  <c r="CL263" i="321"/>
  <c r="CI91" i="278"/>
  <c r="CM158" i="273"/>
  <c r="CM159" i="273"/>
  <c r="CM162" i="273"/>
  <c r="CM119" i="273"/>
  <c r="CM120" i="273"/>
  <c r="CM123" i="273"/>
  <c r="CM59" i="288"/>
  <c r="CM2" i="282"/>
  <c r="CM2" i="275"/>
  <c r="CM2" i="286"/>
  <c r="CM34" i="288"/>
  <c r="CM198" i="273"/>
  <c r="CM199" i="273"/>
  <c r="CM202" i="273"/>
  <c r="CM71" i="273"/>
  <c r="CM72" i="273"/>
  <c r="CM3" i="328"/>
  <c r="CM8" i="328"/>
  <c r="CM2" i="288"/>
  <c r="CM148" i="288"/>
  <c r="CM2" i="315"/>
  <c r="CM209" i="288"/>
  <c r="CM154" i="273"/>
  <c r="CM155" i="273"/>
  <c r="CM184" i="288"/>
  <c r="CM49" i="273"/>
  <c r="CM2" i="289"/>
  <c r="CM2" i="314"/>
  <c r="CM38" i="311"/>
  <c r="CM258" i="273"/>
  <c r="CM259" i="273"/>
  <c r="CM194" i="273"/>
  <c r="CM2" i="265"/>
  <c r="CM2" i="273"/>
  <c r="CM2" i="321"/>
  <c r="CM2" i="285"/>
  <c r="CM2" i="304"/>
  <c r="CM2" i="278"/>
  <c r="CK602" i="321"/>
  <c r="CK658" i="321"/>
  <c r="CL552" i="321"/>
  <c r="CL109" i="273"/>
  <c r="CM110" i="273"/>
  <c r="CL292" i="278"/>
  <c r="CL92" i="286"/>
  <c r="CL16" i="288"/>
  <c r="CL17" i="288"/>
  <c r="CL11" i="282"/>
  <c r="CL637" i="321"/>
  <c r="CL15" i="286"/>
  <c r="CL268" i="278"/>
  <c r="CL566" i="321"/>
  <c r="CL623" i="321"/>
  <c r="CL110" i="286"/>
  <c r="CL212" i="278"/>
  <c r="CL162" i="278"/>
  <c r="CL187" i="278"/>
  <c r="CL33" i="286"/>
  <c r="CG70" i="288"/>
  <c r="CG57" i="328"/>
  <c r="CI47" i="273"/>
  <c r="CI3" i="285"/>
  <c r="CI3" i="273"/>
  <c r="CI3" i="315"/>
  <c r="CI3" i="321"/>
  <c r="CI3" i="304"/>
  <c r="CI3" i="278"/>
  <c r="CI3" i="286"/>
  <c r="CI3" i="289"/>
  <c r="CI3" i="282"/>
  <c r="CI3" i="314"/>
  <c r="CI4" i="328"/>
  <c r="CI3" i="288"/>
  <c r="CI3" i="275"/>
  <c r="CI3" i="265"/>
  <c r="CK172" i="314"/>
  <c r="AJ228" i="278"/>
  <c r="AJ216" i="278"/>
  <c r="AJ219" i="278"/>
  <c r="AI23" i="285"/>
  <c r="AI27" i="285"/>
  <c r="AH98" i="315"/>
  <c r="AH102" i="265"/>
  <c r="Y326" i="278"/>
  <c r="Y318" i="278"/>
  <c r="Y320" i="278"/>
  <c r="Y321" i="278"/>
  <c r="AY283" i="307"/>
  <c r="AY9" i="310"/>
  <c r="X110" i="265"/>
  <c r="Y309" i="278"/>
  <c r="X106" i="315"/>
  <c r="AI238" i="278"/>
  <c r="AI282" i="278"/>
  <c r="AI245" i="278"/>
  <c r="CH70" i="288"/>
  <c r="CG264" i="288"/>
  <c r="CG272" i="288"/>
  <c r="CG122" i="288"/>
  <c r="CK123" i="314"/>
  <c r="CK11" i="321"/>
  <c r="CK111" i="314"/>
  <c r="CK40" i="321"/>
  <c r="CK41" i="321"/>
  <c r="CK44" i="321"/>
  <c r="CK57" i="273"/>
  <c r="CK63" i="273"/>
  <c r="CK64" i="273"/>
  <c r="CL86" i="273"/>
  <c r="CK89" i="314"/>
  <c r="CK44" i="314"/>
  <c r="CK24" i="314"/>
  <c r="CR38" i="289"/>
  <c r="CR133" i="288"/>
  <c r="CR136" i="288"/>
  <c r="CR138" i="288"/>
  <c r="CR140" i="288"/>
  <c r="CR145" i="288"/>
  <c r="CR23" i="288"/>
  <c r="CR25" i="288"/>
  <c r="CK36" i="285"/>
  <c r="CQ31" i="288"/>
  <c r="CQ181" i="288"/>
  <c r="CS102" i="314"/>
  <c r="CS84" i="288"/>
  <c r="CS228" i="288"/>
  <c r="CS5" i="328"/>
  <c r="CS5" i="265"/>
  <c r="CS234" i="288"/>
  <c r="CS78" i="288"/>
  <c r="CS5" i="321"/>
  <c r="CS5" i="314"/>
  <c r="CS5" i="286"/>
  <c r="CS5" i="273"/>
  <c r="CS5" i="315"/>
  <c r="CS5" i="278"/>
  <c r="CS5" i="285"/>
  <c r="CS5" i="289"/>
  <c r="CS5" i="288"/>
  <c r="CS5" i="275"/>
  <c r="CS5" i="304"/>
  <c r="CS5" i="282"/>
  <c r="CI92" i="278"/>
  <c r="CM53" i="273"/>
  <c r="CM75" i="273"/>
  <c r="CN76" i="273"/>
  <c r="CM161" i="273"/>
  <c r="CM151" i="321"/>
  <c r="CH17" i="328"/>
  <c r="CM237" i="273"/>
  <c r="CM195" i="273"/>
  <c r="CL124" i="273"/>
  <c r="CK16" i="285"/>
  <c r="CK17" i="285"/>
  <c r="CF10" i="265"/>
  <c r="CF11" i="265"/>
  <c r="CF32" i="328"/>
  <c r="CF10" i="315"/>
  <c r="CF11" i="315"/>
  <c r="CM28" i="314"/>
  <c r="CM55" i="273"/>
  <c r="CM38" i="314"/>
  <c r="CM259" i="278"/>
  <c r="CM589" i="321"/>
  <c r="CM590" i="321"/>
  <c r="CM117" i="314"/>
  <c r="CM122" i="273"/>
  <c r="CM261" i="273"/>
  <c r="CJ72" i="321"/>
  <c r="CJ79" i="321"/>
  <c r="CK212" i="273"/>
  <c r="CK141" i="321"/>
  <c r="CK147" i="321"/>
  <c r="CK155" i="321"/>
  <c r="CK130" i="321"/>
  <c r="CK165" i="321"/>
  <c r="CL163" i="273"/>
  <c r="CK70" i="321"/>
  <c r="CJ91" i="278"/>
  <c r="CK17" i="314"/>
  <c r="CK603" i="321"/>
  <c r="CK675" i="321"/>
  <c r="CK565" i="321"/>
  <c r="CK540" i="321"/>
  <c r="CK230" i="278"/>
  <c r="CK246" i="278"/>
  <c r="CK283" i="278"/>
  <c r="CK659" i="321"/>
  <c r="CK497" i="321"/>
  <c r="CK57" i="314"/>
  <c r="CK63" i="286"/>
  <c r="CK701" i="321"/>
  <c r="CK702" i="321"/>
  <c r="CK706" i="321"/>
  <c r="CK551" i="321"/>
  <c r="CK179" i="278"/>
  <c r="CK233" i="273"/>
  <c r="CK234" i="273"/>
  <c r="CK17" i="278"/>
  <c r="CK622" i="321"/>
  <c r="CK644" i="321"/>
  <c r="CK694" i="321"/>
  <c r="CK31" i="289"/>
  <c r="CK32" i="289"/>
  <c r="CK37" i="289"/>
  <c r="CK39" i="289"/>
  <c r="CL39" i="289"/>
  <c r="CK306" i="278"/>
  <c r="CK708" i="321"/>
  <c r="CK239" i="278"/>
  <c r="CK573" i="321"/>
  <c r="CK617" i="321"/>
  <c r="CK100" i="278"/>
  <c r="CK652" i="321"/>
  <c r="CK453" i="321"/>
  <c r="CK136" i="314"/>
  <c r="CK50" i="314"/>
  <c r="CK148" i="278"/>
  <c r="CK713" i="321"/>
  <c r="CK104" i="314"/>
  <c r="CK581" i="321"/>
  <c r="CK238" i="273"/>
  <c r="CK239" i="273"/>
  <c r="CK204" i="278"/>
  <c r="CK636" i="321"/>
  <c r="CK319" i="278"/>
  <c r="CK545" i="321"/>
  <c r="CK129" i="314"/>
  <c r="CL105" i="282"/>
  <c r="CL591" i="321"/>
  <c r="CL37" i="282"/>
  <c r="CM262" i="273"/>
  <c r="CM674" i="321"/>
  <c r="CM211" i="278"/>
  <c r="CM186" i="278"/>
  <c r="CM707" i="321"/>
  <c r="CM598" i="321"/>
  <c r="CM599" i="321"/>
  <c r="CM161" i="278"/>
  <c r="CM579" i="321"/>
  <c r="CM650" i="321"/>
  <c r="CM296" i="278"/>
  <c r="CM39" i="314"/>
  <c r="CM272" i="278"/>
  <c r="CM158" i="314"/>
  <c r="CM118" i="314"/>
  <c r="CM79" i="314"/>
  <c r="CM85" i="273"/>
  <c r="CM19" i="282"/>
  <c r="CM15" i="275"/>
  <c r="CM20" i="275"/>
  <c r="CN17" i="275"/>
  <c r="CL53" i="273"/>
  <c r="CL75" i="273"/>
  <c r="CM76" i="273"/>
  <c r="CJ113" i="282"/>
  <c r="CJ153" i="282"/>
  <c r="CJ85" i="282"/>
  <c r="CJ45" i="282"/>
  <c r="CJ26" i="285"/>
  <c r="CJ18" i="285"/>
  <c r="CI152" i="278"/>
  <c r="CI29" i="328"/>
  <c r="CK24" i="265"/>
  <c r="CK22" i="315"/>
  <c r="CK61" i="265"/>
  <c r="CK59" i="315"/>
  <c r="CI13" i="315"/>
  <c r="CI13" i="265"/>
  <c r="CH98" i="278"/>
  <c r="CH101" i="278"/>
  <c r="CH104" i="278"/>
  <c r="CH105" i="278"/>
  <c r="CH18" i="328"/>
  <c r="CG197" i="278"/>
  <c r="CG9" i="315"/>
  <c r="CG188" i="278"/>
  <c r="CG189" i="278"/>
  <c r="CG193" i="278"/>
  <c r="CG192" i="278"/>
  <c r="CJ90" i="278"/>
  <c r="CM240" i="278"/>
  <c r="CM247" i="278"/>
  <c r="CM56" i="273"/>
  <c r="CM212" i="278"/>
  <c r="CM109" i="273"/>
  <c r="CN110" i="273"/>
  <c r="CM292" i="278"/>
  <c r="CM33" i="286"/>
  <c r="CM552" i="321"/>
  <c r="CM11" i="282"/>
  <c r="CM637" i="321"/>
  <c r="CM110" i="286"/>
  <c r="CM268" i="278"/>
  <c r="CM566" i="321"/>
  <c r="CM623" i="321"/>
  <c r="CM15" i="286"/>
  <c r="CM16" i="288"/>
  <c r="CM17" i="288"/>
  <c r="CM162" i="278"/>
  <c r="CM187" i="278"/>
  <c r="CM92" i="286"/>
  <c r="CI45" i="321"/>
  <c r="CI46" i="321"/>
  <c r="CI48" i="321"/>
  <c r="CI236" i="288"/>
  <c r="CI161" i="288"/>
  <c r="CI162" i="288"/>
  <c r="CI171" i="288"/>
  <c r="CI67" i="288"/>
  <c r="CI68" i="288"/>
  <c r="CI167" i="288"/>
  <c r="CI217" i="273"/>
  <c r="CH218" i="273"/>
  <c r="CI91" i="288"/>
  <c r="CI217" i="288"/>
  <c r="CI218" i="288"/>
  <c r="CI220" i="288"/>
  <c r="CI230" i="288"/>
  <c r="CI259" i="288"/>
  <c r="CI86" i="288"/>
  <c r="CI51" i="321"/>
  <c r="CI241" i="288"/>
  <c r="CI242" i="288"/>
  <c r="CI244" i="288"/>
  <c r="CI109" i="288"/>
  <c r="CI80" i="288"/>
  <c r="CL602" i="321"/>
  <c r="CL658" i="321"/>
  <c r="CG213" i="278"/>
  <c r="CG214" i="278"/>
  <c r="CG218" i="278"/>
  <c r="CG155" i="278"/>
  <c r="CG217" i="278"/>
  <c r="CG223" i="278"/>
  <c r="CI97" i="278"/>
  <c r="CJ147" i="278"/>
  <c r="CJ149" i="278"/>
  <c r="CJ214" i="273"/>
  <c r="CM30" i="289"/>
  <c r="CJ709" i="321"/>
  <c r="CJ711" i="321"/>
  <c r="CH154" i="278"/>
  <c r="CL263" i="273"/>
  <c r="CN11" i="289"/>
  <c r="CN12" i="289"/>
  <c r="CN36" i="289"/>
  <c r="CL53" i="288"/>
  <c r="CL178" i="288"/>
  <c r="CL28" i="288"/>
  <c r="CL203" i="288"/>
  <c r="CK131" i="321"/>
  <c r="CK259" i="321"/>
  <c r="CK71" i="321"/>
  <c r="CK267" i="321"/>
  <c r="CL203" i="273"/>
  <c r="CK253" i="321"/>
  <c r="CK213" i="273"/>
  <c r="CK277" i="321"/>
  <c r="CP10" i="289"/>
  <c r="CP2" i="328"/>
  <c r="CI153" i="278"/>
  <c r="CI30" i="328"/>
  <c r="CM11" i="328"/>
  <c r="CM4" i="315"/>
  <c r="CM4" i="314"/>
  <c r="CM4" i="286"/>
  <c r="CM4" i="273"/>
  <c r="CM4" i="288"/>
  <c r="CM4" i="289"/>
  <c r="CM4" i="282"/>
  <c r="CM4" i="304"/>
  <c r="CM4" i="321"/>
  <c r="CM4" i="285"/>
  <c r="CM4" i="278"/>
  <c r="CM4" i="275"/>
  <c r="CJ39" i="321"/>
  <c r="CJ218" i="321"/>
  <c r="CJ11" i="278"/>
  <c r="CJ330" i="321"/>
  <c r="CN258" i="273"/>
  <c r="CN259" i="273"/>
  <c r="CN119" i="273"/>
  <c r="CN120" i="273"/>
  <c r="CN123" i="273"/>
  <c r="CN2" i="265"/>
  <c r="CN2" i="321"/>
  <c r="CN2" i="275"/>
  <c r="CN2" i="273"/>
  <c r="CN2" i="286"/>
  <c r="CN49" i="273"/>
  <c r="CN71" i="273"/>
  <c r="CN154" i="273"/>
  <c r="CN3" i="328"/>
  <c r="CN8" i="328"/>
  <c r="CN2" i="315"/>
  <c r="CN38" i="311"/>
  <c r="CN2" i="285"/>
  <c r="CN184" i="288"/>
  <c r="CN158" i="273"/>
  <c r="CN159" i="273"/>
  <c r="CN162" i="273"/>
  <c r="CN194" i="273"/>
  <c r="CN195" i="273"/>
  <c r="CN59" i="288"/>
  <c r="CN2" i="282"/>
  <c r="CN2" i="278"/>
  <c r="CN2" i="314"/>
  <c r="CN2" i="289"/>
  <c r="CN198" i="273"/>
  <c r="CN199" i="273"/>
  <c r="CN202" i="273"/>
  <c r="CN34" i="288"/>
  <c r="CN148" i="288"/>
  <c r="CN2" i="288"/>
  <c r="CN209" i="288"/>
  <c r="CN2" i="304"/>
  <c r="CJ4" i="328"/>
  <c r="CJ47" i="273"/>
  <c r="CJ3" i="289"/>
  <c r="CJ3" i="285"/>
  <c r="CJ3" i="265"/>
  <c r="CJ3" i="278"/>
  <c r="CJ3" i="275"/>
  <c r="CJ3" i="315"/>
  <c r="CJ3" i="282"/>
  <c r="CJ3" i="288"/>
  <c r="CJ3" i="304"/>
  <c r="CJ3" i="314"/>
  <c r="CJ3" i="286"/>
  <c r="CJ3" i="273"/>
  <c r="CJ3" i="321"/>
  <c r="Y43" i="315"/>
  <c r="Y45" i="265"/>
  <c r="AJ224" i="278"/>
  <c r="AJ225" i="278"/>
  <c r="AJ220" i="278"/>
  <c r="Y117" i="265"/>
  <c r="Y113" i="315"/>
  <c r="Z323" i="278"/>
  <c r="Y312" i="278"/>
  <c r="Y305" i="278"/>
  <c r="Y307" i="278"/>
  <c r="AJ23" i="285"/>
  <c r="AJ27" i="285"/>
  <c r="AI102" i="265"/>
  <c r="AI98" i="315"/>
  <c r="CL57" i="273"/>
  <c r="CS38" i="289"/>
  <c r="CS133" i="288"/>
  <c r="CS136" i="288"/>
  <c r="CS138" i="288"/>
  <c r="CS140" i="288"/>
  <c r="CS145" i="288"/>
  <c r="CS23" i="288"/>
  <c r="CS25" i="288"/>
  <c r="CR31" i="288"/>
  <c r="CR181" i="288"/>
  <c r="CT102" i="314"/>
  <c r="CT5" i="328"/>
  <c r="CT78" i="288"/>
  <c r="CT228" i="288"/>
  <c r="CT84" i="288"/>
  <c r="CT5" i="265"/>
  <c r="CT234" i="288"/>
  <c r="CT5" i="321"/>
  <c r="CT5" i="278"/>
  <c r="CT5" i="315"/>
  <c r="CT5" i="289"/>
  <c r="CT5" i="286"/>
  <c r="CT5" i="288"/>
  <c r="CT5" i="285"/>
  <c r="CT5" i="275"/>
  <c r="CT5" i="273"/>
  <c r="CT5" i="304"/>
  <c r="CT5" i="314"/>
  <c r="CT5" i="282"/>
  <c r="CK709" i="321"/>
  <c r="CK711" i="321"/>
  <c r="CJ92" i="278"/>
  <c r="CJ18" i="328"/>
  <c r="CI98" i="278"/>
  <c r="CI101" i="278"/>
  <c r="CI104" i="278"/>
  <c r="CI105" i="278"/>
  <c r="CI18" i="328"/>
  <c r="CM263" i="273"/>
  <c r="CN201" i="273"/>
  <c r="CN263" i="321"/>
  <c r="CH172" i="278"/>
  <c r="CH27" i="328"/>
  <c r="CH167" i="278"/>
  <c r="CH163" i="278"/>
  <c r="CH164" i="278"/>
  <c r="CH168" i="278"/>
  <c r="CN158" i="314"/>
  <c r="CN15" i="275"/>
  <c r="CN20" i="275"/>
  <c r="CO17" i="275"/>
  <c r="CN19" i="282"/>
  <c r="CN296" i="278"/>
  <c r="CN39" i="314"/>
  <c r="CN272" i="278"/>
  <c r="CN85" i="273"/>
  <c r="CN79" i="314"/>
  <c r="CN118" i="314"/>
  <c r="CL63" i="273"/>
  <c r="CL64" i="273"/>
  <c r="CN598" i="321"/>
  <c r="CN599" i="321"/>
  <c r="CN161" i="278"/>
  <c r="CN211" i="278"/>
  <c r="CN650" i="321"/>
  <c r="CN579" i="321"/>
  <c r="CN186" i="278"/>
  <c r="CN707" i="321"/>
  <c r="CJ153" i="278"/>
  <c r="CJ30" i="328"/>
  <c r="CJ13" i="265"/>
  <c r="CJ13" i="315"/>
  <c r="CK218" i="321"/>
  <c r="CK39" i="321"/>
  <c r="CK330" i="321"/>
  <c r="CK11" i="278"/>
  <c r="CK91" i="278"/>
  <c r="CK90" i="278"/>
  <c r="CK72" i="321"/>
  <c r="CK79" i="321"/>
  <c r="CM105" i="282"/>
  <c r="CM591" i="321"/>
  <c r="CM37" i="282"/>
  <c r="CI17" i="328"/>
  <c r="CN11" i="282"/>
  <c r="CN268" i="278"/>
  <c r="CN623" i="321"/>
  <c r="CN110" i="286"/>
  <c r="CN16" i="288"/>
  <c r="CN17" i="288"/>
  <c r="CN566" i="321"/>
  <c r="CN637" i="321"/>
  <c r="CN33" i="286"/>
  <c r="CN162" i="278"/>
  <c r="CN212" i="278"/>
  <c r="CN187" i="278"/>
  <c r="CN92" i="286"/>
  <c r="CN109" i="273"/>
  <c r="CO110" i="273"/>
  <c r="CN552" i="321"/>
  <c r="CN292" i="278"/>
  <c r="CN15" i="286"/>
  <c r="CN155" i="273"/>
  <c r="CO36" i="289"/>
  <c r="CN15" i="289"/>
  <c r="CN30" i="289"/>
  <c r="CN46" i="289"/>
  <c r="CH155" i="278"/>
  <c r="CH223" i="278"/>
  <c r="CH213" i="278"/>
  <c r="CH214" i="278"/>
  <c r="CH218" i="278"/>
  <c r="CH217" i="278"/>
  <c r="CJ152" i="278"/>
  <c r="CJ29" i="328"/>
  <c r="CH272" i="288"/>
  <c r="CH122" i="288"/>
  <c r="CH114" i="288"/>
  <c r="CH264" i="288"/>
  <c r="CN122" i="273"/>
  <c r="CN259" i="278"/>
  <c r="CN589" i="321"/>
  <c r="CN590" i="321"/>
  <c r="CN261" i="273"/>
  <c r="CN55" i="273"/>
  <c r="CN117" i="314"/>
  <c r="CN28" i="314"/>
  <c r="CN38" i="314"/>
  <c r="CN674" i="321"/>
  <c r="CN262" i="273"/>
  <c r="CL22" i="315"/>
  <c r="CL59" i="315"/>
  <c r="CL61" i="265"/>
  <c r="CL24" i="265"/>
  <c r="CM163" i="273"/>
  <c r="CL130" i="321"/>
  <c r="CL212" i="273"/>
  <c r="CL141" i="321"/>
  <c r="CL147" i="321"/>
  <c r="CL155" i="321"/>
  <c r="CL70" i="321"/>
  <c r="CL165" i="321"/>
  <c r="CK153" i="282"/>
  <c r="CK85" i="282"/>
  <c r="CK113" i="282"/>
  <c r="CK45" i="282"/>
  <c r="CK18" i="285"/>
  <c r="CK26" i="285"/>
  <c r="CN4" i="285"/>
  <c r="CN4" i="286"/>
  <c r="CN4" i="304"/>
  <c r="CN4" i="314"/>
  <c r="CN11" i="328"/>
  <c r="CN4" i="278"/>
  <c r="CN4" i="315"/>
  <c r="CN4" i="289"/>
  <c r="CN4" i="275"/>
  <c r="CN4" i="288"/>
  <c r="CN4" i="282"/>
  <c r="CN4" i="321"/>
  <c r="CN4" i="273"/>
  <c r="CN72" i="273"/>
  <c r="CO119" i="273"/>
  <c r="CO120" i="273"/>
  <c r="CO123" i="273"/>
  <c r="CO59" i="288"/>
  <c r="CO2" i="286"/>
  <c r="CO2" i="285"/>
  <c r="CO49" i="273"/>
  <c r="CO2" i="315"/>
  <c r="CO209" i="288"/>
  <c r="CO2" i="321"/>
  <c r="CO154" i="273"/>
  <c r="CO71" i="273"/>
  <c r="CO38" i="311"/>
  <c r="CO34" i="288"/>
  <c r="CO184" i="288"/>
  <c r="CO2" i="275"/>
  <c r="CO2" i="314"/>
  <c r="CO194" i="273"/>
  <c r="CO2" i="304"/>
  <c r="CO158" i="273"/>
  <c r="CO159" i="273"/>
  <c r="CO162" i="273"/>
  <c r="CO2" i="288"/>
  <c r="CO198" i="273"/>
  <c r="CO199" i="273"/>
  <c r="CO202" i="273"/>
  <c r="CO258" i="273"/>
  <c r="CO259" i="273"/>
  <c r="CO3" i="328"/>
  <c r="CO8" i="328"/>
  <c r="CO148" i="288"/>
  <c r="CO2" i="282"/>
  <c r="CO2" i="278"/>
  <c r="CO2" i="289"/>
  <c r="CO2" i="265"/>
  <c r="CO2" i="273"/>
  <c r="CJ217" i="288"/>
  <c r="CJ218" i="288"/>
  <c r="CJ220" i="288"/>
  <c r="CJ217" i="273"/>
  <c r="CI218" i="273"/>
  <c r="CJ91" i="288"/>
  <c r="CJ236" i="288"/>
  <c r="CJ45" i="321"/>
  <c r="CJ46" i="321"/>
  <c r="CJ48" i="321"/>
  <c r="CJ230" i="288"/>
  <c r="CJ86" i="288"/>
  <c r="CJ67" i="288"/>
  <c r="CJ68" i="288"/>
  <c r="CJ259" i="288"/>
  <c r="CJ161" i="288"/>
  <c r="CJ162" i="288"/>
  <c r="CJ171" i="288"/>
  <c r="CJ80" i="288"/>
  <c r="CJ51" i="321"/>
  <c r="CJ167" i="288"/>
  <c r="CJ109" i="288"/>
  <c r="CJ241" i="288"/>
  <c r="CJ242" i="288"/>
  <c r="CJ244" i="288"/>
  <c r="CM53" i="288"/>
  <c r="CM28" i="288"/>
  <c r="CM178" i="288"/>
  <c r="CM203" i="288"/>
  <c r="CN56" i="273"/>
  <c r="CN240" i="278"/>
  <c r="CN247" i="278"/>
  <c r="CM84" i="273"/>
  <c r="CM86" i="273"/>
  <c r="CM54" i="273"/>
  <c r="CM57" i="273"/>
  <c r="CM602" i="321"/>
  <c r="CM658" i="321"/>
  <c r="CM124" i="273"/>
  <c r="CL16" i="285"/>
  <c r="CL17" i="285"/>
  <c r="CM201" i="273"/>
  <c r="CM203" i="273"/>
  <c r="CM263" i="321"/>
  <c r="CN84" i="273"/>
  <c r="CN54" i="273"/>
  <c r="CN237" i="273"/>
  <c r="CQ2" i="328"/>
  <c r="CL213" i="273"/>
  <c r="CL253" i="321"/>
  <c r="CL71" i="321"/>
  <c r="CL259" i="321"/>
  <c r="CL131" i="321"/>
  <c r="CL267" i="321"/>
  <c r="CL277" i="321"/>
  <c r="CG10" i="315"/>
  <c r="CG11" i="315"/>
  <c r="CG10" i="265"/>
  <c r="CG11" i="265"/>
  <c r="CG32" i="328"/>
  <c r="CI70" i="288"/>
  <c r="CI57" i="328"/>
  <c r="CH188" i="278"/>
  <c r="CH189" i="278"/>
  <c r="CH193" i="278"/>
  <c r="CH9" i="315"/>
  <c r="CH192" i="278"/>
  <c r="CH197" i="278"/>
  <c r="CI154" i="278"/>
  <c r="CK147" i="278"/>
  <c r="CK149" i="278"/>
  <c r="CL603" i="321"/>
  <c r="CL675" i="321"/>
  <c r="CL239" i="278"/>
  <c r="CL551" i="321"/>
  <c r="CL246" i="278"/>
  <c r="CL652" i="321"/>
  <c r="CL283" i="278"/>
  <c r="CL453" i="321"/>
  <c r="CL136" i="314"/>
  <c r="CL57" i="314"/>
  <c r="CL701" i="321"/>
  <c r="CL702" i="321"/>
  <c r="CL706" i="321"/>
  <c r="CL565" i="321"/>
  <c r="CL104" i="314"/>
  <c r="CL622" i="321"/>
  <c r="CL636" i="321"/>
  <c r="CL659" i="321"/>
  <c r="CL319" i="278"/>
  <c r="CL47" i="289"/>
  <c r="CL48" i="289"/>
  <c r="CL53" i="289"/>
  <c r="CL129" i="314"/>
  <c r="CL17" i="314"/>
  <c r="CL708" i="321"/>
  <c r="CL540" i="321"/>
  <c r="CL573" i="321"/>
  <c r="CL617" i="321"/>
  <c r="CL238" i="273"/>
  <c r="CL239" i="273"/>
  <c r="CL100" i="278"/>
  <c r="CL694" i="321"/>
  <c r="CL306" i="278"/>
  <c r="CL63" i="286"/>
  <c r="CL16" i="289"/>
  <c r="CL17" i="289"/>
  <c r="CL22" i="289"/>
  <c r="CL148" i="278"/>
  <c r="CL713" i="321"/>
  <c r="CL179" i="278"/>
  <c r="CL230" i="278"/>
  <c r="CL581" i="321"/>
  <c r="CL233" i="273"/>
  <c r="CL234" i="273"/>
  <c r="CL17" i="278"/>
  <c r="CL644" i="321"/>
  <c r="CL204" i="278"/>
  <c r="CL497" i="321"/>
  <c r="CL31" i="289"/>
  <c r="CL32" i="289"/>
  <c r="CL37" i="289"/>
  <c r="CL545" i="321"/>
  <c r="CL50" i="314"/>
  <c r="CK214" i="273"/>
  <c r="CK3" i="285"/>
  <c r="CK47" i="273"/>
  <c r="CK3" i="275"/>
  <c r="CK4" i="328"/>
  <c r="CK3" i="304"/>
  <c r="CK3" i="321"/>
  <c r="CK3" i="315"/>
  <c r="CK3" i="282"/>
  <c r="CK3" i="288"/>
  <c r="CK3" i="265"/>
  <c r="CK3" i="273"/>
  <c r="CK3" i="289"/>
  <c r="CK3" i="278"/>
  <c r="CK3" i="314"/>
  <c r="CK3" i="286"/>
  <c r="CM172" i="314"/>
  <c r="Z309" i="278"/>
  <c r="Y106" i="315"/>
  <c r="Y110" i="265"/>
  <c r="CL24" i="314"/>
  <c r="CL172" i="314"/>
  <c r="CL111" i="314"/>
  <c r="CL36" i="285"/>
  <c r="CL44" i="314"/>
  <c r="CL11" i="321"/>
  <c r="CL123" i="314"/>
  <c r="CL40" i="321"/>
  <c r="CL41" i="321"/>
  <c r="CL44" i="321"/>
  <c r="CL89" i="314"/>
  <c r="AJ44" i="265"/>
  <c r="AJ42" i="315"/>
  <c r="Z326" i="278"/>
  <c r="Z318" i="278"/>
  <c r="Z320" i="278"/>
  <c r="Z321" i="278"/>
  <c r="AK222" i="278"/>
  <c r="AJ229" i="278"/>
  <c r="AJ231" i="278"/>
  <c r="AJ116" i="265"/>
  <c r="AJ254" i="278"/>
  <c r="AJ112" i="315"/>
  <c r="AZ283" i="307"/>
  <c r="AZ9" i="310"/>
  <c r="AK23" i="285"/>
  <c r="AK27" i="285"/>
  <c r="AJ98" i="315"/>
  <c r="AJ102" i="265"/>
  <c r="CJ98" i="278"/>
  <c r="CJ101" i="278"/>
  <c r="CJ104" i="278"/>
  <c r="CJ105" i="278"/>
  <c r="CJ197" i="278"/>
  <c r="CN263" i="273"/>
  <c r="CT38" i="289"/>
  <c r="CT133" i="288"/>
  <c r="CT136" i="288"/>
  <c r="CT138" i="288"/>
  <c r="CT140" i="288"/>
  <c r="CT145" i="288"/>
  <c r="CT23" i="288"/>
  <c r="CT25" i="288"/>
  <c r="CS181" i="288"/>
  <c r="CS31" i="288"/>
  <c r="CU102" i="314"/>
  <c r="CU228" i="288"/>
  <c r="CU78" i="288"/>
  <c r="CU84" i="288"/>
  <c r="CU5" i="328"/>
  <c r="CU5" i="321"/>
  <c r="CU234" i="288"/>
  <c r="CU5" i="285"/>
  <c r="CU5" i="273"/>
  <c r="CU5" i="278"/>
  <c r="CU5" i="288"/>
  <c r="CU5" i="289"/>
  <c r="CU5" i="265"/>
  <c r="CU5" i="282"/>
  <c r="CU5" i="315"/>
  <c r="CU5" i="304"/>
  <c r="CU5" i="275"/>
  <c r="CU5" i="286"/>
  <c r="CU5" i="314"/>
  <c r="CJ17" i="328"/>
  <c r="CJ154" i="278"/>
  <c r="CJ213" i="278"/>
  <c r="CJ214" i="278"/>
  <c r="CJ218" i="278"/>
  <c r="CI197" i="278"/>
  <c r="CI9" i="315"/>
  <c r="CI192" i="278"/>
  <c r="CI188" i="278"/>
  <c r="CI189" i="278"/>
  <c r="CI193" i="278"/>
  <c r="CM11" i="321"/>
  <c r="CM36" i="285"/>
  <c r="CI172" i="278"/>
  <c r="CI27" i="328"/>
  <c r="CI167" i="278"/>
  <c r="CI163" i="278"/>
  <c r="CI164" i="278"/>
  <c r="CI168" i="278"/>
  <c r="CM63" i="273"/>
  <c r="CM64" i="273"/>
  <c r="CM71" i="321"/>
  <c r="CM259" i="321"/>
  <c r="CM131" i="321"/>
  <c r="CM277" i="321"/>
  <c r="CN203" i="273"/>
  <c r="CM253" i="321"/>
  <c r="CM213" i="273"/>
  <c r="CM267" i="321"/>
  <c r="CL709" i="321"/>
  <c r="CL711" i="321"/>
  <c r="CK30" i="328"/>
  <c r="CK153" i="278"/>
  <c r="CO4" i="304"/>
  <c r="CO4" i="278"/>
  <c r="CO4" i="285"/>
  <c r="CO4" i="288"/>
  <c r="CO4" i="282"/>
  <c r="CO4" i="275"/>
  <c r="CO11" i="328"/>
  <c r="CO4" i="321"/>
  <c r="CO4" i="289"/>
  <c r="CO4" i="286"/>
  <c r="CO4" i="273"/>
  <c r="CO4" i="314"/>
  <c r="CO4" i="315"/>
  <c r="CJ70" i="288"/>
  <c r="CJ57" i="328"/>
  <c r="CO237" i="273"/>
  <c r="CN53" i="273"/>
  <c r="CN57" i="273"/>
  <c r="CN75" i="273"/>
  <c r="CO76" i="273"/>
  <c r="CL72" i="321"/>
  <c r="CL79" i="321"/>
  <c r="CL214" i="273"/>
  <c r="CP119" i="273"/>
  <c r="CP120" i="273"/>
  <c r="CP123" i="273"/>
  <c r="CP194" i="273"/>
  <c r="CP195" i="273"/>
  <c r="CP3" i="328"/>
  <c r="CP8" i="328"/>
  <c r="CP148" i="288"/>
  <c r="CP209" i="288"/>
  <c r="CP2" i="321"/>
  <c r="CP2" i="315"/>
  <c r="CP158" i="273"/>
  <c r="CP159" i="273"/>
  <c r="CP162" i="273"/>
  <c r="CP258" i="273"/>
  <c r="CP259" i="273"/>
  <c r="CP59" i="288"/>
  <c r="CP2" i="304"/>
  <c r="CP49" i="273"/>
  <c r="CP2" i="314"/>
  <c r="CP2" i="282"/>
  <c r="CP198" i="273"/>
  <c r="CP199" i="273"/>
  <c r="CP202" i="273"/>
  <c r="CP38" i="311"/>
  <c r="CP184" i="288"/>
  <c r="CP2" i="286"/>
  <c r="CP2" i="275"/>
  <c r="CP2" i="278"/>
  <c r="CP71" i="273"/>
  <c r="CP72" i="273"/>
  <c r="CP154" i="273"/>
  <c r="CP155" i="273"/>
  <c r="CP2" i="265"/>
  <c r="CP2" i="288"/>
  <c r="CP2" i="289"/>
  <c r="CP34" i="288"/>
  <c r="CP2" i="285"/>
  <c r="CP2" i="273"/>
  <c r="CM59" i="315"/>
  <c r="CM24" i="265"/>
  <c r="CM22" i="315"/>
  <c r="CM61" i="265"/>
  <c r="CO589" i="321"/>
  <c r="CO590" i="321"/>
  <c r="CO259" i="278"/>
  <c r="CO55" i="273"/>
  <c r="CO38" i="314"/>
  <c r="CO122" i="273"/>
  <c r="CO261" i="273"/>
  <c r="CO117" i="314"/>
  <c r="CO28" i="314"/>
  <c r="CL91" i="278"/>
  <c r="CK152" i="278"/>
  <c r="CK29" i="328"/>
  <c r="CO579" i="321"/>
  <c r="CO598" i="321"/>
  <c r="CO599" i="321"/>
  <c r="CO211" i="278"/>
  <c r="CO186" i="278"/>
  <c r="CO707" i="321"/>
  <c r="CO650" i="321"/>
  <c r="CO161" i="278"/>
  <c r="CO11" i="282"/>
  <c r="CO212" i="278"/>
  <c r="CO187" i="278"/>
  <c r="CO110" i="286"/>
  <c r="CO566" i="321"/>
  <c r="CO552" i="321"/>
  <c r="CO292" i="278"/>
  <c r="CO15" i="286"/>
  <c r="CO162" i="278"/>
  <c r="CO268" i="278"/>
  <c r="CO637" i="321"/>
  <c r="CO92" i="286"/>
  <c r="CO109" i="273"/>
  <c r="CP110" i="273"/>
  <c r="CO16" i="288"/>
  <c r="CO17" i="288"/>
  <c r="CO623" i="321"/>
  <c r="CO33" i="286"/>
  <c r="CO296" i="278"/>
  <c r="CO39" i="314"/>
  <c r="CO19" i="282"/>
  <c r="CO158" i="314"/>
  <c r="CO118" i="314"/>
  <c r="CO272" i="278"/>
  <c r="CO85" i="273"/>
  <c r="CO79" i="314"/>
  <c r="CO15" i="275"/>
  <c r="CO20" i="275"/>
  <c r="CP17" i="275"/>
  <c r="CO674" i="321"/>
  <c r="CO262" i="273"/>
  <c r="CL3" i="273"/>
  <c r="CL3" i="275"/>
  <c r="CL3" i="265"/>
  <c r="CL3" i="278"/>
  <c r="CL3" i="314"/>
  <c r="CL3" i="285"/>
  <c r="CL3" i="282"/>
  <c r="CL3" i="288"/>
  <c r="CL3" i="315"/>
  <c r="CL3" i="289"/>
  <c r="CL47" i="273"/>
  <c r="CL4" i="328"/>
  <c r="CL3" i="321"/>
  <c r="CL3" i="304"/>
  <c r="CL3" i="286"/>
  <c r="CL39" i="321"/>
  <c r="CL11" i="278"/>
  <c r="CL218" i="321"/>
  <c r="CL330" i="321"/>
  <c r="CL90" i="278"/>
  <c r="CM179" i="278"/>
  <c r="CM573" i="321"/>
  <c r="CM148" i="278"/>
  <c r="CM713" i="321"/>
  <c r="CM100" i="278"/>
  <c r="CM238" i="273"/>
  <c r="CM239" i="273"/>
  <c r="CM652" i="321"/>
  <c r="CM497" i="321"/>
  <c r="CM63" i="286"/>
  <c r="CM129" i="314"/>
  <c r="CM239" i="278"/>
  <c r="CM581" i="321"/>
  <c r="CM603" i="321"/>
  <c r="CM675" i="321"/>
  <c r="CM204" i="278"/>
  <c r="CM246" i="278"/>
  <c r="CM636" i="321"/>
  <c r="CM306" i="278"/>
  <c r="CM136" i="314"/>
  <c r="CM545" i="321"/>
  <c r="CM565" i="321"/>
  <c r="CM230" i="278"/>
  <c r="CM701" i="321"/>
  <c r="CM702" i="321"/>
  <c r="CM706" i="321"/>
  <c r="CM551" i="321"/>
  <c r="CM283" i="278"/>
  <c r="CM622" i="321"/>
  <c r="CM659" i="321"/>
  <c r="CM453" i="321"/>
  <c r="CM31" i="289"/>
  <c r="CM32" i="289"/>
  <c r="CM37" i="289"/>
  <c r="CM39" i="289"/>
  <c r="CN39" i="289"/>
  <c r="CM50" i="314"/>
  <c r="CM17" i="314"/>
  <c r="CM104" i="314"/>
  <c r="CM540" i="321"/>
  <c r="CM708" i="321"/>
  <c r="CM233" i="273"/>
  <c r="CM234" i="273"/>
  <c r="CM17" i="278"/>
  <c r="CM617" i="321"/>
  <c r="CM644" i="321"/>
  <c r="CM694" i="321"/>
  <c r="CM319" i="278"/>
  <c r="CM57" i="314"/>
  <c r="CI155" i="278"/>
  <c r="CI217" i="278"/>
  <c r="CI223" i="278"/>
  <c r="CI213" i="278"/>
  <c r="CI214" i="278"/>
  <c r="CI218" i="278"/>
  <c r="CR10" i="289"/>
  <c r="CR2" i="328"/>
  <c r="CL85" i="282"/>
  <c r="CL113" i="282"/>
  <c r="CL153" i="282"/>
  <c r="CL45" i="282"/>
  <c r="CL18" i="285"/>
  <c r="CL26" i="285"/>
  <c r="CI264" i="288"/>
  <c r="CI272" i="288"/>
  <c r="CI122" i="288"/>
  <c r="CI114" i="288"/>
  <c r="CK13" i="315"/>
  <c r="CK13" i="265"/>
  <c r="CM70" i="321"/>
  <c r="CM72" i="321"/>
  <c r="CM79" i="321"/>
  <c r="CM165" i="321"/>
  <c r="CM130" i="321"/>
  <c r="CM212" i="273"/>
  <c r="CM141" i="321"/>
  <c r="CM147" i="321"/>
  <c r="CM155" i="321"/>
  <c r="CO155" i="273"/>
  <c r="CK51" i="321"/>
  <c r="CK161" i="288"/>
  <c r="CK162" i="288"/>
  <c r="CK171" i="288"/>
  <c r="CK80" i="288"/>
  <c r="CK241" i="288"/>
  <c r="CK242" i="288"/>
  <c r="CK244" i="288"/>
  <c r="CK217" i="288"/>
  <c r="CK218" i="288"/>
  <c r="CK220" i="288"/>
  <c r="CK217" i="273"/>
  <c r="CJ218" i="273"/>
  <c r="CK259" i="288"/>
  <c r="CK236" i="288"/>
  <c r="CK45" i="321"/>
  <c r="CK46" i="321"/>
  <c r="CK48" i="321"/>
  <c r="CK91" i="288"/>
  <c r="CK109" i="288"/>
  <c r="CK67" i="288"/>
  <c r="CK68" i="288"/>
  <c r="CK167" i="288"/>
  <c r="CK86" i="288"/>
  <c r="CK230" i="288"/>
  <c r="CL147" i="278"/>
  <c r="CL149" i="278"/>
  <c r="CM16" i="285"/>
  <c r="CM17" i="285"/>
  <c r="CN124" i="273"/>
  <c r="CN86" i="273"/>
  <c r="CO195" i="273"/>
  <c r="CO72" i="273"/>
  <c r="CN105" i="282"/>
  <c r="CN591" i="321"/>
  <c r="CN37" i="282"/>
  <c r="CH10" i="265"/>
  <c r="CH11" i="265"/>
  <c r="CH32" i="328"/>
  <c r="CH10" i="315"/>
  <c r="CH11" i="315"/>
  <c r="CP11" i="289"/>
  <c r="CP12" i="289"/>
  <c r="CP36" i="289"/>
  <c r="CO30" i="289"/>
  <c r="CN161" i="273"/>
  <c r="CN163" i="273"/>
  <c r="CN151" i="321"/>
  <c r="CO56" i="273"/>
  <c r="CO240" i="278"/>
  <c r="CO247" i="278"/>
  <c r="CN53" i="288"/>
  <c r="CN203" i="288"/>
  <c r="CN178" i="288"/>
  <c r="CN28" i="288"/>
  <c r="CK92" i="278"/>
  <c r="CK97" i="278"/>
  <c r="CN602" i="321"/>
  <c r="CN658" i="321"/>
  <c r="CM40" i="321"/>
  <c r="CM41" i="321"/>
  <c r="CM44" i="321"/>
  <c r="CM44" i="314"/>
  <c r="CM24" i="314"/>
  <c r="CM89" i="314"/>
  <c r="CM111" i="314"/>
  <c r="CM123" i="314"/>
  <c r="AL23" i="285"/>
  <c r="AL27" i="285"/>
  <c r="AK102" i="265"/>
  <c r="AK98" i="315"/>
  <c r="Z113" i="315"/>
  <c r="AA323" i="278"/>
  <c r="Z117" i="265"/>
  <c r="AJ238" i="278"/>
  <c r="AJ282" i="278"/>
  <c r="AJ245" i="278"/>
  <c r="Z312" i="278"/>
  <c r="Z305" i="278"/>
  <c r="Z307" i="278"/>
  <c r="AK228" i="278"/>
  <c r="AK216" i="278"/>
  <c r="AK219" i="278"/>
  <c r="Z45" i="265"/>
  <c r="Z43" i="315"/>
  <c r="CJ155" i="278"/>
  <c r="CJ223" i="278"/>
  <c r="CJ217" i="278"/>
  <c r="CJ188" i="278"/>
  <c r="CJ189" i="278"/>
  <c r="CJ193" i="278"/>
  <c r="CJ9" i="315"/>
  <c r="CJ192" i="278"/>
  <c r="CM214" i="273"/>
  <c r="CM67" i="288"/>
  <c r="CM68" i="288"/>
  <c r="CM70" i="288"/>
  <c r="CO263" i="273"/>
  <c r="CM709" i="321"/>
  <c r="CM711" i="321"/>
  <c r="CU38" i="289"/>
  <c r="CU133" i="288"/>
  <c r="CU136" i="288"/>
  <c r="CU138" i="288"/>
  <c r="CU140" i="288"/>
  <c r="CU145" i="288"/>
  <c r="CU23" i="288"/>
  <c r="CU25" i="288"/>
  <c r="CT181" i="288"/>
  <c r="CT31" i="288"/>
  <c r="CJ167" i="278"/>
  <c r="CJ163" i="278"/>
  <c r="CJ164" i="278"/>
  <c r="CJ168" i="278"/>
  <c r="CJ172" i="278"/>
  <c r="CJ27" i="328"/>
  <c r="CV102" i="314"/>
  <c r="CV78" i="288"/>
  <c r="CV5" i="265"/>
  <c r="CV228" i="288"/>
  <c r="CV234" i="288"/>
  <c r="CV5" i="282"/>
  <c r="CV5" i="304"/>
  <c r="CV5" i="315"/>
  <c r="CV5" i="275"/>
  <c r="CV5" i="288"/>
  <c r="CV5" i="289"/>
  <c r="CV5" i="328"/>
  <c r="CV84" i="288"/>
  <c r="CV5" i="285"/>
  <c r="CV5" i="314"/>
  <c r="CV5" i="321"/>
  <c r="CV5" i="273"/>
  <c r="CV5" i="278"/>
  <c r="CV5" i="286"/>
  <c r="F11" i="273"/>
  <c r="CL92" i="278"/>
  <c r="CN147" i="321"/>
  <c r="CN165" i="321"/>
  <c r="CN130" i="321"/>
  <c r="CN212" i="273"/>
  <c r="CN141" i="321"/>
  <c r="CN70" i="321"/>
  <c r="CN155" i="321"/>
  <c r="CP201" i="273"/>
  <c r="CP263" i="321"/>
  <c r="CO124" i="273"/>
  <c r="CN16" i="285"/>
  <c r="CN17" i="285"/>
  <c r="CL152" i="278"/>
  <c r="CL29" i="328"/>
  <c r="CL13" i="265"/>
  <c r="CL13" i="315"/>
  <c r="CM147" i="278"/>
  <c r="CM149" i="278"/>
  <c r="CM330" i="321"/>
  <c r="CM11" i="278"/>
  <c r="CM218" i="321"/>
  <c r="CM39" i="321"/>
  <c r="CO602" i="321"/>
  <c r="CO658" i="321"/>
  <c r="CQ198" i="273"/>
  <c r="CQ199" i="273"/>
  <c r="CQ202" i="273"/>
  <c r="CQ71" i="273"/>
  <c r="CQ72" i="273"/>
  <c r="CQ3" i="328"/>
  <c r="CQ8" i="328"/>
  <c r="CQ2" i="275"/>
  <c r="CQ148" i="288"/>
  <c r="CQ2" i="285"/>
  <c r="CQ2" i="288"/>
  <c r="CQ258" i="273"/>
  <c r="CQ259" i="273"/>
  <c r="CQ184" i="288"/>
  <c r="CQ2" i="278"/>
  <c r="CQ38" i="311"/>
  <c r="CQ2" i="314"/>
  <c r="CQ2" i="315"/>
  <c r="CQ119" i="273"/>
  <c r="CQ120" i="273"/>
  <c r="CQ123" i="273"/>
  <c r="CQ154" i="273"/>
  <c r="CQ155" i="273"/>
  <c r="CQ2" i="265"/>
  <c r="CQ2" i="286"/>
  <c r="CQ2" i="321"/>
  <c r="CQ2" i="273"/>
  <c r="CQ34" i="288"/>
  <c r="CQ2" i="304"/>
  <c r="CQ158" i="273"/>
  <c r="CQ159" i="273"/>
  <c r="CQ162" i="273"/>
  <c r="CQ194" i="273"/>
  <c r="CQ59" i="288"/>
  <c r="CQ49" i="273"/>
  <c r="CQ209" i="288"/>
  <c r="CQ2" i="289"/>
  <c r="CQ2" i="282"/>
  <c r="CK17" i="328"/>
  <c r="CN267" i="321"/>
  <c r="CN71" i="321"/>
  <c r="CN213" i="273"/>
  <c r="CN253" i="321"/>
  <c r="CN259" i="321"/>
  <c r="CN131" i="321"/>
  <c r="CN277" i="321"/>
  <c r="CP15" i="289"/>
  <c r="CP30" i="289"/>
  <c r="CP46" i="289"/>
  <c r="CO53" i="273"/>
  <c r="CO75" i="273"/>
  <c r="CP76" i="273"/>
  <c r="CO201" i="273"/>
  <c r="CO203" i="273"/>
  <c r="CO263" i="321"/>
  <c r="CM113" i="282"/>
  <c r="CM153" i="282"/>
  <c r="CM45" i="282"/>
  <c r="CM85" i="282"/>
  <c r="CM18" i="285"/>
  <c r="CM26" i="285"/>
  <c r="CL30" i="328"/>
  <c r="CL153" i="278"/>
  <c r="CK70" i="288"/>
  <c r="CK57" i="328"/>
  <c r="CO161" i="273"/>
  <c r="CO163" i="273"/>
  <c r="CO151" i="321"/>
  <c r="CP151" i="321"/>
  <c r="CP161" i="273"/>
  <c r="CS2" i="328"/>
  <c r="CI10" i="265"/>
  <c r="CI11" i="265"/>
  <c r="CI32" i="328"/>
  <c r="CI10" i="315"/>
  <c r="CI11" i="315"/>
  <c r="CM91" i="278"/>
  <c r="CP28" i="314"/>
  <c r="CP261" i="273"/>
  <c r="CP589" i="321"/>
  <c r="CP590" i="321"/>
  <c r="CP259" i="278"/>
  <c r="CP122" i="273"/>
  <c r="CP38" i="314"/>
  <c r="CP55" i="273"/>
  <c r="CP117" i="314"/>
  <c r="CO53" i="288"/>
  <c r="CO178" i="288"/>
  <c r="CO28" i="288"/>
  <c r="CO203" i="288"/>
  <c r="CP161" i="278"/>
  <c r="CP579" i="321"/>
  <c r="CP598" i="321"/>
  <c r="CP599" i="321"/>
  <c r="CP211" i="278"/>
  <c r="CP707" i="321"/>
  <c r="CP186" i="278"/>
  <c r="CP650" i="321"/>
  <c r="CL217" i="288"/>
  <c r="CL218" i="288"/>
  <c r="CL220" i="288"/>
  <c r="CL167" i="288"/>
  <c r="CL217" i="273"/>
  <c r="CK218" i="273"/>
  <c r="CL230" i="288"/>
  <c r="CL51" i="321"/>
  <c r="CL91" i="288"/>
  <c r="CL241" i="288"/>
  <c r="CL242" i="288"/>
  <c r="CL244" i="288"/>
  <c r="CL161" i="288"/>
  <c r="CL162" i="288"/>
  <c r="CL171" i="288"/>
  <c r="CL45" i="321"/>
  <c r="CL46" i="321"/>
  <c r="CL48" i="321"/>
  <c r="CL86" i="288"/>
  <c r="CL236" i="288"/>
  <c r="CL67" i="288"/>
  <c r="CL68" i="288"/>
  <c r="CL259" i="288"/>
  <c r="CL80" i="288"/>
  <c r="CL109" i="288"/>
  <c r="CP11" i="328"/>
  <c r="CP4" i="286"/>
  <c r="CP4" i="288"/>
  <c r="CP4" i="282"/>
  <c r="CP4" i="321"/>
  <c r="CP4" i="315"/>
  <c r="CP4" i="273"/>
  <c r="CP4" i="275"/>
  <c r="CP4" i="314"/>
  <c r="CP4" i="304"/>
  <c r="CP4" i="278"/>
  <c r="CP4" i="285"/>
  <c r="CP4" i="289"/>
  <c r="CN63" i="273"/>
  <c r="CN64" i="273"/>
  <c r="CP674" i="321"/>
  <c r="CP262" i="273"/>
  <c r="CP296" i="278"/>
  <c r="CP15" i="275"/>
  <c r="CP20" i="275"/>
  <c r="CQ17" i="275"/>
  <c r="CP19" i="282"/>
  <c r="CP158" i="314"/>
  <c r="CP118" i="314"/>
  <c r="CP79" i="314"/>
  <c r="CP85" i="273"/>
  <c r="CP272" i="278"/>
  <c r="CP39" i="314"/>
  <c r="CN239" i="278"/>
  <c r="CN104" i="314"/>
  <c r="CN581" i="321"/>
  <c r="CN148" i="278"/>
  <c r="CN713" i="321"/>
  <c r="CN47" i="289"/>
  <c r="CN48" i="289"/>
  <c r="CN53" i="289"/>
  <c r="CN204" i="278"/>
  <c r="CN644" i="321"/>
  <c r="CN659" i="321"/>
  <c r="CN497" i="321"/>
  <c r="CN31" i="289"/>
  <c r="CN32" i="289"/>
  <c r="CN37" i="289"/>
  <c r="CN129" i="314"/>
  <c r="CN551" i="321"/>
  <c r="CN603" i="321"/>
  <c r="CN675" i="321"/>
  <c r="CN617" i="321"/>
  <c r="CN283" i="278"/>
  <c r="CN652" i="321"/>
  <c r="CN694" i="321"/>
  <c r="CN545" i="321"/>
  <c r="CN136" i="314"/>
  <c r="CN17" i="314"/>
  <c r="CN540" i="321"/>
  <c r="CN701" i="321"/>
  <c r="CN702" i="321"/>
  <c r="CN706" i="321"/>
  <c r="CN565" i="321"/>
  <c r="CN238" i="273"/>
  <c r="CN239" i="273"/>
  <c r="CN246" i="278"/>
  <c r="CN636" i="321"/>
  <c r="CN453" i="321"/>
  <c r="CN50" i="314"/>
  <c r="CN57" i="314"/>
  <c r="CN179" i="278"/>
  <c r="CN230" i="278"/>
  <c r="CN573" i="321"/>
  <c r="CN708" i="321"/>
  <c r="CN233" i="273"/>
  <c r="CN234" i="273"/>
  <c r="CN17" i="278"/>
  <c r="CN100" i="278"/>
  <c r="CN622" i="321"/>
  <c r="CN16" i="289"/>
  <c r="CN17" i="289"/>
  <c r="CN22" i="289"/>
  <c r="CN319" i="278"/>
  <c r="CN306" i="278"/>
  <c r="CN63" i="286"/>
  <c r="CP53" i="273"/>
  <c r="CP75" i="273"/>
  <c r="CQ76" i="273"/>
  <c r="CP240" i="278"/>
  <c r="CP247" i="278"/>
  <c r="CP56" i="273"/>
  <c r="CK154" i="278"/>
  <c r="CO105" i="282"/>
  <c r="CO37" i="282"/>
  <c r="CO591" i="321"/>
  <c r="CP11" i="282"/>
  <c r="CP552" i="321"/>
  <c r="CP187" i="278"/>
  <c r="CP15" i="286"/>
  <c r="CP566" i="321"/>
  <c r="CP16" i="288"/>
  <c r="CP17" i="288"/>
  <c r="CP637" i="321"/>
  <c r="CP92" i="286"/>
  <c r="CP162" i="278"/>
  <c r="CP268" i="278"/>
  <c r="CP292" i="278"/>
  <c r="CP33" i="286"/>
  <c r="CP109" i="273"/>
  <c r="CQ110" i="273"/>
  <c r="CP212" i="278"/>
  <c r="CP623" i="321"/>
  <c r="CP110" i="286"/>
  <c r="CM4" i="328"/>
  <c r="CM3" i="286"/>
  <c r="CM3" i="282"/>
  <c r="CM3" i="275"/>
  <c r="CM47" i="273"/>
  <c r="CM3" i="265"/>
  <c r="CM3" i="304"/>
  <c r="CM3" i="289"/>
  <c r="CM3" i="321"/>
  <c r="CM3" i="314"/>
  <c r="CM3" i="288"/>
  <c r="CM3" i="278"/>
  <c r="CM3" i="273"/>
  <c r="CM3" i="315"/>
  <c r="CM3" i="285"/>
  <c r="CK18" i="328"/>
  <c r="CK98" i="278"/>
  <c r="CK101" i="278"/>
  <c r="CK104" i="278"/>
  <c r="CK105" i="278"/>
  <c r="CJ10" i="315"/>
  <c r="CJ10" i="265"/>
  <c r="CN59" i="315"/>
  <c r="CN24" i="265"/>
  <c r="CN22" i="315"/>
  <c r="CN61" i="265"/>
  <c r="CJ114" i="288"/>
  <c r="CJ122" i="288"/>
  <c r="CJ264" i="288"/>
  <c r="CJ272" i="288"/>
  <c r="CM90" i="278"/>
  <c r="CQ36" i="289"/>
  <c r="CL97" i="278"/>
  <c r="CP237" i="273"/>
  <c r="CO54" i="273"/>
  <c r="CO84" i="273"/>
  <c r="CO86" i="273"/>
  <c r="AK224" i="278"/>
  <c r="AK225" i="278"/>
  <c r="AK220" i="278"/>
  <c r="CN24" i="314"/>
  <c r="CN172" i="314"/>
  <c r="CN111" i="314"/>
  <c r="CN36" i="285"/>
  <c r="CN44" i="314"/>
  <c r="CN123" i="314"/>
  <c r="CN89" i="314"/>
  <c r="CN11" i="321"/>
  <c r="CN40" i="321"/>
  <c r="CN41" i="321"/>
  <c r="CN44" i="321"/>
  <c r="BA9" i="310"/>
  <c r="BA283" i="307"/>
  <c r="AA326" i="278"/>
  <c r="AA318" i="278"/>
  <c r="AA320" i="278"/>
  <c r="AA321" i="278"/>
  <c r="Z106" i="315"/>
  <c r="Z110" i="265"/>
  <c r="AA309" i="278"/>
  <c r="AM23" i="285"/>
  <c r="AM27" i="285"/>
  <c r="AL98" i="315"/>
  <c r="AL102" i="265"/>
  <c r="CJ11" i="315"/>
  <c r="CM80" i="288"/>
  <c r="CM91" i="288"/>
  <c r="CM161" i="288"/>
  <c r="CM162" i="288"/>
  <c r="CM171" i="288"/>
  <c r="CM217" i="273"/>
  <c r="CL218" i="273"/>
  <c r="CL264" i="288"/>
  <c r="CM51" i="321"/>
  <c r="CM236" i="288"/>
  <c r="CJ11" i="265"/>
  <c r="CJ32" i="328"/>
  <c r="CP263" i="273"/>
  <c r="CM109" i="288"/>
  <c r="CM259" i="288"/>
  <c r="CM92" i="278"/>
  <c r="CM241" i="288"/>
  <c r="CM242" i="288"/>
  <c r="CM244" i="288"/>
  <c r="CM45" i="321"/>
  <c r="CM46" i="321"/>
  <c r="CM48" i="321"/>
  <c r="CM167" i="288"/>
  <c r="CM86" i="288"/>
  <c r="CL17" i="328"/>
  <c r="CM217" i="288"/>
  <c r="CM218" i="288"/>
  <c r="CM220" i="288"/>
  <c r="CM230" i="288"/>
  <c r="CM57" i="328"/>
  <c r="CN72" i="321"/>
  <c r="CN79" i="321"/>
  <c r="CO57" i="273"/>
  <c r="CO63" i="273"/>
  <c r="CO64" i="273"/>
  <c r="CV38" i="289"/>
  <c r="CV133" i="288"/>
  <c r="CV136" i="288"/>
  <c r="CV138" i="288"/>
  <c r="CV140" i="288"/>
  <c r="CV145" i="288"/>
  <c r="CV23" i="288"/>
  <c r="CV25" i="288"/>
  <c r="H14" i="273"/>
  <c r="CU181" i="288"/>
  <c r="CU31" i="288"/>
  <c r="CL18" i="328"/>
  <c r="CL98" i="278"/>
  <c r="CL101" i="278"/>
  <c r="CL104" i="278"/>
  <c r="CL105" i="278"/>
  <c r="CP203" i="273"/>
  <c r="CO253" i="321"/>
  <c r="CO213" i="273"/>
  <c r="CO277" i="321"/>
  <c r="CO131" i="321"/>
  <c r="CO259" i="321"/>
  <c r="CO71" i="321"/>
  <c r="CO267" i="321"/>
  <c r="CQ296" i="278"/>
  <c r="CQ39" i="314"/>
  <c r="CQ19" i="282"/>
  <c r="CQ158" i="314"/>
  <c r="CQ118" i="314"/>
  <c r="CQ272" i="278"/>
  <c r="CQ85" i="273"/>
  <c r="CQ79" i="314"/>
  <c r="CQ15" i="275"/>
  <c r="CQ20" i="275"/>
  <c r="CR17" i="275"/>
  <c r="CQ161" i="273"/>
  <c r="CQ151" i="321"/>
  <c r="CQ30" i="289"/>
  <c r="CK188" i="278"/>
  <c r="CK189" i="278"/>
  <c r="CK193" i="278"/>
  <c r="CK192" i="278"/>
  <c r="CK197" i="278"/>
  <c r="CK9" i="315"/>
  <c r="CP203" i="288"/>
  <c r="CP53" i="288"/>
  <c r="CP178" i="288"/>
  <c r="CP28" i="288"/>
  <c r="CN218" i="321"/>
  <c r="CN330" i="321"/>
  <c r="CN11" i="278"/>
  <c r="CN39" i="321"/>
  <c r="CO179" i="278"/>
  <c r="CO573" i="321"/>
  <c r="CO148" i="278"/>
  <c r="CO713" i="321"/>
  <c r="CO233" i="273"/>
  <c r="CO234" i="273"/>
  <c r="CO17" i="278"/>
  <c r="CO100" i="278"/>
  <c r="CO652" i="321"/>
  <c r="CO453" i="321"/>
  <c r="CO50" i="314"/>
  <c r="CO129" i="314"/>
  <c r="CO239" i="278"/>
  <c r="CO581" i="321"/>
  <c r="CO603" i="321"/>
  <c r="CO675" i="321"/>
  <c r="CO246" i="278"/>
  <c r="CO204" i="278"/>
  <c r="CO636" i="321"/>
  <c r="CO319" i="278"/>
  <c r="CO545" i="321"/>
  <c r="CO306" i="278"/>
  <c r="CO17" i="314"/>
  <c r="CO230" i="278"/>
  <c r="CO701" i="321"/>
  <c r="CO702" i="321"/>
  <c r="CO706" i="321"/>
  <c r="CO551" i="321"/>
  <c r="CO565" i="321"/>
  <c r="CO622" i="321"/>
  <c r="CO283" i="278"/>
  <c r="CO659" i="321"/>
  <c r="CO497" i="321"/>
  <c r="CO63" i="286"/>
  <c r="CO136" i="314"/>
  <c r="CO540" i="321"/>
  <c r="CO708" i="321"/>
  <c r="CO104" i="314"/>
  <c r="CO617" i="321"/>
  <c r="CO238" i="273"/>
  <c r="CO239" i="273"/>
  <c r="CO644" i="321"/>
  <c r="CO694" i="321"/>
  <c r="CO31" i="289"/>
  <c r="CO32" i="289"/>
  <c r="CO37" i="289"/>
  <c r="CO39" i="289"/>
  <c r="CP39" i="289"/>
  <c r="CO57" i="314"/>
  <c r="CP54" i="273"/>
  <c r="CP57" i="273"/>
  <c r="CP84" i="273"/>
  <c r="CP86" i="273"/>
  <c r="CQ674" i="321"/>
  <c r="CQ262" i="273"/>
  <c r="CQ707" i="321"/>
  <c r="CQ211" i="278"/>
  <c r="CQ161" i="278"/>
  <c r="CQ186" i="278"/>
  <c r="CQ598" i="321"/>
  <c r="CQ599" i="321"/>
  <c r="CQ650" i="321"/>
  <c r="CQ579" i="321"/>
  <c r="CM30" i="328"/>
  <c r="CM153" i="278"/>
  <c r="CL154" i="278"/>
  <c r="CP124" i="273"/>
  <c r="CO16" i="285"/>
  <c r="CO17" i="285"/>
  <c r="CR11" i="289"/>
  <c r="CR12" i="289"/>
  <c r="CR36" i="289"/>
  <c r="CQ56" i="273"/>
  <c r="CQ240" i="278"/>
  <c r="CQ247" i="278"/>
  <c r="CM97" i="278"/>
  <c r="CN91" i="278"/>
  <c r="CN90" i="278"/>
  <c r="CL272" i="288"/>
  <c r="CP105" i="282"/>
  <c r="CP591" i="321"/>
  <c r="CP37" i="282"/>
  <c r="CM13" i="315"/>
  <c r="CM13" i="265"/>
  <c r="CQ75" i="273"/>
  <c r="CR76" i="273"/>
  <c r="CQ53" i="273"/>
  <c r="CQ566" i="321"/>
  <c r="CQ162" i="278"/>
  <c r="CQ623" i="321"/>
  <c r="CQ15" i="286"/>
  <c r="CQ16" i="288"/>
  <c r="CQ17" i="288"/>
  <c r="CQ109" i="273"/>
  <c r="CR110" i="273"/>
  <c r="CQ637" i="321"/>
  <c r="CQ92" i="286"/>
  <c r="CQ11" i="282"/>
  <c r="CQ212" i="278"/>
  <c r="CQ292" i="278"/>
  <c r="CQ33" i="286"/>
  <c r="CQ268" i="278"/>
  <c r="CQ552" i="321"/>
  <c r="CQ187" i="278"/>
  <c r="CQ110" i="286"/>
  <c r="CP163" i="273"/>
  <c r="CO70" i="321"/>
  <c r="CO212" i="273"/>
  <c r="CO141" i="321"/>
  <c r="CO147" i="321"/>
  <c r="CO155" i="321"/>
  <c r="CO130" i="321"/>
  <c r="CO165" i="321"/>
  <c r="CQ4" i="273"/>
  <c r="CQ4" i="275"/>
  <c r="CQ4" i="289"/>
  <c r="CQ4" i="315"/>
  <c r="CQ4" i="282"/>
  <c r="CQ4" i="314"/>
  <c r="CQ11" i="328"/>
  <c r="CQ4" i="286"/>
  <c r="CQ4" i="285"/>
  <c r="CQ4" i="288"/>
  <c r="CQ4" i="304"/>
  <c r="CQ4" i="278"/>
  <c r="CQ4" i="321"/>
  <c r="CR71" i="273"/>
  <c r="CR154" i="273"/>
  <c r="CR3" i="328"/>
  <c r="CR8" i="328"/>
  <c r="CR2" i="285"/>
  <c r="CR2" i="275"/>
  <c r="CR2" i="286"/>
  <c r="CR2" i="304"/>
  <c r="CR158" i="273"/>
  <c r="CR159" i="273"/>
  <c r="CR162" i="273"/>
  <c r="CR194" i="273"/>
  <c r="CR59" i="288"/>
  <c r="CR2" i="282"/>
  <c r="CR209" i="288"/>
  <c r="CR2" i="288"/>
  <c r="CR38" i="311"/>
  <c r="CR198" i="273"/>
  <c r="CR199" i="273"/>
  <c r="CR202" i="273"/>
  <c r="CR34" i="288"/>
  <c r="CR2" i="315"/>
  <c r="CR49" i="273"/>
  <c r="CR2" i="278"/>
  <c r="CR2" i="289"/>
  <c r="CR119" i="273"/>
  <c r="CR120" i="273"/>
  <c r="CR123" i="273"/>
  <c r="CR258" i="273"/>
  <c r="CR259" i="273"/>
  <c r="CR2" i="265"/>
  <c r="CR2" i="321"/>
  <c r="CR2" i="314"/>
  <c r="CR148" i="288"/>
  <c r="CR184" i="288"/>
  <c r="CR2" i="273"/>
  <c r="CK217" i="278"/>
  <c r="CK223" i="278"/>
  <c r="CK213" i="278"/>
  <c r="CK214" i="278"/>
  <c r="CK218" i="278"/>
  <c r="CK155" i="278"/>
  <c r="CQ54" i="273"/>
  <c r="CQ84" i="273"/>
  <c r="CN709" i="321"/>
  <c r="CN711" i="321"/>
  <c r="CQ122" i="273"/>
  <c r="CQ38" i="314"/>
  <c r="CQ589" i="321"/>
  <c r="CQ590" i="321"/>
  <c r="CQ261" i="273"/>
  <c r="CQ28" i="314"/>
  <c r="CQ55" i="273"/>
  <c r="CQ117" i="314"/>
  <c r="CQ259" i="278"/>
  <c r="CL70" i="288"/>
  <c r="CL57" i="328"/>
  <c r="CQ195" i="273"/>
  <c r="CP602" i="321"/>
  <c r="CP658" i="321"/>
  <c r="CT2" i="328"/>
  <c r="CT10" i="289"/>
  <c r="CM152" i="278"/>
  <c r="CM29" i="328"/>
  <c r="CO24" i="265"/>
  <c r="CO61" i="265"/>
  <c r="CO59" i="315"/>
  <c r="CO22" i="315"/>
  <c r="CN4" i="328"/>
  <c r="CN47" i="273"/>
  <c r="CN3" i="285"/>
  <c r="CN3" i="278"/>
  <c r="CN3" i="286"/>
  <c r="CN3" i="314"/>
  <c r="CN3" i="273"/>
  <c r="CN3" i="288"/>
  <c r="CN3" i="315"/>
  <c r="CN3" i="304"/>
  <c r="CN3" i="265"/>
  <c r="CN3" i="275"/>
  <c r="CN3" i="289"/>
  <c r="CN3" i="282"/>
  <c r="CN3" i="321"/>
  <c r="CK122" i="288"/>
  <c r="CK264" i="288"/>
  <c r="CK114" i="288"/>
  <c r="CK272" i="288"/>
  <c r="CK172" i="278"/>
  <c r="CK167" i="278"/>
  <c r="CK27" i="328"/>
  <c r="CK163" i="278"/>
  <c r="CK164" i="278"/>
  <c r="CK168" i="278"/>
  <c r="CQ237" i="273"/>
  <c r="CN147" i="278"/>
  <c r="CN149" i="278"/>
  <c r="CN113" i="282"/>
  <c r="CN153" i="282"/>
  <c r="CN85" i="282"/>
  <c r="CN45" i="282"/>
  <c r="CN18" i="285"/>
  <c r="CN26" i="285"/>
  <c r="CN214" i="273"/>
  <c r="AN23" i="285"/>
  <c r="AN27" i="285"/>
  <c r="AM102" i="265"/>
  <c r="AM98" i="315"/>
  <c r="AA43" i="315"/>
  <c r="AA45" i="265"/>
  <c r="CO24" i="314"/>
  <c r="CO36" i="285"/>
  <c r="CO111" i="314"/>
  <c r="CO172" i="314"/>
  <c r="CO44" i="314"/>
  <c r="CO11" i="321"/>
  <c r="CO123" i="314"/>
  <c r="CO40" i="321"/>
  <c r="CO41" i="321"/>
  <c r="CO44" i="321"/>
  <c r="CO89" i="314"/>
  <c r="AB323" i="278"/>
  <c r="AA117" i="265"/>
  <c r="AA113" i="315"/>
  <c r="AK42" i="315"/>
  <c r="AK44" i="265"/>
  <c r="AA312" i="278"/>
  <c r="AA305" i="278"/>
  <c r="AA307" i="278"/>
  <c r="AK229" i="278"/>
  <c r="AK231" i="278"/>
  <c r="AL222" i="278"/>
  <c r="AK116" i="265"/>
  <c r="AK112" i="315"/>
  <c r="AK254" i="278"/>
  <c r="CL114" i="288"/>
  <c r="CQ263" i="273"/>
  <c r="CL122" i="288"/>
  <c r="CM18" i="328"/>
  <c r="CM98" i="278"/>
  <c r="CM101" i="278"/>
  <c r="CM104" i="278"/>
  <c r="CM105" i="278"/>
  <c r="CL172" i="278"/>
  <c r="CL167" i="278"/>
  <c r="CL163" i="278"/>
  <c r="CL164" i="278"/>
  <c r="CL168" i="278"/>
  <c r="CL27" i="328"/>
  <c r="H38" i="289"/>
  <c r="H54" i="289"/>
  <c r="H23" i="288"/>
  <c r="H23" i="289"/>
  <c r="H34" i="273"/>
  <c r="H19" i="273"/>
  <c r="H133" i="288"/>
  <c r="H44" i="273"/>
  <c r="CV181" i="288"/>
  <c r="CV31" i="288"/>
  <c r="H25" i="288"/>
  <c r="CQ86" i="273"/>
  <c r="CL192" i="278"/>
  <c r="CL9" i="315"/>
  <c r="CL197" i="278"/>
  <c r="CL188" i="278"/>
  <c r="CL189" i="278"/>
  <c r="CL193" i="278"/>
  <c r="CN92" i="278"/>
  <c r="CN18" i="328"/>
  <c r="CR674" i="321"/>
  <c r="CR262" i="273"/>
  <c r="CN13" i="265"/>
  <c r="CN13" i="315"/>
  <c r="CN97" i="278"/>
  <c r="CQ201" i="273"/>
  <c r="CQ203" i="273"/>
  <c r="CQ263" i="321"/>
  <c r="CP130" i="321"/>
  <c r="CP165" i="321"/>
  <c r="CQ163" i="273"/>
  <c r="CP70" i="321"/>
  <c r="CP212" i="273"/>
  <c r="CP141" i="321"/>
  <c r="CP147" i="321"/>
  <c r="CP155" i="321"/>
  <c r="CQ28" i="288"/>
  <c r="CQ178" i="288"/>
  <c r="CQ203" i="288"/>
  <c r="CQ53" i="288"/>
  <c r="CR84" i="273"/>
  <c r="CR54" i="273"/>
  <c r="CS36" i="289"/>
  <c r="CL155" i="278"/>
  <c r="CL223" i="278"/>
  <c r="CL213" i="278"/>
  <c r="CL214" i="278"/>
  <c r="CL218" i="278"/>
  <c r="CL217" i="278"/>
  <c r="CQ658" i="321"/>
  <c r="CQ602" i="321"/>
  <c r="CP17" i="314"/>
  <c r="CP573" i="321"/>
  <c r="CP708" i="321"/>
  <c r="CP540" i="321"/>
  <c r="CP617" i="321"/>
  <c r="CP636" i="321"/>
  <c r="CP283" i="278"/>
  <c r="CP246" i="278"/>
  <c r="CP31" i="289"/>
  <c r="CP32" i="289"/>
  <c r="CP37" i="289"/>
  <c r="CP50" i="314"/>
  <c r="CP16" i="289"/>
  <c r="CP17" i="289"/>
  <c r="CP22" i="289"/>
  <c r="CP230" i="278"/>
  <c r="CP581" i="321"/>
  <c r="CP148" i="278"/>
  <c r="CP713" i="321"/>
  <c r="CP179" i="278"/>
  <c r="CP233" i="273"/>
  <c r="CP234" i="273"/>
  <c r="CP17" i="278"/>
  <c r="CP238" i="273"/>
  <c r="CP239" i="273"/>
  <c r="CP659" i="321"/>
  <c r="CP497" i="321"/>
  <c r="CP57" i="314"/>
  <c r="CP47" i="289"/>
  <c r="CP48" i="289"/>
  <c r="CP53" i="289"/>
  <c r="CP136" i="314"/>
  <c r="CP551" i="321"/>
  <c r="CP603" i="321"/>
  <c r="CP675" i="321"/>
  <c r="CP239" i="278"/>
  <c r="CP644" i="321"/>
  <c r="CP100" i="278"/>
  <c r="CP694" i="321"/>
  <c r="CP453" i="321"/>
  <c r="CP306" i="278"/>
  <c r="CP545" i="321"/>
  <c r="CP701" i="321"/>
  <c r="CP702" i="321"/>
  <c r="CP706" i="321"/>
  <c r="CP565" i="321"/>
  <c r="CP104" i="314"/>
  <c r="CP652" i="321"/>
  <c r="CP204" i="278"/>
  <c r="CP622" i="321"/>
  <c r="CP319" i="278"/>
  <c r="CP63" i="286"/>
  <c r="CP129" i="314"/>
  <c r="CO4" i="328"/>
  <c r="CO3" i="286"/>
  <c r="CO3" i="321"/>
  <c r="CO3" i="288"/>
  <c r="CO3" i="265"/>
  <c r="CO3" i="304"/>
  <c r="CO3" i="282"/>
  <c r="CO3" i="275"/>
  <c r="CO3" i="273"/>
  <c r="CO3" i="285"/>
  <c r="CO3" i="289"/>
  <c r="CO3" i="314"/>
  <c r="CO3" i="278"/>
  <c r="CO47" i="273"/>
  <c r="CO3" i="315"/>
  <c r="CN153" i="278"/>
  <c r="CN30" i="328"/>
  <c r="CR11" i="328"/>
  <c r="CR4" i="304"/>
  <c r="CR4" i="315"/>
  <c r="CR4" i="314"/>
  <c r="CR4" i="282"/>
  <c r="CR4" i="286"/>
  <c r="CR4" i="285"/>
  <c r="CR4" i="288"/>
  <c r="CR4" i="278"/>
  <c r="CR4" i="275"/>
  <c r="CR4" i="273"/>
  <c r="CR4" i="321"/>
  <c r="CR4" i="289"/>
  <c r="CQ105" i="282"/>
  <c r="CQ591" i="321"/>
  <c r="CQ37" i="282"/>
  <c r="CR237" i="273"/>
  <c r="CN17" i="328"/>
  <c r="CO90" i="278"/>
  <c r="CQ57" i="273"/>
  <c r="CP63" i="273"/>
  <c r="CP64" i="273"/>
  <c r="CN45" i="321"/>
  <c r="CN46" i="321"/>
  <c r="CN48" i="321"/>
  <c r="CN230" i="288"/>
  <c r="CN86" i="288"/>
  <c r="CN67" i="288"/>
  <c r="CN68" i="288"/>
  <c r="CN259" i="288"/>
  <c r="CN161" i="288"/>
  <c r="CN80" i="288"/>
  <c r="CN51" i="321"/>
  <c r="CN167" i="288"/>
  <c r="CN109" i="288"/>
  <c r="CN241" i="288"/>
  <c r="CN242" i="288"/>
  <c r="CN244" i="288"/>
  <c r="CN217" i="288"/>
  <c r="CN218" i="288"/>
  <c r="CN220" i="288"/>
  <c r="CN217" i="273"/>
  <c r="CM218" i="273"/>
  <c r="CN91" i="288"/>
  <c r="CN236" i="288"/>
  <c r="CN29" i="328"/>
  <c r="CN152" i="278"/>
  <c r="CR211" i="278"/>
  <c r="CR707" i="321"/>
  <c r="CR579" i="321"/>
  <c r="CR161" i="278"/>
  <c r="CR186" i="278"/>
  <c r="CR598" i="321"/>
  <c r="CR599" i="321"/>
  <c r="CR650" i="321"/>
  <c r="CO214" i="273"/>
  <c r="CR195" i="273"/>
  <c r="CP24" i="265"/>
  <c r="CP22" i="315"/>
  <c r="CP59" i="315"/>
  <c r="CP61" i="265"/>
  <c r="CO153" i="282"/>
  <c r="CO85" i="282"/>
  <c r="CO45" i="282"/>
  <c r="CO113" i="282"/>
  <c r="CO18" i="285"/>
  <c r="CO26" i="285"/>
  <c r="CO147" i="278"/>
  <c r="CO149" i="278"/>
  <c r="CM17" i="328"/>
  <c r="CM154" i="278"/>
  <c r="CU2" i="328"/>
  <c r="CK10" i="315"/>
  <c r="CK11" i="315"/>
  <c r="CK10" i="265"/>
  <c r="CK11" i="265"/>
  <c r="CK32" i="328"/>
  <c r="CR296" i="278"/>
  <c r="CR118" i="314"/>
  <c r="CR19" i="282"/>
  <c r="CR158" i="314"/>
  <c r="CR39" i="314"/>
  <c r="CR272" i="278"/>
  <c r="CR85" i="273"/>
  <c r="CR79" i="314"/>
  <c r="CR15" i="275"/>
  <c r="CR20" i="275"/>
  <c r="CS17" i="275"/>
  <c r="CR11" i="282"/>
  <c r="CR16" i="288"/>
  <c r="CR17" i="288"/>
  <c r="CR292" i="278"/>
  <c r="CR33" i="286"/>
  <c r="CR566" i="321"/>
  <c r="CR162" i="278"/>
  <c r="CR187" i="278"/>
  <c r="CR110" i="286"/>
  <c r="CR212" i="278"/>
  <c r="CR109" i="273"/>
  <c r="CS110" i="273"/>
  <c r="CR623" i="321"/>
  <c r="CR15" i="286"/>
  <c r="CR552" i="321"/>
  <c r="CR268" i="278"/>
  <c r="CR637" i="321"/>
  <c r="CR92" i="286"/>
  <c r="CR155" i="273"/>
  <c r="CO72" i="321"/>
  <c r="CO79" i="321"/>
  <c r="CR240" i="278"/>
  <c r="CR247" i="278"/>
  <c r="CR56" i="273"/>
  <c r="CS158" i="273"/>
  <c r="CS159" i="273"/>
  <c r="CS162" i="273"/>
  <c r="CS59" i="288"/>
  <c r="CS209" i="288"/>
  <c r="CS148" i="288"/>
  <c r="CS2" i="278"/>
  <c r="CS2" i="285"/>
  <c r="CS198" i="273"/>
  <c r="CS199" i="273"/>
  <c r="CS202" i="273"/>
  <c r="CS71" i="273"/>
  <c r="CS2" i="275"/>
  <c r="CS34" i="288"/>
  <c r="CS184" i="288"/>
  <c r="CS2" i="315"/>
  <c r="CS2" i="289"/>
  <c r="CS119" i="273"/>
  <c r="CS120" i="273"/>
  <c r="CS123" i="273"/>
  <c r="CS154" i="273"/>
  <c r="CS2" i="265"/>
  <c r="CS2" i="288"/>
  <c r="CS49" i="273"/>
  <c r="CS2" i="282"/>
  <c r="CS2" i="321"/>
  <c r="CS38" i="311"/>
  <c r="CS258" i="273"/>
  <c r="CS194" i="273"/>
  <c r="CS195" i="273"/>
  <c r="CS3" i="328"/>
  <c r="CS8" i="328"/>
  <c r="CS2" i="286"/>
  <c r="CS2" i="273"/>
  <c r="CS2" i="304"/>
  <c r="CS2" i="314"/>
  <c r="CR46" i="289"/>
  <c r="CR30" i="289"/>
  <c r="CR15" i="289"/>
  <c r="CQ124" i="273"/>
  <c r="CP16" i="285"/>
  <c r="CP17" i="285"/>
  <c r="CR72" i="273"/>
  <c r="CO39" i="321"/>
  <c r="CO11" i="278"/>
  <c r="CO330" i="321"/>
  <c r="CO218" i="321"/>
  <c r="CO709" i="321"/>
  <c r="CO711" i="321"/>
  <c r="CO91" i="278"/>
  <c r="CR28" i="314"/>
  <c r="CR117" i="314"/>
  <c r="CR122" i="273"/>
  <c r="CR38" i="314"/>
  <c r="CR589" i="321"/>
  <c r="CR590" i="321"/>
  <c r="CR261" i="273"/>
  <c r="CR263" i="273"/>
  <c r="CR55" i="273"/>
  <c r="CR259" i="278"/>
  <c r="CP277" i="321"/>
  <c r="CP253" i="321"/>
  <c r="CP71" i="321"/>
  <c r="CP259" i="321"/>
  <c r="CP131" i="321"/>
  <c r="CP267" i="321"/>
  <c r="CP213" i="273"/>
  <c r="AK238" i="278"/>
  <c r="AK245" i="278"/>
  <c r="AK282" i="278"/>
  <c r="BB9" i="310"/>
  <c r="BB283" i="307"/>
  <c r="CP24" i="314"/>
  <c r="CP36" i="285"/>
  <c r="CP111" i="314"/>
  <c r="CP172" i="314"/>
  <c r="CP44" i="314"/>
  <c r="CP11" i="321"/>
  <c r="CP123" i="314"/>
  <c r="CP40" i="321"/>
  <c r="CP41" i="321"/>
  <c r="CP44" i="321"/>
  <c r="CP89" i="314"/>
  <c r="CQ24" i="314"/>
  <c r="CQ36" i="285"/>
  <c r="CQ172" i="314"/>
  <c r="CQ111" i="314"/>
  <c r="CQ44" i="314"/>
  <c r="CQ123" i="314"/>
  <c r="CQ11" i="321"/>
  <c r="CQ89" i="314"/>
  <c r="CQ40" i="321"/>
  <c r="CQ41" i="321"/>
  <c r="CQ44" i="321"/>
  <c r="AA106" i="315"/>
  <c r="AA110" i="265"/>
  <c r="AB309" i="278"/>
  <c r="AB326" i="278"/>
  <c r="AB318" i="278"/>
  <c r="AB320" i="278"/>
  <c r="AB321" i="278"/>
  <c r="AO23" i="285"/>
  <c r="AO27" i="285"/>
  <c r="AN98" i="315"/>
  <c r="AN102" i="265"/>
  <c r="AL216" i="278"/>
  <c r="AL219" i="278"/>
  <c r="AL228" i="278"/>
  <c r="CM9" i="315"/>
  <c r="CM192" i="278"/>
  <c r="CM197" i="278"/>
  <c r="CM188" i="278"/>
  <c r="CM189" i="278"/>
  <c r="CM193" i="278"/>
  <c r="CN98" i="278"/>
  <c r="CN101" i="278"/>
  <c r="CN104" i="278"/>
  <c r="CN105" i="278"/>
  <c r="H31" i="288"/>
  <c r="H181" i="288"/>
  <c r="CN154" i="278"/>
  <c r="CN217" i="278"/>
  <c r="CR86" i="273"/>
  <c r="CP709" i="321"/>
  <c r="CP711" i="321"/>
  <c r="CN167" i="278"/>
  <c r="CS201" i="273"/>
  <c r="CS263" i="321"/>
  <c r="CR53" i="273"/>
  <c r="CR57" i="273"/>
  <c r="CR75" i="273"/>
  <c r="CS76" i="273"/>
  <c r="CS259" i="273"/>
  <c r="CM172" i="278"/>
  <c r="CM167" i="278"/>
  <c r="CM163" i="278"/>
  <c r="CM164" i="278"/>
  <c r="CM168" i="278"/>
  <c r="CM27" i="328"/>
  <c r="CO153" i="278"/>
  <c r="CO30" i="328"/>
  <c r="CO13" i="265"/>
  <c r="CO13" i="315"/>
  <c r="CR602" i="321"/>
  <c r="CR658" i="321"/>
  <c r="CN57" i="328"/>
  <c r="CN70" i="288"/>
  <c r="CP3" i="275"/>
  <c r="CP3" i="265"/>
  <c r="CP47" i="273"/>
  <c r="CP4" i="328"/>
  <c r="CP3" i="321"/>
  <c r="CP3" i="273"/>
  <c r="CP3" i="304"/>
  <c r="CP3" i="289"/>
  <c r="CP3" i="288"/>
  <c r="CP3" i="315"/>
  <c r="CP3" i="314"/>
  <c r="CP3" i="282"/>
  <c r="CP3" i="286"/>
  <c r="CP3" i="278"/>
  <c r="CP3" i="285"/>
  <c r="CS4" i="282"/>
  <c r="CS4" i="304"/>
  <c r="CS4" i="289"/>
  <c r="CS11" i="328"/>
  <c r="CS4" i="275"/>
  <c r="CS4" i="278"/>
  <c r="CS4" i="314"/>
  <c r="CS4" i="285"/>
  <c r="CS4" i="315"/>
  <c r="CS4" i="286"/>
  <c r="CS4" i="273"/>
  <c r="CS4" i="321"/>
  <c r="CS4" i="288"/>
  <c r="CP330" i="321"/>
  <c r="CP39" i="321"/>
  <c r="CP11" i="278"/>
  <c r="CP218" i="321"/>
  <c r="CQ147" i="321"/>
  <c r="CQ155" i="321"/>
  <c r="CQ70" i="321"/>
  <c r="CQ165" i="321"/>
  <c r="CQ130" i="321"/>
  <c r="CQ212" i="273"/>
  <c r="CQ141" i="321"/>
  <c r="CP85" i="282"/>
  <c r="CP113" i="282"/>
  <c r="CP153" i="282"/>
  <c r="CP45" i="282"/>
  <c r="CP18" i="285"/>
  <c r="CP26" i="285"/>
  <c r="CM217" i="278"/>
  <c r="CM223" i="278"/>
  <c r="CM213" i="278"/>
  <c r="CM214" i="278"/>
  <c r="CM218" i="278"/>
  <c r="CM155" i="278"/>
  <c r="CR201" i="273"/>
  <c r="CR203" i="273"/>
  <c r="CR263" i="321"/>
  <c r="CQ63" i="273"/>
  <c r="CQ64" i="273"/>
  <c r="CQ71" i="321"/>
  <c r="CQ259" i="321"/>
  <c r="CQ131" i="321"/>
  <c r="CQ277" i="321"/>
  <c r="CQ253" i="321"/>
  <c r="CQ213" i="273"/>
  <c r="CQ267" i="321"/>
  <c r="CQ16" i="285"/>
  <c r="CQ17" i="285"/>
  <c r="CR124" i="273"/>
  <c r="CS237" i="273"/>
  <c r="CS155" i="273"/>
  <c r="CS122" i="273"/>
  <c r="CS261" i="273"/>
  <c r="CS263" i="273"/>
  <c r="CS589" i="321"/>
  <c r="CS590" i="321"/>
  <c r="CS117" i="314"/>
  <c r="CS55" i="273"/>
  <c r="CS259" i="278"/>
  <c r="CS28" i="314"/>
  <c r="CS38" i="314"/>
  <c r="CO97" i="278"/>
  <c r="CP147" i="278"/>
  <c r="CP149" i="278"/>
  <c r="CO45" i="321"/>
  <c r="CO46" i="321"/>
  <c r="CO48" i="321"/>
  <c r="CO91" i="288"/>
  <c r="CO109" i="288"/>
  <c r="CO67" i="288"/>
  <c r="CO68" i="288"/>
  <c r="CO167" i="288"/>
  <c r="CO86" i="288"/>
  <c r="CO230" i="288"/>
  <c r="CO51" i="321"/>
  <c r="CO161" i="288"/>
  <c r="CO80" i="288"/>
  <c r="CO241" i="288"/>
  <c r="CO242" i="288"/>
  <c r="CO244" i="288"/>
  <c r="CO217" i="288"/>
  <c r="CO218" i="288"/>
  <c r="CO220" i="288"/>
  <c r="CO217" i="273"/>
  <c r="CN218" i="273"/>
  <c r="CO259" i="288"/>
  <c r="CO236" i="288"/>
  <c r="CN162" i="288"/>
  <c r="CN171" i="288"/>
  <c r="CO162" i="288"/>
  <c r="CO171" i="288"/>
  <c r="CO92" i="278"/>
  <c r="CT71" i="273"/>
  <c r="CT154" i="273"/>
  <c r="CT2" i="265"/>
  <c r="CT2" i="275"/>
  <c r="CT2" i="289"/>
  <c r="CT2" i="321"/>
  <c r="CT38" i="311"/>
  <c r="CT2" i="278"/>
  <c r="CT258" i="273"/>
  <c r="CT259" i="273"/>
  <c r="CT194" i="273"/>
  <c r="CT3" i="328"/>
  <c r="CT8" i="328"/>
  <c r="CT2" i="282"/>
  <c r="CT2" i="304"/>
  <c r="CT2" i="285"/>
  <c r="CT2" i="273"/>
  <c r="CT158" i="273"/>
  <c r="CT159" i="273"/>
  <c r="CT162" i="273"/>
  <c r="CT119" i="273"/>
  <c r="CT120" i="273"/>
  <c r="CT123" i="273"/>
  <c r="CT59" i="288"/>
  <c r="CT184" i="288"/>
  <c r="CT2" i="314"/>
  <c r="CT148" i="288"/>
  <c r="CT209" i="288"/>
  <c r="CT198" i="273"/>
  <c r="CT199" i="273"/>
  <c r="CT202" i="273"/>
  <c r="CT2" i="315"/>
  <c r="CT2" i="288"/>
  <c r="CT34" i="288"/>
  <c r="CT49" i="273"/>
  <c r="CT2" i="286"/>
  <c r="CQ573" i="321"/>
  <c r="CQ708" i="321"/>
  <c r="CQ239" i="278"/>
  <c r="CQ233" i="273"/>
  <c r="CQ234" i="273"/>
  <c r="CQ17" i="278"/>
  <c r="CQ652" i="321"/>
  <c r="CQ246" i="278"/>
  <c r="CQ453" i="321"/>
  <c r="CQ57" i="314"/>
  <c r="CQ50" i="314"/>
  <c r="CQ675" i="321"/>
  <c r="CQ540" i="321"/>
  <c r="CQ497" i="321"/>
  <c r="CQ17" i="314"/>
  <c r="CQ581" i="321"/>
  <c r="CQ148" i="278"/>
  <c r="CQ713" i="321"/>
  <c r="CQ204" i="278"/>
  <c r="CQ100" i="278"/>
  <c r="CQ659" i="321"/>
  <c r="CQ636" i="321"/>
  <c r="CQ319" i="278"/>
  <c r="CQ31" i="289"/>
  <c r="CQ32" i="289"/>
  <c r="CQ37" i="289"/>
  <c r="CQ39" i="289"/>
  <c r="CR39" i="289"/>
  <c r="CQ230" i="278"/>
  <c r="CQ565" i="321"/>
  <c r="CQ238" i="273"/>
  <c r="CQ239" i="273"/>
  <c r="CQ63" i="286"/>
  <c r="CQ603" i="321"/>
  <c r="CQ283" i="278"/>
  <c r="CQ622" i="321"/>
  <c r="CQ104" i="314"/>
  <c r="CQ701" i="321"/>
  <c r="CQ702" i="321"/>
  <c r="CQ706" i="321"/>
  <c r="CQ551" i="321"/>
  <c r="CQ179" i="278"/>
  <c r="CQ617" i="321"/>
  <c r="CQ644" i="321"/>
  <c r="CQ694" i="321"/>
  <c r="CQ306" i="278"/>
  <c r="CQ136" i="314"/>
  <c r="CQ545" i="321"/>
  <c r="CQ129" i="314"/>
  <c r="CL10" i="315"/>
  <c r="CL11" i="315"/>
  <c r="CL10" i="265"/>
  <c r="CL11" i="265"/>
  <c r="CL32" i="328"/>
  <c r="CP214" i="273"/>
  <c r="CS211" i="278"/>
  <c r="CS650" i="321"/>
  <c r="CS707" i="321"/>
  <c r="CS598" i="321"/>
  <c r="CS599" i="321"/>
  <c r="CS161" i="278"/>
  <c r="CS579" i="321"/>
  <c r="CS186" i="278"/>
  <c r="CV2" i="328"/>
  <c r="CV10" i="289"/>
  <c r="CO152" i="278"/>
  <c r="CO29" i="328"/>
  <c r="CT11" i="289"/>
  <c r="CT12" i="289"/>
  <c r="CT36" i="289"/>
  <c r="CP90" i="278"/>
  <c r="CR105" i="282"/>
  <c r="CR591" i="321"/>
  <c r="CR37" i="282"/>
  <c r="CT195" i="273"/>
  <c r="CS566" i="321"/>
  <c r="CS162" i="278"/>
  <c r="CS187" i="278"/>
  <c r="CS33" i="286"/>
  <c r="CS16" i="288"/>
  <c r="CS17" i="288"/>
  <c r="CS109" i="273"/>
  <c r="CT110" i="273"/>
  <c r="CS292" i="278"/>
  <c r="CS110" i="286"/>
  <c r="CS212" i="278"/>
  <c r="CS268" i="278"/>
  <c r="CS623" i="321"/>
  <c r="CS15" i="286"/>
  <c r="CS552" i="321"/>
  <c r="CS11" i="282"/>
  <c r="CS637" i="321"/>
  <c r="CS92" i="286"/>
  <c r="CR161" i="273"/>
  <c r="CR163" i="273"/>
  <c r="CR151" i="321"/>
  <c r="CS240" i="278"/>
  <c r="CS247" i="278"/>
  <c r="CS56" i="273"/>
  <c r="CR28" i="288"/>
  <c r="CR53" i="288"/>
  <c r="CR203" i="288"/>
  <c r="CR178" i="288"/>
  <c r="CM272" i="288"/>
  <c r="CM122" i="288"/>
  <c r="CM114" i="288"/>
  <c r="CM264" i="288"/>
  <c r="CQ24" i="265"/>
  <c r="CQ22" i="315"/>
  <c r="CQ61" i="265"/>
  <c r="CQ59" i="315"/>
  <c r="CP91" i="278"/>
  <c r="CS30" i="289"/>
  <c r="CP72" i="321"/>
  <c r="CP79" i="321"/>
  <c r="CS72" i="273"/>
  <c r="AB117" i="265"/>
  <c r="AC323" i="278"/>
  <c r="AB113" i="315"/>
  <c r="AB312" i="278"/>
  <c r="AB305" i="278"/>
  <c r="AB307" i="278"/>
  <c r="M50" i="273"/>
  <c r="M3" i="277"/>
  <c r="N50" i="273"/>
  <c r="N3" i="277"/>
  <c r="O50" i="273"/>
  <c r="O3" i="277"/>
  <c r="Q50" i="273"/>
  <c r="Q3" i="277"/>
  <c r="P50" i="273"/>
  <c r="P3" i="277"/>
  <c r="R50" i="273"/>
  <c r="R3" i="277"/>
  <c r="S50" i="273"/>
  <c r="S3" i="277"/>
  <c r="T50" i="273"/>
  <c r="T3" i="277"/>
  <c r="U50" i="273"/>
  <c r="U3" i="277"/>
  <c r="V50" i="273"/>
  <c r="V3" i="277"/>
  <c r="W50" i="273"/>
  <c r="W3" i="277"/>
  <c r="X50" i="273"/>
  <c r="X3" i="277"/>
  <c r="Z50" i="273"/>
  <c r="Z3" i="277"/>
  <c r="AA50" i="273"/>
  <c r="AA3" i="277"/>
  <c r="Y50" i="273"/>
  <c r="Y3" i="277"/>
  <c r="AC50" i="273"/>
  <c r="AC3" i="277"/>
  <c r="AB50" i="273"/>
  <c r="AB3" i="277"/>
  <c r="AD50" i="273"/>
  <c r="AD3" i="277"/>
  <c r="AE50" i="273"/>
  <c r="AE3" i="277"/>
  <c r="AF50" i="273"/>
  <c r="AF3" i="277"/>
  <c r="AH50" i="273"/>
  <c r="AH3" i="277"/>
  <c r="AG50" i="273"/>
  <c r="AG3" i="277"/>
  <c r="AJ50" i="273"/>
  <c r="AJ3" i="277"/>
  <c r="AI50" i="273"/>
  <c r="AI3" i="277"/>
  <c r="AK50" i="273"/>
  <c r="AK3" i="277"/>
  <c r="AL50" i="273"/>
  <c r="AL3" i="277"/>
  <c r="AM50" i="273"/>
  <c r="AM3" i="277"/>
  <c r="AO50" i="273"/>
  <c r="AO3" i="277"/>
  <c r="AN50" i="273"/>
  <c r="AN3" i="277"/>
  <c r="AQ50" i="273"/>
  <c r="AQ3" i="277"/>
  <c r="AP50" i="273"/>
  <c r="AP3" i="277"/>
  <c r="AS50" i="273"/>
  <c r="AS3" i="277"/>
  <c r="AR50" i="273"/>
  <c r="AR3" i="277"/>
  <c r="AU50" i="273"/>
  <c r="AU3" i="277"/>
  <c r="AT50" i="273"/>
  <c r="AT3" i="277"/>
  <c r="AX50" i="273"/>
  <c r="AX3" i="277"/>
  <c r="AW50" i="273"/>
  <c r="AW3" i="277"/>
  <c r="AV50" i="273"/>
  <c r="AV3" i="277"/>
  <c r="AZ50" i="273"/>
  <c r="AZ3" i="277"/>
  <c r="AY50" i="273"/>
  <c r="AY3" i="277"/>
  <c r="AP23" i="285"/>
  <c r="AP27" i="285"/>
  <c r="AO102" i="265"/>
  <c r="AO98" i="315"/>
  <c r="CR24" i="314"/>
  <c r="CR36" i="285"/>
  <c r="CR11" i="321"/>
  <c r="AL224" i="278"/>
  <c r="AL225" i="278"/>
  <c r="AL220" i="278"/>
  <c r="AB43" i="315"/>
  <c r="AB45" i="265"/>
  <c r="CR123" i="314"/>
  <c r="CR44" i="314"/>
  <c r="CR40" i="321"/>
  <c r="CR41" i="321"/>
  <c r="CR44" i="321"/>
  <c r="CR172" i="314"/>
  <c r="CR89" i="314"/>
  <c r="CR111" i="314"/>
  <c r="CN213" i="278"/>
  <c r="CN214" i="278"/>
  <c r="CN218" i="278"/>
  <c r="CO154" i="278"/>
  <c r="CO217" i="278"/>
  <c r="CQ214" i="273"/>
  <c r="CQ217" i="273"/>
  <c r="CP218" i="273"/>
  <c r="CN163" i="278"/>
  <c r="CN164" i="278"/>
  <c r="CN168" i="278"/>
  <c r="CN223" i="278"/>
  <c r="CN155" i="278"/>
  <c r="CN172" i="278"/>
  <c r="CN27" i="328"/>
  <c r="CT262" i="273"/>
  <c r="CT674" i="321"/>
  <c r="CU258" i="273"/>
  <c r="CU259" i="273"/>
  <c r="CU194" i="273"/>
  <c r="CU195" i="273"/>
  <c r="CU2" i="282"/>
  <c r="CU2" i="321"/>
  <c r="CU2" i="289"/>
  <c r="CU34" i="288"/>
  <c r="CU2" i="286"/>
  <c r="CU158" i="273"/>
  <c r="CU159" i="273"/>
  <c r="CU119" i="273"/>
  <c r="CU120" i="273"/>
  <c r="CU59" i="288"/>
  <c r="CU2" i="273"/>
  <c r="CU148" i="288"/>
  <c r="CU2" i="288"/>
  <c r="CU2" i="304"/>
  <c r="CU198" i="273"/>
  <c r="CU199" i="273"/>
  <c r="CU202" i="273"/>
  <c r="CU71" i="273"/>
  <c r="CU3" i="328"/>
  <c r="CU8" i="328"/>
  <c r="CU209" i="288"/>
  <c r="CU49" i="273"/>
  <c r="CU38" i="311"/>
  <c r="CU2" i="285"/>
  <c r="CU154" i="273"/>
  <c r="CU155" i="273"/>
  <c r="CU2" i="265"/>
  <c r="CU184" i="288"/>
  <c r="CU2" i="314"/>
  <c r="CU2" i="275"/>
  <c r="CU2" i="278"/>
  <c r="CU2" i="315"/>
  <c r="CS53" i="288"/>
  <c r="CS178" i="288"/>
  <c r="CS28" i="288"/>
  <c r="CS203" i="288"/>
  <c r="CS658" i="321"/>
  <c r="CS602" i="321"/>
  <c r="CQ147" i="278"/>
  <c r="CQ149" i="278"/>
  <c r="CT237" i="273"/>
  <c r="CO98" i="278"/>
  <c r="CO101" i="278"/>
  <c r="CO104" i="278"/>
  <c r="CO105" i="278"/>
  <c r="CO18" i="328"/>
  <c r="CS105" i="282"/>
  <c r="CS37" i="282"/>
  <c r="CS591" i="321"/>
  <c r="CT4" i="278"/>
  <c r="CT4" i="285"/>
  <c r="CT4" i="314"/>
  <c r="CT11" i="328"/>
  <c r="CT4" i="286"/>
  <c r="CT4" i="304"/>
  <c r="CT4" i="315"/>
  <c r="CT4" i="321"/>
  <c r="CT4" i="275"/>
  <c r="CT4" i="282"/>
  <c r="CT4" i="273"/>
  <c r="CT4" i="288"/>
  <c r="CT4" i="289"/>
  <c r="CR16" i="285"/>
  <c r="CR17" i="285"/>
  <c r="CS124" i="273"/>
  <c r="CQ3" i="321"/>
  <c r="CQ3" i="314"/>
  <c r="CQ3" i="278"/>
  <c r="CQ3" i="286"/>
  <c r="CQ3" i="265"/>
  <c r="CQ3" i="273"/>
  <c r="CQ3" i="304"/>
  <c r="CQ3" i="315"/>
  <c r="CQ4" i="328"/>
  <c r="CQ3" i="289"/>
  <c r="CQ47" i="273"/>
  <c r="CQ3" i="285"/>
  <c r="CQ3" i="288"/>
  <c r="CQ3" i="282"/>
  <c r="CQ3" i="275"/>
  <c r="CQ72" i="321"/>
  <c r="CQ79" i="321"/>
  <c r="CT155" i="273"/>
  <c r="CU36" i="289"/>
  <c r="CR24" i="265"/>
  <c r="CR22" i="315"/>
  <c r="CR61" i="265"/>
  <c r="CR59" i="315"/>
  <c r="H226" i="273"/>
  <c r="CP67" i="288"/>
  <c r="CP68" i="288"/>
  <c r="CP259" i="288"/>
  <c r="CP80" i="288"/>
  <c r="CP109" i="288"/>
  <c r="CP51" i="321"/>
  <c r="CP161" i="288"/>
  <c r="CP162" i="288"/>
  <c r="CP171" i="288"/>
  <c r="CP217" i="288"/>
  <c r="CP218" i="288"/>
  <c r="CP220" i="288"/>
  <c r="CP167" i="288"/>
  <c r="CP217" i="273"/>
  <c r="CO218" i="273"/>
  <c r="CP230" i="288"/>
  <c r="CP241" i="288"/>
  <c r="CP242" i="288"/>
  <c r="CP244" i="288"/>
  <c r="CP45" i="321"/>
  <c r="CP46" i="321"/>
  <c r="CP48" i="321"/>
  <c r="CP86" i="288"/>
  <c r="CP236" i="288"/>
  <c r="CP91" i="288"/>
  <c r="CQ90" i="278"/>
  <c r="CQ91" i="278"/>
  <c r="CN114" i="288"/>
  <c r="CN122" i="288"/>
  <c r="CN264" i="288"/>
  <c r="CN272" i="288"/>
  <c r="CQ113" i="282"/>
  <c r="CQ153" i="282"/>
  <c r="CQ85" i="282"/>
  <c r="CQ45" i="282"/>
  <c r="CQ18" i="285"/>
  <c r="CQ26" i="285"/>
  <c r="CR131" i="321"/>
  <c r="CR259" i="321"/>
  <c r="CS203" i="273"/>
  <c r="CR71" i="321"/>
  <c r="CR277" i="321"/>
  <c r="CR267" i="321"/>
  <c r="CR213" i="273"/>
  <c r="CR253" i="321"/>
  <c r="CP13" i="265"/>
  <c r="CP13" i="315"/>
  <c r="CR130" i="321"/>
  <c r="CR70" i="321"/>
  <c r="CR212" i="273"/>
  <c r="CR141" i="321"/>
  <c r="CR147" i="321"/>
  <c r="CR165" i="321"/>
  <c r="CR155" i="321"/>
  <c r="CS674" i="321"/>
  <c r="CS262" i="273"/>
  <c r="CT201" i="273"/>
  <c r="CT263" i="321"/>
  <c r="CS53" i="273"/>
  <c r="CS75" i="273"/>
  <c r="CT76" i="273"/>
  <c r="CO17" i="328"/>
  <c r="CO213" i="278"/>
  <c r="CO214" i="278"/>
  <c r="CO218" i="278"/>
  <c r="CQ709" i="321"/>
  <c r="CQ711" i="321"/>
  <c r="CR581" i="321"/>
  <c r="CR148" i="278"/>
  <c r="CR713" i="321"/>
  <c r="CR540" i="321"/>
  <c r="CR233" i="273"/>
  <c r="CR234" i="273"/>
  <c r="CR17" i="278"/>
  <c r="CR100" i="278"/>
  <c r="CR644" i="321"/>
  <c r="CR622" i="321"/>
  <c r="CR545" i="321"/>
  <c r="CR306" i="278"/>
  <c r="CR701" i="321"/>
  <c r="CR702" i="321"/>
  <c r="CR706" i="321"/>
  <c r="CR16" i="289"/>
  <c r="CR17" i="289"/>
  <c r="CR22" i="289"/>
  <c r="CR617" i="321"/>
  <c r="CR50" i="314"/>
  <c r="CR17" i="314"/>
  <c r="CR551" i="321"/>
  <c r="CR603" i="321"/>
  <c r="CR675" i="321"/>
  <c r="CR179" i="278"/>
  <c r="CR230" i="278"/>
  <c r="CR204" i="278"/>
  <c r="CR652" i="321"/>
  <c r="CR694" i="321"/>
  <c r="CR497" i="321"/>
  <c r="CR63" i="286"/>
  <c r="CR57" i="314"/>
  <c r="CR239" i="278"/>
  <c r="CR659" i="321"/>
  <c r="CR453" i="321"/>
  <c r="CR573" i="321"/>
  <c r="CR708" i="321"/>
  <c r="CR104" i="314"/>
  <c r="CR47" i="289"/>
  <c r="CR48" i="289"/>
  <c r="CR53" i="289"/>
  <c r="CR238" i="273"/>
  <c r="CR239" i="273"/>
  <c r="CR636" i="321"/>
  <c r="CR246" i="278"/>
  <c r="CR319" i="278"/>
  <c r="CR136" i="314"/>
  <c r="CR129" i="314"/>
  <c r="CR565" i="321"/>
  <c r="CR283" i="278"/>
  <c r="CR31" i="289"/>
  <c r="CR32" i="289"/>
  <c r="CR37" i="289"/>
  <c r="CT579" i="321"/>
  <c r="CT650" i="321"/>
  <c r="CT707" i="321"/>
  <c r="CT598" i="321"/>
  <c r="CT599" i="321"/>
  <c r="CT161" i="278"/>
  <c r="CT211" i="278"/>
  <c r="CT186" i="278"/>
  <c r="CO57" i="328"/>
  <c r="CO70" i="288"/>
  <c r="CP153" i="278"/>
  <c r="CP30" i="328"/>
  <c r="CN188" i="278"/>
  <c r="CN189" i="278"/>
  <c r="CN193" i="278"/>
  <c r="CN192" i="278"/>
  <c r="CN197" i="278"/>
  <c r="CN9" i="315"/>
  <c r="CS84" i="273"/>
  <c r="CS86" i="273"/>
  <c r="CS54" i="273"/>
  <c r="CU72" i="273"/>
  <c r="CP97" i="278"/>
  <c r="CT240" i="278"/>
  <c r="CT247" i="278"/>
  <c r="CT56" i="273"/>
  <c r="CP92" i="278"/>
  <c r="CT15" i="289"/>
  <c r="CT30" i="289"/>
  <c r="CT46" i="289"/>
  <c r="CT72" i="273"/>
  <c r="CQ11" i="278"/>
  <c r="CQ330" i="321"/>
  <c r="CQ39" i="321"/>
  <c r="CQ218" i="321"/>
  <c r="CT552" i="321"/>
  <c r="CT109" i="273"/>
  <c r="CU110" i="273"/>
  <c r="CT187" i="278"/>
  <c r="CT110" i="286"/>
  <c r="CT16" i="288"/>
  <c r="CT17" i="288"/>
  <c r="CT11" i="282"/>
  <c r="CT623" i="321"/>
  <c r="CT15" i="286"/>
  <c r="CT268" i="278"/>
  <c r="CT566" i="321"/>
  <c r="CT637" i="321"/>
  <c r="CT92" i="286"/>
  <c r="CT212" i="278"/>
  <c r="CT162" i="278"/>
  <c r="CT292" i="278"/>
  <c r="CT33" i="286"/>
  <c r="CP29" i="328"/>
  <c r="CP152" i="278"/>
  <c r="CS161" i="273"/>
  <c r="CS163" i="273"/>
  <c r="CS151" i="321"/>
  <c r="CS272" i="278"/>
  <c r="CS158" i="314"/>
  <c r="CS15" i="275"/>
  <c r="CS20" i="275"/>
  <c r="CT17" i="275"/>
  <c r="CS19" i="282"/>
  <c r="CS85" i="273"/>
  <c r="CS79" i="314"/>
  <c r="CS118" i="314"/>
  <c r="CS296" i="278"/>
  <c r="CS39" i="314"/>
  <c r="CR63" i="273"/>
  <c r="CR64" i="273"/>
  <c r="CM10" i="265"/>
  <c r="CM11" i="265"/>
  <c r="CM32" i="328"/>
  <c r="CM10" i="315"/>
  <c r="CM11" i="315"/>
  <c r="AL44" i="265"/>
  <c r="AL42" i="315"/>
  <c r="BC283" i="307"/>
  <c r="BC9" i="310"/>
  <c r="AB110" i="265"/>
  <c r="AC309" i="278"/>
  <c r="AB106" i="315"/>
  <c r="AM222" i="278"/>
  <c r="AL229" i="278"/>
  <c r="AL231" i="278"/>
  <c r="AL116" i="265"/>
  <c r="AL254" i="278"/>
  <c r="AL112" i="315"/>
  <c r="AC326" i="278"/>
  <c r="AC318" i="278"/>
  <c r="AC320" i="278"/>
  <c r="AC321" i="278"/>
  <c r="AQ23" i="285"/>
  <c r="AQ27" i="285"/>
  <c r="AP98" i="315"/>
  <c r="AP102" i="265"/>
  <c r="CQ161" i="288"/>
  <c r="CQ109" i="288"/>
  <c r="CQ230" i="288"/>
  <c r="CQ167" i="288"/>
  <c r="CO155" i="278"/>
  <c r="CO10" i="265"/>
  <c r="CO223" i="278"/>
  <c r="CQ51" i="321"/>
  <c r="CQ86" i="288"/>
  <c r="CQ67" i="288"/>
  <c r="CQ68" i="288"/>
  <c r="CQ57" i="328"/>
  <c r="CQ236" i="288"/>
  <c r="CQ241" i="288"/>
  <c r="CQ242" i="288"/>
  <c r="CQ244" i="288"/>
  <c r="CR72" i="321"/>
  <c r="CR79" i="321"/>
  <c r="CQ80" i="288"/>
  <c r="CQ45" i="321"/>
  <c r="CQ46" i="321"/>
  <c r="CQ48" i="321"/>
  <c r="CQ217" i="288"/>
  <c r="CQ218" i="288"/>
  <c r="CQ220" i="288"/>
  <c r="CP154" i="278"/>
  <c r="CP217" i="278"/>
  <c r="CQ259" i="288"/>
  <c r="CQ91" i="288"/>
  <c r="CQ92" i="278"/>
  <c r="CN10" i="265"/>
  <c r="CN11" i="265"/>
  <c r="CN32" i="328"/>
  <c r="CN10" i="315"/>
  <c r="CN11" i="315"/>
  <c r="CP17" i="328"/>
  <c r="CS57" i="273"/>
  <c r="CS63" i="273"/>
  <c r="CS64" i="273"/>
  <c r="CQ17" i="328"/>
  <c r="CR214" i="273"/>
  <c r="CS130" i="321"/>
  <c r="CS165" i="321"/>
  <c r="CS70" i="321"/>
  <c r="CS212" i="273"/>
  <c r="CS147" i="321"/>
  <c r="CS155" i="321"/>
  <c r="CS141" i="321"/>
  <c r="CO172" i="278"/>
  <c r="CO27" i="328"/>
  <c r="CO167" i="278"/>
  <c r="CO163" i="278"/>
  <c r="CO164" i="278"/>
  <c r="CO168" i="278"/>
  <c r="CU201" i="273"/>
  <c r="CU263" i="321"/>
  <c r="CR3" i="273"/>
  <c r="CR3" i="315"/>
  <c r="CR3" i="321"/>
  <c r="CR3" i="288"/>
  <c r="CR4" i="328"/>
  <c r="CR47" i="273"/>
  <c r="BA50" i="273"/>
  <c r="BA3" i="277"/>
  <c r="CR3" i="275"/>
  <c r="CR3" i="286"/>
  <c r="CR3" i="265"/>
  <c r="CR3" i="282"/>
  <c r="CR3" i="278"/>
  <c r="CR3" i="285"/>
  <c r="CR3" i="314"/>
  <c r="CR3" i="289"/>
  <c r="CR3" i="304"/>
  <c r="CT28" i="314"/>
  <c r="CT261" i="273"/>
  <c r="CT263" i="273"/>
  <c r="CT589" i="321"/>
  <c r="CT590" i="321"/>
  <c r="CT38" i="314"/>
  <c r="CT259" i="278"/>
  <c r="CT122" i="273"/>
  <c r="CT124" i="273"/>
  <c r="CT55" i="273"/>
  <c r="CT117" i="314"/>
  <c r="CU674" i="321"/>
  <c r="CU262" i="273"/>
  <c r="CS148" i="278"/>
  <c r="CS713" i="321"/>
  <c r="CS104" i="314"/>
  <c r="CS581" i="321"/>
  <c r="CS283" i="278"/>
  <c r="CS652" i="321"/>
  <c r="CS617" i="321"/>
  <c r="CS453" i="321"/>
  <c r="CS136" i="314"/>
  <c r="CS129" i="314"/>
  <c r="CS179" i="278"/>
  <c r="CS659" i="321"/>
  <c r="CS17" i="314"/>
  <c r="CS603" i="321"/>
  <c r="CS675" i="321"/>
  <c r="CS565" i="321"/>
  <c r="CS540" i="321"/>
  <c r="CS230" i="278"/>
  <c r="CS238" i="273"/>
  <c r="CS239" i="273"/>
  <c r="CS636" i="321"/>
  <c r="CS246" i="278"/>
  <c r="CS319" i="278"/>
  <c r="CS545" i="321"/>
  <c r="CS63" i="286"/>
  <c r="CS701" i="321"/>
  <c r="CS702" i="321"/>
  <c r="CS706" i="321"/>
  <c r="CS233" i="273"/>
  <c r="CS234" i="273"/>
  <c r="CS17" i="278"/>
  <c r="CS622" i="321"/>
  <c r="CS551" i="321"/>
  <c r="CS306" i="278"/>
  <c r="CS708" i="321"/>
  <c r="CS239" i="278"/>
  <c r="CS573" i="321"/>
  <c r="CS204" i="278"/>
  <c r="CS644" i="321"/>
  <c r="CS694" i="321"/>
  <c r="CS497" i="321"/>
  <c r="CS31" i="289"/>
  <c r="CS32" i="289"/>
  <c r="CS37" i="289"/>
  <c r="CS39" i="289"/>
  <c r="CT39" i="289"/>
  <c r="CS50" i="314"/>
  <c r="CS100" i="278"/>
  <c r="CS57" i="314"/>
  <c r="CR90" i="278"/>
  <c r="CV140" i="273"/>
  <c r="CV141" i="273"/>
  <c r="CV144" i="273"/>
  <c r="CV100" i="273"/>
  <c r="CV101" i="273"/>
  <c r="H101" i="273"/>
  <c r="CV194" i="273"/>
  <c r="CV195" i="273"/>
  <c r="H195" i="273"/>
  <c r="CV2" i="265"/>
  <c r="P102" i="277"/>
  <c r="CV2" i="321"/>
  <c r="CV2" i="286"/>
  <c r="CV2" i="304"/>
  <c r="CV49" i="273"/>
  <c r="CV2" i="289"/>
  <c r="CV80" i="273"/>
  <c r="CV81" i="273"/>
  <c r="H81" i="273"/>
  <c r="CV2" i="275"/>
  <c r="CV2" i="314"/>
  <c r="CV119" i="273"/>
  <c r="CV120" i="273"/>
  <c r="CV123" i="273"/>
  <c r="CV258" i="273"/>
  <c r="CV259" i="273"/>
  <c r="H259" i="273"/>
  <c r="CV158" i="273"/>
  <c r="CV159" i="273"/>
  <c r="CV162" i="273"/>
  <c r="CV3" i="328"/>
  <c r="CV8" i="328"/>
  <c r="AF68" i="328"/>
  <c r="CV148" i="288"/>
  <c r="CV209" i="288"/>
  <c r="CV2" i="273"/>
  <c r="CV184" i="288"/>
  <c r="CV71" i="273"/>
  <c r="CV72" i="273"/>
  <c r="H72" i="273"/>
  <c r="CV59" i="288"/>
  <c r="CV2" i="278"/>
  <c r="CV198" i="273"/>
  <c r="CV199" i="273"/>
  <c r="CV154" i="273"/>
  <c r="CV155" i="273"/>
  <c r="H155" i="273"/>
  <c r="CV29" i="273"/>
  <c r="CV30" i="273"/>
  <c r="CV34" i="288"/>
  <c r="CV2" i="288"/>
  <c r="CV2" i="285"/>
  <c r="CV38" i="311"/>
  <c r="CV2" i="282"/>
  <c r="CV180" i="273"/>
  <c r="CV181" i="273"/>
  <c r="CV184" i="273"/>
  <c r="CV2" i="315"/>
  <c r="CR113" i="282"/>
  <c r="CR153" i="282"/>
  <c r="CR85" i="282"/>
  <c r="CR45" i="282"/>
  <c r="CR26" i="285"/>
  <c r="CR18" i="285"/>
  <c r="CQ153" i="278"/>
  <c r="CQ30" i="328"/>
  <c r="CU162" i="273"/>
  <c r="H159" i="273"/>
  <c r="H162" i="273"/>
  <c r="CU237" i="273"/>
  <c r="CU247" i="278"/>
  <c r="CU56" i="273"/>
  <c r="CU240" i="278"/>
  <c r="CR39" i="321"/>
  <c r="CR11" i="278"/>
  <c r="CR218" i="321"/>
  <c r="CR330" i="321"/>
  <c r="CR709" i="321"/>
  <c r="CR711" i="321"/>
  <c r="CR91" i="278"/>
  <c r="CP264" i="288"/>
  <c r="CP272" i="288"/>
  <c r="CP114" i="288"/>
  <c r="CP122" i="288"/>
  <c r="CT161" i="273"/>
  <c r="CT163" i="273"/>
  <c r="CT151" i="321"/>
  <c r="CU151" i="321"/>
  <c r="CU161" i="273"/>
  <c r="CU4" i="286"/>
  <c r="CU4" i="273"/>
  <c r="CU4" i="321"/>
  <c r="CU4" i="289"/>
  <c r="CU4" i="278"/>
  <c r="CU4" i="304"/>
  <c r="CU4" i="315"/>
  <c r="CU4" i="288"/>
  <c r="CU11" i="328"/>
  <c r="CU4" i="282"/>
  <c r="CU4" i="275"/>
  <c r="CU4" i="285"/>
  <c r="CU4" i="314"/>
  <c r="R102" i="277"/>
  <c r="R116" i="277"/>
  <c r="J117" i="277"/>
  <c r="CP213" i="278"/>
  <c r="CP214" i="278"/>
  <c r="CP218" i="278"/>
  <c r="CT28" i="288"/>
  <c r="CT203" i="288"/>
  <c r="CT178" i="288"/>
  <c r="CT53" i="288"/>
  <c r="CU75" i="273"/>
  <c r="CV76" i="273"/>
  <c r="CU53" i="273"/>
  <c r="CT19" i="282"/>
  <c r="CT15" i="275"/>
  <c r="CT20" i="275"/>
  <c r="CU17" i="275"/>
  <c r="CT296" i="278"/>
  <c r="CT79" i="314"/>
  <c r="CT118" i="314"/>
  <c r="CT39" i="314"/>
  <c r="CT272" i="278"/>
  <c r="CT85" i="273"/>
  <c r="CT158" i="314"/>
  <c r="CO10" i="315"/>
  <c r="CT54" i="273"/>
  <c r="CT84" i="273"/>
  <c r="CT86" i="273"/>
  <c r="H36" i="289"/>
  <c r="H11" i="289"/>
  <c r="H21" i="289"/>
  <c r="H52" i="289"/>
  <c r="CO114" i="288"/>
  <c r="CO122" i="288"/>
  <c r="CO272" i="288"/>
  <c r="CO264" i="288"/>
  <c r="CP70" i="288"/>
  <c r="CP57" i="328"/>
  <c r="CU30" i="289"/>
  <c r="CO197" i="278"/>
  <c r="CO9" i="315"/>
  <c r="CO188" i="278"/>
  <c r="CO189" i="278"/>
  <c r="CO193" i="278"/>
  <c r="CO192" i="278"/>
  <c r="CQ29" i="328"/>
  <c r="CQ152" i="278"/>
  <c r="CU707" i="321"/>
  <c r="CU579" i="321"/>
  <c r="CU598" i="321"/>
  <c r="CU599" i="321"/>
  <c r="CU161" i="278"/>
  <c r="CU211" i="278"/>
  <c r="CU650" i="321"/>
  <c r="CU186" i="278"/>
  <c r="CQ162" i="288"/>
  <c r="CQ171" i="288"/>
  <c r="CT53" i="273"/>
  <c r="CT75" i="273"/>
  <c r="CU76" i="273"/>
  <c r="CP98" i="278"/>
  <c r="CP101" i="278"/>
  <c r="CP104" i="278"/>
  <c r="CP105" i="278"/>
  <c r="CP18" i="328"/>
  <c r="CT602" i="321"/>
  <c r="CT658" i="321"/>
  <c r="CU79" i="314"/>
  <c r="CU85" i="273"/>
  <c r="CU39" i="314"/>
  <c r="CU19" i="282"/>
  <c r="CU118" i="314"/>
  <c r="CU272" i="278"/>
  <c r="CU158" i="314"/>
  <c r="CU15" i="275"/>
  <c r="CU296" i="278"/>
  <c r="CT203" i="273"/>
  <c r="CS253" i="321"/>
  <c r="CS131" i="321"/>
  <c r="CS213" i="273"/>
  <c r="CS277" i="321"/>
  <c r="CS71" i="321"/>
  <c r="CS267" i="321"/>
  <c r="CS259" i="321"/>
  <c r="CQ13" i="265"/>
  <c r="CQ13" i="315"/>
  <c r="CQ97" i="278"/>
  <c r="CV36" i="289"/>
  <c r="CV11" i="289"/>
  <c r="CV12" i="289"/>
  <c r="CS16" i="285"/>
  <c r="CS17" i="285"/>
  <c r="CS61" i="265"/>
  <c r="CS24" i="265"/>
  <c r="CS59" i="315"/>
  <c r="CS22" i="315"/>
  <c r="CR147" i="278"/>
  <c r="CR149" i="278"/>
  <c r="CU16" i="288"/>
  <c r="CU17" i="288"/>
  <c r="CU162" i="278"/>
  <c r="CU187" i="278"/>
  <c r="CU33" i="286"/>
  <c r="CU623" i="321"/>
  <c r="CU212" i="278"/>
  <c r="CU109" i="273"/>
  <c r="CV110" i="273"/>
  <c r="CU292" i="278"/>
  <c r="CU110" i="286"/>
  <c r="CU552" i="321"/>
  <c r="CU15" i="286"/>
  <c r="CU268" i="278"/>
  <c r="CU566" i="321"/>
  <c r="CU637" i="321"/>
  <c r="CU92" i="286"/>
  <c r="CU11" i="282"/>
  <c r="CU123" i="273"/>
  <c r="AC43" i="315"/>
  <c r="AC45" i="265"/>
  <c r="AM228" i="278"/>
  <c r="AM216" i="278"/>
  <c r="AM219" i="278"/>
  <c r="AR23" i="285"/>
  <c r="AR27" i="285"/>
  <c r="AQ102" i="265"/>
  <c r="AQ98" i="315"/>
  <c r="AC117" i="265"/>
  <c r="AC113" i="315"/>
  <c r="AD323" i="278"/>
  <c r="CS24" i="314"/>
  <c r="CS172" i="314"/>
  <c r="CS111" i="314"/>
  <c r="CS36" i="285"/>
  <c r="CS44" i="314"/>
  <c r="CS11" i="321"/>
  <c r="CS123" i="314"/>
  <c r="CS40" i="321"/>
  <c r="CS41" i="321"/>
  <c r="CS44" i="321"/>
  <c r="CS89" i="314"/>
  <c r="AL238" i="278"/>
  <c r="AL282" i="278"/>
  <c r="AL245" i="278"/>
  <c r="AC312" i="278"/>
  <c r="AC305" i="278"/>
  <c r="AC307" i="278"/>
  <c r="CU20" i="275"/>
  <c r="CV17" i="275"/>
  <c r="AM68" i="328"/>
  <c r="H120" i="273"/>
  <c r="H123" i="273"/>
  <c r="AK68" i="328"/>
  <c r="CQ70" i="288"/>
  <c r="Q117" i="277"/>
  <c r="P117" i="277"/>
  <c r="X116" i="277"/>
  <c r="R117" i="277"/>
  <c r="K110" i="277"/>
  <c r="Q116" i="277"/>
  <c r="V116" i="277"/>
  <c r="J110" i="277"/>
  <c r="CP223" i="278"/>
  <c r="K116" i="277"/>
  <c r="CP155" i="278"/>
  <c r="CP10" i="315"/>
  <c r="CQ18" i="328"/>
  <c r="CQ98" i="278"/>
  <c r="CQ101" i="278"/>
  <c r="CQ104" i="278"/>
  <c r="CQ105" i="278"/>
  <c r="Z102" i="277"/>
  <c r="CO11" i="315"/>
  <c r="S110" i="277"/>
  <c r="O102" i="277"/>
  <c r="M116" i="277"/>
  <c r="M110" i="277"/>
  <c r="K117" i="277"/>
  <c r="N110" i="277"/>
  <c r="T116" i="277"/>
  <c r="L117" i="277"/>
  <c r="N117" i="277"/>
  <c r="U102" i="277"/>
  <c r="Q102" i="277"/>
  <c r="S117" i="277"/>
  <c r="S102" i="277"/>
  <c r="L102" i="277"/>
  <c r="Y102" i="277"/>
  <c r="V102" i="277"/>
  <c r="Q110" i="277"/>
  <c r="X102" i="277"/>
  <c r="M117" i="277"/>
  <c r="L116" i="277"/>
  <c r="M102" i="277"/>
  <c r="S116" i="277"/>
  <c r="R110" i="277"/>
  <c r="J102" i="277"/>
  <c r="W116" i="277"/>
  <c r="U116" i="277"/>
  <c r="L110" i="277"/>
  <c r="W102" i="277"/>
  <c r="T102" i="277"/>
  <c r="J116" i="277"/>
  <c r="K102" i="277"/>
  <c r="CP167" i="278"/>
  <c r="CP163" i="278"/>
  <c r="CP164" i="278"/>
  <c r="CP168" i="278"/>
  <c r="CP172" i="278"/>
  <c r="CP27" i="328"/>
  <c r="CT57" i="273"/>
  <c r="CT63" i="273"/>
  <c r="CT64" i="273"/>
  <c r="AJ68" i="328"/>
  <c r="L68" i="328"/>
  <c r="CS709" i="321"/>
  <c r="CS711" i="321"/>
  <c r="AN68" i="328"/>
  <c r="K68" i="328"/>
  <c r="J68" i="328"/>
  <c r="AI68" i="328"/>
  <c r="AG68" i="328"/>
  <c r="CQ154" i="278"/>
  <c r="H181" i="273"/>
  <c r="H184" i="273"/>
  <c r="CR67" i="288"/>
  <c r="CR68" i="288"/>
  <c r="CR167" i="288"/>
  <c r="CR109" i="288"/>
  <c r="CR51" i="321"/>
  <c r="CR217" i="288"/>
  <c r="CR218" i="288"/>
  <c r="CR220" i="288"/>
  <c r="CR217" i="273"/>
  <c r="CQ218" i="273"/>
  <c r="CR91" i="288"/>
  <c r="CR241" i="288"/>
  <c r="CR242" i="288"/>
  <c r="CR244" i="288"/>
  <c r="CR259" i="288"/>
  <c r="CR80" i="288"/>
  <c r="CR45" i="321"/>
  <c r="CR46" i="321"/>
  <c r="CR48" i="321"/>
  <c r="CR230" i="288"/>
  <c r="CR86" i="288"/>
  <c r="CR236" i="288"/>
  <c r="CR161" i="288"/>
  <c r="CR162" i="288"/>
  <c r="CR171" i="288"/>
  <c r="CT212" i="273"/>
  <c r="CT141" i="321"/>
  <c r="CT147" i="321"/>
  <c r="CT155" i="321"/>
  <c r="CT130" i="321"/>
  <c r="CT165" i="321"/>
  <c r="CU163" i="273"/>
  <c r="CT70" i="321"/>
  <c r="H201" i="273"/>
  <c r="H263" i="321"/>
  <c r="CT148" i="278"/>
  <c r="CT713" i="321"/>
  <c r="CT179" i="278"/>
  <c r="CT230" i="278"/>
  <c r="CT581" i="321"/>
  <c r="CT603" i="321"/>
  <c r="CT675" i="321"/>
  <c r="CT239" i="278"/>
  <c r="CT551" i="321"/>
  <c r="CT233" i="273"/>
  <c r="CT234" i="273"/>
  <c r="CT17" i="278"/>
  <c r="CT652" i="321"/>
  <c r="CT617" i="321"/>
  <c r="CT453" i="321"/>
  <c r="CT57" i="314"/>
  <c r="CT50" i="314"/>
  <c r="CT17" i="314"/>
  <c r="CT708" i="321"/>
  <c r="CT540" i="321"/>
  <c r="CT701" i="321"/>
  <c r="CT702" i="321"/>
  <c r="CT706" i="321"/>
  <c r="CT573" i="321"/>
  <c r="CT204" i="278"/>
  <c r="CT659" i="321"/>
  <c r="CT497" i="321"/>
  <c r="CT136" i="314"/>
  <c r="CT16" i="289"/>
  <c r="CT17" i="289"/>
  <c r="CT22" i="289"/>
  <c r="CT565" i="321"/>
  <c r="CT104" i="314"/>
  <c r="CT283" i="278"/>
  <c r="CT694" i="321"/>
  <c r="CT319" i="278"/>
  <c r="CT306" i="278"/>
  <c r="CT63" i="286"/>
  <c r="CT238" i="273"/>
  <c r="CT239" i="273"/>
  <c r="CT644" i="321"/>
  <c r="CT246" i="278"/>
  <c r="CT31" i="289"/>
  <c r="CT32" i="289"/>
  <c r="CT37" i="289"/>
  <c r="CT545" i="321"/>
  <c r="CT100" i="278"/>
  <c r="CT636" i="321"/>
  <c r="CT622" i="321"/>
  <c r="CT129" i="314"/>
  <c r="CT47" i="289"/>
  <c r="CT48" i="289"/>
  <c r="CT53" i="289"/>
  <c r="CU53" i="288"/>
  <c r="CU28" i="288"/>
  <c r="CU178" i="288"/>
  <c r="CU203" i="288"/>
  <c r="CT16" i="285"/>
  <c r="CT17" i="285"/>
  <c r="CT131" i="321"/>
  <c r="CT267" i="321"/>
  <c r="CU203" i="273"/>
  <c r="CT277" i="321"/>
  <c r="CT213" i="273"/>
  <c r="CT253" i="321"/>
  <c r="CT71" i="321"/>
  <c r="CT259" i="321"/>
  <c r="CP188" i="278"/>
  <c r="CP189" i="278"/>
  <c r="CP193" i="278"/>
  <c r="CP197" i="278"/>
  <c r="CP192" i="278"/>
  <c r="CP9" i="315"/>
  <c r="CU54" i="273"/>
  <c r="CU84" i="273"/>
  <c r="CU86" i="273"/>
  <c r="H85" i="273"/>
  <c r="H39" i="314"/>
  <c r="H15" i="275"/>
  <c r="H89" i="273"/>
  <c r="H118" i="314"/>
  <c r="H79" i="314"/>
  <c r="H158" i="314"/>
  <c r="H19" i="282"/>
  <c r="H296" i="278"/>
  <c r="H272" i="278"/>
  <c r="CV84" i="273"/>
  <c r="CV54" i="273"/>
  <c r="H141" i="273"/>
  <c r="H144" i="273"/>
  <c r="CV4" i="285"/>
  <c r="CV4" i="321"/>
  <c r="CV4" i="273"/>
  <c r="CV11" i="328"/>
  <c r="BF37" i="328"/>
  <c r="CV4" i="315"/>
  <c r="S10" i="277"/>
  <c r="CV4" i="278"/>
  <c r="CV4" i="282"/>
  <c r="CV4" i="314"/>
  <c r="CV4" i="289"/>
  <c r="CV4" i="286"/>
  <c r="CV4" i="304"/>
  <c r="CV4" i="288"/>
  <c r="CV4" i="275"/>
  <c r="AH68" i="328"/>
  <c r="AP68" i="328"/>
  <c r="CV161" i="278"/>
  <c r="CV186" i="278"/>
  <c r="CV211" i="278"/>
  <c r="CV650" i="321"/>
  <c r="CV579" i="321"/>
  <c r="CV598" i="321"/>
  <c r="CV599" i="321"/>
  <c r="CV707" i="321"/>
  <c r="AO68" i="328"/>
  <c r="CR153" i="278"/>
  <c r="CR30" i="328"/>
  <c r="CV15" i="289"/>
  <c r="CV46" i="289"/>
  <c r="CV30" i="289"/>
  <c r="CR97" i="278"/>
  <c r="H674" i="321"/>
  <c r="H262" i="273"/>
  <c r="CR13" i="265"/>
  <c r="CR13" i="315"/>
  <c r="CV237" i="273"/>
  <c r="CV35" i="273"/>
  <c r="CS90" i="278"/>
  <c r="CT105" i="282"/>
  <c r="CT591" i="321"/>
  <c r="CT37" i="282"/>
  <c r="CV56" i="273"/>
  <c r="CV240" i="278"/>
  <c r="CV247" i="278"/>
  <c r="CR152" i="278"/>
  <c r="CR154" i="278"/>
  <c r="CR29" i="328"/>
  <c r="CV589" i="321"/>
  <c r="CV590" i="321"/>
  <c r="CV261" i="273"/>
  <c r="CV117" i="314"/>
  <c r="CV122" i="273"/>
  <c r="CV259" i="278"/>
  <c r="CV28" i="314"/>
  <c r="CV38" i="314"/>
  <c r="CV55" i="273"/>
  <c r="CU602" i="321"/>
  <c r="CU658" i="321"/>
  <c r="CU589" i="321"/>
  <c r="CU590" i="321"/>
  <c r="H590" i="321"/>
  <c r="CU38" i="314"/>
  <c r="CU122" i="273"/>
  <c r="CU124" i="273"/>
  <c r="CU259" i="278"/>
  <c r="CU261" i="273"/>
  <c r="CU263" i="273"/>
  <c r="CU117" i="314"/>
  <c r="CU28" i="314"/>
  <c r="CU55" i="273"/>
  <c r="H151" i="321"/>
  <c r="H161" i="273"/>
  <c r="CS3" i="289"/>
  <c r="CS47" i="273"/>
  <c r="CS3" i="285"/>
  <c r="CS4" i="328"/>
  <c r="CS3" i="282"/>
  <c r="CS3" i="321"/>
  <c r="CS3" i="315"/>
  <c r="CS3" i="265"/>
  <c r="CS3" i="314"/>
  <c r="CS3" i="288"/>
  <c r="CS3" i="275"/>
  <c r="CS3" i="278"/>
  <c r="CS3" i="273"/>
  <c r="CS3" i="286"/>
  <c r="CS3" i="304"/>
  <c r="H30" i="273"/>
  <c r="CV161" i="273"/>
  <c r="CV151" i="321"/>
  <c r="CV674" i="321"/>
  <c r="CV262" i="273"/>
  <c r="CV201" i="273"/>
  <c r="CV263" i="321"/>
  <c r="CS91" i="278"/>
  <c r="CS147" i="278"/>
  <c r="CS149" i="278"/>
  <c r="H90" i="273"/>
  <c r="CO11" i="265"/>
  <c r="CO32" i="328"/>
  <c r="CS214" i="273"/>
  <c r="H268" i="278"/>
  <c r="H105" i="273"/>
  <c r="H33" i="286"/>
  <c r="H292" i="278"/>
  <c r="H110" i="286"/>
  <c r="H187" i="278"/>
  <c r="H162" i="278"/>
  <c r="H15" i="286"/>
  <c r="H212" i="278"/>
  <c r="H623" i="321"/>
  <c r="H552" i="321"/>
  <c r="H92" i="286"/>
  <c r="H16" i="288"/>
  <c r="H637" i="321"/>
  <c r="H566" i="321"/>
  <c r="H109" i="273"/>
  <c r="H11" i="282"/>
  <c r="CS153" i="282"/>
  <c r="CS85" i="282"/>
  <c r="CS113" i="282"/>
  <c r="CS45" i="282"/>
  <c r="CS18" i="285"/>
  <c r="CS26" i="285"/>
  <c r="H75" i="273"/>
  <c r="H53" i="273"/>
  <c r="CV53" i="273"/>
  <c r="CV75" i="273"/>
  <c r="H76" i="273"/>
  <c r="AK51" i="277"/>
  <c r="AZ50" i="277"/>
  <c r="J50" i="328"/>
  <c r="BB47" i="328"/>
  <c r="BL49" i="328"/>
  <c r="AS50" i="328"/>
  <c r="BB37" i="328"/>
  <c r="CU38" i="328"/>
  <c r="W49" i="328"/>
  <c r="AF37" i="328"/>
  <c r="AT47" i="328"/>
  <c r="BL37" i="328"/>
  <c r="CO50" i="328"/>
  <c r="CS50" i="328"/>
  <c r="AY49" i="328"/>
  <c r="AU49" i="328"/>
  <c r="N47" i="328"/>
  <c r="AC37" i="328"/>
  <c r="AF50" i="328"/>
  <c r="AN47" i="328"/>
  <c r="AP37" i="328"/>
  <c r="CH49" i="328"/>
  <c r="AS38" i="328"/>
  <c r="BU49" i="328"/>
  <c r="CP37" i="328"/>
  <c r="BM47" i="328"/>
  <c r="AY37" i="328"/>
  <c r="J49" i="328"/>
  <c r="AU37" i="328"/>
  <c r="BE47" i="328"/>
  <c r="BO49" i="328"/>
  <c r="BT37" i="328"/>
  <c r="AU38" i="328"/>
  <c r="CJ38" i="328"/>
  <c r="CN50" i="328"/>
  <c r="CJ37" i="328"/>
  <c r="BV49" i="328"/>
  <c r="CV47" i="328"/>
  <c r="CA47" i="328"/>
  <c r="CF47" i="328"/>
  <c r="O37" i="328"/>
  <c r="Q38" i="328"/>
  <c r="R37" i="328"/>
  <c r="T38" i="328"/>
  <c r="T52" i="328"/>
  <c r="V47" i="328"/>
  <c r="V50" i="328"/>
  <c r="W47" i="328"/>
  <c r="Y50" i="328"/>
  <c r="Z50" i="328"/>
  <c r="AA37" i="328"/>
  <c r="AC49" i="328"/>
  <c r="AE37" i="328"/>
  <c r="CO49" i="328"/>
  <c r="CG37" i="328"/>
  <c r="BT52" i="328"/>
  <c r="BK38" i="328"/>
  <c r="AT38" i="328"/>
  <c r="BP50" i="328"/>
  <c r="CN52" i="328"/>
  <c r="CK49" i="328"/>
  <c r="BE37" i="328"/>
  <c r="CI52" i="328"/>
  <c r="AR50" i="328"/>
  <c r="AX50" i="328"/>
  <c r="BI47" i="328"/>
  <c r="BS50" i="328"/>
  <c r="BD37" i="328"/>
  <c r="BL52" i="328"/>
  <c r="BY50" i="328"/>
  <c r="BH37" i="328"/>
  <c r="BX38" i="328"/>
  <c r="CE49" i="328"/>
  <c r="BO52" i="328"/>
  <c r="CC47" i="328"/>
  <c r="AQ52" i="328"/>
  <c r="BX37" i="328"/>
  <c r="BY37" i="328"/>
  <c r="BT49" i="328"/>
  <c r="BM49" i="328"/>
  <c r="BK52" i="328"/>
  <c r="BJ50" i="328"/>
  <c r="BA38" i="328"/>
  <c r="BG50" i="328"/>
  <c r="CO38" i="328"/>
  <c r="CV49" i="328"/>
  <c r="AV47" i="328"/>
  <c r="BF47" i="328"/>
  <c r="BH49" i="328"/>
  <c r="CH37" i="328"/>
  <c r="BA50" i="328"/>
  <c r="BQ49" i="328"/>
  <c r="BI50" i="328"/>
  <c r="L38" i="328"/>
  <c r="AW49" i="328"/>
  <c r="CB38" i="328"/>
  <c r="BC37" i="328"/>
  <c r="L50" i="328"/>
  <c r="Q49" i="328"/>
  <c r="R49" i="328"/>
  <c r="S38" i="328"/>
  <c r="T47" i="328"/>
  <c r="T37" i="328"/>
  <c r="U50" i="328"/>
  <c r="W52" i="328"/>
  <c r="Y47" i="328"/>
  <c r="AA50" i="328"/>
  <c r="Z47" i="328"/>
  <c r="AB49" i="328"/>
  <c r="AD47" i="328"/>
  <c r="AD50" i="328"/>
  <c r="AI49" i="328"/>
  <c r="AG50" i="328"/>
  <c r="AH38" i="328"/>
  <c r="AI50" i="328"/>
  <c r="AM47" i="328"/>
  <c r="AM50" i="328"/>
  <c r="AO38" i="328"/>
  <c r="AO49" i="328"/>
  <c r="AH37" i="328"/>
  <c r="AL38" i="328"/>
  <c r="AG49" i="328"/>
  <c r="AJ37" i="328"/>
  <c r="AE38" i="328"/>
  <c r="AG38" i="328"/>
  <c r="AO52" i="328"/>
  <c r="AF47" i="328"/>
  <c r="AL37" i="328"/>
  <c r="AP52" i="328"/>
  <c r="H110" i="273"/>
  <c r="H137" i="273"/>
  <c r="H143" i="273"/>
  <c r="CV202" i="273"/>
  <c r="H199" i="273"/>
  <c r="H202" i="273"/>
  <c r="CV79" i="314"/>
  <c r="CV158" i="314"/>
  <c r="CV39" i="314"/>
  <c r="CV272" i="278"/>
  <c r="CV85" i="273"/>
  <c r="CV118" i="314"/>
  <c r="CV89" i="273"/>
  <c r="CV296" i="278"/>
  <c r="CV15" i="275"/>
  <c r="CV20" i="275"/>
  <c r="CV19" i="282"/>
  <c r="CV16" i="288"/>
  <c r="CV17" i="288"/>
  <c r="H17" i="288"/>
  <c r="CV552" i="321"/>
  <c r="CV292" i="278"/>
  <c r="CV110" i="286"/>
  <c r="CV92" i="286"/>
  <c r="CV566" i="321"/>
  <c r="CV109" i="273"/>
  <c r="CV637" i="321"/>
  <c r="CV15" i="286"/>
  <c r="CV623" i="321"/>
  <c r="CV105" i="273"/>
  <c r="CV212" i="278"/>
  <c r="CV187" i="278"/>
  <c r="CV33" i="286"/>
  <c r="CV11" i="282"/>
  <c r="CV162" i="278"/>
  <c r="CV268" i="278"/>
  <c r="CR92" i="278"/>
  <c r="CS39" i="321"/>
  <c r="CS11" i="278"/>
  <c r="CS218" i="321"/>
  <c r="CS330" i="321"/>
  <c r="AL68" i="328"/>
  <c r="H177" i="273"/>
  <c r="H183" i="273"/>
  <c r="CS72" i="321"/>
  <c r="CS79" i="321"/>
  <c r="AD309" i="278"/>
  <c r="AC106" i="315"/>
  <c r="AC110" i="265"/>
  <c r="AD326" i="278"/>
  <c r="AD318" i="278"/>
  <c r="AD320" i="278"/>
  <c r="AD321" i="278"/>
  <c r="P24" i="277"/>
  <c r="AM224" i="278"/>
  <c r="AM225" i="278"/>
  <c r="AM220" i="278"/>
  <c r="BD283" i="307"/>
  <c r="BD9" i="310"/>
  <c r="Q61" i="277"/>
  <c r="AS23" i="285"/>
  <c r="AS27" i="285"/>
  <c r="AR98" i="315"/>
  <c r="AR102" i="265"/>
  <c r="AW9" i="277"/>
  <c r="AF13" i="277"/>
  <c r="AS13" i="277"/>
  <c r="AR51" i="277"/>
  <c r="AA50" i="277"/>
  <c r="K42" i="277"/>
  <c r="AC10" i="277"/>
  <c r="BA54" i="277"/>
  <c r="AO52" i="277"/>
  <c r="X54" i="277"/>
  <c r="AM13" i="277"/>
  <c r="AR61" i="277"/>
  <c r="O58" i="277"/>
  <c r="AX9" i="277"/>
  <c r="AV24" i="277"/>
  <c r="AQ61" i="277"/>
  <c r="AN61" i="277"/>
  <c r="AI59" i="277"/>
  <c r="AE13" i="277"/>
  <c r="AB57" i="277"/>
  <c r="X52" i="277"/>
  <c r="S9" i="277"/>
  <c r="AX52" i="277"/>
  <c r="AK54" i="277"/>
  <c r="N10" i="277"/>
  <c r="AX42" i="277"/>
  <c r="U58" i="277"/>
  <c r="AI54" i="277"/>
  <c r="O13" i="277"/>
  <c r="AX57" i="277"/>
  <c r="AT10" i="277"/>
  <c r="AQ9" i="277"/>
  <c r="AO57" i="277"/>
  <c r="AI50" i="277"/>
  <c r="AD42" i="277"/>
  <c r="Z52" i="277"/>
  <c r="Q44" i="277"/>
  <c r="AT57" i="277"/>
  <c r="AF51" i="277"/>
  <c r="S50" i="277"/>
  <c r="AT24" i="277"/>
  <c r="Z50" i="277"/>
  <c r="O49" i="277"/>
  <c r="P57" i="277"/>
  <c r="AT52" i="277"/>
  <c r="AP54" i="277"/>
  <c r="AK24" i="277"/>
  <c r="AF52" i="277"/>
  <c r="AC57" i="277"/>
  <c r="X58" i="277"/>
  <c r="U52" i="277"/>
  <c r="R54" i="277"/>
  <c r="O52" i="277"/>
  <c r="AR54" i="277"/>
  <c r="AC24" i="277"/>
  <c r="J23" i="277"/>
  <c r="AL50" i="277"/>
  <c r="AY52" i="277"/>
  <c r="U51" i="277"/>
  <c r="CQ223" i="278"/>
  <c r="CQ155" i="278"/>
  <c r="CQ213" i="278"/>
  <c r="CQ214" i="278"/>
  <c r="CQ218" i="278"/>
  <c r="P61" i="277"/>
  <c r="AY61" i="277"/>
  <c r="N42" i="277"/>
  <c r="BB57" i="277"/>
  <c r="BA55" i="277"/>
  <c r="AX24" i="277"/>
  <c r="AY49" i="277"/>
  <c r="AV61" i="277"/>
  <c r="AV49" i="277"/>
  <c r="AW57" i="277"/>
  <c r="AU24" i="277"/>
  <c r="AU52" i="277"/>
  <c r="AS58" i="277"/>
  <c r="AQ54" i="277"/>
  <c r="AP52" i="277"/>
  <c r="AM42" i="277"/>
  <c r="AP42" i="277"/>
  <c r="AL59" i="277"/>
  <c r="AL49" i="277"/>
  <c r="AK55" i="277"/>
  <c r="AJ54" i="277"/>
  <c r="AJ59" i="277"/>
  <c r="AH49" i="277"/>
  <c r="AF49" i="277"/>
  <c r="AE51" i="277"/>
  <c r="AE58" i="277"/>
  <c r="AD10" i="277"/>
  <c r="AC42" i="277"/>
  <c r="AA13" i="277"/>
  <c r="AB61" i="277"/>
  <c r="Y55" i="277"/>
  <c r="X61" i="277"/>
  <c r="W57" i="277"/>
  <c r="U55" i="277"/>
  <c r="U49" i="277"/>
  <c r="S59" i="277"/>
  <c r="U50" i="277"/>
  <c r="S13" i="277"/>
  <c r="J24" i="277"/>
  <c r="O55" i="277"/>
  <c r="AV50" i="277"/>
  <c r="AU42" i="277"/>
  <c r="AR59" i="277"/>
  <c r="AN57" i="277"/>
  <c r="AJ10" i="277"/>
  <c r="AF50" i="277"/>
  <c r="AB24" i="277"/>
  <c r="W24" i="277"/>
  <c r="S24" i="277"/>
  <c r="P58" i="277"/>
  <c r="O50" i="277"/>
  <c r="AX49" i="277"/>
  <c r="AS59" i="277"/>
  <c r="AJ51" i="277"/>
  <c r="AB52" i="277"/>
  <c r="S54" i="277"/>
  <c r="AZ42" i="277"/>
  <c r="AV10" i="277"/>
  <c r="AN51" i="277"/>
  <c r="AG55" i="277"/>
  <c r="S11" i="277"/>
  <c r="J27" i="277"/>
  <c r="Q13" i="277"/>
  <c r="S45" i="277"/>
  <c r="T10" i="277"/>
  <c r="W58" i="277"/>
  <c r="X9" i="277"/>
  <c r="X10" i="277"/>
  <c r="X11" i="277"/>
  <c r="Y10" i="277"/>
  <c r="AA52" i="277"/>
  <c r="AC59" i="277"/>
  <c r="AE42" i="277"/>
  <c r="AG50" i="277"/>
  <c r="AI61" i="277"/>
  <c r="AL24" i="277"/>
  <c r="AN59" i="277"/>
  <c r="AP58" i="277"/>
  <c r="AQ51" i="277"/>
  <c r="AT58" i="277"/>
  <c r="AV9" i="277"/>
  <c r="AV11" i="277"/>
  <c r="P50" i="277"/>
  <c r="AY59" i="277"/>
  <c r="Q42" i="277"/>
  <c r="AT49" i="277"/>
  <c r="BA24" i="277"/>
  <c r="O24" i="277"/>
  <c r="R42" i="277"/>
  <c r="S42" i="277"/>
  <c r="U13" i="277"/>
  <c r="Y13" i="277"/>
  <c r="Y9" i="277"/>
  <c r="Y11" i="277"/>
  <c r="AB13" i="277"/>
  <c r="AD52" i="277"/>
  <c r="AE24" i="277"/>
  <c r="AH52" i="277"/>
  <c r="AJ50" i="277"/>
  <c r="AM24" i="277"/>
  <c r="AO42" i="277"/>
  <c r="AP50" i="277"/>
  <c r="AR57" i="277"/>
  <c r="AU51" i="277"/>
  <c r="AV13" i="277"/>
  <c r="AY54" i="277"/>
  <c r="AX13" i="277"/>
  <c r="AZ58" i="277"/>
  <c r="BA49" i="277"/>
  <c r="BB55" i="277"/>
  <c r="P13" i="277"/>
  <c r="AS49" i="277"/>
  <c r="AV57" i="277"/>
  <c r="AY9" i="277"/>
  <c r="AY10" i="277"/>
  <c r="AY11" i="277"/>
  <c r="L45" i="277"/>
  <c r="Q57" i="277"/>
  <c r="T42" i="277"/>
  <c r="T55" i="277"/>
  <c r="U54" i="277"/>
  <c r="S52" i="277"/>
  <c r="V24" i="277"/>
  <c r="V13" i="277"/>
  <c r="X13" i="277"/>
  <c r="X55" i="277"/>
  <c r="Z9" i="277"/>
  <c r="AB49" i="277"/>
  <c r="AA10" i="277"/>
  <c r="AA54" i="277"/>
  <c r="AD13" i="277"/>
  <c r="AC50" i="277"/>
  <c r="AF54" i="277"/>
  <c r="AG24" i="277"/>
  <c r="AH42" i="277"/>
  <c r="AI24" i="277"/>
  <c r="AJ55" i="277"/>
  <c r="AK57" i="277"/>
  <c r="AN24" i="277"/>
  <c r="AL13" i="277"/>
  <c r="AN54" i="277"/>
  <c r="AN9" i="277"/>
  <c r="AR10" i="277"/>
  <c r="R50" i="277"/>
  <c r="R9" i="277"/>
  <c r="V55" i="277"/>
  <c r="V50" i="277"/>
  <c r="X44" i="277"/>
  <c r="Y49" i="277"/>
  <c r="AB54" i="277"/>
  <c r="AE61" i="277"/>
  <c r="AF58" i="277"/>
  <c r="AH13" i="277"/>
  <c r="AJ42" i="277"/>
  <c r="AL51" i="277"/>
  <c r="AP57" i="277"/>
  <c r="AP9" i="277"/>
  <c r="AR9" i="277"/>
  <c r="AT50" i="277"/>
  <c r="AW24" i="277"/>
  <c r="AX59" i="277"/>
  <c r="BA58" i="277"/>
  <c r="R52" i="277"/>
  <c r="AW13" i="277"/>
  <c r="R59" i="277"/>
  <c r="T13" i="277"/>
  <c r="V52" i="277"/>
  <c r="Y50" i="277"/>
  <c r="Z61" i="277"/>
  <c r="AA9" i="277"/>
  <c r="AE55" i="277"/>
  <c r="AG59" i="277"/>
  <c r="AI13" i="277"/>
  <c r="AK49" i="277"/>
  <c r="AM58" i="277"/>
  <c r="AO49" i="277"/>
  <c r="AR42" i="277"/>
  <c r="AR55" i="277"/>
  <c r="AU54" i="277"/>
  <c r="AV52" i="277"/>
  <c r="AY55" i="277"/>
  <c r="AY42" i="277"/>
  <c r="AZ61" i="277"/>
  <c r="BA51" i="277"/>
  <c r="J42" i="277"/>
  <c r="K45" i="277"/>
  <c r="AU55" i="277"/>
  <c r="AW49" i="277"/>
  <c r="AZ54" i="277"/>
  <c r="O61" i="277"/>
  <c r="Q9" i="277"/>
  <c r="R13" i="277"/>
  <c r="W54" i="277"/>
  <c r="T59" i="277"/>
  <c r="V58" i="277"/>
  <c r="X42" i="277"/>
  <c r="X57" i="277"/>
  <c r="Y57" i="277"/>
  <c r="Z59" i="277"/>
  <c r="AB10" i="277"/>
  <c r="AB51" i="277"/>
  <c r="AC9" i="277"/>
  <c r="AC11" i="277"/>
  <c r="AC52" i="277"/>
  <c r="AD57" i="277"/>
  <c r="AG42" i="277"/>
  <c r="AH51" i="277"/>
  <c r="AH59" i="277"/>
  <c r="AJ13" i="277"/>
  <c r="AK10" i="277"/>
  <c r="AL9" i="277"/>
  <c r="AM52" i="277"/>
  <c r="AO13" i="277"/>
  <c r="AN58" i="277"/>
  <c r="AP61" i="277"/>
  <c r="AQ55" i="277"/>
  <c r="Q45" i="277"/>
  <c r="R49" i="277"/>
  <c r="V57" i="277"/>
  <c r="W42" i="277"/>
  <c r="Z13" i="277"/>
  <c r="AA49" i="277"/>
  <c r="AD51" i="277"/>
  <c r="AF55" i="277"/>
  <c r="AI10" i="277"/>
  <c r="AK9" i="277"/>
  <c r="AM9" i="277"/>
  <c r="AN42" i="277"/>
  <c r="AP13" i="277"/>
  <c r="AS57" i="277"/>
  <c r="AT61" i="277"/>
  <c r="AV51" i="277"/>
  <c r="AX55" i="277"/>
  <c r="BA57" i="277"/>
  <c r="K49" i="277"/>
  <c r="L49" i="277"/>
  <c r="Q52" i="277"/>
  <c r="V61" i="277"/>
  <c r="Z10" i="277"/>
  <c r="AA42" i="277"/>
  <c r="AD61" i="277"/>
  <c r="AG13" i="277"/>
  <c r="AH61" i="277"/>
  <c r="AK59" i="277"/>
  <c r="AM10" i="277"/>
  <c r="AO59" i="277"/>
  <c r="AP59" i="277"/>
  <c r="AS54" i="277"/>
  <c r="AT54" i="277"/>
  <c r="P55" i="277"/>
  <c r="AY50" i="277"/>
  <c r="L42" i="277"/>
  <c r="AZ52" i="277"/>
  <c r="BB54" i="277"/>
  <c r="O57" i="277"/>
  <c r="N49" i="277"/>
  <c r="AT59" i="277"/>
  <c r="P52" i="277"/>
  <c r="BB49" i="277"/>
  <c r="J84" i="277"/>
  <c r="N24" i="277"/>
  <c r="Q51" i="277"/>
  <c r="R57" i="277"/>
  <c r="T61" i="277"/>
  <c r="R58" i="277"/>
  <c r="S44" i="277"/>
  <c r="U9" i="277"/>
  <c r="T52" i="277"/>
  <c r="V59" i="277"/>
  <c r="W59" i="277"/>
  <c r="W10" i="277"/>
  <c r="X24" i="277"/>
  <c r="Z58" i="277"/>
  <c r="Z51" i="277"/>
  <c r="AB55" i="277"/>
  <c r="AA61" i="277"/>
  <c r="AD58" i="277"/>
  <c r="AD55" i="277"/>
  <c r="AF57" i="277"/>
  <c r="AG57" i="277"/>
  <c r="AG9" i="277"/>
  <c r="AI55" i="277"/>
  <c r="AJ24" i="277"/>
  <c r="AK52" i="277"/>
  <c r="AL10" i="277"/>
  <c r="AL42" i="277"/>
  <c r="AN52" i="277"/>
  <c r="AN55" i="277"/>
  <c r="AQ52" i="277"/>
  <c r="AQ49" i="277"/>
  <c r="AR24" i="277"/>
  <c r="AT51" i="277"/>
  <c r="N61" i="277"/>
  <c r="J45" i="277"/>
  <c r="AY57" i="277"/>
  <c r="BB52" i="277"/>
  <c r="BA50" i="277"/>
  <c r="BA59" i="277"/>
  <c r="AX58" i="277"/>
  <c r="AX54" i="277"/>
  <c r="AV54" i="277"/>
  <c r="O51" i="277"/>
  <c r="AW54" i="277"/>
  <c r="AU49" i="277"/>
  <c r="AS9" i="277"/>
  <c r="AS10" i="277"/>
  <c r="AS11" i="277"/>
  <c r="AQ50" i="277"/>
  <c r="AQ42" i="277"/>
  <c r="AO54" i="277"/>
  <c r="AO58" i="277"/>
  <c r="AL57" i="277"/>
  <c r="AO51" i="277"/>
  <c r="AK61" i="277"/>
  <c r="AJ52" i="277"/>
  <c r="AH55" i="277"/>
  <c r="AG52" i="277"/>
  <c r="AG54" i="277"/>
  <c r="AF9" i="277"/>
  <c r="AE10" i="277"/>
  <c r="AE9" i="277"/>
  <c r="AE11" i="277"/>
  <c r="AB50" i="277"/>
  <c r="AB9" i="277"/>
  <c r="Z42" i="277"/>
  <c r="Y59" i="277"/>
  <c r="X49" i="277"/>
  <c r="W61" i="277"/>
  <c r="V49" i="277"/>
  <c r="V54" i="277"/>
  <c r="S51" i="277"/>
  <c r="T57" i="277"/>
  <c r="T49" i="277"/>
  <c r="R61" i="277"/>
  <c r="Q58" i="277"/>
  <c r="J26" i="277"/>
  <c r="AZ55" i="277"/>
  <c r="P42" i="277"/>
  <c r="AS51" i="277"/>
  <c r="AR50" i="277"/>
  <c r="AL58" i="277"/>
  <c r="AI51" i="277"/>
  <c r="AD49" i="277"/>
  <c r="AB59" i="277"/>
  <c r="W49" i="277"/>
  <c r="S49" i="277"/>
  <c r="AY58" i="277"/>
  <c r="BB42" i="277"/>
  <c r="AQ10" i="277"/>
  <c r="AG10" i="277"/>
  <c r="AG11" i="277"/>
  <c r="Y42" i="277"/>
  <c r="AW10" i="277"/>
  <c r="AW11" i="277"/>
  <c r="AL55" i="277"/>
  <c r="AD54" i="277"/>
  <c r="W44" i="277"/>
  <c r="Q49" i="277"/>
  <c r="R24" i="277"/>
  <c r="AZ57" i="277"/>
  <c r="AW42" i="277"/>
  <c r="L13" i="277"/>
  <c r="BB58" i="277"/>
  <c r="AZ59" i="277"/>
  <c r="AZ49" i="277"/>
  <c r="AX50" i="277"/>
  <c r="P49" i="277"/>
  <c r="P54" i="277"/>
  <c r="AW52" i="277"/>
  <c r="AT42" i="277"/>
  <c r="AW50" i="277"/>
  <c r="AS55" i="277"/>
  <c r="AS61" i="277"/>
  <c r="AQ59" i="277"/>
  <c r="AQ24" i="277"/>
  <c r="AN10" i="277"/>
  <c r="AO24" i="277"/>
  <c r="AM51" i="277"/>
  <c r="AL54" i="277"/>
  <c r="AK58" i="277"/>
  <c r="AI9" i="277"/>
  <c r="AI11" i="277"/>
  <c r="AH50" i="277"/>
  <c r="AF10" i="277"/>
  <c r="AF11" i="277"/>
  <c r="AH10" i="277"/>
  <c r="AF61" i="277"/>
  <c r="AC58" i="277"/>
  <c r="AC49" i="277"/>
  <c r="AC13" i="277"/>
  <c r="AA51" i="277"/>
  <c r="Z49" i="277"/>
  <c r="Y58" i="277"/>
  <c r="W13" i="277"/>
  <c r="O9" i="277"/>
  <c r="V10" i="277"/>
  <c r="S57" i="277"/>
  <c r="S58" i="277"/>
  <c r="U10" i="277"/>
  <c r="R51" i="277"/>
  <c r="Q59" i="277"/>
  <c r="Q54" i="277"/>
  <c r="J60" i="277"/>
  <c r="AY24" i="277"/>
  <c r="AW61" i="277"/>
  <c r="AR13" i="277"/>
  <c r="AP51" i="277"/>
  <c r="AO10" i="277"/>
  <c r="AJ61" i="277"/>
  <c r="AD50" i="277"/>
  <c r="Z57" i="277"/>
  <c r="V9" i="277"/>
  <c r="T58" i="277"/>
  <c r="AT9" i="277"/>
  <c r="BA42" i="277"/>
  <c r="AV55" i="277"/>
  <c r="AP24" i="277"/>
  <c r="AE50" i="277"/>
  <c r="W51" i="277"/>
  <c r="AZ13" i="277"/>
  <c r="AU9" i="277"/>
  <c r="AJ58" i="277"/>
  <c r="AA57" i="277"/>
  <c r="U57" i="277"/>
  <c r="Z11" i="277"/>
  <c r="CP10" i="265"/>
  <c r="CP11" i="265"/>
  <c r="CP32" i="328"/>
  <c r="K10" i="277"/>
  <c r="Q10" i="277"/>
  <c r="Q11" i="277"/>
  <c r="T24" i="277"/>
  <c r="T44" i="277"/>
  <c r="T54" i="277"/>
  <c r="T50" i="277"/>
  <c r="V42" i="277"/>
  <c r="V44" i="277"/>
  <c r="X50" i="277"/>
  <c r="Y52" i="277"/>
  <c r="Z55" i="277"/>
  <c r="AB58" i="277"/>
  <c r="AC54" i="277"/>
  <c r="AC61" i="277"/>
  <c r="AE59" i="277"/>
  <c r="AF59" i="277"/>
  <c r="AG49" i="277"/>
  <c r="AG58" i="277"/>
  <c r="AH24" i="277"/>
  <c r="AJ9" i="277"/>
  <c r="AK50" i="277"/>
  <c r="AM55" i="277"/>
  <c r="AM61" i="277"/>
  <c r="AO55" i="277"/>
  <c r="AM50" i="277"/>
  <c r="AP55" i="277"/>
  <c r="AS52" i="277"/>
  <c r="AS50" i="277"/>
  <c r="AU10" i="277"/>
  <c r="AU11" i="277"/>
  <c r="AU59" i="277"/>
  <c r="AT13" i="277"/>
  <c r="AW55" i="277"/>
  <c r="P59" i="277"/>
  <c r="AX51" i="277"/>
  <c r="BA61" i="277"/>
  <c r="AZ51" i="277"/>
  <c r="BB51" i="277"/>
  <c r="J13" i="277"/>
  <c r="AT55" i="277"/>
  <c r="AX61" i="277"/>
  <c r="BB59" i="277"/>
  <c r="Q50" i="277"/>
  <c r="K44" i="277"/>
  <c r="T51" i="277"/>
  <c r="U44" i="277"/>
  <c r="W52" i="277"/>
  <c r="W50" i="277"/>
  <c r="X51" i="277"/>
  <c r="Y61" i="277"/>
  <c r="Z24" i="277"/>
  <c r="AA24" i="277"/>
  <c r="AC51" i="277"/>
  <c r="AE54" i="277"/>
  <c r="AE57" i="277"/>
  <c r="AF24" i="277"/>
  <c r="AG61" i="277"/>
  <c r="AI52" i="277"/>
  <c r="AI49" i="277"/>
  <c r="AI58" i="277"/>
  <c r="AJ57" i="277"/>
  <c r="AM54" i="277"/>
  <c r="AM57" i="277"/>
  <c r="AN49" i="277"/>
  <c r="AM59" i="277"/>
  <c r="AP49" i="277"/>
  <c r="AQ58" i="277"/>
  <c r="AR58" i="277"/>
  <c r="AS24" i="277"/>
  <c r="AU61" i="277"/>
  <c r="AW51" i="277"/>
  <c r="O42" i="277"/>
  <c r="AV58" i="277"/>
  <c r="J61" i="277"/>
  <c r="Q55" i="277"/>
  <c r="R55" i="277"/>
  <c r="T9" i="277"/>
  <c r="T11" i="277"/>
  <c r="S55" i="277"/>
  <c r="U61" i="277"/>
  <c r="W55" i="277"/>
  <c r="W9" i="277"/>
  <c r="Y54" i="277"/>
  <c r="Z54" i="277"/>
  <c r="AA55" i="277"/>
  <c r="AC55" i="277"/>
  <c r="AD9" i="277"/>
  <c r="AD11" i="277"/>
  <c r="AD24" i="277"/>
  <c r="AE49" i="277"/>
  <c r="AG51" i="277"/>
  <c r="AH58" i="277"/>
  <c r="AH9" i="277"/>
  <c r="AI57" i="277"/>
  <c r="AK13" i="277"/>
  <c r="AM49" i="277"/>
  <c r="AN50" i="277"/>
  <c r="AN13" i="277"/>
  <c r="AO50" i="277"/>
  <c r="AQ13" i="277"/>
  <c r="AQ57" i="277"/>
  <c r="AR49" i="277"/>
  <c r="AU50" i="277"/>
  <c r="AU57" i="277"/>
  <c r="AW59" i="277"/>
  <c r="P51" i="277"/>
  <c r="AV59" i="277"/>
  <c r="AY13" i="277"/>
  <c r="AX10" i="277"/>
  <c r="BA52" i="277"/>
  <c r="AZ24" i="277"/>
  <c r="BB50" i="277"/>
  <c r="K13" i="277"/>
  <c r="AV42" i="277"/>
  <c r="AY51" i="277"/>
  <c r="J49" i="277"/>
  <c r="J44" i="277"/>
  <c r="Q24" i="277"/>
  <c r="R44" i="277"/>
  <c r="R45" i="277"/>
  <c r="S61" i="277"/>
  <c r="U24" i="277"/>
  <c r="U59" i="277"/>
  <c r="U42" i="277"/>
  <c r="V51" i="277"/>
  <c r="X59" i="277"/>
  <c r="Y24" i="277"/>
  <c r="Y51" i="277"/>
  <c r="AA59" i="277"/>
  <c r="AA58" i="277"/>
  <c r="AB42" i="277"/>
  <c r="AD59" i="277"/>
  <c r="AE52" i="277"/>
  <c r="AF42" i="277"/>
  <c r="AH54" i="277"/>
  <c r="AH57" i="277"/>
  <c r="AI42" i="277"/>
  <c r="AJ49" i="277"/>
  <c r="AK42" i="277"/>
  <c r="AL61" i="277"/>
  <c r="AL52" i="277"/>
  <c r="AO9" i="277"/>
  <c r="AO61" i="277"/>
  <c r="AP10" i="277"/>
  <c r="AP11" i="277"/>
  <c r="AR52" i="277"/>
  <c r="AS42" i="277"/>
  <c r="AU58" i="277"/>
  <c r="AU13" i="277"/>
  <c r="O59" i="277"/>
  <c r="AW58" i="277"/>
  <c r="O54" i="277"/>
  <c r="BA13" i="277"/>
  <c r="J10" i="277"/>
  <c r="AK49" i="328"/>
  <c r="AN49" i="328"/>
  <c r="AN50" i="328"/>
  <c r="AC50" i="328"/>
  <c r="AE52" i="328"/>
  <c r="AL52" i="328"/>
  <c r="AK47" i="328"/>
  <c r="AJ49" i="328"/>
  <c r="AF49" i="328"/>
  <c r="AC38" i="328"/>
  <c r="AA47" i="328"/>
  <c r="W37" i="328"/>
  <c r="U38" i="328"/>
  <c r="U52" i="328"/>
  <c r="Q37" i="328"/>
  <c r="CU47" i="328"/>
  <c r="BF52" i="328"/>
  <c r="AQ47" i="328"/>
  <c r="CP38" i="328"/>
  <c r="CM50" i="328"/>
  <c r="BJ52" i="328"/>
  <c r="BJ37" i="328"/>
  <c r="BR38" i="328"/>
  <c r="BR47" i="328"/>
  <c r="BR50" i="328"/>
  <c r="BF49" i="328"/>
  <c r="BI49" i="328"/>
  <c r="BS37" i="328"/>
  <c r="BM37" i="328"/>
  <c r="BB52" i="328"/>
  <c r="AX47" i="328"/>
  <c r="CV37" i="328"/>
  <c r="CA37" i="328"/>
  <c r="BD38" i="328"/>
  <c r="CT38" i="328"/>
  <c r="CH52" i="328"/>
  <c r="BU38" i="328"/>
  <c r="CB49" i="328"/>
  <c r="AB37" i="328"/>
  <c r="AA49" i="328"/>
  <c r="Y52" i="328"/>
  <c r="V49" i="328"/>
  <c r="R38" i="328"/>
  <c r="M49" i="328"/>
  <c r="L49" i="328"/>
  <c r="BA52" i="328"/>
  <c r="K38" i="328"/>
  <c r="BZ50" i="328"/>
  <c r="BI38" i="328"/>
  <c r="BO38" i="328"/>
  <c r="AQ50" i="328"/>
  <c r="BC38" i="328"/>
  <c r="BM52" i="328"/>
  <c r="BB49" i="328"/>
  <c r="AK50" i="328"/>
  <c r="Z38" i="328"/>
  <c r="CS37" i="328"/>
  <c r="AW38" i="328"/>
  <c r="BT50" i="328"/>
  <c r="AX37" i="328"/>
  <c r="N52" i="328"/>
  <c r="CR37" i="328"/>
  <c r="CU50" i="328"/>
  <c r="CF37" i="328"/>
  <c r="AK52" i="328"/>
  <c r="AM38" i="328"/>
  <c r="AL49" i="328"/>
  <c r="AO50" i="328"/>
  <c r="AP47" i="328"/>
  <c r="AL50" i="328"/>
  <c r="AH52" i="328"/>
  <c r="AI38" i="328"/>
  <c r="AE49" i="328"/>
  <c r="AC52" i="328"/>
  <c r="Z37" i="328"/>
  <c r="X38" i="328"/>
  <c r="U47" i="328"/>
  <c r="R52" i="328"/>
  <c r="BI37" i="328"/>
  <c r="BQ38" i="328"/>
  <c r="BL47" i="328"/>
  <c r="CV52" i="328"/>
  <c r="CD50" i="328"/>
  <c r="CP47" i="328"/>
  <c r="CC38" i="328"/>
  <c r="AZ47" i="328"/>
  <c r="CL37" i="328"/>
  <c r="CP52" i="328"/>
  <c r="AV50" i="328"/>
  <c r="BL50" i="328"/>
  <c r="CI37" i="328"/>
  <c r="BT38" i="328"/>
  <c r="AX49" i="328"/>
  <c r="CO52" i="328"/>
  <c r="CC52" i="328"/>
  <c r="BK49" i="328"/>
  <c r="BK50" i="328"/>
  <c r="CG50" i="328"/>
  <c r="BQ37" i="328"/>
  <c r="BR52" i="328"/>
  <c r="AB38" i="328"/>
  <c r="X50" i="328"/>
  <c r="V38" i="328"/>
  <c r="S37" i="328"/>
  <c r="N37" i="328"/>
  <c r="P49" i="328"/>
  <c r="CV50" i="328"/>
  <c r="CD37" i="328"/>
  <c r="CV38" i="328"/>
  <c r="BP38" i="328"/>
  <c r="BR37" i="328"/>
  <c r="AW37" i="328"/>
  <c r="CG49" i="328"/>
  <c r="CS38" i="328"/>
  <c r="CR38" i="328"/>
  <c r="CF50" i="328"/>
  <c r="AI37" i="328"/>
  <c r="O38" i="328"/>
  <c r="BB50" i="328"/>
  <c r="BV37" i="328"/>
  <c r="CQ52" i="328"/>
  <c r="AH47" i="328"/>
  <c r="CA50" i="328"/>
  <c r="CR52" i="328"/>
  <c r="BI52" i="328"/>
  <c r="AZ37" i="328"/>
  <c r="BG49" i="328"/>
  <c r="CF52" i="328"/>
  <c r="BN52" i="328"/>
  <c r="BV52" i="328"/>
  <c r="BA37" i="328"/>
  <c r="CT50" i="328"/>
  <c r="BT47" i="328"/>
  <c r="BU52" i="328"/>
  <c r="CE52" i="328"/>
  <c r="CH50" i="328"/>
  <c r="CP49" i="328"/>
  <c r="AR49" i="328"/>
  <c r="CI47" i="328"/>
  <c r="BD47" i="328"/>
  <c r="AU47" i="328"/>
  <c r="CD49" i="328"/>
  <c r="CC50" i="328"/>
  <c r="BG37" i="328"/>
  <c r="CU49" i="328"/>
  <c r="CL47" i="328"/>
  <c r="P50" i="328"/>
  <c r="R50" i="328"/>
  <c r="S52" i="328"/>
  <c r="V37" i="328"/>
  <c r="Y38" i="328"/>
  <c r="AA52" i="328"/>
  <c r="AD37" i="328"/>
  <c r="AG47" i="328"/>
  <c r="AJ47" i="328"/>
  <c r="AO47" i="328"/>
  <c r="AN37" i="328"/>
  <c r="AS49" i="328"/>
  <c r="CP50" i="328"/>
  <c r="CK38" i="328"/>
  <c r="BV38" i="328"/>
  <c r="CJ50" i="328"/>
  <c r="BB38" i="328"/>
  <c r="CE37" i="328"/>
  <c r="CK37" i="328"/>
  <c r="BG52" i="328"/>
  <c r="BN47" i="328"/>
  <c r="AV49" i="328"/>
  <c r="CH38" i="328"/>
  <c r="BE38" i="328"/>
  <c r="BN38" i="328"/>
  <c r="AZ52" i="328"/>
  <c r="CA49" i="328"/>
  <c r="CF49" i="328"/>
  <c r="AY38" i="328"/>
  <c r="AY47" i="328"/>
  <c r="CO47" i="328"/>
  <c r="CK50" i="328"/>
  <c r="BV50" i="328"/>
  <c r="CK52" i="328"/>
  <c r="S49" i="328"/>
  <c r="U49" i="328"/>
  <c r="X49" i="328"/>
  <c r="Y49" i="328"/>
  <c r="AF52" i="328"/>
  <c r="AF38" i="328"/>
  <c r="AJ38" i="328"/>
  <c r="AK38" i="328"/>
  <c r="AN38" i="328"/>
  <c r="CA38" i="328"/>
  <c r="AY52" i="328"/>
  <c r="BR49" i="328"/>
  <c r="CM49" i="328"/>
  <c r="CB52" i="328"/>
  <c r="AV37" i="328"/>
  <c r="AV38" i="328"/>
  <c r="BW50" i="328"/>
  <c r="BS52" i="328"/>
  <c r="CS52" i="328"/>
  <c r="BX50" i="328"/>
  <c r="BD50" i="328"/>
  <c r="CL38" i="328"/>
  <c r="AW47" i="328"/>
  <c r="BC50" i="328"/>
  <c r="CR50" i="328"/>
  <c r="CO37" i="328"/>
  <c r="CS47" i="328"/>
  <c r="BN50" i="328"/>
  <c r="AR47" i="328"/>
  <c r="BX47" i="328"/>
  <c r="AS52" i="328"/>
  <c r="BE52" i="328"/>
  <c r="J37" i="328"/>
  <c r="CC49" i="328"/>
  <c r="CB50" i="328"/>
  <c r="CM38" i="328"/>
  <c r="BO50" i="328"/>
  <c r="CN47" i="328"/>
  <c r="AW50" i="328"/>
  <c r="AY50" i="328"/>
  <c r="CJ49" i="328"/>
  <c r="BS47" i="328"/>
  <c r="AZ49" i="328"/>
  <c r="BV47" i="328"/>
  <c r="CE47" i="328"/>
  <c r="CF38" i="328"/>
  <c r="BJ38" i="328"/>
  <c r="CN37" i="328"/>
  <c r="BZ52" i="328"/>
  <c r="O52" i="328"/>
  <c r="Q47" i="328"/>
  <c r="R47" i="328"/>
  <c r="W50" i="328"/>
  <c r="Y37" i="328"/>
  <c r="AB52" i="328"/>
  <c r="AD49" i="328"/>
  <c r="AG52" i="328"/>
  <c r="AH49" i="328"/>
  <c r="AM37" i="328"/>
  <c r="AP49" i="328"/>
  <c r="AZ50" i="328"/>
  <c r="BH47" i="328"/>
  <c r="BJ47" i="328"/>
  <c r="BS49" i="328"/>
  <c r="CD52" i="328"/>
  <c r="CG38" i="328"/>
  <c r="AX52" i="328"/>
  <c r="BP47" i="328"/>
  <c r="BQ52" i="328"/>
  <c r="BS38" i="328"/>
  <c r="CT49" i="328"/>
  <c r="AT52" i="328"/>
  <c r="CG52" i="328"/>
  <c r="CI49" i="328"/>
  <c r="CQ38" i="328"/>
  <c r="BO47" i="328"/>
  <c r="AS37" i="328"/>
  <c r="BW49" i="328"/>
  <c r="BW52" i="328"/>
  <c r="CI38" i="328"/>
  <c r="BK47" i="328"/>
  <c r="AR37" i="328"/>
  <c r="T50" i="328"/>
  <c r="S47" i="328"/>
  <c r="O47" i="328"/>
  <c r="X37" i="328"/>
  <c r="AB47" i="328"/>
  <c r="AD38" i="328"/>
  <c r="AI47" i="328"/>
  <c r="AJ50" i="328"/>
  <c r="AM52" i="328"/>
  <c r="AN52" i="328"/>
  <c r="CG47" i="328"/>
  <c r="BC47" i="328"/>
  <c r="CQ50" i="328"/>
  <c r="CA52" i="328"/>
  <c r="AQ38" i="328"/>
  <c r="BN49" i="328"/>
  <c r="CJ52" i="328"/>
  <c r="BW47" i="328"/>
  <c r="CB47" i="328"/>
  <c r="BX49" i="328"/>
  <c r="AT37" i="328"/>
  <c r="K50" i="328"/>
  <c r="AX38" i="328"/>
  <c r="CR49" i="328"/>
  <c r="CQ47" i="328"/>
  <c r="CL49" i="328"/>
  <c r="CT37" i="328"/>
  <c r="AR38" i="328"/>
  <c r="AU50" i="328"/>
  <c r="BH38" i="328"/>
  <c r="BY47" i="328"/>
  <c r="BH52" i="328"/>
  <c r="BZ47" i="328"/>
  <c r="CN49" i="328"/>
  <c r="BU47" i="328"/>
  <c r="BE50" i="328"/>
  <c r="AV52" i="328"/>
  <c r="AU52" i="328"/>
  <c r="BL38" i="328"/>
  <c r="BM38" i="328"/>
  <c r="CI50" i="328"/>
  <c r="CQ49" i="328"/>
  <c r="BA49" i="328"/>
  <c r="BP52" i="328"/>
  <c r="CD47" i="328"/>
  <c r="CM47" i="328"/>
  <c r="CJ47" i="328"/>
  <c r="BH50" i="328"/>
  <c r="CB37" i="328"/>
  <c r="S50" i="328"/>
  <c r="U37" i="328"/>
  <c r="W38" i="328"/>
  <c r="Z49" i="328"/>
  <c r="AB50" i="328"/>
  <c r="AD52" i="328"/>
  <c r="AI52" i="328"/>
  <c r="AH50" i="328"/>
  <c r="AO37" i="328"/>
  <c r="AP38" i="328"/>
  <c r="BW37" i="328"/>
  <c r="AQ37" i="328"/>
  <c r="BD52" i="328"/>
  <c r="CU37" i="328"/>
  <c r="CK47" i="328"/>
  <c r="CD38" i="328"/>
  <c r="CR47" i="328"/>
  <c r="BW38" i="328"/>
  <c r="CE50" i="328"/>
  <c r="BJ49" i="328"/>
  <c r="CT47" i="328"/>
  <c r="BG47" i="328"/>
  <c r="AT50" i="328"/>
  <c r="BK37" i="328"/>
  <c r="BP49" i="328"/>
  <c r="BY52" i="328"/>
  <c r="CQ37" i="328"/>
  <c r="AT49" i="328"/>
  <c r="CM37" i="328"/>
  <c r="BC52" i="328"/>
  <c r="BZ49" i="328"/>
  <c r="K37" i="328"/>
  <c r="Q52" i="328"/>
  <c r="N38" i="328"/>
  <c r="V52" i="328"/>
  <c r="X52" i="328"/>
  <c r="Z52" i="328"/>
  <c r="AC47" i="328"/>
  <c r="AE47" i="328"/>
  <c r="AG37" i="328"/>
  <c r="AJ52" i="328"/>
  <c r="AL47" i="328"/>
  <c r="AP50" i="328"/>
  <c r="CU52" i="328"/>
  <c r="BP37" i="328"/>
  <c r="BN37" i="328"/>
  <c r="BF38" i="328"/>
  <c r="AR52" i="328"/>
  <c r="AS47" i="328"/>
  <c r="BO37" i="328"/>
  <c r="BC49" i="328"/>
  <c r="CH47" i="328"/>
  <c r="J38" i="328"/>
  <c r="BZ38" i="328"/>
  <c r="BQ50" i="328"/>
  <c r="BM50" i="328"/>
  <c r="BG38" i="328"/>
  <c r="AQ49" i="328"/>
  <c r="CC37" i="328"/>
  <c r="CL52" i="328"/>
  <c r="BU37" i="328"/>
  <c r="CM52" i="328"/>
  <c r="CL50" i="328"/>
  <c r="AM49" i="328"/>
  <c r="AE50" i="328"/>
  <c r="T49" i="328"/>
  <c r="CT52" i="328"/>
  <c r="CS49" i="328"/>
  <c r="CE38" i="328"/>
  <c r="BE49" i="328"/>
  <c r="AW52" i="328"/>
  <c r="BY49" i="328"/>
  <c r="X47" i="328"/>
  <c r="BY38" i="328"/>
  <c r="BU50" i="328"/>
  <c r="BA47" i="328"/>
  <c r="BD49" i="328"/>
  <c r="CN38" i="328"/>
  <c r="BQ47" i="328"/>
  <c r="AK37" i="328"/>
  <c r="AA38" i="328"/>
  <c r="Q50" i="328"/>
  <c r="AZ38" i="328"/>
  <c r="K49" i="328"/>
  <c r="BF50" i="328"/>
  <c r="BX52" i="328"/>
  <c r="BZ37" i="328"/>
  <c r="AZ9" i="277"/>
  <c r="CQ217" i="278"/>
  <c r="CQ27" i="328"/>
  <c r="CQ167" i="278"/>
  <c r="CQ172" i="278"/>
  <c r="CQ163" i="278"/>
  <c r="CQ164" i="278"/>
  <c r="CQ168" i="278"/>
  <c r="CQ9" i="315"/>
  <c r="CQ188" i="278"/>
  <c r="CQ189" i="278"/>
  <c r="CQ193" i="278"/>
  <c r="CQ197" i="278"/>
  <c r="CQ192" i="278"/>
  <c r="CT709" i="321"/>
  <c r="CT711" i="321"/>
  <c r="CR57" i="328"/>
  <c r="CR70" i="288"/>
  <c r="CU57" i="273"/>
  <c r="CV57" i="273"/>
  <c r="CV63" i="273"/>
  <c r="CV64" i="273"/>
  <c r="CQ264" i="288"/>
  <c r="CQ272" i="288"/>
  <c r="CQ122" i="288"/>
  <c r="CQ114" i="288"/>
  <c r="AX11" i="277"/>
  <c r="CV263" i="273"/>
  <c r="H263" i="273"/>
  <c r="CV86" i="273"/>
  <c r="H86" i="273"/>
  <c r="CU179" i="278"/>
  <c r="CU573" i="321"/>
  <c r="CU148" i="278"/>
  <c r="CU713" i="321"/>
  <c r="CU233" i="273"/>
  <c r="CU234" i="273"/>
  <c r="CU17" i="278"/>
  <c r="CU636" i="321"/>
  <c r="CU204" i="278"/>
  <c r="CU306" i="278"/>
  <c r="CU136" i="314"/>
  <c r="CU283" i="278"/>
  <c r="CU239" i="278"/>
  <c r="CU581" i="321"/>
  <c r="CU603" i="321"/>
  <c r="CU675" i="321"/>
  <c r="CU238" i="273"/>
  <c r="CU239" i="273"/>
  <c r="CU659" i="321"/>
  <c r="CU246" i="278"/>
  <c r="CU453" i="321"/>
  <c r="CU50" i="314"/>
  <c r="CU545" i="321"/>
  <c r="CU565" i="321"/>
  <c r="CU230" i="278"/>
  <c r="CU701" i="321"/>
  <c r="CU702" i="321"/>
  <c r="CU706" i="321"/>
  <c r="CU551" i="321"/>
  <c r="CU644" i="321"/>
  <c r="CU694" i="321"/>
  <c r="CU622" i="321"/>
  <c r="CU319" i="278"/>
  <c r="CU31" i="289"/>
  <c r="CU32" i="289"/>
  <c r="CU37" i="289"/>
  <c r="CU39" i="289"/>
  <c r="CV39" i="289"/>
  <c r="CU57" i="314"/>
  <c r="CU17" i="314"/>
  <c r="CU104" i="314"/>
  <c r="CU540" i="321"/>
  <c r="CU708" i="321"/>
  <c r="CU100" i="278"/>
  <c r="CU652" i="321"/>
  <c r="CU617" i="321"/>
  <c r="CU497" i="321"/>
  <c r="CU129" i="314"/>
  <c r="CU63" i="286"/>
  <c r="H28" i="288"/>
  <c r="H203" i="288"/>
  <c r="H178" i="288"/>
  <c r="H53" i="288"/>
  <c r="CV124" i="273"/>
  <c r="CV16" i="285"/>
  <c r="CV17" i="285"/>
  <c r="CV18" i="285"/>
  <c r="CU16" i="285"/>
  <c r="CU17" i="285"/>
  <c r="AL11" i="277"/>
  <c r="CS13" i="265"/>
  <c r="CS13" i="315"/>
  <c r="CS152" i="278"/>
  <c r="CS29" i="328"/>
  <c r="CT22" i="315"/>
  <c r="CT61" i="265"/>
  <c r="BB61" i="277"/>
  <c r="CT59" i="315"/>
  <c r="CT24" i="265"/>
  <c r="BB24" i="277"/>
  <c r="CS92" i="278"/>
  <c r="CT218" i="321"/>
  <c r="CT330" i="321"/>
  <c r="CT39" i="321"/>
  <c r="CT11" i="278"/>
  <c r="CS97" i="278"/>
  <c r="AK11" i="277"/>
  <c r="H122" i="273"/>
  <c r="H589" i="321"/>
  <c r="H55" i="273"/>
  <c r="H261" i="273"/>
  <c r="H104" i="273"/>
  <c r="H28" i="314"/>
  <c r="H38" i="314"/>
  <c r="H259" i="278"/>
  <c r="H117" i="314"/>
  <c r="CT91" i="278"/>
  <c r="CT90" i="278"/>
  <c r="CT214" i="273"/>
  <c r="CR98" i="278"/>
  <c r="CR101" i="278"/>
  <c r="CR104" i="278"/>
  <c r="CR105" i="278"/>
  <c r="CR18" i="328"/>
  <c r="H56" i="273"/>
  <c r="H247" i="278"/>
  <c r="H240" i="278"/>
  <c r="AT11" i="277"/>
  <c r="AA11" i="277"/>
  <c r="AR11" i="277"/>
  <c r="H84" i="273"/>
  <c r="H54" i="273"/>
  <c r="CQ10" i="265"/>
  <c r="CQ10" i="315"/>
  <c r="CS30" i="328"/>
  <c r="CS153" i="278"/>
  <c r="H237" i="273"/>
  <c r="H35" i="273"/>
  <c r="CR223" i="278"/>
  <c r="CR213" i="278"/>
  <c r="CR214" i="278"/>
  <c r="CR218" i="278"/>
  <c r="CR217" i="278"/>
  <c r="CR155" i="278"/>
  <c r="H105" i="282"/>
  <c r="H37" i="282"/>
  <c r="CV602" i="321"/>
  <c r="CV658" i="321"/>
  <c r="CP11" i="315"/>
  <c r="CT85" i="282"/>
  <c r="CT113" i="282"/>
  <c r="CT153" i="282"/>
  <c r="CT45" i="282"/>
  <c r="CT26" i="285"/>
  <c r="CT18" i="285"/>
  <c r="CT72" i="321"/>
  <c r="CT79" i="321"/>
  <c r="CT3" i="304"/>
  <c r="CT3" i="289"/>
  <c r="CT3" i="286"/>
  <c r="CT3" i="315"/>
  <c r="CT3" i="273"/>
  <c r="CT3" i="285"/>
  <c r="CT47" i="273"/>
  <c r="BB50" i="273"/>
  <c r="BB3" i="277"/>
  <c r="CT3" i="314"/>
  <c r="CT3" i="265"/>
  <c r="CT4" i="328"/>
  <c r="CT3" i="321"/>
  <c r="CT3" i="288"/>
  <c r="CT3" i="282"/>
  <c r="CT3" i="275"/>
  <c r="CT3" i="278"/>
  <c r="CV178" i="288"/>
  <c r="CV28" i="288"/>
  <c r="CV53" i="288"/>
  <c r="CV203" i="288"/>
  <c r="U11" i="277"/>
  <c r="AH11" i="277"/>
  <c r="W11" i="277"/>
  <c r="CS51" i="321"/>
  <c r="CS91" i="288"/>
  <c r="CS109" i="288"/>
  <c r="CS80" i="288"/>
  <c r="CS67" i="288"/>
  <c r="CS68" i="288"/>
  <c r="CS167" i="288"/>
  <c r="CS86" i="288"/>
  <c r="CS230" i="288"/>
  <c r="CS217" i="288"/>
  <c r="CS218" i="288"/>
  <c r="CS220" i="288"/>
  <c r="CS241" i="288"/>
  <c r="CS242" i="288"/>
  <c r="CS244" i="288"/>
  <c r="CS161" i="288"/>
  <c r="CS162" i="288"/>
  <c r="CS171" i="288"/>
  <c r="CS45" i="321"/>
  <c r="CS46" i="321"/>
  <c r="CS48" i="321"/>
  <c r="CS217" i="273"/>
  <c r="CR218" i="273"/>
  <c r="CS259" i="288"/>
  <c r="CS236" i="288"/>
  <c r="CT147" i="278"/>
  <c r="CT149" i="278"/>
  <c r="CR17" i="328"/>
  <c r="CU105" i="282"/>
  <c r="CU591" i="321"/>
  <c r="CU37" i="282"/>
  <c r="CV105" i="282"/>
  <c r="CV591" i="321"/>
  <c r="CV37" i="282"/>
  <c r="CU71" i="321"/>
  <c r="CU259" i="321"/>
  <c r="CU131" i="321"/>
  <c r="CU277" i="321"/>
  <c r="CV203" i="273"/>
  <c r="CU213" i="273"/>
  <c r="CU253" i="321"/>
  <c r="CU267" i="321"/>
  <c r="CU147" i="321"/>
  <c r="CU70" i="321"/>
  <c r="CU165" i="321"/>
  <c r="CV163" i="273"/>
  <c r="CU155" i="321"/>
  <c r="CU130" i="321"/>
  <c r="CU141" i="321"/>
  <c r="CU212" i="273"/>
  <c r="AT23" i="285"/>
  <c r="AT27" i="285"/>
  <c r="AS102" i="265"/>
  <c r="AS98" i="315"/>
  <c r="AM42" i="315"/>
  <c r="AM44" i="265"/>
  <c r="AA102" i="277"/>
  <c r="AM229" i="278"/>
  <c r="AM231" i="278"/>
  <c r="AN222" i="278"/>
  <c r="AM116" i="265"/>
  <c r="AM112" i="315"/>
  <c r="AM254" i="278"/>
  <c r="AD43" i="315"/>
  <c r="AD45" i="265"/>
  <c r="T45" i="277"/>
  <c r="CV26" i="285"/>
  <c r="AD113" i="315"/>
  <c r="AE323" i="278"/>
  <c r="AD117" i="265"/>
  <c r="AD312" i="278"/>
  <c r="AD305" i="278"/>
  <c r="AD307" i="278"/>
  <c r="AO11" i="277"/>
  <c r="V11" i="277"/>
  <c r="AM11" i="277"/>
  <c r="AN11" i="277"/>
  <c r="AQ11" i="277"/>
  <c r="AJ11" i="277"/>
  <c r="AB11" i="277"/>
  <c r="H17" i="285"/>
  <c r="H153" i="282"/>
  <c r="AZ10" i="277"/>
  <c r="AZ11" i="277"/>
  <c r="CQ11" i="265"/>
  <c r="CQ32" i="328"/>
  <c r="CQ11" i="315"/>
  <c r="CU63" i="273"/>
  <c r="CU64" i="273"/>
  <c r="CU4" i="328"/>
  <c r="CU72" i="321"/>
  <c r="CU79" i="321"/>
  <c r="CT17" i="328"/>
  <c r="CS17" i="328"/>
  <c r="CU123" i="314"/>
  <c r="CT97" i="278"/>
  <c r="CR172" i="278"/>
  <c r="CR27" i="328"/>
  <c r="CR167" i="278"/>
  <c r="CR163" i="278"/>
  <c r="CR164" i="278"/>
  <c r="CR168" i="278"/>
  <c r="H236" i="321"/>
  <c r="H497" i="321"/>
  <c r="H545" i="321"/>
  <c r="H701" i="321"/>
  <c r="H17" i="314"/>
  <c r="H581" i="321"/>
  <c r="H238" i="273"/>
  <c r="H100" i="278"/>
  <c r="H70" i="278"/>
  <c r="H453" i="321"/>
  <c r="H622" i="321"/>
  <c r="H708" i="321"/>
  <c r="H283" i="278"/>
  <c r="H56" i="278"/>
  <c r="H636" i="321"/>
  <c r="H319" i="278"/>
  <c r="H49" i="278"/>
  <c r="H551" i="321"/>
  <c r="H204" i="278"/>
  <c r="H230" i="278"/>
  <c r="H603" i="321"/>
  <c r="H246" i="278"/>
  <c r="H659" i="321"/>
  <c r="H63" i="286"/>
  <c r="H104" i="314"/>
  <c r="H348" i="321"/>
  <c r="H47" i="289"/>
  <c r="H565" i="321"/>
  <c r="H233" i="273"/>
  <c r="H31" i="289"/>
  <c r="H644" i="321"/>
  <c r="H179" i="278"/>
  <c r="H675" i="321"/>
  <c r="H136" i="314"/>
  <c r="H16" i="289"/>
  <c r="H652" i="321"/>
  <c r="H57" i="314"/>
  <c r="H306" i="278"/>
  <c r="H540" i="321"/>
  <c r="H617" i="321"/>
  <c r="H239" i="278"/>
  <c r="H148" i="278"/>
  <c r="H50" i="314"/>
  <c r="H713" i="321"/>
  <c r="H12" i="278"/>
  <c r="H573" i="321"/>
  <c r="H694" i="321"/>
  <c r="H18" i="278"/>
  <c r="H129" i="314"/>
  <c r="CV213" i="273"/>
  <c r="CV71" i="321"/>
  <c r="F204" i="273"/>
  <c r="CV131" i="321"/>
  <c r="CV259" i="321"/>
  <c r="CV267" i="321"/>
  <c r="CV277" i="321"/>
  <c r="CV253" i="321"/>
  <c r="H203" i="273"/>
  <c r="CT13" i="315"/>
  <c r="CT13" i="265"/>
  <c r="BB13" i="277"/>
  <c r="CR10" i="265"/>
  <c r="BA10" i="277"/>
  <c r="CR10" i="315"/>
  <c r="CT24" i="314"/>
  <c r="CT11" i="321"/>
  <c r="CT123" i="314"/>
  <c r="CT172" i="314"/>
  <c r="CT89" i="314"/>
  <c r="CT44" i="314"/>
  <c r="CT40" i="321"/>
  <c r="CT41" i="321"/>
  <c r="CT44" i="321"/>
  <c r="CT36" i="285"/>
  <c r="CT111" i="314"/>
  <c r="CS154" i="278"/>
  <c r="CU113" i="282"/>
  <c r="CU153" i="282"/>
  <c r="CU45" i="282"/>
  <c r="CU85" i="282"/>
  <c r="CU18" i="285"/>
  <c r="H18" i="285"/>
  <c r="CU26" i="285"/>
  <c r="CU709" i="321"/>
  <c r="CU711" i="321"/>
  <c r="CU91" i="278"/>
  <c r="CU214" i="273"/>
  <c r="CV70" i="321"/>
  <c r="CV155" i="321"/>
  <c r="CV147" i="321"/>
  <c r="CV165" i="321"/>
  <c r="CV130" i="321"/>
  <c r="F164" i="273"/>
  <c r="CV212" i="273"/>
  <c r="CV141" i="321"/>
  <c r="H163" i="273"/>
  <c r="CU59" i="315"/>
  <c r="CU24" i="265"/>
  <c r="CU22" i="315"/>
  <c r="CU61" i="265"/>
  <c r="CT30" i="328"/>
  <c r="CT153" i="278"/>
  <c r="CR264" i="288"/>
  <c r="CR114" i="288"/>
  <c r="CR272" i="288"/>
  <c r="CR122" i="288"/>
  <c r="CS70" i="288"/>
  <c r="CS57" i="328"/>
  <c r="CT45" i="321"/>
  <c r="CT46" i="321"/>
  <c r="CT48" i="321"/>
  <c r="CT91" i="288"/>
  <c r="CT241" i="288"/>
  <c r="CT242" i="288"/>
  <c r="CT244" i="288"/>
  <c r="CT161" i="288"/>
  <c r="CT162" i="288"/>
  <c r="CT171" i="288"/>
  <c r="CT51" i="321"/>
  <c r="CT86" i="288"/>
  <c r="CT236" i="288"/>
  <c r="CT67" i="288"/>
  <c r="CT68" i="288"/>
  <c r="CT80" i="288"/>
  <c r="CT109" i="288"/>
  <c r="CT259" i="288"/>
  <c r="CT217" i="288"/>
  <c r="CT218" i="288"/>
  <c r="CT220" i="288"/>
  <c r="CT167" i="288"/>
  <c r="CT217" i="273"/>
  <c r="CS218" i="273"/>
  <c r="CT230" i="288"/>
  <c r="H185" i="273"/>
  <c r="H208" i="273"/>
  <c r="CV113" i="282"/>
  <c r="CV153" i="282"/>
  <c r="CV85" i="282"/>
  <c r="CV45" i="282"/>
  <c r="CV179" i="278"/>
  <c r="CV675" i="321"/>
  <c r="CV573" i="321"/>
  <c r="CV708" i="321"/>
  <c r="CV47" i="289"/>
  <c r="CV48" i="289"/>
  <c r="CV53" i="289"/>
  <c r="CV644" i="321"/>
  <c r="CV617" i="321"/>
  <c r="CV497" i="321"/>
  <c r="CV545" i="321"/>
  <c r="CV694" i="321"/>
  <c r="CV57" i="314"/>
  <c r="CV239" i="278"/>
  <c r="CV230" i="278"/>
  <c r="CV581" i="321"/>
  <c r="CV148" i="278"/>
  <c r="CV713" i="321"/>
  <c r="CV100" i="278"/>
  <c r="CV652" i="321"/>
  <c r="CV246" i="278"/>
  <c r="CV453" i="321"/>
  <c r="CV129" i="314"/>
  <c r="CV50" i="314"/>
  <c r="CV565" i="321"/>
  <c r="CV622" i="321"/>
  <c r="CV306" i="278"/>
  <c r="CV104" i="314"/>
  <c r="CV105" i="314"/>
  <c r="CV109" i="314"/>
  <c r="CV551" i="321"/>
  <c r="CV603" i="321"/>
  <c r="CV204" i="278"/>
  <c r="CV238" i="273"/>
  <c r="CV239" i="273"/>
  <c r="CV319" i="278"/>
  <c r="CV31" i="289"/>
  <c r="CV32" i="289"/>
  <c r="CV37" i="289"/>
  <c r="CV17" i="314"/>
  <c r="CV540" i="321"/>
  <c r="CV701" i="321"/>
  <c r="CV702" i="321"/>
  <c r="CV706" i="321"/>
  <c r="CV16" i="289"/>
  <c r="CV17" i="289"/>
  <c r="CV22" i="289"/>
  <c r="CV283" i="278"/>
  <c r="CV659" i="321"/>
  <c r="CV636" i="321"/>
  <c r="CV233" i="273"/>
  <c r="CV234" i="273"/>
  <c r="CV17" i="278"/>
  <c r="CV136" i="314"/>
  <c r="CV63" i="286"/>
  <c r="H113" i="282"/>
  <c r="CV61" i="265"/>
  <c r="CV59" i="315"/>
  <c r="CV24" i="265"/>
  <c r="CV22" i="315"/>
  <c r="CT152" i="278"/>
  <c r="CT29" i="328"/>
  <c r="CR192" i="278"/>
  <c r="CR197" i="278"/>
  <c r="CR9" i="315"/>
  <c r="CR188" i="278"/>
  <c r="CR189" i="278"/>
  <c r="CR193" i="278"/>
  <c r="CT92" i="278"/>
  <c r="CU40" i="321"/>
  <c r="CU41" i="321"/>
  <c r="CU44" i="321"/>
  <c r="CV3" i="288"/>
  <c r="CV3" i="304"/>
  <c r="CV3" i="285"/>
  <c r="CV3" i="314"/>
  <c r="CV47" i="273"/>
  <c r="K50" i="273"/>
  <c r="K3" i="277"/>
  <c r="CV3" i="286"/>
  <c r="CV3" i="282"/>
  <c r="CV3" i="265"/>
  <c r="CV3" i="321"/>
  <c r="CV3" i="289"/>
  <c r="CV4" i="328"/>
  <c r="CV3" i="275"/>
  <c r="CV3" i="273"/>
  <c r="CV3" i="315"/>
  <c r="CV3" i="278"/>
  <c r="CU90" i="278"/>
  <c r="H145" i="273"/>
  <c r="H207" i="273"/>
  <c r="CS98" i="278"/>
  <c r="CS101" i="278"/>
  <c r="CS104" i="278"/>
  <c r="CS105" i="278"/>
  <c r="CS18" i="328"/>
  <c r="H124" i="273"/>
  <c r="H16" i="285"/>
  <c r="CU3" i="275"/>
  <c r="CU3" i="285"/>
  <c r="CU3" i="265"/>
  <c r="CU147" i="278"/>
  <c r="CU149" i="278"/>
  <c r="CU11" i="278"/>
  <c r="CU330" i="321"/>
  <c r="CU218" i="321"/>
  <c r="CU39" i="321"/>
  <c r="AN228" i="278"/>
  <c r="AN216" i="278"/>
  <c r="AN219" i="278"/>
  <c r="BE9" i="310"/>
  <c r="BE283" i="307"/>
  <c r="BE54" i="307"/>
  <c r="BE56" i="307"/>
  <c r="H51" i="307"/>
  <c r="T117" i="277"/>
  <c r="AE326" i="278"/>
  <c r="AE318" i="278"/>
  <c r="AE320" i="278"/>
  <c r="AE321" i="278"/>
  <c r="CV13" i="265"/>
  <c r="N13" i="277"/>
  <c r="CV13" i="315"/>
  <c r="AM238" i="278"/>
  <c r="AM282" i="278"/>
  <c r="AM245" i="278"/>
  <c r="AU23" i="285"/>
  <c r="AU27" i="285"/>
  <c r="AT98" i="315"/>
  <c r="AT102" i="265"/>
  <c r="AD106" i="315"/>
  <c r="AD110" i="265"/>
  <c r="T110" i="277"/>
  <c r="AE309" i="278"/>
  <c r="CU3" i="304"/>
  <c r="CU3" i="314"/>
  <c r="CU3" i="315"/>
  <c r="CU3" i="289"/>
  <c r="CU3" i="282"/>
  <c r="CU3" i="288"/>
  <c r="CU3" i="278"/>
  <c r="CU3" i="286"/>
  <c r="CU3" i="273"/>
  <c r="CU3" i="321"/>
  <c r="CU47" i="273"/>
  <c r="H85" i="282"/>
  <c r="H26" i="285"/>
  <c r="H45" i="282"/>
  <c r="CT154" i="278"/>
  <c r="CT217" i="278"/>
  <c r="CU24" i="314"/>
  <c r="CU44" i="314"/>
  <c r="CU111" i="314"/>
  <c r="CU89" i="314"/>
  <c r="CV72" i="321"/>
  <c r="CV79" i="321"/>
  <c r="CU36" i="285"/>
  <c r="CU11" i="321"/>
  <c r="CU172" i="314"/>
  <c r="CV709" i="321"/>
  <c r="CV711" i="321"/>
  <c r="CU17" i="328"/>
  <c r="CR11" i="315"/>
  <c r="CV123" i="314"/>
  <c r="CU92" i="278"/>
  <c r="CU18" i="328"/>
  <c r="CV214" i="273"/>
  <c r="CS167" i="278"/>
  <c r="CS27" i="328"/>
  <c r="CS172" i="278"/>
  <c r="CS163" i="278"/>
  <c r="CS164" i="278"/>
  <c r="CS168" i="278"/>
  <c r="CU29" i="328"/>
  <c r="CU152" i="278"/>
  <c r="CT70" i="288"/>
  <c r="CT57" i="328"/>
  <c r="F76" i="321"/>
  <c r="F85" i="321"/>
  <c r="F140" i="321"/>
  <c r="CS213" i="278"/>
  <c r="CS214" i="278"/>
  <c r="CS218" i="278"/>
  <c r="CS155" i="278"/>
  <c r="CS217" i="278"/>
  <c r="CS223" i="278"/>
  <c r="H253" i="321"/>
  <c r="H71" i="321"/>
  <c r="H213" i="273"/>
  <c r="H259" i="321"/>
  <c r="H131" i="321"/>
  <c r="H267" i="321"/>
  <c r="H277" i="321"/>
  <c r="CV91" i="278"/>
  <c r="H212" i="273"/>
  <c r="H147" i="321"/>
  <c r="H141" i="321"/>
  <c r="H130" i="321"/>
  <c r="H155" i="321"/>
  <c r="H70" i="321"/>
  <c r="H165" i="321"/>
  <c r="CV147" i="278"/>
  <c r="CV149" i="278"/>
  <c r="CU97" i="278"/>
  <c r="CV330" i="321"/>
  <c r="R143" i="277"/>
  <c r="T143" i="277"/>
  <c r="BB143" i="277"/>
  <c r="O143" i="277"/>
  <c r="S143" i="277"/>
  <c r="K143" i="277"/>
  <c r="AY143" i="277"/>
  <c r="AS143" i="277"/>
  <c r="AL143" i="277"/>
  <c r="X143" i="277"/>
  <c r="AK143" i="277"/>
  <c r="CV11" i="278"/>
  <c r="P143" i="277"/>
  <c r="AQ143" i="277"/>
  <c r="BA143" i="277"/>
  <c r="AR143" i="277"/>
  <c r="AW143" i="277"/>
  <c r="Q143" i="277"/>
  <c r="AJ143" i="277"/>
  <c r="W143" i="277"/>
  <c r="AH143" i="277"/>
  <c r="AC143" i="277"/>
  <c r="AX143" i="277"/>
  <c r="CV39" i="321"/>
  <c r="L143" i="277"/>
  <c r="AA143" i="277"/>
  <c r="AT143" i="277"/>
  <c r="AF143" i="277"/>
  <c r="AE143" i="277"/>
  <c r="V143" i="277"/>
  <c r="Y143" i="277"/>
  <c r="U143" i="277"/>
  <c r="M143" i="277"/>
  <c r="AZ143" i="277"/>
  <c r="AU143" i="277"/>
  <c r="CV218" i="321"/>
  <c r="J143" i="277"/>
  <c r="N143" i="277"/>
  <c r="AV143" i="277"/>
  <c r="AP143" i="277"/>
  <c r="AM143" i="277"/>
  <c r="AO143" i="277"/>
  <c r="AB143" i="277"/>
  <c r="AN143" i="277"/>
  <c r="AI143" i="277"/>
  <c r="AD143" i="277"/>
  <c r="AG143" i="277"/>
  <c r="Z143" i="277"/>
  <c r="CV90" i="278"/>
  <c r="CS272" i="288"/>
  <c r="CS122" i="288"/>
  <c r="CS114" i="288"/>
  <c r="CS264" i="288"/>
  <c r="CU217" i="288"/>
  <c r="CU218" i="288"/>
  <c r="CU220" i="288"/>
  <c r="CU236" i="288"/>
  <c r="CU161" i="288"/>
  <c r="CU162" i="288"/>
  <c r="CU171" i="288"/>
  <c r="CU80" i="288"/>
  <c r="CU167" i="288"/>
  <c r="CU217" i="273"/>
  <c r="CT218" i="273"/>
  <c r="CU45" i="321"/>
  <c r="CU46" i="321"/>
  <c r="CU48" i="321"/>
  <c r="CU67" i="288"/>
  <c r="CU68" i="288"/>
  <c r="CU230" i="288"/>
  <c r="CU259" i="288"/>
  <c r="CU91" i="288"/>
  <c r="CU51" i="321"/>
  <c r="CU241" i="288"/>
  <c r="CU242" i="288"/>
  <c r="CU244" i="288"/>
  <c r="CU109" i="288"/>
  <c r="CU86" i="288"/>
  <c r="F91" i="321"/>
  <c r="F252" i="321"/>
  <c r="F77" i="321"/>
  <c r="BA9" i="277"/>
  <c r="BA11" i="277"/>
  <c r="CR11" i="265"/>
  <c r="CR32" i="328"/>
  <c r="CU153" i="278"/>
  <c r="CU30" i="328"/>
  <c r="CS197" i="278"/>
  <c r="CS9" i="315"/>
  <c r="CS188" i="278"/>
  <c r="CS189" i="278"/>
  <c r="CS193" i="278"/>
  <c r="CS192" i="278"/>
  <c r="CT18" i="328"/>
  <c r="CT98" i="278"/>
  <c r="CT101" i="278"/>
  <c r="CT104" i="278"/>
  <c r="CT105" i="278"/>
  <c r="CU13" i="265"/>
  <c r="CU13" i="315"/>
  <c r="AV23" i="285"/>
  <c r="AV27" i="285"/>
  <c r="AU102" i="265"/>
  <c r="AU98" i="315"/>
  <c r="AB102" i="277"/>
  <c r="AE43" i="315"/>
  <c r="AE45" i="265"/>
  <c r="Q621" i="307"/>
  <c r="H104" i="307"/>
  <c r="H114" i="307"/>
  <c r="AE312" i="278"/>
  <c r="AE305" i="278"/>
  <c r="AE307" i="278"/>
  <c r="M38" i="328"/>
  <c r="P38" i="328"/>
  <c r="N49" i="328"/>
  <c r="O49" i="328"/>
  <c r="H13" i="265"/>
  <c r="H92" i="269"/>
  <c r="K92" i="269"/>
  <c r="H13" i="315"/>
  <c r="AF323" i="278"/>
  <c r="AE117" i="265"/>
  <c r="AE113" i="315"/>
  <c r="H9" i="310"/>
  <c r="H102" i="307"/>
  <c r="H620" i="307"/>
  <c r="H283" i="307"/>
  <c r="H54" i="307"/>
  <c r="H67" i="307"/>
  <c r="O50" i="328"/>
  <c r="M50" i="328"/>
  <c r="N50" i="328"/>
  <c r="H69" i="307"/>
  <c r="AN224" i="278"/>
  <c r="AN225" i="278"/>
  <c r="AN220" i="278"/>
  <c r="L37" i="328"/>
  <c r="P37" i="328"/>
  <c r="M37" i="328"/>
  <c r="CV11" i="321"/>
  <c r="CV111" i="314"/>
  <c r="CV112" i="314"/>
  <c r="CV115" i="314"/>
  <c r="CT223" i="278"/>
  <c r="F73" i="321"/>
  <c r="F75" i="321"/>
  <c r="CV36" i="285"/>
  <c r="CT155" i="278"/>
  <c r="CT213" i="278"/>
  <c r="CT214" i="278"/>
  <c r="CT218" i="278"/>
  <c r="CV40" i="321"/>
  <c r="CV41" i="321"/>
  <c r="CV44" i="321"/>
  <c r="H72" i="321"/>
  <c r="H79" i="321"/>
  <c r="CV172" i="314"/>
  <c r="CU163" i="278"/>
  <c r="CU164" i="278"/>
  <c r="CU168" i="278"/>
  <c r="CV92" i="278"/>
  <c r="H92" i="278"/>
  <c r="CV44" i="314"/>
  <c r="H209" i="273"/>
  <c r="H89" i="314"/>
  <c r="CV24" i="314"/>
  <c r="CV89" i="314"/>
  <c r="CU98" i="278"/>
  <c r="CU101" i="278"/>
  <c r="CU104" i="278"/>
  <c r="CU105" i="278"/>
  <c r="CV217" i="288"/>
  <c r="CV218" i="288"/>
  <c r="CV220" i="288"/>
  <c r="CV217" i="273"/>
  <c r="CU218" i="273"/>
  <c r="CV109" i="288"/>
  <c r="CV241" i="288"/>
  <c r="CV242" i="288"/>
  <c r="CV244" i="288"/>
  <c r="CV45" i="321"/>
  <c r="CV46" i="321"/>
  <c r="CV48" i="321"/>
  <c r="CV230" i="288"/>
  <c r="CV91" i="288"/>
  <c r="CV259" i="288"/>
  <c r="CV161" i="288"/>
  <c r="CV162" i="288"/>
  <c r="CV171" i="288"/>
  <c r="CV86" i="288"/>
  <c r="H214" i="273"/>
  <c r="CV67" i="288"/>
  <c r="CV68" i="288"/>
  <c r="CV167" i="288"/>
  <c r="CV51" i="321"/>
  <c r="CV80" i="288"/>
  <c r="CV236" i="288"/>
  <c r="CT172" i="278"/>
  <c r="CT167" i="278"/>
  <c r="CT163" i="278"/>
  <c r="CT164" i="278"/>
  <c r="CT168" i="278"/>
  <c r="CT27" i="328"/>
  <c r="CS10" i="265"/>
  <c r="CS11" i="265"/>
  <c r="CS32" i="328"/>
  <c r="CS10" i="315"/>
  <c r="CS11" i="315"/>
  <c r="CT197" i="278"/>
  <c r="CT188" i="278"/>
  <c r="CT189" i="278"/>
  <c r="CT193" i="278"/>
  <c r="CT9" i="315"/>
  <c r="CT192" i="278"/>
  <c r="CT114" i="288"/>
  <c r="CT272" i="288"/>
  <c r="CT122" i="288"/>
  <c r="CT264" i="288"/>
  <c r="H143" i="277"/>
  <c r="CV152" i="278"/>
  <c r="CV29" i="328"/>
  <c r="CU154" i="278"/>
  <c r="L92" i="269"/>
  <c r="J92" i="269"/>
  <c r="CV153" i="278"/>
  <c r="CV30" i="328"/>
  <c r="H149" i="278"/>
  <c r="CV97" i="278"/>
  <c r="CU70" i="288"/>
  <c r="CU57" i="328"/>
  <c r="H293" i="307"/>
  <c r="H452" i="307"/>
  <c r="H247" i="307"/>
  <c r="H77" i="307"/>
  <c r="F125" i="328"/>
  <c r="H49" i="269"/>
  <c r="K49" i="269"/>
  <c r="AW23" i="285"/>
  <c r="AW27" i="285"/>
  <c r="AV98" i="315"/>
  <c r="AV102" i="265"/>
  <c r="AN44" i="265"/>
  <c r="Y44" i="277"/>
  <c r="AN42" i="315"/>
  <c r="AF326" i="278"/>
  <c r="AF318" i="278"/>
  <c r="AF320" i="278"/>
  <c r="AF321" i="278"/>
  <c r="AE106" i="315"/>
  <c r="AE110" i="265"/>
  <c r="AF309" i="278"/>
  <c r="AO222" i="278"/>
  <c r="AN229" i="278"/>
  <c r="AN231" i="278"/>
  <c r="AN116" i="265"/>
  <c r="AN254" i="278"/>
  <c r="AN112" i="315"/>
  <c r="Q20" i="286"/>
  <c r="Q54" i="265"/>
  <c r="Q52" i="315"/>
  <c r="Q97" i="286"/>
  <c r="F90" i="321"/>
  <c r="F84" i="321"/>
  <c r="CT10" i="265"/>
  <c r="BB10" i="277"/>
  <c r="CT10" i="315"/>
  <c r="CT11" i="315"/>
  <c r="CV18" i="328"/>
  <c r="CV98" i="278"/>
  <c r="CV101" i="278"/>
  <c r="H36" i="285"/>
  <c r="H123" i="314"/>
  <c r="H68" i="278"/>
  <c r="H11" i="321"/>
  <c r="H40" i="321"/>
  <c r="H111" i="314"/>
  <c r="H172" i="314"/>
  <c r="H219" i="321"/>
  <c r="CU27" i="328"/>
  <c r="H44" i="314"/>
  <c r="CV17" i="328"/>
  <c r="H24" i="314"/>
  <c r="H331" i="321"/>
  <c r="CU192" i="278"/>
  <c r="CU9" i="315"/>
  <c r="CU197" i="278"/>
  <c r="CU188" i="278"/>
  <c r="CU189" i="278"/>
  <c r="CU193" i="278"/>
  <c r="CU172" i="278"/>
  <c r="CU167" i="278"/>
  <c r="CV70" i="288"/>
  <c r="CV57" i="328"/>
  <c r="H46" i="321"/>
  <c r="H48" i="321"/>
  <c r="H217" i="288"/>
  <c r="H161" i="288"/>
  <c r="H86" i="288"/>
  <c r="H241" i="288"/>
  <c r="H45" i="321"/>
  <c r="H67" i="288"/>
  <c r="H80" i="288"/>
  <c r="H236" i="288"/>
  <c r="H230" i="288"/>
  <c r="H109" i="288"/>
  <c r="H217" i="273"/>
  <c r="H51" i="321"/>
  <c r="H167" i="288"/>
  <c r="H91" i="288"/>
  <c r="H259" i="288"/>
  <c r="CU122" i="288"/>
  <c r="CU114" i="288"/>
  <c r="CU264" i="288"/>
  <c r="CU272" i="288"/>
  <c r="H218" i="273"/>
  <c r="BB9" i="277"/>
  <c r="CU217" i="278"/>
  <c r="CU223" i="278"/>
  <c r="CU213" i="278"/>
  <c r="CU214" i="278"/>
  <c r="CU218" i="278"/>
  <c r="CU155" i="278"/>
  <c r="CV154" i="278"/>
  <c r="H30" i="328"/>
  <c r="H153" i="278"/>
  <c r="H29" i="328"/>
  <c r="H152" i="278"/>
  <c r="H18" i="328"/>
  <c r="H98" i="278"/>
  <c r="L49" i="269"/>
  <c r="J49" i="269"/>
  <c r="N54" i="277"/>
  <c r="Y116" i="277"/>
  <c r="AF312" i="278"/>
  <c r="AF305" i="278"/>
  <c r="AF307" i="278"/>
  <c r="N9" i="277"/>
  <c r="P9" i="277"/>
  <c r="AX23" i="285"/>
  <c r="AX27" i="285"/>
  <c r="AW102" i="265"/>
  <c r="AW98" i="315"/>
  <c r="G125" i="328"/>
  <c r="F23" i="326"/>
  <c r="O10" i="277"/>
  <c r="O11" i="277"/>
  <c r="L10" i="277"/>
  <c r="R10" i="277"/>
  <c r="R11" i="277"/>
  <c r="P10" i="277"/>
  <c r="AN238" i="278"/>
  <c r="AN282" i="278"/>
  <c r="AN245" i="278"/>
  <c r="AF43" i="315"/>
  <c r="AF45" i="265"/>
  <c r="U45" i="277"/>
  <c r="AO216" i="278"/>
  <c r="AO219" i="278"/>
  <c r="AO228" i="278"/>
  <c r="AF117" i="265"/>
  <c r="AG323" i="278"/>
  <c r="AF113" i="315"/>
  <c r="AC102" i="277"/>
  <c r="CT11" i="265"/>
  <c r="CT32" i="328"/>
  <c r="H17" i="328"/>
  <c r="CV104" i="278"/>
  <c r="CV105" i="278"/>
  <c r="CV9" i="315"/>
  <c r="BB11" i="277"/>
  <c r="H264" i="288"/>
  <c r="H122" i="288"/>
  <c r="H272" i="288"/>
  <c r="H114" i="288"/>
  <c r="CV155" i="278"/>
  <c r="H155" i="278"/>
  <c r="CV223" i="278"/>
  <c r="CV213" i="278"/>
  <c r="CV214" i="278"/>
  <c r="CV218" i="278"/>
  <c r="CV217" i="278"/>
  <c r="CU10" i="265"/>
  <c r="CU11" i="265"/>
  <c r="CU32" i="328"/>
  <c r="CU10" i="315"/>
  <c r="CU11" i="315"/>
  <c r="H154" i="278"/>
  <c r="CV163" i="278"/>
  <c r="CV164" i="278"/>
  <c r="CV168" i="278"/>
  <c r="CV172" i="278"/>
  <c r="CV27" i="328"/>
  <c r="P47" i="328"/>
  <c r="CV167" i="278"/>
  <c r="AG326" i="278"/>
  <c r="AG318" i="278"/>
  <c r="AG320" i="278"/>
  <c r="AG321" i="278"/>
  <c r="U117" i="277"/>
  <c r="AO224" i="278"/>
  <c r="AO225" i="278"/>
  <c r="AO220" i="278"/>
  <c r="AY23" i="285"/>
  <c r="AY27" i="285"/>
  <c r="AX98" i="315"/>
  <c r="AX102" i="265"/>
  <c r="P11" i="277"/>
  <c r="AF110" i="265"/>
  <c r="U110" i="277"/>
  <c r="AG309" i="278"/>
  <c r="AF106" i="315"/>
  <c r="G23" i="326"/>
  <c r="N11" i="277"/>
  <c r="CV188" i="278"/>
  <c r="CV189" i="278"/>
  <c r="CV193" i="278"/>
  <c r="CV192" i="278"/>
  <c r="CV197" i="278"/>
  <c r="H223" i="278"/>
  <c r="H217" i="278"/>
  <c r="H213" i="278"/>
  <c r="CV10" i="315"/>
  <c r="CV11" i="315"/>
  <c r="CV10" i="265"/>
  <c r="CV11" i="265"/>
  <c r="H10" i="265"/>
  <c r="H89" i="269"/>
  <c r="K89" i="269"/>
  <c r="H10" i="315"/>
  <c r="AG312" i="278"/>
  <c r="AG305" i="278"/>
  <c r="AG307" i="278"/>
  <c r="AD102" i="277"/>
  <c r="P52" i="328"/>
  <c r="AO42" i="315"/>
  <c r="AO44" i="265"/>
  <c r="AG43" i="315"/>
  <c r="AG45" i="265"/>
  <c r="AZ23" i="285"/>
  <c r="AZ27" i="285"/>
  <c r="AY102" i="265"/>
  <c r="AY98" i="315"/>
  <c r="AP222" i="278"/>
  <c r="AO229" i="278"/>
  <c r="AO231" i="278"/>
  <c r="AO116" i="265"/>
  <c r="AO112" i="315"/>
  <c r="AO254" i="278"/>
  <c r="AG117" i="265"/>
  <c r="AG113" i="315"/>
  <c r="AH323" i="278"/>
  <c r="CV32" i="328"/>
  <c r="L89" i="269"/>
  <c r="J89" i="269"/>
  <c r="BA23" i="285"/>
  <c r="BA27" i="285"/>
  <c r="AZ98" i="315"/>
  <c r="AZ102" i="265"/>
  <c r="AH309" i="278"/>
  <c r="AG106" i="315"/>
  <c r="AG110" i="265"/>
  <c r="AO238" i="278"/>
  <c r="AO245" i="278"/>
  <c r="AO282" i="278"/>
  <c r="AP228" i="278"/>
  <c r="AP216" i="278"/>
  <c r="AP219" i="278"/>
  <c r="AH326" i="278"/>
  <c r="AH318" i="278"/>
  <c r="AH320" i="278"/>
  <c r="AH321" i="278"/>
  <c r="AE102" i="277"/>
  <c r="AH43" i="315"/>
  <c r="AH45" i="265"/>
  <c r="V45" i="277"/>
  <c r="AP224" i="278"/>
  <c r="AP225" i="278"/>
  <c r="AP220" i="278"/>
  <c r="BB23" i="285"/>
  <c r="BB27" i="285"/>
  <c r="BA102" i="265"/>
  <c r="BA98" i="315"/>
  <c r="AH113" i="315"/>
  <c r="AI323" i="278"/>
  <c r="AH117" i="265"/>
  <c r="AH312" i="278"/>
  <c r="AH305" i="278"/>
  <c r="AH307" i="278"/>
  <c r="BB98" i="315"/>
  <c r="BB102" i="265"/>
  <c r="BC23" i="285"/>
  <c r="BC27" i="285"/>
  <c r="V117" i="277"/>
  <c r="AP229" i="278"/>
  <c r="AP231" i="278"/>
  <c r="AQ222" i="278"/>
  <c r="AP116" i="265"/>
  <c r="AP112" i="315"/>
  <c r="AP254" i="278"/>
  <c r="AH106" i="315"/>
  <c r="AH110" i="265"/>
  <c r="V110" i="277"/>
  <c r="AI309" i="278"/>
  <c r="AI326" i="278"/>
  <c r="AI318" i="278"/>
  <c r="AI320" i="278"/>
  <c r="AI321" i="278"/>
  <c r="AP44" i="265"/>
  <c r="Z44" i="277"/>
  <c r="AP42" i="315"/>
  <c r="AQ228" i="278"/>
  <c r="AQ216" i="278"/>
  <c r="AQ219" i="278"/>
  <c r="AF102" i="277"/>
  <c r="AJ323" i="278"/>
  <c r="AI117" i="265"/>
  <c r="AI113" i="315"/>
  <c r="AI312" i="278"/>
  <c r="AI305" i="278"/>
  <c r="AI307" i="278"/>
  <c r="Z116" i="277"/>
  <c r="AI43" i="315"/>
  <c r="AI45" i="265"/>
  <c r="AP238" i="278"/>
  <c r="AP282" i="278"/>
  <c r="AP245" i="278"/>
  <c r="BD23" i="285"/>
  <c r="BD27" i="285"/>
  <c r="BC98" i="315"/>
  <c r="BC102" i="265"/>
  <c r="AQ224" i="278"/>
  <c r="AQ225" i="278"/>
  <c r="AQ220" i="278"/>
  <c r="BD98" i="315"/>
  <c r="BE23" i="285"/>
  <c r="BE27" i="285"/>
  <c r="BD102" i="265"/>
  <c r="AJ326" i="278"/>
  <c r="AJ318" i="278"/>
  <c r="AJ320" i="278"/>
  <c r="AJ321" i="278"/>
  <c r="AI106" i="315"/>
  <c r="AI110" i="265"/>
  <c r="AJ309" i="278"/>
  <c r="AG102" i="277"/>
  <c r="AJ312" i="278"/>
  <c r="AJ305" i="278"/>
  <c r="AJ307" i="278"/>
  <c r="AJ43" i="315"/>
  <c r="AJ45" i="265"/>
  <c r="W45" i="277"/>
  <c r="BE98" i="315"/>
  <c r="BE102" i="265"/>
  <c r="BF23" i="285"/>
  <c r="BF27" i="285"/>
  <c r="AQ42" i="315"/>
  <c r="AQ44" i="265"/>
  <c r="AJ117" i="265"/>
  <c r="AK323" i="278"/>
  <c r="AJ113" i="315"/>
  <c r="AR222" i="278"/>
  <c r="AQ229" i="278"/>
  <c r="AQ231" i="278"/>
  <c r="AQ116" i="265"/>
  <c r="AQ254" i="278"/>
  <c r="AQ112" i="315"/>
  <c r="AQ238" i="278"/>
  <c r="AQ282" i="278"/>
  <c r="AQ245" i="278"/>
  <c r="AK326" i="278"/>
  <c r="AK318" i="278"/>
  <c r="AK320" i="278"/>
  <c r="AK321" i="278"/>
  <c r="AJ110" i="265"/>
  <c r="W110" i="277"/>
  <c r="AK309" i="278"/>
  <c r="AJ106" i="315"/>
  <c r="AR228" i="278"/>
  <c r="AR216" i="278"/>
  <c r="AR219" i="278"/>
  <c r="W117" i="277"/>
  <c r="BF102" i="265"/>
  <c r="BG23" i="285"/>
  <c r="BG27" i="285"/>
  <c r="BF98" i="315"/>
  <c r="BG102" i="265"/>
  <c r="BH23" i="285"/>
  <c r="BH27" i="285"/>
  <c r="BG98" i="315"/>
  <c r="AH102" i="277"/>
  <c r="AR224" i="278"/>
  <c r="AR225" i="278"/>
  <c r="AR220" i="278"/>
  <c r="AK312" i="278"/>
  <c r="AK305" i="278"/>
  <c r="AK307" i="278"/>
  <c r="AK43" i="315"/>
  <c r="AK45" i="265"/>
  <c r="AK117" i="265"/>
  <c r="AK113" i="315"/>
  <c r="AL323" i="278"/>
  <c r="AL326" i="278"/>
  <c r="AL318" i="278"/>
  <c r="AL320" i="278"/>
  <c r="AL321" i="278"/>
  <c r="AL309" i="278"/>
  <c r="AK106" i="315"/>
  <c r="AK110" i="265"/>
  <c r="AR44" i="265"/>
  <c r="AA44" i="277"/>
  <c r="AR42" i="315"/>
  <c r="AS222" i="278"/>
  <c r="AR229" i="278"/>
  <c r="AR231" i="278"/>
  <c r="AR116" i="265"/>
  <c r="AR254" i="278"/>
  <c r="AR112" i="315"/>
  <c r="BH102" i="265"/>
  <c r="BI23" i="285"/>
  <c r="BI27" i="285"/>
  <c r="BH98" i="315"/>
  <c r="AA116" i="277"/>
  <c r="AL312" i="278"/>
  <c r="AL305" i="278"/>
  <c r="AL307" i="278"/>
  <c r="AL113" i="315"/>
  <c r="AM323" i="278"/>
  <c r="AL117" i="265"/>
  <c r="AR238" i="278"/>
  <c r="AR282" i="278"/>
  <c r="AR245" i="278"/>
  <c r="AS228" i="278"/>
  <c r="AS216" i="278"/>
  <c r="AS219" i="278"/>
  <c r="BI102" i="265"/>
  <c r="BJ23" i="285"/>
  <c r="BJ27" i="285"/>
  <c r="BI98" i="315"/>
  <c r="AI102" i="277"/>
  <c r="AL43" i="315"/>
  <c r="AL45" i="265"/>
  <c r="X45" i="277"/>
  <c r="AS224" i="278"/>
  <c r="AS225" i="278"/>
  <c r="AS220" i="278"/>
  <c r="X117" i="277"/>
  <c r="AL106" i="315"/>
  <c r="AL110" i="265"/>
  <c r="X110" i="277"/>
  <c r="AM309" i="278"/>
  <c r="BJ102" i="265"/>
  <c r="BK23" i="285"/>
  <c r="BK27" i="285"/>
  <c r="BJ98" i="315"/>
  <c r="AM326" i="278"/>
  <c r="AM318" i="278"/>
  <c r="AM320" i="278"/>
  <c r="AM321" i="278"/>
  <c r="AM43" i="315"/>
  <c r="AM45" i="265"/>
  <c r="AN323" i="278"/>
  <c r="AM117" i="265"/>
  <c r="AM113" i="315"/>
  <c r="AJ102" i="277"/>
  <c r="AS42" i="315"/>
  <c r="AS44" i="265"/>
  <c r="AS229" i="278"/>
  <c r="AS231" i="278"/>
  <c r="AT222" i="278"/>
  <c r="AS116" i="265"/>
  <c r="AS112" i="315"/>
  <c r="AS254" i="278"/>
  <c r="AM312" i="278"/>
  <c r="AM305" i="278"/>
  <c r="AM307" i="278"/>
  <c r="BK102" i="265"/>
  <c r="BL23" i="285"/>
  <c r="BL27" i="285"/>
  <c r="BK98" i="315"/>
  <c r="BL102" i="265"/>
  <c r="BM23" i="285"/>
  <c r="BM27" i="285"/>
  <c r="BL98" i="315"/>
  <c r="AT216" i="278"/>
  <c r="AT219" i="278"/>
  <c r="AT228" i="278"/>
  <c r="AM106" i="315"/>
  <c r="AM110" i="265"/>
  <c r="AN309" i="278"/>
  <c r="AS238" i="278"/>
  <c r="AS245" i="278"/>
  <c r="AS282" i="278"/>
  <c r="AN326" i="278"/>
  <c r="AN318" i="278"/>
  <c r="AN320" i="278"/>
  <c r="AN321" i="278"/>
  <c r="AN117" i="265"/>
  <c r="AO323" i="278"/>
  <c r="AN113" i="315"/>
  <c r="AN43" i="315"/>
  <c r="AN45" i="265"/>
  <c r="Y45" i="277"/>
  <c r="AN312" i="278"/>
  <c r="AN305" i="278"/>
  <c r="AN307" i="278"/>
  <c r="BM102" i="265"/>
  <c r="BN23" i="285"/>
  <c r="BN27" i="285"/>
  <c r="BM98" i="315"/>
  <c r="AT224" i="278"/>
  <c r="AT225" i="278"/>
  <c r="AT220" i="278"/>
  <c r="AK102" i="277"/>
  <c r="AU222" i="278"/>
  <c r="AT229" i="278"/>
  <c r="AT231" i="278"/>
  <c r="AT116" i="265"/>
  <c r="AT254" i="278"/>
  <c r="AT112" i="315"/>
  <c r="AO326" i="278"/>
  <c r="AO318" i="278"/>
  <c r="AO320" i="278"/>
  <c r="AO321" i="278"/>
  <c r="AT44" i="265"/>
  <c r="AB44" i="277"/>
  <c r="AT42" i="315"/>
  <c r="AN110" i="265"/>
  <c r="Y110" i="277"/>
  <c r="AO309" i="278"/>
  <c r="AN106" i="315"/>
  <c r="Y117" i="277"/>
  <c r="BN102" i="265"/>
  <c r="BO23" i="285"/>
  <c r="BO27" i="285"/>
  <c r="BN98" i="315"/>
  <c r="AO117" i="265"/>
  <c r="AO113" i="315"/>
  <c r="AP323" i="278"/>
  <c r="AT238" i="278"/>
  <c r="AT282" i="278"/>
  <c r="AT245" i="278"/>
  <c r="AO312" i="278"/>
  <c r="AO305" i="278"/>
  <c r="AO307" i="278"/>
  <c r="AO43" i="315"/>
  <c r="AO45" i="265"/>
  <c r="AB116" i="277"/>
  <c r="AL102" i="277"/>
  <c r="AU228" i="278"/>
  <c r="AU216" i="278"/>
  <c r="AU219" i="278"/>
  <c r="BO102" i="265"/>
  <c r="BP23" i="285"/>
  <c r="BP27" i="285"/>
  <c r="BO98" i="315"/>
  <c r="AP326" i="278"/>
  <c r="AP318" i="278"/>
  <c r="AP320" i="278"/>
  <c r="AP321" i="278"/>
  <c r="AU224" i="278"/>
  <c r="AU225" i="278"/>
  <c r="AU220" i="278"/>
  <c r="AP309" i="278"/>
  <c r="AO106" i="315"/>
  <c r="AO110" i="265"/>
  <c r="BP102" i="265"/>
  <c r="BQ23" i="285"/>
  <c r="BQ27" i="285"/>
  <c r="BP98" i="315"/>
  <c r="AU42" i="315"/>
  <c r="AU44" i="265"/>
  <c r="AP43" i="315"/>
  <c r="AP45" i="265"/>
  <c r="Z45" i="277"/>
  <c r="AM102" i="277"/>
  <c r="AU229" i="278"/>
  <c r="AU231" i="278"/>
  <c r="AV222" i="278"/>
  <c r="AU116" i="265"/>
  <c r="AU254" i="278"/>
  <c r="AU112" i="315"/>
  <c r="AP113" i="315"/>
  <c r="AQ323" i="278"/>
  <c r="AP117" i="265"/>
  <c r="AP312" i="278"/>
  <c r="AP305" i="278"/>
  <c r="AP307" i="278"/>
  <c r="BQ102" i="265"/>
  <c r="BR23" i="285"/>
  <c r="BR27" i="285"/>
  <c r="BQ98" i="315"/>
  <c r="AU238" i="278"/>
  <c r="AU282" i="278"/>
  <c r="AU245" i="278"/>
  <c r="AQ326" i="278"/>
  <c r="AQ318" i="278"/>
  <c r="AQ320" i="278"/>
  <c r="AQ321" i="278"/>
  <c r="BR102" i="265"/>
  <c r="BS23" i="285"/>
  <c r="BS27" i="285"/>
  <c r="BR98" i="315"/>
  <c r="AV228" i="278"/>
  <c r="AV216" i="278"/>
  <c r="AV219" i="278"/>
  <c r="AP106" i="315"/>
  <c r="AP110" i="265"/>
  <c r="Z110" i="277"/>
  <c r="AQ309" i="278"/>
  <c r="Z117" i="277"/>
  <c r="AN102" i="277"/>
  <c r="AQ312" i="278"/>
  <c r="AQ305" i="278"/>
  <c r="AQ307" i="278"/>
  <c r="AV224" i="278"/>
  <c r="AV225" i="278"/>
  <c r="AV220" i="278"/>
  <c r="AQ43" i="315"/>
  <c r="AQ45" i="265"/>
  <c r="BS102" i="265"/>
  <c r="BT23" i="285"/>
  <c r="BT27" i="285"/>
  <c r="BS98" i="315"/>
  <c r="AR323" i="278"/>
  <c r="AQ117" i="265"/>
  <c r="AQ113" i="315"/>
  <c r="AW222" i="278"/>
  <c r="AV229" i="278"/>
  <c r="AV231" i="278"/>
  <c r="AV116" i="265"/>
  <c r="AV254" i="278"/>
  <c r="AV112" i="315"/>
  <c r="AR326" i="278"/>
  <c r="AR318" i="278"/>
  <c r="AR320" i="278"/>
  <c r="AR321" i="278"/>
  <c r="AV44" i="265"/>
  <c r="AC44" i="277"/>
  <c r="AV42" i="315"/>
  <c r="BT102" i="265"/>
  <c r="BU23" i="285"/>
  <c r="BU27" i="285"/>
  <c r="BT98" i="315"/>
  <c r="AQ106" i="315"/>
  <c r="AQ110" i="265"/>
  <c r="AR309" i="278"/>
  <c r="AR312" i="278"/>
  <c r="AR305" i="278"/>
  <c r="AR307" i="278"/>
  <c r="AR117" i="265"/>
  <c r="AS323" i="278"/>
  <c r="AR113" i="315"/>
  <c r="AW216" i="278"/>
  <c r="AW219" i="278"/>
  <c r="AW228" i="278"/>
  <c r="BU102" i="265"/>
  <c r="BV23" i="285"/>
  <c r="BV27" i="285"/>
  <c r="BU98" i="315"/>
  <c r="AC116" i="277"/>
  <c r="AO102" i="277"/>
  <c r="AR43" i="315"/>
  <c r="AR45" i="265"/>
  <c r="AA45" i="277"/>
  <c r="AV238" i="278"/>
  <c r="AV282" i="278"/>
  <c r="AV245" i="278"/>
  <c r="AS326" i="278"/>
  <c r="AS318" i="278"/>
  <c r="AS320" i="278"/>
  <c r="AS321" i="278"/>
  <c r="BV102" i="265"/>
  <c r="BW23" i="285"/>
  <c r="BW27" i="285"/>
  <c r="BV98" i="315"/>
  <c r="AW224" i="278"/>
  <c r="AW225" i="278"/>
  <c r="AW220" i="278"/>
  <c r="AA117" i="277"/>
  <c r="AR110" i="265"/>
  <c r="AA110" i="277"/>
  <c r="AS309" i="278"/>
  <c r="AR106" i="315"/>
  <c r="BW102" i="265"/>
  <c r="BX23" i="285"/>
  <c r="BX27" i="285"/>
  <c r="BW98" i="315"/>
  <c r="AW42" i="315"/>
  <c r="AW44" i="265"/>
  <c r="AP102" i="277"/>
  <c r="AS43" i="315"/>
  <c r="AS45" i="265"/>
  <c r="AS312" i="278"/>
  <c r="AS305" i="278"/>
  <c r="AS307" i="278"/>
  <c r="AX222" i="278"/>
  <c r="AW229" i="278"/>
  <c r="AW231" i="278"/>
  <c r="AW116" i="265"/>
  <c r="AW112" i="315"/>
  <c r="AW254" i="278"/>
  <c r="AS117" i="265"/>
  <c r="AS113" i="315"/>
  <c r="AT323" i="278"/>
  <c r="AX228" i="278"/>
  <c r="AX216" i="278"/>
  <c r="AX219" i="278"/>
  <c r="AW238" i="278"/>
  <c r="AW245" i="278"/>
  <c r="AW282" i="278"/>
  <c r="AT326" i="278"/>
  <c r="AT318" i="278"/>
  <c r="AT320" i="278"/>
  <c r="AT321" i="278"/>
  <c r="AT309" i="278"/>
  <c r="AS106" i="315"/>
  <c r="AS110" i="265"/>
  <c r="BX102" i="265"/>
  <c r="BY23" i="285"/>
  <c r="BY27" i="285"/>
  <c r="BX98" i="315"/>
  <c r="BY102" i="265"/>
  <c r="BZ23" i="285"/>
  <c r="BZ27" i="285"/>
  <c r="BY98" i="315"/>
  <c r="AT113" i="315"/>
  <c r="AU323" i="278"/>
  <c r="AT117" i="265"/>
  <c r="AX224" i="278"/>
  <c r="AX225" i="278"/>
  <c r="AX220" i="278"/>
  <c r="AQ102" i="277"/>
  <c r="AT312" i="278"/>
  <c r="AT305" i="278"/>
  <c r="AT307" i="278"/>
  <c r="AT43" i="315"/>
  <c r="AT45" i="265"/>
  <c r="AB45" i="277"/>
  <c r="AT106" i="315"/>
  <c r="AT110" i="265"/>
  <c r="AB110" i="277"/>
  <c r="AU309" i="278"/>
  <c r="AX44" i="265"/>
  <c r="AD44" i="277"/>
  <c r="AX42" i="315"/>
  <c r="AB117" i="277"/>
  <c r="BZ102" i="265"/>
  <c r="CA23" i="285"/>
  <c r="CA27" i="285"/>
  <c r="BZ98" i="315"/>
  <c r="AX229" i="278"/>
  <c r="AX231" i="278"/>
  <c r="AY222" i="278"/>
  <c r="AX116" i="265"/>
  <c r="AX112" i="315"/>
  <c r="AX254" i="278"/>
  <c r="AU326" i="278"/>
  <c r="AU318" i="278"/>
  <c r="AU320" i="278"/>
  <c r="AU321" i="278"/>
  <c r="AU312" i="278"/>
  <c r="AU305" i="278"/>
  <c r="AU307" i="278"/>
  <c r="AY228" i="278"/>
  <c r="AY216" i="278"/>
  <c r="AY219" i="278"/>
  <c r="AX238" i="278"/>
  <c r="AX282" i="278"/>
  <c r="AX245" i="278"/>
  <c r="CA102" i="265"/>
  <c r="CB23" i="285"/>
  <c r="CB27" i="285"/>
  <c r="CA98" i="315"/>
  <c r="AU43" i="315"/>
  <c r="AU45" i="265"/>
  <c r="AR102" i="277"/>
  <c r="AV323" i="278"/>
  <c r="AU117" i="265"/>
  <c r="AU113" i="315"/>
  <c r="AD116" i="277"/>
  <c r="CB102" i="265"/>
  <c r="CC23" i="285"/>
  <c r="CC27" i="285"/>
  <c r="CB98" i="315"/>
  <c r="AU106" i="315"/>
  <c r="AU110" i="265"/>
  <c r="AV309" i="278"/>
  <c r="AV326" i="278"/>
  <c r="AV318" i="278"/>
  <c r="AV320" i="278"/>
  <c r="AV321" i="278"/>
  <c r="AY224" i="278"/>
  <c r="AY225" i="278"/>
  <c r="AY220" i="278"/>
  <c r="AY42" i="315"/>
  <c r="AY44" i="265"/>
  <c r="AV312" i="278"/>
  <c r="AV305" i="278"/>
  <c r="AV307" i="278"/>
  <c r="AS102" i="277"/>
  <c r="AZ222" i="278"/>
  <c r="AY229" i="278"/>
  <c r="AY231" i="278"/>
  <c r="AY116" i="265"/>
  <c r="AY112" i="315"/>
  <c r="AY254" i="278"/>
  <c r="AV43" i="315"/>
  <c r="AV45" i="265"/>
  <c r="AC45" i="277"/>
  <c r="AV117" i="265"/>
  <c r="AW323" i="278"/>
  <c r="AV113" i="315"/>
  <c r="CC102" i="265"/>
  <c r="CD23" i="285"/>
  <c r="CD27" i="285"/>
  <c r="CC98" i="315"/>
  <c r="AC117" i="277"/>
  <c r="AY238" i="278"/>
  <c r="AY282" i="278"/>
  <c r="AY245" i="278"/>
  <c r="AZ216" i="278"/>
  <c r="AZ219" i="278"/>
  <c r="AZ228" i="278"/>
  <c r="AV110" i="265"/>
  <c r="AC110" i="277"/>
  <c r="AW309" i="278"/>
  <c r="AV106" i="315"/>
  <c r="CD102" i="265"/>
  <c r="CE23" i="285"/>
  <c r="CE27" i="285"/>
  <c r="CD98" i="315"/>
  <c r="AW326" i="278"/>
  <c r="AW318" i="278"/>
  <c r="AW320" i="278"/>
  <c r="AW321" i="278"/>
  <c r="AW117" i="265"/>
  <c r="AW113" i="315"/>
  <c r="AX323" i="278"/>
  <c r="AT102" i="277"/>
  <c r="AW43" i="315"/>
  <c r="AW45" i="265"/>
  <c r="AW312" i="278"/>
  <c r="AW305" i="278"/>
  <c r="AW307" i="278"/>
  <c r="CE102" i="265"/>
  <c r="CF23" i="285"/>
  <c r="CF27" i="285"/>
  <c r="CE98" i="315"/>
  <c r="AZ224" i="278"/>
  <c r="AZ225" i="278"/>
  <c r="AZ220" i="278"/>
  <c r="AZ229" i="278"/>
  <c r="AZ231" i="278"/>
  <c r="BA222" i="278"/>
  <c r="AZ116" i="265"/>
  <c r="AZ254" i="278"/>
  <c r="AZ112" i="315"/>
  <c r="CF102" i="265"/>
  <c r="CG23" i="285"/>
  <c r="CG27" i="285"/>
  <c r="CF98" i="315"/>
  <c r="AZ44" i="265"/>
  <c r="AE44" i="277"/>
  <c r="AZ42" i="315"/>
  <c r="AX309" i="278"/>
  <c r="AW106" i="315"/>
  <c r="AW110" i="265"/>
  <c r="AX326" i="278"/>
  <c r="AX318" i="278"/>
  <c r="AX320" i="278"/>
  <c r="AX321" i="278"/>
  <c r="AX43" i="315"/>
  <c r="AX45" i="265"/>
  <c r="AD45" i="277"/>
  <c r="AE116" i="277"/>
  <c r="AX113" i="315"/>
  <c r="AY323" i="278"/>
  <c r="AX117" i="265"/>
  <c r="CG102" i="265"/>
  <c r="CH23" i="285"/>
  <c r="CH27" i="285"/>
  <c r="CG98" i="315"/>
  <c r="BA216" i="278"/>
  <c r="BA219" i="278"/>
  <c r="BA228" i="278"/>
  <c r="AU102" i="277"/>
  <c r="AZ238" i="278"/>
  <c r="AZ282" i="278"/>
  <c r="AZ245" i="278"/>
  <c r="AX312" i="278"/>
  <c r="AX305" i="278"/>
  <c r="AX307" i="278"/>
  <c r="BA224" i="278"/>
  <c r="BA225" i="278"/>
  <c r="BA220" i="278"/>
  <c r="CH102" i="265"/>
  <c r="CI23" i="285"/>
  <c r="CI27" i="285"/>
  <c r="CH98" i="315"/>
  <c r="AX106" i="315"/>
  <c r="AX110" i="265"/>
  <c r="AD110" i="277"/>
  <c r="AY309" i="278"/>
  <c r="AD117" i="277"/>
  <c r="AY326" i="278"/>
  <c r="AY318" i="278"/>
  <c r="AY320" i="278"/>
  <c r="AY321" i="278"/>
  <c r="BA229" i="278"/>
  <c r="BA231" i="278"/>
  <c r="BB222" i="278"/>
  <c r="BA116" i="265"/>
  <c r="BA112" i="315"/>
  <c r="BA254" i="278"/>
  <c r="AY43" i="315"/>
  <c r="AY45" i="265"/>
  <c r="CI102" i="265"/>
  <c r="CJ23" i="285"/>
  <c r="CJ27" i="285"/>
  <c r="CI98" i="315"/>
  <c r="AZ323" i="278"/>
  <c r="AY117" i="265"/>
  <c r="AY113" i="315"/>
  <c r="AV102" i="277"/>
  <c r="AY312" i="278"/>
  <c r="AY305" i="278"/>
  <c r="AY307" i="278"/>
  <c r="BA42" i="315"/>
  <c r="BA44" i="265"/>
  <c r="CJ102" i="265"/>
  <c r="CK23" i="285"/>
  <c r="CK27" i="285"/>
  <c r="CJ98" i="315"/>
  <c r="BB216" i="278"/>
  <c r="BB219" i="278"/>
  <c r="BB228" i="278"/>
  <c r="BA238" i="278"/>
  <c r="BA245" i="278"/>
  <c r="BA282" i="278"/>
  <c r="AY106" i="315"/>
  <c r="AY110" i="265"/>
  <c r="AZ309" i="278"/>
  <c r="AZ326" i="278"/>
  <c r="AZ318" i="278"/>
  <c r="AZ320" i="278"/>
  <c r="AZ321" i="278"/>
  <c r="AZ312" i="278"/>
  <c r="AZ305" i="278"/>
  <c r="AZ307" i="278"/>
  <c r="BB224" i="278"/>
  <c r="BB225" i="278"/>
  <c r="BB220" i="278"/>
  <c r="CK102" i="265"/>
  <c r="CL23" i="285"/>
  <c r="CL27" i="285"/>
  <c r="CK98" i="315"/>
  <c r="AZ43" i="315"/>
  <c r="AZ45" i="265"/>
  <c r="AE45" i="277"/>
  <c r="AW102" i="277"/>
  <c r="AZ117" i="265"/>
  <c r="BA323" i="278"/>
  <c r="AZ113" i="315"/>
  <c r="BB229" i="278"/>
  <c r="BB231" i="278"/>
  <c r="BC222" i="278"/>
  <c r="BB116" i="265"/>
  <c r="BB112" i="315"/>
  <c r="BB254" i="278"/>
  <c r="CL102" i="265"/>
  <c r="CM23" i="285"/>
  <c r="CM27" i="285"/>
  <c r="CL98" i="315"/>
  <c r="AZ110" i="265"/>
  <c r="AE110" i="277"/>
  <c r="BA309" i="278"/>
  <c r="AZ106" i="315"/>
  <c r="AE117" i="277"/>
  <c r="BA326" i="278"/>
  <c r="BA318" i="278"/>
  <c r="BA320" i="278"/>
  <c r="BA321" i="278"/>
  <c r="BB44" i="265"/>
  <c r="AF44" i="277"/>
  <c r="BB42" i="315"/>
  <c r="AX102" i="277"/>
  <c r="AF116" i="277"/>
  <c r="BA43" i="315"/>
  <c r="BA45" i="265"/>
  <c r="BC228" i="278"/>
  <c r="BC216" i="278"/>
  <c r="BC219" i="278"/>
  <c r="BA117" i="265"/>
  <c r="BA113" i="315"/>
  <c r="BB323" i="278"/>
  <c r="BA312" i="278"/>
  <c r="BA305" i="278"/>
  <c r="BA307" i="278"/>
  <c r="BB238" i="278"/>
  <c r="BB245" i="278"/>
  <c r="BB282" i="278"/>
  <c r="CM102" i="265"/>
  <c r="CN23" i="285"/>
  <c r="CN27" i="285"/>
  <c r="CM98" i="315"/>
  <c r="BC224" i="278"/>
  <c r="BC225" i="278"/>
  <c r="BC220" i="278"/>
  <c r="BB309" i="278"/>
  <c r="BA106" i="315"/>
  <c r="BA110" i="265"/>
  <c r="CN102" i="265"/>
  <c r="CO23" i="285"/>
  <c r="CO27" i="285"/>
  <c r="CN98" i="315"/>
  <c r="BB326" i="278"/>
  <c r="BB318" i="278"/>
  <c r="BB320" i="278"/>
  <c r="BB321" i="278"/>
  <c r="CO102" i="265"/>
  <c r="CP23" i="285"/>
  <c r="CP27" i="285"/>
  <c r="CO98" i="315"/>
  <c r="BC42" i="315"/>
  <c r="BC44" i="265"/>
  <c r="AY102" i="277"/>
  <c r="BC229" i="278"/>
  <c r="BC231" i="278"/>
  <c r="BD222" i="278"/>
  <c r="BC116" i="265"/>
  <c r="BC112" i="315"/>
  <c r="BC254" i="278"/>
  <c r="BB43" i="315"/>
  <c r="BB45" i="265"/>
  <c r="AF45" i="277"/>
  <c r="BB113" i="315"/>
  <c r="BC323" i="278"/>
  <c r="BB117" i="265"/>
  <c r="BB312" i="278"/>
  <c r="BB305" i="278"/>
  <c r="BB307" i="278"/>
  <c r="BB106" i="315"/>
  <c r="BB110" i="265"/>
  <c r="AF110" i="277"/>
  <c r="BC309" i="278"/>
  <c r="AF117" i="277"/>
  <c r="BC326" i="278"/>
  <c r="BC318" i="278"/>
  <c r="BC320" i="278"/>
  <c r="BC321" i="278"/>
  <c r="BD228" i="278"/>
  <c r="BD216" i="278"/>
  <c r="BD219" i="278"/>
  <c r="CP102" i="265"/>
  <c r="CQ23" i="285"/>
  <c r="CQ27" i="285"/>
  <c r="CP98" i="315"/>
  <c r="BC238" i="278"/>
  <c r="BC245" i="278"/>
  <c r="BC282" i="278"/>
  <c r="CQ102" i="265"/>
  <c r="CR23" i="285"/>
  <c r="CR27" i="285"/>
  <c r="CQ98" i="315"/>
  <c r="AZ102" i="277"/>
  <c r="BC43" i="315"/>
  <c r="BC45" i="265"/>
  <c r="BD224" i="278"/>
  <c r="BD225" i="278"/>
  <c r="BD220" i="278"/>
  <c r="BD323" i="278"/>
  <c r="BC117" i="265"/>
  <c r="BC113" i="315"/>
  <c r="BC312" i="278"/>
  <c r="BC305" i="278"/>
  <c r="BC307" i="278"/>
  <c r="BD326" i="278"/>
  <c r="BD318" i="278"/>
  <c r="BD320" i="278"/>
  <c r="BD321" i="278"/>
  <c r="BD44" i="265"/>
  <c r="AG44" i="277"/>
  <c r="BD42" i="315"/>
  <c r="CR102" i="265"/>
  <c r="CS23" i="285"/>
  <c r="CS27" i="285"/>
  <c r="CR98" i="315"/>
  <c r="BC106" i="315"/>
  <c r="BC110" i="265"/>
  <c r="BD309" i="278"/>
  <c r="BD229" i="278"/>
  <c r="BD231" i="278"/>
  <c r="BE222" i="278"/>
  <c r="BD116" i="265"/>
  <c r="BD254" i="278"/>
  <c r="BD112" i="315"/>
  <c r="BE228" i="278"/>
  <c r="BE216" i="278"/>
  <c r="BE219" i="278"/>
  <c r="AG116" i="277"/>
  <c r="CS102" i="265"/>
  <c r="CT23" i="285"/>
  <c r="CT27" i="285"/>
  <c r="CS98" i="315"/>
  <c r="BD43" i="315"/>
  <c r="BD45" i="265"/>
  <c r="AG45" i="277"/>
  <c r="BA102" i="277"/>
  <c r="BD117" i="265"/>
  <c r="AG117" i="277"/>
  <c r="BE323" i="278"/>
  <c r="BD113" i="315"/>
  <c r="BD238" i="278"/>
  <c r="BD282" i="278"/>
  <c r="BD245" i="278"/>
  <c r="BD312" i="278"/>
  <c r="BD305" i="278"/>
  <c r="BD307" i="278"/>
  <c r="BE326" i="278"/>
  <c r="BE318" i="278"/>
  <c r="BE320" i="278"/>
  <c r="BE321" i="278"/>
  <c r="CT102" i="265"/>
  <c r="CU23" i="285"/>
  <c r="CU27" i="285"/>
  <c r="CT98" i="315"/>
  <c r="BE224" i="278"/>
  <c r="BE225" i="278"/>
  <c r="BE220" i="278"/>
  <c r="BD110" i="265"/>
  <c r="AG110" i="277"/>
  <c r="BE309" i="278"/>
  <c r="BD106" i="315"/>
  <c r="BE312" i="278"/>
  <c r="BE305" i="278"/>
  <c r="BE307" i="278"/>
  <c r="BE42" i="315"/>
  <c r="BE44" i="265"/>
  <c r="BE43" i="315"/>
  <c r="BE45" i="265"/>
  <c r="BF222" i="278"/>
  <c r="BE229" i="278"/>
  <c r="BE231" i="278"/>
  <c r="BE116" i="265"/>
  <c r="BE112" i="315"/>
  <c r="BE254" i="278"/>
  <c r="BE117" i="265"/>
  <c r="BE113" i="315"/>
  <c r="BF323" i="278"/>
  <c r="CU102" i="265"/>
  <c r="CV23" i="285"/>
  <c r="CV27" i="285"/>
  <c r="CU98" i="315"/>
  <c r="BB102" i="277"/>
  <c r="BF228" i="278"/>
  <c r="BF216" i="278"/>
  <c r="BF219" i="278"/>
  <c r="CV102" i="265"/>
  <c r="CV98" i="315"/>
  <c r="BE238" i="278"/>
  <c r="BE245" i="278"/>
  <c r="BE282" i="278"/>
  <c r="BF309" i="278"/>
  <c r="BE106" i="315"/>
  <c r="BE110" i="265"/>
  <c r="BF318" i="278"/>
  <c r="BF320" i="278"/>
  <c r="BF321" i="278"/>
  <c r="BF326" i="278"/>
  <c r="BF45" i="265"/>
  <c r="AH45" i="277"/>
  <c r="BF43" i="315"/>
  <c r="BF224" i="278"/>
  <c r="BF225" i="278"/>
  <c r="BF220" i="278"/>
  <c r="N102" i="277"/>
  <c r="BF305" i="278"/>
  <c r="BF307" i="278"/>
  <c r="BF312" i="278"/>
  <c r="BF113" i="315"/>
  <c r="BG323" i="278"/>
  <c r="BF117" i="265"/>
  <c r="AH117" i="277"/>
  <c r="BG318" i="278"/>
  <c r="BG320" i="278"/>
  <c r="BG321" i="278"/>
  <c r="BG326" i="278"/>
  <c r="BF44" i="265"/>
  <c r="AH44" i="277"/>
  <c r="BF42" i="315"/>
  <c r="BF229" i="278"/>
  <c r="BF231" i="278"/>
  <c r="BG222" i="278"/>
  <c r="BF116" i="265"/>
  <c r="BF254" i="278"/>
  <c r="BF112" i="315"/>
  <c r="BF110" i="265"/>
  <c r="AH110" i="277"/>
  <c r="BG309" i="278"/>
  <c r="BF106" i="315"/>
  <c r="BG312" i="278"/>
  <c r="BG305" i="278"/>
  <c r="BG307" i="278"/>
  <c r="AH116" i="277"/>
  <c r="BG228" i="278"/>
  <c r="BG216" i="278"/>
  <c r="BG219" i="278"/>
  <c r="BH323" i="278"/>
  <c r="BG117" i="265"/>
  <c r="BG113" i="315"/>
  <c r="BF238" i="278"/>
  <c r="BF245" i="278"/>
  <c r="BF282" i="278"/>
  <c r="BG45" i="265"/>
  <c r="BG43" i="315"/>
  <c r="BG224" i="278"/>
  <c r="BG225" i="278"/>
  <c r="BG220" i="278"/>
  <c r="BG106" i="315"/>
  <c r="BG110" i="265"/>
  <c r="BH309" i="278"/>
  <c r="BH318" i="278"/>
  <c r="BH320" i="278"/>
  <c r="BH321" i="278"/>
  <c r="BH326" i="278"/>
  <c r="BH117" i="265"/>
  <c r="AI117" i="277"/>
  <c r="BI323" i="278"/>
  <c r="BH113" i="315"/>
  <c r="BH43" i="315"/>
  <c r="BH45" i="265"/>
  <c r="AI45" i="277"/>
  <c r="BG44" i="265"/>
  <c r="BG42" i="315"/>
  <c r="BH312" i="278"/>
  <c r="BH305" i="278"/>
  <c r="BH307" i="278"/>
  <c r="BG229" i="278"/>
  <c r="BG231" i="278"/>
  <c r="BH222" i="278"/>
  <c r="BG116" i="265"/>
  <c r="BG112" i="315"/>
  <c r="BG254" i="278"/>
  <c r="BH110" i="265"/>
  <c r="AI110" i="277"/>
  <c r="BI309" i="278"/>
  <c r="BH106" i="315"/>
  <c r="BH228" i="278"/>
  <c r="BH216" i="278"/>
  <c r="BH219" i="278"/>
  <c r="BG238" i="278"/>
  <c r="BG245" i="278"/>
  <c r="BG282" i="278"/>
  <c r="BI318" i="278"/>
  <c r="BI320" i="278"/>
  <c r="BI321" i="278"/>
  <c r="BI326" i="278"/>
  <c r="BI312" i="278"/>
  <c r="BI305" i="278"/>
  <c r="BI307" i="278"/>
  <c r="BI117" i="265"/>
  <c r="BI113" i="315"/>
  <c r="BJ323" i="278"/>
  <c r="BI43" i="315"/>
  <c r="BI45" i="265"/>
  <c r="BH224" i="278"/>
  <c r="BH225" i="278"/>
  <c r="BH220" i="278"/>
  <c r="BH44" i="265"/>
  <c r="AI44" i="277"/>
  <c r="BH42" i="315"/>
  <c r="BH229" i="278"/>
  <c r="BH231" i="278"/>
  <c r="BI222" i="278"/>
  <c r="BH116" i="265"/>
  <c r="BH254" i="278"/>
  <c r="BH112" i="315"/>
  <c r="BJ318" i="278"/>
  <c r="BJ320" i="278"/>
  <c r="BJ321" i="278"/>
  <c r="BJ326" i="278"/>
  <c r="BJ309" i="278"/>
  <c r="BI106" i="315"/>
  <c r="BI110" i="265"/>
  <c r="BJ113" i="315"/>
  <c r="BK323" i="278"/>
  <c r="BJ117" i="265"/>
  <c r="AJ117" i="277"/>
  <c r="BJ45" i="265"/>
  <c r="AJ45" i="277"/>
  <c r="BJ43" i="315"/>
  <c r="BH238" i="278"/>
  <c r="BH282" i="278"/>
  <c r="BH245" i="278"/>
  <c r="BJ305" i="278"/>
  <c r="BJ307" i="278"/>
  <c r="BJ312" i="278"/>
  <c r="AI116" i="277"/>
  <c r="BI228" i="278"/>
  <c r="BI216" i="278"/>
  <c r="BI219" i="278"/>
  <c r="BI224" i="278"/>
  <c r="BI225" i="278"/>
  <c r="BI220" i="278"/>
  <c r="BJ110" i="265"/>
  <c r="AJ110" i="277"/>
  <c r="BK309" i="278"/>
  <c r="BJ106" i="315"/>
  <c r="BK318" i="278"/>
  <c r="BK320" i="278"/>
  <c r="BK321" i="278"/>
  <c r="BK326" i="278"/>
  <c r="BL323" i="278"/>
  <c r="BK117" i="265"/>
  <c r="BK113" i="315"/>
  <c r="BK45" i="265"/>
  <c r="BK43" i="315"/>
  <c r="BI42" i="315"/>
  <c r="BI44" i="265"/>
  <c r="BK312" i="278"/>
  <c r="BK305" i="278"/>
  <c r="BK307" i="278"/>
  <c r="BJ222" i="278"/>
  <c r="BI229" i="278"/>
  <c r="BI231" i="278"/>
  <c r="BI116" i="265"/>
  <c r="BI112" i="315"/>
  <c r="BI254" i="278"/>
  <c r="BK106" i="315"/>
  <c r="BK110" i="265"/>
  <c r="BL309" i="278"/>
  <c r="BL318" i="278"/>
  <c r="BL320" i="278"/>
  <c r="BL321" i="278"/>
  <c r="BL326" i="278"/>
  <c r="BJ216" i="278"/>
  <c r="BJ219" i="278"/>
  <c r="BJ228" i="278"/>
  <c r="BI238" i="278"/>
  <c r="BI245" i="278"/>
  <c r="BI282" i="278"/>
  <c r="BJ224" i="278"/>
  <c r="BJ225" i="278"/>
  <c r="BJ220" i="278"/>
  <c r="BL117" i="265"/>
  <c r="AK117" i="277"/>
  <c r="BM323" i="278"/>
  <c r="BL113" i="315"/>
  <c r="BL43" i="315"/>
  <c r="BL45" i="265"/>
  <c r="AK45" i="277"/>
  <c r="BL312" i="278"/>
  <c r="BL305" i="278"/>
  <c r="BL307" i="278"/>
  <c r="BL110" i="265"/>
  <c r="AK110" i="277"/>
  <c r="BM309" i="278"/>
  <c r="BL106" i="315"/>
  <c r="BM318" i="278"/>
  <c r="BM320" i="278"/>
  <c r="BM321" i="278"/>
  <c r="BM326" i="278"/>
  <c r="BJ44" i="265"/>
  <c r="AJ44" i="277"/>
  <c r="BJ42" i="315"/>
  <c r="BJ229" i="278"/>
  <c r="BJ231" i="278"/>
  <c r="BK222" i="278"/>
  <c r="BJ116" i="265"/>
  <c r="BJ112" i="315"/>
  <c r="BJ254" i="278"/>
  <c r="BK216" i="278"/>
  <c r="BK219" i="278"/>
  <c r="BK228" i="278"/>
  <c r="BM117" i="265"/>
  <c r="BM113" i="315"/>
  <c r="BN323" i="278"/>
  <c r="BJ238" i="278"/>
  <c r="BJ245" i="278"/>
  <c r="BJ282" i="278"/>
  <c r="BM43" i="315"/>
  <c r="BM45" i="265"/>
  <c r="BM312" i="278"/>
  <c r="BM305" i="278"/>
  <c r="BM307" i="278"/>
  <c r="AJ116" i="277"/>
  <c r="BK224" i="278"/>
  <c r="BK225" i="278"/>
  <c r="BK220" i="278"/>
  <c r="BN309" i="278"/>
  <c r="BM106" i="315"/>
  <c r="BM110" i="265"/>
  <c r="BN318" i="278"/>
  <c r="BN320" i="278"/>
  <c r="BN321" i="278"/>
  <c r="BN326" i="278"/>
  <c r="BN113" i="315"/>
  <c r="BO323" i="278"/>
  <c r="BN117" i="265"/>
  <c r="AL117" i="277"/>
  <c r="BK44" i="265"/>
  <c r="BK42" i="315"/>
  <c r="BN45" i="265"/>
  <c r="AL45" i="277"/>
  <c r="BN43" i="315"/>
  <c r="BL222" i="278"/>
  <c r="BK229" i="278"/>
  <c r="BK231" i="278"/>
  <c r="BK116" i="265"/>
  <c r="BK112" i="315"/>
  <c r="BK254" i="278"/>
  <c r="BN305" i="278"/>
  <c r="BN307" i="278"/>
  <c r="BN312" i="278"/>
  <c r="BN110" i="265"/>
  <c r="AL110" i="277"/>
  <c r="BO309" i="278"/>
  <c r="BN106" i="315"/>
  <c r="BL228" i="278"/>
  <c r="BL216" i="278"/>
  <c r="BL219" i="278"/>
  <c r="BO318" i="278"/>
  <c r="BO320" i="278"/>
  <c r="BO321" i="278"/>
  <c r="BO326" i="278"/>
  <c r="BK238" i="278"/>
  <c r="BK245" i="278"/>
  <c r="BK282" i="278"/>
  <c r="BO45" i="265"/>
  <c r="BO43" i="315"/>
  <c r="BL224" i="278"/>
  <c r="BL225" i="278"/>
  <c r="BL220" i="278"/>
  <c r="BO312" i="278"/>
  <c r="BO305" i="278"/>
  <c r="BO307" i="278"/>
  <c r="BP323" i="278"/>
  <c r="BO117" i="265"/>
  <c r="BO113" i="315"/>
  <c r="BP318" i="278"/>
  <c r="BP320" i="278"/>
  <c r="BP321" i="278"/>
  <c r="BP326" i="278"/>
  <c r="BO106" i="315"/>
  <c r="BO110" i="265"/>
  <c r="BP309" i="278"/>
  <c r="BL44" i="265"/>
  <c r="AK44" i="277"/>
  <c r="BL42" i="315"/>
  <c r="BL229" i="278"/>
  <c r="BL231" i="278"/>
  <c r="BM222" i="278"/>
  <c r="BL116" i="265"/>
  <c r="BL112" i="315"/>
  <c r="BL254" i="278"/>
  <c r="BP312" i="278"/>
  <c r="BP305" i="278"/>
  <c r="BP307" i="278"/>
  <c r="BM228" i="278"/>
  <c r="BM216" i="278"/>
  <c r="BM219" i="278"/>
  <c r="BP117" i="265"/>
  <c r="AM117" i="277"/>
  <c r="BQ323" i="278"/>
  <c r="BP113" i="315"/>
  <c r="BL238" i="278"/>
  <c r="BL282" i="278"/>
  <c r="BL245" i="278"/>
  <c r="BP43" i="315"/>
  <c r="BP45" i="265"/>
  <c r="AM45" i="277"/>
  <c r="AK116" i="277"/>
  <c r="BM224" i="278"/>
  <c r="BM225" i="278"/>
  <c r="BM220" i="278"/>
  <c r="BP110" i="265"/>
  <c r="AM110" i="277"/>
  <c r="BQ309" i="278"/>
  <c r="BP106" i="315"/>
  <c r="BQ318" i="278"/>
  <c r="BQ320" i="278"/>
  <c r="BQ321" i="278"/>
  <c r="BQ326" i="278"/>
  <c r="BM42" i="315"/>
  <c r="BM44" i="265"/>
  <c r="BQ117" i="265"/>
  <c r="BQ113" i="315"/>
  <c r="BR323" i="278"/>
  <c r="BN222" i="278"/>
  <c r="BM229" i="278"/>
  <c r="BM231" i="278"/>
  <c r="BM116" i="265"/>
  <c r="BM112" i="315"/>
  <c r="BM254" i="278"/>
  <c r="BQ43" i="315"/>
  <c r="BQ45" i="265"/>
  <c r="BQ312" i="278"/>
  <c r="BQ305" i="278"/>
  <c r="BQ307" i="278"/>
  <c r="BR309" i="278"/>
  <c r="BQ106" i="315"/>
  <c r="BQ110" i="265"/>
  <c r="BM238" i="278"/>
  <c r="BM245" i="278"/>
  <c r="BM282" i="278"/>
  <c r="BN228" i="278"/>
  <c r="BN216" i="278"/>
  <c r="BN219" i="278"/>
  <c r="BR318" i="278"/>
  <c r="BR320" i="278"/>
  <c r="BR321" i="278"/>
  <c r="BR326" i="278"/>
  <c r="BR45" i="265"/>
  <c r="AN45" i="277"/>
  <c r="BR43" i="315"/>
  <c r="BN224" i="278"/>
  <c r="BN225" i="278"/>
  <c r="BN220" i="278"/>
  <c r="BR305" i="278"/>
  <c r="BR307" i="278"/>
  <c r="BR312" i="278"/>
  <c r="BR113" i="315"/>
  <c r="BS323" i="278"/>
  <c r="BR117" i="265"/>
  <c r="AN117" i="277"/>
  <c r="BN44" i="265"/>
  <c r="AL44" i="277"/>
  <c r="BN42" i="315"/>
  <c r="BS318" i="278"/>
  <c r="BS320" i="278"/>
  <c r="BS321" i="278"/>
  <c r="BS326" i="278"/>
  <c r="BN229" i="278"/>
  <c r="BN231" i="278"/>
  <c r="BO222" i="278"/>
  <c r="BN116" i="265"/>
  <c r="BN112" i="315"/>
  <c r="BN254" i="278"/>
  <c r="BR110" i="265"/>
  <c r="AN110" i="277"/>
  <c r="BS309" i="278"/>
  <c r="BR106" i="315"/>
  <c r="BS45" i="265"/>
  <c r="BS43" i="315"/>
  <c r="AL116" i="277"/>
  <c r="BO228" i="278"/>
  <c r="BO216" i="278"/>
  <c r="BO219" i="278"/>
  <c r="BS312" i="278"/>
  <c r="BS305" i="278"/>
  <c r="BS307" i="278"/>
  <c r="BN238" i="278"/>
  <c r="BN245" i="278"/>
  <c r="BN282" i="278"/>
  <c r="BT323" i="278"/>
  <c r="BS117" i="265"/>
  <c r="BS113" i="315"/>
  <c r="BO224" i="278"/>
  <c r="BO225" i="278"/>
  <c r="BO220" i="278"/>
  <c r="BS106" i="315"/>
  <c r="BS110" i="265"/>
  <c r="BT309" i="278"/>
  <c r="BT318" i="278"/>
  <c r="BT320" i="278"/>
  <c r="BT321" i="278"/>
  <c r="BT326" i="278"/>
  <c r="BT43" i="315"/>
  <c r="BT45" i="265"/>
  <c r="AO45" i="277"/>
  <c r="BO44" i="265"/>
  <c r="BO42" i="315"/>
  <c r="BO229" i="278"/>
  <c r="BO231" i="278"/>
  <c r="BP222" i="278"/>
  <c r="BO116" i="265"/>
  <c r="BO254" i="278"/>
  <c r="BO112" i="315"/>
  <c r="BT117" i="265"/>
  <c r="AO117" i="277"/>
  <c r="BU323" i="278"/>
  <c r="BT113" i="315"/>
  <c r="BT312" i="278"/>
  <c r="BT305" i="278"/>
  <c r="BT307" i="278"/>
  <c r="BT110" i="265"/>
  <c r="AO110" i="277"/>
  <c r="BU309" i="278"/>
  <c r="BT106" i="315"/>
  <c r="BP228" i="278"/>
  <c r="BP216" i="278"/>
  <c r="BP219" i="278"/>
  <c r="BO238" i="278"/>
  <c r="BO245" i="278"/>
  <c r="BO282" i="278"/>
  <c r="BU318" i="278"/>
  <c r="BU320" i="278"/>
  <c r="BU321" i="278"/>
  <c r="BU326" i="278"/>
  <c r="BU43" i="315"/>
  <c r="BU45" i="265"/>
  <c r="BU117" i="265"/>
  <c r="BU113" i="315"/>
  <c r="BV323" i="278"/>
  <c r="BP224" i="278"/>
  <c r="BP225" i="278"/>
  <c r="BP220" i="278"/>
  <c r="BU312" i="278"/>
  <c r="BU305" i="278"/>
  <c r="BU307" i="278"/>
  <c r="BP44" i="265"/>
  <c r="AM44" i="277"/>
  <c r="BP42" i="315"/>
  <c r="BV309" i="278"/>
  <c r="BU106" i="315"/>
  <c r="BU110" i="265"/>
  <c r="BP229" i="278"/>
  <c r="BP231" i="278"/>
  <c r="BQ222" i="278"/>
  <c r="BP116" i="265"/>
  <c r="BP112" i="315"/>
  <c r="BP254" i="278"/>
  <c r="BV318" i="278"/>
  <c r="BV320" i="278"/>
  <c r="BV321" i="278"/>
  <c r="BV326" i="278"/>
  <c r="BQ216" i="278"/>
  <c r="BQ219" i="278"/>
  <c r="BQ228" i="278"/>
  <c r="BP238" i="278"/>
  <c r="BP282" i="278"/>
  <c r="BP245" i="278"/>
  <c r="BV113" i="315"/>
  <c r="BW323" i="278"/>
  <c r="BV117" i="265"/>
  <c r="AP117" i="277"/>
  <c r="BV45" i="265"/>
  <c r="AP45" i="277"/>
  <c r="BV43" i="315"/>
  <c r="AM116" i="277"/>
  <c r="BV305" i="278"/>
  <c r="BV307" i="278"/>
  <c r="BV312" i="278"/>
  <c r="BW318" i="278"/>
  <c r="BW320" i="278"/>
  <c r="BW321" i="278"/>
  <c r="BW326" i="278"/>
  <c r="BV110" i="265"/>
  <c r="AP110" i="277"/>
  <c r="BW309" i="278"/>
  <c r="BV106" i="315"/>
  <c r="BQ224" i="278"/>
  <c r="BQ225" i="278"/>
  <c r="BQ220" i="278"/>
  <c r="BW312" i="278"/>
  <c r="BW305" i="278"/>
  <c r="BW307" i="278"/>
  <c r="BQ42" i="315"/>
  <c r="BQ44" i="265"/>
  <c r="BQ229" i="278"/>
  <c r="BQ231" i="278"/>
  <c r="BR222" i="278"/>
  <c r="BQ116" i="265"/>
  <c r="BQ112" i="315"/>
  <c r="BQ254" i="278"/>
  <c r="BX323" i="278"/>
  <c r="BW117" i="265"/>
  <c r="BW113" i="315"/>
  <c r="BW45" i="265"/>
  <c r="BW43" i="315"/>
  <c r="BX318" i="278"/>
  <c r="BX320" i="278"/>
  <c r="BX321" i="278"/>
  <c r="BX326" i="278"/>
  <c r="BW106" i="315"/>
  <c r="BW110" i="265"/>
  <c r="BX309" i="278"/>
  <c r="BQ238" i="278"/>
  <c r="BQ245" i="278"/>
  <c r="BQ282" i="278"/>
  <c r="BR228" i="278"/>
  <c r="BR216" i="278"/>
  <c r="BR219" i="278"/>
  <c r="BR224" i="278"/>
  <c r="BR225" i="278"/>
  <c r="BR220" i="278"/>
  <c r="BX117" i="265"/>
  <c r="AQ117" i="277"/>
  <c r="BY323" i="278"/>
  <c r="BX113" i="315"/>
  <c r="BX312" i="278"/>
  <c r="BX305" i="278"/>
  <c r="BX307" i="278"/>
  <c r="BX43" i="315"/>
  <c r="BX45" i="265"/>
  <c r="AQ45" i="277"/>
  <c r="BR229" i="278"/>
  <c r="BR231" i="278"/>
  <c r="BS222" i="278"/>
  <c r="BR116" i="265"/>
  <c r="BR112" i="315"/>
  <c r="BR254" i="278"/>
  <c r="BY318" i="278"/>
  <c r="BY320" i="278"/>
  <c r="BY321" i="278"/>
  <c r="BY326" i="278"/>
  <c r="BR44" i="265"/>
  <c r="AN44" i="277"/>
  <c r="BR42" i="315"/>
  <c r="BX110" i="265"/>
  <c r="AQ110" i="277"/>
  <c r="BY309" i="278"/>
  <c r="BX106" i="315"/>
  <c r="BY117" i="265"/>
  <c r="BY113" i="315"/>
  <c r="BZ323" i="278"/>
  <c r="BS216" i="278"/>
  <c r="BS219" i="278"/>
  <c r="BS228" i="278"/>
  <c r="BY312" i="278"/>
  <c r="BY305" i="278"/>
  <c r="BY307" i="278"/>
  <c r="BY43" i="315"/>
  <c r="BY45" i="265"/>
  <c r="BR238" i="278"/>
  <c r="BR245" i="278"/>
  <c r="BR282" i="278"/>
  <c r="AN116" i="277"/>
  <c r="BZ318" i="278"/>
  <c r="BZ320" i="278"/>
  <c r="BZ321" i="278"/>
  <c r="BZ326" i="278"/>
  <c r="BS224" i="278"/>
  <c r="BS225" i="278"/>
  <c r="BS220" i="278"/>
  <c r="BZ309" i="278"/>
  <c r="BY106" i="315"/>
  <c r="BY110" i="265"/>
  <c r="BZ305" i="278"/>
  <c r="BZ307" i="278"/>
  <c r="BZ312" i="278"/>
  <c r="BS229" i="278"/>
  <c r="BS231" i="278"/>
  <c r="BT222" i="278"/>
  <c r="BS116" i="265"/>
  <c r="BS254" i="278"/>
  <c r="BS112" i="315"/>
  <c r="BZ113" i="315"/>
  <c r="CA323" i="278"/>
  <c r="BZ117" i="265"/>
  <c r="AR117" i="277"/>
  <c r="BZ45" i="265"/>
  <c r="AR45" i="277"/>
  <c r="BZ43" i="315"/>
  <c r="BS44" i="265"/>
  <c r="BS42" i="315"/>
  <c r="BS238" i="278"/>
  <c r="BS245" i="278"/>
  <c r="BS282" i="278"/>
  <c r="CA318" i="278"/>
  <c r="CA320" i="278"/>
  <c r="CA321" i="278"/>
  <c r="CA326" i="278"/>
  <c r="BT228" i="278"/>
  <c r="BT216" i="278"/>
  <c r="BT219" i="278"/>
  <c r="BZ110" i="265"/>
  <c r="AR110" i="277"/>
  <c r="CA309" i="278"/>
  <c r="BZ106" i="315"/>
  <c r="BT224" i="278"/>
  <c r="BT225" i="278"/>
  <c r="BT220" i="278"/>
  <c r="CA45" i="265"/>
  <c r="CA43" i="315"/>
  <c r="CA312" i="278"/>
  <c r="CA305" i="278"/>
  <c r="CA307" i="278"/>
  <c r="CB323" i="278"/>
  <c r="CA117" i="265"/>
  <c r="CA113" i="315"/>
  <c r="CB318" i="278"/>
  <c r="CB320" i="278"/>
  <c r="CB321" i="278"/>
  <c r="CB326" i="278"/>
  <c r="CA106" i="315"/>
  <c r="CA110" i="265"/>
  <c r="CB309" i="278"/>
  <c r="BT44" i="265"/>
  <c r="AO44" i="277"/>
  <c r="BT42" i="315"/>
  <c r="BT229" i="278"/>
  <c r="BT231" i="278"/>
  <c r="BU222" i="278"/>
  <c r="BT116" i="265"/>
  <c r="BT254" i="278"/>
  <c r="BT112" i="315"/>
  <c r="AO116" i="277"/>
  <c r="CB117" i="265"/>
  <c r="AS117" i="277"/>
  <c r="CC323" i="278"/>
  <c r="CB113" i="315"/>
  <c r="BU228" i="278"/>
  <c r="BU216" i="278"/>
  <c r="BU219" i="278"/>
  <c r="CB43" i="315"/>
  <c r="CB45" i="265"/>
  <c r="AS45" i="277"/>
  <c r="BT238" i="278"/>
  <c r="BT282" i="278"/>
  <c r="BT245" i="278"/>
  <c r="CB312" i="278"/>
  <c r="CB305" i="278"/>
  <c r="CB307" i="278"/>
  <c r="CB110" i="265"/>
  <c r="AS110" i="277"/>
  <c r="CC309" i="278"/>
  <c r="CB106" i="315"/>
  <c r="BU224" i="278"/>
  <c r="BU225" i="278"/>
  <c r="BU220" i="278"/>
  <c r="CC318" i="278"/>
  <c r="CC320" i="278"/>
  <c r="CC321" i="278"/>
  <c r="CC326" i="278"/>
  <c r="CC117" i="265"/>
  <c r="CC113" i="315"/>
  <c r="CD323" i="278"/>
  <c r="CC43" i="315"/>
  <c r="CC45" i="265"/>
  <c r="BV222" i="278"/>
  <c r="BU229" i="278"/>
  <c r="BU231" i="278"/>
  <c r="BU116" i="265"/>
  <c r="BU112" i="315"/>
  <c r="BU254" i="278"/>
  <c r="BU42" i="315"/>
  <c r="BU44" i="265"/>
  <c r="CC312" i="278"/>
  <c r="CC305" i="278"/>
  <c r="CC307" i="278"/>
  <c r="BU238" i="278"/>
  <c r="BU245" i="278"/>
  <c r="BU282" i="278"/>
  <c r="CD309" i="278"/>
  <c r="CC106" i="315"/>
  <c r="CC110" i="265"/>
  <c r="BV228" i="278"/>
  <c r="BV216" i="278"/>
  <c r="BV219" i="278"/>
  <c r="CD318" i="278"/>
  <c r="CD320" i="278"/>
  <c r="CD321" i="278"/>
  <c r="CD326" i="278"/>
  <c r="CD113" i="315"/>
  <c r="CE323" i="278"/>
  <c r="CD117" i="265"/>
  <c r="AT117" i="277"/>
  <c r="CD45" i="265"/>
  <c r="AT45" i="277"/>
  <c r="CD43" i="315"/>
  <c r="BV224" i="278"/>
  <c r="BV225" i="278"/>
  <c r="BV220" i="278"/>
  <c r="CD305" i="278"/>
  <c r="CD307" i="278"/>
  <c r="CD312" i="278"/>
  <c r="BV44" i="265"/>
  <c r="AP44" i="277"/>
  <c r="BV42" i="315"/>
  <c r="CE318" i="278"/>
  <c r="CE320" i="278"/>
  <c r="CE321" i="278"/>
  <c r="CE326" i="278"/>
  <c r="BV229" i="278"/>
  <c r="BV231" i="278"/>
  <c r="BW222" i="278"/>
  <c r="BV116" i="265"/>
  <c r="BV254" i="278"/>
  <c r="BV112" i="315"/>
  <c r="CD110" i="265"/>
  <c r="AT110" i="277"/>
  <c r="CE309" i="278"/>
  <c r="CD106" i="315"/>
  <c r="AP116" i="277"/>
  <c r="CE45" i="265"/>
  <c r="CE43" i="315"/>
  <c r="CE312" i="278"/>
  <c r="CE305" i="278"/>
  <c r="CE307" i="278"/>
  <c r="BW228" i="278"/>
  <c r="BW216" i="278"/>
  <c r="BW219" i="278"/>
  <c r="BV238" i="278"/>
  <c r="BV245" i="278"/>
  <c r="BV282" i="278"/>
  <c r="CF323" i="278"/>
  <c r="CE117" i="265"/>
  <c r="CE113" i="315"/>
  <c r="CE106" i="315"/>
  <c r="CE110" i="265"/>
  <c r="CF309" i="278"/>
  <c r="CF318" i="278"/>
  <c r="CF320" i="278"/>
  <c r="CF321" i="278"/>
  <c r="CF326" i="278"/>
  <c r="BW224" i="278"/>
  <c r="BW225" i="278"/>
  <c r="BW220" i="278"/>
  <c r="BW44" i="265"/>
  <c r="BW42" i="315"/>
  <c r="CF117" i="265"/>
  <c r="AU117" i="277"/>
  <c r="CG323" i="278"/>
  <c r="CF113" i="315"/>
  <c r="BW229" i="278"/>
  <c r="BW231" i="278"/>
  <c r="BX222" i="278"/>
  <c r="BW116" i="265"/>
  <c r="BW112" i="315"/>
  <c r="BW254" i="278"/>
  <c r="CF43" i="315"/>
  <c r="CF45" i="265"/>
  <c r="AU45" i="277"/>
  <c r="CF312" i="278"/>
  <c r="CF305" i="278"/>
  <c r="CF307" i="278"/>
  <c r="BX228" i="278"/>
  <c r="BX216" i="278"/>
  <c r="BX219" i="278"/>
  <c r="BW238" i="278"/>
  <c r="BW245" i="278"/>
  <c r="BW282" i="278"/>
  <c r="CF110" i="265"/>
  <c r="AU110" i="277"/>
  <c r="CG309" i="278"/>
  <c r="CF106" i="315"/>
  <c r="CG318" i="278"/>
  <c r="CG320" i="278"/>
  <c r="CG321" i="278"/>
  <c r="CG326" i="278"/>
  <c r="CG117" i="265"/>
  <c r="CG113" i="315"/>
  <c r="CH323" i="278"/>
  <c r="CG43" i="315"/>
  <c r="CG45" i="265"/>
  <c r="CG312" i="278"/>
  <c r="CG305" i="278"/>
  <c r="CG307" i="278"/>
  <c r="BX224" i="278"/>
  <c r="BX225" i="278"/>
  <c r="BX220" i="278"/>
  <c r="BX44" i="265"/>
  <c r="AQ44" i="277"/>
  <c r="BX42" i="315"/>
  <c r="BX229" i="278"/>
  <c r="BX231" i="278"/>
  <c r="BY222" i="278"/>
  <c r="BX116" i="265"/>
  <c r="BX254" i="278"/>
  <c r="BX112" i="315"/>
  <c r="CH309" i="278"/>
  <c r="CG106" i="315"/>
  <c r="CG110" i="265"/>
  <c r="CH318" i="278"/>
  <c r="CH320" i="278"/>
  <c r="CH321" i="278"/>
  <c r="CH326" i="278"/>
  <c r="AQ116" i="277"/>
  <c r="CH113" i="315"/>
  <c r="CI323" i="278"/>
  <c r="CH117" i="265"/>
  <c r="AV117" i="277"/>
  <c r="CH305" i="278"/>
  <c r="CH307" i="278"/>
  <c r="CH312" i="278"/>
  <c r="BY228" i="278"/>
  <c r="BY216" i="278"/>
  <c r="BY219" i="278"/>
  <c r="BX238" i="278"/>
  <c r="BX282" i="278"/>
  <c r="BX245" i="278"/>
  <c r="CH45" i="265"/>
  <c r="AV45" i="277"/>
  <c r="CH43" i="315"/>
  <c r="CH110" i="265"/>
  <c r="AV110" i="277"/>
  <c r="CI309" i="278"/>
  <c r="CH106" i="315"/>
  <c r="BY224" i="278"/>
  <c r="BY225" i="278"/>
  <c r="BY220" i="278"/>
  <c r="CI318" i="278"/>
  <c r="CI320" i="278"/>
  <c r="CI321" i="278"/>
  <c r="CI326" i="278"/>
  <c r="CI45" i="265"/>
  <c r="CI43" i="315"/>
  <c r="BZ222" i="278"/>
  <c r="BY229" i="278"/>
  <c r="BY231" i="278"/>
  <c r="BY116" i="265"/>
  <c r="BY112" i="315"/>
  <c r="BY254" i="278"/>
  <c r="CJ323" i="278"/>
  <c r="CI117" i="265"/>
  <c r="CI113" i="315"/>
  <c r="BY42" i="315"/>
  <c r="BY44" i="265"/>
  <c r="CI312" i="278"/>
  <c r="CI305" i="278"/>
  <c r="CI307" i="278"/>
  <c r="BY238" i="278"/>
  <c r="BY245" i="278"/>
  <c r="BY282" i="278"/>
  <c r="CI106" i="315"/>
  <c r="CI110" i="265"/>
  <c r="CJ309" i="278"/>
  <c r="CJ318" i="278"/>
  <c r="CJ320" i="278"/>
  <c r="CJ321" i="278"/>
  <c r="CJ326" i="278"/>
  <c r="BZ216" i="278"/>
  <c r="BZ219" i="278"/>
  <c r="BZ228" i="278"/>
  <c r="CJ117" i="265"/>
  <c r="AW117" i="277"/>
  <c r="CK323" i="278"/>
  <c r="CJ113" i="315"/>
  <c r="BZ224" i="278"/>
  <c r="BZ225" i="278"/>
  <c r="BZ220" i="278"/>
  <c r="CJ43" i="315"/>
  <c r="CJ45" i="265"/>
  <c r="AW45" i="277"/>
  <c r="CJ312" i="278"/>
  <c r="CJ305" i="278"/>
  <c r="CJ307" i="278"/>
  <c r="CJ110" i="265"/>
  <c r="AW110" i="277"/>
  <c r="CK309" i="278"/>
  <c r="CJ106" i="315"/>
  <c r="BZ229" i="278"/>
  <c r="BZ231" i="278"/>
  <c r="CA222" i="278"/>
  <c r="BZ116" i="265"/>
  <c r="BZ112" i="315"/>
  <c r="BZ254" i="278"/>
  <c r="BZ44" i="265"/>
  <c r="AR44" i="277"/>
  <c r="BZ42" i="315"/>
  <c r="CK318" i="278"/>
  <c r="CK320" i="278"/>
  <c r="CK321" i="278"/>
  <c r="CK326" i="278"/>
  <c r="AR116" i="277"/>
  <c r="CK312" i="278"/>
  <c r="CK305" i="278"/>
  <c r="CK307" i="278"/>
  <c r="CA216" i="278"/>
  <c r="CA219" i="278"/>
  <c r="CA228" i="278"/>
  <c r="CK117" i="265"/>
  <c r="CK113" i="315"/>
  <c r="CL323" i="278"/>
  <c r="CK43" i="315"/>
  <c r="CK45" i="265"/>
  <c r="BZ238" i="278"/>
  <c r="BZ245" i="278"/>
  <c r="BZ282" i="278"/>
  <c r="CL318" i="278"/>
  <c r="CL320" i="278"/>
  <c r="CL321" i="278"/>
  <c r="CL326" i="278"/>
  <c r="CA224" i="278"/>
  <c r="CA225" i="278"/>
  <c r="CA220" i="278"/>
  <c r="CL309" i="278"/>
  <c r="CK106" i="315"/>
  <c r="CK110" i="265"/>
  <c r="CB222" i="278"/>
  <c r="CA229" i="278"/>
  <c r="CA231" i="278"/>
  <c r="CA116" i="265"/>
  <c r="CA254" i="278"/>
  <c r="CA112" i="315"/>
  <c r="CL45" i="265"/>
  <c r="AX45" i="277"/>
  <c r="CL43" i="315"/>
  <c r="CL305" i="278"/>
  <c r="CL307" i="278"/>
  <c r="CL312" i="278"/>
  <c r="CA44" i="265"/>
  <c r="CA42" i="315"/>
  <c r="CL113" i="315"/>
  <c r="CM323" i="278"/>
  <c r="CL117" i="265"/>
  <c r="AX117" i="277"/>
  <c r="CM318" i="278"/>
  <c r="CM320" i="278"/>
  <c r="CM321" i="278"/>
  <c r="CM326" i="278"/>
  <c r="CL110" i="265"/>
  <c r="AX110" i="277"/>
  <c r="CM309" i="278"/>
  <c r="CL106" i="315"/>
  <c r="CA238" i="278"/>
  <c r="CA245" i="278"/>
  <c r="CA282" i="278"/>
  <c r="CB228" i="278"/>
  <c r="CB216" i="278"/>
  <c r="CB219" i="278"/>
  <c r="CN323" i="278"/>
  <c r="CM117" i="265"/>
  <c r="CM113" i="315"/>
  <c r="CB224" i="278"/>
  <c r="CB225" i="278"/>
  <c r="CB220" i="278"/>
  <c r="CM312" i="278"/>
  <c r="CM305" i="278"/>
  <c r="CM307" i="278"/>
  <c r="CM45" i="265"/>
  <c r="CM43" i="315"/>
  <c r="CM106" i="315"/>
  <c r="CM110" i="265"/>
  <c r="CN309" i="278"/>
  <c r="CB44" i="265"/>
  <c r="AS44" i="277"/>
  <c r="CB42" i="315"/>
  <c r="CB229" i="278"/>
  <c r="CB231" i="278"/>
  <c r="CC222" i="278"/>
  <c r="CB116" i="265"/>
  <c r="CB254" i="278"/>
  <c r="CB112" i="315"/>
  <c r="CN318" i="278"/>
  <c r="CN320" i="278"/>
  <c r="CN321" i="278"/>
  <c r="CN326" i="278"/>
  <c r="CN312" i="278"/>
  <c r="CN305" i="278"/>
  <c r="CN307" i="278"/>
  <c r="CN117" i="265"/>
  <c r="AY117" i="277"/>
  <c r="CO323" i="278"/>
  <c r="CN113" i="315"/>
  <c r="CB238" i="278"/>
  <c r="CB282" i="278"/>
  <c r="CB245" i="278"/>
  <c r="CN43" i="315"/>
  <c r="CN45" i="265"/>
  <c r="AY45" i="277"/>
  <c r="AS116" i="277"/>
  <c r="CC228" i="278"/>
  <c r="CC216" i="278"/>
  <c r="CC219" i="278"/>
  <c r="CC224" i="278"/>
  <c r="CC225" i="278"/>
  <c r="CC220" i="278"/>
  <c r="CO318" i="278"/>
  <c r="CO320" i="278"/>
  <c r="CO321" i="278"/>
  <c r="CO326" i="278"/>
  <c r="CN110" i="265"/>
  <c r="AY110" i="277"/>
  <c r="CO309" i="278"/>
  <c r="CN106" i="315"/>
  <c r="CO117" i="265"/>
  <c r="CO113" i="315"/>
  <c r="CP323" i="278"/>
  <c r="CO312" i="278"/>
  <c r="CO305" i="278"/>
  <c r="CO307" i="278"/>
  <c r="CO43" i="315"/>
  <c r="CO45" i="265"/>
  <c r="CC42" i="315"/>
  <c r="CC44" i="265"/>
  <c r="CD222" i="278"/>
  <c r="CC229" i="278"/>
  <c r="CC231" i="278"/>
  <c r="CC116" i="265"/>
  <c r="CC112" i="315"/>
  <c r="CC254" i="278"/>
  <c r="CP318" i="278"/>
  <c r="CP320" i="278"/>
  <c r="CP321" i="278"/>
  <c r="CP326" i="278"/>
  <c r="CP309" i="278"/>
  <c r="CO106" i="315"/>
  <c r="CO110" i="265"/>
  <c r="CD228" i="278"/>
  <c r="CD216" i="278"/>
  <c r="CD219" i="278"/>
  <c r="CC238" i="278"/>
  <c r="CC245" i="278"/>
  <c r="CC282" i="278"/>
  <c r="CD224" i="278"/>
  <c r="CD225" i="278"/>
  <c r="CD220" i="278"/>
  <c r="CP305" i="278"/>
  <c r="CP307" i="278"/>
  <c r="CP312" i="278"/>
  <c r="CP113" i="315"/>
  <c r="CQ323" i="278"/>
  <c r="CP117" i="265"/>
  <c r="AZ117" i="277"/>
  <c r="CP45" i="265"/>
  <c r="AZ45" i="277"/>
  <c r="CP43" i="315"/>
  <c r="CQ318" i="278"/>
  <c r="CQ320" i="278"/>
  <c r="CQ321" i="278"/>
  <c r="CQ326" i="278"/>
  <c r="CP110" i="265"/>
  <c r="AZ110" i="277"/>
  <c r="CQ309" i="278"/>
  <c r="CP106" i="315"/>
  <c r="CD44" i="265"/>
  <c r="AT44" i="277"/>
  <c r="CD42" i="315"/>
  <c r="CD229" i="278"/>
  <c r="CD231" i="278"/>
  <c r="CE222" i="278"/>
  <c r="CD116" i="265"/>
  <c r="CD112" i="315"/>
  <c r="CD254" i="278"/>
  <c r="CE228" i="278"/>
  <c r="CE216" i="278"/>
  <c r="CE219" i="278"/>
  <c r="CD238" i="278"/>
  <c r="CD245" i="278"/>
  <c r="CD282" i="278"/>
  <c r="CR323" i="278"/>
  <c r="CQ117" i="265"/>
  <c r="CQ113" i="315"/>
  <c r="CQ312" i="278"/>
  <c r="CQ305" i="278"/>
  <c r="CQ307" i="278"/>
  <c r="CQ45" i="265"/>
  <c r="CQ43" i="315"/>
  <c r="AT116" i="277"/>
  <c r="CR318" i="278"/>
  <c r="CR320" i="278"/>
  <c r="CR321" i="278"/>
  <c r="CR326" i="278"/>
  <c r="CQ106" i="315"/>
  <c r="CQ110" i="265"/>
  <c r="CR309" i="278"/>
  <c r="CE224" i="278"/>
  <c r="CE225" i="278"/>
  <c r="CE220" i="278"/>
  <c r="CE44" i="265"/>
  <c r="CE42" i="315"/>
  <c r="CR312" i="278"/>
  <c r="CR305" i="278"/>
  <c r="CR307" i="278"/>
  <c r="CR117" i="265"/>
  <c r="BA117" i="277"/>
  <c r="CS323" i="278"/>
  <c r="CR113" i="315"/>
  <c r="CR43" i="315"/>
  <c r="CR45" i="265"/>
  <c r="BA45" i="277"/>
  <c r="CE229" i="278"/>
  <c r="CE231" i="278"/>
  <c r="CF222" i="278"/>
  <c r="CE116" i="265"/>
  <c r="CE112" i="315"/>
  <c r="CE254" i="278"/>
  <c r="CR110" i="265"/>
  <c r="BA110" i="277"/>
  <c r="CS309" i="278"/>
  <c r="CR106" i="315"/>
  <c r="CF228" i="278"/>
  <c r="CF216" i="278"/>
  <c r="CF219" i="278"/>
  <c r="CS318" i="278"/>
  <c r="CS320" i="278"/>
  <c r="CS321" i="278"/>
  <c r="CS326" i="278"/>
  <c r="CE238" i="278"/>
  <c r="CE245" i="278"/>
  <c r="CE282" i="278"/>
  <c r="CS117" i="265"/>
  <c r="CS113" i="315"/>
  <c r="CT323" i="278"/>
  <c r="CS312" i="278"/>
  <c r="CS305" i="278"/>
  <c r="CS307" i="278"/>
  <c r="CS43" i="315"/>
  <c r="CS45" i="265"/>
  <c r="CF224" i="278"/>
  <c r="CF225" i="278"/>
  <c r="CF220" i="278"/>
  <c r="CT309" i="278"/>
  <c r="CS106" i="315"/>
  <c r="CS110" i="265"/>
  <c r="CF44" i="265"/>
  <c r="AU44" i="277"/>
  <c r="CF42" i="315"/>
  <c r="CT318" i="278"/>
  <c r="CT320" i="278"/>
  <c r="CT321" i="278"/>
  <c r="CT326" i="278"/>
  <c r="CF229" i="278"/>
  <c r="CF231" i="278"/>
  <c r="CG222" i="278"/>
  <c r="CF116" i="265"/>
  <c r="CF112" i="315"/>
  <c r="CF254" i="278"/>
  <c r="CT305" i="278"/>
  <c r="CT307" i="278"/>
  <c r="CT312" i="278"/>
  <c r="CT113" i="315"/>
  <c r="CU323" i="278"/>
  <c r="CT117" i="265"/>
  <c r="BB117" i="277"/>
  <c r="CT45" i="265"/>
  <c r="BB45" i="277"/>
  <c r="CT43" i="315"/>
  <c r="AU116" i="277"/>
  <c r="CG228" i="278"/>
  <c r="CG216" i="278"/>
  <c r="CG219" i="278"/>
  <c r="CF238" i="278"/>
  <c r="CF282" i="278"/>
  <c r="CF245" i="278"/>
  <c r="CT110" i="265"/>
  <c r="BB110" i="277"/>
  <c r="CU309" i="278"/>
  <c r="CT106" i="315"/>
  <c r="CU318" i="278"/>
  <c r="CU320" i="278"/>
  <c r="CU321" i="278"/>
  <c r="CU326" i="278"/>
  <c r="CG224" i="278"/>
  <c r="CG225" i="278"/>
  <c r="CG220" i="278"/>
  <c r="CV323" i="278"/>
  <c r="CU117" i="265"/>
  <c r="CU113" i="315"/>
  <c r="CG42" i="315"/>
  <c r="CG44" i="265"/>
  <c r="CU45" i="265"/>
  <c r="CU43" i="315"/>
  <c r="CH222" i="278"/>
  <c r="CG229" i="278"/>
  <c r="CG231" i="278"/>
  <c r="CG116" i="265"/>
  <c r="CG112" i="315"/>
  <c r="CG254" i="278"/>
  <c r="CU312" i="278"/>
  <c r="CU305" i="278"/>
  <c r="CU307" i="278"/>
  <c r="CG238" i="278"/>
  <c r="CG245" i="278"/>
  <c r="CG282" i="278"/>
  <c r="CV318" i="278"/>
  <c r="CV320" i="278"/>
  <c r="CV326" i="278"/>
  <c r="CU106" i="315"/>
  <c r="CU110" i="265"/>
  <c r="CV309" i="278"/>
  <c r="CH216" i="278"/>
  <c r="CH219" i="278"/>
  <c r="CH228" i="278"/>
  <c r="CV312" i="278"/>
  <c r="CV305" i="278"/>
  <c r="CV307" i="278"/>
  <c r="H307" i="278"/>
  <c r="CH224" i="278"/>
  <c r="CH225" i="278"/>
  <c r="CH220" i="278"/>
  <c r="CV117" i="265"/>
  <c r="O117" i="277"/>
  <c r="CV113" i="315"/>
  <c r="CV321" i="278"/>
  <c r="H320" i="278"/>
  <c r="CH229" i="278"/>
  <c r="CH231" i="278"/>
  <c r="CI222" i="278"/>
  <c r="CH116" i="265"/>
  <c r="CH112" i="315"/>
  <c r="CH254" i="278"/>
  <c r="CV43" i="315"/>
  <c r="CV45" i="265"/>
  <c r="H321" i="278"/>
  <c r="CV110" i="265"/>
  <c r="CV106" i="315"/>
  <c r="CH44" i="265"/>
  <c r="AV44" i="277"/>
  <c r="CH42" i="315"/>
  <c r="H45" i="265"/>
  <c r="H122" i="269"/>
  <c r="K122" i="269"/>
  <c r="H43" i="315"/>
  <c r="O45" i="277"/>
  <c r="N45" i="277"/>
  <c r="P45" i="277"/>
  <c r="CH238" i="278"/>
  <c r="CH245" i="278"/>
  <c r="CH282" i="278"/>
  <c r="O110" i="277"/>
  <c r="P110" i="277"/>
  <c r="AV116" i="277"/>
  <c r="CI216" i="278"/>
  <c r="CI219" i="278"/>
  <c r="CI228" i="278"/>
  <c r="J122" i="269"/>
  <c r="L122" i="269"/>
  <c r="CI224" i="278"/>
  <c r="CI225" i="278"/>
  <c r="CI220" i="278"/>
  <c r="CI44" i="265"/>
  <c r="CI42" i="315"/>
  <c r="CJ222" i="278"/>
  <c r="CI229" i="278"/>
  <c r="CI231" i="278"/>
  <c r="CI116" i="265"/>
  <c r="CI112" i="315"/>
  <c r="CI254" i="278"/>
  <c r="CI238" i="278"/>
  <c r="CI245" i="278"/>
  <c r="CI282" i="278"/>
  <c r="CJ228" i="278"/>
  <c r="CJ216" i="278"/>
  <c r="CJ219" i="278"/>
  <c r="CJ224" i="278"/>
  <c r="CJ225" i="278"/>
  <c r="CJ220" i="278"/>
  <c r="CJ44" i="265"/>
  <c r="AW44" i="277"/>
  <c r="CJ42" i="315"/>
  <c r="CJ229" i="278"/>
  <c r="CJ231" i="278"/>
  <c r="CK222" i="278"/>
  <c r="CJ116" i="265"/>
  <c r="CJ254" i="278"/>
  <c r="CJ112" i="315"/>
  <c r="CJ238" i="278"/>
  <c r="CJ282" i="278"/>
  <c r="CJ245" i="278"/>
  <c r="CK228" i="278"/>
  <c r="CK216" i="278"/>
  <c r="CK219" i="278"/>
  <c r="AW116" i="277"/>
  <c r="CK224" i="278"/>
  <c r="CK225" i="278"/>
  <c r="CK220" i="278"/>
  <c r="CK42" i="315"/>
  <c r="CK44" i="265"/>
  <c r="CL222" i="278"/>
  <c r="CK229" i="278"/>
  <c r="CK231" i="278"/>
  <c r="CK116" i="265"/>
  <c r="CK112" i="315"/>
  <c r="CK254" i="278"/>
  <c r="CL228" i="278"/>
  <c r="CL216" i="278"/>
  <c r="CL219" i="278"/>
  <c r="CK238" i="278"/>
  <c r="CK245" i="278"/>
  <c r="CK282" i="278"/>
  <c r="CL224" i="278"/>
  <c r="CL225" i="278"/>
  <c r="CL220" i="278"/>
  <c r="CL44" i="265"/>
  <c r="AX44" i="277"/>
  <c r="CL42" i="315"/>
  <c r="CL229" i="278"/>
  <c r="CL231" i="278"/>
  <c r="CM222" i="278"/>
  <c r="CL116" i="265"/>
  <c r="CL112" i="315"/>
  <c r="CL254" i="278"/>
  <c r="CM228" i="278"/>
  <c r="CM216" i="278"/>
  <c r="CM219" i="278"/>
  <c r="CL238" i="278"/>
  <c r="CL245" i="278"/>
  <c r="CL282" i="278"/>
  <c r="AX116" i="277"/>
  <c r="CM224" i="278"/>
  <c r="CM225" i="278"/>
  <c r="CM220" i="278"/>
  <c r="CM44" i="265"/>
  <c r="CM42" i="315"/>
  <c r="CM229" i="278"/>
  <c r="CM231" i="278"/>
  <c r="CN222" i="278"/>
  <c r="CM116" i="265"/>
  <c r="CM254" i="278"/>
  <c r="CM112" i="315"/>
  <c r="CN228" i="278"/>
  <c r="CN216" i="278"/>
  <c r="CN219" i="278"/>
  <c r="CM238" i="278"/>
  <c r="CM245" i="278"/>
  <c r="CM282" i="278"/>
  <c r="CN224" i="278"/>
  <c r="CN225" i="278"/>
  <c r="CN220" i="278"/>
  <c r="CN44" i="265"/>
  <c r="AY44" i="277"/>
  <c r="CN42" i="315"/>
  <c r="CN229" i="278"/>
  <c r="CN231" i="278"/>
  <c r="CO222" i="278"/>
  <c r="CN116" i="265"/>
  <c r="CN254" i="278"/>
  <c r="CN112" i="315"/>
  <c r="CN238" i="278"/>
  <c r="CN282" i="278"/>
  <c r="CN245" i="278"/>
  <c r="AY116" i="277"/>
  <c r="CO228" i="278"/>
  <c r="CO216" i="278"/>
  <c r="CO219" i="278"/>
  <c r="CO224" i="278"/>
  <c r="CO225" i="278"/>
  <c r="CO220" i="278"/>
  <c r="CO42" i="315"/>
  <c r="CO44" i="265"/>
  <c r="CP222" i="278"/>
  <c r="CO229" i="278"/>
  <c r="CO231" i="278"/>
  <c r="CO116" i="265"/>
  <c r="CO112" i="315"/>
  <c r="CO254" i="278"/>
  <c r="CO238" i="278"/>
  <c r="CO245" i="278"/>
  <c r="CO282" i="278"/>
  <c r="CP216" i="278"/>
  <c r="CP219" i="278"/>
  <c r="CP228" i="278"/>
  <c r="CP224" i="278"/>
  <c r="CP225" i="278"/>
  <c r="CP220" i="278"/>
  <c r="CP44" i="265"/>
  <c r="AZ44" i="277"/>
  <c r="CP42" i="315"/>
  <c r="CP229" i="278"/>
  <c r="CP231" i="278"/>
  <c r="CQ222" i="278"/>
  <c r="CP116" i="265"/>
  <c r="CP112" i="315"/>
  <c r="CP254" i="278"/>
  <c r="AZ116" i="277"/>
  <c r="CQ216" i="278"/>
  <c r="CQ219" i="278"/>
  <c r="CQ228" i="278"/>
  <c r="CP238" i="278"/>
  <c r="CP245" i="278"/>
  <c r="CP282" i="278"/>
  <c r="CQ224" i="278"/>
  <c r="CQ225" i="278"/>
  <c r="CQ220" i="278"/>
  <c r="CQ44" i="265"/>
  <c r="CQ42" i="315"/>
  <c r="CR222" i="278"/>
  <c r="CQ229" i="278"/>
  <c r="CQ231" i="278"/>
  <c r="CQ116" i="265"/>
  <c r="CQ254" i="278"/>
  <c r="CQ112" i="315"/>
  <c r="CQ238" i="278"/>
  <c r="CQ245" i="278"/>
  <c r="CQ282" i="278"/>
  <c r="CR228" i="278"/>
  <c r="CR216" i="278"/>
  <c r="CR219" i="278"/>
  <c r="CR224" i="278"/>
  <c r="CR225" i="278"/>
  <c r="CR220" i="278"/>
  <c r="CR44" i="265"/>
  <c r="BA44" i="277"/>
  <c r="CR42" i="315"/>
  <c r="CR229" i="278"/>
  <c r="CR231" i="278"/>
  <c r="CS222" i="278"/>
  <c r="CR116" i="265"/>
  <c r="CR112" i="315"/>
  <c r="CR254" i="278"/>
  <c r="CS228" i="278"/>
  <c r="CS216" i="278"/>
  <c r="CS219" i="278"/>
  <c r="CR238" i="278"/>
  <c r="CR282" i="278"/>
  <c r="CR245" i="278"/>
  <c r="BA116" i="277"/>
  <c r="CS224" i="278"/>
  <c r="CS225" i="278"/>
  <c r="CS220" i="278"/>
  <c r="CT222" i="278"/>
  <c r="CS229" i="278"/>
  <c r="CS231" i="278"/>
  <c r="CS116" i="265"/>
  <c r="CS112" i="315"/>
  <c r="CS254" i="278"/>
  <c r="CS42" i="315"/>
  <c r="CS44" i="265"/>
  <c r="CS238" i="278"/>
  <c r="CS282" i="278"/>
  <c r="CS245" i="278"/>
  <c r="CT228" i="278"/>
  <c r="CT216" i="278"/>
  <c r="CT219" i="278"/>
  <c r="CT224" i="278"/>
  <c r="CT225" i="278"/>
  <c r="CT220" i="278"/>
  <c r="CT229" i="278"/>
  <c r="CT231" i="278"/>
  <c r="CU222" i="278"/>
  <c r="CT116" i="265"/>
  <c r="CT112" i="315"/>
  <c r="CT254" i="278"/>
  <c r="CT44" i="265"/>
  <c r="BB44" i="277"/>
  <c r="CT42" i="315"/>
  <c r="BB116" i="277"/>
  <c r="CU228" i="278"/>
  <c r="CU216" i="278"/>
  <c r="CU219" i="278"/>
  <c r="CT238" i="278"/>
  <c r="CT282" i="278"/>
  <c r="CT245" i="278"/>
  <c r="CU224" i="278"/>
  <c r="CU225" i="278"/>
  <c r="CU220" i="278"/>
  <c r="CU44" i="265"/>
  <c r="CU42" i="315"/>
  <c r="CU229" i="278"/>
  <c r="CU231" i="278"/>
  <c r="CV222" i="278"/>
  <c r="CU116" i="265"/>
  <c r="CU112" i="315"/>
  <c r="CU254" i="278"/>
  <c r="CV228" i="278"/>
  <c r="CV216" i="278"/>
  <c r="CV219" i="278"/>
  <c r="CU238" i="278"/>
  <c r="CU245" i="278"/>
  <c r="CU282" i="278"/>
  <c r="CV224" i="278"/>
  <c r="CV225" i="278"/>
  <c r="CV220" i="278"/>
  <c r="H219" i="278"/>
  <c r="H224" i="278"/>
  <c r="CV229" i="278"/>
  <c r="CV231" i="278"/>
  <c r="CV116" i="265"/>
  <c r="CV254" i="278"/>
  <c r="CV112" i="315"/>
  <c r="CV44" i="265"/>
  <c r="CV42" i="315"/>
  <c r="H220" i="278"/>
  <c r="O44" i="277"/>
  <c r="L44" i="277"/>
  <c r="N44" i="277"/>
  <c r="P44" i="277"/>
  <c r="N116" i="277"/>
  <c r="O116" i="277"/>
  <c r="P116" i="277"/>
  <c r="H44" i="265"/>
  <c r="H121" i="269"/>
  <c r="K121" i="269"/>
  <c r="H42" i="315"/>
  <c r="CV238" i="278"/>
  <c r="CV282" i="278"/>
  <c r="CV245" i="278"/>
  <c r="H231" i="278"/>
  <c r="J121" i="269"/>
  <c r="L121" i="269"/>
  <c r="H282" i="278"/>
  <c r="H238" i="278"/>
  <c r="H245" i="278"/>
  <c r="F86" i="321"/>
  <c r="F94" i="321"/>
  <c r="F106" i="321"/>
  <c r="F100" i="321"/>
  <c r="AW218" i="288"/>
  <c r="AW220" i="288"/>
  <c r="AW68" i="288"/>
  <c r="AW57" i="328"/>
  <c r="AW242" i="288"/>
  <c r="AW244" i="288"/>
  <c r="AW70" i="288"/>
  <c r="AX218" i="288"/>
  <c r="AX220" i="288"/>
  <c r="AX242" i="288"/>
  <c r="AX244" i="288"/>
  <c r="AX68" i="288"/>
  <c r="AX70" i="288"/>
  <c r="AX57" i="328"/>
  <c r="AD68" i="328"/>
  <c r="AY218" i="288"/>
  <c r="AY220" i="288"/>
  <c r="AY242" i="288"/>
  <c r="AY244" i="288"/>
  <c r="AY68" i="288"/>
  <c r="AY70" i="288"/>
  <c r="AY57" i="328"/>
  <c r="AZ218" i="288"/>
  <c r="AZ220" i="288"/>
  <c r="AZ242" i="288"/>
  <c r="AZ244" i="288"/>
  <c r="AZ68" i="288"/>
  <c r="AZ70" i="288"/>
  <c r="AZ57" i="328"/>
  <c r="AE68" i="328"/>
  <c r="H122" i="278"/>
  <c r="H139" i="278"/>
  <c r="M45" i="277" l="1"/>
  <c r="H45" i="277" s="1"/>
  <c r="M13" i="277"/>
  <c r="H13" i="277" s="1"/>
  <c r="K45" i="282"/>
  <c r="K85" i="282"/>
  <c r="M45" i="282"/>
  <c r="M85" i="282"/>
  <c r="L45" i="282"/>
  <c r="L85" i="282"/>
  <c r="P45" i="282"/>
  <c r="P85" i="282"/>
  <c r="N45" i="282"/>
  <c r="N85" i="282"/>
  <c r="O45" i="282"/>
  <c r="O85" i="282"/>
  <c r="M49" i="277"/>
  <c r="H49" i="277" s="1"/>
  <c r="M42" i="277"/>
  <c r="H42" i="277" s="1"/>
  <c r="M44" i="277"/>
  <c r="H44" i="277" s="1"/>
  <c r="M10" i="277"/>
  <c r="H10" i="277" s="1"/>
  <c r="J679" i="321"/>
  <c r="J442" i="321"/>
  <c r="J443" i="321" s="1"/>
  <c r="J621" i="307"/>
  <c r="K621" i="307"/>
  <c r="L621" i="307"/>
  <c r="M621" i="307"/>
  <c r="N621" i="307"/>
  <c r="O621" i="307"/>
  <c r="P621" i="307"/>
  <c r="P50" i="278"/>
  <c r="P59" i="278" s="1"/>
  <c r="P61" i="278" s="1"/>
  <c r="N50" i="278"/>
  <c r="N59" i="278" s="1"/>
  <c r="N61" i="278" s="1"/>
  <c r="M50" i="278"/>
  <c r="M59" i="278" s="1"/>
  <c r="M61" i="278" s="1"/>
  <c r="L50" i="278"/>
  <c r="L59" i="278" s="1"/>
  <c r="L61" i="278" s="1"/>
  <c r="K50" i="278"/>
  <c r="K59" i="278" s="1"/>
  <c r="K61" i="278" s="1"/>
  <c r="O50" i="278"/>
  <c r="O59" i="278" s="1"/>
  <c r="O61" i="278" s="1"/>
  <c r="CV18" i="314"/>
  <c r="CV22" i="314" s="1"/>
  <c r="CV25" i="314" s="1"/>
  <c r="R661" i="307"/>
  <c r="R434" i="321" s="1"/>
  <c r="S661" i="307"/>
  <c r="S434" i="321" s="1"/>
  <c r="T661" i="307"/>
  <c r="T434" i="321" s="1"/>
  <c r="U661" i="307"/>
  <c r="U434" i="321" s="1"/>
  <c r="V661" i="307"/>
  <c r="V434" i="321" s="1"/>
  <c r="W661" i="307"/>
  <c r="W434" i="321" s="1"/>
  <c r="X661" i="307"/>
  <c r="X434" i="321" s="1"/>
  <c r="Y661" i="307"/>
  <c r="Y434" i="321" s="1"/>
  <c r="Z661" i="307"/>
  <c r="Z434" i="321" s="1"/>
  <c r="AA661" i="307"/>
  <c r="AA434" i="321" s="1"/>
  <c r="AB661" i="307"/>
  <c r="AB434" i="321" s="1"/>
  <c r="AC661" i="307"/>
  <c r="AC434" i="321" s="1"/>
  <c r="AD661" i="307"/>
  <c r="AD434" i="321" s="1"/>
  <c r="AE661" i="307"/>
  <c r="AE434" i="321" s="1"/>
  <c r="AF661" i="307"/>
  <c r="AF434" i="321" s="1"/>
  <c r="AG661" i="307"/>
  <c r="AG434" i="321" s="1"/>
  <c r="AH661" i="307"/>
  <c r="AH434" i="321" s="1"/>
  <c r="AI661" i="307"/>
  <c r="AI434" i="321" s="1"/>
  <c r="AJ661" i="307"/>
  <c r="AJ434" i="321" s="1"/>
  <c r="AK661" i="307"/>
  <c r="AK434" i="321" s="1"/>
  <c r="AL661" i="307"/>
  <c r="AL434" i="321" s="1"/>
  <c r="AM661" i="307"/>
  <c r="AM434" i="321" s="1"/>
  <c r="AN661" i="307"/>
  <c r="AN434" i="321" s="1"/>
  <c r="AO661" i="307"/>
  <c r="AO434" i="321" s="1"/>
  <c r="AP661" i="307"/>
  <c r="AP434" i="321" s="1"/>
  <c r="AQ661" i="307"/>
  <c r="AQ434" i="321" s="1"/>
  <c r="AR661" i="307"/>
  <c r="AR434" i="321" s="1"/>
  <c r="AS661" i="307"/>
  <c r="AS434" i="321" s="1"/>
  <c r="AT661" i="307"/>
  <c r="AT434" i="321" s="1"/>
  <c r="AU661" i="307"/>
  <c r="AU434" i="321" s="1"/>
  <c r="AV661" i="307"/>
  <c r="AV434" i="321" s="1"/>
  <c r="AW661" i="307"/>
  <c r="AW434" i="321" s="1"/>
  <c r="AX661" i="307"/>
  <c r="AX434" i="321" s="1"/>
  <c r="AY661" i="307"/>
  <c r="AY434" i="321" s="1"/>
  <c r="AZ661" i="307"/>
  <c r="AZ434" i="321" s="1"/>
  <c r="BA661" i="307"/>
  <c r="BA434" i="321" s="1"/>
  <c r="BB661" i="307"/>
  <c r="BB434" i="321" s="1"/>
  <c r="BC661" i="307"/>
  <c r="BC434" i="321" s="1"/>
  <c r="BD661" i="307"/>
  <c r="BD434" i="321" s="1"/>
  <c r="BE661" i="307"/>
  <c r="BE434" i="321" s="1"/>
  <c r="R656" i="307"/>
  <c r="R402" i="321" s="1"/>
  <c r="S656" i="307"/>
  <c r="S402" i="321" s="1"/>
  <c r="T656" i="307"/>
  <c r="T402" i="321" s="1"/>
  <c r="U656" i="307"/>
  <c r="U402" i="321" s="1"/>
  <c r="V656" i="307"/>
  <c r="V402" i="321" s="1"/>
  <c r="W656" i="307"/>
  <c r="W402" i="321" s="1"/>
  <c r="X656" i="307"/>
  <c r="X402" i="321" s="1"/>
  <c r="Y656" i="307"/>
  <c r="Y402" i="321" s="1"/>
  <c r="Z656" i="307"/>
  <c r="Z402" i="321" s="1"/>
  <c r="AA656" i="307"/>
  <c r="AA402" i="321" s="1"/>
  <c r="AB656" i="307"/>
  <c r="AB402" i="321" s="1"/>
  <c r="AC656" i="307"/>
  <c r="AC402" i="321" s="1"/>
  <c r="AD656" i="307"/>
  <c r="AD402" i="321" s="1"/>
  <c r="AE656" i="307"/>
  <c r="AE402" i="321" s="1"/>
  <c r="AF656" i="307"/>
  <c r="AF402" i="321" s="1"/>
  <c r="AG656" i="307"/>
  <c r="AG402" i="321" s="1"/>
  <c r="AH656" i="307"/>
  <c r="AH402" i="321" s="1"/>
  <c r="AI656" i="307"/>
  <c r="AI402" i="321" s="1"/>
  <c r="AJ656" i="307"/>
  <c r="AJ402" i="321" s="1"/>
  <c r="AK656" i="307"/>
  <c r="AK402" i="321" s="1"/>
  <c r="AL656" i="307"/>
  <c r="AL402" i="321" s="1"/>
  <c r="AM656" i="307"/>
  <c r="AM402" i="321" s="1"/>
  <c r="AN656" i="307"/>
  <c r="AN402" i="321" s="1"/>
  <c r="AO656" i="307"/>
  <c r="AO402" i="321" s="1"/>
  <c r="AP656" i="307"/>
  <c r="AP402" i="321" s="1"/>
  <c r="AQ656" i="307"/>
  <c r="AQ402" i="321" s="1"/>
  <c r="AR656" i="307"/>
  <c r="AR402" i="321" s="1"/>
  <c r="AS656" i="307"/>
  <c r="AS402" i="321" s="1"/>
  <c r="AT656" i="307"/>
  <c r="AT402" i="321" s="1"/>
  <c r="AU656" i="307"/>
  <c r="AU402" i="321" s="1"/>
  <c r="AV656" i="307"/>
  <c r="AV402" i="321" s="1"/>
  <c r="AW656" i="307"/>
  <c r="AW402" i="321" s="1"/>
  <c r="AX656" i="307"/>
  <c r="AX402" i="321" s="1"/>
  <c r="AY656" i="307"/>
  <c r="AY402" i="321" s="1"/>
  <c r="AZ656" i="307"/>
  <c r="AZ402" i="321" s="1"/>
  <c r="BA656" i="307"/>
  <c r="BA402" i="321" s="1"/>
  <c r="BB656" i="307"/>
  <c r="BB402" i="321" s="1"/>
  <c r="BC656" i="307"/>
  <c r="BC402" i="321" s="1"/>
  <c r="BD656" i="307"/>
  <c r="BD402" i="321" s="1"/>
  <c r="BE656" i="307"/>
  <c r="BE402" i="321" s="1"/>
  <c r="R641" i="307"/>
  <c r="R300" i="321" s="1"/>
  <c r="S641" i="307"/>
  <c r="S300" i="321" s="1"/>
  <c r="T641" i="307"/>
  <c r="T300" i="321" s="1"/>
  <c r="U641" i="307"/>
  <c r="U300" i="321" s="1"/>
  <c r="V641" i="307"/>
  <c r="V300" i="321" s="1"/>
  <c r="W641" i="307"/>
  <c r="W300" i="321" s="1"/>
  <c r="X641" i="307"/>
  <c r="X300" i="321" s="1"/>
  <c r="Y641" i="307"/>
  <c r="Y300" i="321" s="1"/>
  <c r="Z641" i="307"/>
  <c r="Z300" i="321" s="1"/>
  <c r="AA641" i="307"/>
  <c r="AA300" i="321" s="1"/>
  <c r="AB641" i="307"/>
  <c r="AB300" i="321" s="1"/>
  <c r="AC641" i="307"/>
  <c r="AC300" i="321" s="1"/>
  <c r="AD641" i="307"/>
  <c r="AD300" i="321" s="1"/>
  <c r="AE641" i="307"/>
  <c r="AE300" i="321" s="1"/>
  <c r="AF641" i="307"/>
  <c r="AF300" i="321" s="1"/>
  <c r="AG641" i="307"/>
  <c r="AG300" i="321" s="1"/>
  <c r="AH641" i="307"/>
  <c r="AH300" i="321" s="1"/>
  <c r="AI641" i="307"/>
  <c r="AI300" i="321" s="1"/>
  <c r="AJ641" i="307"/>
  <c r="AJ300" i="321" s="1"/>
  <c r="AK641" i="307"/>
  <c r="AK300" i="321" s="1"/>
  <c r="AL641" i="307"/>
  <c r="AL300" i="321" s="1"/>
  <c r="AM641" i="307"/>
  <c r="AM300" i="321" s="1"/>
  <c r="AN641" i="307"/>
  <c r="AN300" i="321" s="1"/>
  <c r="AO641" i="307"/>
  <c r="AO300" i="321" s="1"/>
  <c r="AP641" i="307"/>
  <c r="AP300" i="321" s="1"/>
  <c r="AQ641" i="307"/>
  <c r="AQ300" i="321" s="1"/>
  <c r="AR641" i="307"/>
  <c r="AR300" i="321" s="1"/>
  <c r="AS641" i="307"/>
  <c r="AS300" i="321" s="1"/>
  <c r="AT641" i="307"/>
  <c r="AT300" i="321" s="1"/>
  <c r="AU641" i="307"/>
  <c r="AU300" i="321" s="1"/>
  <c r="AV641" i="307"/>
  <c r="AV300" i="321" s="1"/>
  <c r="AW641" i="307"/>
  <c r="AW300" i="321" s="1"/>
  <c r="AX641" i="307"/>
  <c r="AX300" i="321" s="1"/>
  <c r="AY641" i="307"/>
  <c r="AY300" i="321" s="1"/>
  <c r="AZ641" i="307"/>
  <c r="AZ300" i="321" s="1"/>
  <c r="BA641" i="307"/>
  <c r="BA300" i="321" s="1"/>
  <c r="BB641" i="307"/>
  <c r="BB300" i="321" s="1"/>
  <c r="BC641" i="307"/>
  <c r="BC300" i="321" s="1"/>
  <c r="BD641" i="307"/>
  <c r="BD300" i="321" s="1"/>
  <c r="BE641" i="307"/>
  <c r="BE300" i="321" s="1"/>
  <c r="BE167" i="307"/>
  <c r="BE168" i="307" s="1"/>
  <c r="BE170" i="307"/>
  <c r="BE145" i="307"/>
  <c r="BE147" i="307" s="1"/>
  <c r="BE518" i="307"/>
  <c r="BE372" i="307"/>
  <c r="BD518" i="307"/>
  <c r="BD372" i="307"/>
  <c r="BC518" i="307"/>
  <c r="BC372" i="307"/>
  <c r="BB518" i="307"/>
  <c r="BB372" i="307"/>
  <c r="BA518" i="307"/>
  <c r="BA372" i="307"/>
  <c r="AZ518" i="307"/>
  <c r="AZ372" i="307"/>
  <c r="AY518" i="307"/>
  <c r="AY372" i="307"/>
  <c r="AX518" i="307"/>
  <c r="AX372" i="307"/>
  <c r="AW518" i="307"/>
  <c r="AW372" i="307"/>
  <c r="AV518" i="307"/>
  <c r="AV372" i="307"/>
  <c r="AU518" i="307"/>
  <c r="AU372" i="307"/>
  <c r="AT518" i="307"/>
  <c r="AT372" i="307"/>
  <c r="AS518" i="307"/>
  <c r="AS372" i="307"/>
  <c r="AR518" i="307"/>
  <c r="AR372" i="307"/>
  <c r="AQ518" i="307"/>
  <c r="AQ372" i="307"/>
  <c r="AP518" i="307"/>
  <c r="AP372" i="307"/>
  <c r="AO518" i="307"/>
  <c r="AO372" i="307"/>
  <c r="AN518" i="307"/>
  <c r="AN372" i="307"/>
  <c r="AM518" i="307"/>
  <c r="AM372" i="307"/>
  <c r="AL518" i="307"/>
  <c r="AL372" i="307"/>
  <c r="AK518" i="307"/>
  <c r="AK372" i="307"/>
  <c r="AJ518" i="307"/>
  <c r="AJ372" i="307"/>
  <c r="AI518" i="307"/>
  <c r="AI372" i="307"/>
  <c r="AH518" i="307"/>
  <c r="AH372" i="307"/>
  <c r="AG518" i="307"/>
  <c r="AG372" i="307"/>
  <c r="AF518" i="307"/>
  <c r="AF372" i="307"/>
  <c r="AE518" i="307"/>
  <c r="AE372" i="307"/>
  <c r="AD518" i="307"/>
  <c r="AD372" i="307"/>
  <c r="AC518" i="307"/>
  <c r="AC372" i="307"/>
  <c r="AB518" i="307"/>
  <c r="AB372" i="307"/>
  <c r="AA518" i="307"/>
  <c r="AA372" i="307"/>
  <c r="Z518" i="307"/>
  <c r="Z372" i="307"/>
  <c r="Y518" i="307"/>
  <c r="Y372" i="307"/>
  <c r="X518" i="307"/>
  <c r="X372" i="307"/>
  <c r="W518" i="307"/>
  <c r="W372" i="307"/>
  <c r="V518" i="307"/>
  <c r="V372" i="307"/>
  <c r="U518" i="307"/>
  <c r="U372" i="307"/>
  <c r="T518" i="307"/>
  <c r="T372" i="307"/>
  <c r="S518" i="307"/>
  <c r="S372" i="307"/>
  <c r="R518" i="307"/>
  <c r="R372" i="307"/>
  <c r="Q518" i="307"/>
  <c r="Q372" i="307"/>
  <c r="P518" i="307"/>
  <c r="P372" i="307"/>
  <c r="O518" i="307"/>
  <c r="O372" i="307"/>
  <c r="N518" i="307"/>
  <c r="N372" i="307"/>
  <c r="M518" i="307"/>
  <c r="M372" i="307"/>
  <c r="L518" i="307"/>
  <c r="L372" i="307"/>
  <c r="F447" i="307"/>
  <c r="F450" i="307" s="1"/>
  <c r="F238" i="307"/>
  <c r="F241" i="307" s="1"/>
  <c r="F243" i="307" s="1"/>
  <c r="K518" i="307"/>
  <c r="K372" i="307"/>
  <c r="J546" i="307"/>
  <c r="J518" i="307"/>
  <c r="J402" i="307"/>
  <c r="J372" i="307"/>
  <c r="J45" i="282"/>
  <c r="J85" i="282"/>
  <c r="J61" i="278"/>
  <c r="CV348" i="321"/>
  <c r="CV236" i="321"/>
  <c r="CV338" i="321"/>
  <c r="CV226" i="321"/>
  <c r="CV387" i="321"/>
  <c r="CV419" i="321"/>
  <c r="CU348" i="321"/>
  <c r="CU236" i="321"/>
  <c r="CU338" i="321"/>
  <c r="CU226" i="321"/>
  <c r="CU387" i="321"/>
  <c r="CU419" i="321"/>
  <c r="CT348" i="321"/>
  <c r="CT236" i="321"/>
  <c r="CT338" i="321"/>
  <c r="CT226" i="321"/>
  <c r="CT387" i="321"/>
  <c r="CT419" i="321"/>
  <c r="CS348" i="321"/>
  <c r="CS236" i="321"/>
  <c r="CS338" i="321"/>
  <c r="CS226" i="321"/>
  <c r="CS387" i="321"/>
  <c r="CS419" i="321"/>
  <c r="CR348" i="321"/>
  <c r="CR236" i="321"/>
  <c r="CR338" i="321"/>
  <c r="CR226" i="321"/>
  <c r="CR387" i="321"/>
  <c r="CR419" i="321"/>
  <c r="CQ348" i="321"/>
  <c r="CQ236" i="321"/>
  <c r="CQ338" i="321"/>
  <c r="CQ226" i="321"/>
  <c r="CQ387" i="321"/>
  <c r="CQ419" i="321"/>
  <c r="CP348" i="321"/>
  <c r="CP236" i="321"/>
  <c r="CP338" i="321"/>
  <c r="CP226" i="321"/>
  <c r="CP387" i="321"/>
  <c r="CP419" i="321"/>
  <c r="CO348" i="321"/>
  <c r="CO236" i="321"/>
  <c r="CO338" i="321"/>
  <c r="CO226" i="321"/>
  <c r="CO387" i="321"/>
  <c r="CO419" i="321"/>
  <c r="CN348" i="321"/>
  <c r="CN236" i="321"/>
  <c r="CN338" i="321"/>
  <c r="CN226" i="321"/>
  <c r="CN387" i="321"/>
  <c r="CN419" i="321"/>
  <c r="CM348" i="321"/>
  <c r="CM236" i="321"/>
  <c r="CM338" i="321"/>
  <c r="CM226" i="321"/>
  <c r="CM387" i="321"/>
  <c r="CM419" i="321"/>
  <c r="CL348" i="321"/>
  <c r="CL236" i="321"/>
  <c r="CL338" i="321"/>
  <c r="CL226" i="321"/>
  <c r="CL387" i="321"/>
  <c r="CL419" i="321"/>
  <c r="CK348" i="321"/>
  <c r="CK236" i="321"/>
  <c r="CK338" i="321"/>
  <c r="CK226" i="321"/>
  <c r="CK387" i="321"/>
  <c r="CK419" i="321"/>
  <c r="CJ348" i="321"/>
  <c r="CJ236" i="321"/>
  <c r="CJ338" i="321"/>
  <c r="CJ226" i="321"/>
  <c r="CJ387" i="321"/>
  <c r="CJ419" i="321"/>
  <c r="CI348" i="321"/>
  <c r="CI236" i="321"/>
  <c r="CI338" i="321"/>
  <c r="CI226" i="321"/>
  <c r="CI387" i="321"/>
  <c r="CI419" i="321"/>
  <c r="CH348" i="321"/>
  <c r="CH236" i="321"/>
  <c r="CH338" i="321"/>
  <c r="CH226" i="321"/>
  <c r="CH387" i="321"/>
  <c r="CH419" i="321"/>
  <c r="CG348" i="321"/>
  <c r="CG236" i="321"/>
  <c r="CG338" i="321"/>
  <c r="CG226" i="321"/>
  <c r="CG387" i="321"/>
  <c r="CG419" i="321"/>
  <c r="CF348" i="321"/>
  <c r="CF236" i="321"/>
  <c r="CF338" i="321"/>
  <c r="CF226" i="321"/>
  <c r="CF387" i="321"/>
  <c r="CF419" i="321"/>
  <c r="CE348" i="321"/>
  <c r="CE236" i="321"/>
  <c r="CE338" i="321"/>
  <c r="CE226" i="321"/>
  <c r="CE387" i="321"/>
  <c r="CE419" i="321"/>
  <c r="CD348" i="321"/>
  <c r="CD236" i="321"/>
  <c r="CD338" i="321"/>
  <c r="CD226" i="321"/>
  <c r="CD387" i="321"/>
  <c r="CD419" i="321"/>
  <c r="CC348" i="321"/>
  <c r="CC236" i="321"/>
  <c r="CC338" i="321"/>
  <c r="CC226" i="321"/>
  <c r="CC387" i="321"/>
  <c r="CC419" i="321"/>
  <c r="CB348" i="321"/>
  <c r="CB236" i="321"/>
  <c r="CB338" i="321"/>
  <c r="CB226" i="321"/>
  <c r="CB387" i="321"/>
  <c r="CB419" i="321"/>
  <c r="CA348" i="321"/>
  <c r="CA236" i="321"/>
  <c r="CA338" i="321"/>
  <c r="CA226" i="321"/>
  <c r="CA387" i="321"/>
  <c r="CA419" i="321"/>
  <c r="BZ348" i="321"/>
  <c r="BZ236" i="321"/>
  <c r="BZ338" i="321"/>
  <c r="BZ226" i="321"/>
  <c r="BZ387" i="321"/>
  <c r="BZ419" i="321"/>
  <c r="BY348" i="321"/>
  <c r="BY236" i="321"/>
  <c r="BY338" i="321"/>
  <c r="BY226" i="321"/>
  <c r="BY387" i="321"/>
  <c r="BY419" i="321"/>
  <c r="BX348" i="321"/>
  <c r="BX236" i="321"/>
  <c r="BX338" i="321"/>
  <c r="BX226" i="321"/>
  <c r="BX387" i="321"/>
  <c r="BX419" i="321"/>
  <c r="BW348" i="321"/>
  <c r="BW236" i="321"/>
  <c r="BW338" i="321"/>
  <c r="BW226" i="321"/>
  <c r="BW387" i="321"/>
  <c r="BW419" i="321"/>
  <c r="BV348" i="321"/>
  <c r="BV236" i="321"/>
  <c r="BV338" i="321"/>
  <c r="BV226" i="321"/>
  <c r="BV387" i="321"/>
  <c r="BV419" i="321"/>
  <c r="BU348" i="321"/>
  <c r="BU236" i="321"/>
  <c r="BU338" i="321"/>
  <c r="BU226" i="321"/>
  <c r="BU387" i="321"/>
  <c r="BU419" i="321"/>
  <c r="BT348" i="321"/>
  <c r="BT236" i="321"/>
  <c r="BT338" i="321"/>
  <c r="BT226" i="321"/>
  <c r="BT387" i="321"/>
  <c r="BT419" i="321"/>
  <c r="BS348" i="321"/>
  <c r="BS236" i="321"/>
  <c r="BS338" i="321"/>
  <c r="BS226" i="321"/>
  <c r="BS387" i="321"/>
  <c r="BS419" i="321"/>
  <c r="BR348" i="321"/>
  <c r="BR236" i="321"/>
  <c r="BR338" i="321"/>
  <c r="BR226" i="321"/>
  <c r="BR387" i="321"/>
  <c r="BR419" i="321"/>
  <c r="BQ348" i="321"/>
  <c r="BQ236" i="321"/>
  <c r="BQ338" i="321"/>
  <c r="BQ226" i="321"/>
  <c r="BQ387" i="321"/>
  <c r="BQ419" i="321"/>
  <c r="BP348" i="321"/>
  <c r="BP236" i="321"/>
  <c r="BP338" i="321"/>
  <c r="BP226" i="321"/>
  <c r="BP387" i="321"/>
  <c r="BP419" i="321"/>
  <c r="BO348" i="321"/>
  <c r="BO236" i="321"/>
  <c r="BO338" i="321"/>
  <c r="BO226" i="321"/>
  <c r="BO387" i="321"/>
  <c r="BO419" i="321"/>
  <c r="BN348" i="321"/>
  <c r="BN236" i="321"/>
  <c r="BN338" i="321"/>
  <c r="BN226" i="321"/>
  <c r="BN387" i="321"/>
  <c r="BN419" i="321"/>
  <c r="BM348" i="321"/>
  <c r="BM236" i="321"/>
  <c r="BM338" i="321"/>
  <c r="BM226" i="321"/>
  <c r="BM387" i="321"/>
  <c r="BM419" i="321"/>
  <c r="BL348" i="321"/>
  <c r="BL236" i="321"/>
  <c r="BL338" i="321"/>
  <c r="BL226" i="321"/>
  <c r="BL387" i="321"/>
  <c r="BL419" i="321"/>
  <c r="BK348" i="321"/>
  <c r="BK236" i="321"/>
  <c r="BK338" i="321"/>
  <c r="BK226" i="321"/>
  <c r="BK387" i="321"/>
  <c r="BK419" i="321"/>
  <c r="BJ348" i="321"/>
  <c r="BJ236" i="321"/>
  <c r="BJ338" i="321"/>
  <c r="BJ226" i="321"/>
  <c r="BJ387" i="321"/>
  <c r="BJ419" i="321"/>
  <c r="BI348" i="321"/>
  <c r="BI236" i="321"/>
  <c r="BI338" i="321"/>
  <c r="BI226" i="321"/>
  <c r="BI387" i="321"/>
  <c r="BI419" i="321"/>
  <c r="BH348" i="321"/>
  <c r="BH236" i="321"/>
  <c r="BH338" i="321"/>
  <c r="BH226" i="321"/>
  <c r="BH387" i="321"/>
  <c r="BH419" i="321"/>
  <c r="BG348" i="321"/>
  <c r="BG236" i="321"/>
  <c r="BG338" i="321"/>
  <c r="BG226" i="321"/>
  <c r="BG387" i="321"/>
  <c r="BG419" i="321"/>
  <c r="BF348" i="321"/>
  <c r="BF236" i="321"/>
  <c r="BF338" i="321"/>
  <c r="BF226" i="321"/>
  <c r="BF387" i="321"/>
  <c r="BF419" i="321"/>
  <c r="BE348" i="321"/>
  <c r="BE236" i="321"/>
  <c r="BE338" i="321"/>
  <c r="BE226" i="321"/>
  <c r="BE387" i="321"/>
  <c r="BE419" i="321"/>
  <c r="BD348" i="321"/>
  <c r="BD236" i="321"/>
  <c r="BD338" i="321"/>
  <c r="BD226" i="321"/>
  <c r="BD387" i="321"/>
  <c r="BD419" i="321"/>
  <c r="BC348" i="321"/>
  <c r="BC236" i="321"/>
  <c r="BC338" i="321"/>
  <c r="BC226" i="321"/>
  <c r="BC387" i="321"/>
  <c r="BC419" i="321"/>
  <c r="BB348" i="321"/>
  <c r="BB236" i="321"/>
  <c r="BB338" i="321"/>
  <c r="BB226" i="321"/>
  <c r="BB387" i="321"/>
  <c r="BB419" i="321"/>
  <c r="BA348" i="321"/>
  <c r="BA236" i="321"/>
  <c r="BA338" i="321"/>
  <c r="BA226" i="321"/>
  <c r="BA387" i="321"/>
  <c r="BA419" i="321"/>
  <c r="AZ348" i="321"/>
  <c r="AZ236" i="321"/>
  <c r="AZ338" i="321"/>
  <c r="AZ226" i="321"/>
  <c r="AZ387" i="321"/>
  <c r="AZ419" i="321"/>
  <c r="AY348" i="321"/>
  <c r="AY236" i="321"/>
  <c r="AY338" i="321"/>
  <c r="AY226" i="321"/>
  <c r="AY387" i="321"/>
  <c r="AY419" i="321"/>
  <c r="AX348" i="321"/>
  <c r="AX236" i="321"/>
  <c r="AX338" i="321"/>
  <c r="AX226" i="321"/>
  <c r="AX387" i="321"/>
  <c r="AX419" i="321"/>
  <c r="AW348" i="321"/>
  <c r="AW236" i="321"/>
  <c r="AW338" i="321"/>
  <c r="AW226" i="321"/>
  <c r="AW387" i="321"/>
  <c r="AW419" i="321"/>
  <c r="AV330" i="321"/>
  <c r="AV218" i="321"/>
  <c r="AV348" i="321"/>
  <c r="AV236" i="321"/>
  <c r="AV338" i="321"/>
  <c r="AV226" i="321"/>
  <c r="AV387" i="321"/>
  <c r="AV419" i="321"/>
  <c r="AU330" i="321"/>
  <c r="AU218" i="321"/>
  <c r="AU348" i="321"/>
  <c r="AU236" i="321"/>
  <c r="AU338" i="321"/>
  <c r="AU226" i="321"/>
  <c r="AU387" i="321"/>
  <c r="AU419" i="321"/>
  <c r="AT330" i="321"/>
  <c r="AT218" i="321"/>
  <c r="AT348" i="321"/>
  <c r="AT236" i="321"/>
  <c r="AT338" i="321"/>
  <c r="AT226" i="321"/>
  <c r="AT387" i="321"/>
  <c r="AT419" i="321"/>
  <c r="AS330" i="321"/>
  <c r="AS218" i="321"/>
  <c r="AS348" i="321"/>
  <c r="AS236" i="321"/>
  <c r="AS338" i="321"/>
  <c r="AS226" i="321"/>
  <c r="AS387" i="321"/>
  <c r="AS419" i="321"/>
  <c r="AR330" i="321"/>
  <c r="AR218" i="321"/>
  <c r="AR348" i="321"/>
  <c r="AR236" i="321"/>
  <c r="AR338" i="321"/>
  <c r="AR226" i="321"/>
  <c r="AR387" i="321"/>
  <c r="AR419" i="321"/>
  <c r="AQ330" i="321"/>
  <c r="AQ218" i="321"/>
  <c r="AQ348" i="321"/>
  <c r="AQ236" i="321"/>
  <c r="AQ338" i="321"/>
  <c r="AQ226" i="321"/>
  <c r="AQ387" i="321"/>
  <c r="AQ419" i="321"/>
  <c r="AP330" i="321"/>
  <c r="AP218" i="321"/>
  <c r="AP348" i="321"/>
  <c r="AP236" i="321"/>
  <c r="AP338" i="321"/>
  <c r="AP226" i="321"/>
  <c r="AP387" i="321"/>
  <c r="AP419" i="321"/>
  <c r="AO330" i="321"/>
  <c r="AO218" i="321"/>
  <c r="AO348" i="321"/>
  <c r="AO236" i="321"/>
  <c r="AO338" i="321"/>
  <c r="AO226" i="321"/>
  <c r="AO387" i="321"/>
  <c r="AO419" i="321"/>
  <c r="AN330" i="321"/>
  <c r="AN218" i="321"/>
  <c r="AN348" i="321"/>
  <c r="AN236" i="321"/>
  <c r="AN338" i="321"/>
  <c r="AN226" i="321"/>
  <c r="AN387" i="321"/>
  <c r="AN419" i="321"/>
  <c r="AM330" i="321"/>
  <c r="AM218" i="321"/>
  <c r="AM348" i="321"/>
  <c r="AM236" i="321"/>
  <c r="AM338" i="321"/>
  <c r="AM226" i="321"/>
  <c r="AM387" i="321"/>
  <c r="AM419" i="321"/>
  <c r="AL330" i="321"/>
  <c r="AL218" i="321"/>
  <c r="AL348" i="321"/>
  <c r="AL236" i="321"/>
  <c r="AL338" i="321"/>
  <c r="AL226" i="321"/>
  <c r="AL387" i="321"/>
  <c r="AL419" i="321"/>
  <c r="AK330" i="321"/>
  <c r="AK218" i="321"/>
  <c r="AK348" i="321"/>
  <c r="AK236" i="321"/>
  <c r="AK338" i="321"/>
  <c r="AK226" i="321"/>
  <c r="AK387" i="321"/>
  <c r="AK419" i="321"/>
  <c r="AJ330" i="321"/>
  <c r="AJ218" i="321"/>
  <c r="AJ348" i="321"/>
  <c r="AJ236" i="321"/>
  <c r="AJ338" i="321"/>
  <c r="AJ226" i="321"/>
  <c r="AJ387" i="321"/>
  <c r="AJ419" i="321"/>
  <c r="AI330" i="321"/>
  <c r="AI218" i="321"/>
  <c r="AI348" i="321"/>
  <c r="AI236" i="321"/>
  <c r="AI338" i="321"/>
  <c r="AI226" i="321"/>
  <c r="AI387" i="321"/>
  <c r="AI419" i="321"/>
  <c r="AH330" i="321"/>
  <c r="AH218" i="321"/>
  <c r="AH348" i="321"/>
  <c r="AH236" i="321"/>
  <c r="AH338" i="321"/>
  <c r="AH226" i="321"/>
  <c r="AH387" i="321"/>
  <c r="AH419" i="321"/>
  <c r="AG330" i="321"/>
  <c r="AG218" i="321"/>
  <c r="AG348" i="321"/>
  <c r="AG236" i="321"/>
  <c r="AG338" i="321"/>
  <c r="AG226" i="321"/>
  <c r="AG387" i="321"/>
  <c r="AG419" i="321"/>
  <c r="AF330" i="321"/>
  <c r="AF218" i="321"/>
  <c r="AF348" i="321"/>
  <c r="AF236" i="321"/>
  <c r="AF338" i="321"/>
  <c r="AF226" i="321"/>
  <c r="AF387" i="321"/>
  <c r="AF419" i="321"/>
  <c r="AE330" i="321"/>
  <c r="AE218" i="321"/>
  <c r="AE348" i="321"/>
  <c r="AE236" i="321"/>
  <c r="AE338" i="321"/>
  <c r="AE226" i="321"/>
  <c r="AE387" i="321"/>
  <c r="AE419" i="321"/>
  <c r="AD330" i="321"/>
  <c r="AD218" i="321"/>
  <c r="AD348" i="321"/>
  <c r="AD236" i="321"/>
  <c r="AD338" i="321"/>
  <c r="AD226" i="321"/>
  <c r="AD387" i="321"/>
  <c r="AD419" i="321"/>
  <c r="AC330" i="321"/>
  <c r="AC218" i="321"/>
  <c r="AC348" i="321"/>
  <c r="AC236" i="321"/>
  <c r="AC338" i="321"/>
  <c r="AC226" i="321"/>
  <c r="AC387" i="321"/>
  <c r="AC419" i="321"/>
  <c r="AB330" i="321"/>
  <c r="AB218" i="321"/>
  <c r="AB348" i="321"/>
  <c r="AB236" i="321"/>
  <c r="AB338" i="321"/>
  <c r="AB226" i="321"/>
  <c r="AB387" i="321"/>
  <c r="AB419" i="321"/>
  <c r="AA330" i="321"/>
  <c r="AA218" i="321"/>
  <c r="AA348" i="321"/>
  <c r="AA236" i="321"/>
  <c r="AA338" i="321"/>
  <c r="AA226" i="321"/>
  <c r="AA387" i="321"/>
  <c r="AA419" i="321"/>
  <c r="Z330" i="321"/>
  <c r="Z218" i="321"/>
  <c r="Z348" i="321"/>
  <c r="Z236" i="321"/>
  <c r="Z338" i="321"/>
  <c r="Z226" i="321"/>
  <c r="Z387" i="321"/>
  <c r="Z419" i="321"/>
  <c r="Y330" i="321"/>
  <c r="Y218" i="321"/>
  <c r="Y348" i="321"/>
  <c r="Y236" i="321"/>
  <c r="Y338" i="321"/>
  <c r="Y226" i="321"/>
  <c r="Y387" i="321"/>
  <c r="Y419" i="321"/>
  <c r="X330" i="321"/>
  <c r="X218" i="321"/>
  <c r="X348" i="321"/>
  <c r="X236" i="321"/>
  <c r="X338" i="321"/>
  <c r="X226" i="321"/>
  <c r="X387" i="321"/>
  <c r="X419" i="321"/>
  <c r="W330" i="321"/>
  <c r="W218" i="321"/>
  <c r="W348" i="321"/>
  <c r="W236" i="321"/>
  <c r="W338" i="321"/>
  <c r="W226" i="321"/>
  <c r="W387" i="321"/>
  <c r="W419" i="321"/>
  <c r="V330" i="321"/>
  <c r="V218" i="321"/>
  <c r="V348" i="321"/>
  <c r="V236" i="321"/>
  <c r="V338" i="321"/>
  <c r="V226" i="321"/>
  <c r="V387" i="321"/>
  <c r="V419" i="321"/>
  <c r="U330" i="321"/>
  <c r="U218" i="321"/>
  <c r="U348" i="321"/>
  <c r="U236" i="321"/>
  <c r="U338" i="321"/>
  <c r="U226" i="321"/>
  <c r="U387" i="321"/>
  <c r="U419" i="321"/>
  <c r="T330" i="321"/>
  <c r="T218" i="321"/>
  <c r="T348" i="321"/>
  <c r="T236" i="321"/>
  <c r="T338" i="321"/>
  <c r="T226" i="321"/>
  <c r="T387" i="321"/>
  <c r="T419" i="321"/>
  <c r="S330" i="321"/>
  <c r="S218" i="321"/>
  <c r="S348" i="321"/>
  <c r="S236" i="321"/>
  <c r="S338" i="321"/>
  <c r="S226" i="321"/>
  <c r="S387" i="321"/>
  <c r="S419" i="321"/>
  <c r="R330" i="321"/>
  <c r="R218" i="321"/>
  <c r="R348" i="321"/>
  <c r="R236" i="321"/>
  <c r="R338" i="321"/>
  <c r="R226" i="321"/>
  <c r="R387" i="321"/>
  <c r="R419" i="321"/>
  <c r="Q330" i="321"/>
  <c r="Q218" i="321"/>
  <c r="Q348" i="321"/>
  <c r="Q236" i="321"/>
  <c r="P11" i="282"/>
  <c r="P552" i="321"/>
  <c r="P566" i="321"/>
  <c r="Q338" i="321"/>
  <c r="Q226" i="321"/>
  <c r="Q387" i="321"/>
  <c r="Q419" i="321"/>
  <c r="P330" i="321"/>
  <c r="P218" i="321"/>
  <c r="P348" i="321"/>
  <c r="P236" i="321"/>
  <c r="P573" i="321"/>
  <c r="P581" i="321"/>
  <c r="P603" i="321"/>
  <c r="P701" i="321"/>
  <c r="P694" i="321"/>
  <c r="P708" i="321"/>
  <c r="P713" i="321"/>
  <c r="P453" i="321"/>
  <c r="P675" i="321"/>
  <c r="P540" i="321"/>
  <c r="P551" i="321"/>
  <c r="P565" i="321"/>
  <c r="O11" i="282"/>
  <c r="O552" i="321"/>
  <c r="O566" i="321"/>
  <c r="P591" i="321"/>
  <c r="P37" i="282"/>
  <c r="P338" i="321"/>
  <c r="P226" i="321"/>
  <c r="P387" i="321"/>
  <c r="P419" i="321"/>
  <c r="P597" i="321"/>
  <c r="P599" i="321" s="1"/>
  <c r="P700" i="321"/>
  <c r="O330" i="321"/>
  <c r="O218" i="321"/>
  <c r="O348" i="321"/>
  <c r="O236" i="321"/>
  <c r="O573" i="321"/>
  <c r="O581" i="321"/>
  <c r="O603" i="321"/>
  <c r="O701" i="321"/>
  <c r="O694" i="321"/>
  <c r="O708" i="321"/>
  <c r="O713" i="321"/>
  <c r="O453" i="321"/>
  <c r="O540" i="321"/>
  <c r="O551" i="321"/>
  <c r="O565" i="321"/>
  <c r="O675" i="321"/>
  <c r="N552" i="321"/>
  <c r="N566" i="321"/>
  <c r="N11" i="282"/>
  <c r="O591" i="321"/>
  <c r="O37" i="282"/>
  <c r="O338" i="321"/>
  <c r="O226" i="321"/>
  <c r="O387" i="321"/>
  <c r="O419" i="321"/>
  <c r="O597" i="321"/>
  <c r="O599" i="321" s="1"/>
  <c r="O700" i="321"/>
  <c r="N348" i="321"/>
  <c r="N236" i="321"/>
  <c r="N540" i="321"/>
  <c r="N551" i="321"/>
  <c r="N565" i="321"/>
  <c r="N675" i="321"/>
  <c r="N453" i="321"/>
  <c r="N573" i="321"/>
  <c r="N581" i="321"/>
  <c r="N603" i="321"/>
  <c r="N701" i="321"/>
  <c r="N702" i="321" s="1"/>
  <c r="N706" i="321" s="1"/>
  <c r="N708" i="321"/>
  <c r="N713" i="321"/>
  <c r="M552" i="321"/>
  <c r="M566" i="321"/>
  <c r="M11" i="282"/>
  <c r="N591" i="321"/>
  <c r="N37" i="282"/>
  <c r="N338" i="321"/>
  <c r="N226" i="321"/>
  <c r="N387" i="321"/>
  <c r="N419" i="321"/>
  <c r="N597" i="321"/>
  <c r="N599" i="321" s="1"/>
  <c r="M348" i="321"/>
  <c r="M236" i="321"/>
  <c r="M540" i="321"/>
  <c r="M551" i="321"/>
  <c r="M565" i="321"/>
  <c r="M675" i="321"/>
  <c r="M453" i="321"/>
  <c r="M573" i="321"/>
  <c r="M581" i="321"/>
  <c r="M603" i="321"/>
  <c r="M701" i="321"/>
  <c r="M702" i="321" s="1"/>
  <c r="M706" i="321" s="1"/>
  <c r="M708" i="321"/>
  <c r="M713" i="321"/>
  <c r="L552" i="321"/>
  <c r="L566" i="321"/>
  <c r="L11" i="282"/>
  <c r="M591" i="321"/>
  <c r="M37" i="282"/>
  <c r="M338" i="321"/>
  <c r="M226" i="321"/>
  <c r="M387" i="321"/>
  <c r="M419" i="321"/>
  <c r="M597" i="321"/>
  <c r="M599" i="321" s="1"/>
  <c r="L348" i="321"/>
  <c r="L236" i="321"/>
  <c r="L540" i="321"/>
  <c r="L551" i="321"/>
  <c r="L565" i="321"/>
  <c r="L675" i="321"/>
  <c r="L453" i="321"/>
  <c r="L573" i="321"/>
  <c r="L581" i="321"/>
  <c r="L603" i="321"/>
  <c r="L701" i="321"/>
  <c r="L702" i="321" s="1"/>
  <c r="L706" i="321" s="1"/>
  <c r="L708" i="321"/>
  <c r="L713" i="321"/>
  <c r="K552" i="321"/>
  <c r="K566" i="321"/>
  <c r="K11" i="282"/>
  <c r="L591" i="321"/>
  <c r="L37" i="282"/>
  <c r="L338" i="321"/>
  <c r="L226" i="321"/>
  <c r="L387" i="321"/>
  <c r="L419" i="321"/>
  <c r="L597" i="321"/>
  <c r="L599" i="321" s="1"/>
  <c r="K348" i="321"/>
  <c r="K236" i="321"/>
  <c r="K540" i="321"/>
  <c r="K551" i="321"/>
  <c r="K565" i="321"/>
  <c r="K675" i="321"/>
  <c r="K453" i="321"/>
  <c r="K573" i="321"/>
  <c r="K581" i="321"/>
  <c r="K603" i="321"/>
  <c r="K701" i="321"/>
  <c r="K702" i="321" s="1"/>
  <c r="K706" i="321" s="1"/>
  <c r="K708" i="321"/>
  <c r="K713" i="321"/>
  <c r="J11" i="282"/>
  <c r="J12" i="282" s="1"/>
  <c r="J552" i="321"/>
  <c r="J566" i="321"/>
  <c r="K591" i="321"/>
  <c r="K37" i="282"/>
  <c r="K338" i="321"/>
  <c r="K226" i="321"/>
  <c r="K387" i="321"/>
  <c r="K419" i="321"/>
  <c r="K597" i="321"/>
  <c r="K599" i="321" s="1"/>
  <c r="BD170" i="307"/>
  <c r="BD167" i="307"/>
  <c r="BD168" i="307" s="1"/>
  <c r="BD145" i="307"/>
  <c r="BD147" i="307" s="1"/>
  <c r="BE293" i="307"/>
  <c r="BE77" i="307"/>
  <c r="BE452" i="307"/>
  <c r="BE247" i="307"/>
  <c r="BC170" i="307"/>
  <c r="BC167" i="307"/>
  <c r="BC168" i="307" s="1"/>
  <c r="BC145" i="307"/>
  <c r="BC147" i="307" s="1"/>
  <c r="BD293" i="307"/>
  <c r="BD77" i="307"/>
  <c r="BD452" i="307"/>
  <c r="BD247" i="307"/>
  <c r="BB170" i="307"/>
  <c r="BB167" i="307"/>
  <c r="BB168" i="307" s="1"/>
  <c r="BB145" i="307"/>
  <c r="BB147" i="307" s="1"/>
  <c r="BC293" i="307"/>
  <c r="BC77" i="307"/>
  <c r="BC452" i="307"/>
  <c r="BC247" i="307"/>
  <c r="BA170" i="307"/>
  <c r="BA167" i="307"/>
  <c r="BA168" i="307" s="1"/>
  <c r="BA145" i="307"/>
  <c r="BA147" i="307" s="1"/>
  <c r="BB293" i="307"/>
  <c r="BB77" i="307"/>
  <c r="BB452" i="307"/>
  <c r="BB247" i="307"/>
  <c r="AZ170" i="307"/>
  <c r="AZ167" i="307"/>
  <c r="AZ168" i="307" s="1"/>
  <c r="AZ145" i="307"/>
  <c r="AZ147" i="307" s="1"/>
  <c r="BA293" i="307"/>
  <c r="BA77" i="307"/>
  <c r="BA452" i="307"/>
  <c r="BA247" i="307"/>
  <c r="AY170" i="307"/>
  <c r="AY167" i="307"/>
  <c r="AY168" i="307" s="1"/>
  <c r="AY145" i="307"/>
  <c r="AY147" i="307" s="1"/>
  <c r="AZ293" i="307"/>
  <c r="AZ77" i="307"/>
  <c r="AZ452" i="307"/>
  <c r="AZ247" i="307"/>
  <c r="AX170" i="307"/>
  <c r="AX167" i="307"/>
  <c r="AX168" i="307" s="1"/>
  <c r="AX145" i="307"/>
  <c r="AX147" i="307" s="1"/>
  <c r="AY293" i="307"/>
  <c r="AY77" i="307"/>
  <c r="AY452" i="307"/>
  <c r="AY247" i="307"/>
  <c r="AW170" i="307"/>
  <c r="AW167" i="307"/>
  <c r="AW168" i="307" s="1"/>
  <c r="AW145" i="307"/>
  <c r="AW147" i="307" s="1"/>
  <c r="AX293" i="307"/>
  <c r="AX77" i="307"/>
  <c r="AX452" i="307"/>
  <c r="AX247" i="307"/>
  <c r="AV170" i="307"/>
  <c r="AV167" i="307"/>
  <c r="AV168" i="307" s="1"/>
  <c r="AV145" i="307"/>
  <c r="AV147" i="307" s="1"/>
  <c r="AW293" i="307"/>
  <c r="AW77" i="307"/>
  <c r="AW452" i="307"/>
  <c r="AW247" i="307"/>
  <c r="AU170" i="307"/>
  <c r="AU167" i="307"/>
  <c r="AU168" i="307" s="1"/>
  <c r="AU145" i="307"/>
  <c r="AU147" i="307" s="1"/>
  <c r="AV293" i="307"/>
  <c r="AV77" i="307"/>
  <c r="AV452" i="307"/>
  <c r="AV247" i="307"/>
  <c r="AT170" i="307"/>
  <c r="AT167" i="307"/>
  <c r="AT168" i="307" s="1"/>
  <c r="AT145" i="307"/>
  <c r="AT147" i="307" s="1"/>
  <c r="AU293" i="307"/>
  <c r="AU77" i="307"/>
  <c r="AU452" i="307"/>
  <c r="AU247" i="307"/>
  <c r="AS170" i="307"/>
  <c r="AS167" i="307"/>
  <c r="AS168" i="307" s="1"/>
  <c r="AS145" i="307"/>
  <c r="AS147" i="307" s="1"/>
  <c r="AT293" i="307"/>
  <c r="AT77" i="307"/>
  <c r="AT452" i="307"/>
  <c r="AT247" i="307"/>
  <c r="AR170" i="307"/>
  <c r="AR167" i="307"/>
  <c r="AR168" i="307" s="1"/>
  <c r="AR145" i="307"/>
  <c r="AR147" i="307" s="1"/>
  <c r="AS293" i="307"/>
  <c r="AS77" i="307"/>
  <c r="AS452" i="307"/>
  <c r="AS247" i="307"/>
  <c r="AQ170" i="307"/>
  <c r="AQ167" i="307"/>
  <c r="AQ168" i="307" s="1"/>
  <c r="AQ145" i="307"/>
  <c r="AQ147" i="307" s="1"/>
  <c r="AR293" i="307"/>
  <c r="AR77" i="307"/>
  <c r="AR452" i="307"/>
  <c r="AR247" i="307"/>
  <c r="AP170" i="307"/>
  <c r="AP167" i="307"/>
  <c r="AP168" i="307" s="1"/>
  <c r="AP145" i="307"/>
  <c r="AP147" i="307" s="1"/>
  <c r="AQ293" i="307"/>
  <c r="AQ77" i="307"/>
  <c r="AQ452" i="307"/>
  <c r="AQ247" i="307"/>
  <c r="AO170" i="307"/>
  <c r="AO167" i="307"/>
  <c r="AO168" i="307" s="1"/>
  <c r="AO145" i="307"/>
  <c r="AO147" i="307" s="1"/>
  <c r="AP293" i="307"/>
  <c r="AP77" i="307"/>
  <c r="AP452" i="307"/>
  <c r="AP247" i="307"/>
  <c r="AN170" i="307"/>
  <c r="AN167" i="307"/>
  <c r="AN168" i="307" s="1"/>
  <c r="AN145" i="307"/>
  <c r="AN147" i="307" s="1"/>
  <c r="AO293" i="307"/>
  <c r="AO77" i="307"/>
  <c r="AO452" i="307"/>
  <c r="AO247" i="307"/>
  <c r="AM170" i="307"/>
  <c r="AM167" i="307"/>
  <c r="AM168" i="307" s="1"/>
  <c r="AN293" i="307"/>
  <c r="AN77" i="307"/>
  <c r="AN452" i="307"/>
  <c r="AN247" i="307"/>
  <c r="AL170" i="307"/>
  <c r="AL167" i="307"/>
  <c r="AL168" i="307" s="1"/>
  <c r="AM293" i="307"/>
  <c r="AM77" i="307"/>
  <c r="AM452" i="307"/>
  <c r="AM247" i="307"/>
  <c r="AK170" i="307"/>
  <c r="AK167" i="307"/>
  <c r="AK168" i="307" s="1"/>
  <c r="AL293" i="307"/>
  <c r="AL77" i="307"/>
  <c r="AL452" i="307"/>
  <c r="AL247" i="307"/>
  <c r="AJ170" i="307"/>
  <c r="AJ167" i="307"/>
  <c r="AJ168" i="307" s="1"/>
  <c r="AK293" i="307"/>
  <c r="AK77" i="307"/>
  <c r="AK452" i="307"/>
  <c r="AK247" i="307"/>
  <c r="AI170" i="307"/>
  <c r="AI167" i="307"/>
  <c r="AI168" i="307" s="1"/>
  <c r="AJ293" i="307"/>
  <c r="AJ77" i="307"/>
  <c r="AJ452" i="307"/>
  <c r="AJ247" i="307"/>
  <c r="AH170" i="307"/>
  <c r="AH167" i="307"/>
  <c r="AH168" i="307" s="1"/>
  <c r="AI293" i="307"/>
  <c r="AI77" i="307"/>
  <c r="AI452" i="307"/>
  <c r="AI247" i="307"/>
  <c r="AG170" i="307"/>
  <c r="AG167" i="307"/>
  <c r="AG168" i="307" s="1"/>
  <c r="AH293" i="307"/>
  <c r="AH77" i="307"/>
  <c r="AH452" i="307"/>
  <c r="AH247" i="307"/>
  <c r="AF170" i="307"/>
  <c r="AF167" i="307"/>
  <c r="AF168" i="307" s="1"/>
  <c r="AG293" i="307"/>
  <c r="AG77" i="307"/>
  <c r="AG452" i="307"/>
  <c r="AG247" i="307"/>
  <c r="AE170" i="307"/>
  <c r="AE167" i="307"/>
  <c r="AE168" i="307" s="1"/>
  <c r="AF293" i="307"/>
  <c r="AF77" i="307"/>
  <c r="AF452" i="307"/>
  <c r="AF247" i="307"/>
  <c r="AD170" i="307"/>
  <c r="AD167" i="307"/>
  <c r="AD168" i="307" s="1"/>
  <c r="AE293" i="307"/>
  <c r="AE77" i="307"/>
  <c r="AE452" i="307"/>
  <c r="AE247" i="307"/>
  <c r="AC170" i="307"/>
  <c r="AC167" i="307"/>
  <c r="AC168" i="307" s="1"/>
  <c r="AD293" i="307"/>
  <c r="AD77" i="307"/>
  <c r="AD452" i="307"/>
  <c r="AD247" i="307"/>
  <c r="AB170" i="307"/>
  <c r="AB167" i="307"/>
  <c r="AB168" i="307" s="1"/>
  <c r="AC293" i="307"/>
  <c r="AC77" i="307"/>
  <c r="AC452" i="307"/>
  <c r="AC247" i="307"/>
  <c r="AA170" i="307"/>
  <c r="AA167" i="307"/>
  <c r="AA168" i="307" s="1"/>
  <c r="AB293" i="307"/>
  <c r="AB77" i="307"/>
  <c r="AB452" i="307"/>
  <c r="AB247" i="307"/>
  <c r="Z170" i="307"/>
  <c r="Z167" i="307"/>
  <c r="Z168" i="307" s="1"/>
  <c r="AA293" i="307"/>
  <c r="AA77" i="307"/>
  <c r="AA452" i="307"/>
  <c r="AA247" i="307"/>
  <c r="Y170" i="307"/>
  <c r="Y167" i="307"/>
  <c r="Y168" i="307" s="1"/>
  <c r="Z293" i="307"/>
  <c r="Z77" i="307"/>
  <c r="Z452" i="307"/>
  <c r="Z247" i="307"/>
  <c r="X170" i="307"/>
  <c r="X167" i="307"/>
  <c r="X168" i="307" s="1"/>
  <c r="Y293" i="307"/>
  <c r="Y77" i="307"/>
  <c r="Y452" i="307"/>
  <c r="Y247" i="307"/>
  <c r="W170" i="307"/>
  <c r="W167" i="307"/>
  <c r="W168" i="307" s="1"/>
  <c r="X293" i="307"/>
  <c r="X77" i="307"/>
  <c r="X452" i="307"/>
  <c r="X247" i="307"/>
  <c r="V170" i="307"/>
  <c r="V167" i="307"/>
  <c r="V168" i="307" s="1"/>
  <c r="W293" i="307"/>
  <c r="W77" i="307"/>
  <c r="W452" i="307"/>
  <c r="W247" i="307"/>
  <c r="U170" i="307"/>
  <c r="U167" i="307"/>
  <c r="U168" i="307" s="1"/>
  <c r="V293" i="307"/>
  <c r="V77" i="307"/>
  <c r="V452" i="307"/>
  <c r="V247" i="307"/>
  <c r="T170" i="307"/>
  <c r="T167" i="307"/>
  <c r="T168" i="307" s="1"/>
  <c r="U293" i="307"/>
  <c r="U77" i="307"/>
  <c r="U452" i="307"/>
  <c r="U247" i="307"/>
  <c r="S170" i="307"/>
  <c r="S167" i="307"/>
  <c r="S168" i="307" s="1"/>
  <c r="T293" i="307"/>
  <c r="T77" i="307"/>
  <c r="T452" i="307"/>
  <c r="T247" i="307"/>
  <c r="R170" i="307"/>
  <c r="R167" i="307"/>
  <c r="R168" i="307" s="1"/>
  <c r="S293" i="307"/>
  <c r="S77" i="307"/>
  <c r="S452" i="307"/>
  <c r="S247" i="307"/>
  <c r="Q170" i="307"/>
  <c r="Q167" i="307"/>
  <c r="Q168" i="307" s="1"/>
  <c r="R293" i="307"/>
  <c r="R77" i="307"/>
  <c r="R452" i="307"/>
  <c r="R247" i="307"/>
  <c r="P170" i="307"/>
  <c r="P167" i="307"/>
  <c r="P168" i="307" s="1"/>
  <c r="Q293" i="307"/>
  <c r="Q77" i="307"/>
  <c r="Q452" i="307"/>
  <c r="Q247" i="307"/>
  <c r="O170" i="307"/>
  <c r="O167" i="307"/>
  <c r="O168" i="307" s="1"/>
  <c r="P293" i="307"/>
  <c r="P77" i="307"/>
  <c r="P452" i="307"/>
  <c r="P247" i="307"/>
  <c r="N170" i="307"/>
  <c r="N167" i="307"/>
  <c r="N168" i="307" s="1"/>
  <c r="O293" i="307"/>
  <c r="O77" i="307"/>
  <c r="O452" i="307"/>
  <c r="O247" i="307"/>
  <c r="M170" i="307"/>
  <c r="M167" i="307"/>
  <c r="M168" i="307" s="1"/>
  <c r="M145" i="307"/>
  <c r="M147" i="307" s="1"/>
  <c r="N293" i="307"/>
  <c r="N77" i="307"/>
  <c r="N452" i="307"/>
  <c r="N247" i="307"/>
  <c r="L170" i="307"/>
  <c r="L167" i="307"/>
  <c r="L168" i="307" s="1"/>
  <c r="L145" i="307"/>
  <c r="L147" i="307" s="1"/>
  <c r="M293" i="307"/>
  <c r="M77" i="307"/>
  <c r="M452" i="307"/>
  <c r="M247" i="307"/>
  <c r="K170" i="307"/>
  <c r="K167" i="307"/>
  <c r="K168" i="307" s="1"/>
  <c r="K145" i="307"/>
  <c r="K147" i="307" s="1"/>
  <c r="L293" i="307"/>
  <c r="L77" i="307"/>
  <c r="L452" i="307"/>
  <c r="L247" i="307"/>
  <c r="J187" i="307"/>
  <c r="J170" i="307"/>
  <c r="J167" i="307"/>
  <c r="J168" i="307" s="1"/>
  <c r="K293" i="307"/>
  <c r="K77" i="307"/>
  <c r="K452" i="307"/>
  <c r="K247" i="307"/>
  <c r="J295" i="307"/>
  <c r="J214" i="307"/>
  <c r="J111" i="307"/>
  <c r="J120" i="307"/>
  <c r="J665" i="307"/>
  <c r="J223" i="307"/>
  <c r="J75" i="307"/>
  <c r="J78" i="307" s="1"/>
  <c r="J293" i="307"/>
  <c r="J77" i="307"/>
  <c r="J79" i="307" s="1"/>
  <c r="J452" i="307"/>
  <c r="J247" i="307"/>
  <c r="R636" i="307"/>
  <c r="R188" i="321" s="1"/>
  <c r="S636" i="307"/>
  <c r="S188" i="321" s="1"/>
  <c r="T636" i="307"/>
  <c r="T188" i="321" s="1"/>
  <c r="U636" i="307"/>
  <c r="U188" i="321" s="1"/>
  <c r="V636" i="307"/>
  <c r="V188" i="321" s="1"/>
  <c r="W636" i="307"/>
  <c r="W188" i="321" s="1"/>
  <c r="X636" i="307"/>
  <c r="X188" i="321" s="1"/>
  <c r="Y636" i="307"/>
  <c r="Y188" i="321" s="1"/>
  <c r="Z636" i="307"/>
  <c r="Z188" i="321" s="1"/>
  <c r="AA636" i="307"/>
  <c r="AA188" i="321" s="1"/>
  <c r="AB636" i="307"/>
  <c r="AB188" i="321" s="1"/>
  <c r="AC636" i="307"/>
  <c r="AC188" i="321" s="1"/>
  <c r="AD636" i="307"/>
  <c r="AD188" i="321" s="1"/>
  <c r="AE636" i="307"/>
  <c r="AE188" i="321" s="1"/>
  <c r="AF636" i="307"/>
  <c r="AF188" i="321" s="1"/>
  <c r="AG636" i="307"/>
  <c r="AG188" i="321" s="1"/>
  <c r="AH636" i="307"/>
  <c r="AH188" i="321" s="1"/>
  <c r="AI636" i="307"/>
  <c r="AI188" i="321" s="1"/>
  <c r="AJ636" i="307"/>
  <c r="AJ188" i="321" s="1"/>
  <c r="AK636" i="307"/>
  <c r="AK188" i="321" s="1"/>
  <c r="AL636" i="307"/>
  <c r="AL188" i="321" s="1"/>
  <c r="AM636" i="307"/>
  <c r="AM188" i="321" s="1"/>
  <c r="AN636" i="307"/>
  <c r="AN188" i="321" s="1"/>
  <c r="AO636" i="307"/>
  <c r="AO188" i="321" s="1"/>
  <c r="AP636" i="307"/>
  <c r="AP188" i="321" s="1"/>
  <c r="AQ636" i="307"/>
  <c r="AQ188" i="321" s="1"/>
  <c r="AR636" i="307"/>
  <c r="AR188" i="321" s="1"/>
  <c r="AS636" i="307"/>
  <c r="AS188" i="321" s="1"/>
  <c r="AT636" i="307"/>
  <c r="AT188" i="321" s="1"/>
  <c r="AU636" i="307"/>
  <c r="AU188" i="321" s="1"/>
  <c r="AV636" i="307"/>
  <c r="AV188" i="321" s="1"/>
  <c r="AW636" i="307"/>
  <c r="AW188" i="321" s="1"/>
  <c r="AX636" i="307"/>
  <c r="AX188" i="321" s="1"/>
  <c r="AY636" i="307"/>
  <c r="AY188" i="321" s="1"/>
  <c r="AZ636" i="307"/>
  <c r="AZ188" i="321" s="1"/>
  <c r="BA636" i="307"/>
  <c r="BA188" i="321" s="1"/>
  <c r="BB636" i="307"/>
  <c r="BB188" i="321" s="1"/>
  <c r="BC636" i="307"/>
  <c r="BC188" i="321" s="1"/>
  <c r="BD636" i="307"/>
  <c r="BD188" i="321" s="1"/>
  <c r="BE636" i="307"/>
  <c r="BE188" i="321" s="1"/>
  <c r="J331" i="321"/>
  <c r="J332" i="321" s="1"/>
  <c r="J219" i="321"/>
  <c r="J220" i="321" s="1"/>
  <c r="J338" i="321"/>
  <c r="J226" i="321"/>
  <c r="J387" i="321"/>
  <c r="J419" i="321"/>
  <c r="J597" i="321"/>
  <c r="J599" i="321" s="1"/>
  <c r="CV331" i="321"/>
  <c r="CV332" i="321" s="1"/>
  <c r="CV219" i="321"/>
  <c r="CV220" i="321" s="1"/>
  <c r="CU331" i="321"/>
  <c r="CU332" i="321" s="1"/>
  <c r="CU219" i="321"/>
  <c r="CU220" i="321" s="1"/>
  <c r="CT331" i="321"/>
  <c r="CT332" i="321" s="1"/>
  <c r="CT219" i="321"/>
  <c r="CT220" i="321" s="1"/>
  <c r="CS331" i="321"/>
  <c r="CS332" i="321" s="1"/>
  <c r="CS219" i="321"/>
  <c r="CS220" i="321" s="1"/>
  <c r="CR331" i="321"/>
  <c r="CR332" i="321" s="1"/>
  <c r="CR219" i="321"/>
  <c r="CR220" i="321" s="1"/>
  <c r="CQ331" i="321"/>
  <c r="CQ332" i="321" s="1"/>
  <c r="CQ219" i="321"/>
  <c r="CQ220" i="321" s="1"/>
  <c r="CP331" i="321"/>
  <c r="CP332" i="321" s="1"/>
  <c r="CP219" i="321"/>
  <c r="CP220" i="321" s="1"/>
  <c r="CO331" i="321"/>
  <c r="CO332" i="321" s="1"/>
  <c r="CO219" i="321"/>
  <c r="CO220" i="321" s="1"/>
  <c r="CN331" i="321"/>
  <c r="CN332" i="321" s="1"/>
  <c r="CN219" i="321"/>
  <c r="CN220" i="321" s="1"/>
  <c r="CM331" i="321"/>
  <c r="CM332" i="321" s="1"/>
  <c r="CM219" i="321"/>
  <c r="CM220" i="321" s="1"/>
  <c r="CL331" i="321"/>
  <c r="CL332" i="321" s="1"/>
  <c r="CL219" i="321"/>
  <c r="CL220" i="321" s="1"/>
  <c r="CK331" i="321"/>
  <c r="CK332" i="321" s="1"/>
  <c r="CK219" i="321"/>
  <c r="CK220" i="321" s="1"/>
  <c r="CJ331" i="321"/>
  <c r="CJ332" i="321" s="1"/>
  <c r="CJ219" i="321"/>
  <c r="CJ220" i="321" s="1"/>
  <c r="CI331" i="321"/>
  <c r="CI332" i="321" s="1"/>
  <c r="CI219" i="321"/>
  <c r="CI220" i="321" s="1"/>
  <c r="CH331" i="321"/>
  <c r="CH332" i="321" s="1"/>
  <c r="CH219" i="321"/>
  <c r="CH220" i="321" s="1"/>
  <c r="CG331" i="321"/>
  <c r="CG332" i="321" s="1"/>
  <c r="CG219" i="321"/>
  <c r="CG220" i="321" s="1"/>
  <c r="CF331" i="321"/>
  <c r="CF332" i="321" s="1"/>
  <c r="CF219" i="321"/>
  <c r="CF220" i="321" s="1"/>
  <c r="CE331" i="321"/>
  <c r="CE332" i="321" s="1"/>
  <c r="CE219" i="321"/>
  <c r="CE220" i="321" s="1"/>
  <c r="CD331" i="321"/>
  <c r="CD332" i="321" s="1"/>
  <c r="CD219" i="321"/>
  <c r="CD220" i="321" s="1"/>
  <c r="CC331" i="321"/>
  <c r="CC332" i="321" s="1"/>
  <c r="CC219" i="321"/>
  <c r="CC220" i="321" s="1"/>
  <c r="CB331" i="321"/>
  <c r="CB332" i="321" s="1"/>
  <c r="CB219" i="321"/>
  <c r="CB220" i="321" s="1"/>
  <c r="CA331" i="321"/>
  <c r="CA332" i="321" s="1"/>
  <c r="CA219" i="321"/>
  <c r="CA220" i="321" s="1"/>
  <c r="BZ331" i="321"/>
  <c r="BZ332" i="321" s="1"/>
  <c r="BZ219" i="321"/>
  <c r="BZ220" i="321" s="1"/>
  <c r="BY331" i="321"/>
  <c r="BY332" i="321" s="1"/>
  <c r="BY219" i="321"/>
  <c r="BY220" i="321" s="1"/>
  <c r="BX331" i="321"/>
  <c r="BX332" i="321" s="1"/>
  <c r="BX219" i="321"/>
  <c r="BX220" i="321" s="1"/>
  <c r="BW331" i="321"/>
  <c r="BW332" i="321" s="1"/>
  <c r="BW219" i="321"/>
  <c r="BW220" i="321" s="1"/>
  <c r="BV331" i="321"/>
  <c r="BV332" i="321" s="1"/>
  <c r="BV219" i="321"/>
  <c r="BV220" i="321" s="1"/>
  <c r="BU331" i="321"/>
  <c r="BU332" i="321" s="1"/>
  <c r="BU219" i="321"/>
  <c r="BU220" i="321" s="1"/>
  <c r="BT331" i="321"/>
  <c r="BT332" i="321" s="1"/>
  <c r="BT219" i="321"/>
  <c r="BT220" i="321" s="1"/>
  <c r="BS331" i="321"/>
  <c r="BS332" i="321" s="1"/>
  <c r="BS219" i="321"/>
  <c r="BS220" i="321" s="1"/>
  <c r="BR331" i="321"/>
  <c r="BR332" i="321" s="1"/>
  <c r="BR219" i="321"/>
  <c r="BR220" i="321" s="1"/>
  <c r="BQ331" i="321"/>
  <c r="BQ332" i="321" s="1"/>
  <c r="BQ219" i="321"/>
  <c r="BQ220" i="321" s="1"/>
  <c r="BP331" i="321"/>
  <c r="BP332" i="321" s="1"/>
  <c r="BP219" i="321"/>
  <c r="BP220" i="321" s="1"/>
  <c r="BO331" i="321"/>
  <c r="BO332" i="321" s="1"/>
  <c r="BO219" i="321"/>
  <c r="BO220" i="321" s="1"/>
  <c r="BN331" i="321"/>
  <c r="BN332" i="321" s="1"/>
  <c r="BN219" i="321"/>
  <c r="BN220" i="321" s="1"/>
  <c r="BM331" i="321"/>
  <c r="BM332" i="321" s="1"/>
  <c r="BM219" i="321"/>
  <c r="BM220" i="321" s="1"/>
  <c r="BL331" i="321"/>
  <c r="BL332" i="321" s="1"/>
  <c r="BL219" i="321"/>
  <c r="BL220" i="321" s="1"/>
  <c r="BK331" i="321"/>
  <c r="BK332" i="321" s="1"/>
  <c r="BK219" i="321"/>
  <c r="BK220" i="321" s="1"/>
  <c r="BJ331" i="321"/>
  <c r="BJ332" i="321" s="1"/>
  <c r="BJ219" i="321"/>
  <c r="BJ220" i="321" s="1"/>
  <c r="BI331" i="321"/>
  <c r="BI332" i="321" s="1"/>
  <c r="BI219" i="321"/>
  <c r="BI220" i="321" s="1"/>
  <c r="BH331" i="321"/>
  <c r="BH332" i="321" s="1"/>
  <c r="BH219" i="321"/>
  <c r="BH220" i="321" s="1"/>
  <c r="BG331" i="321"/>
  <c r="BG332" i="321" s="1"/>
  <c r="BG219" i="321"/>
  <c r="BG220" i="321" s="1"/>
  <c r="BF331" i="321"/>
  <c r="BF332" i="321" s="1"/>
  <c r="BF219" i="321"/>
  <c r="BF220" i="321" s="1"/>
  <c r="BE331" i="321"/>
  <c r="BE332" i="321" s="1"/>
  <c r="BE219" i="321"/>
  <c r="BE220" i="321" s="1"/>
  <c r="BD331" i="321"/>
  <c r="BD332" i="321" s="1"/>
  <c r="BD219" i="321"/>
  <c r="BD220" i="321" s="1"/>
  <c r="BC331" i="321"/>
  <c r="BC332" i="321" s="1"/>
  <c r="BC219" i="321"/>
  <c r="BC220" i="321" s="1"/>
  <c r="BB331" i="321"/>
  <c r="BB332" i="321" s="1"/>
  <c r="BB219" i="321"/>
  <c r="BB220" i="321" s="1"/>
  <c r="BA331" i="321"/>
  <c r="BA332" i="321" s="1"/>
  <c r="BA219" i="321"/>
  <c r="BA220" i="321" s="1"/>
  <c r="AZ331" i="321"/>
  <c r="AZ332" i="321" s="1"/>
  <c r="AZ219" i="321"/>
  <c r="AZ220" i="321" s="1"/>
  <c r="AY331" i="321"/>
  <c r="AY332" i="321" s="1"/>
  <c r="AY219" i="321"/>
  <c r="AY220" i="321" s="1"/>
  <c r="AX331" i="321"/>
  <c r="AX332" i="321" s="1"/>
  <c r="AX219" i="321"/>
  <c r="AX220" i="321" s="1"/>
  <c r="AW331" i="321"/>
  <c r="AW332" i="321" s="1"/>
  <c r="AW219" i="321"/>
  <c r="AW220" i="321" s="1"/>
  <c r="AV331" i="321"/>
  <c r="AV332" i="321" s="1"/>
  <c r="AV219" i="321"/>
  <c r="AV220" i="321" s="1"/>
  <c r="AU331" i="321"/>
  <c r="AU332" i="321" s="1"/>
  <c r="AU219" i="321"/>
  <c r="AU220" i="321" s="1"/>
  <c r="AT331" i="321"/>
  <c r="AT332" i="321" s="1"/>
  <c r="AT219" i="321"/>
  <c r="AT220" i="321" s="1"/>
  <c r="AS331" i="321"/>
  <c r="AS332" i="321" s="1"/>
  <c r="AS219" i="321"/>
  <c r="AS220" i="321" s="1"/>
  <c r="AR331" i="321"/>
  <c r="AR332" i="321" s="1"/>
  <c r="AR219" i="321"/>
  <c r="AR220" i="321" s="1"/>
  <c r="AQ331" i="321"/>
  <c r="AQ332" i="321" s="1"/>
  <c r="AQ219" i="321"/>
  <c r="AQ220" i="321" s="1"/>
  <c r="AP331" i="321"/>
  <c r="AP332" i="321" s="1"/>
  <c r="AP219" i="321"/>
  <c r="AP220" i="321" s="1"/>
  <c r="AO331" i="321"/>
  <c r="AO332" i="321" s="1"/>
  <c r="AO219" i="321"/>
  <c r="AO220" i="321" s="1"/>
  <c r="AN331" i="321"/>
  <c r="AN332" i="321" s="1"/>
  <c r="AN219" i="321"/>
  <c r="AN220" i="321" s="1"/>
  <c r="AM331" i="321"/>
  <c r="AM332" i="321" s="1"/>
  <c r="AM219" i="321"/>
  <c r="AM220" i="321" s="1"/>
  <c r="AL331" i="321"/>
  <c r="AL332" i="321" s="1"/>
  <c r="AL219" i="321"/>
  <c r="AL220" i="321" s="1"/>
  <c r="AK331" i="321"/>
  <c r="AK332" i="321" s="1"/>
  <c r="AK219" i="321"/>
  <c r="AK220" i="321" s="1"/>
  <c r="AJ331" i="321"/>
  <c r="AJ332" i="321" s="1"/>
  <c r="AJ219" i="321"/>
  <c r="AJ220" i="321" s="1"/>
  <c r="AI331" i="321"/>
  <c r="AI332" i="321" s="1"/>
  <c r="AI219" i="321"/>
  <c r="AI220" i="321" s="1"/>
  <c r="AH331" i="321"/>
  <c r="AH332" i="321" s="1"/>
  <c r="AH219" i="321"/>
  <c r="AH220" i="321" s="1"/>
  <c r="AG331" i="321"/>
  <c r="AG332" i="321" s="1"/>
  <c r="AG219" i="321"/>
  <c r="AG220" i="321" s="1"/>
  <c r="AF331" i="321"/>
  <c r="AF332" i="321" s="1"/>
  <c r="AF219" i="321"/>
  <c r="AF220" i="321" s="1"/>
  <c r="AE331" i="321"/>
  <c r="AE332" i="321" s="1"/>
  <c r="AE219" i="321"/>
  <c r="AE220" i="321" s="1"/>
  <c r="AD331" i="321"/>
  <c r="AD332" i="321" s="1"/>
  <c r="AD219" i="321"/>
  <c r="AD220" i="321" s="1"/>
  <c r="AC331" i="321"/>
  <c r="AC332" i="321" s="1"/>
  <c r="AC219" i="321"/>
  <c r="AC220" i="321" s="1"/>
  <c r="AB331" i="321"/>
  <c r="AB332" i="321" s="1"/>
  <c r="AB219" i="321"/>
  <c r="AB220" i="321" s="1"/>
  <c r="AA331" i="321"/>
  <c r="AA332" i="321" s="1"/>
  <c r="AA219" i="321"/>
  <c r="AA220" i="321" s="1"/>
  <c r="Z331" i="321"/>
  <c r="Z332" i="321" s="1"/>
  <c r="Z219" i="321"/>
  <c r="Z220" i="321" s="1"/>
  <c r="Y331" i="321"/>
  <c r="Y332" i="321" s="1"/>
  <c r="Y219" i="321"/>
  <c r="Y220" i="321" s="1"/>
  <c r="X331" i="321"/>
  <c r="X332" i="321" s="1"/>
  <c r="X219" i="321"/>
  <c r="X220" i="321" s="1"/>
  <c r="W331" i="321"/>
  <c r="W332" i="321" s="1"/>
  <c r="W219" i="321"/>
  <c r="W220" i="321" s="1"/>
  <c r="V331" i="321"/>
  <c r="V332" i="321" s="1"/>
  <c r="V219" i="321"/>
  <c r="V220" i="321" s="1"/>
  <c r="U331" i="321"/>
  <c r="U332" i="321" s="1"/>
  <c r="U219" i="321"/>
  <c r="U220" i="321" s="1"/>
  <c r="T331" i="321"/>
  <c r="T332" i="321" s="1"/>
  <c r="T219" i="321"/>
  <c r="T220" i="321" s="1"/>
  <c r="S331" i="321"/>
  <c r="S332" i="321" s="1"/>
  <c r="S219" i="321"/>
  <c r="S220" i="321" s="1"/>
  <c r="R331" i="321"/>
  <c r="R332" i="321" s="1"/>
  <c r="R219" i="321"/>
  <c r="R220" i="321" s="1"/>
  <c r="Q331" i="321"/>
  <c r="Q332" i="321" s="1"/>
  <c r="Q219" i="321"/>
  <c r="Q220" i="321" s="1"/>
  <c r="P331" i="321"/>
  <c r="P332" i="321" s="1"/>
  <c r="P219" i="321"/>
  <c r="P220" i="321" s="1"/>
  <c r="O331" i="321"/>
  <c r="O332" i="321" s="1"/>
  <c r="O219" i="321"/>
  <c r="O220" i="321" s="1"/>
  <c r="N331" i="321"/>
  <c r="N332" i="321" s="1"/>
  <c r="N219" i="321"/>
  <c r="N220" i="321" s="1"/>
  <c r="M331" i="321"/>
  <c r="M332" i="321" s="1"/>
  <c r="M219" i="321"/>
  <c r="M220" i="321" s="1"/>
  <c r="L331" i="321"/>
  <c r="L332" i="321" s="1"/>
  <c r="L219" i="321"/>
  <c r="L220" i="321" s="1"/>
  <c r="K331" i="321"/>
  <c r="K332" i="321" s="1"/>
  <c r="K219" i="321"/>
  <c r="K220" i="321" s="1"/>
  <c r="J602" i="321" l="1"/>
  <c r="J604" i="321" s="1"/>
  <c r="J658" i="321"/>
  <c r="J660" i="321" s="1"/>
  <c r="J225" i="321"/>
  <c r="J227" i="321" s="1"/>
  <c r="J231" i="321" s="1"/>
  <c r="J232" i="321" s="1"/>
  <c r="J386" i="321"/>
  <c r="J388" i="321" s="1"/>
  <c r="J392" i="321" s="1"/>
  <c r="J393" i="321" s="1"/>
  <c r="J396" i="321" s="1"/>
  <c r="J397" i="321" s="1"/>
  <c r="J337" i="321"/>
  <c r="J339" i="321" s="1"/>
  <c r="J343" i="321" s="1"/>
  <c r="J344" i="321" s="1"/>
  <c r="J418" i="321"/>
  <c r="J420" i="321" s="1"/>
  <c r="J424" i="321" s="1"/>
  <c r="J425" i="321" s="1"/>
  <c r="J428" i="321" s="1"/>
  <c r="J429" i="321" s="1"/>
  <c r="J294" i="307"/>
  <c r="J85" i="307"/>
  <c r="J453" i="307"/>
  <c r="J248" i="307"/>
  <c r="J296" i="307"/>
  <c r="K112" i="307"/>
  <c r="K115" i="307" s="1"/>
  <c r="K116" i="307" s="1"/>
  <c r="J171" i="307"/>
  <c r="J592" i="307"/>
  <c r="J31" i="310"/>
  <c r="J19" i="307"/>
  <c r="J199" i="307"/>
  <c r="H168" i="307"/>
  <c r="J172" i="307"/>
  <c r="J193" i="307"/>
  <c r="J190" i="307"/>
  <c r="J191" i="307" s="1"/>
  <c r="K171" i="307"/>
  <c r="K592" i="307"/>
  <c r="K31" i="310"/>
  <c r="K19" i="307"/>
  <c r="K199" i="307"/>
  <c r="K172" i="307"/>
  <c r="L171" i="307"/>
  <c r="L592" i="307"/>
  <c r="L19" i="307"/>
  <c r="L199" i="307"/>
  <c r="L31" i="310"/>
  <c r="L172" i="307"/>
  <c r="M171" i="307"/>
  <c r="M592" i="307"/>
  <c r="M31" i="310"/>
  <c r="M19" i="307"/>
  <c r="M199" i="307"/>
  <c r="M172" i="307"/>
  <c r="N171" i="307"/>
  <c r="N592" i="307"/>
  <c r="N199" i="307"/>
  <c r="N31" i="310"/>
  <c r="N19" i="307"/>
  <c r="N172" i="307"/>
  <c r="O171" i="307"/>
  <c r="O592" i="307"/>
  <c r="O19" i="307"/>
  <c r="O199" i="307"/>
  <c r="O31" i="310"/>
  <c r="O172" i="307"/>
  <c r="P171" i="307"/>
  <c r="P592" i="307"/>
  <c r="P199" i="307"/>
  <c r="P31" i="310"/>
  <c r="P19" i="307"/>
  <c r="P172" i="307"/>
  <c r="Q171" i="307"/>
  <c r="Q592" i="307"/>
  <c r="Q31" i="310"/>
  <c r="Q19" i="307"/>
  <c r="Q199" i="307"/>
  <c r="Q172" i="307"/>
  <c r="R171" i="307"/>
  <c r="R592" i="307"/>
  <c r="R19" i="307"/>
  <c r="R31" i="310"/>
  <c r="R199" i="307"/>
  <c r="R172" i="307"/>
  <c r="S171" i="307"/>
  <c r="S592" i="307"/>
  <c r="S19" i="307"/>
  <c r="S199" i="307"/>
  <c r="S31" i="310"/>
  <c r="S172" i="307"/>
  <c r="T171" i="307"/>
  <c r="T592" i="307"/>
  <c r="T31" i="310"/>
  <c r="T19" i="307"/>
  <c r="T199" i="307"/>
  <c r="T172" i="307"/>
  <c r="U171" i="307"/>
  <c r="U592" i="307"/>
  <c r="U19" i="307"/>
  <c r="U31" i="310"/>
  <c r="U199" i="307"/>
  <c r="U172" i="307"/>
  <c r="V171" i="307"/>
  <c r="V592" i="307"/>
  <c r="V31" i="310"/>
  <c r="V199" i="307"/>
  <c r="V19" i="307"/>
  <c r="V172" i="307"/>
  <c r="W171" i="307"/>
  <c r="W592" i="307"/>
  <c r="W199" i="307"/>
  <c r="W31" i="310"/>
  <c r="W19" i="307"/>
  <c r="W172" i="307"/>
  <c r="X171" i="307"/>
  <c r="X592" i="307"/>
  <c r="X31" i="310"/>
  <c r="X19" i="307"/>
  <c r="X199" i="307"/>
  <c r="X172" i="307"/>
  <c r="Y171" i="307"/>
  <c r="Y592" i="307"/>
  <c r="Y199" i="307"/>
  <c r="Y31" i="310"/>
  <c r="Y19" i="307"/>
  <c r="Y172" i="307"/>
  <c r="Z171" i="307"/>
  <c r="Z592" i="307"/>
  <c r="Z19" i="307"/>
  <c r="Z199" i="307"/>
  <c r="Z31" i="310"/>
  <c r="Z172" i="307"/>
  <c r="AA171" i="307"/>
  <c r="AA592" i="307"/>
  <c r="AA31" i="310"/>
  <c r="AA19" i="307"/>
  <c r="AA199" i="307"/>
  <c r="AA172" i="307"/>
  <c r="AB171" i="307"/>
  <c r="AB592" i="307"/>
  <c r="AB199" i="307"/>
  <c r="AB31" i="310"/>
  <c r="AB19" i="307"/>
  <c r="AB172" i="307"/>
  <c r="AC171" i="307"/>
  <c r="AC592" i="307"/>
  <c r="AC199" i="307"/>
  <c r="AC19" i="307"/>
  <c r="AC31" i="310"/>
  <c r="AC172" i="307"/>
  <c r="AD171" i="307"/>
  <c r="AD592" i="307"/>
  <c r="AD199" i="307"/>
  <c r="AD31" i="310"/>
  <c r="AD19" i="307"/>
  <c r="AD172" i="307"/>
  <c r="AE171" i="307"/>
  <c r="AE592" i="307"/>
  <c r="AE199" i="307"/>
  <c r="AE31" i="310"/>
  <c r="AE19" i="307"/>
  <c r="AE172" i="307"/>
  <c r="AF171" i="307"/>
  <c r="AF592" i="307"/>
  <c r="AF31" i="310"/>
  <c r="AF19" i="307"/>
  <c r="AF199" i="307"/>
  <c r="AF172" i="307"/>
  <c r="AG171" i="307"/>
  <c r="AG592" i="307"/>
  <c r="AG31" i="310"/>
  <c r="AG19" i="307"/>
  <c r="AG199" i="307"/>
  <c r="AG172" i="307"/>
  <c r="AH171" i="307"/>
  <c r="AH592" i="307"/>
  <c r="AH31" i="310"/>
  <c r="AH19" i="307"/>
  <c r="AH199" i="307"/>
  <c r="AH172" i="307"/>
  <c r="AI171" i="307"/>
  <c r="AI592" i="307"/>
  <c r="AI31" i="310"/>
  <c r="AI19" i="307"/>
  <c r="AI199" i="307"/>
  <c r="AI172" i="307"/>
  <c r="AJ171" i="307"/>
  <c r="AJ592" i="307"/>
  <c r="AJ199" i="307"/>
  <c r="AJ31" i="310"/>
  <c r="AJ19" i="307"/>
  <c r="AJ172" i="307"/>
  <c r="AK171" i="307"/>
  <c r="AK592" i="307"/>
  <c r="AK19" i="307"/>
  <c r="AK31" i="310"/>
  <c r="AK199" i="307"/>
  <c r="AK172" i="307"/>
  <c r="AL171" i="307"/>
  <c r="AL592" i="307"/>
  <c r="AL31" i="310"/>
  <c r="AL19" i="307"/>
  <c r="AL199" i="307"/>
  <c r="AL172" i="307"/>
  <c r="AM171" i="307"/>
  <c r="AM592" i="307"/>
  <c r="AM19" i="307"/>
  <c r="AM31" i="310"/>
  <c r="AM199" i="307"/>
  <c r="AM172" i="307"/>
  <c r="AN171" i="307"/>
  <c r="AN592" i="307"/>
  <c r="AN199" i="307"/>
  <c r="AN31" i="310"/>
  <c r="AN19" i="307"/>
  <c r="AN172" i="307"/>
  <c r="AO171" i="307"/>
  <c r="AO592" i="307"/>
  <c r="AO31" i="310"/>
  <c r="AO19" i="307"/>
  <c r="AO199" i="307"/>
  <c r="AO172" i="307"/>
  <c r="AP171" i="307"/>
  <c r="AP592" i="307"/>
  <c r="AP199" i="307"/>
  <c r="AP31" i="310"/>
  <c r="AP19" i="307"/>
  <c r="AP172" i="307"/>
  <c r="AQ171" i="307"/>
  <c r="AQ592" i="307"/>
  <c r="AQ31" i="310"/>
  <c r="AQ19" i="307"/>
  <c r="AQ199" i="307"/>
  <c r="AQ172" i="307"/>
  <c r="AR171" i="307"/>
  <c r="AR592" i="307"/>
  <c r="AR31" i="310"/>
  <c r="AR19" i="307"/>
  <c r="AR199" i="307"/>
  <c r="AR172" i="307"/>
  <c r="AS171" i="307"/>
  <c r="AS592" i="307"/>
  <c r="AS19" i="307"/>
  <c r="AS199" i="307"/>
  <c r="AS31" i="310"/>
  <c r="AS172" i="307"/>
  <c r="AT171" i="307"/>
  <c r="AT592" i="307"/>
  <c r="AT31" i="310"/>
  <c r="AT19" i="307"/>
  <c r="AT199" i="307"/>
  <c r="AT172" i="307"/>
  <c r="AU171" i="307"/>
  <c r="AU592" i="307"/>
  <c r="AU199" i="307"/>
  <c r="AU31" i="310"/>
  <c r="AU19" i="307"/>
  <c r="AU172" i="307"/>
  <c r="AV171" i="307"/>
  <c r="AV592" i="307"/>
  <c r="AV19" i="307"/>
  <c r="AV199" i="307"/>
  <c r="AV31" i="310"/>
  <c r="AV172" i="307"/>
  <c r="AW171" i="307"/>
  <c r="AW592" i="307"/>
  <c r="AW31" i="310"/>
  <c r="AW199" i="307"/>
  <c r="AW19" i="307"/>
  <c r="AW172" i="307"/>
  <c r="AX171" i="307"/>
  <c r="AX592" i="307"/>
  <c r="AX31" i="310"/>
  <c r="AX19" i="307"/>
  <c r="AX199" i="307"/>
  <c r="AX172" i="307"/>
  <c r="AY171" i="307"/>
  <c r="AY592" i="307"/>
  <c r="AY31" i="310"/>
  <c r="AY199" i="307"/>
  <c r="AY19" i="307"/>
  <c r="AY172" i="307"/>
  <c r="AZ171" i="307"/>
  <c r="AZ592" i="307"/>
  <c r="AZ19" i="307"/>
  <c r="AZ199" i="307"/>
  <c r="AZ31" i="310"/>
  <c r="AZ172" i="307"/>
  <c r="BA171" i="307"/>
  <c r="BA592" i="307"/>
  <c r="BA19" i="307"/>
  <c r="BA199" i="307"/>
  <c r="BA31" i="310"/>
  <c r="BA172" i="307"/>
  <c r="BB171" i="307"/>
  <c r="BB592" i="307"/>
  <c r="BB31" i="310"/>
  <c r="BB19" i="307"/>
  <c r="BB199" i="307"/>
  <c r="BB172" i="307"/>
  <c r="BC171" i="307"/>
  <c r="BC592" i="307"/>
  <c r="BC31" i="310"/>
  <c r="BC19" i="307"/>
  <c r="BC199" i="307"/>
  <c r="BC172" i="307"/>
  <c r="BD171" i="307"/>
  <c r="BD592" i="307"/>
  <c r="BD31" i="310"/>
  <c r="BD19" i="307"/>
  <c r="BD199" i="307"/>
  <c r="BD172" i="307"/>
  <c r="K602" i="321"/>
  <c r="K658" i="321"/>
  <c r="K24" i="265"/>
  <c r="K61" i="265"/>
  <c r="K22" i="315"/>
  <c r="K59" i="315"/>
  <c r="H591" i="321"/>
  <c r="J23" i="282"/>
  <c r="J24" i="282" s="1"/>
  <c r="K21" i="282" s="1"/>
  <c r="J47" i="282"/>
  <c r="J84" i="282"/>
  <c r="J152" i="282"/>
  <c r="J115" i="282"/>
  <c r="K709" i="321"/>
  <c r="K711" i="321" s="1"/>
  <c r="L602" i="321"/>
  <c r="L658" i="321"/>
  <c r="L24" i="265"/>
  <c r="L61" i="265"/>
  <c r="L59" i="315"/>
  <c r="L22" i="315"/>
  <c r="L709" i="321"/>
  <c r="L711" i="321" s="1"/>
  <c r="M602" i="321"/>
  <c r="M658" i="321"/>
  <c r="M24" i="265"/>
  <c r="M61" i="265"/>
  <c r="M59" i="315"/>
  <c r="M22" i="315"/>
  <c r="M709" i="321"/>
  <c r="M711" i="321" s="1"/>
  <c r="N602" i="321"/>
  <c r="N658" i="321"/>
  <c r="N24" i="265"/>
  <c r="N61" i="265"/>
  <c r="N59" i="315"/>
  <c r="N22" i="315"/>
  <c r="N709" i="321"/>
  <c r="N711" i="321" s="1"/>
  <c r="O602" i="321"/>
  <c r="O658" i="321"/>
  <c r="O24" i="265"/>
  <c r="O61" i="265"/>
  <c r="O59" i="315"/>
  <c r="O22" i="315"/>
  <c r="P602" i="321"/>
  <c r="P658" i="321"/>
  <c r="P24" i="265"/>
  <c r="P61" i="265"/>
  <c r="P22" i="315"/>
  <c r="P59" i="315"/>
  <c r="J67" i="278"/>
  <c r="J71" i="278" s="1"/>
  <c r="J97" i="278"/>
  <c r="J101" i="278" s="1"/>
  <c r="J583" i="307"/>
  <c r="J35" i="310"/>
  <c r="J22" i="307"/>
  <c r="H372" i="307"/>
  <c r="J584" i="307"/>
  <c r="J23" i="307"/>
  <c r="J36" i="310"/>
  <c r="J586" i="307"/>
  <c r="J38" i="310"/>
  <c r="J25" i="307"/>
  <c r="H518" i="307"/>
  <c r="J587" i="307"/>
  <c r="J39" i="310"/>
  <c r="J26" i="307"/>
  <c r="K583" i="307"/>
  <c r="K35" i="310"/>
  <c r="K22" i="307"/>
  <c r="K586" i="307"/>
  <c r="K25" i="307"/>
  <c r="K38" i="310"/>
  <c r="J245" i="307"/>
  <c r="J254" i="307" s="1"/>
  <c r="F459" i="307"/>
  <c r="F479" i="307"/>
  <c r="L583" i="307"/>
  <c r="L22" i="307"/>
  <c r="L35" i="310"/>
  <c r="L586" i="307"/>
  <c r="L25" i="307"/>
  <c r="L38" i="310"/>
  <c r="M583" i="307"/>
  <c r="M35" i="310"/>
  <c r="M22" i="307"/>
  <c r="M586" i="307"/>
  <c r="M38" i="310"/>
  <c r="M25" i="307"/>
  <c r="N583" i="307"/>
  <c r="N35" i="310"/>
  <c r="N22" i="307"/>
  <c r="N586" i="307"/>
  <c r="N38" i="310"/>
  <c r="N25" i="307"/>
  <c r="O583" i="307"/>
  <c r="O22" i="307"/>
  <c r="O35" i="310"/>
  <c r="O586" i="307"/>
  <c r="O38" i="310"/>
  <c r="O25" i="307"/>
  <c r="P583" i="307"/>
  <c r="P22" i="307"/>
  <c r="P35" i="310"/>
  <c r="P586" i="307"/>
  <c r="P38" i="310"/>
  <c r="P25" i="307"/>
  <c r="Q583" i="307"/>
  <c r="Q35" i="310"/>
  <c r="Q22" i="307"/>
  <c r="Q586" i="307"/>
  <c r="Q25" i="307"/>
  <c r="Q38" i="310"/>
  <c r="R583" i="307"/>
  <c r="R35" i="310"/>
  <c r="R22" i="307"/>
  <c r="R586" i="307"/>
  <c r="R38" i="310"/>
  <c r="R25" i="307"/>
  <c r="S583" i="307"/>
  <c r="S35" i="310"/>
  <c r="S22" i="307"/>
  <c r="S586" i="307"/>
  <c r="S38" i="310"/>
  <c r="S25" i="307"/>
  <c r="T583" i="307"/>
  <c r="T22" i="307"/>
  <c r="T35" i="310"/>
  <c r="T586" i="307"/>
  <c r="T38" i="310"/>
  <c r="T25" i="307"/>
  <c r="U583" i="307"/>
  <c r="U22" i="307"/>
  <c r="U35" i="310"/>
  <c r="U586" i="307"/>
  <c r="U38" i="310"/>
  <c r="U25" i="307"/>
  <c r="V583" i="307"/>
  <c r="V22" i="307"/>
  <c r="V35" i="310"/>
  <c r="V586" i="307"/>
  <c r="V25" i="307"/>
  <c r="V38" i="310"/>
  <c r="W583" i="307"/>
  <c r="W22" i="307"/>
  <c r="W35" i="310"/>
  <c r="W586" i="307"/>
  <c r="W25" i="307"/>
  <c r="W38" i="310"/>
  <c r="X583" i="307"/>
  <c r="X35" i="310"/>
  <c r="X22" i="307"/>
  <c r="X586" i="307"/>
  <c r="X25" i="307"/>
  <c r="X38" i="310"/>
  <c r="Y583" i="307"/>
  <c r="Y35" i="310"/>
  <c r="Y22" i="307"/>
  <c r="Y586" i="307"/>
  <c r="Y25" i="307"/>
  <c r="Y38" i="310"/>
  <c r="Z583" i="307"/>
  <c r="Z22" i="307"/>
  <c r="Z35" i="310"/>
  <c r="Z586" i="307"/>
  <c r="Z38" i="310"/>
  <c r="Z25" i="307"/>
  <c r="AA583" i="307"/>
  <c r="AA35" i="310"/>
  <c r="AA22" i="307"/>
  <c r="AA586" i="307"/>
  <c r="AA25" i="307"/>
  <c r="AA38" i="310"/>
  <c r="AB583" i="307"/>
  <c r="AB35" i="310"/>
  <c r="AB22" i="307"/>
  <c r="AB586" i="307"/>
  <c r="AB25" i="307"/>
  <c r="AB38" i="310"/>
  <c r="AC583" i="307"/>
  <c r="AC22" i="307"/>
  <c r="AC35" i="310"/>
  <c r="AC586" i="307"/>
  <c r="AC38" i="310"/>
  <c r="AC25" i="307"/>
  <c r="AD583" i="307"/>
  <c r="AD22" i="307"/>
  <c r="AD35" i="310"/>
  <c r="AD586" i="307"/>
  <c r="AD38" i="310"/>
  <c r="AD25" i="307"/>
  <c r="AE583" i="307"/>
  <c r="AE35" i="310"/>
  <c r="AE22" i="307"/>
  <c r="AE586" i="307"/>
  <c r="AE25" i="307"/>
  <c r="AE38" i="310"/>
  <c r="AF583" i="307"/>
  <c r="AF35" i="310"/>
  <c r="AF22" i="307"/>
  <c r="AF586" i="307"/>
  <c r="AF25" i="307"/>
  <c r="AF38" i="310"/>
  <c r="AG583" i="307"/>
  <c r="AG22" i="307"/>
  <c r="AG35" i="310"/>
  <c r="AG586" i="307"/>
  <c r="AG38" i="310"/>
  <c r="AG25" i="307"/>
  <c r="AH583" i="307"/>
  <c r="AH22" i="307"/>
  <c r="AH35" i="310"/>
  <c r="AH586" i="307"/>
  <c r="AH38" i="310"/>
  <c r="AH25" i="307"/>
  <c r="AI583" i="307"/>
  <c r="AI35" i="310"/>
  <c r="AI22" i="307"/>
  <c r="AI586" i="307"/>
  <c r="AI25" i="307"/>
  <c r="AI38" i="310"/>
  <c r="AJ583" i="307"/>
  <c r="AJ22" i="307"/>
  <c r="AJ35" i="310"/>
  <c r="AJ586" i="307"/>
  <c r="AJ38" i="310"/>
  <c r="AJ25" i="307"/>
  <c r="AK583" i="307"/>
  <c r="AK35" i="310"/>
  <c r="AK22" i="307"/>
  <c r="AK586" i="307"/>
  <c r="AK38" i="310"/>
  <c r="AK25" i="307"/>
  <c r="AL583" i="307"/>
  <c r="AL35" i="310"/>
  <c r="AL22" i="307"/>
  <c r="AL586" i="307"/>
  <c r="AL25" i="307"/>
  <c r="AL38" i="310"/>
  <c r="AM583" i="307"/>
  <c r="AM22" i="307"/>
  <c r="AM35" i="310"/>
  <c r="AM586" i="307"/>
  <c r="AM38" i="310"/>
  <c r="AM25" i="307"/>
  <c r="AN583" i="307"/>
  <c r="AN35" i="310"/>
  <c r="AN22" i="307"/>
  <c r="AN586" i="307"/>
  <c r="AN38" i="310"/>
  <c r="AN25" i="307"/>
  <c r="AO583" i="307"/>
  <c r="AO22" i="307"/>
  <c r="AO35" i="310"/>
  <c r="AO586" i="307"/>
  <c r="AO38" i="310"/>
  <c r="AO25" i="307"/>
  <c r="AP583" i="307"/>
  <c r="AP35" i="310"/>
  <c r="AP22" i="307"/>
  <c r="AP586" i="307"/>
  <c r="AP25" i="307"/>
  <c r="AP38" i="310"/>
  <c r="AQ583" i="307"/>
  <c r="AQ22" i="307"/>
  <c r="AQ35" i="310"/>
  <c r="AQ586" i="307"/>
  <c r="AQ38" i="310"/>
  <c r="AQ25" i="307"/>
  <c r="AR583" i="307"/>
  <c r="AR35" i="310"/>
  <c r="AR22" i="307"/>
  <c r="AR586" i="307"/>
  <c r="AR38" i="310"/>
  <c r="AR25" i="307"/>
  <c r="AS583" i="307"/>
  <c r="AS22" i="307"/>
  <c r="AS35" i="310"/>
  <c r="AS586" i="307"/>
  <c r="AS38" i="310"/>
  <c r="AS25" i="307"/>
  <c r="AT583" i="307"/>
  <c r="AT22" i="307"/>
  <c r="AT35" i="310"/>
  <c r="AT586" i="307"/>
  <c r="AT38" i="310"/>
  <c r="AT25" i="307"/>
  <c r="AU583" i="307"/>
  <c r="AU35" i="310"/>
  <c r="AU22" i="307"/>
  <c r="AU586" i="307"/>
  <c r="AU38" i="310"/>
  <c r="AU25" i="307"/>
  <c r="AV583" i="307"/>
  <c r="AV22" i="307"/>
  <c r="AV35" i="310"/>
  <c r="AV586" i="307"/>
  <c r="AV38" i="310"/>
  <c r="AV25" i="307"/>
  <c r="AW583" i="307"/>
  <c r="AW22" i="307"/>
  <c r="AW35" i="310"/>
  <c r="AW586" i="307"/>
  <c r="AW38" i="310"/>
  <c r="AW25" i="307"/>
  <c r="AX583" i="307"/>
  <c r="AX22" i="307"/>
  <c r="AX35" i="310"/>
  <c r="AX586" i="307"/>
  <c r="AX38" i="310"/>
  <c r="AX25" i="307"/>
  <c r="AY583" i="307"/>
  <c r="AY22" i="307"/>
  <c r="AY35" i="310"/>
  <c r="AY586" i="307"/>
  <c r="AY38" i="310"/>
  <c r="AY25" i="307"/>
  <c r="AZ583" i="307"/>
  <c r="AZ35" i="310"/>
  <c r="AZ22" i="307"/>
  <c r="AZ586" i="307"/>
  <c r="AZ38" i="310"/>
  <c r="AZ25" i="307"/>
  <c r="BA583" i="307"/>
  <c r="BA35" i="310"/>
  <c r="BA22" i="307"/>
  <c r="BA586" i="307"/>
  <c r="BA38" i="310"/>
  <c r="BA25" i="307"/>
  <c r="BB583" i="307"/>
  <c r="BB22" i="307"/>
  <c r="BB35" i="310"/>
  <c r="BB586" i="307"/>
  <c r="BB25" i="307"/>
  <c r="BB38" i="310"/>
  <c r="BC583" i="307"/>
  <c r="BC22" i="307"/>
  <c r="BC35" i="310"/>
  <c r="BC586" i="307"/>
  <c r="BC25" i="307"/>
  <c r="BC38" i="310"/>
  <c r="BD583" i="307"/>
  <c r="BD22" i="307"/>
  <c r="BD35" i="310"/>
  <c r="BD586" i="307"/>
  <c r="BD38" i="310"/>
  <c r="BD25" i="307"/>
  <c r="BE583" i="307"/>
  <c r="BE22" i="307"/>
  <c r="BE35" i="310"/>
  <c r="BE586" i="307"/>
  <c r="BE25" i="307"/>
  <c r="BE38" i="310"/>
  <c r="BE592" i="307"/>
  <c r="BE171" i="307"/>
  <c r="BE172" i="307" s="1"/>
  <c r="BE199" i="307"/>
  <c r="BE31" i="310"/>
  <c r="BE19" i="307"/>
  <c r="CV27" i="314"/>
  <c r="CU29" i="314" s="1"/>
  <c r="CU32" i="314" s="1"/>
  <c r="CV36" i="314"/>
  <c r="CV171" i="314"/>
  <c r="CV173" i="314" s="1"/>
  <c r="CV88" i="314"/>
  <c r="O67" i="278"/>
  <c r="O71" i="278" s="1"/>
  <c r="O74" i="278" s="1"/>
  <c r="O75" i="278" s="1"/>
  <c r="O97" i="278"/>
  <c r="O101" i="278" s="1"/>
  <c r="O104" i="278" s="1"/>
  <c r="O105" i="278" s="1"/>
  <c r="K67" i="278"/>
  <c r="K71" i="278" s="1"/>
  <c r="K74" i="278" s="1"/>
  <c r="K75" i="278" s="1"/>
  <c r="K97" i="278"/>
  <c r="K101" i="278" s="1"/>
  <c r="K104" i="278" s="1"/>
  <c r="K105" i="278" s="1"/>
  <c r="L67" i="278"/>
  <c r="L71" i="278" s="1"/>
  <c r="L74" i="278" s="1"/>
  <c r="L75" i="278" s="1"/>
  <c r="L97" i="278"/>
  <c r="L101" i="278" s="1"/>
  <c r="L104" i="278" s="1"/>
  <c r="L105" i="278" s="1"/>
  <c r="M67" i="278"/>
  <c r="M71" i="278" s="1"/>
  <c r="M74" i="278" s="1"/>
  <c r="M75" i="278" s="1"/>
  <c r="M97" i="278"/>
  <c r="M101" i="278" s="1"/>
  <c r="M104" i="278" s="1"/>
  <c r="M105" i="278" s="1"/>
  <c r="N67" i="278"/>
  <c r="N71" i="278" s="1"/>
  <c r="N74" i="278" s="1"/>
  <c r="N75" i="278" s="1"/>
  <c r="N97" i="278"/>
  <c r="N101" i="278" s="1"/>
  <c r="N104" i="278" s="1"/>
  <c r="N105" i="278" s="1"/>
  <c r="P67" i="278"/>
  <c r="P71" i="278" s="1"/>
  <c r="P74" i="278" s="1"/>
  <c r="P75" i="278" s="1"/>
  <c r="P97" i="278"/>
  <c r="P101" i="278" s="1"/>
  <c r="P104" i="278" s="1"/>
  <c r="P105" i="278" s="1"/>
  <c r="P54" i="265"/>
  <c r="P52" i="315"/>
  <c r="P97" i="286"/>
  <c r="P20" i="286"/>
  <c r="O54" i="265"/>
  <c r="M54" i="277" s="1"/>
  <c r="O52" i="315"/>
  <c r="O20" i="286"/>
  <c r="O97" i="286"/>
  <c r="N54" i="265"/>
  <c r="N52" i="315"/>
  <c r="N20" i="286"/>
  <c r="N97" i="286"/>
  <c r="M54" i="265"/>
  <c r="L54" i="277" s="1"/>
  <c r="M52" i="315"/>
  <c r="M20" i="286"/>
  <c r="M97" i="286"/>
  <c r="L54" i="265"/>
  <c r="L97" i="286"/>
  <c r="L52" i="315"/>
  <c r="L20" i="286"/>
  <c r="K54" i="265"/>
  <c r="K54" i="277" s="1"/>
  <c r="K20" i="286"/>
  <c r="K52" i="315"/>
  <c r="K97" i="286"/>
  <c r="J54" i="265"/>
  <c r="J54" i="277" s="1"/>
  <c r="H54" i="277" s="1"/>
  <c r="J20" i="286"/>
  <c r="J97" i="286"/>
  <c r="J52" i="315"/>
  <c r="H621" i="307"/>
  <c r="J485" i="321"/>
  <c r="J446" i="321"/>
  <c r="J46" i="288"/>
  <c r="J196" i="288"/>
  <c r="J529" i="321"/>
  <c r="K225" i="321"/>
  <c r="K227" i="321" s="1"/>
  <c r="K231" i="321" s="1"/>
  <c r="K232" i="321" s="1"/>
  <c r="K386" i="321"/>
  <c r="K388" i="321" s="1"/>
  <c r="K392" i="321" s="1"/>
  <c r="K393" i="321" s="1"/>
  <c r="K396" i="321" s="1"/>
  <c r="K337" i="321"/>
  <c r="K339" i="321" s="1"/>
  <c r="K343" i="321" s="1"/>
  <c r="K344" i="321" s="1"/>
  <c r="K418" i="321"/>
  <c r="K420" i="321" s="1"/>
  <c r="K424" i="321" s="1"/>
  <c r="K425" i="321" s="1"/>
  <c r="K428" i="321" s="1"/>
  <c r="L225" i="321"/>
  <c r="L227" i="321" s="1"/>
  <c r="L231" i="321" s="1"/>
  <c r="L232" i="321" s="1"/>
  <c r="L386" i="321"/>
  <c r="L388" i="321" s="1"/>
  <c r="L392" i="321" s="1"/>
  <c r="L393" i="321" s="1"/>
  <c r="L396" i="321" s="1"/>
  <c r="L337" i="321"/>
  <c r="L339" i="321" s="1"/>
  <c r="L343" i="321" s="1"/>
  <c r="L344" i="321" s="1"/>
  <c r="L418" i="321"/>
  <c r="L420" i="321" s="1"/>
  <c r="L424" i="321" s="1"/>
  <c r="L425" i="321" s="1"/>
  <c r="L428" i="321" s="1"/>
  <c r="M225" i="321"/>
  <c r="M227" i="321" s="1"/>
  <c r="M231" i="321" s="1"/>
  <c r="M232" i="321" s="1"/>
  <c r="M386" i="321"/>
  <c r="M388" i="321" s="1"/>
  <c r="M392" i="321" s="1"/>
  <c r="M393" i="321" s="1"/>
  <c r="M396" i="321" s="1"/>
  <c r="M337" i="321"/>
  <c r="M339" i="321" s="1"/>
  <c r="M343" i="321" s="1"/>
  <c r="M344" i="321" s="1"/>
  <c r="M418" i="321"/>
  <c r="M420" i="321" s="1"/>
  <c r="M424" i="321" s="1"/>
  <c r="M425" i="321" s="1"/>
  <c r="M428" i="321" s="1"/>
  <c r="N225" i="321"/>
  <c r="N227" i="321" s="1"/>
  <c r="N231" i="321" s="1"/>
  <c r="N232" i="321" s="1"/>
  <c r="N386" i="321"/>
  <c r="N388" i="321" s="1"/>
  <c r="N392" i="321" s="1"/>
  <c r="N393" i="321" s="1"/>
  <c r="N396" i="321" s="1"/>
  <c r="N337" i="321"/>
  <c r="N339" i="321" s="1"/>
  <c r="N343" i="321" s="1"/>
  <c r="N344" i="321" s="1"/>
  <c r="N418" i="321"/>
  <c r="N420" i="321" s="1"/>
  <c r="N424" i="321" s="1"/>
  <c r="N425" i="321" s="1"/>
  <c r="N428" i="321" s="1"/>
  <c r="O225" i="321"/>
  <c r="O227" i="321" s="1"/>
  <c r="O231" i="321" s="1"/>
  <c r="O232" i="321" s="1"/>
  <c r="O386" i="321"/>
  <c r="O388" i="321" s="1"/>
  <c r="O392" i="321" s="1"/>
  <c r="O393" i="321" s="1"/>
  <c r="O396" i="321" s="1"/>
  <c r="O337" i="321"/>
  <c r="O339" i="321" s="1"/>
  <c r="O343" i="321" s="1"/>
  <c r="O344" i="321" s="1"/>
  <c r="O418" i="321"/>
  <c r="O420" i="321" s="1"/>
  <c r="O424" i="321" s="1"/>
  <c r="O425" i="321" s="1"/>
  <c r="O428" i="321" s="1"/>
  <c r="P225" i="321"/>
  <c r="P227" i="321" s="1"/>
  <c r="P231" i="321" s="1"/>
  <c r="P232" i="321" s="1"/>
  <c r="P386" i="321"/>
  <c r="P388" i="321" s="1"/>
  <c r="P392" i="321" s="1"/>
  <c r="P393" i="321" s="1"/>
  <c r="P396" i="321" s="1"/>
  <c r="P337" i="321"/>
  <c r="P339" i="321" s="1"/>
  <c r="P343" i="321" s="1"/>
  <c r="P344" i="321" s="1"/>
  <c r="P418" i="321"/>
  <c r="P420" i="321" s="1"/>
  <c r="P424" i="321" s="1"/>
  <c r="P425" i="321" s="1"/>
  <c r="P428" i="321" s="1"/>
  <c r="Q225" i="321"/>
  <c r="Q227" i="321" s="1"/>
  <c r="Q231" i="321" s="1"/>
  <c r="Q232" i="321" s="1"/>
  <c r="Q386" i="321"/>
  <c r="Q388" i="321" s="1"/>
  <c r="Q392" i="321" s="1"/>
  <c r="Q393" i="321" s="1"/>
  <c r="Q396" i="321" s="1"/>
  <c r="Q337" i="321"/>
  <c r="Q339" i="321" s="1"/>
  <c r="Q343" i="321" s="1"/>
  <c r="Q344" i="321" s="1"/>
  <c r="Q418" i="321"/>
  <c r="Q420" i="321" s="1"/>
  <c r="Q424" i="321" s="1"/>
  <c r="Q425" i="321" s="1"/>
  <c r="Q428" i="321" s="1"/>
  <c r="R225" i="321"/>
  <c r="R227" i="321" s="1"/>
  <c r="R231" i="321" s="1"/>
  <c r="R232" i="321" s="1"/>
  <c r="R386" i="321"/>
  <c r="R388" i="321" s="1"/>
  <c r="R392" i="321" s="1"/>
  <c r="R393" i="321" s="1"/>
  <c r="R396" i="321" s="1"/>
  <c r="R337" i="321"/>
  <c r="R339" i="321" s="1"/>
  <c r="R343" i="321" s="1"/>
  <c r="R344" i="321" s="1"/>
  <c r="R418" i="321"/>
  <c r="R420" i="321" s="1"/>
  <c r="R424" i="321" s="1"/>
  <c r="R425" i="321" s="1"/>
  <c r="R428" i="321" s="1"/>
  <c r="S225" i="321"/>
  <c r="S227" i="321" s="1"/>
  <c r="S231" i="321" s="1"/>
  <c r="S232" i="321" s="1"/>
  <c r="S386" i="321"/>
  <c r="S388" i="321" s="1"/>
  <c r="S392" i="321" s="1"/>
  <c r="S393" i="321" s="1"/>
  <c r="S396" i="321" s="1"/>
  <c r="S337" i="321"/>
  <c r="S339" i="321" s="1"/>
  <c r="S343" i="321" s="1"/>
  <c r="S344" i="321" s="1"/>
  <c r="S418" i="321"/>
  <c r="S420" i="321" s="1"/>
  <c r="S424" i="321" s="1"/>
  <c r="S425" i="321" s="1"/>
  <c r="S428" i="321" s="1"/>
  <c r="T225" i="321"/>
  <c r="T227" i="321" s="1"/>
  <c r="T231" i="321" s="1"/>
  <c r="T232" i="321" s="1"/>
  <c r="T386" i="321"/>
  <c r="T388" i="321" s="1"/>
  <c r="T392" i="321" s="1"/>
  <c r="T393" i="321" s="1"/>
  <c r="T396" i="321" s="1"/>
  <c r="T337" i="321"/>
  <c r="T339" i="321" s="1"/>
  <c r="T343" i="321" s="1"/>
  <c r="T344" i="321" s="1"/>
  <c r="T418" i="321"/>
  <c r="T420" i="321" s="1"/>
  <c r="T424" i="321" s="1"/>
  <c r="T425" i="321" s="1"/>
  <c r="T428" i="321" s="1"/>
  <c r="U225" i="321"/>
  <c r="U227" i="321" s="1"/>
  <c r="U231" i="321" s="1"/>
  <c r="U232" i="321" s="1"/>
  <c r="U386" i="321"/>
  <c r="U388" i="321" s="1"/>
  <c r="U392" i="321" s="1"/>
  <c r="U393" i="321" s="1"/>
  <c r="U396" i="321" s="1"/>
  <c r="U337" i="321"/>
  <c r="U339" i="321" s="1"/>
  <c r="U343" i="321" s="1"/>
  <c r="U344" i="321" s="1"/>
  <c r="U418" i="321"/>
  <c r="U420" i="321" s="1"/>
  <c r="U424" i="321" s="1"/>
  <c r="U425" i="321" s="1"/>
  <c r="U428" i="321" s="1"/>
  <c r="V225" i="321"/>
  <c r="V227" i="321" s="1"/>
  <c r="V231" i="321" s="1"/>
  <c r="V232" i="321" s="1"/>
  <c r="V386" i="321"/>
  <c r="V388" i="321" s="1"/>
  <c r="V392" i="321" s="1"/>
  <c r="V393" i="321" s="1"/>
  <c r="V396" i="321" s="1"/>
  <c r="V337" i="321"/>
  <c r="V339" i="321" s="1"/>
  <c r="V343" i="321" s="1"/>
  <c r="V344" i="321" s="1"/>
  <c r="V418" i="321"/>
  <c r="V420" i="321" s="1"/>
  <c r="V424" i="321" s="1"/>
  <c r="V425" i="321" s="1"/>
  <c r="V428" i="321" s="1"/>
  <c r="W225" i="321"/>
  <c r="W227" i="321" s="1"/>
  <c r="W231" i="321" s="1"/>
  <c r="W232" i="321" s="1"/>
  <c r="W386" i="321"/>
  <c r="W388" i="321" s="1"/>
  <c r="W392" i="321" s="1"/>
  <c r="W393" i="321" s="1"/>
  <c r="W396" i="321" s="1"/>
  <c r="W337" i="321"/>
  <c r="W339" i="321" s="1"/>
  <c r="W343" i="321" s="1"/>
  <c r="W344" i="321" s="1"/>
  <c r="W418" i="321"/>
  <c r="W420" i="321" s="1"/>
  <c r="W424" i="321" s="1"/>
  <c r="W425" i="321" s="1"/>
  <c r="W428" i="321" s="1"/>
  <c r="X225" i="321"/>
  <c r="X227" i="321" s="1"/>
  <c r="X231" i="321" s="1"/>
  <c r="X232" i="321" s="1"/>
  <c r="X386" i="321"/>
  <c r="X388" i="321" s="1"/>
  <c r="X392" i="321" s="1"/>
  <c r="X393" i="321" s="1"/>
  <c r="X396" i="321" s="1"/>
  <c r="X337" i="321"/>
  <c r="X339" i="321" s="1"/>
  <c r="X343" i="321" s="1"/>
  <c r="X344" i="321" s="1"/>
  <c r="X418" i="321"/>
  <c r="X420" i="321" s="1"/>
  <c r="X424" i="321" s="1"/>
  <c r="X425" i="321" s="1"/>
  <c r="X428" i="321" s="1"/>
  <c r="Y225" i="321"/>
  <c r="Y227" i="321" s="1"/>
  <c r="Y231" i="321" s="1"/>
  <c r="Y232" i="321" s="1"/>
  <c r="Y386" i="321"/>
  <c r="Y388" i="321" s="1"/>
  <c r="Y392" i="321" s="1"/>
  <c r="Y393" i="321" s="1"/>
  <c r="Y396" i="321" s="1"/>
  <c r="Y337" i="321"/>
  <c r="Y339" i="321" s="1"/>
  <c r="Y343" i="321" s="1"/>
  <c r="Y344" i="321" s="1"/>
  <c r="Y418" i="321"/>
  <c r="Y420" i="321" s="1"/>
  <c r="Y424" i="321" s="1"/>
  <c r="Y425" i="321" s="1"/>
  <c r="Y428" i="321" s="1"/>
  <c r="Z225" i="321"/>
  <c r="Z227" i="321" s="1"/>
  <c r="Z231" i="321" s="1"/>
  <c r="Z232" i="321" s="1"/>
  <c r="Z386" i="321"/>
  <c r="Z388" i="321" s="1"/>
  <c r="Z392" i="321" s="1"/>
  <c r="Z393" i="321" s="1"/>
  <c r="Z396" i="321" s="1"/>
  <c r="Z337" i="321"/>
  <c r="Z339" i="321" s="1"/>
  <c r="Z343" i="321" s="1"/>
  <c r="Z344" i="321" s="1"/>
  <c r="Z418" i="321"/>
  <c r="Z420" i="321" s="1"/>
  <c r="Z424" i="321" s="1"/>
  <c r="Z425" i="321" s="1"/>
  <c r="Z428" i="321" s="1"/>
  <c r="AA225" i="321"/>
  <c r="AA227" i="321" s="1"/>
  <c r="AA231" i="321" s="1"/>
  <c r="AA232" i="321" s="1"/>
  <c r="AA386" i="321"/>
  <c r="AA388" i="321" s="1"/>
  <c r="AA392" i="321" s="1"/>
  <c r="AA393" i="321" s="1"/>
  <c r="AA396" i="321" s="1"/>
  <c r="AA337" i="321"/>
  <c r="AA339" i="321" s="1"/>
  <c r="AA343" i="321" s="1"/>
  <c r="AA344" i="321" s="1"/>
  <c r="AA418" i="321"/>
  <c r="AA420" i="321" s="1"/>
  <c r="AA424" i="321" s="1"/>
  <c r="AA425" i="321" s="1"/>
  <c r="AA428" i="321" s="1"/>
  <c r="AB225" i="321"/>
  <c r="AB227" i="321" s="1"/>
  <c r="AB231" i="321" s="1"/>
  <c r="AB232" i="321" s="1"/>
  <c r="AB386" i="321"/>
  <c r="AB388" i="321" s="1"/>
  <c r="AB392" i="321" s="1"/>
  <c r="AB393" i="321" s="1"/>
  <c r="AB396" i="321" s="1"/>
  <c r="AB337" i="321"/>
  <c r="AB339" i="321" s="1"/>
  <c r="AB343" i="321" s="1"/>
  <c r="AB344" i="321" s="1"/>
  <c r="AB418" i="321"/>
  <c r="AB420" i="321" s="1"/>
  <c r="AB424" i="321" s="1"/>
  <c r="AB425" i="321" s="1"/>
  <c r="AB428" i="321" s="1"/>
  <c r="AC225" i="321"/>
  <c r="AC227" i="321" s="1"/>
  <c r="AC231" i="321" s="1"/>
  <c r="AC232" i="321" s="1"/>
  <c r="AC386" i="321"/>
  <c r="AC388" i="321" s="1"/>
  <c r="AC392" i="321" s="1"/>
  <c r="AC393" i="321" s="1"/>
  <c r="AC396" i="321" s="1"/>
  <c r="AC337" i="321"/>
  <c r="AC339" i="321" s="1"/>
  <c r="AC343" i="321" s="1"/>
  <c r="AC344" i="321" s="1"/>
  <c r="AC418" i="321"/>
  <c r="AC420" i="321" s="1"/>
  <c r="AC424" i="321" s="1"/>
  <c r="AC425" i="321" s="1"/>
  <c r="AC428" i="321" s="1"/>
  <c r="AD225" i="321"/>
  <c r="AD227" i="321" s="1"/>
  <c r="AD231" i="321" s="1"/>
  <c r="AD232" i="321" s="1"/>
  <c r="AD386" i="321"/>
  <c r="AD388" i="321" s="1"/>
  <c r="AD392" i="321" s="1"/>
  <c r="AD393" i="321" s="1"/>
  <c r="AD396" i="321" s="1"/>
  <c r="AD337" i="321"/>
  <c r="AD339" i="321" s="1"/>
  <c r="AD343" i="321" s="1"/>
  <c r="AD344" i="321" s="1"/>
  <c r="AD418" i="321"/>
  <c r="AD420" i="321" s="1"/>
  <c r="AD424" i="321" s="1"/>
  <c r="AD425" i="321" s="1"/>
  <c r="AD428" i="321" s="1"/>
  <c r="AE225" i="321"/>
  <c r="AE227" i="321" s="1"/>
  <c r="AE231" i="321" s="1"/>
  <c r="AE232" i="321" s="1"/>
  <c r="AE386" i="321"/>
  <c r="AE388" i="321" s="1"/>
  <c r="AE392" i="321" s="1"/>
  <c r="AE393" i="321" s="1"/>
  <c r="AE396" i="321" s="1"/>
  <c r="AE337" i="321"/>
  <c r="AE339" i="321" s="1"/>
  <c r="AE343" i="321" s="1"/>
  <c r="AE344" i="321" s="1"/>
  <c r="AE418" i="321"/>
  <c r="AE420" i="321" s="1"/>
  <c r="AE424" i="321" s="1"/>
  <c r="AE425" i="321" s="1"/>
  <c r="AE428" i="321" s="1"/>
  <c r="AF225" i="321"/>
  <c r="AF227" i="321" s="1"/>
  <c r="AF231" i="321" s="1"/>
  <c r="AF232" i="321" s="1"/>
  <c r="AF386" i="321"/>
  <c r="AF388" i="321" s="1"/>
  <c r="AF392" i="321" s="1"/>
  <c r="AF393" i="321" s="1"/>
  <c r="AF396" i="321" s="1"/>
  <c r="AF337" i="321"/>
  <c r="AF339" i="321" s="1"/>
  <c r="AF343" i="321" s="1"/>
  <c r="AF344" i="321" s="1"/>
  <c r="AF418" i="321"/>
  <c r="AF420" i="321" s="1"/>
  <c r="AF424" i="321" s="1"/>
  <c r="AF425" i="321" s="1"/>
  <c r="AF428" i="321" s="1"/>
  <c r="AG225" i="321"/>
  <c r="AG227" i="321" s="1"/>
  <c r="AG231" i="321" s="1"/>
  <c r="AG232" i="321" s="1"/>
  <c r="AG386" i="321"/>
  <c r="AG388" i="321" s="1"/>
  <c r="AG392" i="321" s="1"/>
  <c r="AG393" i="321" s="1"/>
  <c r="AG396" i="321" s="1"/>
  <c r="AG337" i="321"/>
  <c r="AG339" i="321" s="1"/>
  <c r="AG343" i="321" s="1"/>
  <c r="AG344" i="321" s="1"/>
  <c r="AG418" i="321"/>
  <c r="AG420" i="321" s="1"/>
  <c r="AG424" i="321" s="1"/>
  <c r="AG425" i="321" s="1"/>
  <c r="AG428" i="321" s="1"/>
  <c r="AH225" i="321"/>
  <c r="AH227" i="321" s="1"/>
  <c r="AH231" i="321" s="1"/>
  <c r="AH232" i="321" s="1"/>
  <c r="AH386" i="321"/>
  <c r="AH388" i="321" s="1"/>
  <c r="AH392" i="321" s="1"/>
  <c r="AH393" i="321" s="1"/>
  <c r="AH396" i="321" s="1"/>
  <c r="AH337" i="321"/>
  <c r="AH339" i="321" s="1"/>
  <c r="AH343" i="321" s="1"/>
  <c r="AH344" i="321" s="1"/>
  <c r="AH418" i="321"/>
  <c r="AH420" i="321" s="1"/>
  <c r="AH424" i="321" s="1"/>
  <c r="AH425" i="321" s="1"/>
  <c r="AH428" i="321" s="1"/>
  <c r="AI225" i="321"/>
  <c r="AI227" i="321" s="1"/>
  <c r="AI231" i="321" s="1"/>
  <c r="AI232" i="321" s="1"/>
  <c r="AI386" i="321"/>
  <c r="AI388" i="321" s="1"/>
  <c r="AI392" i="321" s="1"/>
  <c r="AI393" i="321" s="1"/>
  <c r="AI396" i="321" s="1"/>
  <c r="AI337" i="321"/>
  <c r="AI339" i="321" s="1"/>
  <c r="AI343" i="321" s="1"/>
  <c r="AI344" i="321" s="1"/>
  <c r="AI418" i="321"/>
  <c r="AI420" i="321" s="1"/>
  <c r="AI424" i="321" s="1"/>
  <c r="AI425" i="321" s="1"/>
  <c r="AI428" i="321" s="1"/>
  <c r="AJ225" i="321"/>
  <c r="AJ227" i="321" s="1"/>
  <c r="AJ231" i="321" s="1"/>
  <c r="AJ232" i="321" s="1"/>
  <c r="AJ386" i="321"/>
  <c r="AJ388" i="321" s="1"/>
  <c r="AJ392" i="321" s="1"/>
  <c r="AJ393" i="321" s="1"/>
  <c r="AJ396" i="321" s="1"/>
  <c r="AJ337" i="321"/>
  <c r="AJ339" i="321" s="1"/>
  <c r="AJ343" i="321" s="1"/>
  <c r="AJ344" i="321" s="1"/>
  <c r="AJ418" i="321"/>
  <c r="AJ420" i="321" s="1"/>
  <c r="AJ424" i="321" s="1"/>
  <c r="AJ425" i="321" s="1"/>
  <c r="AJ428" i="321" s="1"/>
  <c r="AK225" i="321"/>
  <c r="AK227" i="321" s="1"/>
  <c r="AK231" i="321" s="1"/>
  <c r="AK232" i="321" s="1"/>
  <c r="AK386" i="321"/>
  <c r="AK388" i="321" s="1"/>
  <c r="AK392" i="321" s="1"/>
  <c r="AK393" i="321" s="1"/>
  <c r="AK396" i="321" s="1"/>
  <c r="AK337" i="321"/>
  <c r="AK339" i="321" s="1"/>
  <c r="AK343" i="321" s="1"/>
  <c r="AK344" i="321" s="1"/>
  <c r="AK418" i="321"/>
  <c r="AK420" i="321" s="1"/>
  <c r="AK424" i="321" s="1"/>
  <c r="AK425" i="321" s="1"/>
  <c r="AK428" i="321" s="1"/>
  <c r="AL225" i="321"/>
  <c r="AL227" i="321" s="1"/>
  <c r="AL231" i="321" s="1"/>
  <c r="AL232" i="321" s="1"/>
  <c r="AL386" i="321"/>
  <c r="AL388" i="321" s="1"/>
  <c r="AL392" i="321" s="1"/>
  <c r="AL393" i="321" s="1"/>
  <c r="AL396" i="321" s="1"/>
  <c r="AL337" i="321"/>
  <c r="AL339" i="321" s="1"/>
  <c r="AL343" i="321" s="1"/>
  <c r="AL344" i="321" s="1"/>
  <c r="AL418" i="321"/>
  <c r="AL420" i="321" s="1"/>
  <c r="AL424" i="321" s="1"/>
  <c r="AL425" i="321" s="1"/>
  <c r="AL428" i="321" s="1"/>
  <c r="AM225" i="321"/>
  <c r="AM227" i="321" s="1"/>
  <c r="AM231" i="321" s="1"/>
  <c r="AM232" i="321" s="1"/>
  <c r="AM386" i="321"/>
  <c r="AM388" i="321" s="1"/>
  <c r="AM392" i="321" s="1"/>
  <c r="AM393" i="321" s="1"/>
  <c r="AM396" i="321" s="1"/>
  <c r="AM337" i="321"/>
  <c r="AM339" i="321" s="1"/>
  <c r="AM343" i="321" s="1"/>
  <c r="AM344" i="321" s="1"/>
  <c r="AM418" i="321"/>
  <c r="AM420" i="321" s="1"/>
  <c r="AM424" i="321" s="1"/>
  <c r="AM425" i="321" s="1"/>
  <c r="AM428" i="321" s="1"/>
  <c r="AN225" i="321"/>
  <c r="AN227" i="321" s="1"/>
  <c r="AN231" i="321" s="1"/>
  <c r="AN232" i="321" s="1"/>
  <c r="AN386" i="321"/>
  <c r="AN388" i="321" s="1"/>
  <c r="AN392" i="321" s="1"/>
  <c r="AN393" i="321" s="1"/>
  <c r="AN396" i="321" s="1"/>
  <c r="AN337" i="321"/>
  <c r="AN339" i="321" s="1"/>
  <c r="AN343" i="321" s="1"/>
  <c r="AN344" i="321" s="1"/>
  <c r="AN418" i="321"/>
  <c r="AN420" i="321" s="1"/>
  <c r="AN424" i="321" s="1"/>
  <c r="AN425" i="321" s="1"/>
  <c r="AN428" i="321" s="1"/>
  <c r="AO225" i="321"/>
  <c r="AO227" i="321" s="1"/>
  <c r="AO231" i="321" s="1"/>
  <c r="AO232" i="321" s="1"/>
  <c r="AO386" i="321"/>
  <c r="AO388" i="321" s="1"/>
  <c r="AO392" i="321" s="1"/>
  <c r="AO393" i="321" s="1"/>
  <c r="AO396" i="321" s="1"/>
  <c r="AO337" i="321"/>
  <c r="AO339" i="321" s="1"/>
  <c r="AO343" i="321" s="1"/>
  <c r="AO344" i="321" s="1"/>
  <c r="AO418" i="321"/>
  <c r="AO420" i="321" s="1"/>
  <c r="AO424" i="321" s="1"/>
  <c r="AO425" i="321" s="1"/>
  <c r="AO428" i="321" s="1"/>
  <c r="AP225" i="321"/>
  <c r="AP227" i="321" s="1"/>
  <c r="AP231" i="321" s="1"/>
  <c r="AP232" i="321" s="1"/>
  <c r="AP386" i="321"/>
  <c r="AP388" i="321" s="1"/>
  <c r="AP392" i="321" s="1"/>
  <c r="AP393" i="321" s="1"/>
  <c r="AP396" i="321" s="1"/>
  <c r="AP337" i="321"/>
  <c r="AP339" i="321" s="1"/>
  <c r="AP343" i="321" s="1"/>
  <c r="AP344" i="321" s="1"/>
  <c r="AP418" i="321"/>
  <c r="AP420" i="321" s="1"/>
  <c r="AP424" i="321" s="1"/>
  <c r="AP425" i="321" s="1"/>
  <c r="AP428" i="321" s="1"/>
  <c r="AQ225" i="321"/>
  <c r="AQ227" i="321" s="1"/>
  <c r="AQ231" i="321" s="1"/>
  <c r="AQ232" i="321" s="1"/>
  <c r="AQ386" i="321"/>
  <c r="AQ388" i="321" s="1"/>
  <c r="AQ392" i="321" s="1"/>
  <c r="AQ393" i="321" s="1"/>
  <c r="AQ396" i="321" s="1"/>
  <c r="AQ337" i="321"/>
  <c r="AQ339" i="321" s="1"/>
  <c r="AQ343" i="321" s="1"/>
  <c r="AQ344" i="321" s="1"/>
  <c r="AQ418" i="321"/>
  <c r="AQ420" i="321" s="1"/>
  <c r="AQ424" i="321" s="1"/>
  <c r="AQ425" i="321" s="1"/>
  <c r="AQ428" i="321" s="1"/>
  <c r="AR225" i="321"/>
  <c r="AR227" i="321" s="1"/>
  <c r="AR231" i="321" s="1"/>
  <c r="AR232" i="321" s="1"/>
  <c r="AR386" i="321"/>
  <c r="AR388" i="321" s="1"/>
  <c r="AR392" i="321" s="1"/>
  <c r="AR393" i="321" s="1"/>
  <c r="AR396" i="321" s="1"/>
  <c r="AR337" i="321"/>
  <c r="AR339" i="321" s="1"/>
  <c r="AR343" i="321" s="1"/>
  <c r="AR344" i="321" s="1"/>
  <c r="AR418" i="321"/>
  <c r="AR420" i="321" s="1"/>
  <c r="AR424" i="321" s="1"/>
  <c r="AR425" i="321" s="1"/>
  <c r="AR428" i="321" s="1"/>
  <c r="AS225" i="321"/>
  <c r="AS227" i="321" s="1"/>
  <c r="AS231" i="321" s="1"/>
  <c r="AS232" i="321" s="1"/>
  <c r="AS386" i="321"/>
  <c r="AS388" i="321" s="1"/>
  <c r="AS392" i="321" s="1"/>
  <c r="AS393" i="321" s="1"/>
  <c r="AS396" i="321" s="1"/>
  <c r="AS337" i="321"/>
  <c r="AS339" i="321" s="1"/>
  <c r="AS343" i="321" s="1"/>
  <c r="AS344" i="321" s="1"/>
  <c r="AS418" i="321"/>
  <c r="AS420" i="321" s="1"/>
  <c r="AS424" i="321" s="1"/>
  <c r="AS425" i="321" s="1"/>
  <c r="AS428" i="321" s="1"/>
  <c r="AT225" i="321"/>
  <c r="AT227" i="321" s="1"/>
  <c r="AT231" i="321" s="1"/>
  <c r="AT232" i="321" s="1"/>
  <c r="AT386" i="321"/>
  <c r="AT388" i="321" s="1"/>
  <c r="AT392" i="321" s="1"/>
  <c r="AT393" i="321" s="1"/>
  <c r="AT396" i="321" s="1"/>
  <c r="AT337" i="321"/>
  <c r="AT339" i="321" s="1"/>
  <c r="AT343" i="321" s="1"/>
  <c r="AT344" i="321" s="1"/>
  <c r="AT418" i="321"/>
  <c r="AT420" i="321" s="1"/>
  <c r="AT424" i="321" s="1"/>
  <c r="AT425" i="321" s="1"/>
  <c r="AT428" i="321" s="1"/>
  <c r="AU225" i="321"/>
  <c r="AU227" i="321" s="1"/>
  <c r="AU231" i="321" s="1"/>
  <c r="AU232" i="321" s="1"/>
  <c r="AU386" i="321"/>
  <c r="AU388" i="321" s="1"/>
  <c r="AU392" i="321" s="1"/>
  <c r="AU393" i="321" s="1"/>
  <c r="AU396" i="321" s="1"/>
  <c r="AU337" i="321"/>
  <c r="AU339" i="321" s="1"/>
  <c r="AU343" i="321" s="1"/>
  <c r="AU344" i="321" s="1"/>
  <c r="AU418" i="321"/>
  <c r="AU420" i="321" s="1"/>
  <c r="AU424" i="321" s="1"/>
  <c r="AU425" i="321" s="1"/>
  <c r="AU428" i="321" s="1"/>
  <c r="AV225" i="321"/>
  <c r="AV227" i="321" s="1"/>
  <c r="AV231" i="321" s="1"/>
  <c r="AV232" i="321" s="1"/>
  <c r="AV386" i="321"/>
  <c r="AV388" i="321" s="1"/>
  <c r="AV392" i="321" s="1"/>
  <c r="AV393" i="321" s="1"/>
  <c r="AV396" i="321" s="1"/>
  <c r="AV337" i="321"/>
  <c r="AV339" i="321" s="1"/>
  <c r="AV343" i="321" s="1"/>
  <c r="AV344" i="321" s="1"/>
  <c r="AV418" i="321"/>
  <c r="AV420" i="321" s="1"/>
  <c r="AV424" i="321" s="1"/>
  <c r="AV425" i="321" s="1"/>
  <c r="AV428" i="321" s="1"/>
  <c r="AW225" i="321"/>
  <c r="AW227" i="321" s="1"/>
  <c r="AW231" i="321" s="1"/>
  <c r="AW232" i="321" s="1"/>
  <c r="AW386" i="321"/>
  <c r="AW388" i="321" s="1"/>
  <c r="AW392" i="321" s="1"/>
  <c r="AW393" i="321" s="1"/>
  <c r="AW396" i="321" s="1"/>
  <c r="AW337" i="321"/>
  <c r="AW339" i="321" s="1"/>
  <c r="AW343" i="321" s="1"/>
  <c r="AW344" i="321" s="1"/>
  <c r="AW418" i="321"/>
  <c r="AW420" i="321" s="1"/>
  <c r="AW424" i="321" s="1"/>
  <c r="AW425" i="321" s="1"/>
  <c r="AW428" i="321" s="1"/>
  <c r="AX225" i="321"/>
  <c r="AX227" i="321" s="1"/>
  <c r="AX231" i="321" s="1"/>
  <c r="AX232" i="321" s="1"/>
  <c r="AX386" i="321"/>
  <c r="AX388" i="321" s="1"/>
  <c r="AX392" i="321" s="1"/>
  <c r="AX393" i="321" s="1"/>
  <c r="AX396" i="321" s="1"/>
  <c r="AX337" i="321"/>
  <c r="AX339" i="321" s="1"/>
  <c r="AX343" i="321" s="1"/>
  <c r="AX344" i="321" s="1"/>
  <c r="AX418" i="321"/>
  <c r="AX420" i="321" s="1"/>
  <c r="AX424" i="321" s="1"/>
  <c r="AX425" i="321" s="1"/>
  <c r="AX428" i="321" s="1"/>
  <c r="AY225" i="321"/>
  <c r="AY227" i="321" s="1"/>
  <c r="AY231" i="321" s="1"/>
  <c r="AY232" i="321" s="1"/>
  <c r="AY386" i="321"/>
  <c r="AY388" i="321" s="1"/>
  <c r="AY392" i="321" s="1"/>
  <c r="AY393" i="321" s="1"/>
  <c r="AY396" i="321" s="1"/>
  <c r="AY337" i="321"/>
  <c r="AY339" i="321" s="1"/>
  <c r="AY343" i="321" s="1"/>
  <c r="AY344" i="321" s="1"/>
  <c r="AY418" i="321"/>
  <c r="AY420" i="321" s="1"/>
  <c r="AY424" i="321" s="1"/>
  <c r="AY425" i="321" s="1"/>
  <c r="AY428" i="321" s="1"/>
  <c r="AZ225" i="321"/>
  <c r="AZ227" i="321" s="1"/>
  <c r="AZ231" i="321" s="1"/>
  <c r="AZ232" i="321" s="1"/>
  <c r="AZ386" i="321"/>
  <c r="AZ388" i="321" s="1"/>
  <c r="AZ392" i="321" s="1"/>
  <c r="AZ393" i="321" s="1"/>
  <c r="AZ396" i="321" s="1"/>
  <c r="AZ337" i="321"/>
  <c r="AZ339" i="321" s="1"/>
  <c r="AZ343" i="321" s="1"/>
  <c r="AZ344" i="321" s="1"/>
  <c r="AZ418" i="321"/>
  <c r="AZ420" i="321" s="1"/>
  <c r="AZ424" i="321" s="1"/>
  <c r="AZ425" i="321" s="1"/>
  <c r="AZ428" i="321" s="1"/>
  <c r="BA225" i="321"/>
  <c r="BA227" i="321" s="1"/>
  <c r="BA231" i="321" s="1"/>
  <c r="BA232" i="321" s="1"/>
  <c r="BA386" i="321"/>
  <c r="BA388" i="321" s="1"/>
  <c r="BA392" i="321" s="1"/>
  <c r="BA393" i="321" s="1"/>
  <c r="BA396" i="321" s="1"/>
  <c r="BA337" i="321"/>
  <c r="BA339" i="321" s="1"/>
  <c r="BA343" i="321" s="1"/>
  <c r="BA344" i="321" s="1"/>
  <c r="BA418" i="321"/>
  <c r="BA420" i="321" s="1"/>
  <c r="BA424" i="321" s="1"/>
  <c r="BA425" i="321" s="1"/>
  <c r="BA428" i="321" s="1"/>
  <c r="BB225" i="321"/>
  <c r="BB227" i="321" s="1"/>
  <c r="BB231" i="321" s="1"/>
  <c r="BB232" i="321" s="1"/>
  <c r="BB386" i="321"/>
  <c r="BB388" i="321" s="1"/>
  <c r="BB392" i="321" s="1"/>
  <c r="BB393" i="321" s="1"/>
  <c r="BB396" i="321" s="1"/>
  <c r="BB337" i="321"/>
  <c r="BB339" i="321" s="1"/>
  <c r="BB343" i="321" s="1"/>
  <c r="BB344" i="321" s="1"/>
  <c r="BB418" i="321"/>
  <c r="BB420" i="321" s="1"/>
  <c r="BB424" i="321" s="1"/>
  <c r="BB425" i="321" s="1"/>
  <c r="BB428" i="321" s="1"/>
  <c r="BC225" i="321"/>
  <c r="BC227" i="321" s="1"/>
  <c r="BC231" i="321" s="1"/>
  <c r="BC232" i="321" s="1"/>
  <c r="BC386" i="321"/>
  <c r="BC388" i="321" s="1"/>
  <c r="BC392" i="321" s="1"/>
  <c r="BC393" i="321" s="1"/>
  <c r="BC396" i="321" s="1"/>
  <c r="BC337" i="321"/>
  <c r="BC339" i="321" s="1"/>
  <c r="BC343" i="321" s="1"/>
  <c r="BC344" i="321" s="1"/>
  <c r="BC418" i="321"/>
  <c r="BC420" i="321" s="1"/>
  <c r="BC424" i="321" s="1"/>
  <c r="BC425" i="321" s="1"/>
  <c r="BC428" i="321" s="1"/>
  <c r="BD225" i="321"/>
  <c r="BD227" i="321" s="1"/>
  <c r="BD231" i="321" s="1"/>
  <c r="BD232" i="321" s="1"/>
  <c r="BD386" i="321"/>
  <c r="BD388" i="321" s="1"/>
  <c r="BD392" i="321" s="1"/>
  <c r="BD393" i="321" s="1"/>
  <c r="BD396" i="321" s="1"/>
  <c r="BD337" i="321"/>
  <c r="BD339" i="321" s="1"/>
  <c r="BD343" i="321" s="1"/>
  <c r="BD344" i="321" s="1"/>
  <c r="BD418" i="321"/>
  <c r="BD420" i="321" s="1"/>
  <c r="BD424" i="321" s="1"/>
  <c r="BD425" i="321" s="1"/>
  <c r="BD428" i="321" s="1"/>
  <c r="BE225" i="321"/>
  <c r="BE227" i="321" s="1"/>
  <c r="BE231" i="321" s="1"/>
  <c r="BE232" i="321" s="1"/>
  <c r="BE386" i="321"/>
  <c r="BE388" i="321" s="1"/>
  <c r="BE392" i="321" s="1"/>
  <c r="BE393" i="321" s="1"/>
  <c r="BE396" i="321" s="1"/>
  <c r="BE337" i="321"/>
  <c r="BE339" i="321" s="1"/>
  <c r="BE343" i="321" s="1"/>
  <c r="BE344" i="321" s="1"/>
  <c r="BE418" i="321"/>
  <c r="BE420" i="321" s="1"/>
  <c r="BE424" i="321" s="1"/>
  <c r="BE425" i="321" s="1"/>
  <c r="BE428" i="321" s="1"/>
  <c r="BF225" i="321"/>
  <c r="BF227" i="321" s="1"/>
  <c r="BF231" i="321" s="1"/>
  <c r="BF232" i="321" s="1"/>
  <c r="BF386" i="321"/>
  <c r="BF388" i="321" s="1"/>
  <c r="BF392" i="321" s="1"/>
  <c r="BF393" i="321" s="1"/>
  <c r="BF396" i="321" s="1"/>
  <c r="BF337" i="321"/>
  <c r="BF339" i="321" s="1"/>
  <c r="BF343" i="321" s="1"/>
  <c r="BF344" i="321" s="1"/>
  <c r="BF418" i="321"/>
  <c r="BF420" i="321" s="1"/>
  <c r="BF424" i="321" s="1"/>
  <c r="BF425" i="321" s="1"/>
  <c r="BF428" i="321" s="1"/>
  <c r="BG225" i="321"/>
  <c r="BG227" i="321" s="1"/>
  <c r="BG231" i="321" s="1"/>
  <c r="BG232" i="321" s="1"/>
  <c r="BG386" i="321"/>
  <c r="BG388" i="321" s="1"/>
  <c r="BG392" i="321" s="1"/>
  <c r="BG393" i="321" s="1"/>
  <c r="BG396" i="321" s="1"/>
  <c r="BG337" i="321"/>
  <c r="BG339" i="321" s="1"/>
  <c r="BG343" i="321" s="1"/>
  <c r="BG344" i="321" s="1"/>
  <c r="BG418" i="321"/>
  <c r="BG420" i="321" s="1"/>
  <c r="BG424" i="321" s="1"/>
  <c r="BG425" i="321" s="1"/>
  <c r="BG428" i="321" s="1"/>
  <c r="BH225" i="321"/>
  <c r="BH227" i="321" s="1"/>
  <c r="BH231" i="321" s="1"/>
  <c r="BH232" i="321" s="1"/>
  <c r="BH386" i="321"/>
  <c r="BH388" i="321" s="1"/>
  <c r="BH392" i="321" s="1"/>
  <c r="BH393" i="321" s="1"/>
  <c r="BH396" i="321" s="1"/>
  <c r="BH337" i="321"/>
  <c r="BH339" i="321" s="1"/>
  <c r="BH343" i="321" s="1"/>
  <c r="BH344" i="321" s="1"/>
  <c r="BH418" i="321"/>
  <c r="BH420" i="321" s="1"/>
  <c r="BH424" i="321" s="1"/>
  <c r="BH425" i="321" s="1"/>
  <c r="BH428" i="321" s="1"/>
  <c r="BI225" i="321"/>
  <c r="BI227" i="321" s="1"/>
  <c r="BI231" i="321" s="1"/>
  <c r="BI232" i="321" s="1"/>
  <c r="BI386" i="321"/>
  <c r="BI388" i="321" s="1"/>
  <c r="BI392" i="321" s="1"/>
  <c r="BI393" i="321" s="1"/>
  <c r="BI396" i="321" s="1"/>
  <c r="BI337" i="321"/>
  <c r="BI339" i="321" s="1"/>
  <c r="BI343" i="321" s="1"/>
  <c r="BI344" i="321" s="1"/>
  <c r="BI418" i="321"/>
  <c r="BI420" i="321" s="1"/>
  <c r="BI424" i="321" s="1"/>
  <c r="BI425" i="321" s="1"/>
  <c r="BI428" i="321" s="1"/>
  <c r="BJ225" i="321"/>
  <c r="BJ227" i="321" s="1"/>
  <c r="BJ231" i="321" s="1"/>
  <c r="BJ232" i="321" s="1"/>
  <c r="BJ386" i="321"/>
  <c r="BJ388" i="321" s="1"/>
  <c r="BJ392" i="321" s="1"/>
  <c r="BJ393" i="321" s="1"/>
  <c r="BJ396" i="321" s="1"/>
  <c r="BJ337" i="321"/>
  <c r="BJ339" i="321" s="1"/>
  <c r="BJ343" i="321" s="1"/>
  <c r="BJ344" i="321" s="1"/>
  <c r="BJ418" i="321"/>
  <c r="BJ420" i="321" s="1"/>
  <c r="BJ424" i="321" s="1"/>
  <c r="BJ425" i="321" s="1"/>
  <c r="BJ428" i="321" s="1"/>
  <c r="BK225" i="321"/>
  <c r="BK227" i="321" s="1"/>
  <c r="BK231" i="321" s="1"/>
  <c r="BK232" i="321" s="1"/>
  <c r="BK386" i="321"/>
  <c r="BK388" i="321" s="1"/>
  <c r="BK392" i="321" s="1"/>
  <c r="BK393" i="321" s="1"/>
  <c r="BK396" i="321" s="1"/>
  <c r="BK337" i="321"/>
  <c r="BK339" i="321" s="1"/>
  <c r="BK343" i="321" s="1"/>
  <c r="BK344" i="321" s="1"/>
  <c r="BK418" i="321"/>
  <c r="BK420" i="321" s="1"/>
  <c r="BK424" i="321" s="1"/>
  <c r="BK425" i="321" s="1"/>
  <c r="BK428" i="321" s="1"/>
  <c r="BL225" i="321"/>
  <c r="BL227" i="321" s="1"/>
  <c r="BL231" i="321" s="1"/>
  <c r="BL232" i="321" s="1"/>
  <c r="BL386" i="321"/>
  <c r="BL388" i="321" s="1"/>
  <c r="BL392" i="321" s="1"/>
  <c r="BL393" i="321" s="1"/>
  <c r="BL396" i="321" s="1"/>
  <c r="BL337" i="321"/>
  <c r="BL339" i="321" s="1"/>
  <c r="BL343" i="321" s="1"/>
  <c r="BL344" i="321" s="1"/>
  <c r="BL418" i="321"/>
  <c r="BL420" i="321" s="1"/>
  <c r="BL424" i="321" s="1"/>
  <c r="BL425" i="321" s="1"/>
  <c r="BL428" i="321" s="1"/>
  <c r="BM225" i="321"/>
  <c r="BM227" i="321" s="1"/>
  <c r="BM231" i="321" s="1"/>
  <c r="BM232" i="321" s="1"/>
  <c r="BM386" i="321"/>
  <c r="BM388" i="321" s="1"/>
  <c r="BM392" i="321" s="1"/>
  <c r="BM393" i="321" s="1"/>
  <c r="BM396" i="321" s="1"/>
  <c r="BM337" i="321"/>
  <c r="BM339" i="321" s="1"/>
  <c r="BM343" i="321" s="1"/>
  <c r="BM344" i="321" s="1"/>
  <c r="BM418" i="321"/>
  <c r="BM420" i="321" s="1"/>
  <c r="BM424" i="321" s="1"/>
  <c r="BM425" i="321" s="1"/>
  <c r="BM428" i="321" s="1"/>
  <c r="BN225" i="321"/>
  <c r="BN227" i="321" s="1"/>
  <c r="BN231" i="321" s="1"/>
  <c r="BN232" i="321" s="1"/>
  <c r="BN386" i="321"/>
  <c r="BN388" i="321" s="1"/>
  <c r="BN392" i="321" s="1"/>
  <c r="BN393" i="321" s="1"/>
  <c r="BN396" i="321" s="1"/>
  <c r="BN337" i="321"/>
  <c r="BN339" i="321" s="1"/>
  <c r="BN343" i="321" s="1"/>
  <c r="BN344" i="321" s="1"/>
  <c r="BN418" i="321"/>
  <c r="BN420" i="321" s="1"/>
  <c r="BN424" i="321" s="1"/>
  <c r="BN425" i="321" s="1"/>
  <c r="BN428" i="321" s="1"/>
  <c r="BO225" i="321"/>
  <c r="BO227" i="321" s="1"/>
  <c r="BO231" i="321" s="1"/>
  <c r="BO232" i="321" s="1"/>
  <c r="BO386" i="321"/>
  <c r="BO388" i="321" s="1"/>
  <c r="BO392" i="321" s="1"/>
  <c r="BO393" i="321" s="1"/>
  <c r="BO396" i="321" s="1"/>
  <c r="BO337" i="321"/>
  <c r="BO339" i="321" s="1"/>
  <c r="BO343" i="321" s="1"/>
  <c r="BO344" i="321" s="1"/>
  <c r="BO418" i="321"/>
  <c r="BO420" i="321" s="1"/>
  <c r="BO424" i="321" s="1"/>
  <c r="BO425" i="321" s="1"/>
  <c r="BO428" i="321" s="1"/>
  <c r="BP225" i="321"/>
  <c r="BP227" i="321" s="1"/>
  <c r="BP231" i="321" s="1"/>
  <c r="BP232" i="321" s="1"/>
  <c r="BP386" i="321"/>
  <c r="BP388" i="321" s="1"/>
  <c r="BP392" i="321" s="1"/>
  <c r="BP393" i="321" s="1"/>
  <c r="BP396" i="321" s="1"/>
  <c r="BP337" i="321"/>
  <c r="BP339" i="321" s="1"/>
  <c r="BP343" i="321" s="1"/>
  <c r="BP344" i="321" s="1"/>
  <c r="BP418" i="321"/>
  <c r="BP420" i="321" s="1"/>
  <c r="BP424" i="321" s="1"/>
  <c r="BP425" i="321" s="1"/>
  <c r="BP428" i="321" s="1"/>
  <c r="BQ225" i="321"/>
  <c r="BQ227" i="321" s="1"/>
  <c r="BQ231" i="321" s="1"/>
  <c r="BQ232" i="321" s="1"/>
  <c r="BQ386" i="321"/>
  <c r="BQ388" i="321" s="1"/>
  <c r="BQ392" i="321" s="1"/>
  <c r="BQ393" i="321" s="1"/>
  <c r="BQ396" i="321" s="1"/>
  <c r="BQ337" i="321"/>
  <c r="BQ339" i="321" s="1"/>
  <c r="BQ343" i="321" s="1"/>
  <c r="BQ344" i="321" s="1"/>
  <c r="BQ418" i="321"/>
  <c r="BQ420" i="321" s="1"/>
  <c r="BQ424" i="321" s="1"/>
  <c r="BQ425" i="321" s="1"/>
  <c r="BQ428" i="321" s="1"/>
  <c r="BR225" i="321"/>
  <c r="BR227" i="321" s="1"/>
  <c r="BR231" i="321" s="1"/>
  <c r="BR232" i="321" s="1"/>
  <c r="BR386" i="321"/>
  <c r="BR388" i="321" s="1"/>
  <c r="BR392" i="321" s="1"/>
  <c r="BR393" i="321" s="1"/>
  <c r="BR396" i="321" s="1"/>
  <c r="BR337" i="321"/>
  <c r="BR339" i="321" s="1"/>
  <c r="BR343" i="321" s="1"/>
  <c r="BR344" i="321" s="1"/>
  <c r="BR418" i="321"/>
  <c r="BR420" i="321" s="1"/>
  <c r="BR424" i="321" s="1"/>
  <c r="BR425" i="321" s="1"/>
  <c r="BR428" i="321" s="1"/>
  <c r="BS225" i="321"/>
  <c r="BS227" i="321" s="1"/>
  <c r="BS231" i="321" s="1"/>
  <c r="BS232" i="321" s="1"/>
  <c r="BS386" i="321"/>
  <c r="BS388" i="321" s="1"/>
  <c r="BS392" i="321" s="1"/>
  <c r="BS393" i="321" s="1"/>
  <c r="BS396" i="321" s="1"/>
  <c r="BS337" i="321"/>
  <c r="BS339" i="321" s="1"/>
  <c r="BS343" i="321" s="1"/>
  <c r="BS344" i="321" s="1"/>
  <c r="BS418" i="321"/>
  <c r="BS420" i="321" s="1"/>
  <c r="BS424" i="321" s="1"/>
  <c r="BS425" i="321" s="1"/>
  <c r="BS428" i="321" s="1"/>
  <c r="BT225" i="321"/>
  <c r="BT227" i="321" s="1"/>
  <c r="BT231" i="321" s="1"/>
  <c r="BT232" i="321" s="1"/>
  <c r="BT386" i="321"/>
  <c r="BT388" i="321" s="1"/>
  <c r="BT392" i="321" s="1"/>
  <c r="BT393" i="321" s="1"/>
  <c r="BT396" i="321" s="1"/>
  <c r="BT337" i="321"/>
  <c r="BT339" i="321" s="1"/>
  <c r="BT343" i="321" s="1"/>
  <c r="BT344" i="321" s="1"/>
  <c r="BT418" i="321"/>
  <c r="BT420" i="321" s="1"/>
  <c r="BT424" i="321" s="1"/>
  <c r="BT425" i="321" s="1"/>
  <c r="BT428" i="321" s="1"/>
  <c r="BU225" i="321"/>
  <c r="BU227" i="321" s="1"/>
  <c r="BU231" i="321" s="1"/>
  <c r="BU232" i="321" s="1"/>
  <c r="BU386" i="321"/>
  <c r="BU388" i="321" s="1"/>
  <c r="BU392" i="321" s="1"/>
  <c r="BU393" i="321" s="1"/>
  <c r="BU396" i="321" s="1"/>
  <c r="BU337" i="321"/>
  <c r="BU339" i="321" s="1"/>
  <c r="BU343" i="321" s="1"/>
  <c r="BU344" i="321" s="1"/>
  <c r="BU418" i="321"/>
  <c r="BU420" i="321" s="1"/>
  <c r="BU424" i="321" s="1"/>
  <c r="BU425" i="321" s="1"/>
  <c r="BU428" i="321" s="1"/>
  <c r="BV225" i="321"/>
  <c r="BV227" i="321" s="1"/>
  <c r="BV231" i="321" s="1"/>
  <c r="BV232" i="321" s="1"/>
  <c r="BV386" i="321"/>
  <c r="BV388" i="321" s="1"/>
  <c r="BV392" i="321" s="1"/>
  <c r="BV393" i="321" s="1"/>
  <c r="BV396" i="321" s="1"/>
  <c r="BV337" i="321"/>
  <c r="BV339" i="321" s="1"/>
  <c r="BV343" i="321" s="1"/>
  <c r="BV344" i="321" s="1"/>
  <c r="BV418" i="321"/>
  <c r="BV420" i="321" s="1"/>
  <c r="BV424" i="321" s="1"/>
  <c r="BV425" i="321" s="1"/>
  <c r="BV428" i="321" s="1"/>
  <c r="BW225" i="321"/>
  <c r="BW227" i="321" s="1"/>
  <c r="BW231" i="321" s="1"/>
  <c r="BW232" i="321" s="1"/>
  <c r="BW386" i="321"/>
  <c r="BW388" i="321" s="1"/>
  <c r="BW392" i="321" s="1"/>
  <c r="BW393" i="321" s="1"/>
  <c r="BW396" i="321" s="1"/>
  <c r="BW337" i="321"/>
  <c r="BW339" i="321" s="1"/>
  <c r="BW343" i="321" s="1"/>
  <c r="BW344" i="321" s="1"/>
  <c r="BW418" i="321"/>
  <c r="BW420" i="321" s="1"/>
  <c r="BW424" i="321" s="1"/>
  <c r="BW425" i="321" s="1"/>
  <c r="BW428" i="321" s="1"/>
  <c r="BX225" i="321"/>
  <c r="BX227" i="321" s="1"/>
  <c r="BX231" i="321" s="1"/>
  <c r="BX232" i="321" s="1"/>
  <c r="BX386" i="321"/>
  <c r="BX388" i="321" s="1"/>
  <c r="BX392" i="321" s="1"/>
  <c r="BX393" i="321" s="1"/>
  <c r="BX396" i="321" s="1"/>
  <c r="BX337" i="321"/>
  <c r="BX339" i="321" s="1"/>
  <c r="BX343" i="321" s="1"/>
  <c r="BX344" i="321" s="1"/>
  <c r="BX418" i="321"/>
  <c r="BX420" i="321" s="1"/>
  <c r="BX424" i="321" s="1"/>
  <c r="BX425" i="321" s="1"/>
  <c r="BX428" i="321" s="1"/>
  <c r="BY225" i="321"/>
  <c r="BY227" i="321" s="1"/>
  <c r="BY231" i="321" s="1"/>
  <c r="BY232" i="321" s="1"/>
  <c r="BY386" i="321"/>
  <c r="BY388" i="321" s="1"/>
  <c r="BY392" i="321" s="1"/>
  <c r="BY393" i="321" s="1"/>
  <c r="BY396" i="321" s="1"/>
  <c r="BY337" i="321"/>
  <c r="BY339" i="321" s="1"/>
  <c r="BY343" i="321" s="1"/>
  <c r="BY344" i="321" s="1"/>
  <c r="BY418" i="321"/>
  <c r="BY420" i="321" s="1"/>
  <c r="BY424" i="321" s="1"/>
  <c r="BY425" i="321" s="1"/>
  <c r="BY428" i="321" s="1"/>
  <c r="BZ225" i="321"/>
  <c r="BZ227" i="321" s="1"/>
  <c r="BZ231" i="321" s="1"/>
  <c r="BZ232" i="321" s="1"/>
  <c r="BZ386" i="321"/>
  <c r="BZ388" i="321" s="1"/>
  <c r="BZ392" i="321" s="1"/>
  <c r="BZ393" i="321" s="1"/>
  <c r="BZ396" i="321" s="1"/>
  <c r="BZ337" i="321"/>
  <c r="BZ339" i="321" s="1"/>
  <c r="BZ343" i="321" s="1"/>
  <c r="BZ344" i="321" s="1"/>
  <c r="BZ418" i="321"/>
  <c r="BZ420" i="321" s="1"/>
  <c r="BZ424" i="321" s="1"/>
  <c r="BZ425" i="321" s="1"/>
  <c r="BZ428" i="321" s="1"/>
  <c r="CA225" i="321"/>
  <c r="CA227" i="321" s="1"/>
  <c r="CA231" i="321" s="1"/>
  <c r="CA232" i="321" s="1"/>
  <c r="CA386" i="321"/>
  <c r="CA388" i="321" s="1"/>
  <c r="CA392" i="321" s="1"/>
  <c r="CA393" i="321" s="1"/>
  <c r="CA396" i="321" s="1"/>
  <c r="CA337" i="321"/>
  <c r="CA339" i="321" s="1"/>
  <c r="CA343" i="321" s="1"/>
  <c r="CA344" i="321" s="1"/>
  <c r="CA418" i="321"/>
  <c r="CA420" i="321" s="1"/>
  <c r="CA424" i="321" s="1"/>
  <c r="CA425" i="321" s="1"/>
  <c r="CA428" i="321" s="1"/>
  <c r="CB225" i="321"/>
  <c r="CB227" i="321" s="1"/>
  <c r="CB231" i="321" s="1"/>
  <c r="CB232" i="321" s="1"/>
  <c r="CB386" i="321"/>
  <c r="CB388" i="321" s="1"/>
  <c r="CB392" i="321" s="1"/>
  <c r="CB393" i="321" s="1"/>
  <c r="CB396" i="321" s="1"/>
  <c r="CB337" i="321"/>
  <c r="CB339" i="321" s="1"/>
  <c r="CB343" i="321" s="1"/>
  <c r="CB344" i="321" s="1"/>
  <c r="CB418" i="321"/>
  <c r="CB420" i="321" s="1"/>
  <c r="CB424" i="321" s="1"/>
  <c r="CB425" i="321" s="1"/>
  <c r="CB428" i="321" s="1"/>
  <c r="CC225" i="321"/>
  <c r="CC227" i="321" s="1"/>
  <c r="CC231" i="321" s="1"/>
  <c r="CC232" i="321" s="1"/>
  <c r="CC386" i="321"/>
  <c r="CC388" i="321" s="1"/>
  <c r="CC392" i="321" s="1"/>
  <c r="CC393" i="321" s="1"/>
  <c r="CC396" i="321" s="1"/>
  <c r="CC337" i="321"/>
  <c r="CC339" i="321" s="1"/>
  <c r="CC343" i="321" s="1"/>
  <c r="CC344" i="321" s="1"/>
  <c r="CC418" i="321"/>
  <c r="CC420" i="321" s="1"/>
  <c r="CC424" i="321" s="1"/>
  <c r="CC425" i="321" s="1"/>
  <c r="CC428" i="321" s="1"/>
  <c r="CD225" i="321"/>
  <c r="CD227" i="321" s="1"/>
  <c r="CD231" i="321" s="1"/>
  <c r="CD232" i="321" s="1"/>
  <c r="CD386" i="321"/>
  <c r="CD388" i="321" s="1"/>
  <c r="CD392" i="321" s="1"/>
  <c r="CD393" i="321" s="1"/>
  <c r="CD396" i="321" s="1"/>
  <c r="CD337" i="321"/>
  <c r="CD339" i="321" s="1"/>
  <c r="CD343" i="321" s="1"/>
  <c r="CD344" i="321" s="1"/>
  <c r="CD418" i="321"/>
  <c r="CD420" i="321" s="1"/>
  <c r="CD424" i="321" s="1"/>
  <c r="CD425" i="321" s="1"/>
  <c r="CD428" i="321" s="1"/>
  <c r="CE225" i="321"/>
  <c r="CE227" i="321" s="1"/>
  <c r="CE231" i="321" s="1"/>
  <c r="CE232" i="321" s="1"/>
  <c r="CE386" i="321"/>
  <c r="CE388" i="321" s="1"/>
  <c r="CE392" i="321" s="1"/>
  <c r="CE393" i="321" s="1"/>
  <c r="CE396" i="321" s="1"/>
  <c r="CE337" i="321"/>
  <c r="CE339" i="321" s="1"/>
  <c r="CE343" i="321" s="1"/>
  <c r="CE344" i="321" s="1"/>
  <c r="CE418" i="321"/>
  <c r="CE420" i="321" s="1"/>
  <c r="CE424" i="321" s="1"/>
  <c r="CE425" i="321" s="1"/>
  <c r="CE428" i="321" s="1"/>
  <c r="CF225" i="321"/>
  <c r="CF227" i="321" s="1"/>
  <c r="CF231" i="321" s="1"/>
  <c r="CF232" i="321" s="1"/>
  <c r="CF386" i="321"/>
  <c r="CF388" i="321" s="1"/>
  <c r="CF392" i="321" s="1"/>
  <c r="CF393" i="321" s="1"/>
  <c r="CF396" i="321" s="1"/>
  <c r="CF337" i="321"/>
  <c r="CF339" i="321" s="1"/>
  <c r="CF343" i="321" s="1"/>
  <c r="CF344" i="321" s="1"/>
  <c r="CF418" i="321"/>
  <c r="CF420" i="321" s="1"/>
  <c r="CF424" i="321" s="1"/>
  <c r="CF425" i="321" s="1"/>
  <c r="CF428" i="321" s="1"/>
  <c r="CG225" i="321"/>
  <c r="CG227" i="321" s="1"/>
  <c r="CG231" i="321" s="1"/>
  <c r="CG232" i="321" s="1"/>
  <c r="CG386" i="321"/>
  <c r="CG388" i="321" s="1"/>
  <c r="CG392" i="321" s="1"/>
  <c r="CG393" i="321" s="1"/>
  <c r="CG396" i="321" s="1"/>
  <c r="CG337" i="321"/>
  <c r="CG339" i="321" s="1"/>
  <c r="CG343" i="321" s="1"/>
  <c r="CG344" i="321" s="1"/>
  <c r="CG418" i="321"/>
  <c r="CG420" i="321" s="1"/>
  <c r="CG424" i="321" s="1"/>
  <c r="CG425" i="321" s="1"/>
  <c r="CG428" i="321" s="1"/>
  <c r="CH225" i="321"/>
  <c r="CH227" i="321" s="1"/>
  <c r="CH231" i="321" s="1"/>
  <c r="CH232" i="321" s="1"/>
  <c r="CH386" i="321"/>
  <c r="CH388" i="321" s="1"/>
  <c r="CH392" i="321" s="1"/>
  <c r="CH393" i="321" s="1"/>
  <c r="CH396" i="321" s="1"/>
  <c r="CH337" i="321"/>
  <c r="CH339" i="321" s="1"/>
  <c r="CH343" i="321" s="1"/>
  <c r="CH344" i="321" s="1"/>
  <c r="CH418" i="321"/>
  <c r="CH420" i="321" s="1"/>
  <c r="CH424" i="321" s="1"/>
  <c r="CH425" i="321" s="1"/>
  <c r="CH428" i="321" s="1"/>
  <c r="CI225" i="321"/>
  <c r="CI227" i="321" s="1"/>
  <c r="CI231" i="321" s="1"/>
  <c r="CI232" i="321" s="1"/>
  <c r="CI386" i="321"/>
  <c r="CI388" i="321" s="1"/>
  <c r="CI392" i="321" s="1"/>
  <c r="CI393" i="321" s="1"/>
  <c r="CI396" i="321" s="1"/>
  <c r="CI337" i="321"/>
  <c r="CI339" i="321" s="1"/>
  <c r="CI343" i="321" s="1"/>
  <c r="CI344" i="321" s="1"/>
  <c r="CI418" i="321"/>
  <c r="CI420" i="321" s="1"/>
  <c r="CI424" i="321" s="1"/>
  <c r="CI425" i="321" s="1"/>
  <c r="CI428" i="321" s="1"/>
  <c r="CJ225" i="321"/>
  <c r="CJ227" i="321" s="1"/>
  <c r="CJ231" i="321" s="1"/>
  <c r="CJ232" i="321" s="1"/>
  <c r="CJ386" i="321"/>
  <c r="CJ388" i="321" s="1"/>
  <c r="CJ392" i="321" s="1"/>
  <c r="CJ393" i="321" s="1"/>
  <c r="CJ396" i="321" s="1"/>
  <c r="CJ337" i="321"/>
  <c r="CJ339" i="321" s="1"/>
  <c r="CJ343" i="321" s="1"/>
  <c r="CJ344" i="321" s="1"/>
  <c r="CJ418" i="321"/>
  <c r="CJ420" i="321" s="1"/>
  <c r="CJ424" i="321" s="1"/>
  <c r="CJ425" i="321" s="1"/>
  <c r="CJ428" i="321" s="1"/>
  <c r="CK225" i="321"/>
  <c r="CK227" i="321" s="1"/>
  <c r="CK231" i="321" s="1"/>
  <c r="CK232" i="321" s="1"/>
  <c r="CK386" i="321"/>
  <c r="CK388" i="321" s="1"/>
  <c r="CK392" i="321" s="1"/>
  <c r="CK393" i="321" s="1"/>
  <c r="CK396" i="321" s="1"/>
  <c r="CK337" i="321"/>
  <c r="CK339" i="321" s="1"/>
  <c r="CK343" i="321" s="1"/>
  <c r="CK344" i="321" s="1"/>
  <c r="CK418" i="321"/>
  <c r="CK420" i="321" s="1"/>
  <c r="CK424" i="321" s="1"/>
  <c r="CK425" i="321" s="1"/>
  <c r="CK428" i="321" s="1"/>
  <c r="CL225" i="321"/>
  <c r="CL227" i="321" s="1"/>
  <c r="CL231" i="321" s="1"/>
  <c r="CL232" i="321" s="1"/>
  <c r="CL386" i="321"/>
  <c r="CL388" i="321" s="1"/>
  <c r="CL392" i="321" s="1"/>
  <c r="CL393" i="321" s="1"/>
  <c r="CL396" i="321" s="1"/>
  <c r="CL337" i="321"/>
  <c r="CL339" i="321" s="1"/>
  <c r="CL343" i="321" s="1"/>
  <c r="CL344" i="321" s="1"/>
  <c r="CL418" i="321"/>
  <c r="CL420" i="321" s="1"/>
  <c r="CL424" i="321" s="1"/>
  <c r="CL425" i="321" s="1"/>
  <c r="CL428" i="321" s="1"/>
  <c r="CM225" i="321"/>
  <c r="CM227" i="321" s="1"/>
  <c r="CM231" i="321" s="1"/>
  <c r="CM232" i="321" s="1"/>
  <c r="CM386" i="321"/>
  <c r="CM388" i="321" s="1"/>
  <c r="CM392" i="321" s="1"/>
  <c r="CM393" i="321" s="1"/>
  <c r="CM396" i="321" s="1"/>
  <c r="CM337" i="321"/>
  <c r="CM339" i="321" s="1"/>
  <c r="CM343" i="321" s="1"/>
  <c r="CM344" i="321" s="1"/>
  <c r="CM418" i="321"/>
  <c r="CM420" i="321" s="1"/>
  <c r="CM424" i="321" s="1"/>
  <c r="CM425" i="321" s="1"/>
  <c r="CM428" i="321" s="1"/>
  <c r="CN225" i="321"/>
  <c r="CN227" i="321" s="1"/>
  <c r="CN231" i="321" s="1"/>
  <c r="CN232" i="321" s="1"/>
  <c r="CN386" i="321"/>
  <c r="CN388" i="321" s="1"/>
  <c r="CN392" i="321" s="1"/>
  <c r="CN393" i="321" s="1"/>
  <c r="CN396" i="321" s="1"/>
  <c r="CN337" i="321"/>
  <c r="CN339" i="321" s="1"/>
  <c r="CN343" i="321" s="1"/>
  <c r="CN344" i="321" s="1"/>
  <c r="CN418" i="321"/>
  <c r="CN420" i="321" s="1"/>
  <c r="CN424" i="321" s="1"/>
  <c r="CN425" i="321" s="1"/>
  <c r="CN428" i="321" s="1"/>
  <c r="CO225" i="321"/>
  <c r="CO227" i="321" s="1"/>
  <c r="CO231" i="321" s="1"/>
  <c r="CO232" i="321" s="1"/>
  <c r="CO386" i="321"/>
  <c r="CO388" i="321" s="1"/>
  <c r="CO392" i="321" s="1"/>
  <c r="CO393" i="321" s="1"/>
  <c r="CO396" i="321" s="1"/>
  <c r="CO337" i="321"/>
  <c r="CO339" i="321" s="1"/>
  <c r="CO343" i="321" s="1"/>
  <c r="CO344" i="321" s="1"/>
  <c r="CO418" i="321"/>
  <c r="CO420" i="321" s="1"/>
  <c r="CO424" i="321" s="1"/>
  <c r="CO425" i="321" s="1"/>
  <c r="CO428" i="321" s="1"/>
  <c r="CP225" i="321"/>
  <c r="CP227" i="321" s="1"/>
  <c r="CP231" i="321" s="1"/>
  <c r="CP232" i="321" s="1"/>
  <c r="CP386" i="321"/>
  <c r="CP388" i="321" s="1"/>
  <c r="CP392" i="321" s="1"/>
  <c r="CP393" i="321" s="1"/>
  <c r="CP396" i="321" s="1"/>
  <c r="CP337" i="321"/>
  <c r="CP339" i="321" s="1"/>
  <c r="CP343" i="321" s="1"/>
  <c r="CP344" i="321" s="1"/>
  <c r="CP418" i="321"/>
  <c r="CP420" i="321" s="1"/>
  <c r="CP424" i="321" s="1"/>
  <c r="CP425" i="321" s="1"/>
  <c r="CP428" i="321" s="1"/>
  <c r="CQ225" i="321"/>
  <c r="CQ227" i="321" s="1"/>
  <c r="CQ231" i="321" s="1"/>
  <c r="CQ232" i="321" s="1"/>
  <c r="CQ386" i="321"/>
  <c r="CQ388" i="321" s="1"/>
  <c r="CQ392" i="321" s="1"/>
  <c r="CQ393" i="321" s="1"/>
  <c r="CQ396" i="321" s="1"/>
  <c r="CQ337" i="321"/>
  <c r="CQ339" i="321" s="1"/>
  <c r="CQ343" i="321" s="1"/>
  <c r="CQ344" i="321" s="1"/>
  <c r="CQ418" i="321"/>
  <c r="CQ420" i="321" s="1"/>
  <c r="CQ424" i="321" s="1"/>
  <c r="CQ425" i="321" s="1"/>
  <c r="CQ428" i="321" s="1"/>
  <c r="CR225" i="321"/>
  <c r="CR227" i="321" s="1"/>
  <c r="CR231" i="321" s="1"/>
  <c r="CR232" i="321" s="1"/>
  <c r="CR386" i="321"/>
  <c r="CR388" i="321" s="1"/>
  <c r="CR392" i="321" s="1"/>
  <c r="CR393" i="321" s="1"/>
  <c r="CR396" i="321" s="1"/>
  <c r="CR337" i="321"/>
  <c r="CR339" i="321" s="1"/>
  <c r="CR343" i="321" s="1"/>
  <c r="CR344" i="321" s="1"/>
  <c r="CR418" i="321"/>
  <c r="CR420" i="321" s="1"/>
  <c r="CR424" i="321" s="1"/>
  <c r="CR425" i="321" s="1"/>
  <c r="CR428" i="321" s="1"/>
  <c r="CS225" i="321"/>
  <c r="CS227" i="321" s="1"/>
  <c r="CS231" i="321" s="1"/>
  <c r="CS232" i="321" s="1"/>
  <c r="CS386" i="321"/>
  <c r="CS388" i="321" s="1"/>
  <c r="CS392" i="321" s="1"/>
  <c r="CS393" i="321" s="1"/>
  <c r="CS396" i="321" s="1"/>
  <c r="CS337" i="321"/>
  <c r="CS339" i="321" s="1"/>
  <c r="CS343" i="321" s="1"/>
  <c r="CS344" i="321" s="1"/>
  <c r="CS418" i="321"/>
  <c r="CS420" i="321" s="1"/>
  <c r="CS424" i="321" s="1"/>
  <c r="CS425" i="321" s="1"/>
  <c r="CS428" i="321" s="1"/>
  <c r="CT225" i="321"/>
  <c r="CT227" i="321" s="1"/>
  <c r="CT231" i="321" s="1"/>
  <c r="CT232" i="321" s="1"/>
  <c r="CT386" i="321"/>
  <c r="CT388" i="321" s="1"/>
  <c r="CT392" i="321" s="1"/>
  <c r="CT393" i="321" s="1"/>
  <c r="CT396" i="321" s="1"/>
  <c r="CT337" i="321"/>
  <c r="CT339" i="321" s="1"/>
  <c r="CT343" i="321" s="1"/>
  <c r="CT344" i="321" s="1"/>
  <c r="CT418" i="321"/>
  <c r="CT420" i="321" s="1"/>
  <c r="CT424" i="321" s="1"/>
  <c r="CT425" i="321" s="1"/>
  <c r="CT428" i="321" s="1"/>
  <c r="CU225" i="321"/>
  <c r="CU227" i="321" s="1"/>
  <c r="CU231" i="321" s="1"/>
  <c r="CU232" i="321" s="1"/>
  <c r="CU386" i="321"/>
  <c r="CU388" i="321" s="1"/>
  <c r="CU392" i="321" s="1"/>
  <c r="CU393" i="321" s="1"/>
  <c r="CU396" i="321" s="1"/>
  <c r="CU337" i="321"/>
  <c r="CU339" i="321" s="1"/>
  <c r="CU343" i="321" s="1"/>
  <c r="CU344" i="321" s="1"/>
  <c r="CU418" i="321"/>
  <c r="CU420" i="321" s="1"/>
  <c r="CU424" i="321" s="1"/>
  <c r="CU425" i="321" s="1"/>
  <c r="CU428" i="321" s="1"/>
  <c r="CV225" i="321"/>
  <c r="CV227" i="321" s="1"/>
  <c r="CV231" i="321" s="1"/>
  <c r="CV232" i="321" s="1"/>
  <c r="CV386" i="321"/>
  <c r="CV388" i="321" s="1"/>
  <c r="CV392" i="321" s="1"/>
  <c r="CV393" i="321" s="1"/>
  <c r="CV396" i="321" s="1"/>
  <c r="CV337" i="321"/>
  <c r="CV339" i="321" s="1"/>
  <c r="CV343" i="321" s="1"/>
  <c r="CV344" i="321" s="1"/>
  <c r="CV418" i="321"/>
  <c r="CV420" i="321" s="1"/>
  <c r="CV424" i="321" s="1"/>
  <c r="CV425" i="321" s="1"/>
  <c r="CV428" i="321" s="1"/>
  <c r="H54" i="265" l="1"/>
  <c r="H131" i="269" s="1"/>
  <c r="K131" i="269" s="1"/>
  <c r="H97" i="286"/>
  <c r="H20" i="286"/>
  <c r="H52" i="315"/>
  <c r="P197" i="278"/>
  <c r="P188" i="278"/>
  <c r="P189" i="278" s="1"/>
  <c r="P193" i="278" s="1"/>
  <c r="P9" i="315"/>
  <c r="P11" i="315" s="1"/>
  <c r="P192" i="278"/>
  <c r="P167" i="278"/>
  <c r="P163" i="278"/>
  <c r="P164" i="278" s="1"/>
  <c r="P168" i="278" s="1"/>
  <c r="P9" i="265"/>
  <c r="P11" i="265" s="1"/>
  <c r="P32" i="328" s="1"/>
  <c r="P172" i="278"/>
  <c r="P27" i="328"/>
  <c r="N197" i="278"/>
  <c r="N9" i="315"/>
  <c r="N11" i="315" s="1"/>
  <c r="N188" i="278"/>
  <c r="N189" i="278" s="1"/>
  <c r="N193" i="278" s="1"/>
  <c r="N192" i="278"/>
  <c r="N172" i="278"/>
  <c r="N167" i="278"/>
  <c r="N163" i="278"/>
  <c r="N164" i="278" s="1"/>
  <c r="N168" i="278" s="1"/>
  <c r="N9" i="265"/>
  <c r="N11" i="265" s="1"/>
  <c r="N32" i="328" s="1"/>
  <c r="N27" i="328"/>
  <c r="M9" i="315"/>
  <c r="M11" i="315" s="1"/>
  <c r="M188" i="278"/>
  <c r="M189" i="278" s="1"/>
  <c r="M193" i="278" s="1"/>
  <c r="M192" i="278"/>
  <c r="M197" i="278"/>
  <c r="M172" i="278"/>
  <c r="M167" i="278"/>
  <c r="M163" i="278"/>
  <c r="M164" i="278" s="1"/>
  <c r="M168" i="278" s="1"/>
  <c r="M9" i="265"/>
  <c r="M27" i="328"/>
  <c r="L47" i="328" s="1"/>
  <c r="L197" i="278"/>
  <c r="L188" i="278"/>
  <c r="L189" i="278" s="1"/>
  <c r="L193" i="278" s="1"/>
  <c r="L192" i="278"/>
  <c r="L9" i="315"/>
  <c r="L11" i="315" s="1"/>
  <c r="L172" i="278"/>
  <c r="L167" i="278"/>
  <c r="L163" i="278"/>
  <c r="L164" i="278" s="1"/>
  <c r="L168" i="278" s="1"/>
  <c r="L9" i="265"/>
  <c r="L11" i="265" s="1"/>
  <c r="L32" i="328" s="1"/>
  <c r="L27" i="328"/>
  <c r="K188" i="278"/>
  <c r="K189" i="278" s="1"/>
  <c r="K193" i="278" s="1"/>
  <c r="K9" i="315"/>
  <c r="K11" i="315" s="1"/>
  <c r="K192" i="278"/>
  <c r="K197" i="278"/>
  <c r="K172" i="278"/>
  <c r="K167" i="278"/>
  <c r="K163" i="278"/>
  <c r="K164" i="278" s="1"/>
  <c r="K168" i="278" s="1"/>
  <c r="K9" i="265"/>
  <c r="K27" i="328"/>
  <c r="K47" i="328" s="1"/>
  <c r="O192" i="278"/>
  <c r="O188" i="278"/>
  <c r="O189" i="278" s="1"/>
  <c r="O193" i="278" s="1"/>
  <c r="O9" i="315"/>
  <c r="O11" i="315" s="1"/>
  <c r="O197" i="278"/>
  <c r="O167" i="278"/>
  <c r="O163" i="278"/>
  <c r="O164" i="278" s="1"/>
  <c r="O168" i="278" s="1"/>
  <c r="O172" i="278"/>
  <c r="O9" i="265"/>
  <c r="O27" i="328"/>
  <c r="M47" i="328" s="1"/>
  <c r="CV107" i="282"/>
  <c r="CV174" i="314"/>
  <c r="CV39" i="282"/>
  <c r="BE206" i="307"/>
  <c r="BE122" i="307"/>
  <c r="J481" i="307"/>
  <c r="J488" i="307" s="1"/>
  <c r="J461" i="307"/>
  <c r="J468" i="307" s="1"/>
  <c r="H38" i="310"/>
  <c r="H25" i="307"/>
  <c r="H586" i="307"/>
  <c r="H35" i="310"/>
  <c r="H22" i="307"/>
  <c r="H583" i="307"/>
  <c r="J589" i="307"/>
  <c r="J104" i="278"/>
  <c r="J105" i="278" s="1"/>
  <c r="H101" i="278"/>
  <c r="H104" i="278" s="1"/>
  <c r="J74" i="278"/>
  <c r="J75" i="278" s="1"/>
  <c r="H71" i="278"/>
  <c r="H74" i="278" s="1"/>
  <c r="M61" i="277"/>
  <c r="M24" i="277"/>
  <c r="L61" i="277"/>
  <c r="L24" i="277"/>
  <c r="K10" i="282"/>
  <c r="K12" i="282" s="1"/>
  <c r="H24" i="265"/>
  <c r="H101" i="269" s="1"/>
  <c r="K101" i="269" s="1"/>
  <c r="H22" i="315"/>
  <c r="H59" i="315"/>
  <c r="H61" i="265"/>
  <c r="H138" i="269" s="1"/>
  <c r="K138" i="269" s="1"/>
  <c r="K61" i="277"/>
  <c r="H61" i="277" s="1"/>
  <c r="K24" i="277"/>
  <c r="H24" i="277" s="1"/>
  <c r="BD206" i="307"/>
  <c r="BD122" i="307"/>
  <c r="BC206" i="307"/>
  <c r="BC122" i="307"/>
  <c r="BB206" i="307"/>
  <c r="BB122" i="307"/>
  <c r="BA206" i="307"/>
  <c r="BA122" i="307"/>
  <c r="AZ206" i="307"/>
  <c r="AZ122" i="307"/>
  <c r="AY206" i="307"/>
  <c r="AY122" i="307"/>
  <c r="AX206" i="307"/>
  <c r="AX122" i="307"/>
  <c r="AW206" i="307"/>
  <c r="AW122" i="307"/>
  <c r="AV206" i="307"/>
  <c r="AV122" i="307"/>
  <c r="AU206" i="307"/>
  <c r="AU122" i="307"/>
  <c r="AT206" i="307"/>
  <c r="AT122" i="307"/>
  <c r="AS206" i="307"/>
  <c r="AS122" i="307"/>
  <c r="AR206" i="307"/>
  <c r="AR122" i="307"/>
  <c r="AQ206" i="307"/>
  <c r="AQ122" i="307"/>
  <c r="AP206" i="307"/>
  <c r="AP122" i="307"/>
  <c r="AO206" i="307"/>
  <c r="AO122" i="307"/>
  <c r="AN206" i="307"/>
  <c r="AN122" i="307"/>
  <c r="AM206" i="307"/>
  <c r="AM122" i="307"/>
  <c r="AL206" i="307"/>
  <c r="AL122" i="307"/>
  <c r="AK206" i="307"/>
  <c r="AK122" i="307"/>
  <c r="AJ206" i="307"/>
  <c r="AJ122" i="307"/>
  <c r="AI206" i="307"/>
  <c r="AI122" i="307"/>
  <c r="AH206" i="307"/>
  <c r="AH122" i="307"/>
  <c r="AG206" i="307"/>
  <c r="AG122" i="307"/>
  <c r="AF206" i="307"/>
  <c r="AF122" i="307"/>
  <c r="AE206" i="307"/>
  <c r="AE122" i="307"/>
  <c r="AD206" i="307"/>
  <c r="AD122" i="307"/>
  <c r="AC206" i="307"/>
  <c r="AC122" i="307"/>
  <c r="AB206" i="307"/>
  <c r="AB122" i="307"/>
  <c r="AA206" i="307"/>
  <c r="AA122" i="307"/>
  <c r="Z206" i="307"/>
  <c r="Z122" i="307"/>
  <c r="Y206" i="307"/>
  <c r="Y122" i="307"/>
  <c r="X206" i="307"/>
  <c r="X122" i="307"/>
  <c r="W206" i="307"/>
  <c r="W122" i="307"/>
  <c r="V206" i="307"/>
  <c r="V122" i="307"/>
  <c r="U206" i="307"/>
  <c r="U122" i="307"/>
  <c r="T206" i="307"/>
  <c r="T122" i="307"/>
  <c r="S206" i="307"/>
  <c r="S122" i="307"/>
  <c r="R206" i="307"/>
  <c r="R122" i="307"/>
  <c r="Q206" i="307"/>
  <c r="Q122" i="307"/>
  <c r="P206" i="307"/>
  <c r="P122" i="307"/>
  <c r="O206" i="307"/>
  <c r="O122" i="307"/>
  <c r="N206" i="307"/>
  <c r="N122" i="307"/>
  <c r="M206" i="307"/>
  <c r="M122" i="307"/>
  <c r="L206" i="307"/>
  <c r="L122" i="307"/>
  <c r="K206" i="307"/>
  <c r="K122" i="307"/>
  <c r="J194" i="307"/>
  <c r="J593" i="307"/>
  <c r="J32" i="310"/>
  <c r="J20" i="307"/>
  <c r="J200" i="307"/>
  <c r="J195" i="307"/>
  <c r="J206" i="307"/>
  <c r="J122" i="307"/>
  <c r="H172" i="307"/>
  <c r="H171" i="307"/>
  <c r="H592" i="307"/>
  <c r="H31" i="310"/>
  <c r="H199" i="307"/>
  <c r="H19" i="307"/>
  <c r="J201" i="307"/>
  <c r="K295" i="307"/>
  <c r="K214" i="307"/>
  <c r="K111" i="307"/>
  <c r="K120" i="307"/>
  <c r="K665" i="307"/>
  <c r="K223" i="307"/>
  <c r="K11" i="310"/>
  <c r="K177" i="307"/>
  <c r="J321" i="307"/>
  <c r="J322" i="307" s="1"/>
  <c r="J300" i="307"/>
  <c r="J301" i="307" s="1"/>
  <c r="J430" i="321"/>
  <c r="J33" i="282"/>
  <c r="J367" i="321"/>
  <c r="J101" i="282"/>
  <c r="J107" i="288"/>
  <c r="J257" i="288"/>
  <c r="J347" i="321"/>
  <c r="J349" i="321" s="1"/>
  <c r="J264" i="321"/>
  <c r="J265" i="321" s="1"/>
  <c r="J268" i="321" s="1"/>
  <c r="J398" i="321"/>
  <c r="J32" i="282"/>
  <c r="J365" i="321"/>
  <c r="J100" i="282"/>
  <c r="J105" i="288"/>
  <c r="J255" i="288"/>
  <c r="J235" i="321"/>
  <c r="J237" i="321" s="1"/>
  <c r="J152" i="321"/>
  <c r="J153" i="321" s="1"/>
  <c r="J156" i="321" s="1"/>
  <c r="J106" i="282"/>
  <c r="J661" i="321"/>
  <c r="J605" i="321"/>
  <c r="J38" i="282"/>
  <c r="CV347" i="321"/>
  <c r="CV264" i="321"/>
  <c r="CV235" i="321"/>
  <c r="CV152" i="321"/>
  <c r="CU347" i="321"/>
  <c r="CU264" i="321"/>
  <c r="CU235" i="321"/>
  <c r="CU152" i="321"/>
  <c r="CT347" i="321"/>
  <c r="CT264" i="321"/>
  <c r="CT235" i="321"/>
  <c r="CT152" i="321"/>
  <c r="CS347" i="321"/>
  <c r="CS264" i="321"/>
  <c r="CS235" i="321"/>
  <c r="CS152" i="321"/>
  <c r="CR347" i="321"/>
  <c r="CR264" i="321"/>
  <c r="CR235" i="321"/>
  <c r="CR152" i="321"/>
  <c r="CQ347" i="321"/>
  <c r="CQ264" i="321"/>
  <c r="CQ235" i="321"/>
  <c r="CQ152" i="321"/>
  <c r="CP347" i="321"/>
  <c r="CP264" i="321"/>
  <c r="CP235" i="321"/>
  <c r="CP152" i="321"/>
  <c r="CO347" i="321"/>
  <c r="CO264" i="321"/>
  <c r="CO235" i="321"/>
  <c r="CO152" i="321"/>
  <c r="CN347" i="321"/>
  <c r="CN264" i="321"/>
  <c r="CN235" i="321"/>
  <c r="CN152" i="321"/>
  <c r="CM347" i="321"/>
  <c r="CM264" i="321"/>
  <c r="CM235" i="321"/>
  <c r="CM152" i="321"/>
  <c r="CL347" i="321"/>
  <c r="CL264" i="321"/>
  <c r="CL235" i="321"/>
  <c r="CL152" i="321"/>
  <c r="CK347" i="321"/>
  <c r="CK264" i="321"/>
  <c r="CK235" i="321"/>
  <c r="CK152" i="321"/>
  <c r="CJ347" i="321"/>
  <c r="CJ264" i="321"/>
  <c r="CJ235" i="321"/>
  <c r="CJ152" i="321"/>
  <c r="CI347" i="321"/>
  <c r="CI264" i="321"/>
  <c r="CI235" i="321"/>
  <c r="CI152" i="321"/>
  <c r="CH347" i="321"/>
  <c r="CH264" i="321"/>
  <c r="CH235" i="321"/>
  <c r="CH152" i="321"/>
  <c r="CG347" i="321"/>
  <c r="CG264" i="321"/>
  <c r="CG235" i="321"/>
  <c r="CG152" i="321"/>
  <c r="CF347" i="321"/>
  <c r="CF264" i="321"/>
  <c r="CF235" i="321"/>
  <c r="CF152" i="321"/>
  <c r="CE347" i="321"/>
  <c r="CE264" i="321"/>
  <c r="CE235" i="321"/>
  <c r="CE152" i="321"/>
  <c r="CD347" i="321"/>
  <c r="CD264" i="321"/>
  <c r="CD235" i="321"/>
  <c r="CD152" i="321"/>
  <c r="CC347" i="321"/>
  <c r="CC264" i="321"/>
  <c r="CC235" i="321"/>
  <c r="CC152" i="321"/>
  <c r="CB347" i="321"/>
  <c r="CB264" i="321"/>
  <c r="CB235" i="321"/>
  <c r="CB152" i="321"/>
  <c r="CA347" i="321"/>
  <c r="CA264" i="321"/>
  <c r="CA235" i="321"/>
  <c r="CA152" i="321"/>
  <c r="BZ347" i="321"/>
  <c r="BZ264" i="321"/>
  <c r="BZ235" i="321"/>
  <c r="BZ152" i="321"/>
  <c r="BY347" i="321"/>
  <c r="BY264" i="321"/>
  <c r="BY235" i="321"/>
  <c r="BY152" i="321"/>
  <c r="BX347" i="321"/>
  <c r="BX264" i="321"/>
  <c r="BX235" i="321"/>
  <c r="BX152" i="321"/>
  <c r="BW347" i="321"/>
  <c r="BW264" i="321"/>
  <c r="BW235" i="321"/>
  <c r="BW152" i="321"/>
  <c r="BV347" i="321"/>
  <c r="BV264" i="321"/>
  <c r="BV235" i="321"/>
  <c r="BV152" i="321"/>
  <c r="BU347" i="321"/>
  <c r="BU264" i="321"/>
  <c r="BU235" i="321"/>
  <c r="BU152" i="321"/>
  <c r="BT347" i="321"/>
  <c r="BT264" i="321"/>
  <c r="BT235" i="321"/>
  <c r="BT152" i="321"/>
  <c r="BS347" i="321"/>
  <c r="BS264" i="321"/>
  <c r="BS235" i="321"/>
  <c r="BS152" i="321"/>
  <c r="BR347" i="321"/>
  <c r="BR264" i="321"/>
  <c r="BR235" i="321"/>
  <c r="BR152" i="321"/>
  <c r="BQ347" i="321"/>
  <c r="BQ264" i="321"/>
  <c r="BQ235" i="321"/>
  <c r="BQ152" i="321"/>
  <c r="BP347" i="321"/>
  <c r="BP264" i="321"/>
  <c r="BP235" i="321"/>
  <c r="BP152" i="321"/>
  <c r="BO347" i="321"/>
  <c r="BO264" i="321"/>
  <c r="BO235" i="321"/>
  <c r="BO152" i="321"/>
  <c r="BN347" i="321"/>
  <c r="BN264" i="321"/>
  <c r="BN235" i="321"/>
  <c r="BN152" i="321"/>
  <c r="BM347" i="321"/>
  <c r="BM264" i="321"/>
  <c r="BM235" i="321"/>
  <c r="BM152" i="321"/>
  <c r="BL347" i="321"/>
  <c r="BL264" i="321"/>
  <c r="BL235" i="321"/>
  <c r="BL152" i="321"/>
  <c r="BK347" i="321"/>
  <c r="BK264" i="321"/>
  <c r="BK235" i="321"/>
  <c r="BK152" i="321"/>
  <c r="BJ347" i="321"/>
  <c r="BJ264" i="321"/>
  <c r="BJ235" i="321"/>
  <c r="BJ152" i="321"/>
  <c r="BI347" i="321"/>
  <c r="BI264" i="321"/>
  <c r="BI235" i="321"/>
  <c r="BI152" i="321"/>
  <c r="BH347" i="321"/>
  <c r="BH264" i="321"/>
  <c r="BH235" i="321"/>
  <c r="BH152" i="321"/>
  <c r="BG347" i="321"/>
  <c r="BG264" i="321"/>
  <c r="BG235" i="321"/>
  <c r="BG152" i="321"/>
  <c r="BF347" i="321"/>
  <c r="BF264" i="321"/>
  <c r="BF235" i="321"/>
  <c r="BF152" i="321"/>
  <c r="BE347" i="321"/>
  <c r="BE264" i="321"/>
  <c r="BE235" i="321"/>
  <c r="BE152" i="321"/>
  <c r="BD347" i="321"/>
  <c r="BD264" i="321"/>
  <c r="BD235" i="321"/>
  <c r="BD152" i="321"/>
  <c r="BC347" i="321"/>
  <c r="BC264" i="321"/>
  <c r="BC235" i="321"/>
  <c r="BC152" i="321"/>
  <c r="BB347" i="321"/>
  <c r="BB264" i="321"/>
  <c r="BB235" i="321"/>
  <c r="BB152" i="321"/>
  <c r="BA347" i="321"/>
  <c r="BA264" i="321"/>
  <c r="BA235" i="321"/>
  <c r="BA152" i="321"/>
  <c r="AZ347" i="321"/>
  <c r="AZ264" i="321"/>
  <c r="AZ235" i="321"/>
  <c r="AZ152" i="321"/>
  <c r="AY347" i="321"/>
  <c r="AY264" i="321"/>
  <c r="AY235" i="321"/>
  <c r="AY152" i="321"/>
  <c r="AX347" i="321"/>
  <c r="AX264" i="321"/>
  <c r="AX235" i="321"/>
  <c r="AX152" i="321"/>
  <c r="AW347" i="321"/>
  <c r="AW264" i="321"/>
  <c r="AW235" i="321"/>
  <c r="AW152" i="321"/>
  <c r="AV347" i="321"/>
  <c r="AV264" i="321"/>
  <c r="AV235" i="321"/>
  <c r="AV152" i="321"/>
  <c r="AU347" i="321"/>
  <c r="AU264" i="321"/>
  <c r="AU235" i="321"/>
  <c r="AU152" i="321"/>
  <c r="AT347" i="321"/>
  <c r="AT264" i="321"/>
  <c r="AT235" i="321"/>
  <c r="AT152" i="321"/>
  <c r="AS347" i="321"/>
  <c r="AS264" i="321"/>
  <c r="AS235" i="321"/>
  <c r="AS152" i="321"/>
  <c r="AR347" i="321"/>
  <c r="AR264" i="321"/>
  <c r="AR235" i="321"/>
  <c r="AR152" i="321"/>
  <c r="AQ347" i="321"/>
  <c r="AQ264" i="321"/>
  <c r="AQ235" i="321"/>
  <c r="AQ152" i="321"/>
  <c r="AP347" i="321"/>
  <c r="AP264" i="321"/>
  <c r="AP235" i="321"/>
  <c r="AP152" i="321"/>
  <c r="AO347" i="321"/>
  <c r="AO264" i="321"/>
  <c r="AO235" i="321"/>
  <c r="AO152" i="321"/>
  <c r="AN347" i="321"/>
  <c r="AN264" i="321"/>
  <c r="AN235" i="321"/>
  <c r="AN152" i="321"/>
  <c r="AM347" i="321"/>
  <c r="AM264" i="321"/>
  <c r="AM235" i="321"/>
  <c r="AM152" i="321"/>
  <c r="AL347" i="321"/>
  <c r="AL264" i="321"/>
  <c r="AL235" i="321"/>
  <c r="AL152" i="321"/>
  <c r="AK347" i="321"/>
  <c r="AK264" i="321"/>
  <c r="AK235" i="321"/>
  <c r="AK152" i="321"/>
  <c r="AJ347" i="321"/>
  <c r="AJ264" i="321"/>
  <c r="AJ235" i="321"/>
  <c r="AJ152" i="321"/>
  <c r="AI347" i="321"/>
  <c r="AI264" i="321"/>
  <c r="AI235" i="321"/>
  <c r="AI152" i="321"/>
  <c r="AH347" i="321"/>
  <c r="AH264" i="321"/>
  <c r="AH235" i="321"/>
  <c r="AH152" i="321"/>
  <c r="AG347" i="321"/>
  <c r="AG264" i="321"/>
  <c r="AG235" i="321"/>
  <c r="AG152" i="321"/>
  <c r="AF347" i="321"/>
  <c r="AF264" i="321"/>
  <c r="AF235" i="321"/>
  <c r="AF152" i="321"/>
  <c r="AE347" i="321"/>
  <c r="AE264" i="321"/>
  <c r="AE235" i="321"/>
  <c r="AE152" i="321"/>
  <c r="AD347" i="321"/>
  <c r="AD264" i="321"/>
  <c r="AD235" i="321"/>
  <c r="AD152" i="321"/>
  <c r="AC347" i="321"/>
  <c r="AC264" i="321"/>
  <c r="AC235" i="321"/>
  <c r="AC152" i="321"/>
  <c r="AB347" i="321"/>
  <c r="AB264" i="321"/>
  <c r="AB235" i="321"/>
  <c r="AB152" i="321"/>
  <c r="AA347" i="321"/>
  <c r="AA264" i="321"/>
  <c r="AA235" i="321"/>
  <c r="AA152" i="321"/>
  <c r="Z347" i="321"/>
  <c r="Z264" i="321"/>
  <c r="Z235" i="321"/>
  <c r="Z152" i="321"/>
  <c r="Y347" i="321"/>
  <c r="Y264" i="321"/>
  <c r="Y235" i="321"/>
  <c r="Y152" i="321"/>
  <c r="X347" i="321"/>
  <c r="X264" i="321"/>
  <c r="X235" i="321"/>
  <c r="X152" i="321"/>
  <c r="W347" i="321"/>
  <c r="W264" i="321"/>
  <c r="W235" i="321"/>
  <c r="W152" i="321"/>
  <c r="V347" i="321"/>
  <c r="V264" i="321"/>
  <c r="V235" i="321"/>
  <c r="V152" i="321"/>
  <c r="U347" i="321"/>
  <c r="U264" i="321"/>
  <c r="U235" i="321"/>
  <c r="U152" i="321"/>
  <c r="T347" i="321"/>
  <c r="T264" i="321"/>
  <c r="T235" i="321"/>
  <c r="T152" i="321"/>
  <c r="S347" i="321"/>
  <c r="S264" i="321"/>
  <c r="S235" i="321"/>
  <c r="S152" i="321"/>
  <c r="R347" i="321"/>
  <c r="R264" i="321"/>
  <c r="R235" i="321"/>
  <c r="R152" i="321"/>
  <c r="Q347" i="321"/>
  <c r="Q264" i="321"/>
  <c r="Q235" i="321"/>
  <c r="Q152" i="321"/>
  <c r="P347" i="321"/>
  <c r="P264" i="321"/>
  <c r="P265" i="321" s="1"/>
  <c r="P235" i="321"/>
  <c r="P152" i="321"/>
  <c r="P153" i="321" s="1"/>
  <c r="O347" i="321"/>
  <c r="O264" i="321"/>
  <c r="O235" i="321"/>
  <c r="O152" i="321"/>
  <c r="N347" i="321"/>
  <c r="N264" i="321"/>
  <c r="N235" i="321"/>
  <c r="N152" i="321"/>
  <c r="M347" i="321"/>
  <c r="M264" i="321"/>
  <c r="M235" i="321"/>
  <c r="M152" i="321"/>
  <c r="L347" i="321"/>
  <c r="L264" i="321"/>
  <c r="L235" i="321"/>
  <c r="L152" i="321"/>
  <c r="K347" i="321"/>
  <c r="K264" i="321"/>
  <c r="K265" i="321" s="1"/>
  <c r="K235" i="321"/>
  <c r="K152" i="321"/>
  <c r="K153" i="321" s="1"/>
  <c r="J25" i="265" l="1"/>
  <c r="J25" i="277" s="1"/>
  <c r="J62" i="265"/>
  <c r="J62" i="277" s="1"/>
  <c r="J23" i="315"/>
  <c r="J60" i="315"/>
  <c r="J242" i="321"/>
  <c r="J243" i="321" s="1"/>
  <c r="J244" i="321" s="1"/>
  <c r="J238" i="321"/>
  <c r="J28" i="282"/>
  <c r="J361" i="321"/>
  <c r="J98" i="282"/>
  <c r="J49" i="321"/>
  <c r="J251" i="288"/>
  <c r="J164" i="321"/>
  <c r="J101" i="288"/>
  <c r="J21" i="265"/>
  <c r="J21" i="277" s="1"/>
  <c r="J71" i="265"/>
  <c r="J71" i="277" s="1"/>
  <c r="J19" i="315"/>
  <c r="J67" i="315"/>
  <c r="J354" i="321"/>
  <c r="J355" i="321" s="1"/>
  <c r="J356" i="321" s="1"/>
  <c r="J350" i="321"/>
  <c r="J30" i="282"/>
  <c r="J363" i="321"/>
  <c r="J99" i="282"/>
  <c r="J50" i="321"/>
  <c r="J103" i="288"/>
  <c r="J253" i="288"/>
  <c r="J276" i="321"/>
  <c r="J22" i="265"/>
  <c r="J22" i="277" s="1"/>
  <c r="J72" i="265"/>
  <c r="J72" i="277" s="1"/>
  <c r="J20" i="315"/>
  <c r="J68" i="315"/>
  <c r="J308" i="307"/>
  <c r="J311" i="307" s="1"/>
  <c r="J329" i="307"/>
  <c r="J332" i="307" s="1"/>
  <c r="L112" i="307"/>
  <c r="L115" i="307" s="1"/>
  <c r="L116" i="307" s="1"/>
  <c r="J224" i="307"/>
  <c r="J202" i="307"/>
  <c r="H69" i="269"/>
  <c r="K69" i="269" s="1"/>
  <c r="F153" i="328"/>
  <c r="H122" i="307"/>
  <c r="H206" i="307"/>
  <c r="J207" i="307"/>
  <c r="J208" i="307" s="1"/>
  <c r="J123" i="307"/>
  <c r="J138" i="269"/>
  <c r="L138" i="269"/>
  <c r="L101" i="269"/>
  <c r="J101" i="269"/>
  <c r="K47" i="282"/>
  <c r="K84" i="282"/>
  <c r="K23" i="282"/>
  <c r="K24" i="282" s="1"/>
  <c r="L21" i="282" s="1"/>
  <c r="K152" i="282"/>
  <c r="K115" i="282"/>
  <c r="J172" i="278"/>
  <c r="J167" i="278"/>
  <c r="J163" i="278"/>
  <c r="J164" i="278" s="1"/>
  <c r="J168" i="278" s="1"/>
  <c r="J9" i="265"/>
  <c r="J27" i="328"/>
  <c r="J47" i="328" s="1"/>
  <c r="H75" i="278"/>
  <c r="J197" i="278"/>
  <c r="J192" i="278"/>
  <c r="J9" i="315"/>
  <c r="J11" i="315" s="1"/>
  <c r="H11" i="315" s="1"/>
  <c r="J188" i="278"/>
  <c r="J189" i="278" s="1"/>
  <c r="J193" i="278" s="1"/>
  <c r="H105" i="278"/>
  <c r="J591" i="307"/>
  <c r="J596" i="307" s="1"/>
  <c r="J139" i="288"/>
  <c r="J140" i="288" s="1"/>
  <c r="F157" i="328"/>
  <c r="H73" i="269"/>
  <c r="K73" i="269" s="1"/>
  <c r="F162" i="328"/>
  <c r="H76" i="269"/>
  <c r="K76" i="269" s="1"/>
  <c r="CV28" i="265"/>
  <c r="CV81" i="265"/>
  <c r="CV26" i="315"/>
  <c r="CV77" i="315"/>
  <c r="O11" i="265"/>
  <c r="O32" i="328" s="1"/>
  <c r="M52" i="328" s="1"/>
  <c r="M9" i="277"/>
  <c r="M11" i="277" s="1"/>
  <c r="K11" i="265"/>
  <c r="K32" i="328" s="1"/>
  <c r="K52" i="328" s="1"/>
  <c r="K9" i="277"/>
  <c r="K11" i="277" s="1"/>
  <c r="M11" i="265"/>
  <c r="M32" i="328" s="1"/>
  <c r="L52" i="328" s="1"/>
  <c r="L9" i="277"/>
  <c r="L11" i="277" s="1"/>
  <c r="J131" i="269"/>
  <c r="L131" i="269"/>
  <c r="K156" i="321"/>
  <c r="L153" i="321"/>
  <c r="K268" i="321"/>
  <c r="L265" i="321"/>
  <c r="P156" i="321"/>
  <c r="Q153" i="321"/>
  <c r="P268" i="321"/>
  <c r="Q265" i="321"/>
  <c r="J76" i="269" l="1"/>
  <c r="L76" i="269"/>
  <c r="G162" i="328"/>
  <c r="J73" i="269"/>
  <c r="L73" i="269"/>
  <c r="G157" i="328"/>
  <c r="J145" i="288"/>
  <c r="J599" i="307"/>
  <c r="J609" i="307"/>
  <c r="H9" i="315"/>
  <c r="H188" i="278"/>
  <c r="H197" i="278"/>
  <c r="H192" i="278"/>
  <c r="J194" i="278"/>
  <c r="H172" i="278"/>
  <c r="H9" i="265"/>
  <c r="H88" i="269" s="1"/>
  <c r="K88" i="269" s="1"/>
  <c r="H167" i="278"/>
  <c r="H27" i="328"/>
  <c r="H163" i="278"/>
  <c r="J11" i="265"/>
  <c r="J9" i="277"/>
  <c r="J169" i="278"/>
  <c r="L10" i="282"/>
  <c r="L12" i="282" s="1"/>
  <c r="J215" i="307"/>
  <c r="J217" i="307" s="1"/>
  <c r="J600" i="307"/>
  <c r="J670" i="307"/>
  <c r="J226" i="307"/>
  <c r="G153" i="328"/>
  <c r="L69" i="269"/>
  <c r="J69" i="269"/>
  <c r="J225" i="307"/>
  <c r="L295" i="307"/>
  <c r="L214" i="307"/>
  <c r="L111" i="307"/>
  <c r="L120" i="307"/>
  <c r="L665" i="307"/>
  <c r="L223" i="307"/>
  <c r="L11" i="310"/>
  <c r="L177" i="307"/>
  <c r="J640" i="307"/>
  <c r="J336" i="307"/>
  <c r="J338" i="307" s="1"/>
  <c r="K335" i="307" s="1"/>
  <c r="J342" i="307"/>
  <c r="J635" i="307"/>
  <c r="J315" i="307"/>
  <c r="J317" i="307" s="1"/>
  <c r="K314" i="307" s="1"/>
  <c r="J341" i="307"/>
  <c r="J343" i="307" s="1"/>
  <c r="J19" i="265"/>
  <c r="J19" i="277" s="1"/>
  <c r="J69" i="265"/>
  <c r="J69" i="277" s="1"/>
  <c r="J18" i="315"/>
  <c r="J66" i="315"/>
  <c r="J31" i="282"/>
  <c r="J357" i="321"/>
  <c r="J52" i="321"/>
  <c r="J17" i="265"/>
  <c r="J17" i="277" s="1"/>
  <c r="J67" i="265"/>
  <c r="J67" i="277" s="1"/>
  <c r="J17" i="315"/>
  <c r="J65" i="315"/>
  <c r="J29" i="282"/>
  <c r="J245" i="321"/>
  <c r="Q268" i="321"/>
  <c r="R265" i="321"/>
  <c r="Q156" i="321"/>
  <c r="R153" i="321"/>
  <c r="L268" i="321"/>
  <c r="M265" i="321"/>
  <c r="L156" i="321"/>
  <c r="M153" i="321"/>
  <c r="J68" i="265" l="1"/>
  <c r="J68" i="277" s="1"/>
  <c r="J18" i="265"/>
  <c r="J18" i="277" s="1"/>
  <c r="J145" i="321"/>
  <c r="J148" i="321" s="1"/>
  <c r="J170" i="321" s="1"/>
  <c r="J172" i="321" s="1"/>
  <c r="J175" i="321" s="1"/>
  <c r="J257" i="321"/>
  <c r="J260" i="321" s="1"/>
  <c r="J282" i="321" s="1"/>
  <c r="J284" i="321" s="1"/>
  <c r="J287" i="321" s="1"/>
  <c r="J78" i="321"/>
  <c r="J70" i="265"/>
  <c r="J70" i="277" s="1"/>
  <c r="J20" i="265"/>
  <c r="J20" i="277" s="1"/>
  <c r="J454" i="307"/>
  <c r="J455" i="307" s="1"/>
  <c r="J249" i="307"/>
  <c r="J630" i="307"/>
  <c r="J347" i="307"/>
  <c r="J349" i="307" s="1"/>
  <c r="K346" i="307" s="1"/>
  <c r="J13" i="310"/>
  <c r="J134" i="288"/>
  <c r="K305" i="307"/>
  <c r="K306" i="307" s="1"/>
  <c r="K309" i="307" s="1"/>
  <c r="K378" i="307"/>
  <c r="K380" i="307" s="1"/>
  <c r="K384" i="307" s="1"/>
  <c r="K385" i="307" s="1"/>
  <c r="K414" i="307"/>
  <c r="K416" i="307" s="1"/>
  <c r="K326" i="307"/>
  <c r="K327" i="307" s="1"/>
  <c r="K330" i="307" s="1"/>
  <c r="K390" i="307"/>
  <c r="K392" i="307" s="1"/>
  <c r="K396" i="307" s="1"/>
  <c r="K397" i="307" s="1"/>
  <c r="K427" i="307"/>
  <c r="K429" i="307" s="1"/>
  <c r="M112" i="307"/>
  <c r="M115" i="307" s="1"/>
  <c r="M116" i="307" s="1"/>
  <c r="J81" i="307"/>
  <c r="J82" i="307" s="1"/>
  <c r="J124" i="307"/>
  <c r="J125" i="307" s="1"/>
  <c r="K119" i="307" s="1"/>
  <c r="J227" i="307"/>
  <c r="J34" i="310"/>
  <c r="L47" i="282"/>
  <c r="L84" i="282"/>
  <c r="L23" i="282"/>
  <c r="L24" i="282" s="1"/>
  <c r="M21" i="282" s="1"/>
  <c r="L152" i="282"/>
  <c r="L115" i="282"/>
  <c r="J173" i="278"/>
  <c r="J174" i="278" s="1"/>
  <c r="J41" i="265"/>
  <c r="J41" i="277" s="1"/>
  <c r="J11" i="277"/>
  <c r="H9" i="277"/>
  <c r="J32" i="328"/>
  <c r="J52" i="328" s="1"/>
  <c r="H11" i="265"/>
  <c r="J88" i="269"/>
  <c r="L88" i="269"/>
  <c r="J198" i="278"/>
  <c r="J199" i="278" s="1"/>
  <c r="J39" i="315"/>
  <c r="J601" i="307"/>
  <c r="M156" i="321"/>
  <c r="N153" i="321"/>
  <c r="N156" i="321" s="1"/>
  <c r="M268" i="321"/>
  <c r="N265" i="321"/>
  <c r="N268" i="321" s="1"/>
  <c r="R156" i="321"/>
  <c r="S153" i="321"/>
  <c r="R268" i="321"/>
  <c r="S265" i="321"/>
  <c r="J615" i="307" l="1"/>
  <c r="K196" i="278"/>
  <c r="J105" i="315"/>
  <c r="J203" i="278"/>
  <c r="J205" i="278" s="1"/>
  <c r="H90" i="269"/>
  <c r="K90" i="269" s="1"/>
  <c r="H32" i="328"/>
  <c r="H11" i="277"/>
  <c r="K171" i="278"/>
  <c r="J178" i="278"/>
  <c r="J180" i="278" s="1"/>
  <c r="J253" i="278"/>
  <c r="J255" i="278" s="1"/>
  <c r="J258" i="278" s="1"/>
  <c r="J109" i="265"/>
  <c r="J109" i="277" s="1"/>
  <c r="M10" i="282"/>
  <c r="M12" i="282" s="1"/>
  <c r="K213" i="307"/>
  <c r="K148" i="307"/>
  <c r="K150" i="307" s="1"/>
  <c r="K176" i="307"/>
  <c r="K179" i="307" s="1"/>
  <c r="K184" i="307" s="1"/>
  <c r="K187" i="307" s="1"/>
  <c r="K129" i="307"/>
  <c r="K131" i="307" s="1"/>
  <c r="K135" i="307" s="1"/>
  <c r="J84" i="307"/>
  <c r="J86" i="307" s="1"/>
  <c r="M295" i="307"/>
  <c r="M214" i="307"/>
  <c r="M177" i="307"/>
  <c r="M111" i="307"/>
  <c r="M120" i="307"/>
  <c r="M665" i="307"/>
  <c r="M223" i="307"/>
  <c r="M11" i="310"/>
  <c r="K433" i="307"/>
  <c r="K401" i="307"/>
  <c r="K432" i="307"/>
  <c r="K434" i="307" s="1"/>
  <c r="K400" i="307"/>
  <c r="K402" i="307" s="1"/>
  <c r="J464" i="307"/>
  <c r="J465" i="307" s="1"/>
  <c r="J484" i="307"/>
  <c r="J485" i="307" s="1"/>
  <c r="S268" i="321"/>
  <c r="T265" i="321"/>
  <c r="S156" i="321"/>
  <c r="T153" i="321"/>
  <c r="J487" i="307" l="1"/>
  <c r="J489" i="307" s="1"/>
  <c r="J467" i="307"/>
  <c r="J469" i="307" s="1"/>
  <c r="K584" i="307"/>
  <c r="K36" i="310"/>
  <c r="K23" i="307"/>
  <c r="K585" i="307"/>
  <c r="K37" i="310"/>
  <c r="K24" i="307"/>
  <c r="N112" i="307"/>
  <c r="N115" i="307" s="1"/>
  <c r="N116" i="307" s="1"/>
  <c r="J89" i="307"/>
  <c r="J90" i="307" s="1"/>
  <c r="K88" i="307" s="1"/>
  <c r="J675" i="307"/>
  <c r="J625" i="307"/>
  <c r="J284" i="307"/>
  <c r="J10" i="310"/>
  <c r="K193" i="307"/>
  <c r="K190" i="307"/>
  <c r="K191" i="307" s="1"/>
  <c r="K156" i="307"/>
  <c r="K153" i="307"/>
  <c r="K154" i="307" s="1"/>
  <c r="M47" i="282"/>
  <c r="M84" i="282"/>
  <c r="M23" i="282"/>
  <c r="M24" i="282" s="1"/>
  <c r="N21" i="282" s="1"/>
  <c r="N10" i="282" s="1"/>
  <c r="N12" i="282" s="1"/>
  <c r="M115" i="282"/>
  <c r="M152" i="282"/>
  <c r="J237" i="278"/>
  <c r="J241" i="278" s="1"/>
  <c r="K166" i="278"/>
  <c r="K169" i="278" s="1"/>
  <c r="K177" i="278"/>
  <c r="J90" i="269"/>
  <c r="L90" i="269"/>
  <c r="J281" i="278"/>
  <c r="J284" i="278" s="1"/>
  <c r="J244" i="278"/>
  <c r="J248" i="278" s="1"/>
  <c r="K202" i="278"/>
  <c r="K191" i="278"/>
  <c r="K194" i="278" s="1"/>
  <c r="T156" i="321"/>
  <c r="U153" i="321"/>
  <c r="T268" i="321"/>
  <c r="U265" i="321"/>
  <c r="K39" i="315" l="1"/>
  <c r="K198" i="278"/>
  <c r="K199" i="278" s="1"/>
  <c r="J635" i="321"/>
  <c r="J638" i="321" s="1"/>
  <c r="J621" i="321"/>
  <c r="J624" i="321" s="1"/>
  <c r="J286" i="278"/>
  <c r="J287" i="278" s="1"/>
  <c r="K173" i="278"/>
  <c r="K174" i="278" s="1"/>
  <c r="K41" i="265"/>
  <c r="J550" i="321"/>
  <c r="J553" i="321" s="1"/>
  <c r="J564" i="321"/>
  <c r="J567" i="321" s="1"/>
  <c r="J262" i="278"/>
  <c r="J263" i="278" s="1"/>
  <c r="J544" i="321"/>
  <c r="J546" i="321" s="1"/>
  <c r="N47" i="282"/>
  <c r="N84" i="282"/>
  <c r="N152" i="282"/>
  <c r="N23" i="282"/>
  <c r="N115" i="282"/>
  <c r="K157" i="307"/>
  <c r="K594" i="307"/>
  <c r="K33" i="310"/>
  <c r="K198" i="307"/>
  <c r="K21" i="307"/>
  <c r="K158" i="307"/>
  <c r="K194" i="307"/>
  <c r="K593" i="307"/>
  <c r="K20" i="307"/>
  <c r="K200" i="307"/>
  <c r="K32" i="310"/>
  <c r="K195" i="307"/>
  <c r="K72" i="307"/>
  <c r="K75" i="307" s="1"/>
  <c r="K78" i="307" s="1"/>
  <c r="K79" i="307" s="1"/>
  <c r="N295" i="307"/>
  <c r="N214" i="307"/>
  <c r="N111" i="307"/>
  <c r="N120" i="307"/>
  <c r="N665" i="307"/>
  <c r="N223" i="307"/>
  <c r="N11" i="310"/>
  <c r="N177" i="307"/>
  <c r="J473" i="307"/>
  <c r="J475" i="307" s="1"/>
  <c r="K472" i="307" s="1"/>
  <c r="J250" i="307"/>
  <c r="J251" i="307" s="1"/>
  <c r="J655" i="307"/>
  <c r="J498" i="307"/>
  <c r="J493" i="307"/>
  <c r="J495" i="307" s="1"/>
  <c r="K492" i="307" s="1"/>
  <c r="J660" i="307"/>
  <c r="J499" i="307"/>
  <c r="U268" i="321"/>
  <c r="V265" i="321"/>
  <c r="U156" i="321"/>
  <c r="V153" i="321"/>
  <c r="K534" i="307" l="1"/>
  <c r="K536" i="307" s="1"/>
  <c r="K540" i="307" s="1"/>
  <c r="K541" i="307" s="1"/>
  <c r="K571" i="307"/>
  <c r="K573" i="307" s="1"/>
  <c r="K480" i="307"/>
  <c r="K481" i="307" s="1"/>
  <c r="K488" i="307" s="1"/>
  <c r="J500" i="307"/>
  <c r="J253" i="307"/>
  <c r="J255" i="307" s="1"/>
  <c r="K523" i="307"/>
  <c r="K525" i="307" s="1"/>
  <c r="K529" i="307" s="1"/>
  <c r="K530" i="307" s="1"/>
  <c r="K558" i="307"/>
  <c r="K560" i="307" s="1"/>
  <c r="K460" i="307"/>
  <c r="K461" i="307" s="1"/>
  <c r="K468" i="307" s="1"/>
  <c r="O112" i="307"/>
  <c r="O115" i="307" s="1"/>
  <c r="O116" i="307" s="1"/>
  <c r="K294" i="307"/>
  <c r="K296" i="307" s="1"/>
  <c r="K85" i="307"/>
  <c r="K453" i="307"/>
  <c r="K248" i="307"/>
  <c r="K207" i="307"/>
  <c r="K123" i="307"/>
  <c r="K205" i="307"/>
  <c r="K208" i="307" s="1"/>
  <c r="K121" i="307"/>
  <c r="K201" i="307"/>
  <c r="J267" i="278"/>
  <c r="J269" i="278" s="1"/>
  <c r="J610" i="321"/>
  <c r="J568" i="321"/>
  <c r="J556" i="321"/>
  <c r="J557" i="321" s="1"/>
  <c r="J559" i="321"/>
  <c r="L171" i="278"/>
  <c r="K178" i="278"/>
  <c r="K180" i="278" s="1"/>
  <c r="K253" i="278"/>
  <c r="K255" i="278" s="1"/>
  <c r="K258" i="278" s="1"/>
  <c r="K109" i="265"/>
  <c r="J291" i="278"/>
  <c r="J293" i="278" s="1"/>
  <c r="J627" i="321"/>
  <c r="J628" i="321" s="1"/>
  <c r="J630" i="321"/>
  <c r="J666" i="321"/>
  <c r="J639" i="321"/>
  <c r="L196" i="278"/>
  <c r="K105" i="315"/>
  <c r="K203" i="278"/>
  <c r="K205" i="278" s="1"/>
  <c r="V156" i="321"/>
  <c r="W153" i="321"/>
  <c r="V268" i="321"/>
  <c r="W265" i="321"/>
  <c r="K244" i="278" l="1"/>
  <c r="K248" i="278" s="1"/>
  <c r="K281" i="278"/>
  <c r="K284" i="278" s="1"/>
  <c r="L202" i="278"/>
  <c r="L191" i="278"/>
  <c r="L194" i="278" s="1"/>
  <c r="J62" i="315"/>
  <c r="J665" i="321"/>
  <c r="J667" i="321" s="1"/>
  <c r="J631" i="321"/>
  <c r="J632" i="321" s="1"/>
  <c r="J61" i="315"/>
  <c r="J41" i="315"/>
  <c r="J299" i="278"/>
  <c r="J300" i="278" s="1"/>
  <c r="K237" i="278"/>
  <c r="K241" i="278" s="1"/>
  <c r="L166" i="278"/>
  <c r="L169" i="278" s="1"/>
  <c r="L177" i="278"/>
  <c r="J609" i="321"/>
  <c r="J611" i="321" s="1"/>
  <c r="J63" i="265"/>
  <c r="J63" i="277" s="1"/>
  <c r="J560" i="321"/>
  <c r="J561" i="321" s="1"/>
  <c r="J64" i="265"/>
  <c r="J64" i="277" s="1"/>
  <c r="J43" i="265"/>
  <c r="J43" i="277" s="1"/>
  <c r="J275" i="278"/>
  <c r="J276" i="278" s="1"/>
  <c r="K224" i="307"/>
  <c r="K202" i="307"/>
  <c r="K215" i="307"/>
  <c r="K217" i="307" s="1"/>
  <c r="K600" i="307"/>
  <c r="K670" i="307"/>
  <c r="K226" i="307"/>
  <c r="K321" i="307"/>
  <c r="K322" i="307" s="1"/>
  <c r="K300" i="307"/>
  <c r="K301" i="307" s="1"/>
  <c r="O295" i="307"/>
  <c r="O214" i="307"/>
  <c r="O111" i="307"/>
  <c r="O120" i="307"/>
  <c r="O665" i="307"/>
  <c r="J666" i="307" s="1"/>
  <c r="O223" i="307"/>
  <c r="J229" i="307" s="1"/>
  <c r="O11" i="310"/>
  <c r="O177" i="307"/>
  <c r="K576" i="307"/>
  <c r="K544" i="307"/>
  <c r="J258" i="307"/>
  <c r="J260" i="307" s="1"/>
  <c r="K257" i="307" s="1"/>
  <c r="J645" i="307"/>
  <c r="J12" i="310"/>
  <c r="J285" i="307"/>
  <c r="J288" i="307" s="1"/>
  <c r="J650" i="307"/>
  <c r="J14" i="310"/>
  <c r="J135" i="288"/>
  <c r="K577" i="307"/>
  <c r="K545" i="307"/>
  <c r="W268" i="321"/>
  <c r="X265" i="321"/>
  <c r="W156" i="321"/>
  <c r="X153" i="321"/>
  <c r="J56" i="288" l="1"/>
  <c r="J206" i="288"/>
  <c r="J16" i="310"/>
  <c r="K264" i="307"/>
  <c r="K265" i="307" s="1"/>
  <c r="K269" i="307" s="1"/>
  <c r="K271" i="307" s="1"/>
  <c r="K244" i="307"/>
  <c r="K245" i="307" s="1"/>
  <c r="K254" i="307" s="1"/>
  <c r="K546" i="307"/>
  <c r="K578" i="307"/>
  <c r="J55" i="265"/>
  <c r="J55" i="277" s="1"/>
  <c r="J53" i="315"/>
  <c r="J685" i="321"/>
  <c r="P112" i="307"/>
  <c r="P115" i="307" s="1"/>
  <c r="P116" i="307" s="1"/>
  <c r="K308" i="307"/>
  <c r="K311" i="307" s="1"/>
  <c r="K329" i="307"/>
  <c r="K332" i="307" s="1"/>
  <c r="K81" i="307"/>
  <c r="K82" i="307" s="1"/>
  <c r="K124" i="307"/>
  <c r="K125" i="307" s="1"/>
  <c r="L119" i="307" s="1"/>
  <c r="K227" i="307"/>
  <c r="K34" i="310"/>
  <c r="K225" i="307"/>
  <c r="K274" i="278"/>
  <c r="J108" i="265"/>
  <c r="J108" i="277" s="1"/>
  <c r="K608" i="321"/>
  <c r="J118" i="265"/>
  <c r="J118" i="277" s="1"/>
  <c r="L173" i="278"/>
  <c r="L174" i="278" s="1"/>
  <c r="L41" i="265"/>
  <c r="K41" i="277" s="1"/>
  <c r="K550" i="321"/>
  <c r="K553" i="321" s="1"/>
  <c r="K564" i="321"/>
  <c r="K262" i="278"/>
  <c r="K263" i="278" s="1"/>
  <c r="K544" i="321"/>
  <c r="K546" i="321" s="1"/>
  <c r="K298" i="278"/>
  <c r="J104" i="315"/>
  <c r="K664" i="321"/>
  <c r="J114" i="315"/>
  <c r="L198" i="278"/>
  <c r="L199" i="278" s="1"/>
  <c r="L39" i="315"/>
  <c r="K286" i="278"/>
  <c r="K287" i="278" s="1"/>
  <c r="K621" i="321"/>
  <c r="K624" i="321" s="1"/>
  <c r="K635" i="321"/>
  <c r="X156" i="321"/>
  <c r="Y153" i="321"/>
  <c r="X268" i="321"/>
  <c r="Y265" i="321"/>
  <c r="K627" i="321" l="1"/>
  <c r="K630" i="321"/>
  <c r="K291" i="278"/>
  <c r="M196" i="278"/>
  <c r="L203" i="278"/>
  <c r="L205" i="278" s="1"/>
  <c r="L105" i="315"/>
  <c r="K643" i="321"/>
  <c r="K645" i="321" s="1"/>
  <c r="K651" i="321" s="1"/>
  <c r="K653" i="321" s="1"/>
  <c r="K657" i="321"/>
  <c r="K660" i="321" s="1"/>
  <c r="K634" i="321"/>
  <c r="K638" i="321" s="1"/>
  <c r="K616" i="321"/>
  <c r="K618" i="321" s="1"/>
  <c r="K626" i="321" s="1"/>
  <c r="K628" i="321" s="1"/>
  <c r="K290" i="278"/>
  <c r="K293" i="278" s="1"/>
  <c r="K267" i="278"/>
  <c r="K556" i="321"/>
  <c r="K559" i="321"/>
  <c r="M171" i="278"/>
  <c r="L178" i="278"/>
  <c r="L180" i="278" s="1"/>
  <c r="L253" i="278"/>
  <c r="L255" i="278" s="1"/>
  <c r="L258" i="278" s="1"/>
  <c r="L109" i="265"/>
  <c r="K109" i="277" s="1"/>
  <c r="K539" i="321"/>
  <c r="K541" i="321" s="1"/>
  <c r="K555" i="321" s="1"/>
  <c r="K557" i="321" s="1"/>
  <c r="K563" i="321"/>
  <c r="K567" i="321" s="1"/>
  <c r="K572" i="321"/>
  <c r="K574" i="321" s="1"/>
  <c r="K580" i="321" s="1"/>
  <c r="K582" i="321" s="1"/>
  <c r="K601" i="321"/>
  <c r="K604" i="321" s="1"/>
  <c r="K266" i="278"/>
  <c r="K269" i="278" s="1"/>
  <c r="L213" i="307"/>
  <c r="L148" i="307"/>
  <c r="L150" i="307" s="1"/>
  <c r="L176" i="307"/>
  <c r="L179" i="307" s="1"/>
  <c r="L184" i="307" s="1"/>
  <c r="L187" i="307" s="1"/>
  <c r="L129" i="307"/>
  <c r="L131" i="307" s="1"/>
  <c r="L135" i="307" s="1"/>
  <c r="K84" i="307"/>
  <c r="K86" i="307" s="1"/>
  <c r="K640" i="307"/>
  <c r="K336" i="307"/>
  <c r="K338" i="307" s="1"/>
  <c r="L335" i="307" s="1"/>
  <c r="K342" i="307"/>
  <c r="K635" i="307"/>
  <c r="K315" i="307"/>
  <c r="K317" i="307" s="1"/>
  <c r="L314" i="307" s="1"/>
  <c r="K341" i="307"/>
  <c r="K343" i="307" s="1"/>
  <c r="P295" i="307"/>
  <c r="P214" i="307"/>
  <c r="P111" i="307"/>
  <c r="P120" i="307"/>
  <c r="P665" i="307"/>
  <c r="P223" i="307"/>
  <c r="P11" i="310"/>
  <c r="P177" i="307"/>
  <c r="K588" i="307"/>
  <c r="K40" i="310"/>
  <c r="K27" i="307"/>
  <c r="K587" i="307"/>
  <c r="K589" i="307" s="1"/>
  <c r="K39" i="310"/>
  <c r="K26" i="307"/>
  <c r="K595" i="307"/>
  <c r="K30" i="307"/>
  <c r="K43" i="310"/>
  <c r="J63" i="310"/>
  <c r="J47" i="310"/>
  <c r="J58" i="310"/>
  <c r="Y268" i="321"/>
  <c r="Z265" i="321"/>
  <c r="Y156" i="321"/>
  <c r="Z153" i="321"/>
  <c r="K591" i="307" l="1"/>
  <c r="K596" i="307" s="1"/>
  <c r="K139" i="288"/>
  <c r="Q112" i="307"/>
  <c r="Q115" i="307" s="1"/>
  <c r="Q116" i="307" s="1"/>
  <c r="K454" i="307"/>
  <c r="K455" i="307" s="1"/>
  <c r="K249" i="307"/>
  <c r="K630" i="307"/>
  <c r="K347" i="307"/>
  <c r="K349" i="307" s="1"/>
  <c r="L346" i="307" s="1"/>
  <c r="K134" i="288"/>
  <c r="K13" i="310"/>
  <c r="L305" i="307"/>
  <c r="L306" i="307" s="1"/>
  <c r="L309" i="307" s="1"/>
  <c r="L378" i="307"/>
  <c r="L380" i="307" s="1"/>
  <c r="L384" i="307" s="1"/>
  <c r="L385" i="307" s="1"/>
  <c r="L414" i="307"/>
  <c r="L416" i="307" s="1"/>
  <c r="L326" i="307"/>
  <c r="L327" i="307" s="1"/>
  <c r="L330" i="307" s="1"/>
  <c r="L390" i="307"/>
  <c r="L392" i="307" s="1"/>
  <c r="L396" i="307" s="1"/>
  <c r="L397" i="307" s="1"/>
  <c r="L427" i="307"/>
  <c r="L429" i="307" s="1"/>
  <c r="K89" i="307"/>
  <c r="K90" i="307" s="1"/>
  <c r="L88" i="307" s="1"/>
  <c r="K675" i="307"/>
  <c r="K625" i="307"/>
  <c r="K284" i="307"/>
  <c r="K10" i="310"/>
  <c r="L193" i="307"/>
  <c r="L190" i="307"/>
  <c r="L191" i="307" s="1"/>
  <c r="L156" i="307"/>
  <c r="L153" i="307"/>
  <c r="L154" i="307" s="1"/>
  <c r="K43" i="265"/>
  <c r="K275" i="278"/>
  <c r="K276" i="278" s="1"/>
  <c r="K605" i="321"/>
  <c r="K38" i="282"/>
  <c r="K583" i="321"/>
  <c r="K36" i="282"/>
  <c r="K104" i="282"/>
  <c r="K610" i="321"/>
  <c r="K568" i="321"/>
  <c r="K609" i="321"/>
  <c r="K611" i="321" s="1"/>
  <c r="K63" i="265"/>
  <c r="K560" i="321"/>
  <c r="K561" i="321" s="1"/>
  <c r="L237" i="278"/>
  <c r="L241" i="278" s="1"/>
  <c r="M166" i="278"/>
  <c r="M169" i="278" s="1"/>
  <c r="M177" i="278"/>
  <c r="K299" i="278"/>
  <c r="K300" i="278" s="1"/>
  <c r="K41" i="315"/>
  <c r="K665" i="321"/>
  <c r="K631" i="321"/>
  <c r="K632" i="321" s="1"/>
  <c r="K61" i="315"/>
  <c r="K666" i="321"/>
  <c r="K639" i="321"/>
  <c r="K106" i="282"/>
  <c r="K661" i="321"/>
  <c r="K654" i="321"/>
  <c r="L281" i="278"/>
  <c r="L284" i="278" s="1"/>
  <c r="L244" i="278"/>
  <c r="L248" i="278" s="1"/>
  <c r="M191" i="278"/>
  <c r="M194" i="278" s="1"/>
  <c r="M202" i="278"/>
  <c r="Z156" i="321"/>
  <c r="AA153" i="321"/>
  <c r="Z268" i="321"/>
  <c r="AA265" i="321"/>
  <c r="M198" i="278" l="1"/>
  <c r="M199" i="278" s="1"/>
  <c r="M39" i="315"/>
  <c r="L621" i="321"/>
  <c r="L624" i="321" s="1"/>
  <c r="L635" i="321"/>
  <c r="L286" i="278"/>
  <c r="L287" i="278" s="1"/>
  <c r="K21" i="315"/>
  <c r="K58" i="315"/>
  <c r="K23" i="315"/>
  <c r="K60" i="315"/>
  <c r="K62" i="315"/>
  <c r="K667" i="321"/>
  <c r="L298" i="278"/>
  <c r="K104" i="315"/>
  <c r="M173" i="278"/>
  <c r="M174" i="278" s="1"/>
  <c r="M41" i="265"/>
  <c r="L550" i="321"/>
  <c r="L553" i="321" s="1"/>
  <c r="L564" i="321"/>
  <c r="L262" i="278"/>
  <c r="L263" i="278" s="1"/>
  <c r="L544" i="321"/>
  <c r="L546" i="321" s="1"/>
  <c r="L608" i="321"/>
  <c r="K118" i="265"/>
  <c r="K64" i="265"/>
  <c r="K23" i="265"/>
  <c r="K60" i="265"/>
  <c r="K25" i="265"/>
  <c r="K62" i="265"/>
  <c r="L274" i="278"/>
  <c r="K108" i="265"/>
  <c r="L157" i="307"/>
  <c r="L594" i="307"/>
  <c r="L33" i="310"/>
  <c r="L21" i="307"/>
  <c r="L198" i="307"/>
  <c r="L158" i="307"/>
  <c r="L194" i="307"/>
  <c r="L593" i="307"/>
  <c r="L200" i="307"/>
  <c r="L20" i="307"/>
  <c r="L32" i="310"/>
  <c r="L195" i="307"/>
  <c r="L72" i="307"/>
  <c r="L75" i="307" s="1"/>
  <c r="L78" i="307" s="1"/>
  <c r="L79" i="307" s="1"/>
  <c r="L433" i="307"/>
  <c r="L401" i="307"/>
  <c r="L432" i="307"/>
  <c r="L434" i="307" s="1"/>
  <c r="L400" i="307"/>
  <c r="L402" i="307" s="1"/>
  <c r="K464" i="307"/>
  <c r="K465" i="307" s="1"/>
  <c r="K484" i="307"/>
  <c r="K485" i="307" s="1"/>
  <c r="Q295" i="307"/>
  <c r="Q214" i="307"/>
  <c r="Q111" i="307"/>
  <c r="Q120" i="307"/>
  <c r="Q665" i="307"/>
  <c r="Q223" i="307"/>
  <c r="Q11" i="310"/>
  <c r="Q177" i="307"/>
  <c r="K599" i="307"/>
  <c r="K601" i="307" s="1"/>
  <c r="K609" i="307"/>
  <c r="AA268" i="321"/>
  <c r="AB265" i="321"/>
  <c r="AA156" i="321"/>
  <c r="AB153" i="321"/>
  <c r="K615" i="307" l="1"/>
  <c r="R112" i="307"/>
  <c r="R115" i="307" s="1"/>
  <c r="R116" i="307" s="1"/>
  <c r="K487" i="307"/>
  <c r="K489" i="307" s="1"/>
  <c r="K467" i="307"/>
  <c r="K469" i="307" s="1"/>
  <c r="L584" i="307"/>
  <c r="L23" i="307"/>
  <c r="L36" i="310"/>
  <c r="L585" i="307"/>
  <c r="L24" i="307"/>
  <c r="L37" i="310"/>
  <c r="L294" i="307"/>
  <c r="L296" i="307" s="1"/>
  <c r="L85" i="307"/>
  <c r="L453" i="307"/>
  <c r="L248" i="307"/>
  <c r="L207" i="307"/>
  <c r="L123" i="307"/>
  <c r="L205" i="307"/>
  <c r="L208" i="307" s="1"/>
  <c r="L121" i="307"/>
  <c r="L201" i="307"/>
  <c r="L266" i="278"/>
  <c r="L539" i="321"/>
  <c r="L541" i="321" s="1"/>
  <c r="L555" i="321" s="1"/>
  <c r="L563" i="321"/>
  <c r="L572" i="321"/>
  <c r="L574" i="321" s="1"/>
  <c r="L580" i="321" s="1"/>
  <c r="L582" i="321" s="1"/>
  <c r="L601" i="321"/>
  <c r="L604" i="321" s="1"/>
  <c r="L267" i="278"/>
  <c r="L567" i="321"/>
  <c r="L556" i="321"/>
  <c r="L559" i="321"/>
  <c r="N171" i="278"/>
  <c r="M178" i="278"/>
  <c r="M180" i="278" s="1"/>
  <c r="M109" i="265"/>
  <c r="M253" i="278"/>
  <c r="M255" i="278" s="1"/>
  <c r="M258" i="278" s="1"/>
  <c r="L290" i="278"/>
  <c r="L664" i="321"/>
  <c r="K114" i="315"/>
  <c r="L291" i="278"/>
  <c r="L627" i="321"/>
  <c r="L630" i="321"/>
  <c r="M203" i="278"/>
  <c r="M205" i="278" s="1"/>
  <c r="N196" i="278"/>
  <c r="M105" i="315"/>
  <c r="AB156" i="321"/>
  <c r="AC153" i="321"/>
  <c r="AB268" i="321"/>
  <c r="AC265" i="321"/>
  <c r="N202" i="278" l="1"/>
  <c r="N191" i="278"/>
  <c r="N194" i="278" s="1"/>
  <c r="M281" i="278"/>
  <c r="M284" i="278" s="1"/>
  <c r="M244" i="278"/>
  <c r="M248" i="278" s="1"/>
  <c r="L634" i="321"/>
  <c r="L638" i="321" s="1"/>
  <c r="L616" i="321"/>
  <c r="L618" i="321" s="1"/>
  <c r="L626" i="321" s="1"/>
  <c r="L628" i="321" s="1"/>
  <c r="L657" i="321"/>
  <c r="L660" i="321" s="1"/>
  <c r="L643" i="321"/>
  <c r="L645" i="321" s="1"/>
  <c r="L651" i="321" s="1"/>
  <c r="L653" i="321" s="1"/>
  <c r="L293" i="278"/>
  <c r="M237" i="278"/>
  <c r="M241" i="278" s="1"/>
  <c r="N166" i="278"/>
  <c r="N169" i="278" s="1"/>
  <c r="N177" i="278"/>
  <c r="L610" i="321"/>
  <c r="L568" i="321"/>
  <c r="L605" i="321"/>
  <c r="L38" i="282"/>
  <c r="L583" i="321"/>
  <c r="L36" i="282"/>
  <c r="L104" i="282"/>
  <c r="L557" i="321"/>
  <c r="L269" i="278"/>
  <c r="L224" i="307"/>
  <c r="L202" i="307"/>
  <c r="L215" i="307"/>
  <c r="L217" i="307" s="1"/>
  <c r="L600" i="307"/>
  <c r="L670" i="307"/>
  <c r="L226" i="307"/>
  <c r="L321" i="307"/>
  <c r="L322" i="307" s="1"/>
  <c r="L300" i="307"/>
  <c r="L301" i="307" s="1"/>
  <c r="K473" i="307"/>
  <c r="K475" i="307" s="1"/>
  <c r="L472" i="307" s="1"/>
  <c r="K250" i="307"/>
  <c r="K251" i="307" s="1"/>
  <c r="K655" i="307"/>
  <c r="K498" i="307"/>
  <c r="K493" i="307"/>
  <c r="K495" i="307" s="1"/>
  <c r="L492" i="307" s="1"/>
  <c r="K660" i="307"/>
  <c r="K499" i="307"/>
  <c r="R295" i="307"/>
  <c r="R214" i="307"/>
  <c r="R111" i="307"/>
  <c r="R120" i="307"/>
  <c r="R665" i="307"/>
  <c r="R223" i="307"/>
  <c r="R11" i="310"/>
  <c r="R177" i="307"/>
  <c r="AC268" i="321"/>
  <c r="AD265" i="321"/>
  <c r="AC156" i="321"/>
  <c r="AD153" i="321"/>
  <c r="S112" i="307" l="1"/>
  <c r="S115" i="307" s="1"/>
  <c r="S116" i="307" s="1"/>
  <c r="L534" i="307"/>
  <c r="L536" i="307" s="1"/>
  <c r="L540" i="307" s="1"/>
  <c r="L541" i="307" s="1"/>
  <c r="L571" i="307"/>
  <c r="L573" i="307" s="1"/>
  <c r="L480" i="307"/>
  <c r="L481" i="307" s="1"/>
  <c r="L488" i="307" s="1"/>
  <c r="K500" i="307"/>
  <c r="K253" i="307"/>
  <c r="K255" i="307" s="1"/>
  <c r="L523" i="307"/>
  <c r="L525" i="307" s="1"/>
  <c r="L529" i="307" s="1"/>
  <c r="L530" i="307" s="1"/>
  <c r="L558" i="307"/>
  <c r="L560" i="307" s="1"/>
  <c r="L460" i="307"/>
  <c r="L461" i="307" s="1"/>
  <c r="L468" i="307" s="1"/>
  <c r="L308" i="307"/>
  <c r="L311" i="307" s="1"/>
  <c r="L329" i="307"/>
  <c r="L332" i="307" s="1"/>
  <c r="L81" i="307"/>
  <c r="L82" i="307" s="1"/>
  <c r="L124" i="307"/>
  <c r="L125" i="307" s="1"/>
  <c r="M119" i="307" s="1"/>
  <c r="L227" i="307"/>
  <c r="L34" i="310"/>
  <c r="L225" i="307"/>
  <c r="L43" i="265"/>
  <c r="K43" i="277" s="1"/>
  <c r="L275" i="278"/>
  <c r="L276" i="278" s="1"/>
  <c r="L609" i="321"/>
  <c r="L611" i="321" s="1"/>
  <c r="L63" i="265"/>
  <c r="K63" i="277" s="1"/>
  <c r="L560" i="321"/>
  <c r="L561" i="321" s="1"/>
  <c r="L23" i="265"/>
  <c r="K23" i="277" s="1"/>
  <c r="L60" i="265"/>
  <c r="K60" i="277" s="1"/>
  <c r="L25" i="265"/>
  <c r="K25" i="277" s="1"/>
  <c r="L62" i="265"/>
  <c r="K62" i="277" s="1"/>
  <c r="L64" i="265"/>
  <c r="K64" i="277" s="1"/>
  <c r="N173" i="278"/>
  <c r="N174" i="278" s="1"/>
  <c r="N41" i="265"/>
  <c r="L41" i="277" s="1"/>
  <c r="M550" i="321"/>
  <c r="M553" i="321" s="1"/>
  <c r="M564" i="321"/>
  <c r="M262" i="278"/>
  <c r="M263" i="278" s="1"/>
  <c r="M544" i="321"/>
  <c r="M546" i="321" s="1"/>
  <c r="L41" i="315"/>
  <c r="L299" i="278"/>
  <c r="L300" i="278" s="1"/>
  <c r="L654" i="321"/>
  <c r="L106" i="282"/>
  <c r="L661" i="321"/>
  <c r="L665" i="321"/>
  <c r="L61" i="315"/>
  <c r="L631" i="321"/>
  <c r="L632" i="321" s="1"/>
  <c r="L666" i="321"/>
  <c r="L639" i="321"/>
  <c r="M621" i="321"/>
  <c r="M624" i="321" s="1"/>
  <c r="M635" i="321"/>
  <c r="M286" i="278"/>
  <c r="M287" i="278" s="1"/>
  <c r="N198" i="278"/>
  <c r="N199" i="278" s="1"/>
  <c r="N39" i="315"/>
  <c r="AD156" i="321"/>
  <c r="AE153" i="321"/>
  <c r="AD268" i="321"/>
  <c r="AE265" i="321"/>
  <c r="N203" i="278" l="1"/>
  <c r="N205" i="278" s="1"/>
  <c r="O196" i="278"/>
  <c r="N105" i="315"/>
  <c r="M291" i="278"/>
  <c r="M627" i="321"/>
  <c r="M630" i="321"/>
  <c r="L62" i="315"/>
  <c r="L667" i="321"/>
  <c r="L23" i="315"/>
  <c r="L60" i="315"/>
  <c r="L21" i="315"/>
  <c r="L58" i="315"/>
  <c r="L104" i="315"/>
  <c r="M298" i="278"/>
  <c r="M267" i="278"/>
  <c r="M556" i="321"/>
  <c r="M559" i="321"/>
  <c r="O171" i="278"/>
  <c r="N178" i="278"/>
  <c r="N180" i="278" s="1"/>
  <c r="N109" i="265"/>
  <c r="L109" i="277" s="1"/>
  <c r="N253" i="278"/>
  <c r="N255" i="278" s="1"/>
  <c r="N258" i="278" s="1"/>
  <c r="M608" i="321"/>
  <c r="L118" i="265"/>
  <c r="K118" i="277" s="1"/>
  <c r="M274" i="278"/>
  <c r="L108" i="265"/>
  <c r="K108" i="277" s="1"/>
  <c r="M213" i="307"/>
  <c r="M148" i="307"/>
  <c r="M150" i="307" s="1"/>
  <c r="M176" i="307"/>
  <c r="M179" i="307" s="1"/>
  <c r="M184" i="307" s="1"/>
  <c r="M187" i="307" s="1"/>
  <c r="M129" i="307"/>
  <c r="M131" i="307" s="1"/>
  <c r="M135" i="307" s="1"/>
  <c r="L84" i="307"/>
  <c r="L86" i="307" s="1"/>
  <c r="L640" i="307"/>
  <c r="L336" i="307"/>
  <c r="L338" i="307" s="1"/>
  <c r="M335" i="307" s="1"/>
  <c r="L342" i="307"/>
  <c r="L635" i="307"/>
  <c r="L315" i="307"/>
  <c r="L317" i="307" s="1"/>
  <c r="M314" i="307" s="1"/>
  <c r="L341" i="307"/>
  <c r="L343" i="307" s="1"/>
  <c r="L576" i="307"/>
  <c r="L544" i="307"/>
  <c r="K258" i="307"/>
  <c r="K260" i="307" s="1"/>
  <c r="L257" i="307" s="1"/>
  <c r="K645" i="307"/>
  <c r="K285" i="307"/>
  <c r="K288" i="307" s="1"/>
  <c r="K12" i="310"/>
  <c r="K650" i="307"/>
  <c r="K14" i="310"/>
  <c r="K135" i="288"/>
  <c r="K136" i="288" s="1"/>
  <c r="L577" i="307"/>
  <c r="L545" i="307"/>
  <c r="S295" i="307"/>
  <c r="S214" i="307"/>
  <c r="S111" i="307"/>
  <c r="S120" i="307"/>
  <c r="S665" i="307"/>
  <c r="S223" i="307"/>
  <c r="S11" i="310"/>
  <c r="S177" i="307"/>
  <c r="AE268" i="321"/>
  <c r="AF265" i="321"/>
  <c r="AE156" i="321"/>
  <c r="AF153" i="321"/>
  <c r="T112" i="307" l="1"/>
  <c r="T115" i="307" s="1"/>
  <c r="T116" i="307" s="1"/>
  <c r="K138" i="288"/>
  <c r="K140" i="288" s="1"/>
  <c r="K16" i="310"/>
  <c r="K56" i="288"/>
  <c r="K206" i="288"/>
  <c r="L264" i="307"/>
  <c r="L265" i="307" s="1"/>
  <c r="L269" i="307" s="1"/>
  <c r="L271" i="307" s="1"/>
  <c r="L244" i="307"/>
  <c r="L245" i="307" s="1"/>
  <c r="L254" i="307" s="1"/>
  <c r="L546" i="307"/>
  <c r="L578" i="307"/>
  <c r="L454" i="307"/>
  <c r="L455" i="307" s="1"/>
  <c r="L249" i="307"/>
  <c r="L630" i="307"/>
  <c r="L13" i="310"/>
  <c r="L134" i="288"/>
  <c r="L347" i="307"/>
  <c r="L349" i="307" s="1"/>
  <c r="M346" i="307" s="1"/>
  <c r="M305" i="307"/>
  <c r="M306" i="307" s="1"/>
  <c r="M309" i="307" s="1"/>
  <c r="M378" i="307"/>
  <c r="M380" i="307" s="1"/>
  <c r="M384" i="307" s="1"/>
  <c r="M385" i="307" s="1"/>
  <c r="M414" i="307"/>
  <c r="M416" i="307" s="1"/>
  <c r="M326" i="307"/>
  <c r="M327" i="307" s="1"/>
  <c r="M330" i="307" s="1"/>
  <c r="M390" i="307"/>
  <c r="M392" i="307" s="1"/>
  <c r="M396" i="307" s="1"/>
  <c r="M397" i="307" s="1"/>
  <c r="M427" i="307"/>
  <c r="M429" i="307" s="1"/>
  <c r="L89" i="307"/>
  <c r="L90" i="307" s="1"/>
  <c r="M88" i="307" s="1"/>
  <c r="L675" i="307"/>
  <c r="L625" i="307"/>
  <c r="L10" i="310"/>
  <c r="L284" i="307"/>
  <c r="M193" i="307"/>
  <c r="M190" i="307"/>
  <c r="M191" i="307" s="1"/>
  <c r="M156" i="307"/>
  <c r="M153" i="307"/>
  <c r="M154" i="307" s="1"/>
  <c r="M266" i="278"/>
  <c r="M269" i="278" s="1"/>
  <c r="M539" i="321"/>
  <c r="M541" i="321" s="1"/>
  <c r="M555" i="321" s="1"/>
  <c r="M557" i="321" s="1"/>
  <c r="M563" i="321"/>
  <c r="M567" i="321" s="1"/>
  <c r="M572" i="321"/>
  <c r="M574" i="321" s="1"/>
  <c r="M580" i="321" s="1"/>
  <c r="M582" i="321" s="1"/>
  <c r="M601" i="321"/>
  <c r="M604" i="321" s="1"/>
  <c r="N237" i="278"/>
  <c r="N241" i="278" s="1"/>
  <c r="O166" i="278"/>
  <c r="O169" i="278" s="1"/>
  <c r="O177" i="278"/>
  <c r="M290" i="278"/>
  <c r="M293" i="278" s="1"/>
  <c r="M664" i="321"/>
  <c r="L114" i="315"/>
  <c r="O191" i="278"/>
  <c r="O194" i="278" s="1"/>
  <c r="O202" i="278"/>
  <c r="N281" i="278"/>
  <c r="N284" i="278" s="1"/>
  <c r="N244" i="278"/>
  <c r="N248" i="278" s="1"/>
  <c r="AF156" i="321"/>
  <c r="AG153" i="321"/>
  <c r="AF268" i="321"/>
  <c r="AG265" i="321"/>
  <c r="N621" i="321" l="1"/>
  <c r="N624" i="321" s="1"/>
  <c r="N635" i="321"/>
  <c r="N286" i="278"/>
  <c r="N287" i="278" s="1"/>
  <c r="O198" i="278"/>
  <c r="O199" i="278" s="1"/>
  <c r="O39" i="315"/>
  <c r="M634" i="321"/>
  <c r="M638" i="321" s="1"/>
  <c r="M616" i="321"/>
  <c r="M618" i="321" s="1"/>
  <c r="M626" i="321" s="1"/>
  <c r="M628" i="321" s="1"/>
  <c r="M657" i="321"/>
  <c r="M660" i="321" s="1"/>
  <c r="M643" i="321"/>
  <c r="M645" i="321" s="1"/>
  <c r="M651" i="321" s="1"/>
  <c r="M653" i="321" s="1"/>
  <c r="M299" i="278"/>
  <c r="M300" i="278" s="1"/>
  <c r="M41" i="315"/>
  <c r="O41" i="265"/>
  <c r="O173" i="278"/>
  <c r="O174" i="278" s="1"/>
  <c r="N550" i="321"/>
  <c r="N553" i="321" s="1"/>
  <c r="N564" i="321"/>
  <c r="N262" i="278"/>
  <c r="N263" i="278" s="1"/>
  <c r="N544" i="321"/>
  <c r="N546" i="321" s="1"/>
  <c r="M605" i="321"/>
  <c r="M38" i="282"/>
  <c r="M583" i="321"/>
  <c r="M36" i="282"/>
  <c r="M104" i="282"/>
  <c r="M610" i="321"/>
  <c r="M568" i="321"/>
  <c r="M609" i="321"/>
  <c r="M611" i="321" s="1"/>
  <c r="M63" i="265"/>
  <c r="M560" i="321"/>
  <c r="M561" i="321" s="1"/>
  <c r="M43" i="265"/>
  <c r="M275" i="278"/>
  <c r="M276" i="278" s="1"/>
  <c r="M157" i="307"/>
  <c r="M594" i="307"/>
  <c r="M198" i="307"/>
  <c r="M21" i="307"/>
  <c r="M33" i="310"/>
  <c r="M158" i="307"/>
  <c r="M194" i="307"/>
  <c r="M593" i="307"/>
  <c r="M200" i="307"/>
  <c r="M32" i="310"/>
  <c r="M20" i="307"/>
  <c r="M195" i="307"/>
  <c r="M72" i="307"/>
  <c r="M75" i="307" s="1"/>
  <c r="M78" i="307" s="1"/>
  <c r="M79" i="307" s="1"/>
  <c r="M433" i="307"/>
  <c r="M401" i="307"/>
  <c r="M432" i="307"/>
  <c r="M434" i="307" s="1"/>
  <c r="M400" i="307"/>
  <c r="M402" i="307" s="1"/>
  <c r="L464" i="307"/>
  <c r="L465" i="307" s="1"/>
  <c r="L484" i="307"/>
  <c r="L485" i="307" s="1"/>
  <c r="L588" i="307"/>
  <c r="L27" i="307"/>
  <c r="L40" i="310"/>
  <c r="L587" i="307"/>
  <c r="L589" i="307" s="1"/>
  <c r="L39" i="310"/>
  <c r="L26" i="307"/>
  <c r="L595" i="307"/>
  <c r="L43" i="310"/>
  <c r="L30" i="307"/>
  <c r="K58" i="310"/>
  <c r="K47" i="310"/>
  <c r="K63" i="310"/>
  <c r="K145" i="288"/>
  <c r="T295" i="307"/>
  <c r="T214" i="307"/>
  <c r="T111" i="307"/>
  <c r="T120" i="307"/>
  <c r="T665" i="307"/>
  <c r="T223" i="307"/>
  <c r="T11" i="310"/>
  <c r="T177" i="307"/>
  <c r="AG268" i="321"/>
  <c r="AH265" i="321"/>
  <c r="AG156" i="321"/>
  <c r="AH153" i="321"/>
  <c r="U112" i="307" l="1"/>
  <c r="U115" i="307" s="1"/>
  <c r="U116" i="307" s="1"/>
  <c r="L591" i="307"/>
  <c r="L596" i="307" s="1"/>
  <c r="L139" i="288"/>
  <c r="L487" i="307"/>
  <c r="L489" i="307" s="1"/>
  <c r="L467" i="307"/>
  <c r="L469" i="307" s="1"/>
  <c r="M584" i="307"/>
  <c r="M23" i="307"/>
  <c r="M36" i="310"/>
  <c r="M585" i="307"/>
  <c r="M24" i="307"/>
  <c r="M37" i="310"/>
  <c r="M294" i="307"/>
  <c r="M296" i="307" s="1"/>
  <c r="M85" i="307"/>
  <c r="M453" i="307"/>
  <c r="M248" i="307"/>
  <c r="M207" i="307"/>
  <c r="M123" i="307"/>
  <c r="M205" i="307"/>
  <c r="M208" i="307" s="1"/>
  <c r="M121" i="307"/>
  <c r="M201" i="307"/>
  <c r="N274" i="278"/>
  <c r="N266" i="278" s="1"/>
  <c r="M108" i="265"/>
  <c r="N608" i="321"/>
  <c r="M118" i="265"/>
  <c r="M64" i="265"/>
  <c r="M23" i="265"/>
  <c r="M60" i="265"/>
  <c r="M25" i="265"/>
  <c r="M62" i="265"/>
  <c r="N267" i="278"/>
  <c r="N556" i="321"/>
  <c r="N559" i="321"/>
  <c r="P171" i="278"/>
  <c r="O178" i="278"/>
  <c r="O180" i="278" s="1"/>
  <c r="O109" i="265"/>
  <c r="O253" i="278"/>
  <c r="O255" i="278" s="1"/>
  <c r="O258" i="278" s="1"/>
  <c r="N298" i="278"/>
  <c r="N290" i="278" s="1"/>
  <c r="M104" i="315"/>
  <c r="M654" i="321"/>
  <c r="M106" i="282"/>
  <c r="M661" i="321"/>
  <c r="M665" i="321"/>
  <c r="M631" i="321"/>
  <c r="M632" i="321" s="1"/>
  <c r="M61" i="315"/>
  <c r="M666" i="321"/>
  <c r="M639" i="321"/>
  <c r="P196" i="278"/>
  <c r="O203" i="278"/>
  <c r="O205" i="278" s="1"/>
  <c r="O105" i="315"/>
  <c r="N291" i="278"/>
  <c r="N627" i="321"/>
  <c r="N630" i="321"/>
  <c r="AH156" i="321"/>
  <c r="AI153" i="321"/>
  <c r="AH268" i="321"/>
  <c r="AI265" i="321"/>
  <c r="O281" i="278" l="1"/>
  <c r="O284" i="278" s="1"/>
  <c r="O244" i="278"/>
  <c r="O248" i="278" s="1"/>
  <c r="P191" i="278"/>
  <c r="P194" i="278" s="1"/>
  <c r="P202" i="278"/>
  <c r="M62" i="315"/>
  <c r="M667" i="321"/>
  <c r="M23" i="315"/>
  <c r="M60" i="315"/>
  <c r="M21" i="315"/>
  <c r="M58" i="315"/>
  <c r="N293" i="278"/>
  <c r="O237" i="278"/>
  <c r="O241" i="278" s="1"/>
  <c r="P166" i="278"/>
  <c r="P169" i="278" s="1"/>
  <c r="P177" i="278"/>
  <c r="N539" i="321"/>
  <c r="N541" i="321" s="1"/>
  <c r="N555" i="321" s="1"/>
  <c r="N557" i="321" s="1"/>
  <c r="N563" i="321"/>
  <c r="N567" i="321" s="1"/>
  <c r="N572" i="321"/>
  <c r="N574" i="321" s="1"/>
  <c r="N580" i="321" s="1"/>
  <c r="N582" i="321" s="1"/>
  <c r="N601" i="321"/>
  <c r="N604" i="321" s="1"/>
  <c r="N269" i="278"/>
  <c r="M202" i="307"/>
  <c r="M224" i="307"/>
  <c r="M215" i="307"/>
  <c r="M217" i="307" s="1"/>
  <c r="M600" i="307"/>
  <c r="M670" i="307"/>
  <c r="M226" i="307"/>
  <c r="M321" i="307"/>
  <c r="M322" i="307" s="1"/>
  <c r="M300" i="307"/>
  <c r="M301" i="307" s="1"/>
  <c r="L473" i="307"/>
  <c r="L475" i="307" s="1"/>
  <c r="M472" i="307" s="1"/>
  <c r="L250" i="307"/>
  <c r="L251" i="307" s="1"/>
  <c r="L655" i="307"/>
  <c r="L498" i="307"/>
  <c r="L493" i="307"/>
  <c r="L495" i="307" s="1"/>
  <c r="M492" i="307" s="1"/>
  <c r="L660" i="307"/>
  <c r="L499" i="307"/>
  <c r="L599" i="307"/>
  <c r="L601" i="307" s="1"/>
  <c r="L609" i="307"/>
  <c r="U295" i="307"/>
  <c r="U214" i="307"/>
  <c r="U111" i="307"/>
  <c r="U120" i="307"/>
  <c r="U665" i="307"/>
  <c r="K666" i="307" s="1"/>
  <c r="U223" i="307"/>
  <c r="K229" i="307" s="1"/>
  <c r="U177" i="307"/>
  <c r="U11" i="310"/>
  <c r="AI268" i="321"/>
  <c r="AJ265" i="321"/>
  <c r="AI156" i="321"/>
  <c r="AJ153" i="321"/>
  <c r="K55" i="265" l="1"/>
  <c r="K53" i="315"/>
  <c r="K685" i="321"/>
  <c r="V112" i="307"/>
  <c r="V115" i="307" s="1"/>
  <c r="V116" i="307" s="1"/>
  <c r="L615" i="307"/>
  <c r="M534" i="307"/>
  <c r="M536" i="307" s="1"/>
  <c r="M540" i="307" s="1"/>
  <c r="M541" i="307" s="1"/>
  <c r="M571" i="307"/>
  <c r="M573" i="307" s="1"/>
  <c r="M480" i="307"/>
  <c r="M481" i="307" s="1"/>
  <c r="M488" i="307" s="1"/>
  <c r="L500" i="307"/>
  <c r="L253" i="307"/>
  <c r="L255" i="307" s="1"/>
  <c r="M523" i="307"/>
  <c r="M525" i="307" s="1"/>
  <c r="M529" i="307" s="1"/>
  <c r="M530" i="307" s="1"/>
  <c r="M558" i="307"/>
  <c r="M560" i="307" s="1"/>
  <c r="M460" i="307"/>
  <c r="M461" i="307" s="1"/>
  <c r="M468" i="307" s="1"/>
  <c r="M308" i="307"/>
  <c r="M311" i="307" s="1"/>
  <c r="M329" i="307"/>
  <c r="M332" i="307" s="1"/>
  <c r="M81" i="307"/>
  <c r="M82" i="307" s="1"/>
  <c r="M124" i="307"/>
  <c r="M125" i="307" s="1"/>
  <c r="N119" i="307" s="1"/>
  <c r="M227" i="307"/>
  <c r="M34" i="310"/>
  <c r="M225" i="307"/>
  <c r="N43" i="265"/>
  <c r="L43" i="277" s="1"/>
  <c r="N275" i="278"/>
  <c r="N605" i="321"/>
  <c r="N38" i="282"/>
  <c r="N583" i="321"/>
  <c r="N36" i="282"/>
  <c r="N104" i="282"/>
  <c r="N610" i="321"/>
  <c r="N568" i="321"/>
  <c r="N609" i="321"/>
  <c r="N611" i="321" s="1"/>
  <c r="N63" i="265"/>
  <c r="L63" i="277" s="1"/>
  <c r="N560" i="321"/>
  <c r="N561" i="321" s="1"/>
  <c r="P41" i="265"/>
  <c r="M41" i="277" s="1"/>
  <c r="P173" i="278"/>
  <c r="P174" i="278" s="1"/>
  <c r="O550" i="321"/>
  <c r="O553" i="321" s="1"/>
  <c r="O564" i="321"/>
  <c r="O262" i="278"/>
  <c r="O263" i="278" s="1"/>
  <c r="O544" i="321"/>
  <c r="O546" i="321" s="1"/>
  <c r="N41" i="315"/>
  <c r="N299" i="278"/>
  <c r="N664" i="321"/>
  <c r="M114" i="315"/>
  <c r="P39" i="315"/>
  <c r="P198" i="278"/>
  <c r="P199" i="278" s="1"/>
  <c r="O621" i="321"/>
  <c r="O624" i="321" s="1"/>
  <c r="O635" i="321"/>
  <c r="O286" i="278"/>
  <c r="O287" i="278" s="1"/>
  <c r="AJ156" i="321"/>
  <c r="AK153" i="321"/>
  <c r="AJ268" i="321"/>
  <c r="AK265" i="321"/>
  <c r="O291" i="278" l="1"/>
  <c r="O627" i="321"/>
  <c r="O630" i="321"/>
  <c r="Q196" i="278"/>
  <c r="P203" i="278"/>
  <c r="P205" i="278" s="1"/>
  <c r="P105" i="315"/>
  <c r="N634" i="321"/>
  <c r="N638" i="321" s="1"/>
  <c r="N616" i="321"/>
  <c r="N618" i="321" s="1"/>
  <c r="N626" i="321" s="1"/>
  <c r="N628" i="321" s="1"/>
  <c r="N657" i="321"/>
  <c r="N660" i="321" s="1"/>
  <c r="N643" i="321"/>
  <c r="N645" i="321" s="1"/>
  <c r="N651" i="321" s="1"/>
  <c r="N653" i="321" s="1"/>
  <c r="O267" i="278"/>
  <c r="O556" i="321"/>
  <c r="O559" i="321"/>
  <c r="P178" i="278"/>
  <c r="P180" i="278" s="1"/>
  <c r="Q171" i="278"/>
  <c r="P109" i="265"/>
  <c r="M109" i="277" s="1"/>
  <c r="P253" i="278"/>
  <c r="P255" i="278" s="1"/>
  <c r="P258" i="278" s="1"/>
  <c r="O608" i="321"/>
  <c r="N118" i="265"/>
  <c r="L118" i="277" s="1"/>
  <c r="N64" i="265"/>
  <c r="L64" i="277" s="1"/>
  <c r="N23" i="265"/>
  <c r="L23" i="277" s="1"/>
  <c r="N60" i="265"/>
  <c r="L60" i="277" s="1"/>
  <c r="N25" i="265"/>
  <c r="L25" i="277" s="1"/>
  <c r="N62" i="265"/>
  <c r="L62" i="277" s="1"/>
  <c r="N213" i="307"/>
  <c r="N148" i="307"/>
  <c r="N129" i="307"/>
  <c r="N131" i="307" s="1"/>
  <c r="N135" i="307" s="1"/>
  <c r="N138" i="307" s="1"/>
  <c r="N142" i="307" s="1"/>
  <c r="N145" i="307" s="1"/>
  <c r="N147" i="307" s="1"/>
  <c r="N176" i="307"/>
  <c r="N179" i="307" s="1"/>
  <c r="N184" i="307" s="1"/>
  <c r="N187" i="307" s="1"/>
  <c r="M84" i="307"/>
  <c r="M86" i="307" s="1"/>
  <c r="M640" i="307"/>
  <c r="M336" i="307"/>
  <c r="M338" i="307" s="1"/>
  <c r="N335" i="307" s="1"/>
  <c r="M342" i="307"/>
  <c r="M635" i="307"/>
  <c r="M315" i="307"/>
  <c r="M317" i="307" s="1"/>
  <c r="N314" i="307" s="1"/>
  <c r="M341" i="307"/>
  <c r="M343" i="307" s="1"/>
  <c r="M576" i="307"/>
  <c r="M544" i="307"/>
  <c r="L258" i="307"/>
  <c r="L260" i="307" s="1"/>
  <c r="M257" i="307" s="1"/>
  <c r="L645" i="307"/>
  <c r="L285" i="307"/>
  <c r="L288" i="307" s="1"/>
  <c r="L12" i="310"/>
  <c r="L650" i="307"/>
  <c r="L14" i="310"/>
  <c r="L135" i="288"/>
  <c r="L136" i="288" s="1"/>
  <c r="M577" i="307"/>
  <c r="M545" i="307"/>
  <c r="V295" i="307"/>
  <c r="V214" i="307"/>
  <c r="V111" i="307"/>
  <c r="V120" i="307"/>
  <c r="V665" i="307"/>
  <c r="V223" i="307"/>
  <c r="V11" i="310"/>
  <c r="V177" i="307"/>
  <c r="AK268" i="321"/>
  <c r="AL265" i="321"/>
  <c r="AK156" i="321"/>
  <c r="AL153" i="321"/>
  <c r="W112" i="307" l="1"/>
  <c r="W115" i="307" s="1"/>
  <c r="W116" i="307" s="1"/>
  <c r="L138" i="288"/>
  <c r="L140" i="288" s="1"/>
  <c r="L16" i="310"/>
  <c r="L56" i="288"/>
  <c r="L206" i="288"/>
  <c r="M264" i="307"/>
  <c r="M265" i="307" s="1"/>
  <c r="M269" i="307" s="1"/>
  <c r="M271" i="307" s="1"/>
  <c r="M244" i="307"/>
  <c r="M245" i="307" s="1"/>
  <c r="M254" i="307" s="1"/>
  <c r="M546" i="307"/>
  <c r="M578" i="307"/>
  <c r="M454" i="307"/>
  <c r="M455" i="307" s="1"/>
  <c r="M249" i="307"/>
  <c r="M630" i="307"/>
  <c r="M13" i="310"/>
  <c r="M347" i="307"/>
  <c r="M349" i="307" s="1"/>
  <c r="N346" i="307" s="1"/>
  <c r="M134" i="288"/>
  <c r="N305" i="307"/>
  <c r="N306" i="307" s="1"/>
  <c r="N309" i="307" s="1"/>
  <c r="N378" i="307"/>
  <c r="N380" i="307" s="1"/>
  <c r="N384" i="307" s="1"/>
  <c r="N385" i="307" s="1"/>
  <c r="N414" i="307"/>
  <c r="N416" i="307" s="1"/>
  <c r="N326" i="307"/>
  <c r="N327" i="307" s="1"/>
  <c r="N330" i="307" s="1"/>
  <c r="N390" i="307"/>
  <c r="N392" i="307" s="1"/>
  <c r="N396" i="307" s="1"/>
  <c r="N397" i="307" s="1"/>
  <c r="N427" i="307"/>
  <c r="N429" i="307" s="1"/>
  <c r="M89" i="307"/>
  <c r="M90" i="307" s="1"/>
  <c r="N88" i="307" s="1"/>
  <c r="M675" i="307"/>
  <c r="M625" i="307"/>
  <c r="M10" i="310"/>
  <c r="M284" i="307"/>
  <c r="N193" i="307"/>
  <c r="N190" i="307"/>
  <c r="N191" i="307" s="1"/>
  <c r="N150" i="307"/>
  <c r="O572" i="321"/>
  <c r="O574" i="321" s="1"/>
  <c r="O580" i="321" s="1"/>
  <c r="O582" i="321" s="1"/>
  <c r="O601" i="321"/>
  <c r="O604" i="321" s="1"/>
  <c r="O539" i="321"/>
  <c r="O541" i="321" s="1"/>
  <c r="O555" i="321" s="1"/>
  <c r="O557" i="321" s="1"/>
  <c r="O563" i="321"/>
  <c r="O567" i="321" s="1"/>
  <c r="Q166" i="278"/>
  <c r="Q169" i="278" s="1"/>
  <c r="Q177" i="278"/>
  <c r="P237" i="278"/>
  <c r="P241" i="278" s="1"/>
  <c r="N654" i="321"/>
  <c r="N106" i="282"/>
  <c r="N661" i="321"/>
  <c r="N665" i="321"/>
  <c r="N631" i="321"/>
  <c r="N632" i="321" s="1"/>
  <c r="N61" i="315"/>
  <c r="N666" i="321"/>
  <c r="N639" i="321"/>
  <c r="P244" i="278"/>
  <c r="P248" i="278" s="1"/>
  <c r="P281" i="278"/>
  <c r="P284" i="278" s="1"/>
  <c r="Q191" i="278"/>
  <c r="Q194" i="278" s="1"/>
  <c r="Q202" i="278"/>
  <c r="AL156" i="321"/>
  <c r="AM153" i="321"/>
  <c r="AL268" i="321"/>
  <c r="AM265" i="321"/>
  <c r="Q39" i="315" l="1"/>
  <c r="Q198" i="278"/>
  <c r="Q199" i="278" s="1"/>
  <c r="P286" i="278"/>
  <c r="P287" i="278" s="1"/>
  <c r="P635" i="321"/>
  <c r="P621" i="321"/>
  <c r="P624" i="321" s="1"/>
  <c r="N62" i="315"/>
  <c r="N667" i="321"/>
  <c r="N23" i="315"/>
  <c r="N60" i="315"/>
  <c r="N21" i="315"/>
  <c r="N58" i="315"/>
  <c r="P550" i="321"/>
  <c r="P553" i="321" s="1"/>
  <c r="P564" i="321"/>
  <c r="P262" i="278"/>
  <c r="P263" i="278" s="1"/>
  <c r="P544" i="321"/>
  <c r="P546" i="321" s="1"/>
  <c r="Q41" i="265"/>
  <c r="Q173" i="278"/>
  <c r="Q174" i="278" s="1"/>
  <c r="O610" i="321"/>
  <c r="O568" i="321"/>
  <c r="O609" i="321"/>
  <c r="O611" i="321" s="1"/>
  <c r="O63" i="265"/>
  <c r="O560" i="321"/>
  <c r="O561" i="321" s="1"/>
  <c r="O605" i="321"/>
  <c r="O38" i="282"/>
  <c r="O583" i="321"/>
  <c r="O36" i="282"/>
  <c r="O104" i="282"/>
  <c r="N156" i="307"/>
  <c r="N153" i="307"/>
  <c r="N154" i="307" s="1"/>
  <c r="N194" i="307"/>
  <c r="N593" i="307"/>
  <c r="N32" i="310"/>
  <c r="N20" i="307"/>
  <c r="N200" i="307"/>
  <c r="N195" i="307"/>
  <c r="N72" i="307"/>
  <c r="N75" i="307" s="1"/>
  <c r="N78" i="307" s="1"/>
  <c r="N79" i="307" s="1"/>
  <c r="N433" i="307"/>
  <c r="N401" i="307"/>
  <c r="N432" i="307"/>
  <c r="N434" i="307" s="1"/>
  <c r="N400" i="307"/>
  <c r="N402" i="307" s="1"/>
  <c r="M464" i="307"/>
  <c r="M465" i="307" s="1"/>
  <c r="M484" i="307"/>
  <c r="M485" i="307" s="1"/>
  <c r="M588" i="307"/>
  <c r="M40" i="310"/>
  <c r="M27" i="307"/>
  <c r="M587" i="307"/>
  <c r="M589" i="307" s="1"/>
  <c r="M39" i="310"/>
  <c r="M26" i="307"/>
  <c r="M595" i="307"/>
  <c r="M43" i="310"/>
  <c r="M30" i="307"/>
  <c r="L47" i="310"/>
  <c r="L63" i="310"/>
  <c r="L58" i="310"/>
  <c r="L145" i="288"/>
  <c r="W295" i="307"/>
  <c r="W214" i="307"/>
  <c r="W111" i="307"/>
  <c r="W120" i="307"/>
  <c r="W665" i="307"/>
  <c r="W223" i="307"/>
  <c r="W177" i="307"/>
  <c r="W11" i="310"/>
  <c r="AM268" i="321"/>
  <c r="AN265" i="321"/>
  <c r="AM156" i="321"/>
  <c r="AN153" i="321"/>
  <c r="X112" i="307" l="1"/>
  <c r="X115" i="307" s="1"/>
  <c r="X116" i="307" s="1"/>
  <c r="M591" i="307"/>
  <c r="M596" i="307" s="1"/>
  <c r="M139" i="288"/>
  <c r="M487" i="307"/>
  <c r="M489" i="307" s="1"/>
  <c r="M467" i="307"/>
  <c r="M469" i="307" s="1"/>
  <c r="N584" i="307"/>
  <c r="N36" i="310"/>
  <c r="N23" i="307"/>
  <c r="N585" i="307"/>
  <c r="N24" i="307"/>
  <c r="N37" i="310"/>
  <c r="N294" i="307"/>
  <c r="N296" i="307" s="1"/>
  <c r="N85" i="307"/>
  <c r="N453" i="307"/>
  <c r="N248" i="307"/>
  <c r="N207" i="307"/>
  <c r="N123" i="307"/>
  <c r="N157" i="307"/>
  <c r="N594" i="307"/>
  <c r="N21" i="307"/>
  <c r="N198" i="307"/>
  <c r="N201" i="307" s="1"/>
  <c r="N33" i="310"/>
  <c r="N158" i="307"/>
  <c r="O23" i="265"/>
  <c r="O60" i="265"/>
  <c r="O25" i="265"/>
  <c r="O62" i="265"/>
  <c r="P608" i="321"/>
  <c r="O118" i="265"/>
  <c r="O64" i="265"/>
  <c r="Q178" i="278"/>
  <c r="Q180" i="278" s="1"/>
  <c r="R171" i="278"/>
  <c r="Q109" i="265"/>
  <c r="Q253" i="278"/>
  <c r="Q255" i="278" s="1"/>
  <c r="Q258" i="278" s="1"/>
  <c r="P267" i="278"/>
  <c r="P556" i="321"/>
  <c r="P559" i="321"/>
  <c r="O664" i="321"/>
  <c r="N114" i="315"/>
  <c r="P627" i="321"/>
  <c r="P630" i="321"/>
  <c r="P291" i="278"/>
  <c r="Q203" i="278"/>
  <c r="Q205" i="278" s="1"/>
  <c r="R196" i="278"/>
  <c r="Q105" i="315"/>
  <c r="AN156" i="321"/>
  <c r="AO153" i="321"/>
  <c r="AN268" i="321"/>
  <c r="AO265" i="321"/>
  <c r="R202" i="278" l="1"/>
  <c r="R191" i="278"/>
  <c r="R194" i="278" s="1"/>
  <c r="Q244" i="278"/>
  <c r="Q248" i="278" s="1"/>
  <c r="Q281" i="278"/>
  <c r="Q284" i="278" s="1"/>
  <c r="O634" i="321"/>
  <c r="O638" i="321" s="1"/>
  <c r="O616" i="321"/>
  <c r="O618" i="321" s="1"/>
  <c r="O626" i="321" s="1"/>
  <c r="O628" i="321" s="1"/>
  <c r="O643" i="321"/>
  <c r="O645" i="321" s="1"/>
  <c r="O651" i="321" s="1"/>
  <c r="O653" i="321" s="1"/>
  <c r="O657" i="321"/>
  <c r="O660" i="321" s="1"/>
  <c r="R166" i="278"/>
  <c r="R169" i="278" s="1"/>
  <c r="R177" i="278"/>
  <c r="Q237" i="278"/>
  <c r="Q241" i="278" s="1"/>
  <c r="P572" i="321"/>
  <c r="P574" i="321" s="1"/>
  <c r="P580" i="321" s="1"/>
  <c r="P582" i="321" s="1"/>
  <c r="P601" i="321"/>
  <c r="P604" i="321" s="1"/>
  <c r="P539" i="321"/>
  <c r="P541" i="321" s="1"/>
  <c r="P555" i="321" s="1"/>
  <c r="P557" i="321" s="1"/>
  <c r="P563" i="321"/>
  <c r="P567" i="321" s="1"/>
  <c r="N205" i="307"/>
  <c r="N208" i="307" s="1"/>
  <c r="N121" i="307"/>
  <c r="N202" i="307"/>
  <c r="N224" i="307"/>
  <c r="N321" i="307"/>
  <c r="N322" i="307" s="1"/>
  <c r="N300" i="307"/>
  <c r="N301" i="307" s="1"/>
  <c r="M473" i="307"/>
  <c r="M475" i="307" s="1"/>
  <c r="N472" i="307" s="1"/>
  <c r="M250" i="307"/>
  <c r="M251" i="307" s="1"/>
  <c r="M655" i="307"/>
  <c r="M498" i="307"/>
  <c r="M493" i="307"/>
  <c r="M495" i="307" s="1"/>
  <c r="N492" i="307" s="1"/>
  <c r="M660" i="307"/>
  <c r="M499" i="307"/>
  <c r="M599" i="307"/>
  <c r="M601" i="307" s="1"/>
  <c r="M609" i="307"/>
  <c r="X295" i="307"/>
  <c r="X214" i="307"/>
  <c r="X111" i="307"/>
  <c r="X120" i="307"/>
  <c r="X665" i="307"/>
  <c r="X223" i="307"/>
  <c r="X177" i="307"/>
  <c r="X11" i="310"/>
  <c r="AO268" i="321"/>
  <c r="AP265" i="321"/>
  <c r="AO156" i="321"/>
  <c r="AP153" i="321"/>
  <c r="Y112" i="307" l="1"/>
  <c r="Y115" i="307" s="1"/>
  <c r="Y116" i="307" s="1"/>
  <c r="M615" i="307"/>
  <c r="N534" i="307"/>
  <c r="N536" i="307" s="1"/>
  <c r="N540" i="307" s="1"/>
  <c r="N541" i="307" s="1"/>
  <c r="N571" i="307"/>
  <c r="N573" i="307" s="1"/>
  <c r="N480" i="307"/>
  <c r="N481" i="307" s="1"/>
  <c r="N488" i="307" s="1"/>
  <c r="M500" i="307"/>
  <c r="M253" i="307"/>
  <c r="M255" i="307" s="1"/>
  <c r="N523" i="307"/>
  <c r="N525" i="307" s="1"/>
  <c r="N529" i="307" s="1"/>
  <c r="N530" i="307" s="1"/>
  <c r="N558" i="307"/>
  <c r="N560" i="307" s="1"/>
  <c r="N460" i="307"/>
  <c r="N461" i="307" s="1"/>
  <c r="N468" i="307" s="1"/>
  <c r="N308" i="307"/>
  <c r="N311" i="307" s="1"/>
  <c r="N329" i="307"/>
  <c r="N332" i="307" s="1"/>
  <c r="N225" i="307"/>
  <c r="N215" i="307"/>
  <c r="N217" i="307" s="1"/>
  <c r="N600" i="307"/>
  <c r="N670" i="307"/>
  <c r="N226" i="307"/>
  <c r="P568" i="321"/>
  <c r="P610" i="321"/>
  <c r="P63" i="265"/>
  <c r="M63" i="277" s="1"/>
  <c r="P609" i="321"/>
  <c r="P611" i="321" s="1"/>
  <c r="P560" i="321"/>
  <c r="P561" i="321" s="1"/>
  <c r="P605" i="321"/>
  <c r="P38" i="282"/>
  <c r="P583" i="321"/>
  <c r="P36" i="282"/>
  <c r="P104" i="282"/>
  <c r="Q564" i="321"/>
  <c r="Q550" i="321"/>
  <c r="Q553" i="321" s="1"/>
  <c r="Q262" i="278"/>
  <c r="Q263" i="278" s="1"/>
  <c r="Q544" i="321"/>
  <c r="Q546" i="321" s="1"/>
  <c r="R41" i="265"/>
  <c r="N41" i="277" s="1"/>
  <c r="R173" i="278"/>
  <c r="R174" i="278" s="1"/>
  <c r="O106" i="282"/>
  <c r="O661" i="321"/>
  <c r="O654" i="321"/>
  <c r="O665" i="321"/>
  <c r="O631" i="321"/>
  <c r="O632" i="321" s="1"/>
  <c r="O61" i="315"/>
  <c r="O666" i="321"/>
  <c r="O639" i="321"/>
  <c r="Q286" i="278"/>
  <c r="Q287" i="278" s="1"/>
  <c r="Q635" i="321"/>
  <c r="Q621" i="321"/>
  <c r="Q624" i="321" s="1"/>
  <c r="R198" i="278"/>
  <c r="R199" i="278" s="1"/>
  <c r="R39" i="315"/>
  <c r="AP156" i="321"/>
  <c r="AQ153" i="321"/>
  <c r="AP268" i="321"/>
  <c r="AQ265" i="321"/>
  <c r="R203" i="278" l="1"/>
  <c r="R205" i="278" s="1"/>
  <c r="S196" i="278"/>
  <c r="R105" i="315"/>
  <c r="Q627" i="321"/>
  <c r="Q630" i="321"/>
  <c r="Q291" i="278"/>
  <c r="O62" i="315"/>
  <c r="O667" i="321"/>
  <c r="O21" i="315"/>
  <c r="O58" i="315"/>
  <c r="O23" i="315"/>
  <c r="O60" i="315"/>
  <c r="R178" i="278"/>
  <c r="R180" i="278" s="1"/>
  <c r="S171" i="278"/>
  <c r="R109" i="265"/>
  <c r="N109" i="277" s="1"/>
  <c r="R253" i="278"/>
  <c r="R255" i="278" s="1"/>
  <c r="R258" i="278" s="1"/>
  <c r="Q267" i="278"/>
  <c r="Q556" i="321"/>
  <c r="Q559" i="321"/>
  <c r="P23" i="265"/>
  <c r="M23" i="277" s="1"/>
  <c r="P60" i="265"/>
  <c r="M60" i="277" s="1"/>
  <c r="P25" i="265"/>
  <c r="M25" i="277" s="1"/>
  <c r="P62" i="265"/>
  <c r="M62" i="277" s="1"/>
  <c r="P118" i="265"/>
  <c r="M118" i="277" s="1"/>
  <c r="Q608" i="321"/>
  <c r="P64" i="265"/>
  <c r="M64" i="277" s="1"/>
  <c r="N81" i="307"/>
  <c r="N82" i="307" s="1"/>
  <c r="N124" i="307"/>
  <c r="N125" i="307" s="1"/>
  <c r="O119" i="307" s="1"/>
  <c r="N227" i="307"/>
  <c r="N34" i="310"/>
  <c r="N640" i="307"/>
  <c r="N336" i="307"/>
  <c r="N338" i="307" s="1"/>
  <c r="O335" i="307" s="1"/>
  <c r="N342" i="307"/>
  <c r="N635" i="307"/>
  <c r="N315" i="307"/>
  <c r="N317" i="307" s="1"/>
  <c r="O314" i="307" s="1"/>
  <c r="N341" i="307"/>
  <c r="N343" i="307" s="1"/>
  <c r="N576" i="307"/>
  <c r="N544" i="307"/>
  <c r="M258" i="307"/>
  <c r="M260" i="307" s="1"/>
  <c r="N257" i="307" s="1"/>
  <c r="M645" i="307"/>
  <c r="M285" i="307"/>
  <c r="M288" i="307" s="1"/>
  <c r="M12" i="310"/>
  <c r="M650" i="307"/>
  <c r="M14" i="310"/>
  <c r="M135" i="288"/>
  <c r="M136" i="288" s="1"/>
  <c r="N577" i="307"/>
  <c r="N545" i="307"/>
  <c r="Y295" i="307"/>
  <c r="Y214" i="307"/>
  <c r="Y111" i="307"/>
  <c r="Y120" i="307"/>
  <c r="Y665" i="307"/>
  <c r="Y223" i="307"/>
  <c r="Y177" i="307"/>
  <c r="Y11" i="310"/>
  <c r="AQ268" i="321"/>
  <c r="AR265" i="321"/>
  <c r="AQ156" i="321"/>
  <c r="AR153" i="321"/>
  <c r="Z112" i="307" l="1"/>
  <c r="Z115" i="307" s="1"/>
  <c r="Z116" i="307" s="1"/>
  <c r="M138" i="288"/>
  <c r="M140" i="288" s="1"/>
  <c r="M16" i="310"/>
  <c r="M56" i="288"/>
  <c r="M206" i="288"/>
  <c r="N264" i="307"/>
  <c r="N265" i="307" s="1"/>
  <c r="N269" i="307" s="1"/>
  <c r="N271" i="307" s="1"/>
  <c r="N244" i="307"/>
  <c r="N245" i="307" s="1"/>
  <c r="N254" i="307" s="1"/>
  <c r="N546" i="307"/>
  <c r="N578" i="307"/>
  <c r="N454" i="307"/>
  <c r="N455" i="307" s="1"/>
  <c r="N249" i="307"/>
  <c r="N630" i="307"/>
  <c r="N13" i="310"/>
  <c r="N347" i="307"/>
  <c r="N349" i="307" s="1"/>
  <c r="O346" i="307" s="1"/>
  <c r="N134" i="288"/>
  <c r="O305" i="307"/>
  <c r="O306" i="307" s="1"/>
  <c r="O309" i="307" s="1"/>
  <c r="O378" i="307"/>
  <c r="O380" i="307" s="1"/>
  <c r="O384" i="307" s="1"/>
  <c r="O385" i="307" s="1"/>
  <c r="O414" i="307"/>
  <c r="O416" i="307" s="1"/>
  <c r="O326" i="307"/>
  <c r="O327" i="307" s="1"/>
  <c r="O330" i="307" s="1"/>
  <c r="O390" i="307"/>
  <c r="O392" i="307" s="1"/>
  <c r="O396" i="307" s="1"/>
  <c r="O397" i="307" s="1"/>
  <c r="O427" i="307"/>
  <c r="O429" i="307" s="1"/>
  <c r="O213" i="307"/>
  <c r="O148" i="307"/>
  <c r="O129" i="307"/>
  <c r="O131" i="307" s="1"/>
  <c r="O135" i="307" s="1"/>
  <c r="O138" i="307" s="1"/>
  <c r="O142" i="307" s="1"/>
  <c r="O145" i="307" s="1"/>
  <c r="O147" i="307" s="1"/>
  <c r="O176" i="307"/>
  <c r="O179" i="307" s="1"/>
  <c r="O184" i="307" s="1"/>
  <c r="O187" i="307" s="1"/>
  <c r="N84" i="307"/>
  <c r="N86" i="307" s="1"/>
  <c r="Q563" i="321"/>
  <c r="Q567" i="321" s="1"/>
  <c r="Q601" i="321"/>
  <c r="Q604" i="321" s="1"/>
  <c r="Q572" i="321"/>
  <c r="Q574" i="321" s="1"/>
  <c r="Q580" i="321" s="1"/>
  <c r="Q582" i="321" s="1"/>
  <c r="Q539" i="321"/>
  <c r="Q541" i="321" s="1"/>
  <c r="Q555" i="321" s="1"/>
  <c r="Q557" i="321" s="1"/>
  <c r="S166" i="278"/>
  <c r="S169" i="278" s="1"/>
  <c r="S177" i="278"/>
  <c r="R237" i="278"/>
  <c r="R241" i="278" s="1"/>
  <c r="O114" i="315"/>
  <c r="P664" i="321"/>
  <c r="S191" i="278"/>
  <c r="S194" i="278" s="1"/>
  <c r="S202" i="278"/>
  <c r="R244" i="278"/>
  <c r="R248" i="278" s="1"/>
  <c r="R281" i="278"/>
  <c r="R284" i="278" s="1"/>
  <c r="AR156" i="321"/>
  <c r="AS153" i="321"/>
  <c r="AS265" i="321"/>
  <c r="AR268" i="321"/>
  <c r="R286" i="278" l="1"/>
  <c r="R287" i="278" s="1"/>
  <c r="R635" i="321"/>
  <c r="R621" i="321"/>
  <c r="R624" i="321" s="1"/>
  <c r="S198" i="278"/>
  <c r="S199" i="278" s="1"/>
  <c r="S39" i="315"/>
  <c r="P657" i="321"/>
  <c r="P660" i="321" s="1"/>
  <c r="P643" i="321"/>
  <c r="P645" i="321" s="1"/>
  <c r="P651" i="321" s="1"/>
  <c r="P653" i="321" s="1"/>
  <c r="P634" i="321"/>
  <c r="P638" i="321" s="1"/>
  <c r="P616" i="321"/>
  <c r="P618" i="321" s="1"/>
  <c r="P626" i="321" s="1"/>
  <c r="P628" i="321" s="1"/>
  <c r="R564" i="321"/>
  <c r="R550" i="321"/>
  <c r="R553" i="321" s="1"/>
  <c r="R262" i="278"/>
  <c r="R263" i="278" s="1"/>
  <c r="R544" i="321"/>
  <c r="R546" i="321" s="1"/>
  <c r="S41" i="265"/>
  <c r="S173" i="278"/>
  <c r="S174" i="278" s="1"/>
  <c r="Q609" i="321"/>
  <c r="Q63" i="265"/>
  <c r="Q560" i="321"/>
  <c r="Q561" i="321" s="1"/>
  <c r="Q36" i="282"/>
  <c r="Q104" i="282"/>
  <c r="Q583" i="321"/>
  <c r="Q38" i="282"/>
  <c r="Q605" i="321"/>
  <c r="Q610" i="321"/>
  <c r="Q568" i="321"/>
  <c r="N89" i="307"/>
  <c r="N90" i="307" s="1"/>
  <c r="O88" i="307" s="1"/>
  <c r="N675" i="307"/>
  <c r="N625" i="307"/>
  <c r="N284" i="307"/>
  <c r="N10" i="310"/>
  <c r="O193" i="307"/>
  <c r="O190" i="307"/>
  <c r="O191" i="307" s="1"/>
  <c r="O150" i="307"/>
  <c r="O433" i="307"/>
  <c r="O401" i="307"/>
  <c r="O432" i="307"/>
  <c r="O434" i="307" s="1"/>
  <c r="O400" i="307"/>
  <c r="O402" i="307" s="1"/>
  <c r="N464" i="307"/>
  <c r="N465" i="307" s="1"/>
  <c r="N484" i="307"/>
  <c r="N485" i="307" s="1"/>
  <c r="N588" i="307"/>
  <c r="N40" i="310"/>
  <c r="N27" i="307"/>
  <c r="N587" i="307"/>
  <c r="N589" i="307" s="1"/>
  <c r="N39" i="310"/>
  <c r="N26" i="307"/>
  <c r="N595" i="307"/>
  <c r="N30" i="307"/>
  <c r="N43" i="310"/>
  <c r="M58" i="310"/>
  <c r="M47" i="310"/>
  <c r="M63" i="310"/>
  <c r="M145" i="288"/>
  <c r="Z295" i="307"/>
  <c r="Z214" i="307"/>
  <c r="Z111" i="307"/>
  <c r="Z120" i="307"/>
  <c r="Z665" i="307"/>
  <c r="Z223" i="307"/>
  <c r="Z11" i="310"/>
  <c r="Z177" i="307"/>
  <c r="AT265" i="321"/>
  <c r="AS268" i="321"/>
  <c r="AS156" i="321"/>
  <c r="AT153" i="321"/>
  <c r="AA112" i="307" l="1"/>
  <c r="AA115" i="307" s="1"/>
  <c r="AA116" i="307" s="1"/>
  <c r="N591" i="307"/>
  <c r="N596" i="307" s="1"/>
  <c r="N139" i="288"/>
  <c r="N487" i="307"/>
  <c r="N489" i="307" s="1"/>
  <c r="N467" i="307"/>
  <c r="N469" i="307" s="1"/>
  <c r="O584" i="307"/>
  <c r="O23" i="307"/>
  <c r="O36" i="310"/>
  <c r="O585" i="307"/>
  <c r="O37" i="310"/>
  <c r="O24" i="307"/>
  <c r="O156" i="307"/>
  <c r="O153" i="307"/>
  <c r="O154" i="307" s="1"/>
  <c r="O194" i="307"/>
  <c r="O593" i="307"/>
  <c r="O20" i="307"/>
  <c r="O32" i="310"/>
  <c r="O200" i="307"/>
  <c r="O195" i="307"/>
  <c r="O72" i="307"/>
  <c r="O75" i="307" s="1"/>
  <c r="O78" i="307" s="1"/>
  <c r="O79" i="307" s="1"/>
  <c r="Q64" i="265"/>
  <c r="Q62" i="265"/>
  <c r="Q25" i="265"/>
  <c r="Q23" i="265"/>
  <c r="Q60" i="265"/>
  <c r="Q611" i="321"/>
  <c r="S178" i="278"/>
  <c r="S180" i="278" s="1"/>
  <c r="T171" i="278"/>
  <c r="S109" i="265"/>
  <c r="S253" i="278"/>
  <c r="S255" i="278" s="1"/>
  <c r="S258" i="278" s="1"/>
  <c r="R267" i="278"/>
  <c r="R556" i="321"/>
  <c r="R559" i="321"/>
  <c r="P631" i="321"/>
  <c r="P632" i="321" s="1"/>
  <c r="P61" i="315"/>
  <c r="P665" i="321"/>
  <c r="P666" i="321"/>
  <c r="P639" i="321"/>
  <c r="P654" i="321"/>
  <c r="P106" i="282"/>
  <c r="P661" i="321"/>
  <c r="T196" i="278"/>
  <c r="S203" i="278"/>
  <c r="S205" i="278" s="1"/>
  <c r="S105" i="315"/>
  <c r="R627" i="321"/>
  <c r="R630" i="321"/>
  <c r="R291" i="278"/>
  <c r="AU153" i="321"/>
  <c r="AT156" i="321"/>
  <c r="AT268" i="321"/>
  <c r="AU265" i="321"/>
  <c r="S244" i="278" l="1"/>
  <c r="S248" i="278" s="1"/>
  <c r="S281" i="278"/>
  <c r="S284" i="278" s="1"/>
  <c r="T191" i="278"/>
  <c r="T194" i="278" s="1"/>
  <c r="T202" i="278"/>
  <c r="P23" i="315"/>
  <c r="P60" i="315"/>
  <c r="P21" i="315"/>
  <c r="P58" i="315"/>
  <c r="P62" i="315"/>
  <c r="P667" i="321"/>
  <c r="T177" i="278"/>
  <c r="T166" i="278"/>
  <c r="T169" i="278" s="1"/>
  <c r="S237" i="278"/>
  <c r="S241" i="278" s="1"/>
  <c r="R608" i="321"/>
  <c r="Q118" i="265"/>
  <c r="O294" i="307"/>
  <c r="O296" i="307" s="1"/>
  <c r="O85" i="307"/>
  <c r="O453" i="307"/>
  <c r="O248" i="307"/>
  <c r="O207" i="307"/>
  <c r="O123" i="307"/>
  <c r="O157" i="307"/>
  <c r="O594" i="307"/>
  <c r="O198" i="307"/>
  <c r="O201" i="307" s="1"/>
  <c r="O33" i="310"/>
  <c r="O21" i="307"/>
  <c r="O158" i="307"/>
  <c r="N473" i="307"/>
  <c r="N475" i="307" s="1"/>
  <c r="O472" i="307" s="1"/>
  <c r="N250" i="307"/>
  <c r="N251" i="307" s="1"/>
  <c r="N655" i="307"/>
  <c r="N498" i="307"/>
  <c r="N493" i="307"/>
  <c r="N495" i="307" s="1"/>
  <c r="O492" i="307" s="1"/>
  <c r="N660" i="307"/>
  <c r="N499" i="307"/>
  <c r="N599" i="307"/>
  <c r="N601" i="307" s="1"/>
  <c r="N609" i="307"/>
  <c r="AA295" i="307"/>
  <c r="AA214" i="307"/>
  <c r="AA111" i="307"/>
  <c r="AA120" i="307"/>
  <c r="AA665" i="307"/>
  <c r="L666" i="307" s="1"/>
  <c r="AA223" i="307"/>
  <c r="L229" i="307" s="1"/>
  <c r="AA11" i="310"/>
  <c r="AA177" i="307"/>
  <c r="AU268" i="321"/>
  <c r="AV265" i="321"/>
  <c r="AU156" i="321"/>
  <c r="AV153" i="321"/>
  <c r="L55" i="265" l="1"/>
  <c r="K55" i="277" s="1"/>
  <c r="L53" i="315"/>
  <c r="L685" i="321"/>
  <c r="AB112" i="307"/>
  <c r="AB115" i="307" s="1"/>
  <c r="AB116" i="307" s="1"/>
  <c r="N615" i="307"/>
  <c r="O534" i="307"/>
  <c r="O536" i="307" s="1"/>
  <c r="O540" i="307" s="1"/>
  <c r="O541" i="307" s="1"/>
  <c r="O571" i="307"/>
  <c r="O573" i="307" s="1"/>
  <c r="O480" i="307"/>
  <c r="O481" i="307" s="1"/>
  <c r="O488" i="307" s="1"/>
  <c r="N500" i="307"/>
  <c r="N253" i="307"/>
  <c r="N255" i="307" s="1"/>
  <c r="O523" i="307"/>
  <c r="O525" i="307" s="1"/>
  <c r="O529" i="307" s="1"/>
  <c r="O530" i="307" s="1"/>
  <c r="O558" i="307"/>
  <c r="O560" i="307" s="1"/>
  <c r="O460" i="307"/>
  <c r="O461" i="307" s="1"/>
  <c r="O468" i="307" s="1"/>
  <c r="O205" i="307"/>
  <c r="O208" i="307" s="1"/>
  <c r="O121" i="307"/>
  <c r="O224" i="307"/>
  <c r="J230" i="307" s="1"/>
  <c r="O202" i="307"/>
  <c r="O321" i="307"/>
  <c r="O322" i="307" s="1"/>
  <c r="O300" i="307"/>
  <c r="O301" i="307" s="1"/>
  <c r="R572" i="321"/>
  <c r="R574" i="321" s="1"/>
  <c r="R580" i="321" s="1"/>
  <c r="R582" i="321" s="1"/>
  <c r="R601" i="321"/>
  <c r="R604" i="321" s="1"/>
  <c r="R539" i="321"/>
  <c r="R541" i="321" s="1"/>
  <c r="R555" i="321" s="1"/>
  <c r="R557" i="321" s="1"/>
  <c r="R563" i="321"/>
  <c r="R567" i="321" s="1"/>
  <c r="S564" i="321"/>
  <c r="S550" i="321"/>
  <c r="S553" i="321" s="1"/>
  <c r="S262" i="278"/>
  <c r="S263" i="278" s="1"/>
  <c r="S544" i="321"/>
  <c r="S546" i="321" s="1"/>
  <c r="T41" i="265"/>
  <c r="O41" i="277" s="1"/>
  <c r="T173" i="278"/>
  <c r="T174" i="278" s="1"/>
  <c r="Q664" i="321"/>
  <c r="P114" i="315"/>
  <c r="T198" i="278"/>
  <c r="T199" i="278" s="1"/>
  <c r="T39" i="315"/>
  <c r="S286" i="278"/>
  <c r="S287" i="278" s="1"/>
  <c r="S635" i="321"/>
  <c r="S621" i="321"/>
  <c r="S624" i="321" s="1"/>
  <c r="AV156" i="321"/>
  <c r="AW153" i="321"/>
  <c r="AW265" i="321"/>
  <c r="AV268" i="321"/>
  <c r="S627" i="321" l="1"/>
  <c r="S630" i="321"/>
  <c r="S291" i="278"/>
  <c r="U196" i="278"/>
  <c r="T203" i="278"/>
  <c r="T205" i="278" s="1"/>
  <c r="T105" i="315"/>
  <c r="Q616" i="321"/>
  <c r="Q618" i="321" s="1"/>
  <c r="Q626" i="321" s="1"/>
  <c r="Q628" i="321" s="1"/>
  <c r="Q634" i="321"/>
  <c r="Q638" i="321" s="1"/>
  <c r="Q643" i="321"/>
  <c r="Q645" i="321" s="1"/>
  <c r="Q651" i="321" s="1"/>
  <c r="Q653" i="321" s="1"/>
  <c r="Q657" i="321"/>
  <c r="Q660" i="321" s="1"/>
  <c r="T178" i="278"/>
  <c r="T180" i="278" s="1"/>
  <c r="U171" i="278"/>
  <c r="T109" i="265"/>
  <c r="O109" i="277" s="1"/>
  <c r="T253" i="278"/>
  <c r="T255" i="278" s="1"/>
  <c r="T258" i="278" s="1"/>
  <c r="S267" i="278"/>
  <c r="S556" i="321"/>
  <c r="S559" i="321"/>
  <c r="R610" i="321"/>
  <c r="R568" i="321"/>
  <c r="R609" i="321"/>
  <c r="R611" i="321" s="1"/>
  <c r="R560" i="321"/>
  <c r="R561" i="321" s="1"/>
  <c r="R63" i="265"/>
  <c r="N63" i="277" s="1"/>
  <c r="R605" i="321"/>
  <c r="R38" i="282"/>
  <c r="R104" i="282"/>
  <c r="R583" i="321"/>
  <c r="R36" i="282"/>
  <c r="O308" i="307"/>
  <c r="O311" i="307" s="1"/>
  <c r="O329" i="307"/>
  <c r="O332" i="307" s="1"/>
  <c r="O225" i="307"/>
  <c r="J231" i="307" s="1"/>
  <c r="O215" i="307"/>
  <c r="O217" i="307" s="1"/>
  <c r="O600" i="307"/>
  <c r="O670" i="307"/>
  <c r="J671" i="307" s="1"/>
  <c r="O226" i="307"/>
  <c r="J232" i="307" s="1"/>
  <c r="O576" i="307"/>
  <c r="O544" i="307"/>
  <c r="N258" i="307"/>
  <c r="N260" i="307" s="1"/>
  <c r="O257" i="307" s="1"/>
  <c r="N645" i="307"/>
  <c r="N285" i="307"/>
  <c r="N288" i="307" s="1"/>
  <c r="N12" i="310"/>
  <c r="N650" i="307"/>
  <c r="N135" i="288"/>
  <c r="N136" i="288" s="1"/>
  <c r="N14" i="310"/>
  <c r="O577" i="307"/>
  <c r="O545" i="307"/>
  <c r="AB295" i="307"/>
  <c r="AB214" i="307"/>
  <c r="AB111" i="307"/>
  <c r="AB120" i="307"/>
  <c r="AB665" i="307"/>
  <c r="AB223" i="307"/>
  <c r="AB11" i="310"/>
  <c r="AB177" i="307"/>
  <c r="AW268" i="321"/>
  <c r="AX265" i="321"/>
  <c r="AW156" i="321"/>
  <c r="AX153" i="321"/>
  <c r="AC112" i="307" l="1"/>
  <c r="AC115" i="307" s="1"/>
  <c r="AC116" i="307" s="1"/>
  <c r="N138" i="288"/>
  <c r="N140" i="288" s="1"/>
  <c r="N16" i="310"/>
  <c r="N56" i="288"/>
  <c r="N206" i="288"/>
  <c r="O264" i="307"/>
  <c r="O265" i="307" s="1"/>
  <c r="O269" i="307" s="1"/>
  <c r="O271" i="307" s="1"/>
  <c r="O244" i="307"/>
  <c r="O245" i="307" s="1"/>
  <c r="O254" i="307" s="1"/>
  <c r="O546" i="307"/>
  <c r="O578" i="307"/>
  <c r="J686" i="321"/>
  <c r="O81" i="307"/>
  <c r="O82" i="307" s="1"/>
  <c r="O124" i="307"/>
  <c r="O125" i="307" s="1"/>
  <c r="P119" i="307" s="1"/>
  <c r="O227" i="307"/>
  <c r="J233" i="307" s="1"/>
  <c r="O34" i="310"/>
  <c r="O640" i="307"/>
  <c r="J641" i="307" s="1"/>
  <c r="O336" i="307"/>
  <c r="O338" i="307" s="1"/>
  <c r="P335" i="307" s="1"/>
  <c r="O342" i="307"/>
  <c r="O635" i="307"/>
  <c r="J636" i="307" s="1"/>
  <c r="O315" i="307"/>
  <c r="O317" i="307" s="1"/>
  <c r="P314" i="307" s="1"/>
  <c r="O341" i="307"/>
  <c r="O343" i="307" s="1"/>
  <c r="R23" i="265"/>
  <c r="N23" i="277" s="1"/>
  <c r="R60" i="265"/>
  <c r="N60" i="277" s="1"/>
  <c r="R25" i="265"/>
  <c r="N25" i="277" s="1"/>
  <c r="R62" i="265"/>
  <c r="N62" i="277" s="1"/>
  <c r="S608" i="321"/>
  <c r="R118" i="265"/>
  <c r="N118" i="277" s="1"/>
  <c r="R64" i="265"/>
  <c r="N64" i="277" s="1"/>
  <c r="U177" i="278"/>
  <c r="U166" i="278"/>
  <c r="U169" i="278" s="1"/>
  <c r="T237" i="278"/>
  <c r="T241" i="278" s="1"/>
  <c r="Q106" i="282"/>
  <c r="Q661" i="321"/>
  <c r="Q654" i="321"/>
  <c r="Q639" i="321"/>
  <c r="Q666" i="321"/>
  <c r="Q61" i="315"/>
  <c r="Q665" i="321"/>
  <c r="Q667" i="321" s="1"/>
  <c r="Q631" i="321"/>
  <c r="Q632" i="321" s="1"/>
  <c r="T281" i="278"/>
  <c r="T284" i="278" s="1"/>
  <c r="T244" i="278"/>
  <c r="T248" i="278" s="1"/>
  <c r="U191" i="278"/>
  <c r="U194" i="278" s="1"/>
  <c r="U202" i="278"/>
  <c r="AX156" i="321"/>
  <c r="AY153" i="321"/>
  <c r="AY265" i="321"/>
  <c r="AX268" i="321"/>
  <c r="U39" i="315" l="1"/>
  <c r="U198" i="278"/>
  <c r="U199" i="278" s="1"/>
  <c r="T635" i="321"/>
  <c r="T621" i="321"/>
  <c r="T624" i="321" s="1"/>
  <c r="T286" i="278"/>
  <c r="T287" i="278" s="1"/>
  <c r="Q114" i="315"/>
  <c r="R664" i="321"/>
  <c r="Q62" i="315"/>
  <c r="Q58" i="315"/>
  <c r="Q21" i="315"/>
  <c r="Q60" i="315"/>
  <c r="Q23" i="315"/>
  <c r="T564" i="321"/>
  <c r="T550" i="321"/>
  <c r="T553" i="321" s="1"/>
  <c r="T262" i="278"/>
  <c r="T263" i="278" s="1"/>
  <c r="T544" i="321"/>
  <c r="T546" i="321" s="1"/>
  <c r="U41" i="265"/>
  <c r="U173" i="278"/>
  <c r="U174" i="278" s="1"/>
  <c r="S572" i="321"/>
  <c r="S574" i="321" s="1"/>
  <c r="S580" i="321" s="1"/>
  <c r="S582" i="321" s="1"/>
  <c r="S563" i="321"/>
  <c r="S567" i="321" s="1"/>
  <c r="S601" i="321"/>
  <c r="S604" i="321" s="1"/>
  <c r="S539" i="321"/>
  <c r="S541" i="321" s="1"/>
  <c r="S555" i="321" s="1"/>
  <c r="S557" i="321" s="1"/>
  <c r="O454" i="307"/>
  <c r="O455" i="307" s="1"/>
  <c r="O249" i="307"/>
  <c r="O630" i="307"/>
  <c r="J631" i="307" s="1"/>
  <c r="O134" i="288"/>
  <c r="O347" i="307"/>
  <c r="O349" i="307" s="1"/>
  <c r="P346" i="307" s="1"/>
  <c r="O13" i="310"/>
  <c r="P305" i="307"/>
  <c r="P306" i="307" s="1"/>
  <c r="P309" i="307" s="1"/>
  <c r="P378" i="307"/>
  <c r="P380" i="307" s="1"/>
  <c r="P384" i="307" s="1"/>
  <c r="P385" i="307" s="1"/>
  <c r="P414" i="307"/>
  <c r="P416" i="307" s="1"/>
  <c r="J188" i="321"/>
  <c r="P326" i="307"/>
  <c r="P327" i="307" s="1"/>
  <c r="P330" i="307" s="1"/>
  <c r="P390" i="307"/>
  <c r="P392" i="307" s="1"/>
  <c r="P396" i="307" s="1"/>
  <c r="P397" i="307" s="1"/>
  <c r="P427" i="307"/>
  <c r="P429" i="307" s="1"/>
  <c r="J300" i="321"/>
  <c r="J678" i="321"/>
  <c r="J680" i="321" s="1"/>
  <c r="P213" i="307"/>
  <c r="P148" i="307"/>
  <c r="P129" i="307"/>
  <c r="P131" i="307" s="1"/>
  <c r="P135" i="307" s="1"/>
  <c r="P138" i="307" s="1"/>
  <c r="P142" i="307" s="1"/>
  <c r="P145" i="307" s="1"/>
  <c r="P147" i="307" s="1"/>
  <c r="P176" i="307"/>
  <c r="P179" i="307" s="1"/>
  <c r="P184" i="307" s="1"/>
  <c r="P187" i="307" s="1"/>
  <c r="O84" i="307"/>
  <c r="O86" i="307" s="1"/>
  <c r="O588" i="307"/>
  <c r="O40" i="310"/>
  <c r="O27" i="307"/>
  <c r="O587" i="307"/>
  <c r="O589" i="307" s="1"/>
  <c r="O39" i="310"/>
  <c r="O26" i="307"/>
  <c r="O595" i="307"/>
  <c r="O30" i="307"/>
  <c r="O43" i="310"/>
  <c r="N47" i="310"/>
  <c r="N63" i="310"/>
  <c r="N58" i="310"/>
  <c r="N145" i="288"/>
  <c r="AC295" i="307"/>
  <c r="AC214" i="307"/>
  <c r="AC111" i="307"/>
  <c r="AC120" i="307"/>
  <c r="AC665" i="307"/>
  <c r="AC223" i="307"/>
  <c r="AC177" i="307"/>
  <c r="AC11" i="310"/>
  <c r="AY268" i="321"/>
  <c r="AZ265" i="321"/>
  <c r="AY156" i="321"/>
  <c r="AZ153" i="321"/>
  <c r="AD112" i="307" l="1"/>
  <c r="AD115" i="307" s="1"/>
  <c r="AD116" i="307" s="1"/>
  <c r="O591" i="307"/>
  <c r="O596" i="307" s="1"/>
  <c r="O139" i="288"/>
  <c r="O89" i="307"/>
  <c r="O90" i="307" s="1"/>
  <c r="P88" i="307" s="1"/>
  <c r="O675" i="307"/>
  <c r="J676" i="307" s="1"/>
  <c r="O625" i="307"/>
  <c r="J626" i="307" s="1"/>
  <c r="O10" i="310"/>
  <c r="O284" i="307"/>
  <c r="P193" i="307"/>
  <c r="P190" i="307"/>
  <c r="P191" i="307" s="1"/>
  <c r="P150" i="307"/>
  <c r="J687" i="321"/>
  <c r="J688" i="321" s="1"/>
  <c r="J681" i="321"/>
  <c r="P433" i="307"/>
  <c r="P401" i="307"/>
  <c r="P432" i="307"/>
  <c r="P434" i="307" s="1"/>
  <c r="P400" i="307"/>
  <c r="P402" i="307" s="1"/>
  <c r="J57" i="265"/>
  <c r="J57" i="277" s="1"/>
  <c r="J55" i="315"/>
  <c r="O464" i="307"/>
  <c r="O465" i="307" s="1"/>
  <c r="O484" i="307"/>
  <c r="O485" i="307" s="1"/>
  <c r="S609" i="321"/>
  <c r="S560" i="321"/>
  <c r="S561" i="321" s="1"/>
  <c r="S63" i="265"/>
  <c r="S605" i="321"/>
  <c r="S38" i="282"/>
  <c r="S610" i="321"/>
  <c r="S568" i="321"/>
  <c r="S104" i="282"/>
  <c r="S583" i="321"/>
  <c r="S36" i="282"/>
  <c r="U178" i="278"/>
  <c r="U180" i="278" s="1"/>
  <c r="V171" i="278"/>
  <c r="U109" i="265"/>
  <c r="U253" i="278"/>
  <c r="U255" i="278" s="1"/>
  <c r="U258" i="278" s="1"/>
  <c r="T267" i="278"/>
  <c r="T556" i="321"/>
  <c r="T559" i="321"/>
  <c r="R643" i="321"/>
  <c r="R645" i="321" s="1"/>
  <c r="R651" i="321" s="1"/>
  <c r="R653" i="321" s="1"/>
  <c r="R634" i="321"/>
  <c r="R638" i="321" s="1"/>
  <c r="R657" i="321"/>
  <c r="R660" i="321" s="1"/>
  <c r="R616" i="321"/>
  <c r="R618" i="321" s="1"/>
  <c r="R626" i="321" s="1"/>
  <c r="R628" i="321" s="1"/>
  <c r="T291" i="278"/>
  <c r="T627" i="321"/>
  <c r="T630" i="321"/>
  <c r="V196" i="278"/>
  <c r="U203" i="278"/>
  <c r="U205" i="278" s="1"/>
  <c r="U105" i="315"/>
  <c r="BA153" i="321"/>
  <c r="AZ156" i="321"/>
  <c r="AZ268" i="321"/>
  <c r="BA265" i="321"/>
  <c r="U244" i="278" l="1"/>
  <c r="U248" i="278" s="1"/>
  <c r="U281" i="278"/>
  <c r="U284" i="278" s="1"/>
  <c r="V191" i="278"/>
  <c r="V194" i="278" s="1"/>
  <c r="V202" i="278"/>
  <c r="R61" i="315"/>
  <c r="R665" i="321"/>
  <c r="R631" i="321"/>
  <c r="R632" i="321" s="1"/>
  <c r="R106" i="282"/>
  <c r="R661" i="321"/>
  <c r="R639" i="321"/>
  <c r="R666" i="321"/>
  <c r="R654" i="321"/>
  <c r="V166" i="278"/>
  <c r="V169" i="278" s="1"/>
  <c r="V177" i="278"/>
  <c r="U237" i="278"/>
  <c r="U241" i="278" s="1"/>
  <c r="S23" i="265"/>
  <c r="S60" i="265"/>
  <c r="S64" i="265"/>
  <c r="S25" i="265"/>
  <c r="S62" i="265"/>
  <c r="S611" i="321"/>
  <c r="O487" i="307"/>
  <c r="O489" i="307" s="1"/>
  <c r="O467" i="307"/>
  <c r="O469" i="307" s="1"/>
  <c r="P584" i="307"/>
  <c r="P36" i="310"/>
  <c r="P23" i="307"/>
  <c r="P585" i="307"/>
  <c r="P24" i="307"/>
  <c r="P37" i="310"/>
  <c r="J53" i="265"/>
  <c r="J53" i="277" s="1"/>
  <c r="J51" i="315"/>
  <c r="K684" i="321"/>
  <c r="J123" i="265"/>
  <c r="J123" i="277" s="1"/>
  <c r="J119" i="315"/>
  <c r="P156" i="307"/>
  <c r="P153" i="307"/>
  <c r="P154" i="307" s="1"/>
  <c r="P194" i="307"/>
  <c r="P593" i="307"/>
  <c r="P32" i="310"/>
  <c r="P20" i="307"/>
  <c r="P200" i="307"/>
  <c r="P195" i="307"/>
  <c r="J445" i="321"/>
  <c r="J447" i="321" s="1"/>
  <c r="J484" i="321"/>
  <c r="J528" i="321"/>
  <c r="P72" i="307"/>
  <c r="P75" i="307" s="1"/>
  <c r="P78" i="307" s="1"/>
  <c r="P79" i="307" s="1"/>
  <c r="O599" i="307"/>
  <c r="O601" i="307" s="1"/>
  <c r="O609" i="307"/>
  <c r="J610" i="307" s="1"/>
  <c r="AD295" i="307"/>
  <c r="AD214" i="307"/>
  <c r="AD111" i="307"/>
  <c r="AD120" i="307"/>
  <c r="AD665" i="307"/>
  <c r="AD223" i="307"/>
  <c r="AD11" i="310"/>
  <c r="AD177" i="307"/>
  <c r="BA268" i="321"/>
  <c r="BB265" i="321"/>
  <c r="BB153" i="321"/>
  <c r="BA156" i="321"/>
  <c r="AE112" i="307" l="1"/>
  <c r="AE115" i="307" s="1"/>
  <c r="AE116" i="307" s="1"/>
  <c r="J611" i="307"/>
  <c r="O615" i="307"/>
  <c r="J616" i="307" s="1"/>
  <c r="P294" i="307"/>
  <c r="P296" i="307" s="1"/>
  <c r="P85" i="307"/>
  <c r="P453" i="307"/>
  <c r="P248" i="307"/>
  <c r="J56" i="265"/>
  <c r="J56" i="277" s="1"/>
  <c r="J54" i="315"/>
  <c r="P207" i="307"/>
  <c r="P123" i="307"/>
  <c r="P157" i="307"/>
  <c r="P594" i="307"/>
  <c r="P33" i="310"/>
  <c r="P198" i="307"/>
  <c r="P201" i="307" s="1"/>
  <c r="P21" i="307"/>
  <c r="P158" i="307"/>
  <c r="K673" i="321"/>
  <c r="K676" i="321" s="1"/>
  <c r="K712" i="321"/>
  <c r="K714" i="321" s="1"/>
  <c r="K693" i="321"/>
  <c r="K695" i="321" s="1"/>
  <c r="K699" i="321" s="1"/>
  <c r="O473" i="307"/>
  <c r="O475" i="307" s="1"/>
  <c r="P472" i="307" s="1"/>
  <c r="O250" i="307"/>
  <c r="O251" i="307" s="1"/>
  <c r="O655" i="307"/>
  <c r="J656" i="307" s="1"/>
  <c r="O498" i="307"/>
  <c r="O493" i="307"/>
  <c r="O495" i="307" s="1"/>
  <c r="P492" i="307" s="1"/>
  <c r="O660" i="307"/>
  <c r="J661" i="307" s="1"/>
  <c r="O499" i="307"/>
  <c r="T608" i="321"/>
  <c r="S118" i="265"/>
  <c r="U564" i="321"/>
  <c r="U550" i="321"/>
  <c r="U553" i="321" s="1"/>
  <c r="U262" i="278"/>
  <c r="U263" i="278" s="1"/>
  <c r="U544" i="321"/>
  <c r="U546" i="321" s="1"/>
  <c r="V173" i="278"/>
  <c r="V174" i="278" s="1"/>
  <c r="V41" i="265"/>
  <c r="P41" i="277" s="1"/>
  <c r="R58" i="315"/>
  <c r="R21" i="315"/>
  <c r="R62" i="315"/>
  <c r="R60" i="315"/>
  <c r="R23" i="315"/>
  <c r="R667" i="321"/>
  <c r="V198" i="278"/>
  <c r="V199" i="278" s="1"/>
  <c r="V39" i="315"/>
  <c r="U286" i="278"/>
  <c r="U287" i="278" s="1"/>
  <c r="U635" i="321"/>
  <c r="U621" i="321"/>
  <c r="U624" i="321" s="1"/>
  <c r="BC153" i="321"/>
  <c r="BB156" i="321"/>
  <c r="BB268" i="321"/>
  <c r="BC265" i="321"/>
  <c r="U627" i="321" l="1"/>
  <c r="U630" i="321"/>
  <c r="U291" i="278"/>
  <c r="V203" i="278"/>
  <c r="V205" i="278" s="1"/>
  <c r="W196" i="278"/>
  <c r="V105" i="315"/>
  <c r="S664" i="321"/>
  <c r="R114" i="315"/>
  <c r="V178" i="278"/>
  <c r="V180" i="278" s="1"/>
  <c r="W171" i="278"/>
  <c r="V109" i="265"/>
  <c r="P109" i="277" s="1"/>
  <c r="V253" i="278"/>
  <c r="V255" i="278" s="1"/>
  <c r="V258" i="278" s="1"/>
  <c r="U267" i="278"/>
  <c r="U556" i="321"/>
  <c r="U559" i="321"/>
  <c r="T601" i="321"/>
  <c r="T604" i="321" s="1"/>
  <c r="T539" i="321"/>
  <c r="T541" i="321" s="1"/>
  <c r="T555" i="321" s="1"/>
  <c r="T557" i="321" s="1"/>
  <c r="T572" i="321"/>
  <c r="T574" i="321" s="1"/>
  <c r="T580" i="321" s="1"/>
  <c r="T582" i="321" s="1"/>
  <c r="T563" i="321"/>
  <c r="T567" i="321" s="1"/>
  <c r="J434" i="321"/>
  <c r="P534" i="307"/>
  <c r="P536" i="307" s="1"/>
  <c r="P540" i="307" s="1"/>
  <c r="P541" i="307" s="1"/>
  <c r="P571" i="307"/>
  <c r="P573" i="307" s="1"/>
  <c r="P480" i="307"/>
  <c r="P481" i="307" s="1"/>
  <c r="P488" i="307" s="1"/>
  <c r="O500" i="307"/>
  <c r="J402" i="321"/>
  <c r="O253" i="307"/>
  <c r="O255" i="307" s="1"/>
  <c r="P523" i="307"/>
  <c r="P525" i="307" s="1"/>
  <c r="P529" i="307" s="1"/>
  <c r="P530" i="307" s="1"/>
  <c r="P558" i="307"/>
  <c r="P560" i="307" s="1"/>
  <c r="P460" i="307"/>
  <c r="P461" i="307" s="1"/>
  <c r="P468" i="307" s="1"/>
  <c r="K715" i="321"/>
  <c r="K34" i="282"/>
  <c r="K102" i="282"/>
  <c r="K679" i="321"/>
  <c r="K442" i="321"/>
  <c r="K443" i="321" s="1"/>
  <c r="P205" i="307"/>
  <c r="P208" i="307" s="1"/>
  <c r="P121" i="307"/>
  <c r="P224" i="307"/>
  <c r="P202" i="307"/>
  <c r="P321" i="307"/>
  <c r="P322" i="307" s="1"/>
  <c r="P300" i="307"/>
  <c r="P301" i="307" s="1"/>
  <c r="J41" i="285"/>
  <c r="J50" i="265"/>
  <c r="J50" i="277" s="1"/>
  <c r="J48" i="315"/>
  <c r="AE295" i="307"/>
  <c r="AE214" i="307"/>
  <c r="AE111" i="307"/>
  <c r="AE120" i="307"/>
  <c r="AE665" i="307"/>
  <c r="AE223" i="307"/>
  <c r="AE11" i="310"/>
  <c r="AE177" i="307"/>
  <c r="BC268" i="321"/>
  <c r="BD265" i="321"/>
  <c r="BC156" i="321"/>
  <c r="BD153" i="321"/>
  <c r="AF112" i="307" l="1"/>
  <c r="AF115" i="307" s="1"/>
  <c r="AF116" i="307" s="1"/>
  <c r="P308" i="307"/>
  <c r="P311" i="307" s="1"/>
  <c r="P329" i="307"/>
  <c r="P332" i="307" s="1"/>
  <c r="P225" i="307"/>
  <c r="P215" i="307"/>
  <c r="P217" i="307" s="1"/>
  <c r="P600" i="307"/>
  <c r="P670" i="307"/>
  <c r="P226" i="307"/>
  <c r="K485" i="321"/>
  <c r="K446" i="321"/>
  <c r="K46" i="288"/>
  <c r="K529" i="321"/>
  <c r="K196" i="288"/>
  <c r="K26" i="265"/>
  <c r="K84" i="265"/>
  <c r="K24" i="315"/>
  <c r="K80" i="315"/>
  <c r="P576" i="307"/>
  <c r="P544" i="307"/>
  <c r="O258" i="307"/>
  <c r="O260" i="307" s="1"/>
  <c r="P257" i="307" s="1"/>
  <c r="O645" i="307"/>
  <c r="J646" i="307" s="1"/>
  <c r="O285" i="307"/>
  <c r="O288" i="307" s="1"/>
  <c r="O12" i="310"/>
  <c r="O650" i="307"/>
  <c r="J651" i="307" s="1"/>
  <c r="O135" i="288"/>
  <c r="O136" i="288" s="1"/>
  <c r="O14" i="310"/>
  <c r="P577" i="307"/>
  <c r="P545" i="307"/>
  <c r="T610" i="321"/>
  <c r="T568" i="321"/>
  <c r="T104" i="282"/>
  <c r="T583" i="321"/>
  <c r="T36" i="282"/>
  <c r="T609" i="321"/>
  <c r="T611" i="321" s="1"/>
  <c r="T560" i="321"/>
  <c r="T561" i="321" s="1"/>
  <c r="T63" i="265"/>
  <c r="O63" i="277" s="1"/>
  <c r="T38" i="282"/>
  <c r="T605" i="321"/>
  <c r="W177" i="278"/>
  <c r="W166" i="278"/>
  <c r="W169" i="278" s="1"/>
  <c r="V237" i="278"/>
  <c r="V241" i="278" s="1"/>
  <c r="S657" i="321"/>
  <c r="S660" i="321" s="1"/>
  <c r="S643" i="321"/>
  <c r="S645" i="321" s="1"/>
  <c r="S651" i="321" s="1"/>
  <c r="S653" i="321" s="1"/>
  <c r="S616" i="321"/>
  <c r="S618" i="321" s="1"/>
  <c r="S626" i="321" s="1"/>
  <c r="S628" i="321" s="1"/>
  <c r="S634" i="321"/>
  <c r="S638" i="321" s="1"/>
  <c r="W191" i="278"/>
  <c r="W194" i="278" s="1"/>
  <c r="W202" i="278"/>
  <c r="V281" i="278"/>
  <c r="V284" i="278" s="1"/>
  <c r="V244" i="278"/>
  <c r="V248" i="278" s="1"/>
  <c r="BD156" i="321"/>
  <c r="BE153" i="321"/>
  <c r="BD268" i="321"/>
  <c r="BE265" i="321"/>
  <c r="V621" i="321" l="1"/>
  <c r="V624" i="321" s="1"/>
  <c r="V635" i="321"/>
  <c r="V286" i="278"/>
  <c r="V287" i="278" s="1"/>
  <c r="W39" i="315"/>
  <c r="W198" i="278"/>
  <c r="W199" i="278" s="1"/>
  <c r="S666" i="321"/>
  <c r="S639" i="321"/>
  <c r="S665" i="321"/>
  <c r="S667" i="321" s="1"/>
  <c r="S631" i="321"/>
  <c r="S632" i="321" s="1"/>
  <c r="S61" i="315"/>
  <c r="S654" i="321"/>
  <c r="S106" i="282"/>
  <c r="S661" i="321"/>
  <c r="V550" i="321"/>
  <c r="V553" i="321" s="1"/>
  <c r="V564" i="321"/>
  <c r="V262" i="278"/>
  <c r="V263" i="278" s="1"/>
  <c r="V544" i="321"/>
  <c r="V546" i="321" s="1"/>
  <c r="W41" i="265"/>
  <c r="W173" i="278"/>
  <c r="W174" i="278" s="1"/>
  <c r="T25" i="265"/>
  <c r="O25" i="277" s="1"/>
  <c r="T62" i="265"/>
  <c r="O62" i="277" s="1"/>
  <c r="T118" i="265"/>
  <c r="O118" i="277" s="1"/>
  <c r="U608" i="321"/>
  <c r="T23" i="265"/>
  <c r="O23" i="277" s="1"/>
  <c r="T60" i="265"/>
  <c r="O60" i="277" s="1"/>
  <c r="T64" i="265"/>
  <c r="O64" i="277" s="1"/>
  <c r="O138" i="288"/>
  <c r="O140" i="288" s="1"/>
  <c r="J58" i="265"/>
  <c r="J58" i="277" s="1"/>
  <c r="J56" i="315"/>
  <c r="O16" i="310"/>
  <c r="O56" i="288"/>
  <c r="O206" i="288"/>
  <c r="J59" i="265"/>
  <c r="J59" i="277" s="1"/>
  <c r="J38" i="286"/>
  <c r="J115" i="286"/>
  <c r="J57" i="315"/>
  <c r="P264" i="307"/>
  <c r="P265" i="307" s="1"/>
  <c r="P269" i="307" s="1"/>
  <c r="P271" i="307" s="1"/>
  <c r="P244" i="307"/>
  <c r="P245" i="307" s="1"/>
  <c r="P254" i="307" s="1"/>
  <c r="P546" i="307"/>
  <c r="P578" i="307"/>
  <c r="P81" i="307"/>
  <c r="P82" i="307" s="1"/>
  <c r="P124" i="307"/>
  <c r="P125" i="307" s="1"/>
  <c r="Q119" i="307" s="1"/>
  <c r="P227" i="307"/>
  <c r="P34" i="310"/>
  <c r="P640" i="307"/>
  <c r="P336" i="307"/>
  <c r="P338" i="307" s="1"/>
  <c r="Q335" i="307" s="1"/>
  <c r="P342" i="307"/>
  <c r="P635" i="307"/>
  <c r="P315" i="307"/>
  <c r="P317" i="307" s="1"/>
  <c r="Q314" i="307" s="1"/>
  <c r="P341" i="307"/>
  <c r="P343" i="307" s="1"/>
  <c r="AF295" i="307"/>
  <c r="AF214" i="307"/>
  <c r="AF111" i="307"/>
  <c r="AF120" i="307"/>
  <c r="AF665" i="307"/>
  <c r="AF223" i="307"/>
  <c r="AF11" i="310"/>
  <c r="AF177" i="307"/>
  <c r="BE268" i="321"/>
  <c r="BF265" i="321"/>
  <c r="BE156" i="321"/>
  <c r="BF153" i="321"/>
  <c r="AG112" i="307" l="1"/>
  <c r="AG115" i="307" s="1"/>
  <c r="AG116" i="307" s="1"/>
  <c r="P454" i="307"/>
  <c r="P455" i="307" s="1"/>
  <c r="P249" i="307"/>
  <c r="P630" i="307"/>
  <c r="P13" i="310"/>
  <c r="P347" i="307"/>
  <c r="P349" i="307" s="1"/>
  <c r="Q346" i="307" s="1"/>
  <c r="P134" i="288"/>
  <c r="Q305" i="307"/>
  <c r="Q306" i="307" s="1"/>
  <c r="Q309" i="307" s="1"/>
  <c r="Q378" i="307"/>
  <c r="Q380" i="307" s="1"/>
  <c r="Q384" i="307" s="1"/>
  <c r="Q385" i="307" s="1"/>
  <c r="Q414" i="307"/>
  <c r="Q416" i="307" s="1"/>
  <c r="Q326" i="307"/>
  <c r="Q327" i="307" s="1"/>
  <c r="Q330" i="307" s="1"/>
  <c r="Q390" i="307"/>
  <c r="Q392" i="307" s="1"/>
  <c r="Q396" i="307" s="1"/>
  <c r="Q397" i="307" s="1"/>
  <c r="Q427" i="307"/>
  <c r="Q429" i="307" s="1"/>
  <c r="Q213" i="307"/>
  <c r="Q148" i="307"/>
  <c r="Q129" i="307"/>
  <c r="Q131" i="307" s="1"/>
  <c r="Q135" i="307" s="1"/>
  <c r="Q138" i="307" s="1"/>
  <c r="Q142" i="307" s="1"/>
  <c r="Q145" i="307" s="1"/>
  <c r="Q147" i="307" s="1"/>
  <c r="Q176" i="307"/>
  <c r="Q179" i="307" s="1"/>
  <c r="Q184" i="307" s="1"/>
  <c r="Q187" i="307" s="1"/>
  <c r="P84" i="307"/>
  <c r="P86" i="307" s="1"/>
  <c r="P588" i="307"/>
  <c r="P40" i="310"/>
  <c r="P27" i="307"/>
  <c r="P587" i="307"/>
  <c r="P589" i="307" s="1"/>
  <c r="P39" i="310"/>
  <c r="P26" i="307"/>
  <c r="P595" i="307"/>
  <c r="P43" i="310"/>
  <c r="P30" i="307"/>
  <c r="O47" i="310"/>
  <c r="O63" i="310"/>
  <c r="O58" i="310"/>
  <c r="O145" i="288"/>
  <c r="U601" i="321"/>
  <c r="U604" i="321" s="1"/>
  <c r="U563" i="321"/>
  <c r="U567" i="321" s="1"/>
  <c r="U572" i="321"/>
  <c r="U574" i="321" s="1"/>
  <c r="U580" i="321" s="1"/>
  <c r="U582" i="321" s="1"/>
  <c r="U539" i="321"/>
  <c r="U541" i="321" s="1"/>
  <c r="U555" i="321" s="1"/>
  <c r="U557" i="321" s="1"/>
  <c r="W178" i="278"/>
  <c r="W180" i="278" s="1"/>
  <c r="X171" i="278"/>
  <c r="W109" i="265"/>
  <c r="W253" i="278"/>
  <c r="W255" i="278" s="1"/>
  <c r="W258" i="278" s="1"/>
  <c r="V267" i="278"/>
  <c r="V556" i="321"/>
  <c r="V559" i="321"/>
  <c r="S23" i="315"/>
  <c r="S60" i="315"/>
  <c r="S58" i="315"/>
  <c r="S21" i="315"/>
  <c r="S114" i="315"/>
  <c r="T664" i="321"/>
  <c r="S62" i="315"/>
  <c r="X196" i="278"/>
  <c r="W203" i="278"/>
  <c r="W205" i="278" s="1"/>
  <c r="W105" i="315"/>
  <c r="V291" i="278"/>
  <c r="V627" i="321"/>
  <c r="V630" i="321"/>
  <c r="BF156" i="321"/>
  <c r="BG153" i="321"/>
  <c r="BF268" i="321"/>
  <c r="BG265" i="321"/>
  <c r="W281" i="278" l="1"/>
  <c r="W284" i="278" s="1"/>
  <c r="W244" i="278"/>
  <c r="W248" i="278" s="1"/>
  <c r="X191" i="278"/>
  <c r="X194" i="278" s="1"/>
  <c r="X202" i="278"/>
  <c r="T643" i="321"/>
  <c r="T645" i="321" s="1"/>
  <c r="T651" i="321" s="1"/>
  <c r="T653" i="321" s="1"/>
  <c r="T634" i="321"/>
  <c r="T638" i="321" s="1"/>
  <c r="T657" i="321"/>
  <c r="T660" i="321" s="1"/>
  <c r="T616" i="321"/>
  <c r="T618" i="321" s="1"/>
  <c r="T626" i="321" s="1"/>
  <c r="T628" i="321" s="1"/>
  <c r="X166" i="278"/>
  <c r="X169" i="278" s="1"/>
  <c r="X177" i="278"/>
  <c r="W237" i="278"/>
  <c r="W241" i="278" s="1"/>
  <c r="U609" i="321"/>
  <c r="U560" i="321"/>
  <c r="U561" i="321" s="1"/>
  <c r="U63" i="265"/>
  <c r="U36" i="282"/>
  <c r="U104" i="282"/>
  <c r="U583" i="321"/>
  <c r="U568" i="321"/>
  <c r="U610" i="321"/>
  <c r="U605" i="321"/>
  <c r="U38" i="282"/>
  <c r="P591" i="307"/>
  <c r="P596" i="307" s="1"/>
  <c r="P139" i="288"/>
  <c r="P89" i="307"/>
  <c r="P90" i="307" s="1"/>
  <c r="Q88" i="307" s="1"/>
  <c r="P675" i="307"/>
  <c r="P625" i="307"/>
  <c r="P284" i="307"/>
  <c r="P10" i="310"/>
  <c r="Q193" i="307"/>
  <c r="Q190" i="307"/>
  <c r="Q191" i="307" s="1"/>
  <c r="Q150" i="307"/>
  <c r="Q433" i="307"/>
  <c r="Q401" i="307"/>
  <c r="Q432" i="307"/>
  <c r="Q434" i="307" s="1"/>
  <c r="Q400" i="307"/>
  <c r="Q402" i="307" s="1"/>
  <c r="P464" i="307"/>
  <c r="P465" i="307" s="1"/>
  <c r="P484" i="307"/>
  <c r="P485" i="307" s="1"/>
  <c r="AG295" i="307"/>
  <c r="AG214" i="307"/>
  <c r="AG111" i="307"/>
  <c r="AG120" i="307"/>
  <c r="AG665" i="307"/>
  <c r="M666" i="307" s="1"/>
  <c r="AG223" i="307"/>
  <c r="M229" i="307" s="1"/>
  <c r="AG11" i="310"/>
  <c r="AG177" i="307"/>
  <c r="BG268" i="321"/>
  <c r="BH265" i="321"/>
  <c r="BG156" i="321"/>
  <c r="BH153" i="321"/>
  <c r="M55" i="265" l="1"/>
  <c r="M53" i="315"/>
  <c r="M685" i="321"/>
  <c r="AH112" i="307"/>
  <c r="AH115" i="307" s="1"/>
  <c r="AH116" i="307" s="1"/>
  <c r="P487" i="307"/>
  <c r="P489" i="307" s="1"/>
  <c r="P467" i="307"/>
  <c r="P469" i="307" s="1"/>
  <c r="Q584" i="307"/>
  <c r="Q36" i="310"/>
  <c r="Q23" i="307"/>
  <c r="Q585" i="307"/>
  <c r="Q24" i="307"/>
  <c r="Q37" i="310"/>
  <c r="Q156" i="307"/>
  <c r="Q153" i="307"/>
  <c r="Q154" i="307" s="1"/>
  <c r="Q194" i="307"/>
  <c r="Q593" i="307"/>
  <c r="Q32" i="310"/>
  <c r="Q20" i="307"/>
  <c r="Q200" i="307"/>
  <c r="Q195" i="307"/>
  <c r="Q72" i="307"/>
  <c r="Q75" i="307" s="1"/>
  <c r="Q78" i="307" s="1"/>
  <c r="Q79" i="307" s="1"/>
  <c r="P599" i="307"/>
  <c r="P601" i="307" s="1"/>
  <c r="P609" i="307"/>
  <c r="U25" i="265"/>
  <c r="U62" i="265"/>
  <c r="U64" i="265"/>
  <c r="U23" i="265"/>
  <c r="U60" i="265"/>
  <c r="U611" i="321"/>
  <c r="W564" i="321"/>
  <c r="W550" i="321"/>
  <c r="W553" i="321" s="1"/>
  <c r="W262" i="278"/>
  <c r="W263" i="278" s="1"/>
  <c r="W544" i="321"/>
  <c r="W546" i="321" s="1"/>
  <c r="X173" i="278"/>
  <c r="X174" i="278" s="1"/>
  <c r="X41" i="265"/>
  <c r="Q41" i="277" s="1"/>
  <c r="T61" i="315"/>
  <c r="T631" i="321"/>
  <c r="T632" i="321" s="1"/>
  <c r="T665" i="321"/>
  <c r="T661" i="321"/>
  <c r="T106" i="282"/>
  <c r="T639" i="321"/>
  <c r="T666" i="321"/>
  <c r="T654" i="321"/>
  <c r="X198" i="278"/>
  <c r="X199" i="278" s="1"/>
  <c r="X39" i="315"/>
  <c r="W635" i="321"/>
  <c r="W621" i="321"/>
  <c r="W624" i="321" s="1"/>
  <c r="W286" i="278"/>
  <c r="W287" i="278" s="1"/>
  <c r="BH156" i="321"/>
  <c r="BI153" i="321"/>
  <c r="BH268" i="321"/>
  <c r="BI265" i="321"/>
  <c r="W291" i="278" l="1"/>
  <c r="W627" i="321"/>
  <c r="W630" i="321"/>
  <c r="Y196" i="278"/>
  <c r="X203" i="278"/>
  <c r="X205" i="278" s="1"/>
  <c r="X105" i="315"/>
  <c r="T58" i="315"/>
  <c r="T21" i="315"/>
  <c r="T62" i="315"/>
  <c r="T23" i="315"/>
  <c r="T60" i="315"/>
  <c r="T667" i="321"/>
  <c r="X178" i="278"/>
  <c r="X180" i="278" s="1"/>
  <c r="Y171" i="278"/>
  <c r="X109" i="265"/>
  <c r="Q109" i="277" s="1"/>
  <c r="X253" i="278"/>
  <c r="X255" i="278" s="1"/>
  <c r="X258" i="278" s="1"/>
  <c r="W267" i="278"/>
  <c r="W556" i="321"/>
  <c r="W559" i="321"/>
  <c r="V608" i="321"/>
  <c r="U118" i="265"/>
  <c r="P615" i="307"/>
  <c r="Q294" i="307"/>
  <c r="Q296" i="307" s="1"/>
  <c r="Q85" i="307"/>
  <c r="Q453" i="307"/>
  <c r="Q248" i="307"/>
  <c r="Q207" i="307"/>
  <c r="Q123" i="307"/>
  <c r="Q157" i="307"/>
  <c r="Q594" i="307"/>
  <c r="Q21" i="307"/>
  <c r="Q198" i="307"/>
  <c r="Q201" i="307" s="1"/>
  <c r="Q33" i="310"/>
  <c r="Q158" i="307"/>
  <c r="P473" i="307"/>
  <c r="P475" i="307" s="1"/>
  <c r="Q472" i="307" s="1"/>
  <c r="P250" i="307"/>
  <c r="P251" i="307" s="1"/>
  <c r="P655" i="307"/>
  <c r="P498" i="307"/>
  <c r="P493" i="307"/>
  <c r="P495" i="307" s="1"/>
  <c r="Q492" i="307" s="1"/>
  <c r="P660" i="307"/>
  <c r="P499" i="307"/>
  <c r="AH295" i="307"/>
  <c r="AH214" i="307"/>
  <c r="AH111" i="307"/>
  <c r="AH120" i="307"/>
  <c r="AH665" i="307"/>
  <c r="AH223" i="307"/>
  <c r="AH11" i="310"/>
  <c r="AH177" i="307"/>
  <c r="BI268" i="321"/>
  <c r="BJ265" i="321"/>
  <c r="BI156" i="321"/>
  <c r="BJ153" i="321"/>
  <c r="AI112" i="307" l="1"/>
  <c r="AI115" i="307" s="1"/>
  <c r="AI116" i="307" s="1"/>
  <c r="Q534" i="307"/>
  <c r="Q536" i="307" s="1"/>
  <c r="Q540" i="307" s="1"/>
  <c r="Q541" i="307" s="1"/>
  <c r="Q571" i="307"/>
  <c r="Q573" i="307" s="1"/>
  <c r="Q480" i="307"/>
  <c r="Q481" i="307" s="1"/>
  <c r="Q488" i="307" s="1"/>
  <c r="P500" i="307"/>
  <c r="P253" i="307"/>
  <c r="P255" i="307" s="1"/>
  <c r="Q523" i="307"/>
  <c r="Q525" i="307" s="1"/>
  <c r="Q529" i="307" s="1"/>
  <c r="Q530" i="307" s="1"/>
  <c r="Q558" i="307"/>
  <c r="Q560" i="307" s="1"/>
  <c r="Q460" i="307"/>
  <c r="Q461" i="307" s="1"/>
  <c r="Q468" i="307" s="1"/>
  <c r="Q205" i="307"/>
  <c r="Q208" i="307" s="1"/>
  <c r="Q121" i="307"/>
  <c r="Q224" i="307"/>
  <c r="Q202" i="307"/>
  <c r="Q321" i="307"/>
  <c r="Q322" i="307" s="1"/>
  <c r="Q300" i="307"/>
  <c r="Q301" i="307" s="1"/>
  <c r="V563" i="321"/>
  <c r="V567" i="321" s="1"/>
  <c r="V572" i="321"/>
  <c r="V574" i="321" s="1"/>
  <c r="V580" i="321" s="1"/>
  <c r="V582" i="321" s="1"/>
  <c r="V601" i="321"/>
  <c r="V604" i="321" s="1"/>
  <c r="V539" i="321"/>
  <c r="V541" i="321" s="1"/>
  <c r="V555" i="321" s="1"/>
  <c r="V557" i="321" s="1"/>
  <c r="Y166" i="278"/>
  <c r="Y169" i="278" s="1"/>
  <c r="Y177" i="278"/>
  <c r="X237" i="278"/>
  <c r="X241" i="278" s="1"/>
  <c r="U664" i="321"/>
  <c r="T114" i="315"/>
  <c r="X281" i="278"/>
  <c r="X284" i="278" s="1"/>
  <c r="X244" i="278"/>
  <c r="X248" i="278" s="1"/>
  <c r="Y191" i="278"/>
  <c r="Y194" i="278" s="1"/>
  <c r="Y202" i="278"/>
  <c r="BJ156" i="321"/>
  <c r="BK153" i="321"/>
  <c r="BJ268" i="321"/>
  <c r="BK265" i="321"/>
  <c r="Y39" i="315" l="1"/>
  <c r="Y198" i="278"/>
  <c r="Y199" i="278" s="1"/>
  <c r="X635" i="321"/>
  <c r="X621" i="321"/>
  <c r="X624" i="321" s="1"/>
  <c r="X286" i="278"/>
  <c r="X287" i="278" s="1"/>
  <c r="U616" i="321"/>
  <c r="U618" i="321" s="1"/>
  <c r="U626" i="321" s="1"/>
  <c r="U628" i="321" s="1"/>
  <c r="U634" i="321"/>
  <c r="U638" i="321" s="1"/>
  <c r="U643" i="321"/>
  <c r="U645" i="321" s="1"/>
  <c r="U651" i="321" s="1"/>
  <c r="U653" i="321" s="1"/>
  <c r="U657" i="321"/>
  <c r="U660" i="321" s="1"/>
  <c r="X262" i="278"/>
  <c r="X263" i="278" s="1"/>
  <c r="X550" i="321"/>
  <c r="X553" i="321" s="1"/>
  <c r="X564" i="321"/>
  <c r="X544" i="321"/>
  <c r="X546" i="321" s="1"/>
  <c r="Y41" i="265"/>
  <c r="Y173" i="278"/>
  <c r="Y174" i="278" s="1"/>
  <c r="V609" i="321"/>
  <c r="V560" i="321"/>
  <c r="V561" i="321" s="1"/>
  <c r="V63" i="265"/>
  <c r="P63" i="277" s="1"/>
  <c r="V605" i="321"/>
  <c r="V38" i="282"/>
  <c r="V104" i="282"/>
  <c r="V583" i="321"/>
  <c r="V36" i="282"/>
  <c r="V610" i="321"/>
  <c r="V568" i="321"/>
  <c r="Q308" i="307"/>
  <c r="Q311" i="307" s="1"/>
  <c r="Q329" i="307"/>
  <c r="Q332" i="307" s="1"/>
  <c r="Q225" i="307"/>
  <c r="Q215" i="307"/>
  <c r="Q217" i="307" s="1"/>
  <c r="Q600" i="307"/>
  <c r="Q670" i="307"/>
  <c r="Q226" i="307"/>
  <c r="Q576" i="307"/>
  <c r="Q544" i="307"/>
  <c r="P258" i="307"/>
  <c r="P260" i="307" s="1"/>
  <c r="Q257" i="307" s="1"/>
  <c r="P645" i="307"/>
  <c r="P285" i="307"/>
  <c r="P288" i="307" s="1"/>
  <c r="P12" i="310"/>
  <c r="P650" i="307"/>
  <c r="P14" i="310"/>
  <c r="P135" i="288"/>
  <c r="P136" i="288" s="1"/>
  <c r="Q577" i="307"/>
  <c r="Q545" i="307"/>
  <c r="AI295" i="307"/>
  <c r="AI214" i="307"/>
  <c r="AI111" i="307"/>
  <c r="AI120" i="307"/>
  <c r="AI665" i="307"/>
  <c r="AI223" i="307"/>
  <c r="AI11" i="310"/>
  <c r="AI177" i="307"/>
  <c r="BL265" i="321"/>
  <c r="BK268" i="321"/>
  <c r="BK156" i="321"/>
  <c r="BL153" i="321"/>
  <c r="AJ112" i="307" l="1"/>
  <c r="AJ115" i="307" s="1"/>
  <c r="AJ116" i="307" s="1"/>
  <c r="P138" i="288"/>
  <c r="P140" i="288" s="1"/>
  <c r="P16" i="310"/>
  <c r="P56" i="288"/>
  <c r="P206" i="288"/>
  <c r="Q264" i="307"/>
  <c r="Q265" i="307" s="1"/>
  <c r="Q269" i="307" s="1"/>
  <c r="Q271" i="307" s="1"/>
  <c r="Q244" i="307"/>
  <c r="Q245" i="307" s="1"/>
  <c r="Q254" i="307" s="1"/>
  <c r="Q546" i="307"/>
  <c r="Q578" i="307"/>
  <c r="Q81" i="307"/>
  <c r="Q82" i="307" s="1"/>
  <c r="Q124" i="307"/>
  <c r="Q125" i="307" s="1"/>
  <c r="R119" i="307" s="1"/>
  <c r="Q227" i="307"/>
  <c r="Q34" i="310"/>
  <c r="Q640" i="307"/>
  <c r="Q336" i="307"/>
  <c r="Q338" i="307" s="1"/>
  <c r="R335" i="307" s="1"/>
  <c r="Q342" i="307"/>
  <c r="Q635" i="307"/>
  <c r="Q315" i="307"/>
  <c r="Q317" i="307" s="1"/>
  <c r="R314" i="307" s="1"/>
  <c r="Q341" i="307"/>
  <c r="Q343" i="307" s="1"/>
  <c r="V64" i="265"/>
  <c r="P64" i="277" s="1"/>
  <c r="V23" i="265"/>
  <c r="P23" i="277" s="1"/>
  <c r="V60" i="265"/>
  <c r="P60" i="277" s="1"/>
  <c r="V25" i="265"/>
  <c r="P25" i="277" s="1"/>
  <c r="V62" i="265"/>
  <c r="P62" i="277" s="1"/>
  <c r="V611" i="321"/>
  <c r="Y178" i="278"/>
  <c r="Y180" i="278" s="1"/>
  <c r="Z171" i="278"/>
  <c r="Y109" i="265"/>
  <c r="Y253" i="278"/>
  <c r="Y255" i="278" s="1"/>
  <c r="Y258" i="278" s="1"/>
  <c r="X556" i="321"/>
  <c r="X559" i="321"/>
  <c r="X267" i="278"/>
  <c r="U106" i="282"/>
  <c r="U661" i="321"/>
  <c r="U654" i="321"/>
  <c r="U639" i="321"/>
  <c r="U666" i="321"/>
  <c r="U665" i="321"/>
  <c r="U667" i="321" s="1"/>
  <c r="U61" i="315"/>
  <c r="U631" i="321"/>
  <c r="U632" i="321" s="1"/>
  <c r="X291" i="278"/>
  <c r="X627" i="321"/>
  <c r="X630" i="321"/>
  <c r="Z196" i="278"/>
  <c r="Y203" i="278"/>
  <c r="Y205" i="278" s="1"/>
  <c r="Y105" i="315"/>
  <c r="BL156" i="321"/>
  <c r="BM153" i="321"/>
  <c r="BL268" i="321"/>
  <c r="BM265" i="321"/>
  <c r="Y244" i="278" l="1"/>
  <c r="Y248" i="278" s="1"/>
  <c r="Y281" i="278"/>
  <c r="Y284" i="278" s="1"/>
  <c r="Z191" i="278"/>
  <c r="Z194" i="278" s="1"/>
  <c r="Z202" i="278"/>
  <c r="V664" i="321"/>
  <c r="U114" i="315"/>
  <c r="U62" i="315"/>
  <c r="U58" i="315"/>
  <c r="U21" i="315"/>
  <c r="U23" i="315"/>
  <c r="U60" i="315"/>
  <c r="Z177" i="278"/>
  <c r="Z166" i="278"/>
  <c r="Z169" i="278" s="1"/>
  <c r="Y237" i="278"/>
  <c r="Y241" i="278" s="1"/>
  <c r="W608" i="321"/>
  <c r="V118" i="265"/>
  <c r="P118" i="277" s="1"/>
  <c r="Q454" i="307"/>
  <c r="Q455" i="307" s="1"/>
  <c r="Q249" i="307"/>
  <c r="Q630" i="307"/>
  <c r="Q347" i="307"/>
  <c r="Q349" i="307" s="1"/>
  <c r="R346" i="307" s="1"/>
  <c r="Q134" i="288"/>
  <c r="Q13" i="310"/>
  <c r="R305" i="307"/>
  <c r="R306" i="307" s="1"/>
  <c r="R309" i="307" s="1"/>
  <c r="R378" i="307"/>
  <c r="R380" i="307" s="1"/>
  <c r="R384" i="307" s="1"/>
  <c r="R385" i="307" s="1"/>
  <c r="R414" i="307"/>
  <c r="R416" i="307" s="1"/>
  <c r="R326" i="307"/>
  <c r="R327" i="307" s="1"/>
  <c r="R330" i="307" s="1"/>
  <c r="R390" i="307"/>
  <c r="R392" i="307" s="1"/>
  <c r="R396" i="307" s="1"/>
  <c r="R397" i="307" s="1"/>
  <c r="R427" i="307"/>
  <c r="R429" i="307" s="1"/>
  <c r="R213" i="307"/>
  <c r="R148" i="307"/>
  <c r="R129" i="307"/>
  <c r="R131" i="307" s="1"/>
  <c r="R135" i="307" s="1"/>
  <c r="R138" i="307" s="1"/>
  <c r="R142" i="307" s="1"/>
  <c r="R145" i="307" s="1"/>
  <c r="R147" i="307" s="1"/>
  <c r="R176" i="307"/>
  <c r="R179" i="307" s="1"/>
  <c r="R184" i="307" s="1"/>
  <c r="R187" i="307" s="1"/>
  <c r="Q84" i="307"/>
  <c r="Q86" i="307" s="1"/>
  <c r="Q588" i="307"/>
  <c r="Q27" i="307"/>
  <c r="Q40" i="310"/>
  <c r="Q587" i="307"/>
  <c r="Q589" i="307" s="1"/>
  <c r="Q26" i="307"/>
  <c r="Q39" i="310"/>
  <c r="Q595" i="307"/>
  <c r="Q43" i="310"/>
  <c r="Q30" i="307"/>
  <c r="P47" i="310"/>
  <c r="P63" i="310"/>
  <c r="P58" i="310"/>
  <c r="P145" i="288"/>
  <c r="AJ295" i="307"/>
  <c r="AJ214" i="307"/>
  <c r="AJ111" i="307"/>
  <c r="AJ120" i="307"/>
  <c r="AJ665" i="307"/>
  <c r="AJ223" i="307"/>
  <c r="AJ11" i="310"/>
  <c r="AJ177" i="307"/>
  <c r="BM268" i="321"/>
  <c r="BN265" i="321"/>
  <c r="BM156" i="321"/>
  <c r="BN153" i="321"/>
  <c r="AK112" i="307" l="1"/>
  <c r="AK115" i="307" s="1"/>
  <c r="AK116" i="307" s="1"/>
  <c r="Q591" i="307"/>
  <c r="Q596" i="307" s="1"/>
  <c r="Q139" i="288"/>
  <c r="Q89" i="307"/>
  <c r="Q90" i="307" s="1"/>
  <c r="R88" i="307" s="1"/>
  <c r="Q675" i="307"/>
  <c r="Q625" i="307"/>
  <c r="Q10" i="310"/>
  <c r="Q284" i="307"/>
  <c r="R193" i="307"/>
  <c r="R190" i="307"/>
  <c r="R191" i="307" s="1"/>
  <c r="R150" i="307"/>
  <c r="R433" i="307"/>
  <c r="R401" i="307"/>
  <c r="R432" i="307"/>
  <c r="R434" i="307" s="1"/>
  <c r="R400" i="307"/>
  <c r="R402" i="307" s="1"/>
  <c r="Q464" i="307"/>
  <c r="Q465" i="307" s="1"/>
  <c r="Q484" i="307"/>
  <c r="Q485" i="307" s="1"/>
  <c r="W601" i="321"/>
  <c r="W604" i="321" s="1"/>
  <c r="W539" i="321"/>
  <c r="W541" i="321" s="1"/>
  <c r="W555" i="321" s="1"/>
  <c r="W557" i="321" s="1"/>
  <c r="W572" i="321"/>
  <c r="W574" i="321" s="1"/>
  <c r="W580" i="321" s="1"/>
  <c r="W582" i="321" s="1"/>
  <c r="W563" i="321"/>
  <c r="W567" i="321" s="1"/>
  <c r="Y550" i="321"/>
  <c r="Y553" i="321" s="1"/>
  <c r="Y564" i="321"/>
  <c r="Y262" i="278"/>
  <c r="Y263" i="278" s="1"/>
  <c r="Y544" i="321"/>
  <c r="Y546" i="321" s="1"/>
  <c r="Z173" i="278"/>
  <c r="Z174" i="278" s="1"/>
  <c r="Z41" i="265"/>
  <c r="R41" i="277" s="1"/>
  <c r="V634" i="321"/>
  <c r="V638" i="321" s="1"/>
  <c r="V643" i="321"/>
  <c r="V645" i="321" s="1"/>
  <c r="V651" i="321" s="1"/>
  <c r="V653" i="321" s="1"/>
  <c r="V657" i="321"/>
  <c r="V660" i="321" s="1"/>
  <c r="V616" i="321"/>
  <c r="V618" i="321" s="1"/>
  <c r="V626" i="321" s="1"/>
  <c r="V628" i="321" s="1"/>
  <c r="Z198" i="278"/>
  <c r="Z199" i="278" s="1"/>
  <c r="Z39" i="315"/>
  <c r="Y286" i="278"/>
  <c r="Y287" i="278" s="1"/>
  <c r="Y635" i="321"/>
  <c r="Y621" i="321"/>
  <c r="Y624" i="321" s="1"/>
  <c r="BN156" i="321"/>
  <c r="BO153" i="321"/>
  <c r="BN268" i="321"/>
  <c r="BO265" i="321"/>
  <c r="Y627" i="321" l="1"/>
  <c r="Y630" i="321"/>
  <c r="Y291" i="278"/>
  <c r="Z203" i="278"/>
  <c r="Z205" i="278" s="1"/>
  <c r="AA196" i="278"/>
  <c r="Z105" i="315"/>
  <c r="V665" i="321"/>
  <c r="V61" i="315"/>
  <c r="V631" i="321"/>
  <c r="V632" i="321" s="1"/>
  <c r="V106" i="282"/>
  <c r="V661" i="321"/>
  <c r="V654" i="321"/>
  <c r="V639" i="321"/>
  <c r="V666" i="321"/>
  <c r="Z178" i="278"/>
  <c r="Z180" i="278" s="1"/>
  <c r="AA171" i="278"/>
  <c r="Z109" i="265"/>
  <c r="R109" i="277" s="1"/>
  <c r="Z253" i="278"/>
  <c r="Z255" i="278" s="1"/>
  <c r="Z258" i="278" s="1"/>
  <c r="Y267" i="278"/>
  <c r="Y556" i="321"/>
  <c r="Y559" i="321"/>
  <c r="W610" i="321"/>
  <c r="W568" i="321"/>
  <c r="W104" i="282"/>
  <c r="W583" i="321"/>
  <c r="W36" i="282"/>
  <c r="W609" i="321"/>
  <c r="W611" i="321" s="1"/>
  <c r="W560" i="321"/>
  <c r="W561" i="321" s="1"/>
  <c r="W63" i="265"/>
  <c r="W605" i="321"/>
  <c r="W38" i="282"/>
  <c r="Q487" i="307"/>
  <c r="Q489" i="307" s="1"/>
  <c r="Q467" i="307"/>
  <c r="Q469" i="307" s="1"/>
  <c r="R584" i="307"/>
  <c r="R23" i="307"/>
  <c r="R36" i="310"/>
  <c r="R585" i="307"/>
  <c r="R37" i="310"/>
  <c r="R24" i="307"/>
  <c r="R156" i="307"/>
  <c r="R153" i="307"/>
  <c r="R154" i="307" s="1"/>
  <c r="R194" i="307"/>
  <c r="R593" i="307"/>
  <c r="R20" i="307"/>
  <c r="R200" i="307"/>
  <c r="R32" i="310"/>
  <c r="R195" i="307"/>
  <c r="R72" i="307"/>
  <c r="R75" i="307" s="1"/>
  <c r="R78" i="307" s="1"/>
  <c r="R79" i="307" s="1"/>
  <c r="Q599" i="307"/>
  <c r="Q601" i="307" s="1"/>
  <c r="Q609" i="307"/>
  <c r="AK295" i="307"/>
  <c r="AK214" i="307"/>
  <c r="AK111" i="307"/>
  <c r="AK120" i="307"/>
  <c r="AK665" i="307"/>
  <c r="AK223" i="307"/>
  <c r="AK11" i="310"/>
  <c r="AK177" i="307"/>
  <c r="BO268" i="321"/>
  <c r="BP265" i="321"/>
  <c r="BO156" i="321"/>
  <c r="BP153" i="321"/>
  <c r="AL112" i="307" l="1"/>
  <c r="AL115" i="307" s="1"/>
  <c r="AL116" i="307" s="1"/>
  <c r="Q615" i="307"/>
  <c r="R294" i="307"/>
  <c r="R296" i="307" s="1"/>
  <c r="R85" i="307"/>
  <c r="R453" i="307"/>
  <c r="R248" i="307"/>
  <c r="R207" i="307"/>
  <c r="R123" i="307"/>
  <c r="R157" i="307"/>
  <c r="R594" i="307"/>
  <c r="R33" i="310"/>
  <c r="R198" i="307"/>
  <c r="R201" i="307" s="1"/>
  <c r="R21" i="307"/>
  <c r="R158" i="307"/>
  <c r="Q473" i="307"/>
  <c r="Q475" i="307" s="1"/>
  <c r="R472" i="307" s="1"/>
  <c r="Q250" i="307"/>
  <c r="Q251" i="307" s="1"/>
  <c r="Q655" i="307"/>
  <c r="Q498" i="307"/>
  <c r="Q493" i="307"/>
  <c r="Q495" i="307" s="1"/>
  <c r="R492" i="307" s="1"/>
  <c r="Q660" i="307"/>
  <c r="Q499" i="307"/>
  <c r="W25" i="265"/>
  <c r="W62" i="265"/>
  <c r="W118" i="265"/>
  <c r="X608" i="321"/>
  <c r="W23" i="265"/>
  <c r="W60" i="265"/>
  <c r="W64" i="265"/>
  <c r="AA166" i="278"/>
  <c r="AA169" i="278" s="1"/>
  <c r="AA177" i="278"/>
  <c r="Z237" i="278"/>
  <c r="Z241" i="278" s="1"/>
  <c r="V62" i="315"/>
  <c r="V58" i="315"/>
  <c r="V21" i="315"/>
  <c r="V23" i="315"/>
  <c r="V60" i="315"/>
  <c r="V667" i="321"/>
  <c r="AA191" i="278"/>
  <c r="AA194" i="278" s="1"/>
  <c r="AA202" i="278"/>
  <c r="Z281" i="278"/>
  <c r="Z284" i="278" s="1"/>
  <c r="Z244" i="278"/>
  <c r="Z248" i="278" s="1"/>
  <c r="BQ153" i="321"/>
  <c r="BP156" i="321"/>
  <c r="BQ265" i="321"/>
  <c r="BP268" i="321"/>
  <c r="Z621" i="321" l="1"/>
  <c r="Z624" i="321" s="1"/>
  <c r="Z635" i="321"/>
  <c r="Z286" i="278"/>
  <c r="Z287" i="278" s="1"/>
  <c r="AA39" i="315"/>
  <c r="AA198" i="278"/>
  <c r="AA199" i="278" s="1"/>
  <c r="W664" i="321"/>
  <c r="V114" i="315"/>
  <c r="Z564" i="321"/>
  <c r="Z550" i="321"/>
  <c r="Z553" i="321" s="1"/>
  <c r="Z262" i="278"/>
  <c r="Z263" i="278" s="1"/>
  <c r="Z544" i="321"/>
  <c r="Z546" i="321" s="1"/>
  <c r="AA41" i="265"/>
  <c r="AA173" i="278"/>
  <c r="AA174" i="278" s="1"/>
  <c r="X572" i="321"/>
  <c r="X574" i="321" s="1"/>
  <c r="X580" i="321" s="1"/>
  <c r="X582" i="321" s="1"/>
  <c r="X563" i="321"/>
  <c r="X567" i="321" s="1"/>
  <c r="X601" i="321"/>
  <c r="X604" i="321" s="1"/>
  <c r="X539" i="321"/>
  <c r="X541" i="321" s="1"/>
  <c r="X555" i="321" s="1"/>
  <c r="X557" i="321" s="1"/>
  <c r="R534" i="307"/>
  <c r="R536" i="307" s="1"/>
  <c r="R540" i="307" s="1"/>
  <c r="R541" i="307" s="1"/>
  <c r="R571" i="307"/>
  <c r="R573" i="307" s="1"/>
  <c r="R480" i="307"/>
  <c r="R481" i="307" s="1"/>
  <c r="R488" i="307" s="1"/>
  <c r="Q500" i="307"/>
  <c r="Q253" i="307"/>
  <c r="Q255" i="307" s="1"/>
  <c r="R523" i="307"/>
  <c r="R525" i="307" s="1"/>
  <c r="R529" i="307" s="1"/>
  <c r="R530" i="307" s="1"/>
  <c r="R558" i="307"/>
  <c r="R560" i="307" s="1"/>
  <c r="R460" i="307"/>
  <c r="R461" i="307" s="1"/>
  <c r="R468" i="307" s="1"/>
  <c r="R205" i="307"/>
  <c r="R208" i="307" s="1"/>
  <c r="R121" i="307"/>
  <c r="R224" i="307"/>
  <c r="R202" i="307"/>
  <c r="R321" i="307"/>
  <c r="R322" i="307" s="1"/>
  <c r="R300" i="307"/>
  <c r="R301" i="307" s="1"/>
  <c r="AL295" i="307"/>
  <c r="AL214" i="307"/>
  <c r="AL111" i="307"/>
  <c r="AL120" i="307"/>
  <c r="AL665" i="307"/>
  <c r="AL223" i="307"/>
  <c r="AL11" i="310"/>
  <c r="AL177" i="307"/>
  <c r="BQ268" i="321"/>
  <c r="BR265" i="321"/>
  <c r="BQ156" i="321"/>
  <c r="BR153" i="321"/>
  <c r="AM112" i="307" l="1"/>
  <c r="AM115" i="307" s="1"/>
  <c r="AM116" i="307" s="1"/>
  <c r="R308" i="307"/>
  <c r="R311" i="307" s="1"/>
  <c r="R329" i="307"/>
  <c r="R332" i="307" s="1"/>
  <c r="R225" i="307"/>
  <c r="R215" i="307"/>
  <c r="R217" i="307" s="1"/>
  <c r="R600" i="307"/>
  <c r="R670" i="307"/>
  <c r="R226" i="307"/>
  <c r="R576" i="307"/>
  <c r="R544" i="307"/>
  <c r="Q258" i="307"/>
  <c r="Q260" i="307" s="1"/>
  <c r="R257" i="307" s="1"/>
  <c r="Q645" i="307"/>
  <c r="Q12" i="310"/>
  <c r="Q285" i="307"/>
  <c r="Q288" i="307" s="1"/>
  <c r="Q650" i="307"/>
  <c r="Q14" i="310"/>
  <c r="Q135" i="288"/>
  <c r="Q136" i="288" s="1"/>
  <c r="R577" i="307"/>
  <c r="R545" i="307"/>
  <c r="X63" i="265"/>
  <c r="Q63" i="277" s="1"/>
  <c r="X560" i="321"/>
  <c r="X561" i="321" s="1"/>
  <c r="X609" i="321"/>
  <c r="X605" i="321"/>
  <c r="X38" i="282"/>
  <c r="X610" i="321"/>
  <c r="X568" i="321"/>
  <c r="X104" i="282"/>
  <c r="X583" i="321"/>
  <c r="X36" i="282"/>
  <c r="AA178" i="278"/>
  <c r="AA180" i="278" s="1"/>
  <c r="AB171" i="278"/>
  <c r="AA109" i="265"/>
  <c r="AA253" i="278"/>
  <c r="AA255" i="278" s="1"/>
  <c r="AA258" i="278" s="1"/>
  <c r="Z267" i="278"/>
  <c r="Z556" i="321"/>
  <c r="Z559" i="321"/>
  <c r="W643" i="321"/>
  <c r="W645" i="321" s="1"/>
  <c r="W651" i="321" s="1"/>
  <c r="W653" i="321" s="1"/>
  <c r="W657" i="321"/>
  <c r="W660" i="321" s="1"/>
  <c r="W616" i="321"/>
  <c r="W618" i="321" s="1"/>
  <c r="W626" i="321" s="1"/>
  <c r="W628" i="321" s="1"/>
  <c r="W634" i="321"/>
  <c r="W638" i="321" s="1"/>
  <c r="AB196" i="278"/>
  <c r="AA203" i="278"/>
  <c r="AA205" i="278" s="1"/>
  <c r="AA105" i="315"/>
  <c r="Z291" i="278"/>
  <c r="Z627" i="321"/>
  <c r="Z630" i="321"/>
  <c r="BS153" i="321"/>
  <c r="BR156" i="321"/>
  <c r="BS265" i="321"/>
  <c r="BR268" i="321"/>
  <c r="AA281" i="278" l="1"/>
  <c r="AA284" i="278" s="1"/>
  <c r="AA244" i="278"/>
  <c r="AA248" i="278" s="1"/>
  <c r="AB191" i="278"/>
  <c r="AB194" i="278" s="1"/>
  <c r="AB202" i="278"/>
  <c r="W666" i="321"/>
  <c r="W639" i="321"/>
  <c r="W665" i="321"/>
  <c r="W667" i="321" s="1"/>
  <c r="W61" i="315"/>
  <c r="W631" i="321"/>
  <c r="W632" i="321" s="1"/>
  <c r="W106" i="282"/>
  <c r="W661" i="321"/>
  <c r="W654" i="321"/>
  <c r="AB166" i="278"/>
  <c r="AB169" i="278" s="1"/>
  <c r="AB177" i="278"/>
  <c r="AA237" i="278"/>
  <c r="AA241" i="278" s="1"/>
  <c r="X23" i="265"/>
  <c r="Q23" i="277" s="1"/>
  <c r="X60" i="265"/>
  <c r="Q60" i="277" s="1"/>
  <c r="X64" i="265"/>
  <c r="Q64" i="277" s="1"/>
  <c r="X25" i="265"/>
  <c r="Q25" i="277" s="1"/>
  <c r="X62" i="265"/>
  <c r="Q62" i="277" s="1"/>
  <c r="X611" i="321"/>
  <c r="Q138" i="288"/>
  <c r="Q140" i="288" s="1"/>
  <c r="Q56" i="288"/>
  <c r="Q206" i="288"/>
  <c r="Q16" i="310"/>
  <c r="R264" i="307"/>
  <c r="R265" i="307" s="1"/>
  <c r="R269" i="307" s="1"/>
  <c r="R271" i="307" s="1"/>
  <c r="R244" i="307"/>
  <c r="R245" i="307" s="1"/>
  <c r="R254" i="307" s="1"/>
  <c r="R546" i="307"/>
  <c r="R578" i="307"/>
  <c r="R81" i="307"/>
  <c r="R82" i="307" s="1"/>
  <c r="R124" i="307"/>
  <c r="R125" i="307" s="1"/>
  <c r="S119" i="307" s="1"/>
  <c r="R227" i="307"/>
  <c r="R34" i="310"/>
  <c r="R640" i="307"/>
  <c r="R336" i="307"/>
  <c r="R338" i="307" s="1"/>
  <c r="S335" i="307" s="1"/>
  <c r="R342" i="307"/>
  <c r="R635" i="307"/>
  <c r="R315" i="307"/>
  <c r="R317" i="307" s="1"/>
  <c r="S314" i="307" s="1"/>
  <c r="R341" i="307"/>
  <c r="R343" i="307" s="1"/>
  <c r="AM295" i="307"/>
  <c r="AM214" i="307"/>
  <c r="AM111" i="307"/>
  <c r="AM120" i="307"/>
  <c r="AM665" i="307"/>
  <c r="N666" i="307" s="1"/>
  <c r="AM223" i="307"/>
  <c r="N229" i="307" s="1"/>
  <c r="AM11" i="310"/>
  <c r="AM177" i="307"/>
  <c r="BS268" i="321"/>
  <c r="BT265" i="321"/>
  <c r="BS156" i="321"/>
  <c r="BT153" i="321"/>
  <c r="N55" i="265" l="1"/>
  <c r="L55" i="277" s="1"/>
  <c r="N53" i="315"/>
  <c r="N685" i="321"/>
  <c r="AN112" i="307"/>
  <c r="AN115" i="307" s="1"/>
  <c r="AN116" i="307" s="1"/>
  <c r="R454" i="307"/>
  <c r="R455" i="307" s="1"/>
  <c r="R249" i="307"/>
  <c r="R630" i="307"/>
  <c r="R134" i="288"/>
  <c r="R347" i="307"/>
  <c r="R349" i="307" s="1"/>
  <c r="S346" i="307" s="1"/>
  <c r="R13" i="310"/>
  <c r="S305" i="307"/>
  <c r="S306" i="307" s="1"/>
  <c r="S309" i="307" s="1"/>
  <c r="S378" i="307"/>
  <c r="S380" i="307" s="1"/>
  <c r="S384" i="307" s="1"/>
  <c r="S385" i="307" s="1"/>
  <c r="S414" i="307"/>
  <c r="S416" i="307" s="1"/>
  <c r="S326" i="307"/>
  <c r="S327" i="307" s="1"/>
  <c r="S330" i="307" s="1"/>
  <c r="S390" i="307"/>
  <c r="S392" i="307" s="1"/>
  <c r="S396" i="307" s="1"/>
  <c r="S397" i="307" s="1"/>
  <c r="S427" i="307"/>
  <c r="S429" i="307" s="1"/>
  <c r="S213" i="307"/>
  <c r="S148" i="307"/>
  <c r="S129" i="307"/>
  <c r="S131" i="307" s="1"/>
  <c r="S135" i="307" s="1"/>
  <c r="S138" i="307" s="1"/>
  <c r="S142" i="307" s="1"/>
  <c r="S145" i="307" s="1"/>
  <c r="S147" i="307" s="1"/>
  <c r="S176" i="307"/>
  <c r="S179" i="307" s="1"/>
  <c r="S184" i="307" s="1"/>
  <c r="S187" i="307" s="1"/>
  <c r="R84" i="307"/>
  <c r="R86" i="307" s="1"/>
  <c r="R588" i="307"/>
  <c r="R40" i="310"/>
  <c r="R27" i="307"/>
  <c r="R587" i="307"/>
  <c r="R589" i="307" s="1"/>
  <c r="R39" i="310"/>
  <c r="R26" i="307"/>
  <c r="R595" i="307"/>
  <c r="R30" i="307"/>
  <c r="R43" i="310"/>
  <c r="Q58" i="310"/>
  <c r="Q47" i="310"/>
  <c r="Q63" i="310"/>
  <c r="Q145" i="288"/>
  <c r="Y608" i="321"/>
  <c r="X118" i="265"/>
  <c r="Q118" i="277" s="1"/>
  <c r="AA564" i="321"/>
  <c r="AA550" i="321"/>
  <c r="AA553" i="321" s="1"/>
  <c r="AA262" i="278"/>
  <c r="AA263" i="278" s="1"/>
  <c r="AA544" i="321"/>
  <c r="AA546" i="321" s="1"/>
  <c r="AB41" i="265"/>
  <c r="S41" i="277" s="1"/>
  <c r="AB173" i="278"/>
  <c r="AB174" i="278" s="1"/>
  <c r="W58" i="315"/>
  <c r="W21" i="315"/>
  <c r="W23" i="315"/>
  <c r="W60" i="315"/>
  <c r="X664" i="321"/>
  <c r="W114" i="315"/>
  <c r="W62" i="315"/>
  <c r="AB198" i="278"/>
  <c r="AB199" i="278" s="1"/>
  <c r="AB39" i="315"/>
  <c r="AA635" i="321"/>
  <c r="AA621" i="321"/>
  <c r="AA624" i="321" s="1"/>
  <c r="AA286" i="278"/>
  <c r="AA287" i="278" s="1"/>
  <c r="BT156" i="321"/>
  <c r="BU153" i="321"/>
  <c r="BT268" i="321"/>
  <c r="BU265" i="321"/>
  <c r="AA291" i="278" l="1"/>
  <c r="AA627" i="321"/>
  <c r="AA630" i="321"/>
  <c r="AC196" i="278"/>
  <c r="AB203" i="278"/>
  <c r="AB205" i="278" s="1"/>
  <c r="AB105" i="315"/>
  <c r="X643" i="321"/>
  <c r="X645" i="321" s="1"/>
  <c r="X651" i="321" s="1"/>
  <c r="X653" i="321" s="1"/>
  <c r="X657" i="321"/>
  <c r="X660" i="321" s="1"/>
  <c r="X616" i="321"/>
  <c r="X618" i="321" s="1"/>
  <c r="X626" i="321" s="1"/>
  <c r="X628" i="321" s="1"/>
  <c r="X634" i="321"/>
  <c r="X638" i="321" s="1"/>
  <c r="AB178" i="278"/>
  <c r="AB180" i="278" s="1"/>
  <c r="AC171" i="278"/>
  <c r="AB109" i="265"/>
  <c r="S109" i="277" s="1"/>
  <c r="AB253" i="278"/>
  <c r="AB255" i="278" s="1"/>
  <c r="AB258" i="278" s="1"/>
  <c r="AA267" i="278"/>
  <c r="AA556" i="321"/>
  <c r="AA559" i="321"/>
  <c r="Y572" i="321"/>
  <c r="Y574" i="321" s="1"/>
  <c r="Y580" i="321" s="1"/>
  <c r="Y582" i="321" s="1"/>
  <c r="Y563" i="321"/>
  <c r="Y567" i="321" s="1"/>
  <c r="Y601" i="321"/>
  <c r="Y604" i="321" s="1"/>
  <c r="Y539" i="321"/>
  <c r="Y541" i="321" s="1"/>
  <c r="Y555" i="321" s="1"/>
  <c r="Y557" i="321" s="1"/>
  <c r="R591" i="307"/>
  <c r="R596" i="307" s="1"/>
  <c r="R139" i="288"/>
  <c r="R89" i="307"/>
  <c r="R90" i="307" s="1"/>
  <c r="S88" i="307" s="1"/>
  <c r="R675" i="307"/>
  <c r="R625" i="307"/>
  <c r="R284" i="307"/>
  <c r="R10" i="310"/>
  <c r="S193" i="307"/>
  <c r="S190" i="307"/>
  <c r="S191" i="307" s="1"/>
  <c r="S150" i="307"/>
  <c r="S433" i="307"/>
  <c r="S401" i="307"/>
  <c r="S432" i="307"/>
  <c r="S434" i="307" s="1"/>
  <c r="S400" i="307"/>
  <c r="S402" i="307" s="1"/>
  <c r="R464" i="307"/>
  <c r="R465" i="307" s="1"/>
  <c r="R484" i="307"/>
  <c r="R485" i="307" s="1"/>
  <c r="AN295" i="307"/>
  <c r="AN214" i="307"/>
  <c r="AN111" i="307"/>
  <c r="AN120" i="307"/>
  <c r="AN665" i="307"/>
  <c r="AN223" i="307"/>
  <c r="AN11" i="310"/>
  <c r="AN177" i="307"/>
  <c r="BU268" i="321"/>
  <c r="BV265" i="321"/>
  <c r="BV153" i="321"/>
  <c r="BU156" i="321"/>
  <c r="AO112" i="307" l="1"/>
  <c r="AO115" i="307" s="1"/>
  <c r="AO116" i="307" s="1"/>
  <c r="R487" i="307"/>
  <c r="R489" i="307" s="1"/>
  <c r="R467" i="307"/>
  <c r="R469" i="307" s="1"/>
  <c r="S584" i="307"/>
  <c r="S36" i="310"/>
  <c r="S23" i="307"/>
  <c r="S585" i="307"/>
  <c r="S37" i="310"/>
  <c r="S24" i="307"/>
  <c r="S156" i="307"/>
  <c r="S153" i="307"/>
  <c r="S154" i="307" s="1"/>
  <c r="S194" i="307"/>
  <c r="S593" i="307"/>
  <c r="S20" i="307"/>
  <c r="S200" i="307"/>
  <c r="S32" i="310"/>
  <c r="S195" i="307"/>
  <c r="S72" i="307"/>
  <c r="S75" i="307" s="1"/>
  <c r="S78" i="307" s="1"/>
  <c r="S79" i="307" s="1"/>
  <c r="R599" i="307"/>
  <c r="R601" i="307" s="1"/>
  <c r="R609" i="307"/>
  <c r="Y609" i="321"/>
  <c r="Y63" i="265"/>
  <c r="Y560" i="321"/>
  <c r="Y561" i="321" s="1"/>
  <c r="Y605" i="321"/>
  <c r="Y38" i="282"/>
  <c r="Y610" i="321"/>
  <c r="Y568" i="321"/>
  <c r="Y104" i="282"/>
  <c r="Y583" i="321"/>
  <c r="Y36" i="282"/>
  <c r="AC177" i="278"/>
  <c r="AC166" i="278"/>
  <c r="AC169" i="278" s="1"/>
  <c r="AB237" i="278"/>
  <c r="AB241" i="278" s="1"/>
  <c r="X666" i="321"/>
  <c r="X639" i="321"/>
  <c r="X61" i="315"/>
  <c r="X665" i="321"/>
  <c r="X667" i="321" s="1"/>
  <c r="X631" i="321"/>
  <c r="X632" i="321" s="1"/>
  <c r="X106" i="282"/>
  <c r="X661" i="321"/>
  <c r="X654" i="321"/>
  <c r="AB281" i="278"/>
  <c r="AB284" i="278" s="1"/>
  <c r="AB244" i="278"/>
  <c r="AB248" i="278" s="1"/>
  <c r="AC191" i="278"/>
  <c r="AC194" i="278" s="1"/>
  <c r="AC202" i="278"/>
  <c r="BW153" i="321"/>
  <c r="BV156" i="321"/>
  <c r="BV268" i="321"/>
  <c r="BW265" i="321"/>
  <c r="AC39" i="315" l="1"/>
  <c r="AC198" i="278"/>
  <c r="AC199" i="278" s="1"/>
  <c r="AB635" i="321"/>
  <c r="AB621" i="321"/>
  <c r="AB624" i="321" s="1"/>
  <c r="AB286" i="278"/>
  <c r="AB287" i="278" s="1"/>
  <c r="X58" i="315"/>
  <c r="X21" i="315"/>
  <c r="X60" i="315"/>
  <c r="X23" i="315"/>
  <c r="Y664" i="321"/>
  <c r="X114" i="315"/>
  <c r="X62" i="315"/>
  <c r="AB262" i="278"/>
  <c r="AB263" i="278" s="1"/>
  <c r="AB550" i="321"/>
  <c r="AB553" i="321" s="1"/>
  <c r="AB564" i="321"/>
  <c r="AB544" i="321"/>
  <c r="AB546" i="321" s="1"/>
  <c r="AC41" i="265"/>
  <c r="AC173" i="278"/>
  <c r="AC174" i="278" s="1"/>
  <c r="Y23" i="265"/>
  <c r="Y60" i="265"/>
  <c r="Y64" i="265"/>
  <c r="Y25" i="265"/>
  <c r="Y62" i="265"/>
  <c r="Y611" i="321"/>
  <c r="R615" i="307"/>
  <c r="S294" i="307"/>
  <c r="S296" i="307" s="1"/>
  <c r="S85" i="307"/>
  <c r="S453" i="307"/>
  <c r="S248" i="307"/>
  <c r="S207" i="307"/>
  <c r="S123" i="307"/>
  <c r="S157" i="307"/>
  <c r="S594" i="307"/>
  <c r="S198" i="307"/>
  <c r="S201" i="307" s="1"/>
  <c r="S33" i="310"/>
  <c r="S21" i="307"/>
  <c r="S158" i="307"/>
  <c r="R473" i="307"/>
  <c r="R475" i="307" s="1"/>
  <c r="S472" i="307" s="1"/>
  <c r="R250" i="307"/>
  <c r="R251" i="307" s="1"/>
  <c r="R655" i="307"/>
  <c r="R498" i="307"/>
  <c r="R493" i="307"/>
  <c r="R495" i="307" s="1"/>
  <c r="S492" i="307" s="1"/>
  <c r="R660" i="307"/>
  <c r="R499" i="307"/>
  <c r="AO295" i="307"/>
  <c r="AO214" i="307"/>
  <c r="AO111" i="307"/>
  <c r="AO120" i="307"/>
  <c r="AO665" i="307"/>
  <c r="AO223" i="307"/>
  <c r="AO11" i="310"/>
  <c r="AO177" i="307"/>
  <c r="BW268" i="321"/>
  <c r="BX265" i="321"/>
  <c r="BW156" i="321"/>
  <c r="BX153" i="321"/>
  <c r="AP112" i="307" l="1"/>
  <c r="AP115" i="307" s="1"/>
  <c r="AP116" i="307" s="1"/>
  <c r="S534" i="307"/>
  <c r="S536" i="307" s="1"/>
  <c r="S540" i="307" s="1"/>
  <c r="S541" i="307" s="1"/>
  <c r="S571" i="307"/>
  <c r="S573" i="307" s="1"/>
  <c r="S480" i="307"/>
  <c r="S481" i="307" s="1"/>
  <c r="S488" i="307" s="1"/>
  <c r="R500" i="307"/>
  <c r="R253" i="307"/>
  <c r="R255" i="307" s="1"/>
  <c r="S523" i="307"/>
  <c r="S525" i="307" s="1"/>
  <c r="S529" i="307" s="1"/>
  <c r="S530" i="307" s="1"/>
  <c r="S558" i="307"/>
  <c r="S560" i="307" s="1"/>
  <c r="S460" i="307"/>
  <c r="S461" i="307" s="1"/>
  <c r="S468" i="307" s="1"/>
  <c r="S205" i="307"/>
  <c r="S208" i="307" s="1"/>
  <c r="S121" i="307"/>
  <c r="S202" i="307"/>
  <c r="S224" i="307"/>
  <c r="S321" i="307"/>
  <c r="S322" i="307" s="1"/>
  <c r="S300" i="307"/>
  <c r="S301" i="307" s="1"/>
  <c r="Z608" i="321"/>
  <c r="Y118" i="265"/>
  <c r="AC178" i="278"/>
  <c r="AC180" i="278" s="1"/>
  <c r="AD171" i="278"/>
  <c r="AC109" i="265"/>
  <c r="AC253" i="278"/>
  <c r="AC255" i="278" s="1"/>
  <c r="AC258" i="278" s="1"/>
  <c r="AB559" i="321"/>
  <c r="AB556" i="321"/>
  <c r="AB267" i="278"/>
  <c r="Y616" i="321"/>
  <c r="Y618" i="321" s="1"/>
  <c r="Y626" i="321" s="1"/>
  <c r="Y628" i="321" s="1"/>
  <c r="Y634" i="321"/>
  <c r="Y638" i="321" s="1"/>
  <c r="Y643" i="321"/>
  <c r="Y645" i="321" s="1"/>
  <c r="Y651" i="321" s="1"/>
  <c r="Y653" i="321" s="1"/>
  <c r="Y657" i="321"/>
  <c r="Y660" i="321" s="1"/>
  <c r="AB291" i="278"/>
  <c r="AB627" i="321"/>
  <c r="AB630" i="321"/>
  <c r="AD196" i="278"/>
  <c r="AC203" i="278"/>
  <c r="AC205" i="278" s="1"/>
  <c r="AC105" i="315"/>
  <c r="BX156" i="321"/>
  <c r="BY153" i="321"/>
  <c r="BX268" i="321"/>
  <c r="BY265" i="321"/>
  <c r="AC244" i="278" l="1"/>
  <c r="AC248" i="278" s="1"/>
  <c r="AC281" i="278"/>
  <c r="AC284" i="278" s="1"/>
  <c r="AD191" i="278"/>
  <c r="AD194" i="278" s="1"/>
  <c r="AD202" i="278"/>
  <c r="Y106" i="282"/>
  <c r="Y661" i="321"/>
  <c r="Y654" i="321"/>
  <c r="Y639" i="321"/>
  <c r="Y666" i="321"/>
  <c r="Y665" i="321"/>
  <c r="Y667" i="321" s="1"/>
  <c r="Y61" i="315"/>
  <c r="Y631" i="321"/>
  <c r="Y632" i="321" s="1"/>
  <c r="AD166" i="278"/>
  <c r="AD169" i="278" s="1"/>
  <c r="AD177" i="278"/>
  <c r="AC237" i="278"/>
  <c r="AC241" i="278" s="1"/>
  <c r="Z601" i="321"/>
  <c r="Z604" i="321" s="1"/>
  <c r="Z539" i="321"/>
  <c r="Z541" i="321" s="1"/>
  <c r="Z555" i="321" s="1"/>
  <c r="Z557" i="321" s="1"/>
  <c r="Z563" i="321"/>
  <c r="Z567" i="321" s="1"/>
  <c r="Z572" i="321"/>
  <c r="Z574" i="321" s="1"/>
  <c r="Z580" i="321" s="1"/>
  <c r="Z582" i="321" s="1"/>
  <c r="S308" i="307"/>
  <c r="S311" i="307" s="1"/>
  <c r="S329" i="307"/>
  <c r="S332" i="307" s="1"/>
  <c r="S225" i="307"/>
  <c r="S215" i="307"/>
  <c r="S217" i="307" s="1"/>
  <c r="S600" i="307"/>
  <c r="S670" i="307"/>
  <c r="S226" i="307"/>
  <c r="S576" i="307"/>
  <c r="S544" i="307"/>
  <c r="R258" i="307"/>
  <c r="R260" i="307" s="1"/>
  <c r="S257" i="307" s="1"/>
  <c r="R645" i="307"/>
  <c r="R285" i="307"/>
  <c r="R288" i="307" s="1"/>
  <c r="R12" i="310"/>
  <c r="R650" i="307"/>
  <c r="R14" i="310"/>
  <c r="R135" i="288"/>
  <c r="R136" i="288" s="1"/>
  <c r="S577" i="307"/>
  <c r="S545" i="307"/>
  <c r="AP295" i="307"/>
  <c r="AP214" i="307"/>
  <c r="AP111" i="307"/>
  <c r="AP120" i="307"/>
  <c r="AP665" i="307"/>
  <c r="AP223" i="307"/>
  <c r="AP11" i="310"/>
  <c r="AP177" i="307"/>
  <c r="BY268" i="321"/>
  <c r="BZ265" i="321"/>
  <c r="BY156" i="321"/>
  <c r="BZ153" i="321"/>
  <c r="AQ112" i="307" l="1"/>
  <c r="AQ115" i="307" s="1"/>
  <c r="AQ116" i="307" s="1"/>
  <c r="R138" i="288"/>
  <c r="R140" i="288" s="1"/>
  <c r="R16" i="310"/>
  <c r="R56" i="288"/>
  <c r="R206" i="288"/>
  <c r="S264" i="307"/>
  <c r="S265" i="307" s="1"/>
  <c r="S269" i="307" s="1"/>
  <c r="S271" i="307" s="1"/>
  <c r="S244" i="307"/>
  <c r="S245" i="307" s="1"/>
  <c r="S254" i="307" s="1"/>
  <c r="S546" i="307"/>
  <c r="S578" i="307"/>
  <c r="S81" i="307"/>
  <c r="S82" i="307" s="1"/>
  <c r="S124" i="307"/>
  <c r="S125" i="307" s="1"/>
  <c r="T119" i="307" s="1"/>
  <c r="S227" i="307"/>
  <c r="S34" i="310"/>
  <c r="S640" i="307"/>
  <c r="S336" i="307"/>
  <c r="S338" i="307" s="1"/>
  <c r="T335" i="307" s="1"/>
  <c r="S342" i="307"/>
  <c r="S635" i="307"/>
  <c r="S315" i="307"/>
  <c r="S317" i="307" s="1"/>
  <c r="T314" i="307" s="1"/>
  <c r="S341" i="307"/>
  <c r="S343" i="307" s="1"/>
  <c r="Z104" i="282"/>
  <c r="Z583" i="321"/>
  <c r="Z36" i="282"/>
  <c r="Z610" i="321"/>
  <c r="Z568" i="321"/>
  <c r="Z609" i="321"/>
  <c r="Z611" i="321" s="1"/>
  <c r="Z560" i="321"/>
  <c r="Z561" i="321" s="1"/>
  <c r="Z63" i="265"/>
  <c r="R63" i="277" s="1"/>
  <c r="Z605" i="321"/>
  <c r="Z38" i="282"/>
  <c r="AC564" i="321"/>
  <c r="AC550" i="321"/>
  <c r="AC553" i="321" s="1"/>
  <c r="AC262" i="278"/>
  <c r="AC263" i="278" s="1"/>
  <c r="AC544" i="321"/>
  <c r="AC546" i="321" s="1"/>
  <c r="AD173" i="278"/>
  <c r="AD174" i="278" s="1"/>
  <c r="AD41" i="265"/>
  <c r="T41" i="277" s="1"/>
  <c r="Z664" i="321"/>
  <c r="Y114" i="315"/>
  <c r="Y62" i="315"/>
  <c r="Y58" i="315"/>
  <c r="Y21" i="315"/>
  <c r="Y23" i="315"/>
  <c r="Y60" i="315"/>
  <c r="AD198" i="278"/>
  <c r="AD199" i="278" s="1"/>
  <c r="AD39" i="315"/>
  <c r="AC286" i="278"/>
  <c r="AC287" i="278" s="1"/>
  <c r="AC635" i="321"/>
  <c r="AC621" i="321"/>
  <c r="AC624" i="321" s="1"/>
  <c r="BZ156" i="321"/>
  <c r="CA153" i="321"/>
  <c r="CA265" i="321"/>
  <c r="BZ268" i="321"/>
  <c r="AC627" i="321" l="1"/>
  <c r="AC630" i="321"/>
  <c r="AC291" i="278"/>
  <c r="AD203" i="278"/>
  <c r="AD205" i="278" s="1"/>
  <c r="AE196" i="278"/>
  <c r="AD105" i="315"/>
  <c r="Z634" i="321"/>
  <c r="Z638" i="321" s="1"/>
  <c r="Z643" i="321"/>
  <c r="Z645" i="321" s="1"/>
  <c r="Z651" i="321" s="1"/>
  <c r="Z653" i="321" s="1"/>
  <c r="Z657" i="321"/>
  <c r="Z660" i="321" s="1"/>
  <c r="Z616" i="321"/>
  <c r="Z618" i="321" s="1"/>
  <c r="Z626" i="321" s="1"/>
  <c r="Z628" i="321" s="1"/>
  <c r="AD178" i="278"/>
  <c r="AD180" i="278" s="1"/>
  <c r="AE171" i="278"/>
  <c r="AD109" i="265"/>
  <c r="T109" i="277" s="1"/>
  <c r="AD253" i="278"/>
  <c r="AD255" i="278" s="1"/>
  <c r="AD258" i="278" s="1"/>
  <c r="AC267" i="278"/>
  <c r="AC556" i="321"/>
  <c r="AC559" i="321"/>
  <c r="Z25" i="265"/>
  <c r="R25" i="277" s="1"/>
  <c r="Z62" i="265"/>
  <c r="R62" i="277" s="1"/>
  <c r="AA608" i="321"/>
  <c r="Z118" i="265"/>
  <c r="R118" i="277" s="1"/>
  <c r="Z64" i="265"/>
  <c r="R64" i="277" s="1"/>
  <c r="Z23" i="265"/>
  <c r="R23" i="277" s="1"/>
  <c r="Z60" i="265"/>
  <c r="R60" i="277" s="1"/>
  <c r="S454" i="307"/>
  <c r="S455" i="307" s="1"/>
  <c r="S249" i="307"/>
  <c r="S630" i="307"/>
  <c r="S13" i="310"/>
  <c r="S347" i="307"/>
  <c r="S349" i="307" s="1"/>
  <c r="T346" i="307" s="1"/>
  <c r="S134" i="288"/>
  <c r="T305" i="307"/>
  <c r="T306" i="307" s="1"/>
  <c r="T309" i="307" s="1"/>
  <c r="T378" i="307"/>
  <c r="T380" i="307" s="1"/>
  <c r="T384" i="307" s="1"/>
  <c r="T385" i="307" s="1"/>
  <c r="T414" i="307"/>
  <c r="T416" i="307" s="1"/>
  <c r="T326" i="307"/>
  <c r="T327" i="307" s="1"/>
  <c r="T330" i="307" s="1"/>
  <c r="T390" i="307"/>
  <c r="T392" i="307" s="1"/>
  <c r="T396" i="307" s="1"/>
  <c r="T397" i="307" s="1"/>
  <c r="T427" i="307"/>
  <c r="T429" i="307" s="1"/>
  <c r="T213" i="307"/>
  <c r="T148" i="307"/>
  <c r="T129" i="307"/>
  <c r="T131" i="307" s="1"/>
  <c r="T135" i="307" s="1"/>
  <c r="T138" i="307" s="1"/>
  <c r="T142" i="307" s="1"/>
  <c r="T145" i="307" s="1"/>
  <c r="T147" i="307" s="1"/>
  <c r="T176" i="307"/>
  <c r="T179" i="307" s="1"/>
  <c r="T184" i="307" s="1"/>
  <c r="T187" i="307" s="1"/>
  <c r="S84" i="307"/>
  <c r="S86" i="307" s="1"/>
  <c r="S588" i="307"/>
  <c r="S40" i="310"/>
  <c r="S27" i="307"/>
  <c r="S587" i="307"/>
  <c r="S589" i="307" s="1"/>
  <c r="S39" i="310"/>
  <c r="S26" i="307"/>
  <c r="S595" i="307"/>
  <c r="S30" i="307"/>
  <c r="S43" i="310"/>
  <c r="R58" i="310"/>
  <c r="R47" i="310"/>
  <c r="R63" i="310"/>
  <c r="R145" i="288"/>
  <c r="AQ295" i="307"/>
  <c r="AQ214" i="307"/>
  <c r="AQ111" i="307"/>
  <c r="AQ120" i="307"/>
  <c r="AQ665" i="307"/>
  <c r="AQ223" i="307"/>
  <c r="AQ11" i="310"/>
  <c r="AQ177" i="307"/>
  <c r="CA268" i="321"/>
  <c r="CB265" i="321"/>
  <c r="CA156" i="321"/>
  <c r="CB153" i="321"/>
  <c r="AR112" i="307" l="1"/>
  <c r="AR115" i="307" s="1"/>
  <c r="AR116" i="307" s="1"/>
  <c r="S591" i="307"/>
  <c r="S596" i="307" s="1"/>
  <c r="S139" i="288"/>
  <c r="S89" i="307"/>
  <c r="S90" i="307" s="1"/>
  <c r="T88" i="307" s="1"/>
  <c r="S675" i="307"/>
  <c r="S625" i="307"/>
  <c r="S284" i="307"/>
  <c r="S10" i="310"/>
  <c r="T193" i="307"/>
  <c r="T190" i="307"/>
  <c r="T191" i="307" s="1"/>
  <c r="T150" i="307"/>
  <c r="T433" i="307"/>
  <c r="T401" i="307"/>
  <c r="T432" i="307"/>
  <c r="T434" i="307" s="1"/>
  <c r="T400" i="307"/>
  <c r="T402" i="307" s="1"/>
  <c r="S464" i="307"/>
  <c r="S465" i="307" s="1"/>
  <c r="S484" i="307"/>
  <c r="S485" i="307" s="1"/>
  <c r="AA572" i="321"/>
  <c r="AA574" i="321" s="1"/>
  <c r="AA580" i="321" s="1"/>
  <c r="AA582" i="321" s="1"/>
  <c r="AA563" i="321"/>
  <c r="AA567" i="321" s="1"/>
  <c r="AA601" i="321"/>
  <c r="AA604" i="321" s="1"/>
  <c r="AA539" i="321"/>
  <c r="AA541" i="321" s="1"/>
  <c r="AA555" i="321" s="1"/>
  <c r="AA557" i="321" s="1"/>
  <c r="AE177" i="278"/>
  <c r="AE166" i="278"/>
  <c r="AE169" i="278" s="1"/>
  <c r="AD237" i="278"/>
  <c r="AD241" i="278" s="1"/>
  <c r="Z665" i="321"/>
  <c r="Z61" i="315"/>
  <c r="Z631" i="321"/>
  <c r="Z632" i="321" s="1"/>
  <c r="Z106" i="282"/>
  <c r="Z661" i="321"/>
  <c r="Z654" i="321"/>
  <c r="Z639" i="321"/>
  <c r="Z666" i="321"/>
  <c r="AE191" i="278"/>
  <c r="AE194" i="278" s="1"/>
  <c r="AE202" i="278"/>
  <c r="AD281" i="278"/>
  <c r="AD284" i="278" s="1"/>
  <c r="AD244" i="278"/>
  <c r="AD248" i="278" s="1"/>
  <c r="CC153" i="321"/>
  <c r="CB156" i="321"/>
  <c r="CC265" i="321"/>
  <c r="CB268" i="321"/>
  <c r="AD621" i="321" l="1"/>
  <c r="AD624" i="321" s="1"/>
  <c r="AD635" i="321"/>
  <c r="AD286" i="278"/>
  <c r="AD287" i="278" s="1"/>
  <c r="AE39" i="315"/>
  <c r="AE198" i="278"/>
  <c r="AE199" i="278" s="1"/>
  <c r="Z62" i="315"/>
  <c r="Z58" i="315"/>
  <c r="Z21" i="315"/>
  <c r="Z23" i="315"/>
  <c r="Z60" i="315"/>
  <c r="Z667" i="321"/>
  <c r="AD550" i="321"/>
  <c r="AD553" i="321" s="1"/>
  <c r="AD564" i="321"/>
  <c r="AD262" i="278"/>
  <c r="AD263" i="278" s="1"/>
  <c r="AD544" i="321"/>
  <c r="AD546" i="321" s="1"/>
  <c r="AE41" i="265"/>
  <c r="AE173" i="278"/>
  <c r="AE174" i="278" s="1"/>
  <c r="AA609" i="321"/>
  <c r="AA560" i="321"/>
  <c r="AA561" i="321" s="1"/>
  <c r="AA63" i="265"/>
  <c r="AA605" i="321"/>
  <c r="AA38" i="282"/>
  <c r="AA610" i="321"/>
  <c r="AA568" i="321"/>
  <c r="AA104" i="282"/>
  <c r="AA583" i="321"/>
  <c r="AA36" i="282"/>
  <c r="S487" i="307"/>
  <c r="S489" i="307" s="1"/>
  <c r="S467" i="307"/>
  <c r="S469" i="307" s="1"/>
  <c r="T584" i="307"/>
  <c r="T23" i="307"/>
  <c r="T36" i="310"/>
  <c r="T585" i="307"/>
  <c r="T37" i="310"/>
  <c r="T24" i="307"/>
  <c r="T156" i="307"/>
  <c r="T153" i="307"/>
  <c r="T154" i="307" s="1"/>
  <c r="T194" i="307"/>
  <c r="T593" i="307"/>
  <c r="T32" i="310"/>
  <c r="T20" i="307"/>
  <c r="T200" i="307"/>
  <c r="T195" i="307"/>
  <c r="T72" i="307"/>
  <c r="T75" i="307" s="1"/>
  <c r="T78" i="307" s="1"/>
  <c r="T79" i="307" s="1"/>
  <c r="S599" i="307"/>
  <c r="S601" i="307" s="1"/>
  <c r="S609" i="307"/>
  <c r="AR295" i="307"/>
  <c r="AR214" i="307"/>
  <c r="AR111" i="307"/>
  <c r="AR120" i="307"/>
  <c r="AR665" i="307"/>
  <c r="AR223" i="307"/>
  <c r="AR11" i="310"/>
  <c r="AR177" i="307"/>
  <c r="CC268" i="321"/>
  <c r="CD265" i="321"/>
  <c r="CC156" i="321"/>
  <c r="CD153" i="321"/>
  <c r="AS112" i="307" l="1"/>
  <c r="AS115" i="307" s="1"/>
  <c r="AS116" i="307" s="1"/>
  <c r="S615" i="307"/>
  <c r="T294" i="307"/>
  <c r="T296" i="307" s="1"/>
  <c r="T85" i="307"/>
  <c r="T453" i="307"/>
  <c r="T248" i="307"/>
  <c r="T207" i="307"/>
  <c r="T123" i="307"/>
  <c r="T157" i="307"/>
  <c r="T594" i="307"/>
  <c r="T198" i="307"/>
  <c r="T201" i="307" s="1"/>
  <c r="T33" i="310"/>
  <c r="T21" i="307"/>
  <c r="T158" i="307"/>
  <c r="S473" i="307"/>
  <c r="S475" i="307" s="1"/>
  <c r="T472" i="307" s="1"/>
  <c r="S250" i="307"/>
  <c r="S251" i="307" s="1"/>
  <c r="S655" i="307"/>
  <c r="S498" i="307"/>
  <c r="S493" i="307"/>
  <c r="S495" i="307" s="1"/>
  <c r="T492" i="307" s="1"/>
  <c r="S660" i="307"/>
  <c r="S499" i="307"/>
  <c r="AA23" i="265"/>
  <c r="AA60" i="265"/>
  <c r="AA64" i="265"/>
  <c r="AA25" i="265"/>
  <c r="AA62" i="265"/>
  <c r="AA611" i="321"/>
  <c r="AE178" i="278"/>
  <c r="AE180" i="278" s="1"/>
  <c r="AF171" i="278"/>
  <c r="AE109" i="265"/>
  <c r="AE253" i="278"/>
  <c r="AE255" i="278" s="1"/>
  <c r="AE258" i="278" s="1"/>
  <c r="AD267" i="278"/>
  <c r="AD556" i="321"/>
  <c r="AD559" i="321"/>
  <c r="AA664" i="321"/>
  <c r="Z114" i="315"/>
  <c r="AF196" i="278"/>
  <c r="AE203" i="278"/>
  <c r="AE205" i="278" s="1"/>
  <c r="AE105" i="315"/>
  <c r="AD291" i="278"/>
  <c r="AD627" i="321"/>
  <c r="AD630" i="321"/>
  <c r="CD156" i="321"/>
  <c r="CE153" i="321"/>
  <c r="CD268" i="321"/>
  <c r="CE265" i="321"/>
  <c r="AE281" i="278" l="1"/>
  <c r="AE284" i="278" s="1"/>
  <c r="AE244" i="278"/>
  <c r="AE248" i="278" s="1"/>
  <c r="AF191" i="278"/>
  <c r="AF194" i="278" s="1"/>
  <c r="AF202" i="278"/>
  <c r="AA643" i="321"/>
  <c r="AA645" i="321" s="1"/>
  <c r="AA651" i="321" s="1"/>
  <c r="AA653" i="321" s="1"/>
  <c r="AA657" i="321"/>
  <c r="AA660" i="321" s="1"/>
  <c r="AA616" i="321"/>
  <c r="AA618" i="321" s="1"/>
  <c r="AA626" i="321" s="1"/>
  <c r="AA628" i="321" s="1"/>
  <c r="AA634" i="321"/>
  <c r="AA638" i="321" s="1"/>
  <c r="AF166" i="278"/>
  <c r="AF169" i="278" s="1"/>
  <c r="AF177" i="278"/>
  <c r="AE237" i="278"/>
  <c r="AE241" i="278" s="1"/>
  <c r="AB608" i="321"/>
  <c r="AA118" i="265"/>
  <c r="T534" i="307"/>
  <c r="T536" i="307" s="1"/>
  <c r="T540" i="307" s="1"/>
  <c r="T541" i="307" s="1"/>
  <c r="T571" i="307"/>
  <c r="T573" i="307" s="1"/>
  <c r="T480" i="307"/>
  <c r="T481" i="307" s="1"/>
  <c r="T488" i="307" s="1"/>
  <c r="S500" i="307"/>
  <c r="S253" i="307"/>
  <c r="S255" i="307" s="1"/>
  <c r="T523" i="307"/>
  <c r="T525" i="307" s="1"/>
  <c r="T529" i="307" s="1"/>
  <c r="T530" i="307" s="1"/>
  <c r="T558" i="307"/>
  <c r="T560" i="307" s="1"/>
  <c r="T460" i="307"/>
  <c r="T461" i="307" s="1"/>
  <c r="T468" i="307" s="1"/>
  <c r="T205" i="307"/>
  <c r="T208" i="307" s="1"/>
  <c r="T121" i="307"/>
  <c r="T224" i="307"/>
  <c r="T202" i="307"/>
  <c r="T321" i="307"/>
  <c r="T322" i="307" s="1"/>
  <c r="T300" i="307"/>
  <c r="T301" i="307" s="1"/>
  <c r="AS295" i="307"/>
  <c r="AS214" i="307"/>
  <c r="AS111" i="307"/>
  <c r="AS120" i="307"/>
  <c r="AS665" i="307"/>
  <c r="O666" i="307" s="1"/>
  <c r="AS223" i="307"/>
  <c r="O229" i="307" s="1"/>
  <c r="AS11" i="310"/>
  <c r="AS177" i="307"/>
  <c r="CE268" i="321"/>
  <c r="CF265" i="321"/>
  <c r="CE156" i="321"/>
  <c r="CF153" i="321"/>
  <c r="O55" i="265" l="1"/>
  <c r="O53" i="315"/>
  <c r="O685" i="321"/>
  <c r="AT112" i="307"/>
  <c r="AT115" i="307" s="1"/>
  <c r="AT116" i="307" s="1"/>
  <c r="T308" i="307"/>
  <c r="T311" i="307" s="1"/>
  <c r="T329" i="307"/>
  <c r="T332" i="307" s="1"/>
  <c r="T225" i="307"/>
  <c r="T215" i="307"/>
  <c r="T217" i="307" s="1"/>
  <c r="T600" i="307"/>
  <c r="T670" i="307"/>
  <c r="T226" i="307"/>
  <c r="T576" i="307"/>
  <c r="T544" i="307"/>
  <c r="S258" i="307"/>
  <c r="S260" i="307" s="1"/>
  <c r="T257" i="307" s="1"/>
  <c r="S645" i="307"/>
  <c r="S12" i="310"/>
  <c r="S285" i="307"/>
  <c r="S288" i="307" s="1"/>
  <c r="S650" i="307"/>
  <c r="S14" i="310"/>
  <c r="S135" i="288"/>
  <c r="S136" i="288" s="1"/>
  <c r="T577" i="307"/>
  <c r="T545" i="307"/>
  <c r="AB572" i="321"/>
  <c r="AB574" i="321" s="1"/>
  <c r="AB580" i="321" s="1"/>
  <c r="AB582" i="321" s="1"/>
  <c r="AB601" i="321"/>
  <c r="AB604" i="321" s="1"/>
  <c r="AB539" i="321"/>
  <c r="AB541" i="321" s="1"/>
  <c r="AB555" i="321" s="1"/>
  <c r="AB557" i="321" s="1"/>
  <c r="AB563" i="321"/>
  <c r="AB567" i="321" s="1"/>
  <c r="AE550" i="321"/>
  <c r="AE553" i="321" s="1"/>
  <c r="AE544" i="321"/>
  <c r="AE546" i="321" s="1"/>
  <c r="AE262" i="278"/>
  <c r="AE263" i="278" s="1"/>
  <c r="AE564" i="321"/>
  <c r="AF173" i="278"/>
  <c r="AF174" i="278" s="1"/>
  <c r="AF41" i="265"/>
  <c r="U41" i="277" s="1"/>
  <c r="AA666" i="321"/>
  <c r="AA639" i="321"/>
  <c r="AA665" i="321"/>
  <c r="AA667" i="321" s="1"/>
  <c r="AA61" i="315"/>
  <c r="AA631" i="321"/>
  <c r="AA632" i="321" s="1"/>
  <c r="AA106" i="282"/>
  <c r="AA661" i="321"/>
  <c r="AA654" i="321"/>
  <c r="AF198" i="278"/>
  <c r="AF199" i="278" s="1"/>
  <c r="AF39" i="315"/>
  <c r="AE635" i="321"/>
  <c r="AE621" i="321"/>
  <c r="AE624" i="321" s="1"/>
  <c r="AE286" i="278"/>
  <c r="AE287" i="278" s="1"/>
  <c r="CF156" i="321"/>
  <c r="CG153" i="321"/>
  <c r="CF268" i="321"/>
  <c r="CG265" i="321"/>
  <c r="AE291" i="278" l="1"/>
  <c r="AE627" i="321"/>
  <c r="AE630" i="321"/>
  <c r="AG196" i="278"/>
  <c r="AF203" i="278"/>
  <c r="AF205" i="278" s="1"/>
  <c r="AF105" i="315"/>
  <c r="AA58" i="315"/>
  <c r="AA21" i="315"/>
  <c r="AA23" i="315"/>
  <c r="AA60" i="315"/>
  <c r="AB664" i="321"/>
  <c r="AA114" i="315"/>
  <c r="AA62" i="315"/>
  <c r="AF178" i="278"/>
  <c r="AF180" i="278" s="1"/>
  <c r="AG171" i="278"/>
  <c r="AF109" i="265"/>
  <c r="U109" i="277" s="1"/>
  <c r="AF253" i="278"/>
  <c r="AF255" i="278" s="1"/>
  <c r="AF258" i="278" s="1"/>
  <c r="AE267" i="278"/>
  <c r="AE556" i="321"/>
  <c r="AE559" i="321"/>
  <c r="AB610" i="321"/>
  <c r="AB568" i="321"/>
  <c r="AB609" i="321"/>
  <c r="AB611" i="321" s="1"/>
  <c r="AB560" i="321"/>
  <c r="AB561" i="321" s="1"/>
  <c r="AB63" i="265"/>
  <c r="S63" i="277" s="1"/>
  <c r="AB605" i="321"/>
  <c r="AB38" i="282"/>
  <c r="AB104" i="282"/>
  <c r="AB583" i="321"/>
  <c r="AB36" i="282"/>
  <c r="S138" i="288"/>
  <c r="S140" i="288" s="1"/>
  <c r="S56" i="288"/>
  <c r="S206" i="288"/>
  <c r="S16" i="310"/>
  <c r="T264" i="307"/>
  <c r="T265" i="307" s="1"/>
  <c r="T269" i="307" s="1"/>
  <c r="T271" i="307" s="1"/>
  <c r="T244" i="307"/>
  <c r="T245" i="307" s="1"/>
  <c r="T254" i="307" s="1"/>
  <c r="T546" i="307"/>
  <c r="T578" i="307"/>
  <c r="T81" i="307"/>
  <c r="T82" i="307" s="1"/>
  <c r="T124" i="307"/>
  <c r="T125" i="307" s="1"/>
  <c r="U119" i="307" s="1"/>
  <c r="T227" i="307"/>
  <c r="T34" i="310"/>
  <c r="T640" i="307"/>
  <c r="T336" i="307"/>
  <c r="T338" i="307" s="1"/>
  <c r="U335" i="307" s="1"/>
  <c r="T342" i="307"/>
  <c r="T635" i="307"/>
  <c r="T315" i="307"/>
  <c r="T317" i="307" s="1"/>
  <c r="U314" i="307" s="1"/>
  <c r="T341" i="307"/>
  <c r="T343" i="307" s="1"/>
  <c r="AT295" i="307"/>
  <c r="AT214" i="307"/>
  <c r="AT111" i="307"/>
  <c r="AT120" i="307"/>
  <c r="AT665" i="307"/>
  <c r="AT223" i="307"/>
  <c r="AT11" i="310"/>
  <c r="AT177" i="307"/>
  <c r="CG268" i="321"/>
  <c r="CH265" i="321"/>
  <c r="CG156" i="321"/>
  <c r="CH153" i="321"/>
  <c r="AU112" i="307" l="1"/>
  <c r="AU115" i="307" s="1"/>
  <c r="AU116" i="307" s="1"/>
  <c r="T454" i="307"/>
  <c r="T455" i="307" s="1"/>
  <c r="T249" i="307"/>
  <c r="T630" i="307"/>
  <c r="T134" i="288"/>
  <c r="T13" i="310"/>
  <c r="T347" i="307"/>
  <c r="T349" i="307" s="1"/>
  <c r="U346" i="307" s="1"/>
  <c r="U305" i="307"/>
  <c r="U306" i="307" s="1"/>
  <c r="U309" i="307" s="1"/>
  <c r="U378" i="307"/>
  <c r="U380" i="307" s="1"/>
  <c r="U384" i="307" s="1"/>
  <c r="U385" i="307" s="1"/>
  <c r="U414" i="307"/>
  <c r="U416" i="307" s="1"/>
  <c r="U326" i="307"/>
  <c r="U327" i="307" s="1"/>
  <c r="U330" i="307" s="1"/>
  <c r="U390" i="307"/>
  <c r="U392" i="307" s="1"/>
  <c r="U396" i="307" s="1"/>
  <c r="U397" i="307" s="1"/>
  <c r="U427" i="307"/>
  <c r="U429" i="307" s="1"/>
  <c r="U213" i="307"/>
  <c r="U148" i="307"/>
  <c r="U129" i="307"/>
  <c r="U131" i="307" s="1"/>
  <c r="U135" i="307" s="1"/>
  <c r="U138" i="307" s="1"/>
  <c r="U142" i="307" s="1"/>
  <c r="U145" i="307" s="1"/>
  <c r="U147" i="307" s="1"/>
  <c r="U176" i="307"/>
  <c r="U179" i="307" s="1"/>
  <c r="U184" i="307" s="1"/>
  <c r="U187" i="307" s="1"/>
  <c r="T84" i="307"/>
  <c r="T86" i="307" s="1"/>
  <c r="T588" i="307"/>
  <c r="T40" i="310"/>
  <c r="T27" i="307"/>
  <c r="T587" i="307"/>
  <c r="T589" i="307" s="1"/>
  <c r="T26" i="307"/>
  <c r="T39" i="310"/>
  <c r="T595" i="307"/>
  <c r="T43" i="310"/>
  <c r="T30" i="307"/>
  <c r="S58" i="310"/>
  <c r="S47" i="310"/>
  <c r="S63" i="310"/>
  <c r="S145" i="288"/>
  <c r="AB23" i="265"/>
  <c r="S23" i="277" s="1"/>
  <c r="AB60" i="265"/>
  <c r="S60" i="277" s="1"/>
  <c r="AB25" i="265"/>
  <c r="S25" i="277" s="1"/>
  <c r="AB62" i="265"/>
  <c r="S62" i="277" s="1"/>
  <c r="AC608" i="321"/>
  <c r="AB118" i="265"/>
  <c r="S118" i="277" s="1"/>
  <c r="AB64" i="265"/>
  <c r="S64" i="277" s="1"/>
  <c r="AG166" i="278"/>
  <c r="AG169" i="278" s="1"/>
  <c r="AG177" i="278"/>
  <c r="AF237" i="278"/>
  <c r="AF241" i="278" s="1"/>
  <c r="AB643" i="321"/>
  <c r="AB645" i="321" s="1"/>
  <c r="AB651" i="321" s="1"/>
  <c r="AB653" i="321" s="1"/>
  <c r="AB657" i="321"/>
  <c r="AB660" i="321" s="1"/>
  <c r="AB616" i="321"/>
  <c r="AB618" i="321" s="1"/>
  <c r="AB626" i="321" s="1"/>
  <c r="AB628" i="321" s="1"/>
  <c r="AB634" i="321"/>
  <c r="AB638" i="321" s="1"/>
  <c r="AF281" i="278"/>
  <c r="AF284" i="278" s="1"/>
  <c r="AF244" i="278"/>
  <c r="AF248" i="278" s="1"/>
  <c r="AG191" i="278"/>
  <c r="AG194" i="278" s="1"/>
  <c r="AG202" i="278"/>
  <c r="CH156" i="321"/>
  <c r="CI153" i="321"/>
  <c r="CI265" i="321"/>
  <c r="CH268" i="321"/>
  <c r="AG39" i="315" l="1"/>
  <c r="AG198" i="278"/>
  <c r="AG199" i="278" s="1"/>
  <c r="AF635" i="321"/>
  <c r="AF621" i="321"/>
  <c r="AF624" i="321" s="1"/>
  <c r="AF286" i="278"/>
  <c r="AF287" i="278" s="1"/>
  <c r="AB666" i="321"/>
  <c r="AB639" i="321"/>
  <c r="AB61" i="315"/>
  <c r="AB665" i="321"/>
  <c r="AB667" i="321" s="1"/>
  <c r="AB631" i="321"/>
  <c r="AB632" i="321" s="1"/>
  <c r="AB106" i="282"/>
  <c r="AB661" i="321"/>
  <c r="AB654" i="321"/>
  <c r="AF564" i="321"/>
  <c r="AF550" i="321"/>
  <c r="AF553" i="321" s="1"/>
  <c r="AF262" i="278"/>
  <c r="AF263" i="278" s="1"/>
  <c r="AF544" i="321"/>
  <c r="AF546" i="321" s="1"/>
  <c r="AG41" i="265"/>
  <c r="AG173" i="278"/>
  <c r="AG174" i="278" s="1"/>
  <c r="AC539" i="321"/>
  <c r="AC541" i="321" s="1"/>
  <c r="AC555" i="321" s="1"/>
  <c r="AC557" i="321" s="1"/>
  <c r="AC572" i="321"/>
  <c r="AC574" i="321" s="1"/>
  <c r="AC580" i="321" s="1"/>
  <c r="AC582" i="321" s="1"/>
  <c r="AC563" i="321"/>
  <c r="AC567" i="321" s="1"/>
  <c r="AC601" i="321"/>
  <c r="AC604" i="321" s="1"/>
  <c r="T591" i="307"/>
  <c r="T596" i="307" s="1"/>
  <c r="T139" i="288"/>
  <c r="T89" i="307"/>
  <c r="T90" i="307" s="1"/>
  <c r="U88" i="307" s="1"/>
  <c r="T675" i="307"/>
  <c r="T625" i="307"/>
  <c r="T10" i="310"/>
  <c r="T284" i="307"/>
  <c r="U193" i="307"/>
  <c r="U190" i="307"/>
  <c r="U191" i="307" s="1"/>
  <c r="U150" i="307"/>
  <c r="U433" i="307"/>
  <c r="U401" i="307"/>
  <c r="U432" i="307"/>
  <c r="U434" i="307" s="1"/>
  <c r="U400" i="307"/>
  <c r="U402" i="307" s="1"/>
  <c r="T464" i="307"/>
  <c r="T465" i="307" s="1"/>
  <c r="T484" i="307"/>
  <c r="T485" i="307" s="1"/>
  <c r="AU295" i="307"/>
  <c r="AU214" i="307"/>
  <c r="AU111" i="307"/>
  <c r="AU120" i="307"/>
  <c r="AU665" i="307"/>
  <c r="AU223" i="307"/>
  <c r="AU11" i="310"/>
  <c r="AU177" i="307"/>
  <c r="CI268" i="321"/>
  <c r="CJ265" i="321"/>
  <c r="CI156" i="321"/>
  <c r="CJ153" i="321"/>
  <c r="AV112" i="307" l="1"/>
  <c r="AV115" i="307" s="1"/>
  <c r="AV116" i="307" s="1"/>
  <c r="T487" i="307"/>
  <c r="T489" i="307" s="1"/>
  <c r="T467" i="307"/>
  <c r="T469" i="307" s="1"/>
  <c r="U584" i="307"/>
  <c r="U23" i="307"/>
  <c r="U36" i="310"/>
  <c r="U585" i="307"/>
  <c r="U37" i="310"/>
  <c r="U24" i="307"/>
  <c r="U156" i="307"/>
  <c r="U153" i="307"/>
  <c r="U154" i="307" s="1"/>
  <c r="U194" i="307"/>
  <c r="U593" i="307"/>
  <c r="U32" i="310"/>
  <c r="U20" i="307"/>
  <c r="U200" i="307"/>
  <c r="U195" i="307"/>
  <c r="U72" i="307"/>
  <c r="U75" i="307" s="1"/>
  <c r="U78" i="307" s="1"/>
  <c r="U79" i="307" s="1"/>
  <c r="T599" i="307"/>
  <c r="T601" i="307" s="1"/>
  <c r="T609" i="307"/>
  <c r="AC605" i="321"/>
  <c r="AC38" i="282"/>
  <c r="AC610" i="321"/>
  <c r="AC568" i="321"/>
  <c r="AC104" i="282"/>
  <c r="AC583" i="321"/>
  <c r="AC36" i="282"/>
  <c r="AC609" i="321"/>
  <c r="AC611" i="321" s="1"/>
  <c r="AC63" i="265"/>
  <c r="AC560" i="321"/>
  <c r="AC561" i="321" s="1"/>
  <c r="AG178" i="278"/>
  <c r="AG180" i="278" s="1"/>
  <c r="AH171" i="278"/>
  <c r="AG109" i="265"/>
  <c r="AG253" i="278"/>
  <c r="AG255" i="278" s="1"/>
  <c r="AG258" i="278" s="1"/>
  <c r="AF267" i="278"/>
  <c r="AF556" i="321"/>
  <c r="AF559" i="321"/>
  <c r="AB58" i="315"/>
  <c r="AB21" i="315"/>
  <c r="AB60" i="315"/>
  <c r="AB23" i="315"/>
  <c r="AC664" i="321"/>
  <c r="AB114" i="315"/>
  <c r="AB62" i="315"/>
  <c r="AF291" i="278"/>
  <c r="AF627" i="321"/>
  <c r="AF630" i="321"/>
  <c r="AH196" i="278"/>
  <c r="AG203" i="278"/>
  <c r="AG205" i="278" s="1"/>
  <c r="AG105" i="315"/>
  <c r="CJ156" i="321"/>
  <c r="CK153" i="321"/>
  <c r="CJ268" i="321"/>
  <c r="CK265" i="321"/>
  <c r="AG244" i="278" l="1"/>
  <c r="AG248" i="278" s="1"/>
  <c r="AG281" i="278"/>
  <c r="AG284" i="278" s="1"/>
  <c r="AH191" i="278"/>
  <c r="AH194" i="278" s="1"/>
  <c r="AH202" i="278"/>
  <c r="AC616" i="321"/>
  <c r="AC618" i="321" s="1"/>
  <c r="AC626" i="321" s="1"/>
  <c r="AC628" i="321" s="1"/>
  <c r="AC634" i="321"/>
  <c r="AC638" i="321" s="1"/>
  <c r="AC643" i="321"/>
  <c r="AC645" i="321" s="1"/>
  <c r="AC651" i="321" s="1"/>
  <c r="AC653" i="321" s="1"/>
  <c r="AC657" i="321"/>
  <c r="AC660" i="321" s="1"/>
  <c r="AH177" i="278"/>
  <c r="AH166" i="278"/>
  <c r="AH169" i="278" s="1"/>
  <c r="AG237" i="278"/>
  <c r="AG241" i="278" s="1"/>
  <c r="AC118" i="265"/>
  <c r="AD608" i="321"/>
  <c r="AC23" i="265"/>
  <c r="AC60" i="265"/>
  <c r="AC64" i="265"/>
  <c r="AC25" i="265"/>
  <c r="AC62" i="265"/>
  <c r="T615" i="307"/>
  <c r="U294" i="307"/>
  <c r="U296" i="307" s="1"/>
  <c r="U85" i="307"/>
  <c r="U453" i="307"/>
  <c r="U248" i="307"/>
  <c r="U207" i="307"/>
  <c r="U123" i="307"/>
  <c r="U157" i="307"/>
  <c r="U594" i="307"/>
  <c r="U21" i="307"/>
  <c r="U198" i="307"/>
  <c r="U201" i="307" s="1"/>
  <c r="U33" i="310"/>
  <c r="U158" i="307"/>
  <c r="T473" i="307"/>
  <c r="T475" i="307" s="1"/>
  <c r="U472" i="307" s="1"/>
  <c r="T250" i="307"/>
  <c r="T251" i="307" s="1"/>
  <c r="T655" i="307"/>
  <c r="T498" i="307"/>
  <c r="T493" i="307"/>
  <c r="T495" i="307" s="1"/>
  <c r="U492" i="307" s="1"/>
  <c r="T660" i="307"/>
  <c r="T499" i="307"/>
  <c r="AV295" i="307"/>
  <c r="AV214" i="307"/>
  <c r="AV111" i="307"/>
  <c r="AV120" i="307"/>
  <c r="AV665" i="307"/>
  <c r="AV223" i="307"/>
  <c r="AV11" i="310"/>
  <c r="AV177" i="307"/>
  <c r="CL265" i="321"/>
  <c r="CK268" i="321"/>
  <c r="CL153" i="321"/>
  <c r="CK156" i="321"/>
  <c r="AW112" i="307" l="1"/>
  <c r="AW115" i="307" s="1"/>
  <c r="AW116" i="307" s="1"/>
  <c r="U534" i="307"/>
  <c r="U536" i="307" s="1"/>
  <c r="U540" i="307" s="1"/>
  <c r="U541" i="307" s="1"/>
  <c r="U571" i="307"/>
  <c r="U573" i="307" s="1"/>
  <c r="U480" i="307"/>
  <c r="U481" i="307" s="1"/>
  <c r="U488" i="307" s="1"/>
  <c r="T500" i="307"/>
  <c r="T253" i="307"/>
  <c r="T255" i="307" s="1"/>
  <c r="U523" i="307"/>
  <c r="U525" i="307" s="1"/>
  <c r="U529" i="307" s="1"/>
  <c r="U530" i="307" s="1"/>
  <c r="U558" i="307"/>
  <c r="U560" i="307" s="1"/>
  <c r="U460" i="307"/>
  <c r="U461" i="307" s="1"/>
  <c r="U468" i="307" s="1"/>
  <c r="U205" i="307"/>
  <c r="U208" i="307" s="1"/>
  <c r="U121" i="307"/>
  <c r="U202" i="307"/>
  <c r="U224" i="307"/>
  <c r="K230" i="307" s="1"/>
  <c r="U321" i="307"/>
  <c r="U322" i="307" s="1"/>
  <c r="U300" i="307"/>
  <c r="U301" i="307" s="1"/>
  <c r="AD539" i="321"/>
  <c r="AD541" i="321" s="1"/>
  <c r="AD555" i="321" s="1"/>
  <c r="AD557" i="321" s="1"/>
  <c r="AD601" i="321"/>
  <c r="AD604" i="321" s="1"/>
  <c r="AD572" i="321"/>
  <c r="AD574" i="321" s="1"/>
  <c r="AD580" i="321" s="1"/>
  <c r="AD582" i="321" s="1"/>
  <c r="AD563" i="321"/>
  <c r="AD567" i="321" s="1"/>
  <c r="AG550" i="321"/>
  <c r="AG553" i="321" s="1"/>
  <c r="AG262" i="278"/>
  <c r="AG263" i="278" s="1"/>
  <c r="AG544" i="321"/>
  <c r="AG546" i="321" s="1"/>
  <c r="AG564" i="321"/>
  <c r="AH173" i="278"/>
  <c r="AH174" i="278" s="1"/>
  <c r="AH41" i="265"/>
  <c r="V41" i="277" s="1"/>
  <c r="AC106" i="282"/>
  <c r="AC661" i="321"/>
  <c r="AC654" i="321"/>
  <c r="AC639" i="321"/>
  <c r="AC666" i="321"/>
  <c r="AC665" i="321"/>
  <c r="AC667" i="321" s="1"/>
  <c r="AC61" i="315"/>
  <c r="AC631" i="321"/>
  <c r="AC632" i="321" s="1"/>
  <c r="AH198" i="278"/>
  <c r="AH199" i="278" s="1"/>
  <c r="AH39" i="315"/>
  <c r="AG286" i="278"/>
  <c r="AG287" i="278" s="1"/>
  <c r="AG635" i="321"/>
  <c r="AG621" i="321"/>
  <c r="AG624" i="321" s="1"/>
  <c r="CL156" i="321"/>
  <c r="CM153" i="321"/>
  <c r="CL268" i="321"/>
  <c r="CM265" i="321"/>
  <c r="AG627" i="321" l="1"/>
  <c r="AG630" i="321"/>
  <c r="AG291" i="278"/>
  <c r="AH203" i="278"/>
  <c r="AH205" i="278" s="1"/>
  <c r="AI196" i="278"/>
  <c r="AH105" i="315"/>
  <c r="AD664" i="321"/>
  <c r="AC114" i="315"/>
  <c r="AC62" i="315"/>
  <c r="AC58" i="315"/>
  <c r="AC21" i="315"/>
  <c r="AC23" i="315"/>
  <c r="AC60" i="315"/>
  <c r="AH178" i="278"/>
  <c r="AH180" i="278" s="1"/>
  <c r="AI171" i="278"/>
  <c r="AH109" i="265"/>
  <c r="V109" i="277" s="1"/>
  <c r="AH253" i="278"/>
  <c r="AH255" i="278" s="1"/>
  <c r="AH258" i="278" s="1"/>
  <c r="AG267" i="278"/>
  <c r="AG556" i="321"/>
  <c r="AG559" i="321"/>
  <c r="AD568" i="321"/>
  <c r="AD610" i="321"/>
  <c r="AD583" i="321"/>
  <c r="AD104" i="282"/>
  <c r="AD36" i="282"/>
  <c r="AD38" i="282"/>
  <c r="AD605" i="321"/>
  <c r="AD609" i="321"/>
  <c r="AD611" i="321" s="1"/>
  <c r="AD560" i="321"/>
  <c r="AD561" i="321" s="1"/>
  <c r="AD63" i="265"/>
  <c r="T63" i="277" s="1"/>
  <c r="U308" i="307"/>
  <c r="U311" i="307" s="1"/>
  <c r="U329" i="307"/>
  <c r="U332" i="307" s="1"/>
  <c r="U225" i="307"/>
  <c r="K231" i="307" s="1"/>
  <c r="U215" i="307"/>
  <c r="U217" i="307" s="1"/>
  <c r="U600" i="307"/>
  <c r="U670" i="307"/>
  <c r="K671" i="307" s="1"/>
  <c r="U226" i="307"/>
  <c r="K232" i="307" s="1"/>
  <c r="U576" i="307"/>
  <c r="U544" i="307"/>
  <c r="T258" i="307"/>
  <c r="T260" i="307" s="1"/>
  <c r="U257" i="307" s="1"/>
  <c r="T645" i="307"/>
  <c r="T12" i="310"/>
  <c r="T285" i="307"/>
  <c r="T288" i="307" s="1"/>
  <c r="T650" i="307"/>
  <c r="T135" i="288"/>
  <c r="T136" i="288" s="1"/>
  <c r="T14" i="310"/>
  <c r="U577" i="307"/>
  <c r="U545" i="307"/>
  <c r="AW295" i="307"/>
  <c r="AW214" i="307"/>
  <c r="AW111" i="307"/>
  <c r="AW120" i="307"/>
  <c r="AW665" i="307"/>
  <c r="AW223" i="307"/>
  <c r="AW11" i="310"/>
  <c r="AW177" i="307"/>
  <c r="CM268" i="321"/>
  <c r="CN265" i="321"/>
  <c r="CM156" i="321"/>
  <c r="CN153" i="321"/>
  <c r="AX112" i="307" l="1"/>
  <c r="AX115" i="307" s="1"/>
  <c r="AX116" i="307" s="1"/>
  <c r="T138" i="288"/>
  <c r="T140" i="288" s="1"/>
  <c r="T56" i="288"/>
  <c r="T206" i="288"/>
  <c r="T16" i="310"/>
  <c r="U264" i="307"/>
  <c r="U265" i="307" s="1"/>
  <c r="U269" i="307" s="1"/>
  <c r="U271" i="307" s="1"/>
  <c r="U244" i="307"/>
  <c r="U245" i="307" s="1"/>
  <c r="U254" i="307" s="1"/>
  <c r="U546" i="307"/>
  <c r="U578" i="307"/>
  <c r="K686" i="321"/>
  <c r="U81" i="307"/>
  <c r="U82" i="307" s="1"/>
  <c r="U124" i="307"/>
  <c r="U125" i="307" s="1"/>
  <c r="V119" i="307" s="1"/>
  <c r="U227" i="307"/>
  <c r="K233" i="307" s="1"/>
  <c r="U34" i="310"/>
  <c r="U640" i="307"/>
  <c r="K641" i="307" s="1"/>
  <c r="U336" i="307"/>
  <c r="U338" i="307" s="1"/>
  <c r="V335" i="307" s="1"/>
  <c r="U342" i="307"/>
  <c r="U635" i="307"/>
  <c r="K636" i="307" s="1"/>
  <c r="U315" i="307"/>
  <c r="U317" i="307" s="1"/>
  <c r="V314" i="307" s="1"/>
  <c r="U341" i="307"/>
  <c r="U343" i="307" s="1"/>
  <c r="AE608" i="321"/>
  <c r="AD118" i="265"/>
  <c r="T118" i="277" s="1"/>
  <c r="AD62" i="265"/>
  <c r="T62" i="277" s="1"/>
  <c r="AD25" i="265"/>
  <c r="T25" i="277" s="1"/>
  <c r="AD23" i="265"/>
  <c r="T23" i="277" s="1"/>
  <c r="AD60" i="265"/>
  <c r="T60" i="277" s="1"/>
  <c r="AD64" i="265"/>
  <c r="T64" i="277" s="1"/>
  <c r="AI166" i="278"/>
  <c r="AI169" i="278" s="1"/>
  <c r="AI177" i="278"/>
  <c r="AH237" i="278"/>
  <c r="AH241" i="278" s="1"/>
  <c r="AD634" i="321"/>
  <c r="AD638" i="321" s="1"/>
  <c r="AD643" i="321"/>
  <c r="AD645" i="321" s="1"/>
  <c r="AD651" i="321" s="1"/>
  <c r="AD653" i="321" s="1"/>
  <c r="AD657" i="321"/>
  <c r="AD660" i="321" s="1"/>
  <c r="AD616" i="321"/>
  <c r="AD618" i="321" s="1"/>
  <c r="AD626" i="321" s="1"/>
  <c r="AD628" i="321" s="1"/>
  <c r="AI191" i="278"/>
  <c r="AI194" i="278" s="1"/>
  <c r="AI202" i="278"/>
  <c r="AH281" i="278"/>
  <c r="AH284" i="278" s="1"/>
  <c r="AH244" i="278"/>
  <c r="AH248" i="278" s="1"/>
  <c r="CN156" i="321"/>
  <c r="CO153" i="321"/>
  <c r="CN268" i="321"/>
  <c r="CO265" i="321"/>
  <c r="AH621" i="321" l="1"/>
  <c r="AH624" i="321" s="1"/>
  <c r="AH635" i="321"/>
  <c r="AH286" i="278"/>
  <c r="AH287" i="278" s="1"/>
  <c r="AI39" i="315"/>
  <c r="AI198" i="278"/>
  <c r="AI199" i="278" s="1"/>
  <c r="AD665" i="321"/>
  <c r="AD61" i="315"/>
  <c r="AD631" i="321"/>
  <c r="AD632" i="321" s="1"/>
  <c r="AD106" i="282"/>
  <c r="AD661" i="321"/>
  <c r="AD654" i="321"/>
  <c r="AD639" i="321"/>
  <c r="AD666" i="321"/>
  <c r="AH544" i="321"/>
  <c r="AH546" i="321" s="1"/>
  <c r="AH262" i="278"/>
  <c r="AH263" i="278" s="1"/>
  <c r="AH550" i="321"/>
  <c r="AH553" i="321" s="1"/>
  <c r="AH564" i="321"/>
  <c r="AI41" i="265"/>
  <c r="AI173" i="278"/>
  <c r="AI174" i="278" s="1"/>
  <c r="AE601" i="321"/>
  <c r="AE604" i="321" s="1"/>
  <c r="AE539" i="321"/>
  <c r="AE541" i="321" s="1"/>
  <c r="AE555" i="321" s="1"/>
  <c r="AE557" i="321" s="1"/>
  <c r="AE572" i="321"/>
  <c r="AE574" i="321" s="1"/>
  <c r="AE580" i="321" s="1"/>
  <c r="AE582" i="321" s="1"/>
  <c r="AE563" i="321"/>
  <c r="AE567" i="321" s="1"/>
  <c r="U454" i="307"/>
  <c r="U455" i="307" s="1"/>
  <c r="U249" i="307"/>
  <c r="U630" i="307"/>
  <c r="K631" i="307" s="1"/>
  <c r="U134" i="288"/>
  <c r="U13" i="310"/>
  <c r="U347" i="307"/>
  <c r="U349" i="307" s="1"/>
  <c r="V346" i="307" s="1"/>
  <c r="V305" i="307"/>
  <c r="V306" i="307" s="1"/>
  <c r="V309" i="307" s="1"/>
  <c r="V378" i="307"/>
  <c r="V380" i="307" s="1"/>
  <c r="V384" i="307" s="1"/>
  <c r="V385" i="307" s="1"/>
  <c r="V414" i="307"/>
  <c r="V416" i="307" s="1"/>
  <c r="K188" i="321"/>
  <c r="V326" i="307"/>
  <c r="V327" i="307" s="1"/>
  <c r="V330" i="307" s="1"/>
  <c r="V390" i="307"/>
  <c r="V392" i="307" s="1"/>
  <c r="V396" i="307" s="1"/>
  <c r="V397" i="307" s="1"/>
  <c r="V427" i="307"/>
  <c r="V429" i="307" s="1"/>
  <c r="K300" i="321"/>
  <c r="K678" i="321"/>
  <c r="K680" i="321" s="1"/>
  <c r="V213" i="307"/>
  <c r="V148" i="307"/>
  <c r="V129" i="307"/>
  <c r="V131" i="307" s="1"/>
  <c r="V135" i="307" s="1"/>
  <c r="V138" i="307" s="1"/>
  <c r="V142" i="307" s="1"/>
  <c r="V145" i="307" s="1"/>
  <c r="V147" i="307" s="1"/>
  <c r="V176" i="307"/>
  <c r="V179" i="307" s="1"/>
  <c r="V184" i="307" s="1"/>
  <c r="V187" i="307" s="1"/>
  <c r="U84" i="307"/>
  <c r="U86" i="307" s="1"/>
  <c r="U588" i="307"/>
  <c r="U40" i="310"/>
  <c r="U27" i="307"/>
  <c r="U587" i="307"/>
  <c r="U589" i="307" s="1"/>
  <c r="U39" i="310"/>
  <c r="U26" i="307"/>
  <c r="U595" i="307"/>
  <c r="U43" i="310"/>
  <c r="U30" i="307"/>
  <c r="T58" i="310"/>
  <c r="T47" i="310"/>
  <c r="T63" i="310"/>
  <c r="T145" i="288"/>
  <c r="AX295" i="307"/>
  <c r="AX214" i="307"/>
  <c r="AX111" i="307"/>
  <c r="AX120" i="307"/>
  <c r="AX665" i="307"/>
  <c r="AX223" i="307"/>
  <c r="AX11" i="310"/>
  <c r="AX177" i="307"/>
  <c r="CO268" i="321"/>
  <c r="CP265" i="321"/>
  <c r="CO156" i="321"/>
  <c r="CP153" i="321"/>
  <c r="AY112" i="307" l="1"/>
  <c r="AY115" i="307" s="1"/>
  <c r="AY116" i="307" s="1"/>
  <c r="U591" i="307"/>
  <c r="U596" i="307" s="1"/>
  <c r="U139" i="288"/>
  <c r="U89" i="307"/>
  <c r="U90" i="307" s="1"/>
  <c r="V88" i="307" s="1"/>
  <c r="U675" i="307"/>
  <c r="K676" i="307" s="1"/>
  <c r="U625" i="307"/>
  <c r="K626" i="307" s="1"/>
  <c r="U10" i="310"/>
  <c r="U284" i="307"/>
  <c r="V193" i="307"/>
  <c r="V190" i="307"/>
  <c r="V191" i="307" s="1"/>
  <c r="V150" i="307"/>
  <c r="K687" i="321"/>
  <c r="K688" i="321" s="1"/>
  <c r="K681" i="321"/>
  <c r="V433" i="307"/>
  <c r="V401" i="307"/>
  <c r="V432" i="307"/>
  <c r="V434" i="307" s="1"/>
  <c r="V400" i="307"/>
  <c r="V402" i="307" s="1"/>
  <c r="K57" i="265"/>
  <c r="K55" i="315"/>
  <c r="U464" i="307"/>
  <c r="U465" i="307" s="1"/>
  <c r="U484" i="307"/>
  <c r="U485" i="307" s="1"/>
  <c r="AE610" i="321"/>
  <c r="AE568" i="321"/>
  <c r="AE104" i="282"/>
  <c r="AE583" i="321"/>
  <c r="AE36" i="282"/>
  <c r="AE609" i="321"/>
  <c r="AE611" i="321" s="1"/>
  <c r="AE560" i="321"/>
  <c r="AE561" i="321" s="1"/>
  <c r="AE63" i="265"/>
  <c r="AE605" i="321"/>
  <c r="AE38" i="282"/>
  <c r="AI178" i="278"/>
  <c r="AI180" i="278" s="1"/>
  <c r="AJ171" i="278"/>
  <c r="AI109" i="265"/>
  <c r="AI253" i="278"/>
  <c r="AI255" i="278" s="1"/>
  <c r="AI258" i="278" s="1"/>
  <c r="AH556" i="321"/>
  <c r="AH559" i="321"/>
  <c r="AH267" i="278"/>
  <c r="AD62" i="315"/>
  <c r="AD58" i="315"/>
  <c r="AD21" i="315"/>
  <c r="AD23" i="315"/>
  <c r="AD60" i="315"/>
  <c r="AD667" i="321"/>
  <c r="AJ196" i="278"/>
  <c r="AI203" i="278"/>
  <c r="AI205" i="278" s="1"/>
  <c r="AI105" i="315"/>
  <c r="AH291" i="278"/>
  <c r="AH627" i="321"/>
  <c r="AH630" i="321"/>
  <c r="CP156" i="321"/>
  <c r="CQ153" i="321"/>
  <c r="CP268" i="321"/>
  <c r="CQ265" i="321"/>
  <c r="AI281" i="278" l="1"/>
  <c r="AI284" i="278" s="1"/>
  <c r="AI244" i="278"/>
  <c r="AI248" i="278" s="1"/>
  <c r="AJ191" i="278"/>
  <c r="AJ194" i="278" s="1"/>
  <c r="AJ202" i="278"/>
  <c r="AE664" i="321"/>
  <c r="AD114" i="315"/>
  <c r="AJ166" i="278"/>
  <c r="AJ169" i="278" s="1"/>
  <c r="AJ177" i="278"/>
  <c r="AI237" i="278"/>
  <c r="AI241" i="278" s="1"/>
  <c r="AE25" i="265"/>
  <c r="AE62" i="265"/>
  <c r="AF608" i="321"/>
  <c r="AE118" i="265"/>
  <c r="AE23" i="265"/>
  <c r="AE60" i="265"/>
  <c r="AE64" i="265"/>
  <c r="U487" i="307"/>
  <c r="U489" i="307" s="1"/>
  <c r="U467" i="307"/>
  <c r="U469" i="307" s="1"/>
  <c r="V584" i="307"/>
  <c r="V36" i="310"/>
  <c r="V23" i="307"/>
  <c r="V585" i="307"/>
  <c r="V37" i="310"/>
  <c r="V24" i="307"/>
  <c r="K53" i="265"/>
  <c r="K51" i="315"/>
  <c r="L684" i="321"/>
  <c r="K123" i="265"/>
  <c r="K119" i="315"/>
  <c r="V156" i="307"/>
  <c r="V153" i="307"/>
  <c r="V154" i="307" s="1"/>
  <c r="V194" i="307"/>
  <c r="V593" i="307"/>
  <c r="V20" i="307"/>
  <c r="V200" i="307"/>
  <c r="V32" i="310"/>
  <c r="V195" i="307"/>
  <c r="K445" i="321"/>
  <c r="K447" i="321" s="1"/>
  <c r="K484" i="321"/>
  <c r="K528" i="321"/>
  <c r="V72" i="307"/>
  <c r="V75" i="307" s="1"/>
  <c r="V78" i="307" s="1"/>
  <c r="V79" i="307" s="1"/>
  <c r="U599" i="307"/>
  <c r="U601" i="307" s="1"/>
  <c r="U609" i="307"/>
  <c r="K610" i="307" s="1"/>
  <c r="AY295" i="307"/>
  <c r="AY214" i="307"/>
  <c r="AY111" i="307"/>
  <c r="AY120" i="307"/>
  <c r="AY665" i="307"/>
  <c r="P666" i="307" s="1"/>
  <c r="AY223" i="307"/>
  <c r="P229" i="307" s="1"/>
  <c r="AY11" i="310"/>
  <c r="AY177" i="307"/>
  <c r="CQ268" i="321"/>
  <c r="CR265" i="321"/>
  <c r="CQ156" i="321"/>
  <c r="CR153" i="321"/>
  <c r="P55" i="265" l="1"/>
  <c r="M55" i="277" s="1"/>
  <c r="P53" i="315"/>
  <c r="P685" i="321"/>
  <c r="AZ112" i="307"/>
  <c r="AZ115" i="307" s="1"/>
  <c r="AZ116" i="307" s="1"/>
  <c r="K611" i="307"/>
  <c r="U615" i="307"/>
  <c r="K616" i="307" s="1"/>
  <c r="V294" i="307"/>
  <c r="V296" i="307" s="1"/>
  <c r="V85" i="307"/>
  <c r="V453" i="307"/>
  <c r="V248" i="307"/>
  <c r="K56" i="265"/>
  <c r="K54" i="315"/>
  <c r="V207" i="307"/>
  <c r="V123" i="307"/>
  <c r="V157" i="307"/>
  <c r="V594" i="307"/>
  <c r="V33" i="310"/>
  <c r="V21" i="307"/>
  <c r="V198" i="307"/>
  <c r="V201" i="307" s="1"/>
  <c r="V158" i="307"/>
  <c r="L673" i="321"/>
  <c r="L676" i="321" s="1"/>
  <c r="L712" i="321"/>
  <c r="L714" i="321" s="1"/>
  <c r="L693" i="321"/>
  <c r="L695" i="321" s="1"/>
  <c r="L699" i="321" s="1"/>
  <c r="U473" i="307"/>
  <c r="U475" i="307" s="1"/>
  <c r="V472" i="307" s="1"/>
  <c r="U250" i="307"/>
  <c r="U251" i="307" s="1"/>
  <c r="U655" i="307"/>
  <c r="K656" i="307" s="1"/>
  <c r="U498" i="307"/>
  <c r="U493" i="307"/>
  <c r="U495" i="307" s="1"/>
  <c r="V492" i="307" s="1"/>
  <c r="U660" i="307"/>
  <c r="K661" i="307" s="1"/>
  <c r="U499" i="307"/>
  <c r="AF563" i="321"/>
  <c r="AF567" i="321" s="1"/>
  <c r="AF572" i="321"/>
  <c r="AF574" i="321" s="1"/>
  <c r="AF580" i="321" s="1"/>
  <c r="AF582" i="321" s="1"/>
  <c r="AF601" i="321"/>
  <c r="AF604" i="321" s="1"/>
  <c r="AF539" i="321"/>
  <c r="AF541" i="321" s="1"/>
  <c r="AF555" i="321" s="1"/>
  <c r="AF557" i="321" s="1"/>
  <c r="AI262" i="278"/>
  <c r="AI263" i="278" s="1"/>
  <c r="AI544" i="321"/>
  <c r="AI546" i="321" s="1"/>
  <c r="AI550" i="321"/>
  <c r="AI553" i="321" s="1"/>
  <c r="AI564" i="321"/>
  <c r="AJ41" i="265"/>
  <c r="W41" i="277" s="1"/>
  <c r="AJ173" i="278"/>
  <c r="AJ174" i="278" s="1"/>
  <c r="AE643" i="321"/>
  <c r="AE645" i="321" s="1"/>
  <c r="AE651" i="321" s="1"/>
  <c r="AE653" i="321" s="1"/>
  <c r="AE657" i="321"/>
  <c r="AE660" i="321" s="1"/>
  <c r="AE616" i="321"/>
  <c r="AE618" i="321" s="1"/>
  <c r="AE626" i="321" s="1"/>
  <c r="AE628" i="321" s="1"/>
  <c r="AE634" i="321"/>
  <c r="AE638" i="321" s="1"/>
  <c r="AJ198" i="278"/>
  <c r="AJ199" i="278" s="1"/>
  <c r="AJ39" i="315"/>
  <c r="AI635" i="321"/>
  <c r="AI621" i="321"/>
  <c r="AI624" i="321" s="1"/>
  <c r="AI286" i="278"/>
  <c r="AI287" i="278" s="1"/>
  <c r="CR156" i="321"/>
  <c r="CS153" i="321"/>
  <c r="CS265" i="321"/>
  <c r="CR268" i="321"/>
  <c r="AI291" i="278" l="1"/>
  <c r="AI627" i="321"/>
  <c r="AI630" i="321"/>
  <c r="AK196" i="278"/>
  <c r="AJ203" i="278"/>
  <c r="AJ205" i="278" s="1"/>
  <c r="AJ105" i="315"/>
  <c r="AE666" i="321"/>
  <c r="AE639" i="321"/>
  <c r="AE665" i="321"/>
  <c r="AE667" i="321" s="1"/>
  <c r="AE61" i="315"/>
  <c r="AE631" i="321"/>
  <c r="AE632" i="321" s="1"/>
  <c r="AE106" i="282"/>
  <c r="AE661" i="321"/>
  <c r="AE654" i="321"/>
  <c r="AJ178" i="278"/>
  <c r="AJ180" i="278" s="1"/>
  <c r="AK171" i="278"/>
  <c r="AJ109" i="265"/>
  <c r="W109" i="277" s="1"/>
  <c r="AJ253" i="278"/>
  <c r="AJ255" i="278" s="1"/>
  <c r="AJ258" i="278" s="1"/>
  <c r="AI556" i="321"/>
  <c r="AI559" i="321"/>
  <c r="AI267" i="278"/>
  <c r="AF609" i="321"/>
  <c r="AF560" i="321"/>
  <c r="AF561" i="321" s="1"/>
  <c r="AF63" i="265"/>
  <c r="U63" i="277" s="1"/>
  <c r="AF605" i="321"/>
  <c r="AF38" i="282"/>
  <c r="AF104" i="282"/>
  <c r="AF583" i="321"/>
  <c r="AF36" i="282"/>
  <c r="AF610" i="321"/>
  <c r="AF568" i="321"/>
  <c r="K434" i="321"/>
  <c r="V534" i="307"/>
  <c r="V536" i="307" s="1"/>
  <c r="V540" i="307" s="1"/>
  <c r="V541" i="307" s="1"/>
  <c r="V571" i="307"/>
  <c r="V573" i="307" s="1"/>
  <c r="V480" i="307"/>
  <c r="V481" i="307" s="1"/>
  <c r="V488" i="307" s="1"/>
  <c r="U500" i="307"/>
  <c r="K402" i="321"/>
  <c r="U253" i="307"/>
  <c r="U255" i="307" s="1"/>
  <c r="V523" i="307"/>
  <c r="V525" i="307" s="1"/>
  <c r="V529" i="307" s="1"/>
  <c r="V530" i="307" s="1"/>
  <c r="V558" i="307"/>
  <c r="V560" i="307" s="1"/>
  <c r="V460" i="307"/>
  <c r="V461" i="307" s="1"/>
  <c r="V468" i="307" s="1"/>
  <c r="L715" i="321"/>
  <c r="L34" i="282"/>
  <c r="L102" i="282"/>
  <c r="L679" i="321"/>
  <c r="L442" i="321"/>
  <c r="L443" i="321" s="1"/>
  <c r="V205" i="307"/>
  <c r="V208" i="307" s="1"/>
  <c r="V121" i="307"/>
  <c r="V224" i="307"/>
  <c r="V202" i="307"/>
  <c r="V321" i="307"/>
  <c r="V322" i="307" s="1"/>
  <c r="V300" i="307"/>
  <c r="V301" i="307" s="1"/>
  <c r="K41" i="285"/>
  <c r="K50" i="265"/>
  <c r="K48" i="315"/>
  <c r="AZ295" i="307"/>
  <c r="AZ214" i="307"/>
  <c r="AZ111" i="307"/>
  <c r="AZ120" i="307"/>
  <c r="AZ665" i="307"/>
  <c r="AZ223" i="307"/>
  <c r="AZ11" i="310"/>
  <c r="AZ177" i="307"/>
  <c r="CS268" i="321"/>
  <c r="CT265" i="321"/>
  <c r="CS156" i="321"/>
  <c r="CT153" i="321"/>
  <c r="BA112" i="307" l="1"/>
  <c r="BA115" i="307" s="1"/>
  <c r="BA116" i="307" s="1"/>
  <c r="V308" i="307"/>
  <c r="V311" i="307" s="1"/>
  <c r="V329" i="307"/>
  <c r="V332" i="307" s="1"/>
  <c r="V225" i="307"/>
  <c r="V215" i="307"/>
  <c r="V217" i="307" s="1"/>
  <c r="V600" i="307"/>
  <c r="V670" i="307"/>
  <c r="V226" i="307"/>
  <c r="L485" i="321"/>
  <c r="L446" i="321"/>
  <c r="L46" i="288"/>
  <c r="L529" i="321"/>
  <c r="L196" i="288"/>
  <c r="L26" i="265"/>
  <c r="K26" i="277" s="1"/>
  <c r="L84" i="265"/>
  <c r="K84" i="277" s="1"/>
  <c r="L80" i="315"/>
  <c r="L24" i="315"/>
  <c r="V576" i="307"/>
  <c r="V544" i="307"/>
  <c r="U258" i="307"/>
  <c r="U260" i="307" s="1"/>
  <c r="V257" i="307" s="1"/>
  <c r="U645" i="307"/>
  <c r="K646" i="307" s="1"/>
  <c r="U285" i="307"/>
  <c r="U288" i="307" s="1"/>
  <c r="U12" i="310"/>
  <c r="U650" i="307"/>
  <c r="K651" i="307" s="1"/>
  <c r="U135" i="288"/>
  <c r="U136" i="288" s="1"/>
  <c r="U14" i="310"/>
  <c r="V577" i="307"/>
  <c r="V545" i="307"/>
  <c r="AF64" i="265"/>
  <c r="U64" i="277" s="1"/>
  <c r="AF23" i="265"/>
  <c r="U23" i="277" s="1"/>
  <c r="AF60" i="265"/>
  <c r="U60" i="277" s="1"/>
  <c r="AF25" i="265"/>
  <c r="U25" i="277" s="1"/>
  <c r="AF62" i="265"/>
  <c r="U62" i="277" s="1"/>
  <c r="AF611" i="321"/>
  <c r="AK177" i="278"/>
  <c r="AK166" i="278"/>
  <c r="AK169" i="278" s="1"/>
  <c r="AJ237" i="278"/>
  <c r="AJ241" i="278" s="1"/>
  <c r="AE58" i="315"/>
  <c r="AE21" i="315"/>
  <c r="AE23" i="315"/>
  <c r="AE60" i="315"/>
  <c r="AF664" i="321"/>
  <c r="AE114" i="315"/>
  <c r="AE62" i="315"/>
  <c r="AJ281" i="278"/>
  <c r="AJ284" i="278" s="1"/>
  <c r="AJ244" i="278"/>
  <c r="AJ248" i="278" s="1"/>
  <c r="AK191" i="278"/>
  <c r="AK194" i="278" s="1"/>
  <c r="AK202" i="278"/>
  <c r="CT156" i="321"/>
  <c r="CU153" i="321"/>
  <c r="CT268" i="321"/>
  <c r="CU265" i="321"/>
  <c r="AK39" i="315" l="1"/>
  <c r="AK198" i="278"/>
  <c r="AK199" i="278" s="1"/>
  <c r="AJ635" i="321"/>
  <c r="AJ621" i="321"/>
  <c r="AJ624" i="321" s="1"/>
  <c r="AJ286" i="278"/>
  <c r="AJ287" i="278" s="1"/>
  <c r="AF643" i="321"/>
  <c r="AF645" i="321" s="1"/>
  <c r="AF651" i="321" s="1"/>
  <c r="AF653" i="321" s="1"/>
  <c r="AF657" i="321"/>
  <c r="AF660" i="321" s="1"/>
  <c r="AF616" i="321"/>
  <c r="AF618" i="321" s="1"/>
  <c r="AF626" i="321" s="1"/>
  <c r="AF628" i="321" s="1"/>
  <c r="AF634" i="321"/>
  <c r="AF638" i="321" s="1"/>
  <c r="AJ564" i="321"/>
  <c r="AJ550" i="321"/>
  <c r="AJ553" i="321" s="1"/>
  <c r="AJ262" i="278"/>
  <c r="AJ263" i="278" s="1"/>
  <c r="AJ544" i="321"/>
  <c r="AJ546" i="321" s="1"/>
  <c r="AK41" i="265"/>
  <c r="AK173" i="278"/>
  <c r="AK174" i="278" s="1"/>
  <c r="AG608" i="321"/>
  <c r="AF118" i="265"/>
  <c r="U118" i="277" s="1"/>
  <c r="U138" i="288"/>
  <c r="U140" i="288" s="1"/>
  <c r="K58" i="265"/>
  <c r="K56" i="315"/>
  <c r="U16" i="310"/>
  <c r="U56" i="288"/>
  <c r="U206" i="288"/>
  <c r="K59" i="265"/>
  <c r="K38" i="286"/>
  <c r="K57" i="315"/>
  <c r="K115" i="286"/>
  <c r="V264" i="307"/>
  <c r="V265" i="307" s="1"/>
  <c r="V269" i="307" s="1"/>
  <c r="V271" i="307" s="1"/>
  <c r="V244" i="307"/>
  <c r="V245" i="307" s="1"/>
  <c r="V254" i="307" s="1"/>
  <c r="V546" i="307"/>
  <c r="V578" i="307"/>
  <c r="V81" i="307"/>
  <c r="V82" i="307" s="1"/>
  <c r="V124" i="307"/>
  <c r="V125" i="307" s="1"/>
  <c r="W119" i="307" s="1"/>
  <c r="V227" i="307"/>
  <c r="V34" i="310"/>
  <c r="V640" i="307"/>
  <c r="V336" i="307"/>
  <c r="V338" i="307" s="1"/>
  <c r="W335" i="307" s="1"/>
  <c r="V342" i="307"/>
  <c r="V635" i="307"/>
  <c r="V315" i="307"/>
  <c r="V317" i="307" s="1"/>
  <c r="W314" i="307" s="1"/>
  <c r="V341" i="307"/>
  <c r="V343" i="307" s="1"/>
  <c r="BA295" i="307"/>
  <c r="BA214" i="307"/>
  <c r="BA111" i="307"/>
  <c r="BA120" i="307"/>
  <c r="BA665" i="307"/>
  <c r="BA223" i="307"/>
  <c r="BA11" i="310"/>
  <c r="BA177" i="307"/>
  <c r="CU268" i="321"/>
  <c r="CV265" i="321"/>
  <c r="CV268" i="321" s="1"/>
  <c r="CU156" i="321"/>
  <c r="CV153" i="321"/>
  <c r="CV156" i="321" s="1"/>
  <c r="F157" i="321"/>
  <c r="F160" i="321" s="1"/>
  <c r="BB112" i="307" l="1"/>
  <c r="BB115" i="307" s="1"/>
  <c r="BB116" i="307" s="1"/>
  <c r="V454" i="307"/>
  <c r="V455" i="307" s="1"/>
  <c r="V249" i="307"/>
  <c r="V630" i="307"/>
  <c r="V134" i="288"/>
  <c r="V13" i="310"/>
  <c r="V347" i="307"/>
  <c r="V349" i="307" s="1"/>
  <c r="W346" i="307" s="1"/>
  <c r="W305" i="307"/>
  <c r="W306" i="307" s="1"/>
  <c r="W309" i="307" s="1"/>
  <c r="W378" i="307"/>
  <c r="W380" i="307" s="1"/>
  <c r="W384" i="307" s="1"/>
  <c r="W385" i="307" s="1"/>
  <c r="W414" i="307"/>
  <c r="W416" i="307" s="1"/>
  <c r="W326" i="307"/>
  <c r="W327" i="307" s="1"/>
  <c r="W330" i="307" s="1"/>
  <c r="W390" i="307"/>
  <c r="W392" i="307" s="1"/>
  <c r="W396" i="307" s="1"/>
  <c r="W397" i="307" s="1"/>
  <c r="W427" i="307"/>
  <c r="W429" i="307" s="1"/>
  <c r="W213" i="307"/>
  <c r="W148" i="307"/>
  <c r="W129" i="307"/>
  <c r="W131" i="307" s="1"/>
  <c r="W135" i="307" s="1"/>
  <c r="W138" i="307" s="1"/>
  <c r="W142" i="307" s="1"/>
  <c r="W145" i="307" s="1"/>
  <c r="W147" i="307" s="1"/>
  <c r="W176" i="307"/>
  <c r="W179" i="307" s="1"/>
  <c r="W184" i="307" s="1"/>
  <c r="W187" i="307" s="1"/>
  <c r="V84" i="307"/>
  <c r="V86" i="307" s="1"/>
  <c r="V588" i="307"/>
  <c r="V40" i="310"/>
  <c r="V27" i="307"/>
  <c r="V587" i="307"/>
  <c r="V589" i="307" s="1"/>
  <c r="V26" i="307"/>
  <c r="V39" i="310"/>
  <c r="V595" i="307"/>
  <c r="V30" i="307"/>
  <c r="V43" i="310"/>
  <c r="U47" i="310"/>
  <c r="U63" i="310"/>
  <c r="U58" i="310"/>
  <c r="U145" i="288"/>
  <c r="AG572" i="321"/>
  <c r="AG574" i="321" s="1"/>
  <c r="AG580" i="321" s="1"/>
  <c r="AG582" i="321" s="1"/>
  <c r="AG563" i="321"/>
  <c r="AG567" i="321" s="1"/>
  <c r="AG601" i="321"/>
  <c r="AG604" i="321" s="1"/>
  <c r="AG539" i="321"/>
  <c r="AG541" i="321" s="1"/>
  <c r="AG555" i="321" s="1"/>
  <c r="AG557" i="321" s="1"/>
  <c r="AK178" i="278"/>
  <c r="AK180" i="278" s="1"/>
  <c r="AL171" i="278"/>
  <c r="AK109" i="265"/>
  <c r="AK253" i="278"/>
  <c r="AK255" i="278" s="1"/>
  <c r="AK258" i="278" s="1"/>
  <c r="AJ267" i="278"/>
  <c r="AJ556" i="321"/>
  <c r="AJ559" i="321"/>
  <c r="AF666" i="321"/>
  <c r="AF639" i="321"/>
  <c r="AF61" i="315"/>
  <c r="AF665" i="321"/>
  <c r="AF667" i="321" s="1"/>
  <c r="AF631" i="321"/>
  <c r="AF632" i="321" s="1"/>
  <c r="AF106" i="282"/>
  <c r="AF661" i="321"/>
  <c r="AF654" i="321"/>
  <c r="AJ291" i="278"/>
  <c r="AJ627" i="321"/>
  <c r="AJ630" i="321"/>
  <c r="AL196" i="278"/>
  <c r="AK203" i="278"/>
  <c r="AK205" i="278" s="1"/>
  <c r="AK105" i="315"/>
  <c r="F269" i="321"/>
  <c r="F272" i="321" s="1"/>
  <c r="AK244" i="278" l="1"/>
  <c r="AK248" i="278" s="1"/>
  <c r="AK281" i="278"/>
  <c r="AK284" i="278" s="1"/>
  <c r="AL191" i="278"/>
  <c r="AL194" i="278" s="1"/>
  <c r="AL202" i="278"/>
  <c r="AF58" i="315"/>
  <c r="AF21" i="315"/>
  <c r="AF60" i="315"/>
  <c r="AF23" i="315"/>
  <c r="AG664" i="321"/>
  <c r="AF114" i="315"/>
  <c r="AF62" i="315"/>
  <c r="AL166" i="278"/>
  <c r="AL169" i="278" s="1"/>
  <c r="AL177" i="278"/>
  <c r="AK237" i="278"/>
  <c r="AK241" i="278" s="1"/>
  <c r="AG609" i="321"/>
  <c r="AG63" i="265"/>
  <c r="AG560" i="321"/>
  <c r="AG561" i="321" s="1"/>
  <c r="AG605" i="321"/>
  <c r="AG38" i="282"/>
  <c r="AG610" i="321"/>
  <c r="AG568" i="321"/>
  <c r="AG104" i="282"/>
  <c r="AG583" i="321"/>
  <c r="AG36" i="282"/>
  <c r="V591" i="307"/>
  <c r="V596" i="307" s="1"/>
  <c r="V139" i="288"/>
  <c r="V89" i="307"/>
  <c r="V90" i="307" s="1"/>
  <c r="W88" i="307" s="1"/>
  <c r="V675" i="307"/>
  <c r="V625" i="307"/>
  <c r="V10" i="310"/>
  <c r="V284" i="307"/>
  <c r="W193" i="307"/>
  <c r="W190" i="307"/>
  <c r="W191" i="307" s="1"/>
  <c r="W150" i="307"/>
  <c r="W433" i="307"/>
  <c r="W401" i="307"/>
  <c r="W432" i="307"/>
  <c r="W434" i="307" s="1"/>
  <c r="W400" i="307"/>
  <c r="W402" i="307" s="1"/>
  <c r="V464" i="307"/>
  <c r="V465" i="307" s="1"/>
  <c r="V484" i="307"/>
  <c r="V485" i="307" s="1"/>
  <c r="BB295" i="307"/>
  <c r="BB214" i="307"/>
  <c r="BB111" i="307"/>
  <c r="BB120" i="307"/>
  <c r="BB665" i="307"/>
  <c r="BB223" i="307"/>
  <c r="BB11" i="310"/>
  <c r="BB177" i="307"/>
  <c r="BC112" i="307" l="1"/>
  <c r="BC115" i="307" s="1"/>
  <c r="BC116" i="307" s="1"/>
  <c r="V487" i="307"/>
  <c r="V489" i="307" s="1"/>
  <c r="V467" i="307"/>
  <c r="V469" i="307" s="1"/>
  <c r="W584" i="307"/>
  <c r="W36" i="310"/>
  <c r="W23" i="307"/>
  <c r="W585" i="307"/>
  <c r="W37" i="310"/>
  <c r="W24" i="307"/>
  <c r="W156" i="307"/>
  <c r="W153" i="307"/>
  <c r="W154" i="307" s="1"/>
  <c r="W194" i="307"/>
  <c r="W593" i="307"/>
  <c r="W32" i="310"/>
  <c r="W20" i="307"/>
  <c r="W200" i="307"/>
  <c r="W195" i="307"/>
  <c r="W72" i="307"/>
  <c r="W75" i="307" s="1"/>
  <c r="W78" i="307" s="1"/>
  <c r="W79" i="307" s="1"/>
  <c r="V599" i="307"/>
  <c r="V601" i="307" s="1"/>
  <c r="V609" i="307"/>
  <c r="AG23" i="265"/>
  <c r="AG60" i="265"/>
  <c r="AG64" i="265"/>
  <c r="AG25" i="265"/>
  <c r="AG62" i="265"/>
  <c r="AG611" i="321"/>
  <c r="AK550" i="321"/>
  <c r="AK553" i="321" s="1"/>
  <c r="AK564" i="321"/>
  <c r="AK544" i="321"/>
  <c r="AK546" i="321" s="1"/>
  <c r="AK262" i="278"/>
  <c r="AK263" i="278" s="1"/>
  <c r="AL173" i="278"/>
  <c r="AL174" i="278" s="1"/>
  <c r="AL41" i="265"/>
  <c r="X41" i="277" s="1"/>
  <c r="AG616" i="321"/>
  <c r="AG618" i="321" s="1"/>
  <c r="AG626" i="321" s="1"/>
  <c r="AG628" i="321" s="1"/>
  <c r="AG634" i="321"/>
  <c r="AG638" i="321" s="1"/>
  <c r="AG643" i="321"/>
  <c r="AG645" i="321" s="1"/>
  <c r="AG651" i="321" s="1"/>
  <c r="AG653" i="321" s="1"/>
  <c r="AG657" i="321"/>
  <c r="AG660" i="321" s="1"/>
  <c r="AL198" i="278"/>
  <c r="AL199" i="278" s="1"/>
  <c r="AL39" i="315"/>
  <c r="AK286" i="278"/>
  <c r="AK287" i="278" s="1"/>
  <c r="AK635" i="321"/>
  <c r="AK621" i="321"/>
  <c r="AK624" i="321" s="1"/>
  <c r="AK627" i="321" l="1"/>
  <c r="AK630" i="321"/>
  <c r="AK291" i="278"/>
  <c r="AL203" i="278"/>
  <c r="AL205" i="278" s="1"/>
  <c r="AM196" i="278"/>
  <c r="AL105" i="315"/>
  <c r="AG106" i="282"/>
  <c r="AG661" i="321"/>
  <c r="AG654" i="321"/>
  <c r="AG639" i="321"/>
  <c r="AG666" i="321"/>
  <c r="AG665" i="321"/>
  <c r="AG667" i="321" s="1"/>
  <c r="AG61" i="315"/>
  <c r="AG631" i="321"/>
  <c r="AG632" i="321" s="1"/>
  <c r="AL178" i="278"/>
  <c r="AL180" i="278" s="1"/>
  <c r="AM171" i="278"/>
  <c r="AL109" i="265"/>
  <c r="X109" i="277" s="1"/>
  <c r="AL253" i="278"/>
  <c r="AL255" i="278" s="1"/>
  <c r="AL258" i="278" s="1"/>
  <c r="AK267" i="278"/>
  <c r="AK556" i="321"/>
  <c r="AK559" i="321"/>
  <c r="AH608" i="321"/>
  <c r="AG118" i="265"/>
  <c r="V615" i="307"/>
  <c r="W294" i="307"/>
  <c r="W296" i="307" s="1"/>
  <c r="W85" i="307"/>
  <c r="W453" i="307"/>
  <c r="W248" i="307"/>
  <c r="W207" i="307"/>
  <c r="W123" i="307"/>
  <c r="W157" i="307"/>
  <c r="W594" i="307"/>
  <c r="W198" i="307"/>
  <c r="W201" i="307" s="1"/>
  <c r="W21" i="307"/>
  <c r="W33" i="310"/>
  <c r="W158" i="307"/>
  <c r="V473" i="307"/>
  <c r="V475" i="307" s="1"/>
  <c r="W472" i="307" s="1"/>
  <c r="V250" i="307"/>
  <c r="V251" i="307" s="1"/>
  <c r="V655" i="307"/>
  <c r="V498" i="307"/>
  <c r="V493" i="307"/>
  <c r="V495" i="307" s="1"/>
  <c r="W492" i="307" s="1"/>
  <c r="V660" i="307"/>
  <c r="V499" i="307"/>
  <c r="BC295" i="307"/>
  <c r="BC214" i="307"/>
  <c r="BC111" i="307"/>
  <c r="BC120" i="307"/>
  <c r="BC665" i="307"/>
  <c r="BC223" i="307"/>
  <c r="BC11" i="310"/>
  <c r="BC177" i="307"/>
  <c r="BD112" i="307" l="1"/>
  <c r="BD115" i="307" s="1"/>
  <c r="BD116" i="307" s="1"/>
  <c r="W534" i="307"/>
  <c r="W536" i="307" s="1"/>
  <c r="W540" i="307" s="1"/>
  <c r="W541" i="307" s="1"/>
  <c r="W571" i="307"/>
  <c r="W573" i="307" s="1"/>
  <c r="W480" i="307"/>
  <c r="W481" i="307" s="1"/>
  <c r="W488" i="307" s="1"/>
  <c r="V500" i="307"/>
  <c r="V253" i="307"/>
  <c r="V255" i="307" s="1"/>
  <c r="W523" i="307"/>
  <c r="W525" i="307" s="1"/>
  <c r="W529" i="307" s="1"/>
  <c r="W530" i="307" s="1"/>
  <c r="W558" i="307"/>
  <c r="W560" i="307" s="1"/>
  <c r="W460" i="307"/>
  <c r="W461" i="307" s="1"/>
  <c r="W468" i="307" s="1"/>
  <c r="W205" i="307"/>
  <c r="W208" i="307" s="1"/>
  <c r="W121" i="307"/>
  <c r="W224" i="307"/>
  <c r="W202" i="307"/>
  <c r="W321" i="307"/>
  <c r="W322" i="307" s="1"/>
  <c r="W300" i="307"/>
  <c r="W301" i="307" s="1"/>
  <c r="AH601" i="321"/>
  <c r="AH604" i="321" s="1"/>
  <c r="AH539" i="321"/>
  <c r="AH541" i="321" s="1"/>
  <c r="AH555" i="321" s="1"/>
  <c r="AH557" i="321" s="1"/>
  <c r="AH563" i="321"/>
  <c r="AH567" i="321" s="1"/>
  <c r="AH572" i="321"/>
  <c r="AH574" i="321" s="1"/>
  <c r="AH580" i="321" s="1"/>
  <c r="AH582" i="321" s="1"/>
  <c r="AM177" i="278"/>
  <c r="AM166" i="278"/>
  <c r="AM169" i="278" s="1"/>
  <c r="AL237" i="278"/>
  <c r="AL241" i="278" s="1"/>
  <c r="AH664" i="321"/>
  <c r="AG114" i="315"/>
  <c r="AG62" i="315"/>
  <c r="AG58" i="315"/>
  <c r="AG21" i="315"/>
  <c r="AG23" i="315"/>
  <c r="AG60" i="315"/>
  <c r="AM191" i="278"/>
  <c r="AM194" i="278" s="1"/>
  <c r="AM202" i="278"/>
  <c r="AL281" i="278"/>
  <c r="AL284" i="278" s="1"/>
  <c r="AL244" i="278"/>
  <c r="AL248" i="278" s="1"/>
  <c r="AL621" i="321" l="1"/>
  <c r="AL624" i="321" s="1"/>
  <c r="AL635" i="321"/>
  <c r="AL286" i="278"/>
  <c r="AL287" i="278" s="1"/>
  <c r="AM39" i="315"/>
  <c r="AM198" i="278"/>
  <c r="AM199" i="278" s="1"/>
  <c r="AH634" i="321"/>
  <c r="AH638" i="321" s="1"/>
  <c r="AH643" i="321"/>
  <c r="AH645" i="321" s="1"/>
  <c r="AH651" i="321" s="1"/>
  <c r="AH653" i="321" s="1"/>
  <c r="AH657" i="321"/>
  <c r="AH660" i="321" s="1"/>
  <c r="AH616" i="321"/>
  <c r="AH618" i="321" s="1"/>
  <c r="AH626" i="321" s="1"/>
  <c r="AH628" i="321" s="1"/>
  <c r="AL550" i="321"/>
  <c r="AL553" i="321" s="1"/>
  <c r="AL564" i="321"/>
  <c r="AL262" i="278"/>
  <c r="AL263" i="278" s="1"/>
  <c r="AL544" i="321"/>
  <c r="AL546" i="321" s="1"/>
  <c r="AM41" i="265"/>
  <c r="AM173" i="278"/>
  <c r="AM174" i="278" s="1"/>
  <c r="AH104" i="282"/>
  <c r="AH583" i="321"/>
  <c r="AH36" i="282"/>
  <c r="AH610" i="321"/>
  <c r="AH568" i="321"/>
  <c r="AH609" i="321"/>
  <c r="AH611" i="321" s="1"/>
  <c r="AH560" i="321"/>
  <c r="AH561" i="321" s="1"/>
  <c r="AH63" i="265"/>
  <c r="V63" i="277" s="1"/>
  <c r="AH605" i="321"/>
  <c r="AH38" i="282"/>
  <c r="W308" i="307"/>
  <c r="W311" i="307" s="1"/>
  <c r="W329" i="307"/>
  <c r="W332" i="307" s="1"/>
  <c r="W225" i="307"/>
  <c r="W215" i="307"/>
  <c r="W217" i="307" s="1"/>
  <c r="W600" i="307"/>
  <c r="W670" i="307"/>
  <c r="W226" i="307"/>
  <c r="W576" i="307"/>
  <c r="W544" i="307"/>
  <c r="V258" i="307"/>
  <c r="V260" i="307" s="1"/>
  <c r="W257" i="307" s="1"/>
  <c r="V645" i="307"/>
  <c r="V12" i="310"/>
  <c r="V285" i="307"/>
  <c r="V288" i="307" s="1"/>
  <c r="V650" i="307"/>
  <c r="V14" i="310"/>
  <c r="V135" i="288"/>
  <c r="V136" i="288" s="1"/>
  <c r="W577" i="307"/>
  <c r="W545" i="307"/>
  <c r="BD295" i="307"/>
  <c r="BD214" i="307"/>
  <c r="BD111" i="307"/>
  <c r="BE112" i="307" s="1"/>
  <c r="BE115" i="307" s="1"/>
  <c r="BE116" i="307" s="1"/>
  <c r="BD120" i="307"/>
  <c r="BD665" i="307"/>
  <c r="BD223" i="307"/>
  <c r="BD11" i="310"/>
  <c r="BD177" i="307"/>
  <c r="H116" i="307"/>
  <c r="H11" i="310" l="1"/>
  <c r="H295" i="307"/>
  <c r="H665" i="307"/>
  <c r="H120" i="307"/>
  <c r="H177" i="307"/>
  <c r="H111" i="307"/>
  <c r="H214" i="307"/>
  <c r="H223" i="307"/>
  <c r="BE295" i="307"/>
  <c r="BE665" i="307"/>
  <c r="Q666" i="307" s="1"/>
  <c r="BE214" i="307"/>
  <c r="BE223" i="307"/>
  <c r="Q229" i="307" s="1"/>
  <c r="BE11" i="310"/>
  <c r="BE120" i="307"/>
  <c r="BE111" i="307"/>
  <c r="BE177" i="307"/>
  <c r="V138" i="288"/>
  <c r="V140" i="288" s="1"/>
  <c r="V56" i="288"/>
  <c r="V206" i="288"/>
  <c r="V16" i="310"/>
  <c r="W264" i="307"/>
  <c r="W265" i="307" s="1"/>
  <c r="W269" i="307" s="1"/>
  <c r="W271" i="307" s="1"/>
  <c r="W244" i="307"/>
  <c r="W245" i="307" s="1"/>
  <c r="W254" i="307" s="1"/>
  <c r="W546" i="307"/>
  <c r="W578" i="307"/>
  <c r="W81" i="307"/>
  <c r="W82" i="307" s="1"/>
  <c r="W124" i="307"/>
  <c r="W125" i="307" s="1"/>
  <c r="X119" i="307" s="1"/>
  <c r="W227" i="307"/>
  <c r="W34" i="310"/>
  <c r="W640" i="307"/>
  <c r="W336" i="307"/>
  <c r="W338" i="307" s="1"/>
  <c r="X335" i="307" s="1"/>
  <c r="W342" i="307"/>
  <c r="W635" i="307"/>
  <c r="W315" i="307"/>
  <c r="W317" i="307" s="1"/>
  <c r="X314" i="307" s="1"/>
  <c r="W341" i="307"/>
  <c r="W343" i="307" s="1"/>
  <c r="AH25" i="265"/>
  <c r="V25" i="277" s="1"/>
  <c r="AH62" i="265"/>
  <c r="V62" i="277" s="1"/>
  <c r="AI608" i="321"/>
  <c r="AH118" i="265"/>
  <c r="V118" i="277" s="1"/>
  <c r="AH64" i="265"/>
  <c r="V64" i="277" s="1"/>
  <c r="AH23" i="265"/>
  <c r="V23" i="277" s="1"/>
  <c r="AH60" i="265"/>
  <c r="V60" i="277" s="1"/>
  <c r="AM178" i="278"/>
  <c r="AM180" i="278" s="1"/>
  <c r="AN171" i="278"/>
  <c r="AM109" i="265"/>
  <c r="AM253" i="278"/>
  <c r="AM255" i="278" s="1"/>
  <c r="AM258" i="278" s="1"/>
  <c r="AL267" i="278"/>
  <c r="AL556" i="321"/>
  <c r="AL559" i="321"/>
  <c r="AH665" i="321"/>
  <c r="AH61" i="315"/>
  <c r="AH631" i="321"/>
  <c r="AH632" i="321" s="1"/>
  <c r="AH106" i="282"/>
  <c r="AH661" i="321"/>
  <c r="AH654" i="321"/>
  <c r="AH639" i="321"/>
  <c r="AH666" i="321"/>
  <c r="AN196" i="278"/>
  <c r="AM203" i="278"/>
  <c r="AM205" i="278" s="1"/>
  <c r="AM105" i="315"/>
  <c r="AL291" i="278"/>
  <c r="AL627" i="321"/>
  <c r="AL630" i="321"/>
  <c r="AM281" i="278" l="1"/>
  <c r="AM284" i="278" s="1"/>
  <c r="AM244" i="278"/>
  <c r="AM248" i="278" s="1"/>
  <c r="AN191" i="278"/>
  <c r="AN194" i="278" s="1"/>
  <c r="AN202" i="278"/>
  <c r="AH62" i="315"/>
  <c r="AH58" i="315"/>
  <c r="AH21" i="315"/>
  <c r="AH23" i="315"/>
  <c r="AH60" i="315"/>
  <c r="AH667" i="321"/>
  <c r="AN166" i="278"/>
  <c r="AN169" i="278" s="1"/>
  <c r="AN177" i="278"/>
  <c r="AM237" i="278"/>
  <c r="AM241" i="278" s="1"/>
  <c r="AI572" i="321"/>
  <c r="AI574" i="321" s="1"/>
  <c r="AI580" i="321" s="1"/>
  <c r="AI582" i="321" s="1"/>
  <c r="AI563" i="321"/>
  <c r="AI567" i="321" s="1"/>
  <c r="AI601" i="321"/>
  <c r="AI604" i="321" s="1"/>
  <c r="AI539" i="321"/>
  <c r="AI541" i="321" s="1"/>
  <c r="AI555" i="321" s="1"/>
  <c r="AI557" i="321" s="1"/>
  <c r="W454" i="307"/>
  <c r="W455" i="307" s="1"/>
  <c r="W249" i="307"/>
  <c r="W630" i="307"/>
  <c r="W347" i="307"/>
  <c r="W349" i="307" s="1"/>
  <c r="X346" i="307" s="1"/>
  <c r="W134" i="288"/>
  <c r="W13" i="310"/>
  <c r="X305" i="307"/>
  <c r="X306" i="307" s="1"/>
  <c r="X309" i="307" s="1"/>
  <c r="X378" i="307"/>
  <c r="X380" i="307" s="1"/>
  <c r="X384" i="307" s="1"/>
  <c r="X385" i="307" s="1"/>
  <c r="X414" i="307"/>
  <c r="X416" i="307" s="1"/>
  <c r="X326" i="307"/>
  <c r="X327" i="307" s="1"/>
  <c r="X330" i="307" s="1"/>
  <c r="X390" i="307"/>
  <c r="X392" i="307" s="1"/>
  <c r="X396" i="307" s="1"/>
  <c r="X397" i="307" s="1"/>
  <c r="X427" i="307"/>
  <c r="X429" i="307" s="1"/>
  <c r="X213" i="307"/>
  <c r="X148" i="307"/>
  <c r="X129" i="307"/>
  <c r="X131" i="307" s="1"/>
  <c r="X135" i="307" s="1"/>
  <c r="X138" i="307" s="1"/>
  <c r="X142" i="307" s="1"/>
  <c r="X145" i="307" s="1"/>
  <c r="X147" i="307" s="1"/>
  <c r="X176" i="307"/>
  <c r="X179" i="307" s="1"/>
  <c r="X184" i="307" s="1"/>
  <c r="X187" i="307" s="1"/>
  <c r="W84" i="307"/>
  <c r="W86" i="307" s="1"/>
  <c r="W588" i="307"/>
  <c r="W40" i="310"/>
  <c r="W27" i="307"/>
  <c r="W587" i="307"/>
  <c r="W589" i="307" s="1"/>
  <c r="W39" i="310"/>
  <c r="W26" i="307"/>
  <c r="W595" i="307"/>
  <c r="W30" i="307"/>
  <c r="W43" i="310"/>
  <c r="V47" i="310"/>
  <c r="V63" i="310"/>
  <c r="V58" i="310"/>
  <c r="V145" i="288"/>
  <c r="Q53" i="315"/>
  <c r="Q55" i="265"/>
  <c r="N55" i="277" s="1"/>
  <c r="H55" i="277" s="1"/>
  <c r="H229" i="307"/>
  <c r="Q685" i="321"/>
  <c r="H666" i="307"/>
  <c r="H685" i="321" s="1"/>
  <c r="F127" i="328"/>
  <c r="H51" i="269"/>
  <c r="K51" i="269" s="1"/>
  <c r="L51" i="269" l="1"/>
  <c r="J51" i="269"/>
  <c r="F26" i="326"/>
  <c r="G127" i="328"/>
  <c r="G26" i="326" s="1"/>
  <c r="H55" i="265"/>
  <c r="H132" i="269" s="1"/>
  <c r="K132" i="269" s="1"/>
  <c r="H53" i="315"/>
  <c r="W591" i="307"/>
  <c r="W596" i="307" s="1"/>
  <c r="W139" i="288"/>
  <c r="W89" i="307"/>
  <c r="W90" i="307" s="1"/>
  <c r="X88" i="307" s="1"/>
  <c r="W675" i="307"/>
  <c r="W625" i="307"/>
  <c r="W10" i="310"/>
  <c r="W284" i="307"/>
  <c r="X193" i="307"/>
  <c r="X190" i="307"/>
  <c r="X191" i="307" s="1"/>
  <c r="X150" i="307"/>
  <c r="X433" i="307"/>
  <c r="X401" i="307"/>
  <c r="X432" i="307"/>
  <c r="X434" i="307" s="1"/>
  <c r="X400" i="307"/>
  <c r="X402" i="307" s="1"/>
  <c r="W464" i="307"/>
  <c r="W465" i="307" s="1"/>
  <c r="W484" i="307"/>
  <c r="W485" i="307" s="1"/>
  <c r="AI609" i="321"/>
  <c r="AI560" i="321"/>
  <c r="AI561" i="321" s="1"/>
  <c r="AI63" i="265"/>
  <c r="AI605" i="321"/>
  <c r="AI38" i="282"/>
  <c r="AI610" i="321"/>
  <c r="AI568" i="321"/>
  <c r="AI104" i="282"/>
  <c r="AI583" i="321"/>
  <c r="AI36" i="282"/>
  <c r="AM564" i="321"/>
  <c r="AM550" i="321"/>
  <c r="AM553" i="321" s="1"/>
  <c r="AM262" i="278"/>
  <c r="AM263" i="278" s="1"/>
  <c r="AM544" i="321"/>
  <c r="AM546" i="321" s="1"/>
  <c r="AN173" i="278"/>
  <c r="AN174" i="278" s="1"/>
  <c r="AN41" i="265"/>
  <c r="Y41" i="277" s="1"/>
  <c r="AH114" i="315"/>
  <c r="AI664" i="321"/>
  <c r="AN198" i="278"/>
  <c r="AN199" i="278" s="1"/>
  <c r="AN39" i="315"/>
  <c r="AM635" i="321"/>
  <c r="AM621" i="321"/>
  <c r="AM624" i="321" s="1"/>
  <c r="AM286" i="278"/>
  <c r="AM287" i="278" s="1"/>
  <c r="AM291" i="278" l="1"/>
  <c r="AM627" i="321"/>
  <c r="AM630" i="321"/>
  <c r="AO196" i="278"/>
  <c r="AN203" i="278"/>
  <c r="AN205" i="278" s="1"/>
  <c r="AN105" i="315"/>
  <c r="AI634" i="321"/>
  <c r="AI638" i="321" s="1"/>
  <c r="AI616" i="321"/>
  <c r="AI618" i="321" s="1"/>
  <c r="AI626" i="321" s="1"/>
  <c r="AI628" i="321" s="1"/>
  <c r="AI657" i="321"/>
  <c r="AI660" i="321" s="1"/>
  <c r="AI643" i="321"/>
  <c r="AI645" i="321" s="1"/>
  <c r="AI651" i="321" s="1"/>
  <c r="AI653" i="321" s="1"/>
  <c r="AN178" i="278"/>
  <c r="AN180" i="278" s="1"/>
  <c r="AO171" i="278"/>
  <c r="AN109" i="265"/>
  <c r="Y109" i="277" s="1"/>
  <c r="AN253" i="278"/>
  <c r="AN255" i="278" s="1"/>
  <c r="AN258" i="278" s="1"/>
  <c r="AM267" i="278"/>
  <c r="AM556" i="321"/>
  <c r="AM559" i="321"/>
  <c r="AI23" i="265"/>
  <c r="AI60" i="265"/>
  <c r="AI64" i="265"/>
  <c r="AI25" i="265"/>
  <c r="AI62" i="265"/>
  <c r="AI611" i="321"/>
  <c r="W487" i="307"/>
  <c r="W489" i="307" s="1"/>
  <c r="W467" i="307"/>
  <c r="W469" i="307" s="1"/>
  <c r="X584" i="307"/>
  <c r="X36" i="310"/>
  <c r="X23" i="307"/>
  <c r="X585" i="307"/>
  <c r="X37" i="310"/>
  <c r="X24" i="307"/>
  <c r="X156" i="307"/>
  <c r="X153" i="307"/>
  <c r="X154" i="307" s="1"/>
  <c r="X194" i="307"/>
  <c r="X593" i="307"/>
  <c r="X20" i="307"/>
  <c r="X200" i="307"/>
  <c r="X32" i="310"/>
  <c r="X195" i="307"/>
  <c r="X72" i="307"/>
  <c r="X75" i="307" s="1"/>
  <c r="X78" i="307" s="1"/>
  <c r="X79" i="307" s="1"/>
  <c r="W599" i="307"/>
  <c r="W601" i="307" s="1"/>
  <c r="W609" i="307"/>
  <c r="L132" i="269"/>
  <c r="J132" i="269"/>
  <c r="W615" i="307" l="1"/>
  <c r="X294" i="307"/>
  <c r="X296" i="307" s="1"/>
  <c r="X85" i="307"/>
  <c r="X453" i="307"/>
  <c r="X248" i="307"/>
  <c r="X207" i="307"/>
  <c r="X123" i="307"/>
  <c r="X157" i="307"/>
  <c r="X594" i="307"/>
  <c r="X198" i="307"/>
  <c r="X201" i="307" s="1"/>
  <c r="X33" i="310"/>
  <c r="X21" i="307"/>
  <c r="X158" i="307"/>
  <c r="W473" i="307"/>
  <c r="W475" i="307" s="1"/>
  <c r="X472" i="307" s="1"/>
  <c r="W250" i="307"/>
  <c r="W251" i="307" s="1"/>
  <c r="W655" i="307"/>
  <c r="W498" i="307"/>
  <c r="W493" i="307"/>
  <c r="W495" i="307" s="1"/>
  <c r="X492" i="307" s="1"/>
  <c r="W660" i="307"/>
  <c r="W499" i="307"/>
  <c r="AJ608" i="321"/>
  <c r="AI118" i="265"/>
  <c r="AO166" i="278"/>
  <c r="AO169" i="278" s="1"/>
  <c r="AO177" i="278"/>
  <c r="AN237" i="278"/>
  <c r="AN241" i="278" s="1"/>
  <c r="AI654" i="321"/>
  <c r="AI661" i="321"/>
  <c r="AI106" i="282"/>
  <c r="AI665" i="321"/>
  <c r="AI61" i="315"/>
  <c r="AI631" i="321"/>
  <c r="AI632" i="321" s="1"/>
  <c r="AI666" i="321"/>
  <c r="AI639" i="321"/>
  <c r="AN281" i="278"/>
  <c r="AN284" i="278" s="1"/>
  <c r="AN244" i="278"/>
  <c r="AN248" i="278" s="1"/>
  <c r="AO191" i="278"/>
  <c r="AO194" i="278" s="1"/>
  <c r="AO202" i="278"/>
  <c r="AO39" i="315" l="1"/>
  <c r="AO198" i="278"/>
  <c r="AO199" i="278" s="1"/>
  <c r="AN635" i="321"/>
  <c r="AN621" i="321"/>
  <c r="AN624" i="321" s="1"/>
  <c r="AN286" i="278"/>
  <c r="AN287" i="278" s="1"/>
  <c r="AI62" i="315"/>
  <c r="AI667" i="321"/>
  <c r="AI23" i="315"/>
  <c r="AI60" i="315"/>
  <c r="AI58" i="315"/>
  <c r="AI21" i="315"/>
  <c r="AN564" i="321"/>
  <c r="AN550" i="321"/>
  <c r="AN553" i="321" s="1"/>
  <c r="AN262" i="278"/>
  <c r="AN263" i="278" s="1"/>
  <c r="AN544" i="321"/>
  <c r="AN546" i="321" s="1"/>
  <c r="AO41" i="265"/>
  <c r="AO173" i="278"/>
  <c r="AO174" i="278" s="1"/>
  <c r="AJ572" i="321"/>
  <c r="AJ574" i="321" s="1"/>
  <c r="AJ580" i="321" s="1"/>
  <c r="AJ582" i="321" s="1"/>
  <c r="AJ601" i="321"/>
  <c r="AJ604" i="321" s="1"/>
  <c r="AJ539" i="321"/>
  <c r="AJ541" i="321" s="1"/>
  <c r="AJ555" i="321" s="1"/>
  <c r="AJ557" i="321" s="1"/>
  <c r="AJ563" i="321"/>
  <c r="AJ567" i="321" s="1"/>
  <c r="X534" i="307"/>
  <c r="X536" i="307" s="1"/>
  <c r="X540" i="307" s="1"/>
  <c r="X541" i="307" s="1"/>
  <c r="X571" i="307"/>
  <c r="X573" i="307" s="1"/>
  <c r="X480" i="307"/>
  <c r="X481" i="307" s="1"/>
  <c r="X488" i="307" s="1"/>
  <c r="W500" i="307"/>
  <c r="W253" i="307"/>
  <c r="W255" i="307" s="1"/>
  <c r="X523" i="307"/>
  <c r="X525" i="307" s="1"/>
  <c r="X529" i="307" s="1"/>
  <c r="X530" i="307" s="1"/>
  <c r="X558" i="307"/>
  <c r="X560" i="307" s="1"/>
  <c r="X460" i="307"/>
  <c r="X461" i="307" s="1"/>
  <c r="X468" i="307" s="1"/>
  <c r="X205" i="307"/>
  <c r="X208" i="307" s="1"/>
  <c r="X121" i="307"/>
  <c r="X224" i="307"/>
  <c r="X202" i="307"/>
  <c r="X321" i="307"/>
  <c r="X322" i="307" s="1"/>
  <c r="X300" i="307"/>
  <c r="X301" i="307" s="1"/>
  <c r="X308" i="307" l="1"/>
  <c r="X311" i="307" s="1"/>
  <c r="X329" i="307"/>
  <c r="X332" i="307" s="1"/>
  <c r="X225" i="307"/>
  <c r="X215" i="307"/>
  <c r="X217" i="307" s="1"/>
  <c r="X600" i="307"/>
  <c r="X670" i="307"/>
  <c r="X226" i="307"/>
  <c r="X576" i="307"/>
  <c r="X544" i="307"/>
  <c r="W258" i="307"/>
  <c r="W260" i="307" s="1"/>
  <c r="X257" i="307" s="1"/>
  <c r="W645" i="307"/>
  <c r="W12" i="310"/>
  <c r="W285" i="307"/>
  <c r="W288" i="307" s="1"/>
  <c r="W650" i="307"/>
  <c r="W14" i="310"/>
  <c r="W135" i="288"/>
  <c r="W136" i="288" s="1"/>
  <c r="X577" i="307"/>
  <c r="X545" i="307"/>
  <c r="AJ610" i="321"/>
  <c r="AJ568" i="321"/>
  <c r="AJ609" i="321"/>
  <c r="AJ611" i="321" s="1"/>
  <c r="AJ560" i="321"/>
  <c r="AJ561" i="321" s="1"/>
  <c r="AJ63" i="265"/>
  <c r="W63" i="277" s="1"/>
  <c r="AJ605" i="321"/>
  <c r="AJ38" i="282"/>
  <c r="AJ104" i="282"/>
  <c r="AJ583" i="321"/>
  <c r="AJ36" i="282"/>
  <c r="AO178" i="278"/>
  <c r="AO180" i="278" s="1"/>
  <c r="AP171" i="278"/>
  <c r="AO109" i="265"/>
  <c r="AO253" i="278"/>
  <c r="AO255" i="278" s="1"/>
  <c r="AO258" i="278" s="1"/>
  <c r="AN267" i="278"/>
  <c r="AN556" i="321"/>
  <c r="AN559" i="321"/>
  <c r="AJ664" i="321"/>
  <c r="AI114" i="315"/>
  <c r="AN291" i="278"/>
  <c r="AN627" i="321"/>
  <c r="AN630" i="321"/>
  <c r="AP196" i="278"/>
  <c r="AO203" i="278"/>
  <c r="AO205" i="278" s="1"/>
  <c r="AO105" i="315"/>
  <c r="AO244" i="278" l="1"/>
  <c r="AO248" i="278" s="1"/>
  <c r="AO281" i="278"/>
  <c r="AO284" i="278" s="1"/>
  <c r="AP191" i="278"/>
  <c r="AP194" i="278" s="1"/>
  <c r="AP202" i="278"/>
  <c r="AJ643" i="321"/>
  <c r="AJ645" i="321" s="1"/>
  <c r="AJ651" i="321" s="1"/>
  <c r="AJ653" i="321" s="1"/>
  <c r="AJ657" i="321"/>
  <c r="AJ660" i="321" s="1"/>
  <c r="AJ616" i="321"/>
  <c r="AJ618" i="321" s="1"/>
  <c r="AJ626" i="321" s="1"/>
  <c r="AJ628" i="321" s="1"/>
  <c r="AJ634" i="321"/>
  <c r="AJ638" i="321" s="1"/>
  <c r="AP177" i="278"/>
  <c r="AP166" i="278"/>
  <c r="AP169" i="278" s="1"/>
  <c r="AO237" i="278"/>
  <c r="AO241" i="278" s="1"/>
  <c r="AJ23" i="265"/>
  <c r="W23" i="277" s="1"/>
  <c r="AJ60" i="265"/>
  <c r="W60" i="277" s="1"/>
  <c r="AJ25" i="265"/>
  <c r="W25" i="277" s="1"/>
  <c r="AJ62" i="265"/>
  <c r="W62" i="277" s="1"/>
  <c r="AK608" i="321"/>
  <c r="AJ118" i="265"/>
  <c r="W118" i="277" s="1"/>
  <c r="AJ64" i="265"/>
  <c r="W64" i="277" s="1"/>
  <c r="W138" i="288"/>
  <c r="W140" i="288" s="1"/>
  <c r="W56" i="288"/>
  <c r="W206" i="288"/>
  <c r="W16" i="310"/>
  <c r="X264" i="307"/>
  <c r="X265" i="307" s="1"/>
  <c r="X269" i="307" s="1"/>
  <c r="X271" i="307" s="1"/>
  <c r="X244" i="307"/>
  <c r="X245" i="307" s="1"/>
  <c r="X254" i="307" s="1"/>
  <c r="X546" i="307"/>
  <c r="X578" i="307"/>
  <c r="X81" i="307"/>
  <c r="X82" i="307" s="1"/>
  <c r="X124" i="307"/>
  <c r="X125" i="307" s="1"/>
  <c r="Y119" i="307" s="1"/>
  <c r="X227" i="307"/>
  <c r="X34" i="310"/>
  <c r="X640" i="307"/>
  <c r="X336" i="307"/>
  <c r="X338" i="307" s="1"/>
  <c r="Y335" i="307" s="1"/>
  <c r="X342" i="307"/>
  <c r="X635" i="307"/>
  <c r="X315" i="307"/>
  <c r="X317" i="307" s="1"/>
  <c r="Y314" i="307" s="1"/>
  <c r="X341" i="307"/>
  <c r="X343" i="307" s="1"/>
  <c r="X454" i="307" l="1"/>
  <c r="X455" i="307" s="1"/>
  <c r="X249" i="307"/>
  <c r="X630" i="307"/>
  <c r="X347" i="307"/>
  <c r="X349" i="307" s="1"/>
  <c r="Y346" i="307" s="1"/>
  <c r="X13" i="310"/>
  <c r="X134" i="288"/>
  <c r="Y305" i="307"/>
  <c r="Y306" i="307" s="1"/>
  <c r="Y309" i="307" s="1"/>
  <c r="Y378" i="307"/>
  <c r="Y380" i="307" s="1"/>
  <c r="Y384" i="307" s="1"/>
  <c r="Y385" i="307" s="1"/>
  <c r="Y414" i="307"/>
  <c r="Y416" i="307" s="1"/>
  <c r="Y326" i="307"/>
  <c r="Y327" i="307" s="1"/>
  <c r="Y330" i="307" s="1"/>
  <c r="Y390" i="307"/>
  <c r="Y392" i="307" s="1"/>
  <c r="Y396" i="307" s="1"/>
  <c r="Y397" i="307" s="1"/>
  <c r="Y427" i="307"/>
  <c r="Y429" i="307" s="1"/>
  <c r="Y213" i="307"/>
  <c r="Y148" i="307"/>
  <c r="Y129" i="307"/>
  <c r="Y131" i="307" s="1"/>
  <c r="Y135" i="307" s="1"/>
  <c r="Y138" i="307" s="1"/>
  <c r="Y142" i="307" s="1"/>
  <c r="Y145" i="307" s="1"/>
  <c r="Y147" i="307" s="1"/>
  <c r="Y176" i="307"/>
  <c r="Y179" i="307" s="1"/>
  <c r="Y184" i="307" s="1"/>
  <c r="Y187" i="307" s="1"/>
  <c r="X84" i="307"/>
  <c r="X86" i="307" s="1"/>
  <c r="X588" i="307"/>
  <c r="X27" i="307"/>
  <c r="X40" i="310"/>
  <c r="X587" i="307"/>
  <c r="X589" i="307" s="1"/>
  <c r="X26" i="307"/>
  <c r="X39" i="310"/>
  <c r="X595" i="307"/>
  <c r="X43" i="310"/>
  <c r="X30" i="307"/>
  <c r="W47" i="310"/>
  <c r="W58" i="310"/>
  <c r="W63" i="310"/>
  <c r="W145" i="288"/>
  <c r="AK539" i="321"/>
  <c r="AK541" i="321" s="1"/>
  <c r="AK555" i="321" s="1"/>
  <c r="AK557" i="321" s="1"/>
  <c r="AK572" i="321"/>
  <c r="AK574" i="321" s="1"/>
  <c r="AK580" i="321" s="1"/>
  <c r="AK582" i="321" s="1"/>
  <c r="AK563" i="321"/>
  <c r="AK567" i="321" s="1"/>
  <c r="AK601" i="321"/>
  <c r="AK604" i="321" s="1"/>
  <c r="AO564" i="321"/>
  <c r="AO550" i="321"/>
  <c r="AO553" i="321" s="1"/>
  <c r="AO262" i="278"/>
  <c r="AO263" i="278" s="1"/>
  <c r="AO544" i="321"/>
  <c r="AO546" i="321" s="1"/>
  <c r="AP173" i="278"/>
  <c r="AP174" i="278" s="1"/>
  <c r="AP41" i="265"/>
  <c r="Z41" i="277" s="1"/>
  <c r="AJ666" i="321"/>
  <c r="AJ639" i="321"/>
  <c r="AJ61" i="315"/>
  <c r="AJ665" i="321"/>
  <c r="AJ667" i="321" s="1"/>
  <c r="AJ631" i="321"/>
  <c r="AJ632" i="321" s="1"/>
  <c r="AJ106" i="282"/>
  <c r="AJ661" i="321"/>
  <c r="AJ654" i="321"/>
  <c r="AP39" i="315"/>
  <c r="AP198" i="278"/>
  <c r="AP199" i="278" s="1"/>
  <c r="AO286" i="278"/>
  <c r="AO287" i="278" s="1"/>
  <c r="AO635" i="321"/>
  <c r="AO621" i="321"/>
  <c r="AO624" i="321" s="1"/>
  <c r="AO627" i="321" l="1"/>
  <c r="AO630" i="321"/>
  <c r="AO291" i="278"/>
  <c r="AQ196" i="278"/>
  <c r="AP203" i="278"/>
  <c r="AP205" i="278" s="1"/>
  <c r="AP105" i="315"/>
  <c r="AJ58" i="315"/>
  <c r="AJ21" i="315"/>
  <c r="AJ60" i="315"/>
  <c r="AJ23" i="315"/>
  <c r="AJ114" i="315"/>
  <c r="AK664" i="321"/>
  <c r="AJ62" i="315"/>
  <c r="AP178" i="278"/>
  <c r="AP180" i="278" s="1"/>
  <c r="AQ171" i="278"/>
  <c r="AP109" i="265"/>
  <c r="Z109" i="277" s="1"/>
  <c r="AP253" i="278"/>
  <c r="AP255" i="278" s="1"/>
  <c r="AP258" i="278" s="1"/>
  <c r="AO267" i="278"/>
  <c r="AO556" i="321"/>
  <c r="AO559" i="321"/>
  <c r="AK605" i="321"/>
  <c r="AK38" i="282"/>
  <c r="AK610" i="321"/>
  <c r="AK568" i="321"/>
  <c r="AK104" i="282"/>
  <c r="AK583" i="321"/>
  <c r="AK36" i="282"/>
  <c r="AK609" i="321"/>
  <c r="AK611" i="321" s="1"/>
  <c r="AK63" i="265"/>
  <c r="AK560" i="321"/>
  <c r="AK561" i="321" s="1"/>
  <c r="X591" i="307"/>
  <c r="X596" i="307" s="1"/>
  <c r="X139" i="288"/>
  <c r="X89" i="307"/>
  <c r="X90" i="307" s="1"/>
  <c r="Y88" i="307" s="1"/>
  <c r="X675" i="307"/>
  <c r="X625" i="307"/>
  <c r="X284" i="307"/>
  <c r="X10" i="310"/>
  <c r="Y193" i="307"/>
  <c r="Y190" i="307"/>
  <c r="Y191" i="307" s="1"/>
  <c r="Y150" i="307"/>
  <c r="Y433" i="307"/>
  <c r="Y401" i="307"/>
  <c r="Y432" i="307"/>
  <c r="Y434" i="307" s="1"/>
  <c r="Y400" i="307"/>
  <c r="Y402" i="307" s="1"/>
  <c r="X464" i="307"/>
  <c r="X465" i="307" s="1"/>
  <c r="X484" i="307"/>
  <c r="X485" i="307" s="1"/>
  <c r="X487" i="307" l="1"/>
  <c r="X489" i="307" s="1"/>
  <c r="X467" i="307"/>
  <c r="X469" i="307" s="1"/>
  <c r="Y584" i="307"/>
  <c r="Y36" i="310"/>
  <c r="Y23" i="307"/>
  <c r="Y585" i="307"/>
  <c r="Y24" i="307"/>
  <c r="Y37" i="310"/>
  <c r="Y156" i="307"/>
  <c r="Y153" i="307"/>
  <c r="Y154" i="307" s="1"/>
  <c r="Y194" i="307"/>
  <c r="Y593" i="307"/>
  <c r="Y20" i="307"/>
  <c r="Y200" i="307"/>
  <c r="Y32" i="310"/>
  <c r="Y195" i="307"/>
  <c r="Y72" i="307"/>
  <c r="Y75" i="307" s="1"/>
  <c r="Y78" i="307" s="1"/>
  <c r="Y79" i="307" s="1"/>
  <c r="X599" i="307"/>
  <c r="X601" i="307" s="1"/>
  <c r="X609" i="307"/>
  <c r="AL608" i="321"/>
  <c r="AK118" i="265"/>
  <c r="AK23" i="265"/>
  <c r="AK60" i="265"/>
  <c r="AK64" i="265"/>
  <c r="AK25" i="265"/>
  <c r="AK62" i="265"/>
  <c r="AQ166" i="278"/>
  <c r="AQ169" i="278" s="1"/>
  <c r="AQ177" i="278"/>
  <c r="AP237" i="278"/>
  <c r="AP241" i="278" s="1"/>
  <c r="AK634" i="321"/>
  <c r="AK638" i="321" s="1"/>
  <c r="AK657" i="321"/>
  <c r="AK660" i="321" s="1"/>
  <c r="AK643" i="321"/>
  <c r="AK645" i="321" s="1"/>
  <c r="AK651" i="321" s="1"/>
  <c r="AK653" i="321" s="1"/>
  <c r="AK616" i="321"/>
  <c r="AK618" i="321" s="1"/>
  <c r="AK626" i="321" s="1"/>
  <c r="AK628" i="321" s="1"/>
  <c r="AP281" i="278"/>
  <c r="AP284" i="278" s="1"/>
  <c r="AP244" i="278"/>
  <c r="AP248" i="278" s="1"/>
  <c r="AQ202" i="278"/>
  <c r="AQ191" i="278"/>
  <c r="AQ194" i="278" s="1"/>
  <c r="AQ39" i="315" l="1"/>
  <c r="AQ198" i="278"/>
  <c r="AQ199" i="278" s="1"/>
  <c r="AP621" i="321"/>
  <c r="AP624" i="321" s="1"/>
  <c r="AP635" i="321"/>
  <c r="AP286" i="278"/>
  <c r="AP287" i="278" s="1"/>
  <c r="AK631" i="321"/>
  <c r="AK632" i="321" s="1"/>
  <c r="AK61" i="315"/>
  <c r="AK665" i="321"/>
  <c r="AK654" i="321"/>
  <c r="AK106" i="282"/>
  <c r="AK661" i="321"/>
  <c r="AK639" i="321"/>
  <c r="AK666" i="321"/>
  <c r="AP564" i="321"/>
  <c r="AP550" i="321"/>
  <c r="AP553" i="321" s="1"/>
  <c r="AP262" i="278"/>
  <c r="AP263" i="278" s="1"/>
  <c r="AP544" i="321"/>
  <c r="AP546" i="321" s="1"/>
  <c r="AQ41" i="265"/>
  <c r="AQ173" i="278"/>
  <c r="AQ174" i="278" s="1"/>
  <c r="AL563" i="321"/>
  <c r="AL567" i="321" s="1"/>
  <c r="AL572" i="321"/>
  <c r="AL574" i="321" s="1"/>
  <c r="AL580" i="321" s="1"/>
  <c r="AL582" i="321" s="1"/>
  <c r="AL601" i="321"/>
  <c r="AL604" i="321" s="1"/>
  <c r="AL539" i="321"/>
  <c r="AL541" i="321" s="1"/>
  <c r="AL555" i="321" s="1"/>
  <c r="AL557" i="321" s="1"/>
  <c r="X615" i="307"/>
  <c r="Y294" i="307"/>
  <c r="Y296" i="307" s="1"/>
  <c r="Y85" i="307"/>
  <c r="Y453" i="307"/>
  <c r="Y248" i="307"/>
  <c r="Y207" i="307"/>
  <c r="Y123" i="307"/>
  <c r="Y157" i="307"/>
  <c r="Y594" i="307"/>
  <c r="Y21" i="307"/>
  <c r="Y198" i="307"/>
  <c r="Y201" i="307" s="1"/>
  <c r="Y33" i="310"/>
  <c r="Y158" i="307"/>
  <c r="X473" i="307"/>
  <c r="X475" i="307" s="1"/>
  <c r="Y472" i="307" s="1"/>
  <c r="X250" i="307"/>
  <c r="X251" i="307" s="1"/>
  <c r="X655" i="307"/>
  <c r="X498" i="307"/>
  <c r="X493" i="307"/>
  <c r="X495" i="307" s="1"/>
  <c r="Y492" i="307" s="1"/>
  <c r="X660" i="307"/>
  <c r="X499" i="307"/>
  <c r="Y534" i="307" l="1"/>
  <c r="Y536" i="307" s="1"/>
  <c r="Y540" i="307" s="1"/>
  <c r="Y541" i="307" s="1"/>
  <c r="Y571" i="307"/>
  <c r="Y573" i="307" s="1"/>
  <c r="Y480" i="307"/>
  <c r="Y481" i="307" s="1"/>
  <c r="Y488" i="307" s="1"/>
  <c r="X500" i="307"/>
  <c r="X253" i="307"/>
  <c r="X255" i="307" s="1"/>
  <c r="Y523" i="307"/>
  <c r="Y525" i="307" s="1"/>
  <c r="Y529" i="307" s="1"/>
  <c r="Y530" i="307" s="1"/>
  <c r="Y558" i="307"/>
  <c r="Y560" i="307" s="1"/>
  <c r="Y460" i="307"/>
  <c r="Y461" i="307" s="1"/>
  <c r="Y468" i="307" s="1"/>
  <c r="Y205" i="307"/>
  <c r="Y208" i="307" s="1"/>
  <c r="Y121" i="307"/>
  <c r="Y224" i="307"/>
  <c r="Y202" i="307"/>
  <c r="Y321" i="307"/>
  <c r="Y322" i="307" s="1"/>
  <c r="Y300" i="307"/>
  <c r="Y301" i="307" s="1"/>
  <c r="AL609" i="321"/>
  <c r="AL560" i="321"/>
  <c r="AL561" i="321" s="1"/>
  <c r="AL63" i="265"/>
  <c r="X63" i="277" s="1"/>
  <c r="AL605" i="321"/>
  <c r="AL38" i="282"/>
  <c r="AL104" i="282"/>
  <c r="AL583" i="321"/>
  <c r="AL36" i="282"/>
  <c r="AL610" i="321"/>
  <c r="AL568" i="321"/>
  <c r="AQ178" i="278"/>
  <c r="AQ180" i="278" s="1"/>
  <c r="AR171" i="278"/>
  <c r="AQ109" i="265"/>
  <c r="AQ253" i="278"/>
  <c r="AQ255" i="278" s="1"/>
  <c r="AQ258" i="278" s="1"/>
  <c r="AP267" i="278"/>
  <c r="AP556" i="321"/>
  <c r="AP559" i="321"/>
  <c r="AK62" i="315"/>
  <c r="AK60" i="315"/>
  <c r="AK23" i="315"/>
  <c r="AK58" i="315"/>
  <c r="AK21" i="315"/>
  <c r="AK667" i="321"/>
  <c r="AP291" i="278"/>
  <c r="AP627" i="321"/>
  <c r="AP630" i="321"/>
  <c r="AR196" i="278"/>
  <c r="AQ203" i="278"/>
  <c r="AQ205" i="278" s="1"/>
  <c r="AQ105" i="315"/>
  <c r="AQ281" i="278" l="1"/>
  <c r="AQ284" i="278" s="1"/>
  <c r="AQ244" i="278"/>
  <c r="AQ248" i="278" s="1"/>
  <c r="AR202" i="278"/>
  <c r="AR191" i="278"/>
  <c r="AR194" i="278" s="1"/>
  <c r="AL664" i="321"/>
  <c r="AK114" i="315"/>
  <c r="AR166" i="278"/>
  <c r="AR169" i="278" s="1"/>
  <c r="AR177" i="278"/>
  <c r="AQ237" i="278"/>
  <c r="AQ241" i="278" s="1"/>
  <c r="AL64" i="265"/>
  <c r="X64" i="277" s="1"/>
  <c r="AL23" i="265"/>
  <c r="X23" i="277" s="1"/>
  <c r="AL60" i="265"/>
  <c r="X60" i="277" s="1"/>
  <c r="AL25" i="265"/>
  <c r="X25" i="277" s="1"/>
  <c r="AL62" i="265"/>
  <c r="X62" i="277" s="1"/>
  <c r="AL611" i="321"/>
  <c r="Y308" i="307"/>
  <c r="Y311" i="307" s="1"/>
  <c r="Y329" i="307"/>
  <c r="Y332" i="307" s="1"/>
  <c r="Y225" i="307"/>
  <c r="Y215" i="307"/>
  <c r="Y217" i="307" s="1"/>
  <c r="Y600" i="307"/>
  <c r="Y670" i="307"/>
  <c r="Y226" i="307"/>
  <c r="Y576" i="307"/>
  <c r="Y544" i="307"/>
  <c r="X258" i="307"/>
  <c r="X260" i="307" s="1"/>
  <c r="Y257" i="307" s="1"/>
  <c r="X645" i="307"/>
  <c r="X12" i="310"/>
  <c r="X285" i="307"/>
  <c r="X288" i="307" s="1"/>
  <c r="X650" i="307"/>
  <c r="X14" i="310"/>
  <c r="X135" i="288"/>
  <c r="X136" i="288" s="1"/>
  <c r="Y577" i="307"/>
  <c r="Y545" i="307"/>
  <c r="X138" i="288" l="1"/>
  <c r="X140" i="288" s="1"/>
  <c r="X206" i="288"/>
  <c r="X56" i="288"/>
  <c r="X16" i="310"/>
  <c r="Y264" i="307"/>
  <c r="Y265" i="307" s="1"/>
  <c r="Y269" i="307" s="1"/>
  <c r="Y271" i="307" s="1"/>
  <c r="Y244" i="307"/>
  <c r="Y245" i="307" s="1"/>
  <c r="Y254" i="307" s="1"/>
  <c r="Y546" i="307"/>
  <c r="Y578" i="307"/>
  <c r="Y81" i="307"/>
  <c r="Y82" i="307" s="1"/>
  <c r="Y124" i="307"/>
  <c r="Y125" i="307" s="1"/>
  <c r="Z119" i="307" s="1"/>
  <c r="Y227" i="307"/>
  <c r="Y34" i="310"/>
  <c r="Y640" i="307"/>
  <c r="Y336" i="307"/>
  <c r="Y338" i="307" s="1"/>
  <c r="Z335" i="307" s="1"/>
  <c r="Y342" i="307"/>
  <c r="Y635" i="307"/>
  <c r="Y315" i="307"/>
  <c r="Y317" i="307" s="1"/>
  <c r="Z314" i="307" s="1"/>
  <c r="Y341" i="307"/>
  <c r="Y343" i="307" s="1"/>
  <c r="AM608" i="321"/>
  <c r="AL118" i="265"/>
  <c r="X118" i="277" s="1"/>
  <c r="AQ564" i="321"/>
  <c r="AQ544" i="321"/>
  <c r="AQ546" i="321" s="1"/>
  <c r="AQ262" i="278"/>
  <c r="AQ263" i="278" s="1"/>
  <c r="AQ550" i="321"/>
  <c r="AQ553" i="321" s="1"/>
  <c r="AR41" i="265"/>
  <c r="AA41" i="277" s="1"/>
  <c r="AR173" i="278"/>
  <c r="AR174" i="278" s="1"/>
  <c r="AL634" i="321"/>
  <c r="AL638" i="321" s="1"/>
  <c r="AL643" i="321"/>
  <c r="AL645" i="321" s="1"/>
  <c r="AL651" i="321" s="1"/>
  <c r="AL653" i="321" s="1"/>
  <c r="AL657" i="321"/>
  <c r="AL660" i="321" s="1"/>
  <c r="AL616" i="321"/>
  <c r="AL618" i="321" s="1"/>
  <c r="AL626" i="321" s="1"/>
  <c r="AL628" i="321" s="1"/>
  <c r="AR198" i="278"/>
  <c r="AR199" i="278" s="1"/>
  <c r="AR39" i="315"/>
  <c r="AQ635" i="321"/>
  <c r="AQ621" i="321"/>
  <c r="AQ624" i="321" s="1"/>
  <c r="AQ286" i="278"/>
  <c r="AQ287" i="278" s="1"/>
  <c r="AQ291" i="278" l="1"/>
  <c r="AQ627" i="321"/>
  <c r="AQ630" i="321"/>
  <c r="AS196" i="278"/>
  <c r="AR203" i="278"/>
  <c r="AR205" i="278" s="1"/>
  <c r="AR105" i="315"/>
  <c r="AL665" i="321"/>
  <c r="AL61" i="315"/>
  <c r="AL631" i="321"/>
  <c r="AL632" i="321" s="1"/>
  <c r="AL106" i="282"/>
  <c r="AL661" i="321"/>
  <c r="AL654" i="321"/>
  <c r="AL639" i="321"/>
  <c r="AL666" i="321"/>
  <c r="AR178" i="278"/>
  <c r="AR180" i="278" s="1"/>
  <c r="AS171" i="278"/>
  <c r="AR109" i="265"/>
  <c r="AA109" i="277" s="1"/>
  <c r="AR253" i="278"/>
  <c r="AR255" i="278" s="1"/>
  <c r="AR258" i="278" s="1"/>
  <c r="AQ556" i="321"/>
  <c r="AQ559" i="321"/>
  <c r="AQ267" i="278"/>
  <c r="AM601" i="321"/>
  <c r="AM604" i="321" s="1"/>
  <c r="AM539" i="321"/>
  <c r="AM541" i="321" s="1"/>
  <c r="AM555" i="321" s="1"/>
  <c r="AM557" i="321" s="1"/>
  <c r="AM572" i="321"/>
  <c r="AM574" i="321" s="1"/>
  <c r="AM580" i="321" s="1"/>
  <c r="AM582" i="321" s="1"/>
  <c r="AM563" i="321"/>
  <c r="AM567" i="321" s="1"/>
  <c r="Y454" i="307"/>
  <c r="Y455" i="307" s="1"/>
  <c r="Y249" i="307"/>
  <c r="Y630" i="307"/>
  <c r="Y13" i="310"/>
  <c r="Y347" i="307"/>
  <c r="Y349" i="307" s="1"/>
  <c r="Z346" i="307" s="1"/>
  <c r="Y134" i="288"/>
  <c r="Z305" i="307"/>
  <c r="Z306" i="307" s="1"/>
  <c r="Z309" i="307" s="1"/>
  <c r="Z378" i="307"/>
  <c r="Z380" i="307" s="1"/>
  <c r="Z384" i="307" s="1"/>
  <c r="Z385" i="307" s="1"/>
  <c r="Z414" i="307"/>
  <c r="Z416" i="307" s="1"/>
  <c r="Z326" i="307"/>
  <c r="Z327" i="307" s="1"/>
  <c r="Z330" i="307" s="1"/>
  <c r="Z390" i="307"/>
  <c r="Z392" i="307" s="1"/>
  <c r="Z396" i="307" s="1"/>
  <c r="Z397" i="307" s="1"/>
  <c r="Z427" i="307"/>
  <c r="Z429" i="307" s="1"/>
  <c r="Z213" i="307"/>
  <c r="Z148" i="307"/>
  <c r="Z129" i="307"/>
  <c r="Z131" i="307" s="1"/>
  <c r="Z135" i="307" s="1"/>
  <c r="Z138" i="307" s="1"/>
  <c r="Z142" i="307" s="1"/>
  <c r="Z145" i="307" s="1"/>
  <c r="Z147" i="307" s="1"/>
  <c r="Z176" i="307"/>
  <c r="Z179" i="307" s="1"/>
  <c r="Z184" i="307" s="1"/>
  <c r="Z187" i="307" s="1"/>
  <c r="Y84" i="307"/>
  <c r="Y86" i="307" s="1"/>
  <c r="Y588" i="307"/>
  <c r="Y40" i="310"/>
  <c r="Y27" i="307"/>
  <c r="Y587" i="307"/>
  <c r="Y589" i="307" s="1"/>
  <c r="Y26" i="307"/>
  <c r="Y39" i="310"/>
  <c r="Y595" i="307"/>
  <c r="Y30" i="307"/>
  <c r="Y43" i="310"/>
  <c r="X63" i="310"/>
  <c r="X47" i="310"/>
  <c r="X58" i="310"/>
  <c r="X145" i="288"/>
  <c r="Y591" i="307" l="1"/>
  <c r="Y596" i="307" s="1"/>
  <c r="Y139" i="288"/>
  <c r="Y89" i="307"/>
  <c r="Y90" i="307" s="1"/>
  <c r="Z88" i="307" s="1"/>
  <c r="Y675" i="307"/>
  <c r="Y625" i="307"/>
  <c r="Y10" i="310"/>
  <c r="Y284" i="307"/>
  <c r="Z193" i="307"/>
  <c r="Z190" i="307"/>
  <c r="Z191" i="307" s="1"/>
  <c r="Z150" i="307"/>
  <c r="Z433" i="307"/>
  <c r="Z401" i="307"/>
  <c r="Z432" i="307"/>
  <c r="Z434" i="307" s="1"/>
  <c r="Z400" i="307"/>
  <c r="Z402" i="307" s="1"/>
  <c r="Y464" i="307"/>
  <c r="Y465" i="307" s="1"/>
  <c r="Y484" i="307"/>
  <c r="Y485" i="307" s="1"/>
  <c r="AM610" i="321"/>
  <c r="AM568" i="321"/>
  <c r="AM104" i="282"/>
  <c r="AM583" i="321"/>
  <c r="AM36" i="282"/>
  <c r="AM609" i="321"/>
  <c r="AM611" i="321" s="1"/>
  <c r="AM560" i="321"/>
  <c r="AM561" i="321" s="1"/>
  <c r="AM63" i="265"/>
  <c r="AM605" i="321"/>
  <c r="AM38" i="282"/>
  <c r="AS177" i="278"/>
  <c r="AS166" i="278"/>
  <c r="AS169" i="278" s="1"/>
  <c r="AR237" i="278"/>
  <c r="AR241" i="278" s="1"/>
  <c r="AL62" i="315"/>
  <c r="AL58" i="315"/>
  <c r="AL21" i="315"/>
  <c r="AL23" i="315"/>
  <c r="AL60" i="315"/>
  <c r="AL667" i="321"/>
  <c r="AR281" i="278"/>
  <c r="AR284" i="278" s="1"/>
  <c r="AR244" i="278"/>
  <c r="AR248" i="278" s="1"/>
  <c r="AS202" i="278"/>
  <c r="AS191" i="278"/>
  <c r="AS194" i="278" s="1"/>
  <c r="AS198" i="278" l="1"/>
  <c r="AS199" i="278" s="1"/>
  <c r="AS39" i="315"/>
  <c r="AR635" i="321"/>
  <c r="AR621" i="321"/>
  <c r="AR624" i="321" s="1"/>
  <c r="AR286" i="278"/>
  <c r="AR287" i="278" s="1"/>
  <c r="AM664" i="321"/>
  <c r="AL114" i="315"/>
  <c r="AR564" i="321"/>
  <c r="AR550" i="321"/>
  <c r="AR553" i="321" s="1"/>
  <c r="AR262" i="278"/>
  <c r="AR263" i="278" s="1"/>
  <c r="AR544" i="321"/>
  <c r="AR546" i="321" s="1"/>
  <c r="AS41" i="265"/>
  <c r="AS173" i="278"/>
  <c r="AS174" i="278" s="1"/>
  <c r="AM25" i="265"/>
  <c r="AM62" i="265"/>
  <c r="AN608" i="321"/>
  <c r="AM118" i="265"/>
  <c r="AM23" i="265"/>
  <c r="AM60" i="265"/>
  <c r="AM64" i="265"/>
  <c r="Y487" i="307"/>
  <c r="Y489" i="307" s="1"/>
  <c r="Y467" i="307"/>
  <c r="Y469" i="307" s="1"/>
  <c r="Z584" i="307"/>
  <c r="Z36" i="310"/>
  <c r="Z23" i="307"/>
  <c r="Z585" i="307"/>
  <c r="Z37" i="310"/>
  <c r="Z24" i="307"/>
  <c r="Z156" i="307"/>
  <c r="Z153" i="307"/>
  <c r="Z154" i="307" s="1"/>
  <c r="Z194" i="307"/>
  <c r="Z593" i="307"/>
  <c r="Z20" i="307"/>
  <c r="Z200" i="307"/>
  <c r="Z32" i="310"/>
  <c r="Z195" i="307"/>
  <c r="Z72" i="307"/>
  <c r="Z75" i="307" s="1"/>
  <c r="Z78" i="307" s="1"/>
  <c r="Z79" i="307" s="1"/>
  <c r="Y599" i="307"/>
  <c r="Y601" i="307" s="1"/>
  <c r="Y609" i="307"/>
  <c r="Y615" i="307" l="1"/>
  <c r="Z294" i="307"/>
  <c r="Z296" i="307" s="1"/>
  <c r="Z85" i="307"/>
  <c r="Z453" i="307"/>
  <c r="Z248" i="307"/>
  <c r="Z207" i="307"/>
  <c r="Z123" i="307"/>
  <c r="Z157" i="307"/>
  <c r="Z594" i="307"/>
  <c r="Z33" i="310"/>
  <c r="Z21" i="307"/>
  <c r="Z198" i="307"/>
  <c r="Z201" i="307" s="1"/>
  <c r="Z158" i="307"/>
  <c r="Y473" i="307"/>
  <c r="Y475" i="307" s="1"/>
  <c r="Z472" i="307" s="1"/>
  <c r="Y250" i="307"/>
  <c r="Y251" i="307" s="1"/>
  <c r="Y655" i="307"/>
  <c r="Y498" i="307"/>
  <c r="Y493" i="307"/>
  <c r="Y495" i="307" s="1"/>
  <c r="Z492" i="307" s="1"/>
  <c r="Y660" i="307"/>
  <c r="Y499" i="307"/>
  <c r="AN563" i="321"/>
  <c r="AN567" i="321" s="1"/>
  <c r="AN572" i="321"/>
  <c r="AN574" i="321" s="1"/>
  <c r="AN580" i="321" s="1"/>
  <c r="AN582" i="321" s="1"/>
  <c r="AN601" i="321"/>
  <c r="AN604" i="321" s="1"/>
  <c r="AN539" i="321"/>
  <c r="AN541" i="321" s="1"/>
  <c r="AN555" i="321" s="1"/>
  <c r="AN557" i="321" s="1"/>
  <c r="AS178" i="278"/>
  <c r="AS180" i="278" s="1"/>
  <c r="AT171" i="278"/>
  <c r="AS109" i="265"/>
  <c r="AS253" i="278"/>
  <c r="AS255" i="278" s="1"/>
  <c r="AS258" i="278" s="1"/>
  <c r="AR267" i="278"/>
  <c r="AR556" i="321"/>
  <c r="AR559" i="321"/>
  <c r="AM643" i="321"/>
  <c r="AM645" i="321" s="1"/>
  <c r="AM651" i="321" s="1"/>
  <c r="AM653" i="321" s="1"/>
  <c r="AM657" i="321"/>
  <c r="AM660" i="321" s="1"/>
  <c r="AM616" i="321"/>
  <c r="AM618" i="321" s="1"/>
  <c r="AM626" i="321" s="1"/>
  <c r="AM628" i="321" s="1"/>
  <c r="AM634" i="321"/>
  <c r="AM638" i="321" s="1"/>
  <c r="AR291" i="278"/>
  <c r="AR627" i="321"/>
  <c r="AR630" i="321"/>
  <c r="AT196" i="278"/>
  <c r="AS203" i="278"/>
  <c r="AS205" i="278" s="1"/>
  <c r="AS105" i="315"/>
  <c r="AS244" i="278" l="1"/>
  <c r="AS248" i="278" s="1"/>
  <c r="AS281" i="278"/>
  <c r="AS284" i="278" s="1"/>
  <c r="AT191" i="278"/>
  <c r="AT194" i="278" s="1"/>
  <c r="AT202" i="278"/>
  <c r="AM666" i="321"/>
  <c r="AM639" i="321"/>
  <c r="AM665" i="321"/>
  <c r="AM667" i="321" s="1"/>
  <c r="AM61" i="315"/>
  <c r="AM631" i="321"/>
  <c r="AM632" i="321" s="1"/>
  <c r="AM106" i="282"/>
  <c r="AM661" i="321"/>
  <c r="AM654" i="321"/>
  <c r="AT166" i="278"/>
  <c r="AT169" i="278" s="1"/>
  <c r="AT177" i="278"/>
  <c r="AS237" i="278"/>
  <c r="AS241" i="278" s="1"/>
  <c r="AN609" i="321"/>
  <c r="AN560" i="321"/>
  <c r="AN561" i="321" s="1"/>
  <c r="AN63" i="265"/>
  <c r="Y63" i="277" s="1"/>
  <c r="AN605" i="321"/>
  <c r="AN38" i="282"/>
  <c r="AN104" i="282"/>
  <c r="AN583" i="321"/>
  <c r="AN36" i="282"/>
  <c r="AN610" i="321"/>
  <c r="AN568" i="321"/>
  <c r="Z534" i="307"/>
  <c r="Z536" i="307" s="1"/>
  <c r="Z540" i="307" s="1"/>
  <c r="Z541" i="307" s="1"/>
  <c r="Z571" i="307"/>
  <c r="Z573" i="307" s="1"/>
  <c r="Z480" i="307"/>
  <c r="Z481" i="307" s="1"/>
  <c r="Z488" i="307" s="1"/>
  <c r="Y500" i="307"/>
  <c r="Y253" i="307"/>
  <c r="Y255" i="307" s="1"/>
  <c r="Z523" i="307"/>
  <c r="Z525" i="307" s="1"/>
  <c r="Z529" i="307" s="1"/>
  <c r="Z530" i="307" s="1"/>
  <c r="Z558" i="307"/>
  <c r="Z560" i="307" s="1"/>
  <c r="Z460" i="307"/>
  <c r="Z461" i="307" s="1"/>
  <c r="Z468" i="307" s="1"/>
  <c r="Z205" i="307"/>
  <c r="Z208" i="307" s="1"/>
  <c r="Z121" i="307"/>
  <c r="Z202" i="307"/>
  <c r="Z224" i="307"/>
  <c r="Z321" i="307"/>
  <c r="Z322" i="307" s="1"/>
  <c r="Z300" i="307"/>
  <c r="Z301" i="307" s="1"/>
  <c r="Z308" i="307" l="1"/>
  <c r="Z311" i="307" s="1"/>
  <c r="Z329" i="307"/>
  <c r="Z332" i="307" s="1"/>
  <c r="Z225" i="307"/>
  <c r="Z215" i="307"/>
  <c r="Z217" i="307" s="1"/>
  <c r="Z600" i="307"/>
  <c r="Z670" i="307"/>
  <c r="Z226" i="307"/>
  <c r="Z576" i="307"/>
  <c r="Z544" i="307"/>
  <c r="Y258" i="307"/>
  <c r="Y260" i="307" s="1"/>
  <c r="Z257" i="307" s="1"/>
  <c r="Y645" i="307"/>
  <c r="Y12" i="310"/>
  <c r="Y285" i="307"/>
  <c r="Y288" i="307" s="1"/>
  <c r="Y650" i="307"/>
  <c r="Y14" i="310"/>
  <c r="Y135" i="288"/>
  <c r="Y136" i="288" s="1"/>
  <c r="Z577" i="307"/>
  <c r="Z545" i="307"/>
  <c r="AN64" i="265"/>
  <c r="Y64" i="277" s="1"/>
  <c r="AN23" i="265"/>
  <c r="Y23" i="277" s="1"/>
  <c r="AN60" i="265"/>
  <c r="Y60" i="277" s="1"/>
  <c r="AN25" i="265"/>
  <c r="Y25" i="277" s="1"/>
  <c r="AN62" i="265"/>
  <c r="Y62" i="277" s="1"/>
  <c r="AN611" i="321"/>
  <c r="AS564" i="321"/>
  <c r="AS550" i="321"/>
  <c r="AS553" i="321" s="1"/>
  <c r="AS262" i="278"/>
  <c r="AS263" i="278" s="1"/>
  <c r="AS544" i="321"/>
  <c r="AS546" i="321" s="1"/>
  <c r="AT173" i="278"/>
  <c r="AT174" i="278" s="1"/>
  <c r="AT41" i="265"/>
  <c r="AB41" i="277" s="1"/>
  <c r="AM58" i="315"/>
  <c r="AM21" i="315"/>
  <c r="AM23" i="315"/>
  <c r="AM60" i="315"/>
  <c r="AN664" i="321"/>
  <c r="AM114" i="315"/>
  <c r="AM62" i="315"/>
  <c r="AT198" i="278"/>
  <c r="AT199" i="278" s="1"/>
  <c r="AT39" i="315"/>
  <c r="AS286" i="278"/>
  <c r="AS287" i="278" s="1"/>
  <c r="AS635" i="321"/>
  <c r="AS621" i="321"/>
  <c r="AS624" i="321" s="1"/>
  <c r="AS627" i="321" l="1"/>
  <c r="AS630" i="321"/>
  <c r="AS291" i="278"/>
  <c r="AU196" i="278"/>
  <c r="AT203" i="278"/>
  <c r="AT205" i="278" s="1"/>
  <c r="AT105" i="315"/>
  <c r="AN643" i="321"/>
  <c r="AN645" i="321" s="1"/>
  <c r="AN651" i="321" s="1"/>
  <c r="AN653" i="321" s="1"/>
  <c r="AN657" i="321"/>
  <c r="AN660" i="321" s="1"/>
  <c r="AN616" i="321"/>
  <c r="AN618" i="321" s="1"/>
  <c r="AN626" i="321" s="1"/>
  <c r="AN628" i="321" s="1"/>
  <c r="AN634" i="321"/>
  <c r="AN638" i="321" s="1"/>
  <c r="AT178" i="278"/>
  <c r="AT180" i="278" s="1"/>
  <c r="AU171" i="278"/>
  <c r="AT109" i="265"/>
  <c r="AB109" i="277" s="1"/>
  <c r="AT253" i="278"/>
  <c r="AT255" i="278" s="1"/>
  <c r="AT258" i="278" s="1"/>
  <c r="AS267" i="278"/>
  <c r="AS556" i="321"/>
  <c r="AS559" i="321"/>
  <c r="AN118" i="265"/>
  <c r="Y118" i="277" s="1"/>
  <c r="AO608" i="321"/>
  <c r="Y138" i="288"/>
  <c r="Y140" i="288" s="1"/>
  <c r="Y206" i="288"/>
  <c r="Y56" i="288"/>
  <c r="Y16" i="310"/>
  <c r="Z264" i="307"/>
  <c r="Z265" i="307" s="1"/>
  <c r="Z269" i="307" s="1"/>
  <c r="Z271" i="307" s="1"/>
  <c r="Z244" i="307"/>
  <c r="Z245" i="307" s="1"/>
  <c r="Z254" i="307" s="1"/>
  <c r="Z546" i="307"/>
  <c r="Z578" i="307"/>
  <c r="Z81" i="307"/>
  <c r="Z82" i="307" s="1"/>
  <c r="Z124" i="307"/>
  <c r="Z125" i="307" s="1"/>
  <c r="AA119" i="307" s="1"/>
  <c r="Z227" i="307"/>
  <c r="Z34" i="310"/>
  <c r="Z640" i="307"/>
  <c r="Z336" i="307"/>
  <c r="Z338" i="307" s="1"/>
  <c r="AA335" i="307" s="1"/>
  <c r="Z342" i="307"/>
  <c r="Z635" i="307"/>
  <c r="Z315" i="307"/>
  <c r="Z317" i="307" s="1"/>
  <c r="AA314" i="307" s="1"/>
  <c r="Z341" i="307"/>
  <c r="Z343" i="307" s="1"/>
  <c r="Z454" i="307" l="1"/>
  <c r="Z455" i="307" s="1"/>
  <c r="Z249" i="307"/>
  <c r="Z630" i="307"/>
  <c r="Z13" i="310"/>
  <c r="Z347" i="307"/>
  <c r="Z349" i="307" s="1"/>
  <c r="AA346" i="307" s="1"/>
  <c r="Z134" i="288"/>
  <c r="AA305" i="307"/>
  <c r="AA306" i="307" s="1"/>
  <c r="AA309" i="307" s="1"/>
  <c r="AA378" i="307"/>
  <c r="AA380" i="307" s="1"/>
  <c r="AA384" i="307" s="1"/>
  <c r="AA385" i="307" s="1"/>
  <c r="AA414" i="307"/>
  <c r="AA416" i="307" s="1"/>
  <c r="AA326" i="307"/>
  <c r="AA327" i="307" s="1"/>
  <c r="AA330" i="307" s="1"/>
  <c r="AA390" i="307"/>
  <c r="AA392" i="307" s="1"/>
  <c r="AA396" i="307" s="1"/>
  <c r="AA397" i="307" s="1"/>
  <c r="AA427" i="307"/>
  <c r="AA429" i="307" s="1"/>
  <c r="AA213" i="307"/>
  <c r="AA148" i="307"/>
  <c r="AA129" i="307"/>
  <c r="AA131" i="307" s="1"/>
  <c r="AA135" i="307" s="1"/>
  <c r="AA138" i="307" s="1"/>
  <c r="AA142" i="307" s="1"/>
  <c r="AA145" i="307" s="1"/>
  <c r="AA147" i="307" s="1"/>
  <c r="AA176" i="307"/>
  <c r="AA179" i="307" s="1"/>
  <c r="AA184" i="307" s="1"/>
  <c r="AA187" i="307" s="1"/>
  <c r="Z84" i="307"/>
  <c r="Z86" i="307" s="1"/>
  <c r="Z588" i="307"/>
  <c r="Z40" i="310"/>
  <c r="Z27" i="307"/>
  <c r="Z587" i="307"/>
  <c r="Z589" i="307" s="1"/>
  <c r="Z26" i="307"/>
  <c r="Z39" i="310"/>
  <c r="Z595" i="307"/>
  <c r="Z30" i="307"/>
  <c r="Z43" i="310"/>
  <c r="Y58" i="310"/>
  <c r="Y47" i="310"/>
  <c r="Y63" i="310"/>
  <c r="Y145" i="288"/>
  <c r="AO572" i="321"/>
  <c r="AO574" i="321" s="1"/>
  <c r="AO580" i="321" s="1"/>
  <c r="AO582" i="321" s="1"/>
  <c r="AO601" i="321"/>
  <c r="AO604" i="321" s="1"/>
  <c r="AO563" i="321"/>
  <c r="AO567" i="321" s="1"/>
  <c r="AO539" i="321"/>
  <c r="AO541" i="321" s="1"/>
  <c r="AO555" i="321" s="1"/>
  <c r="AO557" i="321" s="1"/>
  <c r="AU177" i="278"/>
  <c r="AU166" i="278"/>
  <c r="AU169" i="278" s="1"/>
  <c r="AT237" i="278"/>
  <c r="AT241" i="278" s="1"/>
  <c r="AN666" i="321"/>
  <c r="AN639" i="321"/>
  <c r="AN61" i="315"/>
  <c r="AN665" i="321"/>
  <c r="AN667" i="321" s="1"/>
  <c r="AN631" i="321"/>
  <c r="AN632" i="321" s="1"/>
  <c r="AN106" i="282"/>
  <c r="AN661" i="321"/>
  <c r="AN654" i="321"/>
  <c r="AT281" i="278"/>
  <c r="AT284" i="278" s="1"/>
  <c r="AT244" i="278"/>
  <c r="AT248" i="278" s="1"/>
  <c r="AU202" i="278"/>
  <c r="AU191" i="278"/>
  <c r="AU194" i="278" s="1"/>
  <c r="AU39" i="315" l="1"/>
  <c r="AU198" i="278"/>
  <c r="AU199" i="278" s="1"/>
  <c r="AT621" i="321"/>
  <c r="AT624" i="321" s="1"/>
  <c r="AT635" i="321"/>
  <c r="AT286" i="278"/>
  <c r="AT287" i="278" s="1"/>
  <c r="AN58" i="315"/>
  <c r="AN21" i="315"/>
  <c r="AN60" i="315"/>
  <c r="AN23" i="315"/>
  <c r="AN114" i="315"/>
  <c r="AO664" i="321"/>
  <c r="AN62" i="315"/>
  <c r="AT564" i="321"/>
  <c r="AT550" i="321"/>
  <c r="AT553" i="321" s="1"/>
  <c r="AT262" i="278"/>
  <c r="AT263" i="278" s="1"/>
  <c r="AT544" i="321"/>
  <c r="AT546" i="321" s="1"/>
  <c r="AU41" i="265"/>
  <c r="AU173" i="278"/>
  <c r="AU174" i="278" s="1"/>
  <c r="AO609" i="321"/>
  <c r="AO63" i="265"/>
  <c r="AO560" i="321"/>
  <c r="AO561" i="321" s="1"/>
  <c r="AO568" i="321"/>
  <c r="AO610" i="321"/>
  <c r="AO38" i="282"/>
  <c r="AO605" i="321"/>
  <c r="AO104" i="282"/>
  <c r="AO583" i="321"/>
  <c r="AO36" i="282"/>
  <c r="Z591" i="307"/>
  <c r="Z596" i="307" s="1"/>
  <c r="Z139" i="288"/>
  <c r="Z89" i="307"/>
  <c r="Z90" i="307" s="1"/>
  <c r="AA88" i="307" s="1"/>
  <c r="Z675" i="307"/>
  <c r="Z625" i="307"/>
  <c r="Z284" i="307"/>
  <c r="Z10" i="310"/>
  <c r="AA193" i="307"/>
  <c r="AA190" i="307"/>
  <c r="AA191" i="307" s="1"/>
  <c r="AA150" i="307"/>
  <c r="AA433" i="307"/>
  <c r="AA401" i="307"/>
  <c r="AA432" i="307"/>
  <c r="AA434" i="307" s="1"/>
  <c r="AA400" i="307"/>
  <c r="AA402" i="307" s="1"/>
  <c r="Z464" i="307"/>
  <c r="Z465" i="307" s="1"/>
  <c r="Z484" i="307"/>
  <c r="Z485" i="307" s="1"/>
  <c r="Z487" i="307" l="1"/>
  <c r="Z489" i="307" s="1"/>
  <c r="Z467" i="307"/>
  <c r="Z469" i="307" s="1"/>
  <c r="AA584" i="307"/>
  <c r="AA23" i="307"/>
  <c r="AA36" i="310"/>
  <c r="AA585" i="307"/>
  <c r="AA37" i="310"/>
  <c r="AA24" i="307"/>
  <c r="AA156" i="307"/>
  <c r="AA153" i="307"/>
  <c r="AA154" i="307" s="1"/>
  <c r="AA194" i="307"/>
  <c r="AA593" i="307"/>
  <c r="AA200" i="307"/>
  <c r="AA32" i="310"/>
  <c r="AA20" i="307"/>
  <c r="AA195" i="307"/>
  <c r="AA72" i="307"/>
  <c r="AA75" i="307" s="1"/>
  <c r="AA78" i="307" s="1"/>
  <c r="AA79" i="307" s="1"/>
  <c r="Z599" i="307"/>
  <c r="Z601" i="307" s="1"/>
  <c r="Z609" i="307"/>
  <c r="AO23" i="265"/>
  <c r="AO60" i="265"/>
  <c r="AO62" i="265"/>
  <c r="AO25" i="265"/>
  <c r="AO64" i="265"/>
  <c r="AO611" i="321"/>
  <c r="AU178" i="278"/>
  <c r="AU180" i="278" s="1"/>
  <c r="AV171" i="278"/>
  <c r="AU109" i="265"/>
  <c r="AU253" i="278"/>
  <c r="AU255" i="278" s="1"/>
  <c r="AU258" i="278" s="1"/>
  <c r="AT267" i="278"/>
  <c r="AT556" i="321"/>
  <c r="AT559" i="321"/>
  <c r="AO616" i="321"/>
  <c r="AO618" i="321" s="1"/>
  <c r="AO626" i="321" s="1"/>
  <c r="AO628" i="321" s="1"/>
  <c r="AO643" i="321"/>
  <c r="AO645" i="321" s="1"/>
  <c r="AO651" i="321" s="1"/>
  <c r="AO653" i="321" s="1"/>
  <c r="AO657" i="321"/>
  <c r="AO660" i="321" s="1"/>
  <c r="AO634" i="321"/>
  <c r="AO638" i="321" s="1"/>
  <c r="AT291" i="278"/>
  <c r="AT627" i="321"/>
  <c r="AT630" i="321"/>
  <c r="AV196" i="278"/>
  <c r="AU203" i="278"/>
  <c r="AU205" i="278" s="1"/>
  <c r="AU105" i="315"/>
  <c r="AU281" i="278" l="1"/>
  <c r="AU284" i="278" s="1"/>
  <c r="AU244" i="278"/>
  <c r="AU248" i="278" s="1"/>
  <c r="AV202" i="278"/>
  <c r="AV191" i="278"/>
  <c r="AV194" i="278" s="1"/>
  <c r="AO639" i="321"/>
  <c r="AO666" i="321"/>
  <c r="AO661" i="321"/>
  <c r="AO106" i="282"/>
  <c r="AO654" i="321"/>
  <c r="AO665" i="321"/>
  <c r="AO667" i="321" s="1"/>
  <c r="AO61" i="315"/>
  <c r="AO631" i="321"/>
  <c r="AO632" i="321" s="1"/>
  <c r="AV166" i="278"/>
  <c r="AV169" i="278" s="1"/>
  <c r="AV177" i="278"/>
  <c r="AU237" i="278"/>
  <c r="AU241" i="278" s="1"/>
  <c r="AP608" i="321"/>
  <c r="AO118" i="265"/>
  <c r="Z615" i="307"/>
  <c r="AA294" i="307"/>
  <c r="AA296" i="307" s="1"/>
  <c r="AA85" i="307"/>
  <c r="AA453" i="307"/>
  <c r="AA248" i="307"/>
  <c r="AA207" i="307"/>
  <c r="AA123" i="307"/>
  <c r="AA157" i="307"/>
  <c r="AA594" i="307"/>
  <c r="AA21" i="307"/>
  <c r="AA33" i="310"/>
  <c r="AA198" i="307"/>
  <c r="AA201" i="307" s="1"/>
  <c r="AA158" i="307"/>
  <c r="Z473" i="307"/>
  <c r="Z475" i="307" s="1"/>
  <c r="AA472" i="307" s="1"/>
  <c r="Z250" i="307"/>
  <c r="Z251" i="307" s="1"/>
  <c r="Z655" i="307"/>
  <c r="Z498" i="307"/>
  <c r="Z493" i="307"/>
  <c r="Z495" i="307" s="1"/>
  <c r="AA492" i="307" s="1"/>
  <c r="Z660" i="307"/>
  <c r="Z499" i="307"/>
  <c r="AA534" i="307" l="1"/>
  <c r="AA536" i="307" s="1"/>
  <c r="AA540" i="307" s="1"/>
  <c r="AA541" i="307" s="1"/>
  <c r="AA571" i="307"/>
  <c r="AA573" i="307" s="1"/>
  <c r="AA480" i="307"/>
  <c r="AA481" i="307" s="1"/>
  <c r="AA488" i="307" s="1"/>
  <c r="Z500" i="307"/>
  <c r="Z253" i="307"/>
  <c r="Z255" i="307" s="1"/>
  <c r="AA523" i="307"/>
  <c r="AA525" i="307" s="1"/>
  <c r="AA529" i="307" s="1"/>
  <c r="AA530" i="307" s="1"/>
  <c r="AA558" i="307"/>
  <c r="AA560" i="307" s="1"/>
  <c r="AA460" i="307"/>
  <c r="AA461" i="307" s="1"/>
  <c r="AA468" i="307" s="1"/>
  <c r="AA205" i="307"/>
  <c r="AA208" i="307" s="1"/>
  <c r="AA121" i="307"/>
  <c r="AA224" i="307"/>
  <c r="L230" i="307" s="1"/>
  <c r="AA202" i="307"/>
  <c r="AA321" i="307"/>
  <c r="AA322" i="307" s="1"/>
  <c r="AA300" i="307"/>
  <c r="AA301" i="307" s="1"/>
  <c r="AP601" i="321"/>
  <c r="AP604" i="321" s="1"/>
  <c r="AP539" i="321"/>
  <c r="AP541" i="321" s="1"/>
  <c r="AP555" i="321" s="1"/>
  <c r="AP557" i="321" s="1"/>
  <c r="AP563" i="321"/>
  <c r="AP567" i="321" s="1"/>
  <c r="AP572" i="321"/>
  <c r="AP574" i="321" s="1"/>
  <c r="AP580" i="321" s="1"/>
  <c r="AP582" i="321" s="1"/>
  <c r="AU550" i="321"/>
  <c r="AU553" i="321" s="1"/>
  <c r="AU544" i="321"/>
  <c r="AU546" i="321" s="1"/>
  <c r="AU564" i="321"/>
  <c r="AU262" i="278"/>
  <c r="AU263" i="278" s="1"/>
  <c r="AV173" i="278"/>
  <c r="AV174" i="278" s="1"/>
  <c r="AV41" i="265"/>
  <c r="AC41" i="277" s="1"/>
  <c r="AP664" i="321"/>
  <c r="AO114" i="315"/>
  <c r="AO58" i="315"/>
  <c r="AO21" i="315"/>
  <c r="AO60" i="315"/>
  <c r="AO23" i="315"/>
  <c r="AO62" i="315"/>
  <c r="AV198" i="278"/>
  <c r="AV199" i="278" s="1"/>
  <c r="AV39" i="315"/>
  <c r="AU635" i="321"/>
  <c r="AU621" i="321"/>
  <c r="AU624" i="321" s="1"/>
  <c r="AU286" i="278"/>
  <c r="AU287" i="278" s="1"/>
  <c r="AU291" i="278" l="1"/>
  <c r="AU627" i="321"/>
  <c r="AU630" i="321"/>
  <c r="AW196" i="278"/>
  <c r="AV203" i="278"/>
  <c r="AV205" i="278" s="1"/>
  <c r="AV105" i="315"/>
  <c r="AP634" i="321"/>
  <c r="AP638" i="321" s="1"/>
  <c r="AP643" i="321"/>
  <c r="AP645" i="321" s="1"/>
  <c r="AP651" i="321" s="1"/>
  <c r="AP653" i="321" s="1"/>
  <c r="AP657" i="321"/>
  <c r="AP660" i="321" s="1"/>
  <c r="AP616" i="321"/>
  <c r="AP618" i="321" s="1"/>
  <c r="AP626" i="321" s="1"/>
  <c r="AP628" i="321" s="1"/>
  <c r="AV178" i="278"/>
  <c r="AV180" i="278" s="1"/>
  <c r="AW171" i="278"/>
  <c r="AV109" i="265"/>
  <c r="AC109" i="277" s="1"/>
  <c r="AV253" i="278"/>
  <c r="AV255" i="278" s="1"/>
  <c r="AV258" i="278" s="1"/>
  <c r="AU267" i="278"/>
  <c r="AU556" i="321"/>
  <c r="AU559" i="321"/>
  <c r="AP104" i="282"/>
  <c r="AP583" i="321"/>
  <c r="AP36" i="282"/>
  <c r="AP610" i="321"/>
  <c r="AP568" i="321"/>
  <c r="AP609" i="321"/>
  <c r="AP611" i="321" s="1"/>
  <c r="AP560" i="321"/>
  <c r="AP561" i="321" s="1"/>
  <c r="AP63" i="265"/>
  <c r="Z63" i="277" s="1"/>
  <c r="AP605" i="321"/>
  <c r="AP38" i="282"/>
  <c r="AA308" i="307"/>
  <c r="AA311" i="307" s="1"/>
  <c r="AA329" i="307"/>
  <c r="AA332" i="307" s="1"/>
  <c r="AA225" i="307"/>
  <c r="L231" i="307" s="1"/>
  <c r="AA215" i="307"/>
  <c r="AA217" i="307" s="1"/>
  <c r="AA600" i="307"/>
  <c r="AA670" i="307"/>
  <c r="L671" i="307" s="1"/>
  <c r="AA226" i="307"/>
  <c r="L232" i="307" s="1"/>
  <c r="AA576" i="307"/>
  <c r="AA544" i="307"/>
  <c r="Z258" i="307"/>
  <c r="Z260" i="307" s="1"/>
  <c r="AA257" i="307" s="1"/>
  <c r="Z645" i="307"/>
  <c r="Z285" i="307"/>
  <c r="Z288" i="307" s="1"/>
  <c r="Z12" i="310"/>
  <c r="Z650" i="307"/>
  <c r="Z135" i="288"/>
  <c r="Z136" i="288" s="1"/>
  <c r="Z14" i="310"/>
  <c r="AA577" i="307"/>
  <c r="AA545" i="307"/>
  <c r="Z138" i="288" l="1"/>
  <c r="Z140" i="288" s="1"/>
  <c r="Z16" i="310"/>
  <c r="Z206" i="288"/>
  <c r="Z56" i="288"/>
  <c r="AA264" i="307"/>
  <c r="AA265" i="307" s="1"/>
  <c r="AA269" i="307" s="1"/>
  <c r="AA271" i="307" s="1"/>
  <c r="AA244" i="307"/>
  <c r="AA245" i="307" s="1"/>
  <c r="AA254" i="307" s="1"/>
  <c r="AA546" i="307"/>
  <c r="AA578" i="307"/>
  <c r="L686" i="321"/>
  <c r="AA81" i="307"/>
  <c r="AA82" i="307" s="1"/>
  <c r="AA124" i="307"/>
  <c r="AA125" i="307" s="1"/>
  <c r="AB119" i="307" s="1"/>
  <c r="AA227" i="307"/>
  <c r="L233" i="307" s="1"/>
  <c r="AA34" i="310"/>
  <c r="AA640" i="307"/>
  <c r="L641" i="307" s="1"/>
  <c r="AA336" i="307"/>
  <c r="AA338" i="307" s="1"/>
  <c r="AB335" i="307" s="1"/>
  <c r="AA342" i="307"/>
  <c r="AA635" i="307"/>
  <c r="L636" i="307" s="1"/>
  <c r="AA315" i="307"/>
  <c r="AA317" i="307" s="1"/>
  <c r="AB314" i="307" s="1"/>
  <c r="AA341" i="307"/>
  <c r="AA343" i="307" s="1"/>
  <c r="AP25" i="265"/>
  <c r="Z25" i="277" s="1"/>
  <c r="AP62" i="265"/>
  <c r="Z62" i="277" s="1"/>
  <c r="AQ608" i="321"/>
  <c r="AP118" i="265"/>
  <c r="Z118" i="277" s="1"/>
  <c r="AP64" i="265"/>
  <c r="Z64" i="277" s="1"/>
  <c r="AP23" i="265"/>
  <c r="Z23" i="277" s="1"/>
  <c r="AP60" i="265"/>
  <c r="Z60" i="277" s="1"/>
  <c r="AW166" i="278"/>
  <c r="AW169" i="278" s="1"/>
  <c r="AW177" i="278"/>
  <c r="AV237" i="278"/>
  <c r="AV241" i="278" s="1"/>
  <c r="AP665" i="321"/>
  <c r="AP61" i="315"/>
  <c r="AP631" i="321"/>
  <c r="AP632" i="321" s="1"/>
  <c r="AP106" i="282"/>
  <c r="AP661" i="321"/>
  <c r="AP654" i="321"/>
  <c r="AP639" i="321"/>
  <c r="AP666" i="321"/>
  <c r="AV281" i="278"/>
  <c r="AV284" i="278" s="1"/>
  <c r="AV244" i="278"/>
  <c r="AV248" i="278" s="1"/>
  <c r="AW202" i="278"/>
  <c r="AW191" i="278"/>
  <c r="AW194" i="278" s="1"/>
  <c r="AW198" i="278" l="1"/>
  <c r="AW199" i="278" s="1"/>
  <c r="AW39" i="315"/>
  <c r="AV635" i="321"/>
  <c r="AV621" i="321"/>
  <c r="AV624" i="321" s="1"/>
  <c r="AV286" i="278"/>
  <c r="AV287" i="278" s="1"/>
  <c r="AP62" i="315"/>
  <c r="AP58" i="315"/>
  <c r="AP21" i="315"/>
  <c r="AP23" i="315"/>
  <c r="AP60" i="315"/>
  <c r="AP667" i="321"/>
  <c r="AV550" i="321"/>
  <c r="AV553" i="321" s="1"/>
  <c r="AV544" i="321"/>
  <c r="AV546" i="321" s="1"/>
  <c r="AV564" i="321"/>
  <c r="AV262" i="278"/>
  <c r="AV263" i="278" s="1"/>
  <c r="AW41" i="265"/>
  <c r="AW173" i="278"/>
  <c r="AW174" i="278" s="1"/>
  <c r="AQ572" i="321"/>
  <c r="AQ574" i="321" s="1"/>
  <c r="AQ580" i="321" s="1"/>
  <c r="AQ582" i="321" s="1"/>
  <c r="AQ563" i="321"/>
  <c r="AQ567" i="321" s="1"/>
  <c r="AQ601" i="321"/>
  <c r="AQ604" i="321" s="1"/>
  <c r="AQ539" i="321"/>
  <c r="AQ541" i="321" s="1"/>
  <c r="AQ555" i="321" s="1"/>
  <c r="AQ557" i="321" s="1"/>
  <c r="AA454" i="307"/>
  <c r="AA455" i="307" s="1"/>
  <c r="AA249" i="307"/>
  <c r="AA630" i="307"/>
  <c r="L631" i="307" s="1"/>
  <c r="AA134" i="288"/>
  <c r="AA347" i="307"/>
  <c r="AA349" i="307" s="1"/>
  <c r="AB346" i="307" s="1"/>
  <c r="AA13" i="310"/>
  <c r="AB305" i="307"/>
  <c r="AB306" i="307" s="1"/>
  <c r="AB309" i="307" s="1"/>
  <c r="AB378" i="307"/>
  <c r="AB380" i="307" s="1"/>
  <c r="AB384" i="307" s="1"/>
  <c r="AB385" i="307" s="1"/>
  <c r="AB414" i="307"/>
  <c r="AB416" i="307" s="1"/>
  <c r="L188" i="321"/>
  <c r="AB326" i="307"/>
  <c r="AB327" i="307" s="1"/>
  <c r="AB330" i="307" s="1"/>
  <c r="AB390" i="307"/>
  <c r="AB392" i="307" s="1"/>
  <c r="AB396" i="307" s="1"/>
  <c r="AB397" i="307" s="1"/>
  <c r="AB427" i="307"/>
  <c r="AB429" i="307" s="1"/>
  <c r="L300" i="321"/>
  <c r="L678" i="321"/>
  <c r="L680" i="321" s="1"/>
  <c r="AB213" i="307"/>
  <c r="AB148" i="307"/>
  <c r="AB129" i="307"/>
  <c r="AB131" i="307" s="1"/>
  <c r="AB135" i="307" s="1"/>
  <c r="AB138" i="307" s="1"/>
  <c r="AB142" i="307" s="1"/>
  <c r="AB145" i="307" s="1"/>
  <c r="AB147" i="307" s="1"/>
  <c r="AB176" i="307"/>
  <c r="AB179" i="307" s="1"/>
  <c r="AB184" i="307" s="1"/>
  <c r="AB187" i="307" s="1"/>
  <c r="AA84" i="307"/>
  <c r="AA86" i="307" s="1"/>
  <c r="AA588" i="307"/>
  <c r="AA40" i="310"/>
  <c r="AA27" i="307"/>
  <c r="AA587" i="307"/>
  <c r="AA589" i="307" s="1"/>
  <c r="AA26" i="307"/>
  <c r="AA39" i="310"/>
  <c r="AA595" i="307"/>
  <c r="AA30" i="307"/>
  <c r="AA43" i="310"/>
  <c r="Z47" i="310"/>
  <c r="Z63" i="310"/>
  <c r="Z58" i="310"/>
  <c r="Z145" i="288"/>
  <c r="AA591" i="307" l="1"/>
  <c r="AA596" i="307" s="1"/>
  <c r="AA139" i="288"/>
  <c r="AA89" i="307"/>
  <c r="AA90" i="307" s="1"/>
  <c r="AB88" i="307" s="1"/>
  <c r="AA675" i="307"/>
  <c r="L676" i="307" s="1"/>
  <c r="AA625" i="307"/>
  <c r="L626" i="307" s="1"/>
  <c r="AA284" i="307"/>
  <c r="AA10" i="310"/>
  <c r="AB193" i="307"/>
  <c r="AB190" i="307"/>
  <c r="AB191" i="307" s="1"/>
  <c r="AB150" i="307"/>
  <c r="L687" i="321"/>
  <c r="L688" i="321" s="1"/>
  <c r="L681" i="321"/>
  <c r="AB433" i="307"/>
  <c r="AB401" i="307"/>
  <c r="AB432" i="307"/>
  <c r="AB434" i="307" s="1"/>
  <c r="AB400" i="307"/>
  <c r="AB402" i="307" s="1"/>
  <c r="L57" i="265"/>
  <c r="K57" i="277" s="1"/>
  <c r="L55" i="315"/>
  <c r="AA464" i="307"/>
  <c r="AA465" i="307" s="1"/>
  <c r="AA484" i="307"/>
  <c r="AA485" i="307" s="1"/>
  <c r="AQ609" i="321"/>
  <c r="AQ560" i="321"/>
  <c r="AQ561" i="321" s="1"/>
  <c r="AQ63" i="265"/>
  <c r="AQ605" i="321"/>
  <c r="AQ38" i="282"/>
  <c r="AQ610" i="321"/>
  <c r="AQ568" i="321"/>
  <c r="AQ104" i="282"/>
  <c r="AQ583" i="321"/>
  <c r="AQ36" i="282"/>
  <c r="AW178" i="278"/>
  <c r="AW180" i="278" s="1"/>
  <c r="AX171" i="278"/>
  <c r="AW109" i="265"/>
  <c r="AW253" i="278"/>
  <c r="AW255" i="278" s="1"/>
  <c r="AW258" i="278" s="1"/>
  <c r="AV267" i="278"/>
  <c r="AV556" i="321"/>
  <c r="AV559" i="321"/>
  <c r="AQ664" i="321"/>
  <c r="AP114" i="315"/>
  <c r="AV291" i="278"/>
  <c r="AV627" i="321"/>
  <c r="AV630" i="321"/>
  <c r="AX196" i="278"/>
  <c r="AW203" i="278"/>
  <c r="AW205" i="278" s="1"/>
  <c r="AW105" i="315"/>
  <c r="AW244" i="278" l="1"/>
  <c r="AW248" i="278" s="1"/>
  <c r="AW281" i="278"/>
  <c r="AW284" i="278" s="1"/>
  <c r="AX191" i="278"/>
  <c r="AX194" i="278" s="1"/>
  <c r="AX202" i="278"/>
  <c r="AQ643" i="321"/>
  <c r="AQ645" i="321" s="1"/>
  <c r="AQ651" i="321" s="1"/>
  <c r="AQ653" i="321" s="1"/>
  <c r="AQ657" i="321"/>
  <c r="AQ660" i="321" s="1"/>
  <c r="AQ616" i="321"/>
  <c r="AQ618" i="321" s="1"/>
  <c r="AQ626" i="321" s="1"/>
  <c r="AQ628" i="321" s="1"/>
  <c r="AQ634" i="321"/>
  <c r="AQ638" i="321" s="1"/>
  <c r="AX177" i="278"/>
  <c r="AX166" i="278"/>
  <c r="AX169" i="278" s="1"/>
  <c r="AW237" i="278"/>
  <c r="AW241" i="278" s="1"/>
  <c r="AQ23" i="265"/>
  <c r="AQ60" i="265"/>
  <c r="AQ64" i="265"/>
  <c r="AQ25" i="265"/>
  <c r="AQ62" i="265"/>
  <c r="AQ611" i="321"/>
  <c r="AA487" i="307"/>
  <c r="AA489" i="307" s="1"/>
  <c r="AA467" i="307"/>
  <c r="AA469" i="307" s="1"/>
  <c r="AB584" i="307"/>
  <c r="AB36" i="310"/>
  <c r="AB23" i="307"/>
  <c r="AB585" i="307"/>
  <c r="AB37" i="310"/>
  <c r="AB24" i="307"/>
  <c r="L53" i="265"/>
  <c r="K53" i="277" s="1"/>
  <c r="L51" i="315"/>
  <c r="M684" i="321"/>
  <c r="L123" i="265"/>
  <c r="K123" i="277" s="1"/>
  <c r="L119" i="315"/>
  <c r="AB156" i="307"/>
  <c r="AB153" i="307"/>
  <c r="AB154" i="307" s="1"/>
  <c r="AB194" i="307"/>
  <c r="AB593" i="307"/>
  <c r="AB200" i="307"/>
  <c r="AB20" i="307"/>
  <c r="AB32" i="310"/>
  <c r="AB195" i="307"/>
  <c r="L445" i="321"/>
  <c r="L447" i="321" s="1"/>
  <c r="L484" i="321"/>
  <c r="L528" i="321"/>
  <c r="AB72" i="307"/>
  <c r="AB75" i="307" s="1"/>
  <c r="AB78" i="307" s="1"/>
  <c r="AB79" i="307" s="1"/>
  <c r="AA599" i="307"/>
  <c r="AA601" i="307" s="1"/>
  <c r="AA609" i="307"/>
  <c r="L610" i="307" s="1"/>
  <c r="L611" i="307" l="1"/>
  <c r="AA615" i="307"/>
  <c r="L616" i="307" s="1"/>
  <c r="AB294" i="307"/>
  <c r="AB296" i="307" s="1"/>
  <c r="AB85" i="307"/>
  <c r="AB453" i="307"/>
  <c r="AB248" i="307"/>
  <c r="L56" i="265"/>
  <c r="K56" i="277" s="1"/>
  <c r="L54" i="315"/>
  <c r="AB207" i="307"/>
  <c r="AB123" i="307"/>
  <c r="AB157" i="307"/>
  <c r="AB594" i="307"/>
  <c r="AB198" i="307"/>
  <c r="AB201" i="307" s="1"/>
  <c r="AB33" i="310"/>
  <c r="AB21" i="307"/>
  <c r="AB158" i="307"/>
  <c r="M673" i="321"/>
  <c r="M676" i="321" s="1"/>
  <c r="M712" i="321"/>
  <c r="M714" i="321" s="1"/>
  <c r="M693" i="321"/>
  <c r="M695" i="321" s="1"/>
  <c r="M699" i="321" s="1"/>
  <c r="AA473" i="307"/>
  <c r="AA475" i="307" s="1"/>
  <c r="AB472" i="307" s="1"/>
  <c r="AA250" i="307"/>
  <c r="AA251" i="307" s="1"/>
  <c r="AA655" i="307"/>
  <c r="L656" i="307" s="1"/>
  <c r="AA498" i="307"/>
  <c r="AA493" i="307"/>
  <c r="AA495" i="307" s="1"/>
  <c r="AB492" i="307" s="1"/>
  <c r="AA660" i="307"/>
  <c r="L661" i="307" s="1"/>
  <c r="AA499" i="307"/>
  <c r="AR608" i="321"/>
  <c r="AQ118" i="265"/>
  <c r="AW550" i="321"/>
  <c r="AW553" i="321" s="1"/>
  <c r="AW564" i="321"/>
  <c r="AW262" i="278"/>
  <c r="AW263" i="278" s="1"/>
  <c r="AW544" i="321"/>
  <c r="AW546" i="321" s="1"/>
  <c r="AX173" i="278"/>
  <c r="AX174" i="278" s="1"/>
  <c r="AX41" i="265"/>
  <c r="AD41" i="277" s="1"/>
  <c r="AQ666" i="321"/>
  <c r="AQ639" i="321"/>
  <c r="AQ665" i="321"/>
  <c r="AQ667" i="321" s="1"/>
  <c r="AQ61" i="315"/>
  <c r="AQ631" i="321"/>
  <c r="AQ632" i="321" s="1"/>
  <c r="AQ106" i="282"/>
  <c r="AQ661" i="321"/>
  <c r="AQ654" i="321"/>
  <c r="AX198" i="278"/>
  <c r="AX199" i="278" s="1"/>
  <c r="AX39" i="315"/>
  <c r="AW286" i="278"/>
  <c r="AW287" i="278" s="1"/>
  <c r="AW635" i="321"/>
  <c r="AW621" i="321"/>
  <c r="AW624" i="321" s="1"/>
  <c r="AW627" i="321" l="1"/>
  <c r="AW630" i="321"/>
  <c r="AW291" i="278"/>
  <c r="AY196" i="278"/>
  <c r="AX203" i="278"/>
  <c r="AX205" i="278" s="1"/>
  <c r="AX105" i="315"/>
  <c r="AQ58" i="315"/>
  <c r="AQ21" i="315"/>
  <c r="AQ23" i="315"/>
  <c r="AQ60" i="315"/>
  <c r="AQ114" i="315"/>
  <c r="AR664" i="321"/>
  <c r="AQ62" i="315"/>
  <c r="AX178" i="278"/>
  <c r="AX180" i="278" s="1"/>
  <c r="AY171" i="278"/>
  <c r="AX109" i="265"/>
  <c r="AD109" i="277" s="1"/>
  <c r="AX253" i="278"/>
  <c r="AX255" i="278" s="1"/>
  <c r="AX258" i="278" s="1"/>
  <c r="AW267" i="278"/>
  <c r="AW556" i="321"/>
  <c r="AW559" i="321"/>
  <c r="AR572" i="321"/>
  <c r="AR574" i="321" s="1"/>
  <c r="AR580" i="321" s="1"/>
  <c r="AR582" i="321" s="1"/>
  <c r="AR601" i="321"/>
  <c r="AR604" i="321" s="1"/>
  <c r="AR539" i="321"/>
  <c r="AR541" i="321" s="1"/>
  <c r="AR555" i="321" s="1"/>
  <c r="AR557" i="321" s="1"/>
  <c r="AR563" i="321"/>
  <c r="AR567" i="321" s="1"/>
  <c r="L434" i="321"/>
  <c r="AB534" i="307"/>
  <c r="AB536" i="307" s="1"/>
  <c r="AB540" i="307" s="1"/>
  <c r="AB541" i="307" s="1"/>
  <c r="AB571" i="307"/>
  <c r="AB573" i="307" s="1"/>
  <c r="AB480" i="307"/>
  <c r="AB481" i="307" s="1"/>
  <c r="AB488" i="307" s="1"/>
  <c r="AA500" i="307"/>
  <c r="L402" i="321"/>
  <c r="AA253" i="307"/>
  <c r="AA255" i="307" s="1"/>
  <c r="AB523" i="307"/>
  <c r="AB525" i="307" s="1"/>
  <c r="AB529" i="307" s="1"/>
  <c r="AB530" i="307" s="1"/>
  <c r="AB558" i="307"/>
  <c r="AB560" i="307" s="1"/>
  <c r="AB460" i="307"/>
  <c r="AB461" i="307" s="1"/>
  <c r="AB468" i="307" s="1"/>
  <c r="M715" i="321"/>
  <c r="M34" i="282"/>
  <c r="M102" i="282"/>
  <c r="M679" i="321"/>
  <c r="M442" i="321"/>
  <c r="M443" i="321" s="1"/>
  <c r="AB205" i="307"/>
  <c r="AB208" i="307" s="1"/>
  <c r="AB121" i="307"/>
  <c r="AB224" i="307"/>
  <c r="AB202" i="307"/>
  <c r="AB321" i="307"/>
  <c r="AB322" i="307" s="1"/>
  <c r="AB300" i="307"/>
  <c r="AB301" i="307" s="1"/>
  <c r="L41" i="285"/>
  <c r="L50" i="265"/>
  <c r="K50" i="277" s="1"/>
  <c r="L48" i="315"/>
  <c r="AB308" i="307" l="1"/>
  <c r="AB311" i="307" s="1"/>
  <c r="AB329" i="307"/>
  <c r="AB332" i="307" s="1"/>
  <c r="AB225" i="307"/>
  <c r="AB215" i="307"/>
  <c r="AB217" i="307" s="1"/>
  <c r="AB600" i="307"/>
  <c r="AB670" i="307"/>
  <c r="AB226" i="307"/>
  <c r="M485" i="321"/>
  <c r="M446" i="321"/>
  <c r="M46" i="288"/>
  <c r="M529" i="321"/>
  <c r="M196" i="288"/>
  <c r="M26" i="265"/>
  <c r="M84" i="265"/>
  <c r="M80" i="315"/>
  <c r="M24" i="315"/>
  <c r="AB576" i="307"/>
  <c r="AB544" i="307"/>
  <c r="AA258" i="307"/>
  <c r="AA260" i="307" s="1"/>
  <c r="AB257" i="307" s="1"/>
  <c r="AA645" i="307"/>
  <c r="L646" i="307" s="1"/>
  <c r="AA12" i="310"/>
  <c r="AA285" i="307"/>
  <c r="AA288" i="307" s="1"/>
  <c r="AA650" i="307"/>
  <c r="L651" i="307" s="1"/>
  <c r="AA14" i="310"/>
  <c r="AA135" i="288"/>
  <c r="AA136" i="288" s="1"/>
  <c r="AB577" i="307"/>
  <c r="AB545" i="307"/>
  <c r="AR610" i="321"/>
  <c r="AR568" i="321"/>
  <c r="AR609" i="321"/>
  <c r="AR611" i="321" s="1"/>
  <c r="AR560" i="321"/>
  <c r="AR561" i="321" s="1"/>
  <c r="AR63" i="265"/>
  <c r="AA63" i="277" s="1"/>
  <c r="AR605" i="321"/>
  <c r="AR38" i="282"/>
  <c r="AR104" i="282"/>
  <c r="AR583" i="321"/>
  <c r="AR36" i="282"/>
  <c r="AY166" i="278"/>
  <c r="AY169" i="278" s="1"/>
  <c r="AY177" i="278"/>
  <c r="AX237" i="278"/>
  <c r="AX241" i="278" s="1"/>
  <c r="AR657" i="321"/>
  <c r="AR660" i="321" s="1"/>
  <c r="AR643" i="321"/>
  <c r="AR645" i="321" s="1"/>
  <c r="AR651" i="321" s="1"/>
  <c r="AR653" i="321" s="1"/>
  <c r="AR634" i="321"/>
  <c r="AR638" i="321" s="1"/>
  <c r="AR616" i="321"/>
  <c r="AR618" i="321" s="1"/>
  <c r="AR626" i="321" s="1"/>
  <c r="AR628" i="321" s="1"/>
  <c r="AX281" i="278"/>
  <c r="AX284" i="278" s="1"/>
  <c r="AX244" i="278"/>
  <c r="AX248" i="278" s="1"/>
  <c r="AY202" i="278"/>
  <c r="AY191" i="278"/>
  <c r="AY194" i="278" s="1"/>
  <c r="AY39" i="315" l="1"/>
  <c r="AY198" i="278"/>
  <c r="AY199" i="278" s="1"/>
  <c r="AX621" i="321"/>
  <c r="AX624" i="321" s="1"/>
  <c r="AX635" i="321"/>
  <c r="AX286" i="278"/>
  <c r="AX287" i="278" s="1"/>
  <c r="AR631" i="321"/>
  <c r="AR632" i="321" s="1"/>
  <c r="AR665" i="321"/>
  <c r="AR61" i="315"/>
  <c r="AR639" i="321"/>
  <c r="AR666" i="321"/>
  <c r="AR654" i="321"/>
  <c r="AR106" i="282"/>
  <c r="AR661" i="321"/>
  <c r="AX564" i="321"/>
  <c r="AX262" i="278"/>
  <c r="AX263" i="278" s="1"/>
  <c r="AX550" i="321"/>
  <c r="AX553" i="321" s="1"/>
  <c r="AX544" i="321"/>
  <c r="AX546" i="321" s="1"/>
  <c r="AY41" i="265"/>
  <c r="AY173" i="278"/>
  <c r="AY174" i="278" s="1"/>
  <c r="AR23" i="265"/>
  <c r="AA23" i="277" s="1"/>
  <c r="AR60" i="265"/>
  <c r="AA60" i="277" s="1"/>
  <c r="AR25" i="265"/>
  <c r="AA25" i="277" s="1"/>
  <c r="AR62" i="265"/>
  <c r="AA62" i="277" s="1"/>
  <c r="AS608" i="321"/>
  <c r="AR118" i="265"/>
  <c r="AA118" i="277" s="1"/>
  <c r="AR64" i="265"/>
  <c r="AA64" i="277" s="1"/>
  <c r="AA138" i="288"/>
  <c r="AA140" i="288" s="1"/>
  <c r="L58" i="265"/>
  <c r="K58" i="277" s="1"/>
  <c r="L56" i="315"/>
  <c r="AA206" i="288"/>
  <c r="AA56" i="288"/>
  <c r="AA16" i="310"/>
  <c r="L59" i="265"/>
  <c r="K59" i="277" s="1"/>
  <c r="L38" i="286"/>
  <c r="L57" i="315"/>
  <c r="L115" i="286"/>
  <c r="AB264" i="307"/>
  <c r="AB265" i="307" s="1"/>
  <c r="AB269" i="307" s="1"/>
  <c r="AB271" i="307" s="1"/>
  <c r="AB244" i="307"/>
  <c r="AB245" i="307" s="1"/>
  <c r="AB254" i="307" s="1"/>
  <c r="AB546" i="307"/>
  <c r="AB578" i="307"/>
  <c r="AB81" i="307"/>
  <c r="AB82" i="307" s="1"/>
  <c r="AB124" i="307"/>
  <c r="AB125" i="307" s="1"/>
  <c r="AC119" i="307" s="1"/>
  <c r="AB227" i="307"/>
  <c r="AB34" i="310"/>
  <c r="AB640" i="307"/>
  <c r="AB336" i="307"/>
  <c r="AB338" i="307" s="1"/>
  <c r="AC335" i="307" s="1"/>
  <c r="AB342" i="307"/>
  <c r="AB635" i="307"/>
  <c r="AB315" i="307"/>
  <c r="AB317" i="307" s="1"/>
  <c r="AC314" i="307" s="1"/>
  <c r="AB341" i="307"/>
  <c r="AB343" i="307" s="1"/>
  <c r="AB454" i="307" l="1"/>
  <c r="AB455" i="307" s="1"/>
  <c r="AB249" i="307"/>
  <c r="AB630" i="307"/>
  <c r="AB13" i="310"/>
  <c r="AB347" i="307"/>
  <c r="AB349" i="307" s="1"/>
  <c r="AC346" i="307" s="1"/>
  <c r="AB134" i="288"/>
  <c r="AC305" i="307"/>
  <c r="AC306" i="307" s="1"/>
  <c r="AC309" i="307" s="1"/>
  <c r="AC378" i="307"/>
  <c r="AC380" i="307" s="1"/>
  <c r="AC384" i="307" s="1"/>
  <c r="AC385" i="307" s="1"/>
  <c r="AC414" i="307"/>
  <c r="AC416" i="307" s="1"/>
  <c r="AC326" i="307"/>
  <c r="AC327" i="307" s="1"/>
  <c r="AC330" i="307" s="1"/>
  <c r="AC390" i="307"/>
  <c r="AC392" i="307" s="1"/>
  <c r="AC396" i="307" s="1"/>
  <c r="AC397" i="307" s="1"/>
  <c r="AC427" i="307"/>
  <c r="AC429" i="307" s="1"/>
  <c r="AC213" i="307"/>
  <c r="AC148" i="307"/>
  <c r="AC129" i="307"/>
  <c r="AC131" i="307" s="1"/>
  <c r="AC135" i="307" s="1"/>
  <c r="AC138" i="307" s="1"/>
  <c r="AC142" i="307" s="1"/>
  <c r="AC145" i="307" s="1"/>
  <c r="AC147" i="307" s="1"/>
  <c r="AC176" i="307"/>
  <c r="AC179" i="307" s="1"/>
  <c r="AC184" i="307" s="1"/>
  <c r="AC187" i="307" s="1"/>
  <c r="AB84" i="307"/>
  <c r="AB86" i="307" s="1"/>
  <c r="AB588" i="307"/>
  <c r="AB27" i="307"/>
  <c r="AB40" i="310"/>
  <c r="AB587" i="307"/>
  <c r="AB589" i="307" s="1"/>
  <c r="AB26" i="307"/>
  <c r="AB39" i="310"/>
  <c r="AB595" i="307"/>
  <c r="AB30" i="307"/>
  <c r="AB43" i="310"/>
  <c r="AA63" i="310"/>
  <c r="AA47" i="310"/>
  <c r="AA58" i="310"/>
  <c r="AA145" i="288"/>
  <c r="AS539" i="321"/>
  <c r="AS541" i="321" s="1"/>
  <c r="AS555" i="321" s="1"/>
  <c r="AS557" i="321" s="1"/>
  <c r="AS572" i="321"/>
  <c r="AS574" i="321" s="1"/>
  <c r="AS580" i="321" s="1"/>
  <c r="AS582" i="321" s="1"/>
  <c r="AS563" i="321"/>
  <c r="AS567" i="321" s="1"/>
  <c r="AS601" i="321"/>
  <c r="AS604" i="321" s="1"/>
  <c r="AY178" i="278"/>
  <c r="AY180" i="278" s="1"/>
  <c r="AZ171" i="278"/>
  <c r="AY109" i="265"/>
  <c r="AY253" i="278"/>
  <c r="AY255" i="278" s="1"/>
  <c r="AY258" i="278" s="1"/>
  <c r="AX559" i="321"/>
  <c r="AX556" i="321"/>
  <c r="AX267" i="278"/>
  <c r="AR60" i="315"/>
  <c r="AR23" i="315"/>
  <c r="AR21" i="315"/>
  <c r="AR58" i="315"/>
  <c r="AR62" i="315"/>
  <c r="AR667" i="321"/>
  <c r="AX291" i="278"/>
  <c r="AX627" i="321"/>
  <c r="AX630" i="321"/>
  <c r="AZ196" i="278"/>
  <c r="AY203" i="278"/>
  <c r="AY205" i="278" s="1"/>
  <c r="AY105" i="315"/>
  <c r="AY281" i="278" l="1"/>
  <c r="AY284" i="278" s="1"/>
  <c r="AY244" i="278"/>
  <c r="AY248" i="278" s="1"/>
  <c r="AZ202" i="278"/>
  <c r="AZ191" i="278"/>
  <c r="AZ194" i="278" s="1"/>
  <c r="AS664" i="321"/>
  <c r="AR114" i="315"/>
  <c r="AZ166" i="278"/>
  <c r="AZ169" i="278" s="1"/>
  <c r="AZ177" i="278"/>
  <c r="AY237" i="278"/>
  <c r="AY241" i="278" s="1"/>
  <c r="AS605" i="321"/>
  <c r="AS38" i="282"/>
  <c r="AS610" i="321"/>
  <c r="AS568" i="321"/>
  <c r="AS104" i="282"/>
  <c r="AS583" i="321"/>
  <c r="AS36" i="282"/>
  <c r="AS609" i="321"/>
  <c r="AS611" i="321" s="1"/>
  <c r="AS63" i="265"/>
  <c r="AS560" i="321"/>
  <c r="AS561" i="321" s="1"/>
  <c r="AB591" i="307"/>
  <c r="AB596" i="307" s="1"/>
  <c r="AB139" i="288"/>
  <c r="AB89" i="307"/>
  <c r="AB90" i="307" s="1"/>
  <c r="AC88" i="307" s="1"/>
  <c r="AB675" i="307"/>
  <c r="AB625" i="307"/>
  <c r="AB284" i="307"/>
  <c r="AB10" i="310"/>
  <c r="AC193" i="307"/>
  <c r="AC190" i="307"/>
  <c r="AC191" i="307" s="1"/>
  <c r="AC150" i="307"/>
  <c r="AC433" i="307"/>
  <c r="AC401" i="307"/>
  <c r="AC432" i="307"/>
  <c r="AC434" i="307" s="1"/>
  <c r="AC400" i="307"/>
  <c r="AC402" i="307" s="1"/>
  <c r="AB464" i="307"/>
  <c r="AB465" i="307" s="1"/>
  <c r="AB484" i="307"/>
  <c r="AB485" i="307" s="1"/>
  <c r="AB487" i="307" l="1"/>
  <c r="AB489" i="307" s="1"/>
  <c r="AB467" i="307"/>
  <c r="AB469" i="307" s="1"/>
  <c r="AC584" i="307"/>
  <c r="AC36" i="310"/>
  <c r="AC23" i="307"/>
  <c r="AC585" i="307"/>
  <c r="AC24" i="307"/>
  <c r="AC37" i="310"/>
  <c r="AC156" i="307"/>
  <c r="AC153" i="307"/>
  <c r="AC154" i="307" s="1"/>
  <c r="AC194" i="307"/>
  <c r="AC593" i="307"/>
  <c r="AC20" i="307"/>
  <c r="AC32" i="310"/>
  <c r="AC200" i="307"/>
  <c r="AC195" i="307"/>
  <c r="AC72" i="307"/>
  <c r="AC75" i="307" s="1"/>
  <c r="AC78" i="307" s="1"/>
  <c r="AC79" i="307" s="1"/>
  <c r="AB599" i="307"/>
  <c r="AB601" i="307" s="1"/>
  <c r="AB609" i="307"/>
  <c r="AT608" i="321"/>
  <c r="AS118" i="265"/>
  <c r="AS23" i="265"/>
  <c r="AS60" i="265"/>
  <c r="AS64" i="265"/>
  <c r="AS25" i="265"/>
  <c r="AS62" i="265"/>
  <c r="AY262" i="278"/>
  <c r="AY263" i="278" s="1"/>
  <c r="AY564" i="321"/>
  <c r="AY550" i="321"/>
  <c r="AY553" i="321" s="1"/>
  <c r="AY544" i="321"/>
  <c r="AY546" i="321" s="1"/>
  <c r="AZ41" i="265"/>
  <c r="AE41" i="277" s="1"/>
  <c r="AZ173" i="278"/>
  <c r="AZ174" i="278" s="1"/>
  <c r="AS616" i="321"/>
  <c r="AS618" i="321" s="1"/>
  <c r="AS626" i="321" s="1"/>
  <c r="AS628" i="321" s="1"/>
  <c r="AS634" i="321"/>
  <c r="AS638" i="321" s="1"/>
  <c r="AS643" i="321"/>
  <c r="AS645" i="321" s="1"/>
  <c r="AS651" i="321" s="1"/>
  <c r="AS653" i="321" s="1"/>
  <c r="AS657" i="321"/>
  <c r="AS660" i="321" s="1"/>
  <c r="AZ198" i="278"/>
  <c r="AZ199" i="278" s="1"/>
  <c r="AZ39" i="315"/>
  <c r="AY635" i="321"/>
  <c r="AY621" i="321"/>
  <c r="AY624" i="321" s="1"/>
  <c r="AY286" i="278"/>
  <c r="AY287" i="278" s="1"/>
  <c r="AY291" i="278" l="1"/>
  <c r="AY627" i="321"/>
  <c r="AY630" i="321"/>
  <c r="BA196" i="278"/>
  <c r="AZ203" i="278"/>
  <c r="AZ205" i="278" s="1"/>
  <c r="AZ105" i="315"/>
  <c r="AS106" i="282"/>
  <c r="AS661" i="321"/>
  <c r="AS654" i="321"/>
  <c r="AS639" i="321"/>
  <c r="AS666" i="321"/>
  <c r="AS665" i="321"/>
  <c r="AS667" i="321" s="1"/>
  <c r="AS61" i="315"/>
  <c r="AS631" i="321"/>
  <c r="AS632" i="321" s="1"/>
  <c r="AZ178" i="278"/>
  <c r="AZ180" i="278" s="1"/>
  <c r="BA171" i="278"/>
  <c r="AZ109" i="265"/>
  <c r="AE109" i="277" s="1"/>
  <c r="AZ253" i="278"/>
  <c r="AZ255" i="278" s="1"/>
  <c r="AZ258" i="278" s="1"/>
  <c r="AY559" i="321"/>
  <c r="AY556" i="321"/>
  <c r="AY267" i="278"/>
  <c r="AT563" i="321"/>
  <c r="AT567" i="321" s="1"/>
  <c r="AT572" i="321"/>
  <c r="AT574" i="321" s="1"/>
  <c r="AT580" i="321" s="1"/>
  <c r="AT582" i="321" s="1"/>
  <c r="AT601" i="321"/>
  <c r="AT604" i="321" s="1"/>
  <c r="AT539" i="321"/>
  <c r="AT541" i="321" s="1"/>
  <c r="AT555" i="321" s="1"/>
  <c r="AT557" i="321" s="1"/>
  <c r="AB615" i="307"/>
  <c r="AC294" i="307"/>
  <c r="AC296" i="307" s="1"/>
  <c r="AC85" i="307"/>
  <c r="AC453" i="307"/>
  <c r="AC248" i="307"/>
  <c r="AC207" i="307"/>
  <c r="AC123" i="307"/>
  <c r="AC157" i="307"/>
  <c r="AC594" i="307"/>
  <c r="AC33" i="310"/>
  <c r="AC21" i="307"/>
  <c r="AC198" i="307"/>
  <c r="AC201" i="307" s="1"/>
  <c r="AC158" i="307"/>
  <c r="AB473" i="307"/>
  <c r="AB475" i="307" s="1"/>
  <c r="AC472" i="307" s="1"/>
  <c r="AB250" i="307"/>
  <c r="AB251" i="307" s="1"/>
  <c r="AB655" i="307"/>
  <c r="AB498" i="307"/>
  <c r="AB493" i="307"/>
  <c r="AB495" i="307" s="1"/>
  <c r="AC492" i="307" s="1"/>
  <c r="AB660" i="307"/>
  <c r="AB499" i="307"/>
  <c r="AC534" i="307" l="1"/>
  <c r="AC536" i="307" s="1"/>
  <c r="AC540" i="307" s="1"/>
  <c r="AC541" i="307" s="1"/>
  <c r="AC571" i="307"/>
  <c r="AC573" i="307" s="1"/>
  <c r="AC480" i="307"/>
  <c r="AC481" i="307" s="1"/>
  <c r="AC488" i="307" s="1"/>
  <c r="AB500" i="307"/>
  <c r="AB253" i="307"/>
  <c r="AB255" i="307" s="1"/>
  <c r="AC523" i="307"/>
  <c r="AC525" i="307" s="1"/>
  <c r="AC529" i="307" s="1"/>
  <c r="AC530" i="307" s="1"/>
  <c r="AC558" i="307"/>
  <c r="AC560" i="307" s="1"/>
  <c r="AC460" i="307"/>
  <c r="AC461" i="307" s="1"/>
  <c r="AC468" i="307" s="1"/>
  <c r="AC205" i="307"/>
  <c r="AC208" i="307" s="1"/>
  <c r="AC121" i="307"/>
  <c r="AC224" i="307"/>
  <c r="AC202" i="307"/>
  <c r="AC321" i="307"/>
  <c r="AC322" i="307" s="1"/>
  <c r="AC300" i="307"/>
  <c r="AC301" i="307" s="1"/>
  <c r="AT609" i="321"/>
  <c r="AT560" i="321"/>
  <c r="AT561" i="321" s="1"/>
  <c r="AT63" i="265"/>
  <c r="AB63" i="277" s="1"/>
  <c r="AT605" i="321"/>
  <c r="AT38" i="282"/>
  <c r="AT104" i="282"/>
  <c r="AT583" i="321"/>
  <c r="AT36" i="282"/>
  <c r="AT610" i="321"/>
  <c r="AT568" i="321"/>
  <c r="BA177" i="278"/>
  <c r="BA166" i="278"/>
  <c r="BA169" i="278" s="1"/>
  <c r="AZ237" i="278"/>
  <c r="AZ241" i="278" s="1"/>
  <c r="AT664" i="321"/>
  <c r="AS114" i="315"/>
  <c r="AS62" i="315"/>
  <c r="AS58" i="315"/>
  <c r="AS21" i="315"/>
  <c r="AS23" i="315"/>
  <c r="AS60" i="315"/>
  <c r="AZ281" i="278"/>
  <c r="AZ284" i="278" s="1"/>
  <c r="AZ244" i="278"/>
  <c r="AZ248" i="278" s="1"/>
  <c r="BA202" i="278"/>
  <c r="BA191" i="278"/>
  <c r="BA194" i="278" s="1"/>
  <c r="BA198" i="278" l="1"/>
  <c r="BA199" i="278" s="1"/>
  <c r="BA39" i="315"/>
  <c r="AZ635" i="321"/>
  <c r="AZ621" i="321"/>
  <c r="AZ624" i="321" s="1"/>
  <c r="AZ286" i="278"/>
  <c r="AZ287" i="278" s="1"/>
  <c r="AT634" i="321"/>
  <c r="AT638" i="321" s="1"/>
  <c r="AT643" i="321"/>
  <c r="AT645" i="321" s="1"/>
  <c r="AT651" i="321" s="1"/>
  <c r="AT653" i="321" s="1"/>
  <c r="AT657" i="321"/>
  <c r="AT660" i="321" s="1"/>
  <c r="AT616" i="321"/>
  <c r="AT618" i="321" s="1"/>
  <c r="AT626" i="321" s="1"/>
  <c r="AT628" i="321" s="1"/>
  <c r="AZ550" i="321"/>
  <c r="AZ553" i="321" s="1"/>
  <c r="AZ564" i="321"/>
  <c r="AZ262" i="278"/>
  <c r="AZ263" i="278" s="1"/>
  <c r="AZ544" i="321"/>
  <c r="AZ546" i="321" s="1"/>
  <c r="BA173" i="278"/>
  <c r="BA174" i="278" s="1"/>
  <c r="BA41" i="265"/>
  <c r="AT64" i="265"/>
  <c r="AB64" i="277" s="1"/>
  <c r="AT23" i="265"/>
  <c r="AB23" i="277" s="1"/>
  <c r="AT60" i="265"/>
  <c r="AB60" i="277" s="1"/>
  <c r="AT25" i="265"/>
  <c r="AB25" i="277" s="1"/>
  <c r="AT62" i="265"/>
  <c r="AB62" i="277" s="1"/>
  <c r="AT611" i="321"/>
  <c r="AC308" i="307"/>
  <c r="AC311" i="307" s="1"/>
  <c r="AC329" i="307"/>
  <c r="AC332" i="307" s="1"/>
  <c r="AC225" i="307"/>
  <c r="AC215" i="307"/>
  <c r="AC217" i="307" s="1"/>
  <c r="AC600" i="307"/>
  <c r="AC670" i="307"/>
  <c r="AC226" i="307"/>
  <c r="AC576" i="307"/>
  <c r="AC544" i="307"/>
  <c r="AB258" i="307"/>
  <c r="AB260" i="307" s="1"/>
  <c r="AC257" i="307" s="1"/>
  <c r="AB645" i="307"/>
  <c r="AB12" i="310"/>
  <c r="AB285" i="307"/>
  <c r="AB288" i="307" s="1"/>
  <c r="AB650" i="307"/>
  <c r="AB135" i="288"/>
  <c r="AB136" i="288" s="1"/>
  <c r="AB14" i="310"/>
  <c r="AC577" i="307"/>
  <c r="AC545" i="307"/>
  <c r="AB138" i="288" l="1"/>
  <c r="AB140" i="288" s="1"/>
  <c r="AB56" i="288"/>
  <c r="AB206" i="288"/>
  <c r="AB16" i="310"/>
  <c r="AC264" i="307"/>
  <c r="AC265" i="307" s="1"/>
  <c r="AC269" i="307" s="1"/>
  <c r="AC271" i="307" s="1"/>
  <c r="AC244" i="307"/>
  <c r="AC245" i="307" s="1"/>
  <c r="AC254" i="307" s="1"/>
  <c r="AC546" i="307"/>
  <c r="AC578" i="307"/>
  <c r="AC81" i="307"/>
  <c r="AC82" i="307" s="1"/>
  <c r="AC124" i="307"/>
  <c r="AC125" i="307" s="1"/>
  <c r="AD119" i="307" s="1"/>
  <c r="AC227" i="307"/>
  <c r="AC34" i="310"/>
  <c r="AC640" i="307"/>
  <c r="AC336" i="307"/>
  <c r="AC338" i="307" s="1"/>
  <c r="AD335" i="307" s="1"/>
  <c r="AC342" i="307"/>
  <c r="AC635" i="307"/>
  <c r="AC315" i="307"/>
  <c r="AC317" i="307" s="1"/>
  <c r="AD314" i="307" s="1"/>
  <c r="AC341" i="307"/>
  <c r="AC343" i="307" s="1"/>
  <c r="AU608" i="321"/>
  <c r="AT118" i="265"/>
  <c r="AB118" i="277" s="1"/>
  <c r="BA178" i="278"/>
  <c r="BA180" i="278" s="1"/>
  <c r="BB171" i="278"/>
  <c r="BA109" i="265"/>
  <c r="BA253" i="278"/>
  <c r="BA255" i="278" s="1"/>
  <c r="BA258" i="278" s="1"/>
  <c r="AZ267" i="278"/>
  <c r="AZ556" i="321"/>
  <c r="AZ559" i="321"/>
  <c r="AT665" i="321"/>
  <c r="AT61" i="315"/>
  <c r="AT631" i="321"/>
  <c r="AT632" i="321" s="1"/>
  <c r="AT106" i="282"/>
  <c r="AT661" i="321"/>
  <c r="AT654" i="321"/>
  <c r="AT639" i="321"/>
  <c r="AT666" i="321"/>
  <c r="AZ291" i="278"/>
  <c r="AZ627" i="321"/>
  <c r="AZ630" i="321"/>
  <c r="BB196" i="278"/>
  <c r="BA203" i="278"/>
  <c r="BA205" i="278" s="1"/>
  <c r="BA105" i="315"/>
  <c r="BA244" i="278" l="1"/>
  <c r="BA248" i="278" s="1"/>
  <c r="BA281" i="278"/>
  <c r="BA284" i="278" s="1"/>
  <c r="BB191" i="278"/>
  <c r="BB194" i="278" s="1"/>
  <c r="BB202" i="278"/>
  <c r="AT62" i="315"/>
  <c r="AT58" i="315"/>
  <c r="AT21" i="315"/>
  <c r="AT23" i="315"/>
  <c r="AT60" i="315"/>
  <c r="AT667" i="321"/>
  <c r="BB177" i="278"/>
  <c r="BB166" i="278"/>
  <c r="BB169" i="278" s="1"/>
  <c r="BA237" i="278"/>
  <c r="BA241" i="278" s="1"/>
  <c r="AU601" i="321"/>
  <c r="AU604" i="321" s="1"/>
  <c r="AU539" i="321"/>
  <c r="AU541" i="321" s="1"/>
  <c r="AU555" i="321" s="1"/>
  <c r="AU557" i="321" s="1"/>
  <c r="AU572" i="321"/>
  <c r="AU574" i="321" s="1"/>
  <c r="AU580" i="321" s="1"/>
  <c r="AU582" i="321" s="1"/>
  <c r="AU563" i="321"/>
  <c r="AU567" i="321" s="1"/>
  <c r="AC454" i="307"/>
  <c r="AC455" i="307" s="1"/>
  <c r="AC249" i="307"/>
  <c r="AC630" i="307"/>
  <c r="AC347" i="307"/>
  <c r="AC349" i="307" s="1"/>
  <c r="AD346" i="307" s="1"/>
  <c r="AC13" i="310"/>
  <c r="AC134" i="288"/>
  <c r="AD305" i="307"/>
  <c r="AD306" i="307" s="1"/>
  <c r="AD309" i="307" s="1"/>
  <c r="AD378" i="307"/>
  <c r="AD380" i="307" s="1"/>
  <c r="AD384" i="307" s="1"/>
  <c r="AD385" i="307" s="1"/>
  <c r="AD414" i="307"/>
  <c r="AD416" i="307" s="1"/>
  <c r="AD326" i="307"/>
  <c r="AD327" i="307" s="1"/>
  <c r="AD330" i="307" s="1"/>
  <c r="AD390" i="307"/>
  <c r="AD392" i="307" s="1"/>
  <c r="AD396" i="307" s="1"/>
  <c r="AD397" i="307" s="1"/>
  <c r="AD427" i="307"/>
  <c r="AD429" i="307" s="1"/>
  <c r="AD213" i="307"/>
  <c r="AD148" i="307"/>
  <c r="AD129" i="307"/>
  <c r="AD131" i="307" s="1"/>
  <c r="AD135" i="307" s="1"/>
  <c r="AD138" i="307" s="1"/>
  <c r="AD142" i="307" s="1"/>
  <c r="AD145" i="307" s="1"/>
  <c r="AD147" i="307" s="1"/>
  <c r="AD176" i="307"/>
  <c r="AD179" i="307" s="1"/>
  <c r="AD184" i="307" s="1"/>
  <c r="AD187" i="307" s="1"/>
  <c r="AC84" i="307"/>
  <c r="AC86" i="307" s="1"/>
  <c r="AC588" i="307"/>
  <c r="AC40" i="310"/>
  <c r="AC27" i="307"/>
  <c r="AC587" i="307"/>
  <c r="AC589" i="307" s="1"/>
  <c r="AC39" i="310"/>
  <c r="AC26" i="307"/>
  <c r="AC595" i="307"/>
  <c r="AC43" i="310"/>
  <c r="AC30" i="307"/>
  <c r="AB58" i="310"/>
  <c r="AB63" i="310"/>
  <c r="AB47" i="310"/>
  <c r="AB145" i="288"/>
  <c r="AC591" i="307" l="1"/>
  <c r="AC596" i="307" s="1"/>
  <c r="AC139" i="288"/>
  <c r="AC89" i="307"/>
  <c r="AC90" i="307" s="1"/>
  <c r="AD88" i="307" s="1"/>
  <c r="AC675" i="307"/>
  <c r="AC625" i="307"/>
  <c r="AC10" i="310"/>
  <c r="AC284" i="307"/>
  <c r="AD193" i="307"/>
  <c r="AD190" i="307"/>
  <c r="AD191" i="307" s="1"/>
  <c r="AD150" i="307"/>
  <c r="AD433" i="307"/>
  <c r="AD401" i="307"/>
  <c r="AD432" i="307"/>
  <c r="AD434" i="307" s="1"/>
  <c r="AD400" i="307"/>
  <c r="AD402" i="307" s="1"/>
  <c r="AC464" i="307"/>
  <c r="AC465" i="307" s="1"/>
  <c r="AC484" i="307"/>
  <c r="AC485" i="307" s="1"/>
  <c r="AU610" i="321"/>
  <c r="AU568" i="321"/>
  <c r="AU104" i="282"/>
  <c r="AU583" i="321"/>
  <c r="AU36" i="282"/>
  <c r="AU609" i="321"/>
  <c r="AU611" i="321" s="1"/>
  <c r="AU560" i="321"/>
  <c r="AU561" i="321" s="1"/>
  <c r="AU63" i="265"/>
  <c r="AU605" i="321"/>
  <c r="AU38" i="282"/>
  <c r="BA262" i="278"/>
  <c r="BA263" i="278" s="1"/>
  <c r="BA544" i="321"/>
  <c r="BA546" i="321" s="1"/>
  <c r="BA564" i="321"/>
  <c r="BA550" i="321"/>
  <c r="BA553" i="321" s="1"/>
  <c r="BB173" i="278"/>
  <c r="BB174" i="278" s="1"/>
  <c r="BB41" i="265"/>
  <c r="AF41" i="277" s="1"/>
  <c r="AT114" i="315"/>
  <c r="AU664" i="321"/>
  <c r="BB198" i="278"/>
  <c r="BB199" i="278" s="1"/>
  <c r="BB39" i="315"/>
  <c r="BA286" i="278"/>
  <c r="BA287" i="278" s="1"/>
  <c r="BA635" i="321"/>
  <c r="BA621" i="321"/>
  <c r="BA624" i="321" s="1"/>
  <c r="BA627" i="321" l="1"/>
  <c r="BA630" i="321"/>
  <c r="BA291" i="278"/>
  <c r="BC196" i="278"/>
  <c r="BB203" i="278"/>
  <c r="BB205" i="278" s="1"/>
  <c r="BB105" i="315"/>
  <c r="AU657" i="321"/>
  <c r="AU660" i="321" s="1"/>
  <c r="AU643" i="321"/>
  <c r="AU645" i="321" s="1"/>
  <c r="AU651" i="321" s="1"/>
  <c r="AU653" i="321" s="1"/>
  <c r="AU616" i="321"/>
  <c r="AU618" i="321" s="1"/>
  <c r="AU626" i="321" s="1"/>
  <c r="AU628" i="321" s="1"/>
  <c r="AU634" i="321"/>
  <c r="AU638" i="321" s="1"/>
  <c r="BC171" i="278"/>
  <c r="BB178" i="278"/>
  <c r="BB180" i="278" s="1"/>
  <c r="BB109" i="265"/>
  <c r="AF109" i="277" s="1"/>
  <c r="BB253" i="278"/>
  <c r="BB255" i="278" s="1"/>
  <c r="BB258" i="278" s="1"/>
  <c r="BA556" i="321"/>
  <c r="BA559" i="321"/>
  <c r="BA267" i="278"/>
  <c r="AU25" i="265"/>
  <c r="AU62" i="265"/>
  <c r="AV608" i="321"/>
  <c r="AU118" i="265"/>
  <c r="AU23" i="265"/>
  <c r="AU60" i="265"/>
  <c r="AU64" i="265"/>
  <c r="AC487" i="307"/>
  <c r="AC489" i="307" s="1"/>
  <c r="AC467" i="307"/>
  <c r="AC469" i="307" s="1"/>
  <c r="AD584" i="307"/>
  <c r="AD23" i="307"/>
  <c r="AD36" i="310"/>
  <c r="AD585" i="307"/>
  <c r="AD24" i="307"/>
  <c r="AD37" i="310"/>
  <c r="AD156" i="307"/>
  <c r="AD153" i="307"/>
  <c r="AD154" i="307" s="1"/>
  <c r="AD194" i="307"/>
  <c r="AD593" i="307"/>
  <c r="AD200" i="307"/>
  <c r="AD32" i="310"/>
  <c r="AD20" i="307"/>
  <c r="AD195" i="307"/>
  <c r="AD72" i="307"/>
  <c r="AD75" i="307" s="1"/>
  <c r="AD78" i="307" s="1"/>
  <c r="AD79" i="307" s="1"/>
  <c r="AC599" i="307"/>
  <c r="AC601" i="307" s="1"/>
  <c r="AC609" i="307"/>
  <c r="AC615" i="307" l="1"/>
  <c r="AD294" i="307"/>
  <c r="AD296" i="307" s="1"/>
  <c r="AD85" i="307"/>
  <c r="AD453" i="307"/>
  <c r="AD248" i="307"/>
  <c r="AD207" i="307"/>
  <c r="AD123" i="307"/>
  <c r="AD157" i="307"/>
  <c r="AD594" i="307"/>
  <c r="AD33" i="310"/>
  <c r="AD21" i="307"/>
  <c r="AD198" i="307"/>
  <c r="AD201" i="307" s="1"/>
  <c r="AD158" i="307"/>
  <c r="AC473" i="307"/>
  <c r="AC475" i="307" s="1"/>
  <c r="AD472" i="307" s="1"/>
  <c r="AC250" i="307"/>
  <c r="AC251" i="307" s="1"/>
  <c r="AC655" i="307"/>
  <c r="AC498" i="307"/>
  <c r="AC493" i="307"/>
  <c r="AC495" i="307" s="1"/>
  <c r="AD492" i="307" s="1"/>
  <c r="AC660" i="307"/>
  <c r="AC499" i="307"/>
  <c r="AV563" i="321"/>
  <c r="AV567" i="321" s="1"/>
  <c r="AV572" i="321"/>
  <c r="AV574" i="321" s="1"/>
  <c r="AV580" i="321" s="1"/>
  <c r="AV582" i="321" s="1"/>
  <c r="AV601" i="321"/>
  <c r="AV604" i="321" s="1"/>
  <c r="AV539" i="321"/>
  <c r="AV541" i="321" s="1"/>
  <c r="AV555" i="321" s="1"/>
  <c r="AV557" i="321" s="1"/>
  <c r="BB237" i="278"/>
  <c r="BB241" i="278" s="1"/>
  <c r="BC177" i="278"/>
  <c r="BC166" i="278"/>
  <c r="BC169" i="278" s="1"/>
  <c r="AU639" i="321"/>
  <c r="AU666" i="321"/>
  <c r="AU61" i="315"/>
  <c r="AU665" i="321"/>
  <c r="AU667" i="321" s="1"/>
  <c r="AU631" i="321"/>
  <c r="AU632" i="321" s="1"/>
  <c r="AU654" i="321"/>
  <c r="AU106" i="282"/>
  <c r="AU661" i="321"/>
  <c r="BB281" i="278"/>
  <c r="BB284" i="278" s="1"/>
  <c r="BB244" i="278"/>
  <c r="BB248" i="278" s="1"/>
  <c r="BC191" i="278"/>
  <c r="BC194" i="278" s="1"/>
  <c r="BC202" i="278"/>
  <c r="BC39" i="315" l="1"/>
  <c r="BC198" i="278"/>
  <c r="BC199" i="278" s="1"/>
  <c r="BB621" i="321"/>
  <c r="BB624" i="321" s="1"/>
  <c r="BB635" i="321"/>
  <c r="BB286" i="278"/>
  <c r="BB287" i="278" s="1"/>
  <c r="AU23" i="315"/>
  <c r="AU60" i="315"/>
  <c r="AU58" i="315"/>
  <c r="AU21" i="315"/>
  <c r="AV664" i="321"/>
  <c r="AU114" i="315"/>
  <c r="AU62" i="315"/>
  <c r="BC41" i="265"/>
  <c r="BC173" i="278"/>
  <c r="BC174" i="278" s="1"/>
  <c r="BB550" i="321"/>
  <c r="BB553" i="321" s="1"/>
  <c r="BB564" i="321"/>
  <c r="BB262" i="278"/>
  <c r="BB263" i="278" s="1"/>
  <c r="BB544" i="321"/>
  <c r="BB546" i="321" s="1"/>
  <c r="AV609" i="321"/>
  <c r="AV560" i="321"/>
  <c r="AV561" i="321" s="1"/>
  <c r="AV63" i="265"/>
  <c r="AC63" i="277" s="1"/>
  <c r="AV605" i="321"/>
  <c r="AV38" i="282"/>
  <c r="AV104" i="282"/>
  <c r="AV583" i="321"/>
  <c r="AV36" i="282"/>
  <c r="AV610" i="321"/>
  <c r="AV568" i="321"/>
  <c r="AD534" i="307"/>
  <c r="AD536" i="307" s="1"/>
  <c r="AD540" i="307" s="1"/>
  <c r="AD541" i="307" s="1"/>
  <c r="AD571" i="307"/>
  <c r="AD573" i="307" s="1"/>
  <c r="AD480" i="307"/>
  <c r="AD481" i="307" s="1"/>
  <c r="AD488" i="307" s="1"/>
  <c r="AC500" i="307"/>
  <c r="AC253" i="307"/>
  <c r="AC255" i="307" s="1"/>
  <c r="AD523" i="307"/>
  <c r="AD525" i="307" s="1"/>
  <c r="AD529" i="307" s="1"/>
  <c r="AD530" i="307" s="1"/>
  <c r="AD558" i="307"/>
  <c r="AD560" i="307" s="1"/>
  <c r="AD460" i="307"/>
  <c r="AD461" i="307" s="1"/>
  <c r="AD468" i="307" s="1"/>
  <c r="AD205" i="307"/>
  <c r="AD208" i="307" s="1"/>
  <c r="AD121" i="307"/>
  <c r="AD224" i="307"/>
  <c r="AD202" i="307"/>
  <c r="AD321" i="307"/>
  <c r="AD322" i="307" s="1"/>
  <c r="AD300" i="307"/>
  <c r="AD301" i="307" s="1"/>
  <c r="AD308" i="307" l="1"/>
  <c r="AD311" i="307" s="1"/>
  <c r="AD329" i="307"/>
  <c r="AD332" i="307" s="1"/>
  <c r="AD225" i="307"/>
  <c r="AD215" i="307"/>
  <c r="AD217" i="307" s="1"/>
  <c r="AD600" i="307"/>
  <c r="AD670" i="307"/>
  <c r="AD226" i="307"/>
  <c r="AD576" i="307"/>
  <c r="AD544" i="307"/>
  <c r="AC258" i="307"/>
  <c r="AC260" i="307" s="1"/>
  <c r="AD257" i="307" s="1"/>
  <c r="AC645" i="307"/>
  <c r="AC285" i="307"/>
  <c r="AC288" i="307" s="1"/>
  <c r="AC12" i="310"/>
  <c r="AC650" i="307"/>
  <c r="AC14" i="310"/>
  <c r="AC135" i="288"/>
  <c r="AC136" i="288" s="1"/>
  <c r="AD577" i="307"/>
  <c r="AD545" i="307"/>
  <c r="AV64" i="265"/>
  <c r="AC64" i="277" s="1"/>
  <c r="AV23" i="265"/>
  <c r="AC23" i="277" s="1"/>
  <c r="AV60" i="265"/>
  <c r="AC60" i="277" s="1"/>
  <c r="AV25" i="265"/>
  <c r="AC25" i="277" s="1"/>
  <c r="AV62" i="265"/>
  <c r="AC62" i="277" s="1"/>
  <c r="AV611" i="321"/>
  <c r="BB267" i="278"/>
  <c r="BB556" i="321"/>
  <c r="BB559" i="321"/>
  <c r="BC178" i="278"/>
  <c r="BC180" i="278" s="1"/>
  <c r="BD171" i="278"/>
  <c r="BC109" i="265"/>
  <c r="BC253" i="278"/>
  <c r="BC255" i="278" s="1"/>
  <c r="BC258" i="278" s="1"/>
  <c r="AV643" i="321"/>
  <c r="AV645" i="321" s="1"/>
  <c r="AV651" i="321" s="1"/>
  <c r="AV653" i="321" s="1"/>
  <c r="AV657" i="321"/>
  <c r="AV660" i="321" s="1"/>
  <c r="AV616" i="321"/>
  <c r="AV618" i="321" s="1"/>
  <c r="AV626" i="321" s="1"/>
  <c r="AV628" i="321" s="1"/>
  <c r="AV634" i="321"/>
  <c r="AV638" i="321" s="1"/>
  <c r="BB291" i="278"/>
  <c r="BB627" i="321"/>
  <c r="BB630" i="321"/>
  <c r="BD196" i="278"/>
  <c r="BC203" i="278"/>
  <c r="BC205" i="278" s="1"/>
  <c r="BC105" i="315"/>
  <c r="BC281" i="278" l="1"/>
  <c r="BC284" i="278" s="1"/>
  <c r="BC244" i="278"/>
  <c r="BC248" i="278" s="1"/>
  <c r="BD191" i="278"/>
  <c r="BD194" i="278" s="1"/>
  <c r="BD202" i="278"/>
  <c r="AV666" i="321"/>
  <c r="AV639" i="321"/>
  <c r="AV61" i="315"/>
  <c r="AV665" i="321"/>
  <c r="AV667" i="321" s="1"/>
  <c r="AV631" i="321"/>
  <c r="AV632" i="321" s="1"/>
  <c r="AV106" i="282"/>
  <c r="AV661" i="321"/>
  <c r="AV654" i="321"/>
  <c r="BD166" i="278"/>
  <c r="BD169" i="278" s="1"/>
  <c r="BD177" i="278"/>
  <c r="BC237" i="278"/>
  <c r="BC241" i="278" s="1"/>
  <c r="AV118" i="265"/>
  <c r="AC118" i="277" s="1"/>
  <c r="AW608" i="321"/>
  <c r="AC138" i="288"/>
  <c r="AC140" i="288" s="1"/>
  <c r="AC16" i="310"/>
  <c r="AC56" i="288"/>
  <c r="AC206" i="288"/>
  <c r="AD264" i="307"/>
  <c r="AD265" i="307" s="1"/>
  <c r="AD269" i="307" s="1"/>
  <c r="AD271" i="307" s="1"/>
  <c r="AD244" i="307"/>
  <c r="AD245" i="307" s="1"/>
  <c r="AD254" i="307" s="1"/>
  <c r="AD546" i="307"/>
  <c r="AD578" i="307"/>
  <c r="AD81" i="307"/>
  <c r="AD82" i="307" s="1"/>
  <c r="AD124" i="307"/>
  <c r="AD125" i="307" s="1"/>
  <c r="AE119" i="307" s="1"/>
  <c r="AD227" i="307"/>
  <c r="AD34" i="310"/>
  <c r="AD640" i="307"/>
  <c r="AD336" i="307"/>
  <c r="AD338" i="307" s="1"/>
  <c r="AE335" i="307" s="1"/>
  <c r="AD342" i="307"/>
  <c r="AD635" i="307"/>
  <c r="AD315" i="307"/>
  <c r="AD317" i="307" s="1"/>
  <c r="AE314" i="307" s="1"/>
  <c r="AD341" i="307"/>
  <c r="AD343" i="307" s="1"/>
  <c r="AD454" i="307" l="1"/>
  <c r="AD455" i="307" s="1"/>
  <c r="AD249" i="307"/>
  <c r="AD630" i="307"/>
  <c r="AD134" i="288"/>
  <c r="AD13" i="310"/>
  <c r="AD347" i="307"/>
  <c r="AD349" i="307" s="1"/>
  <c r="AE346" i="307" s="1"/>
  <c r="AE305" i="307"/>
  <c r="AE306" i="307" s="1"/>
  <c r="AE309" i="307" s="1"/>
  <c r="AE378" i="307"/>
  <c r="AE380" i="307" s="1"/>
  <c r="AE384" i="307" s="1"/>
  <c r="AE385" i="307" s="1"/>
  <c r="AE414" i="307"/>
  <c r="AE416" i="307" s="1"/>
  <c r="AE326" i="307"/>
  <c r="AE327" i="307" s="1"/>
  <c r="AE330" i="307" s="1"/>
  <c r="AE390" i="307"/>
  <c r="AE392" i="307" s="1"/>
  <c r="AE396" i="307" s="1"/>
  <c r="AE397" i="307" s="1"/>
  <c r="AE427" i="307"/>
  <c r="AE429" i="307" s="1"/>
  <c r="AE213" i="307"/>
  <c r="AE148" i="307"/>
  <c r="AE129" i="307"/>
  <c r="AE131" i="307" s="1"/>
  <c r="AE135" i="307" s="1"/>
  <c r="AE138" i="307" s="1"/>
  <c r="AE142" i="307" s="1"/>
  <c r="AE145" i="307" s="1"/>
  <c r="AE147" i="307" s="1"/>
  <c r="AE176" i="307"/>
  <c r="AE179" i="307" s="1"/>
  <c r="AE184" i="307" s="1"/>
  <c r="AE187" i="307" s="1"/>
  <c r="AD84" i="307"/>
  <c r="AD86" i="307" s="1"/>
  <c r="AD588" i="307"/>
  <c r="AD27" i="307"/>
  <c r="AD40" i="310"/>
  <c r="AD587" i="307"/>
  <c r="AD589" i="307" s="1"/>
  <c r="AD26" i="307"/>
  <c r="AD39" i="310"/>
  <c r="AD595" i="307"/>
  <c r="AD43" i="310"/>
  <c r="AD30" i="307"/>
  <c r="AC63" i="310"/>
  <c r="AC58" i="310"/>
  <c r="AC47" i="310"/>
  <c r="AC145" i="288"/>
  <c r="AW572" i="321"/>
  <c r="AW574" i="321" s="1"/>
  <c r="AW580" i="321" s="1"/>
  <c r="AW582" i="321" s="1"/>
  <c r="AW539" i="321"/>
  <c r="AW541" i="321" s="1"/>
  <c r="AW555" i="321" s="1"/>
  <c r="AW557" i="321" s="1"/>
  <c r="AW601" i="321"/>
  <c r="AW604" i="321" s="1"/>
  <c r="AW563" i="321"/>
  <c r="AW567" i="321" s="1"/>
  <c r="BC544" i="321"/>
  <c r="BC546" i="321" s="1"/>
  <c r="BC564" i="321"/>
  <c r="BC262" i="278"/>
  <c r="BC263" i="278" s="1"/>
  <c r="BC550" i="321"/>
  <c r="BC553" i="321" s="1"/>
  <c r="BD41" i="265"/>
  <c r="AG41" i="277" s="1"/>
  <c r="BD173" i="278"/>
  <c r="BD174" i="278" s="1"/>
  <c r="AV58" i="315"/>
  <c r="AV21" i="315"/>
  <c r="AV60" i="315"/>
  <c r="AV23" i="315"/>
  <c r="AV114" i="315"/>
  <c r="AW664" i="321"/>
  <c r="AV62" i="315"/>
  <c r="BD39" i="315"/>
  <c r="BD198" i="278"/>
  <c r="BD199" i="278" s="1"/>
  <c r="BC621" i="321"/>
  <c r="BC624" i="321" s="1"/>
  <c r="BC635" i="321"/>
  <c r="BC286" i="278"/>
  <c r="BC287" i="278" s="1"/>
  <c r="BC291" i="278" l="1"/>
  <c r="BC627" i="321"/>
  <c r="BC630" i="321"/>
  <c r="BD203" i="278"/>
  <c r="BD205" i="278" s="1"/>
  <c r="BE196" i="278"/>
  <c r="BD105" i="315"/>
  <c r="AW657" i="321"/>
  <c r="AW660" i="321" s="1"/>
  <c r="AW634" i="321"/>
  <c r="AW638" i="321" s="1"/>
  <c r="AW616" i="321"/>
  <c r="AW618" i="321" s="1"/>
  <c r="AW626" i="321" s="1"/>
  <c r="AW628" i="321" s="1"/>
  <c r="AW643" i="321"/>
  <c r="AW645" i="321" s="1"/>
  <c r="AW651" i="321" s="1"/>
  <c r="AW653" i="321" s="1"/>
  <c r="BE171" i="278"/>
  <c r="BD178" i="278"/>
  <c r="BD180" i="278" s="1"/>
  <c r="BD109" i="265"/>
  <c r="AG109" i="277" s="1"/>
  <c r="BD253" i="278"/>
  <c r="BD255" i="278" s="1"/>
  <c r="BD258" i="278" s="1"/>
  <c r="BC556" i="321"/>
  <c r="BC559" i="321"/>
  <c r="BC267" i="278"/>
  <c r="AW610" i="321"/>
  <c r="AW568" i="321"/>
  <c r="AW38" i="282"/>
  <c r="AW605" i="321"/>
  <c r="AW560" i="321"/>
  <c r="AW561" i="321" s="1"/>
  <c r="AW63" i="265"/>
  <c r="AW609" i="321"/>
  <c r="AW611" i="321" s="1"/>
  <c r="AW104" i="282"/>
  <c r="AW583" i="321"/>
  <c r="AW36" i="282"/>
  <c r="AD591" i="307"/>
  <c r="AD596" i="307" s="1"/>
  <c r="AD139" i="288"/>
  <c r="AD89" i="307"/>
  <c r="AD90" i="307" s="1"/>
  <c r="AE88" i="307" s="1"/>
  <c r="AD675" i="307"/>
  <c r="AD625" i="307"/>
  <c r="AD10" i="310"/>
  <c r="AD284" i="307"/>
  <c r="AE193" i="307"/>
  <c r="AE190" i="307"/>
  <c r="AE191" i="307" s="1"/>
  <c r="AE150" i="307"/>
  <c r="AE433" i="307"/>
  <c r="AE401" i="307"/>
  <c r="AE432" i="307"/>
  <c r="AE434" i="307" s="1"/>
  <c r="AE400" i="307"/>
  <c r="AE402" i="307" s="1"/>
  <c r="AD464" i="307"/>
  <c r="AD465" i="307" s="1"/>
  <c r="AD484" i="307"/>
  <c r="AD485" i="307" s="1"/>
  <c r="AD487" i="307" l="1"/>
  <c r="AD489" i="307" s="1"/>
  <c r="AD467" i="307"/>
  <c r="AD469" i="307" s="1"/>
  <c r="AE584" i="307"/>
  <c r="AE23" i="307"/>
  <c r="AE36" i="310"/>
  <c r="AE585" i="307"/>
  <c r="AE37" i="310"/>
  <c r="AE24" i="307"/>
  <c r="AE156" i="307"/>
  <c r="AE153" i="307"/>
  <c r="AE154" i="307" s="1"/>
  <c r="AE194" i="307"/>
  <c r="AE593" i="307"/>
  <c r="AE20" i="307"/>
  <c r="AE32" i="310"/>
  <c r="AE200" i="307"/>
  <c r="AE195" i="307"/>
  <c r="AE72" i="307"/>
  <c r="AE75" i="307" s="1"/>
  <c r="AE78" i="307" s="1"/>
  <c r="AE79" i="307" s="1"/>
  <c r="AD599" i="307"/>
  <c r="AD601" i="307" s="1"/>
  <c r="AD609" i="307"/>
  <c r="AW23" i="265"/>
  <c r="AW60" i="265"/>
  <c r="AX608" i="321"/>
  <c r="AW118" i="265"/>
  <c r="AW25" i="265"/>
  <c r="AW62" i="265"/>
  <c r="AW64" i="265"/>
  <c r="BD237" i="278"/>
  <c r="BD241" i="278" s="1"/>
  <c r="BE166" i="278"/>
  <c r="BE169" i="278" s="1"/>
  <c r="BE177" i="278"/>
  <c r="AW654" i="321"/>
  <c r="AW61" i="315"/>
  <c r="AW665" i="321"/>
  <c r="AW631" i="321"/>
  <c r="AW632" i="321" s="1"/>
  <c r="AW639" i="321"/>
  <c r="AW666" i="321"/>
  <c r="AW106" i="282"/>
  <c r="AW661" i="321"/>
  <c r="BE202" i="278"/>
  <c r="BE191" i="278"/>
  <c r="BE194" i="278" s="1"/>
  <c r="BD281" i="278"/>
  <c r="BD284" i="278" s="1"/>
  <c r="BD244" i="278"/>
  <c r="BD248" i="278" s="1"/>
  <c r="BD621" i="321" l="1"/>
  <c r="BD624" i="321" s="1"/>
  <c r="BD635" i="321"/>
  <c r="BD286" i="278"/>
  <c r="BD287" i="278" s="1"/>
  <c r="BE198" i="278"/>
  <c r="BE199" i="278" s="1"/>
  <c r="BE39" i="315"/>
  <c r="AW23" i="315"/>
  <c r="AW60" i="315"/>
  <c r="AW62" i="315"/>
  <c r="AW667" i="321"/>
  <c r="AW58" i="315"/>
  <c r="AW21" i="315"/>
  <c r="BE41" i="265"/>
  <c r="BE173" i="278"/>
  <c r="BE174" i="278" s="1"/>
  <c r="BD564" i="321"/>
  <c r="BD550" i="321"/>
  <c r="BD553" i="321" s="1"/>
  <c r="BD262" i="278"/>
  <c r="BD263" i="278" s="1"/>
  <c r="BD544" i="321"/>
  <c r="BD546" i="321" s="1"/>
  <c r="AX601" i="321"/>
  <c r="AX604" i="321" s="1"/>
  <c r="AX539" i="321"/>
  <c r="AX541" i="321" s="1"/>
  <c r="AX555" i="321" s="1"/>
  <c r="AX557" i="321" s="1"/>
  <c r="AX563" i="321"/>
  <c r="AX567" i="321" s="1"/>
  <c r="AX572" i="321"/>
  <c r="AX574" i="321" s="1"/>
  <c r="AX580" i="321" s="1"/>
  <c r="AX582" i="321" s="1"/>
  <c r="AD615" i="307"/>
  <c r="AE294" i="307"/>
  <c r="AE296" i="307" s="1"/>
  <c r="AE85" i="307"/>
  <c r="AE453" i="307"/>
  <c r="AE248" i="307"/>
  <c r="AE207" i="307"/>
  <c r="AE123" i="307"/>
  <c r="AE157" i="307"/>
  <c r="AE594" i="307"/>
  <c r="AE21" i="307"/>
  <c r="AE198" i="307"/>
  <c r="AE201" i="307" s="1"/>
  <c r="AE33" i="310"/>
  <c r="AE158" i="307"/>
  <c r="AD473" i="307"/>
  <c r="AD475" i="307" s="1"/>
  <c r="AE472" i="307" s="1"/>
  <c r="AD250" i="307"/>
  <c r="AD251" i="307" s="1"/>
  <c r="AD655" i="307"/>
  <c r="AD498" i="307"/>
  <c r="AD493" i="307"/>
  <c r="AD495" i="307" s="1"/>
  <c r="AE492" i="307" s="1"/>
  <c r="AD660" i="307"/>
  <c r="AD499" i="307"/>
  <c r="AE534" i="307" l="1"/>
  <c r="AE536" i="307" s="1"/>
  <c r="AE540" i="307" s="1"/>
  <c r="AE541" i="307" s="1"/>
  <c r="AE571" i="307"/>
  <c r="AE573" i="307" s="1"/>
  <c r="AE480" i="307"/>
  <c r="AE481" i="307" s="1"/>
  <c r="AE488" i="307" s="1"/>
  <c r="AD500" i="307"/>
  <c r="AD253" i="307"/>
  <c r="AD255" i="307" s="1"/>
  <c r="AE523" i="307"/>
  <c r="AE525" i="307" s="1"/>
  <c r="AE529" i="307" s="1"/>
  <c r="AE530" i="307" s="1"/>
  <c r="AE558" i="307"/>
  <c r="AE560" i="307" s="1"/>
  <c r="AE460" i="307"/>
  <c r="AE461" i="307" s="1"/>
  <c r="AE468" i="307" s="1"/>
  <c r="AE205" i="307"/>
  <c r="AE208" i="307" s="1"/>
  <c r="AE121" i="307"/>
  <c r="AE202" i="307"/>
  <c r="AE224" i="307"/>
  <c r="AE321" i="307"/>
  <c r="AE322" i="307" s="1"/>
  <c r="AE300" i="307"/>
  <c r="AE301" i="307" s="1"/>
  <c r="AX104" i="282"/>
  <c r="AX583" i="321"/>
  <c r="AX36" i="282"/>
  <c r="AX610" i="321"/>
  <c r="AX568" i="321"/>
  <c r="AX609" i="321"/>
  <c r="AX611" i="321" s="1"/>
  <c r="AX560" i="321"/>
  <c r="AX561" i="321" s="1"/>
  <c r="AX63" i="265"/>
  <c r="AD63" i="277" s="1"/>
  <c r="AX605" i="321"/>
  <c r="AX38" i="282"/>
  <c r="BD267" i="278"/>
  <c r="BD556" i="321"/>
  <c r="BD559" i="321"/>
  <c r="BF171" i="278"/>
  <c r="BE178" i="278"/>
  <c r="BE180" i="278" s="1"/>
  <c r="BE109" i="265"/>
  <c r="BE253" i="278"/>
  <c r="BE255" i="278" s="1"/>
  <c r="BE258" i="278" s="1"/>
  <c r="AX664" i="321"/>
  <c r="AW114" i="315"/>
  <c r="BE203" i="278"/>
  <c r="BE205" i="278" s="1"/>
  <c r="BF196" i="278"/>
  <c r="BE105" i="315"/>
  <c r="BD291" i="278"/>
  <c r="BD627" i="321"/>
  <c r="BD630" i="321"/>
  <c r="BF191" i="278" l="1"/>
  <c r="BF194" i="278" s="1"/>
  <c r="BF202" i="278"/>
  <c r="BE281" i="278"/>
  <c r="BE284" i="278" s="1"/>
  <c r="BE244" i="278"/>
  <c r="BE248" i="278" s="1"/>
  <c r="AX616" i="321"/>
  <c r="AX618" i="321" s="1"/>
  <c r="AX626" i="321" s="1"/>
  <c r="AX628" i="321" s="1"/>
  <c r="AX657" i="321"/>
  <c r="AX660" i="321" s="1"/>
  <c r="AX634" i="321"/>
  <c r="AX638" i="321" s="1"/>
  <c r="AX643" i="321"/>
  <c r="AX645" i="321" s="1"/>
  <c r="AX651" i="321" s="1"/>
  <c r="AX653" i="321" s="1"/>
  <c r="BE237" i="278"/>
  <c r="BE241" i="278" s="1"/>
  <c r="BF177" i="278"/>
  <c r="BF166" i="278"/>
  <c r="BF169" i="278" s="1"/>
  <c r="AX25" i="265"/>
  <c r="AD25" i="277" s="1"/>
  <c r="AX62" i="265"/>
  <c r="AD62" i="277" s="1"/>
  <c r="AY608" i="321"/>
  <c r="AX118" i="265"/>
  <c r="AD118" i="277" s="1"/>
  <c r="AX64" i="265"/>
  <c r="AD64" i="277" s="1"/>
  <c r="AX23" i="265"/>
  <c r="AD23" i="277" s="1"/>
  <c r="AX60" i="265"/>
  <c r="AD60" i="277" s="1"/>
  <c r="AE308" i="307"/>
  <c r="AE311" i="307" s="1"/>
  <c r="AE329" i="307"/>
  <c r="AE332" i="307" s="1"/>
  <c r="AE225" i="307"/>
  <c r="AE215" i="307"/>
  <c r="AE217" i="307" s="1"/>
  <c r="AE600" i="307"/>
  <c r="AE670" i="307"/>
  <c r="AE226" i="307"/>
  <c r="AE576" i="307"/>
  <c r="AE544" i="307"/>
  <c r="AD258" i="307"/>
  <c r="AD260" i="307" s="1"/>
  <c r="AE257" i="307" s="1"/>
  <c r="AD645" i="307"/>
  <c r="AD12" i="310"/>
  <c r="AD285" i="307"/>
  <c r="AD288" i="307" s="1"/>
  <c r="AD650" i="307"/>
  <c r="AD14" i="310"/>
  <c r="AD135" i="288"/>
  <c r="AD136" i="288" s="1"/>
  <c r="AE577" i="307"/>
  <c r="AE545" i="307"/>
  <c r="AD138" i="288" l="1"/>
  <c r="AD140" i="288" s="1"/>
  <c r="AD56" i="288"/>
  <c r="AD206" i="288"/>
  <c r="AD16" i="310"/>
  <c r="AE264" i="307"/>
  <c r="AE265" i="307" s="1"/>
  <c r="AE269" i="307" s="1"/>
  <c r="AE271" i="307" s="1"/>
  <c r="AE244" i="307"/>
  <c r="AE245" i="307" s="1"/>
  <c r="AE254" i="307" s="1"/>
  <c r="AE546" i="307"/>
  <c r="AE578" i="307"/>
  <c r="AE81" i="307"/>
  <c r="AE82" i="307" s="1"/>
  <c r="AE124" i="307"/>
  <c r="AE125" i="307" s="1"/>
  <c r="AF119" i="307" s="1"/>
  <c r="AE227" i="307"/>
  <c r="AE34" i="310"/>
  <c r="AE640" i="307"/>
  <c r="AE336" i="307"/>
  <c r="AE338" i="307" s="1"/>
  <c r="AF335" i="307" s="1"/>
  <c r="AE342" i="307"/>
  <c r="AE635" i="307"/>
  <c r="AE315" i="307"/>
  <c r="AE317" i="307" s="1"/>
  <c r="AF314" i="307" s="1"/>
  <c r="AE341" i="307"/>
  <c r="AE343" i="307" s="1"/>
  <c r="AY572" i="321"/>
  <c r="AY574" i="321" s="1"/>
  <c r="AY580" i="321" s="1"/>
  <c r="AY582" i="321" s="1"/>
  <c r="AY563" i="321"/>
  <c r="AY567" i="321" s="1"/>
  <c r="AY601" i="321"/>
  <c r="AY604" i="321" s="1"/>
  <c r="AY539" i="321"/>
  <c r="AY541" i="321" s="1"/>
  <c r="AY555" i="321" s="1"/>
  <c r="AY557" i="321" s="1"/>
  <c r="BF173" i="278"/>
  <c r="BF174" i="278" s="1"/>
  <c r="BF41" i="265"/>
  <c r="AH41" i="277" s="1"/>
  <c r="BE564" i="321"/>
  <c r="BE550" i="321"/>
  <c r="BE553" i="321" s="1"/>
  <c r="BE262" i="278"/>
  <c r="BE263" i="278" s="1"/>
  <c r="BE544" i="321"/>
  <c r="BE546" i="321" s="1"/>
  <c r="AX654" i="321"/>
  <c r="AX666" i="321"/>
  <c r="AX639" i="321"/>
  <c r="AX661" i="321"/>
  <c r="AX106" i="282"/>
  <c r="AX665" i="321"/>
  <c r="AX667" i="321" s="1"/>
  <c r="AX61" i="315"/>
  <c r="AX631" i="321"/>
  <c r="AX632" i="321" s="1"/>
  <c r="BE621" i="321"/>
  <c r="BE624" i="321" s="1"/>
  <c r="BE635" i="321"/>
  <c r="BE286" i="278"/>
  <c r="BE287" i="278" s="1"/>
  <c r="BF39" i="315"/>
  <c r="BF198" i="278"/>
  <c r="BF199" i="278" s="1"/>
  <c r="BG196" i="278" l="1"/>
  <c r="BF203" i="278"/>
  <c r="BF205" i="278" s="1"/>
  <c r="BF105" i="315"/>
  <c r="BE291" i="278"/>
  <c r="BE627" i="321"/>
  <c r="BE630" i="321"/>
  <c r="AX114" i="315"/>
  <c r="AY664" i="321"/>
  <c r="AX23" i="315"/>
  <c r="AX60" i="315"/>
  <c r="AX62" i="315"/>
  <c r="AX58" i="315"/>
  <c r="AX21" i="315"/>
  <c r="BE267" i="278"/>
  <c r="BE556" i="321"/>
  <c r="BE559" i="321"/>
  <c r="BF178" i="278"/>
  <c r="BF180" i="278" s="1"/>
  <c r="BG171" i="278"/>
  <c r="BF109" i="265"/>
  <c r="AH109" i="277" s="1"/>
  <c r="BF253" i="278"/>
  <c r="BF255" i="278" s="1"/>
  <c r="BF258" i="278" s="1"/>
  <c r="AY609" i="321"/>
  <c r="AY560" i="321"/>
  <c r="AY561" i="321" s="1"/>
  <c r="AY63" i="265"/>
  <c r="AY605" i="321"/>
  <c r="AY38" i="282"/>
  <c r="AY610" i="321"/>
  <c r="AY568" i="321"/>
  <c r="AY104" i="282"/>
  <c r="AY583" i="321"/>
  <c r="AY36" i="282"/>
  <c r="AE454" i="307"/>
  <c r="AE455" i="307" s="1"/>
  <c r="AE249" i="307"/>
  <c r="AE630" i="307"/>
  <c r="AE13" i="310"/>
  <c r="AE134" i="288"/>
  <c r="AE347" i="307"/>
  <c r="AE349" i="307" s="1"/>
  <c r="AF346" i="307" s="1"/>
  <c r="AF305" i="307"/>
  <c r="AF306" i="307" s="1"/>
  <c r="AF309" i="307" s="1"/>
  <c r="AF378" i="307"/>
  <c r="AF380" i="307" s="1"/>
  <c r="AF384" i="307" s="1"/>
  <c r="AF385" i="307" s="1"/>
  <c r="AF414" i="307"/>
  <c r="AF416" i="307" s="1"/>
  <c r="AF326" i="307"/>
  <c r="AF327" i="307" s="1"/>
  <c r="AF330" i="307" s="1"/>
  <c r="AF390" i="307"/>
  <c r="AF392" i="307" s="1"/>
  <c r="AF396" i="307" s="1"/>
  <c r="AF397" i="307" s="1"/>
  <c r="AF427" i="307"/>
  <c r="AF429" i="307" s="1"/>
  <c r="AF213" i="307"/>
  <c r="AF148" i="307"/>
  <c r="AF129" i="307"/>
  <c r="AF131" i="307" s="1"/>
  <c r="AF135" i="307" s="1"/>
  <c r="AF138" i="307" s="1"/>
  <c r="AF142" i="307" s="1"/>
  <c r="AF145" i="307" s="1"/>
  <c r="AF147" i="307" s="1"/>
  <c r="AF176" i="307"/>
  <c r="AF179" i="307" s="1"/>
  <c r="AF184" i="307" s="1"/>
  <c r="AF187" i="307" s="1"/>
  <c r="AE84" i="307"/>
  <c r="AE86" i="307" s="1"/>
  <c r="AE588" i="307"/>
  <c r="AE40" i="310"/>
  <c r="AE27" i="307"/>
  <c r="AE587" i="307"/>
  <c r="AE589" i="307" s="1"/>
  <c r="AE39" i="310"/>
  <c r="AE26" i="307"/>
  <c r="AE595" i="307"/>
  <c r="AE30" i="307"/>
  <c r="AE43" i="310"/>
  <c r="AD47" i="310"/>
  <c r="AD63" i="310"/>
  <c r="AD58" i="310"/>
  <c r="AD145" i="288"/>
  <c r="AE591" i="307" l="1"/>
  <c r="AE596" i="307" s="1"/>
  <c r="AE139" i="288"/>
  <c r="AE89" i="307"/>
  <c r="AE90" i="307" s="1"/>
  <c r="AF88" i="307" s="1"/>
  <c r="AE675" i="307"/>
  <c r="AE625" i="307"/>
  <c r="AE10" i="310"/>
  <c r="AE284" i="307"/>
  <c r="AF193" i="307"/>
  <c r="AF190" i="307"/>
  <c r="AF191" i="307" s="1"/>
  <c r="AF150" i="307"/>
  <c r="AF433" i="307"/>
  <c r="AF401" i="307"/>
  <c r="AF432" i="307"/>
  <c r="AF434" i="307" s="1"/>
  <c r="AF400" i="307"/>
  <c r="AF402" i="307" s="1"/>
  <c r="AE464" i="307"/>
  <c r="AE465" i="307" s="1"/>
  <c r="AE484" i="307"/>
  <c r="AE485" i="307" s="1"/>
  <c r="AY23" i="265"/>
  <c r="AY60" i="265"/>
  <c r="AY64" i="265"/>
  <c r="AY25" i="265"/>
  <c r="AY62" i="265"/>
  <c r="AY611" i="321"/>
  <c r="BG177" i="278"/>
  <c r="BG166" i="278"/>
  <c r="BG169" i="278" s="1"/>
  <c r="BF237" i="278"/>
  <c r="BF241" i="278" s="1"/>
  <c r="AY616" i="321"/>
  <c r="AY618" i="321" s="1"/>
  <c r="AY626" i="321" s="1"/>
  <c r="AY628" i="321" s="1"/>
  <c r="AY643" i="321"/>
  <c r="AY645" i="321" s="1"/>
  <c r="AY651" i="321" s="1"/>
  <c r="AY653" i="321" s="1"/>
  <c r="AY657" i="321"/>
  <c r="AY660" i="321" s="1"/>
  <c r="AY634" i="321"/>
  <c r="AY638" i="321" s="1"/>
  <c r="BF281" i="278"/>
  <c r="BF284" i="278" s="1"/>
  <c r="BF244" i="278"/>
  <c r="BF248" i="278" s="1"/>
  <c r="BG191" i="278"/>
  <c r="BG194" i="278" s="1"/>
  <c r="BG202" i="278"/>
  <c r="BG39" i="315" l="1"/>
  <c r="BG198" i="278"/>
  <c r="BG199" i="278" s="1"/>
  <c r="BF621" i="321"/>
  <c r="BF624" i="321" s="1"/>
  <c r="BF635" i="321"/>
  <c r="BF286" i="278"/>
  <c r="BF287" i="278" s="1"/>
  <c r="AY666" i="321"/>
  <c r="AY639" i="321"/>
  <c r="AY661" i="321"/>
  <c r="AY106" i="282"/>
  <c r="AY654" i="321"/>
  <c r="AY665" i="321"/>
  <c r="AY667" i="321" s="1"/>
  <c r="AY61" i="315"/>
  <c r="AY631" i="321"/>
  <c r="AY632" i="321" s="1"/>
  <c r="BF564" i="321"/>
  <c r="BF550" i="321"/>
  <c r="BF553" i="321" s="1"/>
  <c r="BF262" i="278"/>
  <c r="BF263" i="278" s="1"/>
  <c r="BF544" i="321"/>
  <c r="BF546" i="321" s="1"/>
  <c r="BG41" i="265"/>
  <c r="BG173" i="278"/>
  <c r="BG174" i="278" s="1"/>
  <c r="AZ608" i="321"/>
  <c r="AY118" i="265"/>
  <c r="AE487" i="307"/>
  <c r="AE489" i="307" s="1"/>
  <c r="AE467" i="307"/>
  <c r="AE469" i="307" s="1"/>
  <c r="AF584" i="307"/>
  <c r="AF36" i="310"/>
  <c r="AF23" i="307"/>
  <c r="AF585" i="307"/>
  <c r="AF37" i="310"/>
  <c r="AF24" i="307"/>
  <c r="AF156" i="307"/>
  <c r="AF153" i="307"/>
  <c r="AF154" i="307" s="1"/>
  <c r="AF194" i="307"/>
  <c r="AF593" i="307"/>
  <c r="AF20" i="307"/>
  <c r="AF200" i="307"/>
  <c r="AF32" i="310"/>
  <c r="AF195" i="307"/>
  <c r="AF72" i="307"/>
  <c r="AF75" i="307" s="1"/>
  <c r="AF78" i="307" s="1"/>
  <c r="AF79" i="307" s="1"/>
  <c r="AE599" i="307"/>
  <c r="AE601" i="307" s="1"/>
  <c r="AE609" i="307"/>
  <c r="AE615" i="307" l="1"/>
  <c r="AF294" i="307"/>
  <c r="AF296" i="307" s="1"/>
  <c r="AF85" i="307"/>
  <c r="AF453" i="307"/>
  <c r="AF248" i="307"/>
  <c r="AF207" i="307"/>
  <c r="AF123" i="307"/>
  <c r="AF157" i="307"/>
  <c r="AF594" i="307"/>
  <c r="AF33" i="310"/>
  <c r="AF198" i="307"/>
  <c r="AF201" i="307" s="1"/>
  <c r="AF21" i="307"/>
  <c r="AF158" i="307"/>
  <c r="AE473" i="307"/>
  <c r="AE475" i="307" s="1"/>
  <c r="AF472" i="307" s="1"/>
  <c r="AE250" i="307"/>
  <c r="AE251" i="307" s="1"/>
  <c r="AE655" i="307"/>
  <c r="AE498" i="307"/>
  <c r="AE493" i="307"/>
  <c r="AE495" i="307" s="1"/>
  <c r="AF492" i="307" s="1"/>
  <c r="AE660" i="307"/>
  <c r="AE499" i="307"/>
  <c r="AZ572" i="321"/>
  <c r="AZ574" i="321" s="1"/>
  <c r="AZ580" i="321" s="1"/>
  <c r="AZ582" i="321" s="1"/>
  <c r="AZ563" i="321"/>
  <c r="AZ567" i="321" s="1"/>
  <c r="AZ601" i="321"/>
  <c r="AZ604" i="321" s="1"/>
  <c r="AZ539" i="321"/>
  <c r="AZ541" i="321" s="1"/>
  <c r="AZ555" i="321" s="1"/>
  <c r="AZ557" i="321" s="1"/>
  <c r="BG178" i="278"/>
  <c r="BG180" i="278" s="1"/>
  <c r="BH171" i="278"/>
  <c r="BG109" i="265"/>
  <c r="BG253" i="278"/>
  <c r="BG255" i="278" s="1"/>
  <c r="BG258" i="278" s="1"/>
  <c r="BF267" i="278"/>
  <c r="BF556" i="321"/>
  <c r="BF559" i="321"/>
  <c r="AZ664" i="321"/>
  <c r="AY114" i="315"/>
  <c r="AY58" i="315"/>
  <c r="AY21" i="315"/>
  <c r="AY23" i="315"/>
  <c r="AY60" i="315"/>
  <c r="AY62" i="315"/>
  <c r="BF291" i="278"/>
  <c r="BF627" i="321"/>
  <c r="BF630" i="321"/>
  <c r="BH196" i="278"/>
  <c r="BG203" i="278"/>
  <c r="BG205" i="278" s="1"/>
  <c r="BG105" i="315"/>
  <c r="BG281" i="278" l="1"/>
  <c r="BG284" i="278" s="1"/>
  <c r="BG244" i="278"/>
  <c r="BG248" i="278" s="1"/>
  <c r="BH191" i="278"/>
  <c r="BH194" i="278" s="1"/>
  <c r="BH202" i="278"/>
  <c r="AZ643" i="321"/>
  <c r="AZ645" i="321" s="1"/>
  <c r="AZ651" i="321" s="1"/>
  <c r="AZ653" i="321" s="1"/>
  <c r="AZ657" i="321"/>
  <c r="AZ660" i="321" s="1"/>
  <c r="AZ616" i="321"/>
  <c r="AZ618" i="321" s="1"/>
  <c r="AZ626" i="321" s="1"/>
  <c r="AZ628" i="321" s="1"/>
  <c r="AZ634" i="321"/>
  <c r="AZ638" i="321" s="1"/>
  <c r="BH166" i="278"/>
  <c r="BH169" i="278" s="1"/>
  <c r="BH177" i="278"/>
  <c r="BG237" i="278"/>
  <c r="BG241" i="278" s="1"/>
  <c r="AZ609" i="321"/>
  <c r="AZ560" i="321"/>
  <c r="AZ561" i="321" s="1"/>
  <c r="AZ63" i="265"/>
  <c r="AE63" i="277" s="1"/>
  <c r="AZ605" i="321"/>
  <c r="AZ38" i="282"/>
  <c r="AZ610" i="321"/>
  <c r="AZ568" i="321"/>
  <c r="AZ104" i="282"/>
  <c r="AZ583" i="321"/>
  <c r="AZ36" i="282"/>
  <c r="AF534" i="307"/>
  <c r="AF536" i="307" s="1"/>
  <c r="AF540" i="307" s="1"/>
  <c r="AF541" i="307" s="1"/>
  <c r="AF571" i="307"/>
  <c r="AF573" i="307" s="1"/>
  <c r="AF480" i="307"/>
  <c r="AF481" i="307" s="1"/>
  <c r="AF488" i="307" s="1"/>
  <c r="AE500" i="307"/>
  <c r="AE253" i="307"/>
  <c r="AE255" i="307" s="1"/>
  <c r="AF523" i="307"/>
  <c r="AF525" i="307" s="1"/>
  <c r="AF529" i="307" s="1"/>
  <c r="AF530" i="307" s="1"/>
  <c r="AF558" i="307"/>
  <c r="AF560" i="307" s="1"/>
  <c r="AF460" i="307"/>
  <c r="AF461" i="307" s="1"/>
  <c r="AF468" i="307" s="1"/>
  <c r="AF205" i="307"/>
  <c r="AF208" i="307" s="1"/>
  <c r="AF121" i="307"/>
  <c r="AF202" i="307"/>
  <c r="AF224" i="307"/>
  <c r="AF321" i="307"/>
  <c r="AF322" i="307" s="1"/>
  <c r="AF300" i="307"/>
  <c r="AF301" i="307" s="1"/>
  <c r="AF308" i="307" l="1"/>
  <c r="AF311" i="307" s="1"/>
  <c r="AF329" i="307"/>
  <c r="AF332" i="307" s="1"/>
  <c r="AF225" i="307"/>
  <c r="AF215" i="307"/>
  <c r="AF217" i="307" s="1"/>
  <c r="AF600" i="307"/>
  <c r="AF670" i="307"/>
  <c r="AF226" i="307"/>
  <c r="AF576" i="307"/>
  <c r="AF544" i="307"/>
  <c r="AE258" i="307"/>
  <c r="AE260" i="307" s="1"/>
  <c r="AF257" i="307" s="1"/>
  <c r="AE645" i="307"/>
  <c r="AE12" i="310"/>
  <c r="AE285" i="307"/>
  <c r="AE288" i="307" s="1"/>
  <c r="AE650" i="307"/>
  <c r="AE135" i="288"/>
  <c r="AE136" i="288" s="1"/>
  <c r="AE14" i="310"/>
  <c r="AF577" i="307"/>
  <c r="AF545" i="307"/>
  <c r="AZ23" i="265"/>
  <c r="AE23" i="277" s="1"/>
  <c r="AZ60" i="265"/>
  <c r="AE60" i="277" s="1"/>
  <c r="AZ64" i="265"/>
  <c r="AE64" i="277" s="1"/>
  <c r="AZ25" i="265"/>
  <c r="AE25" i="277" s="1"/>
  <c r="AZ62" i="265"/>
  <c r="AE62" i="277" s="1"/>
  <c r="AZ611" i="321"/>
  <c r="BG564" i="321"/>
  <c r="BG550" i="321"/>
  <c r="BG553" i="321" s="1"/>
  <c r="BG262" i="278"/>
  <c r="BG263" i="278" s="1"/>
  <c r="BG544" i="321"/>
  <c r="BG546" i="321" s="1"/>
  <c r="BH173" i="278"/>
  <c r="BH174" i="278" s="1"/>
  <c r="BH41" i="265"/>
  <c r="AI41" i="277" s="1"/>
  <c r="AZ666" i="321"/>
  <c r="AZ639" i="321"/>
  <c r="AZ61" i="315"/>
  <c r="AZ665" i="321"/>
  <c r="AZ667" i="321" s="1"/>
  <c r="AZ631" i="321"/>
  <c r="AZ632" i="321" s="1"/>
  <c r="AZ106" i="282"/>
  <c r="AZ661" i="321"/>
  <c r="AZ654" i="321"/>
  <c r="BH39" i="315"/>
  <c r="BH198" i="278"/>
  <c r="BH199" i="278" s="1"/>
  <c r="BG621" i="321"/>
  <c r="BG624" i="321" s="1"/>
  <c r="BG635" i="321"/>
  <c r="BG286" i="278"/>
  <c r="BG287" i="278" s="1"/>
  <c r="BG291" i="278" l="1"/>
  <c r="BG627" i="321"/>
  <c r="BG630" i="321"/>
  <c r="BH203" i="278"/>
  <c r="BH205" i="278" s="1"/>
  <c r="BI196" i="278"/>
  <c r="BH105" i="315"/>
  <c r="AZ58" i="315"/>
  <c r="AZ21" i="315"/>
  <c r="AZ60" i="315"/>
  <c r="AZ23" i="315"/>
  <c r="AZ114" i="315"/>
  <c r="BA664" i="321"/>
  <c r="AZ62" i="315"/>
  <c r="BI171" i="278"/>
  <c r="BH178" i="278"/>
  <c r="BH180" i="278" s="1"/>
  <c r="BH109" i="265"/>
  <c r="AI109" i="277" s="1"/>
  <c r="BH253" i="278"/>
  <c r="BH255" i="278" s="1"/>
  <c r="BH258" i="278" s="1"/>
  <c r="BG267" i="278"/>
  <c r="BG556" i="321"/>
  <c r="BG559" i="321"/>
  <c r="BA608" i="321"/>
  <c r="AZ118" i="265"/>
  <c r="AE118" i="277" s="1"/>
  <c r="AE138" i="288"/>
  <c r="AE140" i="288" s="1"/>
  <c r="AE56" i="288"/>
  <c r="AE206" i="288"/>
  <c r="AE16" i="310"/>
  <c r="AF264" i="307"/>
  <c r="AF265" i="307" s="1"/>
  <c r="AF269" i="307" s="1"/>
  <c r="AF271" i="307" s="1"/>
  <c r="AF244" i="307"/>
  <c r="AF245" i="307" s="1"/>
  <c r="AF254" i="307" s="1"/>
  <c r="AF546" i="307"/>
  <c r="AF578" i="307"/>
  <c r="AF81" i="307"/>
  <c r="AF82" i="307" s="1"/>
  <c r="AF124" i="307"/>
  <c r="AF125" i="307" s="1"/>
  <c r="AG119" i="307" s="1"/>
  <c r="AF227" i="307"/>
  <c r="AF34" i="310"/>
  <c r="AF640" i="307"/>
  <c r="AF336" i="307"/>
  <c r="AF338" i="307" s="1"/>
  <c r="AG335" i="307" s="1"/>
  <c r="AF342" i="307"/>
  <c r="AF635" i="307"/>
  <c r="AF315" i="307"/>
  <c r="AF317" i="307" s="1"/>
  <c r="AG314" i="307" s="1"/>
  <c r="AF341" i="307"/>
  <c r="AF343" i="307" s="1"/>
  <c r="AF454" i="307" l="1"/>
  <c r="AF455" i="307" s="1"/>
  <c r="AF249" i="307"/>
  <c r="AF630" i="307"/>
  <c r="AF13" i="310"/>
  <c r="AF134" i="288"/>
  <c r="AF347" i="307"/>
  <c r="AF349" i="307" s="1"/>
  <c r="AG346" i="307" s="1"/>
  <c r="AG305" i="307"/>
  <c r="AG306" i="307" s="1"/>
  <c r="AG309" i="307" s="1"/>
  <c r="AG378" i="307"/>
  <c r="AG380" i="307" s="1"/>
  <c r="AG384" i="307" s="1"/>
  <c r="AG385" i="307" s="1"/>
  <c r="AG414" i="307"/>
  <c r="AG416" i="307" s="1"/>
  <c r="AG326" i="307"/>
  <c r="AG327" i="307" s="1"/>
  <c r="AG330" i="307" s="1"/>
  <c r="AG390" i="307"/>
  <c r="AG392" i="307" s="1"/>
  <c r="AG396" i="307" s="1"/>
  <c r="AG397" i="307" s="1"/>
  <c r="AG427" i="307"/>
  <c r="AG429" i="307" s="1"/>
  <c r="AG213" i="307"/>
  <c r="AG148" i="307"/>
  <c r="AG129" i="307"/>
  <c r="AG131" i="307" s="1"/>
  <c r="AG135" i="307" s="1"/>
  <c r="AG138" i="307" s="1"/>
  <c r="AG142" i="307" s="1"/>
  <c r="AG145" i="307" s="1"/>
  <c r="AG147" i="307" s="1"/>
  <c r="AG176" i="307"/>
  <c r="AG179" i="307" s="1"/>
  <c r="AG184" i="307" s="1"/>
  <c r="AG187" i="307" s="1"/>
  <c r="AF84" i="307"/>
  <c r="AF86" i="307" s="1"/>
  <c r="AF588" i="307"/>
  <c r="AF40" i="310"/>
  <c r="AF27" i="307"/>
  <c r="AF587" i="307"/>
  <c r="AF589" i="307" s="1"/>
  <c r="AF26" i="307"/>
  <c r="AF39" i="310"/>
  <c r="AF595" i="307"/>
  <c r="AF43" i="310"/>
  <c r="AF30" i="307"/>
  <c r="AE47" i="310"/>
  <c r="AE63" i="310"/>
  <c r="AE58" i="310"/>
  <c r="AE145" i="288"/>
  <c r="BA601" i="321"/>
  <c r="BA604" i="321" s="1"/>
  <c r="BA563" i="321"/>
  <c r="BA567" i="321" s="1"/>
  <c r="BA539" i="321"/>
  <c r="BA541" i="321" s="1"/>
  <c r="BA555" i="321" s="1"/>
  <c r="BA557" i="321" s="1"/>
  <c r="BA572" i="321"/>
  <c r="BA574" i="321" s="1"/>
  <c r="BA580" i="321" s="1"/>
  <c r="BA582" i="321" s="1"/>
  <c r="BH237" i="278"/>
  <c r="BH241" i="278" s="1"/>
  <c r="BI166" i="278"/>
  <c r="BI169" i="278" s="1"/>
  <c r="BI177" i="278"/>
  <c r="BA616" i="321"/>
  <c r="BA618" i="321" s="1"/>
  <c r="BA626" i="321" s="1"/>
  <c r="BA628" i="321" s="1"/>
  <c r="BA657" i="321"/>
  <c r="BA660" i="321" s="1"/>
  <c r="BA643" i="321"/>
  <c r="BA645" i="321" s="1"/>
  <c r="BA651" i="321" s="1"/>
  <c r="BA653" i="321" s="1"/>
  <c r="BA634" i="321"/>
  <c r="BA638" i="321" s="1"/>
  <c r="BI202" i="278"/>
  <c r="BI191" i="278"/>
  <c r="BI194" i="278" s="1"/>
  <c r="BH281" i="278"/>
  <c r="BH284" i="278" s="1"/>
  <c r="BH244" i="278"/>
  <c r="BH248" i="278" s="1"/>
  <c r="BH621" i="321" l="1"/>
  <c r="BH624" i="321" s="1"/>
  <c r="BH635" i="321"/>
  <c r="BH286" i="278"/>
  <c r="BH287" i="278" s="1"/>
  <c r="BI198" i="278"/>
  <c r="BI199" i="278" s="1"/>
  <c r="BI39" i="315"/>
  <c r="BA666" i="321"/>
  <c r="BA639" i="321"/>
  <c r="BA654" i="321"/>
  <c r="BA106" i="282"/>
  <c r="BA661" i="321"/>
  <c r="BA665" i="321"/>
  <c r="BA667" i="321" s="1"/>
  <c r="BA61" i="315"/>
  <c r="BA631" i="321"/>
  <c r="BA632" i="321" s="1"/>
  <c r="BI41" i="265"/>
  <c r="BI173" i="278"/>
  <c r="BI174" i="278" s="1"/>
  <c r="BH564" i="321"/>
  <c r="BH550" i="321"/>
  <c r="BH553" i="321" s="1"/>
  <c r="BH262" i="278"/>
  <c r="BH263" i="278" s="1"/>
  <c r="BH544" i="321"/>
  <c r="BH546" i="321" s="1"/>
  <c r="BA104" i="282"/>
  <c r="BA583" i="321"/>
  <c r="BA36" i="282"/>
  <c r="BA609" i="321"/>
  <c r="BA63" i="265"/>
  <c r="BA560" i="321"/>
  <c r="BA561" i="321" s="1"/>
  <c r="BA610" i="321"/>
  <c r="BA568" i="321"/>
  <c r="BA605" i="321"/>
  <c r="BA38" i="282"/>
  <c r="AF591" i="307"/>
  <c r="AF596" i="307" s="1"/>
  <c r="AF139" i="288"/>
  <c r="AF89" i="307"/>
  <c r="AF90" i="307" s="1"/>
  <c r="AG88" i="307" s="1"/>
  <c r="AF675" i="307"/>
  <c r="AF625" i="307"/>
  <c r="AF10" i="310"/>
  <c r="AF284" i="307"/>
  <c r="AG193" i="307"/>
  <c r="AG190" i="307"/>
  <c r="AG191" i="307" s="1"/>
  <c r="AG150" i="307"/>
  <c r="AG433" i="307"/>
  <c r="AG401" i="307"/>
  <c r="AG432" i="307"/>
  <c r="AG434" i="307" s="1"/>
  <c r="AG400" i="307"/>
  <c r="AG402" i="307" s="1"/>
  <c r="AF464" i="307"/>
  <c r="AF465" i="307" s="1"/>
  <c r="AF484" i="307"/>
  <c r="AF485" i="307" s="1"/>
  <c r="AF487" i="307" l="1"/>
  <c r="AF489" i="307" s="1"/>
  <c r="AF467" i="307"/>
  <c r="AF469" i="307" s="1"/>
  <c r="AG584" i="307"/>
  <c r="AG36" i="310"/>
  <c r="AG23" i="307"/>
  <c r="AG585" i="307"/>
  <c r="AG24" i="307"/>
  <c r="AG37" i="310"/>
  <c r="AG156" i="307"/>
  <c r="AG153" i="307"/>
  <c r="AG154" i="307" s="1"/>
  <c r="AG194" i="307"/>
  <c r="AG593" i="307"/>
  <c r="AG20" i="307"/>
  <c r="AG200" i="307"/>
  <c r="AG32" i="310"/>
  <c r="AG195" i="307"/>
  <c r="AG72" i="307"/>
  <c r="AG75" i="307" s="1"/>
  <c r="AG78" i="307" s="1"/>
  <c r="AG79" i="307" s="1"/>
  <c r="AF599" i="307"/>
  <c r="AF601" i="307" s="1"/>
  <c r="AF609" i="307"/>
  <c r="BA25" i="265"/>
  <c r="BA62" i="265"/>
  <c r="BA64" i="265"/>
  <c r="BA611" i="321"/>
  <c r="BA23" i="265"/>
  <c r="BA60" i="265"/>
  <c r="BH267" i="278"/>
  <c r="BH556" i="321"/>
  <c r="BH559" i="321"/>
  <c r="BJ171" i="278"/>
  <c r="BI178" i="278"/>
  <c r="BI180" i="278" s="1"/>
  <c r="BI109" i="265"/>
  <c r="BI253" i="278"/>
  <c r="BI255" i="278" s="1"/>
  <c r="BI258" i="278" s="1"/>
  <c r="BB664" i="321"/>
  <c r="BA114" i="315"/>
  <c r="BA23" i="315"/>
  <c r="BA60" i="315"/>
  <c r="BA58" i="315"/>
  <c r="BA21" i="315"/>
  <c r="BA62" i="315"/>
  <c r="BI203" i="278"/>
  <c r="BI205" i="278" s="1"/>
  <c r="BJ196" i="278"/>
  <c r="BI105" i="315"/>
  <c r="BH291" i="278"/>
  <c r="BH627" i="321"/>
  <c r="BH630" i="321"/>
  <c r="BJ191" i="278" l="1"/>
  <c r="BJ194" i="278" s="1"/>
  <c r="BJ202" i="278"/>
  <c r="BI281" i="278"/>
  <c r="BI284" i="278" s="1"/>
  <c r="BI244" i="278"/>
  <c r="BI248" i="278" s="1"/>
  <c r="BB634" i="321"/>
  <c r="BB638" i="321" s="1"/>
  <c r="BB643" i="321"/>
  <c r="BB645" i="321" s="1"/>
  <c r="BB651" i="321" s="1"/>
  <c r="BB653" i="321" s="1"/>
  <c r="BB657" i="321"/>
  <c r="BB660" i="321" s="1"/>
  <c r="BB616" i="321"/>
  <c r="BB618" i="321" s="1"/>
  <c r="BB626" i="321" s="1"/>
  <c r="BB628" i="321" s="1"/>
  <c r="BI237" i="278"/>
  <c r="BI241" i="278" s="1"/>
  <c r="BJ166" i="278"/>
  <c r="BJ169" i="278" s="1"/>
  <c r="BJ177" i="278"/>
  <c r="BB608" i="321"/>
  <c r="BA118" i="265"/>
  <c r="AF615" i="307"/>
  <c r="AG294" i="307"/>
  <c r="AG296" i="307" s="1"/>
  <c r="AG85" i="307"/>
  <c r="AG453" i="307"/>
  <c r="AG248" i="307"/>
  <c r="AG207" i="307"/>
  <c r="AG123" i="307"/>
  <c r="AG157" i="307"/>
  <c r="AG594" i="307"/>
  <c r="AG21" i="307"/>
  <c r="AG198" i="307"/>
  <c r="AG201" i="307" s="1"/>
  <c r="AG33" i="310"/>
  <c r="AG158" i="307"/>
  <c r="AF473" i="307"/>
  <c r="AF475" i="307" s="1"/>
  <c r="AG472" i="307" s="1"/>
  <c r="AF250" i="307"/>
  <c r="AF251" i="307" s="1"/>
  <c r="AF655" i="307"/>
  <c r="AF498" i="307"/>
  <c r="AF493" i="307"/>
  <c r="AF495" i="307" s="1"/>
  <c r="AG492" i="307" s="1"/>
  <c r="AF660" i="307"/>
  <c r="AF499" i="307"/>
  <c r="AG534" i="307" l="1"/>
  <c r="AG536" i="307" s="1"/>
  <c r="AG540" i="307" s="1"/>
  <c r="AG541" i="307" s="1"/>
  <c r="AG571" i="307"/>
  <c r="AG573" i="307" s="1"/>
  <c r="AG480" i="307"/>
  <c r="AG481" i="307" s="1"/>
  <c r="AG488" i="307" s="1"/>
  <c r="AF500" i="307"/>
  <c r="AF253" i="307"/>
  <c r="AF255" i="307" s="1"/>
  <c r="AG523" i="307"/>
  <c r="AG525" i="307" s="1"/>
  <c r="AG529" i="307" s="1"/>
  <c r="AG530" i="307" s="1"/>
  <c r="AG558" i="307"/>
  <c r="AG560" i="307" s="1"/>
  <c r="AG460" i="307"/>
  <c r="AG461" i="307" s="1"/>
  <c r="AG468" i="307" s="1"/>
  <c r="AG205" i="307"/>
  <c r="AG208" i="307" s="1"/>
  <c r="AG121" i="307"/>
  <c r="AG224" i="307"/>
  <c r="M230" i="307" s="1"/>
  <c r="AG202" i="307"/>
  <c r="AG321" i="307"/>
  <c r="AG322" i="307" s="1"/>
  <c r="AG300" i="307"/>
  <c r="AG301" i="307" s="1"/>
  <c r="BB601" i="321"/>
  <c r="BB604" i="321" s="1"/>
  <c r="BB563" i="321"/>
  <c r="BB567" i="321" s="1"/>
  <c r="BB539" i="321"/>
  <c r="BB541" i="321" s="1"/>
  <c r="BB555" i="321" s="1"/>
  <c r="BB557" i="321" s="1"/>
  <c r="BB572" i="321"/>
  <c r="BB574" i="321" s="1"/>
  <c r="BB580" i="321" s="1"/>
  <c r="BB582" i="321" s="1"/>
  <c r="BJ173" i="278"/>
  <c r="BJ174" i="278" s="1"/>
  <c r="BJ41" i="265"/>
  <c r="AJ41" i="277" s="1"/>
  <c r="BI262" i="278"/>
  <c r="BI263" i="278" s="1"/>
  <c r="BI564" i="321"/>
  <c r="BI550" i="321"/>
  <c r="BI553" i="321" s="1"/>
  <c r="BI544" i="321"/>
  <c r="BI546" i="321" s="1"/>
  <c r="BB665" i="321"/>
  <c r="BB61" i="315"/>
  <c r="BB631" i="321"/>
  <c r="BB632" i="321" s="1"/>
  <c r="BB106" i="282"/>
  <c r="BB661" i="321"/>
  <c r="BB654" i="321"/>
  <c r="BB639" i="321"/>
  <c r="BB666" i="321"/>
  <c r="BI621" i="321"/>
  <c r="BI624" i="321" s="1"/>
  <c r="BI635" i="321"/>
  <c r="BI286" i="278"/>
  <c r="BI287" i="278" s="1"/>
  <c r="BJ39" i="315"/>
  <c r="BJ198" i="278"/>
  <c r="BJ199" i="278" s="1"/>
  <c r="BK196" i="278" l="1"/>
  <c r="BJ203" i="278"/>
  <c r="BJ205" i="278" s="1"/>
  <c r="BJ105" i="315"/>
  <c r="BI291" i="278"/>
  <c r="BI627" i="321"/>
  <c r="BI630" i="321"/>
  <c r="BB62" i="315"/>
  <c r="BB58" i="315"/>
  <c r="BB21" i="315"/>
  <c r="BB23" i="315"/>
  <c r="BB60" i="315"/>
  <c r="BB667" i="321"/>
  <c r="BI556" i="321"/>
  <c r="BI559" i="321"/>
  <c r="BI267" i="278"/>
  <c r="BJ178" i="278"/>
  <c r="BJ180" i="278" s="1"/>
  <c r="BK171" i="278"/>
  <c r="BJ109" i="265"/>
  <c r="AJ109" i="277" s="1"/>
  <c r="BJ253" i="278"/>
  <c r="BJ255" i="278" s="1"/>
  <c r="BJ258" i="278" s="1"/>
  <c r="BB104" i="282"/>
  <c r="BB583" i="321"/>
  <c r="BB36" i="282"/>
  <c r="BB609" i="321"/>
  <c r="BB560" i="321"/>
  <c r="BB561" i="321" s="1"/>
  <c r="BB63" i="265"/>
  <c r="AF63" i="277" s="1"/>
  <c r="BB610" i="321"/>
  <c r="BB568" i="321"/>
  <c r="BB605" i="321"/>
  <c r="BB38" i="282"/>
  <c r="AG308" i="307"/>
  <c r="AG311" i="307" s="1"/>
  <c r="AG329" i="307"/>
  <c r="AG332" i="307" s="1"/>
  <c r="AG225" i="307"/>
  <c r="M231" i="307" s="1"/>
  <c r="AG215" i="307"/>
  <c r="AG217" i="307" s="1"/>
  <c r="AG600" i="307"/>
  <c r="AG670" i="307"/>
  <c r="M671" i="307" s="1"/>
  <c r="AG226" i="307"/>
  <c r="M232" i="307" s="1"/>
  <c r="AG576" i="307"/>
  <c r="AG544" i="307"/>
  <c r="AF258" i="307"/>
  <c r="AF260" i="307" s="1"/>
  <c r="AG257" i="307" s="1"/>
  <c r="AF645" i="307"/>
  <c r="AF285" i="307"/>
  <c r="AF288" i="307" s="1"/>
  <c r="AF12" i="310"/>
  <c r="AF650" i="307"/>
  <c r="AF14" i="310"/>
  <c r="AF135" i="288"/>
  <c r="AF136" i="288" s="1"/>
  <c r="AG577" i="307"/>
  <c r="AG545" i="307"/>
  <c r="AF138" i="288" l="1"/>
  <c r="AF140" i="288" s="1"/>
  <c r="AF16" i="310"/>
  <c r="AF56" i="288"/>
  <c r="AF206" i="288"/>
  <c r="AG264" i="307"/>
  <c r="AG265" i="307" s="1"/>
  <c r="AG269" i="307" s="1"/>
  <c r="AG271" i="307" s="1"/>
  <c r="AG244" i="307"/>
  <c r="AG245" i="307" s="1"/>
  <c r="AG254" i="307" s="1"/>
  <c r="AG546" i="307"/>
  <c r="AG578" i="307"/>
  <c r="M686" i="321"/>
  <c r="AG81" i="307"/>
  <c r="AG82" i="307" s="1"/>
  <c r="AG124" i="307"/>
  <c r="AG125" i="307" s="1"/>
  <c r="AH119" i="307" s="1"/>
  <c r="AG227" i="307"/>
  <c r="M233" i="307" s="1"/>
  <c r="AG34" i="310"/>
  <c r="AG640" i="307"/>
  <c r="M641" i="307" s="1"/>
  <c r="AG336" i="307"/>
  <c r="AG338" i="307" s="1"/>
  <c r="AH335" i="307" s="1"/>
  <c r="AG342" i="307"/>
  <c r="AG635" i="307"/>
  <c r="M636" i="307" s="1"/>
  <c r="AG315" i="307"/>
  <c r="AG317" i="307" s="1"/>
  <c r="AH314" i="307" s="1"/>
  <c r="AG341" i="307"/>
  <c r="AG343" i="307" s="1"/>
  <c r="BB25" i="265"/>
  <c r="AF25" i="277" s="1"/>
  <c r="BB62" i="265"/>
  <c r="AF62" i="277" s="1"/>
  <c r="BB64" i="265"/>
  <c r="AF64" i="277" s="1"/>
  <c r="BB611" i="321"/>
  <c r="BB23" i="265"/>
  <c r="AF23" i="277" s="1"/>
  <c r="BB60" i="265"/>
  <c r="AF60" i="277" s="1"/>
  <c r="BK166" i="278"/>
  <c r="BK169" i="278" s="1"/>
  <c r="BK177" i="278"/>
  <c r="BJ237" i="278"/>
  <c r="BJ241" i="278" s="1"/>
  <c r="BB114" i="315"/>
  <c r="BC664" i="321"/>
  <c r="BJ281" i="278"/>
  <c r="BJ284" i="278" s="1"/>
  <c r="BJ244" i="278"/>
  <c r="BJ248" i="278" s="1"/>
  <c r="BK191" i="278"/>
  <c r="BK194" i="278" s="1"/>
  <c r="BK202" i="278"/>
  <c r="BK39" i="315" l="1"/>
  <c r="BK198" i="278"/>
  <c r="BK199" i="278" s="1"/>
  <c r="BJ621" i="321"/>
  <c r="BJ624" i="321" s="1"/>
  <c r="BJ635" i="321"/>
  <c r="BJ286" i="278"/>
  <c r="BJ287" i="278" s="1"/>
  <c r="BC643" i="321"/>
  <c r="BC645" i="321" s="1"/>
  <c r="BC651" i="321" s="1"/>
  <c r="BC653" i="321" s="1"/>
  <c r="BC634" i="321"/>
  <c r="BC638" i="321" s="1"/>
  <c r="BC616" i="321"/>
  <c r="BC618" i="321" s="1"/>
  <c r="BC626" i="321" s="1"/>
  <c r="BC628" i="321" s="1"/>
  <c r="BC657" i="321"/>
  <c r="BC660" i="321" s="1"/>
  <c r="BJ564" i="321"/>
  <c r="BJ544" i="321"/>
  <c r="BJ546" i="321" s="1"/>
  <c r="BJ262" i="278"/>
  <c r="BJ263" i="278" s="1"/>
  <c r="BJ550" i="321"/>
  <c r="BJ553" i="321" s="1"/>
  <c r="BK41" i="265"/>
  <c r="BK173" i="278"/>
  <c r="BK174" i="278" s="1"/>
  <c r="BC608" i="321"/>
  <c r="BB118" i="265"/>
  <c r="AF118" i="277" s="1"/>
  <c r="AG454" i="307"/>
  <c r="AG455" i="307" s="1"/>
  <c r="AG249" i="307"/>
  <c r="AG630" i="307"/>
  <c r="M631" i="307" s="1"/>
  <c r="AG13" i="310"/>
  <c r="AG347" i="307"/>
  <c r="AG349" i="307" s="1"/>
  <c r="AH346" i="307" s="1"/>
  <c r="AG134" i="288"/>
  <c r="AH305" i="307"/>
  <c r="AH306" i="307" s="1"/>
  <c r="AH309" i="307" s="1"/>
  <c r="AH378" i="307"/>
  <c r="AH380" i="307" s="1"/>
  <c r="AH384" i="307" s="1"/>
  <c r="AH385" i="307" s="1"/>
  <c r="AH414" i="307"/>
  <c r="AH416" i="307" s="1"/>
  <c r="M188" i="321"/>
  <c r="AH326" i="307"/>
  <c r="AH327" i="307" s="1"/>
  <c r="AH330" i="307" s="1"/>
  <c r="AH390" i="307"/>
  <c r="AH392" i="307" s="1"/>
  <c r="AH396" i="307" s="1"/>
  <c r="AH397" i="307" s="1"/>
  <c r="AH427" i="307"/>
  <c r="AH429" i="307" s="1"/>
  <c r="M300" i="321"/>
  <c r="M678" i="321"/>
  <c r="M680" i="321" s="1"/>
  <c r="AH213" i="307"/>
  <c r="AH148" i="307"/>
  <c r="AH129" i="307"/>
  <c r="AH131" i="307" s="1"/>
  <c r="AH135" i="307" s="1"/>
  <c r="AH138" i="307" s="1"/>
  <c r="AH142" i="307" s="1"/>
  <c r="AH145" i="307" s="1"/>
  <c r="AH147" i="307" s="1"/>
  <c r="AH176" i="307"/>
  <c r="AH179" i="307" s="1"/>
  <c r="AH184" i="307" s="1"/>
  <c r="AH187" i="307" s="1"/>
  <c r="AG84" i="307"/>
  <c r="AG86" i="307" s="1"/>
  <c r="AG588" i="307"/>
  <c r="AG27" i="307"/>
  <c r="AG40" i="310"/>
  <c r="AG587" i="307"/>
  <c r="AG589" i="307" s="1"/>
  <c r="AG39" i="310"/>
  <c r="AG26" i="307"/>
  <c r="AG595" i="307"/>
  <c r="AG43" i="310"/>
  <c r="AG30" i="307"/>
  <c r="AF63" i="310"/>
  <c r="AF47" i="310"/>
  <c r="AF58" i="310"/>
  <c r="AF145" i="288"/>
  <c r="AG591" i="307" l="1"/>
  <c r="AG596" i="307" s="1"/>
  <c r="AG139" i="288"/>
  <c r="AG89" i="307"/>
  <c r="AG90" i="307" s="1"/>
  <c r="AH88" i="307" s="1"/>
  <c r="AG675" i="307"/>
  <c r="M676" i="307" s="1"/>
  <c r="AG625" i="307"/>
  <c r="M626" i="307" s="1"/>
  <c r="AG10" i="310"/>
  <c r="AG284" i="307"/>
  <c r="AH193" i="307"/>
  <c r="AH190" i="307"/>
  <c r="AH191" i="307" s="1"/>
  <c r="AH150" i="307"/>
  <c r="M687" i="321"/>
  <c r="M688" i="321" s="1"/>
  <c r="M681" i="321"/>
  <c r="AH433" i="307"/>
  <c r="AH401" i="307"/>
  <c r="AH432" i="307"/>
  <c r="AH434" i="307" s="1"/>
  <c r="AH400" i="307"/>
  <c r="AH402" i="307" s="1"/>
  <c r="M57" i="265"/>
  <c r="M55" i="315"/>
  <c r="AG464" i="307"/>
  <c r="AG465" i="307" s="1"/>
  <c r="AG484" i="307"/>
  <c r="AG485" i="307" s="1"/>
  <c r="BC601" i="321"/>
  <c r="BC604" i="321" s="1"/>
  <c r="BC539" i="321"/>
  <c r="BC541" i="321" s="1"/>
  <c r="BC555" i="321" s="1"/>
  <c r="BC557" i="321" s="1"/>
  <c r="BC563" i="321"/>
  <c r="BC567" i="321" s="1"/>
  <c r="BC572" i="321"/>
  <c r="BC574" i="321" s="1"/>
  <c r="BC580" i="321" s="1"/>
  <c r="BC582" i="321" s="1"/>
  <c r="BK178" i="278"/>
  <c r="BK180" i="278" s="1"/>
  <c r="BL171" i="278"/>
  <c r="BK109" i="265"/>
  <c r="BK253" i="278"/>
  <c r="BK255" i="278" s="1"/>
  <c r="BK258" i="278" s="1"/>
  <c r="BJ556" i="321"/>
  <c r="BJ559" i="321"/>
  <c r="BJ267" i="278"/>
  <c r="BC106" i="282"/>
  <c r="BC661" i="321"/>
  <c r="BC665" i="321"/>
  <c r="BC631" i="321"/>
  <c r="BC632" i="321" s="1"/>
  <c r="BC61" i="315"/>
  <c r="BC666" i="321"/>
  <c r="BC639" i="321"/>
  <c r="BC654" i="321"/>
  <c r="BJ291" i="278"/>
  <c r="BJ627" i="321"/>
  <c r="BJ630" i="321"/>
  <c r="BL196" i="278"/>
  <c r="BK203" i="278"/>
  <c r="BK205" i="278" s="1"/>
  <c r="BK105" i="315"/>
  <c r="BK281" i="278" l="1"/>
  <c r="BK284" i="278" s="1"/>
  <c r="BK244" i="278"/>
  <c r="BK248" i="278" s="1"/>
  <c r="BL191" i="278"/>
  <c r="BL194" i="278" s="1"/>
  <c r="BL202" i="278"/>
  <c r="BC58" i="315"/>
  <c r="BC21" i="315"/>
  <c r="BC62" i="315"/>
  <c r="BC667" i="321"/>
  <c r="BC23" i="315"/>
  <c r="BC60" i="315"/>
  <c r="BL166" i="278"/>
  <c r="BL169" i="278" s="1"/>
  <c r="BL177" i="278"/>
  <c r="BK237" i="278"/>
  <c r="BK241" i="278" s="1"/>
  <c r="BC104" i="282"/>
  <c r="BC36" i="282"/>
  <c r="BC583" i="321"/>
  <c r="BC610" i="321"/>
  <c r="BC568" i="321"/>
  <c r="BC609" i="321"/>
  <c r="BC611" i="321" s="1"/>
  <c r="BC560" i="321"/>
  <c r="BC561" i="321" s="1"/>
  <c r="BC63" i="265"/>
  <c r="BC38" i="282"/>
  <c r="BC605" i="321"/>
  <c r="AG487" i="307"/>
  <c r="AG489" i="307" s="1"/>
  <c r="AG467" i="307"/>
  <c r="AG469" i="307" s="1"/>
  <c r="AH584" i="307"/>
  <c r="AH36" i="310"/>
  <c r="AH23" i="307"/>
  <c r="AH585" i="307"/>
  <c r="AH24" i="307"/>
  <c r="AH37" i="310"/>
  <c r="M53" i="265"/>
  <c r="M51" i="315"/>
  <c r="N684" i="321"/>
  <c r="M123" i="265"/>
  <c r="M119" i="315"/>
  <c r="AH156" i="307"/>
  <c r="AH153" i="307"/>
  <c r="AH154" i="307" s="1"/>
  <c r="AH194" i="307"/>
  <c r="AH593" i="307"/>
  <c r="AH200" i="307"/>
  <c r="AH32" i="310"/>
  <c r="AH20" i="307"/>
  <c r="AH195" i="307"/>
  <c r="M445" i="321"/>
  <c r="M447" i="321" s="1"/>
  <c r="M484" i="321"/>
  <c r="M528" i="321"/>
  <c r="AH72" i="307"/>
  <c r="AH75" i="307" s="1"/>
  <c r="AH78" i="307" s="1"/>
  <c r="AH79" i="307" s="1"/>
  <c r="AG599" i="307"/>
  <c r="AG601" i="307" s="1"/>
  <c r="AG609" i="307"/>
  <c r="M610" i="307" s="1"/>
  <c r="M611" i="307" l="1"/>
  <c r="AG615" i="307"/>
  <c r="M616" i="307" s="1"/>
  <c r="AH294" i="307"/>
  <c r="AH296" i="307" s="1"/>
  <c r="AH85" i="307"/>
  <c r="AH453" i="307"/>
  <c r="AH248" i="307"/>
  <c r="M56" i="265"/>
  <c r="M54" i="315"/>
  <c r="AH207" i="307"/>
  <c r="AH123" i="307"/>
  <c r="AH157" i="307"/>
  <c r="AH594" i="307"/>
  <c r="AH33" i="310"/>
  <c r="AH21" i="307"/>
  <c r="AH198" i="307"/>
  <c r="AH201" i="307" s="1"/>
  <c r="AH158" i="307"/>
  <c r="N673" i="321"/>
  <c r="N676" i="321" s="1"/>
  <c r="N712" i="321"/>
  <c r="N714" i="321" s="1"/>
  <c r="N693" i="321"/>
  <c r="N695" i="321" s="1"/>
  <c r="N699" i="321" s="1"/>
  <c r="AG473" i="307"/>
  <c r="AG475" i="307" s="1"/>
  <c r="AH472" i="307" s="1"/>
  <c r="AG250" i="307"/>
  <c r="AG251" i="307" s="1"/>
  <c r="AG655" i="307"/>
  <c r="M656" i="307" s="1"/>
  <c r="AG498" i="307"/>
  <c r="AG493" i="307"/>
  <c r="AG495" i="307" s="1"/>
  <c r="AH492" i="307" s="1"/>
  <c r="AG660" i="307"/>
  <c r="M661" i="307" s="1"/>
  <c r="AG499" i="307"/>
  <c r="BC25" i="265"/>
  <c r="BC62" i="265"/>
  <c r="BD608" i="321"/>
  <c r="BC118" i="265"/>
  <c r="BC64" i="265"/>
  <c r="BC23" i="265"/>
  <c r="BC60" i="265"/>
  <c r="BK550" i="321"/>
  <c r="BK553" i="321" s="1"/>
  <c r="BK564" i="321"/>
  <c r="BK262" i="278"/>
  <c r="BK263" i="278" s="1"/>
  <c r="BK544" i="321"/>
  <c r="BK546" i="321" s="1"/>
  <c r="BL41" i="265"/>
  <c r="AK41" i="277" s="1"/>
  <c r="BL173" i="278"/>
  <c r="BL174" i="278" s="1"/>
  <c r="BC114" i="315"/>
  <c r="BD664" i="321"/>
  <c r="BL39" i="315"/>
  <c r="BL198" i="278"/>
  <c r="BL199" i="278" s="1"/>
  <c r="BK621" i="321"/>
  <c r="BK624" i="321" s="1"/>
  <c r="BK635" i="321"/>
  <c r="BK286" i="278"/>
  <c r="BK287" i="278" s="1"/>
  <c r="BK291" i="278" l="1"/>
  <c r="BK627" i="321"/>
  <c r="BK630" i="321"/>
  <c r="BL203" i="278"/>
  <c r="BL205" i="278" s="1"/>
  <c r="BM196" i="278"/>
  <c r="BL105" i="315"/>
  <c r="BD657" i="321"/>
  <c r="BD660" i="321" s="1"/>
  <c r="BD634" i="321"/>
  <c r="BD638" i="321" s="1"/>
  <c r="BD616" i="321"/>
  <c r="BD618" i="321" s="1"/>
  <c r="BD626" i="321" s="1"/>
  <c r="BD628" i="321" s="1"/>
  <c r="BD643" i="321"/>
  <c r="BD645" i="321" s="1"/>
  <c r="BD651" i="321" s="1"/>
  <c r="BD653" i="321" s="1"/>
  <c r="BL178" i="278"/>
  <c r="BL180" i="278" s="1"/>
  <c r="BM171" i="278"/>
  <c r="BL109" i="265"/>
  <c r="AK109" i="277" s="1"/>
  <c r="BL253" i="278"/>
  <c r="BL255" i="278" s="1"/>
  <c r="BL258" i="278" s="1"/>
  <c r="BK267" i="278"/>
  <c r="BK556" i="321"/>
  <c r="BK559" i="321"/>
  <c r="BD572" i="321"/>
  <c r="BD574" i="321" s="1"/>
  <c r="BD580" i="321" s="1"/>
  <c r="BD582" i="321" s="1"/>
  <c r="BD539" i="321"/>
  <c r="BD541" i="321" s="1"/>
  <c r="BD555" i="321" s="1"/>
  <c r="BD557" i="321" s="1"/>
  <c r="BD601" i="321"/>
  <c r="BD604" i="321" s="1"/>
  <c r="BD563" i="321"/>
  <c r="BD567" i="321" s="1"/>
  <c r="M434" i="321"/>
  <c r="AH534" i="307"/>
  <c r="AH536" i="307" s="1"/>
  <c r="AH540" i="307" s="1"/>
  <c r="AH541" i="307" s="1"/>
  <c r="AH571" i="307"/>
  <c r="AH573" i="307" s="1"/>
  <c r="AH480" i="307"/>
  <c r="AH481" i="307" s="1"/>
  <c r="AH488" i="307" s="1"/>
  <c r="AG500" i="307"/>
  <c r="M402" i="321"/>
  <c r="AG253" i="307"/>
  <c r="AG255" i="307" s="1"/>
  <c r="AH523" i="307"/>
  <c r="AH525" i="307" s="1"/>
  <c r="AH529" i="307" s="1"/>
  <c r="AH530" i="307" s="1"/>
  <c r="AH558" i="307"/>
  <c r="AH560" i="307" s="1"/>
  <c r="AH460" i="307"/>
  <c r="AH461" i="307" s="1"/>
  <c r="AH468" i="307" s="1"/>
  <c r="N715" i="321"/>
  <c r="N34" i="282"/>
  <c r="N102" i="282"/>
  <c r="N679" i="321"/>
  <c r="N442" i="321"/>
  <c r="N443" i="321" s="1"/>
  <c r="AH205" i="307"/>
  <c r="AH208" i="307" s="1"/>
  <c r="AH121" i="307"/>
  <c r="AH224" i="307"/>
  <c r="AH202" i="307"/>
  <c r="AH321" i="307"/>
  <c r="AH322" i="307" s="1"/>
  <c r="AH300" i="307"/>
  <c r="AH301" i="307" s="1"/>
  <c r="M41" i="285"/>
  <c r="M50" i="265"/>
  <c r="M48" i="315"/>
  <c r="AH308" i="307" l="1"/>
  <c r="AH311" i="307" s="1"/>
  <c r="AH329" i="307"/>
  <c r="AH332" i="307" s="1"/>
  <c r="AH225" i="307"/>
  <c r="AH215" i="307"/>
  <c r="AH217" i="307" s="1"/>
  <c r="AH600" i="307"/>
  <c r="AH670" i="307"/>
  <c r="AH226" i="307"/>
  <c r="N485" i="321"/>
  <c r="N446" i="321"/>
  <c r="N46" i="288"/>
  <c r="N529" i="321"/>
  <c r="N196" i="288"/>
  <c r="N26" i="265"/>
  <c r="L26" i="277" s="1"/>
  <c r="N84" i="265"/>
  <c r="L84" i="277" s="1"/>
  <c r="N80" i="315"/>
  <c r="N24" i="315"/>
  <c r="AH576" i="307"/>
  <c r="AH544" i="307"/>
  <c r="AG258" i="307"/>
  <c r="AG260" i="307" s="1"/>
  <c r="AH257" i="307" s="1"/>
  <c r="AG645" i="307"/>
  <c r="M646" i="307" s="1"/>
  <c r="AG285" i="307"/>
  <c r="AG288" i="307" s="1"/>
  <c r="AG12" i="310"/>
  <c r="AG650" i="307"/>
  <c r="M651" i="307" s="1"/>
  <c r="AG14" i="310"/>
  <c r="AG135" i="288"/>
  <c r="AG136" i="288" s="1"/>
  <c r="AH577" i="307"/>
  <c r="AH545" i="307"/>
  <c r="BD610" i="321"/>
  <c r="BD568" i="321"/>
  <c r="BD38" i="282"/>
  <c r="BD605" i="321"/>
  <c r="BD609" i="321"/>
  <c r="BD611" i="321" s="1"/>
  <c r="BD560" i="321"/>
  <c r="BD561" i="321" s="1"/>
  <c r="BD63" i="265"/>
  <c r="AG63" i="277" s="1"/>
  <c r="BD104" i="282"/>
  <c r="BD583" i="321"/>
  <c r="BD36" i="282"/>
  <c r="BM177" i="278"/>
  <c r="BM166" i="278"/>
  <c r="BM169" i="278" s="1"/>
  <c r="BL237" i="278"/>
  <c r="BL241" i="278" s="1"/>
  <c r="BD654" i="321"/>
  <c r="BD61" i="315"/>
  <c r="BD665" i="321"/>
  <c r="BD631" i="321"/>
  <c r="BD632" i="321" s="1"/>
  <c r="BD639" i="321"/>
  <c r="BD666" i="321"/>
  <c r="BD106" i="282"/>
  <c r="BD661" i="321"/>
  <c r="BM202" i="278"/>
  <c r="BM191" i="278"/>
  <c r="BM194" i="278" s="1"/>
  <c r="BL281" i="278"/>
  <c r="BL284" i="278" s="1"/>
  <c r="BL244" i="278"/>
  <c r="BL248" i="278" s="1"/>
  <c r="BL621" i="321" l="1"/>
  <c r="BL624" i="321" s="1"/>
  <c r="BL635" i="321"/>
  <c r="BL286" i="278"/>
  <c r="BL287" i="278" s="1"/>
  <c r="BM198" i="278"/>
  <c r="BM199" i="278" s="1"/>
  <c r="BM39" i="315"/>
  <c r="BD23" i="315"/>
  <c r="BD60" i="315"/>
  <c r="BD62" i="315"/>
  <c r="BD667" i="321"/>
  <c r="BD58" i="315"/>
  <c r="BD21" i="315"/>
  <c r="BL564" i="321"/>
  <c r="BL550" i="321"/>
  <c r="BL553" i="321" s="1"/>
  <c r="BL262" i="278"/>
  <c r="BL263" i="278" s="1"/>
  <c r="BL544" i="321"/>
  <c r="BL546" i="321" s="1"/>
  <c r="BM41" i="265"/>
  <c r="BM173" i="278"/>
  <c r="BM174" i="278" s="1"/>
  <c r="BD23" i="265"/>
  <c r="AG23" i="277" s="1"/>
  <c r="BD60" i="265"/>
  <c r="AG60" i="277" s="1"/>
  <c r="BE608" i="321"/>
  <c r="BD118" i="265"/>
  <c r="AG118" i="277" s="1"/>
  <c r="BD25" i="265"/>
  <c r="AG25" i="277" s="1"/>
  <c r="BD62" i="265"/>
  <c r="AG62" i="277" s="1"/>
  <c r="BD64" i="265"/>
  <c r="AG64" i="277" s="1"/>
  <c r="AG138" i="288"/>
  <c r="AG140" i="288" s="1"/>
  <c r="M58" i="265"/>
  <c r="M56" i="315"/>
  <c r="AG16" i="310"/>
  <c r="AG56" i="288"/>
  <c r="AG206" i="288"/>
  <c r="M59" i="265"/>
  <c r="M38" i="286"/>
  <c r="M57" i="315"/>
  <c r="M115" i="286"/>
  <c r="AH264" i="307"/>
  <c r="AH265" i="307" s="1"/>
  <c r="AH269" i="307" s="1"/>
  <c r="AH271" i="307" s="1"/>
  <c r="AH244" i="307"/>
  <c r="AH245" i="307" s="1"/>
  <c r="AH254" i="307" s="1"/>
  <c r="AH546" i="307"/>
  <c r="AH578" i="307"/>
  <c r="AH81" i="307"/>
  <c r="AH82" i="307" s="1"/>
  <c r="AH124" i="307"/>
  <c r="AH125" i="307" s="1"/>
  <c r="AI119" i="307" s="1"/>
  <c r="AH227" i="307"/>
  <c r="AH34" i="310"/>
  <c r="AH640" i="307"/>
  <c r="AH336" i="307"/>
  <c r="AH338" i="307" s="1"/>
  <c r="AI335" i="307" s="1"/>
  <c r="AH342" i="307"/>
  <c r="AH635" i="307"/>
  <c r="AH315" i="307"/>
  <c r="AH317" i="307" s="1"/>
  <c r="AI314" i="307" s="1"/>
  <c r="AH341" i="307"/>
  <c r="AH343" i="307" s="1"/>
  <c r="AH454" i="307" l="1"/>
  <c r="AH455" i="307" s="1"/>
  <c r="AH249" i="307"/>
  <c r="AH630" i="307"/>
  <c r="AH134" i="288"/>
  <c r="AH13" i="310"/>
  <c r="AH347" i="307"/>
  <c r="AH349" i="307" s="1"/>
  <c r="AI346" i="307" s="1"/>
  <c r="AI305" i="307"/>
  <c r="AI306" i="307" s="1"/>
  <c r="AI309" i="307" s="1"/>
  <c r="AI378" i="307"/>
  <c r="AI380" i="307" s="1"/>
  <c r="AI384" i="307" s="1"/>
  <c r="AI385" i="307" s="1"/>
  <c r="AI414" i="307"/>
  <c r="AI416" i="307" s="1"/>
  <c r="AI326" i="307"/>
  <c r="AI327" i="307" s="1"/>
  <c r="AI330" i="307" s="1"/>
  <c r="AI390" i="307"/>
  <c r="AI392" i="307" s="1"/>
  <c r="AI396" i="307" s="1"/>
  <c r="AI397" i="307" s="1"/>
  <c r="AI427" i="307"/>
  <c r="AI429" i="307" s="1"/>
  <c r="AI213" i="307"/>
  <c r="AI148" i="307"/>
  <c r="AI129" i="307"/>
  <c r="AI131" i="307" s="1"/>
  <c r="AI135" i="307" s="1"/>
  <c r="AI138" i="307" s="1"/>
  <c r="AI142" i="307" s="1"/>
  <c r="AI145" i="307" s="1"/>
  <c r="AI147" i="307" s="1"/>
  <c r="AI176" i="307"/>
  <c r="AI179" i="307" s="1"/>
  <c r="AI184" i="307" s="1"/>
  <c r="AI187" i="307" s="1"/>
  <c r="AH84" i="307"/>
  <c r="AH86" i="307" s="1"/>
  <c r="AH588" i="307"/>
  <c r="AH40" i="310"/>
  <c r="AH27" i="307"/>
  <c r="AH587" i="307"/>
  <c r="AH589" i="307" s="1"/>
  <c r="AH26" i="307"/>
  <c r="AH39" i="310"/>
  <c r="AH595" i="307"/>
  <c r="AH43" i="310"/>
  <c r="AH30" i="307"/>
  <c r="AG58" i="310"/>
  <c r="AG47" i="310"/>
  <c r="AG63" i="310"/>
  <c r="AG145" i="288"/>
  <c r="BE563" i="321"/>
  <c r="BE567" i="321" s="1"/>
  <c r="BE572" i="321"/>
  <c r="BE574" i="321" s="1"/>
  <c r="BE580" i="321" s="1"/>
  <c r="BE582" i="321" s="1"/>
  <c r="BE601" i="321"/>
  <c r="BE604" i="321" s="1"/>
  <c r="BE539" i="321"/>
  <c r="BE541" i="321" s="1"/>
  <c r="BE555" i="321" s="1"/>
  <c r="BE557" i="321" s="1"/>
  <c r="BM178" i="278"/>
  <c r="BM180" i="278" s="1"/>
  <c r="BN171" i="278"/>
  <c r="BM109" i="265"/>
  <c r="BM253" i="278"/>
  <c r="BM255" i="278" s="1"/>
  <c r="BM258" i="278" s="1"/>
  <c r="BL267" i="278"/>
  <c r="BL556" i="321"/>
  <c r="BL559" i="321"/>
  <c r="BE664" i="321"/>
  <c r="BD114" i="315"/>
  <c r="BM203" i="278"/>
  <c r="BM205" i="278" s="1"/>
  <c r="BN196" i="278"/>
  <c r="BM105" i="315"/>
  <c r="BL291" i="278"/>
  <c r="BL627" i="321"/>
  <c r="BL630" i="321"/>
  <c r="BN191" i="278" l="1"/>
  <c r="BN194" i="278" s="1"/>
  <c r="BN202" i="278"/>
  <c r="BM281" i="278"/>
  <c r="BM284" i="278" s="1"/>
  <c r="BM244" i="278"/>
  <c r="BM248" i="278" s="1"/>
  <c r="BE634" i="321"/>
  <c r="BE638" i="321" s="1"/>
  <c r="BE643" i="321"/>
  <c r="BE645" i="321" s="1"/>
  <c r="BE651" i="321" s="1"/>
  <c r="BE653" i="321" s="1"/>
  <c r="BE657" i="321"/>
  <c r="BE660" i="321" s="1"/>
  <c r="BE616" i="321"/>
  <c r="BE618" i="321" s="1"/>
  <c r="BE626" i="321" s="1"/>
  <c r="BE628" i="321" s="1"/>
  <c r="BN177" i="278"/>
  <c r="BN166" i="278"/>
  <c r="BN169" i="278" s="1"/>
  <c r="BM237" i="278"/>
  <c r="BM241" i="278" s="1"/>
  <c r="BE609" i="321"/>
  <c r="BE63" i="265"/>
  <c r="BE560" i="321"/>
  <c r="BE561" i="321" s="1"/>
  <c r="BE38" i="282"/>
  <c r="BE605" i="321"/>
  <c r="BE104" i="282"/>
  <c r="BE36" i="282"/>
  <c r="BE583" i="321"/>
  <c r="BE610" i="321"/>
  <c r="BE568" i="321"/>
  <c r="AH591" i="307"/>
  <c r="AH596" i="307" s="1"/>
  <c r="AH139" i="288"/>
  <c r="AH89" i="307"/>
  <c r="AH90" i="307" s="1"/>
  <c r="AI88" i="307" s="1"/>
  <c r="AH675" i="307"/>
  <c r="AH625" i="307"/>
  <c r="AH10" i="310"/>
  <c r="AH284" i="307"/>
  <c r="AI193" i="307"/>
  <c r="AI190" i="307"/>
  <c r="AI191" i="307" s="1"/>
  <c r="AI150" i="307"/>
  <c r="AI433" i="307"/>
  <c r="AI401" i="307"/>
  <c r="AI432" i="307"/>
  <c r="AI434" i="307" s="1"/>
  <c r="AI400" i="307"/>
  <c r="AI402" i="307" s="1"/>
  <c r="AH464" i="307"/>
  <c r="AH465" i="307" s="1"/>
  <c r="AH484" i="307"/>
  <c r="AH485" i="307" s="1"/>
  <c r="AH487" i="307" l="1"/>
  <c r="AH489" i="307" s="1"/>
  <c r="AH467" i="307"/>
  <c r="AH469" i="307" s="1"/>
  <c r="AI584" i="307"/>
  <c r="AI23" i="307"/>
  <c r="AI36" i="310"/>
  <c r="AI585" i="307"/>
  <c r="AI37" i="310"/>
  <c r="AI24" i="307"/>
  <c r="AI156" i="307"/>
  <c r="AI153" i="307"/>
  <c r="AI154" i="307" s="1"/>
  <c r="AI194" i="307"/>
  <c r="AI593" i="307"/>
  <c r="AI32" i="310"/>
  <c r="AI20" i="307"/>
  <c r="AI200" i="307"/>
  <c r="AI195" i="307"/>
  <c r="AI72" i="307"/>
  <c r="AI75" i="307" s="1"/>
  <c r="AI78" i="307" s="1"/>
  <c r="AI79" i="307" s="1"/>
  <c r="AH599" i="307"/>
  <c r="AH601" i="307" s="1"/>
  <c r="AH609" i="307"/>
  <c r="BE64" i="265"/>
  <c r="BE23" i="265"/>
  <c r="BE60" i="265"/>
  <c r="BE25" i="265"/>
  <c r="BE62" i="265"/>
  <c r="BE611" i="321"/>
  <c r="BM564" i="321"/>
  <c r="BM550" i="321"/>
  <c r="BM553" i="321" s="1"/>
  <c r="BM262" i="278"/>
  <c r="BM263" i="278" s="1"/>
  <c r="BM544" i="321"/>
  <c r="BM546" i="321" s="1"/>
  <c r="BN173" i="278"/>
  <c r="BN174" i="278" s="1"/>
  <c r="BN41" i="265"/>
  <c r="AL41" i="277" s="1"/>
  <c r="BE665" i="321"/>
  <c r="BE61" i="315"/>
  <c r="BE631" i="321"/>
  <c r="BE632" i="321" s="1"/>
  <c r="BE106" i="282"/>
  <c r="BE661" i="321"/>
  <c r="BE654" i="321"/>
  <c r="BE639" i="321"/>
  <c r="BE666" i="321"/>
  <c r="BM621" i="321"/>
  <c r="BM624" i="321" s="1"/>
  <c r="BM635" i="321"/>
  <c r="BM286" i="278"/>
  <c r="BM287" i="278" s="1"/>
  <c r="BN39" i="315"/>
  <c r="BN198" i="278"/>
  <c r="BN199" i="278" s="1"/>
  <c r="BO196" i="278" l="1"/>
  <c r="BN203" i="278"/>
  <c r="BN205" i="278" s="1"/>
  <c r="BN105" i="315"/>
  <c r="BM291" i="278"/>
  <c r="BM627" i="321"/>
  <c r="BM630" i="321"/>
  <c r="BE62" i="315"/>
  <c r="BE58" i="315"/>
  <c r="BE21" i="315"/>
  <c r="BE23" i="315"/>
  <c r="BE60" i="315"/>
  <c r="BE667" i="321"/>
  <c r="BN178" i="278"/>
  <c r="BN180" i="278" s="1"/>
  <c r="BO171" i="278"/>
  <c r="BN109" i="265"/>
  <c r="AL109" i="277" s="1"/>
  <c r="BN253" i="278"/>
  <c r="BN255" i="278" s="1"/>
  <c r="BN258" i="278" s="1"/>
  <c r="BM267" i="278"/>
  <c r="BM556" i="321"/>
  <c r="BM559" i="321"/>
  <c r="BE118" i="265"/>
  <c r="BF608" i="321"/>
  <c r="AH615" i="307"/>
  <c r="AI294" i="307"/>
  <c r="AI296" i="307" s="1"/>
  <c r="AI85" i="307"/>
  <c r="AI453" i="307"/>
  <c r="AI248" i="307"/>
  <c r="AI207" i="307"/>
  <c r="AI123" i="307"/>
  <c r="AI157" i="307"/>
  <c r="AI594" i="307"/>
  <c r="AI198" i="307"/>
  <c r="AI201" i="307" s="1"/>
  <c r="AI33" i="310"/>
  <c r="AI21" i="307"/>
  <c r="AI158" i="307"/>
  <c r="AH473" i="307"/>
  <c r="AH475" i="307" s="1"/>
  <c r="AI472" i="307" s="1"/>
  <c r="AH250" i="307"/>
  <c r="AH251" i="307" s="1"/>
  <c r="AH655" i="307"/>
  <c r="AH498" i="307"/>
  <c r="AH493" i="307"/>
  <c r="AH495" i="307" s="1"/>
  <c r="AI492" i="307" s="1"/>
  <c r="AH660" i="307"/>
  <c r="AH499" i="307"/>
  <c r="AI534" i="307" l="1"/>
  <c r="AI536" i="307" s="1"/>
  <c r="AI540" i="307" s="1"/>
  <c r="AI541" i="307" s="1"/>
  <c r="AI571" i="307"/>
  <c r="AI573" i="307" s="1"/>
  <c r="AI480" i="307"/>
  <c r="AI481" i="307" s="1"/>
  <c r="AI488" i="307" s="1"/>
  <c r="AH500" i="307"/>
  <c r="AH253" i="307"/>
  <c r="AH255" i="307" s="1"/>
  <c r="AI523" i="307"/>
  <c r="AI525" i="307" s="1"/>
  <c r="AI529" i="307" s="1"/>
  <c r="AI530" i="307" s="1"/>
  <c r="AI558" i="307"/>
  <c r="AI560" i="307" s="1"/>
  <c r="AI460" i="307"/>
  <c r="AI461" i="307" s="1"/>
  <c r="AI468" i="307" s="1"/>
  <c r="AI205" i="307"/>
  <c r="AI208" i="307" s="1"/>
  <c r="AI121" i="307"/>
  <c r="AI224" i="307"/>
  <c r="AI202" i="307"/>
  <c r="AI321" i="307"/>
  <c r="AI322" i="307" s="1"/>
  <c r="AI300" i="307"/>
  <c r="AI301" i="307" s="1"/>
  <c r="BF601" i="321"/>
  <c r="BF604" i="321" s="1"/>
  <c r="BF563" i="321"/>
  <c r="BF567" i="321" s="1"/>
  <c r="BF539" i="321"/>
  <c r="BF541" i="321" s="1"/>
  <c r="BF555" i="321" s="1"/>
  <c r="BF557" i="321" s="1"/>
  <c r="BF572" i="321"/>
  <c r="BF574" i="321" s="1"/>
  <c r="BF580" i="321" s="1"/>
  <c r="BF582" i="321" s="1"/>
  <c r="BO177" i="278"/>
  <c r="BO166" i="278"/>
  <c r="BO169" i="278" s="1"/>
  <c r="BN237" i="278"/>
  <c r="BN241" i="278" s="1"/>
  <c r="BF664" i="321"/>
  <c r="BE114" i="315"/>
  <c r="BN281" i="278"/>
  <c r="BN284" i="278" s="1"/>
  <c r="BN244" i="278"/>
  <c r="BN248" i="278" s="1"/>
  <c r="BO191" i="278"/>
  <c r="BO194" i="278" s="1"/>
  <c r="BO202" i="278"/>
  <c r="BO39" i="315" l="1"/>
  <c r="BO198" i="278"/>
  <c r="BO199" i="278" s="1"/>
  <c r="BN621" i="321"/>
  <c r="BN624" i="321" s="1"/>
  <c r="BN635" i="321"/>
  <c r="BN286" i="278"/>
  <c r="BN287" i="278" s="1"/>
  <c r="BF634" i="321"/>
  <c r="BF638" i="321" s="1"/>
  <c r="BF643" i="321"/>
  <c r="BF645" i="321" s="1"/>
  <c r="BF651" i="321" s="1"/>
  <c r="BF653" i="321" s="1"/>
  <c r="BF657" i="321"/>
  <c r="BF660" i="321" s="1"/>
  <c r="BF616" i="321"/>
  <c r="BF618" i="321" s="1"/>
  <c r="BF626" i="321" s="1"/>
  <c r="BF628" i="321" s="1"/>
  <c r="BN564" i="321"/>
  <c r="BN550" i="321"/>
  <c r="BN553" i="321" s="1"/>
  <c r="BN262" i="278"/>
  <c r="BN263" i="278" s="1"/>
  <c r="BN544" i="321"/>
  <c r="BN546" i="321" s="1"/>
  <c r="BO41" i="265"/>
  <c r="BO173" i="278"/>
  <c r="BO174" i="278" s="1"/>
  <c r="BF104" i="282"/>
  <c r="BF583" i="321"/>
  <c r="BF36" i="282"/>
  <c r="BF63" i="265"/>
  <c r="AH63" i="277" s="1"/>
  <c r="BF609" i="321"/>
  <c r="BF560" i="321"/>
  <c r="BF561" i="321" s="1"/>
  <c r="BF610" i="321"/>
  <c r="BF568" i="321"/>
  <c r="BF605" i="321"/>
  <c r="BF38" i="282"/>
  <c r="AI308" i="307"/>
  <c r="AI311" i="307" s="1"/>
  <c r="AI329" i="307"/>
  <c r="AI332" i="307" s="1"/>
  <c r="AI225" i="307"/>
  <c r="AI215" i="307"/>
  <c r="AI217" i="307" s="1"/>
  <c r="AI600" i="307"/>
  <c r="AI670" i="307"/>
  <c r="AI226" i="307"/>
  <c r="AI576" i="307"/>
  <c r="AI544" i="307"/>
  <c r="AH258" i="307"/>
  <c r="AH260" i="307" s="1"/>
  <c r="AI257" i="307" s="1"/>
  <c r="AH645" i="307"/>
  <c r="AH285" i="307"/>
  <c r="AH288" i="307" s="1"/>
  <c r="AH12" i="310"/>
  <c r="AH650" i="307"/>
  <c r="AH135" i="288"/>
  <c r="AH136" i="288" s="1"/>
  <c r="AH14" i="310"/>
  <c r="AI577" i="307"/>
  <c r="AI545" i="307"/>
  <c r="AH138" i="288" l="1"/>
  <c r="AH140" i="288" s="1"/>
  <c r="AH16" i="310"/>
  <c r="AH56" i="288"/>
  <c r="AH206" i="288"/>
  <c r="AI264" i="307"/>
  <c r="AI265" i="307" s="1"/>
  <c r="AI269" i="307" s="1"/>
  <c r="AI271" i="307" s="1"/>
  <c r="AI244" i="307"/>
  <c r="AI245" i="307" s="1"/>
  <c r="AI254" i="307" s="1"/>
  <c r="AI546" i="307"/>
  <c r="AI578" i="307"/>
  <c r="AI81" i="307"/>
  <c r="AI82" i="307" s="1"/>
  <c r="AI124" i="307"/>
  <c r="AI125" i="307" s="1"/>
  <c r="AJ119" i="307" s="1"/>
  <c r="AI227" i="307"/>
  <c r="AI34" i="310"/>
  <c r="AI640" i="307"/>
  <c r="AI336" i="307"/>
  <c r="AI338" i="307" s="1"/>
  <c r="AJ335" i="307" s="1"/>
  <c r="AI342" i="307"/>
  <c r="AI635" i="307"/>
  <c r="AI315" i="307"/>
  <c r="AI317" i="307" s="1"/>
  <c r="AJ314" i="307" s="1"/>
  <c r="AI341" i="307"/>
  <c r="AI343" i="307" s="1"/>
  <c r="BF25" i="265"/>
  <c r="AH25" i="277" s="1"/>
  <c r="BF62" i="265"/>
  <c r="AH62" i="277" s="1"/>
  <c r="BF64" i="265"/>
  <c r="AH64" i="277" s="1"/>
  <c r="BF611" i="321"/>
  <c r="BF60" i="265"/>
  <c r="AH60" i="277" s="1"/>
  <c r="BF23" i="265"/>
  <c r="AH23" i="277" s="1"/>
  <c r="BO178" i="278"/>
  <c r="BO180" i="278" s="1"/>
  <c r="BP171" i="278"/>
  <c r="BO109" i="265"/>
  <c r="BO253" i="278"/>
  <c r="BO255" i="278" s="1"/>
  <c r="BO258" i="278" s="1"/>
  <c r="BN267" i="278"/>
  <c r="BN556" i="321"/>
  <c r="BN559" i="321"/>
  <c r="BF665" i="321"/>
  <c r="BF61" i="315"/>
  <c r="BF631" i="321"/>
  <c r="BF632" i="321" s="1"/>
  <c r="BF106" i="282"/>
  <c r="BF661" i="321"/>
  <c r="BF654" i="321"/>
  <c r="BF639" i="321"/>
  <c r="BF666" i="321"/>
  <c r="BN291" i="278"/>
  <c r="BN627" i="321"/>
  <c r="BN630" i="321"/>
  <c r="BP196" i="278"/>
  <c r="BO203" i="278"/>
  <c r="BO205" i="278" s="1"/>
  <c r="BO105" i="315"/>
  <c r="BO281" i="278" l="1"/>
  <c r="BO284" i="278" s="1"/>
  <c r="BO244" i="278"/>
  <c r="BO248" i="278" s="1"/>
  <c r="BP191" i="278"/>
  <c r="BP194" i="278" s="1"/>
  <c r="BP202" i="278"/>
  <c r="BF62" i="315"/>
  <c r="BF58" i="315"/>
  <c r="BF21" i="315"/>
  <c r="BF23" i="315"/>
  <c r="BF60" i="315"/>
  <c r="BF667" i="321"/>
  <c r="BP166" i="278"/>
  <c r="BP169" i="278" s="1"/>
  <c r="BP177" i="278"/>
  <c r="BO237" i="278"/>
  <c r="BO241" i="278" s="1"/>
  <c r="BG608" i="321"/>
  <c r="BF118" i="265"/>
  <c r="AH118" i="277" s="1"/>
  <c r="AI454" i="307"/>
  <c r="AI455" i="307" s="1"/>
  <c r="AI249" i="307"/>
  <c r="AI630" i="307"/>
  <c r="AI347" i="307"/>
  <c r="AI349" i="307" s="1"/>
  <c r="AJ346" i="307" s="1"/>
  <c r="AI134" i="288"/>
  <c r="AI13" i="310"/>
  <c r="AJ305" i="307"/>
  <c r="AJ306" i="307" s="1"/>
  <c r="AJ309" i="307" s="1"/>
  <c r="AJ378" i="307"/>
  <c r="AJ380" i="307" s="1"/>
  <c r="AJ384" i="307" s="1"/>
  <c r="AJ385" i="307" s="1"/>
  <c r="AJ414" i="307"/>
  <c r="AJ416" i="307" s="1"/>
  <c r="AJ326" i="307"/>
  <c r="AJ327" i="307" s="1"/>
  <c r="AJ330" i="307" s="1"/>
  <c r="AJ390" i="307"/>
  <c r="AJ392" i="307" s="1"/>
  <c r="AJ396" i="307" s="1"/>
  <c r="AJ397" i="307" s="1"/>
  <c r="AJ427" i="307"/>
  <c r="AJ429" i="307" s="1"/>
  <c r="AJ213" i="307"/>
  <c r="AJ148" i="307"/>
  <c r="AJ129" i="307"/>
  <c r="AJ131" i="307" s="1"/>
  <c r="AJ135" i="307" s="1"/>
  <c r="AJ138" i="307" s="1"/>
  <c r="AJ142" i="307" s="1"/>
  <c r="AJ145" i="307" s="1"/>
  <c r="AJ147" i="307" s="1"/>
  <c r="AJ176" i="307"/>
  <c r="AJ179" i="307" s="1"/>
  <c r="AJ184" i="307" s="1"/>
  <c r="AJ187" i="307" s="1"/>
  <c r="AI84" i="307"/>
  <c r="AI86" i="307" s="1"/>
  <c r="AI588" i="307"/>
  <c r="AI27" i="307"/>
  <c r="AI40" i="310"/>
  <c r="AI587" i="307"/>
  <c r="AI589" i="307" s="1"/>
  <c r="AI26" i="307"/>
  <c r="AI39" i="310"/>
  <c r="AI595" i="307"/>
  <c r="AI43" i="310"/>
  <c r="AI30" i="307"/>
  <c r="AH47" i="310"/>
  <c r="AH63" i="310"/>
  <c r="AH58" i="310"/>
  <c r="AH145" i="288"/>
  <c r="AI591" i="307" l="1"/>
  <c r="AI596" i="307" s="1"/>
  <c r="AI139" i="288"/>
  <c r="AI89" i="307"/>
  <c r="AI90" i="307" s="1"/>
  <c r="AJ88" i="307" s="1"/>
  <c r="AI675" i="307"/>
  <c r="AI625" i="307"/>
  <c r="AI10" i="310"/>
  <c r="AI284" i="307"/>
  <c r="AJ193" i="307"/>
  <c r="AJ190" i="307"/>
  <c r="AJ191" i="307" s="1"/>
  <c r="AJ150" i="307"/>
  <c r="AJ433" i="307"/>
  <c r="AJ401" i="307"/>
  <c r="AJ432" i="307"/>
  <c r="AJ434" i="307" s="1"/>
  <c r="AJ400" i="307"/>
  <c r="AJ402" i="307" s="1"/>
  <c r="AI464" i="307"/>
  <c r="AI465" i="307" s="1"/>
  <c r="AI484" i="307"/>
  <c r="AI485" i="307" s="1"/>
  <c r="BG539" i="321"/>
  <c r="BG541" i="321" s="1"/>
  <c r="BG555" i="321" s="1"/>
  <c r="BG557" i="321" s="1"/>
  <c r="BG572" i="321"/>
  <c r="BG574" i="321" s="1"/>
  <c r="BG580" i="321" s="1"/>
  <c r="BG582" i="321" s="1"/>
  <c r="BG601" i="321"/>
  <c r="BG604" i="321" s="1"/>
  <c r="BG563" i="321"/>
  <c r="BG567" i="321" s="1"/>
  <c r="BO564" i="321"/>
  <c r="BO550" i="321"/>
  <c r="BO553" i="321" s="1"/>
  <c r="BO262" i="278"/>
  <c r="BO263" i="278" s="1"/>
  <c r="BO544" i="321"/>
  <c r="BO546" i="321" s="1"/>
  <c r="BP173" i="278"/>
  <c r="BP174" i="278" s="1"/>
  <c r="BP41" i="265"/>
  <c r="AM41" i="277" s="1"/>
  <c r="BF114" i="315"/>
  <c r="BG664" i="321"/>
  <c r="BP39" i="315"/>
  <c r="BP198" i="278"/>
  <c r="BP199" i="278" s="1"/>
  <c r="BO621" i="321"/>
  <c r="BO624" i="321" s="1"/>
  <c r="BO635" i="321"/>
  <c r="BO286" i="278"/>
  <c r="BO287" i="278" s="1"/>
  <c r="BO291" i="278" l="1"/>
  <c r="BO627" i="321"/>
  <c r="BO630" i="321"/>
  <c r="BP203" i="278"/>
  <c r="BP205" i="278" s="1"/>
  <c r="BQ196" i="278"/>
  <c r="BP105" i="315"/>
  <c r="BG643" i="321"/>
  <c r="BG645" i="321" s="1"/>
  <c r="BG651" i="321" s="1"/>
  <c r="BG653" i="321" s="1"/>
  <c r="BG616" i="321"/>
  <c r="BG618" i="321" s="1"/>
  <c r="BG626" i="321" s="1"/>
  <c r="BG628" i="321" s="1"/>
  <c r="BG634" i="321"/>
  <c r="BG638" i="321" s="1"/>
  <c r="BG657" i="321"/>
  <c r="BG660" i="321" s="1"/>
  <c r="BQ171" i="278"/>
  <c r="BP178" i="278"/>
  <c r="BP180" i="278" s="1"/>
  <c r="BP109" i="265"/>
  <c r="AM109" i="277" s="1"/>
  <c r="BP253" i="278"/>
  <c r="BP255" i="278" s="1"/>
  <c r="BP258" i="278" s="1"/>
  <c r="BO267" i="278"/>
  <c r="BO556" i="321"/>
  <c r="BO559" i="321"/>
  <c r="BG610" i="321"/>
  <c r="BG568" i="321"/>
  <c r="BG605" i="321"/>
  <c r="BG38" i="282"/>
  <c r="BG104" i="282"/>
  <c r="BG583" i="321"/>
  <c r="BG36" i="282"/>
  <c r="BG609" i="321"/>
  <c r="BG611" i="321" s="1"/>
  <c r="BG560" i="321"/>
  <c r="BG561" i="321" s="1"/>
  <c r="BG63" i="265"/>
  <c r="AI487" i="307"/>
  <c r="AI489" i="307" s="1"/>
  <c r="AI467" i="307"/>
  <c r="AI469" i="307" s="1"/>
  <c r="AJ584" i="307"/>
  <c r="AJ23" i="307"/>
  <c r="AJ36" i="310"/>
  <c r="AJ585" i="307"/>
  <c r="AJ37" i="310"/>
  <c r="AJ24" i="307"/>
  <c r="AJ156" i="307"/>
  <c r="AJ153" i="307"/>
  <c r="AJ154" i="307" s="1"/>
  <c r="AJ194" i="307"/>
  <c r="AJ593" i="307"/>
  <c r="AJ32" i="310"/>
  <c r="AJ20" i="307"/>
  <c r="AJ200" i="307"/>
  <c r="AJ195" i="307"/>
  <c r="AJ72" i="307"/>
  <c r="AJ75" i="307" s="1"/>
  <c r="AJ78" i="307" s="1"/>
  <c r="AJ79" i="307" s="1"/>
  <c r="AI599" i="307"/>
  <c r="AI601" i="307" s="1"/>
  <c r="AI609" i="307"/>
  <c r="AI615" i="307" l="1"/>
  <c r="AJ294" i="307"/>
  <c r="AJ296" i="307" s="1"/>
  <c r="AJ85" i="307"/>
  <c r="AJ453" i="307"/>
  <c r="AJ248" i="307"/>
  <c r="AJ207" i="307"/>
  <c r="AJ123" i="307"/>
  <c r="AJ157" i="307"/>
  <c r="AJ594" i="307"/>
  <c r="AJ198" i="307"/>
  <c r="AJ201" i="307" s="1"/>
  <c r="AJ21" i="307"/>
  <c r="AJ33" i="310"/>
  <c r="AJ158" i="307"/>
  <c r="AI473" i="307"/>
  <c r="AI475" i="307" s="1"/>
  <c r="AJ472" i="307" s="1"/>
  <c r="AI250" i="307"/>
  <c r="AI251" i="307" s="1"/>
  <c r="AI655" i="307"/>
  <c r="AI498" i="307"/>
  <c r="AI493" i="307"/>
  <c r="AI495" i="307" s="1"/>
  <c r="AJ492" i="307" s="1"/>
  <c r="AI660" i="307"/>
  <c r="AI499" i="307"/>
  <c r="BH608" i="321"/>
  <c r="BG118" i="265"/>
  <c r="BG23" i="265"/>
  <c r="BG60" i="265"/>
  <c r="BG25" i="265"/>
  <c r="BG62" i="265"/>
  <c r="BG64" i="265"/>
  <c r="BP237" i="278"/>
  <c r="BP241" i="278" s="1"/>
  <c r="BQ166" i="278"/>
  <c r="BQ169" i="278" s="1"/>
  <c r="BQ177" i="278"/>
  <c r="BG661" i="321"/>
  <c r="BG106" i="282"/>
  <c r="BG639" i="321"/>
  <c r="BG666" i="321"/>
  <c r="BG665" i="321"/>
  <c r="BG667" i="321" s="1"/>
  <c r="BG631" i="321"/>
  <c r="BG632" i="321" s="1"/>
  <c r="BG61" i="315"/>
  <c r="BG654" i="321"/>
  <c r="BQ191" i="278"/>
  <c r="BQ194" i="278" s="1"/>
  <c r="BQ202" i="278"/>
  <c r="BP281" i="278"/>
  <c r="BP284" i="278" s="1"/>
  <c r="BP244" i="278"/>
  <c r="BP248" i="278" s="1"/>
  <c r="BP621" i="321" l="1"/>
  <c r="BP624" i="321" s="1"/>
  <c r="BP635" i="321"/>
  <c r="BP286" i="278"/>
  <c r="BP287" i="278" s="1"/>
  <c r="BQ39" i="315"/>
  <c r="BQ198" i="278"/>
  <c r="BQ199" i="278" s="1"/>
  <c r="BG58" i="315"/>
  <c r="BG21" i="315"/>
  <c r="BH664" i="321"/>
  <c r="BG114" i="315"/>
  <c r="BG62" i="315"/>
  <c r="BG23" i="315"/>
  <c r="BG60" i="315"/>
  <c r="BQ41" i="265"/>
  <c r="BQ173" i="278"/>
  <c r="BQ174" i="278" s="1"/>
  <c r="BP564" i="321"/>
  <c r="BP550" i="321"/>
  <c r="BP553" i="321" s="1"/>
  <c r="BP262" i="278"/>
  <c r="BP263" i="278" s="1"/>
  <c r="BP544" i="321"/>
  <c r="BP546" i="321" s="1"/>
  <c r="BH572" i="321"/>
  <c r="BH574" i="321" s="1"/>
  <c r="BH580" i="321" s="1"/>
  <c r="BH582" i="321" s="1"/>
  <c r="BH563" i="321"/>
  <c r="BH567" i="321" s="1"/>
  <c r="BH601" i="321"/>
  <c r="BH604" i="321" s="1"/>
  <c r="BH539" i="321"/>
  <c r="BH541" i="321" s="1"/>
  <c r="BH555" i="321" s="1"/>
  <c r="BH557" i="321" s="1"/>
  <c r="AJ534" i="307"/>
  <c r="AJ536" i="307" s="1"/>
  <c r="AJ540" i="307" s="1"/>
  <c r="AJ541" i="307" s="1"/>
  <c r="AJ571" i="307"/>
  <c r="AJ573" i="307" s="1"/>
  <c r="AJ480" i="307"/>
  <c r="AJ481" i="307" s="1"/>
  <c r="AJ488" i="307" s="1"/>
  <c r="AI500" i="307"/>
  <c r="AI253" i="307"/>
  <c r="AI255" i="307" s="1"/>
  <c r="AJ523" i="307"/>
  <c r="AJ525" i="307" s="1"/>
  <c r="AJ529" i="307" s="1"/>
  <c r="AJ530" i="307" s="1"/>
  <c r="AJ558" i="307"/>
  <c r="AJ560" i="307" s="1"/>
  <c r="AJ460" i="307"/>
  <c r="AJ461" i="307" s="1"/>
  <c r="AJ468" i="307" s="1"/>
  <c r="AJ205" i="307"/>
  <c r="AJ208" i="307" s="1"/>
  <c r="AJ121" i="307"/>
  <c r="AJ224" i="307"/>
  <c r="AJ202" i="307"/>
  <c r="AJ321" i="307"/>
  <c r="AJ322" i="307" s="1"/>
  <c r="AJ300" i="307"/>
  <c r="AJ301" i="307" s="1"/>
  <c r="AJ308" i="307" l="1"/>
  <c r="AJ311" i="307" s="1"/>
  <c r="AJ329" i="307"/>
  <c r="AJ332" i="307" s="1"/>
  <c r="AJ225" i="307"/>
  <c r="AJ215" i="307"/>
  <c r="AJ217" i="307" s="1"/>
  <c r="AJ600" i="307"/>
  <c r="AJ670" i="307"/>
  <c r="AJ226" i="307"/>
  <c r="AJ576" i="307"/>
  <c r="AJ544" i="307"/>
  <c r="AI258" i="307"/>
  <c r="AI260" i="307" s="1"/>
  <c r="AJ257" i="307" s="1"/>
  <c r="AI645" i="307"/>
  <c r="AI12" i="310"/>
  <c r="AI285" i="307"/>
  <c r="AI288" i="307" s="1"/>
  <c r="AI650" i="307"/>
  <c r="AI14" i="310"/>
  <c r="AI135" i="288"/>
  <c r="AI136" i="288" s="1"/>
  <c r="AJ577" i="307"/>
  <c r="AJ545" i="307"/>
  <c r="BH609" i="321"/>
  <c r="BH560" i="321"/>
  <c r="BH561" i="321" s="1"/>
  <c r="BH63" i="265"/>
  <c r="AI63" i="277" s="1"/>
  <c r="BH605" i="321"/>
  <c r="BH38" i="282"/>
  <c r="BH610" i="321"/>
  <c r="BH568" i="321"/>
  <c r="BH104" i="282"/>
  <c r="BH583" i="321"/>
  <c r="BH36" i="282"/>
  <c r="BP267" i="278"/>
  <c r="BP556" i="321"/>
  <c r="BP559" i="321"/>
  <c r="BQ178" i="278"/>
  <c r="BQ180" i="278" s="1"/>
  <c r="BR171" i="278"/>
  <c r="BQ109" i="265"/>
  <c r="BQ253" i="278"/>
  <c r="BQ255" i="278" s="1"/>
  <c r="BQ258" i="278" s="1"/>
  <c r="BH634" i="321"/>
  <c r="BH638" i="321" s="1"/>
  <c r="BH643" i="321"/>
  <c r="BH645" i="321" s="1"/>
  <c r="BH651" i="321" s="1"/>
  <c r="BH653" i="321" s="1"/>
  <c r="BH657" i="321"/>
  <c r="BH660" i="321" s="1"/>
  <c r="BH616" i="321"/>
  <c r="BH618" i="321" s="1"/>
  <c r="BH626" i="321" s="1"/>
  <c r="BH628" i="321" s="1"/>
  <c r="BR196" i="278"/>
  <c r="BQ203" i="278"/>
  <c r="BQ205" i="278" s="1"/>
  <c r="BQ105" i="315"/>
  <c r="BP291" i="278"/>
  <c r="BP627" i="321"/>
  <c r="BP630" i="321"/>
  <c r="BQ281" i="278" l="1"/>
  <c r="BQ284" i="278" s="1"/>
  <c r="BQ244" i="278"/>
  <c r="BQ248" i="278" s="1"/>
  <c r="BR191" i="278"/>
  <c r="BR194" i="278" s="1"/>
  <c r="BR202" i="278"/>
  <c r="BH665" i="321"/>
  <c r="BH61" i="315"/>
  <c r="BH631" i="321"/>
  <c r="BH632" i="321" s="1"/>
  <c r="BH106" i="282"/>
  <c r="BH661" i="321"/>
  <c r="BH654" i="321"/>
  <c r="BH639" i="321"/>
  <c r="BH666" i="321"/>
  <c r="BR166" i="278"/>
  <c r="BR169" i="278" s="1"/>
  <c r="BR177" i="278"/>
  <c r="BQ237" i="278"/>
  <c r="BQ241" i="278" s="1"/>
  <c r="BH23" i="265"/>
  <c r="AI23" i="277" s="1"/>
  <c r="BH60" i="265"/>
  <c r="AI60" i="277" s="1"/>
  <c r="BH64" i="265"/>
  <c r="AI64" i="277" s="1"/>
  <c r="BH25" i="265"/>
  <c r="AI25" i="277" s="1"/>
  <c r="BH62" i="265"/>
  <c r="AI62" i="277" s="1"/>
  <c r="BH611" i="321"/>
  <c r="AI138" i="288"/>
  <c r="AI140" i="288" s="1"/>
  <c r="AI56" i="288"/>
  <c r="AI206" i="288"/>
  <c r="AI16" i="310"/>
  <c r="AJ264" i="307"/>
  <c r="AJ265" i="307" s="1"/>
  <c r="AJ269" i="307" s="1"/>
  <c r="AJ271" i="307" s="1"/>
  <c r="AJ244" i="307"/>
  <c r="AJ245" i="307" s="1"/>
  <c r="AJ254" i="307" s="1"/>
  <c r="AJ546" i="307"/>
  <c r="AJ578" i="307"/>
  <c r="AJ81" i="307"/>
  <c r="AJ82" i="307" s="1"/>
  <c r="AJ124" i="307"/>
  <c r="AJ125" i="307" s="1"/>
  <c r="AK119" i="307" s="1"/>
  <c r="AJ227" i="307"/>
  <c r="AJ34" i="310"/>
  <c r="AJ640" i="307"/>
  <c r="AJ336" i="307"/>
  <c r="AJ338" i="307" s="1"/>
  <c r="AK335" i="307" s="1"/>
  <c r="AJ342" i="307"/>
  <c r="AJ635" i="307"/>
  <c r="AJ315" i="307"/>
  <c r="AJ317" i="307" s="1"/>
  <c r="AK314" i="307" s="1"/>
  <c r="AJ341" i="307"/>
  <c r="AJ343" i="307" s="1"/>
  <c r="AJ454" i="307" l="1"/>
  <c r="AJ455" i="307" s="1"/>
  <c r="AJ249" i="307"/>
  <c r="AJ630" i="307"/>
  <c r="AJ347" i="307"/>
  <c r="AJ349" i="307" s="1"/>
  <c r="AK346" i="307" s="1"/>
  <c r="AJ13" i="310"/>
  <c r="AJ134" i="288"/>
  <c r="AK305" i="307"/>
  <c r="AK306" i="307" s="1"/>
  <c r="AK309" i="307" s="1"/>
  <c r="AK378" i="307"/>
  <c r="AK380" i="307" s="1"/>
  <c r="AK384" i="307" s="1"/>
  <c r="AK385" i="307" s="1"/>
  <c r="AK414" i="307"/>
  <c r="AK416" i="307" s="1"/>
  <c r="AK326" i="307"/>
  <c r="AK327" i="307" s="1"/>
  <c r="AK330" i="307" s="1"/>
  <c r="AK390" i="307"/>
  <c r="AK392" i="307" s="1"/>
  <c r="AK396" i="307" s="1"/>
  <c r="AK397" i="307" s="1"/>
  <c r="AK427" i="307"/>
  <c r="AK429" i="307" s="1"/>
  <c r="AK213" i="307"/>
  <c r="AK148" i="307"/>
  <c r="AK129" i="307"/>
  <c r="AK131" i="307" s="1"/>
  <c r="AK135" i="307" s="1"/>
  <c r="AK138" i="307" s="1"/>
  <c r="AK142" i="307" s="1"/>
  <c r="AK145" i="307" s="1"/>
  <c r="AK147" i="307" s="1"/>
  <c r="AK176" i="307"/>
  <c r="AK179" i="307" s="1"/>
  <c r="AK184" i="307" s="1"/>
  <c r="AK187" i="307" s="1"/>
  <c r="AJ84" i="307"/>
  <c r="AJ86" i="307" s="1"/>
  <c r="AJ588" i="307"/>
  <c r="AJ27" i="307"/>
  <c r="AJ40" i="310"/>
  <c r="AJ587" i="307"/>
  <c r="AJ589" i="307" s="1"/>
  <c r="AJ39" i="310"/>
  <c r="AJ26" i="307"/>
  <c r="AJ595" i="307"/>
  <c r="AJ43" i="310"/>
  <c r="AJ30" i="307"/>
  <c r="AI63" i="310"/>
  <c r="AI58" i="310"/>
  <c r="AI47" i="310"/>
  <c r="AI145" i="288"/>
  <c r="BH118" i="265"/>
  <c r="AI118" i="277" s="1"/>
  <c r="BI608" i="321"/>
  <c r="BQ564" i="321"/>
  <c r="BQ544" i="321"/>
  <c r="BQ546" i="321" s="1"/>
  <c r="BQ262" i="278"/>
  <c r="BQ263" i="278" s="1"/>
  <c r="BQ550" i="321"/>
  <c r="BQ553" i="321" s="1"/>
  <c r="BR41" i="265"/>
  <c r="AN41" i="277" s="1"/>
  <c r="BR173" i="278"/>
  <c r="BR174" i="278" s="1"/>
  <c r="BH62" i="315"/>
  <c r="BH58" i="315"/>
  <c r="BH21" i="315"/>
  <c r="BH23" i="315"/>
  <c r="BH60" i="315"/>
  <c r="BH667" i="321"/>
  <c r="BR39" i="315"/>
  <c r="BR198" i="278"/>
  <c r="BR199" i="278" s="1"/>
  <c r="BQ621" i="321"/>
  <c r="BQ624" i="321" s="1"/>
  <c r="BQ635" i="321"/>
  <c r="BQ286" i="278"/>
  <c r="BQ287" i="278" s="1"/>
  <c r="BQ291" i="278" l="1"/>
  <c r="BQ627" i="321"/>
  <c r="BQ630" i="321"/>
  <c r="BS196" i="278"/>
  <c r="BR203" i="278"/>
  <c r="BR205" i="278" s="1"/>
  <c r="BR105" i="315"/>
  <c r="BI664" i="321"/>
  <c r="BH114" i="315"/>
  <c r="BS171" i="278"/>
  <c r="BR178" i="278"/>
  <c r="BR180" i="278" s="1"/>
  <c r="BR109" i="265"/>
  <c r="AN109" i="277" s="1"/>
  <c r="BR253" i="278"/>
  <c r="BR255" i="278" s="1"/>
  <c r="BR258" i="278" s="1"/>
  <c r="BQ559" i="321"/>
  <c r="BQ556" i="321"/>
  <c r="BQ267" i="278"/>
  <c r="BI539" i="321"/>
  <c r="BI541" i="321" s="1"/>
  <c r="BI555" i="321" s="1"/>
  <c r="BI557" i="321" s="1"/>
  <c r="BI572" i="321"/>
  <c r="BI574" i="321" s="1"/>
  <c r="BI580" i="321" s="1"/>
  <c r="BI582" i="321" s="1"/>
  <c r="BI563" i="321"/>
  <c r="BI567" i="321" s="1"/>
  <c r="BI601" i="321"/>
  <c r="BI604" i="321" s="1"/>
  <c r="AJ591" i="307"/>
  <c r="AJ596" i="307" s="1"/>
  <c r="AJ139" i="288"/>
  <c r="AJ89" i="307"/>
  <c r="AJ90" i="307" s="1"/>
  <c r="AK88" i="307" s="1"/>
  <c r="AJ675" i="307"/>
  <c r="AJ625" i="307"/>
  <c r="AJ10" i="310"/>
  <c r="AJ284" i="307"/>
  <c r="AK193" i="307"/>
  <c r="AK190" i="307"/>
  <c r="AK191" i="307" s="1"/>
  <c r="AK150" i="307"/>
  <c r="AK433" i="307"/>
  <c r="AK401" i="307"/>
  <c r="AK432" i="307"/>
  <c r="AK434" i="307" s="1"/>
  <c r="AK400" i="307"/>
  <c r="AK402" i="307" s="1"/>
  <c r="AJ464" i="307"/>
  <c r="AJ465" i="307" s="1"/>
  <c r="AJ484" i="307"/>
  <c r="AJ485" i="307" s="1"/>
  <c r="AJ487" i="307" l="1"/>
  <c r="AJ489" i="307" s="1"/>
  <c r="AJ467" i="307"/>
  <c r="AJ469" i="307" s="1"/>
  <c r="AK584" i="307"/>
  <c r="AK36" i="310"/>
  <c r="AK23" i="307"/>
  <c r="AK585" i="307"/>
  <c r="AK24" i="307"/>
  <c r="AK37" i="310"/>
  <c r="AK156" i="307"/>
  <c r="AK153" i="307"/>
  <c r="AK154" i="307" s="1"/>
  <c r="AK194" i="307"/>
  <c r="AK593" i="307"/>
  <c r="AK32" i="310"/>
  <c r="AK20" i="307"/>
  <c r="AK200" i="307"/>
  <c r="AK195" i="307"/>
  <c r="AK72" i="307"/>
  <c r="AK75" i="307" s="1"/>
  <c r="AK78" i="307" s="1"/>
  <c r="AK79" i="307" s="1"/>
  <c r="AJ599" i="307"/>
  <c r="AJ601" i="307" s="1"/>
  <c r="AJ609" i="307"/>
  <c r="BI38" i="282"/>
  <c r="BI605" i="321"/>
  <c r="BI610" i="321"/>
  <c r="BI568" i="321"/>
  <c r="BI583" i="321"/>
  <c r="BI104" i="282"/>
  <c r="BI36" i="282"/>
  <c r="BI609" i="321"/>
  <c r="BI611" i="321" s="1"/>
  <c r="BI63" i="265"/>
  <c r="BI560" i="321"/>
  <c r="BI561" i="321" s="1"/>
  <c r="BR237" i="278"/>
  <c r="BR241" i="278" s="1"/>
  <c r="BS166" i="278"/>
  <c r="BS169" i="278" s="1"/>
  <c r="BS177" i="278"/>
  <c r="BI634" i="321"/>
  <c r="BI638" i="321" s="1"/>
  <c r="BI643" i="321"/>
  <c r="BI645" i="321" s="1"/>
  <c r="BI651" i="321" s="1"/>
  <c r="BI653" i="321" s="1"/>
  <c r="BI657" i="321"/>
  <c r="BI660" i="321" s="1"/>
  <c r="BI616" i="321"/>
  <c r="BI618" i="321" s="1"/>
  <c r="BI626" i="321" s="1"/>
  <c r="BI628" i="321" s="1"/>
  <c r="BR281" i="278"/>
  <c r="BR284" i="278" s="1"/>
  <c r="BR244" i="278"/>
  <c r="BR248" i="278" s="1"/>
  <c r="BS191" i="278"/>
  <c r="BS194" i="278" s="1"/>
  <c r="BS202" i="278"/>
  <c r="BS39" i="315" l="1"/>
  <c r="BS198" i="278"/>
  <c r="BS199" i="278" s="1"/>
  <c r="BR621" i="321"/>
  <c r="BR624" i="321" s="1"/>
  <c r="BR635" i="321"/>
  <c r="BR286" i="278"/>
  <c r="BR287" i="278" s="1"/>
  <c r="BI665" i="321"/>
  <c r="BI61" i="315"/>
  <c r="BI631" i="321"/>
  <c r="BI632" i="321" s="1"/>
  <c r="BI106" i="282"/>
  <c r="BI661" i="321"/>
  <c r="BI654" i="321"/>
  <c r="BI639" i="321"/>
  <c r="BI666" i="321"/>
  <c r="BS173" i="278"/>
  <c r="BS174" i="278" s="1"/>
  <c r="BS41" i="265"/>
  <c r="BR564" i="321"/>
  <c r="BR550" i="321"/>
  <c r="BR553" i="321" s="1"/>
  <c r="BR262" i="278"/>
  <c r="BR263" i="278" s="1"/>
  <c r="BR544" i="321"/>
  <c r="BR546" i="321" s="1"/>
  <c r="BI118" i="265"/>
  <c r="BJ608" i="321"/>
  <c r="BI23" i="265"/>
  <c r="BI60" i="265"/>
  <c r="BI64" i="265"/>
  <c r="BI25" i="265"/>
  <c r="BI62" i="265"/>
  <c r="AJ615" i="307"/>
  <c r="AK294" i="307"/>
  <c r="AK296" i="307" s="1"/>
  <c r="AK85" i="307"/>
  <c r="AK453" i="307"/>
  <c r="AK248" i="307"/>
  <c r="AK207" i="307"/>
  <c r="AK123" i="307"/>
  <c r="AK157" i="307"/>
  <c r="AK594" i="307"/>
  <c r="AK33" i="310"/>
  <c r="AK21" i="307"/>
  <c r="AK198" i="307"/>
  <c r="AK201" i="307" s="1"/>
  <c r="AK158" i="307"/>
  <c r="AJ473" i="307"/>
  <c r="AJ475" i="307" s="1"/>
  <c r="AK472" i="307" s="1"/>
  <c r="AJ250" i="307"/>
  <c r="AJ251" i="307" s="1"/>
  <c r="AJ655" i="307"/>
  <c r="AJ498" i="307"/>
  <c r="AJ493" i="307"/>
  <c r="AJ495" i="307" s="1"/>
  <c r="AK492" i="307" s="1"/>
  <c r="AJ660" i="307"/>
  <c r="AJ499" i="307"/>
  <c r="AK534" i="307" l="1"/>
  <c r="AK536" i="307" s="1"/>
  <c r="AK540" i="307" s="1"/>
  <c r="AK541" i="307" s="1"/>
  <c r="AK571" i="307"/>
  <c r="AK573" i="307" s="1"/>
  <c r="AK480" i="307"/>
  <c r="AK481" i="307" s="1"/>
  <c r="AK488" i="307" s="1"/>
  <c r="AJ500" i="307"/>
  <c r="AJ253" i="307"/>
  <c r="AJ255" i="307" s="1"/>
  <c r="AK523" i="307"/>
  <c r="AK525" i="307" s="1"/>
  <c r="AK529" i="307" s="1"/>
  <c r="AK530" i="307" s="1"/>
  <c r="AK558" i="307"/>
  <c r="AK560" i="307" s="1"/>
  <c r="AK460" i="307"/>
  <c r="AK461" i="307" s="1"/>
  <c r="AK468" i="307" s="1"/>
  <c r="AK205" i="307"/>
  <c r="AK208" i="307" s="1"/>
  <c r="AK121" i="307"/>
  <c r="AK202" i="307"/>
  <c r="AK224" i="307"/>
  <c r="AK321" i="307"/>
  <c r="AK322" i="307" s="1"/>
  <c r="AK300" i="307"/>
  <c r="AK301" i="307" s="1"/>
  <c r="BJ539" i="321"/>
  <c r="BJ541" i="321" s="1"/>
  <c r="BJ555" i="321" s="1"/>
  <c r="BJ557" i="321" s="1"/>
  <c r="BJ601" i="321"/>
  <c r="BJ604" i="321" s="1"/>
  <c r="BJ563" i="321"/>
  <c r="BJ567" i="321" s="1"/>
  <c r="BJ572" i="321"/>
  <c r="BJ574" i="321" s="1"/>
  <c r="BJ580" i="321" s="1"/>
  <c r="BJ582" i="321" s="1"/>
  <c r="BR267" i="278"/>
  <c r="BR556" i="321"/>
  <c r="BR559" i="321"/>
  <c r="BT171" i="278"/>
  <c r="BS178" i="278"/>
  <c r="BS180" i="278" s="1"/>
  <c r="BS109" i="265"/>
  <c r="BS253" i="278"/>
  <c r="BS255" i="278" s="1"/>
  <c r="BS258" i="278" s="1"/>
  <c r="BI62" i="315"/>
  <c r="BI58" i="315"/>
  <c r="BI21" i="315"/>
  <c r="BI23" i="315"/>
  <c r="BI60" i="315"/>
  <c r="BI667" i="321"/>
  <c r="BR291" i="278"/>
  <c r="BR627" i="321"/>
  <c r="BR630" i="321"/>
  <c r="BT196" i="278"/>
  <c r="BS203" i="278"/>
  <c r="BS205" i="278" s="1"/>
  <c r="BS105" i="315"/>
  <c r="BS281" i="278" l="1"/>
  <c r="BS284" i="278" s="1"/>
  <c r="BS244" i="278"/>
  <c r="BS248" i="278" s="1"/>
  <c r="BT191" i="278"/>
  <c r="BT194" i="278" s="1"/>
  <c r="BT202" i="278"/>
  <c r="BJ664" i="321"/>
  <c r="BI114" i="315"/>
  <c r="BS237" i="278"/>
  <c r="BS241" i="278" s="1"/>
  <c r="BT166" i="278"/>
  <c r="BT169" i="278" s="1"/>
  <c r="BT177" i="278"/>
  <c r="BJ583" i="321"/>
  <c r="BJ104" i="282"/>
  <c r="BJ36" i="282"/>
  <c r="BJ568" i="321"/>
  <c r="BJ610" i="321"/>
  <c r="BJ38" i="282"/>
  <c r="BJ605" i="321"/>
  <c r="BJ609" i="321"/>
  <c r="BJ611" i="321" s="1"/>
  <c r="BJ560" i="321"/>
  <c r="BJ561" i="321" s="1"/>
  <c r="BJ63" i="265"/>
  <c r="AJ63" i="277" s="1"/>
  <c r="AK308" i="307"/>
  <c r="AK311" i="307" s="1"/>
  <c r="AK329" i="307"/>
  <c r="AK332" i="307" s="1"/>
  <c r="AK225" i="307"/>
  <c r="AK215" i="307"/>
  <c r="AK217" i="307" s="1"/>
  <c r="AK600" i="307"/>
  <c r="AK670" i="307"/>
  <c r="AK226" i="307"/>
  <c r="AK576" i="307"/>
  <c r="AK544" i="307"/>
  <c r="AJ258" i="307"/>
  <c r="AJ260" i="307" s="1"/>
  <c r="AK257" i="307" s="1"/>
  <c r="AJ645" i="307"/>
  <c r="AJ12" i="310"/>
  <c r="AJ285" i="307"/>
  <c r="AJ288" i="307" s="1"/>
  <c r="AJ650" i="307"/>
  <c r="AJ135" i="288"/>
  <c r="AJ136" i="288" s="1"/>
  <c r="AJ14" i="310"/>
  <c r="AK577" i="307"/>
  <c r="AK545" i="307"/>
  <c r="AJ138" i="288" l="1"/>
  <c r="AJ140" i="288" s="1"/>
  <c r="AJ56" i="288"/>
  <c r="AJ206" i="288"/>
  <c r="AJ16" i="310"/>
  <c r="AK264" i="307"/>
  <c r="AK265" i="307" s="1"/>
  <c r="AK269" i="307" s="1"/>
  <c r="AK271" i="307" s="1"/>
  <c r="AK244" i="307"/>
  <c r="AK245" i="307" s="1"/>
  <c r="AK254" i="307" s="1"/>
  <c r="AK546" i="307"/>
  <c r="AK578" i="307"/>
  <c r="AK81" i="307"/>
  <c r="AK82" i="307" s="1"/>
  <c r="AK124" i="307"/>
  <c r="AK125" i="307" s="1"/>
  <c r="AL119" i="307" s="1"/>
  <c r="AK227" i="307"/>
  <c r="AK34" i="310"/>
  <c r="AK640" i="307"/>
  <c r="AK336" i="307"/>
  <c r="AK338" i="307" s="1"/>
  <c r="AL335" i="307" s="1"/>
  <c r="AK342" i="307"/>
  <c r="AK635" i="307"/>
  <c r="AK315" i="307"/>
  <c r="AK317" i="307" s="1"/>
  <c r="AL314" i="307" s="1"/>
  <c r="AK341" i="307"/>
  <c r="AK343" i="307" s="1"/>
  <c r="BK608" i="321"/>
  <c r="BJ118" i="265"/>
  <c r="AJ118" i="277" s="1"/>
  <c r="BJ25" i="265"/>
  <c r="AJ25" i="277" s="1"/>
  <c r="BJ62" i="265"/>
  <c r="AJ62" i="277" s="1"/>
  <c r="BJ64" i="265"/>
  <c r="AJ64" i="277" s="1"/>
  <c r="BJ60" i="265"/>
  <c r="AJ60" i="277" s="1"/>
  <c r="BJ23" i="265"/>
  <c r="AJ23" i="277" s="1"/>
  <c r="BT41" i="265"/>
  <c r="AO41" i="277" s="1"/>
  <c r="BT173" i="278"/>
  <c r="BT174" i="278" s="1"/>
  <c r="BS550" i="321"/>
  <c r="BS553" i="321" s="1"/>
  <c r="BS564" i="321"/>
  <c r="BS262" i="278"/>
  <c r="BS263" i="278" s="1"/>
  <c r="BS544" i="321"/>
  <c r="BS546" i="321" s="1"/>
  <c r="BJ634" i="321"/>
  <c r="BJ638" i="321" s="1"/>
  <c r="BJ643" i="321"/>
  <c r="BJ645" i="321" s="1"/>
  <c r="BJ651" i="321" s="1"/>
  <c r="BJ653" i="321" s="1"/>
  <c r="BJ657" i="321"/>
  <c r="BJ660" i="321" s="1"/>
  <c r="BJ616" i="321"/>
  <c r="BJ618" i="321" s="1"/>
  <c r="BJ626" i="321" s="1"/>
  <c r="BJ628" i="321" s="1"/>
  <c r="BT198" i="278"/>
  <c r="BT199" i="278" s="1"/>
  <c r="BT39" i="315"/>
  <c r="BS621" i="321"/>
  <c r="BS624" i="321" s="1"/>
  <c r="BS635" i="321"/>
  <c r="BS286" i="278"/>
  <c r="BS287" i="278" s="1"/>
  <c r="BS291" i="278" l="1"/>
  <c r="BS627" i="321"/>
  <c r="BS630" i="321"/>
  <c r="BT203" i="278"/>
  <c r="BT205" i="278" s="1"/>
  <c r="BU196" i="278"/>
  <c r="BT105" i="315"/>
  <c r="BJ665" i="321"/>
  <c r="BJ61" i="315"/>
  <c r="BJ631" i="321"/>
  <c r="BJ632" i="321" s="1"/>
  <c r="BJ106" i="282"/>
  <c r="BJ661" i="321"/>
  <c r="BJ654" i="321"/>
  <c r="BJ639" i="321"/>
  <c r="BJ666" i="321"/>
  <c r="BS267" i="278"/>
  <c r="BS556" i="321"/>
  <c r="BS559" i="321"/>
  <c r="BT178" i="278"/>
  <c r="BT180" i="278" s="1"/>
  <c r="BU171" i="278"/>
  <c r="BT109" i="265"/>
  <c r="AO109" i="277" s="1"/>
  <c r="BT253" i="278"/>
  <c r="BT255" i="278" s="1"/>
  <c r="BT258" i="278" s="1"/>
  <c r="BK601" i="321"/>
  <c r="BK604" i="321" s="1"/>
  <c r="BK563" i="321"/>
  <c r="BK567" i="321" s="1"/>
  <c r="BK539" i="321"/>
  <c r="BK541" i="321" s="1"/>
  <c r="BK555" i="321" s="1"/>
  <c r="BK557" i="321" s="1"/>
  <c r="BK572" i="321"/>
  <c r="BK574" i="321" s="1"/>
  <c r="BK580" i="321" s="1"/>
  <c r="BK582" i="321" s="1"/>
  <c r="AK454" i="307"/>
  <c r="AK455" i="307" s="1"/>
  <c r="AK249" i="307"/>
  <c r="AK630" i="307"/>
  <c r="AK134" i="288"/>
  <c r="AK347" i="307"/>
  <c r="AK349" i="307" s="1"/>
  <c r="AL346" i="307" s="1"/>
  <c r="AK13" i="310"/>
  <c r="AL305" i="307"/>
  <c r="AL306" i="307" s="1"/>
  <c r="AL309" i="307" s="1"/>
  <c r="AL378" i="307"/>
  <c r="AL380" i="307" s="1"/>
  <c r="AL384" i="307" s="1"/>
  <c r="AL385" i="307" s="1"/>
  <c r="AL414" i="307"/>
  <c r="AL416" i="307" s="1"/>
  <c r="AL326" i="307"/>
  <c r="AL327" i="307" s="1"/>
  <c r="AL330" i="307" s="1"/>
  <c r="AL390" i="307"/>
  <c r="AL392" i="307" s="1"/>
  <c r="AL396" i="307" s="1"/>
  <c r="AL397" i="307" s="1"/>
  <c r="AL427" i="307"/>
  <c r="AL429" i="307" s="1"/>
  <c r="AL213" i="307"/>
  <c r="AL148" i="307"/>
  <c r="AL129" i="307"/>
  <c r="AL131" i="307" s="1"/>
  <c r="AL135" i="307" s="1"/>
  <c r="AL138" i="307" s="1"/>
  <c r="AL142" i="307" s="1"/>
  <c r="AL145" i="307" s="1"/>
  <c r="AL147" i="307" s="1"/>
  <c r="AL176" i="307"/>
  <c r="AL179" i="307" s="1"/>
  <c r="AL184" i="307" s="1"/>
  <c r="AL187" i="307" s="1"/>
  <c r="AK84" i="307"/>
  <c r="AK86" i="307" s="1"/>
  <c r="AK588" i="307"/>
  <c r="AK27" i="307"/>
  <c r="AK40" i="310"/>
  <c r="AK587" i="307"/>
  <c r="AK589" i="307" s="1"/>
  <c r="AK26" i="307"/>
  <c r="AK39" i="310"/>
  <c r="AK595" i="307"/>
  <c r="AK43" i="310"/>
  <c r="AK30" i="307"/>
  <c r="AJ47" i="310"/>
  <c r="AJ63" i="310"/>
  <c r="AJ58" i="310"/>
  <c r="AJ145" i="288"/>
  <c r="AK591" i="307" l="1"/>
  <c r="AK596" i="307" s="1"/>
  <c r="AK139" i="288"/>
  <c r="AK89" i="307"/>
  <c r="AK90" i="307" s="1"/>
  <c r="AL88" i="307" s="1"/>
  <c r="AK675" i="307"/>
  <c r="AK625" i="307"/>
  <c r="AK10" i="310"/>
  <c r="AK284" i="307"/>
  <c r="AL193" i="307"/>
  <c r="AL190" i="307"/>
  <c r="AL191" i="307" s="1"/>
  <c r="AL150" i="307"/>
  <c r="AL433" i="307"/>
  <c r="AL401" i="307"/>
  <c r="AL432" i="307"/>
  <c r="AL434" i="307" s="1"/>
  <c r="AL400" i="307"/>
  <c r="AL402" i="307" s="1"/>
  <c r="AK464" i="307"/>
  <c r="AK465" i="307" s="1"/>
  <c r="AK484" i="307"/>
  <c r="AK485" i="307" s="1"/>
  <c r="BK104" i="282"/>
  <c r="BK583" i="321"/>
  <c r="BK36" i="282"/>
  <c r="BK609" i="321"/>
  <c r="BK560" i="321"/>
  <c r="BK561" i="321" s="1"/>
  <c r="BK63" i="265"/>
  <c r="BK610" i="321"/>
  <c r="BK568" i="321"/>
  <c r="BK38" i="282"/>
  <c r="BK605" i="321"/>
  <c r="BU177" i="278"/>
  <c r="BU166" i="278"/>
  <c r="BU169" i="278" s="1"/>
  <c r="BT237" i="278"/>
  <c r="BT241" i="278" s="1"/>
  <c r="BJ62" i="315"/>
  <c r="BJ58" i="315"/>
  <c r="BJ21" i="315"/>
  <c r="BJ23" i="315"/>
  <c r="BJ60" i="315"/>
  <c r="BJ667" i="321"/>
  <c r="BU191" i="278"/>
  <c r="BU194" i="278" s="1"/>
  <c r="BU202" i="278"/>
  <c r="BT281" i="278"/>
  <c r="BT284" i="278" s="1"/>
  <c r="BT244" i="278"/>
  <c r="BT248" i="278" s="1"/>
  <c r="BT621" i="321" l="1"/>
  <c r="BT624" i="321" s="1"/>
  <c r="BT635" i="321"/>
  <c r="BT286" i="278"/>
  <c r="BT287" i="278" s="1"/>
  <c r="BU39" i="315"/>
  <c r="BU198" i="278"/>
  <c r="BU199" i="278" s="1"/>
  <c r="BK664" i="321"/>
  <c r="BJ114" i="315"/>
  <c r="BT564" i="321"/>
  <c r="BT550" i="321"/>
  <c r="BT553" i="321" s="1"/>
  <c r="BT262" i="278"/>
  <c r="BT263" i="278" s="1"/>
  <c r="BT544" i="321"/>
  <c r="BT546" i="321" s="1"/>
  <c r="BU41" i="265"/>
  <c r="BU173" i="278"/>
  <c r="BU174" i="278" s="1"/>
  <c r="BK25" i="265"/>
  <c r="BK62" i="265"/>
  <c r="BK64" i="265"/>
  <c r="BK611" i="321"/>
  <c r="BK23" i="265"/>
  <c r="BK60" i="265"/>
  <c r="AK487" i="307"/>
  <c r="AK489" i="307" s="1"/>
  <c r="AK467" i="307"/>
  <c r="AK469" i="307" s="1"/>
  <c r="AL584" i="307"/>
  <c r="AL36" i="310"/>
  <c r="AL23" i="307"/>
  <c r="AL585" i="307"/>
  <c r="AL37" i="310"/>
  <c r="AL24" i="307"/>
  <c r="AL156" i="307"/>
  <c r="AL153" i="307"/>
  <c r="AL154" i="307" s="1"/>
  <c r="AL194" i="307"/>
  <c r="AL593" i="307"/>
  <c r="AL20" i="307"/>
  <c r="AL32" i="310"/>
  <c r="AL200" i="307"/>
  <c r="AL195" i="307"/>
  <c r="AL72" i="307"/>
  <c r="AL75" i="307" s="1"/>
  <c r="AL78" i="307" s="1"/>
  <c r="AL79" i="307" s="1"/>
  <c r="AK599" i="307"/>
  <c r="AK601" i="307" s="1"/>
  <c r="AK609" i="307"/>
  <c r="AK615" i="307" l="1"/>
  <c r="AL294" i="307"/>
  <c r="AL296" i="307" s="1"/>
  <c r="AL85" i="307"/>
  <c r="AL453" i="307"/>
  <c r="AL248" i="307"/>
  <c r="AL207" i="307"/>
  <c r="AL123" i="307"/>
  <c r="AL157" i="307"/>
  <c r="AL594" i="307"/>
  <c r="AL33" i="310"/>
  <c r="AL198" i="307"/>
  <c r="AL201" i="307" s="1"/>
  <c r="AL21" i="307"/>
  <c r="AL158" i="307"/>
  <c r="AK473" i="307"/>
  <c r="AK475" i="307" s="1"/>
  <c r="AL472" i="307" s="1"/>
  <c r="AK250" i="307"/>
  <c r="AK251" i="307" s="1"/>
  <c r="AK655" i="307"/>
  <c r="AK498" i="307"/>
  <c r="AK493" i="307"/>
  <c r="AK495" i="307" s="1"/>
  <c r="AL492" i="307" s="1"/>
  <c r="AK660" i="307"/>
  <c r="AK499" i="307"/>
  <c r="BL608" i="321"/>
  <c r="BK118" i="265"/>
  <c r="BU178" i="278"/>
  <c r="BU180" i="278" s="1"/>
  <c r="BV171" i="278"/>
  <c r="BU109" i="265"/>
  <c r="BU253" i="278"/>
  <c r="BU255" i="278" s="1"/>
  <c r="BU258" i="278" s="1"/>
  <c r="BT267" i="278"/>
  <c r="BT556" i="321"/>
  <c r="BT559" i="321"/>
  <c r="BK634" i="321"/>
  <c r="BK638" i="321" s="1"/>
  <c r="BK643" i="321"/>
  <c r="BK645" i="321" s="1"/>
  <c r="BK651" i="321" s="1"/>
  <c r="BK653" i="321" s="1"/>
  <c r="BK657" i="321"/>
  <c r="BK660" i="321" s="1"/>
  <c r="BK616" i="321"/>
  <c r="BK618" i="321" s="1"/>
  <c r="BK626" i="321" s="1"/>
  <c r="BK628" i="321" s="1"/>
  <c r="BV196" i="278"/>
  <c r="BU203" i="278"/>
  <c r="BU205" i="278" s="1"/>
  <c r="BU105" i="315"/>
  <c r="BT291" i="278"/>
  <c r="BT627" i="321"/>
  <c r="BT630" i="321"/>
  <c r="BU281" i="278" l="1"/>
  <c r="BU284" i="278" s="1"/>
  <c r="BU244" i="278"/>
  <c r="BU248" i="278" s="1"/>
  <c r="BV191" i="278"/>
  <c r="BV194" i="278" s="1"/>
  <c r="BV202" i="278"/>
  <c r="BK665" i="321"/>
  <c r="BK61" i="315"/>
  <c r="BK631" i="321"/>
  <c r="BK632" i="321" s="1"/>
  <c r="BK106" i="282"/>
  <c r="BK661" i="321"/>
  <c r="BK654" i="321"/>
  <c r="BK639" i="321"/>
  <c r="BK666" i="321"/>
  <c r="BV177" i="278"/>
  <c r="BV166" i="278"/>
  <c r="BV169" i="278" s="1"/>
  <c r="BU237" i="278"/>
  <c r="BU241" i="278" s="1"/>
  <c r="BL601" i="321"/>
  <c r="BL604" i="321" s="1"/>
  <c r="BL539" i="321"/>
  <c r="BL541" i="321" s="1"/>
  <c r="BL555" i="321" s="1"/>
  <c r="BL557" i="321" s="1"/>
  <c r="BL572" i="321"/>
  <c r="BL574" i="321" s="1"/>
  <c r="BL580" i="321" s="1"/>
  <c r="BL582" i="321" s="1"/>
  <c r="BL563" i="321"/>
  <c r="BL567" i="321" s="1"/>
  <c r="AL534" i="307"/>
  <c r="AL536" i="307" s="1"/>
  <c r="AL540" i="307" s="1"/>
  <c r="AL541" i="307" s="1"/>
  <c r="AL571" i="307"/>
  <c r="AL573" i="307" s="1"/>
  <c r="AL480" i="307"/>
  <c r="AL481" i="307" s="1"/>
  <c r="AL488" i="307" s="1"/>
  <c r="AK500" i="307"/>
  <c r="AK253" i="307"/>
  <c r="AK255" i="307" s="1"/>
  <c r="AL523" i="307"/>
  <c r="AL525" i="307" s="1"/>
  <c r="AL529" i="307" s="1"/>
  <c r="AL530" i="307" s="1"/>
  <c r="AL558" i="307"/>
  <c r="AL560" i="307" s="1"/>
  <c r="AL460" i="307"/>
  <c r="AL461" i="307" s="1"/>
  <c r="AL468" i="307" s="1"/>
  <c r="AL205" i="307"/>
  <c r="AL208" i="307" s="1"/>
  <c r="AL121" i="307"/>
  <c r="AL224" i="307"/>
  <c r="AL202" i="307"/>
  <c r="AL321" i="307"/>
  <c r="AL322" i="307" s="1"/>
  <c r="AL300" i="307"/>
  <c r="AL301" i="307" s="1"/>
  <c r="AL308" i="307" l="1"/>
  <c r="AL311" i="307" s="1"/>
  <c r="AL329" i="307"/>
  <c r="AL332" i="307" s="1"/>
  <c r="AL225" i="307"/>
  <c r="AL215" i="307"/>
  <c r="AL217" i="307" s="1"/>
  <c r="AL600" i="307"/>
  <c r="AL670" i="307"/>
  <c r="AL226" i="307"/>
  <c r="AL576" i="307"/>
  <c r="AL544" i="307"/>
  <c r="AK258" i="307"/>
  <c r="AK260" i="307" s="1"/>
  <c r="AL257" i="307" s="1"/>
  <c r="AK645" i="307"/>
  <c r="AK12" i="310"/>
  <c r="AK285" i="307"/>
  <c r="AK288" i="307" s="1"/>
  <c r="AK650" i="307"/>
  <c r="AK14" i="310"/>
  <c r="AK135" i="288"/>
  <c r="AK136" i="288" s="1"/>
  <c r="AL577" i="307"/>
  <c r="AL545" i="307"/>
  <c r="BL610" i="321"/>
  <c r="BL568" i="321"/>
  <c r="BL104" i="282"/>
  <c r="BL583" i="321"/>
  <c r="BL36" i="282"/>
  <c r="BL609" i="321"/>
  <c r="BL611" i="321" s="1"/>
  <c r="BL560" i="321"/>
  <c r="BL561" i="321" s="1"/>
  <c r="BL63" i="265"/>
  <c r="AK63" i="277" s="1"/>
  <c r="BL38" i="282"/>
  <c r="BL605" i="321"/>
  <c r="BU544" i="321"/>
  <c r="BU546" i="321" s="1"/>
  <c r="BU564" i="321"/>
  <c r="BU262" i="278"/>
  <c r="BU263" i="278" s="1"/>
  <c r="BU550" i="321"/>
  <c r="BU553" i="321" s="1"/>
  <c r="BV173" i="278"/>
  <c r="BV174" i="278" s="1"/>
  <c r="BV41" i="265"/>
  <c r="AP41" i="277" s="1"/>
  <c r="BK62" i="315"/>
  <c r="BK58" i="315"/>
  <c r="BK21" i="315"/>
  <c r="BK23" i="315"/>
  <c r="BK60" i="315"/>
  <c r="BK667" i="321"/>
  <c r="BV39" i="315"/>
  <c r="BV198" i="278"/>
  <c r="BV199" i="278" s="1"/>
  <c r="BU621" i="321"/>
  <c r="BU624" i="321" s="1"/>
  <c r="BU635" i="321"/>
  <c r="BU286" i="278"/>
  <c r="BU287" i="278" s="1"/>
  <c r="BU291" i="278" l="1"/>
  <c r="BU627" i="321"/>
  <c r="BU630" i="321"/>
  <c r="BW196" i="278"/>
  <c r="BV203" i="278"/>
  <c r="BV205" i="278" s="1"/>
  <c r="BV105" i="315"/>
  <c r="BK114" i="315"/>
  <c r="BL664" i="321"/>
  <c r="BV178" i="278"/>
  <c r="BV180" i="278" s="1"/>
  <c r="BW171" i="278"/>
  <c r="BV109" i="265"/>
  <c r="AP109" i="277" s="1"/>
  <c r="BV253" i="278"/>
  <c r="BV255" i="278" s="1"/>
  <c r="BV258" i="278" s="1"/>
  <c r="BU556" i="321"/>
  <c r="BU559" i="321"/>
  <c r="BU267" i="278"/>
  <c r="BL25" i="265"/>
  <c r="AK25" i="277" s="1"/>
  <c r="BL62" i="265"/>
  <c r="AK62" i="277" s="1"/>
  <c r="BM608" i="321"/>
  <c r="BL118" i="265"/>
  <c r="AK118" i="277" s="1"/>
  <c r="BL23" i="265"/>
  <c r="AK23" i="277" s="1"/>
  <c r="BL60" i="265"/>
  <c r="AK60" i="277" s="1"/>
  <c r="BL64" i="265"/>
  <c r="AK64" i="277" s="1"/>
  <c r="AK138" i="288"/>
  <c r="AK140" i="288" s="1"/>
  <c r="AK56" i="288"/>
  <c r="AK206" i="288"/>
  <c r="AK16" i="310"/>
  <c r="AL264" i="307"/>
  <c r="AL265" i="307" s="1"/>
  <c r="AL269" i="307" s="1"/>
  <c r="AL271" i="307" s="1"/>
  <c r="AL244" i="307"/>
  <c r="AL245" i="307" s="1"/>
  <c r="AL254" i="307" s="1"/>
  <c r="AL546" i="307"/>
  <c r="AL578" i="307"/>
  <c r="AL81" i="307"/>
  <c r="AL82" i="307" s="1"/>
  <c r="AL124" i="307"/>
  <c r="AL125" i="307" s="1"/>
  <c r="AM119" i="307" s="1"/>
  <c r="AL227" i="307"/>
  <c r="AL34" i="310"/>
  <c r="AL640" i="307"/>
  <c r="AL336" i="307"/>
  <c r="AL338" i="307" s="1"/>
  <c r="AM335" i="307" s="1"/>
  <c r="AL342" i="307"/>
  <c r="AL635" i="307"/>
  <c r="AL315" i="307"/>
  <c r="AL317" i="307" s="1"/>
  <c r="AM314" i="307" s="1"/>
  <c r="AL341" i="307"/>
  <c r="AL343" i="307" s="1"/>
  <c r="AL454" i="307" l="1"/>
  <c r="AL455" i="307" s="1"/>
  <c r="AL249" i="307"/>
  <c r="AL630" i="307"/>
  <c r="AL13" i="310"/>
  <c r="AL134" i="288"/>
  <c r="AL347" i="307"/>
  <c r="AL349" i="307" s="1"/>
  <c r="AM346" i="307" s="1"/>
  <c r="AM305" i="307"/>
  <c r="AM306" i="307" s="1"/>
  <c r="AM309" i="307" s="1"/>
  <c r="AM378" i="307"/>
  <c r="AM380" i="307" s="1"/>
  <c r="AM384" i="307" s="1"/>
  <c r="AM385" i="307" s="1"/>
  <c r="AM414" i="307"/>
  <c r="AM416" i="307" s="1"/>
  <c r="AM326" i="307"/>
  <c r="AM327" i="307" s="1"/>
  <c r="AM330" i="307" s="1"/>
  <c r="AM390" i="307"/>
  <c r="AM392" i="307" s="1"/>
  <c r="AM396" i="307" s="1"/>
  <c r="AM397" i="307" s="1"/>
  <c r="AM427" i="307"/>
  <c r="AM429" i="307" s="1"/>
  <c r="AM213" i="307"/>
  <c r="AM148" i="307"/>
  <c r="AM129" i="307"/>
  <c r="AM131" i="307" s="1"/>
  <c r="AM135" i="307" s="1"/>
  <c r="AM138" i="307" s="1"/>
  <c r="AM142" i="307" s="1"/>
  <c r="AM145" i="307" s="1"/>
  <c r="AM147" i="307" s="1"/>
  <c r="AM176" i="307"/>
  <c r="AM179" i="307" s="1"/>
  <c r="AM184" i="307" s="1"/>
  <c r="AM187" i="307" s="1"/>
  <c r="AL84" i="307"/>
  <c r="AL86" i="307" s="1"/>
  <c r="AL588" i="307"/>
  <c r="AL40" i="310"/>
  <c r="AL27" i="307"/>
  <c r="AL587" i="307"/>
  <c r="AL589" i="307" s="1"/>
  <c r="AL39" i="310"/>
  <c r="AL26" i="307"/>
  <c r="AL595" i="307"/>
  <c r="AL30" i="307"/>
  <c r="AL43" i="310"/>
  <c r="AK58" i="310"/>
  <c r="AK47" i="310"/>
  <c r="AK63" i="310"/>
  <c r="AK145" i="288"/>
  <c r="BM539" i="321"/>
  <c r="BM541" i="321" s="1"/>
  <c r="BM555" i="321" s="1"/>
  <c r="BM557" i="321" s="1"/>
  <c r="BM572" i="321"/>
  <c r="BM574" i="321" s="1"/>
  <c r="BM580" i="321" s="1"/>
  <c r="BM582" i="321" s="1"/>
  <c r="BM601" i="321"/>
  <c r="BM604" i="321" s="1"/>
  <c r="BM563" i="321"/>
  <c r="BM567" i="321" s="1"/>
  <c r="BW177" i="278"/>
  <c r="BW166" i="278"/>
  <c r="BW169" i="278" s="1"/>
  <c r="BV237" i="278"/>
  <c r="BV241" i="278" s="1"/>
  <c r="BL643" i="321"/>
  <c r="BL645" i="321" s="1"/>
  <c r="BL651" i="321" s="1"/>
  <c r="BL653" i="321" s="1"/>
  <c r="BL616" i="321"/>
  <c r="BL618" i="321" s="1"/>
  <c r="BL626" i="321" s="1"/>
  <c r="BL628" i="321" s="1"/>
  <c r="BL657" i="321"/>
  <c r="BL660" i="321" s="1"/>
  <c r="BL634" i="321"/>
  <c r="BL638" i="321" s="1"/>
  <c r="BV281" i="278"/>
  <c r="BV284" i="278" s="1"/>
  <c r="BV244" i="278"/>
  <c r="BV248" i="278" s="1"/>
  <c r="BW191" i="278"/>
  <c r="BW194" i="278" s="1"/>
  <c r="BW202" i="278"/>
  <c r="BW39" i="315" l="1"/>
  <c r="BW198" i="278"/>
  <c r="BW199" i="278" s="1"/>
  <c r="BV621" i="321"/>
  <c r="BV624" i="321" s="1"/>
  <c r="BV635" i="321"/>
  <c r="BV286" i="278"/>
  <c r="BV287" i="278" s="1"/>
  <c r="BL666" i="321"/>
  <c r="BL639" i="321"/>
  <c r="BL661" i="321"/>
  <c r="BL106" i="282"/>
  <c r="BL665" i="321"/>
  <c r="BL667" i="321" s="1"/>
  <c r="BL631" i="321"/>
  <c r="BL632" i="321" s="1"/>
  <c r="BL61" i="315"/>
  <c r="BL654" i="321"/>
  <c r="BV564" i="321"/>
  <c r="BV550" i="321"/>
  <c r="BV553" i="321" s="1"/>
  <c r="BV262" i="278"/>
  <c r="BV263" i="278" s="1"/>
  <c r="BV544" i="321"/>
  <c r="BV546" i="321" s="1"/>
  <c r="BW41" i="265"/>
  <c r="BW173" i="278"/>
  <c r="BW174" i="278" s="1"/>
  <c r="BM610" i="321"/>
  <c r="BM568" i="321"/>
  <c r="BM605" i="321"/>
  <c r="BM38" i="282"/>
  <c r="BM104" i="282"/>
  <c r="BM583" i="321"/>
  <c r="BM36" i="282"/>
  <c r="BM609" i="321"/>
  <c r="BM611" i="321" s="1"/>
  <c r="BM63" i="265"/>
  <c r="BM560" i="321"/>
  <c r="BM561" i="321" s="1"/>
  <c r="AL591" i="307"/>
  <c r="AL596" i="307" s="1"/>
  <c r="AL139" i="288"/>
  <c r="AL89" i="307"/>
  <c r="AL90" i="307" s="1"/>
  <c r="AM88" i="307" s="1"/>
  <c r="AL675" i="307"/>
  <c r="AL625" i="307"/>
  <c r="AL284" i="307"/>
  <c r="AL10" i="310"/>
  <c r="AM193" i="307"/>
  <c r="AM190" i="307"/>
  <c r="AM191" i="307" s="1"/>
  <c r="AM150" i="307"/>
  <c r="AM433" i="307"/>
  <c r="AM401" i="307"/>
  <c r="AM432" i="307"/>
  <c r="AM434" i="307" s="1"/>
  <c r="AM400" i="307"/>
  <c r="AM402" i="307" s="1"/>
  <c r="AL464" i="307"/>
  <c r="AL465" i="307" s="1"/>
  <c r="AL484" i="307"/>
  <c r="AL485" i="307" s="1"/>
  <c r="AL487" i="307" l="1"/>
  <c r="AL489" i="307" s="1"/>
  <c r="AL467" i="307"/>
  <c r="AL469" i="307" s="1"/>
  <c r="AM584" i="307"/>
  <c r="AM23" i="307"/>
  <c r="AM36" i="310"/>
  <c r="AM585" i="307"/>
  <c r="AM37" i="310"/>
  <c r="AM24" i="307"/>
  <c r="AM156" i="307"/>
  <c r="AM153" i="307"/>
  <c r="AM154" i="307" s="1"/>
  <c r="AM194" i="307"/>
  <c r="AM593" i="307"/>
  <c r="AM200" i="307"/>
  <c r="AM20" i="307"/>
  <c r="AM32" i="310"/>
  <c r="AM195" i="307"/>
  <c r="AM72" i="307"/>
  <c r="AM75" i="307" s="1"/>
  <c r="AM78" i="307" s="1"/>
  <c r="AM79" i="307" s="1"/>
  <c r="AL599" i="307"/>
  <c r="AL601" i="307" s="1"/>
  <c r="AL609" i="307"/>
  <c r="BN608" i="321"/>
  <c r="BM118" i="265"/>
  <c r="BM23" i="265"/>
  <c r="BM60" i="265"/>
  <c r="BM25" i="265"/>
  <c r="BM62" i="265"/>
  <c r="BM64" i="265"/>
  <c r="BW178" i="278"/>
  <c r="BW180" i="278" s="1"/>
  <c r="BX171" i="278"/>
  <c r="BW109" i="265"/>
  <c r="BW253" i="278"/>
  <c r="BW255" i="278" s="1"/>
  <c r="BW258" i="278" s="1"/>
  <c r="BV267" i="278"/>
  <c r="BV556" i="321"/>
  <c r="BV559" i="321"/>
  <c r="BL58" i="315"/>
  <c r="BL21" i="315"/>
  <c r="BM664" i="321"/>
  <c r="BL114" i="315"/>
  <c r="BL60" i="315"/>
  <c r="BL23" i="315"/>
  <c r="BL62" i="315"/>
  <c r="BV291" i="278"/>
  <c r="BV627" i="321"/>
  <c r="BV630" i="321"/>
  <c r="BX196" i="278"/>
  <c r="BW203" i="278"/>
  <c r="BW205" i="278" s="1"/>
  <c r="BW105" i="315"/>
  <c r="BW281" i="278" l="1"/>
  <c r="BW284" i="278" s="1"/>
  <c r="BW244" i="278"/>
  <c r="BW248" i="278" s="1"/>
  <c r="BX191" i="278"/>
  <c r="BX194" i="278" s="1"/>
  <c r="BX202" i="278"/>
  <c r="BM634" i="321"/>
  <c r="BM638" i="321" s="1"/>
  <c r="BM643" i="321"/>
  <c r="BM645" i="321" s="1"/>
  <c r="BM651" i="321" s="1"/>
  <c r="BM653" i="321" s="1"/>
  <c r="BM657" i="321"/>
  <c r="BM660" i="321" s="1"/>
  <c r="BM616" i="321"/>
  <c r="BM618" i="321" s="1"/>
  <c r="BM626" i="321" s="1"/>
  <c r="BM628" i="321" s="1"/>
  <c r="BX166" i="278"/>
  <c r="BX169" i="278" s="1"/>
  <c r="BX177" i="278"/>
  <c r="BW237" i="278"/>
  <c r="BW241" i="278" s="1"/>
  <c r="BN539" i="321"/>
  <c r="BN541" i="321" s="1"/>
  <c r="BN555" i="321" s="1"/>
  <c r="BN557" i="321" s="1"/>
  <c r="BN572" i="321"/>
  <c r="BN574" i="321" s="1"/>
  <c r="BN580" i="321" s="1"/>
  <c r="BN582" i="321" s="1"/>
  <c r="BN563" i="321"/>
  <c r="BN567" i="321" s="1"/>
  <c r="BN601" i="321"/>
  <c r="BN604" i="321" s="1"/>
  <c r="AL615" i="307"/>
  <c r="AM294" i="307"/>
  <c r="AM296" i="307" s="1"/>
  <c r="AM85" i="307"/>
  <c r="AM453" i="307"/>
  <c r="AM248" i="307"/>
  <c r="AM207" i="307"/>
  <c r="AM123" i="307"/>
  <c r="AM157" i="307"/>
  <c r="AM594" i="307"/>
  <c r="AM33" i="310"/>
  <c r="AM21" i="307"/>
  <c r="AM198" i="307"/>
  <c r="AM201" i="307" s="1"/>
  <c r="AM158" i="307"/>
  <c r="AL473" i="307"/>
  <c r="AL475" i="307" s="1"/>
  <c r="AM472" i="307" s="1"/>
  <c r="AL250" i="307"/>
  <c r="AL251" i="307" s="1"/>
  <c r="AL655" i="307"/>
  <c r="AL498" i="307"/>
  <c r="AL493" i="307"/>
  <c r="AL495" i="307" s="1"/>
  <c r="AM492" i="307" s="1"/>
  <c r="AL660" i="307"/>
  <c r="AL499" i="307"/>
  <c r="AM534" i="307" l="1"/>
  <c r="AM536" i="307" s="1"/>
  <c r="AM540" i="307" s="1"/>
  <c r="AM541" i="307" s="1"/>
  <c r="AM571" i="307"/>
  <c r="AM573" i="307" s="1"/>
  <c r="AM480" i="307"/>
  <c r="AM481" i="307" s="1"/>
  <c r="AM488" i="307" s="1"/>
  <c r="AL500" i="307"/>
  <c r="AL253" i="307"/>
  <c r="AL255" i="307" s="1"/>
  <c r="AM523" i="307"/>
  <c r="AM525" i="307" s="1"/>
  <c r="AM529" i="307" s="1"/>
  <c r="AM530" i="307" s="1"/>
  <c r="AM558" i="307"/>
  <c r="AM560" i="307" s="1"/>
  <c r="AM460" i="307"/>
  <c r="AM461" i="307" s="1"/>
  <c r="AM468" i="307" s="1"/>
  <c r="AM205" i="307"/>
  <c r="AM208" i="307" s="1"/>
  <c r="AM121" i="307"/>
  <c r="AM224" i="307"/>
  <c r="N230" i="307" s="1"/>
  <c r="AM202" i="307"/>
  <c r="AM321" i="307"/>
  <c r="AM322" i="307" s="1"/>
  <c r="AM300" i="307"/>
  <c r="AM301" i="307" s="1"/>
  <c r="BN605" i="321"/>
  <c r="BN38" i="282"/>
  <c r="BN610" i="321"/>
  <c r="BN568" i="321"/>
  <c r="BN104" i="282"/>
  <c r="BN583" i="321"/>
  <c r="BN36" i="282"/>
  <c r="BN609" i="321"/>
  <c r="BN611" i="321" s="1"/>
  <c r="BN560" i="321"/>
  <c r="BN561" i="321" s="1"/>
  <c r="BN63" i="265"/>
  <c r="AL63" i="277" s="1"/>
  <c r="BW544" i="321"/>
  <c r="BW546" i="321" s="1"/>
  <c r="BW564" i="321"/>
  <c r="BW262" i="278"/>
  <c r="BW263" i="278" s="1"/>
  <c r="BW550" i="321"/>
  <c r="BW553" i="321" s="1"/>
  <c r="BX173" i="278"/>
  <c r="BX174" i="278" s="1"/>
  <c r="BX41" i="265"/>
  <c r="AQ41" i="277" s="1"/>
  <c r="BM665" i="321"/>
  <c r="BM61" i="315"/>
  <c r="BM631" i="321"/>
  <c r="BM632" i="321" s="1"/>
  <c r="BM106" i="282"/>
  <c r="BM661" i="321"/>
  <c r="BM654" i="321"/>
  <c r="BM639" i="321"/>
  <c r="BM666" i="321"/>
  <c r="BX198" i="278"/>
  <c r="BX199" i="278" s="1"/>
  <c r="BX39" i="315"/>
  <c r="BW621" i="321"/>
  <c r="BW624" i="321" s="1"/>
  <c r="BW635" i="321"/>
  <c r="BW286" i="278"/>
  <c r="BW287" i="278" s="1"/>
  <c r="BW291" i="278" l="1"/>
  <c r="BW627" i="321"/>
  <c r="BW630" i="321"/>
  <c r="BX203" i="278"/>
  <c r="BX205" i="278" s="1"/>
  <c r="BY196" i="278"/>
  <c r="BX105" i="315"/>
  <c r="BM62" i="315"/>
  <c r="BM58" i="315"/>
  <c r="BM21" i="315"/>
  <c r="BM23" i="315"/>
  <c r="BM60" i="315"/>
  <c r="BM667" i="321"/>
  <c r="BY171" i="278"/>
  <c r="BX178" i="278"/>
  <c r="BX180" i="278" s="1"/>
  <c r="BX109" i="265"/>
  <c r="AQ109" i="277" s="1"/>
  <c r="BX253" i="278"/>
  <c r="BX255" i="278" s="1"/>
  <c r="BX258" i="278" s="1"/>
  <c r="BW559" i="321"/>
  <c r="BW556" i="321"/>
  <c r="BW267" i="278"/>
  <c r="BO608" i="321"/>
  <c r="BN118" i="265"/>
  <c r="AL118" i="277" s="1"/>
  <c r="BN23" i="265"/>
  <c r="AL23" i="277" s="1"/>
  <c r="BN60" i="265"/>
  <c r="AL60" i="277" s="1"/>
  <c r="BN64" i="265"/>
  <c r="AL64" i="277" s="1"/>
  <c r="BN25" i="265"/>
  <c r="AL25" i="277" s="1"/>
  <c r="BN62" i="265"/>
  <c r="AL62" i="277" s="1"/>
  <c r="AM308" i="307"/>
  <c r="AM311" i="307" s="1"/>
  <c r="AM329" i="307"/>
  <c r="AM332" i="307" s="1"/>
  <c r="AM225" i="307"/>
  <c r="N231" i="307" s="1"/>
  <c r="AM215" i="307"/>
  <c r="AM217" i="307" s="1"/>
  <c r="AM600" i="307"/>
  <c r="AM670" i="307"/>
  <c r="N671" i="307" s="1"/>
  <c r="AM226" i="307"/>
  <c r="N232" i="307" s="1"/>
  <c r="AM576" i="307"/>
  <c r="AM544" i="307"/>
  <c r="AL258" i="307"/>
  <c r="AL260" i="307" s="1"/>
  <c r="AM257" i="307" s="1"/>
  <c r="AL645" i="307"/>
  <c r="AL285" i="307"/>
  <c r="AL288" i="307" s="1"/>
  <c r="AL12" i="310"/>
  <c r="AL650" i="307"/>
  <c r="AL14" i="310"/>
  <c r="AL135" i="288"/>
  <c r="AL136" i="288" s="1"/>
  <c r="AM577" i="307"/>
  <c r="AM545" i="307"/>
  <c r="AL138" i="288" l="1"/>
  <c r="AL140" i="288" s="1"/>
  <c r="AL16" i="310"/>
  <c r="AL56" i="288"/>
  <c r="AL206" i="288"/>
  <c r="AM264" i="307"/>
  <c r="AM265" i="307" s="1"/>
  <c r="AM269" i="307" s="1"/>
  <c r="AM271" i="307" s="1"/>
  <c r="AM244" i="307"/>
  <c r="AM245" i="307" s="1"/>
  <c r="AM254" i="307" s="1"/>
  <c r="AM546" i="307"/>
  <c r="AM578" i="307"/>
  <c r="N686" i="321"/>
  <c r="AM81" i="307"/>
  <c r="AM82" i="307" s="1"/>
  <c r="AM124" i="307"/>
  <c r="AM125" i="307" s="1"/>
  <c r="AN119" i="307" s="1"/>
  <c r="AM227" i="307"/>
  <c r="N233" i="307" s="1"/>
  <c r="AM34" i="310"/>
  <c r="AM640" i="307"/>
  <c r="N641" i="307" s="1"/>
  <c r="AM336" i="307"/>
  <c r="AM338" i="307" s="1"/>
  <c r="AN335" i="307" s="1"/>
  <c r="AM342" i="307"/>
  <c r="AM635" i="307"/>
  <c r="N636" i="307" s="1"/>
  <c r="AM315" i="307"/>
  <c r="AM317" i="307" s="1"/>
  <c r="AN314" i="307" s="1"/>
  <c r="AM341" i="307"/>
  <c r="AM343" i="307" s="1"/>
  <c r="BO539" i="321"/>
  <c r="BO541" i="321" s="1"/>
  <c r="BO555" i="321" s="1"/>
  <c r="BO557" i="321" s="1"/>
  <c r="BO572" i="321"/>
  <c r="BO574" i="321" s="1"/>
  <c r="BO580" i="321" s="1"/>
  <c r="BO582" i="321" s="1"/>
  <c r="BO601" i="321"/>
  <c r="BO604" i="321" s="1"/>
  <c r="BO563" i="321"/>
  <c r="BO567" i="321" s="1"/>
  <c r="BX237" i="278"/>
  <c r="BX241" i="278" s="1"/>
  <c r="BY166" i="278"/>
  <c r="BY169" i="278" s="1"/>
  <c r="BY177" i="278"/>
  <c r="BM114" i="315"/>
  <c r="BN664" i="321"/>
  <c r="BY191" i="278"/>
  <c r="BY194" i="278" s="1"/>
  <c r="BY202" i="278"/>
  <c r="BX281" i="278"/>
  <c r="BX284" i="278" s="1"/>
  <c r="BX244" i="278"/>
  <c r="BX248" i="278" s="1"/>
  <c r="BX621" i="321" l="1"/>
  <c r="BX624" i="321" s="1"/>
  <c r="BX635" i="321"/>
  <c r="BX286" i="278"/>
  <c r="BX287" i="278" s="1"/>
  <c r="BY39" i="315"/>
  <c r="BY198" i="278"/>
  <c r="BY199" i="278" s="1"/>
  <c r="BN657" i="321"/>
  <c r="BN660" i="321" s="1"/>
  <c r="BN634" i="321"/>
  <c r="BN638" i="321" s="1"/>
  <c r="BN616" i="321"/>
  <c r="BN618" i="321" s="1"/>
  <c r="BN626" i="321" s="1"/>
  <c r="BN628" i="321" s="1"/>
  <c r="BN643" i="321"/>
  <c r="BN645" i="321" s="1"/>
  <c r="BN651" i="321" s="1"/>
  <c r="BN653" i="321" s="1"/>
  <c r="BY41" i="265"/>
  <c r="BY173" i="278"/>
  <c r="BY174" i="278" s="1"/>
  <c r="BX564" i="321"/>
  <c r="BX550" i="321"/>
  <c r="BX553" i="321" s="1"/>
  <c r="BX262" i="278"/>
  <c r="BX263" i="278" s="1"/>
  <c r="BX544" i="321"/>
  <c r="BX546" i="321" s="1"/>
  <c r="BO610" i="321"/>
  <c r="BO568" i="321"/>
  <c r="BO605" i="321"/>
  <c r="BO38" i="282"/>
  <c r="BO104" i="282"/>
  <c r="BO583" i="321"/>
  <c r="BO36" i="282"/>
  <c r="BO609" i="321"/>
  <c r="BO611" i="321" s="1"/>
  <c r="BO560" i="321"/>
  <c r="BO561" i="321" s="1"/>
  <c r="BO63" i="265"/>
  <c r="AM454" i="307"/>
  <c r="AM455" i="307" s="1"/>
  <c r="AM249" i="307"/>
  <c r="AM630" i="307"/>
  <c r="N631" i="307" s="1"/>
  <c r="AM347" i="307"/>
  <c r="AM349" i="307" s="1"/>
  <c r="AN346" i="307" s="1"/>
  <c r="AM13" i="310"/>
  <c r="AM134" i="288"/>
  <c r="AN305" i="307"/>
  <c r="AN306" i="307" s="1"/>
  <c r="AN309" i="307" s="1"/>
  <c r="AN378" i="307"/>
  <c r="AN380" i="307" s="1"/>
  <c r="AN384" i="307" s="1"/>
  <c r="AN385" i="307" s="1"/>
  <c r="AN414" i="307"/>
  <c r="AN416" i="307" s="1"/>
  <c r="N188" i="321"/>
  <c r="AN326" i="307"/>
  <c r="AN327" i="307" s="1"/>
  <c r="AN330" i="307" s="1"/>
  <c r="AN390" i="307"/>
  <c r="AN392" i="307" s="1"/>
  <c r="AN396" i="307" s="1"/>
  <c r="AN397" i="307" s="1"/>
  <c r="AN427" i="307"/>
  <c r="AN429" i="307" s="1"/>
  <c r="N300" i="321"/>
  <c r="N678" i="321"/>
  <c r="N680" i="321" s="1"/>
  <c r="AN213" i="307"/>
  <c r="AN148" i="307"/>
  <c r="AN150" i="307" s="1"/>
  <c r="AN176" i="307"/>
  <c r="AN179" i="307" s="1"/>
  <c r="AN184" i="307" s="1"/>
  <c r="AN187" i="307" s="1"/>
  <c r="AN129" i="307"/>
  <c r="AN131" i="307" s="1"/>
  <c r="AN135" i="307" s="1"/>
  <c r="AM84" i="307"/>
  <c r="AM86" i="307" s="1"/>
  <c r="AM588" i="307"/>
  <c r="AM40" i="310"/>
  <c r="AM27" i="307"/>
  <c r="AM587" i="307"/>
  <c r="AM589" i="307" s="1"/>
  <c r="AM39" i="310"/>
  <c r="AM26" i="307"/>
  <c r="AM595" i="307"/>
  <c r="AM30" i="307"/>
  <c r="AM43" i="310"/>
  <c r="AL58" i="310"/>
  <c r="AL47" i="310"/>
  <c r="AL63" i="310"/>
  <c r="AL145" i="288"/>
  <c r="AM591" i="307" l="1"/>
  <c r="AM596" i="307" s="1"/>
  <c r="AM139" i="288"/>
  <c r="AM89" i="307"/>
  <c r="AM90" i="307" s="1"/>
  <c r="AN88" i="307" s="1"/>
  <c r="AM675" i="307"/>
  <c r="N676" i="307" s="1"/>
  <c r="AM625" i="307"/>
  <c r="N626" i="307" s="1"/>
  <c r="AM10" i="310"/>
  <c r="AM284" i="307"/>
  <c r="AN193" i="307"/>
  <c r="AN190" i="307"/>
  <c r="AN191" i="307" s="1"/>
  <c r="AN156" i="307"/>
  <c r="AN153" i="307"/>
  <c r="AN154" i="307" s="1"/>
  <c r="N687" i="321"/>
  <c r="N688" i="321" s="1"/>
  <c r="N681" i="321"/>
  <c r="AN433" i="307"/>
  <c r="AN401" i="307"/>
  <c r="AN432" i="307"/>
  <c r="AN434" i="307" s="1"/>
  <c r="AN400" i="307"/>
  <c r="AN402" i="307" s="1"/>
  <c r="N57" i="265"/>
  <c r="L57" i="277" s="1"/>
  <c r="N55" i="315"/>
  <c r="AM464" i="307"/>
  <c r="AM465" i="307" s="1"/>
  <c r="AM484" i="307"/>
  <c r="AM485" i="307" s="1"/>
  <c r="BO118" i="265"/>
  <c r="BP608" i="321"/>
  <c r="BO23" i="265"/>
  <c r="BO60" i="265"/>
  <c r="BO25" i="265"/>
  <c r="BO62" i="265"/>
  <c r="BO64" i="265"/>
  <c r="BX267" i="278"/>
  <c r="BX556" i="321"/>
  <c r="BX559" i="321"/>
  <c r="BZ171" i="278"/>
  <c r="BY178" i="278"/>
  <c r="BY180" i="278" s="1"/>
  <c r="BY109" i="265"/>
  <c r="BY253" i="278"/>
  <c r="BY255" i="278" s="1"/>
  <c r="BY258" i="278" s="1"/>
  <c r="BN654" i="321"/>
  <c r="BN61" i="315"/>
  <c r="BN665" i="321"/>
  <c r="BN631" i="321"/>
  <c r="BN632" i="321" s="1"/>
  <c r="BN639" i="321"/>
  <c r="BN666" i="321"/>
  <c r="BN106" i="282"/>
  <c r="BN661" i="321"/>
  <c r="BZ196" i="278"/>
  <c r="BY203" i="278"/>
  <c r="BY205" i="278" s="1"/>
  <c r="BY105" i="315"/>
  <c r="BX291" i="278"/>
  <c r="BX627" i="321"/>
  <c r="BX630" i="321"/>
  <c r="BY281" i="278" l="1"/>
  <c r="BY284" i="278" s="1"/>
  <c r="BY244" i="278"/>
  <c r="BY248" i="278" s="1"/>
  <c r="BZ191" i="278"/>
  <c r="BZ194" i="278" s="1"/>
  <c r="BZ202" i="278"/>
  <c r="BN23" i="315"/>
  <c r="BN60" i="315"/>
  <c r="BN62" i="315"/>
  <c r="BN667" i="321"/>
  <c r="BN58" i="315"/>
  <c r="BN21" i="315"/>
  <c r="BY237" i="278"/>
  <c r="BY241" i="278" s="1"/>
  <c r="BZ166" i="278"/>
  <c r="BZ169" i="278" s="1"/>
  <c r="BZ177" i="278"/>
  <c r="BP539" i="321"/>
  <c r="BP541" i="321" s="1"/>
  <c r="BP555" i="321" s="1"/>
  <c r="BP557" i="321" s="1"/>
  <c r="BP601" i="321"/>
  <c r="BP604" i="321" s="1"/>
  <c r="BP563" i="321"/>
  <c r="BP567" i="321" s="1"/>
  <c r="BP572" i="321"/>
  <c r="BP574" i="321" s="1"/>
  <c r="BP580" i="321" s="1"/>
  <c r="BP582" i="321" s="1"/>
  <c r="AM487" i="307"/>
  <c r="AM489" i="307" s="1"/>
  <c r="AM467" i="307"/>
  <c r="AM469" i="307" s="1"/>
  <c r="AN584" i="307"/>
  <c r="AN23" i="307"/>
  <c r="AN36" i="310"/>
  <c r="AN585" i="307"/>
  <c r="AN24" i="307"/>
  <c r="AN37" i="310"/>
  <c r="N53" i="265"/>
  <c r="L53" i="277" s="1"/>
  <c r="N51" i="315"/>
  <c r="O684" i="321"/>
  <c r="N123" i="265"/>
  <c r="L123" i="277" s="1"/>
  <c r="N119" i="315"/>
  <c r="AN157" i="307"/>
  <c r="AN594" i="307"/>
  <c r="AN21" i="307"/>
  <c r="AN33" i="310"/>
  <c r="AN198" i="307"/>
  <c r="AN158" i="307"/>
  <c r="AN194" i="307"/>
  <c r="AN593" i="307"/>
  <c r="AN32" i="310"/>
  <c r="AN20" i="307"/>
  <c r="AN200" i="307"/>
  <c r="AN195" i="307"/>
  <c r="N445" i="321"/>
  <c r="N447" i="321" s="1"/>
  <c r="N484" i="321"/>
  <c r="N528" i="321"/>
  <c r="AN72" i="307"/>
  <c r="AN75" i="307" s="1"/>
  <c r="AN78" i="307" s="1"/>
  <c r="AN79" i="307" s="1"/>
  <c r="AM599" i="307"/>
  <c r="AM601" i="307" s="1"/>
  <c r="AM609" i="307"/>
  <c r="N610" i="307" s="1"/>
  <c r="N611" i="307" l="1"/>
  <c r="AM615" i="307"/>
  <c r="N616" i="307" s="1"/>
  <c r="AN294" i="307"/>
  <c r="AN296" i="307" s="1"/>
  <c r="AN85" i="307"/>
  <c r="AN453" i="307"/>
  <c r="AN248" i="307"/>
  <c r="N56" i="265"/>
  <c r="L56" i="277" s="1"/>
  <c r="N54" i="315"/>
  <c r="AN207" i="307"/>
  <c r="AN123" i="307"/>
  <c r="AN205" i="307"/>
  <c r="AN208" i="307" s="1"/>
  <c r="AN121" i="307"/>
  <c r="AN201" i="307"/>
  <c r="O693" i="321"/>
  <c r="O695" i="321" s="1"/>
  <c r="O699" i="321" s="1"/>
  <c r="O702" i="321" s="1"/>
  <c r="O706" i="321" s="1"/>
  <c r="O709" i="321" s="1"/>
  <c r="O711" i="321" s="1"/>
  <c r="O712" i="321"/>
  <c r="O673" i="321"/>
  <c r="O676" i="321" s="1"/>
  <c r="AM473" i="307"/>
  <c r="AM475" i="307" s="1"/>
  <c r="AN472" i="307" s="1"/>
  <c r="AM250" i="307"/>
  <c r="AM251" i="307" s="1"/>
  <c r="AM655" i="307"/>
  <c r="N656" i="307" s="1"/>
  <c r="AM498" i="307"/>
  <c r="AM493" i="307"/>
  <c r="AM495" i="307" s="1"/>
  <c r="AN492" i="307" s="1"/>
  <c r="AM660" i="307"/>
  <c r="N661" i="307" s="1"/>
  <c r="AM499" i="307"/>
  <c r="BP36" i="282"/>
  <c r="BP104" i="282"/>
  <c r="BP583" i="321"/>
  <c r="BP568" i="321"/>
  <c r="BP610" i="321"/>
  <c r="BP38" i="282"/>
  <c r="BP605" i="321"/>
  <c r="BP609" i="321"/>
  <c r="BP611" i="321" s="1"/>
  <c r="BP560" i="321"/>
  <c r="BP561" i="321" s="1"/>
  <c r="BP63" i="265"/>
  <c r="AM63" i="277" s="1"/>
  <c r="BZ173" i="278"/>
  <c r="BZ174" i="278" s="1"/>
  <c r="BZ41" i="265"/>
  <c r="AR41" i="277" s="1"/>
  <c r="BY564" i="321"/>
  <c r="BY550" i="321"/>
  <c r="BY553" i="321" s="1"/>
  <c r="BY262" i="278"/>
  <c r="BY263" i="278" s="1"/>
  <c r="BY544" i="321"/>
  <c r="BY546" i="321" s="1"/>
  <c r="BN114" i="315"/>
  <c r="BO664" i="321"/>
  <c r="BZ39" i="315"/>
  <c r="BZ198" i="278"/>
  <c r="BZ199" i="278" s="1"/>
  <c r="BY621" i="321"/>
  <c r="BY624" i="321" s="1"/>
  <c r="BY635" i="321"/>
  <c r="BY286" i="278"/>
  <c r="BY287" i="278" s="1"/>
  <c r="BY291" i="278" l="1"/>
  <c r="BY627" i="321"/>
  <c r="BY630" i="321"/>
  <c r="CA196" i="278"/>
  <c r="BZ203" i="278"/>
  <c r="BZ205" i="278" s="1"/>
  <c r="BZ105" i="315"/>
  <c r="BO616" i="321"/>
  <c r="BO618" i="321" s="1"/>
  <c r="BO626" i="321" s="1"/>
  <c r="BO628" i="321" s="1"/>
  <c r="BO634" i="321"/>
  <c r="BO638" i="321" s="1"/>
  <c r="BO657" i="321"/>
  <c r="BO660" i="321" s="1"/>
  <c r="BO643" i="321"/>
  <c r="BO645" i="321" s="1"/>
  <c r="BO651" i="321" s="1"/>
  <c r="BO653" i="321" s="1"/>
  <c r="BY267" i="278"/>
  <c r="BY556" i="321"/>
  <c r="BY559" i="321"/>
  <c r="BZ178" i="278"/>
  <c r="BZ180" i="278" s="1"/>
  <c r="CA171" i="278"/>
  <c r="BZ109" i="265"/>
  <c r="AR109" i="277" s="1"/>
  <c r="BZ253" i="278"/>
  <c r="BZ255" i="278" s="1"/>
  <c r="BZ258" i="278" s="1"/>
  <c r="BP118" i="265"/>
  <c r="AM118" i="277" s="1"/>
  <c r="BQ608" i="321"/>
  <c r="BP62" i="265"/>
  <c r="AM62" i="277" s="1"/>
  <c r="BP25" i="265"/>
  <c r="AM25" i="277" s="1"/>
  <c r="BP64" i="265"/>
  <c r="AM64" i="277" s="1"/>
  <c r="BP23" i="265"/>
  <c r="AM23" i="277" s="1"/>
  <c r="BP60" i="265"/>
  <c r="AM60" i="277" s="1"/>
  <c r="N434" i="321"/>
  <c r="AN534" i="307"/>
  <c r="AN536" i="307" s="1"/>
  <c r="AN540" i="307" s="1"/>
  <c r="AN541" i="307" s="1"/>
  <c r="AN571" i="307"/>
  <c r="AN573" i="307" s="1"/>
  <c r="AN480" i="307"/>
  <c r="AN481" i="307" s="1"/>
  <c r="AN488" i="307" s="1"/>
  <c r="AM500" i="307"/>
  <c r="N402" i="321"/>
  <c r="AM253" i="307"/>
  <c r="AM255" i="307" s="1"/>
  <c r="AN523" i="307"/>
  <c r="AN525" i="307" s="1"/>
  <c r="AN529" i="307" s="1"/>
  <c r="AN530" i="307" s="1"/>
  <c r="AN558" i="307"/>
  <c r="AN560" i="307" s="1"/>
  <c r="AN460" i="307"/>
  <c r="AN461" i="307" s="1"/>
  <c r="AN468" i="307" s="1"/>
  <c r="O679" i="321"/>
  <c r="O442" i="321"/>
  <c r="O443" i="321" s="1"/>
  <c r="O714" i="321"/>
  <c r="AN224" i="307"/>
  <c r="AN202" i="307"/>
  <c r="AN215" i="307"/>
  <c r="AN217" i="307" s="1"/>
  <c r="AN600" i="307"/>
  <c r="AN670" i="307"/>
  <c r="AN226" i="307"/>
  <c r="AN321" i="307"/>
  <c r="AN322" i="307" s="1"/>
  <c r="AN300" i="307"/>
  <c r="AN301" i="307" s="1"/>
  <c r="N41" i="285"/>
  <c r="N50" i="265"/>
  <c r="L50" i="277" s="1"/>
  <c r="N48" i="315"/>
  <c r="AN308" i="307" l="1"/>
  <c r="AN311" i="307" s="1"/>
  <c r="AN329" i="307"/>
  <c r="AN332" i="307" s="1"/>
  <c r="AN81" i="307"/>
  <c r="AN82" i="307" s="1"/>
  <c r="AN124" i="307"/>
  <c r="AN125" i="307" s="1"/>
  <c r="AO119" i="307" s="1"/>
  <c r="AN227" i="307"/>
  <c r="AN34" i="310"/>
  <c r="AN225" i="307"/>
  <c r="O715" i="321"/>
  <c r="O34" i="282"/>
  <c r="O102" i="282"/>
  <c r="O485" i="321"/>
  <c r="O446" i="321"/>
  <c r="O46" i="288"/>
  <c r="O529" i="321"/>
  <c r="O196" i="288"/>
  <c r="AN576" i="307"/>
  <c r="AN544" i="307"/>
  <c r="AM258" i="307"/>
  <c r="AM260" i="307" s="1"/>
  <c r="AN257" i="307" s="1"/>
  <c r="AM645" i="307"/>
  <c r="N646" i="307" s="1"/>
  <c r="AM12" i="310"/>
  <c r="AM285" i="307"/>
  <c r="AM288" i="307" s="1"/>
  <c r="AM650" i="307"/>
  <c r="N651" i="307" s="1"/>
  <c r="AM135" i="288"/>
  <c r="AM136" i="288" s="1"/>
  <c r="AM14" i="310"/>
  <c r="AN577" i="307"/>
  <c r="AN545" i="307"/>
  <c r="BQ572" i="321"/>
  <c r="BQ574" i="321" s="1"/>
  <c r="BQ580" i="321" s="1"/>
  <c r="BQ582" i="321" s="1"/>
  <c r="BQ539" i="321"/>
  <c r="BQ541" i="321" s="1"/>
  <c r="BQ555" i="321" s="1"/>
  <c r="BQ557" i="321" s="1"/>
  <c r="BQ601" i="321"/>
  <c r="BQ604" i="321" s="1"/>
  <c r="BQ563" i="321"/>
  <c r="BQ567" i="321" s="1"/>
  <c r="CA166" i="278"/>
  <c r="CA169" i="278" s="1"/>
  <c r="CA177" i="278"/>
  <c r="BZ237" i="278"/>
  <c r="BZ241" i="278" s="1"/>
  <c r="BO654" i="321"/>
  <c r="BO661" i="321"/>
  <c r="BO106" i="282"/>
  <c r="BO666" i="321"/>
  <c r="BO639" i="321"/>
  <c r="BO665" i="321"/>
  <c r="BO667" i="321" s="1"/>
  <c r="BO61" i="315"/>
  <c r="BO631" i="321"/>
  <c r="BO632" i="321" s="1"/>
  <c r="BZ281" i="278"/>
  <c r="BZ284" i="278" s="1"/>
  <c r="BZ244" i="278"/>
  <c r="BZ248" i="278" s="1"/>
  <c r="CA191" i="278"/>
  <c r="CA194" i="278" s="1"/>
  <c r="CA202" i="278"/>
  <c r="CA39" i="315" l="1"/>
  <c r="CA198" i="278"/>
  <c r="CA199" i="278" s="1"/>
  <c r="BZ621" i="321"/>
  <c r="BZ624" i="321" s="1"/>
  <c r="BZ635" i="321"/>
  <c r="BZ286" i="278"/>
  <c r="BZ287" i="278" s="1"/>
  <c r="BP664" i="321"/>
  <c r="BO114" i="315"/>
  <c r="BO62" i="315"/>
  <c r="BO60" i="315"/>
  <c r="BO23" i="315"/>
  <c r="BO21" i="315"/>
  <c r="BO58" i="315"/>
  <c r="BZ564" i="321"/>
  <c r="BZ550" i="321"/>
  <c r="BZ553" i="321" s="1"/>
  <c r="BZ262" i="278"/>
  <c r="BZ263" i="278" s="1"/>
  <c r="BZ544" i="321"/>
  <c r="BZ546" i="321" s="1"/>
  <c r="CA41" i="265"/>
  <c r="CA173" i="278"/>
  <c r="CA174" i="278" s="1"/>
  <c r="BQ610" i="321"/>
  <c r="BQ568" i="321"/>
  <c r="BQ605" i="321"/>
  <c r="BQ38" i="282"/>
  <c r="BQ609" i="321"/>
  <c r="BQ611" i="321" s="1"/>
  <c r="BQ560" i="321"/>
  <c r="BQ561" i="321" s="1"/>
  <c r="BQ63" i="265"/>
  <c r="BQ104" i="282"/>
  <c r="BQ36" i="282"/>
  <c r="BQ583" i="321"/>
  <c r="AM138" i="288"/>
  <c r="AM140" i="288" s="1"/>
  <c r="N58" i="265"/>
  <c r="L58" i="277" s="1"/>
  <c r="N56" i="315"/>
  <c r="AM56" i="288"/>
  <c r="AM206" i="288"/>
  <c r="AM16" i="310"/>
  <c r="N59" i="265"/>
  <c r="L59" i="277" s="1"/>
  <c r="N38" i="286"/>
  <c r="N57" i="315"/>
  <c r="N115" i="286"/>
  <c r="AN264" i="307"/>
  <c r="AN265" i="307" s="1"/>
  <c r="AN269" i="307" s="1"/>
  <c r="AN271" i="307" s="1"/>
  <c r="AN244" i="307"/>
  <c r="AN245" i="307" s="1"/>
  <c r="AN254" i="307" s="1"/>
  <c r="AN546" i="307"/>
  <c r="AN578" i="307"/>
  <c r="O26" i="265"/>
  <c r="O84" i="265"/>
  <c r="O24" i="315"/>
  <c r="O80" i="315"/>
  <c r="AO213" i="307"/>
  <c r="AO148" i="307"/>
  <c r="AO150" i="307" s="1"/>
  <c r="AO176" i="307"/>
  <c r="AO179" i="307" s="1"/>
  <c r="AO184" i="307" s="1"/>
  <c r="AO187" i="307" s="1"/>
  <c r="AO129" i="307"/>
  <c r="AO131" i="307" s="1"/>
  <c r="AO135" i="307" s="1"/>
  <c r="AN84" i="307"/>
  <c r="AN86" i="307" s="1"/>
  <c r="AN640" i="307"/>
  <c r="AN336" i="307"/>
  <c r="AN338" i="307" s="1"/>
  <c r="AO335" i="307" s="1"/>
  <c r="AN342" i="307"/>
  <c r="AN635" i="307"/>
  <c r="AN315" i="307"/>
  <c r="AN317" i="307" s="1"/>
  <c r="AO314" i="307" s="1"/>
  <c r="AN341" i="307"/>
  <c r="AN343" i="307" s="1"/>
  <c r="AN454" i="307" l="1"/>
  <c r="AN455" i="307" s="1"/>
  <c r="AN249" i="307"/>
  <c r="AN630" i="307"/>
  <c r="AN347" i="307"/>
  <c r="AN349" i="307" s="1"/>
  <c r="AO346" i="307" s="1"/>
  <c r="AN13" i="310"/>
  <c r="AN134" i="288"/>
  <c r="AO305" i="307"/>
  <c r="AO306" i="307" s="1"/>
  <c r="AO309" i="307" s="1"/>
  <c r="AO378" i="307"/>
  <c r="AO380" i="307" s="1"/>
  <c r="AO384" i="307" s="1"/>
  <c r="AO385" i="307" s="1"/>
  <c r="AO414" i="307"/>
  <c r="AO416" i="307" s="1"/>
  <c r="AO326" i="307"/>
  <c r="AO327" i="307" s="1"/>
  <c r="AO330" i="307" s="1"/>
  <c r="AO390" i="307"/>
  <c r="AO392" i="307" s="1"/>
  <c r="AO396" i="307" s="1"/>
  <c r="AO397" i="307" s="1"/>
  <c r="AO427" i="307"/>
  <c r="AO429" i="307" s="1"/>
  <c r="AN89" i="307"/>
  <c r="AN90" i="307" s="1"/>
  <c r="AO88" i="307" s="1"/>
  <c r="AN675" i="307"/>
  <c r="AN625" i="307"/>
  <c r="AN284" i="307"/>
  <c r="AN10" i="310"/>
  <c r="AO193" i="307"/>
  <c r="AO190" i="307"/>
  <c r="AO191" i="307" s="1"/>
  <c r="AO156" i="307"/>
  <c r="AO153" i="307"/>
  <c r="AO154" i="307" s="1"/>
  <c r="AN588" i="307"/>
  <c r="AN40" i="310"/>
  <c r="AN27" i="307"/>
  <c r="AN587" i="307"/>
  <c r="AN589" i="307" s="1"/>
  <c r="AN26" i="307"/>
  <c r="AN39" i="310"/>
  <c r="AN595" i="307"/>
  <c r="AN43" i="310"/>
  <c r="AN30" i="307"/>
  <c r="AM47" i="310"/>
  <c r="AM58" i="310"/>
  <c r="AM63" i="310"/>
  <c r="AM145" i="288"/>
  <c r="BQ23" i="265"/>
  <c r="BQ60" i="265"/>
  <c r="BR608" i="321"/>
  <c r="BQ118" i="265"/>
  <c r="BQ25" i="265"/>
  <c r="BQ62" i="265"/>
  <c r="BQ64" i="265"/>
  <c r="CA178" i="278"/>
  <c r="CA180" i="278" s="1"/>
  <c r="CB171" i="278"/>
  <c r="CA109" i="265"/>
  <c r="CA253" i="278"/>
  <c r="CA255" i="278" s="1"/>
  <c r="CA258" i="278" s="1"/>
  <c r="BZ267" i="278"/>
  <c r="BZ556" i="321"/>
  <c r="BZ559" i="321"/>
  <c r="BP634" i="321"/>
  <c r="BP638" i="321" s="1"/>
  <c r="BP643" i="321"/>
  <c r="BP645" i="321" s="1"/>
  <c r="BP651" i="321" s="1"/>
  <c r="BP653" i="321" s="1"/>
  <c r="BP657" i="321"/>
  <c r="BP660" i="321" s="1"/>
  <c r="BP616" i="321"/>
  <c r="BP618" i="321" s="1"/>
  <c r="BP626" i="321" s="1"/>
  <c r="BP628" i="321" s="1"/>
  <c r="BZ291" i="278"/>
  <c r="BZ627" i="321"/>
  <c r="BZ630" i="321"/>
  <c r="CB196" i="278"/>
  <c r="CA203" i="278"/>
  <c r="CA205" i="278" s="1"/>
  <c r="CA105" i="315"/>
  <c r="CA281" i="278" l="1"/>
  <c r="CA284" i="278" s="1"/>
  <c r="CA244" i="278"/>
  <c r="CA248" i="278" s="1"/>
  <c r="CB191" i="278"/>
  <c r="CB194" i="278" s="1"/>
  <c r="CB202" i="278"/>
  <c r="BP665" i="321"/>
  <c r="BP61" i="315"/>
  <c r="BP631" i="321"/>
  <c r="BP632" i="321" s="1"/>
  <c r="BP106" i="282"/>
  <c r="BP661" i="321"/>
  <c r="BP654" i="321"/>
  <c r="BP639" i="321"/>
  <c r="BP666" i="321"/>
  <c r="CB166" i="278"/>
  <c r="CB169" i="278" s="1"/>
  <c r="CB177" i="278"/>
  <c r="CA237" i="278"/>
  <c r="CA241" i="278" s="1"/>
  <c r="BR601" i="321"/>
  <c r="BR604" i="321" s="1"/>
  <c r="BR539" i="321"/>
  <c r="BR541" i="321" s="1"/>
  <c r="BR555" i="321" s="1"/>
  <c r="BR557" i="321" s="1"/>
  <c r="BR572" i="321"/>
  <c r="BR574" i="321" s="1"/>
  <c r="BR580" i="321" s="1"/>
  <c r="BR582" i="321" s="1"/>
  <c r="BR563" i="321"/>
  <c r="BR567" i="321" s="1"/>
  <c r="AN591" i="307"/>
  <c r="AN596" i="307" s="1"/>
  <c r="AN139" i="288"/>
  <c r="AO157" i="307"/>
  <c r="AO594" i="307"/>
  <c r="AO21" i="307"/>
  <c r="AO33" i="310"/>
  <c r="AO198" i="307"/>
  <c r="AO158" i="307"/>
  <c r="AO194" i="307"/>
  <c r="AO593" i="307"/>
  <c r="AO200" i="307"/>
  <c r="AO32" i="310"/>
  <c r="AO20" i="307"/>
  <c r="AO195" i="307"/>
  <c r="AO72" i="307"/>
  <c r="AO75" i="307" s="1"/>
  <c r="AO78" i="307" s="1"/>
  <c r="AO79" i="307" s="1"/>
  <c r="AO433" i="307"/>
  <c r="AO401" i="307"/>
  <c r="AO432" i="307"/>
  <c r="AO434" i="307" s="1"/>
  <c r="AO400" i="307"/>
  <c r="AO402" i="307" s="1"/>
  <c r="AN464" i="307"/>
  <c r="AN465" i="307" s="1"/>
  <c r="AN484" i="307"/>
  <c r="AN485" i="307" s="1"/>
  <c r="AN487" i="307" l="1"/>
  <c r="AN489" i="307" s="1"/>
  <c r="AN467" i="307"/>
  <c r="AN469" i="307" s="1"/>
  <c r="AO584" i="307"/>
  <c r="AO36" i="310"/>
  <c r="AO23" i="307"/>
  <c r="AO585" i="307"/>
  <c r="AO24" i="307"/>
  <c r="AO37" i="310"/>
  <c r="AO294" i="307"/>
  <c r="AO296" i="307" s="1"/>
  <c r="AO85" i="307"/>
  <c r="AO453" i="307"/>
  <c r="AO248" i="307"/>
  <c r="AO207" i="307"/>
  <c r="AO123" i="307"/>
  <c r="AO205" i="307"/>
  <c r="AO208" i="307" s="1"/>
  <c r="AO121" i="307"/>
  <c r="AO201" i="307"/>
  <c r="AN599" i="307"/>
  <c r="AN601" i="307" s="1"/>
  <c r="AN609" i="307"/>
  <c r="BR610" i="321"/>
  <c r="BR568" i="321"/>
  <c r="BR104" i="282"/>
  <c r="BR583" i="321"/>
  <c r="BR36" i="282"/>
  <c r="BR609" i="321"/>
  <c r="BR611" i="321" s="1"/>
  <c r="BR560" i="321"/>
  <c r="BR561" i="321" s="1"/>
  <c r="BR63" i="265"/>
  <c r="AN63" i="277" s="1"/>
  <c r="BR38" i="282"/>
  <c r="BR605" i="321"/>
  <c r="CA550" i="321"/>
  <c r="CA553" i="321" s="1"/>
  <c r="CA564" i="321"/>
  <c r="CA262" i="278"/>
  <c r="CA263" i="278" s="1"/>
  <c r="CA544" i="321"/>
  <c r="CA546" i="321" s="1"/>
  <c r="CB41" i="265"/>
  <c r="AS41" i="277" s="1"/>
  <c r="CB173" i="278"/>
  <c r="CB174" i="278" s="1"/>
  <c r="BP62" i="315"/>
  <c r="BP58" i="315"/>
  <c r="BP21" i="315"/>
  <c r="BP23" i="315"/>
  <c r="BP60" i="315"/>
  <c r="BP667" i="321"/>
  <c r="CB198" i="278"/>
  <c r="CB199" i="278" s="1"/>
  <c r="CB39" i="315"/>
  <c r="CA621" i="321"/>
  <c r="CA624" i="321" s="1"/>
  <c r="CA635" i="321"/>
  <c r="CA286" i="278"/>
  <c r="CA287" i="278" s="1"/>
  <c r="CA291" i="278" l="1"/>
  <c r="CA627" i="321"/>
  <c r="CA630" i="321"/>
  <c r="CB203" i="278"/>
  <c r="CB205" i="278" s="1"/>
  <c r="CC196" i="278"/>
  <c r="CB105" i="315"/>
  <c r="BQ664" i="321"/>
  <c r="BP114" i="315"/>
  <c r="CB178" i="278"/>
  <c r="CB180" i="278" s="1"/>
  <c r="CC171" i="278"/>
  <c r="CB109" i="265"/>
  <c r="AS109" i="277" s="1"/>
  <c r="CB253" i="278"/>
  <c r="CB255" i="278" s="1"/>
  <c r="CB258" i="278" s="1"/>
  <c r="CA267" i="278"/>
  <c r="CA556" i="321"/>
  <c r="CA559" i="321"/>
  <c r="BR25" i="265"/>
  <c r="AN25" i="277" s="1"/>
  <c r="BR62" i="265"/>
  <c r="AN62" i="277" s="1"/>
  <c r="BS608" i="321"/>
  <c r="BR118" i="265"/>
  <c r="AN118" i="277" s="1"/>
  <c r="BR23" i="265"/>
  <c r="AN23" i="277" s="1"/>
  <c r="BR60" i="265"/>
  <c r="AN60" i="277" s="1"/>
  <c r="BR64" i="265"/>
  <c r="AN64" i="277" s="1"/>
  <c r="AN615" i="307"/>
  <c r="AO202" i="307"/>
  <c r="AO224" i="307"/>
  <c r="AO215" i="307"/>
  <c r="AO217" i="307" s="1"/>
  <c r="AO600" i="307"/>
  <c r="AO670" i="307"/>
  <c r="AO226" i="307"/>
  <c r="AO321" i="307"/>
  <c r="AO322" i="307" s="1"/>
  <c r="AO300" i="307"/>
  <c r="AO301" i="307" s="1"/>
  <c r="AN473" i="307"/>
  <c r="AN475" i="307" s="1"/>
  <c r="AO472" i="307" s="1"/>
  <c r="AN250" i="307"/>
  <c r="AN251" i="307" s="1"/>
  <c r="AN655" i="307"/>
  <c r="AN498" i="307"/>
  <c r="AN493" i="307"/>
  <c r="AN495" i="307" s="1"/>
  <c r="AO492" i="307" s="1"/>
  <c r="AN660" i="307"/>
  <c r="AN499" i="307"/>
  <c r="AO534" i="307" l="1"/>
  <c r="AO536" i="307" s="1"/>
  <c r="AO540" i="307" s="1"/>
  <c r="AO541" i="307" s="1"/>
  <c r="AO571" i="307"/>
  <c r="AO573" i="307" s="1"/>
  <c r="AO480" i="307"/>
  <c r="AO481" i="307" s="1"/>
  <c r="AO488" i="307" s="1"/>
  <c r="AN500" i="307"/>
  <c r="AN253" i="307"/>
  <c r="AN255" i="307" s="1"/>
  <c r="AO523" i="307"/>
  <c r="AO525" i="307" s="1"/>
  <c r="AO529" i="307" s="1"/>
  <c r="AO530" i="307" s="1"/>
  <c r="AO558" i="307"/>
  <c r="AO560" i="307" s="1"/>
  <c r="AO460" i="307"/>
  <c r="AO461" i="307" s="1"/>
  <c r="AO468" i="307" s="1"/>
  <c r="AO308" i="307"/>
  <c r="AO311" i="307" s="1"/>
  <c r="AO329" i="307"/>
  <c r="AO332" i="307" s="1"/>
  <c r="AO81" i="307"/>
  <c r="AO82" i="307" s="1"/>
  <c r="AO124" i="307"/>
  <c r="AO125" i="307" s="1"/>
  <c r="AP119" i="307" s="1"/>
  <c r="AO227" i="307"/>
  <c r="AO34" i="310"/>
  <c r="AO225" i="307"/>
  <c r="BS572" i="321"/>
  <c r="BS574" i="321" s="1"/>
  <c r="BS580" i="321" s="1"/>
  <c r="BS582" i="321" s="1"/>
  <c r="BS601" i="321"/>
  <c r="BS604" i="321" s="1"/>
  <c r="BS539" i="321"/>
  <c r="BS541" i="321" s="1"/>
  <c r="BS555" i="321" s="1"/>
  <c r="BS557" i="321" s="1"/>
  <c r="BS563" i="321"/>
  <c r="BS567" i="321" s="1"/>
  <c r="CC177" i="278"/>
  <c r="CC166" i="278"/>
  <c r="CC169" i="278" s="1"/>
  <c r="CB237" i="278"/>
  <c r="CB241" i="278" s="1"/>
  <c r="BQ634" i="321"/>
  <c r="BQ638" i="321" s="1"/>
  <c r="BQ643" i="321"/>
  <c r="BQ645" i="321" s="1"/>
  <c r="BQ651" i="321" s="1"/>
  <c r="BQ653" i="321" s="1"/>
  <c r="BQ657" i="321"/>
  <c r="BQ660" i="321" s="1"/>
  <c r="BQ616" i="321"/>
  <c r="BQ618" i="321" s="1"/>
  <c r="BQ626" i="321" s="1"/>
  <c r="BQ628" i="321" s="1"/>
  <c r="CC191" i="278"/>
  <c r="CC194" i="278" s="1"/>
  <c r="CC202" i="278"/>
  <c r="CB281" i="278"/>
  <c r="CB284" i="278" s="1"/>
  <c r="CB244" i="278"/>
  <c r="CB248" i="278" s="1"/>
  <c r="CB621" i="321" l="1"/>
  <c r="CB624" i="321" s="1"/>
  <c r="CB635" i="321"/>
  <c r="CB286" i="278"/>
  <c r="CB287" i="278" s="1"/>
  <c r="CC39" i="315"/>
  <c r="CC198" i="278"/>
  <c r="CC199" i="278" s="1"/>
  <c r="BQ665" i="321"/>
  <c r="BQ61" i="315"/>
  <c r="BQ631" i="321"/>
  <c r="BQ632" i="321" s="1"/>
  <c r="BQ106" i="282"/>
  <c r="BQ661" i="321"/>
  <c r="BQ654" i="321"/>
  <c r="BQ639" i="321"/>
  <c r="BQ666" i="321"/>
  <c r="CB564" i="321"/>
  <c r="CB550" i="321"/>
  <c r="CB553" i="321" s="1"/>
  <c r="CB262" i="278"/>
  <c r="CB263" i="278" s="1"/>
  <c r="CB544" i="321"/>
  <c r="CB546" i="321" s="1"/>
  <c r="CC41" i="265"/>
  <c r="CC173" i="278"/>
  <c r="CC174" i="278" s="1"/>
  <c r="BS610" i="321"/>
  <c r="BS568" i="321"/>
  <c r="BS609" i="321"/>
  <c r="BS611" i="321" s="1"/>
  <c r="BS560" i="321"/>
  <c r="BS561" i="321" s="1"/>
  <c r="BS63" i="265"/>
  <c r="BS605" i="321"/>
  <c r="BS38" i="282"/>
  <c r="BS104" i="282"/>
  <c r="BS36" i="282"/>
  <c r="BS583" i="321"/>
  <c r="AP213" i="307"/>
  <c r="AP148" i="307"/>
  <c r="AP150" i="307" s="1"/>
  <c r="AP176" i="307"/>
  <c r="AP179" i="307" s="1"/>
  <c r="AP184" i="307" s="1"/>
  <c r="AP187" i="307" s="1"/>
  <c r="AP129" i="307"/>
  <c r="AP131" i="307" s="1"/>
  <c r="AP135" i="307" s="1"/>
  <c r="AO84" i="307"/>
  <c r="AO86" i="307" s="1"/>
  <c r="AO640" i="307"/>
  <c r="AO336" i="307"/>
  <c r="AO338" i="307" s="1"/>
  <c r="AP335" i="307" s="1"/>
  <c r="AO342" i="307"/>
  <c r="AO635" i="307"/>
  <c r="AO315" i="307"/>
  <c r="AO317" i="307" s="1"/>
  <c r="AP314" i="307" s="1"/>
  <c r="AO341" i="307"/>
  <c r="AO343" i="307" s="1"/>
  <c r="AO576" i="307"/>
  <c r="AO544" i="307"/>
  <c r="AN258" i="307"/>
  <c r="AN260" i="307" s="1"/>
  <c r="AO257" i="307" s="1"/>
  <c r="AN645" i="307"/>
  <c r="AN12" i="310"/>
  <c r="AN285" i="307"/>
  <c r="AN288" i="307" s="1"/>
  <c r="AN650" i="307"/>
  <c r="AN14" i="310"/>
  <c r="AN135" i="288"/>
  <c r="AN136" i="288" s="1"/>
  <c r="AO577" i="307"/>
  <c r="AO545" i="307"/>
  <c r="AN138" i="288" l="1"/>
  <c r="AN140" i="288" s="1"/>
  <c r="AN56" i="288"/>
  <c r="AN206" i="288"/>
  <c r="AN16" i="310"/>
  <c r="AO264" i="307"/>
  <c r="AO265" i="307" s="1"/>
  <c r="AO269" i="307" s="1"/>
  <c r="AO271" i="307" s="1"/>
  <c r="AO244" i="307"/>
  <c r="AO245" i="307" s="1"/>
  <c r="AO254" i="307" s="1"/>
  <c r="AO546" i="307"/>
  <c r="AO578" i="307"/>
  <c r="AO454" i="307"/>
  <c r="AO455" i="307" s="1"/>
  <c r="AO249" i="307"/>
  <c r="AO630" i="307"/>
  <c r="AO347" i="307"/>
  <c r="AO349" i="307" s="1"/>
  <c r="AP346" i="307" s="1"/>
  <c r="AO13" i="310"/>
  <c r="AO134" i="288"/>
  <c r="AP305" i="307"/>
  <c r="AP306" i="307" s="1"/>
  <c r="AP309" i="307" s="1"/>
  <c r="AP378" i="307"/>
  <c r="AP380" i="307" s="1"/>
  <c r="AP384" i="307" s="1"/>
  <c r="AP385" i="307" s="1"/>
  <c r="AP414" i="307"/>
  <c r="AP416" i="307" s="1"/>
  <c r="AP326" i="307"/>
  <c r="AP327" i="307" s="1"/>
  <c r="AP330" i="307" s="1"/>
  <c r="AP390" i="307"/>
  <c r="AP392" i="307" s="1"/>
  <c r="AP396" i="307" s="1"/>
  <c r="AP397" i="307" s="1"/>
  <c r="AP427" i="307"/>
  <c r="AP429" i="307" s="1"/>
  <c r="AO89" i="307"/>
  <c r="AO90" i="307" s="1"/>
  <c r="AP88" i="307" s="1"/>
  <c r="AO675" i="307"/>
  <c r="AO625" i="307"/>
  <c r="AO10" i="310"/>
  <c r="AO284" i="307"/>
  <c r="AP193" i="307"/>
  <c r="AP190" i="307"/>
  <c r="AP191" i="307" s="1"/>
  <c r="AP156" i="307"/>
  <c r="AP153" i="307"/>
  <c r="AP154" i="307" s="1"/>
  <c r="BS23" i="265"/>
  <c r="BS60" i="265"/>
  <c r="BS25" i="265"/>
  <c r="BS62" i="265"/>
  <c r="BT608" i="321"/>
  <c r="BS118" i="265"/>
  <c r="BS64" i="265"/>
  <c r="CC178" i="278"/>
  <c r="CC180" i="278" s="1"/>
  <c r="CD171" i="278"/>
  <c r="CC109" i="265"/>
  <c r="CC253" i="278"/>
  <c r="CC255" i="278" s="1"/>
  <c r="CC258" i="278" s="1"/>
  <c r="CB267" i="278"/>
  <c r="CB556" i="321"/>
  <c r="CB559" i="321"/>
  <c r="BQ62" i="315"/>
  <c r="BQ58" i="315"/>
  <c r="BQ21" i="315"/>
  <c r="BQ23" i="315"/>
  <c r="BQ60" i="315"/>
  <c r="BQ667" i="321"/>
  <c r="CD196" i="278"/>
  <c r="CC203" i="278"/>
  <c r="CC205" i="278" s="1"/>
  <c r="CC105" i="315"/>
  <c r="CB291" i="278"/>
  <c r="CB627" i="321"/>
  <c r="CB630" i="321"/>
  <c r="CC281" i="278" l="1"/>
  <c r="CC284" i="278" s="1"/>
  <c r="CC244" i="278"/>
  <c r="CC248" i="278" s="1"/>
  <c r="CD191" i="278"/>
  <c r="CD194" i="278" s="1"/>
  <c r="CD202" i="278"/>
  <c r="BR664" i="321"/>
  <c r="BQ114" i="315"/>
  <c r="CD177" i="278"/>
  <c r="CD166" i="278"/>
  <c r="CD169" i="278" s="1"/>
  <c r="CC237" i="278"/>
  <c r="CC241" i="278" s="1"/>
  <c r="BT572" i="321"/>
  <c r="BT574" i="321" s="1"/>
  <c r="BT580" i="321" s="1"/>
  <c r="BT582" i="321" s="1"/>
  <c r="BT539" i="321"/>
  <c r="BT541" i="321" s="1"/>
  <c r="BT555" i="321" s="1"/>
  <c r="BT557" i="321" s="1"/>
  <c r="BT601" i="321"/>
  <c r="BT604" i="321" s="1"/>
  <c r="BT563" i="321"/>
  <c r="BT567" i="321" s="1"/>
  <c r="AP157" i="307"/>
  <c r="AP594" i="307"/>
  <c r="AP21" i="307"/>
  <c r="AP198" i="307"/>
  <c r="AP33" i="310"/>
  <c r="AP158" i="307"/>
  <c r="AP194" i="307"/>
  <c r="AP593" i="307"/>
  <c r="AP32" i="310"/>
  <c r="AP200" i="307"/>
  <c r="AP20" i="307"/>
  <c r="AP195" i="307"/>
  <c r="AP72" i="307"/>
  <c r="AP75" i="307" s="1"/>
  <c r="AP78" i="307" s="1"/>
  <c r="AP79" i="307" s="1"/>
  <c r="AP433" i="307"/>
  <c r="AP401" i="307"/>
  <c r="AP432" i="307"/>
  <c r="AP434" i="307" s="1"/>
  <c r="AP400" i="307"/>
  <c r="AP402" i="307" s="1"/>
  <c r="AO464" i="307"/>
  <c r="AO465" i="307" s="1"/>
  <c r="AO484" i="307"/>
  <c r="AO485" i="307" s="1"/>
  <c r="AO588" i="307"/>
  <c r="AO40" i="310"/>
  <c r="AO27" i="307"/>
  <c r="AO587" i="307"/>
  <c r="AO589" i="307" s="1"/>
  <c r="AO26" i="307"/>
  <c r="AO39" i="310"/>
  <c r="AO595" i="307"/>
  <c r="AO30" i="307"/>
  <c r="AO43" i="310"/>
  <c r="AN63" i="310"/>
  <c r="AN58" i="310"/>
  <c r="AN47" i="310"/>
  <c r="AN145" i="288"/>
  <c r="AO591" i="307" l="1"/>
  <c r="AO596" i="307" s="1"/>
  <c r="AO139" i="288"/>
  <c r="AO487" i="307"/>
  <c r="AO489" i="307" s="1"/>
  <c r="AO467" i="307"/>
  <c r="AO469" i="307" s="1"/>
  <c r="AP584" i="307"/>
  <c r="AP23" i="307"/>
  <c r="AP36" i="310"/>
  <c r="AP585" i="307"/>
  <c r="AP37" i="310"/>
  <c r="AP24" i="307"/>
  <c r="AP294" i="307"/>
  <c r="AP296" i="307" s="1"/>
  <c r="AP85" i="307"/>
  <c r="AP453" i="307"/>
  <c r="AP248" i="307"/>
  <c r="AP207" i="307"/>
  <c r="AP123" i="307"/>
  <c r="AP205" i="307"/>
  <c r="AP208" i="307" s="1"/>
  <c r="AP121" i="307"/>
  <c r="AP201" i="307"/>
  <c r="BT610" i="321"/>
  <c r="BT568" i="321"/>
  <c r="BT38" i="282"/>
  <c r="BT605" i="321"/>
  <c r="BT609" i="321"/>
  <c r="BT611" i="321" s="1"/>
  <c r="BT560" i="321"/>
  <c r="BT561" i="321" s="1"/>
  <c r="BT63" i="265"/>
  <c r="AO63" i="277" s="1"/>
  <c r="BT104" i="282"/>
  <c r="BT583" i="321"/>
  <c r="BT36" i="282"/>
  <c r="CC564" i="321"/>
  <c r="CC550" i="321"/>
  <c r="CC553" i="321" s="1"/>
  <c r="CC262" i="278"/>
  <c r="CC263" i="278" s="1"/>
  <c r="CC544" i="321"/>
  <c r="CC546" i="321" s="1"/>
  <c r="CD173" i="278"/>
  <c r="CD174" i="278" s="1"/>
  <c r="CD41" i="265"/>
  <c r="AT41" i="277" s="1"/>
  <c r="BR634" i="321"/>
  <c r="BR638" i="321" s="1"/>
  <c r="BR643" i="321"/>
  <c r="BR645" i="321" s="1"/>
  <c r="BR651" i="321" s="1"/>
  <c r="BR653" i="321" s="1"/>
  <c r="BR657" i="321"/>
  <c r="BR660" i="321" s="1"/>
  <c r="BR616" i="321"/>
  <c r="BR618" i="321" s="1"/>
  <c r="BR626" i="321" s="1"/>
  <c r="BR628" i="321" s="1"/>
  <c r="CD39" i="315"/>
  <c r="CD198" i="278"/>
  <c r="CD199" i="278" s="1"/>
  <c r="CC621" i="321"/>
  <c r="CC624" i="321" s="1"/>
  <c r="CC635" i="321"/>
  <c r="CC286" i="278"/>
  <c r="CC287" i="278" s="1"/>
  <c r="CC291" i="278" l="1"/>
  <c r="CC627" i="321"/>
  <c r="CC630" i="321"/>
  <c r="CE196" i="278"/>
  <c r="CD203" i="278"/>
  <c r="CD205" i="278" s="1"/>
  <c r="CD105" i="315"/>
  <c r="BR665" i="321"/>
  <c r="BR61" i="315"/>
  <c r="BR631" i="321"/>
  <c r="BR632" i="321" s="1"/>
  <c r="BR106" i="282"/>
  <c r="BR661" i="321"/>
  <c r="BR654" i="321"/>
  <c r="BR639" i="321"/>
  <c r="BR666" i="321"/>
  <c r="CD178" i="278"/>
  <c r="CD180" i="278" s="1"/>
  <c r="CE171" i="278"/>
  <c r="CD109" i="265"/>
  <c r="AT109" i="277" s="1"/>
  <c r="CD253" i="278"/>
  <c r="CD255" i="278" s="1"/>
  <c r="CD258" i="278" s="1"/>
  <c r="CC267" i="278"/>
  <c r="CC556" i="321"/>
  <c r="CC559" i="321"/>
  <c r="BT23" i="265"/>
  <c r="AO23" i="277" s="1"/>
  <c r="BT60" i="265"/>
  <c r="AO60" i="277" s="1"/>
  <c r="BU608" i="321"/>
  <c r="BT118" i="265"/>
  <c r="AO118" i="277" s="1"/>
  <c r="BT25" i="265"/>
  <c r="AO25" i="277" s="1"/>
  <c r="BT62" i="265"/>
  <c r="AO62" i="277" s="1"/>
  <c r="BT64" i="265"/>
  <c r="AO64" i="277" s="1"/>
  <c r="AP224" i="307"/>
  <c r="AP202" i="307"/>
  <c r="AP215" i="307"/>
  <c r="AP217" i="307" s="1"/>
  <c r="AP600" i="307"/>
  <c r="AP670" i="307"/>
  <c r="AP226" i="307"/>
  <c r="AP321" i="307"/>
  <c r="AP322" i="307" s="1"/>
  <c r="AP300" i="307"/>
  <c r="AP301" i="307" s="1"/>
  <c r="AO473" i="307"/>
  <c r="AO475" i="307" s="1"/>
  <c r="AP472" i="307" s="1"/>
  <c r="AO250" i="307"/>
  <c r="AO251" i="307" s="1"/>
  <c r="AO655" i="307"/>
  <c r="AO498" i="307"/>
  <c r="AO493" i="307"/>
  <c r="AO495" i="307" s="1"/>
  <c r="AP492" i="307" s="1"/>
  <c r="AO660" i="307"/>
  <c r="AO499" i="307"/>
  <c r="AO599" i="307"/>
  <c r="AO601" i="307" s="1"/>
  <c r="AO609" i="307"/>
  <c r="AO615" i="307" l="1"/>
  <c r="AP534" i="307"/>
  <c r="AP536" i="307" s="1"/>
  <c r="AP540" i="307" s="1"/>
  <c r="AP541" i="307" s="1"/>
  <c r="AP571" i="307"/>
  <c r="AP573" i="307" s="1"/>
  <c r="AP480" i="307"/>
  <c r="AP481" i="307" s="1"/>
  <c r="AP488" i="307" s="1"/>
  <c r="AO500" i="307"/>
  <c r="AO253" i="307"/>
  <c r="AO255" i="307" s="1"/>
  <c r="AP523" i="307"/>
  <c r="AP525" i="307" s="1"/>
  <c r="AP529" i="307" s="1"/>
  <c r="AP530" i="307" s="1"/>
  <c r="AP558" i="307"/>
  <c r="AP560" i="307" s="1"/>
  <c r="AP460" i="307"/>
  <c r="AP461" i="307" s="1"/>
  <c r="AP468" i="307" s="1"/>
  <c r="AP308" i="307"/>
  <c r="AP311" i="307" s="1"/>
  <c r="AP329" i="307"/>
  <c r="AP332" i="307" s="1"/>
  <c r="AP81" i="307"/>
  <c r="AP82" i="307" s="1"/>
  <c r="AP124" i="307"/>
  <c r="AP125" i="307" s="1"/>
  <c r="AQ119" i="307" s="1"/>
  <c r="AP227" i="307"/>
  <c r="AP34" i="310"/>
  <c r="AP225" i="307"/>
  <c r="BU539" i="321"/>
  <c r="BU541" i="321" s="1"/>
  <c r="BU555" i="321" s="1"/>
  <c r="BU557" i="321" s="1"/>
  <c r="BU572" i="321"/>
  <c r="BU574" i="321" s="1"/>
  <c r="BU580" i="321" s="1"/>
  <c r="BU582" i="321" s="1"/>
  <c r="BU601" i="321"/>
  <c r="BU604" i="321" s="1"/>
  <c r="BU563" i="321"/>
  <c r="BU567" i="321" s="1"/>
  <c r="CE177" i="278"/>
  <c r="CE166" i="278"/>
  <c r="CE169" i="278" s="1"/>
  <c r="CD237" i="278"/>
  <c r="CD241" i="278" s="1"/>
  <c r="BR62" i="315"/>
  <c r="BR58" i="315"/>
  <c r="BR21" i="315"/>
  <c r="BR23" i="315"/>
  <c r="BR60" i="315"/>
  <c r="BR667" i="321"/>
  <c r="CD281" i="278"/>
  <c r="CD284" i="278" s="1"/>
  <c r="CD244" i="278"/>
  <c r="CD248" i="278" s="1"/>
  <c r="CE191" i="278"/>
  <c r="CE194" i="278" s="1"/>
  <c r="CE202" i="278"/>
  <c r="CE39" i="315" l="1"/>
  <c r="CE198" i="278"/>
  <c r="CE199" i="278" s="1"/>
  <c r="CD621" i="321"/>
  <c r="CD624" i="321" s="1"/>
  <c r="CD635" i="321"/>
  <c r="CD286" i="278"/>
  <c r="CD287" i="278" s="1"/>
  <c r="BR114" i="315"/>
  <c r="BS664" i="321"/>
  <c r="CD262" i="278"/>
  <c r="CD263" i="278" s="1"/>
  <c r="CD564" i="321"/>
  <c r="CD550" i="321"/>
  <c r="CD553" i="321" s="1"/>
  <c r="CD544" i="321"/>
  <c r="CD546" i="321" s="1"/>
  <c r="CE41" i="265"/>
  <c r="CE173" i="278"/>
  <c r="CE174" i="278" s="1"/>
  <c r="BU610" i="321"/>
  <c r="BU568" i="321"/>
  <c r="BU605" i="321"/>
  <c r="BU38" i="282"/>
  <c r="BU104" i="282"/>
  <c r="BU583" i="321"/>
  <c r="BU36" i="282"/>
  <c r="BU609" i="321"/>
  <c r="BU611" i="321" s="1"/>
  <c r="BU63" i="265"/>
  <c r="BU560" i="321"/>
  <c r="BU561" i="321" s="1"/>
  <c r="AQ213" i="307"/>
  <c r="AQ148" i="307"/>
  <c r="AQ150" i="307" s="1"/>
  <c r="AQ176" i="307"/>
  <c r="AQ179" i="307" s="1"/>
  <c r="AQ184" i="307" s="1"/>
  <c r="AQ187" i="307" s="1"/>
  <c r="AQ129" i="307"/>
  <c r="AQ131" i="307" s="1"/>
  <c r="AQ135" i="307" s="1"/>
  <c r="AP84" i="307"/>
  <c r="AP86" i="307" s="1"/>
  <c r="AP640" i="307"/>
  <c r="AP336" i="307"/>
  <c r="AP338" i="307" s="1"/>
  <c r="AQ335" i="307" s="1"/>
  <c r="AP342" i="307"/>
  <c r="AP635" i="307"/>
  <c r="AP315" i="307"/>
  <c r="AP317" i="307" s="1"/>
  <c r="AQ314" i="307" s="1"/>
  <c r="AP341" i="307"/>
  <c r="AP343" i="307" s="1"/>
  <c r="AP576" i="307"/>
  <c r="AP544" i="307"/>
  <c r="AO258" i="307"/>
  <c r="AO260" i="307" s="1"/>
  <c r="AP257" i="307" s="1"/>
  <c r="AO645" i="307"/>
  <c r="AO285" i="307"/>
  <c r="AO288" i="307" s="1"/>
  <c r="AO12" i="310"/>
  <c r="AO650" i="307"/>
  <c r="AO14" i="310"/>
  <c r="AO135" i="288"/>
  <c r="AO136" i="288" s="1"/>
  <c r="AP577" i="307"/>
  <c r="AP545" i="307"/>
  <c r="AO138" i="288" l="1"/>
  <c r="AO140" i="288" s="1"/>
  <c r="AO16" i="310"/>
  <c r="AO206" i="288"/>
  <c r="AO56" i="288"/>
  <c r="AP264" i="307"/>
  <c r="AP265" i="307" s="1"/>
  <c r="AP269" i="307" s="1"/>
  <c r="AP271" i="307" s="1"/>
  <c r="AP244" i="307"/>
  <c r="AP245" i="307" s="1"/>
  <c r="AP254" i="307" s="1"/>
  <c r="AP546" i="307"/>
  <c r="AP578" i="307"/>
  <c r="AP454" i="307"/>
  <c r="AP455" i="307" s="1"/>
  <c r="AP249" i="307"/>
  <c r="AP630" i="307"/>
  <c r="AP347" i="307"/>
  <c r="AP349" i="307" s="1"/>
  <c r="AQ346" i="307" s="1"/>
  <c r="AP13" i="310"/>
  <c r="AP134" i="288"/>
  <c r="AQ305" i="307"/>
  <c r="AQ306" i="307" s="1"/>
  <c r="AQ309" i="307" s="1"/>
  <c r="AQ378" i="307"/>
  <c r="AQ380" i="307" s="1"/>
  <c r="AQ384" i="307" s="1"/>
  <c r="AQ385" i="307" s="1"/>
  <c r="AQ414" i="307"/>
  <c r="AQ416" i="307" s="1"/>
  <c r="AQ326" i="307"/>
  <c r="AQ327" i="307" s="1"/>
  <c r="AQ330" i="307" s="1"/>
  <c r="AQ390" i="307"/>
  <c r="AQ392" i="307" s="1"/>
  <c r="AQ396" i="307" s="1"/>
  <c r="AQ397" i="307" s="1"/>
  <c r="AQ427" i="307"/>
  <c r="AQ429" i="307" s="1"/>
  <c r="AP89" i="307"/>
  <c r="AP90" i="307" s="1"/>
  <c r="AQ88" i="307" s="1"/>
  <c r="AP675" i="307"/>
  <c r="AP625" i="307"/>
  <c r="AP10" i="310"/>
  <c r="AP284" i="307"/>
  <c r="AQ193" i="307"/>
  <c r="AQ190" i="307"/>
  <c r="AQ191" i="307" s="1"/>
  <c r="AQ156" i="307"/>
  <c r="AQ153" i="307"/>
  <c r="AQ154" i="307" s="1"/>
  <c r="BU118" i="265"/>
  <c r="BV608" i="321"/>
  <c r="BU23" i="265"/>
  <c r="BU60" i="265"/>
  <c r="BU25" i="265"/>
  <c r="BU62" i="265"/>
  <c r="BU64" i="265"/>
  <c r="CE178" i="278"/>
  <c r="CE180" i="278" s="1"/>
  <c r="CF171" i="278"/>
  <c r="CE109" i="265"/>
  <c r="CE253" i="278"/>
  <c r="CE255" i="278" s="1"/>
  <c r="CE258" i="278" s="1"/>
  <c r="CD556" i="321"/>
  <c r="CD559" i="321"/>
  <c r="CD267" i="278"/>
  <c r="BS616" i="321"/>
  <c r="BS618" i="321" s="1"/>
  <c r="BS626" i="321" s="1"/>
  <c r="BS628" i="321" s="1"/>
  <c r="BS643" i="321"/>
  <c r="BS645" i="321" s="1"/>
  <c r="BS651" i="321" s="1"/>
  <c r="BS653" i="321" s="1"/>
  <c r="BS657" i="321"/>
  <c r="BS660" i="321" s="1"/>
  <c r="BS634" i="321"/>
  <c r="BS638" i="321" s="1"/>
  <c r="CD291" i="278"/>
  <c r="CD627" i="321"/>
  <c r="CD630" i="321"/>
  <c r="CF196" i="278"/>
  <c r="CE203" i="278"/>
  <c r="CE205" i="278" s="1"/>
  <c r="CE105" i="315"/>
  <c r="CE281" i="278" l="1"/>
  <c r="CE284" i="278" s="1"/>
  <c r="CE244" i="278"/>
  <c r="CE248" i="278" s="1"/>
  <c r="CF191" i="278"/>
  <c r="CF194" i="278" s="1"/>
  <c r="CF202" i="278"/>
  <c r="BS666" i="321"/>
  <c r="BS639" i="321"/>
  <c r="BS661" i="321"/>
  <c r="BS106" i="282"/>
  <c r="BS654" i="321"/>
  <c r="BS665" i="321"/>
  <c r="BS667" i="321" s="1"/>
  <c r="BS61" i="315"/>
  <c r="BS631" i="321"/>
  <c r="BS632" i="321" s="1"/>
  <c r="CF166" i="278"/>
  <c r="CF169" i="278" s="1"/>
  <c r="CF177" i="278"/>
  <c r="CE237" i="278"/>
  <c r="CE241" i="278" s="1"/>
  <c r="BV572" i="321"/>
  <c r="BV574" i="321" s="1"/>
  <c r="BV580" i="321" s="1"/>
  <c r="BV582" i="321" s="1"/>
  <c r="BV539" i="321"/>
  <c r="BV541" i="321" s="1"/>
  <c r="BV555" i="321" s="1"/>
  <c r="BV557" i="321" s="1"/>
  <c r="BV601" i="321"/>
  <c r="BV604" i="321" s="1"/>
  <c r="BV563" i="321"/>
  <c r="BV567" i="321" s="1"/>
  <c r="AQ157" i="307"/>
  <c r="AQ594" i="307"/>
  <c r="AQ21" i="307"/>
  <c r="AQ198" i="307"/>
  <c r="AQ33" i="310"/>
  <c r="AQ158" i="307"/>
  <c r="AQ194" i="307"/>
  <c r="AQ593" i="307"/>
  <c r="AQ32" i="310"/>
  <c r="AQ20" i="307"/>
  <c r="AQ200" i="307"/>
  <c r="AQ195" i="307"/>
  <c r="AQ72" i="307"/>
  <c r="AQ75" i="307" s="1"/>
  <c r="AQ78" i="307" s="1"/>
  <c r="AQ79" i="307" s="1"/>
  <c r="AQ433" i="307"/>
  <c r="AQ401" i="307"/>
  <c r="AQ432" i="307"/>
  <c r="AQ434" i="307" s="1"/>
  <c r="AQ400" i="307"/>
  <c r="AQ402" i="307" s="1"/>
  <c r="AP464" i="307"/>
  <c r="AP465" i="307" s="1"/>
  <c r="AP484" i="307"/>
  <c r="AP485" i="307" s="1"/>
  <c r="AP588" i="307"/>
  <c r="AP40" i="310"/>
  <c r="AP27" i="307"/>
  <c r="AP587" i="307"/>
  <c r="AP589" i="307" s="1"/>
  <c r="AP39" i="310"/>
  <c r="AP26" i="307"/>
  <c r="AP595" i="307"/>
  <c r="AP30" i="307"/>
  <c r="AP43" i="310"/>
  <c r="AO63" i="310"/>
  <c r="AO58" i="310"/>
  <c r="AO47" i="310"/>
  <c r="AO145" i="288"/>
  <c r="AP591" i="307" l="1"/>
  <c r="AP596" i="307" s="1"/>
  <c r="AP139" i="288"/>
  <c r="AP487" i="307"/>
  <c r="AP489" i="307" s="1"/>
  <c r="AP467" i="307"/>
  <c r="AP469" i="307" s="1"/>
  <c r="AQ584" i="307"/>
  <c r="AQ23" i="307"/>
  <c r="AQ36" i="310"/>
  <c r="AQ585" i="307"/>
  <c r="AQ37" i="310"/>
  <c r="AQ24" i="307"/>
  <c r="AQ294" i="307"/>
  <c r="AQ296" i="307" s="1"/>
  <c r="AQ85" i="307"/>
  <c r="AQ453" i="307"/>
  <c r="AQ248" i="307"/>
  <c r="AQ207" i="307"/>
  <c r="AQ123" i="307"/>
  <c r="AQ205" i="307"/>
  <c r="AQ208" i="307" s="1"/>
  <c r="AQ121" i="307"/>
  <c r="AQ201" i="307"/>
  <c r="BV568" i="321"/>
  <c r="BV610" i="321"/>
  <c r="BV605" i="321"/>
  <c r="BV38" i="282"/>
  <c r="BV560" i="321"/>
  <c r="BV561" i="321" s="1"/>
  <c r="BV609" i="321"/>
  <c r="BV611" i="321" s="1"/>
  <c r="BV63" i="265"/>
  <c r="AP63" i="277" s="1"/>
  <c r="BV104" i="282"/>
  <c r="BV583" i="321"/>
  <c r="BV36" i="282"/>
  <c r="CE564" i="321"/>
  <c r="CE550" i="321"/>
  <c r="CE553" i="321" s="1"/>
  <c r="CE262" i="278"/>
  <c r="CE263" i="278" s="1"/>
  <c r="CE544" i="321"/>
  <c r="CE546" i="321" s="1"/>
  <c r="CF173" i="278"/>
  <c r="CF174" i="278" s="1"/>
  <c r="CF41" i="265"/>
  <c r="AU41" i="277" s="1"/>
  <c r="BS114" i="315"/>
  <c r="BT664" i="321"/>
  <c r="BS58" i="315"/>
  <c r="BS21" i="315"/>
  <c r="BS23" i="315"/>
  <c r="BS60" i="315"/>
  <c r="BS62" i="315"/>
  <c r="CF198" i="278"/>
  <c r="CF199" i="278" s="1"/>
  <c r="CF39" i="315"/>
  <c r="CE621" i="321"/>
  <c r="CE624" i="321" s="1"/>
  <c r="CE635" i="321"/>
  <c r="CE286" i="278"/>
  <c r="CE287" i="278" s="1"/>
  <c r="CE291" i="278" l="1"/>
  <c r="CE627" i="321"/>
  <c r="CE630" i="321"/>
  <c r="CF203" i="278"/>
  <c r="CF205" i="278" s="1"/>
  <c r="CG196" i="278"/>
  <c r="CF105" i="315"/>
  <c r="BT657" i="321"/>
  <c r="BT660" i="321" s="1"/>
  <c r="BT634" i="321"/>
  <c r="BT638" i="321" s="1"/>
  <c r="BT643" i="321"/>
  <c r="BT645" i="321" s="1"/>
  <c r="BT651" i="321" s="1"/>
  <c r="BT653" i="321" s="1"/>
  <c r="BT616" i="321"/>
  <c r="BT618" i="321" s="1"/>
  <c r="BT626" i="321" s="1"/>
  <c r="BT628" i="321" s="1"/>
  <c r="CG171" i="278"/>
  <c r="CF178" i="278"/>
  <c r="CF180" i="278" s="1"/>
  <c r="CF109" i="265"/>
  <c r="AU109" i="277" s="1"/>
  <c r="CF253" i="278"/>
  <c r="CF255" i="278" s="1"/>
  <c r="CF258" i="278" s="1"/>
  <c r="CE267" i="278"/>
  <c r="CE556" i="321"/>
  <c r="CE559" i="321"/>
  <c r="BV23" i="265"/>
  <c r="AP23" i="277" s="1"/>
  <c r="BV60" i="265"/>
  <c r="AP60" i="277" s="1"/>
  <c r="BW608" i="321"/>
  <c r="BV118" i="265"/>
  <c r="AP118" i="277" s="1"/>
  <c r="BV25" i="265"/>
  <c r="AP25" i="277" s="1"/>
  <c r="BV62" i="265"/>
  <c r="AP62" i="277" s="1"/>
  <c r="BV64" i="265"/>
  <c r="AP64" i="277" s="1"/>
  <c r="AQ224" i="307"/>
  <c r="AQ202" i="307"/>
  <c r="AQ215" i="307"/>
  <c r="AQ217" i="307" s="1"/>
  <c r="AQ600" i="307"/>
  <c r="AQ670" i="307"/>
  <c r="AQ226" i="307"/>
  <c r="AQ321" i="307"/>
  <c r="AQ322" i="307" s="1"/>
  <c r="AQ300" i="307"/>
  <c r="AQ301" i="307" s="1"/>
  <c r="AP473" i="307"/>
  <c r="AP475" i="307" s="1"/>
  <c r="AQ472" i="307" s="1"/>
  <c r="AP250" i="307"/>
  <c r="AP251" i="307" s="1"/>
  <c r="AP655" i="307"/>
  <c r="AP498" i="307"/>
  <c r="AP493" i="307"/>
  <c r="AP495" i="307" s="1"/>
  <c r="AQ492" i="307" s="1"/>
  <c r="AP660" i="307"/>
  <c r="AP499" i="307"/>
  <c r="AP599" i="307"/>
  <c r="AP601" i="307" s="1"/>
  <c r="AP609" i="307"/>
  <c r="AP615" i="307" l="1"/>
  <c r="AQ534" i="307"/>
  <c r="AQ536" i="307" s="1"/>
  <c r="AQ540" i="307" s="1"/>
  <c r="AQ541" i="307" s="1"/>
  <c r="AQ571" i="307"/>
  <c r="AQ573" i="307" s="1"/>
  <c r="AQ480" i="307"/>
  <c r="AQ481" i="307" s="1"/>
  <c r="AQ488" i="307" s="1"/>
  <c r="AP500" i="307"/>
  <c r="AP253" i="307"/>
  <c r="AP255" i="307" s="1"/>
  <c r="AQ523" i="307"/>
  <c r="AQ525" i="307" s="1"/>
  <c r="AQ529" i="307" s="1"/>
  <c r="AQ530" i="307" s="1"/>
  <c r="AQ558" i="307"/>
  <c r="AQ560" i="307" s="1"/>
  <c r="AQ460" i="307"/>
  <c r="AQ461" i="307" s="1"/>
  <c r="AQ468" i="307" s="1"/>
  <c r="AQ308" i="307"/>
  <c r="AQ311" i="307" s="1"/>
  <c r="AQ329" i="307"/>
  <c r="AQ332" i="307" s="1"/>
  <c r="AQ81" i="307"/>
  <c r="AQ82" i="307" s="1"/>
  <c r="AQ124" i="307"/>
  <c r="AQ125" i="307" s="1"/>
  <c r="AR119" i="307" s="1"/>
  <c r="AQ227" i="307"/>
  <c r="AQ34" i="310"/>
  <c r="AQ225" i="307"/>
  <c r="BW572" i="321"/>
  <c r="BW574" i="321" s="1"/>
  <c r="BW580" i="321" s="1"/>
  <c r="BW582" i="321" s="1"/>
  <c r="BW563" i="321"/>
  <c r="BW567" i="321" s="1"/>
  <c r="BW601" i="321"/>
  <c r="BW604" i="321" s="1"/>
  <c r="BW539" i="321"/>
  <c r="BW541" i="321" s="1"/>
  <c r="BW555" i="321" s="1"/>
  <c r="BW557" i="321" s="1"/>
  <c r="CF237" i="278"/>
  <c r="CF241" i="278" s="1"/>
  <c r="CG166" i="278"/>
  <c r="CG169" i="278" s="1"/>
  <c r="CG177" i="278"/>
  <c r="BT61" i="315"/>
  <c r="BT665" i="321"/>
  <c r="BT631" i="321"/>
  <c r="BT632" i="321" s="1"/>
  <c r="BT654" i="321"/>
  <c r="BT666" i="321"/>
  <c r="BT639" i="321"/>
  <c r="BT106" i="282"/>
  <c r="BT661" i="321"/>
  <c r="CG191" i="278"/>
  <c r="CG194" i="278" s="1"/>
  <c r="CG202" i="278"/>
  <c r="CF281" i="278"/>
  <c r="CF284" i="278" s="1"/>
  <c r="CF244" i="278"/>
  <c r="CF248" i="278" s="1"/>
  <c r="CF621" i="321" l="1"/>
  <c r="CF624" i="321" s="1"/>
  <c r="CF635" i="321"/>
  <c r="CF286" i="278"/>
  <c r="CF287" i="278" s="1"/>
  <c r="CG39" i="315"/>
  <c r="CG198" i="278"/>
  <c r="CG199" i="278" s="1"/>
  <c r="BT23" i="315"/>
  <c r="BT60" i="315"/>
  <c r="BT62" i="315"/>
  <c r="BT21" i="315"/>
  <c r="BT58" i="315"/>
  <c r="BT667" i="321"/>
  <c r="CG41" i="265"/>
  <c r="CG173" i="278"/>
  <c r="CG174" i="278" s="1"/>
  <c r="CF564" i="321"/>
  <c r="CF550" i="321"/>
  <c r="CF553" i="321" s="1"/>
  <c r="CF262" i="278"/>
  <c r="CF263" i="278" s="1"/>
  <c r="CF544" i="321"/>
  <c r="CF546" i="321" s="1"/>
  <c r="BW560" i="321"/>
  <c r="BW561" i="321" s="1"/>
  <c r="BW609" i="321"/>
  <c r="BW63" i="265"/>
  <c r="BW605" i="321"/>
  <c r="BW38" i="282"/>
  <c r="BW610" i="321"/>
  <c r="BW568" i="321"/>
  <c r="BW104" i="282"/>
  <c r="BW583" i="321"/>
  <c r="BW36" i="282"/>
  <c r="AR213" i="307"/>
  <c r="AR148" i="307"/>
  <c r="AR150" i="307" s="1"/>
  <c r="AR176" i="307"/>
  <c r="AR179" i="307" s="1"/>
  <c r="AR184" i="307" s="1"/>
  <c r="AR187" i="307" s="1"/>
  <c r="AR129" i="307"/>
  <c r="AR131" i="307" s="1"/>
  <c r="AR135" i="307" s="1"/>
  <c r="AQ84" i="307"/>
  <c r="AQ86" i="307" s="1"/>
  <c r="AQ640" i="307"/>
  <c r="AQ336" i="307"/>
  <c r="AQ338" i="307" s="1"/>
  <c r="AR335" i="307" s="1"/>
  <c r="AQ342" i="307"/>
  <c r="AQ635" i="307"/>
  <c r="AQ315" i="307"/>
  <c r="AQ317" i="307" s="1"/>
  <c r="AR314" i="307" s="1"/>
  <c r="AQ341" i="307"/>
  <c r="AQ343" i="307" s="1"/>
  <c r="AQ576" i="307"/>
  <c r="AQ544" i="307"/>
  <c r="AP258" i="307"/>
  <c r="AP260" i="307" s="1"/>
  <c r="AQ257" i="307" s="1"/>
  <c r="AP645" i="307"/>
  <c r="AP285" i="307"/>
  <c r="AP288" i="307" s="1"/>
  <c r="AP12" i="310"/>
  <c r="AP650" i="307"/>
  <c r="AP14" i="310"/>
  <c r="AP135" i="288"/>
  <c r="AP136" i="288" s="1"/>
  <c r="AQ577" i="307"/>
  <c r="AQ545" i="307"/>
  <c r="AP138" i="288" l="1"/>
  <c r="AP140" i="288" s="1"/>
  <c r="AP16" i="310"/>
  <c r="AP56" i="288"/>
  <c r="AP206" i="288"/>
  <c r="AQ264" i="307"/>
  <c r="AQ265" i="307" s="1"/>
  <c r="AQ269" i="307" s="1"/>
  <c r="AQ271" i="307" s="1"/>
  <c r="AQ244" i="307"/>
  <c r="AQ245" i="307" s="1"/>
  <c r="AQ254" i="307" s="1"/>
  <c r="AQ546" i="307"/>
  <c r="AQ578" i="307"/>
  <c r="AQ454" i="307"/>
  <c r="AQ455" i="307" s="1"/>
  <c r="AQ249" i="307"/>
  <c r="AQ630" i="307"/>
  <c r="AQ347" i="307"/>
  <c r="AQ349" i="307" s="1"/>
  <c r="AR346" i="307" s="1"/>
  <c r="AQ13" i="310"/>
  <c r="AQ134" i="288"/>
  <c r="AR305" i="307"/>
  <c r="AR306" i="307" s="1"/>
  <c r="AR309" i="307" s="1"/>
  <c r="AR378" i="307"/>
  <c r="AR380" i="307" s="1"/>
  <c r="AR384" i="307" s="1"/>
  <c r="AR385" i="307" s="1"/>
  <c r="AR414" i="307"/>
  <c r="AR416" i="307" s="1"/>
  <c r="AR326" i="307"/>
  <c r="AR327" i="307" s="1"/>
  <c r="AR330" i="307" s="1"/>
  <c r="AR390" i="307"/>
  <c r="AR392" i="307" s="1"/>
  <c r="AR396" i="307" s="1"/>
  <c r="AR397" i="307" s="1"/>
  <c r="AR427" i="307"/>
  <c r="AR429" i="307" s="1"/>
  <c r="AQ89" i="307"/>
  <c r="AQ90" i="307" s="1"/>
  <c r="AR88" i="307" s="1"/>
  <c r="AQ675" i="307"/>
  <c r="AQ625" i="307"/>
  <c r="AQ10" i="310"/>
  <c r="AQ284" i="307"/>
  <c r="AR193" i="307"/>
  <c r="AR190" i="307"/>
  <c r="AR191" i="307" s="1"/>
  <c r="AR156" i="307"/>
  <c r="AR153" i="307"/>
  <c r="AR154" i="307" s="1"/>
  <c r="BW23" i="265"/>
  <c r="BW60" i="265"/>
  <c r="BW64" i="265"/>
  <c r="BW25" i="265"/>
  <c r="BW62" i="265"/>
  <c r="BW611" i="321"/>
  <c r="CF267" i="278"/>
  <c r="CF556" i="321"/>
  <c r="CF559" i="321"/>
  <c r="CH171" i="278"/>
  <c r="CG178" i="278"/>
  <c r="CG180" i="278" s="1"/>
  <c r="CG109" i="265"/>
  <c r="CG253" i="278"/>
  <c r="CG255" i="278" s="1"/>
  <c r="CG258" i="278" s="1"/>
  <c r="BU664" i="321"/>
  <c r="BT114" i="315"/>
  <c r="CH196" i="278"/>
  <c r="CG203" i="278"/>
  <c r="CG205" i="278" s="1"/>
  <c r="CG105" i="315"/>
  <c r="CF291" i="278"/>
  <c r="CF627" i="321"/>
  <c r="CF630" i="321"/>
  <c r="CG281" i="278" l="1"/>
  <c r="CG284" i="278" s="1"/>
  <c r="CG244" i="278"/>
  <c r="CG248" i="278" s="1"/>
  <c r="CH191" i="278"/>
  <c r="CH194" i="278" s="1"/>
  <c r="CH202" i="278"/>
  <c r="BU634" i="321"/>
  <c r="BU638" i="321" s="1"/>
  <c r="BU643" i="321"/>
  <c r="BU645" i="321" s="1"/>
  <c r="BU651" i="321" s="1"/>
  <c r="BU653" i="321" s="1"/>
  <c r="BU657" i="321"/>
  <c r="BU660" i="321" s="1"/>
  <c r="BU616" i="321"/>
  <c r="BU618" i="321" s="1"/>
  <c r="BU626" i="321" s="1"/>
  <c r="BU628" i="321" s="1"/>
  <c r="CG237" i="278"/>
  <c r="CG241" i="278" s="1"/>
  <c r="CH166" i="278"/>
  <c r="CH169" i="278" s="1"/>
  <c r="CH177" i="278"/>
  <c r="BX608" i="321"/>
  <c r="BW118" i="265"/>
  <c r="AR157" i="307"/>
  <c r="AR594" i="307"/>
  <c r="AR21" i="307"/>
  <c r="AR198" i="307"/>
  <c r="AR33" i="310"/>
  <c r="AR158" i="307"/>
  <c r="AR194" i="307"/>
  <c r="AR593" i="307"/>
  <c r="AR200" i="307"/>
  <c r="AR20" i="307"/>
  <c r="AR32" i="310"/>
  <c r="AR195" i="307"/>
  <c r="AR72" i="307"/>
  <c r="AR75" i="307" s="1"/>
  <c r="AR78" i="307" s="1"/>
  <c r="AR79" i="307" s="1"/>
  <c r="AR433" i="307"/>
  <c r="AR401" i="307"/>
  <c r="AR432" i="307"/>
  <c r="AR434" i="307" s="1"/>
  <c r="AR400" i="307"/>
  <c r="AR402" i="307" s="1"/>
  <c r="AQ464" i="307"/>
  <c r="AQ465" i="307" s="1"/>
  <c r="AQ484" i="307"/>
  <c r="AQ485" i="307" s="1"/>
  <c r="AQ588" i="307"/>
  <c r="AQ40" i="310"/>
  <c r="AQ27" i="307"/>
  <c r="AQ587" i="307"/>
  <c r="AQ589" i="307" s="1"/>
  <c r="AQ39" i="310"/>
  <c r="AQ26" i="307"/>
  <c r="AQ595" i="307"/>
  <c r="AQ43" i="310"/>
  <c r="AQ30" i="307"/>
  <c r="AP58" i="310"/>
  <c r="AP63" i="310"/>
  <c r="AP47" i="310"/>
  <c r="AP145" i="288"/>
  <c r="AQ591" i="307" l="1"/>
  <c r="AQ596" i="307" s="1"/>
  <c r="AQ139" i="288"/>
  <c r="AQ487" i="307"/>
  <c r="AQ489" i="307" s="1"/>
  <c r="AQ467" i="307"/>
  <c r="AQ469" i="307" s="1"/>
  <c r="AR584" i="307"/>
  <c r="AR23" i="307"/>
  <c r="AR36" i="310"/>
  <c r="AR585" i="307"/>
  <c r="AR24" i="307"/>
  <c r="AR37" i="310"/>
  <c r="AR294" i="307"/>
  <c r="AR296" i="307" s="1"/>
  <c r="AR85" i="307"/>
  <c r="AR453" i="307"/>
  <c r="AR248" i="307"/>
  <c r="AR207" i="307"/>
  <c r="AR123" i="307"/>
  <c r="AR205" i="307"/>
  <c r="AR208" i="307" s="1"/>
  <c r="AR121" i="307"/>
  <c r="AR201" i="307"/>
  <c r="BX572" i="321"/>
  <c r="BX574" i="321" s="1"/>
  <c r="BX580" i="321" s="1"/>
  <c r="BX582" i="321" s="1"/>
  <c r="BX563" i="321"/>
  <c r="BX567" i="321" s="1"/>
  <c r="BX601" i="321"/>
  <c r="BX604" i="321" s="1"/>
  <c r="BX539" i="321"/>
  <c r="BX541" i="321" s="1"/>
  <c r="BX555" i="321" s="1"/>
  <c r="BX557" i="321" s="1"/>
  <c r="CH173" i="278"/>
  <c r="CH174" i="278" s="1"/>
  <c r="CH41" i="265"/>
  <c r="AV41" i="277" s="1"/>
  <c r="CG564" i="321"/>
  <c r="CG550" i="321"/>
  <c r="CG553" i="321" s="1"/>
  <c r="CG262" i="278"/>
  <c r="CG263" i="278" s="1"/>
  <c r="CG544" i="321"/>
  <c r="CG546" i="321" s="1"/>
  <c r="BU665" i="321"/>
  <c r="BU61" i="315"/>
  <c r="BU631" i="321"/>
  <c r="BU632" i="321" s="1"/>
  <c r="BU106" i="282"/>
  <c r="BU661" i="321"/>
  <c r="BU654" i="321"/>
  <c r="BU639" i="321"/>
  <c r="BU666" i="321"/>
  <c r="CH39" i="315"/>
  <c r="CH198" i="278"/>
  <c r="CH199" i="278" s="1"/>
  <c r="CG621" i="321"/>
  <c r="CG624" i="321" s="1"/>
  <c r="CG635" i="321"/>
  <c r="CG286" i="278"/>
  <c r="CG287" i="278" s="1"/>
  <c r="CG291" i="278" l="1"/>
  <c r="CG627" i="321"/>
  <c r="CG630" i="321"/>
  <c r="CI196" i="278"/>
  <c r="CH203" i="278"/>
  <c r="CH205" i="278" s="1"/>
  <c r="CH105" i="315"/>
  <c r="BU62" i="315"/>
  <c r="BU58" i="315"/>
  <c r="BU21" i="315"/>
  <c r="BU23" i="315"/>
  <c r="BU60" i="315"/>
  <c r="BU667" i="321"/>
  <c r="CG267" i="278"/>
  <c r="CG556" i="321"/>
  <c r="CG559" i="321"/>
  <c r="CH178" i="278"/>
  <c r="CH180" i="278" s="1"/>
  <c r="CI171" i="278"/>
  <c r="CH109" i="265"/>
  <c r="AV109" i="277" s="1"/>
  <c r="CH253" i="278"/>
  <c r="CH255" i="278" s="1"/>
  <c r="CH258" i="278" s="1"/>
  <c r="BX609" i="321"/>
  <c r="BX560" i="321"/>
  <c r="BX561" i="321" s="1"/>
  <c r="BX63" i="265"/>
  <c r="AQ63" i="277" s="1"/>
  <c r="BX605" i="321"/>
  <c r="BX38" i="282"/>
  <c r="BX610" i="321"/>
  <c r="BX568" i="321"/>
  <c r="BX104" i="282"/>
  <c r="BX583" i="321"/>
  <c r="BX36" i="282"/>
  <c r="AR224" i="307"/>
  <c r="AR202" i="307"/>
  <c r="AR215" i="307"/>
  <c r="AR217" i="307" s="1"/>
  <c r="AR600" i="307"/>
  <c r="AR670" i="307"/>
  <c r="AR226" i="307"/>
  <c r="AR321" i="307"/>
  <c r="AR322" i="307" s="1"/>
  <c r="AR300" i="307"/>
  <c r="AR301" i="307" s="1"/>
  <c r="AQ473" i="307"/>
  <c r="AQ475" i="307" s="1"/>
  <c r="AR472" i="307" s="1"/>
  <c r="AQ250" i="307"/>
  <c r="AQ251" i="307" s="1"/>
  <c r="AQ655" i="307"/>
  <c r="AQ498" i="307"/>
  <c r="AQ493" i="307"/>
  <c r="AQ495" i="307" s="1"/>
  <c r="AR492" i="307" s="1"/>
  <c r="AQ660" i="307"/>
  <c r="AQ499" i="307"/>
  <c r="AQ599" i="307"/>
  <c r="AQ601" i="307" s="1"/>
  <c r="AQ609" i="307"/>
  <c r="AQ615" i="307" l="1"/>
  <c r="AR534" i="307"/>
  <c r="AR536" i="307" s="1"/>
  <c r="AR540" i="307" s="1"/>
  <c r="AR541" i="307" s="1"/>
  <c r="AR571" i="307"/>
  <c r="AR573" i="307" s="1"/>
  <c r="AR480" i="307"/>
  <c r="AR481" i="307" s="1"/>
  <c r="AR488" i="307" s="1"/>
  <c r="AQ500" i="307"/>
  <c r="AQ253" i="307"/>
  <c r="AQ255" i="307" s="1"/>
  <c r="AR523" i="307"/>
  <c r="AR525" i="307" s="1"/>
  <c r="AR529" i="307" s="1"/>
  <c r="AR530" i="307" s="1"/>
  <c r="AR558" i="307"/>
  <c r="AR560" i="307" s="1"/>
  <c r="AR460" i="307"/>
  <c r="AR461" i="307" s="1"/>
  <c r="AR468" i="307" s="1"/>
  <c r="AR308" i="307"/>
  <c r="AR311" i="307" s="1"/>
  <c r="AR329" i="307"/>
  <c r="AR332" i="307" s="1"/>
  <c r="AR81" i="307"/>
  <c r="AR82" i="307" s="1"/>
  <c r="AR124" i="307"/>
  <c r="AR125" i="307" s="1"/>
  <c r="AS119" i="307" s="1"/>
  <c r="AR227" i="307"/>
  <c r="AR34" i="310"/>
  <c r="AR225" i="307"/>
  <c r="BX23" i="265"/>
  <c r="AQ23" i="277" s="1"/>
  <c r="BX60" i="265"/>
  <c r="AQ60" i="277" s="1"/>
  <c r="BX64" i="265"/>
  <c r="AQ64" i="277" s="1"/>
  <c r="BX25" i="265"/>
  <c r="AQ25" i="277" s="1"/>
  <c r="BX62" i="265"/>
  <c r="AQ62" i="277" s="1"/>
  <c r="BX611" i="321"/>
  <c r="CI166" i="278"/>
  <c r="CI169" i="278" s="1"/>
  <c r="CI177" i="278"/>
  <c r="CH237" i="278"/>
  <c r="CH241" i="278" s="1"/>
  <c r="BV664" i="321"/>
  <c r="BU114" i="315"/>
  <c r="CH281" i="278"/>
  <c r="CH284" i="278" s="1"/>
  <c r="CH244" i="278"/>
  <c r="CH248" i="278" s="1"/>
  <c r="CI191" i="278"/>
  <c r="CI194" i="278" s="1"/>
  <c r="CI202" i="278"/>
  <c r="CI39" i="315" l="1"/>
  <c r="CI198" i="278"/>
  <c r="CI199" i="278" s="1"/>
  <c r="CH621" i="321"/>
  <c r="CH624" i="321" s="1"/>
  <c r="CH635" i="321"/>
  <c r="CH286" i="278"/>
  <c r="CH287" i="278" s="1"/>
  <c r="BV634" i="321"/>
  <c r="BV638" i="321" s="1"/>
  <c r="BV643" i="321"/>
  <c r="BV645" i="321" s="1"/>
  <c r="BV651" i="321" s="1"/>
  <c r="BV653" i="321" s="1"/>
  <c r="BV657" i="321"/>
  <c r="BV660" i="321" s="1"/>
  <c r="BV616" i="321"/>
  <c r="BV618" i="321" s="1"/>
  <c r="BV626" i="321" s="1"/>
  <c r="BV628" i="321" s="1"/>
  <c r="CH550" i="321"/>
  <c r="CH553" i="321" s="1"/>
  <c r="CH564" i="321"/>
  <c r="CH262" i="278"/>
  <c r="CH263" i="278" s="1"/>
  <c r="CH544" i="321"/>
  <c r="CH546" i="321" s="1"/>
  <c r="CI41" i="265"/>
  <c r="CI173" i="278"/>
  <c r="CI174" i="278" s="1"/>
  <c r="BY608" i="321"/>
  <c r="BX118" i="265"/>
  <c r="AQ118" i="277" s="1"/>
  <c r="AS213" i="307"/>
  <c r="AS148" i="307"/>
  <c r="AS150" i="307" s="1"/>
  <c r="AS176" i="307"/>
  <c r="AS179" i="307" s="1"/>
  <c r="AS184" i="307" s="1"/>
  <c r="AS187" i="307" s="1"/>
  <c r="AS129" i="307"/>
  <c r="AS131" i="307" s="1"/>
  <c r="AS135" i="307" s="1"/>
  <c r="AR84" i="307"/>
  <c r="AR86" i="307" s="1"/>
  <c r="AR640" i="307"/>
  <c r="AR336" i="307"/>
  <c r="AR338" i="307" s="1"/>
  <c r="AS335" i="307" s="1"/>
  <c r="AR342" i="307"/>
  <c r="AR635" i="307"/>
  <c r="AR315" i="307"/>
  <c r="AR317" i="307" s="1"/>
  <c r="AS314" i="307" s="1"/>
  <c r="AR341" i="307"/>
  <c r="AR343" i="307" s="1"/>
  <c r="AR576" i="307"/>
  <c r="AR544" i="307"/>
  <c r="AQ258" i="307"/>
  <c r="AQ260" i="307" s="1"/>
  <c r="AR257" i="307" s="1"/>
  <c r="AQ645" i="307"/>
  <c r="AQ285" i="307"/>
  <c r="AQ288" i="307" s="1"/>
  <c r="AQ12" i="310"/>
  <c r="AQ650" i="307"/>
  <c r="AQ135" i="288"/>
  <c r="AQ136" i="288" s="1"/>
  <c r="AQ14" i="310"/>
  <c r="AR577" i="307"/>
  <c r="AR545" i="307"/>
  <c r="AQ138" i="288" l="1"/>
  <c r="AQ140" i="288" s="1"/>
  <c r="AQ16" i="310"/>
  <c r="AQ56" i="288"/>
  <c r="AQ206" i="288"/>
  <c r="AR264" i="307"/>
  <c r="AR265" i="307" s="1"/>
  <c r="AR269" i="307" s="1"/>
  <c r="AR271" i="307" s="1"/>
  <c r="AR244" i="307"/>
  <c r="AR245" i="307" s="1"/>
  <c r="AR254" i="307" s="1"/>
  <c r="AR546" i="307"/>
  <c r="AR578" i="307"/>
  <c r="AR454" i="307"/>
  <c r="AR455" i="307" s="1"/>
  <c r="AR249" i="307"/>
  <c r="AR630" i="307"/>
  <c r="AR134" i="288"/>
  <c r="AR347" i="307"/>
  <c r="AR349" i="307" s="1"/>
  <c r="AS346" i="307" s="1"/>
  <c r="AR13" i="310"/>
  <c r="AS305" i="307"/>
  <c r="AS306" i="307" s="1"/>
  <c r="AS309" i="307" s="1"/>
  <c r="AS378" i="307"/>
  <c r="AS380" i="307" s="1"/>
  <c r="AS384" i="307" s="1"/>
  <c r="AS385" i="307" s="1"/>
  <c r="AS414" i="307"/>
  <c r="AS416" i="307" s="1"/>
  <c r="AS326" i="307"/>
  <c r="AS327" i="307" s="1"/>
  <c r="AS330" i="307" s="1"/>
  <c r="AS390" i="307"/>
  <c r="AS392" i="307" s="1"/>
  <c r="AS396" i="307" s="1"/>
  <c r="AS397" i="307" s="1"/>
  <c r="AS427" i="307"/>
  <c r="AS429" i="307" s="1"/>
  <c r="AR89" i="307"/>
  <c r="AR90" i="307" s="1"/>
  <c r="AS88" i="307" s="1"/>
  <c r="AR675" i="307"/>
  <c r="AR625" i="307"/>
  <c r="AR10" i="310"/>
  <c r="AR284" i="307"/>
  <c r="AS193" i="307"/>
  <c r="AS190" i="307"/>
  <c r="AS191" i="307" s="1"/>
  <c r="AS156" i="307"/>
  <c r="AS153" i="307"/>
  <c r="AS154" i="307" s="1"/>
  <c r="BY572" i="321"/>
  <c r="BY574" i="321" s="1"/>
  <c r="BY580" i="321" s="1"/>
  <c r="BY582" i="321" s="1"/>
  <c r="BY601" i="321"/>
  <c r="BY604" i="321" s="1"/>
  <c r="BY563" i="321"/>
  <c r="BY567" i="321" s="1"/>
  <c r="BY539" i="321"/>
  <c r="BY541" i="321" s="1"/>
  <c r="BY555" i="321" s="1"/>
  <c r="BY557" i="321" s="1"/>
  <c r="CI178" i="278"/>
  <c r="CI180" i="278" s="1"/>
  <c r="CJ171" i="278"/>
  <c r="CI109" i="265"/>
  <c r="CI253" i="278"/>
  <c r="CI255" i="278" s="1"/>
  <c r="CI258" i="278" s="1"/>
  <c r="CH267" i="278"/>
  <c r="CH556" i="321"/>
  <c r="CH559" i="321"/>
  <c r="BV665" i="321"/>
  <c r="BV61" i="315"/>
  <c r="BV631" i="321"/>
  <c r="BV632" i="321" s="1"/>
  <c r="BV106" i="282"/>
  <c r="BV661" i="321"/>
  <c r="BV654" i="321"/>
  <c r="BV639" i="321"/>
  <c r="BV666" i="321"/>
  <c r="CH291" i="278"/>
  <c r="CH627" i="321"/>
  <c r="CH630" i="321"/>
  <c r="CJ196" i="278"/>
  <c r="CI203" i="278"/>
  <c r="CI205" i="278" s="1"/>
  <c r="CI105" i="315"/>
  <c r="CI281" i="278" l="1"/>
  <c r="CI284" i="278" s="1"/>
  <c r="CI244" i="278"/>
  <c r="CI248" i="278" s="1"/>
  <c r="CJ191" i="278"/>
  <c r="CJ194" i="278" s="1"/>
  <c r="CJ202" i="278"/>
  <c r="BV62" i="315"/>
  <c r="BV58" i="315"/>
  <c r="BV21" i="315"/>
  <c r="BV23" i="315"/>
  <c r="BV60" i="315"/>
  <c r="BV667" i="321"/>
  <c r="CJ166" i="278"/>
  <c r="CJ169" i="278" s="1"/>
  <c r="CJ177" i="278"/>
  <c r="CI237" i="278"/>
  <c r="CI241" i="278" s="1"/>
  <c r="BY609" i="321"/>
  <c r="BY63" i="265"/>
  <c r="BY560" i="321"/>
  <c r="BY561" i="321" s="1"/>
  <c r="BY610" i="321"/>
  <c r="BY568" i="321"/>
  <c r="BY605" i="321"/>
  <c r="BY38" i="282"/>
  <c r="BY104" i="282"/>
  <c r="BY36" i="282"/>
  <c r="BY583" i="321"/>
  <c r="AS157" i="307"/>
  <c r="AS594" i="307"/>
  <c r="AS21" i="307"/>
  <c r="AS33" i="310"/>
  <c r="AS198" i="307"/>
  <c r="AS158" i="307"/>
  <c r="AS194" i="307"/>
  <c r="AS593" i="307"/>
  <c r="AS200" i="307"/>
  <c r="AS32" i="310"/>
  <c r="AS20" i="307"/>
  <c r="AS195" i="307"/>
  <c r="AS72" i="307"/>
  <c r="AS75" i="307" s="1"/>
  <c r="AS78" i="307" s="1"/>
  <c r="AS79" i="307" s="1"/>
  <c r="AS433" i="307"/>
  <c r="AS401" i="307"/>
  <c r="AS432" i="307"/>
  <c r="AS434" i="307" s="1"/>
  <c r="AS400" i="307"/>
  <c r="AS402" i="307" s="1"/>
  <c r="AR464" i="307"/>
  <c r="AR465" i="307" s="1"/>
  <c r="AR484" i="307"/>
  <c r="AR485" i="307" s="1"/>
  <c r="AR588" i="307"/>
  <c r="AR27" i="307"/>
  <c r="AR40" i="310"/>
  <c r="AR587" i="307"/>
  <c r="AR589" i="307" s="1"/>
  <c r="AR26" i="307"/>
  <c r="AR39" i="310"/>
  <c r="AR595" i="307"/>
  <c r="AR43" i="310"/>
  <c r="AR30" i="307"/>
  <c r="AQ47" i="310"/>
  <c r="AQ63" i="310"/>
  <c r="AQ58" i="310"/>
  <c r="AQ145" i="288"/>
  <c r="AR591" i="307" l="1"/>
  <c r="AR596" i="307" s="1"/>
  <c r="AR139" i="288"/>
  <c r="AR487" i="307"/>
  <c r="AR489" i="307" s="1"/>
  <c r="AR467" i="307"/>
  <c r="AR469" i="307" s="1"/>
  <c r="AS584" i="307"/>
  <c r="AS36" i="310"/>
  <c r="AS23" i="307"/>
  <c r="AS585" i="307"/>
  <c r="AS24" i="307"/>
  <c r="AS37" i="310"/>
  <c r="AS294" i="307"/>
  <c r="AS296" i="307" s="1"/>
  <c r="AS85" i="307"/>
  <c r="AS453" i="307"/>
  <c r="AS248" i="307"/>
  <c r="AS207" i="307"/>
  <c r="AS123" i="307"/>
  <c r="AS205" i="307"/>
  <c r="AS208" i="307" s="1"/>
  <c r="AS121" i="307"/>
  <c r="AS201" i="307"/>
  <c r="BY23" i="265"/>
  <c r="BY60" i="265"/>
  <c r="BY25" i="265"/>
  <c r="BY62" i="265"/>
  <c r="BY64" i="265"/>
  <c r="BY611" i="321"/>
  <c r="CI544" i="321"/>
  <c r="CI546" i="321" s="1"/>
  <c r="CI550" i="321"/>
  <c r="CI553" i="321" s="1"/>
  <c r="CI262" i="278"/>
  <c r="CI263" i="278" s="1"/>
  <c r="CI564" i="321"/>
  <c r="CJ41" i="265"/>
  <c r="AW41" i="277" s="1"/>
  <c r="CJ173" i="278"/>
  <c r="CJ174" i="278" s="1"/>
  <c r="BW664" i="321"/>
  <c r="BV114" i="315"/>
  <c r="CJ198" i="278"/>
  <c r="CJ199" i="278" s="1"/>
  <c r="CJ39" i="315"/>
  <c r="CI621" i="321"/>
  <c r="CI624" i="321" s="1"/>
  <c r="CI635" i="321"/>
  <c r="CI286" i="278"/>
  <c r="CI287" i="278" s="1"/>
  <c r="CI291" i="278" l="1"/>
  <c r="CI627" i="321"/>
  <c r="CI630" i="321"/>
  <c r="CJ203" i="278"/>
  <c r="CJ205" i="278" s="1"/>
  <c r="CK196" i="278"/>
  <c r="CJ105" i="315"/>
  <c r="BW634" i="321"/>
  <c r="BW638" i="321" s="1"/>
  <c r="BW643" i="321"/>
  <c r="BW645" i="321" s="1"/>
  <c r="BW651" i="321" s="1"/>
  <c r="BW653" i="321" s="1"/>
  <c r="BW657" i="321"/>
  <c r="BW660" i="321" s="1"/>
  <c r="BW616" i="321"/>
  <c r="BW618" i="321" s="1"/>
  <c r="BW626" i="321" s="1"/>
  <c r="BW628" i="321" s="1"/>
  <c r="CJ178" i="278"/>
  <c r="CJ180" i="278" s="1"/>
  <c r="CK171" i="278"/>
  <c r="CJ109" i="265"/>
  <c r="AW109" i="277" s="1"/>
  <c r="CJ253" i="278"/>
  <c r="CJ255" i="278" s="1"/>
  <c r="CJ258" i="278" s="1"/>
  <c r="CI267" i="278"/>
  <c r="CI559" i="321"/>
  <c r="CI556" i="321"/>
  <c r="BY118" i="265"/>
  <c r="BZ608" i="321"/>
  <c r="AS202" i="307"/>
  <c r="AS224" i="307"/>
  <c r="O230" i="307" s="1"/>
  <c r="AS215" i="307"/>
  <c r="AS217" i="307" s="1"/>
  <c r="AS600" i="307"/>
  <c r="AS670" i="307"/>
  <c r="O671" i="307" s="1"/>
  <c r="AS226" i="307"/>
  <c r="O232" i="307" s="1"/>
  <c r="AS321" i="307"/>
  <c r="AS322" i="307" s="1"/>
  <c r="AS300" i="307"/>
  <c r="AS301" i="307" s="1"/>
  <c r="AR473" i="307"/>
  <c r="AR475" i="307" s="1"/>
  <c r="AS472" i="307" s="1"/>
  <c r="AR250" i="307"/>
  <c r="AR251" i="307" s="1"/>
  <c r="AR655" i="307"/>
  <c r="AR498" i="307"/>
  <c r="AR493" i="307"/>
  <c r="AR495" i="307" s="1"/>
  <c r="AS492" i="307" s="1"/>
  <c r="AR660" i="307"/>
  <c r="AR499" i="307"/>
  <c r="AR599" i="307"/>
  <c r="AR601" i="307" s="1"/>
  <c r="AR609" i="307"/>
  <c r="AR615" i="307" l="1"/>
  <c r="AS534" i="307"/>
  <c r="AS536" i="307" s="1"/>
  <c r="AS540" i="307" s="1"/>
  <c r="AS541" i="307" s="1"/>
  <c r="AS571" i="307"/>
  <c r="AS573" i="307" s="1"/>
  <c r="AS480" i="307"/>
  <c r="AS481" i="307" s="1"/>
  <c r="AS488" i="307" s="1"/>
  <c r="AR500" i="307"/>
  <c r="AR253" i="307"/>
  <c r="AR255" i="307" s="1"/>
  <c r="AS523" i="307"/>
  <c r="AS525" i="307" s="1"/>
  <c r="AS529" i="307" s="1"/>
  <c r="AS530" i="307" s="1"/>
  <c r="AS558" i="307"/>
  <c r="AS560" i="307" s="1"/>
  <c r="AS460" i="307"/>
  <c r="AS461" i="307" s="1"/>
  <c r="AS468" i="307" s="1"/>
  <c r="AS308" i="307"/>
  <c r="AS311" i="307" s="1"/>
  <c r="AS329" i="307"/>
  <c r="AS332" i="307" s="1"/>
  <c r="O686" i="321"/>
  <c r="AS81" i="307"/>
  <c r="AS82" i="307" s="1"/>
  <c r="AS124" i="307"/>
  <c r="AS125" i="307" s="1"/>
  <c r="AT119" i="307" s="1"/>
  <c r="AS227" i="307"/>
  <c r="O233" i="307" s="1"/>
  <c r="AS34" i="310"/>
  <c r="AS225" i="307"/>
  <c r="O231" i="307" s="1"/>
  <c r="BZ601" i="321"/>
  <c r="BZ604" i="321" s="1"/>
  <c r="BZ563" i="321"/>
  <c r="BZ567" i="321" s="1"/>
  <c r="BZ572" i="321"/>
  <c r="BZ574" i="321" s="1"/>
  <c r="BZ580" i="321" s="1"/>
  <c r="BZ582" i="321" s="1"/>
  <c r="BZ539" i="321"/>
  <c r="BZ541" i="321" s="1"/>
  <c r="BZ555" i="321" s="1"/>
  <c r="BZ557" i="321" s="1"/>
  <c r="CK177" i="278"/>
  <c r="CK166" i="278"/>
  <c r="CK169" i="278" s="1"/>
  <c r="CJ237" i="278"/>
  <c r="CJ241" i="278" s="1"/>
  <c r="BW665" i="321"/>
  <c r="BW61" i="315"/>
  <c r="BW631" i="321"/>
  <c r="BW632" i="321" s="1"/>
  <c r="BW106" i="282"/>
  <c r="BW661" i="321"/>
  <c r="BW654" i="321"/>
  <c r="BW639" i="321"/>
  <c r="BW666" i="321"/>
  <c r="CK191" i="278"/>
  <c r="CK194" i="278" s="1"/>
  <c r="CK202" i="278"/>
  <c r="CJ281" i="278"/>
  <c r="CJ284" i="278" s="1"/>
  <c r="CJ244" i="278"/>
  <c r="CJ248" i="278" s="1"/>
  <c r="CJ621" i="321" l="1"/>
  <c r="CJ624" i="321" s="1"/>
  <c r="CJ635" i="321"/>
  <c r="CJ286" i="278"/>
  <c r="CJ287" i="278" s="1"/>
  <c r="CK39" i="315"/>
  <c r="CK198" i="278"/>
  <c r="CK199" i="278" s="1"/>
  <c r="BW62" i="315"/>
  <c r="BW58" i="315"/>
  <c r="BW21" i="315"/>
  <c r="BW23" i="315"/>
  <c r="BW60" i="315"/>
  <c r="BW667" i="321"/>
  <c r="CJ564" i="321"/>
  <c r="CJ550" i="321"/>
  <c r="CJ553" i="321" s="1"/>
  <c r="CJ262" i="278"/>
  <c r="CJ263" i="278" s="1"/>
  <c r="CJ544" i="321"/>
  <c r="CJ546" i="321" s="1"/>
  <c r="CK41" i="265"/>
  <c r="CK173" i="278"/>
  <c r="CK174" i="278" s="1"/>
  <c r="BZ609" i="321"/>
  <c r="BZ560" i="321"/>
  <c r="BZ561" i="321" s="1"/>
  <c r="BZ63" i="265"/>
  <c r="AR63" i="277" s="1"/>
  <c r="BZ583" i="321"/>
  <c r="BZ104" i="282"/>
  <c r="BZ36" i="282"/>
  <c r="BZ610" i="321"/>
  <c r="BZ568" i="321"/>
  <c r="BZ605" i="321"/>
  <c r="BZ38" i="282"/>
  <c r="O678" i="321"/>
  <c r="O680" i="321" s="1"/>
  <c r="AT213" i="307"/>
  <c r="AT148" i="307"/>
  <c r="AT150" i="307" s="1"/>
  <c r="AT176" i="307"/>
  <c r="AT179" i="307" s="1"/>
  <c r="AT184" i="307" s="1"/>
  <c r="AT187" i="307" s="1"/>
  <c r="AT129" i="307"/>
  <c r="AT131" i="307" s="1"/>
  <c r="AT135" i="307" s="1"/>
  <c r="AS84" i="307"/>
  <c r="AS86" i="307" s="1"/>
  <c r="AS640" i="307"/>
  <c r="O641" i="307" s="1"/>
  <c r="AS336" i="307"/>
  <c r="AS338" i="307" s="1"/>
  <c r="AT335" i="307" s="1"/>
  <c r="AS342" i="307"/>
  <c r="AS635" i="307"/>
  <c r="O636" i="307" s="1"/>
  <c r="AS315" i="307"/>
  <c r="AS317" i="307" s="1"/>
  <c r="AT314" i="307" s="1"/>
  <c r="AS341" i="307"/>
  <c r="AS343" i="307" s="1"/>
  <c r="AS576" i="307"/>
  <c r="AS544" i="307"/>
  <c r="AR258" i="307"/>
  <c r="AR260" i="307" s="1"/>
  <c r="AS257" i="307" s="1"/>
  <c r="AR645" i="307"/>
  <c r="AR285" i="307"/>
  <c r="AR288" i="307" s="1"/>
  <c r="AR12" i="310"/>
  <c r="AR650" i="307"/>
  <c r="AR135" i="288"/>
  <c r="AR136" i="288" s="1"/>
  <c r="AR14" i="310"/>
  <c r="AS577" i="307"/>
  <c r="AS545" i="307"/>
  <c r="AR138" i="288" l="1"/>
  <c r="AR140" i="288" s="1"/>
  <c r="AR16" i="310"/>
  <c r="AR56" i="288"/>
  <c r="AR206" i="288"/>
  <c r="AS264" i="307"/>
  <c r="AS265" i="307" s="1"/>
  <c r="AS269" i="307" s="1"/>
  <c r="AS271" i="307" s="1"/>
  <c r="AS244" i="307"/>
  <c r="AS245" i="307" s="1"/>
  <c r="AS254" i="307" s="1"/>
  <c r="AS546" i="307"/>
  <c r="AS578" i="307"/>
  <c r="AS454" i="307"/>
  <c r="AS455" i="307" s="1"/>
  <c r="AS249" i="307"/>
  <c r="AS630" i="307"/>
  <c r="O631" i="307" s="1"/>
  <c r="AS13" i="310"/>
  <c r="AS347" i="307"/>
  <c r="AS349" i="307" s="1"/>
  <c r="AT346" i="307" s="1"/>
  <c r="AS134" i="288"/>
  <c r="AT305" i="307"/>
  <c r="AT306" i="307" s="1"/>
  <c r="AT309" i="307" s="1"/>
  <c r="AT378" i="307"/>
  <c r="AT380" i="307" s="1"/>
  <c r="AT384" i="307" s="1"/>
  <c r="AT385" i="307" s="1"/>
  <c r="AT414" i="307"/>
  <c r="AT416" i="307" s="1"/>
  <c r="O188" i="321"/>
  <c r="AT326" i="307"/>
  <c r="AT327" i="307" s="1"/>
  <c r="AT330" i="307" s="1"/>
  <c r="AT390" i="307"/>
  <c r="AT392" i="307" s="1"/>
  <c r="AT396" i="307" s="1"/>
  <c r="AT397" i="307" s="1"/>
  <c r="AT427" i="307"/>
  <c r="AT429" i="307" s="1"/>
  <c r="O300" i="321"/>
  <c r="AS89" i="307"/>
  <c r="AS90" i="307" s="1"/>
  <c r="AT88" i="307" s="1"/>
  <c r="AS675" i="307"/>
  <c r="O676" i="307" s="1"/>
  <c r="AS625" i="307"/>
  <c r="O626" i="307" s="1"/>
  <c r="AS284" i="307"/>
  <c r="AS10" i="310"/>
  <c r="AT193" i="307"/>
  <c r="AT190" i="307"/>
  <c r="AT191" i="307" s="1"/>
  <c r="AT156" i="307"/>
  <c r="AT153" i="307"/>
  <c r="AT154" i="307" s="1"/>
  <c r="O687" i="321"/>
  <c r="O688" i="321" s="1"/>
  <c r="O681" i="321"/>
  <c r="BZ25" i="265"/>
  <c r="AR25" i="277" s="1"/>
  <c r="BZ62" i="265"/>
  <c r="AR62" i="277" s="1"/>
  <c r="BZ64" i="265"/>
  <c r="AR64" i="277" s="1"/>
  <c r="BZ23" i="265"/>
  <c r="AR23" i="277" s="1"/>
  <c r="BZ60" i="265"/>
  <c r="AR60" i="277" s="1"/>
  <c r="BZ611" i="321"/>
  <c r="CK178" i="278"/>
  <c r="CK180" i="278" s="1"/>
  <c r="CL171" i="278"/>
  <c r="CK109" i="265"/>
  <c r="CK253" i="278"/>
  <c r="CK255" i="278" s="1"/>
  <c r="CK258" i="278" s="1"/>
  <c r="CJ267" i="278"/>
  <c r="CJ556" i="321"/>
  <c r="CJ559" i="321"/>
  <c r="BX664" i="321"/>
  <c r="BW114" i="315"/>
  <c r="CL196" i="278"/>
  <c r="CK203" i="278"/>
  <c r="CK205" i="278" s="1"/>
  <c r="CK105" i="315"/>
  <c r="CJ291" i="278"/>
  <c r="CJ627" i="321"/>
  <c r="CJ630" i="321"/>
  <c r="CK281" i="278" l="1"/>
  <c r="CK284" i="278" s="1"/>
  <c r="CK244" i="278"/>
  <c r="CK248" i="278" s="1"/>
  <c r="CL191" i="278"/>
  <c r="CL194" i="278" s="1"/>
  <c r="CL202" i="278"/>
  <c r="BX634" i="321"/>
  <c r="BX638" i="321" s="1"/>
  <c r="BX643" i="321"/>
  <c r="BX645" i="321" s="1"/>
  <c r="BX651" i="321" s="1"/>
  <c r="BX653" i="321" s="1"/>
  <c r="BX657" i="321"/>
  <c r="BX660" i="321" s="1"/>
  <c r="BX616" i="321"/>
  <c r="BX618" i="321" s="1"/>
  <c r="BX626" i="321" s="1"/>
  <c r="BX628" i="321" s="1"/>
  <c r="CL177" i="278"/>
  <c r="CL166" i="278"/>
  <c r="CL169" i="278" s="1"/>
  <c r="CK237" i="278"/>
  <c r="CK241" i="278" s="1"/>
  <c r="CA608" i="321"/>
  <c r="BZ118" i="265"/>
  <c r="AR118" i="277" s="1"/>
  <c r="O53" i="265"/>
  <c r="O51" i="315"/>
  <c r="P684" i="321"/>
  <c r="O119" i="315"/>
  <c r="O123" i="265"/>
  <c r="AT157" i="307"/>
  <c r="AT594" i="307"/>
  <c r="AT33" i="310"/>
  <c r="AT21" i="307"/>
  <c r="AT198" i="307"/>
  <c r="AT158" i="307"/>
  <c r="AT194" i="307"/>
  <c r="AT593" i="307"/>
  <c r="AT200" i="307"/>
  <c r="AT32" i="310"/>
  <c r="AT20" i="307"/>
  <c r="AT195" i="307"/>
  <c r="O445" i="321"/>
  <c r="O447" i="321" s="1"/>
  <c r="O484" i="321"/>
  <c r="O528" i="321"/>
  <c r="AT72" i="307"/>
  <c r="AT75" i="307" s="1"/>
  <c r="AT78" i="307" s="1"/>
  <c r="AT79" i="307" s="1"/>
  <c r="AT433" i="307"/>
  <c r="AT401" i="307"/>
  <c r="AT432" i="307"/>
  <c r="AT434" i="307" s="1"/>
  <c r="AT400" i="307"/>
  <c r="AT402" i="307" s="1"/>
  <c r="O57" i="265"/>
  <c r="O55" i="315"/>
  <c r="AS464" i="307"/>
  <c r="AS465" i="307" s="1"/>
  <c r="AS484" i="307"/>
  <c r="AS485" i="307" s="1"/>
  <c r="AS588" i="307"/>
  <c r="AS27" i="307"/>
  <c r="AS40" i="310"/>
  <c r="AS587" i="307"/>
  <c r="AS589" i="307" s="1"/>
  <c r="AS39" i="310"/>
  <c r="AS26" i="307"/>
  <c r="AS595" i="307"/>
  <c r="AS30" i="307"/>
  <c r="AS43" i="310"/>
  <c r="AR63" i="310"/>
  <c r="AR47" i="310"/>
  <c r="AR58" i="310"/>
  <c r="AR145" i="288"/>
  <c r="AS591" i="307" l="1"/>
  <c r="AS596" i="307" s="1"/>
  <c r="AS139" i="288"/>
  <c r="AS487" i="307"/>
  <c r="AS489" i="307" s="1"/>
  <c r="AS467" i="307"/>
  <c r="AS469" i="307" s="1"/>
  <c r="AT584" i="307"/>
  <c r="AT23" i="307"/>
  <c r="AT36" i="310"/>
  <c r="AT585" i="307"/>
  <c r="AT24" i="307"/>
  <c r="AT37" i="310"/>
  <c r="AT294" i="307"/>
  <c r="AT296" i="307" s="1"/>
  <c r="AT85" i="307"/>
  <c r="AT453" i="307"/>
  <c r="AT248" i="307"/>
  <c r="O56" i="265"/>
  <c r="O54" i="315"/>
  <c r="AT207" i="307"/>
  <c r="AT123" i="307"/>
  <c r="AT205" i="307"/>
  <c r="AT208" i="307" s="1"/>
  <c r="AT121" i="307"/>
  <c r="AT201" i="307"/>
  <c r="P693" i="321"/>
  <c r="P695" i="321" s="1"/>
  <c r="P699" i="321" s="1"/>
  <c r="P702" i="321" s="1"/>
  <c r="P706" i="321" s="1"/>
  <c r="P709" i="321" s="1"/>
  <c r="P711" i="321" s="1"/>
  <c r="P712" i="321"/>
  <c r="P673" i="321"/>
  <c r="P676" i="321" s="1"/>
  <c r="CA601" i="321"/>
  <c r="CA604" i="321" s="1"/>
  <c r="CA563" i="321"/>
  <c r="CA567" i="321" s="1"/>
  <c r="CA539" i="321"/>
  <c r="CA541" i="321" s="1"/>
  <c r="CA555" i="321" s="1"/>
  <c r="CA557" i="321" s="1"/>
  <c r="CA572" i="321"/>
  <c r="CA574" i="321" s="1"/>
  <c r="CA580" i="321" s="1"/>
  <c r="CA582" i="321" s="1"/>
  <c r="CK564" i="321"/>
  <c r="CK550" i="321"/>
  <c r="CK553" i="321" s="1"/>
  <c r="CK262" i="278"/>
  <c r="CK263" i="278" s="1"/>
  <c r="CK544" i="321"/>
  <c r="CK546" i="321" s="1"/>
  <c r="CL173" i="278"/>
  <c r="CL174" i="278" s="1"/>
  <c r="CL41" i="265"/>
  <c r="AX41" i="277" s="1"/>
  <c r="BX665" i="321"/>
  <c r="BX61" i="315"/>
  <c r="BX631" i="321"/>
  <c r="BX632" i="321" s="1"/>
  <c r="BX106" i="282"/>
  <c r="BX661" i="321"/>
  <c r="BX654" i="321"/>
  <c r="BX639" i="321"/>
  <c r="BX666" i="321"/>
  <c r="CL39" i="315"/>
  <c r="CL198" i="278"/>
  <c r="CL199" i="278" s="1"/>
  <c r="CK621" i="321"/>
  <c r="CK624" i="321" s="1"/>
  <c r="CK635" i="321"/>
  <c r="CK286" i="278"/>
  <c r="CK287" i="278" s="1"/>
  <c r="CK291" i="278" l="1"/>
  <c r="CK627" i="321"/>
  <c r="CK630" i="321"/>
  <c r="CM196" i="278"/>
  <c r="CL203" i="278"/>
  <c r="CL205" i="278" s="1"/>
  <c r="CL105" i="315"/>
  <c r="BX62" i="315"/>
  <c r="BX58" i="315"/>
  <c r="BX21" i="315"/>
  <c r="BX23" i="315"/>
  <c r="BX60" i="315"/>
  <c r="BX667" i="321"/>
  <c r="CL178" i="278"/>
  <c r="CL180" i="278" s="1"/>
  <c r="CM171" i="278"/>
  <c r="CL109" i="265"/>
  <c r="AX109" i="277" s="1"/>
  <c r="CL253" i="278"/>
  <c r="CL255" i="278" s="1"/>
  <c r="CL258" i="278" s="1"/>
  <c r="CK267" i="278"/>
  <c r="CK556" i="321"/>
  <c r="CK559" i="321"/>
  <c r="CA104" i="282"/>
  <c r="CA583" i="321"/>
  <c r="CA36" i="282"/>
  <c r="CA609" i="321"/>
  <c r="CA560" i="321"/>
  <c r="CA561" i="321" s="1"/>
  <c r="CA63" i="265"/>
  <c r="CA610" i="321"/>
  <c r="CA568" i="321"/>
  <c r="CA38" i="282"/>
  <c r="CA605" i="321"/>
  <c r="P679" i="321"/>
  <c r="P442" i="321"/>
  <c r="P443" i="321" s="1"/>
  <c r="P714" i="321"/>
  <c r="AT202" i="307"/>
  <c r="AT224" i="307"/>
  <c r="AT215" i="307"/>
  <c r="AT217" i="307" s="1"/>
  <c r="AT600" i="307"/>
  <c r="AT670" i="307"/>
  <c r="AT226" i="307"/>
  <c r="AT321" i="307"/>
  <c r="AT322" i="307" s="1"/>
  <c r="AT300" i="307"/>
  <c r="AT301" i="307" s="1"/>
  <c r="AS473" i="307"/>
  <c r="AS475" i="307" s="1"/>
  <c r="AT472" i="307" s="1"/>
  <c r="AS250" i="307"/>
  <c r="AS251" i="307" s="1"/>
  <c r="AS655" i="307"/>
  <c r="O656" i="307" s="1"/>
  <c r="AS498" i="307"/>
  <c r="AS493" i="307"/>
  <c r="AS495" i="307" s="1"/>
  <c r="AT492" i="307" s="1"/>
  <c r="AS660" i="307"/>
  <c r="O661" i="307" s="1"/>
  <c r="AS499" i="307"/>
  <c r="AS599" i="307"/>
  <c r="AS601" i="307" s="1"/>
  <c r="AS609" i="307"/>
  <c r="O610" i="307" s="1"/>
  <c r="O611" i="307" l="1"/>
  <c r="AS615" i="307"/>
  <c r="O616" i="307" s="1"/>
  <c r="O434" i="321"/>
  <c r="AT534" i="307"/>
  <c r="AT536" i="307" s="1"/>
  <c r="AT540" i="307" s="1"/>
  <c r="AT541" i="307" s="1"/>
  <c r="AT571" i="307"/>
  <c r="AT573" i="307" s="1"/>
  <c r="AT480" i="307"/>
  <c r="AT481" i="307" s="1"/>
  <c r="AT488" i="307" s="1"/>
  <c r="AS500" i="307"/>
  <c r="O402" i="321"/>
  <c r="AS253" i="307"/>
  <c r="AS255" i="307" s="1"/>
  <c r="AT523" i="307"/>
  <c r="AT525" i="307" s="1"/>
  <c r="AT529" i="307" s="1"/>
  <c r="AT530" i="307" s="1"/>
  <c r="AT558" i="307"/>
  <c r="AT560" i="307" s="1"/>
  <c r="AT460" i="307"/>
  <c r="AT461" i="307" s="1"/>
  <c r="AT468" i="307" s="1"/>
  <c r="AT308" i="307"/>
  <c r="AT311" i="307" s="1"/>
  <c r="AT329" i="307"/>
  <c r="AT332" i="307" s="1"/>
  <c r="AT81" i="307"/>
  <c r="AT82" i="307" s="1"/>
  <c r="AT124" i="307"/>
  <c r="AT125" i="307" s="1"/>
  <c r="AU119" i="307" s="1"/>
  <c r="AT227" i="307"/>
  <c r="AT34" i="310"/>
  <c r="AT225" i="307"/>
  <c r="P715" i="321"/>
  <c r="P34" i="282"/>
  <c r="P102" i="282"/>
  <c r="P446" i="321"/>
  <c r="P46" i="288"/>
  <c r="P529" i="321"/>
  <c r="P485" i="321"/>
  <c r="P196" i="288"/>
  <c r="CA25" i="265"/>
  <c r="CA62" i="265"/>
  <c r="CA64" i="265"/>
  <c r="CA611" i="321"/>
  <c r="CA23" i="265"/>
  <c r="CA60" i="265"/>
  <c r="CM177" i="278"/>
  <c r="CM166" i="278"/>
  <c r="CM169" i="278" s="1"/>
  <c r="CL237" i="278"/>
  <c r="CL241" i="278" s="1"/>
  <c r="BX114" i="315"/>
  <c r="BY664" i="321"/>
  <c r="CL281" i="278"/>
  <c r="CL284" i="278" s="1"/>
  <c r="CL244" i="278"/>
  <c r="CL248" i="278" s="1"/>
  <c r="CM191" i="278"/>
  <c r="CM194" i="278" s="1"/>
  <c r="CM202" i="278"/>
  <c r="CM39" i="315" l="1"/>
  <c r="CM198" i="278"/>
  <c r="CM199" i="278" s="1"/>
  <c r="CL621" i="321"/>
  <c r="CL624" i="321" s="1"/>
  <c r="CL635" i="321"/>
  <c r="CL286" i="278"/>
  <c r="CL287" i="278" s="1"/>
  <c r="BY657" i="321"/>
  <c r="BY660" i="321" s="1"/>
  <c r="BY643" i="321"/>
  <c r="BY645" i="321" s="1"/>
  <c r="BY651" i="321" s="1"/>
  <c r="BY653" i="321" s="1"/>
  <c r="BY634" i="321"/>
  <c r="BY638" i="321" s="1"/>
  <c r="BY616" i="321"/>
  <c r="BY618" i="321" s="1"/>
  <c r="BY626" i="321" s="1"/>
  <c r="BY628" i="321" s="1"/>
  <c r="CL262" i="278"/>
  <c r="CL263" i="278" s="1"/>
  <c r="CL564" i="321"/>
  <c r="CL550" i="321"/>
  <c r="CL553" i="321" s="1"/>
  <c r="CL544" i="321"/>
  <c r="CL546" i="321" s="1"/>
  <c r="CM41" i="265"/>
  <c r="CM173" i="278"/>
  <c r="CM174" i="278" s="1"/>
  <c r="CB608" i="321"/>
  <c r="CA118" i="265"/>
  <c r="P26" i="265"/>
  <c r="M26" i="277" s="1"/>
  <c r="P84" i="265"/>
  <c r="M84" i="277" s="1"/>
  <c r="P24" i="315"/>
  <c r="P80" i="315"/>
  <c r="AU213" i="307"/>
  <c r="AU148" i="307"/>
  <c r="AU150" i="307" s="1"/>
  <c r="AU176" i="307"/>
  <c r="AU179" i="307" s="1"/>
  <c r="AU184" i="307" s="1"/>
  <c r="AU187" i="307" s="1"/>
  <c r="AU129" i="307"/>
  <c r="AU131" i="307" s="1"/>
  <c r="AU135" i="307" s="1"/>
  <c r="AT84" i="307"/>
  <c r="AT86" i="307" s="1"/>
  <c r="AT640" i="307"/>
  <c r="AT336" i="307"/>
  <c r="AT338" i="307" s="1"/>
  <c r="AU335" i="307" s="1"/>
  <c r="AT342" i="307"/>
  <c r="AT635" i="307"/>
  <c r="AT315" i="307"/>
  <c r="AT317" i="307" s="1"/>
  <c r="AU314" i="307" s="1"/>
  <c r="AT341" i="307"/>
  <c r="AT343" i="307" s="1"/>
  <c r="AT576" i="307"/>
  <c r="AT544" i="307"/>
  <c r="AS258" i="307"/>
  <c r="AS260" i="307" s="1"/>
  <c r="AT257" i="307" s="1"/>
  <c r="AS645" i="307"/>
  <c r="O646" i="307" s="1"/>
  <c r="AS285" i="307"/>
  <c r="AS288" i="307" s="1"/>
  <c r="AS12" i="310"/>
  <c r="AS650" i="307"/>
  <c r="O651" i="307" s="1"/>
  <c r="AS14" i="310"/>
  <c r="AS135" i="288"/>
  <c r="AS136" i="288" s="1"/>
  <c r="AT577" i="307"/>
  <c r="AT545" i="307"/>
  <c r="O41" i="285"/>
  <c r="O50" i="265"/>
  <c r="O48" i="315"/>
  <c r="AS138" i="288" l="1"/>
  <c r="AS140" i="288" s="1"/>
  <c r="O58" i="265"/>
  <c r="O56" i="315"/>
  <c r="AS16" i="310"/>
  <c r="AS56" i="288"/>
  <c r="AS206" i="288"/>
  <c r="O59" i="265"/>
  <c r="O115" i="286"/>
  <c r="O57" i="315"/>
  <c r="O38" i="286"/>
  <c r="AT264" i="307"/>
  <c r="AT265" i="307" s="1"/>
  <c r="AT269" i="307" s="1"/>
  <c r="AT271" i="307" s="1"/>
  <c r="AT244" i="307"/>
  <c r="AT245" i="307" s="1"/>
  <c r="AT254" i="307" s="1"/>
  <c r="AT546" i="307"/>
  <c r="AT578" i="307"/>
  <c r="AT454" i="307"/>
  <c r="AT455" i="307" s="1"/>
  <c r="AT249" i="307"/>
  <c r="AT630" i="307"/>
  <c r="AT13" i="310"/>
  <c r="AT134" i="288"/>
  <c r="AT347" i="307"/>
  <c r="AT349" i="307" s="1"/>
  <c r="AU346" i="307" s="1"/>
  <c r="AU305" i="307"/>
  <c r="AU306" i="307" s="1"/>
  <c r="AU309" i="307" s="1"/>
  <c r="AU378" i="307"/>
  <c r="AU380" i="307" s="1"/>
  <c r="AU384" i="307" s="1"/>
  <c r="AU385" i="307" s="1"/>
  <c r="AU414" i="307"/>
  <c r="AU416" i="307" s="1"/>
  <c r="AU326" i="307"/>
  <c r="AU327" i="307" s="1"/>
  <c r="AU330" i="307" s="1"/>
  <c r="AU390" i="307"/>
  <c r="AU392" i="307" s="1"/>
  <c r="AU396" i="307" s="1"/>
  <c r="AU397" i="307" s="1"/>
  <c r="AU427" i="307"/>
  <c r="AU429" i="307" s="1"/>
  <c r="AT89" i="307"/>
  <c r="AT90" i="307" s="1"/>
  <c r="AU88" i="307" s="1"/>
  <c r="AT675" i="307"/>
  <c r="AT625" i="307"/>
  <c r="AT284" i="307"/>
  <c r="AT10" i="310"/>
  <c r="AU193" i="307"/>
  <c r="AU190" i="307"/>
  <c r="AU191" i="307" s="1"/>
  <c r="AU156" i="307"/>
  <c r="AU153" i="307"/>
  <c r="AU154" i="307" s="1"/>
  <c r="CB601" i="321"/>
  <c r="CB604" i="321" s="1"/>
  <c r="CB539" i="321"/>
  <c r="CB541" i="321" s="1"/>
  <c r="CB555" i="321" s="1"/>
  <c r="CB557" i="321" s="1"/>
  <c r="CB572" i="321"/>
  <c r="CB574" i="321" s="1"/>
  <c r="CB580" i="321" s="1"/>
  <c r="CB582" i="321" s="1"/>
  <c r="CB563" i="321"/>
  <c r="CB567" i="321" s="1"/>
  <c r="CM178" i="278"/>
  <c r="CM180" i="278" s="1"/>
  <c r="CN171" i="278"/>
  <c r="CM109" i="265"/>
  <c r="CM253" i="278"/>
  <c r="CM255" i="278" s="1"/>
  <c r="CM258" i="278" s="1"/>
  <c r="CL556" i="321"/>
  <c r="CL559" i="321"/>
  <c r="CL267" i="278"/>
  <c r="BY631" i="321"/>
  <c r="BY632" i="321" s="1"/>
  <c r="BY61" i="315"/>
  <c r="BY665" i="321"/>
  <c r="BY666" i="321"/>
  <c r="BY639" i="321"/>
  <c r="BY654" i="321"/>
  <c r="BY106" i="282"/>
  <c r="BY661" i="321"/>
  <c r="CL291" i="278"/>
  <c r="CL627" i="321"/>
  <c r="CL630" i="321"/>
  <c r="CN196" i="278"/>
  <c r="CM203" i="278"/>
  <c r="CM205" i="278" s="1"/>
  <c r="CM105" i="315"/>
  <c r="CM281" i="278" l="1"/>
  <c r="CM284" i="278" s="1"/>
  <c r="CM244" i="278"/>
  <c r="CM248" i="278" s="1"/>
  <c r="CN191" i="278"/>
  <c r="CN194" i="278" s="1"/>
  <c r="CN202" i="278"/>
  <c r="BY23" i="315"/>
  <c r="BY60" i="315"/>
  <c r="BY21" i="315"/>
  <c r="BY58" i="315"/>
  <c r="BY62" i="315"/>
  <c r="BY667" i="321"/>
  <c r="CN166" i="278"/>
  <c r="CN169" i="278" s="1"/>
  <c r="CN177" i="278"/>
  <c r="CM237" i="278"/>
  <c r="CM241" i="278" s="1"/>
  <c r="CB610" i="321"/>
  <c r="CB568" i="321"/>
  <c r="CB104" i="282"/>
  <c r="CB583" i="321"/>
  <c r="CB36" i="282"/>
  <c r="CB609" i="321"/>
  <c r="CB611" i="321" s="1"/>
  <c r="CB560" i="321"/>
  <c r="CB561" i="321" s="1"/>
  <c r="CB63" i="265"/>
  <c r="AS63" i="277" s="1"/>
  <c r="CB38" i="282"/>
  <c r="CB605" i="321"/>
  <c r="AU157" i="307"/>
  <c r="AU594" i="307"/>
  <c r="AU33" i="310"/>
  <c r="AU198" i="307"/>
  <c r="AU21" i="307"/>
  <c r="AU158" i="307"/>
  <c r="AU194" i="307"/>
  <c r="AU593" i="307"/>
  <c r="AU32" i="310"/>
  <c r="AU200" i="307"/>
  <c r="AU20" i="307"/>
  <c r="AU195" i="307"/>
  <c r="AU72" i="307"/>
  <c r="AU75" i="307" s="1"/>
  <c r="AU78" i="307" s="1"/>
  <c r="AU79" i="307" s="1"/>
  <c r="AU433" i="307"/>
  <c r="AU401" i="307"/>
  <c r="AU432" i="307"/>
  <c r="AU434" i="307" s="1"/>
  <c r="AU400" i="307"/>
  <c r="AU402" i="307" s="1"/>
  <c r="AT464" i="307"/>
  <c r="AT465" i="307" s="1"/>
  <c r="AT484" i="307"/>
  <c r="AT485" i="307" s="1"/>
  <c r="AT588" i="307"/>
  <c r="AT40" i="310"/>
  <c r="AT27" i="307"/>
  <c r="AT587" i="307"/>
  <c r="AT589" i="307" s="1"/>
  <c r="AT26" i="307"/>
  <c r="AT39" i="310"/>
  <c r="AT595" i="307"/>
  <c r="AT43" i="310"/>
  <c r="AT30" i="307"/>
  <c r="AS63" i="310"/>
  <c r="AS47" i="310"/>
  <c r="AS58" i="310"/>
  <c r="AS145" i="288"/>
  <c r="AT591" i="307" l="1"/>
  <c r="AT596" i="307" s="1"/>
  <c r="AT139" i="288"/>
  <c r="AT487" i="307"/>
  <c r="AT489" i="307" s="1"/>
  <c r="AT467" i="307"/>
  <c r="AT469" i="307" s="1"/>
  <c r="AU584" i="307"/>
  <c r="AU36" i="310"/>
  <c r="AU23" i="307"/>
  <c r="AU585" i="307"/>
  <c r="AU24" i="307"/>
  <c r="AU37" i="310"/>
  <c r="AU294" i="307"/>
  <c r="AU296" i="307" s="1"/>
  <c r="AU85" i="307"/>
  <c r="AU453" i="307"/>
  <c r="AU248" i="307"/>
  <c r="AU207" i="307"/>
  <c r="AU123" i="307"/>
  <c r="AU205" i="307"/>
  <c r="AU208" i="307" s="1"/>
  <c r="AU121" i="307"/>
  <c r="AU201" i="307"/>
  <c r="CB25" i="265"/>
  <c r="AS25" i="277" s="1"/>
  <c r="CB62" i="265"/>
  <c r="AS62" i="277" s="1"/>
  <c r="CC608" i="321"/>
  <c r="CB118" i="265"/>
  <c r="AS118" i="277" s="1"/>
  <c r="CB23" i="265"/>
  <c r="AS23" i="277" s="1"/>
  <c r="CB60" i="265"/>
  <c r="AS60" i="277" s="1"/>
  <c r="CB64" i="265"/>
  <c r="AS64" i="277" s="1"/>
  <c r="CM564" i="321"/>
  <c r="CM550" i="321"/>
  <c r="CM553" i="321" s="1"/>
  <c r="CM262" i="278"/>
  <c r="CM263" i="278" s="1"/>
  <c r="CM544" i="321"/>
  <c r="CM546" i="321" s="1"/>
  <c r="CN173" i="278"/>
  <c r="CN174" i="278" s="1"/>
  <c r="CN41" i="265"/>
  <c r="AY41" i="277" s="1"/>
  <c r="BZ664" i="321"/>
  <c r="BY114" i="315"/>
  <c r="CN198" i="278"/>
  <c r="CN199" i="278" s="1"/>
  <c r="CN39" i="315"/>
  <c r="CM621" i="321"/>
  <c r="CM624" i="321" s="1"/>
  <c r="CM635" i="321"/>
  <c r="CM286" i="278"/>
  <c r="CM287" i="278" s="1"/>
  <c r="CM291" i="278" l="1"/>
  <c r="CM627" i="321"/>
  <c r="CM630" i="321"/>
  <c r="CN203" i="278"/>
  <c r="CN205" i="278" s="1"/>
  <c r="CO196" i="278"/>
  <c r="CN105" i="315"/>
  <c r="BZ634" i="321"/>
  <c r="BZ638" i="321" s="1"/>
  <c r="BZ643" i="321"/>
  <c r="BZ645" i="321" s="1"/>
  <c r="BZ651" i="321" s="1"/>
  <c r="BZ653" i="321" s="1"/>
  <c r="BZ657" i="321"/>
  <c r="BZ660" i="321" s="1"/>
  <c r="BZ616" i="321"/>
  <c r="BZ618" i="321" s="1"/>
  <c r="BZ626" i="321" s="1"/>
  <c r="BZ628" i="321" s="1"/>
  <c r="CO171" i="278"/>
  <c r="CN178" i="278"/>
  <c r="CN180" i="278" s="1"/>
  <c r="CN109" i="265"/>
  <c r="AY109" i="277" s="1"/>
  <c r="CN253" i="278"/>
  <c r="CN255" i="278" s="1"/>
  <c r="CN258" i="278" s="1"/>
  <c r="CM267" i="278"/>
  <c r="CM556" i="321"/>
  <c r="CM559" i="321"/>
  <c r="CC539" i="321"/>
  <c r="CC541" i="321" s="1"/>
  <c r="CC555" i="321" s="1"/>
  <c r="CC557" i="321" s="1"/>
  <c r="CC572" i="321"/>
  <c r="CC574" i="321" s="1"/>
  <c r="CC580" i="321" s="1"/>
  <c r="CC582" i="321" s="1"/>
  <c r="CC601" i="321"/>
  <c r="CC604" i="321" s="1"/>
  <c r="CC563" i="321"/>
  <c r="CC567" i="321" s="1"/>
  <c r="AU224" i="307"/>
  <c r="AU202" i="307"/>
  <c r="AU215" i="307"/>
  <c r="AU217" i="307" s="1"/>
  <c r="AU600" i="307"/>
  <c r="AU670" i="307"/>
  <c r="AU226" i="307"/>
  <c r="AU321" i="307"/>
  <c r="AU322" i="307" s="1"/>
  <c r="AU300" i="307"/>
  <c r="AU301" i="307" s="1"/>
  <c r="AT473" i="307"/>
  <c r="AT475" i="307" s="1"/>
  <c r="AU472" i="307" s="1"/>
  <c r="AT250" i="307"/>
  <c r="AT251" i="307" s="1"/>
  <c r="AT655" i="307"/>
  <c r="AT498" i="307"/>
  <c r="AT493" i="307"/>
  <c r="AT495" i="307" s="1"/>
  <c r="AU492" i="307" s="1"/>
  <c r="AT660" i="307"/>
  <c r="AT499" i="307"/>
  <c r="AT599" i="307"/>
  <c r="AT601" i="307" s="1"/>
  <c r="AT609" i="307"/>
  <c r="AT615" i="307" l="1"/>
  <c r="AU534" i="307"/>
  <c r="AU536" i="307" s="1"/>
  <c r="AU540" i="307" s="1"/>
  <c r="AU541" i="307" s="1"/>
  <c r="AU571" i="307"/>
  <c r="AU573" i="307" s="1"/>
  <c r="AU480" i="307"/>
  <c r="AU481" i="307" s="1"/>
  <c r="AU488" i="307" s="1"/>
  <c r="AT500" i="307"/>
  <c r="AT253" i="307"/>
  <c r="AT255" i="307" s="1"/>
  <c r="AU523" i="307"/>
  <c r="AU525" i="307" s="1"/>
  <c r="AU529" i="307" s="1"/>
  <c r="AU530" i="307" s="1"/>
  <c r="AU558" i="307"/>
  <c r="AU560" i="307" s="1"/>
  <c r="AU460" i="307"/>
  <c r="AU461" i="307" s="1"/>
  <c r="AU468" i="307" s="1"/>
  <c r="AU308" i="307"/>
  <c r="AU311" i="307" s="1"/>
  <c r="AU329" i="307"/>
  <c r="AU332" i="307" s="1"/>
  <c r="AU81" i="307"/>
  <c r="AU82" i="307" s="1"/>
  <c r="AU124" i="307"/>
  <c r="AU125" i="307" s="1"/>
  <c r="AV119" i="307" s="1"/>
  <c r="AU227" i="307"/>
  <c r="AU34" i="310"/>
  <c r="AU225" i="307"/>
  <c r="CC610" i="321"/>
  <c r="CC568" i="321"/>
  <c r="CC605" i="321"/>
  <c r="CC38" i="282"/>
  <c r="CC104" i="282"/>
  <c r="CC583" i="321"/>
  <c r="CC36" i="282"/>
  <c r="CC609" i="321"/>
  <c r="CC611" i="321" s="1"/>
  <c r="CC63" i="265"/>
  <c r="CC560" i="321"/>
  <c r="CC561" i="321" s="1"/>
  <c r="CN237" i="278"/>
  <c r="CN241" i="278" s="1"/>
  <c r="CO166" i="278"/>
  <c r="CO169" i="278" s="1"/>
  <c r="CO177" i="278"/>
  <c r="BZ665" i="321"/>
  <c r="BZ61" i="315"/>
  <c r="BZ631" i="321"/>
  <c r="BZ632" i="321" s="1"/>
  <c r="BZ106" i="282"/>
  <c r="BZ661" i="321"/>
  <c r="BZ654" i="321"/>
  <c r="BZ639" i="321"/>
  <c r="BZ666" i="321"/>
  <c r="CO191" i="278"/>
  <c r="CO194" i="278" s="1"/>
  <c r="CO202" i="278"/>
  <c r="CN281" i="278"/>
  <c r="CN284" i="278" s="1"/>
  <c r="CN244" i="278"/>
  <c r="CN248" i="278" s="1"/>
  <c r="CN621" i="321" l="1"/>
  <c r="CN624" i="321" s="1"/>
  <c r="CN635" i="321"/>
  <c r="CN286" i="278"/>
  <c r="CN287" i="278" s="1"/>
  <c r="CO39" i="315"/>
  <c r="CO198" i="278"/>
  <c r="CO199" i="278" s="1"/>
  <c r="BZ62" i="315"/>
  <c r="BZ58" i="315"/>
  <c r="BZ21" i="315"/>
  <c r="BZ23" i="315"/>
  <c r="BZ60" i="315"/>
  <c r="BZ667" i="321"/>
  <c r="CO41" i="265"/>
  <c r="CO173" i="278"/>
  <c r="CO174" i="278" s="1"/>
  <c r="CN550" i="321"/>
  <c r="CN553" i="321" s="1"/>
  <c r="CN544" i="321"/>
  <c r="CN546" i="321" s="1"/>
  <c r="CN564" i="321"/>
  <c r="CN262" i="278"/>
  <c r="CN263" i="278" s="1"/>
  <c r="CD608" i="321"/>
  <c r="CC118" i="265"/>
  <c r="CC23" i="265"/>
  <c r="CC60" i="265"/>
  <c r="CC25" i="265"/>
  <c r="CC62" i="265"/>
  <c r="CC64" i="265"/>
  <c r="AV213" i="307"/>
  <c r="AV148" i="307"/>
  <c r="AV150" i="307" s="1"/>
  <c r="AV176" i="307"/>
  <c r="AV179" i="307" s="1"/>
  <c r="AV184" i="307" s="1"/>
  <c r="AV187" i="307" s="1"/>
  <c r="AV129" i="307"/>
  <c r="AV131" i="307" s="1"/>
  <c r="AV135" i="307" s="1"/>
  <c r="AU84" i="307"/>
  <c r="AU86" i="307" s="1"/>
  <c r="AU640" i="307"/>
  <c r="AU336" i="307"/>
  <c r="AU338" i="307" s="1"/>
  <c r="AV335" i="307" s="1"/>
  <c r="AU342" i="307"/>
  <c r="AU635" i="307"/>
  <c r="AU315" i="307"/>
  <c r="AU317" i="307" s="1"/>
  <c r="AV314" i="307" s="1"/>
  <c r="AU341" i="307"/>
  <c r="AU343" i="307" s="1"/>
  <c r="AU576" i="307"/>
  <c r="AU544" i="307"/>
  <c r="AT258" i="307"/>
  <c r="AT260" i="307" s="1"/>
  <c r="AU257" i="307" s="1"/>
  <c r="AT645" i="307"/>
  <c r="AT12" i="310"/>
  <c r="AT285" i="307"/>
  <c r="AT288" i="307" s="1"/>
  <c r="AT650" i="307"/>
  <c r="AT135" i="288"/>
  <c r="AT136" i="288" s="1"/>
  <c r="AT14" i="310"/>
  <c r="AU577" i="307"/>
  <c r="AU545" i="307"/>
  <c r="AT138" i="288" l="1"/>
  <c r="AT140" i="288" s="1"/>
  <c r="AT206" i="288"/>
  <c r="AT56" i="288"/>
  <c r="AT16" i="310"/>
  <c r="AU264" i="307"/>
  <c r="AU265" i="307" s="1"/>
  <c r="AU269" i="307" s="1"/>
  <c r="AU271" i="307" s="1"/>
  <c r="AU244" i="307"/>
  <c r="AU245" i="307" s="1"/>
  <c r="AU254" i="307" s="1"/>
  <c r="AU546" i="307"/>
  <c r="AU578" i="307"/>
  <c r="AU454" i="307"/>
  <c r="AU455" i="307" s="1"/>
  <c r="AU249" i="307"/>
  <c r="AU630" i="307"/>
  <c r="AU13" i="310"/>
  <c r="AU134" i="288"/>
  <c r="AU347" i="307"/>
  <c r="AU349" i="307" s="1"/>
  <c r="AV346" i="307" s="1"/>
  <c r="AV305" i="307"/>
  <c r="AV306" i="307" s="1"/>
  <c r="AV309" i="307" s="1"/>
  <c r="AV378" i="307"/>
  <c r="AV380" i="307" s="1"/>
  <c r="AV384" i="307" s="1"/>
  <c r="AV385" i="307" s="1"/>
  <c r="AV414" i="307"/>
  <c r="AV416" i="307" s="1"/>
  <c r="AV326" i="307"/>
  <c r="AV327" i="307" s="1"/>
  <c r="AV330" i="307" s="1"/>
  <c r="AV390" i="307"/>
  <c r="AV392" i="307" s="1"/>
  <c r="AV396" i="307" s="1"/>
  <c r="AV397" i="307" s="1"/>
  <c r="AV427" i="307"/>
  <c r="AV429" i="307" s="1"/>
  <c r="AU89" i="307"/>
  <c r="AU90" i="307" s="1"/>
  <c r="AV88" i="307" s="1"/>
  <c r="AU675" i="307"/>
  <c r="AU625" i="307"/>
  <c r="AU10" i="310"/>
  <c r="AU284" i="307"/>
  <c r="AV193" i="307"/>
  <c r="AV190" i="307"/>
  <c r="AV191" i="307" s="1"/>
  <c r="AV156" i="307"/>
  <c r="AV153" i="307"/>
  <c r="AV154" i="307" s="1"/>
  <c r="CD539" i="321"/>
  <c r="CD541" i="321" s="1"/>
  <c r="CD555" i="321" s="1"/>
  <c r="CD557" i="321" s="1"/>
  <c r="CD572" i="321"/>
  <c r="CD574" i="321" s="1"/>
  <c r="CD580" i="321" s="1"/>
  <c r="CD582" i="321" s="1"/>
  <c r="CD563" i="321"/>
  <c r="CD567" i="321" s="1"/>
  <c r="CD601" i="321"/>
  <c r="CD604" i="321" s="1"/>
  <c r="CN267" i="278"/>
  <c r="CN556" i="321"/>
  <c r="CN559" i="321"/>
  <c r="CP171" i="278"/>
  <c r="CO178" i="278"/>
  <c r="CO180" i="278" s="1"/>
  <c r="CO109" i="265"/>
  <c r="CO253" i="278"/>
  <c r="CO255" i="278" s="1"/>
  <c r="CO258" i="278" s="1"/>
  <c r="CA664" i="321"/>
  <c r="BZ114" i="315"/>
  <c r="CP196" i="278"/>
  <c r="CO203" i="278"/>
  <c r="CO205" i="278" s="1"/>
  <c r="CO105" i="315"/>
  <c r="CN291" i="278"/>
  <c r="CN627" i="321"/>
  <c r="CN630" i="321"/>
  <c r="CO281" i="278" l="1"/>
  <c r="CO284" i="278" s="1"/>
  <c r="CO244" i="278"/>
  <c r="CO248" i="278" s="1"/>
  <c r="CP191" i="278"/>
  <c r="CP194" i="278" s="1"/>
  <c r="CP202" i="278"/>
  <c r="CA634" i="321"/>
  <c r="CA638" i="321" s="1"/>
  <c r="CA643" i="321"/>
  <c r="CA645" i="321" s="1"/>
  <c r="CA651" i="321" s="1"/>
  <c r="CA653" i="321" s="1"/>
  <c r="CA657" i="321"/>
  <c r="CA660" i="321" s="1"/>
  <c r="CA616" i="321"/>
  <c r="CA618" i="321" s="1"/>
  <c r="CA626" i="321" s="1"/>
  <c r="CA628" i="321" s="1"/>
  <c r="CO237" i="278"/>
  <c r="CO241" i="278" s="1"/>
  <c r="CP166" i="278"/>
  <c r="CP169" i="278" s="1"/>
  <c r="CP177" i="278"/>
  <c r="CD605" i="321"/>
  <c r="CD38" i="282"/>
  <c r="CD610" i="321"/>
  <c r="CD568" i="321"/>
  <c r="CD104" i="282"/>
  <c r="CD583" i="321"/>
  <c r="CD36" i="282"/>
  <c r="CD609" i="321"/>
  <c r="CD611" i="321" s="1"/>
  <c r="CD560" i="321"/>
  <c r="CD561" i="321" s="1"/>
  <c r="CD63" i="265"/>
  <c r="AT63" i="277" s="1"/>
  <c r="AV157" i="307"/>
  <c r="AV594" i="307"/>
  <c r="AV33" i="310"/>
  <c r="AV198" i="307"/>
  <c r="AV21" i="307"/>
  <c r="AV158" i="307"/>
  <c r="AV194" i="307"/>
  <c r="AV593" i="307"/>
  <c r="AV200" i="307"/>
  <c r="AV32" i="310"/>
  <c r="AV20" i="307"/>
  <c r="AV195" i="307"/>
  <c r="AV72" i="307"/>
  <c r="AV75" i="307" s="1"/>
  <c r="AV78" i="307" s="1"/>
  <c r="AV79" i="307" s="1"/>
  <c r="AV433" i="307"/>
  <c r="AV401" i="307"/>
  <c r="AV432" i="307"/>
  <c r="AV434" i="307" s="1"/>
  <c r="AV400" i="307"/>
  <c r="AV402" i="307" s="1"/>
  <c r="AU464" i="307"/>
  <c r="AU465" i="307" s="1"/>
  <c r="AU484" i="307"/>
  <c r="AU485" i="307" s="1"/>
  <c r="AU588" i="307"/>
  <c r="AU27" i="307"/>
  <c r="AU40" i="310"/>
  <c r="AU587" i="307"/>
  <c r="AU589" i="307" s="1"/>
  <c r="AU26" i="307"/>
  <c r="AU39" i="310"/>
  <c r="AU595" i="307"/>
  <c r="AU30" i="307"/>
  <c r="AU43" i="310"/>
  <c r="AT58" i="310"/>
  <c r="AT63" i="310"/>
  <c r="AT47" i="310"/>
  <c r="AT145" i="288"/>
  <c r="AU591" i="307" l="1"/>
  <c r="AU596" i="307" s="1"/>
  <c r="AU139" i="288"/>
  <c r="AU487" i="307"/>
  <c r="AU489" i="307" s="1"/>
  <c r="AU467" i="307"/>
  <c r="AU469" i="307" s="1"/>
  <c r="AV584" i="307"/>
  <c r="AV36" i="310"/>
  <c r="AV23" i="307"/>
  <c r="AV585" i="307"/>
  <c r="AV24" i="307"/>
  <c r="AV37" i="310"/>
  <c r="AV294" i="307"/>
  <c r="AV296" i="307" s="1"/>
  <c r="AV85" i="307"/>
  <c r="AV453" i="307"/>
  <c r="AV248" i="307"/>
  <c r="AV207" i="307"/>
  <c r="AV123" i="307"/>
  <c r="AV205" i="307"/>
  <c r="AV208" i="307" s="1"/>
  <c r="AV121" i="307"/>
  <c r="AV201" i="307"/>
  <c r="CD118" i="265"/>
  <c r="AT118" i="277" s="1"/>
  <c r="CE608" i="321"/>
  <c r="CD23" i="265"/>
  <c r="AT23" i="277" s="1"/>
  <c r="CD60" i="265"/>
  <c r="AT60" i="277" s="1"/>
  <c r="CD64" i="265"/>
  <c r="AT64" i="277" s="1"/>
  <c r="CD25" i="265"/>
  <c r="AT25" i="277" s="1"/>
  <c r="CD62" i="265"/>
  <c r="AT62" i="277" s="1"/>
  <c r="CP173" i="278"/>
  <c r="CP174" i="278" s="1"/>
  <c r="CP41" i="265"/>
  <c r="AZ41" i="277" s="1"/>
  <c r="CO564" i="321"/>
  <c r="CO550" i="321"/>
  <c r="CO553" i="321" s="1"/>
  <c r="CO262" i="278"/>
  <c r="CO263" i="278" s="1"/>
  <c r="CO544" i="321"/>
  <c r="CO546" i="321" s="1"/>
  <c r="CA665" i="321"/>
  <c r="CA61" i="315"/>
  <c r="CA631" i="321"/>
  <c r="CA632" i="321" s="1"/>
  <c r="CA106" i="282"/>
  <c r="CA661" i="321"/>
  <c r="CA654" i="321"/>
  <c r="CA639" i="321"/>
  <c r="CA666" i="321"/>
  <c r="CP198" i="278"/>
  <c r="CP199" i="278" s="1"/>
  <c r="CP39" i="315"/>
  <c r="CO621" i="321"/>
  <c r="CO624" i="321" s="1"/>
  <c r="CO635" i="321"/>
  <c r="CO286" i="278"/>
  <c r="CO287" i="278" s="1"/>
  <c r="CO291" i="278" l="1"/>
  <c r="CO627" i="321"/>
  <c r="CO630" i="321"/>
  <c r="CQ196" i="278"/>
  <c r="CP203" i="278"/>
  <c r="CP205" i="278" s="1"/>
  <c r="CP105" i="315"/>
  <c r="CA62" i="315"/>
  <c r="CA58" i="315"/>
  <c r="CA21" i="315"/>
  <c r="CA23" i="315"/>
  <c r="CA60" i="315"/>
  <c r="CA667" i="321"/>
  <c r="CO267" i="278"/>
  <c r="CO556" i="321"/>
  <c r="CO559" i="321"/>
  <c r="CP178" i="278"/>
  <c r="CP180" i="278" s="1"/>
  <c r="CQ171" i="278"/>
  <c r="CP109" i="265"/>
  <c r="AZ109" i="277" s="1"/>
  <c r="CP253" i="278"/>
  <c r="CP255" i="278" s="1"/>
  <c r="CP258" i="278" s="1"/>
  <c r="CE563" i="321"/>
  <c r="CE567" i="321" s="1"/>
  <c r="CE601" i="321"/>
  <c r="CE604" i="321" s="1"/>
  <c r="CE572" i="321"/>
  <c r="CE574" i="321" s="1"/>
  <c r="CE580" i="321" s="1"/>
  <c r="CE582" i="321" s="1"/>
  <c r="CE539" i="321"/>
  <c r="CE541" i="321" s="1"/>
  <c r="CE555" i="321" s="1"/>
  <c r="CE557" i="321" s="1"/>
  <c r="AV202" i="307"/>
  <c r="AV224" i="307"/>
  <c r="AV215" i="307"/>
  <c r="AV217" i="307" s="1"/>
  <c r="AV600" i="307"/>
  <c r="AV670" i="307"/>
  <c r="AV226" i="307"/>
  <c r="AV321" i="307"/>
  <c r="AV322" i="307" s="1"/>
  <c r="AV300" i="307"/>
  <c r="AV301" i="307" s="1"/>
  <c r="AU473" i="307"/>
  <c r="AU475" i="307" s="1"/>
  <c r="AV472" i="307" s="1"/>
  <c r="AU250" i="307"/>
  <c r="AU251" i="307" s="1"/>
  <c r="AU655" i="307"/>
  <c r="AU498" i="307"/>
  <c r="AU493" i="307"/>
  <c r="AU495" i="307" s="1"/>
  <c r="AV492" i="307" s="1"/>
  <c r="AU660" i="307"/>
  <c r="AU499" i="307"/>
  <c r="AU599" i="307"/>
  <c r="AU601" i="307" s="1"/>
  <c r="AU609" i="307"/>
  <c r="AU615" i="307" l="1"/>
  <c r="AV534" i="307"/>
  <c r="AV536" i="307" s="1"/>
  <c r="AV540" i="307" s="1"/>
  <c r="AV541" i="307" s="1"/>
  <c r="AV571" i="307"/>
  <c r="AV573" i="307" s="1"/>
  <c r="AV480" i="307"/>
  <c r="AV481" i="307" s="1"/>
  <c r="AV488" i="307" s="1"/>
  <c r="AU500" i="307"/>
  <c r="AU253" i="307"/>
  <c r="AU255" i="307" s="1"/>
  <c r="AV523" i="307"/>
  <c r="AV525" i="307" s="1"/>
  <c r="AV529" i="307" s="1"/>
  <c r="AV530" i="307" s="1"/>
  <c r="AV558" i="307"/>
  <c r="AV560" i="307" s="1"/>
  <c r="AV460" i="307"/>
  <c r="AV461" i="307" s="1"/>
  <c r="AV468" i="307" s="1"/>
  <c r="AV308" i="307"/>
  <c r="AV311" i="307" s="1"/>
  <c r="AV329" i="307"/>
  <c r="AV332" i="307" s="1"/>
  <c r="AV81" i="307"/>
  <c r="AV82" i="307" s="1"/>
  <c r="AV124" i="307"/>
  <c r="AV125" i="307" s="1"/>
  <c r="AW119" i="307" s="1"/>
  <c r="AV227" i="307"/>
  <c r="AV34" i="310"/>
  <c r="AV225" i="307"/>
  <c r="CE609" i="321"/>
  <c r="CE63" i="265"/>
  <c r="CE560" i="321"/>
  <c r="CE561" i="321" s="1"/>
  <c r="CE583" i="321"/>
  <c r="CE104" i="282"/>
  <c r="CE36" i="282"/>
  <c r="CE605" i="321"/>
  <c r="CE38" i="282"/>
  <c r="CE610" i="321"/>
  <c r="CE568" i="321"/>
  <c r="CQ166" i="278"/>
  <c r="CQ169" i="278" s="1"/>
  <c r="CQ177" i="278"/>
  <c r="CP237" i="278"/>
  <c r="CP241" i="278" s="1"/>
  <c r="CB664" i="321"/>
  <c r="CA114" i="315"/>
  <c r="CP281" i="278"/>
  <c r="CP284" i="278" s="1"/>
  <c r="CP244" i="278"/>
  <c r="CP248" i="278" s="1"/>
  <c r="CQ202" i="278"/>
  <c r="CQ191" i="278"/>
  <c r="CQ194" i="278" s="1"/>
  <c r="CQ198" i="278" l="1"/>
  <c r="CQ199" i="278" s="1"/>
  <c r="CQ39" i="315"/>
  <c r="CP621" i="321"/>
  <c r="CP624" i="321" s="1"/>
  <c r="CP635" i="321"/>
  <c r="CP286" i="278"/>
  <c r="CP287" i="278" s="1"/>
  <c r="CB634" i="321"/>
  <c r="CB638" i="321" s="1"/>
  <c r="CB643" i="321"/>
  <c r="CB645" i="321" s="1"/>
  <c r="CB651" i="321" s="1"/>
  <c r="CB653" i="321" s="1"/>
  <c r="CB657" i="321"/>
  <c r="CB660" i="321" s="1"/>
  <c r="CB616" i="321"/>
  <c r="CB618" i="321" s="1"/>
  <c r="CB626" i="321" s="1"/>
  <c r="CB628" i="321" s="1"/>
  <c r="CP262" i="278"/>
  <c r="CP263" i="278" s="1"/>
  <c r="CP564" i="321"/>
  <c r="CP550" i="321"/>
  <c r="CP553" i="321" s="1"/>
  <c r="CP544" i="321"/>
  <c r="CP546" i="321" s="1"/>
  <c r="CQ41" i="265"/>
  <c r="CQ173" i="278"/>
  <c r="CQ174" i="278" s="1"/>
  <c r="CE64" i="265"/>
  <c r="CE25" i="265"/>
  <c r="CE62" i="265"/>
  <c r="CE23" i="265"/>
  <c r="CE60" i="265"/>
  <c r="CE611" i="321"/>
  <c r="AW213" i="307"/>
  <c r="AW148" i="307"/>
  <c r="AW150" i="307" s="1"/>
  <c r="AW176" i="307"/>
  <c r="AW179" i="307" s="1"/>
  <c r="AW184" i="307" s="1"/>
  <c r="AW187" i="307" s="1"/>
  <c r="AW129" i="307"/>
  <c r="AW131" i="307" s="1"/>
  <c r="AW135" i="307" s="1"/>
  <c r="AV84" i="307"/>
  <c r="AV86" i="307" s="1"/>
  <c r="AV640" i="307"/>
  <c r="AV336" i="307"/>
  <c r="AV338" i="307" s="1"/>
  <c r="AW335" i="307" s="1"/>
  <c r="AV342" i="307"/>
  <c r="AV635" i="307"/>
  <c r="AV315" i="307"/>
  <c r="AV317" i="307" s="1"/>
  <c r="AW314" i="307" s="1"/>
  <c r="AV341" i="307"/>
  <c r="AV343" i="307" s="1"/>
  <c r="AV576" i="307"/>
  <c r="AV544" i="307"/>
  <c r="AU258" i="307"/>
  <c r="AU260" i="307" s="1"/>
  <c r="AV257" i="307" s="1"/>
  <c r="AU645" i="307"/>
  <c r="AU12" i="310"/>
  <c r="AU285" i="307"/>
  <c r="AU288" i="307" s="1"/>
  <c r="AU650" i="307"/>
  <c r="AU14" i="310"/>
  <c r="AU135" i="288"/>
  <c r="AU136" i="288" s="1"/>
  <c r="AV577" i="307"/>
  <c r="AV545" i="307"/>
  <c r="AU138" i="288" l="1"/>
  <c r="AU140" i="288" s="1"/>
  <c r="AU56" i="288"/>
  <c r="AU206" i="288"/>
  <c r="AU16" i="310"/>
  <c r="AV264" i="307"/>
  <c r="AV265" i="307" s="1"/>
  <c r="AV269" i="307" s="1"/>
  <c r="AV271" i="307" s="1"/>
  <c r="AV244" i="307"/>
  <c r="AV245" i="307" s="1"/>
  <c r="AV254" i="307" s="1"/>
  <c r="AV546" i="307"/>
  <c r="AV578" i="307"/>
  <c r="AV454" i="307"/>
  <c r="AV455" i="307" s="1"/>
  <c r="AV249" i="307"/>
  <c r="AV630" i="307"/>
  <c r="AV134" i="288"/>
  <c r="AV13" i="310"/>
  <c r="AV347" i="307"/>
  <c r="AV349" i="307" s="1"/>
  <c r="AW346" i="307" s="1"/>
  <c r="AW305" i="307"/>
  <c r="AW306" i="307" s="1"/>
  <c r="AW309" i="307" s="1"/>
  <c r="AW378" i="307"/>
  <c r="AW380" i="307" s="1"/>
  <c r="AW384" i="307" s="1"/>
  <c r="AW385" i="307" s="1"/>
  <c r="AW414" i="307"/>
  <c r="AW416" i="307" s="1"/>
  <c r="AW326" i="307"/>
  <c r="AW327" i="307" s="1"/>
  <c r="AW330" i="307" s="1"/>
  <c r="AW390" i="307"/>
  <c r="AW392" i="307" s="1"/>
  <c r="AW396" i="307" s="1"/>
  <c r="AW397" i="307" s="1"/>
  <c r="AW427" i="307"/>
  <c r="AW429" i="307" s="1"/>
  <c r="AV89" i="307"/>
  <c r="AV90" i="307" s="1"/>
  <c r="AW88" i="307" s="1"/>
  <c r="AV675" i="307"/>
  <c r="AV625" i="307"/>
  <c r="AV10" i="310"/>
  <c r="AV284" i="307"/>
  <c r="AW193" i="307"/>
  <c r="AW190" i="307"/>
  <c r="AW191" i="307" s="1"/>
  <c r="AW156" i="307"/>
  <c r="AW153" i="307"/>
  <c r="AW154" i="307" s="1"/>
  <c r="CF608" i="321"/>
  <c r="CE118" i="265"/>
  <c r="CQ178" i="278"/>
  <c r="CQ180" i="278" s="1"/>
  <c r="CR171" i="278"/>
  <c r="CQ109" i="265"/>
  <c r="CQ253" i="278"/>
  <c r="CQ255" i="278" s="1"/>
  <c r="CQ258" i="278" s="1"/>
  <c r="CP556" i="321"/>
  <c r="CP559" i="321"/>
  <c r="CP267" i="278"/>
  <c r="CB665" i="321"/>
  <c r="CB61" i="315"/>
  <c r="CB631" i="321"/>
  <c r="CB632" i="321" s="1"/>
  <c r="CB106" i="282"/>
  <c r="CB661" i="321"/>
  <c r="CB654" i="321"/>
  <c r="CB639" i="321"/>
  <c r="CB666" i="321"/>
  <c r="CP291" i="278"/>
  <c r="CP627" i="321"/>
  <c r="CP630" i="321"/>
  <c r="CR196" i="278"/>
  <c r="CQ203" i="278"/>
  <c r="CQ205" i="278" s="1"/>
  <c r="CQ105" i="315"/>
  <c r="CQ281" i="278" l="1"/>
  <c r="CQ284" i="278" s="1"/>
  <c r="CQ244" i="278"/>
  <c r="CQ248" i="278" s="1"/>
  <c r="CR191" i="278"/>
  <c r="CR194" i="278" s="1"/>
  <c r="CR202" i="278"/>
  <c r="CB62" i="315"/>
  <c r="CB58" i="315"/>
  <c r="CB21" i="315"/>
  <c r="CB23" i="315"/>
  <c r="CB60" i="315"/>
  <c r="CB667" i="321"/>
  <c r="CR166" i="278"/>
  <c r="CR169" i="278" s="1"/>
  <c r="CR177" i="278"/>
  <c r="CQ237" i="278"/>
  <c r="CQ241" i="278" s="1"/>
  <c r="CF572" i="321"/>
  <c r="CF574" i="321" s="1"/>
  <c r="CF580" i="321" s="1"/>
  <c r="CF582" i="321" s="1"/>
  <c r="CF563" i="321"/>
  <c r="CF567" i="321" s="1"/>
  <c r="CF601" i="321"/>
  <c r="CF604" i="321" s="1"/>
  <c r="CF539" i="321"/>
  <c r="CF541" i="321" s="1"/>
  <c r="CF555" i="321" s="1"/>
  <c r="CF557" i="321" s="1"/>
  <c r="AW157" i="307"/>
  <c r="AW594" i="307"/>
  <c r="AW33" i="310"/>
  <c r="AW21" i="307"/>
  <c r="AW198" i="307"/>
  <c r="AW158" i="307"/>
  <c r="AW194" i="307"/>
  <c r="AW593" i="307"/>
  <c r="AW32" i="310"/>
  <c r="AW200" i="307"/>
  <c r="AW20" i="307"/>
  <c r="AW195" i="307"/>
  <c r="AW72" i="307"/>
  <c r="AW75" i="307" s="1"/>
  <c r="AW78" i="307" s="1"/>
  <c r="AW79" i="307" s="1"/>
  <c r="AW433" i="307"/>
  <c r="AW401" i="307"/>
  <c r="AW432" i="307"/>
  <c r="AW434" i="307" s="1"/>
  <c r="AW400" i="307"/>
  <c r="AW402" i="307" s="1"/>
  <c r="AV464" i="307"/>
  <c r="AV465" i="307" s="1"/>
  <c r="AV484" i="307"/>
  <c r="AV485" i="307" s="1"/>
  <c r="AV588" i="307"/>
  <c r="AV40" i="310"/>
  <c r="AV27" i="307"/>
  <c r="AV587" i="307"/>
  <c r="AV589" i="307" s="1"/>
  <c r="AV26" i="307"/>
  <c r="AV39" i="310"/>
  <c r="AV595" i="307"/>
  <c r="AV43" i="310"/>
  <c r="AV30" i="307"/>
  <c r="AU63" i="310"/>
  <c r="AU58" i="310"/>
  <c r="AU47" i="310"/>
  <c r="AU145" i="288"/>
  <c r="AV591" i="307" l="1"/>
  <c r="AV596" i="307" s="1"/>
  <c r="AV139" i="288"/>
  <c r="AV487" i="307"/>
  <c r="AV489" i="307" s="1"/>
  <c r="AV467" i="307"/>
  <c r="AV469" i="307" s="1"/>
  <c r="AW584" i="307"/>
  <c r="AW36" i="310"/>
  <c r="AW23" i="307"/>
  <c r="AW585" i="307"/>
  <c r="AW37" i="310"/>
  <c r="AW24" i="307"/>
  <c r="AW294" i="307"/>
  <c r="AW296" i="307" s="1"/>
  <c r="AW85" i="307"/>
  <c r="AW453" i="307"/>
  <c r="AW248" i="307"/>
  <c r="AW207" i="307"/>
  <c r="AW123" i="307"/>
  <c r="AW205" i="307"/>
  <c r="AW208" i="307" s="1"/>
  <c r="AW121" i="307"/>
  <c r="AW201" i="307"/>
  <c r="CF609" i="321"/>
  <c r="CF560" i="321"/>
  <c r="CF561" i="321" s="1"/>
  <c r="CF63" i="265"/>
  <c r="AU63" i="277" s="1"/>
  <c r="CF605" i="321"/>
  <c r="CF38" i="282"/>
  <c r="CF610" i="321"/>
  <c r="CF568" i="321"/>
  <c r="CF104" i="282"/>
  <c r="CF583" i="321"/>
  <c r="CF36" i="282"/>
  <c r="CQ262" i="278"/>
  <c r="CQ263" i="278" s="1"/>
  <c r="CQ564" i="321"/>
  <c r="CQ550" i="321"/>
  <c r="CQ553" i="321" s="1"/>
  <c r="CQ544" i="321"/>
  <c r="CQ546" i="321" s="1"/>
  <c r="CR41" i="265"/>
  <c r="BA41" i="277" s="1"/>
  <c r="CR173" i="278"/>
  <c r="CR174" i="278" s="1"/>
  <c r="CC664" i="321"/>
  <c r="CB114" i="315"/>
  <c r="CR39" i="315"/>
  <c r="CR198" i="278"/>
  <c r="CR199" i="278" s="1"/>
  <c r="CQ621" i="321"/>
  <c r="CQ624" i="321" s="1"/>
  <c r="CQ635" i="321"/>
  <c r="CQ286" i="278"/>
  <c r="CQ287" i="278" s="1"/>
  <c r="CQ291" i="278" l="1"/>
  <c r="CQ627" i="321"/>
  <c r="CQ630" i="321"/>
  <c r="CS196" i="278"/>
  <c r="CR203" i="278"/>
  <c r="CR205" i="278" s="1"/>
  <c r="CR105" i="315"/>
  <c r="CC634" i="321"/>
  <c r="CC638" i="321" s="1"/>
  <c r="CC643" i="321"/>
  <c r="CC645" i="321" s="1"/>
  <c r="CC651" i="321" s="1"/>
  <c r="CC653" i="321" s="1"/>
  <c r="CC657" i="321"/>
  <c r="CC660" i="321" s="1"/>
  <c r="CC616" i="321"/>
  <c r="CC618" i="321" s="1"/>
  <c r="CC626" i="321" s="1"/>
  <c r="CC628" i="321" s="1"/>
  <c r="CR178" i="278"/>
  <c r="CR180" i="278" s="1"/>
  <c r="CS171" i="278"/>
  <c r="CR109" i="265"/>
  <c r="BA109" i="277" s="1"/>
  <c r="CR253" i="278"/>
  <c r="CR255" i="278" s="1"/>
  <c r="CR258" i="278" s="1"/>
  <c r="CQ559" i="321"/>
  <c r="CQ556" i="321"/>
  <c r="CQ267" i="278"/>
  <c r="CF23" i="265"/>
  <c r="AU23" i="277" s="1"/>
  <c r="CF60" i="265"/>
  <c r="AU60" i="277" s="1"/>
  <c r="CF64" i="265"/>
  <c r="AU64" i="277" s="1"/>
  <c r="CF25" i="265"/>
  <c r="AU25" i="277" s="1"/>
  <c r="CF62" i="265"/>
  <c r="AU62" i="277" s="1"/>
  <c r="CF611" i="321"/>
  <c r="AW224" i="307"/>
  <c r="AW202" i="307"/>
  <c r="AW215" i="307"/>
  <c r="AW217" i="307" s="1"/>
  <c r="AW600" i="307"/>
  <c r="AW670" i="307"/>
  <c r="AW226" i="307"/>
  <c r="AW321" i="307"/>
  <c r="AW322" i="307" s="1"/>
  <c r="AW300" i="307"/>
  <c r="AW301" i="307" s="1"/>
  <c r="AV473" i="307"/>
  <c r="AV475" i="307" s="1"/>
  <c r="AW472" i="307" s="1"/>
  <c r="AV250" i="307"/>
  <c r="AV251" i="307" s="1"/>
  <c r="AV655" i="307"/>
  <c r="AV498" i="307"/>
  <c r="AV493" i="307"/>
  <c r="AV495" i="307" s="1"/>
  <c r="AW492" i="307" s="1"/>
  <c r="AV660" i="307"/>
  <c r="AV499" i="307"/>
  <c r="AV599" i="307"/>
  <c r="AV601" i="307" s="1"/>
  <c r="AV609" i="307"/>
  <c r="AV615" i="307" l="1"/>
  <c r="AW534" i="307"/>
  <c r="AW536" i="307" s="1"/>
  <c r="AW540" i="307" s="1"/>
  <c r="AW541" i="307" s="1"/>
  <c r="AW571" i="307"/>
  <c r="AW573" i="307" s="1"/>
  <c r="AW480" i="307"/>
  <c r="AW481" i="307" s="1"/>
  <c r="AW488" i="307" s="1"/>
  <c r="AV500" i="307"/>
  <c r="AV253" i="307"/>
  <c r="AV255" i="307" s="1"/>
  <c r="AW523" i="307"/>
  <c r="AW525" i="307" s="1"/>
  <c r="AW529" i="307" s="1"/>
  <c r="AW530" i="307" s="1"/>
  <c r="AW558" i="307"/>
  <c r="AW560" i="307" s="1"/>
  <c r="AW460" i="307"/>
  <c r="AW461" i="307" s="1"/>
  <c r="AW468" i="307" s="1"/>
  <c r="AW308" i="307"/>
  <c r="AW311" i="307" s="1"/>
  <c r="AW329" i="307"/>
  <c r="AW332" i="307" s="1"/>
  <c r="AW81" i="307"/>
  <c r="AW82" i="307" s="1"/>
  <c r="AW124" i="307"/>
  <c r="AW125" i="307" s="1"/>
  <c r="AX119" i="307" s="1"/>
  <c r="AW227" i="307"/>
  <c r="AW34" i="310"/>
  <c r="AW225" i="307"/>
  <c r="CG608" i="321"/>
  <c r="CF118" i="265"/>
  <c r="AU118" i="277" s="1"/>
  <c r="CS177" i="278"/>
  <c r="CS166" i="278"/>
  <c r="CS169" i="278" s="1"/>
  <c r="CR237" i="278"/>
  <c r="CR241" i="278" s="1"/>
  <c r="CC665" i="321"/>
  <c r="CC61" i="315"/>
  <c r="CC631" i="321"/>
  <c r="CC632" i="321" s="1"/>
  <c r="CC106" i="282"/>
  <c r="CC661" i="321"/>
  <c r="CC654" i="321"/>
  <c r="CC639" i="321"/>
  <c r="CC666" i="321"/>
  <c r="CR281" i="278"/>
  <c r="CR284" i="278" s="1"/>
  <c r="CR244" i="278"/>
  <c r="CR248" i="278" s="1"/>
  <c r="CS202" i="278"/>
  <c r="CS191" i="278"/>
  <c r="CS194" i="278" s="1"/>
  <c r="CS198" i="278" l="1"/>
  <c r="CS199" i="278" s="1"/>
  <c r="CS39" i="315"/>
  <c r="CR635" i="321"/>
  <c r="CR621" i="321"/>
  <c r="CR624" i="321" s="1"/>
  <c r="CR286" i="278"/>
  <c r="CR287" i="278" s="1"/>
  <c r="CC62" i="315"/>
  <c r="CC58" i="315"/>
  <c r="CC21" i="315"/>
  <c r="CC23" i="315"/>
  <c r="CC60" i="315"/>
  <c r="CC667" i="321"/>
  <c r="CR544" i="321"/>
  <c r="CR546" i="321" s="1"/>
  <c r="CR262" i="278"/>
  <c r="CR263" i="278" s="1"/>
  <c r="CR550" i="321"/>
  <c r="CR553" i="321" s="1"/>
  <c r="CR564" i="321"/>
  <c r="CS41" i="265"/>
  <c r="CS173" i="278"/>
  <c r="CS174" i="278" s="1"/>
  <c r="CG572" i="321"/>
  <c r="CG574" i="321" s="1"/>
  <c r="CG580" i="321" s="1"/>
  <c r="CG582" i="321" s="1"/>
  <c r="CG601" i="321"/>
  <c r="CG604" i="321" s="1"/>
  <c r="CG563" i="321"/>
  <c r="CG567" i="321" s="1"/>
  <c r="CG539" i="321"/>
  <c r="CG541" i="321" s="1"/>
  <c r="CG555" i="321" s="1"/>
  <c r="CG557" i="321" s="1"/>
  <c r="AX213" i="307"/>
  <c r="AX148" i="307"/>
  <c r="AX150" i="307" s="1"/>
  <c r="AX176" i="307"/>
  <c r="AX179" i="307" s="1"/>
  <c r="AX184" i="307" s="1"/>
  <c r="AX187" i="307" s="1"/>
  <c r="AX129" i="307"/>
  <c r="AX131" i="307" s="1"/>
  <c r="AX135" i="307" s="1"/>
  <c r="AW84" i="307"/>
  <c r="AW86" i="307" s="1"/>
  <c r="AW640" i="307"/>
  <c r="AW336" i="307"/>
  <c r="AW338" i="307" s="1"/>
  <c r="AX335" i="307" s="1"/>
  <c r="AW342" i="307"/>
  <c r="AW635" i="307"/>
  <c r="AW315" i="307"/>
  <c r="AW317" i="307" s="1"/>
  <c r="AX314" i="307" s="1"/>
  <c r="AW341" i="307"/>
  <c r="AW343" i="307" s="1"/>
  <c r="AW576" i="307"/>
  <c r="AW544" i="307"/>
  <c r="AV258" i="307"/>
  <c r="AV260" i="307" s="1"/>
  <c r="AW257" i="307" s="1"/>
  <c r="AV645" i="307"/>
  <c r="AV285" i="307"/>
  <c r="AV288" i="307" s="1"/>
  <c r="AV12" i="310"/>
  <c r="AV650" i="307"/>
  <c r="AV14" i="310"/>
  <c r="AV135" i="288"/>
  <c r="AV136" i="288" s="1"/>
  <c r="AW577" i="307"/>
  <c r="AW545" i="307"/>
  <c r="AV138" i="288" l="1"/>
  <c r="AV140" i="288" s="1"/>
  <c r="AV16" i="310"/>
  <c r="AV56" i="288"/>
  <c r="AV206" i="288"/>
  <c r="AW264" i="307"/>
  <c r="AW265" i="307" s="1"/>
  <c r="AW269" i="307" s="1"/>
  <c r="AW271" i="307" s="1"/>
  <c r="AW244" i="307"/>
  <c r="AW245" i="307" s="1"/>
  <c r="AW254" i="307" s="1"/>
  <c r="AW546" i="307"/>
  <c r="AW578" i="307"/>
  <c r="AW454" i="307"/>
  <c r="AW455" i="307" s="1"/>
  <c r="AW249" i="307"/>
  <c r="AW630" i="307"/>
  <c r="AW13" i="310"/>
  <c r="AW347" i="307"/>
  <c r="AW349" i="307" s="1"/>
  <c r="AX346" i="307" s="1"/>
  <c r="AW134" i="288"/>
  <c r="AX305" i="307"/>
  <c r="AX306" i="307" s="1"/>
  <c r="AX309" i="307" s="1"/>
  <c r="AX378" i="307"/>
  <c r="AX380" i="307" s="1"/>
  <c r="AX384" i="307" s="1"/>
  <c r="AX385" i="307" s="1"/>
  <c r="AX414" i="307"/>
  <c r="AX416" i="307" s="1"/>
  <c r="AX326" i="307"/>
  <c r="AX327" i="307" s="1"/>
  <c r="AX330" i="307" s="1"/>
  <c r="AX390" i="307"/>
  <c r="AX392" i="307" s="1"/>
  <c r="AX396" i="307" s="1"/>
  <c r="AX397" i="307" s="1"/>
  <c r="AX427" i="307"/>
  <c r="AX429" i="307" s="1"/>
  <c r="AW89" i="307"/>
  <c r="AW90" i="307" s="1"/>
  <c r="AX88" i="307" s="1"/>
  <c r="AW675" i="307"/>
  <c r="AW625" i="307"/>
  <c r="AW10" i="310"/>
  <c r="AW284" i="307"/>
  <c r="AX193" i="307"/>
  <c r="AX190" i="307"/>
  <c r="AX191" i="307" s="1"/>
  <c r="AX156" i="307"/>
  <c r="AX153" i="307"/>
  <c r="AX154" i="307" s="1"/>
  <c r="CG609" i="321"/>
  <c r="CG63" i="265"/>
  <c r="CG560" i="321"/>
  <c r="CG561" i="321" s="1"/>
  <c r="CG610" i="321"/>
  <c r="CG568" i="321"/>
  <c r="CG605" i="321"/>
  <c r="CG38" i="282"/>
  <c r="CG104" i="282"/>
  <c r="CG36" i="282"/>
  <c r="CG583" i="321"/>
  <c r="CS178" i="278"/>
  <c r="CS180" i="278" s="1"/>
  <c r="CT171" i="278"/>
  <c r="CS109" i="265"/>
  <c r="CS253" i="278"/>
  <c r="CS255" i="278" s="1"/>
  <c r="CS258" i="278" s="1"/>
  <c r="CR559" i="321"/>
  <c r="CR556" i="321"/>
  <c r="CR267" i="278"/>
  <c r="CD664" i="321"/>
  <c r="CC114" i="315"/>
  <c r="CR291" i="278"/>
  <c r="CR627" i="321"/>
  <c r="CR630" i="321"/>
  <c r="CT196" i="278"/>
  <c r="CS203" i="278"/>
  <c r="CS205" i="278" s="1"/>
  <c r="CS105" i="315"/>
  <c r="CS281" i="278" l="1"/>
  <c r="CS284" i="278" s="1"/>
  <c r="CS244" i="278"/>
  <c r="CS248" i="278" s="1"/>
  <c r="CT202" i="278"/>
  <c r="CT191" i="278"/>
  <c r="CT194" i="278" s="1"/>
  <c r="CD634" i="321"/>
  <c r="CD638" i="321" s="1"/>
  <c r="CD643" i="321"/>
  <c r="CD645" i="321" s="1"/>
  <c r="CD651" i="321" s="1"/>
  <c r="CD653" i="321" s="1"/>
  <c r="CD657" i="321"/>
  <c r="CD660" i="321" s="1"/>
  <c r="CD616" i="321"/>
  <c r="CD618" i="321" s="1"/>
  <c r="CD626" i="321" s="1"/>
  <c r="CD628" i="321" s="1"/>
  <c r="CT177" i="278"/>
  <c r="CT166" i="278"/>
  <c r="CT169" i="278" s="1"/>
  <c r="CS237" i="278"/>
  <c r="CS241" i="278" s="1"/>
  <c r="CG23" i="265"/>
  <c r="CG60" i="265"/>
  <c r="CG25" i="265"/>
  <c r="CG62" i="265"/>
  <c r="CG64" i="265"/>
  <c r="CG611" i="321"/>
  <c r="AX157" i="307"/>
  <c r="AX594" i="307"/>
  <c r="AX198" i="307"/>
  <c r="AX21" i="307"/>
  <c r="AX33" i="310"/>
  <c r="AX158" i="307"/>
  <c r="AX194" i="307"/>
  <c r="AX593" i="307"/>
  <c r="AX200" i="307"/>
  <c r="AX32" i="310"/>
  <c r="AX20" i="307"/>
  <c r="AX195" i="307"/>
  <c r="AX72" i="307"/>
  <c r="AX75" i="307" s="1"/>
  <c r="AX78" i="307" s="1"/>
  <c r="AX79" i="307" s="1"/>
  <c r="AX433" i="307"/>
  <c r="AX401" i="307"/>
  <c r="AX432" i="307"/>
  <c r="AX434" i="307" s="1"/>
  <c r="AX400" i="307"/>
  <c r="AX402" i="307" s="1"/>
  <c r="AW464" i="307"/>
  <c r="AW465" i="307" s="1"/>
  <c r="AW484" i="307"/>
  <c r="AW485" i="307" s="1"/>
  <c r="AW588" i="307"/>
  <c r="AW40" i="310"/>
  <c r="AW27" i="307"/>
  <c r="AW587" i="307"/>
  <c r="AW589" i="307" s="1"/>
  <c r="AW39" i="310"/>
  <c r="AW26" i="307"/>
  <c r="AW595" i="307"/>
  <c r="AW30" i="307"/>
  <c r="AW43" i="310"/>
  <c r="AV63" i="310"/>
  <c r="AV58" i="310"/>
  <c r="AV47" i="310"/>
  <c r="AV145" i="288"/>
  <c r="AW591" i="307" l="1"/>
  <c r="AW596" i="307" s="1"/>
  <c r="AW139" i="288"/>
  <c r="AW487" i="307"/>
  <c r="AW489" i="307" s="1"/>
  <c r="AW467" i="307"/>
  <c r="AW469" i="307" s="1"/>
  <c r="AX584" i="307"/>
  <c r="AX23" i="307"/>
  <c r="AX36" i="310"/>
  <c r="AX585" i="307"/>
  <c r="AX37" i="310"/>
  <c r="AX24" i="307"/>
  <c r="AX294" i="307"/>
  <c r="AX296" i="307" s="1"/>
  <c r="AX85" i="307"/>
  <c r="AX453" i="307"/>
  <c r="AX248" i="307"/>
  <c r="AX207" i="307"/>
  <c r="AX123" i="307"/>
  <c r="AX205" i="307"/>
  <c r="AX208" i="307" s="1"/>
  <c r="AX121" i="307"/>
  <c r="AX201" i="307"/>
  <c r="CH608" i="321"/>
  <c r="CG118" i="265"/>
  <c r="CS564" i="321"/>
  <c r="CS550" i="321"/>
  <c r="CS553" i="321" s="1"/>
  <c r="CS262" i="278"/>
  <c r="CS263" i="278" s="1"/>
  <c r="CS544" i="321"/>
  <c r="CS546" i="321" s="1"/>
  <c r="CT173" i="278"/>
  <c r="CT174" i="278" s="1"/>
  <c r="CT41" i="265"/>
  <c r="BB41" i="277" s="1"/>
  <c r="H41" i="277" s="1"/>
  <c r="CD665" i="321"/>
  <c r="CD61" i="315"/>
  <c r="CD631" i="321"/>
  <c r="CD632" i="321" s="1"/>
  <c r="CD106" i="282"/>
  <c r="CD661" i="321"/>
  <c r="CD654" i="321"/>
  <c r="CD639" i="321"/>
  <c r="CD666" i="321"/>
  <c r="CT198" i="278"/>
  <c r="CT199" i="278" s="1"/>
  <c r="CT39" i="315"/>
  <c r="CS635" i="321"/>
  <c r="CS621" i="321"/>
  <c r="CS624" i="321" s="1"/>
  <c r="CS286" i="278"/>
  <c r="CS287" i="278" s="1"/>
  <c r="CS291" i="278" l="1"/>
  <c r="CS627" i="321"/>
  <c r="CS630" i="321"/>
  <c r="CU196" i="278"/>
  <c r="CT203" i="278"/>
  <c r="CT205" i="278" s="1"/>
  <c r="CT105" i="315"/>
  <c r="CD62" i="315"/>
  <c r="CD58" i="315"/>
  <c r="CD21" i="315"/>
  <c r="CD23" i="315"/>
  <c r="CD60" i="315"/>
  <c r="CD667" i="321"/>
  <c r="CT178" i="278"/>
  <c r="CT180" i="278" s="1"/>
  <c r="CU171" i="278"/>
  <c r="CT109" i="265"/>
  <c r="BB109" i="277" s="1"/>
  <c r="CT253" i="278"/>
  <c r="CT255" i="278" s="1"/>
  <c r="CT258" i="278" s="1"/>
  <c r="CS267" i="278"/>
  <c r="CS556" i="321"/>
  <c r="CS559" i="321"/>
  <c r="CH572" i="321"/>
  <c r="CH574" i="321" s="1"/>
  <c r="CH580" i="321" s="1"/>
  <c r="CH582" i="321" s="1"/>
  <c r="CH563" i="321"/>
  <c r="CH567" i="321" s="1"/>
  <c r="CH601" i="321"/>
  <c r="CH604" i="321" s="1"/>
  <c r="CH539" i="321"/>
  <c r="CH541" i="321" s="1"/>
  <c r="CH555" i="321" s="1"/>
  <c r="CH557" i="321" s="1"/>
  <c r="AX224" i="307"/>
  <c r="AX202" i="307"/>
  <c r="AX215" i="307"/>
  <c r="AX217" i="307" s="1"/>
  <c r="AX600" i="307"/>
  <c r="AX670" i="307"/>
  <c r="AX226" i="307"/>
  <c r="AX321" i="307"/>
  <c r="AX322" i="307" s="1"/>
  <c r="AX300" i="307"/>
  <c r="AX301" i="307" s="1"/>
  <c r="AW473" i="307"/>
  <c r="AW475" i="307" s="1"/>
  <c r="AX472" i="307" s="1"/>
  <c r="AW250" i="307"/>
  <c r="AW251" i="307" s="1"/>
  <c r="AW655" i="307"/>
  <c r="AW498" i="307"/>
  <c r="AW493" i="307"/>
  <c r="AW495" i="307" s="1"/>
  <c r="AX492" i="307" s="1"/>
  <c r="AW660" i="307"/>
  <c r="AW499" i="307"/>
  <c r="AW599" i="307"/>
  <c r="AW601" i="307" s="1"/>
  <c r="AW609" i="307"/>
  <c r="AW615" i="307" l="1"/>
  <c r="AX534" i="307"/>
  <c r="AX536" i="307" s="1"/>
  <c r="AX540" i="307" s="1"/>
  <c r="AX541" i="307" s="1"/>
  <c r="AX571" i="307"/>
  <c r="AX573" i="307" s="1"/>
  <c r="AX480" i="307"/>
  <c r="AX481" i="307" s="1"/>
  <c r="AX488" i="307" s="1"/>
  <c r="AW500" i="307"/>
  <c r="AW253" i="307"/>
  <c r="AW255" i="307" s="1"/>
  <c r="AX523" i="307"/>
  <c r="AX525" i="307" s="1"/>
  <c r="AX529" i="307" s="1"/>
  <c r="AX530" i="307" s="1"/>
  <c r="AX558" i="307"/>
  <c r="AX560" i="307" s="1"/>
  <c r="AX460" i="307"/>
  <c r="AX461" i="307" s="1"/>
  <c r="AX468" i="307" s="1"/>
  <c r="AX308" i="307"/>
  <c r="AX311" i="307" s="1"/>
  <c r="AX329" i="307"/>
  <c r="AX332" i="307" s="1"/>
  <c r="AX81" i="307"/>
  <c r="AX82" i="307" s="1"/>
  <c r="AX124" i="307"/>
  <c r="AX125" i="307" s="1"/>
  <c r="AY119" i="307" s="1"/>
  <c r="AX227" i="307"/>
  <c r="AX34" i="310"/>
  <c r="AX225" i="307"/>
  <c r="CH609" i="321"/>
  <c r="CH560" i="321"/>
  <c r="CH561" i="321" s="1"/>
  <c r="CH63" i="265"/>
  <c r="AV63" i="277" s="1"/>
  <c r="CH605" i="321"/>
  <c r="CH38" i="282"/>
  <c r="CH610" i="321"/>
  <c r="CH568" i="321"/>
  <c r="CH104" i="282"/>
  <c r="CH36" i="282"/>
  <c r="CH583" i="321"/>
  <c r="CU177" i="278"/>
  <c r="CU166" i="278"/>
  <c r="CU169" i="278" s="1"/>
  <c r="CT237" i="278"/>
  <c r="CT241" i="278" s="1"/>
  <c r="CE664" i="321"/>
  <c r="CD114" i="315"/>
  <c r="CT281" i="278"/>
  <c r="CT284" i="278" s="1"/>
  <c r="CT244" i="278"/>
  <c r="CT248" i="278" s="1"/>
  <c r="CU191" i="278"/>
  <c r="CU194" i="278" s="1"/>
  <c r="CU202" i="278"/>
  <c r="CU198" i="278" l="1"/>
  <c r="CU199" i="278" s="1"/>
  <c r="CU39" i="315"/>
  <c r="CT635" i="321"/>
  <c r="CT621" i="321"/>
  <c r="CT624" i="321" s="1"/>
  <c r="CT286" i="278"/>
  <c r="CT287" i="278" s="1"/>
  <c r="CE634" i="321"/>
  <c r="CE638" i="321" s="1"/>
  <c r="CE643" i="321"/>
  <c r="CE645" i="321" s="1"/>
  <c r="CE651" i="321" s="1"/>
  <c r="CE653" i="321" s="1"/>
  <c r="CE657" i="321"/>
  <c r="CE660" i="321" s="1"/>
  <c r="CE616" i="321"/>
  <c r="CE618" i="321" s="1"/>
  <c r="CE626" i="321" s="1"/>
  <c r="CE628" i="321" s="1"/>
  <c r="CT262" i="278"/>
  <c r="CT263" i="278" s="1"/>
  <c r="CT564" i="321"/>
  <c r="CT550" i="321"/>
  <c r="CT553" i="321" s="1"/>
  <c r="CT544" i="321"/>
  <c r="CT546" i="321" s="1"/>
  <c r="CU41" i="265"/>
  <c r="CU173" i="278"/>
  <c r="CU174" i="278" s="1"/>
  <c r="CH23" i="265"/>
  <c r="AV23" i="277" s="1"/>
  <c r="CH60" i="265"/>
  <c r="AV60" i="277" s="1"/>
  <c r="CH64" i="265"/>
  <c r="AV64" i="277" s="1"/>
  <c r="CH25" i="265"/>
  <c r="AV25" i="277" s="1"/>
  <c r="CH62" i="265"/>
  <c r="AV62" i="277" s="1"/>
  <c r="CH611" i="321"/>
  <c r="AY213" i="307"/>
  <c r="AY148" i="307"/>
  <c r="AY150" i="307" s="1"/>
  <c r="AY176" i="307"/>
  <c r="AY179" i="307" s="1"/>
  <c r="AY184" i="307" s="1"/>
  <c r="AY187" i="307" s="1"/>
  <c r="AY129" i="307"/>
  <c r="AY131" i="307" s="1"/>
  <c r="AY135" i="307" s="1"/>
  <c r="AX84" i="307"/>
  <c r="AX86" i="307" s="1"/>
  <c r="AX640" i="307"/>
  <c r="AX336" i="307"/>
  <c r="AX338" i="307" s="1"/>
  <c r="AY335" i="307" s="1"/>
  <c r="AX342" i="307"/>
  <c r="AX635" i="307"/>
  <c r="AX315" i="307"/>
  <c r="AX317" i="307" s="1"/>
  <c r="AY314" i="307" s="1"/>
  <c r="AX341" i="307"/>
  <c r="AX343" i="307" s="1"/>
  <c r="AX576" i="307"/>
  <c r="AX544" i="307"/>
  <c r="AW258" i="307"/>
  <c r="AW260" i="307" s="1"/>
  <c r="AX257" i="307" s="1"/>
  <c r="AW645" i="307"/>
  <c r="AW12" i="310"/>
  <c r="AW285" i="307"/>
  <c r="AW288" i="307" s="1"/>
  <c r="AW650" i="307"/>
  <c r="AW14" i="310"/>
  <c r="AW135" i="288"/>
  <c r="AW136" i="288" s="1"/>
  <c r="AX577" i="307"/>
  <c r="AX545" i="307"/>
  <c r="AW138" i="288" l="1"/>
  <c r="AW140" i="288" s="1"/>
  <c r="AW206" i="288"/>
  <c r="AW56" i="288"/>
  <c r="AW16" i="310"/>
  <c r="AX264" i="307"/>
  <c r="AX265" i="307" s="1"/>
  <c r="AX269" i="307" s="1"/>
  <c r="AX271" i="307" s="1"/>
  <c r="AX244" i="307"/>
  <c r="AX245" i="307" s="1"/>
  <c r="AX254" i="307" s="1"/>
  <c r="AX546" i="307"/>
  <c r="AX578" i="307"/>
  <c r="AX454" i="307"/>
  <c r="AX455" i="307" s="1"/>
  <c r="AX249" i="307"/>
  <c r="AX630" i="307"/>
  <c r="AX134" i="288"/>
  <c r="AX13" i="310"/>
  <c r="AX347" i="307"/>
  <c r="AX349" i="307" s="1"/>
  <c r="AY346" i="307" s="1"/>
  <c r="AY305" i="307"/>
  <c r="AY306" i="307" s="1"/>
  <c r="AY309" i="307" s="1"/>
  <c r="AY378" i="307"/>
  <c r="AY380" i="307" s="1"/>
  <c r="AY384" i="307" s="1"/>
  <c r="AY385" i="307" s="1"/>
  <c r="AY414" i="307"/>
  <c r="AY416" i="307" s="1"/>
  <c r="AY326" i="307"/>
  <c r="AY327" i="307" s="1"/>
  <c r="AY330" i="307" s="1"/>
  <c r="AY390" i="307"/>
  <c r="AY392" i="307" s="1"/>
  <c r="AY396" i="307" s="1"/>
  <c r="AY397" i="307" s="1"/>
  <c r="AY427" i="307"/>
  <c r="AY429" i="307" s="1"/>
  <c r="AX89" i="307"/>
  <c r="AX90" i="307" s="1"/>
  <c r="AY88" i="307" s="1"/>
  <c r="AX675" i="307"/>
  <c r="AX625" i="307"/>
  <c r="AX284" i="307"/>
  <c r="AX10" i="310"/>
  <c r="AY193" i="307"/>
  <c r="AY190" i="307"/>
  <c r="AY191" i="307" s="1"/>
  <c r="AY156" i="307"/>
  <c r="AY153" i="307"/>
  <c r="AY154" i="307" s="1"/>
  <c r="CI608" i="321"/>
  <c r="CH118" i="265"/>
  <c r="AV118" i="277" s="1"/>
  <c r="CU178" i="278"/>
  <c r="CU180" i="278" s="1"/>
  <c r="CV171" i="278"/>
  <c r="CU109" i="265"/>
  <c r="CU253" i="278"/>
  <c r="CU255" i="278" s="1"/>
  <c r="CU258" i="278" s="1"/>
  <c r="CT559" i="321"/>
  <c r="CT556" i="321"/>
  <c r="CT267" i="278"/>
  <c r="CE665" i="321"/>
  <c r="CE61" i="315"/>
  <c r="CE631" i="321"/>
  <c r="CE632" i="321" s="1"/>
  <c r="CE106" i="282"/>
  <c r="CE661" i="321"/>
  <c r="CE654" i="321"/>
  <c r="CE639" i="321"/>
  <c r="CE666" i="321"/>
  <c r="CT291" i="278"/>
  <c r="CT627" i="321"/>
  <c r="CT630" i="321"/>
  <c r="CV196" i="278"/>
  <c r="CU203" i="278"/>
  <c r="CU205" i="278" s="1"/>
  <c r="CU105" i="315"/>
  <c r="CU244" i="278" l="1"/>
  <c r="CU248" i="278" s="1"/>
  <c r="CU281" i="278"/>
  <c r="CU284" i="278" s="1"/>
  <c r="CV191" i="278"/>
  <c r="CV194" i="278" s="1"/>
  <c r="CV202" i="278"/>
  <c r="CE62" i="315"/>
  <c r="CE58" i="315"/>
  <c r="CE21" i="315"/>
  <c r="CE23" i="315"/>
  <c r="CE60" i="315"/>
  <c r="CE667" i="321"/>
  <c r="CV166" i="278"/>
  <c r="CV169" i="278" s="1"/>
  <c r="CV177" i="278"/>
  <c r="CU237" i="278"/>
  <c r="CU241" i="278" s="1"/>
  <c r="CI601" i="321"/>
  <c r="CI604" i="321" s="1"/>
  <c r="CI563" i="321"/>
  <c r="CI567" i="321" s="1"/>
  <c r="CI539" i="321"/>
  <c r="CI541" i="321" s="1"/>
  <c r="CI555" i="321" s="1"/>
  <c r="CI557" i="321" s="1"/>
  <c r="CI572" i="321"/>
  <c r="CI574" i="321" s="1"/>
  <c r="CI580" i="321" s="1"/>
  <c r="CI582" i="321" s="1"/>
  <c r="AY157" i="307"/>
  <c r="AY594" i="307"/>
  <c r="AY21" i="307"/>
  <c r="AY198" i="307"/>
  <c r="AY33" i="310"/>
  <c r="AY158" i="307"/>
  <c r="AY194" i="307"/>
  <c r="AY593" i="307"/>
  <c r="AY32" i="310"/>
  <c r="AY200" i="307"/>
  <c r="AY20" i="307"/>
  <c r="AY195" i="307"/>
  <c r="AY72" i="307"/>
  <c r="AY75" i="307" s="1"/>
  <c r="AY78" i="307" s="1"/>
  <c r="AY79" i="307" s="1"/>
  <c r="AY433" i="307"/>
  <c r="AY401" i="307"/>
  <c r="AY432" i="307"/>
  <c r="AY434" i="307" s="1"/>
  <c r="AY400" i="307"/>
  <c r="AY402" i="307" s="1"/>
  <c r="AX464" i="307"/>
  <c r="AX465" i="307" s="1"/>
  <c r="AX484" i="307"/>
  <c r="AX485" i="307" s="1"/>
  <c r="AX588" i="307"/>
  <c r="AX27" i="307"/>
  <c r="AX40" i="310"/>
  <c r="AX587" i="307"/>
  <c r="AX589" i="307" s="1"/>
  <c r="AX26" i="307"/>
  <c r="AX39" i="310"/>
  <c r="AX595" i="307"/>
  <c r="AX43" i="310"/>
  <c r="AX30" i="307"/>
  <c r="AW58" i="310"/>
  <c r="AW63" i="310"/>
  <c r="AW47" i="310"/>
  <c r="AW145" i="288"/>
  <c r="AX591" i="307" l="1"/>
  <c r="AX596" i="307" s="1"/>
  <c r="AX139" i="288"/>
  <c r="AX487" i="307"/>
  <c r="AX489" i="307" s="1"/>
  <c r="AX467" i="307"/>
  <c r="AX469" i="307" s="1"/>
  <c r="AY584" i="307"/>
  <c r="AY23" i="307"/>
  <c r="AY36" i="310"/>
  <c r="AY585" i="307"/>
  <c r="AY37" i="310"/>
  <c r="AY24" i="307"/>
  <c r="AY294" i="307"/>
  <c r="AY296" i="307" s="1"/>
  <c r="AY85" i="307"/>
  <c r="AY453" i="307"/>
  <c r="AY248" i="307"/>
  <c r="AY207" i="307"/>
  <c r="AY123" i="307"/>
  <c r="AY205" i="307"/>
  <c r="AY208" i="307" s="1"/>
  <c r="AY121" i="307"/>
  <c r="AY201" i="307"/>
  <c r="CI104" i="282"/>
  <c r="CI583" i="321"/>
  <c r="CI36" i="282"/>
  <c r="CI609" i="321"/>
  <c r="CI560" i="321"/>
  <c r="CI561" i="321" s="1"/>
  <c r="CI63" i="265"/>
  <c r="CI610" i="321"/>
  <c r="CI568" i="321"/>
  <c r="CI38" i="282"/>
  <c r="CI605" i="321"/>
  <c r="CU564" i="321"/>
  <c r="CU550" i="321"/>
  <c r="CU553" i="321" s="1"/>
  <c r="CU262" i="278"/>
  <c r="CU263" i="278" s="1"/>
  <c r="CU544" i="321"/>
  <c r="CU546" i="321" s="1"/>
  <c r="CV41" i="265"/>
  <c r="CV173" i="278"/>
  <c r="CV174" i="278" s="1"/>
  <c r="H169" i="278"/>
  <c r="CF664" i="321"/>
  <c r="CE114" i="315"/>
  <c r="CV198" i="278"/>
  <c r="CV199" i="278" s="1"/>
  <c r="CV39" i="315"/>
  <c r="H194" i="278"/>
  <c r="CU286" i="278"/>
  <c r="CU287" i="278" s="1"/>
  <c r="CU621" i="321"/>
  <c r="CU624" i="321" s="1"/>
  <c r="CU635" i="321"/>
  <c r="CU627" i="321" l="1"/>
  <c r="CU630" i="321"/>
  <c r="CU291" i="278"/>
  <c r="H39" i="315"/>
  <c r="H198" i="278"/>
  <c r="CV203" i="278"/>
  <c r="CV205" i="278" s="1"/>
  <c r="CV105" i="315"/>
  <c r="CF634" i="321"/>
  <c r="CF638" i="321" s="1"/>
  <c r="CF643" i="321"/>
  <c r="CF645" i="321" s="1"/>
  <c r="CF651" i="321" s="1"/>
  <c r="CF653" i="321" s="1"/>
  <c r="CF657" i="321"/>
  <c r="CF660" i="321" s="1"/>
  <c r="CF616" i="321"/>
  <c r="CF618" i="321" s="1"/>
  <c r="CF626" i="321" s="1"/>
  <c r="CF628" i="321" s="1"/>
  <c r="H41" i="265"/>
  <c r="H118" i="269" s="1"/>
  <c r="K118" i="269" s="1"/>
  <c r="H173" i="278"/>
  <c r="CV178" i="278"/>
  <c r="CV180" i="278" s="1"/>
  <c r="CV109" i="265"/>
  <c r="CV253" i="278"/>
  <c r="CV255" i="278" s="1"/>
  <c r="CV258" i="278" s="1"/>
  <c r="CU267" i="278"/>
  <c r="CU556" i="321"/>
  <c r="CU559" i="321"/>
  <c r="CI25" i="265"/>
  <c r="CI62" i="265"/>
  <c r="CI64" i="265"/>
  <c r="CI611" i="321"/>
  <c r="CI23" i="265"/>
  <c r="CI60" i="265"/>
  <c r="AY202" i="307"/>
  <c r="AY224" i="307"/>
  <c r="P230" i="307" s="1"/>
  <c r="AY215" i="307"/>
  <c r="AY217" i="307" s="1"/>
  <c r="AY600" i="307"/>
  <c r="AY670" i="307"/>
  <c r="P671" i="307" s="1"/>
  <c r="AY226" i="307"/>
  <c r="P232" i="307" s="1"/>
  <c r="AY321" i="307"/>
  <c r="AY322" i="307" s="1"/>
  <c r="AY300" i="307"/>
  <c r="AY301" i="307" s="1"/>
  <c r="AX473" i="307"/>
  <c r="AX475" i="307" s="1"/>
  <c r="AY472" i="307" s="1"/>
  <c r="AX250" i="307"/>
  <c r="AX251" i="307" s="1"/>
  <c r="AX655" i="307"/>
  <c r="AX498" i="307"/>
  <c r="AX493" i="307"/>
  <c r="AX495" i="307" s="1"/>
  <c r="AY492" i="307" s="1"/>
  <c r="AX660" i="307"/>
  <c r="AX499" i="307"/>
  <c r="AX599" i="307"/>
  <c r="AX601" i="307" s="1"/>
  <c r="AX609" i="307"/>
  <c r="AX615" i="307" l="1"/>
  <c r="AY534" i="307"/>
  <c r="AY536" i="307" s="1"/>
  <c r="AY540" i="307" s="1"/>
  <c r="AY541" i="307" s="1"/>
  <c r="AY571" i="307"/>
  <c r="AY573" i="307" s="1"/>
  <c r="AY480" i="307"/>
  <c r="AY481" i="307" s="1"/>
  <c r="AY488" i="307" s="1"/>
  <c r="AX500" i="307"/>
  <c r="AX253" i="307"/>
  <c r="AX255" i="307" s="1"/>
  <c r="AY523" i="307"/>
  <c r="AY525" i="307" s="1"/>
  <c r="AY529" i="307" s="1"/>
  <c r="AY530" i="307" s="1"/>
  <c r="AY558" i="307"/>
  <c r="AY560" i="307" s="1"/>
  <c r="AY460" i="307"/>
  <c r="AY461" i="307" s="1"/>
  <c r="AY468" i="307" s="1"/>
  <c r="AY308" i="307"/>
  <c r="AY311" i="307" s="1"/>
  <c r="AY329" i="307"/>
  <c r="AY332" i="307" s="1"/>
  <c r="P686" i="321"/>
  <c r="AY81" i="307"/>
  <c r="AY82" i="307" s="1"/>
  <c r="AY124" i="307"/>
  <c r="AY125" i="307" s="1"/>
  <c r="AZ119" i="307" s="1"/>
  <c r="AY227" i="307"/>
  <c r="P233" i="307" s="1"/>
  <c r="AY34" i="310"/>
  <c r="AY225" i="307"/>
  <c r="P231" i="307" s="1"/>
  <c r="CJ608" i="321"/>
  <c r="CI118" i="265"/>
  <c r="CV237" i="278"/>
  <c r="CV241" i="278" s="1"/>
  <c r="H180" i="278"/>
  <c r="H237" i="278" s="1"/>
  <c r="J118" i="269"/>
  <c r="L118" i="269"/>
  <c r="CF665" i="321"/>
  <c r="CF61" i="315"/>
  <c r="CF631" i="321"/>
  <c r="CF632" i="321" s="1"/>
  <c r="CF106" i="282"/>
  <c r="CF661" i="321"/>
  <c r="CF654" i="321"/>
  <c r="CF639" i="321"/>
  <c r="CF666" i="321"/>
  <c r="CV281" i="278"/>
  <c r="CV284" i="278" s="1"/>
  <c r="CV244" i="278"/>
  <c r="CV248" i="278" s="1"/>
  <c r="H205" i="278"/>
  <c r="H244" i="278" l="1"/>
  <c r="H281" i="278"/>
  <c r="CV635" i="321"/>
  <c r="CV621" i="321"/>
  <c r="CV624" i="321" s="1"/>
  <c r="H248" i="278"/>
  <c r="CV286" i="278"/>
  <c r="CV287" i="278" s="1"/>
  <c r="H284" i="278"/>
  <c r="H286" i="278" s="1"/>
  <c r="CF62" i="315"/>
  <c r="CF58" i="315"/>
  <c r="CF21" i="315"/>
  <c r="CF23" i="315"/>
  <c r="CF60" i="315"/>
  <c r="CF667" i="321"/>
  <c r="CV564" i="321"/>
  <c r="CV550" i="321"/>
  <c r="CV553" i="321" s="1"/>
  <c r="CV262" i="278"/>
  <c r="CV263" i="278" s="1"/>
  <c r="CV544" i="321"/>
  <c r="CV546" i="321" s="1"/>
  <c r="F547" i="321" s="1"/>
  <c r="F362" i="48" s="1"/>
  <c r="H241" i="278"/>
  <c r="CJ601" i="321"/>
  <c r="CJ604" i="321" s="1"/>
  <c r="CJ539" i="321"/>
  <c r="CJ541" i="321" s="1"/>
  <c r="CJ555" i="321" s="1"/>
  <c r="CJ557" i="321" s="1"/>
  <c r="CJ572" i="321"/>
  <c r="CJ574" i="321" s="1"/>
  <c r="CJ580" i="321" s="1"/>
  <c r="CJ582" i="321" s="1"/>
  <c r="CJ563" i="321"/>
  <c r="CJ567" i="321" s="1"/>
  <c r="P678" i="321"/>
  <c r="P680" i="321" s="1"/>
  <c r="AZ213" i="307"/>
  <c r="AZ148" i="307"/>
  <c r="AZ150" i="307" s="1"/>
  <c r="AZ176" i="307"/>
  <c r="AZ179" i="307" s="1"/>
  <c r="AZ184" i="307" s="1"/>
  <c r="AZ187" i="307" s="1"/>
  <c r="AZ129" i="307"/>
  <c r="AZ131" i="307" s="1"/>
  <c r="AZ135" i="307" s="1"/>
  <c r="AY84" i="307"/>
  <c r="AY86" i="307" s="1"/>
  <c r="AY640" i="307"/>
  <c r="P641" i="307" s="1"/>
  <c r="AY336" i="307"/>
  <c r="AY338" i="307" s="1"/>
  <c r="AZ335" i="307" s="1"/>
  <c r="AY342" i="307"/>
  <c r="AY635" i="307"/>
  <c r="P636" i="307" s="1"/>
  <c r="AY315" i="307"/>
  <c r="AY317" i="307" s="1"/>
  <c r="AZ314" i="307" s="1"/>
  <c r="AY341" i="307"/>
  <c r="AY343" i="307" s="1"/>
  <c r="AY576" i="307"/>
  <c r="AY544" i="307"/>
  <c r="AX258" i="307"/>
  <c r="AX260" i="307" s="1"/>
  <c r="AY257" i="307" s="1"/>
  <c r="AX645" i="307"/>
  <c r="AX12" i="310"/>
  <c r="AX285" i="307"/>
  <c r="AX288" i="307" s="1"/>
  <c r="AX650" i="307"/>
  <c r="AX135" i="288"/>
  <c r="AX136" i="288" s="1"/>
  <c r="AX14" i="310"/>
  <c r="AY577" i="307"/>
  <c r="AY545" i="307"/>
  <c r="AX138" i="288" l="1"/>
  <c r="AX140" i="288" s="1"/>
  <c r="AX206" i="288"/>
  <c r="AX56" i="288"/>
  <c r="AX16" i="310"/>
  <c r="AY264" i="307"/>
  <c r="AY265" i="307" s="1"/>
  <c r="AY269" i="307" s="1"/>
  <c r="AY271" i="307" s="1"/>
  <c r="AY244" i="307"/>
  <c r="AY245" i="307" s="1"/>
  <c r="AY254" i="307" s="1"/>
  <c r="AY546" i="307"/>
  <c r="AY578" i="307"/>
  <c r="AY454" i="307"/>
  <c r="AY455" i="307" s="1"/>
  <c r="AY249" i="307"/>
  <c r="AY630" i="307"/>
  <c r="P631" i="307" s="1"/>
  <c r="AY134" i="288"/>
  <c r="AY347" i="307"/>
  <c r="AY349" i="307" s="1"/>
  <c r="AZ346" i="307" s="1"/>
  <c r="AY13" i="310"/>
  <c r="AZ305" i="307"/>
  <c r="AZ306" i="307" s="1"/>
  <c r="AZ309" i="307" s="1"/>
  <c r="AZ378" i="307"/>
  <c r="AZ380" i="307" s="1"/>
  <c r="AZ384" i="307" s="1"/>
  <c r="AZ385" i="307" s="1"/>
  <c r="AZ414" i="307"/>
  <c r="AZ416" i="307" s="1"/>
  <c r="P188" i="321"/>
  <c r="AZ326" i="307"/>
  <c r="AZ327" i="307" s="1"/>
  <c r="AZ330" i="307" s="1"/>
  <c r="AZ390" i="307"/>
  <c r="AZ392" i="307" s="1"/>
  <c r="AZ396" i="307" s="1"/>
  <c r="AZ397" i="307" s="1"/>
  <c r="AZ427" i="307"/>
  <c r="AZ429" i="307" s="1"/>
  <c r="P300" i="321"/>
  <c r="AY89" i="307"/>
  <c r="AY90" i="307" s="1"/>
  <c r="AZ88" i="307" s="1"/>
  <c r="AY675" i="307"/>
  <c r="P676" i="307" s="1"/>
  <c r="AY625" i="307"/>
  <c r="P626" i="307" s="1"/>
  <c r="AY284" i="307"/>
  <c r="AY10" i="310"/>
  <c r="AZ193" i="307"/>
  <c r="AZ190" i="307"/>
  <c r="AZ191" i="307" s="1"/>
  <c r="AZ156" i="307"/>
  <c r="AZ153" i="307"/>
  <c r="AZ154" i="307" s="1"/>
  <c r="P681" i="321"/>
  <c r="P687" i="321"/>
  <c r="P688" i="321" s="1"/>
  <c r="CJ610" i="321"/>
  <c r="CJ568" i="321"/>
  <c r="CJ104" i="282"/>
  <c r="CJ583" i="321"/>
  <c r="CJ36" i="282"/>
  <c r="CJ609" i="321"/>
  <c r="CJ611" i="321" s="1"/>
  <c r="CJ560" i="321"/>
  <c r="CJ561" i="321" s="1"/>
  <c r="CJ63" i="265"/>
  <c r="AW63" i="277" s="1"/>
  <c r="CJ38" i="282"/>
  <c r="CJ605" i="321"/>
  <c r="H262" i="278"/>
  <c r="H544" i="321"/>
  <c r="H550" i="321"/>
  <c r="H564" i="321"/>
  <c r="CV267" i="278"/>
  <c r="H263" i="278"/>
  <c r="H267" i="278" s="1"/>
  <c r="CV556" i="321"/>
  <c r="CV559" i="321"/>
  <c r="H553" i="321"/>
  <c r="CG664" i="321"/>
  <c r="CF114" i="315"/>
  <c r="CV291" i="278"/>
  <c r="H287" i="278"/>
  <c r="H291" i="278" s="1"/>
  <c r="H621" i="321"/>
  <c r="H635" i="321"/>
  <c r="CV627" i="321"/>
  <c r="CV630" i="321"/>
  <c r="H624" i="321"/>
  <c r="H627" i="321" l="1"/>
  <c r="H630" i="321"/>
  <c r="CG634" i="321"/>
  <c r="CG638" i="321" s="1"/>
  <c r="CG643" i="321"/>
  <c r="CG645" i="321" s="1"/>
  <c r="CG651" i="321" s="1"/>
  <c r="CG653" i="321" s="1"/>
  <c r="CG657" i="321"/>
  <c r="CG660" i="321" s="1"/>
  <c r="CG616" i="321"/>
  <c r="CG618" i="321" s="1"/>
  <c r="CG626" i="321" s="1"/>
  <c r="CG628" i="321" s="1"/>
  <c r="H556" i="321"/>
  <c r="H559" i="321"/>
  <c r="CJ25" i="265"/>
  <c r="AW25" i="277" s="1"/>
  <c r="CJ62" i="265"/>
  <c r="AW62" i="277" s="1"/>
  <c r="CJ118" i="265"/>
  <c r="AW118" i="277" s="1"/>
  <c r="CK608" i="321"/>
  <c r="CJ23" i="265"/>
  <c r="AW23" i="277" s="1"/>
  <c r="CJ60" i="265"/>
  <c r="AW60" i="277" s="1"/>
  <c r="CJ64" i="265"/>
  <c r="AW64" i="277" s="1"/>
  <c r="Q684" i="321"/>
  <c r="P119" i="315"/>
  <c r="P123" i="265"/>
  <c r="M123" i="277" s="1"/>
  <c r="P53" i="265"/>
  <c r="M53" i="277" s="1"/>
  <c r="P51" i="315"/>
  <c r="AZ157" i="307"/>
  <c r="AZ594" i="307"/>
  <c r="AZ33" i="310"/>
  <c r="AZ198" i="307"/>
  <c r="AZ21" i="307"/>
  <c r="AZ158" i="307"/>
  <c r="AZ194" i="307"/>
  <c r="AZ593" i="307"/>
  <c r="AZ32" i="310"/>
  <c r="AZ20" i="307"/>
  <c r="AZ200" i="307"/>
  <c r="AZ195" i="307"/>
  <c r="P445" i="321"/>
  <c r="P447" i="321" s="1"/>
  <c r="P528" i="321"/>
  <c r="P484" i="321"/>
  <c r="AZ72" i="307"/>
  <c r="AZ75" i="307" s="1"/>
  <c r="AZ78" i="307" s="1"/>
  <c r="AZ79" i="307" s="1"/>
  <c r="AZ433" i="307"/>
  <c r="AZ401" i="307"/>
  <c r="AZ432" i="307"/>
  <c r="AZ434" i="307" s="1"/>
  <c r="AZ400" i="307"/>
  <c r="AZ402" i="307" s="1"/>
  <c r="P57" i="265"/>
  <c r="M57" i="277" s="1"/>
  <c r="P55" i="315"/>
  <c r="AY464" i="307"/>
  <c r="AY465" i="307" s="1"/>
  <c r="AY484" i="307"/>
  <c r="AY485" i="307" s="1"/>
  <c r="AY588" i="307"/>
  <c r="AY27" i="307"/>
  <c r="AY40" i="310"/>
  <c r="AY587" i="307"/>
  <c r="AY589" i="307" s="1"/>
  <c r="AY26" i="307"/>
  <c r="AY39" i="310"/>
  <c r="AY595" i="307"/>
  <c r="AY30" i="307"/>
  <c r="AY43" i="310"/>
  <c r="AX47" i="310"/>
  <c r="AX63" i="310"/>
  <c r="AX58" i="310"/>
  <c r="AX145" i="288"/>
  <c r="AY591" i="307" l="1"/>
  <c r="AY596" i="307" s="1"/>
  <c r="AY139" i="288"/>
  <c r="AY487" i="307"/>
  <c r="AY489" i="307" s="1"/>
  <c r="AY467" i="307"/>
  <c r="AY469" i="307" s="1"/>
  <c r="AZ584" i="307"/>
  <c r="AZ36" i="310"/>
  <c r="AZ23" i="307"/>
  <c r="AZ585" i="307"/>
  <c r="AZ37" i="310"/>
  <c r="AZ24" i="307"/>
  <c r="AZ294" i="307"/>
  <c r="AZ296" i="307" s="1"/>
  <c r="AZ85" i="307"/>
  <c r="AZ453" i="307"/>
  <c r="AZ248" i="307"/>
  <c r="P56" i="265"/>
  <c r="M56" i="277" s="1"/>
  <c r="P54" i="315"/>
  <c r="AZ207" i="307"/>
  <c r="AZ123" i="307"/>
  <c r="AZ205" i="307"/>
  <c r="AZ208" i="307" s="1"/>
  <c r="AZ121" i="307"/>
  <c r="AZ201" i="307"/>
  <c r="Q693" i="321"/>
  <c r="Q695" i="321" s="1"/>
  <c r="Q699" i="321" s="1"/>
  <c r="Q702" i="321" s="1"/>
  <c r="Q706" i="321" s="1"/>
  <c r="Q709" i="321" s="1"/>
  <c r="Q711" i="321" s="1"/>
  <c r="Q712" i="321"/>
  <c r="Q673" i="321"/>
  <c r="Q676" i="321" s="1"/>
  <c r="CK572" i="321"/>
  <c r="CK574" i="321" s="1"/>
  <c r="CK580" i="321" s="1"/>
  <c r="CK582" i="321" s="1"/>
  <c r="CK539" i="321"/>
  <c r="CK541" i="321" s="1"/>
  <c r="CK555" i="321" s="1"/>
  <c r="CK557" i="321" s="1"/>
  <c r="CK563" i="321"/>
  <c r="CK567" i="321" s="1"/>
  <c r="CK601" i="321"/>
  <c r="CK604" i="321" s="1"/>
  <c r="CG665" i="321"/>
  <c r="CG61" i="315"/>
  <c r="CG631" i="321"/>
  <c r="CG632" i="321" s="1"/>
  <c r="CG106" i="282"/>
  <c r="CG661" i="321"/>
  <c r="CG654" i="321"/>
  <c r="CG639" i="321"/>
  <c r="CG666" i="321"/>
  <c r="CG62" i="315" l="1"/>
  <c r="CG58" i="315"/>
  <c r="CG21" i="315"/>
  <c r="CG23" i="315"/>
  <c r="CG60" i="315"/>
  <c r="CG667" i="321"/>
  <c r="CK605" i="321"/>
  <c r="CK38" i="282"/>
  <c r="CK568" i="321"/>
  <c r="CK610" i="321"/>
  <c r="CK609" i="321"/>
  <c r="CK611" i="321" s="1"/>
  <c r="CK560" i="321"/>
  <c r="CK561" i="321" s="1"/>
  <c r="CK63" i="265"/>
  <c r="CK104" i="282"/>
  <c r="CK583" i="321"/>
  <c r="CK36" i="282"/>
  <c r="Q442" i="321"/>
  <c r="Q443" i="321" s="1"/>
  <c r="Q679" i="321"/>
  <c r="Q714" i="321"/>
  <c r="AZ202" i="307"/>
  <c r="AZ224" i="307"/>
  <c r="AZ215" i="307"/>
  <c r="AZ217" i="307" s="1"/>
  <c r="AZ600" i="307"/>
  <c r="AZ670" i="307"/>
  <c r="AZ226" i="307"/>
  <c r="AZ321" i="307"/>
  <c r="AZ322" i="307" s="1"/>
  <c r="AZ300" i="307"/>
  <c r="AZ301" i="307" s="1"/>
  <c r="AY473" i="307"/>
  <c r="AY475" i="307" s="1"/>
  <c r="AZ472" i="307" s="1"/>
  <c r="AY250" i="307"/>
  <c r="AY251" i="307" s="1"/>
  <c r="AY655" i="307"/>
  <c r="P656" i="307" s="1"/>
  <c r="AY498" i="307"/>
  <c r="AY493" i="307"/>
  <c r="AY495" i="307" s="1"/>
  <c r="AZ492" i="307" s="1"/>
  <c r="AY660" i="307"/>
  <c r="P661" i="307" s="1"/>
  <c r="AY499" i="307"/>
  <c r="AY599" i="307"/>
  <c r="AY601" i="307" s="1"/>
  <c r="AY609" i="307"/>
  <c r="P610" i="307" s="1"/>
  <c r="P611" i="307" l="1"/>
  <c r="AY615" i="307"/>
  <c r="P616" i="307" s="1"/>
  <c r="P434" i="321"/>
  <c r="AZ534" i="307"/>
  <c r="AZ536" i="307" s="1"/>
  <c r="AZ540" i="307" s="1"/>
  <c r="AZ541" i="307" s="1"/>
  <c r="AZ571" i="307"/>
  <c r="AZ573" i="307" s="1"/>
  <c r="AZ480" i="307"/>
  <c r="AZ481" i="307" s="1"/>
  <c r="AZ488" i="307" s="1"/>
  <c r="AY500" i="307"/>
  <c r="P402" i="321"/>
  <c r="AY253" i="307"/>
  <c r="AY255" i="307" s="1"/>
  <c r="AZ523" i="307"/>
  <c r="AZ525" i="307" s="1"/>
  <c r="AZ529" i="307" s="1"/>
  <c r="AZ530" i="307" s="1"/>
  <c r="AZ558" i="307"/>
  <c r="AZ560" i="307" s="1"/>
  <c r="AZ460" i="307"/>
  <c r="AZ461" i="307" s="1"/>
  <c r="AZ468" i="307" s="1"/>
  <c r="AZ308" i="307"/>
  <c r="AZ311" i="307" s="1"/>
  <c r="AZ329" i="307"/>
  <c r="AZ332" i="307" s="1"/>
  <c r="AZ81" i="307"/>
  <c r="AZ82" i="307" s="1"/>
  <c r="AZ124" i="307"/>
  <c r="AZ125" i="307" s="1"/>
  <c r="BA119" i="307" s="1"/>
  <c r="AZ227" i="307"/>
  <c r="AZ34" i="310"/>
  <c r="AZ225" i="307"/>
  <c r="Q34" i="282"/>
  <c r="Q102" i="282"/>
  <c r="Q715" i="321"/>
  <c r="Q46" i="288"/>
  <c r="Q446" i="321"/>
  <c r="Q485" i="321"/>
  <c r="Q529" i="321"/>
  <c r="Q196" i="288"/>
  <c r="CK23" i="265"/>
  <c r="CK60" i="265"/>
  <c r="CL608" i="321"/>
  <c r="CK118" i="265"/>
  <c r="CK64" i="265"/>
  <c r="CK25" i="265"/>
  <c r="CK62" i="265"/>
  <c r="CG114" i="315"/>
  <c r="CH664" i="321"/>
  <c r="CH616" i="321" l="1"/>
  <c r="CH618" i="321" s="1"/>
  <c r="CH626" i="321" s="1"/>
  <c r="CH628" i="321" s="1"/>
  <c r="CH643" i="321"/>
  <c r="CH645" i="321" s="1"/>
  <c r="CH651" i="321" s="1"/>
  <c r="CH653" i="321" s="1"/>
  <c r="CH634" i="321"/>
  <c r="CH638" i="321" s="1"/>
  <c r="CH657" i="321"/>
  <c r="CH660" i="321" s="1"/>
  <c r="CL539" i="321"/>
  <c r="CL541" i="321" s="1"/>
  <c r="CL555" i="321" s="1"/>
  <c r="CL557" i="321" s="1"/>
  <c r="CL572" i="321"/>
  <c r="CL574" i="321" s="1"/>
  <c r="CL580" i="321" s="1"/>
  <c r="CL582" i="321" s="1"/>
  <c r="CL563" i="321"/>
  <c r="CL567" i="321" s="1"/>
  <c r="CL601" i="321"/>
  <c r="CL604" i="321" s="1"/>
  <c r="Q80" i="315"/>
  <c r="Q26" i="265"/>
  <c r="Q84" i="265"/>
  <c r="Q24" i="315"/>
  <c r="BA213" i="307"/>
  <c r="BA148" i="307"/>
  <c r="BA150" i="307" s="1"/>
  <c r="BA176" i="307"/>
  <c r="BA179" i="307" s="1"/>
  <c r="BA184" i="307" s="1"/>
  <c r="BA187" i="307" s="1"/>
  <c r="BA129" i="307"/>
  <c r="BA131" i="307" s="1"/>
  <c r="BA135" i="307" s="1"/>
  <c r="AZ84" i="307"/>
  <c r="AZ86" i="307" s="1"/>
  <c r="AZ640" i="307"/>
  <c r="AZ336" i="307"/>
  <c r="AZ338" i="307" s="1"/>
  <c r="BA335" i="307" s="1"/>
  <c r="AZ342" i="307"/>
  <c r="AZ635" i="307"/>
  <c r="AZ315" i="307"/>
  <c r="AZ317" i="307" s="1"/>
  <c r="BA314" i="307" s="1"/>
  <c r="AZ341" i="307"/>
  <c r="AZ343" i="307" s="1"/>
  <c r="AZ576" i="307"/>
  <c r="AZ544" i="307"/>
  <c r="AY258" i="307"/>
  <c r="AY260" i="307" s="1"/>
  <c r="AZ257" i="307" s="1"/>
  <c r="AY645" i="307"/>
  <c r="P646" i="307" s="1"/>
  <c r="AY12" i="310"/>
  <c r="AY285" i="307"/>
  <c r="AY288" i="307" s="1"/>
  <c r="AY650" i="307"/>
  <c r="P651" i="307" s="1"/>
  <c r="AY14" i="310"/>
  <c r="AY135" i="288"/>
  <c r="AY136" i="288" s="1"/>
  <c r="AZ577" i="307"/>
  <c r="AZ545" i="307"/>
  <c r="P41" i="285"/>
  <c r="P50" i="265"/>
  <c r="M50" i="277" s="1"/>
  <c r="P48" i="315"/>
  <c r="AY138" i="288" l="1"/>
  <c r="AY140" i="288" s="1"/>
  <c r="P58" i="265"/>
  <c r="M58" i="277" s="1"/>
  <c r="P56" i="315"/>
  <c r="AY56" i="288"/>
  <c r="AY206" i="288"/>
  <c r="AY16" i="310"/>
  <c r="P59" i="265"/>
  <c r="M59" i="277" s="1"/>
  <c r="P115" i="286"/>
  <c r="P57" i="315"/>
  <c r="P38" i="286"/>
  <c r="AZ264" i="307"/>
  <c r="AZ265" i="307" s="1"/>
  <c r="AZ269" i="307" s="1"/>
  <c r="AZ271" i="307" s="1"/>
  <c r="AZ244" i="307"/>
  <c r="AZ245" i="307" s="1"/>
  <c r="AZ254" i="307" s="1"/>
  <c r="AZ546" i="307"/>
  <c r="AZ578" i="307"/>
  <c r="AZ454" i="307"/>
  <c r="AZ455" i="307" s="1"/>
  <c r="AZ249" i="307"/>
  <c r="AZ630" i="307"/>
  <c r="AZ347" i="307"/>
  <c r="AZ349" i="307" s="1"/>
  <c r="BA346" i="307" s="1"/>
  <c r="AZ13" i="310"/>
  <c r="AZ134" i="288"/>
  <c r="BA305" i="307"/>
  <c r="BA306" i="307" s="1"/>
  <c r="BA309" i="307" s="1"/>
  <c r="BA378" i="307"/>
  <c r="BA380" i="307" s="1"/>
  <c r="BA384" i="307" s="1"/>
  <c r="BA385" i="307" s="1"/>
  <c r="BA414" i="307"/>
  <c r="BA416" i="307" s="1"/>
  <c r="BA326" i="307"/>
  <c r="BA327" i="307" s="1"/>
  <c r="BA330" i="307" s="1"/>
  <c r="BA390" i="307"/>
  <c r="BA392" i="307" s="1"/>
  <c r="BA396" i="307" s="1"/>
  <c r="BA397" i="307" s="1"/>
  <c r="BA427" i="307"/>
  <c r="BA429" i="307" s="1"/>
  <c r="AZ89" i="307"/>
  <c r="AZ90" i="307" s="1"/>
  <c r="BA88" i="307" s="1"/>
  <c r="AZ675" i="307"/>
  <c r="AZ625" i="307"/>
  <c r="AZ284" i="307"/>
  <c r="AZ10" i="310"/>
  <c r="BA193" i="307"/>
  <c r="BA190" i="307"/>
  <c r="BA191" i="307" s="1"/>
  <c r="BA156" i="307"/>
  <c r="BA153" i="307"/>
  <c r="BA154" i="307" s="1"/>
  <c r="CL605" i="321"/>
  <c r="CL38" i="282"/>
  <c r="CL610" i="321"/>
  <c r="CL568" i="321"/>
  <c r="CL104" i="282"/>
  <c r="CL583" i="321"/>
  <c r="CL36" i="282"/>
  <c r="CL609" i="321"/>
  <c r="CL611" i="321" s="1"/>
  <c r="CL560" i="321"/>
  <c r="CL561" i="321" s="1"/>
  <c r="CL63" i="265"/>
  <c r="AX63" i="277" s="1"/>
  <c r="CH661" i="321"/>
  <c r="CH106" i="282"/>
  <c r="CH639" i="321"/>
  <c r="CH666" i="321"/>
  <c r="CH654" i="321"/>
  <c r="CH665" i="321"/>
  <c r="CH667" i="321" s="1"/>
  <c r="CH61" i="315"/>
  <c r="CH631" i="321"/>
  <c r="CH632" i="321" s="1"/>
  <c r="CI664" i="321" l="1"/>
  <c r="CH114" i="315"/>
  <c r="CH58" i="315"/>
  <c r="CH21" i="315"/>
  <c r="CH62" i="315"/>
  <c r="CH23" i="315"/>
  <c r="CH60" i="315"/>
  <c r="CM608" i="321"/>
  <c r="CL118" i="265"/>
  <c r="AX118" i="277" s="1"/>
  <c r="CL23" i="265"/>
  <c r="AX23" i="277" s="1"/>
  <c r="CL60" i="265"/>
  <c r="AX60" i="277" s="1"/>
  <c r="CL64" i="265"/>
  <c r="AX64" i="277" s="1"/>
  <c r="CL25" i="265"/>
  <c r="AX25" i="277" s="1"/>
  <c r="CL62" i="265"/>
  <c r="AX62" i="277" s="1"/>
  <c r="BA157" i="307"/>
  <c r="BA594" i="307"/>
  <c r="BA21" i="307"/>
  <c r="BA198" i="307"/>
  <c r="BA33" i="310"/>
  <c r="BA158" i="307"/>
  <c r="BA194" i="307"/>
  <c r="BA593" i="307"/>
  <c r="BA32" i="310"/>
  <c r="BA20" i="307"/>
  <c r="BA200" i="307"/>
  <c r="BA195" i="307"/>
  <c r="BA72" i="307"/>
  <c r="BA75" i="307" s="1"/>
  <c r="BA78" i="307" s="1"/>
  <c r="BA79" i="307" s="1"/>
  <c r="BA433" i="307"/>
  <c r="BA401" i="307"/>
  <c r="BA432" i="307"/>
  <c r="BA434" i="307" s="1"/>
  <c r="BA400" i="307"/>
  <c r="BA402" i="307" s="1"/>
  <c r="AZ464" i="307"/>
  <c r="AZ465" i="307" s="1"/>
  <c r="AZ484" i="307"/>
  <c r="AZ485" i="307" s="1"/>
  <c r="AZ588" i="307"/>
  <c r="AZ27" i="307"/>
  <c r="AZ40" i="310"/>
  <c r="AZ587" i="307"/>
  <c r="AZ589" i="307" s="1"/>
  <c r="AZ39" i="310"/>
  <c r="AZ26" i="307"/>
  <c r="AZ595" i="307"/>
  <c r="AZ43" i="310"/>
  <c r="AZ30" i="307"/>
  <c r="AY47" i="310"/>
  <c r="AY63" i="310"/>
  <c r="AY58" i="310"/>
  <c r="AY145" i="288"/>
  <c r="AZ591" i="307" l="1"/>
  <c r="AZ596" i="307" s="1"/>
  <c r="AZ139" i="288"/>
  <c r="AZ487" i="307"/>
  <c r="AZ489" i="307" s="1"/>
  <c r="AZ467" i="307"/>
  <c r="AZ469" i="307" s="1"/>
  <c r="BA584" i="307"/>
  <c r="BA23" i="307"/>
  <c r="BA36" i="310"/>
  <c r="BA585" i="307"/>
  <c r="BA37" i="310"/>
  <c r="BA24" i="307"/>
  <c r="BA294" i="307"/>
  <c r="BA296" i="307" s="1"/>
  <c r="BA85" i="307"/>
  <c r="BA453" i="307"/>
  <c r="BA248" i="307"/>
  <c r="BA207" i="307"/>
  <c r="BA123" i="307"/>
  <c r="BA205" i="307"/>
  <c r="BA208" i="307" s="1"/>
  <c r="BA121" i="307"/>
  <c r="BA201" i="307"/>
  <c r="CM539" i="321"/>
  <c r="CM541" i="321" s="1"/>
  <c r="CM555" i="321" s="1"/>
  <c r="CM557" i="321" s="1"/>
  <c r="CM572" i="321"/>
  <c r="CM574" i="321" s="1"/>
  <c r="CM580" i="321" s="1"/>
  <c r="CM582" i="321" s="1"/>
  <c r="CM601" i="321"/>
  <c r="CM604" i="321" s="1"/>
  <c r="CM563" i="321"/>
  <c r="CM567" i="321" s="1"/>
  <c r="CI634" i="321"/>
  <c r="CI638" i="321" s="1"/>
  <c r="CI643" i="321"/>
  <c r="CI645" i="321" s="1"/>
  <c r="CI651" i="321" s="1"/>
  <c r="CI653" i="321" s="1"/>
  <c r="CI657" i="321"/>
  <c r="CI660" i="321" s="1"/>
  <c r="CI616" i="321"/>
  <c r="CI618" i="321" s="1"/>
  <c r="CI626" i="321" s="1"/>
  <c r="CI628" i="321" s="1"/>
  <c r="CI665" i="321" l="1"/>
  <c r="CI61" i="315"/>
  <c r="CI631" i="321"/>
  <c r="CI632" i="321" s="1"/>
  <c r="CI106" i="282"/>
  <c r="CI661" i="321"/>
  <c r="CI654" i="321"/>
  <c r="CI639" i="321"/>
  <c r="CI666" i="321"/>
  <c r="CM610" i="321"/>
  <c r="CM568" i="321"/>
  <c r="CM605" i="321"/>
  <c r="CM38" i="282"/>
  <c r="CM104" i="282"/>
  <c r="CM583" i="321"/>
  <c r="CM36" i="282"/>
  <c r="CM609" i="321"/>
  <c r="CM611" i="321" s="1"/>
  <c r="CM560" i="321"/>
  <c r="CM561" i="321" s="1"/>
  <c r="CM63" i="265"/>
  <c r="BA224" i="307"/>
  <c r="BA202" i="307"/>
  <c r="BA215" i="307"/>
  <c r="BA217" i="307" s="1"/>
  <c r="BA600" i="307"/>
  <c r="BA670" i="307"/>
  <c r="BA226" i="307"/>
  <c r="BA321" i="307"/>
  <c r="BA322" i="307" s="1"/>
  <c r="BA300" i="307"/>
  <c r="BA301" i="307" s="1"/>
  <c r="AZ473" i="307"/>
  <c r="AZ475" i="307" s="1"/>
  <c r="BA472" i="307" s="1"/>
  <c r="AZ250" i="307"/>
  <c r="AZ251" i="307" s="1"/>
  <c r="AZ655" i="307"/>
  <c r="AZ498" i="307"/>
  <c r="AZ493" i="307"/>
  <c r="AZ495" i="307" s="1"/>
  <c r="BA492" i="307" s="1"/>
  <c r="AZ660" i="307"/>
  <c r="AZ499" i="307"/>
  <c r="AZ599" i="307"/>
  <c r="AZ601" i="307" s="1"/>
  <c r="AZ609" i="307"/>
  <c r="AZ615" i="307" l="1"/>
  <c r="BA534" i="307"/>
  <c r="BA536" i="307" s="1"/>
  <c r="BA540" i="307" s="1"/>
  <c r="BA541" i="307" s="1"/>
  <c r="BA571" i="307"/>
  <c r="BA573" i="307" s="1"/>
  <c r="BA480" i="307"/>
  <c r="BA481" i="307" s="1"/>
  <c r="BA488" i="307" s="1"/>
  <c r="AZ500" i="307"/>
  <c r="AZ253" i="307"/>
  <c r="AZ255" i="307" s="1"/>
  <c r="BA523" i="307"/>
  <c r="BA525" i="307" s="1"/>
  <c r="BA529" i="307" s="1"/>
  <c r="BA530" i="307" s="1"/>
  <c r="BA558" i="307"/>
  <c r="BA560" i="307" s="1"/>
  <c r="BA460" i="307"/>
  <c r="BA461" i="307" s="1"/>
  <c r="BA468" i="307" s="1"/>
  <c r="BA308" i="307"/>
  <c r="BA311" i="307" s="1"/>
  <c r="BA329" i="307"/>
  <c r="BA332" i="307" s="1"/>
  <c r="BA81" i="307"/>
  <c r="BA82" i="307" s="1"/>
  <c r="BA124" i="307"/>
  <c r="BA125" i="307" s="1"/>
  <c r="BB119" i="307" s="1"/>
  <c r="BA227" i="307"/>
  <c r="BA34" i="310"/>
  <c r="BA225" i="307"/>
  <c r="CM118" i="265"/>
  <c r="CN608" i="321"/>
  <c r="CM23" i="265"/>
  <c r="CM60" i="265"/>
  <c r="CM25" i="265"/>
  <c r="CM62" i="265"/>
  <c r="CM64" i="265"/>
  <c r="CI62" i="315"/>
  <c r="CI58" i="315"/>
  <c r="CI21" i="315"/>
  <c r="CI23" i="315"/>
  <c r="CI60" i="315"/>
  <c r="CI667" i="321"/>
  <c r="CJ664" i="321" l="1"/>
  <c r="CI114" i="315"/>
  <c r="CN601" i="321"/>
  <c r="CN604" i="321" s="1"/>
  <c r="CN563" i="321"/>
  <c r="CN567" i="321" s="1"/>
  <c r="CN572" i="321"/>
  <c r="CN574" i="321" s="1"/>
  <c r="CN580" i="321" s="1"/>
  <c r="CN582" i="321" s="1"/>
  <c r="CN539" i="321"/>
  <c r="CN541" i="321" s="1"/>
  <c r="CN555" i="321" s="1"/>
  <c r="CN557" i="321" s="1"/>
  <c r="BB213" i="307"/>
  <c r="BB148" i="307"/>
  <c r="BB150" i="307" s="1"/>
  <c r="BB176" i="307"/>
  <c r="BB179" i="307" s="1"/>
  <c r="BB184" i="307" s="1"/>
  <c r="BB187" i="307" s="1"/>
  <c r="BB129" i="307"/>
  <c r="BB131" i="307" s="1"/>
  <c r="BB135" i="307" s="1"/>
  <c r="BA84" i="307"/>
  <c r="BA86" i="307" s="1"/>
  <c r="BA640" i="307"/>
  <c r="BA336" i="307"/>
  <c r="BA338" i="307" s="1"/>
  <c r="BB335" i="307" s="1"/>
  <c r="BA342" i="307"/>
  <c r="BA635" i="307"/>
  <c r="BA315" i="307"/>
  <c r="BA317" i="307" s="1"/>
  <c r="BB314" i="307" s="1"/>
  <c r="BA341" i="307"/>
  <c r="BA343" i="307" s="1"/>
  <c r="BA576" i="307"/>
  <c r="BA544" i="307"/>
  <c r="AZ258" i="307"/>
  <c r="AZ260" i="307" s="1"/>
  <c r="BA257" i="307" s="1"/>
  <c r="AZ645" i="307"/>
  <c r="AZ12" i="310"/>
  <c r="AZ285" i="307"/>
  <c r="AZ288" i="307" s="1"/>
  <c r="AZ650" i="307"/>
  <c r="AZ14" i="310"/>
  <c r="AZ135" i="288"/>
  <c r="AZ136" i="288" s="1"/>
  <c r="BA577" i="307"/>
  <c r="BA545" i="307"/>
  <c r="AZ138" i="288" l="1"/>
  <c r="AZ140" i="288" s="1"/>
  <c r="AZ206" i="288"/>
  <c r="AZ56" i="288"/>
  <c r="AZ16" i="310"/>
  <c r="BA264" i="307"/>
  <c r="BA265" i="307" s="1"/>
  <c r="BA269" i="307" s="1"/>
  <c r="BA271" i="307" s="1"/>
  <c r="BA244" i="307"/>
  <c r="BA245" i="307" s="1"/>
  <c r="BA254" i="307" s="1"/>
  <c r="BA546" i="307"/>
  <c r="BA578" i="307"/>
  <c r="BA454" i="307"/>
  <c r="BA455" i="307" s="1"/>
  <c r="BA249" i="307"/>
  <c r="BA630" i="307"/>
  <c r="BA13" i="310"/>
  <c r="BA347" i="307"/>
  <c r="BA349" i="307" s="1"/>
  <c r="BB346" i="307" s="1"/>
  <c r="BA134" i="288"/>
  <c r="BB305" i="307"/>
  <c r="BB306" i="307" s="1"/>
  <c r="BB309" i="307" s="1"/>
  <c r="BB378" i="307"/>
  <c r="BB380" i="307" s="1"/>
  <c r="BB384" i="307" s="1"/>
  <c r="BB385" i="307" s="1"/>
  <c r="BB414" i="307"/>
  <c r="BB416" i="307" s="1"/>
  <c r="BB326" i="307"/>
  <c r="BB327" i="307" s="1"/>
  <c r="BB330" i="307" s="1"/>
  <c r="BB390" i="307"/>
  <c r="BB392" i="307" s="1"/>
  <c r="BB396" i="307" s="1"/>
  <c r="BB397" i="307" s="1"/>
  <c r="BB427" i="307"/>
  <c r="BB429" i="307" s="1"/>
  <c r="BA89" i="307"/>
  <c r="BA90" i="307" s="1"/>
  <c r="BB88" i="307" s="1"/>
  <c r="BA675" i="307"/>
  <c r="BA625" i="307"/>
  <c r="BA10" i="310"/>
  <c r="BA284" i="307"/>
  <c r="BB193" i="307"/>
  <c r="BB190" i="307"/>
  <c r="BB191" i="307" s="1"/>
  <c r="BB156" i="307"/>
  <c r="BB153" i="307"/>
  <c r="BB154" i="307" s="1"/>
  <c r="CN609" i="321"/>
  <c r="CN63" i="265"/>
  <c r="AY63" i="277" s="1"/>
  <c r="CN560" i="321"/>
  <c r="CN561" i="321" s="1"/>
  <c r="CN104" i="282"/>
  <c r="CN36" i="282"/>
  <c r="CN583" i="321"/>
  <c r="CN568" i="321"/>
  <c r="CN610" i="321"/>
  <c r="CN605" i="321"/>
  <c r="CN38" i="282"/>
  <c r="CJ634" i="321"/>
  <c r="CJ638" i="321" s="1"/>
  <c r="CJ643" i="321"/>
  <c r="CJ645" i="321" s="1"/>
  <c r="CJ651" i="321" s="1"/>
  <c r="CJ653" i="321" s="1"/>
  <c r="CJ657" i="321"/>
  <c r="CJ660" i="321" s="1"/>
  <c r="CJ616" i="321"/>
  <c r="CJ618" i="321" s="1"/>
  <c r="CJ626" i="321" s="1"/>
  <c r="CJ628" i="321" s="1"/>
  <c r="CJ665" i="321" l="1"/>
  <c r="CJ61" i="315"/>
  <c r="CJ631" i="321"/>
  <c r="CJ632" i="321" s="1"/>
  <c r="CJ106" i="282"/>
  <c r="CJ661" i="321"/>
  <c r="CJ654" i="321"/>
  <c r="CJ639" i="321"/>
  <c r="CJ666" i="321"/>
  <c r="CN25" i="265"/>
  <c r="AY25" i="277" s="1"/>
  <c r="CN62" i="265"/>
  <c r="AY62" i="277" s="1"/>
  <c r="CN64" i="265"/>
  <c r="AY64" i="277" s="1"/>
  <c r="CN23" i="265"/>
  <c r="AY23" i="277" s="1"/>
  <c r="CN60" i="265"/>
  <c r="AY60" i="277" s="1"/>
  <c r="CN611" i="321"/>
  <c r="BB157" i="307"/>
  <c r="BB594" i="307"/>
  <c r="BB33" i="310"/>
  <c r="BB21" i="307"/>
  <c r="BB198" i="307"/>
  <c r="BB158" i="307"/>
  <c r="BB194" i="307"/>
  <c r="BB593" i="307"/>
  <c r="BB32" i="310"/>
  <c r="BB20" i="307"/>
  <c r="BB200" i="307"/>
  <c r="BB195" i="307"/>
  <c r="BB72" i="307"/>
  <c r="BB75" i="307" s="1"/>
  <c r="BB78" i="307" s="1"/>
  <c r="BB79" i="307" s="1"/>
  <c r="BB433" i="307"/>
  <c r="BB401" i="307"/>
  <c r="BB432" i="307"/>
  <c r="BB434" i="307" s="1"/>
  <c r="BB400" i="307"/>
  <c r="BB402" i="307" s="1"/>
  <c r="BA464" i="307"/>
  <c r="BA465" i="307" s="1"/>
  <c r="BA484" i="307"/>
  <c r="BA485" i="307" s="1"/>
  <c r="BA588" i="307"/>
  <c r="BA40" i="310"/>
  <c r="BA27" i="307"/>
  <c r="BA587" i="307"/>
  <c r="BA589" i="307" s="1"/>
  <c r="BA26" i="307"/>
  <c r="BA39" i="310"/>
  <c r="BA595" i="307"/>
  <c r="BA30" i="307"/>
  <c r="BA43" i="310"/>
  <c r="AZ58" i="310"/>
  <c r="AZ47" i="310"/>
  <c r="AZ63" i="310"/>
  <c r="AZ145" i="288"/>
  <c r="BA591" i="307" l="1"/>
  <c r="BA596" i="307" s="1"/>
  <c r="BA139" i="288"/>
  <c r="BA487" i="307"/>
  <c r="BA489" i="307" s="1"/>
  <c r="BA467" i="307"/>
  <c r="BA469" i="307" s="1"/>
  <c r="BB584" i="307"/>
  <c r="BB23" i="307"/>
  <c r="BB36" i="310"/>
  <c r="BB585" i="307"/>
  <c r="BB24" i="307"/>
  <c r="BB37" i="310"/>
  <c r="BB294" i="307"/>
  <c r="BB296" i="307" s="1"/>
  <c r="BB85" i="307"/>
  <c r="BB453" i="307"/>
  <c r="BB248" i="307"/>
  <c r="BB207" i="307"/>
  <c r="BB123" i="307"/>
  <c r="BB205" i="307"/>
  <c r="BB208" i="307" s="1"/>
  <c r="BB121" i="307"/>
  <c r="BB201" i="307"/>
  <c r="CO608" i="321"/>
  <c r="CN118" i="265"/>
  <c r="AY118" i="277" s="1"/>
  <c r="CJ62" i="315"/>
  <c r="CJ58" i="315"/>
  <c r="CJ21" i="315"/>
  <c r="CJ23" i="315"/>
  <c r="CJ60" i="315"/>
  <c r="CJ667" i="321"/>
  <c r="CK664" i="321" l="1"/>
  <c r="CJ114" i="315"/>
  <c r="CO572" i="321"/>
  <c r="CO574" i="321" s="1"/>
  <c r="CO580" i="321" s="1"/>
  <c r="CO582" i="321" s="1"/>
  <c r="CO601" i="321"/>
  <c r="CO604" i="321" s="1"/>
  <c r="CO563" i="321"/>
  <c r="CO567" i="321" s="1"/>
  <c r="CO539" i="321"/>
  <c r="CO541" i="321" s="1"/>
  <c r="CO555" i="321" s="1"/>
  <c r="CO557" i="321" s="1"/>
  <c r="BB202" i="307"/>
  <c r="BB224" i="307"/>
  <c r="BB215" i="307"/>
  <c r="BB217" i="307" s="1"/>
  <c r="BB600" i="307"/>
  <c r="BB670" i="307"/>
  <c r="BB226" i="307"/>
  <c r="BB321" i="307"/>
  <c r="BB322" i="307" s="1"/>
  <c r="BB300" i="307"/>
  <c r="BB301" i="307" s="1"/>
  <c r="BA473" i="307"/>
  <c r="BA475" i="307" s="1"/>
  <c r="BB472" i="307" s="1"/>
  <c r="BA250" i="307"/>
  <c r="BA251" i="307" s="1"/>
  <c r="BA655" i="307"/>
  <c r="BA498" i="307"/>
  <c r="BA493" i="307"/>
  <c r="BA495" i="307" s="1"/>
  <c r="BB492" i="307" s="1"/>
  <c r="BA660" i="307"/>
  <c r="BA499" i="307"/>
  <c r="BA599" i="307"/>
  <c r="BA601" i="307" s="1"/>
  <c r="BA609" i="307"/>
  <c r="BA615" i="307" l="1"/>
  <c r="BB534" i="307"/>
  <c r="BB536" i="307" s="1"/>
  <c r="BB540" i="307" s="1"/>
  <c r="BB541" i="307" s="1"/>
  <c r="BB571" i="307"/>
  <c r="BB573" i="307" s="1"/>
  <c r="BB480" i="307"/>
  <c r="BB481" i="307" s="1"/>
  <c r="BB488" i="307" s="1"/>
  <c r="BA500" i="307"/>
  <c r="BA253" i="307"/>
  <c r="BA255" i="307" s="1"/>
  <c r="BB523" i="307"/>
  <c r="BB525" i="307" s="1"/>
  <c r="BB529" i="307" s="1"/>
  <c r="BB530" i="307" s="1"/>
  <c r="BB558" i="307"/>
  <c r="BB560" i="307" s="1"/>
  <c r="BB460" i="307"/>
  <c r="BB461" i="307" s="1"/>
  <c r="BB468" i="307" s="1"/>
  <c r="BB308" i="307"/>
  <c r="BB311" i="307" s="1"/>
  <c r="BB329" i="307"/>
  <c r="BB332" i="307" s="1"/>
  <c r="BB81" i="307"/>
  <c r="BB82" i="307" s="1"/>
  <c r="BB124" i="307"/>
  <c r="BB125" i="307" s="1"/>
  <c r="BC119" i="307" s="1"/>
  <c r="BB227" i="307"/>
  <c r="BB34" i="310"/>
  <c r="BB225" i="307"/>
  <c r="CO609" i="321"/>
  <c r="CO63" i="265"/>
  <c r="CO560" i="321"/>
  <c r="CO561" i="321" s="1"/>
  <c r="CO610" i="321"/>
  <c r="CO568" i="321"/>
  <c r="CO605" i="321"/>
  <c r="CO38" i="282"/>
  <c r="CO104" i="282"/>
  <c r="CO36" i="282"/>
  <c r="CO583" i="321"/>
  <c r="CK634" i="321"/>
  <c r="CK638" i="321" s="1"/>
  <c r="CK643" i="321"/>
  <c r="CK645" i="321" s="1"/>
  <c r="CK651" i="321" s="1"/>
  <c r="CK653" i="321" s="1"/>
  <c r="CK657" i="321"/>
  <c r="CK660" i="321" s="1"/>
  <c r="CK616" i="321"/>
  <c r="CK618" i="321" s="1"/>
  <c r="CK626" i="321" s="1"/>
  <c r="CK628" i="321" s="1"/>
  <c r="CK665" i="321" l="1"/>
  <c r="CK61" i="315"/>
  <c r="CK631" i="321"/>
  <c r="CK632" i="321" s="1"/>
  <c r="CK106" i="282"/>
  <c r="CK661" i="321"/>
  <c r="CK654" i="321"/>
  <c r="CK639" i="321"/>
  <c r="CK666" i="321"/>
  <c r="CO23" i="265"/>
  <c r="CO60" i="265"/>
  <c r="CO25" i="265"/>
  <c r="CO62" i="265"/>
  <c r="CO64" i="265"/>
  <c r="CO611" i="321"/>
  <c r="BC213" i="307"/>
  <c r="BC148" i="307"/>
  <c r="BC150" i="307" s="1"/>
  <c r="BC176" i="307"/>
  <c r="BC179" i="307" s="1"/>
  <c r="BC184" i="307" s="1"/>
  <c r="BC187" i="307" s="1"/>
  <c r="BC129" i="307"/>
  <c r="BC131" i="307" s="1"/>
  <c r="BC135" i="307" s="1"/>
  <c r="BB84" i="307"/>
  <c r="BB86" i="307" s="1"/>
  <c r="BB640" i="307"/>
  <c r="BB336" i="307"/>
  <c r="BB338" i="307" s="1"/>
  <c r="BC335" i="307" s="1"/>
  <c r="BB342" i="307"/>
  <c r="BB635" i="307"/>
  <c r="BB315" i="307"/>
  <c r="BB317" i="307" s="1"/>
  <c r="BC314" i="307" s="1"/>
  <c r="BB341" i="307"/>
  <c r="BB343" i="307" s="1"/>
  <c r="BB576" i="307"/>
  <c r="BB544" i="307"/>
  <c r="BA258" i="307"/>
  <c r="BA260" i="307" s="1"/>
  <c r="BB257" i="307" s="1"/>
  <c r="BA645" i="307"/>
  <c r="BA12" i="310"/>
  <c r="BA285" i="307"/>
  <c r="BA288" i="307" s="1"/>
  <c r="BA650" i="307"/>
  <c r="BA135" i="288"/>
  <c r="BA136" i="288" s="1"/>
  <c r="BA14" i="310"/>
  <c r="BB577" i="307"/>
  <c r="BB545" i="307"/>
  <c r="BA138" i="288" l="1"/>
  <c r="BA140" i="288" s="1"/>
  <c r="BA56" i="288"/>
  <c r="BA206" i="288"/>
  <c r="BA16" i="310"/>
  <c r="BB264" i="307"/>
  <c r="BB265" i="307" s="1"/>
  <c r="BB269" i="307" s="1"/>
  <c r="BB271" i="307" s="1"/>
  <c r="BB244" i="307"/>
  <c r="BB245" i="307" s="1"/>
  <c r="BB254" i="307" s="1"/>
  <c r="BB546" i="307"/>
  <c r="BB578" i="307"/>
  <c r="BB454" i="307"/>
  <c r="BB455" i="307" s="1"/>
  <c r="BB249" i="307"/>
  <c r="BB630" i="307"/>
  <c r="BB134" i="288"/>
  <c r="BB13" i="310"/>
  <c r="BB347" i="307"/>
  <c r="BB349" i="307" s="1"/>
  <c r="BC346" i="307" s="1"/>
  <c r="BC305" i="307"/>
  <c r="BC306" i="307" s="1"/>
  <c r="BC309" i="307" s="1"/>
  <c r="BC378" i="307"/>
  <c r="BC380" i="307" s="1"/>
  <c r="BC384" i="307" s="1"/>
  <c r="BC385" i="307" s="1"/>
  <c r="BC414" i="307"/>
  <c r="BC416" i="307" s="1"/>
  <c r="BC326" i="307"/>
  <c r="BC327" i="307" s="1"/>
  <c r="BC330" i="307" s="1"/>
  <c r="BC390" i="307"/>
  <c r="BC392" i="307" s="1"/>
  <c r="BC396" i="307" s="1"/>
  <c r="BC397" i="307" s="1"/>
  <c r="BC427" i="307"/>
  <c r="BC429" i="307" s="1"/>
  <c r="BB89" i="307"/>
  <c r="BB90" i="307" s="1"/>
  <c r="BC88" i="307" s="1"/>
  <c r="BB675" i="307"/>
  <c r="BB625" i="307"/>
  <c r="BB10" i="310"/>
  <c r="BB284" i="307"/>
  <c r="BC193" i="307"/>
  <c r="BC190" i="307"/>
  <c r="BC191" i="307" s="1"/>
  <c r="BC156" i="307"/>
  <c r="BC153" i="307"/>
  <c r="BC154" i="307" s="1"/>
  <c r="CO118" i="265"/>
  <c r="CP608" i="321"/>
  <c r="CK62" i="315"/>
  <c r="CK58" i="315"/>
  <c r="CK21" i="315"/>
  <c r="CK23" i="315"/>
  <c r="CK60" i="315"/>
  <c r="CK667" i="321"/>
  <c r="CK114" i="315" l="1"/>
  <c r="CL664" i="321"/>
  <c r="CP539" i="321"/>
  <c r="CP541" i="321" s="1"/>
  <c r="CP555" i="321" s="1"/>
  <c r="CP557" i="321" s="1"/>
  <c r="CP601" i="321"/>
  <c r="CP604" i="321" s="1"/>
  <c r="CP563" i="321"/>
  <c r="CP567" i="321" s="1"/>
  <c r="CP572" i="321"/>
  <c r="CP574" i="321" s="1"/>
  <c r="CP580" i="321" s="1"/>
  <c r="CP582" i="321" s="1"/>
  <c r="BC157" i="307"/>
  <c r="BC594" i="307"/>
  <c r="BC33" i="310"/>
  <c r="BC21" i="307"/>
  <c r="BC198" i="307"/>
  <c r="BC158" i="307"/>
  <c r="BC194" i="307"/>
  <c r="BC593" i="307"/>
  <c r="BC200" i="307"/>
  <c r="BC32" i="310"/>
  <c r="BC20" i="307"/>
  <c r="BC195" i="307"/>
  <c r="BC72" i="307"/>
  <c r="BC75" i="307" s="1"/>
  <c r="BC78" i="307" s="1"/>
  <c r="BC79" i="307" s="1"/>
  <c r="BC433" i="307"/>
  <c r="BC401" i="307"/>
  <c r="BC432" i="307"/>
  <c r="BC434" i="307" s="1"/>
  <c r="BC400" i="307"/>
  <c r="BC402" i="307" s="1"/>
  <c r="BB464" i="307"/>
  <c r="BB465" i="307" s="1"/>
  <c r="BB484" i="307"/>
  <c r="BB485" i="307" s="1"/>
  <c r="BB588" i="307"/>
  <c r="BB40" i="310"/>
  <c r="BB27" i="307"/>
  <c r="BB587" i="307"/>
  <c r="BB589" i="307" s="1"/>
  <c r="BB26" i="307"/>
  <c r="BB39" i="310"/>
  <c r="BB595" i="307"/>
  <c r="BB30" i="307"/>
  <c r="BB43" i="310"/>
  <c r="BA63" i="310"/>
  <c r="BA47" i="310"/>
  <c r="BA58" i="310"/>
  <c r="BA145" i="288"/>
  <c r="BB591" i="307" l="1"/>
  <c r="BB596" i="307" s="1"/>
  <c r="BB139" i="288"/>
  <c r="BB487" i="307"/>
  <c r="BB489" i="307" s="1"/>
  <c r="BB467" i="307"/>
  <c r="BB469" i="307" s="1"/>
  <c r="BC584" i="307"/>
  <c r="BC36" i="310"/>
  <c r="BC23" i="307"/>
  <c r="BC585" i="307"/>
  <c r="BC24" i="307"/>
  <c r="BC37" i="310"/>
  <c r="BC294" i="307"/>
  <c r="BC296" i="307" s="1"/>
  <c r="BC85" i="307"/>
  <c r="BC453" i="307"/>
  <c r="BC248" i="307"/>
  <c r="BC207" i="307"/>
  <c r="BC123" i="307"/>
  <c r="BC205" i="307"/>
  <c r="BC208" i="307" s="1"/>
  <c r="BC121" i="307"/>
  <c r="BC201" i="307"/>
  <c r="CP36" i="282"/>
  <c r="CP104" i="282"/>
  <c r="CP583" i="321"/>
  <c r="CP610" i="321"/>
  <c r="CP568" i="321"/>
  <c r="CP605" i="321"/>
  <c r="CP38" i="282"/>
  <c r="CP609" i="321"/>
  <c r="CP611" i="321" s="1"/>
  <c r="CP560" i="321"/>
  <c r="CP561" i="321" s="1"/>
  <c r="CP63" i="265"/>
  <c r="AZ63" i="277" s="1"/>
  <c r="CL616" i="321"/>
  <c r="CL618" i="321" s="1"/>
  <c r="CL626" i="321" s="1"/>
  <c r="CL628" i="321" s="1"/>
  <c r="CL657" i="321"/>
  <c r="CL660" i="321" s="1"/>
  <c r="CL643" i="321"/>
  <c r="CL645" i="321" s="1"/>
  <c r="CL651" i="321" s="1"/>
  <c r="CL653" i="321" s="1"/>
  <c r="CL634" i="321"/>
  <c r="CL638" i="321" s="1"/>
  <c r="CL639" i="321" l="1"/>
  <c r="CL666" i="321"/>
  <c r="CL654" i="321"/>
  <c r="CL661" i="321"/>
  <c r="CL106" i="282"/>
  <c r="CL665" i="321"/>
  <c r="CL667" i="321" s="1"/>
  <c r="CL61" i="315"/>
  <c r="CL631" i="321"/>
  <c r="CL632" i="321" s="1"/>
  <c r="CQ608" i="321"/>
  <c r="CP118" i="265"/>
  <c r="AZ118" i="277" s="1"/>
  <c r="CP25" i="265"/>
  <c r="AZ25" i="277" s="1"/>
  <c r="CP62" i="265"/>
  <c r="AZ62" i="277" s="1"/>
  <c r="CP64" i="265"/>
  <c r="AZ64" i="277" s="1"/>
  <c r="CP23" i="265"/>
  <c r="AZ23" i="277" s="1"/>
  <c r="CP60" i="265"/>
  <c r="AZ60" i="277" s="1"/>
  <c r="BC202" i="307"/>
  <c r="BC224" i="307"/>
  <c r="BC215" i="307"/>
  <c r="BC217" i="307" s="1"/>
  <c r="BC600" i="307"/>
  <c r="BC670" i="307"/>
  <c r="BC226" i="307"/>
  <c r="BC321" i="307"/>
  <c r="BC322" i="307" s="1"/>
  <c r="BC300" i="307"/>
  <c r="BC301" i="307" s="1"/>
  <c r="BB473" i="307"/>
  <c r="BB475" i="307" s="1"/>
  <c r="BC472" i="307" s="1"/>
  <c r="BB250" i="307"/>
  <c r="BB251" i="307" s="1"/>
  <c r="BB655" i="307"/>
  <c r="BB498" i="307"/>
  <c r="BB493" i="307"/>
  <c r="BB495" i="307" s="1"/>
  <c r="BC492" i="307" s="1"/>
  <c r="BB660" i="307"/>
  <c r="BB499" i="307"/>
  <c r="BB599" i="307"/>
  <c r="BB601" i="307" s="1"/>
  <c r="BB609" i="307"/>
  <c r="BB615" i="307" l="1"/>
  <c r="BC534" i="307"/>
  <c r="BC536" i="307" s="1"/>
  <c r="BC540" i="307" s="1"/>
  <c r="BC541" i="307" s="1"/>
  <c r="BC571" i="307"/>
  <c r="BC573" i="307" s="1"/>
  <c r="BC480" i="307"/>
  <c r="BC481" i="307" s="1"/>
  <c r="BC488" i="307" s="1"/>
  <c r="BB500" i="307"/>
  <c r="BB253" i="307"/>
  <c r="BB255" i="307" s="1"/>
  <c r="BC523" i="307"/>
  <c r="BC525" i="307" s="1"/>
  <c r="BC529" i="307" s="1"/>
  <c r="BC530" i="307" s="1"/>
  <c r="BC558" i="307"/>
  <c r="BC560" i="307" s="1"/>
  <c r="BC460" i="307"/>
  <c r="BC461" i="307" s="1"/>
  <c r="BC468" i="307" s="1"/>
  <c r="BC308" i="307"/>
  <c r="BC311" i="307" s="1"/>
  <c r="BC329" i="307"/>
  <c r="BC332" i="307" s="1"/>
  <c r="BC81" i="307"/>
  <c r="BC82" i="307" s="1"/>
  <c r="BC124" i="307"/>
  <c r="BC125" i="307" s="1"/>
  <c r="BD119" i="307" s="1"/>
  <c r="BC227" i="307"/>
  <c r="BC34" i="310"/>
  <c r="BC225" i="307"/>
  <c r="CQ601" i="321"/>
  <c r="CQ604" i="321" s="1"/>
  <c r="CQ563" i="321"/>
  <c r="CQ567" i="321" s="1"/>
  <c r="CQ539" i="321"/>
  <c r="CQ541" i="321" s="1"/>
  <c r="CQ555" i="321" s="1"/>
  <c r="CQ557" i="321" s="1"/>
  <c r="CQ572" i="321"/>
  <c r="CQ574" i="321" s="1"/>
  <c r="CQ580" i="321" s="1"/>
  <c r="CQ582" i="321" s="1"/>
  <c r="CM664" i="321"/>
  <c r="CL114" i="315"/>
  <c r="CL60" i="315"/>
  <c r="CL23" i="315"/>
  <c r="CL58" i="315"/>
  <c r="CL21" i="315"/>
  <c r="CL62" i="315"/>
  <c r="CM634" i="321" l="1"/>
  <c r="CM638" i="321" s="1"/>
  <c r="CM643" i="321"/>
  <c r="CM645" i="321" s="1"/>
  <c r="CM651" i="321" s="1"/>
  <c r="CM653" i="321" s="1"/>
  <c r="CM657" i="321"/>
  <c r="CM660" i="321" s="1"/>
  <c r="CM616" i="321"/>
  <c r="CM618" i="321" s="1"/>
  <c r="CM626" i="321" s="1"/>
  <c r="CM628" i="321" s="1"/>
  <c r="CQ104" i="282"/>
  <c r="CQ583" i="321"/>
  <c r="CQ36" i="282"/>
  <c r="CQ609" i="321"/>
  <c r="CQ560" i="321"/>
  <c r="CQ561" i="321" s="1"/>
  <c r="CQ63" i="265"/>
  <c r="CQ610" i="321"/>
  <c r="CQ568" i="321"/>
  <c r="CQ38" i="282"/>
  <c r="CQ605" i="321"/>
  <c r="BD213" i="307"/>
  <c r="BD148" i="307"/>
  <c r="BD150" i="307" s="1"/>
  <c r="BD176" i="307"/>
  <c r="BD179" i="307" s="1"/>
  <c r="BD184" i="307" s="1"/>
  <c r="BD187" i="307" s="1"/>
  <c r="BD129" i="307"/>
  <c r="BD131" i="307" s="1"/>
  <c r="BD135" i="307" s="1"/>
  <c r="BC84" i="307"/>
  <c r="BC86" i="307" s="1"/>
  <c r="BC640" i="307"/>
  <c r="BC336" i="307"/>
  <c r="BC338" i="307" s="1"/>
  <c r="BD335" i="307" s="1"/>
  <c r="BC342" i="307"/>
  <c r="BC635" i="307"/>
  <c r="BC315" i="307"/>
  <c r="BC317" i="307" s="1"/>
  <c r="BD314" i="307" s="1"/>
  <c r="BC341" i="307"/>
  <c r="BC343" i="307" s="1"/>
  <c r="BC576" i="307"/>
  <c r="BC544" i="307"/>
  <c r="BB258" i="307"/>
  <c r="BB260" i="307" s="1"/>
  <c r="BC257" i="307" s="1"/>
  <c r="BB645" i="307"/>
  <c r="BB285" i="307"/>
  <c r="BB288" i="307" s="1"/>
  <c r="BB12" i="310"/>
  <c r="BB650" i="307"/>
  <c r="BB135" i="288"/>
  <c r="BB136" i="288" s="1"/>
  <c r="BB14" i="310"/>
  <c r="BC577" i="307"/>
  <c r="BC545" i="307"/>
  <c r="BB138" i="288" l="1"/>
  <c r="BB140" i="288" s="1"/>
  <c r="BB16" i="310"/>
  <c r="BB56" i="288"/>
  <c r="BB206" i="288"/>
  <c r="BC264" i="307"/>
  <c r="BC265" i="307" s="1"/>
  <c r="BC269" i="307" s="1"/>
  <c r="BC271" i="307" s="1"/>
  <c r="BC244" i="307"/>
  <c r="BC245" i="307" s="1"/>
  <c r="BC254" i="307" s="1"/>
  <c r="BC546" i="307"/>
  <c r="BC578" i="307"/>
  <c r="BC454" i="307"/>
  <c r="BC455" i="307" s="1"/>
  <c r="BC249" i="307"/>
  <c r="BC630" i="307"/>
  <c r="BC347" i="307"/>
  <c r="BC349" i="307" s="1"/>
  <c r="BD346" i="307" s="1"/>
  <c r="BC13" i="310"/>
  <c r="BC134" i="288"/>
  <c r="BD305" i="307"/>
  <c r="BD306" i="307" s="1"/>
  <c r="BD309" i="307" s="1"/>
  <c r="BD378" i="307"/>
  <c r="BD380" i="307" s="1"/>
  <c r="BD384" i="307" s="1"/>
  <c r="BD385" i="307" s="1"/>
  <c r="BD414" i="307"/>
  <c r="BD416" i="307" s="1"/>
  <c r="BD326" i="307"/>
  <c r="BD327" i="307" s="1"/>
  <c r="BD330" i="307" s="1"/>
  <c r="BD390" i="307"/>
  <c r="BD392" i="307" s="1"/>
  <c r="BD396" i="307" s="1"/>
  <c r="BD397" i="307" s="1"/>
  <c r="BD427" i="307"/>
  <c r="BD429" i="307" s="1"/>
  <c r="BC89" i="307"/>
  <c r="BC90" i="307" s="1"/>
  <c r="BD88" i="307" s="1"/>
  <c r="BC675" i="307"/>
  <c r="BC625" i="307"/>
  <c r="BC284" i="307"/>
  <c r="BC10" i="310"/>
  <c r="BD193" i="307"/>
  <c r="BD190" i="307"/>
  <c r="BD191" i="307" s="1"/>
  <c r="BD156" i="307"/>
  <c r="BD153" i="307"/>
  <c r="BD154" i="307" s="1"/>
  <c r="CQ25" i="265"/>
  <c r="CQ62" i="265"/>
  <c r="CQ64" i="265"/>
  <c r="CQ611" i="321"/>
  <c r="CQ23" i="265"/>
  <c r="CQ60" i="265"/>
  <c r="CM665" i="321"/>
  <c r="CM61" i="315"/>
  <c r="CM631" i="321"/>
  <c r="CM632" i="321" s="1"/>
  <c r="CM106" i="282"/>
  <c r="CM661" i="321"/>
  <c r="CM654" i="321"/>
  <c r="CM639" i="321"/>
  <c r="CM666" i="321"/>
  <c r="CM62" i="315" l="1"/>
  <c r="CM58" i="315"/>
  <c r="CM21" i="315"/>
  <c r="CM23" i="315"/>
  <c r="CM60" i="315"/>
  <c r="CM667" i="321"/>
  <c r="CR608" i="321"/>
  <c r="CQ118" i="265"/>
  <c r="BD157" i="307"/>
  <c r="BD594" i="307"/>
  <c r="BD33" i="310"/>
  <c r="BD21" i="307"/>
  <c r="BD198" i="307"/>
  <c r="BD158" i="307"/>
  <c r="BD194" i="307"/>
  <c r="BD593" i="307"/>
  <c r="BD20" i="307"/>
  <c r="BD200" i="307"/>
  <c r="BD32" i="310"/>
  <c r="BD195" i="307"/>
  <c r="BD72" i="307"/>
  <c r="BD75" i="307" s="1"/>
  <c r="BD78" i="307" s="1"/>
  <c r="BD79" i="307" s="1"/>
  <c r="BD433" i="307"/>
  <c r="BD401" i="307"/>
  <c r="BD432" i="307"/>
  <c r="BD434" i="307" s="1"/>
  <c r="BD400" i="307"/>
  <c r="BD402" i="307" s="1"/>
  <c r="BC464" i="307"/>
  <c r="BC465" i="307" s="1"/>
  <c r="BC484" i="307"/>
  <c r="BC485" i="307" s="1"/>
  <c r="BC588" i="307"/>
  <c r="BC40" i="310"/>
  <c r="BC27" i="307"/>
  <c r="BC587" i="307"/>
  <c r="BC589" i="307" s="1"/>
  <c r="BC26" i="307"/>
  <c r="BC39" i="310"/>
  <c r="BC595" i="307"/>
  <c r="BC43" i="310"/>
  <c r="BC30" i="307"/>
  <c r="BB63" i="310"/>
  <c r="BB47" i="310"/>
  <c r="BB58" i="310"/>
  <c r="BB145" i="288"/>
  <c r="BC591" i="307" l="1"/>
  <c r="BC596" i="307" s="1"/>
  <c r="BC139" i="288"/>
  <c r="BC487" i="307"/>
  <c r="BC489" i="307" s="1"/>
  <c r="BC467" i="307"/>
  <c r="BC469" i="307" s="1"/>
  <c r="BD584" i="307"/>
  <c r="BD23" i="307"/>
  <c r="BD36" i="310"/>
  <c r="BD585" i="307"/>
  <c r="BD37" i="310"/>
  <c r="BD24" i="307"/>
  <c r="BD294" i="307"/>
  <c r="BD296" i="307" s="1"/>
  <c r="BD85" i="307"/>
  <c r="BD453" i="307"/>
  <c r="BD248" i="307"/>
  <c r="BD207" i="307"/>
  <c r="BD123" i="307"/>
  <c r="BD205" i="307"/>
  <c r="BD208" i="307" s="1"/>
  <c r="BD121" i="307"/>
  <c r="BD201" i="307"/>
  <c r="CR601" i="321"/>
  <c r="CR604" i="321" s="1"/>
  <c r="CR539" i="321"/>
  <c r="CR541" i="321" s="1"/>
  <c r="CR555" i="321" s="1"/>
  <c r="CR557" i="321" s="1"/>
  <c r="CR572" i="321"/>
  <c r="CR574" i="321" s="1"/>
  <c r="CR580" i="321" s="1"/>
  <c r="CR582" i="321" s="1"/>
  <c r="CR563" i="321"/>
  <c r="CR567" i="321" s="1"/>
  <c r="CM114" i="315"/>
  <c r="CN664" i="321"/>
  <c r="CN634" i="321" l="1"/>
  <c r="CN638" i="321" s="1"/>
  <c r="CN616" i="321"/>
  <c r="CN618" i="321" s="1"/>
  <c r="CN626" i="321" s="1"/>
  <c r="CN628" i="321" s="1"/>
  <c r="CN657" i="321"/>
  <c r="CN660" i="321" s="1"/>
  <c r="CN643" i="321"/>
  <c r="CN645" i="321" s="1"/>
  <c r="CN651" i="321" s="1"/>
  <c r="CN653" i="321" s="1"/>
  <c r="CR610" i="321"/>
  <c r="CR568" i="321"/>
  <c r="CR104" i="282"/>
  <c r="CR583" i="321"/>
  <c r="CR36" i="282"/>
  <c r="CR609" i="321"/>
  <c r="CR611" i="321" s="1"/>
  <c r="CR560" i="321"/>
  <c r="CR561" i="321" s="1"/>
  <c r="CR63" i="265"/>
  <c r="BA63" i="277" s="1"/>
  <c r="CR38" i="282"/>
  <c r="CR605" i="321"/>
  <c r="BD224" i="307"/>
  <c r="BD202" i="307"/>
  <c r="BD215" i="307"/>
  <c r="BD217" i="307" s="1"/>
  <c r="BD600" i="307"/>
  <c r="BD670" i="307"/>
  <c r="BD226" i="307"/>
  <c r="BD321" i="307"/>
  <c r="BD322" i="307" s="1"/>
  <c r="BD300" i="307"/>
  <c r="BD301" i="307" s="1"/>
  <c r="BC473" i="307"/>
  <c r="BC475" i="307" s="1"/>
  <c r="BD472" i="307" s="1"/>
  <c r="BC250" i="307"/>
  <c r="BC251" i="307" s="1"/>
  <c r="BC655" i="307"/>
  <c r="BC498" i="307"/>
  <c r="BC493" i="307"/>
  <c r="BC495" i="307" s="1"/>
  <c r="BD492" i="307" s="1"/>
  <c r="BC660" i="307"/>
  <c r="BC499" i="307"/>
  <c r="BC599" i="307"/>
  <c r="BC601" i="307" s="1"/>
  <c r="BC609" i="307"/>
  <c r="BC615" i="307" l="1"/>
  <c r="BD534" i="307"/>
  <c r="BD536" i="307" s="1"/>
  <c r="BD540" i="307" s="1"/>
  <c r="BD541" i="307" s="1"/>
  <c r="BD571" i="307"/>
  <c r="BD573" i="307" s="1"/>
  <c r="BD480" i="307"/>
  <c r="BD481" i="307" s="1"/>
  <c r="BD488" i="307" s="1"/>
  <c r="BC500" i="307"/>
  <c r="BC253" i="307"/>
  <c r="BC255" i="307" s="1"/>
  <c r="BD523" i="307"/>
  <c r="BD525" i="307" s="1"/>
  <c r="BD529" i="307" s="1"/>
  <c r="BD530" i="307" s="1"/>
  <c r="BD558" i="307"/>
  <c r="BD560" i="307" s="1"/>
  <c r="BD460" i="307"/>
  <c r="BD461" i="307" s="1"/>
  <c r="BD468" i="307" s="1"/>
  <c r="BD308" i="307"/>
  <c r="BD311" i="307" s="1"/>
  <c r="BD329" i="307"/>
  <c r="BD332" i="307" s="1"/>
  <c r="BD81" i="307"/>
  <c r="BD82" i="307" s="1"/>
  <c r="BD124" i="307"/>
  <c r="BD125" i="307" s="1"/>
  <c r="BE119" i="307" s="1"/>
  <c r="BD227" i="307"/>
  <c r="BD34" i="310"/>
  <c r="BD225" i="307"/>
  <c r="CR25" i="265"/>
  <c r="BA25" i="277" s="1"/>
  <c r="CR62" i="265"/>
  <c r="BA62" i="277" s="1"/>
  <c r="CS608" i="321"/>
  <c r="CR118" i="265"/>
  <c r="BA118" i="277" s="1"/>
  <c r="CR23" i="265"/>
  <c r="BA23" i="277" s="1"/>
  <c r="CR60" i="265"/>
  <c r="BA60" i="277" s="1"/>
  <c r="CR64" i="265"/>
  <c r="BA64" i="277" s="1"/>
  <c r="CN654" i="321"/>
  <c r="CN106" i="282"/>
  <c r="CN661" i="321"/>
  <c r="CN631" i="321"/>
  <c r="CN632" i="321" s="1"/>
  <c r="CN61" i="315"/>
  <c r="CN665" i="321"/>
  <c r="CN639" i="321"/>
  <c r="CN666" i="321"/>
  <c r="CN62" i="315" l="1"/>
  <c r="CN667" i="321"/>
  <c r="CN23" i="315"/>
  <c r="CN60" i="315"/>
  <c r="CN58" i="315"/>
  <c r="CN21" i="315"/>
  <c r="CS539" i="321"/>
  <c r="CS541" i="321" s="1"/>
  <c r="CS555" i="321" s="1"/>
  <c r="CS557" i="321" s="1"/>
  <c r="CS572" i="321"/>
  <c r="CS574" i="321" s="1"/>
  <c r="CS580" i="321" s="1"/>
  <c r="CS582" i="321" s="1"/>
  <c r="CS601" i="321"/>
  <c r="CS604" i="321" s="1"/>
  <c r="CS563" i="321"/>
  <c r="CS567" i="321" s="1"/>
  <c r="BE176" i="307"/>
  <c r="BE179" i="307" s="1"/>
  <c r="BE184" i="307" s="1"/>
  <c r="BE187" i="307" s="1"/>
  <c r="BE148" i="307"/>
  <c r="BE150" i="307" s="1"/>
  <c r="BE213" i="307"/>
  <c r="BE129" i="307"/>
  <c r="BE131" i="307" s="1"/>
  <c r="BE135" i="307" s="1"/>
  <c r="BD84" i="307"/>
  <c r="BD86" i="307" s="1"/>
  <c r="BD640" i="307"/>
  <c r="BD336" i="307"/>
  <c r="BD338" i="307" s="1"/>
  <c r="BE335" i="307" s="1"/>
  <c r="BD342" i="307"/>
  <c r="BD635" i="307"/>
  <c r="BD315" i="307"/>
  <c r="BD317" i="307" s="1"/>
  <c r="BE314" i="307" s="1"/>
  <c r="BD341" i="307"/>
  <c r="BD343" i="307" s="1"/>
  <c r="BD576" i="307"/>
  <c r="BD544" i="307"/>
  <c r="BC258" i="307"/>
  <c r="BC260" i="307" s="1"/>
  <c r="BD257" i="307" s="1"/>
  <c r="BC645" i="307"/>
  <c r="BC12" i="310"/>
  <c r="BC285" i="307"/>
  <c r="BC288" i="307" s="1"/>
  <c r="BC650" i="307"/>
  <c r="BC135" i="288"/>
  <c r="BC136" i="288" s="1"/>
  <c r="BC14" i="310"/>
  <c r="BD577" i="307"/>
  <c r="BD545" i="307"/>
  <c r="BC138" i="288" l="1"/>
  <c r="BC140" i="288" s="1"/>
  <c r="BC206" i="288"/>
  <c r="BC56" i="288"/>
  <c r="BC16" i="310"/>
  <c r="BD264" i="307"/>
  <c r="BD265" i="307" s="1"/>
  <c r="BD269" i="307" s="1"/>
  <c r="BD271" i="307" s="1"/>
  <c r="BD244" i="307"/>
  <c r="BD245" i="307" s="1"/>
  <c r="BD254" i="307" s="1"/>
  <c r="BD546" i="307"/>
  <c r="BD578" i="307"/>
  <c r="BD454" i="307"/>
  <c r="BD455" i="307" s="1"/>
  <c r="BD249" i="307"/>
  <c r="BD630" i="307"/>
  <c r="BD13" i="310"/>
  <c r="BD134" i="288"/>
  <c r="BD347" i="307"/>
  <c r="BD349" i="307" s="1"/>
  <c r="BE346" i="307" s="1"/>
  <c r="BE305" i="307"/>
  <c r="BE306" i="307" s="1"/>
  <c r="BE309" i="307" s="1"/>
  <c r="BE378" i="307"/>
  <c r="BE380" i="307" s="1"/>
  <c r="BE384" i="307" s="1"/>
  <c r="BE385" i="307" s="1"/>
  <c r="BE414" i="307"/>
  <c r="BE416" i="307" s="1"/>
  <c r="BE326" i="307"/>
  <c r="BE327" i="307" s="1"/>
  <c r="BE330" i="307" s="1"/>
  <c r="BE390" i="307"/>
  <c r="BE392" i="307" s="1"/>
  <c r="BE396" i="307" s="1"/>
  <c r="BE397" i="307" s="1"/>
  <c r="BE427" i="307"/>
  <c r="BE429" i="307" s="1"/>
  <c r="BD89" i="307"/>
  <c r="BD90" i="307" s="1"/>
  <c r="BE88" i="307" s="1"/>
  <c r="BD675" i="307"/>
  <c r="BD625" i="307"/>
  <c r="BD284" i="307"/>
  <c r="BD10" i="310"/>
  <c r="BE153" i="307"/>
  <c r="BE154" i="307" s="1"/>
  <c r="BE156" i="307"/>
  <c r="H150" i="307"/>
  <c r="BE190" i="307"/>
  <c r="BE191" i="307" s="1"/>
  <c r="BE193" i="307"/>
  <c r="H187" i="307"/>
  <c r="CS610" i="321"/>
  <c r="CS568" i="321"/>
  <c r="CS605" i="321"/>
  <c r="CS38" i="282"/>
  <c r="CS104" i="282"/>
  <c r="CS583" i="321"/>
  <c r="CS36" i="282"/>
  <c r="CS609" i="321"/>
  <c r="CS611" i="321" s="1"/>
  <c r="CS63" i="265"/>
  <c r="CS560" i="321"/>
  <c r="CS561" i="321" s="1"/>
  <c r="CO664" i="321"/>
  <c r="CN114" i="315"/>
  <c r="CO634" i="321" l="1"/>
  <c r="CO638" i="321" s="1"/>
  <c r="CO643" i="321"/>
  <c r="CO645" i="321" s="1"/>
  <c r="CO651" i="321" s="1"/>
  <c r="CO653" i="321" s="1"/>
  <c r="CO657" i="321"/>
  <c r="CO660" i="321" s="1"/>
  <c r="CO616" i="321"/>
  <c r="CO618" i="321" s="1"/>
  <c r="CO626" i="321" s="1"/>
  <c r="CO628" i="321" s="1"/>
  <c r="CT608" i="321"/>
  <c r="CS118" i="265"/>
  <c r="CS23" i="265"/>
  <c r="CS60" i="265"/>
  <c r="CS25" i="265"/>
  <c r="CS62" i="265"/>
  <c r="CS64" i="265"/>
  <c r="H190" i="307"/>
  <c r="H193" i="307"/>
  <c r="BE593" i="307"/>
  <c r="BE194" i="307"/>
  <c r="BE195" i="307" s="1"/>
  <c r="BE32" i="310"/>
  <c r="BE20" i="307"/>
  <c r="BE200" i="307"/>
  <c r="H191" i="307"/>
  <c r="H153" i="307"/>
  <c r="H156" i="307"/>
  <c r="BE594" i="307"/>
  <c r="BE157" i="307"/>
  <c r="BE158" i="307" s="1"/>
  <c r="BE21" i="307"/>
  <c r="BE198" i="307"/>
  <c r="BE201" i="307" s="1"/>
  <c r="BE33" i="310"/>
  <c r="H154" i="307"/>
  <c r="BE72" i="307"/>
  <c r="BE75" i="307" s="1"/>
  <c r="BE78" i="307" s="1"/>
  <c r="BE79" i="307" s="1"/>
  <c r="BE433" i="307"/>
  <c r="H429" i="307"/>
  <c r="H433" i="307" s="1"/>
  <c r="BE401" i="307"/>
  <c r="H397" i="307"/>
  <c r="H401" i="307" s="1"/>
  <c r="BE432" i="307"/>
  <c r="BE434" i="307" s="1"/>
  <c r="H416" i="307"/>
  <c r="H432" i="307" s="1"/>
  <c r="BE400" i="307"/>
  <c r="BE402" i="307" s="1"/>
  <c r="H385" i="307"/>
  <c r="H400" i="307" s="1"/>
  <c r="BD464" i="307"/>
  <c r="BD465" i="307" s="1"/>
  <c r="BD484" i="307"/>
  <c r="BD485" i="307" s="1"/>
  <c r="BD588" i="307"/>
  <c r="BD40" i="310"/>
  <c r="BD27" i="307"/>
  <c r="BD587" i="307"/>
  <c r="BD589" i="307" s="1"/>
  <c r="BD26" i="307"/>
  <c r="BD39" i="310"/>
  <c r="BD595" i="307"/>
  <c r="BD43" i="310"/>
  <c r="BD30" i="307"/>
  <c r="BC58" i="310"/>
  <c r="BC47" i="310"/>
  <c r="BC63" i="310"/>
  <c r="BC145" i="288"/>
  <c r="BD591" i="307" l="1"/>
  <c r="BD596" i="307" s="1"/>
  <c r="BD139" i="288"/>
  <c r="BD487" i="307"/>
  <c r="BD489" i="307" s="1"/>
  <c r="BD467" i="307"/>
  <c r="BD469" i="307" s="1"/>
  <c r="BE584" i="307"/>
  <c r="BE36" i="310"/>
  <c r="BE23" i="307"/>
  <c r="H402" i="307"/>
  <c r="BE585" i="307"/>
  <c r="BE37" i="310"/>
  <c r="BE24" i="307"/>
  <c r="H434" i="307"/>
  <c r="BE294" i="307"/>
  <c r="BE296" i="307" s="1"/>
  <c r="BE453" i="307"/>
  <c r="BE85" i="307"/>
  <c r="BE248" i="307"/>
  <c r="H79" i="307"/>
  <c r="H33" i="310"/>
  <c r="H198" i="307"/>
  <c r="H21" i="307"/>
  <c r="H157" i="307"/>
  <c r="H594" i="307"/>
  <c r="BE224" i="307"/>
  <c r="Q230" i="307" s="1"/>
  <c r="H230" i="307" s="1"/>
  <c r="BE202" i="307"/>
  <c r="H201" i="307"/>
  <c r="H224" i="307" s="1"/>
  <c r="BE205" i="307"/>
  <c r="BE121" i="307"/>
  <c r="H158" i="307"/>
  <c r="H32" i="310"/>
  <c r="H200" i="307"/>
  <c r="H20" i="307"/>
  <c r="H593" i="307"/>
  <c r="H194" i="307"/>
  <c r="BE207" i="307"/>
  <c r="BE123" i="307"/>
  <c r="H195" i="307"/>
  <c r="CT539" i="321"/>
  <c r="CT541" i="321" s="1"/>
  <c r="CT555" i="321" s="1"/>
  <c r="CT557" i="321" s="1"/>
  <c r="CT572" i="321"/>
  <c r="CT574" i="321" s="1"/>
  <c r="CT580" i="321" s="1"/>
  <c r="CT582" i="321" s="1"/>
  <c r="CT563" i="321"/>
  <c r="CT567" i="321" s="1"/>
  <c r="CT601" i="321"/>
  <c r="CT604" i="321" s="1"/>
  <c r="CO665" i="321"/>
  <c r="CO61" i="315"/>
  <c r="CO631" i="321"/>
  <c r="CO632" i="321" s="1"/>
  <c r="CO106" i="282"/>
  <c r="CO661" i="321"/>
  <c r="CO654" i="321"/>
  <c r="CO639" i="321"/>
  <c r="CO666" i="321"/>
  <c r="CO62" i="315" l="1"/>
  <c r="CO58" i="315"/>
  <c r="CO21" i="315"/>
  <c r="CO23" i="315"/>
  <c r="CO60" i="315"/>
  <c r="CO667" i="321"/>
  <c r="CT605" i="321"/>
  <c r="CT38" i="282"/>
  <c r="CT610" i="321"/>
  <c r="CT568" i="321"/>
  <c r="CT104" i="282"/>
  <c r="CT583" i="321"/>
  <c r="CT36" i="282"/>
  <c r="CT609" i="321"/>
  <c r="CT611" i="321" s="1"/>
  <c r="CT560" i="321"/>
  <c r="CT561" i="321" s="1"/>
  <c r="CT63" i="265"/>
  <c r="BB63" i="277" s="1"/>
  <c r="H63" i="277" s="1"/>
  <c r="H123" i="307"/>
  <c r="H207" i="307"/>
  <c r="F154" i="328"/>
  <c r="H70" i="269"/>
  <c r="K70" i="269" s="1"/>
  <c r="H205" i="307"/>
  <c r="H121" i="307"/>
  <c r="BE208" i="307"/>
  <c r="BE225" i="307"/>
  <c r="Q231" i="307" s="1"/>
  <c r="H231" i="307" s="1"/>
  <c r="H202" i="307"/>
  <c r="H225" i="307" s="1"/>
  <c r="F155" i="328"/>
  <c r="H71" i="269"/>
  <c r="K71" i="269" s="1"/>
  <c r="H294" i="307"/>
  <c r="H453" i="307"/>
  <c r="H85" i="307"/>
  <c r="H248" i="307"/>
  <c r="BE321" i="307"/>
  <c r="BE322" i="307" s="1"/>
  <c r="BE300" i="307"/>
  <c r="BE301" i="307" s="1"/>
  <c r="H296" i="307"/>
  <c r="H585" i="307"/>
  <c r="H24" i="307"/>
  <c r="H37" i="310"/>
  <c r="H36" i="310"/>
  <c r="H23" i="307"/>
  <c r="H584" i="307"/>
  <c r="BD473" i="307"/>
  <c r="BD475" i="307" s="1"/>
  <c r="BE472" i="307" s="1"/>
  <c r="BD250" i="307"/>
  <c r="BD251" i="307" s="1"/>
  <c r="BD655" i="307"/>
  <c r="BD498" i="307"/>
  <c r="BD493" i="307"/>
  <c r="BD495" i="307" s="1"/>
  <c r="BE492" i="307" s="1"/>
  <c r="BD660" i="307"/>
  <c r="BD499" i="307"/>
  <c r="BD599" i="307"/>
  <c r="BD601" i="307" s="1"/>
  <c r="BD609" i="307"/>
  <c r="BD615" i="307" l="1"/>
  <c r="BE534" i="307"/>
  <c r="BE536" i="307" s="1"/>
  <c r="BE540" i="307" s="1"/>
  <c r="BE541" i="307" s="1"/>
  <c r="BE571" i="307"/>
  <c r="BE573" i="307" s="1"/>
  <c r="BE480" i="307"/>
  <c r="BE481" i="307" s="1"/>
  <c r="BE488" i="307" s="1"/>
  <c r="BD500" i="307"/>
  <c r="BD253" i="307"/>
  <c r="BD255" i="307" s="1"/>
  <c r="BE523" i="307"/>
  <c r="BE525" i="307" s="1"/>
  <c r="BE529" i="307" s="1"/>
  <c r="BE530" i="307" s="1"/>
  <c r="BE558" i="307"/>
  <c r="BE560" i="307" s="1"/>
  <c r="BE460" i="307"/>
  <c r="BE461" i="307" s="1"/>
  <c r="BE468" i="307" s="1"/>
  <c r="H74" i="269"/>
  <c r="K74" i="269" s="1"/>
  <c r="F158" i="328"/>
  <c r="H75" i="269"/>
  <c r="K75" i="269" s="1"/>
  <c r="F159" i="328"/>
  <c r="H321" i="307"/>
  <c r="H300" i="307"/>
  <c r="BE308" i="307"/>
  <c r="BE311" i="307" s="1"/>
  <c r="H301" i="307"/>
  <c r="H308" i="307" s="1"/>
  <c r="BE329" i="307"/>
  <c r="BE332" i="307" s="1"/>
  <c r="H322" i="307"/>
  <c r="H329" i="307" s="1"/>
  <c r="J71" i="269"/>
  <c r="L71" i="269"/>
  <c r="G155" i="328"/>
  <c r="BE600" i="307"/>
  <c r="BE670" i="307"/>
  <c r="Q671" i="307" s="1"/>
  <c r="BE215" i="307"/>
  <c r="BE217" i="307" s="1"/>
  <c r="BE226" i="307"/>
  <c r="Q232" i="307" s="1"/>
  <c r="H232" i="307" s="1"/>
  <c r="H208" i="307"/>
  <c r="F209" i="307"/>
  <c r="F27" i="311" s="1"/>
  <c r="J27" i="311" s="1"/>
  <c r="J74" i="311" s="1"/>
  <c r="F74" i="311" s="1"/>
  <c r="L70" i="269"/>
  <c r="J70" i="269"/>
  <c r="G154" i="328"/>
  <c r="F156" i="328"/>
  <c r="CU608" i="321"/>
  <c r="CT118" i="265"/>
  <c r="BB118" i="277" s="1"/>
  <c r="CT23" i="265"/>
  <c r="BB23" i="277" s="1"/>
  <c r="H23" i="277" s="1"/>
  <c r="CT60" i="265"/>
  <c r="BB60" i="277" s="1"/>
  <c r="H60" i="277" s="1"/>
  <c r="CT64" i="265"/>
  <c r="BB64" i="277" s="1"/>
  <c r="H64" i="277" s="1"/>
  <c r="CT25" i="265"/>
  <c r="BB25" i="277" s="1"/>
  <c r="H25" i="277" s="1"/>
  <c r="CT62" i="265"/>
  <c r="BB62" i="277" s="1"/>
  <c r="H62" i="277" s="1"/>
  <c r="CP664" i="321"/>
  <c r="CO114" i="315"/>
  <c r="CP634" i="321" l="1"/>
  <c r="CP638" i="321" s="1"/>
  <c r="CP616" i="321"/>
  <c r="CP618" i="321" s="1"/>
  <c r="CP626" i="321" s="1"/>
  <c r="CP628" i="321" s="1"/>
  <c r="CP657" i="321"/>
  <c r="CP660" i="321" s="1"/>
  <c r="CP643" i="321"/>
  <c r="CP645" i="321" s="1"/>
  <c r="CP651" i="321" s="1"/>
  <c r="CP653" i="321" s="1"/>
  <c r="CU539" i="321"/>
  <c r="CU541" i="321" s="1"/>
  <c r="CU555" i="321" s="1"/>
  <c r="CU557" i="321" s="1"/>
  <c r="CU572" i="321"/>
  <c r="CU574" i="321" s="1"/>
  <c r="CU580" i="321" s="1"/>
  <c r="CU582" i="321" s="1"/>
  <c r="CU601" i="321"/>
  <c r="CU604" i="321" s="1"/>
  <c r="CU563" i="321"/>
  <c r="CU567" i="321" s="1"/>
  <c r="K29" i="326"/>
  <c r="G156" i="328"/>
  <c r="H215" i="307"/>
  <c r="H226" i="307"/>
  <c r="H670" i="307"/>
  <c r="H600" i="307"/>
  <c r="BE227" i="307"/>
  <c r="Q233" i="307" s="1"/>
  <c r="BE81" i="307"/>
  <c r="BE82" i="307" s="1"/>
  <c r="BE34" i="310"/>
  <c r="BE124" i="307"/>
  <c r="BE125" i="307" s="1"/>
  <c r="H217" i="307"/>
  <c r="Q686" i="321"/>
  <c r="H671" i="307"/>
  <c r="H686" i="321" s="1"/>
  <c r="BE640" i="307"/>
  <c r="Q641" i="307" s="1"/>
  <c r="BE342" i="307"/>
  <c r="BE336" i="307"/>
  <c r="BE338" i="307" s="1"/>
  <c r="F333" i="307"/>
  <c r="H332" i="307"/>
  <c r="BE635" i="307"/>
  <c r="Q636" i="307" s="1"/>
  <c r="BE341" i="307"/>
  <c r="BE343" i="307" s="1"/>
  <c r="BE315" i="307"/>
  <c r="BE317" i="307" s="1"/>
  <c r="F312" i="307"/>
  <c r="H311" i="307"/>
  <c r="G159" i="328"/>
  <c r="J75" i="269"/>
  <c r="L75" i="269"/>
  <c r="G158" i="328"/>
  <c r="G161" i="328" s="1"/>
  <c r="L30" i="326" s="1"/>
  <c r="F161" i="328"/>
  <c r="L74" i="269"/>
  <c r="J74" i="269"/>
  <c r="BE576" i="307"/>
  <c r="H560" i="307"/>
  <c r="H576" i="307" s="1"/>
  <c r="BE544" i="307"/>
  <c r="H530" i="307"/>
  <c r="H544" i="307" s="1"/>
  <c r="BD258" i="307"/>
  <c r="BD260" i="307" s="1"/>
  <c r="BE257" i="307" s="1"/>
  <c r="BD645" i="307"/>
  <c r="BD285" i="307"/>
  <c r="BD288" i="307" s="1"/>
  <c r="BD12" i="310"/>
  <c r="BD650" i="307"/>
  <c r="BD14" i="310"/>
  <c r="BD135" i="288"/>
  <c r="BD136" i="288" s="1"/>
  <c r="BE577" i="307"/>
  <c r="H573" i="307"/>
  <c r="H577" i="307" s="1"/>
  <c r="BE545" i="307"/>
  <c r="H541" i="307"/>
  <c r="H545" i="307" s="1"/>
  <c r="BD138" i="288" l="1"/>
  <c r="BD140" i="288" s="1"/>
  <c r="BD16" i="310"/>
  <c r="BD56" i="288"/>
  <c r="BD206" i="288"/>
  <c r="BE264" i="307"/>
  <c r="BE265" i="307" s="1"/>
  <c r="BE269" i="307" s="1"/>
  <c r="BE271" i="307" s="1"/>
  <c r="BE244" i="307"/>
  <c r="BE245" i="307" s="1"/>
  <c r="BE254" i="307" s="1"/>
  <c r="BE546" i="307"/>
  <c r="BE578" i="307"/>
  <c r="K30" i="326"/>
  <c r="H635" i="307"/>
  <c r="H341" i="307"/>
  <c r="H315" i="307"/>
  <c r="F178" i="321"/>
  <c r="F174" i="321"/>
  <c r="J176" i="321" s="1"/>
  <c r="F139" i="321"/>
  <c r="F102" i="321"/>
  <c r="F83" i="321"/>
  <c r="F96" i="321"/>
  <c r="F159" i="321"/>
  <c r="F161" i="321" s="1"/>
  <c r="F163" i="321" s="1"/>
  <c r="BE454" i="307"/>
  <c r="BE455" i="307" s="1"/>
  <c r="BE630" i="307"/>
  <c r="Q631" i="307" s="1"/>
  <c r="BE249" i="307"/>
  <c r="BE347" i="307"/>
  <c r="BE349" i="307" s="1"/>
  <c r="BE13" i="310"/>
  <c r="BE134" i="288"/>
  <c r="H343" i="307"/>
  <c r="F344" i="307"/>
  <c r="F164" i="288" s="1"/>
  <c r="Q188" i="321"/>
  <c r="H636" i="307"/>
  <c r="H188" i="321" s="1"/>
  <c r="H640" i="307"/>
  <c r="H342" i="307"/>
  <c r="H336" i="307"/>
  <c r="F290" i="321"/>
  <c r="F97" i="321"/>
  <c r="F89" i="321"/>
  <c r="F92" i="321" s="1"/>
  <c r="F286" i="321"/>
  <c r="J288" i="321" s="1"/>
  <c r="F271" i="321"/>
  <c r="F273" i="321" s="1"/>
  <c r="F275" i="321" s="1"/>
  <c r="F251" i="321"/>
  <c r="F108" i="321"/>
  <c r="Q300" i="321"/>
  <c r="H641" i="307"/>
  <c r="H300" i="321" s="1"/>
  <c r="H34" i="310"/>
  <c r="H124" i="307"/>
  <c r="H81" i="307"/>
  <c r="H227" i="307"/>
  <c r="BE84" i="307"/>
  <c r="BE86" i="307" s="1"/>
  <c r="H82" i="307"/>
  <c r="H84" i="307" s="1"/>
  <c r="Q678" i="321"/>
  <c r="Q680" i="321" s="1"/>
  <c r="H233" i="307"/>
  <c r="H678" i="321" s="1"/>
  <c r="L29" i="326"/>
  <c r="CU610" i="321"/>
  <c r="CU568" i="321"/>
  <c r="CU605" i="321"/>
  <c r="CU38" i="282"/>
  <c r="CU104" i="282"/>
  <c r="CU583" i="321"/>
  <c r="CU36" i="282"/>
  <c r="CU609" i="321"/>
  <c r="CU611" i="321" s="1"/>
  <c r="CU560" i="321"/>
  <c r="CU561" i="321" s="1"/>
  <c r="CU63" i="265"/>
  <c r="CP654" i="321"/>
  <c r="CP106" i="282"/>
  <c r="CP661" i="321"/>
  <c r="CP61" i="315"/>
  <c r="CP665" i="321"/>
  <c r="CP631" i="321"/>
  <c r="CP632" i="321" s="1"/>
  <c r="CP639" i="321"/>
  <c r="CP666" i="321"/>
  <c r="CP62" i="315" l="1"/>
  <c r="CP667" i="321"/>
  <c r="CP23" i="315"/>
  <c r="CP60" i="315"/>
  <c r="CP58" i="315"/>
  <c r="CP21" i="315"/>
  <c r="CV608" i="321"/>
  <c r="CU118" i="265"/>
  <c r="CU23" i="265"/>
  <c r="CU60" i="265"/>
  <c r="CU25" i="265"/>
  <c r="CU62" i="265"/>
  <c r="CU64" i="265"/>
  <c r="Q687" i="321"/>
  <c r="Q688" i="321" s="1"/>
  <c r="Q681" i="321"/>
  <c r="BE675" i="307"/>
  <c r="Q676" i="307" s="1"/>
  <c r="BE625" i="307"/>
  <c r="Q626" i="307" s="1"/>
  <c r="BE284" i="307"/>
  <c r="BE89" i="307"/>
  <c r="BE90" i="307" s="1"/>
  <c r="BE10" i="310"/>
  <c r="H86" i="307"/>
  <c r="H72" i="269"/>
  <c r="K72" i="269" s="1"/>
  <c r="F170" i="328"/>
  <c r="J254" i="321"/>
  <c r="R254" i="321"/>
  <c r="R281" i="321" s="1"/>
  <c r="Z254" i="321"/>
  <c r="Z281" i="321" s="1"/>
  <c r="AA254" i="321"/>
  <c r="AA281" i="321" s="1"/>
  <c r="AI254" i="321"/>
  <c r="AI281" i="321" s="1"/>
  <c r="AQ254" i="321"/>
  <c r="AQ281" i="321" s="1"/>
  <c r="AY254" i="321"/>
  <c r="AY281" i="321" s="1"/>
  <c r="BG254" i="321"/>
  <c r="BG281" i="321" s="1"/>
  <c r="BO254" i="321"/>
  <c r="BO281" i="321" s="1"/>
  <c r="BW254" i="321"/>
  <c r="BW281" i="321" s="1"/>
  <c r="CE254" i="321"/>
  <c r="CE281" i="321" s="1"/>
  <c r="CM254" i="321"/>
  <c r="CM281" i="321" s="1"/>
  <c r="CU254" i="321"/>
  <c r="CU281" i="321" s="1"/>
  <c r="O254" i="321"/>
  <c r="O281" i="321" s="1"/>
  <c r="AF254" i="321"/>
  <c r="AF281" i="321" s="1"/>
  <c r="AN254" i="321"/>
  <c r="AN281" i="321" s="1"/>
  <c r="AV254" i="321"/>
  <c r="AV281" i="321" s="1"/>
  <c r="BD254" i="321"/>
  <c r="BD281" i="321" s="1"/>
  <c r="BL254" i="321"/>
  <c r="BL281" i="321" s="1"/>
  <c r="BT254" i="321"/>
  <c r="BT281" i="321" s="1"/>
  <c r="CB254" i="321"/>
  <c r="CB281" i="321" s="1"/>
  <c r="CJ254" i="321"/>
  <c r="CJ281" i="321" s="1"/>
  <c r="CR254" i="321"/>
  <c r="CR281" i="321" s="1"/>
  <c r="K254" i="321"/>
  <c r="K281" i="321" s="1"/>
  <c r="T254" i="321"/>
  <c r="T281" i="321" s="1"/>
  <c r="N254" i="321"/>
  <c r="N281" i="321" s="1"/>
  <c r="AC254" i="321"/>
  <c r="AC281" i="321" s="1"/>
  <c r="AK254" i="321"/>
  <c r="AK281" i="321" s="1"/>
  <c r="AS254" i="321"/>
  <c r="AS281" i="321" s="1"/>
  <c r="BA254" i="321"/>
  <c r="BA281" i="321" s="1"/>
  <c r="BI254" i="321"/>
  <c r="BI281" i="321" s="1"/>
  <c r="BQ254" i="321"/>
  <c r="BQ281" i="321" s="1"/>
  <c r="BY254" i="321"/>
  <c r="BY281" i="321" s="1"/>
  <c r="CG254" i="321"/>
  <c r="CG281" i="321" s="1"/>
  <c r="CO254" i="321"/>
  <c r="CO281" i="321" s="1"/>
  <c r="L254" i="321"/>
  <c r="L281" i="321" s="1"/>
  <c r="Y254" i="321"/>
  <c r="Y281" i="321" s="1"/>
  <c r="AH254" i="321"/>
  <c r="AH281" i="321" s="1"/>
  <c r="AP254" i="321"/>
  <c r="AP281" i="321" s="1"/>
  <c r="AX254" i="321"/>
  <c r="AX281" i="321" s="1"/>
  <c r="BF254" i="321"/>
  <c r="BF281" i="321" s="1"/>
  <c r="BN254" i="321"/>
  <c r="BN281" i="321" s="1"/>
  <c r="BV254" i="321"/>
  <c r="BV281" i="321" s="1"/>
  <c r="CD254" i="321"/>
  <c r="CD281" i="321" s="1"/>
  <c r="CL254" i="321"/>
  <c r="CL281" i="321" s="1"/>
  <c r="CT254" i="321"/>
  <c r="CT281" i="321" s="1"/>
  <c r="M254" i="321"/>
  <c r="M281" i="321" s="1"/>
  <c r="V254" i="321"/>
  <c r="V281" i="321" s="1"/>
  <c r="S254" i="321"/>
  <c r="S281" i="321" s="1"/>
  <c r="AE254" i="321"/>
  <c r="AE281" i="321" s="1"/>
  <c r="AM254" i="321"/>
  <c r="AM281" i="321" s="1"/>
  <c r="AU254" i="321"/>
  <c r="AU281" i="321" s="1"/>
  <c r="BC254" i="321"/>
  <c r="BC281" i="321" s="1"/>
  <c r="BK254" i="321"/>
  <c r="BK281" i="321" s="1"/>
  <c r="BS254" i="321"/>
  <c r="BS281" i="321" s="1"/>
  <c r="CA254" i="321"/>
  <c r="CA281" i="321" s="1"/>
  <c r="CI254" i="321"/>
  <c r="CI281" i="321" s="1"/>
  <c r="CQ254" i="321"/>
  <c r="CQ281" i="321" s="1"/>
  <c r="Q254" i="321"/>
  <c r="Q281" i="321" s="1"/>
  <c r="AB254" i="321"/>
  <c r="AB281" i="321" s="1"/>
  <c r="AJ254" i="321"/>
  <c r="AJ281" i="321" s="1"/>
  <c r="AR254" i="321"/>
  <c r="AR281" i="321" s="1"/>
  <c r="AZ254" i="321"/>
  <c r="AZ281" i="321" s="1"/>
  <c r="BH254" i="321"/>
  <c r="BH281" i="321" s="1"/>
  <c r="BP254" i="321"/>
  <c r="BP281" i="321" s="1"/>
  <c r="BX254" i="321"/>
  <c r="BX281" i="321" s="1"/>
  <c r="CF254" i="321"/>
  <c r="CF281" i="321" s="1"/>
  <c r="CN254" i="321"/>
  <c r="CN281" i="321" s="1"/>
  <c r="CV254" i="321"/>
  <c r="CV281" i="321" s="1"/>
  <c r="P254" i="321"/>
  <c r="P281" i="321" s="1"/>
  <c r="X254" i="321"/>
  <c r="X281" i="321" s="1"/>
  <c r="U254" i="321"/>
  <c r="U281" i="321" s="1"/>
  <c r="AG254" i="321"/>
  <c r="AG281" i="321" s="1"/>
  <c r="AO254" i="321"/>
  <c r="AO281" i="321" s="1"/>
  <c r="AW254" i="321"/>
  <c r="AW281" i="321" s="1"/>
  <c r="BE254" i="321"/>
  <c r="BE281" i="321" s="1"/>
  <c r="BM254" i="321"/>
  <c r="BM281" i="321" s="1"/>
  <c r="BU254" i="321"/>
  <c r="BU281" i="321" s="1"/>
  <c r="CC254" i="321"/>
  <c r="CC281" i="321" s="1"/>
  <c r="CK254" i="321"/>
  <c r="CK281" i="321" s="1"/>
  <c r="CS254" i="321"/>
  <c r="CS281" i="321" s="1"/>
  <c r="W254" i="321"/>
  <c r="W281" i="321" s="1"/>
  <c r="AD254" i="321"/>
  <c r="AD281" i="321" s="1"/>
  <c r="AL254" i="321"/>
  <c r="AL281" i="321" s="1"/>
  <c r="AT254" i="321"/>
  <c r="AT281" i="321" s="1"/>
  <c r="BB254" i="321"/>
  <c r="BB281" i="321" s="1"/>
  <c r="BJ254" i="321"/>
  <c r="BJ281" i="321" s="1"/>
  <c r="BR254" i="321"/>
  <c r="BR281" i="321" s="1"/>
  <c r="BZ254" i="321"/>
  <c r="BZ281" i="321" s="1"/>
  <c r="CH254" i="321"/>
  <c r="CH281" i="321" s="1"/>
  <c r="CP254" i="321"/>
  <c r="CP281" i="321" s="1"/>
  <c r="J278" i="321"/>
  <c r="J41" i="311"/>
  <c r="J82" i="311" s="1"/>
  <c r="F101" i="321"/>
  <c r="F107" i="321"/>
  <c r="F110" i="321" s="1"/>
  <c r="F125" i="321" s="1"/>
  <c r="F95" i="321"/>
  <c r="J292" i="321"/>
  <c r="K292" i="321"/>
  <c r="K294" i="321" s="1"/>
  <c r="K295" i="321" s="1"/>
  <c r="L292" i="321"/>
  <c r="L294" i="321" s="1"/>
  <c r="L295" i="321" s="1"/>
  <c r="M292" i="321"/>
  <c r="M294" i="321" s="1"/>
  <c r="M295" i="321" s="1"/>
  <c r="N292" i="321"/>
  <c r="N294" i="321" s="1"/>
  <c r="N295" i="321" s="1"/>
  <c r="O292" i="321"/>
  <c r="O294" i="321" s="1"/>
  <c r="O295" i="321" s="1"/>
  <c r="P292" i="321"/>
  <c r="P294" i="321" s="1"/>
  <c r="P295" i="321" s="1"/>
  <c r="Q292" i="321"/>
  <c r="Q294" i="321" s="1"/>
  <c r="Q295" i="321" s="1"/>
  <c r="R292" i="321"/>
  <c r="R294" i="321" s="1"/>
  <c r="R295" i="321" s="1"/>
  <c r="S292" i="321"/>
  <c r="S294" i="321" s="1"/>
  <c r="S295" i="321" s="1"/>
  <c r="T292" i="321"/>
  <c r="T294" i="321" s="1"/>
  <c r="T295" i="321" s="1"/>
  <c r="U292" i="321"/>
  <c r="U294" i="321" s="1"/>
  <c r="U295" i="321" s="1"/>
  <c r="V292" i="321"/>
  <c r="V294" i="321" s="1"/>
  <c r="V295" i="321" s="1"/>
  <c r="W292" i="321"/>
  <c r="W294" i="321" s="1"/>
  <c r="W295" i="321" s="1"/>
  <c r="X292" i="321"/>
  <c r="X294" i="321" s="1"/>
  <c r="X295" i="321" s="1"/>
  <c r="Y292" i="321"/>
  <c r="Y294" i="321" s="1"/>
  <c r="Y295" i="321" s="1"/>
  <c r="Z292" i="321"/>
  <c r="Z294" i="321" s="1"/>
  <c r="Z295" i="321" s="1"/>
  <c r="AA292" i="321"/>
  <c r="AA294" i="321" s="1"/>
  <c r="AA295" i="321" s="1"/>
  <c r="AB292" i="321"/>
  <c r="AB294" i="321" s="1"/>
  <c r="AB295" i="321" s="1"/>
  <c r="AC292" i="321"/>
  <c r="AC294" i="321" s="1"/>
  <c r="AC295" i="321" s="1"/>
  <c r="AD292" i="321"/>
  <c r="AD294" i="321" s="1"/>
  <c r="AD295" i="321" s="1"/>
  <c r="AE292" i="321"/>
  <c r="AE294" i="321" s="1"/>
  <c r="AE295" i="321" s="1"/>
  <c r="AF292" i="321"/>
  <c r="AF294" i="321" s="1"/>
  <c r="AF295" i="321" s="1"/>
  <c r="AG292" i="321"/>
  <c r="AG294" i="321" s="1"/>
  <c r="AG295" i="321" s="1"/>
  <c r="AH292" i="321"/>
  <c r="AH294" i="321" s="1"/>
  <c r="AH295" i="321" s="1"/>
  <c r="AI292" i="321"/>
  <c r="AI294" i="321" s="1"/>
  <c r="AI295" i="321" s="1"/>
  <c r="AJ292" i="321"/>
  <c r="AJ294" i="321" s="1"/>
  <c r="AJ295" i="321" s="1"/>
  <c r="AK292" i="321"/>
  <c r="AK294" i="321" s="1"/>
  <c r="AK295" i="321" s="1"/>
  <c r="AL292" i="321"/>
  <c r="AL294" i="321" s="1"/>
  <c r="AL295" i="321" s="1"/>
  <c r="AM292" i="321"/>
  <c r="AM294" i="321" s="1"/>
  <c r="AM295" i="321" s="1"/>
  <c r="AN292" i="321"/>
  <c r="AN294" i="321" s="1"/>
  <c r="AN295" i="321" s="1"/>
  <c r="AO292" i="321"/>
  <c r="AO294" i="321" s="1"/>
  <c r="AO295" i="321" s="1"/>
  <c r="AP292" i="321"/>
  <c r="AP294" i="321" s="1"/>
  <c r="AP295" i="321" s="1"/>
  <c r="AQ292" i="321"/>
  <c r="AQ294" i="321" s="1"/>
  <c r="AQ295" i="321" s="1"/>
  <c r="AR292" i="321"/>
  <c r="AR294" i="321" s="1"/>
  <c r="AR295" i="321" s="1"/>
  <c r="AS292" i="321"/>
  <c r="AS294" i="321" s="1"/>
  <c r="AS295" i="321" s="1"/>
  <c r="AT292" i="321"/>
  <c r="AT294" i="321" s="1"/>
  <c r="AT295" i="321" s="1"/>
  <c r="AU292" i="321"/>
  <c r="AU294" i="321" s="1"/>
  <c r="AU295" i="321" s="1"/>
  <c r="AV292" i="321"/>
  <c r="AV294" i="321" s="1"/>
  <c r="AV295" i="321" s="1"/>
  <c r="AW292" i="321"/>
  <c r="AW294" i="321" s="1"/>
  <c r="AW295" i="321" s="1"/>
  <c r="AX292" i="321"/>
  <c r="AX294" i="321" s="1"/>
  <c r="AX295" i="321" s="1"/>
  <c r="AY292" i="321"/>
  <c r="AY294" i="321" s="1"/>
  <c r="AY295" i="321" s="1"/>
  <c r="AZ292" i="321"/>
  <c r="AZ294" i="321" s="1"/>
  <c r="AZ295" i="321" s="1"/>
  <c r="BA292" i="321"/>
  <c r="BA294" i="321" s="1"/>
  <c r="BA295" i="321" s="1"/>
  <c r="BB292" i="321"/>
  <c r="BB294" i="321" s="1"/>
  <c r="BB295" i="321" s="1"/>
  <c r="BC292" i="321"/>
  <c r="BC294" i="321" s="1"/>
  <c r="BC295" i="321" s="1"/>
  <c r="BD292" i="321"/>
  <c r="BD294" i="321" s="1"/>
  <c r="BD295" i="321" s="1"/>
  <c r="BE292" i="321"/>
  <c r="BE294" i="321" s="1"/>
  <c r="BE295" i="321" s="1"/>
  <c r="BF292" i="321"/>
  <c r="BF294" i="321" s="1"/>
  <c r="BF295" i="321" s="1"/>
  <c r="BG292" i="321"/>
  <c r="BG294" i="321" s="1"/>
  <c r="BG295" i="321" s="1"/>
  <c r="BH292" i="321"/>
  <c r="BH294" i="321" s="1"/>
  <c r="BH295" i="321" s="1"/>
  <c r="BI292" i="321"/>
  <c r="BI294" i="321" s="1"/>
  <c r="BI295" i="321" s="1"/>
  <c r="BJ292" i="321"/>
  <c r="BJ294" i="321" s="1"/>
  <c r="BJ295" i="321" s="1"/>
  <c r="BK292" i="321"/>
  <c r="BK294" i="321" s="1"/>
  <c r="BK295" i="321" s="1"/>
  <c r="BL292" i="321"/>
  <c r="BL294" i="321" s="1"/>
  <c r="BL295" i="321" s="1"/>
  <c r="BM292" i="321"/>
  <c r="BM294" i="321" s="1"/>
  <c r="BM295" i="321" s="1"/>
  <c r="BN292" i="321"/>
  <c r="BN294" i="321" s="1"/>
  <c r="BN295" i="321" s="1"/>
  <c r="BO292" i="321"/>
  <c r="BO294" i="321" s="1"/>
  <c r="BO295" i="321" s="1"/>
  <c r="BP292" i="321"/>
  <c r="BP294" i="321" s="1"/>
  <c r="BP295" i="321" s="1"/>
  <c r="BQ292" i="321"/>
  <c r="BQ294" i="321" s="1"/>
  <c r="BQ295" i="321" s="1"/>
  <c r="BR292" i="321"/>
  <c r="BR294" i="321" s="1"/>
  <c r="BR295" i="321" s="1"/>
  <c r="BS292" i="321"/>
  <c r="BS294" i="321" s="1"/>
  <c r="BS295" i="321" s="1"/>
  <c r="BT292" i="321"/>
  <c r="BT294" i="321" s="1"/>
  <c r="BT295" i="321" s="1"/>
  <c r="BU292" i="321"/>
  <c r="BU294" i="321" s="1"/>
  <c r="BU295" i="321" s="1"/>
  <c r="BV292" i="321"/>
  <c r="BV294" i="321" s="1"/>
  <c r="BV295" i="321" s="1"/>
  <c r="BW292" i="321"/>
  <c r="BW294" i="321" s="1"/>
  <c r="BW295" i="321" s="1"/>
  <c r="BX292" i="321"/>
  <c r="BX294" i="321" s="1"/>
  <c r="BX295" i="321" s="1"/>
  <c r="BY292" i="321"/>
  <c r="BY294" i="321" s="1"/>
  <c r="BY295" i="321" s="1"/>
  <c r="BZ292" i="321"/>
  <c r="BZ294" i="321" s="1"/>
  <c r="BZ295" i="321" s="1"/>
  <c r="CA292" i="321"/>
  <c r="CA294" i="321" s="1"/>
  <c r="CA295" i="321" s="1"/>
  <c r="CB292" i="321"/>
  <c r="CB294" i="321" s="1"/>
  <c r="CB295" i="321" s="1"/>
  <c r="CC292" i="321"/>
  <c r="CC294" i="321" s="1"/>
  <c r="CC295" i="321" s="1"/>
  <c r="CD292" i="321"/>
  <c r="CD294" i="321" s="1"/>
  <c r="CD295" i="321" s="1"/>
  <c r="CE292" i="321"/>
  <c r="CE294" i="321" s="1"/>
  <c r="CE295" i="321" s="1"/>
  <c r="CF292" i="321"/>
  <c r="CF294" i="321" s="1"/>
  <c r="CF295" i="321" s="1"/>
  <c r="CG292" i="321"/>
  <c r="CG294" i="321" s="1"/>
  <c r="CG295" i="321" s="1"/>
  <c r="CH292" i="321"/>
  <c r="CH294" i="321" s="1"/>
  <c r="CH295" i="321" s="1"/>
  <c r="CI292" i="321"/>
  <c r="CI294" i="321" s="1"/>
  <c r="CI295" i="321" s="1"/>
  <c r="CJ292" i="321"/>
  <c r="CJ294" i="321" s="1"/>
  <c r="CJ295" i="321" s="1"/>
  <c r="CK292" i="321"/>
  <c r="CK294" i="321" s="1"/>
  <c r="CK295" i="321" s="1"/>
  <c r="CL292" i="321"/>
  <c r="CL294" i="321" s="1"/>
  <c r="CL295" i="321" s="1"/>
  <c r="CM292" i="321"/>
  <c r="CM294" i="321" s="1"/>
  <c r="CM295" i="321" s="1"/>
  <c r="CN292" i="321"/>
  <c r="CN294" i="321" s="1"/>
  <c r="CN295" i="321" s="1"/>
  <c r="CO292" i="321"/>
  <c r="CO294" i="321" s="1"/>
  <c r="CO295" i="321" s="1"/>
  <c r="CP292" i="321"/>
  <c r="CP294" i="321" s="1"/>
  <c r="CP295" i="321" s="1"/>
  <c r="CQ292" i="321"/>
  <c r="CQ294" i="321" s="1"/>
  <c r="CQ295" i="321" s="1"/>
  <c r="CR292" i="321"/>
  <c r="CR294" i="321" s="1"/>
  <c r="CR295" i="321" s="1"/>
  <c r="CS292" i="321"/>
  <c r="CS294" i="321" s="1"/>
  <c r="CS295" i="321" s="1"/>
  <c r="CT292" i="321"/>
  <c r="CT294" i="321" s="1"/>
  <c r="CT295" i="321" s="1"/>
  <c r="CU292" i="321"/>
  <c r="CU294" i="321" s="1"/>
  <c r="CU295" i="321" s="1"/>
  <c r="CV292" i="321"/>
  <c r="CV294" i="321" s="1"/>
  <c r="CV295" i="321" s="1"/>
  <c r="H13" i="310"/>
  <c r="H134" i="288"/>
  <c r="H630" i="307"/>
  <c r="H454" i="307"/>
  <c r="H347" i="307"/>
  <c r="H249" i="307"/>
  <c r="Q57" i="265"/>
  <c r="N57" i="277" s="1"/>
  <c r="H57" i="277" s="1"/>
  <c r="Q55" i="315"/>
  <c r="H631" i="307"/>
  <c r="BE464" i="307"/>
  <c r="BE465" i="307" s="1"/>
  <c r="BE484" i="307"/>
  <c r="BE485" i="307" s="1"/>
  <c r="H455" i="307"/>
  <c r="J166" i="321"/>
  <c r="F98" i="321"/>
  <c r="CU142" i="321"/>
  <c r="CU169" i="321" s="1"/>
  <c r="CM142" i="321"/>
  <c r="CM169" i="321" s="1"/>
  <c r="CE142" i="321"/>
  <c r="CE169" i="321" s="1"/>
  <c r="BW142" i="321"/>
  <c r="BW169" i="321" s="1"/>
  <c r="BO142" i="321"/>
  <c r="BO169" i="321" s="1"/>
  <c r="BG142" i="321"/>
  <c r="BG169" i="321" s="1"/>
  <c r="AY142" i="321"/>
  <c r="AY169" i="321" s="1"/>
  <c r="AQ142" i="321"/>
  <c r="AQ169" i="321" s="1"/>
  <c r="AI142" i="321"/>
  <c r="AI169" i="321" s="1"/>
  <c r="AA142" i="321"/>
  <c r="AA169" i="321" s="1"/>
  <c r="S142" i="321"/>
  <c r="S169" i="321" s="1"/>
  <c r="K142" i="321"/>
  <c r="K169" i="321" s="1"/>
  <c r="CP142" i="321"/>
  <c r="CP169" i="321" s="1"/>
  <c r="CH142" i="321"/>
  <c r="CH169" i="321" s="1"/>
  <c r="BZ142" i="321"/>
  <c r="BZ169" i="321" s="1"/>
  <c r="BR142" i="321"/>
  <c r="BR169" i="321" s="1"/>
  <c r="BJ142" i="321"/>
  <c r="BJ169" i="321" s="1"/>
  <c r="BB142" i="321"/>
  <c r="BB169" i="321" s="1"/>
  <c r="AT142" i="321"/>
  <c r="AT169" i="321" s="1"/>
  <c r="AL142" i="321"/>
  <c r="AL169" i="321" s="1"/>
  <c r="AD142" i="321"/>
  <c r="AD169" i="321" s="1"/>
  <c r="V142" i="321"/>
  <c r="V169" i="321" s="1"/>
  <c r="N142" i="321"/>
  <c r="N169" i="321" s="1"/>
  <c r="CS142" i="321"/>
  <c r="CS169" i="321" s="1"/>
  <c r="CK142" i="321"/>
  <c r="CK169" i="321" s="1"/>
  <c r="CC142" i="321"/>
  <c r="CC169" i="321" s="1"/>
  <c r="BU142" i="321"/>
  <c r="BU169" i="321" s="1"/>
  <c r="BM142" i="321"/>
  <c r="BM169" i="321" s="1"/>
  <c r="BE142" i="321"/>
  <c r="BE169" i="321" s="1"/>
  <c r="AW142" i="321"/>
  <c r="AW169" i="321" s="1"/>
  <c r="AO142" i="321"/>
  <c r="AO169" i="321" s="1"/>
  <c r="AG142" i="321"/>
  <c r="AG169" i="321" s="1"/>
  <c r="Y142" i="321"/>
  <c r="Y169" i="321" s="1"/>
  <c r="Q142" i="321"/>
  <c r="Q169" i="321" s="1"/>
  <c r="CV142" i="321"/>
  <c r="CV169" i="321" s="1"/>
  <c r="CN142" i="321"/>
  <c r="CN169" i="321" s="1"/>
  <c r="CF142" i="321"/>
  <c r="CF169" i="321" s="1"/>
  <c r="BX142" i="321"/>
  <c r="BX169" i="321" s="1"/>
  <c r="BP142" i="321"/>
  <c r="BP169" i="321" s="1"/>
  <c r="BH142" i="321"/>
  <c r="BH169" i="321" s="1"/>
  <c r="AZ142" i="321"/>
  <c r="AZ169" i="321" s="1"/>
  <c r="AR142" i="321"/>
  <c r="AR169" i="321" s="1"/>
  <c r="AJ142" i="321"/>
  <c r="AJ169" i="321" s="1"/>
  <c r="AB142" i="321"/>
  <c r="AB169" i="321" s="1"/>
  <c r="T142" i="321"/>
  <c r="T169" i="321" s="1"/>
  <c r="L142" i="321"/>
  <c r="L169" i="321" s="1"/>
  <c r="Z142" i="321"/>
  <c r="Z169" i="321" s="1"/>
  <c r="J142" i="321"/>
  <c r="CQ142" i="321"/>
  <c r="CQ169" i="321" s="1"/>
  <c r="CI142" i="321"/>
  <c r="CI169" i="321" s="1"/>
  <c r="CA142" i="321"/>
  <c r="CA169" i="321" s="1"/>
  <c r="BS142" i="321"/>
  <c r="BS169" i="321" s="1"/>
  <c r="BK142" i="321"/>
  <c r="BK169" i="321" s="1"/>
  <c r="BC142" i="321"/>
  <c r="BC169" i="321" s="1"/>
  <c r="AU142" i="321"/>
  <c r="AU169" i="321" s="1"/>
  <c r="AM142" i="321"/>
  <c r="AM169" i="321" s="1"/>
  <c r="AE142" i="321"/>
  <c r="AE169" i="321" s="1"/>
  <c r="W142" i="321"/>
  <c r="W169" i="321" s="1"/>
  <c r="O142" i="321"/>
  <c r="O169" i="321" s="1"/>
  <c r="CT142" i="321"/>
  <c r="CT169" i="321" s="1"/>
  <c r="CL142" i="321"/>
  <c r="CL169" i="321" s="1"/>
  <c r="CD142" i="321"/>
  <c r="CD169" i="321" s="1"/>
  <c r="BV142" i="321"/>
  <c r="BV169" i="321" s="1"/>
  <c r="BN142" i="321"/>
  <c r="BN169" i="321" s="1"/>
  <c r="BF142" i="321"/>
  <c r="BF169" i="321" s="1"/>
  <c r="AX142" i="321"/>
  <c r="AX169" i="321" s="1"/>
  <c r="AP142" i="321"/>
  <c r="AP169" i="321" s="1"/>
  <c r="AH142" i="321"/>
  <c r="AH169" i="321" s="1"/>
  <c r="R142" i="321"/>
  <c r="R169" i="321" s="1"/>
  <c r="P142" i="321"/>
  <c r="P169" i="321" s="1"/>
  <c r="CO142" i="321"/>
  <c r="CO169" i="321" s="1"/>
  <c r="CG142" i="321"/>
  <c r="CG169" i="321" s="1"/>
  <c r="BY142" i="321"/>
  <c r="BY169" i="321" s="1"/>
  <c r="BQ142" i="321"/>
  <c r="BQ169" i="321" s="1"/>
  <c r="BI142" i="321"/>
  <c r="BI169" i="321" s="1"/>
  <c r="BA142" i="321"/>
  <c r="BA169" i="321" s="1"/>
  <c r="AS142" i="321"/>
  <c r="AS169" i="321" s="1"/>
  <c r="AK142" i="321"/>
  <c r="AK169" i="321" s="1"/>
  <c r="AC142" i="321"/>
  <c r="AC169" i="321" s="1"/>
  <c r="U142" i="321"/>
  <c r="U169" i="321" s="1"/>
  <c r="M142" i="321"/>
  <c r="M169" i="321" s="1"/>
  <c r="CR142" i="321"/>
  <c r="CR169" i="321" s="1"/>
  <c r="CJ142" i="321"/>
  <c r="CJ169" i="321" s="1"/>
  <c r="CB142" i="321"/>
  <c r="CB169" i="321" s="1"/>
  <c r="BT142" i="321"/>
  <c r="BT169" i="321" s="1"/>
  <c r="BL142" i="321"/>
  <c r="BL169" i="321" s="1"/>
  <c r="BD142" i="321"/>
  <c r="BD169" i="321" s="1"/>
  <c r="AV142" i="321"/>
  <c r="AV169" i="321" s="1"/>
  <c r="AN142" i="321"/>
  <c r="AN169" i="321" s="1"/>
  <c r="AF142" i="321"/>
  <c r="AF169" i="321" s="1"/>
  <c r="X142" i="321"/>
  <c r="X169" i="321" s="1"/>
  <c r="J40" i="311"/>
  <c r="J180" i="321"/>
  <c r="K180" i="321"/>
  <c r="K182" i="321" s="1"/>
  <c r="K183" i="321" s="1"/>
  <c r="L180" i="321"/>
  <c r="L182" i="321" s="1"/>
  <c r="L183" i="321" s="1"/>
  <c r="M180" i="321"/>
  <c r="M182" i="321" s="1"/>
  <c r="M183" i="321" s="1"/>
  <c r="N180" i="321"/>
  <c r="N182" i="321" s="1"/>
  <c r="N183" i="321" s="1"/>
  <c r="O180" i="321"/>
  <c r="O182" i="321" s="1"/>
  <c r="O183" i="321" s="1"/>
  <c r="P180" i="321"/>
  <c r="P182" i="321" s="1"/>
  <c r="P183" i="321" s="1"/>
  <c r="Q180" i="321"/>
  <c r="Q182" i="321" s="1"/>
  <c r="Q183" i="321" s="1"/>
  <c r="R180" i="321"/>
  <c r="R182" i="321" s="1"/>
  <c r="R183" i="321" s="1"/>
  <c r="S180" i="321"/>
  <c r="S182" i="321" s="1"/>
  <c r="S183" i="321" s="1"/>
  <c r="T180" i="321"/>
  <c r="T182" i="321" s="1"/>
  <c r="T183" i="321" s="1"/>
  <c r="U180" i="321"/>
  <c r="U182" i="321" s="1"/>
  <c r="U183" i="321" s="1"/>
  <c r="V180" i="321"/>
  <c r="V182" i="321" s="1"/>
  <c r="V183" i="321" s="1"/>
  <c r="W180" i="321"/>
  <c r="W182" i="321" s="1"/>
  <c r="W183" i="321" s="1"/>
  <c r="X180" i="321"/>
  <c r="X182" i="321" s="1"/>
  <c r="X183" i="321" s="1"/>
  <c r="Y180" i="321"/>
  <c r="Y182" i="321" s="1"/>
  <c r="Y183" i="321" s="1"/>
  <c r="Z180" i="321"/>
  <c r="Z182" i="321" s="1"/>
  <c r="Z183" i="321" s="1"/>
  <c r="AA180" i="321"/>
  <c r="AA182" i="321" s="1"/>
  <c r="AA183" i="321" s="1"/>
  <c r="AB180" i="321"/>
  <c r="AB182" i="321" s="1"/>
  <c r="AB183" i="321" s="1"/>
  <c r="AC180" i="321"/>
  <c r="AC182" i="321" s="1"/>
  <c r="AC183" i="321" s="1"/>
  <c r="AD180" i="321"/>
  <c r="AD182" i="321" s="1"/>
  <c r="AD183" i="321" s="1"/>
  <c r="AE180" i="321"/>
  <c r="AE182" i="321" s="1"/>
  <c r="AE183" i="321" s="1"/>
  <c r="AF180" i="321"/>
  <c r="AF182" i="321" s="1"/>
  <c r="AF183" i="321" s="1"/>
  <c r="AG180" i="321"/>
  <c r="AG182" i="321" s="1"/>
  <c r="AG183" i="321" s="1"/>
  <c r="AH180" i="321"/>
  <c r="AH182" i="321" s="1"/>
  <c r="AH183" i="321" s="1"/>
  <c r="AI180" i="321"/>
  <c r="AI182" i="321" s="1"/>
  <c r="AI183" i="321" s="1"/>
  <c r="AJ180" i="321"/>
  <c r="AJ182" i="321" s="1"/>
  <c r="AJ183" i="321" s="1"/>
  <c r="AK180" i="321"/>
  <c r="AK182" i="321" s="1"/>
  <c r="AK183" i="321" s="1"/>
  <c r="AL180" i="321"/>
  <c r="AL182" i="321" s="1"/>
  <c r="AL183" i="321" s="1"/>
  <c r="AM180" i="321"/>
  <c r="AM182" i="321" s="1"/>
  <c r="AM183" i="321" s="1"/>
  <c r="AN180" i="321"/>
  <c r="AN182" i="321" s="1"/>
  <c r="AN183" i="321" s="1"/>
  <c r="AO180" i="321"/>
  <c r="AO182" i="321" s="1"/>
  <c r="AO183" i="321" s="1"/>
  <c r="AP180" i="321"/>
  <c r="AP182" i="321" s="1"/>
  <c r="AP183" i="321" s="1"/>
  <c r="AQ180" i="321"/>
  <c r="AQ182" i="321" s="1"/>
  <c r="AQ183" i="321" s="1"/>
  <c r="AR180" i="321"/>
  <c r="AR182" i="321" s="1"/>
  <c r="AR183" i="321" s="1"/>
  <c r="AS180" i="321"/>
  <c r="AS182" i="321" s="1"/>
  <c r="AS183" i="321" s="1"/>
  <c r="AT180" i="321"/>
  <c r="AT182" i="321" s="1"/>
  <c r="AT183" i="321" s="1"/>
  <c r="AU180" i="321"/>
  <c r="AU182" i="321" s="1"/>
  <c r="AU183" i="321" s="1"/>
  <c r="AV180" i="321"/>
  <c r="AV182" i="321" s="1"/>
  <c r="AV183" i="321" s="1"/>
  <c r="AW180" i="321"/>
  <c r="AW182" i="321" s="1"/>
  <c r="AW183" i="321" s="1"/>
  <c r="AX180" i="321"/>
  <c r="AX182" i="321" s="1"/>
  <c r="AX183" i="321" s="1"/>
  <c r="AY180" i="321"/>
  <c r="AY182" i="321" s="1"/>
  <c r="AY183" i="321" s="1"/>
  <c r="AZ180" i="321"/>
  <c r="AZ182" i="321" s="1"/>
  <c r="AZ183" i="321" s="1"/>
  <c r="BA180" i="321"/>
  <c r="BA182" i="321" s="1"/>
  <c r="BA183" i="321" s="1"/>
  <c r="BB180" i="321"/>
  <c r="BB182" i="321" s="1"/>
  <c r="BB183" i="321" s="1"/>
  <c r="BC180" i="321"/>
  <c r="BC182" i="321" s="1"/>
  <c r="BC183" i="321" s="1"/>
  <c r="BD180" i="321"/>
  <c r="BD182" i="321" s="1"/>
  <c r="BD183" i="321" s="1"/>
  <c r="BE180" i="321"/>
  <c r="BE182" i="321" s="1"/>
  <c r="BE183" i="321" s="1"/>
  <c r="BF180" i="321"/>
  <c r="BF182" i="321" s="1"/>
  <c r="BF183" i="321" s="1"/>
  <c r="BG180" i="321"/>
  <c r="BG182" i="321" s="1"/>
  <c r="BG183" i="321" s="1"/>
  <c r="BH180" i="321"/>
  <c r="BH182" i="321" s="1"/>
  <c r="BH183" i="321" s="1"/>
  <c r="BI180" i="321"/>
  <c r="BI182" i="321" s="1"/>
  <c r="BI183" i="321" s="1"/>
  <c r="BJ180" i="321"/>
  <c r="BJ182" i="321" s="1"/>
  <c r="BJ183" i="321" s="1"/>
  <c r="BK180" i="321"/>
  <c r="BK182" i="321" s="1"/>
  <c r="BK183" i="321" s="1"/>
  <c r="BL180" i="321"/>
  <c r="BL182" i="321" s="1"/>
  <c r="BL183" i="321" s="1"/>
  <c r="BM180" i="321"/>
  <c r="BM182" i="321" s="1"/>
  <c r="BM183" i="321" s="1"/>
  <c r="BN180" i="321"/>
  <c r="BN182" i="321" s="1"/>
  <c r="BN183" i="321" s="1"/>
  <c r="BO180" i="321"/>
  <c r="BO182" i="321" s="1"/>
  <c r="BO183" i="321" s="1"/>
  <c r="BP180" i="321"/>
  <c r="BP182" i="321" s="1"/>
  <c r="BP183" i="321" s="1"/>
  <c r="BQ180" i="321"/>
  <c r="BQ182" i="321" s="1"/>
  <c r="BQ183" i="321" s="1"/>
  <c r="BR180" i="321"/>
  <c r="BR182" i="321" s="1"/>
  <c r="BR183" i="321" s="1"/>
  <c r="BS180" i="321"/>
  <c r="BS182" i="321" s="1"/>
  <c r="BS183" i="321" s="1"/>
  <c r="BT180" i="321"/>
  <c r="BT182" i="321" s="1"/>
  <c r="BT183" i="321" s="1"/>
  <c r="BU180" i="321"/>
  <c r="BU182" i="321" s="1"/>
  <c r="BU183" i="321" s="1"/>
  <c r="BV180" i="321"/>
  <c r="BV182" i="321" s="1"/>
  <c r="BV183" i="321" s="1"/>
  <c r="BW180" i="321"/>
  <c r="BW182" i="321" s="1"/>
  <c r="BW183" i="321" s="1"/>
  <c r="BX180" i="321"/>
  <c r="BX182" i="321" s="1"/>
  <c r="BX183" i="321" s="1"/>
  <c r="BY180" i="321"/>
  <c r="BY182" i="321" s="1"/>
  <c r="BY183" i="321" s="1"/>
  <c r="BZ180" i="321"/>
  <c r="BZ182" i="321" s="1"/>
  <c r="BZ183" i="321" s="1"/>
  <c r="CA180" i="321"/>
  <c r="CA182" i="321" s="1"/>
  <c r="CA183" i="321" s="1"/>
  <c r="CB180" i="321"/>
  <c r="CB182" i="321" s="1"/>
  <c r="CB183" i="321" s="1"/>
  <c r="CC180" i="321"/>
  <c r="CC182" i="321" s="1"/>
  <c r="CC183" i="321" s="1"/>
  <c r="CD180" i="321"/>
  <c r="CD182" i="321" s="1"/>
  <c r="CD183" i="321" s="1"/>
  <c r="CE180" i="321"/>
  <c r="CE182" i="321" s="1"/>
  <c r="CE183" i="321" s="1"/>
  <c r="CF180" i="321"/>
  <c r="CF182" i="321" s="1"/>
  <c r="CF183" i="321" s="1"/>
  <c r="CG180" i="321"/>
  <c r="CG182" i="321" s="1"/>
  <c r="CG183" i="321" s="1"/>
  <c r="CH180" i="321"/>
  <c r="CH182" i="321" s="1"/>
  <c r="CH183" i="321" s="1"/>
  <c r="CI180" i="321"/>
  <c r="CI182" i="321" s="1"/>
  <c r="CI183" i="321" s="1"/>
  <c r="CJ180" i="321"/>
  <c r="CJ182" i="321" s="1"/>
  <c r="CJ183" i="321" s="1"/>
  <c r="CK180" i="321"/>
  <c r="CK182" i="321" s="1"/>
  <c r="CK183" i="321" s="1"/>
  <c r="CL180" i="321"/>
  <c r="CL182" i="321" s="1"/>
  <c r="CL183" i="321" s="1"/>
  <c r="CM180" i="321"/>
  <c r="CM182" i="321" s="1"/>
  <c r="CM183" i="321" s="1"/>
  <c r="CN180" i="321"/>
  <c r="CN182" i="321" s="1"/>
  <c r="CN183" i="321" s="1"/>
  <c r="CO180" i="321"/>
  <c r="CO182" i="321" s="1"/>
  <c r="CO183" i="321" s="1"/>
  <c r="CP180" i="321"/>
  <c r="CP182" i="321" s="1"/>
  <c r="CP183" i="321" s="1"/>
  <c r="CQ180" i="321"/>
  <c r="CQ182" i="321" s="1"/>
  <c r="CQ183" i="321" s="1"/>
  <c r="CR180" i="321"/>
  <c r="CR182" i="321" s="1"/>
  <c r="CR183" i="321" s="1"/>
  <c r="CS180" i="321"/>
  <c r="CS182" i="321" s="1"/>
  <c r="CS183" i="321" s="1"/>
  <c r="CT180" i="321"/>
  <c r="CT182" i="321" s="1"/>
  <c r="CT183" i="321" s="1"/>
  <c r="CU180" i="321"/>
  <c r="CU182" i="321" s="1"/>
  <c r="CU183" i="321" s="1"/>
  <c r="CV180" i="321"/>
  <c r="CV182" i="321" s="1"/>
  <c r="CV183" i="321" s="1"/>
  <c r="BE588" i="307"/>
  <c r="BE40" i="310"/>
  <c r="BE27" i="307"/>
  <c r="H578" i="307"/>
  <c r="BE587" i="307"/>
  <c r="BE589" i="307" s="1"/>
  <c r="BE39" i="310"/>
  <c r="BE26" i="307"/>
  <c r="H546" i="307"/>
  <c r="BE595" i="307"/>
  <c r="BE30" i="307"/>
  <c r="BE43" i="310"/>
  <c r="H271" i="307"/>
  <c r="BD58" i="310"/>
  <c r="BD47" i="310"/>
  <c r="BD63" i="310"/>
  <c r="BD145" i="288"/>
  <c r="H43" i="310" l="1"/>
  <c r="H595" i="307"/>
  <c r="H30" i="307"/>
  <c r="H26" i="307"/>
  <c r="H587" i="307"/>
  <c r="H39" i="310"/>
  <c r="BE591" i="307"/>
  <c r="BE596" i="307" s="1"/>
  <c r="BE139" i="288"/>
  <c r="H589" i="307"/>
  <c r="H27" i="307"/>
  <c r="H588" i="307"/>
  <c r="H40" i="310"/>
  <c r="CV362" i="321"/>
  <c r="CV165" i="288"/>
  <c r="CV184" i="321"/>
  <c r="CV189" i="321"/>
  <c r="CU189" i="321"/>
  <c r="CU362" i="321"/>
  <c r="CU184" i="321"/>
  <c r="CU165" i="288"/>
  <c r="CT189" i="321"/>
  <c r="CT362" i="321"/>
  <c r="CT184" i="321"/>
  <c r="CT165" i="288"/>
  <c r="CS189" i="321"/>
  <c r="CS362" i="321"/>
  <c r="CS165" i="288"/>
  <c r="CS184" i="321"/>
  <c r="CR189" i="321"/>
  <c r="CR362" i="321"/>
  <c r="CR165" i="288"/>
  <c r="CR184" i="321"/>
  <c r="CQ189" i="321"/>
  <c r="CQ362" i="321"/>
  <c r="CQ184" i="321"/>
  <c r="CQ165" i="288"/>
  <c r="CP189" i="321"/>
  <c r="CP362" i="321"/>
  <c r="CP165" i="288"/>
  <c r="CP184" i="321"/>
  <c r="CO189" i="321"/>
  <c r="CO362" i="321"/>
  <c r="CO165" i="288"/>
  <c r="CO184" i="321"/>
  <c r="CN189" i="321"/>
  <c r="CN362" i="321"/>
  <c r="CN184" i="321"/>
  <c r="CN165" i="288"/>
  <c r="CM189" i="321"/>
  <c r="CM362" i="321"/>
  <c r="CM165" i="288"/>
  <c r="CM184" i="321"/>
  <c r="CL189" i="321"/>
  <c r="CL362" i="321"/>
  <c r="CL165" i="288"/>
  <c r="CL184" i="321"/>
  <c r="CK189" i="321"/>
  <c r="CK362" i="321"/>
  <c r="CK184" i="321"/>
  <c r="CK165" i="288"/>
  <c r="CJ189" i="321"/>
  <c r="CJ362" i="321"/>
  <c r="CJ184" i="321"/>
  <c r="CJ165" i="288"/>
  <c r="CI189" i="321"/>
  <c r="CI362" i="321"/>
  <c r="CI165" i="288"/>
  <c r="CI184" i="321"/>
  <c r="CH189" i="321"/>
  <c r="CH362" i="321"/>
  <c r="CH184" i="321"/>
  <c r="CH165" i="288"/>
  <c r="CG189" i="321"/>
  <c r="CG362" i="321"/>
  <c r="CG184" i="321"/>
  <c r="CG165" i="288"/>
  <c r="CF189" i="321"/>
  <c r="CF362" i="321"/>
  <c r="CF165" i="288"/>
  <c r="CF184" i="321"/>
  <c r="CE189" i="321"/>
  <c r="CE362" i="321"/>
  <c r="CE184" i="321"/>
  <c r="CE165" i="288"/>
  <c r="CD189" i="321"/>
  <c r="CD362" i="321"/>
  <c r="CD184" i="321"/>
  <c r="CD165" i="288"/>
  <c r="CC189" i="321"/>
  <c r="CC362" i="321"/>
  <c r="CC165" i="288"/>
  <c r="CC184" i="321"/>
  <c r="CB189" i="321"/>
  <c r="CB362" i="321"/>
  <c r="CB165" i="288"/>
  <c r="CB184" i="321"/>
  <c r="CA189" i="321"/>
  <c r="CA362" i="321"/>
  <c r="CA184" i="321"/>
  <c r="CA165" i="288"/>
  <c r="BZ189" i="321"/>
  <c r="BZ362" i="321"/>
  <c r="BZ165" i="288"/>
  <c r="BZ184" i="321"/>
  <c r="BY189" i="321"/>
  <c r="BY362" i="321"/>
  <c r="BY165" i="288"/>
  <c r="BY184" i="321"/>
  <c r="BX189" i="321"/>
  <c r="BX362" i="321"/>
  <c r="BX184" i="321"/>
  <c r="BX165" i="288"/>
  <c r="BW189" i="321"/>
  <c r="BW362" i="321"/>
  <c r="BW165" i="288"/>
  <c r="BW184" i="321"/>
  <c r="BV189" i="321"/>
  <c r="BV362" i="321"/>
  <c r="BV165" i="288"/>
  <c r="BV184" i="321"/>
  <c r="BU189" i="321"/>
  <c r="BU362" i="321"/>
  <c r="BU184" i="321"/>
  <c r="BU165" i="288"/>
  <c r="BT189" i="321"/>
  <c r="BT362" i="321"/>
  <c r="BT184" i="321"/>
  <c r="BT165" i="288"/>
  <c r="BS189" i="321"/>
  <c r="BS362" i="321"/>
  <c r="BS165" i="288"/>
  <c r="BS184" i="321"/>
  <c r="BR189" i="321"/>
  <c r="BR362" i="321"/>
  <c r="BR165" i="288"/>
  <c r="BR184" i="321"/>
  <c r="BQ189" i="321"/>
  <c r="BQ362" i="321"/>
  <c r="BQ184" i="321"/>
  <c r="BQ165" i="288"/>
  <c r="BP189" i="321"/>
  <c r="BP362" i="321"/>
  <c r="BP165" i="288"/>
  <c r="BP184" i="321"/>
  <c r="BO189" i="321"/>
  <c r="BO362" i="321"/>
  <c r="BO184" i="321"/>
  <c r="BO165" i="288"/>
  <c r="BN189" i="321"/>
  <c r="BN362" i="321"/>
  <c r="BN184" i="321"/>
  <c r="BN165" i="288"/>
  <c r="BM189" i="321"/>
  <c r="BM362" i="321"/>
  <c r="BM184" i="321"/>
  <c r="BM165" i="288"/>
  <c r="BL189" i="321"/>
  <c r="BL362" i="321"/>
  <c r="BL184" i="321"/>
  <c r="BL165" i="288"/>
  <c r="BK189" i="321"/>
  <c r="BK362" i="321"/>
  <c r="BK184" i="321"/>
  <c r="BK165" i="288"/>
  <c r="BJ189" i="321"/>
  <c r="BJ362" i="321"/>
  <c r="BJ184" i="321"/>
  <c r="BJ165" i="288"/>
  <c r="BI189" i="321"/>
  <c r="BI362" i="321"/>
  <c r="BI165" i="288"/>
  <c r="BI184" i="321"/>
  <c r="BH189" i="321"/>
  <c r="BH362" i="321"/>
  <c r="BH184" i="321"/>
  <c r="BH165" i="288"/>
  <c r="BG189" i="321"/>
  <c r="BG362" i="321"/>
  <c r="BG165" i="288"/>
  <c r="BG184" i="321"/>
  <c r="BF189" i="321"/>
  <c r="BF362" i="321"/>
  <c r="BF165" i="288"/>
  <c r="BF184" i="321"/>
  <c r="BE189" i="321"/>
  <c r="BE362" i="321"/>
  <c r="BE165" i="288"/>
  <c r="BE184" i="321"/>
  <c r="BD189" i="321"/>
  <c r="BD362" i="321"/>
  <c r="BD165" i="288"/>
  <c r="BD184" i="321"/>
  <c r="BC189" i="321"/>
  <c r="BC362" i="321"/>
  <c r="BC184" i="321"/>
  <c r="BC165" i="288"/>
  <c r="BB189" i="321"/>
  <c r="BB362" i="321"/>
  <c r="BB184" i="321"/>
  <c r="BB165" i="288"/>
  <c r="BA189" i="321"/>
  <c r="BA362" i="321"/>
  <c r="BA184" i="321"/>
  <c r="BA165" i="288"/>
  <c r="AZ189" i="321"/>
  <c r="AZ362" i="321"/>
  <c r="AZ165" i="288"/>
  <c r="AZ184" i="321"/>
  <c r="AY189" i="321"/>
  <c r="AY362" i="321"/>
  <c r="AY184" i="321"/>
  <c r="AY165" i="288"/>
  <c r="AX189" i="321"/>
  <c r="AX362" i="321"/>
  <c r="AX165" i="288"/>
  <c r="AX184" i="321"/>
  <c r="AW189" i="321"/>
  <c r="AW362" i="321"/>
  <c r="AW165" i="288"/>
  <c r="AW184" i="321"/>
  <c r="AV189" i="321"/>
  <c r="AV362" i="321"/>
  <c r="AV165" i="288"/>
  <c r="AV184" i="321"/>
  <c r="AU189" i="321"/>
  <c r="AU362" i="321"/>
  <c r="AU165" i="288"/>
  <c r="AU184" i="321"/>
  <c r="AT189" i="321"/>
  <c r="AT362" i="321"/>
  <c r="AT184" i="321"/>
  <c r="AT165" i="288"/>
  <c r="AS189" i="321"/>
  <c r="AS362" i="321"/>
  <c r="AS184" i="321"/>
  <c r="AS165" i="288"/>
  <c r="AR189" i="321"/>
  <c r="AR362" i="321"/>
  <c r="AR184" i="321"/>
  <c r="AR165" i="288"/>
  <c r="AQ189" i="321"/>
  <c r="AQ362" i="321"/>
  <c r="AQ165" i="288"/>
  <c r="AQ184" i="321"/>
  <c r="AP189" i="321"/>
  <c r="AP362" i="321"/>
  <c r="AP184" i="321"/>
  <c r="AP165" i="288"/>
  <c r="AO189" i="321"/>
  <c r="AO362" i="321"/>
  <c r="AO184" i="321"/>
  <c r="AO165" i="288"/>
  <c r="AN189" i="321"/>
  <c r="AN362" i="321"/>
  <c r="AN184" i="321"/>
  <c r="AN165" i="288"/>
  <c r="AM189" i="321"/>
  <c r="AM362" i="321"/>
  <c r="AM184" i="321"/>
  <c r="AM165" i="288"/>
  <c r="AL189" i="321"/>
  <c r="AL362" i="321"/>
  <c r="AL165" i="288"/>
  <c r="AL184" i="321"/>
  <c r="AK189" i="321"/>
  <c r="AK362" i="321"/>
  <c r="AK165" i="288"/>
  <c r="AK184" i="321"/>
  <c r="AJ189" i="321"/>
  <c r="AJ362" i="321"/>
  <c r="AJ165" i="288"/>
  <c r="AJ184" i="321"/>
  <c r="AI189" i="321"/>
  <c r="AI362" i="321"/>
  <c r="AI184" i="321"/>
  <c r="AI165" i="288"/>
  <c r="AH189" i="321"/>
  <c r="AH362" i="321"/>
  <c r="AH165" i="288"/>
  <c r="AH184" i="321"/>
  <c r="AG189" i="321"/>
  <c r="AG362" i="321"/>
  <c r="AG165" i="288"/>
  <c r="AG184" i="321"/>
  <c r="AF189" i="321"/>
  <c r="AF362" i="321"/>
  <c r="AF165" i="288"/>
  <c r="AF184" i="321"/>
  <c r="AE189" i="321"/>
  <c r="AE362" i="321"/>
  <c r="AE165" i="288"/>
  <c r="AE184" i="321"/>
  <c r="AD189" i="321"/>
  <c r="AD362" i="321"/>
  <c r="AD184" i="321"/>
  <c r="AD165" i="288"/>
  <c r="AC189" i="321"/>
  <c r="AC362" i="321"/>
  <c r="AC184" i="321"/>
  <c r="AC165" i="288"/>
  <c r="AB189" i="321"/>
  <c r="AB362" i="321"/>
  <c r="AB165" i="288"/>
  <c r="AB184" i="321"/>
  <c r="AA189" i="321"/>
  <c r="AA362" i="321"/>
  <c r="AA165" i="288"/>
  <c r="AA184" i="321"/>
  <c r="Z189" i="321"/>
  <c r="Z362" i="321"/>
  <c r="Z165" i="288"/>
  <c r="Z184" i="321"/>
  <c r="Y189" i="321"/>
  <c r="Y362" i="321"/>
  <c r="Y165" i="288"/>
  <c r="Y184" i="321"/>
  <c r="X189" i="321"/>
  <c r="X362" i="321"/>
  <c r="X165" i="288"/>
  <c r="X184" i="321"/>
  <c r="W189" i="321"/>
  <c r="W362" i="321"/>
  <c r="W184" i="321"/>
  <c r="W165" i="288"/>
  <c r="V189" i="321"/>
  <c r="V362" i="321"/>
  <c r="V165" i="288"/>
  <c r="V184" i="321"/>
  <c r="U189" i="321"/>
  <c r="U362" i="321"/>
  <c r="U184" i="321"/>
  <c r="U165" i="288"/>
  <c r="T189" i="321"/>
  <c r="T362" i="321"/>
  <c r="T184" i="321"/>
  <c r="T165" i="288"/>
  <c r="S189" i="321"/>
  <c r="S362" i="321"/>
  <c r="S184" i="321"/>
  <c r="S165" i="288"/>
  <c r="R189" i="321"/>
  <c r="R362" i="321"/>
  <c r="R184" i="321"/>
  <c r="R165" i="288"/>
  <c r="Q189" i="321"/>
  <c r="Q362" i="321"/>
  <c r="Q165" i="288"/>
  <c r="Q184" i="321"/>
  <c r="P189" i="321"/>
  <c r="P362" i="321"/>
  <c r="P184" i="321"/>
  <c r="P165" i="288"/>
  <c r="O189" i="321"/>
  <c r="O362" i="321"/>
  <c r="O184" i="321"/>
  <c r="O165" i="288"/>
  <c r="N189" i="321"/>
  <c r="N362" i="321"/>
  <c r="N184" i="321"/>
  <c r="N165" i="288"/>
  <c r="M189" i="321"/>
  <c r="M362" i="321"/>
  <c r="M184" i="321"/>
  <c r="M165" i="288"/>
  <c r="L189" i="321"/>
  <c r="L362" i="321"/>
  <c r="L184" i="321"/>
  <c r="L165" i="288"/>
  <c r="K189" i="321"/>
  <c r="K362" i="321"/>
  <c r="K184" i="321"/>
  <c r="K165" i="288"/>
  <c r="J182" i="321"/>
  <c r="J183" i="321" s="1"/>
  <c r="H180" i="321"/>
  <c r="H182" i="321" s="1"/>
  <c r="J81" i="311"/>
  <c r="J169" i="321"/>
  <c r="H142" i="321"/>
  <c r="H169" i="321" s="1"/>
  <c r="F103" i="321"/>
  <c r="F109" i="321"/>
  <c r="J171" i="321"/>
  <c r="H464" i="307"/>
  <c r="H484" i="307"/>
  <c r="BE487" i="307"/>
  <c r="BE489" i="307" s="1"/>
  <c r="H485" i="307"/>
  <c r="H487" i="307" s="1"/>
  <c r="BE467" i="307"/>
  <c r="BE469" i="307" s="1"/>
  <c r="H465" i="307"/>
  <c r="H467" i="307" s="1"/>
  <c r="H57" i="265"/>
  <c r="H134" i="269" s="1"/>
  <c r="K134" i="269" s="1"/>
  <c r="H55" i="315"/>
  <c r="F129" i="328"/>
  <c r="H53" i="269"/>
  <c r="K53" i="269" s="1"/>
  <c r="CV364" i="321"/>
  <c r="CV301" i="321"/>
  <c r="CV296" i="321"/>
  <c r="CV166" i="288"/>
  <c r="CU301" i="321"/>
  <c r="CU364" i="321"/>
  <c r="CU296" i="321"/>
  <c r="CU166" i="288"/>
  <c r="CT301" i="321"/>
  <c r="CT364" i="321"/>
  <c r="CT296" i="321"/>
  <c r="CT166" i="288"/>
  <c r="CS301" i="321"/>
  <c r="CS364" i="321"/>
  <c r="CS296" i="321"/>
  <c r="CS166" i="288"/>
  <c r="CR301" i="321"/>
  <c r="CR364" i="321"/>
  <c r="CR166" i="288"/>
  <c r="CR296" i="321"/>
  <c r="CQ301" i="321"/>
  <c r="CQ364" i="321"/>
  <c r="CQ166" i="288"/>
  <c r="CQ296" i="321"/>
  <c r="CP301" i="321"/>
  <c r="CP364" i="321"/>
  <c r="CP166" i="288"/>
  <c r="CP296" i="321"/>
  <c r="CO301" i="321"/>
  <c r="CO364" i="321"/>
  <c r="CO166" i="288"/>
  <c r="CO296" i="321"/>
  <c r="CN301" i="321"/>
  <c r="CN364" i="321"/>
  <c r="CN296" i="321"/>
  <c r="CN166" i="288"/>
  <c r="CM301" i="321"/>
  <c r="CM364" i="321"/>
  <c r="CM296" i="321"/>
  <c r="CM166" i="288"/>
  <c r="CL301" i="321"/>
  <c r="CL364" i="321"/>
  <c r="CL296" i="321"/>
  <c r="CL166" i="288"/>
  <c r="CK301" i="321"/>
  <c r="CK364" i="321"/>
  <c r="CK296" i="321"/>
  <c r="CK166" i="288"/>
  <c r="CJ301" i="321"/>
  <c r="CJ364" i="321"/>
  <c r="CJ296" i="321"/>
  <c r="CJ166" i="288"/>
  <c r="CI301" i="321"/>
  <c r="CI364" i="321"/>
  <c r="CI296" i="321"/>
  <c r="CI166" i="288"/>
  <c r="CH301" i="321"/>
  <c r="CH364" i="321"/>
  <c r="CH296" i="321"/>
  <c r="CH166" i="288"/>
  <c r="CG301" i="321"/>
  <c r="CG364" i="321"/>
  <c r="CG296" i="321"/>
  <c r="CG166" i="288"/>
  <c r="CF301" i="321"/>
  <c r="CF364" i="321"/>
  <c r="CF296" i="321"/>
  <c r="CF166" i="288"/>
  <c r="CE301" i="321"/>
  <c r="CE364" i="321"/>
  <c r="CE296" i="321"/>
  <c r="CE166" i="288"/>
  <c r="CD301" i="321"/>
  <c r="CD364" i="321"/>
  <c r="CD296" i="321"/>
  <c r="CD166" i="288"/>
  <c r="CC301" i="321"/>
  <c r="CC364" i="321"/>
  <c r="CC296" i="321"/>
  <c r="CC166" i="288"/>
  <c r="CB301" i="321"/>
  <c r="CB364" i="321"/>
  <c r="CB166" i="288"/>
  <c r="CB296" i="321"/>
  <c r="CA301" i="321"/>
  <c r="CA364" i="321"/>
  <c r="CA166" i="288"/>
  <c r="CA296" i="321"/>
  <c r="BZ301" i="321"/>
  <c r="BZ364" i="321"/>
  <c r="BZ166" i="288"/>
  <c r="BZ296" i="321"/>
  <c r="BY301" i="321"/>
  <c r="BY364" i="321"/>
  <c r="BY166" i="288"/>
  <c r="BY296" i="321"/>
  <c r="BX301" i="321"/>
  <c r="BX364" i="321"/>
  <c r="BX296" i="321"/>
  <c r="BX166" i="288"/>
  <c r="BW301" i="321"/>
  <c r="BW364" i="321"/>
  <c r="BW296" i="321"/>
  <c r="BW166" i="288"/>
  <c r="BV301" i="321"/>
  <c r="BV364" i="321"/>
  <c r="BV296" i="321"/>
  <c r="BV166" i="288"/>
  <c r="BU301" i="321"/>
  <c r="BU364" i="321"/>
  <c r="BU296" i="321"/>
  <c r="BU166" i="288"/>
  <c r="BT301" i="321"/>
  <c r="BT364" i="321"/>
  <c r="BT296" i="321"/>
  <c r="BT166" i="288"/>
  <c r="BS301" i="321"/>
  <c r="BS364" i="321"/>
  <c r="BS296" i="321"/>
  <c r="BS166" i="288"/>
  <c r="BR301" i="321"/>
  <c r="BR364" i="321"/>
  <c r="BR296" i="321"/>
  <c r="BR166" i="288"/>
  <c r="BQ301" i="321"/>
  <c r="BQ364" i="321"/>
  <c r="BQ296" i="321"/>
  <c r="BQ166" i="288"/>
  <c r="BP301" i="321"/>
  <c r="BP364" i="321"/>
  <c r="BP296" i="321"/>
  <c r="BP166" i="288"/>
  <c r="BO301" i="321"/>
  <c r="BO364" i="321"/>
  <c r="BO296" i="321"/>
  <c r="BO166" i="288"/>
  <c r="BN301" i="321"/>
  <c r="BN364" i="321"/>
  <c r="BN296" i="321"/>
  <c r="BN166" i="288"/>
  <c r="BM301" i="321"/>
  <c r="BM364" i="321"/>
  <c r="BM296" i="321"/>
  <c r="BM166" i="288"/>
  <c r="BL301" i="321"/>
  <c r="BL364" i="321"/>
  <c r="BL296" i="321"/>
  <c r="BL166" i="288"/>
  <c r="BK301" i="321"/>
  <c r="BK364" i="321"/>
  <c r="BK296" i="321"/>
  <c r="BK166" i="288"/>
  <c r="BJ301" i="321"/>
  <c r="BJ364" i="321"/>
  <c r="BJ296" i="321"/>
  <c r="BJ166" i="288"/>
  <c r="BI301" i="321"/>
  <c r="BI364" i="321"/>
  <c r="BI166" i="288"/>
  <c r="BI296" i="321"/>
  <c r="BH301" i="321"/>
  <c r="BH364" i="321"/>
  <c r="BH166" i="288"/>
  <c r="BH296" i="321"/>
  <c r="BG301" i="321"/>
  <c r="BG364" i="321"/>
  <c r="BG296" i="321"/>
  <c r="BG166" i="288"/>
  <c r="BF301" i="321"/>
  <c r="BF364" i="321"/>
  <c r="BF296" i="321"/>
  <c r="BF166" i="288"/>
  <c r="BE301" i="321"/>
  <c r="BE364" i="321"/>
  <c r="BE296" i="321"/>
  <c r="BE166" i="288"/>
  <c r="BD301" i="321"/>
  <c r="BD364" i="321"/>
  <c r="BD166" i="288"/>
  <c r="BD296" i="321"/>
  <c r="BC301" i="321"/>
  <c r="BC364" i="321"/>
  <c r="BC296" i="321"/>
  <c r="BC166" i="288"/>
  <c r="BB301" i="321"/>
  <c r="BB364" i="321"/>
  <c r="BB296" i="321"/>
  <c r="BB166" i="288"/>
  <c r="BA301" i="321"/>
  <c r="BA364" i="321"/>
  <c r="BA296" i="321"/>
  <c r="BA166" i="288"/>
  <c r="AZ301" i="321"/>
  <c r="AZ364" i="321"/>
  <c r="AZ296" i="321"/>
  <c r="AZ166" i="288"/>
  <c r="AY301" i="321"/>
  <c r="AY364" i="321"/>
  <c r="AY296" i="321"/>
  <c r="AY166" i="288"/>
  <c r="AX301" i="321"/>
  <c r="AX364" i="321"/>
  <c r="AX166" i="288"/>
  <c r="AX296" i="321"/>
  <c r="AW301" i="321"/>
  <c r="AW364" i="321"/>
  <c r="AW166" i="288"/>
  <c r="AW296" i="321"/>
  <c r="AV301" i="321"/>
  <c r="AV364" i="321"/>
  <c r="AV296" i="321"/>
  <c r="AV166" i="288"/>
  <c r="AU301" i="321"/>
  <c r="AU364" i="321"/>
  <c r="AU166" i="288"/>
  <c r="AU296" i="321"/>
  <c r="AT301" i="321"/>
  <c r="AT364" i="321"/>
  <c r="AT296" i="321"/>
  <c r="AT166" i="288"/>
  <c r="AS301" i="321"/>
  <c r="AS364" i="321"/>
  <c r="AS166" i="288"/>
  <c r="AS296" i="321"/>
  <c r="AR301" i="321"/>
  <c r="AR364" i="321"/>
  <c r="AR166" i="288"/>
  <c r="AR296" i="321"/>
  <c r="AQ301" i="321"/>
  <c r="AQ364" i="321"/>
  <c r="AQ296" i="321"/>
  <c r="AQ166" i="288"/>
  <c r="AP301" i="321"/>
  <c r="AP364" i="321"/>
  <c r="AP296" i="321"/>
  <c r="AP166" i="288"/>
  <c r="AO301" i="321"/>
  <c r="AO364" i="321"/>
  <c r="AO296" i="321"/>
  <c r="AO166" i="288"/>
  <c r="AN301" i="321"/>
  <c r="AN364" i="321"/>
  <c r="AN296" i="321"/>
  <c r="AN166" i="288"/>
  <c r="AM301" i="321"/>
  <c r="AM364" i="321"/>
  <c r="AM296" i="321"/>
  <c r="AM166" i="288"/>
  <c r="AL301" i="321"/>
  <c r="AL364" i="321"/>
  <c r="AL166" i="288"/>
  <c r="AL296" i="321"/>
  <c r="AK301" i="321"/>
  <c r="AK364" i="321"/>
  <c r="AK296" i="321"/>
  <c r="AK166" i="288"/>
  <c r="AJ301" i="321"/>
  <c r="AJ364" i="321"/>
  <c r="AJ296" i="321"/>
  <c r="AJ166" i="288"/>
  <c r="AI301" i="321"/>
  <c r="AI364" i="321"/>
  <c r="AI296" i="321"/>
  <c r="AI166" i="288"/>
  <c r="AH301" i="321"/>
  <c r="AH364" i="321"/>
  <c r="AH296" i="321"/>
  <c r="AH166" i="288"/>
  <c r="AG301" i="321"/>
  <c r="AG364" i="321"/>
  <c r="AG296" i="321"/>
  <c r="AG166" i="288"/>
  <c r="AF301" i="321"/>
  <c r="AF364" i="321"/>
  <c r="AF296" i="321"/>
  <c r="AF166" i="288"/>
  <c r="AE301" i="321"/>
  <c r="AE364" i="321"/>
  <c r="AE166" i="288"/>
  <c r="AE296" i="321"/>
  <c r="AD301" i="321"/>
  <c r="AD364" i="321"/>
  <c r="AD296" i="321"/>
  <c r="AD166" i="288"/>
  <c r="AC301" i="321"/>
  <c r="AC364" i="321"/>
  <c r="AC296" i="321"/>
  <c r="AC166" i="288"/>
  <c r="AB301" i="321"/>
  <c r="AB364" i="321"/>
  <c r="AB296" i="321"/>
  <c r="AB166" i="288"/>
  <c r="AA301" i="321"/>
  <c r="AA364" i="321"/>
  <c r="AA296" i="321"/>
  <c r="AA166" i="288"/>
  <c r="Z301" i="321"/>
  <c r="Z364" i="321"/>
  <c r="Z296" i="321"/>
  <c r="Z166" i="288"/>
  <c r="Y301" i="321"/>
  <c r="Y364" i="321"/>
  <c r="Y296" i="321"/>
  <c r="Y166" i="288"/>
  <c r="X301" i="321"/>
  <c r="X364" i="321"/>
  <c r="X296" i="321"/>
  <c r="X166" i="288"/>
  <c r="W301" i="321"/>
  <c r="W364" i="321"/>
  <c r="W296" i="321"/>
  <c r="W166" i="288"/>
  <c r="V301" i="321"/>
  <c r="V364" i="321"/>
  <c r="V296" i="321"/>
  <c r="V166" i="288"/>
  <c r="U301" i="321"/>
  <c r="U364" i="321"/>
  <c r="U296" i="321"/>
  <c r="U166" i="288"/>
  <c r="T301" i="321"/>
  <c r="T364" i="321"/>
  <c r="T296" i="321"/>
  <c r="T166" i="288"/>
  <c r="S301" i="321"/>
  <c r="S364" i="321"/>
  <c r="S296" i="321"/>
  <c r="S166" i="288"/>
  <c r="R301" i="321"/>
  <c r="R364" i="321"/>
  <c r="R296" i="321"/>
  <c r="R166" i="288"/>
  <c r="Q301" i="321"/>
  <c r="Q364" i="321"/>
  <c r="Q296" i="321"/>
  <c r="Q166" i="288"/>
  <c r="P301" i="321"/>
  <c r="P364" i="321"/>
  <c r="P296" i="321"/>
  <c r="P166" i="288"/>
  <c r="O301" i="321"/>
  <c r="O364" i="321"/>
  <c r="O296" i="321"/>
  <c r="O166" i="288"/>
  <c r="N301" i="321"/>
  <c r="N364" i="321"/>
  <c r="N296" i="321"/>
  <c r="N166" i="288"/>
  <c r="M301" i="321"/>
  <c r="M364" i="321"/>
  <c r="M296" i="321"/>
  <c r="M166" i="288"/>
  <c r="L301" i="321"/>
  <c r="L364" i="321"/>
  <c r="L296" i="321"/>
  <c r="L166" i="288"/>
  <c r="K301" i="321"/>
  <c r="K364" i="321"/>
  <c r="K296" i="321"/>
  <c r="K166" i="288"/>
  <c r="J294" i="321"/>
  <c r="J295" i="321" s="1"/>
  <c r="H292" i="321"/>
  <c r="H294" i="321" s="1"/>
  <c r="O134" i="321"/>
  <c r="O258" i="321" s="1"/>
  <c r="S134" i="321"/>
  <c r="S258" i="321" s="1"/>
  <c r="W134" i="321"/>
  <c r="W258" i="321" s="1"/>
  <c r="AA134" i="321"/>
  <c r="AA258" i="321" s="1"/>
  <c r="AE134" i="321"/>
  <c r="AE258" i="321" s="1"/>
  <c r="AI134" i="321"/>
  <c r="AI258" i="321" s="1"/>
  <c r="AM134" i="321"/>
  <c r="AM258" i="321" s="1"/>
  <c r="AQ134" i="321"/>
  <c r="AQ258" i="321" s="1"/>
  <c r="P134" i="321"/>
  <c r="P258" i="321" s="1"/>
  <c r="T134" i="321"/>
  <c r="T258" i="321" s="1"/>
  <c r="X134" i="321"/>
  <c r="X258" i="321" s="1"/>
  <c r="AB134" i="321"/>
  <c r="AB258" i="321" s="1"/>
  <c r="AF134" i="321"/>
  <c r="AF258" i="321" s="1"/>
  <c r="AJ134" i="321"/>
  <c r="AJ258" i="321" s="1"/>
  <c r="AN134" i="321"/>
  <c r="AN258" i="321" s="1"/>
  <c r="AR134" i="321"/>
  <c r="AR258" i="321" s="1"/>
  <c r="Q134" i="321"/>
  <c r="Q258" i="321" s="1"/>
  <c r="U134" i="321"/>
  <c r="U258" i="321" s="1"/>
  <c r="Y134" i="321"/>
  <c r="Y258" i="321" s="1"/>
  <c r="AC134" i="321"/>
  <c r="AC258" i="321" s="1"/>
  <c r="AG134" i="321"/>
  <c r="AG258" i="321" s="1"/>
  <c r="AK134" i="321"/>
  <c r="AK258" i="321" s="1"/>
  <c r="AO134" i="321"/>
  <c r="AO258" i="321" s="1"/>
  <c r="R134" i="321"/>
  <c r="R258" i="321" s="1"/>
  <c r="V134" i="321"/>
  <c r="V258" i="321" s="1"/>
  <c r="Z134" i="321"/>
  <c r="Z258" i="321" s="1"/>
  <c r="AD134" i="321"/>
  <c r="AD258" i="321" s="1"/>
  <c r="AH134" i="321"/>
  <c r="AH258" i="321" s="1"/>
  <c r="AL134" i="321"/>
  <c r="AL258" i="321" s="1"/>
  <c r="AP134" i="321"/>
  <c r="AP258" i="321" s="1"/>
  <c r="F104" i="321"/>
  <c r="F124" i="321" s="1"/>
  <c r="J283" i="321"/>
  <c r="J281" i="321"/>
  <c r="H254" i="321"/>
  <c r="H281" i="321" s="1"/>
  <c r="K36" i="326"/>
  <c r="G170" i="328"/>
  <c r="L36" i="326" s="1"/>
  <c r="L72" i="269"/>
  <c r="J72" i="269"/>
  <c r="H625" i="307"/>
  <c r="H89" i="307"/>
  <c r="H284" i="307"/>
  <c r="H10" i="310"/>
  <c r="H675" i="307"/>
  <c r="Q445" i="321"/>
  <c r="Q447" i="321" s="1"/>
  <c r="H626" i="307"/>
  <c r="H445" i="321" s="1"/>
  <c r="Q484" i="321"/>
  <c r="Q528" i="321"/>
  <c r="H676" i="307"/>
  <c r="Q53" i="265"/>
  <c r="Q51" i="315"/>
  <c r="R684" i="321"/>
  <c r="Q119" i="315"/>
  <c r="Q123" i="265"/>
  <c r="CV572" i="321"/>
  <c r="CV574" i="321" s="1"/>
  <c r="CV580" i="321" s="1"/>
  <c r="CV582" i="321" s="1"/>
  <c r="CV563" i="321"/>
  <c r="CV567" i="321" s="1"/>
  <c r="CV601" i="321"/>
  <c r="CV604" i="321" s="1"/>
  <c r="CV539" i="321"/>
  <c r="CV541" i="321" s="1"/>
  <c r="CV555" i="321" s="1"/>
  <c r="CV557" i="321" s="1"/>
  <c r="CQ664" i="321"/>
  <c r="CP114" i="315"/>
  <c r="CQ634" i="321" l="1"/>
  <c r="CQ638" i="321" s="1"/>
  <c r="CQ643" i="321"/>
  <c r="CQ645" i="321" s="1"/>
  <c r="CQ651" i="321" s="1"/>
  <c r="CQ653" i="321" s="1"/>
  <c r="CQ616" i="321"/>
  <c r="CQ618" i="321" s="1"/>
  <c r="CQ626" i="321" s="1"/>
  <c r="CQ628" i="321" s="1"/>
  <c r="CQ657" i="321"/>
  <c r="CQ660" i="321" s="1"/>
  <c r="CV609" i="321"/>
  <c r="CV560" i="321"/>
  <c r="CV561" i="321" s="1"/>
  <c r="F561" i="321" s="1"/>
  <c r="F32" i="264" s="1"/>
  <c r="CV63" i="265"/>
  <c r="H557" i="321"/>
  <c r="CV605" i="321"/>
  <c r="CV38" i="282"/>
  <c r="H604" i="321"/>
  <c r="H38" i="282" s="1"/>
  <c r="CV610" i="321"/>
  <c r="CV568" i="321"/>
  <c r="H567" i="321"/>
  <c r="H610" i="321" s="1"/>
  <c r="CV104" i="282"/>
  <c r="CV583" i="321"/>
  <c r="CV36" i="282"/>
  <c r="H582" i="321"/>
  <c r="R693" i="321"/>
  <c r="R695" i="321" s="1"/>
  <c r="R699" i="321" s="1"/>
  <c r="R702" i="321" s="1"/>
  <c r="R706" i="321" s="1"/>
  <c r="R709" i="321" s="1"/>
  <c r="R711" i="321" s="1"/>
  <c r="R712" i="321"/>
  <c r="R673" i="321"/>
  <c r="R676" i="321" s="1"/>
  <c r="H484" i="321"/>
  <c r="H528" i="321"/>
  <c r="Q56" i="265"/>
  <c r="Q54" i="315"/>
  <c r="F126" i="328"/>
  <c r="H50" i="269"/>
  <c r="K50" i="269" s="1"/>
  <c r="Q133" i="321"/>
  <c r="Q146" i="321" s="1"/>
  <c r="AG133" i="321"/>
  <c r="AG146" i="321" s="1"/>
  <c r="R133" i="321"/>
  <c r="R146" i="321" s="1"/>
  <c r="AP133" i="321"/>
  <c r="AP146" i="321" s="1"/>
  <c r="AA133" i="321"/>
  <c r="AA146" i="321" s="1"/>
  <c r="AQ133" i="321"/>
  <c r="AQ146" i="321" s="1"/>
  <c r="AB133" i="321"/>
  <c r="AB146" i="321" s="1"/>
  <c r="AR133" i="321"/>
  <c r="AR146" i="321" s="1"/>
  <c r="U133" i="321"/>
  <c r="U146" i="321" s="1"/>
  <c r="AK133" i="321"/>
  <c r="AK146" i="321" s="1"/>
  <c r="V133" i="321"/>
  <c r="V146" i="321" s="1"/>
  <c r="O133" i="321"/>
  <c r="O146" i="321" s="1"/>
  <c r="AE133" i="321"/>
  <c r="AE146" i="321" s="1"/>
  <c r="P133" i="321"/>
  <c r="P146" i="321" s="1"/>
  <c r="AF133" i="321"/>
  <c r="AF146" i="321" s="1"/>
  <c r="AH133" i="321"/>
  <c r="AH146" i="321" s="1"/>
  <c r="Y133" i="321"/>
  <c r="Y146" i="321" s="1"/>
  <c r="AO133" i="321"/>
  <c r="AO146" i="321" s="1"/>
  <c r="Z133" i="321"/>
  <c r="Z146" i="321" s="1"/>
  <c r="S133" i="321"/>
  <c r="S146" i="321" s="1"/>
  <c r="AI133" i="321"/>
  <c r="AI146" i="321" s="1"/>
  <c r="T133" i="321"/>
  <c r="T146" i="321" s="1"/>
  <c r="AJ133" i="321"/>
  <c r="AJ146" i="321" s="1"/>
  <c r="AC133" i="321"/>
  <c r="AC146" i="321" s="1"/>
  <c r="AL133" i="321"/>
  <c r="AL146" i="321" s="1"/>
  <c r="AD133" i="321"/>
  <c r="AD146" i="321" s="1"/>
  <c r="W133" i="321"/>
  <c r="W146" i="321" s="1"/>
  <c r="AM133" i="321"/>
  <c r="AM146" i="321" s="1"/>
  <c r="X133" i="321"/>
  <c r="X146" i="321" s="1"/>
  <c r="AN133" i="321"/>
  <c r="AN146" i="321" s="1"/>
  <c r="J301" i="321"/>
  <c r="J302" i="321" s="1"/>
  <c r="J296" i="321"/>
  <c r="J364" i="321"/>
  <c r="H295" i="321"/>
  <c r="J166" i="288"/>
  <c r="K74" i="265"/>
  <c r="K70" i="315"/>
  <c r="L74" i="265"/>
  <c r="L70" i="315"/>
  <c r="M74" i="265"/>
  <c r="M70" i="315"/>
  <c r="N74" i="265"/>
  <c r="N70" i="315"/>
  <c r="O74" i="265"/>
  <c r="O70" i="315"/>
  <c r="P74" i="265"/>
  <c r="P70" i="315"/>
  <c r="Q74" i="265"/>
  <c r="Q70" i="315"/>
  <c r="R74" i="265"/>
  <c r="R70" i="315"/>
  <c r="S74" i="265"/>
  <c r="S70" i="315"/>
  <c r="T70" i="315"/>
  <c r="T74" i="265"/>
  <c r="U70" i="315"/>
  <c r="U74" i="265"/>
  <c r="V74" i="265"/>
  <c r="V70" i="315"/>
  <c r="W70" i="315"/>
  <c r="W74" i="265"/>
  <c r="X74" i="265"/>
  <c r="X70" i="315"/>
  <c r="Y70" i="315"/>
  <c r="Y74" i="265"/>
  <c r="Z74" i="265"/>
  <c r="Z70" i="315"/>
  <c r="AA74" i="265"/>
  <c r="AA70" i="315"/>
  <c r="AB74" i="265"/>
  <c r="AB70" i="315"/>
  <c r="AC70" i="315"/>
  <c r="AC74" i="265"/>
  <c r="AD74" i="265"/>
  <c r="AD70" i="315"/>
  <c r="AE74" i="265"/>
  <c r="AE70" i="315"/>
  <c r="AF70" i="315"/>
  <c r="AF74" i="265"/>
  <c r="AG70" i="315"/>
  <c r="AG74" i="265"/>
  <c r="AH70" i="315"/>
  <c r="AH74" i="265"/>
  <c r="AI74" i="265"/>
  <c r="AI70" i="315"/>
  <c r="AJ74" i="265"/>
  <c r="AJ70" i="315"/>
  <c r="AK74" i="265"/>
  <c r="AK70" i="315"/>
  <c r="AL70" i="315"/>
  <c r="AL74" i="265"/>
  <c r="AM74" i="265"/>
  <c r="AM70" i="315"/>
  <c r="AN74" i="265"/>
  <c r="AN70" i="315"/>
  <c r="AO74" i="265"/>
  <c r="AO70" i="315"/>
  <c r="AP70" i="315"/>
  <c r="AP74" i="265"/>
  <c r="AQ70" i="315"/>
  <c r="AQ74" i="265"/>
  <c r="AR74" i="265"/>
  <c r="AR70" i="315"/>
  <c r="AS74" i="265"/>
  <c r="AS70" i="315"/>
  <c r="AT74" i="265"/>
  <c r="AT70" i="315"/>
  <c r="AU70" i="315"/>
  <c r="AU74" i="265"/>
  <c r="AV74" i="265"/>
  <c r="AV70" i="315"/>
  <c r="AW74" i="265"/>
  <c r="AW70" i="315"/>
  <c r="AX70" i="315"/>
  <c r="AX74" i="265"/>
  <c r="AY70" i="315"/>
  <c r="AY74" i="265"/>
  <c r="AZ74" i="265"/>
  <c r="AZ70" i="315"/>
  <c r="BA70" i="315"/>
  <c r="BA74" i="265"/>
  <c r="BB70" i="315"/>
  <c r="BB74" i="265"/>
  <c r="BC74" i="265"/>
  <c r="BC70" i="315"/>
  <c r="BD70" i="315"/>
  <c r="BD74" i="265"/>
  <c r="BE74" i="265"/>
  <c r="BE70" i="315"/>
  <c r="BF74" i="265"/>
  <c r="BF70" i="315"/>
  <c r="BG70" i="315"/>
  <c r="BG74" i="265"/>
  <c r="BH70" i="315"/>
  <c r="BH74" i="265"/>
  <c r="BI74" i="265"/>
  <c r="BI70" i="315"/>
  <c r="BJ74" i="265"/>
  <c r="BJ70" i="315"/>
  <c r="BK74" i="265"/>
  <c r="BK70" i="315"/>
  <c r="BL70" i="315"/>
  <c r="BL74" i="265"/>
  <c r="BM74" i="265"/>
  <c r="BM70" i="315"/>
  <c r="BN70" i="315"/>
  <c r="BN74" i="265"/>
  <c r="BO74" i="265"/>
  <c r="BO70" i="315"/>
  <c r="BP74" i="265"/>
  <c r="BP70" i="315"/>
  <c r="BQ74" i="265"/>
  <c r="BQ70" i="315"/>
  <c r="BR74" i="265"/>
  <c r="BR70" i="315"/>
  <c r="BS74" i="265"/>
  <c r="BS70" i="315"/>
  <c r="BT74" i="265"/>
  <c r="BT70" i="315"/>
  <c r="BU74" i="265"/>
  <c r="BU70" i="315"/>
  <c r="BV74" i="265"/>
  <c r="BV70" i="315"/>
  <c r="BW74" i="265"/>
  <c r="BW70" i="315"/>
  <c r="BX74" i="265"/>
  <c r="BX70" i="315"/>
  <c r="BY74" i="265"/>
  <c r="BY70" i="315"/>
  <c r="BZ74" i="265"/>
  <c r="BZ70" i="315"/>
  <c r="CA74" i="265"/>
  <c r="CA70" i="315"/>
  <c r="CB74" i="265"/>
  <c r="CB70" i="315"/>
  <c r="CC74" i="265"/>
  <c r="CC70" i="315"/>
  <c r="CD74" i="265"/>
  <c r="CD70" i="315"/>
  <c r="CE74" i="265"/>
  <c r="CE70" i="315"/>
  <c r="CF74" i="265"/>
  <c r="CF70" i="315"/>
  <c r="CG74" i="265"/>
  <c r="CG70" i="315"/>
  <c r="CH74" i="265"/>
  <c r="CH70" i="315"/>
  <c r="CI74" i="265"/>
  <c r="CI70" i="315"/>
  <c r="CJ74" i="265"/>
  <c r="CJ70" i="315"/>
  <c r="CK70" i="315"/>
  <c r="CK74" i="265"/>
  <c r="CL70" i="315"/>
  <c r="CL74" i="265"/>
  <c r="CM70" i="315"/>
  <c r="CM74" i="265"/>
  <c r="CN70" i="315"/>
  <c r="CN74" i="265"/>
  <c r="CO70" i="315"/>
  <c r="CO74" i="265"/>
  <c r="CP70" i="315"/>
  <c r="CP74" i="265"/>
  <c r="CQ70" i="315"/>
  <c r="CQ74" i="265"/>
  <c r="CR70" i="315"/>
  <c r="CR74" i="265"/>
  <c r="CS70" i="315"/>
  <c r="CS74" i="265"/>
  <c r="CT70" i="315"/>
  <c r="CT74" i="265"/>
  <c r="CU70" i="315"/>
  <c r="CU74" i="265"/>
  <c r="CV70" i="315"/>
  <c r="CV74" i="265"/>
  <c r="J53" i="269"/>
  <c r="L53" i="269"/>
  <c r="F29" i="326"/>
  <c r="G129" i="328"/>
  <c r="G29" i="326" s="1"/>
  <c r="J134" i="269"/>
  <c r="L134" i="269"/>
  <c r="BE655" i="307"/>
  <c r="Q656" i="307" s="1"/>
  <c r="BE498" i="307"/>
  <c r="BE250" i="307"/>
  <c r="BE251" i="307" s="1"/>
  <c r="BE473" i="307"/>
  <c r="BE475" i="307" s="1"/>
  <c r="F470" i="307"/>
  <c r="F375" i="321" s="1"/>
  <c r="H469" i="307"/>
  <c r="BE660" i="307"/>
  <c r="Q661" i="307" s="1"/>
  <c r="BE499" i="307"/>
  <c r="BE493" i="307"/>
  <c r="BE495" i="307" s="1"/>
  <c r="F490" i="307"/>
  <c r="F407" i="321" s="1"/>
  <c r="H489" i="307"/>
  <c r="J189" i="321"/>
  <c r="J190" i="321" s="1"/>
  <c r="J184" i="321"/>
  <c r="J362" i="321"/>
  <c r="J165" i="288"/>
  <c r="J168" i="288" s="1"/>
  <c r="H183" i="321"/>
  <c r="K168" i="288"/>
  <c r="K170" i="288" s="1"/>
  <c r="K73" i="265"/>
  <c r="K69" i="315"/>
  <c r="L168" i="288"/>
  <c r="L170" i="288" s="1"/>
  <c r="L73" i="265"/>
  <c r="L69" i="315"/>
  <c r="M168" i="288"/>
  <c r="M170" i="288" s="1"/>
  <c r="M73" i="265"/>
  <c r="M69" i="315"/>
  <c r="N168" i="288"/>
  <c r="N170" i="288" s="1"/>
  <c r="N73" i="265"/>
  <c r="N69" i="315"/>
  <c r="O168" i="288"/>
  <c r="O170" i="288" s="1"/>
  <c r="O73" i="265"/>
  <c r="O69" i="315"/>
  <c r="P168" i="288"/>
  <c r="P170" i="288" s="1"/>
  <c r="P73" i="265"/>
  <c r="P69" i="315"/>
  <c r="Q73" i="265"/>
  <c r="Q69" i="315"/>
  <c r="Q168" i="288"/>
  <c r="Q170" i="288" s="1"/>
  <c r="R168" i="288"/>
  <c r="R170" i="288" s="1"/>
  <c r="R73" i="265"/>
  <c r="R69" i="315"/>
  <c r="S168" i="288"/>
  <c r="S170" i="288" s="1"/>
  <c r="S73" i="265"/>
  <c r="S69" i="315"/>
  <c r="T168" i="288"/>
  <c r="T170" i="288" s="1"/>
  <c r="T73" i="265"/>
  <c r="T69" i="315"/>
  <c r="U168" i="288"/>
  <c r="U170" i="288" s="1"/>
  <c r="U73" i="265"/>
  <c r="U69" i="315"/>
  <c r="V73" i="265"/>
  <c r="V69" i="315"/>
  <c r="V168" i="288"/>
  <c r="V170" i="288" s="1"/>
  <c r="W168" i="288"/>
  <c r="W170" i="288" s="1"/>
  <c r="W73" i="265"/>
  <c r="W69" i="315"/>
  <c r="X69" i="315"/>
  <c r="X73" i="265"/>
  <c r="X168" i="288"/>
  <c r="X170" i="288" s="1"/>
  <c r="Y73" i="265"/>
  <c r="Y69" i="315"/>
  <c r="Y168" i="288"/>
  <c r="Y170" i="288" s="1"/>
  <c r="Z73" i="265"/>
  <c r="Z69" i="315"/>
  <c r="Z168" i="288"/>
  <c r="Z170" i="288" s="1"/>
  <c r="AA69" i="315"/>
  <c r="AA73" i="265"/>
  <c r="AA168" i="288"/>
  <c r="AA170" i="288" s="1"/>
  <c r="AB73" i="265"/>
  <c r="AB69" i="315"/>
  <c r="AB168" i="288"/>
  <c r="AB170" i="288" s="1"/>
  <c r="AC168" i="288"/>
  <c r="AC170" i="288" s="1"/>
  <c r="AC69" i="315"/>
  <c r="AC73" i="265"/>
  <c r="AD168" i="288"/>
  <c r="AD170" i="288" s="1"/>
  <c r="AD73" i="265"/>
  <c r="AD69" i="315"/>
  <c r="AE73" i="265"/>
  <c r="AE69" i="315"/>
  <c r="AE168" i="288"/>
  <c r="AE170" i="288" s="1"/>
  <c r="AF69" i="315"/>
  <c r="AF73" i="265"/>
  <c r="AF168" i="288"/>
  <c r="AF170" i="288" s="1"/>
  <c r="AG73" i="265"/>
  <c r="AG69" i="315"/>
  <c r="AG168" i="288"/>
  <c r="AG170" i="288" s="1"/>
  <c r="AH69" i="315"/>
  <c r="AH73" i="265"/>
  <c r="AH168" i="288"/>
  <c r="AH170" i="288" s="1"/>
  <c r="AI168" i="288"/>
  <c r="AI170" i="288" s="1"/>
  <c r="AI73" i="265"/>
  <c r="AI69" i="315"/>
  <c r="AJ73" i="265"/>
  <c r="AJ69" i="315"/>
  <c r="AJ168" i="288"/>
  <c r="AJ170" i="288" s="1"/>
  <c r="AK73" i="265"/>
  <c r="AK69" i="315"/>
  <c r="AK168" i="288"/>
  <c r="AK170" i="288" s="1"/>
  <c r="AL73" i="265"/>
  <c r="AL69" i="315"/>
  <c r="AL168" i="288"/>
  <c r="AL170" i="288" s="1"/>
  <c r="AM168" i="288"/>
  <c r="AM170" i="288" s="1"/>
  <c r="AM73" i="265"/>
  <c r="AM69" i="315"/>
  <c r="AN168" i="288"/>
  <c r="AN170" i="288" s="1"/>
  <c r="AN73" i="265"/>
  <c r="AN69" i="315"/>
  <c r="AO168" i="288"/>
  <c r="AO170" i="288" s="1"/>
  <c r="AO73" i="265"/>
  <c r="AO69" i="315"/>
  <c r="AP168" i="288"/>
  <c r="AP170" i="288" s="1"/>
  <c r="AP73" i="265"/>
  <c r="AP69" i="315"/>
  <c r="AQ69" i="315"/>
  <c r="AQ73" i="265"/>
  <c r="AQ168" i="288"/>
  <c r="AQ170" i="288" s="1"/>
  <c r="AR168" i="288"/>
  <c r="AR170" i="288" s="1"/>
  <c r="AR73" i="265"/>
  <c r="AR69" i="315"/>
  <c r="AS168" i="288"/>
  <c r="AS170" i="288" s="1"/>
  <c r="AS73" i="265"/>
  <c r="AS69" i="315"/>
  <c r="AT168" i="288"/>
  <c r="AT170" i="288" s="1"/>
  <c r="AT73" i="265"/>
  <c r="AT69" i="315"/>
  <c r="AU73" i="265"/>
  <c r="AU69" i="315"/>
  <c r="AU168" i="288"/>
  <c r="AU170" i="288" s="1"/>
  <c r="AV73" i="265"/>
  <c r="AV69" i="315"/>
  <c r="AV168" i="288"/>
  <c r="AV170" i="288" s="1"/>
  <c r="AW73" i="265"/>
  <c r="AW69" i="315"/>
  <c r="AW168" i="288"/>
  <c r="AW170" i="288" s="1"/>
  <c r="AX69" i="315"/>
  <c r="AX73" i="265"/>
  <c r="AX168" i="288"/>
  <c r="AX170" i="288" s="1"/>
  <c r="AY168" i="288"/>
  <c r="AY170" i="288" s="1"/>
  <c r="AY73" i="265"/>
  <c r="AY69" i="315"/>
  <c r="AZ73" i="265"/>
  <c r="AZ69" i="315"/>
  <c r="AZ168" i="288"/>
  <c r="AZ170" i="288" s="1"/>
  <c r="BA168" i="288"/>
  <c r="BA170" i="288" s="1"/>
  <c r="BA73" i="265"/>
  <c r="BA69" i="315"/>
  <c r="BB168" i="288"/>
  <c r="BB170" i="288" s="1"/>
  <c r="BB73" i="265"/>
  <c r="BB69" i="315"/>
  <c r="BC168" i="288"/>
  <c r="BC170" i="288" s="1"/>
  <c r="BC73" i="265"/>
  <c r="BC69" i="315"/>
  <c r="BD73" i="265"/>
  <c r="BD69" i="315"/>
  <c r="BD168" i="288"/>
  <c r="BD170" i="288" s="1"/>
  <c r="BE69" i="315"/>
  <c r="BE73" i="265"/>
  <c r="BE168" i="288"/>
  <c r="BE170" i="288" s="1"/>
  <c r="BF73" i="265"/>
  <c r="BF69" i="315"/>
  <c r="BF168" i="288"/>
  <c r="BF170" i="288" s="1"/>
  <c r="BG73" i="265"/>
  <c r="BG69" i="315"/>
  <c r="BG168" i="288"/>
  <c r="BG170" i="288" s="1"/>
  <c r="BH168" i="288"/>
  <c r="BH170" i="288" s="1"/>
  <c r="BH73" i="265"/>
  <c r="BH69" i="315"/>
  <c r="BI73" i="265"/>
  <c r="BI69" i="315"/>
  <c r="BI168" i="288"/>
  <c r="BI170" i="288" s="1"/>
  <c r="BJ168" i="288"/>
  <c r="BJ170" i="288" s="1"/>
  <c r="BJ69" i="315"/>
  <c r="BJ73" i="265"/>
  <c r="BK168" i="288"/>
  <c r="BK170" i="288" s="1"/>
  <c r="BK73" i="265"/>
  <c r="BK69" i="315"/>
  <c r="BL168" i="288"/>
  <c r="BL170" i="288" s="1"/>
  <c r="BL73" i="265"/>
  <c r="BL69" i="315"/>
  <c r="BM168" i="288"/>
  <c r="BM170" i="288" s="1"/>
  <c r="BM69" i="315"/>
  <c r="BM73" i="265"/>
  <c r="BN168" i="288"/>
  <c r="BN170" i="288" s="1"/>
  <c r="BN73" i="265"/>
  <c r="BN69" i="315"/>
  <c r="BO168" i="288"/>
  <c r="BO170" i="288" s="1"/>
  <c r="BO73" i="265"/>
  <c r="BO69" i="315"/>
  <c r="BP73" i="265"/>
  <c r="BP69" i="315"/>
  <c r="BP168" i="288"/>
  <c r="BP170" i="288" s="1"/>
  <c r="BQ168" i="288"/>
  <c r="BQ170" i="288" s="1"/>
  <c r="BQ73" i="265"/>
  <c r="BQ69" i="315"/>
  <c r="BR69" i="315"/>
  <c r="BR73" i="265"/>
  <c r="BR168" i="288"/>
  <c r="BR170" i="288" s="1"/>
  <c r="BS73" i="265"/>
  <c r="BS69" i="315"/>
  <c r="BS168" i="288"/>
  <c r="BS170" i="288" s="1"/>
  <c r="BT168" i="288"/>
  <c r="BT170" i="288" s="1"/>
  <c r="BT73" i="265"/>
  <c r="BT69" i="315"/>
  <c r="BU168" i="288"/>
  <c r="BU170" i="288" s="1"/>
  <c r="BU73" i="265"/>
  <c r="BU69" i="315"/>
  <c r="BV69" i="315"/>
  <c r="BV73" i="265"/>
  <c r="BV168" i="288"/>
  <c r="BV170" i="288" s="1"/>
  <c r="BW73" i="265"/>
  <c r="BW69" i="315"/>
  <c r="BW168" i="288"/>
  <c r="BW170" i="288" s="1"/>
  <c r="BX168" i="288"/>
  <c r="BX170" i="288" s="1"/>
  <c r="BX73" i="265"/>
  <c r="BX69" i="315"/>
  <c r="BY69" i="315"/>
  <c r="BY73" i="265"/>
  <c r="BY168" i="288"/>
  <c r="BY170" i="288" s="1"/>
  <c r="BZ73" i="265"/>
  <c r="BZ69" i="315"/>
  <c r="BZ168" i="288"/>
  <c r="BZ170" i="288" s="1"/>
  <c r="CA168" i="288"/>
  <c r="CA170" i="288" s="1"/>
  <c r="CA73" i="265"/>
  <c r="CA69" i="315"/>
  <c r="CB69" i="315"/>
  <c r="CB73" i="265"/>
  <c r="CB168" i="288"/>
  <c r="CB170" i="288" s="1"/>
  <c r="CC73" i="265"/>
  <c r="CC69" i="315"/>
  <c r="CC168" i="288"/>
  <c r="CC170" i="288" s="1"/>
  <c r="CD168" i="288"/>
  <c r="CD170" i="288" s="1"/>
  <c r="CD73" i="265"/>
  <c r="CD69" i="315"/>
  <c r="CE168" i="288"/>
  <c r="CE170" i="288" s="1"/>
  <c r="CE73" i="265"/>
  <c r="CE69" i="315"/>
  <c r="CF73" i="265"/>
  <c r="CF69" i="315"/>
  <c r="CF168" i="288"/>
  <c r="CF170" i="288" s="1"/>
  <c r="CG168" i="288"/>
  <c r="CG170" i="288" s="1"/>
  <c r="CG73" i="265"/>
  <c r="CG69" i="315"/>
  <c r="CH168" i="288"/>
  <c r="CH170" i="288" s="1"/>
  <c r="CH73" i="265"/>
  <c r="CH69" i="315"/>
  <c r="CI73" i="265"/>
  <c r="CI69" i="315"/>
  <c r="CI168" i="288"/>
  <c r="CI170" i="288" s="1"/>
  <c r="CJ168" i="288"/>
  <c r="CJ170" i="288" s="1"/>
  <c r="CJ73" i="265"/>
  <c r="CJ69" i="315"/>
  <c r="CK168" i="288"/>
  <c r="CK170" i="288" s="1"/>
  <c r="CK73" i="265"/>
  <c r="CK69" i="315"/>
  <c r="CL73" i="265"/>
  <c r="CL69" i="315"/>
  <c r="CL168" i="288"/>
  <c r="CL170" i="288" s="1"/>
  <c r="CM73" i="265"/>
  <c r="CM69" i="315"/>
  <c r="CM168" i="288"/>
  <c r="CM170" i="288" s="1"/>
  <c r="CN168" i="288"/>
  <c r="CN170" i="288" s="1"/>
  <c r="CN73" i="265"/>
  <c r="CN69" i="315"/>
  <c r="CO73" i="265"/>
  <c r="CO69" i="315"/>
  <c r="CO168" i="288"/>
  <c r="CO170" i="288" s="1"/>
  <c r="CP73" i="265"/>
  <c r="CP69" i="315"/>
  <c r="CP168" i="288"/>
  <c r="CP170" i="288" s="1"/>
  <c r="CQ168" i="288"/>
  <c r="CQ170" i="288" s="1"/>
  <c r="CQ73" i="265"/>
  <c r="CQ69" i="315"/>
  <c r="CR73" i="265"/>
  <c r="CR69" i="315"/>
  <c r="CR168" i="288"/>
  <c r="CR170" i="288" s="1"/>
  <c r="CS73" i="265"/>
  <c r="CS69" i="315"/>
  <c r="CS168" i="288"/>
  <c r="CS170" i="288" s="1"/>
  <c r="CT168" i="288"/>
  <c r="CT170" i="288" s="1"/>
  <c r="CT69" i="315"/>
  <c r="CT73" i="265"/>
  <c r="CU168" i="288"/>
  <c r="CU170" i="288" s="1"/>
  <c r="CU73" i="265"/>
  <c r="CU69" i="315"/>
  <c r="CV73" i="265"/>
  <c r="CV69" i="315"/>
  <c r="CV168" i="288"/>
  <c r="CV170" i="288" s="1"/>
  <c r="F164" i="328"/>
  <c r="H78" i="269"/>
  <c r="K78" i="269" s="1"/>
  <c r="H591" i="307"/>
  <c r="H139" i="288"/>
  <c r="BE599" i="307"/>
  <c r="BE601" i="307" s="1"/>
  <c r="BE609" i="307"/>
  <c r="Q610" i="307" s="1"/>
  <c r="H596" i="307"/>
  <c r="F597" i="307"/>
  <c r="H77" i="269"/>
  <c r="K77" i="269" s="1"/>
  <c r="F163" i="328"/>
  <c r="F168" i="328"/>
  <c r="H81" i="269"/>
  <c r="K81" i="269" s="1"/>
  <c r="L81" i="269" l="1"/>
  <c r="J81" i="269"/>
  <c r="G168" i="328"/>
  <c r="L34" i="326" s="1"/>
  <c r="K34" i="326"/>
  <c r="G163" i="328"/>
  <c r="F165" i="328"/>
  <c r="L77" i="269"/>
  <c r="J77" i="269"/>
  <c r="H609" i="307"/>
  <c r="H599" i="307"/>
  <c r="Q611" i="307"/>
  <c r="H610" i="307"/>
  <c r="BE615" i="307"/>
  <c r="Q616" i="307" s="1"/>
  <c r="F602" i="307"/>
  <c r="H601" i="307"/>
  <c r="H615" i="307" s="1"/>
  <c r="J78" i="269"/>
  <c r="L78" i="269"/>
  <c r="G164" i="328"/>
  <c r="BB73" i="277"/>
  <c r="BA73" i="277"/>
  <c r="AZ73" i="277"/>
  <c r="AY73" i="277"/>
  <c r="AX73" i="277"/>
  <c r="AW73" i="277"/>
  <c r="AV73" i="277"/>
  <c r="AU73" i="277"/>
  <c r="AT73" i="277"/>
  <c r="AS73" i="277"/>
  <c r="AR73" i="277"/>
  <c r="AQ73" i="277"/>
  <c r="AP73" i="277"/>
  <c r="AO73" i="277"/>
  <c r="AN73" i="277"/>
  <c r="AM73" i="277"/>
  <c r="AL73" i="277"/>
  <c r="AK73" i="277"/>
  <c r="AJ73" i="277"/>
  <c r="AI73" i="277"/>
  <c r="AH73" i="277"/>
  <c r="AG73" i="277"/>
  <c r="AF73" i="277"/>
  <c r="AE73" i="277"/>
  <c r="AD73" i="277"/>
  <c r="AC73" i="277"/>
  <c r="AB73" i="277"/>
  <c r="AA73" i="277"/>
  <c r="Z73" i="277"/>
  <c r="Y73" i="277"/>
  <c r="X73" i="277"/>
  <c r="W73" i="277"/>
  <c r="V73" i="277"/>
  <c r="U73" i="277"/>
  <c r="T73" i="277"/>
  <c r="S73" i="277"/>
  <c r="R73" i="277"/>
  <c r="Q73" i="277"/>
  <c r="P73" i="277"/>
  <c r="O73" i="277"/>
  <c r="N73" i="277"/>
  <c r="M73" i="277"/>
  <c r="L73" i="277"/>
  <c r="K73" i="277"/>
  <c r="H189" i="321"/>
  <c r="H362" i="321"/>
  <c r="H165" i="288"/>
  <c r="J170" i="288"/>
  <c r="H168" i="288"/>
  <c r="H170" i="288" s="1"/>
  <c r="J73" i="265"/>
  <c r="J73" i="277" s="1"/>
  <c r="H73" i="277" s="1"/>
  <c r="J69" i="315"/>
  <c r="H184" i="321"/>
  <c r="K187" i="321"/>
  <c r="J118" i="288"/>
  <c r="J119" i="265"/>
  <c r="J115" i="315"/>
  <c r="J268" i="288"/>
  <c r="H660" i="307"/>
  <c r="H499" i="307"/>
  <c r="H493" i="307"/>
  <c r="J409" i="321"/>
  <c r="K409" i="321"/>
  <c r="K412" i="321" s="1"/>
  <c r="L409" i="321"/>
  <c r="L412" i="321" s="1"/>
  <c r="M409" i="321"/>
  <c r="M412" i="321" s="1"/>
  <c r="N409" i="321"/>
  <c r="N412" i="321" s="1"/>
  <c r="O409" i="321"/>
  <c r="O412" i="321" s="1"/>
  <c r="P409" i="321"/>
  <c r="P412" i="321" s="1"/>
  <c r="Q409" i="321"/>
  <c r="Q412" i="321" s="1"/>
  <c r="R409" i="321"/>
  <c r="R412" i="321" s="1"/>
  <c r="S409" i="321"/>
  <c r="S412" i="321" s="1"/>
  <c r="T409" i="321"/>
  <c r="T412" i="321" s="1"/>
  <c r="U409" i="321"/>
  <c r="U412" i="321" s="1"/>
  <c r="V409" i="321"/>
  <c r="V412" i="321" s="1"/>
  <c r="W409" i="321"/>
  <c r="W412" i="321" s="1"/>
  <c r="X409" i="321"/>
  <c r="X412" i="321" s="1"/>
  <c r="Y409" i="321"/>
  <c r="Y412" i="321" s="1"/>
  <c r="Z409" i="321"/>
  <c r="Z412" i="321" s="1"/>
  <c r="AA409" i="321"/>
  <c r="AA412" i="321" s="1"/>
  <c r="AB409" i="321"/>
  <c r="AB412" i="321" s="1"/>
  <c r="AC409" i="321"/>
  <c r="AC412" i="321" s="1"/>
  <c r="AD409" i="321"/>
  <c r="AD412" i="321" s="1"/>
  <c r="AE409" i="321"/>
  <c r="AE412" i="321" s="1"/>
  <c r="AF409" i="321"/>
  <c r="AF412" i="321" s="1"/>
  <c r="AG409" i="321"/>
  <c r="AG412" i="321" s="1"/>
  <c r="AH409" i="321"/>
  <c r="AH412" i="321" s="1"/>
  <c r="AI409" i="321"/>
  <c r="AI412" i="321" s="1"/>
  <c r="AJ409" i="321"/>
  <c r="AJ412" i="321" s="1"/>
  <c r="AK409" i="321"/>
  <c r="AK412" i="321" s="1"/>
  <c r="AL409" i="321"/>
  <c r="AL412" i="321" s="1"/>
  <c r="AM409" i="321"/>
  <c r="AM412" i="321" s="1"/>
  <c r="AN409" i="321"/>
  <c r="AN412" i="321" s="1"/>
  <c r="AO409" i="321"/>
  <c r="AO412" i="321" s="1"/>
  <c r="AP409" i="321"/>
  <c r="AP412" i="321" s="1"/>
  <c r="AQ409" i="321"/>
  <c r="AQ412" i="321" s="1"/>
  <c r="AR409" i="321"/>
  <c r="AR412" i="321" s="1"/>
  <c r="AS409" i="321"/>
  <c r="AS412" i="321" s="1"/>
  <c r="AT409" i="321"/>
  <c r="AT412" i="321" s="1"/>
  <c r="AU409" i="321"/>
  <c r="AU412" i="321" s="1"/>
  <c r="AV409" i="321"/>
  <c r="AV412" i="321" s="1"/>
  <c r="AW409" i="321"/>
  <c r="AW412" i="321" s="1"/>
  <c r="AX409" i="321"/>
  <c r="AX412" i="321" s="1"/>
  <c r="AY409" i="321"/>
  <c r="AY412" i="321" s="1"/>
  <c r="AZ409" i="321"/>
  <c r="AZ412" i="321" s="1"/>
  <c r="BA409" i="321"/>
  <c r="BA412" i="321" s="1"/>
  <c r="BB409" i="321"/>
  <c r="BB412" i="321" s="1"/>
  <c r="BC409" i="321"/>
  <c r="BC412" i="321" s="1"/>
  <c r="BD409" i="321"/>
  <c r="BD412" i="321" s="1"/>
  <c r="BE409" i="321"/>
  <c r="BE412" i="321" s="1"/>
  <c r="BF409" i="321"/>
  <c r="BF412" i="321" s="1"/>
  <c r="BG409" i="321"/>
  <c r="BG412" i="321" s="1"/>
  <c r="BH409" i="321"/>
  <c r="BH412" i="321" s="1"/>
  <c r="BI409" i="321"/>
  <c r="BI412" i="321" s="1"/>
  <c r="BJ409" i="321"/>
  <c r="BJ412" i="321" s="1"/>
  <c r="BK409" i="321"/>
  <c r="BK412" i="321" s="1"/>
  <c r="BL409" i="321"/>
  <c r="BL412" i="321" s="1"/>
  <c r="BM409" i="321"/>
  <c r="BM412" i="321" s="1"/>
  <c r="BN409" i="321"/>
  <c r="BN412" i="321" s="1"/>
  <c r="BO409" i="321"/>
  <c r="BO412" i="321" s="1"/>
  <c r="BP409" i="321"/>
  <c r="BP412" i="321" s="1"/>
  <c r="BQ409" i="321"/>
  <c r="BQ412" i="321" s="1"/>
  <c r="BR409" i="321"/>
  <c r="BR412" i="321" s="1"/>
  <c r="BS409" i="321"/>
  <c r="BS412" i="321" s="1"/>
  <c r="BT409" i="321"/>
  <c r="BT412" i="321" s="1"/>
  <c r="BU409" i="321"/>
  <c r="BU412" i="321" s="1"/>
  <c r="BV409" i="321"/>
  <c r="BV412" i="321" s="1"/>
  <c r="BW409" i="321"/>
  <c r="BW412" i="321" s="1"/>
  <c r="BX409" i="321"/>
  <c r="BX412" i="321" s="1"/>
  <c r="BY409" i="321"/>
  <c r="BY412" i="321" s="1"/>
  <c r="BZ409" i="321"/>
  <c r="BZ412" i="321" s="1"/>
  <c r="CA409" i="321"/>
  <c r="CA412" i="321" s="1"/>
  <c r="CB409" i="321"/>
  <c r="CB412" i="321" s="1"/>
  <c r="CC409" i="321"/>
  <c r="CC412" i="321" s="1"/>
  <c r="CD409" i="321"/>
  <c r="CD412" i="321" s="1"/>
  <c r="CE409" i="321"/>
  <c r="CE412" i="321" s="1"/>
  <c r="CF409" i="321"/>
  <c r="CF412" i="321" s="1"/>
  <c r="CG409" i="321"/>
  <c r="CG412" i="321" s="1"/>
  <c r="CH409" i="321"/>
  <c r="CH412" i="321" s="1"/>
  <c r="CI409" i="321"/>
  <c r="CI412" i="321" s="1"/>
  <c r="CJ409" i="321"/>
  <c r="CJ412" i="321" s="1"/>
  <c r="CK409" i="321"/>
  <c r="CK412" i="321" s="1"/>
  <c r="CL409" i="321"/>
  <c r="CL412" i="321" s="1"/>
  <c r="CM409" i="321"/>
  <c r="CM412" i="321" s="1"/>
  <c r="CN409" i="321"/>
  <c r="CN412" i="321" s="1"/>
  <c r="CO409" i="321"/>
  <c r="CO412" i="321" s="1"/>
  <c r="CP409" i="321"/>
  <c r="CP412" i="321" s="1"/>
  <c r="CQ409" i="321"/>
  <c r="CQ412" i="321" s="1"/>
  <c r="CR409" i="321"/>
  <c r="CR412" i="321" s="1"/>
  <c r="CS409" i="321"/>
  <c r="CS412" i="321" s="1"/>
  <c r="CT409" i="321"/>
  <c r="CT412" i="321" s="1"/>
  <c r="CU409" i="321"/>
  <c r="CU412" i="321" s="1"/>
  <c r="CV409" i="321"/>
  <c r="CV412" i="321" s="1"/>
  <c r="Q434" i="321"/>
  <c r="H661" i="307"/>
  <c r="H434" i="321" s="1"/>
  <c r="H498" i="307"/>
  <c r="H250" i="307"/>
  <c r="H473" i="307"/>
  <c r="H655" i="307"/>
  <c r="J377" i="321"/>
  <c r="K377" i="321"/>
  <c r="K380" i="321" s="1"/>
  <c r="L377" i="321"/>
  <c r="L380" i="321" s="1"/>
  <c r="M377" i="321"/>
  <c r="M380" i="321" s="1"/>
  <c r="N377" i="321"/>
  <c r="N380" i="321" s="1"/>
  <c r="O377" i="321"/>
  <c r="O380" i="321" s="1"/>
  <c r="P377" i="321"/>
  <c r="P380" i="321" s="1"/>
  <c r="Q377" i="321"/>
  <c r="Q380" i="321" s="1"/>
  <c r="R377" i="321"/>
  <c r="R380" i="321" s="1"/>
  <c r="S377" i="321"/>
  <c r="S380" i="321" s="1"/>
  <c r="T377" i="321"/>
  <c r="T380" i="321" s="1"/>
  <c r="U377" i="321"/>
  <c r="U380" i="321" s="1"/>
  <c r="V377" i="321"/>
  <c r="V380" i="321" s="1"/>
  <c r="W377" i="321"/>
  <c r="W380" i="321" s="1"/>
  <c r="X377" i="321"/>
  <c r="X380" i="321" s="1"/>
  <c r="Y377" i="321"/>
  <c r="Y380" i="321" s="1"/>
  <c r="Z377" i="321"/>
  <c r="Z380" i="321" s="1"/>
  <c r="AA377" i="321"/>
  <c r="AA380" i="321" s="1"/>
  <c r="AB377" i="321"/>
  <c r="AB380" i="321" s="1"/>
  <c r="AC377" i="321"/>
  <c r="AC380" i="321" s="1"/>
  <c r="AD377" i="321"/>
  <c r="AD380" i="321" s="1"/>
  <c r="AE377" i="321"/>
  <c r="AE380" i="321" s="1"/>
  <c r="AF377" i="321"/>
  <c r="AF380" i="321" s="1"/>
  <c r="AG377" i="321"/>
  <c r="AG380" i="321" s="1"/>
  <c r="AH377" i="321"/>
  <c r="AH380" i="321" s="1"/>
  <c r="AI377" i="321"/>
  <c r="AI380" i="321" s="1"/>
  <c r="AJ377" i="321"/>
  <c r="AJ380" i="321" s="1"/>
  <c r="AK377" i="321"/>
  <c r="AK380" i="321" s="1"/>
  <c r="AL377" i="321"/>
  <c r="AL380" i="321" s="1"/>
  <c r="AM377" i="321"/>
  <c r="AM380" i="321" s="1"/>
  <c r="AN377" i="321"/>
  <c r="AN380" i="321" s="1"/>
  <c r="AO377" i="321"/>
  <c r="AO380" i="321" s="1"/>
  <c r="AP377" i="321"/>
  <c r="AP380" i="321" s="1"/>
  <c r="AQ377" i="321"/>
  <c r="AQ380" i="321" s="1"/>
  <c r="AR377" i="321"/>
  <c r="AR380" i="321" s="1"/>
  <c r="AS377" i="321"/>
  <c r="AS380" i="321" s="1"/>
  <c r="AT377" i="321"/>
  <c r="AT380" i="321" s="1"/>
  <c r="AU377" i="321"/>
  <c r="AU380" i="321" s="1"/>
  <c r="AV377" i="321"/>
  <c r="AV380" i="321" s="1"/>
  <c r="AW377" i="321"/>
  <c r="AW380" i="321" s="1"/>
  <c r="AX377" i="321"/>
  <c r="AX380" i="321" s="1"/>
  <c r="AY377" i="321"/>
  <c r="AY380" i="321" s="1"/>
  <c r="AZ377" i="321"/>
  <c r="AZ380" i="321" s="1"/>
  <c r="BA377" i="321"/>
  <c r="BA380" i="321" s="1"/>
  <c r="BB377" i="321"/>
  <c r="BB380" i="321" s="1"/>
  <c r="BC377" i="321"/>
  <c r="BC380" i="321" s="1"/>
  <c r="BD377" i="321"/>
  <c r="BD380" i="321" s="1"/>
  <c r="BE377" i="321"/>
  <c r="BE380" i="321" s="1"/>
  <c r="BF377" i="321"/>
  <c r="BF380" i="321" s="1"/>
  <c r="BG377" i="321"/>
  <c r="BG380" i="321" s="1"/>
  <c r="BH377" i="321"/>
  <c r="BH380" i="321" s="1"/>
  <c r="BI377" i="321"/>
  <c r="BI380" i="321" s="1"/>
  <c r="BJ377" i="321"/>
  <c r="BJ380" i="321" s="1"/>
  <c r="BK377" i="321"/>
  <c r="BK380" i="321" s="1"/>
  <c r="BL377" i="321"/>
  <c r="BL380" i="321" s="1"/>
  <c r="BM377" i="321"/>
  <c r="BM380" i="321" s="1"/>
  <c r="BN377" i="321"/>
  <c r="BN380" i="321" s="1"/>
  <c r="BO377" i="321"/>
  <c r="BO380" i="321" s="1"/>
  <c r="BP377" i="321"/>
  <c r="BP380" i="321" s="1"/>
  <c r="BQ377" i="321"/>
  <c r="BQ380" i="321" s="1"/>
  <c r="BR377" i="321"/>
  <c r="BR380" i="321" s="1"/>
  <c r="BS377" i="321"/>
  <c r="BS380" i="321" s="1"/>
  <c r="BT377" i="321"/>
  <c r="BT380" i="321" s="1"/>
  <c r="BU377" i="321"/>
  <c r="BU380" i="321" s="1"/>
  <c r="BV377" i="321"/>
  <c r="BV380" i="321" s="1"/>
  <c r="BW377" i="321"/>
  <c r="BW380" i="321" s="1"/>
  <c r="BX377" i="321"/>
  <c r="BX380" i="321" s="1"/>
  <c r="BY377" i="321"/>
  <c r="BY380" i="321" s="1"/>
  <c r="BZ377" i="321"/>
  <c r="BZ380" i="321" s="1"/>
  <c r="CA377" i="321"/>
  <c r="CA380" i="321" s="1"/>
  <c r="CB377" i="321"/>
  <c r="CB380" i="321" s="1"/>
  <c r="CC377" i="321"/>
  <c r="CC380" i="321" s="1"/>
  <c r="CD377" i="321"/>
  <c r="CD380" i="321" s="1"/>
  <c r="CE377" i="321"/>
  <c r="CE380" i="321" s="1"/>
  <c r="CF377" i="321"/>
  <c r="CF380" i="321" s="1"/>
  <c r="CG377" i="321"/>
  <c r="CG380" i="321" s="1"/>
  <c r="CH377" i="321"/>
  <c r="CH380" i="321" s="1"/>
  <c r="CI377" i="321"/>
  <c r="CI380" i="321" s="1"/>
  <c r="CJ377" i="321"/>
  <c r="CJ380" i="321" s="1"/>
  <c r="CK377" i="321"/>
  <c r="CK380" i="321" s="1"/>
  <c r="CL377" i="321"/>
  <c r="CL380" i="321" s="1"/>
  <c r="CM377" i="321"/>
  <c r="CM380" i="321" s="1"/>
  <c r="CN377" i="321"/>
  <c r="CN380" i="321" s="1"/>
  <c r="CO377" i="321"/>
  <c r="CO380" i="321" s="1"/>
  <c r="CP377" i="321"/>
  <c r="CP380" i="321" s="1"/>
  <c r="CQ377" i="321"/>
  <c r="CQ380" i="321" s="1"/>
  <c r="CR377" i="321"/>
  <c r="CR380" i="321" s="1"/>
  <c r="CS377" i="321"/>
  <c r="CS380" i="321" s="1"/>
  <c r="CT377" i="321"/>
  <c r="CT380" i="321" s="1"/>
  <c r="CU377" i="321"/>
  <c r="CU380" i="321" s="1"/>
  <c r="CV377" i="321"/>
  <c r="CV380" i="321" s="1"/>
  <c r="BE253" i="307"/>
  <c r="BE255" i="307" s="1"/>
  <c r="H251" i="307"/>
  <c r="H253" i="307" s="1"/>
  <c r="BE500" i="307"/>
  <c r="Q402" i="321"/>
  <c r="H656" i="307"/>
  <c r="H402" i="321" s="1"/>
  <c r="BB74" i="277"/>
  <c r="BA74" i="277"/>
  <c r="AZ74" i="277"/>
  <c r="AY74" i="277"/>
  <c r="AX74" i="277"/>
  <c r="AW74" i="277"/>
  <c r="AV74" i="277"/>
  <c r="AU74" i="277"/>
  <c r="AT74" i="277"/>
  <c r="AS74" i="277"/>
  <c r="AR74" i="277"/>
  <c r="AQ74" i="277"/>
  <c r="AP74" i="277"/>
  <c r="AO74" i="277"/>
  <c r="AN74" i="277"/>
  <c r="AM74" i="277"/>
  <c r="AL74" i="277"/>
  <c r="AK74" i="277"/>
  <c r="AJ74" i="277"/>
  <c r="AI74" i="277"/>
  <c r="AH74" i="277"/>
  <c r="AG74" i="277"/>
  <c r="AF74" i="277"/>
  <c r="AE74" i="277"/>
  <c r="AD74" i="277"/>
  <c r="AC74" i="277"/>
  <c r="AB74" i="277"/>
  <c r="AA74" i="277"/>
  <c r="Z74" i="277"/>
  <c r="Y74" i="277"/>
  <c r="X74" i="277"/>
  <c r="W74" i="277"/>
  <c r="V74" i="277"/>
  <c r="U74" i="277"/>
  <c r="T74" i="277"/>
  <c r="S74" i="277"/>
  <c r="R74" i="277"/>
  <c r="Q74" i="277"/>
  <c r="P74" i="277"/>
  <c r="O74" i="277"/>
  <c r="N74" i="277"/>
  <c r="M74" i="277"/>
  <c r="L74" i="277"/>
  <c r="K74" i="277"/>
  <c r="H301" i="321"/>
  <c r="H364" i="321"/>
  <c r="H166" i="288"/>
  <c r="J74" i="265"/>
  <c r="J74" i="277" s="1"/>
  <c r="H74" i="277" s="1"/>
  <c r="J70" i="315"/>
  <c r="H296" i="321"/>
  <c r="K299" i="321"/>
  <c r="J116" i="315"/>
  <c r="J119" i="288"/>
  <c r="J269" i="288"/>
  <c r="J120" i="265"/>
  <c r="L50" i="269"/>
  <c r="J50" i="269"/>
  <c r="F25" i="326"/>
  <c r="G126" i="328"/>
  <c r="R679" i="321"/>
  <c r="R680" i="321" s="1"/>
  <c r="R442" i="321"/>
  <c r="R443" i="321" s="1"/>
  <c r="R714" i="321"/>
  <c r="H36" i="282"/>
  <c r="H104" i="282"/>
  <c r="CV23" i="265"/>
  <c r="CV60" i="265"/>
  <c r="H583" i="321"/>
  <c r="CV64" i="265"/>
  <c r="H568" i="321"/>
  <c r="H64" i="265" s="1"/>
  <c r="H141" i="269" s="1"/>
  <c r="K141" i="269" s="1"/>
  <c r="CV25" i="265"/>
  <c r="CV62" i="265"/>
  <c r="H605" i="321"/>
  <c r="H63" i="265"/>
  <c r="H140" i="269" s="1"/>
  <c r="K140" i="269" s="1"/>
  <c r="H609" i="321"/>
  <c r="H560" i="321"/>
  <c r="CV611" i="321"/>
  <c r="CV118" i="265" s="1"/>
  <c r="CQ106" i="282"/>
  <c r="CQ661" i="321"/>
  <c r="CQ61" i="315"/>
  <c r="CQ665" i="321"/>
  <c r="CQ631" i="321"/>
  <c r="CQ632" i="321" s="1"/>
  <c r="CQ654" i="321"/>
  <c r="CQ639" i="321"/>
  <c r="CQ666" i="321"/>
  <c r="CQ62" i="315" l="1"/>
  <c r="CQ58" i="315"/>
  <c r="CQ21" i="315"/>
  <c r="CQ667" i="321"/>
  <c r="CQ60" i="315"/>
  <c r="CQ23" i="315"/>
  <c r="L140" i="269"/>
  <c r="J140" i="269"/>
  <c r="H25" i="265"/>
  <c r="H102" i="269" s="1"/>
  <c r="K102" i="269" s="1"/>
  <c r="H62" i="265"/>
  <c r="H139" i="269" s="1"/>
  <c r="K139" i="269" s="1"/>
  <c r="L141" i="269"/>
  <c r="J141" i="269"/>
  <c r="H23" i="265"/>
  <c r="H100" i="269" s="1"/>
  <c r="K100" i="269" s="1"/>
  <c r="H60" i="265"/>
  <c r="H137" i="269" s="1"/>
  <c r="K137" i="269" s="1"/>
  <c r="R102" i="282"/>
  <c r="R34" i="282"/>
  <c r="R715" i="321"/>
  <c r="R46" i="288"/>
  <c r="R529" i="321"/>
  <c r="R446" i="321"/>
  <c r="R447" i="321" s="1"/>
  <c r="R485" i="321"/>
  <c r="R196" i="288"/>
  <c r="R687" i="321"/>
  <c r="R688" i="321" s="1"/>
  <c r="R681" i="321"/>
  <c r="G25" i="326"/>
  <c r="J120" i="277"/>
  <c r="J63" i="328"/>
  <c r="J74" i="328" s="1"/>
  <c r="K346" i="321"/>
  <c r="K349" i="321" s="1"/>
  <c r="K302" i="321"/>
  <c r="K254" i="288"/>
  <c r="K120" i="321"/>
  <c r="K113" i="321"/>
  <c r="K104" i="288"/>
  <c r="H70" i="315"/>
  <c r="H74" i="265"/>
  <c r="H149" i="269" s="1"/>
  <c r="K149" i="269" s="1"/>
  <c r="BE650" i="307"/>
  <c r="Q651" i="307" s="1"/>
  <c r="BE14" i="310"/>
  <c r="BE135" i="288"/>
  <c r="BE136" i="288" s="1"/>
  <c r="H500" i="307"/>
  <c r="BE645" i="307"/>
  <c r="Q646" i="307" s="1"/>
  <c r="BE12" i="310"/>
  <c r="BE16" i="310" s="1"/>
  <c r="BE285" i="307"/>
  <c r="BE288" i="307" s="1"/>
  <c r="BE258" i="307"/>
  <c r="BE260" i="307" s="1"/>
  <c r="H255" i="307"/>
  <c r="J380" i="321"/>
  <c r="J381" i="321" s="1"/>
  <c r="H377" i="321"/>
  <c r="H380" i="321" s="1"/>
  <c r="J412" i="321"/>
  <c r="J413" i="321" s="1"/>
  <c r="H409" i="321"/>
  <c r="H412" i="321" s="1"/>
  <c r="J119" i="277"/>
  <c r="J62" i="328"/>
  <c r="J73" i="328" s="1"/>
  <c r="K234" i="321"/>
  <c r="K237" i="321" s="1"/>
  <c r="K190" i="321"/>
  <c r="K102" i="288"/>
  <c r="K116" i="321"/>
  <c r="K112" i="321"/>
  <c r="K114" i="321" s="1"/>
  <c r="K252" i="288"/>
  <c r="H73" i="265"/>
  <c r="H148" i="269" s="1"/>
  <c r="K148" i="269" s="1"/>
  <c r="H69" i="315"/>
  <c r="F14" i="282"/>
  <c r="F16" i="282" s="1"/>
  <c r="F18" i="282" s="1"/>
  <c r="N24" i="282" s="1"/>
  <c r="O21" i="282" s="1"/>
  <c r="F32" i="285"/>
  <c r="Q41" i="285"/>
  <c r="H616" i="307"/>
  <c r="H41" i="285" s="1"/>
  <c r="Q48" i="315"/>
  <c r="Q50" i="265"/>
  <c r="N50" i="277" s="1"/>
  <c r="H50" i="277" s="1"/>
  <c r="H611" i="307"/>
  <c r="G165" i="328"/>
  <c r="K31" i="326"/>
  <c r="L31" i="326" l="1"/>
  <c r="H50" i="265"/>
  <c r="H127" i="269" s="1"/>
  <c r="K127" i="269" s="1"/>
  <c r="H48" i="315"/>
  <c r="T37" i="285"/>
  <c r="AF37" i="285"/>
  <c r="AV37" i="285"/>
  <c r="W37" i="285"/>
  <c r="AM37" i="285"/>
  <c r="BA37" i="285"/>
  <c r="BL37" i="285"/>
  <c r="AB37" i="285"/>
  <c r="AR37" i="285"/>
  <c r="BI37" i="285"/>
  <c r="V37" i="285"/>
  <c r="AL37" i="285"/>
  <c r="BD37" i="285"/>
  <c r="BP37" i="285"/>
  <c r="CD37" i="285"/>
  <c r="CT37" i="285"/>
  <c r="CI37" i="285"/>
  <c r="BY37" i="285"/>
  <c r="CO37" i="285"/>
  <c r="CE37" i="285"/>
  <c r="CU37" i="285"/>
  <c r="S37" i="285"/>
  <c r="R37" i="285"/>
  <c r="U37" i="285"/>
  <c r="AK37" i="285"/>
  <c r="BE37" i="285"/>
  <c r="Z37" i="285"/>
  <c r="AP37" i="285"/>
  <c r="BB37" i="285"/>
  <c r="BS37" i="285"/>
  <c r="AG37" i="285"/>
  <c r="AW37" i="285"/>
  <c r="BJ37" i="285"/>
  <c r="AA37" i="285"/>
  <c r="AQ37" i="285"/>
  <c r="BG37" i="285"/>
  <c r="BU37" i="285"/>
  <c r="CK37" i="285"/>
  <c r="CJ37" i="285"/>
  <c r="BZ37" i="285"/>
  <c r="CP37" i="285"/>
  <c r="CF37" i="285"/>
  <c r="CV37" i="285"/>
  <c r="X37" i="285"/>
  <c r="AN37" i="285"/>
  <c r="BM37" i="285"/>
  <c r="AE37" i="285"/>
  <c r="AU37" i="285"/>
  <c r="BC37" i="285"/>
  <c r="BT37" i="285"/>
  <c r="AJ37" i="285"/>
  <c r="AZ37" i="285"/>
  <c r="BQ37" i="285"/>
  <c r="AD37" i="285"/>
  <c r="AT37" i="285"/>
  <c r="BH37" i="285"/>
  <c r="BV37" i="285"/>
  <c r="CL37" i="285"/>
  <c r="CA37" i="285"/>
  <c r="CQ37" i="285"/>
  <c r="CG37" i="285"/>
  <c r="BW37" i="285"/>
  <c r="CM37" i="285"/>
  <c r="Q37" i="285"/>
  <c r="AC37" i="285"/>
  <c r="AS37" i="285"/>
  <c r="BN37" i="285"/>
  <c r="AH37" i="285"/>
  <c r="AX37" i="285"/>
  <c r="BK37" i="285"/>
  <c r="Y37" i="285"/>
  <c r="AO37" i="285"/>
  <c r="BF37" i="285"/>
  <c r="BR37" i="285"/>
  <c r="AI37" i="285"/>
  <c r="AY37" i="285"/>
  <c r="BO37" i="285"/>
  <c r="CC37" i="285"/>
  <c r="CS37" i="285"/>
  <c r="CB37" i="285"/>
  <c r="CR37" i="285"/>
  <c r="CH37" i="285"/>
  <c r="BX37" i="285"/>
  <c r="CN37" i="285"/>
  <c r="O37" i="285"/>
  <c r="J37" i="285"/>
  <c r="K37" i="285"/>
  <c r="L37" i="285"/>
  <c r="M37" i="285"/>
  <c r="N37" i="285"/>
  <c r="P37" i="285"/>
  <c r="O10" i="282"/>
  <c r="O12" i="282" s="1"/>
  <c r="J148" i="269"/>
  <c r="L148" i="269"/>
  <c r="K121" i="321"/>
  <c r="K122" i="321" s="1"/>
  <c r="K128" i="321" s="1"/>
  <c r="K134" i="321" s="1"/>
  <c r="K258" i="321" s="1"/>
  <c r="K117" i="321"/>
  <c r="K118" i="321" s="1"/>
  <c r="K127" i="321" s="1"/>
  <c r="K133" i="321" s="1"/>
  <c r="K146" i="321" s="1"/>
  <c r="L187" i="321"/>
  <c r="K115" i="315"/>
  <c r="K119" i="265"/>
  <c r="K62" i="328" s="1"/>
  <c r="K268" i="288"/>
  <c r="K118" i="288"/>
  <c r="K242" i="321"/>
  <c r="K243" i="321" s="1"/>
  <c r="K361" i="321"/>
  <c r="K238" i="321"/>
  <c r="K28" i="282"/>
  <c r="K98" i="282"/>
  <c r="K101" i="288"/>
  <c r="K49" i="321"/>
  <c r="K251" i="288"/>
  <c r="K164" i="321"/>
  <c r="K166" i="321" s="1"/>
  <c r="J435" i="321"/>
  <c r="J436" i="321" s="1"/>
  <c r="J414" i="321"/>
  <c r="J368" i="321"/>
  <c r="J403" i="321"/>
  <c r="J404" i="321" s="1"/>
  <c r="J382" i="321"/>
  <c r="J366" i="321"/>
  <c r="J369" i="321" s="1"/>
  <c r="H258" i="307"/>
  <c r="H645" i="307"/>
  <c r="H285" i="307"/>
  <c r="H12" i="310"/>
  <c r="BE56" i="288"/>
  <c r="BE206" i="288"/>
  <c r="H288" i="307"/>
  <c r="BE58" i="310"/>
  <c r="BE63" i="310"/>
  <c r="BE47" i="310"/>
  <c r="H16" i="310"/>
  <c r="Q59" i="265"/>
  <c r="N59" i="277" s="1"/>
  <c r="H59" i="277" s="1"/>
  <c r="Q115" i="286"/>
  <c r="Q38" i="286"/>
  <c r="Q57" i="315"/>
  <c r="H646" i="307"/>
  <c r="H14" i="310"/>
  <c r="H135" i="288"/>
  <c r="H650" i="307"/>
  <c r="BE138" i="288"/>
  <c r="BE140" i="288" s="1"/>
  <c r="H136" i="288"/>
  <c r="H138" i="288" s="1"/>
  <c r="Q58" i="265"/>
  <c r="N58" i="277" s="1"/>
  <c r="H58" i="277" s="1"/>
  <c r="Q56" i="315"/>
  <c r="H651" i="307"/>
  <c r="J149" i="269"/>
  <c r="L149" i="269"/>
  <c r="L299" i="321"/>
  <c r="K116" i="315"/>
  <c r="K120" i="265"/>
  <c r="K63" i="328" s="1"/>
  <c r="K269" i="288"/>
  <c r="K119" i="288"/>
  <c r="K354" i="321"/>
  <c r="K363" i="321"/>
  <c r="K350" i="321"/>
  <c r="K30" i="282"/>
  <c r="K99" i="282"/>
  <c r="K253" i="288"/>
  <c r="K103" i="288"/>
  <c r="K276" i="321"/>
  <c r="K278" i="321" s="1"/>
  <c r="K50" i="321"/>
  <c r="R53" i="265"/>
  <c r="N53" i="277" s="1"/>
  <c r="R51" i="315"/>
  <c r="S684" i="321"/>
  <c r="R119" i="315"/>
  <c r="R123" i="265"/>
  <c r="N123" i="277" s="1"/>
  <c r="R56" i="265"/>
  <c r="N56" i="277" s="1"/>
  <c r="R54" i="315"/>
  <c r="R26" i="265"/>
  <c r="N26" i="277" s="1"/>
  <c r="R24" i="315"/>
  <c r="R84" i="265"/>
  <c r="N84" i="277" s="1"/>
  <c r="R80" i="315"/>
  <c r="L137" i="269"/>
  <c r="J137" i="269"/>
  <c r="J100" i="269"/>
  <c r="L100" i="269"/>
  <c r="J139" i="269"/>
  <c r="L139" i="269"/>
  <c r="J102" i="269"/>
  <c r="L102" i="269"/>
  <c r="CR664" i="321"/>
  <c r="CQ114" i="315"/>
  <c r="CR643" i="321" l="1"/>
  <c r="CR645" i="321" s="1"/>
  <c r="CR651" i="321" s="1"/>
  <c r="CR653" i="321" s="1"/>
  <c r="CR616" i="321"/>
  <c r="CR618" i="321" s="1"/>
  <c r="CR626" i="321" s="1"/>
  <c r="CR628" i="321" s="1"/>
  <c r="CR657" i="321"/>
  <c r="CR660" i="321" s="1"/>
  <c r="CR634" i="321"/>
  <c r="CR638" i="321" s="1"/>
  <c r="S693" i="321"/>
  <c r="S695" i="321" s="1"/>
  <c r="S699" i="321" s="1"/>
  <c r="S702" i="321" s="1"/>
  <c r="S706" i="321" s="1"/>
  <c r="S709" i="321" s="1"/>
  <c r="S711" i="321" s="1"/>
  <c r="S712" i="321"/>
  <c r="S673" i="321"/>
  <c r="S676" i="321" s="1"/>
  <c r="K283" i="321"/>
  <c r="K19" i="265"/>
  <c r="K69" i="265"/>
  <c r="K18" i="315"/>
  <c r="K66" i="315"/>
  <c r="K355" i="321"/>
  <c r="L346" i="321"/>
  <c r="L349" i="321" s="1"/>
  <c r="L302" i="321"/>
  <c r="L104" i="288"/>
  <c r="L120" i="321"/>
  <c r="L113" i="321"/>
  <c r="L254" i="288"/>
  <c r="H58" i="265"/>
  <c r="H135" i="269" s="1"/>
  <c r="K135" i="269" s="1"/>
  <c r="H56" i="315"/>
  <c r="BE145" i="288"/>
  <c r="H140" i="288"/>
  <c r="H145" i="288" s="1"/>
  <c r="F130" i="328"/>
  <c r="H54" i="269"/>
  <c r="K54" i="269" s="1"/>
  <c r="H115" i="286"/>
  <c r="H59" i="265"/>
  <c r="H136" i="269" s="1"/>
  <c r="K136" i="269" s="1"/>
  <c r="H57" i="315"/>
  <c r="H38" i="286"/>
  <c r="H58" i="310"/>
  <c r="H47" i="310"/>
  <c r="H56" i="269"/>
  <c r="K56" i="269" s="1"/>
  <c r="H63" i="310"/>
  <c r="H206" i="288"/>
  <c r="H56" i="288"/>
  <c r="H52" i="269"/>
  <c r="K52" i="269" s="1"/>
  <c r="F128" i="328"/>
  <c r="J16" i="314"/>
  <c r="J103" i="314"/>
  <c r="J66" i="288"/>
  <c r="J79" i="288"/>
  <c r="J110" i="314"/>
  <c r="J216" i="288"/>
  <c r="J23" i="314"/>
  <c r="J142" i="288"/>
  <c r="J143" i="288" s="1"/>
  <c r="J229" i="288"/>
  <c r="J21" i="328"/>
  <c r="J41" i="328" s="1"/>
  <c r="J75" i="265"/>
  <c r="J75" i="277" s="1"/>
  <c r="J71" i="315"/>
  <c r="K401" i="321"/>
  <c r="J120" i="288"/>
  <c r="J270" i="288"/>
  <c r="J121" i="265"/>
  <c r="J117" i="315"/>
  <c r="J76" i="265"/>
  <c r="J76" i="277" s="1"/>
  <c r="J72" i="315"/>
  <c r="K433" i="321"/>
  <c r="J121" i="288"/>
  <c r="J122" i="265"/>
  <c r="J122" i="277" s="1"/>
  <c r="J118" i="315"/>
  <c r="J271" i="288"/>
  <c r="K171" i="321"/>
  <c r="K52" i="321"/>
  <c r="K17" i="265"/>
  <c r="K67" i="265"/>
  <c r="K65" i="315"/>
  <c r="K17" i="315"/>
  <c r="K244" i="321"/>
  <c r="L234" i="321"/>
  <c r="L237" i="321" s="1"/>
  <c r="L190" i="321"/>
  <c r="L112" i="321"/>
  <c r="L114" i="321" s="1"/>
  <c r="L116" i="321"/>
  <c r="L252" i="288"/>
  <c r="L102" i="288"/>
  <c r="O47" i="282"/>
  <c r="O23" i="282"/>
  <c r="O24" i="282" s="1"/>
  <c r="P21" i="282" s="1"/>
  <c r="O84" i="282"/>
  <c r="O152" i="282"/>
  <c r="O115" i="282"/>
  <c r="P38" i="285"/>
  <c r="P46" i="282"/>
  <c r="P86" i="282"/>
  <c r="P154" i="282"/>
  <c r="P114" i="282"/>
  <c r="P42" i="285"/>
  <c r="N38" i="285"/>
  <c r="N46" i="282"/>
  <c r="N86" i="282"/>
  <c r="N87" i="282" s="1"/>
  <c r="N154" i="282"/>
  <c r="N155" i="282" s="1"/>
  <c r="N114" i="282"/>
  <c r="N42" i="285"/>
  <c r="M38" i="285"/>
  <c r="M46" i="282"/>
  <c r="M86" i="282"/>
  <c r="M87" i="282" s="1"/>
  <c r="M154" i="282"/>
  <c r="M155" i="282" s="1"/>
  <c r="M42" i="285"/>
  <c r="M114" i="282"/>
  <c r="L38" i="285"/>
  <c r="L46" i="282"/>
  <c r="L86" i="282"/>
  <c r="L87" i="282" s="1"/>
  <c r="L154" i="282"/>
  <c r="L155" i="282" s="1"/>
  <c r="L114" i="282"/>
  <c r="L42" i="285"/>
  <c r="K38" i="285"/>
  <c r="K46" i="282"/>
  <c r="K86" i="282"/>
  <c r="K87" i="282" s="1"/>
  <c r="K114" i="282"/>
  <c r="K42" i="285"/>
  <c r="K154" i="282"/>
  <c r="K155" i="282" s="1"/>
  <c r="J38" i="285"/>
  <c r="J46" i="282"/>
  <c r="J86" i="282"/>
  <c r="J87" i="282" s="1"/>
  <c r="J154" i="282"/>
  <c r="J155" i="282" s="1"/>
  <c r="J42" i="285"/>
  <c r="J43" i="285" s="1"/>
  <c r="H37" i="285"/>
  <c r="J114" i="282"/>
  <c r="O38" i="285"/>
  <c r="O46" i="282"/>
  <c r="O86" i="282"/>
  <c r="O87" i="282" s="1"/>
  <c r="O42" i="285"/>
  <c r="O114" i="282"/>
  <c r="O154" i="282"/>
  <c r="O155" i="282" s="1"/>
  <c r="CN154" i="282"/>
  <c r="CN114" i="282"/>
  <c r="CN46" i="282"/>
  <c r="CN38" i="285"/>
  <c r="CN86" i="282"/>
  <c r="CN42" i="285"/>
  <c r="BX154" i="282"/>
  <c r="BX38" i="285"/>
  <c r="BX114" i="282"/>
  <c r="BX42" i="285"/>
  <c r="BX46" i="282"/>
  <c r="BX86" i="282"/>
  <c r="CH154" i="282"/>
  <c r="CH86" i="282"/>
  <c r="CH46" i="282"/>
  <c r="CH38" i="285"/>
  <c r="CH114" i="282"/>
  <c r="CH42" i="285"/>
  <c r="CR154" i="282"/>
  <c r="CR38" i="285"/>
  <c r="CR114" i="282"/>
  <c r="CR42" i="285"/>
  <c r="CR46" i="282"/>
  <c r="CR86" i="282"/>
  <c r="CB154" i="282"/>
  <c r="CB114" i="282"/>
  <c r="CB46" i="282"/>
  <c r="CB38" i="285"/>
  <c r="CB86" i="282"/>
  <c r="CB42" i="285"/>
  <c r="CS154" i="282"/>
  <c r="CS38" i="285"/>
  <c r="CS114" i="282"/>
  <c r="CS42" i="285"/>
  <c r="CS86" i="282"/>
  <c r="CS46" i="282"/>
  <c r="CC154" i="282"/>
  <c r="CC114" i="282"/>
  <c r="CC86" i="282"/>
  <c r="CC38" i="285"/>
  <c r="CC46" i="282"/>
  <c r="CC42" i="285"/>
  <c r="BO154" i="282"/>
  <c r="BO38" i="285"/>
  <c r="BO46" i="282"/>
  <c r="BO42" i="285"/>
  <c r="BO86" i="282"/>
  <c r="BO114" i="282"/>
  <c r="AY154" i="282"/>
  <c r="AY46" i="282"/>
  <c r="AY114" i="282"/>
  <c r="AY38" i="285"/>
  <c r="AY86" i="282"/>
  <c r="AY42" i="285"/>
  <c r="AI154" i="282"/>
  <c r="AI38" i="285"/>
  <c r="AI46" i="282"/>
  <c r="AI42" i="285"/>
  <c r="AI86" i="282"/>
  <c r="AI114" i="282"/>
  <c r="BR154" i="282"/>
  <c r="BR86" i="282"/>
  <c r="BR114" i="282"/>
  <c r="BR38" i="285"/>
  <c r="BR46" i="282"/>
  <c r="BR42" i="285"/>
  <c r="BF86" i="282"/>
  <c r="BF38" i="285"/>
  <c r="BF114" i="282"/>
  <c r="BF42" i="285"/>
  <c r="BF154" i="282"/>
  <c r="BF46" i="282"/>
  <c r="AO154" i="282"/>
  <c r="AO114" i="282"/>
  <c r="AO86" i="282"/>
  <c r="AO38" i="285"/>
  <c r="AO46" i="282"/>
  <c r="AO42" i="285"/>
  <c r="Y154" i="282"/>
  <c r="Y38" i="285"/>
  <c r="Y114" i="282"/>
  <c r="Y42" i="285"/>
  <c r="Y86" i="282"/>
  <c r="Y46" i="282"/>
  <c r="BK154" i="282"/>
  <c r="BK46" i="282"/>
  <c r="BK114" i="282"/>
  <c r="BK38" i="285"/>
  <c r="BK86" i="282"/>
  <c r="BK42" i="285"/>
  <c r="AX154" i="282"/>
  <c r="AX38" i="285"/>
  <c r="AX86" i="282"/>
  <c r="AX42" i="285"/>
  <c r="AX114" i="282"/>
  <c r="AX46" i="282"/>
  <c r="AH154" i="282"/>
  <c r="AH86" i="282"/>
  <c r="AH114" i="282"/>
  <c r="AH38" i="285"/>
  <c r="AH46" i="282"/>
  <c r="AH42" i="285"/>
  <c r="BN154" i="282"/>
  <c r="BN38" i="285"/>
  <c r="BN86" i="282"/>
  <c r="BN42" i="285"/>
  <c r="BN114" i="282"/>
  <c r="BN46" i="282"/>
  <c r="AS154" i="282"/>
  <c r="AS114" i="282"/>
  <c r="AS86" i="282"/>
  <c r="AS38" i="285"/>
  <c r="AS46" i="282"/>
  <c r="AS42" i="285"/>
  <c r="AC154" i="282"/>
  <c r="AC38" i="285"/>
  <c r="AC114" i="282"/>
  <c r="AC42" i="285"/>
  <c r="AC86" i="282"/>
  <c r="AC46" i="282"/>
  <c r="Q154" i="282"/>
  <c r="Q114" i="282"/>
  <c r="Q86" i="282"/>
  <c r="Q38" i="285"/>
  <c r="Q46" i="282"/>
  <c r="Q42" i="285"/>
  <c r="CM154" i="282"/>
  <c r="CM42" i="285"/>
  <c r="CM46" i="282"/>
  <c r="CM86" i="282"/>
  <c r="CM114" i="282"/>
  <c r="CM38" i="285"/>
  <c r="BW154" i="282"/>
  <c r="BW46" i="282"/>
  <c r="BW38" i="285"/>
  <c r="BW114" i="282"/>
  <c r="BW42" i="285"/>
  <c r="BW86" i="282"/>
  <c r="CG154" i="282"/>
  <c r="CG42" i="285"/>
  <c r="CG114" i="282"/>
  <c r="CG86" i="282"/>
  <c r="CG46" i="282"/>
  <c r="CG38" i="285"/>
  <c r="CQ154" i="282"/>
  <c r="CQ46" i="282"/>
  <c r="CQ38" i="285"/>
  <c r="CQ86" i="282"/>
  <c r="CQ42" i="285"/>
  <c r="CQ114" i="282"/>
  <c r="CA154" i="282"/>
  <c r="CA42" i="285"/>
  <c r="CA46" i="282"/>
  <c r="CA86" i="282"/>
  <c r="CA114" i="282"/>
  <c r="CA38" i="285"/>
  <c r="CL86" i="282"/>
  <c r="CL114" i="282"/>
  <c r="CL38" i="285"/>
  <c r="CL154" i="282"/>
  <c r="CL42" i="285"/>
  <c r="CL46" i="282"/>
  <c r="BV154" i="282"/>
  <c r="BV42" i="285"/>
  <c r="BV86" i="282"/>
  <c r="BV46" i="282"/>
  <c r="BV114" i="282"/>
  <c r="BV38" i="285"/>
  <c r="BH154" i="282"/>
  <c r="BH114" i="282"/>
  <c r="BH38" i="285"/>
  <c r="BH46" i="282"/>
  <c r="BH42" i="285"/>
  <c r="BH86" i="282"/>
  <c r="AT154" i="282"/>
  <c r="AT42" i="285"/>
  <c r="AT86" i="282"/>
  <c r="AT46" i="282"/>
  <c r="AT114" i="282"/>
  <c r="AT38" i="285"/>
  <c r="AD154" i="282"/>
  <c r="AD86" i="282"/>
  <c r="AD38" i="285"/>
  <c r="AD114" i="282"/>
  <c r="AD42" i="285"/>
  <c r="AD46" i="282"/>
  <c r="BQ154" i="282"/>
  <c r="BQ42" i="285"/>
  <c r="BQ114" i="282"/>
  <c r="BQ86" i="282"/>
  <c r="BQ46" i="282"/>
  <c r="BQ38" i="285"/>
  <c r="AZ154" i="282"/>
  <c r="AZ114" i="282"/>
  <c r="AZ38" i="285"/>
  <c r="AZ46" i="282"/>
  <c r="AZ42" i="285"/>
  <c r="AZ86" i="282"/>
  <c r="AJ154" i="282"/>
  <c r="AJ42" i="285"/>
  <c r="AJ114" i="282"/>
  <c r="AJ46" i="282"/>
  <c r="AJ86" i="282"/>
  <c r="AJ38" i="285"/>
  <c r="BT154" i="282"/>
  <c r="BT114" i="282"/>
  <c r="BT38" i="285"/>
  <c r="BT46" i="282"/>
  <c r="BT42" i="285"/>
  <c r="BT86" i="282"/>
  <c r="BC154" i="282"/>
  <c r="BC42" i="285"/>
  <c r="BC46" i="282"/>
  <c r="BC86" i="282"/>
  <c r="BC114" i="282"/>
  <c r="BC38" i="285"/>
  <c r="AU154" i="282"/>
  <c r="AU46" i="282"/>
  <c r="AU38" i="285"/>
  <c r="AU86" i="282"/>
  <c r="AU42" i="285"/>
  <c r="AU114" i="282"/>
  <c r="AE154" i="282"/>
  <c r="AE42" i="285"/>
  <c r="AE46" i="282"/>
  <c r="AE114" i="282"/>
  <c r="AE86" i="282"/>
  <c r="AE38" i="285"/>
  <c r="BM154" i="282"/>
  <c r="BM114" i="282"/>
  <c r="BM38" i="285"/>
  <c r="BM86" i="282"/>
  <c r="BM42" i="285"/>
  <c r="BM46" i="282"/>
  <c r="AN154" i="282"/>
  <c r="AN42" i="285"/>
  <c r="AN114" i="282"/>
  <c r="AN46" i="282"/>
  <c r="AN86" i="282"/>
  <c r="AN38" i="285"/>
  <c r="X154" i="282"/>
  <c r="X114" i="282"/>
  <c r="X38" i="285"/>
  <c r="X46" i="282"/>
  <c r="X42" i="285"/>
  <c r="X86" i="282"/>
  <c r="CV154" i="282"/>
  <c r="CV114" i="282"/>
  <c r="CV46" i="282"/>
  <c r="CV38" i="285"/>
  <c r="CV86" i="282"/>
  <c r="CV42" i="285"/>
  <c r="CF46" i="282"/>
  <c r="CF38" i="285"/>
  <c r="CF86" i="282"/>
  <c r="CF42" i="285"/>
  <c r="CF154" i="282"/>
  <c r="CF114" i="282"/>
  <c r="CP154" i="282"/>
  <c r="CP86" i="282"/>
  <c r="CP46" i="282"/>
  <c r="CP38" i="285"/>
  <c r="CP114" i="282"/>
  <c r="CP42" i="285"/>
  <c r="BZ114" i="282"/>
  <c r="BZ38" i="285"/>
  <c r="BZ46" i="282"/>
  <c r="BZ42" i="285"/>
  <c r="BZ154" i="282"/>
  <c r="BZ86" i="282"/>
  <c r="CJ154" i="282"/>
  <c r="CJ114" i="282"/>
  <c r="CJ46" i="282"/>
  <c r="CJ38" i="285"/>
  <c r="CJ86" i="282"/>
  <c r="CJ42" i="285"/>
  <c r="CK154" i="282"/>
  <c r="CK114" i="282"/>
  <c r="CK86" i="282"/>
  <c r="CK38" i="285"/>
  <c r="CK46" i="282"/>
  <c r="CK42" i="285"/>
  <c r="BU86" i="282"/>
  <c r="BU38" i="285"/>
  <c r="BU46" i="282"/>
  <c r="BU42" i="285"/>
  <c r="BU154" i="282"/>
  <c r="BU114" i="282"/>
  <c r="BG154" i="282"/>
  <c r="BG46" i="282"/>
  <c r="BG86" i="282"/>
  <c r="BG38" i="285"/>
  <c r="BG114" i="282"/>
  <c r="BG42" i="285"/>
  <c r="AQ86" i="282"/>
  <c r="AQ38" i="285"/>
  <c r="AQ114" i="282"/>
  <c r="AQ42" i="285"/>
  <c r="AQ154" i="282"/>
  <c r="AQ46" i="282"/>
  <c r="AA154" i="282"/>
  <c r="AA46" i="282"/>
  <c r="AA86" i="282"/>
  <c r="AA38" i="285"/>
  <c r="AA114" i="282"/>
  <c r="AA42" i="285"/>
  <c r="BJ46" i="282"/>
  <c r="BJ38" i="285"/>
  <c r="BJ114" i="282"/>
  <c r="BJ42" i="285"/>
  <c r="BJ154" i="282"/>
  <c r="BJ86" i="282"/>
  <c r="AW154" i="282"/>
  <c r="AW114" i="282"/>
  <c r="AW86" i="282"/>
  <c r="AW38" i="285"/>
  <c r="AW46" i="282"/>
  <c r="AW42" i="285"/>
  <c r="AG154" i="282"/>
  <c r="AG38" i="285"/>
  <c r="AG114" i="282"/>
  <c r="AG42" i="285"/>
  <c r="AG86" i="282"/>
  <c r="AG46" i="282"/>
  <c r="BS86" i="282"/>
  <c r="BS114" i="282"/>
  <c r="BS154" i="282"/>
  <c r="BS38" i="285"/>
  <c r="BS46" i="282"/>
  <c r="BS42" i="285"/>
  <c r="BB154" i="282"/>
  <c r="BB38" i="285"/>
  <c r="BB86" i="282"/>
  <c r="BB42" i="285"/>
  <c r="BB46" i="282"/>
  <c r="BB114" i="282"/>
  <c r="AP46" i="282"/>
  <c r="AP154" i="282"/>
  <c r="AP86" i="282"/>
  <c r="AP38" i="285"/>
  <c r="AP114" i="282"/>
  <c r="AP42" i="285"/>
  <c r="Z86" i="282"/>
  <c r="Z38" i="285"/>
  <c r="Z114" i="282"/>
  <c r="Z42" i="285"/>
  <c r="Z46" i="282"/>
  <c r="Z154" i="282"/>
  <c r="BE154" i="282"/>
  <c r="BE114" i="282"/>
  <c r="BE86" i="282"/>
  <c r="BE38" i="285"/>
  <c r="BE46" i="282"/>
  <c r="BE42" i="285"/>
  <c r="AK86" i="282"/>
  <c r="AK38" i="285"/>
  <c r="AK46" i="282"/>
  <c r="AK42" i="285"/>
  <c r="AK154" i="282"/>
  <c r="AK114" i="282"/>
  <c r="U154" i="282"/>
  <c r="U114" i="282"/>
  <c r="U86" i="282"/>
  <c r="U38" i="285"/>
  <c r="U46" i="282"/>
  <c r="U42" i="285"/>
  <c r="R154" i="282"/>
  <c r="R38" i="285"/>
  <c r="R86" i="282"/>
  <c r="R42" i="285"/>
  <c r="R114" i="282"/>
  <c r="R46" i="282"/>
  <c r="S154" i="282"/>
  <c r="S46" i="282"/>
  <c r="S114" i="282"/>
  <c r="S38" i="285"/>
  <c r="S86" i="282"/>
  <c r="S42" i="285"/>
  <c r="CU114" i="282"/>
  <c r="CU42" i="285"/>
  <c r="CU86" i="282"/>
  <c r="CU154" i="282"/>
  <c r="CU46" i="282"/>
  <c r="CU38" i="285"/>
  <c r="CE86" i="282"/>
  <c r="CE114" i="282"/>
  <c r="CE38" i="285"/>
  <c r="CE154" i="282"/>
  <c r="CE42" i="285"/>
  <c r="CE46" i="282"/>
  <c r="CO86" i="282"/>
  <c r="CO42" i="285"/>
  <c r="CO46" i="282"/>
  <c r="CO154" i="282"/>
  <c r="CO114" i="282"/>
  <c r="CO38" i="285"/>
  <c r="BY86" i="282"/>
  <c r="BY46" i="282"/>
  <c r="BY38" i="285"/>
  <c r="BY154" i="282"/>
  <c r="BY42" i="285"/>
  <c r="BY114" i="282"/>
  <c r="CI114" i="282"/>
  <c r="CI42" i="285"/>
  <c r="CI86" i="282"/>
  <c r="CI154" i="282"/>
  <c r="CI46" i="282"/>
  <c r="CI38" i="285"/>
  <c r="CT114" i="282"/>
  <c r="CT46" i="282"/>
  <c r="CT38" i="285"/>
  <c r="CT154" i="282"/>
  <c r="CT42" i="285"/>
  <c r="CT86" i="282"/>
  <c r="CD114" i="282"/>
  <c r="CD42" i="285"/>
  <c r="CD46" i="282"/>
  <c r="CD154" i="282"/>
  <c r="CD86" i="282"/>
  <c r="CD38" i="285"/>
  <c r="BP46" i="282"/>
  <c r="BP86" i="282"/>
  <c r="BP38" i="285"/>
  <c r="BP154" i="282"/>
  <c r="BP42" i="285"/>
  <c r="BP114" i="282"/>
  <c r="BD46" i="282"/>
  <c r="BD42" i="285"/>
  <c r="BD86" i="282"/>
  <c r="BD154" i="282"/>
  <c r="BD114" i="282"/>
  <c r="BD38" i="285"/>
  <c r="AL114" i="282"/>
  <c r="AL46" i="282"/>
  <c r="AL38" i="285"/>
  <c r="AL154" i="282"/>
  <c r="AL42" i="285"/>
  <c r="AL86" i="282"/>
  <c r="V46" i="282"/>
  <c r="V42" i="285"/>
  <c r="V114" i="282"/>
  <c r="V154" i="282"/>
  <c r="V86" i="282"/>
  <c r="V38" i="285"/>
  <c r="BI86" i="282"/>
  <c r="BI46" i="282"/>
  <c r="BI38" i="285"/>
  <c r="BI154" i="282"/>
  <c r="BI42" i="285"/>
  <c r="BI114" i="282"/>
  <c r="AR46" i="282"/>
  <c r="AR42" i="285"/>
  <c r="AR86" i="282"/>
  <c r="AR154" i="282"/>
  <c r="AR114" i="282"/>
  <c r="AR38" i="285"/>
  <c r="AB46" i="282"/>
  <c r="AB86" i="282"/>
  <c r="AB38" i="285"/>
  <c r="AB154" i="282"/>
  <c r="AB42" i="285"/>
  <c r="AB114" i="282"/>
  <c r="BL46" i="282"/>
  <c r="BL42" i="285"/>
  <c r="BL86" i="282"/>
  <c r="BL154" i="282"/>
  <c r="BL114" i="282"/>
  <c r="BL38" i="285"/>
  <c r="BA86" i="282"/>
  <c r="BA46" i="282"/>
  <c r="BA38" i="285"/>
  <c r="BA154" i="282"/>
  <c r="BA42" i="285"/>
  <c r="BA114" i="282"/>
  <c r="AM114" i="282"/>
  <c r="AM42" i="285"/>
  <c r="AM86" i="282"/>
  <c r="AM154" i="282"/>
  <c r="AM46" i="282"/>
  <c r="AM38" i="285"/>
  <c r="W86" i="282"/>
  <c r="W114" i="282"/>
  <c r="W38" i="285"/>
  <c r="W154" i="282"/>
  <c r="W42" i="285"/>
  <c r="W46" i="282"/>
  <c r="AV46" i="282"/>
  <c r="AV42" i="285"/>
  <c r="AV86" i="282"/>
  <c r="AV154" i="282"/>
  <c r="AV114" i="282"/>
  <c r="AV38" i="285"/>
  <c r="AF46" i="282"/>
  <c r="AF86" i="282"/>
  <c r="AF38" i="285"/>
  <c r="AF154" i="282"/>
  <c r="AF42" i="285"/>
  <c r="AF114" i="282"/>
  <c r="T46" i="282"/>
  <c r="T42" i="285"/>
  <c r="T86" i="282"/>
  <c r="T154" i="282"/>
  <c r="T114" i="282"/>
  <c r="T38" i="285"/>
  <c r="J127" i="269"/>
  <c r="L127" i="269"/>
  <c r="T14" i="265" l="1"/>
  <c r="T15" i="265" s="1"/>
  <c r="T14" i="315"/>
  <c r="T15" i="315" s="1"/>
  <c r="AF14" i="315"/>
  <c r="AF15" i="315" s="1"/>
  <c r="AF14" i="265"/>
  <c r="AF15" i="265" s="1"/>
  <c r="AV14" i="265"/>
  <c r="AV15" i="265" s="1"/>
  <c r="AV14" i="315"/>
  <c r="AV15" i="315" s="1"/>
  <c r="W14" i="265"/>
  <c r="W14" i="315"/>
  <c r="W15" i="315" s="1"/>
  <c r="AM14" i="265"/>
  <c r="AM14" i="315"/>
  <c r="AM15" i="315" s="1"/>
  <c r="BA14" i="315"/>
  <c r="BA15" i="315" s="1"/>
  <c r="BA14" i="265"/>
  <c r="BL14" i="265"/>
  <c r="BL15" i="265" s="1"/>
  <c r="BL14" i="315"/>
  <c r="BL15" i="315" s="1"/>
  <c r="AB14" i="265"/>
  <c r="AB15" i="265" s="1"/>
  <c r="AB14" i="315"/>
  <c r="AB15" i="315" s="1"/>
  <c r="AR14" i="265"/>
  <c r="AR15" i="265" s="1"/>
  <c r="AR14" i="315"/>
  <c r="AR15" i="315" s="1"/>
  <c r="BI14" i="315"/>
  <c r="BI15" i="315" s="1"/>
  <c r="BI14" i="265"/>
  <c r="V14" i="265"/>
  <c r="V15" i="265" s="1"/>
  <c r="V14" i="315"/>
  <c r="V15" i="315" s="1"/>
  <c r="AL14" i="265"/>
  <c r="AL15" i="265" s="1"/>
  <c r="AL14" i="315"/>
  <c r="AL15" i="315" s="1"/>
  <c r="BD14" i="265"/>
  <c r="BD15" i="265" s="1"/>
  <c r="BD14" i="315"/>
  <c r="BD15" i="315" s="1"/>
  <c r="BP14" i="315"/>
  <c r="BP15" i="315" s="1"/>
  <c r="BP14" i="265"/>
  <c r="BP15" i="265" s="1"/>
  <c r="CD14" i="265"/>
  <c r="CD15" i="265" s="1"/>
  <c r="CD14" i="315"/>
  <c r="CD15" i="315" s="1"/>
  <c r="CT14" i="265"/>
  <c r="CT15" i="265" s="1"/>
  <c r="CT14" i="315"/>
  <c r="CT15" i="315" s="1"/>
  <c r="CI14" i="265"/>
  <c r="CI14" i="315"/>
  <c r="CI15" i="315" s="1"/>
  <c r="BY14" i="315"/>
  <c r="BY15" i="315" s="1"/>
  <c r="BY14" i="265"/>
  <c r="CO14" i="265"/>
  <c r="CO14" i="315"/>
  <c r="CO15" i="315" s="1"/>
  <c r="CE14" i="265"/>
  <c r="CE14" i="315"/>
  <c r="CE15" i="315" s="1"/>
  <c r="CU14" i="265"/>
  <c r="CU15" i="265" s="1"/>
  <c r="CU14" i="315"/>
  <c r="CU15" i="315" s="1"/>
  <c r="S14" i="265"/>
  <c r="S14" i="315"/>
  <c r="S15" i="315" s="1"/>
  <c r="R14" i="265"/>
  <c r="R15" i="265" s="1"/>
  <c r="R14" i="315"/>
  <c r="R15" i="315" s="1"/>
  <c r="U14" i="315"/>
  <c r="U15" i="315" s="1"/>
  <c r="U14" i="265"/>
  <c r="AK14" i="265"/>
  <c r="AK14" i="315"/>
  <c r="AK15" i="315" s="1"/>
  <c r="BE14" i="265"/>
  <c r="BE14" i="315"/>
  <c r="BE15" i="315" s="1"/>
  <c r="Z14" i="265"/>
  <c r="Z15" i="265" s="1"/>
  <c r="Z14" i="315"/>
  <c r="Z15" i="315" s="1"/>
  <c r="AP14" i="265"/>
  <c r="AP15" i="265" s="1"/>
  <c r="AP14" i="315"/>
  <c r="AP15" i="315" s="1"/>
  <c r="BB14" i="265"/>
  <c r="BB15" i="265" s="1"/>
  <c r="BB14" i="315"/>
  <c r="BB15" i="315" s="1"/>
  <c r="BS14" i="315"/>
  <c r="BS15" i="315" s="1"/>
  <c r="BS14" i="265"/>
  <c r="AG14" i="265"/>
  <c r="AG14" i="315"/>
  <c r="AG15" i="315" s="1"/>
  <c r="AW14" i="265"/>
  <c r="AW14" i="315"/>
  <c r="AW15" i="315" s="1"/>
  <c r="BJ14" i="265"/>
  <c r="BJ15" i="265" s="1"/>
  <c r="BJ14" i="315"/>
  <c r="BJ15" i="315" s="1"/>
  <c r="AA14" i="265"/>
  <c r="AA14" i="315"/>
  <c r="AA15" i="315" s="1"/>
  <c r="AQ14" i="265"/>
  <c r="AQ14" i="315"/>
  <c r="AQ15" i="315" s="1"/>
  <c r="BG14" i="315"/>
  <c r="BG15" i="315" s="1"/>
  <c r="BG14" i="265"/>
  <c r="BU14" i="265"/>
  <c r="BU14" i="315"/>
  <c r="BU15" i="315" s="1"/>
  <c r="CK14" i="265"/>
  <c r="CK14" i="315"/>
  <c r="CK15" i="315" s="1"/>
  <c r="CJ14" i="265"/>
  <c r="CJ15" i="265" s="1"/>
  <c r="CJ14" i="315"/>
  <c r="CJ15" i="315" s="1"/>
  <c r="BZ14" i="265"/>
  <c r="BZ15" i="265" s="1"/>
  <c r="BZ14" i="315"/>
  <c r="BZ15" i="315" s="1"/>
  <c r="CP14" i="265"/>
  <c r="CP15" i="265" s="1"/>
  <c r="CP14" i="315"/>
  <c r="CP15" i="315" s="1"/>
  <c r="CF14" i="265"/>
  <c r="CF15" i="265" s="1"/>
  <c r="CF14" i="315"/>
  <c r="CF15" i="315" s="1"/>
  <c r="CV14" i="315"/>
  <c r="CV15" i="315" s="1"/>
  <c r="CV14" i="265"/>
  <c r="CV15" i="265" s="1"/>
  <c r="X14" i="315"/>
  <c r="X15" i="315" s="1"/>
  <c r="X14" i="265"/>
  <c r="X15" i="265" s="1"/>
  <c r="AN14" i="265"/>
  <c r="AN15" i="265" s="1"/>
  <c r="AN14" i="315"/>
  <c r="AN15" i="315" s="1"/>
  <c r="BM14" i="265"/>
  <c r="BM14" i="315"/>
  <c r="BM15" i="315" s="1"/>
  <c r="AE14" i="315"/>
  <c r="AE15" i="315" s="1"/>
  <c r="AE14" i="265"/>
  <c r="AU14" i="315"/>
  <c r="AU15" i="315" s="1"/>
  <c r="AU14" i="265"/>
  <c r="BC14" i="265"/>
  <c r="BC14" i="315"/>
  <c r="BC15" i="315" s="1"/>
  <c r="BT14" i="265"/>
  <c r="BT15" i="265" s="1"/>
  <c r="BT14" i="315"/>
  <c r="BT15" i="315" s="1"/>
  <c r="AJ14" i="315"/>
  <c r="AJ15" i="315" s="1"/>
  <c r="AJ14" i="265"/>
  <c r="AJ15" i="265" s="1"/>
  <c r="AZ14" i="315"/>
  <c r="AZ15" i="315" s="1"/>
  <c r="AZ14" i="265"/>
  <c r="AZ15" i="265" s="1"/>
  <c r="BQ14" i="265"/>
  <c r="BQ14" i="315"/>
  <c r="BQ15" i="315" s="1"/>
  <c r="AD14" i="265"/>
  <c r="AD15" i="265" s="1"/>
  <c r="AD14" i="315"/>
  <c r="AD15" i="315" s="1"/>
  <c r="AT14" i="315"/>
  <c r="AT15" i="315" s="1"/>
  <c r="AT14" i="265"/>
  <c r="AT15" i="265" s="1"/>
  <c r="BH14" i="315"/>
  <c r="BH15" i="315" s="1"/>
  <c r="BH14" i="265"/>
  <c r="BH15" i="265" s="1"/>
  <c r="BV14" i="265"/>
  <c r="BV15" i="265" s="1"/>
  <c r="BV14" i="315"/>
  <c r="BV15" i="315" s="1"/>
  <c r="CL14" i="265"/>
  <c r="CL15" i="265" s="1"/>
  <c r="CL14" i="315"/>
  <c r="CL15" i="315" s="1"/>
  <c r="CA14" i="315"/>
  <c r="CA15" i="315" s="1"/>
  <c r="CA14" i="265"/>
  <c r="CQ14" i="315"/>
  <c r="CQ15" i="315" s="1"/>
  <c r="CQ14" i="265"/>
  <c r="CG14" i="265"/>
  <c r="CG14" i="315"/>
  <c r="CG15" i="315" s="1"/>
  <c r="BW14" i="265"/>
  <c r="BW14" i="315"/>
  <c r="BW15" i="315" s="1"/>
  <c r="CM14" i="315"/>
  <c r="CM15" i="315" s="1"/>
  <c r="CM14" i="265"/>
  <c r="Q14" i="265"/>
  <c r="Q14" i="315"/>
  <c r="Q15" i="315" s="1"/>
  <c r="AC14" i="265"/>
  <c r="AC14" i="315"/>
  <c r="AC15" i="315" s="1"/>
  <c r="AS14" i="315"/>
  <c r="AS15" i="315" s="1"/>
  <c r="AS14" i="265"/>
  <c r="BN14" i="315"/>
  <c r="BN15" i="315" s="1"/>
  <c r="BN14" i="265"/>
  <c r="BN15" i="265" s="1"/>
  <c r="AH14" i="265"/>
  <c r="AH15" i="265" s="1"/>
  <c r="AH14" i="315"/>
  <c r="AH15" i="315" s="1"/>
  <c r="AX14" i="265"/>
  <c r="AX15" i="265" s="1"/>
  <c r="AX14" i="315"/>
  <c r="AX15" i="315" s="1"/>
  <c r="BK14" i="315"/>
  <c r="BK15" i="315" s="1"/>
  <c r="BK14" i="265"/>
  <c r="Y14" i="315"/>
  <c r="Y15" i="315" s="1"/>
  <c r="Y14" i="265"/>
  <c r="AO14" i="265"/>
  <c r="AO14" i="315"/>
  <c r="AO15" i="315" s="1"/>
  <c r="BF14" i="265"/>
  <c r="BF15" i="265" s="1"/>
  <c r="BF14" i="315"/>
  <c r="BF15" i="315" s="1"/>
  <c r="BR14" i="315"/>
  <c r="BR15" i="315" s="1"/>
  <c r="BR14" i="265"/>
  <c r="BR15" i="265" s="1"/>
  <c r="AI14" i="315"/>
  <c r="AI15" i="315" s="1"/>
  <c r="AI14" i="265"/>
  <c r="AY14" i="265"/>
  <c r="AY14" i="315"/>
  <c r="AY15" i="315" s="1"/>
  <c r="BO14" i="265"/>
  <c r="BO14" i="315"/>
  <c r="BO15" i="315" s="1"/>
  <c r="CC14" i="315"/>
  <c r="CC15" i="315" s="1"/>
  <c r="CC14" i="265"/>
  <c r="CS14" i="315"/>
  <c r="CS15" i="315" s="1"/>
  <c r="CS14" i="265"/>
  <c r="CB14" i="265"/>
  <c r="CB15" i="265" s="1"/>
  <c r="CB14" i="315"/>
  <c r="CB15" i="315" s="1"/>
  <c r="CR14" i="265"/>
  <c r="CR15" i="265" s="1"/>
  <c r="CR14" i="315"/>
  <c r="CR15" i="315" s="1"/>
  <c r="CH14" i="315"/>
  <c r="CH15" i="315" s="1"/>
  <c r="CH14" i="265"/>
  <c r="CH15" i="265" s="1"/>
  <c r="BX14" i="315"/>
  <c r="BX15" i="315" s="1"/>
  <c r="BX14" i="265"/>
  <c r="BX15" i="265" s="1"/>
  <c r="CN14" i="265"/>
  <c r="CN15" i="265" s="1"/>
  <c r="CN14" i="315"/>
  <c r="CN15" i="315" s="1"/>
  <c r="O156" i="282"/>
  <c r="O30" i="315" s="1"/>
  <c r="O161" i="282"/>
  <c r="O88" i="282"/>
  <c r="O32" i="265" s="1"/>
  <c r="O93" i="282"/>
  <c r="O14" i="265"/>
  <c r="O14" i="315"/>
  <c r="O15" i="315" s="1"/>
  <c r="H114" i="282"/>
  <c r="H46" i="282"/>
  <c r="H42" i="285"/>
  <c r="H86" i="282"/>
  <c r="H154" i="282"/>
  <c r="J99" i="315"/>
  <c r="J100" i="315" s="1"/>
  <c r="J103" i="265"/>
  <c r="K40" i="285"/>
  <c r="K43" i="285" s="1"/>
  <c r="J161" i="282"/>
  <c r="J162" i="282" s="1"/>
  <c r="J156" i="282"/>
  <c r="J88" i="282"/>
  <c r="J93" i="282"/>
  <c r="J94" i="282" s="1"/>
  <c r="J14" i="265"/>
  <c r="H38" i="285"/>
  <c r="J14" i="315"/>
  <c r="J15" i="315" s="1"/>
  <c r="K156" i="282"/>
  <c r="K30" i="315" s="1"/>
  <c r="K161" i="282"/>
  <c r="K88" i="282"/>
  <c r="K32" i="265" s="1"/>
  <c r="K93" i="282"/>
  <c r="K14" i="265"/>
  <c r="K14" i="315"/>
  <c r="K15" i="315" s="1"/>
  <c r="L156" i="282"/>
  <c r="L30" i="315" s="1"/>
  <c r="L161" i="282"/>
  <c r="L88" i="282"/>
  <c r="L32" i="265" s="1"/>
  <c r="L93" i="282"/>
  <c r="L14" i="265"/>
  <c r="L15" i="265" s="1"/>
  <c r="L14" i="315"/>
  <c r="L15" i="315" s="1"/>
  <c r="M156" i="282"/>
  <c r="M30" i="315" s="1"/>
  <c r="M161" i="282"/>
  <c r="M88" i="282"/>
  <c r="M32" i="265" s="1"/>
  <c r="M93" i="282"/>
  <c r="M14" i="265"/>
  <c r="M14" i="315"/>
  <c r="M15" i="315" s="1"/>
  <c r="N156" i="282"/>
  <c r="N30" i="315" s="1"/>
  <c r="N161" i="282"/>
  <c r="N88" i="282"/>
  <c r="N32" i="265" s="1"/>
  <c r="N93" i="282"/>
  <c r="N14" i="265"/>
  <c r="N15" i="265" s="1"/>
  <c r="N14" i="315"/>
  <c r="N15" i="315" s="1"/>
  <c r="P14" i="265"/>
  <c r="P15" i="265" s="1"/>
  <c r="P14" i="315"/>
  <c r="P15" i="315" s="1"/>
  <c r="P10" i="282"/>
  <c r="P12" i="282" s="1"/>
  <c r="L117" i="321"/>
  <c r="L118" i="321" s="1"/>
  <c r="L127" i="321" s="1"/>
  <c r="L133" i="321" s="1"/>
  <c r="L146" i="321" s="1"/>
  <c r="L121" i="321"/>
  <c r="L122" i="321" s="1"/>
  <c r="L128" i="321" s="1"/>
  <c r="L134" i="321" s="1"/>
  <c r="L258" i="321" s="1"/>
  <c r="M187" i="321"/>
  <c r="L268" i="288"/>
  <c r="L118" i="288"/>
  <c r="L115" i="315"/>
  <c r="L119" i="265"/>
  <c r="L242" i="321"/>
  <c r="L243" i="321" s="1"/>
  <c r="L361" i="321"/>
  <c r="L238" i="321"/>
  <c r="L28" i="282"/>
  <c r="L98" i="282"/>
  <c r="L251" i="288"/>
  <c r="L101" i="288"/>
  <c r="L164" i="321"/>
  <c r="L166" i="321" s="1"/>
  <c r="L49" i="321"/>
  <c r="K29" i="282"/>
  <c r="K245" i="321"/>
  <c r="K257" i="321"/>
  <c r="K260" i="321" s="1"/>
  <c r="K145" i="321"/>
  <c r="K148" i="321" s="1"/>
  <c r="K78" i="321"/>
  <c r="K411" i="321"/>
  <c r="K413" i="321" s="1"/>
  <c r="K427" i="321"/>
  <c r="K429" i="321" s="1"/>
  <c r="K258" i="288"/>
  <c r="K108" i="288"/>
  <c r="J121" i="277"/>
  <c r="J273" i="288"/>
  <c r="J275" i="288" s="1"/>
  <c r="J123" i="288"/>
  <c r="J125" i="288" s="1"/>
  <c r="K379" i="321"/>
  <c r="K381" i="321" s="1"/>
  <c r="K395" i="321"/>
  <c r="K397" i="321" s="1"/>
  <c r="K106" i="288"/>
  <c r="K110" i="288" s="1"/>
  <c r="K112" i="288" s="1"/>
  <c r="K256" i="288"/>
  <c r="K260" i="288" s="1"/>
  <c r="K262" i="288" s="1"/>
  <c r="J231" i="288"/>
  <c r="J240" i="288" s="1"/>
  <c r="J146" i="288"/>
  <c r="J81" i="288"/>
  <c r="J90" i="288" s="1"/>
  <c r="J92" i="288" s="1"/>
  <c r="J94" i="288" s="1"/>
  <c r="G128" i="328"/>
  <c r="F24" i="326"/>
  <c r="F132" i="328"/>
  <c r="J52" i="269"/>
  <c r="L52" i="269"/>
  <c r="L56" i="269"/>
  <c r="J56" i="269"/>
  <c r="L136" i="269"/>
  <c r="J136" i="269"/>
  <c r="L54" i="269"/>
  <c r="J54" i="269"/>
  <c r="F30" i="326"/>
  <c r="G130" i="328"/>
  <c r="G30" i="326" s="1"/>
  <c r="G31" i="326" s="1"/>
  <c r="H130" i="328"/>
  <c r="J135" i="269"/>
  <c r="L135" i="269"/>
  <c r="M299" i="321"/>
  <c r="L120" i="265"/>
  <c r="L119" i="288"/>
  <c r="L269" i="288"/>
  <c r="L116" i="315"/>
  <c r="L354" i="321"/>
  <c r="L363" i="321"/>
  <c r="L350" i="321"/>
  <c r="L30" i="282"/>
  <c r="L99" i="282"/>
  <c r="L50" i="321"/>
  <c r="L276" i="321"/>
  <c r="L278" i="321" s="1"/>
  <c r="L253" i="288"/>
  <c r="L103" i="288"/>
  <c r="K356" i="321"/>
  <c r="S442" i="321"/>
  <c r="S443" i="321" s="1"/>
  <c r="S679" i="321"/>
  <c r="S680" i="321" s="1"/>
  <c r="S714" i="321"/>
  <c r="CR666" i="321"/>
  <c r="CR639" i="321"/>
  <c r="CR106" i="282"/>
  <c r="CR661" i="321"/>
  <c r="CR61" i="315"/>
  <c r="CR665" i="321"/>
  <c r="CR667" i="321" s="1"/>
  <c r="CR631" i="321"/>
  <c r="CR632" i="321" s="1"/>
  <c r="CR654" i="321"/>
  <c r="CR58" i="315" l="1"/>
  <c r="CR21" i="315"/>
  <c r="CR114" i="315"/>
  <c r="CS664" i="321"/>
  <c r="CR60" i="315"/>
  <c r="CR23" i="315"/>
  <c r="CR62" i="315"/>
  <c r="S102" i="282"/>
  <c r="S34" i="282"/>
  <c r="S715" i="321"/>
  <c r="S687" i="321"/>
  <c r="S688" i="321" s="1"/>
  <c r="S681" i="321"/>
  <c r="S46" i="288"/>
  <c r="S485" i="321"/>
  <c r="S446" i="321"/>
  <c r="S447" i="321" s="1"/>
  <c r="S529" i="321"/>
  <c r="S196" i="288"/>
  <c r="K31" i="282"/>
  <c r="K357" i="321"/>
  <c r="L283" i="321"/>
  <c r="L19" i="265"/>
  <c r="K19" i="277" s="1"/>
  <c r="L69" i="265"/>
  <c r="K69" i="277" s="1"/>
  <c r="L18" i="315"/>
  <c r="L66" i="315"/>
  <c r="L355" i="321"/>
  <c r="L63" i="328"/>
  <c r="K74" i="328" s="1"/>
  <c r="K120" i="277"/>
  <c r="M346" i="321"/>
  <c r="M349" i="321" s="1"/>
  <c r="M302" i="321"/>
  <c r="M120" i="321"/>
  <c r="M254" i="288"/>
  <c r="M113" i="321"/>
  <c r="M104" i="288"/>
  <c r="F31" i="326"/>
  <c r="H131" i="328"/>
  <c r="H125" i="328"/>
  <c r="H127" i="328"/>
  <c r="H129" i="328"/>
  <c r="H126" i="328"/>
  <c r="H128" i="328"/>
  <c r="F27" i="326"/>
  <c r="G24" i="326"/>
  <c r="G27" i="326" s="1"/>
  <c r="G38" i="326" s="1"/>
  <c r="G132" i="328"/>
  <c r="K365" i="321"/>
  <c r="K398" i="321"/>
  <c r="K32" i="282"/>
  <c r="K105" i="288"/>
  <c r="K255" i="288"/>
  <c r="K100" i="282"/>
  <c r="K403" i="321"/>
  <c r="K404" i="321" s="1"/>
  <c r="K366" i="321"/>
  <c r="K382" i="321"/>
  <c r="K367" i="321"/>
  <c r="K430" i="321"/>
  <c r="K33" i="282"/>
  <c r="K107" i="288"/>
  <c r="K257" i="288"/>
  <c r="K101" i="282"/>
  <c r="K435" i="321"/>
  <c r="K436" i="321" s="1"/>
  <c r="K368" i="321"/>
  <c r="K414" i="321"/>
  <c r="K170" i="321"/>
  <c r="K172" i="321" s="1"/>
  <c r="K282" i="321"/>
  <c r="K284" i="321" s="1"/>
  <c r="K68" i="265"/>
  <c r="K18" i="265"/>
  <c r="L52" i="321"/>
  <c r="L171" i="321"/>
  <c r="L17" i="265"/>
  <c r="K17" i="277" s="1"/>
  <c r="L67" i="265"/>
  <c r="K67" i="277" s="1"/>
  <c r="L65" i="315"/>
  <c r="L17" i="315"/>
  <c r="L244" i="321"/>
  <c r="L62" i="328"/>
  <c r="K73" i="328" s="1"/>
  <c r="K119" i="277"/>
  <c r="M234" i="321"/>
  <c r="M237" i="321" s="1"/>
  <c r="M190" i="321"/>
  <c r="M112" i="321"/>
  <c r="M114" i="321" s="1"/>
  <c r="M102" i="288"/>
  <c r="M116" i="321"/>
  <c r="M252" i="288"/>
  <c r="P47" i="282"/>
  <c r="P84" i="282"/>
  <c r="P87" i="282" s="1"/>
  <c r="P152" i="282"/>
  <c r="P155" i="282" s="1"/>
  <c r="P115" i="282"/>
  <c r="P23" i="282"/>
  <c r="P24" i="282" s="1"/>
  <c r="Q21" i="282" s="1"/>
  <c r="M15" i="265"/>
  <c r="L14" i="277"/>
  <c r="L15" i="277" s="1"/>
  <c r="L32" i="277"/>
  <c r="K15" i="265"/>
  <c r="K14" i="277"/>
  <c r="K15" i="277" s="1"/>
  <c r="K32" i="277"/>
  <c r="H15" i="315"/>
  <c r="H14" i="265"/>
  <c r="H93" i="269" s="1"/>
  <c r="K93" i="269" s="1"/>
  <c r="H14" i="315"/>
  <c r="J14" i="277"/>
  <c r="J15" i="265"/>
  <c r="K92" i="282"/>
  <c r="K94" i="282" s="1"/>
  <c r="J125" i="265"/>
  <c r="J125" i="277" s="1"/>
  <c r="J32" i="265"/>
  <c r="J32" i="277" s="1"/>
  <c r="J30" i="315"/>
  <c r="K160" i="282"/>
  <c r="K162" i="282" s="1"/>
  <c r="J121" i="315"/>
  <c r="K99" i="315"/>
  <c r="K100" i="315" s="1"/>
  <c r="L40" i="285"/>
  <c r="L43" i="285" s="1"/>
  <c r="K103" i="265"/>
  <c r="K104" i="265" s="1"/>
  <c r="J103" i="277"/>
  <c r="J104" i="277" s="1"/>
  <c r="J104" i="265"/>
  <c r="O15" i="265"/>
  <c r="M14" i="277"/>
  <c r="M15" i="277" s="1"/>
  <c r="BB14" i="277"/>
  <c r="BB15" i="277" s="1"/>
  <c r="CS15" i="265"/>
  <c r="CC15" i="265"/>
  <c r="AT14" i="277"/>
  <c r="AT15" i="277" s="1"/>
  <c r="BO15" i="265"/>
  <c r="AM14" i="277"/>
  <c r="AM15" i="277" s="1"/>
  <c r="AY15" i="265"/>
  <c r="AE14" i="277"/>
  <c r="AE15" i="277" s="1"/>
  <c r="AI15" i="265"/>
  <c r="W14" i="277"/>
  <c r="W15" i="277" s="1"/>
  <c r="Z14" i="277"/>
  <c r="Z15" i="277" s="1"/>
  <c r="AO15" i="265"/>
  <c r="Y15" i="265"/>
  <c r="R14" i="277"/>
  <c r="R15" i="277" s="1"/>
  <c r="BK15" i="265"/>
  <c r="AK14" i="277"/>
  <c r="AK15" i="277" s="1"/>
  <c r="AS15" i="265"/>
  <c r="AB14" i="277"/>
  <c r="AB15" i="277" s="1"/>
  <c r="AC15" i="265"/>
  <c r="T14" i="277"/>
  <c r="T15" i="277" s="1"/>
  <c r="Q15" i="265"/>
  <c r="N14" i="277"/>
  <c r="N15" i="277" s="1"/>
  <c r="CM15" i="265"/>
  <c r="AY14" i="277"/>
  <c r="AY15" i="277" s="1"/>
  <c r="BW15" i="265"/>
  <c r="AQ14" i="277"/>
  <c r="AQ15" i="277" s="1"/>
  <c r="CG15" i="265"/>
  <c r="AV14" i="277"/>
  <c r="AV15" i="277" s="1"/>
  <c r="BA14" i="277"/>
  <c r="BA15" i="277" s="1"/>
  <c r="CQ15" i="265"/>
  <c r="CA15" i="265"/>
  <c r="AS14" i="277"/>
  <c r="AS15" i="277" s="1"/>
  <c r="BQ15" i="265"/>
  <c r="AN14" i="277"/>
  <c r="AN15" i="277" s="1"/>
  <c r="BC15" i="265"/>
  <c r="AG14" i="277"/>
  <c r="AG15" i="277" s="1"/>
  <c r="AU15" i="265"/>
  <c r="AC14" i="277"/>
  <c r="AC15" i="277" s="1"/>
  <c r="AE15" i="265"/>
  <c r="U14" i="277"/>
  <c r="U15" i="277" s="1"/>
  <c r="AL14" i="277"/>
  <c r="AL15" i="277" s="1"/>
  <c r="BM15" i="265"/>
  <c r="AX14" i="277"/>
  <c r="AX15" i="277" s="1"/>
  <c r="CK15" i="265"/>
  <c r="BU15" i="265"/>
  <c r="AP14" i="277"/>
  <c r="AP15" i="277" s="1"/>
  <c r="BG15" i="265"/>
  <c r="AI14" i="277"/>
  <c r="AI15" i="277" s="1"/>
  <c r="AQ15" i="265"/>
  <c r="AA14" i="277"/>
  <c r="AA15" i="277" s="1"/>
  <c r="S14" i="277"/>
  <c r="S15" i="277" s="1"/>
  <c r="AA15" i="265"/>
  <c r="AW15" i="265"/>
  <c r="AD14" i="277"/>
  <c r="AD15" i="277" s="1"/>
  <c r="AG15" i="265"/>
  <c r="V14" i="277"/>
  <c r="V15" i="277" s="1"/>
  <c r="AO14" i="277"/>
  <c r="AO15" i="277" s="1"/>
  <c r="BS15" i="265"/>
  <c r="BE15" i="265"/>
  <c r="AH14" i="277"/>
  <c r="AH15" i="277" s="1"/>
  <c r="AK15" i="265"/>
  <c r="X14" i="277"/>
  <c r="X15" i="277" s="1"/>
  <c r="P14" i="277"/>
  <c r="P15" i="277" s="1"/>
  <c r="U15" i="265"/>
  <c r="O14" i="277"/>
  <c r="O15" i="277" s="1"/>
  <c r="S15" i="265"/>
  <c r="CE15" i="265"/>
  <c r="AU14" i="277"/>
  <c r="AU15" i="277" s="1"/>
  <c r="CO15" i="265"/>
  <c r="AZ14" i="277"/>
  <c r="AZ15" i="277" s="1"/>
  <c r="BY15" i="265"/>
  <c r="AR14" i="277"/>
  <c r="AR15" i="277" s="1"/>
  <c r="CI15" i="265"/>
  <c r="AW14" i="277"/>
  <c r="AW15" i="277" s="1"/>
  <c r="AJ14" i="277"/>
  <c r="AJ15" i="277" s="1"/>
  <c r="BI15" i="265"/>
  <c r="BA15" i="265"/>
  <c r="AF14" i="277"/>
  <c r="AF15" i="277" s="1"/>
  <c r="AM15" i="265"/>
  <c r="Y14" i="277"/>
  <c r="Y15" i="277" s="1"/>
  <c r="Q14" i="277"/>
  <c r="Q15" i="277" s="1"/>
  <c r="W15" i="265"/>
  <c r="L103" i="265" l="1"/>
  <c r="L99" i="315"/>
  <c r="L100" i="315" s="1"/>
  <c r="M40" i="285"/>
  <c r="M43" i="285" s="1"/>
  <c r="L160" i="282"/>
  <c r="L162" i="282" s="1"/>
  <c r="K121" i="315"/>
  <c r="K125" i="265"/>
  <c r="L92" i="282"/>
  <c r="L94" i="282" s="1"/>
  <c r="H15" i="265"/>
  <c r="H94" i="269" s="1"/>
  <c r="K94" i="269" s="1"/>
  <c r="H14" i="277"/>
  <c r="J15" i="277"/>
  <c r="J93" i="269"/>
  <c r="L93" i="269"/>
  <c r="Q10" i="282"/>
  <c r="Q12" i="282" s="1"/>
  <c r="P161" i="282"/>
  <c r="P156" i="282"/>
  <c r="P88" i="282"/>
  <c r="P93" i="282"/>
  <c r="M117" i="321"/>
  <c r="M118" i="321" s="1"/>
  <c r="M127" i="321" s="1"/>
  <c r="M133" i="321" s="1"/>
  <c r="M146" i="321" s="1"/>
  <c r="M121" i="321"/>
  <c r="M122" i="321" s="1"/>
  <c r="M128" i="321" s="1"/>
  <c r="M134" i="321" s="1"/>
  <c r="M258" i="321" s="1"/>
  <c r="N187" i="321"/>
  <c r="M118" i="288"/>
  <c r="M115" i="315"/>
  <c r="M268" i="288"/>
  <c r="M119" i="265"/>
  <c r="M62" i="328" s="1"/>
  <c r="M242" i="321"/>
  <c r="M243" i="321" s="1"/>
  <c r="M361" i="321"/>
  <c r="M238" i="321"/>
  <c r="M28" i="282"/>
  <c r="M98" i="282"/>
  <c r="M49" i="321"/>
  <c r="M101" i="288"/>
  <c r="M251" i="288"/>
  <c r="M164" i="321"/>
  <c r="M166" i="321" s="1"/>
  <c r="L29" i="282"/>
  <c r="L245" i="321"/>
  <c r="L145" i="321"/>
  <c r="L148" i="321" s="1"/>
  <c r="L257" i="321"/>
  <c r="L260" i="321" s="1"/>
  <c r="L78" i="321"/>
  <c r="K287" i="321"/>
  <c r="K288" i="321" s="1"/>
  <c r="K175" i="321"/>
  <c r="K176" i="321" s="1"/>
  <c r="K76" i="265"/>
  <c r="K72" i="315"/>
  <c r="L433" i="321"/>
  <c r="K271" i="288"/>
  <c r="K121" i="288"/>
  <c r="K118" i="315"/>
  <c r="K122" i="265"/>
  <c r="K22" i="265"/>
  <c r="K72" i="265"/>
  <c r="K20" i="315"/>
  <c r="K68" i="315"/>
  <c r="K75" i="265"/>
  <c r="K71" i="315"/>
  <c r="L401" i="321"/>
  <c r="K120" i="288"/>
  <c r="K123" i="288" s="1"/>
  <c r="K125" i="288" s="1"/>
  <c r="K117" i="315"/>
  <c r="K121" i="265"/>
  <c r="K270" i="288"/>
  <c r="K273" i="288" s="1"/>
  <c r="K275" i="288" s="1"/>
  <c r="K21" i="265"/>
  <c r="K71" i="265"/>
  <c r="K67" i="315"/>
  <c r="K19" i="315"/>
  <c r="K369" i="321"/>
  <c r="F38" i="326"/>
  <c r="H27" i="326"/>
  <c r="H132" i="328"/>
  <c r="H31" i="326"/>
  <c r="N299" i="321"/>
  <c r="M119" i="288"/>
  <c r="M116" i="315"/>
  <c r="M120" i="265"/>
  <c r="M63" i="328" s="1"/>
  <c r="M269" i="288"/>
  <c r="M354" i="321"/>
  <c r="M363" i="321"/>
  <c r="M350" i="321"/>
  <c r="M30" i="282"/>
  <c r="M99" i="282"/>
  <c r="M103" i="288"/>
  <c r="M276" i="321"/>
  <c r="M278" i="321" s="1"/>
  <c r="M50" i="321"/>
  <c r="M253" i="288"/>
  <c r="L356" i="321"/>
  <c r="K70" i="265"/>
  <c r="K20" i="265"/>
  <c r="S54" i="315"/>
  <c r="S56" i="265"/>
  <c r="S51" i="315"/>
  <c r="S53" i="265"/>
  <c r="T684" i="321"/>
  <c r="S119" i="315"/>
  <c r="S123" i="265"/>
  <c r="S26" i="265"/>
  <c r="S24" i="315"/>
  <c r="S80" i="315"/>
  <c r="S84" i="265"/>
  <c r="CS657" i="321"/>
  <c r="CS660" i="321" s="1"/>
  <c r="CS616" i="321"/>
  <c r="CS618" i="321" s="1"/>
  <c r="CS626" i="321" s="1"/>
  <c r="CS628" i="321" s="1"/>
  <c r="CS643" i="321"/>
  <c r="CS645" i="321" s="1"/>
  <c r="CS651" i="321" s="1"/>
  <c r="CS653" i="321" s="1"/>
  <c r="CS634" i="321"/>
  <c r="CS638" i="321" s="1"/>
  <c r="CS666" i="321" l="1"/>
  <c r="CS639" i="321"/>
  <c r="CS654" i="321"/>
  <c r="CS665" i="321"/>
  <c r="CS667" i="321" s="1"/>
  <c r="CS61" i="315"/>
  <c r="CS631" i="321"/>
  <c r="CS632" i="321" s="1"/>
  <c r="CS106" i="282"/>
  <c r="CS661" i="321"/>
  <c r="T673" i="321"/>
  <c r="T676" i="321" s="1"/>
  <c r="T693" i="321"/>
  <c r="T695" i="321" s="1"/>
  <c r="T699" i="321" s="1"/>
  <c r="T702" i="321" s="1"/>
  <c r="T706" i="321" s="1"/>
  <c r="T709" i="321" s="1"/>
  <c r="T711" i="321" s="1"/>
  <c r="T712" i="321"/>
  <c r="L31" i="282"/>
  <c r="L357" i="321"/>
  <c r="M283" i="321"/>
  <c r="M19" i="265"/>
  <c r="M69" i="265"/>
  <c r="M66" i="315"/>
  <c r="M18" i="315"/>
  <c r="M355" i="321"/>
  <c r="N346" i="321"/>
  <c r="N349" i="321" s="1"/>
  <c r="N302" i="321"/>
  <c r="N254" i="288"/>
  <c r="N104" i="288"/>
  <c r="N113" i="321"/>
  <c r="N120" i="321"/>
  <c r="H23" i="326"/>
  <c r="H38" i="326"/>
  <c r="H33" i="326"/>
  <c r="H26" i="326"/>
  <c r="H29" i="326"/>
  <c r="H25" i="326"/>
  <c r="H30" i="326"/>
  <c r="H24" i="326"/>
  <c r="K16" i="314"/>
  <c r="K79" i="288"/>
  <c r="K66" i="288"/>
  <c r="K216" i="288"/>
  <c r="K110" i="314"/>
  <c r="K21" i="328"/>
  <c r="K229" i="288"/>
  <c r="K23" i="314"/>
  <c r="K103" i="314"/>
  <c r="K142" i="288"/>
  <c r="K143" i="288" s="1"/>
  <c r="L379" i="321"/>
  <c r="L381" i="321" s="1"/>
  <c r="L395" i="321"/>
  <c r="L397" i="321" s="1"/>
  <c r="L256" i="288"/>
  <c r="L106" i="288"/>
  <c r="L411" i="321"/>
  <c r="L413" i="321" s="1"/>
  <c r="L427" i="321"/>
  <c r="L429" i="321" s="1"/>
  <c r="L108" i="288"/>
  <c r="L258" i="288"/>
  <c r="K40" i="311"/>
  <c r="K41" i="311"/>
  <c r="K82" i="311" s="1"/>
  <c r="L282" i="321"/>
  <c r="L284" i="321" s="1"/>
  <c r="L170" i="321"/>
  <c r="L172" i="321" s="1"/>
  <c r="L68" i="265"/>
  <c r="K68" i="277" s="1"/>
  <c r="L18" i="265"/>
  <c r="M171" i="321"/>
  <c r="M52" i="321"/>
  <c r="M17" i="265"/>
  <c r="M67" i="265"/>
  <c r="M17" i="315"/>
  <c r="M65" i="315"/>
  <c r="M244" i="321"/>
  <c r="N234" i="321"/>
  <c r="N237" i="321" s="1"/>
  <c r="N190" i="321"/>
  <c r="N112" i="321"/>
  <c r="N114" i="321" s="1"/>
  <c r="N252" i="288"/>
  <c r="N116" i="321"/>
  <c r="N102" i="288"/>
  <c r="P32" i="265"/>
  <c r="M32" i="277" s="1"/>
  <c r="P30" i="315"/>
  <c r="Q47" i="282"/>
  <c r="Q84" i="282"/>
  <c r="Q87" i="282" s="1"/>
  <c r="Q152" i="282"/>
  <c r="Q155" i="282" s="1"/>
  <c r="Q23" i="282"/>
  <c r="Q24" i="282" s="1"/>
  <c r="R21" i="282" s="1"/>
  <c r="Q115" i="282"/>
  <c r="H15" i="277"/>
  <c r="L94" i="269"/>
  <c r="J94" i="269"/>
  <c r="L125" i="265"/>
  <c r="K125" i="277" s="1"/>
  <c r="M92" i="282"/>
  <c r="M94" i="282" s="1"/>
  <c r="M160" i="282"/>
  <c r="M162" i="282" s="1"/>
  <c r="L121" i="315"/>
  <c r="M99" i="315"/>
  <c r="M100" i="315" s="1"/>
  <c r="N40" i="285"/>
  <c r="N43" i="285" s="1"/>
  <c r="M103" i="265"/>
  <c r="M104" i="265" s="1"/>
  <c r="L104" i="265"/>
  <c r="K103" i="277"/>
  <c r="K104" i="277" s="1"/>
  <c r="N99" i="315" l="1"/>
  <c r="N100" i="315" s="1"/>
  <c r="O40" i="285"/>
  <c r="O43" i="285" s="1"/>
  <c r="N103" i="265"/>
  <c r="N160" i="282"/>
  <c r="N162" i="282" s="1"/>
  <c r="M121" i="315"/>
  <c r="N92" i="282"/>
  <c r="N94" i="282" s="1"/>
  <c r="M125" i="265"/>
  <c r="R10" i="282"/>
  <c r="R12" i="282" s="1"/>
  <c r="Q161" i="282"/>
  <c r="Q156" i="282"/>
  <c r="Q88" i="282"/>
  <c r="Q93" i="282"/>
  <c r="N121" i="321"/>
  <c r="N122" i="321" s="1"/>
  <c r="N128" i="321" s="1"/>
  <c r="N134" i="321" s="1"/>
  <c r="N258" i="321" s="1"/>
  <c r="N117" i="321"/>
  <c r="N118" i="321" s="1"/>
  <c r="N127" i="321" s="1"/>
  <c r="N133" i="321" s="1"/>
  <c r="N146" i="321" s="1"/>
  <c r="O187" i="321"/>
  <c r="N119" i="265"/>
  <c r="N268" i="288"/>
  <c r="N118" i="288"/>
  <c r="N115" i="315"/>
  <c r="N242" i="321"/>
  <c r="N243" i="321" s="1"/>
  <c r="N361" i="321"/>
  <c r="N238" i="321"/>
  <c r="N28" i="282"/>
  <c r="N98" i="282"/>
  <c r="N101" i="288"/>
  <c r="N164" i="321"/>
  <c r="N166" i="321" s="1"/>
  <c r="N49" i="321"/>
  <c r="N251" i="288"/>
  <c r="M29" i="282"/>
  <c r="M245" i="321"/>
  <c r="M78" i="321"/>
  <c r="M145" i="321"/>
  <c r="M148" i="321" s="1"/>
  <c r="M257" i="321"/>
  <c r="M260" i="321" s="1"/>
  <c r="K18" i="277"/>
  <c r="L175" i="321"/>
  <c r="L176" i="321" s="1"/>
  <c r="L287" i="321"/>
  <c r="L288" i="321" s="1"/>
  <c r="K81" i="311"/>
  <c r="L367" i="321"/>
  <c r="L430" i="321"/>
  <c r="L33" i="282"/>
  <c r="L101" i="282"/>
  <c r="L257" i="288"/>
  <c r="L107" i="288"/>
  <c r="L435" i="321"/>
  <c r="L436" i="321" s="1"/>
  <c r="L368" i="321"/>
  <c r="L414" i="321"/>
  <c r="L365" i="321"/>
  <c r="L398" i="321"/>
  <c r="L32" i="282"/>
  <c r="L100" i="282"/>
  <c r="L105" i="288"/>
  <c r="L110" i="288" s="1"/>
  <c r="L112" i="288" s="1"/>
  <c r="L255" i="288"/>
  <c r="L260" i="288" s="1"/>
  <c r="L262" i="288" s="1"/>
  <c r="L403" i="321"/>
  <c r="L404" i="321" s="1"/>
  <c r="L366" i="321"/>
  <c r="L382" i="321"/>
  <c r="K146" i="288"/>
  <c r="K231" i="288"/>
  <c r="K240" i="288" s="1"/>
  <c r="K81" i="288"/>
  <c r="K90" i="288" s="1"/>
  <c r="K92" i="288" s="1"/>
  <c r="K94" i="288" s="1"/>
  <c r="O299" i="321"/>
  <c r="N269" i="288"/>
  <c r="N116" i="315"/>
  <c r="N120" i="265"/>
  <c r="N119" i="288"/>
  <c r="N354" i="321"/>
  <c r="N363" i="321"/>
  <c r="N350" i="321"/>
  <c r="N30" i="282"/>
  <c r="N99" i="282"/>
  <c r="N50" i="321"/>
  <c r="N253" i="288"/>
  <c r="N103" i="288"/>
  <c r="N276" i="321"/>
  <c r="N278" i="321" s="1"/>
  <c r="M356" i="321"/>
  <c r="L70" i="265"/>
  <c r="K70" i="277" s="1"/>
  <c r="L20" i="265"/>
  <c r="T714" i="321"/>
  <c r="T442" i="321"/>
  <c r="T443" i="321" s="1"/>
  <c r="T679" i="321"/>
  <c r="T680" i="321" s="1"/>
  <c r="CS60" i="315"/>
  <c r="CS23" i="315"/>
  <c r="CS114" i="315"/>
  <c r="CT664" i="321"/>
  <c r="CS58" i="315"/>
  <c r="CS21" i="315"/>
  <c r="CS62" i="315"/>
  <c r="CT616" i="321" l="1"/>
  <c r="CT618" i="321" s="1"/>
  <c r="CT626" i="321" s="1"/>
  <c r="CT628" i="321" s="1"/>
  <c r="CT634" i="321"/>
  <c r="CT638" i="321" s="1"/>
  <c r="CT643" i="321"/>
  <c r="CT645" i="321" s="1"/>
  <c r="CT651" i="321" s="1"/>
  <c r="CT653" i="321" s="1"/>
  <c r="CT657" i="321"/>
  <c r="CT660" i="321" s="1"/>
  <c r="T687" i="321"/>
  <c r="T688" i="321" s="1"/>
  <c r="T681" i="321"/>
  <c r="T46" i="288"/>
  <c r="T529" i="321"/>
  <c r="T485" i="321"/>
  <c r="T446" i="321"/>
  <c r="T447" i="321" s="1"/>
  <c r="T196" i="288"/>
  <c r="T102" i="282"/>
  <c r="T34" i="282"/>
  <c r="T715" i="321"/>
  <c r="K20" i="277"/>
  <c r="M31" i="282"/>
  <c r="M357" i="321"/>
  <c r="N283" i="321"/>
  <c r="N19" i="265"/>
  <c r="L19" i="277" s="1"/>
  <c r="N69" i="265"/>
  <c r="L69" i="277" s="1"/>
  <c r="N18" i="315"/>
  <c r="N66" i="315"/>
  <c r="N355" i="321"/>
  <c r="N63" i="328"/>
  <c r="L74" i="328" s="1"/>
  <c r="L120" i="277"/>
  <c r="O346" i="321"/>
  <c r="O349" i="321" s="1"/>
  <c r="O302" i="321"/>
  <c r="O104" i="288"/>
  <c r="O254" i="288"/>
  <c r="O113" i="321"/>
  <c r="O120" i="321"/>
  <c r="L75" i="265"/>
  <c r="K75" i="277" s="1"/>
  <c r="L71" i="315"/>
  <c r="M401" i="321"/>
  <c r="L121" i="265"/>
  <c r="L120" i="288"/>
  <c r="L270" i="288"/>
  <c r="L117" i="315"/>
  <c r="L21" i="265"/>
  <c r="L71" i="265"/>
  <c r="K71" i="277" s="1"/>
  <c r="L67" i="315"/>
  <c r="L19" i="315"/>
  <c r="L369" i="321"/>
  <c r="L76" i="265"/>
  <c r="K76" i="277" s="1"/>
  <c r="L72" i="315"/>
  <c r="M433" i="321"/>
  <c r="L121" i="288"/>
  <c r="L118" i="315"/>
  <c r="L122" i="265"/>
  <c r="K122" i="277" s="1"/>
  <c r="L271" i="288"/>
  <c r="L22" i="265"/>
  <c r="K22" i="277" s="1"/>
  <c r="L72" i="265"/>
  <c r="K72" i="277" s="1"/>
  <c r="L68" i="315"/>
  <c r="L20" i="315"/>
  <c r="L41" i="311"/>
  <c r="L82" i="311" s="1"/>
  <c r="L40" i="311"/>
  <c r="M282" i="321"/>
  <c r="M284" i="321" s="1"/>
  <c r="M170" i="321"/>
  <c r="M172" i="321" s="1"/>
  <c r="M68" i="265"/>
  <c r="M18" i="265"/>
  <c r="N52" i="321"/>
  <c r="N171" i="321"/>
  <c r="N17" i="265"/>
  <c r="N67" i="265"/>
  <c r="L67" i="277" s="1"/>
  <c r="N17" i="315"/>
  <c r="N65" i="315"/>
  <c r="N244" i="321"/>
  <c r="N62" i="328"/>
  <c r="L73" i="328" s="1"/>
  <c r="L119" i="277"/>
  <c r="O234" i="321"/>
  <c r="O237" i="321" s="1"/>
  <c r="O190" i="321"/>
  <c r="O112" i="321"/>
  <c r="O114" i="321" s="1"/>
  <c r="O116" i="321"/>
  <c r="O252" i="288"/>
  <c r="O102" i="288"/>
  <c r="Q32" i="265"/>
  <c r="Q30" i="315"/>
  <c r="R152" i="282"/>
  <c r="R155" i="282" s="1"/>
  <c r="R84" i="282"/>
  <c r="R87" i="282" s="1"/>
  <c r="R47" i="282"/>
  <c r="R115" i="282"/>
  <c r="R23" i="282"/>
  <c r="R24" i="282" s="1"/>
  <c r="S21" i="282" s="1"/>
  <c r="O92" i="282"/>
  <c r="O94" i="282" s="1"/>
  <c r="N125" i="265"/>
  <c r="L125" i="277" s="1"/>
  <c r="O160" i="282"/>
  <c r="O162" i="282" s="1"/>
  <c r="N121" i="315"/>
  <c r="L103" i="277"/>
  <c r="L104" i="277" s="1"/>
  <c r="N104" i="265"/>
  <c r="O103" i="265"/>
  <c r="O104" i="265" s="1"/>
  <c r="P40" i="285"/>
  <c r="P43" i="285" s="1"/>
  <c r="O99" i="315"/>
  <c r="O100" i="315" s="1"/>
  <c r="P99" i="315" l="1"/>
  <c r="P100" i="315" s="1"/>
  <c r="P103" i="265"/>
  <c r="Q40" i="285"/>
  <c r="Q43" i="285" s="1"/>
  <c r="P160" i="282"/>
  <c r="P162" i="282" s="1"/>
  <c r="O121" i="315"/>
  <c r="O125" i="265"/>
  <c r="P92" i="282"/>
  <c r="P94" i="282" s="1"/>
  <c r="S10" i="282"/>
  <c r="S12" i="282" s="1"/>
  <c r="R93" i="282"/>
  <c r="R88" i="282"/>
  <c r="R161" i="282"/>
  <c r="R156" i="282"/>
  <c r="O117" i="321"/>
  <c r="O118" i="321" s="1"/>
  <c r="O127" i="321" s="1"/>
  <c r="O121" i="321"/>
  <c r="O122" i="321" s="1"/>
  <c r="O128" i="321" s="1"/>
  <c r="P187" i="321"/>
  <c r="O119" i="265"/>
  <c r="O62" i="328" s="1"/>
  <c r="O115" i="315"/>
  <c r="O268" i="288"/>
  <c r="O118" i="288"/>
  <c r="O242" i="321"/>
  <c r="O243" i="321" s="1"/>
  <c r="O238" i="321"/>
  <c r="O361" i="321"/>
  <c r="O28" i="282"/>
  <c r="O98" i="282"/>
  <c r="O251" i="288"/>
  <c r="O101" i="288"/>
  <c r="O164" i="321"/>
  <c r="O166" i="321" s="1"/>
  <c r="O49" i="321"/>
  <c r="N29" i="282"/>
  <c r="N245" i="321"/>
  <c r="L17" i="277"/>
  <c r="N78" i="321"/>
  <c r="N257" i="321"/>
  <c r="N260" i="321" s="1"/>
  <c r="N145" i="321"/>
  <c r="N148" i="321" s="1"/>
  <c r="M175" i="321"/>
  <c r="M176" i="321" s="1"/>
  <c r="M287" i="321"/>
  <c r="M288" i="321" s="1"/>
  <c r="L81" i="311"/>
  <c r="M411" i="321"/>
  <c r="M413" i="321" s="1"/>
  <c r="M427" i="321"/>
  <c r="M429" i="321" s="1"/>
  <c r="M258" i="288"/>
  <c r="M108" i="288"/>
  <c r="L16" i="314"/>
  <c r="L110" i="314"/>
  <c r="L216" i="288"/>
  <c r="L21" i="328"/>
  <c r="K41" i="328" s="1"/>
  <c r="L79" i="288"/>
  <c r="L229" i="288"/>
  <c r="L66" i="288"/>
  <c r="L103" i="314"/>
  <c r="L142" i="288"/>
  <c r="L143" i="288" s="1"/>
  <c r="L23" i="314"/>
  <c r="K21" i="277"/>
  <c r="L273" i="288"/>
  <c r="L275" i="288" s="1"/>
  <c r="L123" i="288"/>
  <c r="L125" i="288" s="1"/>
  <c r="K121" i="277"/>
  <c r="M379" i="321"/>
  <c r="M381" i="321" s="1"/>
  <c r="M395" i="321"/>
  <c r="M397" i="321" s="1"/>
  <c r="M106" i="288"/>
  <c r="M256" i="288"/>
  <c r="P299" i="321"/>
  <c r="O116" i="315"/>
  <c r="O269" i="288"/>
  <c r="O120" i="265"/>
  <c r="O63" i="328" s="1"/>
  <c r="O119" i="288"/>
  <c r="O354" i="321"/>
  <c r="O350" i="321"/>
  <c r="O363" i="321"/>
  <c r="O30" i="282"/>
  <c r="O99" i="282"/>
  <c r="O103" i="288"/>
  <c r="O276" i="321"/>
  <c r="O278" i="321" s="1"/>
  <c r="O50" i="321"/>
  <c r="O253" i="288"/>
  <c r="N356" i="321"/>
  <c r="M70" i="265"/>
  <c r="M20" i="265"/>
  <c r="T26" i="265"/>
  <c r="O26" i="277" s="1"/>
  <c r="T84" i="265"/>
  <c r="O84" i="277" s="1"/>
  <c r="T80" i="315"/>
  <c r="T24" i="315"/>
  <c r="T56" i="265"/>
  <c r="O56" i="277" s="1"/>
  <c r="T54" i="315"/>
  <c r="T51" i="315"/>
  <c r="T53" i="265"/>
  <c r="O53" i="277" s="1"/>
  <c r="U684" i="321"/>
  <c r="T119" i="315"/>
  <c r="T123" i="265"/>
  <c r="O123" i="277" s="1"/>
  <c r="CT106" i="282"/>
  <c r="CT661" i="321"/>
  <c r="CT654" i="321"/>
  <c r="CT666" i="321"/>
  <c r="CT639" i="321"/>
  <c r="CT61" i="315"/>
  <c r="CT665" i="321"/>
  <c r="CT667" i="321" s="1"/>
  <c r="CT631" i="321"/>
  <c r="CT632" i="321" s="1"/>
  <c r="CT114" i="315" l="1"/>
  <c r="CU664" i="321"/>
  <c r="CT62" i="315"/>
  <c r="CT58" i="315"/>
  <c r="CT21" i="315"/>
  <c r="CT60" i="315"/>
  <c r="CT23" i="315"/>
  <c r="U693" i="321"/>
  <c r="U695" i="321" s="1"/>
  <c r="U699" i="321" s="1"/>
  <c r="U702" i="321" s="1"/>
  <c r="U706" i="321" s="1"/>
  <c r="U709" i="321" s="1"/>
  <c r="U711" i="321" s="1"/>
  <c r="U712" i="321"/>
  <c r="U673" i="321"/>
  <c r="U676" i="321" s="1"/>
  <c r="N31" i="282"/>
  <c r="N357" i="321"/>
  <c r="O283" i="321"/>
  <c r="O19" i="265"/>
  <c r="O69" i="265"/>
  <c r="O18" i="315"/>
  <c r="O66" i="315"/>
  <c r="O355" i="321"/>
  <c r="P346" i="321"/>
  <c r="P349" i="321" s="1"/>
  <c r="P302" i="321"/>
  <c r="P120" i="321"/>
  <c r="P104" i="288"/>
  <c r="P113" i="321"/>
  <c r="P254" i="288"/>
  <c r="M365" i="321"/>
  <c r="M398" i="321"/>
  <c r="M32" i="282"/>
  <c r="M100" i="282"/>
  <c r="M255" i="288"/>
  <c r="M105" i="288"/>
  <c r="M403" i="321"/>
  <c r="M404" i="321" s="1"/>
  <c r="M366" i="321"/>
  <c r="M382" i="321"/>
  <c r="L146" i="288"/>
  <c r="J105" i="314"/>
  <c r="J109" i="314" s="1"/>
  <c r="J112" i="314" s="1"/>
  <c r="J115" i="314" s="1"/>
  <c r="J119" i="314" s="1"/>
  <c r="L231" i="288"/>
  <c r="L240" i="288" s="1"/>
  <c r="L81" i="288"/>
  <c r="L90" i="288" s="1"/>
  <c r="L92" i="288" s="1"/>
  <c r="L94" i="288" s="1"/>
  <c r="J18" i="314"/>
  <c r="J22" i="314" s="1"/>
  <c r="J25" i="314" s="1"/>
  <c r="M367" i="321"/>
  <c r="M430" i="321"/>
  <c r="M33" i="282"/>
  <c r="M101" i="282"/>
  <c r="M257" i="288"/>
  <c r="M107" i="288"/>
  <c r="M435" i="321"/>
  <c r="M436" i="321" s="1"/>
  <c r="M368" i="321"/>
  <c r="M414" i="321"/>
  <c r="M41" i="311"/>
  <c r="M82" i="311" s="1"/>
  <c r="M40" i="311"/>
  <c r="N170" i="321"/>
  <c r="N172" i="321" s="1"/>
  <c r="N282" i="321"/>
  <c r="N284" i="321" s="1"/>
  <c r="N68" i="265"/>
  <c r="L68" i="277" s="1"/>
  <c r="N18" i="265"/>
  <c r="O52" i="321"/>
  <c r="O171" i="321"/>
  <c r="O17" i="265"/>
  <c r="O67" i="265"/>
  <c r="O65" i="315"/>
  <c r="O17" i="315"/>
  <c r="O244" i="321"/>
  <c r="P234" i="321"/>
  <c r="P237" i="321" s="1"/>
  <c r="P190" i="321"/>
  <c r="P116" i="321"/>
  <c r="P252" i="288"/>
  <c r="P112" i="321"/>
  <c r="P114" i="321" s="1"/>
  <c r="P102" i="288"/>
  <c r="R30" i="315"/>
  <c r="R32" i="265"/>
  <c r="N32" i="277" s="1"/>
  <c r="S152" i="282"/>
  <c r="S155" i="282" s="1"/>
  <c r="S115" i="282"/>
  <c r="S47" i="282"/>
  <c r="S84" i="282"/>
  <c r="S87" i="282" s="1"/>
  <c r="S23" i="282"/>
  <c r="S24" i="282" s="1"/>
  <c r="T21" i="282" s="1"/>
  <c r="Q92" i="282"/>
  <c r="Q94" i="282" s="1"/>
  <c r="P125" i="265"/>
  <c r="M125" i="277" s="1"/>
  <c r="Q160" i="282"/>
  <c r="Q162" i="282" s="1"/>
  <c r="P121" i="315"/>
  <c r="Q103" i="265"/>
  <c r="Q104" i="265" s="1"/>
  <c r="Q99" i="315"/>
  <c r="Q100" i="315" s="1"/>
  <c r="R40" i="285"/>
  <c r="R43" i="285" s="1"/>
  <c r="M103" i="277"/>
  <c r="M104" i="277" s="1"/>
  <c r="P104" i="265"/>
  <c r="S40" i="285" l="1"/>
  <c r="S43" i="285" s="1"/>
  <c r="R99" i="315"/>
  <c r="R100" i="315" s="1"/>
  <c r="R103" i="265"/>
  <c r="R160" i="282"/>
  <c r="R162" i="282" s="1"/>
  <c r="Q121" i="315"/>
  <c r="Q125" i="265"/>
  <c r="R92" i="282"/>
  <c r="R94" i="282" s="1"/>
  <c r="T10" i="282"/>
  <c r="T12" i="282" s="1"/>
  <c r="S93" i="282"/>
  <c r="S88" i="282"/>
  <c r="S161" i="282"/>
  <c r="S156" i="282"/>
  <c r="P121" i="321"/>
  <c r="P122" i="321" s="1"/>
  <c r="P128" i="321" s="1"/>
  <c r="P117" i="321"/>
  <c r="P118" i="321" s="1"/>
  <c r="P127" i="321" s="1"/>
  <c r="Q187" i="321"/>
  <c r="P118" i="288"/>
  <c r="P268" i="288"/>
  <c r="P119" i="265"/>
  <c r="P115" i="315"/>
  <c r="P242" i="321"/>
  <c r="P243" i="321" s="1"/>
  <c r="P238" i="321"/>
  <c r="P361" i="321"/>
  <c r="P28" i="282"/>
  <c r="P98" i="282"/>
  <c r="P101" i="288"/>
  <c r="P164" i="321"/>
  <c r="P166" i="321" s="1"/>
  <c r="P49" i="321"/>
  <c r="P251" i="288"/>
  <c r="O29" i="282"/>
  <c r="O245" i="321"/>
  <c r="O145" i="321"/>
  <c r="O148" i="321" s="1"/>
  <c r="O78" i="321"/>
  <c r="O257" i="321"/>
  <c r="O260" i="321" s="1"/>
  <c r="L18" i="277"/>
  <c r="N287" i="321"/>
  <c r="N288" i="321" s="1"/>
  <c r="N175" i="321"/>
  <c r="N176" i="321" s="1"/>
  <c r="M81" i="311"/>
  <c r="M76" i="265"/>
  <c r="M72" i="315"/>
  <c r="N433" i="321"/>
  <c r="M122" i="265"/>
  <c r="M271" i="288"/>
  <c r="M121" i="288"/>
  <c r="M118" i="315"/>
  <c r="M22" i="265"/>
  <c r="M72" i="265"/>
  <c r="M20" i="315"/>
  <c r="M68" i="315"/>
  <c r="J171" i="314"/>
  <c r="J173" i="314" s="1"/>
  <c r="J36" i="314"/>
  <c r="J40" i="314" s="1"/>
  <c r="J88" i="314"/>
  <c r="J27" i="314"/>
  <c r="J122" i="314"/>
  <c r="J124" i="314" s="1"/>
  <c r="J144" i="314" s="1"/>
  <c r="J149" i="314"/>
  <c r="J150" i="314" s="1"/>
  <c r="J153" i="314" s="1"/>
  <c r="M75" i="265"/>
  <c r="M71" i="315"/>
  <c r="N401" i="321"/>
  <c r="M120" i="288"/>
  <c r="M123" i="288" s="1"/>
  <c r="M125" i="288" s="1"/>
  <c r="M117" i="315"/>
  <c r="M121" i="265"/>
  <c r="M270" i="288"/>
  <c r="M273" i="288" s="1"/>
  <c r="M275" i="288" s="1"/>
  <c r="M110" i="288"/>
  <c r="M112" i="288" s="1"/>
  <c r="M260" i="288"/>
  <c r="M262" i="288" s="1"/>
  <c r="M21" i="265"/>
  <c r="M71" i="265"/>
  <c r="M19" i="315"/>
  <c r="M67" i="315"/>
  <c r="M369" i="321"/>
  <c r="Q299" i="321"/>
  <c r="P116" i="315"/>
  <c r="P269" i="288"/>
  <c r="P119" i="288"/>
  <c r="P120" i="265"/>
  <c r="P354" i="321"/>
  <c r="P363" i="321"/>
  <c r="P350" i="321"/>
  <c r="P30" i="282"/>
  <c r="P99" i="282"/>
  <c r="P50" i="321"/>
  <c r="P253" i="288"/>
  <c r="P276" i="321"/>
  <c r="P278" i="321" s="1"/>
  <c r="P103" i="288"/>
  <c r="O356" i="321"/>
  <c r="N70" i="265"/>
  <c r="L70" i="277" s="1"/>
  <c r="N20" i="265"/>
  <c r="U679" i="321"/>
  <c r="U680" i="321" s="1"/>
  <c r="U442" i="321"/>
  <c r="U443" i="321" s="1"/>
  <c r="U714" i="321"/>
  <c r="CU616" i="321"/>
  <c r="CU618" i="321" s="1"/>
  <c r="CU626" i="321" s="1"/>
  <c r="CU628" i="321" s="1"/>
  <c r="CU634" i="321"/>
  <c r="CU638" i="321" s="1"/>
  <c r="CU643" i="321"/>
  <c r="CU645" i="321" s="1"/>
  <c r="CU651" i="321" s="1"/>
  <c r="CU653" i="321" s="1"/>
  <c r="CU657" i="321"/>
  <c r="CU660" i="321" s="1"/>
  <c r="CU106" i="282" l="1"/>
  <c r="CU661" i="321"/>
  <c r="CU654" i="321"/>
  <c r="CU666" i="321"/>
  <c r="CU639" i="321"/>
  <c r="CU61" i="315"/>
  <c r="CU665" i="321"/>
  <c r="CU667" i="321" s="1"/>
  <c r="CU631" i="321"/>
  <c r="CU632" i="321" s="1"/>
  <c r="U34" i="282"/>
  <c r="U102" i="282"/>
  <c r="U715" i="321"/>
  <c r="U46" i="288"/>
  <c r="U446" i="321"/>
  <c r="U447" i="321" s="1"/>
  <c r="U529" i="321"/>
  <c r="U485" i="321"/>
  <c r="U196" i="288"/>
  <c r="U687" i="321"/>
  <c r="U688" i="321" s="1"/>
  <c r="U681" i="321"/>
  <c r="L20" i="277"/>
  <c r="O31" i="282"/>
  <c r="O357" i="321"/>
  <c r="P283" i="321"/>
  <c r="P19" i="265"/>
  <c r="M19" i="277" s="1"/>
  <c r="P69" i="265"/>
  <c r="M69" i="277" s="1"/>
  <c r="P18" i="315"/>
  <c r="P66" i="315"/>
  <c r="P355" i="321"/>
  <c r="M120" i="277"/>
  <c r="P63" i="328"/>
  <c r="M74" i="328" s="1"/>
  <c r="Q346" i="321"/>
  <c r="Q349" i="321" s="1"/>
  <c r="Q302" i="321"/>
  <c r="Q120" i="321"/>
  <c r="Q254" i="288"/>
  <c r="Q104" i="288"/>
  <c r="Q113" i="321"/>
  <c r="M16" i="314"/>
  <c r="M229" i="288"/>
  <c r="M66" i="288"/>
  <c r="M103" i="314"/>
  <c r="M79" i="288"/>
  <c r="M142" i="288"/>
  <c r="M143" i="288" s="1"/>
  <c r="M21" i="328"/>
  <c r="M23" i="314"/>
  <c r="M110" i="314"/>
  <c r="M216" i="288"/>
  <c r="N379" i="321"/>
  <c r="N381" i="321" s="1"/>
  <c r="N395" i="321"/>
  <c r="N397" i="321" s="1"/>
  <c r="N256" i="288"/>
  <c r="N106" i="288"/>
  <c r="J43" i="314"/>
  <c r="J45" i="314" s="1"/>
  <c r="J65" i="314" s="1"/>
  <c r="J70" i="314"/>
  <c r="J71" i="314" s="1"/>
  <c r="J74" i="314" s="1"/>
  <c r="J174" i="314"/>
  <c r="J39" i="282"/>
  <c r="J40" i="282" s="1"/>
  <c r="J48" i="282" s="1"/>
  <c r="J107" i="282"/>
  <c r="J108" i="282" s="1"/>
  <c r="J116" i="282" s="1"/>
  <c r="N411" i="321"/>
  <c r="N413" i="321" s="1"/>
  <c r="N427" i="321"/>
  <c r="N429" i="321" s="1"/>
  <c r="N108" i="288"/>
  <c r="N258" i="288"/>
  <c r="N40" i="311"/>
  <c r="N41" i="311"/>
  <c r="N82" i="311" s="1"/>
  <c r="O282" i="321"/>
  <c r="O284" i="321" s="1"/>
  <c r="O170" i="321"/>
  <c r="O172" i="321" s="1"/>
  <c r="O68" i="265"/>
  <c r="O18" i="265"/>
  <c r="P52" i="321"/>
  <c r="P171" i="321"/>
  <c r="P17" i="265"/>
  <c r="P67" i="265"/>
  <c r="M67" i="277" s="1"/>
  <c r="P17" i="315"/>
  <c r="P65" i="315"/>
  <c r="P244" i="321"/>
  <c r="P62" i="328"/>
  <c r="M73" i="328" s="1"/>
  <c r="M119" i="277"/>
  <c r="Q234" i="321"/>
  <c r="Q237" i="321" s="1"/>
  <c r="Q190" i="321"/>
  <c r="Q116" i="321"/>
  <c r="Q252" i="288"/>
  <c r="Q102" i="288"/>
  <c r="Q112" i="321"/>
  <c r="Q114" i="321" s="1"/>
  <c r="S30" i="315"/>
  <c r="S32" i="265"/>
  <c r="T152" i="282"/>
  <c r="T155" i="282" s="1"/>
  <c r="T115" i="282"/>
  <c r="T47" i="282"/>
  <c r="T84" i="282"/>
  <c r="T87" i="282" s="1"/>
  <c r="T23" i="282"/>
  <c r="T24" i="282" s="1"/>
  <c r="U21" i="282" s="1"/>
  <c r="R125" i="265"/>
  <c r="N125" i="277" s="1"/>
  <c r="S92" i="282"/>
  <c r="S94" i="282" s="1"/>
  <c r="S160" i="282"/>
  <c r="S162" i="282" s="1"/>
  <c r="R121" i="315"/>
  <c r="N103" i="277"/>
  <c r="N104" i="277" s="1"/>
  <c r="R104" i="265"/>
  <c r="T40" i="285"/>
  <c r="T43" i="285" s="1"/>
  <c r="S99" i="315"/>
  <c r="S100" i="315" s="1"/>
  <c r="S103" i="265"/>
  <c r="S104" i="265" s="1"/>
  <c r="T99" i="315" l="1"/>
  <c r="T100" i="315" s="1"/>
  <c r="U40" i="285"/>
  <c r="U43" i="285" s="1"/>
  <c r="T103" i="265"/>
  <c r="T160" i="282"/>
  <c r="S121" i="315"/>
  <c r="T92" i="282"/>
  <c r="S125" i="265"/>
  <c r="U10" i="282"/>
  <c r="U12" i="282" s="1"/>
  <c r="T93" i="282"/>
  <c r="T88" i="282"/>
  <c r="T156" i="282"/>
  <c r="T161" i="282"/>
  <c r="Q117" i="321"/>
  <c r="Q118" i="321" s="1"/>
  <c r="Q127" i="321" s="1"/>
  <c r="Q121" i="321"/>
  <c r="Q122" i="321" s="1"/>
  <c r="Q128" i="321" s="1"/>
  <c r="R187" i="321"/>
  <c r="Q115" i="315"/>
  <c r="Q268" i="288"/>
  <c r="Q118" i="288"/>
  <c r="Q119" i="265"/>
  <c r="Q62" i="328" s="1"/>
  <c r="Q242" i="321"/>
  <c r="Q243" i="321" s="1"/>
  <c r="Q361" i="321"/>
  <c r="Q98" i="282"/>
  <c r="Q238" i="321"/>
  <c r="Q101" i="288"/>
  <c r="Q164" i="321"/>
  <c r="Q166" i="321" s="1"/>
  <c r="Q49" i="321"/>
  <c r="Q28" i="282"/>
  <c r="Q251" i="288"/>
  <c r="P29" i="282"/>
  <c r="P245" i="321"/>
  <c r="M17" i="277"/>
  <c r="P257" i="321"/>
  <c r="P260" i="321" s="1"/>
  <c r="P145" i="321"/>
  <c r="P148" i="321" s="1"/>
  <c r="P78" i="321"/>
  <c r="O175" i="321"/>
  <c r="O176" i="321" s="1"/>
  <c r="O287" i="321"/>
  <c r="O288" i="321" s="1"/>
  <c r="N81" i="311"/>
  <c r="N367" i="321"/>
  <c r="N430" i="321"/>
  <c r="N33" i="282"/>
  <c r="N101" i="282"/>
  <c r="N107" i="288"/>
  <c r="N257" i="288"/>
  <c r="N435" i="321"/>
  <c r="N436" i="321" s="1"/>
  <c r="N368" i="321"/>
  <c r="N414" i="321"/>
  <c r="J28" i="265"/>
  <c r="J81" i="265"/>
  <c r="J81" i="277" s="1"/>
  <c r="J26" i="315"/>
  <c r="J27" i="315" s="1"/>
  <c r="J112" i="282" s="1"/>
  <c r="J117" i="282" s="1"/>
  <c r="J77" i="315"/>
  <c r="N365" i="321"/>
  <c r="N398" i="321"/>
  <c r="N32" i="282"/>
  <c r="N100" i="282"/>
  <c r="N255" i="288"/>
  <c r="N260" i="288" s="1"/>
  <c r="N262" i="288" s="1"/>
  <c r="N105" i="288"/>
  <c r="N110" i="288" s="1"/>
  <c r="N112" i="288" s="1"/>
  <c r="N403" i="321"/>
  <c r="N404" i="321" s="1"/>
  <c r="N366" i="321"/>
  <c r="N382" i="321"/>
  <c r="M146" i="288"/>
  <c r="M81" i="288"/>
  <c r="M90" i="288" s="1"/>
  <c r="M92" i="288" s="1"/>
  <c r="M94" i="288" s="1"/>
  <c r="K105" i="314"/>
  <c r="K109" i="314" s="1"/>
  <c r="K112" i="314" s="1"/>
  <c r="K115" i="314" s="1"/>
  <c r="M231" i="288"/>
  <c r="M240" i="288" s="1"/>
  <c r="K18" i="314"/>
  <c r="K22" i="314" s="1"/>
  <c r="K25" i="314" s="1"/>
  <c r="R299" i="321"/>
  <c r="Q120" i="265"/>
  <c r="Q63" i="328" s="1"/>
  <c r="Q269" i="288"/>
  <c r="Q119" i="288"/>
  <c r="Q116" i="315"/>
  <c r="Q354" i="321"/>
  <c r="Q363" i="321"/>
  <c r="Q99" i="282"/>
  <c r="Q50" i="321"/>
  <c r="Q103" i="288"/>
  <c r="Q30" i="282"/>
  <c r="Q276" i="321"/>
  <c r="Q278" i="321" s="1"/>
  <c r="Q350" i="321"/>
  <c r="Q253" i="288"/>
  <c r="P356" i="321"/>
  <c r="O70" i="265"/>
  <c r="O20" i="265"/>
  <c r="U53" i="265"/>
  <c r="U51" i="315"/>
  <c r="V684" i="321"/>
  <c r="U123" i="265"/>
  <c r="U119" i="315"/>
  <c r="U56" i="265"/>
  <c r="U54" i="315"/>
  <c r="U80" i="315"/>
  <c r="U84" i="265"/>
  <c r="U24" i="315"/>
  <c r="U26" i="265"/>
  <c r="CU114" i="315"/>
  <c r="CV664" i="321"/>
  <c r="CU62" i="315"/>
  <c r="CU58" i="315"/>
  <c r="CU21" i="315"/>
  <c r="CU60" i="315"/>
  <c r="CU23" i="315"/>
  <c r="CV634" i="321" l="1"/>
  <c r="CV638" i="321" s="1"/>
  <c r="CV616" i="321"/>
  <c r="CV618" i="321" s="1"/>
  <c r="CV626" i="321" s="1"/>
  <c r="CV628" i="321" s="1"/>
  <c r="CV643" i="321"/>
  <c r="CV645" i="321" s="1"/>
  <c r="CV651" i="321" s="1"/>
  <c r="CV653" i="321" s="1"/>
  <c r="CV657" i="321"/>
  <c r="CV660" i="321" s="1"/>
  <c r="V693" i="321"/>
  <c r="V695" i="321" s="1"/>
  <c r="V699" i="321" s="1"/>
  <c r="V702" i="321" s="1"/>
  <c r="V706" i="321" s="1"/>
  <c r="V709" i="321" s="1"/>
  <c r="V711" i="321" s="1"/>
  <c r="V712" i="321"/>
  <c r="V673" i="321"/>
  <c r="V676" i="321" s="1"/>
  <c r="P31" i="282"/>
  <c r="P357" i="321"/>
  <c r="Q19" i="265"/>
  <c r="Q69" i="265"/>
  <c r="Q18" i="315"/>
  <c r="Q66" i="315"/>
  <c r="Q283" i="321"/>
  <c r="Q355" i="321"/>
  <c r="R346" i="321"/>
  <c r="R349" i="321" s="1"/>
  <c r="R302" i="321"/>
  <c r="R120" i="321"/>
  <c r="R254" i="288"/>
  <c r="R104" i="288"/>
  <c r="R113" i="321"/>
  <c r="K27" i="314"/>
  <c r="J29" i="314" s="1"/>
  <c r="K171" i="314"/>
  <c r="K173" i="314" s="1"/>
  <c r="K36" i="314"/>
  <c r="K88" i="314"/>
  <c r="N75" i="265"/>
  <c r="L75" i="277" s="1"/>
  <c r="N71" i="315"/>
  <c r="O401" i="321"/>
  <c r="N117" i="315"/>
  <c r="N121" i="265"/>
  <c r="N120" i="288"/>
  <c r="N270" i="288"/>
  <c r="N21" i="265"/>
  <c r="N71" i="265"/>
  <c r="L71" i="277" s="1"/>
  <c r="N67" i="315"/>
  <c r="N19" i="315"/>
  <c r="N369" i="321"/>
  <c r="J123" i="282"/>
  <c r="J124" i="282" s="1"/>
  <c r="J136" i="282" s="1"/>
  <c r="J120" i="282"/>
  <c r="J121" i="282" s="1"/>
  <c r="J28" i="277"/>
  <c r="J29" i="265"/>
  <c r="N76" i="265"/>
  <c r="L76" i="277" s="1"/>
  <c r="N72" i="315"/>
  <c r="O433" i="321"/>
  <c r="N122" i="265"/>
  <c r="L122" i="277" s="1"/>
  <c r="N271" i="288"/>
  <c r="N121" i="288"/>
  <c r="N118" i="315"/>
  <c r="N22" i="265"/>
  <c r="L22" i="277" s="1"/>
  <c r="N72" i="265"/>
  <c r="L72" i="277" s="1"/>
  <c r="N20" i="315"/>
  <c r="N68" i="315"/>
  <c r="O41" i="311"/>
  <c r="O82" i="311" s="1"/>
  <c r="O40" i="311"/>
  <c r="P170" i="321"/>
  <c r="P172" i="321" s="1"/>
  <c r="P282" i="321"/>
  <c r="P284" i="321" s="1"/>
  <c r="P68" i="265"/>
  <c r="M68" i="277" s="1"/>
  <c r="P18" i="265"/>
  <c r="Q52" i="321"/>
  <c r="Q171" i="321"/>
  <c r="Q65" i="315"/>
  <c r="Q17" i="265"/>
  <c r="Q67" i="265"/>
  <c r="Q17" i="315"/>
  <c r="Q244" i="321"/>
  <c r="R234" i="321"/>
  <c r="R237" i="321" s="1"/>
  <c r="R190" i="321"/>
  <c r="R252" i="288"/>
  <c r="R102" i="288"/>
  <c r="R112" i="321"/>
  <c r="R114" i="321" s="1"/>
  <c r="R116" i="321"/>
  <c r="T30" i="315"/>
  <c r="T32" i="265"/>
  <c r="O32" i="277" s="1"/>
  <c r="U152" i="282"/>
  <c r="U155" i="282" s="1"/>
  <c r="U115" i="282"/>
  <c r="U47" i="282"/>
  <c r="U84" i="282"/>
  <c r="U87" i="282" s="1"/>
  <c r="U23" i="282"/>
  <c r="U24" i="282" s="1"/>
  <c r="V21" i="282" s="1"/>
  <c r="T94" i="282"/>
  <c r="T162" i="282"/>
  <c r="T104" i="265"/>
  <c r="O103" i="277"/>
  <c r="O104" i="277" s="1"/>
  <c r="U99" i="315"/>
  <c r="U100" i="315" s="1"/>
  <c r="V40" i="285"/>
  <c r="V43" i="285" s="1"/>
  <c r="U103" i="265"/>
  <c r="U104" i="265" s="1"/>
  <c r="V99" i="315" l="1"/>
  <c r="V100" i="315" s="1"/>
  <c r="W40" i="285"/>
  <c r="W43" i="285" s="1"/>
  <c r="V103" i="265"/>
  <c r="T121" i="315"/>
  <c r="U160" i="282"/>
  <c r="U92" i="282"/>
  <c r="T125" i="265"/>
  <c r="O125" i="277" s="1"/>
  <c r="V10" i="282"/>
  <c r="V12" i="282" s="1"/>
  <c r="U93" i="282"/>
  <c r="U88" i="282"/>
  <c r="U156" i="282"/>
  <c r="U161" i="282"/>
  <c r="R121" i="321"/>
  <c r="R122" i="321" s="1"/>
  <c r="R128" i="321" s="1"/>
  <c r="R117" i="321"/>
  <c r="R118" i="321" s="1"/>
  <c r="R127" i="321" s="1"/>
  <c r="S187" i="321"/>
  <c r="R268" i="288"/>
  <c r="R118" i="288"/>
  <c r="R119" i="265"/>
  <c r="R115" i="315"/>
  <c r="R242" i="321"/>
  <c r="R243" i="321" s="1"/>
  <c r="R361" i="321"/>
  <c r="R98" i="282"/>
  <c r="R251" i="288"/>
  <c r="R28" i="282"/>
  <c r="R101" i="288"/>
  <c r="R238" i="321"/>
  <c r="R164" i="321"/>
  <c r="R166" i="321" s="1"/>
  <c r="R49" i="321"/>
  <c r="Q29" i="282"/>
  <c r="Q245" i="321"/>
  <c r="Q145" i="321"/>
  <c r="Q148" i="321" s="1"/>
  <c r="Q257" i="321"/>
  <c r="Q260" i="321" s="1"/>
  <c r="Q78" i="321"/>
  <c r="M18" i="277"/>
  <c r="P287" i="321"/>
  <c r="P288" i="321" s="1"/>
  <c r="P175" i="321"/>
  <c r="P176" i="321" s="1"/>
  <c r="O81" i="311"/>
  <c r="O427" i="321"/>
  <c r="O429" i="321" s="1"/>
  <c r="O411" i="321"/>
  <c r="O413" i="321" s="1"/>
  <c r="O258" i="288"/>
  <c r="O108" i="288"/>
  <c r="J44" i="282"/>
  <c r="J49" i="282" s="1"/>
  <c r="J29" i="277"/>
  <c r="J126" i="282"/>
  <c r="J128" i="282" s="1"/>
  <c r="J130" i="282"/>
  <c r="N16" i="314"/>
  <c r="N216" i="288"/>
  <c r="N79" i="288"/>
  <c r="N103" i="314"/>
  <c r="N110" i="314"/>
  <c r="N23" i="314"/>
  <c r="N142" i="288"/>
  <c r="N143" i="288" s="1"/>
  <c r="N21" i="328"/>
  <c r="L41" i="328" s="1"/>
  <c r="N229" i="288"/>
  <c r="N66" i="288"/>
  <c r="L21" i="277"/>
  <c r="L121" i="277"/>
  <c r="O395" i="321"/>
  <c r="O397" i="321" s="1"/>
  <c r="O379" i="321"/>
  <c r="O381" i="321" s="1"/>
  <c r="O256" i="288"/>
  <c r="O106" i="288"/>
  <c r="K174" i="314"/>
  <c r="K39" i="282"/>
  <c r="K107" i="282"/>
  <c r="J32" i="314"/>
  <c r="S299" i="321"/>
  <c r="R120" i="265"/>
  <c r="R116" i="315"/>
  <c r="R119" i="288"/>
  <c r="R269" i="288"/>
  <c r="R354" i="321"/>
  <c r="R363" i="321"/>
  <c r="R99" i="282"/>
  <c r="R253" i="288"/>
  <c r="R350" i="321"/>
  <c r="R103" i="288"/>
  <c r="R30" i="282"/>
  <c r="R276" i="321"/>
  <c r="R278" i="321" s="1"/>
  <c r="R50" i="321"/>
  <c r="Q356" i="321"/>
  <c r="P70" i="265"/>
  <c r="M70" i="277" s="1"/>
  <c r="P20" i="265"/>
  <c r="V442" i="321"/>
  <c r="V443" i="321" s="1"/>
  <c r="V679" i="321"/>
  <c r="V680" i="321" s="1"/>
  <c r="V714" i="321"/>
  <c r="CV106" i="282"/>
  <c r="CV661" i="321"/>
  <c r="H660" i="321"/>
  <c r="H106" i="282" s="1"/>
  <c r="CV654" i="321"/>
  <c r="H653" i="321"/>
  <c r="CV631" i="321"/>
  <c r="CV632" i="321" s="1"/>
  <c r="F632" i="321" s="1"/>
  <c r="F33" i="264" s="1"/>
  <c r="F28" i="264" s="1"/>
  <c r="CV61" i="315"/>
  <c r="CV665" i="321"/>
  <c r="H628" i="321"/>
  <c r="CV639" i="321"/>
  <c r="CV666" i="321"/>
  <c r="H638" i="321"/>
  <c r="H666" i="321" s="1"/>
  <c r="CV62" i="315" l="1"/>
  <c r="H639" i="321"/>
  <c r="H62" i="315" s="1"/>
  <c r="H665" i="321"/>
  <c r="H631" i="321"/>
  <c r="H61" i="315"/>
  <c r="CV667" i="321"/>
  <c r="CV114" i="315" s="1"/>
  <c r="G6" i="48"/>
  <c r="F4" i="265"/>
  <c r="F4" i="273"/>
  <c r="F4" i="288"/>
  <c r="F4" i="277"/>
  <c r="F4" i="311"/>
  <c r="F4" i="314"/>
  <c r="F4" i="321"/>
  <c r="F4" i="278"/>
  <c r="F4" i="275"/>
  <c r="F4" i="315"/>
  <c r="F4" i="264"/>
  <c r="F4" i="286"/>
  <c r="F4" i="309"/>
  <c r="F4" i="305"/>
  <c r="F4" i="282"/>
  <c r="F4" i="306"/>
  <c r="F4" i="325"/>
  <c r="F4" i="307"/>
  <c r="F4" i="289"/>
  <c r="F4" i="304"/>
  <c r="F4" i="285"/>
  <c r="F4" i="310"/>
  <c r="CV21" i="315"/>
  <c r="CV58" i="315"/>
  <c r="H654" i="321"/>
  <c r="CV60" i="315"/>
  <c r="CV23" i="315"/>
  <c r="H661" i="321"/>
  <c r="V102" i="282"/>
  <c r="V715" i="321"/>
  <c r="V34" i="282"/>
  <c r="V687" i="321"/>
  <c r="V688" i="321" s="1"/>
  <c r="V681" i="321"/>
  <c r="V46" i="288"/>
  <c r="V446" i="321"/>
  <c r="V447" i="321" s="1"/>
  <c r="V529" i="321"/>
  <c r="V485" i="321"/>
  <c r="V196" i="288"/>
  <c r="M20" i="277"/>
  <c r="Q31" i="282"/>
  <c r="Q357" i="321"/>
  <c r="R283" i="321"/>
  <c r="R69" i="265"/>
  <c r="N69" i="277" s="1"/>
  <c r="R18" i="315"/>
  <c r="R66" i="315"/>
  <c r="R19" i="265"/>
  <c r="N19" i="277" s="1"/>
  <c r="R355" i="321"/>
  <c r="R63" i="328"/>
  <c r="N74" i="328" s="1"/>
  <c r="N120" i="277"/>
  <c r="S346" i="321"/>
  <c r="S349" i="321" s="1"/>
  <c r="S302" i="321"/>
  <c r="S254" i="288"/>
  <c r="S113" i="321"/>
  <c r="S104" i="288"/>
  <c r="S120" i="321"/>
  <c r="K28" i="265"/>
  <c r="K81" i="265"/>
  <c r="K77" i="315"/>
  <c r="K26" i="315"/>
  <c r="O366" i="321"/>
  <c r="O403" i="321"/>
  <c r="O404" i="321" s="1"/>
  <c r="O382" i="321"/>
  <c r="O398" i="321"/>
  <c r="O365" i="321"/>
  <c r="O32" i="282"/>
  <c r="O100" i="282"/>
  <c r="O255" i="288"/>
  <c r="O105" i="288"/>
  <c r="N231" i="288"/>
  <c r="N240" i="288" s="1"/>
  <c r="N146" i="288"/>
  <c r="L105" i="314"/>
  <c r="L109" i="314" s="1"/>
  <c r="L112" i="314" s="1"/>
  <c r="L115" i="314" s="1"/>
  <c r="N81" i="288"/>
  <c r="N90" i="288" s="1"/>
  <c r="N92" i="288" s="1"/>
  <c r="N94" i="288" s="1"/>
  <c r="L18" i="314"/>
  <c r="L22" i="314" s="1"/>
  <c r="L25" i="314" s="1"/>
  <c r="J137" i="282"/>
  <c r="J138" i="282" s="1"/>
  <c r="K135" i="282" s="1"/>
  <c r="J131" i="282"/>
  <c r="J132" i="282" s="1"/>
  <c r="J143" i="282" s="1"/>
  <c r="J144" i="282" s="1"/>
  <c r="J145" i="282" s="1"/>
  <c r="J52" i="282"/>
  <c r="J53" i="282" s="1"/>
  <c r="J55" i="282"/>
  <c r="J56" i="282" s="1"/>
  <c r="J68" i="282" s="1"/>
  <c r="O368" i="321"/>
  <c r="O435" i="321"/>
  <c r="O436" i="321" s="1"/>
  <c r="O414" i="321"/>
  <c r="O430" i="321"/>
  <c r="O367" i="321"/>
  <c r="O33" i="282"/>
  <c r="O101" i="282"/>
  <c r="O257" i="288"/>
  <c r="O107" i="288"/>
  <c r="P40" i="311"/>
  <c r="P41" i="311"/>
  <c r="P82" i="311" s="1"/>
  <c r="Q282" i="321"/>
  <c r="Q284" i="321" s="1"/>
  <c r="Q170" i="321"/>
  <c r="Q172" i="321" s="1"/>
  <c r="Q68" i="265"/>
  <c r="Q18" i="265"/>
  <c r="R52" i="321"/>
  <c r="R171" i="321"/>
  <c r="R17" i="265"/>
  <c r="R67" i="265"/>
  <c r="N67" i="277" s="1"/>
  <c r="R17" i="315"/>
  <c r="R65" i="315"/>
  <c r="R244" i="321"/>
  <c r="R62" i="328"/>
  <c r="N73" i="328" s="1"/>
  <c r="N119" i="277"/>
  <c r="S234" i="321"/>
  <c r="S237" i="321" s="1"/>
  <c r="S190" i="321"/>
  <c r="S116" i="321"/>
  <c r="S252" i="288"/>
  <c r="S102" i="288"/>
  <c r="S112" i="321"/>
  <c r="S114" i="321" s="1"/>
  <c r="U30" i="315"/>
  <c r="U32" i="265"/>
  <c r="V152" i="282"/>
  <c r="V155" i="282" s="1"/>
  <c r="V115" i="282"/>
  <c r="V47" i="282"/>
  <c r="V84" i="282"/>
  <c r="V87" i="282" s="1"/>
  <c r="V23" i="282"/>
  <c r="V24" i="282" s="1"/>
  <c r="W21" i="282" s="1"/>
  <c r="U94" i="282"/>
  <c r="U162" i="282"/>
  <c r="V104" i="265"/>
  <c r="P103" i="277"/>
  <c r="P104" i="277" s="1"/>
  <c r="X40" i="285"/>
  <c r="X43" i="285" s="1"/>
  <c r="W99" i="315"/>
  <c r="W100" i="315" s="1"/>
  <c r="W103" i="265"/>
  <c r="W104" i="265" s="1"/>
  <c r="X99" i="315" l="1"/>
  <c r="X100" i="315" s="1"/>
  <c r="X103" i="265"/>
  <c r="Y40" i="285"/>
  <c r="Y43" i="285" s="1"/>
  <c r="U121" i="315"/>
  <c r="V160" i="282"/>
  <c r="U125" i="265"/>
  <c r="V92" i="282"/>
  <c r="W10" i="282"/>
  <c r="W12" i="282" s="1"/>
  <c r="V93" i="282"/>
  <c r="V88" i="282"/>
  <c r="V156" i="282"/>
  <c r="V161" i="282"/>
  <c r="S117" i="321"/>
  <c r="S118" i="321" s="1"/>
  <c r="S127" i="321" s="1"/>
  <c r="S121" i="321"/>
  <c r="S122" i="321" s="1"/>
  <c r="S128" i="321" s="1"/>
  <c r="T187" i="321"/>
  <c r="S268" i="288"/>
  <c r="S118" i="288"/>
  <c r="S119" i="265"/>
  <c r="S62" i="328" s="1"/>
  <c r="S115" i="315"/>
  <c r="S242" i="321"/>
  <c r="S243" i="321" s="1"/>
  <c r="S361" i="321"/>
  <c r="S98" i="282"/>
  <c r="S251" i="288"/>
  <c r="S28" i="282"/>
  <c r="S101" i="288"/>
  <c r="S238" i="321"/>
  <c r="S164" i="321"/>
  <c r="S166" i="321" s="1"/>
  <c r="S49" i="321"/>
  <c r="R29" i="282"/>
  <c r="R245" i="321"/>
  <c r="N17" i="277"/>
  <c r="R257" i="321"/>
  <c r="R260" i="321" s="1"/>
  <c r="R78" i="321"/>
  <c r="R145" i="321"/>
  <c r="R148" i="321" s="1"/>
  <c r="Q175" i="321"/>
  <c r="Q176" i="321" s="1"/>
  <c r="Q287" i="321"/>
  <c r="Q288" i="321" s="1"/>
  <c r="P81" i="311"/>
  <c r="O22" i="265"/>
  <c r="O72" i="265"/>
  <c r="O20" i="315"/>
  <c r="O68" i="315"/>
  <c r="O76" i="265"/>
  <c r="O72" i="315"/>
  <c r="P433" i="321"/>
  <c r="O121" i="288"/>
  <c r="O118" i="315"/>
  <c r="O122" i="265"/>
  <c r="O271" i="288"/>
  <c r="J62" i="282"/>
  <c r="J58" i="282"/>
  <c r="J60" i="282" s="1"/>
  <c r="J29" i="315"/>
  <c r="J31" i="315" s="1"/>
  <c r="J44" i="315"/>
  <c r="J45" i="315" s="1"/>
  <c r="K127" i="282"/>
  <c r="L27" i="314"/>
  <c r="K29" i="314" s="1"/>
  <c r="L171" i="314"/>
  <c r="L173" i="314" s="1"/>
  <c r="L36" i="314"/>
  <c r="L88" i="314"/>
  <c r="O110" i="288"/>
  <c r="O112" i="288" s="1"/>
  <c r="O260" i="288"/>
  <c r="O262" i="288" s="1"/>
  <c r="O369" i="321"/>
  <c r="O21" i="265"/>
  <c r="O71" i="265"/>
  <c r="O19" i="315"/>
  <c r="O67" i="315"/>
  <c r="O75" i="265"/>
  <c r="O71" i="315"/>
  <c r="P401" i="321"/>
  <c r="O121" i="265"/>
  <c r="O117" i="315"/>
  <c r="O120" i="288"/>
  <c r="O270" i="288"/>
  <c r="T299" i="321"/>
  <c r="S120" i="265"/>
  <c r="S63" i="328" s="1"/>
  <c r="S269" i="288"/>
  <c r="S119" i="288"/>
  <c r="S116" i="315"/>
  <c r="S354" i="321"/>
  <c r="S363" i="321"/>
  <c r="S99" i="282"/>
  <c r="S103" i="288"/>
  <c r="S276" i="321"/>
  <c r="S278" i="321" s="1"/>
  <c r="S30" i="282"/>
  <c r="S50" i="321"/>
  <c r="S350" i="321"/>
  <c r="S253" i="288"/>
  <c r="R356" i="321"/>
  <c r="Q70" i="265"/>
  <c r="Q20" i="265"/>
  <c r="V56" i="265"/>
  <c r="P56" i="277" s="1"/>
  <c r="V54" i="315"/>
  <c r="V53" i="265"/>
  <c r="P53" i="277" s="1"/>
  <c r="V51" i="315"/>
  <c r="W684" i="321"/>
  <c r="V119" i="315"/>
  <c r="V123" i="265"/>
  <c r="P123" i="277" s="1"/>
  <c r="V26" i="265"/>
  <c r="P26" i="277" s="1"/>
  <c r="V24" i="315"/>
  <c r="V84" i="265"/>
  <c r="P84" i="277" s="1"/>
  <c r="V80" i="315"/>
  <c r="H60" i="315"/>
  <c r="H23" i="315"/>
  <c r="H58" i="315"/>
  <c r="H21" i="315"/>
  <c r="W673" i="321" l="1"/>
  <c r="W676" i="321" s="1"/>
  <c r="W693" i="321"/>
  <c r="W695" i="321" s="1"/>
  <c r="W699" i="321" s="1"/>
  <c r="W702" i="321" s="1"/>
  <c r="W706" i="321" s="1"/>
  <c r="W709" i="321" s="1"/>
  <c r="W711" i="321" s="1"/>
  <c r="W712" i="321"/>
  <c r="R31" i="282"/>
  <c r="R357" i="321"/>
  <c r="S19" i="265"/>
  <c r="S69" i="265"/>
  <c r="S18" i="315"/>
  <c r="S66" i="315"/>
  <c r="S283" i="321"/>
  <c r="S355" i="321"/>
  <c r="T346" i="321"/>
  <c r="T349" i="321" s="1"/>
  <c r="T302" i="321"/>
  <c r="T104" i="288"/>
  <c r="T113" i="321"/>
  <c r="T120" i="321"/>
  <c r="T254" i="288"/>
  <c r="P395" i="321"/>
  <c r="P397" i="321" s="1"/>
  <c r="P379" i="321"/>
  <c r="P381" i="321" s="1"/>
  <c r="P256" i="288"/>
  <c r="P106" i="288"/>
  <c r="O16" i="314"/>
  <c r="O216" i="288"/>
  <c r="O79" i="288"/>
  <c r="O21" i="328"/>
  <c r="O110" i="314"/>
  <c r="O23" i="314"/>
  <c r="O142" i="288"/>
  <c r="O143" i="288" s="1"/>
  <c r="O103" i="314"/>
  <c r="O66" i="288"/>
  <c r="O229" i="288"/>
  <c r="L174" i="314"/>
  <c r="L39" i="282"/>
  <c r="L107" i="282"/>
  <c r="K32" i="314"/>
  <c r="J177" i="288"/>
  <c r="J179" i="288" s="1"/>
  <c r="J182" i="288" s="1"/>
  <c r="J139" i="286"/>
  <c r="J140" i="286" s="1"/>
  <c r="J146" i="286" s="1"/>
  <c r="J123" i="286"/>
  <c r="J63" i="282"/>
  <c r="J69" i="282"/>
  <c r="J70" i="282" s="1"/>
  <c r="K67" i="282" s="1"/>
  <c r="J64" i="282"/>
  <c r="J75" i="282" s="1"/>
  <c r="J76" i="282" s="1"/>
  <c r="J77" i="282" s="1"/>
  <c r="P427" i="321"/>
  <c r="P429" i="321" s="1"/>
  <c r="P411" i="321"/>
  <c r="P413" i="321" s="1"/>
  <c r="P108" i="288"/>
  <c r="P258" i="288"/>
  <c r="Q41" i="311"/>
  <c r="Q82" i="311" s="1"/>
  <c r="Q40" i="311"/>
  <c r="R170" i="321"/>
  <c r="R172" i="321" s="1"/>
  <c r="R282" i="321"/>
  <c r="R284" i="321" s="1"/>
  <c r="R68" i="265"/>
  <c r="N68" i="277" s="1"/>
  <c r="R18" i="265"/>
  <c r="S52" i="321"/>
  <c r="S171" i="321"/>
  <c r="S17" i="315"/>
  <c r="S65" i="315"/>
  <c r="S17" i="265"/>
  <c r="S67" i="265"/>
  <c r="S244" i="321"/>
  <c r="T234" i="321"/>
  <c r="T237" i="321" s="1"/>
  <c r="T190" i="321"/>
  <c r="T102" i="288"/>
  <c r="T116" i="321"/>
  <c r="T112" i="321"/>
  <c r="T114" i="321" s="1"/>
  <c r="T252" i="288"/>
  <c r="V30" i="315"/>
  <c r="V32" i="265"/>
  <c r="P32" i="277" s="1"/>
  <c r="W152" i="282"/>
  <c r="W155" i="282" s="1"/>
  <c r="W115" i="282"/>
  <c r="W47" i="282"/>
  <c r="W84" i="282"/>
  <c r="W87" i="282" s="1"/>
  <c r="W23" i="282"/>
  <c r="W24" i="282" s="1"/>
  <c r="X21" i="282" s="1"/>
  <c r="V94" i="282"/>
  <c r="V162" i="282"/>
  <c r="Z40" i="285"/>
  <c r="Z43" i="285" s="1"/>
  <c r="Y99" i="315"/>
  <c r="Y100" i="315" s="1"/>
  <c r="Y103" i="265"/>
  <c r="Y104" i="265" s="1"/>
  <c r="Q103" i="277"/>
  <c r="Q104" i="277" s="1"/>
  <c r="X104" i="265"/>
  <c r="AA40" i="285" l="1"/>
  <c r="AA43" i="285" s="1"/>
  <c r="Z99" i="315"/>
  <c r="Z100" i="315" s="1"/>
  <c r="Z103" i="265"/>
  <c r="V121" i="315"/>
  <c r="W160" i="282"/>
  <c r="W92" i="282"/>
  <c r="V125" i="265"/>
  <c r="P125" i="277" s="1"/>
  <c r="X10" i="282"/>
  <c r="X12" i="282" s="1"/>
  <c r="W93" i="282"/>
  <c r="W88" i="282"/>
  <c r="W156" i="282"/>
  <c r="W161" i="282"/>
  <c r="T121" i="321"/>
  <c r="T122" i="321" s="1"/>
  <c r="T128" i="321" s="1"/>
  <c r="T117" i="321"/>
  <c r="T118" i="321" s="1"/>
  <c r="T127" i="321" s="1"/>
  <c r="U187" i="321"/>
  <c r="T119" i="265"/>
  <c r="T118" i="288"/>
  <c r="T268" i="288"/>
  <c r="T115" i="315"/>
  <c r="T242" i="321"/>
  <c r="T243" i="321" s="1"/>
  <c r="T361" i="321"/>
  <c r="T98" i="282"/>
  <c r="T49" i="321"/>
  <c r="T251" i="288"/>
  <c r="T28" i="282"/>
  <c r="T101" i="288"/>
  <c r="T238" i="321"/>
  <c r="T164" i="321"/>
  <c r="T166" i="321" s="1"/>
  <c r="S29" i="282"/>
  <c r="S245" i="321"/>
  <c r="S257" i="321"/>
  <c r="S260" i="321" s="1"/>
  <c r="S78" i="321"/>
  <c r="S145" i="321"/>
  <c r="S148" i="321" s="1"/>
  <c r="N18" i="277"/>
  <c r="R287" i="321"/>
  <c r="R288" i="321" s="1"/>
  <c r="R175" i="321"/>
  <c r="R176" i="321" s="1"/>
  <c r="Q81" i="311"/>
  <c r="P368" i="321"/>
  <c r="P435" i="321"/>
  <c r="P436" i="321" s="1"/>
  <c r="P414" i="321"/>
  <c r="P367" i="321"/>
  <c r="P430" i="321"/>
  <c r="P33" i="282"/>
  <c r="P101" i="282"/>
  <c r="P107" i="288"/>
  <c r="P257" i="288"/>
  <c r="J46" i="265"/>
  <c r="J31" i="265"/>
  <c r="K59" i="282"/>
  <c r="L28" i="265"/>
  <c r="K28" i="277" s="1"/>
  <c r="L81" i="265"/>
  <c r="K81" i="277" s="1"/>
  <c r="L77" i="315"/>
  <c r="L26" i="315"/>
  <c r="O231" i="288"/>
  <c r="O240" i="288" s="1"/>
  <c r="M105" i="314"/>
  <c r="M109" i="314" s="1"/>
  <c r="M112" i="314" s="1"/>
  <c r="M115" i="314" s="1"/>
  <c r="O146" i="288"/>
  <c r="O81" i="288"/>
  <c r="O90" i="288" s="1"/>
  <c r="M18" i="314"/>
  <c r="M22" i="314" s="1"/>
  <c r="M25" i="314" s="1"/>
  <c r="P366" i="321"/>
  <c r="P403" i="321"/>
  <c r="P404" i="321" s="1"/>
  <c r="P382" i="321"/>
  <c r="P365" i="321"/>
  <c r="P369" i="321" s="1"/>
  <c r="P398" i="321"/>
  <c r="P32" i="282"/>
  <c r="P100" i="282"/>
  <c r="P105" i="288"/>
  <c r="P110" i="288" s="1"/>
  <c r="P112" i="288" s="1"/>
  <c r="P255" i="288"/>
  <c r="P260" i="288" s="1"/>
  <c r="P262" i="288" s="1"/>
  <c r="U299" i="321"/>
  <c r="T119" i="288"/>
  <c r="T116" i="315"/>
  <c r="T120" i="265"/>
  <c r="T269" i="288"/>
  <c r="T354" i="321"/>
  <c r="T363" i="321"/>
  <c r="T99" i="282"/>
  <c r="T350" i="321"/>
  <c r="T276" i="321"/>
  <c r="T278" i="321" s="1"/>
  <c r="T30" i="282"/>
  <c r="T50" i="321"/>
  <c r="T253" i="288"/>
  <c r="T103" i="288"/>
  <c r="S356" i="321"/>
  <c r="R70" i="265"/>
  <c r="N70" i="277" s="1"/>
  <c r="R20" i="265"/>
  <c r="W714" i="321"/>
  <c r="W679" i="321"/>
  <c r="W680" i="321" s="1"/>
  <c r="W442" i="321"/>
  <c r="W443" i="321" s="1"/>
  <c r="W46" i="288" l="1"/>
  <c r="W446" i="321"/>
  <c r="W447" i="321" s="1"/>
  <c r="W529" i="321"/>
  <c r="W485" i="321"/>
  <c r="W196" i="288"/>
  <c r="W687" i="321"/>
  <c r="W688" i="321" s="1"/>
  <c r="W681" i="321"/>
  <c r="W34" i="282"/>
  <c r="W102" i="282"/>
  <c r="W715" i="321"/>
  <c r="N20" i="277"/>
  <c r="S31" i="282"/>
  <c r="S357" i="321"/>
  <c r="T283" i="321"/>
  <c r="T66" i="315"/>
  <c r="T69" i="265"/>
  <c r="O69" i="277" s="1"/>
  <c r="T19" i="265"/>
  <c r="O19" i="277" s="1"/>
  <c r="T18" i="315"/>
  <c r="T355" i="321"/>
  <c r="T63" i="328"/>
  <c r="O74" i="328" s="1"/>
  <c r="O120" i="277"/>
  <c r="U346" i="321"/>
  <c r="U349" i="321" s="1"/>
  <c r="U302" i="321"/>
  <c r="U113" i="321"/>
  <c r="U254" i="288"/>
  <c r="U104" i="288"/>
  <c r="U120" i="321"/>
  <c r="P21" i="265"/>
  <c r="P71" i="265"/>
  <c r="M71" i="277" s="1"/>
  <c r="P67" i="315"/>
  <c r="P19" i="315"/>
  <c r="P16" i="314"/>
  <c r="P103" i="314"/>
  <c r="P142" i="288"/>
  <c r="P143" i="288" s="1"/>
  <c r="P23" i="314"/>
  <c r="P110" i="314"/>
  <c r="P79" i="288"/>
  <c r="P21" i="328"/>
  <c r="M41" i="328" s="1"/>
  <c r="P216" i="288"/>
  <c r="P229" i="288"/>
  <c r="P66" i="288"/>
  <c r="P75" i="265"/>
  <c r="M75" i="277" s="1"/>
  <c r="P71" i="315"/>
  <c r="Q401" i="321"/>
  <c r="P121" i="265"/>
  <c r="P117" i="315"/>
  <c r="P270" i="288"/>
  <c r="P120" i="288"/>
  <c r="M27" i="314"/>
  <c r="L29" i="314" s="1"/>
  <c r="M171" i="314"/>
  <c r="M173" i="314" s="1"/>
  <c r="M36" i="314"/>
  <c r="M88" i="314"/>
  <c r="J31" i="277"/>
  <c r="J33" i="277" s="1"/>
  <c r="J33" i="265"/>
  <c r="J47" i="265"/>
  <c r="J46" i="277"/>
  <c r="J47" i="277" s="1"/>
  <c r="P22" i="265"/>
  <c r="M22" i="277" s="1"/>
  <c r="P72" i="265"/>
  <c r="M72" i="277" s="1"/>
  <c r="P20" i="315"/>
  <c r="P68" i="315"/>
  <c r="P76" i="265"/>
  <c r="M76" i="277" s="1"/>
  <c r="P72" i="315"/>
  <c r="Q433" i="321"/>
  <c r="P122" i="265"/>
  <c r="M122" i="277" s="1"/>
  <c r="P118" i="315"/>
  <c r="P121" i="288"/>
  <c r="P271" i="288"/>
  <c r="R40" i="311"/>
  <c r="R41" i="311"/>
  <c r="R82" i="311" s="1"/>
  <c r="S170" i="321"/>
  <c r="S172" i="321" s="1"/>
  <c r="S282" i="321"/>
  <c r="S284" i="321" s="1"/>
  <c r="S68" i="265"/>
  <c r="S18" i="265"/>
  <c r="T171" i="321"/>
  <c r="T17" i="315"/>
  <c r="T65" i="315"/>
  <c r="T17" i="265"/>
  <c r="T67" i="265"/>
  <c r="O67" i="277" s="1"/>
  <c r="T52" i="321"/>
  <c r="T244" i="321"/>
  <c r="T62" i="328"/>
  <c r="O73" i="328" s="1"/>
  <c r="O119" i="277"/>
  <c r="U234" i="321"/>
  <c r="U237" i="321" s="1"/>
  <c r="U190" i="321"/>
  <c r="U252" i="288"/>
  <c r="U102" i="288"/>
  <c r="U116" i="321"/>
  <c r="U112" i="321"/>
  <c r="U114" i="321" s="1"/>
  <c r="W30" i="315"/>
  <c r="W32" i="265"/>
  <c r="X152" i="282"/>
  <c r="X155" i="282" s="1"/>
  <c r="X115" i="282"/>
  <c r="X47" i="282"/>
  <c r="X84" i="282"/>
  <c r="X87" i="282" s="1"/>
  <c r="X23" i="282"/>
  <c r="X24" i="282" s="1"/>
  <c r="Y21" i="282" s="1"/>
  <c r="W94" i="282"/>
  <c r="W162" i="282"/>
  <c r="Z104" i="265"/>
  <c r="R103" i="277"/>
  <c r="R104" i="277" s="1"/>
  <c r="AB40" i="285"/>
  <c r="AB43" i="285" s="1"/>
  <c r="AA99" i="315"/>
  <c r="AA100" i="315" s="1"/>
  <c r="AA103" i="265"/>
  <c r="AA104" i="265" s="1"/>
  <c r="AB99" i="315" l="1"/>
  <c r="AB100" i="315" s="1"/>
  <c r="AC40" i="285"/>
  <c r="AC43" i="285" s="1"/>
  <c r="AB103" i="265"/>
  <c r="W121" i="315"/>
  <c r="X160" i="282"/>
  <c r="X92" i="282"/>
  <c r="W125" i="265"/>
  <c r="Y10" i="282"/>
  <c r="Y12" i="282" s="1"/>
  <c r="X93" i="282"/>
  <c r="X88" i="282"/>
  <c r="X156" i="282"/>
  <c r="X161" i="282"/>
  <c r="U117" i="321"/>
  <c r="U118" i="321" s="1"/>
  <c r="U127" i="321" s="1"/>
  <c r="U121" i="321"/>
  <c r="U122" i="321" s="1"/>
  <c r="U128" i="321" s="1"/>
  <c r="V187" i="321"/>
  <c r="U118" i="288"/>
  <c r="U119" i="265"/>
  <c r="U62" i="328" s="1"/>
  <c r="U115" i="315"/>
  <c r="U268" i="288"/>
  <c r="U242" i="321"/>
  <c r="U243" i="321" s="1"/>
  <c r="U361" i="321"/>
  <c r="U98" i="282"/>
  <c r="U238" i="321"/>
  <c r="U164" i="321"/>
  <c r="U166" i="321" s="1"/>
  <c r="U49" i="321"/>
  <c r="U251" i="288"/>
  <c r="U28" i="282"/>
  <c r="U101" i="288"/>
  <c r="T29" i="282"/>
  <c r="T245" i="321"/>
  <c r="T78" i="321"/>
  <c r="T257" i="321"/>
  <c r="T260" i="321" s="1"/>
  <c r="T145" i="321"/>
  <c r="T148" i="321" s="1"/>
  <c r="O17" i="277"/>
  <c r="S287" i="321"/>
  <c r="S288" i="321" s="1"/>
  <c r="S175" i="321"/>
  <c r="S176" i="321" s="1"/>
  <c r="R81" i="311"/>
  <c r="Q427" i="321"/>
  <c r="Q429" i="321" s="1"/>
  <c r="Q411" i="321"/>
  <c r="Q413" i="321" s="1"/>
  <c r="Q258" i="288"/>
  <c r="Q108" i="288"/>
  <c r="J27" i="288"/>
  <c r="J29" i="288" s="1"/>
  <c r="J32" i="288" s="1"/>
  <c r="J71" i="286"/>
  <c r="J72" i="286" s="1"/>
  <c r="J78" i="286" s="1"/>
  <c r="J46" i="286"/>
  <c r="M174" i="314"/>
  <c r="M39" i="282"/>
  <c r="M107" i="282"/>
  <c r="L32" i="314"/>
  <c r="M121" i="277"/>
  <c r="Q395" i="321"/>
  <c r="Q397" i="321" s="1"/>
  <c r="Q379" i="321"/>
  <c r="Q381" i="321" s="1"/>
  <c r="Q106" i="288"/>
  <c r="Q256" i="288"/>
  <c r="P231" i="288"/>
  <c r="P240" i="288" s="1"/>
  <c r="P81" i="288"/>
  <c r="P90" i="288" s="1"/>
  <c r="P146" i="288"/>
  <c r="N105" i="314"/>
  <c r="N109" i="314" s="1"/>
  <c r="N112" i="314" s="1"/>
  <c r="N115" i="314" s="1"/>
  <c r="N18" i="314"/>
  <c r="N22" i="314" s="1"/>
  <c r="N25" i="314" s="1"/>
  <c r="M21" i="277"/>
  <c r="V299" i="321"/>
  <c r="U269" i="288"/>
  <c r="U116" i="315"/>
  <c r="U119" i="288"/>
  <c r="U120" i="265"/>
  <c r="U63" i="328" s="1"/>
  <c r="U354" i="321"/>
  <c r="U363" i="321"/>
  <c r="U99" i="282"/>
  <c r="U50" i="321"/>
  <c r="U276" i="321"/>
  <c r="U278" i="321" s="1"/>
  <c r="U30" i="282"/>
  <c r="U253" i="288"/>
  <c r="U350" i="321"/>
  <c r="U103" i="288"/>
  <c r="T356" i="321"/>
  <c r="S70" i="265"/>
  <c r="S20" i="265"/>
  <c r="W80" i="315"/>
  <c r="W84" i="265"/>
  <c r="W24" i="315"/>
  <c r="W26" i="265"/>
  <c r="W51" i="315"/>
  <c r="W53" i="265"/>
  <c r="X684" i="321"/>
  <c r="W123" i="265"/>
  <c r="W119" i="315"/>
  <c r="W54" i="315"/>
  <c r="W56" i="265"/>
  <c r="X693" i="321" l="1"/>
  <c r="X695" i="321" s="1"/>
  <c r="X699" i="321" s="1"/>
  <c r="X702" i="321" s="1"/>
  <c r="X706" i="321" s="1"/>
  <c r="X709" i="321" s="1"/>
  <c r="X711" i="321" s="1"/>
  <c r="X712" i="321"/>
  <c r="X673" i="321"/>
  <c r="X676" i="321" s="1"/>
  <c r="T31" i="282"/>
  <c r="T357" i="321"/>
  <c r="U66" i="315"/>
  <c r="U19" i="265"/>
  <c r="U69" i="265"/>
  <c r="U18" i="315"/>
  <c r="U283" i="321"/>
  <c r="U355" i="321"/>
  <c r="V346" i="321"/>
  <c r="V349" i="321" s="1"/>
  <c r="V302" i="321"/>
  <c r="V254" i="288"/>
  <c r="V120" i="321"/>
  <c r="V104" i="288"/>
  <c r="V113" i="321"/>
  <c r="N27" i="314"/>
  <c r="M29" i="314" s="1"/>
  <c r="N171" i="314"/>
  <c r="N173" i="314" s="1"/>
  <c r="N36" i="314"/>
  <c r="N88" i="314"/>
  <c r="Q366" i="321"/>
  <c r="Q403" i="321"/>
  <c r="Q404" i="321" s="1"/>
  <c r="Q382" i="321"/>
  <c r="Q365" i="321"/>
  <c r="Q100" i="282"/>
  <c r="Q32" i="282"/>
  <c r="Q398" i="321"/>
  <c r="Q255" i="288"/>
  <c r="Q105" i="288"/>
  <c r="M28" i="265"/>
  <c r="M81" i="265"/>
  <c r="M26" i="315"/>
  <c r="M77" i="315"/>
  <c r="Q368" i="321"/>
  <c r="Q435" i="321"/>
  <c r="Q436" i="321" s="1"/>
  <c r="Q414" i="321"/>
  <c r="Q367" i="321"/>
  <c r="Q101" i="282"/>
  <c r="Q257" i="288"/>
  <c r="Q107" i="288"/>
  <c r="Q33" i="282"/>
  <c r="Q430" i="321"/>
  <c r="S40" i="311"/>
  <c r="S41" i="311"/>
  <c r="S82" i="311" s="1"/>
  <c r="T170" i="321"/>
  <c r="T172" i="321" s="1"/>
  <c r="T282" i="321"/>
  <c r="T284" i="321" s="1"/>
  <c r="T68" i="265"/>
  <c r="O68" i="277" s="1"/>
  <c r="T18" i="265"/>
  <c r="U52" i="321"/>
  <c r="U171" i="321"/>
  <c r="U67" i="265"/>
  <c r="U17" i="315"/>
  <c r="U65" i="315"/>
  <c r="U17" i="265"/>
  <c r="U244" i="321"/>
  <c r="V234" i="321"/>
  <c r="V237" i="321" s="1"/>
  <c r="V190" i="321"/>
  <c r="V102" i="288"/>
  <c r="V112" i="321"/>
  <c r="V114" i="321" s="1"/>
  <c r="V116" i="321"/>
  <c r="V252" i="288"/>
  <c r="X30" i="315"/>
  <c r="X32" i="265"/>
  <c r="Q32" i="277" s="1"/>
  <c r="Y152" i="282"/>
  <c r="Y155" i="282" s="1"/>
  <c r="Y115" i="282"/>
  <c r="Y47" i="282"/>
  <c r="Y84" i="282"/>
  <c r="Y87" i="282" s="1"/>
  <c r="Y23" i="282"/>
  <c r="Y24" i="282" s="1"/>
  <c r="Z21" i="282" s="1"/>
  <c r="X94" i="282"/>
  <c r="X162" i="282"/>
  <c r="AB104" i="265"/>
  <c r="S103" i="277"/>
  <c r="S104" i="277" s="1"/>
  <c r="AC99" i="315"/>
  <c r="AC100" i="315" s="1"/>
  <c r="AC103" i="265"/>
  <c r="AC104" i="265" s="1"/>
  <c r="AD40" i="285"/>
  <c r="AD43" i="285" s="1"/>
  <c r="AD99" i="315" l="1"/>
  <c r="AD100" i="315" s="1"/>
  <c r="AE40" i="285"/>
  <c r="AE43" i="285" s="1"/>
  <c r="AD103" i="265"/>
  <c r="X121" i="315"/>
  <c r="Y160" i="282"/>
  <c r="Y92" i="282"/>
  <c r="X125" i="265"/>
  <c r="Q125" i="277" s="1"/>
  <c r="Z10" i="282"/>
  <c r="Z12" i="282" s="1"/>
  <c r="Y93" i="282"/>
  <c r="Y88" i="282"/>
  <c r="Y156" i="282"/>
  <c r="Y161" i="282"/>
  <c r="V121" i="321"/>
  <c r="V122" i="321" s="1"/>
  <c r="V128" i="321" s="1"/>
  <c r="V117" i="321"/>
  <c r="V118" i="321" s="1"/>
  <c r="V127" i="321" s="1"/>
  <c r="W187" i="321"/>
  <c r="V119" i="265"/>
  <c r="V115" i="315"/>
  <c r="V268" i="288"/>
  <c r="V118" i="288"/>
  <c r="V242" i="321"/>
  <c r="V243" i="321" s="1"/>
  <c r="V361" i="321"/>
  <c r="V98" i="282"/>
  <c r="V49" i="321"/>
  <c r="V251" i="288"/>
  <c r="V238" i="321"/>
  <c r="V101" i="288"/>
  <c r="V28" i="282"/>
  <c r="V164" i="321"/>
  <c r="V166" i="321" s="1"/>
  <c r="U29" i="282"/>
  <c r="U245" i="321"/>
  <c r="U257" i="321"/>
  <c r="U260" i="321" s="1"/>
  <c r="U78" i="321"/>
  <c r="U145" i="321"/>
  <c r="U148" i="321" s="1"/>
  <c r="O18" i="277"/>
  <c r="T287" i="321"/>
  <c r="T288" i="321" s="1"/>
  <c r="T175" i="321"/>
  <c r="T176" i="321" s="1"/>
  <c r="S81" i="311"/>
  <c r="Q22" i="265"/>
  <c r="Q72" i="265"/>
  <c r="Q20" i="315"/>
  <c r="Q68" i="315"/>
  <c r="Q76" i="265"/>
  <c r="Q72" i="315"/>
  <c r="R433" i="321"/>
  <c r="Q121" i="288"/>
  <c r="Q122" i="265"/>
  <c r="Q118" i="315"/>
  <c r="Q271" i="288"/>
  <c r="Q110" i="288"/>
  <c r="Q112" i="288" s="1"/>
  <c r="Q260" i="288"/>
  <c r="Q262" i="288" s="1"/>
  <c r="Q67" i="315"/>
  <c r="Q71" i="265"/>
  <c r="Q21" i="265"/>
  <c r="Q19" i="315"/>
  <c r="Q369" i="321"/>
  <c r="Q71" i="315"/>
  <c r="Q75" i="265"/>
  <c r="R401" i="321"/>
  <c r="Q121" i="265"/>
  <c r="Q120" i="288"/>
  <c r="Q270" i="288"/>
  <c r="Q117" i="315"/>
  <c r="N174" i="314"/>
  <c r="N39" i="282"/>
  <c r="N107" i="282"/>
  <c r="M32" i="314"/>
  <c r="W299" i="321"/>
  <c r="V116" i="315"/>
  <c r="V269" i="288"/>
  <c r="V120" i="265"/>
  <c r="V119" i="288"/>
  <c r="V354" i="321"/>
  <c r="V363" i="321"/>
  <c r="V99" i="282"/>
  <c r="V253" i="288"/>
  <c r="V276" i="321"/>
  <c r="V278" i="321" s="1"/>
  <c r="V30" i="282"/>
  <c r="V103" i="288"/>
  <c r="V350" i="321"/>
  <c r="V50" i="321"/>
  <c r="U356" i="321"/>
  <c r="T70" i="265"/>
  <c r="O70" i="277" s="1"/>
  <c r="T20" i="265"/>
  <c r="X442" i="321"/>
  <c r="X443" i="321" s="1"/>
  <c r="X679" i="321"/>
  <c r="X680" i="321" s="1"/>
  <c r="X714" i="321"/>
  <c r="X102" i="282" l="1"/>
  <c r="X34" i="282"/>
  <c r="X715" i="321"/>
  <c r="X687" i="321"/>
  <c r="X688" i="321" s="1"/>
  <c r="X681" i="321"/>
  <c r="X46" i="288"/>
  <c r="X529" i="321"/>
  <c r="X446" i="321"/>
  <c r="X447" i="321" s="1"/>
  <c r="X485" i="321"/>
  <c r="X196" i="288"/>
  <c r="O20" i="277"/>
  <c r="U31" i="282"/>
  <c r="U357" i="321"/>
  <c r="V19" i="265"/>
  <c r="P19" i="277" s="1"/>
  <c r="V18" i="315"/>
  <c r="V69" i="265"/>
  <c r="P69" i="277" s="1"/>
  <c r="V66" i="315"/>
  <c r="V283" i="321"/>
  <c r="V355" i="321"/>
  <c r="V63" i="328"/>
  <c r="P74" i="328" s="1"/>
  <c r="P120" i="277"/>
  <c r="W346" i="321"/>
  <c r="W349" i="321" s="1"/>
  <c r="W302" i="321"/>
  <c r="W104" i="288"/>
  <c r="W120" i="321"/>
  <c r="W113" i="321"/>
  <c r="W254" i="288"/>
  <c r="N28" i="265"/>
  <c r="L28" i="277" s="1"/>
  <c r="N81" i="265"/>
  <c r="L81" i="277" s="1"/>
  <c r="N77" i="315"/>
  <c r="N26" i="315"/>
  <c r="R395" i="321"/>
  <c r="R397" i="321" s="1"/>
  <c r="R379" i="321"/>
  <c r="R381" i="321" s="1"/>
  <c r="R256" i="288"/>
  <c r="R106" i="288"/>
  <c r="Q16" i="314"/>
  <c r="Q216" i="288"/>
  <c r="Q142" i="288"/>
  <c r="Q143" i="288" s="1"/>
  <c r="Q21" i="328"/>
  <c r="Q79" i="288"/>
  <c r="Q66" i="288"/>
  <c r="Q229" i="288"/>
  <c r="Q110" i="314"/>
  <c r="Q103" i="314"/>
  <c r="Q23" i="314"/>
  <c r="R427" i="321"/>
  <c r="R429" i="321" s="1"/>
  <c r="R411" i="321"/>
  <c r="R413" i="321" s="1"/>
  <c r="R108" i="288"/>
  <c r="R258" i="288"/>
  <c r="T40" i="311"/>
  <c r="T41" i="311"/>
  <c r="T82" i="311" s="1"/>
  <c r="U170" i="321"/>
  <c r="U172" i="321" s="1"/>
  <c r="U282" i="321"/>
  <c r="U284" i="321" s="1"/>
  <c r="U68" i="265"/>
  <c r="U18" i="265"/>
  <c r="V171" i="321"/>
  <c r="V65" i="315"/>
  <c r="V17" i="265"/>
  <c r="V67" i="265"/>
  <c r="P67" i="277" s="1"/>
  <c r="V17" i="315"/>
  <c r="V52" i="321"/>
  <c r="V244" i="321"/>
  <c r="P119" i="277"/>
  <c r="V62" i="328"/>
  <c r="P73" i="328" s="1"/>
  <c r="W234" i="321"/>
  <c r="W237" i="321" s="1"/>
  <c r="W190" i="321"/>
  <c r="W252" i="288"/>
  <c r="W102" i="288"/>
  <c r="W112" i="321"/>
  <c r="W114" i="321" s="1"/>
  <c r="W116" i="321"/>
  <c r="Y30" i="315"/>
  <c r="Y32" i="265"/>
  <c r="Z152" i="282"/>
  <c r="Z155" i="282" s="1"/>
  <c r="Z115" i="282"/>
  <c r="Z47" i="282"/>
  <c r="Z84" i="282"/>
  <c r="Z87" i="282" s="1"/>
  <c r="Z23" i="282"/>
  <c r="Z24" i="282" s="1"/>
  <c r="AA21" i="282" s="1"/>
  <c r="Y94" i="282"/>
  <c r="Y162" i="282"/>
  <c r="AD104" i="265"/>
  <c r="T103" i="277"/>
  <c r="T104" i="277" s="1"/>
  <c r="AE103" i="265"/>
  <c r="AE104" i="265" s="1"/>
  <c r="AF40" i="285"/>
  <c r="AF43" i="285" s="1"/>
  <c r="AE99" i="315"/>
  <c r="AE100" i="315" s="1"/>
  <c r="AG40" i="285" l="1"/>
  <c r="AG43" i="285" s="1"/>
  <c r="AF103" i="265"/>
  <c r="AF99" i="315"/>
  <c r="AF100" i="315" s="1"/>
  <c r="Y121" i="315"/>
  <c r="Z160" i="282"/>
  <c r="Z92" i="282"/>
  <c r="Y125" i="265"/>
  <c r="AA10" i="282"/>
  <c r="AA12" i="282" s="1"/>
  <c r="Z93" i="282"/>
  <c r="Z88" i="282"/>
  <c r="Z156" i="282"/>
  <c r="Z161" i="282"/>
  <c r="W117" i="321"/>
  <c r="W118" i="321" s="1"/>
  <c r="W127" i="321" s="1"/>
  <c r="W121" i="321"/>
  <c r="W122" i="321" s="1"/>
  <c r="W128" i="321" s="1"/>
  <c r="X187" i="321"/>
  <c r="W119" i="265"/>
  <c r="W62" i="328" s="1"/>
  <c r="W115" i="315"/>
  <c r="W118" i="288"/>
  <c r="W268" i="288"/>
  <c r="W242" i="321"/>
  <c r="W243" i="321" s="1"/>
  <c r="W361" i="321"/>
  <c r="W98" i="282"/>
  <c r="W49" i="321"/>
  <c r="W28" i="282"/>
  <c r="W251" i="288"/>
  <c r="W238" i="321"/>
  <c r="W164" i="321"/>
  <c r="W166" i="321" s="1"/>
  <c r="W101" i="288"/>
  <c r="V29" i="282"/>
  <c r="V245" i="321"/>
  <c r="V145" i="321"/>
  <c r="V148" i="321" s="1"/>
  <c r="V257" i="321"/>
  <c r="V260" i="321" s="1"/>
  <c r="V78" i="321"/>
  <c r="P17" i="277"/>
  <c r="U287" i="321"/>
  <c r="U288" i="321" s="1"/>
  <c r="U175" i="321"/>
  <c r="U176" i="321" s="1"/>
  <c r="T81" i="311"/>
  <c r="R368" i="321"/>
  <c r="R435" i="321"/>
  <c r="R436" i="321" s="1"/>
  <c r="R414" i="321"/>
  <c r="R367" i="321"/>
  <c r="R101" i="282"/>
  <c r="R430" i="321"/>
  <c r="R107" i="288"/>
  <c r="R33" i="282"/>
  <c r="R257" i="288"/>
  <c r="O105" i="314"/>
  <c r="O109" i="314" s="1"/>
  <c r="O112" i="314" s="1"/>
  <c r="O115" i="314" s="1"/>
  <c r="Q231" i="288"/>
  <c r="Q240" i="288" s="1"/>
  <c r="Q81" i="288"/>
  <c r="Q90" i="288" s="1"/>
  <c r="Q146" i="288"/>
  <c r="O18" i="314"/>
  <c r="O22" i="314" s="1"/>
  <c r="O25" i="314" s="1"/>
  <c r="R366" i="321"/>
  <c r="R403" i="321"/>
  <c r="R404" i="321" s="1"/>
  <c r="R382" i="321"/>
  <c r="R365" i="321"/>
  <c r="R369" i="321" s="1"/>
  <c r="R100" i="282"/>
  <c r="R398" i="321"/>
  <c r="R255" i="288"/>
  <c r="R260" i="288" s="1"/>
  <c r="R262" i="288" s="1"/>
  <c r="R105" i="288"/>
  <c r="R110" i="288" s="1"/>
  <c r="R112" i="288" s="1"/>
  <c r="R32" i="282"/>
  <c r="X299" i="321"/>
  <c r="W119" i="288"/>
  <c r="W116" i="315"/>
  <c r="W120" i="265"/>
  <c r="W63" i="328" s="1"/>
  <c r="W269" i="288"/>
  <c r="W354" i="321"/>
  <c r="W363" i="321"/>
  <c r="W99" i="282"/>
  <c r="W30" i="282"/>
  <c r="W103" i="288"/>
  <c r="W276" i="321"/>
  <c r="W278" i="321" s="1"/>
  <c r="W50" i="321"/>
  <c r="W350" i="321"/>
  <c r="W253" i="288"/>
  <c r="V356" i="321"/>
  <c r="U70" i="265"/>
  <c r="U20" i="265"/>
  <c r="X54" i="315"/>
  <c r="X56" i="265"/>
  <c r="Q56" i="277" s="1"/>
  <c r="X53" i="265"/>
  <c r="Q53" i="277" s="1"/>
  <c r="X51" i="315"/>
  <c r="Y684" i="321"/>
  <c r="X119" i="315"/>
  <c r="X123" i="265"/>
  <c r="Q123" i="277" s="1"/>
  <c r="X26" i="265"/>
  <c r="Q26" i="277" s="1"/>
  <c r="X24" i="315"/>
  <c r="X84" i="265"/>
  <c r="Q84" i="277" s="1"/>
  <c r="X80" i="315"/>
  <c r="Y693" i="321" l="1"/>
  <c r="Y695" i="321" s="1"/>
  <c r="Y699" i="321" s="1"/>
  <c r="Y702" i="321" s="1"/>
  <c r="Y706" i="321" s="1"/>
  <c r="Y709" i="321" s="1"/>
  <c r="Y711" i="321" s="1"/>
  <c r="Y712" i="321"/>
  <c r="Y673" i="321"/>
  <c r="Y676" i="321" s="1"/>
  <c r="V31" i="282"/>
  <c r="V357" i="321"/>
  <c r="W69" i="265"/>
  <c r="W18" i="315"/>
  <c r="W66" i="315"/>
  <c r="W19" i="265"/>
  <c r="W283" i="321"/>
  <c r="W355" i="321"/>
  <c r="X346" i="321"/>
  <c r="X349" i="321" s="1"/>
  <c r="X302" i="321"/>
  <c r="X113" i="321"/>
  <c r="X120" i="321"/>
  <c r="X104" i="288"/>
  <c r="X254" i="288"/>
  <c r="R21" i="265"/>
  <c r="R19" i="315"/>
  <c r="R71" i="265"/>
  <c r="N71" i="277" s="1"/>
  <c r="R67" i="315"/>
  <c r="R16" i="314"/>
  <c r="R79" i="288"/>
  <c r="R142" i="288"/>
  <c r="R143" i="288" s="1"/>
  <c r="R110" i="314"/>
  <c r="R103" i="314"/>
  <c r="R21" i="328"/>
  <c r="N41" i="328" s="1"/>
  <c r="R216" i="288"/>
  <c r="R229" i="288"/>
  <c r="R66" i="288"/>
  <c r="R23" i="314"/>
  <c r="R75" i="265"/>
  <c r="N75" i="277" s="1"/>
  <c r="R71" i="315"/>
  <c r="S401" i="321"/>
  <c r="R117" i="315"/>
  <c r="R120" i="288"/>
  <c r="R121" i="265"/>
  <c r="R270" i="288"/>
  <c r="O27" i="314"/>
  <c r="N29" i="314" s="1"/>
  <c r="O171" i="314"/>
  <c r="O173" i="314" s="1"/>
  <c r="O36" i="314"/>
  <c r="O88" i="314"/>
  <c r="R20" i="315"/>
  <c r="R22" i="265"/>
  <c r="N22" i="277" s="1"/>
  <c r="R68" i="315"/>
  <c r="R72" i="265"/>
  <c r="N72" i="277" s="1"/>
  <c r="R72" i="315"/>
  <c r="R76" i="265"/>
  <c r="N76" i="277" s="1"/>
  <c r="S433" i="321"/>
  <c r="R121" i="288"/>
  <c r="R122" i="265"/>
  <c r="N122" i="277" s="1"/>
  <c r="R118" i="315"/>
  <c r="R271" i="288"/>
  <c r="U40" i="311"/>
  <c r="U41" i="311"/>
  <c r="U82" i="311" s="1"/>
  <c r="V282" i="321"/>
  <c r="V284" i="321" s="1"/>
  <c r="V170" i="321"/>
  <c r="V172" i="321" s="1"/>
  <c r="V68" i="265"/>
  <c r="P68" i="277" s="1"/>
  <c r="V18" i="265"/>
  <c r="W171" i="321"/>
  <c r="W17" i="315"/>
  <c r="W65" i="315"/>
  <c r="W67" i="265"/>
  <c r="W17" i="265"/>
  <c r="W52" i="321"/>
  <c r="W244" i="321"/>
  <c r="X234" i="321"/>
  <c r="X237" i="321" s="1"/>
  <c r="X190" i="321"/>
  <c r="X102" i="288"/>
  <c r="X116" i="321"/>
  <c r="X252" i="288"/>
  <c r="X112" i="321"/>
  <c r="X114" i="321" s="1"/>
  <c r="Z30" i="315"/>
  <c r="Z32" i="265"/>
  <c r="R32" i="277" s="1"/>
  <c r="AA152" i="282"/>
  <c r="AA155" i="282" s="1"/>
  <c r="AA115" i="282"/>
  <c r="AA47" i="282"/>
  <c r="AA84" i="282"/>
  <c r="AA87" i="282" s="1"/>
  <c r="AA23" i="282"/>
  <c r="AA24" i="282" s="1"/>
  <c r="AB21" i="282" s="1"/>
  <c r="Z94" i="282"/>
  <c r="Z162" i="282"/>
  <c r="U103" i="277"/>
  <c r="U104" i="277" s="1"/>
  <c r="AF104" i="265"/>
  <c r="AG103" i="265"/>
  <c r="AG104" i="265" s="1"/>
  <c r="AH40" i="285"/>
  <c r="AH43" i="285" s="1"/>
  <c r="AG99" i="315"/>
  <c r="AG100" i="315" s="1"/>
  <c r="AI40" i="285" l="1"/>
  <c r="AI43" i="285" s="1"/>
  <c r="AH103" i="265"/>
  <c r="AH99" i="315"/>
  <c r="AH100" i="315" s="1"/>
  <c r="AA160" i="282"/>
  <c r="Z121" i="315"/>
  <c r="AA92" i="282"/>
  <c r="Z125" i="265"/>
  <c r="R125" i="277" s="1"/>
  <c r="AB10" i="282"/>
  <c r="AB12" i="282" s="1"/>
  <c r="AA93" i="282"/>
  <c r="AA88" i="282"/>
  <c r="AA156" i="282"/>
  <c r="AA161" i="282"/>
  <c r="X121" i="321"/>
  <c r="X122" i="321" s="1"/>
  <c r="X128" i="321" s="1"/>
  <c r="X117" i="321"/>
  <c r="X118" i="321" s="1"/>
  <c r="X127" i="321" s="1"/>
  <c r="Y187" i="321"/>
  <c r="X268" i="288"/>
  <c r="X118" i="288"/>
  <c r="X119" i="265"/>
  <c r="X115" i="315"/>
  <c r="X242" i="321"/>
  <c r="X243" i="321" s="1"/>
  <c r="X361" i="321"/>
  <c r="X98" i="282"/>
  <c r="X251" i="288"/>
  <c r="X164" i="321"/>
  <c r="X166" i="321" s="1"/>
  <c r="X28" i="282"/>
  <c r="X101" i="288"/>
  <c r="X49" i="321"/>
  <c r="X238" i="321"/>
  <c r="W29" i="282"/>
  <c r="W245" i="321"/>
  <c r="W145" i="321"/>
  <c r="W148" i="321" s="1"/>
  <c r="W78" i="321"/>
  <c r="W257" i="321"/>
  <c r="W260" i="321" s="1"/>
  <c r="P18" i="277"/>
  <c r="V175" i="321"/>
  <c r="V176" i="321" s="1"/>
  <c r="V287" i="321"/>
  <c r="V288" i="321" s="1"/>
  <c r="U81" i="311"/>
  <c r="S427" i="321"/>
  <c r="S429" i="321" s="1"/>
  <c r="S411" i="321"/>
  <c r="S413" i="321" s="1"/>
  <c r="S258" i="288"/>
  <c r="S108" i="288"/>
  <c r="O174" i="314"/>
  <c r="O39" i="282"/>
  <c r="O107" i="282"/>
  <c r="N32" i="314"/>
  <c r="N121" i="277"/>
  <c r="S395" i="321"/>
  <c r="S397" i="321" s="1"/>
  <c r="S379" i="321"/>
  <c r="S381" i="321" s="1"/>
  <c r="S106" i="288"/>
  <c r="S256" i="288"/>
  <c r="R231" i="288"/>
  <c r="R240" i="288" s="1"/>
  <c r="P105" i="314"/>
  <c r="P109" i="314" s="1"/>
  <c r="P112" i="314" s="1"/>
  <c r="P115" i="314" s="1"/>
  <c r="R146" i="288"/>
  <c r="R81" i="288"/>
  <c r="R90" i="288" s="1"/>
  <c r="P18" i="314"/>
  <c r="P22" i="314" s="1"/>
  <c r="P25" i="314" s="1"/>
  <c r="N21" i="277"/>
  <c r="Y299" i="321"/>
  <c r="X269" i="288"/>
  <c r="X119" i="288"/>
  <c r="X120" i="265"/>
  <c r="X116" i="315"/>
  <c r="X354" i="321"/>
  <c r="X363" i="321"/>
  <c r="X99" i="282"/>
  <c r="X30" i="282"/>
  <c r="X276" i="321"/>
  <c r="X278" i="321" s="1"/>
  <c r="X350" i="321"/>
  <c r="X103" i="288"/>
  <c r="X253" i="288"/>
  <c r="X50" i="321"/>
  <c r="W356" i="321"/>
  <c r="V70" i="265"/>
  <c r="P70" i="277" s="1"/>
  <c r="V20" i="265"/>
  <c r="Y679" i="321"/>
  <c r="Y680" i="321" s="1"/>
  <c r="Y442" i="321"/>
  <c r="Y443" i="321" s="1"/>
  <c r="Y714" i="321"/>
  <c r="Y715" i="321" l="1"/>
  <c r="Y102" i="282"/>
  <c r="Y34" i="282"/>
  <c r="Y46" i="288"/>
  <c r="Y446" i="321"/>
  <c r="Y447" i="321" s="1"/>
  <c r="Y529" i="321"/>
  <c r="Y485" i="321"/>
  <c r="Y196" i="288"/>
  <c r="Y687" i="321"/>
  <c r="Y688" i="321" s="1"/>
  <c r="Y681" i="321"/>
  <c r="P20" i="277"/>
  <c r="W31" i="282"/>
  <c r="W357" i="321"/>
  <c r="X69" i="265"/>
  <c r="Q69" i="277" s="1"/>
  <c r="X18" i="315"/>
  <c r="X66" i="315"/>
  <c r="X19" i="265"/>
  <c r="Q19" i="277" s="1"/>
  <c r="X283" i="321"/>
  <c r="X355" i="321"/>
  <c r="X63" i="328"/>
  <c r="Q74" i="328" s="1"/>
  <c r="Q120" i="277"/>
  <c r="Y346" i="321"/>
  <c r="Y349" i="321" s="1"/>
  <c r="Y302" i="321"/>
  <c r="Y113" i="321"/>
  <c r="Y254" i="288"/>
  <c r="Y104" i="288"/>
  <c r="Y120" i="321"/>
  <c r="P27" i="314"/>
  <c r="O29" i="314" s="1"/>
  <c r="P171" i="314"/>
  <c r="P173" i="314" s="1"/>
  <c r="P36" i="314"/>
  <c r="P88" i="314"/>
  <c r="S366" i="321"/>
  <c r="S403" i="321"/>
  <c r="S404" i="321" s="1"/>
  <c r="S382" i="321"/>
  <c r="S365" i="321"/>
  <c r="S100" i="282"/>
  <c r="S32" i="282"/>
  <c r="S105" i="288"/>
  <c r="S255" i="288"/>
  <c r="S398" i="321"/>
  <c r="O28" i="265"/>
  <c r="O81" i="265"/>
  <c r="O77" i="315"/>
  <c r="O26" i="315"/>
  <c r="S368" i="321"/>
  <c r="S435" i="321"/>
  <c r="S436" i="321" s="1"/>
  <c r="S414" i="321"/>
  <c r="S367" i="321"/>
  <c r="S101" i="282"/>
  <c r="S107" i="288"/>
  <c r="S33" i="282"/>
  <c r="S257" i="288"/>
  <c r="S430" i="321"/>
  <c r="V41" i="311"/>
  <c r="V82" i="311" s="1"/>
  <c r="V40" i="311"/>
  <c r="W282" i="321"/>
  <c r="W284" i="321" s="1"/>
  <c r="W170" i="321"/>
  <c r="W172" i="321" s="1"/>
  <c r="W68" i="265"/>
  <c r="W18" i="265"/>
  <c r="X65" i="315"/>
  <c r="X17" i="265"/>
  <c r="Q17" i="277" s="1"/>
  <c r="X17" i="315"/>
  <c r="X67" i="265"/>
  <c r="Q67" i="277" s="1"/>
  <c r="X52" i="321"/>
  <c r="X171" i="321"/>
  <c r="X244" i="321"/>
  <c r="Q119" i="277"/>
  <c r="X62" i="328"/>
  <c r="Q73" i="328" s="1"/>
  <c r="Y234" i="321"/>
  <c r="Y237" i="321" s="1"/>
  <c r="Y190" i="321"/>
  <c r="Y102" i="288"/>
  <c r="Y116" i="321"/>
  <c r="Y252" i="288"/>
  <c r="Y112" i="321"/>
  <c r="Y114" i="321" s="1"/>
  <c r="AA30" i="315"/>
  <c r="AA32" i="265"/>
  <c r="AB152" i="282"/>
  <c r="AB155" i="282" s="1"/>
  <c r="AB115" i="282"/>
  <c r="AB47" i="282"/>
  <c r="AB84" i="282"/>
  <c r="AB87" i="282" s="1"/>
  <c r="AB23" i="282"/>
  <c r="AB24" i="282" s="1"/>
  <c r="AC21" i="282" s="1"/>
  <c r="AA94" i="282"/>
  <c r="AA162" i="282"/>
  <c r="AH104" i="265"/>
  <c r="V103" i="277"/>
  <c r="V104" i="277" s="1"/>
  <c r="AJ40" i="285"/>
  <c r="AJ43" i="285" s="1"/>
  <c r="AI103" i="265"/>
  <c r="AI104" i="265" s="1"/>
  <c r="AI99" i="315"/>
  <c r="AI100" i="315" s="1"/>
  <c r="AJ99" i="315" l="1"/>
  <c r="AJ100" i="315" s="1"/>
  <c r="AK40" i="285"/>
  <c r="AK43" i="285" s="1"/>
  <c r="AJ103" i="265"/>
  <c r="AB160" i="282"/>
  <c r="AA121" i="315"/>
  <c r="AB92" i="282"/>
  <c r="AA125" i="265"/>
  <c r="AC10" i="282"/>
  <c r="AC12" i="282" s="1"/>
  <c r="AB93" i="282"/>
  <c r="AB88" i="282"/>
  <c r="AB156" i="282"/>
  <c r="AB161" i="282"/>
  <c r="Y117" i="321"/>
  <c r="Y118" i="321" s="1"/>
  <c r="Y127" i="321" s="1"/>
  <c r="Y121" i="321"/>
  <c r="Y122" i="321" s="1"/>
  <c r="Y128" i="321" s="1"/>
  <c r="Z187" i="321"/>
  <c r="Y115" i="315"/>
  <c r="Y268" i="288"/>
  <c r="Y119" i="265"/>
  <c r="Y62" i="328" s="1"/>
  <c r="Y118" i="288"/>
  <c r="Y242" i="321"/>
  <c r="Y243" i="321" s="1"/>
  <c r="Y361" i="321"/>
  <c r="Y98" i="282"/>
  <c r="Y28" i="282"/>
  <c r="Y101" i="288"/>
  <c r="Y238" i="321"/>
  <c r="Y164" i="321"/>
  <c r="Y166" i="321" s="1"/>
  <c r="Y49" i="321"/>
  <c r="Y251" i="288"/>
  <c r="X29" i="282"/>
  <c r="X245" i="321"/>
  <c r="X257" i="321"/>
  <c r="X260" i="321" s="1"/>
  <c r="X145" i="321"/>
  <c r="X148" i="321" s="1"/>
  <c r="X78" i="321"/>
  <c r="W175" i="321"/>
  <c r="W176" i="321" s="1"/>
  <c r="W287" i="321"/>
  <c r="W288" i="321" s="1"/>
  <c r="V81" i="311"/>
  <c r="S72" i="265"/>
  <c r="S20" i="315"/>
  <c r="S68" i="315"/>
  <c r="S22" i="265"/>
  <c r="S76" i="265"/>
  <c r="S72" i="315"/>
  <c r="T433" i="321"/>
  <c r="S118" i="315"/>
  <c r="S122" i="265"/>
  <c r="S271" i="288"/>
  <c r="S121" i="288"/>
  <c r="S19" i="315"/>
  <c r="S21" i="265"/>
  <c r="S67" i="315"/>
  <c r="S71" i="265"/>
  <c r="S260" i="288"/>
  <c r="S262" i="288" s="1"/>
  <c r="S110" i="288"/>
  <c r="S112" i="288" s="1"/>
  <c r="S369" i="321"/>
  <c r="S71" i="315"/>
  <c r="S75" i="265"/>
  <c r="T401" i="321"/>
  <c r="S121" i="265"/>
  <c r="S270" i="288"/>
  <c r="S120" i="288"/>
  <c r="S117" i="315"/>
  <c r="P174" i="314"/>
  <c r="P39" i="282"/>
  <c r="P107" i="282"/>
  <c r="O32" i="314"/>
  <c r="Z299" i="321"/>
  <c r="Y120" i="265"/>
  <c r="Y63" i="328" s="1"/>
  <c r="Y116" i="315"/>
  <c r="Y269" i="288"/>
  <c r="Y119" i="288"/>
  <c r="Y354" i="321"/>
  <c r="Y363" i="321"/>
  <c r="Y99" i="282"/>
  <c r="Y50" i="321"/>
  <c r="Y276" i="321"/>
  <c r="Y278" i="321" s="1"/>
  <c r="Y350" i="321"/>
  <c r="Y253" i="288"/>
  <c r="Y30" i="282"/>
  <c r="Y103" i="288"/>
  <c r="X356" i="321"/>
  <c r="W70" i="265"/>
  <c r="W20" i="265"/>
  <c r="Y53" i="265"/>
  <c r="Y51" i="315"/>
  <c r="Z684" i="321"/>
  <c r="Y123" i="265"/>
  <c r="Y119" i="315"/>
  <c r="Y56" i="265"/>
  <c r="Y54" i="315"/>
  <c r="Y26" i="265"/>
  <c r="Y84" i="265"/>
  <c r="Y80" i="315"/>
  <c r="Y24" i="315"/>
  <c r="Z673" i="321" l="1"/>
  <c r="Z676" i="321" s="1"/>
  <c r="Z693" i="321"/>
  <c r="Z695" i="321" s="1"/>
  <c r="Z699" i="321" s="1"/>
  <c r="Z702" i="321" s="1"/>
  <c r="Z706" i="321" s="1"/>
  <c r="Z709" i="321" s="1"/>
  <c r="Z711" i="321" s="1"/>
  <c r="Z712" i="321"/>
  <c r="X31" i="282"/>
  <c r="X357" i="321"/>
  <c r="Y18" i="315"/>
  <c r="Y19" i="265"/>
  <c r="Y66" i="315"/>
  <c r="Y69" i="265"/>
  <c r="Y283" i="321"/>
  <c r="Y355" i="321"/>
  <c r="Z346" i="321"/>
  <c r="Z349" i="321" s="1"/>
  <c r="Z302" i="321"/>
  <c r="Z113" i="321"/>
  <c r="Z254" i="288"/>
  <c r="Z104" i="288"/>
  <c r="Z120" i="321"/>
  <c r="P28" i="265"/>
  <c r="M28" i="277" s="1"/>
  <c r="P81" i="265"/>
  <c r="M81" i="277" s="1"/>
  <c r="P26" i="315"/>
  <c r="P77" i="315"/>
  <c r="T395" i="321"/>
  <c r="T397" i="321" s="1"/>
  <c r="T379" i="321"/>
  <c r="T381" i="321" s="1"/>
  <c r="T256" i="288"/>
  <c r="T106" i="288"/>
  <c r="S16" i="314"/>
  <c r="S216" i="288"/>
  <c r="S103" i="314"/>
  <c r="S110" i="314"/>
  <c r="S79" i="288"/>
  <c r="S66" i="288"/>
  <c r="S142" i="288"/>
  <c r="S143" i="288" s="1"/>
  <c r="S23" i="314"/>
  <c r="S229" i="288"/>
  <c r="S21" i="328"/>
  <c r="T427" i="321"/>
  <c r="T429" i="321" s="1"/>
  <c r="T411" i="321"/>
  <c r="T413" i="321" s="1"/>
  <c r="T108" i="288"/>
  <c r="T258" i="288"/>
  <c r="W41" i="311"/>
  <c r="W82" i="311" s="1"/>
  <c r="W40" i="311"/>
  <c r="X170" i="321"/>
  <c r="X172" i="321" s="1"/>
  <c r="X282" i="321"/>
  <c r="X284" i="321" s="1"/>
  <c r="X68" i="265"/>
  <c r="Q68" i="277" s="1"/>
  <c r="X18" i="265"/>
  <c r="Q18" i="277" s="1"/>
  <c r="Y52" i="321"/>
  <c r="Y171" i="321"/>
  <c r="Y17" i="315"/>
  <c r="Y65" i="315"/>
  <c r="Y67" i="265"/>
  <c r="Y17" i="265"/>
  <c r="Y244" i="321"/>
  <c r="Z234" i="321"/>
  <c r="Z237" i="321" s="1"/>
  <c r="Z190" i="321"/>
  <c r="Z112" i="321"/>
  <c r="Z114" i="321" s="1"/>
  <c r="Z116" i="321"/>
  <c r="Z252" i="288"/>
  <c r="Z102" i="288"/>
  <c r="AB30" i="315"/>
  <c r="AB32" i="265"/>
  <c r="S32" i="277" s="1"/>
  <c r="AC152" i="282"/>
  <c r="AC155" i="282" s="1"/>
  <c r="AC115" i="282"/>
  <c r="AC47" i="282"/>
  <c r="AC84" i="282"/>
  <c r="AC87" i="282" s="1"/>
  <c r="AC23" i="282"/>
  <c r="AC24" i="282" s="1"/>
  <c r="AD21" i="282" s="1"/>
  <c r="AB94" i="282"/>
  <c r="AB162" i="282"/>
  <c r="AJ104" i="265"/>
  <c r="W103" i="277"/>
  <c r="W104" i="277" s="1"/>
  <c r="AL40" i="285"/>
  <c r="AL43" i="285" s="1"/>
  <c r="AK99" i="315"/>
  <c r="AK100" i="315" s="1"/>
  <c r="AK103" i="265"/>
  <c r="AK104" i="265" s="1"/>
  <c r="AM40" i="285" l="1"/>
  <c r="AM43" i="285" s="1"/>
  <c r="AL103" i="265"/>
  <c r="AL99" i="315"/>
  <c r="AL100" i="315" s="1"/>
  <c r="AC160" i="282"/>
  <c r="AB121" i="315"/>
  <c r="AC92" i="282"/>
  <c r="AB125" i="265"/>
  <c r="S125" i="277" s="1"/>
  <c r="AD10" i="282"/>
  <c r="AD12" i="282" s="1"/>
  <c r="AC93" i="282"/>
  <c r="AC88" i="282"/>
  <c r="AC156" i="282"/>
  <c r="AC161" i="282"/>
  <c r="Z117" i="321"/>
  <c r="Z118" i="321" s="1"/>
  <c r="Z127" i="321" s="1"/>
  <c r="Z121" i="321"/>
  <c r="Z122" i="321" s="1"/>
  <c r="Z128" i="321" s="1"/>
  <c r="AA187" i="321"/>
  <c r="Z268" i="288"/>
  <c r="Z118" i="288"/>
  <c r="Z119" i="265"/>
  <c r="Z115" i="315"/>
  <c r="Z242" i="321"/>
  <c r="Z243" i="321" s="1"/>
  <c r="Z361" i="321"/>
  <c r="Z98" i="282"/>
  <c r="Z251" i="288"/>
  <c r="Z28" i="282"/>
  <c r="Z164" i="321"/>
  <c r="Z166" i="321" s="1"/>
  <c r="Z101" i="288"/>
  <c r="Z49" i="321"/>
  <c r="Z238" i="321"/>
  <c r="Y29" i="282"/>
  <c r="Y245" i="321"/>
  <c r="Y145" i="321"/>
  <c r="Y148" i="321" s="1"/>
  <c r="Y257" i="321"/>
  <c r="Y260" i="321" s="1"/>
  <c r="Y78" i="321"/>
  <c r="X287" i="321"/>
  <c r="X288" i="321" s="1"/>
  <c r="X175" i="321"/>
  <c r="X176" i="321" s="1"/>
  <c r="W81" i="311"/>
  <c r="T368" i="321"/>
  <c r="T435" i="321"/>
  <c r="T436" i="321" s="1"/>
  <c r="T414" i="321"/>
  <c r="T367" i="321"/>
  <c r="T101" i="282"/>
  <c r="T430" i="321"/>
  <c r="T33" i="282"/>
  <c r="T257" i="288"/>
  <c r="T107" i="288"/>
  <c r="S231" i="288"/>
  <c r="S240" i="288" s="1"/>
  <c r="S146" i="288"/>
  <c r="S81" i="288"/>
  <c r="S90" i="288" s="1"/>
  <c r="Q105" i="314"/>
  <c r="Q109" i="314" s="1"/>
  <c r="Q112" i="314" s="1"/>
  <c r="Q115" i="314" s="1"/>
  <c r="Q18" i="314"/>
  <c r="Q22" i="314" s="1"/>
  <c r="Q25" i="314" s="1"/>
  <c r="T366" i="321"/>
  <c r="T403" i="321"/>
  <c r="T404" i="321" s="1"/>
  <c r="T382" i="321"/>
  <c r="T365" i="321"/>
  <c r="T369" i="321" s="1"/>
  <c r="T100" i="282"/>
  <c r="T32" i="282"/>
  <c r="T105" i="288"/>
  <c r="T110" i="288" s="1"/>
  <c r="T112" i="288" s="1"/>
  <c r="T255" i="288"/>
  <c r="T260" i="288" s="1"/>
  <c r="T262" i="288" s="1"/>
  <c r="T398" i="321"/>
  <c r="AA299" i="321"/>
  <c r="Z269" i="288"/>
  <c r="Z119" i="288"/>
  <c r="Z120" i="265"/>
  <c r="Z116" i="315"/>
  <c r="Z354" i="321"/>
  <c r="Z363" i="321"/>
  <c r="Z99" i="282"/>
  <c r="Z50" i="321"/>
  <c r="Z350" i="321"/>
  <c r="Z253" i="288"/>
  <c r="Z30" i="282"/>
  <c r="Z276" i="321"/>
  <c r="Z278" i="321" s="1"/>
  <c r="Z103" i="288"/>
  <c r="Y356" i="321"/>
  <c r="X70" i="265"/>
  <c r="Q70" i="277" s="1"/>
  <c r="X20" i="265"/>
  <c r="Q20" i="277" s="1"/>
  <c r="Z714" i="321"/>
  <c r="Z679" i="321"/>
  <c r="Z680" i="321" s="1"/>
  <c r="Z442" i="321"/>
  <c r="Z443" i="321" s="1"/>
  <c r="Z46" i="288" l="1"/>
  <c r="Z446" i="321"/>
  <c r="Z447" i="321" s="1"/>
  <c r="Z529" i="321"/>
  <c r="Z485" i="321"/>
  <c r="Z196" i="288"/>
  <c r="Z687" i="321"/>
  <c r="Z688" i="321" s="1"/>
  <c r="Z681" i="321"/>
  <c r="Z715" i="321"/>
  <c r="Z102" i="282"/>
  <c r="Z34" i="282"/>
  <c r="Y31" i="282"/>
  <c r="Y357" i="321"/>
  <c r="Z283" i="321"/>
  <c r="Z18" i="315"/>
  <c r="Z66" i="315"/>
  <c r="Z69" i="265"/>
  <c r="R69" i="277" s="1"/>
  <c r="Z19" i="265"/>
  <c r="R19" i="277" s="1"/>
  <c r="Z355" i="321"/>
  <c r="Z63" i="328"/>
  <c r="R74" i="328" s="1"/>
  <c r="R120" i="277"/>
  <c r="AA346" i="321"/>
  <c r="AA349" i="321" s="1"/>
  <c r="AA302" i="321"/>
  <c r="AA104" i="288"/>
  <c r="AA113" i="321"/>
  <c r="AA120" i="321"/>
  <c r="AA254" i="288"/>
  <c r="T21" i="265"/>
  <c r="T71" i="265"/>
  <c r="O71" i="277" s="1"/>
  <c r="T67" i="315"/>
  <c r="T19" i="315"/>
  <c r="T16" i="314"/>
  <c r="T110" i="314"/>
  <c r="T66" i="288"/>
  <c r="T23" i="314"/>
  <c r="T216" i="288"/>
  <c r="T229" i="288"/>
  <c r="T142" i="288"/>
  <c r="T143" i="288" s="1"/>
  <c r="T21" i="328"/>
  <c r="O41" i="328" s="1"/>
  <c r="T103" i="314"/>
  <c r="T79" i="288"/>
  <c r="T71" i="315"/>
  <c r="T75" i="265"/>
  <c r="O75" i="277" s="1"/>
  <c r="U401" i="321"/>
  <c r="T117" i="315"/>
  <c r="T270" i="288"/>
  <c r="T121" i="265"/>
  <c r="T120" i="288"/>
  <c r="Q27" i="314"/>
  <c r="P29" i="314" s="1"/>
  <c r="Q36" i="314"/>
  <c r="Q171" i="314"/>
  <c r="Q173" i="314" s="1"/>
  <c r="Q88" i="314"/>
  <c r="T22" i="265"/>
  <c r="O22" i="277" s="1"/>
  <c r="T72" i="265"/>
  <c r="O72" i="277" s="1"/>
  <c r="T20" i="315"/>
  <c r="T68" i="315"/>
  <c r="T76" i="265"/>
  <c r="O76" i="277" s="1"/>
  <c r="T72" i="315"/>
  <c r="U433" i="321"/>
  <c r="T118" i="315"/>
  <c r="T271" i="288"/>
  <c r="T122" i="265"/>
  <c r="O122" i="277" s="1"/>
  <c r="T121" i="288"/>
  <c r="X40" i="311"/>
  <c r="X41" i="311"/>
  <c r="X82" i="311" s="1"/>
  <c r="Y282" i="321"/>
  <c r="Y284" i="321" s="1"/>
  <c r="Y170" i="321"/>
  <c r="Y172" i="321" s="1"/>
  <c r="Y68" i="265"/>
  <c r="Y18" i="265"/>
  <c r="Z67" i="265"/>
  <c r="R67" i="277" s="1"/>
  <c r="Z65" i="315"/>
  <c r="Z17" i="315"/>
  <c r="Z17" i="265"/>
  <c r="R17" i="277" s="1"/>
  <c r="Z52" i="321"/>
  <c r="Z171" i="321"/>
  <c r="Z244" i="321"/>
  <c r="R119" i="277"/>
  <c r="Z62" i="328"/>
  <c r="R73" i="328" s="1"/>
  <c r="AA234" i="321"/>
  <c r="AA237" i="321" s="1"/>
  <c r="AA190" i="321"/>
  <c r="AA112" i="321"/>
  <c r="AA114" i="321" s="1"/>
  <c r="AA252" i="288"/>
  <c r="AA116" i="321"/>
  <c r="AA102" i="288"/>
  <c r="AC30" i="315"/>
  <c r="AC32" i="265"/>
  <c r="AD152" i="282"/>
  <c r="AD155" i="282" s="1"/>
  <c r="AD115" i="282"/>
  <c r="AD47" i="282"/>
  <c r="AD84" i="282"/>
  <c r="AD87" i="282" s="1"/>
  <c r="AD23" i="282"/>
  <c r="AD24" i="282" s="1"/>
  <c r="AE21" i="282" s="1"/>
  <c r="AC94" i="282"/>
  <c r="AC162" i="282"/>
  <c r="X103" i="277"/>
  <c r="X104" i="277" s="1"/>
  <c r="AL104" i="265"/>
  <c r="AM99" i="315"/>
  <c r="AM100" i="315" s="1"/>
  <c r="AM103" i="265"/>
  <c r="AM104" i="265" s="1"/>
  <c r="AN40" i="285"/>
  <c r="AN43" i="285" s="1"/>
  <c r="AN99" i="315" l="1"/>
  <c r="AN100" i="315" s="1"/>
  <c r="AN103" i="265"/>
  <c r="AO40" i="285"/>
  <c r="AO43" i="285" s="1"/>
  <c r="AD160" i="282"/>
  <c r="AC121" i="315"/>
  <c r="AD92" i="282"/>
  <c r="AC125" i="265"/>
  <c r="AE10" i="282"/>
  <c r="AE12" i="282" s="1"/>
  <c r="AD93" i="282"/>
  <c r="AD88" i="282"/>
  <c r="AD156" i="282"/>
  <c r="AD161" i="282"/>
  <c r="AA117" i="321"/>
  <c r="AA118" i="321" s="1"/>
  <c r="AA127" i="321" s="1"/>
  <c r="AA121" i="321"/>
  <c r="AA122" i="321" s="1"/>
  <c r="AA128" i="321" s="1"/>
  <c r="AB187" i="321"/>
  <c r="AA115" i="315"/>
  <c r="AA268" i="288"/>
  <c r="AA118" i="288"/>
  <c r="AA119" i="265"/>
  <c r="AA62" i="328" s="1"/>
  <c r="AA242" i="321"/>
  <c r="AA243" i="321" s="1"/>
  <c r="AA361" i="321"/>
  <c r="AA98" i="282"/>
  <c r="AA251" i="288"/>
  <c r="AA164" i="321"/>
  <c r="AA166" i="321" s="1"/>
  <c r="AA238" i="321"/>
  <c r="AA101" i="288"/>
  <c r="AA28" i="282"/>
  <c r="AA49" i="321"/>
  <c r="Z29" i="282"/>
  <c r="Z245" i="321"/>
  <c r="Z257" i="321"/>
  <c r="Z260" i="321" s="1"/>
  <c r="Z78" i="321"/>
  <c r="Z145" i="321"/>
  <c r="Z148" i="321" s="1"/>
  <c r="Y175" i="321"/>
  <c r="Y176" i="321" s="1"/>
  <c r="Y287" i="321"/>
  <c r="Y288" i="321" s="1"/>
  <c r="X81" i="311"/>
  <c r="U427" i="321"/>
  <c r="U429" i="321" s="1"/>
  <c r="U411" i="321"/>
  <c r="U413" i="321" s="1"/>
  <c r="U108" i="288"/>
  <c r="U258" i="288"/>
  <c r="Q107" i="282"/>
  <c r="Q174" i="314"/>
  <c r="Q39" i="282"/>
  <c r="P32" i="314"/>
  <c r="O121" i="277"/>
  <c r="U395" i="321"/>
  <c r="U397" i="321" s="1"/>
  <c r="U379" i="321"/>
  <c r="U381" i="321" s="1"/>
  <c r="U256" i="288"/>
  <c r="U106" i="288"/>
  <c r="T81" i="288"/>
  <c r="T90" i="288" s="1"/>
  <c r="R105" i="314"/>
  <c r="R109" i="314" s="1"/>
  <c r="R112" i="314" s="1"/>
  <c r="R115" i="314" s="1"/>
  <c r="T146" i="288"/>
  <c r="T231" i="288"/>
  <c r="T240" i="288" s="1"/>
  <c r="R18" i="314"/>
  <c r="R22" i="314" s="1"/>
  <c r="R25" i="314" s="1"/>
  <c r="O21" i="277"/>
  <c r="AB299" i="321"/>
  <c r="AA116" i="315"/>
  <c r="AA120" i="265"/>
  <c r="AA63" i="328" s="1"/>
  <c r="AA269" i="288"/>
  <c r="AA119" i="288"/>
  <c r="AA354" i="321"/>
  <c r="AA363" i="321"/>
  <c r="AA99" i="282"/>
  <c r="AA50" i="321"/>
  <c r="AA30" i="282"/>
  <c r="AA253" i="288"/>
  <c r="AA276" i="321"/>
  <c r="AA278" i="321" s="1"/>
  <c r="AA350" i="321"/>
  <c r="AA103" i="288"/>
  <c r="Z356" i="321"/>
  <c r="Y70" i="265"/>
  <c r="Y20" i="265"/>
  <c r="Z24" i="315"/>
  <c r="Z26" i="265"/>
  <c r="R26" i="277" s="1"/>
  <c r="Z80" i="315"/>
  <c r="Z84" i="265"/>
  <c r="R84" i="277" s="1"/>
  <c r="Z53" i="265"/>
  <c r="R53" i="277" s="1"/>
  <c r="Z51" i="315"/>
  <c r="AA684" i="321"/>
  <c r="Z119" i="315"/>
  <c r="Z123" i="265"/>
  <c r="R123" i="277" s="1"/>
  <c r="Z56" i="265"/>
  <c r="R56" i="277" s="1"/>
  <c r="Z54" i="315"/>
  <c r="AA693" i="321" l="1"/>
  <c r="AA695" i="321" s="1"/>
  <c r="AA699" i="321" s="1"/>
  <c r="AA702" i="321" s="1"/>
  <c r="AA706" i="321" s="1"/>
  <c r="AA709" i="321" s="1"/>
  <c r="AA711" i="321" s="1"/>
  <c r="AA712" i="321"/>
  <c r="AA673" i="321"/>
  <c r="AA676" i="321" s="1"/>
  <c r="Z31" i="282"/>
  <c r="Z357" i="321"/>
  <c r="AA66" i="315"/>
  <c r="AA19" i="265"/>
  <c r="AA69" i="265"/>
  <c r="AA18" i="315"/>
  <c r="AA283" i="321"/>
  <c r="AA355" i="321"/>
  <c r="AB346" i="321"/>
  <c r="AB349" i="321" s="1"/>
  <c r="AB302" i="321"/>
  <c r="AB104" i="288"/>
  <c r="AB120" i="321"/>
  <c r="AB254" i="288"/>
  <c r="AB113" i="321"/>
  <c r="R27" i="314"/>
  <c r="Q29" i="314" s="1"/>
  <c r="R88" i="314"/>
  <c r="R171" i="314"/>
  <c r="R173" i="314" s="1"/>
  <c r="R36" i="314"/>
  <c r="U366" i="321"/>
  <c r="U403" i="321"/>
  <c r="U404" i="321" s="1"/>
  <c r="U382" i="321"/>
  <c r="U365" i="321"/>
  <c r="U100" i="282"/>
  <c r="U255" i="288"/>
  <c r="U105" i="288"/>
  <c r="U398" i="321"/>
  <c r="U32" i="282"/>
  <c r="Q81" i="265"/>
  <c r="Q26" i="315"/>
  <c r="Q77" i="315"/>
  <c r="Q28" i="265"/>
  <c r="U368" i="321"/>
  <c r="U435" i="321"/>
  <c r="U436" i="321" s="1"/>
  <c r="U414" i="321"/>
  <c r="U367" i="321"/>
  <c r="U101" i="282"/>
  <c r="U430" i="321"/>
  <c r="U33" i="282"/>
  <c r="U257" i="288"/>
  <c r="U107" i="288"/>
  <c r="Y41" i="311"/>
  <c r="Y82" i="311" s="1"/>
  <c r="Y40" i="311"/>
  <c r="Z170" i="321"/>
  <c r="Z172" i="321" s="1"/>
  <c r="Z282" i="321"/>
  <c r="Z284" i="321" s="1"/>
  <c r="Z68" i="265"/>
  <c r="R68" i="277" s="1"/>
  <c r="Z18" i="265"/>
  <c r="R18" i="277" s="1"/>
  <c r="AA52" i="321"/>
  <c r="AA17" i="265"/>
  <c r="AA67" i="265"/>
  <c r="AA17" i="315"/>
  <c r="AA65" i="315"/>
  <c r="AA171" i="321"/>
  <c r="AA244" i="321"/>
  <c r="AB234" i="321"/>
  <c r="AB237" i="321" s="1"/>
  <c r="AB190" i="321"/>
  <c r="AB112" i="321"/>
  <c r="AB114" i="321" s="1"/>
  <c r="AB102" i="288"/>
  <c r="AB116" i="321"/>
  <c r="AB252" i="288"/>
  <c r="AD30" i="315"/>
  <c r="AD32" i="265"/>
  <c r="T32" i="277" s="1"/>
  <c r="AE152" i="282"/>
  <c r="AE155" i="282" s="1"/>
  <c r="AE115" i="282"/>
  <c r="AE47" i="282"/>
  <c r="AE84" i="282"/>
  <c r="AE87" i="282" s="1"/>
  <c r="AE23" i="282"/>
  <c r="AE24" i="282" s="1"/>
  <c r="AF21" i="282" s="1"/>
  <c r="AD94" i="282"/>
  <c r="AD162" i="282"/>
  <c r="AO99" i="315"/>
  <c r="AO100" i="315" s="1"/>
  <c r="AO103" i="265"/>
  <c r="AO104" i="265" s="1"/>
  <c r="AP40" i="285"/>
  <c r="AP43" i="285" s="1"/>
  <c r="Y103" i="277"/>
  <c r="Y104" i="277" s="1"/>
  <c r="AN104" i="265"/>
  <c r="AQ40" i="285" l="1"/>
  <c r="AQ43" i="285" s="1"/>
  <c r="AP103" i="265"/>
  <c r="AP99" i="315"/>
  <c r="AP100" i="315" s="1"/>
  <c r="AE160" i="282"/>
  <c r="AD121" i="315"/>
  <c r="AE92" i="282"/>
  <c r="AD125" i="265"/>
  <c r="T125" i="277" s="1"/>
  <c r="AF10" i="282"/>
  <c r="AF12" i="282" s="1"/>
  <c r="AE93" i="282"/>
  <c r="AE88" i="282"/>
  <c r="AE156" i="282"/>
  <c r="AE161" i="282"/>
  <c r="AB121" i="321"/>
  <c r="AB122" i="321" s="1"/>
  <c r="AB128" i="321" s="1"/>
  <c r="AB117" i="321"/>
  <c r="AB118" i="321" s="1"/>
  <c r="AB127" i="321" s="1"/>
  <c r="AC187" i="321"/>
  <c r="AB119" i="265"/>
  <c r="AB268" i="288"/>
  <c r="AB118" i="288"/>
  <c r="AB115" i="315"/>
  <c r="AB242" i="321"/>
  <c r="AB243" i="321" s="1"/>
  <c r="AB361" i="321"/>
  <c r="AB98" i="282"/>
  <c r="AB49" i="321"/>
  <c r="AB251" i="288"/>
  <c r="AB28" i="282"/>
  <c r="AB101" i="288"/>
  <c r="AB238" i="321"/>
  <c r="AB164" i="321"/>
  <c r="AB166" i="321" s="1"/>
  <c r="AA29" i="282"/>
  <c r="AA245" i="321"/>
  <c r="AA257" i="321"/>
  <c r="AA260" i="321" s="1"/>
  <c r="AA145" i="321"/>
  <c r="AA148" i="321" s="1"/>
  <c r="AA78" i="321"/>
  <c r="Z287" i="321"/>
  <c r="Z288" i="321" s="1"/>
  <c r="Z175" i="321"/>
  <c r="Z176" i="321" s="1"/>
  <c r="Y81" i="311"/>
  <c r="U22" i="265"/>
  <c r="U72" i="265"/>
  <c r="U20" i="315"/>
  <c r="U68" i="315"/>
  <c r="U76" i="265"/>
  <c r="U72" i="315"/>
  <c r="V433" i="321"/>
  <c r="U271" i="288"/>
  <c r="U122" i="265"/>
  <c r="U121" i="288"/>
  <c r="U118" i="315"/>
  <c r="U19" i="315"/>
  <c r="U21" i="265"/>
  <c r="U67" i="315"/>
  <c r="U71" i="265"/>
  <c r="U110" i="288"/>
  <c r="U112" i="288" s="1"/>
  <c r="U260" i="288"/>
  <c r="U262" i="288" s="1"/>
  <c r="U369" i="321"/>
  <c r="U75" i="265"/>
  <c r="U71" i="315"/>
  <c r="V401" i="321"/>
  <c r="U121" i="265"/>
  <c r="U120" i="288"/>
  <c r="U270" i="288"/>
  <c r="U117" i="315"/>
  <c r="R107" i="282"/>
  <c r="R174" i="314"/>
  <c r="R39" i="282"/>
  <c r="Q32" i="314"/>
  <c r="AC299" i="321"/>
  <c r="AB119" i="288"/>
  <c r="AB116" i="315"/>
  <c r="AB120" i="265"/>
  <c r="AB269" i="288"/>
  <c r="AB354" i="321"/>
  <c r="AB363" i="321"/>
  <c r="AB99" i="282"/>
  <c r="AB276" i="321"/>
  <c r="AB278" i="321" s="1"/>
  <c r="AB350" i="321"/>
  <c r="AB50" i="321"/>
  <c r="AB30" i="282"/>
  <c r="AB103" i="288"/>
  <c r="AB253" i="288"/>
  <c r="AA356" i="321"/>
  <c r="Z70" i="265"/>
  <c r="R70" i="277" s="1"/>
  <c r="Z20" i="265"/>
  <c r="R20" i="277" s="1"/>
  <c r="AA442" i="321"/>
  <c r="AA443" i="321" s="1"/>
  <c r="AA679" i="321"/>
  <c r="AA680" i="321" s="1"/>
  <c r="AA714" i="321"/>
  <c r="AA102" i="282" l="1"/>
  <c r="AA715" i="321"/>
  <c r="AA34" i="282"/>
  <c r="AA687" i="321"/>
  <c r="AA688" i="321" s="1"/>
  <c r="AA681" i="321"/>
  <c r="AA46" i="288"/>
  <c r="AA446" i="321"/>
  <c r="AA447" i="321" s="1"/>
  <c r="AA529" i="321"/>
  <c r="AA485" i="321"/>
  <c r="AA196" i="288"/>
  <c r="AA31" i="282"/>
  <c r="AA357" i="321"/>
  <c r="AB66" i="315"/>
  <c r="AB19" i="265"/>
  <c r="S19" i="277" s="1"/>
  <c r="AB69" i="265"/>
  <c r="S69" i="277" s="1"/>
  <c r="AB18" i="315"/>
  <c r="AB283" i="321"/>
  <c r="AB355" i="321"/>
  <c r="AB63" i="328"/>
  <c r="S74" i="328" s="1"/>
  <c r="S120" i="277"/>
  <c r="AC346" i="321"/>
  <c r="AC349" i="321" s="1"/>
  <c r="AC302" i="321"/>
  <c r="AC254" i="288"/>
  <c r="AC104" i="288"/>
  <c r="AC120" i="321"/>
  <c r="AC113" i="321"/>
  <c r="R28" i="265"/>
  <c r="N28" i="277" s="1"/>
  <c r="R77" i="315"/>
  <c r="R81" i="265"/>
  <c r="N81" i="277" s="1"/>
  <c r="R26" i="315"/>
  <c r="V395" i="321"/>
  <c r="V397" i="321" s="1"/>
  <c r="V379" i="321"/>
  <c r="V381" i="321" s="1"/>
  <c r="V106" i="288"/>
  <c r="V256" i="288"/>
  <c r="U16" i="314"/>
  <c r="U79" i="288"/>
  <c r="U110" i="314"/>
  <c r="U23" i="314"/>
  <c r="U229" i="288"/>
  <c r="U142" i="288"/>
  <c r="U143" i="288" s="1"/>
  <c r="U103" i="314"/>
  <c r="U216" i="288"/>
  <c r="U66" i="288"/>
  <c r="U21" i="328"/>
  <c r="V427" i="321"/>
  <c r="V429" i="321" s="1"/>
  <c r="V411" i="321"/>
  <c r="V413" i="321" s="1"/>
  <c r="V108" i="288"/>
  <c r="V258" i="288"/>
  <c r="Z40" i="311"/>
  <c r="Z41" i="311"/>
  <c r="Z82" i="311" s="1"/>
  <c r="AA170" i="321"/>
  <c r="AA172" i="321" s="1"/>
  <c r="AA282" i="321"/>
  <c r="AA284" i="321" s="1"/>
  <c r="AA68" i="265"/>
  <c r="AA18" i="265"/>
  <c r="AB171" i="321"/>
  <c r="AB65" i="315"/>
  <c r="AB67" i="265"/>
  <c r="S67" i="277" s="1"/>
  <c r="AB17" i="265"/>
  <c r="S17" i="277" s="1"/>
  <c r="AB17" i="315"/>
  <c r="AB52" i="321"/>
  <c r="AB244" i="321"/>
  <c r="S119" i="277"/>
  <c r="AB62" i="328"/>
  <c r="S73" i="328" s="1"/>
  <c r="AC234" i="321"/>
  <c r="AC237" i="321" s="1"/>
  <c r="AC190" i="321"/>
  <c r="AC112" i="321"/>
  <c r="AC114" i="321" s="1"/>
  <c r="AC252" i="288"/>
  <c r="AC102" i="288"/>
  <c r="AC116" i="321"/>
  <c r="AE30" i="315"/>
  <c r="AE32" i="265"/>
  <c r="AF152" i="282"/>
  <c r="AF155" i="282" s="1"/>
  <c r="AF115" i="282"/>
  <c r="AF47" i="282"/>
  <c r="AF84" i="282"/>
  <c r="AF87" i="282" s="1"/>
  <c r="AF23" i="282"/>
  <c r="AF24" i="282" s="1"/>
  <c r="AG21" i="282" s="1"/>
  <c r="AE94" i="282"/>
  <c r="AE162" i="282"/>
  <c r="AP104" i="265"/>
  <c r="Z103" i="277"/>
  <c r="Z104" i="277" s="1"/>
  <c r="AQ103" i="265"/>
  <c r="AQ104" i="265" s="1"/>
  <c r="AR40" i="285"/>
  <c r="AR43" i="285" s="1"/>
  <c r="AQ99" i="315"/>
  <c r="AQ100" i="315" s="1"/>
  <c r="AR99" i="315" l="1"/>
  <c r="AR100" i="315" s="1"/>
  <c r="AS40" i="285"/>
  <c r="AS43" i="285" s="1"/>
  <c r="AR103" i="265"/>
  <c r="AF160" i="282"/>
  <c r="AE121" i="315"/>
  <c r="AF92" i="282"/>
  <c r="AE125" i="265"/>
  <c r="AG10" i="282"/>
  <c r="AG12" i="282" s="1"/>
  <c r="AF93" i="282"/>
  <c r="AF88" i="282"/>
  <c r="AF156" i="282"/>
  <c r="AF161" i="282"/>
  <c r="AC121" i="321"/>
  <c r="AC122" i="321" s="1"/>
  <c r="AC128" i="321" s="1"/>
  <c r="AC117" i="321"/>
  <c r="AC118" i="321" s="1"/>
  <c r="AC127" i="321" s="1"/>
  <c r="AD187" i="321"/>
  <c r="AC119" i="265"/>
  <c r="AC62" i="328" s="1"/>
  <c r="AC118" i="288"/>
  <c r="AC115" i="315"/>
  <c r="AC268" i="288"/>
  <c r="AC242" i="321"/>
  <c r="AC243" i="321" s="1"/>
  <c r="AC361" i="321"/>
  <c r="AC98" i="282"/>
  <c r="AC251" i="288"/>
  <c r="AC28" i="282"/>
  <c r="AC101" i="288"/>
  <c r="AC164" i="321"/>
  <c r="AC166" i="321" s="1"/>
  <c r="AC49" i="321"/>
  <c r="AC238" i="321"/>
  <c r="AB29" i="282"/>
  <c r="AB245" i="321"/>
  <c r="AB257" i="321"/>
  <c r="AB260" i="321" s="1"/>
  <c r="AB78" i="321"/>
  <c r="AB145" i="321"/>
  <c r="AB148" i="321" s="1"/>
  <c r="AA287" i="321"/>
  <c r="AA288" i="321" s="1"/>
  <c r="AA175" i="321"/>
  <c r="AA176" i="321" s="1"/>
  <c r="Z81" i="311"/>
  <c r="V368" i="321"/>
  <c r="V435" i="321"/>
  <c r="V436" i="321" s="1"/>
  <c r="V414" i="321"/>
  <c r="V367" i="321"/>
  <c r="V101" i="282"/>
  <c r="V430" i="321"/>
  <c r="V33" i="282"/>
  <c r="V107" i="288"/>
  <c r="V257" i="288"/>
  <c r="S105" i="314"/>
  <c r="S109" i="314" s="1"/>
  <c r="S112" i="314" s="1"/>
  <c r="S115" i="314" s="1"/>
  <c r="U146" i="288"/>
  <c r="U231" i="288"/>
  <c r="U240" i="288" s="1"/>
  <c r="U81" i="288"/>
  <c r="U90" i="288" s="1"/>
  <c r="S18" i="314"/>
  <c r="S22" i="314" s="1"/>
  <c r="S25" i="314" s="1"/>
  <c r="V366" i="321"/>
  <c r="V403" i="321"/>
  <c r="V404" i="321" s="1"/>
  <c r="V382" i="321"/>
  <c r="V365" i="321"/>
  <c r="V369" i="321" s="1"/>
  <c r="V100" i="282"/>
  <c r="V32" i="282"/>
  <c r="V105" i="288"/>
  <c r="V110" i="288" s="1"/>
  <c r="V112" i="288" s="1"/>
  <c r="V398" i="321"/>
  <c r="V255" i="288"/>
  <c r="V260" i="288" s="1"/>
  <c r="V262" i="288" s="1"/>
  <c r="AD299" i="321"/>
  <c r="AC269" i="288"/>
  <c r="AC116" i="315"/>
  <c r="AC119" i="288"/>
  <c r="AC120" i="265"/>
  <c r="AC63" i="328" s="1"/>
  <c r="AC354" i="321"/>
  <c r="AC363" i="321"/>
  <c r="AC99" i="282"/>
  <c r="AC350" i="321"/>
  <c r="AC103" i="288"/>
  <c r="AC50" i="321"/>
  <c r="AC30" i="282"/>
  <c r="AC253" i="288"/>
  <c r="AC276" i="321"/>
  <c r="AC278" i="321" s="1"/>
  <c r="AB356" i="321"/>
  <c r="AA70" i="265"/>
  <c r="AA20" i="265"/>
  <c r="AA54" i="315"/>
  <c r="AA56" i="265"/>
  <c r="AA51" i="315"/>
  <c r="AA53" i="265"/>
  <c r="AB684" i="321"/>
  <c r="AA123" i="265"/>
  <c r="AA119" i="315"/>
  <c r="AA26" i="265"/>
  <c r="AA24" i="315"/>
  <c r="AA84" i="265"/>
  <c r="AA80" i="315"/>
  <c r="AB693" i="321" l="1"/>
  <c r="AB695" i="321" s="1"/>
  <c r="AB699" i="321" s="1"/>
  <c r="AB702" i="321" s="1"/>
  <c r="AB706" i="321" s="1"/>
  <c r="AB709" i="321" s="1"/>
  <c r="AB711" i="321" s="1"/>
  <c r="AB712" i="321"/>
  <c r="AB673" i="321"/>
  <c r="AB676" i="321" s="1"/>
  <c r="AB31" i="282"/>
  <c r="AB357" i="321"/>
  <c r="AC283" i="321"/>
  <c r="AC66" i="315"/>
  <c r="AC19" i="265"/>
  <c r="AC69" i="265"/>
  <c r="AC18" i="315"/>
  <c r="AC355" i="321"/>
  <c r="AD346" i="321"/>
  <c r="AD349" i="321" s="1"/>
  <c r="AD302" i="321"/>
  <c r="AD113" i="321"/>
  <c r="AD254" i="288"/>
  <c r="AD120" i="321"/>
  <c r="AD104" i="288"/>
  <c r="V71" i="265"/>
  <c r="P71" i="277" s="1"/>
  <c r="V19" i="315"/>
  <c r="V67" i="315"/>
  <c r="V21" i="265"/>
  <c r="V16" i="314"/>
  <c r="V142" i="288"/>
  <c r="V143" i="288" s="1"/>
  <c r="V66" i="288"/>
  <c r="V110" i="314"/>
  <c r="V103" i="314"/>
  <c r="V216" i="288"/>
  <c r="V23" i="314"/>
  <c r="V79" i="288"/>
  <c r="V229" i="288"/>
  <c r="V21" i="328"/>
  <c r="P41" i="328" s="1"/>
  <c r="V71" i="315"/>
  <c r="V75" i="265"/>
  <c r="P75" i="277" s="1"/>
  <c r="W401" i="321"/>
  <c r="V270" i="288"/>
  <c r="V120" i="288"/>
  <c r="V121" i="265"/>
  <c r="V117" i="315"/>
  <c r="S27" i="314"/>
  <c r="R29" i="314" s="1"/>
  <c r="S36" i="314"/>
  <c r="S88" i="314"/>
  <c r="S171" i="314"/>
  <c r="S173" i="314" s="1"/>
  <c r="V68" i="315"/>
  <c r="V72" i="265"/>
  <c r="P72" i="277" s="1"/>
  <c r="V22" i="265"/>
  <c r="P22" i="277" s="1"/>
  <c r="V20" i="315"/>
  <c r="V76" i="265"/>
  <c r="P76" i="277" s="1"/>
  <c r="V72" i="315"/>
  <c r="W433" i="321"/>
  <c r="V271" i="288"/>
  <c r="V122" i="265"/>
  <c r="P122" i="277" s="1"/>
  <c r="V121" i="288"/>
  <c r="V118" i="315"/>
  <c r="AA40" i="311"/>
  <c r="AA41" i="311"/>
  <c r="AA82" i="311" s="1"/>
  <c r="AB170" i="321"/>
  <c r="AB172" i="321" s="1"/>
  <c r="AB282" i="321"/>
  <c r="AB284" i="321" s="1"/>
  <c r="AB68" i="265"/>
  <c r="S68" i="277" s="1"/>
  <c r="AB18" i="265"/>
  <c r="S18" i="277" s="1"/>
  <c r="AC17" i="265"/>
  <c r="AC67" i="265"/>
  <c r="AC17" i="315"/>
  <c r="AC65" i="315"/>
  <c r="AC52" i="321"/>
  <c r="AC171" i="321"/>
  <c r="AC244" i="321"/>
  <c r="AD234" i="321"/>
  <c r="AD237" i="321" s="1"/>
  <c r="AD190" i="321"/>
  <c r="AD112" i="321"/>
  <c r="AD114" i="321" s="1"/>
  <c r="AD116" i="321"/>
  <c r="AD252" i="288"/>
  <c r="AD102" i="288"/>
  <c r="AF30" i="315"/>
  <c r="AF32" i="265"/>
  <c r="U32" i="277" s="1"/>
  <c r="AG152" i="282"/>
  <c r="AG155" i="282" s="1"/>
  <c r="AG115" i="282"/>
  <c r="AG47" i="282"/>
  <c r="AG84" i="282"/>
  <c r="AG87" i="282" s="1"/>
  <c r="AG23" i="282"/>
  <c r="AG24" i="282" s="1"/>
  <c r="AH21" i="282" s="1"/>
  <c r="AF94" i="282"/>
  <c r="AF162" i="282"/>
  <c r="AR104" i="265"/>
  <c r="AA103" i="277"/>
  <c r="AA104" i="277" s="1"/>
  <c r="AS99" i="315"/>
  <c r="AS100" i="315" s="1"/>
  <c r="AS103" i="265"/>
  <c r="AS104" i="265" s="1"/>
  <c r="AT40" i="285"/>
  <c r="AT43" i="285" s="1"/>
  <c r="AT103" i="265" l="1"/>
  <c r="AT99" i="315"/>
  <c r="AT100" i="315" s="1"/>
  <c r="AU40" i="285"/>
  <c r="AU43" i="285" s="1"/>
  <c r="AG160" i="282"/>
  <c r="AF121" i="315"/>
  <c r="AG92" i="282"/>
  <c r="AF125" i="265"/>
  <c r="U125" i="277" s="1"/>
  <c r="AH10" i="282"/>
  <c r="AH12" i="282" s="1"/>
  <c r="AG93" i="282"/>
  <c r="AG88" i="282"/>
  <c r="AG156" i="282"/>
  <c r="AG161" i="282"/>
  <c r="AD121" i="321"/>
  <c r="AD122" i="321" s="1"/>
  <c r="AD128" i="321" s="1"/>
  <c r="AD117" i="321"/>
  <c r="AD118" i="321" s="1"/>
  <c r="AD127" i="321" s="1"/>
  <c r="AE187" i="321"/>
  <c r="AD115" i="315"/>
  <c r="AD119" i="265"/>
  <c r="AD268" i="288"/>
  <c r="AD118" i="288"/>
  <c r="AD242" i="321"/>
  <c r="AD243" i="321" s="1"/>
  <c r="AD361" i="321"/>
  <c r="AD98" i="282"/>
  <c r="AD251" i="288"/>
  <c r="AD101" i="288"/>
  <c r="AD28" i="282"/>
  <c r="AD49" i="321"/>
  <c r="AD238" i="321"/>
  <c r="AD164" i="321"/>
  <c r="AD166" i="321" s="1"/>
  <c r="AC29" i="282"/>
  <c r="AC245" i="321"/>
  <c r="AC145" i="321"/>
  <c r="AC148" i="321" s="1"/>
  <c r="AC257" i="321"/>
  <c r="AC260" i="321" s="1"/>
  <c r="AC78" i="321"/>
  <c r="AB287" i="321"/>
  <c r="AB288" i="321" s="1"/>
  <c r="AB175" i="321"/>
  <c r="AB176" i="321" s="1"/>
  <c r="AA81" i="311"/>
  <c r="W427" i="321"/>
  <c r="W429" i="321" s="1"/>
  <c r="W411" i="321"/>
  <c r="W413" i="321" s="1"/>
  <c r="W258" i="288"/>
  <c r="W108" i="288"/>
  <c r="S107" i="282"/>
  <c r="S39" i="282"/>
  <c r="S174" i="314"/>
  <c r="R32" i="314"/>
  <c r="P121" i="277"/>
  <c r="W395" i="321"/>
  <c r="W397" i="321" s="1"/>
  <c r="W379" i="321"/>
  <c r="W381" i="321" s="1"/>
  <c r="W106" i="288"/>
  <c r="W256" i="288"/>
  <c r="V231" i="288"/>
  <c r="V240" i="288" s="1"/>
  <c r="V81" i="288"/>
  <c r="V90" i="288" s="1"/>
  <c r="T105" i="314"/>
  <c r="T109" i="314" s="1"/>
  <c r="T112" i="314" s="1"/>
  <c r="T115" i="314" s="1"/>
  <c r="V146" i="288"/>
  <c r="T18" i="314"/>
  <c r="T22" i="314" s="1"/>
  <c r="T25" i="314" s="1"/>
  <c r="P21" i="277"/>
  <c r="AE299" i="321"/>
  <c r="AD120" i="265"/>
  <c r="AD269" i="288"/>
  <c r="AD116" i="315"/>
  <c r="AD119" i="288"/>
  <c r="AD354" i="321"/>
  <c r="AD363" i="321"/>
  <c r="AD99" i="282"/>
  <c r="AD253" i="288"/>
  <c r="AD350" i="321"/>
  <c r="AD103" i="288"/>
  <c r="AD50" i="321"/>
  <c r="AD30" i="282"/>
  <c r="AD276" i="321"/>
  <c r="AD278" i="321" s="1"/>
  <c r="AC356" i="321"/>
  <c r="AB70" i="265"/>
  <c r="S70" i="277" s="1"/>
  <c r="AB20" i="265"/>
  <c r="S20" i="277" s="1"/>
  <c r="AB679" i="321"/>
  <c r="AB680" i="321" s="1"/>
  <c r="AB442" i="321"/>
  <c r="AB443" i="321" s="1"/>
  <c r="AB714" i="321"/>
  <c r="AB102" i="282" l="1"/>
  <c r="AB34" i="282"/>
  <c r="AB715" i="321"/>
  <c r="AB46" i="288"/>
  <c r="AB529" i="321"/>
  <c r="AB446" i="321"/>
  <c r="AB447" i="321" s="1"/>
  <c r="AB485" i="321"/>
  <c r="AB196" i="288"/>
  <c r="AB687" i="321"/>
  <c r="AB688" i="321" s="1"/>
  <c r="AB681" i="321"/>
  <c r="AC31" i="282"/>
  <c r="AC357" i="321"/>
  <c r="AD283" i="321"/>
  <c r="AD19" i="265"/>
  <c r="T19" i="277" s="1"/>
  <c r="AD69" i="265"/>
  <c r="T69" i="277" s="1"/>
  <c r="AD66" i="315"/>
  <c r="AD18" i="315"/>
  <c r="AD355" i="321"/>
  <c r="AD63" i="328"/>
  <c r="T74" i="328" s="1"/>
  <c r="T120" i="277"/>
  <c r="AE346" i="321"/>
  <c r="AE349" i="321" s="1"/>
  <c r="AE302" i="321"/>
  <c r="AE104" i="288"/>
  <c r="AE113" i="321"/>
  <c r="AE120" i="321"/>
  <c r="AE254" i="288"/>
  <c r="T27" i="314"/>
  <c r="S29" i="314" s="1"/>
  <c r="T36" i="314"/>
  <c r="T88" i="314"/>
  <c r="T171" i="314"/>
  <c r="T173" i="314" s="1"/>
  <c r="W366" i="321"/>
  <c r="W403" i="321"/>
  <c r="W404" i="321" s="1"/>
  <c r="W382" i="321"/>
  <c r="W365" i="321"/>
  <c r="W100" i="282"/>
  <c r="W32" i="282"/>
  <c r="W255" i="288"/>
  <c r="W105" i="288"/>
  <c r="W398" i="321"/>
  <c r="S81" i="265"/>
  <c r="S26" i="315"/>
  <c r="S77" i="315"/>
  <c r="S28" i="265"/>
  <c r="W368" i="321"/>
  <c r="W435" i="321"/>
  <c r="W436" i="321" s="1"/>
  <c r="W414" i="321"/>
  <c r="W367" i="321"/>
  <c r="W101" i="282"/>
  <c r="W33" i="282"/>
  <c r="W430" i="321"/>
  <c r="W257" i="288"/>
  <c r="W107" i="288"/>
  <c r="AB40" i="311"/>
  <c r="AB41" i="311"/>
  <c r="AB82" i="311" s="1"/>
  <c r="AC282" i="321"/>
  <c r="AC284" i="321" s="1"/>
  <c r="AC170" i="321"/>
  <c r="AC172" i="321" s="1"/>
  <c r="AC68" i="265"/>
  <c r="AC18" i="265"/>
  <c r="AD171" i="321"/>
  <c r="AD65" i="315"/>
  <c r="AD67" i="265"/>
  <c r="T67" i="277" s="1"/>
  <c r="AD17" i="315"/>
  <c r="AD17" i="265"/>
  <c r="T17" i="277" s="1"/>
  <c r="AD52" i="321"/>
  <c r="AD244" i="321"/>
  <c r="AD62" i="328"/>
  <c r="T73" i="328" s="1"/>
  <c r="T119" i="277"/>
  <c r="AE234" i="321"/>
  <c r="AE237" i="321" s="1"/>
  <c r="AE190" i="321"/>
  <c r="AE116" i="321"/>
  <c r="AE112" i="321"/>
  <c r="AE114" i="321" s="1"/>
  <c r="AE102" i="288"/>
  <c r="AE252" i="288"/>
  <c r="AG30" i="315"/>
  <c r="AG32" i="265"/>
  <c r="AH152" i="282"/>
  <c r="AH155" i="282" s="1"/>
  <c r="AH115" i="282"/>
  <c r="AH47" i="282"/>
  <c r="AH84" i="282"/>
  <c r="AH87" i="282" s="1"/>
  <c r="AH23" i="282"/>
  <c r="AH24" i="282" s="1"/>
  <c r="AI21" i="282" s="1"/>
  <c r="AG94" i="282"/>
  <c r="AG162" i="282"/>
  <c r="AU99" i="315"/>
  <c r="AU100" i="315" s="1"/>
  <c r="AU103" i="265"/>
  <c r="AU104" i="265" s="1"/>
  <c r="AV40" i="285"/>
  <c r="AV43" i="285" s="1"/>
  <c r="AB103" i="277"/>
  <c r="AB104" i="277" s="1"/>
  <c r="AT104" i="265"/>
  <c r="AV99" i="315" l="1"/>
  <c r="AV100" i="315" s="1"/>
  <c r="AW40" i="285"/>
  <c r="AW43" i="285" s="1"/>
  <c r="AV103" i="265"/>
  <c r="AH160" i="282"/>
  <c r="AG121" i="315"/>
  <c r="AH92" i="282"/>
  <c r="AG125" i="265"/>
  <c r="AI10" i="282"/>
  <c r="AI12" i="282" s="1"/>
  <c r="AH93" i="282"/>
  <c r="AH88" i="282"/>
  <c r="AH156" i="282"/>
  <c r="AH161" i="282"/>
  <c r="AE121" i="321"/>
  <c r="AE122" i="321" s="1"/>
  <c r="AE128" i="321" s="1"/>
  <c r="AE117" i="321"/>
  <c r="AE118" i="321" s="1"/>
  <c r="AE127" i="321" s="1"/>
  <c r="AF187" i="321"/>
  <c r="AE119" i="265"/>
  <c r="AE62" i="328" s="1"/>
  <c r="AE115" i="315"/>
  <c r="AE268" i="288"/>
  <c r="AE118" i="288"/>
  <c r="AE242" i="321"/>
  <c r="AE243" i="321" s="1"/>
  <c r="AE361" i="321"/>
  <c r="AE98" i="282"/>
  <c r="AE238" i="321"/>
  <c r="AE164" i="321"/>
  <c r="AE166" i="321" s="1"/>
  <c r="AE49" i="321"/>
  <c r="AE251" i="288"/>
  <c r="AE28" i="282"/>
  <c r="AE101" i="288"/>
  <c r="AD29" i="282"/>
  <c r="AD245" i="321"/>
  <c r="AD78" i="321"/>
  <c r="AD145" i="321"/>
  <c r="AD148" i="321" s="1"/>
  <c r="AD257" i="321"/>
  <c r="AD260" i="321" s="1"/>
  <c r="AC175" i="321"/>
  <c r="AC176" i="321" s="1"/>
  <c r="AC287" i="321"/>
  <c r="AC288" i="321" s="1"/>
  <c r="AB81" i="311"/>
  <c r="W68" i="315"/>
  <c r="W22" i="265"/>
  <c r="W72" i="265"/>
  <c r="W20" i="315"/>
  <c r="W72" i="315"/>
  <c r="W76" i="265"/>
  <c r="X433" i="321"/>
  <c r="W122" i="265"/>
  <c r="W118" i="315"/>
  <c r="W271" i="288"/>
  <c r="W121" i="288"/>
  <c r="W19" i="315"/>
  <c r="W67" i="315"/>
  <c r="W21" i="265"/>
  <c r="W71" i="265"/>
  <c r="W110" i="288"/>
  <c r="W112" i="288" s="1"/>
  <c r="W260" i="288"/>
  <c r="W262" i="288" s="1"/>
  <c r="W369" i="321"/>
  <c r="W75" i="265"/>
  <c r="W71" i="315"/>
  <c r="X401" i="321"/>
  <c r="W121" i="265"/>
  <c r="W270" i="288"/>
  <c r="W120" i="288"/>
  <c r="W117" i="315"/>
  <c r="T107" i="282"/>
  <c r="T174" i="314"/>
  <c r="T39" i="282"/>
  <c r="S32" i="314"/>
  <c r="AF299" i="321"/>
  <c r="AE119" i="288"/>
  <c r="AE116" i="315"/>
  <c r="AE120" i="265"/>
  <c r="AE63" i="328" s="1"/>
  <c r="AE269" i="288"/>
  <c r="AE354" i="321"/>
  <c r="AE363" i="321"/>
  <c r="AE99" i="282"/>
  <c r="AE350" i="321"/>
  <c r="AE253" i="288"/>
  <c r="AE30" i="282"/>
  <c r="AE103" i="288"/>
  <c r="AE50" i="321"/>
  <c r="AE276" i="321"/>
  <c r="AE278" i="321" s="1"/>
  <c r="AD356" i="321"/>
  <c r="AC70" i="265"/>
  <c r="AC20" i="265"/>
  <c r="AB53" i="265"/>
  <c r="S53" i="277" s="1"/>
  <c r="AB51" i="315"/>
  <c r="AC684" i="321"/>
  <c r="AB119" i="315"/>
  <c r="AB123" i="265"/>
  <c r="S123" i="277" s="1"/>
  <c r="AB54" i="315"/>
  <c r="AB56" i="265"/>
  <c r="S56" i="277" s="1"/>
  <c r="AB26" i="265"/>
  <c r="S26" i="277" s="1"/>
  <c r="AB24" i="315"/>
  <c r="AB84" i="265"/>
  <c r="S84" i="277" s="1"/>
  <c r="AB80" i="315"/>
  <c r="AC693" i="321" l="1"/>
  <c r="AC695" i="321" s="1"/>
  <c r="AC699" i="321" s="1"/>
  <c r="AC702" i="321" s="1"/>
  <c r="AC706" i="321" s="1"/>
  <c r="AC709" i="321" s="1"/>
  <c r="AC711" i="321" s="1"/>
  <c r="AC712" i="321"/>
  <c r="AC673" i="321"/>
  <c r="AC676" i="321" s="1"/>
  <c r="AD31" i="282"/>
  <c r="AD357" i="321"/>
  <c r="AE283" i="321"/>
  <c r="AE18" i="315"/>
  <c r="AE66" i="315"/>
  <c r="AE19" i="265"/>
  <c r="AE69" i="265"/>
  <c r="AE355" i="321"/>
  <c r="AF346" i="321"/>
  <c r="AF349" i="321" s="1"/>
  <c r="AF302" i="321"/>
  <c r="AF120" i="321"/>
  <c r="AF113" i="321"/>
  <c r="AF104" i="288"/>
  <c r="AF254" i="288"/>
  <c r="T28" i="265"/>
  <c r="O28" i="277" s="1"/>
  <c r="T81" i="265"/>
  <c r="O81" i="277" s="1"/>
  <c r="T26" i="315"/>
  <c r="T77" i="315"/>
  <c r="X395" i="321"/>
  <c r="X397" i="321" s="1"/>
  <c r="X379" i="321"/>
  <c r="X381" i="321" s="1"/>
  <c r="X106" i="288"/>
  <c r="X256" i="288"/>
  <c r="W16" i="314"/>
  <c r="W216" i="288"/>
  <c r="W21" i="328"/>
  <c r="W66" i="288"/>
  <c r="W103" i="314"/>
  <c r="W110" i="314"/>
  <c r="W23" i="314"/>
  <c r="W79" i="288"/>
  <c r="W142" i="288"/>
  <c r="W143" i="288" s="1"/>
  <c r="W229" i="288"/>
  <c r="X427" i="321"/>
  <c r="X429" i="321" s="1"/>
  <c r="X411" i="321"/>
  <c r="X413" i="321" s="1"/>
  <c r="X108" i="288"/>
  <c r="X258" i="288"/>
  <c r="AC41" i="311"/>
  <c r="AC82" i="311" s="1"/>
  <c r="AC40" i="311"/>
  <c r="AD282" i="321"/>
  <c r="AD284" i="321" s="1"/>
  <c r="AD170" i="321"/>
  <c r="AD172" i="321" s="1"/>
  <c r="AD68" i="265"/>
  <c r="T68" i="277" s="1"/>
  <c r="AD18" i="265"/>
  <c r="T18" i="277" s="1"/>
  <c r="AE52" i="321"/>
  <c r="AE171" i="321"/>
  <c r="AE17" i="265"/>
  <c r="AE67" i="265"/>
  <c r="AE17" i="315"/>
  <c r="AE65" i="315"/>
  <c r="AE244" i="321"/>
  <c r="AF234" i="321"/>
  <c r="AF237" i="321" s="1"/>
  <c r="AF190" i="321"/>
  <c r="AF112" i="321"/>
  <c r="AF114" i="321" s="1"/>
  <c r="AF102" i="288"/>
  <c r="AF116" i="321"/>
  <c r="AF252" i="288"/>
  <c r="AH30" i="315"/>
  <c r="AH32" i="265"/>
  <c r="V32" i="277" s="1"/>
  <c r="AI152" i="282"/>
  <c r="AI155" i="282" s="1"/>
  <c r="AI115" i="282"/>
  <c r="AI47" i="282"/>
  <c r="AI84" i="282"/>
  <c r="AI87" i="282" s="1"/>
  <c r="AI23" i="282"/>
  <c r="AI24" i="282" s="1"/>
  <c r="AJ21" i="282" s="1"/>
  <c r="AH94" i="282"/>
  <c r="AH162" i="282"/>
  <c r="AV104" i="265"/>
  <c r="AC103" i="277"/>
  <c r="AC104" i="277" s="1"/>
  <c r="AW99" i="315"/>
  <c r="AW100" i="315" s="1"/>
  <c r="AW103" i="265"/>
  <c r="AW104" i="265" s="1"/>
  <c r="AX40" i="285"/>
  <c r="AX43" i="285" s="1"/>
  <c r="AX103" i="265" l="1"/>
  <c r="AX99" i="315"/>
  <c r="AX100" i="315" s="1"/>
  <c r="AY40" i="285"/>
  <c r="AY43" i="285" s="1"/>
  <c r="AI160" i="282"/>
  <c r="AH121" i="315"/>
  <c r="AI92" i="282"/>
  <c r="AH125" i="265"/>
  <c r="V125" i="277" s="1"/>
  <c r="AJ10" i="282"/>
  <c r="AJ12" i="282" s="1"/>
  <c r="AI93" i="282"/>
  <c r="AI88" i="282"/>
  <c r="AI156" i="282"/>
  <c r="AI161" i="282"/>
  <c r="AF117" i="321"/>
  <c r="AF118" i="321" s="1"/>
  <c r="AF127" i="321" s="1"/>
  <c r="AF121" i="321"/>
  <c r="AF122" i="321" s="1"/>
  <c r="AF128" i="321" s="1"/>
  <c r="AG187" i="321"/>
  <c r="AF115" i="315"/>
  <c r="AF119" i="265"/>
  <c r="AF268" i="288"/>
  <c r="AF118" i="288"/>
  <c r="AF242" i="321"/>
  <c r="AF243" i="321" s="1"/>
  <c r="AF361" i="321"/>
  <c r="AF98" i="282"/>
  <c r="AF28" i="282"/>
  <c r="AF238" i="321"/>
  <c r="AF164" i="321"/>
  <c r="AF166" i="321" s="1"/>
  <c r="AF101" i="288"/>
  <c r="AF49" i="321"/>
  <c r="AF251" i="288"/>
  <c r="AE29" i="282"/>
  <c r="AE245" i="321"/>
  <c r="AE257" i="321"/>
  <c r="AE260" i="321" s="1"/>
  <c r="AE145" i="321"/>
  <c r="AE148" i="321" s="1"/>
  <c r="AE78" i="321"/>
  <c r="AD175" i="321"/>
  <c r="AD176" i="321" s="1"/>
  <c r="AD287" i="321"/>
  <c r="AD288" i="321" s="1"/>
  <c r="AC81" i="311"/>
  <c r="X368" i="321"/>
  <c r="X435" i="321"/>
  <c r="X436" i="321" s="1"/>
  <c r="X414" i="321"/>
  <c r="X367" i="321"/>
  <c r="X101" i="282"/>
  <c r="X107" i="288"/>
  <c r="X257" i="288"/>
  <c r="X430" i="321"/>
  <c r="X33" i="282"/>
  <c r="W231" i="288"/>
  <c r="W240" i="288" s="1"/>
  <c r="W146" i="288"/>
  <c r="W81" i="288"/>
  <c r="W90" i="288" s="1"/>
  <c r="U105" i="314"/>
  <c r="U109" i="314" s="1"/>
  <c r="U112" i="314" s="1"/>
  <c r="U115" i="314" s="1"/>
  <c r="U18" i="314"/>
  <c r="U22" i="314" s="1"/>
  <c r="U25" i="314" s="1"/>
  <c r="X366" i="321"/>
  <c r="X403" i="321"/>
  <c r="X404" i="321" s="1"/>
  <c r="X382" i="321"/>
  <c r="X365" i="321"/>
  <c r="X369" i="321" s="1"/>
  <c r="X100" i="282"/>
  <c r="X255" i="288"/>
  <c r="X260" i="288" s="1"/>
  <c r="X262" i="288" s="1"/>
  <c r="X398" i="321"/>
  <c r="X32" i="282"/>
  <c r="X105" i="288"/>
  <c r="X110" i="288" s="1"/>
  <c r="X112" i="288" s="1"/>
  <c r="AG299" i="321"/>
  <c r="AF116" i="315"/>
  <c r="AF269" i="288"/>
  <c r="AF119" i="288"/>
  <c r="AF120" i="265"/>
  <c r="AF354" i="321"/>
  <c r="AF363" i="321"/>
  <c r="AF99" i="282"/>
  <c r="AF30" i="282"/>
  <c r="AF50" i="321"/>
  <c r="AF350" i="321"/>
  <c r="AF103" i="288"/>
  <c r="AF253" i="288"/>
  <c r="AF276" i="321"/>
  <c r="AF278" i="321" s="1"/>
  <c r="AE356" i="321"/>
  <c r="AD70" i="265"/>
  <c r="T70" i="277" s="1"/>
  <c r="AD20" i="265"/>
  <c r="T20" i="277" s="1"/>
  <c r="AC679" i="321"/>
  <c r="AC680" i="321" s="1"/>
  <c r="AC442" i="321"/>
  <c r="AC443" i="321" s="1"/>
  <c r="AC714" i="321"/>
  <c r="AC102" i="282" l="1"/>
  <c r="AC34" i="282"/>
  <c r="AC715" i="321"/>
  <c r="AC46" i="288"/>
  <c r="AC446" i="321"/>
  <c r="AC447" i="321" s="1"/>
  <c r="AC529" i="321"/>
  <c r="AC485" i="321"/>
  <c r="AC196" i="288"/>
  <c r="AC687" i="321"/>
  <c r="AC688" i="321" s="1"/>
  <c r="AC681" i="321"/>
  <c r="AE31" i="282"/>
  <c r="AE357" i="321"/>
  <c r="AF283" i="321"/>
  <c r="AF19" i="265"/>
  <c r="U19" i="277" s="1"/>
  <c r="AF69" i="265"/>
  <c r="U69" i="277" s="1"/>
  <c r="AF18" i="315"/>
  <c r="AF66" i="315"/>
  <c r="AF355" i="321"/>
  <c r="AF63" i="328"/>
  <c r="U74" i="328" s="1"/>
  <c r="U120" i="277"/>
  <c r="AG346" i="321"/>
  <c r="AG349" i="321" s="1"/>
  <c r="AG302" i="321"/>
  <c r="AG120" i="321"/>
  <c r="AG254" i="288"/>
  <c r="AG104" i="288"/>
  <c r="AG113" i="321"/>
  <c r="X71" i="265"/>
  <c r="Q71" i="277" s="1"/>
  <c r="X19" i="315"/>
  <c r="X67" i="315"/>
  <c r="X21" i="265"/>
  <c r="X16" i="314"/>
  <c r="X216" i="288"/>
  <c r="X110" i="314"/>
  <c r="X142" i="288"/>
  <c r="X143" i="288" s="1"/>
  <c r="X103" i="314"/>
  <c r="X229" i="288"/>
  <c r="X23" i="314"/>
  <c r="X66" i="288"/>
  <c r="X21" i="328"/>
  <c r="Q41" i="328" s="1"/>
  <c r="X79" i="288"/>
  <c r="X71" i="315"/>
  <c r="X75" i="265"/>
  <c r="Q75" i="277" s="1"/>
  <c r="Y401" i="321"/>
  <c r="X270" i="288"/>
  <c r="X120" i="288"/>
  <c r="X117" i="315"/>
  <c r="X121" i="265"/>
  <c r="Q121" i="277" s="1"/>
  <c r="U27" i="314"/>
  <c r="T29" i="314" s="1"/>
  <c r="U171" i="314"/>
  <c r="U173" i="314" s="1"/>
  <c r="U36" i="314"/>
  <c r="U88" i="314"/>
  <c r="X72" i="265"/>
  <c r="Q72" i="277" s="1"/>
  <c r="X20" i="315"/>
  <c r="X68" i="315"/>
  <c r="X22" i="265"/>
  <c r="Q22" i="277" s="1"/>
  <c r="X72" i="315"/>
  <c r="X76" i="265"/>
  <c r="Q76" i="277" s="1"/>
  <c r="Y433" i="321"/>
  <c r="X118" i="315"/>
  <c r="X121" i="288"/>
  <c r="X271" i="288"/>
  <c r="X122" i="265"/>
  <c r="Q122" i="277" s="1"/>
  <c r="AD41" i="311"/>
  <c r="AD82" i="311" s="1"/>
  <c r="AD40" i="311"/>
  <c r="AE170" i="321"/>
  <c r="AE172" i="321" s="1"/>
  <c r="AE282" i="321"/>
  <c r="AE284" i="321" s="1"/>
  <c r="AE68" i="265"/>
  <c r="AE18" i="265"/>
  <c r="AF52" i="321"/>
  <c r="AF171" i="321"/>
  <c r="AF17" i="265"/>
  <c r="U17" i="277" s="1"/>
  <c r="AF17" i="315"/>
  <c r="AF65" i="315"/>
  <c r="AF67" i="265"/>
  <c r="U67" i="277" s="1"/>
  <c r="AF244" i="321"/>
  <c r="AF62" i="328"/>
  <c r="U73" i="328" s="1"/>
  <c r="U119" i="277"/>
  <c r="AG234" i="321"/>
  <c r="AG237" i="321" s="1"/>
  <c r="AG190" i="321"/>
  <c r="AG112" i="321"/>
  <c r="AG114" i="321" s="1"/>
  <c r="AG252" i="288"/>
  <c r="AG102" i="288"/>
  <c r="AG116" i="321"/>
  <c r="AI30" i="315"/>
  <c r="AI32" i="265"/>
  <c r="AJ152" i="282"/>
  <c r="AJ155" i="282" s="1"/>
  <c r="AJ115" i="282"/>
  <c r="AJ47" i="282"/>
  <c r="AJ84" i="282"/>
  <c r="AJ87" i="282" s="1"/>
  <c r="AJ23" i="282"/>
  <c r="AJ24" i="282" s="1"/>
  <c r="AK21" i="282" s="1"/>
  <c r="AI94" i="282"/>
  <c r="AI162" i="282"/>
  <c r="AY103" i="265"/>
  <c r="AY104" i="265" s="1"/>
  <c r="AZ40" i="285"/>
  <c r="AZ43" i="285" s="1"/>
  <c r="AY99" i="315"/>
  <c r="AY100" i="315" s="1"/>
  <c r="AD103" i="277"/>
  <c r="AD104" i="277" s="1"/>
  <c r="AX104" i="265"/>
  <c r="AZ99" i="315" l="1"/>
  <c r="AZ100" i="315" s="1"/>
  <c r="BA40" i="285"/>
  <c r="BA43" i="285" s="1"/>
  <c r="AZ103" i="265"/>
  <c r="AJ160" i="282"/>
  <c r="AI121" i="315"/>
  <c r="AJ92" i="282"/>
  <c r="AI125" i="265"/>
  <c r="AK10" i="282"/>
  <c r="AK12" i="282" s="1"/>
  <c r="AJ93" i="282"/>
  <c r="AJ88" i="282"/>
  <c r="AJ156" i="282"/>
  <c r="AJ161" i="282"/>
  <c r="AG121" i="321"/>
  <c r="AG122" i="321" s="1"/>
  <c r="AG128" i="321" s="1"/>
  <c r="AG117" i="321"/>
  <c r="AG118" i="321" s="1"/>
  <c r="AG127" i="321" s="1"/>
  <c r="AH187" i="321"/>
  <c r="AG118" i="288"/>
  <c r="AG119" i="265"/>
  <c r="AG62" i="328" s="1"/>
  <c r="AG115" i="315"/>
  <c r="AG268" i="288"/>
  <c r="AG242" i="321"/>
  <c r="AG243" i="321" s="1"/>
  <c r="AG361" i="321"/>
  <c r="AG98" i="282"/>
  <c r="AG238" i="321"/>
  <c r="AG164" i="321"/>
  <c r="AG166" i="321" s="1"/>
  <c r="AG49" i="321"/>
  <c r="AG251" i="288"/>
  <c r="AG28" i="282"/>
  <c r="AG101" i="288"/>
  <c r="AF29" i="282"/>
  <c r="AF245" i="321"/>
  <c r="AF257" i="321"/>
  <c r="AF260" i="321" s="1"/>
  <c r="AF145" i="321"/>
  <c r="AF148" i="321" s="1"/>
  <c r="AF78" i="321"/>
  <c r="AE287" i="321"/>
  <c r="AE288" i="321" s="1"/>
  <c r="AE175" i="321"/>
  <c r="AE176" i="321" s="1"/>
  <c r="AD81" i="311"/>
  <c r="Y427" i="321"/>
  <c r="Y429" i="321" s="1"/>
  <c r="Y411" i="321"/>
  <c r="Y413" i="321" s="1"/>
  <c r="Y108" i="288"/>
  <c r="Y258" i="288"/>
  <c r="U107" i="282"/>
  <c r="U39" i="282"/>
  <c r="U174" i="314"/>
  <c r="T32" i="314"/>
  <c r="Y395" i="321"/>
  <c r="Y397" i="321" s="1"/>
  <c r="Y379" i="321"/>
  <c r="Y381" i="321" s="1"/>
  <c r="Y256" i="288"/>
  <c r="Y106" i="288"/>
  <c r="X81" i="288"/>
  <c r="X90" i="288" s="1"/>
  <c r="X231" i="288"/>
  <c r="X240" i="288" s="1"/>
  <c r="V105" i="314"/>
  <c r="V109" i="314" s="1"/>
  <c r="V112" i="314" s="1"/>
  <c r="V115" i="314" s="1"/>
  <c r="X146" i="288"/>
  <c r="V18" i="314"/>
  <c r="V22" i="314" s="1"/>
  <c r="V25" i="314" s="1"/>
  <c r="Q21" i="277"/>
  <c r="AH299" i="321"/>
  <c r="AG119" i="288"/>
  <c r="AG116" i="315"/>
  <c r="AG120" i="265"/>
  <c r="AG63" i="328" s="1"/>
  <c r="AG269" i="288"/>
  <c r="AG354" i="321"/>
  <c r="AG363" i="321"/>
  <c r="AG99" i="282"/>
  <c r="AG276" i="321"/>
  <c r="AG278" i="321" s="1"/>
  <c r="AG350" i="321"/>
  <c r="AG30" i="282"/>
  <c r="AG103" i="288"/>
  <c r="AG253" i="288"/>
  <c r="AG50" i="321"/>
  <c r="AF356" i="321"/>
  <c r="AE70" i="265"/>
  <c r="AE20" i="265"/>
  <c r="AC53" i="265"/>
  <c r="AC51" i="315"/>
  <c r="AD684" i="321"/>
  <c r="AC123" i="265"/>
  <c r="AC119" i="315"/>
  <c r="AC56" i="265"/>
  <c r="AC54" i="315"/>
  <c r="AC24" i="315"/>
  <c r="AC80" i="315"/>
  <c r="AC84" i="265"/>
  <c r="AC26" i="265"/>
  <c r="AD693" i="321" l="1"/>
  <c r="AD695" i="321" s="1"/>
  <c r="AD699" i="321" s="1"/>
  <c r="AD702" i="321" s="1"/>
  <c r="AD706" i="321" s="1"/>
  <c r="AD709" i="321" s="1"/>
  <c r="AD711" i="321" s="1"/>
  <c r="AD712" i="321"/>
  <c r="AD673" i="321"/>
  <c r="AD676" i="321" s="1"/>
  <c r="AF31" i="282"/>
  <c r="AF357" i="321"/>
  <c r="AG69" i="265"/>
  <c r="AG18" i="315"/>
  <c r="AG66" i="315"/>
  <c r="AG19" i="265"/>
  <c r="AG283" i="321"/>
  <c r="AG355" i="321"/>
  <c r="AH346" i="321"/>
  <c r="AH349" i="321" s="1"/>
  <c r="AH302" i="321"/>
  <c r="AH104" i="288"/>
  <c r="AH113" i="321"/>
  <c r="AH254" i="288"/>
  <c r="AH120" i="321"/>
  <c r="V27" i="314"/>
  <c r="U29" i="314" s="1"/>
  <c r="V36" i="314"/>
  <c r="V88" i="314"/>
  <c r="V171" i="314"/>
  <c r="V173" i="314" s="1"/>
  <c r="Y366" i="321"/>
  <c r="Y403" i="321"/>
  <c r="Y404" i="321" s="1"/>
  <c r="Y382" i="321"/>
  <c r="Y365" i="321"/>
  <c r="Y100" i="282"/>
  <c r="Y255" i="288"/>
  <c r="Y105" i="288"/>
  <c r="Y32" i="282"/>
  <c r="Y398" i="321"/>
  <c r="U26" i="315"/>
  <c r="U77" i="315"/>
  <c r="U28" i="265"/>
  <c r="U81" i="265"/>
  <c r="Y368" i="321"/>
  <c r="Y435" i="321"/>
  <c r="Y436" i="321" s="1"/>
  <c r="Y414" i="321"/>
  <c r="Y367" i="321"/>
  <c r="Y101" i="282"/>
  <c r="Y430" i="321"/>
  <c r="Y33" i="282"/>
  <c r="Y257" i="288"/>
  <c r="Y107" i="288"/>
  <c r="AE40" i="311"/>
  <c r="AE41" i="311"/>
  <c r="AE82" i="311" s="1"/>
  <c r="AF170" i="321"/>
  <c r="AF172" i="321" s="1"/>
  <c r="AF282" i="321"/>
  <c r="AF284" i="321" s="1"/>
  <c r="AF68" i="265"/>
  <c r="U68" i="277" s="1"/>
  <c r="AF18" i="265"/>
  <c r="U18" i="277" s="1"/>
  <c r="AG52" i="321"/>
  <c r="AG171" i="321"/>
  <c r="AG17" i="265"/>
  <c r="AG67" i="265"/>
  <c r="AG17" i="315"/>
  <c r="AG65" i="315"/>
  <c r="AG244" i="321"/>
  <c r="AH234" i="321"/>
  <c r="AH237" i="321" s="1"/>
  <c r="AH190" i="321"/>
  <c r="AH252" i="288"/>
  <c r="AH102" i="288"/>
  <c r="AH112" i="321"/>
  <c r="AH114" i="321" s="1"/>
  <c r="AH116" i="321"/>
  <c r="AJ30" i="315"/>
  <c r="AJ32" i="265"/>
  <c r="W32" i="277" s="1"/>
  <c r="AK152" i="282"/>
  <c r="AK155" i="282" s="1"/>
  <c r="AK115" i="282"/>
  <c r="AK47" i="282"/>
  <c r="AK84" i="282"/>
  <c r="AK87" i="282" s="1"/>
  <c r="AK23" i="282"/>
  <c r="AK24" i="282" s="1"/>
  <c r="AL21" i="282" s="1"/>
  <c r="AJ94" i="282"/>
  <c r="AJ162" i="282"/>
  <c r="AE103" i="277"/>
  <c r="AE104" i="277" s="1"/>
  <c r="AZ104" i="265"/>
  <c r="BB40" i="285"/>
  <c r="BB43" i="285" s="1"/>
  <c r="BA99" i="315"/>
  <c r="BA100" i="315" s="1"/>
  <c r="BA103" i="265"/>
  <c r="BA104" i="265" s="1"/>
  <c r="BB99" i="315" l="1"/>
  <c r="BB100" i="315" s="1"/>
  <c r="BB103" i="265"/>
  <c r="BC40" i="285"/>
  <c r="BC43" i="285" s="1"/>
  <c r="AK160" i="282"/>
  <c r="AJ121" i="315"/>
  <c r="AK92" i="282"/>
  <c r="AJ125" i="265"/>
  <c r="W125" i="277" s="1"/>
  <c r="AL10" i="282"/>
  <c r="AL12" i="282" s="1"/>
  <c r="AK93" i="282"/>
  <c r="AK88" i="282"/>
  <c r="AK156" i="282"/>
  <c r="AK161" i="282"/>
  <c r="AH117" i="321"/>
  <c r="AH118" i="321" s="1"/>
  <c r="AH127" i="321" s="1"/>
  <c r="AH121" i="321"/>
  <c r="AH122" i="321" s="1"/>
  <c r="AH128" i="321" s="1"/>
  <c r="AI187" i="321"/>
  <c r="AH118" i="288"/>
  <c r="AH268" i="288"/>
  <c r="AH115" i="315"/>
  <c r="AH119" i="265"/>
  <c r="AH242" i="321"/>
  <c r="AH243" i="321" s="1"/>
  <c r="AH361" i="321"/>
  <c r="AH98" i="282"/>
  <c r="AH251" i="288"/>
  <c r="AH28" i="282"/>
  <c r="AH101" i="288"/>
  <c r="AH238" i="321"/>
  <c r="AH164" i="321"/>
  <c r="AH166" i="321" s="1"/>
  <c r="AH49" i="321"/>
  <c r="AG29" i="282"/>
  <c r="AG245" i="321"/>
  <c r="AG257" i="321"/>
  <c r="AG260" i="321" s="1"/>
  <c r="AG78" i="321"/>
  <c r="AG145" i="321"/>
  <c r="AG148" i="321" s="1"/>
  <c r="AF287" i="321"/>
  <c r="AF288" i="321" s="1"/>
  <c r="AF175" i="321"/>
  <c r="AF176" i="321" s="1"/>
  <c r="AE81" i="311"/>
  <c r="Y20" i="315"/>
  <c r="Y68" i="315"/>
  <c r="Y22" i="265"/>
  <c r="Y72" i="265"/>
  <c r="Y72" i="315"/>
  <c r="Y76" i="265"/>
  <c r="Z433" i="321"/>
  <c r="Y121" i="288"/>
  <c r="Y122" i="265"/>
  <c r="Y118" i="315"/>
  <c r="Y271" i="288"/>
  <c r="Y71" i="265"/>
  <c r="Y19" i="315"/>
  <c r="Y67" i="315"/>
  <c r="Y21" i="265"/>
  <c r="Y110" i="288"/>
  <c r="Y112" i="288" s="1"/>
  <c r="Y260" i="288"/>
  <c r="Y262" i="288" s="1"/>
  <c r="Y369" i="321"/>
  <c r="Y75" i="265"/>
  <c r="Y71" i="315"/>
  <c r="Z401" i="321"/>
  <c r="Y120" i="288"/>
  <c r="Y117" i="315"/>
  <c r="Y121" i="265"/>
  <c r="Y270" i="288"/>
  <c r="V107" i="282"/>
  <c r="V174" i="314"/>
  <c r="V39" i="282"/>
  <c r="U32" i="314"/>
  <c r="AI299" i="321"/>
  <c r="AH116" i="315"/>
  <c r="AH120" i="265"/>
  <c r="AH269" i="288"/>
  <c r="AH119" i="288"/>
  <c r="AH354" i="321"/>
  <c r="AH363" i="321"/>
  <c r="AH99" i="282"/>
  <c r="AH30" i="282"/>
  <c r="AH276" i="321"/>
  <c r="AH278" i="321" s="1"/>
  <c r="AH50" i="321"/>
  <c r="AH253" i="288"/>
  <c r="AH350" i="321"/>
  <c r="AH103" i="288"/>
  <c r="AG356" i="321"/>
  <c r="AF70" i="265"/>
  <c r="U70" i="277" s="1"/>
  <c r="AF20" i="265"/>
  <c r="U20" i="277" s="1"/>
  <c r="AD442" i="321"/>
  <c r="AD443" i="321" s="1"/>
  <c r="AD679" i="321"/>
  <c r="AD680" i="321" s="1"/>
  <c r="AD714" i="321"/>
  <c r="AD715" i="321" l="1"/>
  <c r="AD102" i="282"/>
  <c r="AD34" i="282"/>
  <c r="AD687" i="321"/>
  <c r="AD688" i="321" s="1"/>
  <c r="AD681" i="321"/>
  <c r="AD46" i="288"/>
  <c r="AD446" i="321"/>
  <c r="AD447" i="321" s="1"/>
  <c r="AD529" i="321"/>
  <c r="AD485" i="321"/>
  <c r="AD196" i="288"/>
  <c r="AG31" i="282"/>
  <c r="AG357" i="321"/>
  <c r="AH66" i="315"/>
  <c r="AH19" i="265"/>
  <c r="V19" i="277" s="1"/>
  <c r="AH69" i="265"/>
  <c r="V69" i="277" s="1"/>
  <c r="AH18" i="315"/>
  <c r="AH283" i="321"/>
  <c r="AH355" i="321"/>
  <c r="V120" i="277"/>
  <c r="AH63" i="328"/>
  <c r="V74" i="328" s="1"/>
  <c r="AI346" i="321"/>
  <c r="AI349" i="321" s="1"/>
  <c r="AI302" i="321"/>
  <c r="AI120" i="321"/>
  <c r="AI113" i="321"/>
  <c r="AI254" i="288"/>
  <c r="AI104" i="288"/>
  <c r="V77" i="315"/>
  <c r="V28" i="265"/>
  <c r="P28" i="277" s="1"/>
  <c r="V81" i="265"/>
  <c r="P81" i="277" s="1"/>
  <c r="V26" i="315"/>
  <c r="Z395" i="321"/>
  <c r="Z397" i="321" s="1"/>
  <c r="Z379" i="321"/>
  <c r="Z381" i="321" s="1"/>
  <c r="Z256" i="288"/>
  <c r="Z106" i="288"/>
  <c r="Y16" i="314"/>
  <c r="Y21" i="328"/>
  <c r="Y23" i="314"/>
  <c r="Y142" i="288"/>
  <c r="Y143" i="288" s="1"/>
  <c r="Y103" i="314"/>
  <c r="Y216" i="288"/>
  <c r="Y66" i="288"/>
  <c r="Y79" i="288"/>
  <c r="Y110" i="314"/>
  <c r="Y229" i="288"/>
  <c r="Z427" i="321"/>
  <c r="Z429" i="321" s="1"/>
  <c r="Z411" i="321"/>
  <c r="Z413" i="321" s="1"/>
  <c r="Z258" i="288"/>
  <c r="Z108" i="288"/>
  <c r="AF40" i="311"/>
  <c r="AF41" i="311"/>
  <c r="AF82" i="311" s="1"/>
  <c r="AG170" i="321"/>
  <c r="AG172" i="321" s="1"/>
  <c r="AG282" i="321"/>
  <c r="AG284" i="321" s="1"/>
  <c r="AG68" i="265"/>
  <c r="AG18" i="265"/>
  <c r="AH52" i="321"/>
  <c r="AH171" i="321"/>
  <c r="AH65" i="315"/>
  <c r="AH17" i="265"/>
  <c r="V17" i="277" s="1"/>
  <c r="AH67" i="265"/>
  <c r="V67" i="277" s="1"/>
  <c r="AH17" i="315"/>
  <c r="AH244" i="321"/>
  <c r="AH62" i="328"/>
  <c r="V73" i="328" s="1"/>
  <c r="V119" i="277"/>
  <c r="AI234" i="321"/>
  <c r="AI237" i="321" s="1"/>
  <c r="AI190" i="321"/>
  <c r="AI102" i="288"/>
  <c r="AI116" i="321"/>
  <c r="AI112" i="321"/>
  <c r="AI114" i="321" s="1"/>
  <c r="AI252" i="288"/>
  <c r="AK30" i="315"/>
  <c r="AK32" i="265"/>
  <c r="AL152" i="282"/>
  <c r="AL155" i="282" s="1"/>
  <c r="AL115" i="282"/>
  <c r="AL47" i="282"/>
  <c r="AL84" i="282"/>
  <c r="AL87" i="282" s="1"/>
  <c r="AL23" i="282"/>
  <c r="AL24" i="282" s="1"/>
  <c r="AM21" i="282" s="1"/>
  <c r="AK94" i="282"/>
  <c r="AK162" i="282"/>
  <c r="BD40" i="285"/>
  <c r="BD43" i="285" s="1"/>
  <c r="BC103" i="265"/>
  <c r="BC104" i="265" s="1"/>
  <c r="BC99" i="315"/>
  <c r="BC100" i="315" s="1"/>
  <c r="AF103" i="277"/>
  <c r="AF104" i="277" s="1"/>
  <c r="BB104" i="265"/>
  <c r="BD103" i="265" l="1"/>
  <c r="BE40" i="285"/>
  <c r="BE43" i="285" s="1"/>
  <c r="BD99" i="315"/>
  <c r="BD100" i="315" s="1"/>
  <c r="AL160" i="282"/>
  <c r="AK121" i="315"/>
  <c r="AL92" i="282"/>
  <c r="AK125" i="265"/>
  <c r="AM10" i="282"/>
  <c r="AM12" i="282" s="1"/>
  <c r="AL93" i="282"/>
  <c r="AL88" i="282"/>
  <c r="AL156" i="282"/>
  <c r="AL161" i="282"/>
  <c r="AI121" i="321"/>
  <c r="AI122" i="321" s="1"/>
  <c r="AI128" i="321" s="1"/>
  <c r="AI117" i="321"/>
  <c r="AI118" i="321" s="1"/>
  <c r="AI127" i="321" s="1"/>
  <c r="AJ187" i="321"/>
  <c r="AI268" i="288"/>
  <c r="AI118" i="288"/>
  <c r="AI119" i="265"/>
  <c r="AI62" i="328" s="1"/>
  <c r="AI115" i="315"/>
  <c r="AI242" i="321"/>
  <c r="AI243" i="321" s="1"/>
  <c r="AI361" i="321"/>
  <c r="AI98" i="282"/>
  <c r="AI238" i="321"/>
  <c r="AI101" i="288"/>
  <c r="AI28" i="282"/>
  <c r="AI164" i="321"/>
  <c r="AI166" i="321" s="1"/>
  <c r="AI49" i="321"/>
  <c r="AI251" i="288"/>
  <c r="AH29" i="282"/>
  <c r="AH245" i="321"/>
  <c r="AH78" i="321"/>
  <c r="AH257" i="321"/>
  <c r="AH260" i="321" s="1"/>
  <c r="AH145" i="321"/>
  <c r="AH148" i="321" s="1"/>
  <c r="AG287" i="321"/>
  <c r="AG288" i="321" s="1"/>
  <c r="AG175" i="321"/>
  <c r="AG176" i="321" s="1"/>
  <c r="AF81" i="311"/>
  <c r="Z368" i="321"/>
  <c r="Z435" i="321"/>
  <c r="Z436" i="321" s="1"/>
  <c r="Z414" i="321"/>
  <c r="Z367" i="321"/>
  <c r="Z101" i="282"/>
  <c r="Z430" i="321"/>
  <c r="Z33" i="282"/>
  <c r="Z107" i="288"/>
  <c r="Z257" i="288"/>
  <c r="Y231" i="288"/>
  <c r="Y240" i="288" s="1"/>
  <c r="Y81" i="288"/>
  <c r="Y90" i="288" s="1"/>
  <c r="W105" i="314"/>
  <c r="W109" i="314" s="1"/>
  <c r="W112" i="314" s="1"/>
  <c r="W115" i="314" s="1"/>
  <c r="Y146" i="288"/>
  <c r="W18" i="314"/>
  <c r="W22" i="314" s="1"/>
  <c r="W25" i="314" s="1"/>
  <c r="Z366" i="321"/>
  <c r="Z403" i="321"/>
  <c r="Z404" i="321" s="1"/>
  <c r="Z382" i="321"/>
  <c r="Z365" i="321"/>
  <c r="Z369" i="321" s="1"/>
  <c r="Z100" i="282"/>
  <c r="Z255" i="288"/>
  <c r="Z260" i="288" s="1"/>
  <c r="Z262" i="288" s="1"/>
  <c r="Z398" i="321"/>
  <c r="Z32" i="282"/>
  <c r="Z105" i="288"/>
  <c r="Z110" i="288" s="1"/>
  <c r="Z112" i="288" s="1"/>
  <c r="AJ299" i="321"/>
  <c r="AI116" i="315"/>
  <c r="AI120" i="265"/>
  <c r="AI63" i="328" s="1"/>
  <c r="AI269" i="288"/>
  <c r="AI119" i="288"/>
  <c r="AI354" i="321"/>
  <c r="AI363" i="321"/>
  <c r="AI99" i="282"/>
  <c r="AI350" i="321"/>
  <c r="AI103" i="288"/>
  <c r="AI276" i="321"/>
  <c r="AI278" i="321" s="1"/>
  <c r="AI50" i="321"/>
  <c r="AI30" i="282"/>
  <c r="AI253" i="288"/>
  <c r="AH356" i="321"/>
  <c r="AG70" i="265"/>
  <c r="AG20" i="265"/>
  <c r="AD56" i="265"/>
  <c r="T56" i="277" s="1"/>
  <c r="AD54" i="315"/>
  <c r="AD53" i="265"/>
  <c r="T53" i="277" s="1"/>
  <c r="AD51" i="315"/>
  <c r="AE684" i="321"/>
  <c r="AD119" i="315"/>
  <c r="AD123" i="265"/>
  <c r="T123" i="277" s="1"/>
  <c r="AD26" i="265"/>
  <c r="T26" i="277" s="1"/>
  <c r="AD84" i="265"/>
  <c r="T84" i="277" s="1"/>
  <c r="AD24" i="315"/>
  <c r="AD80" i="315"/>
  <c r="AE673" i="321" l="1"/>
  <c r="AE676" i="321" s="1"/>
  <c r="AE693" i="321"/>
  <c r="AE695" i="321" s="1"/>
  <c r="AE699" i="321" s="1"/>
  <c r="AE702" i="321" s="1"/>
  <c r="AE706" i="321" s="1"/>
  <c r="AE709" i="321" s="1"/>
  <c r="AE711" i="321" s="1"/>
  <c r="AE712" i="321"/>
  <c r="AH31" i="282"/>
  <c r="AH357" i="321"/>
  <c r="AI283" i="321"/>
  <c r="AI18" i="315"/>
  <c r="AI66" i="315"/>
  <c r="AI19" i="265"/>
  <c r="AI69" i="265"/>
  <c r="AI355" i="321"/>
  <c r="AJ346" i="321"/>
  <c r="AJ349" i="321" s="1"/>
  <c r="AJ302" i="321"/>
  <c r="AJ120" i="321"/>
  <c r="AJ254" i="288"/>
  <c r="AJ113" i="321"/>
  <c r="AJ104" i="288"/>
  <c r="Z71" i="265"/>
  <c r="R71" i="277" s="1"/>
  <c r="Z19" i="315"/>
  <c r="Z67" i="315"/>
  <c r="Z21" i="265"/>
  <c r="R21" i="277" s="1"/>
  <c r="Z16" i="314"/>
  <c r="Z66" i="288"/>
  <c r="Z110" i="314"/>
  <c r="Z21" i="328"/>
  <c r="R41" i="328" s="1"/>
  <c r="Z79" i="288"/>
  <c r="Z103" i="314"/>
  <c r="Z229" i="288"/>
  <c r="Z23" i="314"/>
  <c r="Z142" i="288"/>
  <c r="Z143" i="288" s="1"/>
  <c r="Z216" i="288"/>
  <c r="Z75" i="265"/>
  <c r="R75" i="277" s="1"/>
  <c r="Z71" i="315"/>
  <c r="AA401" i="321"/>
  <c r="Z270" i="288"/>
  <c r="Z117" i="315"/>
  <c r="Z121" i="265"/>
  <c r="R121" i="277" s="1"/>
  <c r="Z120" i="288"/>
  <c r="W27" i="314"/>
  <c r="V29" i="314" s="1"/>
  <c r="W171" i="314"/>
  <c r="W173" i="314" s="1"/>
  <c r="W36" i="314"/>
  <c r="W88" i="314"/>
  <c r="Z68" i="315"/>
  <c r="Z22" i="265"/>
  <c r="R22" i="277" s="1"/>
  <c r="Z72" i="265"/>
  <c r="R72" i="277" s="1"/>
  <c r="Z20" i="315"/>
  <c r="Z76" i="265"/>
  <c r="R76" i="277" s="1"/>
  <c r="Z72" i="315"/>
  <c r="AA433" i="321"/>
  <c r="Z121" i="288"/>
  <c r="Z122" i="265"/>
  <c r="R122" i="277" s="1"/>
  <c r="Z118" i="315"/>
  <c r="Z271" i="288"/>
  <c r="AG40" i="311"/>
  <c r="AG41" i="311"/>
  <c r="AG82" i="311" s="1"/>
  <c r="AH170" i="321"/>
  <c r="AH172" i="321" s="1"/>
  <c r="AH282" i="321"/>
  <c r="AH284" i="321" s="1"/>
  <c r="AH68" i="265"/>
  <c r="V68" i="277" s="1"/>
  <c r="AH18" i="265"/>
  <c r="V18" i="277" s="1"/>
  <c r="AI52" i="321"/>
  <c r="AI171" i="321"/>
  <c r="AI65" i="315"/>
  <c r="AI17" i="265"/>
  <c r="AI67" i="265"/>
  <c r="AI17" i="315"/>
  <c r="AI244" i="321"/>
  <c r="AJ234" i="321"/>
  <c r="AJ237" i="321" s="1"/>
  <c r="AJ190" i="321"/>
  <c r="AJ112" i="321"/>
  <c r="AJ114" i="321" s="1"/>
  <c r="AJ116" i="321"/>
  <c r="AJ102" i="288"/>
  <c r="AJ252" i="288"/>
  <c r="AL30" i="315"/>
  <c r="AL32" i="265"/>
  <c r="X32" i="277" s="1"/>
  <c r="AM152" i="282"/>
  <c r="AM155" i="282" s="1"/>
  <c r="AM115" i="282"/>
  <c r="AM47" i="282"/>
  <c r="AM84" i="282"/>
  <c r="AM87" i="282" s="1"/>
  <c r="AM23" i="282"/>
  <c r="AM24" i="282" s="1"/>
  <c r="AN21" i="282" s="1"/>
  <c r="AL94" i="282"/>
  <c r="AL162" i="282"/>
  <c r="BE103" i="265"/>
  <c r="BE104" i="265" s="1"/>
  <c r="BE99" i="315"/>
  <c r="BE100" i="315" s="1"/>
  <c r="BF40" i="285"/>
  <c r="BF43" i="285" s="1"/>
  <c r="AG103" i="277"/>
  <c r="AG104" i="277" s="1"/>
  <c r="BD104" i="265"/>
  <c r="BF99" i="315" l="1"/>
  <c r="BF100" i="315" s="1"/>
  <c r="BF103" i="265"/>
  <c r="BG40" i="285"/>
  <c r="BG43" i="285" s="1"/>
  <c r="AM160" i="282"/>
  <c r="AL121" i="315"/>
  <c r="AM92" i="282"/>
  <c r="AL125" i="265"/>
  <c r="X125" i="277" s="1"/>
  <c r="AN10" i="282"/>
  <c r="AN12" i="282" s="1"/>
  <c r="AM93" i="282"/>
  <c r="AM88" i="282"/>
  <c r="AM156" i="282"/>
  <c r="AM161" i="282"/>
  <c r="AJ117" i="321"/>
  <c r="AJ118" i="321" s="1"/>
  <c r="AJ127" i="321" s="1"/>
  <c r="AJ121" i="321"/>
  <c r="AJ122" i="321" s="1"/>
  <c r="AJ128" i="321" s="1"/>
  <c r="AK187" i="321"/>
  <c r="AJ115" i="315"/>
  <c r="AJ119" i="265"/>
  <c r="AJ268" i="288"/>
  <c r="AJ118" i="288"/>
  <c r="AJ242" i="321"/>
  <c r="AJ243" i="321" s="1"/>
  <c r="AJ361" i="321"/>
  <c r="AJ98" i="282"/>
  <c r="AJ251" i="288"/>
  <c r="AJ28" i="282"/>
  <c r="AJ101" i="288"/>
  <c r="AJ238" i="321"/>
  <c r="AJ164" i="321"/>
  <c r="AJ166" i="321" s="1"/>
  <c r="AJ49" i="321"/>
  <c r="AI29" i="282"/>
  <c r="AI245" i="321"/>
  <c r="AI145" i="321"/>
  <c r="AI148" i="321" s="1"/>
  <c r="AI78" i="321"/>
  <c r="AI257" i="321"/>
  <c r="AI260" i="321" s="1"/>
  <c r="AH287" i="321"/>
  <c r="AH288" i="321" s="1"/>
  <c r="AH175" i="321"/>
  <c r="AH176" i="321" s="1"/>
  <c r="AG81" i="311"/>
  <c r="AA427" i="321"/>
  <c r="AA429" i="321" s="1"/>
  <c r="AA411" i="321"/>
  <c r="AA413" i="321" s="1"/>
  <c r="AA108" i="288"/>
  <c r="AA258" i="288"/>
  <c r="W107" i="282"/>
  <c r="W39" i="282"/>
  <c r="W174" i="314"/>
  <c r="V32" i="314"/>
  <c r="AA395" i="321"/>
  <c r="AA397" i="321" s="1"/>
  <c r="AA379" i="321"/>
  <c r="AA381" i="321" s="1"/>
  <c r="AA256" i="288"/>
  <c r="AA106" i="288"/>
  <c r="Z146" i="288"/>
  <c r="Z231" i="288"/>
  <c r="Z240" i="288" s="1"/>
  <c r="X105" i="314"/>
  <c r="X109" i="314" s="1"/>
  <c r="X112" i="314" s="1"/>
  <c r="X115" i="314" s="1"/>
  <c r="Z81" i="288"/>
  <c r="Z90" i="288" s="1"/>
  <c r="X18" i="314"/>
  <c r="X22" i="314" s="1"/>
  <c r="X25" i="314" s="1"/>
  <c r="AK299" i="321"/>
  <c r="AJ120" i="265"/>
  <c r="AJ269" i="288"/>
  <c r="AJ119" i="288"/>
  <c r="AJ116" i="315"/>
  <c r="AJ354" i="321"/>
  <c r="AJ363" i="321"/>
  <c r="AJ99" i="282"/>
  <c r="AJ30" i="282"/>
  <c r="AJ103" i="288"/>
  <c r="AJ50" i="321"/>
  <c r="AJ253" i="288"/>
  <c r="AJ350" i="321"/>
  <c r="AJ276" i="321"/>
  <c r="AJ278" i="321" s="1"/>
  <c r="AI356" i="321"/>
  <c r="AH70" i="265"/>
  <c r="V70" i="277" s="1"/>
  <c r="AH20" i="265"/>
  <c r="V20" i="277" s="1"/>
  <c r="AE714" i="321"/>
  <c r="AE679" i="321"/>
  <c r="AE680" i="321" s="1"/>
  <c r="AE442" i="321"/>
  <c r="AE443" i="321" s="1"/>
  <c r="AE46" i="288" l="1"/>
  <c r="AE446" i="321"/>
  <c r="AE447" i="321" s="1"/>
  <c r="AE529" i="321"/>
  <c r="AE485" i="321"/>
  <c r="AE196" i="288"/>
  <c r="AE687" i="321"/>
  <c r="AE688" i="321" s="1"/>
  <c r="AE681" i="321"/>
  <c r="AE34" i="282"/>
  <c r="AE715" i="321"/>
  <c r="AE102" i="282"/>
  <c r="AI31" i="282"/>
  <c r="AI357" i="321"/>
  <c r="AJ283" i="321"/>
  <c r="AJ66" i="315"/>
  <c r="AJ19" i="265"/>
  <c r="W19" i="277" s="1"/>
  <c r="AJ69" i="265"/>
  <c r="W69" i="277" s="1"/>
  <c r="AJ18" i="315"/>
  <c r="AJ355" i="321"/>
  <c r="AJ63" i="328"/>
  <c r="W74" i="328" s="1"/>
  <c r="W120" i="277"/>
  <c r="AK346" i="321"/>
  <c r="AK349" i="321" s="1"/>
  <c r="AK302" i="321"/>
  <c r="AK254" i="288"/>
  <c r="AK104" i="288"/>
  <c r="AK120" i="321"/>
  <c r="AK113" i="321"/>
  <c r="X27" i="314"/>
  <c r="W29" i="314" s="1"/>
  <c r="X36" i="314"/>
  <c r="X88" i="314"/>
  <c r="X171" i="314"/>
  <c r="X173" i="314" s="1"/>
  <c r="AA366" i="321"/>
  <c r="AA403" i="321"/>
  <c r="AA404" i="321" s="1"/>
  <c r="AA382" i="321"/>
  <c r="AA365" i="321"/>
  <c r="AA100" i="282"/>
  <c r="AA105" i="288"/>
  <c r="AA398" i="321"/>
  <c r="AA32" i="282"/>
  <c r="AA255" i="288"/>
  <c r="W28" i="265"/>
  <c r="W81" i="265"/>
  <c r="W26" i="315"/>
  <c r="W77" i="315"/>
  <c r="AA368" i="321"/>
  <c r="AA435" i="321"/>
  <c r="AA436" i="321" s="1"/>
  <c r="AA414" i="321"/>
  <c r="AA367" i="321"/>
  <c r="AA101" i="282"/>
  <c r="AA257" i="288"/>
  <c r="AA33" i="282"/>
  <c r="AA107" i="288"/>
  <c r="AA430" i="321"/>
  <c r="AH40" i="311"/>
  <c r="AH41" i="311"/>
  <c r="AH82" i="311" s="1"/>
  <c r="AI282" i="321"/>
  <c r="AI284" i="321" s="1"/>
  <c r="AI170" i="321"/>
  <c r="AI172" i="321" s="1"/>
  <c r="AI68" i="265"/>
  <c r="AI18" i="265"/>
  <c r="AJ52" i="321"/>
  <c r="AJ171" i="321"/>
  <c r="AJ65" i="315"/>
  <c r="AJ17" i="265"/>
  <c r="W17" i="277" s="1"/>
  <c r="AJ67" i="265"/>
  <c r="W67" i="277" s="1"/>
  <c r="AJ17" i="315"/>
  <c r="AJ244" i="321"/>
  <c r="W119" i="277"/>
  <c r="AJ62" i="328"/>
  <c r="W73" i="328" s="1"/>
  <c r="AK234" i="321"/>
  <c r="AK237" i="321" s="1"/>
  <c r="AK190" i="321"/>
  <c r="AK116" i="321"/>
  <c r="AK102" i="288"/>
  <c r="AK112" i="321"/>
  <c r="AK114" i="321" s="1"/>
  <c r="AK252" i="288"/>
  <c r="AM30" i="315"/>
  <c r="AM32" i="265"/>
  <c r="AN152" i="282"/>
  <c r="AN155" i="282" s="1"/>
  <c r="AN115" i="282"/>
  <c r="AN47" i="282"/>
  <c r="AN84" i="282"/>
  <c r="AN87" i="282" s="1"/>
  <c r="AN23" i="282"/>
  <c r="AN24" i="282" s="1"/>
  <c r="AO21" i="282" s="1"/>
  <c r="AM94" i="282"/>
  <c r="AM162" i="282"/>
  <c r="BH40" i="285"/>
  <c r="BH43" i="285" s="1"/>
  <c r="BG99" i="315"/>
  <c r="BG100" i="315" s="1"/>
  <c r="BG103" i="265"/>
  <c r="BG104" i="265" s="1"/>
  <c r="BF104" i="265"/>
  <c r="AH103" i="277"/>
  <c r="AH104" i="277" s="1"/>
  <c r="BI40" i="285" l="1"/>
  <c r="BI43" i="285" s="1"/>
  <c r="BH99" i="315"/>
  <c r="BH100" i="315" s="1"/>
  <c r="BH103" i="265"/>
  <c r="AN160" i="282"/>
  <c r="AM121" i="315"/>
  <c r="AN92" i="282"/>
  <c r="AM125" i="265"/>
  <c r="AO10" i="282"/>
  <c r="AO12" i="282" s="1"/>
  <c r="AN93" i="282"/>
  <c r="AN88" i="282"/>
  <c r="AN156" i="282"/>
  <c r="AN161" i="282"/>
  <c r="AK121" i="321"/>
  <c r="AK122" i="321" s="1"/>
  <c r="AK128" i="321" s="1"/>
  <c r="AK117" i="321"/>
  <c r="AK118" i="321" s="1"/>
  <c r="AK127" i="321" s="1"/>
  <c r="AL187" i="321"/>
  <c r="AK119" i="265"/>
  <c r="AK62" i="328" s="1"/>
  <c r="AK115" i="315"/>
  <c r="AK268" i="288"/>
  <c r="AK118" i="288"/>
  <c r="AK242" i="321"/>
  <c r="AK243" i="321" s="1"/>
  <c r="AK361" i="321"/>
  <c r="AK98" i="282"/>
  <c r="AK251" i="288"/>
  <c r="AK28" i="282"/>
  <c r="AK101" i="288"/>
  <c r="AK238" i="321"/>
  <c r="AK164" i="321"/>
  <c r="AK166" i="321" s="1"/>
  <c r="AK49" i="321"/>
  <c r="AJ29" i="282"/>
  <c r="AJ245" i="321"/>
  <c r="AJ78" i="321"/>
  <c r="AJ145" i="321"/>
  <c r="AJ148" i="321" s="1"/>
  <c r="AJ257" i="321"/>
  <c r="AJ260" i="321" s="1"/>
  <c r="AI175" i="321"/>
  <c r="AI176" i="321" s="1"/>
  <c r="AI287" i="321"/>
  <c r="AI288" i="321" s="1"/>
  <c r="AH81" i="311"/>
  <c r="AA22" i="265"/>
  <c r="AA72" i="265"/>
  <c r="AA20" i="315"/>
  <c r="AA68" i="315"/>
  <c r="AA76" i="265"/>
  <c r="AA72" i="315"/>
  <c r="AB433" i="321"/>
  <c r="AA121" i="288"/>
  <c r="AA122" i="265"/>
  <c r="AA118" i="315"/>
  <c r="AA271" i="288"/>
  <c r="AA260" i="288"/>
  <c r="AA262" i="288" s="1"/>
  <c r="AA19" i="315"/>
  <c r="AA67" i="315"/>
  <c r="AA21" i="265"/>
  <c r="AA71" i="265"/>
  <c r="AA110" i="288"/>
  <c r="AA112" i="288" s="1"/>
  <c r="AA369" i="321"/>
  <c r="AA71" i="315"/>
  <c r="AA75" i="265"/>
  <c r="AB401" i="321"/>
  <c r="AA120" i="288"/>
  <c r="AA121" i="265"/>
  <c r="AA270" i="288"/>
  <c r="AA117" i="315"/>
  <c r="X107" i="282"/>
  <c r="X39" i="282"/>
  <c r="X174" i="314"/>
  <c r="W32" i="314"/>
  <c r="AL299" i="321"/>
  <c r="AK119" i="288"/>
  <c r="AK116" i="315"/>
  <c r="AK120" i="265"/>
  <c r="AK63" i="328" s="1"/>
  <c r="AK269" i="288"/>
  <c r="AK354" i="321"/>
  <c r="AK363" i="321"/>
  <c r="AK99" i="282"/>
  <c r="AK276" i="321"/>
  <c r="AK278" i="321" s="1"/>
  <c r="AK30" i="282"/>
  <c r="AK350" i="321"/>
  <c r="AK103" i="288"/>
  <c r="AK50" i="321"/>
  <c r="AK253" i="288"/>
  <c r="AJ356" i="321"/>
  <c r="AI70" i="265"/>
  <c r="AI20" i="265"/>
  <c r="AE84" i="265"/>
  <c r="AE26" i="265"/>
  <c r="AE24" i="315"/>
  <c r="AE80" i="315"/>
  <c r="AE51" i="315"/>
  <c r="AE53" i="265"/>
  <c r="AF684" i="321"/>
  <c r="AE123" i="265"/>
  <c r="AE119" i="315"/>
  <c r="AE54" i="315"/>
  <c r="AE56" i="265"/>
  <c r="AF693" i="321" l="1"/>
  <c r="AF695" i="321" s="1"/>
  <c r="AF699" i="321" s="1"/>
  <c r="AF702" i="321" s="1"/>
  <c r="AF706" i="321" s="1"/>
  <c r="AF709" i="321" s="1"/>
  <c r="AF711" i="321" s="1"/>
  <c r="AF712" i="321"/>
  <c r="AF673" i="321"/>
  <c r="AF676" i="321" s="1"/>
  <c r="AJ31" i="282"/>
  <c r="AJ357" i="321"/>
  <c r="AK18" i="315"/>
  <c r="AK66" i="315"/>
  <c r="AK19" i="265"/>
  <c r="AK69" i="265"/>
  <c r="AK283" i="321"/>
  <c r="AK355" i="321"/>
  <c r="AL346" i="321"/>
  <c r="AL349" i="321" s="1"/>
  <c r="AL302" i="321"/>
  <c r="AL254" i="288"/>
  <c r="AL113" i="321"/>
  <c r="AL120" i="321"/>
  <c r="AL104" i="288"/>
  <c r="X77" i="315"/>
  <c r="X28" i="265"/>
  <c r="Q28" i="277" s="1"/>
  <c r="X81" i="265"/>
  <c r="Q81" i="277" s="1"/>
  <c r="X26" i="315"/>
  <c r="AB395" i="321"/>
  <c r="AB397" i="321" s="1"/>
  <c r="AB379" i="321"/>
  <c r="AB381" i="321" s="1"/>
  <c r="AB256" i="288"/>
  <c r="AB106" i="288"/>
  <c r="AA16" i="314"/>
  <c r="AA142" i="288"/>
  <c r="AA143" i="288" s="1"/>
  <c r="AA21" i="328"/>
  <c r="AA110" i="314"/>
  <c r="AA216" i="288"/>
  <c r="AA103" i="314"/>
  <c r="AA79" i="288"/>
  <c r="AA66" i="288"/>
  <c r="AA23" i="314"/>
  <c r="AA229" i="288"/>
  <c r="AB427" i="321"/>
  <c r="AB429" i="321" s="1"/>
  <c r="AB411" i="321"/>
  <c r="AB413" i="321" s="1"/>
  <c r="AB108" i="288"/>
  <c r="AB258" i="288"/>
  <c r="AI41" i="311"/>
  <c r="AI82" i="311" s="1"/>
  <c r="AI40" i="311"/>
  <c r="AJ282" i="321"/>
  <c r="AJ284" i="321" s="1"/>
  <c r="AJ170" i="321"/>
  <c r="AJ172" i="321" s="1"/>
  <c r="AJ68" i="265"/>
  <c r="W68" i="277" s="1"/>
  <c r="AJ18" i="265"/>
  <c r="W18" i="277" s="1"/>
  <c r="AK52" i="321"/>
  <c r="AK171" i="321"/>
  <c r="AK17" i="315"/>
  <c r="AK65" i="315"/>
  <c r="AK17" i="265"/>
  <c r="AK67" i="265"/>
  <c r="AK244" i="321"/>
  <c r="AL234" i="321"/>
  <c r="AL237" i="321" s="1"/>
  <c r="AL190" i="321"/>
  <c r="AL102" i="288"/>
  <c r="AL112" i="321"/>
  <c r="AL114" i="321" s="1"/>
  <c r="AL116" i="321"/>
  <c r="AL252" i="288"/>
  <c r="AN30" i="315"/>
  <c r="AN32" i="265"/>
  <c r="Y32" i="277" s="1"/>
  <c r="AO152" i="282"/>
  <c r="AO155" i="282" s="1"/>
  <c r="AO115" i="282"/>
  <c r="AO47" i="282"/>
  <c r="AO84" i="282"/>
  <c r="AO87" i="282" s="1"/>
  <c r="AO23" i="282"/>
  <c r="AO24" i="282" s="1"/>
  <c r="AP21" i="282" s="1"/>
  <c r="AN94" i="282"/>
  <c r="AN162" i="282"/>
  <c r="BH104" i="265"/>
  <c r="AI103" i="277"/>
  <c r="AI104" i="277" s="1"/>
  <c r="BI99" i="315"/>
  <c r="BI100" i="315" s="1"/>
  <c r="BI103" i="265"/>
  <c r="BI104" i="265" s="1"/>
  <c r="BJ40" i="285"/>
  <c r="BJ43" i="285" s="1"/>
  <c r="BJ99" i="315" l="1"/>
  <c r="BJ100" i="315" s="1"/>
  <c r="BJ103" i="265"/>
  <c r="BK40" i="285"/>
  <c r="BK43" i="285" s="1"/>
  <c r="AO160" i="282"/>
  <c r="AN121" i="315"/>
  <c r="AO92" i="282"/>
  <c r="AN125" i="265"/>
  <c r="Y125" i="277" s="1"/>
  <c r="AP10" i="282"/>
  <c r="AP12" i="282" s="1"/>
  <c r="AO93" i="282"/>
  <c r="AO88" i="282"/>
  <c r="AO156" i="282"/>
  <c r="AO161" i="282"/>
  <c r="AL121" i="321"/>
  <c r="AL122" i="321" s="1"/>
  <c r="AL128" i="321" s="1"/>
  <c r="AL117" i="321"/>
  <c r="AL118" i="321" s="1"/>
  <c r="AL127" i="321" s="1"/>
  <c r="AM187" i="321"/>
  <c r="AL119" i="265"/>
  <c r="AL115" i="315"/>
  <c r="AL268" i="288"/>
  <c r="AL118" i="288"/>
  <c r="AL242" i="321"/>
  <c r="AL243" i="321" s="1"/>
  <c r="AL361" i="321"/>
  <c r="AL98" i="282"/>
  <c r="AL49" i="321"/>
  <c r="AL251" i="288"/>
  <c r="AL238" i="321"/>
  <c r="AL101" i="288"/>
  <c r="AL28" i="282"/>
  <c r="AL164" i="321"/>
  <c r="AL166" i="321" s="1"/>
  <c r="AK29" i="282"/>
  <c r="AK245" i="321"/>
  <c r="AK145" i="321"/>
  <c r="AK148" i="321" s="1"/>
  <c r="AK78" i="321"/>
  <c r="AK257" i="321"/>
  <c r="AK260" i="321" s="1"/>
  <c r="AJ175" i="321"/>
  <c r="AJ176" i="321" s="1"/>
  <c r="AJ287" i="321"/>
  <c r="AJ288" i="321" s="1"/>
  <c r="AI81" i="311"/>
  <c r="AB368" i="321"/>
  <c r="AB435" i="321"/>
  <c r="AB436" i="321" s="1"/>
  <c r="AB414" i="321"/>
  <c r="AB367" i="321"/>
  <c r="AB101" i="282"/>
  <c r="AB430" i="321"/>
  <c r="AB33" i="282"/>
  <c r="AB107" i="288"/>
  <c r="AB257" i="288"/>
  <c r="AA231" i="288"/>
  <c r="AA240" i="288" s="1"/>
  <c r="AA81" i="288"/>
  <c r="AA90" i="288" s="1"/>
  <c r="Y105" i="314"/>
  <c r="Y109" i="314" s="1"/>
  <c r="Y112" i="314" s="1"/>
  <c r="Y115" i="314" s="1"/>
  <c r="AA146" i="288"/>
  <c r="Y18" i="314"/>
  <c r="Y22" i="314" s="1"/>
  <c r="Y25" i="314" s="1"/>
  <c r="AB366" i="321"/>
  <c r="AB403" i="321"/>
  <c r="AB404" i="321" s="1"/>
  <c r="AB382" i="321"/>
  <c r="AB365" i="321"/>
  <c r="AB369" i="321" s="1"/>
  <c r="AB100" i="282"/>
  <c r="AB32" i="282"/>
  <c r="AB398" i="321"/>
  <c r="AB105" i="288"/>
  <c r="AB110" i="288" s="1"/>
  <c r="AB112" i="288" s="1"/>
  <c r="AB255" i="288"/>
  <c r="AB260" i="288" s="1"/>
  <c r="AB262" i="288" s="1"/>
  <c r="AM299" i="321"/>
  <c r="AL116" i="315"/>
  <c r="AL120" i="265"/>
  <c r="AL269" i="288"/>
  <c r="AL119" i="288"/>
  <c r="AL354" i="321"/>
  <c r="AL363" i="321"/>
  <c r="AL99" i="282"/>
  <c r="AL350" i="321"/>
  <c r="AL50" i="321"/>
  <c r="AL253" i="288"/>
  <c r="AL276" i="321"/>
  <c r="AL278" i="321" s="1"/>
  <c r="AL30" i="282"/>
  <c r="AL103" i="288"/>
  <c r="AK356" i="321"/>
  <c r="AJ70" i="265"/>
  <c r="W70" i="277" s="1"/>
  <c r="AJ20" i="265"/>
  <c r="W20" i="277" s="1"/>
  <c r="AF442" i="321"/>
  <c r="AF443" i="321" s="1"/>
  <c r="AF679" i="321"/>
  <c r="AF680" i="321" s="1"/>
  <c r="AF714" i="321"/>
  <c r="AF102" i="282" l="1"/>
  <c r="AF34" i="282"/>
  <c r="AF715" i="321"/>
  <c r="AF687" i="321"/>
  <c r="AF688" i="321" s="1"/>
  <c r="AF681" i="321"/>
  <c r="AF46" i="288"/>
  <c r="AF529" i="321"/>
  <c r="AF446" i="321"/>
  <c r="AF447" i="321" s="1"/>
  <c r="AF485" i="321"/>
  <c r="AF196" i="288"/>
  <c r="AK31" i="282"/>
  <c r="AK357" i="321"/>
  <c r="AL283" i="321"/>
  <c r="AL18" i="315"/>
  <c r="AL66" i="315"/>
  <c r="AL19" i="265"/>
  <c r="X19" i="277" s="1"/>
  <c r="AL69" i="265"/>
  <c r="X69" i="277" s="1"/>
  <c r="AL355" i="321"/>
  <c r="AL63" i="328"/>
  <c r="X74" i="328" s="1"/>
  <c r="X120" i="277"/>
  <c r="AM346" i="321"/>
  <c r="AM349" i="321" s="1"/>
  <c r="AM302" i="321"/>
  <c r="AM120" i="321"/>
  <c r="AM113" i="321"/>
  <c r="AM254" i="288"/>
  <c r="AM104" i="288"/>
  <c r="AB19" i="315"/>
  <c r="AB67" i="315"/>
  <c r="AB21" i="265"/>
  <c r="S21" i="277" s="1"/>
  <c r="AB71" i="265"/>
  <c r="S71" i="277" s="1"/>
  <c r="AB16" i="314"/>
  <c r="AB110" i="314"/>
  <c r="AB142" i="288"/>
  <c r="AB143" i="288" s="1"/>
  <c r="AB79" i="288"/>
  <c r="AB66" i="288"/>
  <c r="AB229" i="288"/>
  <c r="AB103" i="314"/>
  <c r="AB21" i="328"/>
  <c r="S41" i="328" s="1"/>
  <c r="AB23" i="314"/>
  <c r="AB216" i="288"/>
  <c r="AB71" i="315"/>
  <c r="AB75" i="265"/>
  <c r="S75" i="277" s="1"/>
  <c r="AC401" i="321"/>
  <c r="AB121" i="265"/>
  <c r="S121" i="277" s="1"/>
  <c r="AB270" i="288"/>
  <c r="AB120" i="288"/>
  <c r="AB117" i="315"/>
  <c r="Y27" i="314"/>
  <c r="X29" i="314" s="1"/>
  <c r="Y36" i="314"/>
  <c r="Y171" i="314"/>
  <c r="Y173" i="314" s="1"/>
  <c r="Y88" i="314"/>
  <c r="AB72" i="265"/>
  <c r="S72" i="277" s="1"/>
  <c r="AB20" i="315"/>
  <c r="AB68" i="315"/>
  <c r="AB22" i="265"/>
  <c r="S22" i="277" s="1"/>
  <c r="AB72" i="315"/>
  <c r="AB76" i="265"/>
  <c r="S76" i="277" s="1"/>
  <c r="AC433" i="321"/>
  <c r="AB121" i="288"/>
  <c r="AB122" i="265"/>
  <c r="S122" i="277" s="1"/>
  <c r="AB118" i="315"/>
  <c r="AB271" i="288"/>
  <c r="AJ41" i="311"/>
  <c r="AJ82" i="311" s="1"/>
  <c r="AJ40" i="311"/>
  <c r="AK282" i="321"/>
  <c r="AK284" i="321" s="1"/>
  <c r="AK170" i="321"/>
  <c r="AK172" i="321" s="1"/>
  <c r="AK68" i="265"/>
  <c r="AK18" i="265"/>
  <c r="AL171" i="321"/>
  <c r="AL17" i="315"/>
  <c r="AL17" i="265"/>
  <c r="X17" i="277" s="1"/>
  <c r="AL67" i="265"/>
  <c r="X67" i="277" s="1"/>
  <c r="AL65" i="315"/>
  <c r="AL52" i="321"/>
  <c r="AL244" i="321"/>
  <c r="AL62" i="328"/>
  <c r="X73" i="328" s="1"/>
  <c r="X119" i="277"/>
  <c r="AM234" i="321"/>
  <c r="AM237" i="321" s="1"/>
  <c r="AM190" i="321"/>
  <c r="AM112" i="321"/>
  <c r="AM114" i="321" s="1"/>
  <c r="AM252" i="288"/>
  <c r="AM102" i="288"/>
  <c r="AM116" i="321"/>
  <c r="AO30" i="315"/>
  <c r="AO32" i="265"/>
  <c r="AP152" i="282"/>
  <c r="AP155" i="282" s="1"/>
  <c r="AP115" i="282"/>
  <c r="AP47" i="282"/>
  <c r="AP84" i="282"/>
  <c r="AP87" i="282" s="1"/>
  <c r="AP23" i="282"/>
  <c r="AP24" i="282" s="1"/>
  <c r="AQ21" i="282" s="1"/>
  <c r="AO94" i="282"/>
  <c r="AO162" i="282"/>
  <c r="BK103" i="265"/>
  <c r="BK104" i="265" s="1"/>
  <c r="BL40" i="285"/>
  <c r="BL43" i="285" s="1"/>
  <c r="BK99" i="315"/>
  <c r="BK100" i="315" s="1"/>
  <c r="AJ103" i="277"/>
  <c r="AJ104" i="277" s="1"/>
  <c r="BJ104" i="265"/>
  <c r="BM40" i="285" l="1"/>
  <c r="BM43" i="285" s="1"/>
  <c r="BL99" i="315"/>
  <c r="BL100" i="315" s="1"/>
  <c r="BL103" i="265"/>
  <c r="AP160" i="282"/>
  <c r="AO121" i="315"/>
  <c r="AP92" i="282"/>
  <c r="AO125" i="265"/>
  <c r="AQ10" i="282"/>
  <c r="AQ12" i="282" s="1"/>
  <c r="AP93" i="282"/>
  <c r="AP88" i="282"/>
  <c r="AP156" i="282"/>
  <c r="AP161" i="282"/>
  <c r="AM121" i="321"/>
  <c r="AM122" i="321" s="1"/>
  <c r="AM128" i="321" s="1"/>
  <c r="AM117" i="321"/>
  <c r="AM118" i="321" s="1"/>
  <c r="AM127" i="321" s="1"/>
  <c r="AN187" i="321"/>
  <c r="AM119" i="265"/>
  <c r="AM62" i="328" s="1"/>
  <c r="AM115" i="315"/>
  <c r="AM268" i="288"/>
  <c r="AM118" i="288"/>
  <c r="AM242" i="321"/>
  <c r="AM243" i="321" s="1"/>
  <c r="AM361" i="321"/>
  <c r="AM98" i="282"/>
  <c r="AM28" i="282"/>
  <c r="AM101" i="288"/>
  <c r="AM238" i="321"/>
  <c r="AM49" i="321"/>
  <c r="AM251" i="288"/>
  <c r="AM164" i="321"/>
  <c r="AM166" i="321" s="1"/>
  <c r="AL29" i="282"/>
  <c r="AL245" i="321"/>
  <c r="AL78" i="321"/>
  <c r="AL145" i="321"/>
  <c r="AL148" i="321" s="1"/>
  <c r="AL257" i="321"/>
  <c r="AL260" i="321" s="1"/>
  <c r="AK175" i="321"/>
  <c r="AK176" i="321" s="1"/>
  <c r="AK287" i="321"/>
  <c r="AK288" i="321" s="1"/>
  <c r="AJ81" i="311"/>
  <c r="AC427" i="321"/>
  <c r="AC429" i="321" s="1"/>
  <c r="AC411" i="321"/>
  <c r="AC413" i="321" s="1"/>
  <c r="AC258" i="288"/>
  <c r="AC108" i="288"/>
  <c r="Y174" i="314"/>
  <c r="Y107" i="282"/>
  <c r="Y39" i="282"/>
  <c r="X32" i="314"/>
  <c r="AC395" i="321"/>
  <c r="AC397" i="321" s="1"/>
  <c r="AC379" i="321"/>
  <c r="AC381" i="321" s="1"/>
  <c r="AC256" i="288"/>
  <c r="AC106" i="288"/>
  <c r="Z105" i="314"/>
  <c r="Z109" i="314" s="1"/>
  <c r="Z112" i="314" s="1"/>
  <c r="Z115" i="314" s="1"/>
  <c r="AB231" i="288"/>
  <c r="AB240" i="288" s="1"/>
  <c r="AB81" i="288"/>
  <c r="AB90" i="288" s="1"/>
  <c r="AB146" i="288"/>
  <c r="Z18" i="314"/>
  <c r="Z22" i="314" s="1"/>
  <c r="Z25" i="314" s="1"/>
  <c r="AN299" i="321"/>
  <c r="AM119" i="288"/>
  <c r="AM116" i="315"/>
  <c r="AM120" i="265"/>
  <c r="AM63" i="328" s="1"/>
  <c r="AM269" i="288"/>
  <c r="AM354" i="321"/>
  <c r="AM363" i="321"/>
  <c r="AM99" i="282"/>
  <c r="AM30" i="282"/>
  <c r="AM103" i="288"/>
  <c r="AM276" i="321"/>
  <c r="AM278" i="321" s="1"/>
  <c r="AM50" i="321"/>
  <c r="AM350" i="321"/>
  <c r="AM253" i="288"/>
  <c r="AL356" i="321"/>
  <c r="AK70" i="265"/>
  <c r="AK20" i="265"/>
  <c r="AF54" i="315"/>
  <c r="AF56" i="265"/>
  <c r="U56" i="277" s="1"/>
  <c r="AF53" i="265"/>
  <c r="U53" i="277" s="1"/>
  <c r="AF51" i="315"/>
  <c r="AG684" i="321"/>
  <c r="AF119" i="315"/>
  <c r="AF123" i="265"/>
  <c r="U123" i="277" s="1"/>
  <c r="AF26" i="265"/>
  <c r="U26" i="277" s="1"/>
  <c r="AF24" i="315"/>
  <c r="AF84" i="265"/>
  <c r="U84" i="277" s="1"/>
  <c r="AF80" i="315"/>
  <c r="AG693" i="321" l="1"/>
  <c r="AG695" i="321" s="1"/>
  <c r="AG699" i="321" s="1"/>
  <c r="AG702" i="321" s="1"/>
  <c r="AG706" i="321" s="1"/>
  <c r="AG709" i="321" s="1"/>
  <c r="AG711" i="321" s="1"/>
  <c r="AG712" i="321"/>
  <c r="AG673" i="321"/>
  <c r="AG676" i="321" s="1"/>
  <c r="AL31" i="282"/>
  <c r="AL357" i="321"/>
  <c r="AM19" i="265"/>
  <c r="AM69" i="265"/>
  <c r="AM18" i="315"/>
  <c r="AM66" i="315"/>
  <c r="AM283" i="321"/>
  <c r="AM355" i="321"/>
  <c r="AN346" i="321"/>
  <c r="AN349" i="321" s="1"/>
  <c r="AN302" i="321"/>
  <c r="AN254" i="288"/>
  <c r="AN113" i="321"/>
  <c r="AN104" i="288"/>
  <c r="AN120" i="321"/>
  <c r="Z27" i="314"/>
  <c r="Y29" i="314" s="1"/>
  <c r="Z36" i="314"/>
  <c r="Z88" i="314"/>
  <c r="Z171" i="314"/>
  <c r="Z173" i="314" s="1"/>
  <c r="AC366" i="321"/>
  <c r="AC403" i="321"/>
  <c r="AC404" i="321" s="1"/>
  <c r="AC382" i="321"/>
  <c r="AC365" i="321"/>
  <c r="AC100" i="282"/>
  <c r="AC105" i="288"/>
  <c r="AC398" i="321"/>
  <c r="AC32" i="282"/>
  <c r="AC255" i="288"/>
  <c r="Y77" i="315"/>
  <c r="Y28" i="265"/>
  <c r="Y81" i="265"/>
  <c r="Y26" i="315"/>
  <c r="AC368" i="321"/>
  <c r="AC435" i="321"/>
  <c r="AC436" i="321" s="1"/>
  <c r="AC414" i="321"/>
  <c r="AC367" i="321"/>
  <c r="AC101" i="282"/>
  <c r="AC107" i="288"/>
  <c r="AC430" i="321"/>
  <c r="AC33" i="282"/>
  <c r="AC257" i="288"/>
  <c r="AK41" i="311"/>
  <c r="AK82" i="311" s="1"/>
  <c r="AK40" i="311"/>
  <c r="AL282" i="321"/>
  <c r="AL284" i="321" s="1"/>
  <c r="AL170" i="321"/>
  <c r="AL172" i="321" s="1"/>
  <c r="AL68" i="265"/>
  <c r="X68" i="277" s="1"/>
  <c r="AL18" i="265"/>
  <c r="X18" i="277" s="1"/>
  <c r="AM171" i="321"/>
  <c r="AM52" i="321"/>
  <c r="AM17" i="315"/>
  <c r="AM65" i="315"/>
  <c r="AM17" i="265"/>
  <c r="AM67" i="265"/>
  <c r="AM244" i="321"/>
  <c r="AN234" i="321"/>
  <c r="AN237" i="321" s="1"/>
  <c r="AN190" i="321"/>
  <c r="AN102" i="288"/>
  <c r="AN116" i="321"/>
  <c r="AN252" i="288"/>
  <c r="AN112" i="321"/>
  <c r="AN114" i="321" s="1"/>
  <c r="AP30" i="315"/>
  <c r="AP32" i="265"/>
  <c r="Z32" i="277" s="1"/>
  <c r="AQ152" i="282"/>
  <c r="AQ155" i="282" s="1"/>
  <c r="AQ115" i="282"/>
  <c r="AQ47" i="282"/>
  <c r="AQ84" i="282"/>
  <c r="AQ87" i="282" s="1"/>
  <c r="AQ23" i="282"/>
  <c r="AQ24" i="282" s="1"/>
  <c r="AR21" i="282" s="1"/>
  <c r="AP94" i="282"/>
  <c r="AP162" i="282"/>
  <c r="AK103" i="277"/>
  <c r="AK104" i="277" s="1"/>
  <c r="BL104" i="265"/>
  <c r="BM99" i="315"/>
  <c r="BM100" i="315" s="1"/>
  <c r="BM103" i="265"/>
  <c r="BM104" i="265" s="1"/>
  <c r="BN40" i="285"/>
  <c r="BN43" i="285" s="1"/>
  <c r="BN103" i="265" l="1"/>
  <c r="BO40" i="285"/>
  <c r="BO43" i="285" s="1"/>
  <c r="BN99" i="315"/>
  <c r="BN100" i="315" s="1"/>
  <c r="AQ160" i="282"/>
  <c r="AP121" i="315"/>
  <c r="AQ92" i="282"/>
  <c r="AP125" i="265"/>
  <c r="Z125" i="277" s="1"/>
  <c r="AR10" i="282"/>
  <c r="AR12" i="282" s="1"/>
  <c r="AQ93" i="282"/>
  <c r="AQ88" i="282"/>
  <c r="AQ156" i="282"/>
  <c r="AQ161" i="282"/>
  <c r="AN117" i="321"/>
  <c r="AN118" i="321" s="1"/>
  <c r="AN127" i="321" s="1"/>
  <c r="AN121" i="321"/>
  <c r="AN122" i="321" s="1"/>
  <c r="AN128" i="321" s="1"/>
  <c r="AO187" i="321"/>
  <c r="AN119" i="265"/>
  <c r="AN268" i="288"/>
  <c r="AN118" i="288"/>
  <c r="AN115" i="315"/>
  <c r="AN242" i="321"/>
  <c r="AN243" i="321" s="1"/>
  <c r="AN361" i="321"/>
  <c r="AN98" i="282"/>
  <c r="AN49" i="321"/>
  <c r="AN251" i="288"/>
  <c r="AN28" i="282"/>
  <c r="AN101" i="288"/>
  <c r="AN238" i="321"/>
  <c r="AN164" i="321"/>
  <c r="AN166" i="321" s="1"/>
  <c r="AM29" i="282"/>
  <c r="AM245" i="321"/>
  <c r="AM78" i="321"/>
  <c r="AM145" i="321"/>
  <c r="AM148" i="321" s="1"/>
  <c r="AM257" i="321"/>
  <c r="AM260" i="321" s="1"/>
  <c r="AL175" i="321"/>
  <c r="AL176" i="321" s="1"/>
  <c r="AL287" i="321"/>
  <c r="AL288" i="321" s="1"/>
  <c r="AK81" i="311"/>
  <c r="AC22" i="265"/>
  <c r="AC72" i="265"/>
  <c r="AC20" i="315"/>
  <c r="AC68" i="315"/>
  <c r="AC76" i="265"/>
  <c r="AC72" i="315"/>
  <c r="AD433" i="321"/>
  <c r="AC122" i="265"/>
  <c r="AC271" i="288"/>
  <c r="AC121" i="288"/>
  <c r="AC118" i="315"/>
  <c r="AC260" i="288"/>
  <c r="AC262" i="288" s="1"/>
  <c r="AC67" i="315"/>
  <c r="AC21" i="265"/>
  <c r="AC71" i="265"/>
  <c r="AC19" i="315"/>
  <c r="AC110" i="288"/>
  <c r="AC112" i="288" s="1"/>
  <c r="AC369" i="321"/>
  <c r="AC75" i="265"/>
  <c r="AC71" i="315"/>
  <c r="AD401" i="321"/>
  <c r="AC121" i="265"/>
  <c r="AC270" i="288"/>
  <c r="AC120" i="288"/>
  <c r="AC117" i="315"/>
  <c r="Z107" i="282"/>
  <c r="Z174" i="314"/>
  <c r="Z39" i="282"/>
  <c r="Y32" i="314"/>
  <c r="AO299" i="321"/>
  <c r="AN119" i="288"/>
  <c r="AN116" i="315"/>
  <c r="AN120" i="265"/>
  <c r="AN269" i="288"/>
  <c r="AN354" i="321"/>
  <c r="AN363" i="321"/>
  <c r="AN99" i="282"/>
  <c r="AN350" i="321"/>
  <c r="AN50" i="321"/>
  <c r="AN253" i="288"/>
  <c r="AN103" i="288"/>
  <c r="AN30" i="282"/>
  <c r="AN276" i="321"/>
  <c r="AN278" i="321" s="1"/>
  <c r="AM356" i="321"/>
  <c r="AL70" i="265"/>
  <c r="X70" i="277" s="1"/>
  <c r="AL20" i="265"/>
  <c r="X20" i="277" s="1"/>
  <c r="AG679" i="321"/>
  <c r="AG680" i="321" s="1"/>
  <c r="AG442" i="321"/>
  <c r="AG443" i="321" s="1"/>
  <c r="AG714" i="321"/>
  <c r="AG102" i="282" l="1"/>
  <c r="AG34" i="282"/>
  <c r="AG715" i="321"/>
  <c r="AG46" i="288"/>
  <c r="AG446" i="321"/>
  <c r="AG447" i="321" s="1"/>
  <c r="AG529" i="321"/>
  <c r="AG485" i="321"/>
  <c r="AG196" i="288"/>
  <c r="AG687" i="321"/>
  <c r="AG688" i="321" s="1"/>
  <c r="AG681" i="321"/>
  <c r="AM31" i="282"/>
  <c r="AM357" i="321"/>
  <c r="AN283" i="321"/>
  <c r="AN66" i="315"/>
  <c r="AN19" i="265"/>
  <c r="Y19" i="277" s="1"/>
  <c r="AN69" i="265"/>
  <c r="Y69" i="277" s="1"/>
  <c r="AN18" i="315"/>
  <c r="AN355" i="321"/>
  <c r="AN63" i="328"/>
  <c r="Y74" i="328" s="1"/>
  <c r="Y120" i="277"/>
  <c r="AO346" i="321"/>
  <c r="AO349" i="321" s="1"/>
  <c r="AO302" i="321"/>
  <c r="AO113" i="321"/>
  <c r="AO254" i="288"/>
  <c r="AO104" i="288"/>
  <c r="AO120" i="321"/>
  <c r="Z28" i="265"/>
  <c r="R28" i="277" s="1"/>
  <c r="Z26" i="315"/>
  <c r="Z77" i="315"/>
  <c r="Z81" i="265"/>
  <c r="R81" i="277" s="1"/>
  <c r="AD395" i="321"/>
  <c r="AD397" i="321" s="1"/>
  <c r="AD379" i="321"/>
  <c r="AD381" i="321" s="1"/>
  <c r="AD106" i="288"/>
  <c r="AD256" i="288"/>
  <c r="AC16" i="314"/>
  <c r="AC66" i="288"/>
  <c r="AC79" i="288"/>
  <c r="AC110" i="314"/>
  <c r="AC229" i="288"/>
  <c r="AC142" i="288"/>
  <c r="AC143" i="288" s="1"/>
  <c r="AC21" i="328"/>
  <c r="AC23" i="314"/>
  <c r="AC103" i="314"/>
  <c r="AC216" i="288"/>
  <c r="AD427" i="321"/>
  <c r="AD429" i="321" s="1"/>
  <c r="AD411" i="321"/>
  <c r="AD413" i="321" s="1"/>
  <c r="AD108" i="288"/>
  <c r="AD258" i="288"/>
  <c r="AL41" i="311"/>
  <c r="AL82" i="311" s="1"/>
  <c r="AL40" i="311"/>
  <c r="AM282" i="321"/>
  <c r="AM284" i="321" s="1"/>
  <c r="AM170" i="321"/>
  <c r="AM172" i="321" s="1"/>
  <c r="AM68" i="265"/>
  <c r="AM18" i="265"/>
  <c r="AN171" i="321"/>
  <c r="AN67" i="265"/>
  <c r="Y67" i="277" s="1"/>
  <c r="AN17" i="315"/>
  <c r="AN65" i="315"/>
  <c r="AN17" i="265"/>
  <c r="Y17" i="277" s="1"/>
  <c r="AN52" i="321"/>
  <c r="AN244" i="321"/>
  <c r="AN62" i="328"/>
  <c r="Y73" i="328" s="1"/>
  <c r="Y119" i="277"/>
  <c r="AO234" i="321"/>
  <c r="AO237" i="321" s="1"/>
  <c r="AO190" i="321"/>
  <c r="AO116" i="321"/>
  <c r="AO112" i="321"/>
  <c r="AO114" i="321" s="1"/>
  <c r="AO252" i="288"/>
  <c r="AO102" i="288"/>
  <c r="AQ30" i="315"/>
  <c r="AQ32" i="265"/>
  <c r="AR152" i="282"/>
  <c r="AR155" i="282" s="1"/>
  <c r="AR115" i="282"/>
  <c r="AR47" i="282"/>
  <c r="AR84" i="282"/>
  <c r="AR87" i="282" s="1"/>
  <c r="AR23" i="282"/>
  <c r="AR24" i="282" s="1"/>
  <c r="AS21" i="282" s="1"/>
  <c r="AQ94" i="282"/>
  <c r="AQ162" i="282"/>
  <c r="BP40" i="285"/>
  <c r="BP43" i="285" s="1"/>
  <c r="BO99" i="315"/>
  <c r="BO100" i="315" s="1"/>
  <c r="BO103" i="265"/>
  <c r="BO104" i="265" s="1"/>
  <c r="AL103" i="277"/>
  <c r="AL104" i="277" s="1"/>
  <c r="BN104" i="265"/>
  <c r="BP103" i="265" l="1"/>
  <c r="BQ40" i="285"/>
  <c r="BQ43" i="285" s="1"/>
  <c r="BP99" i="315"/>
  <c r="BP100" i="315" s="1"/>
  <c r="AR160" i="282"/>
  <c r="AQ121" i="315"/>
  <c r="AR92" i="282"/>
  <c r="AQ125" i="265"/>
  <c r="AS10" i="282"/>
  <c r="AS12" i="282" s="1"/>
  <c r="AR93" i="282"/>
  <c r="AR88" i="282"/>
  <c r="AR156" i="282"/>
  <c r="AR161" i="282"/>
  <c r="AO117" i="321"/>
  <c r="AO118" i="321" s="1"/>
  <c r="AO127" i="321" s="1"/>
  <c r="AO121" i="321"/>
  <c r="AO122" i="321" s="1"/>
  <c r="AO128" i="321" s="1"/>
  <c r="AP187" i="321"/>
  <c r="AO115" i="315"/>
  <c r="AO268" i="288"/>
  <c r="AO118" i="288"/>
  <c r="AO119" i="265"/>
  <c r="AO62" i="328" s="1"/>
  <c r="AO242" i="321"/>
  <c r="AO243" i="321" s="1"/>
  <c r="AO361" i="321"/>
  <c r="AO98" i="282"/>
  <c r="AO49" i="321"/>
  <c r="AO251" i="288"/>
  <c r="AO28" i="282"/>
  <c r="AO101" i="288"/>
  <c r="AO238" i="321"/>
  <c r="AO164" i="321"/>
  <c r="AO166" i="321" s="1"/>
  <c r="AN29" i="282"/>
  <c r="AN245" i="321"/>
  <c r="AN145" i="321"/>
  <c r="AN148" i="321" s="1"/>
  <c r="AN257" i="321"/>
  <c r="AN260" i="321" s="1"/>
  <c r="AN78" i="321"/>
  <c r="AM175" i="321"/>
  <c r="AM176" i="321" s="1"/>
  <c r="AM287" i="321"/>
  <c r="AM288" i="321" s="1"/>
  <c r="AL81" i="311"/>
  <c r="AD368" i="321"/>
  <c r="AD435" i="321"/>
  <c r="AD436" i="321" s="1"/>
  <c r="AD414" i="321"/>
  <c r="AD367" i="321"/>
  <c r="AD101" i="282"/>
  <c r="AD257" i="288"/>
  <c r="AD430" i="321"/>
  <c r="AD33" i="282"/>
  <c r="AD107" i="288"/>
  <c r="AA105" i="314"/>
  <c r="AA109" i="314" s="1"/>
  <c r="AA112" i="314" s="1"/>
  <c r="AA115" i="314" s="1"/>
  <c r="AC146" i="288"/>
  <c r="AC231" i="288"/>
  <c r="AC240" i="288" s="1"/>
  <c r="AC81" i="288"/>
  <c r="AC90" i="288" s="1"/>
  <c r="AA18" i="314"/>
  <c r="AA22" i="314" s="1"/>
  <c r="AA25" i="314" s="1"/>
  <c r="AD366" i="321"/>
  <c r="AD403" i="321"/>
  <c r="AD404" i="321" s="1"/>
  <c r="AD382" i="321"/>
  <c r="AD365" i="321"/>
  <c r="AD369" i="321" s="1"/>
  <c r="AD100" i="282"/>
  <c r="AD105" i="288"/>
  <c r="AD110" i="288" s="1"/>
  <c r="AD112" i="288" s="1"/>
  <c r="AD255" i="288"/>
  <c r="AD260" i="288" s="1"/>
  <c r="AD262" i="288" s="1"/>
  <c r="AD398" i="321"/>
  <c r="AD32" i="282"/>
  <c r="AP299" i="321"/>
  <c r="AO116" i="315"/>
  <c r="AO120" i="265"/>
  <c r="AO63" i="328" s="1"/>
  <c r="AO269" i="288"/>
  <c r="AO119" i="288"/>
  <c r="AO354" i="321"/>
  <c r="AO363" i="321"/>
  <c r="AO99" i="282"/>
  <c r="AO350" i="321"/>
  <c r="AO253" i="288"/>
  <c r="AO103" i="288"/>
  <c r="AO276" i="321"/>
  <c r="AO278" i="321" s="1"/>
  <c r="AO30" i="282"/>
  <c r="AO50" i="321"/>
  <c r="AN356" i="321"/>
  <c r="AM70" i="265"/>
  <c r="AM20" i="265"/>
  <c r="AG53" i="265"/>
  <c r="AG51" i="315"/>
  <c r="AH684" i="321"/>
  <c r="AG123" i="265"/>
  <c r="AG119" i="315"/>
  <c r="AG56" i="265"/>
  <c r="AG54" i="315"/>
  <c r="AG26" i="265"/>
  <c r="AG24" i="315"/>
  <c r="AG84" i="265"/>
  <c r="AG80" i="315"/>
  <c r="AH673" i="321" l="1"/>
  <c r="AH676" i="321" s="1"/>
  <c r="AH693" i="321"/>
  <c r="AH695" i="321" s="1"/>
  <c r="AH699" i="321" s="1"/>
  <c r="AH702" i="321" s="1"/>
  <c r="AH706" i="321" s="1"/>
  <c r="AH709" i="321" s="1"/>
  <c r="AH711" i="321" s="1"/>
  <c r="AH712" i="321"/>
  <c r="AN31" i="282"/>
  <c r="AN357" i="321"/>
  <c r="AO283" i="321"/>
  <c r="AO18" i="315"/>
  <c r="AO66" i="315"/>
  <c r="AO19" i="265"/>
  <c r="AO69" i="265"/>
  <c r="AO355" i="321"/>
  <c r="AP346" i="321"/>
  <c r="AP349" i="321" s="1"/>
  <c r="AP302" i="321"/>
  <c r="AP120" i="321"/>
  <c r="AP113" i="321"/>
  <c r="AP254" i="288"/>
  <c r="AP104" i="288"/>
  <c r="AD21" i="265"/>
  <c r="T21" i="277" s="1"/>
  <c r="AD71" i="265"/>
  <c r="T71" i="277" s="1"/>
  <c r="AD19" i="315"/>
  <c r="AD67" i="315"/>
  <c r="AD16" i="314"/>
  <c r="AD79" i="288"/>
  <c r="AD110" i="314"/>
  <c r="AD21" i="328"/>
  <c r="T41" i="328" s="1"/>
  <c r="AD142" i="288"/>
  <c r="AD143" i="288" s="1"/>
  <c r="AD66" i="288"/>
  <c r="AD103" i="314"/>
  <c r="AD216" i="288"/>
  <c r="AD23" i="314"/>
  <c r="AD229" i="288"/>
  <c r="AD71" i="315"/>
  <c r="AD75" i="265"/>
  <c r="T75" i="277" s="1"/>
  <c r="AE401" i="321"/>
  <c r="AD270" i="288"/>
  <c r="AD120" i="288"/>
  <c r="AD117" i="315"/>
  <c r="AD121" i="265"/>
  <c r="T121" i="277" s="1"/>
  <c r="AA27" i="314"/>
  <c r="Z29" i="314" s="1"/>
  <c r="AA88" i="314"/>
  <c r="AA171" i="314"/>
  <c r="AA173" i="314" s="1"/>
  <c r="AA36" i="314"/>
  <c r="AD72" i="265"/>
  <c r="T72" i="277" s="1"/>
  <c r="AD20" i="315"/>
  <c r="AD68" i="315"/>
  <c r="AD22" i="265"/>
  <c r="T22" i="277" s="1"/>
  <c r="AD76" i="265"/>
  <c r="T76" i="277" s="1"/>
  <c r="AD72" i="315"/>
  <c r="AE433" i="321"/>
  <c r="AD122" i="265"/>
  <c r="T122" i="277" s="1"/>
  <c r="AD118" i="315"/>
  <c r="AD271" i="288"/>
  <c r="AD121" i="288"/>
  <c r="AM41" i="311"/>
  <c r="AM82" i="311" s="1"/>
  <c r="AM40" i="311"/>
  <c r="AN282" i="321"/>
  <c r="AN284" i="321" s="1"/>
  <c r="AN170" i="321"/>
  <c r="AN172" i="321" s="1"/>
  <c r="AN68" i="265"/>
  <c r="Y68" i="277" s="1"/>
  <c r="AN18" i="265"/>
  <c r="Y18" i="277" s="1"/>
  <c r="AO171" i="321"/>
  <c r="AO17" i="315"/>
  <c r="AO65" i="315"/>
  <c r="AO67" i="265"/>
  <c r="AO17" i="265"/>
  <c r="AO52" i="321"/>
  <c r="AO244" i="321"/>
  <c r="AP234" i="321"/>
  <c r="AP237" i="321" s="1"/>
  <c r="AP190" i="321"/>
  <c r="AP252" i="288"/>
  <c r="AP102" i="288"/>
  <c r="AP112" i="321"/>
  <c r="AP114" i="321" s="1"/>
  <c r="AP116" i="321"/>
  <c r="AR30" i="315"/>
  <c r="AR32" i="265"/>
  <c r="AA32" i="277" s="1"/>
  <c r="AS152" i="282"/>
  <c r="AS155" i="282" s="1"/>
  <c r="AS115" i="282"/>
  <c r="AS47" i="282"/>
  <c r="AS84" i="282"/>
  <c r="AS87" i="282" s="1"/>
  <c r="AS23" i="282"/>
  <c r="AS24" i="282" s="1"/>
  <c r="AT21" i="282" s="1"/>
  <c r="AR94" i="282"/>
  <c r="AR162" i="282"/>
  <c r="BR40" i="285"/>
  <c r="BR43" i="285" s="1"/>
  <c r="BQ99" i="315"/>
  <c r="BQ100" i="315" s="1"/>
  <c r="BQ103" i="265"/>
  <c r="BQ104" i="265" s="1"/>
  <c r="AM103" i="277"/>
  <c r="AM104" i="277" s="1"/>
  <c r="BP104" i="265"/>
  <c r="BR103" i="265" l="1"/>
  <c r="BS40" i="285"/>
  <c r="BS43" i="285" s="1"/>
  <c r="BR99" i="315"/>
  <c r="BR100" i="315" s="1"/>
  <c r="AS160" i="282"/>
  <c r="AR121" i="315"/>
  <c r="AS92" i="282"/>
  <c r="AR125" i="265"/>
  <c r="AA125" i="277" s="1"/>
  <c r="AT10" i="282"/>
  <c r="AT12" i="282" s="1"/>
  <c r="AS93" i="282"/>
  <c r="AS88" i="282"/>
  <c r="AS156" i="282"/>
  <c r="AS161" i="282"/>
  <c r="AP117" i="321"/>
  <c r="AP118" i="321" s="1"/>
  <c r="AP127" i="321" s="1"/>
  <c r="AP121" i="321"/>
  <c r="AP122" i="321" s="1"/>
  <c r="AP128" i="321" s="1"/>
  <c r="AQ187" i="321"/>
  <c r="AP118" i="288"/>
  <c r="AP115" i="315"/>
  <c r="AP119" i="265"/>
  <c r="AP268" i="288"/>
  <c r="AP242" i="321"/>
  <c r="AP243" i="321" s="1"/>
  <c r="AP361" i="321"/>
  <c r="AP98" i="282"/>
  <c r="AP28" i="282"/>
  <c r="AP101" i="288"/>
  <c r="AP238" i="321"/>
  <c r="AP164" i="321"/>
  <c r="AP166" i="321" s="1"/>
  <c r="AP49" i="321"/>
  <c r="AP251" i="288"/>
  <c r="AO29" i="282"/>
  <c r="AO245" i="321"/>
  <c r="AO145" i="321"/>
  <c r="AO148" i="321" s="1"/>
  <c r="AO257" i="321"/>
  <c r="AO260" i="321" s="1"/>
  <c r="AO78" i="321"/>
  <c r="AN175" i="321"/>
  <c r="AN176" i="321" s="1"/>
  <c r="AN287" i="321"/>
  <c r="AN288" i="321" s="1"/>
  <c r="AM81" i="311"/>
  <c r="AE427" i="321"/>
  <c r="AE429" i="321" s="1"/>
  <c r="AE411" i="321"/>
  <c r="AE413" i="321" s="1"/>
  <c r="AE258" i="288"/>
  <c r="AE108" i="288"/>
  <c r="AA107" i="282"/>
  <c r="AA174" i="314"/>
  <c r="AA39" i="282"/>
  <c r="Z32" i="314"/>
  <c r="AE395" i="321"/>
  <c r="AE397" i="321" s="1"/>
  <c r="AE379" i="321"/>
  <c r="AE381" i="321" s="1"/>
  <c r="AE106" i="288"/>
  <c r="AE256" i="288"/>
  <c r="AD231" i="288"/>
  <c r="AD240" i="288" s="1"/>
  <c r="AB105" i="314"/>
  <c r="AB109" i="314" s="1"/>
  <c r="AB112" i="314" s="1"/>
  <c r="AB115" i="314" s="1"/>
  <c r="AD146" i="288"/>
  <c r="AD81" i="288"/>
  <c r="AD90" i="288" s="1"/>
  <c r="AB18" i="314"/>
  <c r="AB22" i="314" s="1"/>
  <c r="AB25" i="314" s="1"/>
  <c r="AQ299" i="321"/>
  <c r="AP116" i="315"/>
  <c r="AP120" i="265"/>
  <c r="AP269" i="288"/>
  <c r="AP119" i="288"/>
  <c r="AP354" i="321"/>
  <c r="AP363" i="321"/>
  <c r="AP99" i="282"/>
  <c r="AP253" i="288"/>
  <c r="AP350" i="321"/>
  <c r="AP103" i="288"/>
  <c r="AP30" i="282"/>
  <c r="AP276" i="321"/>
  <c r="AP278" i="321" s="1"/>
  <c r="AP50" i="321"/>
  <c r="AO356" i="321"/>
  <c r="AN70" i="265"/>
  <c r="Y70" i="277" s="1"/>
  <c r="AN20" i="265"/>
  <c r="Y20" i="277" s="1"/>
  <c r="AH714" i="321"/>
  <c r="AH679" i="321"/>
  <c r="AH680" i="321" s="1"/>
  <c r="AH442" i="321"/>
  <c r="AH443" i="321" s="1"/>
  <c r="AH46" i="288" l="1"/>
  <c r="AH446" i="321"/>
  <c r="AH447" i="321" s="1"/>
  <c r="AH529" i="321"/>
  <c r="AH485" i="321"/>
  <c r="AH196" i="288"/>
  <c r="AH687" i="321"/>
  <c r="AH688" i="321" s="1"/>
  <c r="AH681" i="321"/>
  <c r="AH34" i="282"/>
  <c r="AH102" i="282"/>
  <c r="AH715" i="321"/>
  <c r="AO31" i="282"/>
  <c r="AO357" i="321"/>
  <c r="AP283" i="321"/>
  <c r="AP69" i="265"/>
  <c r="Z69" i="277" s="1"/>
  <c r="AP18" i="315"/>
  <c r="AP66" i="315"/>
  <c r="AP19" i="265"/>
  <c r="Z19" i="277" s="1"/>
  <c r="AP355" i="321"/>
  <c r="AP63" i="328"/>
  <c r="Z74" i="328" s="1"/>
  <c r="Z120" i="277"/>
  <c r="AQ346" i="321"/>
  <c r="AQ349" i="321" s="1"/>
  <c r="AQ302" i="321"/>
  <c r="AQ104" i="288"/>
  <c r="AQ254" i="288"/>
  <c r="AQ120" i="321"/>
  <c r="AQ113" i="321"/>
  <c r="AB27" i="314"/>
  <c r="AA29" i="314" s="1"/>
  <c r="AB171" i="314"/>
  <c r="AB173" i="314" s="1"/>
  <c r="AB88" i="314"/>
  <c r="AB36" i="314"/>
  <c r="AE366" i="321"/>
  <c r="AE403" i="321"/>
  <c r="AE404" i="321" s="1"/>
  <c r="AE382" i="321"/>
  <c r="AE365" i="321"/>
  <c r="AE100" i="282"/>
  <c r="AE32" i="282"/>
  <c r="AE255" i="288"/>
  <c r="AE105" i="288"/>
  <c r="AE398" i="321"/>
  <c r="AA77" i="315"/>
  <c r="AA28" i="265"/>
  <c r="AA26" i="315"/>
  <c r="AA81" i="265"/>
  <c r="AE368" i="321"/>
  <c r="AE435" i="321"/>
  <c r="AE436" i="321" s="1"/>
  <c r="AE414" i="321"/>
  <c r="AE367" i="321"/>
  <c r="AE101" i="282"/>
  <c r="AE33" i="282"/>
  <c r="AE257" i="288"/>
  <c r="AE107" i="288"/>
  <c r="AE430" i="321"/>
  <c r="AN41" i="311"/>
  <c r="AN82" i="311" s="1"/>
  <c r="AN40" i="311"/>
  <c r="AO282" i="321"/>
  <c r="AO284" i="321" s="1"/>
  <c r="AO170" i="321"/>
  <c r="AO172" i="321" s="1"/>
  <c r="AO68" i="265"/>
  <c r="AO18" i="265"/>
  <c r="AP52" i="321"/>
  <c r="AP171" i="321"/>
  <c r="AP17" i="315"/>
  <c r="AP65" i="315"/>
  <c r="AP17" i="265"/>
  <c r="Z17" i="277" s="1"/>
  <c r="AP67" i="265"/>
  <c r="Z67" i="277" s="1"/>
  <c r="AP244" i="321"/>
  <c r="AP62" i="328"/>
  <c r="Z73" i="328" s="1"/>
  <c r="Z119" i="277"/>
  <c r="AQ234" i="321"/>
  <c r="AQ237" i="321" s="1"/>
  <c r="AQ190" i="321"/>
  <c r="AQ252" i="288"/>
  <c r="AQ116" i="321"/>
  <c r="AQ112" i="321"/>
  <c r="AQ114" i="321" s="1"/>
  <c r="AQ102" i="288"/>
  <c r="AS30" i="315"/>
  <c r="AS32" i="265"/>
  <c r="AT152" i="282"/>
  <c r="AT155" i="282" s="1"/>
  <c r="AT115" i="282"/>
  <c r="AT47" i="282"/>
  <c r="AT84" i="282"/>
  <c r="AT87" i="282" s="1"/>
  <c r="AT23" i="282"/>
  <c r="AT24" i="282" s="1"/>
  <c r="AU21" i="282" s="1"/>
  <c r="AS94" i="282"/>
  <c r="AS162" i="282"/>
  <c r="BS99" i="315"/>
  <c r="BS100" i="315" s="1"/>
  <c r="BS103" i="265"/>
  <c r="BS104" i="265" s="1"/>
  <c r="BT40" i="285"/>
  <c r="BT43" i="285" s="1"/>
  <c r="BR104" i="265"/>
  <c r="AN103" i="277"/>
  <c r="AN104" i="277" s="1"/>
  <c r="BU40" i="285" l="1"/>
  <c r="BU43" i="285" s="1"/>
  <c r="BT99" i="315"/>
  <c r="BT100" i="315" s="1"/>
  <c r="BT103" i="265"/>
  <c r="AT160" i="282"/>
  <c r="AS121" i="315"/>
  <c r="AT92" i="282"/>
  <c r="AS125" i="265"/>
  <c r="AU10" i="282"/>
  <c r="AU12" i="282" s="1"/>
  <c r="AT93" i="282"/>
  <c r="AT88" i="282"/>
  <c r="AT156" i="282"/>
  <c r="AT161" i="282"/>
  <c r="AQ117" i="321"/>
  <c r="AQ118" i="321" s="1"/>
  <c r="AQ127" i="321" s="1"/>
  <c r="AQ121" i="321"/>
  <c r="AQ122" i="321" s="1"/>
  <c r="AQ128" i="321" s="1"/>
  <c r="AR187" i="321"/>
  <c r="AQ119" i="265"/>
  <c r="AQ62" i="328" s="1"/>
  <c r="AQ115" i="315"/>
  <c r="AQ268" i="288"/>
  <c r="AQ118" i="288"/>
  <c r="AQ242" i="321"/>
  <c r="AQ243" i="321" s="1"/>
  <c r="AQ361" i="321"/>
  <c r="AQ98" i="282"/>
  <c r="AQ251" i="288"/>
  <c r="AQ238" i="321"/>
  <c r="AQ101" i="288"/>
  <c r="AQ28" i="282"/>
  <c r="AQ164" i="321"/>
  <c r="AQ166" i="321" s="1"/>
  <c r="AQ49" i="321"/>
  <c r="AP29" i="282"/>
  <c r="AP245" i="321"/>
  <c r="AP145" i="321"/>
  <c r="AP148" i="321" s="1"/>
  <c r="AP78" i="321"/>
  <c r="AP257" i="321"/>
  <c r="AP260" i="321" s="1"/>
  <c r="AO175" i="321"/>
  <c r="AO176" i="321" s="1"/>
  <c r="AO287" i="321"/>
  <c r="AO288" i="321" s="1"/>
  <c r="AN81" i="311"/>
  <c r="AE72" i="265"/>
  <c r="AE20" i="315"/>
  <c r="AE68" i="315"/>
  <c r="AE22" i="265"/>
  <c r="AE76" i="265"/>
  <c r="AE72" i="315"/>
  <c r="AF433" i="321"/>
  <c r="AE271" i="288"/>
  <c r="AE121" i="288"/>
  <c r="AE122" i="265"/>
  <c r="AE118" i="315"/>
  <c r="AE71" i="265"/>
  <c r="AE19" i="315"/>
  <c r="AE21" i="265"/>
  <c r="AE67" i="315"/>
  <c r="AE110" i="288"/>
  <c r="AE112" i="288" s="1"/>
  <c r="AE260" i="288"/>
  <c r="AE262" i="288" s="1"/>
  <c r="AE369" i="321"/>
  <c r="AE71" i="315"/>
  <c r="AE75" i="265"/>
  <c r="AF401" i="321"/>
  <c r="AE270" i="288"/>
  <c r="AE120" i="288"/>
  <c r="AE117" i="315"/>
  <c r="AE121" i="265"/>
  <c r="AB107" i="282"/>
  <c r="AB174" i="314"/>
  <c r="AB39" i="282"/>
  <c r="AA32" i="314"/>
  <c r="AR299" i="321"/>
  <c r="AQ120" i="265"/>
  <c r="AQ63" i="328" s="1"/>
  <c r="AQ269" i="288"/>
  <c r="AQ119" i="288"/>
  <c r="AQ116" i="315"/>
  <c r="AQ354" i="321"/>
  <c r="AQ363" i="321"/>
  <c r="AQ99" i="282"/>
  <c r="AQ30" i="282"/>
  <c r="AQ253" i="288"/>
  <c r="AQ350" i="321"/>
  <c r="AQ103" i="288"/>
  <c r="AQ276" i="321"/>
  <c r="AQ278" i="321" s="1"/>
  <c r="AQ50" i="321"/>
  <c r="AP356" i="321"/>
  <c r="AO70" i="265"/>
  <c r="AO20" i="265"/>
  <c r="AH84" i="265"/>
  <c r="V84" i="277" s="1"/>
  <c r="AH26" i="265"/>
  <c r="V26" i="277" s="1"/>
  <c r="AH80" i="315"/>
  <c r="AH24" i="315"/>
  <c r="AH53" i="265"/>
  <c r="V53" i="277" s="1"/>
  <c r="AH51" i="315"/>
  <c r="AI684" i="321"/>
  <c r="AH119" i="315"/>
  <c r="AH123" i="265"/>
  <c r="V123" i="277" s="1"/>
  <c r="AH56" i="265"/>
  <c r="V56" i="277" s="1"/>
  <c r="AH54" i="315"/>
  <c r="AI693" i="321" l="1"/>
  <c r="AI695" i="321" s="1"/>
  <c r="AI699" i="321" s="1"/>
  <c r="AI702" i="321" s="1"/>
  <c r="AI706" i="321" s="1"/>
  <c r="AI709" i="321" s="1"/>
  <c r="AI711" i="321" s="1"/>
  <c r="AI712" i="321"/>
  <c r="AI673" i="321"/>
  <c r="AI676" i="321" s="1"/>
  <c r="AP31" i="282"/>
  <c r="AP357" i="321"/>
  <c r="AQ283" i="321"/>
  <c r="AQ18" i="315"/>
  <c r="AQ66" i="315"/>
  <c r="AQ69" i="265"/>
  <c r="AQ19" i="265"/>
  <c r="AQ355" i="321"/>
  <c r="AR346" i="321"/>
  <c r="AR349" i="321" s="1"/>
  <c r="AR302" i="321"/>
  <c r="AR104" i="288"/>
  <c r="AR120" i="321"/>
  <c r="AR254" i="288"/>
  <c r="AR113" i="321"/>
  <c r="AB77" i="315"/>
  <c r="AB28" i="265"/>
  <c r="S28" i="277" s="1"/>
  <c r="AB81" i="265"/>
  <c r="S81" i="277" s="1"/>
  <c r="AB26" i="315"/>
  <c r="AF395" i="321"/>
  <c r="AF397" i="321" s="1"/>
  <c r="AF379" i="321"/>
  <c r="AF381" i="321" s="1"/>
  <c r="AF256" i="288"/>
  <c r="AF106" i="288"/>
  <c r="AE16" i="314"/>
  <c r="AE216" i="288"/>
  <c r="AE21" i="328"/>
  <c r="AE229" i="288"/>
  <c r="AE23" i="314"/>
  <c r="AE103" i="314"/>
  <c r="AE110" i="314"/>
  <c r="AE66" i="288"/>
  <c r="AE79" i="288"/>
  <c r="AE142" i="288"/>
  <c r="AE143" i="288" s="1"/>
  <c r="AF427" i="321"/>
  <c r="AF429" i="321" s="1"/>
  <c r="AF411" i="321"/>
  <c r="AF413" i="321" s="1"/>
  <c r="AF258" i="288"/>
  <c r="AF108" i="288"/>
  <c r="AO41" i="311"/>
  <c r="AO82" i="311" s="1"/>
  <c r="AO40" i="311"/>
  <c r="AP282" i="321"/>
  <c r="AP284" i="321" s="1"/>
  <c r="AP170" i="321"/>
  <c r="AP172" i="321" s="1"/>
  <c r="AP68" i="265"/>
  <c r="Z68" i="277" s="1"/>
  <c r="AP18" i="265"/>
  <c r="Z18" i="277" s="1"/>
  <c r="AQ52" i="321"/>
  <c r="AQ171" i="321"/>
  <c r="AQ17" i="315"/>
  <c r="AQ65" i="315"/>
  <c r="AQ17" i="265"/>
  <c r="AQ67" i="265"/>
  <c r="AQ244" i="321"/>
  <c r="AR234" i="321"/>
  <c r="AR237" i="321" s="1"/>
  <c r="AR190" i="321"/>
  <c r="AR112" i="321"/>
  <c r="AR114" i="321" s="1"/>
  <c r="AR116" i="321"/>
  <c r="AR252" i="288"/>
  <c r="AR102" i="288"/>
  <c r="AT30" i="315"/>
  <c r="AT32" i="265"/>
  <c r="AB32" i="277" s="1"/>
  <c r="AU152" i="282"/>
  <c r="AU155" i="282" s="1"/>
  <c r="AU115" i="282"/>
  <c r="AU47" i="282"/>
  <c r="AU84" i="282"/>
  <c r="AU87" i="282" s="1"/>
  <c r="AU23" i="282"/>
  <c r="AU24" i="282" s="1"/>
  <c r="AV21" i="282" s="1"/>
  <c r="AT94" i="282"/>
  <c r="AT162" i="282"/>
  <c r="BT104" i="265"/>
  <c r="AO103" i="277"/>
  <c r="AO104" i="277" s="1"/>
  <c r="BV40" i="285"/>
  <c r="BV43" i="285" s="1"/>
  <c r="BU99" i="315"/>
  <c r="BU100" i="315" s="1"/>
  <c r="BU103" i="265"/>
  <c r="BU104" i="265" s="1"/>
  <c r="BV103" i="265" l="1"/>
  <c r="BW40" i="285"/>
  <c r="BW43" i="285" s="1"/>
  <c r="BV99" i="315"/>
  <c r="BV100" i="315" s="1"/>
  <c r="AU160" i="282"/>
  <c r="AT121" i="315"/>
  <c r="AU92" i="282"/>
  <c r="AT125" i="265"/>
  <c r="AB125" i="277" s="1"/>
  <c r="AV10" i="282"/>
  <c r="AV12" i="282" s="1"/>
  <c r="AU93" i="282"/>
  <c r="AU88" i="282"/>
  <c r="AU156" i="282"/>
  <c r="AU161" i="282"/>
  <c r="AR121" i="321"/>
  <c r="AR122" i="321" s="1"/>
  <c r="AR128" i="321" s="1"/>
  <c r="AR117" i="321"/>
  <c r="AR118" i="321" s="1"/>
  <c r="AR127" i="321" s="1"/>
  <c r="AS187" i="321"/>
  <c r="AR268" i="288"/>
  <c r="AR118" i="288"/>
  <c r="AR115" i="315"/>
  <c r="AR119" i="265"/>
  <c r="AR242" i="321"/>
  <c r="AR243" i="321" s="1"/>
  <c r="AR361" i="321"/>
  <c r="AR98" i="282"/>
  <c r="AR28" i="282"/>
  <c r="AR101" i="288"/>
  <c r="AR238" i="321"/>
  <c r="AR164" i="321"/>
  <c r="AR166" i="321" s="1"/>
  <c r="AR49" i="321"/>
  <c r="AR251" i="288"/>
  <c r="AQ29" i="282"/>
  <c r="AQ245" i="321"/>
  <c r="AQ257" i="321"/>
  <c r="AQ260" i="321" s="1"/>
  <c r="AQ145" i="321"/>
  <c r="AQ148" i="321" s="1"/>
  <c r="AQ78" i="321"/>
  <c r="AP175" i="321"/>
  <c r="AP176" i="321" s="1"/>
  <c r="AP287" i="321"/>
  <c r="AP288" i="321" s="1"/>
  <c r="AO81" i="311"/>
  <c r="AF368" i="321"/>
  <c r="AF435" i="321"/>
  <c r="AF436" i="321" s="1"/>
  <c r="AF414" i="321"/>
  <c r="AF367" i="321"/>
  <c r="AF101" i="282"/>
  <c r="AF257" i="288"/>
  <c r="AF430" i="321"/>
  <c r="AF33" i="282"/>
  <c r="AF107" i="288"/>
  <c r="AE146" i="288"/>
  <c r="AE81" i="288"/>
  <c r="AE90" i="288" s="1"/>
  <c r="AC105" i="314"/>
  <c r="AC109" i="314" s="1"/>
  <c r="AC112" i="314" s="1"/>
  <c r="AC115" i="314" s="1"/>
  <c r="AE231" i="288"/>
  <c r="AE240" i="288" s="1"/>
  <c r="AC18" i="314"/>
  <c r="AC22" i="314" s="1"/>
  <c r="AC25" i="314" s="1"/>
  <c r="AF366" i="321"/>
  <c r="AF403" i="321"/>
  <c r="AF404" i="321" s="1"/>
  <c r="AF382" i="321"/>
  <c r="AF365" i="321"/>
  <c r="AF369" i="321" s="1"/>
  <c r="AF100" i="282"/>
  <c r="AF398" i="321"/>
  <c r="AF32" i="282"/>
  <c r="AF105" i="288"/>
  <c r="AF110" i="288" s="1"/>
  <c r="AF112" i="288" s="1"/>
  <c r="AF255" i="288"/>
  <c r="AF260" i="288" s="1"/>
  <c r="AF262" i="288" s="1"/>
  <c r="AS299" i="321"/>
  <c r="AR120" i="265"/>
  <c r="AR269" i="288"/>
  <c r="AR119" i="288"/>
  <c r="AR116" i="315"/>
  <c r="AR354" i="321"/>
  <c r="AR363" i="321"/>
  <c r="AR99" i="282"/>
  <c r="AR253" i="288"/>
  <c r="AR50" i="321"/>
  <c r="AR350" i="321"/>
  <c r="AR30" i="282"/>
  <c r="AR103" i="288"/>
  <c r="AR276" i="321"/>
  <c r="AR278" i="321" s="1"/>
  <c r="AQ356" i="321"/>
  <c r="AP70" i="265"/>
  <c r="Z70" i="277" s="1"/>
  <c r="AP20" i="265"/>
  <c r="Z20" i="277" s="1"/>
  <c r="AI442" i="321"/>
  <c r="AI443" i="321" s="1"/>
  <c r="AI679" i="321"/>
  <c r="AI680" i="321" s="1"/>
  <c r="AI714" i="321"/>
  <c r="AI102" i="282" l="1"/>
  <c r="AI715" i="321"/>
  <c r="AI34" i="282"/>
  <c r="AI687" i="321"/>
  <c r="AI688" i="321" s="1"/>
  <c r="AI681" i="321"/>
  <c r="AI46" i="288"/>
  <c r="AI446" i="321"/>
  <c r="AI447" i="321" s="1"/>
  <c r="AI529" i="321"/>
  <c r="AI485" i="321"/>
  <c r="AI196" i="288"/>
  <c r="AQ31" i="282"/>
  <c r="AQ357" i="321"/>
  <c r="AR283" i="321"/>
  <c r="AR66" i="315"/>
  <c r="AR19" i="265"/>
  <c r="AA19" i="277" s="1"/>
  <c r="AR69" i="265"/>
  <c r="AA69" i="277" s="1"/>
  <c r="AR18" i="315"/>
  <c r="AR355" i="321"/>
  <c r="AR63" i="328"/>
  <c r="AA74" i="328" s="1"/>
  <c r="AA120" i="277"/>
  <c r="AS346" i="321"/>
  <c r="AS349" i="321" s="1"/>
  <c r="AS302" i="321"/>
  <c r="AS104" i="288"/>
  <c r="AS120" i="321"/>
  <c r="AS113" i="321"/>
  <c r="AS254" i="288"/>
  <c r="AF71" i="265"/>
  <c r="U71" i="277" s="1"/>
  <c r="AF19" i="315"/>
  <c r="AF67" i="315"/>
  <c r="AF21" i="265"/>
  <c r="U21" i="277" s="1"/>
  <c r="AF16" i="314"/>
  <c r="AF103" i="314"/>
  <c r="AF21" i="328"/>
  <c r="U41" i="328" s="1"/>
  <c r="AF66" i="288"/>
  <c r="AF229" i="288"/>
  <c r="AF79" i="288"/>
  <c r="AF216" i="288"/>
  <c r="AF110" i="314"/>
  <c r="AF142" i="288"/>
  <c r="AF143" i="288" s="1"/>
  <c r="AF23" i="314"/>
  <c r="AF75" i="265"/>
  <c r="U75" i="277" s="1"/>
  <c r="AF71" i="315"/>
  <c r="AG401" i="321"/>
  <c r="AF121" i="265"/>
  <c r="U121" i="277" s="1"/>
  <c r="AF270" i="288"/>
  <c r="AF120" i="288"/>
  <c r="AF117" i="315"/>
  <c r="AC27" i="314"/>
  <c r="AB29" i="314" s="1"/>
  <c r="AC171" i="314"/>
  <c r="AC173" i="314" s="1"/>
  <c r="AC36" i="314"/>
  <c r="AC88" i="314"/>
  <c r="AF20" i="315"/>
  <c r="AF68" i="315"/>
  <c r="AF22" i="265"/>
  <c r="U22" i="277" s="1"/>
  <c r="AF72" i="265"/>
  <c r="U72" i="277" s="1"/>
  <c r="AF72" i="315"/>
  <c r="AF76" i="265"/>
  <c r="U76" i="277" s="1"/>
  <c r="AG433" i="321"/>
  <c r="AF121" i="288"/>
  <c r="AF122" i="265"/>
  <c r="U122" i="277" s="1"/>
  <c r="AF118" i="315"/>
  <c r="AF271" i="288"/>
  <c r="AP41" i="311"/>
  <c r="AP82" i="311" s="1"/>
  <c r="AP40" i="311"/>
  <c r="AQ170" i="321"/>
  <c r="AQ172" i="321" s="1"/>
  <c r="AQ282" i="321"/>
  <c r="AQ284" i="321" s="1"/>
  <c r="AQ68" i="265"/>
  <c r="AQ18" i="265"/>
  <c r="AR52" i="321"/>
  <c r="AR171" i="321"/>
  <c r="AR17" i="315"/>
  <c r="AR65" i="315"/>
  <c r="AR17" i="265"/>
  <c r="AA17" i="277" s="1"/>
  <c r="AR67" i="265"/>
  <c r="AA67" i="277" s="1"/>
  <c r="AR244" i="321"/>
  <c r="AR62" i="328"/>
  <c r="AA73" i="328" s="1"/>
  <c r="AA119" i="277"/>
  <c r="AS234" i="321"/>
  <c r="AS237" i="321" s="1"/>
  <c r="AS190" i="321"/>
  <c r="AS102" i="288"/>
  <c r="AS116" i="321"/>
  <c r="AS112" i="321"/>
  <c r="AS114" i="321" s="1"/>
  <c r="AS252" i="288"/>
  <c r="AU30" i="315"/>
  <c r="AU32" i="265"/>
  <c r="AV152" i="282"/>
  <c r="AV155" i="282" s="1"/>
  <c r="AV115" i="282"/>
  <c r="AV47" i="282"/>
  <c r="AV84" i="282"/>
  <c r="AV87" i="282" s="1"/>
  <c r="AV23" i="282"/>
  <c r="AV24" i="282" s="1"/>
  <c r="AW21" i="282" s="1"/>
  <c r="AU94" i="282"/>
  <c r="AU162" i="282"/>
  <c r="BW103" i="265"/>
  <c r="BW104" i="265" s="1"/>
  <c r="BX40" i="285"/>
  <c r="BX43" i="285" s="1"/>
  <c r="BW99" i="315"/>
  <c r="BW100" i="315" s="1"/>
  <c r="AP103" i="277"/>
  <c r="AP104" i="277" s="1"/>
  <c r="BV104" i="265"/>
  <c r="BX99" i="315" l="1"/>
  <c r="BX100" i="315" s="1"/>
  <c r="BX103" i="265"/>
  <c r="BY40" i="285"/>
  <c r="BY43" i="285" s="1"/>
  <c r="AV160" i="282"/>
  <c r="AU121" i="315"/>
  <c r="AV92" i="282"/>
  <c r="AU125" i="265"/>
  <c r="AW10" i="282"/>
  <c r="AW12" i="282" s="1"/>
  <c r="AV93" i="282"/>
  <c r="AV88" i="282"/>
  <c r="AV156" i="282"/>
  <c r="AV161" i="282"/>
  <c r="AS117" i="321"/>
  <c r="AS118" i="321" s="1"/>
  <c r="AS127" i="321" s="1"/>
  <c r="AS133" i="321" s="1"/>
  <c r="AS146" i="321" s="1"/>
  <c r="AS121" i="321"/>
  <c r="AS122" i="321" s="1"/>
  <c r="AS128" i="321" s="1"/>
  <c r="AS134" i="321" s="1"/>
  <c r="AS258" i="321" s="1"/>
  <c r="AT187" i="321"/>
  <c r="AS119" i="265"/>
  <c r="AS62" i="328" s="1"/>
  <c r="AS115" i="315"/>
  <c r="AS268" i="288"/>
  <c r="AS118" i="288"/>
  <c r="AS242" i="321"/>
  <c r="AS243" i="321" s="1"/>
  <c r="AS361" i="321"/>
  <c r="AS98" i="282"/>
  <c r="AS49" i="321"/>
  <c r="AS251" i="288"/>
  <c r="AS28" i="282"/>
  <c r="AS101" i="288"/>
  <c r="AS238" i="321"/>
  <c r="AS164" i="321"/>
  <c r="AS166" i="321" s="1"/>
  <c r="AR29" i="282"/>
  <c r="AR245" i="321"/>
  <c r="AR78" i="321"/>
  <c r="AR145" i="321"/>
  <c r="AR148" i="321" s="1"/>
  <c r="AR257" i="321"/>
  <c r="AR260" i="321" s="1"/>
  <c r="AQ287" i="321"/>
  <c r="AQ288" i="321" s="1"/>
  <c r="AQ175" i="321"/>
  <c r="AQ176" i="321" s="1"/>
  <c r="AP81" i="311"/>
  <c r="AG427" i="321"/>
  <c r="AG429" i="321" s="1"/>
  <c r="AG411" i="321"/>
  <c r="AG413" i="321" s="1"/>
  <c r="AG258" i="288"/>
  <c r="AG108" i="288"/>
  <c r="AC107" i="282"/>
  <c r="AC174" i="314"/>
  <c r="AC39" i="282"/>
  <c r="AB32" i="314"/>
  <c r="AG395" i="321"/>
  <c r="AG397" i="321" s="1"/>
  <c r="AG379" i="321"/>
  <c r="AG381" i="321" s="1"/>
  <c r="AG256" i="288"/>
  <c r="AG106" i="288"/>
  <c r="AF146" i="288"/>
  <c r="AF81" i="288"/>
  <c r="AF90" i="288" s="1"/>
  <c r="AF231" i="288"/>
  <c r="AF240" i="288" s="1"/>
  <c r="AD105" i="314"/>
  <c r="AD109" i="314" s="1"/>
  <c r="AD112" i="314" s="1"/>
  <c r="AD115" i="314" s="1"/>
  <c r="AD18" i="314"/>
  <c r="AD22" i="314" s="1"/>
  <c r="AD25" i="314" s="1"/>
  <c r="AT299" i="321"/>
  <c r="AS119" i="288"/>
  <c r="AS116" i="315"/>
  <c r="AS120" i="265"/>
  <c r="AS63" i="328" s="1"/>
  <c r="AS269" i="288"/>
  <c r="AS354" i="321"/>
  <c r="AS363" i="321"/>
  <c r="AS99" i="282"/>
  <c r="AS30" i="282"/>
  <c r="AS253" i="288"/>
  <c r="AS350" i="321"/>
  <c r="AS50" i="321"/>
  <c r="AS103" i="288"/>
  <c r="AS276" i="321"/>
  <c r="AS278" i="321" s="1"/>
  <c r="AR356" i="321"/>
  <c r="AQ70" i="265"/>
  <c r="AQ20" i="265"/>
  <c r="AI54" i="315"/>
  <c r="AI56" i="265"/>
  <c r="AI51" i="315"/>
  <c r="AI53" i="265"/>
  <c r="AJ684" i="321"/>
  <c r="AI123" i="265"/>
  <c r="AI119" i="315"/>
  <c r="AI26" i="265"/>
  <c r="AI24" i="315"/>
  <c r="AI84" i="265"/>
  <c r="AI80" i="315"/>
  <c r="AJ693" i="321" l="1"/>
  <c r="AJ695" i="321" s="1"/>
  <c r="AJ699" i="321" s="1"/>
  <c r="AJ702" i="321" s="1"/>
  <c r="AJ706" i="321" s="1"/>
  <c r="AJ709" i="321" s="1"/>
  <c r="AJ711" i="321" s="1"/>
  <c r="AJ712" i="321"/>
  <c r="AJ673" i="321"/>
  <c r="AJ676" i="321" s="1"/>
  <c r="AR31" i="282"/>
  <c r="AR357" i="321"/>
  <c r="AS283" i="321"/>
  <c r="AS18" i="315"/>
  <c r="AS66" i="315"/>
  <c r="AS19" i="265"/>
  <c r="AS69" i="265"/>
  <c r="AS355" i="321"/>
  <c r="AT346" i="321"/>
  <c r="AT349" i="321" s="1"/>
  <c r="AT302" i="321"/>
  <c r="AT104" i="288"/>
  <c r="AT113" i="321"/>
  <c r="AT254" i="288"/>
  <c r="AT120" i="321"/>
  <c r="AD27" i="314"/>
  <c r="AC29" i="314" s="1"/>
  <c r="AD36" i="314"/>
  <c r="AD88" i="314"/>
  <c r="AD171" i="314"/>
  <c r="AD173" i="314" s="1"/>
  <c r="AG366" i="321"/>
  <c r="AG403" i="321"/>
  <c r="AG404" i="321" s="1"/>
  <c r="AG382" i="321"/>
  <c r="AG365" i="321"/>
  <c r="AG100" i="282"/>
  <c r="AG255" i="288"/>
  <c r="AG105" i="288"/>
  <c r="AG32" i="282"/>
  <c r="AG398" i="321"/>
  <c r="AC77" i="315"/>
  <c r="AC81" i="265"/>
  <c r="AC28" i="265"/>
  <c r="AC26" i="315"/>
  <c r="AG368" i="321"/>
  <c r="AG435" i="321"/>
  <c r="AG436" i="321" s="1"/>
  <c r="AG414" i="321"/>
  <c r="AG367" i="321"/>
  <c r="AG101" i="282"/>
  <c r="AG107" i="288"/>
  <c r="AG33" i="282"/>
  <c r="AG430" i="321"/>
  <c r="AG257" i="288"/>
  <c r="AQ40" i="311"/>
  <c r="AQ41" i="311"/>
  <c r="AQ82" i="311" s="1"/>
  <c r="AR282" i="321"/>
  <c r="AR284" i="321" s="1"/>
  <c r="AR170" i="321"/>
  <c r="AR172" i="321" s="1"/>
  <c r="AR68" i="265"/>
  <c r="AA68" i="277" s="1"/>
  <c r="AR18" i="265"/>
  <c r="AA18" i="277" s="1"/>
  <c r="AS171" i="321"/>
  <c r="AS67" i="265"/>
  <c r="AS17" i="315"/>
  <c r="AS65" i="315"/>
  <c r="AS17" i="265"/>
  <c r="AS52" i="321"/>
  <c r="AS244" i="321"/>
  <c r="AT234" i="321"/>
  <c r="AT237" i="321" s="1"/>
  <c r="AT190" i="321"/>
  <c r="AT252" i="288"/>
  <c r="AT102" i="288"/>
  <c r="AT112" i="321"/>
  <c r="AT114" i="321" s="1"/>
  <c r="AT116" i="321"/>
  <c r="AV30" i="315"/>
  <c r="AV32" i="265"/>
  <c r="AC32" i="277" s="1"/>
  <c r="AW152" i="282"/>
  <c r="AW155" i="282" s="1"/>
  <c r="AW115" i="282"/>
  <c r="AW47" i="282"/>
  <c r="AW84" i="282"/>
  <c r="AW87" i="282" s="1"/>
  <c r="AW23" i="282"/>
  <c r="AW24" i="282" s="1"/>
  <c r="AX21" i="282" s="1"/>
  <c r="AV94" i="282"/>
  <c r="AV162" i="282"/>
  <c r="BZ40" i="285"/>
  <c r="BZ43" i="285" s="1"/>
  <c r="BY99" i="315"/>
  <c r="BY100" i="315" s="1"/>
  <c r="BY103" i="265"/>
  <c r="BY104" i="265" s="1"/>
  <c r="BX104" i="265"/>
  <c r="AQ103" i="277"/>
  <c r="AQ104" i="277" s="1"/>
  <c r="BZ103" i="265" l="1"/>
  <c r="CA40" i="285"/>
  <c r="CA43" i="285" s="1"/>
  <c r="BZ99" i="315"/>
  <c r="BZ100" i="315" s="1"/>
  <c r="AW160" i="282"/>
  <c r="AV121" i="315"/>
  <c r="AW92" i="282"/>
  <c r="AV125" i="265"/>
  <c r="AC125" i="277" s="1"/>
  <c r="AX10" i="282"/>
  <c r="AX12" i="282" s="1"/>
  <c r="AW93" i="282"/>
  <c r="AW88" i="282"/>
  <c r="AW156" i="282"/>
  <c r="AW161" i="282"/>
  <c r="AT121" i="321"/>
  <c r="AT122" i="321" s="1"/>
  <c r="AT128" i="321" s="1"/>
  <c r="AT134" i="321" s="1"/>
  <c r="AT258" i="321" s="1"/>
  <c r="AT117" i="321"/>
  <c r="AT118" i="321" s="1"/>
  <c r="AT127" i="321" s="1"/>
  <c r="AT133" i="321" s="1"/>
  <c r="AT146" i="321" s="1"/>
  <c r="AU187" i="321"/>
  <c r="AT115" i="315"/>
  <c r="AT119" i="265"/>
  <c r="AT268" i="288"/>
  <c r="AT118" i="288"/>
  <c r="AT242" i="321"/>
  <c r="AT243" i="321" s="1"/>
  <c r="AT361" i="321"/>
  <c r="AT98" i="282"/>
  <c r="AT251" i="288"/>
  <c r="AT238" i="321"/>
  <c r="AT101" i="288"/>
  <c r="AT28" i="282"/>
  <c r="AT164" i="321"/>
  <c r="AT166" i="321" s="1"/>
  <c r="AT49" i="321"/>
  <c r="AS29" i="282"/>
  <c r="AS245" i="321"/>
  <c r="AS257" i="321"/>
  <c r="AS260" i="321" s="1"/>
  <c r="AS78" i="321"/>
  <c r="AS145" i="321"/>
  <c r="AS148" i="321" s="1"/>
  <c r="AR175" i="321"/>
  <c r="AR176" i="321" s="1"/>
  <c r="AR287" i="321"/>
  <c r="AR288" i="321" s="1"/>
  <c r="AQ81" i="311"/>
  <c r="AG68" i="315"/>
  <c r="AG22" i="265"/>
  <c r="AG72" i="265"/>
  <c r="AG20" i="315"/>
  <c r="AG76" i="265"/>
  <c r="AG72" i="315"/>
  <c r="AH433" i="321"/>
  <c r="AG271" i="288"/>
  <c r="AG121" i="288"/>
  <c r="AG122" i="265"/>
  <c r="AG118" i="315"/>
  <c r="AG67" i="315"/>
  <c r="AG21" i="265"/>
  <c r="AG71" i="265"/>
  <c r="AG19" i="315"/>
  <c r="AG110" i="288"/>
  <c r="AG112" i="288" s="1"/>
  <c r="AG260" i="288"/>
  <c r="AG262" i="288" s="1"/>
  <c r="AG369" i="321"/>
  <c r="AG75" i="265"/>
  <c r="AG71" i="315"/>
  <c r="AH401" i="321"/>
  <c r="AG117" i="315"/>
  <c r="AG121" i="265"/>
  <c r="AG270" i="288"/>
  <c r="AG120" i="288"/>
  <c r="AD107" i="282"/>
  <c r="AD174" i="314"/>
  <c r="AD39" i="282"/>
  <c r="AC32" i="314"/>
  <c r="AU299" i="321"/>
  <c r="AT120" i="265"/>
  <c r="AT269" i="288"/>
  <c r="AT119" i="288"/>
  <c r="AT116" i="315"/>
  <c r="AT354" i="321"/>
  <c r="AT363" i="321"/>
  <c r="AT99" i="282"/>
  <c r="AT350" i="321"/>
  <c r="AT276" i="321"/>
  <c r="AT278" i="321" s="1"/>
  <c r="AT50" i="321"/>
  <c r="AT253" i="288"/>
  <c r="AT30" i="282"/>
  <c r="AT103" i="288"/>
  <c r="AS356" i="321"/>
  <c r="AR70" i="265"/>
  <c r="AA70" i="277" s="1"/>
  <c r="AR20" i="265"/>
  <c r="AA20" i="277" s="1"/>
  <c r="AJ679" i="321"/>
  <c r="AJ680" i="321" s="1"/>
  <c r="AJ442" i="321"/>
  <c r="AJ443" i="321" s="1"/>
  <c r="AJ714" i="321"/>
  <c r="AJ102" i="282" l="1"/>
  <c r="AJ34" i="282"/>
  <c r="AJ715" i="321"/>
  <c r="AJ46" i="288"/>
  <c r="AJ529" i="321"/>
  <c r="AJ446" i="321"/>
  <c r="AJ447" i="321" s="1"/>
  <c r="AJ485" i="321"/>
  <c r="AJ196" i="288"/>
  <c r="AJ687" i="321"/>
  <c r="AJ688" i="321" s="1"/>
  <c r="AJ681" i="321"/>
  <c r="AS31" i="282"/>
  <c r="AS357" i="321"/>
  <c r="AT283" i="321"/>
  <c r="AT66" i="315"/>
  <c r="AT19" i="265"/>
  <c r="AB19" i="277" s="1"/>
  <c r="AT69" i="265"/>
  <c r="AB69" i="277" s="1"/>
  <c r="AT18" i="315"/>
  <c r="AT355" i="321"/>
  <c r="AT63" i="328"/>
  <c r="AB74" i="328" s="1"/>
  <c r="AB120" i="277"/>
  <c r="AU346" i="321"/>
  <c r="AU349" i="321" s="1"/>
  <c r="AU302" i="321"/>
  <c r="AU104" i="288"/>
  <c r="AU120" i="321"/>
  <c r="AU113" i="321"/>
  <c r="AU254" i="288"/>
  <c r="AD28" i="265"/>
  <c r="T28" i="277" s="1"/>
  <c r="AD81" i="265"/>
  <c r="T81" i="277" s="1"/>
  <c r="AD26" i="315"/>
  <c r="AD77" i="315"/>
  <c r="AH395" i="321"/>
  <c r="AH397" i="321" s="1"/>
  <c r="AH379" i="321"/>
  <c r="AH381" i="321" s="1"/>
  <c r="AH106" i="288"/>
  <c r="AH256" i="288"/>
  <c r="AG16" i="314"/>
  <c r="AG79" i="288"/>
  <c r="AG110" i="314"/>
  <c r="AG229" i="288"/>
  <c r="AG21" i="328"/>
  <c r="AG23" i="314"/>
  <c r="AG142" i="288"/>
  <c r="AG143" i="288" s="1"/>
  <c r="AG103" i="314"/>
  <c r="AG216" i="288"/>
  <c r="AG66" i="288"/>
  <c r="AH427" i="321"/>
  <c r="AH429" i="321" s="1"/>
  <c r="AH411" i="321"/>
  <c r="AH413" i="321" s="1"/>
  <c r="AH108" i="288"/>
  <c r="AH258" i="288"/>
  <c r="AR41" i="311"/>
  <c r="AR82" i="311" s="1"/>
  <c r="AR40" i="311"/>
  <c r="AS170" i="321"/>
  <c r="AS172" i="321" s="1"/>
  <c r="AS282" i="321"/>
  <c r="AS284" i="321" s="1"/>
  <c r="AS68" i="265"/>
  <c r="AS18" i="265"/>
  <c r="AT52" i="321"/>
  <c r="AT171" i="321"/>
  <c r="AT65" i="315"/>
  <c r="AT17" i="265"/>
  <c r="AB17" i="277" s="1"/>
  <c r="AT67" i="265"/>
  <c r="AB67" i="277" s="1"/>
  <c r="AT17" i="315"/>
  <c r="AT244" i="321"/>
  <c r="AT62" i="328"/>
  <c r="AB73" i="328" s="1"/>
  <c r="AB119" i="277"/>
  <c r="AU234" i="321"/>
  <c r="AU237" i="321" s="1"/>
  <c r="AU190" i="321"/>
  <c r="AU252" i="288"/>
  <c r="AU102" i="288"/>
  <c r="AU116" i="321"/>
  <c r="AU112" i="321"/>
  <c r="AU114" i="321" s="1"/>
  <c r="AW30" i="315"/>
  <c r="AW32" i="265"/>
  <c r="AX152" i="282"/>
  <c r="AX155" i="282" s="1"/>
  <c r="AX115" i="282"/>
  <c r="AX47" i="282"/>
  <c r="AX84" i="282"/>
  <c r="AX87" i="282" s="1"/>
  <c r="AX23" i="282"/>
  <c r="AX24" i="282" s="1"/>
  <c r="AY21" i="282" s="1"/>
  <c r="AW94" i="282"/>
  <c r="AW162" i="282"/>
  <c r="CB40" i="285"/>
  <c r="CB43" i="285" s="1"/>
  <c r="CA99" i="315"/>
  <c r="CA100" i="315" s="1"/>
  <c r="CA103" i="265"/>
  <c r="CA104" i="265" s="1"/>
  <c r="BZ104" i="265"/>
  <c r="AR103" i="277"/>
  <c r="AR104" i="277" s="1"/>
  <c r="CC40" i="285" l="1"/>
  <c r="CC43" i="285" s="1"/>
  <c r="CB99" i="315"/>
  <c r="CB100" i="315" s="1"/>
  <c r="CB103" i="265"/>
  <c r="AX160" i="282"/>
  <c r="AW121" i="315"/>
  <c r="AX92" i="282"/>
  <c r="AW125" i="265"/>
  <c r="AY10" i="282"/>
  <c r="AY12" i="282" s="1"/>
  <c r="AX93" i="282"/>
  <c r="AX88" i="282"/>
  <c r="AX156" i="282"/>
  <c r="AX161" i="282"/>
  <c r="AU117" i="321"/>
  <c r="AU118" i="321" s="1"/>
  <c r="AU127" i="321" s="1"/>
  <c r="AU133" i="321" s="1"/>
  <c r="AU146" i="321" s="1"/>
  <c r="AU121" i="321"/>
  <c r="AU122" i="321" s="1"/>
  <c r="AU128" i="321" s="1"/>
  <c r="AU134" i="321" s="1"/>
  <c r="AU258" i="321" s="1"/>
  <c r="AV187" i="321"/>
  <c r="AU268" i="288"/>
  <c r="AU119" i="265"/>
  <c r="AU62" i="328" s="1"/>
  <c r="AU115" i="315"/>
  <c r="AU118" i="288"/>
  <c r="AU242" i="321"/>
  <c r="AU243" i="321" s="1"/>
  <c r="AU361" i="321"/>
  <c r="AU98" i="282"/>
  <c r="AU101" i="288"/>
  <c r="AU238" i="321"/>
  <c r="AU49" i="321"/>
  <c r="AU28" i="282"/>
  <c r="AU164" i="321"/>
  <c r="AU166" i="321" s="1"/>
  <c r="AU251" i="288"/>
  <c r="AT29" i="282"/>
  <c r="AT245" i="321"/>
  <c r="AT78" i="321"/>
  <c r="AT145" i="321"/>
  <c r="AT148" i="321" s="1"/>
  <c r="AT257" i="321"/>
  <c r="AT260" i="321" s="1"/>
  <c r="AS287" i="321"/>
  <c r="AS288" i="321" s="1"/>
  <c r="AS175" i="321"/>
  <c r="AS176" i="321" s="1"/>
  <c r="AR81" i="311"/>
  <c r="AH368" i="321"/>
  <c r="AH435" i="321"/>
  <c r="AH436" i="321" s="1"/>
  <c r="AH414" i="321"/>
  <c r="AH367" i="321"/>
  <c r="AH101" i="282"/>
  <c r="AH33" i="282"/>
  <c r="AH107" i="288"/>
  <c r="AH257" i="288"/>
  <c r="AH430" i="321"/>
  <c r="AE105" i="314"/>
  <c r="AE109" i="314" s="1"/>
  <c r="AE112" i="314" s="1"/>
  <c r="AE115" i="314" s="1"/>
  <c r="AG146" i="288"/>
  <c r="AG231" i="288"/>
  <c r="AG240" i="288" s="1"/>
  <c r="AG81" i="288"/>
  <c r="AG90" i="288" s="1"/>
  <c r="AE18" i="314"/>
  <c r="AE22" i="314" s="1"/>
  <c r="AE25" i="314" s="1"/>
  <c r="AH366" i="321"/>
  <c r="AH403" i="321"/>
  <c r="AH404" i="321" s="1"/>
  <c r="AH382" i="321"/>
  <c r="AH365" i="321"/>
  <c r="AH369" i="321" s="1"/>
  <c r="AH100" i="282"/>
  <c r="AH32" i="282"/>
  <c r="AH105" i="288"/>
  <c r="AH110" i="288" s="1"/>
  <c r="AH112" i="288" s="1"/>
  <c r="AH255" i="288"/>
  <c r="AH260" i="288" s="1"/>
  <c r="AH262" i="288" s="1"/>
  <c r="AH398" i="321"/>
  <c r="AV299" i="321"/>
  <c r="AU120" i="265"/>
  <c r="AU63" i="328" s="1"/>
  <c r="AU119" i="288"/>
  <c r="AU116" i="315"/>
  <c r="AU269" i="288"/>
  <c r="AU354" i="321"/>
  <c r="AU363" i="321"/>
  <c r="AU99" i="282"/>
  <c r="AU276" i="321"/>
  <c r="AU278" i="321" s="1"/>
  <c r="AU253" i="288"/>
  <c r="AU30" i="282"/>
  <c r="AU103" i="288"/>
  <c r="AU50" i="321"/>
  <c r="AU350" i="321"/>
  <c r="AT356" i="321"/>
  <c r="AS70" i="265"/>
  <c r="AS20" i="265"/>
  <c r="AJ53" i="265"/>
  <c r="W53" i="277" s="1"/>
  <c r="AJ51" i="315"/>
  <c r="AK684" i="321"/>
  <c r="AJ119" i="315"/>
  <c r="AJ123" i="265"/>
  <c r="W123" i="277" s="1"/>
  <c r="AJ54" i="315"/>
  <c r="AJ56" i="265"/>
  <c r="W56" i="277" s="1"/>
  <c r="AJ26" i="265"/>
  <c r="W26" i="277" s="1"/>
  <c r="AJ24" i="315"/>
  <c r="AJ84" i="265"/>
  <c r="W84" i="277" s="1"/>
  <c r="AJ80" i="315"/>
  <c r="AK693" i="321" l="1"/>
  <c r="AK695" i="321" s="1"/>
  <c r="AK699" i="321" s="1"/>
  <c r="AK702" i="321" s="1"/>
  <c r="AK706" i="321" s="1"/>
  <c r="AK709" i="321" s="1"/>
  <c r="AK711" i="321" s="1"/>
  <c r="AK712" i="321"/>
  <c r="AK673" i="321"/>
  <c r="AK676" i="321" s="1"/>
  <c r="AT31" i="282"/>
  <c r="AT357" i="321"/>
  <c r="AU66" i="315"/>
  <c r="AU19" i="265"/>
  <c r="AU69" i="265"/>
  <c r="AU18" i="315"/>
  <c r="AU283" i="321"/>
  <c r="AU355" i="321"/>
  <c r="AV346" i="321"/>
  <c r="AV349" i="321" s="1"/>
  <c r="AV302" i="321"/>
  <c r="AV254" i="288"/>
  <c r="AV113" i="321"/>
  <c r="AV104" i="288"/>
  <c r="AV120" i="321"/>
  <c r="AH67" i="315"/>
  <c r="AH21" i="265"/>
  <c r="V21" i="277" s="1"/>
  <c r="AH71" i="265"/>
  <c r="V71" i="277" s="1"/>
  <c r="AH19" i="315"/>
  <c r="AH16" i="314"/>
  <c r="AH103" i="314"/>
  <c r="AH216" i="288"/>
  <c r="AH23" i="314"/>
  <c r="AH79" i="288"/>
  <c r="AH110" i="314"/>
  <c r="AH229" i="288"/>
  <c r="AH21" i="328"/>
  <c r="V41" i="328" s="1"/>
  <c r="AH142" i="288"/>
  <c r="AH143" i="288" s="1"/>
  <c r="AH66" i="288"/>
  <c r="AH75" i="265"/>
  <c r="V75" i="277" s="1"/>
  <c r="AH71" i="315"/>
  <c r="AI401" i="321"/>
  <c r="AH120" i="288"/>
  <c r="AH117" i="315"/>
  <c r="AH121" i="265"/>
  <c r="V121" i="277" s="1"/>
  <c r="AH270" i="288"/>
  <c r="AE27" i="314"/>
  <c r="AD29" i="314" s="1"/>
  <c r="AE171" i="314"/>
  <c r="AE173" i="314" s="1"/>
  <c r="AE36" i="314"/>
  <c r="AE88" i="314"/>
  <c r="AH22" i="265"/>
  <c r="V22" i="277" s="1"/>
  <c r="AH68" i="315"/>
  <c r="AH72" i="265"/>
  <c r="V72" i="277" s="1"/>
  <c r="AH20" i="315"/>
  <c r="AH76" i="265"/>
  <c r="V76" i="277" s="1"/>
  <c r="AH72" i="315"/>
  <c r="AI433" i="321"/>
  <c r="AH122" i="265"/>
  <c r="V122" i="277" s="1"/>
  <c r="AH118" i="315"/>
  <c r="AH271" i="288"/>
  <c r="AH121" i="288"/>
  <c r="AS40" i="311"/>
  <c r="AS41" i="311"/>
  <c r="AS82" i="311" s="1"/>
  <c r="AT282" i="321"/>
  <c r="AT284" i="321" s="1"/>
  <c r="AT170" i="321"/>
  <c r="AT172" i="321" s="1"/>
  <c r="AT68" i="265"/>
  <c r="AB68" i="277" s="1"/>
  <c r="AT18" i="265"/>
  <c r="AB18" i="277" s="1"/>
  <c r="AU171" i="321"/>
  <c r="AU52" i="321"/>
  <c r="AU17" i="265"/>
  <c r="AU67" i="265"/>
  <c r="AU17" i="315"/>
  <c r="AU65" i="315"/>
  <c r="AU244" i="321"/>
  <c r="AV234" i="321"/>
  <c r="AV237" i="321" s="1"/>
  <c r="AV190" i="321"/>
  <c r="AV116" i="321"/>
  <c r="AV252" i="288"/>
  <c r="AV112" i="321"/>
  <c r="AV114" i="321" s="1"/>
  <c r="AV102" i="288"/>
  <c r="AX30" i="315"/>
  <c r="AX32" i="265"/>
  <c r="AD32" i="277" s="1"/>
  <c r="AY152" i="282"/>
  <c r="AY155" i="282" s="1"/>
  <c r="AY115" i="282"/>
  <c r="AY47" i="282"/>
  <c r="AY84" i="282"/>
  <c r="AY87" i="282" s="1"/>
  <c r="AY23" i="282"/>
  <c r="AY24" i="282" s="1"/>
  <c r="AZ21" i="282" s="1"/>
  <c r="AX94" i="282"/>
  <c r="AX162" i="282"/>
  <c r="AS103" i="277"/>
  <c r="AS104" i="277" s="1"/>
  <c r="CB104" i="265"/>
  <c r="CC99" i="315"/>
  <c r="CC100" i="315" s="1"/>
  <c r="CC103" i="265"/>
  <c r="CC104" i="265" s="1"/>
  <c r="CD40" i="285"/>
  <c r="CD43" i="285" s="1"/>
  <c r="CE40" i="285" l="1"/>
  <c r="CE43" i="285" s="1"/>
  <c r="CD99" i="315"/>
  <c r="CD100" i="315" s="1"/>
  <c r="CD103" i="265"/>
  <c r="AY160" i="282"/>
  <c r="AX121" i="315"/>
  <c r="AY92" i="282"/>
  <c r="AX125" i="265"/>
  <c r="AD125" i="277" s="1"/>
  <c r="AZ10" i="282"/>
  <c r="AZ12" i="282" s="1"/>
  <c r="AY93" i="282"/>
  <c r="AY88" i="282"/>
  <c r="AY156" i="282"/>
  <c r="AY161" i="282"/>
  <c r="AV121" i="321"/>
  <c r="AV122" i="321" s="1"/>
  <c r="AV128" i="321" s="1"/>
  <c r="AV134" i="321" s="1"/>
  <c r="AV258" i="321" s="1"/>
  <c r="AV117" i="321"/>
  <c r="AV118" i="321" s="1"/>
  <c r="AV127" i="321" s="1"/>
  <c r="AV133" i="321" s="1"/>
  <c r="AV146" i="321" s="1"/>
  <c r="AW187" i="321"/>
  <c r="AV268" i="288"/>
  <c r="AV118" i="288"/>
  <c r="AV115" i="315"/>
  <c r="AV119" i="265"/>
  <c r="AV242" i="321"/>
  <c r="AV243" i="321" s="1"/>
  <c r="AV361" i="321"/>
  <c r="AV98" i="282"/>
  <c r="AV238" i="321"/>
  <c r="AV164" i="321"/>
  <c r="AV166" i="321" s="1"/>
  <c r="AV49" i="321"/>
  <c r="AV251" i="288"/>
  <c r="AV28" i="282"/>
  <c r="AV101" i="288"/>
  <c r="AU29" i="282"/>
  <c r="AU245" i="321"/>
  <c r="AU78" i="321"/>
  <c r="AU257" i="321"/>
  <c r="AU260" i="321" s="1"/>
  <c r="AU145" i="321"/>
  <c r="AU148" i="321" s="1"/>
  <c r="AT175" i="321"/>
  <c r="AT176" i="321" s="1"/>
  <c r="AT287" i="321"/>
  <c r="AT288" i="321" s="1"/>
  <c r="AS81" i="311"/>
  <c r="AI427" i="321"/>
  <c r="AI429" i="321" s="1"/>
  <c r="AI411" i="321"/>
  <c r="AI413" i="321" s="1"/>
  <c r="AI258" i="288"/>
  <c r="AI108" i="288"/>
  <c r="AE107" i="282"/>
  <c r="AE39" i="282"/>
  <c r="AE174" i="314"/>
  <c r="AD32" i="314"/>
  <c r="AI395" i="321"/>
  <c r="AI397" i="321" s="1"/>
  <c r="AI379" i="321"/>
  <c r="AI381" i="321" s="1"/>
  <c r="AI256" i="288"/>
  <c r="AI106" i="288"/>
  <c r="AH146" i="288"/>
  <c r="AH231" i="288"/>
  <c r="AH240" i="288" s="1"/>
  <c r="AH81" i="288"/>
  <c r="AH90" i="288" s="1"/>
  <c r="AF105" i="314"/>
  <c r="AF109" i="314" s="1"/>
  <c r="AF112" i="314" s="1"/>
  <c r="AF115" i="314" s="1"/>
  <c r="AF18" i="314"/>
  <c r="AF22" i="314" s="1"/>
  <c r="AF25" i="314" s="1"/>
  <c r="AW299" i="321"/>
  <c r="AV119" i="288"/>
  <c r="AV120" i="265"/>
  <c r="AV269" i="288"/>
  <c r="AV116" i="315"/>
  <c r="AV354" i="321"/>
  <c r="AV363" i="321"/>
  <c r="AV99" i="282"/>
  <c r="AV276" i="321"/>
  <c r="AV278" i="321" s="1"/>
  <c r="AV30" i="282"/>
  <c r="AV50" i="321"/>
  <c r="AV350" i="321"/>
  <c r="AV103" i="288"/>
  <c r="AV253" i="288"/>
  <c r="AU356" i="321"/>
  <c r="AT70" i="265"/>
  <c r="AB70" i="277" s="1"/>
  <c r="AT20" i="265"/>
  <c r="AB20" i="277" s="1"/>
  <c r="AK679" i="321"/>
  <c r="AK680" i="321" s="1"/>
  <c r="AK442" i="321"/>
  <c r="AK443" i="321" s="1"/>
  <c r="AK714" i="321"/>
  <c r="AK34" i="282" l="1"/>
  <c r="AK102" i="282"/>
  <c r="AK715" i="321"/>
  <c r="AK46" i="288"/>
  <c r="AK446" i="321"/>
  <c r="AK447" i="321" s="1"/>
  <c r="AK529" i="321"/>
  <c r="AK485" i="321"/>
  <c r="AK196" i="288"/>
  <c r="AK687" i="321"/>
  <c r="AK688" i="321" s="1"/>
  <c r="AK681" i="321"/>
  <c r="AU31" i="282"/>
  <c r="AU357" i="321"/>
  <c r="AV19" i="265"/>
  <c r="AC19" i="277" s="1"/>
  <c r="AV69" i="265"/>
  <c r="AC69" i="277" s="1"/>
  <c r="AV18" i="315"/>
  <c r="AV66" i="315"/>
  <c r="AV283" i="321"/>
  <c r="AV355" i="321"/>
  <c r="AV63" i="328"/>
  <c r="AC74" i="328" s="1"/>
  <c r="AC120" i="277"/>
  <c r="AW346" i="321"/>
  <c r="AW349" i="321" s="1"/>
  <c r="AW302" i="321"/>
  <c r="AW104" i="288"/>
  <c r="AW120" i="321"/>
  <c r="AW113" i="321"/>
  <c r="AW254" i="288"/>
  <c r="AF27" i="314"/>
  <c r="AE29" i="314" s="1"/>
  <c r="AF88" i="314"/>
  <c r="AF171" i="314"/>
  <c r="AF173" i="314" s="1"/>
  <c r="AF36" i="314"/>
  <c r="AI366" i="321"/>
  <c r="AI403" i="321"/>
  <c r="AI404" i="321" s="1"/>
  <c r="AI382" i="321"/>
  <c r="AI365" i="321"/>
  <c r="AI100" i="282"/>
  <c r="AI398" i="321"/>
  <c r="AI32" i="282"/>
  <c r="AI255" i="288"/>
  <c r="AI105" i="288"/>
  <c r="AE81" i="265"/>
  <c r="AE26" i="315"/>
  <c r="AE77" i="315"/>
  <c r="AE28" i="265"/>
  <c r="AI368" i="321"/>
  <c r="AI435" i="321"/>
  <c r="AI436" i="321" s="1"/>
  <c r="AI414" i="321"/>
  <c r="AI367" i="321"/>
  <c r="AI101" i="282"/>
  <c r="AI430" i="321"/>
  <c r="AI33" i="282"/>
  <c r="AI257" i="288"/>
  <c r="AI107" i="288"/>
  <c r="AT41" i="311"/>
  <c r="AT82" i="311" s="1"/>
  <c r="AT40" i="311"/>
  <c r="AU170" i="321"/>
  <c r="AU172" i="321" s="1"/>
  <c r="AU282" i="321"/>
  <c r="AU284" i="321" s="1"/>
  <c r="AU68" i="265"/>
  <c r="AU18" i="265"/>
  <c r="AV52" i="321"/>
  <c r="AV171" i="321"/>
  <c r="AV17" i="265"/>
  <c r="AC17" i="277" s="1"/>
  <c r="AV67" i="265"/>
  <c r="AC67" i="277" s="1"/>
  <c r="AV17" i="315"/>
  <c r="AV65" i="315"/>
  <c r="AV244" i="321"/>
  <c r="AC119" i="277"/>
  <c r="AV62" i="328"/>
  <c r="AC73" i="328" s="1"/>
  <c r="AW234" i="321"/>
  <c r="AW237" i="321" s="1"/>
  <c r="AW190" i="321"/>
  <c r="AW112" i="321"/>
  <c r="AW114" i="321" s="1"/>
  <c r="AW102" i="288"/>
  <c r="AW252" i="288"/>
  <c r="AW116" i="321"/>
  <c r="AY30" i="315"/>
  <c r="AY32" i="265"/>
  <c r="AZ152" i="282"/>
  <c r="AZ155" i="282" s="1"/>
  <c r="AZ115" i="282"/>
  <c r="AZ47" i="282"/>
  <c r="AZ84" i="282"/>
  <c r="AZ87" i="282" s="1"/>
  <c r="AZ23" i="282"/>
  <c r="AZ24" i="282" s="1"/>
  <c r="BA21" i="282" s="1"/>
  <c r="AY94" i="282"/>
  <c r="AY162" i="282"/>
  <c r="CD104" i="265"/>
  <c r="AT103" i="277"/>
  <c r="AT104" i="277" s="1"/>
  <c r="CE103" i="265"/>
  <c r="CE104" i="265" s="1"/>
  <c r="CF40" i="285"/>
  <c r="CF43" i="285" s="1"/>
  <c r="CE99" i="315"/>
  <c r="CE100" i="315" s="1"/>
  <c r="CF99" i="315" l="1"/>
  <c r="CF100" i="315" s="1"/>
  <c r="CF103" i="265"/>
  <c r="CG40" i="285"/>
  <c r="CG43" i="285" s="1"/>
  <c r="AZ160" i="282"/>
  <c r="AY121" i="315"/>
  <c r="AZ92" i="282"/>
  <c r="AY125" i="265"/>
  <c r="BA10" i="282"/>
  <c r="BA12" i="282" s="1"/>
  <c r="AZ93" i="282"/>
  <c r="AZ88" i="282"/>
  <c r="AZ156" i="282"/>
  <c r="AZ161" i="282"/>
  <c r="AW121" i="321"/>
  <c r="AW122" i="321" s="1"/>
  <c r="AW128" i="321" s="1"/>
  <c r="AW134" i="321" s="1"/>
  <c r="AW258" i="321" s="1"/>
  <c r="AW117" i="321"/>
  <c r="AW118" i="321" s="1"/>
  <c r="AW127" i="321" s="1"/>
  <c r="AW133" i="321" s="1"/>
  <c r="AW146" i="321" s="1"/>
  <c r="AX187" i="321"/>
  <c r="AW119" i="265"/>
  <c r="AW62" i="328" s="1"/>
  <c r="AW115" i="315"/>
  <c r="AW268" i="288"/>
  <c r="AW118" i="288"/>
  <c r="AW242" i="321"/>
  <c r="AW243" i="321" s="1"/>
  <c r="AW361" i="321"/>
  <c r="AW98" i="282"/>
  <c r="AW251" i="288"/>
  <c r="AW28" i="282"/>
  <c r="AW101" i="288"/>
  <c r="AW238" i="321"/>
  <c r="AW164" i="321"/>
  <c r="AW166" i="321" s="1"/>
  <c r="AW49" i="321"/>
  <c r="AV29" i="282"/>
  <c r="AV245" i="321"/>
  <c r="AV78" i="321"/>
  <c r="AV145" i="321"/>
  <c r="AV148" i="321" s="1"/>
  <c r="AV257" i="321"/>
  <c r="AV260" i="321" s="1"/>
  <c r="AU287" i="321"/>
  <c r="AU288" i="321" s="1"/>
  <c r="AU175" i="321"/>
  <c r="AU176" i="321" s="1"/>
  <c r="AT81" i="311"/>
  <c r="AI68" i="315"/>
  <c r="AI22" i="265"/>
  <c r="AI72" i="265"/>
  <c r="AI20" i="315"/>
  <c r="AI72" i="315"/>
  <c r="AI76" i="265"/>
  <c r="AJ433" i="321"/>
  <c r="AI118" i="315"/>
  <c r="AI271" i="288"/>
  <c r="AI122" i="265"/>
  <c r="AI121" i="288"/>
  <c r="AI110" i="288"/>
  <c r="AI112" i="288" s="1"/>
  <c r="AI260" i="288"/>
  <c r="AI262" i="288" s="1"/>
  <c r="AI19" i="315"/>
  <c r="AI67" i="315"/>
  <c r="AI21" i="265"/>
  <c r="AI71" i="265"/>
  <c r="AI369" i="321"/>
  <c r="AI75" i="265"/>
  <c r="AI71" i="315"/>
  <c r="AJ401" i="321"/>
  <c r="AI117" i="315"/>
  <c r="AI121" i="265"/>
  <c r="AI270" i="288"/>
  <c r="AI120" i="288"/>
  <c r="AF107" i="282"/>
  <c r="AF174" i="314"/>
  <c r="AF39" i="282"/>
  <c r="AE32" i="314"/>
  <c r="AX299" i="321"/>
  <c r="AW120" i="265"/>
  <c r="AW63" i="328" s="1"/>
  <c r="AW119" i="288"/>
  <c r="AW116" i="315"/>
  <c r="AW269" i="288"/>
  <c r="AW354" i="321"/>
  <c r="AW363" i="321"/>
  <c r="AW99" i="282"/>
  <c r="AW253" i="288"/>
  <c r="AW103" i="288"/>
  <c r="AW50" i="321"/>
  <c r="AW30" i="282"/>
  <c r="AW276" i="321"/>
  <c r="AW278" i="321" s="1"/>
  <c r="AW350" i="321"/>
  <c r="AV356" i="321"/>
  <c r="AU70" i="265"/>
  <c r="AU20" i="265"/>
  <c r="AK53" i="265"/>
  <c r="AK51" i="315"/>
  <c r="AL684" i="321"/>
  <c r="AK123" i="265"/>
  <c r="AK119" i="315"/>
  <c r="AK56" i="265"/>
  <c r="AK54" i="315"/>
  <c r="AK24" i="315"/>
  <c r="AK84" i="265"/>
  <c r="AK26" i="265"/>
  <c r="AK80" i="315"/>
  <c r="AL693" i="321" l="1"/>
  <c r="AL695" i="321" s="1"/>
  <c r="AL699" i="321" s="1"/>
  <c r="AL702" i="321" s="1"/>
  <c r="AL706" i="321" s="1"/>
  <c r="AL709" i="321" s="1"/>
  <c r="AL711" i="321" s="1"/>
  <c r="AL712" i="321"/>
  <c r="AL673" i="321"/>
  <c r="AL676" i="321" s="1"/>
  <c r="AV31" i="282"/>
  <c r="AV357" i="321"/>
  <c r="AW18" i="315"/>
  <c r="AW66" i="315"/>
  <c r="AW19" i="265"/>
  <c r="AW69" i="265"/>
  <c r="AW283" i="321"/>
  <c r="AW355" i="321"/>
  <c r="AX346" i="321"/>
  <c r="AX349" i="321" s="1"/>
  <c r="AX302" i="321"/>
  <c r="AX120" i="321"/>
  <c r="AX113" i="321"/>
  <c r="AX104" i="288"/>
  <c r="AX254" i="288"/>
  <c r="AF81" i="265"/>
  <c r="U81" i="277" s="1"/>
  <c r="AF26" i="315"/>
  <c r="AF77" i="315"/>
  <c r="AF28" i="265"/>
  <c r="U28" i="277" s="1"/>
  <c r="AJ395" i="321"/>
  <c r="AJ397" i="321" s="1"/>
  <c r="AJ379" i="321"/>
  <c r="AJ381" i="321" s="1"/>
  <c r="AJ106" i="288"/>
  <c r="AJ256" i="288"/>
  <c r="AI16" i="314"/>
  <c r="AI216" i="288"/>
  <c r="AI23" i="314"/>
  <c r="AI66" i="288"/>
  <c r="AI103" i="314"/>
  <c r="AI79" i="288"/>
  <c r="AI110" i="314"/>
  <c r="AI21" i="328"/>
  <c r="AI142" i="288"/>
  <c r="AI143" i="288" s="1"/>
  <c r="AI229" i="288"/>
  <c r="AJ427" i="321"/>
  <c r="AJ429" i="321" s="1"/>
  <c r="AJ411" i="321"/>
  <c r="AJ413" i="321" s="1"/>
  <c r="AJ108" i="288"/>
  <c r="AJ258" i="288"/>
  <c r="AU40" i="311"/>
  <c r="AU41" i="311"/>
  <c r="AU82" i="311" s="1"/>
  <c r="AV282" i="321"/>
  <c r="AV284" i="321" s="1"/>
  <c r="AV170" i="321"/>
  <c r="AV172" i="321" s="1"/>
  <c r="AV68" i="265"/>
  <c r="AC68" i="277" s="1"/>
  <c r="AV18" i="265"/>
  <c r="AC18" i="277" s="1"/>
  <c r="AW52" i="321"/>
  <c r="AW171" i="321"/>
  <c r="AW65" i="315"/>
  <c r="AW17" i="265"/>
  <c r="AW67" i="265"/>
  <c r="AW17" i="315"/>
  <c r="AW244" i="321"/>
  <c r="AX234" i="321"/>
  <c r="AX237" i="321" s="1"/>
  <c r="AX190" i="321"/>
  <c r="AX102" i="288"/>
  <c r="AX112" i="321"/>
  <c r="AX114" i="321" s="1"/>
  <c r="AX116" i="321"/>
  <c r="AX252" i="288"/>
  <c r="AZ30" i="315"/>
  <c r="AZ32" i="265"/>
  <c r="AE32" i="277" s="1"/>
  <c r="BA152" i="282"/>
  <c r="BA155" i="282" s="1"/>
  <c r="BA115" i="282"/>
  <c r="BA47" i="282"/>
  <c r="BA84" i="282"/>
  <c r="BA87" i="282" s="1"/>
  <c r="BA23" i="282"/>
  <c r="BA24" i="282" s="1"/>
  <c r="BB21" i="282" s="1"/>
  <c r="AZ94" i="282"/>
  <c r="AZ162" i="282"/>
  <c r="CG103" i="265"/>
  <c r="CG104" i="265" s="1"/>
  <c r="CH40" i="285"/>
  <c r="CH43" i="285" s="1"/>
  <c r="CG99" i="315"/>
  <c r="CG100" i="315" s="1"/>
  <c r="AU103" i="277"/>
  <c r="AU104" i="277" s="1"/>
  <c r="CF104" i="265"/>
  <c r="CH103" i="265" l="1"/>
  <c r="CI40" i="285"/>
  <c r="CI43" i="285" s="1"/>
  <c r="CH99" i="315"/>
  <c r="CH100" i="315" s="1"/>
  <c r="BA160" i="282"/>
  <c r="AZ121" i="315"/>
  <c r="BA92" i="282"/>
  <c r="AZ125" i="265"/>
  <c r="AE125" i="277" s="1"/>
  <c r="BB10" i="282"/>
  <c r="BB12" i="282" s="1"/>
  <c r="BA93" i="282"/>
  <c r="BA88" i="282"/>
  <c r="BA156" i="282"/>
  <c r="BA161" i="282"/>
  <c r="AX121" i="321"/>
  <c r="AX122" i="321" s="1"/>
  <c r="AX128" i="321" s="1"/>
  <c r="AX134" i="321" s="1"/>
  <c r="AX258" i="321" s="1"/>
  <c r="AX117" i="321"/>
  <c r="AX118" i="321" s="1"/>
  <c r="AX127" i="321" s="1"/>
  <c r="AX133" i="321" s="1"/>
  <c r="AX146" i="321" s="1"/>
  <c r="AY187" i="321"/>
  <c r="AX119" i="265"/>
  <c r="AX115" i="315"/>
  <c r="AX268" i="288"/>
  <c r="AX118" i="288"/>
  <c r="AX242" i="321"/>
  <c r="AX243" i="321" s="1"/>
  <c r="AX361" i="321"/>
  <c r="AX98" i="282"/>
  <c r="AX28" i="282"/>
  <c r="AX101" i="288"/>
  <c r="AX164" i="321"/>
  <c r="AX166" i="321" s="1"/>
  <c r="AX49" i="321"/>
  <c r="AX251" i="288"/>
  <c r="AX238" i="321"/>
  <c r="AW29" i="282"/>
  <c r="AW245" i="321"/>
  <c r="AW78" i="321"/>
  <c r="AW257" i="321"/>
  <c r="AW260" i="321" s="1"/>
  <c r="AW145" i="321"/>
  <c r="AW148" i="321" s="1"/>
  <c r="AV175" i="321"/>
  <c r="AV176" i="321" s="1"/>
  <c r="AV287" i="321"/>
  <c r="AV288" i="321" s="1"/>
  <c r="AU81" i="311"/>
  <c r="AJ368" i="321"/>
  <c r="AJ435" i="321"/>
  <c r="AJ436" i="321" s="1"/>
  <c r="AJ414" i="321"/>
  <c r="AJ367" i="321"/>
  <c r="AJ101" i="282"/>
  <c r="AJ33" i="282"/>
  <c r="AJ107" i="288"/>
  <c r="AJ257" i="288"/>
  <c r="AJ430" i="321"/>
  <c r="AI231" i="288"/>
  <c r="AI240" i="288" s="1"/>
  <c r="AI146" i="288"/>
  <c r="AI81" i="288"/>
  <c r="AI90" i="288" s="1"/>
  <c r="AG105" i="314"/>
  <c r="AG109" i="314" s="1"/>
  <c r="AG112" i="314" s="1"/>
  <c r="AG115" i="314" s="1"/>
  <c r="AG18" i="314"/>
  <c r="AG22" i="314" s="1"/>
  <c r="AG25" i="314" s="1"/>
  <c r="AJ366" i="321"/>
  <c r="AJ403" i="321"/>
  <c r="AJ404" i="321" s="1"/>
  <c r="AJ382" i="321"/>
  <c r="AJ365" i="321"/>
  <c r="AJ369" i="321" s="1"/>
  <c r="AJ100" i="282"/>
  <c r="AJ255" i="288"/>
  <c r="AJ260" i="288" s="1"/>
  <c r="AJ262" i="288" s="1"/>
  <c r="AJ32" i="282"/>
  <c r="AJ398" i="321"/>
  <c r="AJ105" i="288"/>
  <c r="AJ110" i="288" s="1"/>
  <c r="AJ112" i="288" s="1"/>
  <c r="AY299" i="321"/>
  <c r="AX119" i="288"/>
  <c r="AX116" i="315"/>
  <c r="AX120" i="265"/>
  <c r="AX269" i="288"/>
  <c r="AX354" i="321"/>
  <c r="AX363" i="321"/>
  <c r="AX99" i="282"/>
  <c r="AX276" i="321"/>
  <c r="AX278" i="321" s="1"/>
  <c r="AX50" i="321"/>
  <c r="AX350" i="321"/>
  <c r="AX103" i="288"/>
  <c r="AX30" i="282"/>
  <c r="AX253" i="288"/>
  <c r="AW356" i="321"/>
  <c r="AV70" i="265"/>
  <c r="AC70" i="277" s="1"/>
  <c r="AV20" i="265"/>
  <c r="AC20" i="277" s="1"/>
  <c r="AL442" i="321"/>
  <c r="AL443" i="321" s="1"/>
  <c r="AL679" i="321"/>
  <c r="AL680" i="321" s="1"/>
  <c r="AL714" i="321"/>
  <c r="AL102" i="282" l="1"/>
  <c r="AL715" i="321"/>
  <c r="AL34" i="282"/>
  <c r="AL687" i="321"/>
  <c r="AL688" i="321" s="1"/>
  <c r="AL681" i="321"/>
  <c r="AL46" i="288"/>
  <c r="AL446" i="321"/>
  <c r="AL447" i="321" s="1"/>
  <c r="AL529" i="321"/>
  <c r="AL485" i="321"/>
  <c r="AL196" i="288"/>
  <c r="AW31" i="282"/>
  <c r="AW357" i="321"/>
  <c r="AX19" i="265"/>
  <c r="AD19" i="277" s="1"/>
  <c r="AX69" i="265"/>
  <c r="AD69" i="277" s="1"/>
  <c r="AX18" i="315"/>
  <c r="AX66" i="315"/>
  <c r="AX283" i="321"/>
  <c r="AX355" i="321"/>
  <c r="AD120" i="277"/>
  <c r="AX63" i="328"/>
  <c r="AD74" i="328" s="1"/>
  <c r="AY346" i="321"/>
  <c r="AY349" i="321" s="1"/>
  <c r="AY302" i="321"/>
  <c r="AY104" i="288"/>
  <c r="AY113" i="321"/>
  <c r="AY120" i="321"/>
  <c r="AY254" i="288"/>
  <c r="AJ71" i="265"/>
  <c r="W71" i="277" s="1"/>
  <c r="AJ19" i="315"/>
  <c r="AJ67" i="315"/>
  <c r="AJ21" i="265"/>
  <c r="W21" i="277" s="1"/>
  <c r="AJ16" i="314"/>
  <c r="AJ110" i="314"/>
  <c r="AJ79" i="288"/>
  <c r="AJ66" i="288"/>
  <c r="AJ23" i="314"/>
  <c r="AJ216" i="288"/>
  <c r="AJ229" i="288"/>
  <c r="AJ21" i="328"/>
  <c r="W41" i="328" s="1"/>
  <c r="AJ103" i="314"/>
  <c r="AJ142" i="288"/>
  <c r="AJ143" i="288" s="1"/>
  <c r="AJ75" i="265"/>
  <c r="W75" i="277" s="1"/>
  <c r="AJ71" i="315"/>
  <c r="AK401" i="321"/>
  <c r="AJ120" i="288"/>
  <c r="AJ117" i="315"/>
  <c r="AJ121" i="265"/>
  <c r="W121" i="277" s="1"/>
  <c r="AJ270" i="288"/>
  <c r="AG27" i="314"/>
  <c r="AF29" i="314" s="1"/>
  <c r="AG36" i="314"/>
  <c r="AG88" i="314"/>
  <c r="AG171" i="314"/>
  <c r="AG173" i="314" s="1"/>
  <c r="AJ68" i="315"/>
  <c r="AJ22" i="265"/>
  <c r="W22" i="277" s="1"/>
  <c r="AJ72" i="265"/>
  <c r="W72" i="277" s="1"/>
  <c r="AJ20" i="315"/>
  <c r="AJ76" i="265"/>
  <c r="W76" i="277" s="1"/>
  <c r="AJ72" i="315"/>
  <c r="AK433" i="321"/>
  <c r="AJ271" i="288"/>
  <c r="AJ121" i="288"/>
  <c r="AJ122" i="265"/>
  <c r="W122" i="277" s="1"/>
  <c r="AJ118" i="315"/>
  <c r="AV41" i="311"/>
  <c r="AV82" i="311" s="1"/>
  <c r="AV40" i="311"/>
  <c r="AW170" i="321"/>
  <c r="AW172" i="321" s="1"/>
  <c r="AW282" i="321"/>
  <c r="AW284" i="321" s="1"/>
  <c r="AW68" i="265"/>
  <c r="AW18" i="265"/>
  <c r="AX17" i="315"/>
  <c r="AX65" i="315"/>
  <c r="AX17" i="265"/>
  <c r="AD17" i="277" s="1"/>
  <c r="AX67" i="265"/>
  <c r="AD67" i="277" s="1"/>
  <c r="AX52" i="321"/>
  <c r="AX171" i="321"/>
  <c r="AX244" i="321"/>
  <c r="AD119" i="277"/>
  <c r="AX62" i="328"/>
  <c r="AD73" i="328" s="1"/>
  <c r="AY234" i="321"/>
  <c r="AY237" i="321" s="1"/>
  <c r="AY190" i="321"/>
  <c r="AY252" i="288"/>
  <c r="AY102" i="288"/>
  <c r="AY116" i="321"/>
  <c r="AY112" i="321"/>
  <c r="AY114" i="321" s="1"/>
  <c r="BA30" i="315"/>
  <c r="BA32" i="265"/>
  <c r="BB115" i="282"/>
  <c r="BB152" i="282"/>
  <c r="BB155" i="282" s="1"/>
  <c r="BB47" i="282"/>
  <c r="BB84" i="282"/>
  <c r="BB87" i="282" s="1"/>
  <c r="BB23" i="282"/>
  <c r="BB24" i="282" s="1"/>
  <c r="BC21" i="282" s="1"/>
  <c r="BA94" i="282"/>
  <c r="BA162" i="282"/>
  <c r="CJ40" i="285"/>
  <c r="CJ43" i="285" s="1"/>
  <c r="CI99" i="315"/>
  <c r="CI100" i="315" s="1"/>
  <c r="CI103" i="265"/>
  <c r="CI104" i="265" s="1"/>
  <c r="AV103" i="277"/>
  <c r="AV104" i="277" s="1"/>
  <c r="CH104" i="265"/>
  <c r="CK40" i="285" l="1"/>
  <c r="CK43" i="285" s="1"/>
  <c r="CJ99" i="315"/>
  <c r="CJ100" i="315" s="1"/>
  <c r="CJ103" i="265"/>
  <c r="BB160" i="282"/>
  <c r="BA121" i="315"/>
  <c r="BB92" i="282"/>
  <c r="BA125" i="265"/>
  <c r="BC10" i="282"/>
  <c r="BC12" i="282" s="1"/>
  <c r="BB93" i="282"/>
  <c r="BB88" i="282"/>
  <c r="BB156" i="282"/>
  <c r="BB161" i="282"/>
  <c r="AY121" i="321"/>
  <c r="AY122" i="321" s="1"/>
  <c r="AY128" i="321" s="1"/>
  <c r="AY134" i="321" s="1"/>
  <c r="AY258" i="321" s="1"/>
  <c r="AY117" i="321"/>
  <c r="AY118" i="321" s="1"/>
  <c r="AY127" i="321" s="1"/>
  <c r="AY133" i="321" s="1"/>
  <c r="AY146" i="321" s="1"/>
  <c r="AZ187" i="321"/>
  <c r="AY118" i="288"/>
  <c r="AY119" i="265"/>
  <c r="AY62" i="328" s="1"/>
  <c r="AY115" i="315"/>
  <c r="AY268" i="288"/>
  <c r="AY242" i="321"/>
  <c r="AY243" i="321" s="1"/>
  <c r="AY361" i="321"/>
  <c r="AY98" i="282"/>
  <c r="AY238" i="321"/>
  <c r="AY101" i="288"/>
  <c r="AY28" i="282"/>
  <c r="AY164" i="321"/>
  <c r="AY166" i="321" s="1"/>
  <c r="AY49" i="321"/>
  <c r="AY251" i="288"/>
  <c r="AX29" i="282"/>
  <c r="AX245" i="321"/>
  <c r="AX145" i="321"/>
  <c r="AX148" i="321" s="1"/>
  <c r="AX78" i="321"/>
  <c r="AX257" i="321"/>
  <c r="AX260" i="321" s="1"/>
  <c r="AW287" i="321"/>
  <c r="AW288" i="321" s="1"/>
  <c r="AW175" i="321"/>
  <c r="AW176" i="321" s="1"/>
  <c r="AV81" i="311"/>
  <c r="AK427" i="321"/>
  <c r="AK429" i="321" s="1"/>
  <c r="AK411" i="321"/>
  <c r="AK413" i="321" s="1"/>
  <c r="AK258" i="288"/>
  <c r="AK108" i="288"/>
  <c r="AG107" i="282"/>
  <c r="AG174" i="314"/>
  <c r="AG39" i="282"/>
  <c r="AF32" i="314"/>
  <c r="AK395" i="321"/>
  <c r="AK397" i="321" s="1"/>
  <c r="AK379" i="321"/>
  <c r="AK381" i="321" s="1"/>
  <c r="AK256" i="288"/>
  <c r="AK106" i="288"/>
  <c r="AJ146" i="288"/>
  <c r="AH105" i="314"/>
  <c r="AH109" i="314" s="1"/>
  <c r="AH112" i="314" s="1"/>
  <c r="AH115" i="314" s="1"/>
  <c r="AJ231" i="288"/>
  <c r="AJ240" i="288" s="1"/>
  <c r="AJ81" i="288"/>
  <c r="AJ90" i="288" s="1"/>
  <c r="AH18" i="314"/>
  <c r="AH22" i="314" s="1"/>
  <c r="AH25" i="314" s="1"/>
  <c r="AZ299" i="321"/>
  <c r="AY120" i="265"/>
  <c r="AY63" i="328" s="1"/>
  <c r="AY269" i="288"/>
  <c r="AY119" i="288"/>
  <c r="AY116" i="315"/>
  <c r="AY354" i="321"/>
  <c r="AY363" i="321"/>
  <c r="AY99" i="282"/>
  <c r="AY350" i="321"/>
  <c r="AY103" i="288"/>
  <c r="AY276" i="321"/>
  <c r="AY278" i="321" s="1"/>
  <c r="AY50" i="321"/>
  <c r="AY30" i="282"/>
  <c r="AY253" i="288"/>
  <c r="AX356" i="321"/>
  <c r="AW70" i="265"/>
  <c r="AW20" i="265"/>
  <c r="AL56" i="265"/>
  <c r="X56" i="277" s="1"/>
  <c r="AL54" i="315"/>
  <c r="AL53" i="265"/>
  <c r="X53" i="277" s="1"/>
  <c r="AL51" i="315"/>
  <c r="AM684" i="321"/>
  <c r="AL119" i="315"/>
  <c r="AL123" i="265"/>
  <c r="X123" i="277" s="1"/>
  <c r="AL26" i="265"/>
  <c r="X26" i="277" s="1"/>
  <c r="AL24" i="315"/>
  <c r="AL84" i="265"/>
  <c r="X84" i="277" s="1"/>
  <c r="AL80" i="315"/>
  <c r="AM673" i="321" l="1"/>
  <c r="AM676" i="321" s="1"/>
  <c r="AM693" i="321"/>
  <c r="AM695" i="321" s="1"/>
  <c r="AM699" i="321" s="1"/>
  <c r="AM702" i="321" s="1"/>
  <c r="AM706" i="321" s="1"/>
  <c r="AM709" i="321" s="1"/>
  <c r="AM711" i="321" s="1"/>
  <c r="AM712" i="321"/>
  <c r="AX31" i="282"/>
  <c r="AX357" i="321"/>
  <c r="AY283" i="321"/>
  <c r="AY19" i="265"/>
  <c r="AY69" i="265"/>
  <c r="AY18" i="315"/>
  <c r="AY66" i="315"/>
  <c r="AY355" i="321"/>
  <c r="AZ346" i="321"/>
  <c r="AZ349" i="321" s="1"/>
  <c r="AZ302" i="321"/>
  <c r="AZ120" i="321"/>
  <c r="AZ104" i="288"/>
  <c r="AZ113" i="321"/>
  <c r="AZ254" i="288"/>
  <c r="AH27" i="314"/>
  <c r="AG29" i="314" s="1"/>
  <c r="AH36" i="314"/>
  <c r="AH171" i="314"/>
  <c r="AH173" i="314" s="1"/>
  <c r="AH88" i="314"/>
  <c r="AK366" i="321"/>
  <c r="AK403" i="321"/>
  <c r="AK404" i="321" s="1"/>
  <c r="AK382" i="321"/>
  <c r="AK365" i="321"/>
  <c r="AK100" i="282"/>
  <c r="AK255" i="288"/>
  <c r="AK105" i="288"/>
  <c r="AK398" i="321"/>
  <c r="AK32" i="282"/>
  <c r="AG28" i="265"/>
  <c r="AG81" i="265"/>
  <c r="AG26" i="315"/>
  <c r="AG77" i="315"/>
  <c r="AK368" i="321"/>
  <c r="AK435" i="321"/>
  <c r="AK436" i="321" s="1"/>
  <c r="AK414" i="321"/>
  <c r="AK367" i="321"/>
  <c r="AK101" i="282"/>
  <c r="AK257" i="288"/>
  <c r="AK107" i="288"/>
  <c r="AK430" i="321"/>
  <c r="AK33" i="282"/>
  <c r="AW40" i="311"/>
  <c r="AW41" i="311"/>
  <c r="AW82" i="311" s="1"/>
  <c r="AX282" i="321"/>
  <c r="AX284" i="321" s="1"/>
  <c r="AX170" i="321"/>
  <c r="AX172" i="321" s="1"/>
  <c r="AX68" i="265"/>
  <c r="AD68" i="277" s="1"/>
  <c r="AX18" i="265"/>
  <c r="AD18" i="277" s="1"/>
  <c r="AY52" i="321"/>
  <c r="AY171" i="321"/>
  <c r="AY67" i="265"/>
  <c r="AY65" i="315"/>
  <c r="AY17" i="265"/>
  <c r="AY17" i="315"/>
  <c r="AY244" i="321"/>
  <c r="AZ234" i="321"/>
  <c r="AZ237" i="321" s="1"/>
  <c r="AZ190" i="321"/>
  <c r="AZ102" i="288"/>
  <c r="AZ116" i="321"/>
  <c r="AZ252" i="288"/>
  <c r="AZ112" i="321"/>
  <c r="AZ114" i="321" s="1"/>
  <c r="BB30" i="315"/>
  <c r="BB32" i="265"/>
  <c r="AF32" i="277" s="1"/>
  <c r="BC152" i="282"/>
  <c r="BC155" i="282" s="1"/>
  <c r="BC115" i="282"/>
  <c r="BC47" i="282"/>
  <c r="BC84" i="282"/>
  <c r="BC87" i="282" s="1"/>
  <c r="BC23" i="282"/>
  <c r="BC24" i="282" s="1"/>
  <c r="BD21" i="282" s="1"/>
  <c r="BB94" i="282"/>
  <c r="BB162" i="282"/>
  <c r="AW103" i="277"/>
  <c r="AW104" i="277" s="1"/>
  <c r="CJ104" i="265"/>
  <c r="CK103" i="265"/>
  <c r="CK104" i="265" s="1"/>
  <c r="CL40" i="285"/>
  <c r="CL43" i="285" s="1"/>
  <c r="CK99" i="315"/>
  <c r="CK100" i="315" s="1"/>
  <c r="CL99" i="315" l="1"/>
  <c r="CL100" i="315" s="1"/>
  <c r="CL103" i="265"/>
  <c r="CM40" i="285"/>
  <c r="CM43" i="285" s="1"/>
  <c r="BC160" i="282"/>
  <c r="BB121" i="315"/>
  <c r="BC92" i="282"/>
  <c r="BB125" i="265"/>
  <c r="AF125" i="277" s="1"/>
  <c r="BD10" i="282"/>
  <c r="BD12" i="282" s="1"/>
  <c r="BC93" i="282"/>
  <c r="BC88" i="282"/>
  <c r="BC156" i="282"/>
  <c r="BC161" i="282"/>
  <c r="AZ117" i="321"/>
  <c r="AZ118" i="321" s="1"/>
  <c r="AZ127" i="321" s="1"/>
  <c r="AZ133" i="321" s="1"/>
  <c r="AZ146" i="321" s="1"/>
  <c r="AZ121" i="321"/>
  <c r="AZ122" i="321" s="1"/>
  <c r="AZ128" i="321" s="1"/>
  <c r="AZ134" i="321" s="1"/>
  <c r="AZ258" i="321" s="1"/>
  <c r="BA187" i="321"/>
  <c r="AZ118" i="288"/>
  <c r="AZ115" i="315"/>
  <c r="AZ119" i="265"/>
  <c r="AZ268" i="288"/>
  <c r="AZ242" i="321"/>
  <c r="AZ243" i="321" s="1"/>
  <c r="AZ361" i="321"/>
  <c r="AZ98" i="282"/>
  <c r="AZ101" i="288"/>
  <c r="AZ238" i="321"/>
  <c r="AZ164" i="321"/>
  <c r="AZ166" i="321" s="1"/>
  <c r="AZ49" i="321"/>
  <c r="AZ251" i="288"/>
  <c r="AZ28" i="282"/>
  <c r="AY29" i="282"/>
  <c r="AY245" i="321"/>
  <c r="AY257" i="321"/>
  <c r="AY260" i="321" s="1"/>
  <c r="AY78" i="321"/>
  <c r="AY145" i="321"/>
  <c r="AY148" i="321" s="1"/>
  <c r="AX175" i="321"/>
  <c r="AX176" i="321" s="1"/>
  <c r="AX287" i="321"/>
  <c r="AX288" i="321" s="1"/>
  <c r="AW81" i="311"/>
  <c r="AK68" i="315"/>
  <c r="AK22" i="265"/>
  <c r="AK72" i="265"/>
  <c r="AK20" i="315"/>
  <c r="AK76" i="265"/>
  <c r="AK72" i="315"/>
  <c r="AL433" i="321"/>
  <c r="AK121" i="288"/>
  <c r="AK118" i="315"/>
  <c r="AK271" i="288"/>
  <c r="AK122" i="265"/>
  <c r="AK19" i="315"/>
  <c r="AK67" i="315"/>
  <c r="AK21" i="265"/>
  <c r="AK71" i="265"/>
  <c r="AK110" i="288"/>
  <c r="AK112" i="288" s="1"/>
  <c r="AK260" i="288"/>
  <c r="AK262" i="288" s="1"/>
  <c r="AK369" i="321"/>
  <c r="AK71" i="315"/>
  <c r="AK75" i="265"/>
  <c r="AL401" i="321"/>
  <c r="AK117" i="315"/>
  <c r="AK121" i="265"/>
  <c r="AK270" i="288"/>
  <c r="AK120" i="288"/>
  <c r="AH107" i="282"/>
  <c r="AH39" i="282"/>
  <c r="AH174" i="314"/>
  <c r="AG32" i="314"/>
  <c r="BA299" i="321"/>
  <c r="AZ120" i="265"/>
  <c r="AZ269" i="288"/>
  <c r="AZ119" i="288"/>
  <c r="AZ116" i="315"/>
  <c r="AZ354" i="321"/>
  <c r="AZ363" i="321"/>
  <c r="AZ99" i="282"/>
  <c r="AZ30" i="282"/>
  <c r="AZ50" i="321"/>
  <c r="AZ253" i="288"/>
  <c r="AZ350" i="321"/>
  <c r="AZ276" i="321"/>
  <c r="AZ278" i="321" s="1"/>
  <c r="AZ103" i="288"/>
  <c r="AY356" i="321"/>
  <c r="AX70" i="265"/>
  <c r="AD70" i="277" s="1"/>
  <c r="AX20" i="265"/>
  <c r="AD20" i="277" s="1"/>
  <c r="AM714" i="321"/>
  <c r="AM679" i="321"/>
  <c r="AM680" i="321" s="1"/>
  <c r="AM442" i="321"/>
  <c r="AM443" i="321" s="1"/>
  <c r="AM46" i="288" l="1"/>
  <c r="AM446" i="321"/>
  <c r="AM447" i="321" s="1"/>
  <c r="AM529" i="321"/>
  <c r="AM485" i="321"/>
  <c r="AM196" i="288"/>
  <c r="AM687" i="321"/>
  <c r="AM688" i="321" s="1"/>
  <c r="AM681" i="321"/>
  <c r="AM102" i="282"/>
  <c r="AM34" i="282"/>
  <c r="AM715" i="321"/>
  <c r="AY31" i="282"/>
  <c r="AY357" i="321"/>
  <c r="AZ283" i="321"/>
  <c r="AZ18" i="315"/>
  <c r="AZ66" i="315"/>
  <c r="AZ19" i="265"/>
  <c r="AE19" i="277" s="1"/>
  <c r="AZ69" i="265"/>
  <c r="AE69" i="277" s="1"/>
  <c r="AZ355" i="321"/>
  <c r="AZ63" i="328"/>
  <c r="AE74" i="328" s="1"/>
  <c r="AE120" i="277"/>
  <c r="BA346" i="321"/>
  <c r="BA349" i="321" s="1"/>
  <c r="BA302" i="321"/>
  <c r="BA254" i="288"/>
  <c r="BA113" i="321"/>
  <c r="BA120" i="321"/>
  <c r="BA104" i="288"/>
  <c r="AH81" i="265"/>
  <c r="V81" i="277" s="1"/>
  <c r="AH26" i="315"/>
  <c r="AH77" i="315"/>
  <c r="AH28" i="265"/>
  <c r="V28" i="277" s="1"/>
  <c r="AL395" i="321"/>
  <c r="AL397" i="321" s="1"/>
  <c r="AL379" i="321"/>
  <c r="AL381" i="321" s="1"/>
  <c r="AL256" i="288"/>
  <c r="AL106" i="288"/>
  <c r="AK16" i="314"/>
  <c r="AK229" i="288"/>
  <c r="AK103" i="314"/>
  <c r="AK66" i="288"/>
  <c r="AK21" i="328"/>
  <c r="AK142" i="288"/>
  <c r="AK143" i="288" s="1"/>
  <c r="AK23" i="314"/>
  <c r="AK79" i="288"/>
  <c r="AK110" i="314"/>
  <c r="AK216" i="288"/>
  <c r="AL427" i="321"/>
  <c r="AL429" i="321" s="1"/>
  <c r="AL411" i="321"/>
  <c r="AL413" i="321" s="1"/>
  <c r="AL108" i="288"/>
  <c r="AL258" i="288"/>
  <c r="AX41" i="311"/>
  <c r="AX82" i="311" s="1"/>
  <c r="AX40" i="311"/>
  <c r="AY170" i="321"/>
  <c r="AY172" i="321" s="1"/>
  <c r="AY282" i="321"/>
  <c r="AY284" i="321" s="1"/>
  <c r="AY68" i="265"/>
  <c r="AY18" i="265"/>
  <c r="AZ52" i="321"/>
  <c r="AZ171" i="321"/>
  <c r="AZ65" i="315"/>
  <c r="AZ17" i="265"/>
  <c r="AE17" i="277" s="1"/>
  <c r="AZ67" i="265"/>
  <c r="AE67" i="277" s="1"/>
  <c r="AZ17" i="315"/>
  <c r="AZ244" i="321"/>
  <c r="AZ62" i="328"/>
  <c r="AE73" i="328" s="1"/>
  <c r="AE119" i="277"/>
  <c r="BA234" i="321"/>
  <c r="BA237" i="321" s="1"/>
  <c r="BA190" i="321"/>
  <c r="BA112" i="321"/>
  <c r="BA114" i="321" s="1"/>
  <c r="BA116" i="321"/>
  <c r="BA252" i="288"/>
  <c r="BA102" i="288"/>
  <c r="BC30" i="315"/>
  <c r="BC32" i="265"/>
  <c r="BD152" i="282"/>
  <c r="BD155" i="282" s="1"/>
  <c r="BD115" i="282"/>
  <c r="BD47" i="282"/>
  <c r="BD84" i="282"/>
  <c r="BD87" i="282" s="1"/>
  <c r="BD23" i="282"/>
  <c r="BD24" i="282" s="1"/>
  <c r="BE21" i="282" s="1"/>
  <c r="BC94" i="282"/>
  <c r="BC162" i="282"/>
  <c r="CM103" i="265"/>
  <c r="CM104" i="265" s="1"/>
  <c r="CN40" i="285"/>
  <c r="CN43" i="285" s="1"/>
  <c r="CM99" i="315"/>
  <c r="CM100" i="315" s="1"/>
  <c r="CL104" i="265"/>
  <c r="AX103" i="277"/>
  <c r="AX104" i="277" s="1"/>
  <c r="CO40" i="285" l="1"/>
  <c r="CO43" i="285" s="1"/>
  <c r="CN99" i="315"/>
  <c r="CN100" i="315" s="1"/>
  <c r="CN103" i="265"/>
  <c r="BD160" i="282"/>
  <c r="BC121" i="315"/>
  <c r="BD92" i="282"/>
  <c r="BC125" i="265"/>
  <c r="BE10" i="282"/>
  <c r="BE12" i="282" s="1"/>
  <c r="BD93" i="282"/>
  <c r="BD88" i="282"/>
  <c r="BD156" i="282"/>
  <c r="BD161" i="282"/>
  <c r="BA117" i="321"/>
  <c r="BA118" i="321" s="1"/>
  <c r="BA127" i="321" s="1"/>
  <c r="BA133" i="321" s="1"/>
  <c r="BA146" i="321" s="1"/>
  <c r="BA121" i="321"/>
  <c r="BA122" i="321" s="1"/>
  <c r="BA128" i="321" s="1"/>
  <c r="BA134" i="321" s="1"/>
  <c r="BA258" i="321" s="1"/>
  <c r="BB187" i="321"/>
  <c r="BA268" i="288"/>
  <c r="BA119" i="265"/>
  <c r="BA62" i="328" s="1"/>
  <c r="BA118" i="288"/>
  <c r="BA115" i="315"/>
  <c r="BA242" i="321"/>
  <c r="BA243" i="321" s="1"/>
  <c r="BA361" i="321"/>
  <c r="BA98" i="282"/>
  <c r="BA49" i="321"/>
  <c r="BA251" i="288"/>
  <c r="BA28" i="282"/>
  <c r="BA101" i="288"/>
  <c r="BA238" i="321"/>
  <c r="BA164" i="321"/>
  <c r="BA166" i="321" s="1"/>
  <c r="AZ29" i="282"/>
  <c r="AZ245" i="321"/>
  <c r="AZ257" i="321"/>
  <c r="AZ260" i="321" s="1"/>
  <c r="AZ145" i="321"/>
  <c r="AZ148" i="321" s="1"/>
  <c r="AZ78" i="321"/>
  <c r="AY287" i="321"/>
  <c r="AY288" i="321" s="1"/>
  <c r="AY175" i="321"/>
  <c r="AY176" i="321" s="1"/>
  <c r="AX81" i="311"/>
  <c r="AL368" i="321"/>
  <c r="AL435" i="321"/>
  <c r="AL436" i="321" s="1"/>
  <c r="AL414" i="321"/>
  <c r="AL367" i="321"/>
  <c r="AL101" i="282"/>
  <c r="AL33" i="282"/>
  <c r="AL107" i="288"/>
  <c r="AL257" i="288"/>
  <c r="AL430" i="321"/>
  <c r="AK81" i="288"/>
  <c r="AK90" i="288" s="1"/>
  <c r="AK146" i="288"/>
  <c r="AI105" i="314"/>
  <c r="AI109" i="314" s="1"/>
  <c r="AI112" i="314" s="1"/>
  <c r="AI115" i="314" s="1"/>
  <c r="AK231" i="288"/>
  <c r="AK240" i="288" s="1"/>
  <c r="AI18" i="314"/>
  <c r="AI22" i="314" s="1"/>
  <c r="AI25" i="314" s="1"/>
  <c r="AL366" i="321"/>
  <c r="AL403" i="321"/>
  <c r="AL404" i="321" s="1"/>
  <c r="AL382" i="321"/>
  <c r="AL365" i="321"/>
  <c r="AL369" i="321" s="1"/>
  <c r="AL100" i="282"/>
  <c r="AL105" i="288"/>
  <c r="AL110" i="288" s="1"/>
  <c r="AL112" i="288" s="1"/>
  <c r="AL255" i="288"/>
  <c r="AL260" i="288" s="1"/>
  <c r="AL262" i="288" s="1"/>
  <c r="AL398" i="321"/>
  <c r="AL32" i="282"/>
  <c r="BB299" i="321"/>
  <c r="BA120" i="265"/>
  <c r="BA63" i="328" s="1"/>
  <c r="BA269" i="288"/>
  <c r="BA119" i="288"/>
  <c r="BA116" i="315"/>
  <c r="BA354" i="321"/>
  <c r="BA363" i="321"/>
  <c r="BA99" i="282"/>
  <c r="BA30" i="282"/>
  <c r="BA103" i="288"/>
  <c r="BA276" i="321"/>
  <c r="BA278" i="321" s="1"/>
  <c r="BA50" i="321"/>
  <c r="BA350" i="321"/>
  <c r="BA253" i="288"/>
  <c r="AZ356" i="321"/>
  <c r="AY70" i="265"/>
  <c r="AY20" i="265"/>
  <c r="AM26" i="265"/>
  <c r="AM24" i="315"/>
  <c r="AM84" i="265"/>
  <c r="AM80" i="315"/>
  <c r="AM51" i="315"/>
  <c r="AM53" i="265"/>
  <c r="AN684" i="321"/>
  <c r="AM123" i="265"/>
  <c r="AM119" i="315"/>
  <c r="AM54" i="315"/>
  <c r="AM56" i="265"/>
  <c r="AN693" i="321" l="1"/>
  <c r="AN695" i="321" s="1"/>
  <c r="AN699" i="321" s="1"/>
  <c r="AN702" i="321" s="1"/>
  <c r="AN706" i="321" s="1"/>
  <c r="AN709" i="321" s="1"/>
  <c r="AN711" i="321" s="1"/>
  <c r="AN712" i="321"/>
  <c r="AN673" i="321"/>
  <c r="AN676" i="321" s="1"/>
  <c r="AZ31" i="282"/>
  <c r="AZ357" i="321"/>
  <c r="BA66" i="315"/>
  <c r="BA19" i="265"/>
  <c r="BA69" i="265"/>
  <c r="BA18" i="315"/>
  <c r="BA283" i="321"/>
  <c r="BA355" i="321"/>
  <c r="BB346" i="321"/>
  <c r="BB349" i="321" s="1"/>
  <c r="BB302" i="321"/>
  <c r="BB120" i="321"/>
  <c r="BB104" i="288"/>
  <c r="BB113" i="321"/>
  <c r="BB254" i="288"/>
  <c r="AL67" i="315"/>
  <c r="AL21" i="265"/>
  <c r="X21" i="277" s="1"/>
  <c r="AL71" i="265"/>
  <c r="X71" i="277" s="1"/>
  <c r="AL19" i="315"/>
  <c r="AL16" i="314"/>
  <c r="AL229" i="288"/>
  <c r="AL21" i="328"/>
  <c r="X41" i="328" s="1"/>
  <c r="AL142" i="288"/>
  <c r="AL143" i="288" s="1"/>
  <c r="AL66" i="288"/>
  <c r="AL103" i="314"/>
  <c r="AL216" i="288"/>
  <c r="AL23" i="314"/>
  <c r="AL79" i="288"/>
  <c r="AL110" i="314"/>
  <c r="AL71" i="315"/>
  <c r="AL75" i="265"/>
  <c r="X75" i="277" s="1"/>
  <c r="AM401" i="321"/>
  <c r="AL270" i="288"/>
  <c r="AL120" i="288"/>
  <c r="AL117" i="315"/>
  <c r="AL121" i="265"/>
  <c r="X121" i="277" s="1"/>
  <c r="AI27" i="314"/>
  <c r="AH29" i="314" s="1"/>
  <c r="AI171" i="314"/>
  <c r="AI173" i="314" s="1"/>
  <c r="AI36" i="314"/>
  <c r="AI88" i="314"/>
  <c r="AL68" i="315"/>
  <c r="AL22" i="265"/>
  <c r="X22" i="277" s="1"/>
  <c r="AL72" i="265"/>
  <c r="X72" i="277" s="1"/>
  <c r="AL20" i="315"/>
  <c r="AL72" i="315"/>
  <c r="AL76" i="265"/>
  <c r="X76" i="277" s="1"/>
  <c r="AM433" i="321"/>
  <c r="AL118" i="315"/>
  <c r="AL271" i="288"/>
  <c r="AL121" i="288"/>
  <c r="AL122" i="265"/>
  <c r="X122" i="277" s="1"/>
  <c r="AY40" i="311"/>
  <c r="AY41" i="311"/>
  <c r="AY82" i="311" s="1"/>
  <c r="AZ170" i="321"/>
  <c r="AZ172" i="321" s="1"/>
  <c r="AZ282" i="321"/>
  <c r="AZ284" i="321" s="1"/>
  <c r="AZ68" i="265"/>
  <c r="AE68" i="277" s="1"/>
  <c r="AZ18" i="265"/>
  <c r="AE18" i="277" s="1"/>
  <c r="BA171" i="321"/>
  <c r="BA17" i="315"/>
  <c r="BA65" i="315"/>
  <c r="BA17" i="265"/>
  <c r="BA67" i="265"/>
  <c r="BA52" i="321"/>
  <c r="BA244" i="321"/>
  <c r="BB234" i="321"/>
  <c r="BB237" i="321" s="1"/>
  <c r="BB190" i="321"/>
  <c r="BB252" i="288"/>
  <c r="BB116" i="321"/>
  <c r="BB102" i="288"/>
  <c r="BB112" i="321"/>
  <c r="BB114" i="321" s="1"/>
  <c r="BD30" i="315"/>
  <c r="BD32" i="265"/>
  <c r="AG32" i="277" s="1"/>
  <c r="BE152" i="282"/>
  <c r="BE155" i="282" s="1"/>
  <c r="BE115" i="282"/>
  <c r="BE47" i="282"/>
  <c r="BE84" i="282"/>
  <c r="BE87" i="282" s="1"/>
  <c r="BE23" i="282"/>
  <c r="BE24" i="282" s="1"/>
  <c r="BF21" i="282" s="1"/>
  <c r="BD94" i="282"/>
  <c r="BD162" i="282"/>
  <c r="AY103" i="277"/>
  <c r="AY104" i="277" s="1"/>
  <c r="CN104" i="265"/>
  <c r="CP40" i="285"/>
  <c r="CP43" i="285" s="1"/>
  <c r="CO103" i="265"/>
  <c r="CO104" i="265" s="1"/>
  <c r="CO99" i="315"/>
  <c r="CO100" i="315" s="1"/>
  <c r="CQ40" i="285" l="1"/>
  <c r="CQ43" i="285" s="1"/>
  <c r="CP103" i="265"/>
  <c r="CP99" i="315"/>
  <c r="CP100" i="315" s="1"/>
  <c r="BE160" i="282"/>
  <c r="BD121" i="315"/>
  <c r="BE92" i="282"/>
  <c r="BD125" i="265"/>
  <c r="AG125" i="277" s="1"/>
  <c r="BF10" i="282"/>
  <c r="BF12" i="282" s="1"/>
  <c r="BE93" i="282"/>
  <c r="BE88" i="282"/>
  <c r="BE156" i="282"/>
  <c r="BE161" i="282"/>
  <c r="BB117" i="321"/>
  <c r="BB118" i="321" s="1"/>
  <c r="BB127" i="321" s="1"/>
  <c r="BB133" i="321" s="1"/>
  <c r="BB146" i="321" s="1"/>
  <c r="BB121" i="321"/>
  <c r="BB122" i="321" s="1"/>
  <c r="BB128" i="321" s="1"/>
  <c r="BB134" i="321" s="1"/>
  <c r="BB258" i="321" s="1"/>
  <c r="BC187" i="321"/>
  <c r="BB268" i="288"/>
  <c r="BB118" i="288"/>
  <c r="BB115" i="315"/>
  <c r="BB119" i="265"/>
  <c r="BB242" i="321"/>
  <c r="BB243" i="321" s="1"/>
  <c r="BB361" i="321"/>
  <c r="BB98" i="282"/>
  <c r="BB251" i="288"/>
  <c r="BB28" i="282"/>
  <c r="BB101" i="288"/>
  <c r="BB238" i="321"/>
  <c r="BB164" i="321"/>
  <c r="BB166" i="321" s="1"/>
  <c r="BB49" i="321"/>
  <c r="BA29" i="282"/>
  <c r="BA245" i="321"/>
  <c r="BA78" i="321"/>
  <c r="BA257" i="321"/>
  <c r="BA260" i="321" s="1"/>
  <c r="BA145" i="321"/>
  <c r="BA148" i="321" s="1"/>
  <c r="AZ287" i="321"/>
  <c r="AZ288" i="321" s="1"/>
  <c r="AZ175" i="321"/>
  <c r="AZ176" i="321" s="1"/>
  <c r="AY81" i="311"/>
  <c r="AM427" i="321"/>
  <c r="AM429" i="321" s="1"/>
  <c r="AM411" i="321"/>
  <c r="AM413" i="321" s="1"/>
  <c r="AM108" i="288"/>
  <c r="AM258" i="288"/>
  <c r="AI107" i="282"/>
  <c r="AI174" i="314"/>
  <c r="AI39" i="282"/>
  <c r="AH32" i="314"/>
  <c r="AM395" i="321"/>
  <c r="AM397" i="321" s="1"/>
  <c r="AM379" i="321"/>
  <c r="AM381" i="321" s="1"/>
  <c r="AM256" i="288"/>
  <c r="AM106" i="288"/>
  <c r="AL81" i="288"/>
  <c r="AL90" i="288" s="1"/>
  <c r="AJ105" i="314"/>
  <c r="AJ109" i="314" s="1"/>
  <c r="AJ112" i="314" s="1"/>
  <c r="AJ115" i="314" s="1"/>
  <c r="AL146" i="288"/>
  <c r="AL231" i="288"/>
  <c r="AL240" i="288" s="1"/>
  <c r="AJ18" i="314"/>
  <c r="AJ22" i="314" s="1"/>
  <c r="AJ25" i="314" s="1"/>
  <c r="BC299" i="321"/>
  <c r="BB119" i="288"/>
  <c r="BB116" i="315"/>
  <c r="BB120" i="265"/>
  <c r="BB269" i="288"/>
  <c r="BB354" i="321"/>
  <c r="BB363" i="321"/>
  <c r="BB99" i="282"/>
  <c r="BB30" i="282"/>
  <c r="BB276" i="321"/>
  <c r="BB278" i="321" s="1"/>
  <c r="BB50" i="321"/>
  <c r="BB253" i="288"/>
  <c r="BB350" i="321"/>
  <c r="BB103" i="288"/>
  <c r="BA356" i="321"/>
  <c r="AZ70" i="265"/>
  <c r="AE70" i="277" s="1"/>
  <c r="AZ20" i="265"/>
  <c r="AE20" i="277" s="1"/>
  <c r="AN442" i="321"/>
  <c r="AN443" i="321" s="1"/>
  <c r="AN679" i="321"/>
  <c r="AN680" i="321" s="1"/>
  <c r="AN714" i="321"/>
  <c r="AN102" i="282" l="1"/>
  <c r="AN34" i="282"/>
  <c r="AN715" i="321"/>
  <c r="AN687" i="321"/>
  <c r="AN688" i="321" s="1"/>
  <c r="AN681" i="321"/>
  <c r="AN46" i="288"/>
  <c r="AN529" i="321"/>
  <c r="AN446" i="321"/>
  <c r="AN447" i="321" s="1"/>
  <c r="AN485" i="321"/>
  <c r="AN196" i="288"/>
  <c r="BA31" i="282"/>
  <c r="BA357" i="321"/>
  <c r="BB66" i="315"/>
  <c r="BB19" i="265"/>
  <c r="AF19" i="277" s="1"/>
  <c r="BB69" i="265"/>
  <c r="AF69" i="277" s="1"/>
  <c r="BB18" i="315"/>
  <c r="BB283" i="321"/>
  <c r="BB355" i="321"/>
  <c r="BB63" i="328"/>
  <c r="AF74" i="328" s="1"/>
  <c r="AF120" i="277"/>
  <c r="BC346" i="321"/>
  <c r="BC349" i="321" s="1"/>
  <c r="BC302" i="321"/>
  <c r="BC113" i="321"/>
  <c r="BC120" i="321"/>
  <c r="BC254" i="288"/>
  <c r="BC104" i="288"/>
  <c r="AJ27" i="314"/>
  <c r="AI29" i="314" s="1"/>
  <c r="AJ171" i="314"/>
  <c r="AJ173" i="314" s="1"/>
  <c r="AJ88" i="314"/>
  <c r="AJ36" i="314"/>
  <c r="AM366" i="321"/>
  <c r="AM403" i="321"/>
  <c r="AM404" i="321" s="1"/>
  <c r="AM382" i="321"/>
  <c r="AM365" i="321"/>
  <c r="AM100" i="282"/>
  <c r="AM398" i="321"/>
  <c r="AM32" i="282"/>
  <c r="AM255" i="288"/>
  <c r="AM105" i="288"/>
  <c r="AI77" i="315"/>
  <c r="AI28" i="265"/>
  <c r="AI81" i="265"/>
  <c r="AI26" i="315"/>
  <c r="AM368" i="321"/>
  <c r="AM435" i="321"/>
  <c r="AM436" i="321" s="1"/>
  <c r="AM414" i="321"/>
  <c r="AM367" i="321"/>
  <c r="AM101" i="282"/>
  <c r="AM33" i="282"/>
  <c r="AM257" i="288"/>
  <c r="AM430" i="321"/>
  <c r="AM107" i="288"/>
  <c r="AZ40" i="311"/>
  <c r="AZ41" i="311"/>
  <c r="AZ82" i="311" s="1"/>
  <c r="BA170" i="321"/>
  <c r="BA172" i="321" s="1"/>
  <c r="BA282" i="321"/>
  <c r="BA284" i="321" s="1"/>
  <c r="BA68" i="265"/>
  <c r="BA18" i="265"/>
  <c r="BB52" i="321"/>
  <c r="BB171" i="321"/>
  <c r="BB65" i="315"/>
  <c r="BB17" i="265"/>
  <c r="AF17" i="277" s="1"/>
  <c r="BB67" i="265"/>
  <c r="AF67" i="277" s="1"/>
  <c r="BB17" i="315"/>
  <c r="BB244" i="321"/>
  <c r="AF119" i="277"/>
  <c r="BB62" i="328"/>
  <c r="AF73" i="328" s="1"/>
  <c r="BC234" i="321"/>
  <c r="BC237" i="321" s="1"/>
  <c r="BC190" i="321"/>
  <c r="BC102" i="288"/>
  <c r="BC112" i="321"/>
  <c r="BC114" i="321" s="1"/>
  <c r="BC116" i="321"/>
  <c r="BC252" i="288"/>
  <c r="BE30" i="315"/>
  <c r="BE32" i="265"/>
  <c r="BF152" i="282"/>
  <c r="BF155" i="282" s="1"/>
  <c r="BF115" i="282"/>
  <c r="BF47" i="282"/>
  <c r="BF84" i="282"/>
  <c r="BF87" i="282" s="1"/>
  <c r="BF23" i="282"/>
  <c r="BF24" i="282" s="1"/>
  <c r="BG21" i="282" s="1"/>
  <c r="BE94" i="282"/>
  <c r="BE162" i="282"/>
  <c r="CP104" i="265"/>
  <c r="AZ103" i="277"/>
  <c r="AZ104" i="277" s="1"/>
  <c r="CQ103" i="265"/>
  <c r="CQ104" i="265" s="1"/>
  <c r="CR40" i="285"/>
  <c r="CR43" i="285" s="1"/>
  <c r="CQ99" i="315"/>
  <c r="CQ100" i="315" s="1"/>
  <c r="CS40" i="285" l="1"/>
  <c r="CS43" i="285" s="1"/>
  <c r="CR99" i="315"/>
  <c r="CR100" i="315" s="1"/>
  <c r="CR103" i="265"/>
  <c r="BF160" i="282"/>
  <c r="BE121" i="315"/>
  <c r="BF92" i="282"/>
  <c r="BE125" i="265"/>
  <c r="BG10" i="282"/>
  <c r="BG12" i="282" s="1"/>
  <c r="BF93" i="282"/>
  <c r="BF88" i="282"/>
  <c r="BF156" i="282"/>
  <c r="BF161" i="282"/>
  <c r="BC117" i="321"/>
  <c r="BC118" i="321" s="1"/>
  <c r="BC127" i="321" s="1"/>
  <c r="BC133" i="321" s="1"/>
  <c r="BC146" i="321" s="1"/>
  <c r="BC121" i="321"/>
  <c r="BC122" i="321" s="1"/>
  <c r="BC128" i="321" s="1"/>
  <c r="BC134" i="321" s="1"/>
  <c r="BC258" i="321" s="1"/>
  <c r="BD187" i="321"/>
  <c r="BC118" i="288"/>
  <c r="BC119" i="265"/>
  <c r="BC62" i="328" s="1"/>
  <c r="BC115" i="315"/>
  <c r="BC268" i="288"/>
  <c r="BC242" i="321"/>
  <c r="BC243" i="321" s="1"/>
  <c r="BC361" i="321"/>
  <c r="BC98" i="282"/>
  <c r="BC28" i="282"/>
  <c r="BC101" i="288"/>
  <c r="BC238" i="321"/>
  <c r="BC164" i="321"/>
  <c r="BC166" i="321" s="1"/>
  <c r="BC49" i="321"/>
  <c r="BC251" i="288"/>
  <c r="BB29" i="282"/>
  <c r="BB245" i="321"/>
  <c r="BB145" i="321"/>
  <c r="BB148" i="321" s="1"/>
  <c r="BB78" i="321"/>
  <c r="BB257" i="321"/>
  <c r="BB260" i="321" s="1"/>
  <c r="BA287" i="321"/>
  <c r="BA288" i="321" s="1"/>
  <c r="BA175" i="321"/>
  <c r="BA176" i="321" s="1"/>
  <c r="AZ81" i="311"/>
  <c r="AM22" i="265"/>
  <c r="AM72" i="265"/>
  <c r="AM20" i="315"/>
  <c r="AM68" i="315"/>
  <c r="AM76" i="265"/>
  <c r="AM72" i="315"/>
  <c r="AN433" i="321"/>
  <c r="AM118" i="315"/>
  <c r="AM271" i="288"/>
  <c r="AM121" i="288"/>
  <c r="AM122" i="265"/>
  <c r="AM110" i="288"/>
  <c r="AM112" i="288" s="1"/>
  <c r="AM260" i="288"/>
  <c r="AM262" i="288" s="1"/>
  <c r="AM71" i="265"/>
  <c r="AM67" i="315"/>
  <c r="AM19" i="315"/>
  <c r="AM21" i="265"/>
  <c r="AM369" i="321"/>
  <c r="AM75" i="265"/>
  <c r="AM71" i="315"/>
  <c r="AN401" i="321"/>
  <c r="AM270" i="288"/>
  <c r="AM120" i="288"/>
  <c r="AM117" i="315"/>
  <c r="AM121" i="265"/>
  <c r="AJ107" i="282"/>
  <c r="AJ39" i="282"/>
  <c r="AJ174" i="314"/>
  <c r="AI32" i="314"/>
  <c r="BD299" i="321"/>
  <c r="BC269" i="288"/>
  <c r="BC119" i="288"/>
  <c r="BC116" i="315"/>
  <c r="BC120" i="265"/>
  <c r="BC63" i="328" s="1"/>
  <c r="BC354" i="321"/>
  <c r="BC363" i="321"/>
  <c r="BC99" i="282"/>
  <c r="BC30" i="282"/>
  <c r="BC103" i="288"/>
  <c r="BC276" i="321"/>
  <c r="BC278" i="321" s="1"/>
  <c r="BC50" i="321"/>
  <c r="BC350" i="321"/>
  <c r="BC253" i="288"/>
  <c r="BB356" i="321"/>
  <c r="BA70" i="265"/>
  <c r="BA20" i="265"/>
  <c r="AN54" i="315"/>
  <c r="AN56" i="265"/>
  <c r="Y56" i="277" s="1"/>
  <c r="AN53" i="265"/>
  <c r="Y53" i="277" s="1"/>
  <c r="AN51" i="315"/>
  <c r="AO684" i="321"/>
  <c r="AN119" i="315"/>
  <c r="AN123" i="265"/>
  <c r="Y123" i="277" s="1"/>
  <c r="AN26" i="265"/>
  <c r="Y26" i="277" s="1"/>
  <c r="AN24" i="315"/>
  <c r="AN84" i="265"/>
  <c r="Y84" i="277" s="1"/>
  <c r="AN80" i="315"/>
  <c r="AO693" i="321" l="1"/>
  <c r="AO695" i="321" s="1"/>
  <c r="AO699" i="321" s="1"/>
  <c r="AO702" i="321" s="1"/>
  <c r="AO706" i="321" s="1"/>
  <c r="AO709" i="321" s="1"/>
  <c r="AO711" i="321" s="1"/>
  <c r="AO712" i="321"/>
  <c r="AO673" i="321"/>
  <c r="AO676" i="321" s="1"/>
  <c r="BB31" i="282"/>
  <c r="BB357" i="321"/>
  <c r="BC66" i="315"/>
  <c r="BC19" i="265"/>
  <c r="BC69" i="265"/>
  <c r="BC18" i="315"/>
  <c r="BC283" i="321"/>
  <c r="BC355" i="321"/>
  <c r="BD346" i="321"/>
  <c r="BD349" i="321" s="1"/>
  <c r="BD302" i="321"/>
  <c r="BD254" i="288"/>
  <c r="BD120" i="321"/>
  <c r="BD104" i="288"/>
  <c r="BD113" i="321"/>
  <c r="AJ28" i="265"/>
  <c r="W28" i="277" s="1"/>
  <c r="AJ26" i="315"/>
  <c r="AJ77" i="315"/>
  <c r="AJ81" i="265"/>
  <c r="W81" i="277" s="1"/>
  <c r="AN395" i="321"/>
  <c r="AN397" i="321" s="1"/>
  <c r="AN379" i="321"/>
  <c r="AN381" i="321" s="1"/>
  <c r="AN256" i="288"/>
  <c r="AN106" i="288"/>
  <c r="AM16" i="314"/>
  <c r="AM216" i="288"/>
  <c r="AM229" i="288"/>
  <c r="AM66" i="288"/>
  <c r="AM79" i="288"/>
  <c r="AM103" i="314"/>
  <c r="AM21" i="328"/>
  <c r="AM23" i="314"/>
  <c r="AM110" i="314"/>
  <c r="AM142" i="288"/>
  <c r="AM143" i="288" s="1"/>
  <c r="AN427" i="321"/>
  <c r="AN429" i="321" s="1"/>
  <c r="AN411" i="321"/>
  <c r="AN413" i="321" s="1"/>
  <c r="AN258" i="288"/>
  <c r="AN108" i="288"/>
  <c r="BA40" i="311"/>
  <c r="BA41" i="311"/>
  <c r="BA82" i="311" s="1"/>
  <c r="BB282" i="321"/>
  <c r="BB284" i="321" s="1"/>
  <c r="BB170" i="321"/>
  <c r="BB172" i="321" s="1"/>
  <c r="BB68" i="265"/>
  <c r="AF68" i="277" s="1"/>
  <c r="BB18" i="265"/>
  <c r="AF18" i="277" s="1"/>
  <c r="BC52" i="321"/>
  <c r="BC171" i="321"/>
  <c r="BC65" i="315"/>
  <c r="BC67" i="265"/>
  <c r="BC17" i="265"/>
  <c r="BC17" i="315"/>
  <c r="BC244" i="321"/>
  <c r="BD234" i="321"/>
  <c r="BD237" i="321" s="1"/>
  <c r="BD190" i="321"/>
  <c r="BD112" i="321"/>
  <c r="BD114" i="321" s="1"/>
  <c r="BD102" i="288"/>
  <c r="BD116" i="321"/>
  <c r="BD252" i="288"/>
  <c r="BF30" i="315"/>
  <c r="BF32" i="265"/>
  <c r="AH32" i="277" s="1"/>
  <c r="BG152" i="282"/>
  <c r="BG155" i="282" s="1"/>
  <c r="BG115" i="282"/>
  <c r="BG47" i="282"/>
  <c r="BG84" i="282"/>
  <c r="BG87" i="282" s="1"/>
  <c r="BG23" i="282"/>
  <c r="BG24" i="282" s="1"/>
  <c r="BH21" i="282" s="1"/>
  <c r="BF94" i="282"/>
  <c r="BF162" i="282"/>
  <c r="BA103" i="277"/>
  <c r="BA104" i="277" s="1"/>
  <c r="CR104" i="265"/>
  <c r="CS103" i="265"/>
  <c r="CS104" i="265" s="1"/>
  <c r="CT40" i="285"/>
  <c r="CT43" i="285" s="1"/>
  <c r="CS99" i="315"/>
  <c r="CS100" i="315" s="1"/>
  <c r="CT99" i="315" l="1"/>
  <c r="CT100" i="315" s="1"/>
  <c r="CT103" i="265"/>
  <c r="CU40" i="285"/>
  <c r="CU43" i="285" s="1"/>
  <c r="BG160" i="282"/>
  <c r="BF121" i="315"/>
  <c r="BG92" i="282"/>
  <c r="BF125" i="265"/>
  <c r="AH125" i="277" s="1"/>
  <c r="BH10" i="282"/>
  <c r="BH12" i="282" s="1"/>
  <c r="BG93" i="282"/>
  <c r="BG88" i="282"/>
  <c r="BG156" i="282"/>
  <c r="BG161" i="282"/>
  <c r="BD121" i="321"/>
  <c r="BD122" i="321" s="1"/>
  <c r="BD128" i="321" s="1"/>
  <c r="BD134" i="321" s="1"/>
  <c r="BD258" i="321" s="1"/>
  <c r="BD117" i="321"/>
  <c r="BD118" i="321" s="1"/>
  <c r="BD127" i="321" s="1"/>
  <c r="BD133" i="321" s="1"/>
  <c r="BD146" i="321" s="1"/>
  <c r="BE187" i="321"/>
  <c r="BD118" i="288"/>
  <c r="BD119" i="265"/>
  <c r="BD115" i="315"/>
  <c r="BD268" i="288"/>
  <c r="BD242" i="321"/>
  <c r="BD243" i="321" s="1"/>
  <c r="BD361" i="321"/>
  <c r="BD98" i="282"/>
  <c r="BD251" i="288"/>
  <c r="BD164" i="321"/>
  <c r="BD166" i="321" s="1"/>
  <c r="BD238" i="321"/>
  <c r="BD101" i="288"/>
  <c r="BD28" i="282"/>
  <c r="BD49" i="321"/>
  <c r="BC29" i="282"/>
  <c r="BC245" i="321"/>
  <c r="BC145" i="321"/>
  <c r="BC148" i="321" s="1"/>
  <c r="BC257" i="321"/>
  <c r="BC260" i="321" s="1"/>
  <c r="BC78" i="321"/>
  <c r="BB175" i="321"/>
  <c r="BB176" i="321" s="1"/>
  <c r="BB287" i="321"/>
  <c r="BB288" i="321" s="1"/>
  <c r="BA81" i="311"/>
  <c r="AN368" i="321"/>
  <c r="AN435" i="321"/>
  <c r="AN436" i="321" s="1"/>
  <c r="AN414" i="321"/>
  <c r="AN367" i="321"/>
  <c r="AN101" i="282"/>
  <c r="AN107" i="288"/>
  <c r="AN257" i="288"/>
  <c r="AN430" i="321"/>
  <c r="AN33" i="282"/>
  <c r="AM146" i="288"/>
  <c r="AK105" i="314"/>
  <c r="AK109" i="314" s="1"/>
  <c r="AK112" i="314" s="1"/>
  <c r="AK115" i="314" s="1"/>
  <c r="AM81" i="288"/>
  <c r="AM90" i="288" s="1"/>
  <c r="AM231" i="288"/>
  <c r="AM240" i="288" s="1"/>
  <c r="AK18" i="314"/>
  <c r="AK22" i="314" s="1"/>
  <c r="AK25" i="314" s="1"/>
  <c r="AN366" i="321"/>
  <c r="AN403" i="321"/>
  <c r="AN404" i="321" s="1"/>
  <c r="AN382" i="321"/>
  <c r="AN365" i="321"/>
  <c r="AN369" i="321" s="1"/>
  <c r="AN100" i="282"/>
  <c r="AN398" i="321"/>
  <c r="AN32" i="282"/>
  <c r="AN105" i="288"/>
  <c r="AN110" i="288" s="1"/>
  <c r="AN112" i="288" s="1"/>
  <c r="AN255" i="288"/>
  <c r="AN260" i="288" s="1"/>
  <c r="AN262" i="288" s="1"/>
  <c r="BE299" i="321"/>
  <c r="BD116" i="315"/>
  <c r="BD269" i="288"/>
  <c r="BD119" i="288"/>
  <c r="BD120" i="265"/>
  <c r="BD354" i="321"/>
  <c r="BD363" i="321"/>
  <c r="BD99" i="282"/>
  <c r="BD350" i="321"/>
  <c r="BD276" i="321"/>
  <c r="BD278" i="321" s="1"/>
  <c r="BD30" i="282"/>
  <c r="BD103" i="288"/>
  <c r="BD50" i="321"/>
  <c r="BD253" i="288"/>
  <c r="BC356" i="321"/>
  <c r="BB70" i="265"/>
  <c r="AF70" i="277" s="1"/>
  <c r="BB20" i="265"/>
  <c r="AF20" i="277" s="1"/>
  <c r="AO679" i="321"/>
  <c r="AO680" i="321" s="1"/>
  <c r="AO442" i="321"/>
  <c r="AO443" i="321" s="1"/>
  <c r="AO714" i="321"/>
  <c r="AO102" i="282" l="1"/>
  <c r="AO715" i="321"/>
  <c r="AO34" i="282"/>
  <c r="AO46" i="288"/>
  <c r="AO446" i="321"/>
  <c r="AO447" i="321" s="1"/>
  <c r="AO529" i="321"/>
  <c r="AO485" i="321"/>
  <c r="AO196" i="288"/>
  <c r="AO687" i="321"/>
  <c r="AO688" i="321" s="1"/>
  <c r="AO681" i="321"/>
  <c r="BC31" i="282"/>
  <c r="BC357" i="321"/>
  <c r="BD283" i="321"/>
  <c r="BD19" i="265"/>
  <c r="AG19" i="277" s="1"/>
  <c r="BD18" i="315"/>
  <c r="BD66" i="315"/>
  <c r="BD69" i="265"/>
  <c r="AG69" i="277" s="1"/>
  <c r="BD355" i="321"/>
  <c r="BD63" i="328"/>
  <c r="AG74" i="328" s="1"/>
  <c r="AG120" i="277"/>
  <c r="BE346" i="321"/>
  <c r="BE349" i="321" s="1"/>
  <c r="BE302" i="321"/>
  <c r="BE104" i="288"/>
  <c r="BE120" i="321"/>
  <c r="BE254" i="288"/>
  <c r="BE113" i="321"/>
  <c r="AN19" i="315"/>
  <c r="AN67" i="315"/>
  <c r="AN21" i="265"/>
  <c r="Y21" i="277" s="1"/>
  <c r="AN71" i="265"/>
  <c r="Y71" i="277" s="1"/>
  <c r="AN16" i="314"/>
  <c r="AN79" i="288"/>
  <c r="AN103" i="314"/>
  <c r="AN21" i="328"/>
  <c r="Y41" i="328" s="1"/>
  <c r="AN66" i="288"/>
  <c r="AN23" i="314"/>
  <c r="AN216" i="288"/>
  <c r="AN110" i="314"/>
  <c r="AN142" i="288"/>
  <c r="AN143" i="288" s="1"/>
  <c r="AN229" i="288"/>
  <c r="AN75" i="265"/>
  <c r="Y75" i="277" s="1"/>
  <c r="AN71" i="315"/>
  <c r="AO401" i="321"/>
  <c r="AN120" i="288"/>
  <c r="AN117" i="315"/>
  <c r="AN121" i="265"/>
  <c r="Y121" i="277" s="1"/>
  <c r="AN270" i="288"/>
  <c r="AK27" i="314"/>
  <c r="AJ29" i="314" s="1"/>
  <c r="AK88" i="314"/>
  <c r="AK36" i="314"/>
  <c r="AK171" i="314"/>
  <c r="AK173" i="314" s="1"/>
  <c r="AN68" i="315"/>
  <c r="AN22" i="265"/>
  <c r="Y22" i="277" s="1"/>
  <c r="AN20" i="315"/>
  <c r="AN72" i="265"/>
  <c r="Y72" i="277" s="1"/>
  <c r="AN72" i="315"/>
  <c r="AN76" i="265"/>
  <c r="Y76" i="277" s="1"/>
  <c r="AO433" i="321"/>
  <c r="AN271" i="288"/>
  <c r="AN121" i="288"/>
  <c r="AN122" i="265"/>
  <c r="Y122" i="277" s="1"/>
  <c r="AN118" i="315"/>
  <c r="BB41" i="311"/>
  <c r="BB82" i="311" s="1"/>
  <c r="BB40" i="311"/>
  <c r="BC282" i="321"/>
  <c r="BC284" i="321" s="1"/>
  <c r="BC170" i="321"/>
  <c r="BC172" i="321" s="1"/>
  <c r="BC68" i="265"/>
  <c r="BC18" i="265"/>
  <c r="BD52" i="321"/>
  <c r="BD17" i="265"/>
  <c r="AG17" i="277" s="1"/>
  <c r="BD67" i="265"/>
  <c r="AG67" i="277" s="1"/>
  <c r="BD17" i="315"/>
  <c r="BD65" i="315"/>
  <c r="BD171" i="321"/>
  <c r="BD244" i="321"/>
  <c r="BD62" i="328"/>
  <c r="AG73" i="328" s="1"/>
  <c r="AG119" i="277"/>
  <c r="BE234" i="321"/>
  <c r="BE237" i="321" s="1"/>
  <c r="BE190" i="321"/>
  <c r="BE102" i="288"/>
  <c r="BE112" i="321"/>
  <c r="BE114" i="321" s="1"/>
  <c r="BE116" i="321"/>
  <c r="BE252" i="288"/>
  <c r="BG30" i="315"/>
  <c r="BG32" i="265"/>
  <c r="BH152" i="282"/>
  <c r="BH155" i="282" s="1"/>
  <c r="BH115" i="282"/>
  <c r="BH47" i="282"/>
  <c r="BH84" i="282"/>
  <c r="BH87" i="282" s="1"/>
  <c r="BH23" i="282"/>
  <c r="BH24" i="282" s="1"/>
  <c r="BI21" i="282" s="1"/>
  <c r="BG94" i="282"/>
  <c r="BG162" i="282"/>
  <c r="CU99" i="315"/>
  <c r="CU100" i="315" s="1"/>
  <c r="CU103" i="265"/>
  <c r="CU104" i="265" s="1"/>
  <c r="CV40" i="285"/>
  <c r="CV43" i="285" s="1"/>
  <c r="BB103" i="277"/>
  <c r="BB104" i="277" s="1"/>
  <c r="CT104" i="265"/>
  <c r="CV99" i="315" l="1"/>
  <c r="CV100" i="315" s="1"/>
  <c r="CV103" i="265"/>
  <c r="CV104" i="265" s="1"/>
  <c r="BH160" i="282"/>
  <c r="BG121" i="315"/>
  <c r="BH92" i="282"/>
  <c r="BG125" i="265"/>
  <c r="BI10" i="282"/>
  <c r="BI12" i="282" s="1"/>
  <c r="BH93" i="282"/>
  <c r="BH88" i="282"/>
  <c r="BH156" i="282"/>
  <c r="BH161" i="282"/>
  <c r="BE117" i="321"/>
  <c r="BE118" i="321" s="1"/>
  <c r="BE127" i="321" s="1"/>
  <c r="BE133" i="321" s="1"/>
  <c r="BE146" i="321" s="1"/>
  <c r="BE121" i="321"/>
  <c r="BE122" i="321" s="1"/>
  <c r="BE128" i="321" s="1"/>
  <c r="BE134" i="321" s="1"/>
  <c r="BE258" i="321" s="1"/>
  <c r="BF187" i="321"/>
  <c r="BE268" i="288"/>
  <c r="BE118" i="288"/>
  <c r="BE119" i="265"/>
  <c r="BE62" i="328" s="1"/>
  <c r="BE115" i="315"/>
  <c r="BE242" i="321"/>
  <c r="BE243" i="321" s="1"/>
  <c r="BE361" i="321"/>
  <c r="BE98" i="282"/>
  <c r="BE28" i="282"/>
  <c r="BE164" i="321"/>
  <c r="BE166" i="321" s="1"/>
  <c r="BE49" i="321"/>
  <c r="BE251" i="288"/>
  <c r="BE238" i="321"/>
  <c r="BE101" i="288"/>
  <c r="BD29" i="282"/>
  <c r="BD245" i="321"/>
  <c r="BD78" i="321"/>
  <c r="BD145" i="321"/>
  <c r="BD148" i="321" s="1"/>
  <c r="BD257" i="321"/>
  <c r="BD260" i="321" s="1"/>
  <c r="BC175" i="321"/>
  <c r="BC176" i="321" s="1"/>
  <c r="BC287" i="321"/>
  <c r="BC288" i="321" s="1"/>
  <c r="BB81" i="311"/>
  <c r="AO427" i="321"/>
  <c r="AO429" i="321" s="1"/>
  <c r="AO411" i="321"/>
  <c r="AO413" i="321" s="1"/>
  <c r="AO258" i="288"/>
  <c r="AO108" i="288"/>
  <c r="AK107" i="282"/>
  <c r="AK174" i="314"/>
  <c r="AK39" i="282"/>
  <c r="AJ32" i="314"/>
  <c r="AO395" i="321"/>
  <c r="AO397" i="321" s="1"/>
  <c r="AO379" i="321"/>
  <c r="AO381" i="321" s="1"/>
  <c r="AO256" i="288"/>
  <c r="AO106" i="288"/>
  <c r="AN231" i="288"/>
  <c r="AN240" i="288" s="1"/>
  <c r="AN146" i="288"/>
  <c r="AL105" i="314"/>
  <c r="AL109" i="314" s="1"/>
  <c r="AL112" i="314" s="1"/>
  <c r="AL115" i="314" s="1"/>
  <c r="AN81" i="288"/>
  <c r="AN90" i="288" s="1"/>
  <c r="AL18" i="314"/>
  <c r="AL22" i="314" s="1"/>
  <c r="AL25" i="314" s="1"/>
  <c r="BF299" i="321"/>
  <c r="BE116" i="315"/>
  <c r="BE120" i="265"/>
  <c r="BE63" i="328" s="1"/>
  <c r="BE269" i="288"/>
  <c r="BE119" i="288"/>
  <c r="BE354" i="321"/>
  <c r="BE363" i="321"/>
  <c r="BE99" i="282"/>
  <c r="BE30" i="282"/>
  <c r="BE253" i="288"/>
  <c r="BE350" i="321"/>
  <c r="BE103" i="288"/>
  <c r="BE276" i="321"/>
  <c r="BE278" i="321" s="1"/>
  <c r="BE50" i="321"/>
  <c r="BD356" i="321"/>
  <c r="BC70" i="265"/>
  <c r="BC20" i="265"/>
  <c r="AO53" i="265"/>
  <c r="AO51" i="315"/>
  <c r="AP684" i="321"/>
  <c r="AO123" i="265"/>
  <c r="AO119" i="315"/>
  <c r="AO56" i="265"/>
  <c r="AO54" i="315"/>
  <c r="AO24" i="315"/>
  <c r="AO26" i="265"/>
  <c r="AO80" i="315"/>
  <c r="AO84" i="265"/>
  <c r="AP673" i="321" l="1"/>
  <c r="AP676" i="321" s="1"/>
  <c r="AP693" i="321"/>
  <c r="AP695" i="321" s="1"/>
  <c r="AP699" i="321" s="1"/>
  <c r="AP702" i="321" s="1"/>
  <c r="AP706" i="321" s="1"/>
  <c r="AP709" i="321" s="1"/>
  <c r="AP711" i="321" s="1"/>
  <c r="AP712" i="321"/>
  <c r="BD31" i="282"/>
  <c r="BD357" i="321"/>
  <c r="BE283" i="321"/>
  <c r="BE69" i="265"/>
  <c r="BE19" i="265"/>
  <c r="BE18" i="315"/>
  <c r="BE66" i="315"/>
  <c r="BE355" i="321"/>
  <c r="BF346" i="321"/>
  <c r="BF349" i="321" s="1"/>
  <c r="BF302" i="321"/>
  <c r="BF254" i="288"/>
  <c r="BF120" i="321"/>
  <c r="BF104" i="288"/>
  <c r="BF113" i="321"/>
  <c r="AL27" i="314"/>
  <c r="AK29" i="314" s="1"/>
  <c r="AL36" i="314"/>
  <c r="AL88" i="314"/>
  <c r="AL171" i="314"/>
  <c r="AL173" i="314" s="1"/>
  <c r="AO366" i="321"/>
  <c r="AO403" i="321"/>
  <c r="AO404" i="321" s="1"/>
  <c r="AO382" i="321"/>
  <c r="AO365" i="321"/>
  <c r="AO100" i="282"/>
  <c r="AO398" i="321"/>
  <c r="AO255" i="288"/>
  <c r="AO105" i="288"/>
  <c r="AO32" i="282"/>
  <c r="AK26" i="315"/>
  <c r="AK28" i="265"/>
  <c r="AK81" i="265"/>
  <c r="AK77" i="315"/>
  <c r="AO368" i="321"/>
  <c r="AO435" i="321"/>
  <c r="AO436" i="321" s="1"/>
  <c r="AO414" i="321"/>
  <c r="AO367" i="321"/>
  <c r="AO101" i="282"/>
  <c r="AO33" i="282"/>
  <c r="AO257" i="288"/>
  <c r="AO107" i="288"/>
  <c r="AO430" i="321"/>
  <c r="BC41" i="311"/>
  <c r="BC82" i="311" s="1"/>
  <c r="BC40" i="311"/>
  <c r="BD282" i="321"/>
  <c r="BD284" i="321" s="1"/>
  <c r="BD170" i="321"/>
  <c r="BD172" i="321" s="1"/>
  <c r="BD68" i="265"/>
  <c r="AG68" i="277" s="1"/>
  <c r="BD18" i="265"/>
  <c r="AG18" i="277" s="1"/>
  <c r="BE17" i="315"/>
  <c r="BE17" i="265"/>
  <c r="BE67" i="265"/>
  <c r="BE65" i="315"/>
  <c r="BE52" i="321"/>
  <c r="BE171" i="321"/>
  <c r="BE244" i="321"/>
  <c r="BF234" i="321"/>
  <c r="BF237" i="321" s="1"/>
  <c r="BF190" i="321"/>
  <c r="BF102" i="288"/>
  <c r="BF116" i="321"/>
  <c r="BF112" i="321"/>
  <c r="BF114" i="321" s="1"/>
  <c r="BF252" i="288"/>
  <c r="BH30" i="315"/>
  <c r="BH32" i="265"/>
  <c r="AI32" i="277" s="1"/>
  <c r="BI152" i="282"/>
  <c r="BI155" i="282" s="1"/>
  <c r="BI115" i="282"/>
  <c r="BI47" i="282"/>
  <c r="BI84" i="282"/>
  <c r="BI87" i="282" s="1"/>
  <c r="BI23" i="282"/>
  <c r="BI24" i="282" s="1"/>
  <c r="BJ21" i="282" s="1"/>
  <c r="BH94" i="282"/>
  <c r="BH162" i="282"/>
  <c r="BI160" i="282" l="1"/>
  <c r="BH121" i="315"/>
  <c r="BI92" i="282"/>
  <c r="BH125" i="265"/>
  <c r="AI125" i="277" s="1"/>
  <c r="BJ10" i="282"/>
  <c r="BJ12" i="282" s="1"/>
  <c r="BI93" i="282"/>
  <c r="BI88" i="282"/>
  <c r="BI156" i="282"/>
  <c r="BI161" i="282"/>
  <c r="BF117" i="321"/>
  <c r="BF118" i="321" s="1"/>
  <c r="BF127" i="321" s="1"/>
  <c r="BF133" i="321" s="1"/>
  <c r="BF146" i="321" s="1"/>
  <c r="BF121" i="321"/>
  <c r="BF122" i="321" s="1"/>
  <c r="BF128" i="321" s="1"/>
  <c r="BF134" i="321" s="1"/>
  <c r="BF258" i="321" s="1"/>
  <c r="BG187" i="321"/>
  <c r="BF119" i="265"/>
  <c r="BF115" i="315"/>
  <c r="BF268" i="288"/>
  <c r="BF118" i="288"/>
  <c r="BF242" i="321"/>
  <c r="BF243" i="321" s="1"/>
  <c r="BF361" i="321"/>
  <c r="BF98" i="282"/>
  <c r="BF28" i="282"/>
  <c r="BF101" i="288"/>
  <c r="BF238" i="321"/>
  <c r="BF164" i="321"/>
  <c r="BF166" i="321" s="1"/>
  <c r="BF49" i="321"/>
  <c r="BF251" i="288"/>
  <c r="BE29" i="282"/>
  <c r="BE245" i="321"/>
  <c r="BE145" i="321"/>
  <c r="BE148" i="321" s="1"/>
  <c r="BE78" i="321"/>
  <c r="BE257" i="321"/>
  <c r="BE260" i="321" s="1"/>
  <c r="BD175" i="321"/>
  <c r="BD176" i="321" s="1"/>
  <c r="BD287" i="321"/>
  <c r="BD288" i="321" s="1"/>
  <c r="BC81" i="311"/>
  <c r="AO72" i="265"/>
  <c r="AO20" i="315"/>
  <c r="AO68" i="315"/>
  <c r="AO22" i="265"/>
  <c r="AO72" i="315"/>
  <c r="AO76" i="265"/>
  <c r="AP433" i="321"/>
  <c r="AO121" i="288"/>
  <c r="AO122" i="265"/>
  <c r="AO118" i="315"/>
  <c r="AO271" i="288"/>
  <c r="AO110" i="288"/>
  <c r="AO112" i="288" s="1"/>
  <c r="AO260" i="288"/>
  <c r="AO262" i="288" s="1"/>
  <c r="AO71" i="265"/>
  <c r="AO19" i="315"/>
  <c r="AO67" i="315"/>
  <c r="AO21" i="265"/>
  <c r="AO369" i="321"/>
  <c r="AO75" i="265"/>
  <c r="AO71" i="315"/>
  <c r="AP401" i="321"/>
  <c r="AO270" i="288"/>
  <c r="AO120" i="288"/>
  <c r="AO117" i="315"/>
  <c r="AO121" i="265"/>
  <c r="AL107" i="282"/>
  <c r="AL39" i="282"/>
  <c r="AL174" i="314"/>
  <c r="AK32" i="314"/>
  <c r="BG299" i="321"/>
  <c r="BF269" i="288"/>
  <c r="BF119" i="288"/>
  <c r="BF116" i="315"/>
  <c r="BF120" i="265"/>
  <c r="BF354" i="321"/>
  <c r="BF363" i="321"/>
  <c r="BF99" i="282"/>
  <c r="BF50" i="321"/>
  <c r="BF350" i="321"/>
  <c r="BF103" i="288"/>
  <c r="BF30" i="282"/>
  <c r="BF276" i="321"/>
  <c r="BF278" i="321" s="1"/>
  <c r="BF253" i="288"/>
  <c r="BE356" i="321"/>
  <c r="BD70" i="265"/>
  <c r="AG70" i="277" s="1"/>
  <c r="BD20" i="265"/>
  <c r="AG20" i="277" s="1"/>
  <c r="AP714" i="321"/>
  <c r="AP679" i="321"/>
  <c r="AP680" i="321" s="1"/>
  <c r="AP442" i="321"/>
  <c r="AP443" i="321" s="1"/>
  <c r="AP46" i="288" l="1"/>
  <c r="AP446" i="321"/>
  <c r="AP447" i="321" s="1"/>
  <c r="AP529" i="321"/>
  <c r="AP485" i="321"/>
  <c r="AP196" i="288"/>
  <c r="AP687" i="321"/>
  <c r="AP688" i="321" s="1"/>
  <c r="AP681" i="321"/>
  <c r="AP102" i="282"/>
  <c r="AP34" i="282"/>
  <c r="AP715" i="321"/>
  <c r="BE31" i="282"/>
  <c r="BE357" i="321"/>
  <c r="BF283" i="321"/>
  <c r="BF18" i="315"/>
  <c r="BF19" i="265"/>
  <c r="AH19" i="277" s="1"/>
  <c r="BF69" i="265"/>
  <c r="AH69" i="277" s="1"/>
  <c r="BF66" i="315"/>
  <c r="BF355" i="321"/>
  <c r="AH120" i="277"/>
  <c r="BF63" i="328"/>
  <c r="AH74" i="328" s="1"/>
  <c r="BG346" i="321"/>
  <c r="BG349" i="321" s="1"/>
  <c r="BG302" i="321"/>
  <c r="BG113" i="321"/>
  <c r="BG120" i="321"/>
  <c r="BG254" i="288"/>
  <c r="BG104" i="288"/>
  <c r="AL26" i="315"/>
  <c r="AL77" i="315"/>
  <c r="AL81" i="265"/>
  <c r="X81" i="277" s="1"/>
  <c r="AL28" i="265"/>
  <c r="X28" i="277" s="1"/>
  <c r="AP395" i="321"/>
  <c r="AP397" i="321" s="1"/>
  <c r="AP379" i="321"/>
  <c r="AP381" i="321" s="1"/>
  <c r="AP106" i="288"/>
  <c r="AP256" i="288"/>
  <c r="AO16" i="314"/>
  <c r="AO103" i="314"/>
  <c r="AO23" i="314"/>
  <c r="AO21" i="328"/>
  <c r="AO229" i="288"/>
  <c r="AO79" i="288"/>
  <c r="AO110" i="314"/>
  <c r="AO142" i="288"/>
  <c r="AO143" i="288" s="1"/>
  <c r="AO66" i="288"/>
  <c r="AO216" i="288"/>
  <c r="AP427" i="321"/>
  <c r="AP429" i="321" s="1"/>
  <c r="AP411" i="321"/>
  <c r="AP413" i="321" s="1"/>
  <c r="AP108" i="288"/>
  <c r="AP258" i="288"/>
  <c r="BD41" i="311"/>
  <c r="BD82" i="311" s="1"/>
  <c r="BD40" i="311"/>
  <c r="BE282" i="321"/>
  <c r="BE284" i="321" s="1"/>
  <c r="BE170" i="321"/>
  <c r="BE172" i="321" s="1"/>
  <c r="BE68" i="265"/>
  <c r="BE18" i="265"/>
  <c r="BF52" i="321"/>
  <c r="BF171" i="321"/>
  <c r="BF65" i="315"/>
  <c r="BF67" i="265"/>
  <c r="AH67" i="277" s="1"/>
  <c r="BF17" i="315"/>
  <c r="BF17" i="265"/>
  <c r="AH17" i="277" s="1"/>
  <c r="BF244" i="321"/>
  <c r="AH119" i="277"/>
  <c r="BF62" i="328"/>
  <c r="AH73" i="328" s="1"/>
  <c r="BG234" i="321"/>
  <c r="BG237" i="321" s="1"/>
  <c r="BG190" i="321"/>
  <c r="BG252" i="288"/>
  <c r="BG112" i="321"/>
  <c r="BG114" i="321" s="1"/>
  <c r="BG116" i="321"/>
  <c r="BG102" i="288"/>
  <c r="BI30" i="315"/>
  <c r="BI32" i="265"/>
  <c r="BJ152" i="282"/>
  <c r="BJ155" i="282" s="1"/>
  <c r="BJ115" i="282"/>
  <c r="BJ47" i="282"/>
  <c r="BJ84" i="282"/>
  <c r="BJ87" i="282" s="1"/>
  <c r="BJ23" i="282"/>
  <c r="BJ24" i="282" s="1"/>
  <c r="BK21" i="282" s="1"/>
  <c r="BI94" i="282"/>
  <c r="BI162" i="282"/>
  <c r="BJ160" i="282" l="1"/>
  <c r="BI121" i="315"/>
  <c r="BJ92" i="282"/>
  <c r="BI125" i="265"/>
  <c r="BK10" i="282"/>
  <c r="BK12" i="282" s="1"/>
  <c r="BJ93" i="282"/>
  <c r="BJ88" i="282"/>
  <c r="BJ156" i="282"/>
  <c r="BJ161" i="282"/>
  <c r="BG121" i="321"/>
  <c r="BG122" i="321" s="1"/>
  <c r="BG128" i="321" s="1"/>
  <c r="BG134" i="321" s="1"/>
  <c r="BG258" i="321" s="1"/>
  <c r="BG117" i="321"/>
  <c r="BG118" i="321" s="1"/>
  <c r="BG127" i="321" s="1"/>
  <c r="BG133" i="321" s="1"/>
  <c r="BG146" i="321" s="1"/>
  <c r="BH187" i="321"/>
  <c r="BG118" i="288"/>
  <c r="BG119" i="265"/>
  <c r="BG62" i="328" s="1"/>
  <c r="BG115" i="315"/>
  <c r="BG268" i="288"/>
  <c r="BG242" i="321"/>
  <c r="BG243" i="321" s="1"/>
  <c r="BG361" i="321"/>
  <c r="BG98" i="282"/>
  <c r="BG28" i="282"/>
  <c r="BG164" i="321"/>
  <c r="BG166" i="321" s="1"/>
  <c r="BG49" i="321"/>
  <c r="BG251" i="288"/>
  <c r="BG238" i="321"/>
  <c r="BG101" i="288"/>
  <c r="BF29" i="282"/>
  <c r="BF245" i="321"/>
  <c r="BF145" i="321"/>
  <c r="BF148" i="321" s="1"/>
  <c r="BF78" i="321"/>
  <c r="BF257" i="321"/>
  <c r="BF260" i="321" s="1"/>
  <c r="BE175" i="321"/>
  <c r="BE176" i="321" s="1"/>
  <c r="BE287" i="321"/>
  <c r="BE288" i="321" s="1"/>
  <c r="BD81" i="311"/>
  <c r="AP368" i="321"/>
  <c r="AP435" i="321"/>
  <c r="AP436" i="321" s="1"/>
  <c r="AP414" i="321"/>
  <c r="AP367" i="321"/>
  <c r="AP101" i="282"/>
  <c r="AP33" i="282"/>
  <c r="AP107" i="288"/>
  <c r="AP257" i="288"/>
  <c r="AP430" i="321"/>
  <c r="AO146" i="288"/>
  <c r="AO81" i="288"/>
  <c r="AO90" i="288" s="1"/>
  <c r="AO231" i="288"/>
  <c r="AO240" i="288" s="1"/>
  <c r="AM105" i="314"/>
  <c r="AM109" i="314" s="1"/>
  <c r="AM112" i="314" s="1"/>
  <c r="AM115" i="314" s="1"/>
  <c r="AM18" i="314"/>
  <c r="AM22" i="314" s="1"/>
  <c r="AM25" i="314" s="1"/>
  <c r="AP366" i="321"/>
  <c r="AP403" i="321"/>
  <c r="AP404" i="321" s="1"/>
  <c r="AP382" i="321"/>
  <c r="AP365" i="321"/>
  <c r="AP369" i="321" s="1"/>
  <c r="AP100" i="282"/>
  <c r="AP32" i="282"/>
  <c r="AP105" i="288"/>
  <c r="AP110" i="288" s="1"/>
  <c r="AP112" i="288" s="1"/>
  <c r="AP255" i="288"/>
  <c r="AP260" i="288" s="1"/>
  <c r="AP262" i="288" s="1"/>
  <c r="AP398" i="321"/>
  <c r="BH299" i="321"/>
  <c r="BG269" i="288"/>
  <c r="BG119" i="288"/>
  <c r="BG116" i="315"/>
  <c r="BG120" i="265"/>
  <c r="BG63" i="328" s="1"/>
  <c r="BG354" i="321"/>
  <c r="BG363" i="321"/>
  <c r="BG99" i="282"/>
  <c r="BG276" i="321"/>
  <c r="BG278" i="321" s="1"/>
  <c r="BG50" i="321"/>
  <c r="BG30" i="282"/>
  <c r="BG253" i="288"/>
  <c r="BG350" i="321"/>
  <c r="BG103" i="288"/>
  <c r="BF356" i="321"/>
  <c r="BE70" i="265"/>
  <c r="BE20" i="265"/>
  <c r="AP26" i="265"/>
  <c r="Z26" i="277" s="1"/>
  <c r="AP24" i="315"/>
  <c r="AP84" i="265"/>
  <c r="Z84" i="277" s="1"/>
  <c r="AP80" i="315"/>
  <c r="AP53" i="265"/>
  <c r="Z53" i="277" s="1"/>
  <c r="AP51" i="315"/>
  <c r="AQ684" i="321"/>
  <c r="AP119" i="315"/>
  <c r="AP123" i="265"/>
  <c r="Z123" i="277" s="1"/>
  <c r="AP56" i="265"/>
  <c r="Z56" i="277" s="1"/>
  <c r="AP54" i="315"/>
  <c r="AQ693" i="321" l="1"/>
  <c r="AQ695" i="321" s="1"/>
  <c r="AQ699" i="321" s="1"/>
  <c r="AQ702" i="321" s="1"/>
  <c r="AQ706" i="321" s="1"/>
  <c r="AQ709" i="321" s="1"/>
  <c r="AQ711" i="321" s="1"/>
  <c r="AQ712" i="321"/>
  <c r="AQ673" i="321"/>
  <c r="AQ676" i="321" s="1"/>
  <c r="BF31" i="282"/>
  <c r="BF357" i="321"/>
  <c r="BG69" i="265"/>
  <c r="BG18" i="315"/>
  <c r="BG66" i="315"/>
  <c r="BG19" i="265"/>
  <c r="BG283" i="321"/>
  <c r="BG355" i="321"/>
  <c r="BH346" i="321"/>
  <c r="BH349" i="321" s="1"/>
  <c r="BH302" i="321"/>
  <c r="BH113" i="321"/>
  <c r="BH254" i="288"/>
  <c r="BH120" i="321"/>
  <c r="BH104" i="288"/>
  <c r="AP21" i="265"/>
  <c r="Z21" i="277" s="1"/>
  <c r="AP71" i="265"/>
  <c r="Z71" i="277" s="1"/>
  <c r="AP19" i="315"/>
  <c r="AP67" i="315"/>
  <c r="AP16" i="314"/>
  <c r="AP142" i="288"/>
  <c r="AP143" i="288" s="1"/>
  <c r="AP66" i="288"/>
  <c r="AP103" i="314"/>
  <c r="AP216" i="288"/>
  <c r="AP23" i="314"/>
  <c r="AP79" i="288"/>
  <c r="AP110" i="314"/>
  <c r="AP229" i="288"/>
  <c r="AP21" i="328"/>
  <c r="Z41" i="328" s="1"/>
  <c r="AP75" i="265"/>
  <c r="Z75" i="277" s="1"/>
  <c r="AP71" i="315"/>
  <c r="AQ401" i="321"/>
  <c r="AP270" i="288"/>
  <c r="AP120" i="288"/>
  <c r="AP121" i="265"/>
  <c r="Z121" i="277" s="1"/>
  <c r="AP117" i="315"/>
  <c r="AM27" i="314"/>
  <c r="AL29" i="314" s="1"/>
  <c r="AM88" i="314"/>
  <c r="AM36" i="314"/>
  <c r="AM171" i="314"/>
  <c r="AM173" i="314" s="1"/>
  <c r="AP22" i="265"/>
  <c r="Z22" i="277" s="1"/>
  <c r="AP72" i="265"/>
  <c r="Z72" i="277" s="1"/>
  <c r="AP20" i="315"/>
  <c r="AP68" i="315"/>
  <c r="AP76" i="265"/>
  <c r="Z76" i="277" s="1"/>
  <c r="AP72" i="315"/>
  <c r="AQ433" i="321"/>
  <c r="AP121" i="288"/>
  <c r="AP118" i="315"/>
  <c r="AP271" i="288"/>
  <c r="AP122" i="265"/>
  <c r="Z122" i="277" s="1"/>
  <c r="BE41" i="311"/>
  <c r="BE82" i="311" s="1"/>
  <c r="BE40" i="311"/>
  <c r="BF282" i="321"/>
  <c r="BF284" i="321" s="1"/>
  <c r="BF170" i="321"/>
  <c r="BF172" i="321" s="1"/>
  <c r="BF68" i="265"/>
  <c r="AH68" i="277" s="1"/>
  <c r="BF18" i="265"/>
  <c r="AH18" i="277" s="1"/>
  <c r="BG17" i="315"/>
  <c r="BG65" i="315"/>
  <c r="BG17" i="265"/>
  <c r="BG67" i="265"/>
  <c r="BG52" i="321"/>
  <c r="BG171" i="321"/>
  <c r="BG244" i="321"/>
  <c r="BH234" i="321"/>
  <c r="BH237" i="321" s="1"/>
  <c r="BH190" i="321"/>
  <c r="BH116" i="321"/>
  <c r="BH252" i="288"/>
  <c r="BH112" i="321"/>
  <c r="BH114" i="321" s="1"/>
  <c r="BH102" i="288"/>
  <c r="BJ30" i="315"/>
  <c r="BJ32" i="265"/>
  <c r="AJ32" i="277" s="1"/>
  <c r="BK152" i="282"/>
  <c r="BK155" i="282" s="1"/>
  <c r="BK115" i="282"/>
  <c r="BK47" i="282"/>
  <c r="BK84" i="282"/>
  <c r="BK87" i="282" s="1"/>
  <c r="BK23" i="282"/>
  <c r="BK24" i="282" s="1"/>
  <c r="BL21" i="282" s="1"/>
  <c r="BJ94" i="282"/>
  <c r="BJ162" i="282"/>
  <c r="BK160" i="282" l="1"/>
  <c r="BJ121" i="315"/>
  <c r="BK92" i="282"/>
  <c r="BJ125" i="265"/>
  <c r="AJ125" i="277" s="1"/>
  <c r="BL10" i="282"/>
  <c r="BL12" i="282" s="1"/>
  <c r="BK93" i="282"/>
  <c r="BK88" i="282"/>
  <c r="BK156" i="282"/>
  <c r="BK161" i="282"/>
  <c r="BH121" i="321"/>
  <c r="BH122" i="321" s="1"/>
  <c r="BH128" i="321" s="1"/>
  <c r="BH134" i="321" s="1"/>
  <c r="BH258" i="321" s="1"/>
  <c r="BH117" i="321"/>
  <c r="BH118" i="321" s="1"/>
  <c r="BH127" i="321" s="1"/>
  <c r="BH133" i="321" s="1"/>
  <c r="BH146" i="321" s="1"/>
  <c r="BI187" i="321"/>
  <c r="BH118" i="288"/>
  <c r="BH119" i="265"/>
  <c r="BH115" i="315"/>
  <c r="BH268" i="288"/>
  <c r="BH242" i="321"/>
  <c r="BH243" i="321" s="1"/>
  <c r="BH361" i="321"/>
  <c r="BH98" i="282"/>
  <c r="BH251" i="288"/>
  <c r="BH238" i="321"/>
  <c r="BH101" i="288"/>
  <c r="BH28" i="282"/>
  <c r="BH164" i="321"/>
  <c r="BH166" i="321" s="1"/>
  <c r="BH49" i="321"/>
  <c r="BG29" i="282"/>
  <c r="BG245" i="321"/>
  <c r="BG145" i="321"/>
  <c r="BG148" i="321" s="1"/>
  <c r="BG257" i="321"/>
  <c r="BG260" i="321" s="1"/>
  <c r="BG78" i="321"/>
  <c r="BF175" i="321"/>
  <c r="BF176" i="321" s="1"/>
  <c r="BF287" i="321"/>
  <c r="BF288" i="321" s="1"/>
  <c r="BE81" i="311"/>
  <c r="AQ427" i="321"/>
  <c r="AQ429" i="321" s="1"/>
  <c r="AQ411" i="321"/>
  <c r="AQ413" i="321" s="1"/>
  <c r="AQ258" i="288"/>
  <c r="AQ108" i="288"/>
  <c r="AM39" i="282"/>
  <c r="AM174" i="314"/>
  <c r="AM107" i="282"/>
  <c r="AL32" i="314"/>
  <c r="AQ395" i="321"/>
  <c r="AQ397" i="321" s="1"/>
  <c r="AQ379" i="321"/>
  <c r="AQ381" i="321" s="1"/>
  <c r="AQ256" i="288"/>
  <c r="AQ106" i="288"/>
  <c r="AP231" i="288"/>
  <c r="AP240" i="288" s="1"/>
  <c r="AP81" i="288"/>
  <c r="AP90" i="288" s="1"/>
  <c r="AN105" i="314"/>
  <c r="AN109" i="314" s="1"/>
  <c r="AN112" i="314" s="1"/>
  <c r="AN115" i="314" s="1"/>
  <c r="AP146" i="288"/>
  <c r="AN18" i="314"/>
  <c r="AN22" i="314" s="1"/>
  <c r="AN25" i="314" s="1"/>
  <c r="BI299" i="321"/>
  <c r="BH120" i="265"/>
  <c r="BH269" i="288"/>
  <c r="BH116" i="315"/>
  <c r="BH119" i="288"/>
  <c r="BH354" i="321"/>
  <c r="BH363" i="321"/>
  <c r="BH99" i="282"/>
  <c r="BH350" i="321"/>
  <c r="BH103" i="288"/>
  <c r="BH50" i="321"/>
  <c r="BH253" i="288"/>
  <c r="BH30" i="282"/>
  <c r="BH276" i="321"/>
  <c r="BH278" i="321" s="1"/>
  <c r="BG356" i="321"/>
  <c r="BF70" i="265"/>
  <c r="AH70" i="277" s="1"/>
  <c r="BF20" i="265"/>
  <c r="AH20" i="277" s="1"/>
  <c r="AQ442" i="321"/>
  <c r="AQ443" i="321" s="1"/>
  <c r="AQ679" i="321"/>
  <c r="AQ680" i="321" s="1"/>
  <c r="AQ714" i="321"/>
  <c r="AQ102" i="282" l="1"/>
  <c r="AQ715" i="321"/>
  <c r="AQ34" i="282"/>
  <c r="AQ687" i="321"/>
  <c r="AQ688" i="321" s="1"/>
  <c r="AQ681" i="321"/>
  <c r="AQ46" i="288"/>
  <c r="AQ446" i="321"/>
  <c r="AQ447" i="321" s="1"/>
  <c r="AQ529" i="321"/>
  <c r="AQ485" i="321"/>
  <c r="AQ196" i="288"/>
  <c r="BG31" i="282"/>
  <c r="BG357" i="321"/>
  <c r="BH283" i="321"/>
  <c r="BH18" i="315"/>
  <c r="BH66" i="315"/>
  <c r="BH19" i="265"/>
  <c r="AI19" i="277" s="1"/>
  <c r="BH69" i="265"/>
  <c r="AI69" i="277" s="1"/>
  <c r="BH355" i="321"/>
  <c r="BH63" i="328"/>
  <c r="AI74" i="328" s="1"/>
  <c r="AI120" i="277"/>
  <c r="BI346" i="321"/>
  <c r="BI349" i="321" s="1"/>
  <c r="BI302" i="321"/>
  <c r="BI120" i="321"/>
  <c r="BI254" i="288"/>
  <c r="BI104" i="288"/>
  <c r="BI113" i="321"/>
  <c r="AN27" i="314"/>
  <c r="AM29" i="314" s="1"/>
  <c r="AN36" i="314"/>
  <c r="AN88" i="314"/>
  <c r="AN171" i="314"/>
  <c r="AN173" i="314" s="1"/>
  <c r="AQ366" i="321"/>
  <c r="AQ403" i="321"/>
  <c r="AQ404" i="321" s="1"/>
  <c r="AQ382" i="321"/>
  <c r="AQ365" i="321"/>
  <c r="AQ100" i="282"/>
  <c r="AQ105" i="288"/>
  <c r="AQ398" i="321"/>
  <c r="AQ32" i="282"/>
  <c r="AQ255" i="288"/>
  <c r="AM81" i="265"/>
  <c r="AM77" i="315"/>
  <c r="AM26" i="315"/>
  <c r="AM28" i="265"/>
  <c r="AQ368" i="321"/>
  <c r="AQ435" i="321"/>
  <c r="AQ436" i="321" s="1"/>
  <c r="AQ414" i="321"/>
  <c r="AQ367" i="321"/>
  <c r="AQ101" i="282"/>
  <c r="AQ257" i="288"/>
  <c r="AQ107" i="288"/>
  <c r="AQ430" i="321"/>
  <c r="AQ33" i="282"/>
  <c r="BF41" i="311"/>
  <c r="BF82" i="311" s="1"/>
  <c r="BF40" i="311"/>
  <c r="BG282" i="321"/>
  <c r="BG284" i="321" s="1"/>
  <c r="BG170" i="321"/>
  <c r="BG172" i="321" s="1"/>
  <c r="BG68" i="265"/>
  <c r="BG18" i="265"/>
  <c r="BH52" i="321"/>
  <c r="BH171" i="321"/>
  <c r="BH17" i="265"/>
  <c r="AI17" i="277" s="1"/>
  <c r="BH67" i="265"/>
  <c r="AI67" i="277" s="1"/>
  <c r="BH17" i="315"/>
  <c r="BH65" i="315"/>
  <c r="BH244" i="321"/>
  <c r="AI119" i="277"/>
  <c r="BH62" i="328"/>
  <c r="AI73" i="328" s="1"/>
  <c r="BI234" i="321"/>
  <c r="BI237" i="321" s="1"/>
  <c r="BI190" i="321"/>
  <c r="BI116" i="321"/>
  <c r="BI112" i="321"/>
  <c r="BI114" i="321" s="1"/>
  <c r="BI252" i="288"/>
  <c r="BI102" i="288"/>
  <c r="BK30" i="315"/>
  <c r="BK32" i="265"/>
  <c r="BL152" i="282"/>
  <c r="BL155" i="282" s="1"/>
  <c r="BL115" i="282"/>
  <c r="BL47" i="282"/>
  <c r="BL84" i="282"/>
  <c r="BL87" i="282" s="1"/>
  <c r="BL23" i="282"/>
  <c r="BL24" i="282" s="1"/>
  <c r="BM21" i="282" s="1"/>
  <c r="BK94" i="282"/>
  <c r="BK162" i="282"/>
  <c r="BL160" i="282" l="1"/>
  <c r="BK121" i="315"/>
  <c r="BL92" i="282"/>
  <c r="BK125" i="265"/>
  <c r="BM10" i="282"/>
  <c r="BM12" i="282" s="1"/>
  <c r="BL93" i="282"/>
  <c r="BL88" i="282"/>
  <c r="BL156" i="282"/>
  <c r="BL161" i="282"/>
  <c r="BI121" i="321"/>
  <c r="BI122" i="321" s="1"/>
  <c r="BI128" i="321" s="1"/>
  <c r="BI134" i="321" s="1"/>
  <c r="BI258" i="321" s="1"/>
  <c r="BI117" i="321"/>
  <c r="BI118" i="321" s="1"/>
  <c r="BI127" i="321" s="1"/>
  <c r="BI133" i="321" s="1"/>
  <c r="BI146" i="321" s="1"/>
  <c r="BJ187" i="321"/>
  <c r="BI115" i="315"/>
  <c r="BI268" i="288"/>
  <c r="BI118" i="288"/>
  <c r="BI119" i="265"/>
  <c r="BI62" i="328" s="1"/>
  <c r="BI242" i="321"/>
  <c r="BI243" i="321" s="1"/>
  <c r="BI361" i="321"/>
  <c r="BI98" i="282"/>
  <c r="BI251" i="288"/>
  <c r="BI238" i="321"/>
  <c r="BI101" i="288"/>
  <c r="BI28" i="282"/>
  <c r="BI164" i="321"/>
  <c r="BI166" i="321" s="1"/>
  <c r="BI49" i="321"/>
  <c r="BH29" i="282"/>
  <c r="BH245" i="321"/>
  <c r="BH78" i="321"/>
  <c r="BH145" i="321"/>
  <c r="BH148" i="321" s="1"/>
  <c r="BH257" i="321"/>
  <c r="BH260" i="321" s="1"/>
  <c r="BG175" i="321"/>
  <c r="BG176" i="321" s="1"/>
  <c r="BG287" i="321"/>
  <c r="BG288" i="321" s="1"/>
  <c r="BF81" i="311"/>
  <c r="AQ20" i="315"/>
  <c r="AQ68" i="315"/>
  <c r="AQ22" i="265"/>
  <c r="AQ72" i="265"/>
  <c r="AQ76" i="265"/>
  <c r="AQ72" i="315"/>
  <c r="AR433" i="321"/>
  <c r="AQ271" i="288"/>
  <c r="AQ121" i="288"/>
  <c r="AQ122" i="265"/>
  <c r="AQ118" i="315"/>
  <c r="AQ260" i="288"/>
  <c r="AQ262" i="288" s="1"/>
  <c r="AQ71" i="265"/>
  <c r="AQ19" i="315"/>
  <c r="AQ67" i="315"/>
  <c r="AQ21" i="265"/>
  <c r="AQ110" i="288"/>
  <c r="AQ112" i="288" s="1"/>
  <c r="AQ369" i="321"/>
  <c r="AQ75" i="265"/>
  <c r="AQ71" i="315"/>
  <c r="AR401" i="321"/>
  <c r="AQ121" i="265"/>
  <c r="AQ270" i="288"/>
  <c r="AQ120" i="288"/>
  <c r="AQ117" i="315"/>
  <c r="AN107" i="282"/>
  <c r="AN174" i="314"/>
  <c r="AN39" i="282"/>
  <c r="AM32" i="314"/>
  <c r="BJ299" i="321"/>
  <c r="BI269" i="288"/>
  <c r="BI119" i="288"/>
  <c r="BI116" i="315"/>
  <c r="BI120" i="265"/>
  <c r="BI63" i="328" s="1"/>
  <c r="BI354" i="321"/>
  <c r="BI363" i="321"/>
  <c r="BI99" i="282"/>
  <c r="BI50" i="321"/>
  <c r="BI30" i="282"/>
  <c r="BI253" i="288"/>
  <c r="BI350" i="321"/>
  <c r="BI103" i="288"/>
  <c r="BI276" i="321"/>
  <c r="BI278" i="321" s="1"/>
  <c r="BH356" i="321"/>
  <c r="BG70" i="265"/>
  <c r="BG20" i="265"/>
  <c r="AQ54" i="315"/>
  <c r="AQ56" i="265"/>
  <c r="AQ51" i="315"/>
  <c r="AQ53" i="265"/>
  <c r="AR684" i="321"/>
  <c r="AQ123" i="265"/>
  <c r="AQ119" i="315"/>
  <c r="AQ80" i="315"/>
  <c r="AQ26" i="265"/>
  <c r="AQ24" i="315"/>
  <c r="AQ84" i="265"/>
  <c r="AR693" i="321" l="1"/>
  <c r="AR695" i="321" s="1"/>
  <c r="AR699" i="321" s="1"/>
  <c r="AR702" i="321" s="1"/>
  <c r="AR706" i="321" s="1"/>
  <c r="AR709" i="321" s="1"/>
  <c r="AR711" i="321" s="1"/>
  <c r="AR712" i="321"/>
  <c r="AR673" i="321"/>
  <c r="AR676" i="321" s="1"/>
  <c r="BH31" i="282"/>
  <c r="BH357" i="321"/>
  <c r="BI283" i="321"/>
  <c r="BI19" i="265"/>
  <c r="BI69" i="265"/>
  <c r="BI18" i="315"/>
  <c r="BI66" i="315"/>
  <c r="BI355" i="321"/>
  <c r="BJ346" i="321"/>
  <c r="BJ349" i="321" s="1"/>
  <c r="BJ302" i="321"/>
  <c r="BJ104" i="288"/>
  <c r="BJ113" i="321"/>
  <c r="BJ254" i="288"/>
  <c r="BJ120" i="321"/>
  <c r="AN81" i="265"/>
  <c r="Y81" i="277" s="1"/>
  <c r="AN26" i="315"/>
  <c r="AN77" i="315"/>
  <c r="AN28" i="265"/>
  <c r="Y28" i="277" s="1"/>
  <c r="AR395" i="321"/>
  <c r="AR397" i="321" s="1"/>
  <c r="AR379" i="321"/>
  <c r="AR381" i="321" s="1"/>
  <c r="AR106" i="288"/>
  <c r="AR256" i="288"/>
  <c r="AQ16" i="314"/>
  <c r="AQ79" i="288"/>
  <c r="AQ142" i="288"/>
  <c r="AQ143" i="288" s="1"/>
  <c r="AQ216" i="288"/>
  <c r="AQ21" i="328"/>
  <c r="AQ229" i="288"/>
  <c r="AQ66" i="288"/>
  <c r="AQ103" i="314"/>
  <c r="AQ110" i="314"/>
  <c r="AQ23" i="314"/>
  <c r="AR427" i="321"/>
  <c r="AR429" i="321" s="1"/>
  <c r="AR411" i="321"/>
  <c r="AR413" i="321" s="1"/>
  <c r="AR108" i="288"/>
  <c r="AR258" i="288"/>
  <c r="BG41" i="311"/>
  <c r="BG82" i="311" s="1"/>
  <c r="BG40" i="311"/>
  <c r="BH282" i="321"/>
  <c r="BH284" i="321" s="1"/>
  <c r="BH170" i="321"/>
  <c r="BH172" i="321" s="1"/>
  <c r="BH68" i="265"/>
  <c r="AI68" i="277" s="1"/>
  <c r="BH18" i="265"/>
  <c r="AI18" i="277" s="1"/>
  <c r="BI52" i="321"/>
  <c r="BI171" i="321"/>
  <c r="BI65" i="315"/>
  <c r="BI17" i="265"/>
  <c r="BI67" i="265"/>
  <c r="BI17" i="315"/>
  <c r="BI244" i="321"/>
  <c r="BJ234" i="321"/>
  <c r="BJ237" i="321" s="1"/>
  <c r="BJ190" i="321"/>
  <c r="BJ252" i="288"/>
  <c r="BJ116" i="321"/>
  <c r="BJ102" i="288"/>
  <c r="BJ112" i="321"/>
  <c r="BJ114" i="321" s="1"/>
  <c r="BL30" i="315"/>
  <c r="BL32" i="265"/>
  <c r="AK32" i="277" s="1"/>
  <c r="BM152" i="282"/>
  <c r="BM155" i="282" s="1"/>
  <c r="BM115" i="282"/>
  <c r="BM47" i="282"/>
  <c r="BM84" i="282"/>
  <c r="BM87" i="282" s="1"/>
  <c r="BM23" i="282"/>
  <c r="BM24" i="282" s="1"/>
  <c r="BN21" i="282" s="1"/>
  <c r="BL94" i="282"/>
  <c r="BL162" i="282"/>
  <c r="BM160" i="282" l="1"/>
  <c r="BL121" i="315"/>
  <c r="BM92" i="282"/>
  <c r="BL125" i="265"/>
  <c r="AK125" i="277" s="1"/>
  <c r="BN10" i="282"/>
  <c r="BN12" i="282" s="1"/>
  <c r="BM93" i="282"/>
  <c r="BM88" i="282"/>
  <c r="BM156" i="282"/>
  <c r="BM161" i="282"/>
  <c r="BJ121" i="321"/>
  <c r="BJ122" i="321" s="1"/>
  <c r="BJ128" i="321" s="1"/>
  <c r="BJ134" i="321" s="1"/>
  <c r="BJ258" i="321" s="1"/>
  <c r="BJ117" i="321"/>
  <c r="BJ118" i="321" s="1"/>
  <c r="BJ127" i="321" s="1"/>
  <c r="BJ133" i="321" s="1"/>
  <c r="BJ146" i="321" s="1"/>
  <c r="BK187" i="321"/>
  <c r="BJ115" i="315"/>
  <c r="BJ268" i="288"/>
  <c r="BJ118" i="288"/>
  <c r="BJ119" i="265"/>
  <c r="BJ242" i="321"/>
  <c r="BJ243" i="321" s="1"/>
  <c r="BJ361" i="321"/>
  <c r="BJ98" i="282"/>
  <c r="BJ238" i="321"/>
  <c r="BJ28" i="282"/>
  <c r="BJ164" i="321"/>
  <c r="BJ166" i="321" s="1"/>
  <c r="BJ101" i="288"/>
  <c r="BJ49" i="321"/>
  <c r="BJ251" i="288"/>
  <c r="BI29" i="282"/>
  <c r="BI245" i="321"/>
  <c r="BI78" i="321"/>
  <c r="BI257" i="321"/>
  <c r="BI260" i="321" s="1"/>
  <c r="BI145" i="321"/>
  <c r="BI148" i="321" s="1"/>
  <c r="BH175" i="321"/>
  <c r="BH176" i="321" s="1"/>
  <c r="BH287" i="321"/>
  <c r="BH288" i="321" s="1"/>
  <c r="BG81" i="311"/>
  <c r="AR368" i="321"/>
  <c r="AR435" i="321"/>
  <c r="AR436" i="321" s="1"/>
  <c r="AR414" i="321"/>
  <c r="AR367" i="321"/>
  <c r="AR101" i="282"/>
  <c r="AR430" i="321"/>
  <c r="AR33" i="282"/>
  <c r="AR107" i="288"/>
  <c r="AR257" i="288"/>
  <c r="AO105" i="314"/>
  <c r="AO109" i="314" s="1"/>
  <c r="AO112" i="314" s="1"/>
  <c r="AO115" i="314" s="1"/>
  <c r="AQ231" i="288"/>
  <c r="AQ240" i="288" s="1"/>
  <c r="AQ146" i="288"/>
  <c r="AQ81" i="288"/>
  <c r="AQ90" i="288" s="1"/>
  <c r="AO18" i="314"/>
  <c r="AO22" i="314" s="1"/>
  <c r="AO25" i="314" s="1"/>
  <c r="AR366" i="321"/>
  <c r="AR403" i="321"/>
  <c r="AR404" i="321" s="1"/>
  <c r="AR382" i="321"/>
  <c r="AR365" i="321"/>
  <c r="AR369" i="321" s="1"/>
  <c r="AR100" i="282"/>
  <c r="AR105" i="288"/>
  <c r="AR110" i="288" s="1"/>
  <c r="AR112" i="288" s="1"/>
  <c r="AR255" i="288"/>
  <c r="AR260" i="288" s="1"/>
  <c r="AR262" i="288" s="1"/>
  <c r="AR32" i="282"/>
  <c r="AR398" i="321"/>
  <c r="BK299" i="321"/>
  <c r="BJ116" i="315"/>
  <c r="BJ120" i="265"/>
  <c r="BJ269" i="288"/>
  <c r="BJ119" i="288"/>
  <c r="BJ354" i="321"/>
  <c r="BJ363" i="321"/>
  <c r="BJ99" i="282"/>
  <c r="BJ350" i="321"/>
  <c r="BJ276" i="321"/>
  <c r="BJ278" i="321" s="1"/>
  <c r="BJ253" i="288"/>
  <c r="BJ50" i="321"/>
  <c r="BJ30" i="282"/>
  <c r="BJ103" i="288"/>
  <c r="BI356" i="321"/>
  <c r="BH70" i="265"/>
  <c r="AI70" i="277" s="1"/>
  <c r="BH20" i="265"/>
  <c r="AI20" i="277" s="1"/>
  <c r="AR679" i="321"/>
  <c r="AR680" i="321" s="1"/>
  <c r="AR442" i="321"/>
  <c r="AR443" i="321" s="1"/>
  <c r="AR714" i="321"/>
  <c r="AR715" i="321" l="1"/>
  <c r="AR102" i="282"/>
  <c r="AR34" i="282"/>
  <c r="AR46" i="288"/>
  <c r="AR529" i="321"/>
  <c r="AR446" i="321"/>
  <c r="AR447" i="321" s="1"/>
  <c r="AR485" i="321"/>
  <c r="AR196" i="288"/>
  <c r="AR687" i="321"/>
  <c r="AR688" i="321" s="1"/>
  <c r="AR681" i="321"/>
  <c r="BI31" i="282"/>
  <c r="BI357" i="321"/>
  <c r="BJ283" i="321"/>
  <c r="BJ66" i="315"/>
  <c r="BJ19" i="265"/>
  <c r="AJ19" i="277" s="1"/>
  <c r="BJ69" i="265"/>
  <c r="AJ69" i="277" s="1"/>
  <c r="BJ18" i="315"/>
  <c r="BJ355" i="321"/>
  <c r="AJ120" i="277"/>
  <c r="BJ63" i="328"/>
  <c r="AJ74" i="328" s="1"/>
  <c r="BK346" i="321"/>
  <c r="BK349" i="321" s="1"/>
  <c r="BK302" i="321"/>
  <c r="BK120" i="321"/>
  <c r="BK254" i="288"/>
  <c r="BK104" i="288"/>
  <c r="BK113" i="321"/>
  <c r="AR67" i="315"/>
  <c r="AR21" i="265"/>
  <c r="AA21" i="277" s="1"/>
  <c r="AR71" i="265"/>
  <c r="AA71" i="277" s="1"/>
  <c r="AR19" i="315"/>
  <c r="AR16" i="314"/>
  <c r="AR103" i="314"/>
  <c r="AR21" i="328"/>
  <c r="AA41" i="328" s="1"/>
  <c r="AR66" i="288"/>
  <c r="AR110" i="314"/>
  <c r="AR216" i="288"/>
  <c r="AR229" i="288"/>
  <c r="AR142" i="288"/>
  <c r="AR143" i="288" s="1"/>
  <c r="AR79" i="288"/>
  <c r="AR23" i="314"/>
  <c r="AR75" i="265"/>
  <c r="AA75" i="277" s="1"/>
  <c r="AR71" i="315"/>
  <c r="AS401" i="321"/>
  <c r="AR120" i="288"/>
  <c r="AR117" i="315"/>
  <c r="AR121" i="265"/>
  <c r="AA121" i="277" s="1"/>
  <c r="AR270" i="288"/>
  <c r="AO27" i="314"/>
  <c r="AN29" i="314" s="1"/>
  <c r="AO171" i="314"/>
  <c r="AO173" i="314" s="1"/>
  <c r="AO36" i="314"/>
  <c r="AO88" i="314"/>
  <c r="AR20" i="315"/>
  <c r="AR68" i="315"/>
  <c r="AR22" i="265"/>
  <c r="AA22" i="277" s="1"/>
  <c r="AR72" i="265"/>
  <c r="AA72" i="277" s="1"/>
  <c r="AR72" i="315"/>
  <c r="AR76" i="265"/>
  <c r="AA76" i="277" s="1"/>
  <c r="AS433" i="321"/>
  <c r="AR122" i="265"/>
  <c r="AA122" i="277" s="1"/>
  <c r="AR118" i="315"/>
  <c r="AR271" i="288"/>
  <c r="AR121" i="288"/>
  <c r="BH41" i="311"/>
  <c r="BH82" i="311" s="1"/>
  <c r="BH40" i="311"/>
  <c r="BI170" i="321"/>
  <c r="BI172" i="321" s="1"/>
  <c r="BI282" i="321"/>
  <c r="BI284" i="321" s="1"/>
  <c r="BI68" i="265"/>
  <c r="BI18" i="265"/>
  <c r="BJ52" i="321"/>
  <c r="BJ171" i="321"/>
  <c r="BJ17" i="265"/>
  <c r="AJ17" i="277" s="1"/>
  <c r="BJ67" i="265"/>
  <c r="AJ67" i="277" s="1"/>
  <c r="BJ17" i="315"/>
  <c r="BJ65" i="315"/>
  <c r="BJ244" i="321"/>
  <c r="BJ62" i="328"/>
  <c r="AJ73" i="328" s="1"/>
  <c r="AJ119" i="277"/>
  <c r="BK234" i="321"/>
  <c r="BK237" i="321" s="1"/>
  <c r="BK190" i="321"/>
  <c r="BK102" i="288"/>
  <c r="BK112" i="321"/>
  <c r="BK114" i="321" s="1"/>
  <c r="BK116" i="321"/>
  <c r="BK252" i="288"/>
  <c r="BM30" i="315"/>
  <c r="BM32" i="265"/>
  <c r="BN152" i="282"/>
  <c r="BN155" i="282" s="1"/>
  <c r="BN115" i="282"/>
  <c r="BN47" i="282"/>
  <c r="BN84" i="282"/>
  <c r="BN87" i="282" s="1"/>
  <c r="BN23" i="282"/>
  <c r="BN24" i="282" s="1"/>
  <c r="BO21" i="282" s="1"/>
  <c r="BM94" i="282"/>
  <c r="BM162" i="282"/>
  <c r="BN160" i="282" l="1"/>
  <c r="BM121" i="315"/>
  <c r="BN92" i="282"/>
  <c r="BM125" i="265"/>
  <c r="BO10" i="282"/>
  <c r="BO12" i="282" s="1"/>
  <c r="BN93" i="282"/>
  <c r="BN88" i="282"/>
  <c r="BN156" i="282"/>
  <c r="BN161" i="282"/>
  <c r="BK121" i="321"/>
  <c r="BK122" i="321" s="1"/>
  <c r="BK128" i="321" s="1"/>
  <c r="BK134" i="321" s="1"/>
  <c r="BK258" i="321" s="1"/>
  <c r="BK117" i="321"/>
  <c r="BK118" i="321" s="1"/>
  <c r="BK127" i="321" s="1"/>
  <c r="BK133" i="321" s="1"/>
  <c r="BK146" i="321" s="1"/>
  <c r="BL187" i="321"/>
  <c r="BK268" i="288"/>
  <c r="BK118" i="288"/>
  <c r="BK119" i="265"/>
  <c r="BK62" i="328" s="1"/>
  <c r="BK115" i="315"/>
  <c r="BK242" i="321"/>
  <c r="BK243" i="321" s="1"/>
  <c r="BK361" i="321"/>
  <c r="BK98" i="282"/>
  <c r="BK28" i="282"/>
  <c r="BK164" i="321"/>
  <c r="BK166" i="321" s="1"/>
  <c r="BK49" i="321"/>
  <c r="BK251" i="288"/>
  <c r="BK238" i="321"/>
  <c r="BK101" i="288"/>
  <c r="BJ29" i="282"/>
  <c r="BJ245" i="321"/>
  <c r="BJ257" i="321"/>
  <c r="BJ260" i="321" s="1"/>
  <c r="BJ78" i="321"/>
  <c r="BJ145" i="321"/>
  <c r="BJ148" i="321" s="1"/>
  <c r="BI287" i="321"/>
  <c r="BI288" i="321" s="1"/>
  <c r="BI175" i="321"/>
  <c r="BI176" i="321" s="1"/>
  <c r="BH81" i="311"/>
  <c r="AS427" i="321"/>
  <c r="AS429" i="321" s="1"/>
  <c r="AS411" i="321"/>
  <c r="AS413" i="321" s="1"/>
  <c r="AS108" i="288"/>
  <c r="AS258" i="288"/>
  <c r="AO107" i="282"/>
  <c r="AO39" i="282"/>
  <c r="AO174" i="314"/>
  <c r="AN32" i="314"/>
  <c r="AS395" i="321"/>
  <c r="AS397" i="321" s="1"/>
  <c r="AS379" i="321"/>
  <c r="AS381" i="321" s="1"/>
  <c r="AS256" i="288"/>
  <c r="AS106" i="288"/>
  <c r="AR81" i="288"/>
  <c r="AR90" i="288" s="1"/>
  <c r="AR146" i="288"/>
  <c r="AR231" i="288"/>
  <c r="AR240" i="288" s="1"/>
  <c r="AP105" i="314"/>
  <c r="AP109" i="314" s="1"/>
  <c r="AP112" i="314" s="1"/>
  <c r="AP115" i="314" s="1"/>
  <c r="AP18" i="314"/>
  <c r="AP22" i="314" s="1"/>
  <c r="AP25" i="314" s="1"/>
  <c r="BL299" i="321"/>
  <c r="BK269" i="288"/>
  <c r="BK119" i="288"/>
  <c r="BK116" i="315"/>
  <c r="BK120" i="265"/>
  <c r="BK63" i="328" s="1"/>
  <c r="BK354" i="321"/>
  <c r="BK363" i="321"/>
  <c r="BK99" i="282"/>
  <c r="BK350" i="321"/>
  <c r="BK253" i="288"/>
  <c r="BK30" i="282"/>
  <c r="BK103" i="288"/>
  <c r="BK276" i="321"/>
  <c r="BK278" i="321" s="1"/>
  <c r="BK50" i="321"/>
  <c r="BJ356" i="321"/>
  <c r="BI70" i="265"/>
  <c r="BI20" i="265"/>
  <c r="AR53" i="265"/>
  <c r="AA53" i="277" s="1"/>
  <c r="AR51" i="315"/>
  <c r="AS684" i="321"/>
  <c r="AR119" i="315"/>
  <c r="AR123" i="265"/>
  <c r="AA123" i="277" s="1"/>
  <c r="AR54" i="315"/>
  <c r="AR56" i="265"/>
  <c r="AA56" i="277" s="1"/>
  <c r="AR24" i="315"/>
  <c r="AR26" i="265"/>
  <c r="AA26" i="277" s="1"/>
  <c r="AR80" i="315"/>
  <c r="AR84" i="265"/>
  <c r="AA84" i="277" s="1"/>
  <c r="AS693" i="321" l="1"/>
  <c r="AS695" i="321" s="1"/>
  <c r="AS699" i="321" s="1"/>
  <c r="AS702" i="321" s="1"/>
  <c r="AS706" i="321" s="1"/>
  <c r="AS709" i="321" s="1"/>
  <c r="AS711" i="321" s="1"/>
  <c r="AS712" i="321"/>
  <c r="AS673" i="321"/>
  <c r="AS676" i="321" s="1"/>
  <c r="BJ31" i="282"/>
  <c r="BJ357" i="321"/>
  <c r="BK283" i="321"/>
  <c r="BK66" i="315"/>
  <c r="BK19" i="265"/>
  <c r="BK18" i="315"/>
  <c r="BK69" i="265"/>
  <c r="BK355" i="321"/>
  <c r="BL346" i="321"/>
  <c r="BL349" i="321" s="1"/>
  <c r="BL302" i="321"/>
  <c r="BL254" i="288"/>
  <c r="BL120" i="321"/>
  <c r="BL104" i="288"/>
  <c r="BL113" i="321"/>
  <c r="AP27" i="314"/>
  <c r="AO29" i="314" s="1"/>
  <c r="AP36" i="314"/>
  <c r="AP88" i="314"/>
  <c r="AP171" i="314"/>
  <c r="AP173" i="314" s="1"/>
  <c r="AS366" i="321"/>
  <c r="AS403" i="321"/>
  <c r="AS404" i="321" s="1"/>
  <c r="AS382" i="321"/>
  <c r="AS365" i="321"/>
  <c r="AS255" i="288"/>
  <c r="AS105" i="288"/>
  <c r="AS100" i="282"/>
  <c r="AS398" i="321"/>
  <c r="AS32" i="282"/>
  <c r="AO26" i="315"/>
  <c r="AO77" i="315"/>
  <c r="AO28" i="265"/>
  <c r="AO81" i="265"/>
  <c r="AS368" i="321"/>
  <c r="AS435" i="321"/>
  <c r="AS436" i="321" s="1"/>
  <c r="AS414" i="321"/>
  <c r="AS367" i="321"/>
  <c r="AS257" i="288"/>
  <c r="AS107" i="288"/>
  <c r="AS101" i="282"/>
  <c r="AS430" i="321"/>
  <c r="AS33" i="282"/>
  <c r="BI40" i="311"/>
  <c r="BI41" i="311"/>
  <c r="BI82" i="311" s="1"/>
  <c r="BJ170" i="321"/>
  <c r="BJ172" i="321" s="1"/>
  <c r="BJ282" i="321"/>
  <c r="BJ284" i="321" s="1"/>
  <c r="BJ68" i="265"/>
  <c r="AJ68" i="277" s="1"/>
  <c r="BJ18" i="265"/>
  <c r="AJ18" i="277" s="1"/>
  <c r="BK67" i="265"/>
  <c r="BK17" i="315"/>
  <c r="BK65" i="315"/>
  <c r="BK17" i="265"/>
  <c r="BK52" i="321"/>
  <c r="BK171" i="321"/>
  <c r="BK244" i="321"/>
  <c r="BL234" i="321"/>
  <c r="BL237" i="321" s="1"/>
  <c r="BL190" i="321"/>
  <c r="BL252" i="288"/>
  <c r="BL112" i="321"/>
  <c r="BL114" i="321" s="1"/>
  <c r="BL102" i="288"/>
  <c r="BL116" i="321"/>
  <c r="BN30" i="315"/>
  <c r="BN32" i="265"/>
  <c r="AL32" i="277" s="1"/>
  <c r="BO152" i="282"/>
  <c r="BO155" i="282" s="1"/>
  <c r="BO115" i="282"/>
  <c r="BO47" i="282"/>
  <c r="BO84" i="282"/>
  <c r="BO87" i="282" s="1"/>
  <c r="BO23" i="282"/>
  <c r="BO24" i="282" s="1"/>
  <c r="BP21" i="282" s="1"/>
  <c r="BN94" i="282"/>
  <c r="BN162" i="282"/>
  <c r="BO160" i="282" l="1"/>
  <c r="BN121" i="315"/>
  <c r="BO92" i="282"/>
  <c r="BN125" i="265"/>
  <c r="AL125" i="277" s="1"/>
  <c r="BP10" i="282"/>
  <c r="BP12" i="282" s="1"/>
  <c r="BO93" i="282"/>
  <c r="BO88" i="282"/>
  <c r="BO156" i="282"/>
  <c r="BO161" i="282"/>
  <c r="BL117" i="321"/>
  <c r="BL118" i="321" s="1"/>
  <c r="BL127" i="321" s="1"/>
  <c r="BL133" i="321" s="1"/>
  <c r="BL146" i="321" s="1"/>
  <c r="BL121" i="321"/>
  <c r="BL122" i="321" s="1"/>
  <c r="BL128" i="321" s="1"/>
  <c r="BL134" i="321" s="1"/>
  <c r="BL258" i="321" s="1"/>
  <c r="BM187" i="321"/>
  <c r="BL268" i="288"/>
  <c r="BL118" i="288"/>
  <c r="BL119" i="265"/>
  <c r="BL115" i="315"/>
  <c r="BL242" i="321"/>
  <c r="BL243" i="321" s="1"/>
  <c r="BL361" i="321"/>
  <c r="BL98" i="282"/>
  <c r="BL251" i="288"/>
  <c r="BL101" i="288"/>
  <c r="BL238" i="321"/>
  <c r="BL164" i="321"/>
  <c r="BL166" i="321" s="1"/>
  <c r="BL28" i="282"/>
  <c r="BL49" i="321"/>
  <c r="BK29" i="282"/>
  <c r="BK245" i="321"/>
  <c r="BK78" i="321"/>
  <c r="BK145" i="321"/>
  <c r="BK148" i="321" s="1"/>
  <c r="BK257" i="321"/>
  <c r="BK260" i="321" s="1"/>
  <c r="BJ287" i="321"/>
  <c r="BJ288" i="321" s="1"/>
  <c r="BJ175" i="321"/>
  <c r="BJ176" i="321" s="1"/>
  <c r="BI81" i="311"/>
  <c r="AS68" i="315"/>
  <c r="AS22" i="265"/>
  <c r="AS72" i="265"/>
  <c r="AS20" i="315"/>
  <c r="AS76" i="265"/>
  <c r="AS72" i="315"/>
  <c r="AT433" i="321"/>
  <c r="AS118" i="315"/>
  <c r="AS271" i="288"/>
  <c r="AS121" i="288"/>
  <c r="AS122" i="265"/>
  <c r="AS21" i="265"/>
  <c r="AS71" i="265"/>
  <c r="AS19" i="315"/>
  <c r="AS67" i="315"/>
  <c r="AS110" i="288"/>
  <c r="AS112" i="288" s="1"/>
  <c r="AS260" i="288"/>
  <c r="AS262" i="288" s="1"/>
  <c r="AS369" i="321"/>
  <c r="AS75" i="265"/>
  <c r="AS71" i="315"/>
  <c r="AT401" i="321"/>
  <c r="AS270" i="288"/>
  <c r="AS120" i="288"/>
  <c r="AS117" i="315"/>
  <c r="AS121" i="265"/>
  <c r="AP107" i="282"/>
  <c r="AP39" i="282"/>
  <c r="AP174" i="314"/>
  <c r="AO32" i="314"/>
  <c r="BM299" i="321"/>
  <c r="BL119" i="288"/>
  <c r="BL116" i="315"/>
  <c r="BL120" i="265"/>
  <c r="BL269" i="288"/>
  <c r="BL354" i="321"/>
  <c r="BL363" i="321"/>
  <c r="BL99" i="282"/>
  <c r="BL350" i="321"/>
  <c r="BL276" i="321"/>
  <c r="BL278" i="321" s="1"/>
  <c r="BL50" i="321"/>
  <c r="BL30" i="282"/>
  <c r="BL253" i="288"/>
  <c r="BL103" i="288"/>
  <c r="BK356" i="321"/>
  <c r="BJ70" i="265"/>
  <c r="AJ70" i="277" s="1"/>
  <c r="BJ20" i="265"/>
  <c r="AJ20" i="277" s="1"/>
  <c r="AS679" i="321"/>
  <c r="AS680" i="321" s="1"/>
  <c r="AS442" i="321"/>
  <c r="AS443" i="321" s="1"/>
  <c r="AS714" i="321"/>
  <c r="AS102" i="282" l="1"/>
  <c r="AS34" i="282"/>
  <c r="AS715" i="321"/>
  <c r="AS46" i="288"/>
  <c r="AS446" i="321"/>
  <c r="AS447" i="321" s="1"/>
  <c r="AS529" i="321"/>
  <c r="AS485" i="321"/>
  <c r="AS196" i="288"/>
  <c r="AS687" i="321"/>
  <c r="AS688" i="321" s="1"/>
  <c r="AS681" i="321"/>
  <c r="BK31" i="282"/>
  <c r="BK357" i="321"/>
  <c r="BL283" i="321"/>
  <c r="BL66" i="315"/>
  <c r="BL19" i="265"/>
  <c r="AK19" i="277" s="1"/>
  <c r="BL69" i="265"/>
  <c r="AK69" i="277" s="1"/>
  <c r="BL18" i="315"/>
  <c r="BL355" i="321"/>
  <c r="AK120" i="277"/>
  <c r="BL63" i="328"/>
  <c r="AK74" i="328" s="1"/>
  <c r="BM346" i="321"/>
  <c r="BM349" i="321" s="1"/>
  <c r="BM302" i="321"/>
  <c r="BM120" i="321"/>
  <c r="BM254" i="288"/>
  <c r="BM104" i="288"/>
  <c r="BM113" i="321"/>
  <c r="AP28" i="265"/>
  <c r="Z28" i="277" s="1"/>
  <c r="AP81" i="265"/>
  <c r="Z81" i="277" s="1"/>
  <c r="AP26" i="315"/>
  <c r="AP77" i="315"/>
  <c r="AT395" i="321"/>
  <c r="AT397" i="321" s="1"/>
  <c r="AT379" i="321"/>
  <c r="AT381" i="321" s="1"/>
  <c r="AT106" i="288"/>
  <c r="AT256" i="288"/>
  <c r="AS16" i="314"/>
  <c r="AS21" i="328"/>
  <c r="AS23" i="314"/>
  <c r="AS103" i="314"/>
  <c r="AS216" i="288"/>
  <c r="AS66" i="288"/>
  <c r="AS79" i="288"/>
  <c r="AS110" i="314"/>
  <c r="AS229" i="288"/>
  <c r="AS142" i="288"/>
  <c r="AS143" i="288" s="1"/>
  <c r="AT427" i="321"/>
  <c r="AT429" i="321" s="1"/>
  <c r="AT411" i="321"/>
  <c r="AT413" i="321" s="1"/>
  <c r="AT108" i="288"/>
  <c r="AT258" i="288"/>
  <c r="BJ40" i="311"/>
  <c r="BJ41" i="311"/>
  <c r="BJ82" i="311" s="1"/>
  <c r="BK282" i="321"/>
  <c r="BK284" i="321" s="1"/>
  <c r="BK170" i="321"/>
  <c r="BK172" i="321" s="1"/>
  <c r="BK68" i="265"/>
  <c r="BK18" i="265"/>
  <c r="BL52" i="321"/>
  <c r="BL171" i="321"/>
  <c r="BL17" i="265"/>
  <c r="AK17" i="277" s="1"/>
  <c r="BL67" i="265"/>
  <c r="AK67" i="277" s="1"/>
  <c r="BL17" i="315"/>
  <c r="BL65" i="315"/>
  <c r="BL244" i="321"/>
  <c r="AK119" i="277"/>
  <c r="BL62" i="328"/>
  <c r="AK73" i="328" s="1"/>
  <c r="BM234" i="321"/>
  <c r="BM237" i="321" s="1"/>
  <c r="BM190" i="321"/>
  <c r="BM102" i="288"/>
  <c r="BM112" i="321"/>
  <c r="BM114" i="321" s="1"/>
  <c r="BM116" i="321"/>
  <c r="BM252" i="288"/>
  <c r="BO30" i="315"/>
  <c r="BO32" i="265"/>
  <c r="BP152" i="282"/>
  <c r="BP155" i="282" s="1"/>
  <c r="BP115" i="282"/>
  <c r="BP47" i="282"/>
  <c r="BP84" i="282"/>
  <c r="BP87" i="282" s="1"/>
  <c r="BP23" i="282"/>
  <c r="BP24" i="282" s="1"/>
  <c r="BQ21" i="282" s="1"/>
  <c r="BO94" i="282"/>
  <c r="BO162" i="282"/>
  <c r="BP160" i="282" l="1"/>
  <c r="BO121" i="315"/>
  <c r="BP92" i="282"/>
  <c r="BO125" i="265"/>
  <c r="BQ10" i="282"/>
  <c r="BQ12" i="282" s="1"/>
  <c r="BP93" i="282"/>
  <c r="BP88" i="282"/>
  <c r="BP156" i="282"/>
  <c r="BP161" i="282"/>
  <c r="BM117" i="321"/>
  <c r="BM118" i="321" s="1"/>
  <c r="BM127" i="321" s="1"/>
  <c r="BM133" i="321" s="1"/>
  <c r="BM146" i="321" s="1"/>
  <c r="BM121" i="321"/>
  <c r="BM122" i="321" s="1"/>
  <c r="BM128" i="321" s="1"/>
  <c r="BM134" i="321" s="1"/>
  <c r="BM258" i="321" s="1"/>
  <c r="BN187" i="321"/>
  <c r="BM268" i="288"/>
  <c r="BM118" i="288"/>
  <c r="BM119" i="265"/>
  <c r="BM62" i="328" s="1"/>
  <c r="BM115" i="315"/>
  <c r="BM242" i="321"/>
  <c r="BM243" i="321" s="1"/>
  <c r="BM361" i="321"/>
  <c r="BM98" i="282"/>
  <c r="BM49" i="321"/>
  <c r="BM251" i="288"/>
  <c r="BM238" i="321"/>
  <c r="BM101" i="288"/>
  <c r="BM28" i="282"/>
  <c r="BM164" i="321"/>
  <c r="BM166" i="321" s="1"/>
  <c r="BL29" i="282"/>
  <c r="BL245" i="321"/>
  <c r="BL257" i="321"/>
  <c r="BL260" i="321" s="1"/>
  <c r="BL145" i="321"/>
  <c r="BL148" i="321" s="1"/>
  <c r="BL78" i="321"/>
  <c r="BK175" i="321"/>
  <c r="BK176" i="321" s="1"/>
  <c r="BK287" i="321"/>
  <c r="BK288" i="321" s="1"/>
  <c r="BJ81" i="311"/>
  <c r="AT368" i="321"/>
  <c r="AT435" i="321"/>
  <c r="AT436" i="321" s="1"/>
  <c r="AT414" i="321"/>
  <c r="AT367" i="321"/>
  <c r="AT257" i="288"/>
  <c r="AT107" i="288"/>
  <c r="AT101" i="282"/>
  <c r="AT430" i="321"/>
  <c r="AT33" i="282"/>
  <c r="AS146" i="288"/>
  <c r="AS231" i="288"/>
  <c r="AS240" i="288" s="1"/>
  <c r="AS81" i="288"/>
  <c r="AS90" i="288" s="1"/>
  <c r="AQ105" i="314"/>
  <c r="AQ109" i="314" s="1"/>
  <c r="AQ112" i="314" s="1"/>
  <c r="AQ115" i="314" s="1"/>
  <c r="AQ18" i="314"/>
  <c r="AQ22" i="314" s="1"/>
  <c r="AQ25" i="314" s="1"/>
  <c r="AT366" i="321"/>
  <c r="AT403" i="321"/>
  <c r="AT404" i="321" s="1"/>
  <c r="AT382" i="321"/>
  <c r="AT365" i="321"/>
  <c r="AT369" i="321" s="1"/>
  <c r="AT255" i="288"/>
  <c r="AT260" i="288" s="1"/>
  <c r="AT262" i="288" s="1"/>
  <c r="AT105" i="288"/>
  <c r="AT110" i="288" s="1"/>
  <c r="AT112" i="288" s="1"/>
  <c r="AT100" i="282"/>
  <c r="AT398" i="321"/>
  <c r="AT32" i="282"/>
  <c r="BN299" i="321"/>
  <c r="BM120" i="265"/>
  <c r="BM63" i="328" s="1"/>
  <c r="BM269" i="288"/>
  <c r="BM119" i="288"/>
  <c r="BM116" i="315"/>
  <c r="BM354" i="321"/>
  <c r="BM363" i="321"/>
  <c r="BM99" i="282"/>
  <c r="BM350" i="321"/>
  <c r="BM103" i="288"/>
  <c r="BM276" i="321"/>
  <c r="BM278" i="321" s="1"/>
  <c r="BM50" i="321"/>
  <c r="BM30" i="282"/>
  <c r="BM253" i="288"/>
  <c r="BL356" i="321"/>
  <c r="BK70" i="265"/>
  <c r="BK20" i="265"/>
  <c r="AS53" i="265"/>
  <c r="AS51" i="315"/>
  <c r="AT684" i="321"/>
  <c r="AS123" i="265"/>
  <c r="AS119" i="315"/>
  <c r="AS56" i="265"/>
  <c r="AS54" i="315"/>
  <c r="AS26" i="265"/>
  <c r="AS24" i="315"/>
  <c r="AS84" i="265"/>
  <c r="AS80" i="315"/>
  <c r="AT693" i="321" l="1"/>
  <c r="AT695" i="321" s="1"/>
  <c r="AT699" i="321" s="1"/>
  <c r="AT702" i="321" s="1"/>
  <c r="AT706" i="321" s="1"/>
  <c r="AT709" i="321" s="1"/>
  <c r="AT711" i="321" s="1"/>
  <c r="AT712" i="321"/>
  <c r="AT673" i="321"/>
  <c r="AT676" i="321" s="1"/>
  <c r="BL31" i="282"/>
  <c r="BL357" i="321"/>
  <c r="BM283" i="321"/>
  <c r="BM69" i="265"/>
  <c r="BM18" i="315"/>
  <c r="BM66" i="315"/>
  <c r="BM19" i="265"/>
  <c r="BM355" i="321"/>
  <c r="BN346" i="321"/>
  <c r="BN349" i="321" s="1"/>
  <c r="BN302" i="321"/>
  <c r="BN254" i="288"/>
  <c r="BN120" i="321"/>
  <c r="BN104" i="288"/>
  <c r="BN113" i="321"/>
  <c r="AT71" i="265"/>
  <c r="AB71" i="277" s="1"/>
  <c r="AT19" i="315"/>
  <c r="AT67" i="315"/>
  <c r="AT21" i="265"/>
  <c r="AB21" i="277" s="1"/>
  <c r="AT16" i="314"/>
  <c r="AT142" i="288"/>
  <c r="AT143" i="288" s="1"/>
  <c r="AT66" i="288"/>
  <c r="AT103" i="314"/>
  <c r="AT216" i="288"/>
  <c r="AT23" i="314"/>
  <c r="AT79" i="288"/>
  <c r="AT110" i="314"/>
  <c r="AT229" i="288"/>
  <c r="AT21" i="328"/>
  <c r="AB41" i="328" s="1"/>
  <c r="AT71" i="315"/>
  <c r="AT75" i="265"/>
  <c r="AB75" i="277" s="1"/>
  <c r="AU401" i="321"/>
  <c r="AT270" i="288"/>
  <c r="AT120" i="288"/>
  <c r="AT117" i="315"/>
  <c r="AT121" i="265"/>
  <c r="AB121" i="277" s="1"/>
  <c r="AQ27" i="314"/>
  <c r="AP29" i="314" s="1"/>
  <c r="AQ36" i="314"/>
  <c r="AQ88" i="314"/>
  <c r="AQ171" i="314"/>
  <c r="AQ173" i="314" s="1"/>
  <c r="AT20" i="315"/>
  <c r="AT68" i="315"/>
  <c r="AT22" i="265"/>
  <c r="AB22" i="277" s="1"/>
  <c r="AT72" i="265"/>
  <c r="AB72" i="277" s="1"/>
  <c r="AT76" i="265"/>
  <c r="AB76" i="277" s="1"/>
  <c r="AT72" i="315"/>
  <c r="AU433" i="321"/>
  <c r="AT118" i="315"/>
  <c r="AT121" i="288"/>
  <c r="AT271" i="288"/>
  <c r="AT122" i="265"/>
  <c r="AB122" i="277" s="1"/>
  <c r="BK41" i="311"/>
  <c r="BK82" i="311" s="1"/>
  <c r="BK40" i="311"/>
  <c r="BL170" i="321"/>
  <c r="BL172" i="321" s="1"/>
  <c r="BL282" i="321"/>
  <c r="BL284" i="321" s="1"/>
  <c r="BL68" i="265"/>
  <c r="AK68" i="277" s="1"/>
  <c r="BL18" i="265"/>
  <c r="AK18" i="277" s="1"/>
  <c r="BM171" i="321"/>
  <c r="BM65" i="315"/>
  <c r="BM17" i="265"/>
  <c r="BM17" i="315"/>
  <c r="BM67" i="265"/>
  <c r="BM52" i="321"/>
  <c r="BM244" i="321"/>
  <c r="BN234" i="321"/>
  <c r="BN237" i="321" s="1"/>
  <c r="BN190" i="321"/>
  <c r="BN102" i="288"/>
  <c r="BN112" i="321"/>
  <c r="BN114" i="321" s="1"/>
  <c r="BN252" i="288"/>
  <c r="BN116" i="321"/>
  <c r="BP30" i="315"/>
  <c r="BP32" i="265"/>
  <c r="AM32" i="277" s="1"/>
  <c r="BQ152" i="282"/>
  <c r="BQ155" i="282" s="1"/>
  <c r="BQ115" i="282"/>
  <c r="BQ47" i="282"/>
  <c r="BQ84" i="282"/>
  <c r="BQ87" i="282" s="1"/>
  <c r="BQ23" i="282"/>
  <c r="BQ24" i="282" s="1"/>
  <c r="BR21" i="282" s="1"/>
  <c r="BP94" i="282"/>
  <c r="BP162" i="282"/>
  <c r="BQ160" i="282" l="1"/>
  <c r="BP121" i="315"/>
  <c r="BQ92" i="282"/>
  <c r="BP125" i="265"/>
  <c r="AM125" i="277" s="1"/>
  <c r="BR10" i="282"/>
  <c r="BR12" i="282" s="1"/>
  <c r="BQ93" i="282"/>
  <c r="BQ88" i="282"/>
  <c r="BQ156" i="282"/>
  <c r="BQ161" i="282"/>
  <c r="BN121" i="321"/>
  <c r="BN122" i="321" s="1"/>
  <c r="BN128" i="321" s="1"/>
  <c r="BN134" i="321" s="1"/>
  <c r="BN258" i="321" s="1"/>
  <c r="BN117" i="321"/>
  <c r="BN118" i="321" s="1"/>
  <c r="BN127" i="321" s="1"/>
  <c r="BN133" i="321" s="1"/>
  <c r="BN146" i="321" s="1"/>
  <c r="BO187" i="321"/>
  <c r="BN119" i="265"/>
  <c r="BN115" i="315"/>
  <c r="BN118" i="288"/>
  <c r="BN268" i="288"/>
  <c r="BN242" i="321"/>
  <c r="BN243" i="321" s="1"/>
  <c r="BN361" i="321"/>
  <c r="BN98" i="282"/>
  <c r="BN28" i="282"/>
  <c r="BN164" i="321"/>
  <c r="BN166" i="321" s="1"/>
  <c r="BN49" i="321"/>
  <c r="BN251" i="288"/>
  <c r="BN238" i="321"/>
  <c r="BN101" i="288"/>
  <c r="BM29" i="282"/>
  <c r="BM245" i="321"/>
  <c r="BM257" i="321"/>
  <c r="BM260" i="321" s="1"/>
  <c r="BM145" i="321"/>
  <c r="BM148" i="321" s="1"/>
  <c r="BM78" i="321"/>
  <c r="BL287" i="321"/>
  <c r="BL288" i="321" s="1"/>
  <c r="BL175" i="321"/>
  <c r="BL176" i="321" s="1"/>
  <c r="BK81" i="311"/>
  <c r="AU427" i="321"/>
  <c r="AU429" i="321" s="1"/>
  <c r="AU411" i="321"/>
  <c r="AU413" i="321" s="1"/>
  <c r="AU258" i="288"/>
  <c r="AU108" i="288"/>
  <c r="AQ107" i="282"/>
  <c r="AQ174" i="314"/>
  <c r="AQ39" i="282"/>
  <c r="AP32" i="314"/>
  <c r="AU395" i="321"/>
  <c r="AU397" i="321" s="1"/>
  <c r="AU379" i="321"/>
  <c r="AU381" i="321" s="1"/>
  <c r="AU256" i="288"/>
  <c r="AU106" i="288"/>
  <c r="AT231" i="288"/>
  <c r="AT240" i="288" s="1"/>
  <c r="AT81" i="288"/>
  <c r="AT90" i="288" s="1"/>
  <c r="AR105" i="314"/>
  <c r="AR109" i="314" s="1"/>
  <c r="AR112" i="314" s="1"/>
  <c r="AR115" i="314" s="1"/>
  <c r="AT146" i="288"/>
  <c r="AR18" i="314"/>
  <c r="AR22" i="314" s="1"/>
  <c r="AR25" i="314" s="1"/>
  <c r="BO299" i="321"/>
  <c r="BN269" i="288"/>
  <c r="BN119" i="288"/>
  <c r="BN116" i="315"/>
  <c r="BN120" i="265"/>
  <c r="BN354" i="321"/>
  <c r="BN363" i="321"/>
  <c r="BN99" i="282"/>
  <c r="BN50" i="321"/>
  <c r="BN30" i="282"/>
  <c r="BN103" i="288"/>
  <c r="BN350" i="321"/>
  <c r="BN276" i="321"/>
  <c r="BN278" i="321" s="1"/>
  <c r="BN253" i="288"/>
  <c r="BM356" i="321"/>
  <c r="BL70" i="265"/>
  <c r="AK70" i="277" s="1"/>
  <c r="BL20" i="265"/>
  <c r="AK20" i="277" s="1"/>
  <c r="AT442" i="321"/>
  <c r="AT443" i="321" s="1"/>
  <c r="AT679" i="321"/>
  <c r="AT680" i="321" s="1"/>
  <c r="AT714" i="321"/>
  <c r="AT102" i="282" l="1"/>
  <c r="AT715" i="321"/>
  <c r="AT34" i="282"/>
  <c r="AT687" i="321"/>
  <c r="AT688" i="321" s="1"/>
  <c r="AT681" i="321"/>
  <c r="AT46" i="288"/>
  <c r="AT446" i="321"/>
  <c r="AT447" i="321" s="1"/>
  <c r="AT529" i="321"/>
  <c r="AT485" i="321"/>
  <c r="AT196" i="288"/>
  <c r="BM31" i="282"/>
  <c r="BM357" i="321"/>
  <c r="BN283" i="321"/>
  <c r="BN18" i="315"/>
  <c r="BN66" i="315"/>
  <c r="BN19" i="265"/>
  <c r="AL19" i="277" s="1"/>
  <c r="BN69" i="265"/>
  <c r="AL69" i="277" s="1"/>
  <c r="BN355" i="321"/>
  <c r="BN63" i="328"/>
  <c r="AL74" i="328" s="1"/>
  <c r="AL120" i="277"/>
  <c r="BO346" i="321"/>
  <c r="BO349" i="321" s="1"/>
  <c r="BO302" i="321"/>
  <c r="BO104" i="288"/>
  <c r="BO113" i="321"/>
  <c r="BO120" i="321"/>
  <c r="BO254" i="288"/>
  <c r="AR27" i="314"/>
  <c r="AQ29" i="314" s="1"/>
  <c r="AR36" i="314"/>
  <c r="AR88" i="314"/>
  <c r="AR171" i="314"/>
  <c r="AR173" i="314" s="1"/>
  <c r="AU366" i="321"/>
  <c r="AU403" i="321"/>
  <c r="AU404" i="321" s="1"/>
  <c r="AU382" i="321"/>
  <c r="AU365" i="321"/>
  <c r="AU255" i="288"/>
  <c r="AU105" i="288"/>
  <c r="AU100" i="282"/>
  <c r="AU32" i="282"/>
  <c r="AU398" i="321"/>
  <c r="AQ81" i="265"/>
  <c r="AQ26" i="315"/>
  <c r="AQ77" i="315"/>
  <c r="AQ28" i="265"/>
  <c r="AU368" i="321"/>
  <c r="AU435" i="321"/>
  <c r="AU436" i="321" s="1"/>
  <c r="AU414" i="321"/>
  <c r="AU367" i="321"/>
  <c r="AU257" i="288"/>
  <c r="AU107" i="288"/>
  <c r="AU101" i="282"/>
  <c r="AU430" i="321"/>
  <c r="AU33" i="282"/>
  <c r="BL40" i="311"/>
  <c r="BL41" i="311"/>
  <c r="BL82" i="311" s="1"/>
  <c r="BM170" i="321"/>
  <c r="BM172" i="321" s="1"/>
  <c r="BM282" i="321"/>
  <c r="BM284" i="321" s="1"/>
  <c r="BM68" i="265"/>
  <c r="BM18" i="265"/>
  <c r="BN65" i="315"/>
  <c r="BN17" i="265"/>
  <c r="AL17" i="277" s="1"/>
  <c r="BN67" i="265"/>
  <c r="AL67" i="277" s="1"/>
  <c r="BN17" i="315"/>
  <c r="BN52" i="321"/>
  <c r="BN171" i="321"/>
  <c r="BN244" i="321"/>
  <c r="BN62" i="328"/>
  <c r="AL73" i="328" s="1"/>
  <c r="AL119" i="277"/>
  <c r="BO234" i="321"/>
  <c r="BO237" i="321" s="1"/>
  <c r="BO190" i="321"/>
  <c r="BO116" i="321"/>
  <c r="BO252" i="288"/>
  <c r="BO112" i="321"/>
  <c r="BO114" i="321" s="1"/>
  <c r="BO102" i="288"/>
  <c r="BQ30" i="315"/>
  <c r="BQ32" i="265"/>
  <c r="BR152" i="282"/>
  <c r="BR155" i="282" s="1"/>
  <c r="BR115" i="282"/>
  <c r="BR47" i="282"/>
  <c r="BR84" i="282"/>
  <c r="BR87" i="282" s="1"/>
  <c r="BR23" i="282"/>
  <c r="BR24" i="282" s="1"/>
  <c r="BS21" i="282" s="1"/>
  <c r="BQ94" i="282"/>
  <c r="BQ162" i="282"/>
  <c r="BR160" i="282" l="1"/>
  <c r="BQ121" i="315"/>
  <c r="BR92" i="282"/>
  <c r="BQ125" i="265"/>
  <c r="BS10" i="282"/>
  <c r="BS12" i="282" s="1"/>
  <c r="BR93" i="282"/>
  <c r="BR88" i="282"/>
  <c r="BR156" i="282"/>
  <c r="BR161" i="282"/>
  <c r="BO121" i="321"/>
  <c r="BO122" i="321" s="1"/>
  <c r="BO128" i="321" s="1"/>
  <c r="BO134" i="321" s="1"/>
  <c r="BO258" i="321" s="1"/>
  <c r="BO117" i="321"/>
  <c r="BO118" i="321" s="1"/>
  <c r="BO127" i="321" s="1"/>
  <c r="BO133" i="321" s="1"/>
  <c r="BO146" i="321" s="1"/>
  <c r="BP187" i="321"/>
  <c r="BO268" i="288"/>
  <c r="BO118" i="288"/>
  <c r="BO119" i="265"/>
  <c r="BO62" i="328" s="1"/>
  <c r="BO115" i="315"/>
  <c r="BO242" i="321"/>
  <c r="BO243" i="321" s="1"/>
  <c r="BO361" i="321"/>
  <c r="BO98" i="282"/>
  <c r="BO238" i="321"/>
  <c r="BO101" i="288"/>
  <c r="BO28" i="282"/>
  <c r="BO164" i="321"/>
  <c r="BO166" i="321" s="1"/>
  <c r="BO49" i="321"/>
  <c r="BO251" i="288"/>
  <c r="BN29" i="282"/>
  <c r="BN245" i="321"/>
  <c r="BN257" i="321"/>
  <c r="BN260" i="321" s="1"/>
  <c r="BN145" i="321"/>
  <c r="BN148" i="321" s="1"/>
  <c r="BN78" i="321"/>
  <c r="BM287" i="321"/>
  <c r="BM288" i="321" s="1"/>
  <c r="BM175" i="321"/>
  <c r="BM176" i="321" s="1"/>
  <c r="BL81" i="311"/>
  <c r="AU68" i="315"/>
  <c r="AU22" i="265"/>
  <c r="AU20" i="315"/>
  <c r="AU72" i="265"/>
  <c r="AU72" i="315"/>
  <c r="AU76" i="265"/>
  <c r="AV433" i="321"/>
  <c r="AU271" i="288"/>
  <c r="AU121" i="288"/>
  <c r="AU118" i="315"/>
  <c r="AU122" i="265"/>
  <c r="AU19" i="315"/>
  <c r="AU67" i="315"/>
  <c r="AU71" i="265"/>
  <c r="AU21" i="265"/>
  <c r="AU110" i="288"/>
  <c r="AU112" i="288" s="1"/>
  <c r="AU260" i="288"/>
  <c r="AU262" i="288" s="1"/>
  <c r="AU369" i="321"/>
  <c r="AU71" i="315"/>
  <c r="AU75" i="265"/>
  <c r="AV401" i="321"/>
  <c r="AU117" i="315"/>
  <c r="AU270" i="288"/>
  <c r="AU120" i="288"/>
  <c r="AU121" i="265"/>
  <c r="AR107" i="282"/>
  <c r="AR174" i="314"/>
  <c r="AR39" i="282"/>
  <c r="AQ32" i="314"/>
  <c r="BP299" i="321"/>
  <c r="BO120" i="265"/>
  <c r="BO63" i="328" s="1"/>
  <c r="BO269" i="288"/>
  <c r="BO119" i="288"/>
  <c r="BO116" i="315"/>
  <c r="BO354" i="321"/>
  <c r="BO363" i="321"/>
  <c r="BO99" i="282"/>
  <c r="BO350" i="321"/>
  <c r="BO103" i="288"/>
  <c r="BO276" i="321"/>
  <c r="BO278" i="321" s="1"/>
  <c r="BO50" i="321"/>
  <c r="BO30" i="282"/>
  <c r="BO253" i="288"/>
  <c r="BN356" i="321"/>
  <c r="BM70" i="265"/>
  <c r="BM20" i="265"/>
  <c r="AT56" i="265"/>
  <c r="AB56" i="277" s="1"/>
  <c r="AT54" i="315"/>
  <c r="AT53" i="265"/>
  <c r="AB53" i="277" s="1"/>
  <c r="AT51" i="315"/>
  <c r="AU684" i="321"/>
  <c r="AT119" i="315"/>
  <c r="AT123" i="265"/>
  <c r="AB123" i="277" s="1"/>
  <c r="AT26" i="265"/>
  <c r="AB26" i="277" s="1"/>
  <c r="AT24" i="315"/>
  <c r="AT84" i="265"/>
  <c r="AB84" i="277" s="1"/>
  <c r="AT80" i="315"/>
  <c r="AU673" i="321" l="1"/>
  <c r="AU676" i="321" s="1"/>
  <c r="AU693" i="321"/>
  <c r="AU695" i="321" s="1"/>
  <c r="AU699" i="321" s="1"/>
  <c r="AU702" i="321" s="1"/>
  <c r="AU706" i="321" s="1"/>
  <c r="AU709" i="321" s="1"/>
  <c r="AU711" i="321" s="1"/>
  <c r="AU712" i="321"/>
  <c r="BN31" i="282"/>
  <c r="BN357" i="321"/>
  <c r="BO283" i="321"/>
  <c r="BO66" i="315"/>
  <c r="BO19" i="265"/>
  <c r="BO69" i="265"/>
  <c r="BO18" i="315"/>
  <c r="BO355" i="321"/>
  <c r="BP346" i="321"/>
  <c r="BP349" i="321" s="1"/>
  <c r="BP302" i="321"/>
  <c r="BP113" i="321"/>
  <c r="BP254" i="288"/>
  <c r="BP120" i="321"/>
  <c r="BP104" i="288"/>
  <c r="AR26" i="315"/>
  <c r="AR77" i="315"/>
  <c r="AR28" i="265"/>
  <c r="AA28" i="277" s="1"/>
  <c r="AR81" i="265"/>
  <c r="AA81" i="277" s="1"/>
  <c r="AV395" i="321"/>
  <c r="AV397" i="321" s="1"/>
  <c r="AV379" i="321"/>
  <c r="AV381" i="321" s="1"/>
  <c r="AV256" i="288"/>
  <c r="AV106" i="288"/>
  <c r="AU16" i="314"/>
  <c r="AU216" i="288"/>
  <c r="AU23" i="314"/>
  <c r="AU229" i="288"/>
  <c r="AU21" i="328"/>
  <c r="AU110" i="314"/>
  <c r="AU142" i="288"/>
  <c r="AU143" i="288" s="1"/>
  <c r="AU103" i="314"/>
  <c r="AU79" i="288"/>
  <c r="AU66" i="288"/>
  <c r="AV427" i="321"/>
  <c r="AV429" i="321" s="1"/>
  <c r="AV411" i="321"/>
  <c r="AV413" i="321" s="1"/>
  <c r="AV258" i="288"/>
  <c r="AV108" i="288"/>
  <c r="BM40" i="311"/>
  <c r="BM41" i="311"/>
  <c r="BM82" i="311" s="1"/>
  <c r="BN170" i="321"/>
  <c r="BN172" i="321" s="1"/>
  <c r="BN282" i="321"/>
  <c r="BN284" i="321" s="1"/>
  <c r="BN68" i="265"/>
  <c r="AL68" i="277" s="1"/>
  <c r="BN18" i="265"/>
  <c r="AL18" i="277" s="1"/>
  <c r="BO52" i="321"/>
  <c r="BO171" i="321"/>
  <c r="BO17" i="265"/>
  <c r="BO67" i="265"/>
  <c r="BO17" i="315"/>
  <c r="BO65" i="315"/>
  <c r="BO244" i="321"/>
  <c r="BP234" i="321"/>
  <c r="BP237" i="321" s="1"/>
  <c r="BP190" i="321"/>
  <c r="BP116" i="321"/>
  <c r="BP252" i="288"/>
  <c r="BP102" i="288"/>
  <c r="BP112" i="321"/>
  <c r="BP114" i="321" s="1"/>
  <c r="BR30" i="315"/>
  <c r="BR32" i="265"/>
  <c r="AN32" i="277" s="1"/>
  <c r="BS152" i="282"/>
  <c r="BS155" i="282" s="1"/>
  <c r="BS115" i="282"/>
  <c r="BS47" i="282"/>
  <c r="BS84" i="282"/>
  <c r="BS87" i="282" s="1"/>
  <c r="BS23" i="282"/>
  <c r="BS24" i="282" s="1"/>
  <c r="BT21" i="282" s="1"/>
  <c r="BR94" i="282"/>
  <c r="BR162" i="282"/>
  <c r="BS160" i="282" l="1"/>
  <c r="BR121" i="315"/>
  <c r="BS92" i="282"/>
  <c r="BR125" i="265"/>
  <c r="AN125" i="277" s="1"/>
  <c r="BT10" i="282"/>
  <c r="BT12" i="282" s="1"/>
  <c r="BS93" i="282"/>
  <c r="BS88" i="282"/>
  <c r="BS156" i="282"/>
  <c r="BS161" i="282"/>
  <c r="BP121" i="321"/>
  <c r="BP122" i="321" s="1"/>
  <c r="BP128" i="321" s="1"/>
  <c r="BP134" i="321" s="1"/>
  <c r="BP258" i="321" s="1"/>
  <c r="BP117" i="321"/>
  <c r="BP118" i="321" s="1"/>
  <c r="BP127" i="321" s="1"/>
  <c r="BP133" i="321" s="1"/>
  <c r="BP146" i="321" s="1"/>
  <c r="BQ187" i="321"/>
  <c r="BP115" i="315"/>
  <c r="BP268" i="288"/>
  <c r="BP118" i="288"/>
  <c r="BP119" i="265"/>
  <c r="BP242" i="321"/>
  <c r="BP243" i="321" s="1"/>
  <c r="BP361" i="321"/>
  <c r="BP98" i="282"/>
  <c r="BP49" i="321"/>
  <c r="BP251" i="288"/>
  <c r="BP238" i="321"/>
  <c r="BP101" i="288"/>
  <c r="BP28" i="282"/>
  <c r="BP164" i="321"/>
  <c r="BP166" i="321" s="1"/>
  <c r="BO29" i="282"/>
  <c r="BO245" i="321"/>
  <c r="BO78" i="321"/>
  <c r="BO145" i="321"/>
  <c r="BO148" i="321" s="1"/>
  <c r="BO257" i="321"/>
  <c r="BO260" i="321" s="1"/>
  <c r="BN287" i="321"/>
  <c r="BN288" i="321" s="1"/>
  <c r="BN175" i="321"/>
  <c r="BN176" i="321" s="1"/>
  <c r="BM81" i="311"/>
  <c r="AV368" i="321"/>
  <c r="AV435" i="321"/>
  <c r="AV436" i="321" s="1"/>
  <c r="AV414" i="321"/>
  <c r="AV367" i="321"/>
  <c r="AV107" i="288"/>
  <c r="AV257" i="288"/>
  <c r="AV101" i="282"/>
  <c r="AV33" i="282"/>
  <c r="AV430" i="321"/>
  <c r="AU81" i="288"/>
  <c r="AU90" i="288" s="1"/>
  <c r="AS105" i="314"/>
  <c r="AS109" i="314" s="1"/>
  <c r="AS112" i="314" s="1"/>
  <c r="AS115" i="314" s="1"/>
  <c r="AU146" i="288"/>
  <c r="AU231" i="288"/>
  <c r="AU240" i="288" s="1"/>
  <c r="AS18" i="314"/>
  <c r="AS22" i="314" s="1"/>
  <c r="AS25" i="314" s="1"/>
  <c r="AV366" i="321"/>
  <c r="AV403" i="321"/>
  <c r="AV404" i="321" s="1"/>
  <c r="AV382" i="321"/>
  <c r="AV365" i="321"/>
  <c r="AV369" i="321" s="1"/>
  <c r="AV105" i="288"/>
  <c r="AV110" i="288" s="1"/>
  <c r="AV112" i="288" s="1"/>
  <c r="AV255" i="288"/>
  <c r="AV260" i="288" s="1"/>
  <c r="AV262" i="288" s="1"/>
  <c r="AV100" i="282"/>
  <c r="AV32" i="282"/>
  <c r="AV398" i="321"/>
  <c r="BQ299" i="321"/>
  <c r="BP119" i="288"/>
  <c r="BP116" i="315"/>
  <c r="BP120" i="265"/>
  <c r="BP269" i="288"/>
  <c r="BP354" i="321"/>
  <c r="BP363" i="321"/>
  <c r="BP50" i="321"/>
  <c r="BP99" i="282"/>
  <c r="BP30" i="282"/>
  <c r="BP103" i="288"/>
  <c r="BP276" i="321"/>
  <c r="BP278" i="321" s="1"/>
  <c r="BP350" i="321"/>
  <c r="BP253" i="288"/>
  <c r="BO356" i="321"/>
  <c r="BN70" i="265"/>
  <c r="AL70" i="277" s="1"/>
  <c r="BN20" i="265"/>
  <c r="AL20" i="277" s="1"/>
  <c r="AU714" i="321"/>
  <c r="AU679" i="321"/>
  <c r="AU680" i="321" s="1"/>
  <c r="AU442" i="321"/>
  <c r="AU443" i="321" s="1"/>
  <c r="AU46" i="288" l="1"/>
  <c r="AU446" i="321"/>
  <c r="AU447" i="321" s="1"/>
  <c r="AU529" i="321"/>
  <c r="AU485" i="321"/>
  <c r="AU196" i="288"/>
  <c r="AU687" i="321"/>
  <c r="AU688" i="321" s="1"/>
  <c r="AU681" i="321"/>
  <c r="AU102" i="282"/>
  <c r="AU715" i="321"/>
  <c r="AU34" i="282"/>
  <c r="BO31" i="282"/>
  <c r="BO357" i="321"/>
  <c r="BP66" i="315"/>
  <c r="BP19" i="265"/>
  <c r="AM19" i="277" s="1"/>
  <c r="BP69" i="265"/>
  <c r="AM69" i="277" s="1"/>
  <c r="BP18" i="315"/>
  <c r="BP283" i="321"/>
  <c r="BP355" i="321"/>
  <c r="BP63" i="328"/>
  <c r="AM74" i="328" s="1"/>
  <c r="AM120" i="277"/>
  <c r="BQ346" i="321"/>
  <c r="BQ349" i="321" s="1"/>
  <c r="BQ302" i="321"/>
  <c r="BQ113" i="321"/>
  <c r="BQ120" i="321"/>
  <c r="BQ254" i="288"/>
  <c r="BQ104" i="288"/>
  <c r="AV71" i="265"/>
  <c r="AC71" i="277" s="1"/>
  <c r="AV19" i="315"/>
  <c r="AV67" i="315"/>
  <c r="AV21" i="265"/>
  <c r="AC21" i="277" s="1"/>
  <c r="AV16" i="314"/>
  <c r="AV216" i="288"/>
  <c r="AV229" i="288"/>
  <c r="AV110" i="314"/>
  <c r="AV142" i="288"/>
  <c r="AV143" i="288" s="1"/>
  <c r="AV79" i="288"/>
  <c r="AV66" i="288"/>
  <c r="AV103" i="314"/>
  <c r="AV21" i="328"/>
  <c r="AC41" i="328" s="1"/>
  <c r="AV23" i="314"/>
  <c r="AV75" i="265"/>
  <c r="AC75" i="277" s="1"/>
  <c r="AV71" i="315"/>
  <c r="AW401" i="321"/>
  <c r="AV270" i="288"/>
  <c r="AV120" i="288"/>
  <c r="AV117" i="315"/>
  <c r="AV121" i="265"/>
  <c r="AC121" i="277" s="1"/>
  <c r="AS27" i="314"/>
  <c r="AR29" i="314" s="1"/>
  <c r="AS36" i="314"/>
  <c r="AS88" i="314"/>
  <c r="AS171" i="314"/>
  <c r="AS173" i="314" s="1"/>
  <c r="AV68" i="315"/>
  <c r="AV22" i="265"/>
  <c r="AC22" i="277" s="1"/>
  <c r="AV72" i="265"/>
  <c r="AC72" i="277" s="1"/>
  <c r="AV20" i="315"/>
  <c r="AV76" i="265"/>
  <c r="AC76" i="277" s="1"/>
  <c r="AV72" i="315"/>
  <c r="AW433" i="321"/>
  <c r="AV121" i="288"/>
  <c r="AV122" i="265"/>
  <c r="AC122" i="277" s="1"/>
  <c r="AV118" i="315"/>
  <c r="AV271" i="288"/>
  <c r="BN40" i="311"/>
  <c r="BN41" i="311"/>
  <c r="BN82" i="311" s="1"/>
  <c r="BO282" i="321"/>
  <c r="BO284" i="321" s="1"/>
  <c r="BO170" i="321"/>
  <c r="BO172" i="321" s="1"/>
  <c r="BO68" i="265"/>
  <c r="BO18" i="265"/>
  <c r="BP171" i="321"/>
  <c r="BP17" i="315"/>
  <c r="BP65" i="315"/>
  <c r="BP17" i="265"/>
  <c r="AM17" i="277" s="1"/>
  <c r="BP67" i="265"/>
  <c r="AM67" i="277" s="1"/>
  <c r="BP52" i="321"/>
  <c r="BP244" i="321"/>
  <c r="AM119" i="277"/>
  <c r="BP62" i="328"/>
  <c r="AM73" i="328" s="1"/>
  <c r="BQ234" i="321"/>
  <c r="BQ237" i="321" s="1"/>
  <c r="BQ190" i="321"/>
  <c r="BQ116" i="321"/>
  <c r="BQ252" i="288"/>
  <c r="BQ102" i="288"/>
  <c r="BQ112" i="321"/>
  <c r="BQ114" i="321" s="1"/>
  <c r="BS30" i="315"/>
  <c r="BS32" i="265"/>
  <c r="BT152" i="282"/>
  <c r="BT155" i="282" s="1"/>
  <c r="BT115" i="282"/>
  <c r="BT47" i="282"/>
  <c r="BT84" i="282"/>
  <c r="BT87" i="282" s="1"/>
  <c r="BT23" i="282"/>
  <c r="BT24" i="282" s="1"/>
  <c r="BU21" i="282" s="1"/>
  <c r="BS94" i="282"/>
  <c r="BS162" i="282"/>
  <c r="BT160" i="282" l="1"/>
  <c r="BS121" i="315"/>
  <c r="BT92" i="282"/>
  <c r="BS125" i="265"/>
  <c r="BU10" i="282"/>
  <c r="BU12" i="282" s="1"/>
  <c r="BT93" i="282"/>
  <c r="BT88" i="282"/>
  <c r="BT156" i="282"/>
  <c r="BT161" i="282"/>
  <c r="BQ121" i="321"/>
  <c r="BQ122" i="321" s="1"/>
  <c r="BQ128" i="321" s="1"/>
  <c r="BQ134" i="321" s="1"/>
  <c r="BQ258" i="321" s="1"/>
  <c r="BQ117" i="321"/>
  <c r="BQ118" i="321" s="1"/>
  <c r="BQ127" i="321" s="1"/>
  <c r="BQ133" i="321" s="1"/>
  <c r="BQ146" i="321" s="1"/>
  <c r="BR187" i="321"/>
  <c r="BQ115" i="315"/>
  <c r="BQ268" i="288"/>
  <c r="BQ118" i="288"/>
  <c r="BQ119" i="265"/>
  <c r="BQ62" i="328" s="1"/>
  <c r="BQ242" i="321"/>
  <c r="BQ243" i="321" s="1"/>
  <c r="BQ361" i="321"/>
  <c r="BQ98" i="282"/>
  <c r="BQ28" i="282"/>
  <c r="BQ164" i="321"/>
  <c r="BQ166" i="321" s="1"/>
  <c r="BQ251" i="288"/>
  <c r="BQ238" i="321"/>
  <c r="BQ101" i="288"/>
  <c r="BQ49" i="321"/>
  <c r="BP29" i="282"/>
  <c r="BP245" i="321"/>
  <c r="BP145" i="321"/>
  <c r="BP148" i="321" s="1"/>
  <c r="BP257" i="321"/>
  <c r="BP260" i="321" s="1"/>
  <c r="BP78" i="321"/>
  <c r="BO175" i="321"/>
  <c r="BO176" i="321" s="1"/>
  <c r="BO287" i="321"/>
  <c r="BO288" i="321" s="1"/>
  <c r="BN81" i="311"/>
  <c r="AW427" i="321"/>
  <c r="AW429" i="321" s="1"/>
  <c r="AW411" i="321"/>
  <c r="AW413" i="321" s="1"/>
  <c r="AW258" i="288"/>
  <c r="AW108" i="288"/>
  <c r="AS107" i="282"/>
  <c r="AS174" i="314"/>
  <c r="AS39" i="282"/>
  <c r="AR32" i="314"/>
  <c r="AV123" i="288"/>
  <c r="AV125" i="288" s="1"/>
  <c r="AV273" i="288"/>
  <c r="AV275" i="288" s="1"/>
  <c r="AW395" i="321"/>
  <c r="AW397" i="321" s="1"/>
  <c r="AW379" i="321"/>
  <c r="AW381" i="321" s="1"/>
  <c r="AW106" i="288"/>
  <c r="AW110" i="288" s="1"/>
  <c r="AW112" i="288" s="1"/>
  <c r="AW256" i="288"/>
  <c r="AW260" i="288" s="1"/>
  <c r="AW262" i="288" s="1"/>
  <c r="AT105" i="314"/>
  <c r="AT109" i="314" s="1"/>
  <c r="AT112" i="314" s="1"/>
  <c r="AT115" i="314" s="1"/>
  <c r="AV81" i="288"/>
  <c r="AV90" i="288" s="1"/>
  <c r="AV146" i="288"/>
  <c r="AV231" i="288"/>
  <c r="AV240" i="288" s="1"/>
  <c r="AT18" i="314"/>
  <c r="AT22" i="314" s="1"/>
  <c r="AT25" i="314" s="1"/>
  <c r="BR299" i="321"/>
  <c r="BQ116" i="315"/>
  <c r="BQ120" i="265"/>
  <c r="BQ63" i="328" s="1"/>
  <c r="BQ269" i="288"/>
  <c r="BQ119" i="288"/>
  <c r="BQ354" i="321"/>
  <c r="BQ363" i="321"/>
  <c r="BQ99" i="282"/>
  <c r="BQ276" i="321"/>
  <c r="BQ278" i="321" s="1"/>
  <c r="BQ50" i="321"/>
  <c r="BQ30" i="282"/>
  <c r="BQ253" i="288"/>
  <c r="BQ350" i="321"/>
  <c r="BQ103" i="288"/>
  <c r="BP356" i="321"/>
  <c r="BO70" i="265"/>
  <c r="BO20" i="265"/>
  <c r="AU80" i="315"/>
  <c r="AU26" i="265"/>
  <c r="AU24" i="315"/>
  <c r="AU84" i="265"/>
  <c r="AU51" i="315"/>
  <c r="AU53" i="265"/>
  <c r="AV684" i="321"/>
  <c r="AU123" i="265"/>
  <c r="AU119" i="315"/>
  <c r="AU54" i="315"/>
  <c r="AU56" i="265"/>
  <c r="AV693" i="321" l="1"/>
  <c r="AV695" i="321" s="1"/>
  <c r="AV699" i="321" s="1"/>
  <c r="AV702" i="321" s="1"/>
  <c r="AV706" i="321" s="1"/>
  <c r="AV709" i="321" s="1"/>
  <c r="AV711" i="321" s="1"/>
  <c r="AV712" i="321"/>
  <c r="AV673" i="321"/>
  <c r="AV676" i="321" s="1"/>
  <c r="BP31" i="282"/>
  <c r="BP357" i="321"/>
  <c r="BQ69" i="265"/>
  <c r="BQ18" i="315"/>
  <c r="BQ19" i="265"/>
  <c r="BQ66" i="315"/>
  <c r="BQ283" i="321"/>
  <c r="BQ355" i="321"/>
  <c r="BR346" i="321"/>
  <c r="BR349" i="321" s="1"/>
  <c r="BR302" i="321"/>
  <c r="BR120" i="321"/>
  <c r="BR104" i="288"/>
  <c r="BR113" i="321"/>
  <c r="BR254" i="288"/>
  <c r="AT27" i="314"/>
  <c r="AS29" i="314" s="1"/>
  <c r="AT171" i="314"/>
  <c r="AT173" i="314" s="1"/>
  <c r="AT36" i="314"/>
  <c r="AT88" i="314"/>
  <c r="AW366" i="321"/>
  <c r="AW403" i="321"/>
  <c r="AW404" i="321" s="1"/>
  <c r="AW382" i="321"/>
  <c r="AW365" i="321"/>
  <c r="AW100" i="282"/>
  <c r="AW255" i="288"/>
  <c r="AW105" i="288"/>
  <c r="AW32" i="282"/>
  <c r="AW398" i="321"/>
  <c r="AS26" i="315"/>
  <c r="AS77" i="315"/>
  <c r="AS28" i="265"/>
  <c r="AS81" i="265"/>
  <c r="AW368" i="321"/>
  <c r="AW435" i="321"/>
  <c r="AW436" i="321" s="1"/>
  <c r="AW414" i="321"/>
  <c r="AW367" i="321"/>
  <c r="AW101" i="282"/>
  <c r="AW107" i="288"/>
  <c r="AW430" i="321"/>
  <c r="AW33" i="282"/>
  <c r="AW257" i="288"/>
  <c r="BO41" i="311"/>
  <c r="BO82" i="311" s="1"/>
  <c r="BO40" i="311"/>
  <c r="BP282" i="321"/>
  <c r="BP284" i="321" s="1"/>
  <c r="BP170" i="321"/>
  <c r="BP172" i="321" s="1"/>
  <c r="BP68" i="265"/>
  <c r="AM68" i="277" s="1"/>
  <c r="BP18" i="265"/>
  <c r="AM18" i="277" s="1"/>
  <c r="BQ52" i="321"/>
  <c r="BQ17" i="265"/>
  <c r="BQ67" i="265"/>
  <c r="BQ17" i="315"/>
  <c r="BQ65" i="315"/>
  <c r="BQ171" i="321"/>
  <c r="BQ244" i="321"/>
  <c r="BR234" i="321"/>
  <c r="BR237" i="321" s="1"/>
  <c r="BR190" i="321"/>
  <c r="BR252" i="288"/>
  <c r="BR116" i="321"/>
  <c r="BR102" i="288"/>
  <c r="BR112" i="321"/>
  <c r="BR114" i="321" s="1"/>
  <c r="BT30" i="315"/>
  <c r="BT32" i="265"/>
  <c r="AO32" i="277" s="1"/>
  <c r="BU152" i="282"/>
  <c r="BU155" i="282" s="1"/>
  <c r="BU115" i="282"/>
  <c r="BU47" i="282"/>
  <c r="BU84" i="282"/>
  <c r="BU87" i="282" s="1"/>
  <c r="BU23" i="282"/>
  <c r="BU24" i="282" s="1"/>
  <c r="BV21" i="282" s="1"/>
  <c r="BT94" i="282"/>
  <c r="BT162" i="282"/>
  <c r="BU160" i="282" l="1"/>
  <c r="BT121" i="315"/>
  <c r="BU92" i="282"/>
  <c r="BT125" i="265"/>
  <c r="AO125" i="277" s="1"/>
  <c r="BV10" i="282"/>
  <c r="BV12" i="282" s="1"/>
  <c r="BU93" i="282"/>
  <c r="BU88" i="282"/>
  <c r="BU156" i="282"/>
  <c r="BU161" i="282"/>
  <c r="BR117" i="321"/>
  <c r="BR118" i="321" s="1"/>
  <c r="BR127" i="321" s="1"/>
  <c r="BR133" i="321" s="1"/>
  <c r="BR146" i="321" s="1"/>
  <c r="BR121" i="321"/>
  <c r="BR122" i="321" s="1"/>
  <c r="BR128" i="321" s="1"/>
  <c r="BR134" i="321" s="1"/>
  <c r="BR258" i="321" s="1"/>
  <c r="BS187" i="321"/>
  <c r="BR119" i="265"/>
  <c r="BR115" i="315"/>
  <c r="BR268" i="288"/>
  <c r="BR118" i="288"/>
  <c r="BR242" i="321"/>
  <c r="BR243" i="321" s="1"/>
  <c r="BR361" i="321"/>
  <c r="BR98" i="282"/>
  <c r="BR28" i="282"/>
  <c r="BR164" i="321"/>
  <c r="BR166" i="321" s="1"/>
  <c r="BR49" i="321"/>
  <c r="BR251" i="288"/>
  <c r="BR238" i="321"/>
  <c r="BR101" i="288"/>
  <c r="BQ29" i="282"/>
  <c r="BQ245" i="321"/>
  <c r="BQ257" i="321"/>
  <c r="BQ260" i="321" s="1"/>
  <c r="BQ145" i="321"/>
  <c r="BQ148" i="321" s="1"/>
  <c r="BQ78" i="321"/>
  <c r="BP175" i="321"/>
  <c r="BP176" i="321" s="1"/>
  <c r="BP287" i="321"/>
  <c r="BP288" i="321" s="1"/>
  <c r="BO81" i="311"/>
  <c r="AW20" i="315"/>
  <c r="AW68" i="315"/>
  <c r="AW22" i="265"/>
  <c r="AW72" i="265"/>
  <c r="AW76" i="265"/>
  <c r="AW72" i="315"/>
  <c r="AX433" i="321"/>
  <c r="AW122" i="265"/>
  <c r="AW118" i="315"/>
  <c r="AW271" i="288"/>
  <c r="AW121" i="288"/>
  <c r="AW19" i="315"/>
  <c r="AW67" i="315"/>
  <c r="AW21" i="265"/>
  <c r="AW71" i="265"/>
  <c r="AW369" i="321"/>
  <c r="AW75" i="265"/>
  <c r="AW71" i="315"/>
  <c r="AX401" i="321"/>
  <c r="AW117" i="315"/>
  <c r="AW121" i="265"/>
  <c r="AW270" i="288"/>
  <c r="AW273" i="288" s="1"/>
  <c r="AW275" i="288" s="1"/>
  <c r="AW120" i="288"/>
  <c r="AW123" i="288" s="1"/>
  <c r="AW125" i="288" s="1"/>
  <c r="AT107" i="282"/>
  <c r="AT174" i="314"/>
  <c r="AT39" i="282"/>
  <c r="AS32" i="314"/>
  <c r="BS299" i="321"/>
  <c r="BR269" i="288"/>
  <c r="BR119" i="288"/>
  <c r="BR116" i="315"/>
  <c r="BR120" i="265"/>
  <c r="BR354" i="321"/>
  <c r="BR363" i="321"/>
  <c r="BR99" i="282"/>
  <c r="BR253" i="288"/>
  <c r="BR350" i="321"/>
  <c r="BR103" i="288"/>
  <c r="BR50" i="321"/>
  <c r="BR30" i="282"/>
  <c r="BR276" i="321"/>
  <c r="BR278" i="321" s="1"/>
  <c r="BQ356" i="321"/>
  <c r="BP70" i="265"/>
  <c r="AM70" i="277" s="1"/>
  <c r="BP20" i="265"/>
  <c r="AM20" i="277" s="1"/>
  <c r="AV442" i="321"/>
  <c r="AV443" i="321" s="1"/>
  <c r="AV679" i="321"/>
  <c r="AV680" i="321" s="1"/>
  <c r="AV714" i="321"/>
  <c r="AV102" i="282" l="1"/>
  <c r="AV34" i="282"/>
  <c r="AV715" i="321"/>
  <c r="AV687" i="321"/>
  <c r="AV688" i="321" s="1"/>
  <c r="AV681" i="321"/>
  <c r="AV46" i="288"/>
  <c r="AV529" i="321"/>
  <c r="AV446" i="321"/>
  <c r="AV447" i="321" s="1"/>
  <c r="AV485" i="321"/>
  <c r="AV196" i="288"/>
  <c r="BQ31" i="282"/>
  <c r="BQ357" i="321"/>
  <c r="BR283" i="321"/>
  <c r="BR66" i="315"/>
  <c r="BR19" i="265"/>
  <c r="AN19" i="277" s="1"/>
  <c r="BR69" i="265"/>
  <c r="AN69" i="277" s="1"/>
  <c r="BR18" i="315"/>
  <c r="BR355" i="321"/>
  <c r="BR63" i="328"/>
  <c r="AN74" i="328" s="1"/>
  <c r="AN120" i="277"/>
  <c r="BS346" i="321"/>
  <c r="BS349" i="321" s="1"/>
  <c r="BS302" i="321"/>
  <c r="BS120" i="321"/>
  <c r="BS254" i="288"/>
  <c r="BS104" i="288"/>
  <c r="BS113" i="321"/>
  <c r="AT81" i="265"/>
  <c r="AB81" i="277" s="1"/>
  <c r="AT26" i="315"/>
  <c r="AT77" i="315"/>
  <c r="AT28" i="265"/>
  <c r="AB28" i="277" s="1"/>
  <c r="AX395" i="321"/>
  <c r="AX397" i="321" s="1"/>
  <c r="AX379" i="321"/>
  <c r="AX381" i="321" s="1"/>
  <c r="AX106" i="288"/>
  <c r="AX256" i="288"/>
  <c r="AW16" i="314"/>
  <c r="AW229" i="288"/>
  <c r="AW21" i="328"/>
  <c r="AW23" i="314"/>
  <c r="AW103" i="314"/>
  <c r="AW216" i="288"/>
  <c r="AW66" i="288"/>
  <c r="AW79" i="288"/>
  <c r="AW110" i="314"/>
  <c r="AW142" i="288"/>
  <c r="AW143" i="288" s="1"/>
  <c r="AX427" i="321"/>
  <c r="AX429" i="321" s="1"/>
  <c r="AX411" i="321"/>
  <c r="AX413" i="321" s="1"/>
  <c r="AX258" i="288"/>
  <c r="AX108" i="288"/>
  <c r="BP41" i="311"/>
  <c r="BP82" i="311" s="1"/>
  <c r="BP40" i="311"/>
  <c r="BQ170" i="321"/>
  <c r="BQ172" i="321" s="1"/>
  <c r="BQ282" i="321"/>
  <c r="BQ284" i="321" s="1"/>
  <c r="BQ68" i="265"/>
  <c r="BQ18" i="265"/>
  <c r="BR17" i="315"/>
  <c r="BR65" i="315"/>
  <c r="BR17" i="265"/>
  <c r="AN17" i="277" s="1"/>
  <c r="BR67" i="265"/>
  <c r="AN67" i="277" s="1"/>
  <c r="BR52" i="321"/>
  <c r="BR171" i="321"/>
  <c r="BR244" i="321"/>
  <c r="AN119" i="277"/>
  <c r="BR62" i="328"/>
  <c r="AN73" i="328" s="1"/>
  <c r="BS234" i="321"/>
  <c r="BS237" i="321" s="1"/>
  <c r="BS190" i="321"/>
  <c r="BS102" i="288"/>
  <c r="BS116" i="321"/>
  <c r="BS252" i="288"/>
  <c r="BS112" i="321"/>
  <c r="BS114" i="321" s="1"/>
  <c r="BU30" i="315"/>
  <c r="BU32" i="265"/>
  <c r="BV152" i="282"/>
  <c r="BV155" i="282" s="1"/>
  <c r="BV115" i="282"/>
  <c r="BV47" i="282"/>
  <c r="BV84" i="282"/>
  <c r="BV87" i="282" s="1"/>
  <c r="BV23" i="282"/>
  <c r="BV24" i="282" s="1"/>
  <c r="BW21" i="282" s="1"/>
  <c r="BU94" i="282"/>
  <c r="BU162" i="282"/>
  <c r="BV160" i="282" l="1"/>
  <c r="BU121" i="315"/>
  <c r="BV92" i="282"/>
  <c r="BU125" i="265"/>
  <c r="BW10" i="282"/>
  <c r="BW12" i="282" s="1"/>
  <c r="BV93" i="282"/>
  <c r="BV88" i="282"/>
  <c r="BV156" i="282"/>
  <c r="BV161" i="282"/>
  <c r="BS121" i="321"/>
  <c r="BS122" i="321" s="1"/>
  <c r="BS128" i="321" s="1"/>
  <c r="BS134" i="321" s="1"/>
  <c r="BS258" i="321" s="1"/>
  <c r="BS117" i="321"/>
  <c r="BS118" i="321" s="1"/>
  <c r="BS127" i="321" s="1"/>
  <c r="BS133" i="321" s="1"/>
  <c r="BS146" i="321" s="1"/>
  <c r="BT187" i="321"/>
  <c r="BS119" i="265"/>
  <c r="BS62" i="328" s="1"/>
  <c r="BS115" i="315"/>
  <c r="BS268" i="288"/>
  <c r="BS118" i="288"/>
  <c r="BS242" i="321"/>
  <c r="BS243" i="321" s="1"/>
  <c r="BS361" i="321"/>
  <c r="BS98" i="282"/>
  <c r="BS251" i="288"/>
  <c r="BS101" i="288"/>
  <c r="BS28" i="282"/>
  <c r="BS164" i="321"/>
  <c r="BS166" i="321" s="1"/>
  <c r="BS49" i="321"/>
  <c r="BS238" i="321"/>
  <c r="BR29" i="282"/>
  <c r="BR245" i="321"/>
  <c r="BR78" i="321"/>
  <c r="BR145" i="321"/>
  <c r="BR148" i="321" s="1"/>
  <c r="BR257" i="321"/>
  <c r="BR260" i="321" s="1"/>
  <c r="BQ287" i="321"/>
  <c r="BQ288" i="321" s="1"/>
  <c r="BQ175" i="321"/>
  <c r="BQ176" i="321" s="1"/>
  <c r="BP81" i="311"/>
  <c r="AX368" i="321"/>
  <c r="AX435" i="321"/>
  <c r="AX436" i="321" s="1"/>
  <c r="AX414" i="321"/>
  <c r="AX367" i="321"/>
  <c r="AX107" i="288"/>
  <c r="AX257" i="288"/>
  <c r="AX101" i="282"/>
  <c r="AX33" i="282"/>
  <c r="AX430" i="321"/>
  <c r="AW146" i="288"/>
  <c r="AW81" i="288"/>
  <c r="AW90" i="288" s="1"/>
  <c r="AW92" i="288" s="1"/>
  <c r="AW94" i="288" s="1"/>
  <c r="AU105" i="314"/>
  <c r="AU109" i="314" s="1"/>
  <c r="AU112" i="314" s="1"/>
  <c r="AU115" i="314" s="1"/>
  <c r="AW231" i="288"/>
  <c r="AW240" i="288" s="1"/>
  <c r="AU18" i="314"/>
  <c r="AU22" i="314" s="1"/>
  <c r="AU25" i="314" s="1"/>
  <c r="AX260" i="288"/>
  <c r="AX262" i="288" s="1"/>
  <c r="AX110" i="288"/>
  <c r="AX112" i="288" s="1"/>
  <c r="AX366" i="321"/>
  <c r="AX403" i="321"/>
  <c r="AX404" i="321" s="1"/>
  <c r="AX382" i="321"/>
  <c r="AX365" i="321"/>
  <c r="AX369" i="321" s="1"/>
  <c r="AX105" i="288"/>
  <c r="AX255" i="288"/>
  <c r="AX100" i="282"/>
  <c r="AX398" i="321"/>
  <c r="AX32" i="282"/>
  <c r="BT299" i="321"/>
  <c r="BS116" i="315"/>
  <c r="BS120" i="265"/>
  <c r="BS63" i="328" s="1"/>
  <c r="BS269" i="288"/>
  <c r="BS119" i="288"/>
  <c r="BS354" i="321"/>
  <c r="BS363" i="321"/>
  <c r="BS99" i="282"/>
  <c r="BS350" i="321"/>
  <c r="BS103" i="288"/>
  <c r="BS276" i="321"/>
  <c r="BS278" i="321" s="1"/>
  <c r="BS50" i="321"/>
  <c r="BS30" i="282"/>
  <c r="BS253" i="288"/>
  <c r="BR356" i="321"/>
  <c r="BQ70" i="265"/>
  <c r="BQ20" i="265"/>
  <c r="AV54" i="315"/>
  <c r="AV56" i="265"/>
  <c r="AC56" i="277" s="1"/>
  <c r="AV53" i="265"/>
  <c r="AC53" i="277" s="1"/>
  <c r="AV51" i="315"/>
  <c r="AW684" i="321"/>
  <c r="AV119" i="315"/>
  <c r="AV123" i="265"/>
  <c r="AC123" i="277" s="1"/>
  <c r="AV26" i="265"/>
  <c r="AC26" i="277" s="1"/>
  <c r="AV24" i="315"/>
  <c r="AV84" i="265"/>
  <c r="AC84" i="277" s="1"/>
  <c r="AV80" i="315"/>
  <c r="AW693" i="321" l="1"/>
  <c r="AW695" i="321" s="1"/>
  <c r="AW699" i="321" s="1"/>
  <c r="AW702" i="321" s="1"/>
  <c r="AW706" i="321" s="1"/>
  <c r="AW709" i="321" s="1"/>
  <c r="AW711" i="321" s="1"/>
  <c r="AW712" i="321"/>
  <c r="AW673" i="321"/>
  <c r="AW676" i="321" s="1"/>
  <c r="BR31" i="282"/>
  <c r="BR357" i="321"/>
  <c r="BS283" i="321"/>
  <c r="BS18" i="315"/>
  <c r="BS66" i="315"/>
  <c r="BS69" i="265"/>
  <c r="BS19" i="265"/>
  <c r="BS355" i="321"/>
  <c r="BT346" i="321"/>
  <c r="BT349" i="321" s="1"/>
  <c r="BT302" i="321"/>
  <c r="BT113" i="321"/>
  <c r="BT254" i="288"/>
  <c r="BT120" i="321"/>
  <c r="BT104" i="288"/>
  <c r="AX19" i="315"/>
  <c r="AX67" i="315"/>
  <c r="AX21" i="265"/>
  <c r="AD21" i="277" s="1"/>
  <c r="AX71" i="265"/>
  <c r="AD71" i="277" s="1"/>
  <c r="AX16" i="314"/>
  <c r="AX142" i="288"/>
  <c r="AX143" i="288" s="1"/>
  <c r="AX66" i="288"/>
  <c r="AX103" i="314"/>
  <c r="AX216" i="288"/>
  <c r="AX23" i="314"/>
  <c r="AX79" i="288"/>
  <c r="AX110" i="314"/>
  <c r="AX229" i="288"/>
  <c r="AX21" i="328"/>
  <c r="AD41" i="328" s="1"/>
  <c r="AX71" i="315"/>
  <c r="AX75" i="265"/>
  <c r="AD75" i="277" s="1"/>
  <c r="AY401" i="321"/>
  <c r="AX117" i="315"/>
  <c r="AX121" i="265"/>
  <c r="AD121" i="277" s="1"/>
  <c r="AX270" i="288"/>
  <c r="AX120" i="288"/>
  <c r="AU27" i="314"/>
  <c r="AT29" i="314" s="1"/>
  <c r="AU36" i="314"/>
  <c r="AU88" i="314"/>
  <c r="AU171" i="314"/>
  <c r="AU173" i="314" s="1"/>
  <c r="AX68" i="315"/>
  <c r="AX22" i="265"/>
  <c r="AD22" i="277" s="1"/>
  <c r="AX72" i="265"/>
  <c r="AD72" i="277" s="1"/>
  <c r="AX20" i="315"/>
  <c r="AX76" i="265"/>
  <c r="AD76" i="277" s="1"/>
  <c r="AX72" i="315"/>
  <c r="AY433" i="321"/>
  <c r="AX121" i="288"/>
  <c r="AX118" i="315"/>
  <c r="AX122" i="265"/>
  <c r="AD122" i="277" s="1"/>
  <c r="AX271" i="288"/>
  <c r="BQ40" i="311"/>
  <c r="BQ41" i="311"/>
  <c r="BQ82" i="311" s="1"/>
  <c r="BR282" i="321"/>
  <c r="BR284" i="321" s="1"/>
  <c r="BR170" i="321"/>
  <c r="BR172" i="321" s="1"/>
  <c r="BR68" i="265"/>
  <c r="AN68" i="277" s="1"/>
  <c r="BR18" i="265"/>
  <c r="AN18" i="277" s="1"/>
  <c r="BS17" i="315"/>
  <c r="BS65" i="315"/>
  <c r="BS17" i="265"/>
  <c r="BS67" i="265"/>
  <c r="BS52" i="321"/>
  <c r="BS171" i="321"/>
  <c r="BS244" i="321"/>
  <c r="BT234" i="321"/>
  <c r="BT237" i="321" s="1"/>
  <c r="BT190" i="321"/>
  <c r="BT112" i="321"/>
  <c r="BT114" i="321" s="1"/>
  <c r="BT102" i="288"/>
  <c r="BT252" i="288"/>
  <c r="BT116" i="321"/>
  <c r="BV30" i="315"/>
  <c r="BV32" i="265"/>
  <c r="AP32" i="277" s="1"/>
  <c r="BW152" i="282"/>
  <c r="BW155" i="282" s="1"/>
  <c r="BW115" i="282"/>
  <c r="BW47" i="282"/>
  <c r="BW84" i="282"/>
  <c r="BW87" i="282" s="1"/>
  <c r="BW23" i="282"/>
  <c r="BW24" i="282" s="1"/>
  <c r="BX21" i="282" s="1"/>
  <c r="BV94" i="282"/>
  <c r="BV162" i="282"/>
  <c r="BW160" i="282" l="1"/>
  <c r="BV121" i="315"/>
  <c r="BW92" i="282"/>
  <c r="BV125" i="265"/>
  <c r="AP125" i="277" s="1"/>
  <c r="BX10" i="282"/>
  <c r="BX12" i="282" s="1"/>
  <c r="BW93" i="282"/>
  <c r="BW88" i="282"/>
  <c r="BW156" i="282"/>
  <c r="BW161" i="282"/>
  <c r="BT117" i="321"/>
  <c r="BT118" i="321" s="1"/>
  <c r="BT127" i="321" s="1"/>
  <c r="BT133" i="321" s="1"/>
  <c r="BT146" i="321" s="1"/>
  <c r="BT121" i="321"/>
  <c r="BT122" i="321" s="1"/>
  <c r="BT128" i="321" s="1"/>
  <c r="BT134" i="321" s="1"/>
  <c r="BT258" i="321" s="1"/>
  <c r="BU187" i="321"/>
  <c r="BT118" i="288"/>
  <c r="BT119" i="265"/>
  <c r="BT115" i="315"/>
  <c r="BT268" i="288"/>
  <c r="BT242" i="321"/>
  <c r="BT243" i="321" s="1"/>
  <c r="BT361" i="321"/>
  <c r="BT98" i="282"/>
  <c r="BT238" i="321"/>
  <c r="BT101" i="288"/>
  <c r="BT28" i="282"/>
  <c r="BT164" i="321"/>
  <c r="BT166" i="321" s="1"/>
  <c r="BT49" i="321"/>
  <c r="BT251" i="288"/>
  <c r="BS29" i="282"/>
  <c r="BS245" i="321"/>
  <c r="BS257" i="321"/>
  <c r="BS260" i="321" s="1"/>
  <c r="BS78" i="321"/>
  <c r="BS145" i="321"/>
  <c r="BS148" i="321" s="1"/>
  <c r="BR175" i="321"/>
  <c r="BR176" i="321" s="1"/>
  <c r="BR287" i="321"/>
  <c r="BR288" i="321" s="1"/>
  <c r="BQ81" i="311"/>
  <c r="AY427" i="321"/>
  <c r="AY429" i="321" s="1"/>
  <c r="AY411" i="321"/>
  <c r="AY413" i="321" s="1"/>
  <c r="AY258" i="288"/>
  <c r="AY108" i="288"/>
  <c r="AU107" i="282"/>
  <c r="AU39" i="282"/>
  <c r="AU174" i="314"/>
  <c r="AT32" i="314"/>
  <c r="AX123" i="288"/>
  <c r="AX125" i="288" s="1"/>
  <c r="AX273" i="288"/>
  <c r="AX275" i="288" s="1"/>
  <c r="AY395" i="321"/>
  <c r="AY397" i="321" s="1"/>
  <c r="AY379" i="321"/>
  <c r="AY381" i="321" s="1"/>
  <c r="AY106" i="288"/>
  <c r="AY110" i="288" s="1"/>
  <c r="AY112" i="288" s="1"/>
  <c r="AY256" i="288"/>
  <c r="AY260" i="288" s="1"/>
  <c r="AY262" i="288" s="1"/>
  <c r="AX231" i="288"/>
  <c r="AX240" i="288" s="1"/>
  <c r="AX81" i="288"/>
  <c r="AX90" i="288" s="1"/>
  <c r="AX92" i="288" s="1"/>
  <c r="AX94" i="288" s="1"/>
  <c r="AV105" i="314"/>
  <c r="AV109" i="314" s="1"/>
  <c r="AV112" i="314" s="1"/>
  <c r="AV115" i="314" s="1"/>
  <c r="AX146" i="288"/>
  <c r="AV18" i="314"/>
  <c r="AV22" i="314" s="1"/>
  <c r="AV25" i="314" s="1"/>
  <c r="BU299" i="321"/>
  <c r="BT120" i="265"/>
  <c r="BT269" i="288"/>
  <c r="BT119" i="288"/>
  <c r="BT116" i="315"/>
  <c r="BT354" i="321"/>
  <c r="BT363" i="321"/>
  <c r="BT99" i="282"/>
  <c r="BT50" i="321"/>
  <c r="BT253" i="288"/>
  <c r="BT30" i="282"/>
  <c r="BT276" i="321"/>
  <c r="BT278" i="321" s="1"/>
  <c r="BT350" i="321"/>
  <c r="BT103" i="288"/>
  <c r="BS356" i="321"/>
  <c r="BR70" i="265"/>
  <c r="AN70" i="277" s="1"/>
  <c r="BR20" i="265"/>
  <c r="AN20" i="277" s="1"/>
  <c r="AW679" i="321"/>
  <c r="AW680" i="321" s="1"/>
  <c r="AW442" i="321"/>
  <c r="AW443" i="321" s="1"/>
  <c r="AW714" i="321"/>
  <c r="AW102" i="282" l="1"/>
  <c r="AW34" i="282"/>
  <c r="AW715" i="321"/>
  <c r="AW46" i="288"/>
  <c r="AW446" i="321"/>
  <c r="AW447" i="321" s="1"/>
  <c r="AW529" i="321"/>
  <c r="AW485" i="321"/>
  <c r="AW196" i="288"/>
  <c r="AW687" i="321"/>
  <c r="AW688" i="321" s="1"/>
  <c r="AW681" i="321"/>
  <c r="BS31" i="282"/>
  <c r="BS357" i="321"/>
  <c r="BT19" i="265"/>
  <c r="AO19" i="277" s="1"/>
  <c r="BT69" i="265"/>
  <c r="AO69" i="277" s="1"/>
  <c r="BT18" i="315"/>
  <c r="BT66" i="315"/>
  <c r="BT283" i="321"/>
  <c r="BT355" i="321"/>
  <c r="BT63" i="328"/>
  <c r="AO74" i="328" s="1"/>
  <c r="AO120" i="277"/>
  <c r="BU346" i="321"/>
  <c r="BU349" i="321" s="1"/>
  <c r="BU302" i="321"/>
  <c r="BU113" i="321"/>
  <c r="BU120" i="321"/>
  <c r="BU254" i="288"/>
  <c r="BU104" i="288"/>
  <c r="AV27" i="314"/>
  <c r="AU29" i="314" s="1"/>
  <c r="AV36" i="314"/>
  <c r="AV88" i="314"/>
  <c r="AV171" i="314"/>
  <c r="AV173" i="314" s="1"/>
  <c r="AY366" i="321"/>
  <c r="AY403" i="321"/>
  <c r="AY404" i="321" s="1"/>
  <c r="AY382" i="321"/>
  <c r="AY365" i="321"/>
  <c r="AY255" i="288"/>
  <c r="AY100" i="282"/>
  <c r="AY105" i="288"/>
  <c r="AY398" i="321"/>
  <c r="AY32" i="282"/>
  <c r="AU81" i="265"/>
  <c r="AU26" i="315"/>
  <c r="AU77" i="315"/>
  <c r="AU28" i="265"/>
  <c r="AY368" i="321"/>
  <c r="AY435" i="321"/>
  <c r="AY436" i="321" s="1"/>
  <c r="AY414" i="321"/>
  <c r="AY367" i="321"/>
  <c r="AY101" i="282"/>
  <c r="AY107" i="288"/>
  <c r="AY430" i="321"/>
  <c r="AY257" i="288"/>
  <c r="AY33" i="282"/>
  <c r="BR41" i="311"/>
  <c r="BR82" i="311" s="1"/>
  <c r="BR40" i="311"/>
  <c r="BS170" i="321"/>
  <c r="BS172" i="321" s="1"/>
  <c r="BS282" i="321"/>
  <c r="BS284" i="321" s="1"/>
  <c r="BS68" i="265"/>
  <c r="BS18" i="265"/>
  <c r="BT52" i="321"/>
  <c r="BT171" i="321"/>
  <c r="BT17" i="265"/>
  <c r="AO17" i="277" s="1"/>
  <c r="BT17" i="315"/>
  <c r="BT65" i="315"/>
  <c r="BT67" i="265"/>
  <c r="AO67" i="277" s="1"/>
  <c r="BT244" i="321"/>
  <c r="BT62" i="328"/>
  <c r="AO73" i="328" s="1"/>
  <c r="AO119" i="277"/>
  <c r="BU234" i="321"/>
  <c r="BU237" i="321" s="1"/>
  <c r="BU190" i="321"/>
  <c r="BU102" i="288"/>
  <c r="BU112" i="321"/>
  <c r="BU114" i="321" s="1"/>
  <c r="BU116" i="321"/>
  <c r="BU252" i="288"/>
  <c r="BW30" i="315"/>
  <c r="BW32" i="265"/>
  <c r="BX152" i="282"/>
  <c r="BX155" i="282" s="1"/>
  <c r="BX115" i="282"/>
  <c r="BX47" i="282"/>
  <c r="BX84" i="282"/>
  <c r="BX87" i="282" s="1"/>
  <c r="BX23" i="282"/>
  <c r="BX24" i="282" s="1"/>
  <c r="BY21" i="282" s="1"/>
  <c r="BW94" i="282"/>
  <c r="BW162" i="282"/>
  <c r="BX160" i="282" l="1"/>
  <c r="BW121" i="315"/>
  <c r="BX92" i="282"/>
  <c r="BW125" i="265"/>
  <c r="BY10" i="282"/>
  <c r="BY12" i="282" s="1"/>
  <c r="BX93" i="282"/>
  <c r="BX88" i="282"/>
  <c r="BX156" i="282"/>
  <c r="BX161" i="282"/>
  <c r="BU121" i="321"/>
  <c r="BU122" i="321" s="1"/>
  <c r="BU128" i="321" s="1"/>
  <c r="BU134" i="321" s="1"/>
  <c r="BU258" i="321" s="1"/>
  <c r="BU117" i="321"/>
  <c r="BU118" i="321" s="1"/>
  <c r="BU127" i="321" s="1"/>
  <c r="BU133" i="321" s="1"/>
  <c r="BU146" i="321" s="1"/>
  <c r="BV187" i="321"/>
  <c r="BU268" i="288"/>
  <c r="BU118" i="288"/>
  <c r="BU119" i="265"/>
  <c r="BU62" i="328" s="1"/>
  <c r="BU115" i="315"/>
  <c r="BU242" i="321"/>
  <c r="BU243" i="321" s="1"/>
  <c r="BU361" i="321"/>
  <c r="BU98" i="282"/>
  <c r="BU49" i="321"/>
  <c r="BU251" i="288"/>
  <c r="BU238" i="321"/>
  <c r="BU101" i="288"/>
  <c r="BU28" i="282"/>
  <c r="BU164" i="321"/>
  <c r="BU166" i="321" s="1"/>
  <c r="BT29" i="282"/>
  <c r="BT245" i="321"/>
  <c r="BT78" i="321"/>
  <c r="BT145" i="321"/>
  <c r="BT148" i="321" s="1"/>
  <c r="BT257" i="321"/>
  <c r="BT260" i="321" s="1"/>
  <c r="BS287" i="321"/>
  <c r="BS288" i="321" s="1"/>
  <c r="BS175" i="321"/>
  <c r="BS176" i="321" s="1"/>
  <c r="BR81" i="311"/>
  <c r="AY22" i="265"/>
  <c r="AY72" i="265"/>
  <c r="AY20" i="315"/>
  <c r="AY68" i="315"/>
  <c r="AY72" i="315"/>
  <c r="AY76" i="265"/>
  <c r="AZ433" i="321"/>
  <c r="AY271" i="288"/>
  <c r="AY121" i="288"/>
  <c r="AY122" i="265"/>
  <c r="AY118" i="315"/>
  <c r="AY19" i="315"/>
  <c r="AY67" i="315"/>
  <c r="AY21" i="265"/>
  <c r="AY71" i="265"/>
  <c r="AY369" i="321"/>
  <c r="AY75" i="265"/>
  <c r="AY71" i="315"/>
  <c r="AZ401" i="321"/>
  <c r="AY120" i="288"/>
  <c r="AY123" i="288" s="1"/>
  <c r="AY125" i="288" s="1"/>
  <c r="AY117" i="315"/>
  <c r="AY121" i="265"/>
  <c r="AY270" i="288"/>
  <c r="AY273" i="288" s="1"/>
  <c r="AY275" i="288" s="1"/>
  <c r="AV107" i="282"/>
  <c r="AV174" i="314"/>
  <c r="AV39" i="282"/>
  <c r="AU32" i="314"/>
  <c r="BV299" i="321"/>
  <c r="BU120" i="265"/>
  <c r="BU63" i="328" s="1"/>
  <c r="BU269" i="288"/>
  <c r="BU116" i="315"/>
  <c r="BU119" i="288"/>
  <c r="BU354" i="321"/>
  <c r="BU363" i="321"/>
  <c r="BU99" i="282"/>
  <c r="BU276" i="321"/>
  <c r="BU278" i="321" s="1"/>
  <c r="BU50" i="321"/>
  <c r="BU30" i="282"/>
  <c r="BU253" i="288"/>
  <c r="BU350" i="321"/>
  <c r="BU103" i="288"/>
  <c r="BT356" i="321"/>
  <c r="BS70" i="265"/>
  <c r="BS20" i="265"/>
  <c r="AW53" i="265"/>
  <c r="AW51" i="315"/>
  <c r="AX684" i="321"/>
  <c r="AW123" i="265"/>
  <c r="AW119" i="315"/>
  <c r="AW56" i="265"/>
  <c r="AW54" i="315"/>
  <c r="AW26" i="265"/>
  <c r="AW24" i="315"/>
  <c r="AW84" i="265"/>
  <c r="AW80" i="315"/>
  <c r="AX673" i="321" l="1"/>
  <c r="AX676" i="321" s="1"/>
  <c r="AX693" i="321"/>
  <c r="AX695" i="321" s="1"/>
  <c r="AX699" i="321" s="1"/>
  <c r="AX702" i="321" s="1"/>
  <c r="AX706" i="321" s="1"/>
  <c r="AX709" i="321" s="1"/>
  <c r="AX711" i="321" s="1"/>
  <c r="AX712" i="321"/>
  <c r="BT31" i="282"/>
  <c r="BT357" i="321"/>
  <c r="BU69" i="265"/>
  <c r="BU18" i="315"/>
  <c r="BU66" i="315"/>
  <c r="BU19" i="265"/>
  <c r="BU283" i="321"/>
  <c r="BU355" i="321"/>
  <c r="BV346" i="321"/>
  <c r="BV349" i="321" s="1"/>
  <c r="BV302" i="321"/>
  <c r="BV254" i="288"/>
  <c r="BV120" i="321"/>
  <c r="BV104" i="288"/>
  <c r="BV113" i="321"/>
  <c r="AV81" i="265"/>
  <c r="AC81" i="277" s="1"/>
  <c r="AV26" i="315"/>
  <c r="AV77" i="315"/>
  <c r="AV28" i="265"/>
  <c r="AC28" i="277" s="1"/>
  <c r="AZ395" i="321"/>
  <c r="AZ397" i="321" s="1"/>
  <c r="AZ379" i="321"/>
  <c r="AZ381" i="321" s="1"/>
  <c r="AZ106" i="288"/>
  <c r="AZ256" i="288"/>
  <c r="AY16" i="314"/>
  <c r="AY79" i="288"/>
  <c r="AY66" i="288"/>
  <c r="AY103" i="314"/>
  <c r="AY21" i="328"/>
  <c r="AY229" i="288"/>
  <c r="AY216" i="288"/>
  <c r="AY110" i="314"/>
  <c r="AY142" i="288"/>
  <c r="AY143" i="288" s="1"/>
  <c r="AY23" i="314"/>
  <c r="AZ427" i="321"/>
  <c r="AZ429" i="321" s="1"/>
  <c r="AZ411" i="321"/>
  <c r="AZ413" i="321" s="1"/>
  <c r="AZ258" i="288"/>
  <c r="AZ108" i="288"/>
  <c r="BS40" i="311"/>
  <c r="BS41" i="311"/>
  <c r="BS82" i="311" s="1"/>
  <c r="BT282" i="321"/>
  <c r="BT284" i="321" s="1"/>
  <c r="BT170" i="321"/>
  <c r="BT172" i="321" s="1"/>
  <c r="BT68" i="265"/>
  <c r="AO68" i="277" s="1"/>
  <c r="BT18" i="265"/>
  <c r="AO18" i="277" s="1"/>
  <c r="BU171" i="321"/>
  <c r="BU65" i="315"/>
  <c r="BU17" i="265"/>
  <c r="BU17" i="315"/>
  <c r="BU67" i="265"/>
  <c r="BU52" i="321"/>
  <c r="BU244" i="321"/>
  <c r="BV234" i="321"/>
  <c r="BV237" i="321" s="1"/>
  <c r="BV190" i="321"/>
  <c r="BV102" i="288"/>
  <c r="BV116" i="321"/>
  <c r="BV252" i="288"/>
  <c r="BV112" i="321"/>
  <c r="BV114" i="321" s="1"/>
  <c r="BX30" i="315"/>
  <c r="BX32" i="265"/>
  <c r="AQ32" i="277" s="1"/>
  <c r="BY152" i="282"/>
  <c r="BY155" i="282" s="1"/>
  <c r="BY115" i="282"/>
  <c r="BY47" i="282"/>
  <c r="BY84" i="282"/>
  <c r="BY87" i="282" s="1"/>
  <c r="BY23" i="282"/>
  <c r="BY24" i="282" s="1"/>
  <c r="BZ21" i="282" s="1"/>
  <c r="BX94" i="282"/>
  <c r="BX162" i="282"/>
  <c r="BY160" i="282" l="1"/>
  <c r="BX121" i="315"/>
  <c r="BY92" i="282"/>
  <c r="BX125" i="265"/>
  <c r="AQ125" i="277" s="1"/>
  <c r="BZ10" i="282"/>
  <c r="BZ12" i="282" s="1"/>
  <c r="BY93" i="282"/>
  <c r="BY88" i="282"/>
  <c r="BY156" i="282"/>
  <c r="BY161" i="282"/>
  <c r="BV121" i="321"/>
  <c r="BV122" i="321" s="1"/>
  <c r="BV128" i="321" s="1"/>
  <c r="BV134" i="321" s="1"/>
  <c r="BV258" i="321" s="1"/>
  <c r="BV117" i="321"/>
  <c r="BV118" i="321" s="1"/>
  <c r="BV127" i="321" s="1"/>
  <c r="BV133" i="321" s="1"/>
  <c r="BV146" i="321" s="1"/>
  <c r="BW187" i="321"/>
  <c r="BV119" i="265"/>
  <c r="BV115" i="315"/>
  <c r="BV268" i="288"/>
  <c r="BV118" i="288"/>
  <c r="BV242" i="321"/>
  <c r="BV243" i="321" s="1"/>
  <c r="BV361" i="321"/>
  <c r="BV98" i="282"/>
  <c r="BV238" i="321"/>
  <c r="BV101" i="288"/>
  <c r="BV49" i="321"/>
  <c r="BV28" i="282"/>
  <c r="BV164" i="321"/>
  <c r="BV166" i="321" s="1"/>
  <c r="BV251" i="288"/>
  <c r="BU29" i="282"/>
  <c r="BU245" i="321"/>
  <c r="BU257" i="321"/>
  <c r="BU260" i="321" s="1"/>
  <c r="BU145" i="321"/>
  <c r="BU148" i="321" s="1"/>
  <c r="BU78" i="321"/>
  <c r="BT175" i="321"/>
  <c r="BT176" i="321" s="1"/>
  <c r="BT287" i="321"/>
  <c r="BT288" i="321" s="1"/>
  <c r="BS81" i="311"/>
  <c r="AZ368" i="321"/>
  <c r="AZ435" i="321"/>
  <c r="AZ436" i="321" s="1"/>
  <c r="AZ414" i="321"/>
  <c r="AZ367" i="321"/>
  <c r="AZ101" i="282"/>
  <c r="AZ257" i="288"/>
  <c r="AZ430" i="321"/>
  <c r="AZ33" i="282"/>
  <c r="AZ107" i="288"/>
  <c r="AY146" i="288"/>
  <c r="AY231" i="288"/>
  <c r="AY240" i="288" s="1"/>
  <c r="AW105" i="314"/>
  <c r="AW109" i="314" s="1"/>
  <c r="AW112" i="314" s="1"/>
  <c r="AW115" i="314" s="1"/>
  <c r="AY81" i="288"/>
  <c r="AY90" i="288" s="1"/>
  <c r="AY92" i="288" s="1"/>
  <c r="AY94" i="288" s="1"/>
  <c r="AW18" i="314"/>
  <c r="AW22" i="314" s="1"/>
  <c r="AW25" i="314" s="1"/>
  <c r="AZ260" i="288"/>
  <c r="AZ262" i="288" s="1"/>
  <c r="AZ110" i="288"/>
  <c r="AZ112" i="288" s="1"/>
  <c r="AZ366" i="321"/>
  <c r="AZ403" i="321"/>
  <c r="AZ404" i="321" s="1"/>
  <c r="AZ382" i="321"/>
  <c r="AZ365" i="321"/>
  <c r="AZ369" i="321" s="1"/>
  <c r="AZ255" i="288"/>
  <c r="AZ105" i="288"/>
  <c r="AZ100" i="282"/>
  <c r="AZ32" i="282"/>
  <c r="AZ398" i="321"/>
  <c r="BW299" i="321"/>
  <c r="BV120" i="265"/>
  <c r="BV269" i="288"/>
  <c r="BV119" i="288"/>
  <c r="BV116" i="315"/>
  <c r="BV354" i="321"/>
  <c r="BV363" i="321"/>
  <c r="BV99" i="282"/>
  <c r="BV350" i="321"/>
  <c r="BV276" i="321"/>
  <c r="BV278" i="321" s="1"/>
  <c r="BV50" i="321"/>
  <c r="BV253" i="288"/>
  <c r="BV103" i="288"/>
  <c r="BV30" i="282"/>
  <c r="BU356" i="321"/>
  <c r="BT70" i="265"/>
  <c r="AO70" i="277" s="1"/>
  <c r="BT20" i="265"/>
  <c r="AO20" i="277" s="1"/>
  <c r="AX714" i="321"/>
  <c r="AX679" i="321"/>
  <c r="AX680" i="321" s="1"/>
  <c r="AX442" i="321"/>
  <c r="AX443" i="321" s="1"/>
  <c r="AX46" i="288" l="1"/>
  <c r="AX446" i="321"/>
  <c r="AX447" i="321" s="1"/>
  <c r="AX529" i="321"/>
  <c r="AX485" i="321"/>
  <c r="AX196" i="288"/>
  <c r="AX687" i="321"/>
  <c r="AX688" i="321" s="1"/>
  <c r="AX681" i="321"/>
  <c r="AX102" i="282"/>
  <c r="AX34" i="282"/>
  <c r="AX715" i="321"/>
  <c r="BU31" i="282"/>
  <c r="BU357" i="321"/>
  <c r="BV283" i="321"/>
  <c r="BV18" i="315"/>
  <c r="BV66" i="315"/>
  <c r="BV19" i="265"/>
  <c r="AP19" i="277" s="1"/>
  <c r="BV69" i="265"/>
  <c r="AP69" i="277" s="1"/>
  <c r="BV355" i="321"/>
  <c r="AP120" i="277"/>
  <c r="BV63" i="328"/>
  <c r="AP74" i="328" s="1"/>
  <c r="BW346" i="321"/>
  <c r="BW349" i="321" s="1"/>
  <c r="BW302" i="321"/>
  <c r="BW104" i="288"/>
  <c r="BW113" i="321"/>
  <c r="BW254" i="288"/>
  <c r="BW120" i="321"/>
  <c r="AZ67" i="315"/>
  <c r="AZ21" i="265"/>
  <c r="AE21" i="277" s="1"/>
  <c r="AZ71" i="265"/>
  <c r="AE71" i="277" s="1"/>
  <c r="AZ19" i="315"/>
  <c r="AZ16" i="314"/>
  <c r="AZ110" i="314"/>
  <c r="AZ142" i="288"/>
  <c r="AZ143" i="288" s="1"/>
  <c r="AZ79" i="288"/>
  <c r="AZ66" i="288"/>
  <c r="AZ103" i="314"/>
  <c r="AZ21" i="328"/>
  <c r="AE41" i="328" s="1"/>
  <c r="AZ23" i="314"/>
  <c r="AZ216" i="288"/>
  <c r="AZ229" i="288"/>
  <c r="AZ75" i="265"/>
  <c r="AE75" i="277" s="1"/>
  <c r="AZ71" i="315"/>
  <c r="BA401" i="321"/>
  <c r="AZ120" i="288"/>
  <c r="AZ117" i="315"/>
  <c r="AZ121" i="265"/>
  <c r="AE121" i="277" s="1"/>
  <c r="AZ270" i="288"/>
  <c r="AW27" i="314"/>
  <c r="AV29" i="314" s="1"/>
  <c r="AW88" i="314"/>
  <c r="AW171" i="314"/>
  <c r="AW173" i="314" s="1"/>
  <c r="AW36" i="314"/>
  <c r="AZ22" i="265"/>
  <c r="AE22" i="277" s="1"/>
  <c r="AZ72" i="265"/>
  <c r="AE72" i="277" s="1"/>
  <c r="AZ20" i="315"/>
  <c r="AZ68" i="315"/>
  <c r="AZ72" i="315"/>
  <c r="AZ76" i="265"/>
  <c r="AE76" i="277" s="1"/>
  <c r="BA433" i="321"/>
  <c r="AZ122" i="265"/>
  <c r="AE122" i="277" s="1"/>
  <c r="AZ118" i="315"/>
  <c r="AZ271" i="288"/>
  <c r="AZ121" i="288"/>
  <c r="BT41" i="311"/>
  <c r="BT82" i="311" s="1"/>
  <c r="BT40" i="311"/>
  <c r="BU170" i="321"/>
  <c r="BU172" i="321" s="1"/>
  <c r="BU282" i="321"/>
  <c r="BU284" i="321" s="1"/>
  <c r="BU68" i="265"/>
  <c r="BU18" i="265"/>
  <c r="BV171" i="321"/>
  <c r="BV52" i="321"/>
  <c r="BV67" i="265"/>
  <c r="AP67" i="277" s="1"/>
  <c r="BV17" i="315"/>
  <c r="BV65" i="315"/>
  <c r="BV17" i="265"/>
  <c r="AP17" i="277" s="1"/>
  <c r="BV244" i="321"/>
  <c r="BV62" i="328"/>
  <c r="AP73" i="328" s="1"/>
  <c r="AP119" i="277"/>
  <c r="BW234" i="321"/>
  <c r="BW237" i="321" s="1"/>
  <c r="BW190" i="321"/>
  <c r="BW252" i="288"/>
  <c r="BW112" i="321"/>
  <c r="BW114" i="321" s="1"/>
  <c r="BW102" i="288"/>
  <c r="BW116" i="321"/>
  <c r="BY30" i="315"/>
  <c r="BY32" i="265"/>
  <c r="BZ152" i="282"/>
  <c r="BZ155" i="282" s="1"/>
  <c r="BZ115" i="282"/>
  <c r="BZ47" i="282"/>
  <c r="BZ84" i="282"/>
  <c r="BZ87" i="282" s="1"/>
  <c r="BZ23" i="282"/>
  <c r="BZ24" i="282" s="1"/>
  <c r="CA21" i="282" s="1"/>
  <c r="BY94" i="282"/>
  <c r="BY162" i="282"/>
  <c r="BZ160" i="282" l="1"/>
  <c r="BY121" i="315"/>
  <c r="BZ92" i="282"/>
  <c r="BY125" i="265"/>
  <c r="CA10" i="282"/>
  <c r="CA12" i="282" s="1"/>
  <c r="BZ93" i="282"/>
  <c r="BZ88" i="282"/>
  <c r="BZ156" i="282"/>
  <c r="BZ161" i="282"/>
  <c r="BW117" i="321"/>
  <c r="BW118" i="321" s="1"/>
  <c r="BW127" i="321" s="1"/>
  <c r="BW133" i="321" s="1"/>
  <c r="BW146" i="321" s="1"/>
  <c r="BW121" i="321"/>
  <c r="BW122" i="321" s="1"/>
  <c r="BW128" i="321" s="1"/>
  <c r="BW134" i="321" s="1"/>
  <c r="BW258" i="321" s="1"/>
  <c r="BX187" i="321"/>
  <c r="BW119" i="265"/>
  <c r="BW62" i="328" s="1"/>
  <c r="BW115" i="315"/>
  <c r="BW268" i="288"/>
  <c r="BW118" i="288"/>
  <c r="BW242" i="321"/>
  <c r="BW243" i="321" s="1"/>
  <c r="BW361" i="321"/>
  <c r="BW98" i="282"/>
  <c r="BW49" i="321"/>
  <c r="BW251" i="288"/>
  <c r="BW238" i="321"/>
  <c r="BW28" i="282"/>
  <c r="BW164" i="321"/>
  <c r="BW166" i="321" s="1"/>
  <c r="BW101" i="288"/>
  <c r="BV29" i="282"/>
  <c r="BV245" i="321"/>
  <c r="BV145" i="321"/>
  <c r="BV148" i="321" s="1"/>
  <c r="BV257" i="321"/>
  <c r="BV260" i="321" s="1"/>
  <c r="BV78" i="321"/>
  <c r="BU287" i="321"/>
  <c r="BU288" i="321" s="1"/>
  <c r="BU175" i="321"/>
  <c r="BU176" i="321" s="1"/>
  <c r="BT81" i="311"/>
  <c r="BA427" i="321"/>
  <c r="BA429" i="321" s="1"/>
  <c r="BA411" i="321"/>
  <c r="BA413" i="321" s="1"/>
  <c r="BA258" i="288"/>
  <c r="BA108" i="288"/>
  <c r="AW107" i="282"/>
  <c r="AW174" i="314"/>
  <c r="AW39" i="282"/>
  <c r="AV32" i="314"/>
  <c r="AZ273" i="288"/>
  <c r="AZ275" i="288" s="1"/>
  <c r="AZ123" i="288"/>
  <c r="AZ125" i="288" s="1"/>
  <c r="BA395" i="321"/>
  <c r="BA397" i="321" s="1"/>
  <c r="BA379" i="321"/>
  <c r="BA381" i="321" s="1"/>
  <c r="BA256" i="288"/>
  <c r="BA260" i="288" s="1"/>
  <c r="BA262" i="288" s="1"/>
  <c r="BA106" i="288"/>
  <c r="BA110" i="288" s="1"/>
  <c r="BA112" i="288" s="1"/>
  <c r="AZ231" i="288"/>
  <c r="AZ240" i="288" s="1"/>
  <c r="AX105" i="314"/>
  <c r="AX109" i="314" s="1"/>
  <c r="AX112" i="314" s="1"/>
  <c r="AX115" i="314" s="1"/>
  <c r="AZ81" i="288"/>
  <c r="AZ90" i="288" s="1"/>
  <c r="AZ92" i="288" s="1"/>
  <c r="AZ94" i="288" s="1"/>
  <c r="AZ146" i="288"/>
  <c r="AX18" i="314"/>
  <c r="AX22" i="314" s="1"/>
  <c r="AX25" i="314" s="1"/>
  <c r="BX299" i="321"/>
  <c r="BW116" i="315"/>
  <c r="BW120" i="265"/>
  <c r="BW63" i="328" s="1"/>
  <c r="BW269" i="288"/>
  <c r="BW119" i="288"/>
  <c r="BW354" i="321"/>
  <c r="BW363" i="321"/>
  <c r="BW99" i="282"/>
  <c r="BW276" i="321"/>
  <c r="BW278" i="321" s="1"/>
  <c r="BW253" i="288"/>
  <c r="BW30" i="282"/>
  <c r="BW350" i="321"/>
  <c r="BW103" i="288"/>
  <c r="BW50" i="321"/>
  <c r="BV356" i="321"/>
  <c r="BU70" i="265"/>
  <c r="BU20" i="265"/>
  <c r="AX26" i="265"/>
  <c r="AD26" i="277" s="1"/>
  <c r="AX24" i="315"/>
  <c r="AX84" i="265"/>
  <c r="AD84" i="277" s="1"/>
  <c r="AX80" i="315"/>
  <c r="AX53" i="265"/>
  <c r="AD53" i="277" s="1"/>
  <c r="AX51" i="315"/>
  <c r="AY684" i="321"/>
  <c r="AX119" i="315"/>
  <c r="AX123" i="265"/>
  <c r="AD123" i="277" s="1"/>
  <c r="AX56" i="265"/>
  <c r="AD56" i="277" s="1"/>
  <c r="AX54" i="315"/>
  <c r="AY693" i="321" l="1"/>
  <c r="AY695" i="321" s="1"/>
  <c r="AY699" i="321" s="1"/>
  <c r="AY702" i="321" s="1"/>
  <c r="AY706" i="321" s="1"/>
  <c r="AY709" i="321" s="1"/>
  <c r="AY711" i="321" s="1"/>
  <c r="AY712" i="321"/>
  <c r="AY673" i="321"/>
  <c r="AY676" i="321" s="1"/>
  <c r="BV31" i="282"/>
  <c r="BV357" i="321"/>
  <c r="BW66" i="315"/>
  <c r="BW69" i="265"/>
  <c r="BW19" i="265"/>
  <c r="BW18" i="315"/>
  <c r="BW283" i="321"/>
  <c r="BW355" i="321"/>
  <c r="BX346" i="321"/>
  <c r="BX349" i="321" s="1"/>
  <c r="BX302" i="321"/>
  <c r="BX104" i="288"/>
  <c r="BX113" i="321"/>
  <c r="BX254" i="288"/>
  <c r="BX120" i="321"/>
  <c r="AX27" i="314"/>
  <c r="AW29" i="314" s="1"/>
  <c r="AX36" i="314"/>
  <c r="AX88" i="314"/>
  <c r="AX171" i="314"/>
  <c r="AX173" i="314" s="1"/>
  <c r="BA366" i="321"/>
  <c r="BA403" i="321"/>
  <c r="BA404" i="321" s="1"/>
  <c r="BA382" i="321"/>
  <c r="BA365" i="321"/>
  <c r="BA105" i="288"/>
  <c r="BA255" i="288"/>
  <c r="BA100" i="282"/>
  <c r="BA398" i="321"/>
  <c r="BA32" i="282"/>
  <c r="AW26" i="315"/>
  <c r="AW77" i="315"/>
  <c r="AW28" i="265"/>
  <c r="AW81" i="265"/>
  <c r="BA368" i="321"/>
  <c r="BA435" i="321"/>
  <c r="BA436" i="321" s="1"/>
  <c r="BA414" i="321"/>
  <c r="BA367" i="321"/>
  <c r="BA107" i="288"/>
  <c r="BA257" i="288"/>
  <c r="BA101" i="282"/>
  <c r="BA430" i="321"/>
  <c r="BA33" i="282"/>
  <c r="BU40" i="311"/>
  <c r="BU41" i="311"/>
  <c r="BU82" i="311" s="1"/>
  <c r="BV282" i="321"/>
  <c r="BV284" i="321" s="1"/>
  <c r="BV170" i="321"/>
  <c r="BV172" i="321" s="1"/>
  <c r="BV68" i="265"/>
  <c r="AP68" i="277" s="1"/>
  <c r="BV18" i="265"/>
  <c r="AP18" i="277" s="1"/>
  <c r="BW171" i="321"/>
  <c r="BW17" i="265"/>
  <c r="BW17" i="315"/>
  <c r="BW65" i="315"/>
  <c r="BW67" i="265"/>
  <c r="BW52" i="321"/>
  <c r="BW244" i="321"/>
  <c r="BX234" i="321"/>
  <c r="BX237" i="321" s="1"/>
  <c r="BX190" i="321"/>
  <c r="BX102" i="288"/>
  <c r="BX116" i="321"/>
  <c r="BX252" i="288"/>
  <c r="BX112" i="321"/>
  <c r="BX114" i="321" s="1"/>
  <c r="BZ30" i="315"/>
  <c r="BZ32" i="265"/>
  <c r="AR32" i="277" s="1"/>
  <c r="CA152" i="282"/>
  <c r="CA155" i="282" s="1"/>
  <c r="CA115" i="282"/>
  <c r="CA47" i="282"/>
  <c r="CA84" i="282"/>
  <c r="CA87" i="282" s="1"/>
  <c r="CA23" i="282"/>
  <c r="CA24" i="282" s="1"/>
  <c r="CB21" i="282" s="1"/>
  <c r="BZ94" i="282"/>
  <c r="BZ162" i="282"/>
  <c r="CA160" i="282" l="1"/>
  <c r="BZ121" i="315"/>
  <c r="CA92" i="282"/>
  <c r="BZ125" i="265"/>
  <c r="AR125" i="277" s="1"/>
  <c r="CB10" i="282"/>
  <c r="CB12" i="282" s="1"/>
  <c r="CA93" i="282"/>
  <c r="CA88" i="282"/>
  <c r="CA156" i="282"/>
  <c r="CA161" i="282"/>
  <c r="BX121" i="321"/>
  <c r="BX122" i="321" s="1"/>
  <c r="BX128" i="321" s="1"/>
  <c r="BX134" i="321" s="1"/>
  <c r="BX258" i="321" s="1"/>
  <c r="BX117" i="321"/>
  <c r="BX118" i="321" s="1"/>
  <c r="BX127" i="321" s="1"/>
  <c r="BX133" i="321" s="1"/>
  <c r="BX146" i="321" s="1"/>
  <c r="BY187" i="321"/>
  <c r="BX118" i="288"/>
  <c r="BX119" i="265"/>
  <c r="BX115" i="315"/>
  <c r="BX268" i="288"/>
  <c r="BX242" i="321"/>
  <c r="BX243" i="321" s="1"/>
  <c r="BX361" i="321"/>
  <c r="BX98" i="282"/>
  <c r="BX101" i="288"/>
  <c r="BX28" i="282"/>
  <c r="BX164" i="321"/>
  <c r="BX166" i="321" s="1"/>
  <c r="BX49" i="321"/>
  <c r="BX251" i="288"/>
  <c r="BX238" i="321"/>
  <c r="BW29" i="282"/>
  <c r="BW245" i="321"/>
  <c r="BW78" i="321"/>
  <c r="BW145" i="321"/>
  <c r="BW148" i="321" s="1"/>
  <c r="BW257" i="321"/>
  <c r="BW260" i="321" s="1"/>
  <c r="BV175" i="321"/>
  <c r="BV176" i="321" s="1"/>
  <c r="BV287" i="321"/>
  <c r="BV288" i="321" s="1"/>
  <c r="BU81" i="311"/>
  <c r="BA72" i="265"/>
  <c r="BA20" i="315"/>
  <c r="BA68" i="315"/>
  <c r="BA22" i="265"/>
  <c r="BA76" i="265"/>
  <c r="BA72" i="315"/>
  <c r="BB433" i="321"/>
  <c r="BA271" i="288"/>
  <c r="BA121" i="288"/>
  <c r="BA122" i="265"/>
  <c r="BA118" i="315"/>
  <c r="BA19" i="315"/>
  <c r="BA67" i="315"/>
  <c r="BA21" i="265"/>
  <c r="BA71" i="265"/>
  <c r="BA369" i="321"/>
  <c r="BA71" i="315"/>
  <c r="BA75" i="265"/>
  <c r="BB401" i="321"/>
  <c r="BA121" i="265"/>
  <c r="BA270" i="288"/>
  <c r="BA273" i="288" s="1"/>
  <c r="BA275" i="288" s="1"/>
  <c r="BA120" i="288"/>
  <c r="BA123" i="288" s="1"/>
  <c r="BA125" i="288" s="1"/>
  <c r="BA117" i="315"/>
  <c r="AX107" i="282"/>
  <c r="AX39" i="282"/>
  <c r="AX174" i="314"/>
  <c r="AW32" i="314"/>
  <c r="BY299" i="321"/>
  <c r="BX269" i="288"/>
  <c r="BX119" i="288"/>
  <c r="BX116" i="315"/>
  <c r="BX120" i="265"/>
  <c r="BX354" i="321"/>
  <c r="BX363" i="321"/>
  <c r="BX99" i="282"/>
  <c r="BX30" i="282"/>
  <c r="BX276" i="321"/>
  <c r="BX278" i="321" s="1"/>
  <c r="BX350" i="321"/>
  <c r="BX50" i="321"/>
  <c r="BX253" i="288"/>
  <c r="BX103" i="288"/>
  <c r="BW356" i="321"/>
  <c r="BV70" i="265"/>
  <c r="AP70" i="277" s="1"/>
  <c r="BV20" i="265"/>
  <c r="AP20" i="277" s="1"/>
  <c r="AY442" i="321"/>
  <c r="AY443" i="321" s="1"/>
  <c r="AY679" i="321"/>
  <c r="AY680" i="321" s="1"/>
  <c r="AY714" i="321"/>
  <c r="AY102" i="282" l="1"/>
  <c r="AY715" i="321"/>
  <c r="AY34" i="282"/>
  <c r="AY687" i="321"/>
  <c r="AY688" i="321" s="1"/>
  <c r="AY681" i="321"/>
  <c r="AY46" i="288"/>
  <c r="AY446" i="321"/>
  <c r="AY447" i="321" s="1"/>
  <c r="AY529" i="321"/>
  <c r="AY485" i="321"/>
  <c r="AY196" i="288"/>
  <c r="BW31" i="282"/>
  <c r="BW357" i="321"/>
  <c r="BX18" i="315"/>
  <c r="BX66" i="315"/>
  <c r="BX69" i="265"/>
  <c r="AQ69" i="277" s="1"/>
  <c r="BX19" i="265"/>
  <c r="AQ19" i="277" s="1"/>
  <c r="BX283" i="321"/>
  <c r="BX355" i="321"/>
  <c r="BX63" i="328"/>
  <c r="AQ120" i="277"/>
  <c r="BY346" i="321"/>
  <c r="BY349" i="321" s="1"/>
  <c r="BY302" i="321"/>
  <c r="BY113" i="321"/>
  <c r="BY120" i="321"/>
  <c r="BY254" i="288"/>
  <c r="BY104" i="288"/>
  <c r="AX28" i="265"/>
  <c r="AD28" i="277" s="1"/>
  <c r="AX81" i="265"/>
  <c r="AD81" i="277" s="1"/>
  <c r="AX26" i="315"/>
  <c r="AX77" i="315"/>
  <c r="BB395" i="321"/>
  <c r="BB397" i="321" s="1"/>
  <c r="BB379" i="321"/>
  <c r="BB381" i="321" s="1"/>
  <c r="BB106" i="288"/>
  <c r="BB256" i="288"/>
  <c r="BA16" i="314"/>
  <c r="BA21" i="328"/>
  <c r="BA103" i="314"/>
  <c r="BA216" i="288"/>
  <c r="BA66" i="288"/>
  <c r="BA79" i="288"/>
  <c r="BA110" i="314"/>
  <c r="BA23" i="314"/>
  <c r="BA229" i="288"/>
  <c r="BA142" i="288"/>
  <c r="BA143" i="288" s="1"/>
  <c r="BB427" i="321"/>
  <c r="BB429" i="321" s="1"/>
  <c r="BB411" i="321"/>
  <c r="BB413" i="321" s="1"/>
  <c r="BB108" i="288"/>
  <c r="BB258" i="288"/>
  <c r="BV41" i="311"/>
  <c r="BV82" i="311" s="1"/>
  <c r="BV40" i="311"/>
  <c r="BW282" i="321"/>
  <c r="BW284" i="321" s="1"/>
  <c r="BW170" i="321"/>
  <c r="BW172" i="321" s="1"/>
  <c r="BW68" i="265"/>
  <c r="BW18" i="265"/>
  <c r="BX65" i="315"/>
  <c r="BX17" i="265"/>
  <c r="AQ17" i="277" s="1"/>
  <c r="BX67" i="265"/>
  <c r="AQ67" i="277" s="1"/>
  <c r="BX17" i="315"/>
  <c r="BX52" i="321"/>
  <c r="BX171" i="321"/>
  <c r="BX244" i="321"/>
  <c r="BX62" i="328"/>
  <c r="AQ119" i="277"/>
  <c r="BY234" i="321"/>
  <c r="BY237" i="321" s="1"/>
  <c r="BY190" i="321"/>
  <c r="BY116" i="321"/>
  <c r="BY252" i="288"/>
  <c r="BY102" i="288"/>
  <c r="BY112" i="321"/>
  <c r="BY114" i="321" s="1"/>
  <c r="CA30" i="315"/>
  <c r="CA32" i="265"/>
  <c r="CB152" i="282"/>
  <c r="CB155" i="282" s="1"/>
  <c r="CB115" i="282"/>
  <c r="CB47" i="282"/>
  <c r="CB84" i="282"/>
  <c r="CB87" i="282" s="1"/>
  <c r="CB23" i="282"/>
  <c r="CB24" i="282" s="1"/>
  <c r="CC21" i="282" s="1"/>
  <c r="CA94" i="282"/>
  <c r="CA162" i="282"/>
  <c r="CB160" i="282" l="1"/>
  <c r="CA121" i="315"/>
  <c r="CB92" i="282"/>
  <c r="CA125" i="265"/>
  <c r="CC10" i="282"/>
  <c r="CC12" i="282" s="1"/>
  <c r="CB93" i="282"/>
  <c r="CB88" i="282"/>
  <c r="CB156" i="282"/>
  <c r="CB161" i="282"/>
  <c r="BY117" i="321"/>
  <c r="BY118" i="321" s="1"/>
  <c r="BY127" i="321" s="1"/>
  <c r="BY133" i="321" s="1"/>
  <c r="BY146" i="321" s="1"/>
  <c r="BY121" i="321"/>
  <c r="BY122" i="321" s="1"/>
  <c r="BY128" i="321" s="1"/>
  <c r="BY134" i="321" s="1"/>
  <c r="BY258" i="321" s="1"/>
  <c r="BZ187" i="321"/>
  <c r="BY115" i="315"/>
  <c r="BY268" i="288"/>
  <c r="BY118" i="288"/>
  <c r="BY119" i="265"/>
  <c r="BY62" i="328" s="1"/>
  <c r="BY242" i="321"/>
  <c r="BY243" i="321" s="1"/>
  <c r="BY361" i="321"/>
  <c r="BY98" i="282"/>
  <c r="BY238" i="321"/>
  <c r="BY101" i="288"/>
  <c r="BY28" i="282"/>
  <c r="BY251" i="288"/>
  <c r="BY164" i="321"/>
  <c r="BY166" i="321" s="1"/>
  <c r="BY49" i="321"/>
  <c r="BX29" i="282"/>
  <c r="BX245" i="321"/>
  <c r="BX145" i="321"/>
  <c r="BX148" i="321" s="1"/>
  <c r="BX78" i="321"/>
  <c r="BX257" i="321"/>
  <c r="BX260" i="321" s="1"/>
  <c r="BW175" i="321"/>
  <c r="BW176" i="321" s="1"/>
  <c r="BW287" i="321"/>
  <c r="BW288" i="321" s="1"/>
  <c r="BV81" i="311"/>
  <c r="BB368" i="321"/>
  <c r="BB435" i="321"/>
  <c r="BB436" i="321" s="1"/>
  <c r="BB414" i="321"/>
  <c r="BB367" i="321"/>
  <c r="BB101" i="282"/>
  <c r="BB257" i="288"/>
  <c r="BB430" i="321"/>
  <c r="BB107" i="288"/>
  <c r="BB33" i="282"/>
  <c r="BA146" i="288"/>
  <c r="BA231" i="288"/>
  <c r="BA240" i="288" s="1"/>
  <c r="BA81" i="288"/>
  <c r="BA90" i="288" s="1"/>
  <c r="BA92" i="288" s="1"/>
  <c r="BA94" i="288" s="1"/>
  <c r="AY105" i="314"/>
  <c r="AY109" i="314" s="1"/>
  <c r="AY112" i="314" s="1"/>
  <c r="AY115" i="314" s="1"/>
  <c r="AY18" i="314"/>
  <c r="AY22" i="314" s="1"/>
  <c r="AY25" i="314" s="1"/>
  <c r="BB260" i="288"/>
  <c r="BB262" i="288" s="1"/>
  <c r="BB110" i="288"/>
  <c r="BB112" i="288" s="1"/>
  <c r="BB366" i="321"/>
  <c r="BB403" i="321"/>
  <c r="BB404" i="321" s="1"/>
  <c r="BB382" i="321"/>
  <c r="BB365" i="321"/>
  <c r="BB369" i="321" s="1"/>
  <c r="BB255" i="288"/>
  <c r="BB105" i="288"/>
  <c r="BB100" i="282"/>
  <c r="BB32" i="282"/>
  <c r="BB398" i="321"/>
  <c r="BZ299" i="321"/>
  <c r="BY269" i="288"/>
  <c r="BY119" i="288"/>
  <c r="BY116" i="315"/>
  <c r="BY120" i="265"/>
  <c r="BY63" i="328" s="1"/>
  <c r="BY354" i="321"/>
  <c r="BY363" i="321"/>
  <c r="BY99" i="282"/>
  <c r="BY30" i="282"/>
  <c r="BY350" i="321"/>
  <c r="BY103" i="288"/>
  <c r="BY276" i="321"/>
  <c r="BY278" i="321" s="1"/>
  <c r="BY253" i="288"/>
  <c r="BY50" i="321"/>
  <c r="BX356" i="321"/>
  <c r="BW70" i="265"/>
  <c r="BW20" i="265"/>
  <c r="AY54" i="315"/>
  <c r="AY56" i="265"/>
  <c r="AY51" i="315"/>
  <c r="AY53" i="265"/>
  <c r="AZ684" i="321"/>
  <c r="AY123" i="265"/>
  <c r="AY119" i="315"/>
  <c r="AY26" i="265"/>
  <c r="AY24" i="315"/>
  <c r="AY84" i="265"/>
  <c r="AY80" i="315"/>
  <c r="AZ693" i="321" l="1"/>
  <c r="AZ695" i="321" s="1"/>
  <c r="AZ699" i="321" s="1"/>
  <c r="AZ702" i="321" s="1"/>
  <c r="AZ706" i="321" s="1"/>
  <c r="AZ709" i="321" s="1"/>
  <c r="AZ711" i="321" s="1"/>
  <c r="AZ712" i="321"/>
  <c r="AZ673" i="321"/>
  <c r="AZ676" i="321" s="1"/>
  <c r="BX31" i="282"/>
  <c r="BX357" i="321"/>
  <c r="BY283" i="321"/>
  <c r="BY18" i="315"/>
  <c r="BY66" i="315"/>
  <c r="BY19" i="265"/>
  <c r="BY69" i="265"/>
  <c r="BY355" i="321"/>
  <c r="BZ346" i="321"/>
  <c r="BZ349" i="321" s="1"/>
  <c r="BZ302" i="321"/>
  <c r="BZ254" i="288"/>
  <c r="BZ120" i="321"/>
  <c r="BZ104" i="288"/>
  <c r="BZ113" i="321"/>
  <c r="BB67" i="315"/>
  <c r="BB21" i="265"/>
  <c r="AF21" i="277" s="1"/>
  <c r="BB71" i="265"/>
  <c r="AF71" i="277" s="1"/>
  <c r="BB19" i="315"/>
  <c r="BB16" i="314"/>
  <c r="BB142" i="288"/>
  <c r="BB143" i="288" s="1"/>
  <c r="BB66" i="288"/>
  <c r="BB103" i="314"/>
  <c r="BB216" i="288"/>
  <c r="BB23" i="314"/>
  <c r="BB79" i="288"/>
  <c r="BB110" i="314"/>
  <c r="BB229" i="288"/>
  <c r="BB21" i="328"/>
  <c r="AF41" i="328" s="1"/>
  <c r="BB75" i="265"/>
  <c r="AF75" i="277" s="1"/>
  <c r="BB71" i="315"/>
  <c r="BC401" i="321"/>
  <c r="BB120" i="288"/>
  <c r="BB117" i="315"/>
  <c r="BB270" i="288"/>
  <c r="BB121" i="265"/>
  <c r="AF121" i="277" s="1"/>
  <c r="AY27" i="314"/>
  <c r="AX29" i="314" s="1"/>
  <c r="AY171" i="314"/>
  <c r="AY173" i="314" s="1"/>
  <c r="AY36" i="314"/>
  <c r="AY88" i="314"/>
  <c r="BB72" i="265"/>
  <c r="AF72" i="277" s="1"/>
  <c r="BB20" i="315"/>
  <c r="BB68" i="315"/>
  <c r="BB22" i="265"/>
  <c r="AF22" i="277" s="1"/>
  <c r="BB72" i="315"/>
  <c r="BB76" i="265"/>
  <c r="AF76" i="277" s="1"/>
  <c r="BC433" i="321"/>
  <c r="BB121" i="288"/>
  <c r="BB122" i="265"/>
  <c r="AF122" i="277" s="1"/>
  <c r="BB118" i="315"/>
  <c r="BB271" i="288"/>
  <c r="BW41" i="311"/>
  <c r="BW82" i="311" s="1"/>
  <c r="BW40" i="311"/>
  <c r="BX282" i="321"/>
  <c r="BX284" i="321" s="1"/>
  <c r="BX170" i="321"/>
  <c r="BX172" i="321" s="1"/>
  <c r="BX68" i="265"/>
  <c r="AQ68" i="277" s="1"/>
  <c r="BX18" i="265"/>
  <c r="AQ18" i="277" s="1"/>
  <c r="BY52" i="321"/>
  <c r="BY171" i="321"/>
  <c r="BY17" i="315"/>
  <c r="BY65" i="315"/>
  <c r="BY17" i="265"/>
  <c r="BY67" i="265"/>
  <c r="BY244" i="321"/>
  <c r="BZ234" i="321"/>
  <c r="BZ237" i="321" s="1"/>
  <c r="BZ190" i="321"/>
  <c r="BZ252" i="288"/>
  <c r="BZ112" i="321"/>
  <c r="BZ114" i="321" s="1"/>
  <c r="BZ102" i="288"/>
  <c r="BZ116" i="321"/>
  <c r="CB30" i="315"/>
  <c r="CB32" i="265"/>
  <c r="AS32" i="277" s="1"/>
  <c r="CC152" i="282"/>
  <c r="CC155" i="282" s="1"/>
  <c r="CC115" i="282"/>
  <c r="CC47" i="282"/>
  <c r="CC84" i="282"/>
  <c r="CC87" i="282" s="1"/>
  <c r="CC23" i="282"/>
  <c r="CC24" i="282" s="1"/>
  <c r="CD21" i="282" s="1"/>
  <c r="CB94" i="282"/>
  <c r="CB162" i="282"/>
  <c r="CC160" i="282" l="1"/>
  <c r="CB121" i="315"/>
  <c r="CC92" i="282"/>
  <c r="CB125" i="265"/>
  <c r="AS125" i="277" s="1"/>
  <c r="CD10" i="282"/>
  <c r="CD12" i="282" s="1"/>
  <c r="CC93" i="282"/>
  <c r="CC88" i="282"/>
  <c r="CC156" i="282"/>
  <c r="CC161" i="282"/>
  <c r="BZ121" i="321"/>
  <c r="BZ122" i="321" s="1"/>
  <c r="BZ128" i="321" s="1"/>
  <c r="BZ134" i="321" s="1"/>
  <c r="BZ258" i="321" s="1"/>
  <c r="BZ117" i="321"/>
  <c r="BZ118" i="321" s="1"/>
  <c r="BZ127" i="321" s="1"/>
  <c r="BZ133" i="321" s="1"/>
  <c r="BZ146" i="321" s="1"/>
  <c r="CA187" i="321"/>
  <c r="BZ119" i="265"/>
  <c r="BZ115" i="315"/>
  <c r="BZ268" i="288"/>
  <c r="BZ118" i="288"/>
  <c r="BZ242" i="321"/>
  <c r="BZ243" i="321" s="1"/>
  <c r="BZ361" i="321"/>
  <c r="BZ98" i="282"/>
  <c r="BZ49" i="321"/>
  <c r="BZ251" i="288"/>
  <c r="BZ238" i="321"/>
  <c r="BZ101" i="288"/>
  <c r="BZ28" i="282"/>
  <c r="BZ164" i="321"/>
  <c r="BZ166" i="321" s="1"/>
  <c r="BY29" i="282"/>
  <c r="BY245" i="321"/>
  <c r="BY145" i="321"/>
  <c r="BY148" i="321" s="1"/>
  <c r="BY78" i="321"/>
  <c r="BY257" i="321"/>
  <c r="BY260" i="321" s="1"/>
  <c r="BX175" i="321"/>
  <c r="BX176" i="321" s="1"/>
  <c r="BX287" i="321"/>
  <c r="BX288" i="321" s="1"/>
  <c r="BW81" i="311"/>
  <c r="BC427" i="321"/>
  <c r="BC429" i="321" s="1"/>
  <c r="BC411" i="321"/>
  <c r="BC413" i="321" s="1"/>
  <c r="BC258" i="288"/>
  <c r="BC108" i="288"/>
  <c r="AY107" i="282"/>
  <c r="AY174" i="314"/>
  <c r="AY39" i="282"/>
  <c r="AX32" i="314"/>
  <c r="BB273" i="288"/>
  <c r="BB275" i="288" s="1"/>
  <c r="BB123" i="288"/>
  <c r="BB125" i="288" s="1"/>
  <c r="BC395" i="321"/>
  <c r="BC397" i="321" s="1"/>
  <c r="BC379" i="321"/>
  <c r="BC381" i="321" s="1"/>
  <c r="BC256" i="288"/>
  <c r="BC260" i="288" s="1"/>
  <c r="BC262" i="288" s="1"/>
  <c r="BC106" i="288"/>
  <c r="BC110" i="288" s="1"/>
  <c r="BC112" i="288" s="1"/>
  <c r="BB231" i="288"/>
  <c r="BB240" i="288" s="1"/>
  <c r="BB81" i="288"/>
  <c r="BB90" i="288" s="1"/>
  <c r="BB92" i="288" s="1"/>
  <c r="BB94" i="288" s="1"/>
  <c r="AZ105" i="314"/>
  <c r="AZ109" i="314" s="1"/>
  <c r="AZ112" i="314" s="1"/>
  <c r="AZ115" i="314" s="1"/>
  <c r="BB146" i="288"/>
  <c r="AZ18" i="314"/>
  <c r="AZ22" i="314" s="1"/>
  <c r="AZ25" i="314" s="1"/>
  <c r="CA299" i="321"/>
  <c r="BZ119" i="288"/>
  <c r="BZ116" i="315"/>
  <c r="BZ120" i="265"/>
  <c r="BZ269" i="288"/>
  <c r="BZ354" i="321"/>
  <c r="BZ363" i="321"/>
  <c r="BZ99" i="282"/>
  <c r="BZ50" i="321"/>
  <c r="BZ30" i="282"/>
  <c r="BZ103" i="288"/>
  <c r="BZ350" i="321"/>
  <c r="BZ276" i="321"/>
  <c r="BZ278" i="321" s="1"/>
  <c r="BZ253" i="288"/>
  <c r="BY356" i="321"/>
  <c r="BX70" i="265"/>
  <c r="AQ70" i="277" s="1"/>
  <c r="BX20" i="265"/>
  <c r="AQ20" i="277" s="1"/>
  <c r="AZ679" i="321"/>
  <c r="AZ680" i="321" s="1"/>
  <c r="AZ442" i="321"/>
  <c r="AZ443" i="321" s="1"/>
  <c r="AZ714" i="321"/>
  <c r="AZ102" i="282" l="1"/>
  <c r="AZ34" i="282"/>
  <c r="AZ715" i="321"/>
  <c r="AZ46" i="288"/>
  <c r="AZ529" i="321"/>
  <c r="AZ446" i="321"/>
  <c r="AZ447" i="321" s="1"/>
  <c r="AZ485" i="321"/>
  <c r="AZ196" i="288"/>
  <c r="AZ687" i="321"/>
  <c r="AZ688" i="321" s="1"/>
  <c r="AZ681" i="321"/>
  <c r="BY31" i="282"/>
  <c r="BY357" i="321"/>
  <c r="BZ283" i="321"/>
  <c r="BZ19" i="265"/>
  <c r="AR19" i="277" s="1"/>
  <c r="BZ18" i="315"/>
  <c r="BZ66" i="315"/>
  <c r="BZ69" i="265"/>
  <c r="AR69" i="277" s="1"/>
  <c r="BZ355" i="321"/>
  <c r="BZ63" i="328"/>
  <c r="AR120" i="277"/>
  <c r="CA346" i="321"/>
  <c r="CA349" i="321" s="1"/>
  <c r="CA302" i="321"/>
  <c r="CA104" i="288"/>
  <c r="CA113" i="321"/>
  <c r="CA120" i="321"/>
  <c r="CA254" i="288"/>
  <c r="AZ27" i="314"/>
  <c r="AY29" i="314" s="1"/>
  <c r="AZ171" i="314"/>
  <c r="AZ173" i="314" s="1"/>
  <c r="AZ88" i="314"/>
  <c r="AZ36" i="314"/>
  <c r="BC366" i="321"/>
  <c r="BC403" i="321"/>
  <c r="BC404" i="321" s="1"/>
  <c r="BC382" i="321"/>
  <c r="BC365" i="321"/>
  <c r="BC255" i="288"/>
  <c r="BC105" i="288"/>
  <c r="BC100" i="282"/>
  <c r="BC398" i="321"/>
  <c r="BC32" i="282"/>
  <c r="AY81" i="265"/>
  <c r="AY26" i="315"/>
  <c r="AY77" i="315"/>
  <c r="AY28" i="265"/>
  <c r="BC368" i="321"/>
  <c r="BC435" i="321"/>
  <c r="BC436" i="321" s="1"/>
  <c r="BC414" i="321"/>
  <c r="BC367" i="321"/>
  <c r="BC257" i="288"/>
  <c r="BC107" i="288"/>
  <c r="BC101" i="282"/>
  <c r="BC430" i="321"/>
  <c r="BC33" i="282"/>
  <c r="BX41" i="311"/>
  <c r="BX82" i="311" s="1"/>
  <c r="BX40" i="311"/>
  <c r="BY282" i="321"/>
  <c r="BY284" i="321" s="1"/>
  <c r="BY170" i="321"/>
  <c r="BY172" i="321" s="1"/>
  <c r="BY68" i="265"/>
  <c r="BY18" i="265"/>
  <c r="BZ171" i="321"/>
  <c r="BZ67" i="265"/>
  <c r="AR67" i="277" s="1"/>
  <c r="BZ17" i="315"/>
  <c r="BZ65" i="315"/>
  <c r="BZ17" i="265"/>
  <c r="AR17" i="277" s="1"/>
  <c r="BZ52" i="321"/>
  <c r="BZ244" i="321"/>
  <c r="BZ62" i="328"/>
  <c r="AR119" i="277"/>
  <c r="CA234" i="321"/>
  <c r="CA237" i="321" s="1"/>
  <c r="CA190" i="321"/>
  <c r="CA116" i="321"/>
  <c r="CA102" i="288"/>
  <c r="CA112" i="321"/>
  <c r="CA114" i="321" s="1"/>
  <c r="CA252" i="288"/>
  <c r="CC30" i="315"/>
  <c r="CC32" i="265"/>
  <c r="CD152" i="282"/>
  <c r="CD155" i="282" s="1"/>
  <c r="CD115" i="282"/>
  <c r="CD47" i="282"/>
  <c r="CD84" i="282"/>
  <c r="CD87" i="282" s="1"/>
  <c r="CD23" i="282"/>
  <c r="CD24" i="282" s="1"/>
  <c r="CE21" i="282" s="1"/>
  <c r="CC94" i="282"/>
  <c r="CC162" i="282"/>
  <c r="CD160" i="282" l="1"/>
  <c r="CC121" i="315"/>
  <c r="CD92" i="282"/>
  <c r="CC125" i="265"/>
  <c r="CE10" i="282"/>
  <c r="CE12" i="282" s="1"/>
  <c r="CD93" i="282"/>
  <c r="CD88" i="282"/>
  <c r="CD156" i="282"/>
  <c r="CD161" i="282"/>
  <c r="CA121" i="321"/>
  <c r="CA122" i="321" s="1"/>
  <c r="CA128" i="321" s="1"/>
  <c r="CA134" i="321" s="1"/>
  <c r="CA258" i="321" s="1"/>
  <c r="CA117" i="321"/>
  <c r="CA118" i="321" s="1"/>
  <c r="CA127" i="321" s="1"/>
  <c r="CA133" i="321" s="1"/>
  <c r="CA146" i="321" s="1"/>
  <c r="CB187" i="321"/>
  <c r="CA268" i="288"/>
  <c r="CA118" i="288"/>
  <c r="CA119" i="265"/>
  <c r="CA62" i="328" s="1"/>
  <c r="CA115" i="315"/>
  <c r="CA242" i="321"/>
  <c r="CA243" i="321" s="1"/>
  <c r="CA361" i="321"/>
  <c r="CA98" i="282"/>
  <c r="CA164" i="321"/>
  <c r="CA166" i="321" s="1"/>
  <c r="CA49" i="321"/>
  <c r="CA251" i="288"/>
  <c r="CA238" i="321"/>
  <c r="CA101" i="288"/>
  <c r="CA28" i="282"/>
  <c r="BZ29" i="282"/>
  <c r="BZ245" i="321"/>
  <c r="BZ145" i="321"/>
  <c r="BZ148" i="321" s="1"/>
  <c r="BZ257" i="321"/>
  <c r="BZ260" i="321" s="1"/>
  <c r="BZ78" i="321"/>
  <c r="BY175" i="321"/>
  <c r="BY176" i="321" s="1"/>
  <c r="BY287" i="321"/>
  <c r="BY288" i="321" s="1"/>
  <c r="BX81" i="311"/>
  <c r="BC22" i="265"/>
  <c r="BC72" i="265"/>
  <c r="BC20" i="315"/>
  <c r="BC68" i="315"/>
  <c r="BC76" i="265"/>
  <c r="BC72" i="315"/>
  <c r="BD433" i="321"/>
  <c r="BC118" i="315"/>
  <c r="BC122" i="265"/>
  <c r="BC271" i="288"/>
  <c r="BC121" i="288"/>
  <c r="BC67" i="315"/>
  <c r="BC21" i="265"/>
  <c r="BC71" i="265"/>
  <c r="BC19" i="315"/>
  <c r="BC369" i="321"/>
  <c r="BC71" i="315"/>
  <c r="BC75" i="265"/>
  <c r="BD401" i="321"/>
  <c r="BC270" i="288"/>
  <c r="BC273" i="288" s="1"/>
  <c r="BC275" i="288" s="1"/>
  <c r="BC120" i="288"/>
  <c r="BC123" i="288" s="1"/>
  <c r="BC125" i="288" s="1"/>
  <c r="BC117" i="315"/>
  <c r="BC121" i="265"/>
  <c r="AZ107" i="282"/>
  <c r="AZ174" i="314"/>
  <c r="AZ39" i="282"/>
  <c r="AY32" i="314"/>
  <c r="CB299" i="321"/>
  <c r="CA119" i="288"/>
  <c r="CA116" i="315"/>
  <c r="CA120" i="265"/>
  <c r="CA63" i="328" s="1"/>
  <c r="CA269" i="288"/>
  <c r="CA354" i="321"/>
  <c r="CA363" i="321"/>
  <c r="CA99" i="282"/>
  <c r="CA276" i="321"/>
  <c r="CA278" i="321" s="1"/>
  <c r="CA350" i="321"/>
  <c r="CA30" i="282"/>
  <c r="CA50" i="321"/>
  <c r="CA253" i="288"/>
  <c r="CA103" i="288"/>
  <c r="BZ356" i="321"/>
  <c r="BY70" i="265"/>
  <c r="BY20" i="265"/>
  <c r="AZ53" i="265"/>
  <c r="AE53" i="277" s="1"/>
  <c r="AZ51" i="315"/>
  <c r="BA684" i="321"/>
  <c r="AZ119" i="315"/>
  <c r="AZ123" i="265"/>
  <c r="AE123" i="277" s="1"/>
  <c r="AZ54" i="315"/>
  <c r="AZ56" i="265"/>
  <c r="AE56" i="277" s="1"/>
  <c r="AZ80" i="315"/>
  <c r="AZ84" i="265"/>
  <c r="AE84" i="277" s="1"/>
  <c r="AZ26" i="265"/>
  <c r="AE26" i="277" s="1"/>
  <c r="AZ24" i="315"/>
  <c r="BA673" i="321" l="1"/>
  <c r="BA676" i="321" s="1"/>
  <c r="BA693" i="321"/>
  <c r="BA695" i="321" s="1"/>
  <c r="BA699" i="321" s="1"/>
  <c r="BA702" i="321" s="1"/>
  <c r="BA706" i="321" s="1"/>
  <c r="BA709" i="321" s="1"/>
  <c r="BA711" i="321" s="1"/>
  <c r="BA712" i="321"/>
  <c r="BZ31" i="282"/>
  <c r="BZ357" i="321"/>
  <c r="CA19" i="265"/>
  <c r="CA69" i="265"/>
  <c r="CA18" i="315"/>
  <c r="CA66" i="315"/>
  <c r="CA283" i="321"/>
  <c r="CA355" i="321"/>
  <c r="CB346" i="321"/>
  <c r="CB349" i="321" s="1"/>
  <c r="CB302" i="321"/>
  <c r="CB120" i="321"/>
  <c r="CB104" i="288"/>
  <c r="CB113" i="321"/>
  <c r="CB254" i="288"/>
  <c r="AZ28" i="265"/>
  <c r="AE28" i="277" s="1"/>
  <c r="AZ81" i="265"/>
  <c r="AE81" i="277" s="1"/>
  <c r="AZ26" i="315"/>
  <c r="AZ77" i="315"/>
  <c r="BD395" i="321"/>
  <c r="BD397" i="321" s="1"/>
  <c r="BD379" i="321"/>
  <c r="BD381" i="321" s="1"/>
  <c r="BD106" i="288"/>
  <c r="BD256" i="288"/>
  <c r="BC16" i="314"/>
  <c r="BC103" i="314"/>
  <c r="BC110" i="314"/>
  <c r="BC23" i="314"/>
  <c r="BC79" i="288"/>
  <c r="BC142" i="288"/>
  <c r="BC143" i="288" s="1"/>
  <c r="BC216" i="288"/>
  <c r="BC21" i="328"/>
  <c r="BC229" i="288"/>
  <c r="BC66" i="288"/>
  <c r="BD427" i="321"/>
  <c r="BD429" i="321" s="1"/>
  <c r="BD411" i="321"/>
  <c r="BD413" i="321" s="1"/>
  <c r="BD108" i="288"/>
  <c r="BD258" i="288"/>
  <c r="BY41" i="311"/>
  <c r="BY82" i="311" s="1"/>
  <c r="BY40" i="311"/>
  <c r="BZ282" i="321"/>
  <c r="BZ284" i="321" s="1"/>
  <c r="BZ170" i="321"/>
  <c r="BZ172" i="321" s="1"/>
  <c r="BZ68" i="265"/>
  <c r="AR68" i="277" s="1"/>
  <c r="BZ18" i="265"/>
  <c r="AR18" i="277" s="1"/>
  <c r="CA67" i="265"/>
  <c r="CA17" i="265"/>
  <c r="CA17" i="315"/>
  <c r="CA65" i="315"/>
  <c r="CA52" i="321"/>
  <c r="CA171" i="321"/>
  <c r="CA244" i="321"/>
  <c r="CB234" i="321"/>
  <c r="CB237" i="321" s="1"/>
  <c r="CB190" i="321"/>
  <c r="CB112" i="321"/>
  <c r="CB114" i="321" s="1"/>
  <c r="CB102" i="288"/>
  <c r="CB116" i="321"/>
  <c r="CB252" i="288"/>
  <c r="CD30" i="315"/>
  <c r="CD32" i="265"/>
  <c r="AT32" i="277" s="1"/>
  <c r="CE152" i="282"/>
  <c r="CE155" i="282" s="1"/>
  <c r="CE115" i="282"/>
  <c r="CE47" i="282"/>
  <c r="CE84" i="282"/>
  <c r="CE87" i="282" s="1"/>
  <c r="CE23" i="282"/>
  <c r="CE24" i="282" s="1"/>
  <c r="CF21" i="282" s="1"/>
  <c r="CD94" i="282"/>
  <c r="CD162" i="282"/>
  <c r="CE160" i="282" l="1"/>
  <c r="CD121" i="315"/>
  <c r="CE92" i="282"/>
  <c r="CD125" i="265"/>
  <c r="AT125" i="277" s="1"/>
  <c r="CF10" i="282"/>
  <c r="CF12" i="282" s="1"/>
  <c r="CE93" i="282"/>
  <c r="CE88" i="282"/>
  <c r="CE156" i="282"/>
  <c r="CE161" i="282"/>
  <c r="CB117" i="321"/>
  <c r="CB118" i="321" s="1"/>
  <c r="CB127" i="321" s="1"/>
  <c r="CB133" i="321" s="1"/>
  <c r="CB146" i="321" s="1"/>
  <c r="CB121" i="321"/>
  <c r="CB122" i="321" s="1"/>
  <c r="CB128" i="321" s="1"/>
  <c r="CB134" i="321" s="1"/>
  <c r="CB258" i="321" s="1"/>
  <c r="CC187" i="321"/>
  <c r="CB268" i="288"/>
  <c r="CB118" i="288"/>
  <c r="CB119" i="265"/>
  <c r="CB115" i="315"/>
  <c r="CB242" i="321"/>
  <c r="CB243" i="321" s="1"/>
  <c r="CB361" i="321"/>
  <c r="CB98" i="282"/>
  <c r="CB49" i="321"/>
  <c r="CB251" i="288"/>
  <c r="CB238" i="321"/>
  <c r="CB101" i="288"/>
  <c r="CB28" i="282"/>
  <c r="CB164" i="321"/>
  <c r="CB166" i="321" s="1"/>
  <c r="CA29" i="282"/>
  <c r="CA245" i="321"/>
  <c r="CA257" i="321"/>
  <c r="CA260" i="321" s="1"/>
  <c r="CA78" i="321"/>
  <c r="CA145" i="321"/>
  <c r="CA148" i="321" s="1"/>
  <c r="BZ175" i="321"/>
  <c r="BZ176" i="321" s="1"/>
  <c r="BZ287" i="321"/>
  <c r="BZ288" i="321" s="1"/>
  <c r="BY81" i="311"/>
  <c r="BD368" i="321"/>
  <c r="BD435" i="321"/>
  <c r="BD436" i="321" s="1"/>
  <c r="BD414" i="321"/>
  <c r="BD367" i="321"/>
  <c r="BD107" i="288"/>
  <c r="BD101" i="282"/>
  <c r="BD257" i="288"/>
  <c r="BD33" i="282"/>
  <c r="BD430" i="321"/>
  <c r="BC231" i="288"/>
  <c r="BC240" i="288" s="1"/>
  <c r="BC146" i="288"/>
  <c r="BC81" i="288"/>
  <c r="BC90" i="288" s="1"/>
  <c r="BC92" i="288" s="1"/>
  <c r="BC94" i="288" s="1"/>
  <c r="BA105" i="314"/>
  <c r="BA109" i="314" s="1"/>
  <c r="BA112" i="314" s="1"/>
  <c r="BA115" i="314" s="1"/>
  <c r="BA18" i="314"/>
  <c r="BA22" i="314" s="1"/>
  <c r="BA25" i="314" s="1"/>
  <c r="BD260" i="288"/>
  <c r="BD262" i="288" s="1"/>
  <c r="BD110" i="288"/>
  <c r="BD112" i="288" s="1"/>
  <c r="BD366" i="321"/>
  <c r="BD403" i="321"/>
  <c r="BD404" i="321" s="1"/>
  <c r="BD382" i="321"/>
  <c r="BD365" i="321"/>
  <c r="BD369" i="321" s="1"/>
  <c r="BD105" i="288"/>
  <c r="BD100" i="282"/>
  <c r="BD255" i="288"/>
  <c r="BD398" i="321"/>
  <c r="BD32" i="282"/>
  <c r="CC299" i="321"/>
  <c r="CB119" i="288"/>
  <c r="CB116" i="315"/>
  <c r="CB120" i="265"/>
  <c r="CB269" i="288"/>
  <c r="CB354" i="321"/>
  <c r="CB363" i="321"/>
  <c r="CB99" i="282"/>
  <c r="CB253" i="288"/>
  <c r="CB350" i="321"/>
  <c r="CB276" i="321"/>
  <c r="CB278" i="321" s="1"/>
  <c r="CB30" i="282"/>
  <c r="CB103" i="288"/>
  <c r="CB50" i="321"/>
  <c r="CA356" i="321"/>
  <c r="BZ70" i="265"/>
  <c r="AR70" i="277" s="1"/>
  <c r="BZ20" i="265"/>
  <c r="AR20" i="277" s="1"/>
  <c r="BA714" i="321"/>
  <c r="BA442" i="321"/>
  <c r="BA443" i="321" s="1"/>
  <c r="BA679" i="321"/>
  <c r="BA680" i="321" s="1"/>
  <c r="BA687" i="321" l="1"/>
  <c r="BA688" i="321" s="1"/>
  <c r="BA681" i="321"/>
  <c r="BA46" i="288"/>
  <c r="BA446" i="321"/>
  <c r="BA447" i="321" s="1"/>
  <c r="BA529" i="321"/>
  <c r="BA485" i="321"/>
  <c r="BA196" i="288"/>
  <c r="BA102" i="282"/>
  <c r="BA715" i="321"/>
  <c r="BA34" i="282"/>
  <c r="CA31" i="282"/>
  <c r="CA357" i="321"/>
  <c r="CB283" i="321"/>
  <c r="CB19" i="265"/>
  <c r="AS19" i="277" s="1"/>
  <c r="CB69" i="265"/>
  <c r="AS69" i="277" s="1"/>
  <c r="CB18" i="315"/>
  <c r="CB66" i="315"/>
  <c r="CB355" i="321"/>
  <c r="CB63" i="328"/>
  <c r="AS120" i="277"/>
  <c r="CC346" i="321"/>
  <c r="CC349" i="321" s="1"/>
  <c r="CC302" i="321"/>
  <c r="CC104" i="288"/>
  <c r="CC113" i="321"/>
  <c r="CC120" i="321"/>
  <c r="CC254" i="288"/>
  <c r="BD21" i="265"/>
  <c r="AG21" i="277" s="1"/>
  <c r="BD71" i="265"/>
  <c r="AG71" i="277" s="1"/>
  <c r="BD19" i="315"/>
  <c r="BD67" i="315"/>
  <c r="BD16" i="314"/>
  <c r="BD110" i="314"/>
  <c r="BD142" i="288"/>
  <c r="BD143" i="288" s="1"/>
  <c r="BD23" i="314"/>
  <c r="BD79" i="288"/>
  <c r="BD229" i="288"/>
  <c r="BD103" i="314"/>
  <c r="BD21" i="328"/>
  <c r="AG41" i="328" s="1"/>
  <c r="BD66" i="288"/>
  <c r="BD216" i="288"/>
  <c r="BD75" i="265"/>
  <c r="AG75" i="277" s="1"/>
  <c r="BD71" i="315"/>
  <c r="BE401" i="321"/>
  <c r="BD120" i="288"/>
  <c r="BD121" i="265"/>
  <c r="AG121" i="277" s="1"/>
  <c r="BD117" i="315"/>
  <c r="BD270" i="288"/>
  <c r="BA27" i="314"/>
  <c r="AZ29" i="314" s="1"/>
  <c r="BA171" i="314"/>
  <c r="BA173" i="314" s="1"/>
  <c r="BA36" i="314"/>
  <c r="BA88" i="314"/>
  <c r="BD22" i="265"/>
  <c r="AG22" i="277" s="1"/>
  <c r="BD72" i="265"/>
  <c r="AG72" i="277" s="1"/>
  <c r="BD20" i="315"/>
  <c r="BD68" i="315"/>
  <c r="BD76" i="265"/>
  <c r="AG76" i="277" s="1"/>
  <c r="BD72" i="315"/>
  <c r="BE433" i="321"/>
  <c r="BD271" i="288"/>
  <c r="BD121" i="288"/>
  <c r="BD122" i="265"/>
  <c r="AG122" i="277" s="1"/>
  <c r="BD118" i="315"/>
  <c r="BZ41" i="311"/>
  <c r="BZ82" i="311" s="1"/>
  <c r="BZ40" i="311"/>
  <c r="CA170" i="321"/>
  <c r="CA172" i="321" s="1"/>
  <c r="CA282" i="321"/>
  <c r="CA284" i="321" s="1"/>
  <c r="CA68" i="265"/>
  <c r="CA18" i="265"/>
  <c r="CB171" i="321"/>
  <c r="CB67" i="265"/>
  <c r="AS67" i="277" s="1"/>
  <c r="CB17" i="265"/>
  <c r="AS17" i="277" s="1"/>
  <c r="CB17" i="315"/>
  <c r="CB65" i="315"/>
  <c r="CB52" i="321"/>
  <c r="CB244" i="321"/>
  <c r="CB62" i="328"/>
  <c r="AS119" i="277"/>
  <c r="CC234" i="321"/>
  <c r="CC237" i="321" s="1"/>
  <c r="CC190" i="321"/>
  <c r="CC112" i="321"/>
  <c r="CC114" i="321" s="1"/>
  <c r="CC116" i="321"/>
  <c r="CC252" i="288"/>
  <c r="CC102" i="288"/>
  <c r="CE30" i="315"/>
  <c r="CE32" i="265"/>
  <c r="CF152" i="282"/>
  <c r="CF155" i="282" s="1"/>
  <c r="CF115" i="282"/>
  <c r="CF47" i="282"/>
  <c r="CF84" i="282"/>
  <c r="CF87" i="282" s="1"/>
  <c r="CF23" i="282"/>
  <c r="CF24" i="282" s="1"/>
  <c r="CG21" i="282" s="1"/>
  <c r="CE94" i="282"/>
  <c r="CE162" i="282"/>
  <c r="CF160" i="282" l="1"/>
  <c r="CE121" i="315"/>
  <c r="CF92" i="282"/>
  <c r="CE125" i="265"/>
  <c r="CG10" i="282"/>
  <c r="CG12" i="282" s="1"/>
  <c r="CF93" i="282"/>
  <c r="CF88" i="282"/>
  <c r="CF156" i="282"/>
  <c r="CF161" i="282"/>
  <c r="CC121" i="321"/>
  <c r="CC122" i="321" s="1"/>
  <c r="CC128" i="321" s="1"/>
  <c r="CC134" i="321" s="1"/>
  <c r="CC258" i="321" s="1"/>
  <c r="CC117" i="321"/>
  <c r="CC118" i="321" s="1"/>
  <c r="CC127" i="321" s="1"/>
  <c r="CC133" i="321" s="1"/>
  <c r="CC146" i="321" s="1"/>
  <c r="CD187" i="321"/>
  <c r="CC115" i="315"/>
  <c r="CC268" i="288"/>
  <c r="CC118" i="288"/>
  <c r="CC119" i="265"/>
  <c r="CC62" i="328" s="1"/>
  <c r="CC242" i="321"/>
  <c r="CC243" i="321" s="1"/>
  <c r="CC361" i="321"/>
  <c r="CC98" i="282"/>
  <c r="CC251" i="288"/>
  <c r="CC238" i="321"/>
  <c r="CC101" i="288"/>
  <c r="CC28" i="282"/>
  <c r="CC164" i="321"/>
  <c r="CC166" i="321" s="1"/>
  <c r="CC49" i="321"/>
  <c r="CB29" i="282"/>
  <c r="CB245" i="321"/>
  <c r="CB78" i="321"/>
  <c r="CB257" i="321"/>
  <c r="CB260" i="321" s="1"/>
  <c r="CB145" i="321"/>
  <c r="CB148" i="321" s="1"/>
  <c r="CA287" i="321"/>
  <c r="CA288" i="321" s="1"/>
  <c r="CA175" i="321"/>
  <c r="CA176" i="321" s="1"/>
  <c r="BZ81" i="311"/>
  <c r="BE427" i="321"/>
  <c r="BE429" i="321" s="1"/>
  <c r="BE411" i="321"/>
  <c r="BE413" i="321" s="1"/>
  <c r="BE108" i="288"/>
  <c r="BE258" i="288"/>
  <c r="BA107" i="282"/>
  <c r="BA39" i="282"/>
  <c r="BA174" i="314"/>
  <c r="AZ32" i="314"/>
  <c r="BD273" i="288"/>
  <c r="BD275" i="288" s="1"/>
  <c r="BD123" i="288"/>
  <c r="BD125" i="288" s="1"/>
  <c r="BE395" i="321"/>
  <c r="BE397" i="321" s="1"/>
  <c r="BE379" i="321"/>
  <c r="BE381" i="321" s="1"/>
  <c r="BE106" i="288"/>
  <c r="BE110" i="288" s="1"/>
  <c r="BE112" i="288" s="1"/>
  <c r="BE256" i="288"/>
  <c r="BE260" i="288" s="1"/>
  <c r="BE262" i="288" s="1"/>
  <c r="BB105" i="314"/>
  <c r="BB109" i="314" s="1"/>
  <c r="BB112" i="314" s="1"/>
  <c r="BB115" i="314" s="1"/>
  <c r="BD231" i="288"/>
  <c r="BD240" i="288" s="1"/>
  <c r="BD81" i="288"/>
  <c r="BD90" i="288" s="1"/>
  <c r="BD92" i="288" s="1"/>
  <c r="BD94" i="288" s="1"/>
  <c r="BD146" i="288"/>
  <c r="BB18" i="314"/>
  <c r="BB22" i="314" s="1"/>
  <c r="BB25" i="314" s="1"/>
  <c r="CD299" i="321"/>
  <c r="CC116" i="315"/>
  <c r="CC120" i="265"/>
  <c r="CC63" i="328" s="1"/>
  <c r="CC269" i="288"/>
  <c r="CC119" i="288"/>
  <c r="CC354" i="321"/>
  <c r="CC363" i="321"/>
  <c r="CC99" i="282"/>
  <c r="CC276" i="321"/>
  <c r="CC278" i="321" s="1"/>
  <c r="CC50" i="321"/>
  <c r="CC30" i="282"/>
  <c r="CC253" i="288"/>
  <c r="CC350" i="321"/>
  <c r="CC103" i="288"/>
  <c r="CB356" i="321"/>
  <c r="CA70" i="265"/>
  <c r="CA20" i="265"/>
  <c r="BA80" i="315"/>
  <c r="BA26" i="265"/>
  <c r="BA24" i="315"/>
  <c r="BA84" i="265"/>
  <c r="BA56" i="265"/>
  <c r="BA54" i="315"/>
  <c r="BA53" i="265"/>
  <c r="BA51" i="315"/>
  <c r="BB684" i="321"/>
  <c r="BA123" i="265"/>
  <c r="BA119" i="315"/>
  <c r="BB673" i="321" l="1"/>
  <c r="BB676" i="321" s="1"/>
  <c r="BB693" i="321"/>
  <c r="BB695" i="321" s="1"/>
  <c r="BB699" i="321" s="1"/>
  <c r="BB702" i="321" s="1"/>
  <c r="BB706" i="321" s="1"/>
  <c r="BB709" i="321" s="1"/>
  <c r="BB711" i="321" s="1"/>
  <c r="BB712" i="321"/>
  <c r="CB31" i="282"/>
  <c r="CB357" i="321"/>
  <c r="CC19" i="265"/>
  <c r="CC69" i="265"/>
  <c r="CC18" i="315"/>
  <c r="CC66" i="315"/>
  <c r="CC283" i="321"/>
  <c r="CC355" i="321"/>
  <c r="CD346" i="321"/>
  <c r="CD349" i="321" s="1"/>
  <c r="CD302" i="321"/>
  <c r="CD104" i="288"/>
  <c r="CD113" i="321"/>
  <c r="CD254" i="288"/>
  <c r="CD120" i="321"/>
  <c r="BB27" i="314"/>
  <c r="BA29" i="314" s="1"/>
  <c r="BB171" i="314"/>
  <c r="BB173" i="314" s="1"/>
  <c r="BB36" i="314"/>
  <c r="BB88" i="314"/>
  <c r="BE366" i="321"/>
  <c r="BE403" i="321"/>
  <c r="BE404" i="321" s="1"/>
  <c r="BE382" i="321"/>
  <c r="BE365" i="321"/>
  <c r="BE100" i="282"/>
  <c r="BE398" i="321"/>
  <c r="BE32" i="282"/>
  <c r="BE255" i="288"/>
  <c r="BE105" i="288"/>
  <c r="BA81" i="265"/>
  <c r="BA28" i="265"/>
  <c r="BA26" i="315"/>
  <c r="BA77" i="315"/>
  <c r="BE368" i="321"/>
  <c r="BE435" i="321"/>
  <c r="BE436" i="321" s="1"/>
  <c r="BE414" i="321"/>
  <c r="BE367" i="321"/>
  <c r="BE101" i="282"/>
  <c r="BE107" i="288"/>
  <c r="BE33" i="282"/>
  <c r="BE430" i="321"/>
  <c r="BE257" i="288"/>
  <c r="CA40" i="311"/>
  <c r="CA41" i="311"/>
  <c r="CA82" i="311" s="1"/>
  <c r="CB170" i="321"/>
  <c r="CB172" i="321" s="1"/>
  <c r="CB282" i="321"/>
  <c r="CB284" i="321" s="1"/>
  <c r="CB68" i="265"/>
  <c r="AS68" i="277" s="1"/>
  <c r="CB18" i="265"/>
  <c r="AS18" i="277" s="1"/>
  <c r="CC52" i="321"/>
  <c r="CC171" i="321"/>
  <c r="CC65" i="315"/>
  <c r="CC17" i="315"/>
  <c r="CC17" i="265"/>
  <c r="CC67" i="265"/>
  <c r="CC244" i="321"/>
  <c r="CD234" i="321"/>
  <c r="CD237" i="321" s="1"/>
  <c r="CD190" i="321"/>
  <c r="CD112" i="321"/>
  <c r="CD114" i="321" s="1"/>
  <c r="CD102" i="288"/>
  <c r="CD116" i="321"/>
  <c r="CD252" i="288"/>
  <c r="CF30" i="315"/>
  <c r="CF32" i="265"/>
  <c r="AU32" i="277" s="1"/>
  <c r="CG152" i="282"/>
  <c r="CG155" i="282" s="1"/>
  <c r="CG115" i="282"/>
  <c r="CG47" i="282"/>
  <c r="CG84" i="282"/>
  <c r="CG87" i="282" s="1"/>
  <c r="CG23" i="282"/>
  <c r="CG24" i="282" s="1"/>
  <c r="CH21" i="282" s="1"/>
  <c r="CF94" i="282"/>
  <c r="CF162" i="282"/>
  <c r="CG160" i="282" l="1"/>
  <c r="CF121" i="315"/>
  <c r="CG92" i="282"/>
  <c r="CF125" i="265"/>
  <c r="AU125" i="277" s="1"/>
  <c r="CH10" i="282"/>
  <c r="CH12" i="282" s="1"/>
  <c r="CG93" i="282"/>
  <c r="CG88" i="282"/>
  <c r="CG156" i="282"/>
  <c r="CG161" i="282"/>
  <c r="CD117" i="321"/>
  <c r="CD118" i="321" s="1"/>
  <c r="CD127" i="321" s="1"/>
  <c r="CD133" i="321" s="1"/>
  <c r="CD146" i="321" s="1"/>
  <c r="CD121" i="321"/>
  <c r="CD122" i="321" s="1"/>
  <c r="CD128" i="321" s="1"/>
  <c r="CD134" i="321" s="1"/>
  <c r="CD258" i="321" s="1"/>
  <c r="CE187" i="321"/>
  <c r="CD118" i="288"/>
  <c r="CD119" i="265"/>
  <c r="CD115" i="315"/>
  <c r="CD268" i="288"/>
  <c r="CD242" i="321"/>
  <c r="CD243" i="321" s="1"/>
  <c r="CD361" i="321"/>
  <c r="CD98" i="282"/>
  <c r="CD251" i="288"/>
  <c r="CD238" i="321"/>
  <c r="CD101" i="288"/>
  <c r="CD28" i="282"/>
  <c r="CD164" i="321"/>
  <c r="CD166" i="321" s="1"/>
  <c r="CD49" i="321"/>
  <c r="CC29" i="282"/>
  <c r="CC245" i="321"/>
  <c r="CC145" i="321"/>
  <c r="CC148" i="321" s="1"/>
  <c r="CC78" i="321"/>
  <c r="CC257" i="321"/>
  <c r="CC260" i="321" s="1"/>
  <c r="CB287" i="321"/>
  <c r="CB288" i="321" s="1"/>
  <c r="CB175" i="321"/>
  <c r="CB176" i="321" s="1"/>
  <c r="CA81" i="311"/>
  <c r="BE22" i="265"/>
  <c r="BE72" i="265"/>
  <c r="BE20" i="315"/>
  <c r="BE68" i="315"/>
  <c r="BE72" i="315"/>
  <c r="BE76" i="265"/>
  <c r="BF433" i="321"/>
  <c r="BE121" i="288"/>
  <c r="BE118" i="315"/>
  <c r="BE122" i="265"/>
  <c r="BE271" i="288"/>
  <c r="BE21" i="265"/>
  <c r="BE71" i="265"/>
  <c r="BE67" i="315"/>
  <c r="BE19" i="315"/>
  <c r="BE369" i="321"/>
  <c r="BE71" i="315"/>
  <c r="BE75" i="265"/>
  <c r="BF401" i="321"/>
  <c r="BE121" i="265"/>
  <c r="BE270" i="288"/>
  <c r="BE273" i="288" s="1"/>
  <c r="BE275" i="288" s="1"/>
  <c r="BE120" i="288"/>
  <c r="BE123" i="288" s="1"/>
  <c r="BE125" i="288" s="1"/>
  <c r="BE117" i="315"/>
  <c r="BB107" i="282"/>
  <c r="BB39" i="282"/>
  <c r="BB174" i="314"/>
  <c r="BA32" i="314"/>
  <c r="CE299" i="321"/>
  <c r="CD116" i="315"/>
  <c r="CD120" i="265"/>
  <c r="CD269" i="288"/>
  <c r="CD119" i="288"/>
  <c r="CD354" i="321"/>
  <c r="CD363" i="321"/>
  <c r="CD99" i="282"/>
  <c r="CD50" i="321"/>
  <c r="CD30" i="282"/>
  <c r="CD103" i="288"/>
  <c r="CD350" i="321"/>
  <c r="CD276" i="321"/>
  <c r="CD278" i="321" s="1"/>
  <c r="CD253" i="288"/>
  <c r="CC356" i="321"/>
  <c r="CB70" i="265"/>
  <c r="AS70" i="277" s="1"/>
  <c r="CB20" i="265"/>
  <c r="AS20" i="277" s="1"/>
  <c r="BB714" i="321"/>
  <c r="BB442" i="321"/>
  <c r="BB443" i="321" s="1"/>
  <c r="BB679" i="321"/>
  <c r="BB680" i="321" s="1"/>
  <c r="BB687" i="321" l="1"/>
  <c r="BB688" i="321" s="1"/>
  <c r="BB681" i="321"/>
  <c r="BB46" i="288"/>
  <c r="BB446" i="321"/>
  <c r="BB447" i="321" s="1"/>
  <c r="BB529" i="321"/>
  <c r="BB485" i="321"/>
  <c r="BB196" i="288"/>
  <c r="BB715" i="321"/>
  <c r="BB102" i="282"/>
  <c r="BB34" i="282"/>
  <c r="CC31" i="282"/>
  <c r="CC357" i="321"/>
  <c r="CD283" i="321"/>
  <c r="CD69" i="265"/>
  <c r="AT69" i="277" s="1"/>
  <c r="CD18" i="315"/>
  <c r="CD66" i="315"/>
  <c r="CD19" i="265"/>
  <c r="AT19" i="277" s="1"/>
  <c r="CD355" i="321"/>
  <c r="CD63" i="328"/>
  <c r="AT120" i="277"/>
  <c r="CE346" i="321"/>
  <c r="CE349" i="321" s="1"/>
  <c r="CE302" i="321"/>
  <c r="CE120" i="321"/>
  <c r="CE254" i="288"/>
  <c r="CE104" i="288"/>
  <c r="CE113" i="321"/>
  <c r="BB28" i="265"/>
  <c r="AF28" i="277" s="1"/>
  <c r="BB81" i="265"/>
  <c r="AF81" i="277" s="1"/>
  <c r="BB26" i="315"/>
  <c r="BB77" i="315"/>
  <c r="BF395" i="321"/>
  <c r="BF397" i="321" s="1"/>
  <c r="BF379" i="321"/>
  <c r="BF381" i="321" s="1"/>
  <c r="BF106" i="288"/>
  <c r="BF256" i="288"/>
  <c r="BE16" i="314"/>
  <c r="BE216" i="288"/>
  <c r="BE110" i="314"/>
  <c r="BE79" i="288"/>
  <c r="BE229" i="288"/>
  <c r="BE21" i="328"/>
  <c r="BE23" i="314"/>
  <c r="BE103" i="314"/>
  <c r="BE66" i="288"/>
  <c r="BE142" i="288"/>
  <c r="BE143" i="288" s="1"/>
  <c r="BF427" i="321"/>
  <c r="BF429" i="321" s="1"/>
  <c r="BF411" i="321"/>
  <c r="BF413" i="321" s="1"/>
  <c r="BF108" i="288"/>
  <c r="BF258" i="288"/>
  <c r="CB40" i="311"/>
  <c r="CB41" i="311"/>
  <c r="CB82" i="311" s="1"/>
  <c r="CC282" i="321"/>
  <c r="CC284" i="321" s="1"/>
  <c r="CC170" i="321"/>
  <c r="CC172" i="321" s="1"/>
  <c r="CC68" i="265"/>
  <c r="CC18" i="265"/>
  <c r="CD52" i="321"/>
  <c r="CD171" i="321"/>
  <c r="CD67" i="265"/>
  <c r="AT67" i="277" s="1"/>
  <c r="CD17" i="315"/>
  <c r="CD65" i="315"/>
  <c r="CD17" i="265"/>
  <c r="AT17" i="277" s="1"/>
  <c r="CD244" i="321"/>
  <c r="CD62" i="328"/>
  <c r="AT119" i="277"/>
  <c r="CE234" i="321"/>
  <c r="CE237" i="321" s="1"/>
  <c r="CE190" i="321"/>
  <c r="CE116" i="321"/>
  <c r="CE252" i="288"/>
  <c r="CE102" i="288"/>
  <c r="CE112" i="321"/>
  <c r="CE114" i="321" s="1"/>
  <c r="CG30" i="315"/>
  <c r="CG32" i="265"/>
  <c r="CH152" i="282"/>
  <c r="CH155" i="282" s="1"/>
  <c r="CH115" i="282"/>
  <c r="CH47" i="282"/>
  <c r="CH84" i="282"/>
  <c r="CH87" i="282" s="1"/>
  <c r="CH23" i="282"/>
  <c r="CH24" i="282" s="1"/>
  <c r="CI21" i="282" s="1"/>
  <c r="CG94" i="282"/>
  <c r="CG162" i="282"/>
  <c r="CH160" i="282" l="1"/>
  <c r="CG121" i="315"/>
  <c r="CH92" i="282"/>
  <c r="CG125" i="265"/>
  <c r="CI10" i="282"/>
  <c r="CI12" i="282" s="1"/>
  <c r="CH93" i="282"/>
  <c r="CH88" i="282"/>
  <c r="CH156" i="282"/>
  <c r="CH161" i="282"/>
  <c r="CE117" i="321"/>
  <c r="CE118" i="321" s="1"/>
  <c r="CE127" i="321" s="1"/>
  <c r="CE133" i="321" s="1"/>
  <c r="CE146" i="321" s="1"/>
  <c r="CE121" i="321"/>
  <c r="CE122" i="321" s="1"/>
  <c r="CE128" i="321" s="1"/>
  <c r="CE134" i="321" s="1"/>
  <c r="CE258" i="321" s="1"/>
  <c r="CF187" i="321"/>
  <c r="CE115" i="315"/>
  <c r="CE268" i="288"/>
  <c r="CE118" i="288"/>
  <c r="CE119" i="265"/>
  <c r="CE62" i="328" s="1"/>
  <c r="CE242" i="321"/>
  <c r="CE243" i="321" s="1"/>
  <c r="CE361" i="321"/>
  <c r="CE98" i="282"/>
  <c r="CE251" i="288"/>
  <c r="CE238" i="321"/>
  <c r="CE101" i="288"/>
  <c r="CE28" i="282"/>
  <c r="CE164" i="321"/>
  <c r="CE166" i="321" s="1"/>
  <c r="CE49" i="321"/>
  <c r="CD29" i="282"/>
  <c r="CD245" i="321"/>
  <c r="CD145" i="321"/>
  <c r="CD148" i="321" s="1"/>
  <c r="CD78" i="321"/>
  <c r="CD257" i="321"/>
  <c r="CD260" i="321" s="1"/>
  <c r="CC175" i="321"/>
  <c r="CC176" i="321" s="1"/>
  <c r="CC287" i="321"/>
  <c r="CC288" i="321" s="1"/>
  <c r="CB81" i="311"/>
  <c r="BF368" i="321"/>
  <c r="BF435" i="321"/>
  <c r="BF436" i="321" s="1"/>
  <c r="BF414" i="321"/>
  <c r="BF367" i="321"/>
  <c r="BF257" i="288"/>
  <c r="BF107" i="288"/>
  <c r="BF101" i="282"/>
  <c r="BF33" i="282"/>
  <c r="BF430" i="321"/>
  <c r="BE146" i="288"/>
  <c r="BC105" i="314"/>
  <c r="BC109" i="314" s="1"/>
  <c r="BC112" i="314" s="1"/>
  <c r="BC115" i="314" s="1"/>
  <c r="BE231" i="288"/>
  <c r="BE240" i="288" s="1"/>
  <c r="BE81" i="288"/>
  <c r="BE90" i="288" s="1"/>
  <c r="BE92" i="288" s="1"/>
  <c r="BE94" i="288" s="1"/>
  <c r="BC18" i="314"/>
  <c r="BC22" i="314" s="1"/>
  <c r="BC25" i="314" s="1"/>
  <c r="BF260" i="288"/>
  <c r="BF262" i="288" s="1"/>
  <c r="BF110" i="288"/>
  <c r="BF112" i="288" s="1"/>
  <c r="BF366" i="321"/>
  <c r="BF403" i="321"/>
  <c r="BF404" i="321" s="1"/>
  <c r="BF382" i="321"/>
  <c r="BF365" i="321"/>
  <c r="BF369" i="321" s="1"/>
  <c r="BF255" i="288"/>
  <c r="BF105" i="288"/>
  <c r="BF100" i="282"/>
  <c r="BF398" i="321"/>
  <c r="BF32" i="282"/>
  <c r="CF299" i="321"/>
  <c r="CE269" i="288"/>
  <c r="CE119" i="288"/>
  <c r="CE116" i="315"/>
  <c r="CE120" i="265"/>
  <c r="CE63" i="328" s="1"/>
  <c r="CE354" i="321"/>
  <c r="CE363" i="321"/>
  <c r="CE99" i="282"/>
  <c r="CE350" i="321"/>
  <c r="CE103" i="288"/>
  <c r="CE276" i="321"/>
  <c r="CE278" i="321" s="1"/>
  <c r="CE50" i="321"/>
  <c r="CE30" i="282"/>
  <c r="CE253" i="288"/>
  <c r="CD356" i="321"/>
  <c r="CC70" i="265"/>
  <c r="CC20" i="265"/>
  <c r="BB26" i="265"/>
  <c r="AF26" i="277" s="1"/>
  <c r="BB80" i="315"/>
  <c r="BB84" i="265"/>
  <c r="AF84" i="277" s="1"/>
  <c r="BB24" i="315"/>
  <c r="BB56" i="265"/>
  <c r="AF56" i="277" s="1"/>
  <c r="BB54" i="315"/>
  <c r="BB53" i="265"/>
  <c r="AF53" i="277" s="1"/>
  <c r="BB51" i="315"/>
  <c r="BC684" i="321"/>
  <c r="BB119" i="315"/>
  <c r="BB123" i="265"/>
  <c r="AF123" i="277" s="1"/>
  <c r="BC712" i="321" l="1"/>
  <c r="BC714" i="321" s="1"/>
  <c r="BC673" i="321"/>
  <c r="BC676" i="321" s="1"/>
  <c r="BC693" i="321"/>
  <c r="BC695" i="321" s="1"/>
  <c r="BC699" i="321" s="1"/>
  <c r="CD31" i="282"/>
  <c r="CD357" i="321"/>
  <c r="CE283" i="321"/>
  <c r="CE18" i="315"/>
  <c r="CE66" i="315"/>
  <c r="CE69" i="265"/>
  <c r="CE19" i="265"/>
  <c r="CE355" i="321"/>
  <c r="CF346" i="321"/>
  <c r="CF349" i="321" s="1"/>
  <c r="CF302" i="321"/>
  <c r="CF104" i="288"/>
  <c r="CF113" i="321"/>
  <c r="CF254" i="288"/>
  <c r="CF120" i="321"/>
  <c r="BF21" i="265"/>
  <c r="AH21" i="277" s="1"/>
  <c r="BF71" i="265"/>
  <c r="AH71" i="277" s="1"/>
  <c r="BF19" i="315"/>
  <c r="BF67" i="315"/>
  <c r="BF16" i="314"/>
  <c r="BF79" i="288"/>
  <c r="BF142" i="288"/>
  <c r="BF143" i="288" s="1"/>
  <c r="BF66" i="288"/>
  <c r="BF229" i="288"/>
  <c r="BF21" i="328"/>
  <c r="AH41" i="328" s="1"/>
  <c r="BF103" i="314"/>
  <c r="BF216" i="288"/>
  <c r="BF23" i="314"/>
  <c r="BF110" i="314"/>
  <c r="BF75" i="265"/>
  <c r="AH75" i="277" s="1"/>
  <c r="BF71" i="315"/>
  <c r="BG401" i="321"/>
  <c r="BF121" i="265"/>
  <c r="AH121" i="277" s="1"/>
  <c r="BF270" i="288"/>
  <c r="BF120" i="288"/>
  <c r="BF117" i="315"/>
  <c r="BC27" i="314"/>
  <c r="BB29" i="314" s="1"/>
  <c r="BC36" i="314"/>
  <c r="BC88" i="314"/>
  <c r="BC171" i="314"/>
  <c r="BC173" i="314" s="1"/>
  <c r="BF68" i="315"/>
  <c r="BF22" i="265"/>
  <c r="AH22" i="277" s="1"/>
  <c r="BF72" i="265"/>
  <c r="AH72" i="277" s="1"/>
  <c r="BF20" i="315"/>
  <c r="BF72" i="315"/>
  <c r="BF76" i="265"/>
  <c r="AH76" i="277" s="1"/>
  <c r="BG433" i="321"/>
  <c r="BF271" i="288"/>
  <c r="BF121" i="288"/>
  <c r="BF118" i="315"/>
  <c r="BF122" i="265"/>
  <c r="AH122" i="277" s="1"/>
  <c r="CC41" i="311"/>
  <c r="CC82" i="311" s="1"/>
  <c r="CC40" i="311"/>
  <c r="CD282" i="321"/>
  <c r="CD284" i="321" s="1"/>
  <c r="CD170" i="321"/>
  <c r="CD172" i="321" s="1"/>
  <c r="CD68" i="265"/>
  <c r="AT68" i="277" s="1"/>
  <c r="CD18" i="265"/>
  <c r="AT18" i="277" s="1"/>
  <c r="CE52" i="321"/>
  <c r="CE171" i="321"/>
  <c r="CE17" i="265"/>
  <c r="CE65" i="315"/>
  <c r="CE67" i="265"/>
  <c r="CE17" i="315"/>
  <c r="CE244" i="321"/>
  <c r="CF234" i="321"/>
  <c r="CF237" i="321" s="1"/>
  <c r="CF190" i="321"/>
  <c r="CF116" i="321"/>
  <c r="CF252" i="288"/>
  <c r="CF112" i="321"/>
  <c r="CF114" i="321" s="1"/>
  <c r="CF102" i="288"/>
  <c r="CH30" i="315"/>
  <c r="CH32" i="265"/>
  <c r="AV32" i="277" s="1"/>
  <c r="CI152" i="282"/>
  <c r="CI155" i="282" s="1"/>
  <c r="CI115" i="282"/>
  <c r="CI47" i="282"/>
  <c r="CI84" i="282"/>
  <c r="CI87" i="282" s="1"/>
  <c r="CI23" i="282"/>
  <c r="CI24" i="282" s="1"/>
  <c r="CJ21" i="282" s="1"/>
  <c r="CH94" i="282"/>
  <c r="CH162" i="282"/>
  <c r="CI160" i="282" l="1"/>
  <c r="CH121" i="315"/>
  <c r="CI92" i="282"/>
  <c r="CH125" i="265"/>
  <c r="AV125" i="277" s="1"/>
  <c r="CJ10" i="282"/>
  <c r="CJ12" i="282" s="1"/>
  <c r="CI93" i="282"/>
  <c r="CI88" i="282"/>
  <c r="CI156" i="282"/>
  <c r="CI161" i="282"/>
  <c r="CF117" i="321"/>
  <c r="CF118" i="321" s="1"/>
  <c r="CF127" i="321" s="1"/>
  <c r="CF133" i="321" s="1"/>
  <c r="CF146" i="321" s="1"/>
  <c r="CF121" i="321"/>
  <c r="CF122" i="321" s="1"/>
  <c r="CF128" i="321" s="1"/>
  <c r="CF134" i="321" s="1"/>
  <c r="CF258" i="321" s="1"/>
  <c r="CG187" i="321"/>
  <c r="CF115" i="315"/>
  <c r="CF268" i="288"/>
  <c r="CF118" i="288"/>
  <c r="CF119" i="265"/>
  <c r="CF242" i="321"/>
  <c r="CF243" i="321" s="1"/>
  <c r="CF361" i="321"/>
  <c r="CF98" i="282"/>
  <c r="CF28" i="282"/>
  <c r="CF164" i="321"/>
  <c r="CF166" i="321" s="1"/>
  <c r="CF49" i="321"/>
  <c r="CF251" i="288"/>
  <c r="CF238" i="321"/>
  <c r="CF101" i="288"/>
  <c r="CE29" i="282"/>
  <c r="CE245" i="321"/>
  <c r="CE257" i="321"/>
  <c r="CE260" i="321" s="1"/>
  <c r="CE78" i="321"/>
  <c r="CE145" i="321"/>
  <c r="CE148" i="321" s="1"/>
  <c r="CD175" i="321"/>
  <c r="CD176" i="321" s="1"/>
  <c r="CD287" i="321"/>
  <c r="CD288" i="321" s="1"/>
  <c r="CC81" i="311"/>
  <c r="BG427" i="321"/>
  <c r="BG429" i="321" s="1"/>
  <c r="BG411" i="321"/>
  <c r="BG413" i="321" s="1"/>
  <c r="BG258" i="288"/>
  <c r="BG108" i="288"/>
  <c r="BC107" i="282"/>
  <c r="BC39" i="282"/>
  <c r="BC174" i="314"/>
  <c r="BB32" i="314"/>
  <c r="BF123" i="288"/>
  <c r="BF125" i="288" s="1"/>
  <c r="BF273" i="288"/>
  <c r="BF275" i="288" s="1"/>
  <c r="BG395" i="321"/>
  <c r="BG397" i="321" s="1"/>
  <c r="BG379" i="321"/>
  <c r="BG381" i="321" s="1"/>
  <c r="BG256" i="288"/>
  <c r="BG260" i="288" s="1"/>
  <c r="BG262" i="288" s="1"/>
  <c r="BG106" i="288"/>
  <c r="BG110" i="288" s="1"/>
  <c r="BG112" i="288" s="1"/>
  <c r="BD105" i="314"/>
  <c r="BD109" i="314" s="1"/>
  <c r="BD112" i="314" s="1"/>
  <c r="BD115" i="314" s="1"/>
  <c r="BF231" i="288"/>
  <c r="BF240" i="288" s="1"/>
  <c r="BF146" i="288"/>
  <c r="BF81" i="288"/>
  <c r="BF90" i="288" s="1"/>
  <c r="BF92" i="288" s="1"/>
  <c r="BF94" i="288" s="1"/>
  <c r="BD18" i="314"/>
  <c r="BD22" i="314" s="1"/>
  <c r="BD25" i="314" s="1"/>
  <c r="CG299" i="321"/>
  <c r="CF119" i="288"/>
  <c r="CF116" i="315"/>
  <c r="CF269" i="288"/>
  <c r="CF120" i="265"/>
  <c r="CF354" i="321"/>
  <c r="CF363" i="321"/>
  <c r="CF99" i="282"/>
  <c r="CF30" i="282"/>
  <c r="CF276" i="321"/>
  <c r="CF278" i="321" s="1"/>
  <c r="CF350" i="321"/>
  <c r="CF103" i="288"/>
  <c r="CF50" i="321"/>
  <c r="CF253" i="288"/>
  <c r="CE356" i="321"/>
  <c r="CD70" i="265"/>
  <c r="AT70" i="277" s="1"/>
  <c r="CD20" i="265"/>
  <c r="AT20" i="277" s="1"/>
  <c r="BC442" i="321"/>
  <c r="BC443" i="321" s="1"/>
  <c r="BC679" i="321"/>
  <c r="BC680" i="321" s="1"/>
  <c r="BC102" i="282"/>
  <c r="BC34" i="282"/>
  <c r="BC715" i="321"/>
  <c r="BC26" i="265" l="1"/>
  <c r="BC24" i="315"/>
  <c r="BC80" i="315"/>
  <c r="BC84" i="265"/>
  <c r="BC687" i="321"/>
  <c r="BC688" i="321" s="1"/>
  <c r="BC681" i="321"/>
  <c r="BC46" i="288"/>
  <c r="BC446" i="321"/>
  <c r="BC447" i="321" s="1"/>
  <c r="BC529" i="321"/>
  <c r="BC485" i="321"/>
  <c r="BC196" i="288"/>
  <c r="CE31" i="282"/>
  <c r="CE357" i="321"/>
  <c r="CF69" i="265"/>
  <c r="AU69" i="277" s="1"/>
  <c r="CF18" i="315"/>
  <c r="CF19" i="265"/>
  <c r="AU19" i="277" s="1"/>
  <c r="CF66" i="315"/>
  <c r="CF283" i="321"/>
  <c r="CF355" i="321"/>
  <c r="CF63" i="328"/>
  <c r="AU120" i="277"/>
  <c r="CG346" i="321"/>
  <c r="CG349" i="321" s="1"/>
  <c r="CG302" i="321"/>
  <c r="CG104" i="288"/>
  <c r="CG113" i="321"/>
  <c r="CG120" i="321"/>
  <c r="CG254" i="288"/>
  <c r="BD27" i="314"/>
  <c r="BC29" i="314" s="1"/>
  <c r="BD171" i="314"/>
  <c r="BD173" i="314" s="1"/>
  <c r="BD36" i="314"/>
  <c r="BD88" i="314"/>
  <c r="BG366" i="321"/>
  <c r="BG403" i="321"/>
  <c r="BG404" i="321" s="1"/>
  <c r="BG382" i="321"/>
  <c r="BG365" i="321"/>
  <c r="BG105" i="288"/>
  <c r="BG255" i="288"/>
  <c r="BG100" i="282"/>
  <c r="BG398" i="321"/>
  <c r="BG32" i="282"/>
  <c r="BC28" i="265"/>
  <c r="BC81" i="265"/>
  <c r="BC26" i="315"/>
  <c r="BC77" i="315"/>
  <c r="BG368" i="321"/>
  <c r="BG435" i="321"/>
  <c r="BG436" i="321" s="1"/>
  <c r="BG414" i="321"/>
  <c r="BG367" i="321"/>
  <c r="BG107" i="288"/>
  <c r="BG257" i="288"/>
  <c r="BG101" i="282"/>
  <c r="BG430" i="321"/>
  <c r="BG33" i="282"/>
  <c r="CD41" i="311"/>
  <c r="CD82" i="311" s="1"/>
  <c r="CD40" i="311"/>
  <c r="CE170" i="321"/>
  <c r="CE172" i="321" s="1"/>
  <c r="CE282" i="321"/>
  <c r="CE284" i="321" s="1"/>
  <c r="CE68" i="265"/>
  <c r="CE18" i="265"/>
  <c r="CF17" i="315"/>
  <c r="CF67" i="265"/>
  <c r="AU67" i="277" s="1"/>
  <c r="CF65" i="315"/>
  <c r="CF17" i="265"/>
  <c r="AU17" i="277" s="1"/>
  <c r="CF52" i="321"/>
  <c r="CF171" i="321"/>
  <c r="CF244" i="321"/>
  <c r="CF62" i="328"/>
  <c r="AU119" i="277"/>
  <c r="CG234" i="321"/>
  <c r="CG237" i="321" s="1"/>
  <c r="CG190" i="321"/>
  <c r="CG102" i="288"/>
  <c r="CG112" i="321"/>
  <c r="CG114" i="321" s="1"/>
  <c r="CG116" i="321"/>
  <c r="CG252" i="288"/>
  <c r="CI30" i="315"/>
  <c r="CI32" i="265"/>
  <c r="CJ152" i="282"/>
  <c r="CJ155" i="282" s="1"/>
  <c r="CJ115" i="282"/>
  <c r="CJ47" i="282"/>
  <c r="CJ84" i="282"/>
  <c r="CJ87" i="282" s="1"/>
  <c r="CJ23" i="282"/>
  <c r="CJ24" i="282" s="1"/>
  <c r="CK21" i="282" s="1"/>
  <c r="CI94" i="282"/>
  <c r="CI162" i="282"/>
  <c r="CJ160" i="282" l="1"/>
  <c r="CI121" i="315"/>
  <c r="CJ92" i="282"/>
  <c r="CI125" i="265"/>
  <c r="CK10" i="282"/>
  <c r="CK12" i="282" s="1"/>
  <c r="CJ93" i="282"/>
  <c r="CJ88" i="282"/>
  <c r="CJ156" i="282"/>
  <c r="CJ161" i="282"/>
  <c r="CG117" i="321"/>
  <c r="CG118" i="321" s="1"/>
  <c r="CG127" i="321" s="1"/>
  <c r="CG133" i="321" s="1"/>
  <c r="CG146" i="321" s="1"/>
  <c r="CG121" i="321"/>
  <c r="CG122" i="321" s="1"/>
  <c r="CG128" i="321" s="1"/>
  <c r="CG134" i="321" s="1"/>
  <c r="CG258" i="321" s="1"/>
  <c r="CH187" i="321"/>
  <c r="CG119" i="265"/>
  <c r="CG62" i="328" s="1"/>
  <c r="CG115" i="315"/>
  <c r="CG268" i="288"/>
  <c r="CG118" i="288"/>
  <c r="CG242" i="321"/>
  <c r="CG243" i="321" s="1"/>
  <c r="CG361" i="321"/>
  <c r="CG98" i="282"/>
  <c r="CG238" i="321"/>
  <c r="CG101" i="288"/>
  <c r="CG28" i="282"/>
  <c r="CG164" i="321"/>
  <c r="CG166" i="321" s="1"/>
  <c r="CG49" i="321"/>
  <c r="CG251" i="288"/>
  <c r="CF29" i="282"/>
  <c r="CF245" i="321"/>
  <c r="CF78" i="321"/>
  <c r="CF145" i="321"/>
  <c r="CF148" i="321" s="1"/>
  <c r="CF257" i="321"/>
  <c r="CF260" i="321" s="1"/>
  <c r="CE287" i="321"/>
  <c r="CE288" i="321" s="1"/>
  <c r="CE175" i="321"/>
  <c r="CE176" i="321" s="1"/>
  <c r="CD81" i="311"/>
  <c r="BG22" i="265"/>
  <c r="BG72" i="265"/>
  <c r="BG20" i="315"/>
  <c r="BG68" i="315"/>
  <c r="BG76" i="265"/>
  <c r="BG72" i="315"/>
  <c r="BH433" i="321"/>
  <c r="BG122" i="265"/>
  <c r="BG271" i="288"/>
  <c r="BG121" i="288"/>
  <c r="BG118" i="315"/>
  <c r="BG19" i="315"/>
  <c r="BG67" i="315"/>
  <c r="BG71" i="265"/>
  <c r="BG21" i="265"/>
  <c r="BG369" i="321"/>
  <c r="BG75" i="265"/>
  <c r="BG71" i="315"/>
  <c r="BH401" i="321"/>
  <c r="BG120" i="288"/>
  <c r="BG123" i="288" s="1"/>
  <c r="BG125" i="288" s="1"/>
  <c r="BG117" i="315"/>
  <c r="BG121" i="265"/>
  <c r="BG270" i="288"/>
  <c r="BG273" i="288" s="1"/>
  <c r="BG275" i="288" s="1"/>
  <c r="BD107" i="282"/>
  <c r="BD39" i="282"/>
  <c r="BD174" i="314"/>
  <c r="BC32" i="314"/>
  <c r="CH299" i="321"/>
  <c r="CG119" i="288"/>
  <c r="CG116" i="315"/>
  <c r="CG120" i="265"/>
  <c r="CG63" i="328" s="1"/>
  <c r="CG269" i="288"/>
  <c r="CG354" i="321"/>
  <c r="CG363" i="321"/>
  <c r="CG99" i="282"/>
  <c r="CG350" i="321"/>
  <c r="CG276" i="321"/>
  <c r="CG278" i="321" s="1"/>
  <c r="CG50" i="321"/>
  <c r="CG30" i="282"/>
  <c r="CG253" i="288"/>
  <c r="CG103" i="288"/>
  <c r="CF356" i="321"/>
  <c r="CE70" i="265"/>
  <c r="CE20" i="265"/>
  <c r="BC54" i="315"/>
  <c r="BC56" i="265"/>
  <c r="BC51" i="315"/>
  <c r="BC53" i="265"/>
  <c r="BD684" i="321"/>
  <c r="BC119" i="315"/>
  <c r="BC123" i="265"/>
  <c r="BD712" i="321" l="1"/>
  <c r="BD714" i="321" s="1"/>
  <c r="BD673" i="321"/>
  <c r="BD676" i="321" s="1"/>
  <c r="BD693" i="321"/>
  <c r="BD695" i="321" s="1"/>
  <c r="BD699" i="321" s="1"/>
  <c r="CF31" i="282"/>
  <c r="CF357" i="321"/>
  <c r="CG283" i="321"/>
  <c r="CG19" i="265"/>
  <c r="CG69" i="265"/>
  <c r="CG18" i="315"/>
  <c r="CG66" i="315"/>
  <c r="CG355" i="321"/>
  <c r="CH346" i="321"/>
  <c r="CH349" i="321" s="1"/>
  <c r="CH302" i="321"/>
  <c r="CH104" i="288"/>
  <c r="CH254" i="288"/>
  <c r="CH113" i="321"/>
  <c r="CH120" i="321"/>
  <c r="BD81" i="265"/>
  <c r="AG81" i="277" s="1"/>
  <c r="BD77" i="315"/>
  <c r="BD28" i="265"/>
  <c r="AG28" i="277" s="1"/>
  <c r="BD26" i="315"/>
  <c r="BH395" i="321"/>
  <c r="BH397" i="321" s="1"/>
  <c r="BH379" i="321"/>
  <c r="BH381" i="321" s="1"/>
  <c r="BH106" i="288"/>
  <c r="BH256" i="288"/>
  <c r="BG16" i="314"/>
  <c r="BG23" i="314"/>
  <c r="BG103" i="314"/>
  <c r="BG110" i="314"/>
  <c r="BG66" i="288"/>
  <c r="BG21" i="328"/>
  <c r="BG79" i="288"/>
  <c r="BG216" i="288"/>
  <c r="BG229" i="288"/>
  <c r="BG142" i="288"/>
  <c r="BG143" i="288" s="1"/>
  <c r="BH427" i="321"/>
  <c r="BH429" i="321" s="1"/>
  <c r="BH411" i="321"/>
  <c r="BH413" i="321" s="1"/>
  <c r="BH258" i="288"/>
  <c r="BH108" i="288"/>
  <c r="CE40" i="311"/>
  <c r="CE41" i="311"/>
  <c r="CE82" i="311" s="1"/>
  <c r="CF282" i="321"/>
  <c r="CF284" i="321" s="1"/>
  <c r="CF170" i="321"/>
  <c r="CF172" i="321" s="1"/>
  <c r="CF68" i="265"/>
  <c r="AU68" i="277" s="1"/>
  <c r="CF18" i="265"/>
  <c r="AU18" i="277" s="1"/>
  <c r="CG52" i="321"/>
  <c r="CG171" i="321"/>
  <c r="CG67" i="265"/>
  <c r="CG17" i="315"/>
  <c r="CG65" i="315"/>
  <c r="CG17" i="265"/>
  <c r="CG244" i="321"/>
  <c r="CH234" i="321"/>
  <c r="CH237" i="321" s="1"/>
  <c r="CH190" i="321"/>
  <c r="CH252" i="288"/>
  <c r="CH102" i="288"/>
  <c r="CH116" i="321"/>
  <c r="CH112" i="321"/>
  <c r="CH114" i="321" s="1"/>
  <c r="CJ30" i="315"/>
  <c r="CJ32" i="265"/>
  <c r="AW32" i="277" s="1"/>
  <c r="CK152" i="282"/>
  <c r="CK155" i="282" s="1"/>
  <c r="CK115" i="282"/>
  <c r="CK47" i="282"/>
  <c r="CK84" i="282"/>
  <c r="CK87" i="282" s="1"/>
  <c r="CK23" i="282"/>
  <c r="CK24" i="282" s="1"/>
  <c r="CL21" i="282" s="1"/>
  <c r="CJ94" i="282"/>
  <c r="CJ162" i="282"/>
  <c r="CK160" i="282" l="1"/>
  <c r="CJ121" i="315"/>
  <c r="CK92" i="282"/>
  <c r="CJ125" i="265"/>
  <c r="AW125" i="277" s="1"/>
  <c r="CL10" i="282"/>
  <c r="CL12" i="282" s="1"/>
  <c r="CK93" i="282"/>
  <c r="CK88" i="282"/>
  <c r="CK156" i="282"/>
  <c r="CK161" i="282"/>
  <c r="CH117" i="321"/>
  <c r="CH118" i="321" s="1"/>
  <c r="CH127" i="321" s="1"/>
  <c r="CH133" i="321" s="1"/>
  <c r="CH146" i="321" s="1"/>
  <c r="CH121" i="321"/>
  <c r="CH122" i="321" s="1"/>
  <c r="CH128" i="321" s="1"/>
  <c r="CH134" i="321" s="1"/>
  <c r="CH258" i="321" s="1"/>
  <c r="CI187" i="321"/>
  <c r="CH268" i="288"/>
  <c r="CH118" i="288"/>
  <c r="CH119" i="265"/>
  <c r="CH115" i="315"/>
  <c r="CH242" i="321"/>
  <c r="CH243" i="321" s="1"/>
  <c r="CH361" i="321"/>
  <c r="CH98" i="282"/>
  <c r="CH101" i="288"/>
  <c r="CH28" i="282"/>
  <c r="CH164" i="321"/>
  <c r="CH166" i="321" s="1"/>
  <c r="CH49" i="321"/>
  <c r="CH251" i="288"/>
  <c r="CH238" i="321"/>
  <c r="CG29" i="282"/>
  <c r="CG245" i="321"/>
  <c r="CG78" i="321"/>
  <c r="CG257" i="321"/>
  <c r="CG260" i="321" s="1"/>
  <c r="CG145" i="321"/>
  <c r="CG148" i="321" s="1"/>
  <c r="CF175" i="321"/>
  <c r="CF176" i="321" s="1"/>
  <c r="CF287" i="321"/>
  <c r="CF288" i="321" s="1"/>
  <c r="CE81" i="311"/>
  <c r="BH368" i="321"/>
  <c r="BH435" i="321"/>
  <c r="BH436" i="321" s="1"/>
  <c r="BH414" i="321"/>
  <c r="BH367" i="321"/>
  <c r="BH107" i="288"/>
  <c r="BH257" i="288"/>
  <c r="BH101" i="282"/>
  <c r="BH430" i="321"/>
  <c r="BH33" i="282"/>
  <c r="BG146" i="288"/>
  <c r="BG231" i="288"/>
  <c r="BG240" i="288" s="1"/>
  <c r="BG81" i="288"/>
  <c r="BG90" i="288" s="1"/>
  <c r="BG92" i="288" s="1"/>
  <c r="BG94" i="288" s="1"/>
  <c r="BE105" i="314"/>
  <c r="BE109" i="314" s="1"/>
  <c r="BE112" i="314" s="1"/>
  <c r="BE115" i="314" s="1"/>
  <c r="BE18" i="314"/>
  <c r="BE22" i="314" s="1"/>
  <c r="BE25" i="314" s="1"/>
  <c r="BH260" i="288"/>
  <c r="BH262" i="288" s="1"/>
  <c r="BH110" i="288"/>
  <c r="BH112" i="288" s="1"/>
  <c r="BH366" i="321"/>
  <c r="BH403" i="321"/>
  <c r="BH404" i="321" s="1"/>
  <c r="BH382" i="321"/>
  <c r="BH365" i="321"/>
  <c r="BH369" i="321" s="1"/>
  <c r="BH105" i="288"/>
  <c r="BH255" i="288"/>
  <c r="BH100" i="282"/>
  <c r="BH398" i="321"/>
  <c r="BH32" i="282"/>
  <c r="CI299" i="321"/>
  <c r="CH120" i="265"/>
  <c r="CH269" i="288"/>
  <c r="CH119" i="288"/>
  <c r="CH116" i="315"/>
  <c r="CH354" i="321"/>
  <c r="CH363" i="321"/>
  <c r="CH99" i="282"/>
  <c r="CH50" i="321"/>
  <c r="CH30" i="282"/>
  <c r="CH103" i="288"/>
  <c r="CH350" i="321"/>
  <c r="CH276" i="321"/>
  <c r="CH278" i="321" s="1"/>
  <c r="CH253" i="288"/>
  <c r="CG356" i="321"/>
  <c r="CF70" i="265"/>
  <c r="AU70" i="277" s="1"/>
  <c r="CF20" i="265"/>
  <c r="AU20" i="277" s="1"/>
  <c r="BD679" i="321"/>
  <c r="BD680" i="321" s="1"/>
  <c r="BD442" i="321"/>
  <c r="BD443" i="321" s="1"/>
  <c r="BD102" i="282"/>
  <c r="BD34" i="282"/>
  <c r="BD715" i="321"/>
  <c r="BD26" i="265" l="1"/>
  <c r="AG26" i="277" s="1"/>
  <c r="BD24" i="315"/>
  <c r="BD84" i="265"/>
  <c r="AG84" i="277" s="1"/>
  <c r="BD80" i="315"/>
  <c r="BD46" i="288"/>
  <c r="BD529" i="321"/>
  <c r="BD446" i="321"/>
  <c r="BD447" i="321" s="1"/>
  <c r="BD485" i="321"/>
  <c r="BD196" i="288"/>
  <c r="BD687" i="321"/>
  <c r="BD688" i="321" s="1"/>
  <c r="BD681" i="321"/>
  <c r="CG31" i="282"/>
  <c r="CG357" i="321"/>
  <c r="CH283" i="321"/>
  <c r="CH18" i="315"/>
  <c r="CH69" i="265"/>
  <c r="AV69" i="277" s="1"/>
  <c r="CH66" i="315"/>
  <c r="CH19" i="265"/>
  <c r="AV19" i="277" s="1"/>
  <c r="CH355" i="321"/>
  <c r="CH63" i="328"/>
  <c r="AV120" i="277"/>
  <c r="CI346" i="321"/>
  <c r="CI349" i="321" s="1"/>
  <c r="CI302" i="321"/>
  <c r="CI120" i="321"/>
  <c r="CI254" i="288"/>
  <c r="CI104" i="288"/>
  <c r="CI113" i="321"/>
  <c r="BH19" i="315"/>
  <c r="BH21" i="265"/>
  <c r="AI21" i="277" s="1"/>
  <c r="BH71" i="265"/>
  <c r="AI71" i="277" s="1"/>
  <c r="BH67" i="315"/>
  <c r="BH16" i="314"/>
  <c r="BH66" i="288"/>
  <c r="BH216" i="288"/>
  <c r="BH229" i="288"/>
  <c r="BH110" i="314"/>
  <c r="BH142" i="288"/>
  <c r="BH143" i="288" s="1"/>
  <c r="BH79" i="288"/>
  <c r="BH23" i="314"/>
  <c r="BH103" i="314"/>
  <c r="BH21" i="328"/>
  <c r="AI41" i="328" s="1"/>
  <c r="BH71" i="315"/>
  <c r="BH75" i="265"/>
  <c r="AI75" i="277" s="1"/>
  <c r="BI401" i="321"/>
  <c r="BH270" i="288"/>
  <c r="BH120" i="288"/>
  <c r="BH117" i="315"/>
  <c r="BH121" i="265"/>
  <c r="AI121" i="277" s="1"/>
  <c r="BE27" i="314"/>
  <c r="BD29" i="314" s="1"/>
  <c r="BE88" i="314"/>
  <c r="BE36" i="314"/>
  <c r="BE171" i="314"/>
  <c r="BE173" i="314" s="1"/>
  <c r="BH20" i="315"/>
  <c r="BH68" i="315"/>
  <c r="BH22" i="265"/>
  <c r="AI22" i="277" s="1"/>
  <c r="BH72" i="265"/>
  <c r="AI72" i="277" s="1"/>
  <c r="BH76" i="265"/>
  <c r="AI76" i="277" s="1"/>
  <c r="BH72" i="315"/>
  <c r="BI433" i="321"/>
  <c r="BH121" i="288"/>
  <c r="BH118" i="315"/>
  <c r="BH122" i="265"/>
  <c r="AI122" i="277" s="1"/>
  <c r="BH271" i="288"/>
  <c r="CF41" i="311"/>
  <c r="CF82" i="311" s="1"/>
  <c r="CF40" i="311"/>
  <c r="CG170" i="321"/>
  <c r="CG172" i="321" s="1"/>
  <c r="CG282" i="321"/>
  <c r="CG284" i="321" s="1"/>
  <c r="CG68" i="265"/>
  <c r="CG18" i="265"/>
  <c r="CH67" i="265"/>
  <c r="AV67" i="277" s="1"/>
  <c r="CH17" i="315"/>
  <c r="CH65" i="315"/>
  <c r="CH17" i="265"/>
  <c r="AV17" i="277" s="1"/>
  <c r="CH52" i="321"/>
  <c r="CH171" i="321"/>
  <c r="CH244" i="321"/>
  <c r="CH62" i="328"/>
  <c r="AV119" i="277"/>
  <c r="CI234" i="321"/>
  <c r="CI237" i="321" s="1"/>
  <c r="CI190" i="321"/>
  <c r="CI116" i="321"/>
  <c r="CI112" i="321"/>
  <c r="CI114" i="321" s="1"/>
  <c r="CI252" i="288"/>
  <c r="CI102" i="288"/>
  <c r="CK30" i="315"/>
  <c r="CK32" i="265"/>
  <c r="CL152" i="282"/>
  <c r="CL155" i="282" s="1"/>
  <c r="CL115" i="282"/>
  <c r="CL47" i="282"/>
  <c r="CL84" i="282"/>
  <c r="CL87" i="282" s="1"/>
  <c r="CL23" i="282"/>
  <c r="CL24" i="282" s="1"/>
  <c r="CM21" i="282" s="1"/>
  <c r="CK94" i="282"/>
  <c r="CK162" i="282"/>
  <c r="CL160" i="282" l="1"/>
  <c r="CK121" i="315"/>
  <c r="CL92" i="282"/>
  <c r="CK125" i="265"/>
  <c r="CM10" i="282"/>
  <c r="CM12" i="282" s="1"/>
  <c r="CL93" i="282"/>
  <c r="CL88" i="282"/>
  <c r="CL156" i="282"/>
  <c r="CL161" i="282"/>
  <c r="CI121" i="321"/>
  <c r="CI122" i="321" s="1"/>
  <c r="CI128" i="321" s="1"/>
  <c r="CI134" i="321" s="1"/>
  <c r="CI258" i="321" s="1"/>
  <c r="CI117" i="321"/>
  <c r="CI118" i="321" s="1"/>
  <c r="CI127" i="321" s="1"/>
  <c r="CI133" i="321" s="1"/>
  <c r="CI146" i="321" s="1"/>
  <c r="CJ187" i="321"/>
  <c r="CI119" i="265"/>
  <c r="CI62" i="328" s="1"/>
  <c r="CI115" i="315"/>
  <c r="CI268" i="288"/>
  <c r="CI118" i="288"/>
  <c r="CI242" i="321"/>
  <c r="CI243" i="321" s="1"/>
  <c r="CI361" i="321"/>
  <c r="CI98" i="282"/>
  <c r="CI49" i="321"/>
  <c r="CI251" i="288"/>
  <c r="CI238" i="321"/>
  <c r="CI101" i="288"/>
  <c r="CI28" i="282"/>
  <c r="CI164" i="321"/>
  <c r="CI166" i="321" s="1"/>
  <c r="CH29" i="282"/>
  <c r="CH245" i="321"/>
  <c r="CH78" i="321"/>
  <c r="CH257" i="321"/>
  <c r="CH260" i="321" s="1"/>
  <c r="CH145" i="321"/>
  <c r="CH148" i="321" s="1"/>
  <c r="CG287" i="321"/>
  <c r="CG288" i="321" s="1"/>
  <c r="CG175" i="321"/>
  <c r="CG176" i="321" s="1"/>
  <c r="CF81" i="311"/>
  <c r="BI427" i="321"/>
  <c r="BI429" i="321" s="1"/>
  <c r="BI411" i="321"/>
  <c r="BI413" i="321" s="1"/>
  <c r="BI258" i="288"/>
  <c r="BI108" i="288"/>
  <c r="BE107" i="282"/>
  <c r="BE39" i="282"/>
  <c r="BE174" i="314"/>
  <c r="BD32" i="314"/>
  <c r="BH123" i="288"/>
  <c r="BH125" i="288" s="1"/>
  <c r="BH273" i="288"/>
  <c r="BH275" i="288" s="1"/>
  <c r="BI395" i="321"/>
  <c r="BI397" i="321" s="1"/>
  <c r="BI379" i="321"/>
  <c r="BI381" i="321" s="1"/>
  <c r="BI256" i="288"/>
  <c r="BI260" i="288" s="1"/>
  <c r="BI262" i="288" s="1"/>
  <c r="BI106" i="288"/>
  <c r="BI110" i="288" s="1"/>
  <c r="BI112" i="288" s="1"/>
  <c r="BF105" i="314"/>
  <c r="BF109" i="314" s="1"/>
  <c r="BF112" i="314" s="1"/>
  <c r="BF115" i="314" s="1"/>
  <c r="BH81" i="288"/>
  <c r="BH90" i="288" s="1"/>
  <c r="BH92" i="288" s="1"/>
  <c r="BH94" i="288" s="1"/>
  <c r="BH146" i="288"/>
  <c r="BH231" i="288"/>
  <c r="BH240" i="288" s="1"/>
  <c r="BF18" i="314"/>
  <c r="BF22" i="314" s="1"/>
  <c r="BF25" i="314" s="1"/>
  <c r="CJ299" i="321"/>
  <c r="CI119" i="288"/>
  <c r="CI120" i="265"/>
  <c r="CI63" i="328" s="1"/>
  <c r="CI116" i="315"/>
  <c r="CI269" i="288"/>
  <c r="CI354" i="321"/>
  <c r="CI363" i="321"/>
  <c r="CI99" i="282"/>
  <c r="CI276" i="321"/>
  <c r="CI278" i="321" s="1"/>
  <c r="CI50" i="321"/>
  <c r="CI350" i="321"/>
  <c r="CI253" i="288"/>
  <c r="CI30" i="282"/>
  <c r="CI103" i="288"/>
  <c r="CH356" i="321"/>
  <c r="CG70" i="265"/>
  <c r="CG20" i="265"/>
  <c r="BD53" i="265"/>
  <c r="AG53" i="277" s="1"/>
  <c r="BD51" i="315"/>
  <c r="BE684" i="321"/>
  <c r="BD119" i="315"/>
  <c r="BD123" i="265"/>
  <c r="AG123" i="277" s="1"/>
  <c r="BD54" i="315"/>
  <c r="BD56" i="265"/>
  <c r="AG56" i="277" s="1"/>
  <c r="BE712" i="321" l="1"/>
  <c r="BE714" i="321" s="1"/>
  <c r="BE673" i="321"/>
  <c r="BE676" i="321" s="1"/>
  <c r="BE693" i="321"/>
  <c r="BE695" i="321" s="1"/>
  <c r="BE699" i="321" s="1"/>
  <c r="CH31" i="282"/>
  <c r="CH357" i="321"/>
  <c r="CI18" i="315"/>
  <c r="CI66" i="315"/>
  <c r="CI19" i="265"/>
  <c r="CI69" i="265"/>
  <c r="CI283" i="321"/>
  <c r="CI355" i="321"/>
  <c r="CJ346" i="321"/>
  <c r="CJ349" i="321" s="1"/>
  <c r="CJ302" i="321"/>
  <c r="CJ104" i="288"/>
  <c r="CJ113" i="321"/>
  <c r="CJ254" i="288"/>
  <c r="CJ120" i="321"/>
  <c r="BF27" i="314"/>
  <c r="BE29" i="314" s="1"/>
  <c r="BF88" i="314"/>
  <c r="BF171" i="314"/>
  <c r="BF173" i="314" s="1"/>
  <c r="BF36" i="314"/>
  <c r="BI366" i="321"/>
  <c r="BI403" i="321"/>
  <c r="BI404" i="321" s="1"/>
  <c r="BI382" i="321"/>
  <c r="BI365" i="321"/>
  <c r="BI255" i="288"/>
  <c r="BI105" i="288"/>
  <c r="BI100" i="282"/>
  <c r="BI398" i="321"/>
  <c r="BI32" i="282"/>
  <c r="BE77" i="315"/>
  <c r="BE28" i="265"/>
  <c r="BE26" i="315"/>
  <c r="BE81" i="265"/>
  <c r="BI368" i="321"/>
  <c r="BI435" i="321"/>
  <c r="BI436" i="321" s="1"/>
  <c r="BI414" i="321"/>
  <c r="BI367" i="321"/>
  <c r="BI257" i="288"/>
  <c r="BI107" i="288"/>
  <c r="BI101" i="282"/>
  <c r="BI430" i="321"/>
  <c r="BI33" i="282"/>
  <c r="CG40" i="311"/>
  <c r="CG41" i="311"/>
  <c r="CG82" i="311" s="1"/>
  <c r="CH170" i="321"/>
  <c r="CH172" i="321" s="1"/>
  <c r="CH282" i="321"/>
  <c r="CH284" i="321" s="1"/>
  <c r="CH68" i="265"/>
  <c r="AV68" i="277" s="1"/>
  <c r="CH18" i="265"/>
  <c r="AV18" i="277" s="1"/>
  <c r="CI171" i="321"/>
  <c r="CI65" i="315"/>
  <c r="CI17" i="265"/>
  <c r="CI17" i="315"/>
  <c r="CI67" i="265"/>
  <c r="CI52" i="321"/>
  <c r="CI244" i="321"/>
  <c r="CJ234" i="321"/>
  <c r="CJ237" i="321" s="1"/>
  <c r="CJ190" i="321"/>
  <c r="CJ112" i="321"/>
  <c r="CJ114" i="321" s="1"/>
  <c r="CJ116" i="321"/>
  <c r="CJ252" i="288"/>
  <c r="CJ102" i="288"/>
  <c r="CL30" i="315"/>
  <c r="CL32" i="265"/>
  <c r="AX32" i="277" s="1"/>
  <c r="CM152" i="282"/>
  <c r="CM155" i="282" s="1"/>
  <c r="CM115" i="282"/>
  <c r="CM47" i="282"/>
  <c r="CM84" i="282"/>
  <c r="CM87" i="282" s="1"/>
  <c r="CM23" i="282"/>
  <c r="CM24" i="282" s="1"/>
  <c r="CN21" i="282" s="1"/>
  <c r="CL94" i="282"/>
  <c r="CL162" i="282"/>
  <c r="CM160" i="282" l="1"/>
  <c r="CL121" i="315"/>
  <c r="CM92" i="282"/>
  <c r="CL125" i="265"/>
  <c r="AX125" i="277" s="1"/>
  <c r="CN10" i="282"/>
  <c r="CN12" i="282" s="1"/>
  <c r="CM93" i="282"/>
  <c r="CM88" i="282"/>
  <c r="CM156" i="282"/>
  <c r="CM161" i="282"/>
  <c r="CJ121" i="321"/>
  <c r="CJ122" i="321" s="1"/>
  <c r="CJ128" i="321" s="1"/>
  <c r="CJ134" i="321" s="1"/>
  <c r="CJ258" i="321" s="1"/>
  <c r="CJ117" i="321"/>
  <c r="CJ118" i="321" s="1"/>
  <c r="CJ127" i="321" s="1"/>
  <c r="CJ133" i="321" s="1"/>
  <c r="CJ146" i="321" s="1"/>
  <c r="CK187" i="321"/>
  <c r="CJ119" i="265"/>
  <c r="CJ115" i="315"/>
  <c r="CJ268" i="288"/>
  <c r="CJ118" i="288"/>
  <c r="CJ242" i="321"/>
  <c r="CJ243" i="321" s="1"/>
  <c r="CJ361" i="321"/>
  <c r="CJ98" i="282"/>
  <c r="CJ238" i="321"/>
  <c r="CJ101" i="288"/>
  <c r="CJ28" i="282"/>
  <c r="CJ164" i="321"/>
  <c r="CJ166" i="321" s="1"/>
  <c r="CJ49" i="321"/>
  <c r="CJ251" i="288"/>
  <c r="CI29" i="282"/>
  <c r="CI245" i="321"/>
  <c r="CI78" i="321"/>
  <c r="CI145" i="321"/>
  <c r="CI148" i="321" s="1"/>
  <c r="CI257" i="321"/>
  <c r="CI260" i="321" s="1"/>
  <c r="CH287" i="321"/>
  <c r="CH288" i="321" s="1"/>
  <c r="CH175" i="321"/>
  <c r="CH176" i="321" s="1"/>
  <c r="CG81" i="311"/>
  <c r="BI20" i="315"/>
  <c r="BI68" i="315"/>
  <c r="BI22" i="265"/>
  <c r="BI72" i="265"/>
  <c r="BI76" i="265"/>
  <c r="BI72" i="315"/>
  <c r="BJ433" i="321"/>
  <c r="BI118" i="315"/>
  <c r="BI271" i="288"/>
  <c r="BI122" i="265"/>
  <c r="BI121" i="288"/>
  <c r="BI21" i="265"/>
  <c r="BI71" i="265"/>
  <c r="BI19" i="315"/>
  <c r="BI67" i="315"/>
  <c r="BI369" i="321"/>
  <c r="BI75" i="265"/>
  <c r="BI71" i="315"/>
  <c r="BJ401" i="321"/>
  <c r="BI120" i="288"/>
  <c r="BI123" i="288" s="1"/>
  <c r="BI125" i="288" s="1"/>
  <c r="BI117" i="315"/>
  <c r="BI121" i="265"/>
  <c r="BI270" i="288"/>
  <c r="BI273" i="288" s="1"/>
  <c r="BI275" i="288" s="1"/>
  <c r="BF107" i="282"/>
  <c r="BF39" i="282"/>
  <c r="BF174" i="314"/>
  <c r="BE32" i="314"/>
  <c r="CK299" i="321"/>
  <c r="CJ120" i="265"/>
  <c r="CJ119" i="288"/>
  <c r="CJ269" i="288"/>
  <c r="CJ116" i="315"/>
  <c r="CJ354" i="321"/>
  <c r="CJ363" i="321"/>
  <c r="CJ99" i="282"/>
  <c r="CJ253" i="288"/>
  <c r="CJ350" i="321"/>
  <c r="CJ276" i="321"/>
  <c r="CJ278" i="321" s="1"/>
  <c r="CJ30" i="282"/>
  <c r="CJ103" i="288"/>
  <c r="CJ50" i="321"/>
  <c r="CI356" i="321"/>
  <c r="CH70" i="265"/>
  <c r="AV70" i="277" s="1"/>
  <c r="CH20" i="265"/>
  <c r="AV20" i="277" s="1"/>
  <c r="BE442" i="321"/>
  <c r="BE443" i="321" s="1"/>
  <c r="BE679" i="321"/>
  <c r="BE680" i="321" s="1"/>
  <c r="BE102" i="282"/>
  <c r="BE715" i="321"/>
  <c r="BE34" i="282"/>
  <c r="BE26" i="265" l="1"/>
  <c r="BE24" i="315"/>
  <c r="BE80" i="315"/>
  <c r="BE84" i="265"/>
  <c r="BE687" i="321"/>
  <c r="BE688" i="321" s="1"/>
  <c r="BE681" i="321"/>
  <c r="BE46" i="288"/>
  <c r="BE446" i="321"/>
  <c r="BE447" i="321" s="1"/>
  <c r="BE529" i="321"/>
  <c r="BE485" i="321"/>
  <c r="BE196" i="288"/>
  <c r="CI31" i="282"/>
  <c r="CI357" i="321"/>
  <c r="CJ283" i="321"/>
  <c r="CJ19" i="265"/>
  <c r="AW19" i="277" s="1"/>
  <c r="CJ69" i="265"/>
  <c r="AW69" i="277" s="1"/>
  <c r="CJ18" i="315"/>
  <c r="CJ66" i="315"/>
  <c r="CJ355" i="321"/>
  <c r="CJ63" i="328"/>
  <c r="AW120" i="277"/>
  <c r="CK346" i="321"/>
  <c r="CK349" i="321" s="1"/>
  <c r="CK302" i="321"/>
  <c r="CK113" i="321"/>
  <c r="CK120" i="321"/>
  <c r="CK254" i="288"/>
  <c r="CK104" i="288"/>
  <c r="BF77" i="315"/>
  <c r="BF28" i="265"/>
  <c r="AH28" i="277" s="1"/>
  <c r="BF81" i="265"/>
  <c r="AH81" i="277" s="1"/>
  <c r="BF26" i="315"/>
  <c r="BJ395" i="321"/>
  <c r="BJ397" i="321" s="1"/>
  <c r="BJ379" i="321"/>
  <c r="BJ381" i="321" s="1"/>
  <c r="BJ106" i="288"/>
  <c r="BJ256" i="288"/>
  <c r="BI16" i="314"/>
  <c r="BI21" i="328"/>
  <c r="BI23" i="314"/>
  <c r="BI103" i="314"/>
  <c r="BI79" i="288"/>
  <c r="BI110" i="314"/>
  <c r="BI142" i="288"/>
  <c r="BI143" i="288" s="1"/>
  <c r="BI66" i="288"/>
  <c r="BI229" i="288"/>
  <c r="BI216" i="288"/>
  <c r="BJ427" i="321"/>
  <c r="BJ429" i="321" s="1"/>
  <c r="BJ411" i="321"/>
  <c r="BJ413" i="321" s="1"/>
  <c r="BJ108" i="288"/>
  <c r="BJ258" i="288"/>
  <c r="CH40" i="311"/>
  <c r="CH41" i="311"/>
  <c r="CH82" i="311" s="1"/>
  <c r="CI282" i="321"/>
  <c r="CI284" i="321" s="1"/>
  <c r="CI170" i="321"/>
  <c r="CI172" i="321" s="1"/>
  <c r="CI68" i="265"/>
  <c r="CI18" i="265"/>
  <c r="CJ52" i="321"/>
  <c r="CJ171" i="321"/>
  <c r="CJ67" i="265"/>
  <c r="AW67" i="277" s="1"/>
  <c r="CJ17" i="265"/>
  <c r="AW17" i="277" s="1"/>
  <c r="CJ17" i="315"/>
  <c r="CJ65" i="315"/>
  <c r="CJ244" i="321"/>
  <c r="CJ62" i="328"/>
  <c r="AW119" i="277"/>
  <c r="CK234" i="321"/>
  <c r="CK237" i="321" s="1"/>
  <c r="CK190" i="321"/>
  <c r="CK102" i="288"/>
  <c r="CK112" i="321"/>
  <c r="CK114" i="321" s="1"/>
  <c r="CK116" i="321"/>
  <c r="CK252" i="288"/>
  <c r="CM30" i="315"/>
  <c r="CM32" i="265"/>
  <c r="CN152" i="282"/>
  <c r="CN155" i="282" s="1"/>
  <c r="CN115" i="282"/>
  <c r="CN47" i="282"/>
  <c r="CN84" i="282"/>
  <c r="CN87" i="282" s="1"/>
  <c r="CN23" i="282"/>
  <c r="CN24" i="282" s="1"/>
  <c r="CO21" i="282" s="1"/>
  <c r="CM94" i="282"/>
  <c r="CM162" i="282"/>
  <c r="CN160" i="282" l="1"/>
  <c r="CM121" i="315"/>
  <c r="CN92" i="282"/>
  <c r="CM125" i="265"/>
  <c r="CO10" i="282"/>
  <c r="CO12" i="282" s="1"/>
  <c r="CN93" i="282"/>
  <c r="CN88" i="282"/>
  <c r="CN156" i="282"/>
  <c r="CN161" i="282"/>
  <c r="CK117" i="321"/>
  <c r="CK118" i="321" s="1"/>
  <c r="CK127" i="321" s="1"/>
  <c r="CK133" i="321" s="1"/>
  <c r="CK146" i="321" s="1"/>
  <c r="CK121" i="321"/>
  <c r="CK122" i="321" s="1"/>
  <c r="CK128" i="321" s="1"/>
  <c r="CK134" i="321" s="1"/>
  <c r="CK258" i="321" s="1"/>
  <c r="CL187" i="321"/>
  <c r="CK119" i="265"/>
  <c r="CK62" i="328" s="1"/>
  <c r="CK115" i="315"/>
  <c r="CK268" i="288"/>
  <c r="CK118" i="288"/>
  <c r="CK242" i="321"/>
  <c r="CK243" i="321" s="1"/>
  <c r="CK361" i="321"/>
  <c r="CK98" i="282"/>
  <c r="CK238" i="321"/>
  <c r="CK101" i="288"/>
  <c r="CK164" i="321"/>
  <c r="CK166" i="321" s="1"/>
  <c r="CK49" i="321"/>
  <c r="CK28" i="282"/>
  <c r="CK251" i="288"/>
  <c r="CJ29" i="282"/>
  <c r="CJ245" i="321"/>
  <c r="CJ257" i="321"/>
  <c r="CJ260" i="321" s="1"/>
  <c r="CJ78" i="321"/>
  <c r="CJ145" i="321"/>
  <c r="CJ148" i="321" s="1"/>
  <c r="CI175" i="321"/>
  <c r="CI176" i="321" s="1"/>
  <c r="CI287" i="321"/>
  <c r="CI288" i="321" s="1"/>
  <c r="CH81" i="311"/>
  <c r="BJ368" i="321"/>
  <c r="BJ435" i="321"/>
  <c r="BJ436" i="321" s="1"/>
  <c r="BJ414" i="321"/>
  <c r="BJ367" i="321"/>
  <c r="BJ101" i="282"/>
  <c r="BJ257" i="288"/>
  <c r="BJ107" i="288"/>
  <c r="BJ430" i="321"/>
  <c r="BJ33" i="282"/>
  <c r="BI231" i="288"/>
  <c r="BI240" i="288" s="1"/>
  <c r="BI146" i="288"/>
  <c r="BI81" i="288"/>
  <c r="BI90" i="288" s="1"/>
  <c r="BI92" i="288" s="1"/>
  <c r="BI94" i="288" s="1"/>
  <c r="BG105" i="314"/>
  <c r="BG109" i="314" s="1"/>
  <c r="BG112" i="314" s="1"/>
  <c r="BG115" i="314" s="1"/>
  <c r="BG18" i="314"/>
  <c r="BG22" i="314" s="1"/>
  <c r="BG25" i="314" s="1"/>
  <c r="BJ260" i="288"/>
  <c r="BJ262" i="288" s="1"/>
  <c r="BJ110" i="288"/>
  <c r="BJ112" i="288" s="1"/>
  <c r="BJ366" i="321"/>
  <c r="BJ403" i="321"/>
  <c r="BJ404" i="321" s="1"/>
  <c r="BJ382" i="321"/>
  <c r="BJ365" i="321"/>
  <c r="BJ369" i="321" s="1"/>
  <c r="BJ100" i="282"/>
  <c r="BJ32" i="282"/>
  <c r="BJ398" i="321"/>
  <c r="BJ105" i="288"/>
  <c r="BJ255" i="288"/>
  <c r="CL299" i="321"/>
  <c r="CK120" i="265"/>
  <c r="CK63" i="328" s="1"/>
  <c r="CK119" i="288"/>
  <c r="CK116" i="315"/>
  <c r="CK269" i="288"/>
  <c r="CK354" i="321"/>
  <c r="CK363" i="321"/>
  <c r="CK99" i="282"/>
  <c r="CK50" i="321"/>
  <c r="CK350" i="321"/>
  <c r="CK103" i="288"/>
  <c r="CK30" i="282"/>
  <c r="CK276" i="321"/>
  <c r="CK278" i="321" s="1"/>
  <c r="CK253" i="288"/>
  <c r="CJ356" i="321"/>
  <c r="CI70" i="265"/>
  <c r="CI20" i="265"/>
  <c r="BE56" i="265"/>
  <c r="BE54" i="315"/>
  <c r="BE53" i="265"/>
  <c r="BE51" i="315"/>
  <c r="BF684" i="321"/>
  <c r="BE119" i="315"/>
  <c r="BE123" i="265"/>
  <c r="BF673" i="321" l="1"/>
  <c r="BF676" i="321" s="1"/>
  <c r="BF712" i="321"/>
  <c r="BF714" i="321" s="1"/>
  <c r="BF693" i="321"/>
  <c r="BF695" i="321" s="1"/>
  <c r="BF699" i="321" s="1"/>
  <c r="CJ31" i="282"/>
  <c r="CJ357" i="321"/>
  <c r="CK283" i="321"/>
  <c r="CK69" i="265"/>
  <c r="CK18" i="315"/>
  <c r="CK66" i="315"/>
  <c r="CK19" i="265"/>
  <c r="CK355" i="321"/>
  <c r="CL346" i="321"/>
  <c r="CL349" i="321" s="1"/>
  <c r="CL302" i="321"/>
  <c r="CL120" i="321"/>
  <c r="CL104" i="288"/>
  <c r="CL113" i="321"/>
  <c r="CL254" i="288"/>
  <c r="BJ21" i="265"/>
  <c r="AJ21" i="277" s="1"/>
  <c r="BJ71" i="265"/>
  <c r="AJ71" i="277" s="1"/>
  <c r="BJ19" i="315"/>
  <c r="BJ67" i="315"/>
  <c r="BJ16" i="314"/>
  <c r="BJ21" i="328"/>
  <c r="AJ41" i="328" s="1"/>
  <c r="BJ79" i="288"/>
  <c r="BJ142" i="288"/>
  <c r="BJ143" i="288" s="1"/>
  <c r="BJ66" i="288"/>
  <c r="BJ110" i="314"/>
  <c r="BJ103" i="314"/>
  <c r="BJ216" i="288"/>
  <c r="BJ229" i="288"/>
  <c r="BJ23" i="314"/>
  <c r="BJ71" i="315"/>
  <c r="BJ75" i="265"/>
  <c r="AJ75" i="277" s="1"/>
  <c r="BK401" i="321"/>
  <c r="BJ270" i="288"/>
  <c r="BJ120" i="288"/>
  <c r="BJ117" i="315"/>
  <c r="BJ121" i="265"/>
  <c r="AJ121" i="277" s="1"/>
  <c r="BG27" i="314"/>
  <c r="BF29" i="314" s="1"/>
  <c r="BG36" i="314"/>
  <c r="BG88" i="314"/>
  <c r="BG171" i="314"/>
  <c r="BG173" i="314" s="1"/>
  <c r="BJ72" i="265"/>
  <c r="AJ72" i="277" s="1"/>
  <c r="BJ68" i="315"/>
  <c r="BJ22" i="265"/>
  <c r="AJ22" i="277" s="1"/>
  <c r="BJ20" i="315"/>
  <c r="BJ76" i="265"/>
  <c r="AJ76" i="277" s="1"/>
  <c r="BJ72" i="315"/>
  <c r="BK433" i="321"/>
  <c r="BJ118" i="315"/>
  <c r="BJ122" i="265"/>
  <c r="AJ122" i="277" s="1"/>
  <c r="BJ271" i="288"/>
  <c r="BJ121" i="288"/>
  <c r="CI41" i="311"/>
  <c r="CI82" i="311" s="1"/>
  <c r="CI40" i="311"/>
  <c r="CJ170" i="321"/>
  <c r="CJ172" i="321" s="1"/>
  <c r="CJ282" i="321"/>
  <c r="CJ284" i="321" s="1"/>
  <c r="CJ68" i="265"/>
  <c r="AW68" i="277" s="1"/>
  <c r="CJ18" i="265"/>
  <c r="AW18" i="277" s="1"/>
  <c r="CK52" i="321"/>
  <c r="CK171" i="321"/>
  <c r="CK67" i="265"/>
  <c r="CK17" i="315"/>
  <c r="CK17" i="265"/>
  <c r="CK65" i="315"/>
  <c r="CK244" i="321"/>
  <c r="CL234" i="321"/>
  <c r="CL237" i="321" s="1"/>
  <c r="CL190" i="321"/>
  <c r="CL116" i="321"/>
  <c r="CL252" i="288"/>
  <c r="CL112" i="321"/>
  <c r="CL114" i="321" s="1"/>
  <c r="CL102" i="288"/>
  <c r="CN30" i="315"/>
  <c r="CN32" i="265"/>
  <c r="AY32" i="277" s="1"/>
  <c r="CO152" i="282"/>
  <c r="CO155" i="282" s="1"/>
  <c r="CO115" i="282"/>
  <c r="CO47" i="282"/>
  <c r="CO84" i="282"/>
  <c r="CO87" i="282" s="1"/>
  <c r="CO23" i="282"/>
  <c r="CO24" i="282" s="1"/>
  <c r="CP21" i="282" s="1"/>
  <c r="CN94" i="282"/>
  <c r="CN162" i="282"/>
  <c r="CO160" i="282" l="1"/>
  <c r="CN121" i="315"/>
  <c r="CO92" i="282"/>
  <c r="CN125" i="265"/>
  <c r="AY125" i="277" s="1"/>
  <c r="CP10" i="282"/>
  <c r="CP12" i="282" s="1"/>
  <c r="CO93" i="282"/>
  <c r="CO88" i="282"/>
  <c r="CO156" i="282"/>
  <c r="CO161" i="282"/>
  <c r="CL121" i="321"/>
  <c r="CL122" i="321" s="1"/>
  <c r="CL128" i="321" s="1"/>
  <c r="CL134" i="321" s="1"/>
  <c r="CL258" i="321" s="1"/>
  <c r="CL117" i="321"/>
  <c r="CL118" i="321" s="1"/>
  <c r="CL127" i="321" s="1"/>
  <c r="CL133" i="321" s="1"/>
  <c r="CL146" i="321" s="1"/>
  <c r="CM187" i="321"/>
  <c r="CL118" i="288"/>
  <c r="CL119" i="265"/>
  <c r="CL115" i="315"/>
  <c r="CL268" i="288"/>
  <c r="CL242" i="321"/>
  <c r="CL243" i="321" s="1"/>
  <c r="CL361" i="321"/>
  <c r="CL98" i="282"/>
  <c r="CL238" i="321"/>
  <c r="CL101" i="288"/>
  <c r="CL28" i="282"/>
  <c r="CL164" i="321"/>
  <c r="CL166" i="321" s="1"/>
  <c r="CL49" i="321"/>
  <c r="CL251" i="288"/>
  <c r="CK29" i="282"/>
  <c r="CK245" i="321"/>
  <c r="CK78" i="321"/>
  <c r="CK257" i="321"/>
  <c r="CK260" i="321" s="1"/>
  <c r="CK145" i="321"/>
  <c r="CK148" i="321" s="1"/>
  <c r="CJ287" i="321"/>
  <c r="CJ288" i="321" s="1"/>
  <c r="CJ175" i="321"/>
  <c r="CJ176" i="321" s="1"/>
  <c r="CI81" i="311"/>
  <c r="BK427" i="321"/>
  <c r="BK429" i="321" s="1"/>
  <c r="BK411" i="321"/>
  <c r="BK413" i="321" s="1"/>
  <c r="BK258" i="288"/>
  <c r="BK108" i="288"/>
  <c r="BG107" i="282"/>
  <c r="BG174" i="314"/>
  <c r="BG39" i="282"/>
  <c r="BF32" i="314"/>
  <c r="BJ123" i="288"/>
  <c r="BJ125" i="288" s="1"/>
  <c r="BJ273" i="288"/>
  <c r="BJ275" i="288" s="1"/>
  <c r="BK395" i="321"/>
  <c r="BK397" i="321" s="1"/>
  <c r="BK379" i="321"/>
  <c r="BK381" i="321" s="1"/>
  <c r="BK256" i="288"/>
  <c r="BK260" i="288" s="1"/>
  <c r="BK262" i="288" s="1"/>
  <c r="BK106" i="288"/>
  <c r="BK110" i="288" s="1"/>
  <c r="BK112" i="288" s="1"/>
  <c r="BJ231" i="288"/>
  <c r="BJ240" i="288" s="1"/>
  <c r="BH105" i="314"/>
  <c r="BH109" i="314" s="1"/>
  <c r="BH112" i="314" s="1"/>
  <c r="BH115" i="314" s="1"/>
  <c r="BJ146" i="288"/>
  <c r="BJ81" i="288"/>
  <c r="BJ90" i="288" s="1"/>
  <c r="BJ92" i="288" s="1"/>
  <c r="BJ94" i="288" s="1"/>
  <c r="BH18" i="314"/>
  <c r="BH22" i="314" s="1"/>
  <c r="BH25" i="314" s="1"/>
  <c r="CM299" i="321"/>
  <c r="CL120" i="265"/>
  <c r="CL269" i="288"/>
  <c r="CL119" i="288"/>
  <c r="CL116" i="315"/>
  <c r="CL354" i="321"/>
  <c r="CL363" i="321"/>
  <c r="CL99" i="282"/>
  <c r="CL30" i="282"/>
  <c r="CL103" i="288"/>
  <c r="CL350" i="321"/>
  <c r="CL276" i="321"/>
  <c r="CL278" i="321" s="1"/>
  <c r="CL253" i="288"/>
  <c r="CL50" i="321"/>
  <c r="CK356" i="321"/>
  <c r="CJ70" i="265"/>
  <c r="AW70" i="277" s="1"/>
  <c r="CJ20" i="265"/>
  <c r="AW20" i="277" s="1"/>
  <c r="BF102" i="282"/>
  <c r="BF34" i="282"/>
  <c r="BF715" i="321"/>
  <c r="BF442" i="321"/>
  <c r="BF443" i="321" s="1"/>
  <c r="BF679" i="321"/>
  <c r="BF680" i="321" s="1"/>
  <c r="BF687" i="321" l="1"/>
  <c r="BF688" i="321" s="1"/>
  <c r="BF681" i="321"/>
  <c r="BF46" i="288"/>
  <c r="BF485" i="321"/>
  <c r="BF446" i="321"/>
  <c r="BF447" i="321" s="1"/>
  <c r="BF529" i="321"/>
  <c r="BF196" i="288"/>
  <c r="BF26" i="265"/>
  <c r="AH26" i="277" s="1"/>
  <c r="BF24" i="315"/>
  <c r="BF84" i="265"/>
  <c r="AH84" i="277" s="1"/>
  <c r="BF80" i="315"/>
  <c r="CK31" i="282"/>
  <c r="CK357" i="321"/>
  <c r="CL283" i="321"/>
  <c r="CL69" i="265"/>
  <c r="AX69" i="277" s="1"/>
  <c r="CL18" i="315"/>
  <c r="CL66" i="315"/>
  <c r="CL19" i="265"/>
  <c r="AX19" i="277" s="1"/>
  <c r="CL355" i="321"/>
  <c r="CL63" i="328"/>
  <c r="AX120" i="277"/>
  <c r="CM346" i="321"/>
  <c r="CM349" i="321" s="1"/>
  <c r="CM302" i="321"/>
  <c r="CM254" i="288"/>
  <c r="CM104" i="288"/>
  <c r="CM113" i="321"/>
  <c r="CM120" i="321"/>
  <c r="BH27" i="314"/>
  <c r="BG29" i="314" s="1"/>
  <c r="BH36" i="314"/>
  <c r="BH88" i="314"/>
  <c r="BH171" i="314"/>
  <c r="BH173" i="314" s="1"/>
  <c r="BK366" i="321"/>
  <c r="BK403" i="321"/>
  <c r="BK404" i="321" s="1"/>
  <c r="BK382" i="321"/>
  <c r="BK365" i="321"/>
  <c r="BK100" i="282"/>
  <c r="BK398" i="321"/>
  <c r="BK255" i="288"/>
  <c r="BK105" i="288"/>
  <c r="BK32" i="282"/>
  <c r="BG81" i="265"/>
  <c r="BG26" i="315"/>
  <c r="BG77" i="315"/>
  <c r="BG28" i="265"/>
  <c r="BK368" i="321"/>
  <c r="BK435" i="321"/>
  <c r="BK436" i="321" s="1"/>
  <c r="BK414" i="321"/>
  <c r="BK367" i="321"/>
  <c r="BK107" i="288"/>
  <c r="BK101" i="282"/>
  <c r="BK33" i="282"/>
  <c r="BK257" i="288"/>
  <c r="BK430" i="321"/>
  <c r="CJ40" i="311"/>
  <c r="CJ41" i="311"/>
  <c r="CJ82" i="311" s="1"/>
  <c r="CK170" i="321"/>
  <c r="CK172" i="321" s="1"/>
  <c r="CK282" i="321"/>
  <c r="CK284" i="321" s="1"/>
  <c r="CK68" i="265"/>
  <c r="CK18" i="265"/>
  <c r="CL52" i="321"/>
  <c r="CL171" i="321"/>
  <c r="CL65" i="315"/>
  <c r="CL17" i="265"/>
  <c r="AX17" i="277" s="1"/>
  <c r="CL67" i="265"/>
  <c r="AX67" i="277" s="1"/>
  <c r="CL17" i="315"/>
  <c r="CL244" i="321"/>
  <c r="AX119" i="277"/>
  <c r="CL62" i="328"/>
  <c r="CM234" i="321"/>
  <c r="CM237" i="321" s="1"/>
  <c r="CM190" i="321"/>
  <c r="CM116" i="321"/>
  <c r="CM252" i="288"/>
  <c r="CM102" i="288"/>
  <c r="CM112" i="321"/>
  <c r="CM114" i="321" s="1"/>
  <c r="CO30" i="315"/>
  <c r="CO32" i="265"/>
  <c r="CP152" i="282"/>
  <c r="CP155" i="282" s="1"/>
  <c r="CP115" i="282"/>
  <c r="CP47" i="282"/>
  <c r="CP84" i="282"/>
  <c r="CP87" i="282" s="1"/>
  <c r="CP23" i="282"/>
  <c r="CP24" i="282" s="1"/>
  <c r="CQ21" i="282" s="1"/>
  <c r="CO94" i="282"/>
  <c r="CO162" i="282"/>
  <c r="CP160" i="282" l="1"/>
  <c r="CO121" i="315"/>
  <c r="CP92" i="282"/>
  <c r="CO125" i="265"/>
  <c r="CQ10" i="282"/>
  <c r="CQ12" i="282" s="1"/>
  <c r="CP93" i="282"/>
  <c r="CP88" i="282"/>
  <c r="CP156" i="282"/>
  <c r="CP161" i="282"/>
  <c r="CM117" i="321"/>
  <c r="CM118" i="321" s="1"/>
  <c r="CM127" i="321" s="1"/>
  <c r="CM133" i="321" s="1"/>
  <c r="CM146" i="321" s="1"/>
  <c r="CM121" i="321"/>
  <c r="CM122" i="321" s="1"/>
  <c r="CM128" i="321" s="1"/>
  <c r="CM134" i="321" s="1"/>
  <c r="CM258" i="321" s="1"/>
  <c r="CN187" i="321"/>
  <c r="CM119" i="265"/>
  <c r="CM62" i="328" s="1"/>
  <c r="CM115" i="315"/>
  <c r="CM268" i="288"/>
  <c r="CM118" i="288"/>
  <c r="CM242" i="321"/>
  <c r="CM243" i="321" s="1"/>
  <c r="CM361" i="321"/>
  <c r="CM98" i="282"/>
  <c r="CM28" i="282"/>
  <c r="CM251" i="288"/>
  <c r="CM164" i="321"/>
  <c r="CM166" i="321" s="1"/>
  <c r="CM49" i="321"/>
  <c r="CM238" i="321"/>
  <c r="CM101" i="288"/>
  <c r="CL29" i="282"/>
  <c r="CL245" i="321"/>
  <c r="CL257" i="321"/>
  <c r="CL260" i="321" s="1"/>
  <c r="CL145" i="321"/>
  <c r="CL148" i="321" s="1"/>
  <c r="CL78" i="321"/>
  <c r="CK287" i="321"/>
  <c r="CK288" i="321" s="1"/>
  <c r="CK175" i="321"/>
  <c r="CK176" i="321" s="1"/>
  <c r="CJ81" i="311"/>
  <c r="BK20" i="315"/>
  <c r="BK68" i="315"/>
  <c r="BK22" i="265"/>
  <c r="BK72" i="265"/>
  <c r="BK76" i="265"/>
  <c r="BK72" i="315"/>
  <c r="BL433" i="321"/>
  <c r="BK121" i="288"/>
  <c r="BK118" i="315"/>
  <c r="BK122" i="265"/>
  <c r="BK271" i="288"/>
  <c r="BK21" i="265"/>
  <c r="BK71" i="265"/>
  <c r="BK19" i="315"/>
  <c r="BK67" i="315"/>
  <c r="BK369" i="321"/>
  <c r="BK75" i="265"/>
  <c r="BK71" i="315"/>
  <c r="BL401" i="321"/>
  <c r="BK120" i="288"/>
  <c r="BK123" i="288" s="1"/>
  <c r="BK125" i="288" s="1"/>
  <c r="BK117" i="315"/>
  <c r="BK121" i="265"/>
  <c r="BK270" i="288"/>
  <c r="BK273" i="288" s="1"/>
  <c r="BK275" i="288" s="1"/>
  <c r="BH107" i="282"/>
  <c r="BH39" i="282"/>
  <c r="BH174" i="314"/>
  <c r="BG32" i="314"/>
  <c r="CN299" i="321"/>
  <c r="CM116" i="315"/>
  <c r="CM120" i="265"/>
  <c r="CM63" i="328" s="1"/>
  <c r="CM269" i="288"/>
  <c r="CM119" i="288"/>
  <c r="CM354" i="321"/>
  <c r="CM363" i="321"/>
  <c r="CM99" i="282"/>
  <c r="CM30" i="282"/>
  <c r="CM253" i="288"/>
  <c r="CM350" i="321"/>
  <c r="CM103" i="288"/>
  <c r="CM276" i="321"/>
  <c r="CM278" i="321" s="1"/>
  <c r="CM50" i="321"/>
  <c r="CL356" i="321"/>
  <c r="CK70" i="265"/>
  <c r="CK20" i="265"/>
  <c r="BF56" i="265"/>
  <c r="AH56" i="277" s="1"/>
  <c r="BF54" i="315"/>
  <c r="BF53" i="265"/>
  <c r="AH53" i="277" s="1"/>
  <c r="BF51" i="315"/>
  <c r="BG684" i="321"/>
  <c r="BF119" i="315"/>
  <c r="BF123" i="265"/>
  <c r="AH123" i="277" s="1"/>
  <c r="BG712" i="321" l="1"/>
  <c r="BG714" i="321" s="1"/>
  <c r="BG673" i="321"/>
  <c r="BG676" i="321" s="1"/>
  <c r="BG693" i="321"/>
  <c r="BG695" i="321" s="1"/>
  <c r="BG699" i="321" s="1"/>
  <c r="CL31" i="282"/>
  <c r="CL357" i="321"/>
  <c r="CM283" i="321"/>
  <c r="CM69" i="265"/>
  <c r="CM19" i="265"/>
  <c r="CM18" i="315"/>
  <c r="CM66" i="315"/>
  <c r="CM355" i="321"/>
  <c r="CN346" i="321"/>
  <c r="CN349" i="321" s="1"/>
  <c r="CN302" i="321"/>
  <c r="CN254" i="288"/>
  <c r="CN120" i="321"/>
  <c r="CN113" i="321"/>
  <c r="CN104" i="288"/>
  <c r="BH28" i="265"/>
  <c r="AI28" i="277" s="1"/>
  <c r="BH77" i="315"/>
  <c r="BH81" i="265"/>
  <c r="AI81" i="277" s="1"/>
  <c r="BH26" i="315"/>
  <c r="BL395" i="321"/>
  <c r="BL397" i="321" s="1"/>
  <c r="BL379" i="321"/>
  <c r="BL381" i="321" s="1"/>
  <c r="BL106" i="288"/>
  <c r="BL256" i="288"/>
  <c r="BK16" i="314"/>
  <c r="BK103" i="314"/>
  <c r="BK79" i="288"/>
  <c r="BK229" i="288"/>
  <c r="BK21" i="328"/>
  <c r="BK216" i="288"/>
  <c r="BK110" i="314"/>
  <c r="BK66" i="288"/>
  <c r="BK23" i="314"/>
  <c r="BK142" i="288"/>
  <c r="BK143" i="288" s="1"/>
  <c r="BL427" i="321"/>
  <c r="BL429" i="321" s="1"/>
  <c r="BL411" i="321"/>
  <c r="BL413" i="321" s="1"/>
  <c r="BL108" i="288"/>
  <c r="BL258" i="288"/>
  <c r="CK40" i="311"/>
  <c r="CK41" i="311"/>
  <c r="CK82" i="311" s="1"/>
  <c r="CL170" i="321"/>
  <c r="CL172" i="321" s="1"/>
  <c r="CL282" i="321"/>
  <c r="CL284" i="321" s="1"/>
  <c r="CL68" i="265"/>
  <c r="AX68" i="277" s="1"/>
  <c r="CL18" i="265"/>
  <c r="AX18" i="277" s="1"/>
  <c r="CM17" i="315"/>
  <c r="CM65" i="315"/>
  <c r="CM67" i="265"/>
  <c r="CM17" i="265"/>
  <c r="CM52" i="321"/>
  <c r="CM171" i="321"/>
  <c r="CM244" i="321"/>
  <c r="CN234" i="321"/>
  <c r="CN237" i="321" s="1"/>
  <c r="CN190" i="321"/>
  <c r="CN252" i="288"/>
  <c r="CN116" i="321"/>
  <c r="CN102" i="288"/>
  <c r="CN112" i="321"/>
  <c r="CN114" i="321" s="1"/>
  <c r="CP30" i="315"/>
  <c r="CP32" i="265"/>
  <c r="AZ32" i="277" s="1"/>
  <c r="CQ152" i="282"/>
  <c r="CQ155" i="282" s="1"/>
  <c r="CQ115" i="282"/>
  <c r="CQ47" i="282"/>
  <c r="CQ84" i="282"/>
  <c r="CQ87" i="282" s="1"/>
  <c r="CQ23" i="282"/>
  <c r="CQ24" i="282" s="1"/>
  <c r="CR21" i="282" s="1"/>
  <c r="CP94" i="282"/>
  <c r="CP162" i="282"/>
  <c r="CQ160" i="282" l="1"/>
  <c r="CP121" i="315"/>
  <c r="CQ92" i="282"/>
  <c r="CP125" i="265"/>
  <c r="AZ125" i="277" s="1"/>
  <c r="CR10" i="282"/>
  <c r="CR12" i="282" s="1"/>
  <c r="CQ93" i="282"/>
  <c r="CQ88" i="282"/>
  <c r="CQ156" i="282"/>
  <c r="CQ161" i="282"/>
  <c r="CN117" i="321"/>
  <c r="CN118" i="321" s="1"/>
  <c r="CN127" i="321" s="1"/>
  <c r="CN133" i="321" s="1"/>
  <c r="CN146" i="321" s="1"/>
  <c r="CN121" i="321"/>
  <c r="CN122" i="321" s="1"/>
  <c r="CN128" i="321" s="1"/>
  <c r="CN134" i="321" s="1"/>
  <c r="CN258" i="321" s="1"/>
  <c r="CO187" i="321"/>
  <c r="CN268" i="288"/>
  <c r="CN118" i="288"/>
  <c r="CN119" i="265"/>
  <c r="CN115" i="315"/>
  <c r="CN242" i="321"/>
  <c r="CN243" i="321" s="1"/>
  <c r="CN361" i="321"/>
  <c r="CN98" i="282"/>
  <c r="CN101" i="288"/>
  <c r="CN28" i="282"/>
  <c r="CN164" i="321"/>
  <c r="CN166" i="321" s="1"/>
  <c r="CN49" i="321"/>
  <c r="CN238" i="321"/>
  <c r="CN251" i="288"/>
  <c r="CM29" i="282"/>
  <c r="CM245" i="321"/>
  <c r="CM78" i="321"/>
  <c r="CM145" i="321"/>
  <c r="CM148" i="321" s="1"/>
  <c r="CM257" i="321"/>
  <c r="CM260" i="321" s="1"/>
  <c r="CL287" i="321"/>
  <c r="CL288" i="321" s="1"/>
  <c r="CL175" i="321"/>
  <c r="CL176" i="321" s="1"/>
  <c r="CK81" i="311"/>
  <c r="BL368" i="321"/>
  <c r="BL435" i="321"/>
  <c r="BL436" i="321" s="1"/>
  <c r="BL414" i="321"/>
  <c r="BL367" i="321"/>
  <c r="BL257" i="288"/>
  <c r="BL107" i="288"/>
  <c r="BL101" i="282"/>
  <c r="BL33" i="282"/>
  <c r="BL430" i="321"/>
  <c r="BK146" i="288"/>
  <c r="BK231" i="288"/>
  <c r="BK240" i="288" s="1"/>
  <c r="BK81" i="288"/>
  <c r="BK90" i="288" s="1"/>
  <c r="BK92" i="288" s="1"/>
  <c r="BK94" i="288" s="1"/>
  <c r="BI105" i="314"/>
  <c r="BI109" i="314" s="1"/>
  <c r="BI112" i="314" s="1"/>
  <c r="BI115" i="314" s="1"/>
  <c r="BI18" i="314"/>
  <c r="BI22" i="314" s="1"/>
  <c r="BI25" i="314" s="1"/>
  <c r="BL260" i="288"/>
  <c r="BL262" i="288" s="1"/>
  <c r="BL110" i="288"/>
  <c r="BL112" i="288" s="1"/>
  <c r="BL366" i="321"/>
  <c r="BL403" i="321"/>
  <c r="BL404" i="321" s="1"/>
  <c r="BL382" i="321"/>
  <c r="BL365" i="321"/>
  <c r="BL369" i="321" s="1"/>
  <c r="BL255" i="288"/>
  <c r="BL105" i="288"/>
  <c r="BL100" i="282"/>
  <c r="BL398" i="321"/>
  <c r="BL32" i="282"/>
  <c r="CO299" i="321"/>
  <c r="CN120" i="265"/>
  <c r="CN116" i="315"/>
  <c r="CN269" i="288"/>
  <c r="CN119" i="288"/>
  <c r="CN354" i="321"/>
  <c r="CN363" i="321"/>
  <c r="CN99" i="282"/>
  <c r="CN350" i="321"/>
  <c r="CN50" i="321"/>
  <c r="CN253" i="288"/>
  <c r="CN30" i="282"/>
  <c r="CN276" i="321"/>
  <c r="CN278" i="321" s="1"/>
  <c r="CN103" i="288"/>
  <c r="CM356" i="321"/>
  <c r="CL70" i="265"/>
  <c r="AX70" i="277" s="1"/>
  <c r="CL20" i="265"/>
  <c r="AX20" i="277" s="1"/>
  <c r="BG442" i="321"/>
  <c r="BG443" i="321" s="1"/>
  <c r="BG679" i="321"/>
  <c r="BG680" i="321" s="1"/>
  <c r="BG102" i="282"/>
  <c r="BG34" i="282"/>
  <c r="BG715" i="321"/>
  <c r="BG26" i="265" l="1"/>
  <c r="BG24" i="315"/>
  <c r="BG84" i="265"/>
  <c r="BG80" i="315"/>
  <c r="BG687" i="321"/>
  <c r="BG688" i="321" s="1"/>
  <c r="BG681" i="321"/>
  <c r="BG46" i="288"/>
  <c r="BG529" i="321"/>
  <c r="BG446" i="321"/>
  <c r="BG447" i="321" s="1"/>
  <c r="BG485" i="321"/>
  <c r="BG196" i="288"/>
  <c r="CM31" i="282"/>
  <c r="CM357" i="321"/>
  <c r="CN283" i="321"/>
  <c r="CN18" i="315"/>
  <c r="CN66" i="315"/>
  <c r="CN19" i="265"/>
  <c r="AY19" i="277" s="1"/>
  <c r="CN69" i="265"/>
  <c r="AY69" i="277" s="1"/>
  <c r="CN355" i="321"/>
  <c r="CN63" i="328"/>
  <c r="AY120" i="277"/>
  <c r="CO346" i="321"/>
  <c r="CO349" i="321" s="1"/>
  <c r="CO302" i="321"/>
  <c r="CO120" i="321"/>
  <c r="CO113" i="321"/>
  <c r="CO254" i="288"/>
  <c r="CO104" i="288"/>
  <c r="BL67" i="315"/>
  <c r="BL21" i="265"/>
  <c r="AK21" i="277" s="1"/>
  <c r="BL71" i="265"/>
  <c r="AK71" i="277" s="1"/>
  <c r="BL19" i="315"/>
  <c r="BL16" i="314"/>
  <c r="BL142" i="288"/>
  <c r="BL143" i="288" s="1"/>
  <c r="BL110" i="314"/>
  <c r="BL79" i="288"/>
  <c r="BL23" i="314"/>
  <c r="BL229" i="288"/>
  <c r="BL103" i="314"/>
  <c r="BL21" i="328"/>
  <c r="AK41" i="328" s="1"/>
  <c r="BL66" i="288"/>
  <c r="BL216" i="288"/>
  <c r="BL75" i="265"/>
  <c r="AK75" i="277" s="1"/>
  <c r="BL71" i="315"/>
  <c r="BM401" i="321"/>
  <c r="BL117" i="315"/>
  <c r="BL121" i="265"/>
  <c r="AK121" i="277" s="1"/>
  <c r="BL270" i="288"/>
  <c r="BL120" i="288"/>
  <c r="BI27" i="314"/>
  <c r="BH29" i="314" s="1"/>
  <c r="BI36" i="314"/>
  <c r="BI88" i="314"/>
  <c r="BI171" i="314"/>
  <c r="BI173" i="314" s="1"/>
  <c r="BL22" i="265"/>
  <c r="AK22" i="277" s="1"/>
  <c r="BL72" i="265"/>
  <c r="AK72" i="277" s="1"/>
  <c r="BL20" i="315"/>
  <c r="BL68" i="315"/>
  <c r="BL72" i="315"/>
  <c r="BL76" i="265"/>
  <c r="AK76" i="277" s="1"/>
  <c r="BM433" i="321"/>
  <c r="BL118" i="315"/>
  <c r="BL122" i="265"/>
  <c r="AK122" i="277" s="1"/>
  <c r="BL271" i="288"/>
  <c r="BL121" i="288"/>
  <c r="CL40" i="311"/>
  <c r="CL41" i="311"/>
  <c r="CL82" i="311" s="1"/>
  <c r="CM282" i="321"/>
  <c r="CM284" i="321" s="1"/>
  <c r="CM170" i="321"/>
  <c r="CM172" i="321" s="1"/>
  <c r="CM68" i="265"/>
  <c r="CM18" i="265"/>
  <c r="CN17" i="315"/>
  <c r="CN65" i="315"/>
  <c r="CN17" i="265"/>
  <c r="AY17" i="277" s="1"/>
  <c r="CN67" i="265"/>
  <c r="AY67" i="277" s="1"/>
  <c r="CN52" i="321"/>
  <c r="CN171" i="321"/>
  <c r="CN244" i="321"/>
  <c r="CN62" i="328"/>
  <c r="AY119" i="277"/>
  <c r="CO234" i="321"/>
  <c r="CO237" i="321" s="1"/>
  <c r="CO190" i="321"/>
  <c r="CO102" i="288"/>
  <c r="CO112" i="321"/>
  <c r="CO114" i="321" s="1"/>
  <c r="CO252" i="288"/>
  <c r="CO116" i="321"/>
  <c r="CQ30" i="315"/>
  <c r="CQ32" i="265"/>
  <c r="CR152" i="282"/>
  <c r="CR155" i="282" s="1"/>
  <c r="CR115" i="282"/>
  <c r="CR47" i="282"/>
  <c r="CR84" i="282"/>
  <c r="CR87" i="282" s="1"/>
  <c r="CR23" i="282"/>
  <c r="CR24" i="282" s="1"/>
  <c r="CS21" i="282" s="1"/>
  <c r="CQ94" i="282"/>
  <c r="CQ162" i="282"/>
  <c r="CR160" i="282" l="1"/>
  <c r="CQ121" i="315"/>
  <c r="CR92" i="282"/>
  <c r="CQ125" i="265"/>
  <c r="CS10" i="282"/>
  <c r="CS12" i="282" s="1"/>
  <c r="CR93" i="282"/>
  <c r="CR88" i="282"/>
  <c r="CR156" i="282"/>
  <c r="CR161" i="282"/>
  <c r="CO117" i="321"/>
  <c r="CO118" i="321" s="1"/>
  <c r="CO127" i="321" s="1"/>
  <c r="CO133" i="321" s="1"/>
  <c r="CO146" i="321" s="1"/>
  <c r="CO121" i="321"/>
  <c r="CO122" i="321" s="1"/>
  <c r="CO128" i="321" s="1"/>
  <c r="CO134" i="321" s="1"/>
  <c r="CO258" i="321" s="1"/>
  <c r="CP187" i="321"/>
  <c r="CO115" i="315"/>
  <c r="CO268" i="288"/>
  <c r="CO118" i="288"/>
  <c r="CO119" i="265"/>
  <c r="CO62" i="328" s="1"/>
  <c r="CO242" i="321"/>
  <c r="CO243" i="321" s="1"/>
  <c r="CO361" i="321"/>
  <c r="CO98" i="282"/>
  <c r="CO251" i="288"/>
  <c r="CO238" i="321"/>
  <c r="CO101" i="288"/>
  <c r="CO28" i="282"/>
  <c r="CO164" i="321"/>
  <c r="CO166" i="321" s="1"/>
  <c r="CO49" i="321"/>
  <c r="CN29" i="282"/>
  <c r="CN245" i="321"/>
  <c r="CN257" i="321"/>
  <c r="CN260" i="321" s="1"/>
  <c r="CN78" i="321"/>
  <c r="CN145" i="321"/>
  <c r="CN148" i="321" s="1"/>
  <c r="CM175" i="321"/>
  <c r="CM176" i="321" s="1"/>
  <c r="CM287" i="321"/>
  <c r="CM288" i="321" s="1"/>
  <c r="CL81" i="311"/>
  <c r="BM427" i="321"/>
  <c r="BM429" i="321" s="1"/>
  <c r="BM411" i="321"/>
  <c r="BM413" i="321" s="1"/>
  <c r="BM258" i="288"/>
  <c r="BM108" i="288"/>
  <c r="BI107" i="282"/>
  <c r="BI39" i="282"/>
  <c r="BI174" i="314"/>
  <c r="BH32" i="314"/>
  <c r="BL123" i="288"/>
  <c r="BL125" i="288" s="1"/>
  <c r="BL273" i="288"/>
  <c r="BL275" i="288" s="1"/>
  <c r="BM395" i="321"/>
  <c r="BM397" i="321" s="1"/>
  <c r="BM379" i="321"/>
  <c r="BM381" i="321" s="1"/>
  <c r="BM106" i="288"/>
  <c r="BM110" i="288" s="1"/>
  <c r="BM112" i="288" s="1"/>
  <c r="BM256" i="288"/>
  <c r="BM260" i="288" s="1"/>
  <c r="BM262" i="288" s="1"/>
  <c r="BJ105" i="314"/>
  <c r="BJ109" i="314" s="1"/>
  <c r="BJ112" i="314" s="1"/>
  <c r="BJ115" i="314" s="1"/>
  <c r="BL231" i="288"/>
  <c r="BL240" i="288" s="1"/>
  <c r="BL81" i="288"/>
  <c r="BL90" i="288" s="1"/>
  <c r="BL92" i="288" s="1"/>
  <c r="BL94" i="288" s="1"/>
  <c r="BL146" i="288"/>
  <c r="BJ18" i="314"/>
  <c r="BJ22" i="314" s="1"/>
  <c r="BJ25" i="314" s="1"/>
  <c r="CP299" i="321"/>
  <c r="CO119" i="288"/>
  <c r="CO116" i="315"/>
  <c r="CO269" i="288"/>
  <c r="CO120" i="265"/>
  <c r="CO63" i="328" s="1"/>
  <c r="CO354" i="321"/>
  <c r="CO363" i="321"/>
  <c r="CO99" i="282"/>
  <c r="CO276" i="321"/>
  <c r="CO278" i="321" s="1"/>
  <c r="CO50" i="321"/>
  <c r="CO30" i="282"/>
  <c r="CO253" i="288"/>
  <c r="CO350" i="321"/>
  <c r="CO103" i="288"/>
  <c r="CN356" i="321"/>
  <c r="CM70" i="265"/>
  <c r="CM20" i="265"/>
  <c r="BG56" i="265"/>
  <c r="BG54" i="315"/>
  <c r="BG53" i="265"/>
  <c r="BG51" i="315"/>
  <c r="BH684" i="321"/>
  <c r="BG119" i="315"/>
  <c r="BG123" i="265"/>
  <c r="BH712" i="321" l="1"/>
  <c r="BH714" i="321" s="1"/>
  <c r="BH673" i="321"/>
  <c r="BH676" i="321" s="1"/>
  <c r="BH693" i="321"/>
  <c r="BH695" i="321" s="1"/>
  <c r="BH699" i="321" s="1"/>
  <c r="CN31" i="282"/>
  <c r="CN357" i="321"/>
  <c r="CO18" i="315"/>
  <c r="CO66" i="315"/>
  <c r="CO19" i="265"/>
  <c r="CO69" i="265"/>
  <c r="CO283" i="321"/>
  <c r="CO355" i="321"/>
  <c r="CP346" i="321"/>
  <c r="CP349" i="321" s="1"/>
  <c r="CP302" i="321"/>
  <c r="CP120" i="321"/>
  <c r="CP104" i="288"/>
  <c r="CP113" i="321"/>
  <c r="CP254" i="288"/>
  <c r="BJ27" i="314"/>
  <c r="BI29" i="314" s="1"/>
  <c r="BJ171" i="314"/>
  <c r="BJ173" i="314" s="1"/>
  <c r="BJ36" i="314"/>
  <c r="BJ88" i="314"/>
  <c r="BM366" i="321"/>
  <c r="BM403" i="321"/>
  <c r="BM404" i="321" s="1"/>
  <c r="BM382" i="321"/>
  <c r="BM365" i="321"/>
  <c r="BM105" i="288"/>
  <c r="BM255" i="288"/>
  <c r="BM100" i="282"/>
  <c r="BM398" i="321"/>
  <c r="BM32" i="282"/>
  <c r="BI28" i="265"/>
  <c r="BI81" i="265"/>
  <c r="BI26" i="315"/>
  <c r="BI77" i="315"/>
  <c r="BM368" i="321"/>
  <c r="BM435" i="321"/>
  <c r="BM436" i="321" s="1"/>
  <c r="BM414" i="321"/>
  <c r="BM367" i="321"/>
  <c r="BM107" i="288"/>
  <c r="BM257" i="288"/>
  <c r="BM101" i="282"/>
  <c r="BM430" i="321"/>
  <c r="BM33" i="282"/>
  <c r="CM41" i="311"/>
  <c r="CM82" i="311" s="1"/>
  <c r="CM40" i="311"/>
  <c r="CN170" i="321"/>
  <c r="CN172" i="321" s="1"/>
  <c r="CN282" i="321"/>
  <c r="CN284" i="321" s="1"/>
  <c r="CN68" i="265"/>
  <c r="AY68" i="277" s="1"/>
  <c r="CN18" i="265"/>
  <c r="AY18" i="277" s="1"/>
  <c r="CO52" i="321"/>
  <c r="CO171" i="321"/>
  <c r="CO65" i="315"/>
  <c r="CO17" i="265"/>
  <c r="CO67" i="265"/>
  <c r="CO17" i="315"/>
  <c r="CO244" i="321"/>
  <c r="CP234" i="321"/>
  <c r="CP237" i="321" s="1"/>
  <c r="CP190" i="321"/>
  <c r="CP112" i="321"/>
  <c r="CP114" i="321" s="1"/>
  <c r="CP116" i="321"/>
  <c r="CP102" i="288"/>
  <c r="CP252" i="288"/>
  <c r="CR30" i="315"/>
  <c r="CR32" i="265"/>
  <c r="BA32" i="277" s="1"/>
  <c r="CS152" i="282"/>
  <c r="CS155" i="282" s="1"/>
  <c r="CS115" i="282"/>
  <c r="CS47" i="282"/>
  <c r="CS84" i="282"/>
  <c r="CS87" i="282" s="1"/>
  <c r="CS23" i="282"/>
  <c r="CS24" i="282" s="1"/>
  <c r="CT21" i="282" s="1"/>
  <c r="CR94" i="282"/>
  <c r="CR162" i="282"/>
  <c r="CS160" i="282" l="1"/>
  <c r="CR121" i="315"/>
  <c r="CS92" i="282"/>
  <c r="CR125" i="265"/>
  <c r="BA125" i="277" s="1"/>
  <c r="CT10" i="282"/>
  <c r="CT12" i="282" s="1"/>
  <c r="CS93" i="282"/>
  <c r="CS88" i="282"/>
  <c r="CS156" i="282"/>
  <c r="CS161" i="282"/>
  <c r="CP117" i="321"/>
  <c r="CP118" i="321" s="1"/>
  <c r="CP127" i="321" s="1"/>
  <c r="CP133" i="321" s="1"/>
  <c r="CP146" i="321" s="1"/>
  <c r="CP121" i="321"/>
  <c r="CP122" i="321" s="1"/>
  <c r="CP128" i="321" s="1"/>
  <c r="CP134" i="321" s="1"/>
  <c r="CP258" i="321" s="1"/>
  <c r="CQ187" i="321"/>
  <c r="CP119" i="265"/>
  <c r="CP118" i="288"/>
  <c r="CP115" i="315"/>
  <c r="CP268" i="288"/>
  <c r="CP242" i="321"/>
  <c r="CP243" i="321" s="1"/>
  <c r="CP361" i="321"/>
  <c r="CP98" i="282"/>
  <c r="CP49" i="321"/>
  <c r="CP251" i="288"/>
  <c r="CP238" i="321"/>
  <c r="CP101" i="288"/>
  <c r="CP28" i="282"/>
  <c r="CP164" i="321"/>
  <c r="CP166" i="321" s="1"/>
  <c r="CO29" i="282"/>
  <c r="CO245" i="321"/>
  <c r="CO257" i="321"/>
  <c r="CO260" i="321" s="1"/>
  <c r="CO145" i="321"/>
  <c r="CO148" i="321" s="1"/>
  <c r="CO78" i="321"/>
  <c r="CN287" i="321"/>
  <c r="CN288" i="321" s="1"/>
  <c r="CN175" i="321"/>
  <c r="CN176" i="321" s="1"/>
  <c r="CM81" i="311"/>
  <c r="BM20" i="315"/>
  <c r="BM68" i="315"/>
  <c r="BM22" i="265"/>
  <c r="BM72" i="265"/>
  <c r="BM72" i="315"/>
  <c r="BM76" i="265"/>
  <c r="BN433" i="321"/>
  <c r="BM118" i="315"/>
  <c r="BM271" i="288"/>
  <c r="BM121" i="288"/>
  <c r="BM122" i="265"/>
  <c r="BM21" i="265"/>
  <c r="BM71" i="265"/>
  <c r="BM19" i="315"/>
  <c r="BM67" i="315"/>
  <c r="BM369" i="321"/>
  <c r="BM75" i="265"/>
  <c r="BM71" i="315"/>
  <c r="BN401" i="321"/>
  <c r="BM121" i="265"/>
  <c r="BM120" i="288"/>
  <c r="BM123" i="288" s="1"/>
  <c r="BM125" i="288" s="1"/>
  <c r="BM117" i="315"/>
  <c r="BM270" i="288"/>
  <c r="BM273" i="288" s="1"/>
  <c r="BM275" i="288" s="1"/>
  <c r="BJ107" i="282"/>
  <c r="BJ174" i="314"/>
  <c r="BJ39" i="282"/>
  <c r="BI32" i="314"/>
  <c r="CQ299" i="321"/>
  <c r="CP119" i="288"/>
  <c r="CP269" i="288"/>
  <c r="CP116" i="315"/>
  <c r="CP120" i="265"/>
  <c r="CP354" i="321"/>
  <c r="CP363" i="321"/>
  <c r="CP99" i="282"/>
  <c r="CP30" i="282"/>
  <c r="CP103" i="288"/>
  <c r="CP350" i="321"/>
  <c r="CP276" i="321"/>
  <c r="CP278" i="321" s="1"/>
  <c r="CP253" i="288"/>
  <c r="CP50" i="321"/>
  <c r="CO356" i="321"/>
  <c r="CN70" i="265"/>
  <c r="AY70" i="277" s="1"/>
  <c r="CN20" i="265"/>
  <c r="AY20" i="277" s="1"/>
  <c r="BH442" i="321"/>
  <c r="BH443" i="321" s="1"/>
  <c r="BH679" i="321"/>
  <c r="BH680" i="321" s="1"/>
  <c r="BH102" i="282"/>
  <c r="BH34" i="282"/>
  <c r="BH715" i="321"/>
  <c r="BH26" i="265" l="1"/>
  <c r="AI26" i="277" s="1"/>
  <c r="BH24" i="315"/>
  <c r="BH84" i="265"/>
  <c r="AI84" i="277" s="1"/>
  <c r="BH80" i="315"/>
  <c r="BH687" i="321"/>
  <c r="BH688" i="321" s="1"/>
  <c r="BH681" i="321"/>
  <c r="BH46" i="288"/>
  <c r="BH446" i="321"/>
  <c r="BH447" i="321" s="1"/>
  <c r="BH529" i="321"/>
  <c r="BH485" i="321"/>
  <c r="BH196" i="288"/>
  <c r="CO31" i="282"/>
  <c r="CO357" i="321"/>
  <c r="CP283" i="321"/>
  <c r="CP19" i="265"/>
  <c r="AZ19" i="277" s="1"/>
  <c r="CP18" i="315"/>
  <c r="CP66" i="315"/>
  <c r="CP69" i="265"/>
  <c r="AZ69" i="277" s="1"/>
  <c r="CP355" i="321"/>
  <c r="CP63" i="328"/>
  <c r="AZ120" i="277"/>
  <c r="CQ346" i="321"/>
  <c r="CQ349" i="321" s="1"/>
  <c r="CQ302" i="321"/>
  <c r="CQ104" i="288"/>
  <c r="CQ120" i="321"/>
  <c r="CQ113" i="321"/>
  <c r="CQ254" i="288"/>
  <c r="BJ77" i="315"/>
  <c r="BJ28" i="265"/>
  <c r="AJ28" i="277" s="1"/>
  <c r="BJ81" i="265"/>
  <c r="AJ81" i="277" s="1"/>
  <c r="BJ26" i="315"/>
  <c r="BN395" i="321"/>
  <c r="BN397" i="321" s="1"/>
  <c r="BN379" i="321"/>
  <c r="BN381" i="321" s="1"/>
  <c r="BN256" i="288"/>
  <c r="BN106" i="288"/>
  <c r="BM16" i="314"/>
  <c r="BM79" i="288"/>
  <c r="BM110" i="314"/>
  <c r="BM229" i="288"/>
  <c r="BM142" i="288"/>
  <c r="BM143" i="288" s="1"/>
  <c r="BM21" i="328"/>
  <c r="BM23" i="314"/>
  <c r="BM103" i="314"/>
  <c r="BM216" i="288"/>
  <c r="BM66" i="288"/>
  <c r="BN427" i="321"/>
  <c r="BN429" i="321" s="1"/>
  <c r="BN411" i="321"/>
  <c r="BN413" i="321" s="1"/>
  <c r="BN108" i="288"/>
  <c r="BN258" i="288"/>
  <c r="CN40" i="311"/>
  <c r="CN41" i="311"/>
  <c r="CN82" i="311" s="1"/>
  <c r="CO170" i="321"/>
  <c r="CO172" i="321" s="1"/>
  <c r="CO282" i="321"/>
  <c r="CO284" i="321" s="1"/>
  <c r="CO68" i="265"/>
  <c r="CO18" i="265"/>
  <c r="CP171" i="321"/>
  <c r="CP67" i="265"/>
  <c r="AZ67" i="277" s="1"/>
  <c r="CP65" i="315"/>
  <c r="CP17" i="315"/>
  <c r="CP17" i="265"/>
  <c r="AZ17" i="277" s="1"/>
  <c r="CP52" i="321"/>
  <c r="CP244" i="321"/>
  <c r="CP62" i="328"/>
  <c r="AZ119" i="277"/>
  <c r="CQ234" i="321"/>
  <c r="CQ237" i="321" s="1"/>
  <c r="CQ190" i="321"/>
  <c r="CQ112" i="321"/>
  <c r="CQ114" i="321" s="1"/>
  <c r="CQ102" i="288"/>
  <c r="CQ252" i="288"/>
  <c r="CQ116" i="321"/>
  <c r="CS30" i="315"/>
  <c r="CS32" i="265"/>
  <c r="CT152" i="282"/>
  <c r="CT155" i="282" s="1"/>
  <c r="CT115" i="282"/>
  <c r="CT47" i="282"/>
  <c r="CT84" i="282"/>
  <c r="CT87" i="282" s="1"/>
  <c r="CT23" i="282"/>
  <c r="CT24" i="282" s="1"/>
  <c r="CU21" i="282" s="1"/>
  <c r="CS94" i="282"/>
  <c r="CS162" i="282"/>
  <c r="CT160" i="282" l="1"/>
  <c r="CS121" i="315"/>
  <c r="CT92" i="282"/>
  <c r="CS125" i="265"/>
  <c r="CU10" i="282"/>
  <c r="CU12" i="282" s="1"/>
  <c r="CT93" i="282"/>
  <c r="CT88" i="282"/>
  <c r="CT156" i="282"/>
  <c r="CT161" i="282"/>
  <c r="CQ121" i="321"/>
  <c r="CQ122" i="321" s="1"/>
  <c r="CQ128" i="321" s="1"/>
  <c r="CQ134" i="321" s="1"/>
  <c r="CQ258" i="321" s="1"/>
  <c r="CQ117" i="321"/>
  <c r="CQ118" i="321" s="1"/>
  <c r="CQ127" i="321" s="1"/>
  <c r="CQ133" i="321" s="1"/>
  <c r="CQ146" i="321" s="1"/>
  <c r="CR187" i="321"/>
  <c r="CQ268" i="288"/>
  <c r="CQ118" i="288"/>
  <c r="CQ119" i="265"/>
  <c r="CQ62" i="328" s="1"/>
  <c r="CQ115" i="315"/>
  <c r="CQ242" i="321"/>
  <c r="CQ243" i="321" s="1"/>
  <c r="CQ361" i="321"/>
  <c r="CQ98" i="282"/>
  <c r="CQ238" i="321"/>
  <c r="CQ101" i="288"/>
  <c r="CQ28" i="282"/>
  <c r="CQ164" i="321"/>
  <c r="CQ166" i="321" s="1"/>
  <c r="CQ251" i="288"/>
  <c r="CQ49" i="321"/>
  <c r="CP29" i="282"/>
  <c r="CP245" i="321"/>
  <c r="CP257" i="321"/>
  <c r="CP260" i="321" s="1"/>
  <c r="CP145" i="321"/>
  <c r="CP148" i="321" s="1"/>
  <c r="CP78" i="321"/>
  <c r="CO287" i="321"/>
  <c r="CO288" i="321" s="1"/>
  <c r="CO175" i="321"/>
  <c r="CO176" i="321" s="1"/>
  <c r="CN81" i="311"/>
  <c r="BN368" i="321"/>
  <c r="BN435" i="321"/>
  <c r="BN436" i="321" s="1"/>
  <c r="BN414" i="321"/>
  <c r="BN367" i="321"/>
  <c r="BN257" i="288"/>
  <c r="BN101" i="282"/>
  <c r="BN430" i="321"/>
  <c r="BN107" i="288"/>
  <c r="BN33" i="282"/>
  <c r="BK105" i="314"/>
  <c r="BK109" i="314" s="1"/>
  <c r="BK112" i="314" s="1"/>
  <c r="BK115" i="314" s="1"/>
  <c r="BM146" i="288"/>
  <c r="BM231" i="288"/>
  <c r="BM240" i="288" s="1"/>
  <c r="BM81" i="288"/>
  <c r="BM90" i="288" s="1"/>
  <c r="BM92" i="288" s="1"/>
  <c r="BM94" i="288" s="1"/>
  <c r="BK18" i="314"/>
  <c r="BK22" i="314" s="1"/>
  <c r="BK25" i="314" s="1"/>
  <c r="BN110" i="288"/>
  <c r="BN112" i="288" s="1"/>
  <c r="BN260" i="288"/>
  <c r="BN262" i="288" s="1"/>
  <c r="BN366" i="321"/>
  <c r="BN403" i="321"/>
  <c r="BN404" i="321" s="1"/>
  <c r="BN382" i="321"/>
  <c r="BN365" i="321"/>
  <c r="BN369" i="321" s="1"/>
  <c r="BN255" i="288"/>
  <c r="BN105" i="288"/>
  <c r="BN100" i="282"/>
  <c r="BN398" i="321"/>
  <c r="BN32" i="282"/>
  <c r="CR299" i="321"/>
  <c r="CQ119" i="288"/>
  <c r="CQ116" i="315"/>
  <c r="CQ120" i="265"/>
  <c r="CQ63" i="328" s="1"/>
  <c r="CQ269" i="288"/>
  <c r="CQ354" i="321"/>
  <c r="CQ363" i="321"/>
  <c r="CQ99" i="282"/>
  <c r="CQ50" i="321"/>
  <c r="CQ350" i="321"/>
  <c r="CQ253" i="288"/>
  <c r="CQ30" i="282"/>
  <c r="CQ103" i="288"/>
  <c r="CQ276" i="321"/>
  <c r="CQ278" i="321" s="1"/>
  <c r="CP356" i="321"/>
  <c r="CO70" i="265"/>
  <c r="CO20" i="265"/>
  <c r="BH54" i="315"/>
  <c r="BH56" i="265"/>
  <c r="AI56" i="277" s="1"/>
  <c r="BH53" i="265"/>
  <c r="AI53" i="277" s="1"/>
  <c r="BH51" i="315"/>
  <c r="BI684" i="321"/>
  <c r="BH119" i="315"/>
  <c r="BH123" i="265"/>
  <c r="AI123" i="277" s="1"/>
  <c r="BI712" i="321" l="1"/>
  <c r="BI714" i="321" s="1"/>
  <c r="BI673" i="321"/>
  <c r="BI676" i="321" s="1"/>
  <c r="BI693" i="321"/>
  <c r="BI695" i="321" s="1"/>
  <c r="BI699" i="321" s="1"/>
  <c r="CP31" i="282"/>
  <c r="CP357" i="321"/>
  <c r="CQ283" i="321"/>
  <c r="CQ66" i="315"/>
  <c r="CQ19" i="265"/>
  <c r="CQ69" i="265"/>
  <c r="CQ18" i="315"/>
  <c r="CQ355" i="321"/>
  <c r="CR346" i="321"/>
  <c r="CR349" i="321" s="1"/>
  <c r="CR302" i="321"/>
  <c r="CR104" i="288"/>
  <c r="CR113" i="321"/>
  <c r="CR254" i="288"/>
  <c r="CR120" i="321"/>
  <c r="BN21" i="265"/>
  <c r="AL21" i="277" s="1"/>
  <c r="BN71" i="265"/>
  <c r="AL71" i="277" s="1"/>
  <c r="BN19" i="315"/>
  <c r="BN67" i="315"/>
  <c r="BN16" i="314"/>
  <c r="BN23" i="314"/>
  <c r="BN66" i="288"/>
  <c r="BN79" i="288"/>
  <c r="BN110" i="314"/>
  <c r="BN142" i="288"/>
  <c r="BN143" i="288" s="1"/>
  <c r="BN216" i="288"/>
  <c r="BN229" i="288"/>
  <c r="BN21" i="328"/>
  <c r="AL41" i="328" s="1"/>
  <c r="BN103" i="314"/>
  <c r="BN71" i="315"/>
  <c r="BN75" i="265"/>
  <c r="AL75" i="277" s="1"/>
  <c r="BO401" i="321"/>
  <c r="BN117" i="315"/>
  <c r="BN121" i="265"/>
  <c r="AL121" i="277" s="1"/>
  <c r="BN270" i="288"/>
  <c r="BN120" i="288"/>
  <c r="BK27" i="314"/>
  <c r="BJ29" i="314" s="1"/>
  <c r="BK88" i="314"/>
  <c r="BK171" i="314"/>
  <c r="BK173" i="314" s="1"/>
  <c r="BK36" i="314"/>
  <c r="BN22" i="265"/>
  <c r="AL22" i="277" s="1"/>
  <c r="BN20" i="315"/>
  <c r="BN68" i="315"/>
  <c r="BN72" i="265"/>
  <c r="AL72" i="277" s="1"/>
  <c r="BN76" i="265"/>
  <c r="AL76" i="277" s="1"/>
  <c r="BN72" i="315"/>
  <c r="BO433" i="321"/>
  <c r="BN122" i="265"/>
  <c r="AL122" i="277" s="1"/>
  <c r="BN271" i="288"/>
  <c r="BN121" i="288"/>
  <c r="BN118" i="315"/>
  <c r="CO40" i="311"/>
  <c r="CO41" i="311"/>
  <c r="CO82" i="311" s="1"/>
  <c r="CP170" i="321"/>
  <c r="CP172" i="321" s="1"/>
  <c r="CP282" i="321"/>
  <c r="CP284" i="321" s="1"/>
  <c r="CP68" i="265"/>
  <c r="AZ68" i="277" s="1"/>
  <c r="CP18" i="265"/>
  <c r="AZ18" i="277" s="1"/>
  <c r="CQ52" i="321"/>
  <c r="CQ171" i="321"/>
  <c r="CQ17" i="315"/>
  <c r="CQ65" i="315"/>
  <c r="CQ67" i="265"/>
  <c r="CQ17" i="265"/>
  <c r="CQ244" i="321"/>
  <c r="CR234" i="321"/>
  <c r="CR237" i="321" s="1"/>
  <c r="CR190" i="321"/>
  <c r="CR252" i="288"/>
  <c r="CR116" i="321"/>
  <c r="CR102" i="288"/>
  <c r="CR112" i="321"/>
  <c r="CR114" i="321" s="1"/>
  <c r="CT30" i="315"/>
  <c r="CT32" i="265"/>
  <c r="BB32" i="277" s="1"/>
  <c r="H32" i="277" s="1"/>
  <c r="CU152" i="282"/>
  <c r="CU155" i="282" s="1"/>
  <c r="CU115" i="282"/>
  <c r="CU47" i="282"/>
  <c r="CU84" i="282"/>
  <c r="CU87" i="282" s="1"/>
  <c r="CU23" i="282"/>
  <c r="CU24" i="282" s="1"/>
  <c r="CV21" i="282" s="1"/>
  <c r="CT94" i="282"/>
  <c r="CT162" i="282"/>
  <c r="CU160" i="282" l="1"/>
  <c r="CT121" i="315"/>
  <c r="CU92" i="282"/>
  <c r="CT125" i="265"/>
  <c r="BB125" i="277" s="1"/>
  <c r="CV10" i="282"/>
  <c r="CV12" i="282" s="1"/>
  <c r="CU93" i="282"/>
  <c r="CU88" i="282"/>
  <c r="CU156" i="282"/>
  <c r="CU161" i="282"/>
  <c r="CR121" i="321"/>
  <c r="CR122" i="321" s="1"/>
  <c r="CR128" i="321" s="1"/>
  <c r="CR134" i="321" s="1"/>
  <c r="CR258" i="321" s="1"/>
  <c r="CR117" i="321"/>
  <c r="CR118" i="321" s="1"/>
  <c r="CR127" i="321" s="1"/>
  <c r="CR133" i="321" s="1"/>
  <c r="CR146" i="321" s="1"/>
  <c r="CS187" i="321"/>
  <c r="CR118" i="288"/>
  <c r="CR119" i="265"/>
  <c r="CR115" i="315"/>
  <c r="CR268" i="288"/>
  <c r="CR242" i="321"/>
  <c r="CR243" i="321" s="1"/>
  <c r="CR361" i="321"/>
  <c r="CR98" i="282"/>
  <c r="CR251" i="288"/>
  <c r="CR238" i="321"/>
  <c r="CR101" i="288"/>
  <c r="CR28" i="282"/>
  <c r="CR164" i="321"/>
  <c r="CR166" i="321" s="1"/>
  <c r="CR49" i="321"/>
  <c r="CQ29" i="282"/>
  <c r="CQ245" i="321"/>
  <c r="CQ78" i="321"/>
  <c r="CQ257" i="321"/>
  <c r="CQ260" i="321" s="1"/>
  <c r="CQ145" i="321"/>
  <c r="CQ148" i="321" s="1"/>
  <c r="CP287" i="321"/>
  <c r="CP288" i="321" s="1"/>
  <c r="CP175" i="321"/>
  <c r="CP176" i="321" s="1"/>
  <c r="CO81" i="311"/>
  <c r="BO427" i="321"/>
  <c r="BO429" i="321" s="1"/>
  <c r="BO411" i="321"/>
  <c r="BO413" i="321" s="1"/>
  <c r="BO258" i="288"/>
  <c r="BO108" i="288"/>
  <c r="BK107" i="282"/>
  <c r="BK174" i="314"/>
  <c r="BK39" i="282"/>
  <c r="BJ32" i="314"/>
  <c r="BN123" i="288"/>
  <c r="BN125" i="288" s="1"/>
  <c r="BN273" i="288"/>
  <c r="BN275" i="288" s="1"/>
  <c r="BO395" i="321"/>
  <c r="BO397" i="321" s="1"/>
  <c r="BO379" i="321"/>
  <c r="BO381" i="321" s="1"/>
  <c r="BO106" i="288"/>
  <c r="BO110" i="288" s="1"/>
  <c r="BO112" i="288" s="1"/>
  <c r="BO256" i="288"/>
  <c r="BO260" i="288" s="1"/>
  <c r="BO262" i="288" s="1"/>
  <c r="BL105" i="314"/>
  <c r="BL109" i="314" s="1"/>
  <c r="BL112" i="314" s="1"/>
  <c r="BL115" i="314" s="1"/>
  <c r="BN231" i="288"/>
  <c r="BN240" i="288" s="1"/>
  <c r="BN146" i="288"/>
  <c r="BN81" i="288"/>
  <c r="BN90" i="288" s="1"/>
  <c r="BN92" i="288" s="1"/>
  <c r="BN94" i="288" s="1"/>
  <c r="BL18" i="314"/>
  <c r="BL22" i="314" s="1"/>
  <c r="BL25" i="314" s="1"/>
  <c r="CS299" i="321"/>
  <c r="CR119" i="288"/>
  <c r="CR116" i="315"/>
  <c r="CR120" i="265"/>
  <c r="CR269" i="288"/>
  <c r="CR354" i="321"/>
  <c r="CR363" i="321"/>
  <c r="CR99" i="282"/>
  <c r="CR350" i="321"/>
  <c r="CR276" i="321"/>
  <c r="CR278" i="321" s="1"/>
  <c r="CR30" i="282"/>
  <c r="CR253" i="288"/>
  <c r="CR50" i="321"/>
  <c r="CR103" i="288"/>
  <c r="CQ356" i="321"/>
  <c r="CP70" i="265"/>
  <c r="AZ70" i="277" s="1"/>
  <c r="CP20" i="265"/>
  <c r="AZ20" i="277" s="1"/>
  <c r="BI442" i="321"/>
  <c r="BI443" i="321" s="1"/>
  <c r="BI679" i="321"/>
  <c r="BI680" i="321" s="1"/>
  <c r="BI102" i="282"/>
  <c r="BI715" i="321"/>
  <c r="BI34" i="282"/>
  <c r="BI26" i="265" l="1"/>
  <c r="BI24" i="315"/>
  <c r="BI84" i="265"/>
  <c r="BI80" i="315"/>
  <c r="BI687" i="321"/>
  <c r="BI688" i="321" s="1"/>
  <c r="BI681" i="321"/>
  <c r="BI46" i="288"/>
  <c r="BI446" i="321"/>
  <c r="BI447" i="321" s="1"/>
  <c r="BI529" i="321"/>
  <c r="BI485" i="321"/>
  <c r="BI196" i="288"/>
  <c r="CQ31" i="282"/>
  <c r="CQ357" i="321"/>
  <c r="CR283" i="321"/>
  <c r="CR18" i="315"/>
  <c r="CR66" i="315"/>
  <c r="CR19" i="265"/>
  <c r="BA19" i="277" s="1"/>
  <c r="CR69" i="265"/>
  <c r="BA69" i="277" s="1"/>
  <c r="CR355" i="321"/>
  <c r="CR63" i="328"/>
  <c r="BA120" i="277"/>
  <c r="CS346" i="321"/>
  <c r="CS349" i="321" s="1"/>
  <c r="CS302" i="321"/>
  <c r="CS120" i="321"/>
  <c r="CS113" i="321"/>
  <c r="CS254" i="288"/>
  <c r="CS104" i="288"/>
  <c r="BL27" i="314"/>
  <c r="BK29" i="314" s="1"/>
  <c r="BL36" i="314"/>
  <c r="BL88" i="314"/>
  <c r="BL171" i="314"/>
  <c r="BL173" i="314" s="1"/>
  <c r="BO366" i="321"/>
  <c r="BO403" i="321"/>
  <c r="BO404" i="321" s="1"/>
  <c r="BO382" i="321"/>
  <c r="BO365" i="321"/>
  <c r="BO255" i="288"/>
  <c r="BO105" i="288"/>
  <c r="BO100" i="282"/>
  <c r="BO398" i="321"/>
  <c r="BO32" i="282"/>
  <c r="BK81" i="265"/>
  <c r="BK26" i="315"/>
  <c r="BK77" i="315"/>
  <c r="BK28" i="265"/>
  <c r="BO368" i="321"/>
  <c r="BO435" i="321"/>
  <c r="BO436" i="321" s="1"/>
  <c r="BO414" i="321"/>
  <c r="BO367" i="321"/>
  <c r="BO257" i="288"/>
  <c r="BO107" i="288"/>
  <c r="BO101" i="282"/>
  <c r="BO430" i="321"/>
  <c r="BO33" i="282"/>
  <c r="CP40" i="311"/>
  <c r="CP41" i="311"/>
  <c r="CP82" i="311" s="1"/>
  <c r="CQ170" i="321"/>
  <c r="CQ172" i="321" s="1"/>
  <c r="CQ282" i="321"/>
  <c r="CQ284" i="321" s="1"/>
  <c r="CQ68" i="265"/>
  <c r="CQ18" i="265"/>
  <c r="CR52" i="321"/>
  <c r="CR171" i="321"/>
  <c r="CR67" i="265"/>
  <c r="BA67" i="277" s="1"/>
  <c r="CR17" i="315"/>
  <c r="CR65" i="315"/>
  <c r="CR17" i="265"/>
  <c r="BA17" i="277" s="1"/>
  <c r="CR244" i="321"/>
  <c r="CR62" i="328"/>
  <c r="BA119" i="277"/>
  <c r="CS234" i="321"/>
  <c r="CS237" i="321" s="1"/>
  <c r="CS190" i="321"/>
  <c r="CS252" i="288"/>
  <c r="CS116" i="321"/>
  <c r="CS112" i="321"/>
  <c r="CS114" i="321" s="1"/>
  <c r="CS102" i="288"/>
  <c r="CU30" i="315"/>
  <c r="CU32" i="265"/>
  <c r="CV152" i="282"/>
  <c r="CV155" i="282" s="1"/>
  <c r="CV115" i="282"/>
  <c r="CV47" i="282"/>
  <c r="CV84" i="282"/>
  <c r="CV87" i="282" s="1"/>
  <c r="CV23" i="282"/>
  <c r="CV24" i="282" s="1"/>
  <c r="H12" i="282"/>
  <c r="CU94" i="282"/>
  <c r="CU162" i="282"/>
  <c r="CV160" i="282" l="1"/>
  <c r="CU121" i="315"/>
  <c r="CV92" i="282"/>
  <c r="CU125" i="265"/>
  <c r="H152" i="282"/>
  <c r="H115" i="282"/>
  <c r="H47" i="282"/>
  <c r="H84" i="282"/>
  <c r="H23" i="282"/>
  <c r="CV88" i="282"/>
  <c r="CV93" i="282"/>
  <c r="H87" i="282"/>
  <c r="H93" i="282" s="1"/>
  <c r="CV161" i="282"/>
  <c r="CV156" i="282"/>
  <c r="H155" i="282"/>
  <c r="H161" i="282" s="1"/>
  <c r="CS121" i="321"/>
  <c r="CS122" i="321" s="1"/>
  <c r="CS128" i="321" s="1"/>
  <c r="CS134" i="321" s="1"/>
  <c r="CS258" i="321" s="1"/>
  <c r="CS117" i="321"/>
  <c r="CS118" i="321" s="1"/>
  <c r="CS127" i="321" s="1"/>
  <c r="CS133" i="321" s="1"/>
  <c r="CS146" i="321" s="1"/>
  <c r="CT187" i="321"/>
  <c r="CS119" i="265"/>
  <c r="CS62" i="328" s="1"/>
  <c r="CS115" i="315"/>
  <c r="CS268" i="288"/>
  <c r="CS118" i="288"/>
  <c r="CS242" i="321"/>
  <c r="CS243" i="321" s="1"/>
  <c r="CS361" i="321"/>
  <c r="CS98" i="282"/>
  <c r="CS251" i="288"/>
  <c r="CS238" i="321"/>
  <c r="CS101" i="288"/>
  <c r="CS28" i="282"/>
  <c r="CS164" i="321"/>
  <c r="CS166" i="321" s="1"/>
  <c r="CS49" i="321"/>
  <c r="CR29" i="282"/>
  <c r="CR245" i="321"/>
  <c r="CR78" i="321"/>
  <c r="CR257" i="321"/>
  <c r="CR260" i="321" s="1"/>
  <c r="CR145" i="321"/>
  <c r="CR148" i="321" s="1"/>
  <c r="CQ287" i="321"/>
  <c r="CQ288" i="321" s="1"/>
  <c r="CQ175" i="321"/>
  <c r="CQ176" i="321" s="1"/>
  <c r="CP81" i="311"/>
  <c r="BO72" i="265"/>
  <c r="BO20" i="315"/>
  <c r="BO68" i="315"/>
  <c r="BO22" i="265"/>
  <c r="BO76" i="265"/>
  <c r="BO72" i="315"/>
  <c r="BP433" i="321"/>
  <c r="BO271" i="288"/>
  <c r="BO121" i="288"/>
  <c r="BO118" i="315"/>
  <c r="BO122" i="265"/>
  <c r="BO19" i="315"/>
  <c r="BO67" i="315"/>
  <c r="BO21" i="265"/>
  <c r="BO71" i="265"/>
  <c r="BO369" i="321"/>
  <c r="BO75" i="265"/>
  <c r="BO71" i="315"/>
  <c r="BP401" i="321"/>
  <c r="BO117" i="315"/>
  <c r="BO121" i="265"/>
  <c r="BO270" i="288"/>
  <c r="BO273" i="288" s="1"/>
  <c r="BO275" i="288" s="1"/>
  <c r="BO120" i="288"/>
  <c r="BO123" i="288" s="1"/>
  <c r="BO125" i="288" s="1"/>
  <c r="BL107" i="282"/>
  <c r="BL39" i="282"/>
  <c r="BL174" i="314"/>
  <c r="BK32" i="314"/>
  <c r="CT299" i="321"/>
  <c r="CS119" i="288"/>
  <c r="CS120" i="265"/>
  <c r="CS63" i="328" s="1"/>
  <c r="CS269" i="288"/>
  <c r="CS116" i="315"/>
  <c r="CS354" i="321"/>
  <c r="CS363" i="321"/>
  <c r="CS99" i="282"/>
  <c r="CS253" i="288"/>
  <c r="CS30" i="282"/>
  <c r="CS103" i="288"/>
  <c r="CS350" i="321"/>
  <c r="CS276" i="321"/>
  <c r="CS278" i="321" s="1"/>
  <c r="CS50" i="321"/>
  <c r="CR356" i="321"/>
  <c r="CQ70" i="265"/>
  <c r="CQ20" i="265"/>
  <c r="BI56" i="265"/>
  <c r="BI54" i="315"/>
  <c r="BI53" i="265"/>
  <c r="BI51" i="315"/>
  <c r="BJ684" i="321"/>
  <c r="BI119" i="315"/>
  <c r="BI123" i="265"/>
  <c r="BJ712" i="321" l="1"/>
  <c r="BJ714" i="321" s="1"/>
  <c r="BJ673" i="321"/>
  <c r="BJ676" i="321" s="1"/>
  <c r="BJ693" i="321"/>
  <c r="BJ695" i="321" s="1"/>
  <c r="BJ699" i="321" s="1"/>
  <c r="CR31" i="282"/>
  <c r="CR357" i="321"/>
  <c r="CS283" i="321"/>
  <c r="CS19" i="265"/>
  <c r="CS69" i="265"/>
  <c r="CS18" i="315"/>
  <c r="CS66" i="315"/>
  <c r="CS355" i="321"/>
  <c r="CT346" i="321"/>
  <c r="CT349" i="321" s="1"/>
  <c r="CT302" i="321"/>
  <c r="CT104" i="288"/>
  <c r="CT113" i="321"/>
  <c r="CT254" i="288"/>
  <c r="CT120" i="321"/>
  <c r="BL77" i="315"/>
  <c r="BL28" i="265"/>
  <c r="AK28" i="277" s="1"/>
  <c r="BL81" i="265"/>
  <c r="AK81" i="277" s="1"/>
  <c r="BL26" i="315"/>
  <c r="BP395" i="321"/>
  <c r="BP397" i="321" s="1"/>
  <c r="BP379" i="321"/>
  <c r="BP381" i="321" s="1"/>
  <c r="BP106" i="288"/>
  <c r="BP256" i="288"/>
  <c r="BO16" i="314"/>
  <c r="BO229" i="288"/>
  <c r="BO66" i="288"/>
  <c r="BO21" i="328"/>
  <c r="BO23" i="314"/>
  <c r="BO216" i="288"/>
  <c r="BO142" i="288"/>
  <c r="BO143" i="288" s="1"/>
  <c r="BO103" i="314"/>
  <c r="BO79" i="288"/>
  <c r="BO110" i="314"/>
  <c r="BP427" i="321"/>
  <c r="BP429" i="321" s="1"/>
  <c r="BP411" i="321"/>
  <c r="BP413" i="321" s="1"/>
  <c r="BP258" i="288"/>
  <c r="BP108" i="288"/>
  <c r="CQ40" i="311"/>
  <c r="CQ41" i="311"/>
  <c r="CQ82" i="311" s="1"/>
  <c r="CR170" i="321"/>
  <c r="CR172" i="321" s="1"/>
  <c r="CR282" i="321"/>
  <c r="CR284" i="321" s="1"/>
  <c r="CR68" i="265"/>
  <c r="BA68" i="277" s="1"/>
  <c r="CR18" i="265"/>
  <c r="BA18" i="277" s="1"/>
  <c r="CS52" i="321"/>
  <c r="CS171" i="321"/>
  <c r="CS67" i="265"/>
  <c r="CS17" i="315"/>
  <c r="CS65" i="315"/>
  <c r="CS17" i="265"/>
  <c r="CS244" i="321"/>
  <c r="CT234" i="321"/>
  <c r="CT237" i="321" s="1"/>
  <c r="CT190" i="321"/>
  <c r="CT252" i="288"/>
  <c r="CT116" i="321"/>
  <c r="CT102" i="288"/>
  <c r="CT112" i="321"/>
  <c r="CT114" i="321" s="1"/>
  <c r="CV30" i="315"/>
  <c r="H156" i="282"/>
  <c r="H30" i="315" s="1"/>
  <c r="CV32" i="265"/>
  <c r="H88" i="282"/>
  <c r="H32" i="265" s="1"/>
  <c r="H109" i="269" s="1"/>
  <c r="K109" i="269" s="1"/>
  <c r="CV94" i="282"/>
  <c r="CV162" i="282"/>
  <c r="CW160" i="282" l="1"/>
  <c r="CW162" i="282" s="1"/>
  <c r="CV121" i="315"/>
  <c r="CW92" i="282"/>
  <c r="CW94" i="282" s="1"/>
  <c r="CV125" i="265"/>
  <c r="J109" i="269"/>
  <c r="L109" i="269"/>
  <c r="CT121" i="321"/>
  <c r="CT122" i="321" s="1"/>
  <c r="CT128" i="321" s="1"/>
  <c r="CT134" i="321" s="1"/>
  <c r="CT258" i="321" s="1"/>
  <c r="CT117" i="321"/>
  <c r="CT118" i="321" s="1"/>
  <c r="CT127" i="321" s="1"/>
  <c r="CT133" i="321" s="1"/>
  <c r="CT146" i="321" s="1"/>
  <c r="CU187" i="321"/>
  <c r="CT268" i="288"/>
  <c r="CT119" i="265"/>
  <c r="CT118" i="288"/>
  <c r="CT115" i="315"/>
  <c r="CT242" i="321"/>
  <c r="CT243" i="321" s="1"/>
  <c r="CT361" i="321"/>
  <c r="CT98" i="282"/>
  <c r="CT49" i="321"/>
  <c r="CT238" i="321"/>
  <c r="CT101" i="288"/>
  <c r="CT28" i="282"/>
  <c r="CT164" i="321"/>
  <c r="CT166" i="321" s="1"/>
  <c r="CT251" i="288"/>
  <c r="CS29" i="282"/>
  <c r="CS245" i="321"/>
  <c r="CS257" i="321"/>
  <c r="CS260" i="321" s="1"/>
  <c r="CS145" i="321"/>
  <c r="CS148" i="321" s="1"/>
  <c r="CS78" i="321"/>
  <c r="CR287" i="321"/>
  <c r="CR288" i="321" s="1"/>
  <c r="CR175" i="321"/>
  <c r="CR176" i="321" s="1"/>
  <c r="CQ81" i="311"/>
  <c r="BP368" i="321"/>
  <c r="BP435" i="321"/>
  <c r="BP436" i="321" s="1"/>
  <c r="BP414" i="321"/>
  <c r="BP367" i="321"/>
  <c r="BP107" i="288"/>
  <c r="BP257" i="288"/>
  <c r="BP101" i="282"/>
  <c r="BP33" i="282"/>
  <c r="BP430" i="321"/>
  <c r="BO81" i="288"/>
  <c r="BO90" i="288" s="1"/>
  <c r="BO92" i="288" s="1"/>
  <c r="BO94" i="288" s="1"/>
  <c r="BM105" i="314"/>
  <c r="BM109" i="314" s="1"/>
  <c r="BM112" i="314" s="1"/>
  <c r="BM115" i="314" s="1"/>
  <c r="BO146" i="288"/>
  <c r="BO231" i="288"/>
  <c r="BO240" i="288" s="1"/>
  <c r="BM18" i="314"/>
  <c r="BM22" i="314" s="1"/>
  <c r="BM25" i="314" s="1"/>
  <c r="BP260" i="288"/>
  <c r="BP262" i="288" s="1"/>
  <c r="BP110" i="288"/>
  <c r="BP112" i="288" s="1"/>
  <c r="BP366" i="321"/>
  <c r="BP403" i="321"/>
  <c r="BP404" i="321" s="1"/>
  <c r="BP382" i="321"/>
  <c r="BP365" i="321"/>
  <c r="BP369" i="321" s="1"/>
  <c r="BP105" i="288"/>
  <c r="BP255" i="288"/>
  <c r="BP100" i="282"/>
  <c r="BP398" i="321"/>
  <c r="BP32" i="282"/>
  <c r="CU299" i="321"/>
  <c r="CT119" i="288"/>
  <c r="CT116" i="315"/>
  <c r="CT120" i="265"/>
  <c r="CT269" i="288"/>
  <c r="CT354" i="321"/>
  <c r="CT363" i="321"/>
  <c r="CT99" i="282"/>
  <c r="CT50" i="321"/>
  <c r="CT103" i="288"/>
  <c r="CT30" i="282"/>
  <c r="CT253" i="288"/>
  <c r="CT350" i="321"/>
  <c r="CT276" i="321"/>
  <c r="CT278" i="321" s="1"/>
  <c r="CS356" i="321"/>
  <c r="CR70" i="265"/>
  <c r="BA70" i="277" s="1"/>
  <c r="CR20" i="265"/>
  <c r="BA20" i="277" s="1"/>
  <c r="BJ442" i="321"/>
  <c r="BJ443" i="321" s="1"/>
  <c r="BJ679" i="321"/>
  <c r="BJ680" i="321" s="1"/>
  <c r="BJ102" i="282"/>
  <c r="BJ715" i="321"/>
  <c r="BJ34" i="282"/>
  <c r="BJ26" i="265" l="1"/>
  <c r="AJ26" i="277" s="1"/>
  <c r="BJ24" i="315"/>
  <c r="BJ84" i="265"/>
  <c r="AJ84" i="277" s="1"/>
  <c r="BJ80" i="315"/>
  <c r="BJ687" i="321"/>
  <c r="BJ688" i="321" s="1"/>
  <c r="BJ681" i="321"/>
  <c r="BJ46" i="288"/>
  <c r="BJ529" i="321"/>
  <c r="BJ485" i="321"/>
  <c r="BJ446" i="321"/>
  <c r="BJ447" i="321" s="1"/>
  <c r="BJ196" i="288"/>
  <c r="CS31" i="282"/>
  <c r="CS357" i="321"/>
  <c r="CT283" i="321"/>
  <c r="CT19" i="265"/>
  <c r="BB19" i="277" s="1"/>
  <c r="H19" i="277" s="1"/>
  <c r="CT69" i="265"/>
  <c r="BB69" i="277" s="1"/>
  <c r="H69" i="277" s="1"/>
  <c r="CT18" i="315"/>
  <c r="CT66" i="315"/>
  <c r="CT355" i="321"/>
  <c r="BB120" i="277"/>
  <c r="CT63" i="328"/>
  <c r="CU346" i="321"/>
  <c r="CU349" i="321" s="1"/>
  <c r="CU302" i="321"/>
  <c r="CU113" i="321"/>
  <c r="CU254" i="288"/>
  <c r="CU104" i="288"/>
  <c r="CU120" i="321"/>
  <c r="BP71" i="265"/>
  <c r="AM71" i="277" s="1"/>
  <c r="BP19" i="315"/>
  <c r="BP67" i="315"/>
  <c r="BP21" i="265"/>
  <c r="AM21" i="277" s="1"/>
  <c r="BP16" i="314"/>
  <c r="BP142" i="288"/>
  <c r="BP143" i="288" s="1"/>
  <c r="BP110" i="314"/>
  <c r="BP23" i="314"/>
  <c r="BP21" i="328"/>
  <c r="AM41" i="328" s="1"/>
  <c r="BP79" i="288"/>
  <c r="BP229" i="288"/>
  <c r="BP103" i="314"/>
  <c r="BP216" i="288"/>
  <c r="BP66" i="288"/>
  <c r="BP71" i="315"/>
  <c r="BP75" i="265"/>
  <c r="AM75" i="277" s="1"/>
  <c r="BQ401" i="321"/>
  <c r="BP117" i="315"/>
  <c r="BP121" i="265"/>
  <c r="AM121" i="277" s="1"/>
  <c r="BP270" i="288"/>
  <c r="BP120" i="288"/>
  <c r="BM27" i="314"/>
  <c r="BL29" i="314" s="1"/>
  <c r="BM171" i="314"/>
  <c r="BM173" i="314" s="1"/>
  <c r="BM36" i="314"/>
  <c r="BM88" i="314"/>
  <c r="BP22" i="265"/>
  <c r="AM22" i="277" s="1"/>
  <c r="BP68" i="315"/>
  <c r="BP72" i="265"/>
  <c r="AM72" i="277" s="1"/>
  <c r="BP20" i="315"/>
  <c r="BP72" i="315"/>
  <c r="BP76" i="265"/>
  <c r="AM76" i="277" s="1"/>
  <c r="BQ433" i="321"/>
  <c r="BP121" i="288"/>
  <c r="BP122" i="265"/>
  <c r="AM122" i="277" s="1"/>
  <c r="BP118" i="315"/>
  <c r="BP271" i="288"/>
  <c r="CR40" i="311"/>
  <c r="CR41" i="311"/>
  <c r="CR82" i="311" s="1"/>
  <c r="CS170" i="321"/>
  <c r="CS172" i="321" s="1"/>
  <c r="CS282" i="321"/>
  <c r="CS284" i="321" s="1"/>
  <c r="CS68" i="265"/>
  <c r="CS18" i="265"/>
  <c r="CT171" i="321"/>
  <c r="CT65" i="315"/>
  <c r="CT17" i="265"/>
  <c r="BB17" i="277" s="1"/>
  <c r="H17" i="277" s="1"/>
  <c r="CT67" i="265"/>
  <c r="BB67" i="277" s="1"/>
  <c r="H67" i="277" s="1"/>
  <c r="CT17" i="315"/>
  <c r="CT52" i="321"/>
  <c r="CT244" i="321"/>
  <c r="CT62" i="328"/>
  <c r="BB119" i="277"/>
  <c r="CU234" i="321"/>
  <c r="CU237" i="321" s="1"/>
  <c r="CU190" i="321"/>
  <c r="CU252" i="288"/>
  <c r="CU102" i="288"/>
  <c r="CU116" i="321"/>
  <c r="CU112" i="321"/>
  <c r="CU114" i="321" s="1"/>
  <c r="CX92" i="282"/>
  <c r="CX94" i="282" s="1"/>
  <c r="CW125" i="265"/>
  <c r="CX160" i="282"/>
  <c r="CX162" i="282" s="1"/>
  <c r="CW121" i="315"/>
  <c r="CY160" i="282" l="1"/>
  <c r="CY162" i="282" s="1"/>
  <c r="CX121" i="315"/>
  <c r="CY92" i="282"/>
  <c r="CY94" i="282" s="1"/>
  <c r="CX125" i="265"/>
  <c r="CU117" i="321"/>
  <c r="CU118" i="321" s="1"/>
  <c r="CU127" i="321" s="1"/>
  <c r="CU133" i="321" s="1"/>
  <c r="CU146" i="321" s="1"/>
  <c r="CU121" i="321"/>
  <c r="CU122" i="321" s="1"/>
  <c r="CU128" i="321" s="1"/>
  <c r="CU134" i="321" s="1"/>
  <c r="CU258" i="321" s="1"/>
  <c r="CV187" i="321"/>
  <c r="CU268" i="288"/>
  <c r="CU118" i="288"/>
  <c r="CU115" i="315"/>
  <c r="CU119" i="265"/>
  <c r="CU62" i="328" s="1"/>
  <c r="CU242" i="321"/>
  <c r="CU243" i="321" s="1"/>
  <c r="CU361" i="321"/>
  <c r="CU98" i="282"/>
  <c r="CU164" i="321"/>
  <c r="CU166" i="321" s="1"/>
  <c r="CU49" i="321"/>
  <c r="CU251" i="288"/>
  <c r="CU28" i="282"/>
  <c r="CU238" i="321"/>
  <c r="CU101" i="288"/>
  <c r="CT29" i="282"/>
  <c r="CT245" i="321"/>
  <c r="CT257" i="321"/>
  <c r="CT260" i="321" s="1"/>
  <c r="CT78" i="321"/>
  <c r="CT145" i="321"/>
  <c r="CT148" i="321" s="1"/>
  <c r="CS287" i="321"/>
  <c r="CS288" i="321" s="1"/>
  <c r="CS175" i="321"/>
  <c r="CS176" i="321" s="1"/>
  <c r="CR81" i="311"/>
  <c r="BQ427" i="321"/>
  <c r="BQ429" i="321" s="1"/>
  <c r="BQ411" i="321"/>
  <c r="BQ413" i="321" s="1"/>
  <c r="BQ258" i="288"/>
  <c r="BQ108" i="288"/>
  <c r="BM107" i="282"/>
  <c r="BM39" i="282"/>
  <c r="BM174" i="314"/>
  <c r="BL32" i="314"/>
  <c r="BP123" i="288"/>
  <c r="BP125" i="288" s="1"/>
  <c r="BP273" i="288"/>
  <c r="BP275" i="288" s="1"/>
  <c r="BQ395" i="321"/>
  <c r="BQ397" i="321" s="1"/>
  <c r="BQ379" i="321"/>
  <c r="BQ381" i="321" s="1"/>
  <c r="BQ256" i="288"/>
  <c r="BQ260" i="288" s="1"/>
  <c r="BQ262" i="288" s="1"/>
  <c r="BQ106" i="288"/>
  <c r="BQ110" i="288" s="1"/>
  <c r="BQ112" i="288" s="1"/>
  <c r="BN105" i="314"/>
  <c r="BN109" i="314" s="1"/>
  <c r="BN112" i="314" s="1"/>
  <c r="BN115" i="314" s="1"/>
  <c r="BP231" i="288"/>
  <c r="BP240" i="288" s="1"/>
  <c r="BP81" i="288"/>
  <c r="BP90" i="288" s="1"/>
  <c r="BP92" i="288" s="1"/>
  <c r="BP94" i="288" s="1"/>
  <c r="BP146" i="288"/>
  <c r="BN18" i="314"/>
  <c r="BN22" i="314" s="1"/>
  <c r="BN25" i="314" s="1"/>
  <c r="CV299" i="321"/>
  <c r="CU269" i="288"/>
  <c r="CU116" i="315"/>
  <c r="CU120" i="265"/>
  <c r="CU63" i="328" s="1"/>
  <c r="CU119" i="288"/>
  <c r="CU354" i="321"/>
  <c r="CU363" i="321"/>
  <c r="CU99" i="282"/>
  <c r="CU253" i="288"/>
  <c r="CU30" i="282"/>
  <c r="CU103" i="288"/>
  <c r="CU350" i="321"/>
  <c r="CU276" i="321"/>
  <c r="CU278" i="321" s="1"/>
  <c r="CU50" i="321"/>
  <c r="CT356" i="321"/>
  <c r="CS70" i="265"/>
  <c r="CS20" i="265"/>
  <c r="BJ54" i="315"/>
  <c r="BJ56" i="265"/>
  <c r="AJ56" i="277" s="1"/>
  <c r="BJ53" i="265"/>
  <c r="AJ53" i="277" s="1"/>
  <c r="BJ51" i="315"/>
  <c r="BK684" i="321"/>
  <c r="BJ119" i="315"/>
  <c r="BJ123" i="265"/>
  <c r="AJ123" i="277" s="1"/>
  <c r="BK712" i="321" l="1"/>
  <c r="BK714" i="321" s="1"/>
  <c r="BK673" i="321"/>
  <c r="BK676" i="321" s="1"/>
  <c r="BK693" i="321"/>
  <c r="BK695" i="321" s="1"/>
  <c r="BK699" i="321" s="1"/>
  <c r="CT31" i="282"/>
  <c r="CT357" i="321"/>
  <c r="CU283" i="321"/>
  <c r="CU69" i="265"/>
  <c r="CU19" i="265"/>
  <c r="CU18" i="315"/>
  <c r="CU66" i="315"/>
  <c r="CU355" i="321"/>
  <c r="CV346" i="321"/>
  <c r="CV349" i="321" s="1"/>
  <c r="CV120" i="321"/>
  <c r="CV302" i="321"/>
  <c r="CV104" i="288"/>
  <c r="CV113" i="321"/>
  <c r="CV254" i="288"/>
  <c r="BN27" i="314"/>
  <c r="BM29" i="314" s="1"/>
  <c r="BN36" i="314"/>
  <c r="BN88" i="314"/>
  <c r="BN171" i="314"/>
  <c r="BN173" i="314" s="1"/>
  <c r="BQ366" i="321"/>
  <c r="BQ403" i="321"/>
  <c r="BQ404" i="321" s="1"/>
  <c r="BQ382" i="321"/>
  <c r="BQ365" i="321"/>
  <c r="BQ255" i="288"/>
  <c r="BQ100" i="282"/>
  <c r="BQ105" i="288"/>
  <c r="BQ32" i="282"/>
  <c r="BQ398" i="321"/>
  <c r="BM26" i="315"/>
  <c r="BM77" i="315"/>
  <c r="BM28" i="265"/>
  <c r="BM81" i="265"/>
  <c r="BQ368" i="321"/>
  <c r="BQ435" i="321"/>
  <c r="BQ436" i="321" s="1"/>
  <c r="BQ414" i="321"/>
  <c r="BQ367" i="321"/>
  <c r="BQ257" i="288"/>
  <c r="BQ101" i="282"/>
  <c r="BQ33" i="282"/>
  <c r="BQ107" i="288"/>
  <c r="BQ430" i="321"/>
  <c r="CS40" i="311"/>
  <c r="CS41" i="311"/>
  <c r="CS82" i="311" s="1"/>
  <c r="CT170" i="321"/>
  <c r="CT172" i="321" s="1"/>
  <c r="CT282" i="321"/>
  <c r="CT284" i="321" s="1"/>
  <c r="CT68" i="265"/>
  <c r="BB68" i="277" s="1"/>
  <c r="H68" i="277" s="1"/>
  <c r="CT18" i="265"/>
  <c r="BB18" i="277" s="1"/>
  <c r="H18" i="277" s="1"/>
  <c r="CU67" i="265"/>
  <c r="CU17" i="265"/>
  <c r="CU17" i="315"/>
  <c r="CU65" i="315"/>
  <c r="CU52" i="321"/>
  <c r="CU171" i="321"/>
  <c r="CU244" i="321"/>
  <c r="CV234" i="321"/>
  <c r="CV237" i="321" s="1"/>
  <c r="CV116" i="321"/>
  <c r="CV190" i="321"/>
  <c r="CV102" i="288"/>
  <c r="CV112" i="321"/>
  <c r="CV114" i="321" s="1"/>
  <c r="CV252" i="288"/>
  <c r="CZ92" i="282"/>
  <c r="CZ94" i="282" s="1"/>
  <c r="CY125" i="265"/>
  <c r="CZ160" i="282"/>
  <c r="CZ162" i="282" s="1"/>
  <c r="CY121" i="315"/>
  <c r="DA160" i="282" l="1"/>
  <c r="DA162" i="282" s="1"/>
  <c r="CZ121" i="315"/>
  <c r="DA92" i="282"/>
  <c r="DA94" i="282" s="1"/>
  <c r="CZ125" i="265"/>
  <c r="CV121" i="321"/>
  <c r="CV122" i="321" s="1"/>
  <c r="CV128" i="321" s="1"/>
  <c r="CV134" i="321" s="1"/>
  <c r="CV258" i="321" s="1"/>
  <c r="CV117" i="321"/>
  <c r="CV118" i="321" s="1"/>
  <c r="CV127" i="321" s="1"/>
  <c r="CV133" i="321" s="1"/>
  <c r="CV146" i="321" s="1"/>
  <c r="CV268" i="288"/>
  <c r="CV118" i="288"/>
  <c r="CV119" i="265"/>
  <c r="CV62" i="328" s="1"/>
  <c r="CV115" i="315"/>
  <c r="CV242" i="321"/>
  <c r="CV243" i="321" s="1"/>
  <c r="CV361" i="321"/>
  <c r="CV98" i="282"/>
  <c r="CV28" i="282"/>
  <c r="CV164" i="321"/>
  <c r="CV166" i="321" s="1"/>
  <c r="CV49" i="321"/>
  <c r="CV101" i="288"/>
  <c r="CV251" i="288"/>
  <c r="CV238" i="321"/>
  <c r="H237" i="321"/>
  <c r="CU29" i="282"/>
  <c r="CU245" i="321"/>
  <c r="CU78" i="321"/>
  <c r="CU145" i="321"/>
  <c r="CU148" i="321" s="1"/>
  <c r="CU257" i="321"/>
  <c r="CU260" i="321" s="1"/>
  <c r="CT287" i="321"/>
  <c r="CT288" i="321" s="1"/>
  <c r="CT175" i="321"/>
  <c r="CT176" i="321" s="1"/>
  <c r="CS81" i="311"/>
  <c r="BQ20" i="315"/>
  <c r="BQ68" i="315"/>
  <c r="BQ22" i="265"/>
  <c r="BQ72" i="265"/>
  <c r="BQ76" i="265"/>
  <c r="BQ72" i="315"/>
  <c r="BR433" i="321"/>
  <c r="BQ271" i="288"/>
  <c r="BQ121" i="288"/>
  <c r="BQ118" i="315"/>
  <c r="BQ122" i="265"/>
  <c r="BQ71" i="265"/>
  <c r="BQ19" i="315"/>
  <c r="BQ67" i="315"/>
  <c r="BQ21" i="265"/>
  <c r="BQ369" i="321"/>
  <c r="BQ71" i="315"/>
  <c r="BQ75" i="265"/>
  <c r="BR401" i="321"/>
  <c r="BQ117" i="315"/>
  <c r="BQ121" i="265"/>
  <c r="BQ120" i="288"/>
  <c r="BQ123" i="288" s="1"/>
  <c r="BQ125" i="288" s="1"/>
  <c r="BQ270" i="288"/>
  <c r="BQ273" i="288" s="1"/>
  <c r="BQ275" i="288" s="1"/>
  <c r="BN107" i="282"/>
  <c r="BN174" i="314"/>
  <c r="BN39" i="282"/>
  <c r="BM32" i="314"/>
  <c r="CV269" i="288"/>
  <c r="CV119" i="288"/>
  <c r="CV116" i="315"/>
  <c r="CV120" i="265"/>
  <c r="CV63" i="328" s="1"/>
  <c r="CV354" i="321"/>
  <c r="CV363" i="321"/>
  <c r="CV99" i="282"/>
  <c r="CV350" i="321"/>
  <c r="CV253" i="288"/>
  <c r="CV103" i="288"/>
  <c r="CV50" i="321"/>
  <c r="CV30" i="282"/>
  <c r="CV276" i="321"/>
  <c r="CV278" i="321" s="1"/>
  <c r="H349" i="321"/>
  <c r="CU356" i="321"/>
  <c r="CT70" i="265"/>
  <c r="BB70" i="277" s="1"/>
  <c r="H70" i="277" s="1"/>
  <c r="CT20" i="265"/>
  <c r="BB20" i="277" s="1"/>
  <c r="H20" i="277" s="1"/>
  <c r="BK679" i="321"/>
  <c r="BK680" i="321" s="1"/>
  <c r="BK442" i="321"/>
  <c r="BK443" i="321" s="1"/>
  <c r="BK102" i="282"/>
  <c r="BK34" i="282"/>
  <c r="BK715" i="321"/>
  <c r="BK26" i="265" l="1"/>
  <c r="BK24" i="315"/>
  <c r="BK84" i="265"/>
  <c r="BK80" i="315"/>
  <c r="BK46" i="288"/>
  <c r="BK446" i="321"/>
  <c r="BK447" i="321" s="1"/>
  <c r="BK529" i="321"/>
  <c r="BK485" i="321"/>
  <c r="BK196" i="288"/>
  <c r="BK687" i="321"/>
  <c r="BK688" i="321" s="1"/>
  <c r="BK681" i="321"/>
  <c r="CU31" i="282"/>
  <c r="CU357" i="321"/>
  <c r="H99" i="282"/>
  <c r="H103" i="288"/>
  <c r="H30" i="282"/>
  <c r="H363" i="321"/>
  <c r="H276" i="321"/>
  <c r="H50" i="321"/>
  <c r="H253" i="288"/>
  <c r="CV283" i="321"/>
  <c r="H278" i="321"/>
  <c r="H283" i="321" s="1"/>
  <c r="CV19" i="265"/>
  <c r="CV69" i="265"/>
  <c r="CV66" i="315"/>
  <c r="CV18" i="315"/>
  <c r="H350" i="321"/>
  <c r="CV355" i="321"/>
  <c r="H354" i="321"/>
  <c r="BN81" i="265"/>
  <c r="AL81" i="277" s="1"/>
  <c r="BN26" i="315"/>
  <c r="BN77" i="315"/>
  <c r="BN28" i="265"/>
  <c r="AL28" i="277" s="1"/>
  <c r="BR395" i="321"/>
  <c r="BR397" i="321" s="1"/>
  <c r="BR379" i="321"/>
  <c r="BR381" i="321" s="1"/>
  <c r="BR106" i="288"/>
  <c r="BR256" i="288"/>
  <c r="BQ16" i="314"/>
  <c r="BQ21" i="328"/>
  <c r="BQ103" i="314"/>
  <c r="BQ216" i="288"/>
  <c r="BQ66" i="288"/>
  <c r="BQ79" i="288"/>
  <c r="BQ110" i="314"/>
  <c r="BQ142" i="288"/>
  <c r="BQ143" i="288" s="1"/>
  <c r="BQ23" i="314"/>
  <c r="BQ229" i="288"/>
  <c r="BR427" i="321"/>
  <c r="BR429" i="321" s="1"/>
  <c r="BR411" i="321"/>
  <c r="BR413" i="321" s="1"/>
  <c r="BR108" i="288"/>
  <c r="BR258" i="288"/>
  <c r="CT40" i="311"/>
  <c r="CT41" i="311"/>
  <c r="CT82" i="311" s="1"/>
  <c r="CU282" i="321"/>
  <c r="CU284" i="321" s="1"/>
  <c r="CU170" i="321"/>
  <c r="CU172" i="321" s="1"/>
  <c r="CU68" i="265"/>
  <c r="CU18" i="265"/>
  <c r="H242" i="321"/>
  <c r="H98" i="282"/>
  <c r="H49" i="321"/>
  <c r="H28" i="282"/>
  <c r="H251" i="288"/>
  <c r="H164" i="321"/>
  <c r="H101" i="288"/>
  <c r="H361" i="321"/>
  <c r="CV65" i="315"/>
  <c r="CV17" i="265"/>
  <c r="CV67" i="265"/>
  <c r="CV17" i="315"/>
  <c r="H238" i="321"/>
  <c r="CV52" i="321"/>
  <c r="CV171" i="321"/>
  <c r="H166" i="321"/>
  <c r="H171" i="321" s="1"/>
  <c r="CV244" i="321"/>
  <c r="H243" i="321"/>
  <c r="DB92" i="282"/>
  <c r="DB94" i="282" s="1"/>
  <c r="DA125" i="265"/>
  <c r="DB160" i="282"/>
  <c r="DB162" i="282" s="1"/>
  <c r="DA121" i="315"/>
  <c r="DC160" i="282" l="1"/>
  <c r="DC162" i="282" s="1"/>
  <c r="DB121" i="315"/>
  <c r="DC92" i="282"/>
  <c r="DC94" i="282" s="1"/>
  <c r="DB125" i="265"/>
  <c r="CV29" i="282"/>
  <c r="CV245" i="321"/>
  <c r="H244" i="321"/>
  <c r="H29" i="282" s="1"/>
  <c r="CV78" i="321"/>
  <c r="F80" i="321" s="1"/>
  <c r="F29" i="311" s="1"/>
  <c r="J29" i="311" s="1"/>
  <c r="J76" i="311" s="1"/>
  <c r="F76" i="311" s="1"/>
  <c r="CV257" i="321"/>
  <c r="CV260" i="321" s="1"/>
  <c r="CV145" i="321"/>
  <c r="CV148" i="321" s="1"/>
  <c r="F53" i="321"/>
  <c r="F28" i="311" s="1"/>
  <c r="J28" i="311" s="1"/>
  <c r="J75" i="311" s="1"/>
  <c r="F75" i="311" s="1"/>
  <c r="H52" i="321"/>
  <c r="H65" i="315"/>
  <c r="H17" i="315"/>
  <c r="H17" i="265"/>
  <c r="H96" i="269" s="1"/>
  <c r="K96" i="269" s="1"/>
  <c r="H67" i="265"/>
  <c r="H144" i="269" s="1"/>
  <c r="K144" i="269" s="1"/>
  <c r="CU175" i="321"/>
  <c r="CU176" i="321" s="1"/>
  <c r="CU287" i="321"/>
  <c r="CU288" i="321" s="1"/>
  <c r="CT81" i="311"/>
  <c r="BR368" i="321"/>
  <c r="BR435" i="321"/>
  <c r="BR436" i="321" s="1"/>
  <c r="BR414" i="321"/>
  <c r="BR367" i="321"/>
  <c r="BR107" i="288"/>
  <c r="BR257" i="288"/>
  <c r="BR101" i="282"/>
  <c r="BR430" i="321"/>
  <c r="BR33" i="282"/>
  <c r="BQ231" i="288"/>
  <c r="BQ240" i="288" s="1"/>
  <c r="BQ146" i="288"/>
  <c r="BQ81" i="288"/>
  <c r="BQ90" i="288" s="1"/>
  <c r="BQ92" i="288" s="1"/>
  <c r="BQ94" i="288" s="1"/>
  <c r="BO105" i="314"/>
  <c r="BO109" i="314" s="1"/>
  <c r="BO112" i="314" s="1"/>
  <c r="BO115" i="314" s="1"/>
  <c r="BO18" i="314"/>
  <c r="BO22" i="314" s="1"/>
  <c r="BO25" i="314" s="1"/>
  <c r="BR260" i="288"/>
  <c r="BR262" i="288" s="1"/>
  <c r="BR110" i="288"/>
  <c r="BR112" i="288" s="1"/>
  <c r="BR366" i="321"/>
  <c r="BR403" i="321"/>
  <c r="BR404" i="321" s="1"/>
  <c r="BR382" i="321"/>
  <c r="BR365" i="321"/>
  <c r="BR369" i="321" s="1"/>
  <c r="BR105" i="288"/>
  <c r="BR255" i="288"/>
  <c r="BR100" i="282"/>
  <c r="BR32" i="282"/>
  <c r="BR398" i="321"/>
  <c r="CV356" i="321"/>
  <c r="H355" i="321"/>
  <c r="H19" i="265"/>
  <c r="H97" i="269" s="1"/>
  <c r="K97" i="269" s="1"/>
  <c r="H69" i="265"/>
  <c r="H145" i="269" s="1"/>
  <c r="K145" i="269" s="1"/>
  <c r="H66" i="315"/>
  <c r="H18" i="315"/>
  <c r="CU70" i="265"/>
  <c r="CU20" i="265"/>
  <c r="BK51" i="315"/>
  <c r="BK53" i="265"/>
  <c r="BL684" i="321"/>
  <c r="BK119" i="315"/>
  <c r="BK123" i="265"/>
  <c r="BK56" i="265"/>
  <c r="BK54" i="315"/>
  <c r="BL712" i="321" l="1"/>
  <c r="BL714" i="321" s="1"/>
  <c r="BL673" i="321"/>
  <c r="BL676" i="321" s="1"/>
  <c r="BL693" i="321"/>
  <c r="BL695" i="321" s="1"/>
  <c r="BL699" i="321" s="1"/>
  <c r="L145" i="269"/>
  <c r="J145" i="269"/>
  <c r="L97" i="269"/>
  <c r="J97" i="269"/>
  <c r="CV31" i="282"/>
  <c r="CV357" i="321"/>
  <c r="H356" i="321"/>
  <c r="H31" i="282" s="1"/>
  <c r="BR21" i="265"/>
  <c r="AN21" i="277" s="1"/>
  <c r="BR71" i="265"/>
  <c r="AN71" i="277" s="1"/>
  <c r="BR19" i="315"/>
  <c r="BR67" i="315"/>
  <c r="BR16" i="314"/>
  <c r="BR23" i="314"/>
  <c r="BR216" i="288"/>
  <c r="BR110" i="314"/>
  <c r="BR66" i="288"/>
  <c r="BR142" i="288"/>
  <c r="BR143" i="288" s="1"/>
  <c r="BR79" i="288"/>
  <c r="BR21" i="328"/>
  <c r="AN41" i="328" s="1"/>
  <c r="BR229" i="288"/>
  <c r="BR103" i="314"/>
  <c r="BR75" i="265"/>
  <c r="AN75" i="277" s="1"/>
  <c r="BR71" i="315"/>
  <c r="BS401" i="321"/>
  <c r="BR121" i="265"/>
  <c r="AN121" i="277" s="1"/>
  <c r="BR270" i="288"/>
  <c r="BR117" i="315"/>
  <c r="BR120" i="288"/>
  <c r="BO27" i="314"/>
  <c r="BN29" i="314" s="1"/>
  <c r="BO36" i="314"/>
  <c r="BO171" i="314"/>
  <c r="BO173" i="314" s="1"/>
  <c r="BO88" i="314"/>
  <c r="BR20" i="315"/>
  <c r="BR68" i="315"/>
  <c r="BR22" i="265"/>
  <c r="AN22" i="277" s="1"/>
  <c r="BR72" i="265"/>
  <c r="AN72" i="277" s="1"/>
  <c r="BR72" i="315"/>
  <c r="BR76" i="265"/>
  <c r="AN76" i="277" s="1"/>
  <c r="BS433" i="321"/>
  <c r="BR118" i="315"/>
  <c r="BR122" i="265"/>
  <c r="AN122" i="277" s="1"/>
  <c r="BR121" i="288"/>
  <c r="BR271" i="288"/>
  <c r="CU41" i="311"/>
  <c r="CU82" i="311" s="1"/>
  <c r="CU40" i="311"/>
  <c r="J144" i="269"/>
  <c r="L144" i="269"/>
  <c r="J96" i="269"/>
  <c r="L96" i="269"/>
  <c r="H78" i="321"/>
  <c r="H257" i="321"/>
  <c r="H145" i="321"/>
  <c r="CV170" i="321"/>
  <c r="CV172" i="321" s="1"/>
  <c r="H148" i="321"/>
  <c r="H170" i="321" s="1"/>
  <c r="CV282" i="321"/>
  <c r="CV284" i="321" s="1"/>
  <c r="H260" i="321"/>
  <c r="H282" i="321" s="1"/>
  <c r="CV68" i="265"/>
  <c r="CV18" i="265"/>
  <c r="H245" i="321"/>
  <c r="DD92" i="282"/>
  <c r="DD94" i="282" s="1"/>
  <c r="DC125" i="265"/>
  <c r="DD160" i="282"/>
  <c r="DD162" i="282" s="1"/>
  <c r="DC121" i="315"/>
  <c r="DE160" i="282" l="1"/>
  <c r="DE162" i="282" s="1"/>
  <c r="DD121" i="315"/>
  <c r="DE92" i="282"/>
  <c r="DE94" i="282" s="1"/>
  <c r="DD125" i="265"/>
  <c r="H68" i="265"/>
  <c r="H18" i="265"/>
  <c r="CV287" i="321"/>
  <c r="CV288" i="321" s="1"/>
  <c r="H284" i="321"/>
  <c r="H287" i="321" s="1"/>
  <c r="CV175" i="321"/>
  <c r="CV176" i="321" s="1"/>
  <c r="H172" i="321"/>
  <c r="H175" i="321" s="1"/>
  <c r="CU81" i="311"/>
  <c r="BS427" i="321"/>
  <c r="BS429" i="321" s="1"/>
  <c r="BS411" i="321"/>
  <c r="BS413" i="321" s="1"/>
  <c r="BS258" i="288"/>
  <c r="BS108" i="288"/>
  <c r="BO107" i="282"/>
  <c r="BO174" i="314"/>
  <c r="BO39" i="282"/>
  <c r="BN32" i="314"/>
  <c r="BR123" i="288"/>
  <c r="BR125" i="288" s="1"/>
  <c r="BR273" i="288"/>
  <c r="BR275" i="288" s="1"/>
  <c r="BS395" i="321"/>
  <c r="BS397" i="321" s="1"/>
  <c r="BS379" i="321"/>
  <c r="BS381" i="321" s="1"/>
  <c r="BS256" i="288"/>
  <c r="BS260" i="288" s="1"/>
  <c r="BS262" i="288" s="1"/>
  <c r="BS106" i="288"/>
  <c r="BS110" i="288" s="1"/>
  <c r="BS112" i="288" s="1"/>
  <c r="BP105" i="314"/>
  <c r="BP109" i="314" s="1"/>
  <c r="BP112" i="314" s="1"/>
  <c r="BP115" i="314" s="1"/>
  <c r="BR231" i="288"/>
  <c r="BR240" i="288" s="1"/>
  <c r="BR81" i="288"/>
  <c r="BR90" i="288" s="1"/>
  <c r="BR92" i="288" s="1"/>
  <c r="BR94" i="288" s="1"/>
  <c r="BR146" i="288"/>
  <c r="BP18" i="314"/>
  <c r="BP22" i="314" s="1"/>
  <c r="BP25" i="314" s="1"/>
  <c r="CV70" i="265"/>
  <c r="CV20" i="265"/>
  <c r="H357" i="321"/>
  <c r="BL442" i="321"/>
  <c r="BL443" i="321" s="1"/>
  <c r="BL679" i="321"/>
  <c r="BL680" i="321" s="1"/>
  <c r="BL102" i="282"/>
  <c r="BL34" i="282"/>
  <c r="BL715" i="321"/>
  <c r="BL26" i="265" l="1"/>
  <c r="AK26" i="277" s="1"/>
  <c r="BL24" i="315"/>
  <c r="BL84" i="265"/>
  <c r="AK84" i="277" s="1"/>
  <c r="BL80" i="315"/>
  <c r="BL687" i="321"/>
  <c r="BL688" i="321" s="1"/>
  <c r="BL681" i="321"/>
  <c r="BL46" i="288"/>
  <c r="BL446" i="321"/>
  <c r="BL447" i="321" s="1"/>
  <c r="BL529" i="321"/>
  <c r="BL485" i="321"/>
  <c r="BL196" i="288"/>
  <c r="H70" i="265"/>
  <c r="H20" i="265"/>
  <c r="BP27" i="314"/>
  <c r="BO29" i="314" s="1"/>
  <c r="BP88" i="314"/>
  <c r="BP36" i="314"/>
  <c r="BP171" i="314"/>
  <c r="BP173" i="314" s="1"/>
  <c r="BS366" i="321"/>
  <c r="BS403" i="321"/>
  <c r="BS404" i="321" s="1"/>
  <c r="BS382" i="321"/>
  <c r="BS365" i="321"/>
  <c r="BS105" i="288"/>
  <c r="BS255" i="288"/>
  <c r="BS100" i="282"/>
  <c r="BS398" i="321"/>
  <c r="BS32" i="282"/>
  <c r="BO77" i="315"/>
  <c r="BO28" i="265"/>
  <c r="BO81" i="265"/>
  <c r="BO26" i="315"/>
  <c r="BS368" i="321"/>
  <c r="BS435" i="321"/>
  <c r="BS436" i="321" s="1"/>
  <c r="BS414" i="321"/>
  <c r="BS367" i="321"/>
  <c r="BS107" i="288"/>
  <c r="BS101" i="282"/>
  <c r="BS257" i="288"/>
  <c r="BS33" i="282"/>
  <c r="BS430" i="321"/>
  <c r="CV40" i="311"/>
  <c r="H176" i="321"/>
  <c r="CV41" i="311"/>
  <c r="CV82" i="311" s="1"/>
  <c r="F82" i="311" s="1"/>
  <c r="H288" i="321"/>
  <c r="H41" i="311" s="1"/>
  <c r="DF92" i="282"/>
  <c r="DF94" i="282" s="1"/>
  <c r="DE125" i="265"/>
  <c r="DF160" i="282"/>
  <c r="DF162" i="282" s="1"/>
  <c r="DE121" i="315"/>
  <c r="DG160" i="282" l="1"/>
  <c r="DG162" i="282" s="1"/>
  <c r="DF121" i="315"/>
  <c r="DG92" i="282"/>
  <c r="DG94" i="282" s="1"/>
  <c r="DF125" i="265"/>
  <c r="CV81" i="311"/>
  <c r="F81" i="311" s="1"/>
  <c r="H40" i="311"/>
  <c r="BS72" i="265"/>
  <c r="BS20" i="315"/>
  <c r="BS68" i="315"/>
  <c r="BS22" i="265"/>
  <c r="BS76" i="265"/>
  <c r="BS72" i="315"/>
  <c r="BT433" i="321"/>
  <c r="BS121" i="288"/>
  <c r="BS118" i="315"/>
  <c r="BS122" i="265"/>
  <c r="BS271" i="288"/>
  <c r="BS67" i="315"/>
  <c r="BS19" i="315"/>
  <c r="BS21" i="265"/>
  <c r="BS71" i="265"/>
  <c r="BS369" i="321"/>
  <c r="BS71" i="315"/>
  <c r="BS75" i="265"/>
  <c r="BT401" i="321"/>
  <c r="BS121" i="265"/>
  <c r="BS117" i="315"/>
  <c r="BS270" i="288"/>
  <c r="BS273" i="288" s="1"/>
  <c r="BS275" i="288" s="1"/>
  <c r="BS120" i="288"/>
  <c r="BS123" i="288" s="1"/>
  <c r="BS125" i="288" s="1"/>
  <c r="BP107" i="282"/>
  <c r="BP174" i="314"/>
  <c r="BP39" i="282"/>
  <c r="BO32" i="314"/>
  <c r="BL54" i="315"/>
  <c r="BL56" i="265"/>
  <c r="AK56" i="277" s="1"/>
  <c r="BL53" i="265"/>
  <c r="AK53" i="277" s="1"/>
  <c r="BL51" i="315"/>
  <c r="BM684" i="321"/>
  <c r="BL119" i="315"/>
  <c r="BL123" i="265"/>
  <c r="AK123" i="277" s="1"/>
  <c r="BM673" i="321" l="1"/>
  <c r="BM676" i="321" s="1"/>
  <c r="BM712" i="321"/>
  <c r="BM714" i="321" s="1"/>
  <c r="BM693" i="321"/>
  <c r="BM695" i="321" s="1"/>
  <c r="BM699" i="321" s="1"/>
  <c r="BP26" i="315"/>
  <c r="BP77" i="315"/>
  <c r="BP28" i="265"/>
  <c r="AM28" i="277" s="1"/>
  <c r="BP81" i="265"/>
  <c r="AM81" i="277" s="1"/>
  <c r="BT395" i="321"/>
  <c r="BT397" i="321" s="1"/>
  <c r="BT379" i="321"/>
  <c r="BT381" i="321" s="1"/>
  <c r="BT256" i="288"/>
  <c r="BT106" i="288"/>
  <c r="BS16" i="314"/>
  <c r="BS21" i="328"/>
  <c r="BS142" i="288"/>
  <c r="BS143" i="288" s="1"/>
  <c r="BS229" i="288"/>
  <c r="BS216" i="288"/>
  <c r="BS66" i="288"/>
  <c r="BS79" i="288"/>
  <c r="BS103" i="314"/>
  <c r="BS23" i="314"/>
  <c r="BS110" i="314"/>
  <c r="BT427" i="321"/>
  <c r="BT429" i="321" s="1"/>
  <c r="BT411" i="321"/>
  <c r="BT413" i="321" s="1"/>
  <c r="BT108" i="288"/>
  <c r="BT258" i="288"/>
  <c r="DH92" i="282"/>
  <c r="DH94" i="282" s="1"/>
  <c r="DG125" i="265"/>
  <c r="DH160" i="282"/>
  <c r="DH162" i="282" s="1"/>
  <c r="DG121" i="315"/>
  <c r="DI160" i="282" l="1"/>
  <c r="DI162" i="282" s="1"/>
  <c r="DH121" i="315"/>
  <c r="DI92" i="282"/>
  <c r="DI94" i="282" s="1"/>
  <c r="DH125" i="265"/>
  <c r="BT368" i="321"/>
  <c r="BT435" i="321"/>
  <c r="BT436" i="321" s="1"/>
  <c r="BT414" i="321"/>
  <c r="BT367" i="321"/>
  <c r="BT107" i="288"/>
  <c r="BT101" i="282"/>
  <c r="BT33" i="282"/>
  <c r="BT430" i="321"/>
  <c r="BT257" i="288"/>
  <c r="BQ105" i="314"/>
  <c r="BQ109" i="314" s="1"/>
  <c r="BQ112" i="314" s="1"/>
  <c r="BQ115" i="314" s="1"/>
  <c r="BS81" i="288"/>
  <c r="BS90" i="288" s="1"/>
  <c r="BS92" i="288" s="1"/>
  <c r="BS94" i="288" s="1"/>
  <c r="BS231" i="288"/>
  <c r="BS240" i="288" s="1"/>
  <c r="BS146" i="288"/>
  <c r="BQ18" i="314"/>
  <c r="BQ22" i="314" s="1"/>
  <c r="BQ25" i="314" s="1"/>
  <c r="BT110" i="288"/>
  <c r="BT112" i="288" s="1"/>
  <c r="BT260" i="288"/>
  <c r="BT262" i="288" s="1"/>
  <c r="BT366" i="321"/>
  <c r="BT403" i="321"/>
  <c r="BT404" i="321" s="1"/>
  <c r="BT382" i="321"/>
  <c r="BT365" i="321"/>
  <c r="BT369" i="321" s="1"/>
  <c r="BT105" i="288"/>
  <c r="BT100" i="282"/>
  <c r="BT255" i="288"/>
  <c r="BT398" i="321"/>
  <c r="BT32" i="282"/>
  <c r="BM102" i="282"/>
  <c r="BM34" i="282"/>
  <c r="BM715" i="321"/>
  <c r="BM442" i="321"/>
  <c r="BM443" i="321" s="1"/>
  <c r="BM679" i="321"/>
  <c r="BM680" i="321" s="1"/>
  <c r="BM687" i="321" l="1"/>
  <c r="BM688" i="321" s="1"/>
  <c r="BM681" i="321"/>
  <c r="BM46" i="288"/>
  <c r="BM446" i="321"/>
  <c r="BM447" i="321" s="1"/>
  <c r="BM529" i="321"/>
  <c r="BM485" i="321"/>
  <c r="BM196" i="288"/>
  <c r="BM26" i="265"/>
  <c r="BM24" i="315"/>
  <c r="BM84" i="265"/>
  <c r="BM80" i="315"/>
  <c r="BT21" i="265"/>
  <c r="AO21" i="277" s="1"/>
  <c r="BT71" i="265"/>
  <c r="AO71" i="277" s="1"/>
  <c r="BT19" i="315"/>
  <c r="BT67" i="315"/>
  <c r="BT16" i="314"/>
  <c r="BT103" i="314"/>
  <c r="BT66" i="288"/>
  <c r="BT23" i="314"/>
  <c r="BT79" i="288"/>
  <c r="BT216" i="288"/>
  <c r="BT229" i="288"/>
  <c r="BT21" i="328"/>
  <c r="AO41" i="328" s="1"/>
  <c r="BT142" i="288"/>
  <c r="BT143" i="288" s="1"/>
  <c r="BT110" i="314"/>
  <c r="BT75" i="265"/>
  <c r="AO75" i="277" s="1"/>
  <c r="BT71" i="315"/>
  <c r="BU401" i="321"/>
  <c r="BT121" i="265"/>
  <c r="AO121" i="277" s="1"/>
  <c r="BT270" i="288"/>
  <c r="BT120" i="288"/>
  <c r="BT117" i="315"/>
  <c r="BQ27" i="314"/>
  <c r="BP29" i="314" s="1"/>
  <c r="BQ88" i="314"/>
  <c r="BQ171" i="314"/>
  <c r="BQ173" i="314" s="1"/>
  <c r="BQ36" i="314"/>
  <c r="BT68" i="315"/>
  <c r="BT20" i="315"/>
  <c r="BT22" i="265"/>
  <c r="AO22" i="277" s="1"/>
  <c r="BT72" i="265"/>
  <c r="AO72" i="277" s="1"/>
  <c r="BT76" i="265"/>
  <c r="AO76" i="277" s="1"/>
  <c r="BT72" i="315"/>
  <c r="BU433" i="321"/>
  <c r="BT121" i="288"/>
  <c r="BT118" i="315"/>
  <c r="BT122" i="265"/>
  <c r="AO122" i="277" s="1"/>
  <c r="BT271" i="288"/>
  <c r="DJ92" i="282"/>
  <c r="DJ94" i="282" s="1"/>
  <c r="DI125" i="265"/>
  <c r="DJ160" i="282"/>
  <c r="DJ162" i="282" s="1"/>
  <c r="DI121" i="315"/>
  <c r="DK160" i="282" l="1"/>
  <c r="DK162" i="282" s="1"/>
  <c r="DJ121" i="315"/>
  <c r="DK92" i="282"/>
  <c r="DK94" i="282" s="1"/>
  <c r="DJ125" i="265"/>
  <c r="BU427" i="321"/>
  <c r="BU429" i="321" s="1"/>
  <c r="BU411" i="321"/>
  <c r="BU413" i="321" s="1"/>
  <c r="BU258" i="288"/>
  <c r="BU108" i="288"/>
  <c r="BQ107" i="282"/>
  <c r="BQ39" i="282"/>
  <c r="BQ174" i="314"/>
  <c r="BP32" i="314"/>
  <c r="BT123" i="288"/>
  <c r="BT125" i="288" s="1"/>
  <c r="BT273" i="288"/>
  <c r="BT275" i="288" s="1"/>
  <c r="BU395" i="321"/>
  <c r="BU397" i="321" s="1"/>
  <c r="BU379" i="321"/>
  <c r="BU381" i="321" s="1"/>
  <c r="BU256" i="288"/>
  <c r="BU260" i="288" s="1"/>
  <c r="BU262" i="288" s="1"/>
  <c r="BU106" i="288"/>
  <c r="BU110" i="288" s="1"/>
  <c r="BU112" i="288" s="1"/>
  <c r="BT146" i="288"/>
  <c r="BT231" i="288"/>
  <c r="BT240" i="288" s="1"/>
  <c r="BT81" i="288"/>
  <c r="BT90" i="288" s="1"/>
  <c r="BT92" i="288" s="1"/>
  <c r="BT94" i="288" s="1"/>
  <c r="BR105" i="314"/>
  <c r="BR109" i="314" s="1"/>
  <c r="BR112" i="314" s="1"/>
  <c r="BR115" i="314" s="1"/>
  <c r="BR18" i="314"/>
  <c r="BR22" i="314" s="1"/>
  <c r="BR25" i="314" s="1"/>
  <c r="BM56" i="265"/>
  <c r="BM54" i="315"/>
  <c r="BM53" i="265"/>
  <c r="BM51" i="315"/>
  <c r="BN684" i="321"/>
  <c r="BM119" i="315"/>
  <c r="BM123" i="265"/>
  <c r="BN673" i="321" l="1"/>
  <c r="BN676" i="321" s="1"/>
  <c r="BN712" i="321"/>
  <c r="BN714" i="321" s="1"/>
  <c r="BN693" i="321"/>
  <c r="BN695" i="321" s="1"/>
  <c r="BN699" i="321" s="1"/>
  <c r="BR27" i="314"/>
  <c r="BQ29" i="314" s="1"/>
  <c r="BR36" i="314"/>
  <c r="BR171" i="314"/>
  <c r="BR173" i="314" s="1"/>
  <c r="BR88" i="314"/>
  <c r="BU366" i="321"/>
  <c r="BU403" i="321"/>
  <c r="BU404" i="321" s="1"/>
  <c r="BU382" i="321"/>
  <c r="BU365" i="321"/>
  <c r="BU255" i="288"/>
  <c r="BU105" i="288"/>
  <c r="BU100" i="282"/>
  <c r="BU398" i="321"/>
  <c r="BU32" i="282"/>
  <c r="BQ77" i="315"/>
  <c r="BQ81" i="265"/>
  <c r="BQ28" i="265"/>
  <c r="BQ26" i="315"/>
  <c r="BU368" i="321"/>
  <c r="BU435" i="321"/>
  <c r="BU436" i="321" s="1"/>
  <c r="BU414" i="321"/>
  <c r="BU367" i="321"/>
  <c r="BU257" i="288"/>
  <c r="BU107" i="288"/>
  <c r="BU101" i="282"/>
  <c r="BU33" i="282"/>
  <c r="BU430" i="321"/>
  <c r="DL92" i="282"/>
  <c r="DL94" i="282" s="1"/>
  <c r="DK125" i="265"/>
  <c r="DL160" i="282"/>
  <c r="DL162" i="282" s="1"/>
  <c r="DK121" i="315"/>
  <c r="DM160" i="282" l="1"/>
  <c r="DM162" i="282" s="1"/>
  <c r="DL121" i="315"/>
  <c r="DM92" i="282"/>
  <c r="DM94" i="282" s="1"/>
  <c r="DL125" i="265"/>
  <c r="BU72" i="265"/>
  <c r="BU20" i="315"/>
  <c r="BU68" i="315"/>
  <c r="BU22" i="265"/>
  <c r="BU72" i="315"/>
  <c r="BU76" i="265"/>
  <c r="BV433" i="321"/>
  <c r="BU122" i="265"/>
  <c r="BU271" i="288"/>
  <c r="BU121" i="288"/>
  <c r="BU118" i="315"/>
  <c r="BU19" i="315"/>
  <c r="BU67" i="315"/>
  <c r="BU71" i="265"/>
  <c r="BU21" i="265"/>
  <c r="BU369" i="321"/>
  <c r="BU75" i="265"/>
  <c r="BU71" i="315"/>
  <c r="BV401" i="321"/>
  <c r="BU270" i="288"/>
  <c r="BU273" i="288" s="1"/>
  <c r="BU275" i="288" s="1"/>
  <c r="BU120" i="288"/>
  <c r="BU123" i="288" s="1"/>
  <c r="BU125" i="288" s="1"/>
  <c r="BU117" i="315"/>
  <c r="BU121" i="265"/>
  <c r="BR107" i="282"/>
  <c r="BR174" i="314"/>
  <c r="BR39" i="282"/>
  <c r="BQ32" i="314"/>
  <c r="BN102" i="282"/>
  <c r="BN34" i="282"/>
  <c r="BN715" i="321"/>
  <c r="BN442" i="321"/>
  <c r="BN443" i="321" s="1"/>
  <c r="BN679" i="321"/>
  <c r="BN680" i="321" s="1"/>
  <c r="BN687" i="321" l="1"/>
  <c r="BN688" i="321" s="1"/>
  <c r="BN681" i="321"/>
  <c r="BN46" i="288"/>
  <c r="BN529" i="321"/>
  <c r="BN485" i="321"/>
  <c r="BN446" i="321"/>
  <c r="BN447" i="321" s="1"/>
  <c r="BN196" i="288"/>
  <c r="BN26" i="265"/>
  <c r="AL26" i="277" s="1"/>
  <c r="BN24" i="315"/>
  <c r="BN84" i="265"/>
  <c r="AL84" i="277" s="1"/>
  <c r="BN80" i="315"/>
  <c r="BR77" i="315"/>
  <c r="BR81" i="265"/>
  <c r="AN81" i="277" s="1"/>
  <c r="BR28" i="265"/>
  <c r="AN28" i="277" s="1"/>
  <c r="BR26" i="315"/>
  <c r="BV395" i="321"/>
  <c r="BV397" i="321" s="1"/>
  <c r="BV379" i="321"/>
  <c r="BV381" i="321" s="1"/>
  <c r="BV106" i="288"/>
  <c r="BV256" i="288"/>
  <c r="BU16" i="314"/>
  <c r="BU110" i="314"/>
  <c r="BU229" i="288"/>
  <c r="BU216" i="288"/>
  <c r="BU142" i="288"/>
  <c r="BU143" i="288" s="1"/>
  <c r="BU103" i="314"/>
  <c r="BU79" i="288"/>
  <c r="BU23" i="314"/>
  <c r="BU21" i="328"/>
  <c r="BU66" i="288"/>
  <c r="BV427" i="321"/>
  <c r="BV429" i="321" s="1"/>
  <c r="BV411" i="321"/>
  <c r="BV413" i="321" s="1"/>
  <c r="BV108" i="288"/>
  <c r="BV258" i="288"/>
  <c r="DN92" i="282"/>
  <c r="DN94" i="282" s="1"/>
  <c r="DM125" i="265"/>
  <c r="DN160" i="282"/>
  <c r="DN162" i="282" s="1"/>
  <c r="DM121" i="315"/>
  <c r="DO160" i="282" l="1"/>
  <c r="DO162" i="282" s="1"/>
  <c r="DN121" i="315"/>
  <c r="DO92" i="282"/>
  <c r="DO94" i="282" s="1"/>
  <c r="DN125" i="265"/>
  <c r="BV368" i="321"/>
  <c r="BV435" i="321"/>
  <c r="BV436" i="321" s="1"/>
  <c r="BV414" i="321"/>
  <c r="BV367" i="321"/>
  <c r="BV257" i="288"/>
  <c r="BV107" i="288"/>
  <c r="BV101" i="282"/>
  <c r="BV33" i="282"/>
  <c r="BV430" i="321"/>
  <c r="BU81" i="288"/>
  <c r="BU90" i="288" s="1"/>
  <c r="BU92" i="288" s="1"/>
  <c r="BU94" i="288" s="1"/>
  <c r="BS105" i="314"/>
  <c r="BS109" i="314" s="1"/>
  <c r="BS112" i="314" s="1"/>
  <c r="BS115" i="314" s="1"/>
  <c r="BU146" i="288"/>
  <c r="BU231" i="288"/>
  <c r="BU240" i="288" s="1"/>
  <c r="BS18" i="314"/>
  <c r="BS22" i="314" s="1"/>
  <c r="BS25" i="314" s="1"/>
  <c r="BV260" i="288"/>
  <c r="BV262" i="288" s="1"/>
  <c r="BV110" i="288"/>
  <c r="BV112" i="288" s="1"/>
  <c r="BV366" i="321"/>
  <c r="BV403" i="321"/>
  <c r="BV404" i="321" s="1"/>
  <c r="BV382" i="321"/>
  <c r="BV365" i="321"/>
  <c r="BV369" i="321" s="1"/>
  <c r="BV255" i="288"/>
  <c r="BV105" i="288"/>
  <c r="BV100" i="282"/>
  <c r="BV398" i="321"/>
  <c r="BV32" i="282"/>
  <c r="BN54" i="315"/>
  <c r="BN56" i="265"/>
  <c r="AL56" i="277" s="1"/>
  <c r="BN53" i="265"/>
  <c r="AL53" i="277" s="1"/>
  <c r="BN51" i="315"/>
  <c r="BO684" i="321"/>
  <c r="BN119" i="315"/>
  <c r="BN123" i="265"/>
  <c r="AL123" i="277" s="1"/>
  <c r="BO712" i="321" l="1"/>
  <c r="BO714" i="321" s="1"/>
  <c r="BO673" i="321"/>
  <c r="BO676" i="321" s="1"/>
  <c r="BO693" i="321"/>
  <c r="BO695" i="321" s="1"/>
  <c r="BO699" i="321" s="1"/>
  <c r="BV71" i="265"/>
  <c r="AP71" i="277" s="1"/>
  <c r="BV19" i="315"/>
  <c r="BV67" i="315"/>
  <c r="BV21" i="265"/>
  <c r="AP21" i="277" s="1"/>
  <c r="BV16" i="314"/>
  <c r="BV79" i="288"/>
  <c r="BV229" i="288"/>
  <c r="BV103" i="314"/>
  <c r="BV110" i="314"/>
  <c r="BV23" i="314"/>
  <c r="BV142" i="288"/>
  <c r="BV143" i="288" s="1"/>
  <c r="BV66" i="288"/>
  <c r="BV21" i="328"/>
  <c r="AP41" i="328" s="1"/>
  <c r="BV216" i="288"/>
  <c r="BV75" i="265"/>
  <c r="AP75" i="277" s="1"/>
  <c r="BV71" i="315"/>
  <c r="BW401" i="321"/>
  <c r="BV117" i="315"/>
  <c r="BV270" i="288"/>
  <c r="BV120" i="288"/>
  <c r="BV121" i="265"/>
  <c r="AP121" i="277" s="1"/>
  <c r="BS27" i="314"/>
  <c r="BR29" i="314" s="1"/>
  <c r="BS88" i="314"/>
  <c r="BS171" i="314"/>
  <c r="BS173" i="314" s="1"/>
  <c r="BS36" i="314"/>
  <c r="BV68" i="315"/>
  <c r="BV72" i="265"/>
  <c r="AP72" i="277" s="1"/>
  <c r="BV22" i="265"/>
  <c r="AP22" i="277" s="1"/>
  <c r="BV20" i="315"/>
  <c r="BV72" i="315"/>
  <c r="BV76" i="265"/>
  <c r="AP76" i="277" s="1"/>
  <c r="BW433" i="321"/>
  <c r="BV121" i="288"/>
  <c r="BV118" i="315"/>
  <c r="BV271" i="288"/>
  <c r="BV122" i="265"/>
  <c r="AP122" i="277" s="1"/>
  <c r="DP92" i="282"/>
  <c r="DP94" i="282" s="1"/>
  <c r="DO125" i="265"/>
  <c r="DP160" i="282"/>
  <c r="DP162" i="282" s="1"/>
  <c r="DO121" i="315"/>
  <c r="DQ160" i="282" l="1"/>
  <c r="DQ162" i="282" s="1"/>
  <c r="DP121" i="315"/>
  <c r="DQ92" i="282"/>
  <c r="DQ94" i="282" s="1"/>
  <c r="DP125" i="265"/>
  <c r="BW427" i="321"/>
  <c r="BW429" i="321" s="1"/>
  <c r="BW411" i="321"/>
  <c r="BW413" i="321" s="1"/>
  <c r="BW258" i="288"/>
  <c r="BW108" i="288"/>
  <c r="BS107" i="282"/>
  <c r="BS174" i="314"/>
  <c r="BS39" i="282"/>
  <c r="BR32" i="314"/>
  <c r="BV123" i="288"/>
  <c r="BV125" i="288" s="1"/>
  <c r="BV273" i="288"/>
  <c r="BV275" i="288" s="1"/>
  <c r="BW395" i="321"/>
  <c r="BW397" i="321" s="1"/>
  <c r="BW379" i="321"/>
  <c r="BW381" i="321" s="1"/>
  <c r="BW256" i="288"/>
  <c r="BW260" i="288" s="1"/>
  <c r="BW262" i="288" s="1"/>
  <c r="BW106" i="288"/>
  <c r="BW110" i="288" s="1"/>
  <c r="BW112" i="288" s="1"/>
  <c r="BV146" i="288"/>
  <c r="BT105" i="314"/>
  <c r="BT109" i="314" s="1"/>
  <c r="BT112" i="314" s="1"/>
  <c r="BT115" i="314" s="1"/>
  <c r="BV231" i="288"/>
  <c r="BV240" i="288" s="1"/>
  <c r="BV81" i="288"/>
  <c r="BV90" i="288" s="1"/>
  <c r="BV92" i="288" s="1"/>
  <c r="BV94" i="288" s="1"/>
  <c r="BT18" i="314"/>
  <c r="BT22" i="314" s="1"/>
  <c r="BT25" i="314" s="1"/>
  <c r="BO442" i="321"/>
  <c r="BO443" i="321" s="1"/>
  <c r="BO679" i="321"/>
  <c r="BO680" i="321" s="1"/>
  <c r="BO102" i="282"/>
  <c r="BO34" i="282"/>
  <c r="BO715" i="321"/>
  <c r="BO26" i="265" l="1"/>
  <c r="BO24" i="315"/>
  <c r="BO84" i="265"/>
  <c r="BO80" i="315"/>
  <c r="BO687" i="321"/>
  <c r="BO688" i="321" s="1"/>
  <c r="BO681" i="321"/>
  <c r="BO46" i="288"/>
  <c r="BO446" i="321"/>
  <c r="BO447" i="321" s="1"/>
  <c r="BO529" i="321"/>
  <c r="BO485" i="321"/>
  <c r="BO196" i="288"/>
  <c r="BT27" i="314"/>
  <c r="BS29" i="314" s="1"/>
  <c r="BT171" i="314"/>
  <c r="BT173" i="314" s="1"/>
  <c r="BT36" i="314"/>
  <c r="BT88" i="314"/>
  <c r="BW366" i="321"/>
  <c r="BW403" i="321"/>
  <c r="BW404" i="321" s="1"/>
  <c r="BW382" i="321"/>
  <c r="BW365" i="321"/>
  <c r="BW105" i="288"/>
  <c r="BW255" i="288"/>
  <c r="BW100" i="282"/>
  <c r="BW32" i="282"/>
  <c r="BW398" i="321"/>
  <c r="BS81" i="265"/>
  <c r="BS77" i="315"/>
  <c r="BS28" i="265"/>
  <c r="BS26" i="315"/>
  <c r="BW368" i="321"/>
  <c r="BW435" i="321"/>
  <c r="BW436" i="321" s="1"/>
  <c r="BW414" i="321"/>
  <c r="BW367" i="321"/>
  <c r="BW101" i="282"/>
  <c r="BW107" i="288"/>
  <c r="BW257" i="288"/>
  <c r="BW430" i="321"/>
  <c r="BW33" i="282"/>
  <c r="DR92" i="282"/>
  <c r="DR94" i="282" s="1"/>
  <c r="DQ125" i="265"/>
  <c r="DR160" i="282"/>
  <c r="DR162" i="282" s="1"/>
  <c r="DQ121" i="315"/>
  <c r="DS160" i="282" l="1"/>
  <c r="DS162" i="282" s="1"/>
  <c r="DR121" i="315"/>
  <c r="DS92" i="282"/>
  <c r="DS94" i="282" s="1"/>
  <c r="DR125" i="265"/>
  <c r="BW68" i="315"/>
  <c r="BW22" i="265"/>
  <c r="BW72" i="265"/>
  <c r="BW20" i="315"/>
  <c r="BW76" i="265"/>
  <c r="BW72" i="315"/>
  <c r="BX433" i="321"/>
  <c r="BW122" i="265"/>
  <c r="BW118" i="315"/>
  <c r="BW271" i="288"/>
  <c r="BW121" i="288"/>
  <c r="BW21" i="265"/>
  <c r="BW71" i="265"/>
  <c r="BW67" i="315"/>
  <c r="BW19" i="315"/>
  <c r="BW369" i="321"/>
  <c r="BW75" i="265"/>
  <c r="BW71" i="315"/>
  <c r="BX401" i="321"/>
  <c r="BW117" i="315"/>
  <c r="BW121" i="265"/>
  <c r="BW270" i="288"/>
  <c r="BW273" i="288" s="1"/>
  <c r="BW275" i="288" s="1"/>
  <c r="BW120" i="288"/>
  <c r="BW123" i="288" s="1"/>
  <c r="BW125" i="288" s="1"/>
  <c r="BT107" i="282"/>
  <c r="BT39" i="282"/>
  <c r="BT174" i="314"/>
  <c r="BS32" i="314"/>
  <c r="BO56" i="265"/>
  <c r="BO54" i="315"/>
  <c r="BO51" i="315"/>
  <c r="BO53" i="265"/>
  <c r="BP684" i="321"/>
  <c r="BO119" i="315"/>
  <c r="BO123" i="265"/>
  <c r="BP712" i="321" l="1"/>
  <c r="BP714" i="321" s="1"/>
  <c r="BP673" i="321"/>
  <c r="BP676" i="321" s="1"/>
  <c r="BP693" i="321"/>
  <c r="BP695" i="321" s="1"/>
  <c r="BP699" i="321" s="1"/>
  <c r="BT26" i="315"/>
  <c r="BT77" i="315"/>
  <c r="BT28" i="265"/>
  <c r="AO28" i="277" s="1"/>
  <c r="BT81" i="265"/>
  <c r="AO81" i="277" s="1"/>
  <c r="BX395" i="321"/>
  <c r="BX397" i="321" s="1"/>
  <c r="BX379" i="321"/>
  <c r="BX381" i="321" s="1"/>
  <c r="BX256" i="288"/>
  <c r="BX106" i="288"/>
  <c r="BW16" i="314"/>
  <c r="BW110" i="314"/>
  <c r="BW103" i="314"/>
  <c r="BW216" i="288"/>
  <c r="BW66" i="288"/>
  <c r="BW79" i="288"/>
  <c r="BW229" i="288"/>
  <c r="BW21" i="328"/>
  <c r="BW23" i="314"/>
  <c r="BW142" i="288"/>
  <c r="BW143" i="288" s="1"/>
  <c r="BX427" i="321"/>
  <c r="BX429" i="321" s="1"/>
  <c r="BX411" i="321"/>
  <c r="BX413" i="321" s="1"/>
  <c r="BX108" i="288"/>
  <c r="BX258" i="288"/>
  <c r="DT92" i="282"/>
  <c r="DT94" i="282" s="1"/>
  <c r="DS125" i="265"/>
  <c r="DT160" i="282"/>
  <c r="DT162" i="282" s="1"/>
  <c r="DS121" i="315"/>
  <c r="DU160" i="282" l="1"/>
  <c r="DU162" i="282" s="1"/>
  <c r="DT121" i="315"/>
  <c r="DU92" i="282"/>
  <c r="DU94" i="282" s="1"/>
  <c r="DT125" i="265"/>
  <c r="BX368" i="321"/>
  <c r="BX435" i="321"/>
  <c r="BX436" i="321" s="1"/>
  <c r="BX414" i="321"/>
  <c r="BX367" i="321"/>
  <c r="BX257" i="288"/>
  <c r="BX107" i="288"/>
  <c r="BX101" i="282"/>
  <c r="BX33" i="282"/>
  <c r="BX430" i="321"/>
  <c r="BW146" i="288"/>
  <c r="BW231" i="288"/>
  <c r="BW240" i="288" s="1"/>
  <c r="BW81" i="288"/>
  <c r="BW90" i="288" s="1"/>
  <c r="BW92" i="288" s="1"/>
  <c r="BW94" i="288" s="1"/>
  <c r="BU105" i="314"/>
  <c r="BU109" i="314" s="1"/>
  <c r="BU112" i="314" s="1"/>
  <c r="BU115" i="314" s="1"/>
  <c r="BU18" i="314"/>
  <c r="BU22" i="314" s="1"/>
  <c r="BU25" i="314" s="1"/>
  <c r="BX110" i="288"/>
  <c r="BX112" i="288" s="1"/>
  <c r="BX260" i="288"/>
  <c r="BX262" i="288" s="1"/>
  <c r="BX366" i="321"/>
  <c r="BX403" i="321"/>
  <c r="BX404" i="321" s="1"/>
  <c r="BX382" i="321"/>
  <c r="BX365" i="321"/>
  <c r="BX369" i="321" s="1"/>
  <c r="BX255" i="288"/>
  <c r="BX105" i="288"/>
  <c r="BX100" i="282"/>
  <c r="BX32" i="282"/>
  <c r="BX398" i="321"/>
  <c r="BP442" i="321"/>
  <c r="BP443" i="321" s="1"/>
  <c r="BP679" i="321"/>
  <c r="BP680" i="321" s="1"/>
  <c r="BP102" i="282"/>
  <c r="BP34" i="282"/>
  <c r="BP715" i="321"/>
  <c r="BP26" i="265" l="1"/>
  <c r="AM26" i="277" s="1"/>
  <c r="BP24" i="315"/>
  <c r="BP84" i="265"/>
  <c r="AM84" i="277" s="1"/>
  <c r="BP80" i="315"/>
  <c r="BP687" i="321"/>
  <c r="BP688" i="321" s="1"/>
  <c r="BP681" i="321"/>
  <c r="BP46" i="288"/>
  <c r="BP446" i="321"/>
  <c r="BP447" i="321" s="1"/>
  <c r="BP529" i="321"/>
  <c r="BP485" i="321"/>
  <c r="BP196" i="288"/>
  <c r="BX67" i="315"/>
  <c r="BX21" i="265"/>
  <c r="AQ21" i="277" s="1"/>
  <c r="BX71" i="265"/>
  <c r="AQ71" i="277" s="1"/>
  <c r="BX19" i="315"/>
  <c r="BX16" i="314"/>
  <c r="BX79" i="288"/>
  <c r="BX23" i="314"/>
  <c r="BX103" i="314"/>
  <c r="BX21" i="328"/>
  <c r="BX66" i="288"/>
  <c r="BX216" i="288"/>
  <c r="BX229" i="288"/>
  <c r="BX110" i="314"/>
  <c r="BX142" i="288"/>
  <c r="BX143" i="288" s="1"/>
  <c r="BX75" i="265"/>
  <c r="AQ75" i="277" s="1"/>
  <c r="BX71" i="315"/>
  <c r="BY401" i="321"/>
  <c r="BX270" i="288"/>
  <c r="BX120" i="288"/>
  <c r="BX117" i="315"/>
  <c r="BX121" i="265"/>
  <c r="AQ121" i="277" s="1"/>
  <c r="BU27" i="314"/>
  <c r="BT29" i="314" s="1"/>
  <c r="BU171" i="314"/>
  <c r="BU173" i="314" s="1"/>
  <c r="BU36" i="314"/>
  <c r="BU88" i="314"/>
  <c r="BX72" i="265"/>
  <c r="AQ72" i="277" s="1"/>
  <c r="BX22" i="265"/>
  <c r="AQ22" i="277" s="1"/>
  <c r="BX20" i="315"/>
  <c r="BX68" i="315"/>
  <c r="BX72" i="315"/>
  <c r="BX76" i="265"/>
  <c r="AQ76" i="277" s="1"/>
  <c r="BY433" i="321"/>
  <c r="BX118" i="315"/>
  <c r="BX122" i="265"/>
  <c r="AQ122" i="277" s="1"/>
  <c r="BX271" i="288"/>
  <c r="BX121" i="288"/>
  <c r="DV92" i="282"/>
  <c r="DV94" i="282" s="1"/>
  <c r="DU125" i="265"/>
  <c r="DV160" i="282"/>
  <c r="DV162" i="282" s="1"/>
  <c r="DU121" i="315"/>
  <c r="DW160" i="282" l="1"/>
  <c r="DW162" i="282" s="1"/>
  <c r="DV121" i="315"/>
  <c r="DW92" i="282"/>
  <c r="DW94" i="282" s="1"/>
  <c r="DV125" i="265"/>
  <c r="BY427" i="321"/>
  <c r="BY429" i="321" s="1"/>
  <c r="BY411" i="321"/>
  <c r="BY413" i="321" s="1"/>
  <c r="BY258" i="288"/>
  <c r="BY108" i="288"/>
  <c r="BU107" i="282"/>
  <c r="BU39" i="282"/>
  <c r="BU174" i="314"/>
  <c r="BT32" i="314"/>
  <c r="BX123" i="288"/>
  <c r="BX125" i="288" s="1"/>
  <c r="BX273" i="288"/>
  <c r="BX275" i="288" s="1"/>
  <c r="BY395" i="321"/>
  <c r="BY397" i="321" s="1"/>
  <c r="BY379" i="321"/>
  <c r="BY381" i="321" s="1"/>
  <c r="BY106" i="288"/>
  <c r="BY110" i="288" s="1"/>
  <c r="BY112" i="288" s="1"/>
  <c r="BY256" i="288"/>
  <c r="BY260" i="288" s="1"/>
  <c r="BY262" i="288" s="1"/>
  <c r="BX146" i="288"/>
  <c r="BX231" i="288"/>
  <c r="BX240" i="288" s="1"/>
  <c r="BV105" i="314"/>
  <c r="BV109" i="314" s="1"/>
  <c r="BV112" i="314" s="1"/>
  <c r="BV115" i="314" s="1"/>
  <c r="BX81" i="288"/>
  <c r="BX90" i="288" s="1"/>
  <c r="BX92" i="288" s="1"/>
  <c r="BX94" i="288" s="1"/>
  <c r="BV18" i="314"/>
  <c r="BV22" i="314" s="1"/>
  <c r="BV25" i="314" s="1"/>
  <c r="BP54" i="315"/>
  <c r="BP56" i="265"/>
  <c r="AM56" i="277" s="1"/>
  <c r="BP53" i="265"/>
  <c r="AM53" i="277" s="1"/>
  <c r="BP51" i="315"/>
  <c r="BQ684" i="321"/>
  <c r="BP119" i="315"/>
  <c r="BP123" i="265"/>
  <c r="AM123" i="277" s="1"/>
  <c r="BQ712" i="321" l="1"/>
  <c r="BQ714" i="321" s="1"/>
  <c r="BQ673" i="321"/>
  <c r="BQ676" i="321" s="1"/>
  <c r="BQ693" i="321"/>
  <c r="BQ695" i="321" s="1"/>
  <c r="BQ699" i="321" s="1"/>
  <c r="BV27" i="314"/>
  <c r="BU29" i="314" s="1"/>
  <c r="BV171" i="314"/>
  <c r="BV173" i="314" s="1"/>
  <c r="BV36" i="314"/>
  <c r="BV88" i="314"/>
  <c r="BY366" i="321"/>
  <c r="BY403" i="321"/>
  <c r="BY404" i="321" s="1"/>
  <c r="BY382" i="321"/>
  <c r="BY365" i="321"/>
  <c r="BY255" i="288"/>
  <c r="BY100" i="282"/>
  <c r="BY105" i="288"/>
  <c r="BY32" i="282"/>
  <c r="BY398" i="321"/>
  <c r="BU26" i="315"/>
  <c r="BU28" i="265"/>
  <c r="BU77" i="315"/>
  <c r="BU81" i="265"/>
  <c r="BY368" i="321"/>
  <c r="BY435" i="321"/>
  <c r="BY436" i="321" s="1"/>
  <c r="BY414" i="321"/>
  <c r="BY367" i="321"/>
  <c r="BY257" i="288"/>
  <c r="BY101" i="282"/>
  <c r="BY107" i="288"/>
  <c r="BY33" i="282"/>
  <c r="BY430" i="321"/>
  <c r="DX92" i="282"/>
  <c r="DX94" i="282" s="1"/>
  <c r="DW125" i="265"/>
  <c r="DX160" i="282"/>
  <c r="DX162" i="282" s="1"/>
  <c r="DW121" i="315"/>
  <c r="DY160" i="282" l="1"/>
  <c r="DY162" i="282" s="1"/>
  <c r="DX121" i="315"/>
  <c r="DY92" i="282"/>
  <c r="DY94" i="282" s="1"/>
  <c r="DX125" i="265"/>
  <c r="BY20" i="315"/>
  <c r="BY68" i="315"/>
  <c r="BY22" i="265"/>
  <c r="BY72" i="265"/>
  <c r="BY76" i="265"/>
  <c r="BY72" i="315"/>
  <c r="BZ433" i="321"/>
  <c r="BY271" i="288"/>
  <c r="BY121" i="288"/>
  <c r="BY118" i="315"/>
  <c r="BY122" i="265"/>
  <c r="BY67" i="315"/>
  <c r="BY21" i="265"/>
  <c r="BY71" i="265"/>
  <c r="BY19" i="315"/>
  <c r="BY369" i="321"/>
  <c r="BY71" i="315"/>
  <c r="BY75" i="265"/>
  <c r="BZ401" i="321"/>
  <c r="BY121" i="265"/>
  <c r="BY120" i="288"/>
  <c r="BY123" i="288" s="1"/>
  <c r="BY125" i="288" s="1"/>
  <c r="BY270" i="288"/>
  <c r="BY273" i="288" s="1"/>
  <c r="BY275" i="288" s="1"/>
  <c r="BY117" i="315"/>
  <c r="BV107" i="282"/>
  <c r="BV39" i="282"/>
  <c r="BV174" i="314"/>
  <c r="BU32" i="314"/>
  <c r="BQ442" i="321"/>
  <c r="BQ443" i="321" s="1"/>
  <c r="BQ679" i="321"/>
  <c r="BQ680" i="321" s="1"/>
  <c r="BQ102" i="282"/>
  <c r="BQ715" i="321"/>
  <c r="BQ34" i="282"/>
  <c r="BQ26" i="265" l="1"/>
  <c r="BQ24" i="315"/>
  <c r="BQ84" i="265"/>
  <c r="BQ80" i="315"/>
  <c r="BQ687" i="321"/>
  <c r="BQ688" i="321" s="1"/>
  <c r="BQ681" i="321"/>
  <c r="BQ46" i="288"/>
  <c r="BQ446" i="321"/>
  <c r="BQ447" i="321" s="1"/>
  <c r="BQ529" i="321"/>
  <c r="BQ485" i="321"/>
  <c r="BQ196" i="288"/>
  <c r="BV77" i="315"/>
  <c r="BV28" i="265"/>
  <c r="AP28" i="277" s="1"/>
  <c r="BV26" i="315"/>
  <c r="BV81" i="265"/>
  <c r="AP81" i="277" s="1"/>
  <c r="BZ395" i="321"/>
  <c r="BZ397" i="321" s="1"/>
  <c r="BZ379" i="321"/>
  <c r="BZ381" i="321" s="1"/>
  <c r="BZ256" i="288"/>
  <c r="BZ106" i="288"/>
  <c r="BY16" i="314"/>
  <c r="BY79" i="288"/>
  <c r="BY23" i="314"/>
  <c r="BY21" i="328"/>
  <c r="BY142" i="288"/>
  <c r="BY143" i="288" s="1"/>
  <c r="BY229" i="288"/>
  <c r="BY66" i="288"/>
  <c r="BY216" i="288"/>
  <c r="BY110" i="314"/>
  <c r="BY103" i="314"/>
  <c r="BZ427" i="321"/>
  <c r="BZ429" i="321" s="1"/>
  <c r="BZ411" i="321"/>
  <c r="BZ413" i="321" s="1"/>
  <c r="BZ258" i="288"/>
  <c r="BZ108" i="288"/>
  <c r="DZ92" i="282"/>
  <c r="DZ94" i="282" s="1"/>
  <c r="DY125" i="265"/>
  <c r="DZ160" i="282"/>
  <c r="DZ162" i="282" s="1"/>
  <c r="DY121" i="315"/>
  <c r="EA160" i="282" l="1"/>
  <c r="EA162" i="282" s="1"/>
  <c r="DZ121" i="315"/>
  <c r="EA92" i="282"/>
  <c r="EA94" i="282" s="1"/>
  <c r="DZ125" i="265"/>
  <c r="BZ368" i="321"/>
  <c r="BZ435" i="321"/>
  <c r="BZ436" i="321" s="1"/>
  <c r="BZ414" i="321"/>
  <c r="BZ367" i="321"/>
  <c r="BZ257" i="288"/>
  <c r="BZ101" i="282"/>
  <c r="BZ33" i="282"/>
  <c r="BZ107" i="288"/>
  <c r="BZ430" i="321"/>
  <c r="BW105" i="314"/>
  <c r="BW109" i="314" s="1"/>
  <c r="BW112" i="314" s="1"/>
  <c r="BW115" i="314" s="1"/>
  <c r="BY231" i="288"/>
  <c r="BY240" i="288" s="1"/>
  <c r="BY146" i="288"/>
  <c r="BY81" i="288"/>
  <c r="BY90" i="288" s="1"/>
  <c r="BY92" i="288" s="1"/>
  <c r="BY94" i="288" s="1"/>
  <c r="BW18" i="314"/>
  <c r="BW22" i="314" s="1"/>
  <c r="BW25" i="314" s="1"/>
  <c r="BZ110" i="288"/>
  <c r="BZ112" i="288" s="1"/>
  <c r="BZ260" i="288"/>
  <c r="BZ262" i="288" s="1"/>
  <c r="BZ366" i="321"/>
  <c r="BZ403" i="321"/>
  <c r="BZ404" i="321" s="1"/>
  <c r="BZ382" i="321"/>
  <c r="BZ365" i="321"/>
  <c r="BZ369" i="321" s="1"/>
  <c r="BZ255" i="288"/>
  <c r="BZ105" i="288"/>
  <c r="BZ100" i="282"/>
  <c r="BZ32" i="282"/>
  <c r="BZ398" i="321"/>
  <c r="BQ56" i="265"/>
  <c r="BQ54" i="315"/>
  <c r="BQ53" i="265"/>
  <c r="BQ51" i="315"/>
  <c r="BR684" i="321"/>
  <c r="BQ119" i="315"/>
  <c r="BQ123" i="265"/>
  <c r="BR712" i="321" l="1"/>
  <c r="BR714" i="321" s="1"/>
  <c r="BR673" i="321"/>
  <c r="BR676" i="321" s="1"/>
  <c r="BR693" i="321"/>
  <c r="BR695" i="321" s="1"/>
  <c r="BR699" i="321" s="1"/>
  <c r="BZ21" i="265"/>
  <c r="AR21" i="277" s="1"/>
  <c r="BZ71" i="265"/>
  <c r="AR71" i="277" s="1"/>
  <c r="BZ67" i="315"/>
  <c r="BZ19" i="315"/>
  <c r="BZ16" i="314"/>
  <c r="BZ21" i="328"/>
  <c r="BZ103" i="314"/>
  <c r="BZ23" i="314"/>
  <c r="BZ229" i="288"/>
  <c r="BZ66" i="288"/>
  <c r="BZ216" i="288"/>
  <c r="BZ110" i="314"/>
  <c r="BZ79" i="288"/>
  <c r="BZ142" i="288"/>
  <c r="BZ143" i="288" s="1"/>
  <c r="BZ75" i="265"/>
  <c r="AR75" i="277" s="1"/>
  <c r="BZ71" i="315"/>
  <c r="CA401" i="321"/>
  <c r="BZ120" i="288"/>
  <c r="BZ121" i="265"/>
  <c r="AR121" i="277" s="1"/>
  <c r="BZ117" i="315"/>
  <c r="BZ270" i="288"/>
  <c r="BW27" i="314"/>
  <c r="BV29" i="314" s="1"/>
  <c r="BW171" i="314"/>
  <c r="BW173" i="314" s="1"/>
  <c r="BW88" i="314"/>
  <c r="BW36" i="314"/>
  <c r="BZ22" i="265"/>
  <c r="AR22" i="277" s="1"/>
  <c r="BZ72" i="265"/>
  <c r="AR72" i="277" s="1"/>
  <c r="BZ20" i="315"/>
  <c r="BZ68" i="315"/>
  <c r="BZ72" i="315"/>
  <c r="BZ76" i="265"/>
  <c r="AR76" i="277" s="1"/>
  <c r="CA433" i="321"/>
  <c r="BZ121" i="288"/>
  <c r="BZ118" i="315"/>
  <c r="BZ122" i="265"/>
  <c r="AR122" i="277" s="1"/>
  <c r="BZ271" i="288"/>
  <c r="EB92" i="282"/>
  <c r="EB94" i="282" s="1"/>
  <c r="EA125" i="265"/>
  <c r="EB160" i="282"/>
  <c r="EB162" i="282" s="1"/>
  <c r="EA121" i="315"/>
  <c r="EC160" i="282" l="1"/>
  <c r="EC162" i="282" s="1"/>
  <c r="EB121" i="315"/>
  <c r="EC92" i="282"/>
  <c r="EC94" i="282" s="1"/>
  <c r="EB125" i="265"/>
  <c r="CA427" i="321"/>
  <c r="CA429" i="321" s="1"/>
  <c r="CA411" i="321"/>
  <c r="CA413" i="321" s="1"/>
  <c r="CA258" i="288"/>
  <c r="CA108" i="288"/>
  <c r="BW39" i="282"/>
  <c r="BW174" i="314"/>
  <c r="BW107" i="282"/>
  <c r="BV32" i="314"/>
  <c r="BZ273" i="288"/>
  <c r="BZ275" i="288" s="1"/>
  <c r="BZ123" i="288"/>
  <c r="BZ125" i="288" s="1"/>
  <c r="CA395" i="321"/>
  <c r="CA397" i="321" s="1"/>
  <c r="CA379" i="321"/>
  <c r="CA381" i="321" s="1"/>
  <c r="CA256" i="288"/>
  <c r="CA260" i="288" s="1"/>
  <c r="CA262" i="288" s="1"/>
  <c r="CA106" i="288"/>
  <c r="CA110" i="288" s="1"/>
  <c r="CA112" i="288" s="1"/>
  <c r="BZ146" i="288"/>
  <c r="BZ81" i="288"/>
  <c r="BZ90" i="288" s="1"/>
  <c r="BZ92" i="288" s="1"/>
  <c r="BZ94" i="288" s="1"/>
  <c r="BZ231" i="288"/>
  <c r="BZ240" i="288" s="1"/>
  <c r="BX105" i="314"/>
  <c r="BX109" i="314" s="1"/>
  <c r="BX112" i="314" s="1"/>
  <c r="BX115" i="314" s="1"/>
  <c r="BX18" i="314"/>
  <c r="BX22" i="314" s="1"/>
  <c r="BX25" i="314" s="1"/>
  <c r="BR442" i="321"/>
  <c r="BR443" i="321" s="1"/>
  <c r="BR679" i="321"/>
  <c r="BR680" i="321" s="1"/>
  <c r="BR102" i="282"/>
  <c r="BR34" i="282"/>
  <c r="BR715" i="321"/>
  <c r="BR26" i="265" l="1"/>
  <c r="AN26" i="277" s="1"/>
  <c r="BR24" i="315"/>
  <c r="BR84" i="265"/>
  <c r="AN84" i="277" s="1"/>
  <c r="BR80" i="315"/>
  <c r="BR687" i="321"/>
  <c r="BR688" i="321" s="1"/>
  <c r="BR681" i="321"/>
  <c r="BR46" i="288"/>
  <c r="BR529" i="321"/>
  <c r="BR485" i="321"/>
  <c r="BR446" i="321"/>
  <c r="BR447" i="321" s="1"/>
  <c r="BR196" i="288"/>
  <c r="BX27" i="314"/>
  <c r="BW29" i="314" s="1"/>
  <c r="BX36" i="314"/>
  <c r="BX88" i="314"/>
  <c r="BX171" i="314"/>
  <c r="BX173" i="314" s="1"/>
  <c r="CA366" i="321"/>
  <c r="CA403" i="321"/>
  <c r="CA404" i="321" s="1"/>
  <c r="CA382" i="321"/>
  <c r="CA365" i="321"/>
  <c r="CA105" i="288"/>
  <c r="CA255" i="288"/>
  <c r="CA100" i="282"/>
  <c r="CA32" i="282"/>
  <c r="CA398" i="321"/>
  <c r="BW81" i="265"/>
  <c r="BW28" i="265"/>
  <c r="BW77" i="315"/>
  <c r="BW26" i="315"/>
  <c r="CA368" i="321"/>
  <c r="CA435" i="321"/>
  <c r="CA436" i="321" s="1"/>
  <c r="CA414" i="321"/>
  <c r="CA367" i="321"/>
  <c r="CA107" i="288"/>
  <c r="CA257" i="288"/>
  <c r="CA101" i="282"/>
  <c r="CA33" i="282"/>
  <c r="CA430" i="321"/>
  <c r="ED92" i="282"/>
  <c r="ED94" i="282" s="1"/>
  <c r="EC125" i="265"/>
  <c r="ED160" i="282"/>
  <c r="ED162" i="282" s="1"/>
  <c r="EC121" i="315"/>
  <c r="EE160" i="282" l="1"/>
  <c r="EE162" i="282" s="1"/>
  <c r="ED121" i="315"/>
  <c r="EE92" i="282"/>
  <c r="EE94" i="282" s="1"/>
  <c r="ED125" i="265"/>
  <c r="CA68" i="315"/>
  <c r="CA22" i="265"/>
  <c r="CA72" i="265"/>
  <c r="CA20" i="315"/>
  <c r="CA76" i="265"/>
  <c r="CA72" i="315"/>
  <c r="CB433" i="321"/>
  <c r="CA121" i="288"/>
  <c r="CA118" i="315"/>
  <c r="CA122" i="265"/>
  <c r="CA271" i="288"/>
  <c r="CA21" i="265"/>
  <c r="CA19" i="315"/>
  <c r="CA67" i="315"/>
  <c r="CA71" i="265"/>
  <c r="CA369" i="321"/>
  <c r="CA75" i="265"/>
  <c r="CA71" i="315"/>
  <c r="CB401" i="321"/>
  <c r="CA121" i="265"/>
  <c r="CA120" i="288"/>
  <c r="CA123" i="288" s="1"/>
  <c r="CA125" i="288" s="1"/>
  <c r="CA117" i="315"/>
  <c r="CA270" i="288"/>
  <c r="CA273" i="288" s="1"/>
  <c r="CA275" i="288" s="1"/>
  <c r="BX107" i="282"/>
  <c r="BX174" i="314"/>
  <c r="BX39" i="282"/>
  <c r="BW32" i="314"/>
  <c r="BR54" i="315"/>
  <c r="BR56" i="265"/>
  <c r="AN56" i="277" s="1"/>
  <c r="BR53" i="265"/>
  <c r="AN53" i="277" s="1"/>
  <c r="BR51" i="315"/>
  <c r="BS684" i="321"/>
  <c r="BR119" i="315"/>
  <c r="BR123" i="265"/>
  <c r="AN123" i="277" s="1"/>
  <c r="BS673" i="321" l="1"/>
  <c r="BS676" i="321" s="1"/>
  <c r="BS712" i="321"/>
  <c r="BS714" i="321" s="1"/>
  <c r="BS693" i="321"/>
  <c r="BS695" i="321" s="1"/>
  <c r="BS699" i="321" s="1"/>
  <c r="BX28" i="265"/>
  <c r="AQ28" i="277" s="1"/>
  <c r="BX81" i="265"/>
  <c r="AQ81" i="277" s="1"/>
  <c r="BX77" i="315"/>
  <c r="BX26" i="315"/>
  <c r="CB395" i="321"/>
  <c r="CB397" i="321" s="1"/>
  <c r="CB379" i="321"/>
  <c r="CB381" i="321" s="1"/>
  <c r="CB106" i="288"/>
  <c r="CB256" i="288"/>
  <c r="CA16" i="314"/>
  <c r="CA103" i="314"/>
  <c r="CA216" i="288"/>
  <c r="CA66" i="288"/>
  <c r="CA142" i="288"/>
  <c r="CA143" i="288" s="1"/>
  <c r="CA229" i="288"/>
  <c r="CA21" i="328"/>
  <c r="CA110" i="314"/>
  <c r="CA23" i="314"/>
  <c r="CA79" i="288"/>
  <c r="CB427" i="321"/>
  <c r="CB429" i="321" s="1"/>
  <c r="CB411" i="321"/>
  <c r="CB413" i="321" s="1"/>
  <c r="CB258" i="288"/>
  <c r="CB108" i="288"/>
  <c r="EF92" i="282"/>
  <c r="EF94" i="282" s="1"/>
  <c r="EE125" i="265"/>
  <c r="EF160" i="282"/>
  <c r="EF162" i="282" s="1"/>
  <c r="EE121" i="315"/>
  <c r="EG160" i="282" l="1"/>
  <c r="EG162" i="282" s="1"/>
  <c r="EF121" i="315"/>
  <c r="EG92" i="282"/>
  <c r="EG94" i="282" s="1"/>
  <c r="EF125" i="265"/>
  <c r="CB368" i="321"/>
  <c r="CB435" i="321"/>
  <c r="CB436" i="321" s="1"/>
  <c r="CB414" i="321"/>
  <c r="CB367" i="321"/>
  <c r="CB107" i="288"/>
  <c r="CB101" i="282"/>
  <c r="CB430" i="321"/>
  <c r="CB33" i="282"/>
  <c r="CB257" i="288"/>
  <c r="CA81" i="288"/>
  <c r="CA90" i="288" s="1"/>
  <c r="CA92" i="288" s="1"/>
  <c r="CA94" i="288" s="1"/>
  <c r="CA231" i="288"/>
  <c r="CA240" i="288" s="1"/>
  <c r="CA146" i="288"/>
  <c r="BY105" i="314"/>
  <c r="BY109" i="314" s="1"/>
  <c r="BY112" i="314" s="1"/>
  <c r="BY115" i="314" s="1"/>
  <c r="BY18" i="314"/>
  <c r="BY22" i="314" s="1"/>
  <c r="BY25" i="314" s="1"/>
  <c r="CB260" i="288"/>
  <c r="CB262" i="288" s="1"/>
  <c r="CB110" i="288"/>
  <c r="CB112" i="288" s="1"/>
  <c r="CB366" i="321"/>
  <c r="CB403" i="321"/>
  <c r="CB404" i="321" s="1"/>
  <c r="CB382" i="321"/>
  <c r="CB365" i="321"/>
  <c r="CB369" i="321" s="1"/>
  <c r="CB105" i="288"/>
  <c r="CB255" i="288"/>
  <c r="CB100" i="282"/>
  <c r="CB32" i="282"/>
  <c r="CB398" i="321"/>
  <c r="BS102" i="282"/>
  <c r="BS715" i="321"/>
  <c r="BS34" i="282"/>
  <c r="BS442" i="321"/>
  <c r="BS443" i="321" s="1"/>
  <c r="BS679" i="321"/>
  <c r="BS680" i="321" s="1"/>
  <c r="BS687" i="321" l="1"/>
  <c r="BS688" i="321" s="1"/>
  <c r="BS681" i="321"/>
  <c r="BS46" i="288"/>
  <c r="BS446" i="321"/>
  <c r="BS447" i="321" s="1"/>
  <c r="BS529" i="321"/>
  <c r="BS485" i="321"/>
  <c r="BS196" i="288"/>
  <c r="BS26" i="265"/>
  <c r="BS24" i="315"/>
  <c r="BS84" i="265"/>
  <c r="BS80" i="315"/>
  <c r="CB21" i="265"/>
  <c r="AS21" i="277" s="1"/>
  <c r="CB71" i="265"/>
  <c r="AS71" i="277" s="1"/>
  <c r="CB19" i="315"/>
  <c r="CB67" i="315"/>
  <c r="CB16" i="314"/>
  <c r="CB23" i="314"/>
  <c r="CB216" i="288"/>
  <c r="CB229" i="288"/>
  <c r="CB110" i="314"/>
  <c r="CB79" i="288"/>
  <c r="CB66" i="288"/>
  <c r="CB103" i="314"/>
  <c r="CB21" i="328"/>
  <c r="CB142" i="288"/>
  <c r="CB143" i="288" s="1"/>
  <c r="CB75" i="265"/>
  <c r="AS75" i="277" s="1"/>
  <c r="CB71" i="315"/>
  <c r="CC401" i="321"/>
  <c r="CB120" i="288"/>
  <c r="CB117" i="315"/>
  <c r="CB270" i="288"/>
  <c r="CB121" i="265"/>
  <c r="AS121" i="277" s="1"/>
  <c r="BY27" i="314"/>
  <c r="BX29" i="314" s="1"/>
  <c r="BY171" i="314"/>
  <c r="BY173" i="314" s="1"/>
  <c r="BY36" i="314"/>
  <c r="BY88" i="314"/>
  <c r="CB20" i="315"/>
  <c r="CB72" i="265"/>
  <c r="AS72" i="277" s="1"/>
  <c r="CB22" i="265"/>
  <c r="AS22" i="277" s="1"/>
  <c r="CB68" i="315"/>
  <c r="CB72" i="315"/>
  <c r="CB76" i="265"/>
  <c r="AS76" i="277" s="1"/>
  <c r="CC433" i="321"/>
  <c r="CB121" i="288"/>
  <c r="CB122" i="265"/>
  <c r="AS122" i="277" s="1"/>
  <c r="CB271" i="288"/>
  <c r="CB118" i="315"/>
  <c r="EH92" i="282"/>
  <c r="EH94" i="282" s="1"/>
  <c r="EG125" i="265"/>
  <c r="EH160" i="282"/>
  <c r="EH162" i="282" s="1"/>
  <c r="EG121" i="315"/>
  <c r="EI160" i="282" l="1"/>
  <c r="EI162" i="282" s="1"/>
  <c r="EH121" i="315"/>
  <c r="EI92" i="282"/>
  <c r="EI94" i="282" s="1"/>
  <c r="EH125" i="265"/>
  <c r="CC427" i="321"/>
  <c r="CC429" i="321" s="1"/>
  <c r="CC411" i="321"/>
  <c r="CC413" i="321" s="1"/>
  <c r="CC258" i="288"/>
  <c r="CC108" i="288"/>
  <c r="BY107" i="282"/>
  <c r="BY39" i="282"/>
  <c r="BY174" i="314"/>
  <c r="BX32" i="314"/>
  <c r="CB273" i="288"/>
  <c r="CB275" i="288" s="1"/>
  <c r="CB123" i="288"/>
  <c r="CB125" i="288" s="1"/>
  <c r="CC395" i="321"/>
  <c r="CC397" i="321" s="1"/>
  <c r="CC379" i="321"/>
  <c r="CC381" i="321" s="1"/>
  <c r="CC256" i="288"/>
  <c r="CC260" i="288" s="1"/>
  <c r="CC262" i="288" s="1"/>
  <c r="CC106" i="288"/>
  <c r="CC110" i="288" s="1"/>
  <c r="CC112" i="288" s="1"/>
  <c r="CB146" i="288"/>
  <c r="BZ105" i="314"/>
  <c r="BZ109" i="314" s="1"/>
  <c r="BZ112" i="314" s="1"/>
  <c r="BZ115" i="314" s="1"/>
  <c r="CB81" i="288"/>
  <c r="CB90" i="288" s="1"/>
  <c r="CB92" i="288" s="1"/>
  <c r="CB94" i="288" s="1"/>
  <c r="CB231" i="288"/>
  <c r="CB240" i="288" s="1"/>
  <c r="BZ18" i="314"/>
  <c r="BZ22" i="314" s="1"/>
  <c r="BZ25" i="314" s="1"/>
  <c r="BS56" i="265"/>
  <c r="BS54" i="315"/>
  <c r="BS51" i="315"/>
  <c r="BS53" i="265"/>
  <c r="BT684" i="321"/>
  <c r="BS119" i="315"/>
  <c r="BS123" i="265"/>
  <c r="BT712" i="321" l="1"/>
  <c r="BT714" i="321" s="1"/>
  <c r="BT673" i="321"/>
  <c r="BT676" i="321" s="1"/>
  <c r="BT693" i="321"/>
  <c r="BT695" i="321" s="1"/>
  <c r="BT699" i="321" s="1"/>
  <c r="BZ27" i="314"/>
  <c r="BY29" i="314" s="1"/>
  <c r="BZ36" i="314"/>
  <c r="BZ171" i="314"/>
  <c r="BZ173" i="314" s="1"/>
  <c r="BZ88" i="314"/>
  <c r="CC366" i="321"/>
  <c r="CC403" i="321"/>
  <c r="CC404" i="321" s="1"/>
  <c r="CC382" i="321"/>
  <c r="CC365" i="321"/>
  <c r="CC105" i="288"/>
  <c r="CC255" i="288"/>
  <c r="CC100" i="282"/>
  <c r="CC398" i="321"/>
  <c r="CC32" i="282"/>
  <c r="BY81" i="265"/>
  <c r="BY26" i="315"/>
  <c r="BY77" i="315"/>
  <c r="BY28" i="265"/>
  <c r="CC368" i="321"/>
  <c r="CC435" i="321"/>
  <c r="CC436" i="321" s="1"/>
  <c r="CC414" i="321"/>
  <c r="CC367" i="321"/>
  <c r="CC107" i="288"/>
  <c r="CC257" i="288"/>
  <c r="CC101" i="282"/>
  <c r="CC430" i="321"/>
  <c r="CC33" i="282"/>
  <c r="EJ92" i="282"/>
  <c r="EJ94" i="282" s="1"/>
  <c r="EI125" i="265"/>
  <c r="EJ160" i="282"/>
  <c r="EJ162" i="282" s="1"/>
  <c r="EI121" i="315"/>
  <c r="EK160" i="282" l="1"/>
  <c r="EK162" i="282" s="1"/>
  <c r="EJ121" i="315"/>
  <c r="EK92" i="282"/>
  <c r="EK94" i="282" s="1"/>
  <c r="EJ125" i="265"/>
  <c r="CC72" i="265"/>
  <c r="CC20" i="315"/>
  <c r="CC68" i="315"/>
  <c r="CC22" i="265"/>
  <c r="CC76" i="265"/>
  <c r="CC72" i="315"/>
  <c r="CD433" i="321"/>
  <c r="CC122" i="265"/>
  <c r="CC118" i="315"/>
  <c r="CC271" i="288"/>
  <c r="CC121" i="288"/>
  <c r="CC71" i="265"/>
  <c r="CC21" i="265"/>
  <c r="CC19" i="315"/>
  <c r="CC67" i="315"/>
  <c r="CC369" i="321"/>
  <c r="CC75" i="265"/>
  <c r="CC71" i="315"/>
  <c r="CD401" i="321"/>
  <c r="CC121" i="265"/>
  <c r="CC270" i="288"/>
  <c r="CC273" i="288" s="1"/>
  <c r="CC275" i="288" s="1"/>
  <c r="CC117" i="315"/>
  <c r="CC120" i="288"/>
  <c r="CC123" i="288" s="1"/>
  <c r="CC125" i="288" s="1"/>
  <c r="BZ107" i="282"/>
  <c r="BZ174" i="314"/>
  <c r="BZ39" i="282"/>
  <c r="BY32" i="314"/>
  <c r="BT442" i="321"/>
  <c r="BT443" i="321" s="1"/>
  <c r="BT679" i="321"/>
  <c r="BT680" i="321" s="1"/>
  <c r="BT102" i="282"/>
  <c r="BT715" i="321"/>
  <c r="BT34" i="282"/>
  <c r="BT26" i="265" l="1"/>
  <c r="AO26" i="277" s="1"/>
  <c r="BT24" i="315"/>
  <c r="BT84" i="265"/>
  <c r="AO84" i="277" s="1"/>
  <c r="BT80" i="315"/>
  <c r="BT687" i="321"/>
  <c r="BT688" i="321" s="1"/>
  <c r="BT681" i="321"/>
  <c r="BT46" i="288"/>
  <c r="BT446" i="321"/>
  <c r="BT447" i="321" s="1"/>
  <c r="BT529" i="321"/>
  <c r="BT485" i="321"/>
  <c r="BT196" i="288"/>
  <c r="BZ81" i="265"/>
  <c r="AR81" i="277" s="1"/>
  <c r="BZ77" i="315"/>
  <c r="BZ26" i="315"/>
  <c r="BZ28" i="265"/>
  <c r="AR28" i="277" s="1"/>
  <c r="CD395" i="321"/>
  <c r="CD397" i="321" s="1"/>
  <c r="CD379" i="321"/>
  <c r="CD381" i="321" s="1"/>
  <c r="CD106" i="288"/>
  <c r="CD256" i="288"/>
  <c r="CC16" i="314"/>
  <c r="CC110" i="314"/>
  <c r="CC21" i="328"/>
  <c r="CC142" i="288"/>
  <c r="CC143" i="288" s="1"/>
  <c r="CC229" i="288"/>
  <c r="CC79" i="288"/>
  <c r="CC216" i="288"/>
  <c r="CC66" i="288"/>
  <c r="CC23" i="314"/>
  <c r="CC103" i="314"/>
  <c r="CD427" i="321"/>
  <c r="CD429" i="321" s="1"/>
  <c r="CD411" i="321"/>
  <c r="CD413" i="321" s="1"/>
  <c r="CD108" i="288"/>
  <c r="CD258" i="288"/>
  <c r="EL92" i="282"/>
  <c r="EL94" i="282" s="1"/>
  <c r="EK125" i="265"/>
  <c r="EL160" i="282"/>
  <c r="EL162" i="282" s="1"/>
  <c r="EK121" i="315"/>
  <c r="EM160" i="282" l="1"/>
  <c r="EM162" i="282" s="1"/>
  <c r="EL121" i="315"/>
  <c r="EM92" i="282"/>
  <c r="EM94" i="282" s="1"/>
  <c r="EL125" i="265"/>
  <c r="CD368" i="321"/>
  <c r="CD435" i="321"/>
  <c r="CD436" i="321" s="1"/>
  <c r="CD414" i="321"/>
  <c r="CD367" i="321"/>
  <c r="CD101" i="282"/>
  <c r="CD257" i="288"/>
  <c r="CD33" i="282"/>
  <c r="CD430" i="321"/>
  <c r="CD107" i="288"/>
  <c r="CA105" i="314"/>
  <c r="CA109" i="314" s="1"/>
  <c r="CA112" i="314" s="1"/>
  <c r="CA115" i="314" s="1"/>
  <c r="CC81" i="288"/>
  <c r="CC90" i="288" s="1"/>
  <c r="CC92" i="288" s="1"/>
  <c r="CC94" i="288" s="1"/>
  <c r="CC231" i="288"/>
  <c r="CC240" i="288" s="1"/>
  <c r="CC146" i="288"/>
  <c r="CA18" i="314"/>
  <c r="CA22" i="314" s="1"/>
  <c r="CA25" i="314" s="1"/>
  <c r="CD260" i="288"/>
  <c r="CD262" i="288" s="1"/>
  <c r="CD110" i="288"/>
  <c r="CD112" i="288" s="1"/>
  <c r="CD366" i="321"/>
  <c r="CD403" i="321"/>
  <c r="CD404" i="321" s="1"/>
  <c r="CD382" i="321"/>
  <c r="CD365" i="321"/>
  <c r="CD369" i="321" s="1"/>
  <c r="CD105" i="288"/>
  <c r="CD255" i="288"/>
  <c r="CD100" i="282"/>
  <c r="CD398" i="321"/>
  <c r="CD32" i="282"/>
  <c r="BT54" i="315"/>
  <c r="BT56" i="265"/>
  <c r="AO56" i="277" s="1"/>
  <c r="BT53" i="265"/>
  <c r="AO53" i="277" s="1"/>
  <c r="BT51" i="315"/>
  <c r="BU684" i="321"/>
  <c r="BT119" i="315"/>
  <c r="BT123" i="265"/>
  <c r="AO123" i="277" s="1"/>
  <c r="BU673" i="321" l="1"/>
  <c r="BU676" i="321" s="1"/>
  <c r="BU712" i="321"/>
  <c r="BU714" i="321" s="1"/>
  <c r="BU693" i="321"/>
  <c r="BU695" i="321" s="1"/>
  <c r="BU699" i="321" s="1"/>
  <c r="CD71" i="265"/>
  <c r="AT71" i="277" s="1"/>
  <c r="CD21" i="265"/>
  <c r="AT21" i="277" s="1"/>
  <c r="CD67" i="315"/>
  <c r="CD19" i="315"/>
  <c r="CD16" i="314"/>
  <c r="CD229" i="288"/>
  <c r="CD23" i="314"/>
  <c r="CD103" i="314"/>
  <c r="CD110" i="314"/>
  <c r="CD21" i="328"/>
  <c r="CD79" i="288"/>
  <c r="CD66" i="288"/>
  <c r="CD216" i="288"/>
  <c r="CD142" i="288"/>
  <c r="CD143" i="288" s="1"/>
  <c r="CD75" i="265"/>
  <c r="AT75" i="277" s="1"/>
  <c r="CD71" i="315"/>
  <c r="CE401" i="321"/>
  <c r="CD270" i="288"/>
  <c r="CD117" i="315"/>
  <c r="CD120" i="288"/>
  <c r="CD121" i="265"/>
  <c r="AT121" i="277" s="1"/>
  <c r="CA27" i="314"/>
  <c r="BZ29" i="314" s="1"/>
  <c r="CA88" i="314"/>
  <c r="CA36" i="314"/>
  <c r="CA171" i="314"/>
  <c r="CA173" i="314" s="1"/>
  <c r="CD68" i="315"/>
  <c r="CD22" i="265"/>
  <c r="AT22" i="277" s="1"/>
  <c r="CD20" i="315"/>
  <c r="CD72" i="265"/>
  <c r="AT72" i="277" s="1"/>
  <c r="CD76" i="265"/>
  <c r="AT76" i="277" s="1"/>
  <c r="CD72" i="315"/>
  <c r="CE433" i="321"/>
  <c r="CD121" i="288"/>
  <c r="CD118" i="315"/>
  <c r="CD271" i="288"/>
  <c r="CD122" i="265"/>
  <c r="AT122" i="277" s="1"/>
  <c r="EN92" i="282"/>
  <c r="EN94" i="282" s="1"/>
  <c r="EM125" i="265"/>
  <c r="EN160" i="282"/>
  <c r="EN162" i="282" s="1"/>
  <c r="EM121" i="315"/>
  <c r="EO160" i="282" l="1"/>
  <c r="EO162" i="282" s="1"/>
  <c r="EN121" i="315"/>
  <c r="EO92" i="282"/>
  <c r="EO94" i="282" s="1"/>
  <c r="EN125" i="265"/>
  <c r="CE427" i="321"/>
  <c r="CE429" i="321" s="1"/>
  <c r="CE411" i="321"/>
  <c r="CE413" i="321" s="1"/>
  <c r="CE258" i="288"/>
  <c r="CE108" i="288"/>
  <c r="CA107" i="282"/>
  <c r="CA39" i="282"/>
  <c r="CA174" i="314"/>
  <c r="BZ32" i="314"/>
  <c r="CD123" i="288"/>
  <c r="CD125" i="288" s="1"/>
  <c r="CD273" i="288"/>
  <c r="CD275" i="288" s="1"/>
  <c r="CE395" i="321"/>
  <c r="CE397" i="321" s="1"/>
  <c r="CE379" i="321"/>
  <c r="CE381" i="321" s="1"/>
  <c r="CE106" i="288"/>
  <c r="CE110" i="288" s="1"/>
  <c r="CE112" i="288" s="1"/>
  <c r="CE256" i="288"/>
  <c r="CE260" i="288" s="1"/>
  <c r="CE262" i="288" s="1"/>
  <c r="CD146" i="288"/>
  <c r="CD81" i="288"/>
  <c r="CD90" i="288" s="1"/>
  <c r="CD92" i="288" s="1"/>
  <c r="CD94" i="288" s="1"/>
  <c r="CB105" i="314"/>
  <c r="CB109" i="314" s="1"/>
  <c r="CB112" i="314" s="1"/>
  <c r="CB115" i="314" s="1"/>
  <c r="CD231" i="288"/>
  <c r="CD240" i="288" s="1"/>
  <c r="CB18" i="314"/>
  <c r="CB22" i="314" s="1"/>
  <c r="CB25" i="314" s="1"/>
  <c r="BU102" i="282"/>
  <c r="BU34" i="282"/>
  <c r="BU715" i="321"/>
  <c r="BU442" i="321"/>
  <c r="BU443" i="321" s="1"/>
  <c r="BU679" i="321"/>
  <c r="BU680" i="321" s="1"/>
  <c r="BU687" i="321" l="1"/>
  <c r="BU688" i="321" s="1"/>
  <c r="BU681" i="321"/>
  <c r="BU46" i="288"/>
  <c r="BU446" i="321"/>
  <c r="BU447" i="321" s="1"/>
  <c r="BU529" i="321"/>
  <c r="BU485" i="321"/>
  <c r="BU196" i="288"/>
  <c r="BU26" i="265"/>
  <c r="BU24" i="315"/>
  <c r="BU84" i="265"/>
  <c r="BU80" i="315"/>
  <c r="CB27" i="314"/>
  <c r="CA29" i="314" s="1"/>
  <c r="CB36" i="314"/>
  <c r="CB171" i="314"/>
  <c r="CB173" i="314" s="1"/>
  <c r="CB88" i="314"/>
  <c r="CE366" i="321"/>
  <c r="CE403" i="321"/>
  <c r="CE404" i="321" s="1"/>
  <c r="CE382" i="321"/>
  <c r="CE365" i="321"/>
  <c r="CE255" i="288"/>
  <c r="CE105" i="288"/>
  <c r="CE100" i="282"/>
  <c r="CE32" i="282"/>
  <c r="CE398" i="321"/>
  <c r="CA26" i="315"/>
  <c r="CA28" i="265"/>
  <c r="CA81" i="265"/>
  <c r="CA77" i="315"/>
  <c r="CE368" i="321"/>
  <c r="CE435" i="321"/>
  <c r="CE436" i="321" s="1"/>
  <c r="CE414" i="321"/>
  <c r="CE367" i="321"/>
  <c r="CE257" i="288"/>
  <c r="CE107" i="288"/>
  <c r="CE101" i="282"/>
  <c r="CE430" i="321"/>
  <c r="CE33" i="282"/>
  <c r="EP92" i="282"/>
  <c r="EP94" i="282" s="1"/>
  <c r="EO125" i="265"/>
  <c r="EP160" i="282"/>
  <c r="EP162" i="282" s="1"/>
  <c r="EO121" i="315"/>
  <c r="EQ160" i="282" l="1"/>
  <c r="EQ162" i="282" s="1"/>
  <c r="EP121" i="315"/>
  <c r="EQ92" i="282"/>
  <c r="EQ94" i="282" s="1"/>
  <c r="EP125" i="265"/>
  <c r="CE22" i="265"/>
  <c r="CE68" i="315"/>
  <c r="CE72" i="265"/>
  <c r="CE20" i="315"/>
  <c r="CE76" i="265"/>
  <c r="CE72" i="315"/>
  <c r="CF433" i="321"/>
  <c r="CE271" i="288"/>
  <c r="CE121" i="288"/>
  <c r="CE118" i="315"/>
  <c r="CE122" i="265"/>
  <c r="CE19" i="315"/>
  <c r="CE67" i="315"/>
  <c r="CE21" i="265"/>
  <c r="CE71" i="265"/>
  <c r="CE369" i="321"/>
  <c r="CE71" i="315"/>
  <c r="CE75" i="265"/>
  <c r="CF401" i="321"/>
  <c r="CE270" i="288"/>
  <c r="CE273" i="288" s="1"/>
  <c r="CE275" i="288" s="1"/>
  <c r="CE120" i="288"/>
  <c r="CE123" i="288" s="1"/>
  <c r="CE125" i="288" s="1"/>
  <c r="CE117" i="315"/>
  <c r="CE121" i="265"/>
  <c r="CB39" i="282"/>
  <c r="CB107" i="282"/>
  <c r="CB174" i="314"/>
  <c r="CA32" i="314"/>
  <c r="BU56" i="265"/>
  <c r="BU54" i="315"/>
  <c r="BU53" i="265"/>
  <c r="BU51" i="315"/>
  <c r="BV684" i="321"/>
  <c r="BU119" i="315"/>
  <c r="BU123" i="265"/>
  <c r="BV673" i="321" l="1"/>
  <c r="BV676" i="321" s="1"/>
  <c r="BV712" i="321"/>
  <c r="BV714" i="321" s="1"/>
  <c r="BV693" i="321"/>
  <c r="BV695" i="321" s="1"/>
  <c r="BV699" i="321" s="1"/>
  <c r="CB81" i="265"/>
  <c r="AS81" i="277" s="1"/>
  <c r="CB28" i="265"/>
  <c r="AS28" i="277" s="1"/>
  <c r="CB77" i="315"/>
  <c r="CB26" i="315"/>
  <c r="CF395" i="321"/>
  <c r="CF397" i="321" s="1"/>
  <c r="CF379" i="321"/>
  <c r="CF381" i="321" s="1"/>
  <c r="CF256" i="288"/>
  <c r="CF106" i="288"/>
  <c r="CE16" i="314"/>
  <c r="CE103" i="314"/>
  <c r="CE79" i="288"/>
  <c r="CE21" i="328"/>
  <c r="CE142" i="288"/>
  <c r="CE143" i="288" s="1"/>
  <c r="CE66" i="288"/>
  <c r="CE229" i="288"/>
  <c r="CE110" i="314"/>
  <c r="CE216" i="288"/>
  <c r="CE23" i="314"/>
  <c r="CF427" i="321"/>
  <c r="CF429" i="321" s="1"/>
  <c r="CF411" i="321"/>
  <c r="CF413" i="321" s="1"/>
  <c r="CF108" i="288"/>
  <c r="CF258" i="288"/>
  <c r="ER92" i="282"/>
  <c r="ER94" i="282" s="1"/>
  <c r="EQ125" i="265"/>
  <c r="ER160" i="282"/>
  <c r="ER162" i="282" s="1"/>
  <c r="EQ121" i="315"/>
  <c r="ES160" i="282" l="1"/>
  <c r="ES162" i="282" s="1"/>
  <c r="ER121" i="315"/>
  <c r="ES92" i="282"/>
  <c r="ES94" i="282" s="1"/>
  <c r="ER125" i="265"/>
  <c r="CF368" i="321"/>
  <c r="CF435" i="321"/>
  <c r="CF436" i="321" s="1"/>
  <c r="CF414" i="321"/>
  <c r="CF367" i="321"/>
  <c r="CF257" i="288"/>
  <c r="CF101" i="282"/>
  <c r="CF107" i="288"/>
  <c r="CF33" i="282"/>
  <c r="CF430" i="321"/>
  <c r="CE231" i="288"/>
  <c r="CE240" i="288" s="1"/>
  <c r="CE146" i="288"/>
  <c r="CE81" i="288"/>
  <c r="CE90" i="288" s="1"/>
  <c r="CE92" i="288" s="1"/>
  <c r="CE94" i="288" s="1"/>
  <c r="CC105" i="314"/>
  <c r="CC109" i="314" s="1"/>
  <c r="CC112" i="314" s="1"/>
  <c r="CC115" i="314" s="1"/>
  <c r="CC18" i="314"/>
  <c r="CC22" i="314" s="1"/>
  <c r="CC25" i="314" s="1"/>
  <c r="CF110" i="288"/>
  <c r="CF112" i="288" s="1"/>
  <c r="CF260" i="288"/>
  <c r="CF262" i="288" s="1"/>
  <c r="CF366" i="321"/>
  <c r="CF403" i="321"/>
  <c r="CF404" i="321" s="1"/>
  <c r="CF382" i="321"/>
  <c r="CF365" i="321"/>
  <c r="CF369" i="321" s="1"/>
  <c r="CF255" i="288"/>
  <c r="CF100" i="282"/>
  <c r="CF398" i="321"/>
  <c r="CF32" i="282"/>
  <c r="CF105" i="288"/>
  <c r="BV102" i="282"/>
  <c r="BV34" i="282"/>
  <c r="BV715" i="321"/>
  <c r="BV442" i="321"/>
  <c r="BV443" i="321" s="1"/>
  <c r="BV679" i="321"/>
  <c r="BV680" i="321" s="1"/>
  <c r="BV687" i="321" l="1"/>
  <c r="BV688" i="321" s="1"/>
  <c r="BV681" i="321"/>
  <c r="BV46" i="288"/>
  <c r="BV529" i="321"/>
  <c r="BV485" i="321"/>
  <c r="BV446" i="321"/>
  <c r="BV447" i="321" s="1"/>
  <c r="BV196" i="288"/>
  <c r="BV26" i="265"/>
  <c r="AP26" i="277" s="1"/>
  <c r="BV24" i="315"/>
  <c r="BV84" i="265"/>
  <c r="AP84" i="277" s="1"/>
  <c r="BV80" i="315"/>
  <c r="CF21" i="265"/>
  <c r="AU21" i="277" s="1"/>
  <c r="CF71" i="265"/>
  <c r="AU71" i="277" s="1"/>
  <c r="CF67" i="315"/>
  <c r="CF19" i="315"/>
  <c r="CF16" i="314"/>
  <c r="CF103" i="314"/>
  <c r="CF21" i="328"/>
  <c r="CF23" i="314"/>
  <c r="CF216" i="288"/>
  <c r="CF229" i="288"/>
  <c r="CF142" i="288"/>
  <c r="CF143" i="288" s="1"/>
  <c r="CF110" i="314"/>
  <c r="CF79" i="288"/>
  <c r="CF66" i="288"/>
  <c r="CF71" i="315"/>
  <c r="CF75" i="265"/>
  <c r="AU75" i="277" s="1"/>
  <c r="CG401" i="321"/>
  <c r="CF121" i="265"/>
  <c r="AU121" i="277" s="1"/>
  <c r="CF270" i="288"/>
  <c r="CF120" i="288"/>
  <c r="CF117" i="315"/>
  <c r="CC27" i="314"/>
  <c r="CB29" i="314" s="1"/>
  <c r="CC171" i="314"/>
  <c r="CC173" i="314" s="1"/>
  <c r="CC88" i="314"/>
  <c r="CC36" i="314"/>
  <c r="CF68" i="315"/>
  <c r="CF72" i="265"/>
  <c r="AU72" i="277" s="1"/>
  <c r="CF22" i="265"/>
  <c r="AU22" i="277" s="1"/>
  <c r="CF20" i="315"/>
  <c r="CF76" i="265"/>
  <c r="AU76" i="277" s="1"/>
  <c r="CF72" i="315"/>
  <c r="CG433" i="321"/>
  <c r="CF121" i="288"/>
  <c r="CF118" i="315"/>
  <c r="CF122" i="265"/>
  <c r="AU122" i="277" s="1"/>
  <c r="CF271" i="288"/>
  <c r="ET92" i="282"/>
  <c r="ET94" i="282" s="1"/>
  <c r="ES125" i="265"/>
  <c r="ET160" i="282"/>
  <c r="ET162" i="282" s="1"/>
  <c r="ES121" i="315"/>
  <c r="EU160" i="282" l="1"/>
  <c r="EU162" i="282" s="1"/>
  <c r="ET121" i="315"/>
  <c r="EU92" i="282"/>
  <c r="EU94" i="282" s="1"/>
  <c r="ET125" i="265"/>
  <c r="CG427" i="321"/>
  <c r="CG429" i="321" s="1"/>
  <c r="CG411" i="321"/>
  <c r="CG413" i="321" s="1"/>
  <c r="CG108" i="288"/>
  <c r="CG258" i="288"/>
  <c r="CC107" i="282"/>
  <c r="CC39" i="282"/>
  <c r="CC174" i="314"/>
  <c r="CB32" i="314"/>
  <c r="CF123" i="288"/>
  <c r="CF125" i="288" s="1"/>
  <c r="CF273" i="288"/>
  <c r="CF275" i="288" s="1"/>
  <c r="CG395" i="321"/>
  <c r="CG397" i="321" s="1"/>
  <c r="CG379" i="321"/>
  <c r="CG381" i="321" s="1"/>
  <c r="CG256" i="288"/>
  <c r="CG260" i="288" s="1"/>
  <c r="CG262" i="288" s="1"/>
  <c r="CG106" i="288"/>
  <c r="CG110" i="288" s="1"/>
  <c r="CG112" i="288" s="1"/>
  <c r="CF81" i="288"/>
  <c r="CF90" i="288" s="1"/>
  <c r="CF92" i="288" s="1"/>
  <c r="CF94" i="288" s="1"/>
  <c r="CF146" i="288"/>
  <c r="CF231" i="288"/>
  <c r="CF240" i="288" s="1"/>
  <c r="CD105" i="314"/>
  <c r="CD109" i="314" s="1"/>
  <c r="CD112" i="314" s="1"/>
  <c r="CD115" i="314" s="1"/>
  <c r="CD18" i="314"/>
  <c r="CD22" i="314" s="1"/>
  <c r="CD25" i="314" s="1"/>
  <c r="BV54" i="315"/>
  <c r="BV56" i="265"/>
  <c r="AP56" i="277" s="1"/>
  <c r="BV53" i="265"/>
  <c r="AP53" i="277" s="1"/>
  <c r="BV51" i="315"/>
  <c r="BW684" i="321"/>
  <c r="BV119" i="315"/>
  <c r="BV123" i="265"/>
  <c r="AP123" i="277" s="1"/>
  <c r="BW712" i="321" l="1"/>
  <c r="BW714" i="321" s="1"/>
  <c r="BW673" i="321"/>
  <c r="BW676" i="321" s="1"/>
  <c r="BW693" i="321"/>
  <c r="BW695" i="321" s="1"/>
  <c r="BW699" i="321" s="1"/>
  <c r="CD27" i="314"/>
  <c r="CC29" i="314" s="1"/>
  <c r="CD36" i="314"/>
  <c r="CD88" i="314"/>
  <c r="CD171" i="314"/>
  <c r="CD173" i="314" s="1"/>
  <c r="CG366" i="321"/>
  <c r="CG403" i="321"/>
  <c r="CG404" i="321" s="1"/>
  <c r="CG382" i="321"/>
  <c r="CG365" i="321"/>
  <c r="CG255" i="288"/>
  <c r="CG105" i="288"/>
  <c r="CG100" i="282"/>
  <c r="CG32" i="282"/>
  <c r="CG398" i="321"/>
  <c r="CC77" i="315"/>
  <c r="CC28" i="265"/>
  <c r="CC81" i="265"/>
  <c r="CC26" i="315"/>
  <c r="CG368" i="321"/>
  <c r="CG435" i="321"/>
  <c r="CG436" i="321" s="1"/>
  <c r="CG414" i="321"/>
  <c r="CG367" i="321"/>
  <c r="CG257" i="288"/>
  <c r="CG107" i="288"/>
  <c r="CG101" i="282"/>
  <c r="CG430" i="321"/>
  <c r="CG33" i="282"/>
  <c r="EV92" i="282"/>
  <c r="EV94" i="282" s="1"/>
  <c r="EU125" i="265"/>
  <c r="EV160" i="282"/>
  <c r="EV162" i="282" s="1"/>
  <c r="EU121" i="315"/>
  <c r="EW160" i="282" l="1"/>
  <c r="EW162" i="282" s="1"/>
  <c r="EV121" i="315"/>
  <c r="EW92" i="282"/>
  <c r="EW94" i="282" s="1"/>
  <c r="EV125" i="265"/>
  <c r="CG20" i="315"/>
  <c r="CG72" i="265"/>
  <c r="CG22" i="265"/>
  <c r="CG68" i="315"/>
  <c r="CG76" i="265"/>
  <c r="CG72" i="315"/>
  <c r="CH433" i="321"/>
  <c r="CG271" i="288"/>
  <c r="CG121" i="288"/>
  <c r="CG118" i="315"/>
  <c r="CG122" i="265"/>
  <c r="CG21" i="265"/>
  <c r="CG19" i="315"/>
  <c r="CG67" i="315"/>
  <c r="CG71" i="265"/>
  <c r="CG369" i="321"/>
  <c r="CG71" i="315"/>
  <c r="CG75" i="265"/>
  <c r="CH401" i="321"/>
  <c r="CG121" i="265"/>
  <c r="CG120" i="288"/>
  <c r="CG123" i="288" s="1"/>
  <c r="CG125" i="288" s="1"/>
  <c r="CG117" i="315"/>
  <c r="CG270" i="288"/>
  <c r="CG273" i="288" s="1"/>
  <c r="CG275" i="288" s="1"/>
  <c r="CD107" i="282"/>
  <c r="CD39" i="282"/>
  <c r="CD174" i="314"/>
  <c r="CC32" i="314"/>
  <c r="BW442" i="321"/>
  <c r="BW443" i="321" s="1"/>
  <c r="BW679" i="321"/>
  <c r="BW680" i="321" s="1"/>
  <c r="BW102" i="282"/>
  <c r="BW34" i="282"/>
  <c r="BW715" i="321"/>
  <c r="BW26" i="265" l="1"/>
  <c r="BW24" i="315"/>
  <c r="BW84" i="265"/>
  <c r="BW80" i="315"/>
  <c r="BW687" i="321"/>
  <c r="BW688" i="321" s="1"/>
  <c r="BW681" i="321"/>
  <c r="BW46" i="288"/>
  <c r="BW446" i="321"/>
  <c r="BW447" i="321" s="1"/>
  <c r="BW529" i="321"/>
  <c r="BW485" i="321"/>
  <c r="BW196" i="288"/>
  <c r="CD81" i="265"/>
  <c r="AT81" i="277" s="1"/>
  <c r="CD26" i="315"/>
  <c r="CD77" i="315"/>
  <c r="CD28" i="265"/>
  <c r="AT28" i="277" s="1"/>
  <c r="CH395" i="321"/>
  <c r="CH397" i="321" s="1"/>
  <c r="CH379" i="321"/>
  <c r="CH381" i="321" s="1"/>
  <c r="CH256" i="288"/>
  <c r="CH106" i="288"/>
  <c r="CG16" i="314"/>
  <c r="CG79" i="288"/>
  <c r="CG142" i="288"/>
  <c r="CG143" i="288" s="1"/>
  <c r="CG229" i="288"/>
  <c r="CG110" i="314"/>
  <c r="CG23" i="314"/>
  <c r="CG21" i="328"/>
  <c r="CG103" i="314"/>
  <c r="CG66" i="288"/>
  <c r="CG216" i="288"/>
  <c r="CH427" i="321"/>
  <c r="CH429" i="321" s="1"/>
  <c r="CH411" i="321"/>
  <c r="CH413" i="321" s="1"/>
  <c r="CH108" i="288"/>
  <c r="CH258" i="288"/>
  <c r="EX92" i="282"/>
  <c r="EX94" i="282" s="1"/>
  <c r="EW125" i="265"/>
  <c r="EX160" i="282"/>
  <c r="EX162" i="282" s="1"/>
  <c r="EW121" i="315"/>
  <c r="EY160" i="282" l="1"/>
  <c r="EY162" i="282" s="1"/>
  <c r="EX121" i="315"/>
  <c r="EY92" i="282"/>
  <c r="EY94" i="282" s="1"/>
  <c r="EX125" i="265"/>
  <c r="CH368" i="321"/>
  <c r="CH435" i="321"/>
  <c r="CH436" i="321" s="1"/>
  <c r="CH414" i="321"/>
  <c r="CH367" i="321"/>
  <c r="CH107" i="288"/>
  <c r="CH257" i="288"/>
  <c r="CH101" i="282"/>
  <c r="CH430" i="321"/>
  <c r="CH33" i="282"/>
  <c r="CE105" i="314"/>
  <c r="CE109" i="314" s="1"/>
  <c r="CE112" i="314" s="1"/>
  <c r="CE115" i="314" s="1"/>
  <c r="CG231" i="288"/>
  <c r="CG240" i="288" s="1"/>
  <c r="CG146" i="288"/>
  <c r="CG81" i="288"/>
  <c r="CG90" i="288" s="1"/>
  <c r="CG92" i="288" s="1"/>
  <c r="CG94" i="288" s="1"/>
  <c r="CE18" i="314"/>
  <c r="CE22" i="314" s="1"/>
  <c r="CE25" i="314" s="1"/>
  <c r="CH110" i="288"/>
  <c r="CH112" i="288" s="1"/>
  <c r="CH260" i="288"/>
  <c r="CH262" i="288" s="1"/>
  <c r="CH366" i="321"/>
  <c r="CH403" i="321"/>
  <c r="CH404" i="321" s="1"/>
  <c r="CH382" i="321"/>
  <c r="CH365" i="321"/>
  <c r="CH369" i="321" s="1"/>
  <c r="CH105" i="288"/>
  <c r="CH255" i="288"/>
  <c r="CH100" i="282"/>
  <c r="CH32" i="282"/>
  <c r="CH398" i="321"/>
  <c r="BW56" i="265"/>
  <c r="BW54" i="315"/>
  <c r="BW51" i="315"/>
  <c r="BW53" i="265"/>
  <c r="BX684" i="321"/>
  <c r="BW119" i="315"/>
  <c r="BW123" i="265"/>
  <c r="BX712" i="321" l="1"/>
  <c r="BX714" i="321" s="1"/>
  <c r="BX673" i="321"/>
  <c r="BX676" i="321" s="1"/>
  <c r="BX693" i="321"/>
  <c r="BX695" i="321" s="1"/>
  <c r="BX699" i="321" s="1"/>
  <c r="CH71" i="265"/>
  <c r="AV71" i="277" s="1"/>
  <c r="CH19" i="315"/>
  <c r="CH67" i="315"/>
  <c r="CH21" i="265"/>
  <c r="AV21" i="277" s="1"/>
  <c r="CH16" i="314"/>
  <c r="CH23" i="314"/>
  <c r="CH103" i="314"/>
  <c r="CH110" i="314"/>
  <c r="CH66" i="288"/>
  <c r="CH229" i="288"/>
  <c r="CH79" i="288"/>
  <c r="CH216" i="288"/>
  <c r="CH21" i="328"/>
  <c r="CH142" i="288"/>
  <c r="CH143" i="288" s="1"/>
  <c r="CH75" i="265"/>
  <c r="AV75" i="277" s="1"/>
  <c r="CH71" i="315"/>
  <c r="CI401" i="321"/>
  <c r="CH120" i="288"/>
  <c r="CH117" i="315"/>
  <c r="CH121" i="265"/>
  <c r="AV121" i="277" s="1"/>
  <c r="CH270" i="288"/>
  <c r="CE27" i="314"/>
  <c r="CD29" i="314" s="1"/>
  <c r="CE171" i="314"/>
  <c r="CE173" i="314" s="1"/>
  <c r="CE36" i="314"/>
  <c r="CE88" i="314"/>
  <c r="CH20" i="315"/>
  <c r="CH68" i="315"/>
  <c r="CH22" i="265"/>
  <c r="AV22" i="277" s="1"/>
  <c r="CH72" i="265"/>
  <c r="AV72" i="277" s="1"/>
  <c r="CH76" i="265"/>
  <c r="AV76" i="277" s="1"/>
  <c r="CH72" i="315"/>
  <c r="CI433" i="321"/>
  <c r="CH271" i="288"/>
  <c r="CH121" i="288"/>
  <c r="CH118" i="315"/>
  <c r="CH122" i="265"/>
  <c r="AV122" i="277" s="1"/>
  <c r="EZ92" i="282"/>
  <c r="EZ94" i="282" s="1"/>
  <c r="EY125" i="265"/>
  <c r="EZ160" i="282"/>
  <c r="EZ162" i="282" s="1"/>
  <c r="EY121" i="315"/>
  <c r="FA160" i="282" l="1"/>
  <c r="FA162" i="282" s="1"/>
  <c r="EZ121" i="315"/>
  <c r="FA92" i="282"/>
  <c r="FA94" i="282" s="1"/>
  <c r="EZ125" i="265"/>
  <c r="CI427" i="321"/>
  <c r="CI429" i="321" s="1"/>
  <c r="CI411" i="321"/>
  <c r="CI413" i="321" s="1"/>
  <c r="CI258" i="288"/>
  <c r="CI108" i="288"/>
  <c r="CE107" i="282"/>
  <c r="CE39" i="282"/>
  <c r="CE174" i="314"/>
  <c r="CD32" i="314"/>
  <c r="CH273" i="288"/>
  <c r="CH275" i="288" s="1"/>
  <c r="CH123" i="288"/>
  <c r="CH125" i="288" s="1"/>
  <c r="CI395" i="321"/>
  <c r="CI397" i="321" s="1"/>
  <c r="CI379" i="321"/>
  <c r="CI381" i="321" s="1"/>
  <c r="CI256" i="288"/>
  <c r="CI260" i="288" s="1"/>
  <c r="CI262" i="288" s="1"/>
  <c r="CI106" i="288"/>
  <c r="CI110" i="288" s="1"/>
  <c r="CI112" i="288" s="1"/>
  <c r="CH146" i="288"/>
  <c r="CH81" i="288"/>
  <c r="CH90" i="288" s="1"/>
  <c r="CH92" i="288" s="1"/>
  <c r="CH94" i="288" s="1"/>
  <c r="CH231" i="288"/>
  <c r="CH240" i="288" s="1"/>
  <c r="CF105" i="314"/>
  <c r="CF109" i="314" s="1"/>
  <c r="CF112" i="314" s="1"/>
  <c r="CF115" i="314" s="1"/>
  <c r="CF18" i="314"/>
  <c r="CF22" i="314" s="1"/>
  <c r="CF25" i="314" s="1"/>
  <c r="BX442" i="321"/>
  <c r="BX443" i="321" s="1"/>
  <c r="BX679" i="321"/>
  <c r="BX680" i="321" s="1"/>
  <c r="BX102" i="282"/>
  <c r="BX34" i="282"/>
  <c r="BX715" i="321"/>
  <c r="BX26" i="265" l="1"/>
  <c r="AQ26" i="277" s="1"/>
  <c r="BX24" i="315"/>
  <c r="BX84" i="265"/>
  <c r="AQ84" i="277" s="1"/>
  <c r="BX80" i="315"/>
  <c r="BX687" i="321"/>
  <c r="BX688" i="321" s="1"/>
  <c r="BX681" i="321"/>
  <c r="BX46" i="288"/>
  <c r="BX446" i="321"/>
  <c r="BX447" i="321" s="1"/>
  <c r="BX529" i="321"/>
  <c r="BX485" i="321"/>
  <c r="BX196" i="288"/>
  <c r="CF27" i="314"/>
  <c r="CE29" i="314" s="1"/>
  <c r="CF36" i="314"/>
  <c r="CF171" i="314"/>
  <c r="CF173" i="314" s="1"/>
  <c r="CF88" i="314"/>
  <c r="CI366" i="321"/>
  <c r="CI403" i="321"/>
  <c r="CI404" i="321" s="1"/>
  <c r="CI382" i="321"/>
  <c r="CI365" i="321"/>
  <c r="CI255" i="288"/>
  <c r="CI105" i="288"/>
  <c r="CI100" i="282"/>
  <c r="CI32" i="282"/>
  <c r="CI398" i="321"/>
  <c r="CE28" i="265"/>
  <c r="CE77" i="315"/>
  <c r="CE81" i="265"/>
  <c r="CE26" i="315"/>
  <c r="CI368" i="321"/>
  <c r="CI435" i="321"/>
  <c r="CI436" i="321" s="1"/>
  <c r="CI414" i="321"/>
  <c r="CI367" i="321"/>
  <c r="CI257" i="288"/>
  <c r="CI107" i="288"/>
  <c r="CI101" i="282"/>
  <c r="CI430" i="321"/>
  <c r="CI33" i="282"/>
  <c r="FB92" i="282"/>
  <c r="FB94" i="282" s="1"/>
  <c r="FA125" i="265"/>
  <c r="FB160" i="282"/>
  <c r="FB162" i="282" s="1"/>
  <c r="FA121" i="315"/>
  <c r="FC160" i="282" l="1"/>
  <c r="FC162" i="282" s="1"/>
  <c r="FB121" i="315"/>
  <c r="FC92" i="282"/>
  <c r="FC94" i="282" s="1"/>
  <c r="FB125" i="265"/>
  <c r="CI20" i="315"/>
  <c r="CI68" i="315"/>
  <c r="CI22" i="265"/>
  <c r="CI72" i="265"/>
  <c r="CI76" i="265"/>
  <c r="CI72" i="315"/>
  <c r="CJ433" i="321"/>
  <c r="CI271" i="288"/>
  <c r="CI121" i="288"/>
  <c r="CI118" i="315"/>
  <c r="CI122" i="265"/>
  <c r="CI21" i="265"/>
  <c r="CI71" i="265"/>
  <c r="CI19" i="315"/>
  <c r="CI67" i="315"/>
  <c r="CI369" i="321"/>
  <c r="CI71" i="315"/>
  <c r="CI75" i="265"/>
  <c r="CJ401" i="321"/>
  <c r="CI270" i="288"/>
  <c r="CI273" i="288" s="1"/>
  <c r="CI275" i="288" s="1"/>
  <c r="CI120" i="288"/>
  <c r="CI123" i="288" s="1"/>
  <c r="CI125" i="288" s="1"/>
  <c r="CI117" i="315"/>
  <c r="CI121" i="265"/>
  <c r="CF174" i="314"/>
  <c r="CF107" i="282"/>
  <c r="CF39" i="282"/>
  <c r="CE32" i="314"/>
  <c r="BX54" i="315"/>
  <c r="BX56" i="265"/>
  <c r="AQ56" i="277" s="1"/>
  <c r="BX53" i="265"/>
  <c r="AQ53" i="277" s="1"/>
  <c r="BX51" i="315"/>
  <c r="BY684" i="321"/>
  <c r="BX119" i="315"/>
  <c r="BX123" i="265"/>
  <c r="AQ123" i="277" s="1"/>
  <c r="BY712" i="321" l="1"/>
  <c r="BY714" i="321" s="1"/>
  <c r="BY673" i="321"/>
  <c r="BY676" i="321" s="1"/>
  <c r="BY693" i="321"/>
  <c r="BY695" i="321" s="1"/>
  <c r="BY699" i="321" s="1"/>
  <c r="CF77" i="315"/>
  <c r="CF28" i="265"/>
  <c r="AU28" i="277" s="1"/>
  <c r="CF81" i="265"/>
  <c r="AU81" i="277" s="1"/>
  <c r="CF26" i="315"/>
  <c r="CJ395" i="321"/>
  <c r="CJ397" i="321" s="1"/>
  <c r="CJ379" i="321"/>
  <c r="CJ381" i="321" s="1"/>
  <c r="CJ106" i="288"/>
  <c r="CJ256" i="288"/>
  <c r="CI16" i="314"/>
  <c r="CI79" i="288"/>
  <c r="CI216" i="288"/>
  <c r="CI66" i="288"/>
  <c r="CI23" i="314"/>
  <c r="CI142" i="288"/>
  <c r="CI143" i="288" s="1"/>
  <c r="CI229" i="288"/>
  <c r="CI103" i="314"/>
  <c r="CI21" i="328"/>
  <c r="CI110" i="314"/>
  <c r="CJ427" i="321"/>
  <c r="CJ429" i="321" s="1"/>
  <c r="CJ411" i="321"/>
  <c r="CJ413" i="321" s="1"/>
  <c r="CJ108" i="288"/>
  <c r="CJ258" i="288"/>
  <c r="FD92" i="282"/>
  <c r="FD94" i="282" s="1"/>
  <c r="FC125" i="265"/>
  <c r="FD160" i="282"/>
  <c r="FD162" i="282" s="1"/>
  <c r="FC121" i="315"/>
  <c r="FE160" i="282" l="1"/>
  <c r="FE162" i="282" s="1"/>
  <c r="FD121" i="315"/>
  <c r="FE92" i="282"/>
  <c r="FE94" i="282" s="1"/>
  <c r="FD125" i="265"/>
  <c r="CJ368" i="321"/>
  <c r="CJ435" i="321"/>
  <c r="CJ436" i="321" s="1"/>
  <c r="CJ414" i="321"/>
  <c r="CJ367" i="321"/>
  <c r="CJ107" i="288"/>
  <c r="CJ257" i="288"/>
  <c r="CJ101" i="282"/>
  <c r="CJ430" i="321"/>
  <c r="CJ33" i="282"/>
  <c r="CG105" i="314"/>
  <c r="CG109" i="314" s="1"/>
  <c r="CG112" i="314" s="1"/>
  <c r="CG115" i="314" s="1"/>
  <c r="CI231" i="288"/>
  <c r="CI240" i="288" s="1"/>
  <c r="CI146" i="288"/>
  <c r="CI81" i="288"/>
  <c r="CI90" i="288" s="1"/>
  <c r="CI92" i="288" s="1"/>
  <c r="CI94" i="288" s="1"/>
  <c r="CG18" i="314"/>
  <c r="CG22" i="314" s="1"/>
  <c r="CG25" i="314" s="1"/>
  <c r="CJ260" i="288"/>
  <c r="CJ262" i="288" s="1"/>
  <c r="CJ110" i="288"/>
  <c r="CJ112" i="288" s="1"/>
  <c r="CJ366" i="321"/>
  <c r="CJ403" i="321"/>
  <c r="CJ404" i="321" s="1"/>
  <c r="CJ382" i="321"/>
  <c r="CJ365" i="321"/>
  <c r="CJ369" i="321" s="1"/>
  <c r="CJ105" i="288"/>
  <c r="CJ255" i="288"/>
  <c r="CJ100" i="282"/>
  <c r="CJ398" i="321"/>
  <c r="CJ32" i="282"/>
  <c r="BY442" i="321"/>
  <c r="BY443" i="321" s="1"/>
  <c r="BY679" i="321"/>
  <c r="BY680" i="321" s="1"/>
  <c r="BY102" i="282"/>
  <c r="BY715" i="321"/>
  <c r="BY34" i="282"/>
  <c r="BY26" i="265" l="1"/>
  <c r="BY24" i="315"/>
  <c r="BY84" i="265"/>
  <c r="BY80" i="315"/>
  <c r="BY687" i="321"/>
  <c r="BY688" i="321" s="1"/>
  <c r="BY681" i="321"/>
  <c r="BY46" i="288"/>
  <c r="BY446" i="321"/>
  <c r="BY447" i="321" s="1"/>
  <c r="BY529" i="321"/>
  <c r="BY485" i="321"/>
  <c r="BY196" i="288"/>
  <c r="CJ67" i="315"/>
  <c r="CJ21" i="265"/>
  <c r="AW21" i="277" s="1"/>
  <c r="CJ71" i="265"/>
  <c r="AW71" i="277" s="1"/>
  <c r="CJ19" i="315"/>
  <c r="CJ16" i="314"/>
  <c r="CJ21" i="328"/>
  <c r="CJ66" i="288"/>
  <c r="CJ79" i="288"/>
  <c r="CJ23" i="314"/>
  <c r="CJ142" i="288"/>
  <c r="CJ143" i="288" s="1"/>
  <c r="CJ110" i="314"/>
  <c r="CJ216" i="288"/>
  <c r="CJ103" i="314"/>
  <c r="CJ229" i="288"/>
  <c r="CJ71" i="315"/>
  <c r="CJ75" i="265"/>
  <c r="AW75" i="277" s="1"/>
  <c r="CK401" i="321"/>
  <c r="CJ121" i="265"/>
  <c r="AW121" i="277" s="1"/>
  <c r="CJ270" i="288"/>
  <c r="CJ120" i="288"/>
  <c r="CJ117" i="315"/>
  <c r="CG27" i="314"/>
  <c r="CF29" i="314" s="1"/>
  <c r="CG88" i="314"/>
  <c r="CG36" i="314"/>
  <c r="CG171" i="314"/>
  <c r="CG173" i="314" s="1"/>
  <c r="CJ68" i="315"/>
  <c r="CJ72" i="265"/>
  <c r="AW72" i="277" s="1"/>
  <c r="CJ22" i="265"/>
  <c r="AW22" i="277" s="1"/>
  <c r="CJ20" i="315"/>
  <c r="CJ76" i="265"/>
  <c r="AW76" i="277" s="1"/>
  <c r="CJ72" i="315"/>
  <c r="CK433" i="321"/>
  <c r="CJ118" i="315"/>
  <c r="CJ122" i="265"/>
  <c r="AW122" i="277" s="1"/>
  <c r="CJ121" i="288"/>
  <c r="CJ271" i="288"/>
  <c r="FF92" i="282"/>
  <c r="FF94" i="282" s="1"/>
  <c r="FE125" i="265"/>
  <c r="FF160" i="282"/>
  <c r="FF162" i="282" s="1"/>
  <c r="FE121" i="315"/>
  <c r="FG160" i="282" l="1"/>
  <c r="FG162" i="282" s="1"/>
  <c r="FF121" i="315"/>
  <c r="FG92" i="282"/>
  <c r="FG94" i="282" s="1"/>
  <c r="FF125" i="265"/>
  <c r="CK427" i="321"/>
  <c r="CK429" i="321" s="1"/>
  <c r="CK411" i="321"/>
  <c r="CK413" i="321" s="1"/>
  <c r="CK258" i="288"/>
  <c r="CK108" i="288"/>
  <c r="CG107" i="282"/>
  <c r="CG174" i="314"/>
  <c r="CG39" i="282"/>
  <c r="CF32" i="314"/>
  <c r="CJ123" i="288"/>
  <c r="CJ125" i="288" s="1"/>
  <c r="CJ273" i="288"/>
  <c r="CJ275" i="288" s="1"/>
  <c r="CK395" i="321"/>
  <c r="CK397" i="321" s="1"/>
  <c r="CK379" i="321"/>
  <c r="CK381" i="321" s="1"/>
  <c r="CK106" i="288"/>
  <c r="CK110" i="288" s="1"/>
  <c r="CK112" i="288" s="1"/>
  <c r="CK256" i="288"/>
  <c r="CK260" i="288" s="1"/>
  <c r="CK262" i="288" s="1"/>
  <c r="CJ231" i="288"/>
  <c r="CJ240" i="288" s="1"/>
  <c r="CH105" i="314"/>
  <c r="CH109" i="314" s="1"/>
  <c r="CH112" i="314" s="1"/>
  <c r="CH115" i="314" s="1"/>
  <c r="CJ146" i="288"/>
  <c r="CJ81" i="288"/>
  <c r="CJ90" i="288" s="1"/>
  <c r="CJ92" i="288" s="1"/>
  <c r="CJ94" i="288" s="1"/>
  <c r="CH18" i="314"/>
  <c r="CH22" i="314" s="1"/>
  <c r="CH25" i="314" s="1"/>
  <c r="BY56" i="265"/>
  <c r="BY54" i="315"/>
  <c r="BY53" i="265"/>
  <c r="BY51" i="315"/>
  <c r="BZ684" i="321"/>
  <c r="BY119" i="315"/>
  <c r="BY123" i="265"/>
  <c r="BZ712" i="321" l="1"/>
  <c r="BZ714" i="321" s="1"/>
  <c r="BZ673" i="321"/>
  <c r="BZ676" i="321" s="1"/>
  <c r="BZ693" i="321"/>
  <c r="BZ695" i="321" s="1"/>
  <c r="BZ699" i="321" s="1"/>
  <c r="CH27" i="314"/>
  <c r="CG29" i="314" s="1"/>
  <c r="CH88" i="314"/>
  <c r="CH171" i="314"/>
  <c r="CH173" i="314" s="1"/>
  <c r="CH36" i="314"/>
  <c r="CK366" i="321"/>
  <c r="CK403" i="321"/>
  <c r="CK404" i="321" s="1"/>
  <c r="CK382" i="321"/>
  <c r="CK365" i="321"/>
  <c r="CK105" i="288"/>
  <c r="CK100" i="282"/>
  <c r="CK398" i="321"/>
  <c r="CK32" i="282"/>
  <c r="CK255" i="288"/>
  <c r="CG26" i="315"/>
  <c r="CG81" i="265"/>
  <c r="CG28" i="265"/>
  <c r="CG77" i="315"/>
  <c r="CK368" i="321"/>
  <c r="CK435" i="321"/>
  <c r="CK436" i="321" s="1"/>
  <c r="CK414" i="321"/>
  <c r="CK367" i="321"/>
  <c r="CK107" i="288"/>
  <c r="CK257" i="288"/>
  <c r="CK101" i="282"/>
  <c r="CK33" i="282"/>
  <c r="CK430" i="321"/>
  <c r="FH92" i="282"/>
  <c r="FH94" i="282" s="1"/>
  <c r="FG125" i="265"/>
  <c r="FH160" i="282"/>
  <c r="FH162" i="282" s="1"/>
  <c r="FG121" i="315"/>
  <c r="FI160" i="282" l="1"/>
  <c r="FI162" i="282" s="1"/>
  <c r="FH121" i="315"/>
  <c r="FI92" i="282"/>
  <c r="FI94" i="282" s="1"/>
  <c r="FH125" i="265"/>
  <c r="CK72" i="265"/>
  <c r="CK20" i="315"/>
  <c r="CK68" i="315"/>
  <c r="CK22" i="265"/>
  <c r="CK72" i="315"/>
  <c r="CK76" i="265"/>
  <c r="CL433" i="321"/>
  <c r="CK118" i="315"/>
  <c r="CK122" i="265"/>
  <c r="CK271" i="288"/>
  <c r="CK121" i="288"/>
  <c r="CK21" i="265"/>
  <c r="CK19" i="315"/>
  <c r="CK67" i="315"/>
  <c r="CK71" i="265"/>
  <c r="CK369" i="321"/>
  <c r="CK75" i="265"/>
  <c r="CK71" i="315"/>
  <c r="CL401" i="321"/>
  <c r="CK120" i="288"/>
  <c r="CK123" i="288" s="1"/>
  <c r="CK125" i="288" s="1"/>
  <c r="CK117" i="315"/>
  <c r="CK121" i="265"/>
  <c r="CK270" i="288"/>
  <c r="CK273" i="288" s="1"/>
  <c r="CK275" i="288" s="1"/>
  <c r="CH107" i="282"/>
  <c r="CH39" i="282"/>
  <c r="CH174" i="314"/>
  <c r="CG32" i="314"/>
  <c r="BZ442" i="321"/>
  <c r="BZ443" i="321" s="1"/>
  <c r="BZ679" i="321"/>
  <c r="BZ680" i="321" s="1"/>
  <c r="BZ102" i="282"/>
  <c r="BZ715" i="321"/>
  <c r="BZ34" i="282"/>
  <c r="BZ26" i="265" l="1"/>
  <c r="AR26" i="277" s="1"/>
  <c r="BZ24" i="315"/>
  <c r="BZ84" i="265"/>
  <c r="AR84" i="277" s="1"/>
  <c r="BZ80" i="315"/>
  <c r="BZ687" i="321"/>
  <c r="BZ688" i="321" s="1"/>
  <c r="BZ681" i="321"/>
  <c r="BZ46" i="288"/>
  <c r="BZ529" i="321"/>
  <c r="BZ485" i="321"/>
  <c r="BZ446" i="321"/>
  <c r="BZ447" i="321" s="1"/>
  <c r="BZ196" i="288"/>
  <c r="CH28" i="265"/>
  <c r="AV28" i="277" s="1"/>
  <c r="CH26" i="315"/>
  <c r="CH77" i="315"/>
  <c r="CH81" i="265"/>
  <c r="AV81" i="277" s="1"/>
  <c r="CL395" i="321"/>
  <c r="CL397" i="321" s="1"/>
  <c r="CL379" i="321"/>
  <c r="CL381" i="321" s="1"/>
  <c r="CL106" i="288"/>
  <c r="CL256" i="288"/>
  <c r="CK16" i="314"/>
  <c r="CK21" i="328"/>
  <c r="CK103" i="314"/>
  <c r="CK216" i="288"/>
  <c r="CK66" i="288"/>
  <c r="CK79" i="288"/>
  <c r="CK110" i="314"/>
  <c r="CK229" i="288"/>
  <c r="CK142" i="288"/>
  <c r="CK143" i="288" s="1"/>
  <c r="CK23" i="314"/>
  <c r="CL427" i="321"/>
  <c r="CL429" i="321" s="1"/>
  <c r="CL411" i="321"/>
  <c r="CL413" i="321" s="1"/>
  <c r="CL108" i="288"/>
  <c r="CL258" i="288"/>
  <c r="FJ92" i="282"/>
  <c r="FJ94" i="282" s="1"/>
  <c r="FI125" i="265"/>
  <c r="FJ160" i="282"/>
  <c r="FJ162" i="282" s="1"/>
  <c r="FI121" i="315"/>
  <c r="FK160" i="282" l="1"/>
  <c r="FK162" i="282" s="1"/>
  <c r="FJ121" i="315"/>
  <c r="FK92" i="282"/>
  <c r="FK94" i="282" s="1"/>
  <c r="FJ125" i="265"/>
  <c r="CL368" i="321"/>
  <c r="CL435" i="321"/>
  <c r="CL436" i="321" s="1"/>
  <c r="CL414" i="321"/>
  <c r="CL367" i="321"/>
  <c r="CL107" i="288"/>
  <c r="CL257" i="288"/>
  <c r="CL101" i="282"/>
  <c r="CL430" i="321"/>
  <c r="CL33" i="282"/>
  <c r="CK146" i="288"/>
  <c r="CK231" i="288"/>
  <c r="CK240" i="288" s="1"/>
  <c r="CK81" i="288"/>
  <c r="CK90" i="288" s="1"/>
  <c r="CK92" i="288" s="1"/>
  <c r="CK94" i="288" s="1"/>
  <c r="CI105" i="314"/>
  <c r="CI109" i="314" s="1"/>
  <c r="CI112" i="314" s="1"/>
  <c r="CI115" i="314" s="1"/>
  <c r="CI18" i="314"/>
  <c r="CI22" i="314" s="1"/>
  <c r="CI25" i="314" s="1"/>
  <c r="CL260" i="288"/>
  <c r="CL262" i="288" s="1"/>
  <c r="CL110" i="288"/>
  <c r="CL112" i="288" s="1"/>
  <c r="CL366" i="321"/>
  <c r="CL403" i="321"/>
  <c r="CL404" i="321" s="1"/>
  <c r="CL382" i="321"/>
  <c r="CL365" i="321"/>
  <c r="CL369" i="321" s="1"/>
  <c r="CL105" i="288"/>
  <c r="CL255" i="288"/>
  <c r="CL100" i="282"/>
  <c r="CL32" i="282"/>
  <c r="CL398" i="321"/>
  <c r="BZ54" i="315"/>
  <c r="BZ56" i="265"/>
  <c r="AR56" i="277" s="1"/>
  <c r="BZ53" i="265"/>
  <c r="AR53" i="277" s="1"/>
  <c r="BZ51" i="315"/>
  <c r="CA684" i="321"/>
  <c r="BZ119" i="315"/>
  <c r="BZ123" i="265"/>
  <c r="AR123" i="277" s="1"/>
  <c r="CA712" i="321" l="1"/>
  <c r="CA714" i="321" s="1"/>
  <c r="CA673" i="321"/>
  <c r="CA676" i="321" s="1"/>
  <c r="CA693" i="321"/>
  <c r="CA695" i="321" s="1"/>
  <c r="CA699" i="321" s="1"/>
  <c r="CL21" i="265"/>
  <c r="AX21" i="277" s="1"/>
  <c r="CL19" i="315"/>
  <c r="CL71" i="265"/>
  <c r="AX71" i="277" s="1"/>
  <c r="CL67" i="315"/>
  <c r="CL16" i="314"/>
  <c r="CL103" i="314"/>
  <c r="CL142" i="288"/>
  <c r="CL143" i="288" s="1"/>
  <c r="CL216" i="288"/>
  <c r="CL110" i="314"/>
  <c r="CL66" i="288"/>
  <c r="CL79" i="288"/>
  <c r="CL21" i="328"/>
  <c r="CL229" i="288"/>
  <c r="CL23" i="314"/>
  <c r="CL71" i="315"/>
  <c r="CL75" i="265"/>
  <c r="AX75" i="277" s="1"/>
  <c r="CM401" i="321"/>
  <c r="CL121" i="265"/>
  <c r="AX121" i="277" s="1"/>
  <c r="CL117" i="315"/>
  <c r="CL270" i="288"/>
  <c r="CL120" i="288"/>
  <c r="CI27" i="314"/>
  <c r="CH29" i="314" s="1"/>
  <c r="CI36" i="314"/>
  <c r="CI88" i="314"/>
  <c r="CI171" i="314"/>
  <c r="CI173" i="314" s="1"/>
  <c r="CL68" i="315"/>
  <c r="CL22" i="265"/>
  <c r="AX22" i="277" s="1"/>
  <c r="CL20" i="315"/>
  <c r="CL72" i="265"/>
  <c r="AX72" i="277" s="1"/>
  <c r="CL72" i="315"/>
  <c r="CL76" i="265"/>
  <c r="AX76" i="277" s="1"/>
  <c r="CM433" i="321"/>
  <c r="CL118" i="315"/>
  <c r="CL122" i="265"/>
  <c r="AX122" i="277" s="1"/>
  <c r="CL271" i="288"/>
  <c r="CL121" i="288"/>
  <c r="FL92" i="282"/>
  <c r="FL94" i="282" s="1"/>
  <c r="FK125" i="265"/>
  <c r="FL160" i="282"/>
  <c r="FL162" i="282" s="1"/>
  <c r="FK121" i="315"/>
  <c r="FM160" i="282" l="1"/>
  <c r="FM162" i="282" s="1"/>
  <c r="FL121" i="315"/>
  <c r="FM92" i="282"/>
  <c r="FM94" i="282" s="1"/>
  <c r="FL125" i="265"/>
  <c r="CM427" i="321"/>
  <c r="CM429" i="321" s="1"/>
  <c r="CM411" i="321"/>
  <c r="CM413" i="321" s="1"/>
  <c r="CM258" i="288"/>
  <c r="CM108" i="288"/>
  <c r="CI107" i="282"/>
  <c r="CI174" i="314"/>
  <c r="CI39" i="282"/>
  <c r="CH32" i="314"/>
  <c r="CL123" i="288"/>
  <c r="CL125" i="288" s="1"/>
  <c r="CL273" i="288"/>
  <c r="CL275" i="288" s="1"/>
  <c r="CM395" i="321"/>
  <c r="CM397" i="321" s="1"/>
  <c r="CM379" i="321"/>
  <c r="CM381" i="321" s="1"/>
  <c r="CM256" i="288"/>
  <c r="CM260" i="288" s="1"/>
  <c r="CM262" i="288" s="1"/>
  <c r="CM106" i="288"/>
  <c r="CM110" i="288" s="1"/>
  <c r="CM112" i="288" s="1"/>
  <c r="CL231" i="288"/>
  <c r="CL240" i="288" s="1"/>
  <c r="CL81" i="288"/>
  <c r="CL90" i="288" s="1"/>
  <c r="CL92" i="288" s="1"/>
  <c r="CL94" i="288" s="1"/>
  <c r="CL146" i="288"/>
  <c r="CJ105" i="314"/>
  <c r="CJ109" i="314" s="1"/>
  <c r="CJ112" i="314" s="1"/>
  <c r="CJ115" i="314" s="1"/>
  <c r="CJ18" i="314"/>
  <c r="CJ22" i="314" s="1"/>
  <c r="CJ25" i="314" s="1"/>
  <c r="CA679" i="321"/>
  <c r="CA680" i="321" s="1"/>
  <c r="CA442" i="321"/>
  <c r="CA443" i="321" s="1"/>
  <c r="CA102" i="282"/>
  <c r="CA34" i="282"/>
  <c r="CA715" i="321"/>
  <c r="CA26" i="265" l="1"/>
  <c r="CA24" i="315"/>
  <c r="CA84" i="265"/>
  <c r="CA80" i="315"/>
  <c r="CA46" i="288"/>
  <c r="CA446" i="321"/>
  <c r="CA447" i="321" s="1"/>
  <c r="CA529" i="321"/>
  <c r="CA485" i="321"/>
  <c r="CA196" i="288"/>
  <c r="CA687" i="321"/>
  <c r="CA688" i="321" s="1"/>
  <c r="CA681" i="321"/>
  <c r="CJ27" i="314"/>
  <c r="CI29" i="314" s="1"/>
  <c r="CJ171" i="314"/>
  <c r="CJ173" i="314" s="1"/>
  <c r="CJ36" i="314"/>
  <c r="CJ88" i="314"/>
  <c r="CM366" i="321"/>
  <c r="CM403" i="321"/>
  <c r="CM404" i="321" s="1"/>
  <c r="CM382" i="321"/>
  <c r="CM365" i="321"/>
  <c r="CM105" i="288"/>
  <c r="CM255" i="288"/>
  <c r="CM100" i="282"/>
  <c r="CM398" i="321"/>
  <c r="CM32" i="282"/>
  <c r="CI77" i="315"/>
  <c r="CI28" i="265"/>
  <c r="CI81" i="265"/>
  <c r="CI26" i="315"/>
  <c r="CM368" i="321"/>
  <c r="CM435" i="321"/>
  <c r="CM436" i="321" s="1"/>
  <c r="CM414" i="321"/>
  <c r="CM367" i="321"/>
  <c r="CM107" i="288"/>
  <c r="CM257" i="288"/>
  <c r="CM101" i="282"/>
  <c r="CM430" i="321"/>
  <c r="CM33" i="282"/>
  <c r="FN92" i="282"/>
  <c r="FN94" i="282" s="1"/>
  <c r="FM125" i="265"/>
  <c r="FN160" i="282"/>
  <c r="FN162" i="282" s="1"/>
  <c r="FM121" i="315"/>
  <c r="FO160" i="282" l="1"/>
  <c r="FO162" i="282" s="1"/>
  <c r="FN121" i="315"/>
  <c r="FO92" i="282"/>
  <c r="FO94" i="282" s="1"/>
  <c r="FN125" i="265"/>
  <c r="CM22" i="265"/>
  <c r="CM72" i="265"/>
  <c r="CM20" i="315"/>
  <c r="CM68" i="315"/>
  <c r="CM76" i="265"/>
  <c r="CM72" i="315"/>
  <c r="CN433" i="321"/>
  <c r="CM118" i="315"/>
  <c r="CM122" i="265"/>
  <c r="CM271" i="288"/>
  <c r="CM121" i="288"/>
  <c r="CM19" i="315"/>
  <c r="CM67" i="315"/>
  <c r="CM21" i="265"/>
  <c r="CM71" i="265"/>
  <c r="CM369" i="321"/>
  <c r="CM75" i="265"/>
  <c r="CM71" i="315"/>
  <c r="CN401" i="321"/>
  <c r="CM117" i="315"/>
  <c r="CM121" i="265"/>
  <c r="CM270" i="288"/>
  <c r="CM273" i="288" s="1"/>
  <c r="CM275" i="288" s="1"/>
  <c r="CM120" i="288"/>
  <c r="CM123" i="288" s="1"/>
  <c r="CM125" i="288" s="1"/>
  <c r="CJ107" i="282"/>
  <c r="CJ174" i="314"/>
  <c r="CJ39" i="282"/>
  <c r="CI32" i="314"/>
  <c r="CA51" i="315"/>
  <c r="CA53" i="265"/>
  <c r="CB684" i="321"/>
  <c r="CA119" i="315"/>
  <c r="CA123" i="265"/>
  <c r="CA56" i="265"/>
  <c r="CA54" i="315"/>
  <c r="CB712" i="321" l="1"/>
  <c r="CB714" i="321" s="1"/>
  <c r="CB673" i="321"/>
  <c r="CB676" i="321" s="1"/>
  <c r="CB693" i="321"/>
  <c r="CB695" i="321" s="1"/>
  <c r="CB699" i="321" s="1"/>
  <c r="CJ81" i="265"/>
  <c r="AW81" i="277" s="1"/>
  <c r="CJ26" i="315"/>
  <c r="CJ77" i="315"/>
  <c r="CJ28" i="265"/>
  <c r="AW28" i="277" s="1"/>
  <c r="CN395" i="321"/>
  <c r="CN397" i="321" s="1"/>
  <c r="CN379" i="321"/>
  <c r="CN381" i="321" s="1"/>
  <c r="CN256" i="288"/>
  <c r="CN106" i="288"/>
  <c r="CM16" i="314"/>
  <c r="CM103" i="314"/>
  <c r="CM79" i="288"/>
  <c r="CM142" i="288"/>
  <c r="CM143" i="288" s="1"/>
  <c r="CM21" i="328"/>
  <c r="CM216" i="288"/>
  <c r="CM23" i="314"/>
  <c r="CM66" i="288"/>
  <c r="CM110" i="314"/>
  <c r="CM229" i="288"/>
  <c r="CN427" i="321"/>
  <c r="CN429" i="321" s="1"/>
  <c r="CN411" i="321"/>
  <c r="CN413" i="321" s="1"/>
  <c r="CN108" i="288"/>
  <c r="CN258" i="288"/>
  <c r="FP92" i="282"/>
  <c r="FP94" i="282" s="1"/>
  <c r="FO125" i="265"/>
  <c r="FP160" i="282"/>
  <c r="FP162" i="282" s="1"/>
  <c r="FO121" i="315"/>
  <c r="FQ160" i="282" l="1"/>
  <c r="FQ162" i="282" s="1"/>
  <c r="FP121" i="315"/>
  <c r="FQ92" i="282"/>
  <c r="FQ94" i="282" s="1"/>
  <c r="FP125" i="265"/>
  <c r="CN368" i="321"/>
  <c r="CN435" i="321"/>
  <c r="CN436" i="321" s="1"/>
  <c r="CN414" i="321"/>
  <c r="CN367" i="321"/>
  <c r="CN101" i="282"/>
  <c r="CN33" i="282"/>
  <c r="CN107" i="288"/>
  <c r="CN257" i="288"/>
  <c r="CN430" i="321"/>
  <c r="CM231" i="288"/>
  <c r="CM240" i="288" s="1"/>
  <c r="CM146" i="288"/>
  <c r="CM81" i="288"/>
  <c r="CM90" i="288" s="1"/>
  <c r="CM92" i="288" s="1"/>
  <c r="CM94" i="288" s="1"/>
  <c r="CK105" i="314"/>
  <c r="CK109" i="314" s="1"/>
  <c r="CK112" i="314" s="1"/>
  <c r="CK115" i="314" s="1"/>
  <c r="CK18" i="314"/>
  <c r="CK22" i="314" s="1"/>
  <c r="CK25" i="314" s="1"/>
  <c r="CN110" i="288"/>
  <c r="CN112" i="288" s="1"/>
  <c r="CN260" i="288"/>
  <c r="CN262" i="288" s="1"/>
  <c r="CN366" i="321"/>
  <c r="CN403" i="321"/>
  <c r="CN404" i="321" s="1"/>
  <c r="CN382" i="321"/>
  <c r="CN365" i="321"/>
  <c r="CN369" i="321" s="1"/>
  <c r="CN100" i="282"/>
  <c r="CN398" i="321"/>
  <c r="CN32" i="282"/>
  <c r="CN105" i="288"/>
  <c r="CN255" i="288"/>
  <c r="CB442" i="321"/>
  <c r="CB443" i="321" s="1"/>
  <c r="CB679" i="321"/>
  <c r="CB680" i="321" s="1"/>
  <c r="CB102" i="282"/>
  <c r="CB34" i="282"/>
  <c r="CB715" i="321"/>
  <c r="CB26" i="265" l="1"/>
  <c r="AS26" i="277" s="1"/>
  <c r="CB24" i="315"/>
  <c r="CB84" i="265"/>
  <c r="AS84" i="277" s="1"/>
  <c r="CB80" i="315"/>
  <c r="CB687" i="321"/>
  <c r="CB688" i="321" s="1"/>
  <c r="CB681" i="321"/>
  <c r="CB46" i="288"/>
  <c r="CB446" i="321"/>
  <c r="CB447" i="321" s="1"/>
  <c r="CB529" i="321"/>
  <c r="CB485" i="321"/>
  <c r="CB196" i="288"/>
  <c r="CN19" i="315"/>
  <c r="CN21" i="265"/>
  <c r="AY21" i="277" s="1"/>
  <c r="CN67" i="315"/>
  <c r="CN71" i="265"/>
  <c r="AY71" i="277" s="1"/>
  <c r="CN16" i="314"/>
  <c r="CN21" i="328"/>
  <c r="CN103" i="314"/>
  <c r="CN79" i="288"/>
  <c r="CN142" i="288"/>
  <c r="CN143" i="288" s="1"/>
  <c r="CN110" i="314"/>
  <c r="CN229" i="288"/>
  <c r="CN23" i="314"/>
  <c r="CN216" i="288"/>
  <c r="CN66" i="288"/>
  <c r="CN75" i="265"/>
  <c r="AY75" i="277" s="1"/>
  <c r="CN71" i="315"/>
  <c r="CO401" i="321"/>
  <c r="CN120" i="288"/>
  <c r="CN121" i="265"/>
  <c r="AY121" i="277" s="1"/>
  <c r="CN117" i="315"/>
  <c r="CN270" i="288"/>
  <c r="CK27" i="314"/>
  <c r="CJ29" i="314" s="1"/>
  <c r="CK171" i="314"/>
  <c r="CK173" i="314" s="1"/>
  <c r="CK36" i="314"/>
  <c r="CK88" i="314"/>
  <c r="CN72" i="265"/>
  <c r="AY72" i="277" s="1"/>
  <c r="CN20" i="315"/>
  <c r="CN68" i="315"/>
  <c r="CN22" i="265"/>
  <c r="AY22" i="277" s="1"/>
  <c r="CN76" i="265"/>
  <c r="AY76" i="277" s="1"/>
  <c r="CN72" i="315"/>
  <c r="CO433" i="321"/>
  <c r="CN118" i="315"/>
  <c r="CN122" i="265"/>
  <c r="AY122" i="277" s="1"/>
  <c r="CN271" i="288"/>
  <c r="CN121" i="288"/>
  <c r="FR92" i="282"/>
  <c r="FR94" i="282" s="1"/>
  <c r="FQ125" i="265"/>
  <c r="FR160" i="282"/>
  <c r="FR162" i="282" s="1"/>
  <c r="FQ121" i="315"/>
  <c r="FS160" i="282" l="1"/>
  <c r="FS162" i="282" s="1"/>
  <c r="FR121" i="315"/>
  <c r="FS92" i="282"/>
  <c r="FS94" i="282" s="1"/>
  <c r="FR125" i="265"/>
  <c r="CO427" i="321"/>
  <c r="CO429" i="321" s="1"/>
  <c r="CO411" i="321"/>
  <c r="CO413" i="321" s="1"/>
  <c r="CO258" i="288"/>
  <c r="CO108" i="288"/>
  <c r="CK107" i="282"/>
  <c r="CK174" i="314"/>
  <c r="CK39" i="282"/>
  <c r="CJ32" i="314"/>
  <c r="CN273" i="288"/>
  <c r="CN275" i="288" s="1"/>
  <c r="CN123" i="288"/>
  <c r="CN125" i="288" s="1"/>
  <c r="CO395" i="321"/>
  <c r="CO397" i="321" s="1"/>
  <c r="CO379" i="321"/>
  <c r="CO381" i="321" s="1"/>
  <c r="CO106" i="288"/>
  <c r="CO110" i="288" s="1"/>
  <c r="CO112" i="288" s="1"/>
  <c r="CO256" i="288"/>
  <c r="CO260" i="288" s="1"/>
  <c r="CO262" i="288" s="1"/>
  <c r="CN231" i="288"/>
  <c r="CN240" i="288" s="1"/>
  <c r="CN146" i="288"/>
  <c r="CN81" i="288"/>
  <c r="CN90" i="288" s="1"/>
  <c r="CN92" i="288" s="1"/>
  <c r="CN94" i="288" s="1"/>
  <c r="CL105" i="314"/>
  <c r="CL109" i="314" s="1"/>
  <c r="CL112" i="314" s="1"/>
  <c r="CL115" i="314" s="1"/>
  <c r="CL18" i="314"/>
  <c r="CL22" i="314" s="1"/>
  <c r="CL25" i="314" s="1"/>
  <c r="CB54" i="315"/>
  <c r="CB56" i="265"/>
  <c r="AS56" i="277" s="1"/>
  <c r="CB53" i="265"/>
  <c r="AS53" i="277" s="1"/>
  <c r="CB51" i="315"/>
  <c r="CC684" i="321"/>
  <c r="CB119" i="315"/>
  <c r="CB123" i="265"/>
  <c r="AS123" i="277" s="1"/>
  <c r="CC673" i="321" l="1"/>
  <c r="CC676" i="321" s="1"/>
  <c r="CC712" i="321"/>
  <c r="CC714" i="321" s="1"/>
  <c r="CC693" i="321"/>
  <c r="CC695" i="321" s="1"/>
  <c r="CC699" i="321" s="1"/>
  <c r="CL27" i="314"/>
  <c r="CK29" i="314" s="1"/>
  <c r="CL171" i="314"/>
  <c r="CL173" i="314" s="1"/>
  <c r="CL88" i="314"/>
  <c r="CL36" i="314"/>
  <c r="CO366" i="321"/>
  <c r="CO403" i="321"/>
  <c r="CO404" i="321" s="1"/>
  <c r="CO382" i="321"/>
  <c r="CO365" i="321"/>
  <c r="CO100" i="282"/>
  <c r="CO32" i="282"/>
  <c r="CO398" i="321"/>
  <c r="CO105" i="288"/>
  <c r="CO255" i="288"/>
  <c r="CK81" i="265"/>
  <c r="CK77" i="315"/>
  <c r="CK26" i="315"/>
  <c r="CK28" i="265"/>
  <c r="CO368" i="321"/>
  <c r="CO435" i="321"/>
  <c r="CO436" i="321" s="1"/>
  <c r="CO414" i="321"/>
  <c r="CO367" i="321"/>
  <c r="CO107" i="288"/>
  <c r="CO101" i="282"/>
  <c r="CO257" i="288"/>
  <c r="CO430" i="321"/>
  <c r="CO33" i="282"/>
  <c r="FT92" i="282"/>
  <c r="FT94" i="282" s="1"/>
  <c r="FS125" i="265"/>
  <c r="FT160" i="282"/>
  <c r="FT162" i="282" s="1"/>
  <c r="FS121" i="315"/>
  <c r="FU160" i="282" l="1"/>
  <c r="FU162" i="282" s="1"/>
  <c r="FT121" i="315"/>
  <c r="FU92" i="282"/>
  <c r="FU94" i="282" s="1"/>
  <c r="FT125" i="265"/>
  <c r="CO20" i="315"/>
  <c r="CO68" i="315"/>
  <c r="CO72" i="265"/>
  <c r="CO22" i="265"/>
  <c r="CO76" i="265"/>
  <c r="CO72" i="315"/>
  <c r="CP433" i="321"/>
  <c r="CO122" i="265"/>
  <c r="CO271" i="288"/>
  <c r="CO121" i="288"/>
  <c r="CO118" i="315"/>
  <c r="CO71" i="265"/>
  <c r="CO19" i="315"/>
  <c r="CO67" i="315"/>
  <c r="CO21" i="265"/>
  <c r="CO369" i="321"/>
  <c r="CO71" i="315"/>
  <c r="CO75" i="265"/>
  <c r="CP401" i="321"/>
  <c r="CO270" i="288"/>
  <c r="CO273" i="288" s="1"/>
  <c r="CO275" i="288" s="1"/>
  <c r="CO120" i="288"/>
  <c r="CO123" i="288" s="1"/>
  <c r="CO125" i="288" s="1"/>
  <c r="CO117" i="315"/>
  <c r="CO121" i="265"/>
  <c r="CL107" i="282"/>
  <c r="CL39" i="282"/>
  <c r="CL174" i="314"/>
  <c r="CK32" i="314"/>
  <c r="CC102" i="282"/>
  <c r="CC34" i="282"/>
  <c r="CC715" i="321"/>
  <c r="CC442" i="321"/>
  <c r="CC443" i="321" s="1"/>
  <c r="CC679" i="321"/>
  <c r="CC680" i="321" s="1"/>
  <c r="CC687" i="321" l="1"/>
  <c r="CC688" i="321" s="1"/>
  <c r="CC681" i="321"/>
  <c r="CC46" i="288"/>
  <c r="CC446" i="321"/>
  <c r="CC447" i="321" s="1"/>
  <c r="CC529" i="321"/>
  <c r="CC485" i="321"/>
  <c r="CC196" i="288"/>
  <c r="CC26" i="265"/>
  <c r="CC24" i="315"/>
  <c r="CC84" i="265"/>
  <c r="CC80" i="315"/>
  <c r="CL77" i="315"/>
  <c r="CL28" i="265"/>
  <c r="AX28" i="277" s="1"/>
  <c r="CL81" i="265"/>
  <c r="AX81" i="277" s="1"/>
  <c r="CL26" i="315"/>
  <c r="CP395" i="321"/>
  <c r="CP397" i="321" s="1"/>
  <c r="CP379" i="321"/>
  <c r="CP381" i="321" s="1"/>
  <c r="CP106" i="288"/>
  <c r="CP256" i="288"/>
  <c r="CO16" i="314"/>
  <c r="CO21" i="328"/>
  <c r="CO66" i="288"/>
  <c r="CO23" i="314"/>
  <c r="CO229" i="288"/>
  <c r="CO110" i="314"/>
  <c r="CO216" i="288"/>
  <c r="CO142" i="288"/>
  <c r="CO143" i="288" s="1"/>
  <c r="CO103" i="314"/>
  <c r="CO79" i="288"/>
  <c r="CP427" i="321"/>
  <c r="CP429" i="321" s="1"/>
  <c r="CP411" i="321"/>
  <c r="CP413" i="321" s="1"/>
  <c r="CP258" i="288"/>
  <c r="CP108" i="288"/>
  <c r="FV92" i="282"/>
  <c r="FV94" i="282" s="1"/>
  <c r="FU125" i="265"/>
  <c r="FV160" i="282"/>
  <c r="FV162" i="282" s="1"/>
  <c r="FU121" i="315"/>
  <c r="FW160" i="282" l="1"/>
  <c r="FW162" i="282" s="1"/>
  <c r="FV121" i="315"/>
  <c r="FW92" i="282"/>
  <c r="FW94" i="282" s="1"/>
  <c r="FV125" i="265"/>
  <c r="CP368" i="321"/>
  <c r="CP435" i="321"/>
  <c r="CP436" i="321" s="1"/>
  <c r="CP414" i="321"/>
  <c r="CP367" i="321"/>
  <c r="CP257" i="288"/>
  <c r="CP101" i="282"/>
  <c r="CP430" i="321"/>
  <c r="CP33" i="282"/>
  <c r="CP107" i="288"/>
  <c r="CO81" i="288"/>
  <c r="CO90" i="288" s="1"/>
  <c r="CO92" i="288" s="1"/>
  <c r="CO94" i="288" s="1"/>
  <c r="CM105" i="314"/>
  <c r="CM109" i="314" s="1"/>
  <c r="CM112" i="314" s="1"/>
  <c r="CM115" i="314" s="1"/>
  <c r="CO146" i="288"/>
  <c r="CO231" i="288"/>
  <c r="CO240" i="288" s="1"/>
  <c r="CM18" i="314"/>
  <c r="CM22" i="314" s="1"/>
  <c r="CM25" i="314" s="1"/>
  <c r="CP260" i="288"/>
  <c r="CP262" i="288" s="1"/>
  <c r="CP110" i="288"/>
  <c r="CP112" i="288" s="1"/>
  <c r="CP366" i="321"/>
  <c r="CP403" i="321"/>
  <c r="CP404" i="321" s="1"/>
  <c r="CP382" i="321"/>
  <c r="CP365" i="321"/>
  <c r="CP369" i="321" s="1"/>
  <c r="CP255" i="288"/>
  <c r="CP105" i="288"/>
  <c r="CP100" i="282"/>
  <c r="CP398" i="321"/>
  <c r="CP32" i="282"/>
  <c r="CC56" i="265"/>
  <c r="CC54" i="315"/>
  <c r="CC53" i="265"/>
  <c r="CC51" i="315"/>
  <c r="CD684" i="321"/>
  <c r="CC119" i="315"/>
  <c r="CC123" i="265"/>
  <c r="CD673" i="321" l="1"/>
  <c r="CD676" i="321" s="1"/>
  <c r="CD712" i="321"/>
  <c r="CD714" i="321" s="1"/>
  <c r="CD693" i="321"/>
  <c r="CD695" i="321" s="1"/>
  <c r="CD699" i="321" s="1"/>
  <c r="CP21" i="265"/>
  <c r="AZ21" i="277" s="1"/>
  <c r="CP71" i="265"/>
  <c r="AZ71" i="277" s="1"/>
  <c r="CP19" i="315"/>
  <c r="CP67" i="315"/>
  <c r="CP16" i="314"/>
  <c r="CP216" i="288"/>
  <c r="CP110" i="314"/>
  <c r="CP66" i="288"/>
  <c r="CP79" i="288"/>
  <c r="CP21" i="328"/>
  <c r="CP229" i="288"/>
  <c r="CP103" i="314"/>
  <c r="CP142" i="288"/>
  <c r="CP143" i="288" s="1"/>
  <c r="CP23" i="314"/>
  <c r="CP71" i="315"/>
  <c r="CP75" i="265"/>
  <c r="AZ75" i="277" s="1"/>
  <c r="CQ401" i="321"/>
  <c r="CP120" i="288"/>
  <c r="CP117" i="315"/>
  <c r="CP121" i="265"/>
  <c r="AZ121" i="277" s="1"/>
  <c r="CP270" i="288"/>
  <c r="CM27" i="314"/>
  <c r="CL29" i="314" s="1"/>
  <c r="CM171" i="314"/>
  <c r="CM173" i="314" s="1"/>
  <c r="CM36" i="314"/>
  <c r="CM88" i="314"/>
  <c r="CP22" i="265"/>
  <c r="AZ22" i="277" s="1"/>
  <c r="CP20" i="315"/>
  <c r="CP68" i="315"/>
  <c r="CP72" i="265"/>
  <c r="AZ72" i="277" s="1"/>
  <c r="CP76" i="265"/>
  <c r="AZ76" i="277" s="1"/>
  <c r="CP72" i="315"/>
  <c r="CQ433" i="321"/>
  <c r="CP121" i="288"/>
  <c r="CP118" i="315"/>
  <c r="CP122" i="265"/>
  <c r="AZ122" i="277" s="1"/>
  <c r="CP271" i="288"/>
  <c r="FX92" i="282"/>
  <c r="FX94" i="282" s="1"/>
  <c r="FW125" i="265"/>
  <c r="FX160" i="282"/>
  <c r="FX162" i="282" s="1"/>
  <c r="FW121" i="315"/>
  <c r="FY160" i="282" l="1"/>
  <c r="FY162" i="282" s="1"/>
  <c r="FX121" i="315"/>
  <c r="FY92" i="282"/>
  <c r="FY94" i="282" s="1"/>
  <c r="FX125" i="265"/>
  <c r="CQ427" i="321"/>
  <c r="CQ429" i="321" s="1"/>
  <c r="CQ411" i="321"/>
  <c r="CQ413" i="321" s="1"/>
  <c r="CQ258" i="288"/>
  <c r="CQ108" i="288"/>
  <c r="CM107" i="282"/>
  <c r="CM174" i="314"/>
  <c r="CM39" i="282"/>
  <c r="CL32" i="314"/>
  <c r="CP273" i="288"/>
  <c r="CP275" i="288" s="1"/>
  <c r="CP123" i="288"/>
  <c r="CP125" i="288" s="1"/>
  <c r="CQ395" i="321"/>
  <c r="CQ397" i="321" s="1"/>
  <c r="CQ379" i="321"/>
  <c r="CQ381" i="321" s="1"/>
  <c r="CQ256" i="288"/>
  <c r="CQ260" i="288" s="1"/>
  <c r="CQ262" i="288" s="1"/>
  <c r="CQ106" i="288"/>
  <c r="CQ110" i="288" s="1"/>
  <c r="CQ112" i="288" s="1"/>
  <c r="CP146" i="288"/>
  <c r="CN105" i="314"/>
  <c r="CN109" i="314" s="1"/>
  <c r="CN112" i="314" s="1"/>
  <c r="CN115" i="314" s="1"/>
  <c r="CP231" i="288"/>
  <c r="CP240" i="288" s="1"/>
  <c r="CP81" i="288"/>
  <c r="CP90" i="288" s="1"/>
  <c r="CP92" i="288" s="1"/>
  <c r="CP94" i="288" s="1"/>
  <c r="CN18" i="314"/>
  <c r="CN22" i="314" s="1"/>
  <c r="CN25" i="314" s="1"/>
  <c r="CD102" i="282"/>
  <c r="CD34" i="282"/>
  <c r="CD715" i="321"/>
  <c r="CD442" i="321"/>
  <c r="CD443" i="321" s="1"/>
  <c r="CD679" i="321"/>
  <c r="CD680" i="321" s="1"/>
  <c r="CD687" i="321" l="1"/>
  <c r="CD688" i="321" s="1"/>
  <c r="CD681" i="321"/>
  <c r="CD46" i="288"/>
  <c r="CD529" i="321"/>
  <c r="CD485" i="321"/>
  <c r="CD446" i="321"/>
  <c r="CD447" i="321" s="1"/>
  <c r="CD196" i="288"/>
  <c r="CD26" i="265"/>
  <c r="AT26" i="277" s="1"/>
  <c r="CD24" i="315"/>
  <c r="CD84" i="265"/>
  <c r="AT84" i="277" s="1"/>
  <c r="CD80" i="315"/>
  <c r="CN27" i="314"/>
  <c r="CM29" i="314" s="1"/>
  <c r="CN171" i="314"/>
  <c r="CN173" i="314" s="1"/>
  <c r="CN36" i="314"/>
  <c r="CN88" i="314"/>
  <c r="CQ366" i="321"/>
  <c r="CQ403" i="321"/>
  <c r="CQ404" i="321" s="1"/>
  <c r="CQ382" i="321"/>
  <c r="CQ365" i="321"/>
  <c r="CQ255" i="288"/>
  <c r="CQ100" i="282"/>
  <c r="CQ105" i="288"/>
  <c r="CQ398" i="321"/>
  <c r="CQ32" i="282"/>
  <c r="CM26" i="315"/>
  <c r="CM77" i="315"/>
  <c r="CM28" i="265"/>
  <c r="CM81" i="265"/>
  <c r="CQ368" i="321"/>
  <c r="CQ435" i="321"/>
  <c r="CQ436" i="321" s="1"/>
  <c r="CQ414" i="321"/>
  <c r="CQ367" i="321"/>
  <c r="CQ257" i="288"/>
  <c r="CQ101" i="282"/>
  <c r="CQ107" i="288"/>
  <c r="CQ430" i="321"/>
  <c r="CQ33" i="282"/>
  <c r="FZ92" i="282"/>
  <c r="FZ94" i="282" s="1"/>
  <c r="FY125" i="265"/>
  <c r="FZ160" i="282"/>
  <c r="FZ162" i="282" s="1"/>
  <c r="FY121" i="315"/>
  <c r="GA160" i="282" l="1"/>
  <c r="GA162" i="282" s="1"/>
  <c r="FZ121" i="315"/>
  <c r="GA92" i="282"/>
  <c r="GA94" i="282" s="1"/>
  <c r="FZ125" i="265"/>
  <c r="CQ68" i="315"/>
  <c r="CQ22" i="265"/>
  <c r="CQ72" i="265"/>
  <c r="CQ20" i="315"/>
  <c r="CQ76" i="265"/>
  <c r="CQ72" i="315"/>
  <c r="CR433" i="321"/>
  <c r="CQ121" i="288"/>
  <c r="CQ118" i="315"/>
  <c r="CQ122" i="265"/>
  <c r="CQ271" i="288"/>
  <c r="CQ21" i="265"/>
  <c r="CQ71" i="265"/>
  <c r="CQ19" i="315"/>
  <c r="CQ67" i="315"/>
  <c r="CQ369" i="321"/>
  <c r="CQ71" i="315"/>
  <c r="CQ75" i="265"/>
  <c r="CR401" i="321"/>
  <c r="CQ120" i="288"/>
  <c r="CQ123" i="288" s="1"/>
  <c r="CQ125" i="288" s="1"/>
  <c r="CQ117" i="315"/>
  <c r="CQ121" i="265"/>
  <c r="CQ270" i="288"/>
  <c r="CQ273" i="288" s="1"/>
  <c r="CQ275" i="288" s="1"/>
  <c r="CN107" i="282"/>
  <c r="CN39" i="282"/>
  <c r="CN174" i="314"/>
  <c r="CM32" i="314"/>
  <c r="CD54" i="315"/>
  <c r="CD56" i="265"/>
  <c r="AT56" i="277" s="1"/>
  <c r="CD53" i="265"/>
  <c r="AT53" i="277" s="1"/>
  <c r="CD51" i="315"/>
  <c r="CE684" i="321"/>
  <c r="CD119" i="315"/>
  <c r="CD123" i="265"/>
  <c r="AT123" i="277" s="1"/>
  <c r="CE712" i="321" l="1"/>
  <c r="CE714" i="321" s="1"/>
  <c r="CE673" i="321"/>
  <c r="CE676" i="321" s="1"/>
  <c r="CE693" i="321"/>
  <c r="CE695" i="321" s="1"/>
  <c r="CE699" i="321" s="1"/>
  <c r="CN28" i="265"/>
  <c r="AY28" i="277" s="1"/>
  <c r="CN81" i="265"/>
  <c r="AY81" i="277" s="1"/>
  <c r="CN26" i="315"/>
  <c r="CN77" i="315"/>
  <c r="CR395" i="321"/>
  <c r="CR397" i="321" s="1"/>
  <c r="CR379" i="321"/>
  <c r="CR381" i="321" s="1"/>
  <c r="CR256" i="288"/>
  <c r="CR106" i="288"/>
  <c r="CQ16" i="314"/>
  <c r="CQ21" i="328"/>
  <c r="CQ110" i="314"/>
  <c r="CQ23" i="314"/>
  <c r="CQ103" i="314"/>
  <c r="CQ216" i="288"/>
  <c r="CQ79" i="288"/>
  <c r="CQ142" i="288"/>
  <c r="CQ143" i="288" s="1"/>
  <c r="CQ229" i="288"/>
  <c r="CQ66" i="288"/>
  <c r="CR427" i="321"/>
  <c r="CR429" i="321" s="1"/>
  <c r="CR411" i="321"/>
  <c r="CR413" i="321" s="1"/>
  <c r="CR108" i="288"/>
  <c r="CR258" i="288"/>
  <c r="GB92" i="282"/>
  <c r="GB94" i="282" s="1"/>
  <c r="GA125" i="265"/>
  <c r="GB160" i="282"/>
  <c r="GB162" i="282" s="1"/>
  <c r="GA121" i="315"/>
  <c r="GC160" i="282" l="1"/>
  <c r="GC162" i="282" s="1"/>
  <c r="GB121" i="315"/>
  <c r="GC92" i="282"/>
  <c r="GC94" i="282" s="1"/>
  <c r="GB125" i="265"/>
  <c r="CR368" i="321"/>
  <c r="CR435" i="321"/>
  <c r="CR436" i="321" s="1"/>
  <c r="CR414" i="321"/>
  <c r="CR367" i="321"/>
  <c r="CR107" i="288"/>
  <c r="CR257" i="288"/>
  <c r="CR101" i="282"/>
  <c r="CR33" i="282"/>
  <c r="CR430" i="321"/>
  <c r="CQ231" i="288"/>
  <c r="CQ240" i="288" s="1"/>
  <c r="CQ146" i="288"/>
  <c r="CQ81" i="288"/>
  <c r="CQ90" i="288" s="1"/>
  <c r="CQ92" i="288" s="1"/>
  <c r="CQ94" i="288" s="1"/>
  <c r="CO105" i="314"/>
  <c r="CO109" i="314" s="1"/>
  <c r="CO112" i="314" s="1"/>
  <c r="CO115" i="314" s="1"/>
  <c r="CO18" i="314"/>
  <c r="CO22" i="314" s="1"/>
  <c r="CO25" i="314" s="1"/>
  <c r="CR110" i="288"/>
  <c r="CR112" i="288" s="1"/>
  <c r="CR260" i="288"/>
  <c r="CR262" i="288" s="1"/>
  <c r="CR366" i="321"/>
  <c r="CR403" i="321"/>
  <c r="CR404" i="321" s="1"/>
  <c r="CR382" i="321"/>
  <c r="CR365" i="321"/>
  <c r="CR369" i="321" s="1"/>
  <c r="CR105" i="288"/>
  <c r="CR100" i="282"/>
  <c r="CR32" i="282"/>
  <c r="CR255" i="288"/>
  <c r="CR398" i="321"/>
  <c r="CE442" i="321"/>
  <c r="CE443" i="321" s="1"/>
  <c r="CE679" i="321"/>
  <c r="CE680" i="321" s="1"/>
  <c r="CE102" i="282"/>
  <c r="CE34" i="282"/>
  <c r="CE715" i="321"/>
  <c r="CE26" i="265" l="1"/>
  <c r="CE24" i="315"/>
  <c r="CE84" i="265"/>
  <c r="CE80" i="315"/>
  <c r="CE687" i="321"/>
  <c r="CE688" i="321" s="1"/>
  <c r="CE681" i="321"/>
  <c r="CE46" i="288"/>
  <c r="CE446" i="321"/>
  <c r="CE447" i="321" s="1"/>
  <c r="CE529" i="321"/>
  <c r="CE485" i="321"/>
  <c r="CE196" i="288"/>
  <c r="CR19" i="315"/>
  <c r="CR67" i="315"/>
  <c r="CR21" i="265"/>
  <c r="BA21" i="277" s="1"/>
  <c r="CR71" i="265"/>
  <c r="BA71" i="277" s="1"/>
  <c r="CR16" i="314"/>
  <c r="CR103" i="314"/>
  <c r="CR66" i="288"/>
  <c r="CR229" i="288"/>
  <c r="CR110" i="314"/>
  <c r="CR216" i="288"/>
  <c r="CR79" i="288"/>
  <c r="CR142" i="288"/>
  <c r="CR143" i="288" s="1"/>
  <c r="CR21" i="328"/>
  <c r="CR23" i="314"/>
  <c r="CR75" i="265"/>
  <c r="BA75" i="277" s="1"/>
  <c r="CR71" i="315"/>
  <c r="CS401" i="321"/>
  <c r="CR270" i="288"/>
  <c r="CR120" i="288"/>
  <c r="CR117" i="315"/>
  <c r="CR121" i="265"/>
  <c r="BA121" i="277" s="1"/>
  <c r="CO27" i="314"/>
  <c r="CN29" i="314" s="1"/>
  <c r="CO171" i="314"/>
  <c r="CO173" i="314" s="1"/>
  <c r="CO36" i="314"/>
  <c r="CO88" i="314"/>
  <c r="CR20" i="315"/>
  <c r="CR72" i="265"/>
  <c r="BA72" i="277" s="1"/>
  <c r="CR22" i="265"/>
  <c r="BA22" i="277" s="1"/>
  <c r="CR68" i="315"/>
  <c r="CR72" i="315"/>
  <c r="CR76" i="265"/>
  <c r="BA76" i="277" s="1"/>
  <c r="CS433" i="321"/>
  <c r="CR121" i="288"/>
  <c r="CR118" i="315"/>
  <c r="CR122" i="265"/>
  <c r="BA122" i="277" s="1"/>
  <c r="CR271" i="288"/>
  <c r="GD92" i="282"/>
  <c r="GD94" i="282" s="1"/>
  <c r="GC125" i="265"/>
  <c r="GD160" i="282"/>
  <c r="GD162" i="282" s="1"/>
  <c r="GC121" i="315"/>
  <c r="GE160" i="282" l="1"/>
  <c r="GE162" i="282" s="1"/>
  <c r="GD121" i="315"/>
  <c r="GE92" i="282"/>
  <c r="GE94" i="282" s="1"/>
  <c r="GD125" i="265"/>
  <c r="CS427" i="321"/>
  <c r="CS429" i="321" s="1"/>
  <c r="CS411" i="321"/>
  <c r="CS413" i="321" s="1"/>
  <c r="CS108" i="288"/>
  <c r="CS258" i="288"/>
  <c r="CO107" i="282"/>
  <c r="CO39" i="282"/>
  <c r="CO174" i="314"/>
  <c r="CN32" i="314"/>
  <c r="CR123" i="288"/>
  <c r="CR125" i="288" s="1"/>
  <c r="CR273" i="288"/>
  <c r="CR275" i="288" s="1"/>
  <c r="CS395" i="321"/>
  <c r="CS397" i="321" s="1"/>
  <c r="CS379" i="321"/>
  <c r="CS381" i="321" s="1"/>
  <c r="CS106" i="288"/>
  <c r="CS110" i="288" s="1"/>
  <c r="CS112" i="288" s="1"/>
  <c r="CS256" i="288"/>
  <c r="CS260" i="288" s="1"/>
  <c r="CS262" i="288" s="1"/>
  <c r="CR146" i="288"/>
  <c r="CR81" i="288"/>
  <c r="CR90" i="288" s="1"/>
  <c r="CR92" i="288" s="1"/>
  <c r="CR94" i="288" s="1"/>
  <c r="CR231" i="288"/>
  <c r="CR240" i="288" s="1"/>
  <c r="CP105" i="314"/>
  <c r="CP109" i="314" s="1"/>
  <c r="CP112" i="314" s="1"/>
  <c r="CP115" i="314" s="1"/>
  <c r="CP18" i="314"/>
  <c r="CP22" i="314" s="1"/>
  <c r="CP25" i="314" s="1"/>
  <c r="CE56" i="265"/>
  <c r="CE54" i="315"/>
  <c r="CE51" i="315"/>
  <c r="CE53" i="265"/>
  <c r="CF684" i="321"/>
  <c r="CE119" i="315"/>
  <c r="CE123" i="265"/>
  <c r="CF712" i="321" l="1"/>
  <c r="CF714" i="321" s="1"/>
  <c r="CF673" i="321"/>
  <c r="CF676" i="321" s="1"/>
  <c r="CF693" i="321"/>
  <c r="CF695" i="321" s="1"/>
  <c r="CF699" i="321" s="1"/>
  <c r="CP27" i="314"/>
  <c r="CO29" i="314" s="1"/>
  <c r="CP88" i="314"/>
  <c r="CP171" i="314"/>
  <c r="CP173" i="314" s="1"/>
  <c r="CP36" i="314"/>
  <c r="CS366" i="321"/>
  <c r="CS403" i="321"/>
  <c r="CS404" i="321" s="1"/>
  <c r="CS382" i="321"/>
  <c r="CS365" i="321"/>
  <c r="CS105" i="288"/>
  <c r="CS100" i="282"/>
  <c r="CS398" i="321"/>
  <c r="CS32" i="282"/>
  <c r="CS255" i="288"/>
  <c r="CO26" i="315"/>
  <c r="CO77" i="315"/>
  <c r="CO81" i="265"/>
  <c r="CO28" i="265"/>
  <c r="CS368" i="321"/>
  <c r="CS435" i="321"/>
  <c r="CS436" i="321" s="1"/>
  <c r="CS414" i="321"/>
  <c r="CS367" i="321"/>
  <c r="CS107" i="288"/>
  <c r="CS257" i="288"/>
  <c r="CS101" i="282"/>
  <c r="CS33" i="282"/>
  <c r="CS430" i="321"/>
  <c r="GF92" i="282"/>
  <c r="GF94" i="282" s="1"/>
  <c r="GE125" i="265"/>
  <c r="GF160" i="282"/>
  <c r="GF162" i="282" s="1"/>
  <c r="GE121" i="315"/>
  <c r="GG160" i="282" l="1"/>
  <c r="GG162" i="282" s="1"/>
  <c r="GF121" i="315"/>
  <c r="GG92" i="282"/>
  <c r="GG94" i="282" s="1"/>
  <c r="GF125" i="265"/>
  <c r="CS68" i="315"/>
  <c r="CS20" i="315"/>
  <c r="CS22" i="265"/>
  <c r="CS72" i="265"/>
  <c r="CS72" i="315"/>
  <c r="CS76" i="265"/>
  <c r="CT433" i="321"/>
  <c r="CS118" i="315"/>
  <c r="CS122" i="265"/>
  <c r="CS271" i="288"/>
  <c r="CS121" i="288"/>
  <c r="CS71" i="265"/>
  <c r="CS21" i="265"/>
  <c r="CS19" i="315"/>
  <c r="CS67" i="315"/>
  <c r="CS369" i="321"/>
  <c r="CS71" i="315"/>
  <c r="CS75" i="265"/>
  <c r="CT401" i="321"/>
  <c r="CS120" i="288"/>
  <c r="CS123" i="288" s="1"/>
  <c r="CS125" i="288" s="1"/>
  <c r="CS117" i="315"/>
  <c r="CS270" i="288"/>
  <c r="CS273" i="288" s="1"/>
  <c r="CS275" i="288" s="1"/>
  <c r="CS121" i="265"/>
  <c r="CP107" i="282"/>
  <c r="CP174" i="314"/>
  <c r="CP39" i="282"/>
  <c r="CO32" i="314"/>
  <c r="CF442" i="321"/>
  <c r="CF443" i="321" s="1"/>
  <c r="CF679" i="321"/>
  <c r="CF680" i="321" s="1"/>
  <c r="CF102" i="282"/>
  <c r="CF34" i="282"/>
  <c r="CF715" i="321"/>
  <c r="CF26" i="265" l="1"/>
  <c r="AU26" i="277" s="1"/>
  <c r="CF24" i="315"/>
  <c r="CF84" i="265"/>
  <c r="AU84" i="277" s="1"/>
  <c r="CF80" i="315"/>
  <c r="CF687" i="321"/>
  <c r="CF688" i="321" s="1"/>
  <c r="CF681" i="321"/>
  <c r="CF46" i="288"/>
  <c r="CF446" i="321"/>
  <c r="CF447" i="321" s="1"/>
  <c r="CF529" i="321"/>
  <c r="CF485" i="321"/>
  <c r="CF196" i="288"/>
  <c r="CP81" i="265"/>
  <c r="AZ81" i="277" s="1"/>
  <c r="CP28" i="265"/>
  <c r="AZ28" i="277" s="1"/>
  <c r="CP26" i="315"/>
  <c r="CP77" i="315"/>
  <c r="CT395" i="321"/>
  <c r="CT397" i="321" s="1"/>
  <c r="CT379" i="321"/>
  <c r="CT381" i="321" s="1"/>
  <c r="CT106" i="288"/>
  <c r="CT256" i="288"/>
  <c r="CS16" i="314"/>
  <c r="CS23" i="314"/>
  <c r="CS103" i="314"/>
  <c r="CS66" i="288"/>
  <c r="CS21" i="328"/>
  <c r="CS216" i="288"/>
  <c r="CS110" i="314"/>
  <c r="CS79" i="288"/>
  <c r="CS142" i="288"/>
  <c r="CS143" i="288" s="1"/>
  <c r="CS229" i="288"/>
  <c r="CT427" i="321"/>
  <c r="CT429" i="321" s="1"/>
  <c r="CT411" i="321"/>
  <c r="CT413" i="321" s="1"/>
  <c r="CT108" i="288"/>
  <c r="CT258" i="288"/>
  <c r="GH92" i="282"/>
  <c r="GH94" i="282" s="1"/>
  <c r="GG125" i="265"/>
  <c r="GH160" i="282"/>
  <c r="GH162" i="282" s="1"/>
  <c r="GG121" i="315"/>
  <c r="GI160" i="282" l="1"/>
  <c r="GI162" i="282" s="1"/>
  <c r="GH121" i="315"/>
  <c r="GI92" i="282"/>
  <c r="GI94" i="282" s="1"/>
  <c r="GH125" i="265"/>
  <c r="CT368" i="321"/>
  <c r="CT435" i="321"/>
  <c r="CT436" i="321" s="1"/>
  <c r="CT414" i="321"/>
  <c r="CT367" i="321"/>
  <c r="CT107" i="288"/>
  <c r="CT257" i="288"/>
  <c r="CT101" i="282"/>
  <c r="CT33" i="282"/>
  <c r="CT430" i="321"/>
  <c r="CS231" i="288"/>
  <c r="CS240" i="288" s="1"/>
  <c r="CS146" i="288"/>
  <c r="CS81" i="288"/>
  <c r="CS90" i="288" s="1"/>
  <c r="CS92" i="288" s="1"/>
  <c r="CS94" i="288" s="1"/>
  <c r="CQ105" i="314"/>
  <c r="CQ109" i="314" s="1"/>
  <c r="CQ112" i="314" s="1"/>
  <c r="CQ115" i="314" s="1"/>
  <c r="CQ18" i="314"/>
  <c r="CQ22" i="314" s="1"/>
  <c r="CQ25" i="314" s="1"/>
  <c r="CT260" i="288"/>
  <c r="CT262" i="288" s="1"/>
  <c r="CT110" i="288"/>
  <c r="CT112" i="288" s="1"/>
  <c r="CT366" i="321"/>
  <c r="CT403" i="321"/>
  <c r="CT404" i="321" s="1"/>
  <c r="CT382" i="321"/>
  <c r="CT365" i="321"/>
  <c r="CT369" i="321" s="1"/>
  <c r="CT105" i="288"/>
  <c r="CT255" i="288"/>
  <c r="CT100" i="282"/>
  <c r="CT32" i="282"/>
  <c r="CT398" i="321"/>
  <c r="CF54" i="315"/>
  <c r="CF56" i="265"/>
  <c r="AU56" i="277" s="1"/>
  <c r="CF53" i="265"/>
  <c r="AU53" i="277" s="1"/>
  <c r="CF51" i="315"/>
  <c r="CG684" i="321"/>
  <c r="CF119" i="315"/>
  <c r="CF123" i="265"/>
  <c r="AU123" i="277" s="1"/>
  <c r="CG712" i="321" l="1"/>
  <c r="CG714" i="321" s="1"/>
  <c r="CG673" i="321"/>
  <c r="CG676" i="321" s="1"/>
  <c r="CG693" i="321"/>
  <c r="CG695" i="321" s="1"/>
  <c r="CG699" i="321" s="1"/>
  <c r="CT19" i="315"/>
  <c r="CT71" i="265"/>
  <c r="BB71" i="277" s="1"/>
  <c r="H71" i="277" s="1"/>
  <c r="CT21" i="265"/>
  <c r="BB21" i="277" s="1"/>
  <c r="H21" i="277" s="1"/>
  <c r="CT67" i="315"/>
  <c r="CT16" i="314"/>
  <c r="CT23" i="314"/>
  <c r="CT66" i="288"/>
  <c r="CT79" i="288"/>
  <c r="CT142" i="288"/>
  <c r="CT143" i="288" s="1"/>
  <c r="CT103" i="314"/>
  <c r="CT216" i="288"/>
  <c r="CT21" i="328"/>
  <c r="CT110" i="314"/>
  <c r="CT229" i="288"/>
  <c r="CT75" i="265"/>
  <c r="BB75" i="277" s="1"/>
  <c r="H75" i="277" s="1"/>
  <c r="CT71" i="315"/>
  <c r="CU401" i="321"/>
  <c r="CT117" i="315"/>
  <c r="CT270" i="288"/>
  <c r="CT120" i="288"/>
  <c r="CT121" i="265"/>
  <c r="BB121" i="277" s="1"/>
  <c r="CQ27" i="314"/>
  <c r="CP29" i="314" s="1"/>
  <c r="CQ88" i="314"/>
  <c r="CQ171" i="314"/>
  <c r="CQ173" i="314" s="1"/>
  <c r="CQ36" i="314"/>
  <c r="CT22" i="265"/>
  <c r="BB22" i="277" s="1"/>
  <c r="H22" i="277" s="1"/>
  <c r="CT72" i="265"/>
  <c r="BB72" i="277" s="1"/>
  <c r="H72" i="277" s="1"/>
  <c r="CT68" i="315"/>
  <c r="CT20" i="315"/>
  <c r="CT76" i="265"/>
  <c r="BB76" i="277" s="1"/>
  <c r="H76" i="277" s="1"/>
  <c r="CT72" i="315"/>
  <c r="CU433" i="321"/>
  <c r="CT121" i="288"/>
  <c r="CT118" i="315"/>
  <c r="CT122" i="265"/>
  <c r="BB122" i="277" s="1"/>
  <c r="CT271" i="288"/>
  <c r="GJ92" i="282"/>
  <c r="GJ94" i="282" s="1"/>
  <c r="GJ125" i="265" s="1"/>
  <c r="GI125" i="265"/>
  <c r="GJ160" i="282"/>
  <c r="GJ162" i="282" s="1"/>
  <c r="GJ121" i="315" s="1"/>
  <c r="GI121" i="315"/>
  <c r="CU427" i="321" l="1"/>
  <c r="CU429" i="321" s="1"/>
  <c r="CU411" i="321"/>
  <c r="CU413" i="321" s="1"/>
  <c r="CU108" i="288"/>
  <c r="CU258" i="288"/>
  <c r="CQ107" i="282"/>
  <c r="CQ174" i="314"/>
  <c r="CQ39" i="282"/>
  <c r="CP32" i="314"/>
  <c r="CT123" i="288"/>
  <c r="CT125" i="288" s="1"/>
  <c r="CT273" i="288"/>
  <c r="CT275" i="288" s="1"/>
  <c r="CU395" i="321"/>
  <c r="CU397" i="321" s="1"/>
  <c r="CU379" i="321"/>
  <c r="CU381" i="321" s="1"/>
  <c r="CU106" i="288"/>
  <c r="CU110" i="288" s="1"/>
  <c r="CU112" i="288" s="1"/>
  <c r="CU256" i="288"/>
  <c r="CU260" i="288" s="1"/>
  <c r="CU262" i="288" s="1"/>
  <c r="CT231" i="288"/>
  <c r="CT240" i="288" s="1"/>
  <c r="CR105" i="314"/>
  <c r="CR109" i="314" s="1"/>
  <c r="CR112" i="314" s="1"/>
  <c r="CR115" i="314" s="1"/>
  <c r="CT146" i="288"/>
  <c r="CT81" i="288"/>
  <c r="CT90" i="288" s="1"/>
  <c r="CT92" i="288" s="1"/>
  <c r="CT94" i="288" s="1"/>
  <c r="CR18" i="314"/>
  <c r="CR22" i="314" s="1"/>
  <c r="CR25" i="314" s="1"/>
  <c r="CG442" i="321"/>
  <c r="CG443" i="321" s="1"/>
  <c r="CG679" i="321"/>
  <c r="CG680" i="321" s="1"/>
  <c r="CG102" i="282"/>
  <c r="CG715" i="321"/>
  <c r="CG34" i="282"/>
  <c r="CG26" i="265" l="1"/>
  <c r="CG24" i="315"/>
  <c r="CG84" i="265"/>
  <c r="CG80" i="315"/>
  <c r="CG687" i="321"/>
  <c r="CG688" i="321" s="1"/>
  <c r="CG681" i="321"/>
  <c r="CG46" i="288"/>
  <c r="CG446" i="321"/>
  <c r="CG447" i="321" s="1"/>
  <c r="CG529" i="321"/>
  <c r="CG485" i="321"/>
  <c r="CG196" i="288"/>
  <c r="CR27" i="314"/>
  <c r="CQ29" i="314" s="1"/>
  <c r="CR171" i="314"/>
  <c r="CR173" i="314" s="1"/>
  <c r="CR36" i="314"/>
  <c r="CR88" i="314"/>
  <c r="CU366" i="321"/>
  <c r="CU403" i="321"/>
  <c r="CU404" i="321" s="1"/>
  <c r="CU382" i="321"/>
  <c r="CU365" i="321"/>
  <c r="CU105" i="288"/>
  <c r="CU255" i="288"/>
  <c r="CU100" i="282"/>
  <c r="CU398" i="321"/>
  <c r="CU32" i="282"/>
  <c r="CQ77" i="315"/>
  <c r="CQ81" i="265"/>
  <c r="CQ28" i="265"/>
  <c r="CQ26" i="315"/>
  <c r="CU368" i="321"/>
  <c r="CU435" i="321"/>
  <c r="CU436" i="321" s="1"/>
  <c r="CU414" i="321"/>
  <c r="CU367" i="321"/>
  <c r="CU107" i="288"/>
  <c r="CU257" i="288"/>
  <c r="CU101" i="282"/>
  <c r="CU430" i="321"/>
  <c r="CU33" i="282"/>
  <c r="CU72" i="265" l="1"/>
  <c r="CU68" i="315"/>
  <c r="CU20" i="315"/>
  <c r="CU22" i="265"/>
  <c r="CU72" i="315"/>
  <c r="CU76" i="265"/>
  <c r="CV433" i="321"/>
  <c r="CU271" i="288"/>
  <c r="CU121" i="288"/>
  <c r="CU118" i="315"/>
  <c r="CU122" i="265"/>
  <c r="CU71" i="265"/>
  <c r="CU19" i="315"/>
  <c r="CU67" i="315"/>
  <c r="CU21" i="265"/>
  <c r="CU369" i="321"/>
  <c r="CU71" i="315"/>
  <c r="CU75" i="265"/>
  <c r="CV401" i="321"/>
  <c r="CU270" i="288"/>
  <c r="CU273" i="288" s="1"/>
  <c r="CU275" i="288" s="1"/>
  <c r="CU120" i="288"/>
  <c r="CU123" i="288" s="1"/>
  <c r="CU125" i="288" s="1"/>
  <c r="CU117" i="315"/>
  <c r="CU121" i="265"/>
  <c r="CR107" i="282"/>
  <c r="CR39" i="282"/>
  <c r="CR174" i="314"/>
  <c r="CQ32" i="314"/>
  <c r="CG56" i="265"/>
  <c r="CG54" i="315"/>
  <c r="CG53" i="265"/>
  <c r="CG51" i="315"/>
  <c r="CH684" i="321"/>
  <c r="CG119" i="315"/>
  <c r="CG123" i="265"/>
  <c r="CH712" i="321" l="1"/>
  <c r="CH714" i="321" s="1"/>
  <c r="CH673" i="321"/>
  <c r="CH676" i="321" s="1"/>
  <c r="CH693" i="321"/>
  <c r="CH695" i="321" s="1"/>
  <c r="CH699" i="321" s="1"/>
  <c r="CR28" i="265"/>
  <c r="BA28" i="277" s="1"/>
  <c r="CR81" i="265"/>
  <c r="BA81" i="277" s="1"/>
  <c r="CR77" i="315"/>
  <c r="CR26" i="315"/>
  <c r="CV395" i="321"/>
  <c r="CV397" i="321" s="1"/>
  <c r="CV379" i="321"/>
  <c r="CV381" i="321" s="1"/>
  <c r="CV106" i="288"/>
  <c r="CV256" i="288"/>
  <c r="CU16" i="314"/>
  <c r="CU21" i="328"/>
  <c r="CU142" i="288"/>
  <c r="CU143" i="288" s="1"/>
  <c r="CU216" i="288"/>
  <c r="CU66" i="288"/>
  <c r="CU103" i="314"/>
  <c r="CU23" i="314"/>
  <c r="CU79" i="288"/>
  <c r="CU110" i="314"/>
  <c r="CU229" i="288"/>
  <c r="CV427" i="321"/>
  <c r="CV429" i="321" s="1"/>
  <c r="CV411" i="321"/>
  <c r="CV413" i="321" s="1"/>
  <c r="CV108" i="288"/>
  <c r="CV258" i="288"/>
  <c r="CV368" i="321" l="1"/>
  <c r="CV435" i="321"/>
  <c r="CV436" i="321" s="1"/>
  <c r="CV414" i="321"/>
  <c r="H413" i="321"/>
  <c r="CV367" i="321"/>
  <c r="CV101" i="282"/>
  <c r="CV107" i="288"/>
  <c r="CV430" i="321"/>
  <c r="CV33" i="282"/>
  <c r="CV257" i="288"/>
  <c r="H429" i="321"/>
  <c r="CU231" i="288"/>
  <c r="CU240" i="288" s="1"/>
  <c r="CU81" i="288"/>
  <c r="CU90" i="288" s="1"/>
  <c r="CU92" i="288" s="1"/>
  <c r="CU94" i="288" s="1"/>
  <c r="CS105" i="314"/>
  <c r="CS109" i="314" s="1"/>
  <c r="CS112" i="314" s="1"/>
  <c r="CS115" i="314" s="1"/>
  <c r="CU146" i="288"/>
  <c r="CS18" i="314"/>
  <c r="CS22" i="314" s="1"/>
  <c r="CS25" i="314" s="1"/>
  <c r="CV260" i="288"/>
  <c r="CV262" i="288" s="1"/>
  <c r="CV110" i="288"/>
  <c r="CV112" i="288" s="1"/>
  <c r="CV366" i="321"/>
  <c r="CV382" i="321"/>
  <c r="CV403" i="321"/>
  <c r="CV404" i="321" s="1"/>
  <c r="H381" i="321"/>
  <c r="CV365" i="321"/>
  <c r="CV369" i="321" s="1"/>
  <c r="CV100" i="282"/>
  <c r="CV32" i="282"/>
  <c r="CV105" i="288"/>
  <c r="CV255" i="288"/>
  <c r="CV398" i="321"/>
  <c r="H397" i="321"/>
  <c r="CH442" i="321"/>
  <c r="CH443" i="321" s="1"/>
  <c r="CH679" i="321"/>
  <c r="CH680" i="321" s="1"/>
  <c r="CH102" i="282"/>
  <c r="CH715" i="321"/>
  <c r="CH34" i="282"/>
  <c r="CH26" i="265" l="1"/>
  <c r="AV26" i="277" s="1"/>
  <c r="CH24" i="315"/>
  <c r="CH84" i="265"/>
  <c r="AV84" i="277" s="1"/>
  <c r="CH80" i="315"/>
  <c r="CH687" i="321"/>
  <c r="CH688" i="321" s="1"/>
  <c r="CH681" i="321"/>
  <c r="CH46" i="288"/>
  <c r="CH529" i="321"/>
  <c r="CH485" i="321"/>
  <c r="CH446" i="321"/>
  <c r="CH447" i="321" s="1"/>
  <c r="CH196" i="288"/>
  <c r="H100" i="282"/>
  <c r="H255" i="288"/>
  <c r="H32" i="282"/>
  <c r="H365" i="321"/>
  <c r="H105" i="288"/>
  <c r="CV19" i="315"/>
  <c r="CV67" i="315"/>
  <c r="CV21" i="265"/>
  <c r="CV71" i="265"/>
  <c r="H398" i="321"/>
  <c r="CV16" i="314"/>
  <c r="CV110" i="314"/>
  <c r="CV103" i="314"/>
  <c r="CV66" i="288"/>
  <c r="CV23" i="314"/>
  <c r="CV21" i="328"/>
  <c r="CV216" i="288"/>
  <c r="CV142" i="288"/>
  <c r="CV143" i="288" s="1"/>
  <c r="CV229" i="288"/>
  <c r="CV231" i="288" s="1"/>
  <c r="CV240" i="288" s="1"/>
  <c r="CV79" i="288"/>
  <c r="CV81" i="288" s="1"/>
  <c r="CV90" i="288" s="1"/>
  <c r="CV92" i="288" s="1"/>
  <c r="CV94" i="288" s="1"/>
  <c r="H369" i="321"/>
  <c r="H403" i="321"/>
  <c r="H366" i="321"/>
  <c r="CV117" i="315"/>
  <c r="CV121" i="265"/>
  <c r="CV270" i="288"/>
  <c r="CV120" i="288"/>
  <c r="CV71" i="315"/>
  <c r="CV75" i="265"/>
  <c r="H382" i="321"/>
  <c r="CS27" i="314"/>
  <c r="CR29" i="314" s="1"/>
  <c r="CS88" i="314"/>
  <c r="CS171" i="314"/>
  <c r="CS173" i="314" s="1"/>
  <c r="CS36" i="314"/>
  <c r="H101" i="282"/>
  <c r="H33" i="282"/>
  <c r="H367" i="321"/>
  <c r="H107" i="288"/>
  <c r="H257" i="288"/>
  <c r="CV72" i="265"/>
  <c r="CV22" i="265"/>
  <c r="CV68" i="315"/>
  <c r="CV20" i="315"/>
  <c r="H430" i="321"/>
  <c r="H368" i="321"/>
  <c r="H435" i="321"/>
  <c r="CV76" i="265"/>
  <c r="CV72" i="315"/>
  <c r="H414" i="321"/>
  <c r="CV118" i="315"/>
  <c r="CV122" i="265"/>
  <c r="CV271" i="288"/>
  <c r="CV121" i="288"/>
  <c r="H76" i="265" l="1"/>
  <c r="H151" i="269" s="1"/>
  <c r="K151" i="269" s="1"/>
  <c r="H72" i="315"/>
  <c r="H20" i="315"/>
  <c r="H72" i="265"/>
  <c r="H147" i="269" s="1"/>
  <c r="K147" i="269" s="1"/>
  <c r="H68" i="315"/>
  <c r="H22" i="265"/>
  <c r="H99" i="269" s="1"/>
  <c r="K99" i="269" s="1"/>
  <c r="CS107" i="282"/>
  <c r="CS39" i="282"/>
  <c r="CS174" i="314"/>
  <c r="CR32" i="314"/>
  <c r="H71" i="315"/>
  <c r="H75" i="265"/>
  <c r="H150" i="269" s="1"/>
  <c r="K150" i="269" s="1"/>
  <c r="CV123" i="288"/>
  <c r="CV125" i="288" s="1"/>
  <c r="CV273" i="288"/>
  <c r="CV275" i="288" s="1"/>
  <c r="H110" i="314"/>
  <c r="H16" i="314"/>
  <c r="H79" i="288"/>
  <c r="H142" i="288"/>
  <c r="H103" i="314"/>
  <c r="H216" i="288"/>
  <c r="H23" i="314"/>
  <c r="H66" i="288"/>
  <c r="H21" i="328"/>
  <c r="H229" i="288"/>
  <c r="CV146" i="288"/>
  <c r="F149" i="288" s="1"/>
  <c r="H143" i="288"/>
  <c r="H146" i="288" s="1"/>
  <c r="CU105" i="314"/>
  <c r="CU109" i="314" s="1"/>
  <c r="CU112" i="314" s="1"/>
  <c r="CU115" i="314" s="1"/>
  <c r="CT105" i="314"/>
  <c r="CT109" i="314" s="1"/>
  <c r="CT112" i="314" s="1"/>
  <c r="CT115" i="314" s="1"/>
  <c r="CU18" i="314"/>
  <c r="CU22" i="314" s="1"/>
  <c r="CU25" i="314" s="1"/>
  <c r="CT18" i="314"/>
  <c r="CT22" i="314" s="1"/>
  <c r="CT25" i="314" s="1"/>
  <c r="H71" i="265"/>
  <c r="H146" i="269" s="1"/>
  <c r="K146" i="269" s="1"/>
  <c r="H67" i="315"/>
  <c r="H19" i="315"/>
  <c r="H21" i="265"/>
  <c r="H98" i="269" s="1"/>
  <c r="K98" i="269" s="1"/>
  <c r="CH54" i="315"/>
  <c r="CH56" i="265"/>
  <c r="AV56" i="277" s="1"/>
  <c r="CH53" i="265"/>
  <c r="AV53" i="277" s="1"/>
  <c r="CH51" i="315"/>
  <c r="CI684" i="321"/>
  <c r="CH119" i="315"/>
  <c r="CH123" i="265"/>
  <c r="AV123" i="277" s="1"/>
  <c r="CI712" i="321" l="1"/>
  <c r="CI714" i="321" s="1"/>
  <c r="CI673" i="321"/>
  <c r="CI676" i="321" s="1"/>
  <c r="CI693" i="321"/>
  <c r="CI695" i="321" s="1"/>
  <c r="CI699" i="321" s="1"/>
  <c r="J98" i="269"/>
  <c r="L98" i="269"/>
  <c r="L146" i="269"/>
  <c r="J146" i="269"/>
  <c r="CT27" i="314"/>
  <c r="CS29" i="314" s="1"/>
  <c r="CT171" i="314"/>
  <c r="CT173" i="314" s="1"/>
  <c r="CT88" i="314"/>
  <c r="CT36" i="314"/>
  <c r="CU27" i="314"/>
  <c r="CT29" i="314" s="1"/>
  <c r="CT32" i="314" s="1"/>
  <c r="CU171" i="314"/>
  <c r="CU173" i="314" s="1"/>
  <c r="CU36" i="314"/>
  <c r="CU88" i="314"/>
  <c r="H37" i="269"/>
  <c r="K37" i="269" s="1"/>
  <c r="F112" i="328"/>
  <c r="M20" i="326" s="1"/>
  <c r="J150" i="269"/>
  <c r="L150" i="269"/>
  <c r="CS77" i="315"/>
  <c r="CS26" i="315"/>
  <c r="CS28" i="265"/>
  <c r="CS81" i="265"/>
  <c r="J99" i="269"/>
  <c r="L99" i="269"/>
  <c r="L147" i="269"/>
  <c r="J147" i="269"/>
  <c r="L151" i="269"/>
  <c r="J151" i="269"/>
  <c r="L37" i="269" l="1"/>
  <c r="J37" i="269"/>
  <c r="CU107" i="282"/>
  <c r="CU39" i="282"/>
  <c r="CU174" i="314"/>
  <c r="CT107" i="282"/>
  <c r="CT39" i="282"/>
  <c r="CT174" i="314"/>
  <c r="H173" i="314"/>
  <c r="CS32" i="314"/>
  <c r="F33" i="314" s="1"/>
  <c r="H29" i="314"/>
  <c r="H32" i="314" s="1"/>
  <c r="CI679" i="321"/>
  <c r="CI680" i="321" s="1"/>
  <c r="CI442" i="321"/>
  <c r="CI443" i="321" s="1"/>
  <c r="CI102" i="282"/>
  <c r="CI34" i="282"/>
  <c r="CI715" i="321"/>
  <c r="CI26" i="265" l="1"/>
  <c r="CI24" i="315"/>
  <c r="CI84" i="265"/>
  <c r="CI80" i="315"/>
  <c r="CI46" i="288"/>
  <c r="CI446" i="321"/>
  <c r="CI447" i="321" s="1"/>
  <c r="CI529" i="321"/>
  <c r="CI485" i="321"/>
  <c r="CI196" i="288"/>
  <c r="CI687" i="321"/>
  <c r="CI688" i="321" s="1"/>
  <c r="CI681" i="321"/>
  <c r="F104" i="306"/>
  <c r="F78" i="314"/>
  <c r="N84" i="314" s="1"/>
  <c r="F157" i="314"/>
  <c r="N163" i="314" s="1"/>
  <c r="H107" i="282"/>
  <c r="H39" i="282"/>
  <c r="CT81" i="265"/>
  <c r="BB81" i="277" s="1"/>
  <c r="H81" i="277" s="1"/>
  <c r="CT77" i="315"/>
  <c r="CT26" i="315"/>
  <c r="CT28" i="265"/>
  <c r="BB28" i="277" s="1"/>
  <c r="H28" i="277" s="1"/>
  <c r="H174" i="314"/>
  <c r="CU81" i="265"/>
  <c r="CU28" i="265"/>
  <c r="CU77" i="315"/>
  <c r="CU26" i="315"/>
  <c r="H81" i="265" l="1"/>
  <c r="H156" i="269" s="1"/>
  <c r="K156" i="269" s="1"/>
  <c r="H77" i="315"/>
  <c r="H26" i="315"/>
  <c r="H28" i="265"/>
  <c r="H105" i="269" s="1"/>
  <c r="K105" i="269" s="1"/>
  <c r="O160" i="314"/>
  <c r="N107" i="315"/>
  <c r="O81" i="314"/>
  <c r="N87" i="314"/>
  <c r="N90" i="314" s="1"/>
  <c r="N111" i="265"/>
  <c r="J106" i="306"/>
  <c r="K106" i="306"/>
  <c r="L106" i="306"/>
  <c r="M106" i="306"/>
  <c r="N106" i="306"/>
  <c r="O106" i="306"/>
  <c r="P106" i="306"/>
  <c r="Q106" i="306"/>
  <c r="R106" i="306"/>
  <c r="S106" i="306"/>
  <c r="T106" i="306"/>
  <c r="U106" i="306"/>
  <c r="V106" i="306"/>
  <c r="W106" i="306"/>
  <c r="X106" i="306"/>
  <c r="Y106" i="306"/>
  <c r="Z106" i="306"/>
  <c r="AA106" i="306"/>
  <c r="AB106" i="306"/>
  <c r="AC106" i="306"/>
  <c r="AD106" i="306"/>
  <c r="AE106" i="306"/>
  <c r="AF106" i="306"/>
  <c r="AG106" i="306"/>
  <c r="AH106" i="306"/>
  <c r="AI106" i="306"/>
  <c r="AJ106" i="306"/>
  <c r="AK106" i="306"/>
  <c r="AL106" i="306"/>
  <c r="AM106" i="306"/>
  <c r="AN106" i="306"/>
  <c r="AO106" i="306"/>
  <c r="AP106" i="306"/>
  <c r="AQ106" i="306"/>
  <c r="AR106" i="306"/>
  <c r="AS106" i="306"/>
  <c r="AT106" i="306"/>
  <c r="AU106" i="306"/>
  <c r="AV106" i="306"/>
  <c r="AW106" i="306"/>
  <c r="AX106" i="306"/>
  <c r="AY106" i="306"/>
  <c r="AZ106" i="306"/>
  <c r="BA106" i="306"/>
  <c r="BB106" i="306"/>
  <c r="BC106" i="306"/>
  <c r="BD106" i="306"/>
  <c r="BE106" i="306"/>
  <c r="CI51" i="315"/>
  <c r="CI53" i="265"/>
  <c r="CJ684" i="321"/>
  <c r="CI119" i="315"/>
  <c r="CI123" i="265"/>
  <c r="CI56" i="265"/>
  <c r="CI54" i="315"/>
  <c r="CJ712" i="321" l="1"/>
  <c r="CJ714" i="321" s="1"/>
  <c r="CJ673" i="321"/>
  <c r="CJ676" i="321" s="1"/>
  <c r="CJ693" i="321"/>
  <c r="CJ695" i="321" s="1"/>
  <c r="CJ699" i="321" s="1"/>
  <c r="BE247" i="306"/>
  <c r="BE29" i="307"/>
  <c r="BE42" i="310"/>
  <c r="BD247" i="306"/>
  <c r="BD42" i="310"/>
  <c r="BD29" i="307"/>
  <c r="BC247" i="306"/>
  <c r="BC29" i="307"/>
  <c r="BC42" i="310"/>
  <c r="BB247" i="306"/>
  <c r="BB29" i="307"/>
  <c r="BB42" i="310"/>
  <c r="BA247" i="306"/>
  <c r="BA29" i="307"/>
  <c r="BA42" i="310"/>
  <c r="AZ247" i="306"/>
  <c r="Q248" i="306" s="1"/>
  <c r="Q249" i="306" s="1"/>
  <c r="AZ29" i="307"/>
  <c r="AZ42" i="310"/>
  <c r="AY247" i="306"/>
  <c r="AY29" i="307"/>
  <c r="AY42" i="310"/>
  <c r="AX247" i="306"/>
  <c r="AX42" i="310"/>
  <c r="AX29" i="307"/>
  <c r="AW247" i="306"/>
  <c r="AW42" i="310"/>
  <c r="AW29" i="307"/>
  <c r="AV247" i="306"/>
  <c r="AV42" i="310"/>
  <c r="AV29" i="307"/>
  <c r="AU247" i="306"/>
  <c r="AU29" i="307"/>
  <c r="AU42" i="310"/>
  <c r="AT247" i="306"/>
  <c r="P248" i="306" s="1"/>
  <c r="P249" i="306" s="1"/>
  <c r="AT42" i="310"/>
  <c r="AT29" i="307"/>
  <c r="AS247" i="306"/>
  <c r="AS42" i="310"/>
  <c r="AS29" i="307"/>
  <c r="AR247" i="306"/>
  <c r="AR42" i="310"/>
  <c r="AR29" i="307"/>
  <c r="AQ247" i="306"/>
  <c r="AQ42" i="310"/>
  <c r="AQ29" i="307"/>
  <c r="AP247" i="306"/>
  <c r="AP42" i="310"/>
  <c r="AP29" i="307"/>
  <c r="AO247" i="306"/>
  <c r="AO42" i="310"/>
  <c r="AO29" i="307"/>
  <c r="AN247" i="306"/>
  <c r="O248" i="306" s="1"/>
  <c r="O249" i="306" s="1"/>
  <c r="AN29" i="307"/>
  <c r="AN42" i="310"/>
  <c r="AM247" i="306"/>
  <c r="AM29" i="307"/>
  <c r="AM42" i="310"/>
  <c r="AL247" i="306"/>
  <c r="AL29" i="307"/>
  <c r="AL42" i="310"/>
  <c r="AK247" i="306"/>
  <c r="AK42" i="310"/>
  <c r="AK29" i="307"/>
  <c r="AJ247" i="306"/>
  <c r="AJ29" i="307"/>
  <c r="AJ42" i="310"/>
  <c r="AI247" i="306"/>
  <c r="AI42" i="310"/>
  <c r="AI29" i="307"/>
  <c r="AH247" i="306"/>
  <c r="N248" i="306" s="1"/>
  <c r="N249" i="306" s="1"/>
  <c r="AH29" i="307"/>
  <c r="AH42" i="310"/>
  <c r="AG247" i="306"/>
  <c r="AG29" i="307"/>
  <c r="AG42" i="310"/>
  <c r="AF247" i="306"/>
  <c r="AF42" i="310"/>
  <c r="AF29" i="307"/>
  <c r="AE247" i="306"/>
  <c r="AE42" i="310"/>
  <c r="AE29" i="307"/>
  <c r="AD247" i="306"/>
  <c r="AD29" i="307"/>
  <c r="AD42" i="310"/>
  <c r="AC247" i="306"/>
  <c r="AC29" i="307"/>
  <c r="AC42" i="310"/>
  <c r="AB247" i="306"/>
  <c r="M248" i="306" s="1"/>
  <c r="M249" i="306" s="1"/>
  <c r="AB42" i="310"/>
  <c r="AB29" i="307"/>
  <c r="AA247" i="306"/>
  <c r="AA42" i="310"/>
  <c r="AA29" i="307"/>
  <c r="Z247" i="306"/>
  <c r="Z42" i="310"/>
  <c r="Z29" i="307"/>
  <c r="Y247" i="306"/>
  <c r="Y29" i="307"/>
  <c r="Y42" i="310"/>
  <c r="X247" i="306"/>
  <c r="X42" i="310"/>
  <c r="X29" i="307"/>
  <c r="W247" i="306"/>
  <c r="W29" i="307"/>
  <c r="W42" i="310"/>
  <c r="V247" i="306"/>
  <c r="L248" i="306" s="1"/>
  <c r="L249" i="306" s="1"/>
  <c r="V42" i="310"/>
  <c r="V29" i="307"/>
  <c r="U247" i="306"/>
  <c r="U42" i="310"/>
  <c r="U29" i="307"/>
  <c r="T247" i="306"/>
  <c r="T42" i="310"/>
  <c r="T29" i="307"/>
  <c r="S247" i="306"/>
  <c r="S29" i="307"/>
  <c r="S42" i="310"/>
  <c r="R247" i="306"/>
  <c r="R42" i="310"/>
  <c r="R29" i="307"/>
  <c r="Q247" i="306"/>
  <c r="Q42" i="310"/>
  <c r="Q29" i="307"/>
  <c r="P247" i="306"/>
  <c r="K248" i="306" s="1"/>
  <c r="K249" i="306" s="1"/>
  <c r="P29" i="307"/>
  <c r="P42" i="310"/>
  <c r="O247" i="306"/>
  <c r="O29" i="307"/>
  <c r="O42" i="310"/>
  <c r="N247" i="306"/>
  <c r="N29" i="307"/>
  <c r="N42" i="310"/>
  <c r="M247" i="306"/>
  <c r="M42" i="310"/>
  <c r="M29" i="307"/>
  <c r="L247" i="306"/>
  <c r="L42" i="310"/>
  <c r="L29" i="307"/>
  <c r="K247" i="306"/>
  <c r="K42" i="310"/>
  <c r="K29" i="307"/>
  <c r="J247" i="306"/>
  <c r="J248" i="306" s="1"/>
  <c r="J42" i="310"/>
  <c r="H106" i="306"/>
  <c r="J29" i="307"/>
  <c r="L111" i="277"/>
  <c r="N60" i="328"/>
  <c r="L71" i="328" s="1"/>
  <c r="O37" i="314"/>
  <c r="O40" i="314" s="1"/>
  <c r="O61" i="314"/>
  <c r="O116" i="314"/>
  <c r="O119" i="314" s="1"/>
  <c r="O140" i="314"/>
  <c r="J105" i="269"/>
  <c r="L105" i="269"/>
  <c r="L156" i="269"/>
  <c r="J156" i="269"/>
  <c r="O149" i="314" l="1"/>
  <c r="O150" i="314" s="1"/>
  <c r="O153" i="314" s="1"/>
  <c r="O122" i="314"/>
  <c r="O124" i="314" s="1"/>
  <c r="O144" i="314" s="1"/>
  <c r="O43" i="314"/>
  <c r="O45" i="314" s="1"/>
  <c r="O65" i="314" s="1"/>
  <c r="O70" i="314"/>
  <c r="O71" i="314" s="1"/>
  <c r="O74" i="314" s="1"/>
  <c r="H247" i="306"/>
  <c r="H29" i="307"/>
  <c r="H42" i="310"/>
  <c r="J249" i="306"/>
  <c r="H248" i="306"/>
  <c r="K52" i="265"/>
  <c r="K50" i="315"/>
  <c r="L52" i="265"/>
  <c r="L50" i="315"/>
  <c r="M52" i="265"/>
  <c r="M50" i="315"/>
  <c r="N52" i="265"/>
  <c r="N50" i="315"/>
  <c r="O52" i="265"/>
  <c r="O50" i="315"/>
  <c r="P52" i="265"/>
  <c r="P50" i="315"/>
  <c r="Q52" i="265"/>
  <c r="N52" i="277" s="1"/>
  <c r="Q50" i="315"/>
  <c r="CJ442" i="321"/>
  <c r="CJ443" i="321" s="1"/>
  <c r="CJ679" i="321"/>
  <c r="CJ680" i="321" s="1"/>
  <c r="CJ102" i="282"/>
  <c r="CJ34" i="282"/>
  <c r="CJ715" i="321"/>
  <c r="CJ26" i="265" l="1"/>
  <c r="AW26" i="277" s="1"/>
  <c r="CJ24" i="315"/>
  <c r="CJ84" i="265"/>
  <c r="AW84" i="277" s="1"/>
  <c r="CJ80" i="315"/>
  <c r="CJ687" i="321"/>
  <c r="CJ688" i="321" s="1"/>
  <c r="CJ681" i="321"/>
  <c r="CJ46" i="288"/>
  <c r="CJ446" i="321"/>
  <c r="CJ447" i="321" s="1"/>
  <c r="CJ529" i="321"/>
  <c r="CJ485" i="321"/>
  <c r="CJ196" i="288"/>
  <c r="M52" i="277"/>
  <c r="L52" i="277"/>
  <c r="K52" i="277"/>
  <c r="J52" i="265"/>
  <c r="J52" i="277" s="1"/>
  <c r="H52" i="277" s="1"/>
  <c r="H249" i="306"/>
  <c r="J50" i="315"/>
  <c r="H80" i="269"/>
  <c r="K80" i="269" s="1"/>
  <c r="F167" i="328"/>
  <c r="K33" i="326" l="1"/>
  <c r="G167" i="328"/>
  <c r="L33" i="326" s="1"/>
  <c r="J80" i="269"/>
  <c r="L80" i="269"/>
  <c r="H52" i="265"/>
  <c r="H129" i="269" s="1"/>
  <c r="K129" i="269" s="1"/>
  <c r="H50" i="315"/>
  <c r="CJ54" i="315"/>
  <c r="CJ56" i="265"/>
  <c r="AW56" i="277" s="1"/>
  <c r="CJ53" i="265"/>
  <c r="AW53" i="277" s="1"/>
  <c r="CJ51" i="315"/>
  <c r="CK684" i="321"/>
  <c r="CJ119" i="315"/>
  <c r="CJ123" i="265"/>
  <c r="AW123" i="277" s="1"/>
  <c r="CK673" i="321" l="1"/>
  <c r="CK676" i="321" s="1"/>
  <c r="CK712" i="321"/>
  <c r="CK714" i="321" s="1"/>
  <c r="CK693" i="321"/>
  <c r="CK695" i="321" s="1"/>
  <c r="CK699" i="321" s="1"/>
  <c r="L129" i="269"/>
  <c r="J129" i="269"/>
  <c r="CK102" i="282" l="1"/>
  <c r="CK34" i="282"/>
  <c r="CK715" i="321"/>
  <c r="CK442" i="321"/>
  <c r="CK443" i="321" s="1"/>
  <c r="CK679" i="321"/>
  <c r="CK680" i="321" s="1"/>
  <c r="CK687" i="321" l="1"/>
  <c r="CK688" i="321" s="1"/>
  <c r="CK681" i="321"/>
  <c r="CK46" i="288"/>
  <c r="CK446" i="321"/>
  <c r="CK447" i="321" s="1"/>
  <c r="CK529" i="321"/>
  <c r="CK485" i="321"/>
  <c r="CK196" i="288"/>
  <c r="CK26" i="265"/>
  <c r="CK24" i="315"/>
  <c r="CK84" i="265"/>
  <c r="CK80" i="315"/>
  <c r="CK56" i="265" l="1"/>
  <c r="CK54" i="315"/>
  <c r="CK53" i="265"/>
  <c r="CK51" i="315"/>
  <c r="CL684" i="321"/>
  <c r="CK119" i="315"/>
  <c r="CK123" i="265"/>
  <c r="CL673" i="321" l="1"/>
  <c r="CL676" i="321" s="1"/>
  <c r="CL712" i="321"/>
  <c r="CL714" i="321" s="1"/>
  <c r="CL693" i="321"/>
  <c r="CL695" i="321" s="1"/>
  <c r="CL699" i="321" s="1"/>
  <c r="CL102" i="282" l="1"/>
  <c r="CL34" i="282"/>
  <c r="CL715" i="321"/>
  <c r="CL442" i="321"/>
  <c r="CL443" i="321" s="1"/>
  <c r="CL679" i="321"/>
  <c r="CL680" i="321" s="1"/>
  <c r="CL687" i="321" l="1"/>
  <c r="CL688" i="321" s="1"/>
  <c r="CL681" i="321"/>
  <c r="CL46" i="288"/>
  <c r="CL529" i="321"/>
  <c r="CL485" i="321"/>
  <c r="CL446" i="321"/>
  <c r="CL447" i="321" s="1"/>
  <c r="CL196" i="288"/>
  <c r="CL26" i="265"/>
  <c r="AX26" i="277" s="1"/>
  <c r="CL24" i="315"/>
  <c r="CL84" i="265"/>
  <c r="AX84" i="277" s="1"/>
  <c r="CL80" i="315"/>
  <c r="CL54" i="315" l="1"/>
  <c r="CL56" i="265"/>
  <c r="AX56" i="277" s="1"/>
  <c r="CL53" i="265"/>
  <c r="AX53" i="277" s="1"/>
  <c r="CL51" i="315"/>
  <c r="CM684" i="321"/>
  <c r="CL119" i="315"/>
  <c r="CL123" i="265"/>
  <c r="AX123" i="277" s="1"/>
  <c r="CM712" i="321" l="1"/>
  <c r="CM714" i="321" s="1"/>
  <c r="CM673" i="321"/>
  <c r="CM676" i="321" s="1"/>
  <c r="CM693" i="321"/>
  <c r="CM695" i="321" s="1"/>
  <c r="CM699" i="321" s="1"/>
  <c r="CM442" i="321" l="1"/>
  <c r="CM443" i="321" s="1"/>
  <c r="CM679" i="321"/>
  <c r="CM680" i="321" s="1"/>
  <c r="CM102" i="282"/>
  <c r="CM34" i="282"/>
  <c r="CM715" i="321"/>
  <c r="CM26" i="265" l="1"/>
  <c r="CM24" i="315"/>
  <c r="CM84" i="265"/>
  <c r="CM80" i="315"/>
  <c r="CM687" i="321"/>
  <c r="CM688" i="321" s="1"/>
  <c r="CM681" i="321"/>
  <c r="CM46" i="288"/>
  <c r="CM446" i="321"/>
  <c r="CM447" i="321" s="1"/>
  <c r="CM529" i="321"/>
  <c r="CM485" i="321"/>
  <c r="CM196" i="288"/>
  <c r="CM56" i="265" l="1"/>
  <c r="CM54" i="315"/>
  <c r="CM51" i="315"/>
  <c r="CM53" i="265"/>
  <c r="CN684" i="321"/>
  <c r="CM119" i="315"/>
  <c r="CM123" i="265"/>
  <c r="CN712" i="321" l="1"/>
  <c r="CN714" i="321" s="1"/>
  <c r="CN673" i="321"/>
  <c r="CN676" i="321" s="1"/>
  <c r="CN693" i="321"/>
  <c r="CN695" i="321" s="1"/>
  <c r="CN699" i="321" s="1"/>
  <c r="CN442" i="321" l="1"/>
  <c r="CN443" i="321" s="1"/>
  <c r="CN679" i="321"/>
  <c r="CN680" i="321" s="1"/>
  <c r="CN102" i="282"/>
  <c r="CN34" i="282"/>
  <c r="CN715" i="321"/>
  <c r="CN26" i="265" l="1"/>
  <c r="AY26" i="277" s="1"/>
  <c r="CN24" i="315"/>
  <c r="CN84" i="265"/>
  <c r="AY84" i="277" s="1"/>
  <c r="CN80" i="315"/>
  <c r="CN687" i="321"/>
  <c r="CN688" i="321" s="1"/>
  <c r="CN681" i="321"/>
  <c r="CN46" i="288"/>
  <c r="CN446" i="321"/>
  <c r="CN447" i="321" s="1"/>
  <c r="CN529" i="321"/>
  <c r="CN485" i="321"/>
  <c r="CN196" i="288"/>
  <c r="CN54" i="315" l="1"/>
  <c r="CN56" i="265"/>
  <c r="AY56" i="277" s="1"/>
  <c r="CN53" i="265"/>
  <c r="AY53" i="277" s="1"/>
  <c r="CN51" i="315"/>
  <c r="CO684" i="321"/>
  <c r="CN119" i="315"/>
  <c r="CN123" i="265"/>
  <c r="AY123" i="277" s="1"/>
  <c r="CO712" i="321" l="1"/>
  <c r="CO714" i="321" s="1"/>
  <c r="CO673" i="321"/>
  <c r="CO676" i="321" s="1"/>
  <c r="CO693" i="321"/>
  <c r="CO695" i="321" s="1"/>
  <c r="CO699" i="321" s="1"/>
  <c r="CO442" i="321" l="1"/>
  <c r="CO443" i="321" s="1"/>
  <c r="CO679" i="321"/>
  <c r="CO680" i="321" s="1"/>
  <c r="CO102" i="282"/>
  <c r="CO715" i="321"/>
  <c r="CO34" i="282"/>
  <c r="CO26" i="265" l="1"/>
  <c r="CO24" i="315"/>
  <c r="CO84" i="265"/>
  <c r="CO80" i="315"/>
  <c r="CO687" i="321"/>
  <c r="CO688" i="321" s="1"/>
  <c r="CO681" i="321"/>
  <c r="CO46" i="288"/>
  <c r="CO446" i="321"/>
  <c r="CO447" i="321" s="1"/>
  <c r="CO529" i="321"/>
  <c r="CO485" i="321"/>
  <c r="CO196" i="288"/>
  <c r="CO56" i="265" l="1"/>
  <c r="CO54" i="315"/>
  <c r="CO53" i="265"/>
  <c r="CO51" i="315"/>
  <c r="CP684" i="321"/>
  <c r="CO119" i="315"/>
  <c r="CO123" i="265"/>
  <c r="CP712" i="321" l="1"/>
  <c r="CP714" i="321" s="1"/>
  <c r="CP673" i="321"/>
  <c r="CP676" i="321" s="1"/>
  <c r="CP693" i="321"/>
  <c r="CP695" i="321" s="1"/>
  <c r="CP699" i="321" s="1"/>
  <c r="CP442" i="321" l="1"/>
  <c r="CP443" i="321" s="1"/>
  <c r="CP679" i="321"/>
  <c r="CP680" i="321" s="1"/>
  <c r="CP102" i="282"/>
  <c r="CP715" i="321"/>
  <c r="CP34" i="282"/>
  <c r="CP26" i="265" l="1"/>
  <c r="AZ26" i="277" s="1"/>
  <c r="CP24" i="315"/>
  <c r="CP84" i="265"/>
  <c r="AZ84" i="277" s="1"/>
  <c r="CP80" i="315"/>
  <c r="CP687" i="321"/>
  <c r="CP688" i="321" s="1"/>
  <c r="CP681" i="321"/>
  <c r="CP46" i="288"/>
  <c r="CP529" i="321"/>
  <c r="CP485" i="321"/>
  <c r="CP446" i="321"/>
  <c r="CP447" i="321" s="1"/>
  <c r="CP196" i="288"/>
  <c r="CP54" i="315" l="1"/>
  <c r="CP56" i="265"/>
  <c r="AZ56" i="277" s="1"/>
  <c r="CP53" i="265"/>
  <c r="AZ53" i="277" s="1"/>
  <c r="CP51" i="315"/>
  <c r="CQ684" i="321"/>
  <c r="CP119" i="315"/>
  <c r="CP123" i="265"/>
  <c r="AZ123" i="277" s="1"/>
  <c r="CQ712" i="321" l="1"/>
  <c r="CQ714" i="321" s="1"/>
  <c r="CQ673" i="321"/>
  <c r="CQ676" i="321" s="1"/>
  <c r="CQ693" i="321"/>
  <c r="CQ695" i="321" s="1"/>
  <c r="CQ699" i="321" s="1"/>
  <c r="CQ679" i="321" l="1"/>
  <c r="CQ680" i="321" s="1"/>
  <c r="CQ442" i="321"/>
  <c r="CQ443" i="321" s="1"/>
  <c r="CQ102" i="282"/>
  <c r="CQ34" i="282"/>
  <c r="CQ715" i="321"/>
  <c r="CQ26" i="265" l="1"/>
  <c r="CQ84" i="265"/>
  <c r="CQ80" i="315"/>
  <c r="CQ24" i="315"/>
  <c r="CQ46" i="288"/>
  <c r="CQ446" i="321"/>
  <c r="CQ447" i="321" s="1"/>
  <c r="CQ529" i="321"/>
  <c r="CQ485" i="321"/>
  <c r="CQ196" i="288"/>
  <c r="CQ687" i="321"/>
  <c r="CQ688" i="321" s="1"/>
  <c r="CQ681" i="321"/>
  <c r="CQ51" i="315" l="1"/>
  <c r="CQ53" i="265"/>
  <c r="CR684" i="321"/>
  <c r="CQ119" i="315"/>
  <c r="CQ123" i="265"/>
  <c r="CQ56" i="265"/>
  <c r="CQ54" i="315"/>
  <c r="CR712" i="321" l="1"/>
  <c r="CR714" i="321" s="1"/>
  <c r="CR673" i="321"/>
  <c r="CR676" i="321" s="1"/>
  <c r="CR693" i="321"/>
  <c r="CR695" i="321" s="1"/>
  <c r="CR699" i="321" s="1"/>
  <c r="CR442" i="321" l="1"/>
  <c r="CR443" i="321" s="1"/>
  <c r="CR679" i="321"/>
  <c r="CR680" i="321" s="1"/>
  <c r="CR102" i="282"/>
  <c r="CR34" i="282"/>
  <c r="CR715" i="321"/>
  <c r="CR26" i="265" l="1"/>
  <c r="BA26" i="277" s="1"/>
  <c r="CR24" i="315"/>
  <c r="CR84" i="265"/>
  <c r="BA84" i="277" s="1"/>
  <c r="CR80" i="315"/>
  <c r="CR687" i="321"/>
  <c r="CR688" i="321" s="1"/>
  <c r="CR681" i="321"/>
  <c r="CR46" i="288"/>
  <c r="CR446" i="321"/>
  <c r="CR447" i="321" s="1"/>
  <c r="CR485" i="321"/>
  <c r="CR529" i="321"/>
  <c r="CR196" i="288"/>
  <c r="CR54" i="315" l="1"/>
  <c r="CR56" i="265"/>
  <c r="BA56" i="277" s="1"/>
  <c r="CR51" i="315"/>
  <c r="CR53" i="265"/>
  <c r="BA53" i="277" s="1"/>
  <c r="CS684" i="321"/>
  <c r="CR119" i="315"/>
  <c r="CR123" i="265"/>
  <c r="BA123" i="277" s="1"/>
  <c r="CS673" i="321" l="1"/>
  <c r="CS676" i="321" s="1"/>
  <c r="CS712" i="321"/>
  <c r="CS714" i="321" s="1"/>
  <c r="CS693" i="321"/>
  <c r="CS695" i="321" s="1"/>
  <c r="CS699" i="321" s="1"/>
  <c r="CS102" i="282" l="1"/>
  <c r="CS34" i="282"/>
  <c r="CS715" i="321"/>
  <c r="CS442" i="321"/>
  <c r="CS443" i="321" s="1"/>
  <c r="CS679" i="321"/>
  <c r="CS680" i="321" s="1"/>
  <c r="CS687" i="321" l="1"/>
  <c r="CS688" i="321" s="1"/>
  <c r="CS681" i="321"/>
  <c r="CS46" i="288"/>
  <c r="CS446" i="321"/>
  <c r="CS447" i="321" s="1"/>
  <c r="CS529" i="321"/>
  <c r="CS485" i="321"/>
  <c r="CS196" i="288"/>
  <c r="CS26" i="265"/>
  <c r="CS24" i="315"/>
  <c r="CS84" i="265"/>
  <c r="CS80" i="315"/>
  <c r="CS56" i="265" l="1"/>
  <c r="CS54" i="315"/>
  <c r="CS53" i="265"/>
  <c r="CS51" i="315"/>
  <c r="CT684" i="321"/>
  <c r="CS119" i="315"/>
  <c r="CS123" i="265"/>
  <c r="CT673" i="321" l="1"/>
  <c r="CT676" i="321" s="1"/>
  <c r="CT712" i="321"/>
  <c r="CT714" i="321" s="1"/>
  <c r="CT693" i="321"/>
  <c r="CT695" i="321" s="1"/>
  <c r="CT699" i="321" s="1"/>
  <c r="CT102" i="282" l="1"/>
  <c r="CT34" i="282"/>
  <c r="CT715" i="321"/>
  <c r="CT442" i="321"/>
  <c r="CT443" i="321" s="1"/>
  <c r="CT679" i="321"/>
  <c r="CT680" i="321" s="1"/>
  <c r="CT687" i="321" l="1"/>
  <c r="CT688" i="321" s="1"/>
  <c r="CT681" i="321"/>
  <c r="CT46" i="288"/>
  <c r="CT485" i="321"/>
  <c r="CT446" i="321"/>
  <c r="CT447" i="321" s="1"/>
  <c r="CT529" i="321"/>
  <c r="CT196" i="288"/>
  <c r="CT26" i="265"/>
  <c r="BB26" i="277" s="1"/>
  <c r="H26" i="277" s="1"/>
  <c r="CT24" i="315"/>
  <c r="CT84" i="265"/>
  <c r="BB84" i="277" s="1"/>
  <c r="H84" i="277" s="1"/>
  <c r="CT80" i="315"/>
  <c r="CT54" i="315" l="1"/>
  <c r="CT56" i="265"/>
  <c r="BB56" i="277" s="1"/>
  <c r="H56" i="277" s="1"/>
  <c r="CT53" i="265"/>
  <c r="BB53" i="277" s="1"/>
  <c r="H53" i="277" s="1"/>
  <c r="CT51" i="315"/>
  <c r="CU684" i="321"/>
  <c r="CT119" i="315"/>
  <c r="CT123" i="265"/>
  <c r="BB123" i="277" s="1"/>
  <c r="CU712" i="321" l="1"/>
  <c r="CU714" i="321" s="1"/>
  <c r="CU673" i="321"/>
  <c r="CU676" i="321" s="1"/>
  <c r="CU693" i="321"/>
  <c r="CU695" i="321" s="1"/>
  <c r="CU699" i="321" s="1"/>
  <c r="CU442" i="321" l="1"/>
  <c r="CU443" i="321" s="1"/>
  <c r="CU679" i="321"/>
  <c r="CU680" i="321" s="1"/>
  <c r="CU102" i="282"/>
  <c r="CU34" i="282"/>
  <c r="CU715" i="321"/>
  <c r="CU26" i="265" l="1"/>
  <c r="CU24" i="315"/>
  <c r="CU84" i="265"/>
  <c r="CU80" i="315"/>
  <c r="CU687" i="321"/>
  <c r="CU688" i="321" s="1"/>
  <c r="CU681" i="321"/>
  <c r="CU46" i="288"/>
  <c r="CU446" i="321"/>
  <c r="CU447" i="321" s="1"/>
  <c r="CU529" i="321"/>
  <c r="CU485" i="321"/>
  <c r="CU196" i="288"/>
  <c r="CU54" i="315" l="1"/>
  <c r="CU56" i="265"/>
  <c r="CU51" i="315"/>
  <c r="CU53" i="265"/>
  <c r="CV684" i="321"/>
  <c r="CU119" i="315"/>
  <c r="CU123" i="265"/>
  <c r="CV673" i="321" l="1"/>
  <c r="CV676" i="321" s="1"/>
  <c r="CV712" i="321"/>
  <c r="CV714" i="321" s="1"/>
  <c r="CV693" i="321"/>
  <c r="CV695" i="321" s="1"/>
  <c r="CV699" i="321" s="1"/>
  <c r="CV102" i="282" l="1"/>
  <c r="CV34" i="282"/>
  <c r="CV715" i="321"/>
  <c r="H714" i="321"/>
  <c r="CV679" i="321"/>
  <c r="CV680" i="321" s="1"/>
  <c r="CV442" i="321"/>
  <c r="CV443" i="321" s="1"/>
  <c r="H676" i="321"/>
  <c r="H679" i="321" l="1"/>
  <c r="H442" i="321"/>
  <c r="CV46" i="288"/>
  <c r="CV446" i="321"/>
  <c r="CV447" i="321" s="1"/>
  <c r="CV485" i="321"/>
  <c r="CV529" i="321"/>
  <c r="CV196" i="288"/>
  <c r="H443" i="321"/>
  <c r="CV687" i="321"/>
  <c r="CV688" i="321" s="1"/>
  <c r="CV681" i="321"/>
  <c r="H680" i="321"/>
  <c r="H687" i="321" s="1"/>
  <c r="H102" i="282"/>
  <c r="H34" i="282"/>
  <c r="CV26" i="265"/>
  <c r="CV84" i="265"/>
  <c r="CV80" i="315"/>
  <c r="CV24" i="315"/>
  <c r="H715" i="321"/>
  <c r="H84" i="265" l="1"/>
  <c r="H159" i="269" s="1"/>
  <c r="K159" i="269" s="1"/>
  <c r="H26" i="265"/>
  <c r="H103" i="269" s="1"/>
  <c r="K103" i="269" s="1"/>
  <c r="H24" i="315"/>
  <c r="H80" i="315"/>
  <c r="CV51" i="315"/>
  <c r="CV53" i="265"/>
  <c r="H681" i="321"/>
  <c r="CV119" i="315"/>
  <c r="CV123" i="265"/>
  <c r="H446" i="321"/>
  <c r="H485" i="321"/>
  <c r="H196" i="288"/>
  <c r="H529" i="321"/>
  <c r="H46" i="288"/>
  <c r="CV54" i="315"/>
  <c r="CV56" i="265"/>
  <c r="H447" i="321"/>
  <c r="H56" i="265" l="1"/>
  <c r="H133" i="269" s="1"/>
  <c r="K133" i="269" s="1"/>
  <c r="H54" i="315"/>
  <c r="H53" i="265"/>
  <c r="H130" i="269" s="1"/>
  <c r="K130" i="269" s="1"/>
  <c r="H51" i="315"/>
  <c r="J103" i="269"/>
  <c r="L103" i="269"/>
  <c r="L159" i="269"/>
  <c r="J159" i="269"/>
  <c r="L130" i="269" l="1"/>
  <c r="J130" i="269"/>
  <c r="L133" i="269"/>
  <c r="J133" i="269"/>
  <c r="F172" i="288"/>
  <c r="H39" i="269"/>
  <c r="K39" i="269"/>
  <c r="L39" i="269"/>
  <c r="J39" i="269"/>
  <c r="F260" i="278"/>
  <c r="F99" i="306"/>
  <c r="J101" i="306"/>
  <c r="J241" i="306"/>
  <c r="K101" i="306"/>
  <c r="K241" i="306"/>
  <c r="L101" i="306"/>
  <c r="L241" i="306"/>
  <c r="M101" i="306"/>
  <c r="M241" i="306"/>
  <c r="N101" i="306"/>
  <c r="N241" i="306"/>
  <c r="O101" i="306"/>
  <c r="O241" i="306"/>
  <c r="P101" i="306"/>
  <c r="P241" i="306"/>
  <c r="Q101" i="306"/>
  <c r="Q241" i="306"/>
  <c r="R101" i="306"/>
  <c r="R241" i="306"/>
  <c r="S101" i="306"/>
  <c r="S241" i="306"/>
  <c r="T101" i="306"/>
  <c r="T241" i="306"/>
  <c r="U101" i="306"/>
  <c r="U241" i="306"/>
  <c r="V101" i="306"/>
  <c r="V241" i="306"/>
  <c r="W101" i="306"/>
  <c r="W241" i="306"/>
  <c r="X101" i="306"/>
  <c r="X241" i="306"/>
  <c r="Y101" i="306"/>
  <c r="Y241" i="306"/>
  <c r="Z101" i="306"/>
  <c r="Z241" i="306"/>
  <c r="AA101" i="306"/>
  <c r="AA241" i="306"/>
  <c r="AB101" i="306"/>
  <c r="AB241" i="306"/>
  <c r="AC101" i="306"/>
  <c r="AC241" i="306"/>
  <c r="AD101" i="306"/>
  <c r="AD241" i="306"/>
  <c r="AE101" i="306"/>
  <c r="AE241" i="306"/>
  <c r="AF101" i="306"/>
  <c r="AF241" i="306"/>
  <c r="AG101" i="306"/>
  <c r="AG241" i="306"/>
  <c r="AH101" i="306"/>
  <c r="AH241" i="306"/>
  <c r="AI101" i="306"/>
  <c r="AI241" i="306"/>
  <c r="AJ101" i="306"/>
  <c r="AJ241" i="306"/>
  <c r="AK101" i="306"/>
  <c r="AK241" i="306"/>
  <c r="AL101" i="306"/>
  <c r="AL241" i="306"/>
  <c r="AM101" i="306"/>
  <c r="AM241" i="306"/>
  <c r="AN101" i="306"/>
  <c r="AN241" i="306"/>
  <c r="AO101" i="306"/>
  <c r="AO241" i="306"/>
  <c r="AP101" i="306"/>
  <c r="AP241" i="306"/>
  <c r="AQ101" i="306"/>
  <c r="AQ241" i="306"/>
  <c r="AR101" i="306"/>
  <c r="AR241" i="306"/>
  <c r="AS101" i="306"/>
  <c r="AS241" i="306"/>
  <c r="AT101" i="306"/>
  <c r="AT241" i="306"/>
  <c r="AU101" i="306"/>
  <c r="AU241" i="306"/>
  <c r="AV101" i="306"/>
  <c r="AV241" i="306"/>
  <c r="AW101" i="306"/>
  <c r="AW241" i="306"/>
  <c r="AX101" i="306"/>
  <c r="AX241" i="306"/>
  <c r="AY101" i="306"/>
  <c r="AY241" i="306"/>
  <c r="AZ101" i="306"/>
  <c r="AZ241" i="306"/>
  <c r="BA101" i="306"/>
  <c r="BA241" i="306"/>
  <c r="BB101" i="306"/>
  <c r="BB241" i="306"/>
  <c r="BC101" i="306"/>
  <c r="BC241" i="306"/>
  <c r="BD101" i="306"/>
  <c r="BD241" i="306"/>
  <c r="BE101" i="306"/>
  <c r="BE241" i="306"/>
  <c r="J242" i="306"/>
  <c r="J243" i="306"/>
  <c r="J51" i="265"/>
  <c r="K242" i="306"/>
  <c r="K243" i="306"/>
  <c r="K51" i="265"/>
  <c r="L242" i="306"/>
  <c r="L243" i="306"/>
  <c r="L51" i="265"/>
  <c r="M242" i="306"/>
  <c r="M243" i="306"/>
  <c r="M51" i="265"/>
  <c r="F271" i="278"/>
  <c r="N276" i="278"/>
  <c r="O274" i="278"/>
  <c r="O266" i="278"/>
  <c r="O269" i="278"/>
  <c r="O43" i="265"/>
  <c r="N242" i="306"/>
  <c r="N243" i="306"/>
  <c r="N51" i="265"/>
  <c r="O275" i="278"/>
  <c r="O276" i="278"/>
  <c r="P274" i="278"/>
  <c r="P266" i="278"/>
  <c r="P269" i="278"/>
  <c r="P43" i="265"/>
  <c r="O242" i="306"/>
  <c r="O243" i="306"/>
  <c r="O51" i="265"/>
  <c r="P275" i="278"/>
  <c r="P276" i="278"/>
  <c r="Q274" i="278"/>
  <c r="Q266" i="278"/>
  <c r="Q269" i="278"/>
  <c r="Q43" i="265"/>
  <c r="P242" i="306"/>
  <c r="P243" i="306"/>
  <c r="P51" i="265"/>
  <c r="Q275" i="278"/>
  <c r="Q276" i="278"/>
  <c r="R274" i="278"/>
  <c r="R266" i="278"/>
  <c r="R269" i="278"/>
  <c r="R43" i="265"/>
  <c r="Q242" i="306"/>
  <c r="Q243" i="306"/>
  <c r="Q51" i="265"/>
  <c r="R275" i="278"/>
  <c r="R276" i="278"/>
  <c r="S274" i="278"/>
  <c r="S266" i="278"/>
  <c r="S269" i="278"/>
  <c r="S43" i="265"/>
  <c r="S275" i="278"/>
  <c r="S276" i="278"/>
  <c r="T274" i="278"/>
  <c r="T266" i="278"/>
  <c r="T269" i="278"/>
  <c r="T43" i="265"/>
  <c r="T275" i="278"/>
  <c r="T276" i="278"/>
  <c r="U274" i="278"/>
  <c r="U266" i="278"/>
  <c r="U269" i="278"/>
  <c r="U43" i="265"/>
  <c r="U275" i="278"/>
  <c r="U276" i="278"/>
  <c r="V274" i="278"/>
  <c r="V266" i="278"/>
  <c r="V269" i="278"/>
  <c r="V43" i="265"/>
  <c r="V275" i="278"/>
  <c r="V276" i="278"/>
  <c r="W274" i="278"/>
  <c r="W266" i="278"/>
  <c r="W269" i="278"/>
  <c r="W43" i="265"/>
  <c r="W275" i="278"/>
  <c r="W276" i="278"/>
  <c r="X274" i="278"/>
  <c r="X266" i="278"/>
  <c r="X269" i="278"/>
  <c r="X43" i="265"/>
  <c r="X275" i="278"/>
  <c r="X276" i="278"/>
  <c r="Y274" i="278"/>
  <c r="Y266" i="278"/>
  <c r="Y269" i="278"/>
  <c r="Y43" i="265"/>
  <c r="Y275" i="278"/>
  <c r="Y276" i="278"/>
  <c r="Z274" i="278"/>
  <c r="Z266" i="278"/>
  <c r="Z269" i="278"/>
  <c r="Z43" i="265"/>
  <c r="Z275" i="278"/>
  <c r="Z276" i="278"/>
  <c r="AA274" i="278"/>
  <c r="AA266" i="278"/>
  <c r="AA269" i="278"/>
  <c r="AA43" i="265"/>
  <c r="AA275" i="278"/>
  <c r="AA276" i="278"/>
  <c r="AB274" i="278"/>
  <c r="AB266" i="278"/>
  <c r="AB269" i="278"/>
  <c r="AB43" i="265"/>
  <c r="AB275" i="278"/>
  <c r="AB276" i="278"/>
  <c r="AC274" i="278"/>
  <c r="AC266" i="278"/>
  <c r="AC269" i="278"/>
  <c r="AC43" i="265"/>
  <c r="AC275" i="278"/>
  <c r="AC276" i="278"/>
  <c r="AD274" i="278"/>
  <c r="AD266" i="278"/>
  <c r="AD269" i="278"/>
  <c r="AD43" i="265"/>
  <c r="AD275" i="278"/>
  <c r="AD276" i="278"/>
  <c r="AE274" i="278"/>
  <c r="AE266" i="278"/>
  <c r="AE269" i="278"/>
  <c r="AE43" i="265"/>
  <c r="AE275" i="278"/>
  <c r="AE276" i="278"/>
  <c r="AF274" i="278"/>
  <c r="AF266" i="278"/>
  <c r="AF269" i="278"/>
  <c r="AF43" i="265"/>
  <c r="AF275" i="278"/>
  <c r="AF276" i="278"/>
  <c r="AG274" i="278"/>
  <c r="AG266" i="278"/>
  <c r="AG269" i="278"/>
  <c r="AG43" i="265"/>
  <c r="AG275" i="278"/>
  <c r="AG276" i="278"/>
  <c r="AH274" i="278"/>
  <c r="AH266" i="278"/>
  <c r="AH269" i="278"/>
  <c r="AH43" i="265"/>
  <c r="AH275" i="278"/>
  <c r="AH276" i="278"/>
  <c r="AI274" i="278"/>
  <c r="AI266" i="278"/>
  <c r="AI269" i="278"/>
  <c r="AI43" i="265"/>
  <c r="AI275" i="278"/>
  <c r="AI276" i="278"/>
  <c r="AJ274" i="278"/>
  <c r="AJ266" i="278"/>
  <c r="AJ269" i="278"/>
  <c r="AJ43" i="265"/>
  <c r="AJ275" i="278"/>
  <c r="AJ276" i="278"/>
  <c r="AK274" i="278"/>
  <c r="AK266" i="278"/>
  <c r="AK269" i="278"/>
  <c r="AK43" i="265"/>
  <c r="AK275" i="278"/>
  <c r="AK276" i="278"/>
  <c r="AL274" i="278"/>
  <c r="AL266" i="278"/>
  <c r="AL269" i="278"/>
  <c r="AL43" i="265"/>
  <c r="AL275" i="278"/>
  <c r="AL276" i="278"/>
  <c r="AM274" i="278"/>
  <c r="AM266" i="278"/>
  <c r="AM269" i="278"/>
  <c r="AM43" i="265"/>
  <c r="AM275" i="278"/>
  <c r="AM276" i="278"/>
  <c r="AN274" i="278"/>
  <c r="AN266" i="278"/>
  <c r="AN269" i="278"/>
  <c r="AN43" i="265"/>
  <c r="AN275" i="278"/>
  <c r="AN276" i="278"/>
  <c r="AO274" i="278"/>
  <c r="AO266" i="278"/>
  <c r="AO269" i="278"/>
  <c r="AO43" i="265"/>
  <c r="AO275" i="278"/>
  <c r="AO276" i="278"/>
  <c r="AP274" i="278"/>
  <c r="AP266" i="278"/>
  <c r="AP269" i="278"/>
  <c r="AP43" i="265"/>
  <c r="AP275" i="278"/>
  <c r="AP276" i="278"/>
  <c r="AQ274" i="278"/>
  <c r="AQ266" i="278"/>
  <c r="AQ269" i="278"/>
  <c r="AQ43" i="265"/>
  <c r="AQ275" i="278"/>
  <c r="AQ276" i="278"/>
  <c r="AR274" i="278"/>
  <c r="AR266" i="278"/>
  <c r="AR269" i="278"/>
  <c r="AR43" i="265"/>
  <c r="AR275" i="278"/>
  <c r="AR276" i="278"/>
  <c r="AS274" i="278"/>
  <c r="AS266" i="278"/>
  <c r="AS269" i="278"/>
  <c r="AS43" i="265"/>
  <c r="AS275" i="278"/>
  <c r="AS276" i="278"/>
  <c r="AT274" i="278"/>
  <c r="AT266" i="278"/>
  <c r="AT269" i="278"/>
  <c r="AT43" i="265"/>
  <c r="AT275" i="278"/>
  <c r="AT276" i="278"/>
  <c r="AU274" i="278"/>
  <c r="AU266" i="278"/>
  <c r="AU269" i="278"/>
  <c r="AU43" i="265"/>
  <c r="AU275" i="278"/>
  <c r="AU276" i="278"/>
  <c r="AV274" i="278"/>
  <c r="AV266" i="278"/>
  <c r="AV269" i="278"/>
  <c r="AV43" i="265"/>
  <c r="AV275" i="278"/>
  <c r="AV276" i="278"/>
  <c r="AW274" i="278"/>
  <c r="AW266" i="278"/>
  <c r="AW269" i="278"/>
  <c r="AW43" i="265"/>
  <c r="AW275" i="278"/>
  <c r="AW276" i="278"/>
  <c r="AX274" i="278"/>
  <c r="AX266" i="278"/>
  <c r="AX269" i="278"/>
  <c r="AX43" i="265"/>
  <c r="AX275" i="278"/>
  <c r="AX276" i="278"/>
  <c r="AY274" i="278"/>
  <c r="AY266" i="278"/>
  <c r="AY269" i="278"/>
  <c r="AY43" i="265"/>
  <c r="AY275" i="278"/>
  <c r="AY276" i="278"/>
  <c r="AZ274" i="278"/>
  <c r="AZ266" i="278"/>
  <c r="AZ269" i="278"/>
  <c r="AZ43" i="265"/>
  <c r="AZ275" i="278"/>
  <c r="AZ276" i="278"/>
  <c r="BA274" i="278"/>
  <c r="BA266" i="278"/>
  <c r="BA269" i="278"/>
  <c r="BA43" i="265"/>
  <c r="BA275" i="278"/>
  <c r="BA276" i="278"/>
  <c r="BB274" i="278"/>
  <c r="BB266" i="278"/>
  <c r="BB269" i="278"/>
  <c r="BB43" i="265"/>
  <c r="BB275" i="278"/>
  <c r="BB276" i="278"/>
  <c r="BC274" i="278"/>
  <c r="BC266" i="278"/>
  <c r="BC269" i="278"/>
  <c r="BC43" i="265"/>
  <c r="BC275" i="278"/>
  <c r="BC276" i="278"/>
  <c r="BD274" i="278"/>
  <c r="BD266" i="278"/>
  <c r="BD269" i="278"/>
  <c r="BD43" i="265"/>
  <c r="BD275" i="278"/>
  <c r="BD276" i="278"/>
  <c r="BE274" i="278"/>
  <c r="BE266" i="278"/>
  <c r="BE269" i="278"/>
  <c r="BE43" i="265"/>
  <c r="BE275" i="278"/>
  <c r="BE276" i="278"/>
  <c r="BF274" i="278"/>
  <c r="BF266" i="278"/>
  <c r="BF269" i="278"/>
  <c r="BF43" i="265"/>
  <c r="BF275" i="278"/>
  <c r="BF276" i="278"/>
  <c r="BG274" i="278"/>
  <c r="BG266" i="278"/>
  <c r="BG269" i="278"/>
  <c r="BG43" i="265"/>
  <c r="BG275" i="278"/>
  <c r="BG276" i="278"/>
  <c r="BH274" i="278"/>
  <c r="BH266" i="278"/>
  <c r="BH269" i="278"/>
  <c r="BH43" i="265"/>
  <c r="BH275" i="278"/>
  <c r="BH276" i="278"/>
  <c r="BI274" i="278"/>
  <c r="BI266" i="278"/>
  <c r="BI269" i="278"/>
  <c r="BI43" i="265"/>
  <c r="BI275" i="278"/>
  <c r="BI276" i="278"/>
  <c r="BJ274" i="278"/>
  <c r="BJ266" i="278"/>
  <c r="BJ269" i="278"/>
  <c r="BJ43" i="265"/>
  <c r="BJ275" i="278"/>
  <c r="BJ276" i="278"/>
  <c r="BK274" i="278"/>
  <c r="BK266" i="278"/>
  <c r="BK269" i="278"/>
  <c r="BK43" i="265"/>
  <c r="BK275" i="278"/>
  <c r="BK276" i="278"/>
  <c r="BL274" i="278"/>
  <c r="BL266" i="278"/>
  <c r="BL269" i="278"/>
  <c r="BL43" i="265"/>
  <c r="BL275" i="278"/>
  <c r="BL276" i="278"/>
  <c r="BM274" i="278"/>
  <c r="BM266" i="278"/>
  <c r="BM269" i="278"/>
  <c r="BM43" i="265"/>
  <c r="BM275" i="278"/>
  <c r="BM276" i="278"/>
  <c r="BN274" i="278"/>
  <c r="BN266" i="278"/>
  <c r="BN269" i="278"/>
  <c r="BN43" i="265"/>
  <c r="BN275" i="278"/>
  <c r="BN276" i="278"/>
  <c r="BO274" i="278"/>
  <c r="BO266" i="278"/>
  <c r="BO269" i="278"/>
  <c r="BO43" i="265"/>
  <c r="BO275" i="278"/>
  <c r="BO276" i="278"/>
  <c r="BP274" i="278"/>
  <c r="BP266" i="278"/>
  <c r="BP269" i="278"/>
  <c r="BP43" i="265"/>
  <c r="BP275" i="278"/>
  <c r="BP276" i="278"/>
  <c r="BQ274" i="278"/>
  <c r="BQ266" i="278"/>
  <c r="BQ269" i="278"/>
  <c r="BQ43" i="265"/>
  <c r="BQ275" i="278"/>
  <c r="BQ276" i="278"/>
  <c r="BR274" i="278"/>
  <c r="BR266" i="278"/>
  <c r="BR269" i="278"/>
  <c r="BR43" i="265"/>
  <c r="BR275" i="278"/>
  <c r="BR276" i="278"/>
  <c r="BS274" i="278"/>
  <c r="BS266" i="278"/>
  <c r="BS269" i="278"/>
  <c r="BS43" i="265"/>
  <c r="BS275" i="278"/>
  <c r="BS276" i="278"/>
  <c r="BT274" i="278"/>
  <c r="BT266" i="278"/>
  <c r="BT269" i="278"/>
  <c r="BT43" i="265"/>
  <c r="BT275" i="278"/>
  <c r="BT276" i="278"/>
  <c r="BU274" i="278"/>
  <c r="BU266" i="278"/>
  <c r="BU269" i="278"/>
  <c r="BU43" i="265"/>
  <c r="BU275" i="278"/>
  <c r="BU276" i="278"/>
  <c r="BV274" i="278"/>
  <c r="BV266" i="278"/>
  <c r="BV269" i="278"/>
  <c r="BV43" i="265"/>
  <c r="BV275" i="278"/>
  <c r="BV276" i="278"/>
  <c r="BW274" i="278"/>
  <c r="BW266" i="278"/>
  <c r="BW269" i="278"/>
  <c r="BW43" i="265"/>
  <c r="BW275" i="278"/>
  <c r="BW276" i="278"/>
  <c r="BX274" i="278"/>
  <c r="BX266" i="278"/>
  <c r="BX269" i="278"/>
  <c r="BX43" i="265"/>
  <c r="BX275" i="278"/>
  <c r="BX276" i="278"/>
  <c r="BY274" i="278"/>
  <c r="BY266" i="278"/>
  <c r="BY269" i="278"/>
  <c r="BY43" i="265"/>
  <c r="BY275" i="278"/>
  <c r="BY276" i="278"/>
  <c r="BZ274" i="278"/>
  <c r="BZ266" i="278"/>
  <c r="BZ269" i="278"/>
  <c r="BZ43" i="265"/>
  <c r="BZ275" i="278"/>
  <c r="BZ276" i="278"/>
  <c r="CA274" i="278"/>
  <c r="CA266" i="278"/>
  <c r="CA269" i="278"/>
  <c r="CA43" i="265"/>
  <c r="CA275" i="278"/>
  <c r="CA276" i="278"/>
  <c r="CB274" i="278"/>
  <c r="CB266" i="278"/>
  <c r="CB269" i="278"/>
  <c r="CB43" i="265"/>
  <c r="CB275" i="278"/>
  <c r="CB276" i="278"/>
  <c r="CC274" i="278"/>
  <c r="CC266" i="278"/>
  <c r="CC269" i="278"/>
  <c r="CC43" i="265"/>
  <c r="CC275" i="278"/>
  <c r="CC276" i="278"/>
  <c r="CD274" i="278"/>
  <c r="CD266" i="278"/>
  <c r="CD269" i="278"/>
  <c r="CD43" i="265"/>
  <c r="CD275" i="278"/>
  <c r="CD276" i="278"/>
  <c r="CE274" i="278"/>
  <c r="CE266" i="278"/>
  <c r="CE269" i="278"/>
  <c r="CE43" i="265"/>
  <c r="CE275" i="278"/>
  <c r="CE276" i="278"/>
  <c r="CF274" i="278"/>
  <c r="CF266" i="278"/>
  <c r="CF269" i="278"/>
  <c r="CF43" i="265"/>
  <c r="CF275" i="278"/>
  <c r="CF276" i="278"/>
  <c r="CG274" i="278"/>
  <c r="CG266" i="278"/>
  <c r="CG269" i="278"/>
  <c r="CG43" i="265"/>
  <c r="CG275" i="278"/>
  <c r="CG276" i="278"/>
  <c r="CH274" i="278"/>
  <c r="CH266" i="278"/>
  <c r="CH269" i="278"/>
  <c r="CH43" i="265"/>
  <c r="CH275" i="278"/>
  <c r="CH276" i="278"/>
  <c r="CI274" i="278"/>
  <c r="CI266" i="278"/>
  <c r="CI269" i="278"/>
  <c r="CI43" i="265"/>
  <c r="CI275" i="278"/>
  <c r="CI276" i="278"/>
  <c r="CJ274" i="278"/>
  <c r="CJ266" i="278"/>
  <c r="CJ269" i="278"/>
  <c r="CJ43" i="265"/>
  <c r="CJ275" i="278"/>
  <c r="CJ276" i="278"/>
  <c r="CK274" i="278"/>
  <c r="CK266" i="278"/>
  <c r="CK269" i="278"/>
  <c r="CK43" i="265"/>
  <c r="CK275" i="278"/>
  <c r="CK276" i="278"/>
  <c r="CL274" i="278"/>
  <c r="CL266" i="278"/>
  <c r="CL269" i="278"/>
  <c r="CL43" i="265"/>
  <c r="CL275" i="278"/>
  <c r="CL276" i="278"/>
  <c r="CM274" i="278"/>
  <c r="CM266" i="278"/>
  <c r="CM269" i="278"/>
  <c r="CM43" i="265"/>
  <c r="CM275" i="278"/>
  <c r="CM276" i="278"/>
  <c r="CN274" i="278"/>
  <c r="CN266" i="278"/>
  <c r="CN269" i="278"/>
  <c r="CN43" i="265"/>
  <c r="CN275" i="278"/>
  <c r="CN276" i="278"/>
  <c r="CO274" i="278"/>
  <c r="CO266" i="278"/>
  <c r="CO269" i="278"/>
  <c r="CO43" i="265"/>
  <c r="CO275" i="278"/>
  <c r="CO276" i="278"/>
  <c r="CP274" i="278"/>
  <c r="CP266" i="278"/>
  <c r="CP269" i="278"/>
  <c r="CP43" i="265"/>
  <c r="CP275" i="278"/>
  <c r="CP276" i="278"/>
  <c r="CQ274" i="278"/>
  <c r="CQ266" i="278"/>
  <c r="CQ269" i="278"/>
  <c r="CQ43" i="265"/>
  <c r="CQ275" i="278"/>
  <c r="CQ276" i="278"/>
  <c r="CR274" i="278"/>
  <c r="CR266" i="278"/>
  <c r="CR269" i="278"/>
  <c r="CR43" i="265"/>
  <c r="CR275" i="278"/>
  <c r="CR276" i="278"/>
  <c r="CS274" i="278"/>
  <c r="CS266" i="278"/>
  <c r="CS269" i="278"/>
  <c r="CS43" i="265"/>
  <c r="CS275" i="278"/>
  <c r="CS276" i="278"/>
  <c r="CT274" i="278"/>
  <c r="CT266" i="278"/>
  <c r="CT269" i="278"/>
  <c r="CT43" i="265"/>
  <c r="CT275" i="278"/>
  <c r="CT276" i="278"/>
  <c r="CU274" i="278"/>
  <c r="CU266" i="278"/>
  <c r="CU269" i="278"/>
  <c r="CU43" i="265"/>
  <c r="CU275" i="278"/>
  <c r="CU276" i="278"/>
  <c r="CV274" i="278"/>
  <c r="CV266" i="278"/>
  <c r="CV269" i="278"/>
  <c r="CV43" i="265"/>
  <c r="J49" i="315"/>
  <c r="K49" i="315"/>
  <c r="L49" i="315"/>
  <c r="M49" i="315"/>
  <c r="F295" i="278"/>
  <c r="N300" i="278"/>
  <c r="O298" i="278"/>
  <c r="O290" i="278"/>
  <c r="O293" i="278"/>
  <c r="O41" i="315"/>
  <c r="N49" i="315"/>
  <c r="O299" i="278"/>
  <c r="O300" i="278"/>
  <c r="P298" i="278"/>
  <c r="P290" i="278"/>
  <c r="P293" i="278"/>
  <c r="P41" i="315"/>
  <c r="O49" i="315"/>
  <c r="P299" i="278"/>
  <c r="P300" i="278"/>
  <c r="Q298" i="278"/>
  <c r="Q290" i="278"/>
  <c r="Q293" i="278"/>
  <c r="Q41" i="315"/>
  <c r="P49" i="315"/>
  <c r="Q299" i="278"/>
  <c r="Q300" i="278"/>
  <c r="R298" i="278"/>
  <c r="R290" i="278"/>
  <c r="R293" i="278"/>
  <c r="R41" i="315"/>
  <c r="Q49" i="315"/>
  <c r="R299" i="278"/>
  <c r="R300" i="278"/>
  <c r="S298" i="278"/>
  <c r="S290" i="278"/>
  <c r="S293" i="278"/>
  <c r="S41" i="315"/>
  <c r="S299" i="278"/>
  <c r="S300" i="278"/>
  <c r="T298" i="278"/>
  <c r="T290" i="278"/>
  <c r="T293" i="278"/>
  <c r="T41" i="315"/>
  <c r="T299" i="278"/>
  <c r="T300" i="278"/>
  <c r="U298" i="278"/>
  <c r="U290" i="278"/>
  <c r="U293" i="278"/>
  <c r="U41" i="315"/>
  <c r="U299" i="278"/>
  <c r="U300" i="278"/>
  <c r="V298" i="278"/>
  <c r="V290" i="278"/>
  <c r="V293" i="278"/>
  <c r="V41" i="315"/>
  <c r="V299" i="278"/>
  <c r="V300" i="278"/>
  <c r="W298" i="278"/>
  <c r="W290" i="278"/>
  <c r="W293" i="278"/>
  <c r="W41" i="315"/>
  <c r="W299" i="278"/>
  <c r="W300" i="278"/>
  <c r="X298" i="278"/>
  <c r="X290" i="278"/>
  <c r="X293" i="278"/>
  <c r="X41" i="315"/>
  <c r="X299" i="278"/>
  <c r="X300" i="278"/>
  <c r="Y298" i="278"/>
  <c r="Y290" i="278"/>
  <c r="Y293" i="278"/>
  <c r="Y41" i="315"/>
  <c r="Y299" i="278"/>
  <c r="Y300" i="278"/>
  <c r="Z298" i="278"/>
  <c r="Z290" i="278"/>
  <c r="Z293" i="278"/>
  <c r="Z41" i="315"/>
  <c r="Z299" i="278"/>
  <c r="Z300" i="278"/>
  <c r="AA298" i="278"/>
  <c r="AA290" i="278"/>
  <c r="AA293" i="278"/>
  <c r="AA41" i="315"/>
  <c r="AA299" i="278"/>
  <c r="AA300" i="278"/>
  <c r="AB298" i="278"/>
  <c r="AB290" i="278"/>
  <c r="AB293" i="278"/>
  <c r="AB41" i="315"/>
  <c r="AB299" i="278"/>
  <c r="AB300" i="278"/>
  <c r="AC298" i="278"/>
  <c r="AC290" i="278"/>
  <c r="AC293" i="278"/>
  <c r="AC41" i="315"/>
  <c r="AC299" i="278"/>
  <c r="AC300" i="278"/>
  <c r="AD298" i="278"/>
  <c r="AD290" i="278"/>
  <c r="AD293" i="278"/>
  <c r="AD41" i="315"/>
  <c r="AD299" i="278"/>
  <c r="AD300" i="278"/>
  <c r="AE298" i="278"/>
  <c r="AE290" i="278"/>
  <c r="AE293" i="278"/>
  <c r="AE41" i="315"/>
  <c r="AE299" i="278"/>
  <c r="AE300" i="278"/>
  <c r="AF298" i="278"/>
  <c r="AF290" i="278"/>
  <c r="AF293" i="278"/>
  <c r="AF41" i="315"/>
  <c r="AF299" i="278"/>
  <c r="AF300" i="278"/>
  <c r="AG298" i="278"/>
  <c r="AG290" i="278"/>
  <c r="AG293" i="278"/>
  <c r="AG41" i="315"/>
  <c r="AG299" i="278"/>
  <c r="AG300" i="278"/>
  <c r="AH298" i="278"/>
  <c r="AH290" i="278"/>
  <c r="AH293" i="278"/>
  <c r="AH41" i="315"/>
  <c r="AH299" i="278"/>
  <c r="AH300" i="278"/>
  <c r="AI298" i="278"/>
  <c r="AI290" i="278"/>
  <c r="AI293" i="278"/>
  <c r="AI41" i="315"/>
  <c r="AI299" i="278"/>
  <c r="AI300" i="278"/>
  <c r="AJ298" i="278"/>
  <c r="AJ290" i="278"/>
  <c r="AJ293" i="278"/>
  <c r="AJ41" i="315"/>
  <c r="AJ299" i="278"/>
  <c r="AJ300" i="278"/>
  <c r="AK298" i="278"/>
  <c r="AK290" i="278"/>
  <c r="AK293" i="278"/>
  <c r="AK41" i="315"/>
  <c r="AK299" i="278"/>
  <c r="AK300" i="278"/>
  <c r="AL298" i="278"/>
  <c r="AL290" i="278"/>
  <c r="AL293" i="278"/>
  <c r="AL41" i="315"/>
  <c r="AL299" i="278"/>
  <c r="AL300" i="278"/>
  <c r="AM298" i="278"/>
  <c r="AM290" i="278"/>
  <c r="AM293" i="278"/>
  <c r="AM41" i="315"/>
  <c r="AM299" i="278"/>
  <c r="AM300" i="278"/>
  <c r="AN298" i="278"/>
  <c r="AN290" i="278"/>
  <c r="AN293" i="278"/>
  <c r="AN41" i="315"/>
  <c r="AN299" i="278"/>
  <c r="AN300" i="278"/>
  <c r="AO298" i="278"/>
  <c r="AO290" i="278"/>
  <c r="AO293" i="278"/>
  <c r="AO41" i="315"/>
  <c r="AO299" i="278"/>
  <c r="AO300" i="278"/>
  <c r="AP298" i="278"/>
  <c r="AP290" i="278"/>
  <c r="AP293" i="278"/>
  <c r="AP41" i="315"/>
  <c r="AP299" i="278"/>
  <c r="AP300" i="278"/>
  <c r="AQ298" i="278"/>
  <c r="AQ290" i="278"/>
  <c r="AQ293" i="278"/>
  <c r="AQ41" i="315"/>
  <c r="AQ299" i="278"/>
  <c r="AQ300" i="278"/>
  <c r="AR298" i="278"/>
  <c r="AR290" i="278"/>
  <c r="AR293" i="278"/>
  <c r="AR41" i="315"/>
  <c r="AR299" i="278"/>
  <c r="AR300" i="278"/>
  <c r="AS298" i="278"/>
  <c r="AS290" i="278"/>
  <c r="AS293" i="278"/>
  <c r="AS41" i="315"/>
  <c r="AS299" i="278"/>
  <c r="AS300" i="278"/>
  <c r="AT298" i="278"/>
  <c r="AT290" i="278"/>
  <c r="AT293" i="278"/>
  <c r="AT41" i="315"/>
  <c r="AT299" i="278"/>
  <c r="AT300" i="278"/>
  <c r="AU298" i="278"/>
  <c r="AU290" i="278"/>
  <c r="AU293" i="278"/>
  <c r="AU41" i="315"/>
  <c r="AU299" i="278"/>
  <c r="AU300" i="278"/>
  <c r="AV298" i="278"/>
  <c r="AV290" i="278"/>
  <c r="AV293" i="278"/>
  <c r="AV41" i="315"/>
  <c r="AV299" i="278"/>
  <c r="AV300" i="278"/>
  <c r="AW298" i="278"/>
  <c r="AW290" i="278"/>
  <c r="AW293" i="278"/>
  <c r="AW41" i="315"/>
  <c r="AW299" i="278"/>
  <c r="AW300" i="278"/>
  <c r="AX298" i="278"/>
  <c r="AX290" i="278"/>
  <c r="AX293" i="278"/>
  <c r="AX41" i="315"/>
  <c r="AX299" i="278"/>
  <c r="AX300" i="278"/>
  <c r="AY298" i="278"/>
  <c r="AY290" i="278"/>
  <c r="AY293" i="278"/>
  <c r="AY41" i="315"/>
  <c r="AY299" i="278"/>
  <c r="AY300" i="278"/>
  <c r="AZ298" i="278"/>
  <c r="AZ290" i="278"/>
  <c r="AZ293" i="278"/>
  <c r="AZ41" i="315"/>
  <c r="AZ299" i="278"/>
  <c r="AZ300" i="278"/>
  <c r="BA298" i="278"/>
  <c r="BA290" i="278"/>
  <c r="BA293" i="278"/>
  <c r="BA41" i="315"/>
  <c r="BA299" i="278"/>
  <c r="BA300" i="278"/>
  <c r="BB298" i="278"/>
  <c r="BB290" i="278"/>
  <c r="BB293" i="278"/>
  <c r="BB41" i="315"/>
  <c r="BB299" i="278"/>
  <c r="BB300" i="278"/>
  <c r="BC298" i="278"/>
  <c r="BC290" i="278"/>
  <c r="BC293" i="278"/>
  <c r="BC41" i="315"/>
  <c r="BC299" i="278"/>
  <c r="BC300" i="278"/>
  <c r="BD298" i="278"/>
  <c r="BD290" i="278"/>
  <c r="BD293" i="278"/>
  <c r="BD41" i="315"/>
  <c r="BD299" i="278"/>
  <c r="BD300" i="278"/>
  <c r="BE298" i="278"/>
  <c r="BE290" i="278"/>
  <c r="BE293" i="278"/>
  <c r="BE41" i="315"/>
  <c r="BE299" i="278"/>
  <c r="BE300" i="278"/>
  <c r="BF298" i="278"/>
  <c r="BF290" i="278"/>
  <c r="BF293" i="278"/>
  <c r="BF41" i="315"/>
  <c r="BF299" i="278"/>
  <c r="BF300" i="278"/>
  <c r="BG298" i="278"/>
  <c r="BG290" i="278"/>
  <c r="BG293" i="278"/>
  <c r="BG41" i="315"/>
  <c r="BG299" i="278"/>
  <c r="BG300" i="278"/>
  <c r="BH298" i="278"/>
  <c r="BH290" i="278"/>
  <c r="BH293" i="278"/>
  <c r="BH41" i="315"/>
  <c r="BH299" i="278"/>
  <c r="BH300" i="278"/>
  <c r="BI298" i="278"/>
  <c r="BI290" i="278"/>
  <c r="BI293" i="278"/>
  <c r="BI41" i="315"/>
  <c r="BI299" i="278"/>
  <c r="BI300" i="278"/>
  <c r="BJ298" i="278"/>
  <c r="BJ290" i="278"/>
  <c r="BJ293" i="278"/>
  <c r="BJ41" i="315"/>
  <c r="BJ299" i="278"/>
  <c r="BJ300" i="278"/>
  <c r="BK298" i="278"/>
  <c r="BK290" i="278"/>
  <c r="BK293" i="278"/>
  <c r="BK41" i="315"/>
  <c r="BK299" i="278"/>
  <c r="BK300" i="278"/>
  <c r="BL298" i="278"/>
  <c r="BL290" i="278"/>
  <c r="BL293" i="278"/>
  <c r="BL41" i="315"/>
  <c r="BL299" i="278"/>
  <c r="BL300" i="278"/>
  <c r="BM298" i="278"/>
  <c r="BM290" i="278"/>
  <c r="BM293" i="278"/>
  <c r="BM41" i="315"/>
  <c r="BM299" i="278"/>
  <c r="BM300" i="278"/>
  <c r="BN298" i="278"/>
  <c r="BN290" i="278"/>
  <c r="BN293" i="278"/>
  <c r="BN41" i="315"/>
  <c r="BN299" i="278"/>
  <c r="BN300" i="278"/>
  <c r="BO298" i="278"/>
  <c r="BO290" i="278"/>
  <c r="BO293" i="278"/>
  <c r="BO41" i="315"/>
  <c r="BO299" i="278"/>
  <c r="BO300" i="278"/>
  <c r="BP298" i="278"/>
  <c r="BP290" i="278"/>
  <c r="BP293" i="278"/>
  <c r="BP41" i="315"/>
  <c r="BP299" i="278"/>
  <c r="BP300" i="278"/>
  <c r="BQ298" i="278"/>
  <c r="BQ290" i="278"/>
  <c r="BQ293" i="278"/>
  <c r="BQ41" i="315"/>
  <c r="BQ299" i="278"/>
  <c r="BQ300" i="278"/>
  <c r="BR298" i="278"/>
  <c r="BR290" i="278"/>
  <c r="BR293" i="278"/>
  <c r="BR41" i="315"/>
  <c r="BR299" i="278"/>
  <c r="BR300" i="278"/>
  <c r="BS298" i="278"/>
  <c r="BS290" i="278"/>
  <c r="BS293" i="278"/>
  <c r="BS41" i="315"/>
  <c r="BS299" i="278"/>
  <c r="BS300" i="278"/>
  <c r="BT298" i="278"/>
  <c r="BT290" i="278"/>
  <c r="BT293" i="278"/>
  <c r="BT41" i="315"/>
  <c r="BT299" i="278"/>
  <c r="BT300" i="278"/>
  <c r="BU298" i="278"/>
  <c r="BU290" i="278"/>
  <c r="BU293" i="278"/>
  <c r="BU41" i="315"/>
  <c r="BU299" i="278"/>
  <c r="BU300" i="278"/>
  <c r="BV298" i="278"/>
  <c r="BV290" i="278"/>
  <c r="BV293" i="278"/>
  <c r="BV41" i="315"/>
  <c r="BV299" i="278"/>
  <c r="BV300" i="278"/>
  <c r="BW298" i="278"/>
  <c r="BW290" i="278"/>
  <c r="BW293" i="278"/>
  <c r="BW41" i="315"/>
  <c r="BW299" i="278"/>
  <c r="BW300" i="278"/>
  <c r="BX298" i="278"/>
  <c r="BX290" i="278"/>
  <c r="BX293" i="278"/>
  <c r="BX41" i="315"/>
  <c r="BX299" i="278"/>
  <c r="BX300" i="278"/>
  <c r="BY298" i="278"/>
  <c r="BY290" i="278"/>
  <c r="BY293" i="278"/>
  <c r="BY41" i="315"/>
  <c r="BY299" i="278"/>
  <c r="BY300" i="278"/>
  <c r="BZ298" i="278"/>
  <c r="BZ290" i="278"/>
  <c r="BZ293" i="278"/>
  <c r="BZ41" i="315"/>
  <c r="BZ299" i="278"/>
  <c r="BZ300" i="278"/>
  <c r="CA298" i="278"/>
  <c r="CA290" i="278"/>
  <c r="CA293" i="278"/>
  <c r="CA41" i="315"/>
  <c r="CA299" i="278"/>
  <c r="CA300" i="278"/>
  <c r="CB298" i="278"/>
  <c r="CB290" i="278"/>
  <c r="CB293" i="278"/>
  <c r="CB41" i="315"/>
  <c r="CB299" i="278"/>
  <c r="CB300" i="278"/>
  <c r="CC298" i="278"/>
  <c r="CC290" i="278"/>
  <c r="CC293" i="278"/>
  <c r="CC41" i="315"/>
  <c r="CC299" i="278"/>
  <c r="CC300" i="278"/>
  <c r="CD298" i="278"/>
  <c r="CD290" i="278"/>
  <c r="CD293" i="278"/>
  <c r="CD41" i="315"/>
  <c r="CD299" i="278"/>
  <c r="CD300" i="278"/>
  <c r="CE298" i="278"/>
  <c r="CE290" i="278"/>
  <c r="CE293" i="278"/>
  <c r="CE41" i="315"/>
  <c r="CE299" i="278"/>
  <c r="CE300" i="278"/>
  <c r="CF298" i="278"/>
  <c r="CF290" i="278"/>
  <c r="CF293" i="278"/>
  <c r="CF41" i="315"/>
  <c r="CF299" i="278"/>
  <c r="CF300" i="278"/>
  <c r="CG298" i="278"/>
  <c r="CG290" i="278"/>
  <c r="CG293" i="278"/>
  <c r="CG41" i="315"/>
  <c r="CG299" i="278"/>
  <c r="CG300" i="278"/>
  <c r="CH298" i="278"/>
  <c r="CH290" i="278"/>
  <c r="CH293" i="278"/>
  <c r="CH41" i="315"/>
  <c r="CH299" i="278"/>
  <c r="CH300" i="278"/>
  <c r="CI298" i="278"/>
  <c r="CI290" i="278"/>
  <c r="CI293" i="278"/>
  <c r="CI41" i="315"/>
  <c r="CI299" i="278"/>
  <c r="CI300" i="278"/>
  <c r="CJ298" i="278"/>
  <c r="CJ290" i="278"/>
  <c r="CJ293" i="278"/>
  <c r="CJ41" i="315"/>
  <c r="CJ299" i="278"/>
  <c r="CJ300" i="278"/>
  <c r="CK298" i="278"/>
  <c r="CK290" i="278"/>
  <c r="CK293" i="278"/>
  <c r="CK41" i="315"/>
  <c r="CK299" i="278"/>
  <c r="CK300" i="278"/>
  <c r="CL298" i="278"/>
  <c r="CL290" i="278"/>
  <c r="CL293" i="278"/>
  <c r="CL41" i="315"/>
  <c r="CL299" i="278"/>
  <c r="CL300" i="278"/>
  <c r="CM298" i="278"/>
  <c r="CM290" i="278"/>
  <c r="CM293" i="278"/>
  <c r="CM41" i="315"/>
  <c r="CM299" i="278"/>
  <c r="CM300" i="278"/>
  <c r="CN298" i="278"/>
  <c r="CN290" i="278"/>
  <c r="CN293" i="278"/>
  <c r="CN41" i="315"/>
  <c r="CN299" i="278"/>
  <c r="CN300" i="278"/>
  <c r="CO298" i="278"/>
  <c r="CO290" i="278"/>
  <c r="CO293" i="278"/>
  <c r="CO41" i="315"/>
  <c r="CO299" i="278"/>
  <c r="CO300" i="278"/>
  <c r="CP298" i="278"/>
  <c r="CP290" i="278"/>
  <c r="CP293" i="278"/>
  <c r="CP41" i="315"/>
  <c r="CP299" i="278"/>
  <c r="CP300" i="278"/>
  <c r="CQ298" i="278"/>
  <c r="CQ290" i="278"/>
  <c r="CQ293" i="278"/>
  <c r="CQ41" i="315"/>
  <c r="CQ299" i="278"/>
  <c r="CQ300" i="278"/>
  <c r="CR298" i="278"/>
  <c r="CR290" i="278"/>
  <c r="CR293" i="278"/>
  <c r="CR41" i="315"/>
  <c r="CR299" i="278"/>
  <c r="CR300" i="278"/>
  <c r="CS298" i="278"/>
  <c r="CS290" i="278"/>
  <c r="CS293" i="278"/>
  <c r="CS41" i="315"/>
  <c r="CS299" i="278"/>
  <c r="CS300" i="278"/>
  <c r="CT298" i="278"/>
  <c r="CT290" i="278"/>
  <c r="CT293" i="278"/>
  <c r="CT41" i="315"/>
  <c r="CT299" i="278"/>
  <c r="CT300" i="278"/>
  <c r="CU298" i="278"/>
  <c r="CU290" i="278"/>
  <c r="CU293" i="278"/>
  <c r="CU41" i="315"/>
  <c r="CU299" i="278"/>
  <c r="CU300" i="278"/>
  <c r="CV298" i="278"/>
  <c r="CV290" i="278"/>
  <c r="CV293" i="278"/>
  <c r="CV41" i="315"/>
  <c r="H101" i="306"/>
  <c r="H41" i="310"/>
  <c r="H79" i="269"/>
  <c r="K79" i="269"/>
  <c r="J79" i="269"/>
  <c r="J41" i="310"/>
  <c r="K41" i="310"/>
  <c r="L41" i="310"/>
  <c r="M41" i="310"/>
  <c r="N41" i="310"/>
  <c r="O41" i="310"/>
  <c r="P41" i="310"/>
  <c r="Q41" i="310"/>
  <c r="R41" i="310"/>
  <c r="S41" i="310"/>
  <c r="T41" i="310"/>
  <c r="U41" i="310"/>
  <c r="V41" i="310"/>
  <c r="W41" i="310"/>
  <c r="X41" i="310"/>
  <c r="Y41" i="310"/>
  <c r="Z41" i="310"/>
  <c r="AA41" i="310"/>
  <c r="AB41" i="310"/>
  <c r="AC41" i="310"/>
  <c r="AD41" i="310"/>
  <c r="AE41" i="310"/>
  <c r="AF41" i="310"/>
  <c r="AG41" i="310"/>
  <c r="AH41" i="310"/>
  <c r="AI41" i="310"/>
  <c r="AJ41" i="310"/>
  <c r="AK41" i="310"/>
  <c r="AL41" i="310"/>
  <c r="AM41" i="310"/>
  <c r="AN41" i="310"/>
  <c r="AO41" i="310"/>
  <c r="AP41" i="310"/>
  <c r="AQ41" i="310"/>
  <c r="AR41" i="310"/>
  <c r="AS41" i="310"/>
  <c r="AT41" i="310"/>
  <c r="AU41" i="310"/>
  <c r="AV41" i="310"/>
  <c r="AW41" i="310"/>
  <c r="AX41" i="310"/>
  <c r="AY41" i="310"/>
  <c r="AZ41" i="310"/>
  <c r="BA41" i="310"/>
  <c r="BB41" i="310"/>
  <c r="BC41" i="310"/>
  <c r="BD41" i="310"/>
  <c r="BE41" i="310"/>
  <c r="H243" i="306"/>
  <c r="H51" i="265"/>
  <c r="H128" i="269"/>
  <c r="K128" i="269"/>
  <c r="J128" i="269"/>
  <c r="H28" i="307"/>
  <c r="H241" i="306"/>
  <c r="H242" i="306"/>
  <c r="L79" i="269"/>
  <c r="H49" i="315"/>
  <c r="J51" i="277"/>
  <c r="K51" i="277"/>
  <c r="L51" i="277"/>
  <c r="M51" i="277"/>
  <c r="N51" i="277"/>
  <c r="H51" i="277"/>
  <c r="L128" i="269"/>
  <c r="M43" i="277"/>
  <c r="N43" i="277"/>
  <c r="O43" i="277"/>
  <c r="P43" i="277"/>
  <c r="Q43" i="277"/>
  <c r="R43" i="277"/>
  <c r="S43" i="277"/>
  <c r="T43" i="277"/>
  <c r="U43" i="277"/>
  <c r="V43" i="277"/>
  <c r="W43" i="277"/>
  <c r="X43" i="277"/>
  <c r="Y43" i="277"/>
  <c r="Z43" i="277"/>
  <c r="AA43" i="277"/>
  <c r="AB43" i="277"/>
  <c r="AC43" i="277"/>
  <c r="AD43" i="277"/>
  <c r="AE43" i="277"/>
  <c r="AF43" i="277"/>
  <c r="AG43" i="277"/>
  <c r="AH43" i="277"/>
  <c r="AI43" i="277"/>
  <c r="AJ43" i="277"/>
  <c r="AK43" i="277"/>
  <c r="AL43" i="277"/>
  <c r="AM43" i="277"/>
  <c r="AN43" i="277"/>
  <c r="AO43" i="277"/>
  <c r="AP43" i="277"/>
  <c r="AQ43" i="277"/>
  <c r="AR43" i="277"/>
  <c r="AS43" i="277"/>
  <c r="AT43" i="277"/>
  <c r="AU43" i="277"/>
  <c r="AV43" i="277"/>
  <c r="AW43" i="277"/>
  <c r="AX43" i="277"/>
  <c r="AY43" i="277"/>
  <c r="AZ43" i="277"/>
  <c r="BA43" i="277"/>
  <c r="BB43" i="277"/>
  <c r="J28" i="307"/>
  <c r="K28" i="307"/>
  <c r="L28" i="307"/>
  <c r="M28" i="307"/>
  <c r="N28" i="307"/>
  <c r="O28" i="307"/>
  <c r="P28" i="307"/>
  <c r="Q28" i="307"/>
  <c r="R28" i="307"/>
  <c r="S28" i="307"/>
  <c r="T28" i="307"/>
  <c r="U28" i="307"/>
  <c r="V28" i="307"/>
  <c r="W28" i="307"/>
  <c r="X28" i="307"/>
  <c r="Y28" i="307"/>
  <c r="Z28" i="307"/>
  <c r="AA28" i="307"/>
  <c r="AB28" i="307"/>
  <c r="AC28" i="307"/>
  <c r="AD28" i="307"/>
  <c r="AE28" i="307"/>
  <c r="AF28" i="307"/>
  <c r="AG28" i="307"/>
  <c r="AH28" i="307"/>
  <c r="AI28" i="307"/>
  <c r="AJ28" i="307"/>
  <c r="AK28" i="307"/>
  <c r="AL28" i="307"/>
  <c r="AM28" i="307"/>
  <c r="AN28" i="307"/>
  <c r="AO28" i="307"/>
  <c r="AP28" i="307"/>
  <c r="AQ28" i="307"/>
  <c r="AR28" i="307"/>
  <c r="AS28" i="307"/>
  <c r="AT28" i="307"/>
  <c r="AU28" i="307"/>
  <c r="AV28" i="307"/>
  <c r="AW28" i="307"/>
  <c r="AX28" i="307"/>
  <c r="AY28" i="307"/>
  <c r="AZ28" i="307"/>
  <c r="BA28" i="307"/>
  <c r="BB28" i="307"/>
  <c r="BC28" i="307"/>
  <c r="BD28" i="307"/>
  <c r="BE28" i="307"/>
  <c r="F166" i="328"/>
  <c r="K32" i="326"/>
  <c r="G166" i="328"/>
  <c r="L32" i="326"/>
  <c r="N108" i="265"/>
  <c r="L108" i="277"/>
  <c r="P108" i="265"/>
  <c r="M108" i="277"/>
  <c r="R108" i="265"/>
  <c r="N108" i="277"/>
  <c r="T108" i="265"/>
  <c r="O108" i="277"/>
  <c r="V108" i="265"/>
  <c r="P108" i="277"/>
  <c r="X108" i="265"/>
  <c r="Q108" i="277"/>
  <c r="Z108" i="265"/>
  <c r="R108" i="277"/>
  <c r="AB108" i="265"/>
  <c r="S108" i="277"/>
  <c r="AD108" i="265"/>
  <c r="T108" i="277"/>
  <c r="AF108" i="265"/>
  <c r="U108" i="277"/>
  <c r="AH108" i="265"/>
  <c r="V108" i="277"/>
  <c r="AJ108" i="265"/>
  <c r="W108" i="277"/>
  <c r="AL108" i="265"/>
  <c r="X108" i="277"/>
  <c r="AN108" i="265"/>
  <c r="Y108" i="277"/>
  <c r="AP108" i="265"/>
  <c r="Z108" i="277"/>
  <c r="AR108" i="265"/>
  <c r="AA108" i="277"/>
  <c r="AT108" i="265"/>
  <c r="AB108" i="277"/>
  <c r="AV108" i="265"/>
  <c r="AC108" i="277"/>
  <c r="AX108" i="265"/>
  <c r="AD108" i="277"/>
  <c r="AZ108" i="265"/>
  <c r="AE108" i="277"/>
  <c r="BB108" i="265"/>
  <c r="AF108" i="277"/>
  <c r="BD108" i="265"/>
  <c r="AG108" i="277"/>
  <c r="BF108" i="265"/>
  <c r="AH108" i="277"/>
  <c r="BH108" i="265"/>
  <c r="AI108" i="277"/>
  <c r="BJ108" i="265"/>
  <c r="AJ108" i="277"/>
  <c r="BL108" i="265"/>
  <c r="AK108" i="277"/>
  <c r="BN108" i="265"/>
  <c r="AL108" i="277"/>
  <c r="BP108" i="265"/>
  <c r="AM108" i="277"/>
  <c r="BR108" i="265"/>
  <c r="AN108" i="277"/>
  <c r="BT108" i="265"/>
  <c r="AO108" i="277"/>
  <c r="BV108" i="265"/>
  <c r="AP108" i="277"/>
  <c r="BX108" i="265"/>
  <c r="AQ108" i="277"/>
  <c r="BZ108" i="265"/>
  <c r="AR108" i="277"/>
  <c r="CB108" i="265"/>
  <c r="AS108" i="277"/>
  <c r="CD108" i="265"/>
  <c r="AT108" i="277"/>
  <c r="CF108" i="265"/>
  <c r="AU108" i="277"/>
  <c r="CH108" i="265"/>
  <c r="AV108" i="277"/>
  <c r="CJ108" i="265"/>
  <c r="AW108" i="277"/>
  <c r="CL108" i="265"/>
  <c r="AX108" i="277"/>
  <c r="CN108" i="265"/>
  <c r="AY108" i="277"/>
  <c r="CP108" i="265"/>
  <c r="AZ108" i="277"/>
  <c r="CR108" i="265"/>
  <c r="BA108" i="277"/>
  <c r="CT108" i="265"/>
  <c r="BB108" i="277"/>
  <c r="N104" i="315"/>
  <c r="O104" i="315"/>
  <c r="P104" i="315"/>
  <c r="Q104" i="315"/>
  <c r="R104" i="315"/>
  <c r="S104" i="315"/>
  <c r="T104" i="315"/>
  <c r="U104" i="315"/>
  <c r="V104" i="315"/>
  <c r="W104" i="315"/>
  <c r="X104" i="315"/>
  <c r="Y104" i="315"/>
  <c r="Z104" i="315"/>
  <c r="AA104" i="315"/>
  <c r="AB104" i="315"/>
  <c r="AC104" i="315"/>
  <c r="AD104" i="315"/>
  <c r="AE104" i="315"/>
  <c r="AF104" i="315"/>
  <c r="AG104" i="315"/>
  <c r="AH104" i="315"/>
  <c r="AI104" i="315"/>
  <c r="AJ104" i="315"/>
  <c r="AK104" i="315"/>
  <c r="AL104" i="315"/>
  <c r="AM104" i="315"/>
  <c r="AN104" i="315"/>
  <c r="AO104" i="315"/>
  <c r="AP104" i="315"/>
  <c r="AQ104" i="315"/>
  <c r="AR104" i="315"/>
  <c r="AS104" i="315"/>
  <c r="AT104" i="315"/>
  <c r="AU104" i="315"/>
  <c r="AV104" i="315"/>
  <c r="AW104" i="315"/>
  <c r="AX104" i="315"/>
  <c r="AY104" i="315"/>
  <c r="AZ104" i="315"/>
  <c r="BA104" i="315"/>
  <c r="BB104" i="315"/>
  <c r="BC104" i="315"/>
  <c r="BD104" i="315"/>
  <c r="BE104" i="315"/>
  <c r="BF104" i="315"/>
  <c r="BG104" i="315"/>
  <c r="BH104" i="315"/>
  <c r="BI104" i="315"/>
  <c r="BJ104" i="315"/>
  <c r="BK104" i="315"/>
  <c r="BL104" i="315"/>
  <c r="BM104" i="315"/>
  <c r="BN104" i="315"/>
  <c r="BO104" i="315"/>
  <c r="BP104" i="315"/>
  <c r="BQ104" i="315"/>
  <c r="BR104" i="315"/>
  <c r="BS104" i="315"/>
  <c r="BT104" i="315"/>
  <c r="BU104" i="315"/>
  <c r="BV104" i="315"/>
  <c r="BW104" i="315"/>
  <c r="BX104" i="315"/>
  <c r="BY104" i="315"/>
  <c r="BZ104" i="315"/>
  <c r="CA104" i="315"/>
  <c r="CB104" i="315"/>
  <c r="CC104" i="315"/>
  <c r="CD104" i="315"/>
  <c r="CE104" i="315"/>
  <c r="CF104" i="315"/>
  <c r="CG104" i="315"/>
  <c r="CH104" i="315"/>
  <c r="CI104" i="315"/>
  <c r="CJ104" i="315"/>
  <c r="CK104" i="315"/>
  <c r="CL104" i="315"/>
  <c r="CM104" i="315"/>
  <c r="CN104" i="315"/>
  <c r="CO104" i="315"/>
  <c r="CP104" i="315"/>
  <c r="CQ104" i="315"/>
  <c r="CR104" i="315"/>
  <c r="CS104" i="315"/>
  <c r="CT104" i="315"/>
  <c r="CU104" i="315"/>
  <c r="CV299" i="278"/>
  <c r="CV300" i="278"/>
  <c r="CV104" i="315"/>
  <c r="O108" i="265"/>
  <c r="Q108" i="265"/>
  <c r="S108" i="265"/>
  <c r="U108" i="265"/>
  <c r="W108" i="265"/>
  <c r="Y108" i="265"/>
  <c r="AA108" i="265"/>
  <c r="AC108" i="265"/>
  <c r="AE108" i="265"/>
  <c r="AG108" i="265"/>
  <c r="AI108" i="265"/>
  <c r="AK108" i="265"/>
  <c r="AM108" i="265"/>
  <c r="AO108" i="265"/>
  <c r="AQ108" i="265"/>
  <c r="AS108" i="265"/>
  <c r="AU108" i="265"/>
  <c r="AW108" i="265"/>
  <c r="AY108" i="265"/>
  <c r="BA108" i="265"/>
  <c r="BC108" i="265"/>
  <c r="BE108" i="265"/>
  <c r="BG108" i="265"/>
  <c r="BI108" i="265"/>
  <c r="BK108" i="265"/>
  <c r="BM108" i="265"/>
  <c r="BO108" i="265"/>
  <c r="BQ108" i="265"/>
  <c r="BS108" i="265"/>
  <c r="BU108" i="265"/>
  <c r="BW108" i="265"/>
  <c r="BY108" i="265"/>
  <c r="CA108" i="265"/>
  <c r="CC108" i="265"/>
  <c r="CE108" i="265"/>
  <c r="CG108" i="265"/>
  <c r="CI108" i="265"/>
  <c r="CK108" i="265"/>
  <c r="CM108" i="265"/>
  <c r="CO108" i="265"/>
  <c r="CQ108" i="265"/>
  <c r="CS108" i="265"/>
  <c r="CU108" i="265"/>
  <c r="CV275" i="278"/>
  <c r="CV276" i="278"/>
  <c r="CV108" i="265"/>
  <c r="J45" i="310"/>
  <c r="J59" i="310"/>
  <c r="J60" i="310"/>
  <c r="K45" i="310"/>
  <c r="K59" i="310"/>
  <c r="K60" i="310"/>
  <c r="L45" i="310"/>
  <c r="L59" i="310"/>
  <c r="L60" i="310"/>
  <c r="M45" i="310"/>
  <c r="M59" i="310"/>
  <c r="M60" i="310"/>
  <c r="N45" i="310"/>
  <c r="N59" i="310"/>
  <c r="N60" i="310"/>
  <c r="O45" i="310"/>
  <c r="O59" i="310"/>
  <c r="O60" i="310"/>
  <c r="P45" i="310"/>
  <c r="P59" i="310"/>
  <c r="P60" i="310"/>
  <c r="Q45" i="310"/>
  <c r="Q59" i="310"/>
  <c r="Q60" i="310"/>
  <c r="R45" i="310"/>
  <c r="R59" i="310"/>
  <c r="R60" i="310"/>
  <c r="S45" i="310"/>
  <c r="S59" i="310"/>
  <c r="S60" i="310"/>
  <c r="T45" i="310"/>
  <c r="T59" i="310"/>
  <c r="T60" i="310"/>
  <c r="U45" i="310"/>
  <c r="U59" i="310"/>
  <c r="U60" i="310"/>
  <c r="V45" i="310"/>
  <c r="V59" i="310"/>
  <c r="V60" i="310"/>
  <c r="W45" i="310"/>
  <c r="W59" i="310"/>
  <c r="W60" i="310"/>
  <c r="X45" i="310"/>
  <c r="X59" i="310"/>
  <c r="X60" i="310"/>
  <c r="Y45" i="310"/>
  <c r="Y59" i="310"/>
  <c r="Y60" i="310"/>
  <c r="Z45" i="310"/>
  <c r="Z59" i="310"/>
  <c r="Z60" i="310"/>
  <c r="AA45" i="310"/>
  <c r="AA59" i="310"/>
  <c r="AA60" i="310"/>
  <c r="AB45" i="310"/>
  <c r="AB59" i="310"/>
  <c r="AB60" i="310"/>
  <c r="AC45" i="310"/>
  <c r="AC59" i="310"/>
  <c r="AC60" i="310"/>
  <c r="AD45" i="310"/>
  <c r="AD59" i="310"/>
  <c r="AD60" i="310"/>
  <c r="AE45" i="310"/>
  <c r="AE59" i="310"/>
  <c r="AE60" i="310"/>
  <c r="AF45" i="310"/>
  <c r="AF59" i="310"/>
  <c r="AF60" i="310"/>
  <c r="AG45" i="310"/>
  <c r="AG59" i="310"/>
  <c r="AG60" i="310"/>
  <c r="AH45" i="310"/>
  <c r="AH59" i="310"/>
  <c r="AH60" i="310"/>
  <c r="AI45" i="310"/>
  <c r="AI59" i="310"/>
  <c r="AI60" i="310"/>
  <c r="AJ45" i="310"/>
  <c r="AJ59" i="310"/>
  <c r="AJ60" i="310"/>
  <c r="AK45" i="310"/>
  <c r="AK59" i="310"/>
  <c r="AK60" i="310"/>
  <c r="AL45" i="310"/>
  <c r="AL59" i="310"/>
  <c r="AL60" i="310"/>
  <c r="AM45" i="310"/>
  <c r="AM59" i="310"/>
  <c r="AM60" i="310"/>
  <c r="AN45" i="310"/>
  <c r="AN59" i="310"/>
  <c r="AN60" i="310"/>
  <c r="AO45" i="310"/>
  <c r="AO59" i="310"/>
  <c r="AO60" i="310"/>
  <c r="AP45" i="310"/>
  <c r="AP59" i="310"/>
  <c r="AP60" i="310"/>
  <c r="AQ45" i="310"/>
  <c r="AQ59" i="310"/>
  <c r="AQ60" i="310"/>
  <c r="AR45" i="310"/>
  <c r="AR59" i="310"/>
  <c r="AR60" i="310"/>
  <c r="AS45" i="310"/>
  <c r="AS59" i="310"/>
  <c r="AS60" i="310"/>
  <c r="AT45" i="310"/>
  <c r="AT59" i="310"/>
  <c r="AT60" i="310"/>
  <c r="AU45" i="310"/>
  <c r="AU59" i="310"/>
  <c r="AU60" i="310"/>
  <c r="AV45" i="310"/>
  <c r="AV59" i="310"/>
  <c r="AV60" i="310"/>
  <c r="AW45" i="310"/>
  <c r="AW59" i="310"/>
  <c r="AW60" i="310"/>
  <c r="AX45" i="310"/>
  <c r="AX59" i="310"/>
  <c r="AX60" i="310"/>
  <c r="AY45" i="310"/>
  <c r="AY59" i="310"/>
  <c r="AY60" i="310"/>
  <c r="AZ45" i="310"/>
  <c r="AZ59" i="310"/>
  <c r="AZ60" i="310"/>
  <c r="BA45" i="310"/>
  <c r="BA59" i="310"/>
  <c r="BA60" i="310"/>
  <c r="BB45" i="310"/>
  <c r="BB59" i="310"/>
  <c r="BB60" i="310"/>
  <c r="BC45" i="310"/>
  <c r="BC59" i="310"/>
  <c r="BC60" i="310"/>
  <c r="BD45" i="310"/>
  <c r="BD59" i="310"/>
  <c r="BD60" i="310"/>
  <c r="BE45" i="310"/>
  <c r="BE59" i="310"/>
  <c r="BE60" i="310"/>
  <c r="H60" i="310"/>
  <c r="F171" i="328"/>
  <c r="F172" i="328"/>
  <c r="H166" i="328"/>
  <c r="M32" i="326"/>
  <c r="H43" i="277"/>
  <c r="H269" i="278"/>
  <c r="H275" i="278"/>
  <c r="H43" i="265"/>
  <c r="H120" i="269"/>
  <c r="K120" i="269"/>
  <c r="L120" i="269"/>
  <c r="J120" i="269"/>
  <c r="H293" i="278"/>
  <c r="H299" i="278"/>
  <c r="H41" i="315"/>
  <c r="J65" i="265"/>
  <c r="J77" i="265"/>
  <c r="J49" i="314"/>
  <c r="J51" i="314"/>
  <c r="J53" i="314"/>
  <c r="J54" i="314"/>
  <c r="J64" i="314"/>
  <c r="J66" i="314"/>
  <c r="J67" i="314"/>
  <c r="J79" i="265"/>
  <c r="J56" i="314"/>
  <c r="J58" i="314"/>
  <c r="J60" i="314"/>
  <c r="J62" i="314"/>
  <c r="J73" i="314"/>
  <c r="J75" i="314"/>
  <c r="J80" i="265"/>
  <c r="J82" i="265"/>
  <c r="J85" i="265"/>
  <c r="J459" i="321"/>
  <c r="J460" i="321"/>
  <c r="J463" i="321"/>
  <c r="J464" i="321"/>
  <c r="J469" i="321"/>
  <c r="J470" i="321"/>
  <c r="J486" i="321"/>
  <c r="J473" i="321"/>
  <c r="J474" i="321"/>
  <c r="J475" i="321"/>
  <c r="J478" i="321"/>
  <c r="J479" i="321"/>
  <c r="J487" i="321"/>
  <c r="J488" i="321"/>
  <c r="K483" i="321"/>
  <c r="K452" i="321"/>
  <c r="K454" i="321"/>
  <c r="K468" i="321"/>
  <c r="K462" i="321"/>
  <c r="J465" i="321"/>
  <c r="J87" i="265"/>
  <c r="J480" i="321"/>
  <c r="J88" i="265"/>
  <c r="J89" i="265"/>
  <c r="J10" i="286"/>
  <c r="J11" i="286"/>
  <c r="J14" i="286"/>
  <c r="J16" i="286"/>
  <c r="J17" i="286"/>
  <c r="J91" i="265"/>
  <c r="J27" i="286"/>
  <c r="J28" i="286"/>
  <c r="J29" i="286"/>
  <c r="J32" i="286"/>
  <c r="J34" i="286"/>
  <c r="J35" i="286"/>
  <c r="J92" i="265"/>
  <c r="J93" i="265"/>
  <c r="J54" i="286"/>
  <c r="J75" i="286"/>
  <c r="J76" i="286"/>
  <c r="J79" i="286"/>
  <c r="J80" i="286"/>
  <c r="J55" i="286"/>
  <c r="J56" i="286"/>
  <c r="K53" i="286"/>
  <c r="K458" i="321"/>
  <c r="K455" i="321"/>
  <c r="K27" i="265"/>
  <c r="K29" i="265"/>
  <c r="K44" i="282"/>
  <c r="K35" i="282"/>
  <c r="K40" i="282"/>
  <c r="K48" i="282"/>
  <c r="K49" i="282"/>
  <c r="K52" i="282"/>
  <c r="K53" i="282"/>
  <c r="K62" i="282"/>
  <c r="K58" i="282"/>
  <c r="K60" i="282"/>
  <c r="K63" i="282"/>
  <c r="K64" i="282"/>
  <c r="K75" i="282"/>
  <c r="K76" i="282"/>
  <c r="K77" i="282"/>
  <c r="K46" i="265"/>
  <c r="K47" i="265"/>
  <c r="K65" i="265"/>
  <c r="K77" i="265"/>
  <c r="K48" i="314"/>
  <c r="K49" i="314"/>
  <c r="K51" i="314"/>
  <c r="K53" i="314"/>
  <c r="K54" i="314"/>
  <c r="K64" i="314"/>
  <c r="J82" i="314"/>
  <c r="J83" i="314"/>
  <c r="J84" i="314"/>
  <c r="K81" i="314"/>
  <c r="K37" i="314"/>
  <c r="K40" i="314"/>
  <c r="K43" i="314"/>
  <c r="K45" i="314"/>
  <c r="K65" i="314"/>
  <c r="K66" i="314"/>
  <c r="K67" i="314"/>
  <c r="K79" i="265"/>
  <c r="K56" i="314"/>
  <c r="K58" i="314"/>
  <c r="K60" i="314"/>
  <c r="K61" i="314"/>
  <c r="K62" i="314"/>
  <c r="K73" i="314"/>
  <c r="K70" i="314"/>
  <c r="K71" i="314"/>
  <c r="K74" i="314"/>
  <c r="K75" i="314"/>
  <c r="K80" i="265"/>
  <c r="K82" i="265"/>
  <c r="K85" i="265"/>
  <c r="K459" i="321"/>
  <c r="K460" i="321"/>
  <c r="K463" i="321"/>
  <c r="K464" i="321"/>
  <c r="K469" i="321"/>
  <c r="K470" i="321"/>
  <c r="K486" i="321"/>
  <c r="K477" i="321"/>
  <c r="K473" i="321"/>
  <c r="K474" i="321"/>
  <c r="K475" i="321"/>
  <c r="K478" i="321"/>
  <c r="K479" i="321"/>
  <c r="K487" i="321"/>
  <c r="K488" i="321"/>
  <c r="L483" i="321"/>
  <c r="L452" i="321"/>
  <c r="L454" i="321"/>
  <c r="L468" i="321"/>
  <c r="L462" i="321"/>
  <c r="K465" i="321"/>
  <c r="K87" i="265"/>
  <c r="K480" i="321"/>
  <c r="K88" i="265"/>
  <c r="K89" i="265"/>
  <c r="J21" i="286"/>
  <c r="J22" i="286"/>
  <c r="K19" i="286"/>
  <c r="K13" i="286"/>
  <c r="K9" i="286"/>
  <c r="K10" i="286"/>
  <c r="K11" i="286"/>
  <c r="K14" i="286"/>
  <c r="K16" i="286"/>
  <c r="K17" i="286"/>
  <c r="K91" i="265"/>
  <c r="J39" i="286"/>
  <c r="J40" i="286"/>
  <c r="K37" i="286"/>
  <c r="K31" i="286"/>
  <c r="K27" i="286"/>
  <c r="K28" i="286"/>
  <c r="K29" i="286"/>
  <c r="K32" i="286"/>
  <c r="K34" i="286"/>
  <c r="K35" i="286"/>
  <c r="K92" i="265"/>
  <c r="K93" i="265"/>
  <c r="K54" i="286"/>
  <c r="J47" i="286"/>
  <c r="J48" i="286"/>
  <c r="K45" i="286"/>
  <c r="K70" i="286"/>
  <c r="K31" i="265"/>
  <c r="K33" i="265"/>
  <c r="K71" i="286"/>
  <c r="K72" i="286"/>
  <c r="K78" i="286"/>
  <c r="K74" i="286"/>
  <c r="K75" i="286"/>
  <c r="K76" i="286"/>
  <c r="K79" i="286"/>
  <c r="K80" i="286"/>
  <c r="K55" i="286"/>
  <c r="K56" i="286"/>
  <c r="L53" i="286"/>
  <c r="L458" i="321"/>
  <c r="L455" i="321"/>
  <c r="L27" i="265"/>
  <c r="L29" i="265"/>
  <c r="L44" i="282"/>
  <c r="L35" i="282"/>
  <c r="L40" i="282"/>
  <c r="L48" i="282"/>
  <c r="L49" i="282"/>
  <c r="L52" i="282"/>
  <c r="L53" i="282"/>
  <c r="L62" i="282"/>
  <c r="L58" i="282"/>
  <c r="K55" i="282"/>
  <c r="K56" i="282"/>
  <c r="K68" i="282"/>
  <c r="K69" i="282"/>
  <c r="K70" i="282"/>
  <c r="L67" i="282"/>
  <c r="L59" i="282"/>
  <c r="L60" i="282"/>
  <c r="L63" i="282"/>
  <c r="L64" i="282"/>
  <c r="L75" i="282"/>
  <c r="L76" i="282"/>
  <c r="L77" i="282"/>
  <c r="L46" i="265"/>
  <c r="L47" i="265"/>
  <c r="L65" i="265"/>
  <c r="L77" i="265"/>
  <c r="L48" i="314"/>
  <c r="L49" i="314"/>
  <c r="L51" i="314"/>
  <c r="L53" i="314"/>
  <c r="L54" i="314"/>
  <c r="L64" i="314"/>
  <c r="K82" i="314"/>
  <c r="K83" i="314"/>
  <c r="K84" i="314"/>
  <c r="L81" i="314"/>
  <c r="L37" i="314"/>
  <c r="L40" i="314"/>
  <c r="L43" i="314"/>
  <c r="L45" i="314"/>
  <c r="L65" i="314"/>
  <c r="L66" i="314"/>
  <c r="L67" i="314"/>
  <c r="L79" i="265"/>
  <c r="L56" i="314"/>
  <c r="L58" i="314"/>
  <c r="L60" i="314"/>
  <c r="L61" i="314"/>
  <c r="L62" i="314"/>
  <c r="L73" i="314"/>
  <c r="L70" i="314"/>
  <c r="L71" i="314"/>
  <c r="L74" i="314"/>
  <c r="L75" i="314"/>
  <c r="L80" i="265"/>
  <c r="L82" i="265"/>
  <c r="L85" i="265"/>
  <c r="L459" i="321"/>
  <c r="L460" i="321"/>
  <c r="L463" i="321"/>
  <c r="L464" i="321"/>
  <c r="L469" i="321"/>
  <c r="L470" i="321"/>
  <c r="L486" i="321"/>
  <c r="L477" i="321"/>
  <c r="L473" i="321"/>
  <c r="L474" i="321"/>
  <c r="L475" i="321"/>
  <c r="L478" i="321"/>
  <c r="L479" i="321"/>
  <c r="L487" i="321"/>
  <c r="L488" i="321"/>
  <c r="M483" i="321"/>
  <c r="M452" i="321"/>
  <c r="M454" i="321"/>
  <c r="M468" i="321"/>
  <c r="M462" i="321"/>
  <c r="L465" i="321"/>
  <c r="L87" i="265"/>
  <c r="L480" i="321"/>
  <c r="L88" i="265"/>
  <c r="L89" i="265"/>
  <c r="K21" i="286"/>
  <c r="K22" i="286"/>
  <c r="L19" i="286"/>
  <c r="L13" i="286"/>
  <c r="L9" i="286"/>
  <c r="L10" i="286"/>
  <c r="L11" i="286"/>
  <c r="L14" i="286"/>
  <c r="L16" i="286"/>
  <c r="L17" i="286"/>
  <c r="L91" i="265"/>
  <c r="K39" i="286"/>
  <c r="K40" i="286"/>
  <c r="L37" i="286"/>
  <c r="L31" i="286"/>
  <c r="L27" i="286"/>
  <c r="L28" i="286"/>
  <c r="L29" i="286"/>
  <c r="L32" i="286"/>
  <c r="L34" i="286"/>
  <c r="L35" i="286"/>
  <c r="L92" i="265"/>
  <c r="L93" i="265"/>
  <c r="L54" i="286"/>
  <c r="K46" i="286"/>
  <c r="K47" i="286"/>
  <c r="K48" i="286"/>
  <c r="L45" i="286"/>
  <c r="L70" i="286"/>
  <c r="L31" i="265"/>
  <c r="L33" i="265"/>
  <c r="L71" i="286"/>
  <c r="L72" i="286"/>
  <c r="L78" i="286"/>
  <c r="L74" i="286"/>
  <c r="L75" i="286"/>
  <c r="L76" i="286"/>
  <c r="L79" i="286"/>
  <c r="L80" i="286"/>
  <c r="L55" i="286"/>
  <c r="L56" i="286"/>
  <c r="M53" i="286"/>
  <c r="M458" i="321"/>
  <c r="M455" i="321"/>
  <c r="M27" i="265"/>
  <c r="M29" i="265"/>
  <c r="M44" i="282"/>
  <c r="M35" i="282"/>
  <c r="M40" i="282"/>
  <c r="M48" i="282"/>
  <c r="M49" i="282"/>
  <c r="M52" i="282"/>
  <c r="M53" i="282"/>
  <c r="M62" i="282"/>
  <c r="M58" i="282"/>
  <c r="L55" i="282"/>
  <c r="L56" i="282"/>
  <c r="L68" i="282"/>
  <c r="L69" i="282"/>
  <c r="L70" i="282"/>
  <c r="M67" i="282"/>
  <c r="M59" i="282"/>
  <c r="M60" i="282"/>
  <c r="M63" i="282"/>
  <c r="M64" i="282"/>
  <c r="M75" i="282"/>
  <c r="M76" i="282"/>
  <c r="M77" i="282"/>
  <c r="M46" i="265"/>
  <c r="M47" i="265"/>
  <c r="M65" i="265"/>
  <c r="M77" i="265"/>
  <c r="M48" i="314"/>
  <c r="M49" i="314"/>
  <c r="M51" i="314"/>
  <c r="M53" i="314"/>
  <c r="M54" i="314"/>
  <c r="M64" i="314"/>
  <c r="L82" i="314"/>
  <c r="L83" i="314"/>
  <c r="L84" i="314"/>
  <c r="M81" i="314"/>
  <c r="M37" i="314"/>
  <c r="M40" i="314"/>
  <c r="M43" i="314"/>
  <c r="M45" i="314"/>
  <c r="M65" i="314"/>
  <c r="M66" i="314"/>
  <c r="M67" i="314"/>
  <c r="M79" i="265"/>
  <c r="M56" i="314"/>
  <c r="M58" i="314"/>
  <c r="M60" i="314"/>
  <c r="M61" i="314"/>
  <c r="M62" i="314"/>
  <c r="M73" i="314"/>
  <c r="M70" i="314"/>
  <c r="M71" i="314"/>
  <c r="M74" i="314"/>
  <c r="M75" i="314"/>
  <c r="M80" i="265"/>
  <c r="M82" i="265"/>
  <c r="M85" i="265"/>
  <c r="M459" i="321"/>
  <c r="M460" i="321"/>
  <c r="M463" i="321"/>
  <c r="M464" i="321"/>
  <c r="M469" i="321"/>
  <c r="M470" i="321"/>
  <c r="M486" i="321"/>
  <c r="M477" i="321"/>
  <c r="M473" i="321"/>
  <c r="M474" i="321"/>
  <c r="M475" i="321"/>
  <c r="M478" i="321"/>
  <c r="M479" i="321"/>
  <c r="M487" i="321"/>
  <c r="M488" i="321"/>
  <c r="N483" i="321"/>
  <c r="N452" i="321"/>
  <c r="N454" i="321"/>
  <c r="N468" i="321"/>
  <c r="N462" i="321"/>
  <c r="M465" i="321"/>
  <c r="M87" i="265"/>
  <c r="M480" i="321"/>
  <c r="M88" i="265"/>
  <c r="M89" i="265"/>
  <c r="L21" i="286"/>
  <c r="L22" i="286"/>
  <c r="M19" i="286"/>
  <c r="M13" i="286"/>
  <c r="M9" i="286"/>
  <c r="M10" i="286"/>
  <c r="M11" i="286"/>
  <c r="M14" i="286"/>
  <c r="M16" i="286"/>
  <c r="M17" i="286"/>
  <c r="M91" i="265"/>
  <c r="L39" i="286"/>
  <c r="L40" i="286"/>
  <c r="M37" i="286"/>
  <c r="M31" i="286"/>
  <c r="M27" i="286"/>
  <c r="M28" i="286"/>
  <c r="M29" i="286"/>
  <c r="M32" i="286"/>
  <c r="M34" i="286"/>
  <c r="M35" i="286"/>
  <c r="M92" i="265"/>
  <c r="M93" i="265"/>
  <c r="M54" i="286"/>
  <c r="L46" i="286"/>
  <c r="L47" i="286"/>
  <c r="L48" i="286"/>
  <c r="M45" i="286"/>
  <c r="M70" i="286"/>
  <c r="M31" i="265"/>
  <c r="M33" i="265"/>
  <c r="M71" i="286"/>
  <c r="M72" i="286"/>
  <c r="M78" i="286"/>
  <c r="M74" i="286"/>
  <c r="M75" i="286"/>
  <c r="M76" i="286"/>
  <c r="M79" i="286"/>
  <c r="M80" i="286"/>
  <c r="M55" i="286"/>
  <c r="M56" i="286"/>
  <c r="N53" i="286"/>
  <c r="N458" i="321"/>
  <c r="N455" i="321"/>
  <c r="N27" i="265"/>
  <c r="N29" i="265"/>
  <c r="N44" i="282"/>
  <c r="N35" i="282"/>
  <c r="N40" i="282"/>
  <c r="N48" i="282"/>
  <c r="N49" i="282"/>
  <c r="N52" i="282"/>
  <c r="N53" i="282"/>
  <c r="N62" i="282"/>
  <c r="N58" i="282"/>
  <c r="M55" i="282"/>
  <c r="M56" i="282"/>
  <c r="M68" i="282"/>
  <c r="M69" i="282"/>
  <c r="M70" i="282"/>
  <c r="N67" i="282"/>
  <c r="N59" i="282"/>
  <c r="N60" i="282"/>
  <c r="N63" i="282"/>
  <c r="N64" i="282"/>
  <c r="N75" i="282"/>
  <c r="N76" i="282"/>
  <c r="N77" i="282"/>
  <c r="N46" i="265"/>
  <c r="N47" i="265"/>
  <c r="N65" i="265"/>
  <c r="N77" i="265"/>
  <c r="N48" i="314"/>
  <c r="N49" i="314"/>
  <c r="N51" i="314"/>
  <c r="N53" i="314"/>
  <c r="N54" i="314"/>
  <c r="N64" i="314"/>
  <c r="M82" i="314"/>
  <c r="M83" i="314"/>
  <c r="M84" i="314"/>
  <c r="N81" i="314"/>
  <c r="N37" i="314"/>
  <c r="N40" i="314"/>
  <c r="N43" i="314"/>
  <c r="N45" i="314"/>
  <c r="N65" i="314"/>
  <c r="N66" i="314"/>
  <c r="N67" i="314"/>
  <c r="N79" i="265"/>
  <c r="N56" i="314"/>
  <c r="N58" i="314"/>
  <c r="N60" i="314"/>
  <c r="N61" i="314"/>
  <c r="N62" i="314"/>
  <c r="N73" i="314"/>
  <c r="N70" i="314"/>
  <c r="N71" i="314"/>
  <c r="N74" i="314"/>
  <c r="N75" i="314"/>
  <c r="N80" i="265"/>
  <c r="N82" i="265"/>
  <c r="N85" i="265"/>
  <c r="N459" i="321"/>
  <c r="N460" i="321"/>
  <c r="N463" i="321"/>
  <c r="N464" i="321"/>
  <c r="N469" i="321"/>
  <c r="N470" i="321"/>
  <c r="N486" i="321"/>
  <c r="N477" i="321"/>
  <c r="N473" i="321"/>
  <c r="N474" i="321"/>
  <c r="N475" i="321"/>
  <c r="N478" i="321"/>
  <c r="N479" i="321"/>
  <c r="N487" i="321"/>
  <c r="N488" i="321"/>
  <c r="O483" i="321"/>
  <c r="O452" i="321"/>
  <c r="O454" i="321"/>
  <c r="O455" i="321"/>
  <c r="O27" i="265"/>
  <c r="O29" i="265"/>
  <c r="O44" i="282"/>
  <c r="O35" i="282"/>
  <c r="O40" i="282"/>
  <c r="O48" i="282"/>
  <c r="O49" i="282"/>
  <c r="O52" i="282"/>
  <c r="O53" i="282"/>
  <c r="O62" i="282"/>
  <c r="O58" i="282"/>
  <c r="N55" i="282"/>
  <c r="N56" i="282"/>
  <c r="N68" i="282"/>
  <c r="N69" i="282"/>
  <c r="N70" i="282"/>
  <c r="O67" i="282"/>
  <c r="O59" i="282"/>
  <c r="O60" i="282"/>
  <c r="O63" i="282"/>
  <c r="O64" i="282"/>
  <c r="O75" i="282"/>
  <c r="O76" i="282"/>
  <c r="O77" i="282"/>
  <c r="O46" i="265"/>
  <c r="O47" i="265"/>
  <c r="O27" i="288"/>
  <c r="O29" i="288"/>
  <c r="O65" i="265"/>
  <c r="O77" i="265"/>
  <c r="O85" i="288"/>
  <c r="O65" i="288"/>
  <c r="O68" i="288"/>
  <c r="O113" i="288"/>
  <c r="O20" i="328"/>
  <c r="O10" i="321"/>
  <c r="O12" i="321"/>
  <c r="O32" i="288"/>
  <c r="O39" i="311"/>
  <c r="O70" i="288"/>
  <c r="O57" i="328"/>
  <c r="O49" i="314"/>
  <c r="N465" i="321"/>
  <c r="N87" i="265"/>
  <c r="N480" i="321"/>
  <c r="N88" i="265"/>
  <c r="N89" i="265"/>
  <c r="M21" i="286"/>
  <c r="M22" i="286"/>
  <c r="N19" i="286"/>
  <c r="N13" i="286"/>
  <c r="N9" i="286"/>
  <c r="N10" i="286"/>
  <c r="N11" i="286"/>
  <c r="N14" i="286"/>
  <c r="N16" i="286"/>
  <c r="N17" i="286"/>
  <c r="N91" i="265"/>
  <c r="M39" i="286"/>
  <c r="M40" i="286"/>
  <c r="N37" i="286"/>
  <c r="N31" i="286"/>
  <c r="N27" i="286"/>
  <c r="N28" i="286"/>
  <c r="N29" i="286"/>
  <c r="N32" i="286"/>
  <c r="N34" i="286"/>
  <c r="N35" i="286"/>
  <c r="N92" i="265"/>
  <c r="N93" i="265"/>
  <c r="N54" i="286"/>
  <c r="M46" i="286"/>
  <c r="M47" i="286"/>
  <c r="M48" i="286"/>
  <c r="N45" i="286"/>
  <c r="N70" i="286"/>
  <c r="N31" i="265"/>
  <c r="N33" i="265"/>
  <c r="N71" i="286"/>
  <c r="N72" i="286"/>
  <c r="N78" i="286"/>
  <c r="N74" i="286"/>
  <c r="N75" i="286"/>
  <c r="N76" i="286"/>
  <c r="N79" i="286"/>
  <c r="N80" i="286"/>
  <c r="N55" i="286"/>
  <c r="N56" i="286"/>
  <c r="O53" i="286"/>
  <c r="O48" i="314"/>
  <c r="O51" i="314"/>
  <c r="O53" i="314"/>
  <c r="O54" i="314"/>
  <c r="O64" i="314"/>
  <c r="O66" i="314"/>
  <c r="O56" i="314"/>
  <c r="O58" i="314"/>
  <c r="O80" i="311"/>
  <c r="O60" i="314"/>
  <c r="O62" i="314"/>
  <c r="O67" i="314"/>
  <c r="O82" i="314"/>
  <c r="O79" i="265"/>
  <c r="O73" i="314"/>
  <c r="O75" i="314"/>
  <c r="O80" i="265"/>
  <c r="O83" i="314"/>
  <c r="O84" i="314"/>
  <c r="O82" i="265"/>
  <c r="O85" i="265"/>
  <c r="P81" i="314"/>
  <c r="O111" i="265"/>
  <c r="O60" i="328"/>
  <c r="O87" i="314"/>
  <c r="O90" i="314"/>
  <c r="P37" i="314"/>
  <c r="P40" i="314"/>
  <c r="P61" i="314"/>
  <c r="O459" i="321"/>
  <c r="O458" i="321"/>
  <c r="O460" i="321"/>
  <c r="O463" i="321"/>
  <c r="O462" i="321"/>
  <c r="O464" i="321"/>
  <c r="O473" i="321"/>
  <c r="P43" i="314"/>
  <c r="P45" i="314"/>
  <c r="P70" i="314"/>
  <c r="P71" i="314"/>
  <c r="P74" i="314"/>
  <c r="P65" i="314"/>
  <c r="O469" i="321"/>
  <c r="O468" i="321"/>
  <c r="O470" i="321"/>
  <c r="O474" i="321"/>
  <c r="O475" i="321"/>
  <c r="O478" i="321"/>
  <c r="O477" i="321"/>
  <c r="O479" i="321"/>
  <c r="O465" i="321"/>
  <c r="O49" i="288"/>
  <c r="O43" i="288"/>
  <c r="O23" i="328"/>
  <c r="O87" i="265"/>
  <c r="O487" i="321"/>
  <c r="O480" i="321"/>
  <c r="O50" i="288"/>
  <c r="O24" i="328"/>
  <c r="O486" i="321"/>
  <c r="O488" i="321"/>
  <c r="P483" i="321"/>
  <c r="O124" i="265"/>
  <c r="O88" i="265"/>
  <c r="O89" i="265"/>
  <c r="O10" i="286"/>
  <c r="O9" i="286"/>
  <c r="O11" i="286"/>
  <c r="P452" i="321"/>
  <c r="P454" i="321"/>
  <c r="P477" i="321"/>
  <c r="P455" i="321"/>
  <c r="P35" i="282"/>
  <c r="P40" i="282"/>
  <c r="P468" i="321"/>
  <c r="P462" i="321"/>
  <c r="O14" i="286"/>
  <c r="N21" i="286"/>
  <c r="N22" i="286"/>
  <c r="O19" i="286"/>
  <c r="O13" i="286"/>
  <c r="O16" i="286"/>
  <c r="O27" i="286"/>
  <c r="O17" i="286"/>
  <c r="O28" i="286"/>
  <c r="O29" i="286"/>
  <c r="O32" i="286"/>
  <c r="N39" i="286"/>
  <c r="N40" i="286"/>
  <c r="O37" i="286"/>
  <c r="O31" i="286"/>
  <c r="O34" i="286"/>
  <c r="O21" i="286"/>
  <c r="O22" i="286"/>
  <c r="O51" i="288"/>
  <c r="P48" i="282"/>
  <c r="P27" i="265"/>
  <c r="P19" i="286"/>
  <c r="O126" i="265"/>
  <c r="O35" i="286"/>
  <c r="O39" i="286"/>
  <c r="O40" i="286"/>
  <c r="O52" i="288"/>
  <c r="O91" i="265"/>
  <c r="P37" i="286"/>
  <c r="O127" i="265"/>
  <c r="O92" i="265"/>
  <c r="P13" i="286"/>
  <c r="O92" i="277"/>
  <c r="O93" i="265"/>
  <c r="P31" i="286"/>
  <c r="O54" i="286"/>
  <c r="O75" i="286"/>
  <c r="O74" i="286"/>
  <c r="O76" i="286"/>
  <c r="O79" i="286"/>
  <c r="N46" i="286"/>
  <c r="N47" i="286"/>
  <c r="N48" i="286"/>
  <c r="O45" i="286"/>
  <c r="O70" i="286"/>
  <c r="O31" i="265"/>
  <c r="O33" i="265"/>
  <c r="O71" i="286"/>
  <c r="O72" i="286"/>
  <c r="O78" i="286"/>
  <c r="O80" i="286"/>
  <c r="O55" i="286"/>
  <c r="O47" i="286"/>
  <c r="O46" i="286"/>
  <c r="O48" i="286"/>
  <c r="O48" i="288"/>
  <c r="O42" i="288"/>
  <c r="O44" i="288"/>
  <c r="O81" i="286"/>
  <c r="O25" i="328"/>
  <c r="O35" i="265"/>
  <c r="O95" i="265"/>
  <c r="O47" i="288"/>
  <c r="O54" i="288"/>
  <c r="P45" i="286"/>
  <c r="O128" i="265"/>
  <c r="O129" i="265"/>
  <c r="O135" i="265"/>
  <c r="P70" i="286"/>
  <c r="O57" i="288"/>
  <c r="O96" i="265"/>
  <c r="P29" i="265"/>
  <c r="P44" i="282"/>
  <c r="P49" i="282"/>
  <c r="P52" i="282"/>
  <c r="P53" i="282"/>
  <c r="P62" i="282"/>
  <c r="P58" i="282"/>
  <c r="O55" i="282"/>
  <c r="O56" i="282"/>
  <c r="O68" i="282"/>
  <c r="O69" i="282"/>
  <c r="O70" i="282"/>
  <c r="P67" i="282"/>
  <c r="P59" i="282"/>
  <c r="P60" i="282"/>
  <c r="P63" i="282"/>
  <c r="P64" i="282"/>
  <c r="P75" i="282"/>
  <c r="P76" i="282"/>
  <c r="P77" i="282"/>
  <c r="P46" i="265"/>
  <c r="P47" i="265"/>
  <c r="M46" i="277"/>
  <c r="M47" i="277"/>
  <c r="P27" i="288"/>
  <c r="P29" i="288"/>
  <c r="P65" i="265"/>
  <c r="P77" i="265"/>
  <c r="P85" i="288"/>
  <c r="P65" i="288"/>
  <c r="P68" i="288"/>
  <c r="P113" i="288"/>
  <c r="P20" i="328"/>
  <c r="M40" i="328"/>
  <c r="P10" i="321"/>
  <c r="P12" i="321"/>
  <c r="P32" i="288"/>
  <c r="M65" i="277"/>
  <c r="M77" i="277"/>
  <c r="P39" i="311"/>
  <c r="P70" i="288"/>
  <c r="P57" i="328"/>
  <c r="M68" i="328"/>
  <c r="P87" i="288"/>
  <c r="P89" i="288"/>
  <c r="P92" i="288"/>
  <c r="P94" i="288"/>
  <c r="P49" i="314"/>
  <c r="O56" i="286"/>
  <c r="P53" i="286"/>
  <c r="P48" i="314"/>
  <c r="P51" i="314"/>
  <c r="P53" i="314"/>
  <c r="P54" i="314"/>
  <c r="P64" i="314"/>
  <c r="P66" i="314"/>
  <c r="P56" i="314"/>
  <c r="P58" i="314"/>
  <c r="P80" i="311"/>
  <c r="P60" i="314"/>
  <c r="P62" i="314"/>
  <c r="P67" i="314"/>
  <c r="P82" i="314"/>
  <c r="P79" i="265"/>
  <c r="P73" i="314"/>
  <c r="P75" i="314"/>
  <c r="P80" i="265"/>
  <c r="M80" i="277"/>
  <c r="P83" i="314"/>
  <c r="P84" i="314"/>
  <c r="M79" i="277"/>
  <c r="P82" i="265"/>
  <c r="P85" i="265"/>
  <c r="M82" i="277"/>
  <c r="Q81" i="314"/>
  <c r="P111" i="265"/>
  <c r="P87" i="314"/>
  <c r="P90" i="314"/>
  <c r="P60" i="328"/>
  <c r="M71" i="328"/>
  <c r="M111" i="277"/>
  <c r="Q37" i="314"/>
  <c r="Q40" i="314"/>
  <c r="Q61" i="314"/>
  <c r="M85" i="277"/>
  <c r="P459" i="321"/>
  <c r="P458" i="321"/>
  <c r="P460" i="321"/>
  <c r="P463" i="321"/>
  <c r="P464" i="321"/>
  <c r="P473" i="321"/>
  <c r="Q43" i="314"/>
  <c r="Q45" i="314"/>
  <c r="Q70" i="314"/>
  <c r="Q71" i="314"/>
  <c r="Q74" i="314"/>
  <c r="Q65" i="314"/>
  <c r="P469" i="321"/>
  <c r="P470" i="321"/>
  <c r="P474" i="321"/>
  <c r="P475" i="321"/>
  <c r="P478" i="321"/>
  <c r="P479" i="321"/>
  <c r="P465" i="321"/>
  <c r="P49" i="288"/>
  <c r="P43" i="288"/>
  <c r="P23" i="328"/>
  <c r="M43" i="328"/>
  <c r="P87" i="265"/>
  <c r="P487" i="321"/>
  <c r="P480" i="321"/>
  <c r="P50" i="288"/>
  <c r="P24" i="328"/>
  <c r="M44" i="328"/>
  <c r="P486" i="321"/>
  <c r="P488" i="321"/>
  <c r="Q483" i="321"/>
  <c r="P124" i="265"/>
  <c r="P88" i="265"/>
  <c r="M88" i="277"/>
  <c r="M87" i="277"/>
  <c r="P89" i="265"/>
  <c r="P10" i="286"/>
  <c r="P9" i="286"/>
  <c r="P11" i="286"/>
  <c r="M89" i="277"/>
  <c r="M124" i="277"/>
  <c r="Q452" i="321"/>
  <c r="Q454" i="321"/>
  <c r="Q477" i="321"/>
  <c r="Q455" i="321"/>
  <c r="Q35" i="282"/>
  <c r="Q40" i="282"/>
  <c r="Q468" i="321"/>
  <c r="Q462" i="321"/>
  <c r="P14" i="286"/>
  <c r="P16" i="286"/>
  <c r="P27" i="286"/>
  <c r="P17" i="286"/>
  <c r="P28" i="286"/>
  <c r="P29" i="286"/>
  <c r="P32" i="286"/>
  <c r="P34" i="286"/>
  <c r="P21" i="286"/>
  <c r="P22" i="286"/>
  <c r="P51" i="288"/>
  <c r="Q48" i="282"/>
  <c r="Q27" i="265"/>
  <c r="Q19" i="286"/>
  <c r="P126" i="265"/>
  <c r="P35" i="286"/>
  <c r="P39" i="286"/>
  <c r="P40" i="286"/>
  <c r="P52" i="288"/>
  <c r="P91" i="265"/>
  <c r="M91" i="277"/>
  <c r="Q37" i="286"/>
  <c r="P127" i="265"/>
  <c r="M127" i="277"/>
  <c r="P92" i="265"/>
  <c r="M126" i="277"/>
  <c r="Q13" i="286"/>
  <c r="P92" i="277"/>
  <c r="P93" i="265"/>
  <c r="Q31" i="286"/>
  <c r="M92" i="277"/>
  <c r="M93" i="277"/>
  <c r="P54" i="286"/>
  <c r="P75" i="286"/>
  <c r="P74" i="286"/>
  <c r="P76" i="286"/>
  <c r="P79" i="286"/>
  <c r="P31" i="265"/>
  <c r="P33" i="265"/>
  <c r="P71" i="286"/>
  <c r="P72" i="286"/>
  <c r="P78" i="286"/>
  <c r="P80" i="286"/>
  <c r="P55" i="286"/>
  <c r="P47" i="286"/>
  <c r="P46" i="286"/>
  <c r="P48" i="286"/>
  <c r="P48" i="288"/>
  <c r="P42" i="288"/>
  <c r="P44" i="288"/>
  <c r="P81" i="286"/>
  <c r="P25" i="328"/>
  <c r="M45" i="328"/>
  <c r="P35" i="265"/>
  <c r="P95" i="265"/>
  <c r="P47" i="288"/>
  <c r="P54" i="288"/>
  <c r="Q45" i="286"/>
  <c r="P128" i="265"/>
  <c r="M128" i="277"/>
  <c r="M129" i="277"/>
  <c r="M135" i="277"/>
  <c r="Q70" i="286"/>
  <c r="P57" i="288"/>
  <c r="M95" i="277"/>
  <c r="P96" i="265"/>
  <c r="M35" i="277"/>
  <c r="M96" i="277"/>
  <c r="Q29" i="265"/>
  <c r="Q44" i="282"/>
  <c r="Q49" i="282"/>
  <c r="Q52" i="282"/>
  <c r="Q53" i="282"/>
  <c r="Q62" i="282"/>
  <c r="Q58" i="282"/>
  <c r="P55" i="282"/>
  <c r="P56" i="282"/>
  <c r="P68" i="282"/>
  <c r="P69" i="282"/>
  <c r="P70" i="282"/>
  <c r="Q67" i="282"/>
  <c r="Q59" i="282"/>
  <c r="Q60" i="282"/>
  <c r="Q63" i="282"/>
  <c r="Q64" i="282"/>
  <c r="Q75" i="282"/>
  <c r="Q76" i="282"/>
  <c r="Q77" i="282"/>
  <c r="Q46" i="265"/>
  <c r="Q47" i="265"/>
  <c r="Q27" i="288"/>
  <c r="Q29" i="288"/>
  <c r="Q65" i="265"/>
  <c r="Q77" i="265"/>
  <c r="Q85" i="288"/>
  <c r="Q65" i="288"/>
  <c r="Q68" i="288"/>
  <c r="Q113" i="288"/>
  <c r="Q20" i="328"/>
  <c r="Q10" i="321"/>
  <c r="Q12" i="321"/>
  <c r="Q32" i="288"/>
  <c r="Q39" i="311"/>
  <c r="Q70" i="288"/>
  <c r="Q57" i="328"/>
  <c r="Q87" i="288"/>
  <c r="Q89" i="288"/>
  <c r="Q92" i="288"/>
  <c r="Q94" i="288"/>
  <c r="Q49" i="314"/>
  <c r="P56" i="286"/>
  <c r="Q53" i="286"/>
  <c r="Q48" i="314"/>
  <c r="Q51" i="314"/>
  <c r="Q53" i="314"/>
  <c r="Q54" i="314"/>
  <c r="Q64" i="314"/>
  <c r="Q66" i="314"/>
  <c r="Q56" i="314"/>
  <c r="Q58" i="314"/>
  <c r="Q80" i="311"/>
  <c r="Q60" i="314"/>
  <c r="Q62" i="314"/>
  <c r="Q67" i="314"/>
  <c r="Q82" i="314"/>
  <c r="Q79" i="265"/>
  <c r="Q73" i="314"/>
  <c r="Q75" i="314"/>
  <c r="Q80" i="265"/>
  <c r="Q83" i="314"/>
  <c r="Q84" i="314"/>
  <c r="Q82" i="265"/>
  <c r="Q85" i="265"/>
  <c r="R81" i="314"/>
  <c r="Q111" i="265"/>
  <c r="Q60" i="328"/>
  <c r="Q87" i="314"/>
  <c r="Q90" i="314"/>
  <c r="R37" i="314"/>
  <c r="R40" i="314"/>
  <c r="R61" i="314"/>
  <c r="Q459" i="321"/>
  <c r="Q458" i="321"/>
  <c r="Q460" i="321"/>
  <c r="Q463" i="321"/>
  <c r="Q464" i="321"/>
  <c r="Q473" i="321"/>
  <c r="R43" i="314"/>
  <c r="R45" i="314"/>
  <c r="R70" i="314"/>
  <c r="R71" i="314"/>
  <c r="R74" i="314"/>
  <c r="R65" i="314"/>
  <c r="Q469" i="321"/>
  <c r="Q470" i="321"/>
  <c r="Q474" i="321"/>
  <c r="Q475" i="321"/>
  <c r="Q478" i="321"/>
  <c r="Q479" i="321"/>
  <c r="Q465" i="321"/>
  <c r="Q49" i="288"/>
  <c r="Q43" i="288"/>
  <c r="Q23" i="328"/>
  <c r="Q87" i="265"/>
  <c r="Q487" i="321"/>
  <c r="Q480" i="321"/>
  <c r="Q50" i="288"/>
  <c r="Q24" i="328"/>
  <c r="Q486" i="321"/>
  <c r="Q488" i="321"/>
  <c r="R483" i="321"/>
  <c r="Q124" i="265"/>
  <c r="Q88" i="265"/>
  <c r="Q89" i="265"/>
  <c r="Q10" i="286"/>
  <c r="Q9" i="286"/>
  <c r="Q11" i="286"/>
  <c r="R452" i="321"/>
  <c r="R454" i="321"/>
  <c r="R477" i="321"/>
  <c r="R455" i="321"/>
  <c r="R35" i="282"/>
  <c r="R40" i="282"/>
  <c r="R468" i="321"/>
  <c r="R462" i="321"/>
  <c r="Q14" i="286"/>
  <c r="Q16" i="286"/>
  <c r="Q27" i="286"/>
  <c r="Q17" i="286"/>
  <c r="Q28" i="286"/>
  <c r="Q29" i="286"/>
  <c r="Q32" i="286"/>
  <c r="Q34" i="286"/>
  <c r="Q21" i="286"/>
  <c r="Q22" i="286"/>
  <c r="Q51" i="288"/>
  <c r="R48" i="282"/>
  <c r="R27" i="265"/>
  <c r="N27" i="277"/>
  <c r="R19" i="286"/>
  <c r="Q126" i="265"/>
  <c r="Q35" i="286"/>
  <c r="Q39" i="286"/>
  <c r="Q40" i="286"/>
  <c r="Q52" i="288"/>
  <c r="Q91" i="265"/>
  <c r="R37" i="286"/>
  <c r="Q127" i="265"/>
  <c r="Q92" i="265"/>
  <c r="R13" i="286"/>
  <c r="Q92" i="277"/>
  <c r="Q93" i="265"/>
  <c r="R31" i="286"/>
  <c r="Q54" i="286"/>
  <c r="Q75" i="286"/>
  <c r="Q74" i="286"/>
  <c r="Q76" i="286"/>
  <c r="Q79" i="286"/>
  <c r="Q31" i="265"/>
  <c r="Q33" i="265"/>
  <c r="Q71" i="286"/>
  <c r="Q72" i="286"/>
  <c r="Q78" i="286"/>
  <c r="Q80" i="286"/>
  <c r="Q55" i="286"/>
  <c r="Q47" i="286"/>
  <c r="Q46" i="286"/>
  <c r="Q48" i="286"/>
  <c r="Q48" i="288"/>
  <c r="Q42" i="288"/>
  <c r="Q44" i="288"/>
  <c r="Q81" i="286"/>
  <c r="Q25" i="328"/>
  <c r="Q35" i="265"/>
  <c r="Q95" i="265"/>
  <c r="Q47" i="288"/>
  <c r="Q54" i="288"/>
  <c r="R45" i="286"/>
  <c r="Q128" i="265"/>
  <c r="Q129" i="265"/>
  <c r="Q135" i="265"/>
  <c r="R70" i="286"/>
  <c r="Q57" i="288"/>
  <c r="Q96" i="265"/>
  <c r="R29" i="265"/>
  <c r="R44" i="282"/>
  <c r="R49" i="282"/>
  <c r="R52" i="282"/>
  <c r="R53" i="282"/>
  <c r="R62" i="282"/>
  <c r="R58" i="282"/>
  <c r="Q55" i="282"/>
  <c r="Q56" i="282"/>
  <c r="Q68" i="282"/>
  <c r="Q69" i="282"/>
  <c r="Q70" i="282"/>
  <c r="R67" i="282"/>
  <c r="R59" i="282"/>
  <c r="R60" i="282"/>
  <c r="R63" i="282"/>
  <c r="R64" i="282"/>
  <c r="R75" i="282"/>
  <c r="R76" i="282"/>
  <c r="R77" i="282"/>
  <c r="R46" i="265"/>
  <c r="R47" i="265"/>
  <c r="N46" i="277"/>
  <c r="N47" i="277"/>
  <c r="R27" i="288"/>
  <c r="R29" i="288"/>
  <c r="R65" i="265"/>
  <c r="R77" i="265"/>
  <c r="R85" i="288"/>
  <c r="R65" i="288"/>
  <c r="R68" i="288"/>
  <c r="R113" i="288"/>
  <c r="R20" i="328"/>
  <c r="N40" i="328"/>
  <c r="R10" i="321"/>
  <c r="R12" i="321"/>
  <c r="R32" i="288"/>
  <c r="N65" i="277"/>
  <c r="N77" i="277"/>
  <c r="R39" i="311"/>
  <c r="R70" i="288"/>
  <c r="R57" i="328"/>
  <c r="N68" i="328"/>
  <c r="R87" i="288"/>
  <c r="R89" i="288"/>
  <c r="R92" i="288"/>
  <c r="R94" i="288"/>
  <c r="R49" i="314"/>
  <c r="Q56" i="286"/>
  <c r="R53" i="286"/>
  <c r="R48" i="314"/>
  <c r="R51" i="314"/>
  <c r="R53" i="314"/>
  <c r="R54" i="314"/>
  <c r="R64" i="314"/>
  <c r="R66" i="314"/>
  <c r="R56" i="314"/>
  <c r="R58" i="314"/>
  <c r="R80" i="311"/>
  <c r="R60" i="314"/>
  <c r="R62" i="314"/>
  <c r="R67" i="314"/>
  <c r="R82" i="314"/>
  <c r="R79" i="265"/>
  <c r="R73" i="314"/>
  <c r="R75" i="314"/>
  <c r="R80" i="265"/>
  <c r="N80" i="277"/>
  <c r="R83" i="314"/>
  <c r="R84" i="314"/>
  <c r="N79" i="277"/>
  <c r="R82" i="265"/>
  <c r="R85" i="265"/>
  <c r="N82" i="277"/>
  <c r="S81" i="314"/>
  <c r="R111" i="265"/>
  <c r="R87" i="314"/>
  <c r="R90" i="314"/>
  <c r="R60" i="328"/>
  <c r="N71" i="328"/>
  <c r="N111" i="277"/>
  <c r="S37" i="314"/>
  <c r="S40" i="314"/>
  <c r="S61" i="314"/>
  <c r="N85" i="277"/>
  <c r="R459" i="321"/>
  <c r="R458" i="321"/>
  <c r="R460" i="321"/>
  <c r="R463" i="321"/>
  <c r="R464" i="321"/>
  <c r="R473" i="321"/>
  <c r="S43" i="314"/>
  <c r="S45" i="314"/>
  <c r="S70" i="314"/>
  <c r="S71" i="314"/>
  <c r="S74" i="314"/>
  <c r="S65" i="314"/>
  <c r="R469" i="321"/>
  <c r="R470" i="321"/>
  <c r="R474" i="321"/>
  <c r="R475" i="321"/>
  <c r="R478" i="321"/>
  <c r="R479" i="321"/>
  <c r="R465" i="321"/>
  <c r="R49" i="288"/>
  <c r="R43" i="288"/>
  <c r="R23" i="328"/>
  <c r="N43" i="328"/>
  <c r="R87" i="265"/>
  <c r="R487" i="321"/>
  <c r="R480" i="321"/>
  <c r="R50" i="288"/>
  <c r="R24" i="328"/>
  <c r="N44" i="328"/>
  <c r="R486" i="321"/>
  <c r="R488" i="321"/>
  <c r="S483" i="321"/>
  <c r="R124" i="265"/>
  <c r="R88" i="265"/>
  <c r="N88" i="277"/>
  <c r="N87" i="277"/>
  <c r="R89" i="265"/>
  <c r="R10" i="286"/>
  <c r="R9" i="286"/>
  <c r="R11" i="286"/>
  <c r="N89" i="277"/>
  <c r="N124" i="277"/>
  <c r="S452" i="321"/>
  <c r="S454" i="321"/>
  <c r="S477" i="321"/>
  <c r="S455" i="321"/>
  <c r="S35" i="282"/>
  <c r="S40" i="282"/>
  <c r="S468" i="321"/>
  <c r="S462" i="321"/>
  <c r="R14" i="286"/>
  <c r="R16" i="286"/>
  <c r="R27" i="286"/>
  <c r="R17" i="286"/>
  <c r="R28" i="286"/>
  <c r="R29" i="286"/>
  <c r="R32" i="286"/>
  <c r="R34" i="286"/>
  <c r="R21" i="286"/>
  <c r="R22" i="286"/>
  <c r="R51" i="288"/>
  <c r="S48" i="282"/>
  <c r="S27" i="265"/>
  <c r="S19" i="286"/>
  <c r="R126" i="265"/>
  <c r="R35" i="286"/>
  <c r="R39" i="286"/>
  <c r="R40" i="286"/>
  <c r="R52" i="288"/>
  <c r="R91" i="265"/>
  <c r="N91" i="277"/>
  <c r="S37" i="286"/>
  <c r="R127" i="265"/>
  <c r="N127" i="277"/>
  <c r="R92" i="265"/>
  <c r="N126" i="277"/>
  <c r="S13" i="286"/>
  <c r="R92" i="277"/>
  <c r="R93" i="265"/>
  <c r="S31" i="286"/>
  <c r="N92" i="277"/>
  <c r="N93" i="277"/>
  <c r="R54" i="286"/>
  <c r="R75" i="286"/>
  <c r="R74" i="286"/>
  <c r="R76" i="286"/>
  <c r="R79" i="286"/>
  <c r="R31" i="265"/>
  <c r="R33" i="265"/>
  <c r="R71" i="286"/>
  <c r="R72" i="286"/>
  <c r="R78" i="286"/>
  <c r="R80" i="286"/>
  <c r="R55" i="286"/>
  <c r="R47" i="286"/>
  <c r="R46" i="286"/>
  <c r="R48" i="286"/>
  <c r="R48" i="288"/>
  <c r="R42" i="288"/>
  <c r="R44" i="288"/>
  <c r="R81" i="286"/>
  <c r="R25" i="328"/>
  <c r="N45" i="328"/>
  <c r="R35" i="265"/>
  <c r="R95" i="265"/>
  <c r="R47" i="288"/>
  <c r="R54" i="288"/>
  <c r="S45" i="286"/>
  <c r="R128" i="265"/>
  <c r="N128" i="277"/>
  <c r="N129" i="277"/>
  <c r="N135" i="277"/>
  <c r="S70" i="286"/>
  <c r="R57" i="288"/>
  <c r="N95" i="277"/>
  <c r="R96" i="265"/>
  <c r="N35" i="277"/>
  <c r="N96" i="277"/>
  <c r="S29" i="265"/>
  <c r="S44" i="282"/>
  <c r="S49" i="282"/>
  <c r="S52" i="282"/>
  <c r="S53" i="282"/>
  <c r="S62" i="282"/>
  <c r="S58" i="282"/>
  <c r="R55" i="282"/>
  <c r="R56" i="282"/>
  <c r="R68" i="282"/>
  <c r="R69" i="282"/>
  <c r="R70" i="282"/>
  <c r="S67" i="282"/>
  <c r="S59" i="282"/>
  <c r="S60" i="282"/>
  <c r="S63" i="282"/>
  <c r="S64" i="282"/>
  <c r="S75" i="282"/>
  <c r="S76" i="282"/>
  <c r="S77" i="282"/>
  <c r="S46" i="265"/>
  <c r="S47" i="265"/>
  <c r="S27" i="288"/>
  <c r="S29" i="288"/>
  <c r="S65" i="265"/>
  <c r="S77" i="265"/>
  <c r="S85" i="288"/>
  <c r="S65" i="288"/>
  <c r="S68" i="288"/>
  <c r="S113" i="288"/>
  <c r="S10" i="321"/>
  <c r="S12" i="321"/>
  <c r="S20" i="328"/>
  <c r="S32" i="288"/>
  <c r="S39" i="311"/>
  <c r="S70" i="288"/>
  <c r="S57" i="328"/>
  <c r="S87" i="288"/>
  <c r="S89" i="288"/>
  <c r="S92" i="288"/>
  <c r="S94" i="288"/>
  <c r="S49" i="314"/>
  <c r="R56" i="286"/>
  <c r="S53" i="286"/>
  <c r="S48" i="314"/>
  <c r="S51" i="314"/>
  <c r="S53" i="314"/>
  <c r="S54" i="314"/>
  <c r="S64" i="314"/>
  <c r="S66" i="314"/>
  <c r="S56" i="314"/>
  <c r="S58" i="314"/>
  <c r="S80" i="311"/>
  <c r="S60" i="314"/>
  <c r="S62" i="314"/>
  <c r="S67" i="314"/>
  <c r="S82" i="314"/>
  <c r="S79" i="265"/>
  <c r="S73" i="314"/>
  <c r="S75" i="314"/>
  <c r="S80" i="265"/>
  <c r="S83" i="314"/>
  <c r="S84" i="314"/>
  <c r="S82" i="265"/>
  <c r="S85" i="265"/>
  <c r="T81" i="314"/>
  <c r="S111" i="265"/>
  <c r="S60" i="328"/>
  <c r="S87" i="314"/>
  <c r="S90" i="314"/>
  <c r="T37" i="314"/>
  <c r="T40" i="314"/>
  <c r="T61" i="314"/>
  <c r="S459" i="321"/>
  <c r="S458" i="321"/>
  <c r="S460" i="321"/>
  <c r="S463" i="321"/>
  <c r="S464" i="321"/>
  <c r="S473" i="321"/>
  <c r="T43" i="314"/>
  <c r="T45" i="314"/>
  <c r="T70" i="314"/>
  <c r="T71" i="314"/>
  <c r="T74" i="314"/>
  <c r="T65" i="314"/>
  <c r="S469" i="321"/>
  <c r="S470" i="321"/>
  <c r="S474" i="321"/>
  <c r="S475" i="321"/>
  <c r="S478" i="321"/>
  <c r="S479" i="321"/>
  <c r="S465" i="321"/>
  <c r="S49" i="288"/>
  <c r="S43" i="288"/>
  <c r="S23" i="328"/>
  <c r="S87" i="265"/>
  <c r="S487" i="321"/>
  <c r="S480" i="321"/>
  <c r="S50" i="288"/>
  <c r="S24" i="328"/>
  <c r="S486" i="321"/>
  <c r="S488" i="321"/>
  <c r="T483" i="321"/>
  <c r="S124" i="265"/>
  <c r="S88" i="265"/>
  <c r="S89" i="265"/>
  <c r="S10" i="286"/>
  <c r="S9" i="286"/>
  <c r="S11" i="286"/>
  <c r="T452" i="321"/>
  <c r="T454" i="321"/>
  <c r="T477" i="321"/>
  <c r="T455" i="321"/>
  <c r="T35" i="282"/>
  <c r="T40" i="282"/>
  <c r="T468" i="321"/>
  <c r="T462" i="321"/>
  <c r="S14" i="286"/>
  <c r="S16" i="286"/>
  <c r="S27" i="286"/>
  <c r="S17" i="286"/>
  <c r="S28" i="286"/>
  <c r="S29" i="286"/>
  <c r="S32" i="286"/>
  <c r="S34" i="286"/>
  <c r="S21" i="286"/>
  <c r="S22" i="286"/>
  <c r="S51" i="288"/>
  <c r="T48" i="282"/>
  <c r="T27" i="265"/>
  <c r="O27" i="277"/>
  <c r="T19" i="286"/>
  <c r="S126" i="265"/>
  <c r="S35" i="286"/>
  <c r="S39" i="286"/>
  <c r="S40" i="286"/>
  <c r="S52" i="288"/>
  <c r="S91" i="265"/>
  <c r="T37" i="286"/>
  <c r="S127" i="265"/>
  <c r="S92" i="265"/>
  <c r="T13" i="286"/>
  <c r="S92" i="277"/>
  <c r="S93" i="265"/>
  <c r="T31" i="286"/>
  <c r="S54" i="286"/>
  <c r="S75" i="286"/>
  <c r="S74" i="286"/>
  <c r="S76" i="286"/>
  <c r="S79" i="286"/>
  <c r="S31" i="265"/>
  <c r="S33" i="265"/>
  <c r="S71" i="286"/>
  <c r="S72" i="286"/>
  <c r="S78" i="286"/>
  <c r="S80" i="286"/>
  <c r="S55" i="286"/>
  <c r="S47" i="286"/>
  <c r="S46" i="286"/>
  <c r="S48" i="286"/>
  <c r="S48" i="288"/>
  <c r="S42" i="288"/>
  <c r="S44" i="288"/>
  <c r="S81" i="286"/>
  <c r="S25" i="328"/>
  <c r="S35" i="265"/>
  <c r="S95" i="265"/>
  <c r="S47" i="288"/>
  <c r="S54" i="288"/>
  <c r="T45" i="286"/>
  <c r="S128" i="265"/>
  <c r="S129" i="265"/>
  <c r="S135" i="265"/>
  <c r="T70" i="286"/>
  <c r="S57" i="288"/>
  <c r="S96" i="265"/>
  <c r="T29" i="265"/>
  <c r="T44" i="282"/>
  <c r="T49" i="282"/>
  <c r="T52" i="282"/>
  <c r="T53" i="282"/>
  <c r="T62" i="282"/>
  <c r="T58" i="282"/>
  <c r="S55" i="282"/>
  <c r="S56" i="282"/>
  <c r="S68" i="282"/>
  <c r="S69" i="282"/>
  <c r="S70" i="282"/>
  <c r="T67" i="282"/>
  <c r="T59" i="282"/>
  <c r="T60" i="282"/>
  <c r="T63" i="282"/>
  <c r="T64" i="282"/>
  <c r="T75" i="282"/>
  <c r="T76" i="282"/>
  <c r="T77" i="282"/>
  <c r="T46" i="265"/>
  <c r="T47" i="265"/>
  <c r="O46" i="277"/>
  <c r="O47" i="277"/>
  <c r="T27" i="288"/>
  <c r="T29" i="288"/>
  <c r="T65" i="265"/>
  <c r="T77" i="265"/>
  <c r="T85" i="288"/>
  <c r="T65" i="288"/>
  <c r="T68" i="288"/>
  <c r="T113" i="288"/>
  <c r="T10" i="321"/>
  <c r="T12" i="321"/>
  <c r="T20" i="328"/>
  <c r="O40" i="328"/>
  <c r="T32" i="288"/>
  <c r="O65" i="277"/>
  <c r="O77" i="277"/>
  <c r="T39" i="311"/>
  <c r="T70" i="288"/>
  <c r="T57" i="328"/>
  <c r="O68" i="328"/>
  <c r="T87" i="288"/>
  <c r="T89" i="288"/>
  <c r="T92" i="288"/>
  <c r="T94" i="288"/>
  <c r="T49" i="314"/>
  <c r="S56" i="286"/>
  <c r="T53" i="286"/>
  <c r="T48" i="314"/>
  <c r="T51" i="314"/>
  <c r="T53" i="314"/>
  <c r="T54" i="314"/>
  <c r="T64" i="314"/>
  <c r="T66" i="314"/>
  <c r="T56" i="314"/>
  <c r="T58" i="314"/>
  <c r="T80" i="311"/>
  <c r="T60" i="314"/>
  <c r="T62" i="314"/>
  <c r="T67" i="314"/>
  <c r="T82" i="314"/>
  <c r="T79" i="265"/>
  <c r="T73" i="314"/>
  <c r="T75" i="314"/>
  <c r="T80" i="265"/>
  <c r="O80" i="277"/>
  <c r="T83" i="314"/>
  <c r="T84" i="314"/>
  <c r="O79" i="277"/>
  <c r="T82" i="265"/>
  <c r="T85" i="265"/>
  <c r="O82" i="277"/>
  <c r="U81" i="314"/>
  <c r="T111" i="265"/>
  <c r="T87" i="314"/>
  <c r="T90" i="314"/>
  <c r="T60" i="328"/>
  <c r="O71" i="328"/>
  <c r="O111" i="277"/>
  <c r="U37" i="314"/>
  <c r="U40" i="314"/>
  <c r="U61" i="314"/>
  <c r="O85" i="277"/>
  <c r="T459" i="321"/>
  <c r="T458" i="321"/>
  <c r="T460" i="321"/>
  <c r="T463" i="321"/>
  <c r="T464" i="321"/>
  <c r="T473" i="321"/>
  <c r="U43" i="314"/>
  <c r="U45" i="314"/>
  <c r="U70" i="314"/>
  <c r="U71" i="314"/>
  <c r="U74" i="314"/>
  <c r="U65" i="314"/>
  <c r="T469" i="321"/>
  <c r="T470" i="321"/>
  <c r="T474" i="321"/>
  <c r="T475" i="321"/>
  <c r="T478" i="321"/>
  <c r="T479" i="321"/>
  <c r="T465" i="321"/>
  <c r="T49" i="288"/>
  <c r="T43" i="288"/>
  <c r="T23" i="328"/>
  <c r="O43" i="328"/>
  <c r="T87" i="265"/>
  <c r="T487" i="321"/>
  <c r="T480" i="321"/>
  <c r="T50" i="288"/>
  <c r="T24" i="328"/>
  <c r="O44" i="328"/>
  <c r="T486" i="321"/>
  <c r="T488" i="321"/>
  <c r="U483" i="321"/>
  <c r="T124" i="265"/>
  <c r="T88" i="265"/>
  <c r="O88" i="277"/>
  <c r="O87" i="277"/>
  <c r="T89" i="265"/>
  <c r="T10" i="286"/>
  <c r="T9" i="286"/>
  <c r="T11" i="286"/>
  <c r="O89" i="277"/>
  <c r="O124" i="277"/>
  <c r="U452" i="321"/>
  <c r="U454" i="321"/>
  <c r="U477" i="321"/>
  <c r="U455" i="321"/>
  <c r="U35" i="282"/>
  <c r="U40" i="282"/>
  <c r="U468" i="321"/>
  <c r="U462" i="321"/>
  <c r="T14" i="286"/>
  <c r="T16" i="286"/>
  <c r="T27" i="286"/>
  <c r="T17" i="286"/>
  <c r="T28" i="286"/>
  <c r="T29" i="286"/>
  <c r="T32" i="286"/>
  <c r="T34" i="286"/>
  <c r="T21" i="286"/>
  <c r="T22" i="286"/>
  <c r="T51" i="288"/>
  <c r="U48" i="282"/>
  <c r="U27" i="265"/>
  <c r="U19" i="286"/>
  <c r="T126" i="265"/>
  <c r="T35" i="286"/>
  <c r="T39" i="286"/>
  <c r="T40" i="286"/>
  <c r="T52" i="288"/>
  <c r="T91" i="265"/>
  <c r="O91" i="277"/>
  <c r="U37" i="286"/>
  <c r="T127" i="265"/>
  <c r="O127" i="277"/>
  <c r="T92" i="265"/>
  <c r="O126" i="277"/>
  <c r="U13" i="286"/>
  <c r="T92" i="277"/>
  <c r="T93" i="265"/>
  <c r="U31" i="286"/>
  <c r="O93" i="277"/>
  <c r="T54" i="286"/>
  <c r="T75" i="286"/>
  <c r="T74" i="286"/>
  <c r="T76" i="286"/>
  <c r="T79" i="286"/>
  <c r="T31" i="265"/>
  <c r="T33" i="265"/>
  <c r="T71" i="286"/>
  <c r="T72" i="286"/>
  <c r="T78" i="286"/>
  <c r="T80" i="286"/>
  <c r="T55" i="286"/>
  <c r="T47" i="286"/>
  <c r="T46" i="286"/>
  <c r="T48" i="286"/>
  <c r="T48" i="288"/>
  <c r="T42" i="288"/>
  <c r="T44" i="288"/>
  <c r="T81" i="286"/>
  <c r="T25" i="328"/>
  <c r="O45" i="328"/>
  <c r="T35" i="265"/>
  <c r="T95" i="265"/>
  <c r="T47" i="288"/>
  <c r="T54" i="288"/>
  <c r="U45" i="286"/>
  <c r="T128" i="265"/>
  <c r="O128" i="277"/>
  <c r="O129" i="277"/>
  <c r="O135" i="277"/>
  <c r="U70" i="286"/>
  <c r="T57" i="288"/>
  <c r="O95" i="277"/>
  <c r="T96" i="265"/>
  <c r="O35" i="277"/>
  <c r="O96" i="277"/>
  <c r="U29" i="265"/>
  <c r="U44" i="282"/>
  <c r="U49" i="282"/>
  <c r="U52" i="282"/>
  <c r="U53" i="282"/>
  <c r="U62" i="282"/>
  <c r="U58" i="282"/>
  <c r="T55" i="282"/>
  <c r="T56" i="282"/>
  <c r="T68" i="282"/>
  <c r="T69" i="282"/>
  <c r="T70" i="282"/>
  <c r="U67" i="282"/>
  <c r="U59" i="282"/>
  <c r="U60" i="282"/>
  <c r="U63" i="282"/>
  <c r="U64" i="282"/>
  <c r="U75" i="282"/>
  <c r="U76" i="282"/>
  <c r="U77" i="282"/>
  <c r="U46" i="265"/>
  <c r="U47" i="265"/>
  <c r="U27" i="288"/>
  <c r="U29" i="288"/>
  <c r="U65" i="265"/>
  <c r="U77" i="265"/>
  <c r="U85" i="288"/>
  <c r="U65" i="288"/>
  <c r="U68" i="288"/>
  <c r="U113" i="288"/>
  <c r="U10" i="321"/>
  <c r="U12" i="321"/>
  <c r="U20" i="328"/>
  <c r="U32" i="288"/>
  <c r="U39" i="311"/>
  <c r="U70" i="288"/>
  <c r="U57" i="328"/>
  <c r="U87" i="288"/>
  <c r="U89" i="288"/>
  <c r="U92" i="288"/>
  <c r="U94" i="288"/>
  <c r="U49" i="314"/>
  <c r="T56" i="286"/>
  <c r="U53" i="286"/>
  <c r="U48" i="314"/>
  <c r="U51" i="314"/>
  <c r="U53" i="314"/>
  <c r="U54" i="314"/>
  <c r="U64" i="314"/>
  <c r="U66" i="314"/>
  <c r="U56" i="314"/>
  <c r="U58" i="314"/>
  <c r="U80" i="311"/>
  <c r="U60" i="314"/>
  <c r="U62" i="314"/>
  <c r="U67" i="314"/>
  <c r="U82" i="314"/>
  <c r="U79" i="265"/>
  <c r="U73" i="314"/>
  <c r="U75" i="314"/>
  <c r="U80" i="265"/>
  <c r="U83" i="314"/>
  <c r="U84" i="314"/>
  <c r="U82" i="265"/>
  <c r="U85" i="265"/>
  <c r="V81" i="314"/>
  <c r="U111" i="265"/>
  <c r="U60" i="328"/>
  <c r="U87" i="314"/>
  <c r="U90" i="314"/>
  <c r="V37" i="314"/>
  <c r="V40" i="314"/>
  <c r="V61" i="314"/>
  <c r="U459" i="321"/>
  <c r="U458" i="321"/>
  <c r="U460" i="321"/>
  <c r="U463" i="321"/>
  <c r="U464" i="321"/>
  <c r="U473" i="321"/>
  <c r="V43" i="314"/>
  <c r="V45" i="314"/>
  <c r="V70" i="314"/>
  <c r="V71" i="314"/>
  <c r="V74" i="314"/>
  <c r="V65" i="314"/>
  <c r="U469" i="321"/>
  <c r="U470" i="321"/>
  <c r="U474" i="321"/>
  <c r="U475" i="321"/>
  <c r="U478" i="321"/>
  <c r="U479" i="321"/>
  <c r="U465" i="321"/>
  <c r="U49" i="288"/>
  <c r="U43" i="288"/>
  <c r="U23" i="328"/>
  <c r="U87" i="265"/>
  <c r="U487" i="321"/>
  <c r="U480" i="321"/>
  <c r="U50" i="288"/>
  <c r="U24" i="328"/>
  <c r="U486" i="321"/>
  <c r="U488" i="321"/>
  <c r="V483" i="321"/>
  <c r="U124" i="265"/>
  <c r="U88" i="265"/>
  <c r="U89" i="265"/>
  <c r="U10" i="286"/>
  <c r="U9" i="286"/>
  <c r="U11" i="286"/>
  <c r="V452" i="321"/>
  <c r="V454" i="321"/>
  <c r="V477" i="321"/>
  <c r="V455" i="321"/>
  <c r="V35" i="282"/>
  <c r="V40" i="282"/>
  <c r="V468" i="321"/>
  <c r="V462" i="321"/>
  <c r="U14" i="286"/>
  <c r="U16" i="286"/>
  <c r="U27" i="286"/>
  <c r="U17" i="286"/>
  <c r="U28" i="286"/>
  <c r="U29" i="286"/>
  <c r="U32" i="286"/>
  <c r="U34" i="286"/>
  <c r="U21" i="286"/>
  <c r="U22" i="286"/>
  <c r="U51" i="288"/>
  <c r="V48" i="282"/>
  <c r="V27" i="265"/>
  <c r="P27" i="277"/>
  <c r="V19" i="286"/>
  <c r="U126" i="265"/>
  <c r="U35" i="286"/>
  <c r="U39" i="286"/>
  <c r="U40" i="286"/>
  <c r="U52" i="288"/>
  <c r="U91" i="265"/>
  <c r="V37" i="286"/>
  <c r="U127" i="265"/>
  <c r="U92" i="265"/>
  <c r="V13" i="286"/>
  <c r="U92" i="277"/>
  <c r="U93" i="265"/>
  <c r="V31" i="286"/>
  <c r="U54" i="286"/>
  <c r="U75" i="286"/>
  <c r="U74" i="286"/>
  <c r="U76" i="286"/>
  <c r="U79" i="286"/>
  <c r="U31" i="265"/>
  <c r="U33" i="265"/>
  <c r="U71" i="286"/>
  <c r="U72" i="286"/>
  <c r="U78" i="286"/>
  <c r="U80" i="286"/>
  <c r="U55" i="286"/>
  <c r="U47" i="286"/>
  <c r="U46" i="286"/>
  <c r="U48" i="286"/>
  <c r="U48" i="288"/>
  <c r="U42" i="288"/>
  <c r="U44" i="288"/>
  <c r="U81" i="286"/>
  <c r="U25" i="328"/>
  <c r="U35" i="265"/>
  <c r="U95" i="265"/>
  <c r="U47" i="288"/>
  <c r="U54" i="288"/>
  <c r="V45" i="286"/>
  <c r="U128" i="265"/>
  <c r="U129" i="265"/>
  <c r="U135" i="265"/>
  <c r="V70" i="286"/>
  <c r="U57" i="288"/>
  <c r="U96" i="265"/>
  <c r="V29" i="265"/>
  <c r="V44" i="282"/>
  <c r="V49" i="282"/>
  <c r="V52" i="282"/>
  <c r="V53" i="282"/>
  <c r="V62" i="282"/>
  <c r="V58" i="282"/>
  <c r="U55" i="282"/>
  <c r="U56" i="282"/>
  <c r="U68" i="282"/>
  <c r="U69" i="282"/>
  <c r="U70" i="282"/>
  <c r="V67" i="282"/>
  <c r="V59" i="282"/>
  <c r="V60" i="282"/>
  <c r="V63" i="282"/>
  <c r="V64" i="282"/>
  <c r="V75" i="282"/>
  <c r="V76" i="282"/>
  <c r="V77" i="282"/>
  <c r="V46" i="265"/>
  <c r="V47" i="265"/>
  <c r="P46" i="277"/>
  <c r="P47" i="277"/>
  <c r="V27" i="288"/>
  <c r="V29" i="288"/>
  <c r="V65" i="265"/>
  <c r="K37" i="326"/>
  <c r="K38" i="326"/>
  <c r="H165" i="328"/>
  <c r="M31" i="326"/>
  <c r="H164" i="328"/>
  <c r="H163" i="328"/>
  <c r="H168" i="328"/>
  <c r="M34" i="326"/>
  <c r="H170" i="328"/>
  <c r="M36" i="326"/>
  <c r="H161" i="328"/>
  <c r="M30" i="326"/>
  <c r="H158" i="328"/>
  <c r="H159" i="328"/>
  <c r="H156" i="328"/>
  <c r="M29" i="326"/>
  <c r="H154" i="328"/>
  <c r="H155" i="328"/>
  <c r="H169" i="328"/>
  <c r="M35" i="326"/>
  <c r="H152" i="328"/>
  <c r="M27" i="326"/>
  <c r="H150" i="328"/>
  <c r="M26" i="326"/>
  <c r="H146" i="328"/>
  <c r="M25" i="326"/>
  <c r="H142" i="328"/>
  <c r="M24" i="326"/>
  <c r="H140" i="328"/>
  <c r="M23" i="326"/>
  <c r="H167" i="328"/>
  <c r="M33" i="326"/>
  <c r="H171" i="328"/>
  <c r="M37" i="326"/>
  <c r="M38" i="326"/>
  <c r="H149" i="328"/>
  <c r="H151" i="328"/>
  <c r="H157" i="328"/>
  <c r="H144" i="328"/>
  <c r="H138" i="328"/>
  <c r="H139" i="328"/>
  <c r="H147" i="328"/>
  <c r="H145" i="328"/>
  <c r="H148" i="328"/>
  <c r="H172" i="328"/>
  <c r="H153" i="328"/>
  <c r="H162" i="328"/>
  <c r="H160" i="328"/>
  <c r="V77" i="265"/>
  <c r="V85" i="288"/>
  <c r="V65" i="288"/>
  <c r="V68" i="288"/>
  <c r="V113" i="288"/>
  <c r="V10" i="321"/>
  <c r="V12" i="321"/>
  <c r="V20" i="328"/>
  <c r="P40" i="328"/>
  <c r="V32" i="288"/>
  <c r="P65" i="277"/>
  <c r="G171" i="328"/>
  <c r="G172" i="328"/>
  <c r="P77" i="277"/>
  <c r="V39" i="311"/>
  <c r="V70" i="288"/>
  <c r="V57" i="328"/>
  <c r="P68" i="328"/>
  <c r="V87" i="288"/>
  <c r="V89" i="288"/>
  <c r="V92" i="288"/>
  <c r="V94" i="288"/>
  <c r="V49" i="314"/>
  <c r="U56" i="286"/>
  <c r="V53" i="286"/>
  <c r="V48" i="314"/>
  <c r="V51" i="314"/>
  <c r="V53" i="314"/>
  <c r="V54" i="314"/>
  <c r="V64" i="314"/>
  <c r="V66" i="314"/>
  <c r="V56" i="314"/>
  <c r="V58" i="314"/>
  <c r="V80" i="311"/>
  <c r="V60" i="314"/>
  <c r="V62" i="314"/>
  <c r="V67" i="314"/>
  <c r="V82" i="314"/>
  <c r="V79" i="265"/>
  <c r="V73" i="314"/>
  <c r="V75" i="314"/>
  <c r="V80" i="265"/>
  <c r="P80" i="277"/>
  <c r="V83" i="314"/>
  <c r="V84" i="314"/>
  <c r="P79" i="277"/>
  <c r="V82" i="265"/>
  <c r="V85" i="265"/>
  <c r="P82" i="277"/>
  <c r="W81" i="314"/>
  <c r="V111" i="265"/>
  <c r="V87" i="314"/>
  <c r="V90" i="314"/>
  <c r="V60" i="328"/>
  <c r="P71" i="328"/>
  <c r="P111" i="277"/>
  <c r="W37" i="314"/>
  <c r="W40" i="314"/>
  <c r="W61" i="314"/>
  <c r="P85" i="277"/>
  <c r="V459" i="321"/>
  <c r="V458" i="321"/>
  <c r="V460" i="321"/>
  <c r="V463" i="321"/>
  <c r="V464" i="321"/>
  <c r="V473" i="321"/>
  <c r="W43" i="314"/>
  <c r="W45" i="314"/>
  <c r="W70" i="314"/>
  <c r="W71" i="314"/>
  <c r="W74" i="314"/>
  <c r="W65" i="314"/>
  <c r="V469" i="321"/>
  <c r="V470" i="321"/>
  <c r="V474" i="321"/>
  <c r="V475" i="321"/>
  <c r="V478" i="321"/>
  <c r="V479" i="321"/>
  <c r="V465" i="321"/>
  <c r="V49" i="288"/>
  <c r="V43" i="288"/>
  <c r="V23" i="328"/>
  <c r="P43" i="328"/>
  <c r="V87" i="265"/>
  <c r="V487" i="321"/>
  <c r="V480" i="321"/>
  <c r="V50" i="288"/>
  <c r="V24" i="328"/>
  <c r="P44" i="328"/>
  <c r="V486" i="321"/>
  <c r="V488" i="321"/>
  <c r="W483" i="321"/>
  <c r="V124" i="265"/>
  <c r="V88" i="265"/>
  <c r="P88" i="277"/>
  <c r="P87" i="277"/>
  <c r="V89" i="265"/>
  <c r="V10" i="286"/>
  <c r="V9" i="286"/>
  <c r="V11" i="286"/>
  <c r="P89" i="277"/>
  <c r="P124" i="277"/>
  <c r="W452" i="321"/>
  <c r="W454" i="321"/>
  <c r="W477" i="321"/>
  <c r="W455" i="321"/>
  <c r="W35" i="282"/>
  <c r="W40" i="282"/>
  <c r="W468" i="321"/>
  <c r="W462" i="321"/>
  <c r="V14" i="286"/>
  <c r="V16" i="286"/>
  <c r="V27" i="286"/>
  <c r="V17" i="286"/>
  <c r="V28" i="286"/>
  <c r="V29" i="286"/>
  <c r="V32" i="286"/>
  <c r="V34" i="286"/>
  <c r="V21" i="286"/>
  <c r="V22" i="286"/>
  <c r="V51" i="288"/>
  <c r="W48" i="282"/>
  <c r="W27" i="265"/>
  <c r="W19" i="286"/>
  <c r="V126" i="265"/>
  <c r="V35" i="286"/>
  <c r="V39" i="286"/>
  <c r="V40" i="286"/>
  <c r="V52" i="288"/>
  <c r="V91" i="265"/>
  <c r="P91" i="277"/>
  <c r="W37" i="286"/>
  <c r="V127" i="265"/>
  <c r="P127" i="277"/>
  <c r="V92" i="265"/>
  <c r="P126" i="277"/>
  <c r="W13" i="286"/>
  <c r="V92" i="277"/>
  <c r="V93" i="265"/>
  <c r="W31" i="286"/>
  <c r="P93" i="277"/>
  <c r="J63" i="315"/>
  <c r="J235" i="288"/>
  <c r="J73" i="315"/>
  <c r="J128" i="314"/>
  <c r="J130" i="314"/>
  <c r="J132" i="314"/>
  <c r="J133" i="314"/>
  <c r="J143" i="314"/>
  <c r="J145" i="314"/>
  <c r="J146" i="314"/>
  <c r="J75" i="315"/>
  <c r="J135" i="314"/>
  <c r="J137" i="314"/>
  <c r="J139" i="314"/>
  <c r="J141" i="314"/>
  <c r="J152" i="314"/>
  <c r="J154" i="314"/>
  <c r="J76" i="315"/>
  <c r="J78" i="315"/>
  <c r="J81" i="315"/>
  <c r="J503" i="321"/>
  <c r="J504" i="321"/>
  <c r="J507" i="321"/>
  <c r="J508" i="321"/>
  <c r="J513" i="321"/>
  <c r="J514" i="321"/>
  <c r="J530" i="321"/>
  <c r="J517" i="321"/>
  <c r="J518" i="321"/>
  <c r="J519" i="321"/>
  <c r="J522" i="321"/>
  <c r="J523" i="321"/>
  <c r="J531" i="321"/>
  <c r="J532" i="321"/>
  <c r="K527" i="321"/>
  <c r="K496" i="321"/>
  <c r="K498" i="321"/>
  <c r="K499" i="321"/>
  <c r="K25" i="315"/>
  <c r="K27" i="315"/>
  <c r="K112" i="282"/>
  <c r="K103" i="282"/>
  <c r="K108" i="282"/>
  <c r="K116" i="282"/>
  <c r="K117" i="282"/>
  <c r="K120" i="282"/>
  <c r="K121" i="282"/>
  <c r="K130" i="282"/>
  <c r="K126" i="282"/>
  <c r="K128" i="282"/>
  <c r="K131" i="282"/>
  <c r="K132" i="282"/>
  <c r="K143" i="282"/>
  <c r="K144" i="282"/>
  <c r="K145" i="282"/>
  <c r="K44" i="315"/>
  <c r="K45" i="315"/>
  <c r="K63" i="315"/>
  <c r="K235" i="288"/>
  <c r="K237" i="288"/>
  <c r="K239" i="288"/>
  <c r="J237" i="288"/>
  <c r="J239" i="288"/>
  <c r="J263" i="288"/>
  <c r="J215" i="288"/>
  <c r="J509" i="321"/>
  <c r="J83" i="315"/>
  <c r="J524" i="321"/>
  <c r="J84" i="315"/>
  <c r="J85" i="315"/>
  <c r="J87" i="286"/>
  <c r="J88" i="286"/>
  <c r="J104" i="286"/>
  <c r="J91" i="286"/>
  <c r="J93" i="286"/>
  <c r="J201" i="288"/>
  <c r="J98" i="286"/>
  <c r="J99" i="286"/>
  <c r="J122" i="315"/>
  <c r="K96" i="286"/>
  <c r="K90" i="286"/>
  <c r="J105" i="286"/>
  <c r="J106" i="286"/>
  <c r="J109" i="286"/>
  <c r="J111" i="286"/>
  <c r="J202" i="288"/>
  <c r="J116" i="286"/>
  <c r="J117" i="286"/>
  <c r="J123" i="315"/>
  <c r="K114" i="286"/>
  <c r="K108" i="286"/>
  <c r="J112" i="286"/>
  <c r="J88" i="315"/>
  <c r="J94" i="286"/>
  <c r="J87" i="315"/>
  <c r="J89" i="315"/>
  <c r="J143" i="286"/>
  <c r="J144" i="286"/>
  <c r="J147" i="286"/>
  <c r="J148" i="286"/>
  <c r="J149" i="286"/>
  <c r="J91" i="315"/>
  <c r="J92" i="315"/>
  <c r="J33" i="315"/>
  <c r="J34" i="315"/>
  <c r="J192" i="288"/>
  <c r="J193" i="288"/>
  <c r="J194" i="288"/>
  <c r="J197" i="288"/>
  <c r="J198" i="288"/>
  <c r="J199" i="288"/>
  <c r="J200" i="288"/>
  <c r="J204" i="288"/>
  <c r="J207" i="288"/>
  <c r="J124" i="286"/>
  <c r="J125" i="286"/>
  <c r="J124" i="315"/>
  <c r="J120" i="315"/>
  <c r="J125" i="315"/>
  <c r="J131" i="315"/>
  <c r="K122" i="286"/>
  <c r="K138" i="286"/>
  <c r="J132" i="286"/>
  <c r="J131" i="286"/>
  <c r="J133" i="286"/>
  <c r="J103" i="315"/>
  <c r="J161" i="314"/>
  <c r="J162" i="314"/>
  <c r="J163" i="314"/>
  <c r="J107" i="315"/>
  <c r="J108" i="315"/>
  <c r="J110" i="315"/>
  <c r="J130" i="315"/>
  <c r="J132" i="315"/>
  <c r="J133" i="315"/>
  <c r="K130" i="286"/>
  <c r="K73" i="315"/>
  <c r="K127" i="314"/>
  <c r="K128" i="314"/>
  <c r="K130" i="314"/>
  <c r="K132" i="314"/>
  <c r="K133" i="314"/>
  <c r="K143" i="314"/>
  <c r="K160" i="314"/>
  <c r="K116" i="314"/>
  <c r="K119" i="314"/>
  <c r="K122" i="314"/>
  <c r="K124" i="314"/>
  <c r="K144" i="314"/>
  <c r="K145" i="314"/>
  <c r="K146" i="314"/>
  <c r="K75" i="315"/>
  <c r="K135" i="314"/>
  <c r="K137" i="314"/>
  <c r="K139" i="314"/>
  <c r="K140" i="314"/>
  <c r="K141" i="314"/>
  <c r="K152" i="314"/>
  <c r="K149" i="314"/>
  <c r="K150" i="314"/>
  <c r="K153" i="314"/>
  <c r="K154" i="314"/>
  <c r="K76" i="315"/>
  <c r="K78" i="315"/>
  <c r="K81" i="315"/>
  <c r="K506" i="321"/>
  <c r="K502" i="321"/>
  <c r="K503" i="321"/>
  <c r="K504" i="321"/>
  <c r="K507" i="321"/>
  <c r="K508" i="321"/>
  <c r="K509" i="321"/>
  <c r="K83" i="315"/>
  <c r="K521" i="321"/>
  <c r="K517" i="321"/>
  <c r="K518" i="321"/>
  <c r="K519" i="321"/>
  <c r="K522" i="321"/>
  <c r="K523" i="321"/>
  <c r="K524" i="321"/>
  <c r="K84" i="315"/>
  <c r="K85" i="315"/>
  <c r="K86" i="286"/>
  <c r="K87" i="286"/>
  <c r="K88" i="286"/>
  <c r="K91" i="286"/>
  <c r="K93" i="286"/>
  <c r="K94" i="286"/>
  <c r="K87" i="315"/>
  <c r="K104" i="286"/>
  <c r="K105" i="286"/>
  <c r="K106" i="286"/>
  <c r="K109" i="286"/>
  <c r="K111" i="286"/>
  <c r="K112" i="286"/>
  <c r="K88" i="315"/>
  <c r="K89" i="315"/>
  <c r="K131" i="286"/>
  <c r="K29" i="315"/>
  <c r="K31" i="315"/>
  <c r="K139" i="286"/>
  <c r="K140" i="286"/>
  <c r="K146" i="286"/>
  <c r="K142" i="286"/>
  <c r="K143" i="286"/>
  <c r="K144" i="286"/>
  <c r="K147" i="286"/>
  <c r="K148" i="286"/>
  <c r="K132" i="286"/>
  <c r="K133" i="286"/>
  <c r="K103" i="315"/>
  <c r="K161" i="314"/>
  <c r="K162" i="314"/>
  <c r="K163" i="314"/>
  <c r="K107" i="315"/>
  <c r="K108" i="315"/>
  <c r="K110" i="315"/>
  <c r="K130" i="315"/>
  <c r="K512" i="321"/>
  <c r="K513" i="321"/>
  <c r="K514" i="321"/>
  <c r="K530" i="321"/>
  <c r="K531" i="321"/>
  <c r="K532" i="321"/>
  <c r="K120" i="315"/>
  <c r="K98" i="286"/>
  <c r="K99" i="286"/>
  <c r="K122" i="315"/>
  <c r="K116" i="286"/>
  <c r="K117" i="286"/>
  <c r="K123" i="315"/>
  <c r="K123" i="286"/>
  <c r="K124" i="286"/>
  <c r="K125" i="286"/>
  <c r="K124" i="315"/>
  <c r="K125" i="315"/>
  <c r="K131" i="315"/>
  <c r="K132" i="315"/>
  <c r="K133" i="315"/>
  <c r="L130" i="286"/>
  <c r="L527" i="321"/>
  <c r="L496" i="321"/>
  <c r="L498" i="321"/>
  <c r="L499" i="321"/>
  <c r="L25" i="315"/>
  <c r="L27" i="315"/>
  <c r="L112" i="282"/>
  <c r="L103" i="282"/>
  <c r="L108" i="282"/>
  <c r="L116" i="282"/>
  <c r="L117" i="282"/>
  <c r="L120" i="282"/>
  <c r="L121" i="282"/>
  <c r="L130" i="282"/>
  <c r="L126" i="282"/>
  <c r="K123" i="282"/>
  <c r="K124" i="282"/>
  <c r="K136" i="282"/>
  <c r="K137" i="282"/>
  <c r="K138" i="282"/>
  <c r="L135" i="282"/>
  <c r="L127" i="282"/>
  <c r="L128" i="282"/>
  <c r="L131" i="282"/>
  <c r="L132" i="282"/>
  <c r="L143" i="282"/>
  <c r="L144" i="282"/>
  <c r="L145" i="282"/>
  <c r="L44" i="315"/>
  <c r="L45" i="315"/>
  <c r="L63" i="315"/>
  <c r="L73" i="315"/>
  <c r="L127" i="314"/>
  <c r="L128" i="314"/>
  <c r="L130" i="314"/>
  <c r="L132" i="314"/>
  <c r="L133" i="314"/>
  <c r="L143" i="314"/>
  <c r="L160" i="314"/>
  <c r="L116" i="314"/>
  <c r="L119" i="314"/>
  <c r="L122" i="314"/>
  <c r="L124" i="314"/>
  <c r="L144" i="314"/>
  <c r="L145" i="314"/>
  <c r="L146" i="314"/>
  <c r="L75" i="315"/>
  <c r="L135" i="314"/>
  <c r="L137" i="314"/>
  <c r="L139" i="314"/>
  <c r="L140" i="314"/>
  <c r="L141" i="314"/>
  <c r="L152" i="314"/>
  <c r="L149" i="314"/>
  <c r="L150" i="314"/>
  <c r="L153" i="314"/>
  <c r="L154" i="314"/>
  <c r="L76" i="315"/>
  <c r="L78" i="315"/>
  <c r="L81" i="315"/>
  <c r="L506" i="321"/>
  <c r="L502" i="321"/>
  <c r="L503" i="321"/>
  <c r="L504" i="321"/>
  <c r="L507" i="321"/>
  <c r="L508" i="321"/>
  <c r="L509" i="321"/>
  <c r="L83" i="315"/>
  <c r="L521" i="321"/>
  <c r="L517" i="321"/>
  <c r="L518" i="321"/>
  <c r="L519" i="321"/>
  <c r="L522" i="321"/>
  <c r="L523" i="321"/>
  <c r="L524" i="321"/>
  <c r="L84" i="315"/>
  <c r="L85" i="315"/>
  <c r="L96" i="286"/>
  <c r="L90" i="286"/>
  <c r="L86" i="286"/>
  <c r="L87" i="286"/>
  <c r="L88" i="286"/>
  <c r="L91" i="286"/>
  <c r="L93" i="286"/>
  <c r="L94" i="286"/>
  <c r="L87" i="315"/>
  <c r="L114" i="286"/>
  <c r="L108" i="286"/>
  <c r="L104" i="286"/>
  <c r="L105" i="286"/>
  <c r="L106" i="286"/>
  <c r="L109" i="286"/>
  <c r="L111" i="286"/>
  <c r="L112" i="286"/>
  <c r="L88" i="315"/>
  <c r="L89" i="315"/>
  <c r="L131" i="286"/>
  <c r="L122" i="286"/>
  <c r="L138" i="286"/>
  <c r="L29" i="315"/>
  <c r="L31" i="315"/>
  <c r="L139" i="286"/>
  <c r="L140" i="286"/>
  <c r="L146" i="286"/>
  <c r="L142" i="286"/>
  <c r="L143" i="286"/>
  <c r="L144" i="286"/>
  <c r="L147" i="286"/>
  <c r="L148" i="286"/>
  <c r="L132" i="286"/>
  <c r="L133" i="286"/>
  <c r="L103" i="315"/>
  <c r="L161" i="314"/>
  <c r="L162" i="314"/>
  <c r="L163" i="314"/>
  <c r="L107" i="315"/>
  <c r="L108" i="315"/>
  <c r="L110" i="315"/>
  <c r="L130" i="315"/>
  <c r="L512" i="321"/>
  <c r="L513" i="321"/>
  <c r="L514" i="321"/>
  <c r="L530" i="321"/>
  <c r="L531" i="321"/>
  <c r="L532" i="321"/>
  <c r="L120" i="315"/>
  <c r="L98" i="286"/>
  <c r="L99" i="286"/>
  <c r="L122" i="315"/>
  <c r="L116" i="286"/>
  <c r="L117" i="286"/>
  <c r="L123" i="315"/>
  <c r="L123" i="286"/>
  <c r="L124" i="286"/>
  <c r="L125" i="286"/>
  <c r="L124" i="315"/>
  <c r="L125" i="315"/>
  <c r="L131" i="315"/>
  <c r="L132" i="315"/>
  <c r="L133" i="315"/>
  <c r="M130" i="286"/>
  <c r="M527" i="321"/>
  <c r="M496" i="321"/>
  <c r="M498" i="321"/>
  <c r="M499" i="321"/>
  <c r="M25" i="315"/>
  <c r="M27" i="315"/>
  <c r="M112" i="282"/>
  <c r="M103" i="282"/>
  <c r="M108" i="282"/>
  <c r="M116" i="282"/>
  <c r="M117" i="282"/>
  <c r="M120" i="282"/>
  <c r="M121" i="282"/>
  <c r="M130" i="282"/>
  <c r="M126" i="282"/>
  <c r="L123" i="282"/>
  <c r="L124" i="282"/>
  <c r="L136" i="282"/>
  <c r="L137" i="282"/>
  <c r="L138" i="282"/>
  <c r="M135" i="282"/>
  <c r="M127" i="282"/>
  <c r="M128" i="282"/>
  <c r="M131" i="282"/>
  <c r="M132" i="282"/>
  <c r="M143" i="282"/>
  <c r="M144" i="282"/>
  <c r="M145" i="282"/>
  <c r="M44" i="315"/>
  <c r="M45" i="315"/>
  <c r="M63" i="315"/>
  <c r="M73" i="315"/>
  <c r="M127" i="314"/>
  <c r="M128" i="314"/>
  <c r="M130" i="314"/>
  <c r="M132" i="314"/>
  <c r="M133" i="314"/>
  <c r="M143" i="314"/>
  <c r="M160" i="314"/>
  <c r="M116" i="314"/>
  <c r="M119" i="314"/>
  <c r="M122" i="314"/>
  <c r="M124" i="314"/>
  <c r="M144" i="314"/>
  <c r="M145" i="314"/>
  <c r="M146" i="314"/>
  <c r="M75" i="315"/>
  <c r="M135" i="314"/>
  <c r="M137" i="314"/>
  <c r="M139" i="314"/>
  <c r="M140" i="314"/>
  <c r="M141" i="314"/>
  <c r="M152" i="314"/>
  <c r="M149" i="314"/>
  <c r="M150" i="314"/>
  <c r="M153" i="314"/>
  <c r="M154" i="314"/>
  <c r="M76" i="315"/>
  <c r="M78" i="315"/>
  <c r="M81" i="315"/>
  <c r="M506" i="321"/>
  <c r="M502" i="321"/>
  <c r="M503" i="321"/>
  <c r="M504" i="321"/>
  <c r="M507" i="321"/>
  <c r="M508" i="321"/>
  <c r="M509" i="321"/>
  <c r="M83" i="315"/>
  <c r="M521" i="321"/>
  <c r="M517" i="321"/>
  <c r="M518" i="321"/>
  <c r="M519" i="321"/>
  <c r="M522" i="321"/>
  <c r="M523" i="321"/>
  <c r="M524" i="321"/>
  <c r="M84" i="315"/>
  <c r="M85" i="315"/>
  <c r="M96" i="286"/>
  <c r="M90" i="286"/>
  <c r="M86" i="286"/>
  <c r="M87" i="286"/>
  <c r="M88" i="286"/>
  <c r="M91" i="286"/>
  <c r="M93" i="286"/>
  <c r="M94" i="286"/>
  <c r="M87" i="315"/>
  <c r="M114" i="286"/>
  <c r="M108" i="286"/>
  <c r="M104" i="286"/>
  <c r="M105" i="286"/>
  <c r="M106" i="286"/>
  <c r="M109" i="286"/>
  <c r="M111" i="286"/>
  <c r="M112" i="286"/>
  <c r="M88" i="315"/>
  <c r="M89" i="315"/>
  <c r="M131" i="286"/>
  <c r="M122" i="286"/>
  <c r="M138" i="286"/>
  <c r="M29" i="315"/>
  <c r="M31" i="315"/>
  <c r="M139" i="286"/>
  <c r="M140" i="286"/>
  <c r="M146" i="286"/>
  <c r="M142" i="286"/>
  <c r="M143" i="286"/>
  <c r="M144" i="286"/>
  <c r="M147" i="286"/>
  <c r="M148" i="286"/>
  <c r="M132" i="286"/>
  <c r="M133" i="286"/>
  <c r="M103" i="315"/>
  <c r="M161" i="314"/>
  <c r="M162" i="314"/>
  <c r="M163" i="314"/>
  <c r="M107" i="315"/>
  <c r="M108" i="315"/>
  <c r="M110" i="315"/>
  <c r="M130" i="315"/>
  <c r="M512" i="321"/>
  <c r="M513" i="321"/>
  <c r="M514" i="321"/>
  <c r="M530" i="321"/>
  <c r="M531" i="321"/>
  <c r="M532" i="321"/>
  <c r="M120" i="315"/>
  <c r="M98" i="286"/>
  <c r="M99" i="286"/>
  <c r="M122" i="315"/>
  <c r="M116" i="286"/>
  <c r="M117" i="286"/>
  <c r="M123" i="315"/>
  <c r="M123" i="286"/>
  <c r="M124" i="286"/>
  <c r="M125" i="286"/>
  <c r="M124" i="315"/>
  <c r="M125" i="315"/>
  <c r="M131" i="315"/>
  <c r="M132" i="315"/>
  <c r="M133" i="315"/>
  <c r="N130" i="286"/>
  <c r="N527" i="321"/>
  <c r="N496" i="321"/>
  <c r="N498" i="321"/>
  <c r="N499" i="321"/>
  <c r="N25" i="315"/>
  <c r="N27" i="315"/>
  <c r="N112" i="282"/>
  <c r="N103" i="282"/>
  <c r="N108" i="282"/>
  <c r="N116" i="282"/>
  <c r="N117" i="282"/>
  <c r="N120" i="282"/>
  <c r="N121" i="282"/>
  <c r="N130" i="282"/>
  <c r="N126" i="282"/>
  <c r="M123" i="282"/>
  <c r="M124" i="282"/>
  <c r="M136" i="282"/>
  <c r="M137" i="282"/>
  <c r="M138" i="282"/>
  <c r="N135" i="282"/>
  <c r="N127" i="282"/>
  <c r="N128" i="282"/>
  <c r="N131" i="282"/>
  <c r="N132" i="282"/>
  <c r="N143" i="282"/>
  <c r="N144" i="282"/>
  <c r="N145" i="282"/>
  <c r="N44" i="315"/>
  <c r="N45" i="315"/>
  <c r="N63" i="315"/>
  <c r="N73" i="315"/>
  <c r="N127" i="314"/>
  <c r="N128" i="314"/>
  <c r="N130" i="314"/>
  <c r="N132" i="314"/>
  <c r="N133" i="314"/>
  <c r="N143" i="314"/>
  <c r="N160" i="314"/>
  <c r="N116" i="314"/>
  <c r="N119" i="314"/>
  <c r="N122" i="314"/>
  <c r="N124" i="314"/>
  <c r="N144" i="314"/>
  <c r="N145" i="314"/>
  <c r="N146" i="314"/>
  <c r="N75" i="315"/>
  <c r="N135" i="314"/>
  <c r="N137" i="314"/>
  <c r="N139" i="314"/>
  <c r="N140" i="314"/>
  <c r="N141" i="314"/>
  <c r="N152" i="314"/>
  <c r="N149" i="314"/>
  <c r="N150" i="314"/>
  <c r="N153" i="314"/>
  <c r="N154" i="314"/>
  <c r="N76" i="315"/>
  <c r="N78" i="315"/>
  <c r="N81" i="315"/>
  <c r="N506" i="321"/>
  <c r="N502" i="321"/>
  <c r="N503" i="321"/>
  <c r="N504" i="321"/>
  <c r="N507" i="321"/>
  <c r="N508" i="321"/>
  <c r="N509" i="321"/>
  <c r="N83" i="315"/>
  <c r="N521" i="321"/>
  <c r="N517" i="321"/>
  <c r="N518" i="321"/>
  <c r="N519" i="321"/>
  <c r="N522" i="321"/>
  <c r="N523" i="321"/>
  <c r="N524" i="321"/>
  <c r="N84" i="315"/>
  <c r="N85" i="315"/>
  <c r="N96" i="286"/>
  <c r="N90" i="286"/>
  <c r="N86" i="286"/>
  <c r="N87" i="286"/>
  <c r="N88" i="286"/>
  <c r="N91" i="286"/>
  <c r="N93" i="286"/>
  <c r="N94" i="286"/>
  <c r="N87" i="315"/>
  <c r="N114" i="286"/>
  <c r="N108" i="286"/>
  <c r="N104" i="286"/>
  <c r="N105" i="286"/>
  <c r="N106" i="286"/>
  <c r="N109" i="286"/>
  <c r="N111" i="286"/>
  <c r="N112" i="286"/>
  <c r="N88" i="315"/>
  <c r="N89" i="315"/>
  <c r="N131" i="286"/>
  <c r="N122" i="286"/>
  <c r="N138" i="286"/>
  <c r="N29" i="315"/>
  <c r="N31" i="315"/>
  <c r="N139" i="286"/>
  <c r="N140" i="286"/>
  <c r="N146" i="286"/>
  <c r="N142" i="286"/>
  <c r="N143" i="286"/>
  <c r="N144" i="286"/>
  <c r="N147" i="286"/>
  <c r="N148" i="286"/>
  <c r="N132" i="286"/>
  <c r="N133" i="286"/>
  <c r="N103" i="315"/>
  <c r="N108" i="315"/>
  <c r="N110" i="315"/>
  <c r="N130" i="315"/>
  <c r="N512" i="321"/>
  <c r="N513" i="321"/>
  <c r="N514" i="321"/>
  <c r="N530" i="321"/>
  <c r="N531" i="321"/>
  <c r="N532" i="321"/>
  <c r="N120" i="315"/>
  <c r="N98" i="286"/>
  <c r="N99" i="286"/>
  <c r="N122" i="315"/>
  <c r="N116" i="286"/>
  <c r="N117" i="286"/>
  <c r="N123" i="315"/>
  <c r="N123" i="286"/>
  <c r="N124" i="286"/>
  <c r="N125" i="286"/>
  <c r="N124" i="315"/>
  <c r="N125" i="315"/>
  <c r="N131" i="315"/>
  <c r="N132" i="315"/>
  <c r="N133" i="315"/>
  <c r="O130" i="286"/>
  <c r="O527" i="321"/>
  <c r="O496" i="321"/>
  <c r="O498" i="321"/>
  <c r="O499" i="321"/>
  <c r="O25" i="315"/>
  <c r="O27" i="315"/>
  <c r="O112" i="282"/>
  <c r="O103" i="282"/>
  <c r="O108" i="282"/>
  <c r="O116" i="282"/>
  <c r="O117" i="282"/>
  <c r="O120" i="282"/>
  <c r="O121" i="282"/>
  <c r="O130" i="282"/>
  <c r="O126" i="282"/>
  <c r="N123" i="282"/>
  <c r="N124" i="282"/>
  <c r="N136" i="282"/>
  <c r="N137" i="282"/>
  <c r="N138" i="282"/>
  <c r="O135" i="282"/>
  <c r="O127" i="282"/>
  <c r="O128" i="282"/>
  <c r="O131" i="282"/>
  <c r="O132" i="282"/>
  <c r="O143" i="282"/>
  <c r="O144" i="282"/>
  <c r="O145" i="282"/>
  <c r="O44" i="315"/>
  <c r="O45" i="315"/>
  <c r="O63" i="315"/>
  <c r="O73" i="315"/>
  <c r="O127" i="314"/>
  <c r="O128" i="314"/>
  <c r="O130" i="314"/>
  <c r="O132" i="314"/>
  <c r="O133" i="314"/>
  <c r="O143" i="314"/>
  <c r="O145" i="314"/>
  <c r="O146" i="314"/>
  <c r="O75" i="315"/>
  <c r="O135" i="314"/>
  <c r="O137" i="314"/>
  <c r="O139" i="314"/>
  <c r="O141" i="314"/>
  <c r="O152" i="314"/>
  <c r="O154" i="314"/>
  <c r="O76" i="315"/>
  <c r="O78" i="315"/>
  <c r="O81" i="315"/>
  <c r="O506" i="321"/>
  <c r="O502" i="321"/>
  <c r="O503" i="321"/>
  <c r="O504" i="321"/>
  <c r="O507" i="321"/>
  <c r="O508" i="321"/>
  <c r="O509" i="321"/>
  <c r="O83" i="315"/>
  <c r="O521" i="321"/>
  <c r="O517" i="321"/>
  <c r="O518" i="321"/>
  <c r="O519" i="321"/>
  <c r="O522" i="321"/>
  <c r="O523" i="321"/>
  <c r="O524" i="321"/>
  <c r="O84" i="315"/>
  <c r="O85" i="315"/>
  <c r="O96" i="286"/>
  <c r="O90" i="286"/>
  <c r="O86" i="286"/>
  <c r="O87" i="286"/>
  <c r="O88" i="286"/>
  <c r="O91" i="286"/>
  <c r="O93" i="286"/>
  <c r="O94" i="286"/>
  <c r="O87" i="315"/>
  <c r="O114" i="286"/>
  <c r="O108" i="286"/>
  <c r="O104" i="286"/>
  <c r="O105" i="286"/>
  <c r="O106" i="286"/>
  <c r="O109" i="286"/>
  <c r="O111" i="286"/>
  <c r="O112" i="286"/>
  <c r="O88" i="315"/>
  <c r="O89" i="315"/>
  <c r="O131" i="286"/>
  <c r="O122" i="286"/>
  <c r="O138" i="286"/>
  <c r="O29" i="315"/>
  <c r="O31" i="315"/>
  <c r="O139" i="286"/>
  <c r="O140" i="286"/>
  <c r="O146" i="286"/>
  <c r="O142" i="286"/>
  <c r="O143" i="286"/>
  <c r="O144" i="286"/>
  <c r="O147" i="286"/>
  <c r="O148" i="286"/>
  <c r="O132" i="286"/>
  <c r="O133" i="286"/>
  <c r="O103" i="315"/>
  <c r="O161" i="314"/>
  <c r="O162" i="314"/>
  <c r="O163" i="314"/>
  <c r="O107" i="315"/>
  <c r="O108" i="315"/>
  <c r="O110" i="315"/>
  <c r="O130" i="315"/>
  <c r="O512" i="321"/>
  <c r="O513" i="321"/>
  <c r="O514" i="321"/>
  <c r="O530" i="321"/>
  <c r="O531" i="321"/>
  <c r="O532" i="321"/>
  <c r="O120" i="315"/>
  <c r="O98" i="286"/>
  <c r="O99" i="286"/>
  <c r="O122" i="315"/>
  <c r="O116" i="286"/>
  <c r="O117" i="286"/>
  <c r="O123" i="315"/>
  <c r="O123" i="286"/>
  <c r="O124" i="286"/>
  <c r="O125" i="286"/>
  <c r="O124" i="315"/>
  <c r="O125" i="315"/>
  <c r="O131" i="315"/>
  <c r="O132" i="315"/>
  <c r="O133" i="315"/>
  <c r="P130" i="286"/>
  <c r="P527" i="321"/>
  <c r="P496" i="321"/>
  <c r="P498" i="321"/>
  <c r="P499" i="321"/>
  <c r="P25" i="315"/>
  <c r="P27" i="315"/>
  <c r="P112" i="282"/>
  <c r="P103" i="282"/>
  <c r="P108" i="282"/>
  <c r="P116" i="282"/>
  <c r="P117" i="282"/>
  <c r="P120" i="282"/>
  <c r="P121" i="282"/>
  <c r="P130" i="282"/>
  <c r="P126" i="282"/>
  <c r="O123" i="282"/>
  <c r="O124" i="282"/>
  <c r="O136" i="282"/>
  <c r="O137" i="282"/>
  <c r="O138" i="282"/>
  <c r="P135" i="282"/>
  <c r="P127" i="282"/>
  <c r="P128" i="282"/>
  <c r="P131" i="282"/>
  <c r="P132" i="282"/>
  <c r="P143" i="282"/>
  <c r="P144" i="282"/>
  <c r="P145" i="282"/>
  <c r="P44" i="315"/>
  <c r="P45" i="315"/>
  <c r="P63" i="315"/>
  <c r="P73" i="315"/>
  <c r="P127" i="314"/>
  <c r="P128" i="314"/>
  <c r="P130" i="314"/>
  <c r="P132" i="314"/>
  <c r="P133" i="314"/>
  <c r="P143" i="314"/>
  <c r="P160" i="314"/>
  <c r="P116" i="314"/>
  <c r="P119" i="314"/>
  <c r="P122" i="314"/>
  <c r="P124" i="314"/>
  <c r="P144" i="314"/>
  <c r="P145" i="314"/>
  <c r="P146" i="314"/>
  <c r="P75" i="315"/>
  <c r="P135" i="314"/>
  <c r="P137" i="314"/>
  <c r="P139" i="314"/>
  <c r="P140" i="314"/>
  <c r="P141" i="314"/>
  <c r="P152" i="314"/>
  <c r="P149" i="314"/>
  <c r="P150" i="314"/>
  <c r="P153" i="314"/>
  <c r="P154" i="314"/>
  <c r="P76" i="315"/>
  <c r="P78" i="315"/>
  <c r="P81" i="315"/>
  <c r="P506" i="321"/>
  <c r="P502" i="321"/>
  <c r="P503" i="321"/>
  <c r="P504" i="321"/>
  <c r="P507" i="321"/>
  <c r="P508" i="321"/>
  <c r="P509" i="321"/>
  <c r="P83" i="315"/>
  <c r="P521" i="321"/>
  <c r="P517" i="321"/>
  <c r="P518" i="321"/>
  <c r="P519" i="321"/>
  <c r="P522" i="321"/>
  <c r="P523" i="321"/>
  <c r="P524" i="321"/>
  <c r="P84" i="315"/>
  <c r="P85" i="315"/>
  <c r="P96" i="286"/>
  <c r="P90" i="286"/>
  <c r="P86" i="286"/>
  <c r="P87" i="286"/>
  <c r="P88" i="286"/>
  <c r="P91" i="286"/>
  <c r="P93" i="286"/>
  <c r="P94" i="286"/>
  <c r="P87" i="315"/>
  <c r="P114" i="286"/>
  <c r="P108" i="286"/>
  <c r="P104" i="286"/>
  <c r="P105" i="286"/>
  <c r="P106" i="286"/>
  <c r="P109" i="286"/>
  <c r="P111" i="286"/>
  <c r="P112" i="286"/>
  <c r="P88" i="315"/>
  <c r="P89" i="315"/>
  <c r="P131" i="286"/>
  <c r="P122" i="286"/>
  <c r="P138" i="286"/>
  <c r="P29" i="315"/>
  <c r="P31" i="315"/>
  <c r="P139" i="286"/>
  <c r="P140" i="286"/>
  <c r="P146" i="286"/>
  <c r="P142" i="286"/>
  <c r="P143" i="286"/>
  <c r="P144" i="286"/>
  <c r="P147" i="286"/>
  <c r="P148" i="286"/>
  <c r="P132" i="286"/>
  <c r="P133" i="286"/>
  <c r="P103" i="315"/>
  <c r="P161" i="314"/>
  <c r="P162" i="314"/>
  <c r="P163" i="314"/>
  <c r="P107" i="315"/>
  <c r="P108" i="315"/>
  <c r="P110" i="315"/>
  <c r="P130" i="315"/>
  <c r="P512" i="321"/>
  <c r="P513" i="321"/>
  <c r="P514" i="321"/>
  <c r="P530" i="321"/>
  <c r="P531" i="321"/>
  <c r="P532" i="321"/>
  <c r="P120" i="315"/>
  <c r="P98" i="286"/>
  <c r="P99" i="286"/>
  <c r="P122" i="315"/>
  <c r="P116" i="286"/>
  <c r="P117" i="286"/>
  <c r="P123" i="315"/>
  <c r="P123" i="286"/>
  <c r="P124" i="286"/>
  <c r="P125" i="286"/>
  <c r="P124" i="315"/>
  <c r="P125" i="315"/>
  <c r="P131" i="315"/>
  <c r="P132" i="315"/>
  <c r="P133" i="315"/>
  <c r="Q130" i="286"/>
  <c r="Q527" i="321"/>
  <c r="Q496" i="321"/>
  <c r="Q498" i="321"/>
  <c r="Q499" i="321"/>
  <c r="Q25" i="315"/>
  <c r="Q27" i="315"/>
  <c r="Q112" i="282"/>
  <c r="Q103" i="282"/>
  <c r="Q108" i="282"/>
  <c r="Q116" i="282"/>
  <c r="Q117" i="282"/>
  <c r="Q120" i="282"/>
  <c r="Q121" i="282"/>
  <c r="Q130" i="282"/>
  <c r="Q126" i="282"/>
  <c r="P123" i="282"/>
  <c r="P124" i="282"/>
  <c r="P136" i="282"/>
  <c r="P137" i="282"/>
  <c r="P138" i="282"/>
  <c r="Q135" i="282"/>
  <c r="Q127" i="282"/>
  <c r="Q128" i="282"/>
  <c r="Q131" i="282"/>
  <c r="Q132" i="282"/>
  <c r="Q143" i="282"/>
  <c r="Q144" i="282"/>
  <c r="Q145" i="282"/>
  <c r="Q44" i="315"/>
  <c r="Q45" i="315"/>
  <c r="Q63" i="315"/>
  <c r="Q73" i="315"/>
  <c r="Q127" i="314"/>
  <c r="Q128" i="314"/>
  <c r="Q130" i="314"/>
  <c r="Q132" i="314"/>
  <c r="Q133" i="314"/>
  <c r="Q143" i="314"/>
  <c r="Q160" i="314"/>
  <c r="Q116" i="314"/>
  <c r="Q119" i="314"/>
  <c r="Q122" i="314"/>
  <c r="Q124" i="314"/>
  <c r="Q144" i="314"/>
  <c r="Q145" i="314"/>
  <c r="Q146" i="314"/>
  <c r="Q75" i="315"/>
  <c r="Q135" i="314"/>
  <c r="Q137" i="314"/>
  <c r="Q139" i="314"/>
  <c r="Q140" i="314"/>
  <c r="Q141" i="314"/>
  <c r="Q152" i="314"/>
  <c r="Q149" i="314"/>
  <c r="Q150" i="314"/>
  <c r="Q153" i="314"/>
  <c r="Q154" i="314"/>
  <c r="Q76" i="315"/>
  <c r="Q78" i="315"/>
  <c r="Q81" i="315"/>
  <c r="Q506" i="321"/>
  <c r="Q502" i="321"/>
  <c r="Q503" i="321"/>
  <c r="Q504" i="321"/>
  <c r="Q507" i="321"/>
  <c r="Q508" i="321"/>
  <c r="Q509" i="321"/>
  <c r="Q83" i="315"/>
  <c r="Q521" i="321"/>
  <c r="Q517" i="321"/>
  <c r="Q518" i="321"/>
  <c r="Q519" i="321"/>
  <c r="Q522" i="321"/>
  <c r="Q523" i="321"/>
  <c r="Q524" i="321"/>
  <c r="Q84" i="315"/>
  <c r="Q85" i="315"/>
  <c r="Q96" i="286"/>
  <c r="Q90" i="286"/>
  <c r="Q86" i="286"/>
  <c r="Q87" i="286"/>
  <c r="Q88" i="286"/>
  <c r="Q91" i="286"/>
  <c r="Q93" i="286"/>
  <c r="Q94" i="286"/>
  <c r="Q87" i="315"/>
  <c r="Q114" i="286"/>
  <c r="Q108" i="286"/>
  <c r="Q104" i="286"/>
  <c r="Q105" i="286"/>
  <c r="Q106" i="286"/>
  <c r="Q109" i="286"/>
  <c r="Q111" i="286"/>
  <c r="Q112" i="286"/>
  <c r="Q88" i="315"/>
  <c r="Q89" i="315"/>
  <c r="Q131" i="286"/>
  <c r="Q122" i="286"/>
  <c r="Q138" i="286"/>
  <c r="Q29" i="315"/>
  <c r="Q31" i="315"/>
  <c r="Q139" i="286"/>
  <c r="Q140" i="286"/>
  <c r="Q146" i="286"/>
  <c r="Q142" i="286"/>
  <c r="Q143" i="286"/>
  <c r="Q144" i="286"/>
  <c r="Q147" i="286"/>
  <c r="Q148" i="286"/>
  <c r="Q132" i="286"/>
  <c r="Q133" i="286"/>
  <c r="Q103" i="315"/>
  <c r="Q161" i="314"/>
  <c r="Q162" i="314"/>
  <c r="Q163" i="314"/>
  <c r="Q107" i="315"/>
  <c r="Q108" i="315"/>
  <c r="Q110" i="315"/>
  <c r="Q130" i="315"/>
  <c r="Q512" i="321"/>
  <c r="Q513" i="321"/>
  <c r="Q514" i="321"/>
  <c r="Q530" i="321"/>
  <c r="Q531" i="321"/>
  <c r="Q532" i="321"/>
  <c r="Q120" i="315"/>
  <c r="Q98" i="286"/>
  <c r="Q99" i="286"/>
  <c r="Q122" i="315"/>
  <c r="Q116" i="286"/>
  <c r="Q117" i="286"/>
  <c r="Q123" i="315"/>
  <c r="Q123" i="286"/>
  <c r="Q124" i="286"/>
  <c r="Q125" i="286"/>
  <c r="Q124" i="315"/>
  <c r="Q125" i="315"/>
  <c r="Q131" i="315"/>
  <c r="Q132" i="315"/>
  <c r="Q133" i="315"/>
  <c r="R130" i="286"/>
  <c r="R527" i="321"/>
  <c r="R496" i="321"/>
  <c r="R498" i="321"/>
  <c r="R499" i="321"/>
  <c r="R25" i="315"/>
  <c r="R27" i="315"/>
  <c r="R112" i="282"/>
  <c r="R103" i="282"/>
  <c r="R108" i="282"/>
  <c r="R116" i="282"/>
  <c r="R117" i="282"/>
  <c r="R120" i="282"/>
  <c r="R121" i="282"/>
  <c r="R130" i="282"/>
  <c r="R126" i="282"/>
  <c r="Q123" i="282"/>
  <c r="Q124" i="282"/>
  <c r="Q136" i="282"/>
  <c r="Q137" i="282"/>
  <c r="Q138" i="282"/>
  <c r="R135" i="282"/>
  <c r="R127" i="282"/>
  <c r="R128" i="282"/>
  <c r="R131" i="282"/>
  <c r="R132" i="282"/>
  <c r="R143" i="282"/>
  <c r="R144" i="282"/>
  <c r="R145" i="282"/>
  <c r="R44" i="315"/>
  <c r="R45" i="315"/>
  <c r="R63" i="315"/>
  <c r="R73" i="315"/>
  <c r="R127" i="314"/>
  <c r="R128" i="314"/>
  <c r="R130" i="314"/>
  <c r="R132" i="314"/>
  <c r="R133" i="314"/>
  <c r="R143" i="314"/>
  <c r="R160" i="314"/>
  <c r="R116" i="314"/>
  <c r="R119" i="314"/>
  <c r="R122" i="314"/>
  <c r="R124" i="314"/>
  <c r="R144" i="314"/>
  <c r="R145" i="314"/>
  <c r="R146" i="314"/>
  <c r="R75" i="315"/>
  <c r="R135" i="314"/>
  <c r="R137" i="314"/>
  <c r="R139" i="314"/>
  <c r="R140" i="314"/>
  <c r="R141" i="314"/>
  <c r="R152" i="314"/>
  <c r="R149" i="314"/>
  <c r="R150" i="314"/>
  <c r="R153" i="314"/>
  <c r="R154" i="314"/>
  <c r="R76" i="315"/>
  <c r="R78" i="315"/>
  <c r="R81" i="315"/>
  <c r="R506" i="321"/>
  <c r="R502" i="321"/>
  <c r="R503" i="321"/>
  <c r="R504" i="321"/>
  <c r="R507" i="321"/>
  <c r="R508" i="321"/>
  <c r="R509" i="321"/>
  <c r="R83" i="315"/>
  <c r="R521" i="321"/>
  <c r="R517" i="321"/>
  <c r="R518" i="321"/>
  <c r="R519" i="321"/>
  <c r="R522" i="321"/>
  <c r="R523" i="321"/>
  <c r="R524" i="321"/>
  <c r="R84" i="315"/>
  <c r="R85" i="315"/>
  <c r="R96" i="286"/>
  <c r="R90" i="286"/>
  <c r="R86" i="286"/>
  <c r="R87" i="286"/>
  <c r="R88" i="286"/>
  <c r="R91" i="286"/>
  <c r="R93" i="286"/>
  <c r="R94" i="286"/>
  <c r="R87" i="315"/>
  <c r="R114" i="286"/>
  <c r="R108" i="286"/>
  <c r="R104" i="286"/>
  <c r="R105" i="286"/>
  <c r="R106" i="286"/>
  <c r="R109" i="286"/>
  <c r="R111" i="286"/>
  <c r="R112" i="286"/>
  <c r="R88" i="315"/>
  <c r="R89" i="315"/>
  <c r="R131" i="286"/>
  <c r="R122" i="286"/>
  <c r="R138" i="286"/>
  <c r="R29" i="315"/>
  <c r="R31" i="315"/>
  <c r="R139" i="286"/>
  <c r="R140" i="286"/>
  <c r="R146" i="286"/>
  <c r="R142" i="286"/>
  <c r="R143" i="286"/>
  <c r="R144" i="286"/>
  <c r="R147" i="286"/>
  <c r="R148" i="286"/>
  <c r="R132" i="286"/>
  <c r="R133" i="286"/>
  <c r="R103" i="315"/>
  <c r="R161" i="314"/>
  <c r="R162" i="314"/>
  <c r="R163" i="314"/>
  <c r="R107" i="315"/>
  <c r="R108" i="315"/>
  <c r="R110" i="315"/>
  <c r="R130" i="315"/>
  <c r="R512" i="321"/>
  <c r="R513" i="321"/>
  <c r="R514" i="321"/>
  <c r="R530" i="321"/>
  <c r="R531" i="321"/>
  <c r="R532" i="321"/>
  <c r="R120" i="315"/>
  <c r="R98" i="286"/>
  <c r="R99" i="286"/>
  <c r="R122" i="315"/>
  <c r="R116" i="286"/>
  <c r="R117" i="286"/>
  <c r="R123" i="315"/>
  <c r="R123" i="286"/>
  <c r="R124" i="286"/>
  <c r="R125" i="286"/>
  <c r="R124" i="315"/>
  <c r="R125" i="315"/>
  <c r="R131" i="315"/>
  <c r="R132" i="315"/>
  <c r="R133" i="315"/>
  <c r="S130" i="286"/>
  <c r="S527" i="321"/>
  <c r="S496" i="321"/>
  <c r="S498" i="321"/>
  <c r="S499" i="321"/>
  <c r="S25" i="315"/>
  <c r="S27" i="315"/>
  <c r="S112" i="282"/>
  <c r="S103" i="282"/>
  <c r="S108" i="282"/>
  <c r="S116" i="282"/>
  <c r="S117" i="282"/>
  <c r="S120" i="282"/>
  <c r="S121" i="282"/>
  <c r="S130" i="282"/>
  <c r="S126" i="282"/>
  <c r="R123" i="282"/>
  <c r="R124" i="282"/>
  <c r="R136" i="282"/>
  <c r="R137" i="282"/>
  <c r="R138" i="282"/>
  <c r="S135" i="282"/>
  <c r="S127" i="282"/>
  <c r="S128" i="282"/>
  <c r="S131" i="282"/>
  <c r="S132" i="282"/>
  <c r="S143" i="282"/>
  <c r="S144" i="282"/>
  <c r="S145" i="282"/>
  <c r="S44" i="315"/>
  <c r="S45" i="315"/>
  <c r="S63" i="315"/>
  <c r="S73" i="315"/>
  <c r="S127" i="314"/>
  <c r="S128" i="314"/>
  <c r="S130" i="314"/>
  <c r="S132" i="314"/>
  <c r="S133" i="314"/>
  <c r="S143" i="314"/>
  <c r="S160" i="314"/>
  <c r="S116" i="314"/>
  <c r="S119" i="314"/>
  <c r="S122" i="314"/>
  <c r="S124" i="314"/>
  <c r="S144" i="314"/>
  <c r="S145" i="314"/>
  <c r="S146" i="314"/>
  <c r="S75" i="315"/>
  <c r="S135" i="314"/>
  <c r="S137" i="314"/>
  <c r="S139" i="314"/>
  <c r="S140" i="314"/>
  <c r="S141" i="314"/>
  <c r="S152" i="314"/>
  <c r="S149" i="314"/>
  <c r="S150" i="314"/>
  <c r="S153" i="314"/>
  <c r="S154" i="314"/>
  <c r="S76" i="315"/>
  <c r="S78" i="315"/>
  <c r="S81" i="315"/>
  <c r="S506" i="321"/>
  <c r="S502" i="321"/>
  <c r="S503" i="321"/>
  <c r="S504" i="321"/>
  <c r="S507" i="321"/>
  <c r="S508" i="321"/>
  <c r="S509" i="321"/>
  <c r="S83" i="315"/>
  <c r="S521" i="321"/>
  <c r="S517" i="321"/>
  <c r="S518" i="321"/>
  <c r="S519" i="321"/>
  <c r="S522" i="321"/>
  <c r="S523" i="321"/>
  <c r="S524" i="321"/>
  <c r="S84" i="315"/>
  <c r="S85" i="315"/>
  <c r="S96" i="286"/>
  <c r="S90" i="286"/>
  <c r="S86" i="286"/>
  <c r="S87" i="286"/>
  <c r="S88" i="286"/>
  <c r="S91" i="286"/>
  <c r="S93" i="286"/>
  <c r="S94" i="286"/>
  <c r="S87" i="315"/>
  <c r="S114" i="286"/>
  <c r="S108" i="286"/>
  <c r="S104" i="286"/>
  <c r="S105" i="286"/>
  <c r="S106" i="286"/>
  <c r="S109" i="286"/>
  <c r="S111" i="286"/>
  <c r="S112" i="286"/>
  <c r="S88" i="315"/>
  <c r="S89" i="315"/>
  <c r="S131" i="286"/>
  <c r="S122" i="286"/>
  <c r="S138" i="286"/>
  <c r="S29" i="315"/>
  <c r="S31" i="315"/>
  <c r="S139" i="286"/>
  <c r="S140" i="286"/>
  <c r="S146" i="286"/>
  <c r="S142" i="286"/>
  <c r="S143" i="286"/>
  <c r="S144" i="286"/>
  <c r="S147" i="286"/>
  <c r="S148" i="286"/>
  <c r="S132" i="286"/>
  <c r="S133" i="286"/>
  <c r="S103" i="315"/>
  <c r="S161" i="314"/>
  <c r="S162" i="314"/>
  <c r="S163" i="314"/>
  <c r="S107" i="315"/>
  <c r="S108" i="315"/>
  <c r="S110" i="315"/>
  <c r="S130" i="315"/>
  <c r="S512" i="321"/>
  <c r="S513" i="321"/>
  <c r="S514" i="321"/>
  <c r="S530" i="321"/>
  <c r="S531" i="321"/>
  <c r="S532" i="321"/>
  <c r="S120" i="315"/>
  <c r="S98" i="286"/>
  <c r="S99" i="286"/>
  <c r="S122" i="315"/>
  <c r="S116" i="286"/>
  <c r="S117" i="286"/>
  <c r="S123" i="315"/>
  <c r="S123" i="286"/>
  <c r="S124" i="286"/>
  <c r="S125" i="286"/>
  <c r="S124" i="315"/>
  <c r="S125" i="315"/>
  <c r="S131" i="315"/>
  <c r="S132" i="315"/>
  <c r="S133" i="315"/>
  <c r="T130" i="286"/>
  <c r="T527" i="321"/>
  <c r="T496" i="321"/>
  <c r="T498" i="321"/>
  <c r="T499" i="321"/>
  <c r="T25" i="315"/>
  <c r="T27" i="315"/>
  <c r="T112" i="282"/>
  <c r="T103" i="282"/>
  <c r="T108" i="282"/>
  <c r="T116" i="282"/>
  <c r="T117" i="282"/>
  <c r="T120" i="282"/>
  <c r="T121" i="282"/>
  <c r="T130" i="282"/>
  <c r="T126" i="282"/>
  <c r="S123" i="282"/>
  <c r="S124" i="282"/>
  <c r="S136" i="282"/>
  <c r="S137" i="282"/>
  <c r="S138" i="282"/>
  <c r="T135" i="282"/>
  <c r="T127" i="282"/>
  <c r="T128" i="282"/>
  <c r="T131" i="282"/>
  <c r="T132" i="282"/>
  <c r="T143" i="282"/>
  <c r="T144" i="282"/>
  <c r="T145" i="282"/>
  <c r="T44" i="315"/>
  <c r="T45" i="315"/>
  <c r="T63" i="315"/>
  <c r="T73" i="315"/>
  <c r="T127" i="314"/>
  <c r="T128" i="314"/>
  <c r="T130" i="314"/>
  <c r="T132" i="314"/>
  <c r="T133" i="314"/>
  <c r="T143" i="314"/>
  <c r="T160" i="314"/>
  <c r="T116" i="314"/>
  <c r="T119" i="314"/>
  <c r="T122" i="314"/>
  <c r="T124" i="314"/>
  <c r="T144" i="314"/>
  <c r="T145" i="314"/>
  <c r="T146" i="314"/>
  <c r="T75" i="315"/>
  <c r="T135" i="314"/>
  <c r="T137" i="314"/>
  <c r="T139" i="314"/>
  <c r="T140" i="314"/>
  <c r="T141" i="314"/>
  <c r="T152" i="314"/>
  <c r="T149" i="314"/>
  <c r="T150" i="314"/>
  <c r="T153" i="314"/>
  <c r="T154" i="314"/>
  <c r="T76" i="315"/>
  <c r="T78" i="315"/>
  <c r="T81" i="315"/>
  <c r="T506" i="321"/>
  <c r="T502" i="321"/>
  <c r="T503" i="321"/>
  <c r="T504" i="321"/>
  <c r="T507" i="321"/>
  <c r="T508" i="321"/>
  <c r="T509" i="321"/>
  <c r="T83" i="315"/>
  <c r="T521" i="321"/>
  <c r="T517" i="321"/>
  <c r="T518" i="321"/>
  <c r="T519" i="321"/>
  <c r="T522" i="321"/>
  <c r="T523" i="321"/>
  <c r="T524" i="321"/>
  <c r="T84" i="315"/>
  <c r="T85" i="315"/>
  <c r="T96" i="286"/>
  <c r="T90" i="286"/>
  <c r="T86" i="286"/>
  <c r="T87" i="286"/>
  <c r="T88" i="286"/>
  <c r="T91" i="286"/>
  <c r="T93" i="286"/>
  <c r="T94" i="286"/>
  <c r="T87" i="315"/>
  <c r="T114" i="286"/>
  <c r="T108" i="286"/>
  <c r="T104" i="286"/>
  <c r="T105" i="286"/>
  <c r="T106" i="286"/>
  <c r="T109" i="286"/>
  <c r="T111" i="286"/>
  <c r="T112" i="286"/>
  <c r="T88" i="315"/>
  <c r="T89" i="315"/>
  <c r="T131" i="286"/>
  <c r="T122" i="286"/>
  <c r="T138" i="286"/>
  <c r="T29" i="315"/>
  <c r="T31" i="315"/>
  <c r="T139" i="286"/>
  <c r="T140" i="286"/>
  <c r="T146" i="286"/>
  <c r="T142" i="286"/>
  <c r="T143" i="286"/>
  <c r="T144" i="286"/>
  <c r="T147" i="286"/>
  <c r="T148" i="286"/>
  <c r="T132" i="286"/>
  <c r="T133" i="286"/>
  <c r="T103" i="315"/>
  <c r="T161" i="314"/>
  <c r="T162" i="314"/>
  <c r="T163" i="314"/>
  <c r="T107" i="315"/>
  <c r="T108" i="315"/>
  <c r="T110" i="315"/>
  <c r="T130" i="315"/>
  <c r="T512" i="321"/>
  <c r="T513" i="321"/>
  <c r="T514" i="321"/>
  <c r="T530" i="321"/>
  <c r="T531" i="321"/>
  <c r="T532" i="321"/>
  <c r="T120" i="315"/>
  <c r="T98" i="286"/>
  <c r="T99" i="286"/>
  <c r="T122" i="315"/>
  <c r="T116" i="286"/>
  <c r="T117" i="286"/>
  <c r="T123" i="315"/>
  <c r="T123" i="286"/>
  <c r="T124" i="286"/>
  <c r="T125" i="286"/>
  <c r="T124" i="315"/>
  <c r="T125" i="315"/>
  <c r="T131" i="315"/>
  <c r="T132" i="315"/>
  <c r="T133" i="315"/>
  <c r="U130" i="286"/>
  <c r="U527" i="321"/>
  <c r="U496" i="321"/>
  <c r="U498" i="321"/>
  <c r="U499" i="321"/>
  <c r="U25" i="315"/>
  <c r="U27" i="315"/>
  <c r="U112" i="282"/>
  <c r="U103" i="282"/>
  <c r="U108" i="282"/>
  <c r="U116" i="282"/>
  <c r="U117" i="282"/>
  <c r="U120" i="282"/>
  <c r="U121" i="282"/>
  <c r="U130" i="282"/>
  <c r="U126" i="282"/>
  <c r="T123" i="282"/>
  <c r="T124" i="282"/>
  <c r="T136" i="282"/>
  <c r="T137" i="282"/>
  <c r="T138" i="282"/>
  <c r="U135" i="282"/>
  <c r="U127" i="282"/>
  <c r="U128" i="282"/>
  <c r="U131" i="282"/>
  <c r="U132" i="282"/>
  <c r="U143" i="282"/>
  <c r="U144" i="282"/>
  <c r="U145" i="282"/>
  <c r="U44" i="315"/>
  <c r="U45" i="315"/>
  <c r="U63" i="315"/>
  <c r="U73" i="315"/>
  <c r="U127" i="314"/>
  <c r="U128" i="314"/>
  <c r="U130" i="314"/>
  <c r="U132" i="314"/>
  <c r="U133" i="314"/>
  <c r="U143" i="314"/>
  <c r="U160" i="314"/>
  <c r="U116" i="314"/>
  <c r="U119" i="314"/>
  <c r="U122" i="314"/>
  <c r="U124" i="314"/>
  <c r="U144" i="314"/>
  <c r="U145" i="314"/>
  <c r="U146" i="314"/>
  <c r="U75" i="315"/>
  <c r="U135" i="314"/>
  <c r="U137" i="314"/>
  <c r="U139" i="314"/>
  <c r="U140" i="314"/>
  <c r="U141" i="314"/>
  <c r="U152" i="314"/>
  <c r="U149" i="314"/>
  <c r="U150" i="314"/>
  <c r="U153" i="314"/>
  <c r="U154" i="314"/>
  <c r="U76" i="315"/>
  <c r="U78" i="315"/>
  <c r="U81" i="315"/>
  <c r="U506" i="321"/>
  <c r="U502" i="321"/>
  <c r="U503" i="321"/>
  <c r="U504" i="321"/>
  <c r="U507" i="321"/>
  <c r="U508" i="321"/>
  <c r="U509" i="321"/>
  <c r="U83" i="315"/>
  <c r="U521" i="321"/>
  <c r="U517" i="321"/>
  <c r="U518" i="321"/>
  <c r="U519" i="321"/>
  <c r="U522" i="321"/>
  <c r="U523" i="321"/>
  <c r="U524" i="321"/>
  <c r="U84" i="315"/>
  <c r="U85" i="315"/>
  <c r="U96" i="286"/>
  <c r="U90" i="286"/>
  <c r="U86" i="286"/>
  <c r="U87" i="286"/>
  <c r="U88" i="286"/>
  <c r="U91" i="286"/>
  <c r="U93" i="286"/>
  <c r="U94" i="286"/>
  <c r="U87" i="315"/>
  <c r="U114" i="286"/>
  <c r="U108" i="286"/>
  <c r="U104" i="286"/>
  <c r="U105" i="286"/>
  <c r="U106" i="286"/>
  <c r="U109" i="286"/>
  <c r="U111" i="286"/>
  <c r="U112" i="286"/>
  <c r="U88" i="315"/>
  <c r="U89" i="315"/>
  <c r="U131" i="286"/>
  <c r="U122" i="286"/>
  <c r="U138" i="286"/>
  <c r="U29" i="315"/>
  <c r="U31" i="315"/>
  <c r="U139" i="286"/>
  <c r="U140" i="286"/>
  <c r="U146" i="286"/>
  <c r="U142" i="286"/>
  <c r="U143" i="286"/>
  <c r="U144" i="286"/>
  <c r="U147" i="286"/>
  <c r="U148" i="286"/>
  <c r="U132" i="286"/>
  <c r="U133" i="286"/>
  <c r="U103" i="315"/>
  <c r="U161" i="314"/>
  <c r="U162" i="314"/>
  <c r="U163" i="314"/>
  <c r="U107" i="315"/>
  <c r="U108" i="315"/>
  <c r="U110" i="315"/>
  <c r="U130" i="315"/>
  <c r="U512" i="321"/>
  <c r="U513" i="321"/>
  <c r="U514" i="321"/>
  <c r="U530" i="321"/>
  <c r="U531" i="321"/>
  <c r="U532" i="321"/>
  <c r="U120" i="315"/>
  <c r="U98" i="286"/>
  <c r="U99" i="286"/>
  <c r="U122" i="315"/>
  <c r="U116" i="286"/>
  <c r="U117" i="286"/>
  <c r="U123" i="315"/>
  <c r="U123" i="286"/>
  <c r="U124" i="286"/>
  <c r="U125" i="286"/>
  <c r="U124" i="315"/>
  <c r="U125" i="315"/>
  <c r="U131" i="315"/>
  <c r="U132" i="315"/>
  <c r="U133" i="315"/>
  <c r="V130" i="286"/>
  <c r="V527" i="321"/>
  <c r="V496" i="321"/>
  <c r="V498" i="321"/>
  <c r="V499" i="321"/>
  <c r="V25" i="315"/>
  <c r="V27" i="315"/>
  <c r="V112" i="282"/>
  <c r="V103" i="282"/>
  <c r="V108" i="282"/>
  <c r="V116" i="282"/>
  <c r="V117" i="282"/>
  <c r="V120" i="282"/>
  <c r="V121" i="282"/>
  <c r="V130" i="282"/>
  <c r="V126" i="282"/>
  <c r="U123" i="282"/>
  <c r="U124" i="282"/>
  <c r="U136" i="282"/>
  <c r="U137" i="282"/>
  <c r="U138" i="282"/>
  <c r="V135" i="282"/>
  <c r="V127" i="282"/>
  <c r="V128" i="282"/>
  <c r="V131" i="282"/>
  <c r="V132" i="282"/>
  <c r="V143" i="282"/>
  <c r="V144" i="282"/>
  <c r="V145" i="282"/>
  <c r="V44" i="315"/>
  <c r="V45" i="315"/>
  <c r="V63" i="315"/>
  <c r="V73" i="315"/>
  <c r="V127" i="314"/>
  <c r="V128" i="314"/>
  <c r="V130" i="314"/>
  <c r="V132" i="314"/>
  <c r="V133" i="314"/>
  <c r="V143" i="314"/>
  <c r="V160" i="314"/>
  <c r="V116" i="314"/>
  <c r="V119" i="314"/>
  <c r="V122" i="314"/>
  <c r="V124" i="314"/>
  <c r="V144" i="314"/>
  <c r="V145" i="314"/>
  <c r="V146" i="314"/>
  <c r="V75" i="315"/>
  <c r="V135" i="314"/>
  <c r="V137" i="314"/>
  <c r="V139" i="314"/>
  <c r="V140" i="314"/>
  <c r="V141" i="314"/>
  <c r="V152" i="314"/>
  <c r="V149" i="314"/>
  <c r="V150" i="314"/>
  <c r="V153" i="314"/>
  <c r="V154" i="314"/>
  <c r="V76" i="315"/>
  <c r="V78" i="315"/>
  <c r="V81" i="315"/>
  <c r="V506" i="321"/>
  <c r="V502" i="321"/>
  <c r="V503" i="321"/>
  <c r="V504" i="321"/>
  <c r="V507" i="321"/>
  <c r="V508" i="321"/>
  <c r="V509" i="321"/>
  <c r="V83" i="315"/>
  <c r="V521" i="321"/>
  <c r="V517" i="321"/>
  <c r="V518" i="321"/>
  <c r="V519" i="321"/>
  <c r="V522" i="321"/>
  <c r="V523" i="321"/>
  <c r="V524" i="321"/>
  <c r="V84" i="315"/>
  <c r="V85" i="315"/>
  <c r="V96" i="286"/>
  <c r="V90" i="286"/>
  <c r="V86" i="286"/>
  <c r="V87" i="286"/>
  <c r="V88" i="286"/>
  <c r="V91" i="286"/>
  <c r="V93" i="286"/>
  <c r="V94" i="286"/>
  <c r="V87" i="315"/>
  <c r="V114" i="286"/>
  <c r="V108" i="286"/>
  <c r="V104" i="286"/>
  <c r="V105" i="286"/>
  <c r="V106" i="286"/>
  <c r="V109" i="286"/>
  <c r="V111" i="286"/>
  <c r="V112" i="286"/>
  <c r="V88" i="315"/>
  <c r="V89" i="315"/>
  <c r="V131" i="286"/>
  <c r="V122" i="286"/>
  <c r="V138" i="286"/>
  <c r="V29" i="315"/>
  <c r="V31" i="315"/>
  <c r="V139" i="286"/>
  <c r="V140" i="286"/>
  <c r="V146" i="286"/>
  <c r="V142" i="286"/>
  <c r="V143" i="286"/>
  <c r="V144" i="286"/>
  <c r="V147" i="286"/>
  <c r="V148" i="286"/>
  <c r="V132" i="286"/>
  <c r="V133" i="286"/>
  <c r="V103" i="315"/>
  <c r="V161" i="314"/>
  <c r="V162" i="314"/>
  <c r="V163" i="314"/>
  <c r="V107" i="315"/>
  <c r="V108" i="315"/>
  <c r="V110" i="315"/>
  <c r="V130" i="315"/>
  <c r="V512" i="321"/>
  <c r="V513" i="321"/>
  <c r="V514" i="321"/>
  <c r="V530" i="321"/>
  <c r="V531" i="321"/>
  <c r="V532" i="321"/>
  <c r="V120" i="315"/>
  <c r="V98" i="286"/>
  <c r="V99" i="286"/>
  <c r="V122" i="315"/>
  <c r="V116" i="286"/>
  <c r="V117" i="286"/>
  <c r="V123" i="315"/>
  <c r="V123" i="286"/>
  <c r="V124" i="286"/>
  <c r="V125" i="286"/>
  <c r="V124" i="315"/>
  <c r="V125" i="315"/>
  <c r="V131" i="315"/>
  <c r="V132" i="315"/>
  <c r="V133" i="315"/>
  <c r="W130" i="286"/>
  <c r="W527" i="321"/>
  <c r="W496" i="321"/>
  <c r="W498" i="321"/>
  <c r="W499" i="321"/>
  <c r="W25" i="315"/>
  <c r="W27" i="315"/>
  <c r="W112" i="282"/>
  <c r="W103" i="282"/>
  <c r="W108" i="282"/>
  <c r="W116" i="282"/>
  <c r="W117" i="282"/>
  <c r="W120" i="282"/>
  <c r="W121" i="282"/>
  <c r="W130" i="282"/>
  <c r="W126" i="282"/>
  <c r="V123" i="282"/>
  <c r="V124" i="282"/>
  <c r="V136" i="282"/>
  <c r="V137" i="282"/>
  <c r="V138" i="282"/>
  <c r="W135" i="282"/>
  <c r="W127" i="282"/>
  <c r="W128" i="282"/>
  <c r="W131" i="282"/>
  <c r="W132" i="282"/>
  <c r="W143" i="282"/>
  <c r="W144" i="282"/>
  <c r="W145" i="282"/>
  <c r="W44" i="315"/>
  <c r="W45" i="315"/>
  <c r="W63" i="315"/>
  <c r="W73" i="315"/>
  <c r="W127" i="314"/>
  <c r="W128" i="314"/>
  <c r="W130" i="314"/>
  <c r="W132" i="314"/>
  <c r="W133" i="314"/>
  <c r="W143" i="314"/>
  <c r="W160" i="314"/>
  <c r="W116" i="314"/>
  <c r="W119" i="314"/>
  <c r="W122" i="314"/>
  <c r="W124" i="314"/>
  <c r="W144" i="314"/>
  <c r="W145" i="314"/>
  <c r="W146" i="314"/>
  <c r="W75" i="315"/>
  <c r="W135" i="314"/>
  <c r="W137" i="314"/>
  <c r="W139" i="314"/>
  <c r="W140" i="314"/>
  <c r="W141" i="314"/>
  <c r="W152" i="314"/>
  <c r="W149" i="314"/>
  <c r="W150" i="314"/>
  <c r="W153" i="314"/>
  <c r="W154" i="314"/>
  <c r="W76" i="315"/>
  <c r="W78" i="315"/>
  <c r="W81" i="315"/>
  <c r="W506" i="321"/>
  <c r="W502" i="321"/>
  <c r="W503" i="321"/>
  <c r="W504" i="321"/>
  <c r="W507" i="321"/>
  <c r="W508" i="321"/>
  <c r="W509" i="321"/>
  <c r="W83" i="315"/>
  <c r="W521" i="321"/>
  <c r="W517" i="321"/>
  <c r="W518" i="321"/>
  <c r="W519" i="321"/>
  <c r="W522" i="321"/>
  <c r="W523" i="321"/>
  <c r="W524" i="321"/>
  <c r="W84" i="315"/>
  <c r="W85" i="315"/>
  <c r="W96" i="286"/>
  <c r="W90" i="286"/>
  <c r="W86" i="286"/>
  <c r="W87" i="286"/>
  <c r="W88" i="286"/>
  <c r="W91" i="286"/>
  <c r="W93" i="286"/>
  <c r="W94" i="286"/>
  <c r="W87" i="315"/>
  <c r="W114" i="286"/>
  <c r="W108" i="286"/>
  <c r="W104" i="286"/>
  <c r="W105" i="286"/>
  <c r="W106" i="286"/>
  <c r="W109" i="286"/>
  <c r="W111" i="286"/>
  <c r="W112" i="286"/>
  <c r="W88" i="315"/>
  <c r="W89" i="315"/>
  <c r="W131" i="286"/>
  <c r="W122" i="286"/>
  <c r="W138" i="286"/>
  <c r="W29" i="315"/>
  <c r="W31" i="315"/>
  <c r="W139" i="286"/>
  <c r="W140" i="286"/>
  <c r="W146" i="286"/>
  <c r="W142" i="286"/>
  <c r="W143" i="286"/>
  <c r="W144" i="286"/>
  <c r="W147" i="286"/>
  <c r="W148" i="286"/>
  <c r="W132" i="286"/>
  <c r="W133" i="286"/>
  <c r="W103" i="315"/>
  <c r="W161" i="314"/>
  <c r="W162" i="314"/>
  <c r="W163" i="314"/>
  <c r="W107" i="315"/>
  <c r="W108" i="315"/>
  <c r="W110" i="315"/>
  <c r="W130" i="315"/>
  <c r="W512" i="321"/>
  <c r="W513" i="321"/>
  <c r="W514" i="321"/>
  <c r="W530" i="321"/>
  <c r="W531" i="321"/>
  <c r="W532" i="321"/>
  <c r="W120" i="315"/>
  <c r="W98" i="286"/>
  <c r="W99" i="286"/>
  <c r="W122" i="315"/>
  <c r="W116" i="286"/>
  <c r="W117" i="286"/>
  <c r="W123" i="315"/>
  <c r="W123" i="286"/>
  <c r="W124" i="286"/>
  <c r="W125" i="286"/>
  <c r="W124" i="315"/>
  <c r="W125" i="315"/>
  <c r="W131" i="315"/>
  <c r="W132" i="315"/>
  <c r="W133" i="315"/>
  <c r="X130" i="286"/>
  <c r="X142" i="286"/>
  <c r="X86" i="286"/>
  <c r="X127" i="314"/>
  <c r="X502" i="321"/>
  <c r="W123" i="282"/>
  <c r="W124" i="282"/>
  <c r="W136" i="282"/>
  <c r="W137" i="282"/>
  <c r="W138" i="282"/>
  <c r="X135" i="282"/>
  <c r="X527" i="321"/>
  <c r="X496" i="321"/>
  <c r="X498" i="321"/>
  <c r="X499" i="321"/>
  <c r="X25" i="315"/>
  <c r="X27" i="315"/>
  <c r="X112" i="282"/>
  <c r="X103" i="282"/>
  <c r="X108" i="282"/>
  <c r="X116" i="282"/>
  <c r="X117" i="282"/>
  <c r="X123" i="282"/>
  <c r="X124" i="282"/>
  <c r="X136" i="282"/>
  <c r="X120" i="282"/>
  <c r="X121" i="282"/>
  <c r="X126" i="282"/>
  <c r="X127" i="282"/>
  <c r="X128" i="282"/>
  <c r="X137" i="282"/>
  <c r="X138" i="282"/>
  <c r="Y135" i="282"/>
  <c r="Y127" i="282"/>
  <c r="K263" i="288"/>
  <c r="L235" i="288"/>
  <c r="L237" i="288"/>
  <c r="L239" i="288"/>
  <c r="K215" i="288"/>
  <c r="K201" i="288"/>
  <c r="K202" i="288"/>
  <c r="K149" i="286"/>
  <c r="K91" i="315"/>
  <c r="K92" i="315"/>
  <c r="K33" i="315"/>
  <c r="K34" i="315"/>
  <c r="K192" i="288"/>
  <c r="K193" i="288"/>
  <c r="K194" i="288"/>
  <c r="K197" i="288"/>
  <c r="K198" i="288"/>
  <c r="K199" i="288"/>
  <c r="K200" i="288"/>
  <c r="K204" i="288"/>
  <c r="K207" i="288"/>
  <c r="L263" i="288"/>
  <c r="L215" i="288"/>
  <c r="M235" i="288"/>
  <c r="M237" i="288"/>
  <c r="M239" i="288"/>
  <c r="L201" i="288"/>
  <c r="L202" i="288"/>
  <c r="L149" i="286"/>
  <c r="L91" i="315"/>
  <c r="L92" i="315"/>
  <c r="L33" i="315"/>
  <c r="L34" i="315"/>
  <c r="L192" i="288"/>
  <c r="L193" i="288"/>
  <c r="L194" i="288"/>
  <c r="L197" i="288"/>
  <c r="L198" i="288"/>
  <c r="L199" i="288"/>
  <c r="L200" i="288"/>
  <c r="L204" i="288"/>
  <c r="L207" i="288"/>
  <c r="M263" i="288"/>
  <c r="M215" i="288"/>
  <c r="N235" i="288"/>
  <c r="N237" i="288"/>
  <c r="N239" i="288"/>
  <c r="M201" i="288"/>
  <c r="M202" i="288"/>
  <c r="M149" i="286"/>
  <c r="M91" i="315"/>
  <c r="M92" i="315"/>
  <c r="M33" i="315"/>
  <c r="M34" i="315"/>
  <c r="M192" i="288"/>
  <c r="M193" i="288"/>
  <c r="M194" i="288"/>
  <c r="M197" i="288"/>
  <c r="M198" i="288"/>
  <c r="M199" i="288"/>
  <c r="M200" i="288"/>
  <c r="M204" i="288"/>
  <c r="M207" i="288"/>
  <c r="N263" i="288"/>
  <c r="N215" i="288"/>
  <c r="O235" i="288"/>
  <c r="O237" i="288"/>
  <c r="O239" i="288"/>
  <c r="O242" i="288"/>
  <c r="O244" i="288"/>
  <c r="N201" i="288"/>
  <c r="N202" i="288"/>
  <c r="N149" i="286"/>
  <c r="N91" i="315"/>
  <c r="N92" i="315"/>
  <c r="N33" i="315"/>
  <c r="N34" i="315"/>
  <c r="N192" i="288"/>
  <c r="N193" i="288"/>
  <c r="N194" i="288"/>
  <c r="N197" i="288"/>
  <c r="N198" i="288"/>
  <c r="N199" i="288"/>
  <c r="N200" i="288"/>
  <c r="N204" i="288"/>
  <c r="N207" i="288"/>
  <c r="O263" i="288"/>
  <c r="O215" i="288"/>
  <c r="O218" i="288"/>
  <c r="O220" i="288"/>
  <c r="P235" i="288"/>
  <c r="P237" i="288"/>
  <c r="P239" i="288"/>
  <c r="P242" i="288"/>
  <c r="P244" i="288"/>
  <c r="O201" i="288"/>
  <c r="O202" i="288"/>
  <c r="O149" i="286"/>
  <c r="O91" i="315"/>
  <c r="O92" i="315"/>
  <c r="O33" i="315"/>
  <c r="O34" i="315"/>
  <c r="O192" i="288"/>
  <c r="O193" i="288"/>
  <c r="O194" i="288"/>
  <c r="O197" i="288"/>
  <c r="O198" i="288"/>
  <c r="O199" i="288"/>
  <c r="O200" i="288"/>
  <c r="O204" i="288"/>
  <c r="O207" i="288"/>
  <c r="P263" i="288"/>
  <c r="P215" i="288"/>
  <c r="P218" i="288"/>
  <c r="P220" i="288"/>
  <c r="Q235" i="288"/>
  <c r="Q237" i="288"/>
  <c r="Q239" i="288"/>
  <c r="Q242" i="288"/>
  <c r="Q244" i="288"/>
  <c r="P201" i="288"/>
  <c r="P202" i="288"/>
  <c r="P149" i="286"/>
  <c r="P91" i="315"/>
  <c r="P92" i="315"/>
  <c r="P33" i="315"/>
  <c r="P34" i="315"/>
  <c r="P192" i="288"/>
  <c r="P193" i="288"/>
  <c r="P194" i="288"/>
  <c r="P197" i="288"/>
  <c r="P198" i="288"/>
  <c r="P199" i="288"/>
  <c r="P200" i="288"/>
  <c r="P204" i="288"/>
  <c r="P207" i="288"/>
  <c r="Q263" i="288"/>
  <c r="Q215" i="288"/>
  <c r="Q218" i="288"/>
  <c r="Q220" i="288"/>
  <c r="R235" i="288"/>
  <c r="R237" i="288"/>
  <c r="R239" i="288"/>
  <c r="R242" i="288"/>
  <c r="R244" i="288"/>
  <c r="Q201" i="288"/>
  <c r="Q202" i="288"/>
  <c r="Q149" i="286"/>
  <c r="Q91" i="315"/>
  <c r="Q92" i="315"/>
  <c r="Q33" i="315"/>
  <c r="Q34" i="315"/>
  <c r="Q192" i="288"/>
  <c r="Q193" i="288"/>
  <c r="Q194" i="288"/>
  <c r="Q197" i="288"/>
  <c r="Q198" i="288"/>
  <c r="Q199" i="288"/>
  <c r="Q200" i="288"/>
  <c r="Q204" i="288"/>
  <c r="Q207" i="288"/>
  <c r="R263" i="288"/>
  <c r="R215" i="288"/>
  <c r="R218" i="288"/>
  <c r="R220" i="288"/>
  <c r="S235" i="288"/>
  <c r="S237" i="288"/>
  <c r="S239" i="288"/>
  <c r="S242" i="288"/>
  <c r="S244" i="288"/>
  <c r="R201" i="288"/>
  <c r="R202" i="288"/>
  <c r="R149" i="286"/>
  <c r="R91" i="315"/>
  <c r="R92" i="315"/>
  <c r="R33" i="315"/>
  <c r="R34" i="315"/>
  <c r="R192" i="288"/>
  <c r="R193" i="288"/>
  <c r="R194" i="288"/>
  <c r="R197" i="288"/>
  <c r="R198" i="288"/>
  <c r="R199" i="288"/>
  <c r="R200" i="288"/>
  <c r="R204" i="288"/>
  <c r="R207" i="288"/>
  <c r="S263" i="288"/>
  <c r="S215" i="288"/>
  <c r="S218" i="288"/>
  <c r="S220" i="288"/>
  <c r="T235" i="288"/>
  <c r="T237" i="288"/>
  <c r="T239" i="288"/>
  <c r="T242" i="288"/>
  <c r="T244" i="288"/>
  <c r="S201" i="288"/>
  <c r="S202" i="288"/>
  <c r="S149" i="286"/>
  <c r="S91" i="315"/>
  <c r="S92" i="315"/>
  <c r="S33" i="315"/>
  <c r="S34" i="315"/>
  <c r="S192" i="288"/>
  <c r="S193" i="288"/>
  <c r="S194" i="288"/>
  <c r="S197" i="288"/>
  <c r="S198" i="288"/>
  <c r="S199" i="288"/>
  <c r="S200" i="288"/>
  <c r="S204" i="288"/>
  <c r="S207" i="288"/>
  <c r="T263" i="288"/>
  <c r="T215" i="288"/>
  <c r="T218" i="288"/>
  <c r="T220" i="288"/>
  <c r="U235" i="288"/>
  <c r="U237" i="288"/>
  <c r="U239" i="288"/>
  <c r="U242" i="288"/>
  <c r="U244" i="288"/>
  <c r="T201" i="288"/>
  <c r="T202" i="288"/>
  <c r="T149" i="286"/>
  <c r="T91" i="315"/>
  <c r="T92" i="315"/>
  <c r="T33" i="315"/>
  <c r="T34" i="315"/>
  <c r="T192" i="288"/>
  <c r="T193" i="288"/>
  <c r="T194" i="288"/>
  <c r="T197" i="288"/>
  <c r="T198" i="288"/>
  <c r="T199" i="288"/>
  <c r="T200" i="288"/>
  <c r="T204" i="288"/>
  <c r="T207" i="288"/>
  <c r="U263" i="288"/>
  <c r="U215" i="288"/>
  <c r="U218" i="288"/>
  <c r="U220" i="288"/>
  <c r="V235" i="288"/>
  <c r="V237" i="288"/>
  <c r="V239" i="288"/>
  <c r="V242" i="288"/>
  <c r="V244" i="288"/>
  <c r="U201" i="288"/>
  <c r="U202" i="288"/>
  <c r="U149" i="286"/>
  <c r="U91" i="315"/>
  <c r="U92" i="315"/>
  <c r="U33" i="315"/>
  <c r="U34" i="315"/>
  <c r="U192" i="288"/>
  <c r="U193" i="288"/>
  <c r="U194" i="288"/>
  <c r="U197" i="288"/>
  <c r="U198" i="288"/>
  <c r="U199" i="288"/>
  <c r="U200" i="288"/>
  <c r="U204" i="288"/>
  <c r="U207" i="288"/>
  <c r="V263" i="288"/>
  <c r="V215" i="288"/>
  <c r="V218" i="288"/>
  <c r="V220" i="288"/>
  <c r="W235" i="288"/>
  <c r="W237" i="288"/>
  <c r="W239" i="288"/>
  <c r="W242" i="288"/>
  <c r="W244" i="288"/>
  <c r="V201" i="288"/>
  <c r="V202" i="288"/>
  <c r="V149" i="286"/>
  <c r="V91" i="315"/>
  <c r="V92" i="315"/>
  <c r="V33" i="315"/>
  <c r="V34" i="315"/>
  <c r="V192" i="288"/>
  <c r="V193" i="288"/>
  <c r="V194" i="288"/>
  <c r="V197" i="288"/>
  <c r="V198" i="288"/>
  <c r="V199" i="288"/>
  <c r="V200" i="288"/>
  <c r="V204" i="288"/>
  <c r="V207" i="288"/>
  <c r="W263" i="288"/>
  <c r="W215" i="288"/>
  <c r="W218" i="288"/>
  <c r="W220" i="288"/>
  <c r="W201" i="288"/>
  <c r="X96" i="286"/>
  <c r="X90" i="286"/>
  <c r="W202" i="288"/>
  <c r="X114" i="286"/>
  <c r="X108" i="286"/>
  <c r="W149" i="286"/>
  <c r="W91" i="315"/>
  <c r="W92" i="315"/>
  <c r="W33" i="315"/>
  <c r="W34" i="315"/>
  <c r="W192" i="288"/>
  <c r="W193" i="288"/>
  <c r="W194" i="288"/>
  <c r="W197" i="288"/>
  <c r="W198" i="288"/>
  <c r="W199" i="288"/>
  <c r="W200" i="288"/>
  <c r="W204" i="288"/>
  <c r="W207" i="288"/>
  <c r="X122" i="286"/>
  <c r="X138" i="286"/>
  <c r="X521" i="321"/>
  <c r="X506" i="321"/>
  <c r="X512" i="321"/>
  <c r="X131" i="282"/>
  <c r="X130" i="282"/>
  <c r="X132" i="282"/>
  <c r="X143" i="282"/>
  <c r="X144" i="282"/>
  <c r="X145" i="282"/>
  <c r="X160" i="314"/>
  <c r="X140" i="314"/>
  <c r="X116" i="314"/>
  <c r="X119" i="314"/>
  <c r="X149" i="314"/>
  <c r="X150" i="314"/>
  <c r="X153" i="314"/>
  <c r="X122" i="314"/>
  <c r="X124" i="314"/>
  <c r="X144" i="314"/>
  <c r="W177" i="288"/>
  <c r="W179" i="288"/>
  <c r="W182" i="288"/>
  <c r="V177" i="288"/>
  <c r="V179" i="288"/>
  <c r="V182" i="288"/>
  <c r="U177" i="288"/>
  <c r="U179" i="288"/>
  <c r="U182" i="288"/>
  <c r="T177" i="288"/>
  <c r="T179" i="288"/>
  <c r="T182" i="288"/>
  <c r="S177" i="288"/>
  <c r="S179" i="288"/>
  <c r="S182" i="288"/>
  <c r="R177" i="288"/>
  <c r="R179" i="288"/>
  <c r="R182" i="288"/>
  <c r="Q177" i="288"/>
  <c r="Q179" i="288"/>
  <c r="Q182" i="288"/>
  <c r="P177" i="288"/>
  <c r="P179" i="288"/>
  <c r="P182" i="288"/>
  <c r="O177" i="288"/>
  <c r="O179" i="288"/>
  <c r="O182" i="288"/>
  <c r="N162" i="314"/>
  <c r="N161" i="314"/>
  <c r="N177" i="288"/>
  <c r="N179" i="288"/>
  <c r="N182" i="288"/>
  <c r="M177" i="288"/>
  <c r="M179" i="288"/>
  <c r="M182" i="288"/>
  <c r="L177" i="288"/>
  <c r="L179" i="288"/>
  <c r="L182" i="288"/>
  <c r="K177" i="288"/>
  <c r="K179" i="288"/>
  <c r="K182" i="288"/>
  <c r="X44" i="315"/>
  <c r="X45" i="315"/>
  <c r="X29" i="315"/>
  <c r="X31" i="315"/>
  <c r="V54" i="286"/>
  <c r="V75" i="286"/>
  <c r="V74" i="286"/>
  <c r="V76" i="286"/>
  <c r="V79" i="286"/>
  <c r="V31" i="265"/>
  <c r="V33" i="265"/>
  <c r="V71" i="286"/>
  <c r="V72" i="286"/>
  <c r="V78" i="286"/>
  <c r="V80" i="286"/>
  <c r="V55" i="286"/>
  <c r="V47" i="286"/>
  <c r="V46" i="286"/>
  <c r="V48" i="286"/>
  <c r="V48" i="288"/>
  <c r="V42" i="288"/>
  <c r="V44" i="288"/>
  <c r="V81" i="286"/>
  <c r="V25" i="328"/>
  <c r="P45" i="328"/>
  <c r="X139" i="286"/>
  <c r="X140" i="286"/>
  <c r="X146" i="286"/>
  <c r="X123" i="286"/>
  <c r="X177" i="288"/>
  <c r="X179" i="288"/>
  <c r="X63" i="315"/>
  <c r="J65" i="277"/>
  <c r="J77" i="277"/>
  <c r="J79" i="277"/>
  <c r="J80" i="277"/>
  <c r="J82" i="277"/>
  <c r="J85" i="277"/>
  <c r="J87" i="277"/>
  <c r="J88" i="277"/>
  <c r="J89" i="277"/>
  <c r="J91" i="277"/>
  <c r="J92" i="277"/>
  <c r="J93" i="277"/>
  <c r="J81" i="286"/>
  <c r="J95" i="265"/>
  <c r="J95" i="277"/>
  <c r="J96" i="277"/>
  <c r="X73" i="315"/>
  <c r="X235" i="288"/>
  <c r="X215" i="288"/>
  <c r="X218" i="288"/>
  <c r="X220" i="288"/>
  <c r="X263" i="288"/>
  <c r="X182" i="288"/>
  <c r="V35" i="265"/>
  <c r="V95" i="265"/>
  <c r="V47" i="288"/>
  <c r="V54" i="288"/>
  <c r="W45" i="286"/>
  <c r="V128" i="265"/>
  <c r="J10" i="321"/>
  <c r="J12" i="321"/>
  <c r="J39" i="311"/>
  <c r="J80" i="311"/>
  <c r="J85" i="288"/>
  <c r="K85" i="288"/>
  <c r="K87" i="288"/>
  <c r="K89" i="288"/>
  <c r="J87" i="288"/>
  <c r="J89" i="288"/>
  <c r="J65" i="288"/>
  <c r="J20" i="328"/>
  <c r="J40" i="328"/>
  <c r="J113" i="288"/>
  <c r="J96" i="265"/>
  <c r="J25" i="328"/>
  <c r="J45" i="328"/>
  <c r="J35" i="265"/>
  <c r="J35" i="277"/>
  <c r="J42" i="288"/>
  <c r="J43" i="288"/>
  <c r="J44" i="288"/>
  <c r="J47" i="288"/>
  <c r="J48" i="288"/>
  <c r="J49" i="288"/>
  <c r="J50" i="288"/>
  <c r="J51" i="288"/>
  <c r="J52" i="288"/>
  <c r="J54" i="288"/>
  <c r="J57" i="288"/>
  <c r="J128" i="265"/>
  <c r="J128" i="277"/>
  <c r="J124" i="265"/>
  <c r="J124" i="277"/>
  <c r="J126" i="265"/>
  <c r="J126" i="277"/>
  <c r="J127" i="265"/>
  <c r="J127" i="277"/>
  <c r="J129" i="277"/>
  <c r="J135" i="277"/>
  <c r="J107" i="265"/>
  <c r="J111" i="265"/>
  <c r="J112" i="265"/>
  <c r="J114" i="265"/>
  <c r="J134" i="265"/>
  <c r="J129" i="265"/>
  <c r="J135" i="265"/>
  <c r="J136" i="265"/>
  <c r="J137" i="265"/>
  <c r="J107" i="277"/>
  <c r="J111" i="277"/>
  <c r="J112" i="277"/>
  <c r="J114" i="277"/>
  <c r="J134" i="277"/>
  <c r="J136" i="277"/>
  <c r="J137" i="277"/>
  <c r="J59" i="328"/>
  <c r="J70" i="328"/>
  <c r="J64" i="286"/>
  <c r="J58" i="286"/>
  <c r="K107" i="265"/>
  <c r="K111" i="265"/>
  <c r="K112" i="265"/>
  <c r="K114" i="265"/>
  <c r="K134" i="265"/>
  <c r="K124" i="265"/>
  <c r="K126" i="265"/>
  <c r="K127" i="265"/>
  <c r="K128" i="265"/>
  <c r="K129" i="265"/>
  <c r="K135" i="265"/>
  <c r="K136" i="265"/>
  <c r="K137" i="265"/>
  <c r="K59" i="328"/>
  <c r="K64" i="286"/>
  <c r="K58" i="286"/>
  <c r="L107" i="265"/>
  <c r="L111" i="265"/>
  <c r="L112" i="265"/>
  <c r="L114" i="265"/>
  <c r="L134" i="265"/>
  <c r="L124" i="265"/>
  <c r="L126" i="265"/>
  <c r="L127" i="265"/>
  <c r="L128" i="265"/>
  <c r="L129" i="265"/>
  <c r="L135" i="265"/>
  <c r="L136" i="265"/>
  <c r="L137" i="265"/>
  <c r="K107" i="277"/>
  <c r="K111" i="277"/>
  <c r="K112" i="277"/>
  <c r="K114" i="277"/>
  <c r="K134" i="277"/>
  <c r="K124" i="277"/>
  <c r="K126" i="277"/>
  <c r="K127" i="277"/>
  <c r="K128" i="277"/>
  <c r="K129" i="277"/>
  <c r="K135" i="277"/>
  <c r="K136" i="277"/>
  <c r="K137" i="277"/>
  <c r="L59" i="328"/>
  <c r="K70" i="328"/>
  <c r="L64" i="286"/>
  <c r="L58" i="286"/>
  <c r="M107" i="265"/>
  <c r="M111" i="265"/>
  <c r="M112" i="265"/>
  <c r="M114" i="265"/>
  <c r="M134" i="265"/>
  <c r="M124" i="265"/>
  <c r="M126" i="265"/>
  <c r="M127" i="265"/>
  <c r="M128" i="265"/>
  <c r="M129" i="265"/>
  <c r="M135" i="265"/>
  <c r="M136" i="265"/>
  <c r="M137" i="265"/>
  <c r="M59" i="328"/>
  <c r="M64" i="286"/>
  <c r="M58" i="286"/>
  <c r="N107" i="265"/>
  <c r="N112" i="265"/>
  <c r="N114" i="265"/>
  <c r="N134" i="265"/>
  <c r="N124" i="265"/>
  <c r="N126" i="265"/>
  <c r="N127" i="265"/>
  <c r="N128" i="265"/>
  <c r="N129" i="265"/>
  <c r="N135" i="265"/>
  <c r="N136" i="265"/>
  <c r="N137" i="265"/>
  <c r="L107" i="277"/>
  <c r="L112" i="277"/>
  <c r="L114" i="277"/>
  <c r="L134" i="277"/>
  <c r="L124" i="277"/>
  <c r="L126" i="277"/>
  <c r="L127" i="277"/>
  <c r="L128" i="277"/>
  <c r="L129" i="277"/>
  <c r="L135" i="277"/>
  <c r="L136" i="277"/>
  <c r="L137" i="277"/>
  <c r="N59" i="328"/>
  <c r="L70" i="328"/>
  <c r="N64" i="286"/>
  <c r="N58" i="286"/>
  <c r="O107" i="265"/>
  <c r="O112" i="265"/>
  <c r="O114" i="265"/>
  <c r="O134" i="265"/>
  <c r="O136" i="265"/>
  <c r="O137" i="265"/>
  <c r="O59" i="328"/>
  <c r="O64" i="286"/>
  <c r="O58" i="286"/>
  <c r="P107" i="265"/>
  <c r="P112" i="265"/>
  <c r="P114" i="265"/>
  <c r="P134" i="265"/>
  <c r="P129" i="265"/>
  <c r="P135" i="265"/>
  <c r="P136" i="265"/>
  <c r="P137" i="265"/>
  <c r="M107" i="277"/>
  <c r="M112" i="277"/>
  <c r="M114" i="277"/>
  <c r="M134" i="277"/>
  <c r="M136" i="277"/>
  <c r="M137" i="277"/>
  <c r="P59" i="328"/>
  <c r="M70" i="328"/>
  <c r="P64" i="286"/>
  <c r="P58" i="286"/>
  <c r="Q107" i="265"/>
  <c r="Q112" i="265"/>
  <c r="Q114" i="265"/>
  <c r="Q134" i="265"/>
  <c r="Q136" i="265"/>
  <c r="Q137" i="265"/>
  <c r="Q59" i="328"/>
  <c r="Q64" i="286"/>
  <c r="Q58" i="286"/>
  <c r="R107" i="265"/>
  <c r="R112" i="265"/>
  <c r="R114" i="265"/>
  <c r="R134" i="265"/>
  <c r="R129" i="265"/>
  <c r="R135" i="265"/>
  <c r="R136" i="265"/>
  <c r="R137" i="265"/>
  <c r="N107" i="277"/>
  <c r="N112" i="277"/>
  <c r="N114" i="277"/>
  <c r="N134" i="277"/>
  <c r="N136" i="277"/>
  <c r="N137" i="277"/>
  <c r="R59" i="328"/>
  <c r="N70" i="328"/>
  <c r="R64" i="286"/>
  <c r="R58" i="286"/>
  <c r="S107" i="265"/>
  <c r="S112" i="265"/>
  <c r="S114" i="265"/>
  <c r="S134" i="265"/>
  <c r="S136" i="265"/>
  <c r="S137" i="265"/>
  <c r="S59" i="328"/>
  <c r="S64" i="286"/>
  <c r="S58" i="286"/>
  <c r="T107" i="265"/>
  <c r="T112" i="265"/>
  <c r="T114" i="265"/>
  <c r="T134" i="265"/>
  <c r="T129" i="265"/>
  <c r="T135" i="265"/>
  <c r="T136" i="265"/>
  <c r="T137" i="265"/>
  <c r="O107" i="277"/>
  <c r="O112" i="277"/>
  <c r="O114" i="277"/>
  <c r="O134" i="277"/>
  <c r="O136" i="277"/>
  <c r="O137" i="277"/>
  <c r="T59" i="328"/>
  <c r="O70" i="328"/>
  <c r="T64" i="286"/>
  <c r="T58" i="286"/>
  <c r="U64" i="286"/>
  <c r="U107" i="265"/>
  <c r="U112" i="265"/>
  <c r="U114" i="265"/>
  <c r="U134" i="265"/>
  <c r="U136" i="265"/>
  <c r="U137" i="265"/>
  <c r="U59" i="328"/>
  <c r="U58" i="286"/>
  <c r="V56" i="286"/>
  <c r="V107" i="265"/>
  <c r="V64" i="286"/>
  <c r="V58" i="286"/>
  <c r="W53" i="286"/>
  <c r="J23" i="328"/>
  <c r="J43" i="328"/>
  <c r="J24" i="328"/>
  <c r="J44" i="328"/>
  <c r="K81" i="286"/>
  <c r="K35" i="265"/>
  <c r="K36" i="265"/>
  <c r="V55" i="282"/>
  <c r="V56" i="282"/>
  <c r="V68" i="282"/>
  <c r="V69" i="282"/>
  <c r="V70" i="282"/>
  <c r="W67" i="282"/>
  <c r="W29" i="265"/>
  <c r="W44" i="282"/>
  <c r="W49" i="282"/>
  <c r="W55" i="282"/>
  <c r="W56" i="282"/>
  <c r="W68" i="282"/>
  <c r="W52" i="282"/>
  <c r="W53" i="282"/>
  <c r="W58" i="282"/>
  <c r="W59" i="282"/>
  <c r="W60" i="282"/>
  <c r="W69" i="282"/>
  <c r="W70" i="282"/>
  <c r="X67" i="282"/>
  <c r="X59" i="282"/>
  <c r="K31" i="277"/>
  <c r="K46" i="277"/>
  <c r="K47" i="277"/>
  <c r="K65" i="277"/>
  <c r="K77" i="277"/>
  <c r="K79" i="277"/>
  <c r="K80" i="277"/>
  <c r="K82" i="277"/>
  <c r="K85" i="277"/>
  <c r="K87" i="277"/>
  <c r="K88" i="277"/>
  <c r="K89" i="277"/>
  <c r="K91" i="277"/>
  <c r="K92" i="277"/>
  <c r="K93" i="277"/>
  <c r="K95" i="265"/>
  <c r="L81" i="286"/>
  <c r="L95" i="265"/>
  <c r="K95" i="277"/>
  <c r="K96" i="277"/>
  <c r="K113" i="288"/>
  <c r="K10" i="321"/>
  <c r="K12" i="321"/>
  <c r="K39" i="311"/>
  <c r="K80" i="311"/>
  <c r="K20" i="328"/>
  <c r="L85" i="288"/>
  <c r="L87" i="288"/>
  <c r="L89" i="288"/>
  <c r="K65" i="288"/>
  <c r="K96" i="265"/>
  <c r="K25" i="328"/>
  <c r="L35" i="265"/>
  <c r="K35" i="277"/>
  <c r="K42" i="288"/>
  <c r="K43" i="288"/>
  <c r="K44" i="288"/>
  <c r="K47" i="288"/>
  <c r="K48" i="288"/>
  <c r="K49" i="288"/>
  <c r="K50" i="288"/>
  <c r="K51" i="288"/>
  <c r="K52" i="288"/>
  <c r="K54" i="288"/>
  <c r="K57" i="288"/>
  <c r="K23" i="328"/>
  <c r="K24" i="328"/>
  <c r="L36" i="265"/>
  <c r="L113" i="288"/>
  <c r="L10" i="321"/>
  <c r="L12" i="321"/>
  <c r="L39" i="311"/>
  <c r="L80" i="311"/>
  <c r="M85" i="288"/>
  <c r="M87" i="288"/>
  <c r="M89" i="288"/>
  <c r="L65" i="288"/>
  <c r="L20" i="328"/>
  <c r="K40" i="328"/>
  <c r="L96" i="265"/>
  <c r="L25" i="328"/>
  <c r="K45" i="328"/>
  <c r="L42" i="288"/>
  <c r="L43" i="288"/>
  <c r="L44" i="288"/>
  <c r="L47" i="288"/>
  <c r="L48" i="288"/>
  <c r="L49" i="288"/>
  <c r="L50" i="288"/>
  <c r="L51" i="288"/>
  <c r="L52" i="288"/>
  <c r="L54" i="288"/>
  <c r="L57" i="288"/>
  <c r="L92" i="277"/>
  <c r="L23" i="328"/>
  <c r="K43" i="328"/>
  <c r="L24" i="328"/>
  <c r="K44" i="328"/>
  <c r="M81" i="286"/>
  <c r="M35" i="265"/>
  <c r="M36" i="265"/>
  <c r="L31" i="277"/>
  <c r="L46" i="277"/>
  <c r="L47" i="277"/>
  <c r="L65" i="277"/>
  <c r="L77" i="277"/>
  <c r="L79" i="277"/>
  <c r="L80" i="277"/>
  <c r="L82" i="277"/>
  <c r="L85" i="277"/>
  <c r="L87" i="277"/>
  <c r="L88" i="277"/>
  <c r="L89" i="277"/>
  <c r="L91" i="277"/>
  <c r="L93" i="277"/>
  <c r="M95" i="265"/>
  <c r="N81" i="286"/>
  <c r="N95" i="265"/>
  <c r="L95" i="277"/>
  <c r="L96" i="277"/>
  <c r="M113" i="288"/>
  <c r="M10" i="321"/>
  <c r="M12" i="321"/>
  <c r="M39" i="311"/>
  <c r="M80" i="311"/>
  <c r="M20" i="328"/>
  <c r="N85" i="288"/>
  <c r="N87" i="288"/>
  <c r="N89" i="288"/>
  <c r="M65" i="288"/>
  <c r="M96" i="265"/>
  <c r="M25" i="328"/>
  <c r="N35" i="265"/>
  <c r="L35" i="277"/>
  <c r="M42" i="288"/>
  <c r="M43" i="288"/>
  <c r="M44" i="288"/>
  <c r="M47" i="288"/>
  <c r="M48" i="288"/>
  <c r="M49" i="288"/>
  <c r="M50" i="288"/>
  <c r="M51" i="288"/>
  <c r="M52" i="288"/>
  <c r="M54" i="288"/>
  <c r="M57" i="288"/>
  <c r="M23" i="328"/>
  <c r="M24" i="328"/>
  <c r="N36" i="265"/>
  <c r="N113" i="288"/>
  <c r="N10" i="321"/>
  <c r="N12" i="321"/>
  <c r="N39" i="311"/>
  <c r="N80" i="311"/>
  <c r="N20" i="328"/>
  <c r="L40" i="328"/>
  <c r="N65" i="288"/>
  <c r="O87" i="288"/>
  <c r="O89" i="288"/>
  <c r="O92" i="288"/>
  <c r="O94" i="288"/>
  <c r="N96" i="265"/>
  <c r="N25" i="328"/>
  <c r="L45" i="328"/>
  <c r="N42" i="288"/>
  <c r="N43" i="288"/>
  <c r="N44" i="288"/>
  <c r="N47" i="288"/>
  <c r="N48" i="288"/>
  <c r="N49" i="288"/>
  <c r="N50" i="288"/>
  <c r="N51" i="288"/>
  <c r="N52" i="288"/>
  <c r="N54" i="288"/>
  <c r="N57" i="288"/>
  <c r="N23" i="328"/>
  <c r="L43" i="328"/>
  <c r="N24" i="328"/>
  <c r="L44" i="328"/>
  <c r="O36" i="265"/>
  <c r="M31" i="277"/>
  <c r="M27" i="277"/>
  <c r="N83" i="314"/>
  <c r="N82" i="314"/>
  <c r="N27" i="288"/>
  <c r="N29" i="288"/>
  <c r="N32" i="288"/>
  <c r="M87" i="314"/>
  <c r="M90" i="314"/>
  <c r="M60" i="328"/>
  <c r="M27" i="288"/>
  <c r="M29" i="288"/>
  <c r="M32" i="288"/>
  <c r="L27" i="277"/>
  <c r="L29" i="277"/>
  <c r="L33" i="277"/>
  <c r="L36" i="277"/>
  <c r="L87" i="314"/>
  <c r="L90" i="314"/>
  <c r="L60" i="328"/>
  <c r="K71" i="328"/>
  <c r="L27" i="288"/>
  <c r="L29" i="288"/>
  <c r="L32" i="288"/>
  <c r="K87" i="314"/>
  <c r="K90" i="314"/>
  <c r="K60" i="328"/>
  <c r="K27" i="288"/>
  <c r="K29" i="288"/>
  <c r="K32" i="288"/>
  <c r="K27" i="277"/>
  <c r="K29" i="277"/>
  <c r="K33" i="277"/>
  <c r="K36" i="277"/>
  <c r="J87" i="314"/>
  <c r="J90" i="314"/>
  <c r="J60" i="328"/>
  <c r="J71" i="328"/>
  <c r="J36" i="265"/>
  <c r="J36" i="277"/>
  <c r="P36" i="265"/>
  <c r="P128" i="277"/>
  <c r="P129" i="277"/>
  <c r="P135" i="277"/>
  <c r="W70" i="286"/>
  <c r="V57" i="288"/>
  <c r="P95" i="277"/>
  <c r="V96" i="265"/>
  <c r="P35" i="277"/>
  <c r="V59" i="328"/>
  <c r="P70" i="328"/>
  <c r="P107" i="277"/>
  <c r="P112" i="277"/>
  <c r="P114" i="277"/>
  <c r="P134" i="277"/>
  <c r="V112" i="265"/>
  <c r="V114" i="265"/>
  <c r="V134" i="265"/>
  <c r="W458" i="321"/>
  <c r="W48" i="314"/>
  <c r="W9" i="286"/>
  <c r="W74" i="286"/>
  <c r="X237" i="288"/>
  <c r="X239" i="288"/>
  <c r="X242" i="288"/>
  <c r="X244" i="288"/>
  <c r="X128" i="314"/>
  <c r="X130" i="314"/>
  <c r="M29" i="277"/>
  <c r="M33" i="277"/>
  <c r="M36" i="277"/>
  <c r="X132" i="314"/>
  <c r="X133" i="314"/>
  <c r="X143" i="314"/>
  <c r="X145" i="314"/>
  <c r="X135" i="314"/>
  <c r="X137" i="314"/>
  <c r="V129" i="265"/>
  <c r="V135" i="265"/>
  <c r="V137" i="265"/>
  <c r="V136" i="265"/>
  <c r="P137" i="277"/>
  <c r="P136" i="277"/>
  <c r="P96" i="277"/>
  <c r="W62" i="282"/>
  <c r="W63" i="282"/>
  <c r="W64" i="282"/>
  <c r="W75" i="282"/>
  <c r="W76" i="282"/>
  <c r="W77" i="282"/>
  <c r="W46" i="265"/>
  <c r="W47" i="265"/>
  <c r="X139" i="314"/>
  <c r="X141" i="314"/>
  <c r="X146" i="314"/>
  <c r="X161" i="314"/>
  <c r="Q36" i="265"/>
  <c r="N31" i="277"/>
  <c r="X75" i="315"/>
  <c r="X152" i="314"/>
  <c r="X154" i="314"/>
  <c r="W27" i="288"/>
  <c r="W29" i="288"/>
  <c r="W65" i="265"/>
  <c r="W77" i="265"/>
  <c r="W85" i="288"/>
  <c r="W65" i="288"/>
  <c r="W68" i="288"/>
  <c r="W113" i="288"/>
  <c r="W10" i="321"/>
  <c r="W12" i="321"/>
  <c r="W20" i="328"/>
  <c r="W32" i="288"/>
  <c r="X76" i="315"/>
  <c r="X162" i="314"/>
  <c r="X163" i="314"/>
  <c r="X78" i="315"/>
  <c r="X81" i="315"/>
  <c r="Y160" i="314"/>
  <c r="X107" i="315"/>
  <c r="W39" i="311"/>
  <c r="W70" i="288"/>
  <c r="W57" i="328"/>
  <c r="W87" i="288"/>
  <c r="W89" i="288"/>
  <c r="W92" i="288"/>
  <c r="W94" i="288"/>
  <c r="W49" i="314"/>
  <c r="W51" i="314"/>
  <c r="R36" i="265"/>
  <c r="W53" i="314"/>
  <c r="W54" i="314"/>
  <c r="W64" i="314"/>
  <c r="W66" i="314"/>
  <c r="W56" i="314"/>
  <c r="W58" i="314"/>
  <c r="W80" i="311"/>
  <c r="Y116" i="314"/>
  <c r="Y119" i="314"/>
  <c r="Y140" i="314"/>
  <c r="X503" i="321"/>
  <c r="X504" i="321"/>
  <c r="N29" i="277"/>
  <c r="N33" i="277"/>
  <c r="N36" i="277"/>
  <c r="X507" i="321"/>
  <c r="X508" i="321"/>
  <c r="X517" i="321"/>
  <c r="Y122" i="314"/>
  <c r="Y124" i="314"/>
  <c r="Y149" i="314"/>
  <c r="Y150" i="314"/>
  <c r="W60" i="314"/>
  <c r="W62" i="314"/>
  <c r="W67" i="314"/>
  <c r="W82" i="314"/>
  <c r="W79" i="265"/>
  <c r="W73" i="314"/>
  <c r="W75" i="314"/>
  <c r="Y153" i="314"/>
  <c r="Y144" i="314"/>
  <c r="X513" i="321"/>
  <c r="X514" i="321"/>
  <c r="X518" i="321"/>
  <c r="X519" i="321"/>
  <c r="X522" i="321"/>
  <c r="X523" i="321"/>
  <c r="X509" i="321"/>
  <c r="X199" i="288"/>
  <c r="X193" i="288"/>
  <c r="S36" i="265"/>
  <c r="O31" i="277"/>
  <c r="X83" i="315"/>
  <c r="X531" i="321"/>
  <c r="X524" i="321"/>
  <c r="X200" i="288"/>
  <c r="X530" i="321"/>
  <c r="X532" i="321"/>
  <c r="W80" i="265"/>
  <c r="W83" i="314"/>
  <c r="W84" i="314"/>
  <c r="W82" i="265"/>
  <c r="W85" i="265"/>
  <c r="X81" i="314"/>
  <c r="W111" i="265"/>
  <c r="W60" i="328"/>
  <c r="W87" i="314"/>
  <c r="W90" i="314"/>
  <c r="Y527" i="321"/>
  <c r="X120" i="315"/>
  <c r="X84" i="315"/>
  <c r="X85" i="315"/>
  <c r="X87" i="286"/>
  <c r="X88" i="286"/>
  <c r="Y496" i="321"/>
  <c r="Y498" i="321"/>
  <c r="Y521" i="321"/>
  <c r="X37" i="314"/>
  <c r="X40" i="314"/>
  <c r="X61" i="314"/>
  <c r="W459" i="321"/>
  <c r="W460" i="321"/>
  <c r="T36" i="265"/>
  <c r="W463" i="321"/>
  <c r="W464" i="321"/>
  <c r="W473" i="321"/>
  <c r="X43" i="314"/>
  <c r="X45" i="314"/>
  <c r="X70" i="314"/>
  <c r="X71" i="314"/>
  <c r="Y499" i="321"/>
  <c r="Y103" i="282"/>
  <c r="Y108" i="282"/>
  <c r="Y512" i="321"/>
  <c r="Y506" i="321"/>
  <c r="X91" i="286"/>
  <c r="X93" i="286"/>
  <c r="X104" i="286"/>
  <c r="O29" i="277"/>
  <c r="O33" i="277"/>
  <c r="O36" i="277"/>
  <c r="X94" i="286"/>
  <c r="X105" i="286"/>
  <c r="X106" i="286"/>
  <c r="X109" i="286"/>
  <c r="X111" i="286"/>
  <c r="X98" i="286"/>
  <c r="X99" i="286"/>
  <c r="X201" i="288"/>
  <c r="Y116" i="282"/>
  <c r="Y25" i="315"/>
  <c r="Y27" i="315"/>
  <c r="X74" i="314"/>
  <c r="X65" i="314"/>
  <c r="W469" i="321"/>
  <c r="W470" i="321"/>
  <c r="W474" i="321"/>
  <c r="W475" i="321"/>
  <c r="W478" i="321"/>
  <c r="W479" i="321"/>
  <c r="W465" i="321"/>
  <c r="W49" i="288"/>
  <c r="W43" i="288"/>
  <c r="W23" i="328"/>
  <c r="W87" i="265"/>
  <c r="W487" i="321"/>
  <c r="W480" i="321"/>
  <c r="W50" i="288"/>
  <c r="W24" i="328"/>
  <c r="W486" i="321"/>
  <c r="W488" i="321"/>
  <c r="Y112" i="282"/>
  <c r="Y117" i="282"/>
  <c r="Y96" i="286"/>
  <c r="X122" i="315"/>
  <c r="X112" i="286"/>
  <c r="X116" i="286"/>
  <c r="X117" i="286"/>
  <c r="X202" i="288"/>
  <c r="X87" i="315"/>
  <c r="U36" i="265"/>
  <c r="P31" i="277"/>
  <c r="Y114" i="286"/>
  <c r="X123" i="315"/>
  <c r="X88" i="315"/>
  <c r="X89" i="315"/>
  <c r="Y90" i="286"/>
  <c r="Y120" i="282"/>
  <c r="Y121" i="282"/>
  <c r="Y123" i="282"/>
  <c r="Y124" i="282"/>
  <c r="X483" i="321"/>
  <c r="W124" i="265"/>
  <c r="W88" i="265"/>
  <c r="W89" i="265"/>
  <c r="W10" i="286"/>
  <c r="W11" i="286"/>
  <c r="X452" i="321"/>
  <c r="X454" i="321"/>
  <c r="X477" i="321"/>
  <c r="Y136" i="282"/>
  <c r="Y130" i="282"/>
  <c r="Y126" i="282"/>
  <c r="Y128" i="282"/>
  <c r="X131" i="286"/>
  <c r="X143" i="286"/>
  <c r="X144" i="286"/>
  <c r="X147" i="286"/>
  <c r="X148" i="286"/>
  <c r="Y108" i="286"/>
  <c r="X132" i="286"/>
  <c r="X124" i="286"/>
  <c r="X125" i="286"/>
  <c r="X198" i="288"/>
  <c r="X192" i="288"/>
  <c r="X194" i="288"/>
  <c r="X149" i="286"/>
  <c r="X133" i="286"/>
  <c r="Y131" i="282"/>
  <c r="Y137" i="282"/>
  <c r="Y132" i="282"/>
  <c r="Y138" i="282"/>
  <c r="Z135" i="282"/>
  <c r="X455" i="321"/>
  <c r="X35" i="282"/>
  <c r="X40" i="282"/>
  <c r="X468" i="321"/>
  <c r="X462" i="321"/>
  <c r="W14" i="286"/>
  <c r="W16" i="286"/>
  <c r="W27" i="286"/>
  <c r="V36" i="265"/>
  <c r="W17" i="286"/>
  <c r="W28" i="286"/>
  <c r="W29" i="286"/>
  <c r="W32" i="286"/>
  <c r="W34" i="286"/>
  <c r="W21" i="286"/>
  <c r="W22" i="286"/>
  <c r="W51" i="288"/>
  <c r="X48" i="282"/>
  <c r="X27" i="265"/>
  <c r="Z127" i="282"/>
  <c r="Y143" i="282"/>
  <c r="Y144" i="282"/>
  <c r="Y130" i="286"/>
  <c r="X103" i="315"/>
  <c r="X108" i="315"/>
  <c r="X110" i="315"/>
  <c r="X130" i="315"/>
  <c r="X33" i="315"/>
  <c r="X34" i="315"/>
  <c r="X91" i="315"/>
  <c r="X92" i="315"/>
  <c r="X197" i="288"/>
  <c r="X204" i="288"/>
  <c r="Y122" i="286"/>
  <c r="X124" i="315"/>
  <c r="X125" i="315"/>
  <c r="X131" i="315"/>
  <c r="P29" i="277"/>
  <c r="P33" i="277"/>
  <c r="P36" i="277"/>
  <c r="Y138" i="286"/>
  <c r="X207" i="288"/>
  <c r="X133" i="315"/>
  <c r="X132" i="315"/>
  <c r="Y502" i="321"/>
  <c r="Y127" i="314"/>
  <c r="Y86" i="286"/>
  <c r="Y142" i="286"/>
  <c r="Y145" i="282"/>
  <c r="Q27" i="277"/>
  <c r="X19" i="286"/>
  <c r="W126" i="265"/>
  <c r="W35" i="286"/>
  <c r="W39" i="286"/>
  <c r="W40" i="286"/>
  <c r="W52" i="288"/>
  <c r="W91" i="265"/>
  <c r="X37" i="286"/>
  <c r="W127" i="265"/>
  <c r="W92" i="265"/>
  <c r="X13" i="286"/>
  <c r="Y44" i="315"/>
  <c r="Y45" i="315"/>
  <c r="Y29" i="315"/>
  <c r="Y31" i="315"/>
  <c r="W31" i="265"/>
  <c r="W33" i="265"/>
  <c r="W46" i="286"/>
  <c r="W71" i="286"/>
  <c r="W72" i="286"/>
  <c r="W78" i="286"/>
  <c r="Y139" i="286"/>
  <c r="Y140" i="286"/>
  <c r="Y146" i="286"/>
  <c r="Y123" i="286"/>
  <c r="Y177" i="288"/>
  <c r="Y179" i="288"/>
  <c r="Y63" i="315"/>
  <c r="W92" i="277"/>
  <c r="W93" i="265"/>
  <c r="X31" i="286"/>
  <c r="W54" i="286"/>
  <c r="W75" i="286"/>
  <c r="W76" i="286"/>
  <c r="W79" i="286"/>
  <c r="W80" i="286"/>
  <c r="Y73" i="315"/>
  <c r="Y235" i="288"/>
  <c r="Y215" i="288"/>
  <c r="Y218" i="288"/>
  <c r="Y220" i="288"/>
  <c r="Y263" i="288"/>
  <c r="Y182" i="288"/>
  <c r="Y237" i="288"/>
  <c r="Y239" i="288"/>
  <c r="Y242" i="288"/>
  <c r="Y244" i="288"/>
  <c r="Y128" i="314"/>
  <c r="Y130" i="314"/>
  <c r="X29" i="265"/>
  <c r="X44" i="282"/>
  <c r="X49" i="282"/>
  <c r="X55" i="282"/>
  <c r="X56" i="282"/>
  <c r="X68" i="282"/>
  <c r="X52" i="282"/>
  <c r="X53" i="282"/>
  <c r="X58" i="282"/>
  <c r="X60" i="282"/>
  <c r="X69" i="282"/>
  <c r="X70" i="282"/>
  <c r="Y67" i="282"/>
  <c r="W55" i="286"/>
  <c r="W47" i="286"/>
  <c r="W48" i="286"/>
  <c r="W48" i="288"/>
  <c r="W42" i="288"/>
  <c r="W44" i="288"/>
  <c r="W81" i="286"/>
  <c r="W25" i="328"/>
  <c r="W56" i="286"/>
  <c r="X63" i="282"/>
  <c r="X62" i="282"/>
  <c r="X64" i="282"/>
  <c r="X53" i="286"/>
  <c r="W58" i="286"/>
  <c r="W64" i="286"/>
  <c r="W107" i="265"/>
  <c r="W35" i="265"/>
  <c r="W95" i="265"/>
  <c r="W47" i="288"/>
  <c r="W54" i="288"/>
  <c r="X45" i="286"/>
  <c r="W128" i="265"/>
  <c r="W129" i="265"/>
  <c r="W135" i="265"/>
  <c r="Y59" i="282"/>
  <c r="X75" i="282"/>
  <c r="X76" i="282"/>
  <c r="Y132" i="314"/>
  <c r="Y133" i="314"/>
  <c r="Y143" i="314"/>
  <c r="Y145" i="314"/>
  <c r="Y135" i="314"/>
  <c r="Y137" i="314"/>
  <c r="Q29" i="277"/>
  <c r="Y139" i="314"/>
  <c r="Y141" i="314"/>
  <c r="Y146" i="314"/>
  <c r="Y161" i="314"/>
  <c r="X77" i="282"/>
  <c r="X70" i="286"/>
  <c r="W57" i="288"/>
  <c r="W96" i="265"/>
  <c r="W36" i="265"/>
  <c r="W59" i="328"/>
  <c r="W112" i="265"/>
  <c r="W114" i="265"/>
  <c r="W134" i="265"/>
  <c r="X458" i="321"/>
  <c r="X48" i="314"/>
  <c r="X9" i="286"/>
  <c r="X74" i="286"/>
  <c r="W137" i="265"/>
  <c r="W136" i="265"/>
  <c r="X46" i="265"/>
  <c r="X31" i="265"/>
  <c r="Y75" i="315"/>
  <c r="Y152" i="314"/>
  <c r="Y154" i="314"/>
  <c r="Y76" i="315"/>
  <c r="Y162" i="314"/>
  <c r="Y163" i="314"/>
  <c r="Y78" i="315"/>
  <c r="Q31" i="277"/>
  <c r="X33" i="265"/>
  <c r="X47" i="265"/>
  <c r="Q46" i="277"/>
  <c r="Q47" i="277"/>
  <c r="X27" i="288"/>
  <c r="X29" i="288"/>
  <c r="X65" i="265"/>
  <c r="X71" i="286"/>
  <c r="X72" i="286"/>
  <c r="X78" i="286"/>
  <c r="X46" i="286"/>
  <c r="Q33" i="277"/>
  <c r="Y81" i="315"/>
  <c r="Z160" i="314"/>
  <c r="Y107" i="315"/>
  <c r="Z116" i="314"/>
  <c r="Z119" i="314"/>
  <c r="Z140" i="314"/>
  <c r="Y503" i="321"/>
  <c r="Y504" i="321"/>
  <c r="X77" i="265"/>
  <c r="X85" i="288"/>
  <c r="X65" i="288"/>
  <c r="X68" i="288"/>
  <c r="X113" i="288"/>
  <c r="X10" i="321"/>
  <c r="X12" i="321"/>
  <c r="X20" i="328"/>
  <c r="Q40" i="328"/>
  <c r="X32" i="288"/>
  <c r="Q65" i="277"/>
  <c r="Q77" i="277"/>
  <c r="X39" i="311"/>
  <c r="X70" i="288"/>
  <c r="X57" i="328"/>
  <c r="Q68" i="328"/>
  <c r="X87" i="288"/>
  <c r="X89" i="288"/>
  <c r="X92" i="288"/>
  <c r="X94" i="288"/>
  <c r="X49" i="314"/>
  <c r="X51" i="314"/>
  <c r="Y507" i="321"/>
  <c r="Y508" i="321"/>
  <c r="Y517" i="321"/>
  <c r="Z122" i="314"/>
  <c r="Z124" i="314"/>
  <c r="Z149" i="314"/>
  <c r="Z150" i="314"/>
  <c r="Z153" i="314"/>
  <c r="Z144" i="314"/>
  <c r="Y513" i="321"/>
  <c r="Y514" i="321"/>
  <c r="Y518" i="321"/>
  <c r="Y519" i="321"/>
  <c r="Y522" i="321"/>
  <c r="Y523" i="321"/>
  <c r="Y509" i="321"/>
  <c r="Y199" i="288"/>
  <c r="Y193" i="288"/>
  <c r="X53" i="314"/>
  <c r="X54" i="314"/>
  <c r="X64" i="314"/>
  <c r="X66" i="314"/>
  <c r="X56" i="314"/>
  <c r="X58" i="314"/>
  <c r="X80" i="311"/>
  <c r="X60" i="314"/>
  <c r="X62" i="314"/>
  <c r="X67" i="314"/>
  <c r="X82" i="314"/>
  <c r="Y83" i="315"/>
  <c r="Y531" i="321"/>
  <c r="Y524" i="321"/>
  <c r="Y200" i="288"/>
  <c r="Y530" i="321"/>
  <c r="Y532" i="321"/>
  <c r="Z527" i="321"/>
  <c r="Y120" i="315"/>
  <c r="Y84" i="315"/>
  <c r="Y85" i="315"/>
  <c r="X79" i="265"/>
  <c r="X73" i="314"/>
  <c r="X75" i="314"/>
  <c r="X80" i="265"/>
  <c r="Q80" i="277"/>
  <c r="X83" i="314"/>
  <c r="X84" i="314"/>
  <c r="Q79" i="277"/>
  <c r="X82" i="265"/>
  <c r="Y87" i="286"/>
  <c r="Y88" i="286"/>
  <c r="Z496" i="321"/>
  <c r="Z498" i="321"/>
  <c r="Z521" i="321"/>
  <c r="Z499" i="321"/>
  <c r="Z103" i="282"/>
  <c r="Z108" i="282"/>
  <c r="Z512" i="321"/>
  <c r="Z506" i="321"/>
  <c r="Y91" i="286"/>
  <c r="Y93" i="286"/>
  <c r="Y104" i="286"/>
  <c r="X85" i="265"/>
  <c r="Q82" i="277"/>
  <c r="Y81" i="314"/>
  <c r="X111" i="265"/>
  <c r="X87" i="314"/>
  <c r="X90" i="314"/>
  <c r="X60" i="328"/>
  <c r="Q71" i="328"/>
  <c r="Q111" i="277"/>
  <c r="Y37" i="314"/>
  <c r="Y40" i="314"/>
  <c r="Y61" i="314"/>
  <c r="Q85" i="277"/>
  <c r="X459" i="321"/>
  <c r="X460" i="321"/>
  <c r="Y94" i="286"/>
  <c r="Y105" i="286"/>
  <c r="Y106" i="286"/>
  <c r="Y109" i="286"/>
  <c r="Y111" i="286"/>
  <c r="Y98" i="286"/>
  <c r="Y99" i="286"/>
  <c r="Y201" i="288"/>
  <c r="Z116" i="282"/>
  <c r="Z25" i="315"/>
  <c r="Z27" i="315"/>
  <c r="Z112" i="282"/>
  <c r="Z117" i="282"/>
  <c r="Z96" i="286"/>
  <c r="Y122" i="315"/>
  <c r="Y112" i="286"/>
  <c r="Y116" i="286"/>
  <c r="Y117" i="286"/>
  <c r="Y202" i="288"/>
  <c r="Y87" i="315"/>
  <c r="X463" i="321"/>
  <c r="X464" i="321"/>
  <c r="X473" i="321"/>
  <c r="Y43" i="314"/>
  <c r="Y45" i="314"/>
  <c r="Y70" i="314"/>
  <c r="Y71" i="314"/>
  <c r="Y74" i="314"/>
  <c r="Y65" i="314"/>
  <c r="X469" i="321"/>
  <c r="X470" i="321"/>
  <c r="X474" i="321"/>
  <c r="X475" i="321"/>
  <c r="X478" i="321"/>
  <c r="X479" i="321"/>
  <c r="X465" i="321"/>
  <c r="X49" i="288"/>
  <c r="X43" i="288"/>
  <c r="X23" i="328"/>
  <c r="Q43" i="328"/>
  <c r="Z114" i="286"/>
  <c r="Y123" i="315"/>
  <c r="Y88" i="315"/>
  <c r="Y89" i="315"/>
  <c r="Z90" i="286"/>
  <c r="Z120" i="282"/>
  <c r="Z121" i="282"/>
  <c r="Z123" i="282"/>
  <c r="Z124" i="282"/>
  <c r="Z136" i="282"/>
  <c r="Z130" i="282"/>
  <c r="Z126" i="282"/>
  <c r="Z128" i="282"/>
  <c r="Y131" i="286"/>
  <c r="Y143" i="286"/>
  <c r="Y144" i="286"/>
  <c r="Y147" i="286"/>
  <c r="Y148" i="286"/>
  <c r="Z108" i="286"/>
  <c r="X87" i="265"/>
  <c r="X487" i="321"/>
  <c r="X480" i="321"/>
  <c r="X50" i="288"/>
  <c r="X24" i="328"/>
  <c r="Q44" i="328"/>
  <c r="X486" i="321"/>
  <c r="X488" i="321"/>
  <c r="Y483" i="321"/>
  <c r="X124" i="265"/>
  <c r="X88" i="265"/>
  <c r="Q88" i="277"/>
  <c r="Q87" i="277"/>
  <c r="X89" i="265"/>
  <c r="Y132" i="286"/>
  <c r="Y124" i="286"/>
  <c r="Y125" i="286"/>
  <c r="Y198" i="288"/>
  <c r="Y192" i="288"/>
  <c r="Y194" i="288"/>
  <c r="Y149" i="286"/>
  <c r="Y133" i="286"/>
  <c r="Z131" i="282"/>
  <c r="Z137" i="282"/>
  <c r="Z132" i="282"/>
  <c r="Z138" i="282"/>
  <c r="AA135" i="282"/>
  <c r="AA127" i="282"/>
  <c r="Z143" i="282"/>
  <c r="Z144" i="282"/>
  <c r="Z130" i="286"/>
  <c r="Y103" i="315"/>
  <c r="Y108" i="315"/>
  <c r="Y110" i="315"/>
  <c r="Y130" i="315"/>
  <c r="Y33" i="315"/>
  <c r="Y34" i="315"/>
  <c r="Y91" i="315"/>
  <c r="Y92" i="315"/>
  <c r="Y197" i="288"/>
  <c r="Y204" i="288"/>
  <c r="Z122" i="286"/>
  <c r="Y124" i="315"/>
  <c r="Y125" i="315"/>
  <c r="Y131" i="315"/>
  <c r="X10" i="286"/>
  <c r="X11" i="286"/>
  <c r="Q89" i="277"/>
  <c r="Q124" i="277"/>
  <c r="Y452" i="321"/>
  <c r="Y454" i="321"/>
  <c r="Y477" i="321"/>
  <c r="Y455" i="321"/>
  <c r="Y35" i="282"/>
  <c r="Y40" i="282"/>
  <c r="Y468" i="321"/>
  <c r="Y462" i="321"/>
  <c r="X14" i="286"/>
  <c r="X16" i="286"/>
  <c r="X27" i="286"/>
  <c r="Z138" i="286"/>
  <c r="Y207" i="288"/>
  <c r="Y133" i="315"/>
  <c r="Y132" i="315"/>
  <c r="Z502" i="321"/>
  <c r="Z127" i="314"/>
  <c r="Z86" i="286"/>
  <c r="Z142" i="286"/>
  <c r="Z145" i="282"/>
  <c r="Z44" i="315"/>
  <c r="Z45" i="315"/>
  <c r="Z29" i="315"/>
  <c r="Z31" i="315"/>
  <c r="X17" i="286"/>
  <c r="X28" i="286"/>
  <c r="X29" i="286"/>
  <c r="X32" i="286"/>
  <c r="X34" i="286"/>
  <c r="X21" i="286"/>
  <c r="X22" i="286"/>
  <c r="X51" i="288"/>
  <c r="Y48" i="282"/>
  <c r="Y27" i="265"/>
  <c r="Y29" i="265"/>
  <c r="Y19" i="286"/>
  <c r="X126" i="265"/>
  <c r="X35" i="286"/>
  <c r="X39" i="286"/>
  <c r="X40" i="286"/>
  <c r="X52" i="288"/>
  <c r="X91" i="265"/>
  <c r="Z139" i="286"/>
  <c r="Z140" i="286"/>
  <c r="Z146" i="286"/>
  <c r="Z123" i="286"/>
  <c r="Z177" i="288"/>
  <c r="Z179" i="288"/>
  <c r="Z63" i="315"/>
  <c r="Z73" i="315"/>
  <c r="Z235" i="288"/>
  <c r="Z215" i="288"/>
  <c r="Z218" i="288"/>
  <c r="Z220" i="288"/>
  <c r="Z263" i="288"/>
  <c r="Z182" i="288"/>
  <c r="Q91" i="277"/>
  <c r="Y37" i="286"/>
  <c r="X127" i="265"/>
  <c r="Q127" i="277"/>
  <c r="X92" i="265"/>
  <c r="Q126" i="277"/>
  <c r="Y13" i="286"/>
  <c r="Y44" i="282"/>
  <c r="Y49" i="282"/>
  <c r="Y52" i="282"/>
  <c r="Y53" i="282"/>
  <c r="Y55" i="282"/>
  <c r="Y56" i="282"/>
  <c r="X92" i="277"/>
  <c r="X93" i="265"/>
  <c r="Y31" i="286"/>
  <c r="Q93" i="277"/>
  <c r="Z237" i="288"/>
  <c r="Z239" i="288"/>
  <c r="Z242" i="288"/>
  <c r="Z244" i="288"/>
  <c r="Z128" i="314"/>
  <c r="Z130" i="314"/>
  <c r="Z132" i="314"/>
  <c r="Z133" i="314"/>
  <c r="Z143" i="314"/>
  <c r="Z145" i="314"/>
  <c r="Z135" i="314"/>
  <c r="Z137" i="314"/>
  <c r="X54" i="286"/>
  <c r="X75" i="286"/>
  <c r="X76" i="286"/>
  <c r="X79" i="286"/>
  <c r="X80" i="286"/>
  <c r="Y68" i="282"/>
  <c r="Y62" i="282"/>
  <c r="Y58" i="282"/>
  <c r="Y60" i="282"/>
  <c r="Y63" i="282"/>
  <c r="Y69" i="282"/>
  <c r="Y64" i="282"/>
  <c r="Y70" i="282"/>
  <c r="Z67" i="282"/>
  <c r="X55" i="286"/>
  <c r="X47" i="286"/>
  <c r="X48" i="286"/>
  <c r="X48" i="288"/>
  <c r="X42" i="288"/>
  <c r="X44" i="288"/>
  <c r="X81" i="286"/>
  <c r="X25" i="328"/>
  <c r="Q45" i="328"/>
  <c r="X56" i="286"/>
  <c r="Z139" i="314"/>
  <c r="Z141" i="314"/>
  <c r="Z146" i="314"/>
  <c r="Z161" i="314"/>
  <c r="Z75" i="315"/>
  <c r="Z152" i="314"/>
  <c r="Z154" i="314"/>
  <c r="Y53" i="286"/>
  <c r="X58" i="286"/>
  <c r="X64" i="286"/>
  <c r="X107" i="265"/>
  <c r="X35" i="265"/>
  <c r="X95" i="265"/>
  <c r="X47" i="288"/>
  <c r="X54" i="288"/>
  <c r="Y45" i="286"/>
  <c r="X128" i="265"/>
  <c r="Z59" i="282"/>
  <c r="Y75" i="282"/>
  <c r="Y76" i="282"/>
  <c r="Y77" i="282"/>
  <c r="Q128" i="277"/>
  <c r="Q129" i="277"/>
  <c r="Q135" i="277"/>
  <c r="X129" i="265"/>
  <c r="X135" i="265"/>
  <c r="Y70" i="286"/>
  <c r="X57" i="288"/>
  <c r="Q95" i="277"/>
  <c r="X96" i="265"/>
  <c r="Q35" i="277"/>
  <c r="X36" i="265"/>
  <c r="X59" i="328"/>
  <c r="Q70" i="328"/>
  <c r="Q107" i="277"/>
  <c r="Q112" i="277"/>
  <c r="Q114" i="277"/>
  <c r="Q134" i="277"/>
  <c r="X112" i="265"/>
  <c r="X114" i="265"/>
  <c r="X134" i="265"/>
  <c r="Y458" i="321"/>
  <c r="Y48" i="314"/>
  <c r="Y9" i="286"/>
  <c r="Y74" i="286"/>
  <c r="Z76" i="315"/>
  <c r="Z162" i="314"/>
  <c r="Z163" i="314"/>
  <c r="Z78" i="315"/>
  <c r="Z81" i="315"/>
  <c r="AA160" i="314"/>
  <c r="Z107" i="315"/>
  <c r="X137" i="265"/>
  <c r="X136" i="265"/>
  <c r="Q137" i="277"/>
  <c r="Q136" i="277"/>
  <c r="Q36" i="277"/>
  <c r="Q96" i="277"/>
  <c r="Y46" i="265"/>
  <c r="Y31" i="265"/>
  <c r="Y33" i="265"/>
  <c r="Y47" i="265"/>
  <c r="AA116" i="314"/>
  <c r="AA119" i="314"/>
  <c r="AA140" i="314"/>
  <c r="Z503" i="321"/>
  <c r="Z504" i="321"/>
  <c r="Z507" i="321"/>
  <c r="Z508" i="321"/>
  <c r="Z517" i="321"/>
  <c r="AA122" i="314"/>
  <c r="AA124" i="314"/>
  <c r="AA149" i="314"/>
  <c r="AA150" i="314"/>
  <c r="Y27" i="288"/>
  <c r="Y29" i="288"/>
  <c r="Y65" i="265"/>
  <c r="Y71" i="286"/>
  <c r="Y72" i="286"/>
  <c r="Y78" i="286"/>
  <c r="Y46" i="286"/>
  <c r="Y77" i="265"/>
  <c r="Y85" i="288"/>
  <c r="Y65" i="288"/>
  <c r="Y68" i="288"/>
  <c r="Y113" i="288"/>
  <c r="Y10" i="321"/>
  <c r="Y12" i="321"/>
  <c r="Y20" i="328"/>
  <c r="Y32" i="288"/>
  <c r="AA153" i="314"/>
  <c r="AA144" i="314"/>
  <c r="Z513" i="321"/>
  <c r="Z514" i="321"/>
  <c r="Z518" i="321"/>
  <c r="Z519" i="321"/>
  <c r="Z522" i="321"/>
  <c r="Z523" i="321"/>
  <c r="Z509" i="321"/>
  <c r="Z199" i="288"/>
  <c r="Z193" i="288"/>
  <c r="Z83" i="315"/>
  <c r="Z531" i="321"/>
  <c r="Z524" i="321"/>
  <c r="Z200" i="288"/>
  <c r="Z530" i="321"/>
  <c r="Z532" i="321"/>
  <c r="Y39" i="311"/>
  <c r="Y70" i="288"/>
  <c r="Y57" i="328"/>
  <c r="Y87" i="288"/>
  <c r="Y89" i="288"/>
  <c r="Y92" i="288"/>
  <c r="Y94" i="288"/>
  <c r="Y49" i="314"/>
  <c r="Y51" i="314"/>
  <c r="Y53" i="314"/>
  <c r="Y54" i="314"/>
  <c r="Y64" i="314"/>
  <c r="Y66" i="314"/>
  <c r="Y56" i="314"/>
  <c r="Y58" i="314"/>
  <c r="Y80" i="311"/>
  <c r="AA527" i="321"/>
  <c r="Z120" i="315"/>
  <c r="Z84" i="315"/>
  <c r="Z85" i="315"/>
  <c r="Z87" i="286"/>
  <c r="Z88" i="286"/>
  <c r="AA496" i="321"/>
  <c r="AA498" i="321"/>
  <c r="AA521" i="321"/>
  <c r="Y60" i="314"/>
  <c r="Y62" i="314"/>
  <c r="Y67" i="314"/>
  <c r="Y82" i="314"/>
  <c r="Y79" i="265"/>
  <c r="Y73" i="314"/>
  <c r="Y75" i="314"/>
  <c r="AA499" i="321"/>
  <c r="AA103" i="282"/>
  <c r="AA108" i="282"/>
  <c r="AA512" i="321"/>
  <c r="AA506" i="321"/>
  <c r="Z91" i="286"/>
  <c r="Z93" i="286"/>
  <c r="Z104" i="286"/>
  <c r="Z94" i="286"/>
  <c r="Z105" i="286"/>
  <c r="Z106" i="286"/>
  <c r="Z109" i="286"/>
  <c r="Z111" i="286"/>
  <c r="Z98" i="286"/>
  <c r="Z99" i="286"/>
  <c r="Z201" i="288"/>
  <c r="AA116" i="282"/>
  <c r="AA25" i="315"/>
  <c r="AA27" i="315"/>
  <c r="Y80" i="265"/>
  <c r="Y83" i="314"/>
  <c r="Y84" i="314"/>
  <c r="Y82" i="265"/>
  <c r="Y85" i="265"/>
  <c r="Z81" i="314"/>
  <c r="Y111" i="265"/>
  <c r="Y60" i="328"/>
  <c r="Y87" i="314"/>
  <c r="Y90" i="314"/>
  <c r="AA112" i="282"/>
  <c r="AA117" i="282"/>
  <c r="AA96" i="286"/>
  <c r="Z122" i="315"/>
  <c r="Z112" i="286"/>
  <c r="Z116" i="286"/>
  <c r="Z117" i="286"/>
  <c r="Z202" i="288"/>
  <c r="Z87" i="315"/>
  <c r="AA114" i="286"/>
  <c r="Z123" i="315"/>
  <c r="Z88" i="315"/>
  <c r="Z89" i="315"/>
  <c r="AA90" i="286"/>
  <c r="AA120" i="282"/>
  <c r="AA121" i="282"/>
  <c r="AA123" i="282"/>
  <c r="AA124" i="282"/>
  <c r="Z37" i="314"/>
  <c r="Z40" i="314"/>
  <c r="Z61" i="314"/>
  <c r="Y459" i="321"/>
  <c r="Y460" i="321"/>
  <c r="Y463" i="321"/>
  <c r="Y464" i="321"/>
  <c r="Y473" i="321"/>
  <c r="Z43" i="314"/>
  <c r="Z45" i="314"/>
  <c r="Z70" i="314"/>
  <c r="Z71" i="314"/>
  <c r="AA136" i="282"/>
  <c r="AA130" i="282"/>
  <c r="AA126" i="282"/>
  <c r="AA128" i="282"/>
  <c r="Z131" i="286"/>
  <c r="Z143" i="286"/>
  <c r="Z144" i="286"/>
  <c r="Z147" i="286"/>
  <c r="Z148" i="286"/>
  <c r="AA108" i="286"/>
  <c r="Z132" i="286"/>
  <c r="Z124" i="286"/>
  <c r="Z125" i="286"/>
  <c r="Z198" i="288"/>
  <c r="Z192" i="288"/>
  <c r="Z194" i="288"/>
  <c r="Z149" i="286"/>
  <c r="Z133" i="286"/>
  <c r="AA131" i="282"/>
  <c r="AA137" i="282"/>
  <c r="AA132" i="282"/>
  <c r="AA138" i="282"/>
  <c r="AB135" i="282"/>
  <c r="Z74" i="314"/>
  <c r="Z65" i="314"/>
  <c r="Y469" i="321"/>
  <c r="Y470" i="321"/>
  <c r="Y474" i="321"/>
  <c r="Y475" i="321"/>
  <c r="Y478" i="321"/>
  <c r="Y479" i="321"/>
  <c r="Y465" i="321"/>
  <c r="Y49" i="288"/>
  <c r="Y43" i="288"/>
  <c r="Y23" i="328"/>
  <c r="Y87" i="265"/>
  <c r="Y487" i="321"/>
  <c r="Y480" i="321"/>
  <c r="Y50" i="288"/>
  <c r="Y24" i="328"/>
  <c r="Y486" i="321"/>
  <c r="Y488" i="321"/>
  <c r="AB127" i="282"/>
  <c r="AA143" i="282"/>
  <c r="AA144" i="282"/>
  <c r="AA130" i="286"/>
  <c r="Z103" i="315"/>
  <c r="Z108" i="315"/>
  <c r="Z110" i="315"/>
  <c r="Z130" i="315"/>
  <c r="Z33" i="315"/>
  <c r="Z34" i="315"/>
  <c r="Z91" i="315"/>
  <c r="Z92" i="315"/>
  <c r="Z197" i="288"/>
  <c r="Z204" i="288"/>
  <c r="AA122" i="286"/>
  <c r="Z124" i="315"/>
  <c r="Z125" i="315"/>
  <c r="Z131" i="315"/>
  <c r="AA138" i="286"/>
  <c r="Z207" i="288"/>
  <c r="Z133" i="315"/>
  <c r="Z132" i="315"/>
  <c r="AA502" i="321"/>
  <c r="AA127" i="314"/>
  <c r="AA86" i="286"/>
  <c r="AA142" i="286"/>
  <c r="AA145" i="282"/>
  <c r="Z483" i="321"/>
  <c r="Y124" i="265"/>
  <c r="Y88" i="265"/>
  <c r="Y89" i="265"/>
  <c r="Y10" i="286"/>
  <c r="Y11" i="286"/>
  <c r="Z452" i="321"/>
  <c r="Z454" i="321"/>
  <c r="Z477" i="321"/>
  <c r="AA44" i="315"/>
  <c r="AA45" i="315"/>
  <c r="AA29" i="315"/>
  <c r="AA31" i="315"/>
  <c r="AA139" i="286"/>
  <c r="AA140" i="286"/>
  <c r="AA146" i="286"/>
  <c r="AA123" i="286"/>
  <c r="AA177" i="288"/>
  <c r="AA179" i="288"/>
  <c r="AA63" i="315"/>
  <c r="Z455" i="321"/>
  <c r="Z35" i="282"/>
  <c r="Z40" i="282"/>
  <c r="Z468" i="321"/>
  <c r="Z462" i="321"/>
  <c r="Y14" i="286"/>
  <c r="Y16" i="286"/>
  <c r="Y27" i="286"/>
  <c r="Y17" i="286"/>
  <c r="Y28" i="286"/>
  <c r="Y29" i="286"/>
  <c r="Y32" i="286"/>
  <c r="Y34" i="286"/>
  <c r="Y21" i="286"/>
  <c r="Y22" i="286"/>
  <c r="Y51" i="288"/>
  <c r="Z48" i="282"/>
  <c r="Z27" i="265"/>
  <c r="AA73" i="315"/>
  <c r="AA235" i="288"/>
  <c r="AA215" i="288"/>
  <c r="AA218" i="288"/>
  <c r="AA220" i="288"/>
  <c r="AA263" i="288"/>
  <c r="AA182" i="288"/>
  <c r="AA237" i="288"/>
  <c r="AA239" i="288"/>
  <c r="AA242" i="288"/>
  <c r="AA244" i="288"/>
  <c r="AA128" i="314"/>
  <c r="AA130" i="314"/>
  <c r="Z29" i="265"/>
  <c r="R27" i="277"/>
  <c r="Z19" i="286"/>
  <c r="Y126" i="265"/>
  <c r="Y35" i="286"/>
  <c r="Y39" i="286"/>
  <c r="Y40" i="286"/>
  <c r="Y52" i="288"/>
  <c r="Y91" i="265"/>
  <c r="Z37" i="286"/>
  <c r="Y127" i="265"/>
  <c r="Y92" i="265"/>
  <c r="Z13" i="286"/>
  <c r="R29" i="277"/>
  <c r="Z44" i="282"/>
  <c r="Z49" i="282"/>
  <c r="AA132" i="314"/>
  <c r="AA133" i="314"/>
  <c r="AA143" i="314"/>
  <c r="AA145" i="314"/>
  <c r="AA135" i="314"/>
  <c r="AA137" i="314"/>
  <c r="AA139" i="314"/>
  <c r="AA141" i="314"/>
  <c r="AA146" i="314"/>
  <c r="AA161" i="314"/>
  <c r="Z52" i="282"/>
  <c r="Z53" i="282"/>
  <c r="Z55" i="282"/>
  <c r="Z56" i="282"/>
  <c r="Y92" i="277"/>
  <c r="Y93" i="265"/>
  <c r="Z31" i="286"/>
  <c r="Y54" i="286"/>
  <c r="Y75" i="286"/>
  <c r="Y76" i="286"/>
  <c r="Y79" i="286"/>
  <c r="Y80" i="286"/>
  <c r="Z68" i="282"/>
  <c r="Z62" i="282"/>
  <c r="Z58" i="282"/>
  <c r="Z60" i="282"/>
  <c r="AA75" i="315"/>
  <c r="AA152" i="314"/>
  <c r="AA154" i="314"/>
  <c r="AA76" i="315"/>
  <c r="AA162" i="314"/>
  <c r="AA163" i="314"/>
  <c r="AA78" i="315"/>
  <c r="Z63" i="282"/>
  <c r="Z69" i="282"/>
  <c r="Z64" i="282"/>
  <c r="Z70" i="282"/>
  <c r="AA67" i="282"/>
  <c r="Y55" i="286"/>
  <c r="Y47" i="286"/>
  <c r="Y48" i="286"/>
  <c r="Y48" i="288"/>
  <c r="Y42" i="288"/>
  <c r="Y44" i="288"/>
  <c r="Y81" i="286"/>
  <c r="Y25" i="328"/>
  <c r="Y56" i="286"/>
  <c r="Z53" i="286"/>
  <c r="Y58" i="286"/>
  <c r="Y64" i="286"/>
  <c r="Y107" i="265"/>
  <c r="Y35" i="265"/>
  <c r="Y95" i="265"/>
  <c r="Y47" i="288"/>
  <c r="Y54" i="288"/>
  <c r="Z45" i="286"/>
  <c r="Y128" i="265"/>
  <c r="Y129" i="265"/>
  <c r="Y135" i="265"/>
  <c r="AA59" i="282"/>
  <c r="Z75" i="282"/>
  <c r="Z76" i="282"/>
  <c r="AA81" i="315"/>
  <c r="AB160" i="314"/>
  <c r="AA107" i="315"/>
  <c r="AB116" i="314"/>
  <c r="AB119" i="314"/>
  <c r="AB140" i="314"/>
  <c r="AA503" i="321"/>
  <c r="AA504" i="321"/>
  <c r="Z77" i="282"/>
  <c r="Z70" i="286"/>
  <c r="Y57" i="288"/>
  <c r="Y96" i="265"/>
  <c r="Y36" i="265"/>
  <c r="Y59" i="328"/>
  <c r="Y112" i="265"/>
  <c r="Y114" i="265"/>
  <c r="Y134" i="265"/>
  <c r="Z458" i="321"/>
  <c r="Z48" i="314"/>
  <c r="Z9" i="286"/>
  <c r="Z74" i="286"/>
  <c r="Y137" i="265"/>
  <c r="Y136" i="265"/>
  <c r="Z46" i="265"/>
  <c r="Z31" i="265"/>
  <c r="AA507" i="321"/>
  <c r="AA508" i="321"/>
  <c r="AA517" i="321"/>
  <c r="AB122" i="314"/>
  <c r="AB124" i="314"/>
  <c r="AB149" i="314"/>
  <c r="AB150" i="314"/>
  <c r="AB153" i="314"/>
  <c r="AB144" i="314"/>
  <c r="AA513" i="321"/>
  <c r="AA514" i="321"/>
  <c r="AA518" i="321"/>
  <c r="AA519" i="321"/>
  <c r="AA522" i="321"/>
  <c r="AA523" i="321"/>
  <c r="AA509" i="321"/>
  <c r="AA199" i="288"/>
  <c r="AA193" i="288"/>
  <c r="R31" i="277"/>
  <c r="Z33" i="265"/>
  <c r="Z47" i="265"/>
  <c r="R46" i="277"/>
  <c r="R47" i="277"/>
  <c r="Z27" i="288"/>
  <c r="Z29" i="288"/>
  <c r="Z65" i="265"/>
  <c r="Z71" i="286"/>
  <c r="Z72" i="286"/>
  <c r="Z78" i="286"/>
  <c r="Z46" i="286"/>
  <c r="R33" i="277"/>
  <c r="AA83" i="315"/>
  <c r="AA531" i="321"/>
  <c r="AA524" i="321"/>
  <c r="AA200" i="288"/>
  <c r="AA530" i="321"/>
  <c r="AA532" i="321"/>
  <c r="AB527" i="321"/>
  <c r="AA120" i="315"/>
  <c r="AA84" i="315"/>
  <c r="AA85" i="315"/>
  <c r="Z77" i="265"/>
  <c r="Z85" i="288"/>
  <c r="Z65" i="288"/>
  <c r="Z68" i="288"/>
  <c r="Z113" i="288"/>
  <c r="Z10" i="321"/>
  <c r="Z12" i="321"/>
  <c r="Z20" i="328"/>
  <c r="R40" i="328"/>
  <c r="Z32" i="288"/>
  <c r="R65" i="277"/>
  <c r="R77" i="277"/>
  <c r="Z39" i="311"/>
  <c r="Z70" i="288"/>
  <c r="Z57" i="328"/>
  <c r="R68" i="328"/>
  <c r="Z87" i="288"/>
  <c r="Z89" i="288"/>
  <c r="Z92" i="288"/>
  <c r="Z94" i="288"/>
  <c r="Z49" i="314"/>
  <c r="Z51" i="314"/>
  <c r="AA87" i="286"/>
  <c r="AA88" i="286"/>
  <c r="AB496" i="321"/>
  <c r="AB498" i="321"/>
  <c r="AB521" i="321"/>
  <c r="AB499" i="321"/>
  <c r="AB103" i="282"/>
  <c r="AB108" i="282"/>
  <c r="AB512" i="321"/>
  <c r="AB506" i="321"/>
  <c r="AA91" i="286"/>
  <c r="AA93" i="286"/>
  <c r="AA104" i="286"/>
  <c r="Z53" i="314"/>
  <c r="Z54" i="314"/>
  <c r="Z64" i="314"/>
  <c r="Z66" i="314"/>
  <c r="Z56" i="314"/>
  <c r="Z58" i="314"/>
  <c r="Z80" i="311"/>
  <c r="Z60" i="314"/>
  <c r="Z62" i="314"/>
  <c r="Z67" i="314"/>
  <c r="Z82" i="314"/>
  <c r="AA94" i="286"/>
  <c r="AA105" i="286"/>
  <c r="AA106" i="286"/>
  <c r="AA109" i="286"/>
  <c r="AA111" i="286"/>
  <c r="AA98" i="286"/>
  <c r="AA99" i="286"/>
  <c r="AA201" i="288"/>
  <c r="AB116" i="282"/>
  <c r="AB25" i="315"/>
  <c r="AB27" i="315"/>
  <c r="AB112" i="282"/>
  <c r="AB117" i="282"/>
  <c r="AB96" i="286"/>
  <c r="AA122" i="315"/>
  <c r="AA112" i="286"/>
  <c r="AA116" i="286"/>
  <c r="AA117" i="286"/>
  <c r="AA202" i="288"/>
  <c r="AA87" i="315"/>
  <c r="Z79" i="265"/>
  <c r="Z73" i="314"/>
  <c r="Z75" i="314"/>
  <c r="Z80" i="265"/>
  <c r="R80" i="277"/>
  <c r="Z83" i="314"/>
  <c r="Z84" i="314"/>
  <c r="R79" i="277"/>
  <c r="Z82" i="265"/>
  <c r="AB114" i="286"/>
  <c r="AA123" i="315"/>
  <c r="AA88" i="315"/>
  <c r="AA89" i="315"/>
  <c r="AB90" i="286"/>
  <c r="AB120" i="282"/>
  <c r="AB121" i="282"/>
  <c r="AB123" i="282"/>
  <c r="AB124" i="282"/>
  <c r="AB136" i="282"/>
  <c r="AB130" i="282"/>
  <c r="AB126" i="282"/>
  <c r="AB128" i="282"/>
  <c r="AA131" i="286"/>
  <c r="AA143" i="286"/>
  <c r="AA144" i="286"/>
  <c r="AA147" i="286"/>
  <c r="AA148" i="286"/>
  <c r="AB108" i="286"/>
  <c r="Z85" i="265"/>
  <c r="R82" i="277"/>
  <c r="AA81" i="314"/>
  <c r="Z111" i="265"/>
  <c r="Z87" i="314"/>
  <c r="Z90" i="314"/>
  <c r="Z60" i="328"/>
  <c r="R71" i="328"/>
  <c r="R111" i="277"/>
  <c r="AA37" i="314"/>
  <c r="AA40" i="314"/>
  <c r="AA61" i="314"/>
  <c r="R85" i="277"/>
  <c r="Z459" i="321"/>
  <c r="Z460" i="321"/>
  <c r="AA132" i="286"/>
  <c r="AA124" i="286"/>
  <c r="AA125" i="286"/>
  <c r="AA198" i="288"/>
  <c r="AA192" i="288"/>
  <c r="AA194" i="288"/>
  <c r="AA149" i="286"/>
  <c r="AA133" i="286"/>
  <c r="AB131" i="282"/>
  <c r="AB137" i="282"/>
  <c r="AB132" i="282"/>
  <c r="AB138" i="282"/>
  <c r="AC135" i="282"/>
  <c r="AC127" i="282"/>
  <c r="AB143" i="282"/>
  <c r="AB144" i="282"/>
  <c r="AB130" i="286"/>
  <c r="AA103" i="315"/>
  <c r="AA108" i="315"/>
  <c r="AA110" i="315"/>
  <c r="AA130" i="315"/>
  <c r="AA33" i="315"/>
  <c r="AA34" i="315"/>
  <c r="AA91" i="315"/>
  <c r="AA92" i="315"/>
  <c r="AA197" i="288"/>
  <c r="AA204" i="288"/>
  <c r="AB122" i="286"/>
  <c r="AA124" i="315"/>
  <c r="AA125" i="315"/>
  <c r="AA131" i="315"/>
  <c r="Z463" i="321"/>
  <c r="Z464" i="321"/>
  <c r="Z473" i="321"/>
  <c r="AA43" i="314"/>
  <c r="AA45" i="314"/>
  <c r="AA70" i="314"/>
  <c r="AA71" i="314"/>
  <c r="AA74" i="314"/>
  <c r="AA65" i="314"/>
  <c r="Z469" i="321"/>
  <c r="Z470" i="321"/>
  <c r="Z474" i="321"/>
  <c r="Z475" i="321"/>
  <c r="Z478" i="321"/>
  <c r="Z479" i="321"/>
  <c r="Z465" i="321"/>
  <c r="Z49" i="288"/>
  <c r="Z43" i="288"/>
  <c r="Z23" i="328"/>
  <c r="R43" i="328"/>
  <c r="AB138" i="286"/>
  <c r="AA207" i="288"/>
  <c r="AA133" i="315"/>
  <c r="AA132" i="315"/>
  <c r="AB502" i="321"/>
  <c r="AB127" i="314"/>
  <c r="AB86" i="286"/>
  <c r="AB142" i="286"/>
  <c r="AB145" i="282"/>
  <c r="AB44" i="315"/>
  <c r="AB45" i="315"/>
  <c r="AB29" i="315"/>
  <c r="AB31" i="315"/>
  <c r="Z87" i="265"/>
  <c r="Z487" i="321"/>
  <c r="Z480" i="321"/>
  <c r="Z50" i="288"/>
  <c r="Z24" i="328"/>
  <c r="R44" i="328"/>
  <c r="Z486" i="321"/>
  <c r="Z488" i="321"/>
  <c r="AA483" i="321"/>
  <c r="Z124" i="265"/>
  <c r="Z88" i="265"/>
  <c r="R88" i="277"/>
  <c r="R87" i="277"/>
  <c r="Z89" i="265"/>
  <c r="AB139" i="286"/>
  <c r="AB140" i="286"/>
  <c r="AB146" i="286"/>
  <c r="AB123" i="286"/>
  <c r="AB177" i="288"/>
  <c r="AB179" i="288"/>
  <c r="AB63" i="315"/>
  <c r="AB73" i="315"/>
  <c r="AB235" i="288"/>
  <c r="AB215" i="288"/>
  <c r="AB218" i="288"/>
  <c r="AB220" i="288"/>
  <c r="AB263" i="288"/>
  <c r="AB182" i="288"/>
  <c r="Z10" i="286"/>
  <c r="Z11" i="286"/>
  <c r="R89" i="277"/>
  <c r="R124" i="277"/>
  <c r="AA452" i="321"/>
  <c r="AA454" i="321"/>
  <c r="AA477" i="321"/>
  <c r="AA455" i="321"/>
  <c r="AA35" i="282"/>
  <c r="AA40" i="282"/>
  <c r="AA468" i="321"/>
  <c r="AA462" i="321"/>
  <c r="Z14" i="286"/>
  <c r="Z16" i="286"/>
  <c r="Z27" i="286"/>
  <c r="AB237" i="288"/>
  <c r="AB239" i="288"/>
  <c r="AB242" i="288"/>
  <c r="AB244" i="288"/>
  <c r="AB128" i="314"/>
  <c r="AB130" i="314"/>
  <c r="AB132" i="314"/>
  <c r="AB133" i="314"/>
  <c r="AB143" i="314"/>
  <c r="AB145" i="314"/>
  <c r="AB135" i="314"/>
  <c r="AB137" i="314"/>
  <c r="Z17" i="286"/>
  <c r="Z28" i="286"/>
  <c r="Z29" i="286"/>
  <c r="Z32" i="286"/>
  <c r="Z34" i="286"/>
  <c r="Z21" i="286"/>
  <c r="Z22" i="286"/>
  <c r="Z51" i="288"/>
  <c r="AA48" i="282"/>
  <c r="AA27" i="265"/>
  <c r="AA29" i="265"/>
  <c r="AA19" i="286"/>
  <c r="Z126" i="265"/>
  <c r="Z35" i="286"/>
  <c r="Z39" i="286"/>
  <c r="Z40" i="286"/>
  <c r="Z52" i="288"/>
  <c r="Z91" i="265"/>
  <c r="AB139" i="314"/>
  <c r="AB141" i="314"/>
  <c r="AB146" i="314"/>
  <c r="AB161" i="314"/>
  <c r="AB75" i="315"/>
  <c r="AB152" i="314"/>
  <c r="AB154" i="314"/>
  <c r="R91" i="277"/>
  <c r="AA37" i="286"/>
  <c r="Z127" i="265"/>
  <c r="R127" i="277"/>
  <c r="Z92" i="265"/>
  <c r="R126" i="277"/>
  <c r="AA13" i="286"/>
  <c r="AA44" i="282"/>
  <c r="AA49" i="282"/>
  <c r="AA52" i="282"/>
  <c r="AA53" i="282"/>
  <c r="AA55" i="282"/>
  <c r="AA56" i="282"/>
  <c r="Z92" i="277"/>
  <c r="Z93" i="265"/>
  <c r="AA31" i="286"/>
  <c r="R93" i="277"/>
  <c r="AB76" i="315"/>
  <c r="AB162" i="314"/>
  <c r="AB163" i="314"/>
  <c r="AB78" i="315"/>
  <c r="AB81" i="315"/>
  <c r="AC160" i="314"/>
  <c r="AB107" i="315"/>
  <c r="Z54" i="286"/>
  <c r="Z75" i="286"/>
  <c r="Z76" i="286"/>
  <c r="Z79" i="286"/>
  <c r="Z80" i="286"/>
  <c r="AA68" i="282"/>
  <c r="AA62" i="282"/>
  <c r="AA58" i="282"/>
  <c r="AA60" i="282"/>
  <c r="AA63" i="282"/>
  <c r="AA69" i="282"/>
  <c r="AA64" i="282"/>
  <c r="AA70" i="282"/>
  <c r="AB67" i="282"/>
  <c r="Z55" i="286"/>
  <c r="Z47" i="286"/>
  <c r="Z48" i="286"/>
  <c r="Z48" i="288"/>
  <c r="Z42" i="288"/>
  <c r="Z44" i="288"/>
  <c r="Z81" i="286"/>
  <c r="Z25" i="328"/>
  <c r="R45" i="328"/>
  <c r="Z56" i="286"/>
  <c r="AC116" i="314"/>
  <c r="AC119" i="314"/>
  <c r="AC140" i="314"/>
  <c r="AB503" i="321"/>
  <c r="AB504" i="321"/>
  <c r="AB507" i="321"/>
  <c r="AB508" i="321"/>
  <c r="AB517" i="321"/>
  <c r="AC122" i="314"/>
  <c r="AC124" i="314"/>
  <c r="AC149" i="314"/>
  <c r="AC150" i="314"/>
  <c r="AA53" i="286"/>
  <c r="Z58" i="286"/>
  <c r="Z64" i="286"/>
  <c r="Z107" i="265"/>
  <c r="Z35" i="265"/>
  <c r="Z95" i="265"/>
  <c r="Z47" i="288"/>
  <c r="Z54" i="288"/>
  <c r="AA45" i="286"/>
  <c r="Z128" i="265"/>
  <c r="AB59" i="282"/>
  <c r="AA75" i="282"/>
  <c r="AA76" i="282"/>
  <c r="AA77" i="282"/>
  <c r="R128" i="277"/>
  <c r="R129" i="277"/>
  <c r="R135" i="277"/>
  <c r="Z129" i="265"/>
  <c r="Z135" i="265"/>
  <c r="AA70" i="286"/>
  <c r="Z57" i="288"/>
  <c r="R95" i="277"/>
  <c r="Z96" i="265"/>
  <c r="R35" i="277"/>
  <c r="Z36" i="265"/>
  <c r="Z59" i="328"/>
  <c r="R70" i="328"/>
  <c r="R107" i="277"/>
  <c r="R112" i="277"/>
  <c r="R114" i="277"/>
  <c r="R134" i="277"/>
  <c r="Z112" i="265"/>
  <c r="Z114" i="265"/>
  <c r="Z134" i="265"/>
  <c r="AA458" i="321"/>
  <c r="AA48" i="314"/>
  <c r="AA9" i="286"/>
  <c r="AA74" i="286"/>
  <c r="AC153" i="314"/>
  <c r="AC144" i="314"/>
  <c r="AB513" i="321"/>
  <c r="AB514" i="321"/>
  <c r="AB518" i="321"/>
  <c r="AB519" i="321"/>
  <c r="AB522" i="321"/>
  <c r="AB523" i="321"/>
  <c r="AB509" i="321"/>
  <c r="AB199" i="288"/>
  <c r="AB193" i="288"/>
  <c r="AB83" i="315"/>
  <c r="AB531" i="321"/>
  <c r="AB524" i="321"/>
  <c r="AB200" i="288"/>
  <c r="AB530" i="321"/>
  <c r="AB532" i="321"/>
  <c r="Z137" i="265"/>
  <c r="Z136" i="265"/>
  <c r="R137" i="277"/>
  <c r="R136" i="277"/>
  <c r="R36" i="277"/>
  <c r="R96" i="277"/>
  <c r="AA46" i="265"/>
  <c r="AA31" i="265"/>
  <c r="AA33" i="265"/>
  <c r="AA47" i="265"/>
  <c r="AC527" i="321"/>
  <c r="AB120" i="315"/>
  <c r="AB84" i="315"/>
  <c r="AB85" i="315"/>
  <c r="AB87" i="286"/>
  <c r="AB88" i="286"/>
  <c r="AC496" i="321"/>
  <c r="AC498" i="321"/>
  <c r="AC521" i="321"/>
  <c r="AA27" i="288"/>
  <c r="AA29" i="288"/>
  <c r="AA65" i="265"/>
  <c r="AA71" i="286"/>
  <c r="AA72" i="286"/>
  <c r="AA78" i="286"/>
  <c r="AA46" i="286"/>
  <c r="AA77" i="265"/>
  <c r="AA85" i="288"/>
  <c r="AA65" i="288"/>
  <c r="AA68" i="288"/>
  <c r="AA113" i="288"/>
  <c r="AA10" i="321"/>
  <c r="AA12" i="321"/>
  <c r="AA20" i="328"/>
  <c r="AA32" i="288"/>
  <c r="AC499" i="321"/>
  <c r="AC103" i="282"/>
  <c r="AC108" i="282"/>
  <c r="AC512" i="321"/>
  <c r="AC506" i="321"/>
  <c r="AB91" i="286"/>
  <c r="AB93" i="286"/>
  <c r="AB104" i="286"/>
  <c r="AB94" i="286"/>
  <c r="AB105" i="286"/>
  <c r="AB106" i="286"/>
  <c r="AB109" i="286"/>
  <c r="AB111" i="286"/>
  <c r="AB98" i="286"/>
  <c r="AB99" i="286"/>
  <c r="AB201" i="288"/>
  <c r="AC116" i="282"/>
  <c r="AC25" i="315"/>
  <c r="AC27" i="315"/>
  <c r="AA39" i="311"/>
  <c r="AA70" i="288"/>
  <c r="AA57" i="328"/>
  <c r="AA87" i="288"/>
  <c r="AA89" i="288"/>
  <c r="AA92" i="288"/>
  <c r="AA94" i="288"/>
  <c r="AA49" i="314"/>
  <c r="AA51" i="314"/>
  <c r="AA53" i="314"/>
  <c r="AA54" i="314"/>
  <c r="AA64" i="314"/>
  <c r="AA66" i="314"/>
  <c r="AA56" i="314"/>
  <c r="AA58" i="314"/>
  <c r="AA80" i="311"/>
  <c r="AC112" i="282"/>
  <c r="AC117" i="282"/>
  <c r="AC96" i="286"/>
  <c r="AB122" i="315"/>
  <c r="AB112" i="286"/>
  <c r="AB116" i="286"/>
  <c r="AB117" i="286"/>
  <c r="AB202" i="288"/>
  <c r="AB87" i="315"/>
  <c r="AC114" i="286"/>
  <c r="AB123" i="315"/>
  <c r="AB88" i="315"/>
  <c r="AB89" i="315"/>
  <c r="AC90" i="286"/>
  <c r="AC120" i="282"/>
  <c r="AC121" i="282"/>
  <c r="AC123" i="282"/>
  <c r="AC124" i="282"/>
  <c r="AA60" i="314"/>
  <c r="AA62" i="314"/>
  <c r="AA67" i="314"/>
  <c r="AA82" i="314"/>
  <c r="AA79" i="265"/>
  <c r="AA73" i="314"/>
  <c r="AA75" i="314"/>
  <c r="AC136" i="282"/>
  <c r="AC130" i="282"/>
  <c r="AC126" i="282"/>
  <c r="AC128" i="282"/>
  <c r="AB131" i="286"/>
  <c r="AB143" i="286"/>
  <c r="AB144" i="286"/>
  <c r="AB147" i="286"/>
  <c r="AB148" i="286"/>
  <c r="AC108" i="286"/>
  <c r="AB132" i="286"/>
  <c r="AB124" i="286"/>
  <c r="AB125" i="286"/>
  <c r="AB198" i="288"/>
  <c r="AB192" i="288"/>
  <c r="AB194" i="288"/>
  <c r="AB149" i="286"/>
  <c r="AB133" i="286"/>
  <c r="AC131" i="282"/>
  <c r="AC137" i="282"/>
  <c r="AC132" i="282"/>
  <c r="AC138" i="282"/>
  <c r="AD135" i="282"/>
  <c r="AA80" i="265"/>
  <c r="AA83" i="314"/>
  <c r="AA84" i="314"/>
  <c r="AA82" i="265"/>
  <c r="AA85" i="265"/>
  <c r="AB81" i="314"/>
  <c r="AA111" i="265"/>
  <c r="AA60" i="328"/>
  <c r="AA87" i="314"/>
  <c r="AA90" i="314"/>
  <c r="AD127" i="282"/>
  <c r="AC143" i="282"/>
  <c r="AC144" i="282"/>
  <c r="AC130" i="286"/>
  <c r="AB103" i="315"/>
  <c r="AB108" i="315"/>
  <c r="AB110" i="315"/>
  <c r="AB130" i="315"/>
  <c r="AB33" i="315"/>
  <c r="AB34" i="315"/>
  <c r="AB91" i="315"/>
  <c r="AB92" i="315"/>
  <c r="AB197" i="288"/>
  <c r="AB204" i="288"/>
  <c r="AC122" i="286"/>
  <c r="AB124" i="315"/>
  <c r="AB125" i="315"/>
  <c r="AB131" i="315"/>
  <c r="AC138" i="286"/>
  <c r="AB207" i="288"/>
  <c r="AB133" i="315"/>
  <c r="AB132" i="315"/>
  <c r="AC502" i="321"/>
  <c r="AC127" i="314"/>
  <c r="AC86" i="286"/>
  <c r="AC142" i="286"/>
  <c r="AC145" i="282"/>
  <c r="AB37" i="314"/>
  <c r="AB40" i="314"/>
  <c r="AB61" i="314"/>
  <c r="AA459" i="321"/>
  <c r="AA460" i="321"/>
  <c r="AA463" i="321"/>
  <c r="AA464" i="321"/>
  <c r="AA473" i="321"/>
  <c r="AB43" i="314"/>
  <c r="AB45" i="314"/>
  <c r="AB70" i="314"/>
  <c r="AB71" i="314"/>
  <c r="AC44" i="315"/>
  <c r="AC45" i="315"/>
  <c r="AC29" i="315"/>
  <c r="AC31" i="315"/>
  <c r="AC139" i="286"/>
  <c r="AC140" i="286"/>
  <c r="AC146" i="286"/>
  <c r="AC123" i="286"/>
  <c r="AC177" i="288"/>
  <c r="AC179" i="288"/>
  <c r="AC63" i="315"/>
  <c r="AB74" i="314"/>
  <c r="AB65" i="314"/>
  <c r="AA469" i="321"/>
  <c r="AA470" i="321"/>
  <c r="AA474" i="321"/>
  <c r="AA475" i="321"/>
  <c r="AA478" i="321"/>
  <c r="AA479" i="321"/>
  <c r="AA465" i="321"/>
  <c r="AA49" i="288"/>
  <c r="AA43" i="288"/>
  <c r="AA23" i="328"/>
  <c r="AA87" i="265"/>
  <c r="AA487" i="321"/>
  <c r="AA480" i="321"/>
  <c r="AA50" i="288"/>
  <c r="AA24" i="328"/>
  <c r="AA486" i="321"/>
  <c r="AA488" i="321"/>
  <c r="AC73" i="315"/>
  <c r="AC235" i="288"/>
  <c r="AC215" i="288"/>
  <c r="AC218" i="288"/>
  <c r="AC220" i="288"/>
  <c r="AC263" i="288"/>
  <c r="AC182" i="288"/>
  <c r="AC237" i="288"/>
  <c r="AC239" i="288"/>
  <c r="AC242" i="288"/>
  <c r="AC244" i="288"/>
  <c r="AC128" i="314"/>
  <c r="AC130" i="314"/>
  <c r="AB483" i="321"/>
  <c r="AA124" i="265"/>
  <c r="AA88" i="265"/>
  <c r="AA89" i="265"/>
  <c r="AA10" i="286"/>
  <c r="AA11" i="286"/>
  <c r="AB452" i="321"/>
  <c r="AB454" i="321"/>
  <c r="AB477" i="321"/>
  <c r="AC132" i="314"/>
  <c r="AC133" i="314"/>
  <c r="AC143" i="314"/>
  <c r="AC145" i="314"/>
  <c r="AC135" i="314"/>
  <c r="AC137" i="314"/>
  <c r="AC139" i="314"/>
  <c r="AC141" i="314"/>
  <c r="AC146" i="314"/>
  <c r="AC161" i="314"/>
  <c r="AB455" i="321"/>
  <c r="AB35" i="282"/>
  <c r="AB40" i="282"/>
  <c r="AB468" i="321"/>
  <c r="AB462" i="321"/>
  <c r="AA14" i="286"/>
  <c r="AA16" i="286"/>
  <c r="AA27" i="286"/>
  <c r="AA17" i="286"/>
  <c r="AA28" i="286"/>
  <c r="AA29" i="286"/>
  <c r="AA32" i="286"/>
  <c r="AA34" i="286"/>
  <c r="AA21" i="286"/>
  <c r="AA22" i="286"/>
  <c r="AA51" i="288"/>
  <c r="AB48" i="282"/>
  <c r="AB27" i="265"/>
  <c r="AC75" i="315"/>
  <c r="AC152" i="314"/>
  <c r="AC154" i="314"/>
  <c r="AC76" i="315"/>
  <c r="AC162" i="314"/>
  <c r="AC163" i="314"/>
  <c r="AC78" i="315"/>
  <c r="AB29" i="265"/>
  <c r="S27" i="277"/>
  <c r="AB19" i="286"/>
  <c r="AA126" i="265"/>
  <c r="AA35" i="286"/>
  <c r="AA39" i="286"/>
  <c r="AA40" i="286"/>
  <c r="AA52" i="288"/>
  <c r="AA91" i="265"/>
  <c r="AB37" i="286"/>
  <c r="AA127" i="265"/>
  <c r="AA92" i="265"/>
  <c r="AB13" i="286"/>
  <c r="S29" i="277"/>
  <c r="AB44" i="282"/>
  <c r="AB49" i="282"/>
  <c r="AC81" i="315"/>
  <c r="AD160" i="314"/>
  <c r="AC107" i="315"/>
  <c r="AD116" i="314"/>
  <c r="AD119" i="314"/>
  <c r="AD140" i="314"/>
  <c r="AC503" i="321"/>
  <c r="AC504" i="321"/>
  <c r="AB52" i="282"/>
  <c r="AB53" i="282"/>
  <c r="AB55" i="282"/>
  <c r="AB56" i="282"/>
  <c r="AA92" i="277"/>
  <c r="AA93" i="265"/>
  <c r="AB31" i="286"/>
  <c r="AA54" i="286"/>
  <c r="AA75" i="286"/>
  <c r="AA76" i="286"/>
  <c r="AA79" i="286"/>
  <c r="AA80" i="286"/>
  <c r="AB68" i="282"/>
  <c r="AB62" i="282"/>
  <c r="AB58" i="282"/>
  <c r="AB60" i="282"/>
  <c r="AC507" i="321"/>
  <c r="AC508" i="321"/>
  <c r="AC517" i="321"/>
  <c r="AD122" i="314"/>
  <c r="AD124" i="314"/>
  <c r="AD149" i="314"/>
  <c r="AD150" i="314"/>
  <c r="AD153" i="314"/>
  <c r="AD144" i="314"/>
  <c r="AC513" i="321"/>
  <c r="AC514" i="321"/>
  <c r="AC518" i="321"/>
  <c r="AC519" i="321"/>
  <c r="AC522" i="321"/>
  <c r="AC523" i="321"/>
  <c r="AC509" i="321"/>
  <c r="AC199" i="288"/>
  <c r="AC193" i="288"/>
  <c r="AB63" i="282"/>
  <c r="AB69" i="282"/>
  <c r="AB64" i="282"/>
  <c r="AB70" i="282"/>
  <c r="AC67" i="282"/>
  <c r="AA55" i="286"/>
  <c r="AA47" i="286"/>
  <c r="AA48" i="286"/>
  <c r="AA48" i="288"/>
  <c r="AA42" i="288"/>
  <c r="AA44" i="288"/>
  <c r="AA81" i="286"/>
  <c r="AA25" i="328"/>
  <c r="AA56" i="286"/>
  <c r="AB53" i="286"/>
  <c r="AA58" i="286"/>
  <c r="AA64" i="286"/>
  <c r="AA107" i="265"/>
  <c r="AA35" i="265"/>
  <c r="AA95" i="265"/>
  <c r="AA47" i="288"/>
  <c r="AA54" i="288"/>
  <c r="AB45" i="286"/>
  <c r="AA128" i="265"/>
  <c r="AA129" i="265"/>
  <c r="AA135" i="265"/>
  <c r="AC59" i="282"/>
  <c r="AB75" i="282"/>
  <c r="AB76" i="282"/>
  <c r="AC83" i="315"/>
  <c r="AC531" i="321"/>
  <c r="AC524" i="321"/>
  <c r="AC200" i="288"/>
  <c r="AC530" i="321"/>
  <c r="AC532" i="321"/>
  <c r="AD527" i="321"/>
  <c r="AC120" i="315"/>
  <c r="AC84" i="315"/>
  <c r="AC85" i="315"/>
  <c r="AB77" i="282"/>
  <c r="AB70" i="286"/>
  <c r="AA57" i="288"/>
  <c r="AA96" i="265"/>
  <c r="AA36" i="265"/>
  <c r="AA59" i="328"/>
  <c r="AA112" i="265"/>
  <c r="AA114" i="265"/>
  <c r="AA134" i="265"/>
  <c r="AB458" i="321"/>
  <c r="AB48" i="314"/>
  <c r="AB9" i="286"/>
  <c r="AB74" i="286"/>
  <c r="AA137" i="265"/>
  <c r="AA136" i="265"/>
  <c r="AB46" i="265"/>
  <c r="AB31" i="265"/>
  <c r="AC87" i="286"/>
  <c r="AC88" i="286"/>
  <c r="AD496" i="321"/>
  <c r="AD498" i="321"/>
  <c r="AD521" i="321"/>
  <c r="AD499" i="321"/>
  <c r="AD103" i="282"/>
  <c r="AD108" i="282"/>
  <c r="AD512" i="321"/>
  <c r="AD506" i="321"/>
  <c r="AC91" i="286"/>
  <c r="AC93" i="286"/>
  <c r="AC104" i="286"/>
  <c r="S31" i="277"/>
  <c r="AB33" i="265"/>
  <c r="AB47" i="265"/>
  <c r="S46" i="277"/>
  <c r="S47" i="277"/>
  <c r="AB27" i="288"/>
  <c r="AB29" i="288"/>
  <c r="AB65" i="265"/>
  <c r="AB71" i="286"/>
  <c r="AB72" i="286"/>
  <c r="AB78" i="286"/>
  <c r="AB46" i="286"/>
  <c r="S33" i="277"/>
  <c r="AC94" i="286"/>
  <c r="AC105" i="286"/>
  <c r="AC106" i="286"/>
  <c r="AC109" i="286"/>
  <c r="AC111" i="286"/>
  <c r="AC98" i="286"/>
  <c r="AC99" i="286"/>
  <c r="AC201" i="288"/>
  <c r="AD116" i="282"/>
  <c r="AD25" i="315"/>
  <c r="AD27" i="315"/>
  <c r="AD112" i="282"/>
  <c r="AD117" i="282"/>
  <c r="AD96" i="286"/>
  <c r="AC122" i="315"/>
  <c r="AC112" i="286"/>
  <c r="AC116" i="286"/>
  <c r="AC117" i="286"/>
  <c r="AC202" i="288"/>
  <c r="AC87" i="315"/>
  <c r="AB77" i="265"/>
  <c r="AB85" i="288"/>
  <c r="AB65" i="288"/>
  <c r="AB68" i="288"/>
  <c r="AB113" i="288"/>
  <c r="AB10" i="321"/>
  <c r="AB12" i="321"/>
  <c r="AB20" i="328"/>
  <c r="S40" i="328"/>
  <c r="AB32" i="288"/>
  <c r="S65" i="277"/>
  <c r="S77" i="277"/>
  <c r="AB39" i="311"/>
  <c r="AB70" i="288"/>
  <c r="AB57" i="328"/>
  <c r="S68" i="328"/>
  <c r="AB87" i="288"/>
  <c r="AB89" i="288"/>
  <c r="AB92" i="288"/>
  <c r="AB94" i="288"/>
  <c r="AB49" i="314"/>
  <c r="AB51" i="314"/>
  <c r="AD114" i="286"/>
  <c r="AC123" i="315"/>
  <c r="AC88" i="315"/>
  <c r="AC89" i="315"/>
  <c r="AD90" i="286"/>
  <c r="AD120" i="282"/>
  <c r="AD121" i="282"/>
  <c r="AD123" i="282"/>
  <c r="AD124" i="282"/>
  <c r="AD136" i="282"/>
  <c r="AD130" i="282"/>
  <c r="AD126" i="282"/>
  <c r="AD128" i="282"/>
  <c r="AC131" i="286"/>
  <c r="AC143" i="286"/>
  <c r="AC144" i="286"/>
  <c r="AC147" i="286"/>
  <c r="AC148" i="286"/>
  <c r="AD108" i="286"/>
  <c r="AB53" i="314"/>
  <c r="AB54" i="314"/>
  <c r="AB64" i="314"/>
  <c r="AB66" i="314"/>
  <c r="AB56" i="314"/>
  <c r="AB58" i="314"/>
  <c r="AB80" i="311"/>
  <c r="AB60" i="314"/>
  <c r="AB62" i="314"/>
  <c r="AB67" i="314"/>
  <c r="AB82" i="314"/>
  <c r="AC132" i="286"/>
  <c r="AC124" i="286"/>
  <c r="AC125" i="286"/>
  <c r="AC198" i="288"/>
  <c r="AC192" i="288"/>
  <c r="AC194" i="288"/>
  <c r="AC149" i="286"/>
  <c r="AC133" i="286"/>
  <c r="AD131" i="282"/>
  <c r="AD137" i="282"/>
  <c r="AD132" i="282"/>
  <c r="AD138" i="282"/>
  <c r="AE135" i="282"/>
  <c r="AE127" i="282"/>
  <c r="AD143" i="282"/>
  <c r="AD144" i="282"/>
  <c r="AD130" i="286"/>
  <c r="AC103" i="315"/>
  <c r="AC108" i="315"/>
  <c r="AC110" i="315"/>
  <c r="AC130" i="315"/>
  <c r="AC33" i="315"/>
  <c r="AC34" i="315"/>
  <c r="AC91" i="315"/>
  <c r="AC92" i="315"/>
  <c r="AC197" i="288"/>
  <c r="AC204" i="288"/>
  <c r="AD122" i="286"/>
  <c r="AC124" i="315"/>
  <c r="AC125" i="315"/>
  <c r="AC131" i="315"/>
  <c r="AB79" i="265"/>
  <c r="AB73" i="314"/>
  <c r="AB75" i="314"/>
  <c r="AB80" i="265"/>
  <c r="S80" i="277"/>
  <c r="AB83" i="314"/>
  <c r="AB84" i="314"/>
  <c r="S79" i="277"/>
  <c r="AB82" i="265"/>
  <c r="AD138" i="286"/>
  <c r="AC207" i="288"/>
  <c r="AC133" i="315"/>
  <c r="AC132" i="315"/>
  <c r="AD502" i="321"/>
  <c r="AD127" i="314"/>
  <c r="AD86" i="286"/>
  <c r="AD142" i="286"/>
  <c r="AD145" i="282"/>
  <c r="AD44" i="315"/>
  <c r="AD45" i="315"/>
  <c r="AD29" i="315"/>
  <c r="AD31" i="315"/>
  <c r="AB85" i="265"/>
  <c r="S82" i="277"/>
  <c r="AC81" i="314"/>
  <c r="AB111" i="265"/>
  <c r="AB87" i="314"/>
  <c r="AB90" i="314"/>
  <c r="AB60" i="328"/>
  <c r="S71" i="328"/>
  <c r="S111" i="277"/>
  <c r="AC37" i="314"/>
  <c r="AC40" i="314"/>
  <c r="AC61" i="314"/>
  <c r="S85" i="277"/>
  <c r="AB459" i="321"/>
  <c r="AB460" i="321"/>
  <c r="AD139" i="286"/>
  <c r="AD140" i="286"/>
  <c r="AD146" i="286"/>
  <c r="AD123" i="286"/>
  <c r="AD177" i="288"/>
  <c r="AD179" i="288"/>
  <c r="AD63" i="315"/>
  <c r="AD73" i="315"/>
  <c r="AD235" i="288"/>
  <c r="AD215" i="288"/>
  <c r="AD218" i="288"/>
  <c r="AD220" i="288"/>
  <c r="AD263" i="288"/>
  <c r="AD182" i="288"/>
  <c r="AB463" i="321"/>
  <c r="AB464" i="321"/>
  <c r="AB473" i="321"/>
  <c r="AC43" i="314"/>
  <c r="AC45" i="314"/>
  <c r="AC70" i="314"/>
  <c r="AC71" i="314"/>
  <c r="AC74" i="314"/>
  <c r="AC65" i="314"/>
  <c r="AB469" i="321"/>
  <c r="AB470" i="321"/>
  <c r="AB474" i="321"/>
  <c r="AB475" i="321"/>
  <c r="AB478" i="321"/>
  <c r="AB479" i="321"/>
  <c r="AB465" i="321"/>
  <c r="AB49" i="288"/>
  <c r="AB43" i="288"/>
  <c r="AB23" i="328"/>
  <c r="S43" i="328"/>
  <c r="AD237" i="288"/>
  <c r="AD239" i="288"/>
  <c r="AD242" i="288"/>
  <c r="AD244" i="288"/>
  <c r="AD128" i="314"/>
  <c r="AD130" i="314"/>
  <c r="AD132" i="314"/>
  <c r="AD133" i="314"/>
  <c r="AD143" i="314"/>
  <c r="AD145" i="314"/>
  <c r="AD135" i="314"/>
  <c r="AD137" i="314"/>
  <c r="AB87" i="265"/>
  <c r="AB487" i="321"/>
  <c r="AB480" i="321"/>
  <c r="AB50" i="288"/>
  <c r="AB24" i="328"/>
  <c r="S44" i="328"/>
  <c r="AB486" i="321"/>
  <c r="AB488" i="321"/>
  <c r="AC483" i="321"/>
  <c r="AB124" i="265"/>
  <c r="AB88" i="265"/>
  <c r="S88" i="277"/>
  <c r="S87" i="277"/>
  <c r="AB89" i="265"/>
  <c r="AD139" i="314"/>
  <c r="AD141" i="314"/>
  <c r="AD146" i="314"/>
  <c r="AD161" i="314"/>
  <c r="AD75" i="315"/>
  <c r="AD152" i="314"/>
  <c r="AD154" i="314"/>
  <c r="AB10" i="286"/>
  <c r="AB11" i="286"/>
  <c r="S89" i="277"/>
  <c r="S124" i="277"/>
  <c r="AC452" i="321"/>
  <c r="AC454" i="321"/>
  <c r="AC477" i="321"/>
  <c r="AC455" i="321"/>
  <c r="AC35" i="282"/>
  <c r="AC40" i="282"/>
  <c r="AC468" i="321"/>
  <c r="AC462" i="321"/>
  <c r="AB14" i="286"/>
  <c r="AB16" i="286"/>
  <c r="AB27" i="286"/>
  <c r="AD76" i="315"/>
  <c r="AD162" i="314"/>
  <c r="AD163" i="314"/>
  <c r="AD78" i="315"/>
  <c r="AD81" i="315"/>
  <c r="AE160" i="314"/>
  <c r="AD107" i="315"/>
  <c r="AB17" i="286"/>
  <c r="AB28" i="286"/>
  <c r="AB29" i="286"/>
  <c r="AB32" i="286"/>
  <c r="AB34" i="286"/>
  <c r="AB21" i="286"/>
  <c r="AB22" i="286"/>
  <c r="AB51" i="288"/>
  <c r="AC48" i="282"/>
  <c r="AC27" i="265"/>
  <c r="AC29" i="265"/>
  <c r="AC19" i="286"/>
  <c r="AB126" i="265"/>
  <c r="AB35" i="286"/>
  <c r="AB39" i="286"/>
  <c r="AB40" i="286"/>
  <c r="AB52" i="288"/>
  <c r="AB91" i="265"/>
  <c r="AE116" i="314"/>
  <c r="AE119" i="314"/>
  <c r="AE140" i="314"/>
  <c r="AD503" i="321"/>
  <c r="AD504" i="321"/>
  <c r="AD507" i="321"/>
  <c r="AD508" i="321"/>
  <c r="AD517" i="321"/>
  <c r="AE122" i="314"/>
  <c r="AE124" i="314"/>
  <c r="AE149" i="314"/>
  <c r="AE150" i="314"/>
  <c r="S91" i="277"/>
  <c r="AC37" i="286"/>
  <c r="AB127" i="265"/>
  <c r="S127" i="277"/>
  <c r="AB92" i="265"/>
  <c r="S126" i="277"/>
  <c r="AC13" i="286"/>
  <c r="AC44" i="282"/>
  <c r="AC49" i="282"/>
  <c r="AC52" i="282"/>
  <c r="AC53" i="282"/>
  <c r="AC55" i="282"/>
  <c r="AC56" i="282"/>
  <c r="AB92" i="277"/>
  <c r="AB93" i="265"/>
  <c r="AC31" i="286"/>
  <c r="S93" i="277"/>
  <c r="AE153" i="314"/>
  <c r="AE144" i="314"/>
  <c r="AD513" i="321"/>
  <c r="AD514" i="321"/>
  <c r="AD518" i="321"/>
  <c r="AD519" i="321"/>
  <c r="AD522" i="321"/>
  <c r="AD523" i="321"/>
  <c r="AD509" i="321"/>
  <c r="AD199" i="288"/>
  <c r="AD193" i="288"/>
  <c r="AD83" i="315"/>
  <c r="AD531" i="321"/>
  <c r="AD524" i="321"/>
  <c r="AD200" i="288"/>
  <c r="AD530" i="321"/>
  <c r="AD532" i="321"/>
  <c r="AB54" i="286"/>
  <c r="AB75" i="286"/>
  <c r="AB76" i="286"/>
  <c r="AB79" i="286"/>
  <c r="AB80" i="286"/>
  <c r="AC68" i="282"/>
  <c r="AC62" i="282"/>
  <c r="AC58" i="282"/>
  <c r="AC60" i="282"/>
  <c r="AC63" i="282"/>
  <c r="AC69" i="282"/>
  <c r="AC64" i="282"/>
  <c r="AC70" i="282"/>
  <c r="AD67" i="282"/>
  <c r="AB55" i="286"/>
  <c r="AB47" i="286"/>
  <c r="AB48" i="286"/>
  <c r="AB48" i="288"/>
  <c r="AB42" i="288"/>
  <c r="AB44" i="288"/>
  <c r="AB81" i="286"/>
  <c r="AB25" i="328"/>
  <c r="S45" i="328"/>
  <c r="AB56" i="286"/>
  <c r="AE527" i="321"/>
  <c r="AD120" i="315"/>
  <c r="AD84" i="315"/>
  <c r="AD85" i="315"/>
  <c r="AD87" i="286"/>
  <c r="AD88" i="286"/>
  <c r="AE496" i="321"/>
  <c r="AE498" i="321"/>
  <c r="AE521" i="321"/>
  <c r="AC53" i="286"/>
  <c r="AB58" i="286"/>
  <c r="AB64" i="286"/>
  <c r="AB107" i="265"/>
  <c r="AB35" i="265"/>
  <c r="AB95" i="265"/>
  <c r="AB47" i="288"/>
  <c r="AB54" i="288"/>
  <c r="AC45" i="286"/>
  <c r="AB128" i="265"/>
  <c r="AD59" i="282"/>
  <c r="AC75" i="282"/>
  <c r="AC76" i="282"/>
  <c r="AC77" i="282"/>
  <c r="S128" i="277"/>
  <c r="S129" i="277"/>
  <c r="S135" i="277"/>
  <c r="AB129" i="265"/>
  <c r="AB135" i="265"/>
  <c r="AC70" i="286"/>
  <c r="AB57" i="288"/>
  <c r="S95" i="277"/>
  <c r="AB96" i="265"/>
  <c r="S35" i="277"/>
  <c r="AB36" i="265"/>
  <c r="AB59" i="328"/>
  <c r="S70" i="328"/>
  <c r="S107" i="277"/>
  <c r="S112" i="277"/>
  <c r="S114" i="277"/>
  <c r="S134" i="277"/>
  <c r="AB112" i="265"/>
  <c r="AB114" i="265"/>
  <c r="AB134" i="265"/>
  <c r="AC458" i="321"/>
  <c r="AC48" i="314"/>
  <c r="AC9" i="286"/>
  <c r="AC74" i="286"/>
  <c r="AE499" i="321"/>
  <c r="AE103" i="282"/>
  <c r="AE108" i="282"/>
  <c r="AE512" i="321"/>
  <c r="AE506" i="321"/>
  <c r="AD91" i="286"/>
  <c r="AD93" i="286"/>
  <c r="AD104" i="286"/>
  <c r="AD94" i="286"/>
  <c r="AD105" i="286"/>
  <c r="AD106" i="286"/>
  <c r="AD109" i="286"/>
  <c r="AD111" i="286"/>
  <c r="AD98" i="286"/>
  <c r="AD99" i="286"/>
  <c r="AD201" i="288"/>
  <c r="AE116" i="282"/>
  <c r="AE25" i="315"/>
  <c r="AE27" i="315"/>
  <c r="AB137" i="265"/>
  <c r="AB136" i="265"/>
  <c r="S137" i="277"/>
  <c r="S136" i="277"/>
  <c r="S36" i="277"/>
  <c r="S96" i="277"/>
  <c r="AC46" i="265"/>
  <c r="AC31" i="265"/>
  <c r="AC33" i="265"/>
  <c r="AC47" i="265"/>
  <c r="AE112" i="282"/>
  <c r="AE117" i="282"/>
  <c r="AE96" i="286"/>
  <c r="AD122" i="315"/>
  <c r="AD112" i="286"/>
  <c r="AD116" i="286"/>
  <c r="AD117" i="286"/>
  <c r="AD202" i="288"/>
  <c r="AD87" i="315"/>
  <c r="AE114" i="286"/>
  <c r="AD123" i="315"/>
  <c r="AD88" i="315"/>
  <c r="AD89" i="315"/>
  <c r="AE90" i="286"/>
  <c r="AE120" i="282"/>
  <c r="AE121" i="282"/>
  <c r="AE123" i="282"/>
  <c r="AE124" i="282"/>
  <c r="AC27" i="288"/>
  <c r="AC29" i="288"/>
  <c r="AC65" i="265"/>
  <c r="AC71" i="286"/>
  <c r="AC72" i="286"/>
  <c r="AC78" i="286"/>
  <c r="AC46" i="286"/>
  <c r="AC77" i="265"/>
  <c r="AC85" i="288"/>
  <c r="AC65" i="288"/>
  <c r="AC68" i="288"/>
  <c r="AC113" i="288"/>
  <c r="AC10" i="321"/>
  <c r="AC12" i="321"/>
  <c r="AC20" i="328"/>
  <c r="AC32" i="288"/>
  <c r="AE136" i="282"/>
  <c r="AE130" i="282"/>
  <c r="AE126" i="282"/>
  <c r="AE128" i="282"/>
  <c r="AD131" i="286"/>
  <c r="AD143" i="286"/>
  <c r="AD144" i="286"/>
  <c r="AD147" i="286"/>
  <c r="AD148" i="286"/>
  <c r="AE108" i="286"/>
  <c r="AD132" i="286"/>
  <c r="AD124" i="286"/>
  <c r="AD125" i="286"/>
  <c r="AD198" i="288"/>
  <c r="AD192" i="288"/>
  <c r="AD194" i="288"/>
  <c r="AD149" i="286"/>
  <c r="AD133" i="286"/>
  <c r="AE131" i="282"/>
  <c r="AE137" i="282"/>
  <c r="AE132" i="282"/>
  <c r="AE138" i="282"/>
  <c r="AF135" i="282"/>
  <c r="AC39" i="311"/>
  <c r="AC70" i="288"/>
  <c r="AC57" i="328"/>
  <c r="AC87" i="288"/>
  <c r="AC89" i="288"/>
  <c r="AC92" i="288"/>
  <c r="AC94" i="288"/>
  <c r="AC49" i="314"/>
  <c r="AC51" i="314"/>
  <c r="AC53" i="314"/>
  <c r="AC54" i="314"/>
  <c r="AC64" i="314"/>
  <c r="AC66" i="314"/>
  <c r="AC56" i="314"/>
  <c r="AC58" i="314"/>
  <c r="AC80" i="311"/>
  <c r="AF127" i="282"/>
  <c r="AE143" i="282"/>
  <c r="AE144" i="282"/>
  <c r="AE130" i="286"/>
  <c r="AD103" i="315"/>
  <c r="AD108" i="315"/>
  <c r="AD110" i="315"/>
  <c r="AD130" i="315"/>
  <c r="AD33" i="315"/>
  <c r="AD34" i="315"/>
  <c r="AD91" i="315"/>
  <c r="AD92" i="315"/>
  <c r="AD197" i="288"/>
  <c r="AD204" i="288"/>
  <c r="AE122" i="286"/>
  <c r="AD124" i="315"/>
  <c r="AD125" i="315"/>
  <c r="AD131" i="315"/>
  <c r="AE138" i="286"/>
  <c r="AD207" i="288"/>
  <c r="AD133" i="315"/>
  <c r="AD132" i="315"/>
  <c r="AE502" i="321"/>
  <c r="AE127" i="314"/>
  <c r="AE86" i="286"/>
  <c r="AE142" i="286"/>
  <c r="AE145" i="282"/>
  <c r="AC60" i="314"/>
  <c r="AC62" i="314"/>
  <c r="AC67" i="314"/>
  <c r="AC82" i="314"/>
  <c r="AC79" i="265"/>
  <c r="AC73" i="314"/>
  <c r="AC75" i="314"/>
  <c r="AE44" i="315"/>
  <c r="AE45" i="315"/>
  <c r="AE29" i="315"/>
  <c r="AE31" i="315"/>
  <c r="AE139" i="286"/>
  <c r="AE140" i="286"/>
  <c r="AE146" i="286"/>
  <c r="AE123" i="286"/>
  <c r="AE177" i="288"/>
  <c r="AE179" i="288"/>
  <c r="AE63" i="315"/>
  <c r="AC80" i="265"/>
  <c r="AC83" i="314"/>
  <c r="AC84" i="314"/>
  <c r="AC82" i="265"/>
  <c r="AC85" i="265"/>
  <c r="AD81" i="314"/>
  <c r="AC111" i="265"/>
  <c r="AC60" i="328"/>
  <c r="AC87" i="314"/>
  <c r="AC90" i="314"/>
  <c r="AE73" i="315"/>
  <c r="AE235" i="288"/>
  <c r="AE215" i="288"/>
  <c r="AE218" i="288"/>
  <c r="AE220" i="288"/>
  <c r="AE263" i="288"/>
  <c r="AE182" i="288"/>
  <c r="AE237" i="288"/>
  <c r="AE239" i="288"/>
  <c r="AE242" i="288"/>
  <c r="AE244" i="288"/>
  <c r="AE128" i="314"/>
  <c r="AE130" i="314"/>
  <c r="AD37" i="314"/>
  <c r="AD40" i="314"/>
  <c r="AD61" i="314"/>
  <c r="AC459" i="321"/>
  <c r="AC460" i="321"/>
  <c r="AC463" i="321"/>
  <c r="AC464" i="321"/>
  <c r="AC473" i="321"/>
  <c r="AD43" i="314"/>
  <c r="AD45" i="314"/>
  <c r="AD70" i="314"/>
  <c r="AD71" i="314"/>
  <c r="AE132" i="314"/>
  <c r="AE133" i="314"/>
  <c r="AE143" i="314"/>
  <c r="AE145" i="314"/>
  <c r="AE135" i="314"/>
  <c r="AE137" i="314"/>
  <c r="AE139" i="314"/>
  <c r="AE141" i="314"/>
  <c r="AE146" i="314"/>
  <c r="AE161" i="314"/>
  <c r="AD74" i="314"/>
  <c r="AD65" i="314"/>
  <c r="AC469" i="321"/>
  <c r="AC470" i="321"/>
  <c r="AC474" i="321"/>
  <c r="AC475" i="321"/>
  <c r="AC478" i="321"/>
  <c r="AC479" i="321"/>
  <c r="AC465" i="321"/>
  <c r="AC49" i="288"/>
  <c r="AC43" i="288"/>
  <c r="AC23" i="328"/>
  <c r="AC87" i="265"/>
  <c r="AC487" i="321"/>
  <c r="AC480" i="321"/>
  <c r="AC50" i="288"/>
  <c r="AC24" i="328"/>
  <c r="AC486" i="321"/>
  <c r="AC488" i="321"/>
  <c r="AE75" i="315"/>
  <c r="AE152" i="314"/>
  <c r="AE154" i="314"/>
  <c r="AE76" i="315"/>
  <c r="AE162" i="314"/>
  <c r="AE163" i="314"/>
  <c r="AE78" i="315"/>
  <c r="AD483" i="321"/>
  <c r="AC124" i="265"/>
  <c r="AC88" i="265"/>
  <c r="AC89" i="265"/>
  <c r="AC10" i="286"/>
  <c r="AC11" i="286"/>
  <c r="AD452" i="321"/>
  <c r="AD454" i="321"/>
  <c r="AD477" i="321"/>
  <c r="AE81" i="315"/>
  <c r="AF160" i="314"/>
  <c r="AE107" i="315"/>
  <c r="AF116" i="314"/>
  <c r="AF119" i="314"/>
  <c r="AF140" i="314"/>
  <c r="AE503" i="321"/>
  <c r="AE504" i="321"/>
  <c r="AD455" i="321"/>
  <c r="AD35" i="282"/>
  <c r="AD40" i="282"/>
  <c r="AD468" i="321"/>
  <c r="AD462" i="321"/>
  <c r="AC14" i="286"/>
  <c r="AC16" i="286"/>
  <c r="AC27" i="286"/>
  <c r="AC17" i="286"/>
  <c r="AC28" i="286"/>
  <c r="AC29" i="286"/>
  <c r="AC32" i="286"/>
  <c r="AC34" i="286"/>
  <c r="AC21" i="286"/>
  <c r="AC22" i="286"/>
  <c r="AC51" i="288"/>
  <c r="AD48" i="282"/>
  <c r="AD27" i="265"/>
  <c r="AE507" i="321"/>
  <c r="AE508" i="321"/>
  <c r="AE517" i="321"/>
  <c r="AF122" i="314"/>
  <c r="AF124" i="314"/>
  <c r="AF149" i="314"/>
  <c r="AF150" i="314"/>
  <c r="AF153" i="314"/>
  <c r="AF144" i="314"/>
  <c r="AE513" i="321"/>
  <c r="AE514" i="321"/>
  <c r="AE518" i="321"/>
  <c r="AE519" i="321"/>
  <c r="AE522" i="321"/>
  <c r="AE523" i="321"/>
  <c r="AE509" i="321"/>
  <c r="AE199" i="288"/>
  <c r="AE193" i="288"/>
  <c r="AD29" i="265"/>
  <c r="T27" i="277"/>
  <c r="AD19" i="286"/>
  <c r="AC126" i="265"/>
  <c r="AC35" i="286"/>
  <c r="AC39" i="286"/>
  <c r="AC40" i="286"/>
  <c r="AC52" i="288"/>
  <c r="AC91" i="265"/>
  <c r="AD37" i="286"/>
  <c r="AC127" i="265"/>
  <c r="AC92" i="265"/>
  <c r="AD13" i="286"/>
  <c r="T29" i="277"/>
  <c r="AD44" i="282"/>
  <c r="AD49" i="282"/>
  <c r="AE83" i="315"/>
  <c r="AE531" i="321"/>
  <c r="AE524" i="321"/>
  <c r="AE200" i="288"/>
  <c r="AE530" i="321"/>
  <c r="AE532" i="321"/>
  <c r="AF527" i="321"/>
  <c r="AE120" i="315"/>
  <c r="AE84" i="315"/>
  <c r="AE85" i="315"/>
  <c r="AD52" i="282"/>
  <c r="AD53" i="282"/>
  <c r="AD55" i="282"/>
  <c r="AD56" i="282"/>
  <c r="AC92" i="277"/>
  <c r="AC93" i="265"/>
  <c r="AD31" i="286"/>
  <c r="AC54" i="286"/>
  <c r="AC75" i="286"/>
  <c r="AC76" i="286"/>
  <c r="AC79" i="286"/>
  <c r="AC80" i="286"/>
  <c r="AD68" i="282"/>
  <c r="AD62" i="282"/>
  <c r="AD58" i="282"/>
  <c r="AD60" i="282"/>
  <c r="AE87" i="286"/>
  <c r="AE88" i="286"/>
  <c r="AF496" i="321"/>
  <c r="AF498" i="321"/>
  <c r="AF521" i="321"/>
  <c r="AF499" i="321"/>
  <c r="AF103" i="282"/>
  <c r="AF108" i="282"/>
  <c r="AF512" i="321"/>
  <c r="AF506" i="321"/>
  <c r="AE91" i="286"/>
  <c r="AE93" i="286"/>
  <c r="AE104" i="286"/>
  <c r="AD63" i="282"/>
  <c r="AD69" i="282"/>
  <c r="AD64" i="282"/>
  <c r="AD70" i="282"/>
  <c r="AE67" i="282"/>
  <c r="AC55" i="286"/>
  <c r="AC47" i="286"/>
  <c r="AC48" i="286"/>
  <c r="AC48" i="288"/>
  <c r="AC42" i="288"/>
  <c r="AC44" i="288"/>
  <c r="AC81" i="286"/>
  <c r="AC25" i="328"/>
  <c r="AC56" i="286"/>
  <c r="AD53" i="286"/>
  <c r="AC58" i="286"/>
  <c r="AC64" i="286"/>
  <c r="AC107" i="265"/>
  <c r="AC35" i="265"/>
  <c r="AC95" i="265"/>
  <c r="AC47" i="288"/>
  <c r="AC54" i="288"/>
  <c r="AD45" i="286"/>
  <c r="AC128" i="265"/>
  <c r="AC129" i="265"/>
  <c r="AC135" i="265"/>
  <c r="AE59" i="282"/>
  <c r="AD75" i="282"/>
  <c r="AD76" i="282"/>
  <c r="AE94" i="286"/>
  <c r="AE105" i="286"/>
  <c r="AE106" i="286"/>
  <c r="AE109" i="286"/>
  <c r="AE111" i="286"/>
  <c r="AE98" i="286"/>
  <c r="AE99" i="286"/>
  <c r="AE201" i="288"/>
  <c r="AF116" i="282"/>
  <c r="AF25" i="315"/>
  <c r="AF27" i="315"/>
  <c r="AF112" i="282"/>
  <c r="AF117" i="282"/>
  <c r="AF96" i="286"/>
  <c r="AE122" i="315"/>
  <c r="AE112" i="286"/>
  <c r="AE116" i="286"/>
  <c r="AE117" i="286"/>
  <c r="AE202" i="288"/>
  <c r="AE87" i="315"/>
  <c r="AD77" i="282"/>
  <c r="AD70" i="286"/>
  <c r="AC57" i="288"/>
  <c r="AC96" i="265"/>
  <c r="AC36" i="265"/>
  <c r="AC59" i="328"/>
  <c r="AC112" i="265"/>
  <c r="AC114" i="265"/>
  <c r="AC134" i="265"/>
  <c r="AD458" i="321"/>
  <c r="AD48" i="314"/>
  <c r="AD9" i="286"/>
  <c r="AD74" i="286"/>
  <c r="AC137" i="265"/>
  <c r="AC136" i="265"/>
  <c r="AD46" i="265"/>
  <c r="AD31" i="265"/>
  <c r="AF114" i="286"/>
  <c r="AE123" i="315"/>
  <c r="AE88" i="315"/>
  <c r="AE89" i="315"/>
  <c r="AF90" i="286"/>
  <c r="AF120" i="282"/>
  <c r="AF121" i="282"/>
  <c r="AF123" i="282"/>
  <c r="AF124" i="282"/>
  <c r="AF136" i="282"/>
  <c r="AF130" i="282"/>
  <c r="AF126" i="282"/>
  <c r="AF128" i="282"/>
  <c r="AE131" i="286"/>
  <c r="AE143" i="286"/>
  <c r="AE144" i="286"/>
  <c r="AE147" i="286"/>
  <c r="AE148" i="286"/>
  <c r="AF108" i="286"/>
  <c r="T31" i="277"/>
  <c r="AD33" i="265"/>
  <c r="AD47" i="265"/>
  <c r="T46" i="277"/>
  <c r="T47" i="277"/>
  <c r="AD27" i="288"/>
  <c r="AD29" i="288"/>
  <c r="AD65" i="265"/>
  <c r="AD71" i="286"/>
  <c r="AD72" i="286"/>
  <c r="AD78" i="286"/>
  <c r="AD46" i="286"/>
  <c r="T33" i="277"/>
  <c r="AE132" i="286"/>
  <c r="AE124" i="286"/>
  <c r="AE125" i="286"/>
  <c r="AE198" i="288"/>
  <c r="AE192" i="288"/>
  <c r="AE194" i="288"/>
  <c r="AE149" i="286"/>
  <c r="AE133" i="286"/>
  <c r="AF131" i="282"/>
  <c r="AF137" i="282"/>
  <c r="AF132" i="282"/>
  <c r="AF138" i="282"/>
  <c r="AG135" i="282"/>
  <c r="AG127" i="282"/>
  <c r="AF143" i="282"/>
  <c r="AF144" i="282"/>
  <c r="AF130" i="286"/>
  <c r="AE103" i="315"/>
  <c r="AE108" i="315"/>
  <c r="AE110" i="315"/>
  <c r="AE130" i="315"/>
  <c r="AE33" i="315"/>
  <c r="AE34" i="315"/>
  <c r="AE91" i="315"/>
  <c r="AE92" i="315"/>
  <c r="AE197" i="288"/>
  <c r="AE204" i="288"/>
  <c r="AF122" i="286"/>
  <c r="AE124" i="315"/>
  <c r="AE125" i="315"/>
  <c r="AE131" i="315"/>
  <c r="AD77" i="265"/>
  <c r="AD85" i="288"/>
  <c r="AD65" i="288"/>
  <c r="AD68" i="288"/>
  <c r="AD113" i="288"/>
  <c r="AD10" i="321"/>
  <c r="AD12" i="321"/>
  <c r="AD20" i="328"/>
  <c r="T40" i="328"/>
  <c r="AD32" i="288"/>
  <c r="T65" i="277"/>
  <c r="T77" i="277"/>
  <c r="AD39" i="311"/>
  <c r="AD70" i="288"/>
  <c r="AD57" i="328"/>
  <c r="T68" i="328"/>
  <c r="AD87" i="288"/>
  <c r="AD89" i="288"/>
  <c r="AD92" i="288"/>
  <c r="AD94" i="288"/>
  <c r="AD49" i="314"/>
  <c r="AD51" i="314"/>
  <c r="AF138" i="286"/>
  <c r="AE207" i="288"/>
  <c r="AE133" i="315"/>
  <c r="AE132" i="315"/>
  <c r="AF502" i="321"/>
  <c r="AF127" i="314"/>
  <c r="AF86" i="286"/>
  <c r="AF142" i="286"/>
  <c r="AF145" i="282"/>
  <c r="AF44" i="315"/>
  <c r="AF45" i="315"/>
  <c r="AF29" i="315"/>
  <c r="AF31" i="315"/>
  <c r="AD53" i="314"/>
  <c r="AD54" i="314"/>
  <c r="AD64" i="314"/>
  <c r="AD66" i="314"/>
  <c r="AD56" i="314"/>
  <c r="AD58" i="314"/>
  <c r="AD80" i="311"/>
  <c r="AD60" i="314"/>
  <c r="AD62" i="314"/>
  <c r="AD67" i="314"/>
  <c r="AD82" i="314"/>
  <c r="AF139" i="286"/>
  <c r="AF140" i="286"/>
  <c r="AF146" i="286"/>
  <c r="AF123" i="286"/>
  <c r="AF177" i="288"/>
  <c r="AF179" i="288"/>
  <c r="AF63" i="315"/>
  <c r="AF73" i="315"/>
  <c r="AF235" i="288"/>
  <c r="AF215" i="288"/>
  <c r="AF218" i="288"/>
  <c r="AF220" i="288"/>
  <c r="AF263" i="288"/>
  <c r="AF182" i="288"/>
  <c r="AD79" i="265"/>
  <c r="AD73" i="314"/>
  <c r="AD75" i="314"/>
  <c r="AD80" i="265"/>
  <c r="T80" i="277"/>
  <c r="AD83" i="314"/>
  <c r="AD84" i="314"/>
  <c r="T79" i="277"/>
  <c r="AD82" i="265"/>
  <c r="AF237" i="288"/>
  <c r="AF239" i="288"/>
  <c r="AF242" i="288"/>
  <c r="AF244" i="288"/>
  <c r="AF128" i="314"/>
  <c r="AF130" i="314"/>
  <c r="AF132" i="314"/>
  <c r="AF133" i="314"/>
  <c r="AF143" i="314"/>
  <c r="AF145" i="314"/>
  <c r="AF135" i="314"/>
  <c r="AF137" i="314"/>
  <c r="AD85" i="265"/>
  <c r="T82" i="277"/>
  <c r="AE81" i="314"/>
  <c r="AD111" i="265"/>
  <c r="AD87" i="314"/>
  <c r="AD90" i="314"/>
  <c r="AD60" i="328"/>
  <c r="T71" i="328"/>
  <c r="T111" i="277"/>
  <c r="AE37" i="314"/>
  <c r="AE40" i="314"/>
  <c r="AE61" i="314"/>
  <c r="T85" i="277"/>
  <c r="AD459" i="321"/>
  <c r="AD460" i="321"/>
  <c r="AF139" i="314"/>
  <c r="AF141" i="314"/>
  <c r="AF146" i="314"/>
  <c r="AF161" i="314"/>
  <c r="AF75" i="315"/>
  <c r="AF152" i="314"/>
  <c r="AF154" i="314"/>
  <c r="AD463" i="321"/>
  <c r="AD464" i="321"/>
  <c r="AD473" i="321"/>
  <c r="AE43" i="314"/>
  <c r="AE45" i="314"/>
  <c r="AE70" i="314"/>
  <c r="AE71" i="314"/>
  <c r="AE74" i="314"/>
  <c r="AE65" i="314"/>
  <c r="AD469" i="321"/>
  <c r="AD470" i="321"/>
  <c r="AD474" i="321"/>
  <c r="AD475" i="321"/>
  <c r="AD478" i="321"/>
  <c r="AD479" i="321"/>
  <c r="AD465" i="321"/>
  <c r="AD49" i="288"/>
  <c r="AD43" i="288"/>
  <c r="AD23" i="328"/>
  <c r="T43" i="328"/>
  <c r="AF76" i="315"/>
  <c r="AF162" i="314"/>
  <c r="AF163" i="314"/>
  <c r="AF78" i="315"/>
  <c r="AF81" i="315"/>
  <c r="AG160" i="314"/>
  <c r="AF107" i="315"/>
  <c r="AD87" i="265"/>
  <c r="AD487" i="321"/>
  <c r="AD480" i="321"/>
  <c r="AD50" i="288"/>
  <c r="AD24" i="328"/>
  <c r="T44" i="328"/>
  <c r="AD486" i="321"/>
  <c r="AD488" i="321"/>
  <c r="AE483" i="321"/>
  <c r="AD124" i="265"/>
  <c r="AD88" i="265"/>
  <c r="T88" i="277"/>
  <c r="T87" i="277"/>
  <c r="AD89" i="265"/>
  <c r="AG116" i="314"/>
  <c r="AG119" i="314"/>
  <c r="AG140" i="314"/>
  <c r="AF503" i="321"/>
  <c r="AF504" i="321"/>
  <c r="AF507" i="321"/>
  <c r="AF508" i="321"/>
  <c r="AF517" i="321"/>
  <c r="AG122" i="314"/>
  <c r="AG124" i="314"/>
  <c r="AG149" i="314"/>
  <c r="AG150" i="314"/>
  <c r="AD10" i="286"/>
  <c r="AD11" i="286"/>
  <c r="T89" i="277"/>
  <c r="T124" i="277"/>
  <c r="AE452" i="321"/>
  <c r="AE454" i="321"/>
  <c r="AE477" i="321"/>
  <c r="AE455" i="321"/>
  <c r="AE35" i="282"/>
  <c r="AE40" i="282"/>
  <c r="AE468" i="321"/>
  <c r="AE462" i="321"/>
  <c r="AD14" i="286"/>
  <c r="AD16" i="286"/>
  <c r="AD27" i="286"/>
  <c r="AG153" i="314"/>
  <c r="AG144" i="314"/>
  <c r="AF513" i="321"/>
  <c r="AF514" i="321"/>
  <c r="AF518" i="321"/>
  <c r="AF519" i="321"/>
  <c r="AF522" i="321"/>
  <c r="AF523" i="321"/>
  <c r="AF509" i="321"/>
  <c r="AF199" i="288"/>
  <c r="AF193" i="288"/>
  <c r="AF83" i="315"/>
  <c r="AF531" i="321"/>
  <c r="AF524" i="321"/>
  <c r="AF200" i="288"/>
  <c r="AF530" i="321"/>
  <c r="AF532" i="321"/>
  <c r="AD17" i="286"/>
  <c r="AD28" i="286"/>
  <c r="AD29" i="286"/>
  <c r="AD32" i="286"/>
  <c r="AD34" i="286"/>
  <c r="AD21" i="286"/>
  <c r="AD22" i="286"/>
  <c r="AD51" i="288"/>
  <c r="AE48" i="282"/>
  <c r="AE27" i="265"/>
  <c r="AE29" i="265"/>
  <c r="AE19" i="286"/>
  <c r="AD126" i="265"/>
  <c r="AD35" i="286"/>
  <c r="AD39" i="286"/>
  <c r="AD40" i="286"/>
  <c r="AD52" i="288"/>
  <c r="AD91" i="265"/>
  <c r="AG527" i="321"/>
  <c r="AF120" i="315"/>
  <c r="AF84" i="315"/>
  <c r="AF85" i="315"/>
  <c r="AF87" i="286"/>
  <c r="AF88" i="286"/>
  <c r="AG496" i="321"/>
  <c r="AG498" i="321"/>
  <c r="AG521" i="321"/>
  <c r="T91" i="277"/>
  <c r="AE37" i="286"/>
  <c r="AD127" i="265"/>
  <c r="T127" i="277"/>
  <c r="AD92" i="265"/>
  <c r="T126" i="277"/>
  <c r="AE13" i="286"/>
  <c r="AE44" i="282"/>
  <c r="AE49" i="282"/>
  <c r="AE52" i="282"/>
  <c r="AE53" i="282"/>
  <c r="AE55" i="282"/>
  <c r="AE56" i="282"/>
  <c r="AD92" i="277"/>
  <c r="AD93" i="265"/>
  <c r="AE31" i="286"/>
  <c r="T93" i="277"/>
  <c r="AG499" i="321"/>
  <c r="AG103" i="282"/>
  <c r="AG108" i="282"/>
  <c r="AG512" i="321"/>
  <c r="AG506" i="321"/>
  <c r="AF91" i="286"/>
  <c r="AF93" i="286"/>
  <c r="AF104" i="286"/>
  <c r="AF94" i="286"/>
  <c r="AF105" i="286"/>
  <c r="AF106" i="286"/>
  <c r="AF109" i="286"/>
  <c r="AF111" i="286"/>
  <c r="AF98" i="286"/>
  <c r="AF99" i="286"/>
  <c r="AF201" i="288"/>
  <c r="AG116" i="282"/>
  <c r="AG25" i="315"/>
  <c r="AG27" i="315"/>
  <c r="AD54" i="286"/>
  <c r="AD75" i="286"/>
  <c r="AD76" i="286"/>
  <c r="AD79" i="286"/>
  <c r="AD80" i="286"/>
  <c r="AE68" i="282"/>
  <c r="AE62" i="282"/>
  <c r="AE58" i="282"/>
  <c r="AE60" i="282"/>
  <c r="AE63" i="282"/>
  <c r="AE69" i="282"/>
  <c r="AE64" i="282"/>
  <c r="AE70" i="282"/>
  <c r="AF67" i="282"/>
  <c r="AD55" i="286"/>
  <c r="AD47" i="286"/>
  <c r="AD48" i="286"/>
  <c r="AD48" i="288"/>
  <c r="AD42" i="288"/>
  <c r="AD44" i="288"/>
  <c r="AD81" i="286"/>
  <c r="AD25" i="328"/>
  <c r="T45" i="328"/>
  <c r="AD56" i="286"/>
  <c r="AG112" i="282"/>
  <c r="AG117" i="282"/>
  <c r="AG96" i="286"/>
  <c r="AF122" i="315"/>
  <c r="AF112" i="286"/>
  <c r="AF116" i="286"/>
  <c r="AF117" i="286"/>
  <c r="AF202" i="288"/>
  <c r="AF87" i="315"/>
  <c r="AG114" i="286"/>
  <c r="AF123" i="315"/>
  <c r="AF88" i="315"/>
  <c r="AF89" i="315"/>
  <c r="AG90" i="286"/>
  <c r="AG120" i="282"/>
  <c r="AG121" i="282"/>
  <c r="AG123" i="282"/>
  <c r="AG124" i="282"/>
  <c r="AE53" i="286"/>
  <c r="AD58" i="286"/>
  <c r="AD64" i="286"/>
  <c r="AD107" i="265"/>
  <c r="AD35" i="265"/>
  <c r="AD95" i="265"/>
  <c r="AD47" i="288"/>
  <c r="AD54" i="288"/>
  <c r="AE45" i="286"/>
  <c r="AD128" i="265"/>
  <c r="AF59" i="282"/>
  <c r="AE75" i="282"/>
  <c r="AE76" i="282"/>
  <c r="AE77" i="282"/>
  <c r="T128" i="277"/>
  <c r="T129" i="277"/>
  <c r="T135" i="277"/>
  <c r="AD129" i="265"/>
  <c r="AD135" i="265"/>
  <c r="AE70" i="286"/>
  <c r="AD57" i="288"/>
  <c r="T95" i="277"/>
  <c r="AD96" i="265"/>
  <c r="T35" i="277"/>
  <c r="AD36" i="265"/>
  <c r="AD59" i="328"/>
  <c r="T70" i="328"/>
  <c r="T107" i="277"/>
  <c r="T112" i="277"/>
  <c r="T114" i="277"/>
  <c r="T134" i="277"/>
  <c r="AD112" i="265"/>
  <c r="AD114" i="265"/>
  <c r="AD134" i="265"/>
  <c r="AE458" i="321"/>
  <c r="AE48" i="314"/>
  <c r="AE9" i="286"/>
  <c r="AE74" i="286"/>
  <c r="AG136" i="282"/>
  <c r="AG130" i="282"/>
  <c r="AG126" i="282"/>
  <c r="AG128" i="282"/>
  <c r="AF131" i="286"/>
  <c r="AF143" i="286"/>
  <c r="AF144" i="286"/>
  <c r="AF147" i="286"/>
  <c r="AF148" i="286"/>
  <c r="AG108" i="286"/>
  <c r="AF132" i="286"/>
  <c r="AF124" i="286"/>
  <c r="AF125" i="286"/>
  <c r="AF198" i="288"/>
  <c r="AF192" i="288"/>
  <c r="AF194" i="288"/>
  <c r="AF149" i="286"/>
  <c r="AF133" i="286"/>
  <c r="AG131" i="282"/>
  <c r="AG137" i="282"/>
  <c r="AG132" i="282"/>
  <c r="AG138" i="282"/>
  <c r="AH135" i="282"/>
  <c r="AD137" i="265"/>
  <c r="AD136" i="265"/>
  <c r="T137" i="277"/>
  <c r="T136" i="277"/>
  <c r="T36" i="277"/>
  <c r="T96" i="277"/>
  <c r="AE46" i="265"/>
  <c r="AE31" i="265"/>
  <c r="AE33" i="265"/>
  <c r="AE47" i="265"/>
  <c r="AH127" i="282"/>
  <c r="AG143" i="282"/>
  <c r="AG144" i="282"/>
  <c r="AG130" i="286"/>
  <c r="AF103" i="315"/>
  <c r="AF108" i="315"/>
  <c r="AF110" i="315"/>
  <c r="AF130" i="315"/>
  <c r="AF33" i="315"/>
  <c r="AF34" i="315"/>
  <c r="AF91" i="315"/>
  <c r="AF92" i="315"/>
  <c r="AF197" i="288"/>
  <c r="AF204" i="288"/>
  <c r="AG122" i="286"/>
  <c r="AF124" i="315"/>
  <c r="AF125" i="315"/>
  <c r="AF131" i="315"/>
  <c r="AG138" i="286"/>
  <c r="AF207" i="288"/>
  <c r="AF133" i="315"/>
  <c r="AF132" i="315"/>
  <c r="AG502" i="321"/>
  <c r="AG127" i="314"/>
  <c r="AG86" i="286"/>
  <c r="AG142" i="286"/>
  <c r="AG145" i="282"/>
  <c r="AE27" i="288"/>
  <c r="AE29" i="288"/>
  <c r="AE65" i="265"/>
  <c r="AE71" i="286"/>
  <c r="AE72" i="286"/>
  <c r="AE78" i="286"/>
  <c r="AE46" i="286"/>
  <c r="AE77" i="265"/>
  <c r="AE85" i="288"/>
  <c r="AE65" i="288"/>
  <c r="AE68" i="288"/>
  <c r="AE113" i="288"/>
  <c r="AE10" i="321"/>
  <c r="AE12" i="321"/>
  <c r="AE20" i="328"/>
  <c r="AE32" i="288"/>
  <c r="AG44" i="315"/>
  <c r="AG45" i="315"/>
  <c r="AG29" i="315"/>
  <c r="AG31" i="315"/>
  <c r="AG139" i="286"/>
  <c r="AG140" i="286"/>
  <c r="AG146" i="286"/>
  <c r="AG123" i="286"/>
  <c r="AG177" i="288"/>
  <c r="AG179" i="288"/>
  <c r="AG63" i="315"/>
  <c r="AE39" i="311"/>
  <c r="AE70" i="288"/>
  <c r="AE57" i="328"/>
  <c r="AE87" i="288"/>
  <c r="AE89" i="288"/>
  <c r="AE92" i="288"/>
  <c r="AE94" i="288"/>
  <c r="AE49" i="314"/>
  <c r="AE51" i="314"/>
  <c r="AE53" i="314"/>
  <c r="AE54" i="314"/>
  <c r="AE64" i="314"/>
  <c r="AE66" i="314"/>
  <c r="AE56" i="314"/>
  <c r="AE58" i="314"/>
  <c r="AE80" i="311"/>
  <c r="AG73" i="315"/>
  <c r="AG235" i="288"/>
  <c r="AG215" i="288"/>
  <c r="AG218" i="288"/>
  <c r="AG220" i="288"/>
  <c r="AG263" i="288"/>
  <c r="AG182" i="288"/>
  <c r="AG237" i="288"/>
  <c r="AG239" i="288"/>
  <c r="AG242" i="288"/>
  <c r="AG244" i="288"/>
  <c r="AG128" i="314"/>
  <c r="AG130" i="314"/>
  <c r="AE60" i="314"/>
  <c r="AE62" i="314"/>
  <c r="AE67" i="314"/>
  <c r="AE82" i="314"/>
  <c r="AE79" i="265"/>
  <c r="AE73" i="314"/>
  <c r="AE75" i="314"/>
  <c r="AG132" i="314"/>
  <c r="AG133" i="314"/>
  <c r="AG143" i="314"/>
  <c r="AG145" i="314"/>
  <c r="AG135" i="314"/>
  <c r="AG137" i="314"/>
  <c r="AG139" i="314"/>
  <c r="AG141" i="314"/>
  <c r="AG146" i="314"/>
  <c r="AG161" i="314"/>
  <c r="AE80" i="265"/>
  <c r="AE83" i="314"/>
  <c r="AE84" i="314"/>
  <c r="AE82" i="265"/>
  <c r="AE85" i="265"/>
  <c r="AF81" i="314"/>
  <c r="AE111" i="265"/>
  <c r="AE60" i="328"/>
  <c r="AE87" i="314"/>
  <c r="AE90" i="314"/>
  <c r="AG75" i="315"/>
  <c r="AG152" i="314"/>
  <c r="AG154" i="314"/>
  <c r="AG76" i="315"/>
  <c r="AG162" i="314"/>
  <c r="AG163" i="314"/>
  <c r="AG78" i="315"/>
  <c r="AF37" i="314"/>
  <c r="AF40" i="314"/>
  <c r="AF61" i="314"/>
  <c r="AE459" i="321"/>
  <c r="AE460" i="321"/>
  <c r="AE463" i="321"/>
  <c r="AE464" i="321"/>
  <c r="AE473" i="321"/>
  <c r="AF43" i="314"/>
  <c r="AF45" i="314"/>
  <c r="AF70" i="314"/>
  <c r="AF71" i="314"/>
  <c r="AG81" i="315"/>
  <c r="AH160" i="314"/>
  <c r="AG107" i="315"/>
  <c r="AH116" i="314"/>
  <c r="AH119" i="314"/>
  <c r="AH140" i="314"/>
  <c r="AG503" i="321"/>
  <c r="AG504" i="321"/>
  <c r="AF74" i="314"/>
  <c r="AF65" i="314"/>
  <c r="AE469" i="321"/>
  <c r="AE470" i="321"/>
  <c r="AE474" i="321"/>
  <c r="AE475" i="321"/>
  <c r="AE478" i="321"/>
  <c r="AE479" i="321"/>
  <c r="AE465" i="321"/>
  <c r="AE49" i="288"/>
  <c r="AE43" i="288"/>
  <c r="AE23" i="328"/>
  <c r="AE87" i="265"/>
  <c r="AE487" i="321"/>
  <c r="AE480" i="321"/>
  <c r="AE50" i="288"/>
  <c r="AE24" i="328"/>
  <c r="AE486" i="321"/>
  <c r="AE488" i="321"/>
  <c r="AG507" i="321"/>
  <c r="AG508" i="321"/>
  <c r="AG517" i="321"/>
  <c r="AH122" i="314"/>
  <c r="AH124" i="314"/>
  <c r="AH149" i="314"/>
  <c r="AH150" i="314"/>
  <c r="AH153" i="314"/>
  <c r="AH144" i="314"/>
  <c r="AG513" i="321"/>
  <c r="AG514" i="321"/>
  <c r="AG518" i="321"/>
  <c r="AG519" i="321"/>
  <c r="AG522" i="321"/>
  <c r="AG523" i="321"/>
  <c r="AG509" i="321"/>
  <c r="AG199" i="288"/>
  <c r="AG193" i="288"/>
  <c r="AF483" i="321"/>
  <c r="AE124" i="265"/>
  <c r="AE88" i="265"/>
  <c r="AE89" i="265"/>
  <c r="AE10" i="286"/>
  <c r="AE11" i="286"/>
  <c r="AF452" i="321"/>
  <c r="AF454" i="321"/>
  <c r="AF477" i="321"/>
  <c r="AG83" i="315"/>
  <c r="AG531" i="321"/>
  <c r="AG524" i="321"/>
  <c r="AG200" i="288"/>
  <c r="AG530" i="321"/>
  <c r="AG532" i="321"/>
  <c r="AH527" i="321"/>
  <c r="AG120" i="315"/>
  <c r="AG84" i="315"/>
  <c r="AG85" i="315"/>
  <c r="AF455" i="321"/>
  <c r="AF35" i="282"/>
  <c r="AF40" i="282"/>
  <c r="AF468" i="321"/>
  <c r="AF462" i="321"/>
  <c r="AE14" i="286"/>
  <c r="AE16" i="286"/>
  <c r="AE27" i="286"/>
  <c r="AE17" i="286"/>
  <c r="AE28" i="286"/>
  <c r="AE29" i="286"/>
  <c r="AE32" i="286"/>
  <c r="AE34" i="286"/>
  <c r="AE21" i="286"/>
  <c r="AE22" i="286"/>
  <c r="AE51" i="288"/>
  <c r="AF48" i="282"/>
  <c r="AF27" i="265"/>
  <c r="AG87" i="286"/>
  <c r="AG88" i="286"/>
  <c r="AH496" i="321"/>
  <c r="AH498" i="321"/>
  <c r="AH521" i="321"/>
  <c r="AH499" i="321"/>
  <c r="AH103" i="282"/>
  <c r="AH108" i="282"/>
  <c r="AH512" i="321"/>
  <c r="AH506" i="321"/>
  <c r="AG91" i="286"/>
  <c r="AG93" i="286"/>
  <c r="AG104" i="286"/>
  <c r="AF29" i="265"/>
  <c r="U27" i="277"/>
  <c r="AF19" i="286"/>
  <c r="AE126" i="265"/>
  <c r="AE35" i="286"/>
  <c r="AE39" i="286"/>
  <c r="AE40" i="286"/>
  <c r="AE52" i="288"/>
  <c r="AE91" i="265"/>
  <c r="AF37" i="286"/>
  <c r="AE127" i="265"/>
  <c r="AE92" i="265"/>
  <c r="AF13" i="286"/>
  <c r="U29" i="277"/>
  <c r="AF44" i="282"/>
  <c r="AF49" i="282"/>
  <c r="AG94" i="286"/>
  <c r="AG105" i="286"/>
  <c r="AG106" i="286"/>
  <c r="AG109" i="286"/>
  <c r="AG111" i="286"/>
  <c r="AG98" i="286"/>
  <c r="AG99" i="286"/>
  <c r="AG201" i="288"/>
  <c r="AH116" i="282"/>
  <c r="AH25" i="315"/>
  <c r="AH27" i="315"/>
  <c r="AH112" i="282"/>
  <c r="AH117" i="282"/>
  <c r="AH96" i="286"/>
  <c r="AG122" i="315"/>
  <c r="AG112" i="286"/>
  <c r="AG116" i="286"/>
  <c r="AG117" i="286"/>
  <c r="AG202" i="288"/>
  <c r="AG87" i="315"/>
  <c r="AF52" i="282"/>
  <c r="AF53" i="282"/>
  <c r="AF55" i="282"/>
  <c r="AF56" i="282"/>
  <c r="AE92" i="277"/>
  <c r="AE93" i="265"/>
  <c r="AF31" i="286"/>
  <c r="AE54" i="286"/>
  <c r="AE75" i="286"/>
  <c r="AE76" i="286"/>
  <c r="AE79" i="286"/>
  <c r="AE80" i="286"/>
  <c r="AF68" i="282"/>
  <c r="AF62" i="282"/>
  <c r="AF58" i="282"/>
  <c r="AF60" i="282"/>
  <c r="AH114" i="286"/>
  <c r="AG123" i="315"/>
  <c r="AG88" i="315"/>
  <c r="AG89" i="315"/>
  <c r="AH90" i="286"/>
  <c r="AH120" i="282"/>
  <c r="AH121" i="282"/>
  <c r="AH123" i="282"/>
  <c r="AH124" i="282"/>
  <c r="AH136" i="282"/>
  <c r="AH130" i="282"/>
  <c r="AH126" i="282"/>
  <c r="AH128" i="282"/>
  <c r="AG131" i="286"/>
  <c r="AG143" i="286"/>
  <c r="AG144" i="286"/>
  <c r="AG147" i="286"/>
  <c r="AG148" i="286"/>
  <c r="AH108" i="286"/>
  <c r="AF63" i="282"/>
  <c r="AF69" i="282"/>
  <c r="AF64" i="282"/>
  <c r="AF70" i="282"/>
  <c r="AG67" i="282"/>
  <c r="AE55" i="286"/>
  <c r="AE47" i="286"/>
  <c r="AE48" i="286"/>
  <c r="AE48" i="288"/>
  <c r="AE42" i="288"/>
  <c r="AE44" i="288"/>
  <c r="AE81" i="286"/>
  <c r="AE25" i="328"/>
  <c r="AE56" i="286"/>
  <c r="AF53" i="286"/>
  <c r="AE58" i="286"/>
  <c r="AE64" i="286"/>
  <c r="AE107" i="265"/>
  <c r="AE35" i="265"/>
  <c r="AE95" i="265"/>
  <c r="AE47" i="288"/>
  <c r="AE54" i="288"/>
  <c r="AF45" i="286"/>
  <c r="AE128" i="265"/>
  <c r="AE129" i="265"/>
  <c r="AE135" i="265"/>
  <c r="AG59" i="282"/>
  <c r="AF75" i="282"/>
  <c r="AF76" i="282"/>
  <c r="AG132" i="286"/>
  <c r="AG124" i="286"/>
  <c r="AG125" i="286"/>
  <c r="AG198" i="288"/>
  <c r="AG192" i="288"/>
  <c r="AG194" i="288"/>
  <c r="AG149" i="286"/>
  <c r="AG133" i="286"/>
  <c r="AH131" i="282"/>
  <c r="AH137" i="282"/>
  <c r="AH132" i="282"/>
  <c r="AH138" i="282"/>
  <c r="AI135" i="282"/>
  <c r="AI127" i="282"/>
  <c r="AH143" i="282"/>
  <c r="AH144" i="282"/>
  <c r="AH130" i="286"/>
  <c r="AG103" i="315"/>
  <c r="AG108" i="315"/>
  <c r="AG110" i="315"/>
  <c r="AG130" i="315"/>
  <c r="AG33" i="315"/>
  <c r="AG34" i="315"/>
  <c r="AG91" i="315"/>
  <c r="AG92" i="315"/>
  <c r="AG197" i="288"/>
  <c r="AG204" i="288"/>
  <c r="AH122" i="286"/>
  <c r="AG124" i="315"/>
  <c r="AG125" i="315"/>
  <c r="AG131" i="315"/>
  <c r="AF77" i="282"/>
  <c r="AF70" i="286"/>
  <c r="AE57" i="288"/>
  <c r="AE96" i="265"/>
  <c r="AE36" i="265"/>
  <c r="AE59" i="328"/>
  <c r="AE112" i="265"/>
  <c r="AE114" i="265"/>
  <c r="AE134" i="265"/>
  <c r="AF458" i="321"/>
  <c r="AF48" i="314"/>
  <c r="AF9" i="286"/>
  <c r="AF74" i="286"/>
  <c r="AE137" i="265"/>
  <c r="AE136" i="265"/>
  <c r="AF46" i="265"/>
  <c r="AF31" i="265"/>
  <c r="AH138" i="286"/>
  <c r="AG207" i="288"/>
  <c r="AG133" i="315"/>
  <c r="AG132" i="315"/>
  <c r="AH502" i="321"/>
  <c r="AH127" i="314"/>
  <c r="AH86" i="286"/>
  <c r="AH142" i="286"/>
  <c r="AH145" i="282"/>
  <c r="AH44" i="315"/>
  <c r="AH45" i="315"/>
  <c r="AH29" i="315"/>
  <c r="AH31" i="315"/>
  <c r="U31" i="277"/>
  <c r="AF33" i="265"/>
  <c r="AF47" i="265"/>
  <c r="U46" i="277"/>
  <c r="U47" i="277"/>
  <c r="AF27" i="288"/>
  <c r="AF29" i="288"/>
  <c r="AF65" i="265"/>
  <c r="AF71" i="286"/>
  <c r="AF72" i="286"/>
  <c r="AF78" i="286"/>
  <c r="AF46" i="286"/>
  <c r="U33" i="277"/>
  <c r="AH139" i="286"/>
  <c r="AH140" i="286"/>
  <c r="AH146" i="286"/>
  <c r="AH123" i="286"/>
  <c r="AH177" i="288"/>
  <c r="AH179" i="288"/>
  <c r="AH63" i="315"/>
  <c r="AH73" i="315"/>
  <c r="AH235" i="288"/>
  <c r="AH215" i="288"/>
  <c r="AH218" i="288"/>
  <c r="AH220" i="288"/>
  <c r="AH263" i="288"/>
  <c r="AH182" i="288"/>
  <c r="AF77" i="265"/>
  <c r="AF85" i="288"/>
  <c r="AF65" i="288"/>
  <c r="AF68" i="288"/>
  <c r="AF113" i="288"/>
  <c r="AF10" i="321"/>
  <c r="AF12" i="321"/>
  <c r="AF20" i="328"/>
  <c r="U40" i="328"/>
  <c r="AF32" i="288"/>
  <c r="U65" i="277"/>
  <c r="U77" i="277"/>
  <c r="AF39" i="311"/>
  <c r="AF70" i="288"/>
  <c r="AF57" i="328"/>
  <c r="U68" i="328"/>
  <c r="AF87" i="288"/>
  <c r="AF89" i="288"/>
  <c r="AF92" i="288"/>
  <c r="AF94" i="288"/>
  <c r="AF49" i="314"/>
  <c r="AF51" i="314"/>
  <c r="AH237" i="288"/>
  <c r="AH239" i="288"/>
  <c r="AH242" i="288"/>
  <c r="AH244" i="288"/>
  <c r="AH128" i="314"/>
  <c r="AH130" i="314"/>
  <c r="AH132" i="314"/>
  <c r="AH133" i="314"/>
  <c r="AH143" i="314"/>
  <c r="AH145" i="314"/>
  <c r="AH135" i="314"/>
  <c r="AH137" i="314"/>
  <c r="AF53" i="314"/>
  <c r="AF54" i="314"/>
  <c r="AF64" i="314"/>
  <c r="AF66" i="314"/>
  <c r="AF56" i="314"/>
  <c r="AF58" i="314"/>
  <c r="AF80" i="311"/>
  <c r="AF60" i="314"/>
  <c r="AF62" i="314"/>
  <c r="AF67" i="314"/>
  <c r="AF82" i="314"/>
  <c r="AH139" i="314"/>
  <c r="AH141" i="314"/>
  <c r="AH146" i="314"/>
  <c r="AH161" i="314"/>
  <c r="AH75" i="315"/>
  <c r="AH152" i="314"/>
  <c r="AH154" i="314"/>
  <c r="AF79" i="265"/>
  <c r="AF73" i="314"/>
  <c r="AF75" i="314"/>
  <c r="AF80" i="265"/>
  <c r="U80" i="277"/>
  <c r="AF83" i="314"/>
  <c r="AF84" i="314"/>
  <c r="U79" i="277"/>
  <c r="AF82" i="265"/>
  <c r="AH76" i="315"/>
  <c r="AH162" i="314"/>
  <c r="AH163" i="314"/>
  <c r="AH78" i="315"/>
  <c r="AH81" i="315"/>
  <c r="AI160" i="314"/>
  <c r="AH107" i="315"/>
  <c r="AF85" i="265"/>
  <c r="U82" i="277"/>
  <c r="AG81" i="314"/>
  <c r="AF111" i="265"/>
  <c r="AF87" i="314"/>
  <c r="AF90" i="314"/>
  <c r="AF60" i="328"/>
  <c r="U71" i="328"/>
  <c r="U111" i="277"/>
  <c r="AG37" i="314"/>
  <c r="AG40" i="314"/>
  <c r="AG61" i="314"/>
  <c r="U85" i="277"/>
  <c r="AF459" i="321"/>
  <c r="AF460" i="321"/>
  <c r="AI116" i="314"/>
  <c r="AI119" i="314"/>
  <c r="AI140" i="314"/>
  <c r="AH503" i="321"/>
  <c r="AH504" i="321"/>
  <c r="AH507" i="321"/>
  <c r="AH508" i="321"/>
  <c r="AH517" i="321"/>
  <c r="AI122" i="314"/>
  <c r="AI124" i="314"/>
  <c r="AI149" i="314"/>
  <c r="AI150" i="314"/>
  <c r="AF463" i="321"/>
  <c r="AF464" i="321"/>
  <c r="AF473" i="321"/>
  <c r="AG43" i="314"/>
  <c r="AG45" i="314"/>
  <c r="AG70" i="314"/>
  <c r="AG71" i="314"/>
  <c r="AG74" i="314"/>
  <c r="AG65" i="314"/>
  <c r="AF469" i="321"/>
  <c r="AF470" i="321"/>
  <c r="AF474" i="321"/>
  <c r="AF475" i="321"/>
  <c r="AF478" i="321"/>
  <c r="AF479" i="321"/>
  <c r="AF465" i="321"/>
  <c r="AF49" i="288"/>
  <c r="AF43" i="288"/>
  <c r="AF23" i="328"/>
  <c r="U43" i="328"/>
  <c r="AI153" i="314"/>
  <c r="AI144" i="314"/>
  <c r="AH513" i="321"/>
  <c r="AH514" i="321"/>
  <c r="AH518" i="321"/>
  <c r="AH519" i="321"/>
  <c r="AH522" i="321"/>
  <c r="AH523" i="321"/>
  <c r="AH509" i="321"/>
  <c r="AH199" i="288"/>
  <c r="AH193" i="288"/>
  <c r="AH83" i="315"/>
  <c r="AH531" i="321"/>
  <c r="AH524" i="321"/>
  <c r="AH200" i="288"/>
  <c r="AH530" i="321"/>
  <c r="AH532" i="321"/>
  <c r="AF87" i="265"/>
  <c r="AF487" i="321"/>
  <c r="AF480" i="321"/>
  <c r="AF50" i="288"/>
  <c r="AF24" i="328"/>
  <c r="U44" i="328"/>
  <c r="AF486" i="321"/>
  <c r="AF488" i="321"/>
  <c r="AG483" i="321"/>
  <c r="AF124" i="265"/>
  <c r="AF88" i="265"/>
  <c r="U88" i="277"/>
  <c r="U87" i="277"/>
  <c r="AF89" i="265"/>
  <c r="AI527" i="321"/>
  <c r="AH120" i="315"/>
  <c r="AH84" i="315"/>
  <c r="AH85" i="315"/>
  <c r="AH87" i="286"/>
  <c r="AH88" i="286"/>
  <c r="AI496" i="321"/>
  <c r="AI498" i="321"/>
  <c r="AI521" i="321"/>
  <c r="AF10" i="286"/>
  <c r="AF11" i="286"/>
  <c r="U89" i="277"/>
  <c r="U124" i="277"/>
  <c r="AG452" i="321"/>
  <c r="AG454" i="321"/>
  <c r="AG477" i="321"/>
  <c r="AG455" i="321"/>
  <c r="AG35" i="282"/>
  <c r="AG40" i="282"/>
  <c r="AG468" i="321"/>
  <c r="AG462" i="321"/>
  <c r="AF14" i="286"/>
  <c r="AF16" i="286"/>
  <c r="AF27" i="286"/>
  <c r="AI499" i="321"/>
  <c r="AI103" i="282"/>
  <c r="AI108" i="282"/>
  <c r="AI512" i="321"/>
  <c r="AI506" i="321"/>
  <c r="AH91" i="286"/>
  <c r="AH93" i="286"/>
  <c r="AH104" i="286"/>
  <c r="AH94" i="286"/>
  <c r="AH105" i="286"/>
  <c r="AH106" i="286"/>
  <c r="AH109" i="286"/>
  <c r="AH111" i="286"/>
  <c r="AH98" i="286"/>
  <c r="AH99" i="286"/>
  <c r="AH201" i="288"/>
  <c r="AI116" i="282"/>
  <c r="AI25" i="315"/>
  <c r="AI27" i="315"/>
  <c r="AF17" i="286"/>
  <c r="AF28" i="286"/>
  <c r="AF29" i="286"/>
  <c r="AF32" i="286"/>
  <c r="AF34" i="286"/>
  <c r="AF21" i="286"/>
  <c r="AF22" i="286"/>
  <c r="AF51" i="288"/>
  <c r="AG48" i="282"/>
  <c r="AG27" i="265"/>
  <c r="AG29" i="265"/>
  <c r="AG19" i="286"/>
  <c r="AF126" i="265"/>
  <c r="AF35" i="286"/>
  <c r="AF39" i="286"/>
  <c r="AF40" i="286"/>
  <c r="AF52" i="288"/>
  <c r="AF91" i="265"/>
  <c r="AI112" i="282"/>
  <c r="AI117" i="282"/>
  <c r="AI96" i="286"/>
  <c r="AH122" i="315"/>
  <c r="AH112" i="286"/>
  <c r="AH116" i="286"/>
  <c r="AH117" i="286"/>
  <c r="AH202" i="288"/>
  <c r="AH87" i="315"/>
  <c r="AI114" i="286"/>
  <c r="AH123" i="315"/>
  <c r="AH88" i="315"/>
  <c r="AH89" i="315"/>
  <c r="AI90" i="286"/>
  <c r="AI120" i="282"/>
  <c r="AI121" i="282"/>
  <c r="AI123" i="282"/>
  <c r="AI124" i="282"/>
  <c r="U91" i="277"/>
  <c r="AG37" i="286"/>
  <c r="AF127" i="265"/>
  <c r="U127" i="277"/>
  <c r="AF92" i="265"/>
  <c r="U126" i="277"/>
  <c r="AG13" i="286"/>
  <c r="AG44" i="282"/>
  <c r="AG49" i="282"/>
  <c r="AG52" i="282"/>
  <c r="AG53" i="282"/>
  <c r="AG55" i="282"/>
  <c r="AG56" i="282"/>
  <c r="AF92" i="277"/>
  <c r="AF93" i="265"/>
  <c r="AG31" i="286"/>
  <c r="U93" i="277"/>
  <c r="AI136" i="282"/>
  <c r="AI130" i="282"/>
  <c r="AI126" i="282"/>
  <c r="AI128" i="282"/>
  <c r="AH131" i="286"/>
  <c r="AH143" i="286"/>
  <c r="AH144" i="286"/>
  <c r="AH147" i="286"/>
  <c r="AH148" i="286"/>
  <c r="AI108" i="286"/>
  <c r="AH132" i="286"/>
  <c r="AH124" i="286"/>
  <c r="AH125" i="286"/>
  <c r="AH198" i="288"/>
  <c r="AH192" i="288"/>
  <c r="AH194" i="288"/>
  <c r="AH149" i="286"/>
  <c r="AH133" i="286"/>
  <c r="AI131" i="282"/>
  <c r="AI137" i="282"/>
  <c r="AI132" i="282"/>
  <c r="AI138" i="282"/>
  <c r="AJ135" i="282"/>
  <c r="AF54" i="286"/>
  <c r="AF75" i="286"/>
  <c r="AF76" i="286"/>
  <c r="AF79" i="286"/>
  <c r="AF80" i="286"/>
  <c r="AG68" i="282"/>
  <c r="AG62" i="282"/>
  <c r="AG58" i="282"/>
  <c r="AG60" i="282"/>
  <c r="AG63" i="282"/>
  <c r="AG69" i="282"/>
  <c r="AG64" i="282"/>
  <c r="AG70" i="282"/>
  <c r="AH67" i="282"/>
  <c r="AF55" i="286"/>
  <c r="AF47" i="286"/>
  <c r="AF48" i="286"/>
  <c r="AF48" i="288"/>
  <c r="AF42" i="288"/>
  <c r="AF44" i="288"/>
  <c r="AF81" i="286"/>
  <c r="AF25" i="328"/>
  <c r="U45" i="328"/>
  <c r="AF56" i="286"/>
  <c r="AJ127" i="282"/>
  <c r="AI143" i="282"/>
  <c r="AI144" i="282"/>
  <c r="AI130" i="286"/>
  <c r="AH103" i="315"/>
  <c r="AH108" i="315"/>
  <c r="AH110" i="315"/>
  <c r="AH130" i="315"/>
  <c r="AH33" i="315"/>
  <c r="AH34" i="315"/>
  <c r="AH91" i="315"/>
  <c r="AH92" i="315"/>
  <c r="AH197" i="288"/>
  <c r="AH204" i="288"/>
  <c r="AI122" i="286"/>
  <c r="AH124" i="315"/>
  <c r="AH125" i="315"/>
  <c r="AH131" i="315"/>
  <c r="AI138" i="286"/>
  <c r="AH207" i="288"/>
  <c r="AH133" i="315"/>
  <c r="AH132" i="315"/>
  <c r="AI502" i="321"/>
  <c r="AI127" i="314"/>
  <c r="AI86" i="286"/>
  <c r="AI142" i="286"/>
  <c r="AI145" i="282"/>
  <c r="AG53" i="286"/>
  <c r="AF58" i="286"/>
  <c r="AF64" i="286"/>
  <c r="AF107" i="265"/>
  <c r="AF35" i="265"/>
  <c r="AF95" i="265"/>
  <c r="AF47" i="288"/>
  <c r="AF54" i="288"/>
  <c r="AG45" i="286"/>
  <c r="AF128" i="265"/>
  <c r="AH59" i="282"/>
  <c r="AG75" i="282"/>
  <c r="AG76" i="282"/>
  <c r="AG77" i="282"/>
  <c r="U128" i="277"/>
  <c r="U129" i="277"/>
  <c r="U135" i="277"/>
  <c r="AF129" i="265"/>
  <c r="AF135" i="265"/>
  <c r="AG70" i="286"/>
  <c r="AF57" i="288"/>
  <c r="U95" i="277"/>
  <c r="AF96" i="265"/>
  <c r="U35" i="277"/>
  <c r="AF36" i="265"/>
  <c r="AF59" i="328"/>
  <c r="U70" i="328"/>
  <c r="U107" i="277"/>
  <c r="U112" i="277"/>
  <c r="U114" i="277"/>
  <c r="U134" i="277"/>
  <c r="AF112" i="265"/>
  <c r="AF114" i="265"/>
  <c r="AF134" i="265"/>
  <c r="AG458" i="321"/>
  <c r="AG48" i="314"/>
  <c r="AG9" i="286"/>
  <c r="AG74" i="286"/>
  <c r="AI44" i="315"/>
  <c r="AI45" i="315"/>
  <c r="AI29" i="315"/>
  <c r="AI31" i="315"/>
  <c r="AI139" i="286"/>
  <c r="AI140" i="286"/>
  <c r="AI146" i="286"/>
  <c r="AI123" i="286"/>
  <c r="AI177" i="288"/>
  <c r="AI179" i="288"/>
  <c r="AI63" i="315"/>
  <c r="AF137" i="265"/>
  <c r="AF136" i="265"/>
  <c r="U137" i="277"/>
  <c r="U136" i="277"/>
  <c r="U36" i="277"/>
  <c r="U96" i="277"/>
  <c r="AG46" i="265"/>
  <c r="AG31" i="265"/>
  <c r="AG33" i="265"/>
  <c r="AG47" i="265"/>
  <c r="AI73" i="315"/>
  <c r="AI235" i="288"/>
  <c r="AI215" i="288"/>
  <c r="AI218" i="288"/>
  <c r="AI220" i="288"/>
  <c r="AI263" i="288"/>
  <c r="AI182" i="288"/>
  <c r="AI237" i="288"/>
  <c r="AI239" i="288"/>
  <c r="AI242" i="288"/>
  <c r="AI244" i="288"/>
  <c r="AI128" i="314"/>
  <c r="AI130" i="314"/>
  <c r="AG27" i="288"/>
  <c r="AG29" i="288"/>
  <c r="AG65" i="265"/>
  <c r="AG71" i="286"/>
  <c r="AG72" i="286"/>
  <c r="AG78" i="286"/>
  <c r="AG46" i="286"/>
  <c r="AG77" i="265"/>
  <c r="AG85" i="288"/>
  <c r="AG65" i="288"/>
  <c r="AG68" i="288"/>
  <c r="AG113" i="288"/>
  <c r="AG10" i="321"/>
  <c r="AG12" i="321"/>
  <c r="AG20" i="328"/>
  <c r="AG32" i="288"/>
  <c r="AI132" i="314"/>
  <c r="AI133" i="314"/>
  <c r="AI143" i="314"/>
  <c r="AI145" i="314"/>
  <c r="AI135" i="314"/>
  <c r="AI137" i="314"/>
  <c r="AI139" i="314"/>
  <c r="AI141" i="314"/>
  <c r="AI146" i="314"/>
  <c r="AI161" i="314"/>
  <c r="AG39" i="311"/>
  <c r="AG70" i="288"/>
  <c r="AG57" i="328"/>
  <c r="AG87" i="288"/>
  <c r="AG89" i="288"/>
  <c r="AG92" i="288"/>
  <c r="AG94" i="288"/>
  <c r="AG49" i="314"/>
  <c r="AG51" i="314"/>
  <c r="AG53" i="314"/>
  <c r="AG54" i="314"/>
  <c r="AG64" i="314"/>
  <c r="AG66" i="314"/>
  <c r="AG56" i="314"/>
  <c r="AG58" i="314"/>
  <c r="AG80" i="311"/>
  <c r="AI75" i="315"/>
  <c r="AI152" i="314"/>
  <c r="AI154" i="314"/>
  <c r="BE32" i="307"/>
  <c r="BE35" i="311"/>
  <c r="BE79" i="311"/>
  <c r="BE49" i="310"/>
  <c r="BE64" i="310"/>
  <c r="BE50" i="310"/>
  <c r="BE69" i="310"/>
  <c r="BD49" i="310"/>
  <c r="BD64" i="310"/>
  <c r="BD50" i="310"/>
  <c r="BD69" i="310"/>
  <c r="BD32" i="307"/>
  <c r="BD35" i="311"/>
  <c r="BD79" i="311"/>
  <c r="BC32" i="307"/>
  <c r="BC35" i="311"/>
  <c r="BC79" i="311"/>
  <c r="BC49" i="310"/>
  <c r="BC64" i="310"/>
  <c r="BC50" i="310"/>
  <c r="BC69" i="310"/>
  <c r="BB32" i="307"/>
  <c r="BB35" i="311"/>
  <c r="BB79" i="311"/>
  <c r="BB49" i="310"/>
  <c r="BB64" i="310"/>
  <c r="BB50" i="310"/>
  <c r="BB69" i="310"/>
  <c r="BA32" i="307"/>
  <c r="BA35" i="311"/>
  <c r="BA79" i="311"/>
  <c r="BA49" i="310"/>
  <c r="BA64" i="310"/>
  <c r="BA50" i="310"/>
  <c r="BA69" i="310"/>
  <c r="AZ32" i="307"/>
  <c r="AZ35" i="311"/>
  <c r="AZ79" i="311"/>
  <c r="AZ49" i="310"/>
  <c r="AZ64" i="310"/>
  <c r="AZ50" i="310"/>
  <c r="AZ69" i="310"/>
  <c r="AY32" i="307"/>
  <c r="AY35" i="311"/>
  <c r="AY79" i="311"/>
  <c r="AY49" i="310"/>
  <c r="AY64" i="310"/>
  <c r="AY50" i="310"/>
  <c r="AY69" i="310"/>
  <c r="AX49" i="310"/>
  <c r="AX64" i="310"/>
  <c r="AX50" i="310"/>
  <c r="AX69" i="310"/>
  <c r="AX32" i="307"/>
  <c r="AX35" i="311"/>
  <c r="AX79" i="311"/>
  <c r="AW49" i="310"/>
  <c r="AW64" i="310"/>
  <c r="AW50" i="310"/>
  <c r="AW69" i="310"/>
  <c r="AW32" i="307"/>
  <c r="AW35" i="311"/>
  <c r="AW79" i="311"/>
  <c r="AV49" i="310"/>
  <c r="AV64" i="310"/>
  <c r="AV50" i="310"/>
  <c r="AV69" i="310"/>
  <c r="AV32" i="307"/>
  <c r="AV35" i="311"/>
  <c r="AV79" i="311"/>
  <c r="AU32" i="307"/>
  <c r="AU35" i="311"/>
  <c r="AU79" i="311"/>
  <c r="AU49" i="310"/>
  <c r="AU64" i="310"/>
  <c r="AU50" i="310"/>
  <c r="AU69" i="310"/>
  <c r="AT49" i="310"/>
  <c r="AT64" i="310"/>
  <c r="AT50" i="310"/>
  <c r="AT69" i="310"/>
  <c r="AT32" i="307"/>
  <c r="AT35" i="311"/>
  <c r="AT79" i="311"/>
  <c r="AS49" i="310"/>
  <c r="AS64" i="310"/>
  <c r="AS50" i="310"/>
  <c r="AS69" i="310"/>
  <c r="AS32" i="307"/>
  <c r="AS35" i="311"/>
  <c r="AS79" i="311"/>
  <c r="AR49" i="310"/>
  <c r="AR64" i="310"/>
  <c r="AR50" i="310"/>
  <c r="AR69" i="310"/>
  <c r="AR32" i="307"/>
  <c r="AR35" i="311"/>
  <c r="AR79" i="311"/>
  <c r="AQ49" i="310"/>
  <c r="AQ64" i="310"/>
  <c r="AQ50" i="310"/>
  <c r="AQ69" i="310"/>
  <c r="AQ32" i="307"/>
  <c r="AQ35" i="311"/>
  <c r="AQ79" i="311"/>
  <c r="AP49" i="310"/>
  <c r="AP64" i="310"/>
  <c r="AP50" i="310"/>
  <c r="AP69" i="310"/>
  <c r="AP32" i="307"/>
  <c r="AP35" i="311"/>
  <c r="AP79" i="311"/>
  <c r="AO49" i="310"/>
  <c r="AO64" i="310"/>
  <c r="AO50" i="310"/>
  <c r="AO69" i="310"/>
  <c r="AO32" i="307"/>
  <c r="AO35" i="311"/>
  <c r="AO79" i="311"/>
  <c r="AN32" i="307"/>
  <c r="AN35" i="311"/>
  <c r="AN79" i="311"/>
  <c r="AN49" i="310"/>
  <c r="AN64" i="310"/>
  <c r="AN50" i="310"/>
  <c r="AN69" i="310"/>
  <c r="AM32" i="307"/>
  <c r="AM35" i="311"/>
  <c r="AM79" i="311"/>
  <c r="AM49" i="310"/>
  <c r="AM64" i="310"/>
  <c r="AM50" i="310"/>
  <c r="AM69" i="310"/>
  <c r="AL32" i="307"/>
  <c r="AL35" i="311"/>
  <c r="AL79" i="311"/>
  <c r="AL49" i="310"/>
  <c r="AL64" i="310"/>
  <c r="AL50" i="310"/>
  <c r="AL69" i="310"/>
  <c r="AK49" i="310"/>
  <c r="AK64" i="310"/>
  <c r="AK50" i="310"/>
  <c r="AK69" i="310"/>
  <c r="AK32" i="307"/>
  <c r="AK35" i="311"/>
  <c r="AK79" i="311"/>
  <c r="AJ32" i="307"/>
  <c r="AJ35" i="311"/>
  <c r="AJ79" i="311"/>
  <c r="AJ49" i="310"/>
  <c r="AJ64" i="310"/>
  <c r="AJ50" i="310"/>
  <c r="AJ69" i="310"/>
  <c r="AI49" i="310"/>
  <c r="AI64" i="310"/>
  <c r="AI50" i="310"/>
  <c r="AI69" i="310"/>
  <c r="AI32" i="307"/>
  <c r="AI35" i="311"/>
  <c r="AI79" i="311"/>
  <c r="AH32" i="307"/>
  <c r="AH35" i="311"/>
  <c r="AH79" i="311"/>
  <c r="AH49" i="310"/>
  <c r="AH64" i="310"/>
  <c r="AH50" i="310"/>
  <c r="AH69" i="310"/>
  <c r="AG32" i="307"/>
  <c r="AG35" i="311"/>
  <c r="AG79" i="311"/>
  <c r="AG49" i="310"/>
  <c r="AG64" i="310"/>
  <c r="AG50" i="310"/>
  <c r="AG69" i="310"/>
  <c r="AF49" i="310"/>
  <c r="AF64" i="310"/>
  <c r="AF50" i="310"/>
  <c r="AF69" i="310"/>
  <c r="AF32" i="307"/>
  <c r="AF35" i="311"/>
  <c r="AF79" i="311"/>
  <c r="AE49" i="310"/>
  <c r="AE64" i="310"/>
  <c r="AE50" i="310"/>
  <c r="AE69" i="310"/>
  <c r="AE32" i="307"/>
  <c r="AE35" i="311"/>
  <c r="AE79" i="311"/>
  <c r="AD32" i="307"/>
  <c r="AD35" i="311"/>
  <c r="AD79" i="311"/>
  <c r="AD49" i="310"/>
  <c r="AD64" i="310"/>
  <c r="AD50" i="310"/>
  <c r="AD69" i="310"/>
  <c r="AC32" i="307"/>
  <c r="AC35" i="311"/>
  <c r="AC79" i="311"/>
  <c r="AC49" i="310"/>
  <c r="AC64" i="310"/>
  <c r="AC50" i="310"/>
  <c r="AC69" i="310"/>
  <c r="AB49" i="310"/>
  <c r="AB64" i="310"/>
  <c r="AB50" i="310"/>
  <c r="AB69" i="310"/>
  <c r="AB32" i="307"/>
  <c r="AB35" i="311"/>
  <c r="AB79" i="311"/>
  <c r="AA49" i="310"/>
  <c r="AA64" i="310"/>
  <c r="AA50" i="310"/>
  <c r="AA69" i="310"/>
  <c r="AA32" i="307"/>
  <c r="AA35" i="311"/>
  <c r="AA79" i="311"/>
  <c r="Z49" i="310"/>
  <c r="Z64" i="310"/>
  <c r="Z50" i="310"/>
  <c r="Z69" i="310"/>
  <c r="Z32" i="307"/>
  <c r="Z35" i="311"/>
  <c r="Z79" i="311"/>
  <c r="Y32" i="307"/>
  <c r="Y35" i="311"/>
  <c r="Y79" i="311"/>
  <c r="Y49" i="310"/>
  <c r="Y64" i="310"/>
  <c r="Y50" i="310"/>
  <c r="Y69" i="310"/>
  <c r="X49" i="310"/>
  <c r="X64" i="310"/>
  <c r="X50" i="310"/>
  <c r="X69" i="310"/>
  <c r="X32" i="307"/>
  <c r="X35" i="311"/>
  <c r="X79" i="311"/>
  <c r="W32" i="307"/>
  <c r="W35" i="311"/>
  <c r="W79" i="311"/>
  <c r="W49" i="310"/>
  <c r="W64" i="310"/>
  <c r="W50" i="310"/>
  <c r="W69" i="310"/>
  <c r="V49" i="310"/>
  <c r="V64" i="310"/>
  <c r="V50" i="310"/>
  <c r="V69" i="310"/>
  <c r="V32" i="307"/>
  <c r="V35" i="311"/>
  <c r="V79" i="311"/>
  <c r="U49" i="310"/>
  <c r="U64" i="310"/>
  <c r="U50" i="310"/>
  <c r="U69" i="310"/>
  <c r="U32" i="307"/>
  <c r="U35" i="311"/>
  <c r="U79" i="311"/>
  <c r="T49" i="310"/>
  <c r="T64" i="310"/>
  <c r="T50" i="310"/>
  <c r="T69" i="310"/>
  <c r="T32" i="307"/>
  <c r="T35" i="311"/>
  <c r="T79" i="311"/>
  <c r="S32" i="307"/>
  <c r="S35" i="311"/>
  <c r="S79" i="311"/>
  <c r="S49" i="310"/>
  <c r="S64" i="310"/>
  <c r="S50" i="310"/>
  <c r="S69" i="310"/>
  <c r="R49" i="310"/>
  <c r="R64" i="310"/>
  <c r="R50" i="310"/>
  <c r="R69" i="310"/>
  <c r="R32" i="307"/>
  <c r="R35" i="311"/>
  <c r="R79" i="311"/>
  <c r="Q49" i="310"/>
  <c r="Q64" i="310"/>
  <c r="Q50" i="310"/>
  <c r="Q69" i="310"/>
  <c r="Q32" i="307"/>
  <c r="Q35" i="311"/>
  <c r="Q79" i="311"/>
  <c r="P32" i="307"/>
  <c r="P35" i="311"/>
  <c r="P79" i="311"/>
  <c r="P49" i="310"/>
  <c r="P64" i="310"/>
  <c r="P50" i="310"/>
  <c r="P69" i="310"/>
  <c r="O32" i="307"/>
  <c r="O35" i="311"/>
  <c r="O79" i="311"/>
  <c r="O49" i="310"/>
  <c r="O64" i="310"/>
  <c r="O50" i="310"/>
  <c r="O69" i="310"/>
  <c r="N32" i="307"/>
  <c r="N35" i="311"/>
  <c r="N79" i="311"/>
  <c r="N49" i="310"/>
  <c r="N64" i="310"/>
  <c r="N50" i="310"/>
  <c r="N69" i="310"/>
  <c r="M49" i="310"/>
  <c r="M64" i="310"/>
  <c r="M50" i="310"/>
  <c r="M69" i="310"/>
  <c r="M32" i="307"/>
  <c r="M35" i="311"/>
  <c r="M79" i="311"/>
  <c r="L49" i="310"/>
  <c r="L64" i="310"/>
  <c r="L50" i="310"/>
  <c r="L69" i="310"/>
  <c r="L32" i="307"/>
  <c r="L35" i="311"/>
  <c r="L79" i="311"/>
  <c r="K49" i="310"/>
  <c r="K64" i="310"/>
  <c r="K50" i="310"/>
  <c r="K69" i="310"/>
  <c r="K32" i="307"/>
  <c r="K35" i="311"/>
  <c r="K79" i="311"/>
  <c r="J49" i="310"/>
  <c r="J64" i="310"/>
  <c r="J65" i="310"/>
  <c r="J69" i="310"/>
  <c r="J70" i="310"/>
  <c r="J71" i="310"/>
  <c r="K68" i="310"/>
  <c r="K62" i="310"/>
  <c r="K65" i="310"/>
  <c r="K70" i="310"/>
  <c r="K71" i="310"/>
  <c r="L68" i="310"/>
  <c r="L62" i="310"/>
  <c r="L65" i="310"/>
  <c r="L70" i="310"/>
  <c r="L71" i="310"/>
  <c r="M68" i="310"/>
  <c r="M62" i="310"/>
  <c r="M65" i="310"/>
  <c r="M70" i="310"/>
  <c r="M71" i="310"/>
  <c r="N68" i="310"/>
  <c r="N62" i="310"/>
  <c r="N65" i="310"/>
  <c r="N70" i="310"/>
  <c r="N71" i="310"/>
  <c r="O68" i="310"/>
  <c r="O62" i="310"/>
  <c r="O65" i="310"/>
  <c r="O70" i="310"/>
  <c r="O71" i="310"/>
  <c r="P68" i="310"/>
  <c r="P62" i="310"/>
  <c r="P65" i="310"/>
  <c r="P70" i="310"/>
  <c r="P71" i="310"/>
  <c r="Q68" i="310"/>
  <c r="Q62" i="310"/>
  <c r="Q65" i="310"/>
  <c r="Q70" i="310"/>
  <c r="Q71" i="310"/>
  <c r="R68" i="310"/>
  <c r="R62" i="310"/>
  <c r="R65" i="310"/>
  <c r="R70" i="310"/>
  <c r="R71" i="310"/>
  <c r="S68" i="310"/>
  <c r="S62" i="310"/>
  <c r="S65" i="310"/>
  <c r="S70" i="310"/>
  <c r="S71" i="310"/>
  <c r="T68" i="310"/>
  <c r="T62" i="310"/>
  <c r="T65" i="310"/>
  <c r="T70" i="310"/>
  <c r="T71" i="310"/>
  <c r="U68" i="310"/>
  <c r="U62" i="310"/>
  <c r="U65" i="310"/>
  <c r="U70" i="310"/>
  <c r="U71" i="310"/>
  <c r="V68" i="310"/>
  <c r="V62" i="310"/>
  <c r="V65" i="310"/>
  <c r="V70" i="310"/>
  <c r="V71" i="310"/>
  <c r="W68" i="310"/>
  <c r="W62" i="310"/>
  <c r="W65" i="310"/>
  <c r="W70" i="310"/>
  <c r="W71" i="310"/>
  <c r="X68" i="310"/>
  <c r="X62" i="310"/>
  <c r="X65" i="310"/>
  <c r="X70" i="310"/>
  <c r="X71" i="310"/>
  <c r="Y68" i="310"/>
  <c r="Y62" i="310"/>
  <c r="Y65" i="310"/>
  <c r="Y70" i="310"/>
  <c r="Y71" i="310"/>
  <c r="Z68" i="310"/>
  <c r="Z62" i="310"/>
  <c r="Z65" i="310"/>
  <c r="Z70" i="310"/>
  <c r="Z71" i="310"/>
  <c r="AA68" i="310"/>
  <c r="AA62" i="310"/>
  <c r="AA65" i="310"/>
  <c r="AA70" i="310"/>
  <c r="AA71" i="310"/>
  <c r="AB68" i="310"/>
  <c r="AB62" i="310"/>
  <c r="AB65" i="310"/>
  <c r="AB70" i="310"/>
  <c r="AB71" i="310"/>
  <c r="AC68" i="310"/>
  <c r="AC62" i="310"/>
  <c r="AC65" i="310"/>
  <c r="AC70" i="310"/>
  <c r="AC71" i="310"/>
  <c r="AD68" i="310"/>
  <c r="AD62" i="310"/>
  <c r="AD65" i="310"/>
  <c r="AD70" i="310"/>
  <c r="AD71" i="310"/>
  <c r="AE68" i="310"/>
  <c r="AE62" i="310"/>
  <c r="AE65" i="310"/>
  <c r="AE70" i="310"/>
  <c r="AE71" i="310"/>
  <c r="AF68" i="310"/>
  <c r="AF62" i="310"/>
  <c r="AF65" i="310"/>
  <c r="AF70" i="310"/>
  <c r="AF71" i="310"/>
  <c r="AG68" i="310"/>
  <c r="AG62" i="310"/>
  <c r="AG65" i="310"/>
  <c r="AG70" i="310"/>
  <c r="AG71" i="310"/>
  <c r="AH68" i="310"/>
  <c r="AH62" i="310"/>
  <c r="AH65" i="310"/>
  <c r="AH70" i="310"/>
  <c r="AH71" i="310"/>
  <c r="AI68" i="310"/>
  <c r="AI62" i="310"/>
  <c r="AI65" i="310"/>
  <c r="AI70" i="310"/>
  <c r="AI71" i="310"/>
  <c r="AJ68" i="310"/>
  <c r="AJ62" i="310"/>
  <c r="AJ65" i="310"/>
  <c r="AJ70" i="310"/>
  <c r="AJ71" i="310"/>
  <c r="AK68" i="310"/>
  <c r="AK62" i="310"/>
  <c r="AK65" i="310"/>
  <c r="AK70" i="310"/>
  <c r="AK71" i="310"/>
  <c r="AL68" i="310"/>
  <c r="AL62" i="310"/>
  <c r="AL65" i="310"/>
  <c r="AL70" i="310"/>
  <c r="AL71" i="310"/>
  <c r="AM68" i="310"/>
  <c r="AM62" i="310"/>
  <c r="AM65" i="310"/>
  <c r="AM70" i="310"/>
  <c r="AM71" i="310"/>
  <c r="AN68" i="310"/>
  <c r="AN62" i="310"/>
  <c r="AN65" i="310"/>
  <c r="AN70" i="310"/>
  <c r="AN71" i="310"/>
  <c r="AO68" i="310"/>
  <c r="AO62" i="310"/>
  <c r="AO65" i="310"/>
  <c r="AO70" i="310"/>
  <c r="AO71" i="310"/>
  <c r="AP68" i="310"/>
  <c r="AP62" i="310"/>
  <c r="AP65" i="310"/>
  <c r="AP70" i="310"/>
  <c r="AP71" i="310"/>
  <c r="AQ68" i="310"/>
  <c r="AQ62" i="310"/>
  <c r="AQ65" i="310"/>
  <c r="AQ70" i="310"/>
  <c r="AQ71" i="310"/>
  <c r="AR68" i="310"/>
  <c r="AR62" i="310"/>
  <c r="AR65" i="310"/>
  <c r="AR70" i="310"/>
  <c r="AR71" i="310"/>
  <c r="AS68" i="310"/>
  <c r="AS62" i="310"/>
  <c r="AS65" i="310"/>
  <c r="AS70" i="310"/>
  <c r="AS71" i="310"/>
  <c r="AT68" i="310"/>
  <c r="AT62" i="310"/>
  <c r="AT65" i="310"/>
  <c r="AT70" i="310"/>
  <c r="AT71" i="310"/>
  <c r="AU68" i="310"/>
  <c r="AU62" i="310"/>
  <c r="AU65" i="310"/>
  <c r="AU70" i="310"/>
  <c r="AU71" i="310"/>
  <c r="AV68" i="310"/>
  <c r="AV62" i="310"/>
  <c r="AV65" i="310"/>
  <c r="AV70" i="310"/>
  <c r="AV71" i="310"/>
  <c r="AW68" i="310"/>
  <c r="AW62" i="310"/>
  <c r="AW65" i="310"/>
  <c r="AW70" i="310"/>
  <c r="AW71" i="310"/>
  <c r="AX68" i="310"/>
  <c r="AX62" i="310"/>
  <c r="AX65" i="310"/>
  <c r="AX70" i="310"/>
  <c r="AX71" i="310"/>
  <c r="AY68" i="310"/>
  <c r="AY62" i="310"/>
  <c r="AY65" i="310"/>
  <c r="AY70" i="310"/>
  <c r="AY71" i="310"/>
  <c r="AZ68" i="310"/>
  <c r="AZ62" i="310"/>
  <c r="AZ65" i="310"/>
  <c r="AZ70" i="310"/>
  <c r="AZ71" i="310"/>
  <c r="BA68" i="310"/>
  <c r="BA62" i="310"/>
  <c r="BA65" i="310"/>
  <c r="BA70" i="310"/>
  <c r="BA71" i="310"/>
  <c r="BB68" i="310"/>
  <c r="BB62" i="310"/>
  <c r="BB65" i="310"/>
  <c r="BB70" i="310"/>
  <c r="BB71" i="310"/>
  <c r="BC68" i="310"/>
  <c r="BC62" i="310"/>
  <c r="BC65" i="310"/>
  <c r="BC70" i="310"/>
  <c r="BC71" i="310"/>
  <c r="BD68" i="310"/>
  <c r="BD62" i="310"/>
  <c r="BD65" i="310"/>
  <c r="BD70" i="310"/>
  <c r="BD71" i="310"/>
  <c r="BE68" i="310"/>
  <c r="BE62" i="310"/>
  <c r="BE65" i="310"/>
  <c r="H65" i="310"/>
  <c r="H70" i="310"/>
  <c r="H48" i="310"/>
  <c r="J48" i="310"/>
  <c r="J50" i="310"/>
  <c r="J51" i="310"/>
  <c r="K48" i="310"/>
  <c r="K51" i="310"/>
  <c r="L48" i="310"/>
  <c r="L51" i="310"/>
  <c r="M48" i="310"/>
  <c r="M51" i="310"/>
  <c r="N48" i="310"/>
  <c r="N51" i="310"/>
  <c r="O48" i="310"/>
  <c r="O51" i="310"/>
  <c r="P48" i="310"/>
  <c r="P51" i="310"/>
  <c r="Q48" i="310"/>
  <c r="Q51" i="310"/>
  <c r="R48" i="310"/>
  <c r="R51" i="310"/>
  <c r="S48" i="310"/>
  <c r="S51" i="310"/>
  <c r="T48" i="310"/>
  <c r="T51" i="310"/>
  <c r="U48" i="310"/>
  <c r="U51" i="310"/>
  <c r="V48" i="310"/>
  <c r="V51" i="310"/>
  <c r="W48" i="310"/>
  <c r="W51" i="310"/>
  <c r="X48" i="310"/>
  <c r="X51" i="310"/>
  <c r="Y48" i="310"/>
  <c r="Y51" i="310"/>
  <c r="Z48" i="310"/>
  <c r="Z51" i="310"/>
  <c r="AA48" i="310"/>
  <c r="AA51" i="310"/>
  <c r="AB48" i="310"/>
  <c r="AB51" i="310"/>
  <c r="AC48" i="310"/>
  <c r="AC51" i="310"/>
  <c r="AD48" i="310"/>
  <c r="AD51" i="310"/>
  <c r="AE48" i="310"/>
  <c r="AE51" i="310"/>
  <c r="AF48" i="310"/>
  <c r="AF51" i="310"/>
  <c r="AG48" i="310"/>
  <c r="AG51" i="310"/>
  <c r="AH48" i="310"/>
  <c r="AH51" i="310"/>
  <c r="AI48" i="310"/>
  <c r="AI51" i="310"/>
  <c r="AJ48" i="310"/>
  <c r="AJ51" i="310"/>
  <c r="AK48" i="310"/>
  <c r="AK51" i="310"/>
  <c r="AL48" i="310"/>
  <c r="AL51" i="310"/>
  <c r="AM48" i="310"/>
  <c r="AM51" i="310"/>
  <c r="AN48" i="310"/>
  <c r="AN51" i="310"/>
  <c r="AO48" i="310"/>
  <c r="AO51" i="310"/>
  <c r="AP48" i="310"/>
  <c r="AP51" i="310"/>
  <c r="AQ48" i="310"/>
  <c r="AQ51" i="310"/>
  <c r="AR48" i="310"/>
  <c r="AR51" i="310"/>
  <c r="AS48" i="310"/>
  <c r="AS51" i="310"/>
  <c r="AT48" i="310"/>
  <c r="AT51" i="310"/>
  <c r="AU48" i="310"/>
  <c r="AU51" i="310"/>
  <c r="AV48" i="310"/>
  <c r="AV51" i="310"/>
  <c r="AW48" i="310"/>
  <c r="AW51" i="310"/>
  <c r="AX48" i="310"/>
  <c r="AX51" i="310"/>
  <c r="AY48" i="310"/>
  <c r="AY51" i="310"/>
  <c r="AZ48" i="310"/>
  <c r="AZ51" i="310"/>
  <c r="BA48" i="310"/>
  <c r="BA51" i="310"/>
  <c r="BB48" i="310"/>
  <c r="BB51" i="310"/>
  <c r="BC48" i="310"/>
  <c r="BC51" i="310"/>
  <c r="BD48" i="310"/>
  <c r="BD51" i="310"/>
  <c r="BE48" i="310"/>
  <c r="BE51" i="310"/>
  <c r="H51" i="310"/>
  <c r="H53" i="310"/>
  <c r="J53" i="310"/>
  <c r="J54" i="310"/>
  <c r="K53" i="310"/>
  <c r="K54" i="310"/>
  <c r="L53" i="310"/>
  <c r="L54" i="310"/>
  <c r="M53" i="310"/>
  <c r="M54" i="310"/>
  <c r="N53" i="310"/>
  <c r="N54" i="310"/>
  <c r="O53" i="310"/>
  <c r="O54" i="310"/>
  <c r="P53" i="310"/>
  <c r="P54" i="310"/>
  <c r="Q53" i="310"/>
  <c r="Q54" i="310"/>
  <c r="R53" i="310"/>
  <c r="R54" i="310"/>
  <c r="S53" i="310"/>
  <c r="S54" i="310"/>
  <c r="T53" i="310"/>
  <c r="T54" i="310"/>
  <c r="U53" i="310"/>
  <c r="U54" i="310"/>
  <c r="V53" i="310"/>
  <c r="V54" i="310"/>
  <c r="W53" i="310"/>
  <c r="W54" i="310"/>
  <c r="X53" i="310"/>
  <c r="X54" i="310"/>
  <c r="Y53" i="310"/>
  <c r="Y54" i="310"/>
  <c r="Z53" i="310"/>
  <c r="Z54" i="310"/>
  <c r="AA53" i="310"/>
  <c r="AA54" i="310"/>
  <c r="AB53" i="310"/>
  <c r="AB54" i="310"/>
  <c r="AC53" i="310"/>
  <c r="AC54" i="310"/>
  <c r="AD53" i="310"/>
  <c r="AD54" i="310"/>
  <c r="AE53" i="310"/>
  <c r="AE54" i="310"/>
  <c r="AF53" i="310"/>
  <c r="AF54" i="310"/>
  <c r="AG53" i="310"/>
  <c r="AG54" i="310"/>
  <c r="AH53" i="310"/>
  <c r="AH54" i="310"/>
  <c r="AI53" i="310"/>
  <c r="AI54" i="310"/>
  <c r="AJ53" i="310"/>
  <c r="AJ54" i="310"/>
  <c r="AK53" i="310"/>
  <c r="AK54" i="310"/>
  <c r="AL53" i="310"/>
  <c r="AL54" i="310"/>
  <c r="AM53" i="310"/>
  <c r="AM54" i="310"/>
  <c r="AN53" i="310"/>
  <c r="AN54" i="310"/>
  <c r="AO53" i="310"/>
  <c r="AO54" i="310"/>
  <c r="AP53" i="310"/>
  <c r="AP54" i="310"/>
  <c r="AQ53" i="310"/>
  <c r="AQ54" i="310"/>
  <c r="AR53" i="310"/>
  <c r="AR54" i="310"/>
  <c r="AS53" i="310"/>
  <c r="AS54" i="310"/>
  <c r="AT53" i="310"/>
  <c r="AT54" i="310"/>
  <c r="AU53" i="310"/>
  <c r="AU54" i="310"/>
  <c r="AV53" i="310"/>
  <c r="AV54" i="310"/>
  <c r="AW53" i="310"/>
  <c r="AW54" i="310"/>
  <c r="AX53" i="310"/>
  <c r="AX54" i="310"/>
  <c r="AY53" i="310"/>
  <c r="AY54" i="310"/>
  <c r="AZ53" i="310"/>
  <c r="AZ54" i="310"/>
  <c r="BA53" i="310"/>
  <c r="BA54" i="310"/>
  <c r="BB53" i="310"/>
  <c r="BB54" i="310"/>
  <c r="BC53" i="310"/>
  <c r="BC54" i="310"/>
  <c r="BD53" i="310"/>
  <c r="BD54" i="310"/>
  <c r="BE53" i="310"/>
  <c r="BE54" i="310"/>
  <c r="F55" i="310"/>
  <c r="F16" i="264"/>
  <c r="BE70" i="310"/>
  <c r="BE71" i="310"/>
  <c r="L37" i="326"/>
  <c r="H50" i="310"/>
  <c r="H69" i="310"/>
  <c r="H45" i="310"/>
  <c r="H49" i="310"/>
  <c r="H64" i="310"/>
  <c r="H59" i="310"/>
  <c r="H83" i="269"/>
  <c r="K83" i="269"/>
  <c r="L83" i="269"/>
  <c r="J83" i="269"/>
  <c r="J32" i="307"/>
  <c r="J35" i="311"/>
  <c r="J79" i="311"/>
  <c r="F79" i="311"/>
  <c r="H32" i="307"/>
  <c r="H35" i="311"/>
  <c r="AI76" i="315"/>
  <c r="AI162" i="314"/>
  <c r="AI163" i="314"/>
  <c r="AI78" i="315"/>
  <c r="AG60" i="314"/>
  <c r="AG62" i="314"/>
  <c r="AG67" i="314"/>
  <c r="AG82" i="314"/>
  <c r="AG79" i="265"/>
  <c r="AG73" i="314"/>
  <c r="AG75" i="314"/>
  <c r="AI81" i="315"/>
  <c r="AJ160" i="314"/>
  <c r="AI107" i="315"/>
  <c r="AJ116" i="314"/>
  <c r="AJ119" i="314"/>
  <c r="AJ140" i="314"/>
  <c r="AI503" i="321"/>
  <c r="AI504" i="321"/>
  <c r="AG80" i="265"/>
  <c r="AG83" i="314"/>
  <c r="AG84" i="314"/>
  <c r="AG82" i="265"/>
  <c r="L38" i="326"/>
  <c r="AG85" i="265"/>
  <c r="AH81" i="314"/>
  <c r="AG111" i="265"/>
  <c r="AG60" i="328"/>
  <c r="AG87" i="314"/>
  <c r="AG90" i="314"/>
  <c r="AI507" i="321"/>
  <c r="AI508" i="321"/>
  <c r="AI517" i="321"/>
  <c r="AJ122" i="314"/>
  <c r="AJ124" i="314"/>
  <c r="AJ149" i="314"/>
  <c r="AJ150" i="314"/>
  <c r="AJ153" i="314"/>
  <c r="AJ144" i="314"/>
  <c r="AI513" i="321"/>
  <c r="AI514" i="321"/>
  <c r="AI518" i="321"/>
  <c r="AI519" i="321"/>
  <c r="AI522" i="321"/>
  <c r="AI523" i="321"/>
  <c r="AI509" i="321"/>
  <c r="AI199" i="288"/>
  <c r="AI193" i="288"/>
  <c r="AH37" i="314"/>
  <c r="AH40" i="314"/>
  <c r="AH61" i="314"/>
  <c r="AG459" i="321"/>
  <c r="AG460" i="321"/>
  <c r="AG463" i="321"/>
  <c r="AG464" i="321"/>
  <c r="AG473" i="321"/>
  <c r="AH43" i="314"/>
  <c r="AH45" i="314"/>
  <c r="AH70" i="314"/>
  <c r="AH71" i="314"/>
  <c r="AI83" i="315"/>
  <c r="AI531" i="321"/>
  <c r="AI524" i="321"/>
  <c r="AI200" i="288"/>
  <c r="AI530" i="321"/>
  <c r="AI532" i="321"/>
  <c r="AJ527" i="321"/>
  <c r="AI120" i="315"/>
  <c r="AI84" i="315"/>
  <c r="AI85" i="315"/>
  <c r="AH74" i="314"/>
  <c r="AH65" i="314"/>
  <c r="AG469" i="321"/>
  <c r="AG470" i="321"/>
  <c r="AG474" i="321"/>
  <c r="AG475" i="321"/>
  <c r="AG478" i="321"/>
  <c r="AG479" i="321"/>
  <c r="AG465" i="321"/>
  <c r="AG49" i="288"/>
  <c r="AG43" i="288"/>
  <c r="AG23" i="328"/>
  <c r="AG87" i="265"/>
  <c r="AG487" i="321"/>
  <c r="AG480" i="321"/>
  <c r="AG50" i="288"/>
  <c r="AG24" i="328"/>
  <c r="AG486" i="321"/>
  <c r="AG488" i="321"/>
  <c r="AI87" i="286"/>
  <c r="AI88" i="286"/>
  <c r="AJ496" i="321"/>
  <c r="AJ498" i="321"/>
  <c r="AJ521" i="321"/>
  <c r="AJ499" i="321"/>
  <c r="AJ103" i="282"/>
  <c r="AJ108" i="282"/>
  <c r="AJ512" i="321"/>
  <c r="AJ506" i="321"/>
  <c r="AI91" i="286"/>
  <c r="AI93" i="286"/>
  <c r="AI104" i="286"/>
  <c r="AH483" i="321"/>
  <c r="AG124" i="265"/>
  <c r="AG88" i="265"/>
  <c r="AG89" i="265"/>
  <c r="AG10" i="286"/>
  <c r="AG11" i="286"/>
  <c r="AH452" i="321"/>
  <c r="AH454" i="321"/>
  <c r="AH477" i="321"/>
  <c r="AI94" i="286"/>
  <c r="AI105" i="286"/>
  <c r="AI106" i="286"/>
  <c r="AI109" i="286"/>
  <c r="AI111" i="286"/>
  <c r="AI98" i="286"/>
  <c r="AI99" i="286"/>
  <c r="AI201" i="288"/>
  <c r="AJ116" i="282"/>
  <c r="AJ25" i="315"/>
  <c r="AJ27" i="315"/>
  <c r="AJ112" i="282"/>
  <c r="AJ117" i="282"/>
  <c r="AJ96" i="286"/>
  <c r="AI122" i="315"/>
  <c r="AI112" i="286"/>
  <c r="AI116" i="286"/>
  <c r="AI117" i="286"/>
  <c r="AI202" i="288"/>
  <c r="AI87" i="315"/>
  <c r="AH455" i="321"/>
  <c r="AH35" i="282"/>
  <c r="AH40" i="282"/>
  <c r="AH468" i="321"/>
  <c r="AH462" i="321"/>
  <c r="AG14" i="286"/>
  <c r="AG16" i="286"/>
  <c r="AG27" i="286"/>
  <c r="AG17" i="286"/>
  <c r="AG28" i="286"/>
  <c r="AG29" i="286"/>
  <c r="AG32" i="286"/>
  <c r="AG34" i="286"/>
  <c r="AG21" i="286"/>
  <c r="AG22" i="286"/>
  <c r="AG51" i="288"/>
  <c r="AH48" i="282"/>
  <c r="AH27" i="265"/>
  <c r="AJ114" i="286"/>
  <c r="AI123" i="315"/>
  <c r="AI88" i="315"/>
  <c r="AI89" i="315"/>
  <c r="AJ90" i="286"/>
  <c r="AJ120" i="282"/>
  <c r="AJ121" i="282"/>
  <c r="AJ123" i="282"/>
  <c r="AJ124" i="282"/>
  <c r="AJ136" i="282"/>
  <c r="AJ130" i="282"/>
  <c r="AJ126" i="282"/>
  <c r="AJ128" i="282"/>
  <c r="AI131" i="286"/>
  <c r="AI143" i="286"/>
  <c r="AI144" i="286"/>
  <c r="AI147" i="286"/>
  <c r="AI148" i="286"/>
  <c r="AJ108" i="286"/>
  <c r="AH29" i="265"/>
  <c r="V27" i="277"/>
  <c r="AH19" i="286"/>
  <c r="AG126" i="265"/>
  <c r="AG35" i="286"/>
  <c r="AG39" i="286"/>
  <c r="AG40" i="286"/>
  <c r="AG52" i="288"/>
  <c r="AG91" i="265"/>
  <c r="AH37" i="286"/>
  <c r="AG127" i="265"/>
  <c r="AG92" i="265"/>
  <c r="AH13" i="286"/>
  <c r="V29" i="277"/>
  <c r="AH44" i="282"/>
  <c r="AH49" i="282"/>
  <c r="AI132" i="286"/>
  <c r="AI124" i="286"/>
  <c r="AI125" i="286"/>
  <c r="AI198" i="288"/>
  <c r="AI192" i="288"/>
  <c r="AI194" i="288"/>
  <c r="AI149" i="286"/>
  <c r="AI133" i="286"/>
  <c r="AJ131" i="282"/>
  <c r="AJ137" i="282"/>
  <c r="AJ132" i="282"/>
  <c r="AJ138" i="282"/>
  <c r="AK135" i="282"/>
  <c r="AK127" i="282"/>
  <c r="AJ143" i="282"/>
  <c r="AJ144" i="282"/>
  <c r="AJ130" i="286"/>
  <c r="AI103" i="315"/>
  <c r="AI108" i="315"/>
  <c r="AI110" i="315"/>
  <c r="AI130" i="315"/>
  <c r="AI33" i="315"/>
  <c r="AI34" i="315"/>
  <c r="AI91" i="315"/>
  <c r="AI92" i="315"/>
  <c r="AI197" i="288"/>
  <c r="AI204" i="288"/>
  <c r="AJ122" i="286"/>
  <c r="AI124" i="315"/>
  <c r="AI125" i="315"/>
  <c r="AI131" i="315"/>
  <c r="AH52" i="282"/>
  <c r="AH53" i="282"/>
  <c r="AH55" i="282"/>
  <c r="AH56" i="282"/>
  <c r="AG92" i="277"/>
  <c r="AG93" i="265"/>
  <c r="AH31" i="286"/>
  <c r="AG54" i="286"/>
  <c r="AG75" i="286"/>
  <c r="AG76" i="286"/>
  <c r="AG79" i="286"/>
  <c r="AG80" i="286"/>
  <c r="AH68" i="282"/>
  <c r="AH62" i="282"/>
  <c r="AH58" i="282"/>
  <c r="AH60" i="282"/>
  <c r="AJ138" i="286"/>
  <c r="AI207" i="288"/>
  <c r="AI133" i="315"/>
  <c r="AI132" i="315"/>
  <c r="AJ502" i="321"/>
  <c r="AJ127" i="314"/>
  <c r="AJ86" i="286"/>
  <c r="AJ142" i="286"/>
  <c r="AJ145" i="282"/>
  <c r="AJ44" i="315"/>
  <c r="AJ45" i="315"/>
  <c r="AJ29" i="315"/>
  <c r="AJ31" i="315"/>
  <c r="AH63" i="282"/>
  <c r="AH69" i="282"/>
  <c r="AH64" i="282"/>
  <c r="AH70" i="282"/>
  <c r="AI67" i="282"/>
  <c r="AG55" i="286"/>
  <c r="AG47" i="286"/>
  <c r="AG48" i="286"/>
  <c r="AG48" i="288"/>
  <c r="AG42" i="288"/>
  <c r="AG44" i="288"/>
  <c r="AG81" i="286"/>
  <c r="AG25" i="328"/>
  <c r="AG56" i="286"/>
  <c r="AH53" i="286"/>
  <c r="AG58" i="286"/>
  <c r="AG107" i="265"/>
  <c r="AG64" i="286"/>
  <c r="AG35" i="265"/>
  <c r="AG95" i="265"/>
  <c r="AG47" i="288"/>
  <c r="AG54" i="288"/>
  <c r="AH45" i="286"/>
  <c r="AG128" i="265"/>
  <c r="AG129" i="265"/>
  <c r="AG135" i="265"/>
  <c r="AI59" i="282"/>
  <c r="AH75" i="282"/>
  <c r="AH76" i="282"/>
  <c r="AJ139" i="286"/>
  <c r="AJ140" i="286"/>
  <c r="AJ146" i="286"/>
  <c r="AJ123" i="286"/>
  <c r="AJ177" i="288"/>
  <c r="AJ179" i="288"/>
  <c r="AJ63" i="315"/>
  <c r="AJ73" i="315"/>
  <c r="AJ235" i="288"/>
  <c r="AJ215" i="288"/>
  <c r="AJ218" i="288"/>
  <c r="AJ220" i="288"/>
  <c r="AJ263" i="288"/>
  <c r="AJ182" i="288"/>
  <c r="AH77" i="282"/>
  <c r="AH70" i="286"/>
  <c r="AG57" i="288"/>
  <c r="AG96" i="265"/>
  <c r="AG36" i="265"/>
  <c r="AG59" i="328"/>
  <c r="AG112" i="265"/>
  <c r="AG114" i="265"/>
  <c r="AG134" i="265"/>
  <c r="AH458" i="321"/>
  <c r="AH48" i="314"/>
  <c r="AH9" i="286"/>
  <c r="AH74" i="286"/>
  <c r="AG137" i="265"/>
  <c r="AG136" i="265"/>
  <c r="AH46" i="265"/>
  <c r="AH31" i="265"/>
  <c r="AJ237" i="288"/>
  <c r="AJ239" i="288"/>
  <c r="AJ242" i="288"/>
  <c r="AJ244" i="288"/>
  <c r="AJ128" i="314"/>
  <c r="AJ130" i="314"/>
  <c r="AJ132" i="314"/>
  <c r="AJ133" i="314"/>
  <c r="AJ143" i="314"/>
  <c r="AJ145" i="314"/>
  <c r="AJ135" i="314"/>
  <c r="AJ137" i="314"/>
  <c r="V31" i="277"/>
  <c r="AH33" i="265"/>
  <c r="AH47" i="265"/>
  <c r="V46" i="277"/>
  <c r="V47" i="277"/>
  <c r="AH27" i="288"/>
  <c r="AH29" i="288"/>
  <c r="AH65" i="265"/>
  <c r="AH71" i="286"/>
  <c r="AH72" i="286"/>
  <c r="AH78" i="286"/>
  <c r="AH46" i="286"/>
  <c r="V33" i="277"/>
  <c r="AJ139" i="314"/>
  <c r="AJ141" i="314"/>
  <c r="AJ146" i="314"/>
  <c r="AJ161" i="314"/>
  <c r="AJ75" i="315"/>
  <c r="AJ152" i="314"/>
  <c r="AJ154" i="314"/>
  <c r="AH77" i="265"/>
  <c r="AH85" i="288"/>
  <c r="AH65" i="288"/>
  <c r="AH68" i="288"/>
  <c r="AH113" i="288"/>
  <c r="AH10" i="321"/>
  <c r="AH12" i="321"/>
  <c r="AH20" i="328"/>
  <c r="V40" i="328"/>
  <c r="AH32" i="288"/>
  <c r="V65" i="277"/>
  <c r="V77" i="277"/>
  <c r="AH39" i="311"/>
  <c r="AH70" i="288"/>
  <c r="AH57" i="328"/>
  <c r="V68" i="328"/>
  <c r="AH87" i="288"/>
  <c r="AH89" i="288"/>
  <c r="AH92" i="288"/>
  <c r="AH94" i="288"/>
  <c r="AH49" i="314"/>
  <c r="AH51" i="314"/>
  <c r="AJ76" i="315"/>
  <c r="AJ162" i="314"/>
  <c r="AJ163" i="314"/>
  <c r="AJ78" i="315"/>
  <c r="AJ81" i="315"/>
  <c r="AK160" i="314"/>
  <c r="AJ107" i="315"/>
  <c r="AH53" i="314"/>
  <c r="AH54" i="314"/>
  <c r="AH64" i="314"/>
  <c r="AH66" i="314"/>
  <c r="AH56" i="314"/>
  <c r="AH58" i="314"/>
  <c r="AH80" i="311"/>
  <c r="AH60" i="314"/>
  <c r="AH62" i="314"/>
  <c r="AH67" i="314"/>
  <c r="AH82" i="314"/>
  <c r="AK116" i="314"/>
  <c r="AK119" i="314"/>
  <c r="AK140" i="314"/>
  <c r="AJ503" i="321"/>
  <c r="AJ504" i="321"/>
  <c r="AJ507" i="321"/>
  <c r="AJ508" i="321"/>
  <c r="AJ517" i="321"/>
  <c r="AK122" i="314"/>
  <c r="AK124" i="314"/>
  <c r="AK149" i="314"/>
  <c r="AK150" i="314"/>
  <c r="AH79" i="265"/>
  <c r="AH73" i="314"/>
  <c r="AH75" i="314"/>
  <c r="AH80" i="265"/>
  <c r="V80" i="277"/>
  <c r="AH83" i="314"/>
  <c r="AH84" i="314"/>
  <c r="V79" i="277"/>
  <c r="AH82" i="265"/>
  <c r="AK153" i="314"/>
  <c r="AK144" i="314"/>
  <c r="AJ513" i="321"/>
  <c r="AJ514" i="321"/>
  <c r="AJ518" i="321"/>
  <c r="AJ519" i="321"/>
  <c r="AJ522" i="321"/>
  <c r="AJ523" i="321"/>
  <c r="AJ509" i="321"/>
  <c r="AJ199" i="288"/>
  <c r="AJ193" i="288"/>
  <c r="AJ83" i="315"/>
  <c r="AJ531" i="321"/>
  <c r="AJ524" i="321"/>
  <c r="AJ200" i="288"/>
  <c r="AJ530" i="321"/>
  <c r="AJ532" i="321"/>
  <c r="AH85" i="265"/>
  <c r="V82" i="277"/>
  <c r="AI81" i="314"/>
  <c r="AH111" i="265"/>
  <c r="AH87" i="314"/>
  <c r="AH90" i="314"/>
  <c r="AH60" i="328"/>
  <c r="V71" i="328"/>
  <c r="V111" i="277"/>
  <c r="AI37" i="314"/>
  <c r="AI40" i="314"/>
  <c r="AI61" i="314"/>
  <c r="V85" i="277"/>
  <c r="AH459" i="321"/>
  <c r="AH460" i="321"/>
  <c r="AK527" i="321"/>
  <c r="AJ120" i="315"/>
  <c r="AJ84" i="315"/>
  <c r="AJ85" i="315"/>
  <c r="AJ87" i="286"/>
  <c r="AJ88" i="286"/>
  <c r="AK496" i="321"/>
  <c r="AK498" i="321"/>
  <c r="AK521" i="321"/>
  <c r="AH463" i="321"/>
  <c r="AH464" i="321"/>
  <c r="AH473" i="321"/>
  <c r="AI43" i="314"/>
  <c r="AI45" i="314"/>
  <c r="AI70" i="314"/>
  <c r="AI71" i="314"/>
  <c r="AI74" i="314"/>
  <c r="AI65" i="314"/>
  <c r="AH469" i="321"/>
  <c r="AH470" i="321"/>
  <c r="AH474" i="321"/>
  <c r="AH475" i="321"/>
  <c r="AH478" i="321"/>
  <c r="AH479" i="321"/>
  <c r="AH465" i="321"/>
  <c r="AH49" i="288"/>
  <c r="AH43" i="288"/>
  <c r="AH23" i="328"/>
  <c r="V43" i="328"/>
  <c r="AK499" i="321"/>
  <c r="AK103" i="282"/>
  <c r="AK108" i="282"/>
  <c r="AK512" i="321"/>
  <c r="AK506" i="321"/>
  <c r="AJ91" i="286"/>
  <c r="AJ93" i="286"/>
  <c r="AJ104" i="286"/>
  <c r="AJ94" i="286"/>
  <c r="AJ105" i="286"/>
  <c r="AJ106" i="286"/>
  <c r="AJ109" i="286"/>
  <c r="AJ111" i="286"/>
  <c r="AJ98" i="286"/>
  <c r="AJ99" i="286"/>
  <c r="AJ201" i="288"/>
  <c r="AK116" i="282"/>
  <c r="AK25" i="315"/>
  <c r="AK27" i="315"/>
  <c r="AH87" i="265"/>
  <c r="AH487" i="321"/>
  <c r="AH480" i="321"/>
  <c r="AH50" i="288"/>
  <c r="AH24" i="328"/>
  <c r="V44" i="328"/>
  <c r="AH486" i="321"/>
  <c r="AH488" i="321"/>
  <c r="AI483" i="321"/>
  <c r="AH124" i="265"/>
  <c r="AH88" i="265"/>
  <c r="V88" i="277"/>
  <c r="V87" i="277"/>
  <c r="AH89" i="265"/>
  <c r="AK112" i="282"/>
  <c r="AK117" i="282"/>
  <c r="AK96" i="286"/>
  <c r="AJ122" i="315"/>
  <c r="AJ112" i="286"/>
  <c r="AJ116" i="286"/>
  <c r="AJ117" i="286"/>
  <c r="AJ202" i="288"/>
  <c r="AJ87" i="315"/>
  <c r="AK114" i="286"/>
  <c r="AJ123" i="315"/>
  <c r="AJ88" i="315"/>
  <c r="AJ89" i="315"/>
  <c r="AK90" i="286"/>
  <c r="AK120" i="282"/>
  <c r="AK121" i="282"/>
  <c r="AK123" i="282"/>
  <c r="AK124" i="282"/>
  <c r="AH10" i="286"/>
  <c r="AH11" i="286"/>
  <c r="V89" i="277"/>
  <c r="V124" i="277"/>
  <c r="AI452" i="321"/>
  <c r="AI454" i="321"/>
  <c r="AI477" i="321"/>
  <c r="AI455" i="321"/>
  <c r="AI35" i="282"/>
  <c r="AI40" i="282"/>
  <c r="AI468" i="321"/>
  <c r="AI462" i="321"/>
  <c r="AH14" i="286"/>
  <c r="AH16" i="286"/>
  <c r="AH27" i="286"/>
  <c r="AK136" i="282"/>
  <c r="AK130" i="282"/>
  <c r="AK126" i="282"/>
  <c r="AK128" i="282"/>
  <c r="AJ131" i="286"/>
  <c r="AJ143" i="286"/>
  <c r="AJ144" i="286"/>
  <c r="AJ147" i="286"/>
  <c r="AJ148" i="286"/>
  <c r="AK108" i="286"/>
  <c r="AJ132" i="286"/>
  <c r="AJ124" i="286"/>
  <c r="AJ125" i="286"/>
  <c r="AJ198" i="288"/>
  <c r="AJ192" i="288"/>
  <c r="AJ194" i="288"/>
  <c r="AJ149" i="286"/>
  <c r="AJ133" i="286"/>
  <c r="AK131" i="282"/>
  <c r="AK137" i="282"/>
  <c r="AK132" i="282"/>
  <c r="AK138" i="282"/>
  <c r="AL135" i="282"/>
  <c r="AH17" i="286"/>
  <c r="AH28" i="286"/>
  <c r="AH29" i="286"/>
  <c r="AH32" i="286"/>
  <c r="AH34" i="286"/>
  <c r="AH21" i="286"/>
  <c r="AH22" i="286"/>
  <c r="AH51" i="288"/>
  <c r="AI48" i="282"/>
  <c r="AI27" i="265"/>
  <c r="AI29" i="265"/>
  <c r="AI19" i="286"/>
  <c r="AH126" i="265"/>
  <c r="AH35" i="286"/>
  <c r="AH39" i="286"/>
  <c r="AH40" i="286"/>
  <c r="AH52" i="288"/>
  <c r="AH91" i="265"/>
  <c r="AL127" i="282"/>
  <c r="AK143" i="282"/>
  <c r="AK144" i="282"/>
  <c r="AK130" i="286"/>
  <c r="AJ103" i="315"/>
  <c r="AJ108" i="315"/>
  <c r="AJ110" i="315"/>
  <c r="AJ130" i="315"/>
  <c r="AJ33" i="315"/>
  <c r="AJ34" i="315"/>
  <c r="AJ91" i="315"/>
  <c r="AJ92" i="315"/>
  <c r="AJ197" i="288"/>
  <c r="AJ204" i="288"/>
  <c r="AK122" i="286"/>
  <c r="AJ124" i="315"/>
  <c r="AJ125" i="315"/>
  <c r="AJ131" i="315"/>
  <c r="AK138" i="286"/>
  <c r="AJ207" i="288"/>
  <c r="AJ133" i="315"/>
  <c r="AJ132" i="315"/>
  <c r="AK502" i="321"/>
  <c r="AK127" i="314"/>
  <c r="AK86" i="286"/>
  <c r="AK142" i="286"/>
  <c r="AK145" i="282"/>
  <c r="V91" i="277"/>
  <c r="AI37" i="286"/>
  <c r="AH127" i="265"/>
  <c r="V127" i="277"/>
  <c r="AH92" i="265"/>
  <c r="V126" i="277"/>
  <c r="AI13" i="286"/>
  <c r="AI44" i="282"/>
  <c r="AI49" i="282"/>
  <c r="AI52" i="282"/>
  <c r="AI53" i="282"/>
  <c r="AI55" i="282"/>
  <c r="AI56" i="282"/>
  <c r="AH92" i="277"/>
  <c r="AH93" i="265"/>
  <c r="AI31" i="286"/>
  <c r="V93" i="277"/>
  <c r="AK44" i="315"/>
  <c r="AK45" i="315"/>
  <c r="AK29" i="315"/>
  <c r="AK31" i="315"/>
  <c r="AK139" i="286"/>
  <c r="AK140" i="286"/>
  <c r="AK146" i="286"/>
  <c r="AK123" i="286"/>
  <c r="AK177" i="288"/>
  <c r="AK179" i="288"/>
  <c r="AK63" i="315"/>
  <c r="AH54" i="286"/>
  <c r="AH75" i="286"/>
  <c r="AH76" i="286"/>
  <c r="AH79" i="286"/>
  <c r="AH80" i="286"/>
  <c r="AI68" i="282"/>
  <c r="AI62" i="282"/>
  <c r="AI58" i="282"/>
  <c r="AI60" i="282"/>
  <c r="AI63" i="282"/>
  <c r="AI69" i="282"/>
  <c r="AI64" i="282"/>
  <c r="AI70" i="282"/>
  <c r="AJ67" i="282"/>
  <c r="AH55" i="286"/>
  <c r="AH47" i="286"/>
  <c r="AH48" i="286"/>
  <c r="AH48" i="288"/>
  <c r="AH42" i="288"/>
  <c r="AH44" i="288"/>
  <c r="AH81" i="286"/>
  <c r="AH25" i="328"/>
  <c r="V45" i="328"/>
  <c r="AH56" i="286"/>
  <c r="AK73" i="315"/>
  <c r="AK235" i="288"/>
  <c r="AK215" i="288"/>
  <c r="AK218" i="288"/>
  <c r="AK220" i="288"/>
  <c r="AK263" i="288"/>
  <c r="AK182" i="288"/>
  <c r="AK237" i="288"/>
  <c r="AK239" i="288"/>
  <c r="AK242" i="288"/>
  <c r="AK244" i="288"/>
  <c r="AK128" i="314"/>
  <c r="AK130" i="314"/>
  <c r="AI53" i="286"/>
  <c r="AH58" i="286"/>
  <c r="AH64" i="286"/>
  <c r="AH107" i="265"/>
  <c r="AH35" i="265"/>
  <c r="AH95" i="265"/>
  <c r="AH47" i="288"/>
  <c r="AH54" i="288"/>
  <c r="AI45" i="286"/>
  <c r="AH128" i="265"/>
  <c r="AJ59" i="282"/>
  <c r="AI75" i="282"/>
  <c r="AI76" i="282"/>
  <c r="AI77" i="282"/>
  <c r="V128" i="277"/>
  <c r="V129" i="277"/>
  <c r="V135" i="277"/>
  <c r="AH129" i="265"/>
  <c r="AH135" i="265"/>
  <c r="AI70" i="286"/>
  <c r="AH57" i="288"/>
  <c r="V95" i="277"/>
  <c r="AH96" i="265"/>
  <c r="V35" i="277"/>
  <c r="AH36" i="265"/>
  <c r="AH59" i="328"/>
  <c r="V70" i="328"/>
  <c r="V107" i="277"/>
  <c r="V112" i="277"/>
  <c r="V114" i="277"/>
  <c r="V134" i="277"/>
  <c r="AH112" i="265"/>
  <c r="AH114" i="265"/>
  <c r="AH134" i="265"/>
  <c r="AI458" i="321"/>
  <c r="AI48" i="314"/>
  <c r="AI9" i="286"/>
  <c r="AI74" i="286"/>
  <c r="AK132" i="314"/>
  <c r="AK133" i="314"/>
  <c r="AK143" i="314"/>
  <c r="AK145" i="314"/>
  <c r="AK135" i="314"/>
  <c r="AK137" i="314"/>
  <c r="AK139" i="314"/>
  <c r="AK141" i="314"/>
  <c r="AK146" i="314"/>
  <c r="AK161" i="314"/>
  <c r="AH137" i="265"/>
  <c r="AH136" i="265"/>
  <c r="V137" i="277"/>
  <c r="V136" i="277"/>
  <c r="V36" i="277"/>
  <c r="V96" i="277"/>
  <c r="AI46" i="265"/>
  <c r="AI31" i="265"/>
  <c r="AI33" i="265"/>
  <c r="AI47" i="265"/>
  <c r="AK75" i="315"/>
  <c r="AK152" i="314"/>
  <c r="AK154" i="314"/>
  <c r="AK76" i="315"/>
  <c r="AK162" i="314"/>
  <c r="AK163" i="314"/>
  <c r="AK78" i="315"/>
  <c r="AI27" i="288"/>
  <c r="AI29" i="288"/>
  <c r="AI65" i="265"/>
  <c r="AI71" i="286"/>
  <c r="AI72" i="286"/>
  <c r="AI78" i="286"/>
  <c r="AI46" i="286"/>
  <c r="AI77" i="265"/>
  <c r="AI85" i="288"/>
  <c r="AI65" i="288"/>
  <c r="AI68" i="288"/>
  <c r="AI113" i="288"/>
  <c r="AI10" i="321"/>
  <c r="AI12" i="321"/>
  <c r="AI20" i="328"/>
  <c r="AI32" i="288"/>
  <c r="AK81" i="315"/>
  <c r="AL160" i="314"/>
  <c r="AK107" i="315"/>
  <c r="AL116" i="314"/>
  <c r="AL119" i="314"/>
  <c r="AL140" i="314"/>
  <c r="AK503" i="321"/>
  <c r="AK504" i="321"/>
  <c r="AI39" i="311"/>
  <c r="AI70" i="288"/>
  <c r="AI57" i="328"/>
  <c r="AI87" i="288"/>
  <c r="AI89" i="288"/>
  <c r="AI92" i="288"/>
  <c r="AI94" i="288"/>
  <c r="AI49" i="314"/>
  <c r="AI51" i="314"/>
  <c r="AI53" i="314"/>
  <c r="AI54" i="314"/>
  <c r="AI64" i="314"/>
  <c r="AI66" i="314"/>
  <c r="AI56" i="314"/>
  <c r="AI58" i="314"/>
  <c r="AI80" i="311"/>
  <c r="AK507" i="321"/>
  <c r="AK508" i="321"/>
  <c r="AK517" i="321"/>
  <c r="AL122" i="314"/>
  <c r="AL124" i="314"/>
  <c r="AL149" i="314"/>
  <c r="AL150" i="314"/>
  <c r="AL153" i="314"/>
  <c r="AL144" i="314"/>
  <c r="AK513" i="321"/>
  <c r="AK514" i="321"/>
  <c r="AK518" i="321"/>
  <c r="AK519" i="321"/>
  <c r="AK522" i="321"/>
  <c r="AK523" i="321"/>
  <c r="AK509" i="321"/>
  <c r="AK199" i="288"/>
  <c r="AK193" i="288"/>
  <c r="AI60" i="314"/>
  <c r="AI62" i="314"/>
  <c r="AI67" i="314"/>
  <c r="AI82" i="314"/>
  <c r="AI79" i="265"/>
  <c r="AI73" i="314"/>
  <c r="AI75" i="314"/>
  <c r="AK83" i="315"/>
  <c r="AK531" i="321"/>
  <c r="AK524" i="321"/>
  <c r="AK200" i="288"/>
  <c r="AK530" i="321"/>
  <c r="AK532" i="321"/>
  <c r="AL527" i="321"/>
  <c r="AK120" i="315"/>
  <c r="AK84" i="315"/>
  <c r="AK85" i="315"/>
  <c r="AI80" i="265"/>
  <c r="AI83" i="314"/>
  <c r="AI84" i="314"/>
  <c r="AI82" i="265"/>
  <c r="AI85" i="265"/>
  <c r="AJ81" i="314"/>
  <c r="AI111" i="265"/>
  <c r="AI60" i="328"/>
  <c r="AI87" i="314"/>
  <c r="AI90" i="314"/>
  <c r="AK87" i="286"/>
  <c r="AK88" i="286"/>
  <c r="AL496" i="321"/>
  <c r="AL498" i="321"/>
  <c r="AL521" i="321"/>
  <c r="AL499" i="321"/>
  <c r="AL103" i="282"/>
  <c r="AL108" i="282"/>
  <c r="AL512" i="321"/>
  <c r="AL506" i="321"/>
  <c r="AK91" i="286"/>
  <c r="AK93" i="286"/>
  <c r="AK104" i="286"/>
  <c r="AJ37" i="314"/>
  <c r="AJ40" i="314"/>
  <c r="AJ61" i="314"/>
  <c r="AI459" i="321"/>
  <c r="AI460" i="321"/>
  <c r="AI463" i="321"/>
  <c r="AI464" i="321"/>
  <c r="AI473" i="321"/>
  <c r="AJ43" i="314"/>
  <c r="AJ45" i="314"/>
  <c r="AJ70" i="314"/>
  <c r="AJ71" i="314"/>
  <c r="AK94" i="286"/>
  <c r="AK105" i="286"/>
  <c r="AK106" i="286"/>
  <c r="AK109" i="286"/>
  <c r="AK111" i="286"/>
  <c r="AK98" i="286"/>
  <c r="AK99" i="286"/>
  <c r="AK201" i="288"/>
  <c r="AL116" i="282"/>
  <c r="AL25" i="315"/>
  <c r="AL27" i="315"/>
  <c r="AL112" i="282"/>
  <c r="AL117" i="282"/>
  <c r="AL96" i="286"/>
  <c r="AK122" i="315"/>
  <c r="AK112" i="286"/>
  <c r="AK116" i="286"/>
  <c r="AK117" i="286"/>
  <c r="AK202" i="288"/>
  <c r="AK87" i="315"/>
  <c r="AJ74" i="314"/>
  <c r="AJ65" i="314"/>
  <c r="AI469" i="321"/>
  <c r="AI470" i="321"/>
  <c r="AI474" i="321"/>
  <c r="AI475" i="321"/>
  <c r="AI478" i="321"/>
  <c r="AI479" i="321"/>
  <c r="AI465" i="321"/>
  <c r="AI49" i="288"/>
  <c r="AI43" i="288"/>
  <c r="AI23" i="328"/>
  <c r="AI87" i="265"/>
  <c r="AI487" i="321"/>
  <c r="AI480" i="321"/>
  <c r="AI50" i="288"/>
  <c r="AI24" i="328"/>
  <c r="AI486" i="321"/>
  <c r="AI488" i="321"/>
  <c r="AL114" i="286"/>
  <c r="AK123" i="315"/>
  <c r="AK88" i="315"/>
  <c r="AK89" i="315"/>
  <c r="AL90" i="286"/>
  <c r="AL120" i="282"/>
  <c r="AL121" i="282"/>
  <c r="AL123" i="282"/>
  <c r="AL124" i="282"/>
  <c r="AL136" i="282"/>
  <c r="AL130" i="282"/>
  <c r="AL126" i="282"/>
  <c r="AL128" i="282"/>
  <c r="AK131" i="286"/>
  <c r="AK143" i="286"/>
  <c r="AK144" i="286"/>
  <c r="AK147" i="286"/>
  <c r="AK148" i="286"/>
  <c r="AL108" i="286"/>
  <c r="AJ483" i="321"/>
  <c r="AI124" i="265"/>
  <c r="AI88" i="265"/>
  <c r="AI89" i="265"/>
  <c r="AI10" i="286"/>
  <c r="AI11" i="286"/>
  <c r="AJ452" i="321"/>
  <c r="AJ454" i="321"/>
  <c r="AJ477" i="321"/>
  <c r="AK132" i="286"/>
  <c r="AK124" i="286"/>
  <c r="AK125" i="286"/>
  <c r="AK198" i="288"/>
  <c r="AK192" i="288"/>
  <c r="AK194" i="288"/>
  <c r="AK149" i="286"/>
  <c r="AK133" i="286"/>
  <c r="AL131" i="282"/>
  <c r="AL137" i="282"/>
  <c r="AL132" i="282"/>
  <c r="AL138" i="282"/>
  <c r="AM135" i="282"/>
  <c r="AM127" i="282"/>
  <c r="AL143" i="282"/>
  <c r="AL144" i="282"/>
  <c r="AL130" i="286"/>
  <c r="AK103" i="315"/>
  <c r="AK108" i="315"/>
  <c r="AK110" i="315"/>
  <c r="AK130" i="315"/>
  <c r="AK33" i="315"/>
  <c r="AK34" i="315"/>
  <c r="AK91" i="315"/>
  <c r="AK92" i="315"/>
  <c r="AK197" i="288"/>
  <c r="AK204" i="288"/>
  <c r="AL122" i="286"/>
  <c r="AK124" i="315"/>
  <c r="AK125" i="315"/>
  <c r="AK131" i="315"/>
  <c r="AJ455" i="321"/>
  <c r="AJ35" i="282"/>
  <c r="AJ40" i="282"/>
  <c r="AJ468" i="321"/>
  <c r="AJ462" i="321"/>
  <c r="AI14" i="286"/>
  <c r="AI16" i="286"/>
  <c r="AI27" i="286"/>
  <c r="AI17" i="286"/>
  <c r="AI28" i="286"/>
  <c r="AI29" i="286"/>
  <c r="AI32" i="286"/>
  <c r="AI34" i="286"/>
  <c r="AI21" i="286"/>
  <c r="AI22" i="286"/>
  <c r="AI51" i="288"/>
  <c r="AJ48" i="282"/>
  <c r="AJ27" i="265"/>
  <c r="AL138" i="286"/>
  <c r="AK207" i="288"/>
  <c r="AK133" i="315"/>
  <c r="AK132" i="315"/>
  <c r="AL502" i="321"/>
  <c r="AL127" i="314"/>
  <c r="AL86" i="286"/>
  <c r="AL142" i="286"/>
  <c r="AL145" i="282"/>
  <c r="AL44" i="315"/>
  <c r="AL45" i="315"/>
  <c r="AL29" i="315"/>
  <c r="AL31" i="315"/>
  <c r="AJ29" i="265"/>
  <c r="W27" i="277"/>
  <c r="AJ19" i="286"/>
  <c r="AI126" i="265"/>
  <c r="AI35" i="286"/>
  <c r="AI39" i="286"/>
  <c r="AI40" i="286"/>
  <c r="AI52" i="288"/>
  <c r="AI91" i="265"/>
  <c r="AJ37" i="286"/>
  <c r="AI127" i="265"/>
  <c r="AI92" i="265"/>
  <c r="AJ13" i="286"/>
  <c r="W29" i="277"/>
  <c r="AJ44" i="282"/>
  <c r="AJ49" i="282"/>
  <c r="AL139" i="286"/>
  <c r="AL140" i="286"/>
  <c r="AL146" i="286"/>
  <c r="AL123" i="286"/>
  <c r="AL177" i="288"/>
  <c r="AL179" i="288"/>
  <c r="AL63" i="315"/>
  <c r="AL73" i="315"/>
  <c r="AL235" i="288"/>
  <c r="AL215" i="288"/>
  <c r="AL218" i="288"/>
  <c r="AL220" i="288"/>
  <c r="AL263" i="288"/>
  <c r="AL182" i="288"/>
  <c r="AJ52" i="282"/>
  <c r="AJ53" i="282"/>
  <c r="AJ55" i="282"/>
  <c r="AJ56" i="282"/>
  <c r="AI92" i="277"/>
  <c r="AI93" i="265"/>
  <c r="AJ31" i="286"/>
  <c r="AI54" i="286"/>
  <c r="AI75" i="286"/>
  <c r="AI76" i="286"/>
  <c r="AI79" i="286"/>
  <c r="AI80" i="286"/>
  <c r="AJ68" i="282"/>
  <c r="AJ62" i="282"/>
  <c r="AJ58" i="282"/>
  <c r="AJ60" i="282"/>
  <c r="AL237" i="288"/>
  <c r="AL239" i="288"/>
  <c r="AL242" i="288"/>
  <c r="AL244" i="288"/>
  <c r="AL128" i="314"/>
  <c r="AL130" i="314"/>
  <c r="AL132" i="314"/>
  <c r="AL133" i="314"/>
  <c r="AL143" i="314"/>
  <c r="AL145" i="314"/>
  <c r="AL135" i="314"/>
  <c r="AL137" i="314"/>
  <c r="AJ63" i="282"/>
  <c r="AJ69" i="282"/>
  <c r="AJ64" i="282"/>
  <c r="AJ70" i="282"/>
  <c r="AK67" i="282"/>
  <c r="AI55" i="286"/>
  <c r="AI47" i="286"/>
  <c r="AI48" i="286"/>
  <c r="AI48" i="288"/>
  <c r="AI42" i="288"/>
  <c r="AI44" i="288"/>
  <c r="AI81" i="286"/>
  <c r="AI25" i="328"/>
  <c r="AI56" i="286"/>
  <c r="AJ53" i="286"/>
  <c r="AI58" i="286"/>
  <c r="AI64" i="286"/>
  <c r="AI107" i="265"/>
  <c r="AI35" i="265"/>
  <c r="AI95" i="265"/>
  <c r="AI47" i="288"/>
  <c r="AI54" i="288"/>
  <c r="AJ45" i="286"/>
  <c r="AI128" i="265"/>
  <c r="AI129" i="265"/>
  <c r="AI135" i="265"/>
  <c r="AK59" i="282"/>
  <c r="AJ75" i="282"/>
  <c r="AJ76" i="282"/>
  <c r="AL139" i="314"/>
  <c r="AL141" i="314"/>
  <c r="AL146" i="314"/>
  <c r="AL161" i="314"/>
  <c r="AL75" i="315"/>
  <c r="AL152" i="314"/>
  <c r="AL154" i="314"/>
  <c r="AJ77" i="282"/>
  <c r="AJ70" i="286"/>
  <c r="AI57" i="288"/>
  <c r="AI96" i="265"/>
  <c r="AI36" i="265"/>
  <c r="AI59" i="328"/>
  <c r="AI112" i="265"/>
  <c r="AI114" i="265"/>
  <c r="AI134" i="265"/>
  <c r="AJ458" i="321"/>
  <c r="AJ48" i="314"/>
  <c r="AJ9" i="286"/>
  <c r="AJ74" i="286"/>
  <c r="AI137" i="265"/>
  <c r="AI136" i="265"/>
  <c r="AJ46" i="265"/>
  <c r="AJ31" i="265"/>
  <c r="AL76" i="315"/>
  <c r="AL162" i="314"/>
  <c r="AL163" i="314"/>
  <c r="AL78" i="315"/>
  <c r="AL81" i="315"/>
  <c r="AM160" i="314"/>
  <c r="AL107" i="315"/>
  <c r="W31" i="277"/>
  <c r="AJ33" i="265"/>
  <c r="AJ47" i="265"/>
  <c r="W46" i="277"/>
  <c r="W47" i="277"/>
  <c r="AJ27" i="288"/>
  <c r="AJ29" i="288"/>
  <c r="AJ65" i="265"/>
  <c r="AJ71" i="286"/>
  <c r="AJ72" i="286"/>
  <c r="AJ78" i="286"/>
  <c r="AJ46" i="286"/>
  <c r="W33" i="277"/>
  <c r="AM116" i="314"/>
  <c r="AM119" i="314"/>
  <c r="AM140" i="314"/>
  <c r="AL503" i="321"/>
  <c r="AL504" i="321"/>
  <c r="AL507" i="321"/>
  <c r="AL508" i="321"/>
  <c r="AL517" i="321"/>
  <c r="AM122" i="314"/>
  <c r="AM124" i="314"/>
  <c r="AM149" i="314"/>
  <c r="AM150" i="314"/>
  <c r="AJ77" i="265"/>
  <c r="AJ85" i="288"/>
  <c r="AJ65" i="288"/>
  <c r="AJ68" i="288"/>
  <c r="AJ113" i="288"/>
  <c r="AJ10" i="321"/>
  <c r="AJ12" i="321"/>
  <c r="AJ20" i="328"/>
  <c r="W40" i="328"/>
  <c r="AJ32" i="288"/>
  <c r="W65" i="277"/>
  <c r="W77" i="277"/>
  <c r="AJ39" i="311"/>
  <c r="AJ70" i="288"/>
  <c r="AJ57" i="328"/>
  <c r="W68" i="328"/>
  <c r="AJ87" i="288"/>
  <c r="AJ89" i="288"/>
  <c r="AJ92" i="288"/>
  <c r="AJ94" i="288"/>
  <c r="AJ49" i="314"/>
  <c r="AJ51" i="314"/>
  <c r="AM153" i="314"/>
  <c r="AM144" i="314"/>
  <c r="AL513" i="321"/>
  <c r="AL514" i="321"/>
  <c r="AL518" i="321"/>
  <c r="AL519" i="321"/>
  <c r="AL522" i="321"/>
  <c r="AL523" i="321"/>
  <c r="AL509" i="321"/>
  <c r="AL199" i="288"/>
  <c r="AL193" i="288"/>
  <c r="AL83" i="315"/>
  <c r="AL531" i="321"/>
  <c r="AL524" i="321"/>
  <c r="AL200" i="288"/>
  <c r="AL530" i="321"/>
  <c r="AL532" i="321"/>
  <c r="AJ53" i="314"/>
  <c r="AJ54" i="314"/>
  <c r="AJ64" i="314"/>
  <c r="AJ66" i="314"/>
  <c r="AJ56" i="314"/>
  <c r="AJ58" i="314"/>
  <c r="AJ80" i="311"/>
  <c r="AJ60" i="314"/>
  <c r="AJ62" i="314"/>
  <c r="AJ67" i="314"/>
  <c r="AJ82" i="314"/>
  <c r="AM527" i="321"/>
  <c r="AL120" i="315"/>
  <c r="AL84" i="315"/>
  <c r="AL85" i="315"/>
  <c r="AL87" i="286"/>
  <c r="AL88" i="286"/>
  <c r="AM496" i="321"/>
  <c r="AM498" i="321"/>
  <c r="AM521" i="321"/>
  <c r="AJ79" i="265"/>
  <c r="AJ73" i="314"/>
  <c r="AJ75" i="314"/>
  <c r="AJ80" i="265"/>
  <c r="W80" i="277"/>
  <c r="AJ83" i="314"/>
  <c r="AJ84" i="314"/>
  <c r="W79" i="277"/>
  <c r="AJ82" i="265"/>
  <c r="AM499" i="321"/>
  <c r="AM103" i="282"/>
  <c r="AM108" i="282"/>
  <c r="AM512" i="321"/>
  <c r="AM506" i="321"/>
  <c r="AL91" i="286"/>
  <c r="AL93" i="286"/>
  <c r="AL104" i="286"/>
  <c r="AL94" i="286"/>
  <c r="AL105" i="286"/>
  <c r="AL106" i="286"/>
  <c r="AL109" i="286"/>
  <c r="AL111" i="286"/>
  <c r="AL98" i="286"/>
  <c r="AL99" i="286"/>
  <c r="AL201" i="288"/>
  <c r="AM116" i="282"/>
  <c r="AM25" i="315"/>
  <c r="AM27" i="315"/>
  <c r="AJ85" i="265"/>
  <c r="W82" i="277"/>
  <c r="AK81" i="314"/>
  <c r="AJ111" i="265"/>
  <c r="AJ87" i="314"/>
  <c r="AJ90" i="314"/>
  <c r="AJ60" i="328"/>
  <c r="W71" i="328"/>
  <c r="W111" i="277"/>
  <c r="AK37" i="314"/>
  <c r="AK40" i="314"/>
  <c r="AK61" i="314"/>
  <c r="W85" i="277"/>
  <c r="AJ459" i="321"/>
  <c r="AJ460" i="321"/>
  <c r="AM112" i="282"/>
  <c r="AM117" i="282"/>
  <c r="AM96" i="286"/>
  <c r="AL122" i="315"/>
  <c r="AL112" i="286"/>
  <c r="AL116" i="286"/>
  <c r="AL117" i="286"/>
  <c r="AL202" i="288"/>
  <c r="AL87" i="315"/>
  <c r="AM114" i="286"/>
  <c r="AL123" i="315"/>
  <c r="AL88" i="315"/>
  <c r="AL89" i="315"/>
  <c r="AM90" i="286"/>
  <c r="AM120" i="282"/>
  <c r="AM121" i="282"/>
  <c r="AM123" i="282"/>
  <c r="AM124" i="282"/>
  <c r="AJ463" i="321"/>
  <c r="AJ464" i="321"/>
  <c r="AJ473" i="321"/>
  <c r="AK43" i="314"/>
  <c r="AK45" i="314"/>
  <c r="AK70" i="314"/>
  <c r="AK71" i="314"/>
  <c r="AK74" i="314"/>
  <c r="AK65" i="314"/>
  <c r="AJ469" i="321"/>
  <c r="AJ470" i="321"/>
  <c r="AJ474" i="321"/>
  <c r="AJ475" i="321"/>
  <c r="AJ478" i="321"/>
  <c r="AJ479" i="321"/>
  <c r="AJ465" i="321"/>
  <c r="AJ49" i="288"/>
  <c r="AJ43" i="288"/>
  <c r="AJ23" i="328"/>
  <c r="W43" i="328"/>
  <c r="AM136" i="282"/>
  <c r="AM130" i="282"/>
  <c r="AM126" i="282"/>
  <c r="AM128" i="282"/>
  <c r="AL131" i="286"/>
  <c r="AL143" i="286"/>
  <c r="AL144" i="286"/>
  <c r="AL147" i="286"/>
  <c r="AL148" i="286"/>
  <c r="AM108" i="286"/>
  <c r="AL132" i="286"/>
  <c r="AL124" i="286"/>
  <c r="AL125" i="286"/>
  <c r="AL198" i="288"/>
  <c r="AL192" i="288"/>
  <c r="AL194" i="288"/>
  <c r="AL149" i="286"/>
  <c r="AL133" i="286"/>
  <c r="AM131" i="282"/>
  <c r="AM137" i="282"/>
  <c r="AM132" i="282"/>
  <c r="AM138" i="282"/>
  <c r="AN135" i="282"/>
  <c r="AJ87" i="265"/>
  <c r="AJ487" i="321"/>
  <c r="AJ480" i="321"/>
  <c r="AJ50" i="288"/>
  <c r="AJ24" i="328"/>
  <c r="W44" i="328"/>
  <c r="AJ486" i="321"/>
  <c r="AJ488" i="321"/>
  <c r="AK483" i="321"/>
  <c r="AJ124" i="265"/>
  <c r="AJ88" i="265"/>
  <c r="W88" i="277"/>
  <c r="W87" i="277"/>
  <c r="AJ89" i="265"/>
  <c r="AN127" i="282"/>
  <c r="AM143" i="282"/>
  <c r="AM144" i="282"/>
  <c r="AM130" i="286"/>
  <c r="AL103" i="315"/>
  <c r="AL108" i="315"/>
  <c r="AL110" i="315"/>
  <c r="AL130" i="315"/>
  <c r="AL33" i="315"/>
  <c r="AL34" i="315"/>
  <c r="AL91" i="315"/>
  <c r="AL92" i="315"/>
  <c r="AL197" i="288"/>
  <c r="AL204" i="288"/>
  <c r="AM122" i="286"/>
  <c r="AL124" i="315"/>
  <c r="AL125" i="315"/>
  <c r="AL131" i="315"/>
  <c r="AM138" i="286"/>
  <c r="AL207" i="288"/>
  <c r="AL133" i="315"/>
  <c r="AL132" i="315"/>
  <c r="AM502" i="321"/>
  <c r="AM127" i="314"/>
  <c r="AM86" i="286"/>
  <c r="AM142" i="286"/>
  <c r="AM145" i="282"/>
  <c r="AJ10" i="286"/>
  <c r="AJ11" i="286"/>
  <c r="W89" i="277"/>
  <c r="W124" i="277"/>
  <c r="AK452" i="321"/>
  <c r="AK454" i="321"/>
  <c r="AK477" i="321"/>
  <c r="AK455" i="321"/>
  <c r="AK35" i="282"/>
  <c r="AK40" i="282"/>
  <c r="AK468" i="321"/>
  <c r="AK462" i="321"/>
  <c r="AJ14" i="286"/>
  <c r="AJ16" i="286"/>
  <c r="AJ27" i="286"/>
  <c r="AM44" i="315"/>
  <c r="AM45" i="315"/>
  <c r="AM29" i="315"/>
  <c r="AM31" i="315"/>
  <c r="AM139" i="286"/>
  <c r="AM140" i="286"/>
  <c r="AM146" i="286"/>
  <c r="AM123" i="286"/>
  <c r="AM177" i="288"/>
  <c r="AM179" i="288"/>
  <c r="AM63" i="315"/>
  <c r="AJ17" i="286"/>
  <c r="AJ28" i="286"/>
  <c r="AJ29" i="286"/>
  <c r="AJ32" i="286"/>
  <c r="AJ34" i="286"/>
  <c r="AJ21" i="286"/>
  <c r="AJ22" i="286"/>
  <c r="AJ51" i="288"/>
  <c r="AK48" i="282"/>
  <c r="AK27" i="265"/>
  <c r="AK29" i="265"/>
  <c r="AK19" i="286"/>
  <c r="AJ126" i="265"/>
  <c r="AJ35" i="286"/>
  <c r="AJ39" i="286"/>
  <c r="AJ40" i="286"/>
  <c r="AJ52" i="288"/>
  <c r="AJ91" i="265"/>
  <c r="AM73" i="315"/>
  <c r="AM235" i="288"/>
  <c r="AM215" i="288"/>
  <c r="AM218" i="288"/>
  <c r="AM220" i="288"/>
  <c r="AM263" i="288"/>
  <c r="AM182" i="288"/>
  <c r="AM237" i="288"/>
  <c r="AM239" i="288"/>
  <c r="AM242" i="288"/>
  <c r="AM244" i="288"/>
  <c r="AM128" i="314"/>
  <c r="AM130" i="314"/>
  <c r="W91" i="277"/>
  <c r="AK37" i="286"/>
  <c r="AJ127" i="265"/>
  <c r="W127" i="277"/>
  <c r="AJ92" i="265"/>
  <c r="W126" i="277"/>
  <c r="AK13" i="286"/>
  <c r="AK44" i="282"/>
  <c r="AK49" i="282"/>
  <c r="AK52" i="282"/>
  <c r="AK53" i="282"/>
  <c r="AK55" i="282"/>
  <c r="AK56" i="282"/>
  <c r="AJ92" i="277"/>
  <c r="AJ93" i="265"/>
  <c r="AK31" i="286"/>
  <c r="W93" i="277"/>
  <c r="AM132" i="314"/>
  <c r="AM133" i="314"/>
  <c r="AM143" i="314"/>
  <c r="AM145" i="314"/>
  <c r="AM135" i="314"/>
  <c r="AM137" i="314"/>
  <c r="AM139" i="314"/>
  <c r="AM141" i="314"/>
  <c r="AM146" i="314"/>
  <c r="AM161" i="314"/>
  <c r="AJ54" i="286"/>
  <c r="AJ75" i="286"/>
  <c r="AJ76" i="286"/>
  <c r="AJ79" i="286"/>
  <c r="AJ80" i="286"/>
  <c r="AK68" i="282"/>
  <c r="AK62" i="282"/>
  <c r="AK58" i="282"/>
  <c r="AK60" i="282"/>
  <c r="AK63" i="282"/>
  <c r="AK69" i="282"/>
  <c r="AK64" i="282"/>
  <c r="AK70" i="282"/>
  <c r="AL67" i="282"/>
  <c r="AJ55" i="286"/>
  <c r="AJ47" i="286"/>
  <c r="AJ48" i="286"/>
  <c r="AJ48" i="288"/>
  <c r="AJ42" i="288"/>
  <c r="AJ44" i="288"/>
  <c r="AJ81" i="286"/>
  <c r="AJ25" i="328"/>
  <c r="W45" i="328"/>
  <c r="AJ56" i="286"/>
  <c r="AM75" i="315"/>
  <c r="AM152" i="314"/>
  <c r="AM154" i="314"/>
  <c r="AM76" i="315"/>
  <c r="AM162" i="314"/>
  <c r="AM163" i="314"/>
  <c r="AM78" i="315"/>
  <c r="AK53" i="286"/>
  <c r="AJ58" i="286"/>
  <c r="AJ64" i="286"/>
  <c r="AJ107" i="265"/>
  <c r="AJ35" i="265"/>
  <c r="AJ95" i="265"/>
  <c r="AJ47" i="288"/>
  <c r="AJ54" i="288"/>
  <c r="AK45" i="286"/>
  <c r="AJ128" i="265"/>
  <c r="AL59" i="282"/>
  <c r="AK75" i="282"/>
  <c r="AK76" i="282"/>
  <c r="AK77" i="282"/>
  <c r="W128" i="277"/>
  <c r="W129" i="277"/>
  <c r="W135" i="277"/>
  <c r="AJ129" i="265"/>
  <c r="AJ135" i="265"/>
  <c r="AK70" i="286"/>
  <c r="AJ57" i="288"/>
  <c r="W95" i="277"/>
  <c r="AJ96" i="265"/>
  <c r="W35" i="277"/>
  <c r="AJ36" i="265"/>
  <c r="AJ59" i="328"/>
  <c r="W70" i="328"/>
  <c r="W107" i="277"/>
  <c r="W112" i="277"/>
  <c r="W114" i="277"/>
  <c r="W134" i="277"/>
  <c r="AJ112" i="265"/>
  <c r="AJ114" i="265"/>
  <c r="AJ134" i="265"/>
  <c r="AK458" i="321"/>
  <c r="AK48" i="314"/>
  <c r="AK9" i="286"/>
  <c r="AK74" i="286"/>
  <c r="AM81" i="315"/>
  <c r="AN160" i="314"/>
  <c r="AM107" i="315"/>
  <c r="AN116" i="314"/>
  <c r="AN119" i="314"/>
  <c r="AN140" i="314"/>
  <c r="AM503" i="321"/>
  <c r="AM504" i="321"/>
  <c r="AJ137" i="265"/>
  <c r="AJ136" i="265"/>
  <c r="W137" i="277"/>
  <c r="W136" i="277"/>
  <c r="W36" i="277"/>
  <c r="W96" i="277"/>
  <c r="AK46" i="265"/>
  <c r="AK31" i="265"/>
  <c r="AK33" i="265"/>
  <c r="AK47" i="265"/>
  <c r="AM507" i="321"/>
  <c r="AM508" i="321"/>
  <c r="AM517" i="321"/>
  <c r="AN122" i="314"/>
  <c r="AN124" i="314"/>
  <c r="AN149" i="314"/>
  <c r="AN150" i="314"/>
  <c r="AN153" i="314"/>
  <c r="AN144" i="314"/>
  <c r="AM513" i="321"/>
  <c r="AM514" i="321"/>
  <c r="AM518" i="321"/>
  <c r="AM519" i="321"/>
  <c r="AM522" i="321"/>
  <c r="AM523" i="321"/>
  <c r="AM509" i="321"/>
  <c r="AM199" i="288"/>
  <c r="AM193" i="288"/>
  <c r="AK27" i="288"/>
  <c r="AK29" i="288"/>
  <c r="AK65" i="265"/>
  <c r="AK71" i="286"/>
  <c r="AK72" i="286"/>
  <c r="AK78" i="286"/>
  <c r="AK46" i="286"/>
  <c r="AK77" i="265"/>
  <c r="AK85" i="288"/>
  <c r="AK65" i="288"/>
  <c r="AK68" i="288"/>
  <c r="AK113" i="288"/>
  <c r="AK10" i="321"/>
  <c r="AK12" i="321"/>
  <c r="AK20" i="328"/>
  <c r="AK32" i="288"/>
  <c r="AM83" i="315"/>
  <c r="AM531" i="321"/>
  <c r="AM524" i="321"/>
  <c r="AM200" i="288"/>
  <c r="AM530" i="321"/>
  <c r="AM532" i="321"/>
  <c r="AN527" i="321"/>
  <c r="AM120" i="315"/>
  <c r="AM84" i="315"/>
  <c r="AM85" i="315"/>
  <c r="AK39" i="311"/>
  <c r="AK70" i="288"/>
  <c r="AK57" i="328"/>
  <c r="AK87" i="288"/>
  <c r="AK89" i="288"/>
  <c r="AK92" i="288"/>
  <c r="AK94" i="288"/>
  <c r="AK49" i="314"/>
  <c r="AK51" i="314"/>
  <c r="AK53" i="314"/>
  <c r="AK54" i="314"/>
  <c r="AK64" i="314"/>
  <c r="AK66" i="314"/>
  <c r="AK56" i="314"/>
  <c r="AK58" i="314"/>
  <c r="AK80" i="311"/>
  <c r="AM87" i="286"/>
  <c r="AM88" i="286"/>
  <c r="AN496" i="321"/>
  <c r="AN498" i="321"/>
  <c r="AN521" i="321"/>
  <c r="AN499" i="321"/>
  <c r="AN103" i="282"/>
  <c r="AN108" i="282"/>
  <c r="AN512" i="321"/>
  <c r="AN506" i="321"/>
  <c r="AM91" i="286"/>
  <c r="AM93" i="286"/>
  <c r="AM104" i="286"/>
  <c r="AK60" i="314"/>
  <c r="AK62" i="314"/>
  <c r="AK67" i="314"/>
  <c r="AK82" i="314"/>
  <c r="AK79" i="265"/>
  <c r="AK73" i="314"/>
  <c r="AK75" i="314"/>
  <c r="AM94" i="286"/>
  <c r="AM105" i="286"/>
  <c r="AM106" i="286"/>
  <c r="AM109" i="286"/>
  <c r="AM111" i="286"/>
  <c r="AM98" i="286"/>
  <c r="AM99" i="286"/>
  <c r="AM201" i="288"/>
  <c r="AN116" i="282"/>
  <c r="AN25" i="315"/>
  <c r="AN27" i="315"/>
  <c r="AN112" i="282"/>
  <c r="AN117" i="282"/>
  <c r="AN96" i="286"/>
  <c r="AM122" i="315"/>
  <c r="AM112" i="286"/>
  <c r="AM116" i="286"/>
  <c r="AM117" i="286"/>
  <c r="AM202" i="288"/>
  <c r="AM87" i="315"/>
  <c r="AK80" i="265"/>
  <c r="AK83" i="314"/>
  <c r="AK84" i="314"/>
  <c r="AK82" i="265"/>
  <c r="AK85" i="265"/>
  <c r="AL81" i="314"/>
  <c r="AK111" i="265"/>
  <c r="AK60" i="328"/>
  <c r="AK87" i="314"/>
  <c r="AK90" i="314"/>
  <c r="AN114" i="286"/>
  <c r="AM123" i="315"/>
  <c r="AM88" i="315"/>
  <c r="AM89" i="315"/>
  <c r="AN90" i="286"/>
  <c r="AN120" i="282"/>
  <c r="AN121" i="282"/>
  <c r="AN123" i="282"/>
  <c r="AN124" i="282"/>
  <c r="AN136" i="282"/>
  <c r="AN130" i="282"/>
  <c r="AN126" i="282"/>
  <c r="AN128" i="282"/>
  <c r="AM131" i="286"/>
  <c r="AM143" i="286"/>
  <c r="AM144" i="286"/>
  <c r="AM147" i="286"/>
  <c r="AM148" i="286"/>
  <c r="AN108" i="286"/>
  <c r="AL37" i="314"/>
  <c r="AL40" i="314"/>
  <c r="AL61" i="314"/>
  <c r="AK459" i="321"/>
  <c r="AK460" i="321"/>
  <c r="AK463" i="321"/>
  <c r="AK464" i="321"/>
  <c r="AK473" i="321"/>
  <c r="AL43" i="314"/>
  <c r="AL45" i="314"/>
  <c r="AL70" i="314"/>
  <c r="AL71" i="314"/>
  <c r="AM132" i="286"/>
  <c r="AM124" i="286"/>
  <c r="AM125" i="286"/>
  <c r="AM198" i="288"/>
  <c r="AM192" i="288"/>
  <c r="AM194" i="288"/>
  <c r="AM149" i="286"/>
  <c r="AM133" i="286"/>
  <c r="AN131" i="282"/>
  <c r="AN137" i="282"/>
  <c r="AN132" i="282"/>
  <c r="AN138" i="282"/>
  <c r="AO135" i="282"/>
  <c r="AO127" i="282"/>
  <c r="AN143" i="282"/>
  <c r="AN144" i="282"/>
  <c r="AN130" i="286"/>
  <c r="AM103" i="315"/>
  <c r="AM108" i="315"/>
  <c r="AM110" i="315"/>
  <c r="AM130" i="315"/>
  <c r="AM33" i="315"/>
  <c r="AM34" i="315"/>
  <c r="AM91" i="315"/>
  <c r="AM92" i="315"/>
  <c r="AM197" i="288"/>
  <c r="AM204" i="288"/>
  <c r="AN122" i="286"/>
  <c r="AM124" i="315"/>
  <c r="AM125" i="315"/>
  <c r="AM131" i="315"/>
  <c r="AL74" i="314"/>
  <c r="AL65" i="314"/>
  <c r="AK469" i="321"/>
  <c r="AK470" i="321"/>
  <c r="AK474" i="321"/>
  <c r="AK475" i="321"/>
  <c r="AK478" i="321"/>
  <c r="AK479" i="321"/>
  <c r="AK465" i="321"/>
  <c r="AK49" i="288"/>
  <c r="AK43" i="288"/>
  <c r="AK23" i="328"/>
  <c r="AK87" i="265"/>
  <c r="AK487" i="321"/>
  <c r="AK480" i="321"/>
  <c r="AK50" i="288"/>
  <c r="AK24" i="328"/>
  <c r="AK486" i="321"/>
  <c r="AK488" i="321"/>
  <c r="AN138" i="286"/>
  <c r="AM207" i="288"/>
  <c r="AM133" i="315"/>
  <c r="AM132" i="315"/>
  <c r="AN502" i="321"/>
  <c r="AN127" i="314"/>
  <c r="AN86" i="286"/>
  <c r="AN142" i="286"/>
  <c r="AN145" i="282"/>
  <c r="AN44" i="315"/>
  <c r="AN45" i="315"/>
  <c r="AN29" i="315"/>
  <c r="AN31" i="315"/>
  <c r="AL483" i="321"/>
  <c r="AK124" i="265"/>
  <c r="AK88" i="265"/>
  <c r="AK89" i="265"/>
  <c r="AK10" i="286"/>
  <c r="AK11" i="286"/>
  <c r="AL452" i="321"/>
  <c r="AL454" i="321"/>
  <c r="AL477" i="321"/>
  <c r="AN139" i="286"/>
  <c r="AN140" i="286"/>
  <c r="AN146" i="286"/>
  <c r="AN123" i="286"/>
  <c r="AN177" i="288"/>
  <c r="AN179" i="288"/>
  <c r="AN63" i="315"/>
  <c r="AN73" i="315"/>
  <c r="AN235" i="288"/>
  <c r="AN215" i="288"/>
  <c r="AN218" i="288"/>
  <c r="AN220" i="288"/>
  <c r="AN263" i="288"/>
  <c r="AN182" i="288"/>
  <c r="AL455" i="321"/>
  <c r="AL35" i="282"/>
  <c r="AL40" i="282"/>
  <c r="AL468" i="321"/>
  <c r="AL462" i="321"/>
  <c r="AK14" i="286"/>
  <c r="AK16" i="286"/>
  <c r="AK27" i="286"/>
  <c r="AK17" i="286"/>
  <c r="AK28" i="286"/>
  <c r="AK29" i="286"/>
  <c r="AK32" i="286"/>
  <c r="AK34" i="286"/>
  <c r="AK21" i="286"/>
  <c r="AK22" i="286"/>
  <c r="AK51" i="288"/>
  <c r="AL48" i="282"/>
  <c r="AL27" i="265"/>
  <c r="AN237" i="288"/>
  <c r="AN239" i="288"/>
  <c r="AN242" i="288"/>
  <c r="AN244" i="288"/>
  <c r="AN128" i="314"/>
  <c r="AN130" i="314"/>
  <c r="AN132" i="314"/>
  <c r="AN133" i="314"/>
  <c r="AN143" i="314"/>
  <c r="AN145" i="314"/>
  <c r="AN135" i="314"/>
  <c r="AN137" i="314"/>
  <c r="AL29" i="265"/>
  <c r="X27" i="277"/>
  <c r="AL19" i="286"/>
  <c r="AK126" i="265"/>
  <c r="AK35" i="286"/>
  <c r="AK39" i="286"/>
  <c r="AK40" i="286"/>
  <c r="AK52" i="288"/>
  <c r="AK91" i="265"/>
  <c r="AL37" i="286"/>
  <c r="AK127" i="265"/>
  <c r="AK92" i="265"/>
  <c r="AL13" i="286"/>
  <c r="X29" i="277"/>
  <c r="AL44" i="282"/>
  <c r="AL49" i="282"/>
  <c r="AN139" i="314"/>
  <c r="AN141" i="314"/>
  <c r="AN146" i="314"/>
  <c r="AN161" i="314"/>
  <c r="AN75" i="315"/>
  <c r="AN152" i="314"/>
  <c r="AN154" i="314"/>
  <c r="AL52" i="282"/>
  <c r="AL53" i="282"/>
  <c r="AL55" i="282"/>
  <c r="AL56" i="282"/>
  <c r="AK92" i="277"/>
  <c r="AK93" i="265"/>
  <c r="AL31" i="286"/>
  <c r="AK54" i="286"/>
  <c r="AK75" i="286"/>
  <c r="AK76" i="286"/>
  <c r="AK79" i="286"/>
  <c r="AK80" i="286"/>
  <c r="AL68" i="282"/>
  <c r="AL62" i="282"/>
  <c r="AL58" i="282"/>
  <c r="AL60" i="282"/>
  <c r="AN76" i="315"/>
  <c r="AN162" i="314"/>
  <c r="AN163" i="314"/>
  <c r="AN78" i="315"/>
  <c r="AN81" i="315"/>
  <c r="AO160" i="314"/>
  <c r="AN107" i="315"/>
  <c r="AL63" i="282"/>
  <c r="AL69" i="282"/>
  <c r="AL64" i="282"/>
  <c r="AL70" i="282"/>
  <c r="AM67" i="282"/>
  <c r="AK55" i="286"/>
  <c r="AK47" i="286"/>
  <c r="AK48" i="286"/>
  <c r="AK48" i="288"/>
  <c r="AK42" i="288"/>
  <c r="AK44" i="288"/>
  <c r="AK81" i="286"/>
  <c r="AK25" i="328"/>
  <c r="AK56" i="286"/>
  <c r="AL53" i="286"/>
  <c r="AK58" i="286"/>
  <c r="AK64" i="286"/>
  <c r="AK107" i="265"/>
  <c r="AK35" i="265"/>
  <c r="AK95" i="265"/>
  <c r="AK47" i="288"/>
  <c r="AK54" i="288"/>
  <c r="AL45" i="286"/>
  <c r="AK128" i="265"/>
  <c r="AK129" i="265"/>
  <c r="AK135" i="265"/>
  <c r="AM59" i="282"/>
  <c r="AL75" i="282"/>
  <c r="AL76" i="282"/>
  <c r="AO116" i="314"/>
  <c r="AO119" i="314"/>
  <c r="AO140" i="314"/>
  <c r="AN503" i="321"/>
  <c r="AN504" i="321"/>
  <c r="AN507" i="321"/>
  <c r="AN508" i="321"/>
  <c r="AN517" i="321"/>
  <c r="AO122" i="314"/>
  <c r="AO124" i="314"/>
  <c r="AO149" i="314"/>
  <c r="AO150" i="314"/>
  <c r="AL77" i="282"/>
  <c r="AL70" i="286"/>
  <c r="AK57" i="288"/>
  <c r="AK96" i="265"/>
  <c r="AK36" i="265"/>
  <c r="AK59" i="328"/>
  <c r="AK112" i="265"/>
  <c r="AK114" i="265"/>
  <c r="AK134" i="265"/>
  <c r="AL458" i="321"/>
  <c r="AL48" i="314"/>
  <c r="AL9" i="286"/>
  <c r="AL74" i="286"/>
  <c r="AK137" i="265"/>
  <c r="AK136" i="265"/>
  <c r="AL46" i="265"/>
  <c r="AL31" i="265"/>
  <c r="AO153" i="314"/>
  <c r="AO144" i="314"/>
  <c r="AN513" i="321"/>
  <c r="AN514" i="321"/>
  <c r="AN518" i="321"/>
  <c r="AN519" i="321"/>
  <c r="AN522" i="321"/>
  <c r="AN523" i="321"/>
  <c r="AN509" i="321"/>
  <c r="AN199" i="288"/>
  <c r="AN193" i="288"/>
  <c r="AN83" i="315"/>
  <c r="AN531" i="321"/>
  <c r="AN524" i="321"/>
  <c r="AN200" i="288"/>
  <c r="AN530" i="321"/>
  <c r="AN532" i="321"/>
  <c r="X31" i="277"/>
  <c r="AL33" i="265"/>
  <c r="AL47" i="265"/>
  <c r="X46" i="277"/>
  <c r="X47" i="277"/>
  <c r="AL27" i="288"/>
  <c r="AL29" i="288"/>
  <c r="AL65" i="265"/>
  <c r="AL71" i="286"/>
  <c r="AL72" i="286"/>
  <c r="AL78" i="286"/>
  <c r="AL46" i="286"/>
  <c r="X33" i="277"/>
  <c r="AO527" i="321"/>
  <c r="AN120" i="315"/>
  <c r="AN84" i="315"/>
  <c r="AN85" i="315"/>
  <c r="AN87" i="286"/>
  <c r="AN88" i="286"/>
  <c r="AO496" i="321"/>
  <c r="AO498" i="321"/>
  <c r="AO521" i="321"/>
  <c r="AL77" i="265"/>
  <c r="AL85" i="288"/>
  <c r="AL65" i="288"/>
  <c r="AL68" i="288"/>
  <c r="AL113" i="288"/>
  <c r="AL10" i="321"/>
  <c r="AL12" i="321"/>
  <c r="AL20" i="328"/>
  <c r="X40" i="328"/>
  <c r="AL32" i="288"/>
  <c r="X65" i="277"/>
  <c r="X77" i="277"/>
  <c r="AL39" i="311"/>
  <c r="AL70" i="288"/>
  <c r="AL57" i="328"/>
  <c r="X68" i="328"/>
  <c r="AL87" i="288"/>
  <c r="AL89" i="288"/>
  <c r="AL92" i="288"/>
  <c r="AL94" i="288"/>
  <c r="AL49" i="314"/>
  <c r="AL51" i="314"/>
  <c r="AO499" i="321"/>
  <c r="AO103" i="282"/>
  <c r="AO108" i="282"/>
  <c r="AO512" i="321"/>
  <c r="AO506" i="321"/>
  <c r="AN91" i="286"/>
  <c r="AN93" i="286"/>
  <c r="AN104" i="286"/>
  <c r="AN94" i="286"/>
  <c r="AN105" i="286"/>
  <c r="AN106" i="286"/>
  <c r="AN109" i="286"/>
  <c r="AN111" i="286"/>
  <c r="AN98" i="286"/>
  <c r="AN99" i="286"/>
  <c r="AN201" i="288"/>
  <c r="AO116" i="282"/>
  <c r="AO25" i="315"/>
  <c r="AO27" i="315"/>
  <c r="AL53" i="314"/>
  <c r="AL54" i="314"/>
  <c r="AL64" i="314"/>
  <c r="AL66" i="314"/>
  <c r="AL56" i="314"/>
  <c r="AL58" i="314"/>
  <c r="AL80" i="311"/>
  <c r="AL60" i="314"/>
  <c r="AL62" i="314"/>
  <c r="AL67" i="314"/>
  <c r="AL82" i="314"/>
  <c r="AO112" i="282"/>
  <c r="AO117" i="282"/>
  <c r="AO96" i="286"/>
  <c r="AN122" i="315"/>
  <c r="AN112" i="286"/>
  <c r="AN116" i="286"/>
  <c r="AN117" i="286"/>
  <c r="AN202" i="288"/>
  <c r="AN87" i="315"/>
  <c r="AO114" i="286"/>
  <c r="AN123" i="315"/>
  <c r="AN88" i="315"/>
  <c r="AN89" i="315"/>
  <c r="AO90" i="286"/>
  <c r="AO120" i="282"/>
  <c r="AO121" i="282"/>
  <c r="AO123" i="282"/>
  <c r="AO124" i="282"/>
  <c r="AL79" i="265"/>
  <c r="AL73" i="314"/>
  <c r="AL75" i="314"/>
  <c r="AL80" i="265"/>
  <c r="X80" i="277"/>
  <c r="AL83" i="314"/>
  <c r="AL84" i="314"/>
  <c r="X79" i="277"/>
  <c r="AL82" i="265"/>
  <c r="AO136" i="282"/>
  <c r="AO130" i="282"/>
  <c r="AO126" i="282"/>
  <c r="AO128" i="282"/>
  <c r="AN131" i="286"/>
  <c r="AN143" i="286"/>
  <c r="AN144" i="286"/>
  <c r="AN147" i="286"/>
  <c r="AN148" i="286"/>
  <c r="AO108" i="286"/>
  <c r="AN132" i="286"/>
  <c r="AN124" i="286"/>
  <c r="AN125" i="286"/>
  <c r="AN198" i="288"/>
  <c r="AN192" i="288"/>
  <c r="AN194" i="288"/>
  <c r="AN149" i="286"/>
  <c r="AN133" i="286"/>
  <c r="AO131" i="282"/>
  <c r="AO137" i="282"/>
  <c r="AO132" i="282"/>
  <c r="AO138" i="282"/>
  <c r="AP135" i="282"/>
  <c r="AL85" i="265"/>
  <c r="X82" i="277"/>
  <c r="AM81" i="314"/>
  <c r="AL111" i="265"/>
  <c r="AL87" i="314"/>
  <c r="AL90" i="314"/>
  <c r="AL60" i="328"/>
  <c r="X71" i="328"/>
  <c r="X111" i="277"/>
  <c r="AM37" i="314"/>
  <c r="AM40" i="314"/>
  <c r="AM61" i="314"/>
  <c r="X85" i="277"/>
  <c r="AL459" i="321"/>
  <c r="AL460" i="321"/>
  <c r="AP127" i="282"/>
  <c r="AO143" i="282"/>
  <c r="AO144" i="282"/>
  <c r="AO130" i="286"/>
  <c r="AN103" i="315"/>
  <c r="AN108" i="315"/>
  <c r="AN110" i="315"/>
  <c r="AN130" i="315"/>
  <c r="AN33" i="315"/>
  <c r="AN34" i="315"/>
  <c r="AN91" i="315"/>
  <c r="AN92" i="315"/>
  <c r="AN197" i="288"/>
  <c r="AN204" i="288"/>
  <c r="AO122" i="286"/>
  <c r="AN124" i="315"/>
  <c r="AN125" i="315"/>
  <c r="AN131" i="315"/>
  <c r="AO138" i="286"/>
  <c r="AN207" i="288"/>
  <c r="AN133" i="315"/>
  <c r="AN132" i="315"/>
  <c r="AO502" i="321"/>
  <c r="AO127" i="314"/>
  <c r="AO86" i="286"/>
  <c r="AO142" i="286"/>
  <c r="AO145" i="282"/>
  <c r="AL463" i="321"/>
  <c r="AL464" i="321"/>
  <c r="AL473" i="321"/>
  <c r="AM43" i="314"/>
  <c r="AM45" i="314"/>
  <c r="AM70" i="314"/>
  <c r="AM71" i="314"/>
  <c r="AM74" i="314"/>
  <c r="AM65" i="314"/>
  <c r="AL469" i="321"/>
  <c r="AL470" i="321"/>
  <c r="AL474" i="321"/>
  <c r="AL475" i="321"/>
  <c r="AL478" i="321"/>
  <c r="AL479" i="321"/>
  <c r="AL465" i="321"/>
  <c r="AL49" i="288"/>
  <c r="AL43" i="288"/>
  <c r="AL23" i="328"/>
  <c r="X43" i="328"/>
  <c r="AO44" i="315"/>
  <c r="AO45" i="315"/>
  <c r="AO29" i="315"/>
  <c r="AO31" i="315"/>
  <c r="AO139" i="286"/>
  <c r="AO140" i="286"/>
  <c r="AO146" i="286"/>
  <c r="AO123" i="286"/>
  <c r="AO177" i="288"/>
  <c r="AO179" i="288"/>
  <c r="AO63" i="315"/>
  <c r="AL87" i="265"/>
  <c r="AL487" i="321"/>
  <c r="AL480" i="321"/>
  <c r="AL50" i="288"/>
  <c r="AL24" i="328"/>
  <c r="X44" i="328"/>
  <c r="AL486" i="321"/>
  <c r="AL488" i="321"/>
  <c r="AM483" i="321"/>
  <c r="AL124" i="265"/>
  <c r="AL88" i="265"/>
  <c r="X88" i="277"/>
  <c r="X87" i="277"/>
  <c r="AL89" i="265"/>
  <c r="AO73" i="315"/>
  <c r="AO235" i="288"/>
  <c r="AO215" i="288"/>
  <c r="AO218" i="288"/>
  <c r="AO220" i="288"/>
  <c r="AO263" i="288"/>
  <c r="AO182" i="288"/>
  <c r="AO237" i="288"/>
  <c r="AO239" i="288"/>
  <c r="AO242" i="288"/>
  <c r="AO244" i="288"/>
  <c r="AO128" i="314"/>
  <c r="AO130" i="314"/>
  <c r="AL10" i="286"/>
  <c r="AL11" i="286"/>
  <c r="X89" i="277"/>
  <c r="X124" i="277"/>
  <c r="AM452" i="321"/>
  <c r="AM454" i="321"/>
  <c r="AM477" i="321"/>
  <c r="AM455" i="321"/>
  <c r="AM35" i="282"/>
  <c r="AM40" i="282"/>
  <c r="AM468" i="321"/>
  <c r="AM462" i="321"/>
  <c r="AL14" i="286"/>
  <c r="AL16" i="286"/>
  <c r="AL27" i="286"/>
  <c r="AO132" i="314"/>
  <c r="AO133" i="314"/>
  <c r="AO143" i="314"/>
  <c r="AO145" i="314"/>
  <c r="AO135" i="314"/>
  <c r="AO137" i="314"/>
  <c r="AO139" i="314"/>
  <c r="AO141" i="314"/>
  <c r="AO146" i="314"/>
  <c r="AO161" i="314"/>
  <c r="AL17" i="286"/>
  <c r="AL28" i="286"/>
  <c r="AL29" i="286"/>
  <c r="AL32" i="286"/>
  <c r="AL34" i="286"/>
  <c r="AL21" i="286"/>
  <c r="AL22" i="286"/>
  <c r="AL51" i="288"/>
  <c r="AM48" i="282"/>
  <c r="AM27" i="265"/>
  <c r="AM29" i="265"/>
  <c r="AM19" i="286"/>
  <c r="AL126" i="265"/>
  <c r="AL35" i="286"/>
  <c r="AL39" i="286"/>
  <c r="AL40" i="286"/>
  <c r="AL52" i="288"/>
  <c r="AL91" i="265"/>
  <c r="AO75" i="315"/>
  <c r="AO152" i="314"/>
  <c r="AO154" i="314"/>
  <c r="AO76" i="315"/>
  <c r="AO162" i="314"/>
  <c r="AO163" i="314"/>
  <c r="AO78" i="315"/>
  <c r="X91" i="277"/>
  <c r="AM37" i="286"/>
  <c r="AL127" i="265"/>
  <c r="X127" i="277"/>
  <c r="AL92" i="265"/>
  <c r="X126" i="277"/>
  <c r="AM13" i="286"/>
  <c r="AM44" i="282"/>
  <c r="AM49" i="282"/>
  <c r="AM52" i="282"/>
  <c r="AM53" i="282"/>
  <c r="AM55" i="282"/>
  <c r="AM56" i="282"/>
  <c r="AL92" i="277"/>
  <c r="AL93" i="265"/>
  <c r="AM31" i="286"/>
  <c r="X93" i="277"/>
  <c r="AO81" i="315"/>
  <c r="AP160" i="314"/>
  <c r="AO107" i="315"/>
  <c r="AP116" i="314"/>
  <c r="AP119" i="314"/>
  <c r="AP140" i="314"/>
  <c r="AO503" i="321"/>
  <c r="AO504" i="321"/>
  <c r="AL54" i="286"/>
  <c r="AL75" i="286"/>
  <c r="AL76" i="286"/>
  <c r="AL79" i="286"/>
  <c r="AL80" i="286"/>
  <c r="AM68" i="282"/>
  <c r="AM62" i="282"/>
  <c r="AM58" i="282"/>
  <c r="AM60" i="282"/>
  <c r="AM63" i="282"/>
  <c r="AM69" i="282"/>
  <c r="AM64" i="282"/>
  <c r="AM70" i="282"/>
  <c r="AN67" i="282"/>
  <c r="AL55" i="286"/>
  <c r="AL47" i="286"/>
  <c r="AL48" i="286"/>
  <c r="AL48" i="288"/>
  <c r="AL42" i="288"/>
  <c r="AL44" i="288"/>
  <c r="AL81" i="286"/>
  <c r="AL25" i="328"/>
  <c r="X45" i="328"/>
  <c r="AL56" i="286"/>
  <c r="AO507" i="321"/>
  <c r="AO508" i="321"/>
  <c r="AO517" i="321"/>
  <c r="AP122" i="314"/>
  <c r="AP124" i="314"/>
  <c r="AP149" i="314"/>
  <c r="AP150" i="314"/>
  <c r="AP153" i="314"/>
  <c r="AP144" i="314"/>
  <c r="AO513" i="321"/>
  <c r="AO514" i="321"/>
  <c r="AO518" i="321"/>
  <c r="AO519" i="321"/>
  <c r="AO522" i="321"/>
  <c r="AO523" i="321"/>
  <c r="AO509" i="321"/>
  <c r="AO199" i="288"/>
  <c r="AO193" i="288"/>
  <c r="AM53" i="286"/>
  <c r="AL58" i="286"/>
  <c r="AL64" i="286"/>
  <c r="AL107" i="265"/>
  <c r="AL35" i="265"/>
  <c r="AL95" i="265"/>
  <c r="AL47" i="288"/>
  <c r="AL54" i="288"/>
  <c r="AM45" i="286"/>
  <c r="AL128" i="265"/>
  <c r="AN59" i="282"/>
  <c r="AM75" i="282"/>
  <c r="AM76" i="282"/>
  <c r="AM77" i="282"/>
  <c r="X128" i="277"/>
  <c r="X129" i="277"/>
  <c r="X135" i="277"/>
  <c r="AL129" i="265"/>
  <c r="AL135" i="265"/>
  <c r="AM70" i="286"/>
  <c r="AL57" i="288"/>
  <c r="X95" i="277"/>
  <c r="AL96" i="265"/>
  <c r="X35" i="277"/>
  <c r="AL36" i="265"/>
  <c r="AL59" i="328"/>
  <c r="X70" i="328"/>
  <c r="X107" i="277"/>
  <c r="X112" i="277"/>
  <c r="X114" i="277"/>
  <c r="X134" i="277"/>
  <c r="AL112" i="265"/>
  <c r="AL114" i="265"/>
  <c r="AL134" i="265"/>
  <c r="AM458" i="321"/>
  <c r="AM48" i="314"/>
  <c r="AM9" i="286"/>
  <c r="AM74" i="286"/>
  <c r="AO83" i="315"/>
  <c r="AO531" i="321"/>
  <c r="AO524" i="321"/>
  <c r="AO200" i="288"/>
  <c r="AO530" i="321"/>
  <c r="AO532" i="321"/>
  <c r="AP527" i="321"/>
  <c r="AO120" i="315"/>
  <c r="AO84" i="315"/>
  <c r="AO85" i="315"/>
  <c r="AL137" i="265"/>
  <c r="AL136" i="265"/>
  <c r="X137" i="277"/>
  <c r="X136" i="277"/>
  <c r="X36" i="277"/>
  <c r="X96" i="277"/>
  <c r="AM46" i="265"/>
  <c r="AM31" i="265"/>
  <c r="AM33" i="265"/>
  <c r="AM47" i="265"/>
  <c r="AO87" i="286"/>
  <c r="AO88" i="286"/>
  <c r="AP496" i="321"/>
  <c r="AP498" i="321"/>
  <c r="AP521" i="321"/>
  <c r="AP499" i="321"/>
  <c r="AP103" i="282"/>
  <c r="AP108" i="282"/>
  <c r="AP512" i="321"/>
  <c r="AP506" i="321"/>
  <c r="AO91" i="286"/>
  <c r="AO93" i="286"/>
  <c r="AO104" i="286"/>
  <c r="AM27" i="288"/>
  <c r="AM29" i="288"/>
  <c r="AM65" i="265"/>
  <c r="AM71" i="286"/>
  <c r="AM72" i="286"/>
  <c r="AM78" i="286"/>
  <c r="AM46" i="286"/>
  <c r="AM77" i="265"/>
  <c r="AM85" i="288"/>
  <c r="AM65" i="288"/>
  <c r="AM68" i="288"/>
  <c r="AM113" i="288"/>
  <c r="AM10" i="321"/>
  <c r="AM12" i="321"/>
  <c r="AM20" i="328"/>
  <c r="AM32" i="288"/>
  <c r="AO94" i="286"/>
  <c r="AO105" i="286"/>
  <c r="AO106" i="286"/>
  <c r="AO109" i="286"/>
  <c r="AO111" i="286"/>
  <c r="AO98" i="286"/>
  <c r="AO99" i="286"/>
  <c r="AO201" i="288"/>
  <c r="AP116" i="282"/>
  <c r="AP25" i="315"/>
  <c r="AP27" i="315"/>
  <c r="AP112" i="282"/>
  <c r="AP117" i="282"/>
  <c r="AP96" i="286"/>
  <c r="AO122" i="315"/>
  <c r="AO112" i="286"/>
  <c r="AO116" i="286"/>
  <c r="AO117" i="286"/>
  <c r="AO202" i="288"/>
  <c r="AO87" i="315"/>
  <c r="AM39" i="311"/>
  <c r="AM70" i="288"/>
  <c r="AM57" i="328"/>
  <c r="AM87" i="288"/>
  <c r="AM89" i="288"/>
  <c r="AM92" i="288"/>
  <c r="AM94" i="288"/>
  <c r="AM49" i="314"/>
  <c r="AM51" i="314"/>
  <c r="AM53" i="314"/>
  <c r="AM54" i="314"/>
  <c r="AM64" i="314"/>
  <c r="AM66" i="314"/>
  <c r="AM56" i="314"/>
  <c r="AM58" i="314"/>
  <c r="AM80" i="311"/>
  <c r="AP114" i="286"/>
  <c r="AO123" i="315"/>
  <c r="AO88" i="315"/>
  <c r="AO89" i="315"/>
  <c r="AP90" i="286"/>
  <c r="AP120" i="282"/>
  <c r="AP121" i="282"/>
  <c r="AP123" i="282"/>
  <c r="AP124" i="282"/>
  <c r="AP136" i="282"/>
  <c r="AP130" i="282"/>
  <c r="AP126" i="282"/>
  <c r="AP128" i="282"/>
  <c r="AO131" i="286"/>
  <c r="AO143" i="286"/>
  <c r="AO144" i="286"/>
  <c r="AO147" i="286"/>
  <c r="AO148" i="286"/>
  <c r="AP108" i="286"/>
  <c r="AM60" i="314"/>
  <c r="AM62" i="314"/>
  <c r="AM67" i="314"/>
  <c r="AM82" i="314"/>
  <c r="AM79" i="265"/>
  <c r="AM73" i="314"/>
  <c r="AM75" i="314"/>
  <c r="AO132" i="286"/>
  <c r="AO124" i="286"/>
  <c r="AO125" i="286"/>
  <c r="AO198" i="288"/>
  <c r="AO192" i="288"/>
  <c r="AO194" i="288"/>
  <c r="AO149" i="286"/>
  <c r="AO133" i="286"/>
  <c r="AP131" i="282"/>
  <c r="AP137" i="282"/>
  <c r="AP132" i="282"/>
  <c r="AP138" i="282"/>
  <c r="AQ135" i="282"/>
  <c r="AQ127" i="282"/>
  <c r="AP143" i="282"/>
  <c r="AP144" i="282"/>
  <c r="AP130" i="286"/>
  <c r="AO103" i="315"/>
  <c r="AO108" i="315"/>
  <c r="AO110" i="315"/>
  <c r="AO130" i="315"/>
  <c r="AO33" i="315"/>
  <c r="AO34" i="315"/>
  <c r="AO91" i="315"/>
  <c r="AO92" i="315"/>
  <c r="AO197" i="288"/>
  <c r="AO204" i="288"/>
  <c r="AP122" i="286"/>
  <c r="AO124" i="315"/>
  <c r="AO125" i="315"/>
  <c r="AO131" i="315"/>
  <c r="AM80" i="265"/>
  <c r="AM83" i="314"/>
  <c r="AM84" i="314"/>
  <c r="AM82" i="265"/>
  <c r="AM85" i="265"/>
  <c r="AN81" i="314"/>
  <c r="AM111" i="265"/>
  <c r="AM60" i="328"/>
  <c r="AM87" i="314"/>
  <c r="AM90" i="314"/>
  <c r="AP138" i="286"/>
  <c r="AO207" i="288"/>
  <c r="AO133" i="315"/>
  <c r="AO132" i="315"/>
  <c r="AP502" i="321"/>
  <c r="AP127" i="314"/>
  <c r="AP86" i="286"/>
  <c r="AP142" i="286"/>
  <c r="AP145" i="282"/>
  <c r="AP44" i="315"/>
  <c r="AP45" i="315"/>
  <c r="AP29" i="315"/>
  <c r="AP31" i="315"/>
  <c r="AN37" i="314"/>
  <c r="AN40" i="314"/>
  <c r="AN61" i="314"/>
  <c r="AM459" i="321"/>
  <c r="AM460" i="321"/>
  <c r="AM463" i="321"/>
  <c r="AM464" i="321"/>
  <c r="AM473" i="321"/>
  <c r="AN43" i="314"/>
  <c r="AN45" i="314"/>
  <c r="AN70" i="314"/>
  <c r="AN71" i="314"/>
  <c r="AP139" i="286"/>
  <c r="AP140" i="286"/>
  <c r="AP146" i="286"/>
  <c r="AP123" i="286"/>
  <c r="AP177" i="288"/>
  <c r="AP179" i="288"/>
  <c r="AP63" i="315"/>
  <c r="AP73" i="315"/>
  <c r="AP235" i="288"/>
  <c r="AP215" i="288"/>
  <c r="AP218" i="288"/>
  <c r="AP220" i="288"/>
  <c r="AP263" i="288"/>
  <c r="AP182" i="288"/>
  <c r="AN74" i="314"/>
  <c r="AN65" i="314"/>
  <c r="AM469" i="321"/>
  <c r="AM470" i="321"/>
  <c r="AM474" i="321"/>
  <c r="AM475" i="321"/>
  <c r="AM478" i="321"/>
  <c r="AM479" i="321"/>
  <c r="AM465" i="321"/>
  <c r="AM49" i="288"/>
  <c r="AM43" i="288"/>
  <c r="AM23" i="328"/>
  <c r="AM87" i="265"/>
  <c r="AM487" i="321"/>
  <c r="AM480" i="321"/>
  <c r="AM50" i="288"/>
  <c r="AM24" i="328"/>
  <c r="AM486" i="321"/>
  <c r="AM488" i="321"/>
  <c r="AP237" i="288"/>
  <c r="AP239" i="288"/>
  <c r="AP242" i="288"/>
  <c r="AP244" i="288"/>
  <c r="AP128" i="314"/>
  <c r="AP130" i="314"/>
  <c r="AP132" i="314"/>
  <c r="AP133" i="314"/>
  <c r="AP143" i="314"/>
  <c r="AP145" i="314"/>
  <c r="AP135" i="314"/>
  <c r="AP137" i="314"/>
  <c r="AN483" i="321"/>
  <c r="AM124" i="265"/>
  <c r="AM88" i="265"/>
  <c r="AM89" i="265"/>
  <c r="AM10" i="286"/>
  <c r="AM11" i="286"/>
  <c r="AN452" i="321"/>
  <c r="AN454" i="321"/>
  <c r="AN477" i="321"/>
  <c r="AP139" i="314"/>
  <c r="AP141" i="314"/>
  <c r="AP146" i="314"/>
  <c r="AP161" i="314"/>
  <c r="AP75" i="315"/>
  <c r="AP152" i="314"/>
  <c r="AP154" i="314"/>
  <c r="AN455" i="321"/>
  <c r="AN35" i="282"/>
  <c r="AN40" i="282"/>
  <c r="AN468" i="321"/>
  <c r="AN462" i="321"/>
  <c r="AM14" i="286"/>
  <c r="AM16" i="286"/>
  <c r="AM27" i="286"/>
  <c r="AM17" i="286"/>
  <c r="AM28" i="286"/>
  <c r="AM29" i="286"/>
  <c r="AM32" i="286"/>
  <c r="AM34" i="286"/>
  <c r="AM21" i="286"/>
  <c r="AM22" i="286"/>
  <c r="AM51" i="288"/>
  <c r="AN48" i="282"/>
  <c r="AN27" i="265"/>
  <c r="AP76" i="315"/>
  <c r="AP162" i="314"/>
  <c r="AP163" i="314"/>
  <c r="AP78" i="315"/>
  <c r="AP81" i="315"/>
  <c r="AQ160" i="314"/>
  <c r="AP107" i="315"/>
  <c r="AN29" i="265"/>
  <c r="Y27" i="277"/>
  <c r="AN19" i="286"/>
  <c r="AM126" i="265"/>
  <c r="AM35" i="286"/>
  <c r="AM39" i="286"/>
  <c r="AM40" i="286"/>
  <c r="AM52" i="288"/>
  <c r="AM91" i="265"/>
  <c r="AN37" i="286"/>
  <c r="AM127" i="265"/>
  <c r="AM92" i="265"/>
  <c r="AN13" i="286"/>
  <c r="Y29" i="277"/>
  <c r="AN44" i="282"/>
  <c r="AN49" i="282"/>
  <c r="AQ116" i="314"/>
  <c r="AQ119" i="314"/>
  <c r="AQ140" i="314"/>
  <c r="AP503" i="321"/>
  <c r="AP504" i="321"/>
  <c r="AP507" i="321"/>
  <c r="AP508" i="321"/>
  <c r="AP517" i="321"/>
  <c r="AQ122" i="314"/>
  <c r="AQ124" i="314"/>
  <c r="AQ149" i="314"/>
  <c r="AQ150" i="314"/>
  <c r="AN52" i="282"/>
  <c r="AN53" i="282"/>
  <c r="AN55" i="282"/>
  <c r="AN56" i="282"/>
  <c r="AM92" i="277"/>
  <c r="AM93" i="265"/>
  <c r="AN31" i="286"/>
  <c r="AM54" i="286"/>
  <c r="AM75" i="286"/>
  <c r="AM76" i="286"/>
  <c r="AM79" i="286"/>
  <c r="AM80" i="286"/>
  <c r="AN68" i="282"/>
  <c r="AN62" i="282"/>
  <c r="AN58" i="282"/>
  <c r="AN60" i="282"/>
  <c r="AQ153" i="314"/>
  <c r="AQ144" i="314"/>
  <c r="AP513" i="321"/>
  <c r="AP514" i="321"/>
  <c r="AP518" i="321"/>
  <c r="AP519" i="321"/>
  <c r="AP522" i="321"/>
  <c r="AP523" i="321"/>
  <c r="AP509" i="321"/>
  <c r="AP199" i="288"/>
  <c r="AP193" i="288"/>
  <c r="AP83" i="315"/>
  <c r="AP531" i="321"/>
  <c r="AP524" i="321"/>
  <c r="AP200" i="288"/>
  <c r="AP530" i="321"/>
  <c r="AP532" i="321"/>
  <c r="AN63" i="282"/>
  <c r="AN69" i="282"/>
  <c r="AN64" i="282"/>
  <c r="AN70" i="282"/>
  <c r="AO67" i="282"/>
  <c r="AM55" i="286"/>
  <c r="AM47" i="286"/>
  <c r="AM48" i="286"/>
  <c r="AM48" i="288"/>
  <c r="AM42" i="288"/>
  <c r="AM44" i="288"/>
  <c r="AM81" i="286"/>
  <c r="AM25" i="328"/>
  <c r="AM56" i="286"/>
  <c r="AN53" i="286"/>
  <c r="AM58" i="286"/>
  <c r="AM64" i="286"/>
  <c r="AM107" i="265"/>
  <c r="AM35" i="265"/>
  <c r="AM95" i="265"/>
  <c r="AM47" i="288"/>
  <c r="AM54" i="288"/>
  <c r="AN45" i="286"/>
  <c r="AM128" i="265"/>
  <c r="AM129" i="265"/>
  <c r="AM135" i="265"/>
  <c r="AO59" i="282"/>
  <c r="AN75" i="282"/>
  <c r="AN76" i="282"/>
  <c r="AQ527" i="321"/>
  <c r="AP120" i="315"/>
  <c r="AP84" i="315"/>
  <c r="AP85" i="315"/>
  <c r="AP87" i="286"/>
  <c r="AP88" i="286"/>
  <c r="AQ496" i="321"/>
  <c r="AQ498" i="321"/>
  <c r="AQ521" i="321"/>
  <c r="AN77" i="282"/>
  <c r="AN70" i="286"/>
  <c r="AM57" i="288"/>
  <c r="AM96" i="265"/>
  <c r="AM36" i="265"/>
  <c r="AM59" i="328"/>
  <c r="AM112" i="265"/>
  <c r="AM114" i="265"/>
  <c r="AM134" i="265"/>
  <c r="AN458" i="321"/>
  <c r="AN48" i="314"/>
  <c r="AN9" i="286"/>
  <c r="AN74" i="286"/>
  <c r="AM137" i="265"/>
  <c r="AM136" i="265"/>
  <c r="AN46" i="265"/>
  <c r="AN31" i="265"/>
  <c r="AQ499" i="321"/>
  <c r="AQ103" i="282"/>
  <c r="AQ108" i="282"/>
  <c r="AQ512" i="321"/>
  <c r="AQ506" i="321"/>
  <c r="AP91" i="286"/>
  <c r="AP93" i="286"/>
  <c r="AP104" i="286"/>
  <c r="AP94" i="286"/>
  <c r="AP105" i="286"/>
  <c r="AP106" i="286"/>
  <c r="AP109" i="286"/>
  <c r="AP111" i="286"/>
  <c r="AP98" i="286"/>
  <c r="AP99" i="286"/>
  <c r="AP201" i="288"/>
  <c r="AQ116" i="282"/>
  <c r="AQ25" i="315"/>
  <c r="AQ27" i="315"/>
  <c r="Y31" i="277"/>
  <c r="AN33" i="265"/>
  <c r="AN47" i="265"/>
  <c r="Y46" i="277"/>
  <c r="Y47" i="277"/>
  <c r="AN27" i="288"/>
  <c r="AN29" i="288"/>
  <c r="AN65" i="265"/>
  <c r="AN71" i="286"/>
  <c r="AN72" i="286"/>
  <c r="AN78" i="286"/>
  <c r="AN46" i="286"/>
  <c r="Y33" i="277"/>
  <c r="AQ112" i="282"/>
  <c r="AQ117" i="282"/>
  <c r="AQ96" i="286"/>
  <c r="AP122" i="315"/>
  <c r="AP112" i="286"/>
  <c r="AP116" i="286"/>
  <c r="AP117" i="286"/>
  <c r="AP202" i="288"/>
  <c r="AP87" i="315"/>
  <c r="AQ114" i="286"/>
  <c r="AP123" i="315"/>
  <c r="AP88" i="315"/>
  <c r="AP89" i="315"/>
  <c r="AQ90" i="286"/>
  <c r="AQ120" i="282"/>
  <c r="AQ121" i="282"/>
  <c r="AQ123" i="282"/>
  <c r="AQ124" i="282"/>
  <c r="AN77" i="265"/>
  <c r="AN85" i="288"/>
  <c r="AN65" i="288"/>
  <c r="AN68" i="288"/>
  <c r="AN113" i="288"/>
  <c r="AN10" i="321"/>
  <c r="AN12" i="321"/>
  <c r="AN20" i="328"/>
  <c r="Y40" i="328"/>
  <c r="AN32" i="288"/>
  <c r="Y65" i="277"/>
  <c r="Y77" i="277"/>
  <c r="AN39" i="311"/>
  <c r="AN70" i="288"/>
  <c r="AN57" i="328"/>
  <c r="Y68" i="328"/>
  <c r="AN87" i="288"/>
  <c r="AN89" i="288"/>
  <c r="AN92" i="288"/>
  <c r="AN94" i="288"/>
  <c r="AN49" i="314"/>
  <c r="AN51" i="314"/>
  <c r="AQ136" i="282"/>
  <c r="AQ130" i="282"/>
  <c r="AQ126" i="282"/>
  <c r="AQ128" i="282"/>
  <c r="AP131" i="286"/>
  <c r="AP143" i="286"/>
  <c r="AP144" i="286"/>
  <c r="AP147" i="286"/>
  <c r="AP148" i="286"/>
  <c r="AQ108" i="286"/>
  <c r="AP132" i="286"/>
  <c r="AP124" i="286"/>
  <c r="AP125" i="286"/>
  <c r="AP198" i="288"/>
  <c r="AP192" i="288"/>
  <c r="AP194" i="288"/>
  <c r="AP149" i="286"/>
  <c r="AP133" i="286"/>
  <c r="AQ131" i="282"/>
  <c r="AQ137" i="282"/>
  <c r="AQ132" i="282"/>
  <c r="AQ138" i="282"/>
  <c r="AR135" i="282"/>
  <c r="AN53" i="314"/>
  <c r="AN54" i="314"/>
  <c r="AN64" i="314"/>
  <c r="AN66" i="314"/>
  <c r="AN56" i="314"/>
  <c r="AN58" i="314"/>
  <c r="AN80" i="311"/>
  <c r="AN60" i="314"/>
  <c r="AN62" i="314"/>
  <c r="AN67" i="314"/>
  <c r="AN82" i="314"/>
  <c r="AR127" i="282"/>
  <c r="AQ143" i="282"/>
  <c r="AQ144" i="282"/>
  <c r="AQ130" i="286"/>
  <c r="AP103" i="315"/>
  <c r="AP108" i="315"/>
  <c r="AP110" i="315"/>
  <c r="AP130" i="315"/>
  <c r="AP33" i="315"/>
  <c r="AP34" i="315"/>
  <c r="AP91" i="315"/>
  <c r="AP92" i="315"/>
  <c r="AP197" i="288"/>
  <c r="AP204" i="288"/>
  <c r="AQ122" i="286"/>
  <c r="AP124" i="315"/>
  <c r="AP125" i="315"/>
  <c r="AP131" i="315"/>
  <c r="AQ138" i="286"/>
  <c r="AP207" i="288"/>
  <c r="AP133" i="315"/>
  <c r="AP132" i="315"/>
  <c r="AQ502" i="321"/>
  <c r="AQ127" i="314"/>
  <c r="AQ86" i="286"/>
  <c r="AQ142" i="286"/>
  <c r="AQ145" i="282"/>
  <c r="AN79" i="265"/>
  <c r="AN73" i="314"/>
  <c r="AN75" i="314"/>
  <c r="AN80" i="265"/>
  <c r="Y80" i="277"/>
  <c r="AN83" i="314"/>
  <c r="AN84" i="314"/>
  <c r="Y79" i="277"/>
  <c r="AN82" i="265"/>
  <c r="AQ44" i="315"/>
  <c r="AQ45" i="315"/>
  <c r="AQ29" i="315"/>
  <c r="AQ31" i="315"/>
  <c r="AQ139" i="286"/>
  <c r="AQ140" i="286"/>
  <c r="AQ146" i="286"/>
  <c r="AQ123" i="286"/>
  <c r="AQ177" i="288"/>
  <c r="AQ179" i="288"/>
  <c r="AQ63" i="315"/>
  <c r="AN85" i="265"/>
  <c r="Y82" i="277"/>
  <c r="AO81" i="314"/>
  <c r="AN111" i="265"/>
  <c r="AN87" i="314"/>
  <c r="AN90" i="314"/>
  <c r="AN60" i="328"/>
  <c r="Y71" i="328"/>
  <c r="Y111" i="277"/>
  <c r="AO37" i="314"/>
  <c r="AO40" i="314"/>
  <c r="AO61" i="314"/>
  <c r="Y85" i="277"/>
  <c r="AN459" i="321"/>
  <c r="AN460" i="321"/>
  <c r="AQ73" i="315"/>
  <c r="AQ235" i="288"/>
  <c r="AQ215" i="288"/>
  <c r="AQ218" i="288"/>
  <c r="AQ220" i="288"/>
  <c r="AQ263" i="288"/>
  <c r="AQ182" i="288"/>
  <c r="AQ237" i="288"/>
  <c r="AQ239" i="288"/>
  <c r="AQ242" i="288"/>
  <c r="AQ244" i="288"/>
  <c r="AQ128" i="314"/>
  <c r="AQ130" i="314"/>
  <c r="AN463" i="321"/>
  <c r="AN464" i="321"/>
  <c r="AN473" i="321"/>
  <c r="AO43" i="314"/>
  <c r="AO45" i="314"/>
  <c r="AO70" i="314"/>
  <c r="AO71" i="314"/>
  <c r="AO74" i="314"/>
  <c r="AO65" i="314"/>
  <c r="AN469" i="321"/>
  <c r="AN470" i="321"/>
  <c r="AN474" i="321"/>
  <c r="AN475" i="321"/>
  <c r="AN478" i="321"/>
  <c r="AN479" i="321"/>
  <c r="AN465" i="321"/>
  <c r="AN49" i="288"/>
  <c r="AN43" i="288"/>
  <c r="AN23" i="328"/>
  <c r="Y43" i="328"/>
  <c r="AQ132" i="314"/>
  <c r="AQ133" i="314"/>
  <c r="AQ143" i="314"/>
  <c r="AQ145" i="314"/>
  <c r="AQ135" i="314"/>
  <c r="AQ137" i="314"/>
  <c r="AQ139" i="314"/>
  <c r="AQ141" i="314"/>
  <c r="AQ146" i="314"/>
  <c r="AQ161" i="314"/>
  <c r="AN87" i="265"/>
  <c r="AN487" i="321"/>
  <c r="AN480" i="321"/>
  <c r="AN50" i="288"/>
  <c r="AN24" i="328"/>
  <c r="Y44" i="328"/>
  <c r="AN486" i="321"/>
  <c r="AN488" i="321"/>
  <c r="AO483" i="321"/>
  <c r="AN124" i="265"/>
  <c r="AN88" i="265"/>
  <c r="Y88" i="277"/>
  <c r="Y87" i="277"/>
  <c r="AN89" i="265"/>
  <c r="AQ75" i="315"/>
  <c r="AQ152" i="314"/>
  <c r="AQ154" i="314"/>
  <c r="AQ76" i="315"/>
  <c r="AQ162" i="314"/>
  <c r="AQ163" i="314"/>
  <c r="AQ78" i="315"/>
  <c r="AN10" i="286"/>
  <c r="AN11" i="286"/>
  <c r="Y89" i="277"/>
  <c r="Y124" i="277"/>
  <c r="AO452" i="321"/>
  <c r="AO454" i="321"/>
  <c r="AO477" i="321"/>
  <c r="AO455" i="321"/>
  <c r="AO35" i="282"/>
  <c r="AO40" i="282"/>
  <c r="AO468" i="321"/>
  <c r="AO462" i="321"/>
  <c r="AN14" i="286"/>
  <c r="AN16" i="286"/>
  <c r="AN27" i="286"/>
  <c r="AQ81" i="315"/>
  <c r="AR160" i="314"/>
  <c r="AQ107" i="315"/>
  <c r="AR116" i="314"/>
  <c r="AR119" i="314"/>
  <c r="AR140" i="314"/>
  <c r="AQ503" i="321"/>
  <c r="AQ504" i="321"/>
  <c r="AN17" i="286"/>
  <c r="AN28" i="286"/>
  <c r="AN29" i="286"/>
  <c r="AN32" i="286"/>
  <c r="AN34" i="286"/>
  <c r="AN21" i="286"/>
  <c r="AN22" i="286"/>
  <c r="AN51" i="288"/>
  <c r="AO48" i="282"/>
  <c r="AO27" i="265"/>
  <c r="AO29" i="265"/>
  <c r="AO19" i="286"/>
  <c r="AN126" i="265"/>
  <c r="AN35" i="286"/>
  <c r="AN39" i="286"/>
  <c r="AN40" i="286"/>
  <c r="AN52" i="288"/>
  <c r="AN91" i="265"/>
  <c r="AQ507" i="321"/>
  <c r="AQ508" i="321"/>
  <c r="AQ517" i="321"/>
  <c r="AR122" i="314"/>
  <c r="AR124" i="314"/>
  <c r="AR149" i="314"/>
  <c r="AR150" i="314"/>
  <c r="AR153" i="314"/>
  <c r="AR144" i="314"/>
  <c r="AQ513" i="321"/>
  <c r="AQ514" i="321"/>
  <c r="AQ518" i="321"/>
  <c r="AQ519" i="321"/>
  <c r="AQ522" i="321"/>
  <c r="AQ523" i="321"/>
  <c r="AQ509" i="321"/>
  <c r="AQ199" i="288"/>
  <c r="AQ193" i="288"/>
  <c r="Y91" i="277"/>
  <c r="AO37" i="286"/>
  <c r="AN127" i="265"/>
  <c r="Y127" i="277"/>
  <c r="AN92" i="265"/>
  <c r="Y126" i="277"/>
  <c r="AO13" i="286"/>
  <c r="AO44" i="282"/>
  <c r="AO49" i="282"/>
  <c r="AO52" i="282"/>
  <c r="AO53" i="282"/>
  <c r="AO55" i="282"/>
  <c r="AO56" i="282"/>
  <c r="AN92" i="277"/>
  <c r="AN93" i="265"/>
  <c r="AO31" i="286"/>
  <c r="Y93" i="277"/>
  <c r="AQ83" i="315"/>
  <c r="AQ531" i="321"/>
  <c r="AQ524" i="321"/>
  <c r="AQ200" i="288"/>
  <c r="AQ530" i="321"/>
  <c r="AQ532" i="321"/>
  <c r="AR527" i="321"/>
  <c r="AQ120" i="315"/>
  <c r="AQ84" i="315"/>
  <c r="AQ85" i="315"/>
  <c r="AN54" i="286"/>
  <c r="AN75" i="286"/>
  <c r="AN76" i="286"/>
  <c r="AN79" i="286"/>
  <c r="AN80" i="286"/>
  <c r="AO68" i="282"/>
  <c r="AO62" i="282"/>
  <c r="AO58" i="282"/>
  <c r="AO60" i="282"/>
  <c r="AO63" i="282"/>
  <c r="AO69" i="282"/>
  <c r="AO64" i="282"/>
  <c r="AO70" i="282"/>
  <c r="AP67" i="282"/>
  <c r="AN55" i="286"/>
  <c r="AN47" i="286"/>
  <c r="AN48" i="286"/>
  <c r="AN48" i="288"/>
  <c r="AN42" i="288"/>
  <c r="AN44" i="288"/>
  <c r="AN81" i="286"/>
  <c r="AN25" i="328"/>
  <c r="Y45" i="328"/>
  <c r="AN56" i="286"/>
  <c r="AQ87" i="286"/>
  <c r="AQ88" i="286"/>
  <c r="AR496" i="321"/>
  <c r="AR498" i="321"/>
  <c r="AR521" i="321"/>
  <c r="AR499" i="321"/>
  <c r="AR103" i="282"/>
  <c r="AR108" i="282"/>
  <c r="AR512" i="321"/>
  <c r="AR506" i="321"/>
  <c r="AQ91" i="286"/>
  <c r="AQ93" i="286"/>
  <c r="AQ104" i="286"/>
  <c r="AO53" i="286"/>
  <c r="AN58" i="286"/>
  <c r="AN64" i="286"/>
  <c r="AN107" i="265"/>
  <c r="AN35" i="265"/>
  <c r="AN95" i="265"/>
  <c r="AN47" i="288"/>
  <c r="AN54" i="288"/>
  <c r="AO45" i="286"/>
  <c r="AN128" i="265"/>
  <c r="AP59" i="282"/>
  <c r="AO75" i="282"/>
  <c r="AO76" i="282"/>
  <c r="AO77" i="282"/>
  <c r="Y128" i="277"/>
  <c r="Y129" i="277"/>
  <c r="Y135" i="277"/>
  <c r="AN129" i="265"/>
  <c r="AN135" i="265"/>
  <c r="AO70" i="286"/>
  <c r="AN57" i="288"/>
  <c r="Y95" i="277"/>
  <c r="AN96" i="265"/>
  <c r="Y35" i="277"/>
  <c r="AN36" i="265"/>
  <c r="AN59" i="328"/>
  <c r="Y70" i="328"/>
  <c r="Y107" i="277"/>
  <c r="Y112" i="277"/>
  <c r="Y114" i="277"/>
  <c r="Y134" i="277"/>
  <c r="AN112" i="265"/>
  <c r="AN114" i="265"/>
  <c r="AN134" i="265"/>
  <c r="AO458" i="321"/>
  <c r="AO48" i="314"/>
  <c r="AO9" i="286"/>
  <c r="AO74" i="286"/>
  <c r="AQ94" i="286"/>
  <c r="AQ105" i="286"/>
  <c r="AQ106" i="286"/>
  <c r="AQ109" i="286"/>
  <c r="AQ111" i="286"/>
  <c r="AQ98" i="286"/>
  <c r="AQ99" i="286"/>
  <c r="AQ201" i="288"/>
  <c r="AR116" i="282"/>
  <c r="AR25" i="315"/>
  <c r="AR27" i="315"/>
  <c r="AR112" i="282"/>
  <c r="AR117" i="282"/>
  <c r="AR96" i="286"/>
  <c r="AQ122" i="315"/>
  <c r="AQ112" i="286"/>
  <c r="AQ116" i="286"/>
  <c r="AQ117" i="286"/>
  <c r="AQ202" i="288"/>
  <c r="AQ87" i="315"/>
  <c r="AN137" i="265"/>
  <c r="AN136" i="265"/>
  <c r="Y137" i="277"/>
  <c r="Y136" i="277"/>
  <c r="Y36" i="277"/>
  <c r="Y96" i="277"/>
  <c r="AO46" i="265"/>
  <c r="AO31" i="265"/>
  <c r="AO33" i="265"/>
  <c r="AO47" i="265"/>
  <c r="AR114" i="286"/>
  <c r="AQ123" i="315"/>
  <c r="AQ88" i="315"/>
  <c r="AQ89" i="315"/>
  <c r="AR90" i="286"/>
  <c r="AR120" i="282"/>
  <c r="AR121" i="282"/>
  <c r="AR123" i="282"/>
  <c r="AR124" i="282"/>
  <c r="AR136" i="282"/>
  <c r="AR130" i="282"/>
  <c r="AR126" i="282"/>
  <c r="AR128" i="282"/>
  <c r="AQ131" i="286"/>
  <c r="AQ143" i="286"/>
  <c r="AQ144" i="286"/>
  <c r="AQ147" i="286"/>
  <c r="AQ148" i="286"/>
  <c r="AR108" i="286"/>
  <c r="AO27" i="288"/>
  <c r="AO29" i="288"/>
  <c r="AO65" i="265"/>
  <c r="AO71" i="286"/>
  <c r="AO72" i="286"/>
  <c r="AO78" i="286"/>
  <c r="AO46" i="286"/>
  <c r="AO77" i="265"/>
  <c r="AO85" i="288"/>
  <c r="AO65" i="288"/>
  <c r="AO68" i="288"/>
  <c r="AO113" i="288"/>
  <c r="AO10" i="321"/>
  <c r="AO12" i="321"/>
  <c r="AO20" i="328"/>
  <c r="AO32" i="288"/>
  <c r="AQ132" i="286"/>
  <c r="AQ124" i="286"/>
  <c r="AQ125" i="286"/>
  <c r="AQ198" i="288"/>
  <c r="AQ192" i="288"/>
  <c r="AQ194" i="288"/>
  <c r="AQ149" i="286"/>
  <c r="AQ133" i="286"/>
  <c r="AR131" i="282"/>
  <c r="AR137" i="282"/>
  <c r="AR132" i="282"/>
  <c r="AR138" i="282"/>
  <c r="AS135" i="282"/>
  <c r="AS127" i="282"/>
  <c r="AR143" i="282"/>
  <c r="AR144" i="282"/>
  <c r="AR130" i="286"/>
  <c r="AQ103" i="315"/>
  <c r="AQ108" i="315"/>
  <c r="AQ110" i="315"/>
  <c r="AQ130" i="315"/>
  <c r="AQ33" i="315"/>
  <c r="AQ34" i="315"/>
  <c r="AQ91" i="315"/>
  <c r="AQ92" i="315"/>
  <c r="AQ197" i="288"/>
  <c r="AQ204" i="288"/>
  <c r="AR122" i="286"/>
  <c r="AQ124" i="315"/>
  <c r="AQ125" i="315"/>
  <c r="AQ131" i="315"/>
  <c r="AO39" i="311"/>
  <c r="AO70" i="288"/>
  <c r="AO57" i="328"/>
  <c r="AO87" i="288"/>
  <c r="AO89" i="288"/>
  <c r="AO92" i="288"/>
  <c r="AO94" i="288"/>
  <c r="AO49" i="314"/>
  <c r="AO51" i="314"/>
  <c r="AO53" i="314"/>
  <c r="AO54" i="314"/>
  <c r="AO64" i="314"/>
  <c r="AO66" i="314"/>
  <c r="AO56" i="314"/>
  <c r="AO58" i="314"/>
  <c r="AO80" i="311"/>
  <c r="AR138" i="286"/>
  <c r="AQ207" i="288"/>
  <c r="AQ133" i="315"/>
  <c r="AQ132" i="315"/>
  <c r="AR502" i="321"/>
  <c r="AR127" i="314"/>
  <c r="AR86" i="286"/>
  <c r="AR142" i="286"/>
  <c r="AR145" i="282"/>
  <c r="AR44" i="315"/>
  <c r="AR45" i="315"/>
  <c r="AR29" i="315"/>
  <c r="AR31" i="315"/>
  <c r="AO60" i="314"/>
  <c r="AO62" i="314"/>
  <c r="AO67" i="314"/>
  <c r="AO82" i="314"/>
  <c r="AO79" i="265"/>
  <c r="AO73" i="314"/>
  <c r="AO75" i="314"/>
  <c r="AR139" i="286"/>
  <c r="AR140" i="286"/>
  <c r="AR146" i="286"/>
  <c r="AR123" i="286"/>
  <c r="AR177" i="288"/>
  <c r="AR179" i="288"/>
  <c r="AR63" i="315"/>
  <c r="AR73" i="315"/>
  <c r="AR235" i="288"/>
  <c r="AR215" i="288"/>
  <c r="AR218" i="288"/>
  <c r="AR220" i="288"/>
  <c r="AR263" i="288"/>
  <c r="AR182" i="288"/>
  <c r="AO80" i="265"/>
  <c r="AO83" i="314"/>
  <c r="AO84" i="314"/>
  <c r="AO82" i="265"/>
  <c r="AO85" i="265"/>
  <c r="AP81" i="314"/>
  <c r="AO111" i="265"/>
  <c r="AO60" i="328"/>
  <c r="AO87" i="314"/>
  <c r="AO90" i="314"/>
  <c r="AR237" i="288"/>
  <c r="AR239" i="288"/>
  <c r="AR242" i="288"/>
  <c r="AR244" i="288"/>
  <c r="AR128" i="314"/>
  <c r="AR130" i="314"/>
  <c r="AR132" i="314"/>
  <c r="AR133" i="314"/>
  <c r="AR143" i="314"/>
  <c r="AR145" i="314"/>
  <c r="AR135" i="314"/>
  <c r="AR137" i="314"/>
  <c r="AP37" i="314"/>
  <c r="AP40" i="314"/>
  <c r="AP61" i="314"/>
  <c r="AO459" i="321"/>
  <c r="AO460" i="321"/>
  <c r="AO463" i="321"/>
  <c r="AO464" i="321"/>
  <c r="AO473" i="321"/>
  <c r="AP43" i="314"/>
  <c r="AP45" i="314"/>
  <c r="AP70" i="314"/>
  <c r="AP71" i="314"/>
  <c r="AR139" i="314"/>
  <c r="AR141" i="314"/>
  <c r="AR146" i="314"/>
  <c r="AR161" i="314"/>
  <c r="AR75" i="315"/>
  <c r="AR152" i="314"/>
  <c r="AR154" i="314"/>
  <c r="AP74" i="314"/>
  <c r="AP65" i="314"/>
  <c r="AO469" i="321"/>
  <c r="AO470" i="321"/>
  <c r="AO474" i="321"/>
  <c r="AO475" i="321"/>
  <c r="AO478" i="321"/>
  <c r="AO479" i="321"/>
  <c r="AO465" i="321"/>
  <c r="AO49" i="288"/>
  <c r="AO43" i="288"/>
  <c r="AO23" i="328"/>
  <c r="AO87" i="265"/>
  <c r="AO487" i="321"/>
  <c r="AO480" i="321"/>
  <c r="AO50" i="288"/>
  <c r="AO24" i="328"/>
  <c r="AO486" i="321"/>
  <c r="AO488" i="321"/>
  <c r="AR76" i="315"/>
  <c r="AR162" i="314"/>
  <c r="AR163" i="314"/>
  <c r="AR78" i="315"/>
  <c r="AR81" i="315"/>
  <c r="AS160" i="314"/>
  <c r="AR107" i="315"/>
  <c r="AP483" i="321"/>
  <c r="AO124" i="265"/>
  <c r="AO88" i="265"/>
  <c r="AO89" i="265"/>
  <c r="AO10" i="286"/>
  <c r="AO11" i="286"/>
  <c r="AP452" i="321"/>
  <c r="AP454" i="321"/>
  <c r="AP477" i="321"/>
  <c r="AS116" i="314"/>
  <c r="AS119" i="314"/>
  <c r="AS140" i="314"/>
  <c r="AR503" i="321"/>
  <c r="AR504" i="321"/>
  <c r="AR507" i="321"/>
  <c r="AR508" i="321"/>
  <c r="AR517" i="321"/>
  <c r="AS122" i="314"/>
  <c r="AS124" i="314"/>
  <c r="AS149" i="314"/>
  <c r="AS150" i="314"/>
  <c r="AP455" i="321"/>
  <c r="AP35" i="282"/>
  <c r="AP40" i="282"/>
  <c r="AP468" i="321"/>
  <c r="AP462" i="321"/>
  <c r="AO14" i="286"/>
  <c r="AO16" i="286"/>
  <c r="AO27" i="286"/>
  <c r="AO17" i="286"/>
  <c r="AO28" i="286"/>
  <c r="AO29" i="286"/>
  <c r="AO32" i="286"/>
  <c r="AO34" i="286"/>
  <c r="AO21" i="286"/>
  <c r="AO22" i="286"/>
  <c r="AO51" i="288"/>
  <c r="AP48" i="282"/>
  <c r="AP27" i="265"/>
  <c r="AS153" i="314"/>
  <c r="AS144" i="314"/>
  <c r="AR513" i="321"/>
  <c r="AR514" i="321"/>
  <c r="AR518" i="321"/>
  <c r="AR519" i="321"/>
  <c r="AR522" i="321"/>
  <c r="AR523" i="321"/>
  <c r="AR509" i="321"/>
  <c r="AR199" i="288"/>
  <c r="AR193" i="288"/>
  <c r="AR83" i="315"/>
  <c r="AR531" i="321"/>
  <c r="AR524" i="321"/>
  <c r="AR200" i="288"/>
  <c r="AR530" i="321"/>
  <c r="AR532" i="321"/>
  <c r="AP29" i="265"/>
  <c r="Z27" i="277"/>
  <c r="AP19" i="286"/>
  <c r="AO126" i="265"/>
  <c r="AO35" i="286"/>
  <c r="AO39" i="286"/>
  <c r="AO40" i="286"/>
  <c r="AO52" i="288"/>
  <c r="AO91" i="265"/>
  <c r="AP37" i="286"/>
  <c r="AO127" i="265"/>
  <c r="AO92" i="265"/>
  <c r="AP13" i="286"/>
  <c r="Z29" i="277"/>
  <c r="AP44" i="282"/>
  <c r="AP49" i="282"/>
  <c r="AS527" i="321"/>
  <c r="AR120" i="315"/>
  <c r="AR84" i="315"/>
  <c r="AR85" i="315"/>
  <c r="AR87" i="286"/>
  <c r="AR88" i="286"/>
  <c r="AS496" i="321"/>
  <c r="AS498" i="321"/>
  <c r="AS521" i="321"/>
  <c r="AP52" i="282"/>
  <c r="AP53" i="282"/>
  <c r="AP55" i="282"/>
  <c r="AP56" i="282"/>
  <c r="AO92" i="277"/>
  <c r="AO93" i="265"/>
  <c r="AP31" i="286"/>
  <c r="AO54" i="286"/>
  <c r="AO75" i="286"/>
  <c r="AO76" i="286"/>
  <c r="AO79" i="286"/>
  <c r="AO80" i="286"/>
  <c r="AP68" i="282"/>
  <c r="AP62" i="282"/>
  <c r="AP58" i="282"/>
  <c r="AP60" i="282"/>
  <c r="AS499" i="321"/>
  <c r="AS103" i="282"/>
  <c r="AS108" i="282"/>
  <c r="AS512" i="321"/>
  <c r="AS506" i="321"/>
  <c r="AR91" i="286"/>
  <c r="AR93" i="286"/>
  <c r="AR104" i="286"/>
  <c r="AR94" i="286"/>
  <c r="AR105" i="286"/>
  <c r="AR106" i="286"/>
  <c r="AR109" i="286"/>
  <c r="AR111" i="286"/>
  <c r="AR98" i="286"/>
  <c r="AR99" i="286"/>
  <c r="AR201" i="288"/>
  <c r="AS116" i="282"/>
  <c r="AS25" i="315"/>
  <c r="AS27" i="315"/>
  <c r="AP63" i="282"/>
  <c r="AP69" i="282"/>
  <c r="AP64" i="282"/>
  <c r="AP70" i="282"/>
  <c r="AQ67" i="282"/>
  <c r="AO55" i="286"/>
  <c r="AO47" i="286"/>
  <c r="AO48" i="286"/>
  <c r="AO48" i="288"/>
  <c r="AO42" i="288"/>
  <c r="AO44" i="288"/>
  <c r="AO81" i="286"/>
  <c r="AO25" i="328"/>
  <c r="AO56" i="286"/>
  <c r="AP53" i="286"/>
  <c r="AO58" i="286"/>
  <c r="AO64" i="286"/>
  <c r="AO107" i="265"/>
  <c r="AO35" i="265"/>
  <c r="AO95" i="265"/>
  <c r="AO47" i="288"/>
  <c r="AO54" i="288"/>
  <c r="AP45" i="286"/>
  <c r="AO128" i="265"/>
  <c r="AO129" i="265"/>
  <c r="AO135" i="265"/>
  <c r="AQ59" i="282"/>
  <c r="AP75" i="282"/>
  <c r="AP76" i="282"/>
  <c r="AS112" i="282"/>
  <c r="AS117" i="282"/>
  <c r="AS96" i="286"/>
  <c r="AR122" i="315"/>
  <c r="AR112" i="286"/>
  <c r="AR116" i="286"/>
  <c r="AR117" i="286"/>
  <c r="AR202" i="288"/>
  <c r="AR87" i="315"/>
  <c r="AS114" i="286"/>
  <c r="AR123" i="315"/>
  <c r="AR88" i="315"/>
  <c r="AR89" i="315"/>
  <c r="AS90" i="286"/>
  <c r="AS120" i="282"/>
  <c r="AS121" i="282"/>
  <c r="AS123" i="282"/>
  <c r="AS124" i="282"/>
  <c r="AP77" i="282"/>
  <c r="AP70" i="286"/>
  <c r="AO57" i="288"/>
  <c r="AO96" i="265"/>
  <c r="AO36" i="265"/>
  <c r="AO59" i="328"/>
  <c r="AO112" i="265"/>
  <c r="AO114" i="265"/>
  <c r="AO134" i="265"/>
  <c r="AP458" i="321"/>
  <c r="AP48" i="314"/>
  <c r="AP9" i="286"/>
  <c r="AP74" i="286"/>
  <c r="AO137" i="265"/>
  <c r="AO136" i="265"/>
  <c r="AP46" i="265"/>
  <c r="AP31" i="265"/>
  <c r="AS136" i="282"/>
  <c r="AS130" i="282"/>
  <c r="AS126" i="282"/>
  <c r="AS128" i="282"/>
  <c r="AR131" i="286"/>
  <c r="AR143" i="286"/>
  <c r="AR144" i="286"/>
  <c r="AR147" i="286"/>
  <c r="AR148" i="286"/>
  <c r="AS108" i="286"/>
  <c r="AR132" i="286"/>
  <c r="AR124" i="286"/>
  <c r="AR125" i="286"/>
  <c r="AR198" i="288"/>
  <c r="AR192" i="288"/>
  <c r="AR194" i="288"/>
  <c r="AR149" i="286"/>
  <c r="AR133" i="286"/>
  <c r="AS131" i="282"/>
  <c r="AS137" i="282"/>
  <c r="AS132" i="282"/>
  <c r="AS138" i="282"/>
  <c r="AT135" i="282"/>
  <c r="Z31" i="277"/>
  <c r="AP33" i="265"/>
  <c r="AP47" i="265"/>
  <c r="Z46" i="277"/>
  <c r="Z47" i="277"/>
  <c r="AP27" i="288"/>
  <c r="AP29" i="288"/>
  <c r="AP65" i="265"/>
  <c r="AP71" i="286"/>
  <c r="AP72" i="286"/>
  <c r="AP78" i="286"/>
  <c r="AP46" i="286"/>
  <c r="Z33" i="277"/>
  <c r="AT127" i="282"/>
  <c r="AS143" i="282"/>
  <c r="AS144" i="282"/>
  <c r="AS130" i="286"/>
  <c r="AR103" i="315"/>
  <c r="AR108" i="315"/>
  <c r="AR110" i="315"/>
  <c r="AR130" i="315"/>
  <c r="AR33" i="315"/>
  <c r="AR34" i="315"/>
  <c r="AR91" i="315"/>
  <c r="AR92" i="315"/>
  <c r="AR197" i="288"/>
  <c r="AR204" i="288"/>
  <c r="AS122" i="286"/>
  <c r="AR124" i="315"/>
  <c r="AR125" i="315"/>
  <c r="AR131" i="315"/>
  <c r="AS138" i="286"/>
  <c r="AR207" i="288"/>
  <c r="AR133" i="315"/>
  <c r="AR132" i="315"/>
  <c r="AS502" i="321"/>
  <c r="AS127" i="314"/>
  <c r="AS86" i="286"/>
  <c r="AS142" i="286"/>
  <c r="AS145" i="282"/>
  <c r="AP77" i="265"/>
  <c r="AP85" i="288"/>
  <c r="AP65" i="288"/>
  <c r="AP68" i="288"/>
  <c r="AP113" i="288"/>
  <c r="AP10" i="321"/>
  <c r="AP12" i="321"/>
  <c r="AP20" i="328"/>
  <c r="Z40" i="328"/>
  <c r="AP32" i="288"/>
  <c r="Z65" i="277"/>
  <c r="Z77" i="277"/>
  <c r="AP39" i="311"/>
  <c r="AP70" i="288"/>
  <c r="AP57" i="328"/>
  <c r="Z68" i="328"/>
  <c r="AP87" i="288"/>
  <c r="AP89" i="288"/>
  <c r="AP92" i="288"/>
  <c r="AP94" i="288"/>
  <c r="AP49" i="314"/>
  <c r="AP51" i="314"/>
  <c r="AS44" i="315"/>
  <c r="AS45" i="315"/>
  <c r="AS29" i="315"/>
  <c r="AS31" i="315"/>
  <c r="AS139" i="286"/>
  <c r="AS140" i="286"/>
  <c r="AS146" i="286"/>
  <c r="AS123" i="286"/>
  <c r="AS177" i="288"/>
  <c r="AS179" i="288"/>
  <c r="AS63" i="315"/>
  <c r="AP53" i="314"/>
  <c r="AP54" i="314"/>
  <c r="AP64" i="314"/>
  <c r="AP66" i="314"/>
  <c r="AP56" i="314"/>
  <c r="AP58" i="314"/>
  <c r="AP80" i="311"/>
  <c r="AP60" i="314"/>
  <c r="AP62" i="314"/>
  <c r="AP67" i="314"/>
  <c r="AP82" i="314"/>
  <c r="AS73" i="315"/>
  <c r="AS235" i="288"/>
  <c r="AS215" i="288"/>
  <c r="AS218" i="288"/>
  <c r="AS220" i="288"/>
  <c r="AS263" i="288"/>
  <c r="AS182" i="288"/>
  <c r="AS237" i="288"/>
  <c r="AS239" i="288"/>
  <c r="AS242" i="288"/>
  <c r="AS244" i="288"/>
  <c r="AS128" i="314"/>
  <c r="AS130" i="314"/>
  <c r="AP79" i="265"/>
  <c r="AP73" i="314"/>
  <c r="AP75" i="314"/>
  <c r="AP80" i="265"/>
  <c r="Z80" i="277"/>
  <c r="AP83" i="314"/>
  <c r="AP84" i="314"/>
  <c r="Z79" i="277"/>
  <c r="AP82" i="265"/>
  <c r="AS132" i="314"/>
  <c r="AS133" i="314"/>
  <c r="AS143" i="314"/>
  <c r="AS145" i="314"/>
  <c r="AS135" i="314"/>
  <c r="AS137" i="314"/>
  <c r="AS139" i="314"/>
  <c r="AS141" i="314"/>
  <c r="AS146" i="314"/>
  <c r="AS161" i="314"/>
  <c r="AP85" i="265"/>
  <c r="Z82" i="277"/>
  <c r="AQ81" i="314"/>
  <c r="AP111" i="265"/>
  <c r="AP87" i="314"/>
  <c r="AP90" i="314"/>
  <c r="AP60" i="328"/>
  <c r="Z71" i="328"/>
  <c r="Z111" i="277"/>
  <c r="AQ37" i="314"/>
  <c r="AQ40" i="314"/>
  <c r="AQ61" i="314"/>
  <c r="Z85" i="277"/>
  <c r="AP459" i="321"/>
  <c r="AP460" i="321"/>
  <c r="AS75" i="315"/>
  <c r="AS152" i="314"/>
  <c r="AS154" i="314"/>
  <c r="AS76" i="315"/>
  <c r="AS162" i="314"/>
  <c r="AS163" i="314"/>
  <c r="AS78" i="315"/>
  <c r="AP463" i="321"/>
  <c r="AP464" i="321"/>
  <c r="AP473" i="321"/>
  <c r="AQ43" i="314"/>
  <c r="AQ45" i="314"/>
  <c r="AQ70" i="314"/>
  <c r="AQ71" i="314"/>
  <c r="AQ74" i="314"/>
  <c r="AQ65" i="314"/>
  <c r="AP469" i="321"/>
  <c r="AP470" i="321"/>
  <c r="AP474" i="321"/>
  <c r="AP475" i="321"/>
  <c r="AP478" i="321"/>
  <c r="AP479" i="321"/>
  <c r="AP465" i="321"/>
  <c r="AP49" i="288"/>
  <c r="AP43" i="288"/>
  <c r="AP23" i="328"/>
  <c r="Z43" i="328"/>
  <c r="AS81" i="315"/>
  <c r="AT160" i="314"/>
  <c r="AS107" i="315"/>
  <c r="AT116" i="314"/>
  <c r="AT119" i="314"/>
  <c r="AT140" i="314"/>
  <c r="AS503" i="321"/>
  <c r="AS504" i="321"/>
  <c r="AP87" i="265"/>
  <c r="AP487" i="321"/>
  <c r="AP480" i="321"/>
  <c r="AP50" i="288"/>
  <c r="AP24" i="328"/>
  <c r="Z44" i="328"/>
  <c r="AP486" i="321"/>
  <c r="AP488" i="321"/>
  <c r="AQ483" i="321"/>
  <c r="AP124" i="265"/>
  <c r="AP88" i="265"/>
  <c r="Z88" i="277"/>
  <c r="Z87" i="277"/>
  <c r="AP89" i="265"/>
  <c r="AS507" i="321"/>
  <c r="AS508" i="321"/>
  <c r="AS517" i="321"/>
  <c r="AT122" i="314"/>
  <c r="AT124" i="314"/>
  <c r="AT149" i="314"/>
  <c r="AT150" i="314"/>
  <c r="AT153" i="314"/>
  <c r="AT144" i="314"/>
  <c r="AS513" i="321"/>
  <c r="AS514" i="321"/>
  <c r="AS518" i="321"/>
  <c r="AS519" i="321"/>
  <c r="AS522" i="321"/>
  <c r="AS523" i="321"/>
  <c r="AS509" i="321"/>
  <c r="AS199" i="288"/>
  <c r="AS193" i="288"/>
  <c r="AP10" i="286"/>
  <c r="AP11" i="286"/>
  <c r="Z89" i="277"/>
  <c r="Z124" i="277"/>
  <c r="AQ452" i="321"/>
  <c r="AQ454" i="321"/>
  <c r="AQ477" i="321"/>
  <c r="AQ455" i="321"/>
  <c r="AQ35" i="282"/>
  <c r="AQ40" i="282"/>
  <c r="AQ468" i="321"/>
  <c r="AQ462" i="321"/>
  <c r="AP14" i="286"/>
  <c r="AP16" i="286"/>
  <c r="AP27" i="286"/>
  <c r="AS83" i="315"/>
  <c r="AS531" i="321"/>
  <c r="AS524" i="321"/>
  <c r="AS200" i="288"/>
  <c r="AS530" i="321"/>
  <c r="AS532" i="321"/>
  <c r="AT527" i="321"/>
  <c r="AS120" i="315"/>
  <c r="AS84" i="315"/>
  <c r="AS85" i="315"/>
  <c r="AP17" i="286"/>
  <c r="AP28" i="286"/>
  <c r="AP29" i="286"/>
  <c r="AP32" i="286"/>
  <c r="AP34" i="286"/>
  <c r="AP21" i="286"/>
  <c r="AP22" i="286"/>
  <c r="AP51" i="288"/>
  <c r="AQ48" i="282"/>
  <c r="AQ27" i="265"/>
  <c r="AQ29" i="265"/>
  <c r="AQ19" i="286"/>
  <c r="AP126" i="265"/>
  <c r="AP35" i="286"/>
  <c r="AP39" i="286"/>
  <c r="AP40" i="286"/>
  <c r="AP52" i="288"/>
  <c r="AP91" i="265"/>
  <c r="AS87" i="286"/>
  <c r="AS88" i="286"/>
  <c r="AT496" i="321"/>
  <c r="AT498" i="321"/>
  <c r="AT521" i="321"/>
  <c r="AT499" i="321"/>
  <c r="AT103" i="282"/>
  <c r="AT108" i="282"/>
  <c r="AT512" i="321"/>
  <c r="AT506" i="321"/>
  <c r="AS91" i="286"/>
  <c r="AS93" i="286"/>
  <c r="AS104" i="286"/>
  <c r="Z91" i="277"/>
  <c r="AQ37" i="286"/>
  <c r="AP127" i="265"/>
  <c r="Z127" i="277"/>
  <c r="AP92" i="265"/>
  <c r="Z126" i="277"/>
  <c r="AQ13" i="286"/>
  <c r="AQ44" i="282"/>
  <c r="AQ49" i="282"/>
  <c r="AQ52" i="282"/>
  <c r="AQ53" i="282"/>
  <c r="AQ55" i="282"/>
  <c r="AQ56" i="282"/>
  <c r="AP92" i="277"/>
  <c r="AP93" i="265"/>
  <c r="AQ31" i="286"/>
  <c r="Z93" i="277"/>
  <c r="AS94" i="286"/>
  <c r="AS105" i="286"/>
  <c r="AS106" i="286"/>
  <c r="AS109" i="286"/>
  <c r="AS111" i="286"/>
  <c r="AS98" i="286"/>
  <c r="AS99" i="286"/>
  <c r="AS201" i="288"/>
  <c r="AT116" i="282"/>
  <c r="AT25" i="315"/>
  <c r="AT27" i="315"/>
  <c r="AT112" i="282"/>
  <c r="AT117" i="282"/>
  <c r="AT96" i="286"/>
  <c r="AS122" i="315"/>
  <c r="AS112" i="286"/>
  <c r="AS116" i="286"/>
  <c r="AS117" i="286"/>
  <c r="AS202" i="288"/>
  <c r="AS87" i="315"/>
  <c r="AP54" i="286"/>
  <c r="AP75" i="286"/>
  <c r="AP76" i="286"/>
  <c r="AP79" i="286"/>
  <c r="AP80" i="286"/>
  <c r="AQ68" i="282"/>
  <c r="AQ62" i="282"/>
  <c r="AQ58" i="282"/>
  <c r="AQ60" i="282"/>
  <c r="AQ63" i="282"/>
  <c r="AQ69" i="282"/>
  <c r="AQ64" i="282"/>
  <c r="AQ70" i="282"/>
  <c r="AR67" i="282"/>
  <c r="AP55" i="286"/>
  <c r="AP47" i="286"/>
  <c r="AP48" i="286"/>
  <c r="AP48" i="288"/>
  <c r="AP42" i="288"/>
  <c r="AP44" i="288"/>
  <c r="AP81" i="286"/>
  <c r="AP25" i="328"/>
  <c r="Z45" i="328"/>
  <c r="AP56" i="286"/>
  <c r="AT114" i="286"/>
  <c r="AS123" i="315"/>
  <c r="AS88" i="315"/>
  <c r="AS89" i="315"/>
  <c r="AT90" i="286"/>
  <c r="AT120" i="282"/>
  <c r="AT121" i="282"/>
  <c r="AT123" i="282"/>
  <c r="AT124" i="282"/>
  <c r="AT136" i="282"/>
  <c r="AT130" i="282"/>
  <c r="AT126" i="282"/>
  <c r="AT128" i="282"/>
  <c r="AS131" i="286"/>
  <c r="AS143" i="286"/>
  <c r="AS144" i="286"/>
  <c r="AS147" i="286"/>
  <c r="AS148" i="286"/>
  <c r="AT108" i="286"/>
  <c r="AQ53" i="286"/>
  <c r="AP58" i="286"/>
  <c r="AP64" i="286"/>
  <c r="AP107" i="265"/>
  <c r="AP35" i="265"/>
  <c r="AP95" i="265"/>
  <c r="AP47" i="288"/>
  <c r="AP54" i="288"/>
  <c r="AQ45" i="286"/>
  <c r="AP128" i="265"/>
  <c r="AR59" i="282"/>
  <c r="AQ75" i="282"/>
  <c r="AQ76" i="282"/>
  <c r="AQ77" i="282"/>
  <c r="Z128" i="277"/>
  <c r="Z129" i="277"/>
  <c r="Z135" i="277"/>
  <c r="AP129" i="265"/>
  <c r="AP135" i="265"/>
  <c r="AQ70" i="286"/>
  <c r="AP57" i="288"/>
  <c r="Z95" i="277"/>
  <c r="AP96" i="265"/>
  <c r="Z35" i="277"/>
  <c r="AP36" i="265"/>
  <c r="AP59" i="328"/>
  <c r="Z70" i="328"/>
  <c r="Z107" i="277"/>
  <c r="Z112" i="277"/>
  <c r="Z114" i="277"/>
  <c r="Z134" i="277"/>
  <c r="AP112" i="265"/>
  <c r="AP114" i="265"/>
  <c r="AP134" i="265"/>
  <c r="AQ458" i="321"/>
  <c r="AQ48" i="314"/>
  <c r="AQ9" i="286"/>
  <c r="AQ74" i="286"/>
  <c r="AS132" i="286"/>
  <c r="AS124" i="286"/>
  <c r="AS125" i="286"/>
  <c r="AS198" i="288"/>
  <c r="AS192" i="288"/>
  <c r="AS194" i="288"/>
  <c r="AS149" i="286"/>
  <c r="AS133" i="286"/>
  <c r="AT131" i="282"/>
  <c r="AT137" i="282"/>
  <c r="AT132" i="282"/>
  <c r="AT138" i="282"/>
  <c r="AU135" i="282"/>
  <c r="AU127" i="282"/>
  <c r="AT143" i="282"/>
  <c r="AT144" i="282"/>
  <c r="AT130" i="286"/>
  <c r="AS103" i="315"/>
  <c r="AS108" i="315"/>
  <c r="AS110" i="315"/>
  <c r="AS130" i="315"/>
  <c r="AS33" i="315"/>
  <c r="AS34" i="315"/>
  <c r="AS91" i="315"/>
  <c r="AS92" i="315"/>
  <c r="AS197" i="288"/>
  <c r="AS204" i="288"/>
  <c r="AT122" i="286"/>
  <c r="AS124" i="315"/>
  <c r="AS125" i="315"/>
  <c r="AS131" i="315"/>
  <c r="AP137" i="265"/>
  <c r="AP136" i="265"/>
  <c r="Z137" i="277"/>
  <c r="Z136" i="277"/>
  <c r="Z36" i="277"/>
  <c r="Z96" i="277"/>
  <c r="AQ46" i="265"/>
  <c r="AQ31" i="265"/>
  <c r="AQ33" i="265"/>
  <c r="AQ47" i="265"/>
  <c r="AT138" i="286"/>
  <c r="AS207" i="288"/>
  <c r="AS133" i="315"/>
  <c r="AS132" i="315"/>
  <c r="AT502" i="321"/>
  <c r="AT127" i="314"/>
  <c r="AT86" i="286"/>
  <c r="AT142" i="286"/>
  <c r="AT145" i="282"/>
  <c r="AT44" i="315"/>
  <c r="AT45" i="315"/>
  <c r="AT29" i="315"/>
  <c r="AT31" i="315"/>
  <c r="AQ27" i="288"/>
  <c r="AQ29" i="288"/>
  <c r="AQ65" i="265"/>
  <c r="AQ71" i="286"/>
  <c r="AQ72" i="286"/>
  <c r="AQ78" i="286"/>
  <c r="AQ46" i="286"/>
  <c r="AQ77" i="265"/>
  <c r="AQ85" i="288"/>
  <c r="AQ65" i="288"/>
  <c r="AQ68" i="288"/>
  <c r="AQ113" i="288"/>
  <c r="AQ10" i="321"/>
  <c r="AQ12" i="321"/>
  <c r="AQ20" i="328"/>
  <c r="AQ32" i="288"/>
  <c r="AT139" i="286"/>
  <c r="AT140" i="286"/>
  <c r="AT146" i="286"/>
  <c r="AT123" i="286"/>
  <c r="AT177" i="288"/>
  <c r="AT179" i="288"/>
  <c r="AT63" i="315"/>
  <c r="AT73" i="315"/>
  <c r="AT235" i="288"/>
  <c r="AT215" i="288"/>
  <c r="AT218" i="288"/>
  <c r="AT220" i="288"/>
  <c r="AT263" i="288"/>
  <c r="AT182" i="288"/>
  <c r="AQ39" i="311"/>
  <c r="AQ70" i="288"/>
  <c r="AQ57" i="328"/>
  <c r="AQ87" i="288"/>
  <c r="AQ89" i="288"/>
  <c r="AQ92" i="288"/>
  <c r="AQ94" i="288"/>
  <c r="AQ49" i="314"/>
  <c r="AQ51" i="314"/>
  <c r="AQ53" i="314"/>
  <c r="AQ54" i="314"/>
  <c r="AQ64" i="314"/>
  <c r="AQ66" i="314"/>
  <c r="AQ56" i="314"/>
  <c r="AQ58" i="314"/>
  <c r="AQ80" i="311"/>
  <c r="AT237" i="288"/>
  <c r="AT239" i="288"/>
  <c r="AT242" i="288"/>
  <c r="AT244" i="288"/>
  <c r="AT128" i="314"/>
  <c r="AT130" i="314"/>
  <c r="AT132" i="314"/>
  <c r="AT133" i="314"/>
  <c r="AT143" i="314"/>
  <c r="AT145" i="314"/>
  <c r="AT135" i="314"/>
  <c r="AT137" i="314"/>
  <c r="AQ60" i="314"/>
  <c r="AQ62" i="314"/>
  <c r="AQ67" i="314"/>
  <c r="AQ82" i="314"/>
  <c r="AQ79" i="265"/>
  <c r="AQ73" i="314"/>
  <c r="AQ75" i="314"/>
  <c r="AT139" i="314"/>
  <c r="AT141" i="314"/>
  <c r="AT146" i="314"/>
  <c r="AT161" i="314"/>
  <c r="AT75" i="315"/>
  <c r="AT152" i="314"/>
  <c r="AT154" i="314"/>
  <c r="AQ80" i="265"/>
  <c r="AQ83" i="314"/>
  <c r="AQ84" i="314"/>
  <c r="AQ82" i="265"/>
  <c r="AQ85" i="265"/>
  <c r="AR81" i="314"/>
  <c r="AQ111" i="265"/>
  <c r="AQ60" i="328"/>
  <c r="AQ87" i="314"/>
  <c r="AQ90" i="314"/>
  <c r="AT76" i="315"/>
  <c r="AT162" i="314"/>
  <c r="AT163" i="314"/>
  <c r="AT78" i="315"/>
  <c r="AT81" i="315"/>
  <c r="AU160" i="314"/>
  <c r="AT107" i="315"/>
  <c r="AR37" i="314"/>
  <c r="AR40" i="314"/>
  <c r="AR61" i="314"/>
  <c r="AQ459" i="321"/>
  <c r="AQ460" i="321"/>
  <c r="AQ463" i="321"/>
  <c r="AQ464" i="321"/>
  <c r="AQ473" i="321"/>
  <c r="AR43" i="314"/>
  <c r="AR45" i="314"/>
  <c r="AR70" i="314"/>
  <c r="AR71" i="314"/>
  <c r="AU116" i="314"/>
  <c r="AU119" i="314"/>
  <c r="AU140" i="314"/>
  <c r="AT503" i="321"/>
  <c r="AT504" i="321"/>
  <c r="AT507" i="321"/>
  <c r="AT508" i="321"/>
  <c r="AT517" i="321"/>
  <c r="AU122" i="314"/>
  <c r="AU124" i="314"/>
  <c r="AU149" i="314"/>
  <c r="AU150" i="314"/>
  <c r="AR74" i="314"/>
  <c r="AR65" i="314"/>
  <c r="AQ469" i="321"/>
  <c r="AQ470" i="321"/>
  <c r="AQ474" i="321"/>
  <c r="AQ475" i="321"/>
  <c r="AQ478" i="321"/>
  <c r="AQ479" i="321"/>
  <c r="AQ465" i="321"/>
  <c r="AQ49" i="288"/>
  <c r="AQ43" i="288"/>
  <c r="AQ23" i="328"/>
  <c r="AQ87" i="265"/>
  <c r="AQ487" i="321"/>
  <c r="AQ480" i="321"/>
  <c r="AQ50" i="288"/>
  <c r="AQ24" i="328"/>
  <c r="AQ486" i="321"/>
  <c r="AQ488" i="321"/>
  <c r="AU153" i="314"/>
  <c r="AU144" i="314"/>
  <c r="AT513" i="321"/>
  <c r="AT514" i="321"/>
  <c r="AT518" i="321"/>
  <c r="AT519" i="321"/>
  <c r="AT522" i="321"/>
  <c r="AT523" i="321"/>
  <c r="AT509" i="321"/>
  <c r="AT199" i="288"/>
  <c r="AT193" i="288"/>
  <c r="AT83" i="315"/>
  <c r="AT531" i="321"/>
  <c r="AT524" i="321"/>
  <c r="AT200" i="288"/>
  <c r="AT530" i="321"/>
  <c r="AT532" i="321"/>
  <c r="AR483" i="321"/>
  <c r="AQ124" i="265"/>
  <c r="AQ88" i="265"/>
  <c r="AQ89" i="265"/>
  <c r="AQ10" i="286"/>
  <c r="AQ11" i="286"/>
  <c r="AR452" i="321"/>
  <c r="AR454" i="321"/>
  <c r="AR477" i="321"/>
  <c r="AU527" i="321"/>
  <c r="AT120" i="315"/>
  <c r="AT84" i="315"/>
  <c r="AT85" i="315"/>
  <c r="AT87" i="286"/>
  <c r="AT88" i="286"/>
  <c r="AU496" i="321"/>
  <c r="AU498" i="321"/>
  <c r="AU521" i="321"/>
  <c r="AR455" i="321"/>
  <c r="AR35" i="282"/>
  <c r="AR40" i="282"/>
  <c r="AR468" i="321"/>
  <c r="AR462" i="321"/>
  <c r="AQ14" i="286"/>
  <c r="AQ16" i="286"/>
  <c r="AQ27" i="286"/>
  <c r="AQ17" i="286"/>
  <c r="AQ28" i="286"/>
  <c r="AQ29" i="286"/>
  <c r="AQ32" i="286"/>
  <c r="AQ34" i="286"/>
  <c r="AQ21" i="286"/>
  <c r="AQ22" i="286"/>
  <c r="AQ51" i="288"/>
  <c r="AR48" i="282"/>
  <c r="AR27" i="265"/>
  <c r="AU499" i="321"/>
  <c r="AU103" i="282"/>
  <c r="AU108" i="282"/>
  <c r="AU512" i="321"/>
  <c r="AU506" i="321"/>
  <c r="AT91" i="286"/>
  <c r="AT93" i="286"/>
  <c r="AT104" i="286"/>
  <c r="AT94" i="286"/>
  <c r="AT105" i="286"/>
  <c r="AT106" i="286"/>
  <c r="AT109" i="286"/>
  <c r="AT111" i="286"/>
  <c r="AT98" i="286"/>
  <c r="AT99" i="286"/>
  <c r="AT201" i="288"/>
  <c r="AU116" i="282"/>
  <c r="AU25" i="315"/>
  <c r="AU27" i="315"/>
  <c r="AR29" i="265"/>
  <c r="AA27" i="277"/>
  <c r="AR19" i="286"/>
  <c r="AQ126" i="265"/>
  <c r="AQ35" i="286"/>
  <c r="AQ39" i="286"/>
  <c r="AQ40" i="286"/>
  <c r="AQ52" i="288"/>
  <c r="AQ91" i="265"/>
  <c r="AR37" i="286"/>
  <c r="AQ127" i="265"/>
  <c r="AQ92" i="265"/>
  <c r="AR13" i="286"/>
  <c r="AA29" i="277"/>
  <c r="AR44" i="282"/>
  <c r="AR49" i="282"/>
  <c r="AU112" i="282"/>
  <c r="AU117" i="282"/>
  <c r="AU96" i="286"/>
  <c r="AT122" i="315"/>
  <c r="AT112" i="286"/>
  <c r="AT116" i="286"/>
  <c r="AT117" i="286"/>
  <c r="AT202" i="288"/>
  <c r="AT87" i="315"/>
  <c r="AU114" i="286"/>
  <c r="AT123" i="315"/>
  <c r="AT88" i="315"/>
  <c r="AT89" i="315"/>
  <c r="AU90" i="286"/>
  <c r="AU120" i="282"/>
  <c r="AU121" i="282"/>
  <c r="AU123" i="282"/>
  <c r="AU124" i="282"/>
  <c r="AR52" i="282"/>
  <c r="AR53" i="282"/>
  <c r="AR55" i="282"/>
  <c r="AR56" i="282"/>
  <c r="AQ92" i="277"/>
  <c r="AQ93" i="265"/>
  <c r="AR31" i="286"/>
  <c r="AQ54" i="286"/>
  <c r="AQ75" i="286"/>
  <c r="AQ76" i="286"/>
  <c r="AQ79" i="286"/>
  <c r="AQ80" i="286"/>
  <c r="AR68" i="282"/>
  <c r="AR62" i="282"/>
  <c r="AR58" i="282"/>
  <c r="AR60" i="282"/>
  <c r="AU136" i="282"/>
  <c r="AU130" i="282"/>
  <c r="AU126" i="282"/>
  <c r="AU128" i="282"/>
  <c r="AT131" i="286"/>
  <c r="AT143" i="286"/>
  <c r="AT144" i="286"/>
  <c r="AT147" i="286"/>
  <c r="AT148" i="286"/>
  <c r="AU108" i="286"/>
  <c r="AT132" i="286"/>
  <c r="AT124" i="286"/>
  <c r="AT125" i="286"/>
  <c r="AT198" i="288"/>
  <c r="AT192" i="288"/>
  <c r="AT194" i="288"/>
  <c r="AT149" i="286"/>
  <c r="AT133" i="286"/>
  <c r="AU131" i="282"/>
  <c r="AU137" i="282"/>
  <c r="AU132" i="282"/>
  <c r="AU138" i="282"/>
  <c r="AV135" i="282"/>
  <c r="AR63" i="282"/>
  <c r="AR69" i="282"/>
  <c r="AR64" i="282"/>
  <c r="AR70" i="282"/>
  <c r="AS67" i="282"/>
  <c r="AQ55" i="286"/>
  <c r="AQ47" i="286"/>
  <c r="AQ48" i="286"/>
  <c r="AQ48" i="288"/>
  <c r="AQ42" i="288"/>
  <c r="AQ44" i="288"/>
  <c r="AQ81" i="286"/>
  <c r="AQ25" i="328"/>
  <c r="AQ56" i="286"/>
  <c r="AR53" i="286"/>
  <c r="AQ58" i="286"/>
  <c r="AQ64" i="286"/>
  <c r="AQ107" i="265"/>
  <c r="AQ35" i="265"/>
  <c r="AQ95" i="265"/>
  <c r="AQ47" i="288"/>
  <c r="AQ54" i="288"/>
  <c r="AR45" i="286"/>
  <c r="AQ128" i="265"/>
  <c r="AQ129" i="265"/>
  <c r="AQ135" i="265"/>
  <c r="AS59" i="282"/>
  <c r="AR75" i="282"/>
  <c r="AR76" i="282"/>
  <c r="AV127" i="282"/>
  <c r="AU143" i="282"/>
  <c r="AU144" i="282"/>
  <c r="AU130" i="286"/>
  <c r="AT103" i="315"/>
  <c r="AT108" i="315"/>
  <c r="AT110" i="315"/>
  <c r="AT130" i="315"/>
  <c r="AT33" i="315"/>
  <c r="AT34" i="315"/>
  <c r="AT91" i="315"/>
  <c r="AT92" i="315"/>
  <c r="AT197" i="288"/>
  <c r="AT204" i="288"/>
  <c r="AU122" i="286"/>
  <c r="AT124" i="315"/>
  <c r="AT125" i="315"/>
  <c r="AT131" i="315"/>
  <c r="AU138" i="286"/>
  <c r="AT207" i="288"/>
  <c r="AT133" i="315"/>
  <c r="AT132" i="315"/>
  <c r="AU502" i="321"/>
  <c r="AU127" i="314"/>
  <c r="AU86" i="286"/>
  <c r="AU142" i="286"/>
  <c r="AU145" i="282"/>
  <c r="AR77" i="282"/>
  <c r="AR70" i="286"/>
  <c r="AQ57" i="288"/>
  <c r="AQ96" i="265"/>
  <c r="AQ36" i="265"/>
  <c r="AQ59" i="328"/>
  <c r="AQ112" i="265"/>
  <c r="AQ114" i="265"/>
  <c r="AQ134" i="265"/>
  <c r="AR458" i="321"/>
  <c r="AR48" i="314"/>
  <c r="AR9" i="286"/>
  <c r="AR74" i="286"/>
  <c r="AQ137" i="265"/>
  <c r="AQ136" i="265"/>
  <c r="AR46" i="265"/>
  <c r="AR31" i="265"/>
  <c r="AU44" i="315"/>
  <c r="AU45" i="315"/>
  <c r="AU29" i="315"/>
  <c r="AU31" i="315"/>
  <c r="AU139" i="286"/>
  <c r="AU140" i="286"/>
  <c r="AU146" i="286"/>
  <c r="AU123" i="286"/>
  <c r="AU177" i="288"/>
  <c r="AU179" i="288"/>
  <c r="AU63" i="315"/>
  <c r="AA31" i="277"/>
  <c r="AR33" i="265"/>
  <c r="AR47" i="265"/>
  <c r="AA46" i="277"/>
  <c r="AA47" i="277"/>
  <c r="AR27" i="288"/>
  <c r="AR29" i="288"/>
  <c r="AR65" i="265"/>
  <c r="AR71" i="286"/>
  <c r="AR72" i="286"/>
  <c r="AR78" i="286"/>
  <c r="AR46" i="286"/>
  <c r="AA33" i="277"/>
  <c r="AU73" i="315"/>
  <c r="AU235" i="288"/>
  <c r="AU215" i="288"/>
  <c r="AU218" i="288"/>
  <c r="AU220" i="288"/>
  <c r="AU263" i="288"/>
  <c r="AU182" i="288"/>
  <c r="AU237" i="288"/>
  <c r="AU239" i="288"/>
  <c r="AU242" i="288"/>
  <c r="AU244" i="288"/>
  <c r="AU128" i="314"/>
  <c r="AU130" i="314"/>
  <c r="AR77" i="265"/>
  <c r="AR85" i="288"/>
  <c r="AR65" i="288"/>
  <c r="AR68" i="288"/>
  <c r="AR113" i="288"/>
  <c r="AR10" i="321"/>
  <c r="AR12" i="321"/>
  <c r="AR20" i="328"/>
  <c r="AA40" i="328"/>
  <c r="AR32" i="288"/>
  <c r="AA65" i="277"/>
  <c r="AA77" i="277"/>
  <c r="AR39" i="311"/>
  <c r="AR70" i="288"/>
  <c r="AR57" i="328"/>
  <c r="AA68" i="328"/>
  <c r="AR87" i="288"/>
  <c r="AR89" i="288"/>
  <c r="AR92" i="288"/>
  <c r="AR94" i="288"/>
  <c r="AR49" i="314"/>
  <c r="AR51" i="314"/>
  <c r="AU132" i="314"/>
  <c r="AU133" i="314"/>
  <c r="AU143" i="314"/>
  <c r="AU145" i="314"/>
  <c r="AU135" i="314"/>
  <c r="AU137" i="314"/>
  <c r="AU139" i="314"/>
  <c r="AU141" i="314"/>
  <c r="AU146" i="314"/>
  <c r="AU161" i="314"/>
  <c r="AR53" i="314"/>
  <c r="AR54" i="314"/>
  <c r="AR64" i="314"/>
  <c r="AR66" i="314"/>
  <c r="AR56" i="314"/>
  <c r="AR58" i="314"/>
  <c r="AR80" i="311"/>
  <c r="AR60" i="314"/>
  <c r="AR62" i="314"/>
  <c r="AR67" i="314"/>
  <c r="AR82" i="314"/>
  <c r="AU75" i="315"/>
  <c r="AU152" i="314"/>
  <c r="AU154" i="314"/>
  <c r="AU76" i="315"/>
  <c r="AU162" i="314"/>
  <c r="AU163" i="314"/>
  <c r="AU78" i="315"/>
  <c r="AR79" i="265"/>
  <c r="AR73" i="314"/>
  <c r="AR75" i="314"/>
  <c r="AR80" i="265"/>
  <c r="AA80" i="277"/>
  <c r="AR83" i="314"/>
  <c r="AR84" i="314"/>
  <c r="AA79" i="277"/>
  <c r="AR82" i="265"/>
  <c r="AU81" i="315"/>
  <c r="AV160" i="314"/>
  <c r="AU107" i="315"/>
  <c r="AV116" i="314"/>
  <c r="AV119" i="314"/>
  <c r="AV140" i="314"/>
  <c r="AU503" i="321"/>
  <c r="AU504" i="321"/>
  <c r="AR85" i="265"/>
  <c r="AA82" i="277"/>
  <c r="AS81" i="314"/>
  <c r="AR111" i="265"/>
  <c r="AR87" i="314"/>
  <c r="AR90" i="314"/>
  <c r="AR60" i="328"/>
  <c r="AA71" i="328"/>
  <c r="AA111" i="277"/>
  <c r="AS37" i="314"/>
  <c r="AS40" i="314"/>
  <c r="AS61" i="314"/>
  <c r="AA85" i="277"/>
  <c r="AR459" i="321"/>
  <c r="AR460" i="321"/>
  <c r="AU507" i="321"/>
  <c r="AU508" i="321"/>
  <c r="AU517" i="321"/>
  <c r="AV122" i="314"/>
  <c r="AV124" i="314"/>
  <c r="AV149" i="314"/>
  <c r="AV150" i="314"/>
  <c r="AV153" i="314"/>
  <c r="AV144" i="314"/>
  <c r="AU513" i="321"/>
  <c r="AU514" i="321"/>
  <c r="AU518" i="321"/>
  <c r="AU519" i="321"/>
  <c r="AU522" i="321"/>
  <c r="AU523" i="321"/>
  <c r="AU509" i="321"/>
  <c r="AU199" i="288"/>
  <c r="AU193" i="288"/>
  <c r="AR463" i="321"/>
  <c r="AR464" i="321"/>
  <c r="AR473" i="321"/>
  <c r="AS43" i="314"/>
  <c r="AS45" i="314"/>
  <c r="AS70" i="314"/>
  <c r="AS71" i="314"/>
  <c r="AS74" i="314"/>
  <c r="AS65" i="314"/>
  <c r="AR469" i="321"/>
  <c r="AR470" i="321"/>
  <c r="AR474" i="321"/>
  <c r="AR475" i="321"/>
  <c r="AR478" i="321"/>
  <c r="AR479" i="321"/>
  <c r="AR465" i="321"/>
  <c r="AR49" i="288"/>
  <c r="AR43" i="288"/>
  <c r="AR23" i="328"/>
  <c r="AA43" i="328"/>
  <c r="AU83" i="315"/>
  <c r="AU531" i="321"/>
  <c r="AU524" i="321"/>
  <c r="AU200" i="288"/>
  <c r="AU530" i="321"/>
  <c r="AU532" i="321"/>
  <c r="AV527" i="321"/>
  <c r="AU120" i="315"/>
  <c r="AU84" i="315"/>
  <c r="AU85" i="315"/>
  <c r="AR87" i="265"/>
  <c r="AR487" i="321"/>
  <c r="AR480" i="321"/>
  <c r="AR50" i="288"/>
  <c r="AR24" i="328"/>
  <c r="AA44" i="328"/>
  <c r="AR486" i="321"/>
  <c r="AR488" i="321"/>
  <c r="AS483" i="321"/>
  <c r="AR124" i="265"/>
  <c r="AR88" i="265"/>
  <c r="AA88" i="277"/>
  <c r="AA87" i="277"/>
  <c r="AR89" i="265"/>
  <c r="AU87" i="286"/>
  <c r="AU88" i="286"/>
  <c r="AV496" i="321"/>
  <c r="AV498" i="321"/>
  <c r="AV521" i="321"/>
  <c r="AV499" i="321"/>
  <c r="AV103" i="282"/>
  <c r="AV108" i="282"/>
  <c r="AV512" i="321"/>
  <c r="AV506" i="321"/>
  <c r="AU91" i="286"/>
  <c r="AU93" i="286"/>
  <c r="AU104" i="286"/>
  <c r="AR10" i="286"/>
  <c r="AR11" i="286"/>
  <c r="AA89" i="277"/>
  <c r="AA124" i="277"/>
  <c r="AS452" i="321"/>
  <c r="AS454" i="321"/>
  <c r="AS477" i="321"/>
  <c r="AS455" i="321"/>
  <c r="AS35" i="282"/>
  <c r="AS40" i="282"/>
  <c r="AS468" i="321"/>
  <c r="AS462" i="321"/>
  <c r="AR14" i="286"/>
  <c r="AR16" i="286"/>
  <c r="AR27" i="286"/>
  <c r="AU94" i="286"/>
  <c r="AU105" i="286"/>
  <c r="AU106" i="286"/>
  <c r="AU109" i="286"/>
  <c r="AU111" i="286"/>
  <c r="AU98" i="286"/>
  <c r="AU99" i="286"/>
  <c r="AU201" i="288"/>
  <c r="AV116" i="282"/>
  <c r="AV25" i="315"/>
  <c r="AV27" i="315"/>
  <c r="AV112" i="282"/>
  <c r="AV117" i="282"/>
  <c r="AV96" i="286"/>
  <c r="AU122" i="315"/>
  <c r="AU112" i="286"/>
  <c r="AU116" i="286"/>
  <c r="AU117" i="286"/>
  <c r="AU202" i="288"/>
  <c r="AU87" i="315"/>
  <c r="AR17" i="286"/>
  <c r="AR28" i="286"/>
  <c r="AR29" i="286"/>
  <c r="AR32" i="286"/>
  <c r="AR34" i="286"/>
  <c r="AR21" i="286"/>
  <c r="AR22" i="286"/>
  <c r="AR51" i="288"/>
  <c r="AS48" i="282"/>
  <c r="AS27" i="265"/>
  <c r="AS29" i="265"/>
  <c r="AS19" i="286"/>
  <c r="AR126" i="265"/>
  <c r="AR35" i="286"/>
  <c r="AR39" i="286"/>
  <c r="AR40" i="286"/>
  <c r="AR52" i="288"/>
  <c r="AR91" i="265"/>
  <c r="AV114" i="286"/>
  <c r="AU123" i="315"/>
  <c r="AU88" i="315"/>
  <c r="AU89" i="315"/>
  <c r="AV90" i="286"/>
  <c r="AV120" i="282"/>
  <c r="AV121" i="282"/>
  <c r="AV123" i="282"/>
  <c r="AV124" i="282"/>
  <c r="AV136" i="282"/>
  <c r="AV130" i="282"/>
  <c r="AV126" i="282"/>
  <c r="AV128" i="282"/>
  <c r="AU131" i="286"/>
  <c r="AU143" i="286"/>
  <c r="AU144" i="286"/>
  <c r="AU147" i="286"/>
  <c r="AU148" i="286"/>
  <c r="AV108" i="286"/>
  <c r="AA91" i="277"/>
  <c r="AS37" i="286"/>
  <c r="AR127" i="265"/>
  <c r="AA127" i="277"/>
  <c r="AR92" i="265"/>
  <c r="AA126" i="277"/>
  <c r="AS13" i="286"/>
  <c r="AS44" i="282"/>
  <c r="AS49" i="282"/>
  <c r="AS52" i="282"/>
  <c r="AS53" i="282"/>
  <c r="AS55" i="282"/>
  <c r="AS56" i="282"/>
  <c r="AR92" i="277"/>
  <c r="AR93" i="265"/>
  <c r="AS31" i="286"/>
  <c r="AA93" i="277"/>
  <c r="AU132" i="286"/>
  <c r="AU124" i="286"/>
  <c r="AU125" i="286"/>
  <c r="AU198" i="288"/>
  <c r="AU192" i="288"/>
  <c r="AU194" i="288"/>
  <c r="AU149" i="286"/>
  <c r="AU133" i="286"/>
  <c r="AV131" i="282"/>
  <c r="AV137" i="282"/>
  <c r="AV132" i="282"/>
  <c r="AV138" i="282"/>
  <c r="AW135" i="282"/>
  <c r="AW127" i="282"/>
  <c r="AV143" i="282"/>
  <c r="AV144" i="282"/>
  <c r="AV130" i="286"/>
  <c r="AU103" i="315"/>
  <c r="AU108" i="315"/>
  <c r="AU110" i="315"/>
  <c r="AU130" i="315"/>
  <c r="AU33" i="315"/>
  <c r="AU34" i="315"/>
  <c r="AU91" i="315"/>
  <c r="AU92" i="315"/>
  <c r="AU197" i="288"/>
  <c r="AU204" i="288"/>
  <c r="AV122" i="286"/>
  <c r="AU124" i="315"/>
  <c r="AU125" i="315"/>
  <c r="AU131" i="315"/>
  <c r="AR54" i="286"/>
  <c r="AR75" i="286"/>
  <c r="AR76" i="286"/>
  <c r="AR79" i="286"/>
  <c r="AR80" i="286"/>
  <c r="AS68" i="282"/>
  <c r="AS62" i="282"/>
  <c r="AS58" i="282"/>
  <c r="AS60" i="282"/>
  <c r="AS63" i="282"/>
  <c r="AS69" i="282"/>
  <c r="AS64" i="282"/>
  <c r="AS70" i="282"/>
  <c r="AT67" i="282"/>
  <c r="AR55" i="286"/>
  <c r="AR47" i="286"/>
  <c r="AR48" i="286"/>
  <c r="AR48" i="288"/>
  <c r="AR42" i="288"/>
  <c r="AR44" i="288"/>
  <c r="AR81" i="286"/>
  <c r="AR25" i="328"/>
  <c r="AA45" i="328"/>
  <c r="AR56" i="286"/>
  <c r="AV138" i="286"/>
  <c r="AU207" i="288"/>
  <c r="AU133" i="315"/>
  <c r="AU132" i="315"/>
  <c r="AV502" i="321"/>
  <c r="AV127" i="314"/>
  <c r="AV86" i="286"/>
  <c r="AV142" i="286"/>
  <c r="AV145" i="282"/>
  <c r="AV44" i="315"/>
  <c r="AV45" i="315"/>
  <c r="AV29" i="315"/>
  <c r="AV31" i="315"/>
  <c r="AS53" i="286"/>
  <c r="AR58" i="286"/>
  <c r="AR64" i="286"/>
  <c r="AR107" i="265"/>
  <c r="AR35" i="265"/>
  <c r="AR95" i="265"/>
  <c r="AR47" i="288"/>
  <c r="AR54" i="288"/>
  <c r="AS45" i="286"/>
  <c r="AR128" i="265"/>
  <c r="AT59" i="282"/>
  <c r="AS75" i="282"/>
  <c r="AS76" i="282"/>
  <c r="AS77" i="282"/>
  <c r="AA128" i="277"/>
  <c r="AA129" i="277"/>
  <c r="AA135" i="277"/>
  <c r="AR129" i="265"/>
  <c r="AR135" i="265"/>
  <c r="AS70" i="286"/>
  <c r="AR57" i="288"/>
  <c r="AA95" i="277"/>
  <c r="AR96" i="265"/>
  <c r="AA35" i="277"/>
  <c r="AR36" i="265"/>
  <c r="AR59" i="328"/>
  <c r="AA70" i="328"/>
  <c r="AA107" i="277"/>
  <c r="AA112" i="277"/>
  <c r="AA114" i="277"/>
  <c r="AA134" i="277"/>
  <c r="AR112" i="265"/>
  <c r="AR114" i="265"/>
  <c r="AR134" i="265"/>
  <c r="AS458" i="321"/>
  <c r="AS48" i="314"/>
  <c r="AS9" i="286"/>
  <c r="AS74" i="286"/>
  <c r="AV139" i="286"/>
  <c r="AV140" i="286"/>
  <c r="AV146" i="286"/>
  <c r="AV123" i="286"/>
  <c r="AV177" i="288"/>
  <c r="AV179" i="288"/>
  <c r="AV63" i="315"/>
  <c r="AV73" i="315"/>
  <c r="AV235" i="288"/>
  <c r="AV215" i="288"/>
  <c r="AV218" i="288"/>
  <c r="AV220" i="288"/>
  <c r="AV263" i="288"/>
  <c r="AV182" i="288"/>
  <c r="AR137" i="265"/>
  <c r="AR136" i="265"/>
  <c r="AA137" i="277"/>
  <c r="AA136" i="277"/>
  <c r="AA36" i="277"/>
  <c r="AA96" i="277"/>
  <c r="AS46" i="265"/>
  <c r="AS31" i="265"/>
  <c r="AS33" i="265"/>
  <c r="AS47" i="265"/>
  <c r="F221" i="288"/>
  <c r="F222" i="288"/>
  <c r="AV237" i="288"/>
  <c r="AV239" i="288"/>
  <c r="AV242" i="288"/>
  <c r="AV244" i="288"/>
  <c r="AV128" i="314"/>
  <c r="AV130" i="314"/>
  <c r="AV132" i="314"/>
  <c r="AV133" i="314"/>
  <c r="AV143" i="314"/>
  <c r="AV145" i="314"/>
  <c r="AV135" i="314"/>
  <c r="AV137" i="314"/>
  <c r="F245" i="288"/>
  <c r="H22" i="269"/>
  <c r="K22" i="269"/>
  <c r="F246" i="288"/>
  <c r="H23" i="269"/>
  <c r="K23" i="269"/>
  <c r="H29" i="269"/>
  <c r="K29" i="269"/>
  <c r="F110" i="328"/>
  <c r="M18" i="326"/>
  <c r="H28" i="269"/>
  <c r="K28" i="269"/>
  <c r="F109" i="328"/>
  <c r="M17" i="326"/>
  <c r="AS27" i="288"/>
  <c r="AS29" i="288"/>
  <c r="AS65" i="265"/>
  <c r="AS71" i="286"/>
  <c r="AS72" i="286"/>
  <c r="AS78" i="286"/>
  <c r="AS46" i="286"/>
  <c r="AS77" i="265"/>
  <c r="AS85" i="288"/>
  <c r="AS65" i="288"/>
  <c r="AS68" i="288"/>
  <c r="AS113" i="288"/>
  <c r="AS10" i="321"/>
  <c r="AS12" i="321"/>
  <c r="AS20" i="328"/>
  <c r="AS32" i="288"/>
  <c r="J28" i="269"/>
  <c r="L28" i="269"/>
  <c r="J29" i="269"/>
  <c r="L29" i="269"/>
  <c r="J23" i="269"/>
  <c r="L23" i="269"/>
  <c r="J22" i="269"/>
  <c r="L22" i="269"/>
  <c r="AV139" i="314"/>
  <c r="AV141" i="314"/>
  <c r="AV146" i="314"/>
  <c r="AV161" i="314"/>
  <c r="AV75" i="315"/>
  <c r="AV152" i="314"/>
  <c r="AV154" i="314"/>
  <c r="AS39" i="311"/>
  <c r="AS70" i="288"/>
  <c r="AS57" i="328"/>
  <c r="AS87" i="288"/>
  <c r="AS89" i="288"/>
  <c r="AS92" i="288"/>
  <c r="AS94" i="288"/>
  <c r="AS49" i="314"/>
  <c r="AS51" i="314"/>
  <c r="AS53" i="314"/>
  <c r="AS54" i="314"/>
  <c r="AS64" i="314"/>
  <c r="AS66" i="314"/>
  <c r="AS56" i="314"/>
  <c r="AS58" i="314"/>
  <c r="AS80" i="311"/>
  <c r="AV76" i="315"/>
  <c r="AV162" i="314"/>
  <c r="AV163" i="314"/>
  <c r="AV78" i="315"/>
  <c r="AV81" i="315"/>
  <c r="AW160" i="314"/>
  <c r="AV107" i="315"/>
  <c r="AS60" i="314"/>
  <c r="AS62" i="314"/>
  <c r="AS67" i="314"/>
  <c r="AS82" i="314"/>
  <c r="AS79" i="265"/>
  <c r="AS73" i="314"/>
  <c r="AS75" i="314"/>
  <c r="AW116" i="314"/>
  <c r="AW119" i="314"/>
  <c r="AW140" i="314"/>
  <c r="AV503" i="321"/>
  <c r="AV504" i="321"/>
  <c r="AV507" i="321"/>
  <c r="AV508" i="321"/>
  <c r="AV517" i="321"/>
  <c r="AW122" i="314"/>
  <c r="AW124" i="314"/>
  <c r="AW149" i="314"/>
  <c r="AW150" i="314"/>
  <c r="AS80" i="265"/>
  <c r="AS83" i="314"/>
  <c r="AS84" i="314"/>
  <c r="AS82" i="265"/>
  <c r="AS85" i="265"/>
  <c r="AT81" i="314"/>
  <c r="AS111" i="265"/>
  <c r="AS60" i="328"/>
  <c r="AS87" i="314"/>
  <c r="AS90" i="314"/>
  <c r="AW153" i="314"/>
  <c r="AW144" i="314"/>
  <c r="AV513" i="321"/>
  <c r="AV514" i="321"/>
  <c r="AV518" i="321"/>
  <c r="AV519" i="321"/>
  <c r="AV522" i="321"/>
  <c r="AV523" i="321"/>
  <c r="AV509" i="321"/>
  <c r="AV199" i="288"/>
  <c r="AV193" i="288"/>
  <c r="AV83" i="315"/>
  <c r="AV531" i="321"/>
  <c r="AV524" i="321"/>
  <c r="AV200" i="288"/>
  <c r="AV530" i="321"/>
  <c r="AV532" i="321"/>
  <c r="AT37" i="314"/>
  <c r="AT40" i="314"/>
  <c r="AT61" i="314"/>
  <c r="AS459" i="321"/>
  <c r="AS460" i="321"/>
  <c r="AS463" i="321"/>
  <c r="AS464" i="321"/>
  <c r="AS473" i="321"/>
  <c r="AT43" i="314"/>
  <c r="AT45" i="314"/>
  <c r="AT70" i="314"/>
  <c r="AT71" i="314"/>
  <c r="AW527" i="321"/>
  <c r="AV120" i="315"/>
  <c r="AV84" i="315"/>
  <c r="AV85" i="315"/>
  <c r="AV87" i="286"/>
  <c r="AV88" i="286"/>
  <c r="AW496" i="321"/>
  <c r="AW498" i="321"/>
  <c r="AW521" i="321"/>
  <c r="AT74" i="314"/>
  <c r="AT65" i="314"/>
  <c r="AS469" i="321"/>
  <c r="AS470" i="321"/>
  <c r="AS474" i="321"/>
  <c r="AS475" i="321"/>
  <c r="AS478" i="321"/>
  <c r="AS479" i="321"/>
  <c r="AS465" i="321"/>
  <c r="AS49" i="288"/>
  <c r="AS43" i="288"/>
  <c r="AS23" i="328"/>
  <c r="AS87" i="265"/>
  <c r="AS487" i="321"/>
  <c r="AS480" i="321"/>
  <c r="AS50" i="288"/>
  <c r="AS24" i="328"/>
  <c r="AS486" i="321"/>
  <c r="AS488" i="321"/>
  <c r="AW499" i="321"/>
  <c r="AW103" i="282"/>
  <c r="AW108" i="282"/>
  <c r="AW512" i="321"/>
  <c r="AW506" i="321"/>
  <c r="AV91" i="286"/>
  <c r="AV93" i="286"/>
  <c r="AV104" i="286"/>
  <c r="AV94" i="286"/>
  <c r="AV105" i="286"/>
  <c r="AV106" i="286"/>
  <c r="AV109" i="286"/>
  <c r="AV111" i="286"/>
  <c r="AV98" i="286"/>
  <c r="AV99" i="286"/>
  <c r="AV201" i="288"/>
  <c r="AW116" i="282"/>
  <c r="AW25" i="315"/>
  <c r="AW27" i="315"/>
  <c r="AT483" i="321"/>
  <c r="AS124" i="265"/>
  <c r="AS88" i="265"/>
  <c r="AS89" i="265"/>
  <c r="AS10" i="286"/>
  <c r="AS11" i="286"/>
  <c r="AT452" i="321"/>
  <c r="AT454" i="321"/>
  <c r="AT477" i="321"/>
  <c r="AW112" i="282"/>
  <c r="AW117" i="282"/>
  <c r="AW96" i="286"/>
  <c r="AV122" i="315"/>
  <c r="AV112" i="286"/>
  <c r="AV116" i="286"/>
  <c r="AV117" i="286"/>
  <c r="AV202" i="288"/>
  <c r="AV87" i="315"/>
  <c r="AW114" i="286"/>
  <c r="AV123" i="315"/>
  <c r="AV88" i="315"/>
  <c r="AV89" i="315"/>
  <c r="AW90" i="286"/>
  <c r="AW120" i="282"/>
  <c r="AW121" i="282"/>
  <c r="AW123" i="282"/>
  <c r="AW124" i="282"/>
  <c r="AT455" i="321"/>
  <c r="AT35" i="282"/>
  <c r="AT40" i="282"/>
  <c r="AT468" i="321"/>
  <c r="AT462" i="321"/>
  <c r="AS14" i="286"/>
  <c r="AS16" i="286"/>
  <c r="AS27" i="286"/>
  <c r="AS17" i="286"/>
  <c r="AS28" i="286"/>
  <c r="AS29" i="286"/>
  <c r="AS32" i="286"/>
  <c r="AS34" i="286"/>
  <c r="AS21" i="286"/>
  <c r="AS22" i="286"/>
  <c r="AS51" i="288"/>
  <c r="AT48" i="282"/>
  <c r="AT27" i="265"/>
  <c r="AW136" i="282"/>
  <c r="AW130" i="282"/>
  <c r="AW126" i="282"/>
  <c r="AW128" i="282"/>
  <c r="AV131" i="286"/>
  <c r="AV143" i="286"/>
  <c r="AV144" i="286"/>
  <c r="AV147" i="286"/>
  <c r="AV148" i="286"/>
  <c r="AW108" i="286"/>
  <c r="AV132" i="286"/>
  <c r="AV124" i="286"/>
  <c r="AV125" i="286"/>
  <c r="AV198" i="288"/>
  <c r="AV192" i="288"/>
  <c r="AV194" i="288"/>
  <c r="AV149" i="286"/>
  <c r="AV133" i="286"/>
  <c r="AW131" i="282"/>
  <c r="AW137" i="282"/>
  <c r="AW132" i="282"/>
  <c r="AW138" i="282"/>
  <c r="AX135" i="282"/>
  <c r="AT29" i="265"/>
  <c r="AB27" i="277"/>
  <c r="AT19" i="286"/>
  <c r="AS126" i="265"/>
  <c r="AS35" i="286"/>
  <c r="AS39" i="286"/>
  <c r="AS40" i="286"/>
  <c r="AS52" i="288"/>
  <c r="AS91" i="265"/>
  <c r="AT37" i="286"/>
  <c r="AS127" i="265"/>
  <c r="AS92" i="265"/>
  <c r="AT13" i="286"/>
  <c r="AB29" i="277"/>
  <c r="AT44" i="282"/>
  <c r="AT49" i="282"/>
  <c r="AX127" i="282"/>
  <c r="AW143" i="282"/>
  <c r="AW144" i="282"/>
  <c r="AW130" i="286"/>
  <c r="AV103" i="315"/>
  <c r="AV108" i="315"/>
  <c r="AV110" i="315"/>
  <c r="AV130" i="315"/>
  <c r="AV33" i="315"/>
  <c r="AV34" i="315"/>
  <c r="AV91" i="315"/>
  <c r="AV92" i="315"/>
  <c r="AV197" i="288"/>
  <c r="AV204" i="288"/>
  <c r="AW122" i="286"/>
  <c r="AV124" i="315"/>
  <c r="AV125" i="315"/>
  <c r="AV131" i="315"/>
  <c r="AW138" i="286"/>
  <c r="AV207" i="288"/>
  <c r="AV133" i="315"/>
  <c r="AV132" i="315"/>
  <c r="AW502" i="321"/>
  <c r="AW127" i="314"/>
  <c r="AW86" i="286"/>
  <c r="AW142" i="286"/>
  <c r="AW145" i="282"/>
  <c r="AT52" i="282"/>
  <c r="AT53" i="282"/>
  <c r="AT55" i="282"/>
  <c r="AT56" i="282"/>
  <c r="AS92" i="277"/>
  <c r="AS93" i="265"/>
  <c r="AT31" i="286"/>
  <c r="AS54" i="286"/>
  <c r="AS75" i="286"/>
  <c r="AS76" i="286"/>
  <c r="AS79" i="286"/>
  <c r="AS80" i="286"/>
  <c r="AT68" i="282"/>
  <c r="AT62" i="282"/>
  <c r="AT58" i="282"/>
  <c r="AT60" i="282"/>
  <c r="AW44" i="315"/>
  <c r="AW45" i="315"/>
  <c r="AW29" i="315"/>
  <c r="AW31" i="315"/>
  <c r="AW139" i="286"/>
  <c r="AW140" i="286"/>
  <c r="AW146" i="286"/>
  <c r="AW123" i="286"/>
  <c r="AW177" i="288"/>
  <c r="AW179" i="288"/>
  <c r="AW63" i="315"/>
  <c r="AT63" i="282"/>
  <c r="AT69" i="282"/>
  <c r="AT64" i="282"/>
  <c r="AT70" i="282"/>
  <c r="AU67" i="282"/>
  <c r="AS55" i="286"/>
  <c r="AS47" i="286"/>
  <c r="AS48" i="286"/>
  <c r="AS48" i="288"/>
  <c r="AS42" i="288"/>
  <c r="AS44" i="288"/>
  <c r="AS81" i="286"/>
  <c r="AS25" i="328"/>
  <c r="AS56" i="286"/>
  <c r="AT53" i="286"/>
  <c r="AS58" i="286"/>
  <c r="AS64" i="286"/>
  <c r="AS107" i="265"/>
  <c r="AS35" i="265"/>
  <c r="AS95" i="265"/>
  <c r="AS47" i="288"/>
  <c r="AS54" i="288"/>
  <c r="AT45" i="286"/>
  <c r="AS128" i="265"/>
  <c r="AS129" i="265"/>
  <c r="AS135" i="265"/>
  <c r="AU59" i="282"/>
  <c r="AT75" i="282"/>
  <c r="AT76" i="282"/>
  <c r="AW73" i="315"/>
  <c r="AW263" i="288"/>
  <c r="AW235" i="288"/>
  <c r="AW215" i="288"/>
  <c r="AW182" i="288"/>
  <c r="AW237" i="288"/>
  <c r="AW239" i="288"/>
  <c r="AW128" i="314"/>
  <c r="AW130" i="314"/>
  <c r="AT77" i="282"/>
  <c r="AT70" i="286"/>
  <c r="AS57" i="288"/>
  <c r="AS96" i="265"/>
  <c r="AS36" i="265"/>
  <c r="AS59" i="328"/>
  <c r="AS112" i="265"/>
  <c r="AS114" i="265"/>
  <c r="AS134" i="265"/>
  <c r="AT458" i="321"/>
  <c r="AT48" i="314"/>
  <c r="AT9" i="286"/>
  <c r="AT74" i="286"/>
  <c r="AS137" i="265"/>
  <c r="AS136" i="265"/>
  <c r="AT46" i="265"/>
  <c r="AT31" i="265"/>
  <c r="AW132" i="314"/>
  <c r="AW133" i="314"/>
  <c r="AW143" i="314"/>
  <c r="AW145" i="314"/>
  <c r="AW135" i="314"/>
  <c r="AW137" i="314"/>
  <c r="AW139" i="314"/>
  <c r="AW141" i="314"/>
  <c r="AW146" i="314"/>
  <c r="AW161" i="314"/>
  <c r="AB31" i="277"/>
  <c r="AT33" i="265"/>
  <c r="AT47" i="265"/>
  <c r="AB46" i="277"/>
  <c r="AB47" i="277"/>
  <c r="AT27" i="288"/>
  <c r="AT29" i="288"/>
  <c r="AT65" i="265"/>
  <c r="AT71" i="286"/>
  <c r="AT72" i="286"/>
  <c r="AT78" i="286"/>
  <c r="AT46" i="286"/>
  <c r="AB33" i="277"/>
  <c r="AW75" i="315"/>
  <c r="AW152" i="314"/>
  <c r="AW154" i="314"/>
  <c r="AW76" i="315"/>
  <c r="AW162" i="314"/>
  <c r="AW163" i="314"/>
  <c r="AW78" i="315"/>
  <c r="AT77" i="265"/>
  <c r="AT85" i="288"/>
  <c r="AT65" i="288"/>
  <c r="AT68" i="288"/>
  <c r="AT113" i="288"/>
  <c r="AT10" i="321"/>
  <c r="AT12" i="321"/>
  <c r="AT20" i="328"/>
  <c r="AB40" i="328"/>
  <c r="AT32" i="288"/>
  <c r="AB65" i="277"/>
  <c r="AB77" i="277"/>
  <c r="AT39" i="311"/>
  <c r="AT70" i="288"/>
  <c r="AT57" i="328"/>
  <c r="AB68" i="328"/>
  <c r="AT87" i="288"/>
  <c r="AT89" i="288"/>
  <c r="AT92" i="288"/>
  <c r="AT94" i="288"/>
  <c r="AT49" i="314"/>
  <c r="AT51" i="314"/>
  <c r="AW81" i="315"/>
  <c r="AX160" i="314"/>
  <c r="AW107" i="315"/>
  <c r="AX116" i="314"/>
  <c r="AX119" i="314"/>
  <c r="AX140" i="314"/>
  <c r="AW503" i="321"/>
  <c r="AW504" i="321"/>
  <c r="AT53" i="314"/>
  <c r="AT54" i="314"/>
  <c r="AT64" i="314"/>
  <c r="AT66" i="314"/>
  <c r="AT56" i="314"/>
  <c r="AT58" i="314"/>
  <c r="AT80" i="311"/>
  <c r="AT60" i="314"/>
  <c r="AT62" i="314"/>
  <c r="AT67" i="314"/>
  <c r="AT82" i="314"/>
  <c r="AW507" i="321"/>
  <c r="AW508" i="321"/>
  <c r="AW517" i="321"/>
  <c r="AX122" i="314"/>
  <c r="AX124" i="314"/>
  <c r="AX149" i="314"/>
  <c r="AX150" i="314"/>
  <c r="AX153" i="314"/>
  <c r="AX144" i="314"/>
  <c r="AW513" i="321"/>
  <c r="AW514" i="321"/>
  <c r="AW518" i="321"/>
  <c r="AW519" i="321"/>
  <c r="AW522" i="321"/>
  <c r="AW523" i="321"/>
  <c r="AW509" i="321"/>
  <c r="AW199" i="288"/>
  <c r="AW193" i="288"/>
  <c r="AT79" i="265"/>
  <c r="AT73" i="314"/>
  <c r="AT75" i="314"/>
  <c r="AT80" i="265"/>
  <c r="AB80" i="277"/>
  <c r="AT83" i="314"/>
  <c r="AT84" i="314"/>
  <c r="AB79" i="277"/>
  <c r="AT82" i="265"/>
  <c r="AW83" i="315"/>
  <c r="AW531" i="321"/>
  <c r="AW524" i="321"/>
  <c r="AW200" i="288"/>
  <c r="AW530" i="321"/>
  <c r="AW532" i="321"/>
  <c r="AX527" i="321"/>
  <c r="AW120" i="315"/>
  <c r="AW84" i="315"/>
  <c r="AW85" i="315"/>
  <c r="AT85" i="265"/>
  <c r="AB82" i="277"/>
  <c r="AU81" i="314"/>
  <c r="AT111" i="265"/>
  <c r="AT87" i="314"/>
  <c r="AT90" i="314"/>
  <c r="AT60" i="328"/>
  <c r="AB71" i="328"/>
  <c r="AB111" i="277"/>
  <c r="AU37" i="314"/>
  <c r="AU40" i="314"/>
  <c r="AU61" i="314"/>
  <c r="AB85" i="277"/>
  <c r="AT459" i="321"/>
  <c r="AT460" i="321"/>
  <c r="AW87" i="286"/>
  <c r="AW88" i="286"/>
  <c r="AX496" i="321"/>
  <c r="AX498" i="321"/>
  <c r="AX521" i="321"/>
  <c r="AX499" i="321"/>
  <c r="AX103" i="282"/>
  <c r="AX108" i="282"/>
  <c r="AX512" i="321"/>
  <c r="AX506" i="321"/>
  <c r="AW91" i="286"/>
  <c r="AW93" i="286"/>
  <c r="AW104" i="286"/>
  <c r="AT463" i="321"/>
  <c r="AT464" i="321"/>
  <c r="AT473" i="321"/>
  <c r="AU43" i="314"/>
  <c r="AU45" i="314"/>
  <c r="AU70" i="314"/>
  <c r="AU71" i="314"/>
  <c r="AU74" i="314"/>
  <c r="AU65" i="314"/>
  <c r="AT469" i="321"/>
  <c r="AT470" i="321"/>
  <c r="AT474" i="321"/>
  <c r="AT475" i="321"/>
  <c r="AT478" i="321"/>
  <c r="AT479" i="321"/>
  <c r="AT465" i="321"/>
  <c r="AT49" i="288"/>
  <c r="AT43" i="288"/>
  <c r="AT23" i="328"/>
  <c r="AB43" i="328"/>
  <c r="AW94" i="286"/>
  <c r="AW105" i="286"/>
  <c r="AW106" i="286"/>
  <c r="AW109" i="286"/>
  <c r="AW111" i="286"/>
  <c r="AW98" i="286"/>
  <c r="AW99" i="286"/>
  <c r="AW201" i="288"/>
  <c r="AX116" i="282"/>
  <c r="AX25" i="315"/>
  <c r="AX27" i="315"/>
  <c r="AX112" i="282"/>
  <c r="AX117" i="282"/>
  <c r="AX96" i="286"/>
  <c r="AW122" i="315"/>
  <c r="AW112" i="286"/>
  <c r="AW116" i="286"/>
  <c r="AW117" i="286"/>
  <c r="AW202" i="288"/>
  <c r="AW87" i="315"/>
  <c r="AT87" i="265"/>
  <c r="AT487" i="321"/>
  <c r="AT480" i="321"/>
  <c r="AT50" i="288"/>
  <c r="AT24" i="328"/>
  <c r="AB44" i="328"/>
  <c r="AT486" i="321"/>
  <c r="AT488" i="321"/>
  <c r="AU483" i="321"/>
  <c r="AT124" i="265"/>
  <c r="AT88" i="265"/>
  <c r="AB88" i="277"/>
  <c r="AB87" i="277"/>
  <c r="AT89" i="265"/>
  <c r="AX114" i="286"/>
  <c r="AW123" i="315"/>
  <c r="AW88" i="315"/>
  <c r="AW89" i="315"/>
  <c r="AX90" i="286"/>
  <c r="AX120" i="282"/>
  <c r="AX121" i="282"/>
  <c r="AX123" i="282"/>
  <c r="AX124" i="282"/>
  <c r="AX136" i="282"/>
  <c r="AX130" i="282"/>
  <c r="AX126" i="282"/>
  <c r="AX128" i="282"/>
  <c r="AW131" i="286"/>
  <c r="AW143" i="286"/>
  <c r="AW144" i="286"/>
  <c r="AW147" i="286"/>
  <c r="AW148" i="286"/>
  <c r="AX108" i="286"/>
  <c r="AT10" i="286"/>
  <c r="AT11" i="286"/>
  <c r="AB89" i="277"/>
  <c r="AB124" i="277"/>
  <c r="AU452" i="321"/>
  <c r="AU454" i="321"/>
  <c r="AU477" i="321"/>
  <c r="AU455" i="321"/>
  <c r="AU35" i="282"/>
  <c r="AU40" i="282"/>
  <c r="AU468" i="321"/>
  <c r="AU462" i="321"/>
  <c r="AT14" i="286"/>
  <c r="AT16" i="286"/>
  <c r="AT27" i="286"/>
  <c r="AW132" i="286"/>
  <c r="AW124" i="286"/>
  <c r="AW125" i="286"/>
  <c r="AW198" i="288"/>
  <c r="AW192" i="288"/>
  <c r="AW194" i="288"/>
  <c r="AW149" i="286"/>
  <c r="AW133" i="286"/>
  <c r="AX131" i="282"/>
  <c r="AX137" i="282"/>
  <c r="AX132" i="282"/>
  <c r="AX138" i="282"/>
  <c r="AY135" i="282"/>
  <c r="AY127" i="282"/>
  <c r="AX143" i="282"/>
  <c r="AX144" i="282"/>
  <c r="AX130" i="286"/>
  <c r="AW103" i="315"/>
  <c r="AW108" i="315"/>
  <c r="AW110" i="315"/>
  <c r="AW130" i="315"/>
  <c r="AW33" i="315"/>
  <c r="AW34" i="315"/>
  <c r="AW91" i="315"/>
  <c r="AW92" i="315"/>
  <c r="AW197" i="288"/>
  <c r="AW204" i="288"/>
  <c r="AX122" i="286"/>
  <c r="AW124" i="315"/>
  <c r="AW125" i="315"/>
  <c r="AW131" i="315"/>
  <c r="AT17" i="286"/>
  <c r="AT28" i="286"/>
  <c r="AT29" i="286"/>
  <c r="AT32" i="286"/>
  <c r="AT34" i="286"/>
  <c r="AT21" i="286"/>
  <c r="AT22" i="286"/>
  <c r="AT51" i="288"/>
  <c r="AU48" i="282"/>
  <c r="AU27" i="265"/>
  <c r="AU29" i="265"/>
  <c r="AU19" i="286"/>
  <c r="AT126" i="265"/>
  <c r="AT35" i="286"/>
  <c r="AT39" i="286"/>
  <c r="AT40" i="286"/>
  <c r="AT52" i="288"/>
  <c r="AT91" i="265"/>
  <c r="AX138" i="286"/>
  <c r="AW207" i="288"/>
  <c r="AW133" i="315"/>
  <c r="AW132" i="315"/>
  <c r="AX502" i="321"/>
  <c r="AX127" i="314"/>
  <c r="AX86" i="286"/>
  <c r="AX142" i="286"/>
  <c r="AX145" i="282"/>
  <c r="AX44" i="315"/>
  <c r="AX45" i="315"/>
  <c r="AX29" i="315"/>
  <c r="AX31" i="315"/>
  <c r="AB91" i="277"/>
  <c r="AU37" i="286"/>
  <c r="AT127" i="265"/>
  <c r="AB127" i="277"/>
  <c r="AT92" i="265"/>
  <c r="AB126" i="277"/>
  <c r="AU13" i="286"/>
  <c r="AU44" i="282"/>
  <c r="AU49" i="282"/>
  <c r="AU52" i="282"/>
  <c r="AU53" i="282"/>
  <c r="AU55" i="282"/>
  <c r="AU56" i="282"/>
  <c r="AT92" i="277"/>
  <c r="AT93" i="265"/>
  <c r="AU31" i="286"/>
  <c r="AB93" i="277"/>
  <c r="AX139" i="286"/>
  <c r="AX140" i="286"/>
  <c r="AX146" i="286"/>
  <c r="AX123" i="286"/>
  <c r="AX177" i="288"/>
  <c r="AX179" i="288"/>
  <c r="AX63" i="315"/>
  <c r="AX73" i="315"/>
  <c r="AX263" i="288"/>
  <c r="AX235" i="288"/>
  <c r="AX215" i="288"/>
  <c r="AX182" i="288"/>
  <c r="AT54" i="286"/>
  <c r="AT75" i="286"/>
  <c r="AT76" i="286"/>
  <c r="AT79" i="286"/>
  <c r="AT80" i="286"/>
  <c r="AU68" i="282"/>
  <c r="AU62" i="282"/>
  <c r="AU58" i="282"/>
  <c r="AU60" i="282"/>
  <c r="AU63" i="282"/>
  <c r="AU69" i="282"/>
  <c r="AU64" i="282"/>
  <c r="AU70" i="282"/>
  <c r="AV67" i="282"/>
  <c r="AT55" i="286"/>
  <c r="AT47" i="286"/>
  <c r="AT48" i="286"/>
  <c r="AT48" i="288"/>
  <c r="AT42" i="288"/>
  <c r="AT44" i="288"/>
  <c r="AT81" i="286"/>
  <c r="AT25" i="328"/>
  <c r="AB45" i="328"/>
  <c r="AT56" i="286"/>
  <c r="AX237" i="288"/>
  <c r="AX239" i="288"/>
  <c r="AX128" i="314"/>
  <c r="AX130" i="314"/>
  <c r="AX132" i="314"/>
  <c r="AX133" i="314"/>
  <c r="AX143" i="314"/>
  <c r="AX145" i="314"/>
  <c r="AX135" i="314"/>
  <c r="AX137" i="314"/>
  <c r="AU53" i="286"/>
  <c r="AT58" i="286"/>
  <c r="AT64" i="286"/>
  <c r="AT107" i="265"/>
  <c r="AT35" i="265"/>
  <c r="AT95" i="265"/>
  <c r="AT47" i="288"/>
  <c r="AT54" i="288"/>
  <c r="AU45" i="286"/>
  <c r="AT128" i="265"/>
  <c r="AV59" i="282"/>
  <c r="AU75" i="282"/>
  <c r="AU76" i="282"/>
  <c r="AU77" i="282"/>
  <c r="AB128" i="277"/>
  <c r="AB129" i="277"/>
  <c r="AB135" i="277"/>
  <c r="AT129" i="265"/>
  <c r="AT135" i="265"/>
  <c r="AU70" i="286"/>
  <c r="AT57" i="288"/>
  <c r="AB95" i="277"/>
  <c r="AT96" i="265"/>
  <c r="AB35" i="277"/>
  <c r="AT36" i="265"/>
  <c r="AT59" i="328"/>
  <c r="AB70" i="328"/>
  <c r="AB107" i="277"/>
  <c r="AB112" i="277"/>
  <c r="AB114" i="277"/>
  <c r="AB134" i="277"/>
  <c r="AT112" i="265"/>
  <c r="AT114" i="265"/>
  <c r="AT134" i="265"/>
  <c r="AU458" i="321"/>
  <c r="AU48" i="314"/>
  <c r="AU9" i="286"/>
  <c r="AU74" i="286"/>
  <c r="AX139" i="314"/>
  <c r="AX141" i="314"/>
  <c r="AX146" i="314"/>
  <c r="AX161" i="314"/>
  <c r="AX75" i="315"/>
  <c r="AX152" i="314"/>
  <c r="AX154" i="314"/>
  <c r="AT137" i="265"/>
  <c r="AT136" i="265"/>
  <c r="AB137" i="277"/>
  <c r="AB136" i="277"/>
  <c r="AB36" i="277"/>
  <c r="AB96" i="277"/>
  <c r="AU46" i="265"/>
  <c r="AU31" i="265"/>
  <c r="AU33" i="265"/>
  <c r="AU47" i="265"/>
  <c r="AX76" i="315"/>
  <c r="AX162" i="314"/>
  <c r="AX163" i="314"/>
  <c r="AX78" i="315"/>
  <c r="AX81" i="315"/>
  <c r="AY160" i="314"/>
  <c r="AX107" i="315"/>
  <c r="AU27" i="288"/>
  <c r="AU29" i="288"/>
  <c r="AU65" i="265"/>
  <c r="AU71" i="286"/>
  <c r="AU72" i="286"/>
  <c r="AU78" i="286"/>
  <c r="AU46" i="286"/>
  <c r="AU77" i="265"/>
  <c r="AU85" i="288"/>
  <c r="AU65" i="288"/>
  <c r="AU68" i="288"/>
  <c r="AU113" i="288"/>
  <c r="AU10" i="321"/>
  <c r="AU12" i="321"/>
  <c r="AU20" i="328"/>
  <c r="AU32" i="288"/>
  <c r="AY116" i="314"/>
  <c r="AY119" i="314"/>
  <c r="AY140" i="314"/>
  <c r="AX503" i="321"/>
  <c r="AX504" i="321"/>
  <c r="AX507" i="321"/>
  <c r="AX508" i="321"/>
  <c r="AX517" i="321"/>
  <c r="AY122" i="314"/>
  <c r="AY124" i="314"/>
  <c r="AY149" i="314"/>
  <c r="AY150" i="314"/>
  <c r="AU39" i="311"/>
  <c r="AU70" i="288"/>
  <c r="AU57" i="328"/>
  <c r="AU87" i="288"/>
  <c r="AU89" i="288"/>
  <c r="AU92" i="288"/>
  <c r="AU94" i="288"/>
  <c r="AU49" i="314"/>
  <c r="AU51" i="314"/>
  <c r="AU53" i="314"/>
  <c r="AU54" i="314"/>
  <c r="AU64" i="314"/>
  <c r="AU66" i="314"/>
  <c r="AU56" i="314"/>
  <c r="AU58" i="314"/>
  <c r="AU80" i="311"/>
  <c r="AY153" i="314"/>
  <c r="AY144" i="314"/>
  <c r="AX513" i="321"/>
  <c r="AX514" i="321"/>
  <c r="AX518" i="321"/>
  <c r="AX519" i="321"/>
  <c r="AX522" i="321"/>
  <c r="AX523" i="321"/>
  <c r="AX509" i="321"/>
  <c r="AX199" i="288"/>
  <c r="AX193" i="288"/>
  <c r="AX83" i="315"/>
  <c r="AX531" i="321"/>
  <c r="AX524" i="321"/>
  <c r="AX200" i="288"/>
  <c r="AX530" i="321"/>
  <c r="AX532" i="321"/>
  <c r="AU60" i="314"/>
  <c r="AU62" i="314"/>
  <c r="AU67" i="314"/>
  <c r="AU82" i="314"/>
  <c r="AU79" i="265"/>
  <c r="AU73" i="314"/>
  <c r="AU75" i="314"/>
  <c r="AY527" i="321"/>
  <c r="AX120" i="315"/>
  <c r="AX84" i="315"/>
  <c r="AX85" i="315"/>
  <c r="AX87" i="286"/>
  <c r="AX88" i="286"/>
  <c r="AY496" i="321"/>
  <c r="AY498" i="321"/>
  <c r="AY521" i="321"/>
  <c r="AU80" i="265"/>
  <c r="AU83" i="314"/>
  <c r="AU84" i="314"/>
  <c r="AU82" i="265"/>
  <c r="AU85" i="265"/>
  <c r="AV81" i="314"/>
  <c r="AU111" i="265"/>
  <c r="AU60" i="328"/>
  <c r="AU87" i="314"/>
  <c r="AU90" i="314"/>
  <c r="AY499" i="321"/>
  <c r="AY103" i="282"/>
  <c r="AY108" i="282"/>
  <c r="AY512" i="321"/>
  <c r="AY506" i="321"/>
  <c r="AX91" i="286"/>
  <c r="AX93" i="286"/>
  <c r="AX104" i="286"/>
  <c r="AX94" i="286"/>
  <c r="AX105" i="286"/>
  <c r="AX106" i="286"/>
  <c r="AX109" i="286"/>
  <c r="AX111" i="286"/>
  <c r="AX98" i="286"/>
  <c r="AX99" i="286"/>
  <c r="AX201" i="288"/>
  <c r="AY116" i="282"/>
  <c r="AY25" i="315"/>
  <c r="AY27" i="315"/>
  <c r="AV37" i="314"/>
  <c r="AV40" i="314"/>
  <c r="AV61" i="314"/>
  <c r="AU459" i="321"/>
  <c r="AU460" i="321"/>
  <c r="AU463" i="321"/>
  <c r="AU464" i="321"/>
  <c r="AU473" i="321"/>
  <c r="AV43" i="314"/>
  <c r="AV45" i="314"/>
  <c r="AV70" i="314"/>
  <c r="AV71" i="314"/>
  <c r="AY112" i="282"/>
  <c r="AY117" i="282"/>
  <c r="AY96" i="286"/>
  <c r="AX122" i="315"/>
  <c r="AX112" i="286"/>
  <c r="AX116" i="286"/>
  <c r="AX117" i="286"/>
  <c r="AX202" i="288"/>
  <c r="AX87" i="315"/>
  <c r="AY114" i="286"/>
  <c r="AX123" i="315"/>
  <c r="AX88" i="315"/>
  <c r="AX89" i="315"/>
  <c r="AY90" i="286"/>
  <c r="AY120" i="282"/>
  <c r="AY121" i="282"/>
  <c r="AY123" i="282"/>
  <c r="AY124" i="282"/>
  <c r="AV74" i="314"/>
  <c r="AV65" i="314"/>
  <c r="AU469" i="321"/>
  <c r="AU470" i="321"/>
  <c r="AU474" i="321"/>
  <c r="AU475" i="321"/>
  <c r="AU478" i="321"/>
  <c r="AU479" i="321"/>
  <c r="AU465" i="321"/>
  <c r="AU49" i="288"/>
  <c r="AU43" i="288"/>
  <c r="AU23" i="328"/>
  <c r="AU87" i="265"/>
  <c r="AU487" i="321"/>
  <c r="AU480" i="321"/>
  <c r="AU50" i="288"/>
  <c r="AU24" i="328"/>
  <c r="AU486" i="321"/>
  <c r="AU488" i="321"/>
  <c r="AY136" i="282"/>
  <c r="AY130" i="282"/>
  <c r="AY126" i="282"/>
  <c r="AY128" i="282"/>
  <c r="AX131" i="286"/>
  <c r="AX143" i="286"/>
  <c r="AX144" i="286"/>
  <c r="AX147" i="286"/>
  <c r="AX148" i="286"/>
  <c r="AY108" i="286"/>
  <c r="AX132" i="286"/>
  <c r="AX124" i="286"/>
  <c r="AX125" i="286"/>
  <c r="AX198" i="288"/>
  <c r="AX192" i="288"/>
  <c r="AX194" i="288"/>
  <c r="AX149" i="286"/>
  <c r="AX133" i="286"/>
  <c r="AY131" i="282"/>
  <c r="AY137" i="282"/>
  <c r="AY132" i="282"/>
  <c r="AY138" i="282"/>
  <c r="AZ135" i="282"/>
  <c r="AV483" i="321"/>
  <c r="AU124" i="265"/>
  <c r="AU88" i="265"/>
  <c r="AU89" i="265"/>
  <c r="AU10" i="286"/>
  <c r="AU11" i="286"/>
  <c r="AV452" i="321"/>
  <c r="AV454" i="321"/>
  <c r="AV477" i="321"/>
  <c r="AZ127" i="282"/>
  <c r="AY143" i="282"/>
  <c r="AY144" i="282"/>
  <c r="AY130" i="286"/>
  <c r="AX103" i="315"/>
  <c r="AX108" i="315"/>
  <c r="AX110" i="315"/>
  <c r="AX130" i="315"/>
  <c r="AX33" i="315"/>
  <c r="AX34" i="315"/>
  <c r="AX91" i="315"/>
  <c r="AX92" i="315"/>
  <c r="AX197" i="288"/>
  <c r="AX204" i="288"/>
  <c r="AY122" i="286"/>
  <c r="AX124" i="315"/>
  <c r="AX125" i="315"/>
  <c r="AX131" i="315"/>
  <c r="AY138" i="286"/>
  <c r="AX207" i="288"/>
  <c r="AX133" i="315"/>
  <c r="AX132" i="315"/>
  <c r="AY502" i="321"/>
  <c r="AY127" i="314"/>
  <c r="AY86" i="286"/>
  <c r="AY142" i="286"/>
  <c r="AY145" i="282"/>
  <c r="AV455" i="321"/>
  <c r="AV35" i="282"/>
  <c r="AV40" i="282"/>
  <c r="AV468" i="321"/>
  <c r="AV462" i="321"/>
  <c r="AU14" i="286"/>
  <c r="AU16" i="286"/>
  <c r="AU27" i="286"/>
  <c r="AU17" i="286"/>
  <c r="AU28" i="286"/>
  <c r="AU29" i="286"/>
  <c r="AU32" i="286"/>
  <c r="AU34" i="286"/>
  <c r="AU21" i="286"/>
  <c r="AU22" i="286"/>
  <c r="AU51" i="288"/>
  <c r="AV48" i="282"/>
  <c r="AV27" i="265"/>
  <c r="AY44" i="315"/>
  <c r="AY45" i="315"/>
  <c r="AY29" i="315"/>
  <c r="AY31" i="315"/>
  <c r="AY139" i="286"/>
  <c r="AY140" i="286"/>
  <c r="AY146" i="286"/>
  <c r="AY123" i="286"/>
  <c r="AY177" i="288"/>
  <c r="AY179" i="288"/>
  <c r="AY63" i="315"/>
  <c r="AV29" i="265"/>
  <c r="AC27" i="277"/>
  <c r="AV19" i="286"/>
  <c r="AU126" i="265"/>
  <c r="AU35" i="286"/>
  <c r="AU39" i="286"/>
  <c r="AU40" i="286"/>
  <c r="AU52" i="288"/>
  <c r="AU91" i="265"/>
  <c r="AV37" i="286"/>
  <c r="AU127" i="265"/>
  <c r="AU92" i="265"/>
  <c r="AV13" i="286"/>
  <c r="AC29" i="277"/>
  <c r="AV44" i="282"/>
  <c r="AV49" i="282"/>
  <c r="AY73" i="315"/>
  <c r="AY263" i="288"/>
  <c r="AY235" i="288"/>
  <c r="AY215" i="288"/>
  <c r="AY182" i="288"/>
  <c r="AY237" i="288"/>
  <c r="AY239" i="288"/>
  <c r="AY128" i="314"/>
  <c r="AY130" i="314"/>
  <c r="AV52" i="282"/>
  <c r="AV53" i="282"/>
  <c r="AV55" i="282"/>
  <c r="AV56" i="282"/>
  <c r="AU92" i="277"/>
  <c r="AU93" i="265"/>
  <c r="AV31" i="286"/>
  <c r="AU54" i="286"/>
  <c r="AU75" i="286"/>
  <c r="AU76" i="286"/>
  <c r="AU79" i="286"/>
  <c r="AU80" i="286"/>
  <c r="AV68" i="282"/>
  <c r="AV62" i="282"/>
  <c r="AV58" i="282"/>
  <c r="AV60" i="282"/>
  <c r="AY132" i="314"/>
  <c r="AY133" i="314"/>
  <c r="AY143" i="314"/>
  <c r="AY145" i="314"/>
  <c r="AY135" i="314"/>
  <c r="AY137" i="314"/>
  <c r="AY139" i="314"/>
  <c r="AY141" i="314"/>
  <c r="AY146" i="314"/>
  <c r="AY161" i="314"/>
  <c r="AV63" i="282"/>
  <c r="AV69" i="282"/>
  <c r="AV64" i="282"/>
  <c r="AV70" i="282"/>
  <c r="AW67" i="282"/>
  <c r="AU55" i="286"/>
  <c r="AU47" i="286"/>
  <c r="AU48" i="286"/>
  <c r="AU48" i="288"/>
  <c r="AU42" i="288"/>
  <c r="AU44" i="288"/>
  <c r="AU81" i="286"/>
  <c r="AU25" i="328"/>
  <c r="AU56" i="286"/>
  <c r="AV53" i="286"/>
  <c r="AU58" i="286"/>
  <c r="AU64" i="286"/>
  <c r="AU107" i="265"/>
  <c r="AU35" i="265"/>
  <c r="AU95" i="265"/>
  <c r="AU47" i="288"/>
  <c r="AU54" i="288"/>
  <c r="AV45" i="286"/>
  <c r="AU128" i="265"/>
  <c r="AU129" i="265"/>
  <c r="AU135" i="265"/>
  <c r="AW59" i="282"/>
  <c r="AV75" i="282"/>
  <c r="AV76" i="282"/>
  <c r="AY75" i="315"/>
  <c r="AY152" i="314"/>
  <c r="AY154" i="314"/>
  <c r="AY76" i="315"/>
  <c r="AY162" i="314"/>
  <c r="AY163" i="314"/>
  <c r="AY78" i="315"/>
  <c r="AV77" i="282"/>
  <c r="AV70" i="286"/>
  <c r="AU57" i="288"/>
  <c r="AU96" i="265"/>
  <c r="AU36" i="265"/>
  <c r="AU59" i="328"/>
  <c r="AU112" i="265"/>
  <c r="AU114" i="265"/>
  <c r="AU134" i="265"/>
  <c r="AV458" i="321"/>
  <c r="AV48" i="314"/>
  <c r="AV9" i="286"/>
  <c r="AV74" i="286"/>
  <c r="AU137" i="265"/>
  <c r="AU136" i="265"/>
  <c r="AV46" i="265"/>
  <c r="AV31" i="265"/>
  <c r="AY81" i="315"/>
  <c r="AZ160" i="314"/>
  <c r="AY107" i="315"/>
  <c r="AZ116" i="314"/>
  <c r="AZ119" i="314"/>
  <c r="AZ140" i="314"/>
  <c r="AY503" i="321"/>
  <c r="AY504" i="321"/>
  <c r="AC31" i="277"/>
  <c r="AV33" i="265"/>
  <c r="AV47" i="265"/>
  <c r="AC46" i="277"/>
  <c r="AC47" i="277"/>
  <c r="AV27" i="288"/>
  <c r="AV29" i="288"/>
  <c r="AV65" i="265"/>
  <c r="AV71" i="286"/>
  <c r="AV72" i="286"/>
  <c r="AV78" i="286"/>
  <c r="AV46" i="286"/>
  <c r="AC33" i="277"/>
  <c r="AY507" i="321"/>
  <c r="AY508" i="321"/>
  <c r="AY517" i="321"/>
  <c r="AZ122" i="314"/>
  <c r="AZ124" i="314"/>
  <c r="AZ149" i="314"/>
  <c r="AZ150" i="314"/>
  <c r="AZ153" i="314"/>
  <c r="AZ144" i="314"/>
  <c r="AY513" i="321"/>
  <c r="AY514" i="321"/>
  <c r="AY518" i="321"/>
  <c r="AY519" i="321"/>
  <c r="AY522" i="321"/>
  <c r="AY523" i="321"/>
  <c r="AY509" i="321"/>
  <c r="AY199" i="288"/>
  <c r="AY193" i="288"/>
  <c r="AV77" i="265"/>
  <c r="AV85" i="288"/>
  <c r="AV65" i="288"/>
  <c r="AV68" i="288"/>
  <c r="AV113" i="288"/>
  <c r="AV10" i="321"/>
  <c r="AV12" i="321"/>
  <c r="AV20" i="328"/>
  <c r="AC40" i="328"/>
  <c r="AV32" i="288"/>
  <c r="AC65" i="277"/>
  <c r="AC77" i="277"/>
  <c r="AV39" i="311"/>
  <c r="AV70" i="288"/>
  <c r="AV57" i="328"/>
  <c r="AC68" i="328"/>
  <c r="AV87" i="288"/>
  <c r="AV89" i="288"/>
  <c r="AV92" i="288"/>
  <c r="AV94" i="288"/>
  <c r="AV49" i="314"/>
  <c r="AV51" i="314"/>
  <c r="AY83" i="315"/>
  <c r="AY531" i="321"/>
  <c r="AY524" i="321"/>
  <c r="AY200" i="288"/>
  <c r="AY530" i="321"/>
  <c r="AY532" i="321"/>
  <c r="AZ527" i="321"/>
  <c r="AY120" i="315"/>
  <c r="AY84" i="315"/>
  <c r="AY85" i="315"/>
  <c r="AV53" i="314"/>
  <c r="AV54" i="314"/>
  <c r="AV64" i="314"/>
  <c r="AV66" i="314"/>
  <c r="AV56" i="314"/>
  <c r="AV58" i="314"/>
  <c r="F95" i="288"/>
  <c r="H19" i="269"/>
  <c r="K19" i="269"/>
  <c r="F96" i="288"/>
  <c r="H20" i="269"/>
  <c r="K20" i="269"/>
  <c r="F71" i="288"/>
  <c r="F72" i="288"/>
  <c r="AV80" i="311"/>
  <c r="H26" i="269"/>
  <c r="K26" i="269"/>
  <c r="F108" i="328"/>
  <c r="M16" i="326"/>
  <c r="H25" i="269"/>
  <c r="K25" i="269"/>
  <c r="F107" i="328"/>
  <c r="M15" i="326"/>
  <c r="J20" i="269"/>
  <c r="L20" i="269"/>
  <c r="J19" i="269"/>
  <c r="L19" i="269"/>
  <c r="AV60" i="314"/>
  <c r="AV62" i="314"/>
  <c r="AV67" i="314"/>
  <c r="AV82" i="314"/>
  <c r="AY87" i="286"/>
  <c r="AY88" i="286"/>
  <c r="AZ496" i="321"/>
  <c r="AZ498" i="321"/>
  <c r="AZ521" i="321"/>
  <c r="AZ499" i="321"/>
  <c r="AZ103" i="282"/>
  <c r="AZ108" i="282"/>
  <c r="AZ512" i="321"/>
  <c r="AZ506" i="321"/>
  <c r="AY91" i="286"/>
  <c r="AY93" i="286"/>
  <c r="AY104" i="286"/>
  <c r="AV79" i="265"/>
  <c r="AV73" i="314"/>
  <c r="AV75" i="314"/>
  <c r="J25" i="269"/>
  <c r="L25" i="269"/>
  <c r="J26" i="269"/>
  <c r="L26" i="269"/>
  <c r="AV80" i="265"/>
  <c r="AC80" i="277"/>
  <c r="AV83" i="314"/>
  <c r="AV84" i="314"/>
  <c r="AC79" i="277"/>
  <c r="AV82" i="265"/>
  <c r="AY94" i="286"/>
  <c r="AY105" i="286"/>
  <c r="AY106" i="286"/>
  <c r="AY109" i="286"/>
  <c r="AY111" i="286"/>
  <c r="AY98" i="286"/>
  <c r="AY99" i="286"/>
  <c r="AY201" i="288"/>
  <c r="AZ116" i="282"/>
  <c r="AZ25" i="315"/>
  <c r="AZ27" i="315"/>
  <c r="AZ112" i="282"/>
  <c r="AZ117" i="282"/>
  <c r="AZ96" i="286"/>
  <c r="AY122" i="315"/>
  <c r="AY112" i="286"/>
  <c r="AY116" i="286"/>
  <c r="AY117" i="286"/>
  <c r="AY202" i="288"/>
  <c r="AY87" i="315"/>
  <c r="AV85" i="265"/>
  <c r="AC82" i="277"/>
  <c r="AW81" i="314"/>
  <c r="AV111" i="265"/>
  <c r="AV87" i="314"/>
  <c r="AV90" i="314"/>
  <c r="AV60" i="328"/>
  <c r="AC71" i="328"/>
  <c r="AC111" i="277"/>
  <c r="AW37" i="314"/>
  <c r="AW40" i="314"/>
  <c r="AW61" i="314"/>
  <c r="AC85" i="277"/>
  <c r="AV459" i="321"/>
  <c r="AV460" i="321"/>
  <c r="AZ114" i="286"/>
  <c r="AY123" i="315"/>
  <c r="AY88" i="315"/>
  <c r="AY89" i="315"/>
  <c r="AZ90" i="286"/>
  <c r="AZ120" i="282"/>
  <c r="AZ121" i="282"/>
  <c r="AZ123" i="282"/>
  <c r="AZ124" i="282"/>
  <c r="AZ136" i="282"/>
  <c r="AZ130" i="282"/>
  <c r="AZ126" i="282"/>
  <c r="AZ128" i="282"/>
  <c r="AY131" i="286"/>
  <c r="AY143" i="286"/>
  <c r="AY144" i="286"/>
  <c r="AY147" i="286"/>
  <c r="AY148" i="286"/>
  <c r="AZ108" i="286"/>
  <c r="AV463" i="321"/>
  <c r="AV464" i="321"/>
  <c r="AV473" i="321"/>
  <c r="AW43" i="314"/>
  <c r="AW45" i="314"/>
  <c r="AW70" i="314"/>
  <c r="AW71" i="314"/>
  <c r="AW74" i="314"/>
  <c r="AW65" i="314"/>
  <c r="AV469" i="321"/>
  <c r="AV470" i="321"/>
  <c r="AV474" i="321"/>
  <c r="AV475" i="321"/>
  <c r="AV478" i="321"/>
  <c r="AV479" i="321"/>
  <c r="AV465" i="321"/>
  <c r="AV49" i="288"/>
  <c r="AV43" i="288"/>
  <c r="AV23" i="328"/>
  <c r="AC43" i="328"/>
  <c r="AY132" i="286"/>
  <c r="AY124" i="286"/>
  <c r="AY125" i="286"/>
  <c r="AY198" i="288"/>
  <c r="AY192" i="288"/>
  <c r="AY194" i="288"/>
  <c r="AY149" i="286"/>
  <c r="AY133" i="286"/>
  <c r="AZ131" i="282"/>
  <c r="AZ137" i="282"/>
  <c r="AZ132" i="282"/>
  <c r="AZ138" i="282"/>
  <c r="BA135" i="282"/>
  <c r="BA127" i="282"/>
  <c r="AZ143" i="282"/>
  <c r="AZ144" i="282"/>
  <c r="AZ130" i="286"/>
  <c r="AY103" i="315"/>
  <c r="AY108" i="315"/>
  <c r="AY110" i="315"/>
  <c r="AY130" i="315"/>
  <c r="AY33" i="315"/>
  <c r="AY34" i="315"/>
  <c r="AY91" i="315"/>
  <c r="AY92" i="315"/>
  <c r="AY197" i="288"/>
  <c r="AY204" i="288"/>
  <c r="AZ122" i="286"/>
  <c r="AY124" i="315"/>
  <c r="AY125" i="315"/>
  <c r="AY131" i="315"/>
  <c r="AV87" i="265"/>
  <c r="AV487" i="321"/>
  <c r="AV480" i="321"/>
  <c r="AV50" i="288"/>
  <c r="AV24" i="328"/>
  <c r="AC44" i="328"/>
  <c r="AV486" i="321"/>
  <c r="AV488" i="321"/>
  <c r="AW483" i="321"/>
  <c r="AV124" i="265"/>
  <c r="AV88" i="265"/>
  <c r="AC88" i="277"/>
  <c r="AC87" i="277"/>
  <c r="AV89" i="265"/>
  <c r="AZ138" i="286"/>
  <c r="AY207" i="288"/>
  <c r="AY133" i="315"/>
  <c r="AY132" i="315"/>
  <c r="AZ502" i="321"/>
  <c r="AZ127" i="314"/>
  <c r="AZ86" i="286"/>
  <c r="AZ142" i="286"/>
  <c r="AZ145" i="282"/>
  <c r="AZ44" i="315"/>
  <c r="AZ45" i="315"/>
  <c r="AZ29" i="315"/>
  <c r="AZ31" i="315"/>
  <c r="AV10" i="286"/>
  <c r="AV11" i="286"/>
  <c r="AC89" i="277"/>
  <c r="AC124" i="277"/>
  <c r="AW452" i="321"/>
  <c r="AW454" i="321"/>
  <c r="AW477" i="321"/>
  <c r="AW455" i="321"/>
  <c r="AW35" i="282"/>
  <c r="AW40" i="282"/>
  <c r="AW468" i="321"/>
  <c r="AW462" i="321"/>
  <c r="AV14" i="286"/>
  <c r="AV16" i="286"/>
  <c r="AV27" i="286"/>
  <c r="AZ139" i="286"/>
  <c r="AZ140" i="286"/>
  <c r="AZ146" i="286"/>
  <c r="AZ123" i="286"/>
  <c r="AZ177" i="288"/>
  <c r="AZ179" i="288"/>
  <c r="AZ63" i="315"/>
  <c r="AZ73" i="315"/>
  <c r="AZ263" i="288"/>
  <c r="AZ235" i="288"/>
  <c r="AZ215" i="288"/>
  <c r="AZ182" i="288"/>
  <c r="AV17" i="286"/>
  <c r="AV28" i="286"/>
  <c r="AV29" i="286"/>
  <c r="AV32" i="286"/>
  <c r="AV34" i="286"/>
  <c r="AV21" i="286"/>
  <c r="AV22" i="286"/>
  <c r="AV51" i="288"/>
  <c r="AW48" i="282"/>
  <c r="AW27" i="265"/>
  <c r="AW29" i="265"/>
  <c r="AW19" i="286"/>
  <c r="AV126" i="265"/>
  <c r="AV35" i="286"/>
  <c r="AV39" i="286"/>
  <c r="AV40" i="286"/>
  <c r="AV52" i="288"/>
  <c r="AV91" i="265"/>
  <c r="AZ237" i="288"/>
  <c r="AZ239" i="288"/>
  <c r="AZ128" i="314"/>
  <c r="AZ130" i="314"/>
  <c r="AZ132" i="314"/>
  <c r="AZ133" i="314"/>
  <c r="AZ143" i="314"/>
  <c r="AZ145" i="314"/>
  <c r="AZ135" i="314"/>
  <c r="AZ137" i="314"/>
  <c r="AC91" i="277"/>
  <c r="AW37" i="286"/>
  <c r="AV127" i="265"/>
  <c r="AC127" i="277"/>
  <c r="AV92" i="265"/>
  <c r="AC126" i="277"/>
  <c r="AW13" i="286"/>
  <c r="AW44" i="282"/>
  <c r="AW49" i="282"/>
  <c r="AW52" i="282"/>
  <c r="AW53" i="282"/>
  <c r="AW55" i="282"/>
  <c r="AW56" i="282"/>
  <c r="AV92" i="277"/>
  <c r="AV93" i="265"/>
  <c r="AW31" i="286"/>
  <c r="AC93" i="277"/>
  <c r="AZ139" i="314"/>
  <c r="AZ141" i="314"/>
  <c r="AZ146" i="314"/>
  <c r="AZ161" i="314"/>
  <c r="AZ75" i="315"/>
  <c r="AZ152" i="314"/>
  <c r="AZ154" i="314"/>
  <c r="AV54" i="286"/>
  <c r="AV75" i="286"/>
  <c r="AV76" i="286"/>
  <c r="AV79" i="286"/>
  <c r="AV80" i="286"/>
  <c r="AW68" i="282"/>
  <c r="AW62" i="282"/>
  <c r="AW58" i="282"/>
  <c r="AW60" i="282"/>
  <c r="AW63" i="282"/>
  <c r="AW69" i="282"/>
  <c r="AW64" i="282"/>
  <c r="AW70" i="282"/>
  <c r="AX67" i="282"/>
  <c r="AV55" i="286"/>
  <c r="AV47" i="286"/>
  <c r="AV48" i="286"/>
  <c r="AV48" i="288"/>
  <c r="AV42" i="288"/>
  <c r="AV44" i="288"/>
  <c r="AV81" i="286"/>
  <c r="AV25" i="328"/>
  <c r="AC45" i="328"/>
  <c r="AV56" i="286"/>
  <c r="AZ76" i="315"/>
  <c r="AZ162" i="314"/>
  <c r="AZ163" i="314"/>
  <c r="AZ78" i="315"/>
  <c r="AZ81" i="315"/>
  <c r="BA160" i="314"/>
  <c r="AZ107" i="315"/>
  <c r="AW53" i="286"/>
  <c r="AV58" i="286"/>
  <c r="AV64" i="286"/>
  <c r="AV107" i="265"/>
  <c r="AV35" i="265"/>
  <c r="AV95" i="265"/>
  <c r="AV47" i="288"/>
  <c r="AV54" i="288"/>
  <c r="AW45" i="286"/>
  <c r="AV128" i="265"/>
  <c r="AX59" i="282"/>
  <c r="AW75" i="282"/>
  <c r="AW76" i="282"/>
  <c r="AW77" i="282"/>
  <c r="AC128" i="277"/>
  <c r="AC129" i="277"/>
  <c r="AC135" i="277"/>
  <c r="AV129" i="265"/>
  <c r="AV135" i="265"/>
  <c r="AW70" i="286"/>
  <c r="AV57" i="288"/>
  <c r="AC95" i="277"/>
  <c r="AV96" i="265"/>
  <c r="AC35" i="277"/>
  <c r="AV36" i="265"/>
  <c r="AV59" i="328"/>
  <c r="AC70" i="328"/>
  <c r="AC107" i="277"/>
  <c r="AC112" i="277"/>
  <c r="AC114" i="277"/>
  <c r="AC134" i="277"/>
  <c r="AV112" i="265"/>
  <c r="AV114" i="265"/>
  <c r="AV134" i="265"/>
  <c r="AW458" i="321"/>
  <c r="AW48" i="314"/>
  <c r="AW9" i="286"/>
  <c r="AW74" i="286"/>
  <c r="BA116" i="314"/>
  <c r="BA119" i="314"/>
  <c r="BA140" i="314"/>
  <c r="AZ503" i="321"/>
  <c r="AZ504" i="321"/>
  <c r="AZ507" i="321"/>
  <c r="AZ508" i="321"/>
  <c r="AZ517" i="321"/>
  <c r="BA122" i="314"/>
  <c r="BA124" i="314"/>
  <c r="BA149" i="314"/>
  <c r="BA150" i="314"/>
  <c r="AV137" i="265"/>
  <c r="AV136" i="265"/>
  <c r="AC137" i="277"/>
  <c r="AC136" i="277"/>
  <c r="AC36" i="277"/>
  <c r="AC96" i="277"/>
  <c r="AW46" i="265"/>
  <c r="AW31" i="265"/>
  <c r="AW33" i="265"/>
  <c r="AW47" i="265"/>
  <c r="BA153" i="314"/>
  <c r="BA144" i="314"/>
  <c r="AZ513" i="321"/>
  <c r="AZ514" i="321"/>
  <c r="AZ518" i="321"/>
  <c r="AZ519" i="321"/>
  <c r="AZ522" i="321"/>
  <c r="AZ523" i="321"/>
  <c r="AZ509" i="321"/>
  <c r="AZ199" i="288"/>
  <c r="AZ193" i="288"/>
  <c r="AZ83" i="315"/>
  <c r="AZ531" i="321"/>
  <c r="AZ524" i="321"/>
  <c r="AZ200" i="288"/>
  <c r="AZ530" i="321"/>
  <c r="AZ532" i="321"/>
  <c r="AW27" i="288"/>
  <c r="AW29" i="288"/>
  <c r="AW65" i="265"/>
  <c r="AW71" i="286"/>
  <c r="AW72" i="286"/>
  <c r="AW78" i="286"/>
  <c r="AW46" i="286"/>
  <c r="AW77" i="265"/>
  <c r="AW113" i="288"/>
  <c r="AW10" i="321"/>
  <c r="AW12" i="321"/>
  <c r="AW85" i="288"/>
  <c r="AW20" i="328"/>
  <c r="AW65" i="288"/>
  <c r="AW32" i="288"/>
  <c r="BA527" i="321"/>
  <c r="AZ120" i="315"/>
  <c r="AZ84" i="315"/>
  <c r="AZ85" i="315"/>
  <c r="AZ87" i="286"/>
  <c r="AZ88" i="286"/>
  <c r="BA496" i="321"/>
  <c r="BA498" i="321"/>
  <c r="BA521" i="321"/>
  <c r="AW87" i="288"/>
  <c r="AW89" i="288"/>
  <c r="AW39" i="311"/>
  <c r="AW49" i="314"/>
  <c r="AW51" i="314"/>
  <c r="AW53" i="314"/>
  <c r="AW54" i="314"/>
  <c r="AW64" i="314"/>
  <c r="AW66" i="314"/>
  <c r="AW56" i="314"/>
  <c r="AW58" i="314"/>
  <c r="AW80" i="311"/>
  <c r="BA499" i="321"/>
  <c r="BA103" i="282"/>
  <c r="BA108" i="282"/>
  <c r="BA512" i="321"/>
  <c r="BA506" i="321"/>
  <c r="AZ91" i="286"/>
  <c r="AZ93" i="286"/>
  <c r="AZ104" i="286"/>
  <c r="AZ94" i="286"/>
  <c r="AZ105" i="286"/>
  <c r="AZ106" i="286"/>
  <c r="AZ109" i="286"/>
  <c r="AZ111" i="286"/>
  <c r="AZ98" i="286"/>
  <c r="AZ99" i="286"/>
  <c r="AZ201" i="288"/>
  <c r="BA116" i="282"/>
  <c r="BA25" i="315"/>
  <c r="BA27" i="315"/>
  <c r="AW60" i="314"/>
  <c r="AW62" i="314"/>
  <c r="AW67" i="314"/>
  <c r="AW82" i="314"/>
  <c r="AW79" i="265"/>
  <c r="AW73" i="314"/>
  <c r="AW75" i="314"/>
  <c r="BA112" i="282"/>
  <c r="BA117" i="282"/>
  <c r="BA96" i="286"/>
  <c r="AZ122" i="315"/>
  <c r="AZ112" i="286"/>
  <c r="AZ116" i="286"/>
  <c r="AZ117" i="286"/>
  <c r="AZ202" i="288"/>
  <c r="AZ87" i="315"/>
  <c r="BA114" i="286"/>
  <c r="AZ123" i="315"/>
  <c r="AZ88" i="315"/>
  <c r="AZ89" i="315"/>
  <c r="BA90" i="286"/>
  <c r="BA120" i="282"/>
  <c r="BA121" i="282"/>
  <c r="BA123" i="282"/>
  <c r="BA124" i="282"/>
  <c r="AW80" i="265"/>
  <c r="AW83" i="314"/>
  <c r="AW84" i="314"/>
  <c r="AW82" i="265"/>
  <c r="AW85" i="265"/>
  <c r="AX81" i="314"/>
  <c r="AW111" i="265"/>
  <c r="AW60" i="328"/>
  <c r="AW87" i="314"/>
  <c r="AW90" i="314"/>
  <c r="BA136" i="282"/>
  <c r="BA130" i="282"/>
  <c r="BA126" i="282"/>
  <c r="BA128" i="282"/>
  <c r="AZ131" i="286"/>
  <c r="AZ143" i="286"/>
  <c r="AZ144" i="286"/>
  <c r="AZ147" i="286"/>
  <c r="AZ148" i="286"/>
  <c r="BA108" i="286"/>
  <c r="AZ132" i="286"/>
  <c r="AZ124" i="286"/>
  <c r="AZ125" i="286"/>
  <c r="AZ198" i="288"/>
  <c r="AZ192" i="288"/>
  <c r="AZ194" i="288"/>
  <c r="AZ149" i="286"/>
  <c r="AZ133" i="286"/>
  <c r="BA131" i="282"/>
  <c r="BA137" i="282"/>
  <c r="BA132" i="282"/>
  <c r="BA138" i="282"/>
  <c r="BB135" i="282"/>
  <c r="AX37" i="314"/>
  <c r="AX40" i="314"/>
  <c r="AX61" i="314"/>
  <c r="AW459" i="321"/>
  <c r="AW460" i="321"/>
  <c r="AW463" i="321"/>
  <c r="AW464" i="321"/>
  <c r="AW473" i="321"/>
  <c r="AX43" i="314"/>
  <c r="AX45" i="314"/>
  <c r="AX70" i="314"/>
  <c r="AX71" i="314"/>
  <c r="BB127" i="282"/>
  <c r="BA143" i="282"/>
  <c r="BA144" i="282"/>
  <c r="BA130" i="286"/>
  <c r="AZ103" i="315"/>
  <c r="AZ108" i="315"/>
  <c r="AZ110" i="315"/>
  <c r="AZ130" i="315"/>
  <c r="AZ33" i="315"/>
  <c r="AZ34" i="315"/>
  <c r="AZ91" i="315"/>
  <c r="AZ92" i="315"/>
  <c r="AZ197" i="288"/>
  <c r="AZ204" i="288"/>
  <c r="BA122" i="286"/>
  <c r="AZ124" i="315"/>
  <c r="AZ125" i="315"/>
  <c r="AZ131" i="315"/>
  <c r="BA138" i="286"/>
  <c r="AZ207" i="288"/>
  <c r="AZ133" i="315"/>
  <c r="AZ132" i="315"/>
  <c r="BA502" i="321"/>
  <c r="BA127" i="314"/>
  <c r="BA86" i="286"/>
  <c r="BA142" i="286"/>
  <c r="BA145" i="282"/>
  <c r="AX74" i="314"/>
  <c r="AX65" i="314"/>
  <c r="AW469" i="321"/>
  <c r="AW470" i="321"/>
  <c r="AW474" i="321"/>
  <c r="AW475" i="321"/>
  <c r="AW478" i="321"/>
  <c r="AW479" i="321"/>
  <c r="AW465" i="321"/>
  <c r="AW49" i="288"/>
  <c r="AW43" i="288"/>
  <c r="AW23" i="328"/>
  <c r="AW87" i="265"/>
  <c r="AW487" i="321"/>
  <c r="AW480" i="321"/>
  <c r="AW50" i="288"/>
  <c r="AW24" i="328"/>
  <c r="AW486" i="321"/>
  <c r="AW488" i="321"/>
  <c r="BA44" i="315"/>
  <c r="BA45" i="315"/>
  <c r="BA29" i="315"/>
  <c r="BA31" i="315"/>
  <c r="BA139" i="286"/>
  <c r="BA140" i="286"/>
  <c r="BA146" i="286"/>
  <c r="BA123" i="286"/>
  <c r="BA177" i="288"/>
  <c r="BA179" i="288"/>
  <c r="BA63" i="315"/>
  <c r="AX483" i="321"/>
  <c r="AW124" i="265"/>
  <c r="AW88" i="265"/>
  <c r="AW89" i="265"/>
  <c r="AW10" i="286"/>
  <c r="AW11" i="286"/>
  <c r="AX452" i="321"/>
  <c r="AX454" i="321"/>
  <c r="AX477" i="321"/>
  <c r="BA73" i="315"/>
  <c r="BA263" i="288"/>
  <c r="BA235" i="288"/>
  <c r="BA215" i="288"/>
  <c r="BA182" i="288"/>
  <c r="BA237" i="288"/>
  <c r="BA239" i="288"/>
  <c r="BA128" i="314"/>
  <c r="BA130" i="314"/>
  <c r="AX455" i="321"/>
  <c r="AX35" i="282"/>
  <c r="AX40" i="282"/>
  <c r="AX468" i="321"/>
  <c r="AX462" i="321"/>
  <c r="AW14" i="286"/>
  <c r="AW16" i="286"/>
  <c r="AW27" i="286"/>
  <c r="AW17" i="286"/>
  <c r="AW28" i="286"/>
  <c r="AW29" i="286"/>
  <c r="AW32" i="286"/>
  <c r="AW34" i="286"/>
  <c r="AW21" i="286"/>
  <c r="AW22" i="286"/>
  <c r="AW51" i="288"/>
  <c r="AX48" i="282"/>
  <c r="AX27" i="265"/>
  <c r="BA132" i="314"/>
  <c r="BA133" i="314"/>
  <c r="BA143" i="314"/>
  <c r="BA145" i="314"/>
  <c r="BA135" i="314"/>
  <c r="BA137" i="314"/>
  <c r="BA139" i="314"/>
  <c r="BA141" i="314"/>
  <c r="BA146" i="314"/>
  <c r="BA161" i="314"/>
  <c r="AX29" i="265"/>
  <c r="AD27" i="277"/>
  <c r="AX19" i="286"/>
  <c r="AW126" i="265"/>
  <c r="AW35" i="286"/>
  <c r="AW39" i="286"/>
  <c r="AW40" i="286"/>
  <c r="AW52" i="288"/>
  <c r="AW91" i="265"/>
  <c r="AX37" i="286"/>
  <c r="AW127" i="265"/>
  <c r="AW92" i="265"/>
  <c r="AX13" i="286"/>
  <c r="AD29" i="277"/>
  <c r="AX44" i="282"/>
  <c r="AX49" i="282"/>
  <c r="BA75" i="315"/>
  <c r="BA152" i="314"/>
  <c r="BA154" i="314"/>
  <c r="BA76" i="315"/>
  <c r="BA162" i="314"/>
  <c r="BA163" i="314"/>
  <c r="BA78" i="315"/>
  <c r="AX52" i="282"/>
  <c r="AX53" i="282"/>
  <c r="AX55" i="282"/>
  <c r="AX56" i="282"/>
  <c r="AW92" i="277"/>
  <c r="AW93" i="265"/>
  <c r="AX31" i="286"/>
  <c r="AW54" i="286"/>
  <c r="AW75" i="286"/>
  <c r="AW76" i="286"/>
  <c r="AW79" i="286"/>
  <c r="AW80" i="286"/>
  <c r="AX68" i="282"/>
  <c r="AX62" i="282"/>
  <c r="AX58" i="282"/>
  <c r="AX60" i="282"/>
  <c r="BA81" i="315"/>
  <c r="BB160" i="314"/>
  <c r="BA107" i="315"/>
  <c r="BB116" i="314"/>
  <c r="BB119" i="314"/>
  <c r="BB140" i="314"/>
  <c r="BA503" i="321"/>
  <c r="BA504" i="321"/>
  <c r="AX63" i="282"/>
  <c r="AX69" i="282"/>
  <c r="AX64" i="282"/>
  <c r="AX70" i="282"/>
  <c r="AY67" i="282"/>
  <c r="AW55" i="286"/>
  <c r="AW47" i="286"/>
  <c r="AW48" i="286"/>
  <c r="AW48" i="288"/>
  <c r="AW42" i="288"/>
  <c r="AW44" i="288"/>
  <c r="AW81" i="286"/>
  <c r="AW25" i="328"/>
  <c r="AW56" i="286"/>
  <c r="AX53" i="286"/>
  <c r="AW58" i="286"/>
  <c r="AW64" i="286"/>
  <c r="AW107" i="265"/>
  <c r="AW35" i="265"/>
  <c r="AW95" i="265"/>
  <c r="AW47" i="288"/>
  <c r="AW54" i="288"/>
  <c r="AX45" i="286"/>
  <c r="AW128" i="265"/>
  <c r="AW129" i="265"/>
  <c r="AW135" i="265"/>
  <c r="AY59" i="282"/>
  <c r="AX75" i="282"/>
  <c r="AX76" i="282"/>
  <c r="BA507" i="321"/>
  <c r="BA508" i="321"/>
  <c r="BA517" i="321"/>
  <c r="BB122" i="314"/>
  <c r="BB124" i="314"/>
  <c r="BB149" i="314"/>
  <c r="BB150" i="314"/>
  <c r="BB153" i="314"/>
  <c r="BB144" i="314"/>
  <c r="BA513" i="321"/>
  <c r="BA514" i="321"/>
  <c r="BA518" i="321"/>
  <c r="BA519" i="321"/>
  <c r="BA522" i="321"/>
  <c r="BA523" i="321"/>
  <c r="BA509" i="321"/>
  <c r="BA199" i="288"/>
  <c r="BA193" i="288"/>
  <c r="AX77" i="282"/>
  <c r="AX70" i="286"/>
  <c r="AW57" i="288"/>
  <c r="AW96" i="265"/>
  <c r="AW36" i="265"/>
  <c r="AW59" i="328"/>
  <c r="AW112" i="265"/>
  <c r="AW114" i="265"/>
  <c r="AW134" i="265"/>
  <c r="AX458" i="321"/>
  <c r="AX48" i="314"/>
  <c r="AX9" i="286"/>
  <c r="AX74" i="286"/>
  <c r="AW137" i="265"/>
  <c r="AW136" i="265"/>
  <c r="AX46" i="265"/>
  <c r="AX31" i="265"/>
  <c r="BA83" i="315"/>
  <c r="BA531" i="321"/>
  <c r="BA524" i="321"/>
  <c r="BA200" i="288"/>
  <c r="BA530" i="321"/>
  <c r="BA532" i="321"/>
  <c r="BB527" i="321"/>
  <c r="BA120" i="315"/>
  <c r="BA84" i="315"/>
  <c r="BA85" i="315"/>
  <c r="AD31" i="277"/>
  <c r="AX33" i="265"/>
  <c r="AX47" i="265"/>
  <c r="AD46" i="277"/>
  <c r="AD47" i="277"/>
  <c r="AX27" i="288"/>
  <c r="AX29" i="288"/>
  <c r="AX65" i="265"/>
  <c r="AX71" i="286"/>
  <c r="AX72" i="286"/>
  <c r="AX78" i="286"/>
  <c r="AX46" i="286"/>
  <c r="AD33" i="277"/>
  <c r="BA87" i="286"/>
  <c r="BA88" i="286"/>
  <c r="BB496" i="321"/>
  <c r="BB498" i="321"/>
  <c r="BB521" i="321"/>
  <c r="BB499" i="321"/>
  <c r="BB103" i="282"/>
  <c r="BB108" i="282"/>
  <c r="BB512" i="321"/>
  <c r="BB506" i="321"/>
  <c r="BA91" i="286"/>
  <c r="BA93" i="286"/>
  <c r="BA104" i="286"/>
  <c r="AX77" i="265"/>
  <c r="AX113" i="288"/>
  <c r="AX10" i="321"/>
  <c r="AX12" i="321"/>
  <c r="AX85" i="288"/>
  <c r="AX65" i="288"/>
  <c r="AX20" i="328"/>
  <c r="AD40" i="328"/>
  <c r="AX32" i="288"/>
  <c r="AD65" i="277"/>
  <c r="AD77" i="277"/>
  <c r="AX87" i="288"/>
  <c r="AX89" i="288"/>
  <c r="AX39" i="311"/>
  <c r="AX49" i="314"/>
  <c r="AX51" i="314"/>
  <c r="BA94" i="286"/>
  <c r="BA105" i="286"/>
  <c r="BA106" i="286"/>
  <c r="BA109" i="286"/>
  <c r="BA111" i="286"/>
  <c r="BA98" i="286"/>
  <c r="BA99" i="286"/>
  <c r="BA201" i="288"/>
  <c r="BB116" i="282"/>
  <c r="BB25" i="315"/>
  <c r="BB27" i="315"/>
  <c r="BB112" i="282"/>
  <c r="BB117" i="282"/>
  <c r="BB96" i="286"/>
  <c r="BA122" i="315"/>
  <c r="BA112" i="286"/>
  <c r="BA116" i="286"/>
  <c r="BA117" i="286"/>
  <c r="BA202" i="288"/>
  <c r="BA87" i="315"/>
  <c r="AX53" i="314"/>
  <c r="AX54" i="314"/>
  <c r="AX64" i="314"/>
  <c r="AX66" i="314"/>
  <c r="AX56" i="314"/>
  <c r="AX58" i="314"/>
  <c r="AX80" i="311"/>
  <c r="AX60" i="314"/>
  <c r="AX62" i="314"/>
  <c r="AX67" i="314"/>
  <c r="AX82" i="314"/>
  <c r="BB114" i="286"/>
  <c r="BA123" i="315"/>
  <c r="BA88" i="315"/>
  <c r="BA89" i="315"/>
  <c r="BB90" i="286"/>
  <c r="BB120" i="282"/>
  <c r="BB121" i="282"/>
  <c r="BB123" i="282"/>
  <c r="BB124" i="282"/>
  <c r="BB136" i="282"/>
  <c r="BB130" i="282"/>
  <c r="BB126" i="282"/>
  <c r="BB128" i="282"/>
  <c r="BA131" i="286"/>
  <c r="BA143" i="286"/>
  <c r="BA144" i="286"/>
  <c r="BA147" i="286"/>
  <c r="BA148" i="286"/>
  <c r="BB108" i="286"/>
  <c r="AX79" i="265"/>
  <c r="AX73" i="314"/>
  <c r="AX75" i="314"/>
  <c r="AX80" i="265"/>
  <c r="AD80" i="277"/>
  <c r="AX83" i="314"/>
  <c r="AX84" i="314"/>
  <c r="AD79" i="277"/>
  <c r="AX82" i="265"/>
  <c r="BA132" i="286"/>
  <c r="BA124" i="286"/>
  <c r="BA125" i="286"/>
  <c r="BA198" i="288"/>
  <c r="BA192" i="288"/>
  <c r="BA194" i="288"/>
  <c r="BA149" i="286"/>
  <c r="BA133" i="286"/>
  <c r="BB131" i="282"/>
  <c r="BB137" i="282"/>
  <c r="BB132" i="282"/>
  <c r="BB138" i="282"/>
  <c r="BC135" i="282"/>
  <c r="BC127" i="282"/>
  <c r="BB143" i="282"/>
  <c r="BB144" i="282"/>
  <c r="BB130" i="286"/>
  <c r="BA103" i="315"/>
  <c r="BA108" i="315"/>
  <c r="BA110" i="315"/>
  <c r="BA130" i="315"/>
  <c r="BA33" i="315"/>
  <c r="BA34" i="315"/>
  <c r="BA91" i="315"/>
  <c r="BA92" i="315"/>
  <c r="BA197" i="288"/>
  <c r="BA204" i="288"/>
  <c r="BB122" i="286"/>
  <c r="BA124" i="315"/>
  <c r="BA125" i="315"/>
  <c r="BA131" i="315"/>
  <c r="AX85" i="265"/>
  <c r="AD82" i="277"/>
  <c r="AY81" i="314"/>
  <c r="AX111" i="265"/>
  <c r="AX87" i="314"/>
  <c r="AX90" i="314"/>
  <c r="AX60" i="328"/>
  <c r="AD71" i="328"/>
  <c r="AD111" i="277"/>
  <c r="AY37" i="314"/>
  <c r="AY40" i="314"/>
  <c r="AY61" i="314"/>
  <c r="AD85" i="277"/>
  <c r="AX459" i="321"/>
  <c r="AX460" i="321"/>
  <c r="BB138" i="286"/>
  <c r="BA207" i="288"/>
  <c r="BA133" i="315"/>
  <c r="BA132" i="315"/>
  <c r="BB502" i="321"/>
  <c r="BB127" i="314"/>
  <c r="BB86" i="286"/>
  <c r="BB142" i="286"/>
  <c r="BB145" i="282"/>
  <c r="BB44" i="315"/>
  <c r="BB45" i="315"/>
  <c r="BB29" i="315"/>
  <c r="BB31" i="315"/>
  <c r="AX463" i="321"/>
  <c r="AX464" i="321"/>
  <c r="AX473" i="321"/>
  <c r="AY43" i="314"/>
  <c r="AY45" i="314"/>
  <c r="AY70" i="314"/>
  <c r="AY71" i="314"/>
  <c r="AY74" i="314"/>
  <c r="AY65" i="314"/>
  <c r="AX469" i="321"/>
  <c r="AX470" i="321"/>
  <c r="AX474" i="321"/>
  <c r="AX475" i="321"/>
  <c r="AX478" i="321"/>
  <c r="AX479" i="321"/>
  <c r="AX465" i="321"/>
  <c r="AX49" i="288"/>
  <c r="AX43" i="288"/>
  <c r="AX23" i="328"/>
  <c r="AD43" i="328"/>
  <c r="BB139" i="286"/>
  <c r="BB140" i="286"/>
  <c r="BB146" i="286"/>
  <c r="BB123" i="286"/>
  <c r="BB177" i="288"/>
  <c r="BB179" i="288"/>
  <c r="BB63" i="315"/>
  <c r="BB73" i="315"/>
  <c r="BB263" i="288"/>
  <c r="BB235" i="288"/>
  <c r="BB215" i="288"/>
  <c r="BB182" i="288"/>
  <c r="AX87" i="265"/>
  <c r="AX487" i="321"/>
  <c r="AX480" i="321"/>
  <c r="AX50" i="288"/>
  <c r="AX24" i="328"/>
  <c r="AD44" i="328"/>
  <c r="AX486" i="321"/>
  <c r="AX488" i="321"/>
  <c r="AY483" i="321"/>
  <c r="AX124" i="265"/>
  <c r="AX88" i="265"/>
  <c r="AD88" i="277"/>
  <c r="AD87" i="277"/>
  <c r="AX89" i="265"/>
  <c r="BB237" i="288"/>
  <c r="BB239" i="288"/>
  <c r="BB128" i="314"/>
  <c r="BB130" i="314"/>
  <c r="BB132" i="314"/>
  <c r="BB133" i="314"/>
  <c r="BB143" i="314"/>
  <c r="BB145" i="314"/>
  <c r="BB135" i="314"/>
  <c r="BB137" i="314"/>
  <c r="AX10" i="286"/>
  <c r="AX11" i="286"/>
  <c r="AD89" i="277"/>
  <c r="AD124" i="277"/>
  <c r="AY452" i="321"/>
  <c r="AY454" i="321"/>
  <c r="AY477" i="321"/>
  <c r="AY455" i="321"/>
  <c r="AY35" i="282"/>
  <c r="AY40" i="282"/>
  <c r="AY468" i="321"/>
  <c r="AY462" i="321"/>
  <c r="AX14" i="286"/>
  <c r="AX16" i="286"/>
  <c r="AX27" i="286"/>
  <c r="BB139" i="314"/>
  <c r="BB141" i="314"/>
  <c r="BB146" i="314"/>
  <c r="BB161" i="314"/>
  <c r="BB75" i="315"/>
  <c r="BB152" i="314"/>
  <c r="BB154" i="314"/>
  <c r="AX17" i="286"/>
  <c r="AX28" i="286"/>
  <c r="AX29" i="286"/>
  <c r="AX32" i="286"/>
  <c r="AX34" i="286"/>
  <c r="AX21" i="286"/>
  <c r="AX22" i="286"/>
  <c r="AX51" i="288"/>
  <c r="AY48" i="282"/>
  <c r="AY27" i="265"/>
  <c r="AY29" i="265"/>
  <c r="AY19" i="286"/>
  <c r="AX126" i="265"/>
  <c r="AX35" i="286"/>
  <c r="AX39" i="286"/>
  <c r="AX40" i="286"/>
  <c r="AX52" i="288"/>
  <c r="AX91" i="265"/>
  <c r="BB76" i="315"/>
  <c r="BB162" i="314"/>
  <c r="BB163" i="314"/>
  <c r="BB78" i="315"/>
  <c r="BB81" i="315"/>
  <c r="BC160" i="314"/>
  <c r="BB107" i="315"/>
  <c r="AD91" i="277"/>
  <c r="AY37" i="286"/>
  <c r="AX127" i="265"/>
  <c r="AD127" i="277"/>
  <c r="AX92" i="265"/>
  <c r="AD126" i="277"/>
  <c r="AY13" i="286"/>
  <c r="AY44" i="282"/>
  <c r="AY49" i="282"/>
  <c r="AY52" i="282"/>
  <c r="AY53" i="282"/>
  <c r="AY55" i="282"/>
  <c r="AY56" i="282"/>
  <c r="AX92" i="277"/>
  <c r="AX93" i="265"/>
  <c r="AY31" i="286"/>
  <c r="AD93" i="277"/>
  <c r="BC116" i="314"/>
  <c r="BC119" i="314"/>
  <c r="BC140" i="314"/>
  <c r="BB503" i="321"/>
  <c r="BB504" i="321"/>
  <c r="BB507" i="321"/>
  <c r="BB508" i="321"/>
  <c r="BB517" i="321"/>
  <c r="BC122" i="314"/>
  <c r="BC124" i="314"/>
  <c r="BC149" i="314"/>
  <c r="BC150" i="314"/>
  <c r="AX54" i="286"/>
  <c r="AX75" i="286"/>
  <c r="AX76" i="286"/>
  <c r="AX79" i="286"/>
  <c r="AX80" i="286"/>
  <c r="AY68" i="282"/>
  <c r="AY62" i="282"/>
  <c r="AY58" i="282"/>
  <c r="AY60" i="282"/>
  <c r="AY63" i="282"/>
  <c r="AY69" i="282"/>
  <c r="AY64" i="282"/>
  <c r="AY70" i="282"/>
  <c r="AZ67" i="282"/>
  <c r="AX55" i="286"/>
  <c r="AX47" i="286"/>
  <c r="AX48" i="286"/>
  <c r="AX48" i="288"/>
  <c r="AX42" i="288"/>
  <c r="AX44" i="288"/>
  <c r="AX81" i="286"/>
  <c r="AX25" i="328"/>
  <c r="AD45" i="328"/>
  <c r="AX56" i="286"/>
  <c r="BC153" i="314"/>
  <c r="BC144" i="314"/>
  <c r="BB513" i="321"/>
  <c r="BB514" i="321"/>
  <c r="BB518" i="321"/>
  <c r="BB519" i="321"/>
  <c r="BB522" i="321"/>
  <c r="BB523" i="321"/>
  <c r="BB509" i="321"/>
  <c r="BB199" i="288"/>
  <c r="BB193" i="288"/>
  <c r="BB83" i="315"/>
  <c r="BB531" i="321"/>
  <c r="BB524" i="321"/>
  <c r="BB200" i="288"/>
  <c r="BB530" i="321"/>
  <c r="BB532" i="321"/>
  <c r="AY53" i="286"/>
  <c r="AX58" i="286"/>
  <c r="AX64" i="286"/>
  <c r="AX107" i="265"/>
  <c r="AX35" i="265"/>
  <c r="AX95" i="265"/>
  <c r="AX47" i="288"/>
  <c r="AX54" i="288"/>
  <c r="AY45" i="286"/>
  <c r="AX128" i="265"/>
  <c r="AZ59" i="282"/>
  <c r="AY75" i="282"/>
  <c r="AY76" i="282"/>
  <c r="AY77" i="282"/>
  <c r="AD128" i="277"/>
  <c r="AD129" i="277"/>
  <c r="AD135" i="277"/>
  <c r="AX129" i="265"/>
  <c r="AX135" i="265"/>
  <c r="AY70" i="286"/>
  <c r="AX57" i="288"/>
  <c r="AD95" i="277"/>
  <c r="AX96" i="265"/>
  <c r="AD35" i="277"/>
  <c r="AX36" i="265"/>
  <c r="AX59" i="328"/>
  <c r="AD70" i="328"/>
  <c r="AD107" i="277"/>
  <c r="AD112" i="277"/>
  <c r="AD114" i="277"/>
  <c r="AD134" i="277"/>
  <c r="AX112" i="265"/>
  <c r="AX114" i="265"/>
  <c r="AX134" i="265"/>
  <c r="AY458" i="321"/>
  <c r="AY48" i="314"/>
  <c r="AY9" i="286"/>
  <c r="AY74" i="286"/>
  <c r="BC527" i="321"/>
  <c r="BB120" i="315"/>
  <c r="BB84" i="315"/>
  <c r="BB85" i="315"/>
  <c r="BB87" i="286"/>
  <c r="BB88" i="286"/>
  <c r="BC496" i="321"/>
  <c r="BC498" i="321"/>
  <c r="BC521" i="321"/>
  <c r="AX137" i="265"/>
  <c r="AX136" i="265"/>
  <c r="AD137" i="277"/>
  <c r="AD136" i="277"/>
  <c r="AD36" i="277"/>
  <c r="AD96" i="277"/>
  <c r="AY46" i="265"/>
  <c r="AY31" i="265"/>
  <c r="AY33" i="265"/>
  <c r="AY47" i="265"/>
  <c r="BC499" i="321"/>
  <c r="BC103" i="282"/>
  <c r="BC108" i="282"/>
  <c r="BC512" i="321"/>
  <c r="BC506" i="321"/>
  <c r="BB91" i="286"/>
  <c r="BB93" i="286"/>
  <c r="BB104" i="286"/>
  <c r="BB94" i="286"/>
  <c r="BB105" i="286"/>
  <c r="BB106" i="286"/>
  <c r="BB109" i="286"/>
  <c r="BB111" i="286"/>
  <c r="BB98" i="286"/>
  <c r="BB99" i="286"/>
  <c r="BB201" i="288"/>
  <c r="BC116" i="282"/>
  <c r="BC25" i="315"/>
  <c r="BC27" i="315"/>
  <c r="AY27" i="288"/>
  <c r="AY29" i="288"/>
  <c r="AY65" i="265"/>
  <c r="AY71" i="286"/>
  <c r="AY72" i="286"/>
  <c r="AY78" i="286"/>
  <c r="AY46" i="286"/>
  <c r="AY77" i="265"/>
  <c r="AY113" i="288"/>
  <c r="AY10" i="321"/>
  <c r="AY12" i="321"/>
  <c r="AY85" i="288"/>
  <c r="AY20" i="328"/>
  <c r="AY65" i="288"/>
  <c r="AY32" i="288"/>
  <c r="BC112" i="282"/>
  <c r="BC117" i="282"/>
  <c r="BC96" i="286"/>
  <c r="BB122" i="315"/>
  <c r="BB112" i="286"/>
  <c r="BB116" i="286"/>
  <c r="BB117" i="286"/>
  <c r="BB202" i="288"/>
  <c r="BB87" i="315"/>
  <c r="BC114" i="286"/>
  <c r="BB123" i="315"/>
  <c r="BB88" i="315"/>
  <c r="BB89" i="315"/>
  <c r="BC90" i="286"/>
  <c r="BC120" i="282"/>
  <c r="BC121" i="282"/>
  <c r="BC123" i="282"/>
  <c r="BC124" i="282"/>
  <c r="AY87" i="288"/>
  <c r="AY89" i="288"/>
  <c r="AY39" i="311"/>
  <c r="AY49" i="314"/>
  <c r="AY51" i="314"/>
  <c r="AY53" i="314"/>
  <c r="AY54" i="314"/>
  <c r="AY64" i="314"/>
  <c r="AY66" i="314"/>
  <c r="AY56" i="314"/>
  <c r="AY58" i="314"/>
  <c r="AY80" i="311"/>
  <c r="BC136" i="282"/>
  <c r="BC130" i="282"/>
  <c r="BC126" i="282"/>
  <c r="BC128" i="282"/>
  <c r="BB131" i="286"/>
  <c r="BB143" i="286"/>
  <c r="BB144" i="286"/>
  <c r="BB147" i="286"/>
  <c r="BB148" i="286"/>
  <c r="BC108" i="286"/>
  <c r="BB132" i="286"/>
  <c r="BB124" i="286"/>
  <c r="BB125" i="286"/>
  <c r="BB198" i="288"/>
  <c r="BB192" i="288"/>
  <c r="BB194" i="288"/>
  <c r="BB149" i="286"/>
  <c r="BB133" i="286"/>
  <c r="BC131" i="282"/>
  <c r="BC137" i="282"/>
  <c r="BC132" i="282"/>
  <c r="BC138" i="282"/>
  <c r="BD135" i="282"/>
  <c r="AY60" i="314"/>
  <c r="AY62" i="314"/>
  <c r="AY67" i="314"/>
  <c r="AY82" i="314"/>
  <c r="AY79" i="265"/>
  <c r="AY73" i="314"/>
  <c r="AY75" i="314"/>
  <c r="BD127" i="282"/>
  <c r="BC143" i="282"/>
  <c r="BC144" i="282"/>
  <c r="BC130" i="286"/>
  <c r="BB103" i="315"/>
  <c r="BB108" i="315"/>
  <c r="BB110" i="315"/>
  <c r="BB130" i="315"/>
  <c r="BB33" i="315"/>
  <c r="BB34" i="315"/>
  <c r="BB91" i="315"/>
  <c r="BB92" i="315"/>
  <c r="BB197" i="288"/>
  <c r="BB204" i="288"/>
  <c r="BC122" i="286"/>
  <c r="BB124" i="315"/>
  <c r="BB125" i="315"/>
  <c r="BB131" i="315"/>
  <c r="BC138" i="286"/>
  <c r="BB207" i="288"/>
  <c r="BB133" i="315"/>
  <c r="BB132" i="315"/>
  <c r="BC502" i="321"/>
  <c r="BC127" i="314"/>
  <c r="BC86" i="286"/>
  <c r="BC142" i="286"/>
  <c r="BC145" i="282"/>
  <c r="AY80" i="265"/>
  <c r="AY83" i="314"/>
  <c r="AY84" i="314"/>
  <c r="AY82" i="265"/>
  <c r="AY85" i="265"/>
  <c r="AZ81" i="314"/>
  <c r="AY111" i="265"/>
  <c r="AY60" i="328"/>
  <c r="AY87" i="314"/>
  <c r="AY90" i="314"/>
  <c r="BC44" i="315"/>
  <c r="BC45" i="315"/>
  <c r="BC29" i="315"/>
  <c r="BC31" i="315"/>
  <c r="BC139" i="286"/>
  <c r="BC140" i="286"/>
  <c r="BC146" i="286"/>
  <c r="BC123" i="286"/>
  <c r="BC177" i="288"/>
  <c r="BC179" i="288"/>
  <c r="BC63" i="315"/>
  <c r="AZ37" i="314"/>
  <c r="AZ40" i="314"/>
  <c r="AZ61" i="314"/>
  <c r="AY459" i="321"/>
  <c r="AY460" i="321"/>
  <c r="AY463" i="321"/>
  <c r="AY464" i="321"/>
  <c r="AY473" i="321"/>
  <c r="AZ43" i="314"/>
  <c r="AZ45" i="314"/>
  <c r="AZ70" i="314"/>
  <c r="AZ71" i="314"/>
  <c r="BC73" i="315"/>
  <c r="BC263" i="288"/>
  <c r="BC235" i="288"/>
  <c r="BC215" i="288"/>
  <c r="BC182" i="288"/>
  <c r="BC237" i="288"/>
  <c r="BC239" i="288"/>
  <c r="BC128" i="314"/>
  <c r="BC130" i="314"/>
  <c r="AZ74" i="314"/>
  <c r="AZ65" i="314"/>
  <c r="AY469" i="321"/>
  <c r="AY470" i="321"/>
  <c r="AY474" i="321"/>
  <c r="AY475" i="321"/>
  <c r="AY478" i="321"/>
  <c r="AY479" i="321"/>
  <c r="AY465" i="321"/>
  <c r="AY49" i="288"/>
  <c r="AY43" i="288"/>
  <c r="AY23" i="328"/>
  <c r="AY87" i="265"/>
  <c r="AY487" i="321"/>
  <c r="AY480" i="321"/>
  <c r="AY50" i="288"/>
  <c r="AY24" i="328"/>
  <c r="AY486" i="321"/>
  <c r="AY488" i="321"/>
  <c r="BC132" i="314"/>
  <c r="BC133" i="314"/>
  <c r="BC143" i="314"/>
  <c r="BC145" i="314"/>
  <c r="BC135" i="314"/>
  <c r="BC137" i="314"/>
  <c r="BC139" i="314"/>
  <c r="BC141" i="314"/>
  <c r="BC146" i="314"/>
  <c r="BC161" i="314"/>
  <c r="AZ483" i="321"/>
  <c r="AY124" i="265"/>
  <c r="AY88" i="265"/>
  <c r="AY89" i="265"/>
  <c r="AY10" i="286"/>
  <c r="AY11" i="286"/>
  <c r="AZ452" i="321"/>
  <c r="AZ454" i="321"/>
  <c r="AZ477" i="321"/>
  <c r="BC75" i="315"/>
  <c r="BC152" i="314"/>
  <c r="BC154" i="314"/>
  <c r="BC76" i="315"/>
  <c r="BC162" i="314"/>
  <c r="BC163" i="314"/>
  <c r="BC78" i="315"/>
  <c r="AZ455" i="321"/>
  <c r="AZ35" i="282"/>
  <c r="AZ40" i="282"/>
  <c r="AZ468" i="321"/>
  <c r="AZ462" i="321"/>
  <c r="AY14" i="286"/>
  <c r="AY16" i="286"/>
  <c r="AY27" i="286"/>
  <c r="AY17" i="286"/>
  <c r="AY28" i="286"/>
  <c r="AY29" i="286"/>
  <c r="AY32" i="286"/>
  <c r="AY34" i="286"/>
  <c r="AY21" i="286"/>
  <c r="AY22" i="286"/>
  <c r="AY51" i="288"/>
  <c r="AZ48" i="282"/>
  <c r="AZ27" i="265"/>
  <c r="BC81" i="315"/>
  <c r="BD160" i="314"/>
  <c r="BC107" i="315"/>
  <c r="BD116" i="314"/>
  <c r="BD119" i="314"/>
  <c r="BD140" i="314"/>
  <c r="BC503" i="321"/>
  <c r="BC504" i="321"/>
  <c r="AZ29" i="265"/>
  <c r="AE27" i="277"/>
  <c r="AZ19" i="286"/>
  <c r="AY126" i="265"/>
  <c r="AY35" i="286"/>
  <c r="AY39" i="286"/>
  <c r="AY40" i="286"/>
  <c r="AY52" i="288"/>
  <c r="AY91" i="265"/>
  <c r="AZ37" i="286"/>
  <c r="AY127" i="265"/>
  <c r="AY92" i="265"/>
  <c r="AZ13" i="286"/>
  <c r="AE29" i="277"/>
  <c r="AZ44" i="282"/>
  <c r="AZ49" i="282"/>
  <c r="BC507" i="321"/>
  <c r="BC508" i="321"/>
  <c r="BC517" i="321"/>
  <c r="BD122" i="314"/>
  <c r="BD124" i="314"/>
  <c r="BD149" i="314"/>
  <c r="BD150" i="314"/>
  <c r="BD153" i="314"/>
  <c r="BD144" i="314"/>
  <c r="BC513" i="321"/>
  <c r="BC514" i="321"/>
  <c r="BC518" i="321"/>
  <c r="BC519" i="321"/>
  <c r="BC522" i="321"/>
  <c r="BC523" i="321"/>
  <c r="BC509" i="321"/>
  <c r="BC199" i="288"/>
  <c r="BC193" i="288"/>
  <c r="AZ52" i="282"/>
  <c r="AZ53" i="282"/>
  <c r="AZ55" i="282"/>
  <c r="AZ56" i="282"/>
  <c r="AY92" i="277"/>
  <c r="AY93" i="265"/>
  <c r="AZ31" i="286"/>
  <c r="AY54" i="286"/>
  <c r="AY75" i="286"/>
  <c r="AY76" i="286"/>
  <c r="AY79" i="286"/>
  <c r="AY80" i="286"/>
  <c r="AZ68" i="282"/>
  <c r="AZ62" i="282"/>
  <c r="AZ58" i="282"/>
  <c r="AZ60" i="282"/>
  <c r="BC83" i="315"/>
  <c r="BC531" i="321"/>
  <c r="BC524" i="321"/>
  <c r="BC200" i="288"/>
  <c r="BC530" i="321"/>
  <c r="BC532" i="321"/>
  <c r="BD527" i="321"/>
  <c r="BC120" i="315"/>
  <c r="BC84" i="315"/>
  <c r="BC85" i="315"/>
  <c r="AZ63" i="282"/>
  <c r="AZ69" i="282"/>
  <c r="AZ64" i="282"/>
  <c r="AZ70" i="282"/>
  <c r="BA67" i="282"/>
  <c r="AY55" i="286"/>
  <c r="AY47" i="286"/>
  <c r="AY48" i="286"/>
  <c r="AY48" i="288"/>
  <c r="AY42" i="288"/>
  <c r="AY44" i="288"/>
  <c r="AY81" i="286"/>
  <c r="AY25" i="328"/>
  <c r="AY56" i="286"/>
  <c r="AZ53" i="286"/>
  <c r="AY58" i="286"/>
  <c r="AY64" i="286"/>
  <c r="AY107" i="265"/>
  <c r="AY35" i="265"/>
  <c r="AY95" i="265"/>
  <c r="AY47" i="288"/>
  <c r="AY54" i="288"/>
  <c r="AZ45" i="286"/>
  <c r="AY128" i="265"/>
  <c r="AY129" i="265"/>
  <c r="AY135" i="265"/>
  <c r="BA59" i="282"/>
  <c r="AZ75" i="282"/>
  <c r="AZ76" i="282"/>
  <c r="BC87" i="286"/>
  <c r="BC88" i="286"/>
  <c r="BD496" i="321"/>
  <c r="BD498" i="321"/>
  <c r="BD521" i="321"/>
  <c r="BD499" i="321"/>
  <c r="BD103" i="282"/>
  <c r="BD108" i="282"/>
  <c r="BD512" i="321"/>
  <c r="BD506" i="321"/>
  <c r="BC91" i="286"/>
  <c r="BC93" i="286"/>
  <c r="BC104" i="286"/>
  <c r="AZ77" i="282"/>
  <c r="AZ70" i="286"/>
  <c r="AY57" i="288"/>
  <c r="AY96" i="265"/>
  <c r="AY36" i="265"/>
  <c r="AY59" i="328"/>
  <c r="AY112" i="265"/>
  <c r="AY114" i="265"/>
  <c r="AY134" i="265"/>
  <c r="AZ458" i="321"/>
  <c r="AZ48" i="314"/>
  <c r="AZ9" i="286"/>
  <c r="AZ74" i="286"/>
  <c r="AY137" i="265"/>
  <c r="AY136" i="265"/>
  <c r="AZ46" i="265"/>
  <c r="AZ31" i="265"/>
  <c r="BC94" i="286"/>
  <c r="BC105" i="286"/>
  <c r="BC106" i="286"/>
  <c r="BC109" i="286"/>
  <c r="BC111" i="286"/>
  <c r="BC98" i="286"/>
  <c r="BC99" i="286"/>
  <c r="BC201" i="288"/>
  <c r="BD116" i="282"/>
  <c r="BD25" i="315"/>
  <c r="BD27" i="315"/>
  <c r="BD112" i="282"/>
  <c r="BD117" i="282"/>
  <c r="BD96" i="286"/>
  <c r="BC122" i="315"/>
  <c r="BC112" i="286"/>
  <c r="BC116" i="286"/>
  <c r="BC117" i="286"/>
  <c r="BC202" i="288"/>
  <c r="BC87" i="315"/>
  <c r="AE31" i="277"/>
  <c r="AZ33" i="265"/>
  <c r="AZ47" i="265"/>
  <c r="AE46" i="277"/>
  <c r="AE47" i="277"/>
  <c r="AZ27" i="288"/>
  <c r="AZ29" i="288"/>
  <c r="AZ65" i="265"/>
  <c r="AZ71" i="286"/>
  <c r="AZ72" i="286"/>
  <c r="AZ78" i="286"/>
  <c r="AZ46" i="286"/>
  <c r="AE33" i="277"/>
  <c r="BD114" i="286"/>
  <c r="BC123" i="315"/>
  <c r="BC88" i="315"/>
  <c r="BC89" i="315"/>
  <c r="BD90" i="286"/>
  <c r="BD120" i="282"/>
  <c r="BD121" i="282"/>
  <c r="BD123" i="282"/>
  <c r="BD124" i="282"/>
  <c r="BD136" i="282"/>
  <c r="BD130" i="282"/>
  <c r="BD126" i="282"/>
  <c r="BD128" i="282"/>
  <c r="BC131" i="286"/>
  <c r="BC143" i="286"/>
  <c r="BC144" i="286"/>
  <c r="BC147" i="286"/>
  <c r="BC148" i="286"/>
  <c r="BD108" i="286"/>
  <c r="AZ77" i="265"/>
  <c r="AZ113" i="288"/>
  <c r="AZ10" i="321"/>
  <c r="AZ12" i="321"/>
  <c r="AZ85" i="288"/>
  <c r="AZ20" i="328"/>
  <c r="AE40" i="328"/>
  <c r="AZ65" i="288"/>
  <c r="AZ32" i="288"/>
  <c r="AE65" i="277"/>
  <c r="AE77" i="277"/>
  <c r="AZ87" i="288"/>
  <c r="AZ89" i="288"/>
  <c r="AZ39" i="311"/>
  <c r="AZ49" i="314"/>
  <c r="AZ51" i="314"/>
  <c r="BC132" i="286"/>
  <c r="BC124" i="286"/>
  <c r="BC125" i="286"/>
  <c r="BC198" i="288"/>
  <c r="BC192" i="288"/>
  <c r="BC194" i="288"/>
  <c r="BC149" i="286"/>
  <c r="BC133" i="286"/>
  <c r="BD131" i="282"/>
  <c r="BD137" i="282"/>
  <c r="BD132" i="282"/>
  <c r="BD138" i="282"/>
  <c r="BE135" i="282"/>
  <c r="BE127" i="282"/>
  <c r="BD143" i="282"/>
  <c r="BD144" i="282"/>
  <c r="BD130" i="286"/>
  <c r="BC103" i="315"/>
  <c r="BC108" i="315"/>
  <c r="BC110" i="315"/>
  <c r="BC130" i="315"/>
  <c r="BC33" i="315"/>
  <c r="BC34" i="315"/>
  <c r="BC91" i="315"/>
  <c r="BC92" i="315"/>
  <c r="BC197" i="288"/>
  <c r="BC204" i="288"/>
  <c r="BD122" i="286"/>
  <c r="BC124" i="315"/>
  <c r="BC125" i="315"/>
  <c r="BC131" i="315"/>
  <c r="AZ53" i="314"/>
  <c r="AZ54" i="314"/>
  <c r="AZ64" i="314"/>
  <c r="AZ66" i="314"/>
  <c r="AZ56" i="314"/>
  <c r="AZ58" i="314"/>
  <c r="AZ80" i="311"/>
  <c r="AZ60" i="314"/>
  <c r="AZ62" i="314"/>
  <c r="AZ67" i="314"/>
  <c r="AZ82" i="314"/>
  <c r="BD138" i="286"/>
  <c r="BC207" i="288"/>
  <c r="BC133" i="315"/>
  <c r="BC132" i="315"/>
  <c r="BD502" i="321"/>
  <c r="BD127" i="314"/>
  <c r="BD86" i="286"/>
  <c r="BD142" i="286"/>
  <c r="BD145" i="282"/>
  <c r="BD44" i="315"/>
  <c r="BD45" i="315"/>
  <c r="BD29" i="315"/>
  <c r="BD31" i="315"/>
  <c r="AZ79" i="265"/>
  <c r="AZ73" i="314"/>
  <c r="AZ75" i="314"/>
  <c r="AZ80" i="265"/>
  <c r="AE80" i="277"/>
  <c r="AZ83" i="314"/>
  <c r="AZ84" i="314"/>
  <c r="AE79" i="277"/>
  <c r="AZ82" i="265"/>
  <c r="BD139" i="286"/>
  <c r="BD140" i="286"/>
  <c r="BD146" i="286"/>
  <c r="BD123" i="286"/>
  <c r="BD177" i="288"/>
  <c r="BD179" i="288"/>
  <c r="BD63" i="315"/>
  <c r="BD73" i="315"/>
  <c r="BD263" i="288"/>
  <c r="BD235" i="288"/>
  <c r="BD215" i="288"/>
  <c r="BD182" i="288"/>
  <c r="AZ85" i="265"/>
  <c r="AE82" i="277"/>
  <c r="BA81" i="314"/>
  <c r="AZ111" i="265"/>
  <c r="AZ87" i="314"/>
  <c r="AZ90" i="314"/>
  <c r="AZ60" i="328"/>
  <c r="AE71" i="328"/>
  <c r="AE111" i="277"/>
  <c r="BA37" i="314"/>
  <c r="BA40" i="314"/>
  <c r="BA61" i="314"/>
  <c r="AE85" i="277"/>
  <c r="AZ459" i="321"/>
  <c r="AZ460" i="321"/>
  <c r="BD237" i="288"/>
  <c r="BD239" i="288"/>
  <c r="BD128" i="314"/>
  <c r="BD130" i="314"/>
  <c r="BD132" i="314"/>
  <c r="BD133" i="314"/>
  <c r="BD143" i="314"/>
  <c r="BD145" i="314"/>
  <c r="BD135" i="314"/>
  <c r="BD137" i="314"/>
  <c r="AZ463" i="321"/>
  <c r="AZ464" i="321"/>
  <c r="AZ473" i="321"/>
  <c r="BA43" i="314"/>
  <c r="BA45" i="314"/>
  <c r="BA70" i="314"/>
  <c r="BA71" i="314"/>
  <c r="BA74" i="314"/>
  <c r="BA65" i="314"/>
  <c r="AZ469" i="321"/>
  <c r="AZ470" i="321"/>
  <c r="AZ474" i="321"/>
  <c r="AZ475" i="321"/>
  <c r="AZ478" i="321"/>
  <c r="AZ479" i="321"/>
  <c r="AZ465" i="321"/>
  <c r="AZ49" i="288"/>
  <c r="AZ43" i="288"/>
  <c r="AZ23" i="328"/>
  <c r="AE43" i="328"/>
  <c r="BD139" i="314"/>
  <c r="BD141" i="314"/>
  <c r="BD146" i="314"/>
  <c r="BD161" i="314"/>
  <c r="BD75" i="315"/>
  <c r="BD152" i="314"/>
  <c r="BD154" i="314"/>
  <c r="AZ87" i="265"/>
  <c r="AZ487" i="321"/>
  <c r="AZ480" i="321"/>
  <c r="AZ50" i="288"/>
  <c r="AZ24" i="328"/>
  <c r="AE44" i="328"/>
  <c r="AZ486" i="321"/>
  <c r="AZ488" i="321"/>
  <c r="BA483" i="321"/>
  <c r="AZ124" i="265"/>
  <c r="AZ88" i="265"/>
  <c r="AE88" i="277"/>
  <c r="AE87" i="277"/>
  <c r="AZ89" i="265"/>
  <c r="BD76" i="315"/>
  <c r="BD162" i="314"/>
  <c r="BD163" i="314"/>
  <c r="BD78" i="315"/>
  <c r="BD81" i="315"/>
  <c r="BE160" i="314"/>
  <c r="BD107" i="315"/>
  <c r="AZ10" i="286"/>
  <c r="AZ11" i="286"/>
  <c r="AE89" i="277"/>
  <c r="AE124" i="277"/>
  <c r="BA452" i="321"/>
  <c r="BA454" i="321"/>
  <c r="BA477" i="321"/>
  <c r="BA455" i="321"/>
  <c r="BA35" i="282"/>
  <c r="BA40" i="282"/>
  <c r="BA468" i="321"/>
  <c r="BA462" i="321"/>
  <c r="AZ14" i="286"/>
  <c r="AZ16" i="286"/>
  <c r="AZ27" i="286"/>
  <c r="BE116" i="314"/>
  <c r="BE119" i="314"/>
  <c r="BE140" i="314"/>
  <c r="BD503" i="321"/>
  <c r="BD504" i="321"/>
  <c r="BD507" i="321"/>
  <c r="BD508" i="321"/>
  <c r="BD517" i="321"/>
  <c r="BE122" i="314"/>
  <c r="BE124" i="314"/>
  <c r="BE149" i="314"/>
  <c r="BE150" i="314"/>
  <c r="AZ17" i="286"/>
  <c r="AZ28" i="286"/>
  <c r="AZ29" i="286"/>
  <c r="AZ32" i="286"/>
  <c r="AZ34" i="286"/>
  <c r="AZ21" i="286"/>
  <c r="AZ22" i="286"/>
  <c r="AZ51" i="288"/>
  <c r="BA48" i="282"/>
  <c r="BA27" i="265"/>
  <c r="BA29" i="265"/>
  <c r="BA19" i="286"/>
  <c r="AZ126" i="265"/>
  <c r="AZ35" i="286"/>
  <c r="AZ39" i="286"/>
  <c r="AZ40" i="286"/>
  <c r="AZ52" i="288"/>
  <c r="AZ91" i="265"/>
  <c r="BE153" i="314"/>
  <c r="BE144" i="314"/>
  <c r="BD513" i="321"/>
  <c r="BD514" i="321"/>
  <c r="BD518" i="321"/>
  <c r="BD519" i="321"/>
  <c r="BD522" i="321"/>
  <c r="BD523" i="321"/>
  <c r="BD509" i="321"/>
  <c r="BD199" i="288"/>
  <c r="BD193" i="288"/>
  <c r="BD83" i="315"/>
  <c r="BD531" i="321"/>
  <c r="BD524" i="321"/>
  <c r="BD200" i="288"/>
  <c r="BD530" i="321"/>
  <c r="BD532" i="321"/>
  <c r="AE91" i="277"/>
  <c r="BA37" i="286"/>
  <c r="AZ127" i="265"/>
  <c r="AE127" i="277"/>
  <c r="AZ92" i="265"/>
  <c r="AE126" i="277"/>
  <c r="BA13" i="286"/>
  <c r="BA44" i="282"/>
  <c r="BA49" i="282"/>
  <c r="BA52" i="282"/>
  <c r="BA53" i="282"/>
  <c r="BA55" i="282"/>
  <c r="BA56" i="282"/>
  <c r="AZ92" i="277"/>
  <c r="AZ93" i="265"/>
  <c r="BA31" i="286"/>
  <c r="AE93" i="277"/>
  <c r="BE527" i="321"/>
  <c r="BD120" i="315"/>
  <c r="BD84" i="315"/>
  <c r="BD85" i="315"/>
  <c r="BD87" i="286"/>
  <c r="BD88" i="286"/>
  <c r="BE496" i="321"/>
  <c r="BE498" i="321"/>
  <c r="BE521" i="321"/>
  <c r="AZ54" i="286"/>
  <c r="AZ75" i="286"/>
  <c r="AZ76" i="286"/>
  <c r="AZ79" i="286"/>
  <c r="AZ80" i="286"/>
  <c r="BA68" i="282"/>
  <c r="BA62" i="282"/>
  <c r="BA58" i="282"/>
  <c r="BA60" i="282"/>
  <c r="BA63" i="282"/>
  <c r="BA69" i="282"/>
  <c r="BA64" i="282"/>
  <c r="BA70" i="282"/>
  <c r="BB67" i="282"/>
  <c r="AZ55" i="286"/>
  <c r="AZ47" i="286"/>
  <c r="AZ48" i="286"/>
  <c r="AZ48" i="288"/>
  <c r="AZ42" i="288"/>
  <c r="AZ44" i="288"/>
  <c r="AZ81" i="286"/>
  <c r="AZ25" i="328"/>
  <c r="AE45" i="328"/>
  <c r="AZ56" i="286"/>
  <c r="BE499" i="321"/>
  <c r="BE103" i="282"/>
  <c r="BE108" i="282"/>
  <c r="BE512" i="321"/>
  <c r="BE506" i="321"/>
  <c r="BD91" i="286"/>
  <c r="BD93" i="286"/>
  <c r="BD104" i="286"/>
  <c r="BD94" i="286"/>
  <c r="BD105" i="286"/>
  <c r="BD106" i="286"/>
  <c r="BD109" i="286"/>
  <c r="BD111" i="286"/>
  <c r="BD98" i="286"/>
  <c r="BD99" i="286"/>
  <c r="BD201" i="288"/>
  <c r="BE116" i="282"/>
  <c r="BE25" i="315"/>
  <c r="BE27" i="315"/>
  <c r="BA53" i="286"/>
  <c r="AZ58" i="286"/>
  <c r="AZ64" i="286"/>
  <c r="AZ107" i="265"/>
  <c r="AZ35" i="265"/>
  <c r="AZ95" i="265"/>
  <c r="AZ47" i="288"/>
  <c r="AZ54" i="288"/>
  <c r="BA45" i="286"/>
  <c r="AZ128" i="265"/>
  <c r="BB59" i="282"/>
  <c r="BA75" i="282"/>
  <c r="BA76" i="282"/>
  <c r="BA77" i="282"/>
  <c r="AE128" i="277"/>
  <c r="AE129" i="277"/>
  <c r="AE135" i="277"/>
  <c r="AZ129" i="265"/>
  <c r="AZ135" i="265"/>
  <c r="BA70" i="286"/>
  <c r="AZ57" i="288"/>
  <c r="AE95" i="277"/>
  <c r="AZ96" i="265"/>
  <c r="AE35" i="277"/>
  <c r="AZ36" i="265"/>
  <c r="AZ59" i="328"/>
  <c r="AE70" i="328"/>
  <c r="AE107" i="277"/>
  <c r="AE112" i="277"/>
  <c r="AE114" i="277"/>
  <c r="AE134" i="277"/>
  <c r="AZ112" i="265"/>
  <c r="AZ114" i="265"/>
  <c r="AZ134" i="265"/>
  <c r="BA458" i="321"/>
  <c r="BA48" i="314"/>
  <c r="BA9" i="286"/>
  <c r="BA74" i="286"/>
  <c r="BE112" i="282"/>
  <c r="BE117" i="282"/>
  <c r="BE96" i="286"/>
  <c r="BD122" i="315"/>
  <c r="BD112" i="286"/>
  <c r="BD116" i="286"/>
  <c r="BD117" i="286"/>
  <c r="BD202" i="288"/>
  <c r="BD87" i="315"/>
  <c r="BE114" i="286"/>
  <c r="BD123" i="315"/>
  <c r="BD88" i="315"/>
  <c r="BD89" i="315"/>
  <c r="BE90" i="286"/>
  <c r="BE120" i="282"/>
  <c r="BE121" i="282"/>
  <c r="BE123" i="282"/>
  <c r="BE124" i="282"/>
  <c r="AZ137" i="265"/>
  <c r="AZ136" i="265"/>
  <c r="AE137" i="277"/>
  <c r="AE136" i="277"/>
  <c r="AE36" i="277"/>
  <c r="AE96" i="277"/>
  <c r="BA46" i="265"/>
  <c r="BA31" i="265"/>
  <c r="BA33" i="265"/>
  <c r="BA47" i="265"/>
  <c r="BE136" i="282"/>
  <c r="BE130" i="282"/>
  <c r="BE126" i="282"/>
  <c r="BE128" i="282"/>
  <c r="BD131" i="286"/>
  <c r="BD143" i="286"/>
  <c r="BD144" i="286"/>
  <c r="BD147" i="286"/>
  <c r="BD148" i="286"/>
  <c r="BE108" i="286"/>
  <c r="BD132" i="286"/>
  <c r="BD124" i="286"/>
  <c r="BD125" i="286"/>
  <c r="BD198" i="288"/>
  <c r="BD192" i="288"/>
  <c r="BD194" i="288"/>
  <c r="BD149" i="286"/>
  <c r="BD133" i="286"/>
  <c r="BE131" i="282"/>
  <c r="BE137" i="282"/>
  <c r="BE132" i="282"/>
  <c r="BE138" i="282"/>
  <c r="BF135" i="282"/>
  <c r="BA27" i="288"/>
  <c r="BA29" i="288"/>
  <c r="BA65" i="265"/>
  <c r="BA71" i="286"/>
  <c r="BA72" i="286"/>
  <c r="BA78" i="286"/>
  <c r="BA46" i="286"/>
  <c r="BA77" i="265"/>
  <c r="BA113" i="288"/>
  <c r="BA10" i="321"/>
  <c r="BA12" i="321"/>
  <c r="BA85" i="288"/>
  <c r="BA20" i="328"/>
  <c r="BA65" i="288"/>
  <c r="BA32" i="288"/>
  <c r="BF127" i="282"/>
  <c r="BE143" i="282"/>
  <c r="BE144" i="282"/>
  <c r="BE130" i="286"/>
  <c r="BD103" i="315"/>
  <c r="BD108" i="315"/>
  <c r="BD110" i="315"/>
  <c r="BD130" i="315"/>
  <c r="BD33" i="315"/>
  <c r="BD34" i="315"/>
  <c r="BD91" i="315"/>
  <c r="BD92" i="315"/>
  <c r="BD197" i="288"/>
  <c r="BD204" i="288"/>
  <c r="BE122" i="286"/>
  <c r="BD124" i="315"/>
  <c r="BD125" i="315"/>
  <c r="BD131" i="315"/>
  <c r="BE138" i="286"/>
  <c r="BD207" i="288"/>
  <c r="BD133" i="315"/>
  <c r="BD132" i="315"/>
  <c r="BE502" i="321"/>
  <c r="BE127" i="314"/>
  <c r="BE86" i="286"/>
  <c r="BE142" i="286"/>
  <c r="BE145" i="282"/>
  <c r="BA87" i="288"/>
  <c r="BA89" i="288"/>
  <c r="BA39" i="311"/>
  <c r="BA49" i="314"/>
  <c r="BA51" i="314"/>
  <c r="BA53" i="314"/>
  <c r="BA54" i="314"/>
  <c r="BA64" i="314"/>
  <c r="BA66" i="314"/>
  <c r="BA56" i="314"/>
  <c r="BA58" i="314"/>
  <c r="BA80" i="311"/>
  <c r="BE44" i="315"/>
  <c r="BE45" i="315"/>
  <c r="BE29" i="315"/>
  <c r="BE31" i="315"/>
  <c r="BE139" i="286"/>
  <c r="BE140" i="286"/>
  <c r="BE146" i="286"/>
  <c r="BE123" i="286"/>
  <c r="BE177" i="288"/>
  <c r="BE179" i="288"/>
  <c r="BE63" i="315"/>
  <c r="BA60" i="314"/>
  <c r="BA62" i="314"/>
  <c r="BA67" i="314"/>
  <c r="BA82" i="314"/>
  <c r="BA79" i="265"/>
  <c r="BA73" i="314"/>
  <c r="BA75" i="314"/>
  <c r="BE73" i="315"/>
  <c r="BE263" i="288"/>
  <c r="BE235" i="288"/>
  <c r="BE215" i="288"/>
  <c r="BE182" i="288"/>
  <c r="BE237" i="288"/>
  <c r="BE239" i="288"/>
  <c r="BE128" i="314"/>
  <c r="BE130" i="314"/>
  <c r="BA80" i="265"/>
  <c r="BA83" i="314"/>
  <c r="BA84" i="314"/>
  <c r="BA82" i="265"/>
  <c r="BA85" i="265"/>
  <c r="BB81" i="314"/>
  <c r="BA111" i="265"/>
  <c r="BA60" i="328"/>
  <c r="BA87" i="314"/>
  <c r="BA90" i="314"/>
  <c r="BE132" i="314"/>
  <c r="BE133" i="314"/>
  <c r="BE143" i="314"/>
  <c r="BE145" i="314"/>
  <c r="BE135" i="314"/>
  <c r="BE137" i="314"/>
  <c r="BE139" i="314"/>
  <c r="BE141" i="314"/>
  <c r="BE146" i="314"/>
  <c r="BE161" i="314"/>
  <c r="BB37" i="314"/>
  <c r="BB40" i="314"/>
  <c r="BB61" i="314"/>
  <c r="BA459" i="321"/>
  <c r="BA460" i="321"/>
  <c r="BA463" i="321"/>
  <c r="BA464" i="321"/>
  <c r="BA473" i="321"/>
  <c r="BB43" i="314"/>
  <c r="BB45" i="314"/>
  <c r="BB70" i="314"/>
  <c r="BB71" i="314"/>
  <c r="BE75" i="315"/>
  <c r="BE152" i="314"/>
  <c r="BE154" i="314"/>
  <c r="BE76" i="315"/>
  <c r="BE162" i="314"/>
  <c r="BE163" i="314"/>
  <c r="BE78" i="315"/>
  <c r="BB74" i="314"/>
  <c r="BB65" i="314"/>
  <c r="BA469" i="321"/>
  <c r="BA470" i="321"/>
  <c r="BA474" i="321"/>
  <c r="BA475" i="321"/>
  <c r="BA478" i="321"/>
  <c r="BA479" i="321"/>
  <c r="BA465" i="321"/>
  <c r="BA49" i="288"/>
  <c r="BA43" i="288"/>
  <c r="BA23" i="328"/>
  <c r="BA87" i="265"/>
  <c r="BA487" i="321"/>
  <c r="BA480" i="321"/>
  <c r="BA50" i="288"/>
  <c r="BA24" i="328"/>
  <c r="BA486" i="321"/>
  <c r="BA488" i="321"/>
  <c r="BE81" i="315"/>
  <c r="BF160" i="314"/>
  <c r="BE107" i="315"/>
  <c r="BF116" i="314"/>
  <c r="BF119" i="314"/>
  <c r="BF140" i="314"/>
  <c r="BE503" i="321"/>
  <c r="BE504" i="321"/>
  <c r="BB483" i="321"/>
  <c r="BA124" i="265"/>
  <c r="BA88" i="265"/>
  <c r="BA89" i="265"/>
  <c r="BA10" i="286"/>
  <c r="BA11" i="286"/>
  <c r="BB452" i="321"/>
  <c r="BB454" i="321"/>
  <c r="BB477" i="321"/>
  <c r="BE507" i="321"/>
  <c r="BE508" i="321"/>
  <c r="BE517" i="321"/>
  <c r="BF122" i="314"/>
  <c r="BF124" i="314"/>
  <c r="BF149" i="314"/>
  <c r="BF150" i="314"/>
  <c r="BF153" i="314"/>
  <c r="BF144" i="314"/>
  <c r="BE513" i="321"/>
  <c r="BE514" i="321"/>
  <c r="BE518" i="321"/>
  <c r="BE519" i="321"/>
  <c r="BE522" i="321"/>
  <c r="BE523" i="321"/>
  <c r="BE509" i="321"/>
  <c r="BE199" i="288"/>
  <c r="BE193" i="288"/>
  <c r="BB455" i="321"/>
  <c r="BB35" i="282"/>
  <c r="BB40" i="282"/>
  <c r="BB468" i="321"/>
  <c r="BB462" i="321"/>
  <c r="BA14" i="286"/>
  <c r="BA16" i="286"/>
  <c r="BA27" i="286"/>
  <c r="BA17" i="286"/>
  <c r="BA28" i="286"/>
  <c r="BA29" i="286"/>
  <c r="BA32" i="286"/>
  <c r="BA34" i="286"/>
  <c r="BA21" i="286"/>
  <c r="BA22" i="286"/>
  <c r="BA51" i="288"/>
  <c r="BB48" i="282"/>
  <c r="BB27" i="265"/>
  <c r="BE83" i="315"/>
  <c r="BE531" i="321"/>
  <c r="BE524" i="321"/>
  <c r="BE200" i="288"/>
  <c r="BE530" i="321"/>
  <c r="BE532" i="321"/>
  <c r="BF527" i="321"/>
  <c r="BE120" i="315"/>
  <c r="BE84" i="315"/>
  <c r="BE85" i="315"/>
  <c r="BB29" i="265"/>
  <c r="AF27" i="277"/>
  <c r="BB19" i="286"/>
  <c r="BA126" i="265"/>
  <c r="BA35" i="286"/>
  <c r="BA39" i="286"/>
  <c r="BA40" i="286"/>
  <c r="BA52" i="288"/>
  <c r="BA91" i="265"/>
  <c r="BB37" i="286"/>
  <c r="BA127" i="265"/>
  <c r="BA92" i="265"/>
  <c r="BB13" i="286"/>
  <c r="AF29" i="277"/>
  <c r="BB44" i="282"/>
  <c r="BB49" i="282"/>
  <c r="BE87" i="286"/>
  <c r="BE88" i="286"/>
  <c r="BF496" i="321"/>
  <c r="BF498" i="321"/>
  <c r="BF521" i="321"/>
  <c r="BF499" i="321"/>
  <c r="BF103" i="282"/>
  <c r="BF108" i="282"/>
  <c r="BF512" i="321"/>
  <c r="BF506" i="321"/>
  <c r="BE91" i="286"/>
  <c r="BE93" i="286"/>
  <c r="BE104" i="286"/>
  <c r="BB52" i="282"/>
  <c r="BB53" i="282"/>
  <c r="BB55" i="282"/>
  <c r="BB56" i="282"/>
  <c r="BA92" i="277"/>
  <c r="BA93" i="265"/>
  <c r="BB31" i="286"/>
  <c r="BA54" i="286"/>
  <c r="BA75" i="286"/>
  <c r="BA76" i="286"/>
  <c r="BA79" i="286"/>
  <c r="BA80" i="286"/>
  <c r="BB68" i="282"/>
  <c r="BB62" i="282"/>
  <c r="BB58" i="282"/>
  <c r="BB60" i="282"/>
  <c r="BE94" i="286"/>
  <c r="BE105" i="286"/>
  <c r="BE106" i="286"/>
  <c r="BE109" i="286"/>
  <c r="BE111" i="286"/>
  <c r="BE98" i="286"/>
  <c r="BE99" i="286"/>
  <c r="BE201" i="288"/>
  <c r="BF116" i="282"/>
  <c r="BF25" i="315"/>
  <c r="BF27" i="315"/>
  <c r="BF112" i="282"/>
  <c r="BF117" i="282"/>
  <c r="BF96" i="286"/>
  <c r="BE122" i="315"/>
  <c r="BE112" i="286"/>
  <c r="BE116" i="286"/>
  <c r="BE117" i="286"/>
  <c r="BE202" i="288"/>
  <c r="BE87" i="315"/>
  <c r="BB63" i="282"/>
  <c r="BB69" i="282"/>
  <c r="BB64" i="282"/>
  <c r="BB70" i="282"/>
  <c r="BC67" i="282"/>
  <c r="BA55" i="286"/>
  <c r="BA47" i="286"/>
  <c r="BA48" i="286"/>
  <c r="BA48" i="288"/>
  <c r="BA42" i="288"/>
  <c r="BA44" i="288"/>
  <c r="BA81" i="286"/>
  <c r="BA25" i="328"/>
  <c r="BA56" i="286"/>
  <c r="BB53" i="286"/>
  <c r="BA58" i="286"/>
  <c r="BA64" i="286"/>
  <c r="BA107" i="265"/>
  <c r="BA35" i="265"/>
  <c r="BA95" i="265"/>
  <c r="BA47" i="288"/>
  <c r="BA54" i="288"/>
  <c r="BB45" i="286"/>
  <c r="BA128" i="265"/>
  <c r="BA129" i="265"/>
  <c r="BA135" i="265"/>
  <c r="BC59" i="282"/>
  <c r="BB75" i="282"/>
  <c r="BB76" i="282"/>
  <c r="BF114" i="286"/>
  <c r="BE123" i="315"/>
  <c r="BE88" i="315"/>
  <c r="BE89" i="315"/>
  <c r="BF90" i="286"/>
  <c r="BF120" i="282"/>
  <c r="BF121" i="282"/>
  <c r="BF123" i="282"/>
  <c r="BF124" i="282"/>
  <c r="BF136" i="282"/>
  <c r="BF130" i="282"/>
  <c r="BF126" i="282"/>
  <c r="BF128" i="282"/>
  <c r="BE131" i="286"/>
  <c r="BE143" i="286"/>
  <c r="BE144" i="286"/>
  <c r="BE147" i="286"/>
  <c r="BE148" i="286"/>
  <c r="BF108" i="286"/>
  <c r="BB77" i="282"/>
  <c r="BB70" i="286"/>
  <c r="BA57" i="288"/>
  <c r="BA96" i="265"/>
  <c r="BA36" i="265"/>
  <c r="BA59" i="328"/>
  <c r="BA112" i="265"/>
  <c r="BA114" i="265"/>
  <c r="BA134" i="265"/>
  <c r="BB458" i="321"/>
  <c r="BB48" i="314"/>
  <c r="BB9" i="286"/>
  <c r="BB74" i="286"/>
  <c r="BA137" i="265"/>
  <c r="BA136" i="265"/>
  <c r="BB46" i="265"/>
  <c r="BB31" i="265"/>
  <c r="BE132" i="286"/>
  <c r="BE124" i="286"/>
  <c r="BE125" i="286"/>
  <c r="BE198" i="288"/>
  <c r="BE192" i="288"/>
  <c r="BE194" i="288"/>
  <c r="BE149" i="286"/>
  <c r="BE133" i="286"/>
  <c r="BF131" i="282"/>
  <c r="BF137" i="282"/>
  <c r="BF132" i="282"/>
  <c r="BF138" i="282"/>
  <c r="BG135" i="282"/>
  <c r="BG127" i="282"/>
  <c r="BF143" i="282"/>
  <c r="BF144" i="282"/>
  <c r="BF130" i="286"/>
  <c r="BE103" i="315"/>
  <c r="BE108" i="315"/>
  <c r="BE110" i="315"/>
  <c r="BE130" i="315"/>
  <c r="BE33" i="315"/>
  <c r="BE34" i="315"/>
  <c r="BE91" i="315"/>
  <c r="BE92" i="315"/>
  <c r="BE197" i="288"/>
  <c r="BE204" i="288"/>
  <c r="BF122" i="286"/>
  <c r="BE124" i="315"/>
  <c r="BE125" i="315"/>
  <c r="BE131" i="315"/>
  <c r="AF31" i="277"/>
  <c r="BB33" i="265"/>
  <c r="BB47" i="265"/>
  <c r="AF46" i="277"/>
  <c r="AF47" i="277"/>
  <c r="BB27" i="288"/>
  <c r="BB29" i="288"/>
  <c r="BB65" i="265"/>
  <c r="BB71" i="286"/>
  <c r="BB72" i="286"/>
  <c r="BB78" i="286"/>
  <c r="BB46" i="286"/>
  <c r="AF33" i="277"/>
  <c r="BF138" i="286"/>
  <c r="BE207" i="288"/>
  <c r="BE133" i="315"/>
  <c r="BE132" i="315"/>
  <c r="BF502" i="321"/>
  <c r="BF127" i="314"/>
  <c r="BF86" i="286"/>
  <c r="BF142" i="286"/>
  <c r="BF145" i="282"/>
  <c r="BF44" i="315"/>
  <c r="BF45" i="315"/>
  <c r="BF29" i="315"/>
  <c r="BF31" i="315"/>
  <c r="BB77" i="265"/>
  <c r="BB113" i="288"/>
  <c r="BB10" i="321"/>
  <c r="BB12" i="321"/>
  <c r="BB85" i="288"/>
  <c r="BB20" i="328"/>
  <c r="AF40" i="328"/>
  <c r="BB65" i="288"/>
  <c r="BB32" i="288"/>
  <c r="AF65" i="277"/>
  <c r="AF77" i="277"/>
  <c r="BB87" i="288"/>
  <c r="BB89" i="288"/>
  <c r="BB39" i="311"/>
  <c r="BB49" i="314"/>
  <c r="BB51" i="314"/>
  <c r="BF139" i="286"/>
  <c r="BF140" i="286"/>
  <c r="BF146" i="286"/>
  <c r="BF123" i="286"/>
  <c r="BF177" i="288"/>
  <c r="BF179" i="288"/>
  <c r="BF63" i="315"/>
  <c r="BF73" i="315"/>
  <c r="BF263" i="288"/>
  <c r="BF235" i="288"/>
  <c r="BF215" i="288"/>
  <c r="BF182" i="288"/>
  <c r="BB53" i="314"/>
  <c r="BB54" i="314"/>
  <c r="BB64" i="314"/>
  <c r="BB66" i="314"/>
  <c r="BB56" i="314"/>
  <c r="BB58" i="314"/>
  <c r="BB80" i="311"/>
  <c r="BB60" i="314"/>
  <c r="BB62" i="314"/>
  <c r="BB67" i="314"/>
  <c r="BB82" i="314"/>
  <c r="BF237" i="288"/>
  <c r="BF239" i="288"/>
  <c r="BF128" i="314"/>
  <c r="BF130" i="314"/>
  <c r="BF132" i="314"/>
  <c r="BF133" i="314"/>
  <c r="BF143" i="314"/>
  <c r="BF145" i="314"/>
  <c r="BF135" i="314"/>
  <c r="BF137" i="314"/>
  <c r="BB79" i="265"/>
  <c r="BB73" i="314"/>
  <c r="BB75" i="314"/>
  <c r="BB80" i="265"/>
  <c r="AF80" i="277"/>
  <c r="BB83" i="314"/>
  <c r="BB84" i="314"/>
  <c r="AF79" i="277"/>
  <c r="BB82" i="265"/>
  <c r="BF139" i="314"/>
  <c r="BF141" i="314"/>
  <c r="BF146" i="314"/>
  <c r="BF161" i="314"/>
  <c r="BF75" i="315"/>
  <c r="BF152" i="314"/>
  <c r="BF154" i="314"/>
  <c r="BB85" i="265"/>
  <c r="AF82" i="277"/>
  <c r="BC81" i="314"/>
  <c r="BB111" i="265"/>
  <c r="BB87" i="314"/>
  <c r="BB90" i="314"/>
  <c r="BB60" i="328"/>
  <c r="AF71" i="328"/>
  <c r="AF111" i="277"/>
  <c r="BC37" i="314"/>
  <c r="BC40" i="314"/>
  <c r="BC61" i="314"/>
  <c r="AF85" i="277"/>
  <c r="BB459" i="321"/>
  <c r="BB460" i="321"/>
  <c r="BF76" i="315"/>
  <c r="BF162" i="314"/>
  <c r="BF163" i="314"/>
  <c r="BF78" i="315"/>
  <c r="BF81" i="315"/>
  <c r="BG160" i="314"/>
  <c r="BF107" i="315"/>
  <c r="BB463" i="321"/>
  <c r="BB464" i="321"/>
  <c r="BB473" i="321"/>
  <c r="BC43" i="314"/>
  <c r="BC45" i="314"/>
  <c r="BC70" i="314"/>
  <c r="BC71" i="314"/>
  <c r="BC74" i="314"/>
  <c r="BC65" i="314"/>
  <c r="BB469" i="321"/>
  <c r="BB470" i="321"/>
  <c r="BB474" i="321"/>
  <c r="BB475" i="321"/>
  <c r="BB478" i="321"/>
  <c r="BB479" i="321"/>
  <c r="BB465" i="321"/>
  <c r="BB49" i="288"/>
  <c r="BB43" i="288"/>
  <c r="BB23" i="328"/>
  <c r="AF43" i="328"/>
  <c r="BG116" i="314"/>
  <c r="BG119" i="314"/>
  <c r="BG140" i="314"/>
  <c r="BF503" i="321"/>
  <c r="BF504" i="321"/>
  <c r="BF507" i="321"/>
  <c r="BF508" i="321"/>
  <c r="BF517" i="321"/>
  <c r="BG122" i="314"/>
  <c r="BG124" i="314"/>
  <c r="BG149" i="314"/>
  <c r="BG150" i="314"/>
  <c r="BB87" i="265"/>
  <c r="BB487" i="321"/>
  <c r="BB480" i="321"/>
  <c r="BB50" i="288"/>
  <c r="BB24" i="328"/>
  <c r="AF44" i="328"/>
  <c r="BB486" i="321"/>
  <c r="BB488" i="321"/>
  <c r="BC483" i="321"/>
  <c r="BB124" i="265"/>
  <c r="BB88" i="265"/>
  <c r="AF88" i="277"/>
  <c r="AF87" i="277"/>
  <c r="BB89" i="265"/>
  <c r="BG153" i="314"/>
  <c r="BG144" i="314"/>
  <c r="BF513" i="321"/>
  <c r="BF514" i="321"/>
  <c r="BF518" i="321"/>
  <c r="BF519" i="321"/>
  <c r="BF522" i="321"/>
  <c r="BF523" i="321"/>
  <c r="BF509" i="321"/>
  <c r="BF199" i="288"/>
  <c r="BF193" i="288"/>
  <c r="BF83" i="315"/>
  <c r="BF531" i="321"/>
  <c r="BF524" i="321"/>
  <c r="BF200" i="288"/>
  <c r="BF530" i="321"/>
  <c r="BF532" i="321"/>
  <c r="BB10" i="286"/>
  <c r="BB11" i="286"/>
  <c r="AF89" i="277"/>
  <c r="AF124" i="277"/>
  <c r="BC452" i="321"/>
  <c r="BC454" i="321"/>
  <c r="BC477" i="321"/>
  <c r="BC455" i="321"/>
  <c r="BC35" i="282"/>
  <c r="BC40" i="282"/>
  <c r="BC468" i="321"/>
  <c r="BC462" i="321"/>
  <c r="BB14" i="286"/>
  <c r="BB16" i="286"/>
  <c r="BB27" i="286"/>
  <c r="BG527" i="321"/>
  <c r="BF120" i="315"/>
  <c r="BF84" i="315"/>
  <c r="BF85" i="315"/>
  <c r="BF87" i="286"/>
  <c r="BF88" i="286"/>
  <c r="BG496" i="321"/>
  <c r="BG498" i="321"/>
  <c r="BG521" i="321"/>
  <c r="BB17" i="286"/>
  <c r="BB28" i="286"/>
  <c r="BB29" i="286"/>
  <c r="BB32" i="286"/>
  <c r="BB34" i="286"/>
  <c r="BB21" i="286"/>
  <c r="BB22" i="286"/>
  <c r="BB51" i="288"/>
  <c r="BC48" i="282"/>
  <c r="BC27" i="265"/>
  <c r="BC29" i="265"/>
  <c r="BC19" i="286"/>
  <c r="BB126" i="265"/>
  <c r="BB35" i="286"/>
  <c r="BB39" i="286"/>
  <c r="BB40" i="286"/>
  <c r="BB52" i="288"/>
  <c r="BB91" i="265"/>
  <c r="BG499" i="321"/>
  <c r="BG103" i="282"/>
  <c r="BG108" i="282"/>
  <c r="BG512" i="321"/>
  <c r="BG506" i="321"/>
  <c r="BF91" i="286"/>
  <c r="BF93" i="286"/>
  <c r="BF104" i="286"/>
  <c r="BF94" i="286"/>
  <c r="BF105" i="286"/>
  <c r="BF106" i="286"/>
  <c r="BF109" i="286"/>
  <c r="BF111" i="286"/>
  <c r="BF98" i="286"/>
  <c r="BF99" i="286"/>
  <c r="BF201" i="288"/>
  <c r="BG116" i="282"/>
  <c r="BG25" i="315"/>
  <c r="BG27" i="315"/>
  <c r="AF91" i="277"/>
  <c r="BC37" i="286"/>
  <c r="BB127" i="265"/>
  <c r="AF127" i="277"/>
  <c r="BB92" i="265"/>
  <c r="AF126" i="277"/>
  <c r="BC13" i="286"/>
  <c r="BC44" i="282"/>
  <c r="BC49" i="282"/>
  <c r="BC52" i="282"/>
  <c r="BC53" i="282"/>
  <c r="BC55" i="282"/>
  <c r="BC56" i="282"/>
  <c r="BB92" i="277"/>
  <c r="H92" i="277"/>
  <c r="BB93" i="265"/>
  <c r="BC31" i="286"/>
  <c r="AF93" i="277"/>
  <c r="BG112" i="282"/>
  <c r="BG117" i="282"/>
  <c r="BG96" i="286"/>
  <c r="BF122" i="315"/>
  <c r="BF112" i="286"/>
  <c r="BF116" i="286"/>
  <c r="BF117" i="286"/>
  <c r="BF202" i="288"/>
  <c r="BF87" i="315"/>
  <c r="BG114" i="286"/>
  <c r="BF123" i="315"/>
  <c r="BF88" i="315"/>
  <c r="BF89" i="315"/>
  <c r="BG90" i="286"/>
  <c r="BG120" i="282"/>
  <c r="BG121" i="282"/>
  <c r="BG123" i="282"/>
  <c r="BG124" i="282"/>
  <c r="BB54" i="286"/>
  <c r="BB75" i="286"/>
  <c r="BB76" i="286"/>
  <c r="BB79" i="286"/>
  <c r="BB80" i="286"/>
  <c r="BC68" i="282"/>
  <c r="BC62" i="282"/>
  <c r="BC58" i="282"/>
  <c r="BC60" i="282"/>
  <c r="BC63" i="282"/>
  <c r="BC69" i="282"/>
  <c r="BC64" i="282"/>
  <c r="BC70" i="282"/>
  <c r="BD67" i="282"/>
  <c r="BB55" i="286"/>
  <c r="BB47" i="286"/>
  <c r="BB48" i="286"/>
  <c r="BB48" i="288"/>
  <c r="BB42" i="288"/>
  <c r="BB44" i="288"/>
  <c r="BB81" i="286"/>
  <c r="BB25" i="328"/>
  <c r="AF45" i="328"/>
  <c r="BB56" i="286"/>
  <c r="BG136" i="282"/>
  <c r="BG130" i="282"/>
  <c r="BG126" i="282"/>
  <c r="BG128" i="282"/>
  <c r="BF131" i="286"/>
  <c r="BF143" i="286"/>
  <c r="BF144" i="286"/>
  <c r="BF147" i="286"/>
  <c r="BF148" i="286"/>
  <c r="BG108" i="286"/>
  <c r="BF132" i="286"/>
  <c r="BF124" i="286"/>
  <c r="BF125" i="286"/>
  <c r="BF198" i="288"/>
  <c r="BF192" i="288"/>
  <c r="BF194" i="288"/>
  <c r="BF149" i="286"/>
  <c r="BF133" i="286"/>
  <c r="BG131" i="282"/>
  <c r="BG137" i="282"/>
  <c r="BG132" i="282"/>
  <c r="BG138" i="282"/>
  <c r="BH135" i="282"/>
  <c r="BC53" i="286"/>
  <c r="BB58" i="286"/>
  <c r="BB64" i="286"/>
  <c r="BB107" i="265"/>
  <c r="BB35" i="265"/>
  <c r="BB95" i="265"/>
  <c r="BB47" i="288"/>
  <c r="BB54" i="288"/>
  <c r="BC45" i="286"/>
  <c r="BB128" i="265"/>
  <c r="BD59" i="282"/>
  <c r="BC75" i="282"/>
  <c r="BC76" i="282"/>
  <c r="BC77" i="282"/>
  <c r="AF128" i="277"/>
  <c r="AF129" i="277"/>
  <c r="AF135" i="277"/>
  <c r="BB129" i="265"/>
  <c r="BB135" i="265"/>
  <c r="BC70" i="286"/>
  <c r="BB57" i="288"/>
  <c r="AF95" i="277"/>
  <c r="BB96" i="265"/>
  <c r="AF35" i="277"/>
  <c r="BB36" i="265"/>
  <c r="BB59" i="328"/>
  <c r="AF70" i="328"/>
  <c r="AF107" i="277"/>
  <c r="AF112" i="277"/>
  <c r="AF114" i="277"/>
  <c r="AF134" i="277"/>
  <c r="BB112" i="265"/>
  <c r="BB114" i="265"/>
  <c r="BB134" i="265"/>
  <c r="BC458" i="321"/>
  <c r="BC48" i="314"/>
  <c r="BC9" i="286"/>
  <c r="BC74" i="286"/>
  <c r="BH127" i="282"/>
  <c r="BG143" i="282"/>
  <c r="BG144" i="282"/>
  <c r="BG130" i="286"/>
  <c r="BF103" i="315"/>
  <c r="BF108" i="315"/>
  <c r="BF110" i="315"/>
  <c r="BF130" i="315"/>
  <c r="BF33" i="315"/>
  <c r="BF34" i="315"/>
  <c r="BF91" i="315"/>
  <c r="BF92" i="315"/>
  <c r="BF197" i="288"/>
  <c r="BF204" i="288"/>
  <c r="BG122" i="286"/>
  <c r="BF124" i="315"/>
  <c r="BF125" i="315"/>
  <c r="BF131" i="315"/>
  <c r="BG138" i="286"/>
  <c r="BF207" i="288"/>
  <c r="BF133" i="315"/>
  <c r="BF132" i="315"/>
  <c r="BG502" i="321"/>
  <c r="BG127" i="314"/>
  <c r="BG86" i="286"/>
  <c r="BG142" i="286"/>
  <c r="BG145" i="282"/>
  <c r="BB137" i="265"/>
  <c r="BB136" i="265"/>
  <c r="AF137" i="277"/>
  <c r="AF136" i="277"/>
  <c r="AF36" i="277"/>
  <c r="AF96" i="277"/>
  <c r="BC46" i="265"/>
  <c r="BC31" i="265"/>
  <c r="BC33" i="265"/>
  <c r="BC47" i="265"/>
  <c r="BG44" i="315"/>
  <c r="BG45" i="315"/>
  <c r="BG29" i="315"/>
  <c r="BG31" i="315"/>
  <c r="BG139" i="286"/>
  <c r="BG140" i="286"/>
  <c r="BG146" i="286"/>
  <c r="BG123" i="286"/>
  <c r="BG177" i="288"/>
  <c r="BG179" i="288"/>
  <c r="BG63" i="315"/>
  <c r="BC27" i="288"/>
  <c r="BC29" i="288"/>
  <c r="BC65" i="265"/>
  <c r="BC71" i="286"/>
  <c r="BC72" i="286"/>
  <c r="BC78" i="286"/>
  <c r="BC46" i="286"/>
  <c r="BC77" i="265"/>
  <c r="BC113" i="288"/>
  <c r="BC10" i="321"/>
  <c r="BC12" i="321"/>
  <c r="BC85" i="288"/>
  <c r="BC20" i="328"/>
  <c r="BC65" i="288"/>
  <c r="BC32" i="288"/>
  <c r="BG73" i="315"/>
  <c r="BG263" i="288"/>
  <c r="BG235" i="288"/>
  <c r="BG215" i="288"/>
  <c r="BG182" i="288"/>
  <c r="BG237" i="288"/>
  <c r="BG239" i="288"/>
  <c r="BG128" i="314"/>
  <c r="BG130" i="314"/>
  <c r="BC87" i="288"/>
  <c r="BC89" i="288"/>
  <c r="BC39" i="311"/>
  <c r="BC49" i="314"/>
  <c r="BC51" i="314"/>
  <c r="BC53" i="314"/>
  <c r="BC54" i="314"/>
  <c r="BC64" i="314"/>
  <c r="BC66" i="314"/>
  <c r="BC56" i="314"/>
  <c r="BC58" i="314"/>
  <c r="BC80" i="311"/>
  <c r="BG132" i="314"/>
  <c r="BG133" i="314"/>
  <c r="BG143" i="314"/>
  <c r="BG145" i="314"/>
  <c r="BG135" i="314"/>
  <c r="BG137" i="314"/>
  <c r="BG139" i="314"/>
  <c r="BG141" i="314"/>
  <c r="BG146" i="314"/>
  <c r="BG161" i="314"/>
  <c r="BC60" i="314"/>
  <c r="BC62" i="314"/>
  <c r="BC67" i="314"/>
  <c r="BC82" i="314"/>
  <c r="BC79" i="265"/>
  <c r="BC73" i="314"/>
  <c r="BC75" i="314"/>
  <c r="BG75" i="315"/>
  <c r="BG152" i="314"/>
  <c r="BG154" i="314"/>
  <c r="BG76" i="315"/>
  <c r="BG162" i="314"/>
  <c r="BG163" i="314"/>
  <c r="BG78" i="315"/>
  <c r="BC80" i="265"/>
  <c r="BC83" i="314"/>
  <c r="BC84" i="314"/>
  <c r="BC82" i="265"/>
  <c r="BC85" i="265"/>
  <c r="BD81" i="314"/>
  <c r="BC111" i="265"/>
  <c r="BC60" i="328"/>
  <c r="BC87" i="314"/>
  <c r="BC90" i="314"/>
  <c r="BG81" i="315"/>
  <c r="BH160" i="314"/>
  <c r="BG107" i="315"/>
  <c r="BH116" i="314"/>
  <c r="BH119" i="314"/>
  <c r="BH140" i="314"/>
  <c r="BG503" i="321"/>
  <c r="BG504" i="321"/>
  <c r="BD37" i="314"/>
  <c r="BD40" i="314"/>
  <c r="BD61" i="314"/>
  <c r="BC459" i="321"/>
  <c r="BC460" i="321"/>
  <c r="BC463" i="321"/>
  <c r="BC464" i="321"/>
  <c r="BC473" i="321"/>
  <c r="BD43" i="314"/>
  <c r="BD45" i="314"/>
  <c r="BD70" i="314"/>
  <c r="BD71" i="314"/>
  <c r="BG507" i="321"/>
  <c r="BG508" i="321"/>
  <c r="BG517" i="321"/>
  <c r="BH122" i="314"/>
  <c r="BH124" i="314"/>
  <c r="BH149" i="314"/>
  <c r="BH150" i="314"/>
  <c r="BH153" i="314"/>
  <c r="BH144" i="314"/>
  <c r="BG513" i="321"/>
  <c r="BG514" i="321"/>
  <c r="BG518" i="321"/>
  <c r="BG519" i="321"/>
  <c r="BG522" i="321"/>
  <c r="BG523" i="321"/>
  <c r="BG509" i="321"/>
  <c r="BG199" i="288"/>
  <c r="BG193" i="288"/>
  <c r="BD74" i="314"/>
  <c r="BD65" i="314"/>
  <c r="BC469" i="321"/>
  <c r="BC470" i="321"/>
  <c r="BC474" i="321"/>
  <c r="BC475" i="321"/>
  <c r="BC478" i="321"/>
  <c r="BC479" i="321"/>
  <c r="BC465" i="321"/>
  <c r="BC49" i="288"/>
  <c r="BC43" i="288"/>
  <c r="BC23" i="328"/>
  <c r="BC87" i="265"/>
  <c r="BC487" i="321"/>
  <c r="BC480" i="321"/>
  <c r="BC50" i="288"/>
  <c r="BC24" i="328"/>
  <c r="BC486" i="321"/>
  <c r="BC488" i="321"/>
  <c r="BG83" i="315"/>
  <c r="BG531" i="321"/>
  <c r="BG524" i="321"/>
  <c r="BG200" i="288"/>
  <c r="BG530" i="321"/>
  <c r="BG532" i="321"/>
  <c r="BH527" i="321"/>
  <c r="BG120" i="315"/>
  <c r="BG84" i="315"/>
  <c r="BG85" i="315"/>
  <c r="BD483" i="321"/>
  <c r="BC124" i="265"/>
  <c r="BC88" i="265"/>
  <c r="BC89" i="265"/>
  <c r="BC10" i="286"/>
  <c r="BC11" i="286"/>
  <c r="BD452" i="321"/>
  <c r="BD454" i="321"/>
  <c r="BD477" i="321"/>
  <c r="BG87" i="286"/>
  <c r="BG88" i="286"/>
  <c r="BH496" i="321"/>
  <c r="BH498" i="321"/>
  <c r="BH521" i="321"/>
  <c r="BH499" i="321"/>
  <c r="BH103" i="282"/>
  <c r="BH108" i="282"/>
  <c r="BH512" i="321"/>
  <c r="BH506" i="321"/>
  <c r="BG91" i="286"/>
  <c r="BG93" i="286"/>
  <c r="BG104" i="286"/>
  <c r="BD455" i="321"/>
  <c r="BD35" i="282"/>
  <c r="BD40" i="282"/>
  <c r="BD468" i="321"/>
  <c r="BD462" i="321"/>
  <c r="BC14" i="286"/>
  <c r="BC16" i="286"/>
  <c r="BC27" i="286"/>
  <c r="BC17" i="286"/>
  <c r="BC28" i="286"/>
  <c r="BC29" i="286"/>
  <c r="BC32" i="286"/>
  <c r="BC34" i="286"/>
  <c r="BC21" i="286"/>
  <c r="BC22" i="286"/>
  <c r="BC51" i="288"/>
  <c r="BD48" i="282"/>
  <c r="BD27" i="265"/>
  <c r="BG94" i="286"/>
  <c r="BG105" i="286"/>
  <c r="BG106" i="286"/>
  <c r="BG109" i="286"/>
  <c r="BG111" i="286"/>
  <c r="BG98" i="286"/>
  <c r="BG99" i="286"/>
  <c r="BG201" i="288"/>
  <c r="BH116" i="282"/>
  <c r="BH25" i="315"/>
  <c r="BH27" i="315"/>
  <c r="BH112" i="282"/>
  <c r="BH117" i="282"/>
  <c r="BH96" i="286"/>
  <c r="BG122" i="315"/>
  <c r="BG112" i="286"/>
  <c r="BG116" i="286"/>
  <c r="BG117" i="286"/>
  <c r="BG202" i="288"/>
  <c r="BG87" i="315"/>
  <c r="BD29" i="265"/>
  <c r="AG27" i="277"/>
  <c r="BD19" i="286"/>
  <c r="BC126" i="265"/>
  <c r="BC35" i="286"/>
  <c r="BC39" i="286"/>
  <c r="BC40" i="286"/>
  <c r="BC52" i="288"/>
  <c r="BC91" i="265"/>
  <c r="BD37" i="286"/>
  <c r="BC127" i="265"/>
  <c r="BC92" i="265"/>
  <c r="BC93" i="265"/>
  <c r="BD13" i="286"/>
  <c r="AG29" i="277"/>
  <c r="BD44" i="282"/>
  <c r="BD49" i="282"/>
  <c r="BH114" i="286"/>
  <c r="BG123" i="315"/>
  <c r="BG88" i="315"/>
  <c r="BG89" i="315"/>
  <c r="BH90" i="286"/>
  <c r="BH120" i="282"/>
  <c r="BH121" i="282"/>
  <c r="BH123" i="282"/>
  <c r="BH124" i="282"/>
  <c r="BH136" i="282"/>
  <c r="BH130" i="282"/>
  <c r="BH126" i="282"/>
  <c r="BH128" i="282"/>
  <c r="BG131" i="286"/>
  <c r="BG143" i="286"/>
  <c r="BG144" i="286"/>
  <c r="BG147" i="286"/>
  <c r="BG148" i="286"/>
  <c r="BH108" i="286"/>
  <c r="BD52" i="282"/>
  <c r="BD53" i="282"/>
  <c r="BD55" i="282"/>
  <c r="BD56" i="282"/>
  <c r="BC54" i="286"/>
  <c r="BC75" i="286"/>
  <c r="BC76" i="286"/>
  <c r="BC79" i="286"/>
  <c r="BC80" i="286"/>
  <c r="BD31" i="286"/>
  <c r="BC55" i="286"/>
  <c r="BC47" i="286"/>
  <c r="BC48" i="286"/>
  <c r="BC48" i="288"/>
  <c r="BC42" i="288"/>
  <c r="BC44" i="288"/>
  <c r="BC81" i="286"/>
  <c r="BC25" i="328"/>
  <c r="BC56" i="286"/>
  <c r="BD68" i="282"/>
  <c r="BD62" i="282"/>
  <c r="BD58" i="282"/>
  <c r="BD60" i="282"/>
  <c r="BG132" i="286"/>
  <c r="BG124" i="286"/>
  <c r="BG125" i="286"/>
  <c r="BG198" i="288"/>
  <c r="BG192" i="288"/>
  <c r="BG194" i="288"/>
  <c r="BG149" i="286"/>
  <c r="BG133" i="286"/>
  <c r="BH131" i="282"/>
  <c r="BH137" i="282"/>
  <c r="BH132" i="282"/>
  <c r="BH138" i="282"/>
  <c r="BI135" i="282"/>
  <c r="BI127" i="282"/>
  <c r="BH143" i="282"/>
  <c r="BH144" i="282"/>
  <c r="BH130" i="286"/>
  <c r="BG103" i="315"/>
  <c r="BG108" i="315"/>
  <c r="BG110" i="315"/>
  <c r="BG130" i="315"/>
  <c r="BG33" i="315"/>
  <c r="BG34" i="315"/>
  <c r="BG91" i="315"/>
  <c r="BG92" i="315"/>
  <c r="BG197" i="288"/>
  <c r="BG204" i="288"/>
  <c r="BH122" i="286"/>
  <c r="BG124" i="315"/>
  <c r="BG125" i="315"/>
  <c r="BG131" i="315"/>
  <c r="BD63" i="282"/>
  <c r="BD69" i="282"/>
  <c r="BD64" i="282"/>
  <c r="BD70" i="282"/>
  <c r="BE67" i="282"/>
  <c r="BD53" i="286"/>
  <c r="BC58" i="286"/>
  <c r="BC64" i="286"/>
  <c r="BC107" i="265"/>
  <c r="BC35" i="265"/>
  <c r="BC95" i="265"/>
  <c r="BC47" i="288"/>
  <c r="BC54" i="288"/>
  <c r="BD45" i="286"/>
  <c r="BC128" i="265"/>
  <c r="BC129" i="265"/>
  <c r="BC135" i="265"/>
  <c r="BD70" i="286"/>
  <c r="BC57" i="288"/>
  <c r="BC96" i="265"/>
  <c r="BC36" i="265"/>
  <c r="BC59" i="328"/>
  <c r="BC112" i="265"/>
  <c r="BC114" i="265"/>
  <c r="BC134" i="265"/>
  <c r="BD458" i="321"/>
  <c r="BD48" i="314"/>
  <c r="BD9" i="286"/>
  <c r="BD74" i="286"/>
  <c r="BE59" i="282"/>
  <c r="BD75" i="282"/>
  <c r="BD76" i="282"/>
  <c r="BH138" i="286"/>
  <c r="BG207" i="288"/>
  <c r="BG133" i="315"/>
  <c r="BG132" i="315"/>
  <c r="BH502" i="321"/>
  <c r="BH127" i="314"/>
  <c r="BH86" i="286"/>
  <c r="BH142" i="286"/>
  <c r="BH145" i="282"/>
  <c r="BH44" i="315"/>
  <c r="BH45" i="315"/>
  <c r="BH29" i="315"/>
  <c r="BH31" i="315"/>
  <c r="BD77" i="282"/>
  <c r="BC137" i="265"/>
  <c r="BC136" i="265"/>
  <c r="BD46" i="265"/>
  <c r="BD31" i="265"/>
  <c r="BH139" i="286"/>
  <c r="BH140" i="286"/>
  <c r="BH146" i="286"/>
  <c r="BH123" i="286"/>
  <c r="BH177" i="288"/>
  <c r="BH179" i="288"/>
  <c r="BH63" i="315"/>
  <c r="BH73" i="315"/>
  <c r="BH263" i="288"/>
  <c r="BH235" i="288"/>
  <c r="BH215" i="288"/>
  <c r="BH182" i="288"/>
  <c r="AG31" i="277"/>
  <c r="BD33" i="265"/>
  <c r="BD47" i="265"/>
  <c r="AG46" i="277"/>
  <c r="AG47" i="277"/>
  <c r="BD27" i="288"/>
  <c r="BD29" i="288"/>
  <c r="BD65" i="265"/>
  <c r="BD71" i="286"/>
  <c r="BD72" i="286"/>
  <c r="BD78" i="286"/>
  <c r="BD46" i="286"/>
  <c r="AG33" i="277"/>
  <c r="BH237" i="288"/>
  <c r="BH239" i="288"/>
  <c r="BH128" i="314"/>
  <c r="BH130" i="314"/>
  <c r="BH132" i="314"/>
  <c r="BH133" i="314"/>
  <c r="BH143" i="314"/>
  <c r="BH145" i="314"/>
  <c r="BH135" i="314"/>
  <c r="BH137" i="314"/>
  <c r="BD77" i="265"/>
  <c r="BD113" i="288"/>
  <c r="BD10" i="321"/>
  <c r="BD12" i="321"/>
  <c r="BD85" i="288"/>
  <c r="BD65" i="288"/>
  <c r="BD20" i="328"/>
  <c r="AG40" i="328"/>
  <c r="BD32" i="288"/>
  <c r="AG65" i="277"/>
  <c r="AG77" i="277"/>
  <c r="BD87" i="288"/>
  <c r="BD89" i="288"/>
  <c r="BD39" i="311"/>
  <c r="BD49" i="314"/>
  <c r="BD51" i="314"/>
  <c r="BH139" i="314"/>
  <c r="BH141" i="314"/>
  <c r="BH146" i="314"/>
  <c r="BH161" i="314"/>
  <c r="BH75" i="315"/>
  <c r="BH152" i="314"/>
  <c r="BH154" i="314"/>
  <c r="BD53" i="314"/>
  <c r="BD54" i="314"/>
  <c r="BD64" i="314"/>
  <c r="BD66" i="314"/>
  <c r="BD56" i="314"/>
  <c r="BD58" i="314"/>
  <c r="BD80" i="311"/>
  <c r="BD60" i="314"/>
  <c r="BD62" i="314"/>
  <c r="BD67" i="314"/>
  <c r="BD82" i="314"/>
  <c r="BH76" i="315"/>
  <c r="BH162" i="314"/>
  <c r="BH163" i="314"/>
  <c r="BH78" i="315"/>
  <c r="BH81" i="315"/>
  <c r="BI160" i="314"/>
  <c r="BH107" i="315"/>
  <c r="BD79" i="265"/>
  <c r="BD73" i="314"/>
  <c r="BD75" i="314"/>
  <c r="BD80" i="265"/>
  <c r="AG80" i="277"/>
  <c r="BD83" i="314"/>
  <c r="BD84" i="314"/>
  <c r="AG79" i="277"/>
  <c r="BD82" i="265"/>
  <c r="BI116" i="314"/>
  <c r="BI119" i="314"/>
  <c r="BI140" i="314"/>
  <c r="BH503" i="321"/>
  <c r="BH504" i="321"/>
  <c r="BH507" i="321"/>
  <c r="BH508" i="321"/>
  <c r="BH517" i="321"/>
  <c r="BI122" i="314"/>
  <c r="BI124" i="314"/>
  <c r="BI149" i="314"/>
  <c r="BI150" i="314"/>
  <c r="BD85" i="265"/>
  <c r="AG82" i="277"/>
  <c r="BE81" i="314"/>
  <c r="BD111" i="265"/>
  <c r="BD87" i="314"/>
  <c r="BD90" i="314"/>
  <c r="BD60" i="328"/>
  <c r="AG71" i="328"/>
  <c r="AG111" i="277"/>
  <c r="BE37" i="314"/>
  <c r="BE40" i="314"/>
  <c r="BE61" i="314"/>
  <c r="AG85" i="277"/>
  <c r="BD459" i="321"/>
  <c r="BD460" i="321"/>
  <c r="BI153" i="314"/>
  <c r="BI144" i="314"/>
  <c r="BH513" i="321"/>
  <c r="BH514" i="321"/>
  <c r="BH518" i="321"/>
  <c r="BH519" i="321"/>
  <c r="BH522" i="321"/>
  <c r="BH523" i="321"/>
  <c r="BH509" i="321"/>
  <c r="BH199" i="288"/>
  <c r="BH193" i="288"/>
  <c r="BH83" i="315"/>
  <c r="BH531" i="321"/>
  <c r="BH524" i="321"/>
  <c r="BH200" i="288"/>
  <c r="BH530" i="321"/>
  <c r="BH532" i="321"/>
  <c r="BD463" i="321"/>
  <c r="BD464" i="321"/>
  <c r="BD473" i="321"/>
  <c r="BE43" i="314"/>
  <c r="BE45" i="314"/>
  <c r="BE70" i="314"/>
  <c r="BE71" i="314"/>
  <c r="BE74" i="314"/>
  <c r="BE65" i="314"/>
  <c r="BD469" i="321"/>
  <c r="BD470" i="321"/>
  <c r="BD474" i="321"/>
  <c r="BD475" i="321"/>
  <c r="BD478" i="321"/>
  <c r="BD479" i="321"/>
  <c r="BD465" i="321"/>
  <c r="BD49" i="288"/>
  <c r="BD43" i="288"/>
  <c r="BD23" i="328"/>
  <c r="AG43" i="328"/>
  <c r="BI527" i="321"/>
  <c r="BH120" i="315"/>
  <c r="BH84" i="315"/>
  <c r="BH85" i="315"/>
  <c r="BH87" i="286"/>
  <c r="BH88" i="286"/>
  <c r="BI496" i="321"/>
  <c r="BI498" i="321"/>
  <c r="BI521" i="321"/>
  <c r="BD87" i="265"/>
  <c r="BD487" i="321"/>
  <c r="BD480" i="321"/>
  <c r="BD50" i="288"/>
  <c r="BD24" i="328"/>
  <c r="AG44" i="328"/>
  <c r="BD486" i="321"/>
  <c r="BD488" i="321"/>
  <c r="BE483" i="321"/>
  <c r="BD124" i="265"/>
  <c r="BD88" i="265"/>
  <c r="AG88" i="277"/>
  <c r="AG87" i="277"/>
  <c r="BD89" i="265"/>
  <c r="BI499" i="321"/>
  <c r="BI103" i="282"/>
  <c r="BI108" i="282"/>
  <c r="BI512" i="321"/>
  <c r="BI506" i="321"/>
  <c r="BH91" i="286"/>
  <c r="BH93" i="286"/>
  <c r="BH104" i="286"/>
  <c r="BH94" i="286"/>
  <c r="BH105" i="286"/>
  <c r="BH106" i="286"/>
  <c r="BH109" i="286"/>
  <c r="BH111" i="286"/>
  <c r="BH98" i="286"/>
  <c r="BH99" i="286"/>
  <c r="BH201" i="288"/>
  <c r="BI116" i="282"/>
  <c r="BI25" i="315"/>
  <c r="BI27" i="315"/>
  <c r="BD10" i="286"/>
  <c r="BD11" i="286"/>
  <c r="AG89" i="277"/>
  <c r="AG124" i="277"/>
  <c r="BE452" i="321"/>
  <c r="BE454" i="321"/>
  <c r="BE477" i="321"/>
  <c r="BE455" i="321"/>
  <c r="BE35" i="282"/>
  <c r="BE40" i="282"/>
  <c r="BE468" i="321"/>
  <c r="BE462" i="321"/>
  <c r="BD14" i="286"/>
  <c r="BD16" i="286"/>
  <c r="BD27" i="286"/>
  <c r="BI112" i="282"/>
  <c r="BI117" i="282"/>
  <c r="BI96" i="286"/>
  <c r="BH122" i="315"/>
  <c r="BH112" i="286"/>
  <c r="BH116" i="286"/>
  <c r="BH117" i="286"/>
  <c r="BH202" i="288"/>
  <c r="BH87" i="315"/>
  <c r="BI114" i="286"/>
  <c r="BH123" i="315"/>
  <c r="BH88" i="315"/>
  <c r="BH89" i="315"/>
  <c r="BI90" i="286"/>
  <c r="BI120" i="282"/>
  <c r="BI121" i="282"/>
  <c r="BI123" i="282"/>
  <c r="BI124" i="282"/>
  <c r="BD17" i="286"/>
  <c r="BD28" i="286"/>
  <c r="BD29" i="286"/>
  <c r="BD32" i="286"/>
  <c r="BD34" i="286"/>
  <c r="BD21" i="286"/>
  <c r="BD22" i="286"/>
  <c r="BD51" i="288"/>
  <c r="BE48" i="282"/>
  <c r="BE27" i="265"/>
  <c r="BE29" i="265"/>
  <c r="BE19" i="286"/>
  <c r="BD126" i="265"/>
  <c r="BD35" i="286"/>
  <c r="BD39" i="286"/>
  <c r="BD40" i="286"/>
  <c r="BD52" i="288"/>
  <c r="BD91" i="265"/>
  <c r="BI136" i="282"/>
  <c r="BI130" i="282"/>
  <c r="BI126" i="282"/>
  <c r="BI128" i="282"/>
  <c r="BH131" i="286"/>
  <c r="BH143" i="286"/>
  <c r="BH144" i="286"/>
  <c r="BH147" i="286"/>
  <c r="BH148" i="286"/>
  <c r="BI108" i="286"/>
  <c r="BH132" i="286"/>
  <c r="BH124" i="286"/>
  <c r="BH125" i="286"/>
  <c r="BH198" i="288"/>
  <c r="BH192" i="288"/>
  <c r="BH194" i="288"/>
  <c r="BH149" i="286"/>
  <c r="BH133" i="286"/>
  <c r="BI131" i="282"/>
  <c r="BI137" i="282"/>
  <c r="BI132" i="282"/>
  <c r="BI138" i="282"/>
  <c r="BJ135" i="282"/>
  <c r="AG91" i="277"/>
  <c r="BE37" i="286"/>
  <c r="BD127" i="265"/>
  <c r="AG127" i="277"/>
  <c r="BD92" i="265"/>
  <c r="BD93" i="265"/>
  <c r="AG126" i="277"/>
  <c r="BE13" i="286"/>
  <c r="BE44" i="282"/>
  <c r="BE49" i="282"/>
  <c r="BE52" i="282"/>
  <c r="BE53" i="282"/>
  <c r="BE55" i="282"/>
  <c r="BE56" i="282"/>
  <c r="BD54" i="286"/>
  <c r="BD75" i="286"/>
  <c r="BD76" i="286"/>
  <c r="BD79" i="286"/>
  <c r="BD80" i="286"/>
  <c r="BE31" i="286"/>
  <c r="AG93" i="277"/>
  <c r="BJ127" i="282"/>
  <c r="BI143" i="282"/>
  <c r="BI144" i="282"/>
  <c r="BI130" i="286"/>
  <c r="BH103" i="315"/>
  <c r="BH108" i="315"/>
  <c r="BH110" i="315"/>
  <c r="BH130" i="315"/>
  <c r="BH33" i="315"/>
  <c r="BH34" i="315"/>
  <c r="BH91" i="315"/>
  <c r="BH92" i="315"/>
  <c r="BH197" i="288"/>
  <c r="BH204" i="288"/>
  <c r="BI122" i="286"/>
  <c r="BH124" i="315"/>
  <c r="BH125" i="315"/>
  <c r="BH131" i="315"/>
  <c r="BI138" i="286"/>
  <c r="BH207" i="288"/>
  <c r="BH133" i="315"/>
  <c r="BH132" i="315"/>
  <c r="BI502" i="321"/>
  <c r="BI127" i="314"/>
  <c r="BI86" i="286"/>
  <c r="BI142" i="286"/>
  <c r="BI145" i="282"/>
  <c r="BD55" i="286"/>
  <c r="BD47" i="286"/>
  <c r="BD48" i="286"/>
  <c r="BD48" i="288"/>
  <c r="BD42" i="288"/>
  <c r="BD44" i="288"/>
  <c r="BD81" i="286"/>
  <c r="BD25" i="328"/>
  <c r="AG45" i="328"/>
  <c r="BD56" i="286"/>
  <c r="BE68" i="282"/>
  <c r="BE62" i="282"/>
  <c r="BE58" i="282"/>
  <c r="BE60" i="282"/>
  <c r="BE63" i="282"/>
  <c r="BE69" i="282"/>
  <c r="BE64" i="282"/>
  <c r="BE70" i="282"/>
  <c r="BF67" i="282"/>
  <c r="BE53" i="286"/>
  <c r="BD58" i="286"/>
  <c r="BD64" i="286"/>
  <c r="BD107" i="265"/>
  <c r="BD35" i="265"/>
  <c r="BD95" i="265"/>
  <c r="BD47" i="288"/>
  <c r="BD54" i="288"/>
  <c r="BE45" i="286"/>
  <c r="BD128" i="265"/>
  <c r="BI44" i="315"/>
  <c r="BI45" i="315"/>
  <c r="BI29" i="315"/>
  <c r="BI31" i="315"/>
  <c r="BI139" i="286"/>
  <c r="BI140" i="286"/>
  <c r="BI146" i="286"/>
  <c r="BI123" i="286"/>
  <c r="BI177" i="288"/>
  <c r="BI179" i="288"/>
  <c r="BI63" i="315"/>
  <c r="AG128" i="277"/>
  <c r="AG129" i="277"/>
  <c r="AG135" i="277"/>
  <c r="BD129" i="265"/>
  <c r="BD135" i="265"/>
  <c r="BE70" i="286"/>
  <c r="BD57" i="288"/>
  <c r="AG95" i="277"/>
  <c r="BD96" i="265"/>
  <c r="AG35" i="277"/>
  <c r="BD36" i="265"/>
  <c r="BD59" i="328"/>
  <c r="AG70" i="328"/>
  <c r="AG107" i="277"/>
  <c r="AG112" i="277"/>
  <c r="AG114" i="277"/>
  <c r="AG134" i="277"/>
  <c r="BD112" i="265"/>
  <c r="BD114" i="265"/>
  <c r="BD134" i="265"/>
  <c r="BE458" i="321"/>
  <c r="BE48" i="314"/>
  <c r="BE9" i="286"/>
  <c r="BE74" i="286"/>
  <c r="BF59" i="282"/>
  <c r="BE75" i="282"/>
  <c r="BE76" i="282"/>
  <c r="BE77" i="282"/>
  <c r="BD137" i="265"/>
  <c r="BD136" i="265"/>
  <c r="AG137" i="277"/>
  <c r="AG136" i="277"/>
  <c r="AG36" i="277"/>
  <c r="AG96" i="277"/>
  <c r="BI73" i="315"/>
  <c r="BI263" i="288"/>
  <c r="BI235" i="288"/>
  <c r="BI215" i="288"/>
  <c r="BI182" i="288"/>
  <c r="BI237" i="288"/>
  <c r="BI239" i="288"/>
  <c r="BI128" i="314"/>
  <c r="BI130" i="314"/>
  <c r="BE46" i="265"/>
  <c r="BE31" i="265"/>
  <c r="BE33" i="265"/>
  <c r="BE47" i="265"/>
  <c r="BI132" i="314"/>
  <c r="BI133" i="314"/>
  <c r="BI143" i="314"/>
  <c r="BI145" i="314"/>
  <c r="BI135" i="314"/>
  <c r="BI137" i="314"/>
  <c r="BI139" i="314"/>
  <c r="BI141" i="314"/>
  <c r="BI146" i="314"/>
  <c r="BI161" i="314"/>
  <c r="BE27" i="288"/>
  <c r="BE29" i="288"/>
  <c r="BE65" i="265"/>
  <c r="BE71" i="286"/>
  <c r="BE72" i="286"/>
  <c r="BE78" i="286"/>
  <c r="BE46" i="286"/>
  <c r="BE77" i="265"/>
  <c r="BE113" i="288"/>
  <c r="BE10" i="321"/>
  <c r="BE12" i="321"/>
  <c r="BE85" i="288"/>
  <c r="BE20" i="328"/>
  <c r="BE65" i="288"/>
  <c r="BE32" i="288"/>
  <c r="BI75" i="315"/>
  <c r="BI152" i="314"/>
  <c r="BI154" i="314"/>
  <c r="BI76" i="315"/>
  <c r="BI162" i="314"/>
  <c r="BI163" i="314"/>
  <c r="BI78" i="315"/>
  <c r="BE87" i="288"/>
  <c r="BE89" i="288"/>
  <c r="BE39" i="311"/>
  <c r="BE49" i="314"/>
  <c r="BE51" i="314"/>
  <c r="BE53" i="314"/>
  <c r="BE54" i="314"/>
  <c r="BE64" i="314"/>
  <c r="BE66" i="314"/>
  <c r="BE56" i="314"/>
  <c r="BE58" i="314"/>
  <c r="BE80" i="311"/>
  <c r="BI81" i="315"/>
  <c r="BJ160" i="314"/>
  <c r="BI107" i="315"/>
  <c r="BJ116" i="314"/>
  <c r="BJ119" i="314"/>
  <c r="BJ140" i="314"/>
  <c r="BI503" i="321"/>
  <c r="BI504" i="321"/>
  <c r="BE60" i="314"/>
  <c r="BE62" i="314"/>
  <c r="BE67" i="314"/>
  <c r="BE82" i="314"/>
  <c r="BE79" i="265"/>
  <c r="BE73" i="314"/>
  <c r="BE75" i="314"/>
  <c r="BI507" i="321"/>
  <c r="BI508" i="321"/>
  <c r="BI517" i="321"/>
  <c r="BJ122" i="314"/>
  <c r="BJ124" i="314"/>
  <c r="BJ149" i="314"/>
  <c r="BJ150" i="314"/>
  <c r="BJ153" i="314"/>
  <c r="BJ144" i="314"/>
  <c r="BI513" i="321"/>
  <c r="BI514" i="321"/>
  <c r="BI518" i="321"/>
  <c r="BI519" i="321"/>
  <c r="BI522" i="321"/>
  <c r="BI523" i="321"/>
  <c r="BI509" i="321"/>
  <c r="BI199" i="288"/>
  <c r="BI193" i="288"/>
  <c r="BE80" i="265"/>
  <c r="BE83" i="314"/>
  <c r="BE84" i="314"/>
  <c r="BE82" i="265"/>
  <c r="BE85" i="265"/>
  <c r="BF81" i="314"/>
  <c r="BE111" i="265"/>
  <c r="BE60" i="328"/>
  <c r="BE87" i="314"/>
  <c r="BE90" i="314"/>
  <c r="BI83" i="315"/>
  <c r="BI531" i="321"/>
  <c r="BI524" i="321"/>
  <c r="BI200" i="288"/>
  <c r="BI530" i="321"/>
  <c r="BI532" i="321"/>
  <c r="BJ527" i="321"/>
  <c r="BI120" i="315"/>
  <c r="BI84" i="315"/>
  <c r="BI85" i="315"/>
  <c r="BF37" i="314"/>
  <c r="BF40" i="314"/>
  <c r="BF61" i="314"/>
  <c r="BE459" i="321"/>
  <c r="BE460" i="321"/>
  <c r="BE463" i="321"/>
  <c r="BE464" i="321"/>
  <c r="BE473" i="321"/>
  <c r="BF43" i="314"/>
  <c r="BF45" i="314"/>
  <c r="BF70" i="314"/>
  <c r="BF71" i="314"/>
  <c r="BI87" i="286"/>
  <c r="BI88" i="286"/>
  <c r="BJ496" i="321"/>
  <c r="BJ498" i="321"/>
  <c r="BJ521" i="321"/>
  <c r="BJ499" i="321"/>
  <c r="BJ103" i="282"/>
  <c r="BJ108" i="282"/>
  <c r="BJ512" i="321"/>
  <c r="BJ506" i="321"/>
  <c r="BI91" i="286"/>
  <c r="BI93" i="286"/>
  <c r="BI104" i="286"/>
  <c r="BF74" i="314"/>
  <c r="BF65" i="314"/>
  <c r="BE469" i="321"/>
  <c r="BE470" i="321"/>
  <c r="BE474" i="321"/>
  <c r="BE475" i="321"/>
  <c r="BE478" i="321"/>
  <c r="BE479" i="321"/>
  <c r="BE465" i="321"/>
  <c r="BE49" i="288"/>
  <c r="BE43" i="288"/>
  <c r="BE23" i="328"/>
  <c r="BE87" i="265"/>
  <c r="BE487" i="321"/>
  <c r="BE480" i="321"/>
  <c r="BE50" i="288"/>
  <c r="BE24" i="328"/>
  <c r="BE486" i="321"/>
  <c r="BE488" i="321"/>
  <c r="BI94" i="286"/>
  <c r="BI105" i="286"/>
  <c r="BI106" i="286"/>
  <c r="BI109" i="286"/>
  <c r="BI111" i="286"/>
  <c r="BI98" i="286"/>
  <c r="BI99" i="286"/>
  <c r="BI201" i="288"/>
  <c r="BJ116" i="282"/>
  <c r="BJ25" i="315"/>
  <c r="BJ27" i="315"/>
  <c r="BJ112" i="282"/>
  <c r="BJ117" i="282"/>
  <c r="BJ96" i="286"/>
  <c r="BI122" i="315"/>
  <c r="BI112" i="286"/>
  <c r="BI116" i="286"/>
  <c r="BI117" i="286"/>
  <c r="BI202" i="288"/>
  <c r="BI87" i="315"/>
  <c r="BF483" i="321"/>
  <c r="BE124" i="265"/>
  <c r="BE88" i="265"/>
  <c r="BE89" i="265"/>
  <c r="BE10" i="286"/>
  <c r="BE11" i="286"/>
  <c r="BF452" i="321"/>
  <c r="BF454" i="321"/>
  <c r="BF477" i="321"/>
  <c r="BJ114" i="286"/>
  <c r="BI123" i="315"/>
  <c r="BI88" i="315"/>
  <c r="BI89" i="315"/>
  <c r="BJ90" i="286"/>
  <c r="BJ120" i="282"/>
  <c r="BJ121" i="282"/>
  <c r="BJ123" i="282"/>
  <c r="BJ124" i="282"/>
  <c r="BJ136" i="282"/>
  <c r="BJ130" i="282"/>
  <c r="BJ126" i="282"/>
  <c r="BJ128" i="282"/>
  <c r="BI131" i="286"/>
  <c r="BI143" i="286"/>
  <c r="BI144" i="286"/>
  <c r="BI147" i="286"/>
  <c r="BI148" i="286"/>
  <c r="BJ108" i="286"/>
  <c r="BF455" i="321"/>
  <c r="BF35" i="282"/>
  <c r="BF40" i="282"/>
  <c r="BF468" i="321"/>
  <c r="BF462" i="321"/>
  <c r="BE14" i="286"/>
  <c r="BE16" i="286"/>
  <c r="BE27" i="286"/>
  <c r="BE17" i="286"/>
  <c r="BE28" i="286"/>
  <c r="BE29" i="286"/>
  <c r="BE32" i="286"/>
  <c r="BE34" i="286"/>
  <c r="BE21" i="286"/>
  <c r="BE22" i="286"/>
  <c r="BE51" i="288"/>
  <c r="BF48" i="282"/>
  <c r="BF27" i="265"/>
  <c r="BI132" i="286"/>
  <c r="BI124" i="286"/>
  <c r="BI125" i="286"/>
  <c r="BI198" i="288"/>
  <c r="BI192" i="288"/>
  <c r="BI194" i="288"/>
  <c r="BI149" i="286"/>
  <c r="BI133" i="286"/>
  <c r="BJ131" i="282"/>
  <c r="BJ137" i="282"/>
  <c r="BJ132" i="282"/>
  <c r="BJ138" i="282"/>
  <c r="BK135" i="282"/>
  <c r="BK127" i="282"/>
  <c r="BJ143" i="282"/>
  <c r="BJ144" i="282"/>
  <c r="BJ130" i="286"/>
  <c r="BI103" i="315"/>
  <c r="BI108" i="315"/>
  <c r="BI110" i="315"/>
  <c r="BI130" i="315"/>
  <c r="BI33" i="315"/>
  <c r="BI34" i="315"/>
  <c r="BI91" i="315"/>
  <c r="BI92" i="315"/>
  <c r="BI197" i="288"/>
  <c r="BI204" i="288"/>
  <c r="BJ122" i="286"/>
  <c r="BI124" i="315"/>
  <c r="BI125" i="315"/>
  <c r="BI131" i="315"/>
  <c r="BF29" i="265"/>
  <c r="AH27" i="277"/>
  <c r="BF19" i="286"/>
  <c r="BE126" i="265"/>
  <c r="BE35" i="286"/>
  <c r="BE39" i="286"/>
  <c r="BE40" i="286"/>
  <c r="BE52" i="288"/>
  <c r="BE91" i="265"/>
  <c r="BF37" i="286"/>
  <c r="BE127" i="265"/>
  <c r="BE92" i="265"/>
  <c r="BE93" i="265"/>
  <c r="BF13" i="286"/>
  <c r="AH29" i="277"/>
  <c r="BF44" i="282"/>
  <c r="BF49" i="282"/>
  <c r="BJ138" i="286"/>
  <c r="BI207" i="288"/>
  <c r="BI133" i="315"/>
  <c r="BI132" i="315"/>
  <c r="BJ502" i="321"/>
  <c r="BJ127" i="314"/>
  <c r="BJ86" i="286"/>
  <c r="BJ142" i="286"/>
  <c r="BJ145" i="282"/>
  <c r="BJ44" i="315"/>
  <c r="BJ45" i="315"/>
  <c r="BJ29" i="315"/>
  <c r="BJ31" i="315"/>
  <c r="BF52" i="282"/>
  <c r="BF53" i="282"/>
  <c r="BF55" i="282"/>
  <c r="BF56" i="282"/>
  <c r="BE54" i="286"/>
  <c r="BE75" i="286"/>
  <c r="BE76" i="286"/>
  <c r="BE79" i="286"/>
  <c r="BE80" i="286"/>
  <c r="BF31" i="286"/>
  <c r="BE55" i="286"/>
  <c r="BE47" i="286"/>
  <c r="BE48" i="286"/>
  <c r="BE48" i="288"/>
  <c r="BE42" i="288"/>
  <c r="BE44" i="288"/>
  <c r="BE81" i="286"/>
  <c r="BE25" i="328"/>
  <c r="BE56" i="286"/>
  <c r="BF68" i="282"/>
  <c r="BF62" i="282"/>
  <c r="BF58" i="282"/>
  <c r="BF60" i="282"/>
  <c r="BJ139" i="286"/>
  <c r="BJ140" i="286"/>
  <c r="BJ146" i="286"/>
  <c r="BJ123" i="286"/>
  <c r="BJ177" i="288"/>
  <c r="BJ179" i="288"/>
  <c r="BJ63" i="315"/>
  <c r="BJ73" i="315"/>
  <c r="BJ263" i="288"/>
  <c r="BJ235" i="288"/>
  <c r="BJ215" i="288"/>
  <c r="BJ182" i="288"/>
  <c r="BF63" i="282"/>
  <c r="BF69" i="282"/>
  <c r="BF64" i="282"/>
  <c r="BF70" i="282"/>
  <c r="BG67" i="282"/>
  <c r="BF53" i="286"/>
  <c r="BE58" i="286"/>
  <c r="BE64" i="286"/>
  <c r="BE107" i="265"/>
  <c r="BE35" i="265"/>
  <c r="BE95" i="265"/>
  <c r="BE47" i="288"/>
  <c r="BE54" i="288"/>
  <c r="BF45" i="286"/>
  <c r="BE128" i="265"/>
  <c r="BE129" i="265"/>
  <c r="BE135" i="265"/>
  <c r="BF70" i="286"/>
  <c r="BE57" i="288"/>
  <c r="BE96" i="265"/>
  <c r="BE36" i="265"/>
  <c r="BE59" i="328"/>
  <c r="BE112" i="265"/>
  <c r="BE114" i="265"/>
  <c r="BE134" i="265"/>
  <c r="BF458" i="321"/>
  <c r="BF48" i="314"/>
  <c r="BF9" i="286"/>
  <c r="BF74" i="286"/>
  <c r="BG59" i="282"/>
  <c r="BF75" i="282"/>
  <c r="BF76" i="282"/>
  <c r="BJ237" i="288"/>
  <c r="BJ239" i="288"/>
  <c r="BJ128" i="314"/>
  <c r="BJ130" i="314"/>
  <c r="BJ132" i="314"/>
  <c r="BJ133" i="314"/>
  <c r="BJ143" i="314"/>
  <c r="BJ145" i="314"/>
  <c r="BJ135" i="314"/>
  <c r="BJ137" i="314"/>
  <c r="BF77" i="282"/>
  <c r="BE137" i="265"/>
  <c r="BE136" i="265"/>
  <c r="BF46" i="265"/>
  <c r="BF31" i="265"/>
  <c r="BJ139" i="314"/>
  <c r="BJ141" i="314"/>
  <c r="BJ146" i="314"/>
  <c r="BJ161" i="314"/>
  <c r="BJ75" i="315"/>
  <c r="BJ152" i="314"/>
  <c r="BJ154" i="314"/>
  <c r="AH31" i="277"/>
  <c r="BF33" i="265"/>
  <c r="BF47" i="265"/>
  <c r="AH46" i="277"/>
  <c r="AH47" i="277"/>
  <c r="BF27" i="288"/>
  <c r="BF29" i="288"/>
  <c r="BF65" i="265"/>
  <c r="BF71" i="286"/>
  <c r="BF72" i="286"/>
  <c r="BF78" i="286"/>
  <c r="BF46" i="286"/>
  <c r="AH33" i="277"/>
  <c r="BJ76" i="315"/>
  <c r="BJ162" i="314"/>
  <c r="BJ163" i="314"/>
  <c r="BJ78" i="315"/>
  <c r="BJ81" i="315"/>
  <c r="BK160" i="314"/>
  <c r="BJ107" i="315"/>
  <c r="BF77" i="265"/>
  <c r="BF113" i="288"/>
  <c r="BF10" i="321"/>
  <c r="BF12" i="321"/>
  <c r="BF85" i="288"/>
  <c r="BF20" i="328"/>
  <c r="AH40" i="328"/>
  <c r="BF65" i="288"/>
  <c r="BF32" i="288"/>
  <c r="AH65" i="277"/>
  <c r="AH77" i="277"/>
  <c r="BF87" i="288"/>
  <c r="BF89" i="288"/>
  <c r="BF39" i="311"/>
  <c r="BF49" i="314"/>
  <c r="BF51" i="314"/>
  <c r="BK116" i="314"/>
  <c r="BK119" i="314"/>
  <c r="BK140" i="314"/>
  <c r="BJ503" i="321"/>
  <c r="BJ504" i="321"/>
  <c r="BJ507" i="321"/>
  <c r="BJ508" i="321"/>
  <c r="BJ517" i="321"/>
  <c r="BK122" i="314"/>
  <c r="BK124" i="314"/>
  <c r="BK149" i="314"/>
  <c r="BK150" i="314"/>
  <c r="BF53" i="314"/>
  <c r="BF54" i="314"/>
  <c r="BF64" i="314"/>
  <c r="BF66" i="314"/>
  <c r="BF56" i="314"/>
  <c r="BF58" i="314"/>
  <c r="BF80" i="311"/>
  <c r="BF60" i="314"/>
  <c r="BF62" i="314"/>
  <c r="BF67" i="314"/>
  <c r="BF82" i="314"/>
  <c r="BK153" i="314"/>
  <c r="BK144" i="314"/>
  <c r="BJ513" i="321"/>
  <c r="BJ514" i="321"/>
  <c r="BJ518" i="321"/>
  <c r="BJ519" i="321"/>
  <c r="BJ522" i="321"/>
  <c r="BJ523" i="321"/>
  <c r="BJ509" i="321"/>
  <c r="BJ199" i="288"/>
  <c r="BJ193" i="288"/>
  <c r="BJ83" i="315"/>
  <c r="BJ531" i="321"/>
  <c r="BJ524" i="321"/>
  <c r="BJ200" i="288"/>
  <c r="BJ530" i="321"/>
  <c r="BJ532" i="321"/>
  <c r="BF79" i="265"/>
  <c r="BF73" i="314"/>
  <c r="BF75" i="314"/>
  <c r="BF80" i="265"/>
  <c r="AH80" i="277"/>
  <c r="BF83" i="314"/>
  <c r="BF84" i="314"/>
  <c r="AH79" i="277"/>
  <c r="BF82" i="265"/>
  <c r="BK527" i="321"/>
  <c r="BJ120" i="315"/>
  <c r="BJ84" i="315"/>
  <c r="BJ85" i="315"/>
  <c r="BJ87" i="286"/>
  <c r="BJ88" i="286"/>
  <c r="BK496" i="321"/>
  <c r="BK498" i="321"/>
  <c r="BK521" i="321"/>
  <c r="BF85" i="265"/>
  <c r="AH82" i="277"/>
  <c r="BG81" i="314"/>
  <c r="BF111" i="265"/>
  <c r="BF87" i="314"/>
  <c r="BF90" i="314"/>
  <c r="BF60" i="328"/>
  <c r="AH71" i="328"/>
  <c r="AH111" i="277"/>
  <c r="BG37" i="314"/>
  <c r="BG40" i="314"/>
  <c r="BG61" i="314"/>
  <c r="AH85" i="277"/>
  <c r="BF459" i="321"/>
  <c r="BF460" i="321"/>
  <c r="BK499" i="321"/>
  <c r="BK103" i="282"/>
  <c r="BK108" i="282"/>
  <c r="BK512" i="321"/>
  <c r="BK506" i="321"/>
  <c r="BJ91" i="286"/>
  <c r="BJ93" i="286"/>
  <c r="BJ104" i="286"/>
  <c r="BJ94" i="286"/>
  <c r="BJ105" i="286"/>
  <c r="BJ106" i="286"/>
  <c r="BJ109" i="286"/>
  <c r="BJ111" i="286"/>
  <c r="BJ98" i="286"/>
  <c r="BJ99" i="286"/>
  <c r="BJ201" i="288"/>
  <c r="BK116" i="282"/>
  <c r="BK25" i="315"/>
  <c r="BK27" i="315"/>
  <c r="BF463" i="321"/>
  <c r="BF464" i="321"/>
  <c r="BF473" i="321"/>
  <c r="BG43" i="314"/>
  <c r="BG45" i="314"/>
  <c r="BG70" i="314"/>
  <c r="BG71" i="314"/>
  <c r="BG74" i="314"/>
  <c r="BG65" i="314"/>
  <c r="BF469" i="321"/>
  <c r="BF470" i="321"/>
  <c r="BF474" i="321"/>
  <c r="BF475" i="321"/>
  <c r="BF478" i="321"/>
  <c r="BF479" i="321"/>
  <c r="BF465" i="321"/>
  <c r="BF49" i="288"/>
  <c r="BF43" i="288"/>
  <c r="BF23" i="328"/>
  <c r="AH43" i="328"/>
  <c r="BK112" i="282"/>
  <c r="BK117" i="282"/>
  <c r="BK96" i="286"/>
  <c r="BJ122" i="315"/>
  <c r="BJ112" i="286"/>
  <c r="BJ116" i="286"/>
  <c r="BJ117" i="286"/>
  <c r="BJ202" i="288"/>
  <c r="BJ87" i="315"/>
  <c r="BK114" i="286"/>
  <c r="BJ123" i="315"/>
  <c r="BJ88" i="315"/>
  <c r="BJ89" i="315"/>
  <c r="BK90" i="286"/>
  <c r="BK120" i="282"/>
  <c r="BK121" i="282"/>
  <c r="BK123" i="282"/>
  <c r="BK124" i="282"/>
  <c r="BF87" i="265"/>
  <c r="BF487" i="321"/>
  <c r="BF480" i="321"/>
  <c r="BF50" i="288"/>
  <c r="BF24" i="328"/>
  <c r="AH44" i="328"/>
  <c r="BF486" i="321"/>
  <c r="BF488" i="321"/>
  <c r="BG483" i="321"/>
  <c r="BF124" i="265"/>
  <c r="BF88" i="265"/>
  <c r="AH88" i="277"/>
  <c r="AH87" i="277"/>
  <c r="BF89" i="265"/>
  <c r="BK136" i="282"/>
  <c r="BK130" i="282"/>
  <c r="BK126" i="282"/>
  <c r="BK128" i="282"/>
  <c r="BJ131" i="286"/>
  <c r="BJ143" i="286"/>
  <c r="BJ144" i="286"/>
  <c r="BJ147" i="286"/>
  <c r="BJ148" i="286"/>
  <c r="BK108" i="286"/>
  <c r="BJ132" i="286"/>
  <c r="BJ124" i="286"/>
  <c r="BJ125" i="286"/>
  <c r="BJ198" i="288"/>
  <c r="BJ192" i="288"/>
  <c r="BJ194" i="288"/>
  <c r="BJ149" i="286"/>
  <c r="BJ133" i="286"/>
  <c r="BK131" i="282"/>
  <c r="BK137" i="282"/>
  <c r="BK132" i="282"/>
  <c r="BK138" i="282"/>
  <c r="BL135" i="282"/>
  <c r="BF10" i="286"/>
  <c r="BF11" i="286"/>
  <c r="AH89" i="277"/>
  <c r="AH124" i="277"/>
  <c r="BG452" i="321"/>
  <c r="BG454" i="321"/>
  <c r="BG477" i="321"/>
  <c r="BG455" i="321"/>
  <c r="BG35" i="282"/>
  <c r="BG40" i="282"/>
  <c r="BG468" i="321"/>
  <c r="BG462" i="321"/>
  <c r="BF14" i="286"/>
  <c r="BF16" i="286"/>
  <c r="BF27" i="286"/>
  <c r="BL127" i="282"/>
  <c r="BK143" i="282"/>
  <c r="BK144" i="282"/>
  <c r="BK130" i="286"/>
  <c r="BJ103" i="315"/>
  <c r="BJ108" i="315"/>
  <c r="BJ110" i="315"/>
  <c r="BJ130" i="315"/>
  <c r="BJ33" i="315"/>
  <c r="BJ34" i="315"/>
  <c r="BJ91" i="315"/>
  <c r="BJ92" i="315"/>
  <c r="BJ197" i="288"/>
  <c r="BJ204" i="288"/>
  <c r="BK122" i="286"/>
  <c r="BJ124" i="315"/>
  <c r="BJ125" i="315"/>
  <c r="BJ131" i="315"/>
  <c r="BK138" i="286"/>
  <c r="BJ207" i="288"/>
  <c r="BJ133" i="315"/>
  <c r="BJ132" i="315"/>
  <c r="BK502" i="321"/>
  <c r="BK127" i="314"/>
  <c r="BK86" i="286"/>
  <c r="BK142" i="286"/>
  <c r="BK145" i="282"/>
  <c r="BF17" i="286"/>
  <c r="BF28" i="286"/>
  <c r="BF29" i="286"/>
  <c r="BF32" i="286"/>
  <c r="BF34" i="286"/>
  <c r="BF21" i="286"/>
  <c r="BF22" i="286"/>
  <c r="BF51" i="288"/>
  <c r="BG48" i="282"/>
  <c r="BG27" i="265"/>
  <c r="BG29" i="265"/>
  <c r="BG19" i="286"/>
  <c r="BF126" i="265"/>
  <c r="BF35" i="286"/>
  <c r="BF39" i="286"/>
  <c r="BF40" i="286"/>
  <c r="BF52" i="288"/>
  <c r="BF91" i="265"/>
  <c r="BK44" i="315"/>
  <c r="BK45" i="315"/>
  <c r="BK29" i="315"/>
  <c r="BK31" i="315"/>
  <c r="BK139" i="286"/>
  <c r="BK140" i="286"/>
  <c r="BK146" i="286"/>
  <c r="BK123" i="286"/>
  <c r="BK177" i="288"/>
  <c r="BK179" i="288"/>
  <c r="BK63" i="315"/>
  <c r="AH91" i="277"/>
  <c r="BG37" i="286"/>
  <c r="BF127" i="265"/>
  <c r="AH127" i="277"/>
  <c r="BF92" i="265"/>
  <c r="BF93" i="265"/>
  <c r="AH126" i="277"/>
  <c r="BG13" i="286"/>
  <c r="BG44" i="282"/>
  <c r="BG49" i="282"/>
  <c r="BG52" i="282"/>
  <c r="BG53" i="282"/>
  <c r="BG55" i="282"/>
  <c r="BG56" i="282"/>
  <c r="BF54" i="286"/>
  <c r="BF75" i="286"/>
  <c r="BF76" i="286"/>
  <c r="BF79" i="286"/>
  <c r="BF80" i="286"/>
  <c r="BG31" i="286"/>
  <c r="AH93" i="277"/>
  <c r="BK73" i="315"/>
  <c r="BK263" i="288"/>
  <c r="BK235" i="288"/>
  <c r="BK215" i="288"/>
  <c r="BK182" i="288"/>
  <c r="BK237" i="288"/>
  <c r="BK239" i="288"/>
  <c r="BK128" i="314"/>
  <c r="BK130" i="314"/>
  <c r="BF55" i="286"/>
  <c r="BF47" i="286"/>
  <c r="BF48" i="286"/>
  <c r="BF48" i="288"/>
  <c r="BF42" i="288"/>
  <c r="BF44" i="288"/>
  <c r="BF81" i="286"/>
  <c r="BF25" i="328"/>
  <c r="AH45" i="328"/>
  <c r="BF56" i="286"/>
  <c r="BG68" i="282"/>
  <c r="BG62" i="282"/>
  <c r="BG58" i="282"/>
  <c r="BG60" i="282"/>
  <c r="BG63" i="282"/>
  <c r="BG69" i="282"/>
  <c r="BG64" i="282"/>
  <c r="BG70" i="282"/>
  <c r="BH67" i="282"/>
  <c r="BG53" i="286"/>
  <c r="BF58" i="286"/>
  <c r="BF64" i="286"/>
  <c r="BF107" i="265"/>
  <c r="BF35" i="265"/>
  <c r="BF95" i="265"/>
  <c r="BF47" i="288"/>
  <c r="BF54" i="288"/>
  <c r="BG45" i="286"/>
  <c r="BF128" i="265"/>
  <c r="BK132" i="314"/>
  <c r="BK133" i="314"/>
  <c r="BK143" i="314"/>
  <c r="BK145" i="314"/>
  <c r="BK135" i="314"/>
  <c r="BK137" i="314"/>
  <c r="BK139" i="314"/>
  <c r="BK141" i="314"/>
  <c r="BK146" i="314"/>
  <c r="BK161" i="314"/>
  <c r="AH128" i="277"/>
  <c r="AH129" i="277"/>
  <c r="AH135" i="277"/>
  <c r="BF129" i="265"/>
  <c r="BF135" i="265"/>
  <c r="BG70" i="286"/>
  <c r="BF57" i="288"/>
  <c r="AH95" i="277"/>
  <c r="BF96" i="265"/>
  <c r="AH35" i="277"/>
  <c r="BF36" i="265"/>
  <c r="BF59" i="328"/>
  <c r="AH70" i="328"/>
  <c r="AH107" i="277"/>
  <c r="AH112" i="277"/>
  <c r="AH114" i="277"/>
  <c r="AH134" i="277"/>
  <c r="BF112" i="265"/>
  <c r="BF114" i="265"/>
  <c r="BF134" i="265"/>
  <c r="BG458" i="321"/>
  <c r="BG48" i="314"/>
  <c r="BG9" i="286"/>
  <c r="BG74" i="286"/>
  <c r="BH59" i="282"/>
  <c r="BG75" i="282"/>
  <c r="BG76" i="282"/>
  <c r="BG77" i="282"/>
  <c r="BF137" i="265"/>
  <c r="BF136" i="265"/>
  <c r="AH137" i="277"/>
  <c r="AH136" i="277"/>
  <c r="AH36" i="277"/>
  <c r="AH96" i="277"/>
  <c r="BK75" i="315"/>
  <c r="BK152" i="314"/>
  <c r="BK154" i="314"/>
  <c r="BK76" i="315"/>
  <c r="BK162" i="314"/>
  <c r="BK163" i="314"/>
  <c r="BK78" i="315"/>
  <c r="BG46" i="265"/>
  <c r="BG31" i="265"/>
  <c r="BG33" i="265"/>
  <c r="BG47" i="265"/>
  <c r="BK81" i="315"/>
  <c r="BL160" i="314"/>
  <c r="BK107" i="315"/>
  <c r="BL116" i="314"/>
  <c r="BL119" i="314"/>
  <c r="BL140" i="314"/>
  <c r="BK503" i="321"/>
  <c r="BK504" i="321"/>
  <c r="BG27" i="288"/>
  <c r="BG29" i="288"/>
  <c r="BG65" i="265"/>
  <c r="BG71" i="286"/>
  <c r="BG72" i="286"/>
  <c r="BG78" i="286"/>
  <c r="BG46" i="286"/>
  <c r="BG77" i="265"/>
  <c r="BG113" i="288"/>
  <c r="BG10" i="321"/>
  <c r="BG12" i="321"/>
  <c r="BG85" i="288"/>
  <c r="BG20" i="328"/>
  <c r="BG65" i="288"/>
  <c r="BG32" i="288"/>
  <c r="BK507" i="321"/>
  <c r="BK508" i="321"/>
  <c r="BK517" i="321"/>
  <c r="BL122" i="314"/>
  <c r="BL124" i="314"/>
  <c r="BL149" i="314"/>
  <c r="BL150" i="314"/>
  <c r="BL153" i="314"/>
  <c r="BL144" i="314"/>
  <c r="BK513" i="321"/>
  <c r="BK514" i="321"/>
  <c r="BK518" i="321"/>
  <c r="BK519" i="321"/>
  <c r="BK522" i="321"/>
  <c r="BK523" i="321"/>
  <c r="BK509" i="321"/>
  <c r="BK199" i="288"/>
  <c r="BK193" i="288"/>
  <c r="BG87" i="288"/>
  <c r="BG89" i="288"/>
  <c r="BG39" i="311"/>
  <c r="BG49" i="314"/>
  <c r="BG51" i="314"/>
  <c r="BG53" i="314"/>
  <c r="BG54" i="314"/>
  <c r="BG64" i="314"/>
  <c r="BG66" i="314"/>
  <c r="BG56" i="314"/>
  <c r="BG58" i="314"/>
  <c r="BG80" i="311"/>
  <c r="BK83" i="315"/>
  <c r="BK531" i="321"/>
  <c r="BK524" i="321"/>
  <c r="BK200" i="288"/>
  <c r="BK530" i="321"/>
  <c r="BK532" i="321"/>
  <c r="BL527" i="321"/>
  <c r="BK120" i="315"/>
  <c r="BK84" i="315"/>
  <c r="BK85" i="315"/>
  <c r="BG60" i="314"/>
  <c r="BG62" i="314"/>
  <c r="BG67" i="314"/>
  <c r="BG82" i="314"/>
  <c r="BG79" i="265"/>
  <c r="BG73" i="314"/>
  <c r="BG75" i="314"/>
  <c r="BK87" i="286"/>
  <c r="BK88" i="286"/>
  <c r="BL496" i="321"/>
  <c r="BL498" i="321"/>
  <c r="BL521" i="321"/>
  <c r="BL499" i="321"/>
  <c r="BL103" i="282"/>
  <c r="BL108" i="282"/>
  <c r="BL512" i="321"/>
  <c r="BL506" i="321"/>
  <c r="BK91" i="286"/>
  <c r="BK93" i="286"/>
  <c r="BK104" i="286"/>
  <c r="BG80" i="265"/>
  <c r="BG83" i="314"/>
  <c r="BG84" i="314"/>
  <c r="BG82" i="265"/>
  <c r="BG85" i="265"/>
  <c r="BH81" i="314"/>
  <c r="BG111" i="265"/>
  <c r="BG60" i="328"/>
  <c r="BG87" i="314"/>
  <c r="BG90" i="314"/>
  <c r="BK94" i="286"/>
  <c r="BK105" i="286"/>
  <c r="BK106" i="286"/>
  <c r="BK109" i="286"/>
  <c r="BK111" i="286"/>
  <c r="BK98" i="286"/>
  <c r="BK99" i="286"/>
  <c r="BK201" i="288"/>
  <c r="BL116" i="282"/>
  <c r="BL25" i="315"/>
  <c r="BL27" i="315"/>
  <c r="BL112" i="282"/>
  <c r="BL117" i="282"/>
  <c r="BL96" i="286"/>
  <c r="BK122" i="315"/>
  <c r="BK112" i="286"/>
  <c r="BK116" i="286"/>
  <c r="BK117" i="286"/>
  <c r="BK202" i="288"/>
  <c r="BK87" i="315"/>
  <c r="BH37" i="314"/>
  <c r="BH40" i="314"/>
  <c r="BH61" i="314"/>
  <c r="BG459" i="321"/>
  <c r="BG460" i="321"/>
  <c r="BG463" i="321"/>
  <c r="BG464" i="321"/>
  <c r="BG473" i="321"/>
  <c r="BH43" i="314"/>
  <c r="BH45" i="314"/>
  <c r="BH70" i="314"/>
  <c r="BH71" i="314"/>
  <c r="BL114" i="286"/>
  <c r="BK123" i="315"/>
  <c r="BK88" i="315"/>
  <c r="BK89" i="315"/>
  <c r="BL90" i="286"/>
  <c r="BL120" i="282"/>
  <c r="BL121" i="282"/>
  <c r="BL123" i="282"/>
  <c r="BL124" i="282"/>
  <c r="BL136" i="282"/>
  <c r="BL130" i="282"/>
  <c r="BL126" i="282"/>
  <c r="BL128" i="282"/>
  <c r="BK131" i="286"/>
  <c r="BK143" i="286"/>
  <c r="BK144" i="286"/>
  <c r="BK147" i="286"/>
  <c r="BK148" i="286"/>
  <c r="BL108" i="286"/>
  <c r="BH74" i="314"/>
  <c r="BH65" i="314"/>
  <c r="BG469" i="321"/>
  <c r="BG470" i="321"/>
  <c r="BG474" i="321"/>
  <c r="BG475" i="321"/>
  <c r="BG478" i="321"/>
  <c r="BG479" i="321"/>
  <c r="BG465" i="321"/>
  <c r="BG49" i="288"/>
  <c r="BG43" i="288"/>
  <c r="BG23" i="328"/>
  <c r="BG87" i="265"/>
  <c r="BG487" i="321"/>
  <c r="BG480" i="321"/>
  <c r="BG50" i="288"/>
  <c r="BG24" i="328"/>
  <c r="BG486" i="321"/>
  <c r="BG488" i="321"/>
  <c r="BK132" i="286"/>
  <c r="BK124" i="286"/>
  <c r="BK125" i="286"/>
  <c r="BK198" i="288"/>
  <c r="BK192" i="288"/>
  <c r="BK194" i="288"/>
  <c r="BK149" i="286"/>
  <c r="BK133" i="286"/>
  <c r="BL131" i="282"/>
  <c r="BL137" i="282"/>
  <c r="BL132" i="282"/>
  <c r="BL138" i="282"/>
  <c r="BM135" i="282"/>
  <c r="BM127" i="282"/>
  <c r="BL143" i="282"/>
  <c r="BL144" i="282"/>
  <c r="BL130" i="286"/>
  <c r="BK103" i="315"/>
  <c r="BK108" i="315"/>
  <c r="BK110" i="315"/>
  <c r="BK130" i="315"/>
  <c r="BK33" i="315"/>
  <c r="BK34" i="315"/>
  <c r="BK91" i="315"/>
  <c r="BK92" i="315"/>
  <c r="BK197" i="288"/>
  <c r="BK204" i="288"/>
  <c r="BL122" i="286"/>
  <c r="BK124" i="315"/>
  <c r="BK125" i="315"/>
  <c r="BK131" i="315"/>
  <c r="BH483" i="321"/>
  <c r="BG124" i="265"/>
  <c r="BG88" i="265"/>
  <c r="BG89" i="265"/>
  <c r="BG10" i="286"/>
  <c r="BG11" i="286"/>
  <c r="BH452" i="321"/>
  <c r="BH454" i="321"/>
  <c r="BH477" i="321"/>
  <c r="BL138" i="286"/>
  <c r="BK207" i="288"/>
  <c r="BK133" i="315"/>
  <c r="BK132" i="315"/>
  <c r="BL502" i="321"/>
  <c r="BL127" i="314"/>
  <c r="BL86" i="286"/>
  <c r="BL142" i="286"/>
  <c r="BL145" i="282"/>
  <c r="BL44" i="315"/>
  <c r="BL45" i="315"/>
  <c r="BL29" i="315"/>
  <c r="BL31" i="315"/>
  <c r="BH455" i="321"/>
  <c r="BH35" i="282"/>
  <c r="BH40" i="282"/>
  <c r="BH468" i="321"/>
  <c r="BH462" i="321"/>
  <c r="BG14" i="286"/>
  <c r="BG16" i="286"/>
  <c r="BG27" i="286"/>
  <c r="BG17" i="286"/>
  <c r="BG28" i="286"/>
  <c r="BG29" i="286"/>
  <c r="BG32" i="286"/>
  <c r="BG34" i="286"/>
  <c r="BG21" i="286"/>
  <c r="BG22" i="286"/>
  <c r="BG51" i="288"/>
  <c r="BH48" i="282"/>
  <c r="BH27" i="265"/>
  <c r="BL139" i="286"/>
  <c r="BL140" i="286"/>
  <c r="BL146" i="286"/>
  <c r="BL123" i="286"/>
  <c r="BL177" i="288"/>
  <c r="BL179" i="288"/>
  <c r="BL63" i="315"/>
  <c r="BL73" i="315"/>
  <c r="BL263" i="288"/>
  <c r="BL235" i="288"/>
  <c r="BL215" i="288"/>
  <c r="BL182" i="288"/>
  <c r="BH29" i="265"/>
  <c r="AI27" i="277"/>
  <c r="BH19" i="286"/>
  <c r="BG126" i="265"/>
  <c r="BG35" i="286"/>
  <c r="BG39" i="286"/>
  <c r="BG40" i="286"/>
  <c r="BG52" i="288"/>
  <c r="BG91" i="265"/>
  <c r="BH37" i="286"/>
  <c r="BG127" i="265"/>
  <c r="BG92" i="265"/>
  <c r="BG93" i="265"/>
  <c r="BH13" i="286"/>
  <c r="AI29" i="277"/>
  <c r="BH44" i="282"/>
  <c r="BH49" i="282"/>
  <c r="BL237" i="288"/>
  <c r="BL239" i="288"/>
  <c r="BL128" i="314"/>
  <c r="BL130" i="314"/>
  <c r="BL132" i="314"/>
  <c r="BL133" i="314"/>
  <c r="BL143" i="314"/>
  <c r="BL145" i="314"/>
  <c r="BL135" i="314"/>
  <c r="BL137" i="314"/>
  <c r="BH52" i="282"/>
  <c r="BH53" i="282"/>
  <c r="BH55" i="282"/>
  <c r="BH56" i="282"/>
  <c r="BG54" i="286"/>
  <c r="BG75" i="286"/>
  <c r="BG76" i="286"/>
  <c r="BG79" i="286"/>
  <c r="BG80" i="286"/>
  <c r="BH31" i="286"/>
  <c r="BG55" i="286"/>
  <c r="BG47" i="286"/>
  <c r="BG48" i="286"/>
  <c r="BG48" i="288"/>
  <c r="BG42" i="288"/>
  <c r="BG44" i="288"/>
  <c r="BG81" i="286"/>
  <c r="BG25" i="328"/>
  <c r="BG56" i="286"/>
  <c r="BH68" i="282"/>
  <c r="BH62" i="282"/>
  <c r="BH58" i="282"/>
  <c r="BH60" i="282"/>
  <c r="BL139" i="314"/>
  <c r="BL141" i="314"/>
  <c r="BL146" i="314"/>
  <c r="BL161" i="314"/>
  <c r="BL75" i="315"/>
  <c r="BL152" i="314"/>
  <c r="BL154" i="314"/>
  <c r="BH63" i="282"/>
  <c r="BH69" i="282"/>
  <c r="BH64" i="282"/>
  <c r="BH70" i="282"/>
  <c r="BI67" i="282"/>
  <c r="BH53" i="286"/>
  <c r="BG58" i="286"/>
  <c r="BG64" i="286"/>
  <c r="BG107" i="265"/>
  <c r="BG35" i="265"/>
  <c r="BG95" i="265"/>
  <c r="BG47" i="288"/>
  <c r="BG54" i="288"/>
  <c r="BH45" i="286"/>
  <c r="BG128" i="265"/>
  <c r="BG129" i="265"/>
  <c r="BG135" i="265"/>
  <c r="BH70" i="286"/>
  <c r="BG57" i="288"/>
  <c r="BG96" i="265"/>
  <c r="BG36" i="265"/>
  <c r="BG59" i="328"/>
  <c r="BG112" i="265"/>
  <c r="BG114" i="265"/>
  <c r="BG134" i="265"/>
  <c r="BH458" i="321"/>
  <c r="BH48" i="314"/>
  <c r="BH9" i="286"/>
  <c r="BH74" i="286"/>
  <c r="BI59" i="282"/>
  <c r="BH75" i="282"/>
  <c r="BH76" i="282"/>
  <c r="BL76" i="315"/>
  <c r="BL162" i="314"/>
  <c r="BL163" i="314"/>
  <c r="BL78" i="315"/>
  <c r="BL81" i="315"/>
  <c r="BM160" i="314"/>
  <c r="BL107" i="315"/>
  <c r="BH77" i="282"/>
  <c r="BG137" i="265"/>
  <c r="BG136" i="265"/>
  <c r="BH46" i="265"/>
  <c r="BH31" i="265"/>
  <c r="BM116" i="314"/>
  <c r="BM119" i="314"/>
  <c r="BM140" i="314"/>
  <c r="BL503" i="321"/>
  <c r="BL504" i="321"/>
  <c r="BL507" i="321"/>
  <c r="BL508" i="321"/>
  <c r="BL517" i="321"/>
  <c r="BM122" i="314"/>
  <c r="BM124" i="314"/>
  <c r="BM149" i="314"/>
  <c r="BM150" i="314"/>
  <c r="AI31" i="277"/>
  <c r="BH33" i="265"/>
  <c r="BH47" i="265"/>
  <c r="AI46" i="277"/>
  <c r="AI47" i="277"/>
  <c r="BH27" i="288"/>
  <c r="BH29" i="288"/>
  <c r="BH65" i="265"/>
  <c r="BH71" i="286"/>
  <c r="BH72" i="286"/>
  <c r="BH78" i="286"/>
  <c r="BH46" i="286"/>
  <c r="AI33" i="277"/>
  <c r="BM153" i="314"/>
  <c r="BM144" i="314"/>
  <c r="BL513" i="321"/>
  <c r="BL514" i="321"/>
  <c r="BL518" i="321"/>
  <c r="BL519" i="321"/>
  <c r="BL522" i="321"/>
  <c r="BL523" i="321"/>
  <c r="BL509" i="321"/>
  <c r="BL199" i="288"/>
  <c r="BL193" i="288"/>
  <c r="BL83" i="315"/>
  <c r="BL531" i="321"/>
  <c r="BL524" i="321"/>
  <c r="BL200" i="288"/>
  <c r="BL530" i="321"/>
  <c r="BL532" i="321"/>
  <c r="BH77" i="265"/>
  <c r="BH113" i="288"/>
  <c r="BH10" i="321"/>
  <c r="BH12" i="321"/>
  <c r="BH85" i="288"/>
  <c r="BH20" i="328"/>
  <c r="AI40" i="328"/>
  <c r="BH65" i="288"/>
  <c r="BH32" i="288"/>
  <c r="AI65" i="277"/>
  <c r="AI77" i="277"/>
  <c r="BH87" i="288"/>
  <c r="BH89" i="288"/>
  <c r="BH39" i="311"/>
  <c r="BH49" i="314"/>
  <c r="BH51" i="314"/>
  <c r="BM527" i="321"/>
  <c r="BL120" i="315"/>
  <c r="BL84" i="315"/>
  <c r="BL85" i="315"/>
  <c r="BL87" i="286"/>
  <c r="BL88" i="286"/>
  <c r="BM496" i="321"/>
  <c r="BM498" i="321"/>
  <c r="BM521" i="321"/>
  <c r="BH53" i="314"/>
  <c r="BH54" i="314"/>
  <c r="BH64" i="314"/>
  <c r="BH66" i="314"/>
  <c r="BH56" i="314"/>
  <c r="BH58" i="314"/>
  <c r="BH80" i="311"/>
  <c r="BH60" i="314"/>
  <c r="BH62" i="314"/>
  <c r="BH67" i="314"/>
  <c r="BH82" i="314"/>
  <c r="BM499" i="321"/>
  <c r="BM103" i="282"/>
  <c r="BM108" i="282"/>
  <c r="BM512" i="321"/>
  <c r="BM506" i="321"/>
  <c r="BL91" i="286"/>
  <c r="BL93" i="286"/>
  <c r="BL104" i="286"/>
  <c r="BL94" i="286"/>
  <c r="BL105" i="286"/>
  <c r="BL106" i="286"/>
  <c r="BL109" i="286"/>
  <c r="BL111" i="286"/>
  <c r="BL98" i="286"/>
  <c r="BL99" i="286"/>
  <c r="BL201" i="288"/>
  <c r="BM116" i="282"/>
  <c r="BM25" i="315"/>
  <c r="BM27" i="315"/>
  <c r="BH79" i="265"/>
  <c r="BH73" i="314"/>
  <c r="BH75" i="314"/>
  <c r="BH80" i="265"/>
  <c r="AI80" i="277"/>
  <c r="BH83" i="314"/>
  <c r="BH84" i="314"/>
  <c r="AI79" i="277"/>
  <c r="BH82" i="265"/>
  <c r="BM112" i="282"/>
  <c r="BM117" i="282"/>
  <c r="BM96" i="286"/>
  <c r="BL122" i="315"/>
  <c r="BL112" i="286"/>
  <c r="BL116" i="286"/>
  <c r="BL117" i="286"/>
  <c r="BL202" i="288"/>
  <c r="BL87" i="315"/>
  <c r="BM114" i="286"/>
  <c r="BL123" i="315"/>
  <c r="BL88" i="315"/>
  <c r="BL89" i="315"/>
  <c r="BM90" i="286"/>
  <c r="BM120" i="282"/>
  <c r="BM121" i="282"/>
  <c r="BM123" i="282"/>
  <c r="BM124" i="282"/>
  <c r="BH85" i="265"/>
  <c r="AI82" i="277"/>
  <c r="BI81" i="314"/>
  <c r="BH111" i="265"/>
  <c r="BH87" i="314"/>
  <c r="BH90" i="314"/>
  <c r="BH60" i="328"/>
  <c r="AI71" i="328"/>
  <c r="AI111" i="277"/>
  <c r="BI37" i="314"/>
  <c r="BI40" i="314"/>
  <c r="BI61" i="314"/>
  <c r="AI85" i="277"/>
  <c r="BH459" i="321"/>
  <c r="BH460" i="321"/>
  <c r="BM136" i="282"/>
  <c r="BM130" i="282"/>
  <c r="BM126" i="282"/>
  <c r="BM128" i="282"/>
  <c r="BL131" i="286"/>
  <c r="BL143" i="286"/>
  <c r="BL144" i="286"/>
  <c r="BL147" i="286"/>
  <c r="BL148" i="286"/>
  <c r="BM108" i="286"/>
  <c r="BL132" i="286"/>
  <c r="BL124" i="286"/>
  <c r="BL125" i="286"/>
  <c r="BL198" i="288"/>
  <c r="BL192" i="288"/>
  <c r="BL194" i="288"/>
  <c r="BL149" i="286"/>
  <c r="BL133" i="286"/>
  <c r="BM131" i="282"/>
  <c r="BM137" i="282"/>
  <c r="BM132" i="282"/>
  <c r="BM138" i="282"/>
  <c r="BN135" i="282"/>
  <c r="BH463" i="321"/>
  <c r="BH464" i="321"/>
  <c r="BH473" i="321"/>
  <c r="BI43" i="314"/>
  <c r="BI45" i="314"/>
  <c r="BI70" i="314"/>
  <c r="BI71" i="314"/>
  <c r="BI74" i="314"/>
  <c r="BI65" i="314"/>
  <c r="BH469" i="321"/>
  <c r="BH470" i="321"/>
  <c r="BH474" i="321"/>
  <c r="BH475" i="321"/>
  <c r="BH478" i="321"/>
  <c r="BH479" i="321"/>
  <c r="BH465" i="321"/>
  <c r="BH49" i="288"/>
  <c r="BH43" i="288"/>
  <c r="BH23" i="328"/>
  <c r="AI43" i="328"/>
  <c r="BN127" i="282"/>
  <c r="BM143" i="282"/>
  <c r="BM144" i="282"/>
  <c r="BM130" i="286"/>
  <c r="BL103" i="315"/>
  <c r="BL108" i="315"/>
  <c r="BL110" i="315"/>
  <c r="BL130" i="315"/>
  <c r="BL33" i="315"/>
  <c r="BL34" i="315"/>
  <c r="BL91" i="315"/>
  <c r="BL92" i="315"/>
  <c r="BL197" i="288"/>
  <c r="BL204" i="288"/>
  <c r="BM122" i="286"/>
  <c r="BL124" i="315"/>
  <c r="BL125" i="315"/>
  <c r="BL131" i="315"/>
  <c r="BM138" i="286"/>
  <c r="BL207" i="288"/>
  <c r="BL133" i="315"/>
  <c r="BL132" i="315"/>
  <c r="BM502" i="321"/>
  <c r="BM127" i="314"/>
  <c r="BM86" i="286"/>
  <c r="BM142" i="286"/>
  <c r="BM145" i="282"/>
  <c r="BH87" i="265"/>
  <c r="BH487" i="321"/>
  <c r="BH480" i="321"/>
  <c r="BH50" i="288"/>
  <c r="BH24" i="328"/>
  <c r="AI44" i="328"/>
  <c r="BH486" i="321"/>
  <c r="BH488" i="321"/>
  <c r="BI483" i="321"/>
  <c r="BH124" i="265"/>
  <c r="BH88" i="265"/>
  <c r="AI88" i="277"/>
  <c r="AI87" i="277"/>
  <c r="BH89" i="265"/>
  <c r="BM44" i="315"/>
  <c r="BM45" i="315"/>
  <c r="BM29" i="315"/>
  <c r="BM31" i="315"/>
  <c r="BM139" i="286"/>
  <c r="BM140" i="286"/>
  <c r="BM146" i="286"/>
  <c r="BM123" i="286"/>
  <c r="BM177" i="288"/>
  <c r="BM179" i="288"/>
  <c r="BM63" i="315"/>
  <c r="BH10" i="286"/>
  <c r="BH11" i="286"/>
  <c r="AI89" i="277"/>
  <c r="AI124" i="277"/>
  <c r="BI452" i="321"/>
  <c r="BI454" i="321"/>
  <c r="BI477" i="321"/>
  <c r="BI455" i="321"/>
  <c r="BI35" i="282"/>
  <c r="BI40" i="282"/>
  <c r="BI468" i="321"/>
  <c r="BI462" i="321"/>
  <c r="BH14" i="286"/>
  <c r="BH16" i="286"/>
  <c r="BH27" i="286"/>
  <c r="BM73" i="315"/>
  <c r="BM263" i="288"/>
  <c r="BM235" i="288"/>
  <c r="BM215" i="288"/>
  <c r="BM182" i="288"/>
  <c r="BM237" i="288"/>
  <c r="BM239" i="288"/>
  <c r="BM128" i="314"/>
  <c r="BM130" i="314"/>
  <c r="BH17" i="286"/>
  <c r="BH28" i="286"/>
  <c r="BH29" i="286"/>
  <c r="BH32" i="286"/>
  <c r="BH34" i="286"/>
  <c r="BH21" i="286"/>
  <c r="BH22" i="286"/>
  <c r="BH51" i="288"/>
  <c r="BI48" i="282"/>
  <c r="BI27" i="265"/>
  <c r="BI29" i="265"/>
  <c r="BI19" i="286"/>
  <c r="BH126" i="265"/>
  <c r="BH35" i="286"/>
  <c r="BH39" i="286"/>
  <c r="BH40" i="286"/>
  <c r="BH52" i="288"/>
  <c r="BH91" i="265"/>
  <c r="BM132" i="314"/>
  <c r="BM133" i="314"/>
  <c r="BM143" i="314"/>
  <c r="BM145" i="314"/>
  <c r="BM135" i="314"/>
  <c r="BM137" i="314"/>
  <c r="BM139" i="314"/>
  <c r="BM141" i="314"/>
  <c r="BM146" i="314"/>
  <c r="BM161" i="314"/>
  <c r="AI91" i="277"/>
  <c r="BI37" i="286"/>
  <c r="BH127" i="265"/>
  <c r="AI127" i="277"/>
  <c r="BH92" i="265"/>
  <c r="BH93" i="265"/>
  <c r="AI126" i="277"/>
  <c r="BI13" i="286"/>
  <c r="BI44" i="282"/>
  <c r="BI49" i="282"/>
  <c r="BI52" i="282"/>
  <c r="BI53" i="282"/>
  <c r="BI55" i="282"/>
  <c r="BI56" i="282"/>
  <c r="BH54" i="286"/>
  <c r="BH75" i="286"/>
  <c r="BH76" i="286"/>
  <c r="BH79" i="286"/>
  <c r="BH80" i="286"/>
  <c r="BI31" i="286"/>
  <c r="AI93" i="277"/>
  <c r="BM75" i="315"/>
  <c r="BM152" i="314"/>
  <c r="BM154" i="314"/>
  <c r="BM76" i="315"/>
  <c r="BM162" i="314"/>
  <c r="BM163" i="314"/>
  <c r="BM78" i="315"/>
  <c r="BH55" i="286"/>
  <c r="BH47" i="286"/>
  <c r="BH48" i="286"/>
  <c r="BH48" i="288"/>
  <c r="BH42" i="288"/>
  <c r="BH44" i="288"/>
  <c r="BH81" i="286"/>
  <c r="BH25" i="328"/>
  <c r="AI45" i="328"/>
  <c r="BH56" i="286"/>
  <c r="BI68" i="282"/>
  <c r="BI62" i="282"/>
  <c r="BI58" i="282"/>
  <c r="BI60" i="282"/>
  <c r="BI63" i="282"/>
  <c r="BI69" i="282"/>
  <c r="BI64" i="282"/>
  <c r="BI70" i="282"/>
  <c r="BJ67" i="282"/>
  <c r="BI53" i="286"/>
  <c r="BH58" i="286"/>
  <c r="BH64" i="286"/>
  <c r="BH107" i="265"/>
  <c r="BH35" i="265"/>
  <c r="BH95" i="265"/>
  <c r="BH47" i="288"/>
  <c r="BH54" i="288"/>
  <c r="BI45" i="286"/>
  <c r="BH128" i="265"/>
  <c r="BM81" i="315"/>
  <c r="BN160" i="314"/>
  <c r="BM107" i="315"/>
  <c r="BN116" i="314"/>
  <c r="BN119" i="314"/>
  <c r="BN140" i="314"/>
  <c r="BM503" i="321"/>
  <c r="BM504" i="321"/>
  <c r="AI128" i="277"/>
  <c r="AI129" i="277"/>
  <c r="AI135" i="277"/>
  <c r="BH129" i="265"/>
  <c r="BH135" i="265"/>
  <c r="BI70" i="286"/>
  <c r="BH57" i="288"/>
  <c r="AI95" i="277"/>
  <c r="BH96" i="265"/>
  <c r="AI35" i="277"/>
  <c r="BH36" i="265"/>
  <c r="BH59" i="328"/>
  <c r="AI70" i="328"/>
  <c r="AI107" i="277"/>
  <c r="AI112" i="277"/>
  <c r="AI114" i="277"/>
  <c r="AI134" i="277"/>
  <c r="BH112" i="265"/>
  <c r="BH114" i="265"/>
  <c r="BH134" i="265"/>
  <c r="BI458" i="321"/>
  <c r="BI48" i="314"/>
  <c r="BI9" i="286"/>
  <c r="BI74" i="286"/>
  <c r="BJ59" i="282"/>
  <c r="BI75" i="282"/>
  <c r="BI76" i="282"/>
  <c r="BI77" i="282"/>
  <c r="BH137" i="265"/>
  <c r="BH136" i="265"/>
  <c r="AI137" i="277"/>
  <c r="AI136" i="277"/>
  <c r="AI36" i="277"/>
  <c r="AI96" i="277"/>
  <c r="BM507" i="321"/>
  <c r="BM508" i="321"/>
  <c r="BM517" i="321"/>
  <c r="BN122" i="314"/>
  <c r="BN124" i="314"/>
  <c r="BN149" i="314"/>
  <c r="BN150" i="314"/>
  <c r="BN153" i="314"/>
  <c r="BN144" i="314"/>
  <c r="BM513" i="321"/>
  <c r="BM514" i="321"/>
  <c r="BM518" i="321"/>
  <c r="BM519" i="321"/>
  <c r="BM522" i="321"/>
  <c r="BM523" i="321"/>
  <c r="BM509" i="321"/>
  <c r="BM199" i="288"/>
  <c r="BM193" i="288"/>
  <c r="BI46" i="265"/>
  <c r="BI31" i="265"/>
  <c r="BI33" i="265"/>
  <c r="BI47" i="265"/>
  <c r="BM83" i="315"/>
  <c r="BM531" i="321"/>
  <c r="BM524" i="321"/>
  <c r="BM200" i="288"/>
  <c r="BM530" i="321"/>
  <c r="BM532" i="321"/>
  <c r="BN527" i="321"/>
  <c r="BM120" i="315"/>
  <c r="BM84" i="315"/>
  <c r="BM85" i="315"/>
  <c r="BI27" i="288"/>
  <c r="BI29" i="288"/>
  <c r="BI65" i="265"/>
  <c r="BI71" i="286"/>
  <c r="BI72" i="286"/>
  <c r="BI78" i="286"/>
  <c r="BI46" i="286"/>
  <c r="BI77" i="265"/>
  <c r="BI113" i="288"/>
  <c r="BI10" i="321"/>
  <c r="BI12" i="321"/>
  <c r="BI85" i="288"/>
  <c r="BI20" i="328"/>
  <c r="BI65" i="288"/>
  <c r="BI32" i="288"/>
  <c r="BM87" i="286"/>
  <c r="BM88" i="286"/>
  <c r="BN496" i="321"/>
  <c r="BN498" i="321"/>
  <c r="BN521" i="321"/>
  <c r="BN499" i="321"/>
  <c r="BN103" i="282"/>
  <c r="BN108" i="282"/>
  <c r="BN512" i="321"/>
  <c r="BN506" i="321"/>
  <c r="BM91" i="286"/>
  <c r="BM93" i="286"/>
  <c r="BM104" i="286"/>
  <c r="BI87" i="288"/>
  <c r="BI89" i="288"/>
  <c r="BI39" i="311"/>
  <c r="BI49" i="314"/>
  <c r="BI51" i="314"/>
  <c r="BI53" i="314"/>
  <c r="BI54" i="314"/>
  <c r="BI64" i="314"/>
  <c r="BI66" i="314"/>
  <c r="BI56" i="314"/>
  <c r="BI58" i="314"/>
  <c r="BI80" i="311"/>
  <c r="BM94" i="286"/>
  <c r="BM105" i="286"/>
  <c r="BM106" i="286"/>
  <c r="BM109" i="286"/>
  <c r="BM111" i="286"/>
  <c r="BM98" i="286"/>
  <c r="BM99" i="286"/>
  <c r="BM201" i="288"/>
  <c r="BN116" i="282"/>
  <c r="BN25" i="315"/>
  <c r="BN27" i="315"/>
  <c r="BN112" i="282"/>
  <c r="BN117" i="282"/>
  <c r="BN96" i="286"/>
  <c r="BM122" i="315"/>
  <c r="BM112" i="286"/>
  <c r="BM116" i="286"/>
  <c r="BM117" i="286"/>
  <c r="BM202" i="288"/>
  <c r="BM87" i="315"/>
  <c r="BI60" i="314"/>
  <c r="BI62" i="314"/>
  <c r="BI67" i="314"/>
  <c r="BI82" i="314"/>
  <c r="BI79" i="265"/>
  <c r="BI73" i="314"/>
  <c r="BI75" i="314"/>
  <c r="BN114" i="286"/>
  <c r="BM123" i="315"/>
  <c r="BM88" i="315"/>
  <c r="BM89" i="315"/>
  <c r="BN90" i="286"/>
  <c r="BN120" i="282"/>
  <c r="BN121" i="282"/>
  <c r="BN123" i="282"/>
  <c r="BN124" i="282"/>
  <c r="BN136" i="282"/>
  <c r="BN130" i="282"/>
  <c r="BN126" i="282"/>
  <c r="BN128" i="282"/>
  <c r="BM131" i="286"/>
  <c r="BM143" i="286"/>
  <c r="BM144" i="286"/>
  <c r="BM147" i="286"/>
  <c r="BM148" i="286"/>
  <c r="BN108" i="286"/>
  <c r="BI80" i="265"/>
  <c r="BI83" i="314"/>
  <c r="BI84" i="314"/>
  <c r="BI82" i="265"/>
  <c r="BI85" i="265"/>
  <c r="BJ81" i="314"/>
  <c r="BI111" i="265"/>
  <c r="BI60" i="328"/>
  <c r="BI87" i="314"/>
  <c r="BI90" i="314"/>
  <c r="BM132" i="286"/>
  <c r="BM124" i="286"/>
  <c r="BM125" i="286"/>
  <c r="BM198" i="288"/>
  <c r="BM192" i="288"/>
  <c r="BM194" i="288"/>
  <c r="BM149" i="286"/>
  <c r="BM133" i="286"/>
  <c r="BN131" i="282"/>
  <c r="BN137" i="282"/>
  <c r="BN132" i="282"/>
  <c r="BN138" i="282"/>
  <c r="BO135" i="282"/>
  <c r="BO127" i="282"/>
  <c r="BN143" i="282"/>
  <c r="BN144" i="282"/>
  <c r="BN130" i="286"/>
  <c r="BM103" i="315"/>
  <c r="BM108" i="315"/>
  <c r="BM110" i="315"/>
  <c r="BM130" i="315"/>
  <c r="BM33" i="315"/>
  <c r="BM34" i="315"/>
  <c r="BM91" i="315"/>
  <c r="BM92" i="315"/>
  <c r="BM197" i="288"/>
  <c r="BM204" i="288"/>
  <c r="BN122" i="286"/>
  <c r="BM124" i="315"/>
  <c r="BM125" i="315"/>
  <c r="BM131" i="315"/>
  <c r="BJ37" i="314"/>
  <c r="BJ40" i="314"/>
  <c r="BJ61" i="314"/>
  <c r="BI459" i="321"/>
  <c r="BI460" i="321"/>
  <c r="BI463" i="321"/>
  <c r="BI464" i="321"/>
  <c r="BI473" i="321"/>
  <c r="BJ43" i="314"/>
  <c r="BJ45" i="314"/>
  <c r="BJ70" i="314"/>
  <c r="BJ71" i="314"/>
  <c r="BN138" i="286"/>
  <c r="BM207" i="288"/>
  <c r="BM133" i="315"/>
  <c r="BM132" i="315"/>
  <c r="BN502" i="321"/>
  <c r="BN127" i="314"/>
  <c r="BN86" i="286"/>
  <c r="BN142" i="286"/>
  <c r="BN145" i="282"/>
  <c r="BN44" i="315"/>
  <c r="BN45" i="315"/>
  <c r="BN29" i="315"/>
  <c r="BN31" i="315"/>
  <c r="BJ74" i="314"/>
  <c r="BJ65" i="314"/>
  <c r="BI469" i="321"/>
  <c r="BI470" i="321"/>
  <c r="BI474" i="321"/>
  <c r="BI475" i="321"/>
  <c r="BI478" i="321"/>
  <c r="BI479" i="321"/>
  <c r="BI465" i="321"/>
  <c r="BI49" i="288"/>
  <c r="BI43" i="288"/>
  <c r="BI23" i="328"/>
  <c r="BI87" i="265"/>
  <c r="BI487" i="321"/>
  <c r="BI480" i="321"/>
  <c r="BI50" i="288"/>
  <c r="BI24" i="328"/>
  <c r="BI486" i="321"/>
  <c r="BI488" i="321"/>
  <c r="BN139" i="286"/>
  <c r="BN140" i="286"/>
  <c r="BN146" i="286"/>
  <c r="BN123" i="286"/>
  <c r="BN177" i="288"/>
  <c r="BN179" i="288"/>
  <c r="BN63" i="315"/>
  <c r="BN73" i="315"/>
  <c r="BN263" i="288"/>
  <c r="BN235" i="288"/>
  <c r="BN215" i="288"/>
  <c r="BN182" i="288"/>
  <c r="BJ483" i="321"/>
  <c r="BI124" i="265"/>
  <c r="BI88" i="265"/>
  <c r="BI89" i="265"/>
  <c r="BI10" i="286"/>
  <c r="BI11" i="286"/>
  <c r="BJ452" i="321"/>
  <c r="BJ454" i="321"/>
  <c r="BJ477" i="321"/>
  <c r="BN237" i="288"/>
  <c r="BN239" i="288"/>
  <c r="BN128" i="314"/>
  <c r="BN130" i="314"/>
  <c r="BN132" i="314"/>
  <c r="BN133" i="314"/>
  <c r="BN143" i="314"/>
  <c r="BN145" i="314"/>
  <c r="BN135" i="314"/>
  <c r="BN137" i="314"/>
  <c r="BJ455" i="321"/>
  <c r="BJ35" i="282"/>
  <c r="BJ40" i="282"/>
  <c r="BJ468" i="321"/>
  <c r="BJ462" i="321"/>
  <c r="BI14" i="286"/>
  <c r="BI16" i="286"/>
  <c r="BI27" i="286"/>
  <c r="BI17" i="286"/>
  <c r="BI28" i="286"/>
  <c r="BI29" i="286"/>
  <c r="BI32" i="286"/>
  <c r="BI34" i="286"/>
  <c r="BI21" i="286"/>
  <c r="BI22" i="286"/>
  <c r="BI51" i="288"/>
  <c r="BJ48" i="282"/>
  <c r="BJ27" i="265"/>
  <c r="BN139" i="314"/>
  <c r="BN141" i="314"/>
  <c r="BN146" i="314"/>
  <c r="BN161" i="314"/>
  <c r="BN75" i="315"/>
  <c r="BN152" i="314"/>
  <c r="BN154" i="314"/>
  <c r="BJ29" i="265"/>
  <c r="AJ27" i="277"/>
  <c r="BJ19" i="286"/>
  <c r="BI126" i="265"/>
  <c r="BI35" i="286"/>
  <c r="BI39" i="286"/>
  <c r="BI40" i="286"/>
  <c r="BI52" i="288"/>
  <c r="BI91" i="265"/>
  <c r="BJ37" i="286"/>
  <c r="BI127" i="265"/>
  <c r="BI92" i="265"/>
  <c r="BI93" i="265"/>
  <c r="BJ13" i="286"/>
  <c r="AJ29" i="277"/>
  <c r="BJ44" i="282"/>
  <c r="BJ49" i="282"/>
  <c r="BN76" i="315"/>
  <c r="BN162" i="314"/>
  <c r="BN163" i="314"/>
  <c r="BN78" i="315"/>
  <c r="BN81" i="315"/>
  <c r="BO160" i="314"/>
  <c r="BN107" i="315"/>
  <c r="BJ52" i="282"/>
  <c r="BJ53" i="282"/>
  <c r="BJ55" i="282"/>
  <c r="BJ56" i="282"/>
  <c r="BI54" i="286"/>
  <c r="BI75" i="286"/>
  <c r="BI76" i="286"/>
  <c r="BI79" i="286"/>
  <c r="BI80" i="286"/>
  <c r="BJ31" i="286"/>
  <c r="BI55" i="286"/>
  <c r="BI47" i="286"/>
  <c r="BI48" i="286"/>
  <c r="BI48" i="288"/>
  <c r="BI42" i="288"/>
  <c r="BI44" i="288"/>
  <c r="BI81" i="286"/>
  <c r="BI25" i="328"/>
  <c r="BI56" i="286"/>
  <c r="BJ68" i="282"/>
  <c r="BJ62" i="282"/>
  <c r="BJ58" i="282"/>
  <c r="BJ60" i="282"/>
  <c r="BO116" i="314"/>
  <c r="BO119" i="314"/>
  <c r="BO140" i="314"/>
  <c r="BN503" i="321"/>
  <c r="BN504" i="321"/>
  <c r="BN507" i="321"/>
  <c r="BN508" i="321"/>
  <c r="BN517" i="321"/>
  <c r="BO122" i="314"/>
  <c r="BO124" i="314"/>
  <c r="BO149" i="314"/>
  <c r="BO150" i="314"/>
  <c r="BJ63" i="282"/>
  <c r="BJ69" i="282"/>
  <c r="BJ64" i="282"/>
  <c r="BJ70" i="282"/>
  <c r="BK67" i="282"/>
  <c r="BJ53" i="286"/>
  <c r="BI58" i="286"/>
  <c r="BI64" i="286"/>
  <c r="BI107" i="265"/>
  <c r="BI35" i="265"/>
  <c r="BI95" i="265"/>
  <c r="BI47" i="288"/>
  <c r="BI54" i="288"/>
  <c r="BJ45" i="286"/>
  <c r="BI128" i="265"/>
  <c r="BI129" i="265"/>
  <c r="BI135" i="265"/>
  <c r="BJ70" i="286"/>
  <c r="BI57" i="288"/>
  <c r="BI96" i="265"/>
  <c r="BI36" i="265"/>
  <c r="BI59" i="328"/>
  <c r="BI112" i="265"/>
  <c r="BI114" i="265"/>
  <c r="BI134" i="265"/>
  <c r="BJ458" i="321"/>
  <c r="BJ48" i="314"/>
  <c r="BJ9" i="286"/>
  <c r="BJ74" i="286"/>
  <c r="BK59" i="282"/>
  <c r="BJ75" i="282"/>
  <c r="BJ76" i="282"/>
  <c r="BO153" i="314"/>
  <c r="BO144" i="314"/>
  <c r="BN513" i="321"/>
  <c r="BN514" i="321"/>
  <c r="BN518" i="321"/>
  <c r="BN519" i="321"/>
  <c r="BN522" i="321"/>
  <c r="BN523" i="321"/>
  <c r="BN509" i="321"/>
  <c r="BN199" i="288"/>
  <c r="BN193" i="288"/>
  <c r="BN83" i="315"/>
  <c r="BN531" i="321"/>
  <c r="BN524" i="321"/>
  <c r="BN200" i="288"/>
  <c r="BN530" i="321"/>
  <c r="BN532" i="321"/>
  <c r="BJ77" i="282"/>
  <c r="BI137" i="265"/>
  <c r="BI136" i="265"/>
  <c r="BJ46" i="265"/>
  <c r="BJ31" i="265"/>
  <c r="BO527" i="321"/>
  <c r="BN120" i="315"/>
  <c r="BN84" i="315"/>
  <c r="BN85" i="315"/>
  <c r="BN87" i="286"/>
  <c r="BN88" i="286"/>
  <c r="BO496" i="321"/>
  <c r="BO498" i="321"/>
  <c r="BO521" i="321"/>
  <c r="AJ31" i="277"/>
  <c r="BJ33" i="265"/>
  <c r="BJ47" i="265"/>
  <c r="AJ46" i="277"/>
  <c r="AJ47" i="277"/>
  <c r="BJ27" i="288"/>
  <c r="BJ29" i="288"/>
  <c r="BJ65" i="265"/>
  <c r="BJ71" i="286"/>
  <c r="BJ72" i="286"/>
  <c r="BJ78" i="286"/>
  <c r="BJ46" i="286"/>
  <c r="AJ33" i="277"/>
  <c r="BO499" i="321"/>
  <c r="BO103" i="282"/>
  <c r="BO108" i="282"/>
  <c r="BO512" i="321"/>
  <c r="BO506" i="321"/>
  <c r="BN91" i="286"/>
  <c r="BN93" i="286"/>
  <c r="BN104" i="286"/>
  <c r="BN94" i="286"/>
  <c r="BN105" i="286"/>
  <c r="BN106" i="286"/>
  <c r="BN109" i="286"/>
  <c r="BN111" i="286"/>
  <c r="BN98" i="286"/>
  <c r="BN99" i="286"/>
  <c r="BN201" i="288"/>
  <c r="BO116" i="282"/>
  <c r="BO25" i="315"/>
  <c r="BO27" i="315"/>
  <c r="BJ77" i="265"/>
  <c r="BJ113" i="288"/>
  <c r="BJ10" i="321"/>
  <c r="BJ12" i="321"/>
  <c r="BJ85" i="288"/>
  <c r="BJ65" i="288"/>
  <c r="BJ20" i="328"/>
  <c r="AJ40" i="328"/>
  <c r="BJ32" i="288"/>
  <c r="AJ65" i="277"/>
  <c r="AJ77" i="277"/>
  <c r="BJ87" i="288"/>
  <c r="BJ89" i="288"/>
  <c r="BJ39" i="311"/>
  <c r="BJ49" i="314"/>
  <c r="BJ51" i="314"/>
  <c r="BO112" i="282"/>
  <c r="BO117" i="282"/>
  <c r="BO96" i="286"/>
  <c r="BN122" i="315"/>
  <c r="BN112" i="286"/>
  <c r="BN116" i="286"/>
  <c r="BN117" i="286"/>
  <c r="BN202" i="288"/>
  <c r="BN87" i="315"/>
  <c r="BO114" i="286"/>
  <c r="BN123" i="315"/>
  <c r="BN88" i="315"/>
  <c r="BN89" i="315"/>
  <c r="BO90" i="286"/>
  <c r="BO120" i="282"/>
  <c r="BO121" i="282"/>
  <c r="BO123" i="282"/>
  <c r="BO124" i="282"/>
  <c r="BJ53" i="314"/>
  <c r="BJ54" i="314"/>
  <c r="BJ64" i="314"/>
  <c r="BJ66" i="314"/>
  <c r="BJ56" i="314"/>
  <c r="BJ58" i="314"/>
  <c r="BJ80" i="311"/>
  <c r="BJ60" i="314"/>
  <c r="BJ62" i="314"/>
  <c r="BJ67" i="314"/>
  <c r="BJ82" i="314"/>
  <c r="BO136" i="282"/>
  <c r="BO130" i="282"/>
  <c r="BO126" i="282"/>
  <c r="BO128" i="282"/>
  <c r="BN131" i="286"/>
  <c r="BN143" i="286"/>
  <c r="BN144" i="286"/>
  <c r="BN147" i="286"/>
  <c r="BN148" i="286"/>
  <c r="BO108" i="286"/>
  <c r="BN132" i="286"/>
  <c r="BN124" i="286"/>
  <c r="BN125" i="286"/>
  <c r="BN198" i="288"/>
  <c r="BN192" i="288"/>
  <c r="BN194" i="288"/>
  <c r="BN149" i="286"/>
  <c r="BN133" i="286"/>
  <c r="BO131" i="282"/>
  <c r="BO137" i="282"/>
  <c r="BO132" i="282"/>
  <c r="BO138" i="282"/>
  <c r="BP135" i="282"/>
  <c r="BJ79" i="265"/>
  <c r="BJ73" i="314"/>
  <c r="BJ75" i="314"/>
  <c r="BJ80" i="265"/>
  <c r="AJ80" i="277"/>
  <c r="BJ83" i="314"/>
  <c r="BJ84" i="314"/>
  <c r="AJ79" i="277"/>
  <c r="BJ82" i="265"/>
  <c r="BP127" i="282"/>
  <c r="BO143" i="282"/>
  <c r="BO144" i="282"/>
  <c r="BO130" i="286"/>
  <c r="BN103" i="315"/>
  <c r="BN108" i="315"/>
  <c r="BN110" i="315"/>
  <c r="BN130" i="315"/>
  <c r="BN33" i="315"/>
  <c r="BN34" i="315"/>
  <c r="BN91" i="315"/>
  <c r="BN92" i="315"/>
  <c r="BN197" i="288"/>
  <c r="BN204" i="288"/>
  <c r="BO122" i="286"/>
  <c r="BN124" i="315"/>
  <c r="BN125" i="315"/>
  <c r="BN131" i="315"/>
  <c r="BO138" i="286"/>
  <c r="BN207" i="288"/>
  <c r="BN133" i="315"/>
  <c r="BN132" i="315"/>
  <c r="BO502" i="321"/>
  <c r="BO127" i="314"/>
  <c r="BO86" i="286"/>
  <c r="BO142" i="286"/>
  <c r="BO145" i="282"/>
  <c r="BJ85" i="265"/>
  <c r="AJ82" i="277"/>
  <c r="BK81" i="314"/>
  <c r="BJ111" i="265"/>
  <c r="BJ87" i="314"/>
  <c r="BJ90" i="314"/>
  <c r="BJ60" i="328"/>
  <c r="AJ71" i="328"/>
  <c r="AJ111" i="277"/>
  <c r="BK37" i="314"/>
  <c r="BK40" i="314"/>
  <c r="BK61" i="314"/>
  <c r="AJ85" i="277"/>
  <c r="BJ459" i="321"/>
  <c r="BJ460" i="321"/>
  <c r="BO44" i="315"/>
  <c r="BO45" i="315"/>
  <c r="BO29" i="315"/>
  <c r="BO31" i="315"/>
  <c r="BO139" i="286"/>
  <c r="BO140" i="286"/>
  <c r="BO146" i="286"/>
  <c r="BO123" i="286"/>
  <c r="BO177" i="288"/>
  <c r="BO179" i="288"/>
  <c r="BO63" i="315"/>
  <c r="BJ463" i="321"/>
  <c r="BJ464" i="321"/>
  <c r="BJ473" i="321"/>
  <c r="BK43" i="314"/>
  <c r="BK45" i="314"/>
  <c r="BK70" i="314"/>
  <c r="BK71" i="314"/>
  <c r="BK74" i="314"/>
  <c r="BK65" i="314"/>
  <c r="BJ469" i="321"/>
  <c r="BJ470" i="321"/>
  <c r="BJ474" i="321"/>
  <c r="BJ475" i="321"/>
  <c r="BJ478" i="321"/>
  <c r="BJ479" i="321"/>
  <c r="BJ465" i="321"/>
  <c r="BJ49" i="288"/>
  <c r="BJ43" i="288"/>
  <c r="BJ23" i="328"/>
  <c r="AJ43" i="328"/>
  <c r="BO73" i="315"/>
  <c r="BO263" i="288"/>
  <c r="BO235" i="288"/>
  <c r="BO215" i="288"/>
  <c r="BO182" i="288"/>
  <c r="BO237" i="288"/>
  <c r="BO239" i="288"/>
  <c r="BO128" i="314"/>
  <c r="BO130" i="314"/>
  <c r="BJ87" i="265"/>
  <c r="BJ487" i="321"/>
  <c r="BJ480" i="321"/>
  <c r="BJ50" i="288"/>
  <c r="BJ24" i="328"/>
  <c r="AJ44" i="328"/>
  <c r="BJ486" i="321"/>
  <c r="BJ488" i="321"/>
  <c r="BK483" i="321"/>
  <c r="BJ124" i="265"/>
  <c r="BJ88" i="265"/>
  <c r="AJ88" i="277"/>
  <c r="AJ87" i="277"/>
  <c r="BJ89" i="265"/>
  <c r="BO132" i="314"/>
  <c r="BO133" i="314"/>
  <c r="BO143" i="314"/>
  <c r="BO145" i="314"/>
  <c r="BO135" i="314"/>
  <c r="BO137" i="314"/>
  <c r="BO139" i="314"/>
  <c r="BO141" i="314"/>
  <c r="BO146" i="314"/>
  <c r="BO161" i="314"/>
  <c r="BJ10" i="286"/>
  <c r="BJ11" i="286"/>
  <c r="AJ89" i="277"/>
  <c r="AJ124" i="277"/>
  <c r="BK452" i="321"/>
  <c r="BK454" i="321"/>
  <c r="BK477" i="321"/>
  <c r="BK455" i="321"/>
  <c r="BK35" i="282"/>
  <c r="BK40" i="282"/>
  <c r="BK468" i="321"/>
  <c r="BK462" i="321"/>
  <c r="BJ14" i="286"/>
  <c r="BJ16" i="286"/>
  <c r="BJ27" i="286"/>
  <c r="BO75" i="315"/>
  <c r="BO152" i="314"/>
  <c r="BO154" i="314"/>
  <c r="BO76" i="315"/>
  <c r="BO162" i="314"/>
  <c r="BO163" i="314"/>
  <c r="BO78" i="315"/>
  <c r="BJ17" i="286"/>
  <c r="BJ28" i="286"/>
  <c r="BJ29" i="286"/>
  <c r="BJ32" i="286"/>
  <c r="BJ34" i="286"/>
  <c r="BJ21" i="286"/>
  <c r="BJ22" i="286"/>
  <c r="BJ51" i="288"/>
  <c r="BK48" i="282"/>
  <c r="BK27" i="265"/>
  <c r="BK29" i="265"/>
  <c r="BK19" i="286"/>
  <c r="BJ126" i="265"/>
  <c r="BJ35" i="286"/>
  <c r="BJ39" i="286"/>
  <c r="BJ40" i="286"/>
  <c r="BJ52" i="288"/>
  <c r="BJ91" i="265"/>
  <c r="BO81" i="315"/>
  <c r="BP160" i="314"/>
  <c r="BO107" i="315"/>
  <c r="BP116" i="314"/>
  <c r="BP119" i="314"/>
  <c r="BP140" i="314"/>
  <c r="BO503" i="321"/>
  <c r="BO504" i="321"/>
  <c r="AJ91" i="277"/>
  <c r="BK37" i="286"/>
  <c r="BJ127" i="265"/>
  <c r="AJ127" i="277"/>
  <c r="BJ92" i="265"/>
  <c r="BJ93" i="265"/>
  <c r="AJ126" i="277"/>
  <c r="BK13" i="286"/>
  <c r="BK44" i="282"/>
  <c r="BK49" i="282"/>
  <c r="BK52" i="282"/>
  <c r="BK53" i="282"/>
  <c r="BK55" i="282"/>
  <c r="BK56" i="282"/>
  <c r="BJ54" i="286"/>
  <c r="BJ75" i="286"/>
  <c r="BJ76" i="286"/>
  <c r="BJ79" i="286"/>
  <c r="BJ80" i="286"/>
  <c r="BK31" i="286"/>
  <c r="AJ93" i="277"/>
  <c r="BO507" i="321"/>
  <c r="BO508" i="321"/>
  <c r="BO517" i="321"/>
  <c r="BP122" i="314"/>
  <c r="BP124" i="314"/>
  <c r="BP149" i="314"/>
  <c r="BP150" i="314"/>
  <c r="BP153" i="314"/>
  <c r="BP144" i="314"/>
  <c r="BO513" i="321"/>
  <c r="BO514" i="321"/>
  <c r="BO518" i="321"/>
  <c r="BO519" i="321"/>
  <c r="BO522" i="321"/>
  <c r="BO523" i="321"/>
  <c r="BO509" i="321"/>
  <c r="BO199" i="288"/>
  <c r="BO193" i="288"/>
  <c r="BJ55" i="286"/>
  <c r="BJ47" i="286"/>
  <c r="BJ48" i="286"/>
  <c r="BJ48" i="288"/>
  <c r="BJ42" i="288"/>
  <c r="BJ44" i="288"/>
  <c r="BJ81" i="286"/>
  <c r="BJ25" i="328"/>
  <c r="AJ45" i="328"/>
  <c r="BJ56" i="286"/>
  <c r="BK68" i="282"/>
  <c r="BK62" i="282"/>
  <c r="BK58" i="282"/>
  <c r="BK60" i="282"/>
  <c r="BK63" i="282"/>
  <c r="BK69" i="282"/>
  <c r="BK64" i="282"/>
  <c r="BK70" i="282"/>
  <c r="BL67" i="282"/>
  <c r="BK53" i="286"/>
  <c r="BJ58" i="286"/>
  <c r="BJ64" i="286"/>
  <c r="BJ107" i="265"/>
  <c r="BJ35" i="265"/>
  <c r="BJ95" i="265"/>
  <c r="BJ47" i="288"/>
  <c r="BJ54" i="288"/>
  <c r="BK45" i="286"/>
  <c r="BJ128" i="265"/>
  <c r="BO83" i="315"/>
  <c r="BO531" i="321"/>
  <c r="BO524" i="321"/>
  <c r="BO200" i="288"/>
  <c r="BO530" i="321"/>
  <c r="BO532" i="321"/>
  <c r="BP527" i="321"/>
  <c r="BO120" i="315"/>
  <c r="BO84" i="315"/>
  <c r="BO85" i="315"/>
  <c r="AJ128" i="277"/>
  <c r="AJ129" i="277"/>
  <c r="AJ135" i="277"/>
  <c r="BJ129" i="265"/>
  <c r="BJ135" i="265"/>
  <c r="BK70" i="286"/>
  <c r="BJ57" i="288"/>
  <c r="AJ95" i="277"/>
  <c r="BJ96" i="265"/>
  <c r="AJ35" i="277"/>
  <c r="BJ36" i="265"/>
  <c r="BJ59" i="328"/>
  <c r="AJ70" i="328"/>
  <c r="AJ107" i="277"/>
  <c r="AJ112" i="277"/>
  <c r="AJ114" i="277"/>
  <c r="AJ134" i="277"/>
  <c r="BJ112" i="265"/>
  <c r="BJ114" i="265"/>
  <c r="BJ134" i="265"/>
  <c r="BK458" i="321"/>
  <c r="BK48" i="314"/>
  <c r="BK9" i="286"/>
  <c r="BK74" i="286"/>
  <c r="BL59" i="282"/>
  <c r="BK75" i="282"/>
  <c r="BK76" i="282"/>
  <c r="BK77" i="282"/>
  <c r="BJ137" i="265"/>
  <c r="BJ136" i="265"/>
  <c r="AJ137" i="277"/>
  <c r="AJ136" i="277"/>
  <c r="AJ36" i="277"/>
  <c r="AJ96" i="277"/>
  <c r="BO87" i="286"/>
  <c r="BO88" i="286"/>
  <c r="BP496" i="321"/>
  <c r="BP498" i="321"/>
  <c r="BP521" i="321"/>
  <c r="BP499" i="321"/>
  <c r="BP103" i="282"/>
  <c r="BP108" i="282"/>
  <c r="BP512" i="321"/>
  <c r="BP506" i="321"/>
  <c r="BO91" i="286"/>
  <c r="BO93" i="286"/>
  <c r="BO104" i="286"/>
  <c r="BK46" i="265"/>
  <c r="BK31" i="265"/>
  <c r="BK33" i="265"/>
  <c r="BK47" i="265"/>
  <c r="BO94" i="286"/>
  <c r="BO105" i="286"/>
  <c r="BO106" i="286"/>
  <c r="BO109" i="286"/>
  <c r="BO111" i="286"/>
  <c r="BO98" i="286"/>
  <c r="BO99" i="286"/>
  <c r="BO201" i="288"/>
  <c r="BP116" i="282"/>
  <c r="BP25" i="315"/>
  <c r="BP27" i="315"/>
  <c r="BP112" i="282"/>
  <c r="BP117" i="282"/>
  <c r="BP96" i="286"/>
  <c r="BO122" i="315"/>
  <c r="BO112" i="286"/>
  <c r="BO116" i="286"/>
  <c r="BO117" i="286"/>
  <c r="BO202" i="288"/>
  <c r="BO87" i="315"/>
  <c r="BK27" i="288"/>
  <c r="BK29" i="288"/>
  <c r="BK65" i="265"/>
  <c r="BK71" i="286"/>
  <c r="BK72" i="286"/>
  <c r="BK78" i="286"/>
  <c r="BK46" i="286"/>
  <c r="BK77" i="265"/>
  <c r="BK113" i="288"/>
  <c r="BK10" i="321"/>
  <c r="BK12" i="321"/>
  <c r="BK85" i="288"/>
  <c r="BK20" i="328"/>
  <c r="BK65" i="288"/>
  <c r="BK32" i="288"/>
  <c r="BP114" i="286"/>
  <c r="BO123" i="315"/>
  <c r="BO88" i="315"/>
  <c r="BO89" i="315"/>
  <c r="BP90" i="286"/>
  <c r="BP120" i="282"/>
  <c r="BP121" i="282"/>
  <c r="BP123" i="282"/>
  <c r="BP124" i="282"/>
  <c r="BP136" i="282"/>
  <c r="BP130" i="282"/>
  <c r="BP126" i="282"/>
  <c r="BP128" i="282"/>
  <c r="BO131" i="286"/>
  <c r="BO143" i="286"/>
  <c r="BO144" i="286"/>
  <c r="BO147" i="286"/>
  <c r="BO148" i="286"/>
  <c r="BP108" i="286"/>
  <c r="BK87" i="288"/>
  <c r="BK89" i="288"/>
  <c r="BK39" i="311"/>
  <c r="BK49" i="314"/>
  <c r="BK51" i="314"/>
  <c r="BK53" i="314"/>
  <c r="BK54" i="314"/>
  <c r="BK64" i="314"/>
  <c r="BK66" i="314"/>
  <c r="BK56" i="314"/>
  <c r="BK58" i="314"/>
  <c r="BK80" i="311"/>
  <c r="BO132" i="286"/>
  <c r="BO124" i="286"/>
  <c r="BO125" i="286"/>
  <c r="BO198" i="288"/>
  <c r="BO192" i="288"/>
  <c r="BO194" i="288"/>
  <c r="BO149" i="286"/>
  <c r="BO133" i="286"/>
  <c r="BP131" i="282"/>
  <c r="BP137" i="282"/>
  <c r="BP132" i="282"/>
  <c r="BP138" i="282"/>
  <c r="BQ135" i="282"/>
  <c r="BQ127" i="282"/>
  <c r="BP143" i="282"/>
  <c r="BP144" i="282"/>
  <c r="BP130" i="286"/>
  <c r="BO103" i="315"/>
  <c r="BO108" i="315"/>
  <c r="BO110" i="315"/>
  <c r="BO130" i="315"/>
  <c r="BO33" i="315"/>
  <c r="BO34" i="315"/>
  <c r="BO91" i="315"/>
  <c r="BO92" i="315"/>
  <c r="BO197" i="288"/>
  <c r="BO204" i="288"/>
  <c r="BP122" i="286"/>
  <c r="BO124" i="315"/>
  <c r="BO125" i="315"/>
  <c r="BO131" i="315"/>
  <c r="BK60" i="314"/>
  <c r="BK62" i="314"/>
  <c r="BK67" i="314"/>
  <c r="BK82" i="314"/>
  <c r="BK79" i="265"/>
  <c r="BK73" i="314"/>
  <c r="BK75" i="314"/>
  <c r="BP138" i="286"/>
  <c r="BO207" i="288"/>
  <c r="BO133" i="315"/>
  <c r="BO132" i="315"/>
  <c r="BP502" i="321"/>
  <c r="BP127" i="314"/>
  <c r="BP86" i="286"/>
  <c r="BP142" i="286"/>
  <c r="BP145" i="282"/>
  <c r="BP44" i="315"/>
  <c r="BP45" i="315"/>
  <c r="BP29" i="315"/>
  <c r="BP31" i="315"/>
  <c r="BK80" i="265"/>
  <c r="BK83" i="314"/>
  <c r="BK84" i="314"/>
  <c r="BK82" i="265"/>
  <c r="BK85" i="265"/>
  <c r="BL81" i="314"/>
  <c r="BK111" i="265"/>
  <c r="BK60" i="328"/>
  <c r="BK87" i="314"/>
  <c r="BK90" i="314"/>
  <c r="BP139" i="286"/>
  <c r="BP140" i="286"/>
  <c r="BP146" i="286"/>
  <c r="BP123" i="286"/>
  <c r="BP177" i="288"/>
  <c r="BP179" i="288"/>
  <c r="BP63" i="315"/>
  <c r="BP73" i="315"/>
  <c r="BP263" i="288"/>
  <c r="BP235" i="288"/>
  <c r="BP215" i="288"/>
  <c r="BP182" i="288"/>
  <c r="BL37" i="314"/>
  <c r="BL40" i="314"/>
  <c r="BL61" i="314"/>
  <c r="BK459" i="321"/>
  <c r="BK460" i="321"/>
  <c r="BK463" i="321"/>
  <c r="BK464" i="321"/>
  <c r="BK473" i="321"/>
  <c r="BL43" i="314"/>
  <c r="BL45" i="314"/>
  <c r="BL70" i="314"/>
  <c r="BL71" i="314"/>
  <c r="BP237" i="288"/>
  <c r="BP239" i="288"/>
  <c r="BP128" i="314"/>
  <c r="BP130" i="314"/>
  <c r="BP132" i="314"/>
  <c r="BP133" i="314"/>
  <c r="BP143" i="314"/>
  <c r="BP145" i="314"/>
  <c r="BP135" i="314"/>
  <c r="BP137" i="314"/>
  <c r="BL74" i="314"/>
  <c r="BL65" i="314"/>
  <c r="BK469" i="321"/>
  <c r="BK470" i="321"/>
  <c r="BK474" i="321"/>
  <c r="BK475" i="321"/>
  <c r="BK478" i="321"/>
  <c r="BK479" i="321"/>
  <c r="BK465" i="321"/>
  <c r="BK49" i="288"/>
  <c r="BK43" i="288"/>
  <c r="BK23" i="328"/>
  <c r="BK87" i="265"/>
  <c r="BK487" i="321"/>
  <c r="BK480" i="321"/>
  <c r="BK50" i="288"/>
  <c r="BK24" i="328"/>
  <c r="BK486" i="321"/>
  <c r="BK488" i="321"/>
  <c r="BP139" i="314"/>
  <c r="BP141" i="314"/>
  <c r="BP146" i="314"/>
  <c r="BP161" i="314"/>
  <c r="BP75" i="315"/>
  <c r="BP152" i="314"/>
  <c r="BP154" i="314"/>
  <c r="BL483" i="321"/>
  <c r="BK124" i="265"/>
  <c r="BK88" i="265"/>
  <c r="BK89" i="265"/>
  <c r="BK10" i="286"/>
  <c r="BK11" i="286"/>
  <c r="BL452" i="321"/>
  <c r="BL454" i="321"/>
  <c r="BL477" i="321"/>
  <c r="BP76" i="315"/>
  <c r="BP162" i="314"/>
  <c r="BP163" i="314"/>
  <c r="BP78" i="315"/>
  <c r="BP81" i="315"/>
  <c r="BQ160" i="314"/>
  <c r="BP107" i="315"/>
  <c r="BL455" i="321"/>
  <c r="BL35" i="282"/>
  <c r="BL40" i="282"/>
  <c r="BL468" i="321"/>
  <c r="BL462" i="321"/>
  <c r="BK14" i="286"/>
  <c r="BK16" i="286"/>
  <c r="BK27" i="286"/>
  <c r="BK17" i="286"/>
  <c r="BK28" i="286"/>
  <c r="BK29" i="286"/>
  <c r="BK32" i="286"/>
  <c r="BK34" i="286"/>
  <c r="BK21" i="286"/>
  <c r="BK22" i="286"/>
  <c r="BK51" i="288"/>
  <c r="BL48" i="282"/>
  <c r="BL27" i="265"/>
  <c r="BQ116" i="314"/>
  <c r="BQ119" i="314"/>
  <c r="BQ140" i="314"/>
  <c r="BP503" i="321"/>
  <c r="BP504" i="321"/>
  <c r="BP507" i="321"/>
  <c r="BP508" i="321"/>
  <c r="BP517" i="321"/>
  <c r="BQ122" i="314"/>
  <c r="BQ124" i="314"/>
  <c r="BQ149" i="314"/>
  <c r="BQ150" i="314"/>
  <c r="BL29" i="265"/>
  <c r="AK27" i="277"/>
  <c r="BL19" i="286"/>
  <c r="BK126" i="265"/>
  <c r="BK35" i="286"/>
  <c r="BK39" i="286"/>
  <c r="BK40" i="286"/>
  <c r="BK52" i="288"/>
  <c r="BK91" i="265"/>
  <c r="BL37" i="286"/>
  <c r="BK127" i="265"/>
  <c r="BK92" i="265"/>
  <c r="BK93" i="265"/>
  <c r="BL13" i="286"/>
  <c r="AK29" i="277"/>
  <c r="BL44" i="282"/>
  <c r="BL49" i="282"/>
  <c r="BQ153" i="314"/>
  <c r="BQ144" i="314"/>
  <c r="BP513" i="321"/>
  <c r="BP514" i="321"/>
  <c r="BP518" i="321"/>
  <c r="BP519" i="321"/>
  <c r="BP522" i="321"/>
  <c r="BP523" i="321"/>
  <c r="BP509" i="321"/>
  <c r="BP199" i="288"/>
  <c r="BP193" i="288"/>
  <c r="BP83" i="315"/>
  <c r="BP531" i="321"/>
  <c r="BP524" i="321"/>
  <c r="BP200" i="288"/>
  <c r="BP530" i="321"/>
  <c r="BP532" i="321"/>
  <c r="BL52" i="282"/>
  <c r="BL53" i="282"/>
  <c r="BL55" i="282"/>
  <c r="BL56" i="282"/>
  <c r="BK54" i="286"/>
  <c r="BK75" i="286"/>
  <c r="BK76" i="286"/>
  <c r="BK79" i="286"/>
  <c r="BK80" i="286"/>
  <c r="BL31" i="286"/>
  <c r="BK55" i="286"/>
  <c r="BK47" i="286"/>
  <c r="BK48" i="286"/>
  <c r="BK48" i="288"/>
  <c r="BK42" i="288"/>
  <c r="BK44" i="288"/>
  <c r="BK81" i="286"/>
  <c r="BK25" i="328"/>
  <c r="BK56" i="286"/>
  <c r="BL68" i="282"/>
  <c r="BL62" i="282"/>
  <c r="BL58" i="282"/>
  <c r="BL60" i="282"/>
  <c r="BQ527" i="321"/>
  <c r="BP120" i="315"/>
  <c r="BP84" i="315"/>
  <c r="BP85" i="315"/>
  <c r="BP87" i="286"/>
  <c r="BP88" i="286"/>
  <c r="BQ496" i="321"/>
  <c r="BQ498" i="321"/>
  <c r="BQ521" i="321"/>
  <c r="BL63" i="282"/>
  <c r="BL69" i="282"/>
  <c r="BL64" i="282"/>
  <c r="BL70" i="282"/>
  <c r="BM67" i="282"/>
  <c r="BL53" i="286"/>
  <c r="BK58" i="286"/>
  <c r="BK64" i="286"/>
  <c r="BK107" i="265"/>
  <c r="BK35" i="265"/>
  <c r="BK95" i="265"/>
  <c r="BK47" i="288"/>
  <c r="BK54" i="288"/>
  <c r="BL45" i="286"/>
  <c r="BK128" i="265"/>
  <c r="BK129" i="265"/>
  <c r="BK135" i="265"/>
  <c r="BL70" i="286"/>
  <c r="BK57" i="288"/>
  <c r="BK96" i="265"/>
  <c r="BK36" i="265"/>
  <c r="BK59" i="328"/>
  <c r="BK112" i="265"/>
  <c r="BK114" i="265"/>
  <c r="BK134" i="265"/>
  <c r="BL458" i="321"/>
  <c r="BL48" i="314"/>
  <c r="BL9" i="286"/>
  <c r="BL74" i="286"/>
  <c r="BM59" i="282"/>
  <c r="BL75" i="282"/>
  <c r="BL76" i="282"/>
  <c r="BQ499" i="321"/>
  <c r="BQ103" i="282"/>
  <c r="BQ108" i="282"/>
  <c r="BQ512" i="321"/>
  <c r="BQ506" i="321"/>
  <c r="BP91" i="286"/>
  <c r="BP93" i="286"/>
  <c r="BP104" i="286"/>
  <c r="BP94" i="286"/>
  <c r="BP105" i="286"/>
  <c r="BP106" i="286"/>
  <c r="BP109" i="286"/>
  <c r="BP111" i="286"/>
  <c r="BP98" i="286"/>
  <c r="BP99" i="286"/>
  <c r="BP201" i="288"/>
  <c r="BQ116" i="282"/>
  <c r="BQ25" i="315"/>
  <c r="BQ27" i="315"/>
  <c r="BL77" i="282"/>
  <c r="BK137" i="265"/>
  <c r="BK136" i="265"/>
  <c r="BL46" i="265"/>
  <c r="BL31" i="265"/>
  <c r="BQ112" i="282"/>
  <c r="BQ117" i="282"/>
  <c r="BQ96" i="286"/>
  <c r="BP122" i="315"/>
  <c r="BP112" i="286"/>
  <c r="BP116" i="286"/>
  <c r="BP117" i="286"/>
  <c r="BP202" i="288"/>
  <c r="BP87" i="315"/>
  <c r="BQ114" i="286"/>
  <c r="BP123" i="315"/>
  <c r="BP88" i="315"/>
  <c r="BP89" i="315"/>
  <c r="BQ90" i="286"/>
  <c r="BQ120" i="282"/>
  <c r="BQ121" i="282"/>
  <c r="BQ123" i="282"/>
  <c r="BQ124" i="282"/>
  <c r="AK31" i="277"/>
  <c r="BL33" i="265"/>
  <c r="BL47" i="265"/>
  <c r="AK46" i="277"/>
  <c r="AK47" i="277"/>
  <c r="BL27" i="288"/>
  <c r="BL29" i="288"/>
  <c r="BL65" i="265"/>
  <c r="BL71" i="286"/>
  <c r="BL72" i="286"/>
  <c r="BL78" i="286"/>
  <c r="BL46" i="286"/>
  <c r="AK33" i="277"/>
  <c r="BQ136" i="282"/>
  <c r="BQ130" i="282"/>
  <c r="BQ126" i="282"/>
  <c r="BQ128" i="282"/>
  <c r="BP131" i="286"/>
  <c r="BP143" i="286"/>
  <c r="BP144" i="286"/>
  <c r="BP147" i="286"/>
  <c r="BP148" i="286"/>
  <c r="BQ108" i="286"/>
  <c r="BP132" i="286"/>
  <c r="BP124" i="286"/>
  <c r="BP125" i="286"/>
  <c r="BP198" i="288"/>
  <c r="BP192" i="288"/>
  <c r="BP194" i="288"/>
  <c r="BP149" i="286"/>
  <c r="BP133" i="286"/>
  <c r="BQ131" i="282"/>
  <c r="BQ137" i="282"/>
  <c r="BQ132" i="282"/>
  <c r="BQ138" i="282"/>
  <c r="BR135" i="282"/>
  <c r="BL77" i="265"/>
  <c r="BL113" i="288"/>
  <c r="BL10" i="321"/>
  <c r="BL12" i="321"/>
  <c r="BL85" i="288"/>
  <c r="BL65" i="288"/>
  <c r="BL20" i="328"/>
  <c r="AK40" i="328"/>
  <c r="BL32" i="288"/>
  <c r="AK65" i="277"/>
  <c r="AK77" i="277"/>
  <c r="BL87" i="288"/>
  <c r="BL89" i="288"/>
  <c r="BL39" i="311"/>
  <c r="BL49" i="314"/>
  <c r="BL51" i="314"/>
  <c r="BR127" i="282"/>
  <c r="BQ143" i="282"/>
  <c r="BQ144" i="282"/>
  <c r="BQ130" i="286"/>
  <c r="BP103" i="315"/>
  <c r="BP108" i="315"/>
  <c r="BP110" i="315"/>
  <c r="BP130" i="315"/>
  <c r="BP33" i="315"/>
  <c r="BP34" i="315"/>
  <c r="BP91" i="315"/>
  <c r="BP92" i="315"/>
  <c r="BP197" i="288"/>
  <c r="BP204" i="288"/>
  <c r="BQ122" i="286"/>
  <c r="BP124" i="315"/>
  <c r="BP125" i="315"/>
  <c r="BP131" i="315"/>
  <c r="BQ138" i="286"/>
  <c r="BP207" i="288"/>
  <c r="BP133" i="315"/>
  <c r="BP132" i="315"/>
  <c r="BQ502" i="321"/>
  <c r="BQ127" i="314"/>
  <c r="BQ86" i="286"/>
  <c r="BQ142" i="286"/>
  <c r="BQ145" i="282"/>
  <c r="BL53" i="314"/>
  <c r="BL54" i="314"/>
  <c r="BL64" i="314"/>
  <c r="BL66" i="314"/>
  <c r="BL56" i="314"/>
  <c r="BL58" i="314"/>
  <c r="BL80" i="311"/>
  <c r="BL60" i="314"/>
  <c r="BL62" i="314"/>
  <c r="BL67" i="314"/>
  <c r="BL82" i="314"/>
  <c r="BQ44" i="315"/>
  <c r="BQ45" i="315"/>
  <c r="BQ29" i="315"/>
  <c r="BQ31" i="315"/>
  <c r="BQ139" i="286"/>
  <c r="BQ140" i="286"/>
  <c r="BQ146" i="286"/>
  <c r="BQ123" i="286"/>
  <c r="BQ177" i="288"/>
  <c r="BQ179" i="288"/>
  <c r="BQ63" i="315"/>
  <c r="BL79" i="265"/>
  <c r="BL73" i="314"/>
  <c r="BL75" i="314"/>
  <c r="BL80" i="265"/>
  <c r="AK80" i="277"/>
  <c r="BL83" i="314"/>
  <c r="BL84" i="314"/>
  <c r="AK79" i="277"/>
  <c r="BL82" i="265"/>
  <c r="BQ73" i="315"/>
  <c r="BQ263" i="288"/>
  <c r="BQ235" i="288"/>
  <c r="BQ215" i="288"/>
  <c r="BQ182" i="288"/>
  <c r="BQ237" i="288"/>
  <c r="BQ239" i="288"/>
  <c r="BQ128" i="314"/>
  <c r="BQ130" i="314"/>
  <c r="BL85" i="265"/>
  <c r="AK82" i="277"/>
  <c r="BM81" i="314"/>
  <c r="BL111" i="265"/>
  <c r="BL87" i="314"/>
  <c r="BL90" i="314"/>
  <c r="BL60" i="328"/>
  <c r="AK71" i="328"/>
  <c r="AK111" i="277"/>
  <c r="BM37" i="314"/>
  <c r="BM40" i="314"/>
  <c r="BM61" i="314"/>
  <c r="AK85" i="277"/>
  <c r="BL459" i="321"/>
  <c r="BL460" i="321"/>
  <c r="BQ132" i="314"/>
  <c r="BQ133" i="314"/>
  <c r="BQ143" i="314"/>
  <c r="BQ145" i="314"/>
  <c r="BQ135" i="314"/>
  <c r="BQ137" i="314"/>
  <c r="BQ139" i="314"/>
  <c r="BQ141" i="314"/>
  <c r="BQ146" i="314"/>
  <c r="BQ161" i="314"/>
  <c r="BL463" i="321"/>
  <c r="BL464" i="321"/>
  <c r="BL473" i="321"/>
  <c r="BM43" i="314"/>
  <c r="BM45" i="314"/>
  <c r="BM70" i="314"/>
  <c r="BM71" i="314"/>
  <c r="BM74" i="314"/>
  <c r="BM65" i="314"/>
  <c r="BL469" i="321"/>
  <c r="BL470" i="321"/>
  <c r="BL474" i="321"/>
  <c r="BL475" i="321"/>
  <c r="BL478" i="321"/>
  <c r="BL479" i="321"/>
  <c r="BL465" i="321"/>
  <c r="BL49" i="288"/>
  <c r="BL43" i="288"/>
  <c r="BL23" i="328"/>
  <c r="AK43" i="328"/>
  <c r="BQ75" i="315"/>
  <c r="BQ152" i="314"/>
  <c r="BQ154" i="314"/>
  <c r="BQ76" i="315"/>
  <c r="BQ162" i="314"/>
  <c r="BQ163" i="314"/>
  <c r="BQ78" i="315"/>
  <c r="BL87" i="265"/>
  <c r="BL487" i="321"/>
  <c r="BL480" i="321"/>
  <c r="BL50" i="288"/>
  <c r="BL24" i="328"/>
  <c r="AK44" i="328"/>
  <c r="BL486" i="321"/>
  <c r="BL488" i="321"/>
  <c r="BM483" i="321"/>
  <c r="BL124" i="265"/>
  <c r="BL88" i="265"/>
  <c r="AK88" i="277"/>
  <c r="AK87" i="277"/>
  <c r="BL89" i="265"/>
  <c r="BQ81" i="315"/>
  <c r="BR160" i="314"/>
  <c r="BQ107" i="315"/>
  <c r="BR116" i="314"/>
  <c r="BR119" i="314"/>
  <c r="BR140" i="314"/>
  <c r="BQ503" i="321"/>
  <c r="BQ504" i="321"/>
  <c r="BL10" i="286"/>
  <c r="BL11" i="286"/>
  <c r="AK89" i="277"/>
  <c r="AK124" i="277"/>
  <c r="BM452" i="321"/>
  <c r="BM454" i="321"/>
  <c r="BM477" i="321"/>
  <c r="BM455" i="321"/>
  <c r="BM35" i="282"/>
  <c r="BM40" i="282"/>
  <c r="BM468" i="321"/>
  <c r="BM462" i="321"/>
  <c r="BL14" i="286"/>
  <c r="BL16" i="286"/>
  <c r="BL27" i="286"/>
  <c r="BQ507" i="321"/>
  <c r="BQ508" i="321"/>
  <c r="BQ517" i="321"/>
  <c r="BR122" i="314"/>
  <c r="BR124" i="314"/>
  <c r="BR149" i="314"/>
  <c r="BR150" i="314"/>
  <c r="BR153" i="314"/>
  <c r="BR144" i="314"/>
  <c r="BQ513" i="321"/>
  <c r="BQ514" i="321"/>
  <c r="BQ518" i="321"/>
  <c r="BQ519" i="321"/>
  <c r="BQ522" i="321"/>
  <c r="BQ523" i="321"/>
  <c r="BQ509" i="321"/>
  <c r="BQ199" i="288"/>
  <c r="BQ193" i="288"/>
  <c r="BL17" i="286"/>
  <c r="BL28" i="286"/>
  <c r="BL29" i="286"/>
  <c r="BL32" i="286"/>
  <c r="BL34" i="286"/>
  <c r="BL21" i="286"/>
  <c r="BL22" i="286"/>
  <c r="BL51" i="288"/>
  <c r="BM48" i="282"/>
  <c r="BM27" i="265"/>
  <c r="BM29" i="265"/>
  <c r="BM19" i="286"/>
  <c r="BL126" i="265"/>
  <c r="BL35" i="286"/>
  <c r="BL39" i="286"/>
  <c r="BL40" i="286"/>
  <c r="BL52" i="288"/>
  <c r="BL91" i="265"/>
  <c r="BQ83" i="315"/>
  <c r="BQ531" i="321"/>
  <c r="BQ524" i="321"/>
  <c r="BQ200" i="288"/>
  <c r="BQ530" i="321"/>
  <c r="BQ532" i="321"/>
  <c r="BR527" i="321"/>
  <c r="BQ120" i="315"/>
  <c r="BQ84" i="315"/>
  <c r="BQ85" i="315"/>
  <c r="AK91" i="277"/>
  <c r="BM37" i="286"/>
  <c r="BL127" i="265"/>
  <c r="AK127" i="277"/>
  <c r="BL92" i="265"/>
  <c r="BL93" i="265"/>
  <c r="AK126" i="277"/>
  <c r="BM13" i="286"/>
  <c r="BM44" i="282"/>
  <c r="BM49" i="282"/>
  <c r="BM52" i="282"/>
  <c r="BM53" i="282"/>
  <c r="BM55" i="282"/>
  <c r="BM56" i="282"/>
  <c r="BL54" i="286"/>
  <c r="BL75" i="286"/>
  <c r="BL76" i="286"/>
  <c r="BL79" i="286"/>
  <c r="BL80" i="286"/>
  <c r="BM31" i="286"/>
  <c r="AK93" i="277"/>
  <c r="BQ87" i="286"/>
  <c r="BQ88" i="286"/>
  <c r="BR496" i="321"/>
  <c r="BR498" i="321"/>
  <c r="BR521" i="321"/>
  <c r="BR499" i="321"/>
  <c r="BR103" i="282"/>
  <c r="BR108" i="282"/>
  <c r="BR512" i="321"/>
  <c r="BR506" i="321"/>
  <c r="BQ91" i="286"/>
  <c r="BQ93" i="286"/>
  <c r="BQ104" i="286"/>
  <c r="BL55" i="286"/>
  <c r="BL47" i="286"/>
  <c r="BL48" i="286"/>
  <c r="BL48" i="288"/>
  <c r="BL42" i="288"/>
  <c r="BL44" i="288"/>
  <c r="BL81" i="286"/>
  <c r="BL25" i="328"/>
  <c r="AK45" i="328"/>
  <c r="BL56" i="286"/>
  <c r="BM68" i="282"/>
  <c r="BM62" i="282"/>
  <c r="BM58" i="282"/>
  <c r="BM60" i="282"/>
  <c r="BM63" i="282"/>
  <c r="BM69" i="282"/>
  <c r="BM64" i="282"/>
  <c r="BM70" i="282"/>
  <c r="BN67" i="282"/>
  <c r="BM53" i="286"/>
  <c r="BL58" i="286"/>
  <c r="BL64" i="286"/>
  <c r="BL107" i="265"/>
  <c r="BL35" i="265"/>
  <c r="BL95" i="265"/>
  <c r="BL47" i="288"/>
  <c r="BL54" i="288"/>
  <c r="BM45" i="286"/>
  <c r="BL128" i="265"/>
  <c r="BQ94" i="286"/>
  <c r="BQ105" i="286"/>
  <c r="BQ106" i="286"/>
  <c r="BQ109" i="286"/>
  <c r="BQ111" i="286"/>
  <c r="BQ98" i="286"/>
  <c r="BQ99" i="286"/>
  <c r="BQ201" i="288"/>
  <c r="BR116" i="282"/>
  <c r="BR25" i="315"/>
  <c r="BR27" i="315"/>
  <c r="BR112" i="282"/>
  <c r="BR117" i="282"/>
  <c r="BR96" i="286"/>
  <c r="BQ122" i="315"/>
  <c r="BQ112" i="286"/>
  <c r="BQ116" i="286"/>
  <c r="BQ117" i="286"/>
  <c r="BQ202" i="288"/>
  <c r="BQ87" i="315"/>
  <c r="AK128" i="277"/>
  <c r="AK129" i="277"/>
  <c r="AK135" i="277"/>
  <c r="BL129" i="265"/>
  <c r="BL135" i="265"/>
  <c r="BM70" i="286"/>
  <c r="BL57" i="288"/>
  <c r="AK95" i="277"/>
  <c r="BL96" i="265"/>
  <c r="AK35" i="277"/>
  <c r="BL36" i="265"/>
  <c r="BL59" i="328"/>
  <c r="AK70" i="328"/>
  <c r="AK107" i="277"/>
  <c r="AK112" i="277"/>
  <c r="AK114" i="277"/>
  <c r="AK134" i="277"/>
  <c r="BL112" i="265"/>
  <c r="BL114" i="265"/>
  <c r="BL134" i="265"/>
  <c r="BM458" i="321"/>
  <c r="BM48" i="314"/>
  <c r="BM9" i="286"/>
  <c r="BM74" i="286"/>
  <c r="BN59" i="282"/>
  <c r="BM75" i="282"/>
  <c r="BM76" i="282"/>
  <c r="BM77" i="282"/>
  <c r="BL137" i="265"/>
  <c r="BL136" i="265"/>
  <c r="AK137" i="277"/>
  <c r="AK136" i="277"/>
  <c r="AK36" i="277"/>
  <c r="AK96" i="277"/>
  <c r="BR114" i="286"/>
  <c r="BQ123" i="315"/>
  <c r="BQ88" i="315"/>
  <c r="BQ89" i="315"/>
  <c r="BR90" i="286"/>
  <c r="BR120" i="282"/>
  <c r="BR121" i="282"/>
  <c r="BR123" i="282"/>
  <c r="BR124" i="282"/>
  <c r="BR136" i="282"/>
  <c r="BR130" i="282"/>
  <c r="BR126" i="282"/>
  <c r="BR128" i="282"/>
  <c r="BQ131" i="286"/>
  <c r="BQ143" i="286"/>
  <c r="BQ144" i="286"/>
  <c r="BQ147" i="286"/>
  <c r="BQ148" i="286"/>
  <c r="BR108" i="286"/>
  <c r="BM46" i="265"/>
  <c r="BM31" i="265"/>
  <c r="BM33" i="265"/>
  <c r="BM47" i="265"/>
  <c r="BQ132" i="286"/>
  <c r="BQ124" i="286"/>
  <c r="BQ125" i="286"/>
  <c r="BQ198" i="288"/>
  <c r="BQ192" i="288"/>
  <c r="BQ194" i="288"/>
  <c r="BQ149" i="286"/>
  <c r="BQ133" i="286"/>
  <c r="BR131" i="282"/>
  <c r="BR137" i="282"/>
  <c r="BR132" i="282"/>
  <c r="BR138" i="282"/>
  <c r="BS135" i="282"/>
  <c r="BS127" i="282"/>
  <c r="BR143" i="282"/>
  <c r="BR144" i="282"/>
  <c r="BR130" i="286"/>
  <c r="BQ103" i="315"/>
  <c r="BQ108" i="315"/>
  <c r="BQ110" i="315"/>
  <c r="BQ130" i="315"/>
  <c r="BQ33" i="315"/>
  <c r="BQ34" i="315"/>
  <c r="BQ91" i="315"/>
  <c r="BQ92" i="315"/>
  <c r="BQ197" i="288"/>
  <c r="BQ204" i="288"/>
  <c r="BR122" i="286"/>
  <c r="BQ124" i="315"/>
  <c r="BQ125" i="315"/>
  <c r="BQ131" i="315"/>
  <c r="BM27" i="288"/>
  <c r="BM29" i="288"/>
  <c r="BM65" i="265"/>
  <c r="BM71" i="286"/>
  <c r="BM72" i="286"/>
  <c r="BM78" i="286"/>
  <c r="BM46" i="286"/>
  <c r="BM77" i="265"/>
  <c r="BM113" i="288"/>
  <c r="BM10" i="321"/>
  <c r="BM12" i="321"/>
  <c r="BM85" i="288"/>
  <c r="BM20" i="328"/>
  <c r="BM65" i="288"/>
  <c r="BM32" i="288"/>
  <c r="BR138" i="286"/>
  <c r="BQ207" i="288"/>
  <c r="BQ133" i="315"/>
  <c r="BQ132" i="315"/>
  <c r="BR502" i="321"/>
  <c r="BR127" i="314"/>
  <c r="BR86" i="286"/>
  <c r="BR142" i="286"/>
  <c r="BR145" i="282"/>
  <c r="BR44" i="315"/>
  <c r="BR45" i="315"/>
  <c r="BR29" i="315"/>
  <c r="BR31" i="315"/>
  <c r="BM87" i="288"/>
  <c r="BM89" i="288"/>
  <c r="BM39" i="311"/>
  <c r="BM49" i="314"/>
  <c r="BM51" i="314"/>
  <c r="BM53" i="314"/>
  <c r="BM54" i="314"/>
  <c r="BM64" i="314"/>
  <c r="BM66" i="314"/>
  <c r="BM56" i="314"/>
  <c r="BM58" i="314"/>
  <c r="BM80" i="311"/>
  <c r="BR139" i="286"/>
  <c r="BR140" i="286"/>
  <c r="BR146" i="286"/>
  <c r="BR123" i="286"/>
  <c r="BR177" i="288"/>
  <c r="BR179" i="288"/>
  <c r="BR63" i="315"/>
  <c r="BR73" i="315"/>
  <c r="BR263" i="288"/>
  <c r="BR235" i="288"/>
  <c r="BR215" i="288"/>
  <c r="BR182" i="288"/>
  <c r="BM60" i="314"/>
  <c r="BM62" i="314"/>
  <c r="BM67" i="314"/>
  <c r="BM82" i="314"/>
  <c r="BM79" i="265"/>
  <c r="BM73" i="314"/>
  <c r="BM75" i="314"/>
  <c r="BR237" i="288"/>
  <c r="BR239" i="288"/>
  <c r="BR128" i="314"/>
  <c r="BR130" i="314"/>
  <c r="BR132" i="314"/>
  <c r="BR133" i="314"/>
  <c r="BR143" i="314"/>
  <c r="BR145" i="314"/>
  <c r="BR135" i="314"/>
  <c r="BR137" i="314"/>
  <c r="BM80" i="265"/>
  <c r="BM83" i="314"/>
  <c r="BM84" i="314"/>
  <c r="BM82" i="265"/>
  <c r="BM85" i="265"/>
  <c r="BN81" i="314"/>
  <c r="BM111" i="265"/>
  <c r="BM60" i="328"/>
  <c r="BM87" i="314"/>
  <c r="BM90" i="314"/>
  <c r="BR139" i="314"/>
  <c r="BR141" i="314"/>
  <c r="BR146" i="314"/>
  <c r="BR161" i="314"/>
  <c r="BR75" i="315"/>
  <c r="BR152" i="314"/>
  <c r="BR154" i="314"/>
  <c r="BN37" i="314"/>
  <c r="BN40" i="314"/>
  <c r="BN61" i="314"/>
  <c r="BM459" i="321"/>
  <c r="BM460" i="321"/>
  <c r="BM463" i="321"/>
  <c r="BM464" i="321"/>
  <c r="BM473" i="321"/>
  <c r="BN43" i="314"/>
  <c r="BN45" i="314"/>
  <c r="BN70" i="314"/>
  <c r="BN71" i="314"/>
  <c r="BR76" i="315"/>
  <c r="BR162" i="314"/>
  <c r="BR163" i="314"/>
  <c r="BR78" i="315"/>
  <c r="BR81" i="315"/>
  <c r="BS160" i="314"/>
  <c r="BR107" i="315"/>
  <c r="BN74" i="314"/>
  <c r="BN65" i="314"/>
  <c r="BM469" i="321"/>
  <c r="BM470" i="321"/>
  <c r="BM474" i="321"/>
  <c r="BM475" i="321"/>
  <c r="BM478" i="321"/>
  <c r="BM479" i="321"/>
  <c r="BM465" i="321"/>
  <c r="BM49" i="288"/>
  <c r="BM43" i="288"/>
  <c r="BM23" i="328"/>
  <c r="BM87" i="265"/>
  <c r="BM487" i="321"/>
  <c r="BM480" i="321"/>
  <c r="BM50" i="288"/>
  <c r="BM24" i="328"/>
  <c r="BM486" i="321"/>
  <c r="BM488" i="321"/>
  <c r="BS116" i="314"/>
  <c r="BS119" i="314"/>
  <c r="BS140" i="314"/>
  <c r="BR503" i="321"/>
  <c r="BR504" i="321"/>
  <c r="BR507" i="321"/>
  <c r="BR508" i="321"/>
  <c r="BR517" i="321"/>
  <c r="BS122" i="314"/>
  <c r="BS124" i="314"/>
  <c r="BS149" i="314"/>
  <c r="BS150" i="314"/>
  <c r="BN483" i="321"/>
  <c r="BM124" i="265"/>
  <c r="BM88" i="265"/>
  <c r="BM89" i="265"/>
  <c r="BM10" i="286"/>
  <c r="BM11" i="286"/>
  <c r="BN452" i="321"/>
  <c r="BN454" i="321"/>
  <c r="BN477" i="321"/>
  <c r="BS153" i="314"/>
  <c r="BS144" i="314"/>
  <c r="BR513" i="321"/>
  <c r="BR514" i="321"/>
  <c r="BR518" i="321"/>
  <c r="BR519" i="321"/>
  <c r="BR522" i="321"/>
  <c r="BR523" i="321"/>
  <c r="BR509" i="321"/>
  <c r="BR199" i="288"/>
  <c r="BR193" i="288"/>
  <c r="BR83" i="315"/>
  <c r="BR531" i="321"/>
  <c r="BR524" i="321"/>
  <c r="BR200" i="288"/>
  <c r="BR530" i="321"/>
  <c r="BR532" i="321"/>
  <c r="BN455" i="321"/>
  <c r="BN35" i="282"/>
  <c r="BN40" i="282"/>
  <c r="BN468" i="321"/>
  <c r="BN462" i="321"/>
  <c r="BM14" i="286"/>
  <c r="BM16" i="286"/>
  <c r="BM27" i="286"/>
  <c r="BM17" i="286"/>
  <c r="BM28" i="286"/>
  <c r="BM29" i="286"/>
  <c r="BM32" i="286"/>
  <c r="BM34" i="286"/>
  <c r="BM21" i="286"/>
  <c r="BM22" i="286"/>
  <c r="BM51" i="288"/>
  <c r="BN48" i="282"/>
  <c r="BN27" i="265"/>
  <c r="BS527" i="321"/>
  <c r="BR120" i="315"/>
  <c r="BR84" i="315"/>
  <c r="BR85" i="315"/>
  <c r="BR87" i="286"/>
  <c r="BR88" i="286"/>
  <c r="BS496" i="321"/>
  <c r="BS498" i="321"/>
  <c r="BS521" i="321"/>
  <c r="BN29" i="265"/>
  <c r="AL27" i="277"/>
  <c r="BN19" i="286"/>
  <c r="BM126" i="265"/>
  <c r="BM35" i="286"/>
  <c r="BM39" i="286"/>
  <c r="BM40" i="286"/>
  <c r="BM52" i="288"/>
  <c r="BM91" i="265"/>
  <c r="BN37" i="286"/>
  <c r="BM127" i="265"/>
  <c r="BM92" i="265"/>
  <c r="BM93" i="265"/>
  <c r="BN13" i="286"/>
  <c r="AL29" i="277"/>
  <c r="BN44" i="282"/>
  <c r="BN49" i="282"/>
  <c r="BS499" i="321"/>
  <c r="BS103" i="282"/>
  <c r="BS108" i="282"/>
  <c r="BS512" i="321"/>
  <c r="BS506" i="321"/>
  <c r="BR91" i="286"/>
  <c r="BR93" i="286"/>
  <c r="BR104" i="286"/>
  <c r="BR94" i="286"/>
  <c r="BR105" i="286"/>
  <c r="BR106" i="286"/>
  <c r="BR109" i="286"/>
  <c r="BR111" i="286"/>
  <c r="BR98" i="286"/>
  <c r="BR99" i="286"/>
  <c r="BR201" i="288"/>
  <c r="BS116" i="282"/>
  <c r="BS25" i="315"/>
  <c r="BS27" i="315"/>
  <c r="BN52" i="282"/>
  <c r="BN53" i="282"/>
  <c r="BN55" i="282"/>
  <c r="BN56" i="282"/>
  <c r="BM54" i="286"/>
  <c r="BM75" i="286"/>
  <c r="BM76" i="286"/>
  <c r="BM79" i="286"/>
  <c r="BM80" i="286"/>
  <c r="BN31" i="286"/>
  <c r="BM55" i="286"/>
  <c r="BM47" i="286"/>
  <c r="BM48" i="286"/>
  <c r="BM48" i="288"/>
  <c r="BM42" i="288"/>
  <c r="BM44" i="288"/>
  <c r="BM81" i="286"/>
  <c r="BM25" i="328"/>
  <c r="BM56" i="286"/>
  <c r="BN68" i="282"/>
  <c r="BN62" i="282"/>
  <c r="BN58" i="282"/>
  <c r="BN60" i="282"/>
  <c r="BS112" i="282"/>
  <c r="BS117" i="282"/>
  <c r="BS96" i="286"/>
  <c r="BR122" i="315"/>
  <c r="BR112" i="286"/>
  <c r="BR116" i="286"/>
  <c r="BR117" i="286"/>
  <c r="BR202" i="288"/>
  <c r="BR87" i="315"/>
  <c r="BS114" i="286"/>
  <c r="BR123" i="315"/>
  <c r="BR88" i="315"/>
  <c r="BR89" i="315"/>
  <c r="BS90" i="286"/>
  <c r="BS120" i="282"/>
  <c r="BS121" i="282"/>
  <c r="BS123" i="282"/>
  <c r="BS124" i="282"/>
  <c r="BN63" i="282"/>
  <c r="BN69" i="282"/>
  <c r="BN64" i="282"/>
  <c r="BN70" i="282"/>
  <c r="BO67" i="282"/>
  <c r="BN53" i="286"/>
  <c r="BM58" i="286"/>
  <c r="BM64" i="286"/>
  <c r="BM107" i="265"/>
  <c r="BM35" i="265"/>
  <c r="BM95" i="265"/>
  <c r="BM47" i="288"/>
  <c r="BM54" i="288"/>
  <c r="BN45" i="286"/>
  <c r="BM128" i="265"/>
  <c r="BM129" i="265"/>
  <c r="BM135" i="265"/>
  <c r="BN70" i="286"/>
  <c r="BM57" i="288"/>
  <c r="BM96" i="265"/>
  <c r="BM36" i="265"/>
  <c r="BM59" i="328"/>
  <c r="BM112" i="265"/>
  <c r="BM114" i="265"/>
  <c r="BM134" i="265"/>
  <c r="BN458" i="321"/>
  <c r="BN48" i="314"/>
  <c r="BN9" i="286"/>
  <c r="BN74" i="286"/>
  <c r="BO59" i="282"/>
  <c r="BN75" i="282"/>
  <c r="BN76" i="282"/>
  <c r="BS136" i="282"/>
  <c r="BS130" i="282"/>
  <c r="BS126" i="282"/>
  <c r="BS128" i="282"/>
  <c r="BR131" i="286"/>
  <c r="BR143" i="286"/>
  <c r="BR144" i="286"/>
  <c r="BR147" i="286"/>
  <c r="BR148" i="286"/>
  <c r="BS108" i="286"/>
  <c r="BR132" i="286"/>
  <c r="BR124" i="286"/>
  <c r="BR125" i="286"/>
  <c r="BR198" i="288"/>
  <c r="BR192" i="288"/>
  <c r="BR194" i="288"/>
  <c r="BR149" i="286"/>
  <c r="BR133" i="286"/>
  <c r="BS131" i="282"/>
  <c r="BS137" i="282"/>
  <c r="BS132" i="282"/>
  <c r="BS138" i="282"/>
  <c r="BT135" i="282"/>
  <c r="BN77" i="282"/>
  <c r="BM137" i="265"/>
  <c r="BM136" i="265"/>
  <c r="BN46" i="265"/>
  <c r="BN31" i="265"/>
  <c r="BT127" i="282"/>
  <c r="BS143" i="282"/>
  <c r="BS144" i="282"/>
  <c r="BS130" i="286"/>
  <c r="BR103" i="315"/>
  <c r="BR108" i="315"/>
  <c r="BR110" i="315"/>
  <c r="BR130" i="315"/>
  <c r="BR33" i="315"/>
  <c r="BR34" i="315"/>
  <c r="BR91" i="315"/>
  <c r="BR92" i="315"/>
  <c r="BR197" i="288"/>
  <c r="BR204" i="288"/>
  <c r="BS122" i="286"/>
  <c r="BR124" i="315"/>
  <c r="BR125" i="315"/>
  <c r="BR131" i="315"/>
  <c r="BS138" i="286"/>
  <c r="BR207" i="288"/>
  <c r="BR133" i="315"/>
  <c r="BR132" i="315"/>
  <c r="BS502" i="321"/>
  <c r="BS127" i="314"/>
  <c r="BS86" i="286"/>
  <c r="BS142" i="286"/>
  <c r="BS145" i="282"/>
  <c r="AL31" i="277"/>
  <c r="BN33" i="265"/>
  <c r="BN47" i="265"/>
  <c r="AL46" i="277"/>
  <c r="AL47" i="277"/>
  <c r="BN27" i="288"/>
  <c r="BN29" i="288"/>
  <c r="BN65" i="265"/>
  <c r="BN71" i="286"/>
  <c r="BN72" i="286"/>
  <c r="BN78" i="286"/>
  <c r="BN46" i="286"/>
  <c r="AL33" i="277"/>
  <c r="BS44" i="315"/>
  <c r="BS45" i="315"/>
  <c r="BS29" i="315"/>
  <c r="BS31" i="315"/>
  <c r="BS139" i="286"/>
  <c r="BS140" i="286"/>
  <c r="BS146" i="286"/>
  <c r="BS123" i="286"/>
  <c r="BS177" i="288"/>
  <c r="BS179" i="288"/>
  <c r="BS63" i="315"/>
  <c r="BN77" i="265"/>
  <c r="BN113" i="288"/>
  <c r="BN10" i="321"/>
  <c r="BN12" i="321"/>
  <c r="BN85" i="288"/>
  <c r="BN20" i="328"/>
  <c r="AL40" i="328"/>
  <c r="BN65" i="288"/>
  <c r="BN32" i="288"/>
  <c r="AL65" i="277"/>
  <c r="AL77" i="277"/>
  <c r="BN87" i="288"/>
  <c r="BN89" i="288"/>
  <c r="BN39" i="311"/>
  <c r="BN49" i="314"/>
  <c r="BN51" i="314"/>
  <c r="BS73" i="315"/>
  <c r="BS263" i="288"/>
  <c r="BS235" i="288"/>
  <c r="BS215" i="288"/>
  <c r="BS182" i="288"/>
  <c r="BS237" i="288"/>
  <c r="BS239" i="288"/>
  <c r="BS128" i="314"/>
  <c r="BS130" i="314"/>
  <c r="BN53" i="314"/>
  <c r="BN54" i="314"/>
  <c r="BN64" i="314"/>
  <c r="BN66" i="314"/>
  <c r="BN56" i="314"/>
  <c r="BN58" i="314"/>
  <c r="BN80" i="311"/>
  <c r="BN60" i="314"/>
  <c r="BN62" i="314"/>
  <c r="BN67" i="314"/>
  <c r="BN82" i="314"/>
  <c r="BS132" i="314"/>
  <c r="BS133" i="314"/>
  <c r="BS143" i="314"/>
  <c r="BS145" i="314"/>
  <c r="BS135" i="314"/>
  <c r="BS137" i="314"/>
  <c r="BS139" i="314"/>
  <c r="BS141" i="314"/>
  <c r="BS146" i="314"/>
  <c r="BS161" i="314"/>
  <c r="BN79" i="265"/>
  <c r="BN73" i="314"/>
  <c r="BN75" i="314"/>
  <c r="BN80" i="265"/>
  <c r="AL80" i="277"/>
  <c r="BN83" i="314"/>
  <c r="BN84" i="314"/>
  <c r="AL79" i="277"/>
  <c r="BN82" i="265"/>
  <c r="BS75" i="315"/>
  <c r="BS152" i="314"/>
  <c r="BS154" i="314"/>
  <c r="BS76" i="315"/>
  <c r="BS162" i="314"/>
  <c r="BS163" i="314"/>
  <c r="BS78" i="315"/>
  <c r="BN85" i="265"/>
  <c r="AL82" i="277"/>
  <c r="BO81" i="314"/>
  <c r="BN111" i="265"/>
  <c r="BN87" i="314"/>
  <c r="BN90" i="314"/>
  <c r="BN60" i="328"/>
  <c r="AL71" i="328"/>
  <c r="AL111" i="277"/>
  <c r="BO37" i="314"/>
  <c r="BO40" i="314"/>
  <c r="BO61" i="314"/>
  <c r="AL85" i="277"/>
  <c r="BN459" i="321"/>
  <c r="BN460" i="321"/>
  <c r="BS81" i="315"/>
  <c r="BT160" i="314"/>
  <c r="BS107" i="315"/>
  <c r="BT116" i="314"/>
  <c r="BT119" i="314"/>
  <c r="BT140" i="314"/>
  <c r="BS503" i="321"/>
  <c r="BS504" i="321"/>
  <c r="BN463" i="321"/>
  <c r="BN464" i="321"/>
  <c r="BN473" i="321"/>
  <c r="BO43" i="314"/>
  <c r="BO45" i="314"/>
  <c r="BO70" i="314"/>
  <c r="BO71" i="314"/>
  <c r="BO74" i="314"/>
  <c r="BO65" i="314"/>
  <c r="BN469" i="321"/>
  <c r="BN470" i="321"/>
  <c r="BN474" i="321"/>
  <c r="BN475" i="321"/>
  <c r="BN478" i="321"/>
  <c r="BN479" i="321"/>
  <c r="BN465" i="321"/>
  <c r="BN49" i="288"/>
  <c r="BN43" i="288"/>
  <c r="BN23" i="328"/>
  <c r="AL43" i="328"/>
  <c r="BS507" i="321"/>
  <c r="BS508" i="321"/>
  <c r="BS517" i="321"/>
  <c r="BT122" i="314"/>
  <c r="BT124" i="314"/>
  <c r="BT149" i="314"/>
  <c r="BT150" i="314"/>
  <c r="BT153" i="314"/>
  <c r="BT144" i="314"/>
  <c r="BS513" i="321"/>
  <c r="BS514" i="321"/>
  <c r="BS518" i="321"/>
  <c r="BS519" i="321"/>
  <c r="BS522" i="321"/>
  <c r="BS523" i="321"/>
  <c r="BS509" i="321"/>
  <c r="BS199" i="288"/>
  <c r="BS193" i="288"/>
  <c r="BN87" i="265"/>
  <c r="BN487" i="321"/>
  <c r="BN480" i="321"/>
  <c r="BN50" i="288"/>
  <c r="BN24" i="328"/>
  <c r="AL44" i="328"/>
  <c r="BN486" i="321"/>
  <c r="BN488" i="321"/>
  <c r="BO483" i="321"/>
  <c r="BN124" i="265"/>
  <c r="BN88" i="265"/>
  <c r="AL88" i="277"/>
  <c r="AL87" i="277"/>
  <c r="BN89" i="265"/>
  <c r="BS83" i="315"/>
  <c r="BS531" i="321"/>
  <c r="BS524" i="321"/>
  <c r="BS200" i="288"/>
  <c r="BS530" i="321"/>
  <c r="BS532" i="321"/>
  <c r="BT527" i="321"/>
  <c r="BS120" i="315"/>
  <c r="BS84" i="315"/>
  <c r="BS85" i="315"/>
  <c r="BN10" i="286"/>
  <c r="BN11" i="286"/>
  <c r="AL89" i="277"/>
  <c r="AL124" i="277"/>
  <c r="BO452" i="321"/>
  <c r="BO454" i="321"/>
  <c r="BO477" i="321"/>
  <c r="BO455" i="321"/>
  <c r="BO35" i="282"/>
  <c r="BO40" i="282"/>
  <c r="BO468" i="321"/>
  <c r="BO462" i="321"/>
  <c r="BN14" i="286"/>
  <c r="BN16" i="286"/>
  <c r="BN27" i="286"/>
  <c r="BS87" i="286"/>
  <c r="BS88" i="286"/>
  <c r="BT496" i="321"/>
  <c r="BT498" i="321"/>
  <c r="BT521" i="321"/>
  <c r="BT499" i="321"/>
  <c r="BT103" i="282"/>
  <c r="BT108" i="282"/>
  <c r="BT512" i="321"/>
  <c r="BT506" i="321"/>
  <c r="BS91" i="286"/>
  <c r="BS93" i="286"/>
  <c r="BS104" i="286"/>
  <c r="BN17" i="286"/>
  <c r="BN28" i="286"/>
  <c r="BN29" i="286"/>
  <c r="BN32" i="286"/>
  <c r="BN34" i="286"/>
  <c r="BN21" i="286"/>
  <c r="BN22" i="286"/>
  <c r="BN51" i="288"/>
  <c r="BO48" i="282"/>
  <c r="BO27" i="265"/>
  <c r="BO29" i="265"/>
  <c r="BO19" i="286"/>
  <c r="BN126" i="265"/>
  <c r="BN35" i="286"/>
  <c r="BN39" i="286"/>
  <c r="BN40" i="286"/>
  <c r="BN52" i="288"/>
  <c r="BN91" i="265"/>
  <c r="BS94" i="286"/>
  <c r="BS105" i="286"/>
  <c r="BS106" i="286"/>
  <c r="BS109" i="286"/>
  <c r="BS111" i="286"/>
  <c r="BS98" i="286"/>
  <c r="BS99" i="286"/>
  <c r="BS201" i="288"/>
  <c r="BT116" i="282"/>
  <c r="BT25" i="315"/>
  <c r="BT27" i="315"/>
  <c r="BT112" i="282"/>
  <c r="BT117" i="282"/>
  <c r="BT96" i="286"/>
  <c r="BS122" i="315"/>
  <c r="BS112" i="286"/>
  <c r="BS116" i="286"/>
  <c r="BS117" i="286"/>
  <c r="BS202" i="288"/>
  <c r="BS87" i="315"/>
  <c r="AL91" i="277"/>
  <c r="BO37" i="286"/>
  <c r="BN127" i="265"/>
  <c r="AL127" i="277"/>
  <c r="BN92" i="265"/>
  <c r="BN93" i="265"/>
  <c r="AL126" i="277"/>
  <c r="BO13" i="286"/>
  <c r="BO44" i="282"/>
  <c r="BO49" i="282"/>
  <c r="BO52" i="282"/>
  <c r="BO53" i="282"/>
  <c r="BO55" i="282"/>
  <c r="BO56" i="282"/>
  <c r="BN54" i="286"/>
  <c r="BN75" i="286"/>
  <c r="BN76" i="286"/>
  <c r="BN79" i="286"/>
  <c r="BN80" i="286"/>
  <c r="BO31" i="286"/>
  <c r="AL93" i="277"/>
  <c r="BT114" i="286"/>
  <c r="BS123" i="315"/>
  <c r="BS88" i="315"/>
  <c r="BS89" i="315"/>
  <c r="BT90" i="286"/>
  <c r="BT120" i="282"/>
  <c r="BT121" i="282"/>
  <c r="BT123" i="282"/>
  <c r="BT124" i="282"/>
  <c r="BT136" i="282"/>
  <c r="BT130" i="282"/>
  <c r="BT126" i="282"/>
  <c r="BT128" i="282"/>
  <c r="BS131" i="286"/>
  <c r="BS143" i="286"/>
  <c r="BS144" i="286"/>
  <c r="BS147" i="286"/>
  <c r="BS148" i="286"/>
  <c r="BT108" i="286"/>
  <c r="BN55" i="286"/>
  <c r="BN47" i="286"/>
  <c r="BN48" i="286"/>
  <c r="BN48" i="288"/>
  <c r="BN42" i="288"/>
  <c r="BN44" i="288"/>
  <c r="BN81" i="286"/>
  <c r="BN25" i="328"/>
  <c r="AL45" i="328"/>
  <c r="BN56" i="286"/>
  <c r="BO68" i="282"/>
  <c r="BO62" i="282"/>
  <c r="BO58" i="282"/>
  <c r="BO60" i="282"/>
  <c r="BO63" i="282"/>
  <c r="BO69" i="282"/>
  <c r="BO64" i="282"/>
  <c r="BO70" i="282"/>
  <c r="BP67" i="282"/>
  <c r="BO53" i="286"/>
  <c r="BN58" i="286"/>
  <c r="BN64" i="286"/>
  <c r="BN107" i="265"/>
  <c r="BN35" i="265"/>
  <c r="BN95" i="265"/>
  <c r="BN47" i="288"/>
  <c r="BN54" i="288"/>
  <c r="BO45" i="286"/>
  <c r="BN128" i="265"/>
  <c r="BS132" i="286"/>
  <c r="BS124" i="286"/>
  <c r="BS125" i="286"/>
  <c r="BS198" i="288"/>
  <c r="BS192" i="288"/>
  <c r="BS194" i="288"/>
  <c r="BS149" i="286"/>
  <c r="BS133" i="286"/>
  <c r="BT131" i="282"/>
  <c r="BT137" i="282"/>
  <c r="BT132" i="282"/>
  <c r="BT138" i="282"/>
  <c r="BU135" i="282"/>
  <c r="BU127" i="282"/>
  <c r="BT143" i="282"/>
  <c r="BT144" i="282"/>
  <c r="BT130" i="286"/>
  <c r="BS103" i="315"/>
  <c r="BS108" i="315"/>
  <c r="BS110" i="315"/>
  <c r="BS130" i="315"/>
  <c r="BS33" i="315"/>
  <c r="BS34" i="315"/>
  <c r="BS91" i="315"/>
  <c r="BS92" i="315"/>
  <c r="BS197" i="288"/>
  <c r="BS204" i="288"/>
  <c r="BT122" i="286"/>
  <c r="BS124" i="315"/>
  <c r="BS125" i="315"/>
  <c r="BS131" i="315"/>
  <c r="AL128" i="277"/>
  <c r="AL129" i="277"/>
  <c r="AL135" i="277"/>
  <c r="BN129" i="265"/>
  <c r="BN135" i="265"/>
  <c r="BO70" i="286"/>
  <c r="BN57" i="288"/>
  <c r="AL95" i="277"/>
  <c r="BN96" i="265"/>
  <c r="AL35" i="277"/>
  <c r="BN36" i="265"/>
  <c r="BN59" i="328"/>
  <c r="AL70" i="328"/>
  <c r="AL107" i="277"/>
  <c r="AL112" i="277"/>
  <c r="AL114" i="277"/>
  <c r="AL134" i="277"/>
  <c r="BN112" i="265"/>
  <c r="BN114" i="265"/>
  <c r="BN134" i="265"/>
  <c r="BO458" i="321"/>
  <c r="BO48" i="314"/>
  <c r="BO9" i="286"/>
  <c r="BO74" i="286"/>
  <c r="BP59" i="282"/>
  <c r="BO75" i="282"/>
  <c r="BO76" i="282"/>
  <c r="BO77" i="282"/>
  <c r="BN137" i="265"/>
  <c r="BN136" i="265"/>
  <c r="AL137" i="277"/>
  <c r="AL136" i="277"/>
  <c r="AL36" i="277"/>
  <c r="AL96" i="277"/>
  <c r="BT138" i="286"/>
  <c r="BS207" i="288"/>
  <c r="BS133" i="315"/>
  <c r="BS132" i="315"/>
  <c r="BT502" i="321"/>
  <c r="BT127" i="314"/>
  <c r="BT86" i="286"/>
  <c r="BT142" i="286"/>
  <c r="BT145" i="282"/>
  <c r="BT44" i="315"/>
  <c r="BT45" i="315"/>
  <c r="BT29" i="315"/>
  <c r="BT31" i="315"/>
  <c r="BO46" i="265"/>
  <c r="BO31" i="265"/>
  <c r="BO33" i="265"/>
  <c r="BO47" i="265"/>
  <c r="BT139" i="286"/>
  <c r="BT140" i="286"/>
  <c r="BT146" i="286"/>
  <c r="BT123" i="286"/>
  <c r="BT177" i="288"/>
  <c r="BT179" i="288"/>
  <c r="BT63" i="315"/>
  <c r="BT73" i="315"/>
  <c r="BT263" i="288"/>
  <c r="BT235" i="288"/>
  <c r="BT215" i="288"/>
  <c r="BT182" i="288"/>
  <c r="BO27" i="288"/>
  <c r="BO29" i="288"/>
  <c r="BO65" i="265"/>
  <c r="BO71" i="286"/>
  <c r="BO72" i="286"/>
  <c r="BO78" i="286"/>
  <c r="BO46" i="286"/>
  <c r="BO77" i="265"/>
  <c r="BO113" i="288"/>
  <c r="BO10" i="321"/>
  <c r="BO12" i="321"/>
  <c r="BO85" i="288"/>
  <c r="BO20" i="328"/>
  <c r="BO65" i="288"/>
  <c r="BO32" i="288"/>
  <c r="BT237" i="288"/>
  <c r="BT239" i="288"/>
  <c r="BT128" i="314"/>
  <c r="BT130" i="314"/>
  <c r="BT132" i="314"/>
  <c r="BT133" i="314"/>
  <c r="BT143" i="314"/>
  <c r="BT145" i="314"/>
  <c r="BT135" i="314"/>
  <c r="BT137" i="314"/>
  <c r="BO87" i="288"/>
  <c r="BO89" i="288"/>
  <c r="BO39" i="311"/>
  <c r="BO49" i="314"/>
  <c r="BO51" i="314"/>
  <c r="BO53" i="314"/>
  <c r="BO54" i="314"/>
  <c r="BO64" i="314"/>
  <c r="BO66" i="314"/>
  <c r="BO56" i="314"/>
  <c r="BO58" i="314"/>
  <c r="BO80" i="311"/>
  <c r="BT139" i="314"/>
  <c r="BT141" i="314"/>
  <c r="BT146" i="314"/>
  <c r="BT161" i="314"/>
  <c r="BT75" i="315"/>
  <c r="BT152" i="314"/>
  <c r="BT154" i="314"/>
  <c r="BO60" i="314"/>
  <c r="BO62" i="314"/>
  <c r="BO67" i="314"/>
  <c r="BO82" i="314"/>
  <c r="BO79" i="265"/>
  <c r="BO73" i="314"/>
  <c r="BO75" i="314"/>
  <c r="BT76" i="315"/>
  <c r="BT162" i="314"/>
  <c r="BT163" i="314"/>
  <c r="BT78" i="315"/>
  <c r="BT81" i="315"/>
  <c r="BU160" i="314"/>
  <c r="BT107" i="315"/>
  <c r="BO80" i="265"/>
  <c r="BO83" i="314"/>
  <c r="BO84" i="314"/>
  <c r="BO82" i="265"/>
  <c r="BO85" i="265"/>
  <c r="BP81" i="314"/>
  <c r="BO111" i="265"/>
  <c r="BO60" i="328"/>
  <c r="BO87" i="314"/>
  <c r="BO90" i="314"/>
  <c r="BU116" i="314"/>
  <c r="BU119" i="314"/>
  <c r="BU140" i="314"/>
  <c r="BT503" i="321"/>
  <c r="BT504" i="321"/>
  <c r="BT507" i="321"/>
  <c r="BT508" i="321"/>
  <c r="BT517" i="321"/>
  <c r="BU122" i="314"/>
  <c r="BU124" i="314"/>
  <c r="BU149" i="314"/>
  <c r="BU150" i="314"/>
  <c r="BP37" i="314"/>
  <c r="BP40" i="314"/>
  <c r="BP61" i="314"/>
  <c r="BO459" i="321"/>
  <c r="BO460" i="321"/>
  <c r="BO463" i="321"/>
  <c r="BO464" i="321"/>
  <c r="BO473" i="321"/>
  <c r="BP43" i="314"/>
  <c r="BP45" i="314"/>
  <c r="BP70" i="314"/>
  <c r="BP71" i="314"/>
  <c r="BU153" i="314"/>
  <c r="BU144" i="314"/>
  <c r="BT513" i="321"/>
  <c r="BT514" i="321"/>
  <c r="BT518" i="321"/>
  <c r="BT519" i="321"/>
  <c r="BT522" i="321"/>
  <c r="BT523" i="321"/>
  <c r="BT509" i="321"/>
  <c r="BT199" i="288"/>
  <c r="BT193" i="288"/>
  <c r="BT83" i="315"/>
  <c r="BT531" i="321"/>
  <c r="BT524" i="321"/>
  <c r="BT200" i="288"/>
  <c r="BT530" i="321"/>
  <c r="BT532" i="321"/>
  <c r="BP74" i="314"/>
  <c r="BP65" i="314"/>
  <c r="BO469" i="321"/>
  <c r="BO470" i="321"/>
  <c r="BO474" i="321"/>
  <c r="BO475" i="321"/>
  <c r="BO478" i="321"/>
  <c r="BO479" i="321"/>
  <c r="BO465" i="321"/>
  <c r="BO49" i="288"/>
  <c r="BO43" i="288"/>
  <c r="BO23" i="328"/>
  <c r="BO87" i="265"/>
  <c r="BO487" i="321"/>
  <c r="BO480" i="321"/>
  <c r="BO50" i="288"/>
  <c r="BO24" i="328"/>
  <c r="BO486" i="321"/>
  <c r="BO488" i="321"/>
  <c r="BU527" i="321"/>
  <c r="BT120" i="315"/>
  <c r="BT84" i="315"/>
  <c r="BT85" i="315"/>
  <c r="BT87" i="286"/>
  <c r="BT88" i="286"/>
  <c r="BU496" i="321"/>
  <c r="BU498" i="321"/>
  <c r="BU521" i="321"/>
  <c r="BP483" i="321"/>
  <c r="BO124" i="265"/>
  <c r="BO88" i="265"/>
  <c r="BO89" i="265"/>
  <c r="BO10" i="286"/>
  <c r="BO11" i="286"/>
  <c r="BP452" i="321"/>
  <c r="BP454" i="321"/>
  <c r="BP477" i="321"/>
  <c r="BU499" i="321"/>
  <c r="BU103" i="282"/>
  <c r="BU108" i="282"/>
  <c r="BU512" i="321"/>
  <c r="BU506" i="321"/>
  <c r="BT91" i="286"/>
  <c r="BT93" i="286"/>
  <c r="BT104" i="286"/>
  <c r="BT94" i="286"/>
  <c r="BT105" i="286"/>
  <c r="BT106" i="286"/>
  <c r="BT109" i="286"/>
  <c r="BT111" i="286"/>
  <c r="BT98" i="286"/>
  <c r="BT99" i="286"/>
  <c r="BT201" i="288"/>
  <c r="BU116" i="282"/>
  <c r="BU25" i="315"/>
  <c r="BU27" i="315"/>
  <c r="BP455" i="321"/>
  <c r="BP35" i="282"/>
  <c r="BP40" i="282"/>
  <c r="BP468" i="321"/>
  <c r="BP462" i="321"/>
  <c r="BO14" i="286"/>
  <c r="BO16" i="286"/>
  <c r="BO27" i="286"/>
  <c r="BO17" i="286"/>
  <c r="BO28" i="286"/>
  <c r="BO29" i="286"/>
  <c r="BO32" i="286"/>
  <c r="BO34" i="286"/>
  <c r="BO21" i="286"/>
  <c r="BO22" i="286"/>
  <c r="BO51" i="288"/>
  <c r="BP48" i="282"/>
  <c r="BP27" i="265"/>
  <c r="BU112" i="282"/>
  <c r="BU117" i="282"/>
  <c r="BU96" i="286"/>
  <c r="BT122" i="315"/>
  <c r="BT112" i="286"/>
  <c r="BT116" i="286"/>
  <c r="BT117" i="286"/>
  <c r="BT202" i="288"/>
  <c r="BT87" i="315"/>
  <c r="BU114" i="286"/>
  <c r="BT123" i="315"/>
  <c r="BT88" i="315"/>
  <c r="BT89" i="315"/>
  <c r="BU90" i="286"/>
  <c r="BU120" i="282"/>
  <c r="BU121" i="282"/>
  <c r="BU123" i="282"/>
  <c r="BU124" i="282"/>
  <c r="BP29" i="265"/>
  <c r="AM27" i="277"/>
  <c r="BP19" i="286"/>
  <c r="BO126" i="265"/>
  <c r="BO35" i="286"/>
  <c r="BO39" i="286"/>
  <c r="BO40" i="286"/>
  <c r="BO52" i="288"/>
  <c r="BO91" i="265"/>
  <c r="BP37" i="286"/>
  <c r="BO127" i="265"/>
  <c r="BO92" i="265"/>
  <c r="BO93" i="265"/>
  <c r="BP13" i="286"/>
  <c r="AM29" i="277"/>
  <c r="BP44" i="282"/>
  <c r="BP49" i="282"/>
  <c r="BU136" i="282"/>
  <c r="BU130" i="282"/>
  <c r="BU126" i="282"/>
  <c r="BU128" i="282"/>
  <c r="BT131" i="286"/>
  <c r="BT143" i="286"/>
  <c r="BT144" i="286"/>
  <c r="BT147" i="286"/>
  <c r="BT148" i="286"/>
  <c r="BU108" i="286"/>
  <c r="BT132" i="286"/>
  <c r="BT124" i="286"/>
  <c r="BT125" i="286"/>
  <c r="BT198" i="288"/>
  <c r="BT192" i="288"/>
  <c r="BT194" i="288"/>
  <c r="BT149" i="286"/>
  <c r="BT133" i="286"/>
  <c r="BU131" i="282"/>
  <c r="BU137" i="282"/>
  <c r="BU132" i="282"/>
  <c r="BU138" i="282"/>
  <c r="BV135" i="282"/>
  <c r="BP52" i="282"/>
  <c r="BP53" i="282"/>
  <c r="BP55" i="282"/>
  <c r="BP56" i="282"/>
  <c r="BO54" i="286"/>
  <c r="BO75" i="286"/>
  <c r="BO76" i="286"/>
  <c r="BO79" i="286"/>
  <c r="BO80" i="286"/>
  <c r="BP31" i="286"/>
  <c r="BO55" i="286"/>
  <c r="BO47" i="286"/>
  <c r="BO48" i="286"/>
  <c r="BO48" i="288"/>
  <c r="BO42" i="288"/>
  <c r="BO44" i="288"/>
  <c r="BO81" i="286"/>
  <c r="BO25" i="328"/>
  <c r="BO56" i="286"/>
  <c r="BP68" i="282"/>
  <c r="BP62" i="282"/>
  <c r="BP58" i="282"/>
  <c r="BP60" i="282"/>
  <c r="BV127" i="282"/>
  <c r="BU143" i="282"/>
  <c r="BU144" i="282"/>
  <c r="BU130" i="286"/>
  <c r="BT103" i="315"/>
  <c r="BT108" i="315"/>
  <c r="BT110" i="315"/>
  <c r="BT130" i="315"/>
  <c r="BT33" i="315"/>
  <c r="BT34" i="315"/>
  <c r="BT91" i="315"/>
  <c r="BT92" i="315"/>
  <c r="BT197" i="288"/>
  <c r="BT204" i="288"/>
  <c r="BU122" i="286"/>
  <c r="BT124" i="315"/>
  <c r="BT125" i="315"/>
  <c r="BT131" i="315"/>
  <c r="BU138" i="286"/>
  <c r="BT207" i="288"/>
  <c r="BT133" i="315"/>
  <c r="BT132" i="315"/>
  <c r="BU502" i="321"/>
  <c r="BU127" i="314"/>
  <c r="BU86" i="286"/>
  <c r="BU142" i="286"/>
  <c r="BU145" i="282"/>
  <c r="BP63" i="282"/>
  <c r="BP69" i="282"/>
  <c r="BP64" i="282"/>
  <c r="BP70" i="282"/>
  <c r="BQ67" i="282"/>
  <c r="BP53" i="286"/>
  <c r="BO58" i="286"/>
  <c r="BO64" i="286"/>
  <c r="BO107" i="265"/>
  <c r="BO35" i="265"/>
  <c r="BO95" i="265"/>
  <c r="BO47" i="288"/>
  <c r="BO54" i="288"/>
  <c r="BP45" i="286"/>
  <c r="BO128" i="265"/>
  <c r="BO129" i="265"/>
  <c r="BO135" i="265"/>
  <c r="BP70" i="286"/>
  <c r="BO57" i="288"/>
  <c r="BO96" i="265"/>
  <c r="BO36" i="265"/>
  <c r="BO59" i="328"/>
  <c r="BO112" i="265"/>
  <c r="BO114" i="265"/>
  <c r="BO134" i="265"/>
  <c r="BP458" i="321"/>
  <c r="BP48" i="314"/>
  <c r="BP9" i="286"/>
  <c r="BP74" i="286"/>
  <c r="BQ59" i="282"/>
  <c r="BP75" i="282"/>
  <c r="BP76" i="282"/>
  <c r="BU44" i="315"/>
  <c r="BU45" i="315"/>
  <c r="BU29" i="315"/>
  <c r="BU31" i="315"/>
  <c r="BU139" i="286"/>
  <c r="BU140" i="286"/>
  <c r="BU146" i="286"/>
  <c r="BU123" i="286"/>
  <c r="BU177" i="288"/>
  <c r="BU179" i="288"/>
  <c r="BU63" i="315"/>
  <c r="BP77" i="282"/>
  <c r="BO137" i="265"/>
  <c r="BO136" i="265"/>
  <c r="BP46" i="265"/>
  <c r="BP31" i="265"/>
  <c r="BU73" i="315"/>
  <c r="BU263" i="288"/>
  <c r="BU235" i="288"/>
  <c r="BU215" i="288"/>
  <c r="BU182" i="288"/>
  <c r="BU237" i="288"/>
  <c r="BU239" i="288"/>
  <c r="BU128" i="314"/>
  <c r="BU130" i="314"/>
  <c r="AM31" i="277"/>
  <c r="BP33" i="265"/>
  <c r="BP47" i="265"/>
  <c r="AM46" i="277"/>
  <c r="AM47" i="277"/>
  <c r="BP27" i="288"/>
  <c r="BP29" i="288"/>
  <c r="BP65" i="265"/>
  <c r="BP71" i="286"/>
  <c r="BP72" i="286"/>
  <c r="BP78" i="286"/>
  <c r="BP46" i="286"/>
  <c r="AM33" i="277"/>
  <c r="BU132" i="314"/>
  <c r="BU133" i="314"/>
  <c r="BU143" i="314"/>
  <c r="BU145" i="314"/>
  <c r="BU135" i="314"/>
  <c r="BU137" i="314"/>
  <c r="BU139" i="314"/>
  <c r="BU141" i="314"/>
  <c r="BU146" i="314"/>
  <c r="BU161" i="314"/>
  <c r="BP77" i="265"/>
  <c r="BP113" i="288"/>
  <c r="BP10" i="321"/>
  <c r="BP12" i="321"/>
  <c r="BP85" i="288"/>
  <c r="BP20" i="328"/>
  <c r="AM40" i="328"/>
  <c r="BP65" i="288"/>
  <c r="BP32" i="288"/>
  <c r="AM65" i="277"/>
  <c r="AM77" i="277"/>
  <c r="BP87" i="288"/>
  <c r="BP89" i="288"/>
  <c r="BP39" i="311"/>
  <c r="BP49" i="314"/>
  <c r="BP51" i="314"/>
  <c r="BU75" i="315"/>
  <c r="BU152" i="314"/>
  <c r="BU154" i="314"/>
  <c r="BU76" i="315"/>
  <c r="BU162" i="314"/>
  <c r="BU163" i="314"/>
  <c r="BU78" i="315"/>
  <c r="BP53" i="314"/>
  <c r="BP54" i="314"/>
  <c r="BP64" i="314"/>
  <c r="BP66" i="314"/>
  <c r="BP56" i="314"/>
  <c r="BP58" i="314"/>
  <c r="BP80" i="311"/>
  <c r="BP60" i="314"/>
  <c r="BP62" i="314"/>
  <c r="BP67" i="314"/>
  <c r="BP82" i="314"/>
  <c r="BU81" i="315"/>
  <c r="BV160" i="314"/>
  <c r="BU107" i="315"/>
  <c r="BV116" i="314"/>
  <c r="BV119" i="314"/>
  <c r="BV140" i="314"/>
  <c r="BU503" i="321"/>
  <c r="BU504" i="321"/>
  <c r="BP79" i="265"/>
  <c r="BP73" i="314"/>
  <c r="BP75" i="314"/>
  <c r="BP80" i="265"/>
  <c r="AM80" i="277"/>
  <c r="BP83" i="314"/>
  <c r="BP84" i="314"/>
  <c r="AM79" i="277"/>
  <c r="BP82" i="265"/>
  <c r="BU507" i="321"/>
  <c r="BU508" i="321"/>
  <c r="BU517" i="321"/>
  <c r="BV122" i="314"/>
  <c r="BV124" i="314"/>
  <c r="BV149" i="314"/>
  <c r="BV150" i="314"/>
  <c r="BV153" i="314"/>
  <c r="BV144" i="314"/>
  <c r="BU513" i="321"/>
  <c r="BU514" i="321"/>
  <c r="BU518" i="321"/>
  <c r="BU519" i="321"/>
  <c r="BU522" i="321"/>
  <c r="BU523" i="321"/>
  <c r="BU509" i="321"/>
  <c r="BU199" i="288"/>
  <c r="BU193" i="288"/>
  <c r="BP85" i="265"/>
  <c r="AM82" i="277"/>
  <c r="BQ81" i="314"/>
  <c r="BP111" i="265"/>
  <c r="BP87" i="314"/>
  <c r="BP90" i="314"/>
  <c r="BP60" i="328"/>
  <c r="AM71" i="328"/>
  <c r="AM111" i="277"/>
  <c r="BQ37" i="314"/>
  <c r="BQ40" i="314"/>
  <c r="BQ61" i="314"/>
  <c r="AM85" i="277"/>
  <c r="BP459" i="321"/>
  <c r="BP460" i="321"/>
  <c r="BU83" i="315"/>
  <c r="BU531" i="321"/>
  <c r="BU524" i="321"/>
  <c r="BU200" i="288"/>
  <c r="BU530" i="321"/>
  <c r="BU532" i="321"/>
  <c r="BV527" i="321"/>
  <c r="BU120" i="315"/>
  <c r="BU84" i="315"/>
  <c r="BU85" i="315"/>
  <c r="BP463" i="321"/>
  <c r="BP464" i="321"/>
  <c r="BP473" i="321"/>
  <c r="BQ43" i="314"/>
  <c r="BQ45" i="314"/>
  <c r="BQ70" i="314"/>
  <c r="BQ71" i="314"/>
  <c r="BQ74" i="314"/>
  <c r="BQ65" i="314"/>
  <c r="BP469" i="321"/>
  <c r="BP470" i="321"/>
  <c r="BP474" i="321"/>
  <c r="BP475" i="321"/>
  <c r="BP478" i="321"/>
  <c r="BP479" i="321"/>
  <c r="BP465" i="321"/>
  <c r="BP49" i="288"/>
  <c r="BP43" i="288"/>
  <c r="BP23" i="328"/>
  <c r="AM43" i="328"/>
  <c r="BU87" i="286"/>
  <c r="BU88" i="286"/>
  <c r="BV496" i="321"/>
  <c r="BV498" i="321"/>
  <c r="BV521" i="321"/>
  <c r="BV499" i="321"/>
  <c r="BV103" i="282"/>
  <c r="BV108" i="282"/>
  <c r="BV512" i="321"/>
  <c r="BV506" i="321"/>
  <c r="BU91" i="286"/>
  <c r="BU93" i="286"/>
  <c r="BU104" i="286"/>
  <c r="BP87" i="265"/>
  <c r="BP487" i="321"/>
  <c r="BP480" i="321"/>
  <c r="BP50" i="288"/>
  <c r="BP24" i="328"/>
  <c r="AM44" i="328"/>
  <c r="BP486" i="321"/>
  <c r="BP488" i="321"/>
  <c r="BQ483" i="321"/>
  <c r="BP124" i="265"/>
  <c r="BP88" i="265"/>
  <c r="AM88" i="277"/>
  <c r="AM87" i="277"/>
  <c r="BP89" i="265"/>
  <c r="BU94" i="286"/>
  <c r="BU105" i="286"/>
  <c r="BU106" i="286"/>
  <c r="BU109" i="286"/>
  <c r="BU111" i="286"/>
  <c r="BU98" i="286"/>
  <c r="BU99" i="286"/>
  <c r="BU201" i="288"/>
  <c r="BV116" i="282"/>
  <c r="BV25" i="315"/>
  <c r="BV27" i="315"/>
  <c r="BV112" i="282"/>
  <c r="BV117" i="282"/>
  <c r="BV96" i="286"/>
  <c r="BU122" i="315"/>
  <c r="BU112" i="286"/>
  <c r="BU116" i="286"/>
  <c r="BU117" i="286"/>
  <c r="BU202" i="288"/>
  <c r="BU87" i="315"/>
  <c r="BP10" i="286"/>
  <c r="BP11" i="286"/>
  <c r="AM89" i="277"/>
  <c r="AM124" i="277"/>
  <c r="BQ452" i="321"/>
  <c r="BQ454" i="321"/>
  <c r="BQ477" i="321"/>
  <c r="BQ455" i="321"/>
  <c r="BQ35" i="282"/>
  <c r="BQ40" i="282"/>
  <c r="BQ468" i="321"/>
  <c r="BQ462" i="321"/>
  <c r="BP14" i="286"/>
  <c r="BP16" i="286"/>
  <c r="BP27" i="286"/>
  <c r="BV114" i="286"/>
  <c r="BU123" i="315"/>
  <c r="BU88" i="315"/>
  <c r="BU89" i="315"/>
  <c r="BV90" i="286"/>
  <c r="BV120" i="282"/>
  <c r="BV121" i="282"/>
  <c r="BV123" i="282"/>
  <c r="BV124" i="282"/>
  <c r="BV136" i="282"/>
  <c r="BV130" i="282"/>
  <c r="BV126" i="282"/>
  <c r="BV128" i="282"/>
  <c r="BU131" i="286"/>
  <c r="BU143" i="286"/>
  <c r="BU144" i="286"/>
  <c r="BU147" i="286"/>
  <c r="BU148" i="286"/>
  <c r="BV108" i="286"/>
  <c r="BP17" i="286"/>
  <c r="BP28" i="286"/>
  <c r="BP29" i="286"/>
  <c r="BP32" i="286"/>
  <c r="BP34" i="286"/>
  <c r="BP21" i="286"/>
  <c r="BP22" i="286"/>
  <c r="BP51" i="288"/>
  <c r="BQ48" i="282"/>
  <c r="BQ27" i="265"/>
  <c r="BQ29" i="265"/>
  <c r="BQ19" i="286"/>
  <c r="BP126" i="265"/>
  <c r="BP35" i="286"/>
  <c r="BP39" i="286"/>
  <c r="BP40" i="286"/>
  <c r="BP52" i="288"/>
  <c r="BP91" i="265"/>
  <c r="BU132" i="286"/>
  <c r="BU124" i="286"/>
  <c r="BU125" i="286"/>
  <c r="BU198" i="288"/>
  <c r="BU192" i="288"/>
  <c r="BU194" i="288"/>
  <c r="BU149" i="286"/>
  <c r="BU133" i="286"/>
  <c r="BV131" i="282"/>
  <c r="BV137" i="282"/>
  <c r="BV132" i="282"/>
  <c r="BV138" i="282"/>
  <c r="BW135" i="282"/>
  <c r="BW127" i="282"/>
  <c r="BV143" i="282"/>
  <c r="BV144" i="282"/>
  <c r="BV130" i="286"/>
  <c r="BU103" i="315"/>
  <c r="BU108" i="315"/>
  <c r="BU110" i="315"/>
  <c r="BU130" i="315"/>
  <c r="BU33" i="315"/>
  <c r="BU34" i="315"/>
  <c r="BU91" i="315"/>
  <c r="BU92" i="315"/>
  <c r="BU197" i="288"/>
  <c r="BU204" i="288"/>
  <c r="BV122" i="286"/>
  <c r="BU124" i="315"/>
  <c r="BU125" i="315"/>
  <c r="BU131" i="315"/>
  <c r="AM91" i="277"/>
  <c r="BQ37" i="286"/>
  <c r="BP127" i="265"/>
  <c r="AM127" i="277"/>
  <c r="BP92" i="265"/>
  <c r="BP93" i="265"/>
  <c r="AM126" i="277"/>
  <c r="BQ13" i="286"/>
  <c r="BQ44" i="282"/>
  <c r="BQ49" i="282"/>
  <c r="BQ52" i="282"/>
  <c r="BQ53" i="282"/>
  <c r="BQ55" i="282"/>
  <c r="BQ56" i="282"/>
  <c r="BP54" i="286"/>
  <c r="BP75" i="286"/>
  <c r="BP76" i="286"/>
  <c r="BP79" i="286"/>
  <c r="BP80" i="286"/>
  <c r="BQ31" i="286"/>
  <c r="AM93" i="277"/>
  <c r="BV138" i="286"/>
  <c r="BU207" i="288"/>
  <c r="BU133" i="315"/>
  <c r="BU132" i="315"/>
  <c r="BV502" i="321"/>
  <c r="BV127" i="314"/>
  <c r="BV86" i="286"/>
  <c r="BV142" i="286"/>
  <c r="BV145" i="282"/>
  <c r="BV44" i="315"/>
  <c r="BV45" i="315"/>
  <c r="BV29" i="315"/>
  <c r="BV31" i="315"/>
  <c r="BP55" i="286"/>
  <c r="BP47" i="286"/>
  <c r="BP48" i="286"/>
  <c r="BP48" i="288"/>
  <c r="BP42" i="288"/>
  <c r="BP44" i="288"/>
  <c r="BP81" i="286"/>
  <c r="BP25" i="328"/>
  <c r="AM45" i="328"/>
  <c r="BP56" i="286"/>
  <c r="BQ68" i="282"/>
  <c r="BQ62" i="282"/>
  <c r="BQ58" i="282"/>
  <c r="BQ60" i="282"/>
  <c r="BQ63" i="282"/>
  <c r="BQ69" i="282"/>
  <c r="BQ64" i="282"/>
  <c r="BQ70" i="282"/>
  <c r="BR67" i="282"/>
  <c r="BQ53" i="286"/>
  <c r="BP58" i="286"/>
  <c r="BP64" i="286"/>
  <c r="BP107" i="265"/>
  <c r="BP35" i="265"/>
  <c r="BP95" i="265"/>
  <c r="BP47" i="288"/>
  <c r="BP54" i="288"/>
  <c r="BQ45" i="286"/>
  <c r="BP128" i="265"/>
  <c r="BV139" i="286"/>
  <c r="BV140" i="286"/>
  <c r="BV146" i="286"/>
  <c r="BV123" i="286"/>
  <c r="BV177" i="288"/>
  <c r="BV179" i="288"/>
  <c r="BV63" i="315"/>
  <c r="BV73" i="315"/>
  <c r="BV263" i="288"/>
  <c r="BV235" i="288"/>
  <c r="BV215" i="288"/>
  <c r="BV182" i="288"/>
  <c r="AM128" i="277"/>
  <c r="AM129" i="277"/>
  <c r="AM135" i="277"/>
  <c r="BP129" i="265"/>
  <c r="BP135" i="265"/>
  <c r="BQ70" i="286"/>
  <c r="BP57" i="288"/>
  <c r="AM95" i="277"/>
  <c r="BP96" i="265"/>
  <c r="AM35" i="277"/>
  <c r="BP36" i="265"/>
  <c r="BP59" i="328"/>
  <c r="AM70" i="328"/>
  <c r="AM107" i="277"/>
  <c r="AM112" i="277"/>
  <c r="AM114" i="277"/>
  <c r="AM134" i="277"/>
  <c r="BP112" i="265"/>
  <c r="BP114" i="265"/>
  <c r="BP134" i="265"/>
  <c r="BQ458" i="321"/>
  <c r="BQ48" i="314"/>
  <c r="BQ9" i="286"/>
  <c r="BQ74" i="286"/>
  <c r="BR59" i="282"/>
  <c r="BQ75" i="282"/>
  <c r="BQ76" i="282"/>
  <c r="BQ77" i="282"/>
  <c r="BP137" i="265"/>
  <c r="BP136" i="265"/>
  <c r="AM137" i="277"/>
  <c r="AM136" i="277"/>
  <c r="AM36" i="277"/>
  <c r="AM96" i="277"/>
  <c r="BV237" i="288"/>
  <c r="BV239" i="288"/>
  <c r="BV128" i="314"/>
  <c r="BV130" i="314"/>
  <c r="BV132" i="314"/>
  <c r="BV133" i="314"/>
  <c r="BV143" i="314"/>
  <c r="BV145" i="314"/>
  <c r="BV135" i="314"/>
  <c r="BV137" i="314"/>
  <c r="BQ46" i="265"/>
  <c r="BQ31" i="265"/>
  <c r="BQ33" i="265"/>
  <c r="BQ47" i="265"/>
  <c r="BV139" i="314"/>
  <c r="BV141" i="314"/>
  <c r="BV146" i="314"/>
  <c r="BV161" i="314"/>
  <c r="BV75" i="315"/>
  <c r="BV152" i="314"/>
  <c r="BV154" i="314"/>
  <c r="BQ27" i="288"/>
  <c r="BQ29" i="288"/>
  <c r="BQ65" i="265"/>
  <c r="BQ71" i="286"/>
  <c r="BQ72" i="286"/>
  <c r="BQ78" i="286"/>
  <c r="BQ46" i="286"/>
  <c r="BQ77" i="265"/>
  <c r="BQ113" i="288"/>
  <c r="BQ10" i="321"/>
  <c r="BQ12" i="321"/>
  <c r="BQ20" i="328"/>
  <c r="BQ85" i="288"/>
  <c r="BQ65" i="288"/>
  <c r="BQ32" i="288"/>
  <c r="BV76" i="315"/>
  <c r="BV162" i="314"/>
  <c r="BV163" i="314"/>
  <c r="BV78" i="315"/>
  <c r="BV81" i="315"/>
  <c r="BW160" i="314"/>
  <c r="BV107" i="315"/>
  <c r="BQ87" i="288"/>
  <c r="BQ89" i="288"/>
  <c r="BQ39" i="311"/>
  <c r="BQ49" i="314"/>
  <c r="BQ51" i="314"/>
  <c r="BQ53" i="314"/>
  <c r="BQ54" i="314"/>
  <c r="BQ64" i="314"/>
  <c r="BQ66" i="314"/>
  <c r="BQ56" i="314"/>
  <c r="BQ58" i="314"/>
  <c r="BQ80" i="311"/>
  <c r="BW116" i="314"/>
  <c r="BW119" i="314"/>
  <c r="BW140" i="314"/>
  <c r="BV503" i="321"/>
  <c r="BV504" i="321"/>
  <c r="BV507" i="321"/>
  <c r="BV508" i="321"/>
  <c r="BV517" i="321"/>
  <c r="BW122" i="314"/>
  <c r="BW124" i="314"/>
  <c r="BW149" i="314"/>
  <c r="BW150" i="314"/>
  <c r="BQ60" i="314"/>
  <c r="BQ62" i="314"/>
  <c r="BQ67" i="314"/>
  <c r="BQ82" i="314"/>
  <c r="BQ79" i="265"/>
  <c r="BQ73" i="314"/>
  <c r="BQ75" i="314"/>
  <c r="BW153" i="314"/>
  <c r="BW144" i="314"/>
  <c r="BV513" i="321"/>
  <c r="BV514" i="321"/>
  <c r="BV518" i="321"/>
  <c r="BV519" i="321"/>
  <c r="BV522" i="321"/>
  <c r="BV523" i="321"/>
  <c r="BV509" i="321"/>
  <c r="BV199" i="288"/>
  <c r="BV193" i="288"/>
  <c r="BV83" i="315"/>
  <c r="BV531" i="321"/>
  <c r="BV524" i="321"/>
  <c r="BV200" i="288"/>
  <c r="BV530" i="321"/>
  <c r="BV532" i="321"/>
  <c r="BQ80" i="265"/>
  <c r="BQ83" i="314"/>
  <c r="BQ84" i="314"/>
  <c r="BQ82" i="265"/>
  <c r="BQ85" i="265"/>
  <c r="BR81" i="314"/>
  <c r="BQ111" i="265"/>
  <c r="BQ60" i="328"/>
  <c r="BQ87" i="314"/>
  <c r="BQ90" i="314"/>
  <c r="BW527" i="321"/>
  <c r="BV120" i="315"/>
  <c r="BV84" i="315"/>
  <c r="BV85" i="315"/>
  <c r="BV87" i="286"/>
  <c r="BV88" i="286"/>
  <c r="BW496" i="321"/>
  <c r="BW498" i="321"/>
  <c r="BW521" i="321"/>
  <c r="BR37" i="314"/>
  <c r="BR40" i="314"/>
  <c r="BR61" i="314"/>
  <c r="BQ459" i="321"/>
  <c r="BQ460" i="321"/>
  <c r="BQ463" i="321"/>
  <c r="BQ464" i="321"/>
  <c r="BQ473" i="321"/>
  <c r="BR43" i="314"/>
  <c r="BR45" i="314"/>
  <c r="BR70" i="314"/>
  <c r="BR71" i="314"/>
  <c r="BW499" i="321"/>
  <c r="BW103" i="282"/>
  <c r="BW108" i="282"/>
  <c r="BW512" i="321"/>
  <c r="BW506" i="321"/>
  <c r="BV91" i="286"/>
  <c r="BV93" i="286"/>
  <c r="BV104" i="286"/>
  <c r="BV94" i="286"/>
  <c r="BV105" i="286"/>
  <c r="BV106" i="286"/>
  <c r="BV109" i="286"/>
  <c r="BV111" i="286"/>
  <c r="BV98" i="286"/>
  <c r="BV99" i="286"/>
  <c r="BV201" i="288"/>
  <c r="BW116" i="282"/>
  <c r="BW25" i="315"/>
  <c r="BW27" i="315"/>
  <c r="BR74" i="314"/>
  <c r="BR65" i="314"/>
  <c r="BQ469" i="321"/>
  <c r="BQ470" i="321"/>
  <c r="BQ474" i="321"/>
  <c r="BQ475" i="321"/>
  <c r="BQ478" i="321"/>
  <c r="BQ479" i="321"/>
  <c r="BQ465" i="321"/>
  <c r="BQ49" i="288"/>
  <c r="BQ43" i="288"/>
  <c r="BQ23" i="328"/>
  <c r="BQ87" i="265"/>
  <c r="BQ487" i="321"/>
  <c r="BQ480" i="321"/>
  <c r="BQ50" i="288"/>
  <c r="BQ24" i="328"/>
  <c r="BQ486" i="321"/>
  <c r="BQ488" i="321"/>
  <c r="BW112" i="282"/>
  <c r="BW117" i="282"/>
  <c r="BW96" i="286"/>
  <c r="BV122" i="315"/>
  <c r="BV112" i="286"/>
  <c r="BV116" i="286"/>
  <c r="BV117" i="286"/>
  <c r="BV202" i="288"/>
  <c r="BV87" i="315"/>
  <c r="BW114" i="286"/>
  <c r="BV123" i="315"/>
  <c r="BV88" i="315"/>
  <c r="BV89" i="315"/>
  <c r="BW90" i="286"/>
  <c r="BW120" i="282"/>
  <c r="BW121" i="282"/>
  <c r="BW123" i="282"/>
  <c r="BW124" i="282"/>
  <c r="BR483" i="321"/>
  <c r="BQ124" i="265"/>
  <c r="BQ88" i="265"/>
  <c r="BQ89" i="265"/>
  <c r="BQ10" i="286"/>
  <c r="BQ11" i="286"/>
  <c r="BR452" i="321"/>
  <c r="BR454" i="321"/>
  <c r="BR477" i="321"/>
  <c r="BW136" i="282"/>
  <c r="BW130" i="282"/>
  <c r="BW126" i="282"/>
  <c r="BW128" i="282"/>
  <c r="BV131" i="286"/>
  <c r="BV143" i="286"/>
  <c r="BV144" i="286"/>
  <c r="BV147" i="286"/>
  <c r="BV148" i="286"/>
  <c r="BW108" i="286"/>
  <c r="BV132" i="286"/>
  <c r="BV124" i="286"/>
  <c r="BV125" i="286"/>
  <c r="BV198" i="288"/>
  <c r="BV192" i="288"/>
  <c r="BV194" i="288"/>
  <c r="BV149" i="286"/>
  <c r="BV133" i="286"/>
  <c r="BW131" i="282"/>
  <c r="BW137" i="282"/>
  <c r="BW132" i="282"/>
  <c r="BW138" i="282"/>
  <c r="BX135" i="282"/>
  <c r="BR455" i="321"/>
  <c r="BR35" i="282"/>
  <c r="BR40" i="282"/>
  <c r="BR468" i="321"/>
  <c r="BR462" i="321"/>
  <c r="BQ14" i="286"/>
  <c r="BQ16" i="286"/>
  <c r="BQ27" i="286"/>
  <c r="BQ17" i="286"/>
  <c r="BQ28" i="286"/>
  <c r="BQ29" i="286"/>
  <c r="BQ32" i="286"/>
  <c r="BQ34" i="286"/>
  <c r="BQ21" i="286"/>
  <c r="BQ22" i="286"/>
  <c r="BQ51" i="288"/>
  <c r="BR48" i="282"/>
  <c r="BR27" i="265"/>
  <c r="BX127" i="282"/>
  <c r="BW143" i="282"/>
  <c r="BW144" i="282"/>
  <c r="BW130" i="286"/>
  <c r="BV103" i="315"/>
  <c r="BV108" i="315"/>
  <c r="BV110" i="315"/>
  <c r="BV130" i="315"/>
  <c r="BV33" i="315"/>
  <c r="BV34" i="315"/>
  <c r="BV91" i="315"/>
  <c r="BV92" i="315"/>
  <c r="BV197" i="288"/>
  <c r="BV204" i="288"/>
  <c r="BW122" i="286"/>
  <c r="BV124" i="315"/>
  <c r="BV125" i="315"/>
  <c r="BV131" i="315"/>
  <c r="BW138" i="286"/>
  <c r="BV207" i="288"/>
  <c r="BV133" i="315"/>
  <c r="BV132" i="315"/>
  <c r="BW502" i="321"/>
  <c r="BW127" i="314"/>
  <c r="BW86" i="286"/>
  <c r="BW142" i="286"/>
  <c r="BW145" i="282"/>
  <c r="BR29" i="265"/>
  <c r="AN27" i="277"/>
  <c r="BR19" i="286"/>
  <c r="BQ126" i="265"/>
  <c r="BQ35" i="286"/>
  <c r="BQ39" i="286"/>
  <c r="BQ40" i="286"/>
  <c r="BQ52" i="288"/>
  <c r="BQ91" i="265"/>
  <c r="BR37" i="286"/>
  <c r="BQ127" i="265"/>
  <c r="BQ92" i="265"/>
  <c r="BQ93" i="265"/>
  <c r="BR13" i="286"/>
  <c r="AN29" i="277"/>
  <c r="BR44" i="282"/>
  <c r="BR49" i="282"/>
  <c r="BW44" i="315"/>
  <c r="BW45" i="315"/>
  <c r="BW29" i="315"/>
  <c r="BW31" i="315"/>
  <c r="BW139" i="286"/>
  <c r="BW140" i="286"/>
  <c r="BW146" i="286"/>
  <c r="BW123" i="286"/>
  <c r="BW177" i="288"/>
  <c r="BW179" i="288"/>
  <c r="BW63" i="315"/>
  <c r="BR52" i="282"/>
  <c r="BR53" i="282"/>
  <c r="BR55" i="282"/>
  <c r="BR56" i="282"/>
  <c r="BQ54" i="286"/>
  <c r="BQ75" i="286"/>
  <c r="BQ76" i="286"/>
  <c r="BQ79" i="286"/>
  <c r="BQ80" i="286"/>
  <c r="BR31" i="286"/>
  <c r="BQ55" i="286"/>
  <c r="BQ47" i="286"/>
  <c r="BQ48" i="286"/>
  <c r="BQ48" i="288"/>
  <c r="BQ42" i="288"/>
  <c r="BQ44" i="288"/>
  <c r="BQ81" i="286"/>
  <c r="BQ25" i="328"/>
  <c r="BQ56" i="286"/>
  <c r="BR68" i="282"/>
  <c r="BR62" i="282"/>
  <c r="BR58" i="282"/>
  <c r="BR60" i="282"/>
  <c r="BW73" i="315"/>
  <c r="BW263" i="288"/>
  <c r="BW235" i="288"/>
  <c r="BW215" i="288"/>
  <c r="BW182" i="288"/>
  <c r="BW237" i="288"/>
  <c r="BW239" i="288"/>
  <c r="BW128" i="314"/>
  <c r="BW130" i="314"/>
  <c r="BR63" i="282"/>
  <c r="BR69" i="282"/>
  <c r="BR64" i="282"/>
  <c r="BR70" i="282"/>
  <c r="BS67" i="282"/>
  <c r="BR53" i="286"/>
  <c r="BQ58" i="286"/>
  <c r="BQ64" i="286"/>
  <c r="BQ107" i="265"/>
  <c r="BQ35" i="265"/>
  <c r="BQ95" i="265"/>
  <c r="BQ47" i="288"/>
  <c r="BQ54" i="288"/>
  <c r="BR45" i="286"/>
  <c r="BQ128" i="265"/>
  <c r="BQ129" i="265"/>
  <c r="BQ135" i="265"/>
  <c r="BR70" i="286"/>
  <c r="BQ57" i="288"/>
  <c r="BQ96" i="265"/>
  <c r="BQ36" i="265"/>
  <c r="BQ59" i="328"/>
  <c r="BQ112" i="265"/>
  <c r="BQ114" i="265"/>
  <c r="BQ134" i="265"/>
  <c r="BR458" i="321"/>
  <c r="BR48" i="314"/>
  <c r="BR9" i="286"/>
  <c r="BR74" i="286"/>
  <c r="BS59" i="282"/>
  <c r="BR75" i="282"/>
  <c r="BR76" i="282"/>
  <c r="BW132" i="314"/>
  <c r="BW133" i="314"/>
  <c r="BW143" i="314"/>
  <c r="BW145" i="314"/>
  <c r="BW135" i="314"/>
  <c r="BW137" i="314"/>
  <c r="BW139" i="314"/>
  <c r="BW141" i="314"/>
  <c r="BW146" i="314"/>
  <c r="BW161" i="314"/>
  <c r="BR77" i="282"/>
  <c r="BQ137" i="265"/>
  <c r="BQ136" i="265"/>
  <c r="BR46" i="265"/>
  <c r="BR31" i="265"/>
  <c r="BW75" i="315"/>
  <c r="BW152" i="314"/>
  <c r="BW154" i="314"/>
  <c r="BW76" i="315"/>
  <c r="BW162" i="314"/>
  <c r="BW163" i="314"/>
  <c r="BW78" i="315"/>
  <c r="AN31" i="277"/>
  <c r="BR33" i="265"/>
  <c r="BR47" i="265"/>
  <c r="AN46" i="277"/>
  <c r="AN47" i="277"/>
  <c r="BR27" i="288"/>
  <c r="BR29" i="288"/>
  <c r="BR65" i="265"/>
  <c r="BR71" i="286"/>
  <c r="BR72" i="286"/>
  <c r="BR78" i="286"/>
  <c r="BR46" i="286"/>
  <c r="AN33" i="277"/>
  <c r="BW81" i="315"/>
  <c r="BX160" i="314"/>
  <c r="BW107" i="315"/>
  <c r="BX116" i="314"/>
  <c r="BX119" i="314"/>
  <c r="BX140" i="314"/>
  <c r="BW503" i="321"/>
  <c r="BW504" i="321"/>
  <c r="BR77" i="265"/>
  <c r="BR113" i="288"/>
  <c r="BR10" i="321"/>
  <c r="BR12" i="321"/>
  <c r="BR85" i="288"/>
  <c r="BR20" i="328"/>
  <c r="AN40" i="328"/>
  <c r="BR65" i="288"/>
  <c r="BR32" i="288"/>
  <c r="AN65" i="277"/>
  <c r="AN77" i="277"/>
  <c r="BR87" i="288"/>
  <c r="BR89" i="288"/>
  <c r="BR39" i="311"/>
  <c r="BR49" i="314"/>
  <c r="BR51" i="314"/>
  <c r="BW507" i="321"/>
  <c r="BW508" i="321"/>
  <c r="BW517" i="321"/>
  <c r="BX122" i="314"/>
  <c r="BX124" i="314"/>
  <c r="BX149" i="314"/>
  <c r="BX150" i="314"/>
  <c r="BX153" i="314"/>
  <c r="BX144" i="314"/>
  <c r="BW513" i="321"/>
  <c r="BW514" i="321"/>
  <c r="BW518" i="321"/>
  <c r="BW519" i="321"/>
  <c r="BW522" i="321"/>
  <c r="BW523" i="321"/>
  <c r="BW509" i="321"/>
  <c r="BW199" i="288"/>
  <c r="BW193" i="288"/>
  <c r="BR53" i="314"/>
  <c r="BR54" i="314"/>
  <c r="BR64" i="314"/>
  <c r="BR66" i="314"/>
  <c r="BR56" i="314"/>
  <c r="BR58" i="314"/>
  <c r="BR80" i="311"/>
  <c r="BR60" i="314"/>
  <c r="BR62" i="314"/>
  <c r="BR67" i="314"/>
  <c r="BR82" i="314"/>
  <c r="BW83" i="315"/>
  <c r="BW531" i="321"/>
  <c r="BW524" i="321"/>
  <c r="BW200" i="288"/>
  <c r="BW530" i="321"/>
  <c r="BW532" i="321"/>
  <c r="BX527" i="321"/>
  <c r="BW120" i="315"/>
  <c r="BW84" i="315"/>
  <c r="BW85" i="315"/>
  <c r="BR79" i="265"/>
  <c r="BR73" i="314"/>
  <c r="BR75" i="314"/>
  <c r="BR80" i="265"/>
  <c r="AN80" i="277"/>
  <c r="BR83" i="314"/>
  <c r="BR84" i="314"/>
  <c r="AN79" i="277"/>
  <c r="BR82" i="265"/>
  <c r="BW87" i="286"/>
  <c r="BW88" i="286"/>
  <c r="BX496" i="321"/>
  <c r="BX498" i="321"/>
  <c r="BX521" i="321"/>
  <c r="BX499" i="321"/>
  <c r="BX103" i="282"/>
  <c r="BX108" i="282"/>
  <c r="BX512" i="321"/>
  <c r="BX506" i="321"/>
  <c r="BW91" i="286"/>
  <c r="BW93" i="286"/>
  <c r="BW104" i="286"/>
  <c r="BR85" i="265"/>
  <c r="AN82" i="277"/>
  <c r="BS81" i="314"/>
  <c r="BR111" i="265"/>
  <c r="BR87" i="314"/>
  <c r="BR90" i="314"/>
  <c r="BR60" i="328"/>
  <c r="AN71" i="328"/>
  <c r="AN111" i="277"/>
  <c r="BS37" i="314"/>
  <c r="BS40" i="314"/>
  <c r="BS61" i="314"/>
  <c r="AN85" i="277"/>
  <c r="BR459" i="321"/>
  <c r="BR460" i="321"/>
  <c r="BW94" i="286"/>
  <c r="BW105" i="286"/>
  <c r="BW106" i="286"/>
  <c r="BW109" i="286"/>
  <c r="BW111" i="286"/>
  <c r="BW98" i="286"/>
  <c r="BW99" i="286"/>
  <c r="BW201" i="288"/>
  <c r="BX116" i="282"/>
  <c r="BX25" i="315"/>
  <c r="BX27" i="315"/>
  <c r="BX112" i="282"/>
  <c r="BX117" i="282"/>
  <c r="BX96" i="286"/>
  <c r="BW122" i="315"/>
  <c r="BW112" i="286"/>
  <c r="BW116" i="286"/>
  <c r="BW117" i="286"/>
  <c r="BW202" i="288"/>
  <c r="BW87" i="315"/>
  <c r="BR463" i="321"/>
  <c r="BR464" i="321"/>
  <c r="BR473" i="321"/>
  <c r="BS43" i="314"/>
  <c r="BS45" i="314"/>
  <c r="BS70" i="314"/>
  <c r="BS71" i="314"/>
  <c r="BS74" i="314"/>
  <c r="BS65" i="314"/>
  <c r="BR469" i="321"/>
  <c r="BR470" i="321"/>
  <c r="BR474" i="321"/>
  <c r="BR475" i="321"/>
  <c r="BR478" i="321"/>
  <c r="BR479" i="321"/>
  <c r="BR465" i="321"/>
  <c r="BR49" i="288"/>
  <c r="BR43" i="288"/>
  <c r="BR23" i="328"/>
  <c r="AN43" i="328"/>
  <c r="BX114" i="286"/>
  <c r="BW123" i="315"/>
  <c r="BW88" i="315"/>
  <c r="BW89" i="315"/>
  <c r="BX90" i="286"/>
  <c r="BX120" i="282"/>
  <c r="BX121" i="282"/>
  <c r="BX123" i="282"/>
  <c r="BX124" i="282"/>
  <c r="BX136" i="282"/>
  <c r="BX130" i="282"/>
  <c r="BX126" i="282"/>
  <c r="BX128" i="282"/>
  <c r="BW131" i="286"/>
  <c r="BW143" i="286"/>
  <c r="BW144" i="286"/>
  <c r="BW147" i="286"/>
  <c r="BW148" i="286"/>
  <c r="BX108" i="286"/>
  <c r="BR87" i="265"/>
  <c r="BR487" i="321"/>
  <c r="BR480" i="321"/>
  <c r="BR50" i="288"/>
  <c r="BR24" i="328"/>
  <c r="AN44" i="328"/>
  <c r="BR486" i="321"/>
  <c r="BR488" i="321"/>
  <c r="BS483" i="321"/>
  <c r="BR124" i="265"/>
  <c r="BR88" i="265"/>
  <c r="AN88" i="277"/>
  <c r="AN87" i="277"/>
  <c r="BR89" i="265"/>
  <c r="BW132" i="286"/>
  <c r="BW124" i="286"/>
  <c r="BW125" i="286"/>
  <c r="BW198" i="288"/>
  <c r="BW192" i="288"/>
  <c r="BW194" i="288"/>
  <c r="BW149" i="286"/>
  <c r="BW133" i="286"/>
  <c r="BX131" i="282"/>
  <c r="BX137" i="282"/>
  <c r="BX132" i="282"/>
  <c r="BX138" i="282"/>
  <c r="BY135" i="282"/>
  <c r="BY127" i="282"/>
  <c r="BX143" i="282"/>
  <c r="BX144" i="282"/>
  <c r="BX130" i="286"/>
  <c r="BW103" i="315"/>
  <c r="BW108" i="315"/>
  <c r="BW110" i="315"/>
  <c r="BW130" i="315"/>
  <c r="BW33" i="315"/>
  <c r="BW34" i="315"/>
  <c r="BW91" i="315"/>
  <c r="BW92" i="315"/>
  <c r="BW197" i="288"/>
  <c r="BW204" i="288"/>
  <c r="BX122" i="286"/>
  <c r="BW124" i="315"/>
  <c r="BW125" i="315"/>
  <c r="BW131" i="315"/>
  <c r="BR10" i="286"/>
  <c r="BR11" i="286"/>
  <c r="AN89" i="277"/>
  <c r="AN124" i="277"/>
  <c r="BS452" i="321"/>
  <c r="BS454" i="321"/>
  <c r="BS477" i="321"/>
  <c r="BS455" i="321"/>
  <c r="BS35" i="282"/>
  <c r="BS40" i="282"/>
  <c r="BS468" i="321"/>
  <c r="BS462" i="321"/>
  <c r="BR14" i="286"/>
  <c r="BR16" i="286"/>
  <c r="BR27" i="286"/>
  <c r="BX138" i="286"/>
  <c r="BW207" i="288"/>
  <c r="BW133" i="315"/>
  <c r="BW132" i="315"/>
  <c r="BX502" i="321"/>
  <c r="BX127" i="314"/>
  <c r="BX86" i="286"/>
  <c r="BX142" i="286"/>
  <c r="BX145" i="282"/>
  <c r="BX44" i="315"/>
  <c r="BX45" i="315"/>
  <c r="BX29" i="315"/>
  <c r="BX31" i="315"/>
  <c r="BR17" i="286"/>
  <c r="BR28" i="286"/>
  <c r="BR29" i="286"/>
  <c r="BR32" i="286"/>
  <c r="BR34" i="286"/>
  <c r="BR21" i="286"/>
  <c r="BR22" i="286"/>
  <c r="BR51" i="288"/>
  <c r="BS48" i="282"/>
  <c r="BS27" i="265"/>
  <c r="BS29" i="265"/>
  <c r="BS19" i="286"/>
  <c r="BR126" i="265"/>
  <c r="BR35" i="286"/>
  <c r="BR39" i="286"/>
  <c r="BR40" i="286"/>
  <c r="BR52" i="288"/>
  <c r="BR91" i="265"/>
  <c r="BX139" i="286"/>
  <c r="BX140" i="286"/>
  <c r="BX146" i="286"/>
  <c r="BX123" i="286"/>
  <c r="BX177" i="288"/>
  <c r="BX179" i="288"/>
  <c r="BX63" i="315"/>
  <c r="BX73" i="315"/>
  <c r="BX263" i="288"/>
  <c r="BX235" i="288"/>
  <c r="BX215" i="288"/>
  <c r="BX182" i="288"/>
  <c r="AN91" i="277"/>
  <c r="BS37" i="286"/>
  <c r="BR127" i="265"/>
  <c r="AN127" i="277"/>
  <c r="BR92" i="265"/>
  <c r="BR93" i="265"/>
  <c r="AN126" i="277"/>
  <c r="BS13" i="286"/>
  <c r="BS44" i="282"/>
  <c r="BS49" i="282"/>
  <c r="BS52" i="282"/>
  <c r="BS53" i="282"/>
  <c r="BS55" i="282"/>
  <c r="BS56" i="282"/>
  <c r="BR54" i="286"/>
  <c r="BR75" i="286"/>
  <c r="BR76" i="286"/>
  <c r="BR79" i="286"/>
  <c r="BR80" i="286"/>
  <c r="BS31" i="286"/>
  <c r="AN93" i="277"/>
  <c r="BX237" i="288"/>
  <c r="BX239" i="288"/>
  <c r="BX128" i="314"/>
  <c r="BX130" i="314"/>
  <c r="BX132" i="314"/>
  <c r="BX133" i="314"/>
  <c r="BX143" i="314"/>
  <c r="BX145" i="314"/>
  <c r="BX135" i="314"/>
  <c r="BX137" i="314"/>
  <c r="BR55" i="286"/>
  <c r="BR47" i="286"/>
  <c r="BR48" i="286"/>
  <c r="BR48" i="288"/>
  <c r="BR42" i="288"/>
  <c r="BR44" i="288"/>
  <c r="BR81" i="286"/>
  <c r="BR25" i="328"/>
  <c r="AN45" i="328"/>
  <c r="BR56" i="286"/>
  <c r="BS68" i="282"/>
  <c r="BS62" i="282"/>
  <c r="BS58" i="282"/>
  <c r="BS60" i="282"/>
  <c r="BS63" i="282"/>
  <c r="BS69" i="282"/>
  <c r="BS64" i="282"/>
  <c r="BS70" i="282"/>
  <c r="BT67" i="282"/>
  <c r="BS53" i="286"/>
  <c r="BR58" i="286"/>
  <c r="BR64" i="286"/>
  <c r="BR107" i="265"/>
  <c r="BR35" i="265"/>
  <c r="BR95" i="265"/>
  <c r="BR47" i="288"/>
  <c r="BR54" i="288"/>
  <c r="BS45" i="286"/>
  <c r="BR128" i="265"/>
  <c r="BX139" i="314"/>
  <c r="BX141" i="314"/>
  <c r="BX146" i="314"/>
  <c r="BX161" i="314"/>
  <c r="BX75" i="315"/>
  <c r="BX152" i="314"/>
  <c r="BX154" i="314"/>
  <c r="AN128" i="277"/>
  <c r="AN129" i="277"/>
  <c r="AN135" i="277"/>
  <c r="BR129" i="265"/>
  <c r="BR135" i="265"/>
  <c r="BS70" i="286"/>
  <c r="BR57" i="288"/>
  <c r="AN95" i="277"/>
  <c r="BR96" i="265"/>
  <c r="AN35" i="277"/>
  <c r="BR36" i="265"/>
  <c r="BR59" i="328"/>
  <c r="AN70" i="328"/>
  <c r="AN107" i="277"/>
  <c r="AN112" i="277"/>
  <c r="AN114" i="277"/>
  <c r="AN134" i="277"/>
  <c r="BR112" i="265"/>
  <c r="BR114" i="265"/>
  <c r="BR134" i="265"/>
  <c r="BS458" i="321"/>
  <c r="BS48" i="314"/>
  <c r="BS9" i="286"/>
  <c r="BS74" i="286"/>
  <c r="BT59" i="282"/>
  <c r="BS75" i="282"/>
  <c r="BS76" i="282"/>
  <c r="BS77" i="282"/>
  <c r="BR137" i="265"/>
  <c r="BR136" i="265"/>
  <c r="AN137" i="277"/>
  <c r="AN136" i="277"/>
  <c r="AN36" i="277"/>
  <c r="AN96" i="277"/>
  <c r="BX76" i="315"/>
  <c r="BX162" i="314"/>
  <c r="BX163" i="314"/>
  <c r="BX78" i="315"/>
  <c r="BX81" i="315"/>
  <c r="BY160" i="314"/>
  <c r="BX107" i="315"/>
  <c r="BS46" i="265"/>
  <c r="BS31" i="265"/>
  <c r="BS33" i="265"/>
  <c r="BS47" i="265"/>
  <c r="BY116" i="314"/>
  <c r="BY119" i="314"/>
  <c r="BY140" i="314"/>
  <c r="BX503" i="321"/>
  <c r="BX504" i="321"/>
  <c r="BX507" i="321"/>
  <c r="BX508" i="321"/>
  <c r="BX517" i="321"/>
  <c r="BY122" i="314"/>
  <c r="BY124" i="314"/>
  <c r="BY149" i="314"/>
  <c r="BY150" i="314"/>
  <c r="BS27" i="288"/>
  <c r="BS29" i="288"/>
  <c r="BS65" i="265"/>
  <c r="BS71" i="286"/>
  <c r="BS72" i="286"/>
  <c r="BS78" i="286"/>
  <c r="BS46" i="286"/>
  <c r="BS77" i="265"/>
  <c r="BS113" i="288"/>
  <c r="BS10" i="321"/>
  <c r="BS12" i="321"/>
  <c r="BS85" i="288"/>
  <c r="BS20" i="328"/>
  <c r="BS65" i="288"/>
  <c r="BS32" i="288"/>
  <c r="BY153" i="314"/>
  <c r="BY144" i="314"/>
  <c r="BX513" i="321"/>
  <c r="BX514" i="321"/>
  <c r="BX518" i="321"/>
  <c r="BX519" i="321"/>
  <c r="BX522" i="321"/>
  <c r="BX523" i="321"/>
  <c r="BX509" i="321"/>
  <c r="BX199" i="288"/>
  <c r="BX193" i="288"/>
  <c r="BX83" i="315"/>
  <c r="BX531" i="321"/>
  <c r="BX524" i="321"/>
  <c r="BX200" i="288"/>
  <c r="BX530" i="321"/>
  <c r="BX532" i="321"/>
  <c r="BS87" i="288"/>
  <c r="BS89" i="288"/>
  <c r="BS39" i="311"/>
  <c r="BS49" i="314"/>
  <c r="BS51" i="314"/>
  <c r="BS53" i="314"/>
  <c r="BS54" i="314"/>
  <c r="BS64" i="314"/>
  <c r="BS66" i="314"/>
  <c r="BS56" i="314"/>
  <c r="BS58" i="314"/>
  <c r="BS80" i="311"/>
  <c r="BY527" i="321"/>
  <c r="BX120" i="315"/>
  <c r="BX84" i="315"/>
  <c r="BX85" i="315"/>
  <c r="BX87" i="286"/>
  <c r="BX88" i="286"/>
  <c r="BY496" i="321"/>
  <c r="BY498" i="321"/>
  <c r="BY521" i="321"/>
  <c r="BS60" i="314"/>
  <c r="BS62" i="314"/>
  <c r="BS67" i="314"/>
  <c r="BS82" i="314"/>
  <c r="BS79" i="265"/>
  <c r="BS73" i="314"/>
  <c r="BS75" i="314"/>
  <c r="BY499" i="321"/>
  <c r="BY103" i="282"/>
  <c r="BY108" i="282"/>
  <c r="BY512" i="321"/>
  <c r="BY506" i="321"/>
  <c r="BX91" i="286"/>
  <c r="BX93" i="286"/>
  <c r="BX104" i="286"/>
  <c r="BX94" i="286"/>
  <c r="BX105" i="286"/>
  <c r="BX106" i="286"/>
  <c r="BX109" i="286"/>
  <c r="BX111" i="286"/>
  <c r="BX98" i="286"/>
  <c r="BX99" i="286"/>
  <c r="BX201" i="288"/>
  <c r="BY116" i="282"/>
  <c r="BY25" i="315"/>
  <c r="BY27" i="315"/>
  <c r="BS80" i="265"/>
  <c r="BS83" i="314"/>
  <c r="BS84" i="314"/>
  <c r="BS82" i="265"/>
  <c r="BS85" i="265"/>
  <c r="BT81" i="314"/>
  <c r="BS111" i="265"/>
  <c r="BS60" i="328"/>
  <c r="BS87" i="314"/>
  <c r="BS90" i="314"/>
  <c r="BY112" i="282"/>
  <c r="BY117" i="282"/>
  <c r="BY96" i="286"/>
  <c r="BX122" i="315"/>
  <c r="BX112" i="286"/>
  <c r="BX116" i="286"/>
  <c r="BX117" i="286"/>
  <c r="BX202" i="288"/>
  <c r="BX87" i="315"/>
  <c r="BY114" i="286"/>
  <c r="BX123" i="315"/>
  <c r="BX88" i="315"/>
  <c r="BX89" i="315"/>
  <c r="BY90" i="286"/>
  <c r="BY120" i="282"/>
  <c r="BY121" i="282"/>
  <c r="BY123" i="282"/>
  <c r="BY124" i="282"/>
  <c r="BT37" i="314"/>
  <c r="BT40" i="314"/>
  <c r="BT61" i="314"/>
  <c r="BS459" i="321"/>
  <c r="BS460" i="321"/>
  <c r="BS463" i="321"/>
  <c r="BS464" i="321"/>
  <c r="BS473" i="321"/>
  <c r="BT43" i="314"/>
  <c r="BT45" i="314"/>
  <c r="BT70" i="314"/>
  <c r="BT71" i="314"/>
  <c r="BY136" i="282"/>
  <c r="BY130" i="282"/>
  <c r="BY126" i="282"/>
  <c r="BY128" i="282"/>
  <c r="BX131" i="286"/>
  <c r="BX143" i="286"/>
  <c r="BX144" i="286"/>
  <c r="BX147" i="286"/>
  <c r="BX148" i="286"/>
  <c r="BY108" i="286"/>
  <c r="BX132" i="286"/>
  <c r="BX124" i="286"/>
  <c r="BX125" i="286"/>
  <c r="BX198" i="288"/>
  <c r="BX192" i="288"/>
  <c r="BX194" i="288"/>
  <c r="BX149" i="286"/>
  <c r="BX133" i="286"/>
  <c r="BY131" i="282"/>
  <c r="BY137" i="282"/>
  <c r="BY132" i="282"/>
  <c r="BY138" i="282"/>
  <c r="BZ135" i="282"/>
  <c r="BT74" i="314"/>
  <c r="BT65" i="314"/>
  <c r="BS469" i="321"/>
  <c r="BS470" i="321"/>
  <c r="BS474" i="321"/>
  <c r="BS475" i="321"/>
  <c r="BS478" i="321"/>
  <c r="BS479" i="321"/>
  <c r="BS465" i="321"/>
  <c r="BS49" i="288"/>
  <c r="BS43" i="288"/>
  <c r="BS23" i="328"/>
  <c r="BS87" i="265"/>
  <c r="BS487" i="321"/>
  <c r="BS480" i="321"/>
  <c r="BS50" i="288"/>
  <c r="BS24" i="328"/>
  <c r="BS486" i="321"/>
  <c r="BS488" i="321"/>
  <c r="BZ127" i="282"/>
  <c r="BY143" i="282"/>
  <c r="BY144" i="282"/>
  <c r="BY130" i="286"/>
  <c r="BX103" i="315"/>
  <c r="BX108" i="315"/>
  <c r="BX110" i="315"/>
  <c r="BX130" i="315"/>
  <c r="BX33" i="315"/>
  <c r="BX34" i="315"/>
  <c r="BX91" i="315"/>
  <c r="BX92" i="315"/>
  <c r="BX197" i="288"/>
  <c r="BX204" i="288"/>
  <c r="BY122" i="286"/>
  <c r="BX124" i="315"/>
  <c r="BX125" i="315"/>
  <c r="BX131" i="315"/>
  <c r="BY138" i="286"/>
  <c r="BX207" i="288"/>
  <c r="BX133" i="315"/>
  <c r="BX132" i="315"/>
  <c r="BY502" i="321"/>
  <c r="BY127" i="314"/>
  <c r="BY86" i="286"/>
  <c r="BY142" i="286"/>
  <c r="BY145" i="282"/>
  <c r="BT483" i="321"/>
  <c r="BS124" i="265"/>
  <c r="BS88" i="265"/>
  <c r="BS89" i="265"/>
  <c r="BS10" i="286"/>
  <c r="BS11" i="286"/>
  <c r="BT452" i="321"/>
  <c r="BT454" i="321"/>
  <c r="BT477" i="321"/>
  <c r="BY44" i="315"/>
  <c r="BY45" i="315"/>
  <c r="BY29" i="315"/>
  <c r="BY31" i="315"/>
  <c r="BY139" i="286"/>
  <c r="BY140" i="286"/>
  <c r="BY146" i="286"/>
  <c r="BY123" i="286"/>
  <c r="BY177" i="288"/>
  <c r="BY179" i="288"/>
  <c r="BY63" i="315"/>
  <c r="BT455" i="321"/>
  <c r="BT35" i="282"/>
  <c r="BT40" i="282"/>
  <c r="BT468" i="321"/>
  <c r="BT462" i="321"/>
  <c r="BS14" i="286"/>
  <c r="BS16" i="286"/>
  <c r="BS27" i="286"/>
  <c r="BS17" i="286"/>
  <c r="BS28" i="286"/>
  <c r="BS29" i="286"/>
  <c r="BS32" i="286"/>
  <c r="BS34" i="286"/>
  <c r="BS21" i="286"/>
  <c r="BS22" i="286"/>
  <c r="BS51" i="288"/>
  <c r="BT48" i="282"/>
  <c r="BT27" i="265"/>
  <c r="BY73" i="315"/>
  <c r="BY263" i="288"/>
  <c r="BY235" i="288"/>
  <c r="BY215" i="288"/>
  <c r="BY182" i="288"/>
  <c r="BY237" i="288"/>
  <c r="BY239" i="288"/>
  <c r="BY128" i="314"/>
  <c r="BY130" i="314"/>
  <c r="BT29" i="265"/>
  <c r="AO27" i="277"/>
  <c r="BT19" i="286"/>
  <c r="BS126" i="265"/>
  <c r="BS35" i="286"/>
  <c r="BS39" i="286"/>
  <c r="BS40" i="286"/>
  <c r="BS52" i="288"/>
  <c r="BS91" i="265"/>
  <c r="BT37" i="286"/>
  <c r="BS127" i="265"/>
  <c r="BS92" i="265"/>
  <c r="BS93" i="265"/>
  <c r="BT13" i="286"/>
  <c r="AO29" i="277"/>
  <c r="BT44" i="282"/>
  <c r="BT49" i="282"/>
  <c r="BY132" i="314"/>
  <c r="BY133" i="314"/>
  <c r="BY143" i="314"/>
  <c r="BY145" i="314"/>
  <c r="BY135" i="314"/>
  <c r="BY137" i="314"/>
  <c r="BY139" i="314"/>
  <c r="BY141" i="314"/>
  <c r="BY146" i="314"/>
  <c r="BY161" i="314"/>
  <c r="BT52" i="282"/>
  <c r="BT53" i="282"/>
  <c r="BT55" i="282"/>
  <c r="BT56" i="282"/>
  <c r="BS54" i="286"/>
  <c r="BS75" i="286"/>
  <c r="BS76" i="286"/>
  <c r="BS79" i="286"/>
  <c r="BS80" i="286"/>
  <c r="BT31" i="286"/>
  <c r="BS55" i="286"/>
  <c r="BS47" i="286"/>
  <c r="BS48" i="286"/>
  <c r="BS48" i="288"/>
  <c r="BS42" i="288"/>
  <c r="BS44" i="288"/>
  <c r="BS81" i="286"/>
  <c r="BS25" i="328"/>
  <c r="BS56" i="286"/>
  <c r="BT68" i="282"/>
  <c r="BT62" i="282"/>
  <c r="BT58" i="282"/>
  <c r="BT60" i="282"/>
  <c r="BY75" i="315"/>
  <c r="BY152" i="314"/>
  <c r="BY154" i="314"/>
  <c r="BY76" i="315"/>
  <c r="BY162" i="314"/>
  <c r="BY163" i="314"/>
  <c r="BY78" i="315"/>
  <c r="BT63" i="282"/>
  <c r="BT69" i="282"/>
  <c r="BT64" i="282"/>
  <c r="BT70" i="282"/>
  <c r="BU67" i="282"/>
  <c r="BT53" i="286"/>
  <c r="BS58" i="286"/>
  <c r="BS64" i="286"/>
  <c r="BS107" i="265"/>
  <c r="BS35" i="265"/>
  <c r="BS95" i="265"/>
  <c r="BS47" i="288"/>
  <c r="BS54" i="288"/>
  <c r="BT45" i="286"/>
  <c r="BS128" i="265"/>
  <c r="BS129" i="265"/>
  <c r="BS135" i="265"/>
  <c r="BT70" i="286"/>
  <c r="BS57" i="288"/>
  <c r="BS96" i="265"/>
  <c r="BS36" i="265"/>
  <c r="BS59" i="328"/>
  <c r="BS112" i="265"/>
  <c r="BS114" i="265"/>
  <c r="BS134" i="265"/>
  <c r="BT458" i="321"/>
  <c r="BT48" i="314"/>
  <c r="BT9" i="286"/>
  <c r="BT74" i="286"/>
  <c r="BU59" i="282"/>
  <c r="BT75" i="282"/>
  <c r="BT76" i="282"/>
  <c r="BY81" i="315"/>
  <c r="BZ160" i="314"/>
  <c r="BY107" i="315"/>
  <c r="BZ116" i="314"/>
  <c r="BZ119" i="314"/>
  <c r="BZ140" i="314"/>
  <c r="BY503" i="321"/>
  <c r="BY504" i="321"/>
  <c r="BT77" i="282"/>
  <c r="BS137" i="265"/>
  <c r="BS136" i="265"/>
  <c r="BT46" i="265"/>
  <c r="BT31" i="265"/>
  <c r="BY507" i="321"/>
  <c r="BY508" i="321"/>
  <c r="BY517" i="321"/>
  <c r="BZ122" i="314"/>
  <c r="BZ124" i="314"/>
  <c r="BZ149" i="314"/>
  <c r="BZ150" i="314"/>
  <c r="BZ153" i="314"/>
  <c r="BZ144" i="314"/>
  <c r="BY513" i="321"/>
  <c r="BY514" i="321"/>
  <c r="BY518" i="321"/>
  <c r="BY519" i="321"/>
  <c r="BY522" i="321"/>
  <c r="BY523" i="321"/>
  <c r="BY509" i="321"/>
  <c r="BY199" i="288"/>
  <c r="BY193" i="288"/>
  <c r="AO31" i="277"/>
  <c r="BT33" i="265"/>
  <c r="BT47" i="265"/>
  <c r="AO46" i="277"/>
  <c r="AO47" i="277"/>
  <c r="BT27" i="288"/>
  <c r="BT29" i="288"/>
  <c r="BT65" i="265"/>
  <c r="BT71" i="286"/>
  <c r="BT72" i="286"/>
  <c r="BT78" i="286"/>
  <c r="BT46" i="286"/>
  <c r="AO33" i="277"/>
  <c r="BY83" i="315"/>
  <c r="BY531" i="321"/>
  <c r="BY524" i="321"/>
  <c r="BY200" i="288"/>
  <c r="BY530" i="321"/>
  <c r="BY532" i="321"/>
  <c r="BZ527" i="321"/>
  <c r="BY120" i="315"/>
  <c r="BY84" i="315"/>
  <c r="BY85" i="315"/>
  <c r="BT77" i="265"/>
  <c r="BT113" i="288"/>
  <c r="BT10" i="321"/>
  <c r="BT12" i="321"/>
  <c r="BT85" i="288"/>
  <c r="BT65" i="288"/>
  <c r="BT20" i="328"/>
  <c r="AO40" i="328"/>
  <c r="BT32" i="288"/>
  <c r="AO65" i="277"/>
  <c r="AO77" i="277"/>
  <c r="BT87" i="288"/>
  <c r="BT89" i="288"/>
  <c r="BT39" i="311"/>
  <c r="BT49" i="314"/>
  <c r="BT51" i="314"/>
  <c r="BY87" i="286"/>
  <c r="BY88" i="286"/>
  <c r="BZ496" i="321"/>
  <c r="BZ498" i="321"/>
  <c r="BZ521" i="321"/>
  <c r="BZ499" i="321"/>
  <c r="BZ103" i="282"/>
  <c r="BZ108" i="282"/>
  <c r="BZ512" i="321"/>
  <c r="BZ506" i="321"/>
  <c r="BY91" i="286"/>
  <c r="BY93" i="286"/>
  <c r="BY104" i="286"/>
  <c r="BT53" i="314"/>
  <c r="BT54" i="314"/>
  <c r="BT64" i="314"/>
  <c r="BT66" i="314"/>
  <c r="BT56" i="314"/>
  <c r="BT58" i="314"/>
  <c r="BT80" i="311"/>
  <c r="BT60" i="314"/>
  <c r="BT62" i="314"/>
  <c r="BT67" i="314"/>
  <c r="BT82" i="314"/>
  <c r="BY94" i="286"/>
  <c r="BY105" i="286"/>
  <c r="BY106" i="286"/>
  <c r="BY109" i="286"/>
  <c r="BY111" i="286"/>
  <c r="BY98" i="286"/>
  <c r="BY99" i="286"/>
  <c r="BY201" i="288"/>
  <c r="BZ116" i="282"/>
  <c r="BZ25" i="315"/>
  <c r="BZ27" i="315"/>
  <c r="BZ112" i="282"/>
  <c r="BZ117" i="282"/>
  <c r="BZ96" i="286"/>
  <c r="BY122" i="315"/>
  <c r="BY112" i="286"/>
  <c r="BY116" i="286"/>
  <c r="BY117" i="286"/>
  <c r="BY202" i="288"/>
  <c r="BY87" i="315"/>
  <c r="BT79" i="265"/>
  <c r="BT73" i="314"/>
  <c r="BT75" i="314"/>
  <c r="BT80" i="265"/>
  <c r="AO80" i="277"/>
  <c r="BT83" i="314"/>
  <c r="BT84" i="314"/>
  <c r="AO79" i="277"/>
  <c r="BT82" i="265"/>
  <c r="BZ114" i="286"/>
  <c r="BY123" i="315"/>
  <c r="BY88" i="315"/>
  <c r="BY89" i="315"/>
  <c r="BZ90" i="286"/>
  <c r="BZ120" i="282"/>
  <c r="BZ121" i="282"/>
  <c r="BZ123" i="282"/>
  <c r="BZ124" i="282"/>
  <c r="BZ136" i="282"/>
  <c r="BZ130" i="282"/>
  <c r="BZ126" i="282"/>
  <c r="BZ128" i="282"/>
  <c r="BY131" i="286"/>
  <c r="BY143" i="286"/>
  <c r="BY144" i="286"/>
  <c r="BY147" i="286"/>
  <c r="BY148" i="286"/>
  <c r="BZ108" i="286"/>
  <c r="BT85" i="265"/>
  <c r="AO82" i="277"/>
  <c r="BU81" i="314"/>
  <c r="BT111" i="265"/>
  <c r="BT87" i="314"/>
  <c r="BT90" i="314"/>
  <c r="BT60" i="328"/>
  <c r="AO71" i="328"/>
  <c r="AO111" i="277"/>
  <c r="BU37" i="314"/>
  <c r="BU40" i="314"/>
  <c r="BU61" i="314"/>
  <c r="AO85" i="277"/>
  <c r="BT459" i="321"/>
  <c r="BT460" i="321"/>
  <c r="BY132" i="286"/>
  <c r="BY124" i="286"/>
  <c r="BY125" i="286"/>
  <c r="BY198" i="288"/>
  <c r="BY192" i="288"/>
  <c r="BY194" i="288"/>
  <c r="BY149" i="286"/>
  <c r="BY133" i="286"/>
  <c r="BZ131" i="282"/>
  <c r="BZ137" i="282"/>
  <c r="BZ132" i="282"/>
  <c r="BZ138" i="282"/>
  <c r="CA135" i="282"/>
  <c r="CA127" i="282"/>
  <c r="BZ143" i="282"/>
  <c r="BZ144" i="282"/>
  <c r="BZ130" i="286"/>
  <c r="BY103" i="315"/>
  <c r="BY108" i="315"/>
  <c r="BY110" i="315"/>
  <c r="BY130" i="315"/>
  <c r="BY33" i="315"/>
  <c r="BY34" i="315"/>
  <c r="BY91" i="315"/>
  <c r="BY92" i="315"/>
  <c r="BY197" i="288"/>
  <c r="BY204" i="288"/>
  <c r="BZ122" i="286"/>
  <c r="BY124" i="315"/>
  <c r="BY125" i="315"/>
  <c r="BY131" i="315"/>
  <c r="BT463" i="321"/>
  <c r="BT464" i="321"/>
  <c r="BT473" i="321"/>
  <c r="BU43" i="314"/>
  <c r="BU45" i="314"/>
  <c r="BU70" i="314"/>
  <c r="BU71" i="314"/>
  <c r="BU74" i="314"/>
  <c r="BU65" i="314"/>
  <c r="BT469" i="321"/>
  <c r="BT470" i="321"/>
  <c r="BT474" i="321"/>
  <c r="BT475" i="321"/>
  <c r="BT478" i="321"/>
  <c r="BT479" i="321"/>
  <c r="BT465" i="321"/>
  <c r="BT49" i="288"/>
  <c r="BT43" i="288"/>
  <c r="BT23" i="328"/>
  <c r="AO43" i="328"/>
  <c r="BZ138" i="286"/>
  <c r="BY207" i="288"/>
  <c r="BY133" i="315"/>
  <c r="BY132" i="315"/>
  <c r="BZ502" i="321"/>
  <c r="BZ127" i="314"/>
  <c r="BZ86" i="286"/>
  <c r="BZ142" i="286"/>
  <c r="BZ145" i="282"/>
  <c r="BZ44" i="315"/>
  <c r="BZ45" i="315"/>
  <c r="BZ29" i="315"/>
  <c r="BZ31" i="315"/>
  <c r="BT87" i="265"/>
  <c r="BT487" i="321"/>
  <c r="BT480" i="321"/>
  <c r="BT50" i="288"/>
  <c r="BT24" i="328"/>
  <c r="AO44" i="328"/>
  <c r="BT486" i="321"/>
  <c r="BT488" i="321"/>
  <c r="BU483" i="321"/>
  <c r="BT124" i="265"/>
  <c r="BT88" i="265"/>
  <c r="AO88" i="277"/>
  <c r="AO87" i="277"/>
  <c r="BT89" i="265"/>
  <c r="BZ139" i="286"/>
  <c r="BZ140" i="286"/>
  <c r="BZ146" i="286"/>
  <c r="BZ123" i="286"/>
  <c r="BZ177" i="288"/>
  <c r="BZ179" i="288"/>
  <c r="BZ63" i="315"/>
  <c r="BZ73" i="315"/>
  <c r="BZ263" i="288"/>
  <c r="BZ235" i="288"/>
  <c r="BZ215" i="288"/>
  <c r="BZ182" i="288"/>
  <c r="BT10" i="286"/>
  <c r="BT11" i="286"/>
  <c r="AO89" i="277"/>
  <c r="AO124" i="277"/>
  <c r="BU452" i="321"/>
  <c r="BU454" i="321"/>
  <c r="BU477" i="321"/>
  <c r="BU455" i="321"/>
  <c r="BU35" i="282"/>
  <c r="BU40" i="282"/>
  <c r="BU468" i="321"/>
  <c r="BU462" i="321"/>
  <c r="BT14" i="286"/>
  <c r="BT16" i="286"/>
  <c r="BT27" i="286"/>
  <c r="BZ237" i="288"/>
  <c r="BZ239" i="288"/>
  <c r="BZ128" i="314"/>
  <c r="BZ130" i="314"/>
  <c r="BZ132" i="314"/>
  <c r="BZ133" i="314"/>
  <c r="BZ143" i="314"/>
  <c r="BZ145" i="314"/>
  <c r="BZ135" i="314"/>
  <c r="BZ137" i="314"/>
  <c r="BT17" i="286"/>
  <c r="BT28" i="286"/>
  <c r="BT29" i="286"/>
  <c r="BT32" i="286"/>
  <c r="BT34" i="286"/>
  <c r="BT21" i="286"/>
  <c r="BT22" i="286"/>
  <c r="BT51" i="288"/>
  <c r="BU48" i="282"/>
  <c r="BU27" i="265"/>
  <c r="BU29" i="265"/>
  <c r="BU19" i="286"/>
  <c r="BT126" i="265"/>
  <c r="BT35" i="286"/>
  <c r="BT39" i="286"/>
  <c r="BT40" i="286"/>
  <c r="BT52" i="288"/>
  <c r="BT91" i="265"/>
  <c r="BZ139" i="314"/>
  <c r="BZ141" i="314"/>
  <c r="BZ146" i="314"/>
  <c r="BZ161" i="314"/>
  <c r="BZ75" i="315"/>
  <c r="BZ152" i="314"/>
  <c r="BZ154" i="314"/>
  <c r="AO91" i="277"/>
  <c r="BU37" i="286"/>
  <c r="BT127" i="265"/>
  <c r="AO127" i="277"/>
  <c r="BT92" i="265"/>
  <c r="BT93" i="265"/>
  <c r="AO126" i="277"/>
  <c r="BU13" i="286"/>
  <c r="BU44" i="282"/>
  <c r="BU49" i="282"/>
  <c r="BU52" i="282"/>
  <c r="BU53" i="282"/>
  <c r="BU55" i="282"/>
  <c r="BU56" i="282"/>
  <c r="BT54" i="286"/>
  <c r="BT75" i="286"/>
  <c r="BT76" i="286"/>
  <c r="BT79" i="286"/>
  <c r="BT80" i="286"/>
  <c r="BU31" i="286"/>
  <c r="AO93" i="277"/>
  <c r="BZ76" i="315"/>
  <c r="BZ162" i="314"/>
  <c r="BZ163" i="314"/>
  <c r="BZ78" i="315"/>
  <c r="BZ81" i="315"/>
  <c r="CA160" i="314"/>
  <c r="BZ107" i="315"/>
  <c r="BT55" i="286"/>
  <c r="BT47" i="286"/>
  <c r="BT48" i="286"/>
  <c r="BT48" i="288"/>
  <c r="BT42" i="288"/>
  <c r="BT44" i="288"/>
  <c r="BT81" i="286"/>
  <c r="BT25" i="328"/>
  <c r="AO45" i="328"/>
  <c r="BT56" i="286"/>
  <c r="BU68" i="282"/>
  <c r="BU62" i="282"/>
  <c r="BU58" i="282"/>
  <c r="BU60" i="282"/>
  <c r="BU63" i="282"/>
  <c r="BU69" i="282"/>
  <c r="BU64" i="282"/>
  <c r="BU70" i="282"/>
  <c r="BV67" i="282"/>
  <c r="BU53" i="286"/>
  <c r="BT58" i="286"/>
  <c r="BT64" i="286"/>
  <c r="BT107" i="265"/>
  <c r="BT35" i="265"/>
  <c r="BT95" i="265"/>
  <c r="BT47" i="288"/>
  <c r="BT54" i="288"/>
  <c r="BU45" i="286"/>
  <c r="BT128" i="265"/>
  <c r="CA116" i="314"/>
  <c r="CA119" i="314"/>
  <c r="CA140" i="314"/>
  <c r="BZ503" i="321"/>
  <c r="BZ504" i="321"/>
  <c r="BZ507" i="321"/>
  <c r="BZ508" i="321"/>
  <c r="BZ517" i="321"/>
  <c r="CA122" i="314"/>
  <c r="CA124" i="314"/>
  <c r="CA149" i="314"/>
  <c r="CA150" i="314"/>
  <c r="AO128" i="277"/>
  <c r="AO129" i="277"/>
  <c r="AO135" i="277"/>
  <c r="BT129" i="265"/>
  <c r="BT135" i="265"/>
  <c r="BU70" i="286"/>
  <c r="BT57" i="288"/>
  <c r="AO95" i="277"/>
  <c r="BT96" i="265"/>
  <c r="AO35" i="277"/>
  <c r="BT36" i="265"/>
  <c r="BT59" i="328"/>
  <c r="AO70" i="328"/>
  <c r="AO107" i="277"/>
  <c r="AO112" i="277"/>
  <c r="AO114" i="277"/>
  <c r="AO134" i="277"/>
  <c r="BT112" i="265"/>
  <c r="BT114" i="265"/>
  <c r="BT134" i="265"/>
  <c r="BU458" i="321"/>
  <c r="BU48" i="314"/>
  <c r="BU9" i="286"/>
  <c r="BU74" i="286"/>
  <c r="BV59" i="282"/>
  <c r="BU75" i="282"/>
  <c r="BU76" i="282"/>
  <c r="BU77" i="282"/>
  <c r="BT137" i="265"/>
  <c r="BT136" i="265"/>
  <c r="AO137" i="277"/>
  <c r="AO136" i="277"/>
  <c r="AO36" i="277"/>
  <c r="AO96" i="277"/>
  <c r="CA153" i="314"/>
  <c r="CA144" i="314"/>
  <c r="BZ513" i="321"/>
  <c r="BZ514" i="321"/>
  <c r="BZ518" i="321"/>
  <c r="BZ519" i="321"/>
  <c r="BZ522" i="321"/>
  <c r="BZ523" i="321"/>
  <c r="BZ509" i="321"/>
  <c r="BZ199" i="288"/>
  <c r="BZ193" i="288"/>
  <c r="BZ83" i="315"/>
  <c r="BZ531" i="321"/>
  <c r="BZ524" i="321"/>
  <c r="BZ200" i="288"/>
  <c r="BZ530" i="321"/>
  <c r="BZ532" i="321"/>
  <c r="BU46" i="265"/>
  <c r="BU31" i="265"/>
  <c r="BU33" i="265"/>
  <c r="BU47" i="265"/>
  <c r="CA527" i="321"/>
  <c r="BZ120" i="315"/>
  <c r="BZ84" i="315"/>
  <c r="BZ85" i="315"/>
  <c r="BZ87" i="286"/>
  <c r="BZ88" i="286"/>
  <c r="CA496" i="321"/>
  <c r="CA498" i="321"/>
  <c r="CA521" i="321"/>
  <c r="BU27" i="288"/>
  <c r="BU29" i="288"/>
  <c r="BU65" i="265"/>
  <c r="BU71" i="286"/>
  <c r="BU72" i="286"/>
  <c r="BU78" i="286"/>
  <c r="BU46" i="286"/>
  <c r="BU77" i="265"/>
  <c r="BU113" i="288"/>
  <c r="BU10" i="321"/>
  <c r="BU12" i="321"/>
  <c r="BU85" i="288"/>
  <c r="BU20" i="328"/>
  <c r="BU65" i="288"/>
  <c r="BU32" i="288"/>
  <c r="CA499" i="321"/>
  <c r="CA103" i="282"/>
  <c r="CA108" i="282"/>
  <c r="CA512" i="321"/>
  <c r="CA506" i="321"/>
  <c r="BZ91" i="286"/>
  <c r="BZ93" i="286"/>
  <c r="BZ104" i="286"/>
  <c r="BZ94" i="286"/>
  <c r="BZ105" i="286"/>
  <c r="BZ106" i="286"/>
  <c r="BZ109" i="286"/>
  <c r="BZ111" i="286"/>
  <c r="BZ98" i="286"/>
  <c r="BZ99" i="286"/>
  <c r="BZ201" i="288"/>
  <c r="CA116" i="282"/>
  <c r="CA25" i="315"/>
  <c r="CA27" i="315"/>
  <c r="BU87" i="288"/>
  <c r="BU89" i="288"/>
  <c r="BU39" i="311"/>
  <c r="BU49" i="314"/>
  <c r="BU51" i="314"/>
  <c r="BU53" i="314"/>
  <c r="BU54" i="314"/>
  <c r="BU64" i="314"/>
  <c r="BU66" i="314"/>
  <c r="BU56" i="314"/>
  <c r="BU58" i="314"/>
  <c r="BU80" i="311"/>
  <c r="CA112" i="282"/>
  <c r="CA117" i="282"/>
  <c r="CA96" i="286"/>
  <c r="BZ122" i="315"/>
  <c r="BZ112" i="286"/>
  <c r="BZ116" i="286"/>
  <c r="BZ117" i="286"/>
  <c r="BZ202" i="288"/>
  <c r="BZ87" i="315"/>
  <c r="CA114" i="286"/>
  <c r="BZ123" i="315"/>
  <c r="BZ88" i="315"/>
  <c r="BZ89" i="315"/>
  <c r="CA90" i="286"/>
  <c r="CA120" i="282"/>
  <c r="CA121" i="282"/>
  <c r="CA123" i="282"/>
  <c r="CA124" i="282"/>
  <c r="BU60" i="314"/>
  <c r="BU62" i="314"/>
  <c r="BU67" i="314"/>
  <c r="BU82" i="314"/>
  <c r="BU79" i="265"/>
  <c r="BU73" i="314"/>
  <c r="BU75" i="314"/>
  <c r="CA136" i="282"/>
  <c r="CA130" i="282"/>
  <c r="CA126" i="282"/>
  <c r="CA128" i="282"/>
  <c r="BZ131" i="286"/>
  <c r="BZ143" i="286"/>
  <c r="BZ144" i="286"/>
  <c r="BZ147" i="286"/>
  <c r="BZ148" i="286"/>
  <c r="CA108" i="286"/>
  <c r="BZ132" i="286"/>
  <c r="BZ124" i="286"/>
  <c r="BZ125" i="286"/>
  <c r="BZ198" i="288"/>
  <c r="BZ192" i="288"/>
  <c r="BZ194" i="288"/>
  <c r="BZ149" i="286"/>
  <c r="BZ133" i="286"/>
  <c r="CA131" i="282"/>
  <c r="CA137" i="282"/>
  <c r="CA132" i="282"/>
  <c r="CA138" i="282"/>
  <c r="CB135" i="282"/>
  <c r="BU80" i="265"/>
  <c r="BU83" i="314"/>
  <c r="BU84" i="314"/>
  <c r="BU82" i="265"/>
  <c r="BU85" i="265"/>
  <c r="BV81" i="314"/>
  <c r="BU111" i="265"/>
  <c r="BU60" i="328"/>
  <c r="BU87" i="314"/>
  <c r="BU90" i="314"/>
  <c r="CB127" i="282"/>
  <c r="CA143" i="282"/>
  <c r="CA144" i="282"/>
  <c r="CA130" i="286"/>
  <c r="BZ103" i="315"/>
  <c r="BZ108" i="315"/>
  <c r="BZ110" i="315"/>
  <c r="BZ130" i="315"/>
  <c r="BZ33" i="315"/>
  <c r="BZ34" i="315"/>
  <c r="BZ91" i="315"/>
  <c r="BZ92" i="315"/>
  <c r="BZ197" i="288"/>
  <c r="BZ204" i="288"/>
  <c r="CA122" i="286"/>
  <c r="BZ124" i="315"/>
  <c r="BZ125" i="315"/>
  <c r="BZ131" i="315"/>
  <c r="CA138" i="286"/>
  <c r="BZ207" i="288"/>
  <c r="BZ133" i="315"/>
  <c r="BZ132" i="315"/>
  <c r="CA502" i="321"/>
  <c r="CA127" i="314"/>
  <c r="CA86" i="286"/>
  <c r="CA142" i="286"/>
  <c r="CA145" i="282"/>
  <c r="BV37" i="314"/>
  <c r="BV40" i="314"/>
  <c r="BV61" i="314"/>
  <c r="BU459" i="321"/>
  <c r="BU460" i="321"/>
  <c r="BU463" i="321"/>
  <c r="BU464" i="321"/>
  <c r="BU473" i="321"/>
  <c r="BV43" i="314"/>
  <c r="BV45" i="314"/>
  <c r="BV70" i="314"/>
  <c r="BV71" i="314"/>
  <c r="CA44" i="315"/>
  <c r="CA45" i="315"/>
  <c r="CA29" i="315"/>
  <c r="CA31" i="315"/>
  <c r="CA139" i="286"/>
  <c r="CA140" i="286"/>
  <c r="CA146" i="286"/>
  <c r="CA123" i="286"/>
  <c r="CA177" i="288"/>
  <c r="CA179" i="288"/>
  <c r="CA63" i="315"/>
  <c r="BV74" i="314"/>
  <c r="BV65" i="314"/>
  <c r="BU469" i="321"/>
  <c r="BU470" i="321"/>
  <c r="BU474" i="321"/>
  <c r="BU475" i="321"/>
  <c r="BU478" i="321"/>
  <c r="BU479" i="321"/>
  <c r="BU465" i="321"/>
  <c r="BU49" i="288"/>
  <c r="BU43" i="288"/>
  <c r="BU23" i="328"/>
  <c r="BU87" i="265"/>
  <c r="BU487" i="321"/>
  <c r="BU480" i="321"/>
  <c r="BU50" i="288"/>
  <c r="BU24" i="328"/>
  <c r="BU486" i="321"/>
  <c r="BU488" i="321"/>
  <c r="CA73" i="315"/>
  <c r="CA263" i="288"/>
  <c r="CA235" i="288"/>
  <c r="CA215" i="288"/>
  <c r="CA182" i="288"/>
  <c r="CA237" i="288"/>
  <c r="CA239" i="288"/>
  <c r="CA128" i="314"/>
  <c r="CA130" i="314"/>
  <c r="BV483" i="321"/>
  <c r="BU124" i="265"/>
  <c r="BU88" i="265"/>
  <c r="BU89" i="265"/>
  <c r="BU10" i="286"/>
  <c r="BU11" i="286"/>
  <c r="BV452" i="321"/>
  <c r="BV454" i="321"/>
  <c r="BV477" i="321"/>
  <c r="CA132" i="314"/>
  <c r="CA133" i="314"/>
  <c r="CA143" i="314"/>
  <c r="CA145" i="314"/>
  <c r="CA135" i="314"/>
  <c r="CA137" i="314"/>
  <c r="CA139" i="314"/>
  <c r="CA141" i="314"/>
  <c r="CA146" i="314"/>
  <c r="CA161" i="314"/>
  <c r="BV455" i="321"/>
  <c r="BV35" i="282"/>
  <c r="BV40" i="282"/>
  <c r="BV468" i="321"/>
  <c r="BV462" i="321"/>
  <c r="BU14" i="286"/>
  <c r="BU16" i="286"/>
  <c r="BU27" i="286"/>
  <c r="BU17" i="286"/>
  <c r="BU28" i="286"/>
  <c r="BU29" i="286"/>
  <c r="BU32" i="286"/>
  <c r="BU34" i="286"/>
  <c r="BU21" i="286"/>
  <c r="BU22" i="286"/>
  <c r="BU51" i="288"/>
  <c r="BV48" i="282"/>
  <c r="BV27" i="265"/>
  <c r="CA75" i="315"/>
  <c r="CA152" i="314"/>
  <c r="CA154" i="314"/>
  <c r="CA76" i="315"/>
  <c r="CA162" i="314"/>
  <c r="CA163" i="314"/>
  <c r="CA78" i="315"/>
  <c r="BV29" i="265"/>
  <c r="AP27" i="277"/>
  <c r="BV19" i="286"/>
  <c r="BU126" i="265"/>
  <c r="BU35" i="286"/>
  <c r="BU39" i="286"/>
  <c r="BU40" i="286"/>
  <c r="BU52" i="288"/>
  <c r="BU91" i="265"/>
  <c r="BV37" i="286"/>
  <c r="BU127" i="265"/>
  <c r="BU92" i="265"/>
  <c r="BU93" i="265"/>
  <c r="BV13" i="286"/>
  <c r="AP29" i="277"/>
  <c r="BV44" i="282"/>
  <c r="BV49" i="282"/>
  <c r="CA81" i="315"/>
  <c r="CB160" i="314"/>
  <c r="CA107" i="315"/>
  <c r="CB116" i="314"/>
  <c r="CB119" i="314"/>
  <c r="CB140" i="314"/>
  <c r="CA503" i="321"/>
  <c r="CA504" i="321"/>
  <c r="BV52" i="282"/>
  <c r="BV53" i="282"/>
  <c r="BV55" i="282"/>
  <c r="BV56" i="282"/>
  <c r="BU54" i="286"/>
  <c r="BU75" i="286"/>
  <c r="BU76" i="286"/>
  <c r="BU79" i="286"/>
  <c r="BU80" i="286"/>
  <c r="BV31" i="286"/>
  <c r="BU55" i="286"/>
  <c r="BU47" i="286"/>
  <c r="BU48" i="286"/>
  <c r="BU48" i="288"/>
  <c r="BU42" i="288"/>
  <c r="BU44" i="288"/>
  <c r="BU81" i="286"/>
  <c r="BU25" i="328"/>
  <c r="BU56" i="286"/>
  <c r="BV68" i="282"/>
  <c r="BV62" i="282"/>
  <c r="BV58" i="282"/>
  <c r="BV60" i="282"/>
  <c r="CA507" i="321"/>
  <c r="CA508" i="321"/>
  <c r="CA517" i="321"/>
  <c r="CB122" i="314"/>
  <c r="CB124" i="314"/>
  <c r="CB149" i="314"/>
  <c r="CB150" i="314"/>
  <c r="CB153" i="314"/>
  <c r="CB144" i="314"/>
  <c r="CA513" i="321"/>
  <c r="CA514" i="321"/>
  <c r="CA518" i="321"/>
  <c r="CA519" i="321"/>
  <c r="CA522" i="321"/>
  <c r="CA523" i="321"/>
  <c r="CA509" i="321"/>
  <c r="CA199" i="288"/>
  <c r="CA193" i="288"/>
  <c r="BV63" i="282"/>
  <c r="BV69" i="282"/>
  <c r="BV64" i="282"/>
  <c r="BV70" i="282"/>
  <c r="BW67" i="282"/>
  <c r="BV53" i="286"/>
  <c r="BU58" i="286"/>
  <c r="BU64" i="286"/>
  <c r="BU107" i="265"/>
  <c r="BU35" i="265"/>
  <c r="BU95" i="265"/>
  <c r="BU47" i="288"/>
  <c r="BU54" i="288"/>
  <c r="BV45" i="286"/>
  <c r="BU128" i="265"/>
  <c r="BU129" i="265"/>
  <c r="BU135" i="265"/>
  <c r="BV70" i="286"/>
  <c r="BU57" i="288"/>
  <c r="BU96" i="265"/>
  <c r="BU36" i="265"/>
  <c r="BU59" i="328"/>
  <c r="BU112" i="265"/>
  <c r="BU114" i="265"/>
  <c r="BU134" i="265"/>
  <c r="BV458" i="321"/>
  <c r="BV48" i="314"/>
  <c r="BV9" i="286"/>
  <c r="BV74" i="286"/>
  <c r="BW59" i="282"/>
  <c r="BV75" i="282"/>
  <c r="BV76" i="282"/>
  <c r="CA83" i="315"/>
  <c r="CA531" i="321"/>
  <c r="CA524" i="321"/>
  <c r="CA200" i="288"/>
  <c r="CA530" i="321"/>
  <c r="CA532" i="321"/>
  <c r="CB527" i="321"/>
  <c r="CA120" i="315"/>
  <c r="CA84" i="315"/>
  <c r="CA85" i="315"/>
  <c r="BV77" i="282"/>
  <c r="BU137" i="265"/>
  <c r="BU136" i="265"/>
  <c r="BV46" i="265"/>
  <c r="BV31" i="265"/>
  <c r="CA87" i="286"/>
  <c r="CA88" i="286"/>
  <c r="CB496" i="321"/>
  <c r="CB498" i="321"/>
  <c r="CB521" i="321"/>
  <c r="CB499" i="321"/>
  <c r="CB103" i="282"/>
  <c r="CB108" i="282"/>
  <c r="CB512" i="321"/>
  <c r="CB506" i="321"/>
  <c r="CA91" i="286"/>
  <c r="CA93" i="286"/>
  <c r="CA104" i="286"/>
  <c r="AP31" i="277"/>
  <c r="BV33" i="265"/>
  <c r="BV47" i="265"/>
  <c r="AP46" i="277"/>
  <c r="AP47" i="277"/>
  <c r="BV27" i="288"/>
  <c r="BV29" i="288"/>
  <c r="BV65" i="265"/>
  <c r="BV71" i="286"/>
  <c r="BV72" i="286"/>
  <c r="BV78" i="286"/>
  <c r="BV46" i="286"/>
  <c r="AP33" i="277"/>
  <c r="CA94" i="286"/>
  <c r="CA105" i="286"/>
  <c r="CA106" i="286"/>
  <c r="CA109" i="286"/>
  <c r="CA111" i="286"/>
  <c r="CA98" i="286"/>
  <c r="CA99" i="286"/>
  <c r="CA201" i="288"/>
  <c r="CB116" i="282"/>
  <c r="CB25" i="315"/>
  <c r="CB27" i="315"/>
  <c r="CB112" i="282"/>
  <c r="CB117" i="282"/>
  <c r="CB96" i="286"/>
  <c r="CA122" i="315"/>
  <c r="CA112" i="286"/>
  <c r="CA116" i="286"/>
  <c r="CA117" i="286"/>
  <c r="CA202" i="288"/>
  <c r="CA87" i="315"/>
  <c r="BV77" i="265"/>
  <c r="BV113" i="288"/>
  <c r="BV10" i="321"/>
  <c r="BV12" i="321"/>
  <c r="BV85" i="288"/>
  <c r="BV65" i="288"/>
  <c r="BV20" i="328"/>
  <c r="AP40" i="328"/>
  <c r="BV32" i="288"/>
  <c r="AP65" i="277"/>
  <c r="AP77" i="277"/>
  <c r="BV87" i="288"/>
  <c r="BV89" i="288"/>
  <c r="BV39" i="311"/>
  <c r="BV49" i="314"/>
  <c r="BV51" i="314"/>
  <c r="CB114" i="286"/>
  <c r="CA123" i="315"/>
  <c r="CA88" i="315"/>
  <c r="CA89" i="315"/>
  <c r="CB90" i="286"/>
  <c r="CB120" i="282"/>
  <c r="CB121" i="282"/>
  <c r="CB123" i="282"/>
  <c r="CB124" i="282"/>
  <c r="CB136" i="282"/>
  <c r="CB130" i="282"/>
  <c r="CB126" i="282"/>
  <c r="CB128" i="282"/>
  <c r="CA131" i="286"/>
  <c r="CA143" i="286"/>
  <c r="CA144" i="286"/>
  <c r="CA147" i="286"/>
  <c r="CA148" i="286"/>
  <c r="CB108" i="286"/>
  <c r="BV53" i="314"/>
  <c r="BV54" i="314"/>
  <c r="BV64" i="314"/>
  <c r="BV66" i="314"/>
  <c r="BV56" i="314"/>
  <c r="BV58" i="314"/>
  <c r="BV80" i="311"/>
  <c r="BV60" i="314"/>
  <c r="BV62" i="314"/>
  <c r="BV67" i="314"/>
  <c r="BV82" i="314"/>
  <c r="CA132" i="286"/>
  <c r="CA124" i="286"/>
  <c r="CA125" i="286"/>
  <c r="CA198" i="288"/>
  <c r="CA192" i="288"/>
  <c r="CA194" i="288"/>
  <c r="CA149" i="286"/>
  <c r="CA133" i="286"/>
  <c r="CB131" i="282"/>
  <c r="CB137" i="282"/>
  <c r="CB132" i="282"/>
  <c r="CB138" i="282"/>
  <c r="CC135" i="282"/>
  <c r="CC127" i="282"/>
  <c r="CB143" i="282"/>
  <c r="CB144" i="282"/>
  <c r="CB130" i="286"/>
  <c r="CA103" i="315"/>
  <c r="CA108" i="315"/>
  <c r="CA110" i="315"/>
  <c r="CA130" i="315"/>
  <c r="CA33" i="315"/>
  <c r="CA34" i="315"/>
  <c r="CA91" i="315"/>
  <c r="CA92" i="315"/>
  <c r="CA197" i="288"/>
  <c r="CA204" i="288"/>
  <c r="CB122" i="286"/>
  <c r="CA124" i="315"/>
  <c r="CA125" i="315"/>
  <c r="CA131" i="315"/>
  <c r="BV79" i="265"/>
  <c r="BV73" i="314"/>
  <c r="BV75" i="314"/>
  <c r="BV80" i="265"/>
  <c r="AP80" i="277"/>
  <c r="BV83" i="314"/>
  <c r="BV84" i="314"/>
  <c r="AP79" i="277"/>
  <c r="BV82" i="265"/>
  <c r="CB138" i="286"/>
  <c r="CA207" i="288"/>
  <c r="CA133" i="315"/>
  <c r="CA132" i="315"/>
  <c r="CB502" i="321"/>
  <c r="CB127" i="314"/>
  <c r="CB86" i="286"/>
  <c r="CB142" i="286"/>
  <c r="CB145" i="282"/>
  <c r="CB44" i="315"/>
  <c r="CB45" i="315"/>
  <c r="CB29" i="315"/>
  <c r="CB31" i="315"/>
  <c r="BV85" i="265"/>
  <c r="AP82" i="277"/>
  <c r="BW81" i="314"/>
  <c r="BV111" i="265"/>
  <c r="BV87" i="314"/>
  <c r="BV90" i="314"/>
  <c r="BV60" i="328"/>
  <c r="AP71" i="328"/>
  <c r="AP111" i="277"/>
  <c r="BW37" i="314"/>
  <c r="BW40" i="314"/>
  <c r="BW61" i="314"/>
  <c r="AP85" i="277"/>
  <c r="BV459" i="321"/>
  <c r="BV460" i="321"/>
  <c r="CB139" i="286"/>
  <c r="CB140" i="286"/>
  <c r="CB146" i="286"/>
  <c r="CB123" i="286"/>
  <c r="CB177" i="288"/>
  <c r="CB179" i="288"/>
  <c r="CB63" i="315"/>
  <c r="CB73" i="315"/>
  <c r="CB263" i="288"/>
  <c r="CB235" i="288"/>
  <c r="CB215" i="288"/>
  <c r="CB182" i="288"/>
  <c r="BV463" i="321"/>
  <c r="BV464" i="321"/>
  <c r="BV473" i="321"/>
  <c r="BW43" i="314"/>
  <c r="BW45" i="314"/>
  <c r="BW70" i="314"/>
  <c r="BW71" i="314"/>
  <c r="BW74" i="314"/>
  <c r="BW65" i="314"/>
  <c r="BV469" i="321"/>
  <c r="BV470" i="321"/>
  <c r="BV474" i="321"/>
  <c r="BV475" i="321"/>
  <c r="BV478" i="321"/>
  <c r="BV479" i="321"/>
  <c r="BV465" i="321"/>
  <c r="BV49" i="288"/>
  <c r="BV43" i="288"/>
  <c r="BV23" i="328"/>
  <c r="AP43" i="328"/>
  <c r="CB237" i="288"/>
  <c r="CB239" i="288"/>
  <c r="CB128" i="314"/>
  <c r="CB130" i="314"/>
  <c r="CB132" i="314"/>
  <c r="CB133" i="314"/>
  <c r="CB143" i="314"/>
  <c r="CB145" i="314"/>
  <c r="CB135" i="314"/>
  <c r="CB137" i="314"/>
  <c r="BV87" i="265"/>
  <c r="BV487" i="321"/>
  <c r="BV480" i="321"/>
  <c r="BV50" i="288"/>
  <c r="BV24" i="328"/>
  <c r="AP44" i="328"/>
  <c r="BV486" i="321"/>
  <c r="BV488" i="321"/>
  <c r="BW483" i="321"/>
  <c r="BV124" i="265"/>
  <c r="BV88" i="265"/>
  <c r="AP88" i="277"/>
  <c r="AP87" i="277"/>
  <c r="BV89" i="265"/>
  <c r="CB139" i="314"/>
  <c r="CB141" i="314"/>
  <c r="CB146" i="314"/>
  <c r="CB161" i="314"/>
  <c r="CB75" i="315"/>
  <c r="CB152" i="314"/>
  <c r="CB154" i="314"/>
  <c r="BV10" i="286"/>
  <c r="BV11" i="286"/>
  <c r="AP89" i="277"/>
  <c r="AP124" i="277"/>
  <c r="BW452" i="321"/>
  <c r="BW454" i="321"/>
  <c r="BW477" i="321"/>
  <c r="BW455" i="321"/>
  <c r="BW35" i="282"/>
  <c r="BW40" i="282"/>
  <c r="BW468" i="321"/>
  <c r="BW462" i="321"/>
  <c r="BV14" i="286"/>
  <c r="BV16" i="286"/>
  <c r="BV27" i="286"/>
  <c r="CB76" i="315"/>
  <c r="CB162" i="314"/>
  <c r="CB163" i="314"/>
  <c r="CB78" i="315"/>
  <c r="CB81" i="315"/>
  <c r="CC160" i="314"/>
  <c r="CB107" i="315"/>
  <c r="BV17" i="286"/>
  <c r="BV28" i="286"/>
  <c r="BV29" i="286"/>
  <c r="BV32" i="286"/>
  <c r="BV34" i="286"/>
  <c r="BV21" i="286"/>
  <c r="BV22" i="286"/>
  <c r="BV51" i="288"/>
  <c r="BW48" i="282"/>
  <c r="BW27" i="265"/>
  <c r="BW29" i="265"/>
  <c r="BW19" i="286"/>
  <c r="BV126" i="265"/>
  <c r="BV35" i="286"/>
  <c r="BV39" i="286"/>
  <c r="BV40" i="286"/>
  <c r="BV52" i="288"/>
  <c r="BV91" i="265"/>
  <c r="CC116" i="314"/>
  <c r="CC119" i="314"/>
  <c r="CC140" i="314"/>
  <c r="CB503" i="321"/>
  <c r="CB504" i="321"/>
  <c r="CB507" i="321"/>
  <c r="CB508" i="321"/>
  <c r="CB517" i="321"/>
  <c r="CC122" i="314"/>
  <c r="CC124" i="314"/>
  <c r="CC149" i="314"/>
  <c r="CC150" i="314"/>
  <c r="AP91" i="277"/>
  <c r="BW37" i="286"/>
  <c r="BV127" i="265"/>
  <c r="AP127" i="277"/>
  <c r="BV92" i="265"/>
  <c r="BV93" i="265"/>
  <c r="AP126" i="277"/>
  <c r="BW13" i="286"/>
  <c r="BW44" i="282"/>
  <c r="BW49" i="282"/>
  <c r="BW52" i="282"/>
  <c r="BW53" i="282"/>
  <c r="BW55" i="282"/>
  <c r="BW56" i="282"/>
  <c r="BV54" i="286"/>
  <c r="BV75" i="286"/>
  <c r="BV76" i="286"/>
  <c r="BV79" i="286"/>
  <c r="BV80" i="286"/>
  <c r="BW31" i="286"/>
  <c r="AP93" i="277"/>
  <c r="CC153" i="314"/>
  <c r="CC144" i="314"/>
  <c r="CB513" i="321"/>
  <c r="CB514" i="321"/>
  <c r="CB518" i="321"/>
  <c r="CB519" i="321"/>
  <c r="CB522" i="321"/>
  <c r="CB523" i="321"/>
  <c r="CB509" i="321"/>
  <c r="CB199" i="288"/>
  <c r="CB193" i="288"/>
  <c r="CB83" i="315"/>
  <c r="CB531" i="321"/>
  <c r="CB524" i="321"/>
  <c r="CB200" i="288"/>
  <c r="CB530" i="321"/>
  <c r="CB532" i="321"/>
  <c r="BV55" i="286"/>
  <c r="BV47" i="286"/>
  <c r="BV48" i="286"/>
  <c r="BV48" i="288"/>
  <c r="BV42" i="288"/>
  <c r="BV44" i="288"/>
  <c r="BV81" i="286"/>
  <c r="BV25" i="328"/>
  <c r="AP45" i="328"/>
  <c r="BV56" i="286"/>
  <c r="BW68" i="282"/>
  <c r="BW62" i="282"/>
  <c r="BW58" i="282"/>
  <c r="BW60" i="282"/>
  <c r="BW63" i="282"/>
  <c r="BW69" i="282"/>
  <c r="BW64" i="282"/>
  <c r="BW70" i="282"/>
  <c r="BX67" i="282"/>
  <c r="BW53" i="286"/>
  <c r="BV58" i="286"/>
  <c r="BV64" i="286"/>
  <c r="BV107" i="265"/>
  <c r="BV35" i="265"/>
  <c r="BV95" i="265"/>
  <c r="BV47" i="288"/>
  <c r="BV54" i="288"/>
  <c r="BW45" i="286"/>
  <c r="BV128" i="265"/>
  <c r="CC527" i="321"/>
  <c r="CB120" i="315"/>
  <c r="CB84" i="315"/>
  <c r="CB85" i="315"/>
  <c r="CB87" i="286"/>
  <c r="CB88" i="286"/>
  <c r="CC496" i="321"/>
  <c r="CC498" i="321"/>
  <c r="CC521" i="321"/>
  <c r="AP128" i="277"/>
  <c r="AP129" i="277"/>
  <c r="AP135" i="277"/>
  <c r="BV129" i="265"/>
  <c r="BV135" i="265"/>
  <c r="BW70" i="286"/>
  <c r="BV57" i="288"/>
  <c r="AP95" i="277"/>
  <c r="BV96" i="265"/>
  <c r="AP35" i="277"/>
  <c r="BV36" i="265"/>
  <c r="BV59" i="328"/>
  <c r="AP70" i="328"/>
  <c r="AP107" i="277"/>
  <c r="AP112" i="277"/>
  <c r="AP114" i="277"/>
  <c r="AP134" i="277"/>
  <c r="BV112" i="265"/>
  <c r="BV114" i="265"/>
  <c r="BV134" i="265"/>
  <c r="BW458" i="321"/>
  <c r="BW48" i="314"/>
  <c r="BW9" i="286"/>
  <c r="BW74" i="286"/>
  <c r="BX59" i="282"/>
  <c r="BW75" i="282"/>
  <c r="BW76" i="282"/>
  <c r="BW77" i="282"/>
  <c r="BV137" i="265"/>
  <c r="BV136" i="265"/>
  <c r="AP137" i="277"/>
  <c r="AP136" i="277"/>
  <c r="AP36" i="277"/>
  <c r="AP96" i="277"/>
  <c r="CC499" i="321"/>
  <c r="CC103" i="282"/>
  <c r="CC108" i="282"/>
  <c r="CC512" i="321"/>
  <c r="CC506" i="321"/>
  <c r="CB91" i="286"/>
  <c r="CB93" i="286"/>
  <c r="CB104" i="286"/>
  <c r="CB94" i="286"/>
  <c r="CB105" i="286"/>
  <c r="CB106" i="286"/>
  <c r="CB109" i="286"/>
  <c r="CB111" i="286"/>
  <c r="CB98" i="286"/>
  <c r="CB99" i="286"/>
  <c r="CB201" i="288"/>
  <c r="CC116" i="282"/>
  <c r="CC25" i="315"/>
  <c r="CC27" i="315"/>
  <c r="BW46" i="265"/>
  <c r="BW31" i="265"/>
  <c r="BW33" i="265"/>
  <c r="BW47" i="265"/>
  <c r="CC112" i="282"/>
  <c r="CC117" i="282"/>
  <c r="CC96" i="286"/>
  <c r="CB122" i="315"/>
  <c r="CB112" i="286"/>
  <c r="CB116" i="286"/>
  <c r="CB117" i="286"/>
  <c r="CB202" i="288"/>
  <c r="CB87" i="315"/>
  <c r="CC114" i="286"/>
  <c r="CB123" i="315"/>
  <c r="CB88" i="315"/>
  <c r="CB89" i="315"/>
  <c r="CC90" i="286"/>
  <c r="CC120" i="282"/>
  <c r="CC121" i="282"/>
  <c r="CC123" i="282"/>
  <c r="CC124" i="282"/>
  <c r="BW27" i="288"/>
  <c r="BW29" i="288"/>
  <c r="BW65" i="265"/>
  <c r="BW71" i="286"/>
  <c r="BW72" i="286"/>
  <c r="BW78" i="286"/>
  <c r="BW46" i="286"/>
  <c r="BW77" i="265"/>
  <c r="BW113" i="288"/>
  <c r="BW10" i="321"/>
  <c r="BW12" i="321"/>
  <c r="BW85" i="288"/>
  <c r="BW65" i="288"/>
  <c r="BW20" i="328"/>
  <c r="BW32" i="288"/>
  <c r="CC136" i="282"/>
  <c r="CC130" i="282"/>
  <c r="CC126" i="282"/>
  <c r="CC128" i="282"/>
  <c r="CB131" i="286"/>
  <c r="CB143" i="286"/>
  <c r="CB144" i="286"/>
  <c r="CB147" i="286"/>
  <c r="CB148" i="286"/>
  <c r="CC108" i="286"/>
  <c r="CB132" i="286"/>
  <c r="CB124" i="286"/>
  <c r="CB125" i="286"/>
  <c r="CB198" i="288"/>
  <c r="CB192" i="288"/>
  <c r="CB194" i="288"/>
  <c r="CB149" i="286"/>
  <c r="CB133" i="286"/>
  <c r="CC131" i="282"/>
  <c r="CC137" i="282"/>
  <c r="CC132" i="282"/>
  <c r="CC138" i="282"/>
  <c r="CD135" i="282"/>
  <c r="BW87" i="288"/>
  <c r="BW89" i="288"/>
  <c r="BW39" i="311"/>
  <c r="BW49" i="314"/>
  <c r="BW51" i="314"/>
  <c r="BW53" i="314"/>
  <c r="BW54" i="314"/>
  <c r="BW64" i="314"/>
  <c r="BW66" i="314"/>
  <c r="BW56" i="314"/>
  <c r="BW58" i="314"/>
  <c r="BW80" i="311"/>
  <c r="CD127" i="282"/>
  <c r="CC143" i="282"/>
  <c r="CC144" i="282"/>
  <c r="CC130" i="286"/>
  <c r="CB103" i="315"/>
  <c r="CB108" i="315"/>
  <c r="CB110" i="315"/>
  <c r="CB130" i="315"/>
  <c r="CB33" i="315"/>
  <c r="CB34" i="315"/>
  <c r="CB91" i="315"/>
  <c r="CB92" i="315"/>
  <c r="CB197" i="288"/>
  <c r="CB204" i="288"/>
  <c r="CC122" i="286"/>
  <c r="CB124" i="315"/>
  <c r="CB125" i="315"/>
  <c r="CB131" i="315"/>
  <c r="CC138" i="286"/>
  <c r="CB207" i="288"/>
  <c r="CB133" i="315"/>
  <c r="CB132" i="315"/>
  <c r="CC502" i="321"/>
  <c r="CC127" i="314"/>
  <c r="CC86" i="286"/>
  <c r="CC142" i="286"/>
  <c r="CC145" i="282"/>
  <c r="BW60" i="314"/>
  <c r="BW62" i="314"/>
  <c r="BW67" i="314"/>
  <c r="BW82" i="314"/>
  <c r="BW79" i="265"/>
  <c r="BW73" i="314"/>
  <c r="BW75" i="314"/>
  <c r="CC44" i="315"/>
  <c r="CC45" i="315"/>
  <c r="CC29" i="315"/>
  <c r="CC31" i="315"/>
  <c r="CC139" i="286"/>
  <c r="CC140" i="286"/>
  <c r="CC146" i="286"/>
  <c r="CC123" i="286"/>
  <c r="CC177" i="288"/>
  <c r="CC179" i="288"/>
  <c r="CC63" i="315"/>
  <c r="BW80" i="265"/>
  <c r="BW83" i="314"/>
  <c r="BW84" i="314"/>
  <c r="BW82" i="265"/>
  <c r="BW85" i="265"/>
  <c r="BX81" i="314"/>
  <c r="BW111" i="265"/>
  <c r="BW60" i="328"/>
  <c r="BW87" i="314"/>
  <c r="BW90" i="314"/>
  <c r="CC73" i="315"/>
  <c r="CC263" i="288"/>
  <c r="CC235" i="288"/>
  <c r="CC215" i="288"/>
  <c r="CC182" i="288"/>
  <c r="CC237" i="288"/>
  <c r="CC239" i="288"/>
  <c r="CC128" i="314"/>
  <c r="CC130" i="314"/>
  <c r="BX37" i="314"/>
  <c r="BX40" i="314"/>
  <c r="BX61" i="314"/>
  <c r="BW459" i="321"/>
  <c r="BW460" i="321"/>
  <c r="BW463" i="321"/>
  <c r="BW464" i="321"/>
  <c r="BW473" i="321"/>
  <c r="BX43" i="314"/>
  <c r="BX45" i="314"/>
  <c r="BX70" i="314"/>
  <c r="BX71" i="314"/>
  <c r="CC132" i="314"/>
  <c r="CC133" i="314"/>
  <c r="CC143" i="314"/>
  <c r="CC145" i="314"/>
  <c r="CC135" i="314"/>
  <c r="CC137" i="314"/>
  <c r="CC139" i="314"/>
  <c r="CC141" i="314"/>
  <c r="CC146" i="314"/>
  <c r="CC161" i="314"/>
  <c r="BX74" i="314"/>
  <c r="BX65" i="314"/>
  <c r="BW469" i="321"/>
  <c r="BW470" i="321"/>
  <c r="BW474" i="321"/>
  <c r="BW475" i="321"/>
  <c r="BW478" i="321"/>
  <c r="BW479" i="321"/>
  <c r="BW465" i="321"/>
  <c r="BW49" i="288"/>
  <c r="BW43" i="288"/>
  <c r="BW23" i="328"/>
  <c r="BW87" i="265"/>
  <c r="BW487" i="321"/>
  <c r="BW480" i="321"/>
  <c r="BW50" i="288"/>
  <c r="BW24" i="328"/>
  <c r="BW486" i="321"/>
  <c r="BW488" i="321"/>
  <c r="CC75" i="315"/>
  <c r="CC152" i="314"/>
  <c r="CC154" i="314"/>
  <c r="CC76" i="315"/>
  <c r="CC162" i="314"/>
  <c r="CC163" i="314"/>
  <c r="CC78" i="315"/>
  <c r="BX483" i="321"/>
  <c r="BW124" i="265"/>
  <c r="BW88" i="265"/>
  <c r="BW89" i="265"/>
  <c r="BW10" i="286"/>
  <c r="BW11" i="286"/>
  <c r="BX452" i="321"/>
  <c r="BX454" i="321"/>
  <c r="BX477" i="321"/>
  <c r="CC81" i="315"/>
  <c r="CD160" i="314"/>
  <c r="CC107" i="315"/>
  <c r="CD116" i="314"/>
  <c r="CD119" i="314"/>
  <c r="CD140" i="314"/>
  <c r="CC503" i="321"/>
  <c r="CC504" i="321"/>
  <c r="BX455" i="321"/>
  <c r="BX35" i="282"/>
  <c r="BX40" i="282"/>
  <c r="BX468" i="321"/>
  <c r="BX462" i="321"/>
  <c r="BW14" i="286"/>
  <c r="BW16" i="286"/>
  <c r="BW27" i="286"/>
  <c r="BW17" i="286"/>
  <c r="BW28" i="286"/>
  <c r="BW29" i="286"/>
  <c r="BW32" i="286"/>
  <c r="BW34" i="286"/>
  <c r="BW21" i="286"/>
  <c r="BW22" i="286"/>
  <c r="BW51" i="288"/>
  <c r="BX48" i="282"/>
  <c r="BX27" i="265"/>
  <c r="CC507" i="321"/>
  <c r="CC508" i="321"/>
  <c r="CC517" i="321"/>
  <c r="CD122" i="314"/>
  <c r="CD124" i="314"/>
  <c r="CD149" i="314"/>
  <c r="CD150" i="314"/>
  <c r="CD153" i="314"/>
  <c r="CD144" i="314"/>
  <c r="CC513" i="321"/>
  <c r="CC514" i="321"/>
  <c r="CC518" i="321"/>
  <c r="CC519" i="321"/>
  <c r="CC522" i="321"/>
  <c r="CC523" i="321"/>
  <c r="CC509" i="321"/>
  <c r="CC199" i="288"/>
  <c r="CC193" i="288"/>
  <c r="BX29" i="265"/>
  <c r="AQ27" i="277"/>
  <c r="BX19" i="286"/>
  <c r="BW126" i="265"/>
  <c r="BW35" i="286"/>
  <c r="BW39" i="286"/>
  <c r="BW40" i="286"/>
  <c r="BW52" i="288"/>
  <c r="BW91" i="265"/>
  <c r="BX37" i="286"/>
  <c r="BW127" i="265"/>
  <c r="BW92" i="265"/>
  <c r="BW93" i="265"/>
  <c r="BX13" i="286"/>
  <c r="AQ29" i="277"/>
  <c r="BX44" i="282"/>
  <c r="BX49" i="282"/>
  <c r="CC83" i="315"/>
  <c r="CC531" i="321"/>
  <c r="CC524" i="321"/>
  <c r="CC200" i="288"/>
  <c r="CC530" i="321"/>
  <c r="CC532" i="321"/>
  <c r="CD527" i="321"/>
  <c r="CC120" i="315"/>
  <c r="CC84" i="315"/>
  <c r="CC85" i="315"/>
  <c r="BX52" i="282"/>
  <c r="BX53" i="282"/>
  <c r="BX55" i="282"/>
  <c r="BX56" i="282"/>
  <c r="BW54" i="286"/>
  <c r="BW75" i="286"/>
  <c r="BW76" i="286"/>
  <c r="BW79" i="286"/>
  <c r="BW80" i="286"/>
  <c r="BX31" i="286"/>
  <c r="BW55" i="286"/>
  <c r="BW47" i="286"/>
  <c r="BW48" i="286"/>
  <c r="BW48" i="288"/>
  <c r="BW42" i="288"/>
  <c r="BW44" i="288"/>
  <c r="BW81" i="286"/>
  <c r="BW25" i="328"/>
  <c r="BW56" i="286"/>
  <c r="BX68" i="282"/>
  <c r="BX62" i="282"/>
  <c r="BX58" i="282"/>
  <c r="BX60" i="282"/>
  <c r="CC87" i="286"/>
  <c r="CC88" i="286"/>
  <c r="CD496" i="321"/>
  <c r="CD498" i="321"/>
  <c r="CD521" i="321"/>
  <c r="CD499" i="321"/>
  <c r="CD103" i="282"/>
  <c r="CD108" i="282"/>
  <c r="CD512" i="321"/>
  <c r="CD506" i="321"/>
  <c r="CC91" i="286"/>
  <c r="CC93" i="286"/>
  <c r="CC104" i="286"/>
  <c r="BX63" i="282"/>
  <c r="BX69" i="282"/>
  <c r="BX64" i="282"/>
  <c r="BX70" i="282"/>
  <c r="BY67" i="282"/>
  <c r="BX53" i="286"/>
  <c r="BW58" i="286"/>
  <c r="BW64" i="286"/>
  <c r="BW107" i="265"/>
  <c r="BW35" i="265"/>
  <c r="BW95" i="265"/>
  <c r="BW47" i="288"/>
  <c r="BW54" i="288"/>
  <c r="BX45" i="286"/>
  <c r="BW128" i="265"/>
  <c r="BW129" i="265"/>
  <c r="BW135" i="265"/>
  <c r="BX70" i="286"/>
  <c r="BW57" i="288"/>
  <c r="BW96" i="265"/>
  <c r="BW36" i="265"/>
  <c r="BW59" i="328"/>
  <c r="BW112" i="265"/>
  <c r="BW114" i="265"/>
  <c r="BW134" i="265"/>
  <c r="BX458" i="321"/>
  <c r="BX48" i="314"/>
  <c r="BX9" i="286"/>
  <c r="BX74" i="286"/>
  <c r="BY59" i="282"/>
  <c r="BX75" i="282"/>
  <c r="BX76" i="282"/>
  <c r="CC94" i="286"/>
  <c r="CC105" i="286"/>
  <c r="CC106" i="286"/>
  <c r="CC109" i="286"/>
  <c r="CC111" i="286"/>
  <c r="CC98" i="286"/>
  <c r="CC99" i="286"/>
  <c r="CC201" i="288"/>
  <c r="CD116" i="282"/>
  <c r="CD25" i="315"/>
  <c r="CD27" i="315"/>
  <c r="CD112" i="282"/>
  <c r="CD117" i="282"/>
  <c r="CD96" i="286"/>
  <c r="CC122" i="315"/>
  <c r="CC112" i="286"/>
  <c r="CC116" i="286"/>
  <c r="CC117" i="286"/>
  <c r="CC202" i="288"/>
  <c r="CC87" i="315"/>
  <c r="BX77" i="282"/>
  <c r="BW137" i="265"/>
  <c r="BW136" i="265"/>
  <c r="BX46" i="265"/>
  <c r="BX31" i="265"/>
  <c r="CD114" i="286"/>
  <c r="CC123" i="315"/>
  <c r="CC88" i="315"/>
  <c r="CC89" i="315"/>
  <c r="CD90" i="286"/>
  <c r="CD120" i="282"/>
  <c r="CD121" i="282"/>
  <c r="CD123" i="282"/>
  <c r="CD124" i="282"/>
  <c r="CD136" i="282"/>
  <c r="CD130" i="282"/>
  <c r="CD126" i="282"/>
  <c r="CD128" i="282"/>
  <c r="CC131" i="286"/>
  <c r="CC143" i="286"/>
  <c r="CC144" i="286"/>
  <c r="CC147" i="286"/>
  <c r="CC148" i="286"/>
  <c r="CD108" i="286"/>
  <c r="AQ31" i="277"/>
  <c r="BX33" i="265"/>
  <c r="BX47" i="265"/>
  <c r="AQ46" i="277"/>
  <c r="AQ47" i="277"/>
  <c r="BX27" i="288"/>
  <c r="BX29" i="288"/>
  <c r="BX65" i="265"/>
  <c r="BX71" i="286"/>
  <c r="BX72" i="286"/>
  <c r="BX78" i="286"/>
  <c r="BX46" i="286"/>
  <c r="AQ33" i="277"/>
  <c r="CC132" i="286"/>
  <c r="CC124" i="286"/>
  <c r="CC125" i="286"/>
  <c r="CC198" i="288"/>
  <c r="CC192" i="288"/>
  <c r="CC194" i="288"/>
  <c r="CC149" i="286"/>
  <c r="CC133" i="286"/>
  <c r="CD131" i="282"/>
  <c r="CD137" i="282"/>
  <c r="CD132" i="282"/>
  <c r="CD138" i="282"/>
  <c r="CE135" i="282"/>
  <c r="CE127" i="282"/>
  <c r="CD143" i="282"/>
  <c r="CD144" i="282"/>
  <c r="CD130" i="286"/>
  <c r="CC103" i="315"/>
  <c r="CC108" i="315"/>
  <c r="CC110" i="315"/>
  <c r="CC130" i="315"/>
  <c r="CC33" i="315"/>
  <c r="CC34" i="315"/>
  <c r="CC91" i="315"/>
  <c r="CC92" i="315"/>
  <c r="CC197" i="288"/>
  <c r="CC204" i="288"/>
  <c r="CD122" i="286"/>
  <c r="CC124" i="315"/>
  <c r="CC125" i="315"/>
  <c r="CC131" i="315"/>
  <c r="BX77" i="265"/>
  <c r="BX113" i="288"/>
  <c r="BX10" i="321"/>
  <c r="BX12" i="321"/>
  <c r="BX85" i="288"/>
  <c r="BX20" i="328"/>
  <c r="BX65" i="288"/>
  <c r="BX32" i="288"/>
  <c r="AQ65" i="277"/>
  <c r="AQ77" i="277"/>
  <c r="BX87" i="288"/>
  <c r="BX89" i="288"/>
  <c r="BX39" i="311"/>
  <c r="BX49" i="314"/>
  <c r="BX51" i="314"/>
  <c r="CD138" i="286"/>
  <c r="CC207" i="288"/>
  <c r="CC133" i="315"/>
  <c r="CC132" i="315"/>
  <c r="CD502" i="321"/>
  <c r="CD127" i="314"/>
  <c r="CD86" i="286"/>
  <c r="CD142" i="286"/>
  <c r="CD145" i="282"/>
  <c r="CD44" i="315"/>
  <c r="CD45" i="315"/>
  <c r="CD29" i="315"/>
  <c r="CD31" i="315"/>
  <c r="BX53" i="314"/>
  <c r="BX54" i="314"/>
  <c r="BX64" i="314"/>
  <c r="BX66" i="314"/>
  <c r="BX56" i="314"/>
  <c r="BX58" i="314"/>
  <c r="BX80" i="311"/>
  <c r="BX60" i="314"/>
  <c r="BX62" i="314"/>
  <c r="BX67" i="314"/>
  <c r="BX82" i="314"/>
  <c r="CD139" i="286"/>
  <c r="CD140" i="286"/>
  <c r="CD146" i="286"/>
  <c r="CD123" i="286"/>
  <c r="CD177" i="288"/>
  <c r="CD179" i="288"/>
  <c r="CD63" i="315"/>
  <c r="CD73" i="315"/>
  <c r="CD263" i="288"/>
  <c r="CD235" i="288"/>
  <c r="CD215" i="288"/>
  <c r="CD182" i="288"/>
  <c r="BX79" i="265"/>
  <c r="BX73" i="314"/>
  <c r="BX75" i="314"/>
  <c r="BX80" i="265"/>
  <c r="AQ80" i="277"/>
  <c r="BX83" i="314"/>
  <c r="BX84" i="314"/>
  <c r="AQ79" i="277"/>
  <c r="BX82" i="265"/>
  <c r="CD237" i="288"/>
  <c r="CD239" i="288"/>
  <c r="CD128" i="314"/>
  <c r="CD130" i="314"/>
  <c r="CD132" i="314"/>
  <c r="CD133" i="314"/>
  <c r="CD143" i="314"/>
  <c r="CD145" i="314"/>
  <c r="CD135" i="314"/>
  <c r="CD137" i="314"/>
  <c r="BX85" i="265"/>
  <c r="AQ82" i="277"/>
  <c r="BY81" i="314"/>
  <c r="BX111" i="265"/>
  <c r="BX87" i="314"/>
  <c r="BX90" i="314"/>
  <c r="BX60" i="328"/>
  <c r="AQ111" i="277"/>
  <c r="BY37" i="314"/>
  <c r="BY40" i="314"/>
  <c r="BY61" i="314"/>
  <c r="AQ85" i="277"/>
  <c r="BX459" i="321"/>
  <c r="BX460" i="321"/>
  <c r="CD139" i="314"/>
  <c r="CD141" i="314"/>
  <c r="CD146" i="314"/>
  <c r="CD161" i="314"/>
  <c r="CD75" i="315"/>
  <c r="CD152" i="314"/>
  <c r="CD154" i="314"/>
  <c r="BX463" i="321"/>
  <c r="BX464" i="321"/>
  <c r="BX473" i="321"/>
  <c r="BY43" i="314"/>
  <c r="BY45" i="314"/>
  <c r="BY70" i="314"/>
  <c r="BY71" i="314"/>
  <c r="BY74" i="314"/>
  <c r="BY65" i="314"/>
  <c r="BX469" i="321"/>
  <c r="BX470" i="321"/>
  <c r="BX474" i="321"/>
  <c r="BX475" i="321"/>
  <c r="BX478" i="321"/>
  <c r="BX479" i="321"/>
  <c r="BX465" i="321"/>
  <c r="BX49" i="288"/>
  <c r="BX43" i="288"/>
  <c r="BX23" i="328"/>
  <c r="CD76" i="315"/>
  <c r="CD162" i="314"/>
  <c r="CD163" i="314"/>
  <c r="CD78" i="315"/>
  <c r="CD81" i="315"/>
  <c r="CE160" i="314"/>
  <c r="CD107" i="315"/>
  <c r="BX87" i="265"/>
  <c r="BX487" i="321"/>
  <c r="BX480" i="321"/>
  <c r="BX50" i="288"/>
  <c r="BX24" i="328"/>
  <c r="BX486" i="321"/>
  <c r="BX488" i="321"/>
  <c r="BY483" i="321"/>
  <c r="BX124" i="265"/>
  <c r="BX88" i="265"/>
  <c r="AQ88" i="277"/>
  <c r="AQ87" i="277"/>
  <c r="BX89" i="265"/>
  <c r="CE116" i="314"/>
  <c r="CE119" i="314"/>
  <c r="CE140" i="314"/>
  <c r="CD503" i="321"/>
  <c r="CD504" i="321"/>
  <c r="CD507" i="321"/>
  <c r="CD508" i="321"/>
  <c r="CD517" i="321"/>
  <c r="CE122" i="314"/>
  <c r="CE124" i="314"/>
  <c r="CE149" i="314"/>
  <c r="CE150" i="314"/>
  <c r="BX10" i="286"/>
  <c r="BX11" i="286"/>
  <c r="AQ89" i="277"/>
  <c r="AQ124" i="277"/>
  <c r="BY452" i="321"/>
  <c r="BY454" i="321"/>
  <c r="BY477" i="321"/>
  <c r="BY455" i="321"/>
  <c r="BY35" i="282"/>
  <c r="BY40" i="282"/>
  <c r="BY468" i="321"/>
  <c r="BY462" i="321"/>
  <c r="BX14" i="286"/>
  <c r="BX16" i="286"/>
  <c r="BX27" i="286"/>
  <c r="CE153" i="314"/>
  <c r="CE144" i="314"/>
  <c r="CD513" i="321"/>
  <c r="CD514" i="321"/>
  <c r="CD518" i="321"/>
  <c r="CD519" i="321"/>
  <c r="CD522" i="321"/>
  <c r="CD523" i="321"/>
  <c r="CD509" i="321"/>
  <c r="CD199" i="288"/>
  <c r="CD193" i="288"/>
  <c r="CD83" i="315"/>
  <c r="CD531" i="321"/>
  <c r="CD524" i="321"/>
  <c r="CD200" i="288"/>
  <c r="CD530" i="321"/>
  <c r="CD532" i="321"/>
  <c r="BX17" i="286"/>
  <c r="BX28" i="286"/>
  <c r="BX29" i="286"/>
  <c r="BX32" i="286"/>
  <c r="BX34" i="286"/>
  <c r="BX21" i="286"/>
  <c r="BX22" i="286"/>
  <c r="BX51" i="288"/>
  <c r="BY48" i="282"/>
  <c r="BY27" i="265"/>
  <c r="BY29" i="265"/>
  <c r="BY19" i="286"/>
  <c r="BX126" i="265"/>
  <c r="BX35" i="286"/>
  <c r="BX39" i="286"/>
  <c r="BX40" i="286"/>
  <c r="BX52" i="288"/>
  <c r="BX91" i="265"/>
  <c r="CE527" i="321"/>
  <c r="CD120" i="315"/>
  <c r="CD84" i="315"/>
  <c r="CD85" i="315"/>
  <c r="CD87" i="286"/>
  <c r="CD88" i="286"/>
  <c r="CE496" i="321"/>
  <c r="CE498" i="321"/>
  <c r="CE521" i="321"/>
  <c r="AQ91" i="277"/>
  <c r="BY37" i="286"/>
  <c r="BX127" i="265"/>
  <c r="AQ127" i="277"/>
  <c r="BX92" i="265"/>
  <c r="BX93" i="265"/>
  <c r="AQ126" i="277"/>
  <c r="BY13" i="286"/>
  <c r="BY44" i="282"/>
  <c r="BY49" i="282"/>
  <c r="BY52" i="282"/>
  <c r="BY53" i="282"/>
  <c r="BY55" i="282"/>
  <c r="BY56" i="282"/>
  <c r="BX54" i="286"/>
  <c r="BX75" i="286"/>
  <c r="BX76" i="286"/>
  <c r="BX79" i="286"/>
  <c r="BX80" i="286"/>
  <c r="BY31" i="286"/>
  <c r="AQ93" i="277"/>
  <c r="CE499" i="321"/>
  <c r="CE103" i="282"/>
  <c r="CE108" i="282"/>
  <c r="CE512" i="321"/>
  <c r="CE506" i="321"/>
  <c r="CD91" i="286"/>
  <c r="CD93" i="286"/>
  <c r="CD104" i="286"/>
  <c r="CD94" i="286"/>
  <c r="CD105" i="286"/>
  <c r="CD106" i="286"/>
  <c r="CD109" i="286"/>
  <c r="CD111" i="286"/>
  <c r="CD98" i="286"/>
  <c r="CD99" i="286"/>
  <c r="CD201" i="288"/>
  <c r="CE116" i="282"/>
  <c r="CE25" i="315"/>
  <c r="CE27" i="315"/>
  <c r="BX55" i="286"/>
  <c r="BX47" i="286"/>
  <c r="BX48" i="286"/>
  <c r="BX48" i="288"/>
  <c r="BX42" i="288"/>
  <c r="BX44" i="288"/>
  <c r="BX81" i="286"/>
  <c r="BX25" i="328"/>
  <c r="BX56" i="286"/>
  <c r="BY68" i="282"/>
  <c r="BY62" i="282"/>
  <c r="BY58" i="282"/>
  <c r="BY60" i="282"/>
  <c r="BY63" i="282"/>
  <c r="BY69" i="282"/>
  <c r="BY64" i="282"/>
  <c r="BY70" i="282"/>
  <c r="BZ67" i="282"/>
  <c r="BY53" i="286"/>
  <c r="BX58" i="286"/>
  <c r="BX64" i="286"/>
  <c r="BX107" i="265"/>
  <c r="BX35" i="265"/>
  <c r="BX95" i="265"/>
  <c r="BX47" i="288"/>
  <c r="BX54" i="288"/>
  <c r="BY45" i="286"/>
  <c r="BX128" i="265"/>
  <c r="CE112" i="282"/>
  <c r="CE117" i="282"/>
  <c r="CE96" i="286"/>
  <c r="CD122" i="315"/>
  <c r="CD112" i="286"/>
  <c r="CD116" i="286"/>
  <c r="CD117" i="286"/>
  <c r="CD202" i="288"/>
  <c r="CD87" i="315"/>
  <c r="CE114" i="286"/>
  <c r="CD123" i="315"/>
  <c r="CD88" i="315"/>
  <c r="CD89" i="315"/>
  <c r="CE90" i="286"/>
  <c r="CE120" i="282"/>
  <c r="CE121" i="282"/>
  <c r="CE123" i="282"/>
  <c r="CE124" i="282"/>
  <c r="AQ128" i="277"/>
  <c r="AQ129" i="277"/>
  <c r="AQ135" i="277"/>
  <c r="BX129" i="265"/>
  <c r="BX135" i="265"/>
  <c r="BY70" i="286"/>
  <c r="BX57" i="288"/>
  <c r="AQ95" i="277"/>
  <c r="BX96" i="265"/>
  <c r="AQ35" i="277"/>
  <c r="BX36" i="265"/>
  <c r="BX59" i="328"/>
  <c r="AQ107" i="277"/>
  <c r="AQ112" i="277"/>
  <c r="AQ114" i="277"/>
  <c r="AQ134" i="277"/>
  <c r="BX112" i="265"/>
  <c r="BX114" i="265"/>
  <c r="BX134" i="265"/>
  <c r="BY458" i="321"/>
  <c r="BY48" i="314"/>
  <c r="BY9" i="286"/>
  <c r="BY74" i="286"/>
  <c r="BZ59" i="282"/>
  <c r="BY75" i="282"/>
  <c r="BY76" i="282"/>
  <c r="BY77" i="282"/>
  <c r="BX137" i="265"/>
  <c r="BX136" i="265"/>
  <c r="AQ137" i="277"/>
  <c r="AQ136" i="277"/>
  <c r="AQ36" i="277"/>
  <c r="AQ96" i="277"/>
  <c r="CE136" i="282"/>
  <c r="CE130" i="282"/>
  <c r="CE126" i="282"/>
  <c r="CE128" i="282"/>
  <c r="CD131" i="286"/>
  <c r="CD143" i="286"/>
  <c r="CD144" i="286"/>
  <c r="CD147" i="286"/>
  <c r="CD148" i="286"/>
  <c r="CE108" i="286"/>
  <c r="CD132" i="286"/>
  <c r="CD124" i="286"/>
  <c r="CD125" i="286"/>
  <c r="CD198" i="288"/>
  <c r="CD192" i="288"/>
  <c r="CD194" i="288"/>
  <c r="CD149" i="286"/>
  <c r="CD133" i="286"/>
  <c r="CE131" i="282"/>
  <c r="CE137" i="282"/>
  <c r="CE132" i="282"/>
  <c r="CE138" i="282"/>
  <c r="CF135" i="282"/>
  <c r="BY46" i="265"/>
  <c r="BY31" i="265"/>
  <c r="BY33" i="265"/>
  <c r="BY47" i="265"/>
  <c r="CF127" i="282"/>
  <c r="CE143" i="282"/>
  <c r="CE144" i="282"/>
  <c r="CE130" i="286"/>
  <c r="CD103" i="315"/>
  <c r="CD108" i="315"/>
  <c r="CD110" i="315"/>
  <c r="CD130" i="315"/>
  <c r="CD33" i="315"/>
  <c r="CD34" i="315"/>
  <c r="CD91" i="315"/>
  <c r="CD92" i="315"/>
  <c r="CD197" i="288"/>
  <c r="CD204" i="288"/>
  <c r="CE122" i="286"/>
  <c r="CD124" i="315"/>
  <c r="CD125" i="315"/>
  <c r="CD131" i="315"/>
  <c r="CE138" i="286"/>
  <c r="CD207" i="288"/>
  <c r="CD133" i="315"/>
  <c r="CD132" i="315"/>
  <c r="CE502" i="321"/>
  <c r="CE127" i="314"/>
  <c r="CE86" i="286"/>
  <c r="CE142" i="286"/>
  <c r="CE145" i="282"/>
  <c r="BY27" i="288"/>
  <c r="BY29" i="288"/>
  <c r="BY65" i="265"/>
  <c r="BY71" i="286"/>
  <c r="BY72" i="286"/>
  <c r="BY78" i="286"/>
  <c r="BY46" i="286"/>
  <c r="BY77" i="265"/>
  <c r="BY113" i="288"/>
  <c r="BY10" i="321"/>
  <c r="BY12" i="321"/>
  <c r="BY85" i="288"/>
  <c r="BY65" i="288"/>
  <c r="BY20" i="328"/>
  <c r="BY32" i="288"/>
  <c r="CE44" i="315"/>
  <c r="CE45" i="315"/>
  <c r="CE29" i="315"/>
  <c r="CE31" i="315"/>
  <c r="CE139" i="286"/>
  <c r="CE140" i="286"/>
  <c r="CE146" i="286"/>
  <c r="CE123" i="286"/>
  <c r="CE177" i="288"/>
  <c r="CE179" i="288"/>
  <c r="CE63" i="315"/>
  <c r="BY87" i="288"/>
  <c r="BY89" i="288"/>
  <c r="BY39" i="311"/>
  <c r="BY49" i="314"/>
  <c r="BY51" i="314"/>
  <c r="BY53" i="314"/>
  <c r="BY54" i="314"/>
  <c r="BY64" i="314"/>
  <c r="BY66" i="314"/>
  <c r="BY56" i="314"/>
  <c r="BY58" i="314"/>
  <c r="BY80" i="311"/>
  <c r="CE73" i="315"/>
  <c r="CE263" i="288"/>
  <c r="CE235" i="288"/>
  <c r="CE215" i="288"/>
  <c r="CE182" i="288"/>
  <c r="CE237" i="288"/>
  <c r="CE239" i="288"/>
  <c r="CE128" i="314"/>
  <c r="CE130" i="314"/>
  <c r="BY60" i="314"/>
  <c r="BY62" i="314"/>
  <c r="BY67" i="314"/>
  <c r="BY82" i="314"/>
  <c r="BY79" i="265"/>
  <c r="BY73" i="314"/>
  <c r="BY75" i="314"/>
  <c r="CE132" i="314"/>
  <c r="CE133" i="314"/>
  <c r="CE143" i="314"/>
  <c r="CE145" i="314"/>
  <c r="CE135" i="314"/>
  <c r="CE137" i="314"/>
  <c r="CE139" i="314"/>
  <c r="CE141" i="314"/>
  <c r="CE146" i="314"/>
  <c r="CE161" i="314"/>
  <c r="BY80" i="265"/>
  <c r="BY83" i="314"/>
  <c r="BY84" i="314"/>
  <c r="BY82" i="265"/>
  <c r="BY85" i="265"/>
  <c r="BZ81" i="314"/>
  <c r="BY111" i="265"/>
  <c r="BY60" i="328"/>
  <c r="BY87" i="314"/>
  <c r="BY90" i="314"/>
  <c r="CE75" i="315"/>
  <c r="CE152" i="314"/>
  <c r="CE154" i="314"/>
  <c r="CE76" i="315"/>
  <c r="CE162" i="314"/>
  <c r="CE163" i="314"/>
  <c r="CE78" i="315"/>
  <c r="BZ37" i="314"/>
  <c r="BZ40" i="314"/>
  <c r="BZ61" i="314"/>
  <c r="BY459" i="321"/>
  <c r="BY460" i="321"/>
  <c r="BY463" i="321"/>
  <c r="BY464" i="321"/>
  <c r="BY473" i="321"/>
  <c r="BZ43" i="314"/>
  <c r="BZ45" i="314"/>
  <c r="BZ70" i="314"/>
  <c r="BZ71" i="314"/>
  <c r="CE81" i="315"/>
  <c r="CF160" i="314"/>
  <c r="CE107" i="315"/>
  <c r="CF116" i="314"/>
  <c r="CF119" i="314"/>
  <c r="CF140" i="314"/>
  <c r="CE503" i="321"/>
  <c r="CE504" i="321"/>
  <c r="BZ74" i="314"/>
  <c r="BZ65" i="314"/>
  <c r="BY469" i="321"/>
  <c r="BY470" i="321"/>
  <c r="BY474" i="321"/>
  <c r="BY475" i="321"/>
  <c r="BY478" i="321"/>
  <c r="BY479" i="321"/>
  <c r="BY465" i="321"/>
  <c r="BY49" i="288"/>
  <c r="BY43" i="288"/>
  <c r="BY23" i="328"/>
  <c r="BY87" i="265"/>
  <c r="BY487" i="321"/>
  <c r="BY480" i="321"/>
  <c r="BY50" i="288"/>
  <c r="BY24" i="328"/>
  <c r="BY486" i="321"/>
  <c r="BY488" i="321"/>
  <c r="CE507" i="321"/>
  <c r="CE508" i="321"/>
  <c r="CE517" i="321"/>
  <c r="CF122" i="314"/>
  <c r="CF124" i="314"/>
  <c r="CF149" i="314"/>
  <c r="CF150" i="314"/>
  <c r="CF153" i="314"/>
  <c r="CF144" i="314"/>
  <c r="CE513" i="321"/>
  <c r="CE514" i="321"/>
  <c r="CE518" i="321"/>
  <c r="CE519" i="321"/>
  <c r="CE522" i="321"/>
  <c r="CE523" i="321"/>
  <c r="CE509" i="321"/>
  <c r="CE199" i="288"/>
  <c r="CE193" i="288"/>
  <c r="BZ483" i="321"/>
  <c r="BY124" i="265"/>
  <c r="BY88" i="265"/>
  <c r="BY89" i="265"/>
  <c r="BY10" i="286"/>
  <c r="BY11" i="286"/>
  <c r="BZ452" i="321"/>
  <c r="BZ454" i="321"/>
  <c r="BZ477" i="321"/>
  <c r="CE83" i="315"/>
  <c r="CE531" i="321"/>
  <c r="CE524" i="321"/>
  <c r="CE200" i="288"/>
  <c r="CE530" i="321"/>
  <c r="CE532" i="321"/>
  <c r="CF527" i="321"/>
  <c r="CE120" i="315"/>
  <c r="CE84" i="315"/>
  <c r="CE85" i="315"/>
  <c r="BZ455" i="321"/>
  <c r="BZ35" i="282"/>
  <c r="BZ40" i="282"/>
  <c r="BZ468" i="321"/>
  <c r="BZ462" i="321"/>
  <c r="BY14" i="286"/>
  <c r="BY16" i="286"/>
  <c r="BY27" i="286"/>
  <c r="BY17" i="286"/>
  <c r="BY28" i="286"/>
  <c r="BY29" i="286"/>
  <c r="BY32" i="286"/>
  <c r="BY34" i="286"/>
  <c r="BY21" i="286"/>
  <c r="BY22" i="286"/>
  <c r="BY51" i="288"/>
  <c r="BZ48" i="282"/>
  <c r="BZ27" i="265"/>
  <c r="CE87" i="286"/>
  <c r="CE88" i="286"/>
  <c r="CF496" i="321"/>
  <c r="CF498" i="321"/>
  <c r="CF521" i="321"/>
  <c r="CF499" i="321"/>
  <c r="CF103" i="282"/>
  <c r="CF108" i="282"/>
  <c r="CF512" i="321"/>
  <c r="CF506" i="321"/>
  <c r="CE91" i="286"/>
  <c r="CE93" i="286"/>
  <c r="CE104" i="286"/>
  <c r="BZ29" i="265"/>
  <c r="AR27" i="277"/>
  <c r="BZ19" i="286"/>
  <c r="BY126" i="265"/>
  <c r="BY35" i="286"/>
  <c r="BY39" i="286"/>
  <c r="BY40" i="286"/>
  <c r="BY52" i="288"/>
  <c r="BY91" i="265"/>
  <c r="BZ37" i="286"/>
  <c r="BY127" i="265"/>
  <c r="BY92" i="265"/>
  <c r="BY93" i="265"/>
  <c r="BZ13" i="286"/>
  <c r="AR29" i="277"/>
  <c r="BZ44" i="282"/>
  <c r="BZ49" i="282"/>
  <c r="CE94" i="286"/>
  <c r="CE105" i="286"/>
  <c r="CE106" i="286"/>
  <c r="CE109" i="286"/>
  <c r="CE111" i="286"/>
  <c r="CE98" i="286"/>
  <c r="CE99" i="286"/>
  <c r="CE201" i="288"/>
  <c r="CF116" i="282"/>
  <c r="CF25" i="315"/>
  <c r="CF27" i="315"/>
  <c r="CF112" i="282"/>
  <c r="CF117" i="282"/>
  <c r="CF96" i="286"/>
  <c r="CE122" i="315"/>
  <c r="CE112" i="286"/>
  <c r="CE116" i="286"/>
  <c r="CE117" i="286"/>
  <c r="CE202" i="288"/>
  <c r="CE87" i="315"/>
  <c r="BZ52" i="282"/>
  <c r="BZ53" i="282"/>
  <c r="BZ55" i="282"/>
  <c r="BZ56" i="282"/>
  <c r="BY54" i="286"/>
  <c r="BY75" i="286"/>
  <c r="BY76" i="286"/>
  <c r="BY79" i="286"/>
  <c r="BY80" i="286"/>
  <c r="BZ31" i="286"/>
  <c r="BY55" i="286"/>
  <c r="BY47" i="286"/>
  <c r="BY48" i="286"/>
  <c r="BY48" i="288"/>
  <c r="BY42" i="288"/>
  <c r="BY44" i="288"/>
  <c r="BY81" i="286"/>
  <c r="BY25" i="328"/>
  <c r="BY56" i="286"/>
  <c r="BZ68" i="282"/>
  <c r="BZ62" i="282"/>
  <c r="BZ58" i="282"/>
  <c r="BZ60" i="282"/>
  <c r="CF114" i="286"/>
  <c r="CE123" i="315"/>
  <c r="CE88" i="315"/>
  <c r="CE89" i="315"/>
  <c r="CF90" i="286"/>
  <c r="CF120" i="282"/>
  <c r="CF121" i="282"/>
  <c r="CF123" i="282"/>
  <c r="CF124" i="282"/>
  <c r="CF136" i="282"/>
  <c r="CF130" i="282"/>
  <c r="CF126" i="282"/>
  <c r="CF128" i="282"/>
  <c r="CE131" i="286"/>
  <c r="CE143" i="286"/>
  <c r="CE144" i="286"/>
  <c r="CE147" i="286"/>
  <c r="CE148" i="286"/>
  <c r="CF108" i="286"/>
  <c r="BZ63" i="282"/>
  <c r="BZ69" i="282"/>
  <c r="BZ64" i="282"/>
  <c r="BZ70" i="282"/>
  <c r="CA67" i="282"/>
  <c r="BZ53" i="286"/>
  <c r="BY58" i="286"/>
  <c r="BY64" i="286"/>
  <c r="BY107" i="265"/>
  <c r="BY35" i="265"/>
  <c r="BY95" i="265"/>
  <c r="BY47" i="288"/>
  <c r="BY54" i="288"/>
  <c r="BZ45" i="286"/>
  <c r="BY128" i="265"/>
  <c r="BY129" i="265"/>
  <c r="BY135" i="265"/>
  <c r="BZ70" i="286"/>
  <c r="BY57" i="288"/>
  <c r="BY96" i="265"/>
  <c r="BY36" i="265"/>
  <c r="BY59" i="328"/>
  <c r="BY112" i="265"/>
  <c r="BY114" i="265"/>
  <c r="BY134" i="265"/>
  <c r="BZ458" i="321"/>
  <c r="BZ48" i="314"/>
  <c r="BZ9" i="286"/>
  <c r="BZ74" i="286"/>
  <c r="CA59" i="282"/>
  <c r="BZ75" i="282"/>
  <c r="BZ76" i="282"/>
  <c r="CE132" i="286"/>
  <c r="CE124" i="286"/>
  <c r="CE125" i="286"/>
  <c r="CE198" i="288"/>
  <c r="CE192" i="288"/>
  <c r="CE194" i="288"/>
  <c r="CE149" i="286"/>
  <c r="CE133" i="286"/>
  <c r="CF131" i="282"/>
  <c r="CF137" i="282"/>
  <c r="CF132" i="282"/>
  <c r="CF138" i="282"/>
  <c r="CG135" i="282"/>
  <c r="CG127" i="282"/>
  <c r="CF143" i="282"/>
  <c r="CF144" i="282"/>
  <c r="CF130" i="286"/>
  <c r="CE103" i="315"/>
  <c r="CE108" i="315"/>
  <c r="CE110" i="315"/>
  <c r="CE130" i="315"/>
  <c r="CE33" i="315"/>
  <c r="CE34" i="315"/>
  <c r="CE91" i="315"/>
  <c r="CE92" i="315"/>
  <c r="CE197" i="288"/>
  <c r="CE204" i="288"/>
  <c r="CF122" i="286"/>
  <c r="CE124" i="315"/>
  <c r="CE125" i="315"/>
  <c r="CE131" i="315"/>
  <c r="BZ77" i="282"/>
  <c r="BY137" i="265"/>
  <c r="BY136" i="265"/>
  <c r="BZ46" i="265"/>
  <c r="BZ31" i="265"/>
  <c r="CF138" i="286"/>
  <c r="CE207" i="288"/>
  <c r="CE133" i="315"/>
  <c r="CE132" i="315"/>
  <c r="CF502" i="321"/>
  <c r="CF127" i="314"/>
  <c r="CF86" i="286"/>
  <c r="CF142" i="286"/>
  <c r="CF145" i="282"/>
  <c r="CF44" i="315"/>
  <c r="CF45" i="315"/>
  <c r="CF29" i="315"/>
  <c r="CF31" i="315"/>
  <c r="AR31" i="277"/>
  <c r="BZ33" i="265"/>
  <c r="BZ47" i="265"/>
  <c r="AR46" i="277"/>
  <c r="AR47" i="277"/>
  <c r="BZ27" i="288"/>
  <c r="BZ29" i="288"/>
  <c r="BZ65" i="265"/>
  <c r="BZ71" i="286"/>
  <c r="BZ72" i="286"/>
  <c r="BZ78" i="286"/>
  <c r="BZ46" i="286"/>
  <c r="AR33" i="277"/>
  <c r="CF139" i="286"/>
  <c r="CF140" i="286"/>
  <c r="CF146" i="286"/>
  <c r="CF123" i="286"/>
  <c r="CF177" i="288"/>
  <c r="CF179" i="288"/>
  <c r="CF63" i="315"/>
  <c r="CF73" i="315"/>
  <c r="CF263" i="288"/>
  <c r="CF235" i="288"/>
  <c r="CF215" i="288"/>
  <c r="CF182" i="288"/>
  <c r="BZ77" i="265"/>
  <c r="BZ113" i="288"/>
  <c r="BZ10" i="321"/>
  <c r="BZ12" i="321"/>
  <c r="BZ85" i="288"/>
  <c r="BZ20" i="328"/>
  <c r="BZ65" i="288"/>
  <c r="BZ32" i="288"/>
  <c r="AR65" i="277"/>
  <c r="AR77" i="277"/>
  <c r="BZ87" i="288"/>
  <c r="BZ89" i="288"/>
  <c r="BZ39" i="311"/>
  <c r="BZ49" i="314"/>
  <c r="BZ51" i="314"/>
  <c r="CF237" i="288"/>
  <c r="CF239" i="288"/>
  <c r="CF128" i="314"/>
  <c r="CF130" i="314"/>
  <c r="CF132" i="314"/>
  <c r="CF133" i="314"/>
  <c r="CF143" i="314"/>
  <c r="CF145" i="314"/>
  <c r="CF135" i="314"/>
  <c r="CF137" i="314"/>
  <c r="BZ53" i="314"/>
  <c r="BZ54" i="314"/>
  <c r="BZ64" i="314"/>
  <c r="BZ66" i="314"/>
  <c r="BZ56" i="314"/>
  <c r="BZ58" i="314"/>
  <c r="BZ80" i="311"/>
  <c r="BZ60" i="314"/>
  <c r="BZ62" i="314"/>
  <c r="BZ67" i="314"/>
  <c r="BZ82" i="314"/>
  <c r="CF139" i="314"/>
  <c r="CF141" i="314"/>
  <c r="CF146" i="314"/>
  <c r="CF161" i="314"/>
  <c r="CF75" i="315"/>
  <c r="CF152" i="314"/>
  <c r="CF154" i="314"/>
  <c r="BZ79" i="265"/>
  <c r="BZ73" i="314"/>
  <c r="BZ75" i="314"/>
  <c r="BZ80" i="265"/>
  <c r="AR80" i="277"/>
  <c r="BZ83" i="314"/>
  <c r="BZ84" i="314"/>
  <c r="AR79" i="277"/>
  <c r="BZ82" i="265"/>
  <c r="CF76" i="315"/>
  <c r="CF162" i="314"/>
  <c r="CF163" i="314"/>
  <c r="CF78" i="315"/>
  <c r="CF81" i="315"/>
  <c r="CG160" i="314"/>
  <c r="CF107" i="315"/>
  <c r="BZ85" i="265"/>
  <c r="AR82" i="277"/>
  <c r="CA81" i="314"/>
  <c r="BZ111" i="265"/>
  <c r="BZ87" i="314"/>
  <c r="BZ90" i="314"/>
  <c r="BZ60" i="328"/>
  <c r="AR111" i="277"/>
  <c r="CA37" i="314"/>
  <c r="CA40" i="314"/>
  <c r="CA61" i="314"/>
  <c r="AR85" i="277"/>
  <c r="BZ459" i="321"/>
  <c r="BZ460" i="321"/>
  <c r="CG116" i="314"/>
  <c r="CG119" i="314"/>
  <c r="CG140" i="314"/>
  <c r="CF503" i="321"/>
  <c r="CF504" i="321"/>
  <c r="CF507" i="321"/>
  <c r="CF508" i="321"/>
  <c r="CF517" i="321"/>
  <c r="CG122" i="314"/>
  <c r="CG124" i="314"/>
  <c r="CG149" i="314"/>
  <c r="CG150" i="314"/>
  <c r="BZ463" i="321"/>
  <c r="BZ464" i="321"/>
  <c r="BZ473" i="321"/>
  <c r="CA43" i="314"/>
  <c r="CA45" i="314"/>
  <c r="CA70" i="314"/>
  <c r="CA71" i="314"/>
  <c r="CA74" i="314"/>
  <c r="CA65" i="314"/>
  <c r="BZ469" i="321"/>
  <c r="BZ470" i="321"/>
  <c r="BZ474" i="321"/>
  <c r="BZ475" i="321"/>
  <c r="BZ478" i="321"/>
  <c r="BZ479" i="321"/>
  <c r="BZ465" i="321"/>
  <c r="BZ49" i="288"/>
  <c r="BZ43" i="288"/>
  <c r="BZ23" i="328"/>
  <c r="CG153" i="314"/>
  <c r="CG144" i="314"/>
  <c r="CF513" i="321"/>
  <c r="CF514" i="321"/>
  <c r="CF518" i="321"/>
  <c r="CF519" i="321"/>
  <c r="CF522" i="321"/>
  <c r="CF523" i="321"/>
  <c r="CF509" i="321"/>
  <c r="CF199" i="288"/>
  <c r="CF193" i="288"/>
  <c r="CF83" i="315"/>
  <c r="CF531" i="321"/>
  <c r="CF524" i="321"/>
  <c r="CF200" i="288"/>
  <c r="CF530" i="321"/>
  <c r="CF532" i="321"/>
  <c r="BZ87" i="265"/>
  <c r="BZ487" i="321"/>
  <c r="BZ480" i="321"/>
  <c r="BZ50" i="288"/>
  <c r="BZ24" i="328"/>
  <c r="BZ486" i="321"/>
  <c r="BZ488" i="321"/>
  <c r="CA483" i="321"/>
  <c r="BZ124" i="265"/>
  <c r="BZ88" i="265"/>
  <c r="AR88" i="277"/>
  <c r="AR87" i="277"/>
  <c r="BZ89" i="265"/>
  <c r="CG527" i="321"/>
  <c r="CF120" i="315"/>
  <c r="CF84" i="315"/>
  <c r="CF85" i="315"/>
  <c r="CF87" i="286"/>
  <c r="CF88" i="286"/>
  <c r="CG496" i="321"/>
  <c r="CG498" i="321"/>
  <c r="CG521" i="321"/>
  <c r="BZ10" i="286"/>
  <c r="BZ11" i="286"/>
  <c r="AR89" i="277"/>
  <c r="AR124" i="277"/>
  <c r="CA452" i="321"/>
  <c r="CA454" i="321"/>
  <c r="CA477" i="321"/>
  <c r="CA455" i="321"/>
  <c r="CA35" i="282"/>
  <c r="CA40" i="282"/>
  <c r="CA468" i="321"/>
  <c r="CA462" i="321"/>
  <c r="BZ14" i="286"/>
  <c r="BZ16" i="286"/>
  <c r="BZ27" i="286"/>
  <c r="CG499" i="321"/>
  <c r="CG103" i="282"/>
  <c r="CG108" i="282"/>
  <c r="CG512" i="321"/>
  <c r="CG506" i="321"/>
  <c r="CF91" i="286"/>
  <c r="CF93" i="286"/>
  <c r="CF104" i="286"/>
  <c r="CF94" i="286"/>
  <c r="CF105" i="286"/>
  <c r="CF106" i="286"/>
  <c r="CF109" i="286"/>
  <c r="CF111" i="286"/>
  <c r="CF98" i="286"/>
  <c r="CF99" i="286"/>
  <c r="CF201" i="288"/>
  <c r="CG116" i="282"/>
  <c r="CG25" i="315"/>
  <c r="CG27" i="315"/>
  <c r="BZ17" i="286"/>
  <c r="BZ28" i="286"/>
  <c r="BZ29" i="286"/>
  <c r="BZ32" i="286"/>
  <c r="BZ34" i="286"/>
  <c r="BZ21" i="286"/>
  <c r="BZ22" i="286"/>
  <c r="BZ51" i="288"/>
  <c r="CA48" i="282"/>
  <c r="CA27" i="265"/>
  <c r="CA29" i="265"/>
  <c r="CA19" i="286"/>
  <c r="BZ126" i="265"/>
  <c r="BZ35" i="286"/>
  <c r="BZ39" i="286"/>
  <c r="BZ40" i="286"/>
  <c r="BZ52" i="288"/>
  <c r="BZ91" i="265"/>
  <c r="CG112" i="282"/>
  <c r="CG117" i="282"/>
  <c r="CG96" i="286"/>
  <c r="CF122" i="315"/>
  <c r="CF112" i="286"/>
  <c r="CF116" i="286"/>
  <c r="CF117" i="286"/>
  <c r="CF202" i="288"/>
  <c r="CF87" i="315"/>
  <c r="CG114" i="286"/>
  <c r="CF123" i="315"/>
  <c r="CF88" i="315"/>
  <c r="CF89" i="315"/>
  <c r="CG90" i="286"/>
  <c r="CG120" i="282"/>
  <c r="CG121" i="282"/>
  <c r="CG123" i="282"/>
  <c r="CG124" i="282"/>
  <c r="AR91" i="277"/>
  <c r="CA37" i="286"/>
  <c r="BZ127" i="265"/>
  <c r="AR127" i="277"/>
  <c r="BZ92" i="265"/>
  <c r="BZ93" i="265"/>
  <c r="AR126" i="277"/>
  <c r="CA13" i="286"/>
  <c r="CA44" i="282"/>
  <c r="CA49" i="282"/>
  <c r="CA52" i="282"/>
  <c r="CA53" i="282"/>
  <c r="CA55" i="282"/>
  <c r="CA56" i="282"/>
  <c r="BZ54" i="286"/>
  <c r="BZ75" i="286"/>
  <c r="BZ76" i="286"/>
  <c r="BZ79" i="286"/>
  <c r="BZ80" i="286"/>
  <c r="CA31" i="286"/>
  <c r="AR93" i="277"/>
  <c r="CG136" i="282"/>
  <c r="CG130" i="282"/>
  <c r="CG126" i="282"/>
  <c r="CG128" i="282"/>
  <c r="CF131" i="286"/>
  <c r="CF143" i="286"/>
  <c r="CF144" i="286"/>
  <c r="CF147" i="286"/>
  <c r="CF148" i="286"/>
  <c r="CG108" i="286"/>
  <c r="CF132" i="286"/>
  <c r="CF124" i="286"/>
  <c r="CF125" i="286"/>
  <c r="CF198" i="288"/>
  <c r="CF192" i="288"/>
  <c r="CF194" i="288"/>
  <c r="CF149" i="286"/>
  <c r="CF133" i="286"/>
  <c r="CG131" i="282"/>
  <c r="CG137" i="282"/>
  <c r="CG132" i="282"/>
  <c r="CG138" i="282"/>
  <c r="CH135" i="282"/>
  <c r="BZ55" i="286"/>
  <c r="BZ47" i="286"/>
  <c r="BZ48" i="286"/>
  <c r="BZ48" i="288"/>
  <c r="BZ42" i="288"/>
  <c r="BZ44" i="288"/>
  <c r="BZ81" i="286"/>
  <c r="BZ25" i="328"/>
  <c r="BZ56" i="286"/>
  <c r="CA68" i="282"/>
  <c r="CA62" i="282"/>
  <c r="CA58" i="282"/>
  <c r="CA60" i="282"/>
  <c r="CA63" i="282"/>
  <c r="CA69" i="282"/>
  <c r="CA64" i="282"/>
  <c r="CA70" i="282"/>
  <c r="CB67" i="282"/>
  <c r="CA53" i="286"/>
  <c r="BZ58" i="286"/>
  <c r="BZ64" i="286"/>
  <c r="BZ107" i="265"/>
  <c r="BZ35" i="265"/>
  <c r="BZ95" i="265"/>
  <c r="BZ47" i="288"/>
  <c r="BZ54" i="288"/>
  <c r="CA45" i="286"/>
  <c r="BZ128" i="265"/>
  <c r="CH127" i="282"/>
  <c r="CG143" i="282"/>
  <c r="CG144" i="282"/>
  <c r="CG130" i="286"/>
  <c r="CF103" i="315"/>
  <c r="CF108" i="315"/>
  <c r="CF110" i="315"/>
  <c r="CF130" i="315"/>
  <c r="CF33" i="315"/>
  <c r="CF34" i="315"/>
  <c r="CF91" i="315"/>
  <c r="CF92" i="315"/>
  <c r="CF197" i="288"/>
  <c r="CF204" i="288"/>
  <c r="CG122" i="286"/>
  <c r="CF124" i="315"/>
  <c r="CF125" i="315"/>
  <c r="CF131" i="315"/>
  <c r="CG138" i="286"/>
  <c r="CF207" i="288"/>
  <c r="CF133" i="315"/>
  <c r="CF132" i="315"/>
  <c r="CG502" i="321"/>
  <c r="CG127" i="314"/>
  <c r="CG86" i="286"/>
  <c r="CG142" i="286"/>
  <c r="CG145" i="282"/>
  <c r="AR128" i="277"/>
  <c r="AR129" i="277"/>
  <c r="AR135" i="277"/>
  <c r="BZ129" i="265"/>
  <c r="BZ135" i="265"/>
  <c r="CA70" i="286"/>
  <c r="BZ57" i="288"/>
  <c r="AR95" i="277"/>
  <c r="BZ96" i="265"/>
  <c r="AR35" i="277"/>
  <c r="BZ36" i="265"/>
  <c r="BZ59" i="328"/>
  <c r="AR107" i="277"/>
  <c r="AR112" i="277"/>
  <c r="AR114" i="277"/>
  <c r="AR134" i="277"/>
  <c r="BZ112" i="265"/>
  <c r="BZ114" i="265"/>
  <c r="BZ134" i="265"/>
  <c r="CA458" i="321"/>
  <c r="CA48" i="314"/>
  <c r="CA9" i="286"/>
  <c r="CA74" i="286"/>
  <c r="CB59" i="282"/>
  <c r="CA75" i="282"/>
  <c r="CA76" i="282"/>
  <c r="CA77" i="282"/>
  <c r="BZ137" i="265"/>
  <c r="BZ136" i="265"/>
  <c r="AR137" i="277"/>
  <c r="AR136" i="277"/>
  <c r="AR36" i="277"/>
  <c r="AR96" i="277"/>
  <c r="CG44" i="315"/>
  <c r="CG45" i="315"/>
  <c r="CG29" i="315"/>
  <c r="CG31" i="315"/>
  <c r="CG139" i="286"/>
  <c r="CG140" i="286"/>
  <c r="CG146" i="286"/>
  <c r="CG123" i="286"/>
  <c r="CG177" i="288"/>
  <c r="CG179" i="288"/>
  <c r="CG63" i="315"/>
  <c r="CA46" i="265"/>
  <c r="CA31" i="265"/>
  <c r="CA33" i="265"/>
  <c r="CA47" i="265"/>
  <c r="CG73" i="315"/>
  <c r="CG263" i="288"/>
  <c r="CG235" i="288"/>
  <c r="CG215" i="288"/>
  <c r="CG182" i="288"/>
  <c r="CG237" i="288"/>
  <c r="CG239" i="288"/>
  <c r="CG128" i="314"/>
  <c r="CG130" i="314"/>
  <c r="CA27" i="288"/>
  <c r="CA29" i="288"/>
  <c r="CA65" i="265"/>
  <c r="CA71" i="286"/>
  <c r="CA72" i="286"/>
  <c r="CA78" i="286"/>
  <c r="CA46" i="286"/>
  <c r="CA77" i="265"/>
  <c r="CA113" i="288"/>
  <c r="CA10" i="321"/>
  <c r="CA12" i="321"/>
  <c r="CA85" i="288"/>
  <c r="CA65" i="288"/>
  <c r="CA20" i="328"/>
  <c r="CA32" i="288"/>
  <c r="CG132" i="314"/>
  <c r="CG133" i="314"/>
  <c r="CG143" i="314"/>
  <c r="CG145" i="314"/>
  <c r="CG135" i="314"/>
  <c r="CG137" i="314"/>
  <c r="CG139" i="314"/>
  <c r="CG141" i="314"/>
  <c r="CG146" i="314"/>
  <c r="CG161" i="314"/>
  <c r="CA87" i="288"/>
  <c r="CA89" i="288"/>
  <c r="CA39" i="311"/>
  <c r="CA49" i="314"/>
  <c r="CA51" i="314"/>
  <c r="CA53" i="314"/>
  <c r="CA54" i="314"/>
  <c r="CA64" i="314"/>
  <c r="CA66" i="314"/>
  <c r="CA56" i="314"/>
  <c r="CA58" i="314"/>
  <c r="CA80" i="311"/>
  <c r="CG75" i="315"/>
  <c r="CG152" i="314"/>
  <c r="CG154" i="314"/>
  <c r="CG76" i="315"/>
  <c r="CG162" i="314"/>
  <c r="CG163" i="314"/>
  <c r="CG78" i="315"/>
  <c r="CA60" i="314"/>
  <c r="CA62" i="314"/>
  <c r="CA67" i="314"/>
  <c r="CA82" i="314"/>
  <c r="CA79" i="265"/>
  <c r="CA73" i="314"/>
  <c r="CA75" i="314"/>
  <c r="CG81" i="315"/>
  <c r="CH160" i="314"/>
  <c r="CG107" i="315"/>
  <c r="CH116" i="314"/>
  <c r="CH119" i="314"/>
  <c r="CH140" i="314"/>
  <c r="CG503" i="321"/>
  <c r="CG504" i="321"/>
  <c r="CA80" i="265"/>
  <c r="CA83" i="314"/>
  <c r="CA84" i="314"/>
  <c r="CA82" i="265"/>
  <c r="CA85" i="265"/>
  <c r="CB81" i="314"/>
  <c r="CA111" i="265"/>
  <c r="CA60" i="328"/>
  <c r="CA87" i="314"/>
  <c r="CA90" i="314"/>
  <c r="CG507" i="321"/>
  <c r="CG508" i="321"/>
  <c r="CG517" i="321"/>
  <c r="CH122" i="314"/>
  <c r="CH124" i="314"/>
  <c r="CH149" i="314"/>
  <c r="CH150" i="314"/>
  <c r="CH153" i="314"/>
  <c r="CH144" i="314"/>
  <c r="CG513" i="321"/>
  <c r="CG514" i="321"/>
  <c r="CG518" i="321"/>
  <c r="CG519" i="321"/>
  <c r="CG522" i="321"/>
  <c r="CG523" i="321"/>
  <c r="CG509" i="321"/>
  <c r="CG199" i="288"/>
  <c r="CG193" i="288"/>
  <c r="CB37" i="314"/>
  <c r="CB40" i="314"/>
  <c r="CB61" i="314"/>
  <c r="CA459" i="321"/>
  <c r="CA460" i="321"/>
  <c r="CA463" i="321"/>
  <c r="CA464" i="321"/>
  <c r="CA473" i="321"/>
  <c r="CB43" i="314"/>
  <c r="CB45" i="314"/>
  <c r="CB70" i="314"/>
  <c r="CB71" i="314"/>
  <c r="CG83" i="315"/>
  <c r="CG531" i="321"/>
  <c r="CG524" i="321"/>
  <c r="CG200" i="288"/>
  <c r="CG530" i="321"/>
  <c r="CG532" i="321"/>
  <c r="CH527" i="321"/>
  <c r="CG120" i="315"/>
  <c r="CG84" i="315"/>
  <c r="CG85" i="315"/>
  <c r="CB74" i="314"/>
  <c r="CB65" i="314"/>
  <c r="CA469" i="321"/>
  <c r="CA470" i="321"/>
  <c r="CA474" i="321"/>
  <c r="CA475" i="321"/>
  <c r="CA478" i="321"/>
  <c r="CA479" i="321"/>
  <c r="CA465" i="321"/>
  <c r="CA49" i="288"/>
  <c r="CA43" i="288"/>
  <c r="CA23" i="328"/>
  <c r="CA87" i="265"/>
  <c r="CA487" i="321"/>
  <c r="CA480" i="321"/>
  <c r="CA50" i="288"/>
  <c r="CA24" i="328"/>
  <c r="CA486" i="321"/>
  <c r="CA488" i="321"/>
  <c r="CG87" i="286"/>
  <c r="CG88" i="286"/>
  <c r="CH496" i="321"/>
  <c r="CH498" i="321"/>
  <c r="CH521" i="321"/>
  <c r="CH499" i="321"/>
  <c r="CH103" i="282"/>
  <c r="CH108" i="282"/>
  <c r="CH512" i="321"/>
  <c r="CH506" i="321"/>
  <c r="CG91" i="286"/>
  <c r="CG93" i="286"/>
  <c r="CG104" i="286"/>
  <c r="CB483" i="321"/>
  <c r="CA124" i="265"/>
  <c r="CA88" i="265"/>
  <c r="CA89" i="265"/>
  <c r="CA10" i="286"/>
  <c r="CA11" i="286"/>
  <c r="CB452" i="321"/>
  <c r="CB454" i="321"/>
  <c r="CB477" i="321"/>
  <c r="CG94" i="286"/>
  <c r="CG105" i="286"/>
  <c r="CG106" i="286"/>
  <c r="CG109" i="286"/>
  <c r="CG111" i="286"/>
  <c r="CG98" i="286"/>
  <c r="CG99" i="286"/>
  <c r="CG201" i="288"/>
  <c r="CH116" i="282"/>
  <c r="CH25" i="315"/>
  <c r="CH27" i="315"/>
  <c r="CH112" i="282"/>
  <c r="CH117" i="282"/>
  <c r="CH96" i="286"/>
  <c r="CG122" i="315"/>
  <c r="CG112" i="286"/>
  <c r="CG116" i="286"/>
  <c r="CG117" i="286"/>
  <c r="CG202" i="288"/>
  <c r="CG87" i="315"/>
  <c r="CB455" i="321"/>
  <c r="CB35" i="282"/>
  <c r="CB40" i="282"/>
  <c r="CB468" i="321"/>
  <c r="CB462" i="321"/>
  <c r="CA14" i="286"/>
  <c r="CA16" i="286"/>
  <c r="CA27" i="286"/>
  <c r="CA17" i="286"/>
  <c r="CA28" i="286"/>
  <c r="CA29" i="286"/>
  <c r="CA32" i="286"/>
  <c r="CA34" i="286"/>
  <c r="CA21" i="286"/>
  <c r="CA22" i="286"/>
  <c r="CA51" i="288"/>
  <c r="CB48" i="282"/>
  <c r="CB27" i="265"/>
  <c r="CH114" i="286"/>
  <c r="CG123" i="315"/>
  <c r="CG88" i="315"/>
  <c r="CG89" i="315"/>
  <c r="CH90" i="286"/>
  <c r="CH120" i="282"/>
  <c r="CH121" i="282"/>
  <c r="CH123" i="282"/>
  <c r="CH124" i="282"/>
  <c r="CH136" i="282"/>
  <c r="CH130" i="282"/>
  <c r="CH126" i="282"/>
  <c r="CH128" i="282"/>
  <c r="CG131" i="286"/>
  <c r="CG143" i="286"/>
  <c r="CG144" i="286"/>
  <c r="CG147" i="286"/>
  <c r="CG148" i="286"/>
  <c r="CH108" i="286"/>
  <c r="CB29" i="265"/>
  <c r="AS27" i="277"/>
  <c r="CB19" i="286"/>
  <c r="CA126" i="265"/>
  <c r="CA35" i="286"/>
  <c r="CA39" i="286"/>
  <c r="CA40" i="286"/>
  <c r="CA52" i="288"/>
  <c r="CA91" i="265"/>
  <c r="CB37" i="286"/>
  <c r="CA127" i="265"/>
  <c r="CA92" i="265"/>
  <c r="CA93" i="265"/>
  <c r="CB13" i="286"/>
  <c r="AS29" i="277"/>
  <c r="CB44" i="282"/>
  <c r="CB49" i="282"/>
  <c r="CG132" i="286"/>
  <c r="CG124" i="286"/>
  <c r="CG125" i="286"/>
  <c r="CG198" i="288"/>
  <c r="CG192" i="288"/>
  <c r="CG194" i="288"/>
  <c r="CG149" i="286"/>
  <c r="CG133" i="286"/>
  <c r="CH131" i="282"/>
  <c r="CH137" i="282"/>
  <c r="CH132" i="282"/>
  <c r="CH138" i="282"/>
  <c r="CI135" i="282"/>
  <c r="CI127" i="282"/>
  <c r="CH143" i="282"/>
  <c r="CH144" i="282"/>
  <c r="CH130" i="286"/>
  <c r="CG103" i="315"/>
  <c r="CG108" i="315"/>
  <c r="CG110" i="315"/>
  <c r="CG130" i="315"/>
  <c r="CG33" i="315"/>
  <c r="CG34" i="315"/>
  <c r="CG91" i="315"/>
  <c r="CG92" i="315"/>
  <c r="CG197" i="288"/>
  <c r="CG204" i="288"/>
  <c r="CH122" i="286"/>
  <c r="CG124" i="315"/>
  <c r="CG125" i="315"/>
  <c r="CG131" i="315"/>
  <c r="CB52" i="282"/>
  <c r="CB53" i="282"/>
  <c r="CB55" i="282"/>
  <c r="CB56" i="282"/>
  <c r="CA54" i="286"/>
  <c r="CA75" i="286"/>
  <c r="CA76" i="286"/>
  <c r="CA79" i="286"/>
  <c r="CA80" i="286"/>
  <c r="CB31" i="286"/>
  <c r="CA55" i="286"/>
  <c r="CA47" i="286"/>
  <c r="CA48" i="286"/>
  <c r="CA48" i="288"/>
  <c r="CA42" i="288"/>
  <c r="CA44" i="288"/>
  <c r="CA81" i="286"/>
  <c r="CA25" i="328"/>
  <c r="CA56" i="286"/>
  <c r="CB68" i="282"/>
  <c r="CB62" i="282"/>
  <c r="CB58" i="282"/>
  <c r="CB60" i="282"/>
  <c r="CH138" i="286"/>
  <c r="CG207" i="288"/>
  <c r="CG133" i="315"/>
  <c r="CG132" i="315"/>
  <c r="CH502" i="321"/>
  <c r="CH127" i="314"/>
  <c r="CH86" i="286"/>
  <c r="CH142" i="286"/>
  <c r="CH145" i="282"/>
  <c r="CH44" i="315"/>
  <c r="CH45" i="315"/>
  <c r="CH29" i="315"/>
  <c r="CH31" i="315"/>
  <c r="CB63" i="282"/>
  <c r="CB69" i="282"/>
  <c r="CB64" i="282"/>
  <c r="CB70" i="282"/>
  <c r="CC67" i="282"/>
  <c r="CB53" i="286"/>
  <c r="CA58" i="286"/>
  <c r="CA64" i="286"/>
  <c r="CA107" i="265"/>
  <c r="CA35" i="265"/>
  <c r="CA95" i="265"/>
  <c r="CA47" i="288"/>
  <c r="CA54" i="288"/>
  <c r="CB45" i="286"/>
  <c r="CA128" i="265"/>
  <c r="CA129" i="265"/>
  <c r="CA135" i="265"/>
  <c r="CB70" i="286"/>
  <c r="CA57" i="288"/>
  <c r="CA96" i="265"/>
  <c r="CA36" i="265"/>
  <c r="CA59" i="328"/>
  <c r="CA112" i="265"/>
  <c r="CA114" i="265"/>
  <c r="CA134" i="265"/>
  <c r="CB458" i="321"/>
  <c r="CB48" i="314"/>
  <c r="CB9" i="286"/>
  <c r="CB74" i="286"/>
  <c r="CC59" i="282"/>
  <c r="CB75" i="282"/>
  <c r="CB76" i="282"/>
  <c r="CH139" i="286"/>
  <c r="CH140" i="286"/>
  <c r="CH146" i="286"/>
  <c r="CH123" i="286"/>
  <c r="CH177" i="288"/>
  <c r="CH179" i="288"/>
  <c r="CH63" i="315"/>
  <c r="CH73" i="315"/>
  <c r="CH263" i="288"/>
  <c r="CH235" i="288"/>
  <c r="CH215" i="288"/>
  <c r="CH182" i="288"/>
  <c r="CB77" i="282"/>
  <c r="CA137" i="265"/>
  <c r="CA136" i="265"/>
  <c r="CB46" i="265"/>
  <c r="CB31" i="265"/>
  <c r="CH237" i="288"/>
  <c r="CH239" i="288"/>
  <c r="CH128" i="314"/>
  <c r="CH130" i="314"/>
  <c r="CH132" i="314"/>
  <c r="CH133" i="314"/>
  <c r="CH143" i="314"/>
  <c r="CH145" i="314"/>
  <c r="CH135" i="314"/>
  <c r="CH137" i="314"/>
  <c r="AS31" i="277"/>
  <c r="CB33" i="265"/>
  <c r="CB47" i="265"/>
  <c r="AS46" i="277"/>
  <c r="AS47" i="277"/>
  <c r="CB27" i="288"/>
  <c r="CB29" i="288"/>
  <c r="CB65" i="265"/>
  <c r="CB71" i="286"/>
  <c r="CB72" i="286"/>
  <c r="CB78" i="286"/>
  <c r="CB46" i="286"/>
  <c r="AS33" i="277"/>
  <c r="CH139" i="314"/>
  <c r="CH141" i="314"/>
  <c r="CH146" i="314"/>
  <c r="CH161" i="314"/>
  <c r="CH75" i="315"/>
  <c r="CH152" i="314"/>
  <c r="CH154" i="314"/>
  <c r="CB77" i="265"/>
  <c r="CB113" i="288"/>
  <c r="CB10" i="321"/>
  <c r="CB12" i="321"/>
  <c r="CB85" i="288"/>
  <c r="CB65" i="288"/>
  <c r="CB20" i="328"/>
  <c r="CB32" i="288"/>
  <c r="AS65" i="277"/>
  <c r="AS77" i="277"/>
  <c r="CB87" i="288"/>
  <c r="CB89" i="288"/>
  <c r="CB39" i="311"/>
  <c r="CB49" i="314"/>
  <c r="CB51" i="314"/>
  <c r="CH76" i="315"/>
  <c r="CH162" i="314"/>
  <c r="CH163" i="314"/>
  <c r="CH78" i="315"/>
  <c r="CH81" i="315"/>
  <c r="CI160" i="314"/>
  <c r="CH107" i="315"/>
  <c r="CB53" i="314"/>
  <c r="CB54" i="314"/>
  <c r="CB64" i="314"/>
  <c r="CB66" i="314"/>
  <c r="CB56" i="314"/>
  <c r="CB58" i="314"/>
  <c r="CB80" i="311"/>
  <c r="CB60" i="314"/>
  <c r="CB62" i="314"/>
  <c r="CB67" i="314"/>
  <c r="CB82" i="314"/>
  <c r="CI116" i="314"/>
  <c r="CI119" i="314"/>
  <c r="CI140" i="314"/>
  <c r="CH503" i="321"/>
  <c r="CH504" i="321"/>
  <c r="CH507" i="321"/>
  <c r="CH508" i="321"/>
  <c r="CH517" i="321"/>
  <c r="CI122" i="314"/>
  <c r="CI124" i="314"/>
  <c r="CI149" i="314"/>
  <c r="CI150" i="314"/>
  <c r="CB79" i="265"/>
  <c r="CB73" i="314"/>
  <c r="CB75" i="314"/>
  <c r="CB80" i="265"/>
  <c r="AS80" i="277"/>
  <c r="CB83" i="314"/>
  <c r="CB84" i="314"/>
  <c r="AS79" i="277"/>
  <c r="CB82" i="265"/>
  <c r="CI153" i="314"/>
  <c r="CI144" i="314"/>
  <c r="CH513" i="321"/>
  <c r="CH514" i="321"/>
  <c r="CH518" i="321"/>
  <c r="CH519" i="321"/>
  <c r="CH522" i="321"/>
  <c r="CH523" i="321"/>
  <c r="CH509" i="321"/>
  <c r="CH199" i="288"/>
  <c r="CH193" i="288"/>
  <c r="CH83" i="315"/>
  <c r="CH531" i="321"/>
  <c r="CH524" i="321"/>
  <c r="CH200" i="288"/>
  <c r="CH530" i="321"/>
  <c r="CH532" i="321"/>
  <c r="CB85" i="265"/>
  <c r="AS82" i="277"/>
  <c r="CC81" i="314"/>
  <c r="CB111" i="265"/>
  <c r="CB87" i="314"/>
  <c r="CB90" i="314"/>
  <c r="CB60" i="328"/>
  <c r="AS111" i="277"/>
  <c r="CC37" i="314"/>
  <c r="CC40" i="314"/>
  <c r="CC61" i="314"/>
  <c r="AS85" i="277"/>
  <c r="CB459" i="321"/>
  <c r="CB460" i="321"/>
  <c r="CI527" i="321"/>
  <c r="CH120" i="315"/>
  <c r="CH84" i="315"/>
  <c r="CH85" i="315"/>
  <c r="CH87" i="286"/>
  <c r="CH88" i="286"/>
  <c r="CI496" i="321"/>
  <c r="CI498" i="321"/>
  <c r="CI521" i="321"/>
  <c r="CB463" i="321"/>
  <c r="CB464" i="321"/>
  <c r="CB473" i="321"/>
  <c r="CC43" i="314"/>
  <c r="CC45" i="314"/>
  <c r="CC70" i="314"/>
  <c r="CC71" i="314"/>
  <c r="CC74" i="314"/>
  <c r="CC65" i="314"/>
  <c r="CB469" i="321"/>
  <c r="CB470" i="321"/>
  <c r="CB474" i="321"/>
  <c r="CB475" i="321"/>
  <c r="CB478" i="321"/>
  <c r="CB479" i="321"/>
  <c r="CB465" i="321"/>
  <c r="CB49" i="288"/>
  <c r="CB43" i="288"/>
  <c r="CB23" i="328"/>
  <c r="CI499" i="321"/>
  <c r="CI103" i="282"/>
  <c r="CI108" i="282"/>
  <c r="CI512" i="321"/>
  <c r="CI506" i="321"/>
  <c r="CH91" i="286"/>
  <c r="CH93" i="286"/>
  <c r="CH104" i="286"/>
  <c r="CH94" i="286"/>
  <c r="CH105" i="286"/>
  <c r="CH106" i="286"/>
  <c r="CH109" i="286"/>
  <c r="CH111" i="286"/>
  <c r="CH98" i="286"/>
  <c r="CH99" i="286"/>
  <c r="CH201" i="288"/>
  <c r="CI116" i="282"/>
  <c r="CI25" i="315"/>
  <c r="CI27" i="315"/>
  <c r="CB87" i="265"/>
  <c r="CB487" i="321"/>
  <c r="CB480" i="321"/>
  <c r="CB50" i="288"/>
  <c r="CB24" i="328"/>
  <c r="CB486" i="321"/>
  <c r="CB488" i="321"/>
  <c r="CC483" i="321"/>
  <c r="CB124" i="265"/>
  <c r="CB88" i="265"/>
  <c r="AS88" i="277"/>
  <c r="AS87" i="277"/>
  <c r="CB89" i="265"/>
  <c r="CI112" i="282"/>
  <c r="CI117" i="282"/>
  <c r="CI96" i="286"/>
  <c r="CH122" i="315"/>
  <c r="CH112" i="286"/>
  <c r="CH116" i="286"/>
  <c r="CH117" i="286"/>
  <c r="CH202" i="288"/>
  <c r="CH87" i="315"/>
  <c r="CI114" i="286"/>
  <c r="CH123" i="315"/>
  <c r="CH88" i="315"/>
  <c r="CH89" i="315"/>
  <c r="CI90" i="286"/>
  <c r="CI120" i="282"/>
  <c r="CI121" i="282"/>
  <c r="CI123" i="282"/>
  <c r="CI124" i="282"/>
  <c r="CB10" i="286"/>
  <c r="CB11" i="286"/>
  <c r="AS89" i="277"/>
  <c r="AS124" i="277"/>
  <c r="CC452" i="321"/>
  <c r="CC454" i="321"/>
  <c r="CC477" i="321"/>
  <c r="CC455" i="321"/>
  <c r="CC35" i="282"/>
  <c r="CC40" i="282"/>
  <c r="CC468" i="321"/>
  <c r="CC462" i="321"/>
  <c r="CB14" i="286"/>
  <c r="CB16" i="286"/>
  <c r="CB27" i="286"/>
  <c r="CI136" i="282"/>
  <c r="CI130" i="282"/>
  <c r="CI126" i="282"/>
  <c r="CI128" i="282"/>
  <c r="CH131" i="286"/>
  <c r="CH143" i="286"/>
  <c r="CH144" i="286"/>
  <c r="CH147" i="286"/>
  <c r="CH148" i="286"/>
  <c r="CI108" i="286"/>
  <c r="CH132" i="286"/>
  <c r="CH124" i="286"/>
  <c r="CH125" i="286"/>
  <c r="CH198" i="288"/>
  <c r="CH192" i="288"/>
  <c r="CH194" i="288"/>
  <c r="CH149" i="286"/>
  <c r="CH133" i="286"/>
  <c r="CI131" i="282"/>
  <c r="CI137" i="282"/>
  <c r="CI132" i="282"/>
  <c r="CI138" i="282"/>
  <c r="CJ135" i="282"/>
  <c r="CB17" i="286"/>
  <c r="CB28" i="286"/>
  <c r="CB29" i="286"/>
  <c r="CB32" i="286"/>
  <c r="CB34" i="286"/>
  <c r="CB21" i="286"/>
  <c r="CB22" i="286"/>
  <c r="CB51" i="288"/>
  <c r="CC48" i="282"/>
  <c r="CC27" i="265"/>
  <c r="CC29" i="265"/>
  <c r="CC19" i="286"/>
  <c r="CB126" i="265"/>
  <c r="CB35" i="286"/>
  <c r="CB39" i="286"/>
  <c r="CB40" i="286"/>
  <c r="CB52" i="288"/>
  <c r="CB91" i="265"/>
  <c r="CJ127" i="282"/>
  <c r="CI143" i="282"/>
  <c r="CI144" i="282"/>
  <c r="CI130" i="286"/>
  <c r="CH103" i="315"/>
  <c r="CH108" i="315"/>
  <c r="CH110" i="315"/>
  <c r="CH130" i="315"/>
  <c r="CH33" i="315"/>
  <c r="CH34" i="315"/>
  <c r="CH91" i="315"/>
  <c r="CH92" i="315"/>
  <c r="CH197" i="288"/>
  <c r="CH204" i="288"/>
  <c r="CI122" i="286"/>
  <c r="CH124" i="315"/>
  <c r="CH125" i="315"/>
  <c r="CH131" i="315"/>
  <c r="CI138" i="286"/>
  <c r="CH207" i="288"/>
  <c r="CH133" i="315"/>
  <c r="CH132" i="315"/>
  <c r="CI502" i="321"/>
  <c r="CI127" i="314"/>
  <c r="CI86" i="286"/>
  <c r="CI142" i="286"/>
  <c r="CI145" i="282"/>
  <c r="AS91" i="277"/>
  <c r="CC37" i="286"/>
  <c r="CB127" i="265"/>
  <c r="AS127" i="277"/>
  <c r="CB92" i="265"/>
  <c r="CB93" i="265"/>
  <c r="AS126" i="277"/>
  <c r="CC13" i="286"/>
  <c r="CC44" i="282"/>
  <c r="CC49" i="282"/>
  <c r="CC52" i="282"/>
  <c r="CC53" i="282"/>
  <c r="CC55" i="282"/>
  <c r="CC56" i="282"/>
  <c r="CB54" i="286"/>
  <c r="CB75" i="286"/>
  <c r="CB76" i="286"/>
  <c r="CB79" i="286"/>
  <c r="CB80" i="286"/>
  <c r="CC31" i="286"/>
  <c r="AS93" i="277"/>
  <c r="CI44" i="315"/>
  <c r="CI45" i="315"/>
  <c r="CI29" i="315"/>
  <c r="CI31" i="315"/>
  <c r="CI139" i="286"/>
  <c r="CI140" i="286"/>
  <c r="CI146" i="286"/>
  <c r="CI123" i="286"/>
  <c r="CI177" i="288"/>
  <c r="CI179" i="288"/>
  <c r="CI63" i="315"/>
  <c r="CB55" i="286"/>
  <c r="CB47" i="286"/>
  <c r="CB48" i="286"/>
  <c r="CB48" i="288"/>
  <c r="CB42" i="288"/>
  <c r="CB44" i="288"/>
  <c r="CB81" i="286"/>
  <c r="CB25" i="328"/>
  <c r="CB56" i="286"/>
  <c r="CC68" i="282"/>
  <c r="CC62" i="282"/>
  <c r="CC58" i="282"/>
  <c r="CC60" i="282"/>
  <c r="CC63" i="282"/>
  <c r="CC69" i="282"/>
  <c r="CC64" i="282"/>
  <c r="CC70" i="282"/>
  <c r="CD67" i="282"/>
  <c r="CC53" i="286"/>
  <c r="CB58" i="286"/>
  <c r="CB64" i="286"/>
  <c r="CB107" i="265"/>
  <c r="CB35" i="265"/>
  <c r="CB95" i="265"/>
  <c r="CB47" i="288"/>
  <c r="CB54" i="288"/>
  <c r="CC45" i="286"/>
  <c r="CB128" i="265"/>
  <c r="CI73" i="315"/>
  <c r="CI263" i="288"/>
  <c r="CI235" i="288"/>
  <c r="CI215" i="288"/>
  <c r="CI182" i="288"/>
  <c r="CI237" i="288"/>
  <c r="CI239" i="288"/>
  <c r="CI128" i="314"/>
  <c r="CI130" i="314"/>
  <c r="AS128" i="277"/>
  <c r="AS129" i="277"/>
  <c r="AS135" i="277"/>
  <c r="CB129" i="265"/>
  <c r="CB135" i="265"/>
  <c r="CC70" i="286"/>
  <c r="CB57" i="288"/>
  <c r="AS95" i="277"/>
  <c r="CB96" i="265"/>
  <c r="AS35" i="277"/>
  <c r="CB36" i="265"/>
  <c r="CB59" i="328"/>
  <c r="AS107" i="277"/>
  <c r="AS112" i="277"/>
  <c r="AS114" i="277"/>
  <c r="AS134" i="277"/>
  <c r="CB112" i="265"/>
  <c r="CB114" i="265"/>
  <c r="CB134" i="265"/>
  <c r="CC458" i="321"/>
  <c r="CC48" i="314"/>
  <c r="CC9" i="286"/>
  <c r="CC74" i="286"/>
  <c r="CD59" i="282"/>
  <c r="CC75" i="282"/>
  <c r="CC76" i="282"/>
  <c r="CC77" i="282"/>
  <c r="CB137" i="265"/>
  <c r="CB136" i="265"/>
  <c r="AS137" i="277"/>
  <c r="AS136" i="277"/>
  <c r="AS36" i="277"/>
  <c r="AS96" i="277"/>
  <c r="CI132" i="314"/>
  <c r="CI133" i="314"/>
  <c r="CI143" i="314"/>
  <c r="CI145" i="314"/>
  <c r="CI135" i="314"/>
  <c r="CI137" i="314"/>
  <c r="CI139" i="314"/>
  <c r="CI141" i="314"/>
  <c r="CI146" i="314"/>
  <c r="CI161" i="314"/>
  <c r="CC46" i="265"/>
  <c r="CC31" i="265"/>
  <c r="CC33" i="265"/>
  <c r="CC47" i="265"/>
  <c r="CI75" i="315"/>
  <c r="CI152" i="314"/>
  <c r="CI154" i="314"/>
  <c r="CI76" i="315"/>
  <c r="CI162" i="314"/>
  <c r="CI163" i="314"/>
  <c r="CI78" i="315"/>
  <c r="CC27" i="288"/>
  <c r="CC29" i="288"/>
  <c r="CC65" i="265"/>
  <c r="CC71" i="286"/>
  <c r="CC72" i="286"/>
  <c r="CC78" i="286"/>
  <c r="CC46" i="286"/>
  <c r="CC77" i="265"/>
  <c r="CC113" i="288"/>
  <c r="CC10" i="321"/>
  <c r="CC12" i="321"/>
  <c r="CC85" i="288"/>
  <c r="CC65" i="288"/>
  <c r="CC20" i="328"/>
  <c r="CC32" i="288"/>
  <c r="CI81" i="315"/>
  <c r="CJ160" i="314"/>
  <c r="CI107" i="315"/>
  <c r="CJ116" i="314"/>
  <c r="CJ119" i="314"/>
  <c r="CJ140" i="314"/>
  <c r="CI503" i="321"/>
  <c r="CI504" i="321"/>
  <c r="CC87" i="288"/>
  <c r="CC89" i="288"/>
  <c r="CC39" i="311"/>
  <c r="CC49" i="314"/>
  <c r="CC51" i="314"/>
  <c r="CC53" i="314"/>
  <c r="CC54" i="314"/>
  <c r="CC64" i="314"/>
  <c r="CC66" i="314"/>
  <c r="CC56" i="314"/>
  <c r="CC58" i="314"/>
  <c r="CC80" i="311"/>
  <c r="CI507" i="321"/>
  <c r="CI508" i="321"/>
  <c r="CI517" i="321"/>
  <c r="CJ122" i="314"/>
  <c r="CJ124" i="314"/>
  <c r="CJ149" i="314"/>
  <c r="CJ150" i="314"/>
  <c r="CJ153" i="314"/>
  <c r="CJ144" i="314"/>
  <c r="CI513" i="321"/>
  <c r="CI514" i="321"/>
  <c r="CI518" i="321"/>
  <c r="CI519" i="321"/>
  <c r="CI522" i="321"/>
  <c r="CI523" i="321"/>
  <c r="CI509" i="321"/>
  <c r="CI199" i="288"/>
  <c r="CI193" i="288"/>
  <c r="CC60" i="314"/>
  <c r="CC62" i="314"/>
  <c r="CC67" i="314"/>
  <c r="CC82" i="314"/>
  <c r="CC79" i="265"/>
  <c r="CC73" i="314"/>
  <c r="CC75" i="314"/>
  <c r="CI83" i="315"/>
  <c r="CI531" i="321"/>
  <c r="CI524" i="321"/>
  <c r="CI200" i="288"/>
  <c r="CI530" i="321"/>
  <c r="CI532" i="321"/>
  <c r="CJ527" i="321"/>
  <c r="CI120" i="315"/>
  <c r="CI84" i="315"/>
  <c r="CI85" i="315"/>
  <c r="CC80" i="265"/>
  <c r="CC83" i="314"/>
  <c r="CC84" i="314"/>
  <c r="CC82" i="265"/>
  <c r="CC85" i="265"/>
  <c r="CD81" i="314"/>
  <c r="CC111" i="265"/>
  <c r="CC60" i="328"/>
  <c r="CC87" i="314"/>
  <c r="CC90" i="314"/>
  <c r="CI87" i="286"/>
  <c r="CI88" i="286"/>
  <c r="CJ496" i="321"/>
  <c r="CJ498" i="321"/>
  <c r="CJ521" i="321"/>
  <c r="CJ499" i="321"/>
  <c r="CJ103" i="282"/>
  <c r="CJ108" i="282"/>
  <c r="CJ512" i="321"/>
  <c r="CJ506" i="321"/>
  <c r="CI91" i="286"/>
  <c r="CI93" i="286"/>
  <c r="CI104" i="286"/>
  <c r="CD37" i="314"/>
  <c r="CD40" i="314"/>
  <c r="CD61" i="314"/>
  <c r="CC459" i="321"/>
  <c r="CC460" i="321"/>
  <c r="CC463" i="321"/>
  <c r="CC464" i="321"/>
  <c r="CC473" i="321"/>
  <c r="CD43" i="314"/>
  <c r="CD45" i="314"/>
  <c r="CD70" i="314"/>
  <c r="CD71" i="314"/>
  <c r="CI94" i="286"/>
  <c r="CI105" i="286"/>
  <c r="CI106" i="286"/>
  <c r="CI109" i="286"/>
  <c r="CI111" i="286"/>
  <c r="CI98" i="286"/>
  <c r="CI99" i="286"/>
  <c r="CI201" i="288"/>
  <c r="CJ116" i="282"/>
  <c r="CJ25" i="315"/>
  <c r="CJ27" i="315"/>
  <c r="CJ112" i="282"/>
  <c r="CJ117" i="282"/>
  <c r="CJ96" i="286"/>
  <c r="CI122" i="315"/>
  <c r="CI112" i="286"/>
  <c r="CI116" i="286"/>
  <c r="CI117" i="286"/>
  <c r="CI202" i="288"/>
  <c r="CI87" i="315"/>
  <c r="CD74" i="314"/>
  <c r="CD65" i="314"/>
  <c r="CC469" i="321"/>
  <c r="CC470" i="321"/>
  <c r="CC474" i="321"/>
  <c r="CC475" i="321"/>
  <c r="CC478" i="321"/>
  <c r="CC479" i="321"/>
  <c r="CC465" i="321"/>
  <c r="CC49" i="288"/>
  <c r="CC43" i="288"/>
  <c r="CC23" i="328"/>
  <c r="CC87" i="265"/>
  <c r="CC487" i="321"/>
  <c r="CC480" i="321"/>
  <c r="CC50" i="288"/>
  <c r="CC24" i="328"/>
  <c r="CC486" i="321"/>
  <c r="CC488" i="321"/>
  <c r="CJ114" i="286"/>
  <c r="CI123" i="315"/>
  <c r="CI88" i="315"/>
  <c r="CI89" i="315"/>
  <c r="CJ90" i="286"/>
  <c r="CJ120" i="282"/>
  <c r="CJ121" i="282"/>
  <c r="CJ123" i="282"/>
  <c r="CJ124" i="282"/>
  <c r="CJ136" i="282"/>
  <c r="CJ130" i="282"/>
  <c r="CJ126" i="282"/>
  <c r="CJ128" i="282"/>
  <c r="CI131" i="286"/>
  <c r="CI143" i="286"/>
  <c r="CI144" i="286"/>
  <c r="CI147" i="286"/>
  <c r="CI148" i="286"/>
  <c r="CJ108" i="286"/>
  <c r="CD483" i="321"/>
  <c r="CC124" i="265"/>
  <c r="CC88" i="265"/>
  <c r="CC89" i="265"/>
  <c r="CC10" i="286"/>
  <c r="CC11" i="286"/>
  <c r="CD452" i="321"/>
  <c r="CD454" i="321"/>
  <c r="CD477" i="321"/>
  <c r="CI132" i="286"/>
  <c r="CI124" i="286"/>
  <c r="CI125" i="286"/>
  <c r="CI198" i="288"/>
  <c r="CI192" i="288"/>
  <c r="CI194" i="288"/>
  <c r="CI149" i="286"/>
  <c r="CI133" i="286"/>
  <c r="CJ131" i="282"/>
  <c r="CJ137" i="282"/>
  <c r="CJ132" i="282"/>
  <c r="CJ138" i="282"/>
  <c r="CK135" i="282"/>
  <c r="CK127" i="282"/>
  <c r="CJ143" i="282"/>
  <c r="CJ144" i="282"/>
  <c r="CJ130" i="286"/>
  <c r="CI103" i="315"/>
  <c r="CI108" i="315"/>
  <c r="CI110" i="315"/>
  <c r="CI130" i="315"/>
  <c r="CI33" i="315"/>
  <c r="CI34" i="315"/>
  <c r="CI91" i="315"/>
  <c r="CI92" i="315"/>
  <c r="CI197" i="288"/>
  <c r="CI204" i="288"/>
  <c r="CJ122" i="286"/>
  <c r="CI124" i="315"/>
  <c r="CI125" i="315"/>
  <c r="CI131" i="315"/>
  <c r="CD455" i="321"/>
  <c r="CD35" i="282"/>
  <c r="CD40" i="282"/>
  <c r="CD468" i="321"/>
  <c r="CD462" i="321"/>
  <c r="CC14" i="286"/>
  <c r="CC16" i="286"/>
  <c r="CC27" i="286"/>
  <c r="CC17" i="286"/>
  <c r="CC28" i="286"/>
  <c r="CC29" i="286"/>
  <c r="CC32" i="286"/>
  <c r="CC34" i="286"/>
  <c r="CC21" i="286"/>
  <c r="CC22" i="286"/>
  <c r="CC51" i="288"/>
  <c r="CD48" i="282"/>
  <c r="CD27" i="265"/>
  <c r="CJ138" i="286"/>
  <c r="CI207" i="288"/>
  <c r="CI133" i="315"/>
  <c r="CI132" i="315"/>
  <c r="CJ502" i="321"/>
  <c r="CJ127" i="314"/>
  <c r="CJ86" i="286"/>
  <c r="CJ142" i="286"/>
  <c r="CJ145" i="282"/>
  <c r="CJ44" i="315"/>
  <c r="CJ45" i="315"/>
  <c r="CJ29" i="315"/>
  <c r="CJ31" i="315"/>
  <c r="CD29" i="265"/>
  <c r="AT27" i="277"/>
  <c r="CD19" i="286"/>
  <c r="CC126" i="265"/>
  <c r="CC35" i="286"/>
  <c r="CC39" i="286"/>
  <c r="CC40" i="286"/>
  <c r="CC52" i="288"/>
  <c r="CC91" i="265"/>
  <c r="CD37" i="286"/>
  <c r="CC127" i="265"/>
  <c r="CC92" i="265"/>
  <c r="CC93" i="265"/>
  <c r="CD13" i="286"/>
  <c r="AT29" i="277"/>
  <c r="CD44" i="282"/>
  <c r="CD49" i="282"/>
  <c r="CJ139" i="286"/>
  <c r="CJ140" i="286"/>
  <c r="CJ146" i="286"/>
  <c r="CJ123" i="286"/>
  <c r="CJ177" i="288"/>
  <c r="CJ179" i="288"/>
  <c r="CJ63" i="315"/>
  <c r="CJ73" i="315"/>
  <c r="CJ263" i="288"/>
  <c r="CJ235" i="288"/>
  <c r="CJ215" i="288"/>
  <c r="CJ182" i="288"/>
  <c r="CD52" i="282"/>
  <c r="CD53" i="282"/>
  <c r="CD55" i="282"/>
  <c r="CD56" i="282"/>
  <c r="CC54" i="286"/>
  <c r="CC75" i="286"/>
  <c r="CC76" i="286"/>
  <c r="CC79" i="286"/>
  <c r="CC80" i="286"/>
  <c r="CD31" i="286"/>
  <c r="CC55" i="286"/>
  <c r="CC47" i="286"/>
  <c r="CC48" i="286"/>
  <c r="CC48" i="288"/>
  <c r="CC42" i="288"/>
  <c r="CC44" i="288"/>
  <c r="CC81" i="286"/>
  <c r="CC25" i="328"/>
  <c r="CC56" i="286"/>
  <c r="CD68" i="282"/>
  <c r="CD62" i="282"/>
  <c r="CD58" i="282"/>
  <c r="CD60" i="282"/>
  <c r="CJ237" i="288"/>
  <c r="CJ239" i="288"/>
  <c r="CJ128" i="314"/>
  <c r="CJ130" i="314"/>
  <c r="CJ132" i="314"/>
  <c r="CJ133" i="314"/>
  <c r="CJ143" i="314"/>
  <c r="CJ145" i="314"/>
  <c r="CJ135" i="314"/>
  <c r="CJ137" i="314"/>
  <c r="CD63" i="282"/>
  <c r="CD69" i="282"/>
  <c r="CD64" i="282"/>
  <c r="CD70" i="282"/>
  <c r="CE67" i="282"/>
  <c r="CD53" i="286"/>
  <c r="CC58" i="286"/>
  <c r="CC64" i="286"/>
  <c r="CC107" i="265"/>
  <c r="CC35" i="265"/>
  <c r="CC95" i="265"/>
  <c r="CC47" i="288"/>
  <c r="CC54" i="288"/>
  <c r="CD45" i="286"/>
  <c r="CC128" i="265"/>
  <c r="CC129" i="265"/>
  <c r="CC135" i="265"/>
  <c r="CD70" i="286"/>
  <c r="CC57" i="288"/>
  <c r="CC96" i="265"/>
  <c r="CC36" i="265"/>
  <c r="CC59" i="328"/>
  <c r="CC112" i="265"/>
  <c r="CC114" i="265"/>
  <c r="CC134" i="265"/>
  <c r="CD458" i="321"/>
  <c r="CD48" i="314"/>
  <c r="CD9" i="286"/>
  <c r="CD74" i="286"/>
  <c r="CE59" i="282"/>
  <c r="CD75" i="282"/>
  <c r="CD76" i="282"/>
  <c r="CJ139" i="314"/>
  <c r="CJ141" i="314"/>
  <c r="CJ146" i="314"/>
  <c r="CJ161" i="314"/>
  <c r="CJ75" i="315"/>
  <c r="CJ152" i="314"/>
  <c r="CJ154" i="314"/>
  <c r="CD77" i="282"/>
  <c r="CC137" i="265"/>
  <c r="CC136" i="265"/>
  <c r="CD46" i="265"/>
  <c r="CD31" i="265"/>
  <c r="CJ76" i="315"/>
  <c r="CJ162" i="314"/>
  <c r="CJ163" i="314"/>
  <c r="CJ78" i="315"/>
  <c r="CJ81" i="315"/>
  <c r="CK160" i="314"/>
  <c r="CJ107" i="315"/>
  <c r="AT31" i="277"/>
  <c r="CD33" i="265"/>
  <c r="CD47" i="265"/>
  <c r="AT46" i="277"/>
  <c r="AT47" i="277"/>
  <c r="CD27" i="288"/>
  <c r="CD29" i="288"/>
  <c r="CD65" i="265"/>
  <c r="CD71" i="286"/>
  <c r="CD72" i="286"/>
  <c r="CD78" i="286"/>
  <c r="CD46" i="286"/>
  <c r="AT33" i="277"/>
  <c r="CK116" i="314"/>
  <c r="CK119" i="314"/>
  <c r="CK140" i="314"/>
  <c r="CJ503" i="321"/>
  <c r="CJ504" i="321"/>
  <c r="CJ507" i="321"/>
  <c r="CJ508" i="321"/>
  <c r="CJ517" i="321"/>
  <c r="CK122" i="314"/>
  <c r="CK124" i="314"/>
  <c r="CK149" i="314"/>
  <c r="CK150" i="314"/>
  <c r="CD77" i="265"/>
  <c r="CD113" i="288"/>
  <c r="CD10" i="321"/>
  <c r="CD12" i="321"/>
  <c r="CD85" i="288"/>
  <c r="CD65" i="288"/>
  <c r="CD20" i="328"/>
  <c r="CD32" i="288"/>
  <c r="AT65" i="277"/>
  <c r="AT77" i="277"/>
  <c r="CD87" i="288"/>
  <c r="CD89" i="288"/>
  <c r="CD39" i="311"/>
  <c r="CD49" i="314"/>
  <c r="CD51" i="314"/>
  <c r="CK153" i="314"/>
  <c r="CK144" i="314"/>
  <c r="CJ513" i="321"/>
  <c r="CJ514" i="321"/>
  <c r="CJ518" i="321"/>
  <c r="CJ519" i="321"/>
  <c r="CJ522" i="321"/>
  <c r="CJ523" i="321"/>
  <c r="CJ509" i="321"/>
  <c r="CJ199" i="288"/>
  <c r="CJ193" i="288"/>
  <c r="CJ83" i="315"/>
  <c r="CJ531" i="321"/>
  <c r="CJ524" i="321"/>
  <c r="CJ200" i="288"/>
  <c r="CJ530" i="321"/>
  <c r="CJ532" i="321"/>
  <c r="CD53" i="314"/>
  <c r="CD54" i="314"/>
  <c r="CD64" i="314"/>
  <c r="CD66" i="314"/>
  <c r="CD56" i="314"/>
  <c r="CD58" i="314"/>
  <c r="CD80" i="311"/>
  <c r="CD60" i="314"/>
  <c r="CD62" i="314"/>
  <c r="CD67" i="314"/>
  <c r="CD82" i="314"/>
  <c r="CK527" i="321"/>
  <c r="CJ120" i="315"/>
  <c r="CJ84" i="315"/>
  <c r="CJ85" i="315"/>
  <c r="CJ87" i="286"/>
  <c r="CJ88" i="286"/>
  <c r="CK496" i="321"/>
  <c r="CK498" i="321"/>
  <c r="CK521" i="321"/>
  <c r="CD79" i="265"/>
  <c r="CD73" i="314"/>
  <c r="CD75" i="314"/>
  <c r="CD80" i="265"/>
  <c r="AT80" i="277"/>
  <c r="CD83" i="314"/>
  <c r="CD84" i="314"/>
  <c r="AT79" i="277"/>
  <c r="CD82" i="265"/>
  <c r="CK499" i="321"/>
  <c r="CK103" i="282"/>
  <c r="CK108" i="282"/>
  <c r="CK512" i="321"/>
  <c r="CK506" i="321"/>
  <c r="CJ91" i="286"/>
  <c r="CJ93" i="286"/>
  <c r="CJ104" i="286"/>
  <c r="CJ94" i="286"/>
  <c r="CJ105" i="286"/>
  <c r="CJ106" i="286"/>
  <c r="CJ109" i="286"/>
  <c r="CJ111" i="286"/>
  <c r="CJ98" i="286"/>
  <c r="CJ99" i="286"/>
  <c r="CJ201" i="288"/>
  <c r="CK116" i="282"/>
  <c r="CK25" i="315"/>
  <c r="CK27" i="315"/>
  <c r="CD85" i="265"/>
  <c r="AT82" i="277"/>
  <c r="CE81" i="314"/>
  <c r="CD111" i="265"/>
  <c r="CD87" i="314"/>
  <c r="CD90" i="314"/>
  <c r="CD60" i="328"/>
  <c r="AT111" i="277"/>
  <c r="CE37" i="314"/>
  <c r="CE40" i="314"/>
  <c r="CE61" i="314"/>
  <c r="AT85" i="277"/>
  <c r="CD459" i="321"/>
  <c r="CD460" i="321"/>
  <c r="CK112" i="282"/>
  <c r="CK117" i="282"/>
  <c r="CK96" i="286"/>
  <c r="CJ122" i="315"/>
  <c r="CJ112" i="286"/>
  <c r="CJ116" i="286"/>
  <c r="CJ117" i="286"/>
  <c r="CJ202" i="288"/>
  <c r="CJ87" i="315"/>
  <c r="CK114" i="286"/>
  <c r="CJ123" i="315"/>
  <c r="CJ88" i="315"/>
  <c r="CJ89" i="315"/>
  <c r="CK90" i="286"/>
  <c r="CK120" i="282"/>
  <c r="CK121" i="282"/>
  <c r="CK123" i="282"/>
  <c r="CK124" i="282"/>
  <c r="CD463" i="321"/>
  <c r="CD464" i="321"/>
  <c r="CD473" i="321"/>
  <c r="CE43" i="314"/>
  <c r="CE45" i="314"/>
  <c r="CE70" i="314"/>
  <c r="CE71" i="314"/>
  <c r="CE74" i="314"/>
  <c r="CE65" i="314"/>
  <c r="CD469" i="321"/>
  <c r="CD470" i="321"/>
  <c r="CD474" i="321"/>
  <c r="CD475" i="321"/>
  <c r="CD478" i="321"/>
  <c r="CD479" i="321"/>
  <c r="CD465" i="321"/>
  <c r="CD49" i="288"/>
  <c r="CD43" i="288"/>
  <c r="CD23" i="328"/>
  <c r="CK136" i="282"/>
  <c r="CK130" i="282"/>
  <c r="CK126" i="282"/>
  <c r="CK128" i="282"/>
  <c r="CJ131" i="286"/>
  <c r="CJ143" i="286"/>
  <c r="CJ144" i="286"/>
  <c r="CJ147" i="286"/>
  <c r="CJ148" i="286"/>
  <c r="CK108" i="286"/>
  <c r="CJ132" i="286"/>
  <c r="CJ124" i="286"/>
  <c r="CJ125" i="286"/>
  <c r="CJ198" i="288"/>
  <c r="CJ192" i="288"/>
  <c r="CJ194" i="288"/>
  <c r="CJ149" i="286"/>
  <c r="CJ133" i="286"/>
  <c r="CK131" i="282"/>
  <c r="CK137" i="282"/>
  <c r="CK132" i="282"/>
  <c r="CK138" i="282"/>
  <c r="CL135" i="282"/>
  <c r="CD87" i="265"/>
  <c r="CD487" i="321"/>
  <c r="CD480" i="321"/>
  <c r="CD50" i="288"/>
  <c r="CD24" i="328"/>
  <c r="CD486" i="321"/>
  <c r="CD488" i="321"/>
  <c r="CE483" i="321"/>
  <c r="CD124" i="265"/>
  <c r="CD88" i="265"/>
  <c r="AT88" i="277"/>
  <c r="AT87" i="277"/>
  <c r="CD89" i="265"/>
  <c r="CL127" i="282"/>
  <c r="CK143" i="282"/>
  <c r="CK144" i="282"/>
  <c r="CK130" i="286"/>
  <c r="CJ103" i="315"/>
  <c r="CJ108" i="315"/>
  <c r="CJ110" i="315"/>
  <c r="CJ130" i="315"/>
  <c r="CJ33" i="315"/>
  <c r="CJ34" i="315"/>
  <c r="CJ91" i="315"/>
  <c r="CJ92" i="315"/>
  <c r="CJ197" i="288"/>
  <c r="CJ204" i="288"/>
  <c r="CK122" i="286"/>
  <c r="CJ124" i="315"/>
  <c r="CJ125" i="315"/>
  <c r="CJ131" i="315"/>
  <c r="CK138" i="286"/>
  <c r="CJ207" i="288"/>
  <c r="CJ133" i="315"/>
  <c r="CJ132" i="315"/>
  <c r="CK502" i="321"/>
  <c r="CK127" i="314"/>
  <c r="CK86" i="286"/>
  <c r="CK142" i="286"/>
  <c r="CK145" i="282"/>
  <c r="CD10" i="286"/>
  <c r="CD11" i="286"/>
  <c r="AT89" i="277"/>
  <c r="AT124" i="277"/>
  <c r="CE452" i="321"/>
  <c r="CE454" i="321"/>
  <c r="CE477" i="321"/>
  <c r="CE455" i="321"/>
  <c r="CE35" i="282"/>
  <c r="CE40" i="282"/>
  <c r="CE468" i="321"/>
  <c r="CE462" i="321"/>
  <c r="CD14" i="286"/>
  <c r="CD16" i="286"/>
  <c r="CD27" i="286"/>
  <c r="CK44" i="315"/>
  <c r="CK45" i="315"/>
  <c r="CK29" i="315"/>
  <c r="CK31" i="315"/>
  <c r="CK139" i="286"/>
  <c r="CK140" i="286"/>
  <c r="CK146" i="286"/>
  <c r="CK123" i="286"/>
  <c r="CK177" i="288"/>
  <c r="CK179" i="288"/>
  <c r="CK63" i="315"/>
  <c r="CD17" i="286"/>
  <c r="CD28" i="286"/>
  <c r="CD29" i="286"/>
  <c r="CD32" i="286"/>
  <c r="CD34" i="286"/>
  <c r="CD21" i="286"/>
  <c r="CD22" i="286"/>
  <c r="CD51" i="288"/>
  <c r="CE48" i="282"/>
  <c r="CE27" i="265"/>
  <c r="CE29" i="265"/>
  <c r="CE19" i="286"/>
  <c r="CD126" i="265"/>
  <c r="CD35" i="286"/>
  <c r="CD39" i="286"/>
  <c r="CD40" i="286"/>
  <c r="CD52" i="288"/>
  <c r="CD91" i="265"/>
  <c r="CK73" i="315"/>
  <c r="CK263" i="288"/>
  <c r="CK235" i="288"/>
  <c r="CK215" i="288"/>
  <c r="CK182" i="288"/>
  <c r="CK237" i="288"/>
  <c r="CK239" i="288"/>
  <c r="CK128" i="314"/>
  <c r="CK130" i="314"/>
  <c r="AT91" i="277"/>
  <c r="CE37" i="286"/>
  <c r="CD127" i="265"/>
  <c r="AT127" i="277"/>
  <c r="CD92" i="265"/>
  <c r="CD93" i="265"/>
  <c r="AT126" i="277"/>
  <c r="CE13" i="286"/>
  <c r="CE44" i="282"/>
  <c r="CE49" i="282"/>
  <c r="CE52" i="282"/>
  <c r="CE53" i="282"/>
  <c r="CE55" i="282"/>
  <c r="CE56" i="282"/>
  <c r="CD54" i="286"/>
  <c r="CD75" i="286"/>
  <c r="CD76" i="286"/>
  <c r="CD79" i="286"/>
  <c r="CD80" i="286"/>
  <c r="CE31" i="286"/>
  <c r="AT93" i="277"/>
  <c r="CK132" i="314"/>
  <c r="CK133" i="314"/>
  <c r="CK143" i="314"/>
  <c r="CK145" i="314"/>
  <c r="CK135" i="314"/>
  <c r="CK137" i="314"/>
  <c r="CK139" i="314"/>
  <c r="CK141" i="314"/>
  <c r="CK146" i="314"/>
  <c r="CK161" i="314"/>
  <c r="CD55" i="286"/>
  <c r="CD47" i="286"/>
  <c r="CD48" i="286"/>
  <c r="CD48" i="288"/>
  <c r="CD42" i="288"/>
  <c r="CD44" i="288"/>
  <c r="CD81" i="286"/>
  <c r="CD25" i="328"/>
  <c r="CD56" i="286"/>
  <c r="CE68" i="282"/>
  <c r="CE62" i="282"/>
  <c r="CE58" i="282"/>
  <c r="CE60" i="282"/>
  <c r="CE63" i="282"/>
  <c r="CE69" i="282"/>
  <c r="CE64" i="282"/>
  <c r="CE70" i="282"/>
  <c r="CF67" i="282"/>
  <c r="CE53" i="286"/>
  <c r="CD58" i="286"/>
  <c r="CD107" i="265"/>
  <c r="CD64" i="286"/>
  <c r="CD35" i="265"/>
  <c r="CD95" i="265"/>
  <c r="CD47" i="288"/>
  <c r="CD54" i="288"/>
  <c r="CE45" i="286"/>
  <c r="CD128" i="265"/>
  <c r="CK75" i="315"/>
  <c r="CK152" i="314"/>
  <c r="CK154" i="314"/>
  <c r="CK76" i="315"/>
  <c r="CK162" i="314"/>
  <c r="CK163" i="314"/>
  <c r="CK78" i="315"/>
  <c r="AT128" i="277"/>
  <c r="AT129" i="277"/>
  <c r="AT135" i="277"/>
  <c r="CD129" i="265"/>
  <c r="CD135" i="265"/>
  <c r="CE70" i="286"/>
  <c r="CD57" i="288"/>
  <c r="AT95" i="277"/>
  <c r="CD96" i="265"/>
  <c r="AT35" i="277"/>
  <c r="CD36" i="265"/>
  <c r="CD59" i="328"/>
  <c r="AT107" i="277"/>
  <c r="AT112" i="277"/>
  <c r="AT114" i="277"/>
  <c r="AT134" i="277"/>
  <c r="CD112" i="265"/>
  <c r="CD114" i="265"/>
  <c r="CD134" i="265"/>
  <c r="CE458" i="321"/>
  <c r="CE48" i="314"/>
  <c r="CE9" i="286"/>
  <c r="CE74" i="286"/>
  <c r="CF59" i="282"/>
  <c r="CE75" i="282"/>
  <c r="CE76" i="282"/>
  <c r="CE77" i="282"/>
  <c r="CD137" i="265"/>
  <c r="CD136" i="265"/>
  <c r="AT137" i="277"/>
  <c r="AT136" i="277"/>
  <c r="AT36" i="277"/>
  <c r="AT96" i="277"/>
  <c r="CK81" i="315"/>
  <c r="CL160" i="314"/>
  <c r="CK107" i="315"/>
  <c r="CL116" i="314"/>
  <c r="CL119" i="314"/>
  <c r="CL140" i="314"/>
  <c r="CK503" i="321"/>
  <c r="CK504" i="321"/>
  <c r="CE46" i="265"/>
  <c r="CE31" i="265"/>
  <c r="CE33" i="265"/>
  <c r="CE47" i="265"/>
  <c r="CK507" i="321"/>
  <c r="CK508" i="321"/>
  <c r="CK517" i="321"/>
  <c r="CL122" i="314"/>
  <c r="CL124" i="314"/>
  <c r="CL149" i="314"/>
  <c r="CL150" i="314"/>
  <c r="CL153" i="314"/>
  <c r="CL144" i="314"/>
  <c r="CK513" i="321"/>
  <c r="CK514" i="321"/>
  <c r="CK518" i="321"/>
  <c r="CK519" i="321"/>
  <c r="CK522" i="321"/>
  <c r="CK523" i="321"/>
  <c r="CK509" i="321"/>
  <c r="CK199" i="288"/>
  <c r="CK193" i="288"/>
  <c r="CE27" i="288"/>
  <c r="CE29" i="288"/>
  <c r="CE65" i="265"/>
  <c r="CE71" i="286"/>
  <c r="CE72" i="286"/>
  <c r="CE78" i="286"/>
  <c r="CE46" i="286"/>
  <c r="CE77" i="265"/>
  <c r="CE113" i="288"/>
  <c r="CE10" i="321"/>
  <c r="CE12" i="321"/>
  <c r="CE85" i="288"/>
  <c r="CE65" i="288"/>
  <c r="CE20" i="328"/>
  <c r="CE32" i="288"/>
  <c r="CK83" i="315"/>
  <c r="CK531" i="321"/>
  <c r="CK524" i="321"/>
  <c r="CK200" i="288"/>
  <c r="CK530" i="321"/>
  <c r="CK532" i="321"/>
  <c r="CL527" i="321"/>
  <c r="CK120" i="315"/>
  <c r="CK84" i="315"/>
  <c r="CK85" i="315"/>
  <c r="CE87" i="288"/>
  <c r="CE89" i="288"/>
  <c r="CE39" i="311"/>
  <c r="CE49" i="314"/>
  <c r="CE51" i="314"/>
  <c r="CE53" i="314"/>
  <c r="CE54" i="314"/>
  <c r="CE64" i="314"/>
  <c r="CE66" i="314"/>
  <c r="CE56" i="314"/>
  <c r="CE58" i="314"/>
  <c r="CE80" i="311"/>
  <c r="CK87" i="286"/>
  <c r="CK88" i="286"/>
  <c r="CL496" i="321"/>
  <c r="CL498" i="321"/>
  <c r="CL521" i="321"/>
  <c r="CL499" i="321"/>
  <c r="CL103" i="282"/>
  <c r="CL108" i="282"/>
  <c r="CL512" i="321"/>
  <c r="CL506" i="321"/>
  <c r="CK91" i="286"/>
  <c r="CK93" i="286"/>
  <c r="CK104" i="286"/>
  <c r="CE60" i="314"/>
  <c r="CE62" i="314"/>
  <c r="CE67" i="314"/>
  <c r="CE82" i="314"/>
  <c r="CE79" i="265"/>
  <c r="CE73" i="314"/>
  <c r="CE75" i="314"/>
  <c r="CK94" i="286"/>
  <c r="CK105" i="286"/>
  <c r="CK106" i="286"/>
  <c r="CK109" i="286"/>
  <c r="CK111" i="286"/>
  <c r="CK98" i="286"/>
  <c r="CK99" i="286"/>
  <c r="CK201" i="288"/>
  <c r="CL116" i="282"/>
  <c r="CL25" i="315"/>
  <c r="CL27" i="315"/>
  <c r="CL112" i="282"/>
  <c r="CL117" i="282"/>
  <c r="CL96" i="286"/>
  <c r="CK122" i="315"/>
  <c r="CK112" i="286"/>
  <c r="CK116" i="286"/>
  <c r="CK117" i="286"/>
  <c r="CK202" i="288"/>
  <c r="CK87" i="315"/>
  <c r="CE80" i="265"/>
  <c r="CE83" i="314"/>
  <c r="CE84" i="314"/>
  <c r="CE82" i="265"/>
  <c r="CE85" i="265"/>
  <c r="CF81" i="314"/>
  <c r="CE111" i="265"/>
  <c r="CE60" i="328"/>
  <c r="CE87" i="314"/>
  <c r="CE90" i="314"/>
  <c r="CL114" i="286"/>
  <c r="CK123" i="315"/>
  <c r="CK88" i="315"/>
  <c r="CK89" i="315"/>
  <c r="CL90" i="286"/>
  <c r="CL120" i="282"/>
  <c r="CL121" i="282"/>
  <c r="CL123" i="282"/>
  <c r="CL124" i="282"/>
  <c r="CL136" i="282"/>
  <c r="CL130" i="282"/>
  <c r="CL126" i="282"/>
  <c r="CL128" i="282"/>
  <c r="CK131" i="286"/>
  <c r="CK143" i="286"/>
  <c r="CK144" i="286"/>
  <c r="CK147" i="286"/>
  <c r="CK148" i="286"/>
  <c r="CL108" i="286"/>
  <c r="CF37" i="314"/>
  <c r="CF40" i="314"/>
  <c r="CF61" i="314"/>
  <c r="CE459" i="321"/>
  <c r="CE460" i="321"/>
  <c r="CE463" i="321"/>
  <c r="CE464" i="321"/>
  <c r="CE473" i="321"/>
  <c r="CF43" i="314"/>
  <c r="CF45" i="314"/>
  <c r="CF70" i="314"/>
  <c r="CF71" i="314"/>
  <c r="CK132" i="286"/>
  <c r="CK124" i="286"/>
  <c r="CK125" i="286"/>
  <c r="CK198" i="288"/>
  <c r="CK192" i="288"/>
  <c r="CK194" i="288"/>
  <c r="CK149" i="286"/>
  <c r="CK133" i="286"/>
  <c r="CL131" i="282"/>
  <c r="CL137" i="282"/>
  <c r="CL132" i="282"/>
  <c r="CL138" i="282"/>
  <c r="CM135" i="282"/>
  <c r="CM127" i="282"/>
  <c r="CL143" i="282"/>
  <c r="CL144" i="282"/>
  <c r="CL130" i="286"/>
  <c r="CK103" i="315"/>
  <c r="CK108" i="315"/>
  <c r="CK110" i="315"/>
  <c r="CK130" i="315"/>
  <c r="CK33" i="315"/>
  <c r="CK34" i="315"/>
  <c r="CK91" i="315"/>
  <c r="CK92" i="315"/>
  <c r="CK197" i="288"/>
  <c r="CK204" i="288"/>
  <c r="CL122" i="286"/>
  <c r="CK124" i="315"/>
  <c r="CK125" i="315"/>
  <c r="CK131" i="315"/>
  <c r="CF74" i="314"/>
  <c r="CF65" i="314"/>
  <c r="CE469" i="321"/>
  <c r="CE470" i="321"/>
  <c r="CE474" i="321"/>
  <c r="CE475" i="321"/>
  <c r="CE478" i="321"/>
  <c r="CE479" i="321"/>
  <c r="CE465" i="321"/>
  <c r="CE49" i="288"/>
  <c r="CE43" i="288"/>
  <c r="CE23" i="328"/>
  <c r="CE87" i="265"/>
  <c r="CE487" i="321"/>
  <c r="CE480" i="321"/>
  <c r="CE50" i="288"/>
  <c r="CE24" i="328"/>
  <c r="CE486" i="321"/>
  <c r="CE488" i="321"/>
  <c r="CL138" i="286"/>
  <c r="CK207" i="288"/>
  <c r="CK133" i="315"/>
  <c r="CK132" i="315"/>
  <c r="CL502" i="321"/>
  <c r="CL127" i="314"/>
  <c r="CL86" i="286"/>
  <c r="CL142" i="286"/>
  <c r="CL145" i="282"/>
  <c r="CL44" i="315"/>
  <c r="CL45" i="315"/>
  <c r="CL29" i="315"/>
  <c r="CL31" i="315"/>
  <c r="CF483" i="321"/>
  <c r="CE124" i="265"/>
  <c r="CE88" i="265"/>
  <c r="CE89" i="265"/>
  <c r="CE10" i="286"/>
  <c r="CE11" i="286"/>
  <c r="CF452" i="321"/>
  <c r="CF454" i="321"/>
  <c r="CF477" i="321"/>
  <c r="CL139" i="286"/>
  <c r="CL140" i="286"/>
  <c r="CL146" i="286"/>
  <c r="CL123" i="286"/>
  <c r="CL177" i="288"/>
  <c r="CL179" i="288"/>
  <c r="CL63" i="315"/>
  <c r="CL73" i="315"/>
  <c r="CL263" i="288"/>
  <c r="CL235" i="288"/>
  <c r="CL215" i="288"/>
  <c r="CL182" i="288"/>
  <c r="CF455" i="321"/>
  <c r="CF35" i="282"/>
  <c r="CF40" i="282"/>
  <c r="CF468" i="321"/>
  <c r="CF462" i="321"/>
  <c r="CE14" i="286"/>
  <c r="CE16" i="286"/>
  <c r="CE27" i="286"/>
  <c r="CE17" i="286"/>
  <c r="CE28" i="286"/>
  <c r="CE29" i="286"/>
  <c r="CE32" i="286"/>
  <c r="CE34" i="286"/>
  <c r="CE21" i="286"/>
  <c r="CE22" i="286"/>
  <c r="CE51" i="288"/>
  <c r="CF48" i="282"/>
  <c r="CF27" i="265"/>
  <c r="CL237" i="288"/>
  <c r="CL239" i="288"/>
  <c r="CL128" i="314"/>
  <c r="CL130" i="314"/>
  <c r="CL132" i="314"/>
  <c r="CL133" i="314"/>
  <c r="CL143" i="314"/>
  <c r="CL145" i="314"/>
  <c r="CL135" i="314"/>
  <c r="CL137" i="314"/>
  <c r="CF29" i="265"/>
  <c r="AU27" i="277"/>
  <c r="CF19" i="286"/>
  <c r="CE126" i="265"/>
  <c r="CE35" i="286"/>
  <c r="CE39" i="286"/>
  <c r="CE40" i="286"/>
  <c r="CE52" i="288"/>
  <c r="CE91" i="265"/>
  <c r="CF37" i="286"/>
  <c r="CE127" i="265"/>
  <c r="CE92" i="265"/>
  <c r="CE93" i="265"/>
  <c r="CF13" i="286"/>
  <c r="AU29" i="277"/>
  <c r="CF44" i="282"/>
  <c r="CF49" i="282"/>
  <c r="CL139" i="314"/>
  <c r="CL141" i="314"/>
  <c r="CL146" i="314"/>
  <c r="CL161" i="314"/>
  <c r="CL75" i="315"/>
  <c r="CL152" i="314"/>
  <c r="CL154" i="314"/>
  <c r="CF52" i="282"/>
  <c r="CF53" i="282"/>
  <c r="CF55" i="282"/>
  <c r="CF56" i="282"/>
  <c r="CE54" i="286"/>
  <c r="CE75" i="286"/>
  <c r="CE76" i="286"/>
  <c r="CE79" i="286"/>
  <c r="CE80" i="286"/>
  <c r="CF31" i="286"/>
  <c r="CE55" i="286"/>
  <c r="CE47" i="286"/>
  <c r="CE48" i="286"/>
  <c r="CE48" i="288"/>
  <c r="CE42" i="288"/>
  <c r="CE44" i="288"/>
  <c r="CE81" i="286"/>
  <c r="CE25" i="328"/>
  <c r="CE56" i="286"/>
  <c r="CF68" i="282"/>
  <c r="CF62" i="282"/>
  <c r="CF58" i="282"/>
  <c r="CF60" i="282"/>
  <c r="CL76" i="315"/>
  <c r="CL162" i="314"/>
  <c r="CL163" i="314"/>
  <c r="CL78" i="315"/>
  <c r="CL81" i="315"/>
  <c r="CM160" i="314"/>
  <c r="CL107" i="315"/>
  <c r="CF63" i="282"/>
  <c r="CF69" i="282"/>
  <c r="CF64" i="282"/>
  <c r="CF70" i="282"/>
  <c r="CG67" i="282"/>
  <c r="CF53" i="286"/>
  <c r="CE58" i="286"/>
  <c r="CE64" i="286"/>
  <c r="CE107" i="265"/>
  <c r="CE35" i="265"/>
  <c r="CE95" i="265"/>
  <c r="CE47" i="288"/>
  <c r="CE54" i="288"/>
  <c r="CF45" i="286"/>
  <c r="CE128" i="265"/>
  <c r="CE129" i="265"/>
  <c r="CE135" i="265"/>
  <c r="CF70" i="286"/>
  <c r="CE57" i="288"/>
  <c r="CE96" i="265"/>
  <c r="CE36" i="265"/>
  <c r="CE59" i="328"/>
  <c r="CE112" i="265"/>
  <c r="CE114" i="265"/>
  <c r="CE134" i="265"/>
  <c r="CF458" i="321"/>
  <c r="CF48" i="314"/>
  <c r="CF9" i="286"/>
  <c r="CF74" i="286"/>
  <c r="CG59" i="282"/>
  <c r="CF75" i="282"/>
  <c r="CF76" i="282"/>
  <c r="CM116" i="314"/>
  <c r="CM119" i="314"/>
  <c r="CM140" i="314"/>
  <c r="CL503" i="321"/>
  <c r="CL504" i="321"/>
  <c r="CL507" i="321"/>
  <c r="CL508" i="321"/>
  <c r="CL517" i="321"/>
  <c r="CM122" i="314"/>
  <c r="CM124" i="314"/>
  <c r="CM149" i="314"/>
  <c r="CM150" i="314"/>
  <c r="CF77" i="282"/>
  <c r="CE137" i="265"/>
  <c r="CE136" i="265"/>
  <c r="CF46" i="265"/>
  <c r="CF31" i="265"/>
  <c r="CM153" i="314"/>
  <c r="CM144" i="314"/>
  <c r="CL513" i="321"/>
  <c r="CL514" i="321"/>
  <c r="CL518" i="321"/>
  <c r="CL519" i="321"/>
  <c r="CL522" i="321"/>
  <c r="CL523" i="321"/>
  <c r="CL509" i="321"/>
  <c r="CL199" i="288"/>
  <c r="CL193" i="288"/>
  <c r="CL83" i="315"/>
  <c r="CL531" i="321"/>
  <c r="CL524" i="321"/>
  <c r="CL200" i="288"/>
  <c r="CL530" i="321"/>
  <c r="CL532" i="321"/>
  <c r="AU31" i="277"/>
  <c r="CF33" i="265"/>
  <c r="CF47" i="265"/>
  <c r="AU46" i="277"/>
  <c r="AU47" i="277"/>
  <c r="CF27" i="288"/>
  <c r="CF29" i="288"/>
  <c r="CF65" i="265"/>
  <c r="CF71" i="286"/>
  <c r="CF72" i="286"/>
  <c r="CF78" i="286"/>
  <c r="CF46" i="286"/>
  <c r="AU33" i="277"/>
  <c r="CM527" i="321"/>
  <c r="CL120" i="315"/>
  <c r="CL84" i="315"/>
  <c r="CL85" i="315"/>
  <c r="CL87" i="286"/>
  <c r="CL88" i="286"/>
  <c r="CM496" i="321"/>
  <c r="CM498" i="321"/>
  <c r="CM521" i="321"/>
  <c r="CF77" i="265"/>
  <c r="CF113" i="288"/>
  <c r="CF10" i="321"/>
  <c r="CF12" i="321"/>
  <c r="CF85" i="288"/>
  <c r="CF20" i="328"/>
  <c r="CF65" i="288"/>
  <c r="CF32" i="288"/>
  <c r="AU65" i="277"/>
  <c r="AU77" i="277"/>
  <c r="CF87" i="288"/>
  <c r="CF89" i="288"/>
  <c r="CF39" i="311"/>
  <c r="CF49" i="314"/>
  <c r="CF51" i="314"/>
  <c r="CM499" i="321"/>
  <c r="CM103" i="282"/>
  <c r="CM108" i="282"/>
  <c r="CM512" i="321"/>
  <c r="CM506" i="321"/>
  <c r="CL91" i="286"/>
  <c r="CL93" i="286"/>
  <c r="CL104" i="286"/>
  <c r="CL94" i="286"/>
  <c r="CL105" i="286"/>
  <c r="CL106" i="286"/>
  <c r="CL109" i="286"/>
  <c r="CL111" i="286"/>
  <c r="CL98" i="286"/>
  <c r="CL99" i="286"/>
  <c r="CL201" i="288"/>
  <c r="CM116" i="282"/>
  <c r="CM25" i="315"/>
  <c r="CM27" i="315"/>
  <c r="CF53" i="314"/>
  <c r="CF54" i="314"/>
  <c r="CF64" i="314"/>
  <c r="CF66" i="314"/>
  <c r="CF56" i="314"/>
  <c r="CF58" i="314"/>
  <c r="CF80" i="311"/>
  <c r="CF60" i="314"/>
  <c r="CF62" i="314"/>
  <c r="CF67" i="314"/>
  <c r="CF82" i="314"/>
  <c r="CM112" i="282"/>
  <c r="CM117" i="282"/>
  <c r="CM96" i="286"/>
  <c r="CL122" i="315"/>
  <c r="CL112" i="286"/>
  <c r="CL116" i="286"/>
  <c r="CL117" i="286"/>
  <c r="CL202" i="288"/>
  <c r="CL87" i="315"/>
  <c r="CM114" i="286"/>
  <c r="CL123" i="315"/>
  <c r="CL88" i="315"/>
  <c r="CL89" i="315"/>
  <c r="CM90" i="286"/>
  <c r="CM120" i="282"/>
  <c r="CM121" i="282"/>
  <c r="CM123" i="282"/>
  <c r="CM124" i="282"/>
  <c r="CF79" i="265"/>
  <c r="CF73" i="314"/>
  <c r="CF75" i="314"/>
  <c r="CF80" i="265"/>
  <c r="AU80" i="277"/>
  <c r="CF83" i="314"/>
  <c r="CF84" i="314"/>
  <c r="AU79" i="277"/>
  <c r="CF82" i="265"/>
  <c r="CM136" i="282"/>
  <c r="CM130" i="282"/>
  <c r="CM126" i="282"/>
  <c r="CM128" i="282"/>
  <c r="CL131" i="286"/>
  <c r="CL143" i="286"/>
  <c r="CL144" i="286"/>
  <c r="CL147" i="286"/>
  <c r="CL148" i="286"/>
  <c r="CM108" i="286"/>
  <c r="CL132" i="286"/>
  <c r="CL124" i="286"/>
  <c r="CL125" i="286"/>
  <c r="CL198" i="288"/>
  <c r="CL192" i="288"/>
  <c r="CL194" i="288"/>
  <c r="CL149" i="286"/>
  <c r="CL133" i="286"/>
  <c r="CM131" i="282"/>
  <c r="CM137" i="282"/>
  <c r="CM132" i="282"/>
  <c r="CM138" i="282"/>
  <c r="CN135" i="282"/>
  <c r="CF85" i="265"/>
  <c r="AU82" i="277"/>
  <c r="CG81" i="314"/>
  <c r="CF111" i="265"/>
  <c r="CF87" i="314"/>
  <c r="CF90" i="314"/>
  <c r="CF60" i="328"/>
  <c r="AU111" i="277"/>
  <c r="CG37" i="314"/>
  <c r="CG40" i="314"/>
  <c r="CG61" i="314"/>
  <c r="AU85" i="277"/>
  <c r="CF459" i="321"/>
  <c r="CF460" i="321"/>
  <c r="CN127" i="282"/>
  <c r="CM143" i="282"/>
  <c r="CM144" i="282"/>
  <c r="CM130" i="286"/>
  <c r="CL103" i="315"/>
  <c r="CL108" i="315"/>
  <c r="CL110" i="315"/>
  <c r="CL130" i="315"/>
  <c r="CL33" i="315"/>
  <c r="CL34" i="315"/>
  <c r="CL91" i="315"/>
  <c r="CL92" i="315"/>
  <c r="CL197" i="288"/>
  <c r="CL204" i="288"/>
  <c r="CM122" i="286"/>
  <c r="CL124" i="315"/>
  <c r="CL125" i="315"/>
  <c r="CL131" i="315"/>
  <c r="CM138" i="286"/>
  <c r="CL207" i="288"/>
  <c r="CL133" i="315"/>
  <c r="CL132" i="315"/>
  <c r="CM502" i="321"/>
  <c r="CM127" i="314"/>
  <c r="CM86" i="286"/>
  <c r="CM142" i="286"/>
  <c r="CM145" i="282"/>
  <c r="CF463" i="321"/>
  <c r="CF464" i="321"/>
  <c r="CF473" i="321"/>
  <c r="CG43" i="314"/>
  <c r="CG45" i="314"/>
  <c r="CG70" i="314"/>
  <c r="CG71" i="314"/>
  <c r="CG74" i="314"/>
  <c r="CG65" i="314"/>
  <c r="CF469" i="321"/>
  <c r="CF470" i="321"/>
  <c r="CF474" i="321"/>
  <c r="CF475" i="321"/>
  <c r="CF478" i="321"/>
  <c r="CF479" i="321"/>
  <c r="CF465" i="321"/>
  <c r="CF49" i="288"/>
  <c r="CF43" i="288"/>
  <c r="CF23" i="328"/>
  <c r="CM44" i="315"/>
  <c r="CM45" i="315"/>
  <c r="CM29" i="315"/>
  <c r="CM31" i="315"/>
  <c r="CM139" i="286"/>
  <c r="CM140" i="286"/>
  <c r="CM146" i="286"/>
  <c r="CM123" i="286"/>
  <c r="CM177" i="288"/>
  <c r="CM179" i="288"/>
  <c r="CM63" i="315"/>
  <c r="CF87" i="265"/>
  <c r="CF487" i="321"/>
  <c r="CF480" i="321"/>
  <c r="CF50" i="288"/>
  <c r="CF24" i="328"/>
  <c r="CF486" i="321"/>
  <c r="CF488" i="321"/>
  <c r="CG483" i="321"/>
  <c r="CF124" i="265"/>
  <c r="CF88" i="265"/>
  <c r="AU88" i="277"/>
  <c r="AU87" i="277"/>
  <c r="CF89" i="265"/>
  <c r="CM73" i="315"/>
  <c r="CM263" i="288"/>
  <c r="CM235" i="288"/>
  <c r="CM215" i="288"/>
  <c r="CM182" i="288"/>
  <c r="CM237" i="288"/>
  <c r="CM239" i="288"/>
  <c r="CM128" i="314"/>
  <c r="CM130" i="314"/>
  <c r="CF10" i="286"/>
  <c r="CF11" i="286"/>
  <c r="AU89" i="277"/>
  <c r="AU124" i="277"/>
  <c r="CG452" i="321"/>
  <c r="CG454" i="321"/>
  <c r="CG477" i="321"/>
  <c r="CG455" i="321"/>
  <c r="CG35" i="282"/>
  <c r="CG40" i="282"/>
  <c r="CG468" i="321"/>
  <c r="CG462" i="321"/>
  <c r="CF14" i="286"/>
  <c r="CF16" i="286"/>
  <c r="CF27" i="286"/>
  <c r="CM132" i="314"/>
  <c r="CM133" i="314"/>
  <c r="CM143" i="314"/>
  <c r="CM145" i="314"/>
  <c r="CM135" i="314"/>
  <c r="CM137" i="314"/>
  <c r="CM139" i="314"/>
  <c r="CM141" i="314"/>
  <c r="CM146" i="314"/>
  <c r="CM161" i="314"/>
  <c r="CF17" i="286"/>
  <c r="CF28" i="286"/>
  <c r="CF29" i="286"/>
  <c r="CF32" i="286"/>
  <c r="CF34" i="286"/>
  <c r="CF21" i="286"/>
  <c r="CF22" i="286"/>
  <c r="CF51" i="288"/>
  <c r="CG48" i="282"/>
  <c r="CG27" i="265"/>
  <c r="CG29" i="265"/>
  <c r="CG19" i="286"/>
  <c r="CF126" i="265"/>
  <c r="CF35" i="286"/>
  <c r="CF39" i="286"/>
  <c r="CF40" i="286"/>
  <c r="CF52" i="288"/>
  <c r="CF91" i="265"/>
  <c r="CM75" i="315"/>
  <c r="CM152" i="314"/>
  <c r="CM154" i="314"/>
  <c r="CM76" i="315"/>
  <c r="CM162" i="314"/>
  <c r="CM163" i="314"/>
  <c r="CM78" i="315"/>
  <c r="AU91" i="277"/>
  <c r="CG37" i="286"/>
  <c r="CF127" i="265"/>
  <c r="AU127" i="277"/>
  <c r="CF92" i="265"/>
  <c r="CF93" i="265"/>
  <c r="AU126" i="277"/>
  <c r="CG13" i="286"/>
  <c r="CG44" i="282"/>
  <c r="CG49" i="282"/>
  <c r="CG52" i="282"/>
  <c r="CG53" i="282"/>
  <c r="CG55" i="282"/>
  <c r="CG56" i="282"/>
  <c r="CF54" i="286"/>
  <c r="CF75" i="286"/>
  <c r="CF76" i="286"/>
  <c r="CF79" i="286"/>
  <c r="CF80" i="286"/>
  <c r="CG31" i="286"/>
  <c r="AU93" i="277"/>
  <c r="CM81" i="315"/>
  <c r="CN160" i="314"/>
  <c r="CM107" i="315"/>
  <c r="CN116" i="314"/>
  <c r="CN119" i="314"/>
  <c r="CN140" i="314"/>
  <c r="CM503" i="321"/>
  <c r="CM504" i="321"/>
  <c r="CF55" i="286"/>
  <c r="CF47" i="286"/>
  <c r="CF48" i="286"/>
  <c r="CF48" i="288"/>
  <c r="CF42" i="288"/>
  <c r="CF44" i="288"/>
  <c r="CF81" i="286"/>
  <c r="CF25" i="328"/>
  <c r="CF56" i="286"/>
  <c r="CG68" i="282"/>
  <c r="CG62" i="282"/>
  <c r="CG58" i="282"/>
  <c r="CG60" i="282"/>
  <c r="CG63" i="282"/>
  <c r="CG69" i="282"/>
  <c r="CG64" i="282"/>
  <c r="CG70" i="282"/>
  <c r="CH67" i="282"/>
  <c r="CG53" i="286"/>
  <c r="CF58" i="286"/>
  <c r="CF64" i="286"/>
  <c r="CF107" i="265"/>
  <c r="CF35" i="265"/>
  <c r="CF95" i="265"/>
  <c r="CF47" i="288"/>
  <c r="CF54" i="288"/>
  <c r="CG45" i="286"/>
  <c r="CF128" i="265"/>
  <c r="CM507" i="321"/>
  <c r="CM508" i="321"/>
  <c r="CM517" i="321"/>
  <c r="CN122" i="314"/>
  <c r="CN124" i="314"/>
  <c r="CN149" i="314"/>
  <c r="CN150" i="314"/>
  <c r="CN153" i="314"/>
  <c r="CN144" i="314"/>
  <c r="CM513" i="321"/>
  <c r="CM514" i="321"/>
  <c r="CM518" i="321"/>
  <c r="CM519" i="321"/>
  <c r="CM522" i="321"/>
  <c r="CM523" i="321"/>
  <c r="CM509" i="321"/>
  <c r="CM199" i="288"/>
  <c r="CM193" i="288"/>
  <c r="AU128" i="277"/>
  <c r="AU129" i="277"/>
  <c r="AU135" i="277"/>
  <c r="CF129" i="265"/>
  <c r="CF135" i="265"/>
  <c r="CG70" i="286"/>
  <c r="CF57" i="288"/>
  <c r="AU95" i="277"/>
  <c r="CF96" i="265"/>
  <c r="AU35" i="277"/>
  <c r="CF36" i="265"/>
  <c r="CF59" i="328"/>
  <c r="AU107" i="277"/>
  <c r="AU112" i="277"/>
  <c r="AU114" i="277"/>
  <c r="AU134" i="277"/>
  <c r="CF112" i="265"/>
  <c r="CF114" i="265"/>
  <c r="CF134" i="265"/>
  <c r="CG458" i="321"/>
  <c r="CG48" i="314"/>
  <c r="CG9" i="286"/>
  <c r="CG74" i="286"/>
  <c r="CH59" i="282"/>
  <c r="CG75" i="282"/>
  <c r="CG76" i="282"/>
  <c r="CG77" i="282"/>
  <c r="CF137" i="265"/>
  <c r="CF136" i="265"/>
  <c r="AU137" i="277"/>
  <c r="AU136" i="277"/>
  <c r="AU36" i="277"/>
  <c r="AU96" i="277"/>
  <c r="CM83" i="315"/>
  <c r="CM531" i="321"/>
  <c r="CM524" i="321"/>
  <c r="CM200" i="288"/>
  <c r="CM530" i="321"/>
  <c r="CM532" i="321"/>
  <c r="CN527" i="321"/>
  <c r="CM120" i="315"/>
  <c r="CM84" i="315"/>
  <c r="CM85" i="315"/>
  <c r="CG46" i="265"/>
  <c r="CG31" i="265"/>
  <c r="CG33" i="265"/>
  <c r="CG47" i="265"/>
  <c r="CM87" i="286"/>
  <c r="CM88" i="286"/>
  <c r="CN496" i="321"/>
  <c r="CN498" i="321"/>
  <c r="CN521" i="321"/>
  <c r="CN499" i="321"/>
  <c r="CN103" i="282"/>
  <c r="CN108" i="282"/>
  <c r="CN512" i="321"/>
  <c r="CN506" i="321"/>
  <c r="CM91" i="286"/>
  <c r="CM93" i="286"/>
  <c r="CM104" i="286"/>
  <c r="CG27" i="288"/>
  <c r="CG29" i="288"/>
  <c r="CG65" i="265"/>
  <c r="CG71" i="286"/>
  <c r="CG72" i="286"/>
  <c r="CG78" i="286"/>
  <c r="CG46" i="286"/>
  <c r="CG77" i="265"/>
  <c r="CG113" i="288"/>
  <c r="CG10" i="321"/>
  <c r="CG12" i="321"/>
  <c r="CG85" i="288"/>
  <c r="CG65" i="288"/>
  <c r="CG20" i="328"/>
  <c r="CG32" i="288"/>
  <c r="CM94" i="286"/>
  <c r="CM105" i="286"/>
  <c r="CM106" i="286"/>
  <c r="CM109" i="286"/>
  <c r="CM111" i="286"/>
  <c r="CM98" i="286"/>
  <c r="CM99" i="286"/>
  <c r="CM201" i="288"/>
  <c r="CN116" i="282"/>
  <c r="CN25" i="315"/>
  <c r="CN27" i="315"/>
  <c r="CN112" i="282"/>
  <c r="CN117" i="282"/>
  <c r="CN96" i="286"/>
  <c r="CM122" i="315"/>
  <c r="CM112" i="286"/>
  <c r="CM116" i="286"/>
  <c r="CM117" i="286"/>
  <c r="CM202" i="288"/>
  <c r="CM87" i="315"/>
  <c r="CG87" i="288"/>
  <c r="CG89" i="288"/>
  <c r="CG39" i="311"/>
  <c r="CG49" i="314"/>
  <c r="CG51" i="314"/>
  <c r="CG53" i="314"/>
  <c r="CG54" i="314"/>
  <c r="CG64" i="314"/>
  <c r="CG66" i="314"/>
  <c r="CG56" i="314"/>
  <c r="CG58" i="314"/>
  <c r="CG80" i="311"/>
  <c r="CN114" i="286"/>
  <c r="CM123" i="315"/>
  <c r="CM88" i="315"/>
  <c r="CM89" i="315"/>
  <c r="CN90" i="286"/>
  <c r="CN120" i="282"/>
  <c r="CN121" i="282"/>
  <c r="CN123" i="282"/>
  <c r="CN124" i="282"/>
  <c r="CN136" i="282"/>
  <c r="CN130" i="282"/>
  <c r="CN126" i="282"/>
  <c r="CN128" i="282"/>
  <c r="CM131" i="286"/>
  <c r="CM143" i="286"/>
  <c r="CM144" i="286"/>
  <c r="CM147" i="286"/>
  <c r="CM148" i="286"/>
  <c r="CN108" i="286"/>
  <c r="CG60" i="314"/>
  <c r="CG62" i="314"/>
  <c r="CG67" i="314"/>
  <c r="CG82" i="314"/>
  <c r="CG79" i="265"/>
  <c r="CG73" i="314"/>
  <c r="CG75" i="314"/>
  <c r="CM132" i="286"/>
  <c r="CM124" i="286"/>
  <c r="CM125" i="286"/>
  <c r="CM198" i="288"/>
  <c r="CM192" i="288"/>
  <c r="CM194" i="288"/>
  <c r="CM149" i="286"/>
  <c r="CM133" i="286"/>
  <c r="CN131" i="282"/>
  <c r="CN137" i="282"/>
  <c r="CN132" i="282"/>
  <c r="CN138" i="282"/>
  <c r="CO135" i="282"/>
  <c r="CO127" i="282"/>
  <c r="CN143" i="282"/>
  <c r="CN144" i="282"/>
  <c r="CN130" i="286"/>
  <c r="CM103" i="315"/>
  <c r="CM108" i="315"/>
  <c r="CM110" i="315"/>
  <c r="CM130" i="315"/>
  <c r="CM33" i="315"/>
  <c r="CM34" i="315"/>
  <c r="CM91" i="315"/>
  <c r="CM92" i="315"/>
  <c r="CM197" i="288"/>
  <c r="CM204" i="288"/>
  <c r="CN122" i="286"/>
  <c r="CM124" i="315"/>
  <c r="CM125" i="315"/>
  <c r="CM131" i="315"/>
  <c r="CG80" i="265"/>
  <c r="CG83" i="314"/>
  <c r="CG84" i="314"/>
  <c r="CG82" i="265"/>
  <c r="CG85" i="265"/>
  <c r="CH81" i="314"/>
  <c r="CG111" i="265"/>
  <c r="CG60" i="328"/>
  <c r="CG87" i="314"/>
  <c r="CG90" i="314"/>
  <c r="CN138" i="286"/>
  <c r="CM207" i="288"/>
  <c r="CM133" i="315"/>
  <c r="CM132" i="315"/>
  <c r="CN502" i="321"/>
  <c r="CN127" i="314"/>
  <c r="CN86" i="286"/>
  <c r="CN142" i="286"/>
  <c r="CN145" i="282"/>
  <c r="CN44" i="315"/>
  <c r="CN45" i="315"/>
  <c r="CN29" i="315"/>
  <c r="CN31" i="315"/>
  <c r="CH37" i="314"/>
  <c r="CH40" i="314"/>
  <c r="CH61" i="314"/>
  <c r="CG459" i="321"/>
  <c r="CG460" i="321"/>
  <c r="CG463" i="321"/>
  <c r="CG464" i="321"/>
  <c r="CG473" i="321"/>
  <c r="CH43" i="314"/>
  <c r="CH45" i="314"/>
  <c r="CH70" i="314"/>
  <c r="CH71" i="314"/>
  <c r="CN139" i="286"/>
  <c r="CN140" i="286"/>
  <c r="CN146" i="286"/>
  <c r="CN123" i="286"/>
  <c r="CN177" i="288"/>
  <c r="CN179" i="288"/>
  <c r="CN63" i="315"/>
  <c r="CN73" i="315"/>
  <c r="CN263" i="288"/>
  <c r="CN235" i="288"/>
  <c r="CN215" i="288"/>
  <c r="CN182" i="288"/>
  <c r="CH74" i="314"/>
  <c r="CH65" i="314"/>
  <c r="CG469" i="321"/>
  <c r="CG470" i="321"/>
  <c r="CG474" i="321"/>
  <c r="CG475" i="321"/>
  <c r="CG478" i="321"/>
  <c r="CG479" i="321"/>
  <c r="CG465" i="321"/>
  <c r="CG49" i="288"/>
  <c r="CG43" i="288"/>
  <c r="CG23" i="328"/>
  <c r="CG87" i="265"/>
  <c r="CG487" i="321"/>
  <c r="CG480" i="321"/>
  <c r="CG50" i="288"/>
  <c r="CG24" i="328"/>
  <c r="CG486" i="321"/>
  <c r="CG488" i="321"/>
  <c r="CN237" i="288"/>
  <c r="CN239" i="288"/>
  <c r="CN128" i="314"/>
  <c r="CN130" i="314"/>
  <c r="CN132" i="314"/>
  <c r="CN133" i="314"/>
  <c r="CN143" i="314"/>
  <c r="CN145" i="314"/>
  <c r="CN135" i="314"/>
  <c r="CN137" i="314"/>
  <c r="CH483" i="321"/>
  <c r="CG124" i="265"/>
  <c r="CG88" i="265"/>
  <c r="CG89" i="265"/>
  <c r="CG10" i="286"/>
  <c r="CG11" i="286"/>
  <c r="CH452" i="321"/>
  <c r="CH454" i="321"/>
  <c r="CH477" i="321"/>
  <c r="CN139" i="314"/>
  <c r="CN141" i="314"/>
  <c r="CN146" i="314"/>
  <c r="CN161" i="314"/>
  <c r="CN75" i="315"/>
  <c r="CN152" i="314"/>
  <c r="CN154" i="314"/>
  <c r="CH455" i="321"/>
  <c r="CH35" i="282"/>
  <c r="CH40" i="282"/>
  <c r="CH468" i="321"/>
  <c r="CH462" i="321"/>
  <c r="CG14" i="286"/>
  <c r="CG16" i="286"/>
  <c r="CG27" i="286"/>
  <c r="CG17" i="286"/>
  <c r="CG28" i="286"/>
  <c r="CG29" i="286"/>
  <c r="CG32" i="286"/>
  <c r="CG34" i="286"/>
  <c r="CG21" i="286"/>
  <c r="CG22" i="286"/>
  <c r="CG51" i="288"/>
  <c r="CH48" i="282"/>
  <c r="CH27" i="265"/>
  <c r="CN76" i="315"/>
  <c r="CN162" i="314"/>
  <c r="CN163" i="314"/>
  <c r="CN78" i="315"/>
  <c r="CN81" i="315"/>
  <c r="CO160" i="314"/>
  <c r="CN107" i="315"/>
  <c r="CH29" i="265"/>
  <c r="AV27" i="277"/>
  <c r="CH19" i="286"/>
  <c r="CG126" i="265"/>
  <c r="CG35" i="286"/>
  <c r="CG39" i="286"/>
  <c r="CG40" i="286"/>
  <c r="CG52" i="288"/>
  <c r="CG91" i="265"/>
  <c r="CH37" i="286"/>
  <c r="CG127" i="265"/>
  <c r="CG92" i="265"/>
  <c r="CG93" i="265"/>
  <c r="CH13" i="286"/>
  <c r="AV29" i="277"/>
  <c r="CH44" i="282"/>
  <c r="CH49" i="282"/>
  <c r="CO116" i="314"/>
  <c r="CO119" i="314"/>
  <c r="CO140" i="314"/>
  <c r="CN503" i="321"/>
  <c r="CN504" i="321"/>
  <c r="CN507" i="321"/>
  <c r="CN508" i="321"/>
  <c r="CN517" i="321"/>
  <c r="CO122" i="314"/>
  <c r="CO124" i="314"/>
  <c r="CO149" i="314"/>
  <c r="CO150" i="314"/>
  <c r="CH52" i="282"/>
  <c r="CH53" i="282"/>
  <c r="CH55" i="282"/>
  <c r="CH56" i="282"/>
  <c r="CG54" i="286"/>
  <c r="CG75" i="286"/>
  <c r="CG76" i="286"/>
  <c r="CG79" i="286"/>
  <c r="CG80" i="286"/>
  <c r="CH31" i="286"/>
  <c r="CG55" i="286"/>
  <c r="CG47" i="286"/>
  <c r="CG48" i="286"/>
  <c r="CG48" i="288"/>
  <c r="CG42" i="288"/>
  <c r="CG44" i="288"/>
  <c r="CG81" i="286"/>
  <c r="CG25" i="328"/>
  <c r="CG56" i="286"/>
  <c r="CH68" i="282"/>
  <c r="CH62" i="282"/>
  <c r="CH58" i="282"/>
  <c r="CH60" i="282"/>
  <c r="CO153" i="314"/>
  <c r="CO144" i="314"/>
  <c r="CN513" i="321"/>
  <c r="CN514" i="321"/>
  <c r="CN518" i="321"/>
  <c r="CN519" i="321"/>
  <c r="CN522" i="321"/>
  <c r="CN523" i="321"/>
  <c r="CN509" i="321"/>
  <c r="CN199" i="288"/>
  <c r="CN193" i="288"/>
  <c r="CN83" i="315"/>
  <c r="CN531" i="321"/>
  <c r="CN524" i="321"/>
  <c r="CN200" i="288"/>
  <c r="CN530" i="321"/>
  <c r="CN532" i="321"/>
  <c r="CH63" i="282"/>
  <c r="CH69" i="282"/>
  <c r="CH64" i="282"/>
  <c r="CH70" i="282"/>
  <c r="CI67" i="282"/>
  <c r="CH53" i="286"/>
  <c r="CG58" i="286"/>
  <c r="CG64" i="286"/>
  <c r="CG107" i="265"/>
  <c r="CG35" i="265"/>
  <c r="CG95" i="265"/>
  <c r="CG47" i="288"/>
  <c r="CG54" i="288"/>
  <c r="CH45" i="286"/>
  <c r="CG128" i="265"/>
  <c r="CG129" i="265"/>
  <c r="CG135" i="265"/>
  <c r="CH70" i="286"/>
  <c r="CG57" i="288"/>
  <c r="CG96" i="265"/>
  <c r="CG36" i="265"/>
  <c r="CG59" i="328"/>
  <c r="CG112" i="265"/>
  <c r="CG114" i="265"/>
  <c r="CG134" i="265"/>
  <c r="CH458" i="321"/>
  <c r="CH48" i="314"/>
  <c r="CH9" i="286"/>
  <c r="CH74" i="286"/>
  <c r="CI59" i="282"/>
  <c r="CH75" i="282"/>
  <c r="CH76" i="282"/>
  <c r="CO527" i="321"/>
  <c r="CN120" i="315"/>
  <c r="CN84" i="315"/>
  <c r="CN85" i="315"/>
  <c r="CN87" i="286"/>
  <c r="CN88" i="286"/>
  <c r="CO496" i="321"/>
  <c r="CO498" i="321"/>
  <c r="CO521" i="321"/>
  <c r="CH77" i="282"/>
  <c r="CG137" i="265"/>
  <c r="CG136" i="265"/>
  <c r="CH46" i="265"/>
  <c r="CH31" i="265"/>
  <c r="CO499" i="321"/>
  <c r="CO103" i="282"/>
  <c r="CO108" i="282"/>
  <c r="CO512" i="321"/>
  <c r="CO506" i="321"/>
  <c r="CN91" i="286"/>
  <c r="CN93" i="286"/>
  <c r="CN104" i="286"/>
  <c r="CN94" i="286"/>
  <c r="CN105" i="286"/>
  <c r="CN106" i="286"/>
  <c r="CN109" i="286"/>
  <c r="CN111" i="286"/>
  <c r="CN98" i="286"/>
  <c r="CN99" i="286"/>
  <c r="CN201" i="288"/>
  <c r="CO116" i="282"/>
  <c r="CO25" i="315"/>
  <c r="CO27" i="315"/>
  <c r="AV31" i="277"/>
  <c r="CH33" i="265"/>
  <c r="CH47" i="265"/>
  <c r="AV46" i="277"/>
  <c r="AV47" i="277"/>
  <c r="CH27" i="288"/>
  <c r="CH29" i="288"/>
  <c r="CH65" i="265"/>
  <c r="CH71" i="286"/>
  <c r="CH72" i="286"/>
  <c r="CH78" i="286"/>
  <c r="CH46" i="286"/>
  <c r="AV33" i="277"/>
  <c r="CO112" i="282"/>
  <c r="CO117" i="282"/>
  <c r="CO96" i="286"/>
  <c r="CN122" i="315"/>
  <c r="CN112" i="286"/>
  <c r="CN116" i="286"/>
  <c r="CN117" i="286"/>
  <c r="CN202" i="288"/>
  <c r="CN87" i="315"/>
  <c r="CO114" i="286"/>
  <c r="CN123" i="315"/>
  <c r="CN88" i="315"/>
  <c r="CN89" i="315"/>
  <c r="CO90" i="286"/>
  <c r="CO120" i="282"/>
  <c r="CO121" i="282"/>
  <c r="CO123" i="282"/>
  <c r="CO124" i="282"/>
  <c r="CH77" i="265"/>
  <c r="CH113" i="288"/>
  <c r="CH10" i="321"/>
  <c r="CH12" i="321"/>
  <c r="CH85" i="288"/>
  <c r="CH65" i="288"/>
  <c r="CH20" i="328"/>
  <c r="CH32" i="288"/>
  <c r="AV65" i="277"/>
  <c r="AV77" i="277"/>
  <c r="CH87" i="288"/>
  <c r="CH89" i="288"/>
  <c r="CH39" i="311"/>
  <c r="CH49" i="314"/>
  <c r="CH51" i="314"/>
  <c r="CO136" i="282"/>
  <c r="CO130" i="282"/>
  <c r="CO126" i="282"/>
  <c r="CO128" i="282"/>
  <c r="CN131" i="286"/>
  <c r="CN143" i="286"/>
  <c r="CN144" i="286"/>
  <c r="CN147" i="286"/>
  <c r="CN148" i="286"/>
  <c r="CO108" i="286"/>
  <c r="CN132" i="286"/>
  <c r="CN124" i="286"/>
  <c r="CN125" i="286"/>
  <c r="CN198" i="288"/>
  <c r="CN192" i="288"/>
  <c r="CN194" i="288"/>
  <c r="CN149" i="286"/>
  <c r="CN133" i="286"/>
  <c r="CO131" i="282"/>
  <c r="CO137" i="282"/>
  <c r="CO132" i="282"/>
  <c r="CO138" i="282"/>
  <c r="CP135" i="282"/>
  <c r="CH53" i="314"/>
  <c r="CH54" i="314"/>
  <c r="CH64" i="314"/>
  <c r="CH66" i="314"/>
  <c r="CH56" i="314"/>
  <c r="CH58" i="314"/>
  <c r="CH80" i="311"/>
  <c r="CH60" i="314"/>
  <c r="CH62" i="314"/>
  <c r="CH67" i="314"/>
  <c r="CH82" i="314"/>
  <c r="CP127" i="282"/>
  <c r="CO143" i="282"/>
  <c r="CO144" i="282"/>
  <c r="CO130" i="286"/>
  <c r="CN103" i="315"/>
  <c r="CN108" i="315"/>
  <c r="CN110" i="315"/>
  <c r="CN130" i="315"/>
  <c r="CN33" i="315"/>
  <c r="CN34" i="315"/>
  <c r="CN91" i="315"/>
  <c r="CN92" i="315"/>
  <c r="CN197" i="288"/>
  <c r="CN204" i="288"/>
  <c r="CO122" i="286"/>
  <c r="CN124" i="315"/>
  <c r="CN125" i="315"/>
  <c r="CN131" i="315"/>
  <c r="CO138" i="286"/>
  <c r="CN207" i="288"/>
  <c r="CN133" i="315"/>
  <c r="CN132" i="315"/>
  <c r="CO502" i="321"/>
  <c r="CO127" i="314"/>
  <c r="CO86" i="286"/>
  <c r="CO142" i="286"/>
  <c r="CO145" i="282"/>
  <c r="CH79" i="265"/>
  <c r="CH73" i="314"/>
  <c r="CH75" i="314"/>
  <c r="CH80" i="265"/>
  <c r="AV80" i="277"/>
  <c r="CH83" i="314"/>
  <c r="CH84" i="314"/>
  <c r="AV79" i="277"/>
  <c r="CH82" i="265"/>
  <c r="CO44" i="315"/>
  <c r="CO45" i="315"/>
  <c r="CO29" i="315"/>
  <c r="CO31" i="315"/>
  <c r="CO139" i="286"/>
  <c r="CO140" i="286"/>
  <c r="CO146" i="286"/>
  <c r="CO123" i="286"/>
  <c r="CO177" i="288"/>
  <c r="CO179" i="288"/>
  <c r="CO63" i="315"/>
  <c r="CH85" i="265"/>
  <c r="AV82" i="277"/>
  <c r="CI81" i="314"/>
  <c r="CH111" i="265"/>
  <c r="CH87" i="314"/>
  <c r="CH90" i="314"/>
  <c r="CH60" i="328"/>
  <c r="AV111" i="277"/>
  <c r="CI37" i="314"/>
  <c r="CI40" i="314"/>
  <c r="CI61" i="314"/>
  <c r="AV85" i="277"/>
  <c r="CH459" i="321"/>
  <c r="CH460" i="321"/>
  <c r="CO73" i="315"/>
  <c r="CO263" i="288"/>
  <c r="CO235" i="288"/>
  <c r="CO215" i="288"/>
  <c r="CO182" i="288"/>
  <c r="CO237" i="288"/>
  <c r="CO239" i="288"/>
  <c r="CO128" i="314"/>
  <c r="CO130" i="314"/>
  <c r="CH463" i="321"/>
  <c r="CH464" i="321"/>
  <c r="CH473" i="321"/>
  <c r="CI43" i="314"/>
  <c r="CI45" i="314"/>
  <c r="CI70" i="314"/>
  <c r="CI71" i="314"/>
  <c r="CI74" i="314"/>
  <c r="CI65" i="314"/>
  <c r="CH469" i="321"/>
  <c r="CH470" i="321"/>
  <c r="CH474" i="321"/>
  <c r="CH475" i="321"/>
  <c r="CH478" i="321"/>
  <c r="CH479" i="321"/>
  <c r="CH465" i="321"/>
  <c r="CH49" i="288"/>
  <c r="CH43" i="288"/>
  <c r="CH23" i="328"/>
  <c r="CO132" i="314"/>
  <c r="CO133" i="314"/>
  <c r="CO143" i="314"/>
  <c r="CO145" i="314"/>
  <c r="CO135" i="314"/>
  <c r="CO137" i="314"/>
  <c r="CO139" i="314"/>
  <c r="CO141" i="314"/>
  <c r="CO146" i="314"/>
  <c r="CO161" i="314"/>
  <c r="CH87" i="265"/>
  <c r="CH487" i="321"/>
  <c r="CH480" i="321"/>
  <c r="CH50" i="288"/>
  <c r="CH24" i="328"/>
  <c r="CH486" i="321"/>
  <c r="CH488" i="321"/>
  <c r="CI483" i="321"/>
  <c r="CH124" i="265"/>
  <c r="CH88" i="265"/>
  <c r="AV88" i="277"/>
  <c r="AV87" i="277"/>
  <c r="CH89" i="265"/>
  <c r="CO75" i="315"/>
  <c r="CO152" i="314"/>
  <c r="CO154" i="314"/>
  <c r="CO76" i="315"/>
  <c r="CO162" i="314"/>
  <c r="CO163" i="314"/>
  <c r="CO78" i="315"/>
  <c r="CH10" i="286"/>
  <c r="CH11" i="286"/>
  <c r="AV89" i="277"/>
  <c r="AV124" i="277"/>
  <c r="CI452" i="321"/>
  <c r="CI454" i="321"/>
  <c r="CI477" i="321"/>
  <c r="CI455" i="321"/>
  <c r="CI35" i="282"/>
  <c r="CI40" i="282"/>
  <c r="CI468" i="321"/>
  <c r="CI462" i="321"/>
  <c r="CH14" i="286"/>
  <c r="CH16" i="286"/>
  <c r="CH27" i="286"/>
  <c r="CO81" i="315"/>
  <c r="CP160" i="314"/>
  <c r="CO107" i="315"/>
  <c r="CP116" i="314"/>
  <c r="CP119" i="314"/>
  <c r="CP140" i="314"/>
  <c r="CO503" i="321"/>
  <c r="CO504" i="321"/>
  <c r="CH17" i="286"/>
  <c r="CH28" i="286"/>
  <c r="CH29" i="286"/>
  <c r="CH32" i="286"/>
  <c r="CH34" i="286"/>
  <c r="CH21" i="286"/>
  <c r="CH22" i="286"/>
  <c r="CH51" i="288"/>
  <c r="CI48" i="282"/>
  <c r="CI27" i="265"/>
  <c r="CI29" i="265"/>
  <c r="CI19" i="286"/>
  <c r="CH126" i="265"/>
  <c r="CH35" i="286"/>
  <c r="CH39" i="286"/>
  <c r="CH40" i="286"/>
  <c r="CH52" i="288"/>
  <c r="CH91" i="265"/>
  <c r="CO507" i="321"/>
  <c r="CO508" i="321"/>
  <c r="CO517" i="321"/>
  <c r="CP122" i="314"/>
  <c r="CP124" i="314"/>
  <c r="CP149" i="314"/>
  <c r="CP150" i="314"/>
  <c r="CP153" i="314"/>
  <c r="CP144" i="314"/>
  <c r="CO513" i="321"/>
  <c r="CO514" i="321"/>
  <c r="CO518" i="321"/>
  <c r="CO519" i="321"/>
  <c r="CO522" i="321"/>
  <c r="CO523" i="321"/>
  <c r="CO509" i="321"/>
  <c r="CO199" i="288"/>
  <c r="CO193" i="288"/>
  <c r="AV91" i="277"/>
  <c r="CI37" i="286"/>
  <c r="CH127" i="265"/>
  <c r="AV127" i="277"/>
  <c r="CH92" i="265"/>
  <c r="CH93" i="265"/>
  <c r="AV126" i="277"/>
  <c r="CI13" i="286"/>
  <c r="CI44" i="282"/>
  <c r="CI49" i="282"/>
  <c r="CI52" i="282"/>
  <c r="CI53" i="282"/>
  <c r="CI55" i="282"/>
  <c r="CI56" i="282"/>
  <c r="CH54" i="286"/>
  <c r="CH75" i="286"/>
  <c r="CH76" i="286"/>
  <c r="CH79" i="286"/>
  <c r="CH80" i="286"/>
  <c r="CI31" i="286"/>
  <c r="AV93" i="277"/>
  <c r="CO83" i="315"/>
  <c r="CO531" i="321"/>
  <c r="CO524" i="321"/>
  <c r="CO200" i="288"/>
  <c r="CO530" i="321"/>
  <c r="CO532" i="321"/>
  <c r="CP527" i="321"/>
  <c r="CO120" i="315"/>
  <c r="CO84" i="315"/>
  <c r="CO85" i="315"/>
  <c r="CH55" i="286"/>
  <c r="CH47" i="286"/>
  <c r="CH48" i="286"/>
  <c r="CH48" i="288"/>
  <c r="CH42" i="288"/>
  <c r="CH44" i="288"/>
  <c r="CH81" i="286"/>
  <c r="CH25" i="328"/>
  <c r="CH56" i="286"/>
  <c r="CI68" i="282"/>
  <c r="CI62" i="282"/>
  <c r="CI58" i="282"/>
  <c r="CI60" i="282"/>
  <c r="CI63" i="282"/>
  <c r="CI69" i="282"/>
  <c r="CI64" i="282"/>
  <c r="CI70" i="282"/>
  <c r="CJ67" i="282"/>
  <c r="CI53" i="286"/>
  <c r="CH58" i="286"/>
  <c r="CH64" i="286"/>
  <c r="CH107" i="265"/>
  <c r="CH35" i="265"/>
  <c r="CH95" i="265"/>
  <c r="CH47" i="288"/>
  <c r="CH54" i="288"/>
  <c r="CI45" i="286"/>
  <c r="CH128" i="265"/>
  <c r="CO87" i="286"/>
  <c r="CO88" i="286"/>
  <c r="CP496" i="321"/>
  <c r="CP498" i="321"/>
  <c r="CP521" i="321"/>
  <c r="CP499" i="321"/>
  <c r="CP103" i="282"/>
  <c r="CP108" i="282"/>
  <c r="CP512" i="321"/>
  <c r="CP506" i="321"/>
  <c r="CO91" i="286"/>
  <c r="CO93" i="286"/>
  <c r="CO104" i="286"/>
  <c r="AV128" i="277"/>
  <c r="AV129" i="277"/>
  <c r="AV135" i="277"/>
  <c r="CH129" i="265"/>
  <c r="CH135" i="265"/>
  <c r="CI70" i="286"/>
  <c r="CH57" i="288"/>
  <c r="AV95" i="277"/>
  <c r="CH96" i="265"/>
  <c r="AV35" i="277"/>
  <c r="CH36" i="265"/>
  <c r="CH59" i="328"/>
  <c r="AV107" i="277"/>
  <c r="AV112" i="277"/>
  <c r="AV114" i="277"/>
  <c r="AV134" i="277"/>
  <c r="CH112" i="265"/>
  <c r="CH114" i="265"/>
  <c r="CH134" i="265"/>
  <c r="CI458" i="321"/>
  <c r="CI48" i="314"/>
  <c r="CI9" i="286"/>
  <c r="CI74" i="286"/>
  <c r="CJ59" i="282"/>
  <c r="CI75" i="282"/>
  <c r="CI76" i="282"/>
  <c r="CI77" i="282"/>
  <c r="CH137" i="265"/>
  <c r="CH136" i="265"/>
  <c r="AV137" i="277"/>
  <c r="AV136" i="277"/>
  <c r="AV36" i="277"/>
  <c r="AV96" i="277"/>
  <c r="CO94" i="286"/>
  <c r="CO105" i="286"/>
  <c r="CO106" i="286"/>
  <c r="CO109" i="286"/>
  <c r="CO111" i="286"/>
  <c r="CO98" i="286"/>
  <c r="CO99" i="286"/>
  <c r="CO201" i="288"/>
  <c r="CP116" i="282"/>
  <c r="CP25" i="315"/>
  <c r="CP27" i="315"/>
  <c r="CP112" i="282"/>
  <c r="CP117" i="282"/>
  <c r="CP96" i="286"/>
  <c r="CO122" i="315"/>
  <c r="CO112" i="286"/>
  <c r="CO116" i="286"/>
  <c r="CO117" i="286"/>
  <c r="CO202" i="288"/>
  <c r="CO87" i="315"/>
  <c r="CI46" i="265"/>
  <c r="CI31" i="265"/>
  <c r="CI33" i="265"/>
  <c r="CI47" i="265"/>
  <c r="CP114" i="286"/>
  <c r="CO123" i="315"/>
  <c r="CO88" i="315"/>
  <c r="CO89" i="315"/>
  <c r="CP90" i="286"/>
  <c r="CP120" i="282"/>
  <c r="CP121" i="282"/>
  <c r="CP123" i="282"/>
  <c r="CP124" i="282"/>
  <c r="CP136" i="282"/>
  <c r="CP130" i="282"/>
  <c r="CP126" i="282"/>
  <c r="CP128" i="282"/>
  <c r="CO131" i="286"/>
  <c r="CO143" i="286"/>
  <c r="CO144" i="286"/>
  <c r="CO147" i="286"/>
  <c r="CO148" i="286"/>
  <c r="CP108" i="286"/>
  <c r="CI27" i="288"/>
  <c r="CI29" i="288"/>
  <c r="CI65" i="265"/>
  <c r="CI71" i="286"/>
  <c r="CI72" i="286"/>
  <c r="CI78" i="286"/>
  <c r="CI46" i="286"/>
  <c r="CI77" i="265"/>
  <c r="CI113" i="288"/>
  <c r="CI10" i="321"/>
  <c r="CI12" i="321"/>
  <c r="CI85" i="288"/>
  <c r="CI65" i="288"/>
  <c r="CI20" i="328"/>
  <c r="CI32" i="288"/>
  <c r="CO132" i="286"/>
  <c r="CO124" i="286"/>
  <c r="CO125" i="286"/>
  <c r="CO198" i="288"/>
  <c r="CO192" i="288"/>
  <c r="CO194" i="288"/>
  <c r="CO149" i="286"/>
  <c r="CO133" i="286"/>
  <c r="CP131" i="282"/>
  <c r="CP137" i="282"/>
  <c r="CP132" i="282"/>
  <c r="CP138" i="282"/>
  <c r="CQ135" i="282"/>
  <c r="CQ127" i="282"/>
  <c r="CP143" i="282"/>
  <c r="CP144" i="282"/>
  <c r="CP130" i="286"/>
  <c r="CO103" i="315"/>
  <c r="CO108" i="315"/>
  <c r="CO110" i="315"/>
  <c r="CO130" i="315"/>
  <c r="CO33" i="315"/>
  <c r="CO34" i="315"/>
  <c r="CO91" i="315"/>
  <c r="CO92" i="315"/>
  <c r="CO197" i="288"/>
  <c r="CO204" i="288"/>
  <c r="CP122" i="286"/>
  <c r="CO124" i="315"/>
  <c r="CO125" i="315"/>
  <c r="CO131" i="315"/>
  <c r="CI87" i="288"/>
  <c r="CI89" i="288"/>
  <c r="CI39" i="311"/>
  <c r="CI49" i="314"/>
  <c r="CI51" i="314"/>
  <c r="CI53" i="314"/>
  <c r="CI54" i="314"/>
  <c r="CI64" i="314"/>
  <c r="CI66" i="314"/>
  <c r="CI56" i="314"/>
  <c r="CI58" i="314"/>
  <c r="CI80" i="311"/>
  <c r="CP138" i="286"/>
  <c r="CO207" i="288"/>
  <c r="CO133" i="315"/>
  <c r="CO132" i="315"/>
  <c r="CP502" i="321"/>
  <c r="CP127" i="314"/>
  <c r="CP86" i="286"/>
  <c r="CP142" i="286"/>
  <c r="CP145" i="282"/>
  <c r="CP44" i="315"/>
  <c r="CP45" i="315"/>
  <c r="CP29" i="315"/>
  <c r="CP31" i="315"/>
  <c r="CI60" i="314"/>
  <c r="CI62" i="314"/>
  <c r="CI67" i="314"/>
  <c r="CI82" i="314"/>
  <c r="CI79" i="265"/>
  <c r="CI73" i="314"/>
  <c r="CI75" i="314"/>
  <c r="CP139" i="286"/>
  <c r="CP140" i="286"/>
  <c r="CP146" i="286"/>
  <c r="CP123" i="286"/>
  <c r="CP177" i="288"/>
  <c r="CP179" i="288"/>
  <c r="CP63" i="315"/>
  <c r="CP73" i="315"/>
  <c r="CP263" i="288"/>
  <c r="CP235" i="288"/>
  <c r="CP215" i="288"/>
  <c r="CP182" i="288"/>
  <c r="CI80" i="265"/>
  <c r="CI83" i="314"/>
  <c r="CI84" i="314"/>
  <c r="CI82" i="265"/>
  <c r="CI85" i="265"/>
  <c r="CJ81" i="314"/>
  <c r="CI111" i="265"/>
  <c r="CI60" i="328"/>
  <c r="CI87" i="314"/>
  <c r="CI90" i="314"/>
  <c r="CP237" i="288"/>
  <c r="CP239" i="288"/>
  <c r="CP128" i="314"/>
  <c r="CP130" i="314"/>
  <c r="CP132" i="314"/>
  <c r="CP133" i="314"/>
  <c r="CP143" i="314"/>
  <c r="CP145" i="314"/>
  <c r="CP135" i="314"/>
  <c r="CP137" i="314"/>
  <c r="CJ37" i="314"/>
  <c r="CJ40" i="314"/>
  <c r="CJ61" i="314"/>
  <c r="CI459" i="321"/>
  <c r="CI460" i="321"/>
  <c r="CI463" i="321"/>
  <c r="CI464" i="321"/>
  <c r="CI473" i="321"/>
  <c r="CJ43" i="314"/>
  <c r="CJ45" i="314"/>
  <c r="CJ70" i="314"/>
  <c r="CJ71" i="314"/>
  <c r="CP139" i="314"/>
  <c r="CP141" i="314"/>
  <c r="CP146" i="314"/>
  <c r="CP161" i="314"/>
  <c r="CP75" i="315"/>
  <c r="CP152" i="314"/>
  <c r="CP154" i="314"/>
  <c r="CJ74" i="314"/>
  <c r="CJ65" i="314"/>
  <c r="CI469" i="321"/>
  <c r="CI470" i="321"/>
  <c r="CI474" i="321"/>
  <c r="CI475" i="321"/>
  <c r="CI478" i="321"/>
  <c r="CI479" i="321"/>
  <c r="CI465" i="321"/>
  <c r="CI49" i="288"/>
  <c r="CI43" i="288"/>
  <c r="CI23" i="328"/>
  <c r="CI87" i="265"/>
  <c r="CI487" i="321"/>
  <c r="CI480" i="321"/>
  <c r="CI50" i="288"/>
  <c r="CI24" i="328"/>
  <c r="CI486" i="321"/>
  <c r="CI488" i="321"/>
  <c r="CP76" i="315"/>
  <c r="CP162" i="314"/>
  <c r="CP163" i="314"/>
  <c r="CP78" i="315"/>
  <c r="CP81" i="315"/>
  <c r="CQ160" i="314"/>
  <c r="CP107" i="315"/>
  <c r="CJ483" i="321"/>
  <c r="CI124" i="265"/>
  <c r="CI88" i="265"/>
  <c r="CI89" i="265"/>
  <c r="CI10" i="286"/>
  <c r="CI11" i="286"/>
  <c r="CJ452" i="321"/>
  <c r="CJ454" i="321"/>
  <c r="CJ477" i="321"/>
  <c r="CQ116" i="314"/>
  <c r="CQ119" i="314"/>
  <c r="CQ140" i="314"/>
  <c r="CP503" i="321"/>
  <c r="CP504" i="321"/>
  <c r="CP507" i="321"/>
  <c r="CP508" i="321"/>
  <c r="CP517" i="321"/>
  <c r="CQ122" i="314"/>
  <c r="CQ124" i="314"/>
  <c r="CQ149" i="314"/>
  <c r="CQ150" i="314"/>
  <c r="CJ455" i="321"/>
  <c r="CJ35" i="282"/>
  <c r="CJ40" i="282"/>
  <c r="CJ468" i="321"/>
  <c r="CJ462" i="321"/>
  <c r="CI14" i="286"/>
  <c r="CI16" i="286"/>
  <c r="CI27" i="286"/>
  <c r="CI17" i="286"/>
  <c r="CI28" i="286"/>
  <c r="CI29" i="286"/>
  <c r="CI32" i="286"/>
  <c r="CI34" i="286"/>
  <c r="CI21" i="286"/>
  <c r="CI22" i="286"/>
  <c r="CI51" i="288"/>
  <c r="CJ48" i="282"/>
  <c r="CJ27" i="265"/>
  <c r="CQ153" i="314"/>
  <c r="CQ144" i="314"/>
  <c r="CP513" i="321"/>
  <c r="CP514" i="321"/>
  <c r="CP518" i="321"/>
  <c r="CP519" i="321"/>
  <c r="CP522" i="321"/>
  <c r="CP523" i="321"/>
  <c r="CP509" i="321"/>
  <c r="CP199" i="288"/>
  <c r="CP193" i="288"/>
  <c r="CP83" i="315"/>
  <c r="CP531" i="321"/>
  <c r="CP524" i="321"/>
  <c r="CP200" i="288"/>
  <c r="CP530" i="321"/>
  <c r="CP532" i="321"/>
  <c r="CJ29" i="265"/>
  <c r="AW27" i="277"/>
  <c r="CJ19" i="286"/>
  <c r="CI126" i="265"/>
  <c r="CI35" i="286"/>
  <c r="CI39" i="286"/>
  <c r="CI40" i="286"/>
  <c r="CI52" i="288"/>
  <c r="CI91" i="265"/>
  <c r="CJ37" i="286"/>
  <c r="CI127" i="265"/>
  <c r="CI92" i="265"/>
  <c r="CI93" i="265"/>
  <c r="CJ13" i="286"/>
  <c r="AW29" i="277"/>
  <c r="CJ44" i="282"/>
  <c r="CJ49" i="282"/>
  <c r="CQ527" i="321"/>
  <c r="CP120" i="315"/>
  <c r="CP84" i="315"/>
  <c r="CP85" i="315"/>
  <c r="CP87" i="286"/>
  <c r="CP88" i="286"/>
  <c r="CQ496" i="321"/>
  <c r="CQ498" i="321"/>
  <c r="CQ521" i="321"/>
  <c r="CJ52" i="282"/>
  <c r="CJ53" i="282"/>
  <c r="CJ55" i="282"/>
  <c r="CJ56" i="282"/>
  <c r="CI54" i="286"/>
  <c r="CI75" i="286"/>
  <c r="CI76" i="286"/>
  <c r="CI79" i="286"/>
  <c r="CI80" i="286"/>
  <c r="CJ31" i="286"/>
  <c r="CI55" i="286"/>
  <c r="CI47" i="286"/>
  <c r="CI48" i="286"/>
  <c r="CI48" i="288"/>
  <c r="CI42" i="288"/>
  <c r="CI44" i="288"/>
  <c r="CI81" i="286"/>
  <c r="CI25" i="328"/>
  <c r="CI56" i="286"/>
  <c r="CJ68" i="282"/>
  <c r="CJ62" i="282"/>
  <c r="CJ58" i="282"/>
  <c r="CJ60" i="282"/>
  <c r="CQ499" i="321"/>
  <c r="CQ103" i="282"/>
  <c r="CQ108" i="282"/>
  <c r="CQ512" i="321"/>
  <c r="CQ506" i="321"/>
  <c r="CP91" i="286"/>
  <c r="CP93" i="286"/>
  <c r="CP104" i="286"/>
  <c r="CP94" i="286"/>
  <c r="CP105" i="286"/>
  <c r="CP106" i="286"/>
  <c r="CP109" i="286"/>
  <c r="CP111" i="286"/>
  <c r="CP98" i="286"/>
  <c r="CP99" i="286"/>
  <c r="CP201" i="288"/>
  <c r="CQ116" i="282"/>
  <c r="CQ25" i="315"/>
  <c r="CQ27" i="315"/>
  <c r="CJ63" i="282"/>
  <c r="CJ69" i="282"/>
  <c r="CJ64" i="282"/>
  <c r="CJ70" i="282"/>
  <c r="CK67" i="282"/>
  <c r="CJ53" i="286"/>
  <c r="CI58" i="286"/>
  <c r="CI64" i="286"/>
  <c r="CI107" i="265"/>
  <c r="CI35" i="265"/>
  <c r="CI95" i="265"/>
  <c r="CI47" i="288"/>
  <c r="CI54" i="288"/>
  <c r="CJ45" i="286"/>
  <c r="CI128" i="265"/>
  <c r="CI129" i="265"/>
  <c r="CI135" i="265"/>
  <c r="CJ70" i="286"/>
  <c r="CI57" i="288"/>
  <c r="CI96" i="265"/>
  <c r="CI36" i="265"/>
  <c r="CI59" i="328"/>
  <c r="CI112" i="265"/>
  <c r="CI114" i="265"/>
  <c r="CI134" i="265"/>
  <c r="CJ458" i="321"/>
  <c r="CJ48" i="314"/>
  <c r="CJ9" i="286"/>
  <c r="CJ74" i="286"/>
  <c r="CK59" i="282"/>
  <c r="CJ75" i="282"/>
  <c r="CJ76" i="282"/>
  <c r="CQ112" i="282"/>
  <c r="CQ117" i="282"/>
  <c r="CQ96" i="286"/>
  <c r="CP122" i="315"/>
  <c r="CP112" i="286"/>
  <c r="CP116" i="286"/>
  <c r="CP117" i="286"/>
  <c r="CP202" i="288"/>
  <c r="CP87" i="315"/>
  <c r="CQ114" i="286"/>
  <c r="CP123" i="315"/>
  <c r="CP88" i="315"/>
  <c r="CP89" i="315"/>
  <c r="CQ90" i="286"/>
  <c r="CQ120" i="282"/>
  <c r="CQ121" i="282"/>
  <c r="CQ123" i="282"/>
  <c r="CQ124" i="282"/>
  <c r="CJ77" i="282"/>
  <c r="CI137" i="265"/>
  <c r="CI136" i="265"/>
  <c r="CJ46" i="265"/>
  <c r="CJ31" i="265"/>
  <c r="CQ136" i="282"/>
  <c r="CQ130" i="282"/>
  <c r="CQ126" i="282"/>
  <c r="CQ128" i="282"/>
  <c r="CP131" i="286"/>
  <c r="CP143" i="286"/>
  <c r="CP144" i="286"/>
  <c r="CP147" i="286"/>
  <c r="CP148" i="286"/>
  <c r="CQ108" i="286"/>
  <c r="CP132" i="286"/>
  <c r="CP124" i="286"/>
  <c r="CP125" i="286"/>
  <c r="CP198" i="288"/>
  <c r="CP192" i="288"/>
  <c r="CP194" i="288"/>
  <c r="CP149" i="286"/>
  <c r="CP133" i="286"/>
  <c r="CQ131" i="282"/>
  <c r="CQ137" i="282"/>
  <c r="CQ132" i="282"/>
  <c r="CQ138" i="282"/>
  <c r="CR135" i="282"/>
  <c r="AW31" i="277"/>
  <c r="CJ33" i="265"/>
  <c r="CJ47" i="265"/>
  <c r="AW46" i="277"/>
  <c r="AW47" i="277"/>
  <c r="CJ27" i="288"/>
  <c r="CJ29" i="288"/>
  <c r="CJ65" i="265"/>
  <c r="CJ71" i="286"/>
  <c r="CJ72" i="286"/>
  <c r="CJ78" i="286"/>
  <c r="CJ46" i="286"/>
  <c r="AW33" i="277"/>
  <c r="CR127" i="282"/>
  <c r="CQ143" i="282"/>
  <c r="CQ144" i="282"/>
  <c r="CQ130" i="286"/>
  <c r="CP103" i="315"/>
  <c r="CP108" i="315"/>
  <c r="CP110" i="315"/>
  <c r="CP130" i="315"/>
  <c r="CP33" i="315"/>
  <c r="CP34" i="315"/>
  <c r="CP91" i="315"/>
  <c r="CP92" i="315"/>
  <c r="CP197" i="288"/>
  <c r="CP204" i="288"/>
  <c r="CQ122" i="286"/>
  <c r="CP124" i="315"/>
  <c r="CP125" i="315"/>
  <c r="CP131" i="315"/>
  <c r="CQ138" i="286"/>
  <c r="CP207" i="288"/>
  <c r="CP133" i="315"/>
  <c r="CP132" i="315"/>
  <c r="CQ502" i="321"/>
  <c r="CQ127" i="314"/>
  <c r="CQ86" i="286"/>
  <c r="CQ142" i="286"/>
  <c r="CQ145" i="282"/>
  <c r="CJ77" i="265"/>
  <c r="CJ113" i="288"/>
  <c r="CJ10" i="321"/>
  <c r="CJ12" i="321"/>
  <c r="CJ85" i="288"/>
  <c r="CJ65" i="288"/>
  <c r="CJ20" i="328"/>
  <c r="CJ32" i="288"/>
  <c r="AW65" i="277"/>
  <c r="AW77" i="277"/>
  <c r="CJ87" i="288"/>
  <c r="CJ89" i="288"/>
  <c r="CJ39" i="311"/>
  <c r="CJ49" i="314"/>
  <c r="CJ51" i="314"/>
  <c r="CQ44" i="315"/>
  <c r="CQ45" i="315"/>
  <c r="CQ29" i="315"/>
  <c r="CQ31" i="315"/>
  <c r="CQ139" i="286"/>
  <c r="CQ140" i="286"/>
  <c r="CQ146" i="286"/>
  <c r="CQ123" i="286"/>
  <c r="CQ177" i="288"/>
  <c r="CQ179" i="288"/>
  <c r="CQ63" i="315"/>
  <c r="CJ53" i="314"/>
  <c r="CJ54" i="314"/>
  <c r="CJ64" i="314"/>
  <c r="CJ66" i="314"/>
  <c r="CJ56" i="314"/>
  <c r="CJ58" i="314"/>
  <c r="CJ80" i="311"/>
  <c r="CJ60" i="314"/>
  <c r="CJ62" i="314"/>
  <c r="CJ67" i="314"/>
  <c r="CJ82" i="314"/>
  <c r="CQ73" i="315"/>
  <c r="CQ263" i="288"/>
  <c r="CQ235" i="288"/>
  <c r="CQ215" i="288"/>
  <c r="CQ182" i="288"/>
  <c r="CQ237" i="288"/>
  <c r="CQ239" i="288"/>
  <c r="CQ128" i="314"/>
  <c r="CQ130" i="314"/>
  <c r="CJ79" i="265"/>
  <c r="CJ73" i="314"/>
  <c r="CJ75" i="314"/>
  <c r="CJ80" i="265"/>
  <c r="AW80" i="277"/>
  <c r="CJ83" i="314"/>
  <c r="CJ84" i="314"/>
  <c r="AW79" i="277"/>
  <c r="CJ82" i="265"/>
  <c r="CQ132" i="314"/>
  <c r="CQ133" i="314"/>
  <c r="CQ143" i="314"/>
  <c r="CQ145" i="314"/>
  <c r="CQ135" i="314"/>
  <c r="CQ137" i="314"/>
  <c r="CQ139" i="314"/>
  <c r="CQ141" i="314"/>
  <c r="CQ146" i="314"/>
  <c r="CQ161" i="314"/>
  <c r="CJ85" i="265"/>
  <c r="AW82" i="277"/>
  <c r="CK81" i="314"/>
  <c r="CJ111" i="265"/>
  <c r="CJ87" i="314"/>
  <c r="CJ90" i="314"/>
  <c r="CJ60" i="328"/>
  <c r="AW111" i="277"/>
  <c r="CK37" i="314"/>
  <c r="CK40" i="314"/>
  <c r="CK61" i="314"/>
  <c r="AW85" i="277"/>
  <c r="CJ459" i="321"/>
  <c r="CJ460" i="321"/>
  <c r="CQ75" i="315"/>
  <c r="CQ152" i="314"/>
  <c r="CQ154" i="314"/>
  <c r="CQ76" i="315"/>
  <c r="CQ162" i="314"/>
  <c r="CQ163" i="314"/>
  <c r="CQ78" i="315"/>
  <c r="CJ463" i="321"/>
  <c r="CJ464" i="321"/>
  <c r="CJ473" i="321"/>
  <c r="CK43" i="314"/>
  <c r="CK45" i="314"/>
  <c r="CK70" i="314"/>
  <c r="CK71" i="314"/>
  <c r="CK74" i="314"/>
  <c r="CK65" i="314"/>
  <c r="CJ469" i="321"/>
  <c r="CJ470" i="321"/>
  <c r="CJ474" i="321"/>
  <c r="CJ475" i="321"/>
  <c r="CJ478" i="321"/>
  <c r="CJ479" i="321"/>
  <c r="CJ465" i="321"/>
  <c r="CJ49" i="288"/>
  <c r="CJ43" i="288"/>
  <c r="CJ23" i="328"/>
  <c r="CQ81" i="315"/>
  <c r="CR160" i="314"/>
  <c r="CQ107" i="315"/>
  <c r="CR116" i="314"/>
  <c r="CR119" i="314"/>
  <c r="CR140" i="314"/>
  <c r="CQ503" i="321"/>
  <c r="CQ504" i="321"/>
  <c r="CJ87" i="265"/>
  <c r="CJ487" i="321"/>
  <c r="CJ480" i="321"/>
  <c r="CJ50" i="288"/>
  <c r="CJ24" i="328"/>
  <c r="CJ486" i="321"/>
  <c r="CJ488" i="321"/>
  <c r="CK483" i="321"/>
  <c r="CJ124" i="265"/>
  <c r="CJ88" i="265"/>
  <c r="AW88" i="277"/>
  <c r="AW87" i="277"/>
  <c r="CJ89" i="265"/>
  <c r="CQ507" i="321"/>
  <c r="CQ508" i="321"/>
  <c r="CQ517" i="321"/>
  <c r="CR122" i="314"/>
  <c r="CR124" i="314"/>
  <c r="CR149" i="314"/>
  <c r="CR150" i="314"/>
  <c r="CR153" i="314"/>
  <c r="CR144" i="314"/>
  <c r="CQ513" i="321"/>
  <c r="CQ514" i="321"/>
  <c r="CQ518" i="321"/>
  <c r="CQ519" i="321"/>
  <c r="CQ522" i="321"/>
  <c r="CQ523" i="321"/>
  <c r="CQ509" i="321"/>
  <c r="CQ199" i="288"/>
  <c r="CQ193" i="288"/>
  <c r="CJ10" i="286"/>
  <c r="CJ11" i="286"/>
  <c r="AW89" i="277"/>
  <c r="AW124" i="277"/>
  <c r="CK452" i="321"/>
  <c r="CK454" i="321"/>
  <c r="CK477" i="321"/>
  <c r="CK455" i="321"/>
  <c r="CK35" i="282"/>
  <c r="CK40" i="282"/>
  <c r="CK468" i="321"/>
  <c r="CK462" i="321"/>
  <c r="CJ14" i="286"/>
  <c r="CJ16" i="286"/>
  <c r="CJ27" i="286"/>
  <c r="CQ83" i="315"/>
  <c r="CQ531" i="321"/>
  <c r="CQ524" i="321"/>
  <c r="CQ200" i="288"/>
  <c r="CQ530" i="321"/>
  <c r="CQ532" i="321"/>
  <c r="CR527" i="321"/>
  <c r="CQ120" i="315"/>
  <c r="CQ84" i="315"/>
  <c r="CQ85" i="315"/>
  <c r="CJ17" i="286"/>
  <c r="CJ28" i="286"/>
  <c r="CJ29" i="286"/>
  <c r="CJ32" i="286"/>
  <c r="CJ34" i="286"/>
  <c r="CJ21" i="286"/>
  <c r="CJ22" i="286"/>
  <c r="CJ51" i="288"/>
  <c r="CK48" i="282"/>
  <c r="CK27" i="265"/>
  <c r="CK29" i="265"/>
  <c r="CK19" i="286"/>
  <c r="CJ126" i="265"/>
  <c r="CJ35" i="286"/>
  <c r="CJ39" i="286"/>
  <c r="CJ40" i="286"/>
  <c r="CJ52" i="288"/>
  <c r="CJ91" i="265"/>
  <c r="CQ87" i="286"/>
  <c r="CQ88" i="286"/>
  <c r="CR496" i="321"/>
  <c r="CR498" i="321"/>
  <c r="CR521" i="321"/>
  <c r="CR499" i="321"/>
  <c r="CR103" i="282"/>
  <c r="CR108" i="282"/>
  <c r="CR512" i="321"/>
  <c r="CR506" i="321"/>
  <c r="CQ91" i="286"/>
  <c r="CQ93" i="286"/>
  <c r="CQ104" i="286"/>
  <c r="AW91" i="277"/>
  <c r="CK37" i="286"/>
  <c r="CJ127" i="265"/>
  <c r="AW127" i="277"/>
  <c r="CJ92" i="265"/>
  <c r="CJ93" i="265"/>
  <c r="AW126" i="277"/>
  <c r="CK13" i="286"/>
  <c r="CK44" i="282"/>
  <c r="CK49" i="282"/>
  <c r="CK52" i="282"/>
  <c r="CK53" i="282"/>
  <c r="CK55" i="282"/>
  <c r="CK56" i="282"/>
  <c r="CJ54" i="286"/>
  <c r="CJ75" i="286"/>
  <c r="CJ76" i="286"/>
  <c r="CJ79" i="286"/>
  <c r="CJ80" i="286"/>
  <c r="CK31" i="286"/>
  <c r="AW93" i="277"/>
  <c r="CQ94" i="286"/>
  <c r="CQ105" i="286"/>
  <c r="CQ106" i="286"/>
  <c r="CQ109" i="286"/>
  <c r="CQ111" i="286"/>
  <c r="CQ98" i="286"/>
  <c r="CQ99" i="286"/>
  <c r="CQ201" i="288"/>
  <c r="CR116" i="282"/>
  <c r="CR25" i="315"/>
  <c r="CR27" i="315"/>
  <c r="CR112" i="282"/>
  <c r="CR117" i="282"/>
  <c r="CR96" i="286"/>
  <c r="CQ122" i="315"/>
  <c r="CQ112" i="286"/>
  <c r="CQ116" i="286"/>
  <c r="CQ117" i="286"/>
  <c r="CQ202" i="288"/>
  <c r="CQ87" i="315"/>
  <c r="CJ55" i="286"/>
  <c r="CJ47" i="286"/>
  <c r="CJ48" i="286"/>
  <c r="CJ48" i="288"/>
  <c r="CJ42" i="288"/>
  <c r="CJ44" i="288"/>
  <c r="CJ81" i="286"/>
  <c r="CJ25" i="328"/>
  <c r="CJ56" i="286"/>
  <c r="CK68" i="282"/>
  <c r="CK62" i="282"/>
  <c r="CK58" i="282"/>
  <c r="CK60" i="282"/>
  <c r="CK63" i="282"/>
  <c r="CK69" i="282"/>
  <c r="CK64" i="282"/>
  <c r="CK70" i="282"/>
  <c r="CL67" i="282"/>
  <c r="CK53" i="286"/>
  <c r="CJ58" i="286"/>
  <c r="CJ64" i="286"/>
  <c r="CJ107" i="265"/>
  <c r="CJ35" i="265"/>
  <c r="CJ95" i="265"/>
  <c r="CJ47" i="288"/>
  <c r="CJ54" i="288"/>
  <c r="CK45" i="286"/>
  <c r="CJ128" i="265"/>
  <c r="CR114" i="286"/>
  <c r="CQ123" i="315"/>
  <c r="CQ88" i="315"/>
  <c r="CQ89" i="315"/>
  <c r="CR90" i="286"/>
  <c r="CR120" i="282"/>
  <c r="CR121" i="282"/>
  <c r="CR123" i="282"/>
  <c r="CR124" i="282"/>
  <c r="CR136" i="282"/>
  <c r="CR130" i="282"/>
  <c r="CR126" i="282"/>
  <c r="CR128" i="282"/>
  <c r="CQ131" i="286"/>
  <c r="CQ143" i="286"/>
  <c r="CQ144" i="286"/>
  <c r="CQ147" i="286"/>
  <c r="CQ148" i="286"/>
  <c r="CR108" i="286"/>
  <c r="AW128" i="277"/>
  <c r="AW129" i="277"/>
  <c r="AW135" i="277"/>
  <c r="CJ129" i="265"/>
  <c r="CJ135" i="265"/>
  <c r="CK70" i="286"/>
  <c r="CJ57" i="288"/>
  <c r="AW95" i="277"/>
  <c r="CJ96" i="265"/>
  <c r="AW35" i="277"/>
  <c r="CJ36" i="265"/>
  <c r="CJ59" i="328"/>
  <c r="AW107" i="277"/>
  <c r="AW112" i="277"/>
  <c r="AW114" i="277"/>
  <c r="AW134" i="277"/>
  <c r="CJ112" i="265"/>
  <c r="CJ114" i="265"/>
  <c r="CJ134" i="265"/>
  <c r="CK458" i="321"/>
  <c r="CK48" i="314"/>
  <c r="CK9" i="286"/>
  <c r="CK74" i="286"/>
  <c r="CL59" i="282"/>
  <c r="CK75" i="282"/>
  <c r="CK76" i="282"/>
  <c r="CK77" i="282"/>
  <c r="CJ137" i="265"/>
  <c r="CJ136" i="265"/>
  <c r="AW137" i="277"/>
  <c r="AW136" i="277"/>
  <c r="AW36" i="277"/>
  <c r="AW96" i="277"/>
  <c r="CQ132" i="286"/>
  <c r="CQ124" i="286"/>
  <c r="CQ125" i="286"/>
  <c r="CQ198" i="288"/>
  <c r="CQ192" i="288"/>
  <c r="CQ194" i="288"/>
  <c r="CQ149" i="286"/>
  <c r="CQ133" i="286"/>
  <c r="CR131" i="282"/>
  <c r="CR137" i="282"/>
  <c r="CR132" i="282"/>
  <c r="CR138" i="282"/>
  <c r="CS135" i="282"/>
  <c r="CS127" i="282"/>
  <c r="CR143" i="282"/>
  <c r="CR144" i="282"/>
  <c r="CR130" i="286"/>
  <c r="CQ103" i="315"/>
  <c r="CQ108" i="315"/>
  <c r="CQ110" i="315"/>
  <c r="CQ130" i="315"/>
  <c r="CQ33" i="315"/>
  <c r="CQ34" i="315"/>
  <c r="CQ91" i="315"/>
  <c r="CQ92" i="315"/>
  <c r="CQ197" i="288"/>
  <c r="CQ204" i="288"/>
  <c r="CR122" i="286"/>
  <c r="CQ124" i="315"/>
  <c r="CQ125" i="315"/>
  <c r="CQ131" i="315"/>
  <c r="CK46" i="265"/>
  <c r="CK31" i="265"/>
  <c r="CK33" i="265"/>
  <c r="CK47" i="265"/>
  <c r="CR138" i="286"/>
  <c r="CQ207" i="288"/>
  <c r="CQ133" i="315"/>
  <c r="CQ132" i="315"/>
  <c r="CR502" i="321"/>
  <c r="CR127" i="314"/>
  <c r="CR86" i="286"/>
  <c r="CR142" i="286"/>
  <c r="CR145" i="282"/>
  <c r="CR44" i="315"/>
  <c r="CR45" i="315"/>
  <c r="CR29" i="315"/>
  <c r="CR31" i="315"/>
  <c r="CK27" i="288"/>
  <c r="CK29" i="288"/>
  <c r="CK65" i="265"/>
  <c r="CK71" i="286"/>
  <c r="CK72" i="286"/>
  <c r="CK78" i="286"/>
  <c r="CK46" i="286"/>
  <c r="CK77" i="265"/>
  <c r="CK113" i="288"/>
  <c r="CK10" i="321"/>
  <c r="CK12" i="321"/>
  <c r="CK85" i="288"/>
  <c r="CK65" i="288"/>
  <c r="CK20" i="328"/>
  <c r="CK32" i="288"/>
  <c r="CR139" i="286"/>
  <c r="CR140" i="286"/>
  <c r="CR146" i="286"/>
  <c r="CR123" i="286"/>
  <c r="CR177" i="288"/>
  <c r="CR179" i="288"/>
  <c r="CR63" i="315"/>
  <c r="CR73" i="315"/>
  <c r="CR263" i="288"/>
  <c r="CR235" i="288"/>
  <c r="CR215" i="288"/>
  <c r="CR182" i="288"/>
  <c r="CK87" i="288"/>
  <c r="CK89" i="288"/>
  <c r="CK39" i="311"/>
  <c r="CK49" i="314"/>
  <c r="CK51" i="314"/>
  <c r="CK53" i="314"/>
  <c r="CK54" i="314"/>
  <c r="CK64" i="314"/>
  <c r="CK66" i="314"/>
  <c r="CK56" i="314"/>
  <c r="CK58" i="314"/>
  <c r="CK80" i="311"/>
  <c r="CR237" i="288"/>
  <c r="CR239" i="288"/>
  <c r="CR128" i="314"/>
  <c r="CR130" i="314"/>
  <c r="CR132" i="314"/>
  <c r="CR133" i="314"/>
  <c r="CR143" i="314"/>
  <c r="CR145" i="314"/>
  <c r="CR135" i="314"/>
  <c r="CR137" i="314"/>
  <c r="CK60" i="314"/>
  <c r="CK62" i="314"/>
  <c r="CK67" i="314"/>
  <c r="CK82" i="314"/>
  <c r="CK79" i="265"/>
  <c r="CK73" i="314"/>
  <c r="CK75" i="314"/>
  <c r="CR139" i="314"/>
  <c r="CR141" i="314"/>
  <c r="CR146" i="314"/>
  <c r="CR161" i="314"/>
  <c r="CR75" i="315"/>
  <c r="CR152" i="314"/>
  <c r="CR154" i="314"/>
  <c r="CK80" i="265"/>
  <c r="CK83" i="314"/>
  <c r="CK84" i="314"/>
  <c r="CK82" i="265"/>
  <c r="CK85" i="265"/>
  <c r="CL81" i="314"/>
  <c r="CK111" i="265"/>
  <c r="CK60" i="328"/>
  <c r="CK87" i="314"/>
  <c r="CK90" i="314"/>
  <c r="CR76" i="315"/>
  <c r="CR162" i="314"/>
  <c r="CR163" i="314"/>
  <c r="CR78" i="315"/>
  <c r="CR81" i="315"/>
  <c r="CS160" i="314"/>
  <c r="CR107" i="315"/>
  <c r="CL37" i="314"/>
  <c r="CL40" i="314"/>
  <c r="CL61" i="314"/>
  <c r="CK459" i="321"/>
  <c r="CK460" i="321"/>
  <c r="CK463" i="321"/>
  <c r="CK464" i="321"/>
  <c r="CK473" i="321"/>
  <c r="CL43" i="314"/>
  <c r="CL45" i="314"/>
  <c r="CL70" i="314"/>
  <c r="CL71" i="314"/>
  <c r="CS116" i="314"/>
  <c r="CS119" i="314"/>
  <c r="CS140" i="314"/>
  <c r="CR503" i="321"/>
  <c r="CR504" i="321"/>
  <c r="CR507" i="321"/>
  <c r="CR508" i="321"/>
  <c r="CR517" i="321"/>
  <c r="CS122" i="314"/>
  <c r="CS124" i="314"/>
  <c r="CS149" i="314"/>
  <c r="CS150" i="314"/>
  <c r="CL74" i="314"/>
  <c r="CL65" i="314"/>
  <c r="CK469" i="321"/>
  <c r="CK470" i="321"/>
  <c r="CK474" i="321"/>
  <c r="CK475" i="321"/>
  <c r="CK478" i="321"/>
  <c r="CK479" i="321"/>
  <c r="CK465" i="321"/>
  <c r="CK49" i="288"/>
  <c r="CK43" i="288"/>
  <c r="CK23" i="328"/>
  <c r="CK87" i="265"/>
  <c r="CK487" i="321"/>
  <c r="CK480" i="321"/>
  <c r="CK50" i="288"/>
  <c r="CK24" i="328"/>
  <c r="CK486" i="321"/>
  <c r="CK488" i="321"/>
  <c r="CS153" i="314"/>
  <c r="CS144" i="314"/>
  <c r="CR513" i="321"/>
  <c r="CR514" i="321"/>
  <c r="CR518" i="321"/>
  <c r="CR519" i="321"/>
  <c r="CR522" i="321"/>
  <c r="CR523" i="321"/>
  <c r="CR509" i="321"/>
  <c r="CR199" i="288"/>
  <c r="CR193" i="288"/>
  <c r="CR83" i="315"/>
  <c r="CR531" i="321"/>
  <c r="CR524" i="321"/>
  <c r="CR200" i="288"/>
  <c r="CR530" i="321"/>
  <c r="CR532" i="321"/>
  <c r="CL483" i="321"/>
  <c r="CK124" i="265"/>
  <c r="CK88" i="265"/>
  <c r="CK89" i="265"/>
  <c r="CK10" i="286"/>
  <c r="CK11" i="286"/>
  <c r="CL452" i="321"/>
  <c r="CL454" i="321"/>
  <c r="CL477" i="321"/>
  <c r="CS527" i="321"/>
  <c r="CR120" i="315"/>
  <c r="CR84" i="315"/>
  <c r="CR85" i="315"/>
  <c r="CR87" i="286"/>
  <c r="CR88" i="286"/>
  <c r="CS496" i="321"/>
  <c r="CS498" i="321"/>
  <c r="CS521" i="321"/>
  <c r="CL455" i="321"/>
  <c r="CL35" i="282"/>
  <c r="CL40" i="282"/>
  <c r="CL468" i="321"/>
  <c r="CL462" i="321"/>
  <c r="CK14" i="286"/>
  <c r="CK16" i="286"/>
  <c r="CK27" i="286"/>
  <c r="CK17" i="286"/>
  <c r="CK28" i="286"/>
  <c r="CK29" i="286"/>
  <c r="CK32" i="286"/>
  <c r="CK34" i="286"/>
  <c r="CK21" i="286"/>
  <c r="CK22" i="286"/>
  <c r="CK51" i="288"/>
  <c r="CL48" i="282"/>
  <c r="CL27" i="265"/>
  <c r="CS499" i="321"/>
  <c r="CS103" i="282"/>
  <c r="CS108" i="282"/>
  <c r="CS512" i="321"/>
  <c r="CS506" i="321"/>
  <c r="CR91" i="286"/>
  <c r="CR93" i="286"/>
  <c r="CR104" i="286"/>
  <c r="CR94" i="286"/>
  <c r="CR105" i="286"/>
  <c r="CR106" i="286"/>
  <c r="CR109" i="286"/>
  <c r="CR111" i="286"/>
  <c r="CR98" i="286"/>
  <c r="CR99" i="286"/>
  <c r="CR201" i="288"/>
  <c r="CS116" i="282"/>
  <c r="CS25" i="315"/>
  <c r="CS27" i="315"/>
  <c r="CL29" i="265"/>
  <c r="AX27" i="277"/>
  <c r="CL19" i="286"/>
  <c r="CK126" i="265"/>
  <c r="CK35" i="286"/>
  <c r="CK39" i="286"/>
  <c r="CK40" i="286"/>
  <c r="CK52" i="288"/>
  <c r="CK91" i="265"/>
  <c r="CL37" i="286"/>
  <c r="CK127" i="265"/>
  <c r="CK92" i="265"/>
  <c r="CK93" i="265"/>
  <c r="CL13" i="286"/>
  <c r="AX29" i="277"/>
  <c r="CL44" i="282"/>
  <c r="CL49" i="282"/>
  <c r="CS112" i="282"/>
  <c r="CS117" i="282"/>
  <c r="CS96" i="286"/>
  <c r="CR122" i="315"/>
  <c r="CR112" i="286"/>
  <c r="CR116" i="286"/>
  <c r="CR117" i="286"/>
  <c r="CR202" i="288"/>
  <c r="CR87" i="315"/>
  <c r="CS114" i="286"/>
  <c r="CR123" i="315"/>
  <c r="CR88" i="315"/>
  <c r="CR89" i="315"/>
  <c r="CS90" i="286"/>
  <c r="CS120" i="282"/>
  <c r="CS121" i="282"/>
  <c r="CS123" i="282"/>
  <c r="CS124" i="282"/>
  <c r="CL52" i="282"/>
  <c r="CL53" i="282"/>
  <c r="CL55" i="282"/>
  <c r="CL56" i="282"/>
  <c r="CK54" i="286"/>
  <c r="CK75" i="286"/>
  <c r="CK76" i="286"/>
  <c r="CK79" i="286"/>
  <c r="CK80" i="286"/>
  <c r="CL31" i="286"/>
  <c r="CK55" i="286"/>
  <c r="CK47" i="286"/>
  <c r="CK48" i="286"/>
  <c r="CK48" i="288"/>
  <c r="CK42" i="288"/>
  <c r="CK44" i="288"/>
  <c r="CK81" i="286"/>
  <c r="CK25" i="328"/>
  <c r="CK56" i="286"/>
  <c r="CL68" i="282"/>
  <c r="CL62" i="282"/>
  <c r="CL58" i="282"/>
  <c r="CL60" i="282"/>
  <c r="CS136" i="282"/>
  <c r="CS130" i="282"/>
  <c r="CS126" i="282"/>
  <c r="CS128" i="282"/>
  <c r="CR131" i="286"/>
  <c r="CR143" i="286"/>
  <c r="CR144" i="286"/>
  <c r="CR147" i="286"/>
  <c r="CR148" i="286"/>
  <c r="CS108" i="286"/>
  <c r="CR132" i="286"/>
  <c r="CR124" i="286"/>
  <c r="CR125" i="286"/>
  <c r="CR198" i="288"/>
  <c r="CR192" i="288"/>
  <c r="CR194" i="288"/>
  <c r="CR149" i="286"/>
  <c r="CR133" i="286"/>
  <c r="CS131" i="282"/>
  <c r="CS137" i="282"/>
  <c r="CS132" i="282"/>
  <c r="CS138" i="282"/>
  <c r="CT135" i="282"/>
  <c r="CL63" i="282"/>
  <c r="CL69" i="282"/>
  <c r="CL64" i="282"/>
  <c r="CL70" i="282"/>
  <c r="CM67" i="282"/>
  <c r="CL53" i="286"/>
  <c r="CK58" i="286"/>
  <c r="CK64" i="286"/>
  <c r="CK107" i="265"/>
  <c r="CK35" i="265"/>
  <c r="CK95" i="265"/>
  <c r="CK47" i="288"/>
  <c r="CK54" i="288"/>
  <c r="CL45" i="286"/>
  <c r="CK128" i="265"/>
  <c r="CK129" i="265"/>
  <c r="CK135" i="265"/>
  <c r="CL70" i="286"/>
  <c r="CK57" i="288"/>
  <c r="CK96" i="265"/>
  <c r="CK36" i="265"/>
  <c r="CK59" i="328"/>
  <c r="CK112" i="265"/>
  <c r="CK114" i="265"/>
  <c r="CK134" i="265"/>
  <c r="CL458" i="321"/>
  <c r="CL48" i="314"/>
  <c r="CL9" i="286"/>
  <c r="CL74" i="286"/>
  <c r="CM59" i="282"/>
  <c r="CL75" i="282"/>
  <c r="CL76" i="282"/>
  <c r="CT127" i="282"/>
  <c r="CS143" i="282"/>
  <c r="CS144" i="282"/>
  <c r="CS130" i="286"/>
  <c r="CR103" i="315"/>
  <c r="CR108" i="315"/>
  <c r="CR110" i="315"/>
  <c r="CR130" i="315"/>
  <c r="CR33" i="315"/>
  <c r="CR34" i="315"/>
  <c r="CR91" i="315"/>
  <c r="CR92" i="315"/>
  <c r="CR197" i="288"/>
  <c r="CR204" i="288"/>
  <c r="CS122" i="286"/>
  <c r="CR124" i="315"/>
  <c r="CR125" i="315"/>
  <c r="CR131" i="315"/>
  <c r="CS138" i="286"/>
  <c r="CR207" i="288"/>
  <c r="CR133" i="315"/>
  <c r="CR132" i="315"/>
  <c r="CS502" i="321"/>
  <c r="CS127" i="314"/>
  <c r="CS86" i="286"/>
  <c r="CS142" i="286"/>
  <c r="CS145" i="282"/>
  <c r="CL77" i="282"/>
  <c r="CK137" i="265"/>
  <c r="CK136" i="265"/>
  <c r="CL46" i="265"/>
  <c r="CL31" i="265"/>
  <c r="CS44" i="315"/>
  <c r="CS45" i="315"/>
  <c r="CS29" i="315"/>
  <c r="CS31" i="315"/>
  <c r="CS139" i="286"/>
  <c r="CS140" i="286"/>
  <c r="CS146" i="286"/>
  <c r="CS123" i="286"/>
  <c r="CS177" i="288"/>
  <c r="CS179" i="288"/>
  <c r="CS63" i="315"/>
  <c r="AX31" i="277"/>
  <c r="CL33" i="265"/>
  <c r="CL47" i="265"/>
  <c r="AX46" i="277"/>
  <c r="AX47" i="277"/>
  <c r="CL27" i="288"/>
  <c r="CL29" i="288"/>
  <c r="CL65" i="265"/>
  <c r="CL71" i="286"/>
  <c r="CL72" i="286"/>
  <c r="CL78" i="286"/>
  <c r="CL46" i="286"/>
  <c r="AX33" i="277"/>
  <c r="CS73" i="315"/>
  <c r="CS263" i="288"/>
  <c r="CS235" i="288"/>
  <c r="CS215" i="288"/>
  <c r="CS182" i="288"/>
  <c r="CS237" i="288"/>
  <c r="CS239" i="288"/>
  <c r="CS128" i="314"/>
  <c r="CS130" i="314"/>
  <c r="CL77" i="265"/>
  <c r="CL113" i="288"/>
  <c r="CL10" i="321"/>
  <c r="CL12" i="321"/>
  <c r="CL85" i="288"/>
  <c r="CL20" i="328"/>
  <c r="CL65" i="288"/>
  <c r="CL32" i="288"/>
  <c r="AX65" i="277"/>
  <c r="AX77" i="277"/>
  <c r="CL87" i="288"/>
  <c r="CL89" i="288"/>
  <c r="CL39" i="311"/>
  <c r="CL49" i="314"/>
  <c r="CL51" i="314"/>
  <c r="CS132" i="314"/>
  <c r="CS133" i="314"/>
  <c r="CS143" i="314"/>
  <c r="CS145" i="314"/>
  <c r="CS135" i="314"/>
  <c r="CS137" i="314"/>
  <c r="CS139" i="314"/>
  <c r="CS141" i="314"/>
  <c r="CS146" i="314"/>
  <c r="CS161" i="314"/>
  <c r="CL53" i="314"/>
  <c r="CL54" i="314"/>
  <c r="CL64" i="314"/>
  <c r="CL66" i="314"/>
  <c r="CL56" i="314"/>
  <c r="CL58" i="314"/>
  <c r="CL80" i="311"/>
  <c r="CL60" i="314"/>
  <c r="CL62" i="314"/>
  <c r="CL67" i="314"/>
  <c r="CL82" i="314"/>
  <c r="CS75" i="315"/>
  <c r="CS152" i="314"/>
  <c r="CS154" i="314"/>
  <c r="CS76" i="315"/>
  <c r="CS162" i="314"/>
  <c r="CS163" i="314"/>
  <c r="CS78" i="315"/>
  <c r="CL79" i="265"/>
  <c r="CL73" i="314"/>
  <c r="CL75" i="314"/>
  <c r="CL80" i="265"/>
  <c r="AX80" i="277"/>
  <c r="CL83" i="314"/>
  <c r="CL84" i="314"/>
  <c r="AX79" i="277"/>
  <c r="CL82" i="265"/>
  <c r="CS81" i="315"/>
  <c r="CT160" i="314"/>
  <c r="CS107" i="315"/>
  <c r="CT116" i="314"/>
  <c r="CT119" i="314"/>
  <c r="CT140" i="314"/>
  <c r="CS503" i="321"/>
  <c r="CS504" i="321"/>
  <c r="CL85" i="265"/>
  <c r="AX82" i="277"/>
  <c r="CM81" i="314"/>
  <c r="CL111" i="265"/>
  <c r="CL87" i="314"/>
  <c r="CL90" i="314"/>
  <c r="CL60" i="328"/>
  <c r="AX111" i="277"/>
  <c r="CM37" i="314"/>
  <c r="CM40" i="314"/>
  <c r="CM61" i="314"/>
  <c r="AX85" i="277"/>
  <c r="CL459" i="321"/>
  <c r="CL460" i="321"/>
  <c r="CS507" i="321"/>
  <c r="CS508" i="321"/>
  <c r="CS517" i="321"/>
  <c r="CT122" i="314"/>
  <c r="CT124" i="314"/>
  <c r="CT149" i="314"/>
  <c r="CT150" i="314"/>
  <c r="CT153" i="314"/>
  <c r="CT144" i="314"/>
  <c r="CS513" i="321"/>
  <c r="CS514" i="321"/>
  <c r="CS518" i="321"/>
  <c r="CS519" i="321"/>
  <c r="CS522" i="321"/>
  <c r="CS523" i="321"/>
  <c r="CS509" i="321"/>
  <c r="CS199" i="288"/>
  <c r="CS193" i="288"/>
  <c r="CL463" i="321"/>
  <c r="CL464" i="321"/>
  <c r="CL473" i="321"/>
  <c r="CM43" i="314"/>
  <c r="CM45" i="314"/>
  <c r="CM70" i="314"/>
  <c r="CM71" i="314"/>
  <c r="CM74" i="314"/>
  <c r="CM65" i="314"/>
  <c r="CL469" i="321"/>
  <c r="CL470" i="321"/>
  <c r="CL474" i="321"/>
  <c r="CL475" i="321"/>
  <c r="CL478" i="321"/>
  <c r="CL479" i="321"/>
  <c r="CL465" i="321"/>
  <c r="CL49" i="288"/>
  <c r="CL43" i="288"/>
  <c r="CL23" i="328"/>
  <c r="CS83" i="315"/>
  <c r="CS531" i="321"/>
  <c r="CS524" i="321"/>
  <c r="CS200" i="288"/>
  <c r="CS530" i="321"/>
  <c r="CS532" i="321"/>
  <c r="CT527" i="321"/>
  <c r="CS120" i="315"/>
  <c r="CS84" i="315"/>
  <c r="CS85" i="315"/>
  <c r="CL87" i="265"/>
  <c r="CL487" i="321"/>
  <c r="CL480" i="321"/>
  <c r="CL50" i="288"/>
  <c r="CL24" i="328"/>
  <c r="CL486" i="321"/>
  <c r="CL488" i="321"/>
  <c r="CM483" i="321"/>
  <c r="CL124" i="265"/>
  <c r="CL88" i="265"/>
  <c r="AX88" i="277"/>
  <c r="AX87" i="277"/>
  <c r="CL89" i="265"/>
  <c r="CS87" i="286"/>
  <c r="CS88" i="286"/>
  <c r="CT496" i="321"/>
  <c r="CT498" i="321"/>
  <c r="CT521" i="321"/>
  <c r="CT499" i="321"/>
  <c r="CT103" i="282"/>
  <c r="CT108" i="282"/>
  <c r="CT512" i="321"/>
  <c r="CT506" i="321"/>
  <c r="CS91" i="286"/>
  <c r="CS93" i="286"/>
  <c r="CS104" i="286"/>
  <c r="CL10" i="286"/>
  <c r="CL11" i="286"/>
  <c r="AX89" i="277"/>
  <c r="AX124" i="277"/>
  <c r="CM452" i="321"/>
  <c r="CM454" i="321"/>
  <c r="CM477" i="321"/>
  <c r="CM455" i="321"/>
  <c r="CM35" i="282"/>
  <c r="CM40" i="282"/>
  <c r="CM468" i="321"/>
  <c r="CM462" i="321"/>
  <c r="CL14" i="286"/>
  <c r="CL16" i="286"/>
  <c r="CL27" i="286"/>
  <c r="CS94" i="286"/>
  <c r="CS105" i="286"/>
  <c r="CS106" i="286"/>
  <c r="CS109" i="286"/>
  <c r="CS111" i="286"/>
  <c r="CS98" i="286"/>
  <c r="CS99" i="286"/>
  <c r="CS201" i="288"/>
  <c r="CT116" i="282"/>
  <c r="CT25" i="315"/>
  <c r="CT27" i="315"/>
  <c r="CT112" i="282"/>
  <c r="CT117" i="282"/>
  <c r="CT96" i="286"/>
  <c r="CS122" i="315"/>
  <c r="CS112" i="286"/>
  <c r="CS116" i="286"/>
  <c r="CS117" i="286"/>
  <c r="CS202" i="288"/>
  <c r="CS87" i="315"/>
  <c r="CL17" i="286"/>
  <c r="CL28" i="286"/>
  <c r="CL29" i="286"/>
  <c r="CL32" i="286"/>
  <c r="CL34" i="286"/>
  <c r="CL21" i="286"/>
  <c r="CL22" i="286"/>
  <c r="CL51" i="288"/>
  <c r="CM48" i="282"/>
  <c r="CM27" i="265"/>
  <c r="CM29" i="265"/>
  <c r="CM19" i="286"/>
  <c r="CL126" i="265"/>
  <c r="CL35" i="286"/>
  <c r="CL39" i="286"/>
  <c r="CL40" i="286"/>
  <c r="CL52" i="288"/>
  <c r="CL91" i="265"/>
  <c r="CT114" i="286"/>
  <c r="CS123" i="315"/>
  <c r="CS88" i="315"/>
  <c r="CS89" i="315"/>
  <c r="CT90" i="286"/>
  <c r="CT120" i="282"/>
  <c r="CT121" i="282"/>
  <c r="CT123" i="282"/>
  <c r="CT124" i="282"/>
  <c r="CT136" i="282"/>
  <c r="CT130" i="282"/>
  <c r="CT126" i="282"/>
  <c r="CT128" i="282"/>
  <c r="CS131" i="286"/>
  <c r="CS143" i="286"/>
  <c r="CS144" i="286"/>
  <c r="CS147" i="286"/>
  <c r="CS148" i="286"/>
  <c r="CT108" i="286"/>
  <c r="AX91" i="277"/>
  <c r="CM37" i="286"/>
  <c r="CL127" i="265"/>
  <c r="AX127" i="277"/>
  <c r="CL92" i="265"/>
  <c r="CL93" i="265"/>
  <c r="AX126" i="277"/>
  <c r="CM13" i="286"/>
  <c r="CM44" i="282"/>
  <c r="CM49" i="282"/>
  <c r="CM52" i="282"/>
  <c r="CM53" i="282"/>
  <c r="CM55" i="282"/>
  <c r="CM56" i="282"/>
  <c r="CL54" i="286"/>
  <c r="CL75" i="286"/>
  <c r="CL76" i="286"/>
  <c r="CL79" i="286"/>
  <c r="CL80" i="286"/>
  <c r="CM31" i="286"/>
  <c r="AX93" i="277"/>
  <c r="CS132" i="286"/>
  <c r="CS124" i="286"/>
  <c r="CS125" i="286"/>
  <c r="CS198" i="288"/>
  <c r="CS192" i="288"/>
  <c r="CS194" i="288"/>
  <c r="CS149" i="286"/>
  <c r="CS133" i="286"/>
  <c r="CT131" i="282"/>
  <c r="CT137" i="282"/>
  <c r="CT132" i="282"/>
  <c r="CT138" i="282"/>
  <c r="CU135" i="282"/>
  <c r="CU127" i="282"/>
  <c r="CT143" i="282"/>
  <c r="CT144" i="282"/>
  <c r="CT130" i="286"/>
  <c r="CS103" i="315"/>
  <c r="CS108" i="315"/>
  <c r="CS110" i="315"/>
  <c r="CS130" i="315"/>
  <c r="CS33" i="315"/>
  <c r="CS34" i="315"/>
  <c r="CS91" i="315"/>
  <c r="CS92" i="315"/>
  <c r="CS197" i="288"/>
  <c r="CS204" i="288"/>
  <c r="CT122" i="286"/>
  <c r="CS124" i="315"/>
  <c r="CS125" i="315"/>
  <c r="CS131" i="315"/>
  <c r="CL55" i="286"/>
  <c r="CL47" i="286"/>
  <c r="CL48" i="286"/>
  <c r="CL48" i="288"/>
  <c r="CL42" i="288"/>
  <c r="CL44" i="288"/>
  <c r="CL81" i="286"/>
  <c r="CL25" i="328"/>
  <c r="CL56" i="286"/>
  <c r="CM68" i="282"/>
  <c r="CM62" i="282"/>
  <c r="CM58" i="282"/>
  <c r="CM60" i="282"/>
  <c r="CM63" i="282"/>
  <c r="CM69" i="282"/>
  <c r="CM64" i="282"/>
  <c r="CM70" i="282"/>
  <c r="CN67" i="282"/>
  <c r="CM53" i="286"/>
  <c r="CL58" i="286"/>
  <c r="CL64" i="286"/>
  <c r="CL107" i="265"/>
  <c r="CL35" i="265"/>
  <c r="CL95" i="265"/>
  <c r="CL47" i="288"/>
  <c r="CL54" i="288"/>
  <c r="CM45" i="286"/>
  <c r="CL128" i="265"/>
  <c r="CT138" i="286"/>
  <c r="CS207" i="288"/>
  <c r="CS133" i="315"/>
  <c r="CS132" i="315"/>
  <c r="CT502" i="321"/>
  <c r="CT127" i="314"/>
  <c r="CT86" i="286"/>
  <c r="CT142" i="286"/>
  <c r="CT145" i="282"/>
  <c r="CT44" i="315"/>
  <c r="CT45" i="315"/>
  <c r="CT29" i="315"/>
  <c r="CT31" i="315"/>
  <c r="AX128" i="277"/>
  <c r="AX129" i="277"/>
  <c r="AX135" i="277"/>
  <c r="CL129" i="265"/>
  <c r="CL135" i="265"/>
  <c r="CM70" i="286"/>
  <c r="CL57" i="288"/>
  <c r="AX95" i="277"/>
  <c r="CL96" i="265"/>
  <c r="AX35" i="277"/>
  <c r="CL36" i="265"/>
  <c r="CL59" i="328"/>
  <c r="AX107" i="277"/>
  <c r="AX112" i="277"/>
  <c r="AX114" i="277"/>
  <c r="AX134" i="277"/>
  <c r="CL112" i="265"/>
  <c r="CL114" i="265"/>
  <c r="CL134" i="265"/>
  <c r="CM458" i="321"/>
  <c r="CM48" i="314"/>
  <c r="CM9" i="286"/>
  <c r="CM74" i="286"/>
  <c r="CN59" i="282"/>
  <c r="CM75" i="282"/>
  <c r="CM76" i="282"/>
  <c r="CM77" i="282"/>
  <c r="CL137" i="265"/>
  <c r="CL136" i="265"/>
  <c r="AX137" i="277"/>
  <c r="AX136" i="277"/>
  <c r="AX36" i="277"/>
  <c r="AX96" i="277"/>
  <c r="CT139" i="286"/>
  <c r="CT140" i="286"/>
  <c r="CT146" i="286"/>
  <c r="CT123" i="286"/>
  <c r="CT177" i="288"/>
  <c r="CT179" i="288"/>
  <c r="CT63" i="315"/>
  <c r="CT73" i="315"/>
  <c r="CT263" i="288"/>
  <c r="CT235" i="288"/>
  <c r="CT215" i="288"/>
  <c r="CT182" i="288"/>
  <c r="CM46" i="265"/>
  <c r="CM31" i="265"/>
  <c r="CM33" i="265"/>
  <c r="CM47" i="265"/>
  <c r="CT237" i="288"/>
  <c r="CT239" i="288"/>
  <c r="CT128" i="314"/>
  <c r="CT130" i="314"/>
  <c r="CT132" i="314"/>
  <c r="CT133" i="314"/>
  <c r="CT143" i="314"/>
  <c r="CT145" i="314"/>
  <c r="CT135" i="314"/>
  <c r="CT137" i="314"/>
  <c r="CM27" i="288"/>
  <c r="CM29" i="288"/>
  <c r="CM65" i="265"/>
  <c r="CM71" i="286"/>
  <c r="CM72" i="286"/>
  <c r="CM78" i="286"/>
  <c r="CM46" i="286"/>
  <c r="CM77" i="265"/>
  <c r="CM113" i="288"/>
  <c r="CM10" i="321"/>
  <c r="CM12" i="321"/>
  <c r="CM85" i="288"/>
  <c r="CM65" i="288"/>
  <c r="CM20" i="328"/>
  <c r="CM32" i="288"/>
  <c r="CT139" i="314"/>
  <c r="CT141" i="314"/>
  <c r="CT146" i="314"/>
  <c r="CT161" i="314"/>
  <c r="CT75" i="315"/>
  <c r="CT152" i="314"/>
  <c r="CT154" i="314"/>
  <c r="CM87" i="288"/>
  <c r="CM89" i="288"/>
  <c r="CM39" i="311"/>
  <c r="CM49" i="314"/>
  <c r="CM51" i="314"/>
  <c r="CM53" i="314"/>
  <c r="CM54" i="314"/>
  <c r="CM64" i="314"/>
  <c r="CM66" i="314"/>
  <c r="CM56" i="314"/>
  <c r="CM58" i="314"/>
  <c r="CM80" i="311"/>
  <c r="CT76" i="315"/>
  <c r="CT162" i="314"/>
  <c r="CT163" i="314"/>
  <c r="CT78" i="315"/>
  <c r="CT81" i="315"/>
  <c r="CU160" i="314"/>
  <c r="CT107" i="315"/>
  <c r="CM60" i="314"/>
  <c r="CM62" i="314"/>
  <c r="CM67" i="314"/>
  <c r="CM82" i="314"/>
  <c r="CM79" i="265"/>
  <c r="CM73" i="314"/>
  <c r="CM75" i="314"/>
  <c r="CU116" i="314"/>
  <c r="CU119" i="314"/>
  <c r="CU140" i="314"/>
  <c r="CT503" i="321"/>
  <c r="CT504" i="321"/>
  <c r="CT507" i="321"/>
  <c r="CT508" i="321"/>
  <c r="CT517" i="321"/>
  <c r="CU122" i="314"/>
  <c r="CU124" i="314"/>
  <c r="CU149" i="314"/>
  <c r="CU150" i="314"/>
  <c r="CM80" i="265"/>
  <c r="CM83" i="314"/>
  <c r="CM84" i="314"/>
  <c r="CM82" i="265"/>
  <c r="CM85" i="265"/>
  <c r="CN81" i="314"/>
  <c r="CM111" i="265"/>
  <c r="CM60" i="328"/>
  <c r="CM87" i="314"/>
  <c r="CM90" i="314"/>
  <c r="CU153" i="314"/>
  <c r="CU144" i="314"/>
  <c r="CT513" i="321"/>
  <c r="CT514" i="321"/>
  <c r="CT518" i="321"/>
  <c r="CT519" i="321"/>
  <c r="CT522" i="321"/>
  <c r="CT523" i="321"/>
  <c r="CT509" i="321"/>
  <c r="CT199" i="288"/>
  <c r="CT193" i="288"/>
  <c r="CT83" i="315"/>
  <c r="CT531" i="321"/>
  <c r="CT524" i="321"/>
  <c r="CT200" i="288"/>
  <c r="CT530" i="321"/>
  <c r="CT532" i="321"/>
  <c r="CN37" i="314"/>
  <c r="CN40" i="314"/>
  <c r="CN61" i="314"/>
  <c r="CM459" i="321"/>
  <c r="CM460" i="321"/>
  <c r="CM463" i="321"/>
  <c r="CM464" i="321"/>
  <c r="CM473" i="321"/>
  <c r="CN43" i="314"/>
  <c r="CN45" i="314"/>
  <c r="CN70" i="314"/>
  <c r="CN71" i="314"/>
  <c r="CU527" i="321"/>
  <c r="CT120" i="315"/>
  <c r="CT84" i="315"/>
  <c r="CT85" i="315"/>
  <c r="CT87" i="286"/>
  <c r="CT88" i="286"/>
  <c r="CU496" i="321"/>
  <c r="CU498" i="321"/>
  <c r="CU521" i="321"/>
  <c r="CN74" i="314"/>
  <c r="CN65" i="314"/>
  <c r="CM469" i="321"/>
  <c r="CM470" i="321"/>
  <c r="CM474" i="321"/>
  <c r="CM475" i="321"/>
  <c r="CM478" i="321"/>
  <c r="CM479" i="321"/>
  <c r="CM465" i="321"/>
  <c r="CM49" i="288"/>
  <c r="CM43" i="288"/>
  <c r="CM23" i="328"/>
  <c r="CM87" i="265"/>
  <c r="CM487" i="321"/>
  <c r="CM480" i="321"/>
  <c r="CM50" i="288"/>
  <c r="CM24" i="328"/>
  <c r="CM486" i="321"/>
  <c r="CM488" i="321"/>
  <c r="CU499" i="321"/>
  <c r="CU103" i="282"/>
  <c r="CU108" i="282"/>
  <c r="CU512" i="321"/>
  <c r="CU506" i="321"/>
  <c r="CT91" i="286"/>
  <c r="CT93" i="286"/>
  <c r="CT104" i="286"/>
  <c r="CT94" i="286"/>
  <c r="CT105" i="286"/>
  <c r="CT106" i="286"/>
  <c r="CT109" i="286"/>
  <c r="CT111" i="286"/>
  <c r="CT201" i="288"/>
  <c r="CT98" i="286"/>
  <c r="CT99" i="286"/>
  <c r="CU116" i="282"/>
  <c r="CU25" i="315"/>
  <c r="CU27" i="315"/>
  <c r="CN483" i="321"/>
  <c r="CM124" i="265"/>
  <c r="CM88" i="265"/>
  <c r="CM89" i="265"/>
  <c r="CM10" i="286"/>
  <c r="CM11" i="286"/>
  <c r="CN452" i="321"/>
  <c r="CN454" i="321"/>
  <c r="CN477" i="321"/>
  <c r="CU112" i="282"/>
  <c r="CU117" i="282"/>
  <c r="CU96" i="286"/>
  <c r="CT122" i="315"/>
  <c r="CT112" i="286"/>
  <c r="CT202" i="288"/>
  <c r="CT116" i="286"/>
  <c r="CT117" i="286"/>
  <c r="CT87" i="315"/>
  <c r="CU114" i="286"/>
  <c r="CT123" i="315"/>
  <c r="CT88" i="315"/>
  <c r="CT89" i="315"/>
  <c r="CU90" i="286"/>
  <c r="CU120" i="282"/>
  <c r="CU121" i="282"/>
  <c r="CU123" i="282"/>
  <c r="CU124" i="282"/>
  <c r="CN455" i="321"/>
  <c r="CN35" i="282"/>
  <c r="CN40" i="282"/>
  <c r="CN468" i="321"/>
  <c r="CN462" i="321"/>
  <c r="CM14" i="286"/>
  <c r="CM16" i="286"/>
  <c r="CM27" i="286"/>
  <c r="CM17" i="286"/>
  <c r="CM28" i="286"/>
  <c r="CM29" i="286"/>
  <c r="CM32" i="286"/>
  <c r="CM34" i="286"/>
  <c r="CM21" i="286"/>
  <c r="CM22" i="286"/>
  <c r="CM51" i="288"/>
  <c r="CN48" i="282"/>
  <c r="CN27" i="265"/>
  <c r="CU136" i="282"/>
  <c r="CU130" i="282"/>
  <c r="CU126" i="282"/>
  <c r="CU128" i="282"/>
  <c r="CT131" i="286"/>
  <c r="CT143" i="286"/>
  <c r="CT144" i="286"/>
  <c r="CT147" i="286"/>
  <c r="CT148" i="286"/>
  <c r="CU108" i="286"/>
  <c r="CT132" i="286"/>
  <c r="CT198" i="288"/>
  <c r="CT192" i="288"/>
  <c r="CT194" i="288"/>
  <c r="CT124" i="286"/>
  <c r="CT125" i="286"/>
  <c r="CT149" i="286"/>
  <c r="CT133" i="286"/>
  <c r="CU131" i="282"/>
  <c r="CU137" i="282"/>
  <c r="CU132" i="282"/>
  <c r="CU138" i="282"/>
  <c r="CV135" i="282"/>
  <c r="CN29" i="265"/>
  <c r="AY27" i="277"/>
  <c r="CN19" i="286"/>
  <c r="CM126" i="265"/>
  <c r="CM35" i="286"/>
  <c r="CM39" i="286"/>
  <c r="CM40" i="286"/>
  <c r="CM52" i="288"/>
  <c r="CM91" i="265"/>
  <c r="CN37" i="286"/>
  <c r="CM127" i="265"/>
  <c r="CM92" i="265"/>
  <c r="CM93" i="265"/>
  <c r="CN13" i="286"/>
  <c r="AY29" i="277"/>
  <c r="CN44" i="282"/>
  <c r="CN49" i="282"/>
  <c r="CV127" i="282"/>
  <c r="CU143" i="282"/>
  <c r="CU144" i="282"/>
  <c r="CU130" i="286"/>
  <c r="CT103" i="315"/>
  <c r="CT108" i="315"/>
  <c r="CT110" i="315"/>
  <c r="CT130" i="315"/>
  <c r="CT33" i="315"/>
  <c r="CT34" i="315"/>
  <c r="CT91" i="315"/>
  <c r="CT92" i="315"/>
  <c r="CU122" i="286"/>
  <c r="CT124" i="315"/>
  <c r="CT125" i="315"/>
  <c r="CT131" i="315"/>
  <c r="CT197" i="288"/>
  <c r="CT204" i="288"/>
  <c r="CT207" i="288"/>
  <c r="CU138" i="286"/>
  <c r="CT133" i="315"/>
  <c r="CT132" i="315"/>
  <c r="CU502" i="321"/>
  <c r="CU127" i="314"/>
  <c r="CU142" i="286"/>
  <c r="CU86" i="286"/>
  <c r="CU145" i="282"/>
  <c r="CN52" i="282"/>
  <c r="CN53" i="282"/>
  <c r="CN55" i="282"/>
  <c r="CN56" i="282"/>
  <c r="CM54" i="286"/>
  <c r="CM75" i="286"/>
  <c r="CM76" i="286"/>
  <c r="CM79" i="286"/>
  <c r="CM80" i="286"/>
  <c r="CN31" i="286"/>
  <c r="CM55" i="286"/>
  <c r="CM47" i="286"/>
  <c r="CM48" i="286"/>
  <c r="CM48" i="288"/>
  <c r="CM42" i="288"/>
  <c r="CM44" i="288"/>
  <c r="CM81" i="286"/>
  <c r="CM25" i="328"/>
  <c r="CM56" i="286"/>
  <c r="CN68" i="282"/>
  <c r="CN62" i="282"/>
  <c r="CN58" i="282"/>
  <c r="CN60" i="282"/>
  <c r="CU44" i="315"/>
  <c r="CU45" i="315"/>
  <c r="CU29" i="315"/>
  <c r="CU31" i="315"/>
  <c r="CU139" i="286"/>
  <c r="CU140" i="286"/>
  <c r="CU146" i="286"/>
  <c r="CU123" i="286"/>
  <c r="CU177" i="288"/>
  <c r="CU179" i="288"/>
  <c r="CU63" i="315"/>
  <c r="CN63" i="282"/>
  <c r="CN69" i="282"/>
  <c r="CN64" i="282"/>
  <c r="CN70" i="282"/>
  <c r="CO67" i="282"/>
  <c r="CN53" i="286"/>
  <c r="CM58" i="286"/>
  <c r="CM64" i="286"/>
  <c r="CM107" i="265"/>
  <c r="CM35" i="265"/>
  <c r="CM95" i="265"/>
  <c r="CM47" i="288"/>
  <c r="CM54" i="288"/>
  <c r="CN45" i="286"/>
  <c r="CM128" i="265"/>
  <c r="CM129" i="265"/>
  <c r="CM135" i="265"/>
  <c r="CN70" i="286"/>
  <c r="CM57" i="288"/>
  <c r="CM96" i="265"/>
  <c r="CM36" i="265"/>
  <c r="CM59" i="328"/>
  <c r="CM112" i="265"/>
  <c r="CM114" i="265"/>
  <c r="CM134" i="265"/>
  <c r="CN458" i="321"/>
  <c r="CN48" i="314"/>
  <c r="CN9" i="286"/>
  <c r="CN74" i="286"/>
  <c r="CO59" i="282"/>
  <c r="CN75" i="282"/>
  <c r="CN76" i="282"/>
  <c r="CU73" i="315"/>
  <c r="CU263" i="288"/>
  <c r="CU235" i="288"/>
  <c r="CU215" i="288"/>
  <c r="CU182" i="288"/>
  <c r="CU237" i="288"/>
  <c r="CU239" i="288"/>
  <c r="CU128" i="314"/>
  <c r="CU130" i="314"/>
  <c r="CN77" i="282"/>
  <c r="CM137" i="265"/>
  <c r="CM136" i="265"/>
  <c r="CN46" i="265"/>
  <c r="CN31" i="265"/>
  <c r="CU132" i="314"/>
  <c r="CU133" i="314"/>
  <c r="CU143" i="314"/>
  <c r="CU145" i="314"/>
  <c r="CU135" i="314"/>
  <c r="CU137" i="314"/>
  <c r="CU139" i="314"/>
  <c r="CU141" i="314"/>
  <c r="CU146" i="314"/>
  <c r="CU161" i="314"/>
  <c r="AY31" i="277"/>
  <c r="CN33" i="265"/>
  <c r="CN47" i="265"/>
  <c r="AY46" i="277"/>
  <c r="AY47" i="277"/>
  <c r="CN27" i="288"/>
  <c r="CN29" i="288"/>
  <c r="CN65" i="265"/>
  <c r="CN71" i="286"/>
  <c r="CN72" i="286"/>
  <c r="CN78" i="286"/>
  <c r="CN46" i="286"/>
  <c r="AY33" i="277"/>
  <c r="CU75" i="315"/>
  <c r="CU152" i="314"/>
  <c r="CU154" i="314"/>
  <c r="CU76" i="315"/>
  <c r="CU162" i="314"/>
  <c r="CU163" i="314"/>
  <c r="CU78" i="315"/>
  <c r="CN77" i="265"/>
  <c r="CN113" i="288"/>
  <c r="CN10" i="321"/>
  <c r="CN12" i="321"/>
  <c r="CN85" i="288"/>
  <c r="CN20" i="328"/>
  <c r="CN65" i="288"/>
  <c r="CN32" i="288"/>
  <c r="AY65" i="277"/>
  <c r="AY77" i="277"/>
  <c r="CN87" i="288"/>
  <c r="CN89" i="288"/>
  <c r="CN39" i="311"/>
  <c r="CN49" i="314"/>
  <c r="CN51" i="314"/>
  <c r="CU81" i="315"/>
  <c r="CV160" i="314"/>
  <c r="CU107" i="315"/>
  <c r="CV116" i="314"/>
  <c r="CV119" i="314"/>
  <c r="CV140" i="314"/>
  <c r="CU503" i="321"/>
  <c r="CU504" i="321"/>
  <c r="CN53" i="314"/>
  <c r="CN54" i="314"/>
  <c r="CN64" i="314"/>
  <c r="CN66" i="314"/>
  <c r="CN56" i="314"/>
  <c r="CN58" i="314"/>
  <c r="CN80" i="311"/>
  <c r="CN60" i="314"/>
  <c r="CN62" i="314"/>
  <c r="CN67" i="314"/>
  <c r="CN82" i="314"/>
  <c r="CU507" i="321"/>
  <c r="CU508" i="321"/>
  <c r="CU517" i="321"/>
  <c r="CV122" i="314"/>
  <c r="CV124" i="314"/>
  <c r="CV149" i="314"/>
  <c r="CV150" i="314"/>
  <c r="CV153" i="314"/>
  <c r="H150" i="314"/>
  <c r="H153" i="314"/>
  <c r="CV144" i="314"/>
  <c r="H124" i="314"/>
  <c r="H144" i="314"/>
  <c r="CU513" i="321"/>
  <c r="CU514" i="321"/>
  <c r="CU518" i="321"/>
  <c r="CU519" i="321"/>
  <c r="CU522" i="321"/>
  <c r="CU523" i="321"/>
  <c r="CU509" i="321"/>
  <c r="CU199" i="288"/>
  <c r="CU193" i="288"/>
  <c r="CN79" i="265"/>
  <c r="CN73" i="314"/>
  <c r="CN75" i="314"/>
  <c r="CN80" i="265"/>
  <c r="AY80" i="277"/>
  <c r="CN83" i="314"/>
  <c r="CN84" i="314"/>
  <c r="AY79" i="277"/>
  <c r="CN82" i="265"/>
  <c r="CU83" i="315"/>
  <c r="CU531" i="321"/>
  <c r="CU524" i="321"/>
  <c r="CU200" i="288"/>
  <c r="CU530" i="321"/>
  <c r="CU532" i="321"/>
  <c r="CV527" i="321"/>
  <c r="CU120" i="315"/>
  <c r="CU84" i="315"/>
  <c r="CU85" i="315"/>
  <c r="CN85" i="265"/>
  <c r="AY82" i="277"/>
  <c r="CO81" i="314"/>
  <c r="CN111" i="265"/>
  <c r="CN87" i="314"/>
  <c r="CN90" i="314"/>
  <c r="CN60" i="328"/>
  <c r="AY111" i="277"/>
  <c r="CO37" i="314"/>
  <c r="CO40" i="314"/>
  <c r="CO61" i="314"/>
  <c r="AY85" i="277"/>
  <c r="CN459" i="321"/>
  <c r="CN460" i="321"/>
  <c r="CU87" i="286"/>
  <c r="CU88" i="286"/>
  <c r="CV496" i="321"/>
  <c r="CV498" i="321"/>
  <c r="CV521" i="321"/>
  <c r="CV499" i="321"/>
  <c r="CV103" i="282"/>
  <c r="CV108" i="282"/>
  <c r="CV506" i="321"/>
  <c r="CV512" i="321"/>
  <c r="H498" i="321"/>
  <c r="CU91" i="286"/>
  <c r="CU93" i="286"/>
  <c r="CU104" i="286"/>
  <c r="CN463" i="321"/>
  <c r="CN464" i="321"/>
  <c r="CN473" i="321"/>
  <c r="CO43" i="314"/>
  <c r="CO45" i="314"/>
  <c r="CO70" i="314"/>
  <c r="CO71" i="314"/>
  <c r="CO74" i="314"/>
  <c r="CO65" i="314"/>
  <c r="CN469" i="321"/>
  <c r="CN470" i="321"/>
  <c r="CN474" i="321"/>
  <c r="CN475" i="321"/>
  <c r="CN478" i="321"/>
  <c r="CN479" i="321"/>
  <c r="CN465" i="321"/>
  <c r="CN49" i="288"/>
  <c r="CN43" i="288"/>
  <c r="CN23" i="328"/>
  <c r="CU94" i="286"/>
  <c r="CU105" i="286"/>
  <c r="CU106" i="286"/>
  <c r="CU109" i="286"/>
  <c r="CU111" i="286"/>
  <c r="CU201" i="288"/>
  <c r="CU98" i="286"/>
  <c r="CU99" i="286"/>
  <c r="H103" i="282"/>
  <c r="H506" i="321"/>
  <c r="H512" i="321"/>
  <c r="CV116" i="282"/>
  <c r="H108" i="282"/>
  <c r="H116" i="282"/>
  <c r="CV25" i="315"/>
  <c r="CV27" i="315"/>
  <c r="H499" i="321"/>
  <c r="H25" i="315"/>
  <c r="CV112" i="282"/>
  <c r="CV117" i="282"/>
  <c r="H27" i="315"/>
  <c r="H112" i="282"/>
  <c r="CV96" i="286"/>
  <c r="CU122" i="315"/>
  <c r="CU112" i="286"/>
  <c r="CU202" i="288"/>
  <c r="CU116" i="286"/>
  <c r="CU117" i="286"/>
  <c r="CU87" i="315"/>
  <c r="CN87" i="265"/>
  <c r="CN487" i="321"/>
  <c r="CN480" i="321"/>
  <c r="CN50" i="288"/>
  <c r="CN24" i="328"/>
  <c r="CN486" i="321"/>
  <c r="CN488" i="321"/>
  <c r="CO483" i="321"/>
  <c r="CN124" i="265"/>
  <c r="CN88" i="265"/>
  <c r="AY88" i="277"/>
  <c r="AY87" i="277"/>
  <c r="CN89" i="265"/>
  <c r="CV114" i="286"/>
  <c r="CU123" i="315"/>
  <c r="CU88" i="315"/>
  <c r="CU89" i="315"/>
  <c r="CV90" i="286"/>
  <c r="CV120" i="282"/>
  <c r="CV121" i="282"/>
  <c r="CV123" i="282"/>
  <c r="CV124" i="282"/>
  <c r="H117" i="282"/>
  <c r="H123" i="282"/>
  <c r="H120" i="282"/>
  <c r="CV136" i="282"/>
  <c r="H124" i="282"/>
  <c r="H136" i="282"/>
  <c r="CV130" i="282"/>
  <c r="CV126" i="282"/>
  <c r="CV128" i="282"/>
  <c r="H121" i="282"/>
  <c r="CU143" i="286"/>
  <c r="CU144" i="286"/>
  <c r="CU147" i="286"/>
  <c r="CU148" i="286"/>
  <c r="CU131" i="286"/>
  <c r="CV108" i="286"/>
  <c r="CN10" i="286"/>
  <c r="CN11" i="286"/>
  <c r="AY89" i="277"/>
  <c r="AY124" i="277"/>
  <c r="CO452" i="321"/>
  <c r="CO454" i="321"/>
  <c r="CO477" i="321"/>
  <c r="CO455" i="321"/>
  <c r="CO35" i="282"/>
  <c r="CO40" i="282"/>
  <c r="CO468" i="321"/>
  <c r="CO462" i="321"/>
  <c r="CN14" i="286"/>
  <c r="CN16" i="286"/>
  <c r="CN27" i="286"/>
  <c r="CU198" i="288"/>
  <c r="CU192" i="288"/>
  <c r="CU194" i="288"/>
  <c r="CU124" i="286"/>
  <c r="CU125" i="286"/>
  <c r="CU132" i="286"/>
  <c r="CU133" i="286"/>
  <c r="CU149" i="286"/>
  <c r="H126" i="282"/>
  <c r="H130" i="282"/>
  <c r="CV131" i="282"/>
  <c r="CV137" i="282"/>
  <c r="H128" i="282"/>
  <c r="CV132" i="282"/>
  <c r="CV138" i="282"/>
  <c r="CV143" i="282"/>
  <c r="CV144" i="282"/>
  <c r="H132" i="282"/>
  <c r="H143" i="282"/>
  <c r="H137" i="282"/>
  <c r="H131" i="282"/>
  <c r="CU33" i="315"/>
  <c r="CU34" i="315"/>
  <c r="CU91" i="315"/>
  <c r="CU92" i="315"/>
  <c r="CV130" i="286"/>
  <c r="CU103" i="315"/>
  <c r="CU108" i="315"/>
  <c r="CU110" i="315"/>
  <c r="CU130" i="315"/>
  <c r="CV122" i="286"/>
  <c r="CU124" i="315"/>
  <c r="CU125" i="315"/>
  <c r="CU131" i="315"/>
  <c r="CU197" i="288"/>
  <c r="CU204" i="288"/>
  <c r="CN17" i="286"/>
  <c r="CN28" i="286"/>
  <c r="CN29" i="286"/>
  <c r="CN32" i="286"/>
  <c r="CN34" i="286"/>
  <c r="CN21" i="286"/>
  <c r="CN22" i="286"/>
  <c r="CN51" i="288"/>
  <c r="CO48" i="282"/>
  <c r="CO27" i="265"/>
  <c r="CO29" i="265"/>
  <c r="CO19" i="286"/>
  <c r="CN126" i="265"/>
  <c r="CN35" i="286"/>
  <c r="CN39" i="286"/>
  <c r="CN40" i="286"/>
  <c r="CN52" i="288"/>
  <c r="CN91" i="265"/>
  <c r="CU207" i="288"/>
  <c r="CV138" i="286"/>
  <c r="CU133" i="315"/>
  <c r="CU132" i="315"/>
  <c r="CV142" i="286"/>
  <c r="CV127" i="314"/>
  <c r="CV502" i="321"/>
  <c r="CV86" i="286"/>
  <c r="CV145" i="282"/>
  <c r="H144" i="282"/>
  <c r="CV44" i="315"/>
  <c r="CV45" i="315"/>
  <c r="CV29" i="315"/>
  <c r="CV31" i="315"/>
  <c r="H145" i="282"/>
  <c r="AY91" i="277"/>
  <c r="CO37" i="286"/>
  <c r="CN127" i="265"/>
  <c r="AY127" i="277"/>
  <c r="CN92" i="265"/>
  <c r="CN93" i="265"/>
  <c r="AY126" i="277"/>
  <c r="CO13" i="286"/>
  <c r="CO44" i="282"/>
  <c r="CO49" i="282"/>
  <c r="CO52" i="282"/>
  <c r="CO53" i="282"/>
  <c r="CO55" i="282"/>
  <c r="CO56" i="282"/>
  <c r="CN54" i="286"/>
  <c r="CN75" i="286"/>
  <c r="CN76" i="286"/>
  <c r="CN79" i="286"/>
  <c r="CN80" i="286"/>
  <c r="CO31" i="286"/>
  <c r="AY93" i="277"/>
  <c r="H44" i="315"/>
  <c r="H29" i="315"/>
  <c r="CV139" i="286"/>
  <c r="CV140" i="286"/>
  <c r="CV146" i="286"/>
  <c r="CV123" i="286"/>
  <c r="H31" i="315"/>
  <c r="CV177" i="288"/>
  <c r="CV179" i="288"/>
  <c r="CV63" i="315"/>
  <c r="H45" i="315"/>
  <c r="H177" i="288"/>
  <c r="CV73" i="315"/>
  <c r="CV263" i="288"/>
  <c r="CU265" i="288"/>
  <c r="CV215" i="288"/>
  <c r="CV235" i="288"/>
  <c r="CV237" i="288"/>
  <c r="CV239" i="288"/>
  <c r="H63" i="315"/>
  <c r="CV182" i="288"/>
  <c r="F185" i="288"/>
  <c r="H179" i="288"/>
  <c r="H182" i="288"/>
  <c r="H139" i="286"/>
  <c r="H123" i="286"/>
  <c r="CN55" i="286"/>
  <c r="CN47" i="286"/>
  <c r="CN48" i="286"/>
  <c r="CN48" i="288"/>
  <c r="CN42" i="288"/>
  <c r="CN44" i="288"/>
  <c r="CN81" i="286"/>
  <c r="CN25" i="328"/>
  <c r="CN56" i="286"/>
  <c r="CO68" i="282"/>
  <c r="CO62" i="282"/>
  <c r="CO58" i="282"/>
  <c r="CO60" i="282"/>
  <c r="CO63" i="282"/>
  <c r="CO69" i="282"/>
  <c r="CO64" i="282"/>
  <c r="CO70" i="282"/>
  <c r="CP67" i="282"/>
  <c r="CO53" i="286"/>
  <c r="CN58" i="286"/>
  <c r="CN64" i="286"/>
  <c r="CN107" i="265"/>
  <c r="CN35" i="265"/>
  <c r="CN95" i="265"/>
  <c r="CN47" i="288"/>
  <c r="CN54" i="288"/>
  <c r="CO45" i="286"/>
  <c r="CN128" i="265"/>
  <c r="H14" i="269"/>
  <c r="K14" i="269"/>
  <c r="F96" i="328"/>
  <c r="M7" i="326"/>
  <c r="H215" i="288"/>
  <c r="H235" i="288"/>
  <c r="H263" i="288"/>
  <c r="CU267" i="288"/>
  <c r="CT265" i="288"/>
  <c r="CV128" i="314"/>
  <c r="CV130" i="314"/>
  <c r="H73" i="315"/>
  <c r="H128" i="314"/>
  <c r="CV132" i="314"/>
  <c r="CV133" i="314"/>
  <c r="CV143" i="314"/>
  <c r="CV145" i="314"/>
  <c r="CV135" i="314"/>
  <c r="CV137" i="314"/>
  <c r="CT267" i="288"/>
  <c r="CS265" i="288"/>
  <c r="J14" i="269"/>
  <c r="L14" i="269"/>
  <c r="AY128" i="277"/>
  <c r="AY129" i="277"/>
  <c r="AY135" i="277"/>
  <c r="CN129" i="265"/>
  <c r="CN135" i="265"/>
  <c r="CO70" i="286"/>
  <c r="CN57" i="288"/>
  <c r="AY95" i="277"/>
  <c r="CN96" i="265"/>
  <c r="AY35" i="277"/>
  <c r="CN36" i="265"/>
  <c r="CN59" i="328"/>
  <c r="AY107" i="277"/>
  <c r="AY112" i="277"/>
  <c r="AY114" i="277"/>
  <c r="AY134" i="277"/>
  <c r="CN112" i="265"/>
  <c r="CN114" i="265"/>
  <c r="CN134" i="265"/>
  <c r="CO458" i="321"/>
  <c r="CO48" i="314"/>
  <c r="CO9" i="286"/>
  <c r="CO74" i="286"/>
  <c r="CP59" i="282"/>
  <c r="CO75" i="282"/>
  <c r="CO76" i="282"/>
  <c r="CO77" i="282"/>
  <c r="CN137" i="265"/>
  <c r="CN136" i="265"/>
  <c r="AY137" i="277"/>
  <c r="AY136" i="277"/>
  <c r="AY36" i="277"/>
  <c r="AY96" i="277"/>
  <c r="CS267" i="288"/>
  <c r="CR265" i="288"/>
  <c r="CV139" i="314"/>
  <c r="CV141" i="314"/>
  <c r="H137" i="314"/>
  <c r="H139" i="314"/>
  <c r="CV146" i="314"/>
  <c r="CV161" i="314"/>
  <c r="H145" i="314"/>
  <c r="H161" i="314"/>
  <c r="CV75" i="315"/>
  <c r="H146" i="314"/>
  <c r="H75" i="315"/>
  <c r="CV152" i="314"/>
  <c r="CV154" i="314"/>
  <c r="H141" i="314"/>
  <c r="H152" i="314"/>
  <c r="CR267" i="288"/>
  <c r="CQ265" i="288"/>
  <c r="CO46" i="265"/>
  <c r="CO31" i="265"/>
  <c r="CO33" i="265"/>
  <c r="CO47" i="265"/>
  <c r="CQ267" i="288"/>
  <c r="CP265" i="288"/>
  <c r="CV76" i="315"/>
  <c r="CV162" i="314"/>
  <c r="CV163" i="314"/>
  <c r="CV107" i="315"/>
  <c r="H154" i="314"/>
  <c r="CV78" i="315"/>
  <c r="CV81" i="315"/>
  <c r="H78" i="315"/>
  <c r="H162" i="314"/>
  <c r="H76" i="315"/>
  <c r="CP267" i="288"/>
  <c r="CO265" i="288"/>
  <c r="CO27" i="288"/>
  <c r="CO29" i="288"/>
  <c r="CO65" i="265"/>
  <c r="CO71" i="286"/>
  <c r="CO72" i="286"/>
  <c r="CO78" i="286"/>
  <c r="CO46" i="286"/>
  <c r="CO77" i="265"/>
  <c r="CO113" i="288"/>
  <c r="CO10" i="321"/>
  <c r="CO12" i="321"/>
  <c r="CO85" i="288"/>
  <c r="CO65" i="288"/>
  <c r="CO20" i="328"/>
  <c r="CO32" i="288"/>
  <c r="CO267" i="288"/>
  <c r="CN265" i="288"/>
  <c r="CV503" i="321"/>
  <c r="CV504" i="321"/>
  <c r="H81" i="315"/>
  <c r="H503" i="321"/>
  <c r="CV507" i="321"/>
  <c r="CV508" i="321"/>
  <c r="CV517" i="321"/>
  <c r="CN267" i="288"/>
  <c r="CM265" i="288"/>
  <c r="CO87" i="288"/>
  <c r="CO89" i="288"/>
  <c r="CO39" i="311"/>
  <c r="CO49" i="314"/>
  <c r="CO51" i="314"/>
  <c r="CO53" i="314"/>
  <c r="CO54" i="314"/>
  <c r="CO64" i="314"/>
  <c r="CO66" i="314"/>
  <c r="CO56" i="314"/>
  <c r="CO58" i="314"/>
  <c r="CO80" i="311"/>
  <c r="CM267" i="288"/>
  <c r="CL265" i="288"/>
  <c r="CV509" i="321"/>
  <c r="CV518" i="321"/>
  <c r="CV519" i="321"/>
  <c r="CV522" i="321"/>
  <c r="CV523" i="321"/>
  <c r="CV199" i="288"/>
  <c r="CV193" i="288"/>
  <c r="CV513" i="321"/>
  <c r="CV514" i="321"/>
  <c r="H508" i="321"/>
  <c r="H513" i="321"/>
  <c r="H193" i="288"/>
  <c r="H199" i="288"/>
  <c r="H518" i="321"/>
  <c r="CV530" i="321"/>
  <c r="H514" i="321"/>
  <c r="H530" i="321"/>
  <c r="CV524" i="321"/>
  <c r="CV200" i="288"/>
  <c r="CV531" i="321"/>
  <c r="H523" i="321"/>
  <c r="CV83" i="315"/>
  <c r="H509" i="321"/>
  <c r="H83" i="315"/>
  <c r="CL267" i="288"/>
  <c r="CK265" i="288"/>
  <c r="CO60" i="314"/>
  <c r="CO62" i="314"/>
  <c r="CO67" i="314"/>
  <c r="CO82" i="314"/>
  <c r="CO79" i="265"/>
  <c r="CO73" i="314"/>
  <c r="CO75" i="314"/>
  <c r="CK267" i="288"/>
  <c r="CJ265" i="288"/>
  <c r="H531" i="321"/>
  <c r="H200" i="288"/>
  <c r="CV84" i="315"/>
  <c r="CV85" i="315"/>
  <c r="H524" i="321"/>
  <c r="H84" i="315"/>
  <c r="CV532" i="321"/>
  <c r="CV120" i="315"/>
  <c r="CV87" i="286"/>
  <c r="CV88" i="286"/>
  <c r="H85" i="315"/>
  <c r="H87" i="286"/>
  <c r="CJ267" i="288"/>
  <c r="CI265" i="288"/>
  <c r="CO80" i="265"/>
  <c r="CO83" i="314"/>
  <c r="CO84" i="314"/>
  <c r="CO82" i="265"/>
  <c r="CO85" i="265"/>
  <c r="CP81" i="314"/>
  <c r="CO111" i="265"/>
  <c r="CO60" i="328"/>
  <c r="CO87" i="314"/>
  <c r="CO90" i="314"/>
  <c r="CI267" i="288"/>
  <c r="CH265" i="288"/>
  <c r="CV91" i="286"/>
  <c r="CV93" i="286"/>
  <c r="CV104" i="286"/>
  <c r="CV94" i="286"/>
  <c r="CV105" i="286"/>
  <c r="CV106" i="286"/>
  <c r="CV109" i="286"/>
  <c r="CV111" i="286"/>
  <c r="CV201" i="288"/>
  <c r="CV98" i="286"/>
  <c r="CV99" i="286"/>
  <c r="CV122" i="315"/>
  <c r="H93" i="286"/>
  <c r="CH267" i="288"/>
  <c r="CG265" i="288"/>
  <c r="CP37" i="314"/>
  <c r="CP40" i="314"/>
  <c r="CP61" i="314"/>
  <c r="CO459" i="321"/>
  <c r="CO460" i="321"/>
  <c r="CO463" i="321"/>
  <c r="CO464" i="321"/>
  <c r="CO473" i="321"/>
  <c r="CP43" i="314"/>
  <c r="CP45" i="314"/>
  <c r="CP70" i="314"/>
  <c r="CP71" i="314"/>
  <c r="CG267" i="288"/>
  <c r="CF265" i="288"/>
  <c r="H201" i="288"/>
  <c r="H105" i="286"/>
  <c r="H98" i="286"/>
  <c r="CV112" i="286"/>
  <c r="CV202" i="288"/>
  <c r="CV116" i="286"/>
  <c r="CV117" i="286"/>
  <c r="CV123" i="315"/>
  <c r="H111" i="286"/>
  <c r="CV87" i="315"/>
  <c r="H94" i="286"/>
  <c r="H87" i="315"/>
  <c r="H116" i="286"/>
  <c r="H202" i="288"/>
  <c r="CV88" i="315"/>
  <c r="CV89" i="315"/>
  <c r="H112" i="286"/>
  <c r="H88" i="315"/>
  <c r="CF267" i="288"/>
  <c r="CE265" i="288"/>
  <c r="CP74" i="314"/>
  <c r="CP65" i="314"/>
  <c r="CO469" i="321"/>
  <c r="CO470" i="321"/>
  <c r="CO474" i="321"/>
  <c r="CO475" i="321"/>
  <c r="CO478" i="321"/>
  <c r="CO479" i="321"/>
  <c r="CO465" i="321"/>
  <c r="CO49" i="288"/>
  <c r="CO43" i="288"/>
  <c r="CO23" i="328"/>
  <c r="CO87" i="265"/>
  <c r="CO487" i="321"/>
  <c r="CO480" i="321"/>
  <c r="CO50" i="288"/>
  <c r="CO24" i="328"/>
  <c r="CO486" i="321"/>
  <c r="CO488" i="321"/>
  <c r="CE267" i="288"/>
  <c r="CD265" i="288"/>
  <c r="CV143" i="286"/>
  <c r="CV144" i="286"/>
  <c r="CV147" i="286"/>
  <c r="CV148" i="286"/>
  <c r="CV131" i="286"/>
  <c r="H89" i="315"/>
  <c r="H143" i="286"/>
  <c r="H131" i="286"/>
  <c r="CV198" i="288"/>
  <c r="CV192" i="288"/>
  <c r="CV194" i="288"/>
  <c r="CV132" i="286"/>
  <c r="CV133" i="286"/>
  <c r="CV103" i="315"/>
  <c r="CV108" i="315"/>
  <c r="CV110" i="315"/>
  <c r="CV130" i="315"/>
  <c r="CV124" i="286"/>
  <c r="CV125" i="286"/>
  <c r="CV124" i="315"/>
  <c r="CV125" i="315"/>
  <c r="CV131" i="315"/>
  <c r="CV149" i="286"/>
  <c r="H148" i="286"/>
  <c r="CD267" i="288"/>
  <c r="CC265" i="288"/>
  <c r="CP483" i="321"/>
  <c r="CO124" i="265"/>
  <c r="CO88" i="265"/>
  <c r="CO89" i="265"/>
  <c r="CO10" i="286"/>
  <c r="CO11" i="286"/>
  <c r="CP452" i="321"/>
  <c r="CP454" i="321"/>
  <c r="CP477" i="321"/>
  <c r="CC267" i="288"/>
  <c r="CB265" i="288"/>
  <c r="H192" i="288"/>
  <c r="H132" i="286"/>
  <c r="H198" i="288"/>
  <c r="H124" i="286"/>
  <c r="CV33" i="315"/>
  <c r="CV34" i="315"/>
  <c r="H34" i="315"/>
  <c r="CV91" i="315"/>
  <c r="CV92" i="315"/>
  <c r="H92" i="315"/>
  <c r="H149" i="286"/>
  <c r="CV133" i="315"/>
  <c r="H133" i="315"/>
  <c r="CV132" i="315"/>
  <c r="F132" i="315"/>
  <c r="F14" i="264"/>
  <c r="CV197" i="288"/>
  <c r="H194" i="288"/>
  <c r="H197" i="288"/>
  <c r="CV204" i="288"/>
  <c r="CV207" i="288"/>
  <c r="F210" i="288"/>
  <c r="H204" i="288"/>
  <c r="H207" i="288"/>
  <c r="H33" i="315"/>
  <c r="H91" i="315"/>
  <c r="CB267" i="288"/>
  <c r="CA265" i="288"/>
  <c r="CP455" i="321"/>
  <c r="CP35" i="282"/>
  <c r="CP40" i="282"/>
  <c r="CP468" i="321"/>
  <c r="CP462" i="321"/>
  <c r="CO14" i="286"/>
  <c r="CO16" i="286"/>
  <c r="CO27" i="286"/>
  <c r="CO17" i="286"/>
  <c r="CO28" i="286"/>
  <c r="CO29" i="286"/>
  <c r="CO32" i="286"/>
  <c r="CO34" i="286"/>
  <c r="CO21" i="286"/>
  <c r="CO22" i="286"/>
  <c r="CO51" i="288"/>
  <c r="CP48" i="282"/>
  <c r="CP27" i="265"/>
  <c r="CA267" i="288"/>
  <c r="BZ265" i="288"/>
  <c r="H17" i="269"/>
  <c r="K17" i="269"/>
  <c r="F95" i="328"/>
  <c r="M6" i="326"/>
  <c r="J17" i="269"/>
  <c r="L17" i="269"/>
  <c r="BZ267" i="288"/>
  <c r="BY265" i="288"/>
  <c r="CP29" i="265"/>
  <c r="AZ27" i="277"/>
  <c r="CP19" i="286"/>
  <c r="CO126" i="265"/>
  <c r="CO35" i="286"/>
  <c r="CO39" i="286"/>
  <c r="CO40" i="286"/>
  <c r="CO52" i="288"/>
  <c r="CO91" i="265"/>
  <c r="CP37" i="286"/>
  <c r="CO127" i="265"/>
  <c r="CO92" i="265"/>
  <c r="CO93" i="265"/>
  <c r="CP13" i="286"/>
  <c r="AZ29" i="277"/>
  <c r="CP44" i="282"/>
  <c r="CP49" i="282"/>
  <c r="BY267" i="288"/>
  <c r="BX265" i="288"/>
  <c r="BX267" i="288"/>
  <c r="BW265" i="288"/>
  <c r="CP52" i="282"/>
  <c r="CP53" i="282"/>
  <c r="CP55" i="282"/>
  <c r="CP56" i="282"/>
  <c r="CO54" i="286"/>
  <c r="CO75" i="286"/>
  <c r="CO76" i="286"/>
  <c r="CO79" i="286"/>
  <c r="CO80" i="286"/>
  <c r="CP31" i="286"/>
  <c r="CO55" i="286"/>
  <c r="CO47" i="286"/>
  <c r="CO48" i="286"/>
  <c r="CO48" i="288"/>
  <c r="CO42" i="288"/>
  <c r="CO44" i="288"/>
  <c r="CO81" i="286"/>
  <c r="CO25" i="328"/>
  <c r="CO56" i="286"/>
  <c r="CP68" i="282"/>
  <c r="CP62" i="282"/>
  <c r="CP58" i="282"/>
  <c r="CP60" i="282"/>
  <c r="BW267" i="288"/>
  <c r="BV265" i="288"/>
  <c r="BV267" i="288"/>
  <c r="BU265" i="288"/>
  <c r="CP63" i="282"/>
  <c r="CP69" i="282"/>
  <c r="CP64" i="282"/>
  <c r="CP70" i="282"/>
  <c r="CQ67" i="282"/>
  <c r="CP53" i="286"/>
  <c r="CO58" i="286"/>
  <c r="CO64" i="286"/>
  <c r="CO107" i="265"/>
  <c r="CO35" i="265"/>
  <c r="CO95" i="265"/>
  <c r="CO47" i="288"/>
  <c r="CO54" i="288"/>
  <c r="CP45" i="286"/>
  <c r="CO128" i="265"/>
  <c r="CO129" i="265"/>
  <c r="CO135" i="265"/>
  <c r="CP70" i="286"/>
  <c r="CO57" i="288"/>
  <c r="CO96" i="265"/>
  <c r="CO36" i="265"/>
  <c r="CO59" i="328"/>
  <c r="CO112" i="265"/>
  <c r="CO114" i="265"/>
  <c r="CO134" i="265"/>
  <c r="CP458" i="321"/>
  <c r="CP48" i="314"/>
  <c r="CP9" i="286"/>
  <c r="CP74" i="286"/>
  <c r="CQ59" i="282"/>
  <c r="CP75" i="282"/>
  <c r="CP76" i="282"/>
  <c r="BU267" i="288"/>
  <c r="BT265" i="288"/>
  <c r="BT267" i="288"/>
  <c r="BS265" i="288"/>
  <c r="CP77" i="282"/>
  <c r="CO137" i="265"/>
  <c r="CO136" i="265"/>
  <c r="CP46" i="265"/>
  <c r="CP31" i="265"/>
  <c r="BS267" i="288"/>
  <c r="BR265" i="288"/>
  <c r="BR267" i="288"/>
  <c r="BQ265" i="288"/>
  <c r="AZ31" i="277"/>
  <c r="CP33" i="265"/>
  <c r="CP47" i="265"/>
  <c r="AZ46" i="277"/>
  <c r="AZ47" i="277"/>
  <c r="CP27" i="288"/>
  <c r="CP29" i="288"/>
  <c r="CP65" i="265"/>
  <c r="CP71" i="286"/>
  <c r="CP72" i="286"/>
  <c r="CP78" i="286"/>
  <c r="CP46" i="286"/>
  <c r="AZ33" i="277"/>
  <c r="BQ267" i="288"/>
  <c r="BP265" i="288"/>
  <c r="BP267" i="288"/>
  <c r="BO265" i="288"/>
  <c r="CP77" i="265"/>
  <c r="CP113" i="288"/>
  <c r="CP10" i="321"/>
  <c r="CP12" i="321"/>
  <c r="CP85" i="288"/>
  <c r="CP20" i="328"/>
  <c r="CP65" i="288"/>
  <c r="CP32" i="288"/>
  <c r="AZ65" i="277"/>
  <c r="AZ77" i="277"/>
  <c r="CP87" i="288"/>
  <c r="CP89" i="288"/>
  <c r="CP39" i="311"/>
  <c r="CP49" i="314"/>
  <c r="CP51" i="314"/>
  <c r="BO267" i="288"/>
  <c r="BN265" i="288"/>
  <c r="BN267" i="288"/>
  <c r="BM265" i="288"/>
  <c r="CP53" i="314"/>
  <c r="CP54" i="314"/>
  <c r="CP64" i="314"/>
  <c r="CP66" i="314"/>
  <c r="CP56" i="314"/>
  <c r="CP58" i="314"/>
  <c r="CP80" i="311"/>
  <c r="CP60" i="314"/>
  <c r="CP62" i="314"/>
  <c r="CP67" i="314"/>
  <c r="CP82" i="314"/>
  <c r="BM267" i="288"/>
  <c r="BL265" i="288"/>
  <c r="BL267" i="288"/>
  <c r="BK265" i="288"/>
  <c r="CP79" i="265"/>
  <c r="CP73" i="314"/>
  <c r="CP75" i="314"/>
  <c r="CP80" i="265"/>
  <c r="AZ80" i="277"/>
  <c r="CP83" i="314"/>
  <c r="CP84" i="314"/>
  <c r="AZ79" i="277"/>
  <c r="CP82" i="265"/>
  <c r="BK267" i="288"/>
  <c r="BJ265" i="288"/>
  <c r="BJ267" i="288"/>
  <c r="BI265" i="288"/>
  <c r="CP85" i="265"/>
  <c r="AZ82" i="277"/>
  <c r="CQ81" i="314"/>
  <c r="CP111" i="265"/>
  <c r="CP87" i="314"/>
  <c r="CP90" i="314"/>
  <c r="CP60" i="328"/>
  <c r="AZ111" i="277"/>
  <c r="CQ37" i="314"/>
  <c r="CQ40" i="314"/>
  <c r="CQ61" i="314"/>
  <c r="AZ85" i="277"/>
  <c r="CP459" i="321"/>
  <c r="CP460" i="321"/>
  <c r="BI267" i="288"/>
  <c r="BH265" i="288"/>
  <c r="BH267" i="288"/>
  <c r="BG265" i="288"/>
  <c r="CP463" i="321"/>
  <c r="CP464" i="321"/>
  <c r="CP473" i="321"/>
  <c r="CQ43" i="314"/>
  <c r="CQ45" i="314"/>
  <c r="CQ70" i="314"/>
  <c r="CQ71" i="314"/>
  <c r="CQ74" i="314"/>
  <c r="CQ65" i="314"/>
  <c r="CP469" i="321"/>
  <c r="CP470" i="321"/>
  <c r="CP474" i="321"/>
  <c r="CP475" i="321"/>
  <c r="CP478" i="321"/>
  <c r="CP479" i="321"/>
  <c r="CP465" i="321"/>
  <c r="CP49" i="288"/>
  <c r="CP43" i="288"/>
  <c r="CP23" i="328"/>
  <c r="BG267" i="288"/>
  <c r="BF265" i="288"/>
  <c r="BF267" i="288"/>
  <c r="BE265" i="288"/>
  <c r="CP87" i="265"/>
  <c r="CP487" i="321"/>
  <c r="CP480" i="321"/>
  <c r="CP50" i="288"/>
  <c r="CP24" i="328"/>
  <c r="CP486" i="321"/>
  <c r="CP488" i="321"/>
  <c r="CQ483" i="321"/>
  <c r="CP124" i="265"/>
  <c r="CP88" i="265"/>
  <c r="AZ88" i="277"/>
  <c r="AZ87" i="277"/>
  <c r="CP89" i="265"/>
  <c r="BE267" i="288"/>
  <c r="BD265" i="288"/>
  <c r="BD267" i="288"/>
  <c r="BC265" i="288"/>
  <c r="CP10" i="286"/>
  <c r="CP11" i="286"/>
  <c r="AZ89" i="277"/>
  <c r="AZ124" i="277"/>
  <c r="CQ452" i="321"/>
  <c r="CQ454" i="321"/>
  <c r="CQ477" i="321"/>
  <c r="CQ455" i="321"/>
  <c r="CQ35" i="282"/>
  <c r="CQ40" i="282"/>
  <c r="CQ468" i="321"/>
  <c r="CQ462" i="321"/>
  <c r="CP14" i="286"/>
  <c r="CP16" i="286"/>
  <c r="CP27" i="286"/>
  <c r="BC267" i="288"/>
  <c r="BB265" i="288"/>
  <c r="BB267" i="288"/>
  <c r="BA265" i="288"/>
  <c r="CP17" i="286"/>
  <c r="CP28" i="286"/>
  <c r="CP29" i="286"/>
  <c r="CP32" i="286"/>
  <c r="CP34" i="286"/>
  <c r="CP21" i="286"/>
  <c r="CP22" i="286"/>
  <c r="CP51" i="288"/>
  <c r="CQ48" i="282"/>
  <c r="CQ27" i="265"/>
  <c r="CQ29" i="265"/>
  <c r="CQ19" i="286"/>
  <c r="CP126" i="265"/>
  <c r="CP35" i="286"/>
  <c r="CP39" i="286"/>
  <c r="CP40" i="286"/>
  <c r="CP52" i="288"/>
  <c r="CP91" i="265"/>
  <c r="BA267" i="288"/>
  <c r="AZ265" i="288"/>
  <c r="AZ267" i="288"/>
  <c r="AY265" i="288"/>
  <c r="AZ91" i="277"/>
  <c r="CQ37" i="286"/>
  <c r="CP127" i="265"/>
  <c r="AZ127" i="277"/>
  <c r="CP92" i="265"/>
  <c r="CP93" i="265"/>
  <c r="AZ126" i="277"/>
  <c r="CQ13" i="286"/>
  <c r="CQ44" i="282"/>
  <c r="CQ49" i="282"/>
  <c r="CQ52" i="282"/>
  <c r="CQ53" i="282"/>
  <c r="CQ55" i="282"/>
  <c r="CQ56" i="282"/>
  <c r="CP54" i="286"/>
  <c r="CP75" i="286"/>
  <c r="CP76" i="286"/>
  <c r="CP79" i="286"/>
  <c r="CP80" i="286"/>
  <c r="CQ31" i="286"/>
  <c r="AZ93" i="277"/>
  <c r="AY267" i="288"/>
  <c r="AX265" i="288"/>
  <c r="AX267" i="288"/>
  <c r="AW265" i="288"/>
  <c r="CP55" i="286"/>
  <c r="CP47" i="286"/>
  <c r="CP48" i="286"/>
  <c r="CP48" i="288"/>
  <c r="CP42" i="288"/>
  <c r="CP44" i="288"/>
  <c r="CP81" i="286"/>
  <c r="CP25" i="328"/>
  <c r="CP56" i="286"/>
  <c r="CQ68" i="282"/>
  <c r="CQ62" i="282"/>
  <c r="CQ58" i="282"/>
  <c r="CQ60" i="282"/>
  <c r="CQ63" i="282"/>
  <c r="CQ69" i="282"/>
  <c r="CQ64" i="282"/>
  <c r="CQ70" i="282"/>
  <c r="CR67" i="282"/>
  <c r="CQ53" i="286"/>
  <c r="CP58" i="286"/>
  <c r="CP64" i="286"/>
  <c r="CP107" i="265"/>
  <c r="CP35" i="265"/>
  <c r="CP95" i="265"/>
  <c r="CP47" i="288"/>
  <c r="CP54" i="288"/>
  <c r="CQ45" i="286"/>
  <c r="CP128" i="265"/>
  <c r="AW267" i="288"/>
  <c r="AV265" i="288"/>
  <c r="AV267" i="288"/>
  <c r="AU265" i="288"/>
  <c r="AZ128" i="277"/>
  <c r="AZ129" i="277"/>
  <c r="AZ135" i="277"/>
  <c r="CP129" i="265"/>
  <c r="CP135" i="265"/>
  <c r="CQ70" i="286"/>
  <c r="CP57" i="288"/>
  <c r="AZ95" i="277"/>
  <c r="CP96" i="265"/>
  <c r="AZ35" i="277"/>
  <c r="CP36" i="265"/>
  <c r="CP59" i="328"/>
  <c r="AZ107" i="277"/>
  <c r="AZ112" i="277"/>
  <c r="AZ114" i="277"/>
  <c r="AZ134" i="277"/>
  <c r="CP112" i="265"/>
  <c r="CP114" i="265"/>
  <c r="CP134" i="265"/>
  <c r="CQ458" i="321"/>
  <c r="CQ48" i="314"/>
  <c r="CQ9" i="286"/>
  <c r="CQ74" i="286"/>
  <c r="CR59" i="282"/>
  <c r="CQ75" i="282"/>
  <c r="CQ76" i="282"/>
  <c r="CQ77" i="282"/>
  <c r="CP137" i="265"/>
  <c r="CP136" i="265"/>
  <c r="AZ137" i="277"/>
  <c r="AZ136" i="277"/>
  <c r="AZ36" i="277"/>
  <c r="AZ96" i="277"/>
  <c r="AU267" i="288"/>
  <c r="AU273" i="288"/>
  <c r="AU275" i="288"/>
  <c r="AT265" i="288"/>
  <c r="AT267" i="288"/>
  <c r="AT273" i="288"/>
  <c r="AT275" i="288"/>
  <c r="AS265" i="288"/>
  <c r="CQ46" i="265"/>
  <c r="CQ31" i="265"/>
  <c r="CQ33" i="265"/>
  <c r="CQ47" i="265"/>
  <c r="AS267" i="288"/>
  <c r="AS273" i="288"/>
  <c r="AS275" i="288"/>
  <c r="AR265" i="288"/>
  <c r="AR267" i="288"/>
  <c r="AR273" i="288"/>
  <c r="AR275" i="288"/>
  <c r="AQ265" i="288"/>
  <c r="CQ27" i="288"/>
  <c r="CQ29" i="288"/>
  <c r="CQ65" i="265"/>
  <c r="CQ71" i="286"/>
  <c r="CQ72" i="286"/>
  <c r="CQ78" i="286"/>
  <c r="CQ46" i="286"/>
  <c r="CQ77" i="265"/>
  <c r="CQ113" i="288"/>
  <c r="CQ10" i="321"/>
  <c r="CQ12" i="321"/>
  <c r="CQ85" i="288"/>
  <c r="CQ20" i="328"/>
  <c r="CQ65" i="288"/>
  <c r="CQ32" i="288"/>
  <c r="AQ267" i="288"/>
  <c r="AQ273" i="288"/>
  <c r="AQ275" i="288"/>
  <c r="AP265" i="288"/>
  <c r="AP267" i="288"/>
  <c r="AP273" i="288"/>
  <c r="AP275" i="288"/>
  <c r="AO265" i="288"/>
  <c r="CQ87" i="288"/>
  <c r="CQ89" i="288"/>
  <c r="CQ39" i="311"/>
  <c r="CQ49" i="314"/>
  <c r="CQ51" i="314"/>
  <c r="CQ53" i="314"/>
  <c r="CQ54" i="314"/>
  <c r="CQ64" i="314"/>
  <c r="CQ66" i="314"/>
  <c r="CQ56" i="314"/>
  <c r="CQ58" i="314"/>
  <c r="CQ80" i="311"/>
  <c r="AO267" i="288"/>
  <c r="AO273" i="288"/>
  <c r="AO275" i="288"/>
  <c r="AN265" i="288"/>
  <c r="AN267" i="288"/>
  <c r="AN273" i="288"/>
  <c r="AN275" i="288"/>
  <c r="AM265" i="288"/>
  <c r="CQ60" i="314"/>
  <c r="CQ62" i="314"/>
  <c r="CQ67" i="314"/>
  <c r="CQ82" i="314"/>
  <c r="CQ79" i="265"/>
  <c r="CQ73" i="314"/>
  <c r="CQ75" i="314"/>
  <c r="AM267" i="288"/>
  <c r="AM273" i="288"/>
  <c r="AM275" i="288"/>
  <c r="AL265" i="288"/>
  <c r="AL267" i="288"/>
  <c r="AL273" i="288"/>
  <c r="AL275" i="288"/>
  <c r="AK265" i="288"/>
  <c r="CQ80" i="265"/>
  <c r="CQ83" i="314"/>
  <c r="CQ84" i="314"/>
  <c r="CQ82" i="265"/>
  <c r="CQ85" i="265"/>
  <c r="CR81" i="314"/>
  <c r="CQ111" i="265"/>
  <c r="CQ60" i="328"/>
  <c r="CQ87" i="314"/>
  <c r="CQ90" i="314"/>
  <c r="AK267" i="288"/>
  <c r="AK273" i="288"/>
  <c r="AK275" i="288"/>
  <c r="AJ265" i="288"/>
  <c r="AJ267" i="288"/>
  <c r="AJ273" i="288"/>
  <c r="AJ275" i="288"/>
  <c r="AI265" i="288"/>
  <c r="CR37" i="314"/>
  <c r="CR40" i="314"/>
  <c r="CR61" i="314"/>
  <c r="CQ459" i="321"/>
  <c r="CQ460" i="321"/>
  <c r="CQ463" i="321"/>
  <c r="CQ464" i="321"/>
  <c r="CQ473" i="321"/>
  <c r="CR43" i="314"/>
  <c r="CR45" i="314"/>
  <c r="CR70" i="314"/>
  <c r="CR71" i="314"/>
  <c r="AI267" i="288"/>
  <c r="AI273" i="288"/>
  <c r="AI275" i="288"/>
  <c r="AH265" i="288"/>
  <c r="AH267" i="288"/>
  <c r="AH273" i="288"/>
  <c r="AH275" i="288"/>
  <c r="AG265" i="288"/>
  <c r="CR74" i="314"/>
  <c r="CR65" i="314"/>
  <c r="CQ469" i="321"/>
  <c r="CQ470" i="321"/>
  <c r="CQ474" i="321"/>
  <c r="CQ475" i="321"/>
  <c r="CQ478" i="321"/>
  <c r="CQ479" i="321"/>
  <c r="CQ465" i="321"/>
  <c r="CQ49" i="288"/>
  <c r="CQ43" i="288"/>
  <c r="CQ23" i="328"/>
  <c r="CQ87" i="265"/>
  <c r="CQ487" i="321"/>
  <c r="CQ480" i="321"/>
  <c r="CQ50" i="288"/>
  <c r="CQ24" i="328"/>
  <c r="CQ486" i="321"/>
  <c r="CQ488" i="321"/>
  <c r="AG267" i="288"/>
  <c r="AG273" i="288"/>
  <c r="AG275" i="288"/>
  <c r="AF265" i="288"/>
  <c r="AF267" i="288"/>
  <c r="AF273" i="288"/>
  <c r="AF275" i="288"/>
  <c r="AE265" i="288"/>
  <c r="CR483" i="321"/>
  <c r="CQ124" i="265"/>
  <c r="CQ88" i="265"/>
  <c r="CQ89" i="265"/>
  <c r="CQ10" i="286"/>
  <c r="CQ11" i="286"/>
  <c r="CR452" i="321"/>
  <c r="CR454" i="321"/>
  <c r="CR477" i="321"/>
  <c r="AE267" i="288"/>
  <c r="AE273" i="288"/>
  <c r="AE275" i="288"/>
  <c r="AD265" i="288"/>
  <c r="AD267" i="288"/>
  <c r="AD273" i="288"/>
  <c r="AD275" i="288"/>
  <c r="AC265" i="288"/>
  <c r="CR455" i="321"/>
  <c r="CR35" i="282"/>
  <c r="CR40" i="282"/>
  <c r="CR468" i="321"/>
  <c r="CR462" i="321"/>
  <c r="CQ14" i="286"/>
  <c r="CQ16" i="286"/>
  <c r="CQ27" i="286"/>
  <c r="CQ17" i="286"/>
  <c r="CQ28" i="286"/>
  <c r="CQ29" i="286"/>
  <c r="CQ32" i="286"/>
  <c r="CQ34" i="286"/>
  <c r="CQ21" i="286"/>
  <c r="CQ22" i="286"/>
  <c r="CQ51" i="288"/>
  <c r="CR48" i="282"/>
  <c r="CR27" i="265"/>
  <c r="AC267" i="288"/>
  <c r="AC273" i="288"/>
  <c r="AC275" i="288"/>
  <c r="AB265" i="288"/>
  <c r="AB267" i="288"/>
  <c r="AB273" i="288"/>
  <c r="AB275" i="288"/>
  <c r="AA265" i="288"/>
  <c r="CR29" i="265"/>
  <c r="BA27" i="277"/>
  <c r="CR19" i="286"/>
  <c r="CQ126" i="265"/>
  <c r="CQ35" i="286"/>
  <c r="CQ39" i="286"/>
  <c r="CQ40" i="286"/>
  <c r="CQ52" i="288"/>
  <c r="CQ91" i="265"/>
  <c r="CR37" i="286"/>
  <c r="CQ127" i="265"/>
  <c r="CQ92" i="265"/>
  <c r="CQ93" i="265"/>
  <c r="CR13" i="286"/>
  <c r="BA29" i="277"/>
  <c r="CR44" i="282"/>
  <c r="CR49" i="282"/>
  <c r="AA267" i="288"/>
  <c r="AA273" i="288"/>
  <c r="AA275" i="288"/>
  <c r="Z265" i="288"/>
  <c r="Z267" i="288"/>
  <c r="Z273" i="288"/>
  <c r="Z275" i="288"/>
  <c r="Y265" i="288"/>
  <c r="CR52" i="282"/>
  <c r="CR53" i="282"/>
  <c r="CR55" i="282"/>
  <c r="CR56" i="282"/>
  <c r="CQ54" i="286"/>
  <c r="CQ75" i="286"/>
  <c r="CQ76" i="286"/>
  <c r="CQ79" i="286"/>
  <c r="CQ80" i="286"/>
  <c r="CR31" i="286"/>
  <c r="CQ55" i="286"/>
  <c r="CQ47" i="286"/>
  <c r="CQ48" i="286"/>
  <c r="CQ48" i="288"/>
  <c r="CQ42" i="288"/>
  <c r="CQ44" i="288"/>
  <c r="CQ81" i="286"/>
  <c r="CQ25" i="328"/>
  <c r="CQ56" i="286"/>
  <c r="CR68" i="282"/>
  <c r="CR62" i="282"/>
  <c r="CR58" i="282"/>
  <c r="CR60" i="282"/>
  <c r="Y267" i="288"/>
  <c r="Y273" i="288"/>
  <c r="Y275" i="288"/>
  <c r="X265" i="288"/>
  <c r="X267" i="288"/>
  <c r="X273" i="288"/>
  <c r="X275" i="288"/>
  <c r="W265" i="288"/>
  <c r="CR63" i="282"/>
  <c r="CR69" i="282"/>
  <c r="CR64" i="282"/>
  <c r="CR70" i="282"/>
  <c r="CS67" i="282"/>
  <c r="CR53" i="286"/>
  <c r="CQ58" i="286"/>
  <c r="CQ64" i="286"/>
  <c r="CQ107" i="265"/>
  <c r="CQ35" i="265"/>
  <c r="CQ95" i="265"/>
  <c r="CQ47" i="288"/>
  <c r="CQ54" i="288"/>
  <c r="CR45" i="286"/>
  <c r="CQ128" i="265"/>
  <c r="CQ129" i="265"/>
  <c r="CQ135" i="265"/>
  <c r="CR70" i="286"/>
  <c r="CQ57" i="288"/>
  <c r="CQ96" i="265"/>
  <c r="CQ36" i="265"/>
  <c r="CQ59" i="328"/>
  <c r="CQ112" i="265"/>
  <c r="CQ114" i="265"/>
  <c r="CQ134" i="265"/>
  <c r="CR458" i="321"/>
  <c r="CR48" i="314"/>
  <c r="CR9" i="286"/>
  <c r="CR74" i="286"/>
  <c r="CS59" i="282"/>
  <c r="CR75" i="282"/>
  <c r="CR76" i="282"/>
  <c r="W267" i="288"/>
  <c r="W273" i="288"/>
  <c r="W275" i="288"/>
  <c r="V265" i="288"/>
  <c r="V267" i="288"/>
  <c r="V273" i="288"/>
  <c r="V275" i="288"/>
  <c r="U265" i="288"/>
  <c r="CR77" i="282"/>
  <c r="CQ137" i="265"/>
  <c r="CQ136" i="265"/>
  <c r="CR46" i="265"/>
  <c r="CR31" i="265"/>
  <c r="U267" i="288"/>
  <c r="U273" i="288"/>
  <c r="U275" i="288"/>
  <c r="T265" i="288"/>
  <c r="T267" i="288"/>
  <c r="T273" i="288"/>
  <c r="T275" i="288"/>
  <c r="S265" i="288"/>
  <c r="BA31" i="277"/>
  <c r="CR33" i="265"/>
  <c r="CR47" i="265"/>
  <c r="BA46" i="277"/>
  <c r="BA47" i="277"/>
  <c r="CR27" i="288"/>
  <c r="CR29" i="288"/>
  <c r="CR65" i="265"/>
  <c r="CR71" i="286"/>
  <c r="CR72" i="286"/>
  <c r="CR78" i="286"/>
  <c r="CR46" i="286"/>
  <c r="BA33" i="277"/>
  <c r="S267" i="288"/>
  <c r="S273" i="288"/>
  <c r="S275" i="288"/>
  <c r="R265" i="288"/>
  <c r="R267" i="288"/>
  <c r="R273" i="288"/>
  <c r="R275" i="288"/>
  <c r="Q265" i="288"/>
  <c r="CR77" i="265"/>
  <c r="CR113" i="288"/>
  <c r="CR10" i="321"/>
  <c r="CR12" i="321"/>
  <c r="CR85" i="288"/>
  <c r="CR65" i="288"/>
  <c r="CR20" i="328"/>
  <c r="CR32" i="288"/>
  <c r="BA65" i="277"/>
  <c r="BA77" i="277"/>
  <c r="CR87" i="288"/>
  <c r="CR89" i="288"/>
  <c r="CR39" i="311"/>
  <c r="CR49" i="314"/>
  <c r="CR51" i="314"/>
  <c r="Q267" i="288"/>
  <c r="Q273" i="288"/>
  <c r="Q275" i="288"/>
  <c r="P265" i="288"/>
  <c r="P267" i="288"/>
  <c r="P273" i="288"/>
  <c r="P275" i="288"/>
  <c r="O265" i="288"/>
  <c r="CR53" i="314"/>
  <c r="CR54" i="314"/>
  <c r="CR64" i="314"/>
  <c r="CR66" i="314"/>
  <c r="CR56" i="314"/>
  <c r="CR58" i="314"/>
  <c r="CR80" i="311"/>
  <c r="CR60" i="314"/>
  <c r="CR62" i="314"/>
  <c r="CR67" i="314"/>
  <c r="CR82" i="314"/>
  <c r="O267" i="288"/>
  <c r="O273" i="288"/>
  <c r="O275" i="288"/>
  <c r="N265" i="288"/>
  <c r="N267" i="288"/>
  <c r="N273" i="288"/>
  <c r="N275" i="288"/>
  <c r="M265" i="288"/>
  <c r="CR79" i="265"/>
  <c r="CR73" i="314"/>
  <c r="CR75" i="314"/>
  <c r="CR80" i="265"/>
  <c r="BA80" i="277"/>
  <c r="CR83" i="314"/>
  <c r="CR84" i="314"/>
  <c r="BA79" i="277"/>
  <c r="CR82" i="265"/>
  <c r="M267" i="288"/>
  <c r="L265" i="288"/>
  <c r="F276" i="288"/>
  <c r="H34" i="269"/>
  <c r="K34" i="269"/>
  <c r="F277" i="288"/>
  <c r="H35" i="269"/>
  <c r="K35" i="269"/>
  <c r="J35" i="269"/>
  <c r="L35" i="269"/>
  <c r="J34" i="269"/>
  <c r="L34" i="269"/>
  <c r="L267" i="288"/>
  <c r="K265" i="288"/>
  <c r="CR85" i="265"/>
  <c r="BA82" i="277"/>
  <c r="CS81" i="314"/>
  <c r="CR111" i="265"/>
  <c r="CR87" i="314"/>
  <c r="CR90" i="314"/>
  <c r="CR60" i="328"/>
  <c r="BA111" i="277"/>
  <c r="CS37" i="314"/>
  <c r="CS40" i="314"/>
  <c r="CS61" i="314"/>
  <c r="BA85" i="277"/>
  <c r="CR459" i="321"/>
  <c r="CR460" i="321"/>
  <c r="K267" i="288"/>
  <c r="J265" i="288"/>
  <c r="J267" i="288"/>
  <c r="CR463" i="321"/>
  <c r="CR464" i="321"/>
  <c r="CR473" i="321"/>
  <c r="CS43" i="314"/>
  <c r="CS45" i="314"/>
  <c r="CS70" i="314"/>
  <c r="CS71" i="314"/>
  <c r="CS74" i="314"/>
  <c r="CS65" i="314"/>
  <c r="CR469" i="321"/>
  <c r="CR470" i="321"/>
  <c r="CR474" i="321"/>
  <c r="CR475" i="321"/>
  <c r="CR478" i="321"/>
  <c r="CR479" i="321"/>
  <c r="CR465" i="321"/>
  <c r="CR49" i="288"/>
  <c r="CR43" i="288"/>
  <c r="CR23" i="328"/>
  <c r="CR87" i="265"/>
  <c r="CR487" i="321"/>
  <c r="CR480" i="321"/>
  <c r="CR50" i="288"/>
  <c r="CR24" i="328"/>
  <c r="CR486" i="321"/>
  <c r="CR488" i="321"/>
  <c r="CS483" i="321"/>
  <c r="CR124" i="265"/>
  <c r="CR88" i="265"/>
  <c r="BA88" i="277"/>
  <c r="BA87" i="277"/>
  <c r="CR89" i="265"/>
  <c r="CR10" i="286"/>
  <c r="CR11" i="286"/>
  <c r="BA89" i="277"/>
  <c r="BA124" i="277"/>
  <c r="CS452" i="321"/>
  <c r="CS454" i="321"/>
  <c r="CS477" i="321"/>
  <c r="CS455" i="321"/>
  <c r="CS35" i="282"/>
  <c r="CS40" i="282"/>
  <c r="CS468" i="321"/>
  <c r="CS462" i="321"/>
  <c r="CR14" i="286"/>
  <c r="CR16" i="286"/>
  <c r="CR27" i="286"/>
  <c r="CR17" i="286"/>
  <c r="CR28" i="286"/>
  <c r="CR29" i="286"/>
  <c r="CR32" i="286"/>
  <c r="CR34" i="286"/>
  <c r="CR21" i="286"/>
  <c r="CR22" i="286"/>
  <c r="CR51" i="288"/>
  <c r="CS48" i="282"/>
  <c r="CS27" i="265"/>
  <c r="CS29" i="265"/>
  <c r="CS19" i="286"/>
  <c r="CR126" i="265"/>
  <c r="CR35" i="286"/>
  <c r="CR39" i="286"/>
  <c r="CR40" i="286"/>
  <c r="CR52" i="288"/>
  <c r="CR91" i="265"/>
  <c r="BA91" i="277"/>
  <c r="CS37" i="286"/>
  <c r="CR127" i="265"/>
  <c r="BA127" i="277"/>
  <c r="CR92" i="265"/>
  <c r="CR93" i="265"/>
  <c r="BA126" i="277"/>
  <c r="CS13" i="286"/>
  <c r="CS44" i="282"/>
  <c r="CS49" i="282"/>
  <c r="CS52" i="282"/>
  <c r="CS53" i="282"/>
  <c r="CS55" i="282"/>
  <c r="CS56" i="282"/>
  <c r="CR54" i="286"/>
  <c r="CR75" i="286"/>
  <c r="CR76" i="286"/>
  <c r="CR79" i="286"/>
  <c r="CR80" i="286"/>
  <c r="CS31" i="286"/>
  <c r="BA93" i="277"/>
  <c r="CR55" i="286"/>
  <c r="CR47" i="286"/>
  <c r="CR48" i="286"/>
  <c r="CR48" i="288"/>
  <c r="CR42" i="288"/>
  <c r="CR44" i="288"/>
  <c r="CR81" i="286"/>
  <c r="CR25" i="328"/>
  <c r="CR56" i="286"/>
  <c r="CS68" i="282"/>
  <c r="CS62" i="282"/>
  <c r="CS58" i="282"/>
  <c r="CS60" i="282"/>
  <c r="CS63" i="282"/>
  <c r="CS69" i="282"/>
  <c r="CS64" i="282"/>
  <c r="CS70" i="282"/>
  <c r="CT67" i="282"/>
  <c r="CS53" i="286"/>
  <c r="CR58" i="286"/>
  <c r="CR64" i="286"/>
  <c r="CR107" i="265"/>
  <c r="CR35" i="265"/>
  <c r="CR95" i="265"/>
  <c r="CR47" i="288"/>
  <c r="CR54" i="288"/>
  <c r="CS45" i="286"/>
  <c r="CR128" i="265"/>
  <c r="BA128" i="277"/>
  <c r="BA129" i="277"/>
  <c r="BA135" i="277"/>
  <c r="CR129" i="265"/>
  <c r="CR135" i="265"/>
  <c r="CS70" i="286"/>
  <c r="CR57" i="288"/>
  <c r="BA95" i="277"/>
  <c r="CR96" i="265"/>
  <c r="BA35" i="277"/>
  <c r="CR36" i="265"/>
  <c r="CR59" i="328"/>
  <c r="BA107" i="277"/>
  <c r="BA112" i="277"/>
  <c r="BA114" i="277"/>
  <c r="BA134" i="277"/>
  <c r="CR112" i="265"/>
  <c r="CR114" i="265"/>
  <c r="CR134" i="265"/>
  <c r="CS458" i="321"/>
  <c r="CS48" i="314"/>
  <c r="CS9" i="286"/>
  <c r="CS74" i="286"/>
  <c r="CT59" i="282"/>
  <c r="CS75" i="282"/>
  <c r="CS76" i="282"/>
  <c r="CS77" i="282"/>
  <c r="CR137" i="265"/>
  <c r="CR136" i="265"/>
  <c r="BA137" i="277"/>
  <c r="BA136" i="277"/>
  <c r="BA36" i="277"/>
  <c r="BA96" i="277"/>
  <c r="CS46" i="265"/>
  <c r="CS31" i="265"/>
  <c r="CS33" i="265"/>
  <c r="CS47" i="265"/>
  <c r="CS27" i="288"/>
  <c r="CS29" i="288"/>
  <c r="CS65" i="265"/>
  <c r="CS71" i="286"/>
  <c r="CS72" i="286"/>
  <c r="CS78" i="286"/>
  <c r="CS46" i="286"/>
  <c r="CS77" i="265"/>
  <c r="CS113" i="288"/>
  <c r="CS10" i="321"/>
  <c r="CS12" i="321"/>
  <c r="CS85" i="288"/>
  <c r="CS65" i="288"/>
  <c r="CS20" i="328"/>
  <c r="CS32" i="288"/>
  <c r="CS87" i="288"/>
  <c r="CS89" i="288"/>
  <c r="CS39" i="311"/>
  <c r="CS49" i="314"/>
  <c r="CS51" i="314"/>
  <c r="CS53" i="314"/>
  <c r="CS54" i="314"/>
  <c r="CS64" i="314"/>
  <c r="CS66" i="314"/>
  <c r="CS56" i="314"/>
  <c r="CS58" i="314"/>
  <c r="CS80" i="311"/>
  <c r="CS60" i="314"/>
  <c r="CS62" i="314"/>
  <c r="CS67" i="314"/>
  <c r="CS82" i="314"/>
  <c r="CS79" i="265"/>
  <c r="CS73" i="314"/>
  <c r="CS75" i="314"/>
  <c r="CS80" i="265"/>
  <c r="CS83" i="314"/>
  <c r="CS84" i="314"/>
  <c r="CS82" i="265"/>
  <c r="CS85" i="265"/>
  <c r="CT81" i="314"/>
  <c r="CS111" i="265"/>
  <c r="CS60" i="328"/>
  <c r="CS87" i="314"/>
  <c r="CS90" i="314"/>
  <c r="CT37" i="314"/>
  <c r="CT40" i="314"/>
  <c r="CT61" i="314"/>
  <c r="CS459" i="321"/>
  <c r="CS460" i="321"/>
  <c r="CS463" i="321"/>
  <c r="CS464" i="321"/>
  <c r="CS473" i="321"/>
  <c r="CT43" i="314"/>
  <c r="CT45" i="314"/>
  <c r="CT70" i="314"/>
  <c r="CT71" i="314"/>
  <c r="CT74" i="314"/>
  <c r="CT65" i="314"/>
  <c r="CS469" i="321"/>
  <c r="CS470" i="321"/>
  <c r="CS474" i="321"/>
  <c r="CS475" i="321"/>
  <c r="CS478" i="321"/>
  <c r="CS479" i="321"/>
  <c r="CS465" i="321"/>
  <c r="CS49" i="288"/>
  <c r="CS43" i="288"/>
  <c r="CS23" i="328"/>
  <c r="CS87" i="265"/>
  <c r="CS487" i="321"/>
  <c r="CS480" i="321"/>
  <c r="CS50" i="288"/>
  <c r="CS24" i="328"/>
  <c r="CS486" i="321"/>
  <c r="CS488" i="321"/>
  <c r="CT483" i="321"/>
  <c r="CS124" i="265"/>
  <c r="CS88" i="265"/>
  <c r="CS89" i="265"/>
  <c r="CS10" i="286"/>
  <c r="CS11" i="286"/>
  <c r="CT452" i="321"/>
  <c r="CT454" i="321"/>
  <c r="CT477" i="321"/>
  <c r="CT455" i="321"/>
  <c r="CT35" i="282"/>
  <c r="CT40" i="282"/>
  <c r="CT468" i="321"/>
  <c r="CT462" i="321"/>
  <c r="CS14" i="286"/>
  <c r="CS16" i="286"/>
  <c r="CS27" i="286"/>
  <c r="CS17" i="286"/>
  <c r="CS28" i="286"/>
  <c r="CS29" i="286"/>
  <c r="CS32" i="286"/>
  <c r="CS34" i="286"/>
  <c r="CS21" i="286"/>
  <c r="CS22" i="286"/>
  <c r="CS51" i="288"/>
  <c r="CT48" i="282"/>
  <c r="CT27" i="265"/>
  <c r="CT29" i="265"/>
  <c r="BB27" i="277"/>
  <c r="CT19" i="286"/>
  <c r="CS126" i="265"/>
  <c r="CS35" i="286"/>
  <c r="CS39" i="286"/>
  <c r="CS40" i="286"/>
  <c r="CS52" i="288"/>
  <c r="CS91" i="265"/>
  <c r="CT37" i="286"/>
  <c r="CS127" i="265"/>
  <c r="CS92" i="265"/>
  <c r="CS93" i="265"/>
  <c r="CT13" i="286"/>
  <c r="BB29" i="277"/>
  <c r="H27" i="277"/>
  <c r="CT44" i="282"/>
  <c r="CT49" i="282"/>
  <c r="CT52" i="282"/>
  <c r="CT53" i="282"/>
  <c r="CT55" i="282"/>
  <c r="CT56" i="282"/>
  <c r="H29" i="277"/>
  <c r="CS54" i="286"/>
  <c r="CS75" i="286"/>
  <c r="CS76" i="286"/>
  <c r="CS79" i="286"/>
  <c r="CS80" i="286"/>
  <c r="CT31" i="286"/>
  <c r="CS55" i="286"/>
  <c r="CS47" i="286"/>
  <c r="CS48" i="286"/>
  <c r="CS48" i="288"/>
  <c r="CS42" i="288"/>
  <c r="CS44" i="288"/>
  <c r="CS81" i="286"/>
  <c r="CS25" i="328"/>
  <c r="CS56" i="286"/>
  <c r="CT68" i="282"/>
  <c r="CT62" i="282"/>
  <c r="CT58" i="282"/>
  <c r="CT60" i="282"/>
  <c r="CT63" i="282"/>
  <c r="CT69" i="282"/>
  <c r="CT64" i="282"/>
  <c r="CT70" i="282"/>
  <c r="CU67" i="282"/>
  <c r="CT53" i="286"/>
  <c r="CS58" i="286"/>
  <c r="CS64" i="286"/>
  <c r="CS107" i="265"/>
  <c r="CS35" i="265"/>
  <c r="CS95" i="265"/>
  <c r="CS47" i="288"/>
  <c r="CS54" i="288"/>
  <c r="CT45" i="286"/>
  <c r="CS128" i="265"/>
  <c r="CS129" i="265"/>
  <c r="CS135" i="265"/>
  <c r="CT70" i="286"/>
  <c r="CS57" i="288"/>
  <c r="CS96" i="265"/>
  <c r="CS36" i="265"/>
  <c r="CS59" i="328"/>
  <c r="CS112" i="265"/>
  <c r="CS114" i="265"/>
  <c r="CS134" i="265"/>
  <c r="CT458" i="321"/>
  <c r="CT48" i="314"/>
  <c r="CT9" i="286"/>
  <c r="CT74" i="286"/>
  <c r="CU59" i="282"/>
  <c r="CT75" i="282"/>
  <c r="CT76" i="282"/>
  <c r="CT77" i="282"/>
  <c r="CS137" i="265"/>
  <c r="CS136" i="265"/>
  <c r="CT46" i="265"/>
  <c r="CT31" i="265"/>
  <c r="BB31" i="277"/>
  <c r="CT33" i="265"/>
  <c r="CT47" i="265"/>
  <c r="BB46" i="277"/>
  <c r="BB47" i="277"/>
  <c r="H46" i="277"/>
  <c r="CT27" i="288"/>
  <c r="CT29" i="288"/>
  <c r="CT65" i="265"/>
  <c r="CT71" i="286"/>
  <c r="CT72" i="286"/>
  <c r="CT78" i="286"/>
  <c r="CT46" i="286"/>
  <c r="H31" i="277"/>
  <c r="BB33" i="277"/>
  <c r="H33" i="277"/>
  <c r="CT77" i="265"/>
  <c r="CT113" i="288"/>
  <c r="CT10" i="321"/>
  <c r="CT12" i="321"/>
  <c r="CT85" i="288"/>
  <c r="CT20" i="328"/>
  <c r="CT65" i="288"/>
  <c r="CT32" i="288"/>
  <c r="BB65" i="277"/>
  <c r="H47" i="277"/>
  <c r="BB77" i="277"/>
  <c r="H65" i="277"/>
  <c r="CT87" i="288"/>
  <c r="CT89" i="288"/>
  <c r="CT39" i="311"/>
  <c r="CT49" i="314"/>
  <c r="CT51" i="314"/>
  <c r="CT53" i="314"/>
  <c r="CT54" i="314"/>
  <c r="CT64" i="314"/>
  <c r="CT66" i="314"/>
  <c r="CT56" i="314"/>
  <c r="CT58" i="314"/>
  <c r="CT80" i="311"/>
  <c r="H77" i="277"/>
  <c r="CT60" i="314"/>
  <c r="CT62" i="314"/>
  <c r="CT67" i="314"/>
  <c r="CT82" i="314"/>
  <c r="CT79" i="265"/>
  <c r="CT73" i="314"/>
  <c r="CT75" i="314"/>
  <c r="CT80" i="265"/>
  <c r="BB80" i="277"/>
  <c r="H80" i="277"/>
  <c r="CT83" i="314"/>
  <c r="CT84" i="314"/>
  <c r="BB79" i="277"/>
  <c r="CT82" i="265"/>
  <c r="CT85" i="265"/>
  <c r="H79" i="277"/>
  <c r="BB82" i="277"/>
  <c r="CU81" i="314"/>
  <c r="CT111" i="265"/>
  <c r="CT87" i="314"/>
  <c r="CT90" i="314"/>
  <c r="CT60" i="328"/>
  <c r="BB111" i="277"/>
  <c r="CU37" i="314"/>
  <c r="CU40" i="314"/>
  <c r="CU61" i="314"/>
  <c r="BB85" i="277"/>
  <c r="H82" i="277"/>
  <c r="CT459" i="321"/>
  <c r="CT460" i="321"/>
  <c r="CT463" i="321"/>
  <c r="CT464" i="321"/>
  <c r="CT473" i="321"/>
  <c r="H85" i="277"/>
  <c r="CU43" i="314"/>
  <c r="CU45" i="314"/>
  <c r="CU70" i="314"/>
  <c r="CU71" i="314"/>
  <c r="CU74" i="314"/>
  <c r="CU65" i="314"/>
  <c r="CT469" i="321"/>
  <c r="CT470" i="321"/>
  <c r="CT474" i="321"/>
  <c r="CT475" i="321"/>
  <c r="CT478" i="321"/>
  <c r="CT479" i="321"/>
  <c r="CT465" i="321"/>
  <c r="CT49" i="288"/>
  <c r="CT43" i="288"/>
  <c r="CT23" i="328"/>
  <c r="CT87" i="265"/>
  <c r="CT487" i="321"/>
  <c r="CT480" i="321"/>
  <c r="CT50" i="288"/>
  <c r="CT24" i="328"/>
  <c r="CT486" i="321"/>
  <c r="CT488" i="321"/>
  <c r="CU483" i="321"/>
  <c r="CT124" i="265"/>
  <c r="CT88" i="265"/>
  <c r="BB88" i="277"/>
  <c r="H88" i="277"/>
  <c r="BB87" i="277"/>
  <c r="CT89" i="265"/>
  <c r="CT10" i="286"/>
  <c r="CT11" i="286"/>
  <c r="H87" i="277"/>
  <c r="BB89" i="277"/>
  <c r="BB124" i="277"/>
  <c r="CU452" i="321"/>
  <c r="CU454" i="321"/>
  <c r="CU477" i="321"/>
  <c r="CU455" i="321"/>
  <c r="CU35" i="282"/>
  <c r="CU40" i="282"/>
  <c r="CU468" i="321"/>
  <c r="CU462" i="321"/>
  <c r="H89" i="277"/>
  <c r="CT14" i="286"/>
  <c r="CT16" i="286"/>
  <c r="CT27" i="286"/>
  <c r="CT17" i="286"/>
  <c r="CT28" i="286"/>
  <c r="CT29" i="286"/>
  <c r="CT32" i="286"/>
  <c r="CT34" i="286"/>
  <c r="CT51" i="288"/>
  <c r="CT21" i="286"/>
  <c r="CT22" i="286"/>
  <c r="CU48" i="282"/>
  <c r="CU27" i="265"/>
  <c r="CU29" i="265"/>
  <c r="CU44" i="282"/>
  <c r="CU49" i="282"/>
  <c r="CU19" i="286"/>
  <c r="CT126" i="265"/>
  <c r="CT35" i="286"/>
  <c r="CT52" i="288"/>
  <c r="CT39" i="286"/>
  <c r="CT40" i="286"/>
  <c r="CT91" i="265"/>
  <c r="BB91" i="277"/>
  <c r="CU37" i="286"/>
  <c r="CT127" i="265"/>
  <c r="BB127" i="277"/>
  <c r="CT92" i="265"/>
  <c r="CT93" i="265"/>
  <c r="BB126" i="277"/>
  <c r="CU13" i="286"/>
  <c r="CU52" i="282"/>
  <c r="CU53" i="282"/>
  <c r="CU55" i="282"/>
  <c r="CU56" i="282"/>
  <c r="CU68" i="282"/>
  <c r="CU62" i="282"/>
  <c r="CU58" i="282"/>
  <c r="CU60" i="282"/>
  <c r="CT54" i="286"/>
  <c r="CT75" i="286"/>
  <c r="CT76" i="286"/>
  <c r="CT79" i="286"/>
  <c r="CT80" i="286"/>
  <c r="CU31" i="286"/>
  <c r="H91" i="277"/>
  <c r="BB93" i="277"/>
  <c r="H93" i="277"/>
  <c r="CT55" i="286"/>
  <c r="CT48" i="288"/>
  <c r="CT42" i="288"/>
  <c r="CT44" i="288"/>
  <c r="CT47" i="286"/>
  <c r="CT48" i="286"/>
  <c r="CT81" i="286"/>
  <c r="CT25" i="328"/>
  <c r="CT56" i="286"/>
  <c r="CU63" i="282"/>
  <c r="CU69" i="282"/>
  <c r="CU64" i="282"/>
  <c r="CU70" i="282"/>
  <c r="CV67" i="282"/>
  <c r="CV59" i="282"/>
  <c r="CU75" i="282"/>
  <c r="CU76" i="282"/>
  <c r="CU53" i="286"/>
  <c r="CT58" i="286"/>
  <c r="CT64" i="286"/>
  <c r="CT107" i="265"/>
  <c r="CT35" i="265"/>
  <c r="CT95" i="265"/>
  <c r="CU45" i="286"/>
  <c r="CT128" i="265"/>
  <c r="CT47" i="288"/>
  <c r="CT54" i="288"/>
  <c r="CT57" i="288"/>
  <c r="BB128" i="277"/>
  <c r="BB129" i="277"/>
  <c r="BB135" i="277"/>
  <c r="CT129" i="265"/>
  <c r="CT135" i="265"/>
  <c r="CU70" i="286"/>
  <c r="BB95" i="277"/>
  <c r="CT96" i="265"/>
  <c r="BB35" i="277"/>
  <c r="CT36" i="265"/>
  <c r="CT59" i="328"/>
  <c r="BB107" i="277"/>
  <c r="BB112" i="277"/>
  <c r="BB114" i="277"/>
  <c r="BB134" i="277"/>
  <c r="CT112" i="265"/>
  <c r="CT114" i="265"/>
  <c r="CT134" i="265"/>
  <c r="CU458" i="321"/>
  <c r="CU48" i="314"/>
  <c r="CU74" i="286"/>
  <c r="CU9" i="286"/>
  <c r="CU77" i="282"/>
  <c r="CU46" i="265"/>
  <c r="CU47" i="265"/>
  <c r="CU31" i="265"/>
  <c r="CU33" i="265"/>
  <c r="CT137" i="265"/>
  <c r="CT136" i="265"/>
  <c r="BB137" i="277"/>
  <c r="H137" i="277"/>
  <c r="BB136" i="277"/>
  <c r="F136" i="277"/>
  <c r="F15" i="264"/>
  <c r="H35" i="277"/>
  <c r="BB36" i="277"/>
  <c r="H36" i="277"/>
  <c r="H95" i="277"/>
  <c r="BB96" i="277"/>
  <c r="H96" i="277"/>
  <c r="CU71" i="286"/>
  <c r="CU72" i="286"/>
  <c r="CU78" i="286"/>
  <c r="CU46" i="286"/>
  <c r="CU27" i="288"/>
  <c r="CU29" i="288"/>
  <c r="CU65" i="265"/>
  <c r="CU77" i="265"/>
  <c r="CU113" i="288"/>
  <c r="CU10" i="321"/>
  <c r="CU12" i="321"/>
  <c r="CU85" i="288"/>
  <c r="CU20" i="328"/>
  <c r="CU65" i="288"/>
  <c r="CU32" i="288"/>
  <c r="CU87" i="288"/>
  <c r="CU89" i="288"/>
  <c r="CU39" i="311"/>
  <c r="CU49" i="314"/>
  <c r="CU51" i="314"/>
  <c r="CU53" i="314"/>
  <c r="CU54" i="314"/>
  <c r="CU64" i="314"/>
  <c r="CU66" i="314"/>
  <c r="CU56" i="314"/>
  <c r="CU58" i="314"/>
  <c r="CU80" i="311"/>
  <c r="CU60" i="314"/>
  <c r="CU62" i="314"/>
  <c r="CU67" i="314"/>
  <c r="CU82" i="314"/>
  <c r="CU79" i="265"/>
  <c r="CU73" i="314"/>
  <c r="CU75" i="314"/>
  <c r="CU80" i="265"/>
  <c r="CU83" i="314"/>
  <c r="CU84" i="314"/>
  <c r="CU82" i="265"/>
  <c r="CU85" i="265"/>
  <c r="CV81" i="314"/>
  <c r="CU111" i="265"/>
  <c r="CU60" i="328"/>
  <c r="CU87" i="314"/>
  <c r="CU90" i="314"/>
  <c r="CV37" i="314"/>
  <c r="CV40" i="314"/>
  <c r="CV61" i="314"/>
  <c r="CU459" i="321"/>
  <c r="CU460" i="321"/>
  <c r="CU463" i="321"/>
  <c r="CU464" i="321"/>
  <c r="CU473" i="321"/>
  <c r="CV43" i="314"/>
  <c r="CV45" i="314"/>
  <c r="CV70" i="314"/>
  <c r="CV71" i="314"/>
  <c r="CV74" i="314"/>
  <c r="H71" i="314"/>
  <c r="H74" i="314"/>
  <c r="CV65" i="314"/>
  <c r="H45" i="314"/>
  <c r="H65" i="314"/>
  <c r="CU469" i="321"/>
  <c r="CU470" i="321"/>
  <c r="CU474" i="321"/>
  <c r="CU475" i="321"/>
  <c r="CU478" i="321"/>
  <c r="CU479" i="321"/>
  <c r="CU465" i="321"/>
  <c r="CU49" i="288"/>
  <c r="CU43" i="288"/>
  <c r="CU23" i="328"/>
  <c r="CU87" i="265"/>
  <c r="CU487" i="321"/>
  <c r="CU480" i="321"/>
  <c r="CU50" i="288"/>
  <c r="CU24" i="328"/>
  <c r="CU486" i="321"/>
  <c r="CU488" i="321"/>
  <c r="CV483" i="321"/>
  <c r="CU124" i="265"/>
  <c r="CU88" i="265"/>
  <c r="CU89" i="265"/>
  <c r="CU10" i="286"/>
  <c r="CU11" i="286"/>
  <c r="CV452" i="321"/>
  <c r="CV454" i="321"/>
  <c r="CV477" i="321"/>
  <c r="CV455" i="321"/>
  <c r="CV35" i="282"/>
  <c r="CV40" i="282"/>
  <c r="CV462" i="321"/>
  <c r="CV468" i="321"/>
  <c r="H454" i="321"/>
  <c r="CU14" i="286"/>
  <c r="CU16" i="286"/>
  <c r="CU27" i="286"/>
  <c r="CU17" i="286"/>
  <c r="CU28" i="286"/>
  <c r="CU29" i="286"/>
  <c r="CU32" i="286"/>
  <c r="CU34" i="286"/>
  <c r="CU51" i="288"/>
  <c r="CU21" i="286"/>
  <c r="CU22" i="286"/>
  <c r="H35" i="282"/>
  <c r="H468" i="321"/>
  <c r="H462" i="321"/>
  <c r="CV48" i="282"/>
  <c r="H40" i="282"/>
  <c r="H48" i="282"/>
  <c r="CV27" i="265"/>
  <c r="CV29" i="265"/>
  <c r="H455" i="321"/>
  <c r="H27" i="265"/>
  <c r="H104" i="269"/>
  <c r="K104" i="269"/>
  <c r="J104" i="269"/>
  <c r="L104" i="269"/>
  <c r="CV44" i="282"/>
  <c r="CV49" i="282"/>
  <c r="H29" i="265"/>
  <c r="CV19" i="286"/>
  <c r="CU126" i="265"/>
  <c r="CU35" i="286"/>
  <c r="CU52" i="288"/>
  <c r="CU39" i="286"/>
  <c r="CU40" i="286"/>
  <c r="CU91" i="265"/>
  <c r="CV37" i="286"/>
  <c r="CU127" i="265"/>
  <c r="CU92" i="265"/>
  <c r="CU93" i="265"/>
  <c r="CV13" i="286"/>
  <c r="H106" i="269"/>
  <c r="K106" i="269"/>
  <c r="H44" i="282"/>
  <c r="CV52" i="282"/>
  <c r="CV53" i="282"/>
  <c r="CV55" i="282"/>
  <c r="CV56" i="282"/>
  <c r="H49" i="282"/>
  <c r="H55" i="282"/>
  <c r="H52" i="282"/>
  <c r="CV68" i="282"/>
  <c r="H56" i="282"/>
  <c r="H68" i="282"/>
  <c r="CV62" i="282"/>
  <c r="CV58" i="282"/>
  <c r="CV60" i="282"/>
  <c r="H53" i="282"/>
  <c r="J106" i="269"/>
  <c r="L106" i="269"/>
  <c r="CU75" i="286"/>
  <c r="CU76" i="286"/>
  <c r="CU79" i="286"/>
  <c r="CU80" i="286"/>
  <c r="CU54" i="286"/>
  <c r="CV31" i="286"/>
  <c r="CU48" i="288"/>
  <c r="CU42" i="288"/>
  <c r="CU44" i="288"/>
  <c r="CU47" i="286"/>
  <c r="CU48" i="286"/>
  <c r="CU55" i="286"/>
  <c r="CU56" i="286"/>
  <c r="CU81" i="286"/>
  <c r="CU25" i="328"/>
  <c r="H62" i="282"/>
  <c r="H58" i="282"/>
  <c r="CV63" i="282"/>
  <c r="CV69" i="282"/>
  <c r="H60" i="282"/>
  <c r="CV64" i="282"/>
  <c r="CV70" i="282"/>
  <c r="CV75" i="282"/>
  <c r="CV76" i="282"/>
  <c r="H64" i="282"/>
  <c r="H75" i="282"/>
  <c r="H69" i="282"/>
  <c r="H63" i="282"/>
  <c r="CU35" i="265"/>
  <c r="CU36" i="265"/>
  <c r="CU95" i="265"/>
  <c r="CU96" i="265"/>
  <c r="CV53" i="286"/>
  <c r="CU58" i="286"/>
  <c r="CU64" i="286"/>
  <c r="CU107" i="265"/>
  <c r="CV45" i="286"/>
  <c r="CU128" i="265"/>
  <c r="CU129" i="265"/>
  <c r="CU135" i="265"/>
  <c r="CU47" i="288"/>
  <c r="CU54" i="288"/>
  <c r="CU57" i="288"/>
  <c r="CV70" i="286"/>
  <c r="CU59" i="328"/>
  <c r="CU112" i="265"/>
  <c r="CU114" i="265"/>
  <c r="CU134" i="265"/>
  <c r="CV74" i="286"/>
  <c r="CV48" i="314"/>
  <c r="CV458" i="321"/>
  <c r="CV9" i="286"/>
  <c r="CV77" i="282"/>
  <c r="H76" i="282"/>
  <c r="CV46" i="265"/>
  <c r="CV47" i="265"/>
  <c r="CV31" i="265"/>
  <c r="CV33" i="265"/>
  <c r="H77" i="282"/>
  <c r="CU137" i="265"/>
  <c r="CU136" i="265"/>
  <c r="H31" i="265"/>
  <c r="H108" i="269"/>
  <c r="K108" i="269"/>
  <c r="H46" i="265"/>
  <c r="H123" i="269"/>
  <c r="K123" i="269"/>
  <c r="CV71" i="286"/>
  <c r="CV72" i="286"/>
  <c r="CV78" i="286"/>
  <c r="CV46" i="286"/>
  <c r="H33" i="265"/>
  <c r="CV27" i="288"/>
  <c r="CV29" i="288"/>
  <c r="CV65" i="265"/>
  <c r="H47" i="265"/>
  <c r="H124" i="269"/>
  <c r="K124" i="269"/>
  <c r="H27" i="288"/>
  <c r="CV77" i="265"/>
  <c r="CV113" i="288"/>
  <c r="CU115" i="288"/>
  <c r="CV10" i="321"/>
  <c r="CV12" i="321"/>
  <c r="CV20" i="328"/>
  <c r="CV85" i="288"/>
  <c r="CV87" i="288"/>
  <c r="CV89" i="288"/>
  <c r="CV65" i="288"/>
  <c r="H65" i="265"/>
  <c r="CV32" i="288"/>
  <c r="F35" i="288"/>
  <c r="H29" i="288"/>
  <c r="H32" i="288"/>
  <c r="H110" i="269"/>
  <c r="K110" i="269"/>
  <c r="H46" i="286"/>
  <c r="H71" i="286"/>
  <c r="J123" i="269"/>
  <c r="L123" i="269"/>
  <c r="J108" i="269"/>
  <c r="L108" i="269"/>
  <c r="J110" i="269"/>
  <c r="L110" i="269"/>
  <c r="H13" i="269"/>
  <c r="K13" i="269"/>
  <c r="F93" i="328"/>
  <c r="L7" i="326"/>
  <c r="H142" i="269"/>
  <c r="K142" i="269"/>
  <c r="H113" i="288"/>
  <c r="H10" i="321"/>
  <c r="H20" i="328"/>
  <c r="H85" i="288"/>
  <c r="H65" i="288"/>
  <c r="CV39" i="311"/>
  <c r="H12" i="321"/>
  <c r="CU117" i="288"/>
  <c r="CT115" i="288"/>
  <c r="CV49" i="314"/>
  <c r="CV51" i="314"/>
  <c r="H77" i="265"/>
  <c r="J124" i="269"/>
  <c r="L124" i="269"/>
  <c r="H152" i="269"/>
  <c r="K152" i="269"/>
  <c r="H49" i="314"/>
  <c r="CV53" i="314"/>
  <c r="CV54" i="314"/>
  <c r="CV64" i="314"/>
  <c r="CV66" i="314"/>
  <c r="CV56" i="314"/>
  <c r="CV58" i="314"/>
  <c r="CT117" i="288"/>
  <c r="CS115" i="288"/>
  <c r="CV80" i="311"/>
  <c r="F80" i="311"/>
  <c r="H39" i="311"/>
  <c r="J142" i="269"/>
  <c r="L142" i="269"/>
  <c r="J13" i="269"/>
  <c r="L13" i="269"/>
  <c r="CS117" i="288"/>
  <c r="CR115" i="288"/>
  <c r="CV60" i="314"/>
  <c r="CV62" i="314"/>
  <c r="H58" i="314"/>
  <c r="H60" i="314"/>
  <c r="CV67" i="314"/>
  <c r="CV82" i="314"/>
  <c r="H66" i="314"/>
  <c r="H82" i="314"/>
  <c r="J152" i="269"/>
  <c r="L152" i="269"/>
  <c r="CV79" i="265"/>
  <c r="H67" i="314"/>
  <c r="H79" i="265"/>
  <c r="H154" i="269"/>
  <c r="K154" i="269"/>
  <c r="CV73" i="314"/>
  <c r="CV75" i="314"/>
  <c r="H62" i="314"/>
  <c r="H73" i="314"/>
  <c r="CR117" i="288"/>
  <c r="CQ115" i="288"/>
  <c r="CQ117" i="288"/>
  <c r="CP115" i="288"/>
  <c r="CV80" i="265"/>
  <c r="CV83" i="314"/>
  <c r="CV84" i="314"/>
  <c r="H75" i="314"/>
  <c r="J154" i="269"/>
  <c r="L154" i="269"/>
  <c r="CV82" i="265"/>
  <c r="CV85" i="265"/>
  <c r="H82" i="265"/>
  <c r="H157" i="269"/>
  <c r="K157" i="269"/>
  <c r="H80" i="265"/>
  <c r="H155" i="269"/>
  <c r="K155" i="269"/>
  <c r="H83" i="314"/>
  <c r="CV111" i="265"/>
  <c r="CV60" i="328"/>
  <c r="CV87" i="314"/>
  <c r="CV90" i="314"/>
  <c r="CP117" i="288"/>
  <c r="CO115" i="288"/>
  <c r="CO117" i="288"/>
  <c r="CN115" i="288"/>
  <c r="H90" i="314"/>
  <c r="F91" i="314"/>
  <c r="F18" i="264"/>
  <c r="J155" i="269"/>
  <c r="L155" i="269"/>
  <c r="J157" i="269"/>
  <c r="L157" i="269"/>
  <c r="CV459" i="321"/>
  <c r="CV460" i="321"/>
  <c r="H85" i="265"/>
  <c r="H160" i="269"/>
  <c r="K160" i="269"/>
  <c r="H459" i="321"/>
  <c r="CV463" i="321"/>
  <c r="CV464" i="321"/>
  <c r="CV473" i="321"/>
  <c r="CN117" i="288"/>
  <c r="CM115" i="288"/>
  <c r="CM117" i="288"/>
  <c r="CL115" i="288"/>
  <c r="CV465" i="321"/>
  <c r="CV474" i="321"/>
  <c r="CV475" i="321"/>
  <c r="CV478" i="321"/>
  <c r="CV479" i="321"/>
  <c r="CV49" i="288"/>
  <c r="CV43" i="288"/>
  <c r="CV23" i="328"/>
  <c r="CV469" i="321"/>
  <c r="CV470" i="321"/>
  <c r="H464" i="321"/>
  <c r="J160" i="269"/>
  <c r="L160" i="269"/>
  <c r="H49" i="288"/>
  <c r="H469" i="321"/>
  <c r="H23" i="328"/>
  <c r="H474" i="321"/>
  <c r="H43" i="288"/>
  <c r="CV486" i="321"/>
  <c r="H470" i="321"/>
  <c r="H486" i="321"/>
  <c r="CV480" i="321"/>
  <c r="CV50" i="288"/>
  <c r="CV24" i="328"/>
  <c r="CV487" i="321"/>
  <c r="H479" i="321"/>
  <c r="CV87" i="265"/>
  <c r="H465" i="321"/>
  <c r="H87" i="265"/>
  <c r="H162" i="269"/>
  <c r="K162" i="269"/>
  <c r="CL117" i="288"/>
  <c r="CK115" i="288"/>
  <c r="CK117" i="288"/>
  <c r="CJ115" i="288"/>
  <c r="J162" i="269"/>
  <c r="L162" i="269"/>
  <c r="H24" i="328"/>
  <c r="H487" i="321"/>
  <c r="H50" i="288"/>
  <c r="CV88" i="265"/>
  <c r="CV89" i="265"/>
  <c r="H480" i="321"/>
  <c r="H88" i="265"/>
  <c r="H163" i="269"/>
  <c r="K163" i="269"/>
  <c r="CV488" i="321"/>
  <c r="CV124" i="265"/>
  <c r="J163" i="269"/>
  <c r="L163" i="269"/>
  <c r="CV10" i="286"/>
  <c r="CV11" i="286"/>
  <c r="H89" i="265"/>
  <c r="CJ117" i="288"/>
  <c r="CI115" i="288"/>
  <c r="CI117" i="288"/>
  <c r="CH115" i="288"/>
  <c r="H164" i="269"/>
  <c r="K164" i="269"/>
  <c r="H10" i="286"/>
  <c r="CV14" i="286"/>
  <c r="CV16" i="286"/>
  <c r="CV27" i="286"/>
  <c r="CV17" i="286"/>
  <c r="CV28" i="286"/>
  <c r="CV29" i="286"/>
  <c r="CV32" i="286"/>
  <c r="CV34" i="286"/>
  <c r="CV51" i="288"/>
  <c r="CV21" i="286"/>
  <c r="CV22" i="286"/>
  <c r="CV126" i="265"/>
  <c r="H16" i="286"/>
  <c r="J164" i="269"/>
  <c r="L164" i="269"/>
  <c r="CH117" i="288"/>
  <c r="CG115" i="288"/>
  <c r="CG117" i="288"/>
  <c r="CF115" i="288"/>
  <c r="H51" i="288"/>
  <c r="H21" i="286"/>
  <c r="H28" i="286"/>
  <c r="CV35" i="286"/>
  <c r="CV52" i="288"/>
  <c r="CV39" i="286"/>
  <c r="CV40" i="286"/>
  <c r="CV127" i="265"/>
  <c r="H34" i="286"/>
  <c r="CV91" i="265"/>
  <c r="H17" i="286"/>
  <c r="H91" i="265"/>
  <c r="H166" i="269"/>
  <c r="K166" i="269"/>
  <c r="J166" i="269"/>
  <c r="L166" i="269"/>
  <c r="H39" i="286"/>
  <c r="H52" i="288"/>
  <c r="CV92" i="265"/>
  <c r="CV93" i="265"/>
  <c r="H35" i="286"/>
  <c r="H92" i="265"/>
  <c r="H167" i="269"/>
  <c r="K167" i="269"/>
  <c r="CF117" i="288"/>
  <c r="CE115" i="288"/>
  <c r="CE117" i="288"/>
  <c r="CD115" i="288"/>
  <c r="J167" i="269"/>
  <c r="L167" i="269"/>
  <c r="CV75" i="286"/>
  <c r="CV76" i="286"/>
  <c r="CV79" i="286"/>
  <c r="CV80" i="286"/>
  <c r="CV54" i="286"/>
  <c r="H93" i="265"/>
  <c r="H168" i="269"/>
  <c r="K168" i="269"/>
  <c r="H54" i="286"/>
  <c r="H75" i="286"/>
  <c r="CV48" i="288"/>
  <c r="CV42" i="288"/>
  <c r="CV44" i="288"/>
  <c r="CV55" i="286"/>
  <c r="CV56" i="286"/>
  <c r="CV81" i="286"/>
  <c r="CV25" i="328"/>
  <c r="CV47" i="286"/>
  <c r="CV48" i="286"/>
  <c r="CV128" i="265"/>
  <c r="CV129" i="265"/>
  <c r="CV135" i="265"/>
  <c r="H80" i="286"/>
  <c r="CD117" i="288"/>
  <c r="CC115" i="288"/>
  <c r="CC117" i="288"/>
  <c r="CB115" i="288"/>
  <c r="H47" i="286"/>
  <c r="H42" i="288"/>
  <c r="H55" i="286"/>
  <c r="H25" i="328"/>
  <c r="H48" i="288"/>
  <c r="CV35" i="265"/>
  <c r="CV36" i="265"/>
  <c r="H36" i="265"/>
  <c r="H113" i="269"/>
  <c r="K113" i="269"/>
  <c r="CV95" i="265"/>
  <c r="CV96" i="265"/>
  <c r="H96" i="265"/>
  <c r="H171" i="269"/>
  <c r="K171" i="269"/>
  <c r="H81" i="286"/>
  <c r="CV58" i="286"/>
  <c r="F59" i="286"/>
  <c r="H41" i="269"/>
  <c r="K41" i="269"/>
  <c r="CV64" i="286"/>
  <c r="CV107" i="265"/>
  <c r="CV47" i="288"/>
  <c r="H44" i="288"/>
  <c r="H47" i="288"/>
  <c r="CV54" i="288"/>
  <c r="J168" i="269"/>
  <c r="L168" i="269"/>
  <c r="CV57" i="288"/>
  <c r="F60" i="288"/>
  <c r="H54" i="288"/>
  <c r="H57" i="288"/>
  <c r="CV59" i="328"/>
  <c r="CV112" i="265"/>
  <c r="CV114" i="265"/>
  <c r="CV134" i="265"/>
  <c r="J41" i="269"/>
  <c r="L41" i="269"/>
  <c r="H35" i="265"/>
  <c r="H112" i="269"/>
  <c r="K112" i="269"/>
  <c r="H95" i="265"/>
  <c r="H170" i="269"/>
  <c r="K170" i="269"/>
  <c r="J171" i="269"/>
  <c r="L171" i="269"/>
  <c r="J113" i="269"/>
  <c r="L113" i="269"/>
  <c r="CB117" i="288"/>
  <c r="CA115" i="288"/>
  <c r="CA117" i="288"/>
  <c r="BZ115" i="288"/>
  <c r="J170" i="269"/>
  <c r="L170" i="269"/>
  <c r="J112" i="269"/>
  <c r="L112" i="269"/>
  <c r="CV137" i="265"/>
  <c r="H137" i="265"/>
  <c r="CV136" i="265"/>
  <c r="F136" i="265"/>
  <c r="F13" i="264"/>
  <c r="H16" i="269"/>
  <c r="K16" i="269"/>
  <c r="F92" i="328"/>
  <c r="L6" i="326"/>
  <c r="B3" i="326"/>
  <c r="B3" i="327"/>
  <c r="F9" i="311"/>
  <c r="F11" i="311"/>
  <c r="F15" i="311"/>
  <c r="F16" i="311"/>
  <c r="F25" i="311"/>
  <c r="J25" i="311"/>
  <c r="J72" i="311"/>
  <c r="F72" i="311"/>
  <c r="F84" i="311"/>
  <c r="F17" i="264"/>
  <c r="J16" i="269"/>
  <c r="L16" i="269"/>
  <c r="F9" i="264"/>
  <c r="BZ117" i="288"/>
  <c r="BY115" i="288"/>
  <c r="BY117" i="288"/>
  <c r="BX115" i="288"/>
  <c r="G4" i="48"/>
  <c r="F2" i="310"/>
  <c r="F2" i="311"/>
  <c r="F2" i="307"/>
  <c r="F2" i="273"/>
  <c r="F2" i="288"/>
  <c r="F2" i="289"/>
  <c r="F2" i="305"/>
  <c r="F2" i="265"/>
  <c r="F2" i="285"/>
  <c r="F2" i="309"/>
  <c r="F2" i="304"/>
  <c r="F2" i="277"/>
  <c r="F2" i="306"/>
  <c r="F2" i="278"/>
  <c r="F2" i="314"/>
  <c r="F2" i="264"/>
  <c r="F2" i="286"/>
  <c r="F2" i="321"/>
  <c r="F2" i="275"/>
  <c r="F2" i="282"/>
  <c r="F2" i="325"/>
  <c r="F2" i="315"/>
  <c r="BX117" i="288"/>
  <c r="BW115" i="288"/>
  <c r="BW117" i="288"/>
  <c r="BV115" i="288"/>
  <c r="BV117" i="288"/>
  <c r="BU115" i="288"/>
  <c r="BU117" i="288"/>
  <c r="BT115" i="288"/>
  <c r="BT117" i="288"/>
  <c r="BS115" i="288"/>
  <c r="BS117" i="288"/>
  <c r="BR115" i="288"/>
  <c r="BR117" i="288"/>
  <c r="BQ115" i="288"/>
  <c r="BQ117" i="288"/>
  <c r="BP115" i="288"/>
  <c r="BP117" i="288"/>
  <c r="BO115" i="288"/>
  <c r="BO117" i="288"/>
  <c r="BN115" i="288"/>
  <c r="BN117" i="288"/>
  <c r="BM115" i="288"/>
  <c r="BM117" i="288"/>
  <c r="BL115" i="288"/>
  <c r="BL117" i="288"/>
  <c r="BK115" i="288"/>
  <c r="BK117" i="288"/>
  <c r="BJ115" i="288"/>
  <c r="BJ117" i="288"/>
  <c r="BI115" i="288"/>
  <c r="BI117" i="288"/>
  <c r="BH115" i="288"/>
  <c r="BH117" i="288"/>
  <c r="BG115" i="288"/>
  <c r="BG117" i="288"/>
  <c r="BF115" i="288"/>
  <c r="BF117" i="288"/>
  <c r="BE115" i="288"/>
  <c r="BE117" i="288"/>
  <c r="BD115" i="288"/>
  <c r="BD117" i="288"/>
  <c r="BC115" i="288"/>
  <c r="BC117" i="288"/>
  <c r="BB115" i="288"/>
  <c r="BB117" i="288"/>
  <c r="BA115" i="288"/>
  <c r="BA117" i="288"/>
  <c r="AZ115" i="288"/>
  <c r="AZ117" i="288"/>
  <c r="AY115" i="288"/>
  <c r="AY117" i="288"/>
  <c r="AX115" i="288"/>
  <c r="AX117" i="288"/>
  <c r="AW115" i="288"/>
  <c r="AW117" i="288"/>
  <c r="AV115" i="288"/>
  <c r="AV117" i="288"/>
  <c r="AU115" i="288"/>
  <c r="AU117" i="288"/>
  <c r="AU123" i="288"/>
  <c r="AU125" i="288"/>
  <c r="AT115" i="288"/>
  <c r="AT117" i="288"/>
  <c r="AT123" i="288"/>
  <c r="AT125" i="288"/>
  <c r="AS115" i="288"/>
  <c r="AS117" i="288"/>
  <c r="AS123" i="288"/>
  <c r="AS125" i="288"/>
  <c r="AR115" i="288"/>
  <c r="AR117" i="288"/>
  <c r="AR123" i="288"/>
  <c r="AR125" i="288"/>
  <c r="AQ115" i="288"/>
  <c r="AQ117" i="288"/>
  <c r="AQ123" i="288"/>
  <c r="AQ125" i="288"/>
  <c r="AP115" i="288"/>
  <c r="AP117" i="288"/>
  <c r="AP123" i="288"/>
  <c r="AP125" i="288"/>
  <c r="AO115" i="288"/>
  <c r="AO117" i="288"/>
  <c r="AO123" i="288"/>
  <c r="AO125" i="288"/>
  <c r="AN115" i="288"/>
  <c r="AN117" i="288"/>
  <c r="AN123" i="288"/>
  <c r="AN125" i="288"/>
  <c r="AM115" i="288"/>
  <c r="AM117" i="288"/>
  <c r="AM123" i="288"/>
  <c r="AM125" i="288"/>
  <c r="AL115" i="288"/>
  <c r="AL117" i="288"/>
  <c r="AL123" i="288"/>
  <c r="AL125" i="288"/>
  <c r="AK115" i="288"/>
  <c r="AK117" i="288"/>
  <c r="AK123" i="288"/>
  <c r="AK125" i="288"/>
  <c r="AJ115" i="288"/>
  <c r="AJ117" i="288"/>
  <c r="AJ123" i="288"/>
  <c r="AJ125" i="288"/>
  <c r="AI115" i="288"/>
  <c r="AI117" i="288"/>
  <c r="AI123" i="288"/>
  <c r="AI125" i="288"/>
  <c r="AH115" i="288"/>
  <c r="AH117" i="288"/>
  <c r="AH123" i="288"/>
  <c r="AH125" i="288"/>
  <c r="AG115" i="288"/>
  <c r="AG117" i="288"/>
  <c r="AG123" i="288"/>
  <c r="AG125" i="288"/>
  <c r="AF115" i="288"/>
  <c r="AF117" i="288"/>
  <c r="AF123" i="288"/>
  <c r="AF125" i="288"/>
  <c r="AE115" i="288"/>
  <c r="AE117" i="288"/>
  <c r="AE123" i="288"/>
  <c r="AE125" i="288"/>
  <c r="AD115" i="288"/>
  <c r="AD117" i="288"/>
  <c r="AD123" i="288"/>
  <c r="AD125" i="288"/>
  <c r="AC115" i="288"/>
  <c r="AC117" i="288"/>
  <c r="AC123" i="288"/>
  <c r="AC125" i="288"/>
  <c r="AB115" i="288"/>
  <c r="AB117" i="288"/>
  <c r="AB123" i="288"/>
  <c r="AB125" i="288"/>
  <c r="AA115" i="288"/>
  <c r="AA117" i="288"/>
  <c r="AA123" i="288"/>
  <c r="AA125" i="288"/>
  <c r="Z115" i="288"/>
  <c r="Z117" i="288"/>
  <c r="Z123" i="288"/>
  <c r="Z125" i="288"/>
  <c r="Y115" i="288"/>
  <c r="Y117" i="288"/>
  <c r="Y123" i="288"/>
  <c r="Y125" i="288"/>
  <c r="X115" i="288"/>
  <c r="X117" i="288"/>
  <c r="X123" i="288"/>
  <c r="X125" i="288"/>
  <c r="W115" i="288"/>
  <c r="W117" i="288"/>
  <c r="W123" i="288"/>
  <c r="W125" i="288"/>
  <c r="V115" i="288"/>
  <c r="V117" i="288"/>
  <c r="V123" i="288"/>
  <c r="V125" i="288"/>
  <c r="U115" i="288"/>
  <c r="U117" i="288"/>
  <c r="U123" i="288"/>
  <c r="U125" i="288"/>
  <c r="T115" i="288"/>
  <c r="T117" i="288"/>
  <c r="T123" i="288"/>
  <c r="T125" i="288"/>
  <c r="S115" i="288"/>
  <c r="S117" i="288"/>
  <c r="S123" i="288"/>
  <c r="S125" i="288"/>
  <c r="R115" i="288"/>
  <c r="R117" i="288"/>
  <c r="R123" i="288"/>
  <c r="R125" i="288"/>
  <c r="Q115" i="288"/>
  <c r="Q117" i="288"/>
  <c r="Q123" i="288"/>
  <c r="Q125" i="288"/>
  <c r="P115" i="288"/>
  <c r="P117" i="288"/>
  <c r="P123" i="288"/>
  <c r="P125" i="288"/>
  <c r="O115" i="288"/>
  <c r="O117" i="288"/>
  <c r="O123" i="288"/>
  <c r="O125" i="288"/>
  <c r="N115" i="288"/>
  <c r="N117" i="288"/>
  <c r="N123" i="288"/>
  <c r="N125" i="288"/>
  <c r="M115" i="288"/>
  <c r="M117" i="288"/>
  <c r="L115" i="288"/>
  <c r="F126" i="288"/>
  <c r="H31" i="269"/>
  <c r="K31" i="269"/>
  <c r="F127" i="288"/>
  <c r="H32" i="269"/>
  <c r="K32" i="269"/>
  <c r="J32" i="269"/>
  <c r="L32" i="269"/>
  <c r="J31" i="269"/>
  <c r="L31" i="269"/>
  <c r="L117" i="288"/>
  <c r="K115" i="288"/>
  <c r="K117" i="288"/>
  <c r="J115" i="288"/>
  <c r="J117" i="288"/>
  <c r="F65" i="286"/>
  <c r="H42" i="269"/>
  <c r="K42" i="269"/>
  <c r="L42" i="269"/>
  <c r="J42" i="269"/>
  <c r="J2" i="269"/>
  <c r="F3" i="285"/>
  <c r="F3" i="306"/>
  <c r="F3" i="286"/>
  <c r="F3" i="321"/>
  <c r="F3" i="310"/>
  <c r="F3" i="273"/>
  <c r="F3" i="307"/>
  <c r="F3" i="278"/>
  <c r="F3" i="289"/>
  <c r="F3" i="277"/>
  <c r="F3" i="325"/>
  <c r="F3" i="314"/>
  <c r="F3" i="264"/>
  <c r="F3" i="311"/>
  <c r="F3" i="309"/>
  <c r="F3" i="304"/>
  <c r="F3" i="288"/>
  <c r="F3" i="282"/>
  <c r="F3" i="305"/>
  <c r="F3" i="315"/>
  <c r="F3" i="265"/>
  <c r="F3" i="2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Umang Agarwal</author>
  </authors>
  <commentList>
    <comment ref="E17" authorId="0" shapeId="0" xr:uid="{33A33F62-BAEE-4432-BB96-662312CA1498}">
      <text>
        <r>
          <rPr>
            <sz val="9"/>
            <color indexed="81"/>
            <rFont val="Tahoma"/>
            <family val="2"/>
          </rPr>
          <t>'Tmp'!$E$17_x000D_
Duplicate label in cell $E$8</t>
        </r>
      </text>
    </comment>
    <comment ref="E20" authorId="0" shapeId="0" xr:uid="{EEA1EC6C-58BD-48CA-BDE9-526B7E479391}">
      <text>
        <r>
          <rPr>
            <sz val="9"/>
            <color indexed="81"/>
            <rFont val="Tahoma"/>
            <family val="2"/>
          </rPr>
          <t>'Tmp'!$E$20_x000D_
Duplicate label in cell $E$11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<sst xmlns="http://schemas.openxmlformats.org/spreadsheetml/2006/main" count="2260" uniqueCount="1352">
  <si>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</si>
  <si>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</si>
  <si>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</si>
  <si>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</si>
  <si>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</si>
  <si>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</si>
  <si>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</si>
  <si>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</si>
  <si>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</si>
  <si>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</si>
  <si>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</si>
  <si>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</si>
  <si>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</si>
  <si>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</si>
  <si>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</si>
  <si>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</si>
  <si>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</si>
  <si>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</si>
  <si>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</si>
  <si>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</si>
  <si>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</si>
  <si>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</si>
  <si>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</si>
  <si>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</si>
  <si>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</si>
  <si>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</si>
  <si>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</si>
  <si>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</si>
  <si>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</si>
  <si>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</si>
  <si>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</si>
  <si>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</si>
  <si>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</si>
  <si>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</si>
  <si>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</si>
  <si>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</si>
  <si>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</si>
  <si>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</si>
  <si>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</si>
  <si>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</si>
  <si>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</si>
  <si>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</si>
  <si>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</si>
  <si>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</si>
  <si>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</si>
  <si>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</si>
  <si>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</si>
  <si>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</si>
  <si>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</si>
  <si>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</si>
  <si>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</si>
  <si>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</si>
  <si>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</si>
  <si>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</si>
  <si>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</si>
  <si>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</si>
  <si>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</si>
  <si>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</si>
  <si>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</si>
  <si>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</si>
  <si>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</si>
  <si>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</si>
  <si>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</si>
  <si>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</si>
  <si>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</si>
  <si>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</si>
  <si>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</si>
  <si>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</si>
  <si>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</si>
  <si>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</si>
  <si>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</si>
  <si>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</si>
  <si>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</si>
  <si>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</si>
  <si>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</si>
  <si>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</si>
  <si>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</si>
  <si>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</si>
  <si>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</si>
  <si>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</si>
  <si>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</si>
  <si>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</si>
  <si>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</si>
  <si>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</si>
  <si>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</si>
  <si>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</si>
  <si>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</si>
  <si>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</si>
  <si>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</si>
  <si>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</si>
  <si>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</si>
  <si>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</si>
  <si>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</si>
  <si>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</si>
  <si>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</si>
  <si>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</si>
  <si>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</si>
  <si>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</si>
  <si>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</si>
  <si>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</si>
  <si>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</si>
  <si>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</si>
  <si>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</si>
  <si>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</si>
  <si>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</si>
  <si>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</si>
  <si>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</si>
  <si>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</si>
  <si>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</si>
  <si>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</si>
  <si>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</si>
  <si>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</si>
  <si>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</si>
  <si>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</si>
  <si>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</si>
  <si>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</si>
  <si>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% p.a.</t>
  </si>
  <si>
    <t>Seasonality adjustment</t>
  </si>
  <si>
    <t>GWh</t>
  </si>
  <si>
    <t xml:space="preserve">Availability </t>
  </si>
  <si>
    <t>First post operating period flag</t>
  </si>
  <si>
    <t>OPERATIONS</t>
  </si>
  <si>
    <t>End of operating period</t>
  </si>
  <si>
    <t xml:space="preserve">Last operating period flag </t>
  </si>
  <si>
    <t>Contract year number</t>
  </si>
  <si>
    <t>% of annual yield</t>
  </si>
  <si>
    <t>COUNTERS / PERIOD NUMBERS</t>
  </si>
  <si>
    <t>Period number</t>
  </si>
  <si>
    <t>Annual timeline</t>
  </si>
  <si>
    <t>Base case 3</t>
  </si>
  <si>
    <t>Retained earnings balance BEG</t>
  </si>
  <si>
    <t>Retained earnings balance</t>
  </si>
  <si>
    <t>RETAINED EARNINGS</t>
  </si>
  <si>
    <t>RETAINED CASH</t>
  </si>
  <si>
    <t>Retained cash balance BEG</t>
  </si>
  <si>
    <t>Retained cash balance</t>
  </si>
  <si>
    <t>O&amp;M COST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</si>
  <si>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</si>
  <si>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</si>
  <si>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</si>
  <si>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</si>
  <si>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</si>
  <si>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</si>
  <si>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DEPRECIATION OF SOLAR ASSET</t>
  </si>
  <si>
    <t>SHARE CAPITAL</t>
  </si>
  <si>
    <t>Share capital balance BEG</t>
  </si>
  <si>
    <t>Share capital balance</t>
  </si>
  <si>
    <t>Share capital drawdown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</si>
  <si>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</si>
  <si>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</si>
  <si>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</si>
  <si>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</si>
  <si>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</si>
  <si>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</si>
  <si>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</si>
  <si>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</si>
  <si>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Year 1 P50 production</t>
  </si>
  <si>
    <t>Length of PPA</t>
  </si>
  <si>
    <t>SENIOR DEBT</t>
  </si>
  <si>
    <t>FINANCING</t>
  </si>
  <si>
    <t>DAYS IN PERIOD</t>
  </si>
  <si>
    <t>days</t>
  </si>
  <si>
    <t>Days in period</t>
  </si>
  <si>
    <t>DSCR</t>
  </si>
  <si>
    <t>ratio</t>
  </si>
  <si>
    <t>Days in year</t>
  </si>
  <si>
    <t>Tax depreciation</t>
  </si>
  <si>
    <t>Tax loss carry forward</t>
  </si>
  <si>
    <t>Corporate income tax rate</t>
  </si>
  <si>
    <t>Taxable income</t>
  </si>
  <si>
    <t>less</t>
  </si>
  <si>
    <t>Asset value for tax balance BEG</t>
  </si>
  <si>
    <t>Asset value for tax balance</t>
  </si>
  <si>
    <t>Tax depreciation rate</t>
  </si>
  <si>
    <t>[allowable capex]</t>
  </si>
  <si>
    <t>Interest deduction for tax</t>
  </si>
  <si>
    <t>Tax losses carried forward balance BEG</t>
  </si>
  <si>
    <t>Tax losses carried forward balance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</si>
  <si>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</si>
  <si>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</si>
  <si>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</si>
  <si>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</si>
  <si>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</si>
  <si>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</si>
  <si>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TAX</t>
  </si>
  <si>
    <t>`</t>
  </si>
  <si>
    <t>Debt sizing</t>
  </si>
  <si>
    <t>factor</t>
  </si>
  <si>
    <t>1 = leverage, 2 = DSCR</t>
  </si>
  <si>
    <t xml:space="preserve"> </t>
  </si>
  <si>
    <t>Level principal repayments profile</t>
  </si>
  <si>
    <t>ACCOUNTS RECEIVABLE</t>
  </si>
  <si>
    <t>Accounts receivable days</t>
  </si>
  <si>
    <t>Forecast accounts receivable balance</t>
  </si>
  <si>
    <t>Accounts receivable balance BEG</t>
  </si>
  <si>
    <t>Accounts receivable balance</t>
  </si>
  <si>
    <t>Cash received from invoices</t>
  </si>
  <si>
    <t>ACCOUNTS PAYABLE</t>
  </si>
  <si>
    <t>Accounts payable days</t>
  </si>
  <si>
    <t>Forecast accounts payable balance</t>
  </si>
  <si>
    <t>Accounts payable balance BEG</t>
  </si>
  <si>
    <t>Accounts payable balance</t>
  </si>
  <si>
    <t>Cash paid for O&amp;M costs POS</t>
  </si>
  <si>
    <t>WORKING CAPITAL</t>
  </si>
  <si>
    <t>index</t>
  </si>
  <si>
    <t>O&amp;M escalation factor</t>
  </si>
  <si>
    <t>Indexation</t>
  </si>
  <si>
    <t>ESCALATION FACTORS</t>
  </si>
  <si>
    <t>Senior debt service coverage ratio</t>
  </si>
  <si>
    <t>Electricity generation</t>
  </si>
  <si>
    <t>Units in a thousand</t>
  </si>
  <si>
    <t>Compound degradation</t>
  </si>
  <si>
    <t>Annual degradation</t>
  </si>
  <si>
    <t>Annual DSCR profile</t>
  </si>
  <si>
    <t>SENIOR DEBT FORWARD CURVE</t>
  </si>
  <si>
    <t>profile</t>
  </si>
  <si>
    <t>Level DS / amortising profile</t>
  </si>
  <si>
    <t>sum of factors</t>
  </si>
  <si>
    <t>1 = level p, 2 = sculpted, 3 = level ds</t>
  </si>
  <si>
    <t>Escalation period year end flag</t>
  </si>
  <si>
    <t>Financial close date</t>
  </si>
  <si>
    <t>Model period beginning - m</t>
  </si>
  <si>
    <t>Model period ending - m</t>
  </si>
  <si>
    <t>Financial close date flag - m</t>
  </si>
  <si>
    <t>First construction period flag - m</t>
  </si>
  <si>
    <t>Last construction period flag</t>
  </si>
  <si>
    <t>End of construction period date</t>
  </si>
  <si>
    <t>Last construction period flag - m</t>
  </si>
  <si>
    <t>Construction period flag</t>
  </si>
  <si>
    <t>End of construction period flag</t>
  </si>
  <si>
    <t>First construction period flag</t>
  </si>
  <si>
    <t>End of useful life of solar asset flag</t>
  </si>
  <si>
    <t>Construction</t>
  </si>
  <si>
    <t>Monthly timeline</t>
  </si>
  <si>
    <t>First model column flag - m</t>
  </si>
  <si>
    <t>First operating period flag - m</t>
  </si>
  <si>
    <t>Timeline label counter - m</t>
  </si>
  <si>
    <t>Timeline label - m</t>
  </si>
  <si>
    <t>Construction period length</t>
  </si>
  <si>
    <t>End of financial year flag</t>
  </si>
  <si>
    <t>Financial year end date of first model period</t>
  </si>
  <si>
    <t>Financial year end applicable to period</t>
  </si>
  <si>
    <t>Financial year</t>
  </si>
  <si>
    <t>End of financial year flag - m</t>
  </si>
  <si>
    <t>EPC spent contingency</t>
  </si>
  <si>
    <t>Construction insurance</t>
  </si>
  <si>
    <t>Development costs</t>
  </si>
  <si>
    <t>O&amp;M mobilisation</t>
  </si>
  <si>
    <t>Base EPC spend curve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</si>
  <si>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</si>
  <si>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</si>
  <si>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</si>
  <si>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</si>
  <si>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</si>
  <si>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</si>
  <si>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</si>
  <si>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</si>
  <si>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SPV costs during construction</t>
  </si>
  <si>
    <t>Construction insurance - base amount</t>
  </si>
  <si>
    <t>Construction insurance cost</t>
  </si>
  <si>
    <t>Development costs - base amount</t>
  </si>
  <si>
    <t>O&amp;M mobilisation - base amount</t>
  </si>
  <si>
    <t>PROJECT COSTS</t>
  </si>
  <si>
    <t>Construction costs - m</t>
  </si>
  <si>
    <t>[financing costs]</t>
  </si>
  <si>
    <t>Project costs / funding requirement</t>
  </si>
  <si>
    <t>SHARE CAPITAL DRAWDOWN</t>
  </si>
  <si>
    <t>Share capital amount</t>
  </si>
  <si>
    <t>Share capital during construction balance BEG</t>
  </si>
  <si>
    <t>Share capital during construction balance</t>
  </si>
  <si>
    <t xml:space="preserve">Undrawn share capital </t>
  </si>
  <si>
    <t>Share capital drawdown - m</t>
  </si>
  <si>
    <t>CONSTRUCTION DEBT</t>
  </si>
  <si>
    <t>Construction debt drawdown - m</t>
  </si>
  <si>
    <t>Construction debt balance BEG</t>
  </si>
  <si>
    <t>Construction debt balance</t>
  </si>
  <si>
    <t>Upfront fee</t>
  </si>
  <si>
    <t>Commitment fee</t>
  </si>
  <si>
    <t>[financing fees / other]</t>
  </si>
  <si>
    <t>Construction debt commitment fee</t>
  </si>
  <si>
    <t>p.a.</t>
  </si>
  <si>
    <t>All in construction debt interest rate</t>
  </si>
  <si>
    <t>Days in period - m</t>
  </si>
  <si>
    <t>Construction debt interest</t>
  </si>
  <si>
    <t>Construction debt</t>
  </si>
  <si>
    <t>PASTE LINE ITEMS</t>
  </si>
  <si>
    <t>COPY LINE ITEMS</t>
  </si>
  <si>
    <t>CHECKS</t>
  </si>
  <si>
    <t>Monthly line items</t>
  </si>
  <si>
    <t>Constants</t>
  </si>
  <si>
    <t>Project costs / funding requirement - check</t>
  </si>
  <si>
    <t>Master solve check</t>
  </si>
  <si>
    <t>Construction debt drawdown</t>
  </si>
  <si>
    <t>Operating cashflow</t>
  </si>
  <si>
    <t>Cashflow available for senior debt</t>
  </si>
  <si>
    <t>Cashflow available for debt service</t>
  </si>
  <si>
    <t>Model ops period counter - m</t>
  </si>
  <si>
    <t>TIMELINE AGGREGATION</t>
  </si>
  <si>
    <t>Construction costs POS</t>
  </si>
  <si>
    <t>FINANCING COST SUMMARY</t>
  </si>
  <si>
    <t>Financing fees - m</t>
  </si>
  <si>
    <t>Financing fees POS</t>
  </si>
  <si>
    <t>AMORTISATION OF CAPITALISED FINANCE COSTS</t>
  </si>
  <si>
    <t>Amortisation of capitalised finance costs POS</t>
  </si>
  <si>
    <t>Capitalised finance costs balance BEG</t>
  </si>
  <si>
    <t>Capitalised finance costs balance</t>
  </si>
  <si>
    <t>Construction period asset value for tax</t>
  </si>
  <si>
    <t>less:</t>
  </si>
  <si>
    <t>Net cashflow from equity during construction - NEG for IRR</t>
  </si>
  <si>
    <t>Net cashflow to equity during operations</t>
  </si>
  <si>
    <t>Working capital reserve account</t>
  </si>
  <si>
    <t>Release of working capital reserve</t>
  </si>
  <si>
    <t>Net working capital balance</t>
  </si>
  <si>
    <t>NET WORKING CAPITAL BALANCE FOR PRE-FUNDING</t>
  </si>
  <si>
    <t>Pre-funding of working capital amount</t>
  </si>
  <si>
    <t>PRE-FUNDING OF RESERVE ACCOUNTS</t>
  </si>
  <si>
    <t>CONSTRUCTION COST SUMMARY</t>
  </si>
  <si>
    <t>Pre-funding of working capital POS</t>
  </si>
  <si>
    <t>Pre-funding of working capital - m</t>
  </si>
  <si>
    <t>Working capital reserve account balance BEG</t>
  </si>
  <si>
    <t>Working capital reserve account balance</t>
  </si>
  <si>
    <t>TARIFF SOLVING</t>
  </si>
  <si>
    <t>Target IRR</t>
  </si>
  <si>
    <t>Tariff solving mode</t>
  </si>
  <si>
    <t>1 = changes go to tariff, 2 = changes go to IRR</t>
  </si>
  <si>
    <t>Adjusted tariff</t>
  </si>
  <si>
    <t>Tariff adjustment check</t>
  </si>
  <si>
    <t>Tariff check precision adjustment</t>
  </si>
  <si>
    <t>Max cash balance</t>
  </si>
  <si>
    <t>Average cash balance</t>
  </si>
  <si>
    <t>Leverage</t>
  </si>
  <si>
    <t>Shareholder loan interest paid</t>
  </si>
  <si>
    <t>Shareholder loan principal repayment</t>
  </si>
  <si>
    <t>Cashflow available for share capital redemption</t>
  </si>
  <si>
    <t>Shareholder loan balance</t>
  </si>
  <si>
    <t>Shareholder loan interest expense</t>
  </si>
  <si>
    <t>SHAREHOLDER LOAN</t>
  </si>
  <si>
    <t>Shareholder loan requirement</t>
  </si>
  <si>
    <t>Funding requirement for shareholder loan</t>
  </si>
  <si>
    <t>Shareholder loan during construction balance BEG</t>
  </si>
  <si>
    <t>Shareholder loan during construction balance</t>
  </si>
  <si>
    <t>Undrawn shareholder loan</t>
  </si>
  <si>
    <t>Shareholder loan drawdown</t>
  </si>
  <si>
    <t>Shareholder loan interest unpaid</t>
  </si>
  <si>
    <t>Shareholder loan balance BEG</t>
  </si>
  <si>
    <t>Shareholder loan annual interest rate</t>
  </si>
  <si>
    <t>Shareholder loan interest expense POS</t>
  </si>
  <si>
    <t>Cashflow available for shareholder loan</t>
  </si>
  <si>
    <t>Shareholder loan interest paid POS</t>
  </si>
  <si>
    <t>Unpaid shareholder loan interest</t>
  </si>
  <si>
    <t>Cash availble for shareholder loan repayment</t>
  </si>
  <si>
    <t>Shareholder loan principal repayment POS</t>
  </si>
  <si>
    <t>DEBT SERVICE RESERVE ACCOUNT</t>
  </si>
  <si>
    <t>Target DSRA balance</t>
  </si>
  <si>
    <t>DSRA target balance % of 12 month debt service - Post TRD</t>
  </si>
  <si>
    <t>DSRA target balance</t>
  </si>
  <si>
    <t>Target DSRA balance at end construction - periodic</t>
  </si>
  <si>
    <t>Cash pre-funding of DSRA</t>
  </si>
  <si>
    <t>Target deposit / (release)</t>
  </si>
  <si>
    <t>Target deposit</t>
  </si>
  <si>
    <t>DSRA deposit</t>
  </si>
  <si>
    <t>Cash available for DSRA / (DS shortfall)</t>
  </si>
  <si>
    <t>Cash available for DSRA</t>
  </si>
  <si>
    <t>DS shortfall target withdrawal</t>
  </si>
  <si>
    <t>DS shortfall withdrawal</t>
  </si>
  <si>
    <t>DSRA release</t>
  </si>
  <si>
    <t>CF</t>
  </si>
  <si>
    <t>DSRA withdrawal</t>
  </si>
  <si>
    <t>DSRA balance</t>
  </si>
  <si>
    <t>Target DSRA balance at end construction</t>
  </si>
  <si>
    <t>DSRA balance BEG</t>
  </si>
  <si>
    <t>plus</t>
  </si>
  <si>
    <t>BS</t>
  </si>
  <si>
    <t>DSRA sufficiently funded check</t>
  </si>
  <si>
    <t>Periods in a year</t>
  </si>
  <si>
    <t>Annual debt service for target balance</t>
  </si>
  <si>
    <t>DSRA target balance selection switch</t>
  </si>
  <si>
    <t>1 = 50% of 12m, 2 = next 6m</t>
  </si>
  <si>
    <t>Cashflow available for DSRA</t>
  </si>
  <si>
    <t>DSRA deposit POS</t>
  </si>
  <si>
    <t>DSRA</t>
  </si>
  <si>
    <t>Debt service reserve account</t>
  </si>
  <si>
    <t>Pre-funding of DSRA - m</t>
  </si>
  <si>
    <t>Pre-funding of DSRA POS</t>
  </si>
  <si>
    <t>ANNUAL DSCR</t>
  </si>
  <si>
    <t>Annual debt service</t>
  </si>
  <si>
    <t>Annual CFADS</t>
  </si>
  <si>
    <t>Senior annual debt service coverage ratio</t>
  </si>
  <si>
    <t>Min ADSCR</t>
  </si>
  <si>
    <t>Avg ADSCR</t>
  </si>
  <si>
    <t>AVERAGE COST OF DEBT</t>
  </si>
  <si>
    <t>Debt drawdown - neg for cost of debt</t>
  </si>
  <si>
    <t>Debt cashflow during construction</t>
  </si>
  <si>
    <t>Length of construction period</t>
  </si>
  <si>
    <t>Years from FC - counter</t>
  </si>
  <si>
    <t>WEIGHTED AVERAGE LIFE OF LOAN</t>
  </si>
  <si>
    <t>Senior debt repayment as % of total</t>
  </si>
  <si>
    <t>Weighted average life of loan</t>
  </si>
  <si>
    <t>LLCR</t>
  </si>
  <si>
    <t>Period interest rate for LLCR</t>
  </si>
  <si>
    <t>Min LLCR</t>
  </si>
  <si>
    <t>PV of LLCR cash flow</t>
  </si>
  <si>
    <t>LLCR flag</t>
  </si>
  <si>
    <t>Loan life coverage ratio</t>
  </si>
  <si>
    <t>Avg LLCR</t>
  </si>
  <si>
    <t>Annual yield allocation check</t>
  </si>
  <si>
    <t>$ 000s p.a.</t>
  </si>
  <si>
    <t>OPTIMISATION</t>
  </si>
  <si>
    <t>GWh p.a.</t>
  </si>
  <si>
    <t>info only</t>
  </si>
  <si>
    <t>EPC PROFILE</t>
  </si>
  <si>
    <t>OTHER CONSTRUCTION COSTS</t>
  </si>
  <si>
    <t>SOURCES OF CASH</t>
  </si>
  <si>
    <t>NET EQUITY CASHFLOW FOR IRR</t>
  </si>
  <si>
    <t>Debt capacity at target DSCR check</t>
  </si>
  <si>
    <t>Post FC/Post bid switch</t>
  </si>
  <si>
    <t>Senior debt service</t>
  </si>
  <si>
    <t>IS / CF</t>
  </si>
  <si>
    <t>IS</t>
  </si>
  <si>
    <t>Net senior debt cashflows - operations</t>
  </si>
  <si>
    <t>Total sources and uses check</t>
  </si>
  <si>
    <t>Total DSRA sufficiently funded check</t>
  </si>
  <si>
    <t>H4sIAAAAAAAEAHVTTW/bMAz9K4POPjTDshS5LV6KBki7Ils3DMMOrMTEQmjKkOSmRZD/PvrbMbALYb1HUo+P8lkFJNQRTZqhPga1PKs75/OSYMPacbAhIut3tYy+xEQ9cxnQbLgoY+iwBxsKAj2F760xyDt3Cl/YpI7KnHvuEXLcAR+wR9ZvGmntvfM99AQ+WqBvr+jJ8eE6vxGSAmmRGq3joVFEz0A73KMX6UPJFkJMkagHNnnhfFy/VfEB/NHyYeD41Qb7QnhV8VTNmTky6K/wr2DDe5qBFRl7oCDQSNqGV+Rqc3vDgtz1zDZOMbHrh4tAvWYZvN3HMHkuWq/dviTKVsc7x1Et1UpkHlWHWZJ26uN8nnyow2wxFw7rsduCHZoBavJ/ZTZi1SMf5a2oHGHXidqVLNbvyZ0mMsZMK2a2EDFtkIxi8HVSO2aa2t9ivDsJlYP2bpLeYO0lN5/aiSXU42ksqn38R4Su3+gWXrBa7LwDUvkLInBl9ecOa1e36M7D2m4T5d2p+Zm+R3nBQjWF8h62yIeYbW1uRfNMlCmoZkFzD95oZ9D8BHFYOv85q/pTZM7UJRlON+ry9/IPrlw4r7YDAAA=</t>
  </si>
  <si>
    <t>H4sIAAAAAAAEAL2WzW6CQBRGX8XMoiuaCIJWdoZqYlJtlXbVmIbitEwKA4WhkRjevQw/nYtGizRlR2K+8x3k3oE9YsTDEQ4Jju5IxJD+vEfz6CEknhUmSH+z3AhLaGl5GOloFVshw6GbIAmZLLs2fBfpcl9CU7otrsdKKp0hLHzKnDN5bXQ2PqE0ttzTaTXdSChyMGbibmgRNRyLvuMsSugW75CuSIglQfaLKoH/AOk0dt2SsawluVjJmtPAEKRBRVJ+I+W5OscUHPUE5+8P5FDCPJToXXvCQ7vco8ljPZLgpcDD8Olj1iY8hpVH//88qtK6h+Fns/PjMerGIy+te8wIFRo33WjwTmBhXj0JhXEHCrwQ9NdHQpYvN2izI4czMY1sIKF0I8FLgcN9EAGHQTcOvBQ4TGwbLIasdiORtwKLW/wKLbRuLPJWuBm++wVHc9j4hVIk4Q2Z6wkgtThwWt0Qb4VD/hkTlgCPFidOqzkveuHSWzug0eLUabXzWSlwWGAWEhusnNLvxqMqBi4zs7diIVCRG89aGT2CvSzXgNf8Y0ik68jsywzwBpfweBSeczELYrDfitoYVkbhS9TB9gdgaY1ZRRIOpRcAUPNt57l0k34DdKAwsGoLAAA=</t>
  </si>
  <si>
    <t>Movement in accounts payable</t>
  </si>
  <si>
    <t>Increase / (decrease) in accounts payable</t>
  </si>
  <si>
    <t>Movement in accounts receivable</t>
  </si>
  <si>
    <t>Decrease / (increase) in accounts receivable</t>
  </si>
  <si>
    <t>Decrease / (increase) in working capital</t>
  </si>
  <si>
    <t>Target release from working capital reserve</t>
  </si>
  <si>
    <t>REVENUE - P50</t>
  </si>
  <si>
    <t>Model % tolerance level</t>
  </si>
  <si>
    <t>EPC cost overrun</t>
  </si>
  <si>
    <t>Standby debt</t>
  </si>
  <si>
    <t>Commitment amount</t>
  </si>
  <si>
    <t>Standby funding commitment as % of EPC cost</t>
  </si>
  <si>
    <t>Standby funding commitment amount</t>
  </si>
  <si>
    <t>Standby debt commitment amount</t>
  </si>
  <si>
    <t>Availability period</t>
  </si>
  <si>
    <t>Operations period</t>
  </si>
  <si>
    <t>Gearing for standby funding calculation - calc</t>
  </si>
  <si>
    <t>Gearing for standby funding calculation check</t>
  </si>
  <si>
    <t>Standby equity commitment amount</t>
  </si>
  <si>
    <t>STANDBY DEBT</t>
  </si>
  <si>
    <t>Standby funding requirement</t>
  </si>
  <si>
    <t>Standby debt amount</t>
  </si>
  <si>
    <t>Funding requirement for standby debt</t>
  </si>
  <si>
    <t>Standby debt balance</t>
  </si>
  <si>
    <t xml:space="preserve">Standby debt upfront fee </t>
  </si>
  <si>
    <t>Standby debt commitment fee</t>
  </si>
  <si>
    <t>Standby debt interest</t>
  </si>
  <si>
    <t>Total equity requirement - calc</t>
  </si>
  <si>
    <t>Total equity requirement - Paste</t>
  </si>
  <si>
    <t>Gearing for standby funding calculation - Paste</t>
  </si>
  <si>
    <t>Total equity requirement - check</t>
  </si>
  <si>
    <t>STANDBY EQUITY</t>
  </si>
  <si>
    <t>Standby equity amount</t>
  </si>
  <si>
    <t>Undrawn Standby equity</t>
  </si>
  <si>
    <t>Funding requirement for standby equity</t>
  </si>
  <si>
    <t>Standby equity drawdown - m</t>
  </si>
  <si>
    <t>Standby equity balance BEG</t>
  </si>
  <si>
    <t>Standby equity balance</t>
  </si>
  <si>
    <t>Standby equity drawdown</t>
  </si>
  <si>
    <t>Standby debt drawdown</t>
  </si>
  <si>
    <t>Standby equity redemption POS</t>
  </si>
  <si>
    <t>Working capital facility</t>
  </si>
  <si>
    <t>WCF commitment amount</t>
  </si>
  <si>
    <t>WFC day count convention</t>
  </si>
  <si>
    <t>WCF commitment fee</t>
  </si>
  <si>
    <t>WCF upfront fee</t>
  </si>
  <si>
    <t>WCF margin</t>
  </si>
  <si>
    <t>WORKING CAPITAL FACILITY</t>
  </si>
  <si>
    <t>WCF available balance</t>
  </si>
  <si>
    <t>WCF target balance including construction</t>
  </si>
  <si>
    <t>WCF maximum target balance</t>
  </si>
  <si>
    <t>*for info only</t>
  </si>
  <si>
    <t>WCF target drawdown</t>
  </si>
  <si>
    <t>WCF drawdown</t>
  </si>
  <si>
    <t>WCF commitment amount insufficient alert</t>
  </si>
  <si>
    <t>WCF undrawn balance BEG</t>
  </si>
  <si>
    <t>WCF commitment fee POS</t>
  </si>
  <si>
    <t>WCF upfront fee POS</t>
  </si>
  <si>
    <t>WCF interest</t>
  </si>
  <si>
    <t>WCF interest accrued and paid POS</t>
  </si>
  <si>
    <t>WCF balance</t>
  </si>
  <si>
    <t>WCF balance BEG</t>
  </si>
  <si>
    <t>MOVEMENT IN WORKING CAPITAL</t>
  </si>
  <si>
    <t>Movement in working capital</t>
  </si>
  <si>
    <t>All-in interest rate</t>
  </si>
  <si>
    <t>WCF repayment POS</t>
  </si>
  <si>
    <t>Distribute DSRA to sponsors at COD</t>
  </si>
  <si>
    <t>DSRA cash or LC funded</t>
  </si>
  <si>
    <t>1 = cash, 2 = LC</t>
  </si>
  <si>
    <t>DSRA LC fee</t>
  </si>
  <si>
    <t>DSRA LC</t>
  </si>
  <si>
    <t>DSRA LC fee accrued and paid POS</t>
  </si>
  <si>
    <t>Equity bridge</t>
  </si>
  <si>
    <t>EBL active switch</t>
  </si>
  <si>
    <t>1 = yes; 0 = no</t>
  </si>
  <si>
    <t>EBL interest &amp; fee pre-PCOD paid vs rolled-up switch</t>
  </si>
  <si>
    <t>0 = paid, 1 = rolled-up</t>
  </si>
  <si>
    <t>Equity bridge day count convention</t>
  </si>
  <si>
    <t>Equity bridge repaid at end construction?</t>
  </si>
  <si>
    <t>Term of equity bridge beyond PCOD</t>
  </si>
  <si>
    <t>% of EBL hedged</t>
  </si>
  <si>
    <t>Equity bridge swap rate</t>
  </si>
  <si>
    <t>Equity bridge margin - construction</t>
  </si>
  <si>
    <t>Equity bridge margin - operations</t>
  </si>
  <si>
    <t>Equity bridge upfront fee</t>
  </si>
  <si>
    <t>Equity bridge commitment fee</t>
  </si>
  <si>
    <t>% of margin</t>
  </si>
  <si>
    <t>Shareholder loan drawdown for EBL repayment - m</t>
  </si>
  <si>
    <t>Shareholder drawdown - m</t>
  </si>
  <si>
    <t>EQUITY BRIDGE</t>
  </si>
  <si>
    <t>Equity bridge drawdown</t>
  </si>
  <si>
    <t>EBL requirement</t>
  </si>
  <si>
    <t>Funding requirement for EBL</t>
  </si>
  <si>
    <t>EBL available for drawdown for costs</t>
  </si>
  <si>
    <t>Undrawn equity bridge loan</t>
  </si>
  <si>
    <t>Equity bridge drawdown - m</t>
  </si>
  <si>
    <t>Equity bridge balance BEG</t>
  </si>
  <si>
    <t>Equity bridge balance</t>
  </si>
  <si>
    <t>Equity bridge interest</t>
  </si>
  <si>
    <t>% of EBL hedged during construction</t>
  </si>
  <si>
    <t>Equity bridge - availability period base rate</t>
  </si>
  <si>
    <t>Equity bridge period interest rate</t>
  </si>
  <si>
    <t>Equity bridge interest - paid</t>
  </si>
  <si>
    <t>Equity bridge interest - rolled up</t>
  </si>
  <si>
    <t>Equity bridge fees</t>
  </si>
  <si>
    <t>Equity bridge upfront fee - paid</t>
  </si>
  <si>
    <t>Equity bridge upfront fee - rolled up</t>
  </si>
  <si>
    <t>Equity bridge undrawn balance</t>
  </si>
  <si>
    <t>Equity bridge commitment fee - paid</t>
  </si>
  <si>
    <t>Equity bridge commitment fee - rolled up</t>
  </si>
  <si>
    <t>Equity bridge interest and fees - paid</t>
  </si>
  <si>
    <t>Equity bridge interest and fees paid POS</t>
  </si>
  <si>
    <t>Equity bridge interest and fees - rolled up</t>
  </si>
  <si>
    <t>Equity bridge interest and fees rolled up</t>
  </si>
  <si>
    <t>Equity bridge interest and fees rolled up - total - calc</t>
  </si>
  <si>
    <t>Equity bridge repayment</t>
  </si>
  <si>
    <t>Repayment of equity bridge POS</t>
  </si>
  <si>
    <t>EQUITY BRIDGE POST CONSTRUCTION FLAG</t>
  </si>
  <si>
    <t>Equity bridge repayment date</t>
  </si>
  <si>
    <t>Equity bridge repayment date flag</t>
  </si>
  <si>
    <t>EBL term post PCOD flag</t>
  </si>
  <si>
    <t>Shareholder loan drawdown during operations</t>
  </si>
  <si>
    <t>Equity bridge bullet repayment during operations</t>
  </si>
  <si>
    <t>Equity bridge repayment POS</t>
  </si>
  <si>
    <t>% of EBL hedged during operations</t>
  </si>
  <si>
    <t>All in equity bridge base rate</t>
  </si>
  <si>
    <t>Equity bridge applicable interest rate</t>
  </si>
  <si>
    <t>Equity bridge interest POS</t>
  </si>
  <si>
    <t>EBL requirement fixed</t>
  </si>
  <si>
    <t>Equity bridge interest and fees rolled up - total - fixed</t>
  </si>
  <si>
    <t>EBL requirement check</t>
  </si>
  <si>
    <t>Equity bridge interest and fees rolled up - total check</t>
  </si>
  <si>
    <t>WCF active switch</t>
  </si>
  <si>
    <t>SOURCES &amp; USES</t>
  </si>
  <si>
    <t>Sources</t>
  </si>
  <si>
    <t>Uses</t>
  </si>
  <si>
    <t>Senior debt financing costs - m</t>
  </si>
  <si>
    <t>Total financing costs incl. rolled up costs - m</t>
  </si>
  <si>
    <t>Shareholder loan drawdown excluding EBL repayment - m</t>
  </si>
  <si>
    <t>Debt forward curve selection</t>
  </si>
  <si>
    <t>Active debt forward curve</t>
  </si>
  <si>
    <t>Active debt forward curve -m</t>
  </si>
  <si>
    <t>Annual Fixed O&amp;M cost</t>
  </si>
  <si>
    <t>Annual Project Co cost</t>
  </si>
  <si>
    <t>Fixed O&amp;M cost</t>
  </si>
  <si>
    <t>Project Co costs</t>
  </si>
  <si>
    <t>Fixed O&amp;M costs</t>
  </si>
  <si>
    <t>O&amp;M expense</t>
  </si>
  <si>
    <t>Project Co costs - per period</t>
  </si>
  <si>
    <t>Hours in a day</t>
  </si>
  <si>
    <t>hours</t>
  </si>
  <si>
    <t>Capacity</t>
  </si>
  <si>
    <t>Contracted plant capacity</t>
  </si>
  <si>
    <t>MW</t>
  </si>
  <si>
    <t>Plant P50 capacity factor</t>
  </si>
  <si>
    <t>Development security guarantee - % of EPC</t>
  </si>
  <si>
    <t>Development security LC fee %</t>
  </si>
  <si>
    <t>Development security LC fee</t>
  </si>
  <si>
    <t>Development security guarantee</t>
  </si>
  <si>
    <t>Exchange Rate</t>
  </si>
  <si>
    <t>USD / WID exchange rate</t>
  </si>
  <si>
    <t>WIDs</t>
  </si>
  <si>
    <t>USD / WID exchange rate - sensitised</t>
  </si>
  <si>
    <t>US PPI inflation rate</t>
  </si>
  <si>
    <t>US PPI base date for reference index</t>
  </si>
  <si>
    <t>RW CPI inflation rate</t>
  </si>
  <si>
    <t>Terminal value as % of EPC</t>
  </si>
  <si>
    <t>TERMINAL VALUE</t>
  </si>
  <si>
    <t>Total EPC spent contingency</t>
  </si>
  <si>
    <t>Net EPC costs for calculating TV</t>
  </si>
  <si>
    <t>[Decomissioning costs]</t>
  </si>
  <si>
    <t>Terminal value</t>
  </si>
  <si>
    <t>PROJECT IRR</t>
  </si>
  <si>
    <t>Construction costs NEG for IRR</t>
  </si>
  <si>
    <t>Capital costs</t>
  </si>
  <si>
    <t>Operating cashflow including terminal value</t>
  </si>
  <si>
    <t>Project IRR</t>
  </si>
  <si>
    <t>CALCULATION FOR FORMSHEETS</t>
  </si>
  <si>
    <t>Energy generation - contract year</t>
  </si>
  <si>
    <t>MWh</t>
  </si>
  <si>
    <t>O&amp;M costs indexation base date</t>
  </si>
  <si>
    <t>Escalation uplift month</t>
  </si>
  <si>
    <t>Escalation period start month</t>
  </si>
  <si>
    <t>Escalation period flag</t>
  </si>
  <si>
    <t>Escalation uplift date</t>
  </si>
  <si>
    <t>Years elapsed since O&amp;M cost escalation base date</t>
  </si>
  <si>
    <t>RW CPI base date for reference index</t>
  </si>
  <si>
    <t>RW CPI escalation factor</t>
  </si>
  <si>
    <t>US PPI</t>
  </si>
  <si>
    <t>US PPI escalation factor</t>
  </si>
  <si>
    <t>Years elapsed since US PPI escalation base date</t>
  </si>
  <si>
    <t>Years elapsed since RW CPI escalation base date</t>
  </si>
  <si>
    <t>EXCHANGE RATE FLUCTUATION</t>
  </si>
  <si>
    <t>Exchange rate fluctuation - per RFP</t>
  </si>
  <si>
    <t>% of tariff to be indexed</t>
  </si>
  <si>
    <t>Power Tariff</t>
  </si>
  <si>
    <t>USD / WID periodic exchange rate</t>
  </si>
  <si>
    <t>Power tariff - fixed</t>
  </si>
  <si>
    <t>WID Cents / kWh</t>
  </si>
  <si>
    <t>Power tariff - fixed component (TF)</t>
  </si>
  <si>
    <t>Power tariff applicable (Tn)</t>
  </si>
  <si>
    <t>Electricity generation revenue - WID</t>
  </si>
  <si>
    <t>WID 000s</t>
  </si>
  <si>
    <t>Electricity payments (EPn) - P50</t>
  </si>
  <si>
    <t>Cash available for shareholder loan</t>
  </si>
  <si>
    <t>RW CPI</t>
  </si>
  <si>
    <t>Cash available for share capital redemption</t>
  </si>
  <si>
    <t>Cash available for standby equity redemption</t>
  </si>
  <si>
    <t>Difference in target vs actual IRR</t>
  </si>
  <si>
    <t>Electricity generation (ESn)</t>
  </si>
  <si>
    <t>1m Debt forward curve - reference date</t>
  </si>
  <si>
    <t>Total ProjectCo costs</t>
  </si>
  <si>
    <t>SENSITIVITY INPUTS</t>
  </si>
  <si>
    <t>Comment</t>
  </si>
  <si>
    <t>Links</t>
  </si>
  <si>
    <t>[Donot Delete]</t>
  </si>
  <si>
    <t>Base case scenario inputs</t>
  </si>
  <si>
    <t>Sensitivity 1</t>
  </si>
  <si>
    <t>EPC cost overruns</t>
  </si>
  <si>
    <t>[Do not Delete]</t>
  </si>
  <si>
    <t>0= Off, 1=On</t>
  </si>
  <si>
    <t>EPC cost - sensitivity</t>
  </si>
  <si>
    <t>x * (1 + n)</t>
  </si>
  <si>
    <t>Sensitivity 2</t>
  </si>
  <si>
    <t>O&amp;M cost - sensitivity</t>
  </si>
  <si>
    <t>Sensitivity 3</t>
  </si>
  <si>
    <t>Change in availability</t>
  </si>
  <si>
    <t>Change in availability - sensitivity</t>
  </si>
  <si>
    <t>x + n</t>
  </si>
  <si>
    <t>Sensitivity 4</t>
  </si>
  <si>
    <t>Interest Rate</t>
  </si>
  <si>
    <t>Interest rate - sensitivity</t>
  </si>
  <si>
    <t>Sensitivity 5</t>
  </si>
  <si>
    <t>Exchange Rates</t>
  </si>
  <si>
    <t>Exchange rate - sensitivity</t>
  </si>
  <si>
    <t>Sensitivity 6</t>
  </si>
  <si>
    <t>Inflation + 100bps</t>
  </si>
  <si>
    <t>Sensitivity 7</t>
  </si>
  <si>
    <t>Inflation - 100bps</t>
  </si>
  <si>
    <t>Inflation - sensitivity</t>
  </si>
  <si>
    <t>Sensitivity 8</t>
  </si>
  <si>
    <t>Change in wind yield</t>
  </si>
  <si>
    <t>Wind yield - sensitivity</t>
  </si>
  <si>
    <t>EPC cost overrun to be funded</t>
  </si>
  <si>
    <t>EARLY GENERATION REVENUES</t>
  </si>
  <si>
    <t>Early generation revenue</t>
  </si>
  <si>
    <t>Early generation - Month 1</t>
  </si>
  <si>
    <t>Early generation - Month 2</t>
  </si>
  <si>
    <t>Early generation - Month 3</t>
  </si>
  <si>
    <t>Early generation - Month 4</t>
  </si>
  <si>
    <t>Early generation - Month 5</t>
  </si>
  <si>
    <t>Early generation - Month 6</t>
  </si>
  <si>
    <t>Early generation - Month 7</t>
  </si>
  <si>
    <t>Early generation - Month 8</t>
  </si>
  <si>
    <t>Early generation - Month 9</t>
  </si>
  <si>
    <t>Early generation - Month 10</t>
  </si>
  <si>
    <t>Early generation - Month 11</t>
  </si>
  <si>
    <t>Early generation - Month 13</t>
  </si>
  <si>
    <t>Early generation - Month 12</t>
  </si>
  <si>
    <t>Early generation - Month 14</t>
  </si>
  <si>
    <t>Early generation - Month 15</t>
  </si>
  <si>
    <t>Early generation - Month 16</t>
  </si>
  <si>
    <t>Early generation - Month 17</t>
  </si>
  <si>
    <t>Early generation - Month 18</t>
  </si>
  <si>
    <t>Early generation - Month 19</t>
  </si>
  <si>
    <t>Early generation - Month 20</t>
  </si>
  <si>
    <t>Early generation - Month 21</t>
  </si>
  <si>
    <t>Early generation - Month 22</t>
  </si>
  <si>
    <t>Early generation - Month 23</t>
  </si>
  <si>
    <t>Early generation - Month 24</t>
  </si>
  <si>
    <t>Early generation - Month 25</t>
  </si>
  <si>
    <t>Early generation - Month 26</t>
  </si>
  <si>
    <t>EGR's active switch</t>
  </si>
  <si>
    <t>Construction period counter</t>
  </si>
  <si>
    <t>Electricity generation - EGR period</t>
  </si>
  <si>
    <t>Early generation period - tariff</t>
  </si>
  <si>
    <t>USD Cents / kWh</t>
  </si>
  <si>
    <t>EARLY GENERATION COSTS</t>
  </si>
  <si>
    <t>Early generation costs</t>
  </si>
  <si>
    <t>Early generation cost - Month 1</t>
  </si>
  <si>
    <t>Early generation cost - Month 2</t>
  </si>
  <si>
    <t>Early generation cost - Month 3</t>
  </si>
  <si>
    <t>Early generation cost - Month 4</t>
  </si>
  <si>
    <t>Early generation cost - Month 5</t>
  </si>
  <si>
    <t>Early generation cost - Month 6</t>
  </si>
  <si>
    <t>Early generation cost - Month 7</t>
  </si>
  <si>
    <t>Early generation cost - Month 8</t>
  </si>
  <si>
    <t>Early generation cost - Month 9</t>
  </si>
  <si>
    <t>Early generation cost - Month 10</t>
  </si>
  <si>
    <t>Early generation cost - Month 11</t>
  </si>
  <si>
    <t>Early generation cost - Month 12</t>
  </si>
  <si>
    <t>Early generation cost - Month 13</t>
  </si>
  <si>
    <t>Early generation cost - Month 14</t>
  </si>
  <si>
    <t>Early generation cost - Month 15</t>
  </si>
  <si>
    <t>Early generation cost - Month 16</t>
  </si>
  <si>
    <t>Early generation cost - Month 17</t>
  </si>
  <si>
    <t>Early generation cost - Month 18</t>
  </si>
  <si>
    <t>Early generation cost - Month 19</t>
  </si>
  <si>
    <t>Early generation cost - Month 20</t>
  </si>
  <si>
    <t>Early generation cost - Month 21</t>
  </si>
  <si>
    <t>Early generation cost - Month 22</t>
  </si>
  <si>
    <t>Early generation cost - Month 23</t>
  </si>
  <si>
    <t>Early generation cost - Month 24</t>
  </si>
  <si>
    <t>Early generation cost - Month 25</t>
  </si>
  <si>
    <t>Early generation cost - Month 26</t>
  </si>
  <si>
    <t>Escalation uplift flag</t>
  </si>
  <si>
    <t>O&amp;M cost escalation factor - m</t>
  </si>
  <si>
    <t>O&amp;M COSTS ESCALATION</t>
  </si>
  <si>
    <t>Accounts receivable days - EGR period</t>
  </si>
  <si>
    <t>Accounts payable days - EGR period</t>
  </si>
  <si>
    <t>Electricity generation revenue received - m</t>
  </si>
  <si>
    <t>Early generation costs accrued - m</t>
  </si>
  <si>
    <t>Electricity generation revenue accrued - m</t>
  </si>
  <si>
    <t>NET EGR PERIOD CASH</t>
  </si>
  <si>
    <t>Early generation costs paid - m</t>
  </si>
  <si>
    <t>Early generation costs shortfall to be funded - m</t>
  </si>
  <si>
    <t>Early generation costs funded by EGR's - m</t>
  </si>
  <si>
    <t>Distribution of EGRs</t>
  </si>
  <si>
    <t>1 = distributed, 2 = equity</t>
  </si>
  <si>
    <t>Cash received from EGRs transferred to equity</t>
  </si>
  <si>
    <t>Total EGR cash transferred to equity</t>
  </si>
  <si>
    <t>Early generation profit credited to WIP</t>
  </si>
  <si>
    <t>Total early generation profit credited to WIP</t>
  </si>
  <si>
    <t>Depreciable construction costs</t>
  </si>
  <si>
    <t>Electricity generation revenue received during construction- m</t>
  </si>
  <si>
    <t>Early generation costs paid during construction - m</t>
  </si>
  <si>
    <t>Electricity generation revenue accrued during construction</t>
  </si>
  <si>
    <t>Early generation revenue received</t>
  </si>
  <si>
    <t>EGR RECEIVABLE</t>
  </si>
  <si>
    <t>EGR receivables balance</t>
  </si>
  <si>
    <t>EGR receivables balance BEG</t>
  </si>
  <si>
    <t>EGR cash received during operations</t>
  </si>
  <si>
    <t>EGR PERIOD COST PAYABLE</t>
  </si>
  <si>
    <t>Early generation costs accrued during construction</t>
  </si>
  <si>
    <t>Early generation costs paid</t>
  </si>
  <si>
    <t>EGR period cost payable balance</t>
  </si>
  <si>
    <t>EGR period cost payable balance BEG</t>
  </si>
  <si>
    <t>Early generation costs paid by EGR's</t>
  </si>
  <si>
    <t>EGR period costs paid through EGR's POS</t>
  </si>
  <si>
    <t>Net cash during EGR period</t>
  </si>
  <si>
    <t>Cash balance utilised</t>
  </si>
  <si>
    <t>Cash transferred to cash balance</t>
  </si>
  <si>
    <t>O&amp;M cost overruns</t>
  </si>
  <si>
    <t>Key dates</t>
  </si>
  <si>
    <t>Start</t>
  </si>
  <si>
    <t>Tenor</t>
  </si>
  <si>
    <t>End</t>
  </si>
  <si>
    <t>Return metrics</t>
  </si>
  <si>
    <t>Construction period</t>
  </si>
  <si>
    <t>PPA period</t>
  </si>
  <si>
    <t>Key metrics - Tarif &amp; LCOE</t>
  </si>
  <si>
    <t>USDc / KWh</t>
  </si>
  <si>
    <t>Debt metrics</t>
  </si>
  <si>
    <t>Key technical assumptions</t>
  </si>
  <si>
    <t>Sources of funds</t>
  </si>
  <si>
    <t>Uses of funds</t>
  </si>
  <si>
    <t>Total equity</t>
  </si>
  <si>
    <t>Total debt</t>
  </si>
  <si>
    <t>SCHEDULED DSCR (ratio)</t>
  </si>
  <si>
    <t>TIMELINE AND HEADER</t>
  </si>
  <si>
    <t>Year</t>
  </si>
  <si>
    <t>Year Header on annual timeline</t>
  </si>
  <si>
    <t>CFADS for cover ratio</t>
  </si>
  <si>
    <t>Financing costs exc. WCF (for scheduled DSCR and DSRA)</t>
  </si>
  <si>
    <t>Dividend paid / declared POS</t>
  </si>
  <si>
    <t>O&amp;M costs accrued during operations POS</t>
  </si>
  <si>
    <t>Project Co costs accrued during operations POS</t>
  </si>
  <si>
    <t>ANNUALISED AS ON DATE DATA (FOR CHART)</t>
  </si>
  <si>
    <t>6m historic Scheduled DSCR</t>
  </si>
  <si>
    <t>KEY DATES</t>
  </si>
  <si>
    <t>Commercial operations date</t>
  </si>
  <si>
    <t>PPA</t>
  </si>
  <si>
    <t xml:space="preserve">Scheduled end of PPA date </t>
  </si>
  <si>
    <t>RETURN METRICS</t>
  </si>
  <si>
    <t>DEBT METRICS</t>
  </si>
  <si>
    <t>Debt sizing method</t>
  </si>
  <si>
    <t>Target leverage</t>
  </si>
  <si>
    <t>Leverage at COD</t>
  </si>
  <si>
    <t>x</t>
  </si>
  <si>
    <t>GENERATION</t>
  </si>
  <si>
    <t>SOURCES OF FUNDS</t>
  </si>
  <si>
    <t>Standby equity</t>
  </si>
  <si>
    <t>USES OF FUNDS</t>
  </si>
  <si>
    <t xml:space="preserve">EPC </t>
  </si>
  <si>
    <t>Total EPC cost</t>
  </si>
  <si>
    <t>Total Development cost</t>
  </si>
  <si>
    <t>Total Pre operating cost</t>
  </si>
  <si>
    <t>Equity bridge interest &amp; Fees</t>
  </si>
  <si>
    <t>Construction debt interest &amp; Fees</t>
  </si>
  <si>
    <t>Standby debt interest &amp; Fees</t>
  </si>
  <si>
    <t>DSRA pre-funding</t>
  </si>
  <si>
    <t>Total Uses of funds</t>
  </si>
  <si>
    <t xml:space="preserve">Share capital </t>
  </si>
  <si>
    <t>USD k</t>
  </si>
  <si>
    <t>Construction debt upfront fee</t>
  </si>
  <si>
    <t>Standby debt upfront fee</t>
  </si>
  <si>
    <t>Working capital pre-funding</t>
  </si>
  <si>
    <t>WID cents / kWh</t>
  </si>
  <si>
    <t>Revenue ($ 000s)</t>
  </si>
  <si>
    <t>EBITDA ($ 000s)</t>
  </si>
  <si>
    <t>Operating costs ($ 000s)</t>
  </si>
  <si>
    <t>CFADS VS DEBT SERVICE ($ 000's)</t>
  </si>
  <si>
    <t>DISTRIBUTIONS CASHFLOW ($ 000s)</t>
  </si>
  <si>
    <t>CASH BALANCES ($ 000s)</t>
  </si>
  <si>
    <t>Construction start date</t>
  </si>
  <si>
    <t>P50 % p.a.</t>
  </si>
  <si>
    <t>WID k</t>
  </si>
  <si>
    <t>Financing fees/ other</t>
  </si>
  <si>
    <t>Early generation O&amp;M costs funded</t>
  </si>
  <si>
    <t>Financing costs incl. rolled up costs - m</t>
  </si>
  <si>
    <t>Financing costs incl. rolled up costs</t>
  </si>
  <si>
    <t>Shareholder drawdown during construction</t>
  </si>
  <si>
    <t>FIXED ASSET BALANCE</t>
  </si>
  <si>
    <t>Fixed asset balance BEG</t>
  </si>
  <si>
    <t>Fixed asset balance</t>
  </si>
  <si>
    <t>[[xxx] balance BEG]</t>
  </si>
  <si>
    <t>[[xxx] balance]</t>
  </si>
  <si>
    <t>Spare 1</t>
  </si>
  <si>
    <t>Spare 2</t>
  </si>
  <si>
    <t>Total EPC base cost including overrun</t>
  </si>
  <si>
    <t>EPC base cost including overrun</t>
  </si>
  <si>
    <t>Equity bridge upfront fee %</t>
  </si>
  <si>
    <t>Equity bridge commitment fee % of margin</t>
  </si>
  <si>
    <t>Equity bridge interest and fees rolled up - m</t>
  </si>
  <si>
    <t>Early generation profit credited to WIP - m</t>
  </si>
  <si>
    <t>Shareholder loan drawdown - construction</t>
  </si>
  <si>
    <t>Project costs / funding requirement - Paste</t>
  </si>
  <si>
    <t>Cashflow available for equity bridge loan</t>
  </si>
  <si>
    <t>Cash flow available for senior debt service - check</t>
  </si>
  <si>
    <t>Average cost of debt</t>
  </si>
  <si>
    <t>Senior term debt</t>
  </si>
  <si>
    <t>Senior debt target gearing</t>
  </si>
  <si>
    <t>Senior debt sizing method</t>
  </si>
  <si>
    <t>Proportion of Senior debt hedged</t>
  </si>
  <si>
    <t>Senior debt DSCR - year 1</t>
  </si>
  <si>
    <t>Senior debt DSCR - year 2</t>
  </si>
  <si>
    <t>Senior debt DSCR - year 3</t>
  </si>
  <si>
    <t>Senior debt DSCR - year 4</t>
  </si>
  <si>
    <t>Senior debt DSCR - year 5</t>
  </si>
  <si>
    <t>Senior debt DSCR - year 6</t>
  </si>
  <si>
    <t>Senior debt DSCR - year 7</t>
  </si>
  <si>
    <t>Senior debt DSCR - year 8</t>
  </si>
  <si>
    <t>Senior debt DSCR - year 9</t>
  </si>
  <si>
    <t>Senior debt DSCR - year 10</t>
  </si>
  <si>
    <t>Senior debt DSCR - year 11</t>
  </si>
  <si>
    <t>Senior debt DSCR - year 12</t>
  </si>
  <si>
    <t>Senior debt DSCR - year 13</t>
  </si>
  <si>
    <t>Senior debt DSCR - year 14</t>
  </si>
  <si>
    <t>Senior debt DSCR - year 15</t>
  </si>
  <si>
    <t>Senior debt DSCR - year 16</t>
  </si>
  <si>
    <t>Senior debt DSCR - year 17</t>
  </si>
  <si>
    <t>Senior debt DSCR - year 18</t>
  </si>
  <si>
    <t>Senior debt DSCR - year 19</t>
  </si>
  <si>
    <t>Senior debt DSCR - year 20</t>
  </si>
  <si>
    <t>Senior debt DSCR - year 21</t>
  </si>
  <si>
    <t>Senior debt DSCR - year 22</t>
  </si>
  <si>
    <t>Senior debt DSCR - year 23</t>
  </si>
  <si>
    <t>Senior debt DSCR - year 24</t>
  </si>
  <si>
    <t>Senior debt DSCR - year 25</t>
  </si>
  <si>
    <t>Senior debt service period flag</t>
  </si>
  <si>
    <t>Senior debt repayment period flag</t>
  </si>
  <si>
    <t>Senior debt DSCR applicable in year</t>
  </si>
  <si>
    <t>Senior debt service at target cover ratio</t>
  </si>
  <si>
    <t>Senior debt drawdown</t>
  </si>
  <si>
    <t>Senior debt drawdown - leverage method</t>
  </si>
  <si>
    <t>Senior debt drawdown - calc</t>
  </si>
  <si>
    <t>Senior debt balance BEG</t>
  </si>
  <si>
    <t>Tranche 1</t>
  </si>
  <si>
    <t>Tranche 2</t>
  </si>
  <si>
    <t>Construction debt - T1 upfront fee amount</t>
  </si>
  <si>
    <t>Construction debt - T1 swap rate</t>
  </si>
  <si>
    <t>Construction debt - T1 margin</t>
  </si>
  <si>
    <t>Construction debt - T1 commitment fee % of margin</t>
  </si>
  <si>
    <t>Construction debt - T1 commitment fee %</t>
  </si>
  <si>
    <t>Construction debt - T2 upfront fee amount</t>
  </si>
  <si>
    <t>Construction debt - T2 swap rate</t>
  </si>
  <si>
    <t>Construction debt - T2 margin</t>
  </si>
  <si>
    <t>Construction debt - T2 commitment fee % of margin</t>
  </si>
  <si>
    <t>Construction debt - T2 commitment fee %</t>
  </si>
  <si>
    <t>Senior debt - T1 - % of debt</t>
  </si>
  <si>
    <t>Senior debt - T2 - % of debt</t>
  </si>
  <si>
    <t>Senior debt - T1 day count convention</t>
  </si>
  <si>
    <t>Senior debt - T1 swap rate</t>
  </si>
  <si>
    <t>Senior debt - T1 grace period</t>
  </si>
  <si>
    <t>Senior debt - T1 tail period</t>
  </si>
  <si>
    <t>Senior debt - T1 repayment term post COD</t>
  </si>
  <si>
    <t>Senior debt - T1 principal repayment profile</t>
  </si>
  <si>
    <t>Senior debt - T2 day count convention</t>
  </si>
  <si>
    <t>Senior debt - T2 swap rate</t>
  </si>
  <si>
    <t>Senior debt - T2 grace period</t>
  </si>
  <si>
    <t>Senior debt - T2 tail period</t>
  </si>
  <si>
    <t>Senior debt - T2 repayment term post COD</t>
  </si>
  <si>
    <t>Senior debt - T2 principal repayment profile</t>
  </si>
  <si>
    <t>*Choose sculpted for both or none</t>
  </si>
  <si>
    <t>*T1 tenor should be &lt;= T2</t>
  </si>
  <si>
    <t>Funding requirement for construction debt</t>
  </si>
  <si>
    <t>Tranche 1 drawdown</t>
  </si>
  <si>
    <t>Funding requirement for construction debt - T1</t>
  </si>
  <si>
    <t>Construction debt - T1 balance BEG</t>
  </si>
  <si>
    <t>Construction debt - T1 balance</t>
  </si>
  <si>
    <t>Undrawn construction debt - T1</t>
  </si>
  <si>
    <t>Tranche 2 drawdown</t>
  </si>
  <si>
    <t>Construction debt - T2 balance BEG</t>
  </si>
  <si>
    <t>Construction debt - T2 balance</t>
  </si>
  <si>
    <t>Undrawn construction debt - T2</t>
  </si>
  <si>
    <t>Funding requirement for construction debt - T2</t>
  </si>
  <si>
    <t>Total construction debt drawdown</t>
  </si>
  <si>
    <t>Construction debt drawdown - T1</t>
  </si>
  <si>
    <t>Sum of construction debt drawdown - T1</t>
  </si>
  <si>
    <t>Construction debt drawdown - T2</t>
  </si>
  <si>
    <t>Sum of construction debt drawdown - T2</t>
  </si>
  <si>
    <t>Sum of construction debt drawdown - m</t>
  </si>
  <si>
    <t>FINANCING COST</t>
  </si>
  <si>
    <t>Construction debt upfront fee - T1</t>
  </si>
  <si>
    <t>Construction debt upfront fee  - T2</t>
  </si>
  <si>
    <t>Construction debt commitment fee - T1</t>
  </si>
  <si>
    <t>Construction debt undrawn amount - T1</t>
  </si>
  <si>
    <t>Construction debt undrawn amount - T2</t>
  </si>
  <si>
    <t>Construction debt commitment fee - T2</t>
  </si>
  <si>
    <t>Interest during construction</t>
  </si>
  <si>
    <t>Construction debt interest - T1</t>
  </si>
  <si>
    <t>All in construction debt interest rate - T1</t>
  </si>
  <si>
    <t>Construction debt interest - T2</t>
  </si>
  <si>
    <t>Senior debt service period flag - T1</t>
  </si>
  <si>
    <t>Senior debt repayment period flag - T1</t>
  </si>
  <si>
    <t>Senior debt service period start flag - T1</t>
  </si>
  <si>
    <t>Senior debt service period end flag - T1</t>
  </si>
  <si>
    <t>Senior debt repayment period start flag - T1</t>
  </si>
  <si>
    <t>Senior debt repayment duration - T1</t>
  </si>
  <si>
    <t>Senior debt service end date - T1</t>
  </si>
  <si>
    <t>Senior debt service start date - T1</t>
  </si>
  <si>
    <t>Senior repayment start date - T1</t>
  </si>
  <si>
    <t>Senior debt repayment period end flag - T1</t>
  </si>
  <si>
    <t>Senior debt service period flag - T2</t>
  </si>
  <si>
    <t>Senior debt repayment period flag - T2</t>
  </si>
  <si>
    <t>Senior debt service start date - T2</t>
  </si>
  <si>
    <t>Senior debt service end date - T2</t>
  </si>
  <si>
    <t>Senior debt service period end flag - T2</t>
  </si>
  <si>
    <t>Senior debt service period start flag - T2</t>
  </si>
  <si>
    <t>Senior repayment start date - T2</t>
  </si>
  <si>
    <t>Senior debt repayment period start flag - T2</t>
  </si>
  <si>
    <t>Senior debt repayment period end flag - T2</t>
  </si>
  <si>
    <t>Senior debt repayment duration - T2</t>
  </si>
  <si>
    <t>Debt repayment period flag - all tranches active</t>
  </si>
  <si>
    <t>Debt repayment period duration - all tranches active</t>
  </si>
  <si>
    <t>Sculpted repayment profile allocation</t>
  </si>
  <si>
    <t>Debt repayment amount - all tranche active - Calc</t>
  </si>
  <si>
    <t>Debt repayment amount - all tranche active - Paste</t>
  </si>
  <si>
    <t>Debt repayment amount - all tranche active - check</t>
  </si>
  <si>
    <t>Senior debt - T1 - repayment % - all tranches active - less tenure</t>
  </si>
  <si>
    <t>Senior debt - T2 - repayment % - all tranches active - less tenure</t>
  </si>
  <si>
    <t>Senior debt facility amount - full tenure</t>
  </si>
  <si>
    <t>T1 repayment % - all tranches active</t>
  </si>
  <si>
    <t>T2 repayment % - all tranches active</t>
  </si>
  <si>
    <t>Senior debt principal repayment - T1</t>
  </si>
  <si>
    <t>Senior debt principal repayment - T1 POS</t>
  </si>
  <si>
    <t>Senior debt balance - T1</t>
  </si>
  <si>
    <t>Senior debt interest - T1</t>
  </si>
  <si>
    <t>All in annual Senior debt interest rate - T1</t>
  </si>
  <si>
    <t>Senior debt period interest rate - T1</t>
  </si>
  <si>
    <t>Senior debt interest - T1 POS</t>
  </si>
  <si>
    <t>Total senior debt service</t>
  </si>
  <si>
    <t>Senior debt principal repayment - T2</t>
  </si>
  <si>
    <t>Senior debt principal repayment - T2 POS</t>
  </si>
  <si>
    <t>Senior debt interest - T2 POS</t>
  </si>
  <si>
    <t>All in annual Senior debt interest rate - T2</t>
  </si>
  <si>
    <t>Senior debt interest - T2</t>
  </si>
  <si>
    <t>Senior debt balance - T2</t>
  </si>
  <si>
    <t>Senior debt level ds periodic payment - T2</t>
  </si>
  <si>
    <t>Senior debt level ds periodic payment - T1</t>
  </si>
  <si>
    <t>Sum of Senior debt discount factors - T1</t>
  </si>
  <si>
    <t>Senior debt level principal repayment - T1</t>
  </si>
  <si>
    <t>Sculpted profile - T1</t>
  </si>
  <si>
    <t>Senior debt balance BEG - T1</t>
  </si>
  <si>
    <t>Senior debt balance BEG - T2</t>
  </si>
  <si>
    <t>Senior debt T1 balance % of total debt</t>
  </si>
  <si>
    <t>Senior debt T2 balance % of total debt</t>
  </si>
  <si>
    <t>Senior debt T1 repayment % - calculated</t>
  </si>
  <si>
    <t>Senior debt T2 repayment % - calculated</t>
  </si>
  <si>
    <t>Senior debt sculpted principal repayment  - T1</t>
  </si>
  <si>
    <t>Senior debt discount factor - T1</t>
  </si>
  <si>
    <t>Senior debt level ds principal repayment - T1</t>
  </si>
  <si>
    <t>Senior debt period interest rate - T2</t>
  </si>
  <si>
    <t>Senior debt discount factor - T2</t>
  </si>
  <si>
    <t>Sum of Senior debt discount factors - T2</t>
  </si>
  <si>
    <t>Senior debt sculpted principal repayment  - T2</t>
  </si>
  <si>
    <t>Senior debt level ds principal repayment - T2</t>
  </si>
  <si>
    <t>Senior debt level principal repayment - T2</t>
  </si>
  <si>
    <t>Senior scheduled repayment - T1</t>
  </si>
  <si>
    <t>Senior scheduled repayment - T2</t>
  </si>
  <si>
    <t>SENIOR BALANCE ($ 000s)</t>
  </si>
  <si>
    <t>Senior debt - Tranche 1</t>
  </si>
  <si>
    <t>Senior debt - Tranche 2</t>
  </si>
  <si>
    <t>*T2 tenor should be &gt;= T1</t>
  </si>
  <si>
    <t>Sculpted profile - T2</t>
  </si>
  <si>
    <t>Senior repayment % profile - calc - T1</t>
  </si>
  <si>
    <t>Senior repayment % profile - calc - T2</t>
  </si>
  <si>
    <t>Senior sculpted rpmt % profile - T1 - check</t>
  </si>
  <si>
    <t>Senior sculpted rpmt % profile - T2 - check</t>
  </si>
  <si>
    <t>Standby debt - T1 upfront fee amount</t>
  </si>
  <si>
    <t>Standby debt - T1 margin</t>
  </si>
  <si>
    <t>Standby debt - T1 commitment fee % of margin</t>
  </si>
  <si>
    <t>Standby debt - T1 commitment fee %</t>
  </si>
  <si>
    <t>Standby debt - T2 upfront fee amount</t>
  </si>
  <si>
    <t>Standby debt - T2 margin</t>
  </si>
  <si>
    <t>Standby debt - T2 commitment fee % of margin</t>
  </si>
  <si>
    <t>Standby debt - T2 commitment fee %</t>
  </si>
  <si>
    <t>Standby debt - T1 day count convention</t>
  </si>
  <si>
    <t>Standby debt - T2 day count convention</t>
  </si>
  <si>
    <t>Standby debt - T1 - commitment amount</t>
  </si>
  <si>
    <t>Standby debt - T2 - commitment amount</t>
  </si>
  <si>
    <t>Senior debt % split check</t>
  </si>
  <si>
    <t>Senior debt T2 tenor &lt; T1 tenor check</t>
  </si>
  <si>
    <t>Standby debt upfront fee - T1</t>
  </si>
  <si>
    <t>Standby debt upfront fee - T2</t>
  </si>
  <si>
    <t>Standby debt undrawn amount - commitment fee calc - T1</t>
  </si>
  <si>
    <t>Standby debt commitment fee - T1</t>
  </si>
  <si>
    <t>Standby debt commitment fee - T2</t>
  </si>
  <si>
    <t>Standby debt - T1 balance BEG</t>
  </si>
  <si>
    <t>Standby debt - T1 balance</t>
  </si>
  <si>
    <t>Standby debt - T1 drawdown - m</t>
  </si>
  <si>
    <t>Sum of standby debt - T1 drawdown - m</t>
  </si>
  <si>
    <t>Undrawn standby debt - T1</t>
  </si>
  <si>
    <t>Funding requirement for standby debt - T1</t>
  </si>
  <si>
    <t>Undrawn standby debt - T2</t>
  </si>
  <si>
    <t>Funding requirement for standby debt - T2</t>
  </si>
  <si>
    <t>Standby debt - T2 drawdown - m</t>
  </si>
  <si>
    <t>Sum of standby debt - T2 drawdown - m</t>
  </si>
  <si>
    <t>Standby debt - T2 balance BEG</t>
  </si>
  <si>
    <t>Standby debt - T2 balance</t>
  </si>
  <si>
    <t>All in Standby debt interest rate - T1</t>
  </si>
  <si>
    <t>All in Standby debt interest rate - T2</t>
  </si>
  <si>
    <t>Standby debt interest - T1</t>
  </si>
  <si>
    <t>Standby debt interest - T2</t>
  </si>
  <si>
    <t>Total standby debt drawdown</t>
  </si>
  <si>
    <t>Standby debt drawdown - T1</t>
  </si>
  <si>
    <t>Standby debt drawdown - T2</t>
  </si>
  <si>
    <t>Standby debt scheduled principal repayment - T1 POS</t>
  </si>
  <si>
    <t>Standby debt principal repayment - T1 POS</t>
  </si>
  <si>
    <t>Standby debt period interest rate - T1</t>
  </si>
  <si>
    <t>All in annual Standby debt interest rate applicable in period - T1</t>
  </si>
  <si>
    <t>Standby debt scheduled principal repayment - T2 POS</t>
  </si>
  <si>
    <t>Standby debt principal repayment - T2 POS</t>
  </si>
  <si>
    <t>All in annual Standby debt interest rate applicable in period - T2</t>
  </si>
  <si>
    <t>Standby debt period interest rate - T2</t>
  </si>
  <si>
    <t>Standby debt interest - T1 POS</t>
  </si>
  <si>
    <t>Standby debt interest - T2 POS</t>
  </si>
  <si>
    <t>Standby debt undrawn amount - commitment fee calc - T2</t>
  </si>
  <si>
    <t>Senior debt margin - T1 - year 1</t>
  </si>
  <si>
    <t>Senior debt margin - T1 - year 2</t>
  </si>
  <si>
    <t>Senior debt margin - T1 - year 3</t>
  </si>
  <si>
    <t>Senior debt margin - T1 - year 4</t>
  </si>
  <si>
    <t>Senior debt margin - T1 - year 5</t>
  </si>
  <si>
    <t>Senior debt margin - T1 - year 6</t>
  </si>
  <si>
    <t>Senior debt margin - T1 - year 7</t>
  </si>
  <si>
    <t>Senior debt margin - T1 - year 8</t>
  </si>
  <si>
    <t>Senior debt margin - T1 - year 9</t>
  </si>
  <si>
    <t>Senior debt margin - T1 - year 10</t>
  </si>
  <si>
    <t>Senior debt margin - T1 - year 11</t>
  </si>
  <si>
    <t>Senior debt margin - T1 - year 12</t>
  </si>
  <si>
    <t>Senior debt margin - T1 - year 13</t>
  </si>
  <si>
    <t>Senior debt margin - T1 - year 14</t>
  </si>
  <si>
    <t>Senior debt margin - T1 - year 15</t>
  </si>
  <si>
    <t>Senior debt margin - T1 - year 16</t>
  </si>
  <si>
    <t>Senior debt margin - T1 - year 17</t>
  </si>
  <si>
    <t>Senior debt margin - T1 - year 18</t>
  </si>
  <si>
    <t>Senior debt margin - T1 - year 19</t>
  </si>
  <si>
    <t>Senior debt margin - T1 - year 20</t>
  </si>
  <si>
    <t>Senior debt margin - T1 - year 21</t>
  </si>
  <si>
    <t>Senior debt margin - T1 - year 22</t>
  </si>
  <si>
    <t>Senior debt margin - T1 - year 23</t>
  </si>
  <si>
    <t>Senior debt margin - T1 - year 24</t>
  </si>
  <si>
    <t>Senior debt margin - T1 - year 25</t>
  </si>
  <si>
    <t>Senior debt margin - T2 - year 1</t>
  </si>
  <si>
    <t>Senior debt margin - T2 - year 2</t>
  </si>
  <si>
    <t>Senior debt margin - T2 - year 3</t>
  </si>
  <si>
    <t>Senior debt margin - T2 - year 4</t>
  </si>
  <si>
    <t>Senior debt margin - T2 - year 5</t>
  </si>
  <si>
    <t>Senior debt margin - T2 - year 6</t>
  </si>
  <si>
    <t>Senior debt margin - T2 - year 7</t>
  </si>
  <si>
    <t>Senior debt margin - T2 - year 8</t>
  </si>
  <si>
    <t>Senior debt margin - T2 - year 9</t>
  </si>
  <si>
    <t>Senior debt margin - T2 - year 10</t>
  </si>
  <si>
    <t>Senior debt margin - T2 - year 11</t>
  </si>
  <si>
    <t>Senior debt margin - T2 - year 12</t>
  </si>
  <si>
    <t>Senior debt margin - T2 - year 13</t>
  </si>
  <si>
    <t>Senior debt margin - T2 - year 14</t>
  </si>
  <si>
    <t>Senior debt margin - T2 - year 15</t>
  </si>
  <si>
    <t>Senior debt margin - T2 - year 16</t>
  </si>
  <si>
    <t>Senior debt margin - T2 - year 17</t>
  </si>
  <si>
    <t>Senior debt margin - T2 - year 18</t>
  </si>
  <si>
    <t>Senior debt margin - T2 - year 19</t>
  </si>
  <si>
    <t>Senior debt margin - T2 - year 20</t>
  </si>
  <si>
    <t>Senior debt margin - T2 - year 21</t>
  </si>
  <si>
    <t>Senior debt margin - T2 - year 22</t>
  </si>
  <si>
    <t>Senior debt margin - T2 - year 23</t>
  </si>
  <si>
    <t>Senior debt margin - T2 - year 24</t>
  </si>
  <si>
    <t>Senior debt margin - T2 - year 25</t>
  </si>
  <si>
    <t>Senior debt margin - T1</t>
  </si>
  <si>
    <t>Senior debt margin - T2</t>
  </si>
  <si>
    <t>Success fee</t>
  </si>
  <si>
    <t>Success fee - paid at FC</t>
  </si>
  <si>
    <t>Success fee - paid at COD</t>
  </si>
  <si>
    <t>Repayment of EBL</t>
  </si>
  <si>
    <t>Scenario 1</t>
  </si>
  <si>
    <t>Scenario 2</t>
  </si>
  <si>
    <t>Scenario 3</t>
  </si>
  <si>
    <t>Scenario 4</t>
  </si>
  <si>
    <t>Scenario 5</t>
  </si>
  <si>
    <t>EBL repayment</t>
  </si>
  <si>
    <t>CFADS over term of Senior debt - Calc</t>
  </si>
  <si>
    <t>CFADS for Senior debt - Paste</t>
  </si>
  <si>
    <t>Senior repayment % profile - Paste - T1</t>
  </si>
  <si>
    <t>Senior repayment % profile - Paste - T2</t>
  </si>
  <si>
    <t>Senior debt repayment for debt sizing - calc</t>
  </si>
  <si>
    <t>Debt capacity at target DSCR - Calc</t>
  </si>
  <si>
    <t>Debt capacity at target DSCR - Paste</t>
  </si>
  <si>
    <t>Senior debt target repayment - T1</t>
  </si>
  <si>
    <t>Senior debt target repayment - T2</t>
  </si>
  <si>
    <t>Min DSCR - P50</t>
  </si>
  <si>
    <t>Avg DSCR - P50</t>
  </si>
  <si>
    <t>P99 % p.a.</t>
  </si>
  <si>
    <t>P99 vs P50 GENERATION (GWh)</t>
  </si>
  <si>
    <t>EBITDA - P99</t>
  </si>
  <si>
    <t>EBIT - P99</t>
  </si>
  <si>
    <t>Profit before tax - P99</t>
  </si>
  <si>
    <t>Profit after tax - P99</t>
  </si>
  <si>
    <t>Net income - P99</t>
  </si>
  <si>
    <t>Operating cashflow - P99</t>
  </si>
  <si>
    <t>Cashflow available for senior debt - P99</t>
  </si>
  <si>
    <t>Cashflow available for DSRA - P99</t>
  </si>
  <si>
    <t>Cashflow available for shareholder loan - P99</t>
  </si>
  <si>
    <t>Cashflow available for share capital redemption - P99</t>
  </si>
  <si>
    <t>Cash flow available for dividends - P99</t>
  </si>
  <si>
    <t>Net cash flow - P99</t>
  </si>
  <si>
    <t>Non current assets - P99</t>
  </si>
  <si>
    <t>Current assets - P99</t>
  </si>
  <si>
    <t>Total assets - P99</t>
  </si>
  <si>
    <t>Total liabilities - P99</t>
  </si>
  <si>
    <t>Balance sheet check - P99</t>
  </si>
  <si>
    <t>Balance sheet difference - P99</t>
  </si>
  <si>
    <t>Year 1 P99 production</t>
  </si>
  <si>
    <t>REVENUE - P99</t>
  </si>
  <si>
    <t>Electricity generation (Esn) - P99</t>
  </si>
  <si>
    <t>[Deemed electricity supplied (DESn)] - P99</t>
  </si>
  <si>
    <t>Electricity generation revenue - WID - P99</t>
  </si>
  <si>
    <t>Electricity payments (EPn) - P99</t>
  </si>
  <si>
    <t>ACCOUNTS RECEIVABLE - P99</t>
  </si>
  <si>
    <t>Forecast accounts receivable balance - P99</t>
  </si>
  <si>
    <t>Cash received from invoices - P99</t>
  </si>
  <si>
    <t>Accounts receivable balance - P99 BEG</t>
  </si>
  <si>
    <t>Accounts receivable balance - P99</t>
  </si>
  <si>
    <t>Decrease / (increase) in accounts receivable - P99</t>
  </si>
  <si>
    <t>Decrease / (increase) in working capital - P99</t>
  </si>
  <si>
    <t>NET WORKING CAPITAL BALANCE FOR PRE-FUNDING - P99</t>
  </si>
  <si>
    <t>Target release from working capital reserve - P99</t>
  </si>
  <si>
    <t>Release of working capital reserve - P99</t>
  </si>
  <si>
    <t>Working capital reserve account balance - P99 BEG</t>
  </si>
  <si>
    <t>Working capital reserve account balance - P99</t>
  </si>
  <si>
    <t>SHAREHOLDER LOAN - P99</t>
  </si>
  <si>
    <t>Shareholder loan interest expense - P99</t>
  </si>
  <si>
    <t>Shareholder loan interest expense - P99 POS</t>
  </si>
  <si>
    <t>Cash availble for shareholder loan - P99</t>
  </si>
  <si>
    <t>Shareholder loan interest paid - P99 POS</t>
  </si>
  <si>
    <t>Shareholder loan interest unpaid - P99</t>
  </si>
  <si>
    <t>Unpaid shareholder loan interest - P99</t>
  </si>
  <si>
    <t>Shareholder loan principal repayment - P99</t>
  </si>
  <si>
    <t>Cash availble for shareholder loan repayment - P99</t>
  </si>
  <si>
    <t>Shareholder loan principal repayment - P99 POS</t>
  </si>
  <si>
    <t>Shareholder loan balance BEG - P99</t>
  </si>
  <si>
    <t>Shareholder loan balance - P99</t>
  </si>
  <si>
    <t>WCF - P99</t>
  </si>
  <si>
    <t>WCF available balance - P99</t>
  </si>
  <si>
    <t>WCF target drawdown - P99</t>
  </si>
  <si>
    <t>WCF drawdown - P99</t>
  </si>
  <si>
    <t>WCF commitment amount insufficient alert - P99</t>
  </si>
  <si>
    <t>WCF repayment - P99 POS</t>
  </si>
  <si>
    <t>WCF undrawn balance - P99 BEG</t>
  </si>
  <si>
    <t>WCF commitment fee - P99 POS</t>
  </si>
  <si>
    <t>WCF interest accrued and paid - P99 POS</t>
  </si>
  <si>
    <t>WCF balance P99 BEG</t>
  </si>
  <si>
    <t>WCF balance P99</t>
  </si>
  <si>
    <t>DEBT SERVICE RESERVE ACCOUNT - P99</t>
  </si>
  <si>
    <t>Target DSRA balance - P99</t>
  </si>
  <si>
    <t>Periods in a year - P99</t>
  </si>
  <si>
    <t>Annual debt service for target balance - P99</t>
  </si>
  <si>
    <t>DSRA target balance - P99</t>
  </si>
  <si>
    <t>Target deposit / (release) - P99</t>
  </si>
  <si>
    <t>Target deposit - P99</t>
  </si>
  <si>
    <t>DSRA deposit- P99</t>
  </si>
  <si>
    <t>Cash available for DSRA / (DS shortfall) - P99</t>
  </si>
  <si>
    <t>Cash available for DSRA - P99</t>
  </si>
  <si>
    <t>DS shortfall target withdrawal - P99</t>
  </si>
  <si>
    <t>DS shortfall withdrawal - P99</t>
  </si>
  <si>
    <t>DSRA deposit - P99 POS</t>
  </si>
  <si>
    <t>DSRA release - P99</t>
  </si>
  <si>
    <t>DSRA withdrawal - P99</t>
  </si>
  <si>
    <t xml:space="preserve">DSRA balance - P99 BEG </t>
  </si>
  <si>
    <t>DSRA balance - P99</t>
  </si>
  <si>
    <t>SHARE CAPITAL - P99</t>
  </si>
  <si>
    <t>Cash available for share capital redemption - P99</t>
  </si>
  <si>
    <t>Share capital redemption - P99 POS</t>
  </si>
  <si>
    <t>Share capital balance BEG - P99</t>
  </si>
  <si>
    <t>Share capital balance - P99</t>
  </si>
  <si>
    <t>STANDBY EQUITY - P99</t>
  </si>
  <si>
    <t>Cash available for standby equity redemption - P99</t>
  </si>
  <si>
    <t>Standby equity redemption - P99 POS</t>
  </si>
  <si>
    <t>Standby equity balance BEG - P99</t>
  </si>
  <si>
    <t>Standby equity balance - P99</t>
  </si>
  <si>
    <t>RETAINED EARNINGS - P99</t>
  </si>
  <si>
    <t>Retained earnings balance BEG - P99</t>
  </si>
  <si>
    <t>Retained earnings balance - P99</t>
  </si>
  <si>
    <t>RETAINED CASH - P99</t>
  </si>
  <si>
    <t>Retained cash balance BEG - P99</t>
  </si>
  <si>
    <t>Retained cash balance - P99</t>
  </si>
  <si>
    <t>DIVIDENDS - P99</t>
  </si>
  <si>
    <t>Earnings available for dividend - P99</t>
  </si>
  <si>
    <t>Cash available for dividends - P99</t>
  </si>
  <si>
    <t>Dividends paid - P99 POS</t>
  </si>
  <si>
    <t>Interest deduction for tax - P99</t>
  </si>
  <si>
    <t>Taxable income - P99</t>
  </si>
  <si>
    <t>Tax losses arising - P99</t>
  </si>
  <si>
    <t>Tax losses utilised - P99</t>
  </si>
  <si>
    <t>Taxable income net of tax losses utilised - P99</t>
  </si>
  <si>
    <t>Tax losses carried forward balance - P99 BEG</t>
  </si>
  <si>
    <t>Tax losses carried forward balance - P99</t>
  </si>
  <si>
    <t>PROJECT IRR - P99</t>
  </si>
  <si>
    <t>Operating cashflow including terminal value - P99</t>
  </si>
  <si>
    <t>Project IRR - P99</t>
  </si>
  <si>
    <t>BLENDED EQUITY IRR - P99</t>
  </si>
  <si>
    <t>Net cashflow to equity during operations - P99</t>
  </si>
  <si>
    <t>Blended equity IRR - P99</t>
  </si>
  <si>
    <t>DSCR - P99</t>
  </si>
  <si>
    <t>Senior debt service coverage ratio - P99</t>
  </si>
  <si>
    <t>Min DSCR - P99</t>
  </si>
  <si>
    <t>Avg DSCR - P99</t>
  </si>
  <si>
    <t>ANNUAL DSCR - P99</t>
  </si>
  <si>
    <t>Annual debt service - P99</t>
  </si>
  <si>
    <t>Annual CFADS - P99</t>
  </si>
  <si>
    <t>Senior annual debt service coverage ratio - P99</t>
  </si>
  <si>
    <t>Min ADSCR - P99</t>
  </si>
  <si>
    <t>Avg ADSCR - P99</t>
  </si>
  <si>
    <t>LLCR - P99</t>
  </si>
  <si>
    <t>Period interest rate for LLCR - P99</t>
  </si>
  <si>
    <t>PV of LLCR cash flow - P99</t>
  </si>
  <si>
    <t>Loan life coverage ratio - P99</t>
  </si>
  <si>
    <t>Min LLCR - P99</t>
  </si>
  <si>
    <t>Avg LLCR - P99</t>
  </si>
  <si>
    <t>S1 seasonal adjustment</t>
  </si>
  <si>
    <t>S2 seasonal adjustment</t>
  </si>
  <si>
    <t>6m Debt forward curve - reference date</t>
  </si>
  <si>
    <t>Semi - annual timeline</t>
  </si>
  <si>
    <t>Contract year semi-annual period</t>
  </si>
  <si>
    <t>Financial year - semi timeline</t>
  </si>
  <si>
    <t>SEMI LINE ITEMS (linked from the Model)</t>
  </si>
  <si>
    <t>SEMI-ANNUAL AS ON DATE DATA</t>
  </si>
  <si>
    <t>Model operations period counter</t>
  </si>
  <si>
    <t>Semi-annual timeline conversion</t>
  </si>
  <si>
    <t>Semi-annual line items</t>
  </si>
  <si>
    <t>ANNUALISED SUMMATION OF THE SEMI-ANNUAL DATA (FOR CHART)</t>
  </si>
  <si>
    <t xml:space="preserve">Custom duties </t>
  </si>
  <si>
    <t>Withholding tax - success / dev fees</t>
  </si>
  <si>
    <t xml:space="preserve">Plus </t>
  </si>
  <si>
    <t xml:space="preserve">plus </t>
  </si>
  <si>
    <t>Withholding tax ( P99)</t>
  </si>
  <si>
    <t>Withholding tax on dividend and SHL interest (P99)</t>
  </si>
  <si>
    <t>Withholding tax on success fees</t>
  </si>
  <si>
    <t>Withholding tax on success fees POS</t>
  </si>
  <si>
    <t>Withholding tax on equity cashflows</t>
  </si>
  <si>
    <t xml:space="preserve">Customs duties </t>
  </si>
  <si>
    <t>Customs duties</t>
  </si>
  <si>
    <t>Standby equity LC fee</t>
  </si>
  <si>
    <t>Undrawn Standby equity for commitment fee calc</t>
  </si>
  <si>
    <t>Standby equity LC fee %</t>
  </si>
  <si>
    <t>[Deemed electricity supplied (DESn)]</t>
  </si>
  <si>
    <t>[LCOE]</t>
  </si>
  <si>
    <t>CPFA6 Example model 01a.xlsm</t>
  </si>
  <si>
    <t>TAXABLE PROFIT / (TAX LOSSES ARISING)</t>
  </si>
  <si>
    <t>TAX DEPRECIATION</t>
  </si>
  <si>
    <t>INTEREST DEDUCTION FOR TAX</t>
  </si>
  <si>
    <t>Fixed asset depreciation POS</t>
  </si>
  <si>
    <t>Taxable profit / (tax losses arising)</t>
  </si>
  <si>
    <t>TAX LOSSES</t>
  </si>
  <si>
    <t>Corporate income tax POS</t>
  </si>
  <si>
    <t>DEFERRED TAX</t>
  </si>
  <si>
    <t>Deferred tax POS</t>
  </si>
  <si>
    <t>Deferred tax charge</t>
  </si>
  <si>
    <t>Deferred tax liability</t>
  </si>
  <si>
    <t>Deferred tax liability balance BEG</t>
  </si>
  <si>
    <t>Deferred tax liability balance</t>
  </si>
  <si>
    <t xml:space="preserve">CORPORATE INCOME TAX </t>
  </si>
  <si>
    <t>TAXABLE PROFIT / (TAX LOSSES ARISING) - P99</t>
  </si>
  <si>
    <t>INTEREST DEDUCTION FOR TAX - P99</t>
  </si>
  <si>
    <t>Taxable profit / (tax losses arising) - P99</t>
  </si>
  <si>
    <t>TAX LOSSES - P99</t>
  </si>
  <si>
    <t>CORPORATE INCOME TAX  - P99</t>
  </si>
  <si>
    <t>Corporate income tax - P99 POS</t>
  </si>
  <si>
    <t>Deferred tax  - P99 POS</t>
  </si>
  <si>
    <t>Deferred tax liability balance - P99 BEG</t>
  </si>
  <si>
    <t>DEFERRED TAX - P99</t>
  </si>
  <si>
    <t>Withholding tax on dividend and SHL interest</t>
  </si>
  <si>
    <t>P99 probability</t>
  </si>
  <si>
    <t>Yield uncertainty (1std deviation)</t>
  </si>
  <si>
    <t>Operating cost component of tariff</t>
  </si>
  <si>
    <t>Operating cost component of tariff discount factor</t>
  </si>
  <si>
    <t>PV of opex</t>
  </si>
  <si>
    <t>$</t>
  </si>
  <si>
    <t>PV of Opex</t>
  </si>
  <si>
    <t>O&amp;M component of tariff</t>
  </si>
  <si>
    <t>PV of operating cost component of revenue</t>
  </si>
  <si>
    <t>Operating Cost component revenue</t>
  </si>
  <si>
    <t>Power tariff (fixed)</t>
  </si>
  <si>
    <t>Power tariff - O&amp;M indexed component (TIn)</t>
  </si>
  <si>
    <t>-</t>
  </si>
  <si>
    <t>Base case 2</t>
  </si>
  <si>
    <t>Withholding tax on Senior Debt Interest cashflows</t>
  </si>
  <si>
    <t>Senior debt witholding Tax - T1</t>
  </si>
  <si>
    <t>Senior debt interest - T1 including WHT POS</t>
  </si>
  <si>
    <t>Withholding tax on Senior Debt Interest T1 POS</t>
  </si>
  <si>
    <t>Withholding tax on Senior Debt Interest T1</t>
  </si>
  <si>
    <t>Senior debt witholding Tax - T2</t>
  </si>
  <si>
    <t>Senior debt interest - T2 including WHT POS</t>
  </si>
  <si>
    <t>Withholding tax on Senior Debt Interest T2 POS</t>
  </si>
  <si>
    <t>Withholding tax on Senior Debt Interest T2</t>
  </si>
  <si>
    <t>Discount factor for O&amp;M cost component</t>
  </si>
  <si>
    <t>COD period flag</t>
  </si>
  <si>
    <t>RossoWIND</t>
  </si>
  <si>
    <t xml:space="preserve"> RossoWIND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</si>
</sst>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164" formatCode="_(* #,##0_);_(* \(#,##0\);_(* &quot;-&quot;_);_(@_)"/>
    <numFmt numFmtId="165" formatCode="_(&quot;£&quot;* #,##0_);_(&quot;£&quot;* \(#,##0\);_(&quot;£&quot;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  <numFmt numFmtId="183" formatCode="0.0000%_);\-0.0000%_);&quot;-  &quot;;&quot; &quot;@&quot; &quot;"/>
    <numFmt numFmtId="184" formatCode="#,##0.00_);\(#,##0.00\);&quot;-  &quot;;&quot; &quot;@&quot; &quot;"/>
    <numFmt numFmtId="185" formatCode="#,##0.00_);\(#,##0.00\);&quot;-  &quot;;&quot; &quot;@"/>
    <numFmt numFmtId="186" formatCode="0.000%_);\-0.000%_);&quot;-  &quot;;&quot; &quot;@&quot; &quot;"/>
    <numFmt numFmtId="187" formatCode="#,##0.0_);\(#,##0.0\);&quot;-  &quot;;&quot; &quot;@&quot; &quot;"/>
    <numFmt numFmtId="188" formatCode="0&quot; Mnth(s)&quot;"/>
    <numFmt numFmtId="189" formatCode="0.0\ &quot;Yr(s)&quot;"/>
    <numFmt numFmtId="190" formatCode="0\ &quot;MWp&quot;"/>
    <numFmt numFmtId="191" formatCode="0\ &quot;GWh&quot;"/>
    <numFmt numFmtId="192" formatCode="0.0%_);\-0.0%_);&quot;-  &quot;;&quot; &quot;@&quot; &quot;"/>
    <numFmt numFmtId="193" formatCode="0.00%\ ;\-0.00%\ _);&quot;-  &quot;;&quot; &quot;@&quot; &quot;"/>
    <numFmt numFmtId="194" formatCode="#,##0.0000_);\(#,##0.0000\);&quot;-  &quot;;&quot; &quot;@"/>
  </numFmts>
  <fonts count="8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i/>
      <sz val="10"/>
      <color rgb="FF0000FF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0"/>
      <color rgb="FFFF0000"/>
      <name val="Arial"/>
      <family val="2"/>
    </font>
    <font>
      <b/>
      <i/>
      <sz val="10"/>
      <color rgb="FF0000FF"/>
      <name val="Arial"/>
      <family val="2"/>
    </font>
    <font>
      <i/>
      <u/>
      <sz val="10"/>
      <color rgb="FF0000FF"/>
      <name val="Arial"/>
      <family val="2"/>
    </font>
    <font>
      <b/>
      <i/>
      <sz val="10"/>
      <color rgb="FF000000"/>
      <name val="Arial"/>
      <family val="2"/>
    </font>
    <font>
      <i/>
      <u/>
      <sz val="10"/>
      <color rgb="FF000000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sz val="16"/>
      <color rgb="FFFF0000"/>
      <name val="Arial"/>
      <family val="2"/>
    </font>
    <font>
      <sz val="16"/>
      <color rgb="FF000000"/>
      <name val="Arial"/>
      <family val="2"/>
    </font>
    <font>
      <sz val="16"/>
      <color rgb="FF0000FF"/>
      <name val="Arial"/>
      <family val="2"/>
    </font>
    <font>
      <b/>
      <sz val="12"/>
      <name val="Arial"/>
      <family val="2"/>
    </font>
    <font>
      <b/>
      <i/>
      <sz val="10"/>
      <color rgb="FFFF0000"/>
      <name val="Arial"/>
      <family val="2"/>
    </font>
    <font>
      <i/>
      <u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2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000000"/>
      <name val="Arial"/>
      <family val="2"/>
    </font>
    <font>
      <sz val="9"/>
      <color rgb="FF0000FF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DE6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/>
      <right/>
      <top style="thin">
        <color theme="0" tint="-0.1498764000366222"/>
      </top>
      <bottom style="thin">
        <color theme="0" tint="-0.1498458815271462"/>
      </bottom>
      <diagonal/>
    </border>
  </borders>
  <cellStyleXfs count="34">
    <xf numFmtId="167" fontId="0" fillId="0" borderId="0" applyFont="0" applyFill="0" applyBorder="0" applyProtection="0">
      <alignment vertical="top"/>
    </xf>
    <xf numFmtId="167" fontId="7" fillId="0" borderId="0" applyFont="0" applyFill="0" applyBorder="0" applyProtection="0">
      <alignment vertical="top"/>
    </xf>
    <xf numFmtId="173" fontId="5" fillId="0" borderId="0" applyFont="0" applyFill="0" applyBorder="0" applyProtection="0">
      <alignment vertical="top"/>
    </xf>
    <xf numFmtId="174" fontId="5" fillId="0" borderId="0" applyFont="0" applyFill="0" applyBorder="0" applyProtection="0">
      <alignment vertical="top"/>
    </xf>
    <xf numFmtId="171" fontId="5" fillId="0" borderId="0" applyFont="0" applyFill="0" applyBorder="0" applyProtection="0">
      <alignment vertical="top"/>
    </xf>
    <xf numFmtId="193" fontId="5" fillId="0" borderId="0" applyFont="0" applyFill="0" applyBorder="0" applyProtection="0">
      <alignment vertical="top"/>
    </xf>
    <xf numFmtId="164" fontId="16" fillId="0" borderId="0" applyFont="0" applyFill="0" applyBorder="0" applyAlignment="0" applyProtection="0"/>
    <xf numFmtId="166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72" fontId="20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9" fontId="4" fillId="0" borderId="0" applyFont="0" applyFill="0" applyBorder="0" applyProtection="0">
      <alignment vertical="top"/>
    </xf>
    <xf numFmtId="171" fontId="4" fillId="0" borderId="0" applyFont="0" applyFill="0" applyBorder="0" applyProtection="0">
      <alignment vertical="top"/>
    </xf>
    <xf numFmtId="170" fontId="4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74" fontId="4" fillId="0" borderId="0" applyFont="0" applyFill="0" applyBorder="0" applyProtection="0">
      <alignment vertical="top"/>
    </xf>
    <xf numFmtId="169" fontId="3" fillId="0" borderId="0" applyFont="0" applyFill="0" applyBorder="0" applyProtection="0">
      <alignment vertical="top"/>
    </xf>
    <xf numFmtId="171" fontId="3" fillId="0" borderId="0" applyFont="0" applyFill="0" applyBorder="0" applyProtection="0">
      <alignment vertical="top"/>
    </xf>
    <xf numFmtId="170" fontId="3" fillId="0" borderId="0" applyFont="0" applyFill="0" applyBorder="0" applyProtection="0">
      <alignment vertical="top"/>
    </xf>
    <xf numFmtId="174" fontId="3" fillId="0" borderId="0" applyFont="0" applyFill="0" applyBorder="0" applyProtection="0">
      <alignment vertical="top"/>
    </xf>
    <xf numFmtId="172" fontId="5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74" fontId="5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69" fontId="2" fillId="0" borderId="0" applyFont="0" applyFill="0" applyBorder="0" applyProtection="0">
      <alignment vertical="top"/>
    </xf>
    <xf numFmtId="171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</cellStyleXfs>
  <cellXfs count="1167">
    <xf numFmtId="167" fontId="0" fillId="0" borderId="0" xfId="0">
      <alignment vertical="top"/>
    </xf>
    <xf numFmtId="167" fontId="9" fillId="0" borderId="0" xfId="1" applyFont="1" applyFill="1">
      <alignment vertical="top"/>
    </xf>
    <xf numFmtId="167" fontId="7" fillId="0" borderId="0" xfId="1" applyFont="1">
      <alignment vertical="top"/>
    </xf>
    <xf numFmtId="167" fontId="9" fillId="0" borderId="0" xfId="1" applyFont="1" applyBorder="1">
      <alignment vertical="top"/>
    </xf>
    <xf numFmtId="167" fontId="7" fillId="0" borderId="0" xfId="1" applyFont="1" applyBorder="1">
      <alignment vertical="top"/>
    </xf>
    <xf numFmtId="167" fontId="9" fillId="0" borderId="0" xfId="1" applyFont="1">
      <alignment vertical="top"/>
    </xf>
    <xf numFmtId="167" fontId="0" fillId="0" borderId="0" xfId="1" applyFont="1">
      <alignment vertical="top"/>
    </xf>
    <xf numFmtId="167" fontId="0" fillId="0" borderId="0" xfId="1" applyFont="1" applyBorder="1">
      <alignment vertical="top"/>
    </xf>
    <xf numFmtId="167" fontId="10" fillId="0" borderId="0" xfId="1" applyFont="1" applyBorder="1">
      <alignment vertical="top"/>
    </xf>
    <xf numFmtId="167" fontId="5" fillId="0" borderId="0" xfId="1" applyFont="1" applyFill="1">
      <alignment vertical="top"/>
    </xf>
    <xf numFmtId="167" fontId="7" fillId="0" borderId="0" xfId="1" applyFont="1" applyFill="1" applyBorder="1">
      <alignment vertical="top"/>
    </xf>
    <xf numFmtId="174" fontId="0" fillId="0" borderId="0" xfId="3" applyFont="1">
      <alignment vertical="top"/>
    </xf>
    <xf numFmtId="167" fontId="5" fillId="0" borderId="0" xfId="1" applyFont="1">
      <alignment vertical="top"/>
    </xf>
    <xf numFmtId="174" fontId="7" fillId="0" borderId="0" xfId="3" applyFont="1" applyFill="1">
      <alignment vertical="top"/>
    </xf>
    <xf numFmtId="173" fontId="11" fillId="0" borderId="0" xfId="2" applyFont="1">
      <alignment vertical="top"/>
    </xf>
    <xf numFmtId="167" fontId="9" fillId="0" borderId="0" xfId="1" applyFont="1" applyFill="1" applyBorder="1">
      <alignment vertical="top"/>
    </xf>
    <xf numFmtId="167" fontId="7" fillId="0" borderId="0" xfId="1" applyFont="1" applyFill="1">
      <alignment vertical="top"/>
    </xf>
    <xf numFmtId="167" fontId="12" fillId="0" borderId="0" xfId="1" applyFont="1">
      <alignment vertical="top"/>
    </xf>
    <xf numFmtId="167" fontId="12" fillId="0" borderId="0" xfId="1" applyFont="1" applyFill="1" applyBorder="1">
      <alignment vertical="top"/>
    </xf>
    <xf numFmtId="167" fontId="8" fillId="0" borderId="0" xfId="1" applyFont="1" applyFill="1">
      <alignment vertical="top"/>
    </xf>
    <xf numFmtId="167" fontId="5" fillId="0" borderId="0" xfId="1" applyFont="1" applyFill="1" applyAlignment="1">
      <alignment horizontal="right" vertical="top"/>
    </xf>
    <xf numFmtId="167" fontId="8" fillId="0" borderId="0" xfId="1" applyFont="1" applyFill="1" applyBorder="1">
      <alignment vertical="top"/>
    </xf>
    <xf numFmtId="174" fontId="9" fillId="0" borderId="0" xfId="3" applyFont="1">
      <alignment vertical="top"/>
    </xf>
    <xf numFmtId="174" fontId="9" fillId="0" borderId="0" xfId="3" applyFont="1" applyFill="1">
      <alignment vertical="top"/>
    </xf>
    <xf numFmtId="167" fontId="14" fillId="0" borderId="0" xfId="1" applyFont="1" applyFill="1">
      <alignment vertical="top"/>
    </xf>
    <xf numFmtId="174" fontId="13" fillId="0" borderId="0" xfId="3" applyFont="1">
      <alignment vertical="top"/>
    </xf>
    <xf numFmtId="173" fontId="5" fillId="0" borderId="0" xfId="2" applyFont="1" applyFill="1">
      <alignment vertical="top"/>
    </xf>
    <xf numFmtId="174" fontId="12" fillId="0" borderId="0" xfId="3" applyFont="1">
      <alignment vertical="top"/>
    </xf>
    <xf numFmtId="168" fontId="12" fillId="0" borderId="0" xfId="4" applyNumberFormat="1" applyFont="1" applyFill="1">
      <alignment vertical="top"/>
    </xf>
    <xf numFmtId="168" fontId="12" fillId="0" borderId="0" xfId="4" applyNumberFormat="1" applyFont="1">
      <alignment vertical="top"/>
    </xf>
    <xf numFmtId="167" fontId="8" fillId="0" borderId="0" xfId="0" applyFont="1" applyFill="1">
      <alignment vertical="top"/>
    </xf>
    <xf numFmtId="167" fontId="5" fillId="0" borderId="0" xfId="0" applyFont="1" applyFill="1">
      <alignment vertical="top"/>
    </xf>
    <xf numFmtId="167" fontId="5" fillId="0" borderId="0" xfId="0" applyFont="1">
      <alignment vertical="top"/>
    </xf>
    <xf numFmtId="167" fontId="9" fillId="0" borderId="0" xfId="0" applyFont="1" applyFill="1">
      <alignment vertical="top"/>
    </xf>
    <xf numFmtId="167" fontId="8" fillId="0" borderId="0" xfId="0" applyFont="1" applyFill="1" applyBorder="1">
      <alignment vertical="top"/>
    </xf>
    <xf numFmtId="167" fontId="5" fillId="0" borderId="0" xfId="0" applyFont="1" applyFill="1" applyBorder="1">
      <alignment vertical="top"/>
    </xf>
    <xf numFmtId="174" fontId="7" fillId="0" borderId="0" xfId="3" applyFont="1">
      <alignment vertical="top"/>
    </xf>
    <xf numFmtId="174" fontId="15" fillId="0" borderId="0" xfId="3" applyFont="1">
      <alignment vertical="top"/>
    </xf>
    <xf numFmtId="167" fontId="5" fillId="0" borderId="0" xfId="1" applyFont="1" applyFill="1" applyBorder="1">
      <alignment vertical="top"/>
    </xf>
    <xf numFmtId="167" fontId="9" fillId="0" borderId="1" xfId="0" applyFont="1" applyBorder="1" applyAlignment="1">
      <alignment horizontal="right" vertical="top"/>
    </xf>
    <xf numFmtId="167" fontId="9" fillId="0" borderId="1" xfId="0" applyFont="1" applyBorder="1">
      <alignment vertical="top"/>
    </xf>
    <xf numFmtId="174" fontId="8" fillId="0" borderId="0" xfId="3" applyFont="1" applyFill="1">
      <alignment vertical="top"/>
    </xf>
    <xf numFmtId="174" fontId="5" fillId="0" borderId="0" xfId="3" applyFont="1" applyAlignment="1">
      <alignment horizontal="right" vertical="top"/>
    </xf>
    <xf numFmtId="167" fontId="5" fillId="2" borderId="0" xfId="1" applyFont="1" applyFill="1" applyAlignment="1">
      <alignment horizontal="right" vertical="top"/>
    </xf>
    <xf numFmtId="167" fontId="0" fillId="0" borderId="0" xfId="0" applyFont="1">
      <alignment vertical="top"/>
    </xf>
    <xf numFmtId="173" fontId="5" fillId="0" borderId="0" xfId="2" applyFont="1">
      <alignment vertical="top"/>
    </xf>
    <xf numFmtId="167" fontId="0" fillId="0" borderId="0" xfId="1" applyFont="1" applyFill="1" applyBorder="1">
      <alignment vertical="top"/>
    </xf>
    <xf numFmtId="174" fontId="13" fillId="0" borderId="0" xfId="3" applyFont="1" applyFill="1" applyBorder="1">
      <alignment vertical="top"/>
    </xf>
    <xf numFmtId="167" fontId="5" fillId="0" borderId="0" xfId="1" applyFont="1" applyFill="1" applyBorder="1" applyAlignment="1">
      <alignment horizontal="right" vertical="top"/>
    </xf>
    <xf numFmtId="174" fontId="9" fillId="0" borderId="0" xfId="3" applyFont="1" applyFill="1" applyBorder="1">
      <alignment vertical="top"/>
    </xf>
    <xf numFmtId="174" fontId="8" fillId="0" borderId="0" xfId="3" applyFont="1" applyFill="1" applyBorder="1">
      <alignment vertical="top"/>
    </xf>
    <xf numFmtId="174" fontId="5" fillId="0" borderId="0" xfId="3" applyFont="1" applyFill="1" applyBorder="1" applyAlignment="1">
      <alignment horizontal="right" vertical="top"/>
    </xf>
    <xf numFmtId="167" fontId="9" fillId="0" borderId="0" xfId="0" applyFont="1" applyFill="1" applyBorder="1">
      <alignment vertical="top"/>
    </xf>
    <xf numFmtId="168" fontId="9" fillId="0" borderId="0" xfId="4" applyNumberFormat="1" applyFont="1" applyFill="1" applyBorder="1">
      <alignment vertical="top"/>
    </xf>
    <xf numFmtId="173" fontId="9" fillId="0" borderId="0" xfId="2" applyFont="1" applyFill="1" applyBorder="1">
      <alignment vertical="top"/>
    </xf>
    <xf numFmtId="168" fontId="8" fillId="0" borderId="0" xfId="4" applyNumberFormat="1" applyFont="1" applyFill="1" applyBorder="1">
      <alignment vertical="top"/>
    </xf>
    <xf numFmtId="168" fontId="5" fillId="0" borderId="0" xfId="4" applyNumberFormat="1" applyFont="1" applyFill="1" applyBorder="1" applyAlignment="1">
      <alignment horizontal="right" vertical="top"/>
    </xf>
    <xf numFmtId="173" fontId="8" fillId="0" borderId="0" xfId="2" applyFont="1" applyFill="1" applyBorder="1">
      <alignment vertical="top"/>
    </xf>
    <xf numFmtId="173" fontId="5" fillId="0" borderId="0" xfId="2" applyFont="1" applyFill="1" applyBorder="1" applyAlignment="1">
      <alignment horizontal="right" vertical="top"/>
    </xf>
    <xf numFmtId="167" fontId="5" fillId="0" borderId="0" xfId="0" applyFont="1" applyFill="1" applyBorder="1" applyAlignment="1">
      <alignment horizontal="right" vertical="top"/>
    </xf>
    <xf numFmtId="167" fontId="5" fillId="0" borderId="0" xfId="0" applyFont="1" applyAlignment="1">
      <alignment horizontal="right" vertical="top"/>
    </xf>
    <xf numFmtId="168" fontId="9" fillId="0" borderId="0" xfId="1" applyNumberFormat="1" applyFont="1" applyFill="1" applyBorder="1">
      <alignment vertical="top"/>
    </xf>
    <xf numFmtId="168" fontId="8" fillId="0" borderId="0" xfId="1" applyNumberFormat="1" applyFont="1" applyFill="1" applyBorder="1">
      <alignment vertical="top"/>
    </xf>
    <xf numFmtId="168" fontId="5" fillId="0" borderId="0" xfId="1" applyNumberFormat="1" applyFont="1" applyFill="1">
      <alignment vertical="top"/>
    </xf>
    <xf numFmtId="168" fontId="5" fillId="0" borderId="0" xfId="1" applyNumberFormat="1" applyFont="1" applyFill="1" applyBorder="1" applyAlignment="1">
      <alignment horizontal="right" vertical="top"/>
    </xf>
    <xf numFmtId="167" fontId="9" fillId="0" borderId="0" xfId="0" applyFont="1" applyFill="1" applyBorder="1" applyAlignment="1">
      <alignment horizontal="right" vertical="top"/>
    </xf>
    <xf numFmtId="167" fontId="8" fillId="0" borderId="0" xfId="0" applyFont="1" applyFill="1" applyBorder="1" applyAlignment="1">
      <alignment horizontal="right" vertical="top"/>
    </xf>
    <xf numFmtId="167" fontId="5" fillId="0" borderId="0" xfId="0" applyFont="1" applyAlignment="1">
      <alignment horizontal="left" vertical="top"/>
    </xf>
    <xf numFmtId="167" fontId="19" fillId="0" borderId="0" xfId="1" applyFont="1" applyFill="1">
      <alignment vertical="top"/>
    </xf>
    <xf numFmtId="173" fontId="5" fillId="0" borderId="0" xfId="2" applyFont="1" applyFill="1" applyBorder="1">
      <alignment vertical="top"/>
    </xf>
    <xf numFmtId="174" fontId="5" fillId="0" borderId="0" xfId="3" applyFont="1" applyFill="1" applyBorder="1">
      <alignment vertical="top"/>
    </xf>
    <xf numFmtId="167" fontId="0" fillId="0" borderId="0" xfId="1" applyFont="1" applyFill="1">
      <alignment vertical="top"/>
    </xf>
    <xf numFmtId="173" fontId="9" fillId="0" borderId="0" xfId="2" applyFont="1" applyFill="1">
      <alignment vertical="top"/>
    </xf>
    <xf numFmtId="173" fontId="8" fillId="0" borderId="0" xfId="2" applyFont="1" applyFill="1">
      <alignment vertical="top"/>
    </xf>
    <xf numFmtId="173" fontId="0" fillId="0" borderId="0" xfId="2" applyFont="1" applyFill="1">
      <alignment vertical="top"/>
    </xf>
    <xf numFmtId="167" fontId="17" fillId="0" borderId="0" xfId="0" applyFont="1" applyFill="1">
      <alignment vertical="top"/>
    </xf>
    <xf numFmtId="167" fontId="18" fillId="0" borderId="0" xfId="0" applyFont="1" applyFill="1">
      <alignment vertical="top"/>
    </xf>
    <xf numFmtId="167" fontId="19" fillId="0" borderId="0" xfId="0" applyFont="1" applyFill="1">
      <alignment vertical="top"/>
    </xf>
    <xf numFmtId="172" fontId="5" fillId="0" borderId="0" xfId="9" applyFont="1">
      <alignment vertical="top"/>
    </xf>
    <xf numFmtId="167" fontId="9" fillId="0" borderId="0" xfId="0" applyFont="1">
      <alignment vertical="top"/>
    </xf>
    <xf numFmtId="167" fontId="15" fillId="0" borderId="0" xfId="0" applyFont="1">
      <alignment vertical="top"/>
    </xf>
    <xf numFmtId="167" fontId="5" fillId="0" borderId="0" xfId="0" applyFont="1" applyFill="1" applyAlignment="1">
      <alignment horizontal="right" vertical="top"/>
    </xf>
    <xf numFmtId="171" fontId="5" fillId="0" borderId="0" xfId="4" applyFont="1">
      <alignment vertical="top"/>
    </xf>
    <xf numFmtId="167" fontId="7" fillId="0" borderId="0" xfId="1" applyFont="1" applyFill="1" applyAlignment="1">
      <alignment horizontal="right" vertical="top"/>
    </xf>
    <xf numFmtId="167" fontId="7" fillId="0" borderId="4" xfId="1" applyFont="1" applyFill="1" applyBorder="1">
      <alignment vertical="top"/>
    </xf>
    <xf numFmtId="167" fontId="17" fillId="0" borderId="0" xfId="1" applyFont="1" applyFill="1" applyBorder="1">
      <alignment vertical="top"/>
    </xf>
    <xf numFmtId="167" fontId="18" fillId="0" borderId="0" xfId="1" applyFont="1" applyFill="1" applyBorder="1">
      <alignment vertical="top"/>
    </xf>
    <xf numFmtId="167" fontId="19" fillId="0" borderId="0" xfId="1" applyFont="1" applyFill="1" applyBorder="1" applyAlignment="1">
      <alignment horizontal="right" vertical="top"/>
    </xf>
    <xf numFmtId="169" fontId="14" fillId="0" borderId="0" xfId="10" applyFont="1" applyFill="1" applyBorder="1">
      <alignment vertical="top"/>
    </xf>
    <xf numFmtId="169" fontId="24" fillId="0" borderId="0" xfId="10" applyFont="1" applyFill="1" applyBorder="1">
      <alignment vertical="top"/>
    </xf>
    <xf numFmtId="169" fontId="25" fillId="0" borderId="0" xfId="10" applyFont="1" applyBorder="1" applyAlignment="1">
      <alignment horizontal="right" vertical="top"/>
    </xf>
    <xf numFmtId="169" fontId="25" fillId="0" borderId="0" xfId="10" applyFont="1">
      <alignment vertical="top"/>
    </xf>
    <xf numFmtId="167" fontId="26" fillId="0" borderId="0" xfId="10" applyNumberFormat="1" applyFont="1" applyFill="1">
      <alignment vertical="top"/>
    </xf>
    <xf numFmtId="169" fontId="25" fillId="0" borderId="0" xfId="10" applyFont="1" applyFill="1">
      <alignment vertical="top"/>
    </xf>
    <xf numFmtId="175" fontId="5" fillId="0" borderId="0" xfId="10" applyNumberFormat="1" applyFont="1" applyFill="1" applyBorder="1" applyAlignment="1">
      <alignment vertical="top" wrapText="1"/>
    </xf>
    <xf numFmtId="167" fontId="5" fillId="0" borderId="0" xfId="10" applyNumberFormat="1" applyFont="1" applyFill="1" applyBorder="1">
      <alignment vertical="top"/>
    </xf>
    <xf numFmtId="169" fontId="9" fillId="0" borderId="0" xfId="10" applyFont="1" applyFill="1" applyBorder="1">
      <alignment vertical="top"/>
    </xf>
    <xf numFmtId="169" fontId="8" fillId="0" borderId="0" xfId="10" applyFont="1" applyFill="1" applyBorder="1">
      <alignment vertical="top"/>
    </xf>
    <xf numFmtId="169" fontId="5" fillId="0" borderId="0" xfId="10" applyFont="1" applyBorder="1" applyAlignment="1">
      <alignment horizontal="right" vertical="top"/>
    </xf>
    <xf numFmtId="174" fontId="5" fillId="0" borderId="0" xfId="3" applyFont="1" applyBorder="1">
      <alignment vertical="top"/>
    </xf>
    <xf numFmtId="169" fontId="5" fillId="0" borderId="0" xfId="10" applyFont="1" applyFill="1">
      <alignment vertical="top"/>
    </xf>
    <xf numFmtId="169" fontId="5" fillId="0" borderId="0" xfId="10" applyFont="1">
      <alignment vertical="top"/>
    </xf>
    <xf numFmtId="167" fontId="5" fillId="0" borderId="0" xfId="10" applyNumberFormat="1" applyFont="1" applyFill="1">
      <alignment vertical="top"/>
    </xf>
    <xf numFmtId="169" fontId="8" fillId="0" borderId="0" xfId="10" applyFont="1" applyBorder="1">
      <alignment vertical="top"/>
    </xf>
    <xf numFmtId="169" fontId="5" fillId="0" borderId="0" xfId="10" applyFont="1" applyBorder="1">
      <alignment vertical="top"/>
    </xf>
    <xf numFmtId="167" fontId="15" fillId="0" borderId="0" xfId="10" applyNumberFormat="1" applyFont="1" applyBorder="1" applyAlignment="1">
      <alignment horizontal="left" vertical="top"/>
    </xf>
    <xf numFmtId="169" fontId="5" fillId="0" borderId="0" xfId="10" applyFont="1" applyFill="1" applyBorder="1">
      <alignment vertical="top"/>
    </xf>
    <xf numFmtId="169" fontId="5" fillId="0" borderId="0" xfId="10" applyFont="1" applyFill="1" applyBorder="1" applyAlignment="1">
      <alignment horizontal="right" vertical="top"/>
    </xf>
    <xf numFmtId="169" fontId="9" fillId="0" borderId="1" xfId="10" applyFont="1" applyBorder="1">
      <alignment vertical="top"/>
    </xf>
    <xf numFmtId="167" fontId="9" fillId="0" borderId="0" xfId="10" applyNumberFormat="1" applyFont="1" applyFill="1" applyBorder="1">
      <alignment vertical="top"/>
    </xf>
    <xf numFmtId="167" fontId="5" fillId="0" borderId="0" xfId="10" applyNumberFormat="1" applyFont="1" applyFill="1" applyBorder="1" applyAlignment="1">
      <alignment horizontal="right" vertical="top"/>
    </xf>
    <xf numFmtId="169" fontId="10" fillId="0" borderId="0" xfId="10" applyFont="1" applyFill="1">
      <alignment vertical="top"/>
    </xf>
    <xf numFmtId="193" fontId="5" fillId="0" borderId="0" xfId="5" applyFont="1" applyFill="1">
      <alignment vertical="top"/>
    </xf>
    <xf numFmtId="169" fontId="5" fillId="4" borderId="0" xfId="10" applyFont="1" applyFill="1">
      <alignment vertical="top"/>
    </xf>
    <xf numFmtId="169" fontId="5" fillId="0" borderId="0" xfId="10">
      <alignment vertical="top"/>
    </xf>
    <xf numFmtId="193" fontId="5" fillId="0" borderId="0" xfId="5" applyFont="1" applyFill="1" applyBorder="1">
      <alignment vertical="top"/>
    </xf>
    <xf numFmtId="167" fontId="8" fillId="0" borderId="0" xfId="10" applyNumberFormat="1" applyFont="1" applyFill="1" applyBorder="1">
      <alignment vertical="top"/>
    </xf>
    <xf numFmtId="169" fontId="5" fillId="0" borderId="0" xfId="10" applyFont="1" applyFill="1" applyAlignment="1">
      <alignment horizontal="right" vertical="top"/>
    </xf>
    <xf numFmtId="177" fontId="10" fillId="0" borderId="0" xfId="10" applyNumberFormat="1" applyFont="1" applyFill="1">
      <alignment vertical="top"/>
    </xf>
    <xf numFmtId="178" fontId="5" fillId="0" borderId="0" xfId="5" applyNumberFormat="1" applyFont="1" applyFill="1">
      <alignment vertical="top"/>
    </xf>
    <xf numFmtId="175" fontId="9" fillId="0" borderId="0" xfId="3" applyNumberFormat="1" applyFont="1" applyFill="1" applyBorder="1">
      <alignment vertical="top"/>
    </xf>
    <xf numFmtId="175" fontId="8" fillId="0" borderId="0" xfId="3" applyNumberFormat="1" applyFont="1" applyFill="1" applyBorder="1">
      <alignment vertical="top"/>
    </xf>
    <xf numFmtId="175" fontId="5" fillId="0" borderId="0" xfId="3" applyNumberFormat="1" applyFont="1" applyFill="1" applyBorder="1">
      <alignment vertical="top"/>
    </xf>
    <xf numFmtId="169" fontId="9" fillId="0" borderId="0" xfId="10" applyFont="1" applyFill="1">
      <alignment vertical="top"/>
    </xf>
    <xf numFmtId="169" fontId="9" fillId="0" borderId="0" xfId="10" applyFont="1" applyBorder="1">
      <alignment vertical="top"/>
    </xf>
    <xf numFmtId="167" fontId="19" fillId="0" borderId="0" xfId="0" applyFont="1">
      <alignment vertical="top"/>
    </xf>
    <xf numFmtId="169" fontId="5" fillId="0" borderId="0" xfId="1" applyNumberFormat="1" applyFont="1" applyFill="1" applyBorder="1">
      <alignment vertical="top"/>
    </xf>
    <xf numFmtId="169" fontId="19" fillId="0" borderId="0" xfId="3" applyNumberFormat="1" applyFont="1">
      <alignment vertical="top"/>
    </xf>
    <xf numFmtId="174" fontId="21" fillId="0" borderId="0" xfId="3" applyFont="1" applyFill="1" applyBorder="1">
      <alignment vertical="top"/>
    </xf>
    <xf numFmtId="174" fontId="22" fillId="0" borderId="0" xfId="3" applyFont="1" applyFill="1" applyBorder="1">
      <alignment vertical="top"/>
    </xf>
    <xf numFmtId="174" fontId="23" fillId="0" borderId="0" xfId="3" applyFont="1" applyFill="1" applyBorder="1">
      <alignment vertical="top"/>
    </xf>
    <xf numFmtId="174" fontId="23" fillId="0" borderId="0" xfId="3" applyFont="1">
      <alignment vertical="top"/>
    </xf>
    <xf numFmtId="174" fontId="13" fillId="0" borderId="0" xfId="3" applyFont="1" applyFill="1">
      <alignment vertical="top"/>
    </xf>
    <xf numFmtId="167" fontId="12" fillId="0" borderId="0" xfId="1" applyFont="1" applyFill="1">
      <alignment vertical="top"/>
    </xf>
    <xf numFmtId="168" fontId="5" fillId="0" borderId="0" xfId="4" applyNumberFormat="1" applyFont="1" applyFill="1">
      <alignment vertical="top"/>
    </xf>
    <xf numFmtId="174" fontId="12" fillId="0" borderId="0" xfId="3" applyFont="1" applyFill="1">
      <alignment vertical="top"/>
    </xf>
    <xf numFmtId="174" fontId="0" fillId="0" borderId="0" xfId="3" applyFont="1" applyFill="1">
      <alignment vertical="top"/>
    </xf>
    <xf numFmtId="174" fontId="5" fillId="0" borderId="0" xfId="3" applyFont="1" applyFill="1">
      <alignment vertical="top"/>
    </xf>
    <xf numFmtId="169" fontId="19" fillId="0" borderId="0" xfId="3" applyNumberFormat="1" applyFont="1" applyFill="1">
      <alignment vertical="top"/>
    </xf>
    <xf numFmtId="174" fontId="23" fillId="0" borderId="0" xfId="3" applyFont="1" applyFill="1">
      <alignment vertical="top"/>
    </xf>
    <xf numFmtId="174" fontId="5" fillId="0" borderId="0" xfId="1" applyNumberFormat="1" applyFont="1" applyFill="1">
      <alignment vertical="top"/>
    </xf>
    <xf numFmtId="167" fontId="21" fillId="0" borderId="0" xfId="1" applyFont="1" applyFill="1" applyBorder="1">
      <alignment vertical="top"/>
    </xf>
    <xf numFmtId="167" fontId="22" fillId="0" borderId="0" xfId="1" applyFont="1" applyFill="1" applyBorder="1">
      <alignment vertical="top"/>
    </xf>
    <xf numFmtId="167" fontId="23" fillId="0" borderId="0" xfId="1" applyFont="1" applyFill="1" applyBorder="1" applyAlignment="1">
      <alignment horizontal="right" vertical="top"/>
    </xf>
    <xf numFmtId="167" fontId="23" fillId="0" borderId="0" xfId="1" applyFont="1" applyFill="1">
      <alignment vertical="top"/>
    </xf>
    <xf numFmtId="167" fontId="19" fillId="0" borderId="0" xfId="1" applyFont="1" applyFill="1" applyBorder="1">
      <alignment vertical="top"/>
    </xf>
    <xf numFmtId="169" fontId="0" fillId="0" borderId="0" xfId="1" applyNumberFormat="1" applyFont="1">
      <alignment vertical="top"/>
    </xf>
    <xf numFmtId="172" fontId="21" fillId="0" borderId="0" xfId="9" applyFont="1" applyFill="1" applyBorder="1">
      <alignment vertical="top"/>
    </xf>
    <xf numFmtId="172" fontId="22" fillId="0" borderId="0" xfId="9" applyFont="1" applyFill="1" applyBorder="1">
      <alignment vertical="top"/>
    </xf>
    <xf numFmtId="172" fontId="23" fillId="0" borderId="0" xfId="9" applyFont="1" applyFill="1" applyBorder="1">
      <alignment vertical="top"/>
    </xf>
    <xf numFmtId="172" fontId="23" fillId="0" borderId="0" xfId="9" applyFont="1" applyFill="1">
      <alignment vertical="top"/>
    </xf>
    <xf numFmtId="169" fontId="5" fillId="0" borderId="0" xfId="1" applyNumberFormat="1" applyFont="1" applyFill="1">
      <alignment vertical="top"/>
    </xf>
    <xf numFmtId="167" fontId="5" fillId="5" borderId="0" xfId="1" applyFont="1" applyFill="1">
      <alignment vertical="top"/>
    </xf>
    <xf numFmtId="167" fontId="12" fillId="5" borderId="0" xfId="1" applyFont="1" applyFill="1">
      <alignment vertical="top"/>
    </xf>
    <xf numFmtId="167" fontId="7" fillId="5" borderId="0" xfId="1" applyFont="1" applyFill="1">
      <alignment vertical="top"/>
    </xf>
    <xf numFmtId="167" fontId="0" fillId="5" borderId="0" xfId="1" applyFont="1" applyFill="1" applyBorder="1">
      <alignment vertical="top"/>
    </xf>
    <xf numFmtId="167" fontId="5" fillId="5" borderId="0" xfId="0" applyFont="1" applyFill="1">
      <alignment vertical="top"/>
    </xf>
    <xf numFmtId="167" fontId="12" fillId="6" borderId="6" xfId="1" applyFont="1" applyFill="1" applyBorder="1" applyAlignment="1">
      <alignment horizontal="center" vertical="top"/>
    </xf>
    <xf numFmtId="173" fontId="7" fillId="6" borderId="5" xfId="2" applyFont="1" applyFill="1" applyBorder="1">
      <alignment vertical="top"/>
    </xf>
    <xf numFmtId="167" fontId="5" fillId="6" borderId="5" xfId="0" applyFont="1" applyFill="1" applyBorder="1">
      <alignment vertical="top"/>
    </xf>
    <xf numFmtId="167" fontId="7" fillId="6" borderId="5" xfId="1" applyFont="1" applyFill="1" applyBorder="1" applyAlignment="1">
      <alignment horizontal="center" vertical="top"/>
    </xf>
    <xf numFmtId="167" fontId="9" fillId="6" borderId="6" xfId="0" applyFont="1" applyFill="1" applyBorder="1" applyAlignment="1">
      <alignment horizontal="center" vertical="top"/>
    </xf>
    <xf numFmtId="0" fontId="27" fillId="0" borderId="0" xfId="1" applyNumberFormat="1" applyFont="1" applyAlignment="1">
      <alignment horizontal="center" vertical="center"/>
    </xf>
    <xf numFmtId="173" fontId="7" fillId="0" borderId="5" xfId="2" applyFont="1" applyFill="1" applyBorder="1">
      <alignment vertical="top"/>
    </xf>
    <xf numFmtId="167" fontId="5" fillId="0" borderId="5" xfId="0" applyFont="1" applyFill="1" applyBorder="1">
      <alignment vertical="top"/>
    </xf>
    <xf numFmtId="167" fontId="7" fillId="6" borderId="5" xfId="0" applyFont="1" applyFill="1" applyBorder="1">
      <alignment vertical="top"/>
    </xf>
    <xf numFmtId="172" fontId="9" fillId="0" borderId="0" xfId="9" applyFont="1" applyFill="1">
      <alignment vertical="top"/>
    </xf>
    <xf numFmtId="172" fontId="8" fillId="0" borderId="0" xfId="9" applyFont="1" applyFill="1">
      <alignment vertical="top"/>
    </xf>
    <xf numFmtId="172" fontId="5" fillId="0" borderId="0" xfId="9" applyFont="1" applyFill="1">
      <alignment vertical="top"/>
    </xf>
    <xf numFmtId="172" fontId="0" fillId="0" borderId="0" xfId="9" applyFont="1">
      <alignment vertical="top"/>
    </xf>
    <xf numFmtId="172" fontId="5" fillId="5" borderId="0" xfId="9" applyFont="1" applyFill="1">
      <alignment vertical="top"/>
    </xf>
    <xf numFmtId="172" fontId="7" fillId="5" borderId="0" xfId="9" applyFont="1" applyFill="1">
      <alignment vertical="top"/>
    </xf>
    <xf numFmtId="167" fontId="7" fillId="0" borderId="0" xfId="0" applyFont="1">
      <alignment vertical="top"/>
    </xf>
    <xf numFmtId="167" fontId="7" fillId="5" borderId="0" xfId="0" applyFont="1" applyFill="1">
      <alignment vertical="top"/>
    </xf>
    <xf numFmtId="173" fontId="7" fillId="0" borderId="0" xfId="2" applyFont="1">
      <alignment vertical="top"/>
    </xf>
    <xf numFmtId="173" fontId="7" fillId="5" borderId="0" xfId="2" applyFont="1" applyFill="1">
      <alignment vertical="top"/>
    </xf>
    <xf numFmtId="167" fontId="7" fillId="0" borderId="5" xfId="0" applyFont="1" applyFill="1" applyBorder="1">
      <alignment vertical="top"/>
    </xf>
    <xf numFmtId="169" fontId="5" fillId="5" borderId="0" xfId="10" applyFont="1" applyFill="1">
      <alignment vertical="top"/>
    </xf>
    <xf numFmtId="193" fontId="5" fillId="5" borderId="0" xfId="5" applyFont="1" applyFill="1">
      <alignment vertical="top"/>
    </xf>
    <xf numFmtId="174" fontId="5" fillId="5" borderId="0" xfId="3" applyFont="1" applyFill="1">
      <alignment vertical="top"/>
    </xf>
    <xf numFmtId="169" fontId="9" fillId="5" borderId="0" xfId="10" applyFont="1" applyFill="1" applyBorder="1">
      <alignment vertical="top"/>
    </xf>
    <xf numFmtId="169" fontId="8" fillId="5" borderId="0" xfId="10" applyFont="1" applyFill="1" applyBorder="1">
      <alignment vertical="top"/>
    </xf>
    <xf numFmtId="169" fontId="5" fillId="5" borderId="0" xfId="10" applyFont="1" applyFill="1" applyBorder="1" applyAlignment="1">
      <alignment horizontal="right" vertical="top"/>
    </xf>
    <xf numFmtId="169" fontId="9" fillId="5" borderId="0" xfId="10" applyFont="1" applyFill="1">
      <alignment vertical="top"/>
    </xf>
    <xf numFmtId="169" fontId="5" fillId="5" borderId="0" xfId="10" applyFont="1" applyFill="1" applyAlignment="1">
      <alignment horizontal="right" vertical="top"/>
    </xf>
    <xf numFmtId="167" fontId="0" fillId="5" borderId="0" xfId="0" applyFill="1">
      <alignment vertical="top"/>
    </xf>
    <xf numFmtId="167" fontId="19" fillId="0" borderId="0" xfId="1" applyFont="1">
      <alignment vertical="top"/>
    </xf>
    <xf numFmtId="167" fontId="23" fillId="0" borderId="0" xfId="1" applyFont="1">
      <alignment vertical="top"/>
    </xf>
    <xf numFmtId="167" fontId="23" fillId="0" borderId="0" xfId="0" applyFont="1">
      <alignment vertical="top"/>
    </xf>
    <xf numFmtId="169" fontId="19" fillId="0" borderId="0" xfId="1" applyNumberFormat="1" applyFont="1">
      <alignment vertical="top"/>
    </xf>
    <xf numFmtId="167" fontId="30" fillId="0" borderId="0" xfId="0" applyFont="1" applyFill="1" applyBorder="1">
      <alignment vertical="top"/>
    </xf>
    <xf numFmtId="167" fontId="30" fillId="0" borderId="0" xfId="0" applyFont="1">
      <alignment vertical="top"/>
    </xf>
    <xf numFmtId="167" fontId="30" fillId="0" borderId="0" xfId="0" applyFont="1" applyFill="1">
      <alignment vertical="top"/>
    </xf>
    <xf numFmtId="174" fontId="23" fillId="0" borderId="0" xfId="3" applyFont="1" applyFill="1" applyBorder="1" applyAlignment="1">
      <alignment horizontal="right" vertical="top"/>
    </xf>
    <xf numFmtId="174" fontId="30" fillId="0" borderId="0" xfId="3" applyFont="1">
      <alignment vertical="top"/>
    </xf>
    <xf numFmtId="174" fontId="28" fillId="0" borderId="0" xfId="3" applyFont="1">
      <alignment vertical="top"/>
    </xf>
    <xf numFmtId="172" fontId="5" fillId="0" borderId="0" xfId="1" applyNumberFormat="1" applyFont="1">
      <alignment vertical="top"/>
    </xf>
    <xf numFmtId="167" fontId="5" fillId="6" borderId="5" xfId="1" applyFont="1" applyFill="1" applyBorder="1">
      <alignment vertical="top"/>
    </xf>
    <xf numFmtId="169" fontId="5" fillId="0" borderId="0" xfId="1" applyNumberFormat="1" applyFont="1">
      <alignment vertical="top"/>
    </xf>
    <xf numFmtId="173" fontId="9" fillId="0" borderId="0" xfId="1" applyNumberFormat="1" applyFont="1" applyFill="1">
      <alignment vertical="top"/>
    </xf>
    <xf numFmtId="173" fontId="8" fillId="0" borderId="0" xfId="1" applyNumberFormat="1" applyFont="1" applyFill="1">
      <alignment vertical="top"/>
    </xf>
    <xf numFmtId="173" fontId="5" fillId="0" borderId="0" xfId="1" applyNumberFormat="1" applyFont="1" applyFill="1" applyAlignment="1">
      <alignment horizontal="right" vertical="top"/>
    </xf>
    <xf numFmtId="173" fontId="5" fillId="6" borderId="5" xfId="2" applyFont="1" applyFill="1" applyBorder="1">
      <alignment vertical="top"/>
    </xf>
    <xf numFmtId="173" fontId="5" fillId="5" borderId="0" xfId="1" applyNumberFormat="1" applyFont="1" applyFill="1">
      <alignment vertical="top"/>
    </xf>
    <xf numFmtId="173" fontId="19" fillId="0" borderId="0" xfId="2" applyFont="1" applyFill="1" applyBorder="1">
      <alignment vertical="top"/>
    </xf>
    <xf numFmtId="167" fontId="28" fillId="0" borderId="0" xfId="1" applyFont="1" applyFill="1">
      <alignment vertical="top"/>
    </xf>
    <xf numFmtId="167" fontId="29" fillId="0" borderId="0" xfId="1" applyFont="1" applyFill="1">
      <alignment vertical="top"/>
    </xf>
    <xf numFmtId="167" fontId="30" fillId="0" borderId="0" xfId="1" applyFont="1" applyAlignment="1">
      <alignment horizontal="right" vertical="top"/>
    </xf>
    <xf numFmtId="167" fontId="30" fillId="0" borderId="4" xfId="1" applyFont="1" applyBorder="1">
      <alignment vertical="top"/>
    </xf>
    <xf numFmtId="167" fontId="30" fillId="0" borderId="0" xfId="1" applyFont="1" applyFill="1" applyAlignment="1">
      <alignment horizontal="right" vertical="top"/>
    </xf>
    <xf numFmtId="174" fontId="31" fillId="0" borderId="0" xfId="3" applyFont="1" applyFill="1">
      <alignment vertical="top"/>
    </xf>
    <xf numFmtId="174" fontId="9" fillId="0" borderId="0" xfId="3" applyFont="1" applyFill="1" applyAlignment="1">
      <alignment horizontal="right" vertical="top"/>
    </xf>
    <xf numFmtId="174" fontId="9" fillId="5" borderId="0" xfId="3" applyFont="1" applyFill="1">
      <alignment vertical="top"/>
    </xf>
    <xf numFmtId="174" fontId="9" fillId="6" borderId="5" xfId="3" applyFont="1" applyFill="1" applyBorder="1" applyAlignment="1">
      <alignment horizontal="center" vertical="center"/>
    </xf>
    <xf numFmtId="167" fontId="5" fillId="0" borderId="0" xfId="1" applyFont="1" applyBorder="1">
      <alignment vertical="top"/>
    </xf>
    <xf numFmtId="167" fontId="5" fillId="3" borderId="0" xfId="1" applyFont="1" applyFill="1" applyBorder="1">
      <alignment vertical="top"/>
    </xf>
    <xf numFmtId="167" fontId="9" fillId="0" borderId="2" xfId="1" applyFont="1" applyFill="1" applyBorder="1">
      <alignment vertical="top"/>
    </xf>
    <xf numFmtId="167" fontId="8" fillId="0" borderId="2" xfId="1" applyFont="1" applyFill="1" applyBorder="1">
      <alignment vertical="top"/>
    </xf>
    <xf numFmtId="167" fontId="5" fillId="0" borderId="2" xfId="1" applyFont="1" applyFill="1" applyBorder="1" applyAlignment="1">
      <alignment horizontal="right" vertical="top"/>
    </xf>
    <xf numFmtId="167" fontId="5" fillId="0" borderId="2" xfId="1" applyFont="1" applyBorder="1">
      <alignment vertical="top"/>
    </xf>
    <xf numFmtId="167" fontId="5" fillId="0" borderId="2" xfId="1" applyFont="1" applyFill="1" applyBorder="1">
      <alignment vertical="top"/>
    </xf>
    <xf numFmtId="167" fontId="9" fillId="0" borderId="3" xfId="1" applyFont="1" applyFill="1" applyBorder="1">
      <alignment vertical="top"/>
    </xf>
    <xf numFmtId="167" fontId="8" fillId="0" borderId="3" xfId="1" applyFont="1" applyFill="1" applyBorder="1">
      <alignment vertical="top"/>
    </xf>
    <xf numFmtId="167" fontId="5" fillId="0" borderId="3" xfId="1" applyFont="1" applyFill="1" applyBorder="1" applyAlignment="1">
      <alignment horizontal="right" vertical="top"/>
    </xf>
    <xf numFmtId="167" fontId="5" fillId="0" borderId="3" xfId="1" applyFont="1" applyBorder="1">
      <alignment vertical="top"/>
    </xf>
    <xf numFmtId="167" fontId="5" fillId="0" borderId="3" xfId="1" applyFont="1" applyFill="1" applyBorder="1">
      <alignment vertical="top"/>
    </xf>
    <xf numFmtId="169" fontId="19" fillId="0" borderId="0" xfId="1" applyNumberFormat="1" applyFont="1" applyBorder="1">
      <alignment vertical="top"/>
    </xf>
    <xf numFmtId="167" fontId="21" fillId="0" borderId="0" xfId="0" applyFont="1" applyFill="1" applyBorder="1">
      <alignment vertical="top"/>
    </xf>
    <xf numFmtId="167" fontId="22" fillId="0" borderId="0" xfId="0" applyFont="1" applyFill="1" applyBorder="1">
      <alignment vertical="top"/>
    </xf>
    <xf numFmtId="167" fontId="23" fillId="0" borderId="0" xfId="0" applyFont="1" applyFill="1" applyBorder="1">
      <alignment vertical="top"/>
    </xf>
    <xf numFmtId="167" fontId="23" fillId="0" borderId="0" xfId="0" applyFont="1" applyFill="1">
      <alignment vertical="top"/>
    </xf>
    <xf numFmtId="167" fontId="23" fillId="5" borderId="0" xfId="1" applyFont="1" applyFill="1">
      <alignment vertical="top"/>
    </xf>
    <xf numFmtId="167" fontId="30" fillId="0" borderId="4" xfId="1" applyFont="1" applyFill="1" applyBorder="1">
      <alignment vertical="top"/>
    </xf>
    <xf numFmtId="167" fontId="5" fillId="0" borderId="4" xfId="1" applyFont="1" applyFill="1" applyBorder="1">
      <alignment vertical="top"/>
    </xf>
    <xf numFmtId="167" fontId="30" fillId="0" borderId="0" xfId="1" applyFont="1">
      <alignment vertical="top"/>
    </xf>
    <xf numFmtId="167" fontId="30" fillId="0" borderId="0" xfId="1" applyFont="1" applyFill="1">
      <alignment vertical="top"/>
    </xf>
    <xf numFmtId="167" fontId="28" fillId="0" borderId="0" xfId="1" applyFont="1" applyFill="1" applyBorder="1">
      <alignment vertical="top"/>
    </xf>
    <xf numFmtId="167" fontId="29" fillId="0" borderId="0" xfId="1" applyFont="1" applyFill="1" applyBorder="1">
      <alignment vertical="top"/>
    </xf>
    <xf numFmtId="167" fontId="30" fillId="0" borderId="0" xfId="1" applyFont="1" applyFill="1" applyBorder="1" applyAlignment="1">
      <alignment horizontal="right" vertical="top"/>
    </xf>
    <xf numFmtId="167" fontId="9" fillId="5" borderId="0" xfId="0" applyFont="1" applyFill="1">
      <alignment vertical="top"/>
    </xf>
    <xf numFmtId="167" fontId="8" fillId="5" borderId="0" xfId="0" applyFont="1" applyFill="1">
      <alignment vertical="top"/>
    </xf>
    <xf numFmtId="167" fontId="5" fillId="5" borderId="0" xfId="0" applyFont="1" applyFill="1" applyAlignment="1">
      <alignment horizontal="right" vertical="top"/>
    </xf>
    <xf numFmtId="193" fontId="9" fillId="5" borderId="0" xfId="5" applyFont="1" applyFill="1">
      <alignment vertical="top"/>
    </xf>
    <xf numFmtId="193" fontId="8" fillId="5" borderId="0" xfId="5" applyFont="1" applyFill="1">
      <alignment vertical="top"/>
    </xf>
    <xf numFmtId="193" fontId="0" fillId="5" borderId="0" xfId="5" applyFont="1" applyFill="1">
      <alignment vertical="top"/>
    </xf>
    <xf numFmtId="174" fontId="5" fillId="0" borderId="7" xfId="3" applyFill="1" applyBorder="1" applyAlignment="1">
      <alignment horizontal="center" vertical="top"/>
    </xf>
    <xf numFmtId="176" fontId="5" fillId="0" borderId="5" xfId="10" applyNumberFormat="1" applyFont="1" applyFill="1" applyBorder="1" applyAlignment="1">
      <alignment horizontal="center" vertical="top"/>
    </xf>
    <xf numFmtId="167" fontId="7" fillId="0" borderId="0" xfId="0" applyFont="1" applyFill="1" applyBorder="1">
      <alignment vertical="top"/>
    </xf>
    <xf numFmtId="167" fontId="9" fillId="0" borderId="0" xfId="0" applyFont="1" applyBorder="1" applyAlignment="1">
      <alignment horizontal="right" vertical="top"/>
    </xf>
    <xf numFmtId="167" fontId="9" fillId="0" borderId="0" xfId="0" applyFont="1" applyBorder="1">
      <alignment vertical="top"/>
    </xf>
    <xf numFmtId="167" fontId="7" fillId="5" borderId="0" xfId="1" applyFont="1" applyFill="1" applyBorder="1">
      <alignment vertical="top"/>
    </xf>
    <xf numFmtId="167" fontId="7" fillId="0" borderId="0" xfId="1" applyFont="1" applyFill="1" applyBorder="1" applyAlignment="1">
      <alignment horizontal="center" vertical="top"/>
    </xf>
    <xf numFmtId="167" fontId="9" fillId="0" borderId="7" xfId="0" applyFont="1" applyFill="1" applyBorder="1" applyAlignment="1">
      <alignment horizontal="center" vertical="center"/>
    </xf>
    <xf numFmtId="167" fontId="9" fillId="6" borderId="5" xfId="0" applyFont="1" applyFill="1" applyBorder="1" applyAlignment="1">
      <alignment horizontal="center" vertical="top"/>
    </xf>
    <xf numFmtId="173" fontId="33" fillId="5" borderId="0" xfId="2" applyFont="1" applyFill="1">
      <alignment vertical="top"/>
    </xf>
    <xf numFmtId="173" fontId="33" fillId="5" borderId="0" xfId="1" applyNumberFormat="1" applyFont="1" applyFill="1">
      <alignment vertical="top"/>
    </xf>
    <xf numFmtId="167" fontId="33" fillId="5" borderId="0" xfId="0" applyFont="1" applyFill="1">
      <alignment vertical="top"/>
    </xf>
    <xf numFmtId="167" fontId="33" fillId="5" borderId="0" xfId="1" applyFont="1" applyFill="1">
      <alignment vertical="top"/>
    </xf>
    <xf numFmtId="172" fontId="33" fillId="5" borderId="0" xfId="9" applyFont="1" applyFill="1">
      <alignment vertical="top"/>
    </xf>
    <xf numFmtId="167" fontId="0" fillId="0" borderId="7" xfId="0" applyFill="1" applyBorder="1" applyAlignment="1">
      <alignment horizontal="center" vertical="top"/>
    </xf>
    <xf numFmtId="167" fontId="9" fillId="5" borderId="0" xfId="10" applyNumberFormat="1" applyFont="1" applyFill="1" applyBorder="1">
      <alignment vertical="top"/>
    </xf>
    <xf numFmtId="167" fontId="8" fillId="5" borderId="0" xfId="10" applyNumberFormat="1" applyFont="1" applyFill="1" applyBorder="1">
      <alignment vertical="top"/>
    </xf>
    <xf numFmtId="167" fontId="5" fillId="5" borderId="0" xfId="10" applyNumberFormat="1" applyFont="1" applyFill="1" applyBorder="1" applyAlignment="1">
      <alignment horizontal="right" vertical="top"/>
    </xf>
    <xf numFmtId="176" fontId="5" fillId="7" borderId="5" xfId="10" applyNumberFormat="1" applyFont="1" applyFill="1" applyBorder="1" applyAlignment="1">
      <alignment horizontal="center" vertical="top"/>
    </xf>
    <xf numFmtId="174" fontId="5" fillId="7" borderId="5" xfId="3" applyFont="1" applyFill="1" applyBorder="1" applyAlignment="1">
      <alignment horizontal="center" vertical="top"/>
    </xf>
    <xf numFmtId="169" fontId="5" fillId="6" borderId="5" xfId="10" applyFont="1" applyFill="1" applyBorder="1" applyAlignment="1">
      <alignment horizontal="center" vertical="top"/>
    </xf>
    <xf numFmtId="169" fontId="5" fillId="6" borderId="5" xfId="10" applyFont="1" applyFill="1" applyBorder="1" applyAlignment="1">
      <alignment horizontal="center" vertical="top" wrapText="1"/>
    </xf>
    <xf numFmtId="167" fontId="30" fillId="0" borderId="0" xfId="0" applyFont="1" applyFill="1" applyBorder="1" applyAlignment="1">
      <alignment horizontal="center" vertical="top"/>
    </xf>
    <xf numFmtId="172" fontId="5" fillId="0" borderId="0" xfId="9" applyFont="1" applyFill="1" applyBorder="1">
      <alignment vertical="top"/>
    </xf>
    <xf numFmtId="172" fontId="7" fillId="0" borderId="0" xfId="9" applyFont="1" applyFill="1">
      <alignment vertical="top"/>
    </xf>
    <xf numFmtId="172" fontId="7" fillId="0" borderId="0" xfId="9" applyFont="1" applyFill="1" applyBorder="1">
      <alignment vertical="top"/>
    </xf>
    <xf numFmtId="167" fontId="5" fillId="8" borderId="0" xfId="0" applyFont="1" applyFill="1" applyBorder="1" applyAlignment="1">
      <alignment horizontal="right" vertical="top"/>
    </xf>
    <xf numFmtId="167" fontId="30" fillId="8" borderId="5" xfId="0" applyFont="1" applyFill="1" applyBorder="1" applyAlignment="1">
      <alignment horizontal="center" vertical="top"/>
    </xf>
    <xf numFmtId="167" fontId="34" fillId="0" borderId="0" xfId="1" applyFont="1" applyFill="1">
      <alignment vertical="top"/>
    </xf>
    <xf numFmtId="167" fontId="35" fillId="0" borderId="0" xfId="1" applyFont="1" applyFill="1">
      <alignment vertical="top"/>
    </xf>
    <xf numFmtId="167" fontId="36" fillId="0" borderId="0" xfId="1" applyFont="1" applyFill="1" applyAlignment="1">
      <alignment horizontal="right" vertical="top"/>
    </xf>
    <xf numFmtId="167" fontId="36" fillId="0" borderId="0" xfId="1" applyFont="1">
      <alignment vertical="top"/>
    </xf>
    <xf numFmtId="167" fontId="36" fillId="5" borderId="0" xfId="1" applyFont="1" applyFill="1">
      <alignment vertical="top"/>
    </xf>
    <xf numFmtId="171" fontId="9" fillId="0" borderId="0" xfId="4" applyFont="1" applyFill="1" applyBorder="1">
      <alignment vertical="top"/>
    </xf>
    <xf numFmtId="171" fontId="5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30" fillId="0" borderId="0" xfId="1" applyFont="1" applyFill="1" applyBorder="1">
      <alignment vertical="top"/>
    </xf>
    <xf numFmtId="193" fontId="5" fillId="0" borderId="0" xfId="5" applyFont="1">
      <alignment vertical="top"/>
    </xf>
    <xf numFmtId="193" fontId="0" fillId="0" borderId="0" xfId="5" applyFont="1">
      <alignment vertical="top"/>
    </xf>
    <xf numFmtId="170" fontId="9" fillId="0" borderId="0" xfId="1" applyNumberFormat="1" applyFont="1" applyFill="1">
      <alignment vertical="top"/>
    </xf>
    <xf numFmtId="170" fontId="8" fillId="0" borderId="0" xfId="1" applyNumberFormat="1" applyFont="1" applyFill="1">
      <alignment vertical="top"/>
    </xf>
    <xf numFmtId="170" fontId="5" fillId="0" borderId="0" xfId="1" applyNumberFormat="1" applyFont="1" applyFill="1" applyAlignment="1">
      <alignment horizontal="right" vertical="top"/>
    </xf>
    <xf numFmtId="170" fontId="5" fillId="0" borderId="0" xfId="1" applyNumberFormat="1" applyFont="1">
      <alignment vertical="top"/>
    </xf>
    <xf numFmtId="169" fontId="30" fillId="0" borderId="0" xfId="1" applyNumberFormat="1" applyFont="1" applyFill="1">
      <alignment vertical="top"/>
    </xf>
    <xf numFmtId="167" fontId="0" fillId="6" borderId="5" xfId="1" applyFont="1" applyFill="1" applyBorder="1">
      <alignment vertical="top"/>
    </xf>
    <xf numFmtId="167" fontId="37" fillId="0" borderId="0" xfId="1" applyFont="1" applyFill="1">
      <alignment vertical="top"/>
    </xf>
    <xf numFmtId="174" fontId="28" fillId="0" borderId="0" xfId="3" applyFont="1" applyFill="1" applyBorder="1">
      <alignment vertical="top"/>
    </xf>
    <xf numFmtId="174" fontId="29" fillId="0" borderId="0" xfId="3" applyFont="1" applyFill="1" applyBorder="1">
      <alignment vertical="top"/>
    </xf>
    <xf numFmtId="174" fontId="30" fillId="0" borderId="0" xfId="3" applyFont="1" applyFill="1" applyBorder="1" applyAlignment="1">
      <alignment horizontal="right" vertical="top"/>
    </xf>
    <xf numFmtId="174" fontId="28" fillId="0" borderId="0" xfId="3" applyFont="1" applyFill="1">
      <alignment vertical="top"/>
    </xf>
    <xf numFmtId="167" fontId="5" fillId="6" borderId="2" xfId="1" applyFont="1" applyFill="1" applyBorder="1">
      <alignment vertical="top"/>
    </xf>
    <xf numFmtId="193" fontId="25" fillId="0" borderId="0" xfId="5" applyFont="1">
      <alignment vertical="top"/>
    </xf>
    <xf numFmtId="193" fontId="8" fillId="0" borderId="0" xfId="5" applyFont="1" applyBorder="1">
      <alignment vertical="top"/>
    </xf>
    <xf numFmtId="167" fontId="25" fillId="0" borderId="0" xfId="0" applyFont="1">
      <alignment vertical="top"/>
    </xf>
    <xf numFmtId="167" fontId="8" fillId="0" borderId="0" xfId="0" applyFont="1" applyBorder="1">
      <alignment vertical="top"/>
    </xf>
    <xf numFmtId="173" fontId="19" fillId="0" borderId="0" xfId="2" applyFont="1">
      <alignment vertical="top"/>
    </xf>
    <xf numFmtId="170" fontId="0" fillId="0" borderId="0" xfId="1" applyNumberFormat="1" applyFont="1">
      <alignment vertical="top"/>
    </xf>
    <xf numFmtId="170" fontId="5" fillId="0" borderId="5" xfId="0" applyNumberFormat="1" applyFont="1" applyFill="1" applyBorder="1">
      <alignment vertical="top"/>
    </xf>
    <xf numFmtId="170" fontId="33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7" fillId="5" borderId="0" xfId="0" applyNumberFormat="1" applyFont="1" applyFill="1">
      <alignment vertical="top"/>
    </xf>
    <xf numFmtId="170" fontId="7" fillId="6" borderId="5" xfId="9" applyNumberFormat="1" applyFont="1" applyFill="1" applyBorder="1">
      <alignment vertical="top"/>
    </xf>
    <xf numFmtId="167" fontId="7" fillId="6" borderId="5" xfId="9" applyNumberFormat="1" applyFont="1" applyFill="1" applyBorder="1">
      <alignment vertical="top"/>
    </xf>
    <xf numFmtId="167" fontId="12" fillId="6" borderId="5" xfId="1" applyFont="1" applyFill="1" applyBorder="1" applyAlignment="1">
      <alignment horizontal="center" vertical="top"/>
    </xf>
    <xf numFmtId="167" fontId="7" fillId="0" borderId="6" xfId="1" applyFont="1" applyFill="1" applyBorder="1" applyAlignment="1">
      <alignment horizontal="center" vertical="top"/>
    </xf>
    <xf numFmtId="169" fontId="30" fillId="0" borderId="0" xfId="1" applyNumberFormat="1" applyFont="1">
      <alignment vertical="top"/>
    </xf>
    <xf numFmtId="193" fontId="28" fillId="0" borderId="0" xfId="5" applyFont="1" applyFill="1" applyBorder="1">
      <alignment vertical="top"/>
    </xf>
    <xf numFmtId="193" fontId="29" fillId="0" borderId="0" xfId="5" applyFont="1" applyFill="1" applyBorder="1">
      <alignment vertical="top"/>
    </xf>
    <xf numFmtId="193" fontId="30" fillId="0" borderId="0" xfId="5" applyFont="1" applyFill="1" applyBorder="1">
      <alignment vertical="top"/>
    </xf>
    <xf numFmtId="193" fontId="30" fillId="0" borderId="0" xfId="5" applyFont="1">
      <alignment vertical="top"/>
    </xf>
    <xf numFmtId="193" fontId="30" fillId="0" borderId="0" xfId="5" applyFont="1" applyFill="1">
      <alignment vertical="top"/>
    </xf>
    <xf numFmtId="193" fontId="19" fillId="0" borderId="0" xfId="5" applyFont="1" applyFill="1" applyBorder="1">
      <alignment vertical="top"/>
    </xf>
    <xf numFmtId="167" fontId="30" fillId="0" borderId="0" xfId="10" applyNumberFormat="1" applyFont="1" applyFill="1" applyBorder="1">
      <alignment vertical="top"/>
    </xf>
    <xf numFmtId="169" fontId="30" fillId="0" borderId="0" xfId="10" applyFont="1" applyFill="1" applyBorder="1">
      <alignment vertical="top"/>
    </xf>
    <xf numFmtId="167" fontId="30" fillId="5" borderId="0" xfId="0" applyFont="1" applyFill="1">
      <alignment vertical="top"/>
    </xf>
    <xf numFmtId="169" fontId="30" fillId="4" borderId="0" xfId="10" applyFont="1" applyFill="1" applyBorder="1">
      <alignment vertical="top"/>
    </xf>
    <xf numFmtId="172" fontId="30" fillId="5" borderId="0" xfId="9" applyFont="1" applyFill="1">
      <alignment vertical="top"/>
    </xf>
    <xf numFmtId="167" fontId="30" fillId="0" borderId="4" xfId="10" applyNumberFormat="1" applyFont="1" applyFill="1" applyBorder="1">
      <alignment vertical="top"/>
    </xf>
    <xf numFmtId="169" fontId="30" fillId="0" borderId="4" xfId="10" applyFont="1" applyFill="1" applyBorder="1">
      <alignment vertical="top"/>
    </xf>
    <xf numFmtId="167" fontId="30" fillId="0" borderId="4" xfId="0" applyFont="1" applyFill="1" applyBorder="1">
      <alignment vertical="top"/>
    </xf>
    <xf numFmtId="193" fontId="30" fillId="0" borderId="4" xfId="5" applyFont="1" applyFill="1" applyBorder="1">
      <alignment vertical="top"/>
    </xf>
    <xf numFmtId="167" fontId="30" fillId="5" borderId="4" xfId="1" applyFont="1" applyFill="1" applyBorder="1">
      <alignment vertical="top"/>
    </xf>
    <xf numFmtId="169" fontId="30" fillId="4" borderId="4" xfId="10" applyFont="1" applyFill="1" applyBorder="1">
      <alignment vertical="top"/>
    </xf>
    <xf numFmtId="167" fontId="30" fillId="5" borderId="4" xfId="0" applyFont="1" applyFill="1" applyBorder="1">
      <alignment vertical="top"/>
    </xf>
    <xf numFmtId="167" fontId="30" fillId="5" borderId="0" xfId="1" applyFont="1" applyFill="1">
      <alignment vertical="top"/>
    </xf>
    <xf numFmtId="167" fontId="30" fillId="5" borderId="0" xfId="1" applyFont="1" applyFill="1" applyBorder="1">
      <alignment vertical="top"/>
    </xf>
    <xf numFmtId="169" fontId="30" fillId="0" borderId="0" xfId="10" applyFont="1" applyFill="1">
      <alignment vertical="top"/>
    </xf>
    <xf numFmtId="167" fontId="30" fillId="0" borderId="0" xfId="0" applyFont="1" applyBorder="1">
      <alignment vertical="top"/>
    </xf>
    <xf numFmtId="193" fontId="30" fillId="0" borderId="0" xfId="5" applyFont="1" applyBorder="1">
      <alignment vertical="top"/>
    </xf>
    <xf numFmtId="169" fontId="30" fillId="0" borderId="0" xfId="10" applyFont="1" applyFill="1" applyAlignment="1">
      <alignment horizontal="right" vertical="top"/>
    </xf>
    <xf numFmtId="169" fontId="30" fillId="7" borderId="0" xfId="10" applyFont="1" applyFill="1">
      <alignment vertical="top"/>
    </xf>
    <xf numFmtId="169" fontId="30" fillId="0" borderId="0" xfId="10" applyFont="1" applyAlignment="1">
      <alignment horizontal="right" vertical="top"/>
    </xf>
    <xf numFmtId="175" fontId="30" fillId="0" borderId="0" xfId="3" applyNumberFormat="1" applyFont="1">
      <alignment vertical="top"/>
    </xf>
    <xf numFmtId="175" fontId="30" fillId="0" borderId="5" xfId="3" applyNumberFormat="1" applyFont="1" applyFill="1" applyBorder="1" applyAlignment="1">
      <alignment horizontal="right" vertical="top"/>
    </xf>
    <xf numFmtId="175" fontId="30" fillId="4" borderId="0" xfId="3" applyNumberFormat="1" applyFont="1" applyFill="1">
      <alignment vertical="top"/>
    </xf>
    <xf numFmtId="169" fontId="30" fillId="0" borderId="0" xfId="10" applyFont="1">
      <alignment vertical="top"/>
    </xf>
    <xf numFmtId="169" fontId="30" fillId="0" borderId="5" xfId="10" applyFont="1" applyFill="1" applyBorder="1" applyAlignment="1">
      <alignment horizontal="right" vertical="top"/>
    </xf>
    <xf numFmtId="169" fontId="30" fillId="4" borderId="0" xfId="10" applyFont="1" applyFill="1">
      <alignment vertical="top"/>
    </xf>
    <xf numFmtId="169" fontId="28" fillId="0" borderId="0" xfId="10" applyFont="1" applyFill="1">
      <alignment vertical="top"/>
    </xf>
    <xf numFmtId="169" fontId="28" fillId="5" borderId="0" xfId="10" applyFont="1" applyFill="1">
      <alignment vertical="top"/>
    </xf>
    <xf numFmtId="167" fontId="30" fillId="5" borderId="0" xfId="10" applyNumberFormat="1" applyFont="1" applyFill="1" applyAlignment="1">
      <alignment horizontal="right"/>
    </xf>
    <xf numFmtId="167" fontId="30" fillId="5" borderId="0" xfId="10" applyNumberFormat="1" applyFont="1" applyFill="1" applyAlignment="1">
      <alignment horizontal="left"/>
    </xf>
    <xf numFmtId="169" fontId="30" fillId="5" borderId="0" xfId="10" applyFont="1" applyFill="1">
      <alignment vertical="top"/>
    </xf>
    <xf numFmtId="193" fontId="30" fillId="5" borderId="0" xfId="5" applyFont="1" applyFill="1">
      <alignment vertical="top"/>
    </xf>
    <xf numFmtId="167" fontId="30" fillId="5" borderId="0" xfId="10" applyNumberFormat="1" applyFont="1" applyFill="1">
      <alignment vertical="top"/>
    </xf>
    <xf numFmtId="167" fontId="40" fillId="0" borderId="0" xfId="0" applyFont="1" applyBorder="1">
      <alignment vertical="top"/>
    </xf>
    <xf numFmtId="167" fontId="42" fillId="0" borderId="0" xfId="0" applyFont="1" applyBorder="1">
      <alignment vertical="top"/>
    </xf>
    <xf numFmtId="167" fontId="41" fillId="0" borderId="0" xfId="0" applyFont="1" applyFill="1">
      <alignment vertical="top"/>
    </xf>
    <xf numFmtId="167" fontId="41" fillId="5" borderId="0" xfId="0" applyFont="1" applyFill="1">
      <alignment vertical="top"/>
    </xf>
    <xf numFmtId="179" fontId="43" fillId="0" borderId="0" xfId="0" applyNumberFormat="1" applyFont="1" applyAlignment="1">
      <alignment horizontal="center" vertical="center"/>
    </xf>
    <xf numFmtId="167" fontId="41" fillId="0" borderId="0" xfId="0" applyFont="1">
      <alignment vertical="top"/>
    </xf>
    <xf numFmtId="179" fontId="43" fillId="0" borderId="4" xfId="0" applyNumberFormat="1" applyFont="1" applyBorder="1" applyAlignment="1">
      <alignment horizontal="center" vertical="center"/>
    </xf>
    <xf numFmtId="179" fontId="43" fillId="0" borderId="0" xfId="0" applyNumberFormat="1" applyFont="1" applyBorder="1" applyAlignment="1">
      <alignment horizontal="center" vertical="center"/>
    </xf>
    <xf numFmtId="167" fontId="41" fillId="0" borderId="0" xfId="0" applyFont="1" applyBorder="1">
      <alignment vertical="top"/>
    </xf>
    <xf numFmtId="167" fontId="30" fillId="0" borderId="4" xfId="0" applyFont="1" applyBorder="1">
      <alignment vertical="top"/>
    </xf>
    <xf numFmtId="169" fontId="30" fillId="0" borderId="0" xfId="10" applyFont="1" applyFill="1" applyBorder="1" applyAlignment="1">
      <alignment horizontal="right" vertical="top"/>
    </xf>
    <xf numFmtId="167" fontId="28" fillId="0" borderId="0" xfId="10" applyNumberFormat="1" applyFont="1" applyFill="1" applyBorder="1">
      <alignment vertical="top"/>
    </xf>
    <xf numFmtId="167" fontId="30" fillId="0" borderId="0" xfId="10" applyNumberFormat="1" applyFont="1" applyFill="1" applyBorder="1" applyAlignment="1">
      <alignment horizontal="right" vertical="top"/>
    </xf>
    <xf numFmtId="169" fontId="28" fillId="0" borderId="0" xfId="10" applyFont="1" applyFill="1" applyBorder="1">
      <alignment vertical="top"/>
    </xf>
    <xf numFmtId="169" fontId="29" fillId="0" borderId="0" xfId="10" applyFont="1" applyFill="1" applyBorder="1">
      <alignment vertical="top"/>
    </xf>
    <xf numFmtId="169" fontId="30" fillId="0" borderId="0" xfId="10" applyFont="1" applyBorder="1">
      <alignment vertical="top"/>
    </xf>
    <xf numFmtId="167" fontId="29" fillId="0" borderId="0" xfId="10" applyNumberFormat="1" applyFont="1" applyFill="1" applyBorder="1">
      <alignment vertical="top"/>
    </xf>
    <xf numFmtId="180" fontId="9" fillId="0" borderId="0" xfId="1" applyNumberFormat="1" applyFont="1" applyFill="1">
      <alignment vertical="top"/>
    </xf>
    <xf numFmtId="180" fontId="8" fillId="0" borderId="0" xfId="1" applyNumberFormat="1" applyFont="1" applyFill="1">
      <alignment vertical="top"/>
    </xf>
    <xf numFmtId="180" fontId="5" fillId="0" borderId="0" xfId="1" applyNumberFormat="1" applyFont="1" applyFill="1" applyAlignment="1">
      <alignment horizontal="right" vertical="top"/>
    </xf>
    <xf numFmtId="172" fontId="5" fillId="0" borderId="0" xfId="9" applyFont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9" fillId="0" borderId="0" xfId="9" applyFont="1" applyAlignment="1">
      <alignment horizontal="center" vertical="top"/>
    </xf>
    <xf numFmtId="172" fontId="32" fillId="0" borderId="5" xfId="9" applyFont="1" applyFill="1" applyBorder="1" applyAlignment="1">
      <alignment horizontal="center" vertical="top"/>
    </xf>
    <xf numFmtId="172" fontId="7" fillId="0" borderId="0" xfId="9" applyFont="1" applyAlignment="1">
      <alignment horizontal="center" vertical="top"/>
    </xf>
    <xf numFmtId="172" fontId="9" fillId="0" borderId="0" xfId="9" applyFont="1" applyBorder="1" applyAlignment="1">
      <alignment horizontal="center" vertical="top"/>
    </xf>
    <xf numFmtId="172" fontId="39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33" fillId="0" borderId="0" xfId="9" applyFont="1" applyFill="1" applyBorder="1" applyAlignment="1">
      <alignment horizontal="center" vertical="top"/>
    </xf>
    <xf numFmtId="172" fontId="5" fillId="5" borderId="0" xfId="9" applyFont="1" applyFill="1" applyAlignment="1">
      <alignment horizontal="center" vertical="top"/>
    </xf>
    <xf numFmtId="172" fontId="5" fillId="0" borderId="0" xfId="9" applyFont="1" applyFill="1" applyAlignment="1">
      <alignment horizontal="center" vertical="top"/>
    </xf>
    <xf numFmtId="167" fontId="7" fillId="0" borderId="0" xfId="0" applyFont="1" applyFill="1">
      <alignment vertical="top"/>
    </xf>
    <xf numFmtId="167" fontId="7" fillId="0" borderId="4" xfId="0" applyFont="1" applyFill="1" applyBorder="1">
      <alignment vertical="top"/>
    </xf>
    <xf numFmtId="172" fontId="19" fillId="0" borderId="0" xfId="1" applyNumberFormat="1" applyFont="1" applyFill="1">
      <alignment vertical="top"/>
    </xf>
    <xf numFmtId="172" fontId="28" fillId="0" borderId="0" xfId="9" applyFont="1" applyFill="1">
      <alignment vertical="top"/>
    </xf>
    <xf numFmtId="172" fontId="29" fillId="0" borderId="0" xfId="9" applyFont="1" applyFill="1">
      <alignment vertical="top"/>
    </xf>
    <xf numFmtId="172" fontId="30" fillId="0" borderId="0" xfId="9" applyFont="1" applyFill="1">
      <alignment vertical="top"/>
    </xf>
    <xf numFmtId="172" fontId="30" fillId="0" borderId="5" xfId="9" applyFont="1" applyFill="1" applyBorder="1">
      <alignment vertical="top"/>
    </xf>
    <xf numFmtId="172" fontId="30" fillId="0" borderId="0" xfId="9" applyFont="1">
      <alignment vertical="top"/>
    </xf>
    <xf numFmtId="172" fontId="30" fillId="6" borderId="5" xfId="9" applyFont="1" applyFill="1" applyBorder="1">
      <alignment vertical="top"/>
    </xf>
    <xf numFmtId="169" fontId="19" fillId="0" borderId="0" xfId="1" applyNumberFormat="1" applyFont="1" applyFill="1" applyBorder="1">
      <alignment vertical="top"/>
    </xf>
    <xf numFmtId="167" fontId="21" fillId="0" borderId="3" xfId="1" applyFont="1" applyFill="1" applyBorder="1">
      <alignment vertical="top"/>
    </xf>
    <xf numFmtId="167" fontId="22" fillId="0" borderId="3" xfId="1" applyFont="1" applyFill="1" applyBorder="1">
      <alignment vertical="top"/>
    </xf>
    <xf numFmtId="167" fontId="23" fillId="0" borderId="3" xfId="1" applyFont="1" applyFill="1" applyBorder="1" applyAlignment="1">
      <alignment horizontal="right" vertical="top"/>
    </xf>
    <xf numFmtId="167" fontId="23" fillId="0" borderId="3" xfId="1" applyFont="1" applyBorder="1">
      <alignment vertical="top"/>
    </xf>
    <xf numFmtId="167" fontId="23" fillId="0" borderId="3" xfId="1" applyFont="1" applyFill="1" applyBorder="1">
      <alignment vertical="top"/>
    </xf>
    <xf numFmtId="169" fontId="19" fillId="0" borderId="0" xfId="1" applyNumberFormat="1" applyFont="1" applyFill="1">
      <alignment vertical="top"/>
    </xf>
    <xf numFmtId="167" fontId="21" fillId="0" borderId="0" xfId="0" applyFont="1">
      <alignment vertical="top"/>
    </xf>
    <xf numFmtId="180" fontId="5" fillId="0" borderId="0" xfId="0" applyNumberFormat="1" applyFont="1" applyFill="1" applyBorder="1">
      <alignment vertical="top"/>
    </xf>
    <xf numFmtId="180" fontId="0" fillId="0" borderId="0" xfId="1" applyNumberFormat="1" applyFont="1" applyFill="1">
      <alignment vertical="top"/>
    </xf>
    <xf numFmtId="172" fontId="39" fillId="0" borderId="0" xfId="9" applyFont="1" applyFill="1" applyAlignment="1">
      <alignment horizontal="center" vertical="top"/>
    </xf>
    <xf numFmtId="167" fontId="23" fillId="0" borderId="0" xfId="1" applyFont="1" applyFill="1" applyBorder="1">
      <alignment vertical="top"/>
    </xf>
    <xf numFmtId="169" fontId="23" fillId="0" borderId="0" xfId="1" applyNumberFormat="1" applyFont="1" applyBorder="1">
      <alignment vertical="top"/>
    </xf>
    <xf numFmtId="167" fontId="30" fillId="0" borderId="0" xfId="5" applyNumberFormat="1" applyFont="1" applyFill="1">
      <alignment vertical="top"/>
    </xf>
    <xf numFmtId="170" fontId="39" fillId="0" borderId="0" xfId="9" applyNumberFormat="1" applyFont="1" applyAlignment="1">
      <alignment horizontal="center" vertical="top"/>
    </xf>
    <xf numFmtId="167" fontId="28" fillId="0" borderId="0" xfId="0" applyFont="1" applyFill="1">
      <alignment vertical="top"/>
    </xf>
    <xf numFmtId="167" fontId="29" fillId="0" borderId="0" xfId="0" applyFont="1" applyFill="1">
      <alignment vertical="top"/>
    </xf>
    <xf numFmtId="167" fontId="30" fillId="0" borderId="5" xfId="0" applyFont="1" applyFill="1" applyBorder="1">
      <alignment vertical="top"/>
    </xf>
    <xf numFmtId="167" fontId="30" fillId="6" borderId="5" xfId="0" applyFont="1" applyFill="1" applyBorder="1">
      <alignment vertical="top"/>
    </xf>
    <xf numFmtId="172" fontId="30" fillId="0" borderId="0" xfId="9" applyFont="1" applyAlignment="1">
      <alignment horizontal="center" vertical="top"/>
    </xf>
    <xf numFmtId="171" fontId="8" fillId="0" borderId="0" xfId="4" applyFont="1" applyFill="1" applyBorder="1">
      <alignment vertical="top"/>
    </xf>
    <xf numFmtId="171" fontId="23" fillId="0" borderId="0" xfId="4" applyFont="1">
      <alignment vertical="top"/>
    </xf>
    <xf numFmtId="171" fontId="28" fillId="0" borderId="0" xfId="4" applyFont="1" applyFill="1" applyBorder="1">
      <alignment vertical="top"/>
    </xf>
    <xf numFmtId="171" fontId="30" fillId="0" borderId="0" xfId="4" applyFont="1" applyFill="1" applyBorder="1">
      <alignment vertical="top"/>
    </xf>
    <xf numFmtId="167" fontId="30" fillId="0" borderId="0" xfId="4" applyNumberFormat="1" applyFont="1" applyFill="1">
      <alignment vertical="top"/>
    </xf>
    <xf numFmtId="171" fontId="30" fillId="0" borderId="0" xfId="4" applyFont="1">
      <alignment vertical="top"/>
    </xf>
    <xf numFmtId="171" fontId="30" fillId="0" borderId="0" xfId="4" applyFont="1" applyFill="1">
      <alignment vertical="top"/>
    </xf>
    <xf numFmtId="171" fontId="30" fillId="5" borderId="0" xfId="4" applyFont="1" applyFill="1">
      <alignment vertical="top"/>
    </xf>
    <xf numFmtId="171" fontId="30" fillId="4" borderId="0" xfId="4" applyFont="1" applyFill="1">
      <alignment vertical="top"/>
    </xf>
    <xf numFmtId="167" fontId="5" fillId="3" borderId="0" xfId="1" applyFont="1" applyFill="1">
      <alignment vertical="top"/>
    </xf>
    <xf numFmtId="167" fontId="44" fillId="0" borderId="0" xfId="1" applyFont="1" applyFill="1" applyBorder="1">
      <alignment vertical="top"/>
    </xf>
    <xf numFmtId="167" fontId="45" fillId="0" borderId="0" xfId="1" applyFont="1" applyFill="1" applyBorder="1">
      <alignment vertical="top"/>
    </xf>
    <xf numFmtId="167" fontId="46" fillId="0" borderId="0" xfId="1" applyFont="1" applyFill="1" applyBorder="1" applyAlignment="1">
      <alignment horizontal="right" vertical="top"/>
    </xf>
    <xf numFmtId="167" fontId="46" fillId="0" borderId="0" xfId="1" applyFont="1">
      <alignment vertical="top"/>
    </xf>
    <xf numFmtId="167" fontId="46" fillId="0" borderId="0" xfId="1" applyFont="1" applyFill="1">
      <alignment vertical="top"/>
    </xf>
    <xf numFmtId="172" fontId="30" fillId="0" borderId="4" xfId="9" applyFont="1" applyFill="1" applyBorder="1">
      <alignment vertical="top"/>
    </xf>
    <xf numFmtId="167" fontId="39" fillId="0" borderId="0" xfId="9" applyNumberFormat="1" applyFont="1" applyAlignment="1">
      <alignment horizontal="center" vertical="top"/>
    </xf>
    <xf numFmtId="171" fontId="39" fillId="0" borderId="0" xfId="9" applyNumberFormat="1" applyFont="1" applyAlignment="1">
      <alignment horizontal="center" vertical="top"/>
    </xf>
    <xf numFmtId="167" fontId="7" fillId="6" borderId="0" xfId="9" applyNumberFormat="1" applyFont="1" applyFill="1" applyBorder="1">
      <alignment vertical="top"/>
    </xf>
    <xf numFmtId="167" fontId="28" fillId="0" borderId="0" xfId="0" applyFont="1" applyFill="1" applyBorder="1">
      <alignment vertical="top"/>
    </xf>
    <xf numFmtId="167" fontId="29" fillId="0" borderId="0" xfId="0" applyFont="1" applyFill="1" applyBorder="1">
      <alignment vertical="top"/>
    </xf>
    <xf numFmtId="167" fontId="28" fillId="0" borderId="0" xfId="0" applyFont="1">
      <alignment vertical="top"/>
    </xf>
    <xf numFmtId="168" fontId="7" fillId="5" borderId="0" xfId="0" applyNumberFormat="1" applyFont="1" applyFill="1">
      <alignment vertical="top"/>
    </xf>
    <xf numFmtId="168" fontId="7" fillId="6" borderId="5" xfId="9" applyNumberFormat="1" applyFont="1" applyFill="1" applyBorder="1">
      <alignment vertical="top"/>
    </xf>
    <xf numFmtId="169" fontId="9" fillId="0" borderId="0" xfId="1" applyNumberFormat="1" applyFont="1" applyFill="1">
      <alignment vertical="top"/>
    </xf>
    <xf numFmtId="169" fontId="8" fillId="0" borderId="0" xfId="1" applyNumberFormat="1" applyFont="1" applyFill="1">
      <alignment vertical="top"/>
    </xf>
    <xf numFmtId="169" fontId="5" fillId="0" borderId="0" xfId="1" applyNumberFormat="1" applyFont="1" applyFill="1" applyAlignment="1">
      <alignment horizontal="right" vertical="top"/>
    </xf>
    <xf numFmtId="169" fontId="39" fillId="0" borderId="0" xfId="9" applyNumberFormat="1" applyFont="1" applyAlignment="1">
      <alignment horizontal="center" vertical="top"/>
    </xf>
    <xf numFmtId="169" fontId="0" fillId="6" borderId="5" xfId="1" applyNumberFormat="1" applyFont="1" applyFill="1" applyBorder="1">
      <alignment vertical="top"/>
    </xf>
    <xf numFmtId="169" fontId="7" fillId="6" borderId="5" xfId="9" applyNumberFormat="1" applyFont="1" applyFill="1" applyBorder="1">
      <alignment vertical="top"/>
    </xf>
    <xf numFmtId="169" fontId="30" fillId="0" borderId="0" xfId="1" applyNumberFormat="1" applyFont="1" applyFill="1" applyBorder="1">
      <alignment vertical="top"/>
    </xf>
    <xf numFmtId="167" fontId="5" fillId="0" borderId="4" xfId="0" applyFont="1" applyBorder="1">
      <alignment vertical="top"/>
    </xf>
    <xf numFmtId="174" fontId="30" fillId="0" borderId="0" xfId="3" applyFont="1" applyFill="1">
      <alignment vertical="top"/>
    </xf>
    <xf numFmtId="167" fontId="30" fillId="0" borderId="0" xfId="0" applyFont="1" applyFill="1" applyBorder="1" applyAlignment="1">
      <alignment horizontal="right" vertical="top"/>
    </xf>
    <xf numFmtId="174" fontId="38" fillId="0" borderId="0" xfId="3" applyFont="1" applyFill="1">
      <alignment vertical="top"/>
    </xf>
    <xf numFmtId="167" fontId="38" fillId="0" borderId="0" xfId="0" applyFont="1" applyFill="1">
      <alignment vertical="top"/>
    </xf>
    <xf numFmtId="172" fontId="30" fillId="0" borderId="0" xfId="1" applyNumberFormat="1" applyFont="1" applyFill="1">
      <alignment vertical="top"/>
    </xf>
    <xf numFmtId="167" fontId="28" fillId="0" borderId="1" xfId="0" applyFont="1" applyFill="1" applyBorder="1" applyAlignment="1">
      <alignment horizontal="right" vertical="top"/>
    </xf>
    <xf numFmtId="167" fontId="28" fillId="0" borderId="1" xfId="0" applyFont="1" applyFill="1" applyBorder="1">
      <alignment vertical="top"/>
    </xf>
    <xf numFmtId="193" fontId="30" fillId="7" borderId="0" xfId="5" applyFont="1" applyFill="1">
      <alignment vertical="top"/>
    </xf>
    <xf numFmtId="193" fontId="19" fillId="0" borderId="0" xfId="5" applyFont="1">
      <alignment vertical="top"/>
    </xf>
    <xf numFmtId="193" fontId="17" fillId="0" borderId="0" xfId="5" applyFont="1" applyFill="1" applyBorder="1">
      <alignment vertical="top"/>
    </xf>
    <xf numFmtId="193" fontId="18" fillId="0" borderId="0" xfId="5" applyFont="1" applyFill="1" applyBorder="1">
      <alignment vertical="top"/>
    </xf>
    <xf numFmtId="193" fontId="19" fillId="0" borderId="0" xfId="5" applyFont="1" applyFill="1">
      <alignment vertical="top"/>
    </xf>
    <xf numFmtId="181" fontId="19" fillId="0" borderId="0" xfId="1" applyNumberFormat="1" applyFont="1" applyFill="1" applyBorder="1">
      <alignment vertical="top"/>
    </xf>
    <xf numFmtId="171" fontId="5" fillId="0" borderId="0" xfId="4" applyFont="1" applyFill="1">
      <alignment vertical="top"/>
    </xf>
    <xf numFmtId="167" fontId="21" fillId="0" borderId="0" xfId="1" applyFont="1" applyFill="1">
      <alignment vertical="top"/>
    </xf>
    <xf numFmtId="167" fontId="22" fillId="0" borderId="0" xfId="1" applyFont="1" applyFill="1">
      <alignment vertical="top"/>
    </xf>
    <xf numFmtId="167" fontId="23" fillId="0" borderId="0" xfId="1" applyFont="1" applyFill="1" applyAlignment="1">
      <alignment horizontal="right" vertical="top"/>
    </xf>
    <xf numFmtId="171" fontId="23" fillId="0" borderId="0" xfId="1" applyNumberFormat="1" applyFont="1">
      <alignment vertical="top"/>
    </xf>
    <xf numFmtId="171" fontId="23" fillId="5" borderId="0" xfId="0" applyNumberFormat="1" applyFont="1" applyFill="1">
      <alignment vertical="top"/>
    </xf>
    <xf numFmtId="171" fontId="19" fillId="0" borderId="0" xfId="4" applyFont="1">
      <alignment vertical="top"/>
    </xf>
    <xf numFmtId="171" fontId="30" fillId="0" borderId="5" xfId="0" applyNumberFormat="1" applyFont="1" applyFill="1" applyBorder="1">
      <alignment vertical="top"/>
    </xf>
    <xf numFmtId="171" fontId="30" fillId="0" borderId="0" xfId="1" applyNumberFormat="1" applyFont="1">
      <alignment vertical="top"/>
    </xf>
    <xf numFmtId="171" fontId="30" fillId="6" borderId="5" xfId="1" applyNumberFormat="1" applyFont="1" applyFill="1" applyBorder="1">
      <alignment vertical="top"/>
    </xf>
    <xf numFmtId="171" fontId="30" fillId="5" borderId="0" xfId="0" applyNumberFormat="1" applyFont="1" applyFill="1">
      <alignment vertical="top"/>
    </xf>
    <xf numFmtId="183" fontId="30" fillId="6" borderId="5" xfId="5" applyNumberFormat="1" applyFont="1" applyFill="1" applyBorder="1">
      <alignment vertical="top"/>
    </xf>
    <xf numFmtId="170" fontId="30" fillId="0" borderId="0" xfId="1" applyNumberFormat="1" applyFont="1">
      <alignment vertical="top"/>
    </xf>
    <xf numFmtId="174" fontId="5" fillId="0" borderId="0" xfId="3" applyFont="1">
      <alignment vertical="top"/>
    </xf>
    <xf numFmtId="169" fontId="5" fillId="0" borderId="0" xfId="3" applyNumberFormat="1" applyFont="1">
      <alignment vertical="top"/>
    </xf>
    <xf numFmtId="169" fontId="5" fillId="2" borderId="0" xfId="1" applyNumberFormat="1" applyFont="1" applyFill="1" applyAlignment="1">
      <alignment horizontal="right" vertical="top"/>
    </xf>
    <xf numFmtId="174" fontId="5" fillId="5" borderId="0" xfId="3" applyFont="1" applyFill="1" applyBorder="1">
      <alignment vertical="top"/>
    </xf>
    <xf numFmtId="174" fontId="23" fillId="5" borderId="0" xfId="3" applyFont="1" applyFill="1">
      <alignment vertical="top"/>
    </xf>
    <xf numFmtId="171" fontId="17" fillId="0" borderId="0" xfId="4" applyFont="1" applyFill="1" applyBorder="1">
      <alignment vertical="top"/>
    </xf>
    <xf numFmtId="171" fontId="18" fillId="0" borderId="0" xfId="4" applyFont="1" applyFill="1" applyBorder="1">
      <alignment vertical="top"/>
    </xf>
    <xf numFmtId="171" fontId="19" fillId="0" borderId="0" xfId="4" applyFont="1" applyFill="1" applyBorder="1">
      <alignment vertical="top"/>
    </xf>
    <xf numFmtId="171" fontId="19" fillId="0" borderId="0" xfId="4" applyFont="1" applyFill="1">
      <alignment vertical="top"/>
    </xf>
    <xf numFmtId="174" fontId="30" fillId="0" borderId="0" xfId="3" applyFont="1" applyFill="1" applyBorder="1">
      <alignment vertical="top"/>
    </xf>
    <xf numFmtId="167" fontId="30" fillId="8" borderId="0" xfId="0" applyFont="1" applyFill="1" applyBorder="1" applyAlignment="1">
      <alignment horizontal="right" vertical="top"/>
    </xf>
    <xf numFmtId="174" fontId="38" fillId="0" borderId="0" xfId="3" applyFont="1">
      <alignment vertical="top"/>
    </xf>
    <xf numFmtId="167" fontId="21" fillId="0" borderId="0" xfId="0" applyFont="1" applyFill="1" applyBorder="1" applyAlignment="1">
      <alignment horizontal="right" vertical="top"/>
    </xf>
    <xf numFmtId="167" fontId="22" fillId="0" borderId="0" xfId="0" applyFont="1" applyFill="1" applyBorder="1" applyAlignment="1">
      <alignment horizontal="right" vertical="top"/>
    </xf>
    <xf numFmtId="167" fontId="23" fillId="0" borderId="0" xfId="0" applyFont="1" applyFill="1" applyBorder="1" applyAlignment="1">
      <alignment horizontal="right" vertical="top"/>
    </xf>
    <xf numFmtId="167" fontId="23" fillId="0" borderId="0" xfId="0" applyFont="1" applyAlignment="1">
      <alignment horizontal="left" vertical="top"/>
    </xf>
    <xf numFmtId="167" fontId="23" fillId="0" borderId="0" xfId="0" applyFont="1" applyFill="1" applyAlignment="1">
      <alignment horizontal="right" vertical="top"/>
    </xf>
    <xf numFmtId="169" fontId="30" fillId="2" borderId="0" xfId="1" applyNumberFormat="1" applyFont="1" applyFill="1" applyAlignment="1">
      <alignment horizontal="right" vertical="top"/>
    </xf>
    <xf numFmtId="167" fontId="30" fillId="0" borderId="0" xfId="0" applyFont="1" applyAlignment="1">
      <alignment horizontal="left" vertical="top"/>
    </xf>
    <xf numFmtId="167" fontId="38" fillId="0" borderId="0" xfId="0" applyFont="1">
      <alignment vertical="top"/>
    </xf>
    <xf numFmtId="172" fontId="30" fillId="0" borderId="0" xfId="1" applyNumberFormat="1" applyFont="1">
      <alignment vertical="top"/>
    </xf>
    <xf numFmtId="167" fontId="28" fillId="0" borderId="1" xfId="0" applyFont="1" applyBorder="1" applyAlignment="1">
      <alignment horizontal="right" vertical="top"/>
    </xf>
    <xf numFmtId="167" fontId="28" fillId="0" borderId="1" xfId="0" applyFont="1" applyBorder="1">
      <alignment vertical="top"/>
    </xf>
    <xf numFmtId="167" fontId="5" fillId="0" borderId="4" xfId="1" applyFont="1" applyBorder="1">
      <alignment vertical="top"/>
    </xf>
    <xf numFmtId="193" fontId="30" fillId="6" borderId="5" xfId="5" applyFont="1" applyFill="1" applyBorder="1">
      <alignment vertical="top"/>
    </xf>
    <xf numFmtId="170" fontId="19" fillId="0" borderId="0" xfId="1" applyNumberFormat="1" applyFont="1">
      <alignment vertical="top"/>
    </xf>
    <xf numFmtId="170" fontId="0" fillId="0" borderId="0" xfId="0" applyNumberFormat="1">
      <alignment vertical="top"/>
    </xf>
    <xf numFmtId="167" fontId="0" fillId="0" borderId="0" xfId="0" applyFill="1">
      <alignment vertical="top"/>
    </xf>
    <xf numFmtId="167" fontId="23" fillId="0" borderId="4" xfId="1" applyFont="1" applyBorder="1">
      <alignment vertical="top"/>
    </xf>
    <xf numFmtId="167" fontId="23" fillId="0" borderId="4" xfId="1" applyFont="1" applyFill="1" applyBorder="1">
      <alignment vertical="top"/>
    </xf>
    <xf numFmtId="167" fontId="0" fillId="0" borderId="0" xfId="0" applyBorder="1">
      <alignment vertical="top"/>
    </xf>
    <xf numFmtId="174" fontId="19" fillId="0" borderId="0" xfId="1" applyNumberFormat="1" applyFont="1" applyBorder="1">
      <alignment vertical="top"/>
    </xf>
    <xf numFmtId="167" fontId="5" fillId="0" borderId="0" xfId="0" applyFont="1" applyBorder="1">
      <alignment vertical="top"/>
    </xf>
    <xf numFmtId="167" fontId="19" fillId="0" borderId="0" xfId="1" applyFont="1" applyBorder="1">
      <alignment vertical="top"/>
    </xf>
    <xf numFmtId="167" fontId="0" fillId="0" borderId="2" xfId="0" applyBorder="1">
      <alignment vertical="top"/>
    </xf>
    <xf numFmtId="167" fontId="0" fillId="0" borderId="3" xfId="0" applyBorder="1">
      <alignment vertical="top"/>
    </xf>
    <xf numFmtId="167" fontId="28" fillId="0" borderId="2" xfId="1" applyFont="1" applyFill="1" applyBorder="1">
      <alignment vertical="top"/>
    </xf>
    <xf numFmtId="167" fontId="29" fillId="0" borderId="2" xfId="1" applyFont="1" applyFill="1" applyBorder="1">
      <alignment vertical="top"/>
    </xf>
    <xf numFmtId="167" fontId="30" fillId="0" borderId="2" xfId="1" applyFont="1" applyFill="1" applyBorder="1" applyAlignment="1">
      <alignment horizontal="right" vertical="top"/>
    </xf>
    <xf numFmtId="167" fontId="30" fillId="0" borderId="2" xfId="1" applyFont="1" applyBorder="1">
      <alignment vertical="top"/>
    </xf>
    <xf numFmtId="167" fontId="30" fillId="0" borderId="2" xfId="1" applyFont="1" applyFill="1" applyBorder="1">
      <alignment vertical="top"/>
    </xf>
    <xf numFmtId="167" fontId="30" fillId="0" borderId="2" xfId="0" applyFont="1" applyBorder="1">
      <alignment vertical="top"/>
    </xf>
    <xf numFmtId="167" fontId="30" fillId="0" borderId="0" xfId="1" applyFont="1" applyBorder="1">
      <alignment vertical="top"/>
    </xf>
    <xf numFmtId="174" fontId="30" fillId="0" borderId="0" xfId="1" applyNumberFormat="1" applyFont="1" applyBorder="1">
      <alignment vertical="top"/>
    </xf>
    <xf numFmtId="167" fontId="28" fillId="0" borderId="3" xfId="1" applyFont="1" applyFill="1" applyBorder="1">
      <alignment vertical="top"/>
    </xf>
    <xf numFmtId="167" fontId="29" fillId="0" borderId="3" xfId="1" applyFont="1" applyFill="1" applyBorder="1">
      <alignment vertical="top"/>
    </xf>
    <xf numFmtId="167" fontId="30" fillId="0" borderId="3" xfId="1" applyFont="1" applyFill="1" applyBorder="1" applyAlignment="1">
      <alignment horizontal="right" vertical="top"/>
    </xf>
    <xf numFmtId="167" fontId="30" fillId="0" borderId="3" xfId="1" applyFont="1" applyBorder="1">
      <alignment vertical="top"/>
    </xf>
    <xf numFmtId="167" fontId="30" fillId="0" borderId="3" xfId="1" applyFont="1" applyFill="1" applyBorder="1">
      <alignment vertical="top"/>
    </xf>
    <xf numFmtId="167" fontId="30" fillId="0" borderId="3" xfId="0" applyFont="1" applyBorder="1">
      <alignment vertical="top"/>
    </xf>
    <xf numFmtId="174" fontId="30" fillId="7" borderId="0" xfId="1" applyNumberFormat="1" applyFont="1" applyFill="1" applyBorder="1">
      <alignment vertical="top"/>
    </xf>
    <xf numFmtId="167" fontId="30" fillId="7" borderId="0" xfId="1" applyFont="1" applyFill="1" applyBorder="1">
      <alignment vertical="top"/>
    </xf>
    <xf numFmtId="171" fontId="5" fillId="0" borderId="0" xfId="4" applyFont="1" applyBorder="1">
      <alignment vertical="top"/>
    </xf>
    <xf numFmtId="169" fontId="30" fillId="0" borderId="4" xfId="1" applyNumberFormat="1" applyFont="1" applyFill="1" applyBorder="1">
      <alignment vertical="top"/>
    </xf>
    <xf numFmtId="167" fontId="9" fillId="0" borderId="0" xfId="14" applyFont="1" applyFill="1" applyBorder="1">
      <alignment vertical="top"/>
    </xf>
    <xf numFmtId="167" fontId="8" fillId="0" borderId="0" xfId="14" applyFont="1" applyFill="1" applyBorder="1">
      <alignment vertical="top"/>
    </xf>
    <xf numFmtId="167" fontId="5" fillId="0" borderId="0" xfId="14" applyFont="1" applyFill="1" applyBorder="1" applyAlignment="1">
      <alignment horizontal="right" vertical="top"/>
    </xf>
    <xf numFmtId="167" fontId="5" fillId="0" borderId="0" xfId="14" applyFont="1">
      <alignment vertical="top"/>
    </xf>
    <xf numFmtId="167" fontId="5" fillId="0" borderId="0" xfId="14" applyFont="1" applyFill="1">
      <alignment vertical="top"/>
    </xf>
    <xf numFmtId="167" fontId="21" fillId="0" borderId="0" xfId="14" applyFont="1" applyFill="1" applyBorder="1">
      <alignment vertical="top"/>
    </xf>
    <xf numFmtId="167" fontId="22" fillId="0" borderId="0" xfId="14" applyFont="1" applyFill="1" applyBorder="1">
      <alignment vertical="top"/>
    </xf>
    <xf numFmtId="167" fontId="23" fillId="0" borderId="0" xfId="14" applyFont="1" applyFill="1" applyBorder="1" applyAlignment="1">
      <alignment horizontal="right" vertical="top"/>
    </xf>
    <xf numFmtId="167" fontId="23" fillId="0" borderId="0" xfId="14" applyFont="1">
      <alignment vertical="top"/>
    </xf>
    <xf numFmtId="167" fontId="23" fillId="0" borderId="0" xfId="14" applyFont="1" applyFill="1">
      <alignment vertical="top"/>
    </xf>
    <xf numFmtId="168" fontId="21" fillId="0" borderId="0" xfId="4" applyNumberFormat="1" applyFont="1" applyFill="1" applyBorder="1">
      <alignment vertical="top"/>
    </xf>
    <xf numFmtId="173" fontId="21" fillId="0" borderId="0" xfId="2" applyFont="1" applyFill="1" applyBorder="1">
      <alignment vertical="top"/>
    </xf>
    <xf numFmtId="168" fontId="22" fillId="0" borderId="0" xfId="4" applyNumberFormat="1" applyFont="1" applyFill="1" applyBorder="1">
      <alignment vertical="top"/>
    </xf>
    <xf numFmtId="168" fontId="23" fillId="0" borderId="0" xfId="4" applyNumberFormat="1" applyFont="1" applyFill="1" applyBorder="1" applyAlignment="1">
      <alignment horizontal="right" vertical="top"/>
    </xf>
    <xf numFmtId="168" fontId="23" fillId="0" borderId="0" xfId="4" applyNumberFormat="1" applyFont="1">
      <alignment vertical="top"/>
    </xf>
    <xf numFmtId="168" fontId="23" fillId="0" borderId="0" xfId="4" applyNumberFormat="1" applyFont="1" applyFill="1">
      <alignment vertical="top"/>
    </xf>
    <xf numFmtId="167" fontId="47" fillId="0" borderId="0" xfId="0" applyFont="1">
      <alignment vertical="top"/>
    </xf>
    <xf numFmtId="182" fontId="23" fillId="0" borderId="0" xfId="1" applyNumberFormat="1" applyFont="1">
      <alignment vertical="top"/>
    </xf>
    <xf numFmtId="167" fontId="0" fillId="0" borderId="0" xfId="0" applyFill="1" applyBorder="1">
      <alignment vertical="top"/>
    </xf>
    <xf numFmtId="167" fontId="23" fillId="0" borderId="3" xfId="0" applyFont="1" applyBorder="1">
      <alignment vertical="top"/>
    </xf>
    <xf numFmtId="167" fontId="48" fillId="0" borderId="0" xfId="1" applyFont="1" applyFill="1" applyBorder="1">
      <alignment vertical="top"/>
    </xf>
    <xf numFmtId="167" fontId="49" fillId="0" borderId="0" xfId="1" applyFont="1" applyFill="1" applyBorder="1">
      <alignment vertical="top"/>
    </xf>
    <xf numFmtId="167" fontId="15" fillId="0" borderId="0" xfId="1" applyFont="1" applyFill="1" applyBorder="1" applyAlignment="1">
      <alignment horizontal="right" vertical="top"/>
    </xf>
    <xf numFmtId="167" fontId="47" fillId="0" borderId="0" xfId="1" applyFont="1">
      <alignment vertical="top"/>
    </xf>
    <xf numFmtId="174" fontId="47" fillId="0" borderId="0" xfId="1" applyNumberFormat="1" applyFont="1">
      <alignment vertical="top"/>
    </xf>
    <xf numFmtId="193" fontId="23" fillId="0" borderId="0" xfId="5" applyFont="1" applyFill="1">
      <alignment vertical="top"/>
    </xf>
    <xf numFmtId="169" fontId="23" fillId="0" borderId="0" xfId="1" applyNumberFormat="1" applyFont="1" applyFill="1">
      <alignment vertical="top"/>
    </xf>
    <xf numFmtId="171" fontId="5" fillId="0" borderId="0" xfId="1" applyNumberFormat="1" applyFont="1">
      <alignment vertical="top"/>
    </xf>
    <xf numFmtId="171" fontId="5" fillId="0" borderId="0" xfId="4">
      <alignment vertical="top"/>
    </xf>
    <xf numFmtId="171" fontId="5" fillId="5" borderId="0" xfId="4" applyFont="1" applyFill="1">
      <alignment vertical="top"/>
    </xf>
    <xf numFmtId="171" fontId="5" fillId="4" borderId="0" xfId="4" applyFont="1" applyFill="1">
      <alignment vertical="top"/>
    </xf>
    <xf numFmtId="171" fontId="30" fillId="0" borderId="0" xfId="4" applyFont="1" applyBorder="1">
      <alignment vertical="top"/>
    </xf>
    <xf numFmtId="171" fontId="30" fillId="7" borderId="5" xfId="4" applyFont="1" applyFill="1" applyBorder="1">
      <alignment vertical="top"/>
    </xf>
    <xf numFmtId="167" fontId="5" fillId="4" borderId="0" xfId="0" applyFont="1" applyFill="1">
      <alignment vertical="top"/>
    </xf>
    <xf numFmtId="193" fontId="9" fillId="0" borderId="0" xfId="5" applyFont="1" applyFill="1" applyBorder="1">
      <alignment vertical="top"/>
    </xf>
    <xf numFmtId="193" fontId="8" fillId="0" borderId="0" xfId="5" applyFont="1" applyFill="1" applyBorder="1">
      <alignment vertical="top"/>
    </xf>
    <xf numFmtId="193" fontId="5" fillId="0" borderId="0" xfId="5">
      <alignment vertical="top"/>
    </xf>
    <xf numFmtId="193" fontId="5" fillId="4" borderId="0" xfId="5" applyFont="1" applyFill="1">
      <alignment vertical="top"/>
    </xf>
    <xf numFmtId="167" fontId="23" fillId="0" borderId="0" xfId="1" applyFont="1" applyBorder="1">
      <alignment vertical="top"/>
    </xf>
    <xf numFmtId="167" fontId="8" fillId="0" borderId="0" xfId="0" applyFont="1">
      <alignment vertical="top"/>
    </xf>
    <xf numFmtId="193" fontId="28" fillId="0" borderId="0" xfId="5" applyFont="1">
      <alignment vertical="top"/>
    </xf>
    <xf numFmtId="193" fontId="29" fillId="0" borderId="0" xfId="5" applyFont="1">
      <alignment vertical="top"/>
    </xf>
    <xf numFmtId="167" fontId="29" fillId="0" borderId="0" xfId="0" applyFont="1">
      <alignment vertical="top"/>
    </xf>
    <xf numFmtId="167" fontId="30" fillId="0" borderId="0" xfId="0" applyFont="1" applyAlignment="1">
      <alignment horizontal="right" vertical="top"/>
    </xf>
    <xf numFmtId="167" fontId="22" fillId="0" borderId="0" xfId="0" applyFont="1">
      <alignment vertical="top"/>
    </xf>
    <xf numFmtId="167" fontId="23" fillId="0" borderId="0" xfId="0" applyFont="1" applyAlignment="1">
      <alignment horizontal="right" vertical="top"/>
    </xf>
    <xf numFmtId="167" fontId="9" fillId="0" borderId="2" xfId="0" applyFont="1" applyBorder="1">
      <alignment vertical="top"/>
    </xf>
    <xf numFmtId="167" fontId="8" fillId="0" borderId="2" xfId="0" applyFont="1" applyBorder="1">
      <alignment vertical="top"/>
    </xf>
    <xf numFmtId="167" fontId="5" fillId="0" borderId="2" xfId="0" applyFont="1" applyBorder="1" applyAlignment="1">
      <alignment horizontal="right" vertical="top"/>
    </xf>
    <xf numFmtId="167" fontId="5" fillId="0" borderId="2" xfId="0" applyFont="1" applyBorder="1">
      <alignment vertical="top"/>
    </xf>
    <xf numFmtId="167" fontId="21" fillId="0" borderId="3" xfId="0" applyFont="1" applyBorder="1">
      <alignment vertical="top"/>
    </xf>
    <xf numFmtId="167" fontId="22" fillId="0" borderId="3" xfId="0" applyFont="1" applyBorder="1">
      <alignment vertical="top"/>
    </xf>
    <xf numFmtId="167" fontId="23" fillId="0" borderId="3" xfId="0" applyFont="1" applyBorder="1" applyAlignment="1">
      <alignment horizontal="right" vertical="top"/>
    </xf>
    <xf numFmtId="167" fontId="30" fillId="0" borderId="0" xfId="0" applyFont="1" applyFill="1" applyAlignment="1">
      <alignment horizontal="right" vertical="top"/>
    </xf>
    <xf numFmtId="168" fontId="19" fillId="0" borderId="0" xfId="0" applyNumberFormat="1" applyFont="1" applyFill="1">
      <alignment vertical="top"/>
    </xf>
    <xf numFmtId="169" fontId="19" fillId="0" borderId="0" xfId="10" applyFont="1" applyFill="1">
      <alignment vertical="top"/>
    </xf>
    <xf numFmtId="167" fontId="19" fillId="0" borderId="0" xfId="0" applyFont="1" applyFill="1" applyBorder="1">
      <alignment vertical="top"/>
    </xf>
    <xf numFmtId="167" fontId="5" fillId="0" borderId="0" xfId="0" applyFont="1" applyBorder="1" applyAlignment="1">
      <alignment horizontal="right" vertical="top"/>
    </xf>
    <xf numFmtId="167" fontId="21" fillId="0" borderId="0" xfId="0" applyFont="1" applyBorder="1">
      <alignment vertical="top"/>
    </xf>
    <xf numFmtId="167" fontId="22" fillId="0" borderId="0" xfId="0" applyFont="1" applyBorder="1">
      <alignment vertical="top"/>
    </xf>
    <xf numFmtId="167" fontId="23" fillId="0" borderId="0" xfId="0" applyFont="1" applyBorder="1" applyAlignment="1">
      <alignment horizontal="right" vertical="top"/>
    </xf>
    <xf numFmtId="172" fontId="5" fillId="0" borderId="0" xfId="9" applyFont="1" applyBorder="1" applyAlignment="1">
      <alignment horizontal="center" vertical="top"/>
    </xf>
    <xf numFmtId="167" fontId="5" fillId="5" borderId="0" xfId="1" applyFont="1" applyFill="1" applyBorder="1">
      <alignment vertical="top"/>
    </xf>
    <xf numFmtId="167" fontId="5" fillId="0" borderId="2" xfId="0" applyFont="1" applyFill="1" applyBorder="1">
      <alignment vertical="top"/>
    </xf>
    <xf numFmtId="169" fontId="15" fillId="0" borderId="0" xfId="1" applyNumberFormat="1" applyFont="1">
      <alignment vertical="top"/>
    </xf>
    <xf numFmtId="184" fontId="19" fillId="0" borderId="0" xfId="4" applyNumberFormat="1" applyFont="1">
      <alignment vertical="top"/>
    </xf>
    <xf numFmtId="184" fontId="5" fillId="0" borderId="0" xfId="0" applyNumberFormat="1" applyFont="1">
      <alignment vertical="top"/>
    </xf>
    <xf numFmtId="170" fontId="5" fillId="0" borderId="0" xfId="0" applyNumberFormat="1" applyFont="1">
      <alignment vertical="top"/>
    </xf>
    <xf numFmtId="184" fontId="5" fillId="0" borderId="0" xfId="4" applyNumberFormat="1" applyFont="1">
      <alignment vertical="top"/>
    </xf>
    <xf numFmtId="169" fontId="19" fillId="0" borderId="0" xfId="4" applyNumberFormat="1" applyFont="1">
      <alignment vertical="top"/>
    </xf>
    <xf numFmtId="184" fontId="23" fillId="0" borderId="0" xfId="0" applyNumberFormat="1" applyFont="1">
      <alignment vertical="top"/>
    </xf>
    <xf numFmtId="184" fontId="30" fillId="0" borderId="0" xfId="10" applyNumberFormat="1" applyFont="1">
      <alignment vertical="top"/>
    </xf>
    <xf numFmtId="184" fontId="30" fillId="0" borderId="0" xfId="4" applyNumberFormat="1" applyFont="1" applyFill="1" applyBorder="1">
      <alignment vertical="top"/>
    </xf>
    <xf numFmtId="184" fontId="5" fillId="4" borderId="0" xfId="4" applyNumberFormat="1" applyFont="1" applyFill="1">
      <alignment vertical="top"/>
    </xf>
    <xf numFmtId="184" fontId="5" fillId="5" borderId="0" xfId="4" applyNumberFormat="1" applyFont="1" applyFill="1">
      <alignment vertical="top"/>
    </xf>
    <xf numFmtId="193" fontId="9" fillId="0" borderId="0" xfId="5" applyFont="1">
      <alignment vertical="top"/>
    </xf>
    <xf numFmtId="193" fontId="8" fillId="0" borderId="0" xfId="5" applyFont="1">
      <alignment vertical="top"/>
    </xf>
    <xf numFmtId="171" fontId="9" fillId="0" borderId="0" xfId="4" applyFont="1">
      <alignment vertical="top"/>
    </xf>
    <xf numFmtId="171" fontId="8" fillId="0" borderId="0" xfId="4" applyFont="1">
      <alignment vertical="top"/>
    </xf>
    <xf numFmtId="167" fontId="23" fillId="0" borderId="0" xfId="0" applyFont="1" applyBorder="1">
      <alignment vertical="top"/>
    </xf>
    <xf numFmtId="171" fontId="5" fillId="0" borderId="0" xfId="0" applyNumberFormat="1" applyFont="1">
      <alignment vertical="top"/>
    </xf>
    <xf numFmtId="167" fontId="5" fillId="8" borderId="5" xfId="0" applyFont="1" applyFill="1" applyBorder="1" applyAlignment="1">
      <alignment horizontal="right" vertical="top"/>
    </xf>
    <xf numFmtId="185" fontId="5" fillId="0" borderId="0" xfId="1" applyNumberFormat="1" applyFont="1" applyFill="1">
      <alignment vertical="top"/>
    </xf>
    <xf numFmtId="172" fontId="5" fillId="0" borderId="5" xfId="9" applyFont="1" applyFill="1" applyBorder="1">
      <alignment vertical="top"/>
    </xf>
    <xf numFmtId="171" fontId="19" fillId="0" borderId="0" xfId="1" applyNumberFormat="1" applyFont="1" applyBorder="1">
      <alignment vertical="top"/>
    </xf>
    <xf numFmtId="169" fontId="19" fillId="0" borderId="0" xfId="2" applyNumberFormat="1" applyFont="1" applyFill="1" applyBorder="1">
      <alignment vertical="top"/>
    </xf>
    <xf numFmtId="4" fontId="23" fillId="0" borderId="0" xfId="1" applyNumberFormat="1" applyFont="1">
      <alignment vertical="top"/>
    </xf>
    <xf numFmtId="174" fontId="19" fillId="5" borderId="0" xfId="1" applyNumberFormat="1" applyFont="1" applyFill="1" applyBorder="1">
      <alignment vertical="top"/>
    </xf>
    <xf numFmtId="167" fontId="19" fillId="5" borderId="0" xfId="1" applyFont="1" applyFill="1" applyBorder="1">
      <alignment vertical="top"/>
    </xf>
    <xf numFmtId="167" fontId="30" fillId="7" borderId="5" xfId="0" applyFont="1" applyFill="1" applyBorder="1">
      <alignment vertical="top"/>
    </xf>
    <xf numFmtId="170" fontId="19" fillId="0" borderId="0" xfId="1" applyNumberFormat="1" applyFont="1" applyBorder="1">
      <alignment vertical="top"/>
    </xf>
    <xf numFmtId="193" fontId="21" fillId="0" borderId="0" xfId="5" applyFont="1" applyFill="1" applyBorder="1">
      <alignment vertical="top"/>
    </xf>
    <xf numFmtId="193" fontId="22" fillId="0" borderId="0" xfId="5" applyFont="1" applyFill="1" applyBorder="1">
      <alignment vertical="top"/>
    </xf>
    <xf numFmtId="193" fontId="23" fillId="0" borderId="0" xfId="5" applyFont="1" applyFill="1" applyBorder="1">
      <alignment vertical="top"/>
    </xf>
    <xf numFmtId="193" fontId="23" fillId="0" borderId="0" xfId="5" applyFont="1">
      <alignment vertical="top"/>
    </xf>
    <xf numFmtId="170" fontId="30" fillId="0" borderId="0" xfId="1" applyNumberFormat="1" applyFont="1" applyBorder="1">
      <alignment vertical="top"/>
    </xf>
    <xf numFmtId="193" fontId="5" fillId="0" borderId="0" xfId="5" applyFont="1" applyBorder="1">
      <alignment vertical="top"/>
    </xf>
    <xf numFmtId="170" fontId="30" fillId="7" borderId="0" xfId="1" applyNumberFormat="1" applyFont="1" applyFill="1" applyBorder="1">
      <alignment vertical="top"/>
    </xf>
    <xf numFmtId="167" fontId="5" fillId="0" borderId="0" xfId="4" applyNumberFormat="1" applyFont="1">
      <alignment vertical="top"/>
    </xf>
    <xf numFmtId="167" fontId="21" fillId="0" borderId="2" xfId="1" applyFont="1" applyFill="1" applyBorder="1">
      <alignment vertical="top"/>
    </xf>
    <xf numFmtId="167" fontId="22" fillId="0" borderId="2" xfId="1" applyFont="1" applyFill="1" applyBorder="1">
      <alignment vertical="top"/>
    </xf>
    <xf numFmtId="167" fontId="23" fillId="0" borderId="2" xfId="1" applyFont="1" applyFill="1" applyBorder="1" applyAlignment="1">
      <alignment horizontal="right" vertical="top"/>
    </xf>
    <xf numFmtId="167" fontId="23" fillId="0" borderId="2" xfId="1" applyFont="1" applyBorder="1">
      <alignment vertical="top"/>
    </xf>
    <xf numFmtId="167" fontId="23" fillId="0" borderId="2" xfId="1" applyFont="1" applyFill="1" applyBorder="1">
      <alignment vertical="top"/>
    </xf>
    <xf numFmtId="167" fontId="23" fillId="0" borderId="2" xfId="0" applyFont="1" applyBorder="1">
      <alignment vertical="top"/>
    </xf>
    <xf numFmtId="167" fontId="23" fillId="0" borderId="3" xfId="0" applyFont="1" applyFill="1" applyBorder="1" applyAlignment="1">
      <alignment horizontal="right" vertical="top"/>
    </xf>
    <xf numFmtId="167" fontId="5" fillId="0" borderId="4" xfId="0" applyFont="1" applyFill="1" applyBorder="1">
      <alignment vertical="top"/>
    </xf>
    <xf numFmtId="167" fontId="51" fillId="0" borderId="0" xfId="0" applyFont="1">
      <alignment vertical="top"/>
    </xf>
    <xf numFmtId="172" fontId="19" fillId="0" borderId="0" xfId="1" applyNumberFormat="1" applyFont="1">
      <alignment vertical="top"/>
    </xf>
    <xf numFmtId="174" fontId="19" fillId="0" borderId="0" xfId="1" applyNumberFormat="1" applyFont="1" applyFill="1" applyBorder="1">
      <alignment vertical="top"/>
    </xf>
    <xf numFmtId="170" fontId="19" fillId="0" borderId="0" xfId="1" applyNumberFormat="1" applyFont="1" applyFill="1" applyBorder="1">
      <alignment vertical="top"/>
    </xf>
    <xf numFmtId="167" fontId="23" fillId="8" borderId="0" xfId="0" applyFont="1" applyFill="1" applyBorder="1" applyAlignment="1">
      <alignment horizontal="right" vertical="top"/>
    </xf>
    <xf numFmtId="174" fontId="19" fillId="0" borderId="0" xfId="3" applyFont="1" applyFill="1">
      <alignment vertical="top"/>
    </xf>
    <xf numFmtId="167" fontId="52" fillId="0" borderId="0" xfId="1" applyFont="1" applyFill="1" applyBorder="1">
      <alignment vertical="top"/>
    </xf>
    <xf numFmtId="167" fontId="53" fillId="0" borderId="0" xfId="1" applyFont="1" applyFill="1" applyBorder="1">
      <alignment vertical="top"/>
    </xf>
    <xf numFmtId="167" fontId="47" fillId="0" borderId="0" xfId="1" applyFont="1" applyFill="1" applyBorder="1" applyAlignment="1">
      <alignment horizontal="right" vertical="top"/>
    </xf>
    <xf numFmtId="167" fontId="19" fillId="0" borderId="0" xfId="0" applyFont="1" applyFill="1" applyAlignment="1">
      <alignment horizontal="right" vertical="top"/>
    </xf>
    <xf numFmtId="167" fontId="17" fillId="0" borderId="0" xfId="0" applyFont="1">
      <alignment vertical="top"/>
    </xf>
    <xf numFmtId="167" fontId="18" fillId="0" borderId="0" xfId="0" applyFont="1">
      <alignment vertical="top"/>
    </xf>
    <xf numFmtId="167" fontId="19" fillId="0" borderId="0" xfId="0" applyFont="1" applyAlignment="1">
      <alignment horizontal="right" vertical="top"/>
    </xf>
    <xf numFmtId="167" fontId="54" fillId="0" borderId="0" xfId="0" applyFont="1" applyFill="1" applyBorder="1">
      <alignment vertical="top"/>
    </xf>
    <xf numFmtId="167" fontId="55" fillId="0" borderId="0" xfId="0" applyFont="1" applyFill="1" applyBorder="1">
      <alignment vertical="top"/>
    </xf>
    <xf numFmtId="167" fontId="38" fillId="0" borderId="0" xfId="0" applyFont="1" applyFill="1" applyBorder="1">
      <alignment vertical="top"/>
    </xf>
    <xf numFmtId="167" fontId="38" fillId="0" borderId="4" xfId="0" applyFont="1" applyBorder="1">
      <alignment vertical="top"/>
    </xf>
    <xf numFmtId="167" fontId="38" fillId="0" borderId="4" xfId="0" applyFont="1" applyFill="1" applyBorder="1">
      <alignment vertical="top"/>
    </xf>
    <xf numFmtId="171" fontId="5" fillId="6" borderId="5" xfId="4" applyFont="1" applyFill="1" applyBorder="1">
      <alignment vertical="top"/>
    </xf>
    <xf numFmtId="167" fontId="30" fillId="6" borderId="5" xfId="1" applyFont="1" applyFill="1" applyBorder="1">
      <alignment vertical="top"/>
    </xf>
    <xf numFmtId="167" fontId="5" fillId="6" borderId="5" xfId="0" applyFont="1" applyFill="1" applyBorder="1" applyAlignment="1">
      <alignment horizontal="right" vertical="top"/>
    </xf>
    <xf numFmtId="182" fontId="5" fillId="0" borderId="0" xfId="1" applyNumberFormat="1" applyFont="1">
      <alignment vertical="top"/>
    </xf>
    <xf numFmtId="193" fontId="28" fillId="0" borderId="0" xfId="5" applyFont="1" applyFill="1">
      <alignment vertical="top"/>
    </xf>
    <xf numFmtId="171" fontId="9" fillId="0" borderId="0" xfId="4" applyFont="1" applyFill="1">
      <alignment vertical="top"/>
    </xf>
    <xf numFmtId="193" fontId="9" fillId="0" borderId="0" xfId="5" applyFont="1" applyFill="1">
      <alignment vertical="top"/>
    </xf>
    <xf numFmtId="167" fontId="50" fillId="0" borderId="0" xfId="0" applyFont="1" applyFill="1">
      <alignment vertical="top"/>
    </xf>
    <xf numFmtId="167" fontId="21" fillId="0" borderId="0" xfId="0" applyFont="1" applyFill="1">
      <alignment vertical="top"/>
    </xf>
    <xf numFmtId="167" fontId="9" fillId="0" borderId="2" xfId="0" applyFont="1" applyFill="1" applyBorder="1">
      <alignment vertical="top"/>
    </xf>
    <xf numFmtId="167" fontId="21" fillId="0" borderId="3" xfId="0" applyFont="1" applyFill="1" applyBorder="1">
      <alignment vertical="top"/>
    </xf>
    <xf numFmtId="170" fontId="0" fillId="6" borderId="6" xfId="1" applyNumberFormat="1" applyFont="1" applyFill="1" applyBorder="1">
      <alignment vertical="top"/>
    </xf>
    <xf numFmtId="167" fontId="30" fillId="7" borderId="4" xfId="0" applyFont="1" applyFill="1" applyBorder="1">
      <alignment vertical="top"/>
    </xf>
    <xf numFmtId="167" fontId="30" fillId="7" borderId="0" xfId="0" applyFont="1" applyFill="1">
      <alignment vertical="top"/>
    </xf>
    <xf numFmtId="185" fontId="30" fillId="0" borderId="0" xfId="1" applyNumberFormat="1" applyFont="1" applyFill="1">
      <alignment vertical="top"/>
    </xf>
    <xf numFmtId="169" fontId="19" fillId="0" borderId="0" xfId="14" applyNumberFormat="1" applyFont="1" applyFill="1" applyBorder="1">
      <alignment vertical="top"/>
    </xf>
    <xf numFmtId="167" fontId="5" fillId="0" borderId="0" xfId="14" applyFont="1" applyFill="1" applyBorder="1">
      <alignment vertical="top"/>
    </xf>
    <xf numFmtId="167" fontId="0" fillId="0" borderId="0" xfId="14" applyFont="1">
      <alignment vertical="top"/>
    </xf>
    <xf numFmtId="167" fontId="0" fillId="0" borderId="0" xfId="14" applyFont="1" applyFill="1">
      <alignment vertical="top"/>
    </xf>
    <xf numFmtId="167" fontId="30" fillId="0" borderId="0" xfId="14" applyFont="1">
      <alignment vertical="top"/>
    </xf>
    <xf numFmtId="173" fontId="0" fillId="0" borderId="0" xfId="2" applyFont="1">
      <alignment vertical="top"/>
    </xf>
    <xf numFmtId="169" fontId="5" fillId="0" borderId="0" xfId="14" applyNumberFormat="1" applyFont="1">
      <alignment vertical="top"/>
    </xf>
    <xf numFmtId="186" fontId="5" fillId="6" borderId="5" xfId="5" applyNumberFormat="1" applyFont="1" applyFill="1" applyBorder="1">
      <alignment vertical="top"/>
    </xf>
    <xf numFmtId="171" fontId="5" fillId="6" borderId="7" xfId="4" applyFont="1" applyFill="1" applyBorder="1">
      <alignment vertical="top"/>
    </xf>
    <xf numFmtId="171" fontId="5" fillId="6" borderId="6" xfId="4" applyFont="1" applyFill="1" applyBorder="1">
      <alignment vertical="top"/>
    </xf>
    <xf numFmtId="167" fontId="9" fillId="0" borderId="0" xfId="14" applyFont="1" applyFill="1">
      <alignment vertical="top"/>
    </xf>
    <xf numFmtId="167" fontId="8" fillId="0" borderId="0" xfId="14" applyFont="1" applyFill="1">
      <alignment vertical="top"/>
    </xf>
    <xf numFmtId="167" fontId="5" fillId="0" borderId="0" xfId="14" applyFont="1" applyFill="1" applyAlignment="1">
      <alignment horizontal="right" vertical="top"/>
    </xf>
    <xf numFmtId="167" fontId="5" fillId="5" borderId="0" xfId="14" applyFont="1" applyFill="1">
      <alignment vertical="top"/>
    </xf>
    <xf numFmtId="170" fontId="0" fillId="6" borderId="5" xfId="14" applyNumberFormat="1" applyFont="1" applyFill="1" applyBorder="1">
      <alignment vertical="top"/>
    </xf>
    <xf numFmtId="170" fontId="5" fillId="5" borderId="0" xfId="0" applyNumberFormat="1" applyFont="1" applyFill="1">
      <alignment vertical="top"/>
    </xf>
    <xf numFmtId="170" fontId="5" fillId="6" borderId="5" xfId="9" applyNumberFormat="1" applyFont="1" applyFill="1" applyBorder="1">
      <alignment vertical="top"/>
    </xf>
    <xf numFmtId="167" fontId="5" fillId="0" borderId="8" xfId="0" applyFont="1" applyFill="1" applyBorder="1">
      <alignment vertical="top"/>
    </xf>
    <xf numFmtId="174" fontId="5" fillId="0" borderId="0" xfId="0" applyNumberFormat="1" applyFont="1">
      <alignment vertical="top"/>
    </xf>
    <xf numFmtId="170" fontId="5" fillId="0" borderId="0" xfId="14" applyNumberFormat="1" applyFont="1">
      <alignment vertical="top"/>
    </xf>
    <xf numFmtId="170" fontId="9" fillId="0" borderId="0" xfId="14" applyNumberFormat="1" applyFont="1" applyFill="1">
      <alignment vertical="top"/>
    </xf>
    <xf numFmtId="170" fontId="8" fillId="0" borderId="0" xfId="14" applyNumberFormat="1" applyFont="1" applyFill="1">
      <alignment vertical="top"/>
    </xf>
    <xf numFmtId="170" fontId="5" fillId="0" borderId="0" xfId="14" applyNumberFormat="1" applyFont="1" applyFill="1" applyAlignment="1">
      <alignment horizontal="right" vertical="top"/>
    </xf>
    <xf numFmtId="170" fontId="0" fillId="0" borderId="0" xfId="14" applyNumberFormat="1" applyFont="1">
      <alignment vertical="top"/>
    </xf>
    <xf numFmtId="167" fontId="0" fillId="6" borderId="5" xfId="14" applyFont="1" applyFill="1" applyBorder="1">
      <alignment vertical="top"/>
    </xf>
    <xf numFmtId="167" fontId="5" fillId="6" borderId="5" xfId="9" applyNumberFormat="1" applyFont="1" applyFill="1" applyBorder="1">
      <alignment vertical="top"/>
    </xf>
    <xf numFmtId="193" fontId="30" fillId="7" borderId="5" xfId="5" applyFont="1" applyFill="1" applyBorder="1">
      <alignment vertical="top"/>
    </xf>
    <xf numFmtId="182" fontId="23" fillId="0" borderId="0" xfId="14" applyNumberFormat="1" applyFont="1">
      <alignment vertical="top"/>
    </xf>
    <xf numFmtId="167" fontId="5" fillId="0" borderId="2" xfId="14" applyFont="1" applyBorder="1">
      <alignment vertical="top"/>
    </xf>
    <xf numFmtId="167" fontId="5" fillId="0" borderId="2" xfId="14" applyFont="1" applyFill="1" applyBorder="1">
      <alignment vertical="top"/>
    </xf>
    <xf numFmtId="167" fontId="5" fillId="3" borderId="0" xfId="14" applyFont="1" applyFill="1" applyBorder="1">
      <alignment vertical="top"/>
    </xf>
    <xf numFmtId="167" fontId="5" fillId="0" borderId="3" xfId="14" applyFont="1" applyBorder="1">
      <alignment vertical="top"/>
    </xf>
    <xf numFmtId="167" fontId="5" fillId="0" borderId="3" xfId="14" applyFont="1" applyFill="1" applyBorder="1">
      <alignment vertical="top"/>
    </xf>
    <xf numFmtId="167" fontId="19" fillId="0" borderId="0" xfId="14" applyFont="1">
      <alignment vertical="top"/>
    </xf>
    <xf numFmtId="170" fontId="19" fillId="0" borderId="0" xfId="14" applyNumberFormat="1" applyFont="1" applyFill="1" applyBorder="1">
      <alignment vertical="top"/>
    </xf>
    <xf numFmtId="169" fontId="19" fillId="0" borderId="0" xfId="14" applyNumberFormat="1" applyFont="1">
      <alignment vertical="top"/>
    </xf>
    <xf numFmtId="167" fontId="19" fillId="0" borderId="0" xfId="0" applyFont="1" applyBorder="1">
      <alignment vertical="top"/>
    </xf>
    <xf numFmtId="167" fontId="19" fillId="0" borderId="0" xfId="14" applyFont="1" applyFill="1" applyBorder="1">
      <alignment vertical="top"/>
    </xf>
    <xf numFmtId="167" fontId="28" fillId="0" borderId="0" xfId="14" applyFont="1" applyFill="1" applyBorder="1">
      <alignment vertical="top"/>
    </xf>
    <xf numFmtId="167" fontId="29" fillId="0" borderId="0" xfId="14" applyFont="1" applyFill="1" applyBorder="1">
      <alignment vertical="top"/>
    </xf>
    <xf numFmtId="167" fontId="30" fillId="0" borderId="0" xfId="14" applyFont="1" applyFill="1" applyBorder="1" applyAlignment="1">
      <alignment horizontal="right" vertical="top"/>
    </xf>
    <xf numFmtId="167" fontId="30" fillId="0" borderId="0" xfId="14" applyFont="1" applyFill="1">
      <alignment vertical="top"/>
    </xf>
    <xf numFmtId="170" fontId="30" fillId="0" borderId="0" xfId="14" applyNumberFormat="1" applyFont="1">
      <alignment vertical="top"/>
    </xf>
    <xf numFmtId="169" fontId="19" fillId="0" borderId="0" xfId="14" applyNumberFormat="1" applyFont="1" applyBorder="1">
      <alignment vertical="top"/>
    </xf>
    <xf numFmtId="167" fontId="5" fillId="0" borderId="0" xfId="14" applyFont="1" applyBorder="1">
      <alignment vertical="top"/>
    </xf>
    <xf numFmtId="167" fontId="21" fillId="0" borderId="3" xfId="14" applyFont="1" applyFill="1" applyBorder="1">
      <alignment vertical="top"/>
    </xf>
    <xf numFmtId="167" fontId="22" fillId="0" borderId="3" xfId="14" applyFont="1" applyFill="1" applyBorder="1">
      <alignment vertical="top"/>
    </xf>
    <xf numFmtId="167" fontId="23" fillId="0" borderId="3" xfId="14" applyFont="1" applyFill="1" applyBorder="1" applyAlignment="1">
      <alignment horizontal="right" vertical="top"/>
    </xf>
    <xf numFmtId="167" fontId="23" fillId="0" borderId="3" xfId="14" applyFont="1" applyBorder="1">
      <alignment vertical="top"/>
    </xf>
    <xf numFmtId="167" fontId="23" fillId="0" borderId="3" xfId="14" applyFont="1" applyFill="1" applyBorder="1">
      <alignment vertical="top"/>
    </xf>
    <xf numFmtId="167" fontId="17" fillId="0" borderId="0" xfId="1" applyFont="1" applyFill="1">
      <alignment vertical="top"/>
    </xf>
    <xf numFmtId="167" fontId="18" fillId="0" borderId="0" xfId="1" applyFont="1" applyFill="1">
      <alignment vertical="top"/>
    </xf>
    <xf numFmtId="167" fontId="19" fillId="0" borderId="0" xfId="1" applyFont="1" applyFill="1" applyAlignment="1">
      <alignment horizontal="right" vertical="top"/>
    </xf>
    <xf numFmtId="167" fontId="30" fillId="0" borderId="0" xfId="14" applyFont="1" applyBorder="1">
      <alignment vertical="top"/>
    </xf>
    <xf numFmtId="167" fontId="30" fillId="0" borderId="0" xfId="14" applyFont="1" applyFill="1" applyBorder="1">
      <alignment vertical="top"/>
    </xf>
    <xf numFmtId="193" fontId="0" fillId="6" borderId="5" xfId="5" applyFont="1" applyFill="1" applyBorder="1">
      <alignment vertical="top"/>
    </xf>
    <xf numFmtId="167" fontId="5" fillId="2" borderId="0" xfId="0" applyFont="1" applyFill="1">
      <alignment vertical="top"/>
    </xf>
    <xf numFmtId="193" fontId="17" fillId="0" borderId="0" xfId="5" applyFont="1">
      <alignment vertical="top"/>
    </xf>
    <xf numFmtId="193" fontId="18" fillId="0" borderId="0" xfId="5" applyFont="1">
      <alignment vertical="top"/>
    </xf>
    <xf numFmtId="167" fontId="19" fillId="0" borderId="0" xfId="5" applyNumberFormat="1" applyFont="1">
      <alignment vertical="top"/>
    </xf>
    <xf numFmtId="169" fontId="30" fillId="0" borderId="0" xfId="14" applyNumberFormat="1" applyFont="1" applyFill="1">
      <alignment vertical="top"/>
    </xf>
    <xf numFmtId="167" fontId="22" fillId="0" borderId="0" xfId="0" applyFont="1" applyFill="1">
      <alignment vertical="top"/>
    </xf>
    <xf numFmtId="167" fontId="5" fillId="5" borderId="0" xfId="14" applyFont="1" applyFill="1" applyBorder="1">
      <alignment vertical="top"/>
    </xf>
    <xf numFmtId="170" fontId="19" fillId="0" borderId="0" xfId="0" applyNumberFormat="1" applyFont="1">
      <alignment vertical="top"/>
    </xf>
    <xf numFmtId="169" fontId="5" fillId="0" borderId="4" xfId="10" applyBorder="1">
      <alignment vertical="top"/>
    </xf>
    <xf numFmtId="172" fontId="39" fillId="0" borderId="0" xfId="20" applyFont="1" applyAlignment="1">
      <alignment horizontal="center" vertical="top"/>
    </xf>
    <xf numFmtId="167" fontId="5" fillId="0" borderId="5" xfId="10" applyNumberFormat="1" applyFont="1" applyFill="1" applyBorder="1">
      <alignment vertical="top"/>
    </xf>
    <xf numFmtId="167" fontId="33" fillId="5" borderId="0" xfId="10" applyNumberFormat="1" applyFont="1" applyFill="1">
      <alignment vertical="top"/>
    </xf>
    <xf numFmtId="167" fontId="5" fillId="5" borderId="0" xfId="10" applyNumberFormat="1" applyFont="1" applyFill="1">
      <alignment vertical="top"/>
    </xf>
    <xf numFmtId="167" fontId="5" fillId="6" borderId="5" xfId="20" applyNumberFormat="1" applyFont="1" applyFill="1" applyBorder="1">
      <alignment vertical="top"/>
    </xf>
    <xf numFmtId="169" fontId="5" fillId="0" borderId="0" xfId="10" applyFill="1">
      <alignment vertical="top"/>
    </xf>
    <xf numFmtId="169" fontId="57" fillId="0" borderId="0" xfId="10" applyFont="1" applyFill="1" applyProtection="1">
      <alignment vertical="top"/>
    </xf>
    <xf numFmtId="169" fontId="56" fillId="0" borderId="0" xfId="10" applyFont="1">
      <alignment vertical="top"/>
    </xf>
    <xf numFmtId="169" fontId="5" fillId="5" borderId="0" xfId="10" applyFill="1" applyBorder="1">
      <alignment vertical="top"/>
    </xf>
    <xf numFmtId="169" fontId="5" fillId="5" borderId="0" xfId="10" applyFill="1">
      <alignment vertical="top"/>
    </xf>
    <xf numFmtId="179" fontId="39" fillId="0" borderId="0" xfId="10" applyNumberFormat="1" applyFont="1" applyAlignment="1">
      <alignment horizontal="center" vertical="center"/>
    </xf>
    <xf numFmtId="167" fontId="5" fillId="0" borderId="0" xfId="10" applyNumberFormat="1" applyFont="1" applyFill="1" applyProtection="1">
      <alignment vertical="top"/>
    </xf>
    <xf numFmtId="167" fontId="5" fillId="0" borderId="5" xfId="10" applyNumberFormat="1" applyFont="1" applyFill="1" applyBorder="1" applyProtection="1">
      <alignment vertical="top"/>
    </xf>
    <xf numFmtId="167" fontId="5" fillId="0" borderId="0" xfId="10" applyNumberFormat="1" applyFont="1" applyProtection="1">
      <alignment vertical="top"/>
    </xf>
    <xf numFmtId="167" fontId="5" fillId="6" borderId="5" xfId="10" applyNumberFormat="1" applyFont="1" applyFill="1" applyBorder="1" applyProtection="1">
      <alignment vertical="top"/>
    </xf>
    <xf numFmtId="169" fontId="5" fillId="0" borderId="0" xfId="10" applyFont="1" applyProtection="1">
      <alignment vertical="top"/>
    </xf>
    <xf numFmtId="169" fontId="5" fillId="6" borderId="5" xfId="10" applyFont="1" applyFill="1" applyBorder="1" applyProtection="1">
      <alignment vertical="top"/>
    </xf>
    <xf numFmtId="169" fontId="56" fillId="0" borderId="0" xfId="10" applyFont="1" applyProtection="1">
      <alignment vertical="top"/>
    </xf>
    <xf numFmtId="169" fontId="56" fillId="6" borderId="5" xfId="10" applyFont="1" applyFill="1" applyBorder="1" applyProtection="1">
      <alignment vertical="top"/>
    </xf>
    <xf numFmtId="169" fontId="30" fillId="0" borderId="0" xfId="10" applyFont="1" applyProtection="1">
      <alignment vertical="top"/>
    </xf>
    <xf numFmtId="193" fontId="30" fillId="0" borderId="5" xfId="5" applyFont="1" applyFill="1" applyBorder="1">
      <alignment vertical="top"/>
    </xf>
    <xf numFmtId="170" fontId="30" fillId="0" borderId="0" xfId="10" applyNumberFormat="1" applyFont="1" applyProtection="1">
      <alignment vertical="top"/>
    </xf>
    <xf numFmtId="193" fontId="5" fillId="0" borderId="5" xfId="5" applyFont="1" applyFill="1" applyBorder="1">
      <alignment vertical="top"/>
    </xf>
    <xf numFmtId="193" fontId="5" fillId="6" borderId="5" xfId="5" applyFont="1" applyFill="1" applyBorder="1">
      <alignment vertical="top"/>
    </xf>
    <xf numFmtId="169" fontId="5" fillId="0" borderId="0" xfId="10" applyBorder="1">
      <alignment vertical="top"/>
    </xf>
    <xf numFmtId="167" fontId="28" fillId="0" borderId="0" xfId="14" applyFont="1" applyFill="1">
      <alignment vertical="top"/>
    </xf>
    <xf numFmtId="167" fontId="29" fillId="0" borderId="0" xfId="14" applyFont="1" applyFill="1">
      <alignment vertical="top"/>
    </xf>
    <xf numFmtId="167" fontId="30" fillId="0" borderId="0" xfId="14" applyFont="1" applyFill="1" applyAlignment="1">
      <alignment horizontal="right" vertical="top"/>
    </xf>
    <xf numFmtId="193" fontId="5" fillId="6" borderId="5" xfId="5" applyFont="1" applyFill="1" applyBorder="1" applyProtection="1">
      <alignment vertical="top"/>
    </xf>
    <xf numFmtId="170" fontId="19" fillId="0" borderId="0" xfId="14" applyNumberFormat="1" applyFont="1">
      <alignment vertical="top"/>
    </xf>
    <xf numFmtId="169" fontId="23" fillId="0" borderId="0" xfId="10" applyFont="1">
      <alignment vertical="top"/>
    </xf>
    <xf numFmtId="169" fontId="47" fillId="0" borderId="0" xfId="10" applyFont="1">
      <alignment vertical="top"/>
    </xf>
    <xf numFmtId="169" fontId="19" fillId="0" borderId="0" xfId="10" applyFont="1">
      <alignment vertical="top"/>
    </xf>
    <xf numFmtId="169" fontId="19" fillId="0" borderId="0" xfId="14" applyNumberFormat="1" applyFont="1" applyFill="1">
      <alignment vertical="top"/>
    </xf>
    <xf numFmtId="167" fontId="23" fillId="0" borderId="4" xfId="14" applyFont="1" applyBorder="1">
      <alignment vertical="top"/>
    </xf>
    <xf numFmtId="169" fontId="5" fillId="0" borderId="0" xfId="10" applyFill="1" applyBorder="1">
      <alignment vertical="top"/>
    </xf>
    <xf numFmtId="169" fontId="9" fillId="0" borderId="0" xfId="10" applyFont="1" applyFill="1" applyProtection="1">
      <alignment vertical="top"/>
    </xf>
    <xf numFmtId="169" fontId="56" fillId="0" borderId="0" xfId="10" applyFont="1" applyFill="1">
      <alignment vertical="top"/>
    </xf>
    <xf numFmtId="169" fontId="9" fillId="0" borderId="0" xfId="10" applyFont="1" applyFill="1" applyBorder="1" applyProtection="1">
      <alignment vertical="top"/>
    </xf>
    <xf numFmtId="169" fontId="8" fillId="0" borderId="0" xfId="10" applyFont="1" applyFill="1" applyBorder="1" applyProtection="1">
      <alignment vertical="top"/>
    </xf>
    <xf numFmtId="169" fontId="56" fillId="0" borderId="0" xfId="10" applyFont="1" applyBorder="1">
      <alignment vertical="top"/>
    </xf>
    <xf numFmtId="169" fontId="5" fillId="0" borderId="0" xfId="10" applyFont="1" applyFill="1" applyProtection="1">
      <alignment vertical="top"/>
    </xf>
    <xf numFmtId="169" fontId="58" fillId="0" borderId="0" xfId="10" applyFont="1" applyFill="1">
      <alignment vertical="top"/>
    </xf>
    <xf numFmtId="169" fontId="23" fillId="0" borderId="0" xfId="10" applyFont="1" applyProtection="1">
      <alignment vertical="top"/>
    </xf>
    <xf numFmtId="169" fontId="58" fillId="0" borderId="0" xfId="10" applyFont="1">
      <alignment vertical="top"/>
    </xf>
    <xf numFmtId="169" fontId="5" fillId="0" borderId="2" xfId="10" applyFill="1" applyBorder="1">
      <alignment vertical="top"/>
    </xf>
    <xf numFmtId="169" fontId="5" fillId="0" borderId="2" xfId="10" applyFont="1" applyBorder="1" applyProtection="1">
      <alignment vertical="top"/>
    </xf>
    <xf numFmtId="169" fontId="5" fillId="0" borderId="2" xfId="10" applyBorder="1">
      <alignment vertical="top"/>
    </xf>
    <xf numFmtId="169" fontId="56" fillId="0" borderId="2" xfId="10" applyFont="1" applyBorder="1">
      <alignment vertical="top"/>
    </xf>
    <xf numFmtId="169" fontId="5" fillId="0" borderId="0" xfId="10" applyFont="1" applyFill="1" applyBorder="1" applyAlignment="1" applyProtection="1">
      <alignment horizontal="right" vertical="top"/>
    </xf>
    <xf numFmtId="167" fontId="5" fillId="0" borderId="0" xfId="10" applyNumberFormat="1" applyFont="1" applyBorder="1" applyProtection="1">
      <alignment vertical="top"/>
    </xf>
    <xf numFmtId="169" fontId="5" fillId="0" borderId="0" xfId="10" applyFont="1" applyFill="1" applyBorder="1" applyProtection="1">
      <alignment vertical="top"/>
    </xf>
    <xf numFmtId="169" fontId="56" fillId="0" borderId="0" xfId="10" applyFont="1" applyFill="1" applyBorder="1">
      <alignment vertical="top"/>
    </xf>
    <xf numFmtId="167" fontId="5" fillId="0" borderId="0" xfId="10" applyNumberFormat="1" applyFont="1" applyFill="1" applyBorder="1" applyProtection="1">
      <alignment vertical="top"/>
    </xf>
    <xf numFmtId="169" fontId="59" fillId="0" borderId="3" xfId="10" applyFont="1" applyFill="1" applyBorder="1">
      <alignment vertical="top"/>
    </xf>
    <xf numFmtId="169" fontId="30" fillId="0" borderId="3" xfId="10" applyFont="1" applyBorder="1" applyProtection="1">
      <alignment vertical="top"/>
    </xf>
    <xf numFmtId="169" fontId="59" fillId="0" borderId="3" xfId="10" applyFont="1" applyBorder="1">
      <alignment vertical="top"/>
    </xf>
    <xf numFmtId="169" fontId="59" fillId="5" borderId="3" xfId="10" applyFont="1" applyFill="1" applyBorder="1">
      <alignment vertical="top"/>
    </xf>
    <xf numFmtId="169" fontId="56" fillId="0" borderId="3" xfId="10" applyFont="1" applyBorder="1">
      <alignment vertical="top"/>
    </xf>
    <xf numFmtId="169" fontId="8" fillId="0" borderId="0" xfId="10" applyFont="1" applyFill="1" applyProtection="1">
      <alignment vertical="top"/>
    </xf>
    <xf numFmtId="169" fontId="60" fillId="0" borderId="0" xfId="10" applyFont="1" applyFill="1">
      <alignment vertical="top"/>
    </xf>
    <xf numFmtId="169" fontId="60" fillId="0" borderId="0" xfId="10" applyFont="1">
      <alignment vertical="top"/>
    </xf>
    <xf numFmtId="167" fontId="19" fillId="0" borderId="0" xfId="10" applyNumberFormat="1" applyFont="1" applyFill="1" applyProtection="1">
      <alignment vertical="top"/>
    </xf>
    <xf numFmtId="170" fontId="19" fillId="0" borderId="0" xfId="10" applyNumberFormat="1" applyFont="1" applyProtection="1">
      <alignment vertical="top"/>
    </xf>
    <xf numFmtId="167" fontId="19" fillId="0" borderId="0" xfId="10" applyNumberFormat="1" applyFont="1" applyProtection="1">
      <alignment vertical="top"/>
    </xf>
    <xf numFmtId="169" fontId="19" fillId="0" borderId="0" xfId="10" applyFont="1" applyFill="1" applyProtection="1">
      <alignment vertical="top"/>
    </xf>
    <xf numFmtId="169" fontId="19" fillId="0" borderId="0" xfId="10" applyFont="1" applyProtection="1">
      <alignment vertical="top"/>
    </xf>
    <xf numFmtId="169" fontId="59" fillId="0" borderId="0" xfId="10" applyFont="1" applyFill="1">
      <alignment vertical="top"/>
    </xf>
    <xf numFmtId="167" fontId="30" fillId="0" borderId="0" xfId="10" applyNumberFormat="1" applyFont="1" applyProtection="1">
      <alignment vertical="top"/>
    </xf>
    <xf numFmtId="169" fontId="30" fillId="0" borderId="4" xfId="10" applyFont="1" applyBorder="1" applyProtection="1">
      <alignment vertical="top"/>
    </xf>
    <xf numFmtId="169" fontId="59" fillId="0" borderId="4" xfId="10" applyFont="1" applyBorder="1">
      <alignment vertical="top"/>
    </xf>
    <xf numFmtId="167" fontId="38" fillId="0" borderId="0" xfId="10" applyNumberFormat="1" applyFont="1" applyProtection="1">
      <alignment vertical="top"/>
    </xf>
    <xf numFmtId="169" fontId="5" fillId="0" borderId="0" xfId="10" applyFont="1" applyBorder="1" applyProtection="1">
      <alignment vertical="top"/>
    </xf>
    <xf numFmtId="169" fontId="23" fillId="0" borderId="0" xfId="10" applyFont="1" applyFill="1" applyProtection="1">
      <alignment vertical="top"/>
    </xf>
    <xf numFmtId="167" fontId="51" fillId="0" borderId="0" xfId="10" applyNumberFormat="1" applyFont="1">
      <alignment vertical="top"/>
    </xf>
    <xf numFmtId="167" fontId="19" fillId="0" borderId="0" xfId="10" applyNumberFormat="1" applyFont="1" applyFill="1">
      <alignment vertical="top"/>
    </xf>
    <xf numFmtId="173" fontId="19" fillId="0" borderId="0" xfId="3" applyNumberFormat="1" applyFont="1" applyFill="1">
      <alignment vertical="top"/>
    </xf>
    <xf numFmtId="169" fontId="5" fillId="5" borderId="0" xfId="10" applyFont="1" applyFill="1" applyProtection="1">
      <alignment vertical="top"/>
    </xf>
    <xf numFmtId="169" fontId="23" fillId="0" borderId="3" xfId="10" applyFont="1" applyBorder="1">
      <alignment vertical="top"/>
    </xf>
    <xf numFmtId="169" fontId="23" fillId="0" borderId="0" xfId="14" applyNumberFormat="1" applyFont="1">
      <alignment vertical="top"/>
    </xf>
    <xf numFmtId="169" fontId="23" fillId="0" borderId="4" xfId="14" applyNumberFormat="1" applyFont="1" applyBorder="1">
      <alignment vertical="top"/>
    </xf>
    <xf numFmtId="169" fontId="5" fillId="0" borderId="0" xfId="14" applyNumberFormat="1" applyFont="1" applyBorder="1">
      <alignment vertical="top"/>
    </xf>
    <xf numFmtId="167" fontId="19" fillId="0" borderId="0" xfId="10" applyNumberFormat="1" applyFont="1">
      <alignment vertical="top"/>
    </xf>
    <xf numFmtId="169" fontId="58" fillId="0" borderId="3" xfId="10" applyFont="1" applyFill="1" applyBorder="1">
      <alignment vertical="top"/>
    </xf>
    <xf numFmtId="169" fontId="23" fillId="0" borderId="3" xfId="10" applyFont="1" applyBorder="1" applyProtection="1">
      <alignment vertical="top"/>
    </xf>
    <xf numFmtId="169" fontId="58" fillId="0" borderId="3" xfId="10" applyFont="1" applyBorder="1">
      <alignment vertical="top"/>
    </xf>
    <xf numFmtId="169" fontId="58" fillId="5" borderId="3" xfId="10" applyFont="1" applyFill="1" applyBorder="1">
      <alignment vertical="top"/>
    </xf>
    <xf numFmtId="170" fontId="5" fillId="0" borderId="0" xfId="10" applyNumberFormat="1" applyFont="1" applyProtection="1">
      <alignment vertical="top"/>
    </xf>
    <xf numFmtId="167" fontId="19" fillId="0" borderId="0" xfId="14" applyFont="1" applyBorder="1">
      <alignment vertical="top"/>
    </xf>
    <xf numFmtId="169" fontId="30" fillId="7" borderId="5" xfId="10" applyFont="1" applyFill="1" applyBorder="1">
      <alignment vertical="top"/>
    </xf>
    <xf numFmtId="167" fontId="30" fillId="0" borderId="4" xfId="14" applyFont="1" applyFill="1" applyBorder="1">
      <alignment vertical="top"/>
    </xf>
    <xf numFmtId="167" fontId="17" fillId="0" borderId="0" xfId="14" applyFont="1" applyFill="1" applyBorder="1">
      <alignment vertical="top"/>
    </xf>
    <xf numFmtId="167" fontId="18" fillId="0" borderId="0" xfId="14" applyFont="1" applyFill="1" applyBorder="1">
      <alignment vertical="top"/>
    </xf>
    <xf numFmtId="167" fontId="19" fillId="0" borderId="0" xfId="14" applyFont="1" applyFill="1" applyBorder="1" applyAlignment="1">
      <alignment horizontal="right" vertical="top"/>
    </xf>
    <xf numFmtId="167" fontId="9" fillId="0" borderId="4" xfId="10" applyNumberFormat="1" applyFont="1" applyFill="1" applyBorder="1">
      <alignment vertical="top"/>
    </xf>
    <xf numFmtId="167" fontId="8" fillId="0" borderId="4" xfId="10" applyNumberFormat="1" applyFont="1" applyFill="1" applyBorder="1">
      <alignment vertical="top"/>
    </xf>
    <xf numFmtId="167" fontId="5" fillId="0" borderId="4" xfId="10" applyNumberFormat="1" applyFont="1" applyFill="1" applyBorder="1" applyAlignment="1">
      <alignment horizontal="right" vertical="top"/>
    </xf>
    <xf numFmtId="167" fontId="5" fillId="0" borderId="4" xfId="10" applyNumberFormat="1" applyFont="1" applyFill="1" applyBorder="1">
      <alignment vertical="top"/>
    </xf>
    <xf numFmtId="172" fontId="5" fillId="5" borderId="4" xfId="9" applyFont="1" applyFill="1" applyBorder="1">
      <alignment vertical="top"/>
    </xf>
    <xf numFmtId="169" fontId="5" fillId="4" borderId="4" xfId="10" applyFont="1" applyFill="1" applyBorder="1">
      <alignment vertical="top"/>
    </xf>
    <xf numFmtId="182" fontId="30" fillId="0" borderId="0" xfId="1" applyNumberFormat="1" applyFont="1">
      <alignment vertical="top"/>
    </xf>
    <xf numFmtId="167" fontId="60" fillId="0" borderId="0" xfId="0" applyFont="1" applyFill="1">
      <alignment vertical="top"/>
    </xf>
    <xf numFmtId="167" fontId="19" fillId="0" borderId="0" xfId="0" applyFont="1" applyFill="1" applyProtection="1">
      <alignment vertical="top"/>
    </xf>
    <xf numFmtId="167" fontId="60" fillId="0" borderId="0" xfId="0" applyFont="1">
      <alignment vertical="top"/>
    </xf>
    <xf numFmtId="167" fontId="56" fillId="0" borderId="0" xfId="0" applyFont="1">
      <alignment vertical="top"/>
    </xf>
    <xf numFmtId="169" fontId="56" fillId="6" borderId="6" xfId="10" applyFont="1" applyFill="1" applyBorder="1" applyProtection="1">
      <alignment vertical="top"/>
    </xf>
    <xf numFmtId="171" fontId="5" fillId="0" borderId="5" xfId="4" applyFont="1" applyFill="1" applyBorder="1">
      <alignment vertical="top"/>
    </xf>
    <xf numFmtId="171" fontId="0" fillId="6" borderId="5" xfId="4" applyFont="1" applyFill="1" applyBorder="1">
      <alignment vertical="top"/>
    </xf>
    <xf numFmtId="180" fontId="0" fillId="0" borderId="0" xfId="14" applyNumberFormat="1" applyFont="1" applyFill="1">
      <alignment vertical="top"/>
    </xf>
    <xf numFmtId="172" fontId="39" fillId="0" borderId="0" xfId="20" applyFont="1" applyFill="1" applyAlignment="1">
      <alignment horizontal="center" vertical="top"/>
    </xf>
    <xf numFmtId="170" fontId="5" fillId="0" borderId="0" xfId="0" applyNumberFormat="1" applyFont="1" applyFill="1" applyBorder="1">
      <alignment vertical="top"/>
    </xf>
    <xf numFmtId="170" fontId="7" fillId="6" borderId="0" xfId="9" applyNumberFormat="1" applyFont="1" applyFill="1" applyBorder="1">
      <alignment vertical="top"/>
    </xf>
    <xf numFmtId="173" fontId="5" fillId="0" borderId="5" xfId="2" applyFont="1" applyFill="1" applyBorder="1">
      <alignment vertical="top"/>
    </xf>
    <xf numFmtId="173" fontId="5" fillId="5" borderId="0" xfId="2" applyFont="1" applyFill="1">
      <alignment vertical="top"/>
    </xf>
    <xf numFmtId="170" fontId="0" fillId="6" borderId="7" xfId="14" applyNumberFormat="1" applyFont="1" applyFill="1" applyBorder="1">
      <alignment vertical="top"/>
    </xf>
    <xf numFmtId="170" fontId="0" fillId="0" borderId="0" xfId="1" applyNumberFormat="1" applyFont="1" applyFill="1">
      <alignment vertical="top"/>
    </xf>
    <xf numFmtId="170" fontId="39" fillId="0" borderId="0" xfId="20" applyNumberFormat="1" applyFont="1" applyAlignment="1">
      <alignment horizontal="center" vertical="top"/>
    </xf>
    <xf numFmtId="167" fontId="5" fillId="3" borderId="0" xfId="14" applyFont="1" applyFill="1">
      <alignment vertical="top"/>
    </xf>
    <xf numFmtId="167" fontId="15" fillId="0" borderId="0" xfId="1" applyFont="1">
      <alignment vertical="top"/>
    </xf>
    <xf numFmtId="167" fontId="15" fillId="0" borderId="0" xfId="1" applyFont="1" applyFill="1">
      <alignment vertical="top"/>
    </xf>
    <xf numFmtId="174" fontId="47" fillId="0" borderId="0" xfId="3" applyFont="1">
      <alignment vertical="top"/>
    </xf>
    <xf numFmtId="174" fontId="19" fillId="0" borderId="0" xfId="3" applyFont="1">
      <alignment vertical="top"/>
    </xf>
    <xf numFmtId="174" fontId="17" fillId="0" borderId="0" xfId="3" applyFont="1" applyFill="1" applyBorder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3" fontId="23" fillId="0" borderId="0" xfId="2" applyFont="1">
      <alignment vertical="top"/>
    </xf>
    <xf numFmtId="172" fontId="28" fillId="0" borderId="0" xfId="9" applyFont="1" applyFill="1" applyBorder="1">
      <alignment vertical="top"/>
    </xf>
    <xf numFmtId="172" fontId="29" fillId="0" borderId="0" xfId="9" applyFont="1" applyFill="1" applyBorder="1">
      <alignment vertical="top"/>
    </xf>
    <xf numFmtId="172" fontId="30" fillId="0" borderId="0" xfId="9" applyFont="1" applyFill="1" applyBorder="1">
      <alignment vertical="top"/>
    </xf>
    <xf numFmtId="174" fontId="5" fillId="0" borderId="0" xfId="1" applyNumberFormat="1" applyFont="1">
      <alignment vertical="top"/>
    </xf>
    <xf numFmtId="167" fontId="17" fillId="0" borderId="0" xfId="0" applyFont="1" applyFill="1" applyBorder="1">
      <alignment vertical="top"/>
    </xf>
    <xf numFmtId="167" fontId="18" fillId="0" borderId="0" xfId="0" applyFont="1" applyFill="1" applyBorder="1">
      <alignment vertical="top"/>
    </xf>
    <xf numFmtId="167" fontId="9" fillId="0" borderId="0" xfId="21" applyFont="1" applyFill="1">
      <alignment vertical="top"/>
    </xf>
    <xf numFmtId="171" fontId="29" fillId="0" borderId="0" xfId="4" applyFont="1" applyFill="1" applyBorder="1">
      <alignment vertical="top"/>
    </xf>
    <xf numFmtId="171" fontId="5" fillId="0" borderId="0" xfId="14" applyNumberFormat="1" applyFont="1" applyFill="1">
      <alignment vertical="top"/>
    </xf>
    <xf numFmtId="171" fontId="30" fillId="0" borderId="4" xfId="4" applyFont="1" applyFill="1" applyBorder="1">
      <alignment vertical="top"/>
    </xf>
    <xf numFmtId="167" fontId="28" fillId="3" borderId="0" xfId="14" applyFont="1" applyFill="1" applyBorder="1">
      <alignment vertical="top"/>
    </xf>
    <xf numFmtId="167" fontId="29" fillId="3" borderId="0" xfId="14" applyFont="1" applyFill="1" applyBorder="1">
      <alignment vertical="top"/>
    </xf>
    <xf numFmtId="167" fontId="30" fillId="3" borderId="0" xfId="14" applyFont="1" applyFill="1" applyBorder="1" applyAlignment="1">
      <alignment horizontal="right" vertical="top"/>
    </xf>
    <xf numFmtId="169" fontId="30" fillId="3" borderId="0" xfId="14" applyNumberFormat="1" applyFont="1" applyFill="1">
      <alignment vertical="top"/>
    </xf>
    <xf numFmtId="167" fontId="0" fillId="3" borderId="0" xfId="0" applyFill="1">
      <alignment vertical="top"/>
    </xf>
    <xf numFmtId="169" fontId="30" fillId="0" borderId="0" xfId="4" applyNumberFormat="1" applyFont="1">
      <alignment vertical="top"/>
    </xf>
    <xf numFmtId="173" fontId="22" fillId="0" borderId="0" xfId="2" applyFont="1" applyFill="1" applyBorder="1">
      <alignment vertical="top"/>
    </xf>
    <xf numFmtId="173" fontId="23" fillId="0" borderId="0" xfId="2" applyFont="1" applyFill="1" applyBorder="1">
      <alignment vertical="top"/>
    </xf>
    <xf numFmtId="173" fontId="23" fillId="0" borderId="0" xfId="2" applyFont="1" applyFill="1">
      <alignment vertical="top"/>
    </xf>
    <xf numFmtId="167" fontId="23" fillId="0" borderId="4" xfId="14" applyFont="1" applyFill="1" applyBorder="1">
      <alignment vertical="top"/>
    </xf>
    <xf numFmtId="169" fontId="30" fillId="0" borderId="0" xfId="10" applyFont="1" applyFill="1" applyProtection="1">
      <alignment vertical="top"/>
    </xf>
    <xf numFmtId="167" fontId="19" fillId="0" borderId="5" xfId="0" applyFont="1" applyFill="1" applyBorder="1">
      <alignment vertical="top"/>
    </xf>
    <xf numFmtId="174" fontId="5" fillId="0" borderId="0" xfId="22">
      <alignment vertical="top"/>
    </xf>
    <xf numFmtId="167" fontId="9" fillId="0" borderId="0" xfId="0" applyFont="1" applyAlignment="1"/>
    <xf numFmtId="167" fontId="5" fillId="0" borderId="0" xfId="25">
      <alignment vertical="top"/>
    </xf>
    <xf numFmtId="174" fontId="5" fillId="2" borderId="0" xfId="22" applyFill="1">
      <alignment vertical="top"/>
    </xf>
    <xf numFmtId="167" fontId="5" fillId="2" borderId="0" xfId="25" applyFill="1" applyAlignment="1">
      <alignment horizontal="right" vertical="top"/>
    </xf>
    <xf numFmtId="167" fontId="5" fillId="0" borderId="0" xfId="25" applyAlignment="1">
      <alignment horizontal="right" vertical="top"/>
    </xf>
    <xf numFmtId="167" fontId="9" fillId="6" borderId="9" xfId="25" applyFont="1" applyFill="1" applyBorder="1" applyAlignment="1">
      <alignment horizontal="left" vertical="top"/>
    </xf>
    <xf numFmtId="167" fontId="5" fillId="2" borderId="0" xfId="25" applyFill="1">
      <alignment vertical="top"/>
    </xf>
    <xf numFmtId="167" fontId="5" fillId="6" borderId="9" xfId="25" applyFill="1" applyBorder="1" applyAlignment="1">
      <alignment vertical="top" wrapText="1"/>
    </xf>
    <xf numFmtId="167" fontId="5" fillId="5" borderId="10" xfId="0" applyFont="1" applyFill="1" applyBorder="1">
      <alignment vertical="top"/>
    </xf>
    <xf numFmtId="193" fontId="5" fillId="2" borderId="0" xfId="5" applyFont="1" applyFill="1">
      <alignment vertical="top"/>
    </xf>
    <xf numFmtId="167" fontId="0" fillId="2" borderId="0" xfId="0" applyFill="1">
      <alignment vertical="top"/>
    </xf>
    <xf numFmtId="169" fontId="61" fillId="0" borderId="0" xfId="24" applyFont="1" applyAlignment="1">
      <alignment vertical="center"/>
    </xf>
    <xf numFmtId="174" fontId="61" fillId="0" borderId="0" xfId="22" applyFont="1">
      <alignment vertical="top"/>
    </xf>
    <xf numFmtId="167" fontId="5" fillId="9" borderId="10" xfId="0" applyFont="1" applyFill="1" applyBorder="1">
      <alignment vertical="top"/>
    </xf>
    <xf numFmtId="193" fontId="5" fillId="6" borderId="9" xfId="5" applyFont="1" applyFill="1" applyBorder="1">
      <alignment vertical="top"/>
    </xf>
    <xf numFmtId="169" fontId="39" fillId="0" borderId="0" xfId="9" applyNumberFormat="1" applyFont="1" applyFill="1" applyAlignment="1">
      <alignment horizontal="center" vertical="top"/>
    </xf>
    <xf numFmtId="167" fontId="5" fillId="0" borderId="9" xfId="0" applyFont="1" applyFill="1" applyBorder="1">
      <alignment vertical="top"/>
    </xf>
    <xf numFmtId="169" fontId="9" fillId="6" borderId="0" xfId="23" applyFont="1" applyFill="1" applyAlignment="1">
      <alignment horizontal="right" vertical="top"/>
    </xf>
    <xf numFmtId="193" fontId="5" fillId="0" borderId="9" xfId="5" applyFont="1" applyBorder="1">
      <alignment vertical="top"/>
    </xf>
    <xf numFmtId="172" fontId="19" fillId="0" borderId="0" xfId="9" applyFont="1" applyFill="1">
      <alignment vertical="top"/>
    </xf>
    <xf numFmtId="171" fontId="5" fillId="0" borderId="0" xfId="1" applyNumberFormat="1" applyFont="1" applyFill="1" applyBorder="1">
      <alignment vertical="top"/>
    </xf>
    <xf numFmtId="167" fontId="5" fillId="6" borderId="0" xfId="0" applyFont="1" applyFill="1" applyBorder="1">
      <alignment vertical="top"/>
    </xf>
    <xf numFmtId="167" fontId="7" fillId="6" borderId="0" xfId="0" applyFont="1" applyFill="1" applyBorder="1">
      <alignment vertical="top"/>
    </xf>
    <xf numFmtId="171" fontId="30" fillId="6" borderId="5" xfId="4" applyFont="1" applyFill="1" applyBorder="1">
      <alignment vertical="top"/>
    </xf>
    <xf numFmtId="171" fontId="30" fillId="0" borderId="5" xfId="4" applyFont="1" applyFill="1" applyBorder="1">
      <alignment vertical="top"/>
    </xf>
    <xf numFmtId="177" fontId="30" fillId="0" borderId="0" xfId="14" applyNumberFormat="1" applyFont="1" applyFill="1">
      <alignment vertical="top"/>
    </xf>
    <xf numFmtId="167" fontId="19" fillId="0" borderId="0" xfId="14" applyFont="1" applyFill="1">
      <alignment vertical="top"/>
    </xf>
    <xf numFmtId="168" fontId="19" fillId="0" borderId="0" xfId="14" applyNumberFormat="1" applyFont="1" applyFill="1">
      <alignment vertical="top"/>
    </xf>
    <xf numFmtId="167" fontId="62" fillId="0" borderId="0" xfId="1" applyFont="1" applyFill="1" applyBorder="1">
      <alignment vertical="top"/>
    </xf>
    <xf numFmtId="167" fontId="63" fillId="0" borderId="0" xfId="1" applyFont="1" applyFill="1" applyBorder="1">
      <alignment vertical="top"/>
    </xf>
    <xf numFmtId="167" fontId="51" fillId="0" borderId="0" xfId="1" applyFont="1" applyFill="1" applyBorder="1" applyAlignment="1">
      <alignment horizontal="right" vertical="top"/>
    </xf>
    <xf numFmtId="167" fontId="51" fillId="0" borderId="0" xfId="1" applyFont="1">
      <alignment vertical="top"/>
    </xf>
    <xf numFmtId="167" fontId="51" fillId="0" borderId="0" xfId="1" applyFont="1" applyFill="1">
      <alignment vertical="top"/>
    </xf>
    <xf numFmtId="172" fontId="30" fillId="6" borderId="7" xfId="9" applyFont="1" applyFill="1" applyBorder="1">
      <alignment vertical="top"/>
    </xf>
    <xf numFmtId="167" fontId="28" fillId="0" borderId="3" xfId="0" applyFont="1" applyBorder="1">
      <alignment vertical="top"/>
    </xf>
    <xf numFmtId="167" fontId="29" fillId="0" borderId="3" xfId="0" applyFont="1" applyBorder="1">
      <alignment vertical="top"/>
    </xf>
    <xf numFmtId="167" fontId="30" fillId="0" borderId="3" xfId="0" applyFont="1" applyBorder="1" applyAlignment="1">
      <alignment horizontal="right" vertical="top"/>
    </xf>
    <xf numFmtId="184" fontId="5" fillId="0" borderId="0" xfId="1" applyNumberFormat="1" applyFont="1" applyFill="1">
      <alignment vertical="top"/>
    </xf>
    <xf numFmtId="193" fontId="30" fillId="0" borderId="9" xfId="5" applyFont="1" applyBorder="1">
      <alignment vertical="top"/>
    </xf>
    <xf numFmtId="193" fontId="30" fillId="2" borderId="0" xfId="5" applyFont="1" applyFill="1">
      <alignment vertical="top"/>
    </xf>
    <xf numFmtId="167" fontId="30" fillId="5" borderId="10" xfId="0" applyFont="1" applyFill="1" applyBorder="1">
      <alignment vertical="top"/>
    </xf>
    <xf numFmtId="193" fontId="30" fillId="6" borderId="9" xfId="5" applyFont="1" applyFill="1" applyBorder="1">
      <alignment vertical="top"/>
    </xf>
    <xf numFmtId="193" fontId="60" fillId="0" borderId="0" xfId="5" applyFont="1" applyFill="1">
      <alignment vertical="top"/>
    </xf>
    <xf numFmtId="193" fontId="19" fillId="0" borderId="0" xfId="5" applyFont="1" applyProtection="1">
      <alignment vertical="top"/>
    </xf>
    <xf numFmtId="193" fontId="60" fillId="0" borderId="0" xfId="5" applyFont="1">
      <alignment vertical="top"/>
    </xf>
    <xf numFmtId="193" fontId="56" fillId="0" borderId="0" xfId="5" applyFont="1">
      <alignment vertical="top"/>
    </xf>
    <xf numFmtId="193" fontId="8" fillId="0" borderId="0" xfId="5" applyFont="1" applyFill="1">
      <alignment vertical="top"/>
    </xf>
    <xf numFmtId="193" fontId="19" fillId="0" borderId="5" xfId="5" applyFont="1" applyFill="1" applyBorder="1">
      <alignment vertical="top"/>
    </xf>
    <xf numFmtId="193" fontId="0" fillId="0" borderId="0" xfId="5" applyFont="1" applyFill="1">
      <alignment vertical="top"/>
    </xf>
    <xf numFmtId="193" fontId="39" fillId="0" borderId="0" xfId="5" applyFont="1" applyFill="1">
      <alignment vertical="top"/>
    </xf>
    <xf numFmtId="183" fontId="30" fillId="0" borderId="0" xfId="5" applyNumberFormat="1" applyFont="1">
      <alignment vertical="top"/>
    </xf>
    <xf numFmtId="169" fontId="64" fillId="0" borderId="0" xfId="26" applyFont="1" applyAlignment="1">
      <alignment vertical="center"/>
    </xf>
    <xf numFmtId="169" fontId="5" fillId="0" borderId="0" xfId="26" applyFont="1" applyAlignment="1">
      <alignment vertical="center"/>
    </xf>
    <xf numFmtId="0" fontId="65" fillId="0" borderId="0" xfId="26" applyNumberFormat="1" applyFont="1" applyFill="1" applyBorder="1" applyAlignment="1">
      <alignment vertical="center"/>
    </xf>
    <xf numFmtId="169" fontId="5" fillId="0" borderId="0" xfId="26" applyFont="1" applyFill="1" applyBorder="1" applyAlignment="1">
      <alignment vertical="center"/>
    </xf>
    <xf numFmtId="169" fontId="9" fillId="0" borderId="0" xfId="26" applyFont="1" applyFill="1" applyBorder="1" applyAlignment="1">
      <alignment vertical="center"/>
    </xf>
    <xf numFmtId="169" fontId="66" fillId="0" borderId="0" xfId="26" applyFont="1" applyAlignment="1">
      <alignment vertical="center"/>
    </xf>
    <xf numFmtId="169" fontId="66" fillId="0" borderId="0" xfId="26" applyFont="1" applyBorder="1" applyAlignment="1">
      <alignment vertical="center"/>
    </xf>
    <xf numFmtId="169" fontId="67" fillId="10" borderId="0" xfId="26" applyFont="1" applyFill="1" applyAlignment="1">
      <alignment vertical="center"/>
    </xf>
    <xf numFmtId="169" fontId="67" fillId="10" borderId="0" xfId="26" applyFont="1" applyFill="1" applyAlignment="1">
      <alignment horizontal="right" vertical="center"/>
    </xf>
    <xf numFmtId="169" fontId="66" fillId="10" borderId="0" xfId="26" applyFont="1" applyFill="1" applyAlignment="1">
      <alignment vertical="center"/>
    </xf>
    <xf numFmtId="170" fontId="67" fillId="10" borderId="0" xfId="28" applyFont="1" applyFill="1" applyBorder="1" applyAlignment="1">
      <alignment horizontal="right" vertical="center"/>
    </xf>
    <xf numFmtId="169" fontId="6" fillId="0" borderId="0" xfId="26" applyFont="1" applyAlignment="1">
      <alignment vertical="center"/>
    </xf>
    <xf numFmtId="174" fontId="68" fillId="0" borderId="0" xfId="26" applyNumberFormat="1" applyFont="1" applyBorder="1" applyAlignment="1">
      <alignment vertical="center"/>
    </xf>
    <xf numFmtId="171" fontId="66" fillId="11" borderId="11" xfId="27" applyFont="1" applyFill="1" applyBorder="1" applyAlignment="1">
      <alignment vertical="center"/>
    </xf>
    <xf numFmtId="174" fontId="68" fillId="0" borderId="11" xfId="27" applyNumberFormat="1" applyFont="1" applyBorder="1" applyAlignment="1">
      <alignment horizontal="right" vertical="center"/>
    </xf>
    <xf numFmtId="169" fontId="68" fillId="0" borderId="0" xfId="26" applyFont="1" applyFill="1" applyAlignment="1">
      <alignment vertical="center"/>
    </xf>
    <xf numFmtId="169" fontId="68" fillId="0" borderId="0" xfId="26" applyFont="1" applyAlignment="1">
      <alignment vertical="center"/>
    </xf>
    <xf numFmtId="170" fontId="68" fillId="0" borderId="12" xfId="28" applyFont="1" applyBorder="1" applyAlignment="1">
      <alignment vertical="center"/>
    </xf>
    <xf numFmtId="174" fontId="68" fillId="0" borderId="11" xfId="29" applyNumberFormat="1" applyFont="1" applyFill="1" applyBorder="1" applyAlignment="1">
      <alignment vertical="center"/>
    </xf>
    <xf numFmtId="188" fontId="68" fillId="0" borderId="11" xfId="26" applyNumberFormat="1" applyFont="1" applyFill="1" applyBorder="1" applyAlignment="1">
      <alignment vertical="center"/>
    </xf>
    <xf numFmtId="169" fontId="69" fillId="0" borderId="0" xfId="26" applyFont="1" applyAlignment="1">
      <alignment vertical="center"/>
    </xf>
    <xf numFmtId="170" fontId="68" fillId="0" borderId="12" xfId="28" applyFont="1" applyFill="1" applyBorder="1" applyAlignment="1">
      <alignment vertical="center"/>
    </xf>
    <xf numFmtId="170" fontId="68" fillId="0" borderId="0" xfId="26" applyNumberFormat="1" applyFont="1" applyFill="1" applyAlignment="1">
      <alignment vertical="center"/>
    </xf>
    <xf numFmtId="189" fontId="68" fillId="0" borderId="11" xfId="26" applyNumberFormat="1" applyFont="1" applyBorder="1" applyAlignment="1">
      <alignment vertical="center"/>
    </xf>
    <xf numFmtId="173" fontId="66" fillId="0" borderId="11" xfId="29" applyFont="1" applyFill="1" applyBorder="1" applyAlignment="1">
      <alignment vertical="center"/>
    </xf>
    <xf numFmtId="170" fontId="68" fillId="0" borderId="0" xfId="26" applyNumberFormat="1" applyFont="1" applyAlignment="1">
      <alignment vertical="center"/>
    </xf>
    <xf numFmtId="169" fontId="66" fillId="0" borderId="0" xfId="26" applyFont="1" applyFill="1" applyAlignment="1">
      <alignment vertical="center"/>
    </xf>
    <xf numFmtId="169" fontId="66" fillId="0" borderId="0" xfId="26" applyFont="1" applyFill="1" applyBorder="1" applyAlignment="1">
      <alignment vertical="center"/>
    </xf>
    <xf numFmtId="169" fontId="67" fillId="10" borderId="0" xfId="26" applyFont="1" applyFill="1" applyBorder="1" applyAlignment="1">
      <alignment horizontal="right" vertical="center"/>
    </xf>
    <xf numFmtId="169" fontId="66" fillId="10" borderId="0" xfId="26" applyFont="1" applyFill="1" applyBorder="1" applyAlignment="1">
      <alignment vertical="center"/>
    </xf>
    <xf numFmtId="169" fontId="68" fillId="0" borderId="0" xfId="26" applyFont="1" applyBorder="1" applyAlignment="1">
      <alignment vertical="center"/>
    </xf>
    <xf numFmtId="169" fontId="68" fillId="0" borderId="11" xfId="27" applyNumberFormat="1" applyFont="1" applyBorder="1" applyAlignment="1">
      <alignment horizontal="right" vertical="center"/>
    </xf>
    <xf numFmtId="169" fontId="68" fillId="0" borderId="0" xfId="26" applyFont="1" applyFill="1" applyBorder="1" applyAlignment="1">
      <alignment vertical="center"/>
    </xf>
    <xf numFmtId="170" fontId="68" fillId="0" borderId="11" xfId="28" applyFont="1" applyBorder="1" applyAlignment="1">
      <alignment horizontal="right" vertical="center"/>
    </xf>
    <xf numFmtId="171" fontId="68" fillId="0" borderId="12" xfId="27" applyFont="1" applyBorder="1" applyAlignment="1">
      <alignment vertical="center"/>
    </xf>
    <xf numFmtId="169" fontId="67" fillId="10" borderId="0" xfId="26" applyFont="1" applyFill="1" applyBorder="1" applyAlignment="1">
      <alignment horizontal="left" vertical="center"/>
    </xf>
    <xf numFmtId="190" fontId="68" fillId="0" borderId="11" xfId="27" applyNumberFormat="1" applyFont="1" applyBorder="1" applyAlignment="1">
      <alignment vertical="center"/>
    </xf>
    <xf numFmtId="170" fontId="68" fillId="0" borderId="13" xfId="28" applyFont="1" applyBorder="1" applyAlignment="1">
      <alignment vertical="center"/>
    </xf>
    <xf numFmtId="167" fontId="68" fillId="0" borderId="0" xfId="26" applyNumberFormat="1" applyFont="1" applyFill="1" applyBorder="1" applyAlignment="1">
      <alignment vertical="center"/>
    </xf>
    <xf numFmtId="167" fontId="68" fillId="0" borderId="0" xfId="26" applyNumberFormat="1" applyFont="1" applyBorder="1" applyAlignment="1">
      <alignment vertical="center"/>
    </xf>
    <xf numFmtId="170" fontId="68" fillId="0" borderId="14" xfId="28" applyFont="1" applyBorder="1" applyAlignment="1">
      <alignment vertical="center"/>
    </xf>
    <xf numFmtId="170" fontId="68" fillId="0" borderId="15" xfId="28" applyFont="1" applyBorder="1" applyAlignment="1">
      <alignment vertical="center"/>
    </xf>
    <xf numFmtId="170" fontId="66" fillId="0" borderId="0" xfId="28" applyFont="1" applyAlignment="1">
      <alignment vertical="center"/>
    </xf>
    <xf numFmtId="169" fontId="70" fillId="0" borderId="0" xfId="26" applyFont="1" applyAlignment="1">
      <alignment vertical="center"/>
    </xf>
    <xf numFmtId="169" fontId="67" fillId="0" borderId="0" xfId="26" applyFont="1" applyBorder="1" applyAlignment="1">
      <alignment vertical="center"/>
    </xf>
    <xf numFmtId="170" fontId="71" fillId="0" borderId="4" xfId="28" applyFont="1" applyBorder="1" applyAlignment="1">
      <alignment vertical="center"/>
    </xf>
    <xf numFmtId="178" fontId="70" fillId="0" borderId="0" xfId="26" applyNumberFormat="1" applyFont="1" applyAlignment="1">
      <alignment vertical="center"/>
    </xf>
    <xf numFmtId="169" fontId="67" fillId="0" borderId="0" xfId="26" applyFont="1" applyFill="1" applyAlignment="1">
      <alignment vertical="center"/>
    </xf>
    <xf numFmtId="9" fontId="67" fillId="10" borderId="0" xfId="26" applyNumberFormat="1" applyFont="1" applyFill="1" applyAlignment="1">
      <alignment vertical="center"/>
    </xf>
    <xf numFmtId="169" fontId="73" fillId="10" borderId="0" xfId="26" applyFont="1" applyFill="1" applyAlignment="1">
      <alignment vertical="center"/>
    </xf>
    <xf numFmtId="178" fontId="70" fillId="0" borderId="0" xfId="26" applyNumberFormat="1" applyFont="1" applyFill="1" applyAlignment="1">
      <alignment vertical="center"/>
    </xf>
    <xf numFmtId="169" fontId="70" fillId="0" borderId="0" xfId="26" applyFont="1" applyFill="1" applyAlignment="1">
      <alignment vertical="center"/>
    </xf>
    <xf numFmtId="169" fontId="5" fillId="0" borderId="0" xfId="26" applyFont="1" applyFill="1" applyAlignment="1">
      <alignment vertical="center"/>
    </xf>
    <xf numFmtId="169" fontId="14" fillId="0" borderId="0" xfId="26" applyFont="1" applyFill="1">
      <alignment vertical="top"/>
    </xf>
    <xf numFmtId="169" fontId="9" fillId="0" borderId="0" xfId="26" applyFont="1">
      <alignment vertical="top"/>
    </xf>
    <xf numFmtId="169" fontId="8" fillId="0" borderId="0" xfId="26" applyFont="1">
      <alignment vertical="top"/>
    </xf>
    <xf numFmtId="169" fontId="5" fillId="0" borderId="0" xfId="26" applyFont="1" applyAlignment="1">
      <alignment horizontal="right" vertical="top"/>
    </xf>
    <xf numFmtId="169" fontId="5" fillId="0" borderId="0" xfId="26" applyFont="1">
      <alignment vertical="top"/>
    </xf>
    <xf numFmtId="169" fontId="14" fillId="0" borderId="0" xfId="26" applyFont="1" applyAlignment="1">
      <alignment vertical="center"/>
    </xf>
    <xf numFmtId="169" fontId="2" fillId="0" borderId="0" xfId="26">
      <alignment vertical="top"/>
    </xf>
    <xf numFmtId="174" fontId="5" fillId="0" borderId="0" xfId="3" applyFill="1">
      <alignment vertical="top"/>
    </xf>
    <xf numFmtId="174" fontId="5" fillId="0" borderId="0" xfId="3">
      <alignment vertical="top"/>
    </xf>
    <xf numFmtId="174" fontId="8" fillId="0" borderId="0" xfId="3" applyFont="1">
      <alignment vertical="top"/>
    </xf>
    <xf numFmtId="174" fontId="5" fillId="0" borderId="0" xfId="3" applyAlignment="1">
      <alignment horizontal="right" vertical="top"/>
    </xf>
    <xf numFmtId="167" fontId="5" fillId="0" borderId="0" xfId="3" applyNumberFormat="1">
      <alignment vertical="top"/>
    </xf>
    <xf numFmtId="169" fontId="9" fillId="0" borderId="0" xfId="26" applyFont="1" applyFill="1">
      <alignment vertical="top"/>
    </xf>
    <xf numFmtId="167" fontId="5" fillId="0" borderId="0" xfId="26" applyNumberFormat="1" applyFont="1">
      <alignment vertical="top"/>
    </xf>
    <xf numFmtId="169" fontId="15" fillId="0" borderId="0" xfId="26" applyFont="1">
      <alignment vertical="top"/>
    </xf>
    <xf numFmtId="169" fontId="9" fillId="0" borderId="1" xfId="26" applyFont="1" applyBorder="1" applyAlignment="1">
      <alignment horizontal="right" vertical="top"/>
    </xf>
    <xf numFmtId="169" fontId="9" fillId="0" borderId="1" xfId="26" applyFont="1" applyBorder="1">
      <alignment vertical="top"/>
    </xf>
    <xf numFmtId="169" fontId="28" fillId="0" borderId="0" xfId="26" applyFont="1">
      <alignment vertical="top"/>
    </xf>
    <xf numFmtId="169" fontId="29" fillId="0" borderId="0" xfId="26" applyFont="1">
      <alignment vertical="top"/>
    </xf>
    <xf numFmtId="169" fontId="30" fillId="0" borderId="0" xfId="26" applyFont="1" applyAlignment="1">
      <alignment horizontal="right" vertical="top"/>
    </xf>
    <xf numFmtId="174" fontId="30" fillId="0" borderId="0" xfId="22" applyFont="1">
      <alignment vertical="top"/>
    </xf>
    <xf numFmtId="169" fontId="74" fillId="0" borderId="0" xfId="26" applyFont="1">
      <alignment vertical="top"/>
    </xf>
    <xf numFmtId="174" fontId="29" fillId="0" borderId="0" xfId="3" applyFont="1">
      <alignment vertical="top"/>
    </xf>
    <xf numFmtId="174" fontId="74" fillId="0" borderId="0" xfId="3" applyFont="1">
      <alignment vertical="top"/>
    </xf>
    <xf numFmtId="174" fontId="30" fillId="0" borderId="0" xfId="26" applyNumberFormat="1" applyFont="1">
      <alignment vertical="top"/>
    </xf>
    <xf numFmtId="169" fontId="30" fillId="0" borderId="0" xfId="26" applyFont="1">
      <alignment vertical="top"/>
    </xf>
    <xf numFmtId="0" fontId="30" fillId="0" borderId="0" xfId="20" applyNumberFormat="1" applyFont="1">
      <alignment vertical="top"/>
    </xf>
    <xf numFmtId="0" fontId="30" fillId="5" borderId="0" xfId="20" applyNumberFormat="1" applyFont="1" applyFill="1">
      <alignment vertical="top"/>
    </xf>
    <xf numFmtId="169" fontId="28" fillId="0" borderId="0" xfId="26" applyFont="1" applyFill="1">
      <alignment vertical="top"/>
    </xf>
    <xf numFmtId="167" fontId="30" fillId="0" borderId="0" xfId="26" applyNumberFormat="1" applyFont="1">
      <alignment vertical="top"/>
    </xf>
    <xf numFmtId="169" fontId="30" fillId="5" borderId="0" xfId="26" applyFont="1" applyFill="1">
      <alignment vertical="top"/>
    </xf>
    <xf numFmtId="171" fontId="28" fillId="0" borderId="0" xfId="27" applyFont="1" applyFill="1">
      <alignment vertical="top"/>
    </xf>
    <xf numFmtId="171" fontId="28" fillId="0" borderId="0" xfId="27" applyFont="1">
      <alignment vertical="top"/>
    </xf>
    <xf numFmtId="171" fontId="29" fillId="0" borderId="0" xfId="27" applyFont="1">
      <alignment vertical="top"/>
    </xf>
    <xf numFmtId="171" fontId="30" fillId="0" borderId="0" xfId="27" applyFont="1">
      <alignment vertical="top"/>
    </xf>
    <xf numFmtId="171" fontId="74" fillId="0" borderId="0" xfId="27" applyFont="1">
      <alignment vertical="top"/>
    </xf>
    <xf numFmtId="171" fontId="30" fillId="0" borderId="0" xfId="26" applyNumberFormat="1" applyFont="1">
      <alignment vertical="top"/>
    </xf>
    <xf numFmtId="169" fontId="29" fillId="0" borderId="0" xfId="26" applyFont="1" applyFill="1">
      <alignment vertical="top"/>
    </xf>
    <xf numFmtId="169" fontId="30" fillId="0" borderId="0" xfId="26" applyFont="1" applyFill="1" applyAlignment="1">
      <alignment horizontal="right" vertical="top"/>
    </xf>
    <xf numFmtId="169" fontId="30" fillId="0" borderId="0" xfId="26" applyFont="1" applyFill="1">
      <alignment vertical="top"/>
    </xf>
    <xf numFmtId="169" fontId="74" fillId="0" borderId="0" xfId="26" applyFont="1" applyFill="1">
      <alignment vertical="top"/>
    </xf>
    <xf numFmtId="170" fontId="30" fillId="0" borderId="0" xfId="28" applyFont="1">
      <alignment vertical="top"/>
    </xf>
    <xf numFmtId="169" fontId="28" fillId="0" borderId="0" xfId="26" applyFont="1" applyFill="1" applyBorder="1">
      <alignment vertical="top"/>
    </xf>
    <xf numFmtId="169" fontId="28" fillId="0" borderId="0" xfId="26" applyFont="1" applyBorder="1">
      <alignment vertical="top"/>
    </xf>
    <xf numFmtId="169" fontId="29" fillId="0" borderId="0" xfId="26" applyFont="1" applyBorder="1">
      <alignment vertical="top"/>
    </xf>
    <xf numFmtId="169" fontId="30" fillId="0" borderId="0" xfId="26" applyFont="1" applyBorder="1" applyAlignment="1">
      <alignment horizontal="right" vertical="top"/>
    </xf>
    <xf numFmtId="174" fontId="30" fillId="0" borderId="0" xfId="26" applyNumberFormat="1" applyFont="1" applyBorder="1" applyAlignment="1">
      <alignment vertical="center"/>
    </xf>
    <xf numFmtId="169" fontId="30" fillId="0" borderId="0" xfId="26" applyFont="1" applyBorder="1" applyAlignment="1">
      <alignment vertical="center"/>
    </xf>
    <xf numFmtId="169" fontId="75" fillId="0" borderId="0" xfId="26" applyFont="1" applyBorder="1" applyAlignment="1">
      <alignment vertical="center"/>
    </xf>
    <xf numFmtId="174" fontId="75" fillId="0" borderId="0" xfId="3" applyFont="1" applyBorder="1" applyAlignment="1">
      <alignment vertical="center"/>
    </xf>
    <xf numFmtId="169" fontId="30" fillId="0" borderId="0" xfId="26" applyFont="1" applyBorder="1">
      <alignment vertical="top"/>
    </xf>
    <xf numFmtId="169" fontId="74" fillId="0" borderId="0" xfId="26" applyFont="1" applyBorder="1">
      <alignment vertical="top"/>
    </xf>
    <xf numFmtId="174" fontId="75" fillId="0" borderId="0" xfId="26" applyNumberFormat="1" applyFont="1" applyBorder="1" applyAlignment="1">
      <alignment vertical="center"/>
    </xf>
    <xf numFmtId="174" fontId="30" fillId="0" borderId="0" xfId="3" applyFont="1" applyBorder="1">
      <alignment vertical="top"/>
    </xf>
    <xf numFmtId="167" fontId="30" fillId="0" borderId="0" xfId="26" applyNumberFormat="1" applyFont="1" applyBorder="1" applyAlignment="1">
      <alignment vertical="center"/>
    </xf>
    <xf numFmtId="167" fontId="75" fillId="0" borderId="0" xfId="26" applyNumberFormat="1" applyFont="1" applyBorder="1" applyAlignment="1">
      <alignment vertical="center"/>
    </xf>
    <xf numFmtId="173" fontId="30" fillId="0" borderId="0" xfId="29" applyFont="1">
      <alignment vertical="top"/>
    </xf>
    <xf numFmtId="169" fontId="19" fillId="0" borderId="0" xfId="26" applyFont="1">
      <alignment vertical="top"/>
    </xf>
    <xf numFmtId="174" fontId="19" fillId="0" borderId="0" xfId="26" applyNumberFormat="1" applyFont="1">
      <alignment vertical="top"/>
    </xf>
    <xf numFmtId="169" fontId="30" fillId="0" borderId="0" xfId="26" applyFont="1" applyFill="1" applyAlignment="1"/>
    <xf numFmtId="169" fontId="30" fillId="0" borderId="0" xfId="26" applyFont="1" applyFill="1" applyAlignment="1">
      <alignment vertical="center"/>
    </xf>
    <xf numFmtId="169" fontId="30" fillId="0" borderId="0" xfId="26" applyFont="1" applyAlignment="1"/>
    <xf numFmtId="180" fontId="30" fillId="0" borderId="0" xfId="26" applyNumberFormat="1" applyFont="1">
      <alignment vertical="top"/>
    </xf>
    <xf numFmtId="169" fontId="30" fillId="0" borderId="0" xfId="26" applyFont="1" applyAlignment="1">
      <alignment vertical="center"/>
    </xf>
    <xf numFmtId="167" fontId="30" fillId="0" borderId="0" xfId="26" applyNumberFormat="1" applyFont="1" applyAlignment="1">
      <alignment vertical="center"/>
    </xf>
    <xf numFmtId="170" fontId="30" fillId="0" borderId="0" xfId="28" applyFont="1" applyBorder="1">
      <alignment vertical="top"/>
    </xf>
    <xf numFmtId="169" fontId="28" fillId="0" borderId="0" xfId="26" applyFont="1" applyAlignment="1">
      <alignment horizontal="right"/>
    </xf>
    <xf numFmtId="169" fontId="30" fillId="0" borderId="4" xfId="26" applyFont="1" applyBorder="1">
      <alignment vertical="top"/>
    </xf>
    <xf numFmtId="170" fontId="30" fillId="0" borderId="4" xfId="28" applyFont="1" applyBorder="1">
      <alignment vertical="top"/>
    </xf>
    <xf numFmtId="167" fontId="30" fillId="0" borderId="0" xfId="26" applyNumberFormat="1" applyFont="1" applyFill="1" applyBorder="1" applyAlignment="1">
      <alignment vertical="center"/>
    </xf>
    <xf numFmtId="187" fontId="75" fillId="0" borderId="0" xfId="26" applyNumberFormat="1" applyFont="1" applyFill="1" applyBorder="1" applyAlignment="1">
      <alignment vertical="center"/>
    </xf>
    <xf numFmtId="187" fontId="75" fillId="0" borderId="0" xfId="26" applyNumberFormat="1" applyFont="1" applyBorder="1" applyAlignment="1">
      <alignment vertical="center"/>
    </xf>
    <xf numFmtId="167" fontId="30" fillId="0" borderId="4" xfId="26" applyNumberFormat="1" applyFont="1" applyFill="1" applyBorder="1" applyAlignment="1">
      <alignment vertical="center"/>
    </xf>
    <xf numFmtId="169" fontId="30" fillId="0" borderId="4" xfId="26" applyFont="1" applyBorder="1" applyAlignment="1">
      <alignment vertical="center"/>
    </xf>
    <xf numFmtId="192" fontId="30" fillId="0" borderId="0" xfId="28" applyNumberFormat="1" applyFont="1" applyAlignment="1">
      <alignment vertical="center"/>
    </xf>
    <xf numFmtId="169" fontId="74" fillId="0" borderId="0" xfId="26" applyFont="1" applyBorder="1" applyAlignment="1">
      <alignment vertical="center"/>
    </xf>
    <xf numFmtId="170" fontId="30" fillId="0" borderId="4" xfId="28" applyFont="1" applyFill="1" applyBorder="1">
      <alignment vertical="top"/>
    </xf>
    <xf numFmtId="180" fontId="75" fillId="0" borderId="0" xfId="26" applyNumberFormat="1" applyFont="1" applyBorder="1" applyAlignment="1">
      <alignment vertical="center"/>
    </xf>
    <xf numFmtId="180" fontId="75" fillId="0" borderId="0" xfId="26" applyNumberFormat="1" applyFont="1" applyFill="1" applyBorder="1" applyAlignment="1">
      <alignment vertical="center"/>
    </xf>
    <xf numFmtId="169" fontId="6" fillId="0" borderId="0" xfId="26" applyFont="1" applyBorder="1" applyAlignment="1">
      <alignment vertical="center"/>
    </xf>
    <xf numFmtId="169" fontId="5" fillId="0" borderId="0" xfId="26" applyFont="1" applyBorder="1">
      <alignment vertical="top"/>
    </xf>
    <xf numFmtId="167" fontId="6" fillId="0" borderId="0" xfId="26" applyNumberFormat="1" applyFont="1" applyBorder="1" applyAlignment="1">
      <alignment vertical="center"/>
    </xf>
    <xf numFmtId="192" fontId="6" fillId="0" borderId="0" xfId="28" applyNumberFormat="1" applyFont="1" applyBorder="1" applyAlignment="1">
      <alignment vertical="center"/>
    </xf>
    <xf numFmtId="167" fontId="6" fillId="0" borderId="0" xfId="26" applyNumberFormat="1" applyFont="1" applyAlignment="1">
      <alignment vertical="center"/>
    </xf>
    <xf numFmtId="169" fontId="75" fillId="0" borderId="0" xfId="26" applyFont="1" applyFill="1" applyAlignment="1">
      <alignment vertical="center"/>
    </xf>
    <xf numFmtId="193" fontId="74" fillId="0" borderId="0" xfId="5" applyFont="1">
      <alignment vertical="top"/>
    </xf>
    <xf numFmtId="167" fontId="68" fillId="0" borderId="13" xfId="0" applyFont="1" applyBorder="1">
      <alignment vertical="top"/>
    </xf>
    <xf numFmtId="167" fontId="6" fillId="0" borderId="0" xfId="0" applyFont="1">
      <alignment vertical="top"/>
    </xf>
    <xf numFmtId="167" fontId="68" fillId="0" borderId="14" xfId="0" applyFont="1" applyBorder="1">
      <alignment vertical="top"/>
    </xf>
    <xf numFmtId="167" fontId="68" fillId="0" borderId="15" xfId="0" applyFont="1" applyBorder="1">
      <alignment vertical="top"/>
    </xf>
    <xf numFmtId="167" fontId="66" fillId="0" borderId="0" xfId="0" applyFont="1">
      <alignment vertical="top"/>
    </xf>
    <xf numFmtId="167" fontId="71" fillId="0" borderId="4" xfId="0" applyFont="1" applyBorder="1">
      <alignment vertical="top"/>
    </xf>
    <xf numFmtId="169" fontId="23" fillId="0" borderId="0" xfId="1" applyNumberFormat="1" applyFont="1" applyFill="1" applyBorder="1">
      <alignment vertical="top"/>
    </xf>
    <xf numFmtId="191" fontId="68" fillId="0" borderId="12" xfId="5" applyNumberFormat="1" applyFont="1" applyBorder="1" applyAlignment="1">
      <alignment horizontal="right" vertical="center"/>
    </xf>
    <xf numFmtId="169" fontId="5" fillId="0" borderId="4" xfId="1" applyNumberFormat="1" applyFont="1" applyBorder="1">
      <alignment vertical="top"/>
    </xf>
    <xf numFmtId="167" fontId="21" fillId="0" borderId="2" xfId="14" applyFont="1" applyFill="1" applyBorder="1">
      <alignment vertical="top"/>
    </xf>
    <xf numFmtId="167" fontId="22" fillId="0" borderId="2" xfId="14" applyFont="1" applyFill="1" applyBorder="1">
      <alignment vertical="top"/>
    </xf>
    <xf numFmtId="167" fontId="23" fillId="0" borderId="2" xfId="14" applyFont="1" applyFill="1" applyBorder="1" applyAlignment="1">
      <alignment horizontal="right" vertical="top"/>
    </xf>
    <xf numFmtId="167" fontId="23" fillId="0" borderId="2" xfId="14" applyFont="1" applyBorder="1">
      <alignment vertical="top"/>
    </xf>
    <xf numFmtId="167" fontId="23" fillId="0" borderId="2" xfId="14" applyFont="1" applyFill="1" applyBorder="1">
      <alignment vertical="top"/>
    </xf>
    <xf numFmtId="167" fontId="19" fillId="0" borderId="0" xfId="10" applyNumberFormat="1" applyFont="1" applyFill="1" applyBorder="1" applyProtection="1">
      <alignment vertical="top"/>
    </xf>
    <xf numFmtId="172" fontId="28" fillId="0" borderId="0" xfId="9" applyFont="1">
      <alignment vertical="top"/>
    </xf>
    <xf numFmtId="172" fontId="29" fillId="0" borderId="0" xfId="9" applyFont="1">
      <alignment vertical="top"/>
    </xf>
    <xf numFmtId="172" fontId="19" fillId="0" borderId="0" xfId="9" applyFont="1">
      <alignment vertical="top"/>
    </xf>
    <xf numFmtId="172" fontId="74" fillId="0" borderId="0" xfId="9" applyFont="1">
      <alignment vertical="top"/>
    </xf>
    <xf numFmtId="167" fontId="9" fillId="12" borderId="0" xfId="1" applyFont="1" applyFill="1" applyBorder="1">
      <alignment vertical="top"/>
    </xf>
    <xf numFmtId="167" fontId="8" fillId="12" borderId="0" xfId="1" applyFont="1" applyFill="1" applyBorder="1">
      <alignment vertical="top"/>
    </xf>
    <xf numFmtId="167" fontId="5" fillId="12" borderId="0" xfId="1" applyFont="1" applyFill="1" applyBorder="1" applyAlignment="1">
      <alignment horizontal="right" vertical="top"/>
    </xf>
    <xf numFmtId="167" fontId="5" fillId="12" borderId="0" xfId="1" applyFont="1" applyFill="1" applyBorder="1">
      <alignment vertical="top"/>
    </xf>
    <xf numFmtId="167" fontId="5" fillId="12" borderId="3" xfId="1" applyFont="1" applyFill="1" applyBorder="1">
      <alignment vertical="top"/>
    </xf>
    <xf numFmtId="167" fontId="9" fillId="12" borderId="3" xfId="1" applyFont="1" applyFill="1" applyBorder="1">
      <alignment vertical="top"/>
    </xf>
    <xf numFmtId="167" fontId="8" fillId="12" borderId="3" xfId="1" applyFont="1" applyFill="1" applyBorder="1">
      <alignment vertical="top"/>
    </xf>
    <xf numFmtId="167" fontId="5" fillId="12" borderId="3" xfId="1" applyFont="1" applyFill="1" applyBorder="1" applyAlignment="1">
      <alignment horizontal="right" vertical="top"/>
    </xf>
    <xf numFmtId="169" fontId="67" fillId="0" borderId="0" xfId="26" applyFont="1" applyFill="1" applyBorder="1" applyAlignment="1">
      <alignment vertical="center"/>
    </xf>
    <xf numFmtId="170" fontId="0" fillId="0" borderId="0" xfId="14" applyNumberFormat="1" applyFont="1" applyFill="1">
      <alignment vertical="top"/>
    </xf>
    <xf numFmtId="167" fontId="23" fillId="0" borderId="0" xfId="0" applyFont="1" applyFill="1" applyAlignment="1">
      <alignment horizontal="left" vertical="top"/>
    </xf>
    <xf numFmtId="169" fontId="23" fillId="0" borderId="4" xfId="14" applyNumberFormat="1" applyFont="1" applyFill="1" applyBorder="1">
      <alignment vertical="top"/>
    </xf>
    <xf numFmtId="174" fontId="30" fillId="0" borderId="0" xfId="1" applyNumberFormat="1" applyFont="1" applyFill="1" applyBorder="1">
      <alignment vertical="top"/>
    </xf>
    <xf numFmtId="167" fontId="5" fillId="0" borderId="0" xfId="26" applyNumberFormat="1" applyFont="1" applyFill="1">
      <alignment vertical="top"/>
    </xf>
    <xf numFmtId="169" fontId="5" fillId="0" borderId="0" xfId="26" applyFont="1" applyFill="1">
      <alignment vertical="top"/>
    </xf>
    <xf numFmtId="18" fontId="5" fillId="0" borderId="0" xfId="26" applyNumberFormat="1" applyFont="1" applyFill="1">
      <alignment vertical="top"/>
    </xf>
    <xf numFmtId="170" fontId="5" fillId="6" borderId="5" xfId="20" applyNumberFormat="1" applyFont="1" applyFill="1" applyBorder="1">
      <alignment vertical="top"/>
    </xf>
    <xf numFmtId="169" fontId="7" fillId="6" borderId="0" xfId="9" applyNumberFormat="1" applyFont="1" applyFill="1" applyBorder="1">
      <alignment vertical="top"/>
    </xf>
    <xf numFmtId="169" fontId="0" fillId="0" borderId="0" xfId="1" applyNumberFormat="1" applyFont="1" applyFill="1" applyBorder="1">
      <alignment vertical="top"/>
    </xf>
    <xf numFmtId="167" fontId="23" fillId="0" borderId="4" xfId="0" applyFont="1" applyFill="1" applyBorder="1">
      <alignment vertical="top"/>
    </xf>
    <xf numFmtId="167" fontId="21" fillId="0" borderId="4" xfId="0" applyFont="1" applyBorder="1">
      <alignment vertical="top"/>
    </xf>
    <xf numFmtId="167" fontId="23" fillId="0" borderId="4" xfId="0" applyFont="1" applyBorder="1">
      <alignment vertical="top"/>
    </xf>
    <xf numFmtId="167" fontId="30" fillId="7" borderId="5" xfId="14" applyFont="1" applyFill="1" applyBorder="1">
      <alignment vertical="top"/>
    </xf>
    <xf numFmtId="169" fontId="5" fillId="0" borderId="0" xfId="5" applyNumberFormat="1" applyFont="1">
      <alignment vertical="top"/>
    </xf>
    <xf numFmtId="193" fontId="5" fillId="0" borderId="0" xfId="5" applyFill="1">
      <alignment vertical="top"/>
    </xf>
    <xf numFmtId="169" fontId="30" fillId="0" borderId="4" xfId="1" applyNumberFormat="1" applyFont="1" applyBorder="1">
      <alignment vertical="top"/>
    </xf>
    <xf numFmtId="169" fontId="0" fillId="0" borderId="0" xfId="5" applyNumberFormat="1" applyFont="1">
      <alignment vertical="top"/>
    </xf>
    <xf numFmtId="169" fontId="30" fillId="0" borderId="0" xfId="14" applyNumberFormat="1" applyFont="1">
      <alignment vertical="top"/>
    </xf>
    <xf numFmtId="173" fontId="30" fillId="0" borderId="0" xfId="2" applyFont="1">
      <alignment vertical="top"/>
    </xf>
    <xf numFmtId="169" fontId="23" fillId="0" borderId="0" xfId="10" applyFont="1" applyFill="1">
      <alignment vertical="top"/>
    </xf>
    <xf numFmtId="169" fontId="59" fillId="0" borderId="0" xfId="10" applyFont="1">
      <alignment vertical="top"/>
    </xf>
    <xf numFmtId="167" fontId="30" fillId="0" borderId="2" xfId="0" applyFont="1" applyFill="1" applyBorder="1">
      <alignment vertical="top"/>
    </xf>
    <xf numFmtId="193" fontId="19" fillId="0" borderId="8" xfId="5" applyFont="1" applyFill="1" applyBorder="1">
      <alignment vertical="top"/>
    </xf>
    <xf numFmtId="170" fontId="5" fillId="0" borderId="0" xfId="1" applyNumberFormat="1" applyFont="1" applyFill="1" applyBorder="1">
      <alignment vertical="top"/>
    </xf>
    <xf numFmtId="167" fontId="68" fillId="0" borderId="0" xfId="0" applyFont="1" applyBorder="1">
      <alignment vertical="top"/>
    </xf>
    <xf numFmtId="170" fontId="68" fillId="0" borderId="0" xfId="28" applyFont="1" applyBorder="1" applyAlignment="1">
      <alignment vertical="center"/>
    </xf>
    <xf numFmtId="171" fontId="7" fillId="6" borderId="5" xfId="4" applyFont="1" applyFill="1" applyBorder="1">
      <alignment vertical="top"/>
    </xf>
    <xf numFmtId="167" fontId="0" fillId="6" borderId="7" xfId="1" applyFont="1" applyFill="1" applyBorder="1">
      <alignment vertical="top"/>
    </xf>
    <xf numFmtId="167" fontId="0" fillId="6" borderId="6" xfId="1" applyFont="1" applyFill="1" applyBorder="1">
      <alignment vertical="top"/>
    </xf>
    <xf numFmtId="171" fontId="28" fillId="0" borderId="0" xfId="4" applyFont="1" applyFill="1">
      <alignment vertical="top"/>
    </xf>
    <xf numFmtId="171" fontId="28" fillId="0" borderId="0" xfId="4" applyFont="1">
      <alignment vertical="top"/>
    </xf>
    <xf numFmtId="171" fontId="29" fillId="0" borderId="0" xfId="4" applyFont="1">
      <alignment vertical="top"/>
    </xf>
    <xf numFmtId="171" fontId="74" fillId="0" borderId="0" xfId="4" applyFont="1">
      <alignment vertical="top"/>
    </xf>
    <xf numFmtId="180" fontId="30" fillId="0" borderId="0" xfId="4" applyNumberFormat="1" applyFont="1">
      <alignment vertical="top"/>
    </xf>
    <xf numFmtId="169" fontId="21" fillId="0" borderId="0" xfId="26" applyFont="1" applyFill="1">
      <alignment vertical="top"/>
    </xf>
    <xf numFmtId="169" fontId="21" fillId="0" borderId="0" xfId="26" applyFont="1">
      <alignment vertical="top"/>
    </xf>
    <xf numFmtId="169" fontId="22" fillId="0" borderId="0" xfId="26" applyFont="1">
      <alignment vertical="top"/>
    </xf>
    <xf numFmtId="169" fontId="23" fillId="0" borderId="0" xfId="26" applyFont="1" applyAlignment="1">
      <alignment horizontal="right" vertical="top"/>
    </xf>
    <xf numFmtId="167" fontId="23" fillId="0" borderId="0" xfId="26" applyNumberFormat="1" applyFont="1" applyFill="1" applyBorder="1" applyAlignment="1">
      <alignment vertical="center"/>
    </xf>
    <xf numFmtId="170" fontId="23" fillId="0" borderId="0" xfId="28" applyFont="1" applyBorder="1">
      <alignment vertical="top"/>
    </xf>
    <xf numFmtId="169" fontId="78" fillId="0" borderId="0" xfId="26" applyFont="1" applyBorder="1" applyAlignment="1">
      <alignment vertical="center"/>
    </xf>
    <xf numFmtId="187" fontId="78" fillId="0" borderId="0" xfId="26" applyNumberFormat="1" applyFont="1" applyBorder="1" applyAlignment="1">
      <alignment vertical="center"/>
    </xf>
    <xf numFmtId="169" fontId="23" fillId="0" borderId="0" xfId="26" applyFont="1">
      <alignment vertical="top"/>
    </xf>
    <xf numFmtId="169" fontId="77" fillId="0" borderId="0" xfId="26" applyFont="1">
      <alignment vertical="top"/>
    </xf>
    <xf numFmtId="171" fontId="68" fillId="3" borderId="11" xfId="27" applyFont="1" applyFill="1" applyBorder="1" applyAlignment="1">
      <alignment vertical="center"/>
    </xf>
    <xf numFmtId="169" fontId="30" fillId="3" borderId="0" xfId="4" applyNumberFormat="1" applyFont="1" applyFill="1">
      <alignment vertical="top"/>
    </xf>
    <xf numFmtId="167" fontId="79" fillId="0" borderId="0" xfId="0" applyFont="1">
      <alignment vertical="top"/>
    </xf>
    <xf numFmtId="193" fontId="33" fillId="5" borderId="0" xfId="5" applyFont="1" applyFill="1">
      <alignment vertical="top"/>
    </xf>
    <xf numFmtId="193" fontId="7" fillId="5" borderId="0" xfId="5" applyFont="1" applyFill="1">
      <alignment vertical="top"/>
    </xf>
    <xf numFmtId="193" fontId="7" fillId="6" borderId="5" xfId="5" applyFont="1" applyFill="1" applyBorder="1">
      <alignment vertical="top"/>
    </xf>
    <xf numFmtId="167" fontId="5" fillId="8" borderId="0" xfId="0" applyFont="1" applyFill="1" applyBorder="1" applyAlignment="1">
      <alignment horizontal="center" vertical="top"/>
    </xf>
    <xf numFmtId="167" fontId="50" fillId="0" borderId="0" xfId="0" applyFont="1">
      <alignment vertical="top"/>
    </xf>
    <xf numFmtId="167" fontId="80" fillId="0" borderId="0" xfId="0" applyFont="1" applyFill="1" applyBorder="1">
      <alignment vertical="top"/>
    </xf>
    <xf numFmtId="167" fontId="80" fillId="0" borderId="0" xfId="0" applyFont="1">
      <alignment vertical="top"/>
    </xf>
    <xf numFmtId="167" fontId="81" fillId="0" borderId="0" xfId="0" applyFont="1">
      <alignment vertical="top"/>
    </xf>
    <xf numFmtId="171" fontId="50" fillId="0" borderId="0" xfId="4" applyFont="1">
      <alignment vertical="top"/>
    </xf>
    <xf numFmtId="171" fontId="81" fillId="0" borderId="0" xfId="4" applyFont="1">
      <alignment vertical="top"/>
    </xf>
    <xf numFmtId="193" fontId="80" fillId="0" borderId="0" xfId="5" applyFont="1" applyFill="1" applyBorder="1">
      <alignment vertical="top"/>
    </xf>
    <xf numFmtId="194" fontId="19" fillId="0" borderId="0" xfId="0" applyNumberFormat="1" applyFont="1">
      <alignment vertical="top"/>
    </xf>
    <xf numFmtId="194" fontId="5" fillId="0" borderId="0" xfId="0" applyNumberFormat="1" applyFont="1">
      <alignment vertical="top"/>
    </xf>
    <xf numFmtId="169" fontId="19" fillId="0" borderId="0" xfId="0" applyNumberFormat="1" applyFont="1">
      <alignment vertical="top"/>
    </xf>
    <xf numFmtId="169" fontId="5" fillId="0" borderId="0" xfId="0" applyNumberFormat="1" applyFont="1">
      <alignment vertical="top"/>
    </xf>
    <xf numFmtId="177" fontId="0" fillId="7" borderId="0" xfId="0" applyNumberFormat="1" applyFill="1">
      <alignment vertical="top"/>
    </xf>
    <xf numFmtId="167" fontId="82" fillId="0" borderId="0" xfId="0" applyFont="1">
      <alignment vertical="top"/>
    </xf>
    <xf numFmtId="167" fontId="23" fillId="3" borderId="0" xfId="0" applyFont="1" applyFill="1">
      <alignment vertical="top"/>
    </xf>
    <xf numFmtId="169" fontId="23" fillId="3" borderId="0" xfId="1" applyNumberFormat="1" applyFont="1" applyFill="1" applyBorder="1">
      <alignment vertical="top"/>
    </xf>
    <xf numFmtId="167" fontId="5" fillId="0" borderId="0" xfId="4" applyNumberFormat="1" applyFont="1" applyFill="1" applyBorder="1">
      <alignment vertical="top"/>
    </xf>
    <xf numFmtId="194" fontId="5" fillId="0" borderId="0" xfId="4" applyNumberFormat="1" applyFont="1" applyFill="1" applyBorder="1">
      <alignment vertical="top"/>
    </xf>
    <xf numFmtId="170" fontId="5" fillId="6" borderId="5" xfId="1" applyNumberFormat="1" applyFont="1" applyFill="1" applyBorder="1">
      <alignment vertical="top"/>
    </xf>
    <xf numFmtId="167" fontId="0" fillId="3" borderId="0" xfId="1" applyFont="1" applyFill="1">
      <alignment vertical="top"/>
    </xf>
    <xf numFmtId="170" fontId="5" fillId="0" borderId="0" xfId="1" applyNumberFormat="1" applyFont="1" applyAlignment="1">
      <alignment vertical="top" wrapText="1"/>
    </xf>
    <xf numFmtId="169" fontId="23" fillId="0" borderId="0" xfId="1" applyNumberFormat="1" applyFont="1">
      <alignment vertical="top"/>
    </xf>
  </cellXfs>
  <cellStyles count="34">
    <cellStyle name="Comma" xfId="1" builtinId="3"/>
    <cellStyle name="Comma [0]" xfId="6" builtinId="6" hidden="1"/>
    <cellStyle name="Comma 2" xfId="14" xr:uid="{B4151A07-1AF0-49F8-A78C-B94F167BEE2E}"/>
    <cellStyle name="Comma 4" xfId="21" xr:uid="{E938205D-51AE-4ED4-9097-23237D75E905}"/>
    <cellStyle name="Comma 4 2" xfId="25" xr:uid="{E416C7BD-7028-4D30-9246-9E90DD2B3330}"/>
    <cellStyle name="Currency" xfId="7" builtinId="4" hidden="1"/>
    <cellStyle name="Currency [0]" xfId="8" builtinId="7" hidden="1"/>
    <cellStyle name="DateLong" xfId="2" xr:uid="{00000000-0005-0000-0000-000004000000}"/>
    <cellStyle name="DateLong 2" xfId="29" xr:uid="{3F60730B-2E1D-48D6-96DF-5F443B1DB0FE}"/>
    <cellStyle name="DateShort" xfId="3" xr:uid="{00000000-0005-0000-0000-000005000000}"/>
    <cellStyle name="DateShort 2" xfId="22" xr:uid="{3561C387-7AE1-4B95-BD79-33A6137CDC11}"/>
    <cellStyle name="DateShort 3" xfId="15" xr:uid="{FE762435-B699-429C-85B9-58FFCB4A77DC}"/>
    <cellStyle name="DateShort 3 2" xfId="19" xr:uid="{EB5FF29A-A7E7-4332-AEB0-BC70524276C5}"/>
    <cellStyle name="DateShort 3 3" xfId="33" xr:uid="{7197F509-286B-4971-8098-E33E6A63A29A}"/>
    <cellStyle name="Factor" xfId="4" xr:uid="{00000000-0005-0000-0000-000006000000}"/>
    <cellStyle name="Factor 2" xfId="27" xr:uid="{682DD7F1-5024-40B8-BD78-7351CB59C4CD}"/>
    <cellStyle name="Factor 3" xfId="12" xr:uid="{58ABB3A3-ADC5-47FE-B2F5-C2E918B6658C}"/>
    <cellStyle name="Factor 3 2" xfId="17" xr:uid="{6ED37B29-D479-45DC-AF4A-E6A978FCE451}"/>
    <cellStyle name="Factor 3 3" xfId="31" xr:uid="{972E3548-8982-404A-B778-01F25ACDAE4A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Normal 2 2 2" xfId="16" xr:uid="{148F17DC-2AFF-4926-8EA2-589D3CF96D68}"/>
    <cellStyle name="Normal 2 2 3" xfId="30" xr:uid="{30D11CB3-860C-4AA8-B169-4ED2F321DBA5}"/>
    <cellStyle name="Normal 2 7" xfId="24" xr:uid="{E5513DAD-1A49-4B4A-A29F-7483CC61E231}"/>
    <cellStyle name="Normal 3" xfId="26" xr:uid="{DC2EEAFF-7F55-4A12-B649-07B7F6C9A6FE}"/>
    <cellStyle name="Normal 8 2" xfId="23" xr:uid="{0BE8DDB9-C206-4EB9-8AC5-575E6A8BAC97}"/>
    <cellStyle name="Percent" xfId="5" builtinId="5" customBuiltin="1"/>
    <cellStyle name="Percent 2" xfId="28" xr:uid="{07078572-01EB-4C7E-8F5F-A5E8E4A95CD5}"/>
    <cellStyle name="Percent 2 2" xfId="13" xr:uid="{743C0714-AF51-4F17-9B24-D14DC1118F73}"/>
    <cellStyle name="Percent 2 2 2" xfId="18" xr:uid="{30BDF916-786F-4DD9-B05E-1B52B8D55DB3}"/>
    <cellStyle name="Percent 2 2 3" xfId="32" xr:uid="{3D800EB6-9082-4ED6-9375-45C48FC66309}"/>
    <cellStyle name="Year" xfId="9" xr:uid="{00000000-0005-0000-0000-00000A000000}"/>
    <cellStyle name="Year 2" xfId="20" xr:uid="{221F8FBA-86E5-4369-90AE-DE8FED8D83EA}"/>
  </cellStyles>
  <dxfs count="1060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strike/>
        <color theme="0" tint="-0.3499862666707357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1859C"/>
      <color rgb="FFFFFF99"/>
      <color rgb="FF808080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5810365321545"/>
          <c:y val="0.1180528627388913"/>
          <c:w val="0.86317635954805561"/>
          <c:h val="0.79049855577098094"/>
        </c:manualLayout>
      </c:layou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60000"/>
                <a:lumOff val="40000"/>
              </a:schemeClr>
            </a:solidFill>
            <a:ln w="57150">
              <a:noFill/>
            </a:ln>
            <a:effectLst/>
          </c:spPr>
          <c:invertIfNegative val="0"/>
          <c:val>
            <c:numRef>
              <c:f>'Chart data'!$J$21:$CV$21</c:f>
              <c:numCache>
                <c:formatCode>#,##0_);\(#,##0\);"-  ";" "@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12686.671356945051</c:v>
                </c:pt>
                <c:pt idx="6">
                  <c:v>11219.578313619157</c:v>
                </c:pt>
                <c:pt idx="7">
                  <c:v>11246.683026259163</c:v>
                </c:pt>
                <c:pt idx="8">
                  <c:v>11134.906831418644</c:v>
                </c:pt>
                <c:pt idx="9">
                  <c:v>11160.497290778691</c:v>
                </c:pt>
                <c:pt idx="10">
                  <c:v>11049.147667919469</c:v>
                </c:pt>
                <c:pt idx="11">
                  <c:v>11073.197450820346</c:v>
                </c:pt>
                <c:pt idx="12">
                  <c:v>10977.313489020877</c:v>
                </c:pt>
                <c:pt idx="13">
                  <c:v>10969.723974284556</c:v>
                </c:pt>
                <c:pt idx="14">
                  <c:v>10874.27318110882</c:v>
                </c:pt>
                <c:pt idx="15">
                  <c:v>10895.160171361602</c:v>
                </c:pt>
                <c:pt idx="16">
                  <c:v>10785.110133328311</c:v>
                </c:pt>
                <c:pt idx="17">
                  <c:v>10804.373888164411</c:v>
                </c:pt>
                <c:pt idx="18">
                  <c:v>10694.76392796511</c:v>
                </c:pt>
                <c:pt idx="19">
                  <c:v>10712.37579856183</c:v>
                </c:pt>
                <c:pt idx="20">
                  <c:v>10617.752823814142</c:v>
                </c:pt>
                <c:pt idx="21">
                  <c:v>10604.596909622556</c:v>
                </c:pt>
                <c:pt idx="22">
                  <c:v>10510.421245766829</c:v>
                </c:pt>
                <c:pt idx="23">
                  <c:v>10524.641040765775</c:v>
                </c:pt>
                <c:pt idx="24">
                  <c:v>10416.373099274493</c:v>
                </c:pt>
                <c:pt idx="25">
                  <c:v>10428.851504537852</c:v>
                </c:pt>
                <c:pt idx="26">
                  <c:v>10321.038445702476</c:v>
                </c:pt>
                <c:pt idx="27">
                  <c:v>10331.74438166013</c:v>
                </c:pt>
                <c:pt idx="28">
                  <c:v>10238.413866724009</c:v>
                </c:pt>
                <c:pt idx="29">
                  <c:v>10219.268154047048</c:v>
                </c:pt>
                <c:pt idx="30">
                  <c:v>10126.400443477962</c:v>
                </c:pt>
                <c:pt idx="31">
                  <c:v>10133.465715349392</c:v>
                </c:pt>
                <c:pt idx="32">
                  <c:v>10027.041163247522</c:v>
                </c:pt>
                <c:pt idx="33">
                  <c:v>10032.236926693096</c:v>
                </c:pt>
                <c:pt idx="34">
                  <c:v>9926.2834676298662</c:v>
                </c:pt>
                <c:pt idx="35">
                  <c:v>9929.5775194771086</c:v>
                </c:pt>
                <c:pt idx="36">
                  <c:v>9837.5746264223908</c:v>
                </c:pt>
                <c:pt idx="37">
                  <c:v>9811.9812368171188</c:v>
                </c:pt>
                <c:pt idx="38">
                  <c:v>9720.4606172373533</c:v>
                </c:pt>
                <c:pt idx="39">
                  <c:v>-2.024773110608092E-4</c:v>
                </c:pt>
                <c:pt idx="40">
                  <c:v>-1.9917605055438296E-4</c:v>
                </c:pt>
                <c:pt idx="41">
                  <c:v>-2.024773110608092E-4</c:v>
                </c:pt>
                <c:pt idx="42">
                  <c:v>-1.9917605055438296E-4</c:v>
                </c:pt>
                <c:pt idx="43">
                  <c:v>-2.024773110608092E-4</c:v>
                </c:pt>
                <c:pt idx="44">
                  <c:v>-2.0027647072319173E-4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8AA-4EB0-9740-C235DFE9C696}"/>
            </c:ext>
          </c:extLst>
        </c:ser>
        <c:ser>
          <c:idx val="2"/>
          <c:order val="2"/>
          <c:tx>
            <c:v>Cash sweep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'Chart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8AA-4EB0-9740-C235DFE9C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36553856"/>
        <c:axId val="36555392"/>
      </c:barChart>
      <c:lineChart>
        <c:grouping val="standard"/>
        <c:varyColors val="0"/>
        <c:ser>
          <c:idx val="0"/>
          <c:order val="0"/>
          <c:tx>
            <c:v>CFADS</c:v>
          </c:tx>
          <c:spPr>
            <a:ln w="6350" cap="rnd">
              <a:solidFill>
                <a:srgbClr val="376092"/>
              </a:solidFill>
              <a:round/>
            </a:ln>
            <a:effectLst/>
          </c:spPr>
          <c:marker>
            <c:symbol val="none"/>
          </c:marker>
          <c:val>
            <c:numRef>
              <c:f>'Chart data'!$J$20:$CV$20</c:f>
              <c:numCache>
                <c:formatCode>#,##0_);\(#,##0\);"-  ";" "@" "</c:formatCode>
                <c:ptCount val="91"/>
                <c:pt idx="0">
                  <c:v>-1.5558398445136845E-6</c:v>
                </c:pt>
                <c:pt idx="1">
                  <c:v>-1.2466658517951146E-5</c:v>
                </c:pt>
                <c:pt idx="2">
                  <c:v>-1.6754362150095403E-5</c:v>
                </c:pt>
                <c:pt idx="3">
                  <c:v>-1.9422688637860119E-5</c:v>
                </c:pt>
                <c:pt idx="4">
                  <c:v>-3.9676149608567357E-3</c:v>
                </c:pt>
                <c:pt idx="5">
                  <c:v>17761.339089615478</c:v>
                </c:pt>
                <c:pt idx="6">
                  <c:v>15707.408907742485</c:v>
                </c:pt>
                <c:pt idx="7">
                  <c:v>15745.355493650644</c:v>
                </c:pt>
                <c:pt idx="8">
                  <c:v>15588.868818823899</c:v>
                </c:pt>
                <c:pt idx="9">
                  <c:v>15624.695450132087</c:v>
                </c:pt>
                <c:pt idx="10">
                  <c:v>15468.805976611518</c:v>
                </c:pt>
                <c:pt idx="11">
                  <c:v>15502.475660941096</c:v>
                </c:pt>
                <c:pt idx="12">
                  <c:v>15368.238112158891</c:v>
                </c:pt>
                <c:pt idx="13">
                  <c:v>15357.612782223849</c:v>
                </c:pt>
                <c:pt idx="14">
                  <c:v>15223.981670526602</c:v>
                </c:pt>
                <c:pt idx="15">
                  <c:v>15253.223441594726</c:v>
                </c:pt>
                <c:pt idx="16">
                  <c:v>15099.15338854069</c:v>
                </c:pt>
                <c:pt idx="17">
                  <c:v>15126.122633909146</c:v>
                </c:pt>
                <c:pt idx="18">
                  <c:v>14972.668690608356</c:v>
                </c:pt>
                <c:pt idx="19">
                  <c:v>14997.325298446642</c:v>
                </c:pt>
                <c:pt idx="20">
                  <c:v>14864.853133923503</c:v>
                </c:pt>
                <c:pt idx="21">
                  <c:v>14846.434846161274</c:v>
                </c:pt>
                <c:pt idx="22">
                  <c:v>14714.588918503887</c:v>
                </c:pt>
                <c:pt idx="23">
                  <c:v>14734.496621546412</c:v>
                </c:pt>
                <c:pt idx="24">
                  <c:v>14582.921507009845</c:v>
                </c:pt>
                <c:pt idx="25">
                  <c:v>14600.391254152939</c:v>
                </c:pt>
                <c:pt idx="26">
                  <c:v>14449.45297630897</c:v>
                </c:pt>
                <c:pt idx="27">
                  <c:v>14464.441277785036</c:v>
                </c:pt>
                <c:pt idx="28">
                  <c:v>14333.778560490962</c:v>
                </c:pt>
                <c:pt idx="29">
                  <c:v>14306.974557657806</c:v>
                </c:pt>
                <c:pt idx="30">
                  <c:v>14176.959768611989</c:v>
                </c:pt>
                <c:pt idx="31">
                  <c:v>14186.851142225703</c:v>
                </c:pt>
                <c:pt idx="32">
                  <c:v>14037.856776993409</c:v>
                </c:pt>
                <c:pt idx="33">
                  <c:v>14045.130839844553</c:v>
                </c:pt>
                <c:pt idx="34">
                  <c:v>13896.7960059342</c:v>
                </c:pt>
                <c:pt idx="35">
                  <c:v>13901.405610395763</c:v>
                </c:pt>
                <c:pt idx="36">
                  <c:v>13772.600892933437</c:v>
                </c:pt>
                <c:pt idx="37">
                  <c:v>13736.76875976386</c:v>
                </c:pt>
                <c:pt idx="38">
                  <c:v>13608.635708810609</c:v>
                </c:pt>
                <c:pt idx="39">
                  <c:v>13607.771090766597</c:v>
                </c:pt>
                <c:pt idx="40">
                  <c:v>13461.451394756768</c:v>
                </c:pt>
                <c:pt idx="41">
                  <c:v>13457.775032491649</c:v>
                </c:pt>
                <c:pt idx="42">
                  <c:v>13312.139691725803</c:v>
                </c:pt>
                <c:pt idx="43">
                  <c:v>13305.600476617343</c:v>
                </c:pt>
                <c:pt idx="44">
                  <c:v>16445.95955909419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8AA-4EB0-9740-C235DFE9C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3856"/>
        <c:axId val="36555392"/>
      </c:lineChart>
      <c:dateAx>
        <c:axId val="365538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5392"/>
        <c:crosses val="autoZero"/>
        <c:auto val="0"/>
        <c:lblOffset val="100"/>
        <c:baseTimeUnit val="months"/>
        <c:majorUnit val="3"/>
        <c:majorTimeUnit val="years"/>
      </c:dateAx>
      <c:valAx>
        <c:axId val="365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387011009097174"/>
          <c:y val="1.0730005276728757E-2"/>
          <c:w val="0.63560134647946243"/>
          <c:h val="0.10232150726333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5810365321545"/>
          <c:y val="0.1180528627388913"/>
          <c:w val="0.86317635954805561"/>
          <c:h val="0.79049855577098094"/>
        </c:manualLayout>
      </c:layou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60000"/>
                <a:lumOff val="40000"/>
              </a:schemeClr>
            </a:solidFill>
            <a:ln w="57150">
              <a:noFill/>
            </a:ln>
            <a:effectLst/>
          </c:spPr>
          <c:invertIfNegative val="0"/>
          <c:val>
            <c:numRef>
              <c:f>'Chart data'!$J$21:$CV$21</c:f>
              <c:numCache>
                <c:formatCode>#,##0_);\(#,##0\);"-  ";" "@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12686.671356945051</c:v>
                </c:pt>
                <c:pt idx="6">
                  <c:v>11219.578313619157</c:v>
                </c:pt>
                <c:pt idx="7">
                  <c:v>11246.683026259163</c:v>
                </c:pt>
                <c:pt idx="8">
                  <c:v>11134.906831418644</c:v>
                </c:pt>
                <c:pt idx="9">
                  <c:v>11160.497290778691</c:v>
                </c:pt>
                <c:pt idx="10">
                  <c:v>11049.147667919469</c:v>
                </c:pt>
                <c:pt idx="11">
                  <c:v>11073.197450820346</c:v>
                </c:pt>
                <c:pt idx="12">
                  <c:v>10977.313489020877</c:v>
                </c:pt>
                <c:pt idx="13">
                  <c:v>10969.723974284556</c:v>
                </c:pt>
                <c:pt idx="14">
                  <c:v>10874.27318110882</c:v>
                </c:pt>
                <c:pt idx="15">
                  <c:v>10895.160171361602</c:v>
                </c:pt>
                <c:pt idx="16">
                  <c:v>10785.110133328311</c:v>
                </c:pt>
                <c:pt idx="17">
                  <c:v>10804.373888164411</c:v>
                </c:pt>
                <c:pt idx="18">
                  <c:v>10694.76392796511</c:v>
                </c:pt>
                <c:pt idx="19">
                  <c:v>10712.37579856183</c:v>
                </c:pt>
                <c:pt idx="20">
                  <c:v>10617.752823814142</c:v>
                </c:pt>
                <c:pt idx="21">
                  <c:v>10604.596909622556</c:v>
                </c:pt>
                <c:pt idx="22">
                  <c:v>10510.421245766829</c:v>
                </c:pt>
                <c:pt idx="23">
                  <c:v>10524.641040765775</c:v>
                </c:pt>
                <c:pt idx="24">
                  <c:v>10416.373099274493</c:v>
                </c:pt>
                <c:pt idx="25">
                  <c:v>10428.851504537852</c:v>
                </c:pt>
                <c:pt idx="26">
                  <c:v>10321.038445702476</c:v>
                </c:pt>
                <c:pt idx="27">
                  <c:v>10331.74438166013</c:v>
                </c:pt>
                <c:pt idx="28">
                  <c:v>10238.413866724009</c:v>
                </c:pt>
                <c:pt idx="29">
                  <c:v>10219.268154047048</c:v>
                </c:pt>
                <c:pt idx="30">
                  <c:v>10126.400443477962</c:v>
                </c:pt>
                <c:pt idx="31">
                  <c:v>10133.465715349392</c:v>
                </c:pt>
                <c:pt idx="32">
                  <c:v>10027.041163247522</c:v>
                </c:pt>
                <c:pt idx="33">
                  <c:v>10032.236926693096</c:v>
                </c:pt>
                <c:pt idx="34">
                  <c:v>9926.2834676298662</c:v>
                </c:pt>
                <c:pt idx="35">
                  <c:v>9929.5775194771086</c:v>
                </c:pt>
                <c:pt idx="36">
                  <c:v>9837.5746264223908</c:v>
                </c:pt>
                <c:pt idx="37">
                  <c:v>9811.9812368171188</c:v>
                </c:pt>
                <c:pt idx="38">
                  <c:v>9720.4606172373533</c:v>
                </c:pt>
                <c:pt idx="39">
                  <c:v>-2.024773110608092E-4</c:v>
                </c:pt>
                <c:pt idx="40">
                  <c:v>-1.9917605055438296E-4</c:v>
                </c:pt>
                <c:pt idx="41">
                  <c:v>-2.024773110608092E-4</c:v>
                </c:pt>
                <c:pt idx="42">
                  <c:v>-1.9917605055438296E-4</c:v>
                </c:pt>
                <c:pt idx="43">
                  <c:v>-2.024773110608092E-4</c:v>
                </c:pt>
                <c:pt idx="44">
                  <c:v>-2.0027647072319173E-4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DBA-43EE-9A36-3C02C931FB03}"/>
            </c:ext>
          </c:extLst>
        </c:ser>
        <c:ser>
          <c:idx val="2"/>
          <c:order val="2"/>
          <c:tx>
            <c:v>Cash sweep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'Chart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DBA-43EE-9A36-3C02C931F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36553856"/>
        <c:axId val="36555392"/>
      </c:barChart>
      <c:lineChart>
        <c:grouping val="standard"/>
        <c:varyColors val="0"/>
        <c:ser>
          <c:idx val="0"/>
          <c:order val="0"/>
          <c:tx>
            <c:v>CFADS</c:v>
          </c:tx>
          <c:spPr>
            <a:ln w="6350" cap="rnd">
              <a:solidFill>
                <a:srgbClr val="376092"/>
              </a:solidFill>
              <a:round/>
            </a:ln>
            <a:effectLst/>
          </c:spPr>
          <c:marker>
            <c:symbol val="none"/>
          </c:marker>
          <c:val>
            <c:numRef>
              <c:f>'Chart data'!$J$20:$CV$20</c:f>
              <c:numCache>
                <c:formatCode>#,##0_);\(#,##0\);"-  ";" "@" "</c:formatCode>
                <c:ptCount val="91"/>
                <c:pt idx="0">
                  <c:v>-1.5558398445136845E-6</c:v>
                </c:pt>
                <c:pt idx="1">
                  <c:v>-1.2466658517951146E-5</c:v>
                </c:pt>
                <c:pt idx="2">
                  <c:v>-1.6754362150095403E-5</c:v>
                </c:pt>
                <c:pt idx="3">
                  <c:v>-1.9422688637860119E-5</c:v>
                </c:pt>
                <c:pt idx="4">
                  <c:v>-3.9676149608567357E-3</c:v>
                </c:pt>
                <c:pt idx="5">
                  <c:v>17761.339089615478</c:v>
                </c:pt>
                <c:pt idx="6">
                  <c:v>15707.408907742485</c:v>
                </c:pt>
                <c:pt idx="7">
                  <c:v>15745.355493650644</c:v>
                </c:pt>
                <c:pt idx="8">
                  <c:v>15588.868818823899</c:v>
                </c:pt>
                <c:pt idx="9">
                  <c:v>15624.695450132087</c:v>
                </c:pt>
                <c:pt idx="10">
                  <c:v>15468.805976611518</c:v>
                </c:pt>
                <c:pt idx="11">
                  <c:v>15502.475660941096</c:v>
                </c:pt>
                <c:pt idx="12">
                  <c:v>15368.238112158891</c:v>
                </c:pt>
                <c:pt idx="13">
                  <c:v>15357.612782223849</c:v>
                </c:pt>
                <c:pt idx="14">
                  <c:v>15223.981670526602</c:v>
                </c:pt>
                <c:pt idx="15">
                  <c:v>15253.223441594726</c:v>
                </c:pt>
                <c:pt idx="16">
                  <c:v>15099.15338854069</c:v>
                </c:pt>
                <c:pt idx="17">
                  <c:v>15126.122633909146</c:v>
                </c:pt>
                <c:pt idx="18">
                  <c:v>14972.668690608356</c:v>
                </c:pt>
                <c:pt idx="19">
                  <c:v>14997.325298446642</c:v>
                </c:pt>
                <c:pt idx="20">
                  <c:v>14864.853133923503</c:v>
                </c:pt>
                <c:pt idx="21">
                  <c:v>14846.434846161274</c:v>
                </c:pt>
                <c:pt idx="22">
                  <c:v>14714.588918503887</c:v>
                </c:pt>
                <c:pt idx="23">
                  <c:v>14734.496621546412</c:v>
                </c:pt>
                <c:pt idx="24">
                  <c:v>14582.921507009845</c:v>
                </c:pt>
                <c:pt idx="25">
                  <c:v>14600.391254152939</c:v>
                </c:pt>
                <c:pt idx="26">
                  <c:v>14449.45297630897</c:v>
                </c:pt>
                <c:pt idx="27">
                  <c:v>14464.441277785036</c:v>
                </c:pt>
                <c:pt idx="28">
                  <c:v>14333.778560490962</c:v>
                </c:pt>
                <c:pt idx="29">
                  <c:v>14306.974557657806</c:v>
                </c:pt>
                <c:pt idx="30">
                  <c:v>14176.959768611989</c:v>
                </c:pt>
                <c:pt idx="31">
                  <c:v>14186.851142225703</c:v>
                </c:pt>
                <c:pt idx="32">
                  <c:v>14037.856776993409</c:v>
                </c:pt>
                <c:pt idx="33">
                  <c:v>14045.130839844553</c:v>
                </c:pt>
                <c:pt idx="34">
                  <c:v>13896.7960059342</c:v>
                </c:pt>
                <c:pt idx="35">
                  <c:v>13901.405610395763</c:v>
                </c:pt>
                <c:pt idx="36">
                  <c:v>13772.600892933437</c:v>
                </c:pt>
                <c:pt idx="37">
                  <c:v>13736.76875976386</c:v>
                </c:pt>
                <c:pt idx="38">
                  <c:v>13608.635708810609</c:v>
                </c:pt>
                <c:pt idx="39">
                  <c:v>13607.771090766597</c:v>
                </c:pt>
                <c:pt idx="40">
                  <c:v>13461.451394756768</c:v>
                </c:pt>
                <c:pt idx="41">
                  <c:v>13457.775032491649</c:v>
                </c:pt>
                <c:pt idx="42">
                  <c:v>13312.139691725803</c:v>
                </c:pt>
                <c:pt idx="43">
                  <c:v>13305.600476617343</c:v>
                </c:pt>
                <c:pt idx="44">
                  <c:v>16445.95955909419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DBA-43EE-9A36-3C02C931F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3856"/>
        <c:axId val="36555392"/>
      </c:lineChart>
      <c:dateAx>
        <c:axId val="365538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5392"/>
        <c:crosses val="autoZero"/>
        <c:auto val="0"/>
        <c:lblOffset val="100"/>
        <c:baseTimeUnit val="months"/>
        <c:majorUnit val="3"/>
        <c:majorTimeUnit val="years"/>
      </c:dateAx>
      <c:valAx>
        <c:axId val="365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387011009097174"/>
          <c:y val="1.0730005276728757E-2"/>
          <c:w val="0.63560134647946243"/>
          <c:h val="0.10232150726333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DSCR</c:v>
          </c:tx>
          <c:spPr>
            <a:solidFill>
              <a:schemeClr val="accent5">
                <a:lumMod val="75000"/>
              </a:schemeClr>
            </a:solidFill>
            <a:ln w="28575" cap="rnd">
              <a:solidFill>
                <a:schemeClr val="accent5">
                  <a:lumMod val="75000"/>
                  <a:alpha val="96863"/>
                </a:schemeClr>
              </a:solidFill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data'!$J$68:$AP$68</c:f>
              <c:numCache>
                <c:formatCode>#,##0.0000_);\(#,##0.0000\);"-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1.3999999348171281</c:v>
                </c:pt>
                <c:pt idx="4">
                  <c:v>1.3999999330787214</c:v>
                </c:pt>
                <c:pt idx="5">
                  <c:v>1.3999999313543667</c:v>
                </c:pt>
                <c:pt idx="6">
                  <c:v>1.3999999296302927</c:v>
                </c:pt>
                <c:pt idx="7">
                  <c:v>1.3999999279928201</c:v>
                </c:pt>
                <c:pt idx="8">
                  <c:v>1.3999999259980718</c:v>
                </c:pt>
                <c:pt idx="9">
                  <c:v>1.3999999243982566</c:v>
                </c:pt>
                <c:pt idx="10">
                  <c:v>1.3999999228258269</c:v>
                </c:pt>
                <c:pt idx="11">
                  <c:v>1.3999999214522754</c:v>
                </c:pt>
                <c:pt idx="12">
                  <c:v>1.3999999201282023</c:v>
                </c:pt>
                <c:pt idx="13">
                  <c:v>1.3999999178692628</c:v>
                </c:pt>
                <c:pt idx="14">
                  <c:v>1.3999999166938686</c:v>
                </c:pt>
                <c:pt idx="15">
                  <c:v>1.3999999158380945</c:v>
                </c:pt>
                <c:pt idx="16">
                  <c:v>1.3999999150743365</c:v>
                </c:pt>
                <c:pt idx="17">
                  <c:v>1.3999999144949251</c:v>
                </c:pt>
                <c:pt idx="18">
                  <c:v>1.3999996356766737</c:v>
                </c:pt>
                <c:pt idx="19">
                  <c:v>1.3999990581391102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C-45A1-B65A-CC6ADA19C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1.4"/>
          <c:min val="1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.0000_);\(#,##0.000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78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58668252888498E-2"/>
          <c:y val="0.11984689098233037"/>
          <c:w val="0.72631427465927445"/>
          <c:h val="0.78473545302996972"/>
        </c:manualLayout>
      </c:layout>
      <c:areaChart>
        <c:grouping val="standard"/>
        <c:varyColors val="0"/>
        <c:ser>
          <c:idx val="0"/>
          <c:order val="0"/>
          <c:tx>
            <c:v>CFADS</c:v>
          </c:tx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'Chart data'!$J$12:$AP$12</c15:sqref>
                  </c15:fullRef>
                </c:ext>
              </c:extLst>
              <c:f>('Chart data'!$J$12,'Chart data'!$L$12:$AP$12)</c:f>
              <c:numCache>
                <c:formatCode>###0_);\(###0\);"-  ";" "@" "</c:formatCode>
                <c:ptCount val="32"/>
                <c:pt idx="0">
                  <c:v>2022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'Chart data'!$J$40:$AP$40</c15:sqref>
                  </c15:fullRef>
                </c:ext>
              </c:extLst>
              <c:f>('Chart data'!$J$40,'Chart data'!$L$40:$AP$40)</c:f>
              <c:numCache>
                <c:formatCode>#,##0_);\(#,##0\);"-  ";" "@" "</c:formatCode>
                <c:ptCount val="32"/>
                <c:pt idx="0">
                  <c:v>-1.5558398445136845E-6</c:v>
                </c:pt>
                <c:pt idx="1">
                  <c:v>-3.9870376494945958E-3</c:v>
                </c:pt>
                <c:pt idx="2">
                  <c:v>33468.747997357961</c:v>
                </c:pt>
                <c:pt idx="3">
                  <c:v>31334.224312474544</c:v>
                </c:pt>
                <c:pt idx="4">
                  <c:v>31093.501426743605</c:v>
                </c:pt>
                <c:pt idx="5">
                  <c:v>30870.713773099989</c:v>
                </c:pt>
                <c:pt idx="6">
                  <c:v>30581.594452750451</c:v>
                </c:pt>
                <c:pt idx="7">
                  <c:v>30352.376830135414</c:v>
                </c:pt>
                <c:pt idx="8">
                  <c:v>30098.7913245175</c:v>
                </c:pt>
                <c:pt idx="9">
                  <c:v>29862.178432370143</c:v>
                </c:pt>
                <c:pt idx="10">
                  <c:v>29561.023764665159</c:v>
                </c:pt>
                <c:pt idx="11">
                  <c:v>29317.418128556259</c:v>
                </c:pt>
                <c:pt idx="12">
                  <c:v>29049.844230461909</c:v>
                </c:pt>
                <c:pt idx="13">
                  <c:v>28798.219838275996</c:v>
                </c:pt>
                <c:pt idx="14">
                  <c:v>28483.934326269795</c:v>
                </c:pt>
                <c:pt idx="15">
                  <c:v>28224.707919219112</c:v>
                </c:pt>
                <c:pt idx="16">
                  <c:v>27941.926845778755</c:v>
                </c:pt>
                <c:pt idx="17">
                  <c:v>27674.006503329198</c:v>
                </c:pt>
                <c:pt idx="18">
                  <c:v>27345.404468574467</c:v>
                </c:pt>
                <c:pt idx="19">
                  <c:v>27069.222485523365</c:v>
                </c:pt>
                <c:pt idx="20">
                  <c:v>26769.914724217451</c:v>
                </c:pt>
                <c:pt idx="21">
                  <c:v>29751.560035711533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D-4718-AF62-8161036F9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07552"/>
        <c:axId val="45678976"/>
      </c:areaChar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75000"/>
              </a:schemeClr>
            </a:solidFill>
            <a:ln w="57150"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'Chart data'!$J$12:$AP$12</c15:sqref>
                  </c15:fullRef>
                </c:ext>
              </c:extLst>
              <c:f>('Chart data'!$J$12,'Chart data'!$L$12:$AP$12)</c:f>
              <c:numCache>
                <c:formatCode>###0_);\(###0\);"-  ";" "@" "</c:formatCode>
                <c:ptCount val="32"/>
                <c:pt idx="0">
                  <c:v>2022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'Chart data'!$J$41:$AP$41</c15:sqref>
                  </c15:fullRef>
                </c:ext>
              </c:extLst>
              <c:f>('Chart data'!$J$41,'Chart data'!$L$41:$AP$41)</c:f>
              <c:numCache>
                <c:formatCode>#,##0_);\(#,##0\);"-  ";" "@" "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23906.249670564208</c:v>
                </c:pt>
                <c:pt idx="3">
                  <c:v>22381.589857677805</c:v>
                </c:pt>
                <c:pt idx="4">
                  <c:v>22209.644958698162</c:v>
                </c:pt>
                <c:pt idx="5">
                  <c:v>22050.510939841224</c:v>
                </c:pt>
                <c:pt idx="6">
                  <c:v>21843.997155393376</c:v>
                </c:pt>
                <c:pt idx="7">
                  <c:v>21680.270304689911</c:v>
                </c:pt>
                <c:pt idx="8">
                  <c:v>21499.137816129522</c:v>
                </c:pt>
                <c:pt idx="9">
                  <c:v>21330.128622375974</c:v>
                </c:pt>
                <c:pt idx="10">
                  <c:v>21115.018155389385</c:v>
                </c:pt>
                <c:pt idx="11">
                  <c:v>20941.014140040268</c:v>
                </c:pt>
                <c:pt idx="12">
                  <c:v>20749.889950240329</c:v>
                </c:pt>
                <c:pt idx="13">
                  <c:v>20570.158248384141</c:v>
                </c:pt>
                <c:pt idx="14">
                  <c:v>20345.668597525007</c:v>
                </c:pt>
                <c:pt idx="15">
                  <c:v>20160.506878596912</c:v>
                </c:pt>
                <c:pt idx="16">
                  <c:v>19958.520394322964</c:v>
                </c:pt>
                <c:pt idx="17">
                  <c:v>19767.152145899498</c:v>
                </c:pt>
                <c:pt idx="18">
                  <c:v>19532.441854054472</c:v>
                </c:pt>
                <c:pt idx="19">
                  <c:v>-4.0165336161519219E-4</c:v>
                </c:pt>
                <c:pt idx="20">
                  <c:v>-4.0165336161519219E-4</c:v>
                </c:pt>
                <c:pt idx="21">
                  <c:v>-4.0275378178400092E-4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D-4718-AF62-8161036F9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607552"/>
        <c:axId val="45678976"/>
      </c:barChart>
      <c:dateAx>
        <c:axId val="456075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8976"/>
        <c:crosses val="autoZero"/>
        <c:auto val="0"/>
        <c:lblOffset val="100"/>
        <c:baseTimeUnit val="days"/>
        <c:majorUnit val="3"/>
      </c:dateAx>
      <c:valAx>
        <c:axId val="45678976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0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68379985201204"/>
          <c:y val="0.22206655223963237"/>
          <c:w val="0.14452582603978406"/>
          <c:h val="0.50791517634682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P50</c:v>
          </c:tx>
          <c:spPr>
            <a:solidFill>
              <a:schemeClr val="accent5">
                <a:lumMod val="40000"/>
                <a:lumOff val="6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data'!$J$37:$AP$37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1030.1759999999999</c:v>
                </c:pt>
                <c:pt idx="4">
                  <c:v>1028.1197604790418</c:v>
                </c:pt>
                <c:pt idx="5">
                  <c:v>1026.0676252285848</c:v>
                </c:pt>
                <c:pt idx="6">
                  <c:v>1024.0195860564718</c:v>
                </c:pt>
                <c:pt idx="7">
                  <c:v>1021.975634786898</c:v>
                </c:pt>
                <c:pt idx="8">
                  <c:v>1019.9357632603771</c:v>
                </c:pt>
                <c:pt idx="9">
                  <c:v>1017.89996333371</c:v>
                </c:pt>
                <c:pt idx="10">
                  <c:v>1015.8682268799502</c:v>
                </c:pt>
                <c:pt idx="11">
                  <c:v>1013.8405457883732</c:v>
                </c:pt>
                <c:pt idx="12">
                  <c:v>1011.8169119644443</c:v>
                </c:pt>
                <c:pt idx="13">
                  <c:v>1009.797317329785</c:v>
                </c:pt>
                <c:pt idx="14">
                  <c:v>1007.7817538221407</c:v>
                </c:pt>
                <c:pt idx="15">
                  <c:v>1005.77021339535</c:v>
                </c:pt>
                <c:pt idx="16">
                  <c:v>1003.7626880193112</c:v>
                </c:pt>
                <c:pt idx="17">
                  <c:v>1001.7591696799517</c:v>
                </c:pt>
                <c:pt idx="18">
                  <c:v>999.75965037919298</c:v>
                </c:pt>
                <c:pt idx="19">
                  <c:v>997.76412213492324</c:v>
                </c:pt>
                <c:pt idx="20">
                  <c:v>995.77257698096128</c:v>
                </c:pt>
                <c:pt idx="21">
                  <c:v>993.78500696702736</c:v>
                </c:pt>
                <c:pt idx="22">
                  <c:v>991.80140415870994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F-4043-B13E-F927F50C027D}"/>
            </c:ext>
          </c:extLst>
        </c:ser>
        <c:ser>
          <c:idx val="1"/>
          <c:order val="1"/>
          <c:tx>
            <c:v>P90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data'!$J$38:$AP$38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838.45218020096831</c:v>
                </c:pt>
                <c:pt idx="4">
                  <c:v>836.77862295505815</c:v>
                </c:pt>
                <c:pt idx="5">
                  <c:v>835.10840614277276</c:v>
                </c:pt>
                <c:pt idx="6">
                  <c:v>833.44152309657954</c:v>
                </c:pt>
                <c:pt idx="7">
                  <c:v>831.77796716225509</c:v>
                </c:pt>
                <c:pt idx="8">
                  <c:v>830.11773169885726</c:v>
                </c:pt>
                <c:pt idx="9">
                  <c:v>828.46081007870009</c:v>
                </c:pt>
                <c:pt idx="10">
                  <c:v>826.80719568732547</c:v>
                </c:pt>
                <c:pt idx="11">
                  <c:v>825.15688192347829</c:v>
                </c:pt>
                <c:pt idx="12">
                  <c:v>823.50986219908009</c:v>
                </c:pt>
                <c:pt idx="13">
                  <c:v>821.86612993920198</c:v>
                </c:pt>
                <c:pt idx="14">
                  <c:v>820.22567858203786</c:v>
                </c:pt>
                <c:pt idx="15">
                  <c:v>818.58850157888003</c:v>
                </c:pt>
                <c:pt idx="16">
                  <c:v>816.95459239409172</c:v>
                </c:pt>
                <c:pt idx="17">
                  <c:v>815.32394450508195</c:v>
                </c:pt>
                <c:pt idx="18">
                  <c:v>813.69655140227712</c:v>
                </c:pt>
                <c:pt idx="19">
                  <c:v>812.07240658909905</c:v>
                </c:pt>
                <c:pt idx="20">
                  <c:v>810.45150358193507</c:v>
                </c:pt>
                <c:pt idx="21">
                  <c:v>808.833835910115</c:v>
                </c:pt>
                <c:pt idx="22">
                  <c:v>807.21939711588323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F-4043-B13E-F927F50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20981481481484"/>
          <c:y val="8.1995128526923339E-2"/>
          <c:w val="0.74862814814814815"/>
          <c:h val="0.81800464642812465"/>
        </c:manualLayout>
      </c:layout>
      <c:barChart>
        <c:barDir val="col"/>
        <c:grouping val="stacked"/>
        <c:varyColors val="0"/>
        <c:ser>
          <c:idx val="0"/>
          <c:order val="0"/>
          <c:tx>
            <c:v>Shareholder loan interest</c:v>
          </c:tx>
          <c:spPr>
            <a:solidFill>
              <a:schemeClr val="accent5">
                <a:lumMod val="5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data'!$J$43:$AP$43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9377.5005671291856</c:v>
                </c:pt>
                <c:pt idx="4">
                  <c:v>8822.6192523653299</c:v>
                </c:pt>
                <c:pt idx="5">
                  <c:v>8758.4907204090086</c:v>
                </c:pt>
                <c:pt idx="6">
                  <c:v>8729.406814200498</c:v>
                </c:pt>
                <c:pt idx="7">
                  <c:v>8637.6763396451333</c:v>
                </c:pt>
                <c:pt idx="8">
                  <c:v>8585.2751046497415</c:v>
                </c:pt>
                <c:pt idx="9">
                  <c:v>8519.4799931640973</c:v>
                </c:pt>
                <c:pt idx="10">
                  <c:v>8487.6744858786951</c:v>
                </c:pt>
                <c:pt idx="11">
                  <c:v>8395.076554580337</c:v>
                </c:pt>
                <c:pt idx="12">
                  <c:v>8348.1047430651688</c:v>
                </c:pt>
                <c:pt idx="13">
                  <c:v>8274.7557748994113</c:v>
                </c:pt>
                <c:pt idx="14">
                  <c:v>8240.6105069607274</c:v>
                </c:pt>
                <c:pt idx="15">
                  <c:v>8147.6290010888169</c:v>
                </c:pt>
                <c:pt idx="16">
                  <c:v>8098.8119937501306</c:v>
                </c:pt>
                <c:pt idx="17">
                  <c:v>8030.1995383415833</c:v>
                </c:pt>
                <c:pt idx="18">
                  <c:v>7993.0882092172233</c:v>
                </c:pt>
                <c:pt idx="19">
                  <c:v>17565.645727618437</c:v>
                </c:pt>
                <c:pt idx="20">
                  <c:v>19758.183754718546</c:v>
                </c:pt>
                <c:pt idx="21">
                  <c:v>18863.539080430062</c:v>
                </c:pt>
                <c:pt idx="22">
                  <c:v>17895.441473552892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D-49A3-8769-3376E20C9E3E}"/>
            </c:ext>
          </c:extLst>
        </c:ser>
        <c:ser>
          <c:idx val="2"/>
          <c:order val="1"/>
          <c:tx>
            <c:v>Shareholder loan repayment</c:v>
          </c:tx>
          <c:spPr>
            <a:solidFill>
              <a:srgbClr val="31859C"/>
            </a:solidFill>
          </c:spPr>
          <c:invertIfNegative val="0"/>
          <c:val>
            <c:numRef>
              <c:f>'Chart data'!$J$44:$AP$44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7311.039140655188</c:v>
                </c:pt>
                <c:pt idx="21">
                  <c:v>7906.3760536377595</c:v>
                </c:pt>
                <c:pt idx="22">
                  <c:v>11856.118973131888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32-4411-86FF-275496CF54F2}"/>
            </c:ext>
          </c:extLst>
        </c:ser>
        <c:ser>
          <c:idx val="1"/>
          <c:order val="2"/>
          <c:tx>
            <c:v>Dividends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data'!$J$45:$AP$45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D-49A3-8769-3376E20C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763759259259262"/>
          <c:y val="0.24647685420020732"/>
          <c:w val="0.17236241030842631"/>
          <c:h val="0.30474124203821656"/>
        </c:manualLayout>
      </c:layout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02407407407417E-2"/>
          <c:y val="8.1995128526923339E-2"/>
          <c:w val="0.75803555555555557"/>
          <c:h val="0.81800464642812465"/>
        </c:manualLayout>
      </c:layout>
      <c:barChart>
        <c:barDir val="col"/>
        <c:grouping val="stacked"/>
        <c:varyColors val="0"/>
        <c:ser>
          <c:idx val="0"/>
          <c:order val="0"/>
          <c:tx>
            <c:v>Retained cash balance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data'!$J$70:$AP$70</c:f>
              <c:numCache>
                <c:formatCode>#,##0_);\(#,##0\);"-  ";" "@" "</c:formatCode>
                <c:ptCount val="33"/>
                <c:pt idx="0">
                  <c:v>-1.5558398445136845E-6</c:v>
                </c:pt>
                <c:pt idx="1">
                  <c:v>-3.0776860512560233E-5</c:v>
                </c:pt>
                <c:pt idx="2">
                  <c:v>-4.0178145100071561E-3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A-4D3B-9E21-CA9D7AC69865}"/>
            </c:ext>
          </c:extLst>
        </c:ser>
        <c:ser>
          <c:idx val="1"/>
          <c:order val="1"/>
          <c:tx>
            <c:v>DSRA Balance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data'!$J$71:$AP$71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11233.130669939161</c:v>
                </c:pt>
                <c:pt idx="3">
                  <c:v>11190.794928838903</c:v>
                </c:pt>
                <c:pt idx="4">
                  <c:v>11104.822479349081</c:v>
                </c:pt>
                <c:pt idx="5">
                  <c:v>11025.255469920612</c:v>
                </c:pt>
                <c:pt idx="6">
                  <c:v>10921.998577696688</c:v>
                </c:pt>
                <c:pt idx="7">
                  <c:v>10840.135152344956</c:v>
                </c:pt>
                <c:pt idx="8">
                  <c:v>10749.568908064761</c:v>
                </c:pt>
                <c:pt idx="9">
                  <c:v>10665.064311187987</c:v>
                </c:pt>
                <c:pt idx="10">
                  <c:v>10557.509077694693</c:v>
                </c:pt>
                <c:pt idx="11">
                  <c:v>10470.507070020134</c:v>
                </c:pt>
                <c:pt idx="12">
                  <c:v>10374.944975120165</c:v>
                </c:pt>
                <c:pt idx="13">
                  <c:v>10285.079124192071</c:v>
                </c:pt>
                <c:pt idx="14">
                  <c:v>10172.834298762504</c:v>
                </c:pt>
                <c:pt idx="15">
                  <c:v>10080.253439298456</c:v>
                </c:pt>
                <c:pt idx="16">
                  <c:v>9979.2601971614822</c:v>
                </c:pt>
                <c:pt idx="17">
                  <c:v>9883.5760729497488</c:v>
                </c:pt>
                <c:pt idx="18">
                  <c:v>9766.220927027236</c:v>
                </c:pt>
                <c:pt idx="19">
                  <c:v>-2.0082668106624624E-4</c:v>
                </c:pt>
                <c:pt idx="20">
                  <c:v>-2.0082668106624624E-4</c:v>
                </c:pt>
                <c:pt idx="21">
                  <c:v>-2.0082668106624624E-4</c:v>
                </c:pt>
                <c:pt idx="22">
                  <c:v>-2.0082668106624624E-4</c:v>
                </c:pt>
                <c:pt idx="23">
                  <c:v>-2.0082668106624624E-4</c:v>
                </c:pt>
                <c:pt idx="24">
                  <c:v>-2.0082668106624624E-4</c:v>
                </c:pt>
                <c:pt idx="25">
                  <c:v>-2.0082668106624624E-4</c:v>
                </c:pt>
                <c:pt idx="26">
                  <c:v>-2.0082668106624624E-4</c:v>
                </c:pt>
                <c:pt idx="27">
                  <c:v>-2.0082668106624624E-4</c:v>
                </c:pt>
                <c:pt idx="28">
                  <c:v>-2.0082668106624624E-4</c:v>
                </c:pt>
                <c:pt idx="29">
                  <c:v>-2.0082668106624624E-4</c:v>
                </c:pt>
                <c:pt idx="30">
                  <c:v>-2.0082668106624624E-4</c:v>
                </c:pt>
                <c:pt idx="31">
                  <c:v>-2.0082668106624624E-4</c:v>
                </c:pt>
                <c:pt idx="32">
                  <c:v>-2.0082668106624624E-4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A-4D3B-9E21-CA9D7AC69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in val="0"/>
        </c:scaling>
        <c:delete val="0"/>
        <c:axPos val="l"/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276259259259257"/>
          <c:y val="0.28528328518183621"/>
          <c:w val="0.14723740740740737"/>
          <c:h val="0.39541715369516794"/>
        </c:manualLayout>
      </c:layout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data'!$J$47:$AP$47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40202.135459230951</c:v>
                </c:pt>
                <c:pt idx="4">
                  <c:v>40137.279495159593</c:v>
                </c:pt>
                <c:pt idx="5">
                  <c:v>40072.829412001607</c:v>
                </c:pt>
                <c:pt idx="6">
                  <c:v>40008.789365385921</c:v>
                </c:pt>
                <c:pt idx="7">
                  <c:v>39945.16359185231</c:v>
                </c:pt>
                <c:pt idx="8">
                  <c:v>39881.95641029231</c:v>
                </c:pt>
                <c:pt idx="9">
                  <c:v>39819.172223416143</c:v>
                </c:pt>
                <c:pt idx="10">
                  <c:v>39756.815519245974</c:v>
                </c:pt>
                <c:pt idx="11">
                  <c:v>39694.890872636126</c:v>
                </c:pt>
                <c:pt idx="12">
                  <c:v>39633.402946820446</c:v>
                </c:pt>
                <c:pt idx="13">
                  <c:v>39572.356494987704</c:v>
                </c:pt>
                <c:pt idx="14">
                  <c:v>39511.756361885055</c:v>
                </c:pt>
                <c:pt idx="15">
                  <c:v>39451.607485450615</c:v>
                </c:pt>
                <c:pt idx="16">
                  <c:v>39391.914898475232</c:v>
                </c:pt>
                <c:pt idx="17">
                  <c:v>39332.683730294084</c:v>
                </c:pt>
                <c:pt idx="18">
                  <c:v>39273.919208508807</c:v>
                </c:pt>
                <c:pt idx="19">
                  <c:v>39215.626660740607</c:v>
                </c:pt>
                <c:pt idx="20">
                  <c:v>39157.811516414724</c:v>
                </c:pt>
                <c:pt idx="21">
                  <c:v>39100.479308577087</c:v>
                </c:pt>
                <c:pt idx="22">
                  <c:v>39043.635675743673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C-4643-99C4-3C5202DA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68787386580795"/>
          <c:y val="7.2569974592814862E-2"/>
          <c:w val="0.74145756670365248"/>
          <c:h val="0.76374809475192318"/>
        </c:manualLayout>
      </c:layout>
      <c:areaChart>
        <c:grouping val="standard"/>
        <c:varyColors val="0"/>
        <c:ser>
          <c:idx val="1"/>
          <c:order val="0"/>
          <c:tx>
            <c:strRef>
              <c:f>'Chart data'!$E$73</c:f>
              <c:strCache>
                <c:ptCount val="1"/>
                <c:pt idx="0">
                  <c:v> Senior debt - Tranche 1 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data'!$J$73:$AP$73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48641.086087745876</c:v>
                </c:pt>
                <c:pt idx="2">
                  <c:v>125194.92613015344</c:v>
                </c:pt>
                <c:pt idx="3">
                  <c:v>119922.1352876555</c:v>
                </c:pt>
                <c:pt idx="4">
                  <c:v>115049.50252800655</c:v>
                </c:pt>
                <c:pt idx="5">
                  <c:v>110024.16578572989</c:v>
                </c:pt>
                <c:pt idx="6">
                  <c:v>104844.37664323812</c:v>
                </c:pt>
                <c:pt idx="7">
                  <c:v>99501.600215346058</c:v>
                </c:pt>
                <c:pt idx="8">
                  <c:v>94137.669059260574</c:v>
                </c:pt>
                <c:pt idx="9">
                  <c:v>88591.140842060806</c:v>
                </c:pt>
                <c:pt idx="10">
                  <c:v>82856.442001167306</c:v>
                </c:pt>
                <c:pt idx="11">
                  <c:v>76927.27686561922</c:v>
                </c:pt>
                <c:pt idx="12">
                  <c:v>70785.247373619</c:v>
                </c:pt>
                <c:pt idx="13">
                  <c:v>64544.128046861137</c:v>
                </c:pt>
                <c:pt idx="14">
                  <c:v>58066.22768944627</c:v>
                </c:pt>
                <c:pt idx="15">
                  <c:v>51347.570845042952</c:v>
                </c:pt>
                <c:pt idx="16">
                  <c:v>44364.691041537037</c:v>
                </c:pt>
                <c:pt idx="17">
                  <c:v>37111.262402800712</c:v>
                </c:pt>
                <c:pt idx="18">
                  <c:v>18869.053669515644</c:v>
                </c:pt>
                <c:pt idx="19">
                  <c:v>-2.5461520346652833E-2</c:v>
                </c:pt>
                <c:pt idx="20">
                  <c:v>-2.5461520346652833E-2</c:v>
                </c:pt>
                <c:pt idx="21">
                  <c:v>-2.5461520346652833E-2</c:v>
                </c:pt>
                <c:pt idx="22">
                  <c:v>-2.5461520346652833E-2</c:v>
                </c:pt>
                <c:pt idx="23">
                  <c:v>-2.5461520346652833E-2</c:v>
                </c:pt>
                <c:pt idx="24">
                  <c:v>-2.5461520346652833E-2</c:v>
                </c:pt>
                <c:pt idx="25">
                  <c:v>-2.5461520346652833E-2</c:v>
                </c:pt>
                <c:pt idx="26">
                  <c:v>-2.5461520346652833E-2</c:v>
                </c:pt>
                <c:pt idx="27">
                  <c:v>-2.5461520346652833E-2</c:v>
                </c:pt>
                <c:pt idx="28">
                  <c:v>-2.5461520346652833E-2</c:v>
                </c:pt>
                <c:pt idx="29">
                  <c:v>-2.5461520346652833E-2</c:v>
                </c:pt>
                <c:pt idx="30">
                  <c:v>-2.5461520346652833E-2</c:v>
                </c:pt>
                <c:pt idx="31">
                  <c:v>-2.5461520346652833E-2</c:v>
                </c:pt>
                <c:pt idx="32">
                  <c:v>-2.5461520346652833E-2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EE0-934D-144C90D82427}"/>
            </c:ext>
          </c:extLst>
        </c:ser>
        <c:ser>
          <c:idx val="0"/>
          <c:order val="1"/>
          <c:tx>
            <c:strRef>
              <c:f>'Chart data'!$E$74</c:f>
              <c:strCache>
                <c:ptCount val="1"/>
                <c:pt idx="0">
                  <c:v> Senior debt - Tranche 2 </c:v>
                </c:pt>
              </c:strCache>
            </c:strRef>
          </c:tx>
          <c:spPr>
            <a:ln w="25400">
              <a:noFill/>
            </a:ln>
          </c:spPr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data'!$J$74:$AP$74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48641.086087745876</c:v>
                </c:pt>
                <c:pt idx="2">
                  <c:v>125194.92613015344</c:v>
                </c:pt>
                <c:pt idx="3">
                  <c:v>117700.61196665274</c:v>
                </c:pt>
                <c:pt idx="4">
                  <c:v>110775.04981276403</c:v>
                </c:pt>
                <c:pt idx="5">
                  <c:v>103632.44669252292</c:v>
                </c:pt>
                <c:pt idx="6">
                  <c:v>96270.31754800085</c:v>
                </c:pt>
                <c:pt idx="7">
                  <c:v>88676.531590619605</c:v>
                </c:pt>
                <c:pt idx="8">
                  <c:v>81052.678030737021</c:v>
                </c:pt>
                <c:pt idx="9">
                  <c:v>73169.295924739374</c:v>
                </c:pt>
                <c:pt idx="10">
                  <c:v>65018.4634660866</c:v>
                </c:pt>
                <c:pt idx="11">
                  <c:v>56591.232502375169</c:v>
                </c:pt>
                <c:pt idx="12">
                  <c:v>47861.453531523759</c:v>
                </c:pt>
                <c:pt idx="13">
                  <c:v>38990.836364304349</c:v>
                </c:pt>
                <c:pt idx="14">
                  <c:v>29783.677983009326</c:v>
                </c:pt>
                <c:pt idx="15">
                  <c:v>20234.327998768505</c:v>
                </c:pt>
                <c:pt idx="16">
                  <c:v>10309.43308512052</c:v>
                </c:pt>
                <c:pt idx="17">
                  <c:v>2.1585050071735168E-3</c:v>
                </c:pt>
                <c:pt idx="18">
                  <c:v>2.1585050071735168E-3</c:v>
                </c:pt>
                <c:pt idx="19">
                  <c:v>2.1585050071735168E-3</c:v>
                </c:pt>
                <c:pt idx="20">
                  <c:v>2.1585050071735168E-3</c:v>
                </c:pt>
                <c:pt idx="21">
                  <c:v>2.1585050071735168E-3</c:v>
                </c:pt>
                <c:pt idx="22">
                  <c:v>2.1585050071735168E-3</c:v>
                </c:pt>
                <c:pt idx="23">
                  <c:v>2.1585050071735168E-3</c:v>
                </c:pt>
                <c:pt idx="24">
                  <c:v>2.1585050071735168E-3</c:v>
                </c:pt>
                <c:pt idx="25">
                  <c:v>2.1585050071735168E-3</c:v>
                </c:pt>
                <c:pt idx="26">
                  <c:v>2.1585050071735168E-3</c:v>
                </c:pt>
                <c:pt idx="27">
                  <c:v>2.1585050071735168E-3</c:v>
                </c:pt>
                <c:pt idx="28">
                  <c:v>2.1585050071735168E-3</c:v>
                </c:pt>
                <c:pt idx="29">
                  <c:v>2.1585050071735168E-3</c:v>
                </c:pt>
                <c:pt idx="30">
                  <c:v>2.1585050071735168E-3</c:v>
                </c:pt>
                <c:pt idx="31">
                  <c:v>2.1585050071735168E-3</c:v>
                </c:pt>
                <c:pt idx="32">
                  <c:v>2.1585050071735168E-3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B-4488-AADE-DE3E968E4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8672"/>
        <c:axId val="45548288"/>
      </c:areaChart>
      <c:dateAx>
        <c:axId val="4546867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8288"/>
        <c:crosses val="autoZero"/>
        <c:auto val="0"/>
        <c:lblOffset val="100"/>
        <c:baseTimeUnit val="months"/>
        <c:majorUnit val="3"/>
        <c:majorTimeUnit val="years"/>
      </c:dateAx>
      <c:valAx>
        <c:axId val="45548288"/>
        <c:scaling>
          <c:orientation val="minMax"/>
          <c:min val="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31092592592595"/>
          <c:y val="0.16805581086318588"/>
          <c:w val="0.14268907407407408"/>
          <c:h val="0.1898579259177233"/>
        </c:manualLayout>
      </c:layout>
      <c:overlay val="0"/>
      <c:txPr>
        <a:bodyPr/>
        <a:lstStyle/>
        <a:p>
          <a:pPr>
            <a:defRPr lang="ja-JP" sz="900"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O&amp;M Cost</c:v>
          </c:tx>
          <c:spPr>
            <a:solidFill>
              <a:schemeClr val="accent5">
                <a:lumMod val="40000"/>
                <a:lumOff val="6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data'!$J$49:$AP$49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8118.2411999999995</c:v>
                </c:pt>
                <c:pt idx="4">
                  <c:v>8280.6060240000006</c:v>
                </c:pt>
                <c:pt idx="5">
                  <c:v>8446.2181444800008</c:v>
                </c:pt>
                <c:pt idx="6">
                  <c:v>8615.1425073695991</c:v>
                </c:pt>
                <c:pt idx="7">
                  <c:v>8787.4453575169919</c:v>
                </c:pt>
                <c:pt idx="8">
                  <c:v>8963.1942646673306</c:v>
                </c:pt>
                <c:pt idx="9">
                  <c:v>9142.4581499606775</c:v>
                </c:pt>
                <c:pt idx="10">
                  <c:v>9325.3073129598906</c:v>
                </c:pt>
                <c:pt idx="11">
                  <c:v>9511.8134592190891</c:v>
                </c:pt>
                <c:pt idx="12">
                  <c:v>9702.04972840347</c:v>
                </c:pt>
                <c:pt idx="13">
                  <c:v>9896.0907229715413</c:v>
                </c:pt>
                <c:pt idx="14">
                  <c:v>10094.01253743097</c:v>
                </c:pt>
                <c:pt idx="15">
                  <c:v>10295.89278817959</c:v>
                </c:pt>
                <c:pt idx="16">
                  <c:v>10501.810643943183</c:v>
                </c:pt>
                <c:pt idx="17">
                  <c:v>10711.846856822045</c:v>
                </c:pt>
                <c:pt idx="18">
                  <c:v>10926.083793958485</c:v>
                </c:pt>
                <c:pt idx="19">
                  <c:v>11144.605469837657</c:v>
                </c:pt>
                <c:pt idx="20">
                  <c:v>11367.497579234408</c:v>
                </c:pt>
                <c:pt idx="21">
                  <c:v>11594.847530819097</c:v>
                </c:pt>
                <c:pt idx="22">
                  <c:v>11826.744481435479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2-4B3B-B09E-D817BBDEAFD9}"/>
            </c:ext>
          </c:extLst>
        </c:ser>
        <c:ser>
          <c:idx val="1"/>
          <c:order val="1"/>
          <c:tx>
            <c:v>Project Co.Cost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data'!$J$50:$AP$50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541.21608000000003</c:v>
                </c:pt>
                <c:pt idx="4">
                  <c:v>552.0404016</c:v>
                </c:pt>
                <c:pt idx="5">
                  <c:v>563.08120963200008</c:v>
                </c:pt>
                <c:pt idx="6">
                  <c:v>574.34283382463991</c:v>
                </c:pt>
                <c:pt idx="7">
                  <c:v>585.82969050113275</c:v>
                </c:pt>
                <c:pt idx="8">
                  <c:v>597.54628431115543</c:v>
                </c:pt>
                <c:pt idx="9">
                  <c:v>609.4972099973786</c:v>
                </c:pt>
                <c:pt idx="10">
                  <c:v>621.68715419732598</c:v>
                </c:pt>
                <c:pt idx="11">
                  <c:v>634.12089728127262</c:v>
                </c:pt>
                <c:pt idx="12">
                  <c:v>646.80331522689801</c:v>
                </c:pt>
                <c:pt idx="13">
                  <c:v>659.73938153143604</c:v>
                </c:pt>
                <c:pt idx="14">
                  <c:v>672.93416916206456</c:v>
                </c:pt>
                <c:pt idx="15">
                  <c:v>686.39285254530603</c:v>
                </c:pt>
                <c:pt idx="16">
                  <c:v>700.12070959621224</c:v>
                </c:pt>
                <c:pt idx="17">
                  <c:v>714.12312378813635</c:v>
                </c:pt>
                <c:pt idx="18">
                  <c:v>728.40558626389907</c:v>
                </c:pt>
                <c:pt idx="19">
                  <c:v>742.97369798917714</c:v>
                </c:pt>
                <c:pt idx="20">
                  <c:v>757.83317194896063</c:v>
                </c:pt>
                <c:pt idx="21">
                  <c:v>772.98983538793982</c:v>
                </c:pt>
                <c:pt idx="22">
                  <c:v>788.44963209569846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2-4B3B-B09E-D817BBD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4000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EBITDA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44742</c:v>
                </c:pt>
                <c:pt idx="1">
                  <c:v>45107</c:v>
                </c:pt>
                <c:pt idx="2">
                  <c:v>45473</c:v>
                </c:pt>
                <c:pt idx="3">
                  <c:v>45838</c:v>
                </c:pt>
                <c:pt idx="4">
                  <c:v>46203</c:v>
                </c:pt>
                <c:pt idx="5">
                  <c:v>46568</c:v>
                </c:pt>
                <c:pt idx="6">
                  <c:v>46934</c:v>
                </c:pt>
                <c:pt idx="7">
                  <c:v>47299</c:v>
                </c:pt>
                <c:pt idx="8">
                  <c:v>47664</c:v>
                </c:pt>
                <c:pt idx="9">
                  <c:v>48029</c:v>
                </c:pt>
                <c:pt idx="10">
                  <c:v>48395</c:v>
                </c:pt>
                <c:pt idx="11">
                  <c:v>48760</c:v>
                </c:pt>
                <c:pt idx="12">
                  <c:v>49125</c:v>
                </c:pt>
                <c:pt idx="13">
                  <c:v>49490</c:v>
                </c:pt>
                <c:pt idx="14">
                  <c:v>49856</c:v>
                </c:pt>
                <c:pt idx="15">
                  <c:v>50221</c:v>
                </c:pt>
                <c:pt idx="16">
                  <c:v>50586</c:v>
                </c:pt>
                <c:pt idx="17">
                  <c:v>50951</c:v>
                </c:pt>
                <c:pt idx="18">
                  <c:v>51317</c:v>
                </c:pt>
                <c:pt idx="19">
                  <c:v>51682</c:v>
                </c:pt>
                <c:pt idx="20">
                  <c:v>52047</c:v>
                </c:pt>
                <c:pt idx="21">
                  <c:v>52412</c:v>
                </c:pt>
                <c:pt idx="22">
                  <c:v>52778</c:v>
                </c:pt>
                <c:pt idx="23">
                  <c:v>53143</c:v>
                </c:pt>
                <c:pt idx="24">
                  <c:v>53508</c:v>
                </c:pt>
                <c:pt idx="25">
                  <c:v>53873</c:v>
                </c:pt>
                <c:pt idx="26">
                  <c:v>54239</c:v>
                </c:pt>
                <c:pt idx="27">
                  <c:v>54604</c:v>
                </c:pt>
                <c:pt idx="28">
                  <c:v>54969</c:v>
                </c:pt>
                <c:pt idx="29">
                  <c:v>55334</c:v>
                </c:pt>
                <c:pt idx="30">
                  <c:v>55700</c:v>
                </c:pt>
                <c:pt idx="31">
                  <c:v>56065</c:v>
                </c:pt>
                <c:pt idx="32">
                  <c:v>56430</c:v>
                </c:pt>
              </c:numCache>
            </c:numRef>
          </c:cat>
          <c:val>
            <c:numRef>
              <c:f>'Chart data'!$J$52:$AP$52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31542.678179230952</c:v>
                </c:pt>
                <c:pt idx="4">
                  <c:v>31304.633069559593</c:v>
                </c:pt>
                <c:pt idx="5">
                  <c:v>31063.530057889606</c:v>
                </c:pt>
                <c:pt idx="6">
                  <c:v>30819.304024191682</c:v>
                </c:pt>
                <c:pt idx="7">
                  <c:v>30571.888543834186</c:v>
                </c:pt>
                <c:pt idx="8">
                  <c:v>30321.215861313824</c:v>
                </c:pt>
                <c:pt idx="9">
                  <c:v>30067.216863458088</c:v>
                </c:pt>
                <c:pt idx="10">
                  <c:v>29809.821052088759</c:v>
                </c:pt>
                <c:pt idx="11">
                  <c:v>29548.956516135764</c:v>
                </c:pt>
                <c:pt idx="12">
                  <c:v>29284.549903190076</c:v>
                </c:pt>
                <c:pt idx="13">
                  <c:v>29016.526390484727</c:v>
                </c:pt>
                <c:pt idx="14">
                  <c:v>28744.809655292018</c:v>
                </c:pt>
                <c:pt idx="15">
                  <c:v>28469.321844725717</c:v>
                </c:pt>
                <c:pt idx="16">
                  <c:v>28189.983544935836</c:v>
                </c:pt>
                <c:pt idx="17">
                  <c:v>27906.713749683902</c:v>
                </c:pt>
                <c:pt idx="18">
                  <c:v>27619.429828286422</c:v>
                </c:pt>
                <c:pt idx="19">
                  <c:v>27328.047492913771</c:v>
                </c:pt>
                <c:pt idx="20">
                  <c:v>27032.480765231354</c:v>
                </c:pt>
                <c:pt idx="21">
                  <c:v>26732.64194237005</c:v>
                </c:pt>
                <c:pt idx="22">
                  <c:v>26428.441562212494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4-44DF-8622-FCBDDD151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4000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en-US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5929780" y="35858823"/>
    <xdr:ext cx="5400000" cy="226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</xdr:row>
          <xdr:rowOff>28575</xdr:rowOff>
        </xdr:from>
        <xdr:to>
          <xdr:col>12</xdr:col>
          <xdr:colOff>933450</xdr:colOff>
          <xdr:row>3</xdr:row>
          <xdr:rowOff>66675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5929780" y="35858823"/>
    <xdr:ext cx="5400000" cy="226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4</xdr:col>
      <xdr:colOff>18799</xdr:colOff>
      <xdr:row>33</xdr:row>
      <xdr:rowOff>7936</xdr:rowOff>
    </xdr:from>
    <xdr:to>
      <xdr:col>7</xdr:col>
      <xdr:colOff>1084924</xdr:colOff>
      <xdr:row>44</xdr:row>
      <xdr:rowOff>173236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7944</xdr:colOff>
      <xdr:row>33</xdr:row>
      <xdr:rowOff>7936</xdr:rowOff>
    </xdr:from>
    <xdr:to>
      <xdr:col>13</xdr:col>
      <xdr:colOff>1026444</xdr:colOff>
      <xdr:row>44</xdr:row>
      <xdr:rowOff>173236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18799</xdr:colOff>
      <xdr:row>5</xdr:row>
      <xdr:rowOff>12698</xdr:rowOff>
    </xdr:from>
    <xdr:to>
      <xdr:col>7</xdr:col>
      <xdr:colOff>1084924</xdr:colOff>
      <xdr:row>17</xdr:row>
      <xdr:rowOff>90685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7944</xdr:colOff>
      <xdr:row>46</xdr:row>
      <xdr:rowOff>182555</xdr:rowOff>
    </xdr:from>
    <xdr:to>
      <xdr:col>13</xdr:col>
      <xdr:colOff>1026444</xdr:colOff>
      <xdr:row>58</xdr:row>
      <xdr:rowOff>157355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18799</xdr:colOff>
      <xdr:row>59</xdr:row>
      <xdr:rowOff>182555</xdr:rowOff>
    </xdr:from>
    <xdr:to>
      <xdr:col>7</xdr:col>
      <xdr:colOff>1084924</xdr:colOff>
      <xdr:row>71</xdr:row>
      <xdr:rowOff>157355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7944</xdr:colOff>
      <xdr:row>5</xdr:row>
      <xdr:rowOff>12698</xdr:rowOff>
    </xdr:from>
    <xdr:to>
      <xdr:col>13</xdr:col>
      <xdr:colOff>1026444</xdr:colOff>
      <xdr:row>17</xdr:row>
      <xdr:rowOff>90685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18799</xdr:colOff>
      <xdr:row>47</xdr:row>
      <xdr:rowOff>7930</xdr:rowOff>
    </xdr:from>
    <xdr:to>
      <xdr:col>7</xdr:col>
      <xdr:colOff>1084924</xdr:colOff>
      <xdr:row>58</xdr:row>
      <xdr:rowOff>173230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46013</xdr:colOff>
      <xdr:row>19</xdr:row>
      <xdr:rowOff>17007</xdr:rowOff>
    </xdr:from>
    <xdr:to>
      <xdr:col>8</xdr:col>
      <xdr:colOff>23567</xdr:colOff>
      <xdr:row>31</xdr:row>
      <xdr:rowOff>87057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7944</xdr:colOff>
      <xdr:row>19</xdr:row>
      <xdr:rowOff>7935</xdr:rowOff>
    </xdr:from>
    <xdr:to>
      <xdr:col>13</xdr:col>
      <xdr:colOff>1026444</xdr:colOff>
      <xdr:row>31</xdr:row>
      <xdr:rowOff>77985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</xdr:row>
          <xdr:rowOff>209550</xdr:rowOff>
        </xdr:from>
        <xdr:to>
          <xdr:col>13</xdr:col>
          <xdr:colOff>857250</xdr:colOff>
          <xdr:row>2</xdr:row>
          <xdr:rowOff>257175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2095500</xdr:colOff>
          <xdr:row>1</xdr:row>
          <xdr:rowOff>47625</xdr:rowOff>
        </xdr:from>
        <xdr:to>
          <xdr:col>5</xdr:col>
          <xdr:colOff>742950</xdr:colOff>
          <xdr:row>3</xdr:row>
          <xdr:rowOff>28575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5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Track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1</xdr:row>
          <xdr:rowOff>142875</xdr:rowOff>
        </xdr:from>
        <xdr:to>
          <xdr:col>4</xdr:col>
          <xdr:colOff>2124075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F00CFD3-A6CA-4150-B4F0-1852DAE2D152}">
  <we:reference id="wa200001584" version="2.8.1.5" store="en-U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21D8-ED01-40F4-B2C2-1782C5BD5591}">
  <sheetPr codeName="Summary">
    <tabColor theme="4"/>
    <pageSetUpPr autoPageBreaks="0"/>
  </sheetPr>
  <dimension ref="A1:Q42"/>
  <sheetViews>
    <sheetView showGridLines="0" topLeftCell="J1" zoomScale="75" zoomScaleNormal="75" zoomScaleSheetLayoutView="80" workbookViewId="0">
      <selection activeCell="M12" sqref="M12"/>
    </sheetView>
  </sheetViews>
  <sheetFormatPr defaultColWidth="0" defaultRowHeight="12.75" x14ac:dyDescent="0.2"/>
  <cols>
    <col min="1" max="4" width="1.140625" style="928" customWidth="1"/>
    <col min="5" max="5" width="30.7109375" style="928" customWidth="1"/>
    <col min="6" max="9" width="15.7109375" style="928" customWidth="1"/>
    <col min="10" max="10" width="30.7109375" style="928" customWidth="1"/>
    <col min="11" max="13" width="15.7109375" style="928" customWidth="1"/>
    <col min="14" max="14" width="1.140625" style="928" customWidth="1"/>
    <col min="15" max="17" width="0" style="928" hidden="1" customWidth="1"/>
    <col min="18" max="16384" width="2.7109375" style="928" hidden="1"/>
  </cols>
  <sheetData>
    <row r="1" spans="1:16" ht="5.0999999999999996" customHeight="1" x14ac:dyDescent="0.2">
      <c r="A1" s="927" t="str">
        <f ca="1" xml:space="preserve"> RIGHT(CELL("filename", A1), LEN(CELL("filename", A1)) - SEARCH("]", CELL("filename", A1)))</f>
        <v>Summary</v>
      </c>
    </row>
    <row r="2" spans="1:16" ht="27.75" x14ac:dyDescent="0.2">
      <c r="B2" s="929" t="s">
        <v>1350</v>
      </c>
      <c r="C2" s="930"/>
      <c r="D2" s="930"/>
      <c r="E2" s="930"/>
      <c r="F2" s="930"/>
      <c r="G2" s="930"/>
      <c r="H2" s="930"/>
      <c r="I2" s="930"/>
      <c r="J2" s="930"/>
      <c r="K2" s="930"/>
      <c r="L2" s="930"/>
      <c r="M2" s="930"/>
    </row>
    <row r="3" spans="1:16" ht="30" customHeight="1" x14ac:dyDescent="0.2">
      <c r="B3" s="931" t="str">
        <f ca="1" xml:space="preserve"> "Active case: " &amp; InpC!F3 &amp; " |  LCOE: " &amp; TEXT(G12, "0.00") &amp; " WID cents / kWh | Equity IRR: " &amp; TEXT(L6, "0.00%") &amp; " | Min DSCR: " &amp; TEXT(M15, "0.00") &amp; " | " &amp; IF(Check!F31 = 0, "No model errors", Check!F31 &amp; IF(Check!F31 = 1, " active error check", " active error checks"))</f>
        <v>Active case: Base case 1 |  LCOE: 0.00 WID cents / kWh | Equity IRR: 10.00% | Min DSCR: 1.40 | No model errors</v>
      </c>
      <c r="C3" s="930"/>
      <c r="D3" s="930"/>
      <c r="E3" s="930"/>
      <c r="F3" s="930"/>
      <c r="G3" s="930"/>
      <c r="H3" s="930"/>
      <c r="I3" s="930"/>
      <c r="J3" s="930"/>
      <c r="K3" s="930"/>
      <c r="L3" s="930"/>
      <c r="M3" s="930"/>
    </row>
    <row r="4" spans="1:16" ht="15" customHeight="1" x14ac:dyDescent="0.2">
      <c r="C4" s="930"/>
      <c r="D4" s="930"/>
      <c r="E4" s="930"/>
      <c r="F4" s="930"/>
      <c r="G4" s="930"/>
      <c r="H4" s="930"/>
      <c r="I4" s="930"/>
      <c r="J4" s="930"/>
      <c r="K4" s="930"/>
      <c r="L4" s="930"/>
      <c r="M4" s="930"/>
    </row>
    <row r="5" spans="1:16" s="938" customFormat="1" ht="12" x14ac:dyDescent="0.2">
      <c r="A5" s="932"/>
      <c r="B5" s="932"/>
      <c r="C5" s="933"/>
      <c r="D5" s="933"/>
      <c r="E5" s="934" t="s">
        <v>767</v>
      </c>
      <c r="F5" s="935" t="s">
        <v>768</v>
      </c>
      <c r="G5" s="935" t="s">
        <v>769</v>
      </c>
      <c r="H5" s="935" t="s">
        <v>770</v>
      </c>
      <c r="I5" s="932"/>
      <c r="J5" s="934" t="s">
        <v>771</v>
      </c>
      <c r="K5" s="936"/>
      <c r="L5" s="937" t="s">
        <v>829</v>
      </c>
      <c r="M5" s="937" t="s">
        <v>1145</v>
      </c>
      <c r="N5" s="932"/>
      <c r="O5" s="932"/>
      <c r="P5" s="932"/>
    </row>
    <row r="6" spans="1:16" s="938" customFormat="1" ht="15" customHeight="1" x14ac:dyDescent="0.2">
      <c r="A6" s="932"/>
      <c r="B6" s="932"/>
      <c r="C6" s="933"/>
      <c r="D6" s="933"/>
      <c r="E6" s="939" t="str">
        <f ca="1" xml:space="preserve"> 'Chart data'!E$79</f>
        <v>Financial close date</v>
      </c>
      <c r="F6" s="940"/>
      <c r="G6" s="940"/>
      <c r="H6" s="941">
        <f ca="1" xml:space="preserve"> 'Chart data'!F$79</f>
        <v>44681</v>
      </c>
      <c r="I6" s="932"/>
      <c r="J6" s="942" t="str">
        <f ca="1" xml:space="preserve"> 'Chart data'!E$92</f>
        <v>Blended equity IRR</v>
      </c>
      <c r="K6" s="943"/>
      <c r="L6" s="944">
        <f ca="1" xml:space="preserve"> 'Chart data'!F$92</f>
        <v>9.9999994039535522E-2</v>
      </c>
      <c r="M6" s="944">
        <f ca="1" xml:space="preserve"> 'Chart data'!F$95</f>
        <v>3.0456453561782835E-3</v>
      </c>
      <c r="N6" s="932"/>
      <c r="O6" s="932"/>
      <c r="P6" s="932"/>
    </row>
    <row r="7" spans="1:16" s="938" customFormat="1" ht="15" customHeight="1" x14ac:dyDescent="0.2">
      <c r="A7" s="932"/>
      <c r="B7" s="932"/>
      <c r="C7" s="933"/>
      <c r="D7" s="933"/>
      <c r="E7" s="939" t="s">
        <v>772</v>
      </c>
      <c r="F7" s="945">
        <f ca="1" xml:space="preserve"> 'Chart data'!F$81</f>
        <v>44682</v>
      </c>
      <c r="G7" s="946">
        <f ca="1" xml:space="preserve"> 'Chart data'!F$82</f>
        <v>26</v>
      </c>
      <c r="H7" s="945">
        <f ca="1" xml:space="preserve"> 'Chart data'!F$83</f>
        <v>45473</v>
      </c>
      <c r="I7" s="947"/>
      <c r="J7" s="949" t="str">
        <f ca="1" xml:space="preserve"> 'Chart data'!E$93</f>
        <v>Project IRR</v>
      </c>
      <c r="K7" s="942"/>
      <c r="L7" s="948">
        <f ca="1" xml:space="preserve"> 'Chart data'!F$93</f>
        <v>7.0641347765922555E-2</v>
      </c>
      <c r="M7" s="948">
        <f ca="1" xml:space="preserve"> 'Chart data'!F$96</f>
        <v>3.8544139266014105E-2</v>
      </c>
      <c r="N7" s="932"/>
      <c r="O7" s="932"/>
      <c r="P7" s="932"/>
    </row>
    <row r="8" spans="1:16" s="938" customFormat="1" ht="15" customHeight="1" x14ac:dyDescent="0.2">
      <c r="A8" s="932"/>
      <c r="B8" s="932"/>
      <c r="C8" s="933"/>
      <c r="D8" s="933"/>
      <c r="E8" s="939" t="s">
        <v>773</v>
      </c>
      <c r="F8" s="941">
        <f ca="1" xml:space="preserve"> 'Chart data'!F$85</f>
        <v>45474</v>
      </c>
      <c r="G8" s="950">
        <f ca="1" xml:space="preserve"> 'Chart data'!F$86</f>
        <v>20</v>
      </c>
      <c r="H8" s="951">
        <f ca="1">'Chart data'!$F$87</f>
        <v>52778</v>
      </c>
      <c r="I8" s="932"/>
      <c r="J8" s="952"/>
      <c r="K8" s="943"/>
      <c r="N8" s="932"/>
      <c r="O8" s="932"/>
      <c r="P8" s="932"/>
    </row>
    <row r="9" spans="1:16" s="938" customFormat="1" ht="15" customHeight="1" x14ac:dyDescent="0.2">
      <c r="A9" s="932"/>
      <c r="B9" s="932"/>
      <c r="C9" s="933"/>
      <c r="D9" s="933"/>
      <c r="E9" s="932"/>
      <c r="F9" s="932"/>
      <c r="G9" s="932"/>
      <c r="H9" s="932"/>
      <c r="I9" s="932"/>
      <c r="J9" s="932"/>
      <c r="K9" s="932"/>
      <c r="L9" s="932"/>
      <c r="N9" s="932"/>
      <c r="O9" s="932"/>
      <c r="P9" s="932"/>
    </row>
    <row r="10" spans="1:16" s="938" customFormat="1" ht="15" customHeight="1" x14ac:dyDescent="0.2">
      <c r="A10" s="953"/>
      <c r="B10" s="953"/>
      <c r="C10" s="954"/>
      <c r="D10" s="954"/>
      <c r="E10" s="934" t="s">
        <v>774</v>
      </c>
      <c r="F10" s="934"/>
      <c r="G10" s="955" t="s">
        <v>821</v>
      </c>
      <c r="H10" s="955" t="s">
        <v>775</v>
      </c>
      <c r="I10" s="932"/>
      <c r="J10" s="934" t="s">
        <v>776</v>
      </c>
      <c r="K10" s="936"/>
      <c r="L10" s="936"/>
      <c r="M10" s="956"/>
      <c r="N10" s="932"/>
      <c r="O10" s="932"/>
      <c r="P10" s="932"/>
    </row>
    <row r="11" spans="1:16" s="938" customFormat="1" ht="15" customHeight="1" x14ac:dyDescent="0.2">
      <c r="A11" s="932"/>
      <c r="B11" s="932"/>
      <c r="C11" s="933"/>
      <c r="D11" s="933"/>
      <c r="E11" s="943" t="e">
        <f xml:space="preserve"> 'Chart data'!#REF!</f>
        <v>#REF!</v>
      </c>
      <c r="F11" s="943"/>
      <c r="G11" s="1139"/>
      <c r="H11" s="1139"/>
      <c r="I11" s="932"/>
      <c r="J11" s="957" t="str">
        <f ca="1" xml:space="preserve"> 'Chart data'!E$102</f>
        <v>Debt sizing method</v>
      </c>
      <c r="K11" s="943"/>
      <c r="M11" s="958" t="str">
        <f ca="1" xml:space="preserve"> 'Chart data'!F$102</f>
        <v>DSCR</v>
      </c>
      <c r="N11" s="932"/>
      <c r="O11" s="932"/>
      <c r="P11" s="932"/>
    </row>
    <row r="12" spans="1:16" s="938" customFormat="1" ht="15" customHeight="1" x14ac:dyDescent="0.2">
      <c r="A12" s="932"/>
      <c r="B12" s="932"/>
      <c r="C12" s="933"/>
      <c r="D12" s="933"/>
      <c r="E12" s="943" t="e">
        <f xml:space="preserve"> 'Chart data'!#REF!</f>
        <v>#REF!</v>
      </c>
      <c r="F12" s="943"/>
      <c r="G12" s="1139"/>
      <c r="H12" s="1139"/>
      <c r="I12" s="932"/>
      <c r="J12" s="957" t="str">
        <f ca="1" xml:space="preserve"> 'Chart data'!E$104</f>
        <v>Target leverage</v>
      </c>
      <c r="K12" s="943"/>
      <c r="M12" s="960">
        <f ca="1" xml:space="preserve"> 'Chart data'!F$104</f>
        <v>0.8</v>
      </c>
      <c r="N12" s="932"/>
      <c r="O12" s="932"/>
      <c r="P12" s="932"/>
    </row>
    <row r="13" spans="1:16" s="938" customFormat="1" ht="15" customHeight="1" x14ac:dyDescent="0.2">
      <c r="A13" s="932"/>
      <c r="B13" s="932"/>
      <c r="C13" s="933"/>
      <c r="D13" s="933"/>
      <c r="I13" s="932"/>
      <c r="J13" s="957" t="str">
        <f ca="1" xml:space="preserve"> 'Chart data'!E$105</f>
        <v>Leverage at COD</v>
      </c>
      <c r="K13" s="943"/>
      <c r="M13" s="960">
        <f ca="1" xml:space="preserve"> 'Chart data'!F$105</f>
        <v>0.71796762690416871</v>
      </c>
      <c r="N13" s="932"/>
      <c r="O13" s="932"/>
      <c r="P13" s="932"/>
    </row>
    <row r="14" spans="1:16" s="938" customFormat="1" ht="15" customHeight="1" x14ac:dyDescent="0.2">
      <c r="A14" s="932"/>
      <c r="B14" s="932"/>
      <c r="C14" s="933"/>
      <c r="D14" s="933"/>
      <c r="E14" s="934" t="s">
        <v>777</v>
      </c>
      <c r="F14" s="934"/>
      <c r="G14" s="962"/>
      <c r="H14" s="955"/>
      <c r="I14" s="932"/>
      <c r="N14" s="932"/>
      <c r="O14" s="932"/>
      <c r="P14" s="932"/>
    </row>
    <row r="15" spans="1:16" s="938" customFormat="1" ht="15" customHeight="1" x14ac:dyDescent="0.2">
      <c r="A15" s="932"/>
      <c r="B15" s="932"/>
      <c r="C15" s="933"/>
      <c r="D15" s="933"/>
      <c r="E15" s="943" t="str">
        <f ca="1" xml:space="preserve"> 'Chart data'!E$117</f>
        <v>Contracted plant capacity</v>
      </c>
      <c r="F15" s="932"/>
      <c r="G15" s="943"/>
      <c r="H15" s="963">
        <f ca="1" xml:space="preserve"> 'Chart data'!F$117</f>
        <v>300</v>
      </c>
      <c r="I15" s="932"/>
      <c r="J15" s="957" t="str">
        <f ca="1" xml:space="preserve"> 'Chart data'!E$107</f>
        <v>Min DSCR - P50</v>
      </c>
      <c r="K15" s="943"/>
      <c r="M15" s="961">
        <f ca="1" xml:space="preserve"> 'Chart data'!F$107</f>
        <v>1.3999990581391102</v>
      </c>
      <c r="N15" s="932"/>
      <c r="O15" s="932"/>
      <c r="P15" s="932"/>
    </row>
    <row r="16" spans="1:16" s="938" customFormat="1" ht="15" customHeight="1" x14ac:dyDescent="0.2">
      <c r="A16" s="932"/>
      <c r="B16" s="932"/>
      <c r="C16" s="933"/>
      <c r="D16" s="933"/>
      <c r="E16" s="943" t="str">
        <f ca="1" xml:space="preserve"> 'Chart data'!E$118</f>
        <v>Year 1 P50 production</v>
      </c>
      <c r="F16" s="932"/>
      <c r="G16" s="957"/>
      <c r="H16" s="1073">
        <f ca="1" xml:space="preserve"> 'Chart data'!F$118</f>
        <v>1051.2</v>
      </c>
      <c r="I16" s="932"/>
      <c r="J16" s="957" t="str">
        <f ca="1" xml:space="preserve"> 'Chart data'!E$108</f>
        <v>Avg DSCR - P50</v>
      </c>
      <c r="K16" s="943"/>
      <c r="M16" s="961">
        <f ca="1" xml:space="preserve"> 'Chart data'!F$108</f>
        <v>1.3999998707491461</v>
      </c>
      <c r="N16" s="932"/>
      <c r="O16" s="932"/>
      <c r="P16" s="932"/>
    </row>
    <row r="17" spans="1:16" s="938" customFormat="1" ht="15" customHeight="1" x14ac:dyDescent="0.2">
      <c r="A17" s="932"/>
      <c r="B17" s="932"/>
      <c r="C17" s="933"/>
      <c r="D17" s="933"/>
      <c r="E17" s="943" t="str">
        <f ca="1" xml:space="preserve"> 'Chart data'!E$119</f>
        <v>Year 1 P99 production</v>
      </c>
      <c r="F17" s="932"/>
      <c r="G17" s="957"/>
      <c r="H17" s="1073">
        <f ca="1" xml:space="preserve"> 'Chart data'!F$119</f>
        <v>855.56344918466152</v>
      </c>
      <c r="I17" s="932"/>
      <c r="J17" s="957" t="str">
        <f ca="1" xml:space="preserve"> 'Chart data'!E$109</f>
        <v>Min DSCR - P99</v>
      </c>
      <c r="K17" s="943"/>
      <c r="M17" s="961">
        <f ca="1" xml:space="preserve"> 'Chart data'!F$109</f>
        <v>1.0269539347720498</v>
      </c>
      <c r="N17" s="932"/>
      <c r="O17" s="932"/>
      <c r="P17" s="932"/>
    </row>
    <row r="18" spans="1:16" s="938" customFormat="1" ht="15" customHeight="1" x14ac:dyDescent="0.2">
      <c r="A18" s="932"/>
      <c r="B18" s="932"/>
      <c r="C18" s="932"/>
      <c r="D18" s="932"/>
      <c r="E18" s="943" t="str">
        <f ca="1" xml:space="preserve"> 'Chart data'!E$120</f>
        <v xml:space="preserve">Availability </v>
      </c>
      <c r="F18" s="932"/>
      <c r="G18" s="957"/>
      <c r="H18" s="944">
        <f ca="1" xml:space="preserve"> 'Chart data'!F$120</f>
        <v>0.98</v>
      </c>
      <c r="I18" s="932"/>
      <c r="J18" s="957" t="str">
        <f ca="1" xml:space="preserve"> 'Chart data'!E$110</f>
        <v>Avg DSCR - P99</v>
      </c>
      <c r="K18" s="943"/>
      <c r="M18" s="961">
        <f ca="1" xml:space="preserve"> 'Chart data'!F$110</f>
        <v>1.0522433110088147</v>
      </c>
      <c r="N18" s="932"/>
      <c r="O18" s="932"/>
      <c r="P18" s="932"/>
    </row>
    <row r="19" spans="1:16" s="938" customFormat="1" ht="15" customHeight="1" x14ac:dyDescent="0.2">
      <c r="A19" s="932"/>
      <c r="B19" s="932"/>
      <c r="C19" s="932"/>
      <c r="D19" s="932"/>
      <c r="E19" s="943"/>
      <c r="F19" s="932"/>
      <c r="G19" s="957"/>
      <c r="H19" s="1120"/>
      <c r="I19" s="932"/>
      <c r="J19" s="957"/>
      <c r="K19" s="943"/>
      <c r="M19" s="961"/>
      <c r="N19" s="932"/>
      <c r="O19" s="932"/>
      <c r="P19" s="932"/>
    </row>
    <row r="20" spans="1:16" s="938" customFormat="1" ht="15" customHeight="1" x14ac:dyDescent="0.2">
      <c r="A20" s="932"/>
      <c r="B20" s="932"/>
      <c r="C20" s="932"/>
      <c r="D20" s="932"/>
      <c r="E20" s="943"/>
      <c r="F20" s="932"/>
      <c r="G20" s="957"/>
      <c r="H20" s="1120"/>
      <c r="I20" s="932"/>
      <c r="J20" s="957" t="str">
        <f ca="1" xml:space="preserve"> 'Chart data'!E$112</f>
        <v>Average cost of debt</v>
      </c>
      <c r="K20" s="943"/>
      <c r="M20" s="944">
        <f ca="1" xml:space="preserve"> 'Chart data'!F$112</f>
        <v>5.0889906287193296E-2</v>
      </c>
      <c r="N20" s="932"/>
      <c r="O20" s="932"/>
      <c r="P20" s="932"/>
    </row>
    <row r="21" spans="1:16" s="938" customFormat="1" ht="15" customHeight="1" x14ac:dyDescent="0.2">
      <c r="A21" s="932"/>
      <c r="B21" s="932"/>
      <c r="C21" s="933"/>
      <c r="D21" s="933"/>
      <c r="I21" s="932"/>
      <c r="N21" s="932"/>
      <c r="O21" s="932"/>
      <c r="P21" s="932"/>
    </row>
    <row r="22" spans="1:16" s="938" customFormat="1" ht="15" customHeight="1" x14ac:dyDescent="0.2">
      <c r="A22" s="932"/>
      <c r="B22" s="932"/>
      <c r="C22" s="932"/>
      <c r="D22" s="954"/>
      <c r="E22" s="934" t="s">
        <v>778</v>
      </c>
      <c r="F22" s="955" t="s">
        <v>817</v>
      </c>
      <c r="G22" s="955" t="s">
        <v>830</v>
      </c>
      <c r="H22" s="955" t="s">
        <v>103</v>
      </c>
      <c r="I22" s="932"/>
      <c r="J22" s="934" t="s">
        <v>779</v>
      </c>
      <c r="K22" s="955" t="s">
        <v>817</v>
      </c>
      <c r="L22" s="955" t="s">
        <v>830</v>
      </c>
      <c r="M22" s="937" t="s">
        <v>103</v>
      </c>
      <c r="N22" s="932"/>
      <c r="O22" s="932"/>
      <c r="P22" s="932"/>
    </row>
    <row r="23" spans="1:16" s="938" customFormat="1" ht="15" customHeight="1" x14ac:dyDescent="0.2">
      <c r="A23" s="953"/>
      <c r="B23" s="953"/>
      <c r="C23" s="953"/>
      <c r="D23" s="953"/>
      <c r="E23" s="957" t="str">
        <f ca="1" xml:space="preserve"> 'Chart data'!E$125</f>
        <v xml:space="preserve">Share capital </v>
      </c>
      <c r="F23" s="1066">
        <f ca="1" xml:space="preserve"> 'Chart data'!F$125</f>
        <v>100</v>
      </c>
      <c r="G23" s="1066">
        <f ca="1" xml:space="preserve"> 'Chart data'!G$125</f>
        <v>500</v>
      </c>
      <c r="H23" s="964">
        <f ca="1" xml:space="preserve"> F23 / $F$38</f>
        <v>2.2984999426465508E-4</v>
      </c>
      <c r="I23" s="932"/>
      <c r="J23" s="965" t="str">
        <f ca="1" xml:space="preserve"> 'Chart data'!E$140</f>
        <v>Total EPC cost</v>
      </c>
      <c r="K23" s="1066">
        <f ca="1" xml:space="preserve"> 'Chart data'!F$140</f>
        <v>300000</v>
      </c>
      <c r="L23" s="1066">
        <f ca="1" xml:space="preserve"> 'Chart data'!G$140</f>
        <v>1500000</v>
      </c>
      <c r="M23" s="964">
        <f ca="1" xml:space="preserve"> 'Chart data'!H$140</f>
        <v>0.68954997642600813</v>
      </c>
      <c r="N23" s="932"/>
      <c r="O23" s="932"/>
      <c r="P23" s="932"/>
    </row>
    <row r="24" spans="1:16" s="938" customFormat="1" ht="15" customHeight="1" x14ac:dyDescent="0.2">
      <c r="A24" s="932"/>
      <c r="B24" s="932"/>
      <c r="C24" s="932"/>
      <c r="D24" s="932"/>
      <c r="E24" s="957" t="str">
        <f ca="1" xml:space="preserve"> 'Chart data'!E$128</f>
        <v>Standby equity</v>
      </c>
      <c r="F24" s="1066">
        <f ca="1" xml:space="preserve"> 'Chart data'!F$128</f>
        <v>0</v>
      </c>
      <c r="G24" s="1066">
        <f ca="1" xml:space="preserve"> 'Chart data'!G$128</f>
        <v>0</v>
      </c>
      <c r="H24" s="964">
        <f ca="1" xml:space="preserve"> F24 / $F$38</f>
        <v>0</v>
      </c>
      <c r="I24" s="932"/>
      <c r="J24" s="966" t="s">
        <v>1293</v>
      </c>
      <c r="K24" s="1066">
        <f ca="1" xml:space="preserve"> 'Chart data'!F$142</f>
        <v>0</v>
      </c>
      <c r="L24" s="1066">
        <f ca="1" xml:space="preserve"> 'Chart data'!G$142</f>
        <v>0</v>
      </c>
      <c r="M24" s="964">
        <f ca="1" xml:space="preserve"> 'Chart data'!H$142</f>
        <v>0</v>
      </c>
      <c r="N24" s="932"/>
      <c r="O24" s="932"/>
      <c r="P24" s="932"/>
    </row>
    <row r="25" spans="1:16" s="938" customFormat="1" ht="15" customHeight="1" x14ac:dyDescent="0.2">
      <c r="A25" s="932"/>
      <c r="B25" s="932"/>
      <c r="C25" s="932"/>
      <c r="D25" s="932"/>
      <c r="E25" s="957" t="str">
        <f ca="1" xml:space="preserve"> 'Chart data'!E$126</f>
        <v>Shareholder loan drawdown</v>
      </c>
      <c r="F25" s="1066">
        <f ca="1" xml:space="preserve"> 'Chart data'!F$126</f>
        <v>86318.253106861201</v>
      </c>
      <c r="G25" s="1066">
        <f ca="1" xml:space="preserve"> 'Chart data'!G$126</f>
        <v>431591.265534306</v>
      </c>
      <c r="H25" s="964">
        <f ca="1" xml:space="preserve"> F25 / $F$38</f>
        <v>0.19840249981547092</v>
      </c>
      <c r="I25" s="932"/>
      <c r="J25" s="966" t="str">
        <f ca="1" xml:space="preserve"> 'Chart data'!E$146</f>
        <v>Total Development cost</v>
      </c>
      <c r="K25" s="1066">
        <f ca="1" xml:space="preserve"> 'Chart data'!F$146</f>
        <v>7000</v>
      </c>
      <c r="L25" s="1066">
        <f ca="1" xml:space="preserve"> 'Chart data'!G$146</f>
        <v>35000</v>
      </c>
      <c r="M25" s="964">
        <f ca="1" xml:space="preserve"> 'Chart data'!H$146</f>
        <v>1.6089499449940189E-2</v>
      </c>
      <c r="N25" s="932"/>
      <c r="O25" s="932"/>
      <c r="P25" s="932"/>
    </row>
    <row r="26" spans="1:16" s="938" customFormat="1" ht="15" customHeight="1" x14ac:dyDescent="0.2">
      <c r="A26" s="932"/>
      <c r="B26" s="932"/>
      <c r="C26" s="932"/>
      <c r="D26" s="932"/>
      <c r="E26" s="957" t="str">
        <f ca="1" xml:space="preserve"> 'Chart data'!E$127</f>
        <v>Equity bridge</v>
      </c>
      <c r="F26" s="1068">
        <f ca="1" xml:space="preserve"> 'Chart data'!F$127</f>
        <v>86318.253106861201</v>
      </c>
      <c r="G26" s="1068">
        <f ca="1" xml:space="preserve"> 'Chart data'!G$127</f>
        <v>431591.265534306</v>
      </c>
      <c r="H26" s="967">
        <f ca="1" xml:space="preserve"> F26 / $F$38</f>
        <v>0.19840249981547092</v>
      </c>
      <c r="I26" s="932"/>
      <c r="J26" s="965" t="str">
        <f ca="1" xml:space="preserve"> 'Chart data'!E$150</f>
        <v>Total Pre operating cost</v>
      </c>
      <c r="K26" s="1066">
        <f ca="1" xml:space="preserve"> 'Chart data'!F$150</f>
        <v>1997.3077200000002</v>
      </c>
      <c r="L26" s="1066">
        <f ca="1" xml:space="preserve"> 'Chart data'!G$150</f>
        <v>9986.5386000000017</v>
      </c>
      <c r="M26" s="964">
        <f ca="1" xml:space="preserve"> 'Chart data'!H$150</f>
        <v>4.5908116374716139E-3</v>
      </c>
      <c r="N26" s="953"/>
      <c r="O26" s="932"/>
      <c r="P26" s="932"/>
    </row>
    <row r="27" spans="1:16" s="938" customFormat="1" ht="15" customHeight="1" x14ac:dyDescent="0.2">
      <c r="A27" s="932"/>
      <c r="B27" s="932"/>
      <c r="C27" s="932"/>
      <c r="D27" s="932"/>
      <c r="E27" s="933" t="s">
        <v>780</v>
      </c>
      <c r="F27" s="1069">
        <f ca="1">SUM(F23:F26)</f>
        <v>172736.5062137224</v>
      </c>
      <c r="G27" s="1069">
        <f ca="1">SUM(G23:G26)</f>
        <v>863682.53106861201</v>
      </c>
      <c r="H27" s="968">
        <f ca="1" xml:space="preserve"> F27 / $F$38</f>
        <v>0.39703484962520652</v>
      </c>
      <c r="I27" s="932"/>
      <c r="J27" s="965" t="str">
        <f ca="1" xml:space="preserve"> 'Chart data'!E$152</f>
        <v>Development security LC fee</v>
      </c>
      <c r="K27" s="1066">
        <f ca="1" xml:space="preserve"> 'Chart data'!F$152</f>
        <v>325</v>
      </c>
      <c r="L27" s="1066">
        <f ca="1" xml:space="preserve"> 'Chart data'!G$152</f>
        <v>1625</v>
      </c>
      <c r="M27" s="964">
        <f ca="1" xml:space="preserve"> 'Chart data'!H$152</f>
        <v>7.4701247446150873E-4</v>
      </c>
      <c r="N27" s="932"/>
      <c r="O27" s="932"/>
      <c r="P27" s="932"/>
    </row>
    <row r="28" spans="1:16" s="938" customFormat="1" ht="15" customHeight="1" x14ac:dyDescent="0.2">
      <c r="A28" s="932"/>
      <c r="B28" s="932"/>
      <c r="C28" s="932"/>
      <c r="D28" s="932"/>
      <c r="E28" s="932"/>
      <c r="F28" s="1070"/>
      <c r="G28" s="1070"/>
      <c r="H28" s="969"/>
      <c r="I28" s="932"/>
      <c r="K28" s="1067"/>
      <c r="L28" s="1067"/>
      <c r="N28" s="932"/>
      <c r="O28" s="932"/>
      <c r="P28" s="932"/>
    </row>
    <row r="29" spans="1:16" s="938" customFormat="1" ht="15" customHeight="1" x14ac:dyDescent="0.2">
      <c r="A29" s="932"/>
      <c r="B29" s="932"/>
      <c r="C29" s="932"/>
      <c r="D29" s="932"/>
      <c r="E29" s="957" t="str">
        <f ca="1" xml:space="preserve"> 'Chart data'!E$129</f>
        <v>Construction debt</v>
      </c>
      <c r="F29" s="1066">
        <f ca="1" xml:space="preserve"> 'Chart data'!F$129</f>
        <v>250389.85226030689</v>
      </c>
      <c r="G29" s="1066">
        <f ca="1" xml:space="preserve"> 'Chart data'!G$129</f>
        <v>1251949.2613015345</v>
      </c>
      <c r="H29" s="964">
        <f ca="1" xml:space="preserve"> F29 / $F$38</f>
        <v>0.57552106105959366</v>
      </c>
      <c r="I29" s="932"/>
      <c r="J29" s="965" t="str">
        <f ca="1" xml:space="preserve"> 'Chart data'!E$156</f>
        <v>Equity bridge interest &amp; Fees</v>
      </c>
      <c r="K29" s="1066">
        <f ca="1" xml:space="preserve"> 'Chart data'!F$156</f>
        <v>8197.0211828971678</v>
      </c>
      <c r="L29" s="1066">
        <f ca="1" xml:space="preserve"> 'Chart data'!G$156</f>
        <v>40985.105914485837</v>
      </c>
      <c r="M29" s="964">
        <f ca="1" xml:space="preserve"> 'Chart data'!H$156</f>
        <v>1.8840852544767438E-2</v>
      </c>
      <c r="N29" s="932"/>
      <c r="O29" s="932"/>
      <c r="P29" s="932"/>
    </row>
    <row r="30" spans="1:16" s="938" customFormat="1" ht="15" customHeight="1" x14ac:dyDescent="0.2">
      <c r="A30" s="932"/>
      <c r="B30" s="932"/>
      <c r="C30" s="932"/>
      <c r="D30" s="932"/>
      <c r="E30" s="957" t="str">
        <f ca="1" xml:space="preserve"> 'Chart data'!E$130</f>
        <v>Standby debt</v>
      </c>
      <c r="F30" s="1068">
        <f ca="1" xml:space="preserve"> 'Chart data'!F$130</f>
        <v>0</v>
      </c>
      <c r="G30" s="1068">
        <f ca="1" xml:space="preserve"> 'Chart data'!G$130</f>
        <v>0</v>
      </c>
      <c r="H30" s="967">
        <f ca="1" xml:space="preserve"> F30 / $F$38</f>
        <v>0</v>
      </c>
      <c r="I30" s="932"/>
      <c r="J30" s="966" t="str">
        <f ca="1" xml:space="preserve"> 'Chart data'!E$161</f>
        <v>Construction debt interest &amp; Fees</v>
      </c>
      <c r="K30" s="1066">
        <f ca="1" xml:space="preserve"> 'Chart data'!F$161</f>
        <v>15956.930894937956</v>
      </c>
      <c r="L30" s="1066">
        <f ca="1" xml:space="preserve"> 'Chart data'!G$161</f>
        <v>79784.654474689771</v>
      </c>
      <c r="M30" s="964">
        <f ca="1" xml:space="preserve"> 'Chart data'!H$161</f>
        <v>3.667700440811969E-2</v>
      </c>
      <c r="N30" s="932"/>
      <c r="O30" s="932"/>
      <c r="P30" s="932"/>
    </row>
    <row r="31" spans="1:16" s="938" customFormat="1" ht="15" customHeight="1" x14ac:dyDescent="0.2">
      <c r="A31" s="932"/>
      <c r="B31" s="932"/>
      <c r="C31" s="932"/>
      <c r="D31" s="932"/>
      <c r="E31" s="933" t="s">
        <v>781</v>
      </c>
      <c r="F31" s="1069">
        <f ca="1">SUM(F29:F30)</f>
        <v>250389.85226030689</v>
      </c>
      <c r="G31" s="1069">
        <f ca="1">SUM(G29:G30)</f>
        <v>1251949.2613015345</v>
      </c>
      <c r="H31" s="968">
        <f ca="1" xml:space="preserve"> F31 / $F$38</f>
        <v>0.57552106105959366</v>
      </c>
      <c r="I31" s="932"/>
      <c r="J31" s="965" t="str">
        <f ca="1" xml:space="preserve"> 'Chart data'!E$165</f>
        <v>Standby debt interest &amp; Fees</v>
      </c>
      <c r="K31" s="1066">
        <f ca="1" xml:space="preserve"> 'Chart data'!F$165</f>
        <v>163.26584059187576</v>
      </c>
      <c r="L31" s="1066">
        <f ca="1" xml:space="preserve"> 'Chart data'!G$165</f>
        <v>816.32920295937879</v>
      </c>
      <c r="M31" s="964">
        <f ca="1" xml:space="preserve"> 'Chart data'!H$165</f>
        <v>3.752665217710011E-4</v>
      </c>
      <c r="N31" s="932"/>
      <c r="O31" s="932"/>
      <c r="P31" s="932"/>
    </row>
    <row r="32" spans="1:16" s="938" customFormat="1" ht="15" customHeight="1" x14ac:dyDescent="0.2">
      <c r="A32" s="932"/>
      <c r="B32" s="932"/>
      <c r="C32" s="932"/>
      <c r="D32" s="932"/>
      <c r="E32" s="932"/>
      <c r="F32" s="1070"/>
      <c r="G32" s="1070"/>
      <c r="H32" s="969"/>
      <c r="I32" s="932"/>
      <c r="J32" s="959" t="str">
        <f ca="1" xml:space="preserve"> 'Chart data'!E$166</f>
        <v>Working capital pre-funding</v>
      </c>
      <c r="K32" s="1066">
        <f ca="1" xml:space="preserve"> 'Chart data'!F$166</f>
        <v>3857.1209730037863</v>
      </c>
      <c r="L32" s="1066">
        <f ca="1" xml:space="preserve"> 'Chart data'!G$166</f>
        <v>19285.604865018933</v>
      </c>
      <c r="M32" s="964">
        <f ca="1" xml:space="preserve"> 'Chart data'!H$166</f>
        <v>8.8655922533567404E-3</v>
      </c>
      <c r="N32" s="953"/>
      <c r="O32" s="932"/>
      <c r="P32" s="932"/>
    </row>
    <row r="33" spans="1:16" s="938" customFormat="1" ht="15" customHeight="1" x14ac:dyDescent="0.2">
      <c r="A33" s="932"/>
      <c r="B33" s="932"/>
      <c r="C33" s="932"/>
      <c r="D33" s="932"/>
      <c r="E33" s="957" t="str">
        <f ca="1" xml:space="preserve"> 'Chart data'!E$131</f>
        <v>Net cash during EGR period</v>
      </c>
      <c r="F33" s="1066">
        <f ca="1" xml:space="preserve"> 'Chart data'!F$131</f>
        <v>11940</v>
      </c>
      <c r="G33" s="1066">
        <f ca="1" xml:space="preserve"> 'Chart data'!G$131</f>
        <v>59700</v>
      </c>
      <c r="H33" s="964">
        <f ca="1" xml:space="preserve"> F33 / $F$38</f>
        <v>2.7444089315199816E-2</v>
      </c>
      <c r="I33" s="932"/>
      <c r="J33" s="959" t="str">
        <f ca="1" xml:space="preserve"> 'Chart data'!E$167</f>
        <v>DSRA pre-funding</v>
      </c>
      <c r="K33" s="1066">
        <f ca="1" xml:space="preserve"> 'Chart data'!F$167</f>
        <v>11233.130669939161</v>
      </c>
      <c r="L33" s="1066">
        <f ca="1" xml:space="preserve"> 'Chart data'!G$167</f>
        <v>56165.6533496958</v>
      </c>
      <c r="M33" s="964">
        <f ca="1" xml:space="preserve"> 'Chart data'!H$167</f>
        <v>2.5819349962156058E-2</v>
      </c>
      <c r="N33" s="932"/>
      <c r="O33" s="932"/>
      <c r="P33" s="932"/>
    </row>
    <row r="34" spans="1:16" s="938" customFormat="1" ht="15" customHeight="1" x14ac:dyDescent="0.2">
      <c r="A34" s="932"/>
      <c r="B34" s="932"/>
      <c r="C34" s="932"/>
      <c r="D34" s="932"/>
      <c r="E34" s="957"/>
      <c r="F34" s="1119"/>
      <c r="G34" s="1119"/>
      <c r="H34" s="1120"/>
      <c r="I34" s="932"/>
      <c r="J34" s="959" t="str">
        <f ca="1" xml:space="preserve"> 'Chart data'!E$168</f>
        <v>Standby equity LC fee</v>
      </c>
      <c r="K34" s="1066">
        <f ca="1" xml:space="preserve"> 'Chart data'!F$168</f>
        <v>18.33210361270044</v>
      </c>
      <c r="L34" s="1066">
        <f ca="1" xml:space="preserve"> 'Chart data'!G$168</f>
        <v>91.660518063502195</v>
      </c>
      <c r="M34" s="964">
        <f ca="1" xml:space="preserve"> 'Chart data'!H$168</f>
        <v>4.2136338713255758E-5</v>
      </c>
      <c r="N34" s="932"/>
      <c r="O34" s="932"/>
      <c r="P34" s="932"/>
    </row>
    <row r="35" spans="1:16" s="938" customFormat="1" ht="15" customHeight="1" x14ac:dyDescent="0.2">
      <c r="A35" s="932"/>
      <c r="B35" s="932"/>
      <c r="C35" s="932"/>
      <c r="D35" s="932"/>
      <c r="E35" s="957"/>
      <c r="F35" s="1119"/>
      <c r="G35" s="1119"/>
      <c r="H35" s="1120"/>
      <c r="I35" s="932"/>
      <c r="J35" s="959" t="str">
        <f ca="1" xml:space="preserve"> 'Chart data'!E$169</f>
        <v>Early generation O&amp;M costs funded</v>
      </c>
      <c r="K35" s="1066">
        <f ca="1" xml:space="preserve"> 'Chart data'!F$169</f>
        <v>0</v>
      </c>
      <c r="L35" s="1066">
        <f ca="1" xml:space="preserve"> 'Chart data'!G$169</f>
        <v>0</v>
      </c>
      <c r="M35" s="964">
        <f ca="1" xml:space="preserve"> 'Chart data'!H$169</f>
        <v>0</v>
      </c>
      <c r="N35" s="932"/>
      <c r="O35" s="932"/>
      <c r="P35" s="932"/>
    </row>
    <row r="36" spans="1:16" ht="15" customHeight="1" x14ac:dyDescent="0.2">
      <c r="A36" s="953"/>
      <c r="B36" s="953"/>
      <c r="C36" s="953"/>
      <c r="D36" s="953"/>
      <c r="E36" s="932"/>
      <c r="F36" s="932"/>
      <c r="G36" s="932"/>
      <c r="H36" s="969"/>
      <c r="I36" s="932"/>
      <c r="J36" s="959" t="s">
        <v>1133</v>
      </c>
      <c r="K36" s="1066">
        <f ca="1" xml:space="preserve"> 'Chart data'!F$170</f>
        <v>86318.253106861201</v>
      </c>
      <c r="L36" s="1066">
        <f ca="1" xml:space="preserve"> 'Chart data'!G$170</f>
        <v>431591.265534306</v>
      </c>
      <c r="M36" s="964">
        <f ca="1" xml:space="preserve"> 'Chart data'!H$170</f>
        <v>0.19840249798323448</v>
      </c>
      <c r="N36" s="932"/>
      <c r="O36" s="932"/>
      <c r="P36" s="932"/>
    </row>
    <row r="37" spans="1:16" ht="15" customHeight="1" x14ac:dyDescent="0.2">
      <c r="A37" s="978"/>
      <c r="B37" s="953"/>
      <c r="C37" s="953"/>
      <c r="D37" s="953"/>
      <c r="J37" s="959" t="str">
        <f ca="1" xml:space="preserve"> 'Chart data'!E$171</f>
        <v>Cash transferred to cash balance</v>
      </c>
      <c r="K37" s="1066">
        <f ca="1" xml:space="preserve"> 'Chart data'!F$171</f>
        <v>0</v>
      </c>
      <c r="L37" s="1066">
        <f ca="1" xml:space="preserve"> 'Chart data'!G$171</f>
        <v>0</v>
      </c>
      <c r="M37" s="964">
        <f ca="1" xml:space="preserve"> 'Chart data'!H$171</f>
        <v>0</v>
      </c>
      <c r="O37" s="932"/>
      <c r="P37" s="932"/>
    </row>
    <row r="38" spans="1:16" ht="15" customHeight="1" x14ac:dyDescent="0.2">
      <c r="E38" s="1093" t="s">
        <v>778</v>
      </c>
      <c r="F38" s="1071">
        <f ca="1" xml:space="preserve"> F27 + F31 + F33</f>
        <v>435066.35847402929</v>
      </c>
      <c r="G38" s="1071">
        <f ca="1" xml:space="preserve"> G27 + G31 + G33</f>
        <v>2175331.7923701466</v>
      </c>
      <c r="H38" s="972">
        <f ca="1" xml:space="preserve"> F38 / $F$38</f>
        <v>1</v>
      </c>
      <c r="I38" s="932"/>
      <c r="J38" s="971" t="s">
        <v>779</v>
      </c>
      <c r="K38" s="1071">
        <f ca="1">SUM(K23:K37)</f>
        <v>435066.36249184381</v>
      </c>
      <c r="L38" s="1071">
        <f ca="1">SUM(L23:L37)</f>
        <v>2175331.8124592192</v>
      </c>
      <c r="M38" s="972">
        <f ca="1">SUM(M23:M37)</f>
        <v>1.0000000000000002</v>
      </c>
      <c r="N38" s="932"/>
      <c r="O38" s="932"/>
      <c r="P38" s="932"/>
    </row>
    <row r="39" spans="1:16" ht="15" customHeight="1" x14ac:dyDescent="0.2">
      <c r="I39" s="932"/>
      <c r="N39" s="932"/>
      <c r="O39" s="932"/>
      <c r="P39" s="932"/>
    </row>
    <row r="40" spans="1:16" ht="15" customHeight="1" x14ac:dyDescent="0.2">
      <c r="I40" s="932"/>
      <c r="N40" s="932"/>
      <c r="O40" s="932"/>
      <c r="P40" s="932"/>
    </row>
    <row r="41" spans="1:16" ht="15" customHeight="1" x14ac:dyDescent="0.2">
      <c r="A41" s="970"/>
      <c r="B41" s="932"/>
      <c r="C41" s="932"/>
      <c r="D41" s="932"/>
      <c r="E41" s="932"/>
      <c r="G41" s="932"/>
      <c r="H41" s="969"/>
      <c r="I41" s="932"/>
      <c r="N41" s="932"/>
      <c r="O41" s="932"/>
      <c r="P41" s="932"/>
    </row>
    <row r="42" spans="1:16" ht="15" customHeight="1" x14ac:dyDescent="0.2">
      <c r="A42" s="932"/>
      <c r="B42" s="932"/>
      <c r="C42" s="932"/>
      <c r="D42" s="932"/>
      <c r="O42" s="932"/>
      <c r="P42" s="932"/>
    </row>
  </sheetData>
  <conditionalFormatting sqref="I39:I41">
    <cfRule type="dataBar" priority="3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{91FE3237-68AF-4857-96E8-BEED6C2BC695}</x14:id>
        </ext>
      </extLst>
    </cfRule>
  </conditionalFormatting>
  <conditionalFormatting sqref="M12">
    <cfRule type="expression" dxfId="1059" priority="2">
      <formula>$M$11="DSCR"</formula>
    </cfRule>
  </conditionalFormatting>
  <conditionalFormatting sqref="I33:I36 I23:I26 I28:I31">
    <cfRule type="dataBar" priority="1135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{F50C03F7-B658-4305-B4E9-2C1A52F132B5}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paperSize="9" scale="70" orientation="landscape" r:id="rId1"/>
  <headerFooter>
    <oddHeader>&amp;L&amp;"Arial,Bold"&amp;14PRIMA WIND&amp;C&amp;"Arial,Bold"&amp;14Sheet: &amp;A&amp;R&amp;"Arial,Bold"&amp;14STRICTLY CONFIDENTIAL</oddHeader>
    <oddFooter>&amp;L&amp;12&amp;F (Printed on &amp;D at &amp;T)&amp;R&amp;12Page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sterSolve">
                <anchor moveWithCells="1" sizeWithCells="1">
                  <from>
                    <xdr:col>11</xdr:col>
                    <xdr:colOff>295275</xdr:colOff>
                    <xdr:row>2</xdr:row>
                    <xdr:rowOff>28575</xdr:rowOff>
                  </from>
                  <to>
                    <xdr:col>12</xdr:col>
                    <xdr:colOff>933450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FE3237-68AF-4857-96E8-BEED6C2BC6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I39:I41</xm:sqref>
        </x14:conditionalFormatting>
        <x14:conditionalFormatting xmlns:xm="http://schemas.microsoft.com/office/excel/2006/main">
          <x14:cfRule type="dataBar" id="{F50C03F7-B658-4305-B4E9-2C1A52F132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I33:I36 I23:I26 I28:I31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91CD0-5353-48B2-AF5D-065E4190F46B}">
  <sheetPr codeName="Sheet62">
    <tabColor theme="4"/>
    <pageSetUpPr autoPageBreaks="0"/>
  </sheetPr>
  <dimension ref="A1:Q75"/>
  <sheetViews>
    <sheetView showGridLines="0" topLeftCell="A64" zoomScale="75" zoomScaleNormal="75" zoomScaleSheetLayoutView="80" workbookViewId="0">
      <selection activeCell="I3" sqref="I3"/>
    </sheetView>
  </sheetViews>
  <sheetFormatPr defaultColWidth="0" defaultRowHeight="12.75" x14ac:dyDescent="0.2"/>
  <cols>
    <col min="1" max="4" width="1.140625" style="928" customWidth="1"/>
    <col min="5" max="5" width="30.7109375" style="928" customWidth="1"/>
    <col min="6" max="14" width="15.7109375" style="928" customWidth="1"/>
    <col min="15" max="15" width="1.140625" style="928" customWidth="1"/>
    <col min="16" max="17" width="0" style="928" hidden="1" customWidth="1"/>
    <col min="18" max="16384" width="2.7109375" style="928" hidden="1"/>
  </cols>
  <sheetData>
    <row r="1" spans="1:17" ht="5.0999999999999996" customHeight="1" x14ac:dyDescent="0.2">
      <c r="A1" s="927" t="str">
        <f ca="1" xml:space="preserve"> RIGHT(CELL("filename", A1), LEN(CELL("filename", A1)) - SEARCH("]", CELL("filename", A1)))</f>
        <v>Charts</v>
      </c>
    </row>
    <row r="2" spans="1:17" ht="27.75" x14ac:dyDescent="0.2">
      <c r="B2" s="929" t="s">
        <v>1351</v>
      </c>
      <c r="C2" s="930"/>
      <c r="D2" s="930"/>
      <c r="E2" s="930"/>
      <c r="F2" s="930"/>
      <c r="G2" s="930"/>
      <c r="H2" s="930"/>
      <c r="I2" s="930"/>
      <c r="J2" s="930"/>
      <c r="K2" s="930"/>
      <c r="L2" s="930"/>
      <c r="M2" s="930"/>
      <c r="N2" s="930"/>
    </row>
    <row r="3" spans="1:17" ht="30" customHeight="1" x14ac:dyDescent="0.2">
      <c r="B3" s="931" t="str">
        <f ca="1" xml:space="preserve"> Summary!B3</f>
        <v>Active case: Base case 1 |  LCOE: 0.00 WID cents / kWh | Equity IRR: 10.00% | Min DSCR: 1.40 | No model errors</v>
      </c>
      <c r="C3" s="930"/>
      <c r="D3" s="930"/>
      <c r="E3" s="930"/>
      <c r="F3" s="930"/>
      <c r="G3" s="930"/>
      <c r="H3" s="930"/>
      <c r="I3" s="930"/>
      <c r="J3" s="930"/>
      <c r="K3" s="930"/>
      <c r="L3" s="930"/>
      <c r="M3" s="930"/>
      <c r="N3" s="930"/>
    </row>
    <row r="4" spans="1:17" ht="15" customHeight="1" x14ac:dyDescent="0.2">
      <c r="C4" s="930"/>
      <c r="D4" s="930"/>
      <c r="E4" s="930"/>
      <c r="F4" s="930"/>
      <c r="G4" s="930"/>
      <c r="H4" s="930"/>
      <c r="I4" s="930"/>
      <c r="J4" s="930"/>
      <c r="K4" s="930"/>
      <c r="L4" s="930"/>
      <c r="M4" s="930"/>
      <c r="N4" s="930"/>
    </row>
    <row r="5" spans="1:17" ht="15" customHeight="1" x14ac:dyDescent="0.2">
      <c r="A5" s="932"/>
      <c r="B5" s="932"/>
      <c r="C5" s="932"/>
      <c r="D5" s="932"/>
      <c r="E5" s="934" t="s">
        <v>1146</v>
      </c>
      <c r="F5" s="934"/>
      <c r="G5" s="934"/>
      <c r="H5" s="934"/>
      <c r="I5" s="932"/>
      <c r="J5" s="934" t="s">
        <v>822</v>
      </c>
      <c r="K5" s="934"/>
      <c r="L5" s="934"/>
      <c r="M5" s="934"/>
      <c r="N5" s="934"/>
      <c r="O5" s="970"/>
      <c r="P5" s="932"/>
      <c r="Q5" s="932"/>
    </row>
    <row r="6" spans="1:17" ht="15" customHeight="1" x14ac:dyDescent="0.2">
      <c r="A6" s="932"/>
      <c r="B6" s="932"/>
      <c r="C6" s="932"/>
      <c r="D6" s="932"/>
      <c r="E6" s="932"/>
      <c r="F6" s="932"/>
      <c r="G6" s="932"/>
      <c r="H6" s="932"/>
      <c r="I6" s="932"/>
      <c r="J6" s="932"/>
      <c r="K6" s="932"/>
      <c r="L6" s="932"/>
      <c r="M6" s="973"/>
      <c r="N6" s="973"/>
      <c r="O6" s="970"/>
      <c r="P6" s="932"/>
      <c r="Q6" s="932"/>
    </row>
    <row r="7" spans="1:17" ht="15" customHeight="1" x14ac:dyDescent="0.2">
      <c r="A7" s="932"/>
      <c r="B7" s="932"/>
      <c r="C7" s="932"/>
      <c r="D7" s="932"/>
      <c r="E7" s="932"/>
      <c r="F7" s="932"/>
      <c r="G7" s="932"/>
      <c r="H7" s="932"/>
      <c r="I7" s="932"/>
      <c r="J7" s="932"/>
      <c r="K7" s="932"/>
      <c r="L7" s="932"/>
      <c r="M7" s="973"/>
      <c r="N7" s="973"/>
      <c r="O7" s="970"/>
      <c r="P7" s="932"/>
      <c r="Q7" s="932"/>
    </row>
    <row r="8" spans="1:17" ht="15" customHeight="1" x14ac:dyDescent="0.2">
      <c r="A8" s="932"/>
      <c r="B8" s="932"/>
      <c r="C8" s="932"/>
      <c r="D8" s="932"/>
      <c r="E8" s="932"/>
      <c r="F8" s="932"/>
      <c r="G8" s="932"/>
      <c r="H8" s="932"/>
      <c r="I8" s="932"/>
      <c r="J8" s="932"/>
      <c r="K8" s="932"/>
      <c r="L8" s="932"/>
      <c r="M8" s="973"/>
      <c r="N8" s="973"/>
      <c r="O8" s="970"/>
      <c r="P8" s="932"/>
      <c r="Q8" s="932"/>
    </row>
    <row r="9" spans="1:17" ht="15" customHeight="1" x14ac:dyDescent="0.2">
      <c r="A9" s="932"/>
      <c r="B9" s="932"/>
      <c r="C9" s="932"/>
      <c r="D9" s="932"/>
      <c r="E9" s="932"/>
      <c r="F9" s="932"/>
      <c r="G9" s="932"/>
      <c r="H9" s="932"/>
      <c r="I9" s="932"/>
      <c r="J9" s="932"/>
      <c r="K9" s="932"/>
      <c r="L9" s="932"/>
      <c r="M9" s="973"/>
      <c r="N9" s="973"/>
      <c r="O9" s="970"/>
      <c r="P9" s="932"/>
      <c r="Q9" s="932"/>
    </row>
    <row r="10" spans="1:17" ht="15" customHeight="1" x14ac:dyDescent="0.2">
      <c r="A10" s="932"/>
      <c r="B10" s="932"/>
      <c r="C10" s="932"/>
      <c r="D10" s="932"/>
      <c r="E10" s="932"/>
      <c r="F10" s="932"/>
      <c r="G10" s="932"/>
      <c r="H10" s="932"/>
      <c r="I10" s="932"/>
      <c r="J10" s="932"/>
      <c r="K10" s="932"/>
      <c r="L10" s="932"/>
      <c r="M10" s="973"/>
      <c r="N10" s="973"/>
      <c r="O10" s="970"/>
      <c r="P10" s="932"/>
      <c r="Q10" s="932"/>
    </row>
    <row r="11" spans="1:17" ht="15" customHeight="1" x14ac:dyDescent="0.2">
      <c r="A11" s="932"/>
      <c r="B11" s="932"/>
      <c r="C11" s="932"/>
      <c r="D11" s="932"/>
      <c r="E11" s="974"/>
      <c r="F11" s="974"/>
      <c r="G11" s="974"/>
      <c r="H11" s="974"/>
      <c r="I11" s="932"/>
      <c r="J11" s="932"/>
      <c r="K11" s="932"/>
      <c r="L11" s="932"/>
      <c r="M11" s="973"/>
      <c r="N11" s="973"/>
      <c r="O11" s="970"/>
      <c r="P11" s="932"/>
      <c r="Q11" s="932"/>
    </row>
    <row r="12" spans="1:17" ht="15" customHeight="1" x14ac:dyDescent="0.2">
      <c r="A12" s="932"/>
      <c r="B12" s="932"/>
      <c r="C12" s="932"/>
      <c r="D12" s="932"/>
      <c r="E12" s="932"/>
      <c r="F12" s="932"/>
      <c r="G12" s="932"/>
      <c r="H12" s="932"/>
      <c r="I12" s="932"/>
      <c r="J12" s="932"/>
      <c r="K12" s="932"/>
      <c r="L12" s="932"/>
      <c r="M12" s="973"/>
      <c r="N12" s="973"/>
      <c r="O12" s="970"/>
      <c r="P12" s="932"/>
      <c r="Q12" s="932"/>
    </row>
    <row r="13" spans="1:17" ht="15" customHeight="1" x14ac:dyDescent="0.2">
      <c r="A13" s="932"/>
      <c r="B13" s="932"/>
      <c r="C13" s="932"/>
      <c r="D13" s="932"/>
      <c r="E13" s="932"/>
      <c r="F13" s="932"/>
      <c r="G13" s="932"/>
      <c r="H13" s="932"/>
      <c r="I13" s="932"/>
      <c r="J13" s="932"/>
      <c r="K13" s="932"/>
      <c r="L13" s="932"/>
      <c r="M13" s="973"/>
      <c r="N13" s="973"/>
      <c r="O13" s="970"/>
      <c r="P13" s="932"/>
      <c r="Q13" s="932"/>
    </row>
    <row r="14" spans="1:17" ht="15" customHeight="1" x14ac:dyDescent="0.2">
      <c r="A14" s="932"/>
      <c r="B14" s="932"/>
      <c r="C14" s="932"/>
      <c r="D14" s="932"/>
      <c r="E14" s="974"/>
      <c r="F14" s="974"/>
      <c r="G14" s="974"/>
      <c r="H14" s="974"/>
      <c r="I14" s="932"/>
      <c r="J14" s="932"/>
      <c r="K14" s="932"/>
      <c r="L14" s="932"/>
      <c r="M14" s="973"/>
      <c r="N14" s="973"/>
      <c r="O14" s="970"/>
      <c r="P14" s="932"/>
      <c r="Q14" s="932"/>
    </row>
    <row r="15" spans="1:17" ht="15" customHeight="1" x14ac:dyDescent="0.2">
      <c r="A15" s="932"/>
      <c r="B15" s="932"/>
      <c r="C15" s="932"/>
      <c r="D15" s="932"/>
      <c r="E15" s="932"/>
      <c r="F15" s="932"/>
      <c r="G15" s="932"/>
      <c r="H15" s="932"/>
      <c r="I15" s="932"/>
      <c r="J15" s="932"/>
      <c r="K15" s="932"/>
      <c r="L15" s="932"/>
      <c r="M15" s="973"/>
      <c r="N15" s="973"/>
      <c r="O15" s="970"/>
      <c r="P15" s="932"/>
      <c r="Q15" s="932"/>
    </row>
    <row r="16" spans="1:17" ht="15" customHeight="1" x14ac:dyDescent="0.2">
      <c r="A16" s="932"/>
      <c r="B16" s="932"/>
      <c r="C16" s="932"/>
      <c r="D16" s="932"/>
      <c r="E16" s="932"/>
      <c r="F16" s="932"/>
      <c r="G16" s="932"/>
      <c r="H16" s="932"/>
      <c r="I16" s="932"/>
      <c r="J16" s="974"/>
      <c r="K16" s="932"/>
      <c r="L16" s="932"/>
      <c r="M16" s="973"/>
      <c r="N16" s="973"/>
      <c r="O16" s="970"/>
      <c r="P16" s="932"/>
      <c r="Q16" s="932"/>
    </row>
    <row r="17" spans="1:17" ht="15" customHeight="1" x14ac:dyDescent="0.2">
      <c r="A17" s="932"/>
      <c r="B17" s="932"/>
      <c r="C17" s="932"/>
      <c r="D17" s="932"/>
      <c r="E17" s="932"/>
      <c r="F17" s="932"/>
      <c r="G17" s="932"/>
      <c r="H17" s="932"/>
      <c r="I17" s="932"/>
      <c r="J17" s="932"/>
      <c r="K17" s="932"/>
      <c r="L17" s="932"/>
      <c r="M17" s="973"/>
      <c r="N17" s="973"/>
      <c r="O17" s="970"/>
      <c r="P17" s="932"/>
      <c r="Q17" s="932"/>
    </row>
    <row r="18" spans="1:17" ht="15" customHeight="1" x14ac:dyDescent="0.2">
      <c r="A18" s="932"/>
      <c r="B18" s="932"/>
      <c r="C18" s="932"/>
      <c r="D18" s="932"/>
      <c r="E18" s="932"/>
      <c r="F18" s="932"/>
      <c r="G18" s="932"/>
      <c r="H18" s="932"/>
      <c r="I18" s="932"/>
      <c r="J18" s="932"/>
      <c r="K18" s="932"/>
      <c r="L18" s="932"/>
      <c r="M18" s="973"/>
      <c r="N18" s="973"/>
      <c r="O18" s="970"/>
      <c r="P18" s="932"/>
      <c r="Q18" s="932"/>
    </row>
    <row r="19" spans="1:17" ht="15" customHeight="1" x14ac:dyDescent="0.2">
      <c r="A19" s="932"/>
      <c r="B19" s="932"/>
      <c r="C19" s="932"/>
      <c r="D19" s="932"/>
      <c r="E19" s="934" t="s">
        <v>824</v>
      </c>
      <c r="F19" s="934"/>
      <c r="G19" s="934"/>
      <c r="H19" s="934"/>
      <c r="I19" s="932"/>
      <c r="J19" s="934" t="s">
        <v>823</v>
      </c>
      <c r="K19" s="934"/>
      <c r="L19" s="934"/>
      <c r="M19" s="934"/>
      <c r="N19" s="934"/>
      <c r="O19" s="970"/>
      <c r="P19" s="932"/>
      <c r="Q19" s="932"/>
    </row>
    <row r="20" spans="1:17" ht="15" customHeight="1" x14ac:dyDescent="0.2">
      <c r="A20" s="932"/>
      <c r="B20" s="932"/>
      <c r="C20" s="932"/>
      <c r="D20" s="932"/>
      <c r="E20" s="932"/>
      <c r="F20" s="932"/>
      <c r="G20" s="932"/>
      <c r="H20" s="932"/>
      <c r="I20" s="932"/>
      <c r="J20" s="932"/>
      <c r="K20" s="932"/>
      <c r="L20" s="932"/>
      <c r="M20" s="973"/>
      <c r="N20" s="973"/>
      <c r="O20" s="970"/>
      <c r="P20" s="932"/>
      <c r="Q20" s="932"/>
    </row>
    <row r="21" spans="1:17" ht="15" customHeight="1" x14ac:dyDescent="0.2">
      <c r="A21" s="932"/>
      <c r="B21" s="932"/>
      <c r="C21" s="932"/>
      <c r="D21" s="932"/>
      <c r="E21" s="932"/>
      <c r="F21" s="932"/>
      <c r="G21" s="932"/>
      <c r="H21" s="932"/>
      <c r="I21" s="932"/>
      <c r="J21" s="932"/>
      <c r="K21" s="932"/>
      <c r="L21" s="932"/>
      <c r="M21" s="973"/>
      <c r="N21" s="973"/>
      <c r="O21" s="970"/>
      <c r="P21" s="932"/>
      <c r="Q21" s="932"/>
    </row>
    <row r="22" spans="1:17" ht="15" customHeight="1" x14ac:dyDescent="0.2">
      <c r="A22" s="932"/>
      <c r="B22" s="932"/>
      <c r="C22" s="932"/>
      <c r="D22" s="932"/>
      <c r="E22" s="932"/>
      <c r="F22" s="932"/>
      <c r="G22" s="932"/>
      <c r="H22" s="932"/>
      <c r="I22" s="932"/>
      <c r="J22" s="932"/>
      <c r="K22" s="932"/>
      <c r="L22" s="932"/>
      <c r="M22" s="973"/>
      <c r="N22" s="973"/>
      <c r="O22" s="970"/>
      <c r="P22" s="932"/>
      <c r="Q22" s="932"/>
    </row>
    <row r="23" spans="1:17" ht="15" customHeight="1" x14ac:dyDescent="0.2">
      <c r="A23" s="932"/>
      <c r="B23" s="932"/>
      <c r="C23" s="932"/>
      <c r="D23" s="932"/>
      <c r="E23" s="932"/>
      <c r="F23" s="932"/>
      <c r="G23" s="932"/>
      <c r="H23" s="932"/>
      <c r="I23" s="932"/>
      <c r="J23" s="932"/>
      <c r="K23" s="932"/>
      <c r="L23" s="932"/>
      <c r="M23" s="973"/>
      <c r="N23" s="973"/>
      <c r="O23" s="970"/>
      <c r="P23" s="932"/>
      <c r="Q23" s="932"/>
    </row>
    <row r="24" spans="1:17" ht="15" customHeight="1" x14ac:dyDescent="0.2">
      <c r="A24" s="932"/>
      <c r="B24" s="932"/>
      <c r="C24" s="932"/>
      <c r="D24" s="932"/>
      <c r="E24" s="932"/>
      <c r="F24" s="932"/>
      <c r="G24" s="932"/>
      <c r="H24" s="932"/>
      <c r="I24" s="932"/>
      <c r="J24" s="932"/>
      <c r="K24" s="932"/>
      <c r="L24" s="932"/>
      <c r="M24" s="973"/>
      <c r="N24" s="973"/>
      <c r="O24" s="970"/>
      <c r="P24" s="932"/>
      <c r="Q24" s="932"/>
    </row>
    <row r="25" spans="1:17" ht="15" customHeight="1" x14ac:dyDescent="0.2">
      <c r="A25" s="932"/>
      <c r="B25" s="932"/>
      <c r="C25" s="932"/>
      <c r="D25" s="932"/>
      <c r="E25" s="932"/>
      <c r="F25" s="974"/>
      <c r="G25" s="974"/>
      <c r="H25" s="974"/>
      <c r="I25" s="932"/>
      <c r="J25" s="932"/>
      <c r="K25" s="932"/>
      <c r="L25" s="932"/>
      <c r="M25" s="973"/>
      <c r="N25" s="973"/>
      <c r="O25" s="970"/>
      <c r="P25" s="932"/>
      <c r="Q25" s="932"/>
    </row>
    <row r="26" spans="1:17" ht="15" customHeight="1" x14ac:dyDescent="0.2">
      <c r="A26" s="932"/>
      <c r="B26" s="932"/>
      <c r="C26" s="932"/>
      <c r="D26" s="932"/>
      <c r="E26" s="932"/>
      <c r="F26" s="932"/>
      <c r="G26" s="932"/>
      <c r="H26" s="932"/>
      <c r="I26" s="932"/>
      <c r="J26" s="932"/>
      <c r="K26" s="932"/>
      <c r="L26" s="932"/>
      <c r="M26" s="973"/>
      <c r="N26" s="973"/>
      <c r="O26" s="970"/>
      <c r="P26" s="932"/>
      <c r="Q26" s="932"/>
    </row>
    <row r="27" spans="1:17" ht="15" customHeight="1" x14ac:dyDescent="0.2">
      <c r="A27" s="932"/>
      <c r="B27" s="932"/>
      <c r="C27" s="932"/>
      <c r="D27" s="932"/>
      <c r="E27" s="932"/>
      <c r="F27" s="932"/>
      <c r="G27" s="932"/>
      <c r="H27" s="932"/>
      <c r="I27" s="932"/>
      <c r="J27" s="932"/>
      <c r="K27" s="932"/>
      <c r="L27" s="932"/>
      <c r="M27" s="973"/>
      <c r="N27" s="973"/>
      <c r="O27" s="970"/>
      <c r="P27" s="932"/>
      <c r="Q27" s="932"/>
    </row>
    <row r="28" spans="1:17" ht="15" customHeight="1" x14ac:dyDescent="0.2">
      <c r="A28" s="932"/>
      <c r="B28" s="932"/>
      <c r="C28" s="932"/>
      <c r="D28" s="932"/>
      <c r="E28" s="932"/>
      <c r="F28" s="974"/>
      <c r="G28" s="974"/>
      <c r="H28" s="974"/>
      <c r="I28" s="932"/>
      <c r="J28" s="932"/>
      <c r="K28" s="932"/>
      <c r="L28" s="932"/>
      <c r="M28" s="973"/>
      <c r="N28" s="973"/>
      <c r="O28" s="970"/>
      <c r="P28" s="932"/>
      <c r="Q28" s="932"/>
    </row>
    <row r="29" spans="1:17" ht="15" customHeight="1" x14ac:dyDescent="0.2">
      <c r="A29" s="932"/>
      <c r="B29" s="932"/>
      <c r="C29" s="932"/>
      <c r="D29" s="932"/>
      <c r="E29" s="932"/>
      <c r="F29" s="932"/>
      <c r="G29" s="932"/>
      <c r="H29" s="932"/>
      <c r="I29" s="932"/>
      <c r="J29" s="932"/>
      <c r="K29" s="932"/>
      <c r="L29" s="932"/>
      <c r="M29" s="973"/>
      <c r="N29" s="973"/>
      <c r="O29" s="970"/>
      <c r="P29" s="932"/>
      <c r="Q29" s="932"/>
    </row>
    <row r="30" spans="1:17" ht="15" customHeight="1" x14ac:dyDescent="0.2">
      <c r="A30" s="932"/>
      <c r="B30" s="932"/>
      <c r="C30" s="932"/>
      <c r="D30" s="932"/>
      <c r="E30" s="932"/>
      <c r="F30" s="932"/>
      <c r="G30" s="932"/>
      <c r="H30" s="932"/>
      <c r="I30" s="932"/>
      <c r="J30" s="974"/>
      <c r="K30" s="932"/>
      <c r="L30" s="932"/>
      <c r="M30" s="973"/>
      <c r="N30" s="973"/>
      <c r="O30" s="970"/>
      <c r="P30" s="932"/>
      <c r="Q30" s="932"/>
    </row>
    <row r="31" spans="1:17" ht="15" customHeight="1" x14ac:dyDescent="0.2">
      <c r="A31" s="932"/>
      <c r="B31" s="932"/>
      <c r="C31" s="932"/>
      <c r="D31" s="932"/>
      <c r="E31" s="932"/>
      <c r="F31" s="932"/>
      <c r="G31" s="932"/>
      <c r="H31" s="932"/>
      <c r="I31" s="932"/>
      <c r="J31" s="932"/>
      <c r="K31" s="932"/>
      <c r="L31" s="932"/>
      <c r="M31" s="973"/>
      <c r="N31" s="973"/>
      <c r="O31" s="970"/>
      <c r="P31" s="932"/>
      <c r="Q31" s="932"/>
    </row>
    <row r="32" spans="1:17" ht="15" customHeight="1" x14ac:dyDescent="0.2">
      <c r="A32" s="932"/>
      <c r="B32" s="932"/>
      <c r="C32" s="932"/>
      <c r="D32" s="932"/>
      <c r="E32" s="932"/>
      <c r="F32" s="932"/>
      <c r="G32" s="932"/>
      <c r="H32" s="932"/>
      <c r="I32" s="932"/>
      <c r="J32" s="932"/>
      <c r="K32" s="932"/>
      <c r="L32" s="932"/>
      <c r="M32" s="973"/>
      <c r="N32" s="973"/>
      <c r="O32" s="970"/>
      <c r="P32" s="932"/>
      <c r="Q32" s="932"/>
    </row>
    <row r="33" spans="1:17" s="976" customFormat="1" ht="15" customHeight="1" x14ac:dyDescent="0.2">
      <c r="A33" s="932"/>
      <c r="B33" s="932"/>
      <c r="C33" s="932"/>
      <c r="D33" s="932"/>
      <c r="E33" s="934" t="s">
        <v>782</v>
      </c>
      <c r="F33" s="934"/>
      <c r="G33" s="934"/>
      <c r="H33" s="934"/>
      <c r="I33" s="932"/>
      <c r="J33" s="934" t="s">
        <v>825</v>
      </c>
      <c r="K33" s="934"/>
      <c r="L33" s="934"/>
      <c r="M33" s="975"/>
      <c r="N33" s="975"/>
      <c r="O33" s="932"/>
      <c r="P33" s="934"/>
      <c r="Q33" s="934"/>
    </row>
    <row r="34" spans="1:17" ht="15" customHeight="1" x14ac:dyDescent="0.2">
      <c r="A34" s="932"/>
      <c r="B34" s="932"/>
      <c r="C34" s="932"/>
      <c r="D34" s="932"/>
      <c r="E34" s="932"/>
      <c r="F34" s="932"/>
      <c r="G34" s="932"/>
      <c r="H34" s="932"/>
      <c r="I34" s="932"/>
      <c r="J34" s="932"/>
      <c r="K34" s="932"/>
      <c r="L34" s="932"/>
      <c r="M34" s="973"/>
      <c r="N34" s="973"/>
      <c r="O34" s="970"/>
      <c r="P34" s="932"/>
      <c r="Q34" s="932"/>
    </row>
    <row r="35" spans="1:17" ht="15" customHeight="1" x14ac:dyDescent="0.2">
      <c r="A35" s="932"/>
      <c r="B35" s="932"/>
      <c r="C35" s="932"/>
      <c r="D35" s="932"/>
      <c r="E35" s="932"/>
      <c r="F35" s="932"/>
      <c r="G35" s="932"/>
      <c r="H35" s="932"/>
      <c r="I35" s="932"/>
      <c r="J35" s="932"/>
      <c r="K35" s="932"/>
      <c r="L35" s="932"/>
      <c r="M35" s="973"/>
      <c r="N35" s="973"/>
      <c r="O35" s="970"/>
      <c r="P35" s="932"/>
      <c r="Q35" s="932"/>
    </row>
    <row r="36" spans="1:17" ht="15" customHeight="1" x14ac:dyDescent="0.2">
      <c r="A36" s="932"/>
      <c r="B36" s="932"/>
      <c r="C36" s="932"/>
      <c r="D36" s="932"/>
      <c r="E36" s="932"/>
      <c r="F36" s="932"/>
      <c r="G36" s="932"/>
      <c r="H36" s="932"/>
      <c r="I36" s="932"/>
      <c r="J36" s="932"/>
      <c r="K36" s="932"/>
      <c r="L36" s="932"/>
      <c r="M36" s="973"/>
      <c r="N36" s="973"/>
      <c r="O36" s="970"/>
      <c r="P36" s="932"/>
      <c r="Q36" s="932"/>
    </row>
    <row r="37" spans="1:17" ht="15" customHeight="1" x14ac:dyDescent="0.2">
      <c r="A37" s="932"/>
      <c r="B37" s="932"/>
      <c r="C37" s="932"/>
      <c r="D37" s="932"/>
      <c r="E37" s="932"/>
      <c r="F37" s="932"/>
      <c r="G37" s="932"/>
      <c r="H37" s="932"/>
      <c r="I37" s="932"/>
      <c r="J37" s="932"/>
      <c r="K37" s="932"/>
      <c r="L37" s="932"/>
      <c r="M37" s="973"/>
      <c r="N37" s="973"/>
      <c r="O37" s="970"/>
      <c r="P37" s="932"/>
      <c r="Q37" s="932"/>
    </row>
    <row r="38" spans="1:17" ht="15" customHeight="1" x14ac:dyDescent="0.2">
      <c r="A38" s="932"/>
      <c r="B38" s="932"/>
      <c r="C38" s="932"/>
      <c r="D38" s="932"/>
      <c r="E38" s="932"/>
      <c r="F38" s="932"/>
      <c r="G38" s="932"/>
      <c r="H38" s="932"/>
      <c r="I38" s="932"/>
      <c r="J38" s="932"/>
      <c r="K38" s="932"/>
      <c r="L38" s="932"/>
      <c r="M38" s="973"/>
      <c r="N38" s="973"/>
      <c r="O38" s="970"/>
      <c r="P38" s="932"/>
      <c r="Q38" s="932"/>
    </row>
    <row r="39" spans="1:17" ht="15" customHeight="1" x14ac:dyDescent="0.2">
      <c r="A39" s="932"/>
      <c r="B39" s="932"/>
      <c r="C39" s="932"/>
      <c r="D39" s="932"/>
      <c r="E39" s="932"/>
      <c r="F39" s="932"/>
      <c r="G39" s="932"/>
      <c r="H39" s="932"/>
      <c r="I39" s="932"/>
      <c r="J39" s="932"/>
      <c r="K39" s="932"/>
      <c r="L39" s="932"/>
      <c r="M39" s="973"/>
      <c r="N39" s="973"/>
      <c r="O39" s="970"/>
      <c r="P39" s="932"/>
      <c r="Q39" s="932"/>
    </row>
    <row r="40" spans="1:17" ht="15" customHeight="1" x14ac:dyDescent="0.2">
      <c r="A40" s="932"/>
      <c r="B40" s="932"/>
      <c r="C40" s="932"/>
      <c r="D40" s="932"/>
      <c r="E40" s="932"/>
      <c r="F40" s="932"/>
      <c r="G40" s="932"/>
      <c r="H40" s="932"/>
      <c r="I40" s="932"/>
      <c r="J40" s="932"/>
      <c r="K40" s="932"/>
      <c r="L40" s="932"/>
      <c r="M40" s="973"/>
      <c r="N40" s="973"/>
      <c r="O40" s="970"/>
      <c r="P40" s="932"/>
      <c r="Q40" s="932"/>
    </row>
    <row r="41" spans="1:17" ht="15" customHeight="1" x14ac:dyDescent="0.2">
      <c r="A41" s="932"/>
      <c r="B41" s="932"/>
      <c r="C41" s="932"/>
      <c r="D41" s="932"/>
      <c r="E41" s="932"/>
      <c r="F41" s="932"/>
      <c r="G41" s="932"/>
      <c r="H41" s="932"/>
      <c r="I41" s="932"/>
      <c r="J41" s="932"/>
      <c r="K41" s="932"/>
      <c r="L41" s="932"/>
      <c r="M41" s="973"/>
      <c r="N41" s="973"/>
      <c r="O41" s="970"/>
      <c r="P41" s="932"/>
      <c r="Q41" s="932"/>
    </row>
    <row r="42" spans="1:17" s="979" customFormat="1" ht="15" customHeight="1" x14ac:dyDescent="0.2">
      <c r="A42" s="932"/>
      <c r="B42" s="932"/>
      <c r="C42" s="932"/>
      <c r="D42" s="932"/>
      <c r="E42" s="953"/>
      <c r="F42" s="974"/>
      <c r="G42" s="974"/>
      <c r="H42" s="974"/>
      <c r="I42" s="953"/>
      <c r="J42" s="953"/>
      <c r="K42" s="953"/>
      <c r="L42" s="953"/>
      <c r="M42" s="977"/>
      <c r="N42" s="977"/>
      <c r="O42" s="978"/>
      <c r="P42" s="953"/>
      <c r="Q42" s="953"/>
    </row>
    <row r="43" spans="1:17" s="979" customFormat="1" ht="15" customHeight="1" x14ac:dyDescent="0.2">
      <c r="A43" s="932"/>
      <c r="B43" s="932"/>
      <c r="C43" s="932"/>
      <c r="D43" s="932"/>
      <c r="E43" s="953"/>
      <c r="F43" s="953"/>
      <c r="G43" s="953"/>
      <c r="H43" s="953"/>
      <c r="I43" s="953"/>
      <c r="J43" s="953"/>
      <c r="K43" s="953"/>
      <c r="L43" s="953"/>
      <c r="M43" s="977"/>
      <c r="N43" s="977"/>
      <c r="O43" s="978"/>
      <c r="P43" s="953"/>
      <c r="Q43" s="953"/>
    </row>
    <row r="44" spans="1:17" s="979" customFormat="1" ht="15" customHeight="1" x14ac:dyDescent="0.2">
      <c r="A44" s="932"/>
      <c r="B44" s="932"/>
      <c r="C44" s="932"/>
      <c r="D44" s="932"/>
      <c r="E44" s="953"/>
      <c r="F44" s="953"/>
      <c r="G44" s="953"/>
      <c r="H44" s="953"/>
      <c r="I44" s="953"/>
      <c r="J44" s="953"/>
      <c r="K44" s="953"/>
      <c r="L44" s="953"/>
      <c r="M44" s="977"/>
      <c r="N44" s="977"/>
      <c r="O44" s="978"/>
      <c r="P44" s="953"/>
      <c r="Q44" s="953"/>
    </row>
    <row r="45" spans="1:17" s="979" customFormat="1" ht="15" customHeight="1" x14ac:dyDescent="0.2">
      <c r="A45" s="932"/>
      <c r="B45" s="932"/>
      <c r="C45" s="932"/>
      <c r="D45" s="932"/>
      <c r="E45" s="953"/>
      <c r="F45" s="974"/>
      <c r="G45" s="974"/>
      <c r="H45" s="974"/>
      <c r="I45" s="953"/>
      <c r="J45" s="953"/>
      <c r="K45" s="953"/>
      <c r="L45" s="953"/>
      <c r="M45" s="977"/>
      <c r="N45" s="977"/>
      <c r="O45" s="978"/>
      <c r="P45" s="953"/>
      <c r="Q45" s="953"/>
    </row>
    <row r="46" spans="1:17" s="979" customFormat="1" ht="15" customHeight="1" x14ac:dyDescent="0.2">
      <c r="A46" s="932"/>
      <c r="B46" s="932"/>
      <c r="C46" s="932"/>
      <c r="D46" s="932"/>
      <c r="E46" s="953"/>
      <c r="F46" s="974"/>
      <c r="G46" s="974"/>
      <c r="H46" s="974"/>
      <c r="I46" s="953"/>
      <c r="J46" s="953"/>
      <c r="K46" s="953"/>
      <c r="L46" s="953"/>
      <c r="M46" s="977"/>
      <c r="N46" s="977"/>
      <c r="O46" s="978"/>
      <c r="P46" s="953"/>
      <c r="Q46" s="953"/>
    </row>
    <row r="47" spans="1:17" s="976" customFormat="1" ht="15" customHeight="1" x14ac:dyDescent="0.2">
      <c r="A47" s="932"/>
      <c r="B47" s="932"/>
      <c r="C47" s="932"/>
      <c r="D47" s="932"/>
      <c r="E47" s="934" t="s">
        <v>1014</v>
      </c>
      <c r="F47" s="934"/>
      <c r="G47" s="934"/>
      <c r="H47" s="934"/>
      <c r="I47" s="932"/>
      <c r="J47" s="934" t="s">
        <v>826</v>
      </c>
      <c r="K47" s="934"/>
      <c r="L47" s="934"/>
      <c r="M47" s="934"/>
      <c r="N47" s="934"/>
      <c r="O47" s="978"/>
      <c r="P47" s="934"/>
      <c r="Q47" s="934"/>
    </row>
    <row r="48" spans="1:17" ht="15" customHeight="1" x14ac:dyDescent="0.2">
      <c r="A48" s="932"/>
      <c r="B48" s="932"/>
      <c r="C48" s="932"/>
      <c r="D48" s="932"/>
      <c r="E48" s="932"/>
      <c r="F48" s="932"/>
      <c r="G48" s="932"/>
      <c r="H48" s="932"/>
      <c r="I48" s="932"/>
      <c r="J48" s="932"/>
      <c r="K48" s="932"/>
      <c r="L48" s="932"/>
      <c r="M48" s="932"/>
      <c r="N48" s="973"/>
      <c r="O48" s="970"/>
      <c r="P48" s="932"/>
      <c r="Q48" s="932"/>
    </row>
    <row r="49" spans="1:17" ht="15" customHeight="1" x14ac:dyDescent="0.2">
      <c r="A49" s="932"/>
      <c r="B49" s="932"/>
      <c r="C49" s="932"/>
      <c r="D49" s="932"/>
      <c r="E49" s="932"/>
      <c r="F49" s="932"/>
      <c r="G49" s="932"/>
      <c r="H49" s="932"/>
      <c r="I49" s="932"/>
      <c r="J49" s="932"/>
      <c r="K49" s="932"/>
      <c r="L49" s="932"/>
      <c r="M49" s="973"/>
      <c r="N49" s="973"/>
      <c r="O49" s="970"/>
      <c r="P49" s="932"/>
      <c r="Q49" s="932"/>
    </row>
    <row r="50" spans="1:17" ht="15" customHeight="1" x14ac:dyDescent="0.2">
      <c r="A50" s="932"/>
      <c r="B50" s="932"/>
      <c r="C50" s="932"/>
      <c r="D50" s="932"/>
      <c r="E50" s="932"/>
      <c r="F50" s="932"/>
      <c r="G50" s="932"/>
      <c r="H50" s="932"/>
      <c r="I50" s="932"/>
      <c r="J50" s="932"/>
      <c r="K50" s="932"/>
      <c r="L50" s="932"/>
      <c r="M50" s="973"/>
      <c r="N50" s="973"/>
      <c r="O50" s="970"/>
      <c r="P50" s="932"/>
      <c r="Q50" s="932"/>
    </row>
    <row r="51" spans="1:17" ht="15" customHeight="1" x14ac:dyDescent="0.2">
      <c r="A51" s="932"/>
      <c r="B51" s="932"/>
      <c r="C51" s="932"/>
      <c r="D51" s="932"/>
      <c r="E51" s="932"/>
      <c r="F51" s="932"/>
      <c r="G51" s="932"/>
      <c r="H51" s="932"/>
      <c r="I51" s="932"/>
      <c r="J51" s="932"/>
      <c r="K51" s="932"/>
      <c r="L51" s="932"/>
      <c r="M51" s="973"/>
      <c r="N51" s="973"/>
      <c r="O51" s="970"/>
      <c r="P51" s="932"/>
      <c r="Q51" s="932"/>
    </row>
    <row r="52" spans="1:17" ht="15" customHeight="1" x14ac:dyDescent="0.2">
      <c r="A52" s="932"/>
      <c r="B52" s="932"/>
      <c r="C52" s="932"/>
      <c r="D52" s="932"/>
      <c r="E52" s="932"/>
      <c r="F52" s="932"/>
      <c r="G52" s="932"/>
      <c r="H52" s="932"/>
      <c r="I52" s="932"/>
      <c r="J52" s="932"/>
      <c r="K52" s="932"/>
      <c r="L52" s="932"/>
      <c r="M52" s="973"/>
      <c r="N52" s="973"/>
      <c r="O52" s="970"/>
      <c r="P52" s="932"/>
      <c r="Q52" s="932"/>
    </row>
    <row r="53" spans="1:17" ht="15" customHeight="1" x14ac:dyDescent="0.2">
      <c r="A53" s="932"/>
      <c r="B53" s="932"/>
      <c r="C53" s="932"/>
      <c r="D53" s="932"/>
      <c r="E53" s="932"/>
      <c r="F53" s="932"/>
      <c r="G53" s="932"/>
      <c r="H53" s="932"/>
      <c r="I53" s="932"/>
      <c r="J53" s="932"/>
      <c r="K53" s="932"/>
      <c r="L53" s="932"/>
      <c r="M53" s="973"/>
      <c r="N53" s="973"/>
      <c r="O53" s="970"/>
      <c r="P53" s="932"/>
      <c r="Q53" s="932"/>
    </row>
    <row r="54" spans="1:17" ht="15" customHeight="1" x14ac:dyDescent="0.2">
      <c r="A54" s="932"/>
      <c r="B54" s="932"/>
      <c r="C54" s="932"/>
      <c r="D54" s="932"/>
      <c r="E54" s="932"/>
      <c r="F54" s="932"/>
      <c r="G54" s="932"/>
      <c r="H54" s="932"/>
      <c r="I54" s="932"/>
      <c r="J54" s="932"/>
      <c r="K54" s="932"/>
      <c r="L54" s="932"/>
      <c r="M54" s="973"/>
      <c r="N54" s="973"/>
      <c r="O54" s="970"/>
      <c r="P54" s="932"/>
      <c r="Q54" s="932"/>
    </row>
    <row r="55" spans="1:17" ht="15" customHeight="1" x14ac:dyDescent="0.2">
      <c r="A55" s="932"/>
      <c r="B55" s="932"/>
      <c r="C55" s="932"/>
      <c r="D55" s="932"/>
      <c r="E55" s="932"/>
      <c r="F55" s="932"/>
      <c r="G55" s="932"/>
      <c r="H55" s="932"/>
      <c r="I55" s="932"/>
      <c r="J55" s="932"/>
      <c r="K55" s="932"/>
      <c r="L55" s="932"/>
      <c r="M55" s="973"/>
      <c r="N55" s="973"/>
      <c r="O55" s="970"/>
      <c r="P55" s="932"/>
      <c r="Q55" s="932"/>
    </row>
    <row r="56" spans="1:17" ht="15" customHeight="1" x14ac:dyDescent="0.2">
      <c r="A56" s="932"/>
      <c r="B56" s="932"/>
      <c r="C56" s="932"/>
      <c r="D56" s="932"/>
      <c r="E56" s="932"/>
      <c r="F56" s="932"/>
      <c r="G56" s="932"/>
      <c r="H56" s="932"/>
      <c r="I56" s="932"/>
      <c r="J56" s="932"/>
      <c r="K56" s="932"/>
      <c r="L56" s="932"/>
      <c r="M56" s="973"/>
      <c r="N56" s="973"/>
      <c r="O56" s="970"/>
      <c r="P56" s="932"/>
      <c r="Q56" s="932"/>
    </row>
    <row r="57" spans="1:17" ht="15" customHeight="1" x14ac:dyDescent="0.2">
      <c r="A57" s="932"/>
      <c r="B57" s="932"/>
      <c r="C57" s="932"/>
      <c r="D57" s="932"/>
      <c r="E57" s="932"/>
      <c r="F57" s="932"/>
      <c r="G57" s="932"/>
      <c r="H57" s="932"/>
      <c r="I57" s="932"/>
      <c r="J57" s="932"/>
      <c r="K57" s="932"/>
      <c r="L57" s="932"/>
      <c r="M57" s="973"/>
      <c r="N57" s="973"/>
      <c r="O57" s="970"/>
      <c r="P57" s="932"/>
      <c r="Q57" s="932"/>
    </row>
    <row r="58" spans="1:17" ht="15" customHeight="1" x14ac:dyDescent="0.2">
      <c r="A58" s="932"/>
      <c r="B58" s="932"/>
      <c r="C58" s="932"/>
      <c r="D58" s="932"/>
      <c r="E58" s="932"/>
      <c r="F58" s="932"/>
      <c r="G58" s="932"/>
      <c r="H58" s="932"/>
      <c r="I58" s="932"/>
      <c r="J58" s="974"/>
      <c r="K58" s="932"/>
      <c r="L58" s="932"/>
      <c r="M58" s="973"/>
      <c r="N58" s="973"/>
      <c r="O58" s="970"/>
      <c r="P58" s="932"/>
      <c r="Q58" s="932"/>
    </row>
    <row r="59" spans="1:17" ht="15" customHeight="1" x14ac:dyDescent="0.2">
      <c r="A59" s="932"/>
      <c r="B59" s="932"/>
      <c r="C59" s="932"/>
      <c r="D59" s="932"/>
      <c r="E59" s="932"/>
      <c r="F59" s="932"/>
      <c r="G59" s="932"/>
      <c r="H59" s="932"/>
      <c r="I59" s="932"/>
      <c r="J59" s="932"/>
      <c r="K59" s="932"/>
      <c r="L59" s="932"/>
      <c r="M59" s="973"/>
      <c r="N59" s="973"/>
      <c r="O59" s="970"/>
      <c r="P59" s="932"/>
      <c r="Q59" s="932"/>
    </row>
    <row r="60" spans="1:17" s="976" customFormat="1" ht="15" customHeight="1" x14ac:dyDescent="0.2">
      <c r="A60" s="932"/>
      <c r="B60" s="932"/>
      <c r="C60" s="932"/>
      <c r="D60" s="932"/>
      <c r="E60" s="934" t="s">
        <v>827</v>
      </c>
      <c r="F60" s="934"/>
      <c r="G60" s="934"/>
      <c r="H60" s="934"/>
      <c r="I60" s="932"/>
      <c r="J60" s="932"/>
      <c r="K60" s="932"/>
      <c r="L60" s="932"/>
      <c r="M60" s="932"/>
      <c r="N60" s="932"/>
      <c r="O60" s="932"/>
      <c r="P60" s="934"/>
      <c r="Q60" s="934"/>
    </row>
    <row r="61" spans="1:17" ht="15" customHeight="1" x14ac:dyDescent="0.2">
      <c r="A61" s="932"/>
      <c r="B61" s="932"/>
      <c r="C61" s="932"/>
      <c r="D61" s="932"/>
      <c r="E61" s="932"/>
      <c r="F61" s="932"/>
      <c r="G61" s="932"/>
      <c r="H61" s="932"/>
      <c r="I61" s="932"/>
      <c r="O61" s="970"/>
      <c r="P61" s="932"/>
      <c r="Q61" s="932"/>
    </row>
    <row r="62" spans="1:17" ht="15" customHeight="1" x14ac:dyDescent="0.2">
      <c r="A62" s="932"/>
      <c r="B62" s="932"/>
      <c r="C62" s="932"/>
      <c r="D62" s="932"/>
      <c r="E62" s="932"/>
      <c r="F62" s="932"/>
      <c r="G62" s="932"/>
      <c r="H62" s="932"/>
      <c r="I62" s="932"/>
      <c r="O62" s="970"/>
      <c r="P62" s="932"/>
      <c r="Q62" s="932"/>
    </row>
    <row r="63" spans="1:17" ht="15" customHeight="1" x14ac:dyDescent="0.2">
      <c r="A63" s="932"/>
      <c r="B63" s="932"/>
      <c r="C63" s="932"/>
      <c r="D63" s="932"/>
      <c r="E63" s="932"/>
      <c r="F63" s="932"/>
      <c r="G63" s="932"/>
      <c r="H63" s="932"/>
      <c r="I63" s="932"/>
      <c r="O63" s="970"/>
      <c r="P63" s="932"/>
      <c r="Q63" s="932"/>
    </row>
    <row r="64" spans="1:17" ht="15" customHeight="1" x14ac:dyDescent="0.2">
      <c r="A64" s="932"/>
      <c r="B64" s="932"/>
      <c r="C64" s="932"/>
      <c r="D64" s="932"/>
      <c r="E64" s="932"/>
      <c r="F64" s="932"/>
      <c r="G64" s="932"/>
      <c r="H64" s="932"/>
      <c r="I64" s="932"/>
      <c r="O64" s="970"/>
      <c r="P64" s="932"/>
      <c r="Q64" s="932"/>
    </row>
    <row r="65" spans="1:17" ht="15" customHeight="1" x14ac:dyDescent="0.2">
      <c r="A65" s="932"/>
      <c r="B65" s="932"/>
      <c r="C65" s="932"/>
      <c r="D65" s="932"/>
      <c r="E65" s="932"/>
      <c r="F65" s="932"/>
      <c r="G65" s="932"/>
      <c r="H65" s="932"/>
      <c r="I65" s="932"/>
      <c r="O65" s="970"/>
      <c r="P65" s="932"/>
      <c r="Q65" s="932"/>
    </row>
    <row r="66" spans="1:17" ht="15" customHeight="1" x14ac:dyDescent="0.2">
      <c r="A66" s="932"/>
      <c r="B66" s="932"/>
      <c r="C66" s="932"/>
      <c r="D66" s="932"/>
      <c r="E66" s="932"/>
      <c r="F66" s="932"/>
      <c r="G66" s="932"/>
      <c r="H66" s="932"/>
      <c r="I66" s="932"/>
      <c r="O66" s="970"/>
      <c r="P66" s="932"/>
      <c r="Q66" s="932"/>
    </row>
    <row r="67" spans="1:17" ht="15" customHeight="1" x14ac:dyDescent="0.2">
      <c r="A67" s="932"/>
      <c r="B67" s="932"/>
      <c r="C67" s="932"/>
      <c r="D67" s="932"/>
      <c r="E67" s="932"/>
      <c r="F67" s="932"/>
      <c r="G67" s="932"/>
      <c r="H67" s="932"/>
      <c r="I67" s="932"/>
      <c r="O67" s="970"/>
      <c r="P67" s="932"/>
      <c r="Q67" s="932"/>
    </row>
    <row r="68" spans="1:17" ht="15" customHeight="1" x14ac:dyDescent="0.2">
      <c r="A68" s="932"/>
      <c r="B68" s="932"/>
      <c r="C68" s="932"/>
      <c r="D68" s="932"/>
      <c r="E68" s="974"/>
      <c r="F68" s="974"/>
      <c r="G68" s="974"/>
      <c r="H68" s="974"/>
      <c r="I68" s="932"/>
      <c r="O68" s="970"/>
      <c r="P68" s="932"/>
      <c r="Q68" s="932"/>
    </row>
    <row r="69" spans="1:17" ht="15" customHeight="1" x14ac:dyDescent="0.2">
      <c r="A69" s="932"/>
      <c r="B69" s="932"/>
      <c r="C69" s="932"/>
      <c r="D69" s="932"/>
      <c r="E69" s="932"/>
      <c r="F69" s="932"/>
      <c r="G69" s="932"/>
      <c r="H69" s="932"/>
      <c r="I69" s="932"/>
      <c r="O69" s="970"/>
      <c r="P69" s="932"/>
      <c r="Q69" s="932"/>
    </row>
    <row r="70" spans="1:17" ht="15" customHeight="1" x14ac:dyDescent="0.2">
      <c r="A70" s="932"/>
      <c r="B70" s="932"/>
      <c r="C70" s="932"/>
      <c r="D70" s="932"/>
      <c r="E70" s="932"/>
      <c r="F70" s="932"/>
      <c r="G70" s="932"/>
      <c r="H70" s="932"/>
      <c r="I70" s="932"/>
      <c r="O70" s="970"/>
      <c r="P70" s="932"/>
      <c r="Q70" s="932"/>
    </row>
    <row r="71" spans="1:17" ht="15" customHeight="1" x14ac:dyDescent="0.2">
      <c r="A71" s="953"/>
      <c r="B71" s="953"/>
      <c r="C71" s="953"/>
      <c r="D71" s="953"/>
      <c r="E71" s="974"/>
      <c r="F71" s="974"/>
      <c r="G71" s="974"/>
      <c r="H71" s="974"/>
      <c r="I71" s="932"/>
      <c r="O71" s="970"/>
      <c r="P71" s="932"/>
      <c r="Q71" s="932"/>
    </row>
    <row r="72" spans="1:17" ht="15" customHeight="1" x14ac:dyDescent="0.2">
      <c r="A72" s="932"/>
      <c r="B72" s="932"/>
      <c r="C72" s="932"/>
      <c r="D72" s="932"/>
      <c r="E72" s="932"/>
      <c r="F72" s="932"/>
      <c r="G72" s="932"/>
      <c r="H72" s="932"/>
      <c r="I72" s="932"/>
      <c r="O72" s="970"/>
      <c r="P72" s="932"/>
      <c r="Q72" s="932"/>
    </row>
    <row r="73" spans="1:17" ht="15" customHeight="1" x14ac:dyDescent="0.2">
      <c r="A73" s="932"/>
      <c r="B73" s="932"/>
      <c r="C73" s="932"/>
      <c r="D73" s="932"/>
      <c r="E73" s="932"/>
      <c r="F73" s="932"/>
      <c r="G73" s="932"/>
      <c r="H73" s="932"/>
      <c r="I73" s="932"/>
      <c r="J73" s="932"/>
      <c r="K73" s="932"/>
      <c r="L73" s="932"/>
      <c r="M73" s="973"/>
      <c r="N73" s="973"/>
      <c r="O73" s="970"/>
      <c r="P73" s="932"/>
      <c r="Q73" s="932"/>
    </row>
    <row r="74" spans="1:17" ht="15" customHeight="1" x14ac:dyDescent="0.2">
      <c r="A74" s="932"/>
      <c r="B74" s="932"/>
      <c r="C74" s="932"/>
      <c r="D74" s="932"/>
      <c r="E74" s="932"/>
      <c r="F74" s="932"/>
      <c r="G74" s="932"/>
      <c r="H74" s="932"/>
      <c r="I74" s="932"/>
      <c r="J74" s="932"/>
      <c r="K74" s="932"/>
      <c r="L74" s="932"/>
      <c r="M74" s="932"/>
      <c r="N74" s="932"/>
      <c r="O74" s="932"/>
      <c r="P74" s="932"/>
      <c r="Q74" s="932"/>
    </row>
    <row r="75" spans="1:17" ht="15" customHeight="1" x14ac:dyDescent="0.2">
      <c r="A75" s="932"/>
      <c r="B75" s="932"/>
      <c r="C75" s="932"/>
      <c r="D75" s="932"/>
      <c r="E75" s="932"/>
      <c r="F75" s="932"/>
      <c r="G75" s="932"/>
      <c r="H75" s="932"/>
      <c r="I75" s="932"/>
      <c r="J75" s="932"/>
      <c r="K75" s="932"/>
      <c r="L75" s="932"/>
      <c r="M75" s="932"/>
      <c r="N75" s="932"/>
      <c r="O75" s="932"/>
      <c r="P75" s="932"/>
      <c r="Q75" s="932"/>
    </row>
  </sheetData>
  <conditionalFormatting sqref="I5:I18">
    <cfRule type="dataBar" priority="2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{14C2A877-57D5-47EE-9018-20D127948FC5}</x14:id>
        </ext>
      </extLst>
    </cfRule>
  </conditionalFormatting>
  <conditionalFormatting sqref="I19:I32">
    <cfRule type="dataBar" priority="1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{304174CA-4DC1-4181-ACB9-896B87201C6B}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paperSize="9" scale="70" orientation="landscape" r:id="rId1"/>
  <headerFooter>
    <oddHeader>&amp;L&amp;"Arial,Bold"&amp;14PRIMA WIND&amp;C&amp;"Arial,Bold"&amp;14Sheet: &amp;A&amp;R&amp;"Arial,Bold"&amp;14STRICTLY CONFIDENTIAL</oddHeader>
    <oddFooter>&amp;L&amp;12&amp;F (Printed on &amp;D at &amp;T)&amp;R&amp;12Page &amp;P of &amp;N</oddFooter>
  </headerFooter>
  <rowBreaks count="1" manualBreakCount="1">
    <brk id="45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sterSolve">
                <anchor moveWithCells="1">
                  <from>
                    <xdr:col>12</xdr:col>
                    <xdr:colOff>247650</xdr:colOff>
                    <xdr:row>1</xdr:row>
                    <xdr:rowOff>209550</xdr:rowOff>
                  </from>
                  <to>
                    <xdr:col>13</xdr:col>
                    <xdr:colOff>857250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C2A877-57D5-47EE-9018-20D127948F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I5:I18</xm:sqref>
        </x14:conditionalFormatting>
        <x14:conditionalFormatting xmlns:xm="http://schemas.microsoft.com/office/excel/2006/main">
          <x14:cfRule type="dataBar" id="{304174CA-4DC1-4181-ACB9-896B87201C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I19:I32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151"/>
  <sheetViews>
    <sheetView showFormulas="1" showGridLines="0" defaultGridColor="0" colorId="22" zoomScale="75" zoomScaleNormal="75" zoomScalePageLayoutView="120" workbookViewId="0">
      <pane xSplit="9" ySplit="5" topLeftCell="J151" activePane="bottomRight" state="frozen"/>
      <selection activeCell="N7" sqref="N7"/>
      <selection pane="topRight" activeCell="N7" sqref="N7"/>
      <selection pane="bottomLeft" activeCell="N7" sqref="N7"/>
      <selection pane="bottomRight" activeCell="E70" sqref="E70:GJ70"/>
    </sheetView>
  </sheetViews>
  <sheetFormatPr defaultColWidth="0" defaultRowHeight="12.75" zeroHeight="1" outlineLevelRow="2" x14ac:dyDescent="0.2"/>
  <cols>
    <col min="1" max="2" width="1.28515625" style="205" customWidth="1"/>
    <col min="3" max="3" width="1.28515625" style="206" customWidth="1"/>
    <col min="4" max="4" width="1.28515625" style="207" customWidth="1"/>
    <col min="5" max="5" width="40.5703125" style="234" customWidth="1"/>
    <col min="6" max="6" width="12.5703125" style="234" customWidth="1"/>
    <col min="7" max="8" width="11.5703125" style="234" customWidth="1"/>
    <col min="9" max="9" width="2.5703125" style="234" customWidth="1"/>
    <col min="10" max="100" width="11.5703125" style="234" customWidth="1"/>
    <col min="101" max="192" width="0" hidden="1" customWidth="1"/>
    <col min="193" max="16384" width="11.5703125" hidden="1"/>
  </cols>
  <sheetData>
    <row r="1" spans="1:100" ht="26.25" x14ac:dyDescent="0.2">
      <c r="A1" s="290" t="str">
        <f ca="1" xml:space="preserve"> RIGHT(CELL("filename", A1), LEN(CELL("filename", A1)) - SEARCH("]", CELL("filename", A1))) &amp; " - " &amp; InpC!F3</f>
        <v>FS Semi - Base case 1</v>
      </c>
      <c r="D1" s="209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">
      <c r="A2" s="291"/>
      <c r="B2" s="291"/>
      <c r="C2" s="292"/>
      <c r="D2" s="293"/>
      <c r="E2" s="442" t="str">
        <f xml:space="preserve"> Time!E$25</f>
        <v>Model period ending</v>
      </c>
      <c r="F2" s="271">
        <f ca="1" xml:space="preserve"> Check!$F$9</f>
        <v>1</v>
      </c>
      <c r="G2" s="444" t="s">
        <v>23</v>
      </c>
      <c r="H2" s="294"/>
      <c r="I2" s="294"/>
      <c r="J2" s="294">
        <f xml:space="preserve"> Time!J$25</f>
        <v>44742</v>
      </c>
      <c r="K2" s="294">
        <f xml:space="preserve"> Time!K$25</f>
        <v>44926</v>
      </c>
      <c r="L2" s="294">
        <f xml:space="preserve"> Time!L$25</f>
        <v>45107</v>
      </c>
      <c r="M2" s="294">
        <f xml:space="preserve"> Time!M$25</f>
        <v>45291</v>
      </c>
      <c r="N2" s="294">
        <f xml:space="preserve"> Time!N$25</f>
        <v>45473</v>
      </c>
      <c r="O2" s="294">
        <f xml:space="preserve"> Time!O$25</f>
        <v>45657</v>
      </c>
      <c r="P2" s="294">
        <f xml:space="preserve"> Time!P$25</f>
        <v>45838</v>
      </c>
      <c r="Q2" s="294">
        <f xml:space="preserve"> Time!Q$25</f>
        <v>46022</v>
      </c>
      <c r="R2" s="294">
        <f xml:space="preserve"> Time!R$25</f>
        <v>46203</v>
      </c>
      <c r="S2" s="294">
        <f xml:space="preserve"> Time!S$25</f>
        <v>46387</v>
      </c>
      <c r="T2" s="294">
        <f xml:space="preserve"> Time!T$25</f>
        <v>46568</v>
      </c>
      <c r="U2" s="294">
        <f xml:space="preserve"> Time!U$25</f>
        <v>46752</v>
      </c>
      <c r="V2" s="294">
        <f xml:space="preserve"> Time!V$25</f>
        <v>46934</v>
      </c>
      <c r="W2" s="294">
        <f xml:space="preserve"> Time!W$25</f>
        <v>47118</v>
      </c>
      <c r="X2" s="294">
        <f xml:space="preserve"> Time!X$25</f>
        <v>47299</v>
      </c>
      <c r="Y2" s="294">
        <f xml:space="preserve"> Time!Y$25</f>
        <v>47483</v>
      </c>
      <c r="Z2" s="294">
        <f xml:space="preserve"> Time!Z$25</f>
        <v>47664</v>
      </c>
      <c r="AA2" s="294">
        <f xml:space="preserve"> Time!AA$25</f>
        <v>47848</v>
      </c>
      <c r="AB2" s="294">
        <f xml:space="preserve"> Time!AB$25</f>
        <v>48029</v>
      </c>
      <c r="AC2" s="294">
        <f xml:space="preserve"> Time!AC$25</f>
        <v>48213</v>
      </c>
      <c r="AD2" s="294">
        <f xml:space="preserve"> Time!AD$25</f>
        <v>48395</v>
      </c>
      <c r="AE2" s="294">
        <f xml:space="preserve"> Time!AE$25</f>
        <v>48579</v>
      </c>
      <c r="AF2" s="294">
        <f xml:space="preserve"> Time!AF$25</f>
        <v>48760</v>
      </c>
      <c r="AG2" s="294">
        <f xml:space="preserve"> Time!AG$25</f>
        <v>48944</v>
      </c>
      <c r="AH2" s="294">
        <f xml:space="preserve"> Time!AH$25</f>
        <v>49125</v>
      </c>
      <c r="AI2" s="294">
        <f xml:space="preserve"> Time!AI$25</f>
        <v>49309</v>
      </c>
      <c r="AJ2" s="294">
        <f xml:space="preserve"> Time!AJ$25</f>
        <v>49490</v>
      </c>
      <c r="AK2" s="294">
        <f xml:space="preserve"> Time!AK$25</f>
        <v>49674</v>
      </c>
      <c r="AL2" s="294">
        <f xml:space="preserve"> Time!AL$25</f>
        <v>49856</v>
      </c>
      <c r="AM2" s="294">
        <f xml:space="preserve"> Time!AM$25</f>
        <v>50040</v>
      </c>
      <c r="AN2" s="294">
        <f xml:space="preserve"> Time!AN$25</f>
        <v>50221</v>
      </c>
      <c r="AO2" s="294">
        <f xml:space="preserve"> Time!AO$25</f>
        <v>50405</v>
      </c>
      <c r="AP2" s="294">
        <f xml:space="preserve"> Time!AP$25</f>
        <v>50586</v>
      </c>
      <c r="AQ2" s="294">
        <f xml:space="preserve"> Time!AQ$25</f>
        <v>50770</v>
      </c>
      <c r="AR2" s="294">
        <f xml:space="preserve"> Time!AR$25</f>
        <v>50951</v>
      </c>
      <c r="AS2" s="294">
        <f xml:space="preserve"> Time!AS$25</f>
        <v>51135</v>
      </c>
      <c r="AT2" s="294">
        <f xml:space="preserve"> Time!AT$25</f>
        <v>51317</v>
      </c>
      <c r="AU2" s="294">
        <f xml:space="preserve"> Time!AU$25</f>
        <v>51501</v>
      </c>
      <c r="AV2" s="294">
        <f xml:space="preserve"> Time!AV$25</f>
        <v>51682</v>
      </c>
      <c r="AW2" s="294">
        <f xml:space="preserve"> Time!AW$25</f>
        <v>51866</v>
      </c>
      <c r="AX2" s="294">
        <f xml:space="preserve"> Time!AX$25</f>
        <v>52047</v>
      </c>
      <c r="AY2" s="294">
        <f xml:space="preserve"> Time!AY$25</f>
        <v>52231</v>
      </c>
      <c r="AZ2" s="294">
        <f xml:space="preserve"> Time!AZ$25</f>
        <v>52412</v>
      </c>
      <c r="BA2" s="294">
        <f xml:space="preserve"> Time!BA$25</f>
        <v>52596</v>
      </c>
      <c r="BB2" s="294">
        <f xml:space="preserve"> Time!BB$25</f>
        <v>52778</v>
      </c>
      <c r="BC2" s="294">
        <f xml:space="preserve"> Time!BC$25</f>
        <v>52962</v>
      </c>
      <c r="BD2" s="294">
        <f xml:space="preserve"> Time!BD$25</f>
        <v>53143</v>
      </c>
      <c r="BE2" s="294">
        <f xml:space="preserve"> Time!BE$25</f>
        <v>53327</v>
      </c>
      <c r="BF2" s="294">
        <f xml:space="preserve"> Time!BF$25</f>
        <v>53508</v>
      </c>
      <c r="BG2" s="294">
        <f xml:space="preserve"> Time!BG$25</f>
        <v>53692</v>
      </c>
      <c r="BH2" s="294">
        <f xml:space="preserve"> Time!BH$25</f>
        <v>53873</v>
      </c>
      <c r="BI2" s="294">
        <f xml:space="preserve"> Time!BI$25</f>
        <v>54057</v>
      </c>
      <c r="BJ2" s="294">
        <f xml:space="preserve"> Time!BJ$25</f>
        <v>54239</v>
      </c>
      <c r="BK2" s="294">
        <f xml:space="preserve"> Time!BK$25</f>
        <v>54423</v>
      </c>
      <c r="BL2" s="294">
        <f xml:space="preserve"> Time!BL$25</f>
        <v>54604</v>
      </c>
      <c r="BM2" s="294">
        <f xml:space="preserve"> Time!BM$25</f>
        <v>54788</v>
      </c>
      <c r="BN2" s="294">
        <f xml:space="preserve"> Time!BN$25</f>
        <v>54969</v>
      </c>
      <c r="BO2" s="294">
        <f xml:space="preserve"> Time!BO$25</f>
        <v>55153</v>
      </c>
      <c r="BP2" s="294">
        <f xml:space="preserve"> Time!BP$25</f>
        <v>55334</v>
      </c>
      <c r="BQ2" s="294">
        <f xml:space="preserve"> Time!BQ$25</f>
        <v>55518</v>
      </c>
      <c r="BR2" s="294">
        <f xml:space="preserve"> Time!BR$25</f>
        <v>55700</v>
      </c>
      <c r="BS2" s="294">
        <f xml:space="preserve"> Time!BS$25</f>
        <v>55884</v>
      </c>
      <c r="BT2" s="294">
        <f xml:space="preserve"> Time!BT$25</f>
        <v>56065</v>
      </c>
      <c r="BU2" s="294">
        <f xml:space="preserve"> Time!BU$25</f>
        <v>56249</v>
      </c>
      <c r="BV2" s="294">
        <f xml:space="preserve"> Time!BV$25</f>
        <v>56430</v>
      </c>
      <c r="BW2" s="294">
        <f xml:space="preserve"> Time!BW$25</f>
        <v>56614</v>
      </c>
      <c r="BX2" s="294">
        <f xml:space="preserve"> Time!BX$25</f>
        <v>56795</v>
      </c>
      <c r="BY2" s="294">
        <f xml:space="preserve"> Time!BY$25</f>
        <v>56979</v>
      </c>
      <c r="BZ2" s="294">
        <f xml:space="preserve"> Time!BZ$25</f>
        <v>57161</v>
      </c>
      <c r="CA2" s="294">
        <f xml:space="preserve"> Time!CA$25</f>
        <v>57345</v>
      </c>
      <c r="CB2" s="294">
        <f xml:space="preserve"> Time!CB$25</f>
        <v>57526</v>
      </c>
      <c r="CC2" s="294">
        <f xml:space="preserve"> Time!CC$25</f>
        <v>57710</v>
      </c>
      <c r="CD2" s="294">
        <f xml:space="preserve"> Time!CD$25</f>
        <v>57891</v>
      </c>
      <c r="CE2" s="294">
        <f xml:space="preserve"> Time!CE$25</f>
        <v>58075</v>
      </c>
      <c r="CF2" s="294">
        <f xml:space="preserve"> Time!CF$25</f>
        <v>58256</v>
      </c>
      <c r="CG2" s="294">
        <f xml:space="preserve"> Time!CG$25</f>
        <v>58440</v>
      </c>
      <c r="CH2" s="294">
        <f xml:space="preserve"> Time!CH$25</f>
        <v>58622</v>
      </c>
      <c r="CI2" s="294">
        <f xml:space="preserve"> Time!CI$25</f>
        <v>58806</v>
      </c>
      <c r="CJ2" s="294">
        <f xml:space="preserve"> Time!CJ$25</f>
        <v>58987</v>
      </c>
      <c r="CK2" s="294">
        <f xml:space="preserve"> Time!CK$25</f>
        <v>59171</v>
      </c>
      <c r="CL2" s="294">
        <f xml:space="preserve"> Time!CL$25</f>
        <v>59352</v>
      </c>
      <c r="CM2" s="294">
        <f xml:space="preserve"> Time!CM$25</f>
        <v>59536</v>
      </c>
      <c r="CN2" s="294">
        <f xml:space="preserve"> Time!CN$25</f>
        <v>59717</v>
      </c>
      <c r="CO2" s="294">
        <f xml:space="preserve"> Time!CO$25</f>
        <v>59901</v>
      </c>
      <c r="CP2" s="294">
        <f xml:space="preserve"> Time!CP$25</f>
        <v>60083</v>
      </c>
      <c r="CQ2" s="294">
        <f xml:space="preserve"> Time!CQ$25</f>
        <v>60267</v>
      </c>
      <c r="CR2" s="294">
        <f xml:space="preserve"> Time!CR$25</f>
        <v>60448</v>
      </c>
      <c r="CS2" s="294">
        <f xml:space="preserve"> Time!CS$25</f>
        <v>60632</v>
      </c>
      <c r="CT2" s="294">
        <f xml:space="preserve"> Time!CT$25</f>
        <v>60813</v>
      </c>
      <c r="CU2" s="294">
        <f xml:space="preserve"> Time!CU$25</f>
        <v>60997</v>
      </c>
      <c r="CV2" s="294">
        <f xml:space="preserve"> Time!CV$25</f>
        <v>61178</v>
      </c>
    </row>
    <row r="3" spans="1:100" x14ac:dyDescent="0.2">
      <c r="A3" s="236"/>
      <c r="B3" s="236"/>
      <c r="C3" s="237"/>
      <c r="D3" s="238"/>
      <c r="E3" s="235" t="str">
        <f xml:space="preserve"> Time!E$64</f>
        <v>Timeline label</v>
      </c>
      <c r="F3" s="271">
        <f ca="1" xml:space="preserve"> Output!J2</f>
        <v>82</v>
      </c>
      <c r="G3" s="445" t="s">
        <v>25</v>
      </c>
      <c r="H3" s="235"/>
      <c r="I3" s="235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A4" s="236"/>
      <c r="B4" s="236"/>
      <c r="C4" s="237"/>
      <c r="D4" s="238"/>
      <c r="E4" s="446" t="str">
        <f xml:space="preserve"> Time!E$39</f>
        <v>Financial year - semi timeline</v>
      </c>
      <c r="F4" s="271">
        <f xml:space="preserve"> Check!$F$28</f>
        <v>0</v>
      </c>
      <c r="G4" s="445" t="s">
        <v>24</v>
      </c>
      <c r="H4" s="235"/>
      <c r="I4" s="235"/>
      <c r="J4" s="446">
        <f xml:space="preserve"> Time!J$39</f>
        <v>2022</v>
      </c>
      <c r="K4" s="446">
        <f xml:space="preserve"> Time!K$39</f>
        <v>2023</v>
      </c>
      <c r="L4" s="446">
        <f xml:space="preserve"> Time!L$39</f>
        <v>2023</v>
      </c>
      <c r="M4" s="446">
        <f xml:space="preserve"> Time!M$39</f>
        <v>2024</v>
      </c>
      <c r="N4" s="446">
        <f xml:space="preserve"> Time!N$39</f>
        <v>2024</v>
      </c>
      <c r="O4" s="446">
        <f xml:space="preserve"> Time!O$39</f>
        <v>2025</v>
      </c>
      <c r="P4" s="446">
        <f xml:space="preserve"> Time!P$39</f>
        <v>2025</v>
      </c>
      <c r="Q4" s="446">
        <f xml:space="preserve"> Time!Q$39</f>
        <v>2026</v>
      </c>
      <c r="R4" s="446">
        <f xml:space="preserve"> Time!R$39</f>
        <v>2026</v>
      </c>
      <c r="S4" s="446">
        <f xml:space="preserve"> Time!S$39</f>
        <v>2027</v>
      </c>
      <c r="T4" s="446">
        <f xml:space="preserve"> Time!T$39</f>
        <v>2027</v>
      </c>
      <c r="U4" s="446">
        <f xml:space="preserve"> Time!U$39</f>
        <v>2028</v>
      </c>
      <c r="V4" s="446">
        <f xml:space="preserve"> Time!V$39</f>
        <v>2028</v>
      </c>
      <c r="W4" s="446">
        <f xml:space="preserve"> Time!W$39</f>
        <v>2029</v>
      </c>
      <c r="X4" s="446">
        <f xml:space="preserve"> Time!X$39</f>
        <v>2029</v>
      </c>
      <c r="Y4" s="446">
        <f xml:space="preserve"> Time!Y$39</f>
        <v>2030</v>
      </c>
      <c r="Z4" s="446">
        <f xml:space="preserve"> Time!Z$39</f>
        <v>2030</v>
      </c>
      <c r="AA4" s="446">
        <f xml:space="preserve"> Time!AA$39</f>
        <v>2031</v>
      </c>
      <c r="AB4" s="446">
        <f xml:space="preserve"> Time!AB$39</f>
        <v>2031</v>
      </c>
      <c r="AC4" s="446">
        <f xml:space="preserve"> Time!AC$39</f>
        <v>2032</v>
      </c>
      <c r="AD4" s="446">
        <f xml:space="preserve"> Time!AD$39</f>
        <v>2032</v>
      </c>
      <c r="AE4" s="446">
        <f xml:space="preserve"> Time!AE$39</f>
        <v>2033</v>
      </c>
      <c r="AF4" s="446">
        <f xml:space="preserve"> Time!AF$39</f>
        <v>2033</v>
      </c>
      <c r="AG4" s="446">
        <f xml:space="preserve"> Time!AG$39</f>
        <v>2034</v>
      </c>
      <c r="AH4" s="446">
        <f xml:space="preserve"> Time!AH$39</f>
        <v>2034</v>
      </c>
      <c r="AI4" s="446">
        <f xml:space="preserve"> Time!AI$39</f>
        <v>2035</v>
      </c>
      <c r="AJ4" s="446">
        <f xml:space="preserve"> Time!AJ$39</f>
        <v>2035</v>
      </c>
      <c r="AK4" s="446">
        <f xml:space="preserve"> Time!AK$39</f>
        <v>2036</v>
      </c>
      <c r="AL4" s="446">
        <f xml:space="preserve"> Time!AL$39</f>
        <v>2036</v>
      </c>
      <c r="AM4" s="446">
        <f xml:space="preserve"> Time!AM$39</f>
        <v>2037</v>
      </c>
      <c r="AN4" s="446">
        <f xml:space="preserve"> Time!AN$39</f>
        <v>2037</v>
      </c>
      <c r="AO4" s="446">
        <f xml:space="preserve"> Time!AO$39</f>
        <v>2038</v>
      </c>
      <c r="AP4" s="446">
        <f xml:space="preserve"> Time!AP$39</f>
        <v>2038</v>
      </c>
      <c r="AQ4" s="446">
        <f xml:space="preserve"> Time!AQ$39</f>
        <v>2039</v>
      </c>
      <c r="AR4" s="446">
        <f xml:space="preserve"> Time!AR$39</f>
        <v>2039</v>
      </c>
      <c r="AS4" s="446">
        <f xml:space="preserve"> Time!AS$39</f>
        <v>2040</v>
      </c>
      <c r="AT4" s="446">
        <f xml:space="preserve"> Time!AT$39</f>
        <v>2040</v>
      </c>
      <c r="AU4" s="446">
        <f xml:space="preserve"> Time!AU$39</f>
        <v>2041</v>
      </c>
      <c r="AV4" s="446">
        <f xml:space="preserve"> Time!AV$39</f>
        <v>2041</v>
      </c>
      <c r="AW4" s="446">
        <f xml:space="preserve"> Time!AW$39</f>
        <v>2042</v>
      </c>
      <c r="AX4" s="446">
        <f xml:space="preserve"> Time!AX$39</f>
        <v>2042</v>
      </c>
      <c r="AY4" s="446">
        <f xml:space="preserve"> Time!AY$39</f>
        <v>2043</v>
      </c>
      <c r="AZ4" s="446">
        <f xml:space="preserve"> Time!AZ$39</f>
        <v>2043</v>
      </c>
      <c r="BA4" s="446">
        <f xml:space="preserve"> Time!BA$39</f>
        <v>2044</v>
      </c>
      <c r="BB4" s="446">
        <f xml:space="preserve"> Time!BB$39</f>
        <v>2044</v>
      </c>
      <c r="BC4" s="446">
        <f xml:space="preserve"> Time!BC$39</f>
        <v>2045</v>
      </c>
      <c r="BD4" s="446">
        <f xml:space="preserve"> Time!BD$39</f>
        <v>2045</v>
      </c>
      <c r="BE4" s="446">
        <f xml:space="preserve"> Time!BE$39</f>
        <v>2046</v>
      </c>
      <c r="BF4" s="446">
        <f xml:space="preserve"> Time!BF$39</f>
        <v>2046</v>
      </c>
      <c r="BG4" s="446">
        <f xml:space="preserve"> Time!BG$39</f>
        <v>2047</v>
      </c>
      <c r="BH4" s="446">
        <f xml:space="preserve"> Time!BH$39</f>
        <v>2047</v>
      </c>
      <c r="BI4" s="446">
        <f xml:space="preserve"> Time!BI$39</f>
        <v>2048</v>
      </c>
      <c r="BJ4" s="446">
        <f xml:space="preserve"> Time!BJ$39</f>
        <v>2048</v>
      </c>
      <c r="BK4" s="446">
        <f xml:space="preserve"> Time!BK$39</f>
        <v>2049</v>
      </c>
      <c r="BL4" s="446">
        <f xml:space="preserve"> Time!BL$39</f>
        <v>2049</v>
      </c>
      <c r="BM4" s="446">
        <f xml:space="preserve"> Time!BM$39</f>
        <v>2050</v>
      </c>
      <c r="BN4" s="446">
        <f xml:space="preserve"> Time!BN$39</f>
        <v>2050</v>
      </c>
      <c r="BO4" s="446">
        <f xml:space="preserve"> Time!BO$39</f>
        <v>2051</v>
      </c>
      <c r="BP4" s="446">
        <f xml:space="preserve"> Time!BP$39</f>
        <v>2051</v>
      </c>
      <c r="BQ4" s="446">
        <f xml:space="preserve"> Time!BQ$39</f>
        <v>2052</v>
      </c>
      <c r="BR4" s="446">
        <f xml:space="preserve"> Time!BR$39</f>
        <v>2052</v>
      </c>
      <c r="BS4" s="446">
        <f xml:space="preserve"> Time!BS$39</f>
        <v>2053</v>
      </c>
      <c r="BT4" s="446">
        <f xml:space="preserve"> Time!BT$39</f>
        <v>2053</v>
      </c>
      <c r="BU4" s="446">
        <f xml:space="preserve"> Time!BU$39</f>
        <v>2054</v>
      </c>
      <c r="BV4" s="446">
        <f xml:space="preserve"> Time!BV$39</f>
        <v>2054</v>
      </c>
      <c r="BW4" s="446">
        <f xml:space="preserve"> Time!BW$39</f>
        <v>2055</v>
      </c>
      <c r="BX4" s="446">
        <f xml:space="preserve"> Time!BX$39</f>
        <v>2055</v>
      </c>
      <c r="BY4" s="446">
        <f xml:space="preserve"> Time!BY$39</f>
        <v>2056</v>
      </c>
      <c r="BZ4" s="446">
        <f xml:space="preserve"> Time!BZ$39</f>
        <v>2056</v>
      </c>
      <c r="CA4" s="446">
        <f xml:space="preserve"> Time!CA$39</f>
        <v>2057</v>
      </c>
      <c r="CB4" s="446">
        <f xml:space="preserve"> Time!CB$39</f>
        <v>2057</v>
      </c>
      <c r="CC4" s="446">
        <f xml:space="preserve"> Time!CC$39</f>
        <v>2058</v>
      </c>
      <c r="CD4" s="446">
        <f xml:space="preserve"> Time!CD$39</f>
        <v>2058</v>
      </c>
      <c r="CE4" s="446">
        <f xml:space="preserve"> Time!CE$39</f>
        <v>2059</v>
      </c>
      <c r="CF4" s="446">
        <f xml:space="preserve"> Time!CF$39</f>
        <v>2059</v>
      </c>
      <c r="CG4" s="446">
        <f xml:space="preserve"> Time!CG$39</f>
        <v>2060</v>
      </c>
      <c r="CH4" s="446">
        <f xml:space="preserve"> Time!CH$39</f>
        <v>2060</v>
      </c>
      <c r="CI4" s="446">
        <f xml:space="preserve"> Time!CI$39</f>
        <v>2061</v>
      </c>
      <c r="CJ4" s="446">
        <f xml:space="preserve"> Time!CJ$39</f>
        <v>2061</v>
      </c>
      <c r="CK4" s="446">
        <f xml:space="preserve"> Time!CK$39</f>
        <v>2062</v>
      </c>
      <c r="CL4" s="446">
        <f xml:space="preserve"> Time!CL$39</f>
        <v>2062</v>
      </c>
      <c r="CM4" s="446">
        <f xml:space="preserve"> Time!CM$39</f>
        <v>2063</v>
      </c>
      <c r="CN4" s="446">
        <f xml:space="preserve"> Time!CN$39</f>
        <v>2063</v>
      </c>
      <c r="CO4" s="446">
        <f xml:space="preserve"> Time!CO$39</f>
        <v>2064</v>
      </c>
      <c r="CP4" s="446">
        <f xml:space="preserve"> Time!CP$39</f>
        <v>2064</v>
      </c>
      <c r="CQ4" s="446">
        <f xml:space="preserve"> Time!CQ$39</f>
        <v>2065</v>
      </c>
      <c r="CR4" s="446">
        <f xml:space="preserve"> Time!CR$39</f>
        <v>2065</v>
      </c>
      <c r="CS4" s="446">
        <f xml:space="preserve"> Time!CS$39</f>
        <v>2066</v>
      </c>
      <c r="CT4" s="446">
        <f xml:space="preserve"> Time!CT$39</f>
        <v>2066</v>
      </c>
      <c r="CU4" s="446">
        <f xml:space="preserve"> Time!CU$39</f>
        <v>2067</v>
      </c>
      <c r="CV4" s="446">
        <f xml:space="preserve"> Time!CV$39</f>
        <v>2067</v>
      </c>
    </row>
    <row r="5" spans="1:100" x14ac:dyDescent="0.2">
      <c r="A5" s="236"/>
      <c r="B5" s="236"/>
      <c r="C5" s="237"/>
      <c r="D5" s="238"/>
      <c r="E5" s="235" t="str">
        <f xml:space="preserve"> Time!E$10</f>
        <v>Model column counter</v>
      </c>
      <c r="F5" s="447" t="s">
        <v>19</v>
      </c>
      <c r="G5" s="448" t="s">
        <v>17</v>
      </c>
      <c r="H5" s="447" t="s">
        <v>18</v>
      </c>
      <c r="I5" s="235"/>
      <c r="J5" s="235">
        <f xml:space="preserve"> Time!J$10</f>
        <v>1</v>
      </c>
      <c r="K5" s="235">
        <f xml:space="preserve"> Time!K$10</f>
        <v>2</v>
      </c>
      <c r="L5" s="235">
        <f xml:space="preserve"> Time!L$10</f>
        <v>3</v>
      </c>
      <c r="M5" s="235">
        <f xml:space="preserve"> Time!M$10</f>
        <v>4</v>
      </c>
      <c r="N5" s="235">
        <f xml:space="preserve"> Time!N$10</f>
        <v>5</v>
      </c>
      <c r="O5" s="235">
        <f xml:space="preserve"> Time!O$10</f>
        <v>6</v>
      </c>
      <c r="P5" s="235">
        <f xml:space="preserve"> Time!P$10</f>
        <v>7</v>
      </c>
      <c r="Q5" s="235">
        <f xml:space="preserve"> Time!Q$10</f>
        <v>8</v>
      </c>
      <c r="R5" s="235">
        <f xml:space="preserve"> Time!R$10</f>
        <v>9</v>
      </c>
      <c r="S5" s="235">
        <f xml:space="preserve"> Time!S$10</f>
        <v>10</v>
      </c>
      <c r="T5" s="235">
        <f xml:space="preserve"> Time!T$10</f>
        <v>11</v>
      </c>
      <c r="U5" s="235">
        <f xml:space="preserve"> Time!U$10</f>
        <v>12</v>
      </c>
      <c r="V5" s="235">
        <f xml:space="preserve"> Time!V$10</f>
        <v>13</v>
      </c>
      <c r="W5" s="235">
        <f xml:space="preserve"> Time!W$10</f>
        <v>14</v>
      </c>
      <c r="X5" s="235">
        <f xml:space="preserve"> Time!X$10</f>
        <v>15</v>
      </c>
      <c r="Y5" s="235">
        <f xml:space="preserve"> Time!Y$10</f>
        <v>16</v>
      </c>
      <c r="Z5" s="235">
        <f xml:space="preserve"> Time!Z$10</f>
        <v>17</v>
      </c>
      <c r="AA5" s="235">
        <f xml:space="preserve"> Time!AA$10</f>
        <v>18</v>
      </c>
      <c r="AB5" s="235">
        <f xml:space="preserve"> Time!AB$10</f>
        <v>19</v>
      </c>
      <c r="AC5" s="235">
        <f xml:space="preserve"> Time!AC$10</f>
        <v>20</v>
      </c>
      <c r="AD5" s="235">
        <f xml:space="preserve"> Time!AD$10</f>
        <v>21</v>
      </c>
      <c r="AE5" s="235">
        <f xml:space="preserve"> Time!AE$10</f>
        <v>22</v>
      </c>
      <c r="AF5" s="235">
        <f xml:space="preserve"> Time!AF$10</f>
        <v>23</v>
      </c>
      <c r="AG5" s="235">
        <f xml:space="preserve"> Time!AG$10</f>
        <v>24</v>
      </c>
      <c r="AH5" s="235">
        <f xml:space="preserve"> Time!AH$10</f>
        <v>25</v>
      </c>
      <c r="AI5" s="235">
        <f xml:space="preserve"> Time!AI$10</f>
        <v>26</v>
      </c>
      <c r="AJ5" s="235">
        <f xml:space="preserve"> Time!AJ$10</f>
        <v>27</v>
      </c>
      <c r="AK5" s="235">
        <f xml:space="preserve"> Time!AK$10</f>
        <v>28</v>
      </c>
      <c r="AL5" s="235">
        <f xml:space="preserve"> Time!AL$10</f>
        <v>29</v>
      </c>
      <c r="AM5" s="235">
        <f xml:space="preserve"> Time!AM$10</f>
        <v>30</v>
      </c>
      <c r="AN5" s="235">
        <f xml:space="preserve"> Time!AN$10</f>
        <v>31</v>
      </c>
      <c r="AO5" s="235">
        <f xml:space="preserve"> Time!AO$10</f>
        <v>32</v>
      </c>
      <c r="AP5" s="235">
        <f xml:space="preserve"> Time!AP$10</f>
        <v>33</v>
      </c>
      <c r="AQ5" s="235">
        <f xml:space="preserve"> Time!AQ$10</f>
        <v>34</v>
      </c>
      <c r="AR5" s="235">
        <f xml:space="preserve"> Time!AR$10</f>
        <v>35</v>
      </c>
      <c r="AS5" s="235">
        <f xml:space="preserve"> Time!AS$10</f>
        <v>36</v>
      </c>
      <c r="AT5" s="235">
        <f xml:space="preserve"> Time!AT$10</f>
        <v>37</v>
      </c>
      <c r="AU5" s="235">
        <f xml:space="preserve"> Time!AU$10</f>
        <v>38</v>
      </c>
      <c r="AV5" s="235">
        <f xml:space="preserve"> Time!AV$10</f>
        <v>39</v>
      </c>
      <c r="AW5" s="235">
        <f xml:space="preserve"> Time!AW$10</f>
        <v>40</v>
      </c>
      <c r="AX5" s="235">
        <f xml:space="preserve"> Time!AX$10</f>
        <v>41</v>
      </c>
      <c r="AY5" s="235">
        <f xml:space="preserve"> Time!AY$10</f>
        <v>42</v>
      </c>
      <c r="AZ5" s="235">
        <f xml:space="preserve"> Time!AZ$10</f>
        <v>43</v>
      </c>
      <c r="BA5" s="235">
        <f xml:space="preserve"> Time!BA$10</f>
        <v>44</v>
      </c>
      <c r="BB5" s="235">
        <f xml:space="preserve"> Time!BB$10</f>
        <v>45</v>
      </c>
      <c r="BC5" s="235">
        <f xml:space="preserve"> Time!BC$10</f>
        <v>46</v>
      </c>
      <c r="BD5" s="235">
        <f xml:space="preserve"> Time!BD$10</f>
        <v>47</v>
      </c>
      <c r="BE5" s="235">
        <f xml:space="preserve"> Time!BE$10</f>
        <v>48</v>
      </c>
      <c r="BF5" s="235">
        <f xml:space="preserve"> Time!BF$10</f>
        <v>49</v>
      </c>
      <c r="BG5" s="235">
        <f xml:space="preserve"> Time!BG$10</f>
        <v>50</v>
      </c>
      <c r="BH5" s="235">
        <f xml:space="preserve"> Time!BH$10</f>
        <v>51</v>
      </c>
      <c r="BI5" s="235">
        <f xml:space="preserve"> Time!BI$10</f>
        <v>52</v>
      </c>
      <c r="BJ5" s="235">
        <f xml:space="preserve"> Time!BJ$10</f>
        <v>53</v>
      </c>
      <c r="BK5" s="235">
        <f xml:space="preserve"> Time!BK$10</f>
        <v>54</v>
      </c>
      <c r="BL5" s="235">
        <f xml:space="preserve"> Time!BL$10</f>
        <v>55</v>
      </c>
      <c r="BM5" s="235">
        <f xml:space="preserve"> Time!BM$10</f>
        <v>56</v>
      </c>
      <c r="BN5" s="235">
        <f xml:space="preserve"> Time!BN$10</f>
        <v>57</v>
      </c>
      <c r="BO5" s="235">
        <f xml:space="preserve"> Time!BO$10</f>
        <v>58</v>
      </c>
      <c r="BP5" s="235">
        <f xml:space="preserve"> Time!BP$10</f>
        <v>59</v>
      </c>
      <c r="BQ5" s="235">
        <f xml:space="preserve"> Time!BQ$10</f>
        <v>60</v>
      </c>
      <c r="BR5" s="235">
        <f xml:space="preserve"> Time!BR$10</f>
        <v>61</v>
      </c>
      <c r="BS5" s="235">
        <f xml:space="preserve"> Time!BS$10</f>
        <v>62</v>
      </c>
      <c r="BT5" s="235">
        <f xml:space="preserve"> Time!BT$10</f>
        <v>63</v>
      </c>
      <c r="BU5" s="235">
        <f xml:space="preserve"> Time!BU$10</f>
        <v>64</v>
      </c>
      <c r="BV5" s="235">
        <f xml:space="preserve"> Time!BV$10</f>
        <v>65</v>
      </c>
      <c r="BW5" s="235">
        <f xml:space="preserve"> Time!BW$10</f>
        <v>66</v>
      </c>
      <c r="BX5" s="235">
        <f xml:space="preserve"> Time!BX$10</f>
        <v>67</v>
      </c>
      <c r="BY5" s="235">
        <f xml:space="preserve"> Time!BY$10</f>
        <v>68</v>
      </c>
      <c r="BZ5" s="235">
        <f xml:space="preserve"> Time!BZ$10</f>
        <v>69</v>
      </c>
      <c r="CA5" s="235">
        <f xml:space="preserve"> Time!CA$10</f>
        <v>70</v>
      </c>
      <c r="CB5" s="235">
        <f xml:space="preserve"> Time!CB$10</f>
        <v>71</v>
      </c>
      <c r="CC5" s="235">
        <f xml:space="preserve"> Time!CC$10</f>
        <v>72</v>
      </c>
      <c r="CD5" s="235">
        <f xml:space="preserve"> Time!CD$10</f>
        <v>73</v>
      </c>
      <c r="CE5" s="235">
        <f xml:space="preserve"> Time!CE$10</f>
        <v>74</v>
      </c>
      <c r="CF5" s="235">
        <f xml:space="preserve"> Time!CF$10</f>
        <v>75</v>
      </c>
      <c r="CG5" s="235">
        <f xml:space="preserve"> Time!CG$10</f>
        <v>76</v>
      </c>
      <c r="CH5" s="235">
        <f xml:space="preserve"> Time!CH$10</f>
        <v>77</v>
      </c>
      <c r="CI5" s="235">
        <f xml:space="preserve"> Time!CI$10</f>
        <v>78</v>
      </c>
      <c r="CJ5" s="235">
        <f xml:space="preserve"> Time!CJ$10</f>
        <v>79</v>
      </c>
      <c r="CK5" s="235">
        <f xml:space="preserve"> Time!CK$10</f>
        <v>80</v>
      </c>
      <c r="CL5" s="235">
        <f xml:space="preserve"> Time!CL$10</f>
        <v>81</v>
      </c>
      <c r="CM5" s="235">
        <f xml:space="preserve"> Time!CM$10</f>
        <v>82</v>
      </c>
      <c r="CN5" s="235">
        <f xml:space="preserve"> Time!CN$10</f>
        <v>83</v>
      </c>
      <c r="CO5" s="235">
        <f xml:space="preserve"> Time!CO$10</f>
        <v>84</v>
      </c>
      <c r="CP5" s="235">
        <f xml:space="preserve"> Time!CP$10</f>
        <v>85</v>
      </c>
      <c r="CQ5" s="235">
        <f xml:space="preserve"> Time!CQ$10</f>
        <v>86</v>
      </c>
      <c r="CR5" s="235">
        <f xml:space="preserve"> Time!CR$10</f>
        <v>87</v>
      </c>
      <c r="CS5" s="235">
        <f xml:space="preserve"> Time!CS$10</f>
        <v>88</v>
      </c>
      <c r="CT5" s="235">
        <f xml:space="preserve"> Time!CT$10</f>
        <v>89</v>
      </c>
      <c r="CU5" s="235">
        <f xml:space="preserve"> Time!CU$10</f>
        <v>90</v>
      </c>
      <c r="CV5" s="235">
        <f xml:space="preserve"> Time!CV$10</f>
        <v>91</v>
      </c>
    </row>
    <row r="6" spans="1:100" x14ac:dyDescent="0.2">
      <c r="D6" s="209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">
      <c r="A7" s="205" t="s">
        <v>50</v>
      </c>
      <c r="D7" s="209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">
      <c r="D8" s="209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">
      <c r="D9" s="209"/>
      <c r="E9" s="288" t="str">
        <f xml:space="preserve"> Ops!E$75</f>
        <v>Electricity payments (EPn) - P50</v>
      </c>
      <c r="F9" s="288">
        <f xml:space="preserve"> Ops!F$75</f>
        <v>0</v>
      </c>
      <c r="G9" s="288" t="str">
        <f xml:space="preserve"> Ops!G$75</f>
        <v>$ 000s</v>
      </c>
      <c r="H9" s="288">
        <f xml:space="preserve"> Ops!H$75</f>
        <v>792204.22663711873</v>
      </c>
      <c r="I9" s="288">
        <f xml:space="preserve"> Ops!I$75</f>
        <v>0</v>
      </c>
      <c r="J9" s="288">
        <f xml:space="preserve"> Ops!J$75</f>
        <v>0</v>
      </c>
      <c r="K9" s="288">
        <f xml:space="preserve"> Ops!K$75</f>
        <v>0</v>
      </c>
      <c r="L9" s="288">
        <f xml:space="preserve"> Ops!L$75</f>
        <v>0</v>
      </c>
      <c r="M9" s="288">
        <f xml:space="preserve"> Ops!M$75</f>
        <v>0</v>
      </c>
      <c r="N9" s="288">
        <f xml:space="preserve"> Ops!N$75</f>
        <v>0</v>
      </c>
      <c r="O9" s="288">
        <f xml:space="preserve"> Ops!O$75</f>
        <v>20101.067729615475</v>
      </c>
      <c r="P9" s="288">
        <f xml:space="preserve"> Ops!P$75</f>
        <v>20101.067729615475</v>
      </c>
      <c r="Q9" s="288">
        <f xml:space="preserve"> Ops!Q$75</f>
        <v>20068.639747579797</v>
      </c>
      <c r="R9" s="288">
        <f xml:space="preserve"> Ops!R$75</f>
        <v>20068.639747579797</v>
      </c>
      <c r="S9" s="288">
        <f xml:space="preserve"> Ops!S$75</f>
        <v>20036.414706000804</v>
      </c>
      <c r="T9" s="288">
        <f xml:space="preserve"> Ops!T$75</f>
        <v>20036.414706000804</v>
      </c>
      <c r="U9" s="288">
        <f xml:space="preserve"> Ops!U$75</f>
        <v>20004.39468269296</v>
      </c>
      <c r="V9" s="288">
        <f xml:space="preserve"> Ops!V$75</f>
        <v>20004.39468269296</v>
      </c>
      <c r="W9" s="288">
        <f xml:space="preserve"> Ops!W$75</f>
        <v>19972.581795926155</v>
      </c>
      <c r="X9" s="288">
        <f xml:space="preserve"> Ops!X$75</f>
        <v>19972.581795926155</v>
      </c>
      <c r="Y9" s="288">
        <f xml:space="preserve"> Ops!Y$75</f>
        <v>19940.978205146155</v>
      </c>
      <c r="Z9" s="288">
        <f xml:space="preserve"> Ops!Z$75</f>
        <v>19940.978205146155</v>
      </c>
      <c r="AA9" s="288">
        <f xml:space="preserve"> Ops!AA$75</f>
        <v>19909.586111708071</v>
      </c>
      <c r="AB9" s="288">
        <f xml:space="preserve"> Ops!AB$75</f>
        <v>19909.586111708071</v>
      </c>
      <c r="AC9" s="288">
        <f xml:space="preserve"> Ops!AC$75</f>
        <v>19878.407759622987</v>
      </c>
      <c r="AD9" s="288">
        <f xml:space="preserve"> Ops!AD$75</f>
        <v>19878.407759622987</v>
      </c>
      <c r="AE9" s="288">
        <f xml:space="preserve"> Ops!AE$75</f>
        <v>19847.445436318063</v>
      </c>
      <c r="AF9" s="288">
        <f xml:space="preserve"> Ops!AF$75</f>
        <v>19847.445436318063</v>
      </c>
      <c r="AG9" s="288">
        <f xml:space="preserve"> Ops!AG$75</f>
        <v>19816.701473410223</v>
      </c>
      <c r="AH9" s="288">
        <f xml:space="preserve"> Ops!AH$75</f>
        <v>19816.701473410223</v>
      </c>
      <c r="AI9" s="288">
        <f xml:space="preserve"> Ops!AI$75</f>
        <v>19786.178247493852</v>
      </c>
      <c r="AJ9" s="288">
        <f xml:space="preserve"> Ops!AJ$75</f>
        <v>19786.178247493852</v>
      </c>
      <c r="AK9" s="288">
        <f xml:space="preserve"> Ops!AK$75</f>
        <v>19755.878180942527</v>
      </c>
      <c r="AL9" s="288">
        <f xml:space="preserve"> Ops!AL$75</f>
        <v>19755.878180942527</v>
      </c>
      <c r="AM9" s="288">
        <f xml:space="preserve"> Ops!AM$75</f>
        <v>19725.803742725308</v>
      </c>
      <c r="AN9" s="288">
        <f xml:space="preserve"> Ops!AN$75</f>
        <v>19725.803742725308</v>
      </c>
      <c r="AO9" s="288">
        <f xml:space="preserve"> Ops!AO$75</f>
        <v>19695.957449237616</v>
      </c>
      <c r="AP9" s="288">
        <f xml:space="preserve"> Ops!AP$75</f>
        <v>19695.957449237616</v>
      </c>
      <c r="AQ9" s="288">
        <f xml:space="preserve"> Ops!AQ$75</f>
        <v>19666.341865147042</v>
      </c>
      <c r="AR9" s="288">
        <f xml:space="preserve"> Ops!AR$75</f>
        <v>19666.341865147042</v>
      </c>
      <c r="AS9" s="288">
        <f xml:space="preserve"> Ops!AS$75</f>
        <v>19636.959604254404</v>
      </c>
      <c r="AT9" s="288">
        <f xml:space="preserve"> Ops!AT$75</f>
        <v>19636.959604254404</v>
      </c>
      <c r="AU9" s="288">
        <f xml:space="preserve"> Ops!AU$75</f>
        <v>19607.813330370303</v>
      </c>
      <c r="AV9" s="288">
        <f xml:space="preserve"> Ops!AV$75</f>
        <v>19607.813330370303</v>
      </c>
      <c r="AW9" s="288">
        <f xml:space="preserve"> Ops!AW$75</f>
        <v>19578.905758207362</v>
      </c>
      <c r="AX9" s="288">
        <f xml:space="preserve"> Ops!AX$75</f>
        <v>19578.905758207362</v>
      </c>
      <c r="AY9" s="288">
        <f xml:space="preserve"> Ops!AY$75</f>
        <v>19550.239654288544</v>
      </c>
      <c r="AZ9" s="288">
        <f xml:space="preserve"> Ops!AZ$75</f>
        <v>19550.239654288544</v>
      </c>
      <c r="BA9" s="288">
        <f xml:space="preserve"> Ops!BA$75</f>
        <v>19521.817837871837</v>
      </c>
      <c r="BB9" s="288">
        <f xml:space="preserve"> Ops!BB$75</f>
        <v>19521.817837871837</v>
      </c>
      <c r="BC9" s="288">
        <f xml:space="preserve"> Ops!BC$75</f>
        <v>0</v>
      </c>
      <c r="BD9" s="288">
        <f xml:space="preserve"> Ops!BD$75</f>
        <v>0</v>
      </c>
      <c r="BE9" s="288">
        <f xml:space="preserve"> Ops!BE$75</f>
        <v>0</v>
      </c>
      <c r="BF9" s="288">
        <f xml:space="preserve"> Ops!BF$75</f>
        <v>0</v>
      </c>
      <c r="BG9" s="288">
        <f xml:space="preserve"> Ops!BG$75</f>
        <v>0</v>
      </c>
      <c r="BH9" s="288">
        <f xml:space="preserve"> Ops!BH$75</f>
        <v>0</v>
      </c>
      <c r="BI9" s="288">
        <f xml:space="preserve"> Ops!BI$75</f>
        <v>0</v>
      </c>
      <c r="BJ9" s="288">
        <f xml:space="preserve"> Ops!BJ$75</f>
        <v>0</v>
      </c>
      <c r="BK9" s="288">
        <f xml:space="preserve"> Ops!BK$75</f>
        <v>0</v>
      </c>
      <c r="BL9" s="288">
        <f xml:space="preserve"> Ops!BL$75</f>
        <v>0</v>
      </c>
      <c r="BM9" s="288">
        <f xml:space="preserve"> Ops!BM$75</f>
        <v>0</v>
      </c>
      <c r="BN9" s="288">
        <f xml:space="preserve"> Ops!BN$75</f>
        <v>0</v>
      </c>
      <c r="BO9" s="288">
        <f xml:space="preserve"> Ops!BO$75</f>
        <v>0</v>
      </c>
      <c r="BP9" s="288">
        <f xml:space="preserve"> Ops!BP$75</f>
        <v>0</v>
      </c>
      <c r="BQ9" s="288">
        <f xml:space="preserve"> Ops!BQ$75</f>
        <v>0</v>
      </c>
      <c r="BR9" s="288">
        <f xml:space="preserve"> Ops!BR$75</f>
        <v>0</v>
      </c>
      <c r="BS9" s="288">
        <f xml:space="preserve"> Ops!BS$75</f>
        <v>0</v>
      </c>
      <c r="BT9" s="288">
        <f xml:space="preserve"> Ops!BT$75</f>
        <v>0</v>
      </c>
      <c r="BU9" s="288">
        <f xml:space="preserve"> Ops!BU$75</f>
        <v>0</v>
      </c>
      <c r="BV9" s="288">
        <f xml:space="preserve"> Ops!BV$75</f>
        <v>0</v>
      </c>
      <c r="BW9" s="288">
        <f xml:space="preserve"> Ops!BW$75</f>
        <v>0</v>
      </c>
      <c r="BX9" s="288">
        <f xml:space="preserve"> Ops!BX$75</f>
        <v>0</v>
      </c>
      <c r="BY9" s="288">
        <f xml:space="preserve"> Ops!BY$75</f>
        <v>0</v>
      </c>
      <c r="BZ9" s="288">
        <f xml:space="preserve"> Ops!BZ$75</f>
        <v>0</v>
      </c>
      <c r="CA9" s="288">
        <f xml:space="preserve"> Ops!CA$75</f>
        <v>0</v>
      </c>
      <c r="CB9" s="288">
        <f xml:space="preserve"> Ops!CB$75</f>
        <v>0</v>
      </c>
      <c r="CC9" s="288">
        <f xml:space="preserve"> Ops!CC$75</f>
        <v>0</v>
      </c>
      <c r="CD9" s="288">
        <f xml:space="preserve"> Ops!CD$75</f>
        <v>0</v>
      </c>
      <c r="CE9" s="288">
        <f xml:space="preserve"> Ops!CE$75</f>
        <v>0</v>
      </c>
      <c r="CF9" s="288">
        <f xml:space="preserve"> Ops!CF$75</f>
        <v>0</v>
      </c>
      <c r="CG9" s="288">
        <f xml:space="preserve"> Ops!CG$75</f>
        <v>0</v>
      </c>
      <c r="CH9" s="288">
        <f xml:space="preserve"> Ops!CH$75</f>
        <v>0</v>
      </c>
      <c r="CI9" s="288">
        <f xml:space="preserve"> Ops!CI$75</f>
        <v>0</v>
      </c>
      <c r="CJ9" s="288">
        <f xml:space="preserve"> Ops!CJ$75</f>
        <v>0</v>
      </c>
      <c r="CK9" s="288">
        <f xml:space="preserve"> Ops!CK$75</f>
        <v>0</v>
      </c>
      <c r="CL9" s="288">
        <f xml:space="preserve"> Ops!CL$75</f>
        <v>0</v>
      </c>
      <c r="CM9" s="288">
        <f xml:space="preserve"> Ops!CM$75</f>
        <v>0</v>
      </c>
      <c r="CN9" s="288">
        <f xml:space="preserve"> Ops!CN$75</f>
        <v>0</v>
      </c>
      <c r="CO9" s="288">
        <f xml:space="preserve"> Ops!CO$75</f>
        <v>0</v>
      </c>
      <c r="CP9" s="288">
        <f xml:space="preserve"> Ops!CP$75</f>
        <v>0</v>
      </c>
      <c r="CQ9" s="288">
        <f xml:space="preserve"> Ops!CQ$75</f>
        <v>0</v>
      </c>
      <c r="CR9" s="288">
        <f xml:space="preserve"> Ops!CR$75</f>
        <v>0</v>
      </c>
      <c r="CS9" s="288">
        <f xml:space="preserve"> Ops!CS$75</f>
        <v>0</v>
      </c>
      <c r="CT9" s="288">
        <f xml:space="preserve"> Ops!CT$75</f>
        <v>0</v>
      </c>
      <c r="CU9" s="288">
        <f xml:space="preserve"> Ops!CU$75</f>
        <v>0</v>
      </c>
      <c r="CV9" s="288">
        <f xml:space="preserve"> Ops!CV$75</f>
        <v>0</v>
      </c>
    </row>
    <row r="10" spans="1:100" outlineLevel="1" x14ac:dyDescent="0.2">
      <c r="D10" s="209"/>
      <c r="E10" s="288" t="str">
        <f xml:space="preserve"> Ops!E$155</f>
        <v>O&amp;M expense</v>
      </c>
      <c r="F10" s="288">
        <f xml:space="preserve"> Ops!F$155</f>
        <v>0</v>
      </c>
      <c r="G10" s="288" t="str">
        <f xml:space="preserve"> Ops!G$155</f>
        <v>$ 000s</v>
      </c>
      <c r="H10" s="288">
        <f xml:space="preserve"> Ops!H$155</f>
        <v>-210402.03579009019</v>
      </c>
      <c r="I10" s="288">
        <f xml:space="preserve"> Ops!I$155</f>
        <v>0</v>
      </c>
      <c r="J10" s="288">
        <f xml:space="preserve"> Ops!J$155</f>
        <v>0</v>
      </c>
      <c r="K10" s="288">
        <f xml:space="preserve"> Ops!K$155</f>
        <v>0</v>
      </c>
      <c r="L10" s="288">
        <f xml:space="preserve"> Ops!L$155</f>
        <v>0</v>
      </c>
      <c r="M10" s="288">
        <f xml:space="preserve"> Ops!M$155</f>
        <v>0</v>
      </c>
      <c r="N10" s="288">
        <f xml:space="preserve"> Ops!N$155</f>
        <v>0</v>
      </c>
      <c r="O10" s="288">
        <f xml:space="preserve"> Ops!O$155</f>
        <v>-4329.7286399999994</v>
      </c>
      <c r="P10" s="288">
        <f xml:space="preserve"> Ops!P$155</f>
        <v>-4329.7286399999994</v>
      </c>
      <c r="Q10" s="288">
        <f xml:space="preserve"> Ops!Q$155</f>
        <v>-4416.3232128</v>
      </c>
      <c r="R10" s="288">
        <f xml:space="preserve"> Ops!R$155</f>
        <v>-4416.3232128</v>
      </c>
      <c r="S10" s="288">
        <f xml:space="preserve"> Ops!S$155</f>
        <v>-4504.6496770560007</v>
      </c>
      <c r="T10" s="288">
        <f xml:space="preserve"> Ops!T$155</f>
        <v>-4504.6496770560007</v>
      </c>
      <c r="U10" s="288">
        <f xml:space="preserve"> Ops!U$155</f>
        <v>-4594.7426705971193</v>
      </c>
      <c r="V10" s="288">
        <f xml:space="preserve"> Ops!V$155</f>
        <v>-4594.7426705971193</v>
      </c>
      <c r="W10" s="288">
        <f xml:space="preserve"> Ops!W$155</f>
        <v>-4686.637524009062</v>
      </c>
      <c r="X10" s="288">
        <f xml:space="preserve"> Ops!X$155</f>
        <v>-4686.637524009062</v>
      </c>
      <c r="Y10" s="288">
        <f xml:space="preserve"> Ops!Y$155</f>
        <v>-4780.3702744892435</v>
      </c>
      <c r="Z10" s="288">
        <f xml:space="preserve"> Ops!Z$155</f>
        <v>-4780.3702744892435</v>
      </c>
      <c r="AA10" s="288">
        <f xml:space="preserve"> Ops!AA$155</f>
        <v>-4875.9776799790279</v>
      </c>
      <c r="AB10" s="288">
        <f xml:space="preserve"> Ops!AB$155</f>
        <v>-4875.9776799790279</v>
      </c>
      <c r="AC10" s="288">
        <f xml:space="preserve"> Ops!AC$155</f>
        <v>-4973.4972335786078</v>
      </c>
      <c r="AD10" s="288">
        <f xml:space="preserve"> Ops!AD$155</f>
        <v>-4973.4972335786078</v>
      </c>
      <c r="AE10" s="288">
        <f xml:space="preserve"> Ops!AE$155</f>
        <v>-5072.967178250181</v>
      </c>
      <c r="AF10" s="288">
        <f xml:space="preserve"> Ops!AF$155</f>
        <v>-5072.967178250181</v>
      </c>
      <c r="AG10" s="288">
        <f xml:space="preserve"> Ops!AG$155</f>
        <v>-5174.4265218151841</v>
      </c>
      <c r="AH10" s="288">
        <f xml:space="preserve"> Ops!AH$155</f>
        <v>-5174.4265218151841</v>
      </c>
      <c r="AI10" s="288">
        <f xml:space="preserve"> Ops!AI$155</f>
        <v>-5277.9150522514883</v>
      </c>
      <c r="AJ10" s="288">
        <f xml:space="preserve"> Ops!AJ$155</f>
        <v>-5277.9150522514883</v>
      </c>
      <c r="AK10" s="288">
        <f xml:space="preserve"> Ops!AK$155</f>
        <v>-5383.4733532965174</v>
      </c>
      <c r="AL10" s="288">
        <f xml:space="preserve"> Ops!AL$155</f>
        <v>-5383.4733532965174</v>
      </c>
      <c r="AM10" s="288">
        <f xml:space="preserve"> Ops!AM$155</f>
        <v>-5491.1428203624482</v>
      </c>
      <c r="AN10" s="288">
        <f xml:space="preserve"> Ops!AN$155</f>
        <v>-5491.1428203624482</v>
      </c>
      <c r="AO10" s="288">
        <f xml:space="preserve"> Ops!AO$155</f>
        <v>-5600.9656767696979</v>
      </c>
      <c r="AP10" s="288">
        <f xml:space="preserve"> Ops!AP$155</f>
        <v>-5600.9656767696979</v>
      </c>
      <c r="AQ10" s="288">
        <f xml:space="preserve"> Ops!AQ$155</f>
        <v>-5712.9849903050908</v>
      </c>
      <c r="AR10" s="288">
        <f xml:space="preserve"> Ops!AR$155</f>
        <v>-5712.9849903050908</v>
      </c>
      <c r="AS10" s="288">
        <f xml:space="preserve"> Ops!AS$155</f>
        <v>-5827.2446901111925</v>
      </c>
      <c r="AT10" s="288">
        <f xml:space="preserve"> Ops!AT$155</f>
        <v>-5827.2446901111925</v>
      </c>
      <c r="AU10" s="288">
        <f xml:space="preserve"> Ops!AU$155</f>
        <v>-5943.7895839134171</v>
      </c>
      <c r="AV10" s="288">
        <f xml:space="preserve"> Ops!AV$155</f>
        <v>-5943.7895839134171</v>
      </c>
      <c r="AW10" s="288">
        <f xml:space="preserve"> Ops!AW$155</f>
        <v>-6062.665375591685</v>
      </c>
      <c r="AX10" s="288">
        <f xml:space="preserve"> Ops!AX$155</f>
        <v>-6062.665375591685</v>
      </c>
      <c r="AY10" s="288">
        <f xml:space="preserve"> Ops!AY$155</f>
        <v>-6183.9186831035186</v>
      </c>
      <c r="AZ10" s="288">
        <f xml:space="preserve"> Ops!AZ$155</f>
        <v>-6183.9186831035186</v>
      </c>
      <c r="BA10" s="288">
        <f xml:space="preserve"> Ops!BA$155</f>
        <v>-6307.5970567655886</v>
      </c>
      <c r="BB10" s="288">
        <f xml:space="preserve"> Ops!BB$155</f>
        <v>-6307.5970567655886</v>
      </c>
      <c r="BC10" s="288">
        <f xml:space="preserve"> Ops!BC$155</f>
        <v>0</v>
      </c>
      <c r="BD10" s="288">
        <f xml:space="preserve"> Ops!BD$155</f>
        <v>0</v>
      </c>
      <c r="BE10" s="288">
        <f xml:space="preserve"> Ops!BE$155</f>
        <v>0</v>
      </c>
      <c r="BF10" s="288">
        <f xml:space="preserve"> Ops!BF$155</f>
        <v>0</v>
      </c>
      <c r="BG10" s="288">
        <f xml:space="preserve"> Ops!BG$155</f>
        <v>0</v>
      </c>
      <c r="BH10" s="288">
        <f xml:space="preserve"> Ops!BH$155</f>
        <v>0</v>
      </c>
      <c r="BI10" s="288">
        <f xml:space="preserve"> Ops!BI$155</f>
        <v>0</v>
      </c>
      <c r="BJ10" s="288">
        <f xml:space="preserve"> Ops!BJ$155</f>
        <v>0</v>
      </c>
      <c r="BK10" s="288">
        <f xml:space="preserve"> Ops!BK$155</f>
        <v>0</v>
      </c>
      <c r="BL10" s="288">
        <f xml:space="preserve"> Ops!BL$155</f>
        <v>0</v>
      </c>
      <c r="BM10" s="288">
        <f xml:space="preserve"> Ops!BM$155</f>
        <v>0</v>
      </c>
      <c r="BN10" s="288">
        <f xml:space="preserve"> Ops!BN$155</f>
        <v>0</v>
      </c>
      <c r="BO10" s="288">
        <f xml:space="preserve"> Ops!BO$155</f>
        <v>0</v>
      </c>
      <c r="BP10" s="288">
        <f xml:space="preserve"> Ops!BP$155</f>
        <v>0</v>
      </c>
      <c r="BQ10" s="288">
        <f xml:space="preserve"> Ops!BQ$155</f>
        <v>0</v>
      </c>
      <c r="BR10" s="288">
        <f xml:space="preserve"> Ops!BR$155</f>
        <v>0</v>
      </c>
      <c r="BS10" s="288">
        <f xml:space="preserve"> Ops!BS$155</f>
        <v>0</v>
      </c>
      <c r="BT10" s="288">
        <f xml:space="preserve"> Ops!BT$155</f>
        <v>0</v>
      </c>
      <c r="BU10" s="288">
        <f xml:space="preserve"> Ops!BU$155</f>
        <v>0</v>
      </c>
      <c r="BV10" s="288">
        <f xml:space="preserve"> Ops!BV$155</f>
        <v>0</v>
      </c>
      <c r="BW10" s="288">
        <f xml:space="preserve"> Ops!BW$155</f>
        <v>0</v>
      </c>
      <c r="BX10" s="288">
        <f xml:space="preserve"> Ops!BX$155</f>
        <v>0</v>
      </c>
      <c r="BY10" s="288">
        <f xml:space="preserve"> Ops!BY$155</f>
        <v>0</v>
      </c>
      <c r="BZ10" s="288">
        <f xml:space="preserve"> Ops!BZ$155</f>
        <v>0</v>
      </c>
      <c r="CA10" s="288">
        <f xml:space="preserve"> Ops!CA$155</f>
        <v>0</v>
      </c>
      <c r="CB10" s="288">
        <f xml:space="preserve"> Ops!CB$155</f>
        <v>0</v>
      </c>
      <c r="CC10" s="288">
        <f xml:space="preserve"> Ops!CC$155</f>
        <v>0</v>
      </c>
      <c r="CD10" s="288">
        <f xml:space="preserve"> Ops!CD$155</f>
        <v>0</v>
      </c>
      <c r="CE10" s="288">
        <f xml:space="preserve"> Ops!CE$155</f>
        <v>0</v>
      </c>
      <c r="CF10" s="288">
        <f xml:space="preserve"> Ops!CF$155</f>
        <v>0</v>
      </c>
      <c r="CG10" s="288">
        <f xml:space="preserve"> Ops!CG$155</f>
        <v>0</v>
      </c>
      <c r="CH10" s="288">
        <f xml:space="preserve"> Ops!CH$155</f>
        <v>0</v>
      </c>
      <c r="CI10" s="288">
        <f xml:space="preserve"> Ops!CI$155</f>
        <v>0</v>
      </c>
      <c r="CJ10" s="288">
        <f xml:space="preserve"> Ops!CJ$155</f>
        <v>0</v>
      </c>
      <c r="CK10" s="288">
        <f xml:space="preserve"> Ops!CK$155</f>
        <v>0</v>
      </c>
      <c r="CL10" s="288">
        <f xml:space="preserve"> Ops!CL$155</f>
        <v>0</v>
      </c>
      <c r="CM10" s="288">
        <f xml:space="preserve"> Ops!CM$155</f>
        <v>0</v>
      </c>
      <c r="CN10" s="288">
        <f xml:space="preserve"> Ops!CN$155</f>
        <v>0</v>
      </c>
      <c r="CO10" s="288">
        <f xml:space="preserve"> Ops!CO$155</f>
        <v>0</v>
      </c>
      <c r="CP10" s="288">
        <f xml:space="preserve"> Ops!CP$155</f>
        <v>0</v>
      </c>
      <c r="CQ10" s="288">
        <f xml:space="preserve"> Ops!CQ$155</f>
        <v>0</v>
      </c>
      <c r="CR10" s="288">
        <f xml:space="preserve"> Ops!CR$155</f>
        <v>0</v>
      </c>
      <c r="CS10" s="288">
        <f xml:space="preserve"> Ops!CS$155</f>
        <v>0</v>
      </c>
      <c r="CT10" s="288">
        <f xml:space="preserve"> Ops!CT$155</f>
        <v>0</v>
      </c>
      <c r="CU10" s="288">
        <f xml:space="preserve"> Ops!CU$155</f>
        <v>0</v>
      </c>
      <c r="CV10" s="288">
        <f xml:space="preserve"> Ops!CV$155</f>
        <v>0</v>
      </c>
    </row>
    <row r="11" spans="1:100" outlineLevel="1" x14ac:dyDescent="0.2">
      <c r="D11" s="209"/>
      <c r="E11" s="232" t="s">
        <v>51</v>
      </c>
      <c r="F11" s="232"/>
      <c r="G11" s="232" t="str">
        <f>SMU</f>
        <v>$ 000s</v>
      </c>
      <c r="H11" s="232">
        <f xml:space="preserve"> SUM(J11:CV11)</f>
        <v>581802.19084702886</v>
      </c>
      <c r="I11" s="232"/>
      <c r="J11" s="232">
        <f t="shared" ref="J11:AO11" si="0">SUM(J9:J10)</f>
        <v>0</v>
      </c>
      <c r="K11" s="232">
        <f t="shared" si="0"/>
        <v>0</v>
      </c>
      <c r="L11" s="232">
        <f t="shared" si="0"/>
        <v>0</v>
      </c>
      <c r="M11" s="232">
        <f t="shared" si="0"/>
        <v>0</v>
      </c>
      <c r="N11" s="232">
        <f t="shared" si="0"/>
        <v>0</v>
      </c>
      <c r="O11" s="232">
        <f t="shared" si="0"/>
        <v>15771.339089615476</v>
      </c>
      <c r="P11" s="232">
        <f t="shared" si="0"/>
        <v>15771.339089615476</v>
      </c>
      <c r="Q11" s="232">
        <f t="shared" si="0"/>
        <v>15652.316534779797</v>
      </c>
      <c r="R11" s="232">
        <f t="shared" si="0"/>
        <v>15652.316534779797</v>
      </c>
      <c r="S11" s="232">
        <f t="shared" si="0"/>
        <v>15531.765028944803</v>
      </c>
      <c r="T11" s="232">
        <f t="shared" si="0"/>
        <v>15531.765028944803</v>
      </c>
      <c r="U11" s="232">
        <f t="shared" si="0"/>
        <v>15409.652012095841</v>
      </c>
      <c r="V11" s="232">
        <f t="shared" si="0"/>
        <v>15409.652012095841</v>
      </c>
      <c r="W11" s="232">
        <f t="shared" si="0"/>
        <v>15285.944271917093</v>
      </c>
      <c r="X11" s="232">
        <f t="shared" si="0"/>
        <v>15285.944271917093</v>
      </c>
      <c r="Y11" s="232">
        <f t="shared" si="0"/>
        <v>15160.607930656912</v>
      </c>
      <c r="Z11" s="232">
        <f t="shared" si="0"/>
        <v>15160.607930656912</v>
      </c>
      <c r="AA11" s="232">
        <f t="shared" si="0"/>
        <v>15033.608431729044</v>
      </c>
      <c r="AB11" s="232">
        <f t="shared" si="0"/>
        <v>15033.608431729044</v>
      </c>
      <c r="AC11" s="232">
        <f t="shared" si="0"/>
        <v>14904.910526044379</v>
      </c>
      <c r="AD11" s="232">
        <f t="shared" si="0"/>
        <v>14904.910526044379</v>
      </c>
      <c r="AE11" s="232">
        <f t="shared" si="0"/>
        <v>14774.478258067882</v>
      </c>
      <c r="AF11" s="232">
        <f t="shared" si="0"/>
        <v>14774.478258067882</v>
      </c>
      <c r="AG11" s="232">
        <f t="shared" si="0"/>
        <v>14642.274951595038</v>
      </c>
      <c r="AH11" s="232">
        <f t="shared" si="0"/>
        <v>14642.274951595038</v>
      </c>
      <c r="AI11" s="232">
        <f t="shared" si="0"/>
        <v>14508.263195242364</v>
      </c>
      <c r="AJ11" s="232">
        <f t="shared" si="0"/>
        <v>14508.263195242364</v>
      </c>
      <c r="AK11" s="232">
        <f t="shared" si="0"/>
        <v>14372.404827646009</v>
      </c>
      <c r="AL11" s="232">
        <f t="shared" si="0"/>
        <v>14372.404827646009</v>
      </c>
      <c r="AM11" s="232">
        <f t="shared" si="0"/>
        <v>14234.660922362858</v>
      </c>
      <c r="AN11" s="232">
        <f t="shared" si="0"/>
        <v>14234.660922362858</v>
      </c>
      <c r="AO11" s="232">
        <f t="shared" si="0"/>
        <v>14094.991772467918</v>
      </c>
      <c r="AP11" s="232">
        <f t="shared" ref="AP11:BU11" si="1">SUM(AP9:AP10)</f>
        <v>14094.991772467918</v>
      </c>
      <c r="AQ11" s="232">
        <f t="shared" si="1"/>
        <v>13953.356874841951</v>
      </c>
      <c r="AR11" s="232">
        <f t="shared" si="1"/>
        <v>13953.356874841951</v>
      </c>
      <c r="AS11" s="232">
        <f t="shared" si="1"/>
        <v>13809.714914143211</v>
      </c>
      <c r="AT11" s="232">
        <f t="shared" si="1"/>
        <v>13809.714914143211</v>
      </c>
      <c r="AU11" s="232">
        <f t="shared" si="1"/>
        <v>13664.023746456885</v>
      </c>
      <c r="AV11" s="232">
        <f t="shared" si="1"/>
        <v>13664.023746456885</v>
      </c>
      <c r="AW11" s="232">
        <f t="shared" si="1"/>
        <v>13516.240382615677</v>
      </c>
      <c r="AX11" s="232">
        <f t="shared" si="1"/>
        <v>13516.240382615677</v>
      </c>
      <c r="AY11" s="232">
        <f t="shared" si="1"/>
        <v>13366.320971185025</v>
      </c>
      <c r="AZ11" s="232">
        <f t="shared" si="1"/>
        <v>13366.320971185025</v>
      </c>
      <c r="BA11" s="232">
        <f t="shared" si="1"/>
        <v>13214.220781106247</v>
      </c>
      <c r="BB11" s="232">
        <f t="shared" si="1"/>
        <v>13214.220781106247</v>
      </c>
      <c r="BC11" s="232">
        <f t="shared" si="1"/>
        <v>0</v>
      </c>
      <c r="BD11" s="232">
        <f t="shared" si="1"/>
        <v>0</v>
      </c>
      <c r="BE11" s="232">
        <f t="shared" si="1"/>
        <v>0</v>
      </c>
      <c r="BF11" s="232">
        <f t="shared" si="1"/>
        <v>0</v>
      </c>
      <c r="BG11" s="232">
        <f t="shared" si="1"/>
        <v>0</v>
      </c>
      <c r="BH11" s="232">
        <f t="shared" si="1"/>
        <v>0</v>
      </c>
      <c r="BI11" s="232">
        <f t="shared" si="1"/>
        <v>0</v>
      </c>
      <c r="BJ11" s="232">
        <f t="shared" si="1"/>
        <v>0</v>
      </c>
      <c r="BK11" s="232">
        <f t="shared" si="1"/>
        <v>0</v>
      </c>
      <c r="BL11" s="232">
        <f t="shared" si="1"/>
        <v>0</v>
      </c>
      <c r="BM11" s="232">
        <f t="shared" si="1"/>
        <v>0</v>
      </c>
      <c r="BN11" s="232">
        <f t="shared" si="1"/>
        <v>0</v>
      </c>
      <c r="BO11" s="232">
        <f t="shared" si="1"/>
        <v>0</v>
      </c>
      <c r="BP11" s="232">
        <f t="shared" si="1"/>
        <v>0</v>
      </c>
      <c r="BQ11" s="232">
        <f t="shared" si="1"/>
        <v>0</v>
      </c>
      <c r="BR11" s="232">
        <f t="shared" si="1"/>
        <v>0</v>
      </c>
      <c r="BS11" s="232">
        <f t="shared" si="1"/>
        <v>0</v>
      </c>
      <c r="BT11" s="232">
        <f t="shared" si="1"/>
        <v>0</v>
      </c>
      <c r="BU11" s="232">
        <f t="shared" si="1"/>
        <v>0</v>
      </c>
      <c r="BV11" s="232">
        <f t="shared" ref="BV11:CV11" si="2">SUM(BV9:BV10)</f>
        <v>0</v>
      </c>
      <c r="BW11" s="232">
        <f t="shared" si="2"/>
        <v>0</v>
      </c>
      <c r="BX11" s="232">
        <f t="shared" si="2"/>
        <v>0</v>
      </c>
      <c r="BY11" s="232">
        <f t="shared" si="2"/>
        <v>0</v>
      </c>
      <c r="BZ11" s="232">
        <f t="shared" si="2"/>
        <v>0</v>
      </c>
      <c r="CA11" s="232">
        <f t="shared" si="2"/>
        <v>0</v>
      </c>
      <c r="CB11" s="232">
        <f t="shared" si="2"/>
        <v>0</v>
      </c>
      <c r="CC11" s="232">
        <f t="shared" si="2"/>
        <v>0</v>
      </c>
      <c r="CD11" s="232">
        <f t="shared" si="2"/>
        <v>0</v>
      </c>
      <c r="CE11" s="232">
        <f t="shared" si="2"/>
        <v>0</v>
      </c>
      <c r="CF11" s="232">
        <f t="shared" si="2"/>
        <v>0</v>
      </c>
      <c r="CG11" s="232">
        <f t="shared" si="2"/>
        <v>0</v>
      </c>
      <c r="CH11" s="232">
        <f t="shared" si="2"/>
        <v>0</v>
      </c>
      <c r="CI11" s="232">
        <f t="shared" si="2"/>
        <v>0</v>
      </c>
      <c r="CJ11" s="232">
        <f t="shared" si="2"/>
        <v>0</v>
      </c>
      <c r="CK11" s="232">
        <f t="shared" si="2"/>
        <v>0</v>
      </c>
      <c r="CL11" s="232">
        <f t="shared" si="2"/>
        <v>0</v>
      </c>
      <c r="CM11" s="232">
        <f t="shared" si="2"/>
        <v>0</v>
      </c>
      <c r="CN11" s="232">
        <f t="shared" si="2"/>
        <v>0</v>
      </c>
      <c r="CO11" s="232">
        <f t="shared" si="2"/>
        <v>0</v>
      </c>
      <c r="CP11" s="232">
        <f t="shared" si="2"/>
        <v>0</v>
      </c>
      <c r="CQ11" s="232">
        <f t="shared" si="2"/>
        <v>0</v>
      </c>
      <c r="CR11" s="232">
        <f t="shared" si="2"/>
        <v>0</v>
      </c>
      <c r="CS11" s="232">
        <f t="shared" si="2"/>
        <v>0</v>
      </c>
      <c r="CT11" s="232">
        <f t="shared" si="2"/>
        <v>0</v>
      </c>
      <c r="CU11" s="232">
        <f t="shared" si="2"/>
        <v>0</v>
      </c>
      <c r="CV11" s="232">
        <f t="shared" si="2"/>
        <v>0</v>
      </c>
    </row>
    <row r="12" spans="1:100" outlineLevel="1" x14ac:dyDescent="0.2">
      <c r="D12" s="209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</row>
    <row r="13" spans="1:100" outlineLevel="1" x14ac:dyDescent="0.2">
      <c r="D13" s="209"/>
      <c r="E13" s="288" t="str">
        <f xml:space="preserve"> Acct!E$18</f>
        <v>Fixed asset depreciation</v>
      </c>
      <c r="F13" s="288">
        <f xml:space="preserve"> Acct!F$18</f>
        <v>0</v>
      </c>
      <c r="G13" s="288" t="str">
        <f xml:space="preserve"> Acct!G$18</f>
        <v>$ 000s</v>
      </c>
      <c r="H13" s="288">
        <f xml:space="preserve"> Acct!H$18</f>
        <v>-295392.30772000016</v>
      </c>
      <c r="I13" s="288">
        <f xml:space="preserve"> Acct!I$18</f>
        <v>0</v>
      </c>
      <c r="J13" s="288">
        <f xml:space="preserve"> Acct!J$18</f>
        <v>0</v>
      </c>
      <c r="K13" s="288">
        <f xml:space="preserve"> Acct!K$18</f>
        <v>0</v>
      </c>
      <c r="L13" s="288">
        <f xml:space="preserve"> Acct!L$18</f>
        <v>0</v>
      </c>
      <c r="M13" s="288">
        <f xml:space="preserve"> Acct!M$18</f>
        <v>0</v>
      </c>
      <c r="N13" s="288">
        <f xml:space="preserve"> Acct!N$18</f>
        <v>0</v>
      </c>
      <c r="O13" s="288">
        <f xml:space="preserve"> Acct!O$18</f>
        <v>-7384.807692999997</v>
      </c>
      <c r="P13" s="288">
        <f xml:space="preserve"> Acct!P$18</f>
        <v>-7384.807692999997</v>
      </c>
      <c r="Q13" s="288">
        <f xml:space="preserve"> Acct!Q$18</f>
        <v>-7384.807692999997</v>
      </c>
      <c r="R13" s="288">
        <f xml:space="preserve"> Acct!R$18</f>
        <v>-7384.807692999997</v>
      </c>
      <c r="S13" s="288">
        <f xml:space="preserve"> Acct!S$18</f>
        <v>-7384.807692999997</v>
      </c>
      <c r="T13" s="288">
        <f xml:space="preserve"> Acct!T$18</f>
        <v>-7384.807692999997</v>
      </c>
      <c r="U13" s="288">
        <f xml:space="preserve"> Acct!U$18</f>
        <v>-7384.807692999997</v>
      </c>
      <c r="V13" s="288">
        <f xml:space="preserve"> Acct!V$18</f>
        <v>-7384.807692999997</v>
      </c>
      <c r="W13" s="288">
        <f xml:space="preserve"> Acct!W$18</f>
        <v>-7384.807692999997</v>
      </c>
      <c r="X13" s="288">
        <f xml:space="preserve"> Acct!X$18</f>
        <v>-7384.807692999997</v>
      </c>
      <c r="Y13" s="288">
        <f xml:space="preserve"> Acct!Y$18</f>
        <v>-7384.807692999997</v>
      </c>
      <c r="Z13" s="288">
        <f xml:space="preserve"> Acct!Z$18</f>
        <v>-7384.807692999997</v>
      </c>
      <c r="AA13" s="288">
        <f xml:space="preserve"> Acct!AA$18</f>
        <v>-7384.807692999997</v>
      </c>
      <c r="AB13" s="288">
        <f xml:space="preserve"> Acct!AB$18</f>
        <v>-7384.807692999997</v>
      </c>
      <c r="AC13" s="288">
        <f xml:space="preserve"> Acct!AC$18</f>
        <v>-7384.807692999997</v>
      </c>
      <c r="AD13" s="288">
        <f xml:space="preserve"> Acct!AD$18</f>
        <v>-7384.807692999997</v>
      </c>
      <c r="AE13" s="288">
        <f xml:space="preserve"> Acct!AE$18</f>
        <v>-7384.807692999997</v>
      </c>
      <c r="AF13" s="288">
        <f xml:space="preserve"> Acct!AF$18</f>
        <v>-7384.807692999997</v>
      </c>
      <c r="AG13" s="288">
        <f xml:space="preserve"> Acct!AG$18</f>
        <v>-7384.807692999997</v>
      </c>
      <c r="AH13" s="288">
        <f xml:space="preserve"> Acct!AH$18</f>
        <v>-7384.807692999997</v>
      </c>
      <c r="AI13" s="288">
        <f xml:space="preserve"> Acct!AI$18</f>
        <v>-7384.807692999997</v>
      </c>
      <c r="AJ13" s="288">
        <f xml:space="preserve"> Acct!AJ$18</f>
        <v>-7384.807692999997</v>
      </c>
      <c r="AK13" s="288">
        <f xml:space="preserve"> Acct!AK$18</f>
        <v>-7384.807692999997</v>
      </c>
      <c r="AL13" s="288">
        <f xml:space="preserve"> Acct!AL$18</f>
        <v>-7384.807692999997</v>
      </c>
      <c r="AM13" s="288">
        <f xml:space="preserve"> Acct!AM$18</f>
        <v>-7384.807692999997</v>
      </c>
      <c r="AN13" s="288">
        <f xml:space="preserve"> Acct!AN$18</f>
        <v>-7384.807692999997</v>
      </c>
      <c r="AO13" s="288">
        <f xml:space="preserve"> Acct!AO$18</f>
        <v>-7384.807692999997</v>
      </c>
      <c r="AP13" s="288">
        <f xml:space="preserve"> Acct!AP$18</f>
        <v>-7384.807692999997</v>
      </c>
      <c r="AQ13" s="288">
        <f xml:space="preserve"> Acct!AQ$18</f>
        <v>-7384.807692999997</v>
      </c>
      <c r="AR13" s="288">
        <f xml:space="preserve"> Acct!AR$18</f>
        <v>-7384.807692999997</v>
      </c>
      <c r="AS13" s="288">
        <f xml:space="preserve"> Acct!AS$18</f>
        <v>-7384.807692999997</v>
      </c>
      <c r="AT13" s="288">
        <f xml:space="preserve"> Acct!AT$18</f>
        <v>-7384.807692999997</v>
      </c>
      <c r="AU13" s="288">
        <f xml:space="preserve"> Acct!AU$18</f>
        <v>-7384.807692999997</v>
      </c>
      <c r="AV13" s="288">
        <f xml:space="preserve"> Acct!AV$18</f>
        <v>-7384.807692999997</v>
      </c>
      <c r="AW13" s="288">
        <f xml:space="preserve"> Acct!AW$18</f>
        <v>-7384.807692999997</v>
      </c>
      <c r="AX13" s="288">
        <f xml:space="preserve"> Acct!AX$18</f>
        <v>-7384.807692999997</v>
      </c>
      <c r="AY13" s="288">
        <f xml:space="preserve"> Acct!AY$18</f>
        <v>-7384.807692999997</v>
      </c>
      <c r="AZ13" s="288">
        <f xml:space="preserve"> Acct!AZ$18</f>
        <v>-7384.807692999997</v>
      </c>
      <c r="BA13" s="288">
        <f xml:space="preserve"> Acct!BA$18</f>
        <v>-7384.807692999997</v>
      </c>
      <c r="BB13" s="288">
        <f xml:space="preserve"> Acct!BB$18</f>
        <v>-7384.807692999997</v>
      </c>
      <c r="BC13" s="288">
        <f xml:space="preserve"> Acct!BC$18</f>
        <v>0</v>
      </c>
      <c r="BD13" s="288">
        <f xml:space="preserve"> Acct!BD$18</f>
        <v>0</v>
      </c>
      <c r="BE13" s="288">
        <f xml:space="preserve"> Acct!BE$18</f>
        <v>0</v>
      </c>
      <c r="BF13" s="288">
        <f xml:space="preserve"> Acct!BF$18</f>
        <v>0</v>
      </c>
      <c r="BG13" s="288">
        <f xml:space="preserve"> Acct!BG$18</f>
        <v>0</v>
      </c>
      <c r="BH13" s="288">
        <f xml:space="preserve"> Acct!BH$18</f>
        <v>0</v>
      </c>
      <c r="BI13" s="288">
        <f xml:space="preserve"> Acct!BI$18</f>
        <v>0</v>
      </c>
      <c r="BJ13" s="288">
        <f xml:space="preserve"> Acct!BJ$18</f>
        <v>0</v>
      </c>
      <c r="BK13" s="288">
        <f xml:space="preserve"> Acct!BK$18</f>
        <v>0</v>
      </c>
      <c r="BL13" s="288">
        <f xml:space="preserve"> Acct!BL$18</f>
        <v>0</v>
      </c>
      <c r="BM13" s="288">
        <f xml:space="preserve"> Acct!BM$18</f>
        <v>0</v>
      </c>
      <c r="BN13" s="288">
        <f xml:space="preserve"> Acct!BN$18</f>
        <v>0</v>
      </c>
      <c r="BO13" s="288">
        <f xml:space="preserve"> Acct!BO$18</f>
        <v>0</v>
      </c>
      <c r="BP13" s="288">
        <f xml:space="preserve"> Acct!BP$18</f>
        <v>0</v>
      </c>
      <c r="BQ13" s="288">
        <f xml:space="preserve"> Acct!BQ$18</f>
        <v>0</v>
      </c>
      <c r="BR13" s="288">
        <f xml:space="preserve"> Acct!BR$18</f>
        <v>0</v>
      </c>
      <c r="BS13" s="288">
        <f xml:space="preserve"> Acct!BS$18</f>
        <v>0</v>
      </c>
      <c r="BT13" s="288">
        <f xml:space="preserve"> Acct!BT$18</f>
        <v>0</v>
      </c>
      <c r="BU13" s="288">
        <f xml:space="preserve"> Acct!BU$18</f>
        <v>0</v>
      </c>
      <c r="BV13" s="288">
        <f xml:space="preserve"> Acct!BV$18</f>
        <v>0</v>
      </c>
      <c r="BW13" s="288">
        <f xml:space="preserve"> Acct!BW$18</f>
        <v>0</v>
      </c>
      <c r="BX13" s="288">
        <f xml:space="preserve"> Acct!BX$18</f>
        <v>0</v>
      </c>
      <c r="BY13" s="288">
        <f xml:space="preserve"> Acct!BY$18</f>
        <v>0</v>
      </c>
      <c r="BZ13" s="288">
        <f xml:space="preserve"> Acct!BZ$18</f>
        <v>0</v>
      </c>
      <c r="CA13" s="288">
        <f xml:space="preserve"> Acct!CA$18</f>
        <v>0</v>
      </c>
      <c r="CB13" s="288">
        <f xml:space="preserve"> Acct!CB$18</f>
        <v>0</v>
      </c>
      <c r="CC13" s="288">
        <f xml:space="preserve"> Acct!CC$18</f>
        <v>0</v>
      </c>
      <c r="CD13" s="288">
        <f xml:space="preserve"> Acct!CD$18</f>
        <v>0</v>
      </c>
      <c r="CE13" s="288">
        <f xml:space="preserve"> Acct!CE$18</f>
        <v>0</v>
      </c>
      <c r="CF13" s="288">
        <f xml:space="preserve"> Acct!CF$18</f>
        <v>0</v>
      </c>
      <c r="CG13" s="288">
        <f xml:space="preserve"> Acct!CG$18</f>
        <v>0</v>
      </c>
      <c r="CH13" s="288">
        <f xml:space="preserve"> Acct!CH$18</f>
        <v>0</v>
      </c>
      <c r="CI13" s="288">
        <f xml:space="preserve"> Acct!CI$18</f>
        <v>0</v>
      </c>
      <c r="CJ13" s="288">
        <f xml:space="preserve"> Acct!CJ$18</f>
        <v>0</v>
      </c>
      <c r="CK13" s="288">
        <f xml:space="preserve"> Acct!CK$18</f>
        <v>0</v>
      </c>
      <c r="CL13" s="288">
        <f xml:space="preserve"> Acct!CL$18</f>
        <v>0</v>
      </c>
      <c r="CM13" s="288">
        <f xml:space="preserve"> Acct!CM$18</f>
        <v>0</v>
      </c>
      <c r="CN13" s="288">
        <f xml:space="preserve"> Acct!CN$18</f>
        <v>0</v>
      </c>
      <c r="CO13" s="288">
        <f xml:space="preserve"> Acct!CO$18</f>
        <v>0</v>
      </c>
      <c r="CP13" s="288">
        <f xml:space="preserve"> Acct!CP$18</f>
        <v>0</v>
      </c>
      <c r="CQ13" s="288">
        <f xml:space="preserve"> Acct!CQ$18</f>
        <v>0</v>
      </c>
      <c r="CR13" s="288">
        <f xml:space="preserve"> Acct!CR$18</f>
        <v>0</v>
      </c>
      <c r="CS13" s="288">
        <f xml:space="preserve"> Acct!CS$18</f>
        <v>0</v>
      </c>
      <c r="CT13" s="288">
        <f xml:space="preserve"> Acct!CT$18</f>
        <v>0</v>
      </c>
      <c r="CU13" s="288">
        <f xml:space="preserve"> Acct!CU$18</f>
        <v>0</v>
      </c>
      <c r="CV13" s="288">
        <f xml:space="preserve"> Acct!CV$18</f>
        <v>0</v>
      </c>
    </row>
    <row r="14" spans="1:100" outlineLevel="1" x14ac:dyDescent="0.2">
      <c r="D14" s="209"/>
      <c r="E14" s="235" t="str">
        <f xml:space="preserve"> Acct!E$38</f>
        <v>Amortisation of capitalised finance costs</v>
      </c>
      <c r="F14" s="235">
        <f xml:space="preserve"> Acct!F$38</f>
        <v>0</v>
      </c>
      <c r="G14" s="235" t="str">
        <f xml:space="preserve"> Acct!G$38</f>
        <v>$ 000s</v>
      </c>
      <c r="H14" s="235">
        <f xml:space="preserve"> Acct!H$38</f>
        <v>-24335.550022039683</v>
      </c>
      <c r="I14" s="235">
        <f xml:space="preserve"> Acct!I$38</f>
        <v>0</v>
      </c>
      <c r="J14" s="235">
        <f xml:space="preserve"> Acct!J$38</f>
        <v>0</v>
      </c>
      <c r="K14" s="235">
        <f xml:space="preserve"> Acct!K$38</f>
        <v>0</v>
      </c>
      <c r="L14" s="235">
        <f xml:space="preserve"> Acct!L$38</f>
        <v>0</v>
      </c>
      <c r="M14" s="235">
        <f xml:space="preserve"> Acct!M$38</f>
        <v>0</v>
      </c>
      <c r="N14" s="235">
        <f xml:space="preserve"> Acct!N$38</f>
        <v>0</v>
      </c>
      <c r="O14" s="235">
        <f xml:space="preserve"> Acct!O$38</f>
        <v>-715.75147123646184</v>
      </c>
      <c r="P14" s="235">
        <f xml:space="preserve"> Acct!P$38</f>
        <v>-715.75147123646184</v>
      </c>
      <c r="Q14" s="235">
        <f xml:space="preserve"> Acct!Q$38</f>
        <v>-715.75147123646184</v>
      </c>
      <c r="R14" s="235">
        <f xml:space="preserve"> Acct!R$38</f>
        <v>-715.75147123646184</v>
      </c>
      <c r="S14" s="235">
        <f xml:space="preserve"> Acct!S$38</f>
        <v>-715.75147123646184</v>
      </c>
      <c r="T14" s="235">
        <f xml:space="preserve"> Acct!T$38</f>
        <v>-715.75147123646184</v>
      </c>
      <c r="U14" s="235">
        <f xml:space="preserve"> Acct!U$38</f>
        <v>-715.75147123646184</v>
      </c>
      <c r="V14" s="235">
        <f xml:space="preserve"> Acct!V$38</f>
        <v>-715.75147123646184</v>
      </c>
      <c r="W14" s="235">
        <f xml:space="preserve"> Acct!W$38</f>
        <v>-715.75147123646184</v>
      </c>
      <c r="X14" s="235">
        <f xml:space="preserve"> Acct!X$38</f>
        <v>-715.75147123646184</v>
      </c>
      <c r="Y14" s="235">
        <f xml:space="preserve"> Acct!Y$38</f>
        <v>-715.75147123646184</v>
      </c>
      <c r="Z14" s="235">
        <f xml:space="preserve"> Acct!Z$38</f>
        <v>-715.75147123646184</v>
      </c>
      <c r="AA14" s="235">
        <f xml:space="preserve"> Acct!AA$38</f>
        <v>-715.75147123646184</v>
      </c>
      <c r="AB14" s="235">
        <f xml:space="preserve"> Acct!AB$38</f>
        <v>-715.75147123646184</v>
      </c>
      <c r="AC14" s="235">
        <f xml:space="preserve"> Acct!AC$38</f>
        <v>-715.75147123646184</v>
      </c>
      <c r="AD14" s="235">
        <f xml:space="preserve"> Acct!AD$38</f>
        <v>-715.75147123646184</v>
      </c>
      <c r="AE14" s="235">
        <f xml:space="preserve"> Acct!AE$38</f>
        <v>-715.75147123646184</v>
      </c>
      <c r="AF14" s="235">
        <f xml:space="preserve"> Acct!AF$38</f>
        <v>-715.75147123646184</v>
      </c>
      <c r="AG14" s="235">
        <f xml:space="preserve"> Acct!AG$38</f>
        <v>-715.75147123646184</v>
      </c>
      <c r="AH14" s="235">
        <f xml:space="preserve"> Acct!AH$38</f>
        <v>-715.75147123646184</v>
      </c>
      <c r="AI14" s="235">
        <f xml:space="preserve"> Acct!AI$38</f>
        <v>-715.75147123646184</v>
      </c>
      <c r="AJ14" s="235">
        <f xml:space="preserve"> Acct!AJ$38</f>
        <v>-715.75147123646184</v>
      </c>
      <c r="AK14" s="235">
        <f xml:space="preserve"> Acct!AK$38</f>
        <v>-715.75147123646184</v>
      </c>
      <c r="AL14" s="235">
        <f xml:space="preserve"> Acct!AL$38</f>
        <v>-715.75147123646184</v>
      </c>
      <c r="AM14" s="235">
        <f xml:space="preserve"> Acct!AM$38</f>
        <v>-715.75147123646184</v>
      </c>
      <c r="AN14" s="235">
        <f xml:space="preserve"> Acct!AN$38</f>
        <v>-715.75147123646184</v>
      </c>
      <c r="AO14" s="235">
        <f xml:space="preserve"> Acct!AO$38</f>
        <v>-715.75147123646184</v>
      </c>
      <c r="AP14" s="235">
        <f xml:space="preserve"> Acct!AP$38</f>
        <v>-715.75147123646184</v>
      </c>
      <c r="AQ14" s="235">
        <f xml:space="preserve"> Acct!AQ$38</f>
        <v>-715.75147123646184</v>
      </c>
      <c r="AR14" s="235">
        <f xml:space="preserve"> Acct!AR$38</f>
        <v>-715.75147123646184</v>
      </c>
      <c r="AS14" s="235">
        <f xml:space="preserve"> Acct!AS$38</f>
        <v>-715.75147123646184</v>
      </c>
      <c r="AT14" s="235">
        <f xml:space="preserve"> Acct!AT$38</f>
        <v>-715.75147123646184</v>
      </c>
      <c r="AU14" s="235">
        <f xml:space="preserve"> Acct!AU$38</f>
        <v>-715.75147123646184</v>
      </c>
      <c r="AV14" s="235">
        <f xml:space="preserve"> Acct!AV$38</f>
        <v>-715.75147123646184</v>
      </c>
      <c r="AW14" s="235">
        <f xml:space="preserve"> Acct!AW$38</f>
        <v>0</v>
      </c>
      <c r="AX14" s="235">
        <f xml:space="preserve"> Acct!AX$38</f>
        <v>0</v>
      </c>
      <c r="AY14" s="235">
        <f xml:space="preserve"> Acct!AY$38</f>
        <v>0</v>
      </c>
      <c r="AZ14" s="235">
        <f xml:space="preserve"> Acct!AZ$38</f>
        <v>0</v>
      </c>
      <c r="BA14" s="235">
        <f xml:space="preserve"> Acct!BA$38</f>
        <v>0</v>
      </c>
      <c r="BB14" s="235">
        <f xml:space="preserve"> Acct!BB$38</f>
        <v>0</v>
      </c>
      <c r="BC14" s="235">
        <f xml:space="preserve"> Acct!BC$38</f>
        <v>0</v>
      </c>
      <c r="BD14" s="235">
        <f xml:space="preserve"> Acct!BD$38</f>
        <v>0</v>
      </c>
      <c r="BE14" s="235">
        <f xml:space="preserve"> Acct!BE$38</f>
        <v>0</v>
      </c>
      <c r="BF14" s="235">
        <f xml:space="preserve"> Acct!BF$38</f>
        <v>0</v>
      </c>
      <c r="BG14" s="235">
        <f xml:space="preserve"> Acct!BG$38</f>
        <v>0</v>
      </c>
      <c r="BH14" s="235">
        <f xml:space="preserve"> Acct!BH$38</f>
        <v>0</v>
      </c>
      <c r="BI14" s="235">
        <f xml:space="preserve"> Acct!BI$38</f>
        <v>0</v>
      </c>
      <c r="BJ14" s="235">
        <f xml:space="preserve"> Acct!BJ$38</f>
        <v>0</v>
      </c>
      <c r="BK14" s="235">
        <f xml:space="preserve"> Acct!BK$38</f>
        <v>0</v>
      </c>
      <c r="BL14" s="235">
        <f xml:space="preserve"> Acct!BL$38</f>
        <v>0</v>
      </c>
      <c r="BM14" s="235">
        <f xml:space="preserve"> Acct!BM$38</f>
        <v>0</v>
      </c>
      <c r="BN14" s="235">
        <f xml:space="preserve"> Acct!BN$38</f>
        <v>0</v>
      </c>
      <c r="BO14" s="235">
        <f xml:space="preserve"> Acct!BO$38</f>
        <v>0</v>
      </c>
      <c r="BP14" s="235">
        <f xml:space="preserve"> Acct!BP$38</f>
        <v>0</v>
      </c>
      <c r="BQ14" s="235">
        <f xml:space="preserve"> Acct!BQ$38</f>
        <v>0</v>
      </c>
      <c r="BR14" s="235">
        <f xml:space="preserve"> Acct!BR$38</f>
        <v>0</v>
      </c>
      <c r="BS14" s="235">
        <f xml:space="preserve"> Acct!BS$38</f>
        <v>0</v>
      </c>
      <c r="BT14" s="235">
        <f xml:space="preserve"> Acct!BT$38</f>
        <v>0</v>
      </c>
      <c r="BU14" s="235">
        <f xml:space="preserve"> Acct!BU$38</f>
        <v>0</v>
      </c>
      <c r="BV14" s="235">
        <f xml:space="preserve"> Acct!BV$38</f>
        <v>0</v>
      </c>
      <c r="BW14" s="235">
        <f xml:space="preserve"> Acct!BW$38</f>
        <v>0</v>
      </c>
      <c r="BX14" s="235">
        <f xml:space="preserve"> Acct!BX$38</f>
        <v>0</v>
      </c>
      <c r="BY14" s="235">
        <f xml:space="preserve"> Acct!BY$38</f>
        <v>0</v>
      </c>
      <c r="BZ14" s="235">
        <f xml:space="preserve"> Acct!BZ$38</f>
        <v>0</v>
      </c>
      <c r="CA14" s="235">
        <f xml:space="preserve"> Acct!CA$38</f>
        <v>0</v>
      </c>
      <c r="CB14" s="235">
        <f xml:space="preserve"> Acct!CB$38</f>
        <v>0</v>
      </c>
      <c r="CC14" s="235">
        <f xml:space="preserve"> Acct!CC$38</f>
        <v>0</v>
      </c>
      <c r="CD14" s="235">
        <f xml:space="preserve"> Acct!CD$38</f>
        <v>0</v>
      </c>
      <c r="CE14" s="235">
        <f xml:space="preserve"> Acct!CE$38</f>
        <v>0</v>
      </c>
      <c r="CF14" s="235">
        <f xml:space="preserve"> Acct!CF$38</f>
        <v>0</v>
      </c>
      <c r="CG14" s="235">
        <f xml:space="preserve"> Acct!CG$38</f>
        <v>0</v>
      </c>
      <c r="CH14" s="235">
        <f xml:space="preserve"> Acct!CH$38</f>
        <v>0</v>
      </c>
      <c r="CI14" s="235">
        <f xml:space="preserve"> Acct!CI$38</f>
        <v>0</v>
      </c>
      <c r="CJ14" s="235">
        <f xml:space="preserve"> Acct!CJ$38</f>
        <v>0</v>
      </c>
      <c r="CK14" s="235">
        <f xml:space="preserve"> Acct!CK$38</f>
        <v>0</v>
      </c>
      <c r="CL14" s="235">
        <f xml:space="preserve"> Acct!CL$38</f>
        <v>0</v>
      </c>
      <c r="CM14" s="235">
        <f xml:space="preserve"> Acct!CM$38</f>
        <v>0</v>
      </c>
      <c r="CN14" s="235">
        <f xml:space="preserve"> Acct!CN$38</f>
        <v>0</v>
      </c>
      <c r="CO14" s="235">
        <f xml:space="preserve"> Acct!CO$38</f>
        <v>0</v>
      </c>
      <c r="CP14" s="235">
        <f xml:space="preserve"> Acct!CP$38</f>
        <v>0</v>
      </c>
      <c r="CQ14" s="235">
        <f xml:space="preserve"> Acct!CQ$38</f>
        <v>0</v>
      </c>
      <c r="CR14" s="235">
        <f xml:space="preserve"> Acct!CR$38</f>
        <v>0</v>
      </c>
      <c r="CS14" s="235">
        <f xml:space="preserve"> Acct!CS$38</f>
        <v>0</v>
      </c>
      <c r="CT14" s="235">
        <f xml:space="preserve"> Acct!CT$38</f>
        <v>0</v>
      </c>
      <c r="CU14" s="235">
        <f xml:space="preserve"> Acct!CU$38</f>
        <v>0</v>
      </c>
      <c r="CV14" s="235">
        <f xml:space="preserve"> Acct!CV$38</f>
        <v>0</v>
      </c>
    </row>
    <row r="15" spans="1:100" outlineLevel="1" x14ac:dyDescent="0.2">
      <c r="D15" s="209"/>
      <c r="E15" s="232" t="s">
        <v>52</v>
      </c>
      <c r="F15" s="232"/>
      <c r="G15" s="232" t="str">
        <f xml:space="preserve"> SMU</f>
        <v>$ 000s</v>
      </c>
      <c r="H15" s="232">
        <f xml:space="preserve"> SUM(J15:CV15)</f>
        <v>262074.33310498932</v>
      </c>
      <c r="I15" s="232"/>
      <c r="J15" s="232">
        <f t="shared" ref="J15:AO15" si="3" xml:space="preserve"> J11 + SUM(J13:J14)</f>
        <v>0</v>
      </c>
      <c r="K15" s="232">
        <f t="shared" si="3"/>
        <v>0</v>
      </c>
      <c r="L15" s="232">
        <f t="shared" si="3"/>
        <v>0</v>
      </c>
      <c r="M15" s="232">
        <f t="shared" si="3"/>
        <v>0</v>
      </c>
      <c r="N15" s="232">
        <f t="shared" si="3"/>
        <v>0</v>
      </c>
      <c r="O15" s="232">
        <f t="shared" si="3"/>
        <v>7670.7799253790172</v>
      </c>
      <c r="P15" s="232">
        <f t="shared" si="3"/>
        <v>7670.7799253790172</v>
      </c>
      <c r="Q15" s="232">
        <f t="shared" si="3"/>
        <v>7551.7573705433379</v>
      </c>
      <c r="R15" s="232">
        <f t="shared" si="3"/>
        <v>7551.7573705433379</v>
      </c>
      <c r="S15" s="232">
        <f t="shared" si="3"/>
        <v>7431.2058647083441</v>
      </c>
      <c r="T15" s="232">
        <f t="shared" si="3"/>
        <v>7431.2058647083441</v>
      </c>
      <c r="U15" s="232">
        <f t="shared" si="3"/>
        <v>7309.0928478593823</v>
      </c>
      <c r="V15" s="232">
        <f t="shared" si="3"/>
        <v>7309.0928478593823</v>
      </c>
      <c r="W15" s="232">
        <f t="shared" si="3"/>
        <v>7185.3851076806341</v>
      </c>
      <c r="X15" s="232">
        <f t="shared" si="3"/>
        <v>7185.3851076806341</v>
      </c>
      <c r="Y15" s="232">
        <f t="shared" si="3"/>
        <v>7060.0487664204529</v>
      </c>
      <c r="Z15" s="232">
        <f t="shared" si="3"/>
        <v>7060.0487664204529</v>
      </c>
      <c r="AA15" s="232">
        <f t="shared" si="3"/>
        <v>6933.0492674925854</v>
      </c>
      <c r="AB15" s="232">
        <f t="shared" si="3"/>
        <v>6933.0492674925854</v>
      </c>
      <c r="AC15" s="232">
        <f t="shared" si="3"/>
        <v>6804.3513618079205</v>
      </c>
      <c r="AD15" s="232">
        <f t="shared" si="3"/>
        <v>6804.3513618079205</v>
      </c>
      <c r="AE15" s="232">
        <f t="shared" si="3"/>
        <v>6673.9190938314232</v>
      </c>
      <c r="AF15" s="232">
        <f t="shared" si="3"/>
        <v>6673.9190938314232</v>
      </c>
      <c r="AG15" s="232">
        <f t="shared" si="3"/>
        <v>6541.7157873585793</v>
      </c>
      <c r="AH15" s="232">
        <f t="shared" si="3"/>
        <v>6541.7157873585793</v>
      </c>
      <c r="AI15" s="232">
        <f t="shared" si="3"/>
        <v>6407.7040310059047</v>
      </c>
      <c r="AJ15" s="232">
        <f t="shared" si="3"/>
        <v>6407.7040310059047</v>
      </c>
      <c r="AK15" s="232">
        <f t="shared" si="3"/>
        <v>6271.8456634095501</v>
      </c>
      <c r="AL15" s="232">
        <f t="shared" si="3"/>
        <v>6271.8456634095501</v>
      </c>
      <c r="AM15" s="232">
        <f t="shared" si="3"/>
        <v>6134.1017581263995</v>
      </c>
      <c r="AN15" s="232">
        <f t="shared" si="3"/>
        <v>6134.1017581263995</v>
      </c>
      <c r="AO15" s="232">
        <f t="shared" si="3"/>
        <v>5994.4326082314592</v>
      </c>
      <c r="AP15" s="232">
        <f t="shared" ref="AP15:BU15" si="4" xml:space="preserve"> AP11 + SUM(AP13:AP14)</f>
        <v>5994.4326082314592</v>
      </c>
      <c r="AQ15" s="232">
        <f t="shared" si="4"/>
        <v>5852.7977106054923</v>
      </c>
      <c r="AR15" s="232">
        <f t="shared" si="4"/>
        <v>5852.7977106054923</v>
      </c>
      <c r="AS15" s="232">
        <f t="shared" si="4"/>
        <v>5709.1557499067521</v>
      </c>
      <c r="AT15" s="232">
        <f t="shared" si="4"/>
        <v>5709.1557499067521</v>
      </c>
      <c r="AU15" s="232">
        <f t="shared" si="4"/>
        <v>5563.4645822204266</v>
      </c>
      <c r="AV15" s="232">
        <f t="shared" si="4"/>
        <v>5563.4645822204266</v>
      </c>
      <c r="AW15" s="232">
        <f t="shared" si="4"/>
        <v>6131.4326896156799</v>
      </c>
      <c r="AX15" s="232">
        <f t="shared" si="4"/>
        <v>6131.4326896156799</v>
      </c>
      <c r="AY15" s="232">
        <f t="shared" si="4"/>
        <v>5981.513278185028</v>
      </c>
      <c r="AZ15" s="232">
        <f t="shared" si="4"/>
        <v>5981.513278185028</v>
      </c>
      <c r="BA15" s="232">
        <f t="shared" si="4"/>
        <v>5829.4130881062501</v>
      </c>
      <c r="BB15" s="232">
        <f t="shared" si="4"/>
        <v>5829.4130881062501</v>
      </c>
      <c r="BC15" s="232">
        <f t="shared" si="4"/>
        <v>0</v>
      </c>
      <c r="BD15" s="232">
        <f t="shared" si="4"/>
        <v>0</v>
      </c>
      <c r="BE15" s="232">
        <f t="shared" si="4"/>
        <v>0</v>
      </c>
      <c r="BF15" s="232">
        <f t="shared" si="4"/>
        <v>0</v>
      </c>
      <c r="BG15" s="232">
        <f t="shared" si="4"/>
        <v>0</v>
      </c>
      <c r="BH15" s="232">
        <f t="shared" si="4"/>
        <v>0</v>
      </c>
      <c r="BI15" s="232">
        <f t="shared" si="4"/>
        <v>0</v>
      </c>
      <c r="BJ15" s="232">
        <f t="shared" si="4"/>
        <v>0</v>
      </c>
      <c r="BK15" s="232">
        <f t="shared" si="4"/>
        <v>0</v>
      </c>
      <c r="BL15" s="232">
        <f t="shared" si="4"/>
        <v>0</v>
      </c>
      <c r="BM15" s="232">
        <f t="shared" si="4"/>
        <v>0</v>
      </c>
      <c r="BN15" s="232">
        <f t="shared" si="4"/>
        <v>0</v>
      </c>
      <c r="BO15" s="232">
        <f t="shared" si="4"/>
        <v>0</v>
      </c>
      <c r="BP15" s="232">
        <f t="shared" si="4"/>
        <v>0</v>
      </c>
      <c r="BQ15" s="232">
        <f t="shared" si="4"/>
        <v>0</v>
      </c>
      <c r="BR15" s="232">
        <f t="shared" si="4"/>
        <v>0</v>
      </c>
      <c r="BS15" s="232">
        <f t="shared" si="4"/>
        <v>0</v>
      </c>
      <c r="BT15" s="232">
        <f t="shared" si="4"/>
        <v>0</v>
      </c>
      <c r="BU15" s="232">
        <f t="shared" si="4"/>
        <v>0</v>
      </c>
      <c r="BV15" s="232">
        <f t="shared" ref="BV15:CV15" si="5" xml:space="preserve"> BV11 + SUM(BV13:BV14)</f>
        <v>0</v>
      </c>
      <c r="BW15" s="232">
        <f t="shared" si="5"/>
        <v>0</v>
      </c>
      <c r="BX15" s="232">
        <f t="shared" si="5"/>
        <v>0</v>
      </c>
      <c r="BY15" s="232">
        <f t="shared" si="5"/>
        <v>0</v>
      </c>
      <c r="BZ15" s="232">
        <f t="shared" si="5"/>
        <v>0</v>
      </c>
      <c r="CA15" s="232">
        <f t="shared" si="5"/>
        <v>0</v>
      </c>
      <c r="CB15" s="232">
        <f t="shared" si="5"/>
        <v>0</v>
      </c>
      <c r="CC15" s="232">
        <f t="shared" si="5"/>
        <v>0</v>
      </c>
      <c r="CD15" s="232">
        <f t="shared" si="5"/>
        <v>0</v>
      </c>
      <c r="CE15" s="232">
        <f t="shared" si="5"/>
        <v>0</v>
      </c>
      <c r="CF15" s="232">
        <f t="shared" si="5"/>
        <v>0</v>
      </c>
      <c r="CG15" s="232">
        <f t="shared" si="5"/>
        <v>0</v>
      </c>
      <c r="CH15" s="232">
        <f t="shared" si="5"/>
        <v>0</v>
      </c>
      <c r="CI15" s="232">
        <f t="shared" si="5"/>
        <v>0</v>
      </c>
      <c r="CJ15" s="232">
        <f t="shared" si="5"/>
        <v>0</v>
      </c>
      <c r="CK15" s="232">
        <f t="shared" si="5"/>
        <v>0</v>
      </c>
      <c r="CL15" s="232">
        <f t="shared" si="5"/>
        <v>0</v>
      </c>
      <c r="CM15" s="232">
        <f t="shared" si="5"/>
        <v>0</v>
      </c>
      <c r="CN15" s="232">
        <f t="shared" si="5"/>
        <v>0</v>
      </c>
      <c r="CO15" s="232">
        <f t="shared" si="5"/>
        <v>0</v>
      </c>
      <c r="CP15" s="232">
        <f t="shared" si="5"/>
        <v>0</v>
      </c>
      <c r="CQ15" s="232">
        <f t="shared" si="5"/>
        <v>0</v>
      </c>
      <c r="CR15" s="232">
        <f t="shared" si="5"/>
        <v>0</v>
      </c>
      <c r="CS15" s="232">
        <f t="shared" si="5"/>
        <v>0</v>
      </c>
      <c r="CT15" s="232">
        <f t="shared" si="5"/>
        <v>0</v>
      </c>
      <c r="CU15" s="232">
        <f t="shared" si="5"/>
        <v>0</v>
      </c>
      <c r="CV15" s="232">
        <f t="shared" si="5"/>
        <v>0</v>
      </c>
    </row>
    <row r="16" spans="1:100" outlineLevel="1" x14ac:dyDescent="0.2">
      <c r="D16" s="209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</row>
    <row r="17" spans="1:192" outlineLevel="1" x14ac:dyDescent="0.2">
      <c r="D17" s="209"/>
      <c r="E17" s="235" t="str">
        <f xml:space="preserve"> Debt!E$238</f>
        <v>Senior debt interest - T1</v>
      </c>
      <c r="F17" s="235">
        <f xml:space="preserve"> Debt!F$238</f>
        <v>0</v>
      </c>
      <c r="G17" s="235" t="str">
        <f xml:space="preserve"> Debt!G$238</f>
        <v>$ 000s</v>
      </c>
      <c r="H17" s="235">
        <f xml:space="preserve"> Debt!H$238</f>
        <v>-58932.622085008683</v>
      </c>
      <c r="I17" s="235">
        <f xml:space="preserve"> Debt!I$238</f>
        <v>0</v>
      </c>
      <c r="J17" s="235">
        <f xml:space="preserve"> Debt!J$238</f>
        <v>0</v>
      </c>
      <c r="K17" s="235">
        <f xml:space="preserve"> Debt!K$238</f>
        <v>0</v>
      </c>
      <c r="L17" s="235">
        <f xml:space="preserve"> Debt!L$238</f>
        <v>0</v>
      </c>
      <c r="M17" s="235">
        <f xml:space="preserve"> Debt!M$238</f>
        <v>0</v>
      </c>
      <c r="N17" s="235">
        <f xml:space="preserve"> Debt!N$238</f>
        <v>0</v>
      </c>
      <c r="O17" s="235">
        <f xml:space="preserve"> Debt!O$238</f>
        <v>-2687.5177475939608</v>
      </c>
      <c r="P17" s="235">
        <f xml:space="preserve"> Debt!P$238</f>
        <v>-2582.7239566536373</v>
      </c>
      <c r="Q17" s="235">
        <f xml:space="preserve"> Debt!Q$238</f>
        <v>-2574.328504175005</v>
      </c>
      <c r="R17" s="235">
        <f xml:space="preserve"> Debt!R$238</f>
        <v>-2481.3813281599528</v>
      </c>
      <c r="S17" s="235">
        <f xml:space="preserve"> Debt!S$238</f>
        <v>-2469.7293209345407</v>
      </c>
      <c r="T17" s="235">
        <f xml:space="preserve"> Debt!T$238</f>
        <v>-2376.876065985799</v>
      </c>
      <c r="U17" s="235">
        <f xml:space="preserve"> Debt!U$238</f>
        <v>-2361.8520922003349</v>
      </c>
      <c r="V17" s="235">
        <f xml:space="preserve"> Debt!V$238</f>
        <v>-2281.6182261919198</v>
      </c>
      <c r="W17" s="235">
        <f xml:space="preserve"> Debt!W$238</f>
        <v>-2250.6592852748454</v>
      </c>
      <c r="X17" s="235">
        <f xml:space="preserve"> Debt!X$238</f>
        <v>-2158.0922847899237</v>
      </c>
      <c r="Y17" s="235">
        <f xml:space="preserve"> Debt!Y$238</f>
        <v>-2237.6804315095601</v>
      </c>
      <c r="Z17" s="235">
        <f xml:space="preserve"> Debt!Z$238</f>
        <v>-2142.3886900549105</v>
      </c>
      <c r="AA17" s="235">
        <f xml:space="preserve"> Debt!AA$238</f>
        <v>-2117.0515797327043</v>
      </c>
      <c r="AB17" s="235">
        <f xml:space="preserve"> Debt!AB$238</f>
        <v>-2021.7094910691326</v>
      </c>
      <c r="AC17" s="235">
        <f xml:space="preserve"> Debt!AC$238</f>
        <v>-1992.3163229370118</v>
      </c>
      <c r="AD17" s="235">
        <f xml:space="preserve"> Debt!AD$238</f>
        <v>-1907.3851466300987</v>
      </c>
      <c r="AE17" s="235">
        <f xml:space="preserve"> Debt!AE$238</f>
        <v>-1863.349317892918</v>
      </c>
      <c r="AF17" s="235">
        <f xml:space="preserve"> Debt!AF$238</f>
        <v>-1767.9820934948079</v>
      </c>
      <c r="AG17" s="235">
        <f xml:space="preserve"> Debt!AG$238</f>
        <v>-1730.0089819557033</v>
      </c>
      <c r="AH17" s="235">
        <f xml:space="preserve"> Debt!AH$238</f>
        <v>-1634.3997473361794</v>
      </c>
      <c r="AI17" s="235">
        <f xml:space="preserve"> Debt!AI$238</f>
        <v>-1664.2398160286421</v>
      </c>
      <c r="AJ17" s="235">
        <f xml:space="preserve"> Debt!AJ$238</f>
        <v>-1565.5385581725184</v>
      </c>
      <c r="AK17" s="235">
        <f xml:space="preserve"> Debt!AK$238</f>
        <v>-1517.504166079535</v>
      </c>
      <c r="AL17" s="235">
        <f xml:space="preserve"> Debt!AL$238</f>
        <v>-1426.3062182693025</v>
      </c>
      <c r="AM17" s="235">
        <f xml:space="preserve"> Debt!AM$238</f>
        <v>-1365.2015310096476</v>
      </c>
      <c r="AN17" s="235">
        <f xml:space="preserve"> Debt!AN$238</f>
        <v>-1265.9321561833478</v>
      </c>
      <c r="AO17" s="235">
        <f xml:space="preserve"> Debt!AO$238</f>
        <v>-1207.2384434234541</v>
      </c>
      <c r="AP17" s="235">
        <f xml:space="preserve"> Debt!AP$238</f>
        <v>-1107.4310609472375</v>
      </c>
      <c r="AQ17" s="235">
        <f xml:space="preserve"> Debt!AQ$238</f>
        <v>-1043.0631804876928</v>
      </c>
      <c r="AR17" s="235">
        <f xml:space="preserve"> Debt!AR$238</f>
        <v>-942.81174989072917</v>
      </c>
      <c r="AS17" s="235">
        <f xml:space="preserve"> Debt!AS$238</f>
        <v>-872.52701382584769</v>
      </c>
      <c r="AT17" s="235">
        <f xml:space="preserve"> Debt!AT$238</f>
        <v>-652.41628467561759</v>
      </c>
      <c r="AU17" s="235">
        <f xml:space="preserve"> Debt!AU$238</f>
        <v>-443.63241738550107</v>
      </c>
      <c r="AV17" s="235">
        <f xml:space="preserve"> Debt!AV$238</f>
        <v>-219.7301918317994</v>
      </c>
      <c r="AW17" s="235">
        <f xml:space="preserve"> Debt!AW$238</f>
        <v>2.2123232123425019E-4</v>
      </c>
      <c r="AX17" s="235">
        <f xml:space="preserve"> Debt!AX$238</f>
        <v>2.1762527251847438E-4</v>
      </c>
      <c r="AY17" s="235">
        <f xml:space="preserve"> Debt!AY$238</f>
        <v>2.2123232123425019E-4</v>
      </c>
      <c r="AZ17" s="235">
        <f xml:space="preserve"> Debt!AZ$238</f>
        <v>2.1762527251847438E-4</v>
      </c>
      <c r="BA17" s="235">
        <f xml:space="preserve"> Debt!BA$238</f>
        <v>2.2123232123425019E-4</v>
      </c>
      <c r="BB17" s="235">
        <f xml:space="preserve"> Debt!BB$238</f>
        <v>2.1882762209039967E-4</v>
      </c>
      <c r="BC17" s="235">
        <f xml:space="preserve"> Debt!BC$238</f>
        <v>0</v>
      </c>
      <c r="BD17" s="235">
        <f xml:space="preserve"> Debt!BD$238</f>
        <v>0</v>
      </c>
      <c r="BE17" s="235">
        <f xml:space="preserve"> Debt!BE$238</f>
        <v>0</v>
      </c>
      <c r="BF17" s="235">
        <f xml:space="preserve"> Debt!BF$238</f>
        <v>0</v>
      </c>
      <c r="BG17" s="235">
        <f xml:space="preserve"> Debt!BG$238</f>
        <v>0</v>
      </c>
      <c r="BH17" s="235">
        <f xml:space="preserve"> Debt!BH$238</f>
        <v>0</v>
      </c>
      <c r="BI17" s="235">
        <f xml:space="preserve"> Debt!BI$238</f>
        <v>0</v>
      </c>
      <c r="BJ17" s="235">
        <f xml:space="preserve"> Debt!BJ$238</f>
        <v>0</v>
      </c>
      <c r="BK17" s="235">
        <f xml:space="preserve"> Debt!BK$238</f>
        <v>0</v>
      </c>
      <c r="BL17" s="235">
        <f xml:space="preserve"> Debt!BL$238</f>
        <v>0</v>
      </c>
      <c r="BM17" s="235">
        <f xml:space="preserve"> Debt!BM$238</f>
        <v>0</v>
      </c>
      <c r="BN17" s="235">
        <f xml:space="preserve"> Debt!BN$238</f>
        <v>0</v>
      </c>
      <c r="BO17" s="235">
        <f xml:space="preserve"> Debt!BO$238</f>
        <v>0</v>
      </c>
      <c r="BP17" s="235">
        <f xml:space="preserve"> Debt!BP$238</f>
        <v>0</v>
      </c>
      <c r="BQ17" s="235">
        <f xml:space="preserve"> Debt!BQ$238</f>
        <v>0</v>
      </c>
      <c r="BR17" s="235">
        <f xml:space="preserve"> Debt!BR$238</f>
        <v>0</v>
      </c>
      <c r="BS17" s="235">
        <f xml:space="preserve"> Debt!BS$238</f>
        <v>0</v>
      </c>
      <c r="BT17" s="235">
        <f xml:space="preserve"> Debt!BT$238</f>
        <v>0</v>
      </c>
      <c r="BU17" s="235">
        <f xml:space="preserve"> Debt!BU$238</f>
        <v>0</v>
      </c>
      <c r="BV17" s="235">
        <f xml:space="preserve"> Debt!BV$238</f>
        <v>0</v>
      </c>
      <c r="BW17" s="235">
        <f xml:space="preserve"> Debt!BW$238</f>
        <v>0</v>
      </c>
      <c r="BX17" s="235">
        <f xml:space="preserve"> Debt!BX$238</f>
        <v>0</v>
      </c>
      <c r="BY17" s="235">
        <f xml:space="preserve"> Debt!BY$238</f>
        <v>0</v>
      </c>
      <c r="BZ17" s="235">
        <f xml:space="preserve"> Debt!BZ$238</f>
        <v>0</v>
      </c>
      <c r="CA17" s="235">
        <f xml:space="preserve"> Debt!CA$238</f>
        <v>0</v>
      </c>
      <c r="CB17" s="235">
        <f xml:space="preserve"> Debt!CB$238</f>
        <v>0</v>
      </c>
      <c r="CC17" s="235">
        <f xml:space="preserve"> Debt!CC$238</f>
        <v>0</v>
      </c>
      <c r="CD17" s="235">
        <f xml:space="preserve"> Debt!CD$238</f>
        <v>0</v>
      </c>
      <c r="CE17" s="235">
        <f xml:space="preserve"> Debt!CE$238</f>
        <v>0</v>
      </c>
      <c r="CF17" s="235">
        <f xml:space="preserve"> Debt!CF$238</f>
        <v>0</v>
      </c>
      <c r="CG17" s="235">
        <f xml:space="preserve"> Debt!CG$238</f>
        <v>0</v>
      </c>
      <c r="CH17" s="235">
        <f xml:space="preserve"> Debt!CH$238</f>
        <v>0</v>
      </c>
      <c r="CI17" s="235">
        <f xml:space="preserve"> Debt!CI$238</f>
        <v>0</v>
      </c>
      <c r="CJ17" s="235">
        <f xml:space="preserve"> Debt!CJ$238</f>
        <v>0</v>
      </c>
      <c r="CK17" s="235">
        <f xml:space="preserve"> Debt!CK$238</f>
        <v>0</v>
      </c>
      <c r="CL17" s="235">
        <f xml:space="preserve"> Debt!CL$238</f>
        <v>0</v>
      </c>
      <c r="CM17" s="235">
        <f xml:space="preserve"> Debt!CM$238</f>
        <v>0</v>
      </c>
      <c r="CN17" s="235">
        <f xml:space="preserve"> Debt!CN$238</f>
        <v>0</v>
      </c>
      <c r="CO17" s="235">
        <f xml:space="preserve"> Debt!CO$238</f>
        <v>0</v>
      </c>
      <c r="CP17" s="235">
        <f xml:space="preserve"> Debt!CP$238</f>
        <v>0</v>
      </c>
      <c r="CQ17" s="235">
        <f xml:space="preserve"> Debt!CQ$238</f>
        <v>0</v>
      </c>
      <c r="CR17" s="235">
        <f xml:space="preserve"> Debt!CR$238</f>
        <v>0</v>
      </c>
      <c r="CS17" s="235">
        <f xml:space="preserve"> Debt!CS$238</f>
        <v>0</v>
      </c>
      <c r="CT17" s="235">
        <f xml:space="preserve"> Debt!CT$238</f>
        <v>0</v>
      </c>
      <c r="CU17" s="235">
        <f xml:space="preserve"> Debt!CU$238</f>
        <v>0</v>
      </c>
      <c r="CV17" s="235">
        <f xml:space="preserve"> Debt!CV$238</f>
        <v>0</v>
      </c>
    </row>
    <row r="18" spans="1:192" outlineLevel="1" x14ac:dyDescent="0.2">
      <c r="D18" s="209"/>
      <c r="E18" s="68" t="str">
        <f xml:space="preserve"> Debt!E$245</f>
        <v>Withholding tax on Senior Debt Interest T1</v>
      </c>
      <c r="F18" s="68">
        <f xml:space="preserve"> Debt!F$245</f>
        <v>0</v>
      </c>
      <c r="G18" s="68" t="str">
        <f xml:space="preserve"> Debt!G$245</f>
        <v>$ 000s</v>
      </c>
      <c r="H18" s="68">
        <f xml:space="preserve"> Debt!H$245</f>
        <v>-1202.7065731634439</v>
      </c>
      <c r="I18" s="68">
        <f xml:space="preserve"> Debt!I$245</f>
        <v>0</v>
      </c>
      <c r="J18" s="68">
        <f xml:space="preserve"> Debt!J$245</f>
        <v>0</v>
      </c>
      <c r="K18" s="68">
        <f xml:space="preserve"> Debt!K$245</f>
        <v>0</v>
      </c>
      <c r="L18" s="68">
        <f xml:space="preserve"> Debt!L$245</f>
        <v>0</v>
      </c>
      <c r="M18" s="68">
        <f xml:space="preserve"> Debt!M$245</f>
        <v>0</v>
      </c>
      <c r="N18" s="68">
        <f xml:space="preserve"> Debt!N$245</f>
        <v>0</v>
      </c>
      <c r="O18" s="68">
        <f xml:space="preserve"> Debt!O$245</f>
        <v>-54.847300971305231</v>
      </c>
      <c r="P18" s="68">
        <f xml:space="preserve"> Debt!P$245</f>
        <v>-52.708652176605028</v>
      </c>
      <c r="Q18" s="68">
        <f xml:space="preserve"> Debt!Q$245</f>
        <v>-52.537316411734992</v>
      </c>
      <c r="R18" s="68">
        <f xml:space="preserve"> Debt!R$245</f>
        <v>-50.6404352685704</v>
      </c>
      <c r="S18" s="68">
        <f xml:space="preserve"> Debt!S$245</f>
        <v>-50.402639202745831</v>
      </c>
      <c r="T18" s="68">
        <f xml:space="preserve"> Debt!T$245</f>
        <v>-48.507674816036797</v>
      </c>
      <c r="U18" s="68">
        <f xml:space="preserve"> Debt!U$245</f>
        <v>-48.201063106129368</v>
      </c>
      <c r="V18" s="68">
        <f xml:space="preserve"> Debt!V$245</f>
        <v>-46.563637269222909</v>
      </c>
      <c r="W18" s="68">
        <f xml:space="preserve"> Debt!W$245</f>
        <v>-45.931822148466381</v>
      </c>
      <c r="X18" s="68">
        <f xml:space="preserve"> Debt!X$245</f>
        <v>-44.042699689590336</v>
      </c>
      <c r="Y18" s="68">
        <f xml:space="preserve"> Debt!Y$245</f>
        <v>-45.666947581827571</v>
      </c>
      <c r="Z18" s="68">
        <f xml:space="preserve"> Debt!Z$245</f>
        <v>-43.722218164386049</v>
      </c>
      <c r="AA18" s="68">
        <f xml:space="preserve"> Debt!AA$245</f>
        <v>-43.205134280259244</v>
      </c>
      <c r="AB18" s="68">
        <f xml:space="preserve"> Debt!AB$245</f>
        <v>-41.259377368757669</v>
      </c>
      <c r="AC18" s="68">
        <f xml:space="preserve"> Debt!AC$245</f>
        <v>-40.659516794632964</v>
      </c>
      <c r="AD18" s="68">
        <f xml:space="preserve"> Debt!AD$245</f>
        <v>-38.926227482246986</v>
      </c>
      <c r="AE18" s="68">
        <f xml:space="preserve"> Debt!AE$245</f>
        <v>-38.027537099855408</v>
      </c>
      <c r="AF18" s="68">
        <f xml:space="preserve"> Debt!AF$245</f>
        <v>-36.081267214179888</v>
      </c>
      <c r="AG18" s="68">
        <f xml:space="preserve"> Debt!AG$245</f>
        <v>-35.306305754198092</v>
      </c>
      <c r="AH18" s="68">
        <f xml:space="preserve"> Debt!AH$245</f>
        <v>-33.355096884411751</v>
      </c>
      <c r="AI18" s="68">
        <f xml:space="preserve"> Debt!AI$245</f>
        <v>-33.96407787813564</v>
      </c>
      <c r="AJ18" s="68">
        <f xml:space="preserve"> Debt!AJ$245</f>
        <v>-31.949766493316702</v>
      </c>
      <c r="AK18" s="68">
        <f xml:space="preserve"> Debt!AK$245</f>
        <v>-30.969472777133433</v>
      </c>
      <c r="AL18" s="68">
        <f xml:space="preserve"> Debt!AL$245</f>
        <v>-29.108290168761414</v>
      </c>
      <c r="AM18" s="68">
        <f xml:space="preserve"> Debt!AM$245</f>
        <v>-27.861255734890847</v>
      </c>
      <c r="AN18" s="68">
        <f xml:space="preserve"> Debt!AN$245</f>
        <v>-25.83535012619086</v>
      </c>
      <c r="AO18" s="68">
        <f xml:space="preserve"> Debt!AO$245</f>
        <v>-24.637519253539949</v>
      </c>
      <c r="AP18" s="68">
        <f xml:space="preserve"> Debt!AP$245</f>
        <v>-22.600633896882528</v>
      </c>
      <c r="AQ18" s="68">
        <f xml:space="preserve"> Debt!AQ$245</f>
        <v>-21.287003683422427</v>
      </c>
      <c r="AR18" s="68">
        <f xml:space="preserve"> Debt!AR$245</f>
        <v>-19.241056120219014</v>
      </c>
      <c r="AS18" s="68">
        <f xml:space="preserve"> Debt!AS$245</f>
        <v>-17.806673751547919</v>
      </c>
      <c r="AT18" s="68">
        <f xml:space="preserve"> Debt!AT$245</f>
        <v>-13.314618054604466</v>
      </c>
      <c r="AU18" s="68">
        <f xml:space="preserve"> Debt!AU$245</f>
        <v>-9.0537228037857176</v>
      </c>
      <c r="AV18" s="68">
        <f xml:space="preserve"> Debt!AV$245</f>
        <v>-4.4842896292203989</v>
      </c>
      <c r="AW18" s="68">
        <f xml:space="preserve"> Debt!AW$245</f>
        <v>4.5149453313112278E-6</v>
      </c>
      <c r="AX18" s="68">
        <f xml:space="preserve"> Debt!AX$245</f>
        <v>4.4413320922137751E-6</v>
      </c>
      <c r="AY18" s="68">
        <f xml:space="preserve"> Debt!AY$245</f>
        <v>4.5149453313112278E-6</v>
      </c>
      <c r="AZ18" s="68">
        <f xml:space="preserve"> Debt!AZ$245</f>
        <v>4.4413320922137751E-6</v>
      </c>
      <c r="BA18" s="68">
        <f xml:space="preserve"> Debt!BA$245</f>
        <v>4.5149453313112278E-6</v>
      </c>
      <c r="BB18" s="68">
        <f xml:space="preserve"> Debt!BB$245</f>
        <v>4.4658698385796017E-6</v>
      </c>
      <c r="BC18" s="68">
        <f xml:space="preserve"> Debt!BC$245</f>
        <v>0</v>
      </c>
      <c r="BD18" s="68">
        <f xml:space="preserve"> Debt!BD$245</f>
        <v>0</v>
      </c>
      <c r="BE18" s="68">
        <f xml:space="preserve"> Debt!BE$245</f>
        <v>0</v>
      </c>
      <c r="BF18" s="68">
        <f xml:space="preserve"> Debt!BF$245</f>
        <v>0</v>
      </c>
      <c r="BG18" s="68">
        <f xml:space="preserve"> Debt!BG$245</f>
        <v>0</v>
      </c>
      <c r="BH18" s="68">
        <f xml:space="preserve"> Debt!BH$245</f>
        <v>0</v>
      </c>
      <c r="BI18" s="68">
        <f xml:space="preserve"> Debt!BI$245</f>
        <v>0</v>
      </c>
      <c r="BJ18" s="68">
        <f xml:space="preserve"> Debt!BJ$245</f>
        <v>0</v>
      </c>
      <c r="BK18" s="68">
        <f xml:space="preserve"> Debt!BK$245</f>
        <v>0</v>
      </c>
      <c r="BL18" s="68">
        <f xml:space="preserve"> Debt!BL$245</f>
        <v>0</v>
      </c>
      <c r="BM18" s="68">
        <f xml:space="preserve"> Debt!BM$245</f>
        <v>0</v>
      </c>
      <c r="BN18" s="68">
        <f xml:space="preserve"> Debt!BN$245</f>
        <v>0</v>
      </c>
      <c r="BO18" s="68">
        <f xml:space="preserve"> Debt!BO$245</f>
        <v>0</v>
      </c>
      <c r="BP18" s="68">
        <f xml:space="preserve"> Debt!BP$245</f>
        <v>0</v>
      </c>
      <c r="BQ18" s="68">
        <f xml:space="preserve"> Debt!BQ$245</f>
        <v>0</v>
      </c>
      <c r="BR18" s="68">
        <f xml:space="preserve"> Debt!BR$245</f>
        <v>0</v>
      </c>
      <c r="BS18" s="68">
        <f xml:space="preserve"> Debt!BS$245</f>
        <v>0</v>
      </c>
      <c r="BT18" s="68">
        <f xml:space="preserve"> Debt!BT$245</f>
        <v>0</v>
      </c>
      <c r="BU18" s="68">
        <f xml:space="preserve"> Debt!BU$245</f>
        <v>0</v>
      </c>
      <c r="BV18" s="68">
        <f xml:space="preserve"> Debt!BV$245</f>
        <v>0</v>
      </c>
      <c r="BW18" s="68">
        <f xml:space="preserve"> Debt!BW$245</f>
        <v>0</v>
      </c>
      <c r="BX18" s="68">
        <f xml:space="preserve"> Debt!BX$245</f>
        <v>0</v>
      </c>
      <c r="BY18" s="68">
        <f xml:space="preserve"> Debt!BY$245</f>
        <v>0</v>
      </c>
      <c r="BZ18" s="68">
        <f xml:space="preserve"> Debt!BZ$245</f>
        <v>0</v>
      </c>
      <c r="CA18" s="68">
        <f xml:space="preserve"> Debt!CA$245</f>
        <v>0</v>
      </c>
      <c r="CB18" s="68">
        <f xml:space="preserve"> Debt!CB$245</f>
        <v>0</v>
      </c>
      <c r="CC18" s="68">
        <f xml:space="preserve"> Debt!CC$245</f>
        <v>0</v>
      </c>
      <c r="CD18" s="68">
        <f xml:space="preserve"> Debt!CD$245</f>
        <v>0</v>
      </c>
      <c r="CE18" s="68">
        <f xml:space="preserve"> Debt!CE$245</f>
        <v>0</v>
      </c>
      <c r="CF18" s="68">
        <f xml:space="preserve"> Debt!CF$245</f>
        <v>0</v>
      </c>
      <c r="CG18" s="68">
        <f xml:space="preserve"> Debt!CG$245</f>
        <v>0</v>
      </c>
      <c r="CH18" s="68">
        <f xml:space="preserve"> Debt!CH$245</f>
        <v>0</v>
      </c>
      <c r="CI18" s="68">
        <f xml:space="preserve"> Debt!CI$245</f>
        <v>0</v>
      </c>
      <c r="CJ18" s="68">
        <f xml:space="preserve"> Debt!CJ$245</f>
        <v>0</v>
      </c>
      <c r="CK18" s="68">
        <f xml:space="preserve"> Debt!CK$245</f>
        <v>0</v>
      </c>
      <c r="CL18" s="68">
        <f xml:space="preserve"> Debt!CL$245</f>
        <v>0</v>
      </c>
      <c r="CM18" s="68">
        <f xml:space="preserve"> Debt!CM$245</f>
        <v>0</v>
      </c>
      <c r="CN18" s="68">
        <f xml:space="preserve"> Debt!CN$245</f>
        <v>0</v>
      </c>
      <c r="CO18" s="68">
        <f xml:space="preserve"> Debt!CO$245</f>
        <v>0</v>
      </c>
      <c r="CP18" s="68">
        <f xml:space="preserve"> Debt!CP$245</f>
        <v>0</v>
      </c>
      <c r="CQ18" s="68">
        <f xml:space="preserve"> Debt!CQ$245</f>
        <v>0</v>
      </c>
      <c r="CR18" s="68">
        <f xml:space="preserve"> Debt!CR$245</f>
        <v>0</v>
      </c>
      <c r="CS18" s="68">
        <f xml:space="preserve"> Debt!CS$245</f>
        <v>0</v>
      </c>
      <c r="CT18" s="68">
        <f xml:space="preserve"> Debt!CT$245</f>
        <v>0</v>
      </c>
      <c r="CU18" s="68">
        <f xml:space="preserve"> Debt!CU$245</f>
        <v>0</v>
      </c>
      <c r="CV18" s="68">
        <f xml:space="preserve"> Debt!CV$245</f>
        <v>0</v>
      </c>
      <c r="CW18" s="68">
        <f xml:space="preserve"> Debt!CW$245</f>
        <v>0</v>
      </c>
      <c r="CX18" s="68">
        <f xml:space="preserve"> Debt!CX$245</f>
        <v>0</v>
      </c>
      <c r="CY18" s="68">
        <f xml:space="preserve"> Debt!CY$245</f>
        <v>0</v>
      </c>
      <c r="CZ18" s="68">
        <f xml:space="preserve"> Debt!CZ$245</f>
        <v>0</v>
      </c>
      <c r="DA18" s="68">
        <f xml:space="preserve"> Debt!DA$245</f>
        <v>0</v>
      </c>
      <c r="DB18" s="68">
        <f xml:space="preserve"> Debt!DB$245</f>
        <v>0</v>
      </c>
      <c r="DC18" s="68">
        <f xml:space="preserve"> Debt!DC$245</f>
        <v>0</v>
      </c>
      <c r="DD18" s="68">
        <f xml:space="preserve"> Debt!DD$245</f>
        <v>0</v>
      </c>
      <c r="DE18" s="68">
        <f xml:space="preserve"> Debt!DE$245</f>
        <v>0</v>
      </c>
      <c r="DF18" s="68">
        <f xml:space="preserve"> Debt!DF$245</f>
        <v>0</v>
      </c>
      <c r="DG18" s="68">
        <f xml:space="preserve"> Debt!DG$245</f>
        <v>0</v>
      </c>
      <c r="DH18" s="68">
        <f xml:space="preserve"> Debt!DH$245</f>
        <v>0</v>
      </c>
      <c r="DI18" s="68">
        <f xml:space="preserve"> Debt!DI$245</f>
        <v>0</v>
      </c>
      <c r="DJ18" s="68">
        <f xml:space="preserve"> Debt!DJ$245</f>
        <v>0</v>
      </c>
      <c r="DK18" s="68">
        <f xml:space="preserve"> Debt!DK$245</f>
        <v>0</v>
      </c>
      <c r="DL18" s="68">
        <f xml:space="preserve"> Debt!DL$245</f>
        <v>0</v>
      </c>
      <c r="DM18" s="68">
        <f xml:space="preserve"> Debt!DM$245</f>
        <v>0</v>
      </c>
      <c r="DN18" s="68">
        <f xml:space="preserve"> Debt!DN$245</f>
        <v>0</v>
      </c>
      <c r="DO18" s="68">
        <f xml:space="preserve"> Debt!DO$245</f>
        <v>0</v>
      </c>
      <c r="DP18" s="68">
        <f xml:space="preserve"> Debt!DP$245</f>
        <v>0</v>
      </c>
      <c r="DQ18" s="68">
        <f xml:space="preserve"> Debt!DQ$245</f>
        <v>0</v>
      </c>
      <c r="DR18" s="68">
        <f xml:space="preserve"> Debt!DR$245</f>
        <v>0</v>
      </c>
      <c r="DS18" s="68">
        <f xml:space="preserve"> Debt!DS$245</f>
        <v>0</v>
      </c>
      <c r="DT18" s="68">
        <f xml:space="preserve"> Debt!DT$245</f>
        <v>0</v>
      </c>
      <c r="DU18" s="68">
        <f xml:space="preserve"> Debt!DU$245</f>
        <v>0</v>
      </c>
      <c r="DV18" s="68">
        <f xml:space="preserve"> Debt!DV$245</f>
        <v>0</v>
      </c>
      <c r="DW18" s="68">
        <f xml:space="preserve"> Debt!DW$245</f>
        <v>0</v>
      </c>
      <c r="DX18" s="68">
        <f xml:space="preserve"> Debt!DX$245</f>
        <v>0</v>
      </c>
      <c r="DY18" s="68">
        <f xml:space="preserve"> Debt!DY$245</f>
        <v>0</v>
      </c>
      <c r="DZ18" s="68">
        <f xml:space="preserve"> Debt!DZ$245</f>
        <v>0</v>
      </c>
      <c r="EA18" s="68">
        <f xml:space="preserve"> Debt!EA$245</f>
        <v>0</v>
      </c>
      <c r="EB18" s="68">
        <f xml:space="preserve"> Debt!EB$245</f>
        <v>0</v>
      </c>
      <c r="EC18" s="68">
        <f xml:space="preserve"> Debt!EC$245</f>
        <v>0</v>
      </c>
      <c r="ED18" s="68">
        <f xml:space="preserve"> Debt!ED$245</f>
        <v>0</v>
      </c>
      <c r="EE18" s="68">
        <f xml:space="preserve"> Debt!EE$245</f>
        <v>0</v>
      </c>
      <c r="EF18" s="68">
        <f xml:space="preserve"> Debt!EF$245</f>
        <v>0</v>
      </c>
      <c r="EG18" s="68">
        <f xml:space="preserve"> Debt!EG$245</f>
        <v>0</v>
      </c>
      <c r="EH18" s="68">
        <f xml:space="preserve"> Debt!EH$245</f>
        <v>0</v>
      </c>
      <c r="EI18" s="68">
        <f xml:space="preserve"> Debt!EI$245</f>
        <v>0</v>
      </c>
      <c r="EJ18" s="68">
        <f xml:space="preserve"> Debt!EJ$245</f>
        <v>0</v>
      </c>
      <c r="EK18" s="68">
        <f xml:space="preserve"> Debt!EK$245</f>
        <v>0</v>
      </c>
      <c r="EL18" s="68">
        <f xml:space="preserve"> Debt!EL$245</f>
        <v>0</v>
      </c>
      <c r="EM18" s="68">
        <f xml:space="preserve"> Debt!EM$245</f>
        <v>0</v>
      </c>
      <c r="EN18" s="68">
        <f xml:space="preserve"> Debt!EN$245</f>
        <v>0</v>
      </c>
      <c r="EO18" s="68">
        <f xml:space="preserve"> Debt!EO$245</f>
        <v>0</v>
      </c>
      <c r="EP18" s="68">
        <f xml:space="preserve"> Debt!EP$245</f>
        <v>0</v>
      </c>
      <c r="EQ18" s="68">
        <f xml:space="preserve"> Debt!EQ$245</f>
        <v>0</v>
      </c>
      <c r="ER18" s="68">
        <f xml:space="preserve"> Debt!ER$245</f>
        <v>0</v>
      </c>
      <c r="ES18" s="68">
        <f xml:space="preserve"> Debt!ES$245</f>
        <v>0</v>
      </c>
      <c r="ET18" s="68">
        <f xml:space="preserve"> Debt!ET$245</f>
        <v>0</v>
      </c>
      <c r="EU18" s="68">
        <f xml:space="preserve"> Debt!EU$245</f>
        <v>0</v>
      </c>
      <c r="EV18" s="68">
        <f xml:space="preserve"> Debt!EV$245</f>
        <v>0</v>
      </c>
      <c r="EW18" s="68">
        <f xml:space="preserve"> Debt!EW$245</f>
        <v>0</v>
      </c>
      <c r="EX18" s="68">
        <f xml:space="preserve"> Debt!EX$245</f>
        <v>0</v>
      </c>
      <c r="EY18" s="68">
        <f xml:space="preserve"> Debt!EY$245</f>
        <v>0</v>
      </c>
      <c r="EZ18" s="68">
        <f xml:space="preserve"> Debt!EZ$245</f>
        <v>0</v>
      </c>
      <c r="FA18" s="68">
        <f xml:space="preserve"> Debt!FA$245</f>
        <v>0</v>
      </c>
      <c r="FB18" s="68">
        <f xml:space="preserve"> Debt!FB$245</f>
        <v>0</v>
      </c>
      <c r="FC18" s="68">
        <f xml:space="preserve"> Debt!FC$245</f>
        <v>0</v>
      </c>
      <c r="FD18" s="68">
        <f xml:space="preserve"> Debt!FD$245</f>
        <v>0</v>
      </c>
      <c r="FE18" s="68">
        <f xml:space="preserve"> Debt!FE$245</f>
        <v>0</v>
      </c>
      <c r="FF18" s="68">
        <f xml:space="preserve"> Debt!FF$245</f>
        <v>0</v>
      </c>
      <c r="FG18" s="68">
        <f xml:space="preserve"> Debt!FG$245</f>
        <v>0</v>
      </c>
      <c r="FH18" s="68">
        <f xml:space="preserve"> Debt!FH$245</f>
        <v>0</v>
      </c>
      <c r="FI18" s="68">
        <f xml:space="preserve"> Debt!FI$245</f>
        <v>0</v>
      </c>
      <c r="FJ18" s="68">
        <f xml:space="preserve"> Debt!FJ$245</f>
        <v>0</v>
      </c>
      <c r="FK18" s="68">
        <f xml:space="preserve"> Debt!FK$245</f>
        <v>0</v>
      </c>
      <c r="FL18" s="68">
        <f xml:space="preserve"> Debt!FL$245</f>
        <v>0</v>
      </c>
      <c r="FM18" s="68">
        <f xml:space="preserve"> Debt!FM$245</f>
        <v>0</v>
      </c>
      <c r="FN18" s="68">
        <f xml:space="preserve"> Debt!FN$245</f>
        <v>0</v>
      </c>
      <c r="FO18" s="68">
        <f xml:space="preserve"> Debt!FO$245</f>
        <v>0</v>
      </c>
      <c r="FP18" s="68">
        <f xml:space="preserve"> Debt!FP$245</f>
        <v>0</v>
      </c>
      <c r="FQ18" s="68">
        <f xml:space="preserve"> Debt!FQ$245</f>
        <v>0</v>
      </c>
      <c r="FR18" s="68">
        <f xml:space="preserve"> Debt!FR$245</f>
        <v>0</v>
      </c>
      <c r="FS18" s="68">
        <f xml:space="preserve"> Debt!FS$245</f>
        <v>0</v>
      </c>
      <c r="FT18" s="68">
        <f xml:space="preserve"> Debt!FT$245</f>
        <v>0</v>
      </c>
      <c r="FU18" s="68">
        <f xml:space="preserve"> Debt!FU$245</f>
        <v>0</v>
      </c>
      <c r="FV18" s="68">
        <f xml:space="preserve"> Debt!FV$245</f>
        <v>0</v>
      </c>
      <c r="FW18" s="68">
        <f xml:space="preserve"> Debt!FW$245</f>
        <v>0</v>
      </c>
      <c r="FX18" s="68">
        <f xml:space="preserve"> Debt!FX$245</f>
        <v>0</v>
      </c>
      <c r="FY18" s="68">
        <f xml:space="preserve"> Debt!FY$245</f>
        <v>0</v>
      </c>
      <c r="FZ18" s="68">
        <f xml:space="preserve"> Debt!FZ$245</f>
        <v>0</v>
      </c>
      <c r="GA18" s="68">
        <f xml:space="preserve"> Debt!GA$245</f>
        <v>0</v>
      </c>
      <c r="GB18" s="68">
        <f xml:space="preserve"> Debt!GB$245</f>
        <v>0</v>
      </c>
      <c r="GC18" s="68">
        <f xml:space="preserve"> Debt!GC$245</f>
        <v>0</v>
      </c>
      <c r="GD18" s="68">
        <f xml:space="preserve"> Debt!GD$245</f>
        <v>0</v>
      </c>
      <c r="GE18" s="68">
        <f xml:space="preserve"> Debt!GE$245</f>
        <v>0</v>
      </c>
      <c r="GF18" s="68">
        <f xml:space="preserve"> Debt!GF$245</f>
        <v>0</v>
      </c>
      <c r="GG18" s="68">
        <f xml:space="preserve"> Debt!GG$245</f>
        <v>0</v>
      </c>
      <c r="GH18" s="68">
        <f xml:space="preserve"> Debt!GH$245</f>
        <v>0</v>
      </c>
      <c r="GI18" s="68">
        <f xml:space="preserve"> Debt!GI$245</f>
        <v>0</v>
      </c>
      <c r="GJ18" s="68">
        <f xml:space="preserve"> Debt!GJ$245</f>
        <v>0</v>
      </c>
    </row>
    <row r="19" spans="1:192" outlineLevel="1" x14ac:dyDescent="0.2">
      <c r="D19" s="209"/>
      <c r="E19" s="235" t="str">
        <f xml:space="preserve"> Debt!E$350</f>
        <v>Senior debt interest - T2</v>
      </c>
      <c r="F19" s="235">
        <f xml:space="preserve"> Debt!F$350</f>
        <v>0</v>
      </c>
      <c r="G19" s="235" t="str">
        <f xml:space="preserve"> Debt!G$350</f>
        <v>$ 000s</v>
      </c>
      <c r="H19" s="235">
        <f xml:space="preserve"> Debt!H$350</f>
        <v>-50719.400835431705</v>
      </c>
      <c r="I19" s="235">
        <f xml:space="preserve"> Debt!I$350</f>
        <v>0</v>
      </c>
      <c r="J19" s="235">
        <f xml:space="preserve"> Debt!J$350</f>
        <v>0</v>
      </c>
      <c r="K19" s="235">
        <f xml:space="preserve"> Debt!K$350</f>
        <v>0</v>
      </c>
      <c r="L19" s="235">
        <f xml:space="preserve"> Debt!L$350</f>
        <v>0</v>
      </c>
      <c r="M19" s="235">
        <f xml:space="preserve"> Debt!M$350</f>
        <v>0</v>
      </c>
      <c r="N19" s="235">
        <f xml:space="preserve"> Debt!N$350</f>
        <v>0</v>
      </c>
      <c r="O19" s="235">
        <f xml:space="preserve"> Debt!O$350</f>
        <v>-3007.4603365932417</v>
      </c>
      <c r="P19" s="235">
        <f xml:space="preserve"> Debt!P$350</f>
        <v>-2861.4426237247226</v>
      </c>
      <c r="Q19" s="235">
        <f xml:space="preserve"> Debt!Q$350</f>
        <v>-2827.4302563544802</v>
      </c>
      <c r="R19" s="235">
        <f xml:space="preserve"> Debt!R$350</f>
        <v>-2700.2548554507134</v>
      </c>
      <c r="S19" s="235">
        <f xml:space="preserve"> Debt!S$350</f>
        <v>-2661.0628632799539</v>
      </c>
      <c r="T19" s="235">
        <f xml:space="preserve"> Debt!T$350</f>
        <v>-2534.0368459800811</v>
      </c>
      <c r="U19" s="235">
        <f xml:space="preserve"> Debt!U$350</f>
        <v>-2489.4816638803841</v>
      </c>
      <c r="V19" s="235">
        <f xml:space="preserve"> Debt!V$350</f>
        <v>-2375.6406705547574</v>
      </c>
      <c r="W19" s="235">
        <f xml:space="preserve"> Debt!W$350</f>
        <v>-2312.626961541976</v>
      </c>
      <c r="X19" s="235">
        <f xml:space="preserve"> Debt!X$350</f>
        <v>-2186.0562385133053</v>
      </c>
      <c r="Y19" s="235">
        <f xml:space="preserve"> Debt!Y$350</f>
        <v>-2220.854468947296</v>
      </c>
      <c r="Z19" s="235">
        <f xml:space="preserve"> Debt!Z$350</f>
        <v>-2091.5619982100643</v>
      </c>
      <c r="AA19" s="235">
        <f xml:space="preserve"> Debt!AA$350</f>
        <v>-2029.9192920142364</v>
      </c>
      <c r="AB19" s="235">
        <f xml:space="preserve"> Debt!AB$350</f>
        <v>-1900.5471301160426</v>
      </c>
      <c r="AC19" s="235">
        <f xml:space="preserve"> Debt!AC$350</f>
        <v>-1832.4843668262508</v>
      </c>
      <c r="AD19" s="235">
        <f xml:space="preserve"> Debt!AD$350</f>
        <v>-1712.4114864363401</v>
      </c>
      <c r="AE19" s="235">
        <f xml:space="preserve"> Debt!AE$350</f>
        <v>-1628.351296139547</v>
      </c>
      <c r="AF19" s="235">
        <f xml:space="preserve"> Debt!AF$350</f>
        <v>-1498.9393486025879</v>
      </c>
      <c r="AG19" s="235">
        <f xml:space="preserve"> Debt!AG$350</f>
        <v>-1417.2959784483739</v>
      </c>
      <c r="AH19" s="235">
        <f xml:space="preserve"> Debt!AH$350</f>
        <v>-1287.5009694483854</v>
      </c>
      <c r="AI19" s="235">
        <f xml:space="preserve"> Debt!AI$350</f>
        <v>-1272.051076082276</v>
      </c>
      <c r="AJ19" s="235">
        <f xml:space="preserve"> Debt!AJ$350</f>
        <v>-1136.3240059796112</v>
      </c>
      <c r="AK19" s="235">
        <f xml:space="preserve"> Debt!AK$350</f>
        <v>-1036.2897842601778</v>
      </c>
      <c r="AL19" s="235">
        <f xml:space="preserve"> Debt!AL$350</f>
        <v>-904.99934106523745</v>
      </c>
      <c r="AM19" s="235">
        <f xml:space="preserve"> Debt!AM$350</f>
        <v>-791.5839748373146</v>
      </c>
      <c r="AN19" s="235">
        <f xml:space="preserve"> Debt!AN$350</f>
        <v>-654.9441068505555</v>
      </c>
      <c r="AO19" s="235">
        <f xml:space="preserve"> Debt!AO$350</f>
        <v>-537.78347303393627</v>
      </c>
      <c r="AP19" s="235">
        <f xml:space="preserve"> Debt!AP$350</f>
        <v>-400.27918403838652</v>
      </c>
      <c r="AQ19" s="235">
        <f xml:space="preserve"> Debt!AQ$350</f>
        <v>-274.00182155120319</v>
      </c>
      <c r="AR19" s="235">
        <f xml:space="preserve"> Debt!AR$350</f>
        <v>-135.78407704150388</v>
      </c>
      <c r="AS19" s="235">
        <f xml:space="preserve"> Debt!AS$350</f>
        <v>-5.7368266412878361E-5</v>
      </c>
      <c r="AT19" s="235">
        <f xml:space="preserve"> Debt!AT$350</f>
        <v>-5.6744698299694907E-5</v>
      </c>
      <c r="AU19" s="235">
        <f xml:space="preserve"> Debt!AU$350</f>
        <v>-5.7368266412878361E-5</v>
      </c>
      <c r="AV19" s="235">
        <f xml:space="preserve"> Debt!AV$350</f>
        <v>-5.6432914243103177E-5</v>
      </c>
      <c r="AW19" s="235">
        <f xml:space="preserve"> Debt!AW$350</f>
        <v>-1.8755010173441004E-5</v>
      </c>
      <c r="AX19" s="235">
        <f xml:space="preserve"> Debt!AX$350</f>
        <v>-1.8449221964091424E-5</v>
      </c>
      <c r="AY19" s="235">
        <f xml:space="preserve"> Debt!AY$350</f>
        <v>-1.8755010173441004E-5</v>
      </c>
      <c r="AZ19" s="235">
        <f xml:space="preserve"> Debt!AZ$350</f>
        <v>-1.8449221964091424E-5</v>
      </c>
      <c r="BA19" s="235">
        <f xml:space="preserve"> Debt!BA$350</f>
        <v>-1.8755010173441004E-5</v>
      </c>
      <c r="BB19" s="235">
        <f xml:space="preserve"> Debt!BB$350</f>
        <v>-1.8551151367207951E-5</v>
      </c>
      <c r="BC19" s="235">
        <f xml:space="preserve"> Debt!BC$350</f>
        <v>0</v>
      </c>
      <c r="BD19" s="235">
        <f xml:space="preserve"> Debt!BD$350</f>
        <v>0</v>
      </c>
      <c r="BE19" s="235">
        <f xml:space="preserve"> Debt!BE$350</f>
        <v>0</v>
      </c>
      <c r="BF19" s="235">
        <f xml:space="preserve"> Debt!BF$350</f>
        <v>0</v>
      </c>
      <c r="BG19" s="235">
        <f xml:space="preserve"> Debt!BG$350</f>
        <v>0</v>
      </c>
      <c r="BH19" s="235">
        <f xml:space="preserve"> Debt!BH$350</f>
        <v>0</v>
      </c>
      <c r="BI19" s="235">
        <f xml:space="preserve"> Debt!BI$350</f>
        <v>0</v>
      </c>
      <c r="BJ19" s="235">
        <f xml:space="preserve"> Debt!BJ$350</f>
        <v>0</v>
      </c>
      <c r="BK19" s="235">
        <f xml:space="preserve"> Debt!BK$350</f>
        <v>0</v>
      </c>
      <c r="BL19" s="235">
        <f xml:space="preserve"> Debt!BL$350</f>
        <v>0</v>
      </c>
      <c r="BM19" s="235">
        <f xml:space="preserve"> Debt!BM$350</f>
        <v>0</v>
      </c>
      <c r="BN19" s="235">
        <f xml:space="preserve"> Debt!BN$350</f>
        <v>0</v>
      </c>
      <c r="BO19" s="235">
        <f xml:space="preserve"> Debt!BO$350</f>
        <v>0</v>
      </c>
      <c r="BP19" s="235">
        <f xml:space="preserve"> Debt!BP$350</f>
        <v>0</v>
      </c>
      <c r="BQ19" s="235">
        <f xml:space="preserve"> Debt!BQ$350</f>
        <v>0</v>
      </c>
      <c r="BR19" s="235">
        <f xml:space="preserve"> Debt!BR$350</f>
        <v>0</v>
      </c>
      <c r="BS19" s="235">
        <f xml:space="preserve"> Debt!BS$350</f>
        <v>0</v>
      </c>
      <c r="BT19" s="235">
        <f xml:space="preserve"> Debt!BT$350</f>
        <v>0</v>
      </c>
      <c r="BU19" s="235">
        <f xml:space="preserve"> Debt!BU$350</f>
        <v>0</v>
      </c>
      <c r="BV19" s="235">
        <f xml:space="preserve"> Debt!BV$350</f>
        <v>0</v>
      </c>
      <c r="BW19" s="235">
        <f xml:space="preserve"> Debt!BW$350</f>
        <v>0</v>
      </c>
      <c r="BX19" s="235">
        <f xml:space="preserve"> Debt!BX$350</f>
        <v>0</v>
      </c>
      <c r="BY19" s="235">
        <f xml:space="preserve"> Debt!BY$350</f>
        <v>0</v>
      </c>
      <c r="BZ19" s="235">
        <f xml:space="preserve"> Debt!BZ$350</f>
        <v>0</v>
      </c>
      <c r="CA19" s="235">
        <f xml:space="preserve"> Debt!CA$350</f>
        <v>0</v>
      </c>
      <c r="CB19" s="235">
        <f xml:space="preserve"> Debt!CB$350</f>
        <v>0</v>
      </c>
      <c r="CC19" s="235">
        <f xml:space="preserve"> Debt!CC$350</f>
        <v>0</v>
      </c>
      <c r="CD19" s="235">
        <f xml:space="preserve"> Debt!CD$350</f>
        <v>0</v>
      </c>
      <c r="CE19" s="235">
        <f xml:space="preserve"> Debt!CE$350</f>
        <v>0</v>
      </c>
      <c r="CF19" s="235">
        <f xml:space="preserve"> Debt!CF$350</f>
        <v>0</v>
      </c>
      <c r="CG19" s="235">
        <f xml:space="preserve"> Debt!CG$350</f>
        <v>0</v>
      </c>
      <c r="CH19" s="235">
        <f xml:space="preserve"> Debt!CH$350</f>
        <v>0</v>
      </c>
      <c r="CI19" s="235">
        <f xml:space="preserve"> Debt!CI$350</f>
        <v>0</v>
      </c>
      <c r="CJ19" s="235">
        <f xml:space="preserve"> Debt!CJ$350</f>
        <v>0</v>
      </c>
      <c r="CK19" s="235">
        <f xml:space="preserve"> Debt!CK$350</f>
        <v>0</v>
      </c>
      <c r="CL19" s="235">
        <f xml:space="preserve"> Debt!CL$350</f>
        <v>0</v>
      </c>
      <c r="CM19" s="235">
        <f xml:space="preserve"> Debt!CM$350</f>
        <v>0</v>
      </c>
      <c r="CN19" s="235">
        <f xml:space="preserve"> Debt!CN$350</f>
        <v>0</v>
      </c>
      <c r="CO19" s="235">
        <f xml:space="preserve"> Debt!CO$350</f>
        <v>0</v>
      </c>
      <c r="CP19" s="235">
        <f xml:space="preserve"> Debt!CP$350</f>
        <v>0</v>
      </c>
      <c r="CQ19" s="235">
        <f xml:space="preserve"> Debt!CQ$350</f>
        <v>0</v>
      </c>
      <c r="CR19" s="235">
        <f xml:space="preserve"> Debt!CR$350</f>
        <v>0</v>
      </c>
      <c r="CS19" s="235">
        <f xml:space="preserve"> Debt!CS$350</f>
        <v>0</v>
      </c>
      <c r="CT19" s="235">
        <f xml:space="preserve"> Debt!CT$350</f>
        <v>0</v>
      </c>
      <c r="CU19" s="235">
        <f xml:space="preserve"> Debt!CU$350</f>
        <v>0</v>
      </c>
      <c r="CV19" s="235">
        <f xml:space="preserve"> Debt!CV$350</f>
        <v>0</v>
      </c>
    </row>
    <row r="20" spans="1:192" outlineLevel="1" x14ac:dyDescent="0.2">
      <c r="D20" s="209"/>
      <c r="E20" s="68" t="str">
        <f xml:space="preserve"> Debt!E$357</f>
        <v>Withholding tax on Senior Debt Interest T2</v>
      </c>
      <c r="F20" s="68">
        <f xml:space="preserve"> Debt!F$357</f>
        <v>0</v>
      </c>
      <c r="G20" s="68" t="str">
        <f xml:space="preserve"> Debt!G$357</f>
        <v>$ 000s</v>
      </c>
      <c r="H20" s="68">
        <f xml:space="preserve"> Debt!H$357</f>
        <v>-1035.0898129679949</v>
      </c>
      <c r="I20" s="68">
        <f xml:space="preserve"> Debt!I$357</f>
        <v>0</v>
      </c>
      <c r="J20" s="68">
        <f xml:space="preserve"> Debt!J$357</f>
        <v>0</v>
      </c>
      <c r="K20" s="68">
        <f xml:space="preserve"> Debt!K$357</f>
        <v>0</v>
      </c>
      <c r="L20" s="68">
        <f xml:space="preserve"> Debt!L$357</f>
        <v>0</v>
      </c>
      <c r="M20" s="68">
        <f xml:space="preserve"> Debt!M$357</f>
        <v>0</v>
      </c>
      <c r="N20" s="68">
        <f xml:space="preserve"> Debt!N$357</f>
        <v>0</v>
      </c>
      <c r="O20" s="68">
        <f xml:space="preserve"> Debt!O$357</f>
        <v>-61.376741563127325</v>
      </c>
      <c r="P20" s="68">
        <f xml:space="preserve"> Debt!P$357</f>
        <v>-58.396788239279886</v>
      </c>
      <c r="Q20" s="68">
        <f xml:space="preserve"> Debt!Q$357</f>
        <v>-57.702658292948854</v>
      </c>
      <c r="R20" s="68">
        <f xml:space="preserve"> Debt!R$357</f>
        <v>-55.107241947973762</v>
      </c>
      <c r="S20" s="68">
        <f xml:space="preserve"> Debt!S$357</f>
        <v>-54.307405373060192</v>
      </c>
      <c r="T20" s="68">
        <f xml:space="preserve"> Debt!T$357</f>
        <v>-51.715037673062852</v>
      </c>
      <c r="U20" s="68">
        <f xml:space="preserve"> Debt!U$357</f>
        <v>-50.805748242456957</v>
      </c>
      <c r="V20" s="68">
        <f xml:space="preserve"> Debt!V$357</f>
        <v>-48.482462664382638</v>
      </c>
      <c r="W20" s="68">
        <f xml:space="preserve"> Debt!W$357</f>
        <v>-47.196468602897312</v>
      </c>
      <c r="X20" s="68">
        <f xml:space="preserve"> Debt!X$357</f>
        <v>-44.613392622720767</v>
      </c>
      <c r="Y20" s="68">
        <f xml:space="preserve"> Debt!Y$357</f>
        <v>-45.32356059076119</v>
      </c>
      <c r="Z20" s="68">
        <f xml:space="preserve"> Debt!Z$357</f>
        <v>-42.684938738981145</v>
      </c>
      <c r="AA20" s="68">
        <f xml:space="preserve"> Debt!AA$357</f>
        <v>-41.426924326821336</v>
      </c>
      <c r="AB20" s="68">
        <f xml:space="preserve"> Debt!AB$357</f>
        <v>-38.786676124817177</v>
      </c>
      <c r="AC20" s="68">
        <f xml:space="preserve"> Debt!AC$357</f>
        <v>-37.397640139311306</v>
      </c>
      <c r="AD20" s="68">
        <f xml:space="preserve"> Debt!AD$357</f>
        <v>-34.947173192578475</v>
      </c>
      <c r="AE20" s="68">
        <f xml:space="preserve"> Debt!AE$357</f>
        <v>-33.231659104888649</v>
      </c>
      <c r="AF20" s="68">
        <f xml:space="preserve"> Debt!AF$357</f>
        <v>-30.590598951073162</v>
      </c>
      <c r="AG20" s="68">
        <f xml:space="preserve"> Debt!AG$357</f>
        <v>-28.924407723436161</v>
      </c>
      <c r="AH20" s="68">
        <f xml:space="preserve"> Debt!AH$357</f>
        <v>-26.275529988742619</v>
      </c>
      <c r="AI20" s="68">
        <f xml:space="preserve"> Debt!AI$357</f>
        <v>-25.960226042495378</v>
      </c>
      <c r="AJ20" s="68">
        <f xml:space="preserve"> Debt!AJ$357</f>
        <v>-23.190285836318708</v>
      </c>
      <c r="AK20" s="68">
        <f xml:space="preserve"> Debt!AK$357</f>
        <v>-21.148771107350512</v>
      </c>
      <c r="AL20" s="68">
        <f xml:space="preserve"> Debt!AL$357</f>
        <v>-18.469374307453791</v>
      </c>
      <c r="AM20" s="68">
        <f xml:space="preserve"> Debt!AM$357</f>
        <v>-16.154774996679862</v>
      </c>
      <c r="AN20" s="68">
        <f xml:space="preserve"> Debt!AN$357</f>
        <v>-13.366206262256242</v>
      </c>
      <c r="AO20" s="68">
        <f xml:space="preserve"> Debt!AO$357</f>
        <v>-10.975172919059901</v>
      </c>
      <c r="AP20" s="68">
        <f xml:space="preserve"> Debt!AP$357</f>
        <v>-8.1689629395589236</v>
      </c>
      <c r="AQ20" s="68">
        <f xml:space="preserve"> Debt!AQ$357</f>
        <v>-5.5918739092082319</v>
      </c>
      <c r="AR20" s="68">
        <f xml:space="preserve"> Debt!AR$357</f>
        <v>-2.771103613091924</v>
      </c>
      <c r="AS20" s="68">
        <f xml:space="preserve"> Debt!AS$357</f>
        <v>-1.1707809472015975E-6</v>
      </c>
      <c r="AT20" s="68">
        <f xml:space="preserve"> Debt!AT$357</f>
        <v>-1.1580550673407136E-6</v>
      </c>
      <c r="AU20" s="68">
        <f xml:space="preserve"> Debt!AU$357</f>
        <v>-1.1707809472015975E-6</v>
      </c>
      <c r="AV20" s="68">
        <f xml:space="preserve"> Debt!AV$357</f>
        <v>-1.1516921274102717E-6</v>
      </c>
      <c r="AW20" s="68">
        <f xml:space="preserve"> Debt!AW$357</f>
        <v>-3.8275530966206165E-7</v>
      </c>
      <c r="AX20" s="68">
        <f xml:space="preserve"> Debt!AX$357</f>
        <v>-3.7651473396104918E-7</v>
      </c>
      <c r="AY20" s="68">
        <f xml:space="preserve"> Debt!AY$357</f>
        <v>-3.8275530966206165E-7</v>
      </c>
      <c r="AZ20" s="68">
        <f xml:space="preserve"> Debt!AZ$357</f>
        <v>-3.7651473396104918E-7</v>
      </c>
      <c r="BA20" s="68">
        <f xml:space="preserve"> Debt!BA$357</f>
        <v>-3.8275530966206165E-7</v>
      </c>
      <c r="BB20" s="68">
        <f xml:space="preserve"> Debt!BB$357</f>
        <v>-3.785949258613878E-7</v>
      </c>
      <c r="BC20" s="68">
        <f xml:space="preserve"> Debt!BC$357</f>
        <v>0</v>
      </c>
      <c r="BD20" s="68">
        <f xml:space="preserve"> Debt!BD$357</f>
        <v>0</v>
      </c>
      <c r="BE20" s="68">
        <f xml:space="preserve"> Debt!BE$357</f>
        <v>0</v>
      </c>
      <c r="BF20" s="68">
        <f xml:space="preserve"> Debt!BF$357</f>
        <v>0</v>
      </c>
      <c r="BG20" s="68">
        <f xml:space="preserve"> Debt!BG$357</f>
        <v>0</v>
      </c>
      <c r="BH20" s="68">
        <f xml:space="preserve"> Debt!BH$357</f>
        <v>0</v>
      </c>
      <c r="BI20" s="68">
        <f xml:space="preserve"> Debt!BI$357</f>
        <v>0</v>
      </c>
      <c r="BJ20" s="68">
        <f xml:space="preserve"> Debt!BJ$357</f>
        <v>0</v>
      </c>
      <c r="BK20" s="68">
        <f xml:space="preserve"> Debt!BK$357</f>
        <v>0</v>
      </c>
      <c r="BL20" s="68">
        <f xml:space="preserve"> Debt!BL$357</f>
        <v>0</v>
      </c>
      <c r="BM20" s="68">
        <f xml:space="preserve"> Debt!BM$357</f>
        <v>0</v>
      </c>
      <c r="BN20" s="68">
        <f xml:space="preserve"> Debt!BN$357</f>
        <v>0</v>
      </c>
      <c r="BO20" s="68">
        <f xml:space="preserve"> Debt!BO$357</f>
        <v>0</v>
      </c>
      <c r="BP20" s="68">
        <f xml:space="preserve"> Debt!BP$357</f>
        <v>0</v>
      </c>
      <c r="BQ20" s="68">
        <f xml:space="preserve"> Debt!BQ$357</f>
        <v>0</v>
      </c>
      <c r="BR20" s="68">
        <f xml:space="preserve"> Debt!BR$357</f>
        <v>0</v>
      </c>
      <c r="BS20" s="68">
        <f xml:space="preserve"> Debt!BS$357</f>
        <v>0</v>
      </c>
      <c r="BT20" s="68">
        <f xml:space="preserve"> Debt!BT$357</f>
        <v>0</v>
      </c>
      <c r="BU20" s="68">
        <f xml:space="preserve"> Debt!BU$357</f>
        <v>0</v>
      </c>
      <c r="BV20" s="68">
        <f xml:space="preserve"> Debt!BV$357</f>
        <v>0</v>
      </c>
      <c r="BW20" s="68">
        <f xml:space="preserve"> Debt!BW$357</f>
        <v>0</v>
      </c>
      <c r="BX20" s="68">
        <f xml:space="preserve"> Debt!BX$357</f>
        <v>0</v>
      </c>
      <c r="BY20" s="68">
        <f xml:space="preserve"> Debt!BY$357</f>
        <v>0</v>
      </c>
      <c r="BZ20" s="68">
        <f xml:space="preserve"> Debt!BZ$357</f>
        <v>0</v>
      </c>
      <c r="CA20" s="68">
        <f xml:space="preserve"> Debt!CA$357</f>
        <v>0</v>
      </c>
      <c r="CB20" s="68">
        <f xml:space="preserve"> Debt!CB$357</f>
        <v>0</v>
      </c>
      <c r="CC20" s="68">
        <f xml:space="preserve"> Debt!CC$357</f>
        <v>0</v>
      </c>
      <c r="CD20" s="68">
        <f xml:space="preserve"> Debt!CD$357</f>
        <v>0</v>
      </c>
      <c r="CE20" s="68">
        <f xml:space="preserve"> Debt!CE$357</f>
        <v>0</v>
      </c>
      <c r="CF20" s="68">
        <f xml:space="preserve"> Debt!CF$357</f>
        <v>0</v>
      </c>
      <c r="CG20" s="68">
        <f xml:space="preserve"> Debt!CG$357</f>
        <v>0</v>
      </c>
      <c r="CH20" s="68">
        <f xml:space="preserve"> Debt!CH$357</f>
        <v>0</v>
      </c>
      <c r="CI20" s="68">
        <f xml:space="preserve"> Debt!CI$357</f>
        <v>0</v>
      </c>
      <c r="CJ20" s="68">
        <f xml:space="preserve"> Debt!CJ$357</f>
        <v>0</v>
      </c>
      <c r="CK20" s="68">
        <f xml:space="preserve"> Debt!CK$357</f>
        <v>0</v>
      </c>
      <c r="CL20" s="68">
        <f xml:space="preserve"> Debt!CL$357</f>
        <v>0</v>
      </c>
      <c r="CM20" s="68">
        <f xml:space="preserve"> Debt!CM$357</f>
        <v>0</v>
      </c>
      <c r="CN20" s="68">
        <f xml:space="preserve"> Debt!CN$357</f>
        <v>0</v>
      </c>
      <c r="CO20" s="68">
        <f xml:space="preserve"> Debt!CO$357</f>
        <v>0</v>
      </c>
      <c r="CP20" s="68">
        <f xml:space="preserve"> Debt!CP$357</f>
        <v>0</v>
      </c>
      <c r="CQ20" s="68">
        <f xml:space="preserve"> Debt!CQ$357</f>
        <v>0</v>
      </c>
      <c r="CR20" s="68">
        <f xml:space="preserve"> Debt!CR$357</f>
        <v>0</v>
      </c>
      <c r="CS20" s="68">
        <f xml:space="preserve"> Debt!CS$357</f>
        <v>0</v>
      </c>
      <c r="CT20" s="68">
        <f xml:space="preserve"> Debt!CT$357</f>
        <v>0</v>
      </c>
      <c r="CU20" s="68">
        <f xml:space="preserve"> Debt!CU$357</f>
        <v>0</v>
      </c>
      <c r="CV20" s="68">
        <f xml:space="preserve"> Debt!CV$357</f>
        <v>0</v>
      </c>
      <c r="CW20" s="68">
        <f xml:space="preserve"> Debt!CW$357</f>
        <v>0</v>
      </c>
      <c r="CX20" s="68">
        <f xml:space="preserve"> Debt!CX$357</f>
        <v>0</v>
      </c>
      <c r="CY20" s="68">
        <f xml:space="preserve"> Debt!CY$357</f>
        <v>0</v>
      </c>
      <c r="CZ20" s="68">
        <f xml:space="preserve"> Debt!CZ$357</f>
        <v>0</v>
      </c>
      <c r="DA20" s="68">
        <f xml:space="preserve"> Debt!DA$357</f>
        <v>0</v>
      </c>
      <c r="DB20" s="68">
        <f xml:space="preserve"> Debt!DB$357</f>
        <v>0</v>
      </c>
      <c r="DC20" s="68">
        <f xml:space="preserve"> Debt!DC$357</f>
        <v>0</v>
      </c>
      <c r="DD20" s="68">
        <f xml:space="preserve"> Debt!DD$357</f>
        <v>0</v>
      </c>
      <c r="DE20" s="68">
        <f xml:space="preserve"> Debt!DE$357</f>
        <v>0</v>
      </c>
      <c r="DF20" s="68">
        <f xml:space="preserve"> Debt!DF$357</f>
        <v>0</v>
      </c>
      <c r="DG20" s="68">
        <f xml:space="preserve"> Debt!DG$357</f>
        <v>0</v>
      </c>
      <c r="DH20" s="68">
        <f xml:space="preserve"> Debt!DH$357</f>
        <v>0</v>
      </c>
      <c r="DI20" s="68">
        <f xml:space="preserve"> Debt!DI$357</f>
        <v>0</v>
      </c>
      <c r="DJ20" s="68">
        <f xml:space="preserve"> Debt!DJ$357</f>
        <v>0</v>
      </c>
      <c r="DK20" s="68">
        <f xml:space="preserve"> Debt!DK$357</f>
        <v>0</v>
      </c>
      <c r="DL20" s="68">
        <f xml:space="preserve"> Debt!DL$357</f>
        <v>0</v>
      </c>
      <c r="DM20" s="68">
        <f xml:space="preserve"> Debt!DM$357</f>
        <v>0</v>
      </c>
      <c r="DN20" s="68">
        <f xml:space="preserve"> Debt!DN$357</f>
        <v>0</v>
      </c>
      <c r="DO20" s="68">
        <f xml:space="preserve"> Debt!DO$357</f>
        <v>0</v>
      </c>
      <c r="DP20" s="68">
        <f xml:space="preserve"> Debt!DP$357</f>
        <v>0</v>
      </c>
      <c r="DQ20" s="68">
        <f xml:space="preserve"> Debt!DQ$357</f>
        <v>0</v>
      </c>
      <c r="DR20" s="68">
        <f xml:space="preserve"> Debt!DR$357</f>
        <v>0</v>
      </c>
      <c r="DS20" s="68">
        <f xml:space="preserve"> Debt!DS$357</f>
        <v>0</v>
      </c>
      <c r="DT20" s="68">
        <f xml:space="preserve"> Debt!DT$357</f>
        <v>0</v>
      </c>
      <c r="DU20" s="68">
        <f xml:space="preserve"> Debt!DU$357</f>
        <v>0</v>
      </c>
      <c r="DV20" s="68">
        <f xml:space="preserve"> Debt!DV$357</f>
        <v>0</v>
      </c>
      <c r="DW20" s="68">
        <f xml:space="preserve"> Debt!DW$357</f>
        <v>0</v>
      </c>
      <c r="DX20" s="68">
        <f xml:space="preserve"> Debt!DX$357</f>
        <v>0</v>
      </c>
      <c r="DY20" s="68">
        <f xml:space="preserve"> Debt!DY$357</f>
        <v>0</v>
      </c>
      <c r="DZ20" s="68">
        <f xml:space="preserve"> Debt!DZ$357</f>
        <v>0</v>
      </c>
      <c r="EA20" s="68">
        <f xml:space="preserve"> Debt!EA$357</f>
        <v>0</v>
      </c>
      <c r="EB20" s="68">
        <f xml:space="preserve"> Debt!EB$357</f>
        <v>0</v>
      </c>
      <c r="EC20" s="68">
        <f xml:space="preserve"> Debt!EC$357</f>
        <v>0</v>
      </c>
      <c r="ED20" s="68">
        <f xml:space="preserve"> Debt!ED$357</f>
        <v>0</v>
      </c>
      <c r="EE20" s="68">
        <f xml:space="preserve"> Debt!EE$357</f>
        <v>0</v>
      </c>
      <c r="EF20" s="68">
        <f xml:space="preserve"> Debt!EF$357</f>
        <v>0</v>
      </c>
      <c r="EG20" s="68">
        <f xml:space="preserve"> Debt!EG$357</f>
        <v>0</v>
      </c>
      <c r="EH20" s="68">
        <f xml:space="preserve"> Debt!EH$357</f>
        <v>0</v>
      </c>
      <c r="EI20" s="68">
        <f xml:space="preserve"> Debt!EI$357</f>
        <v>0</v>
      </c>
      <c r="EJ20" s="68">
        <f xml:space="preserve"> Debt!EJ$357</f>
        <v>0</v>
      </c>
      <c r="EK20" s="68">
        <f xml:space="preserve"> Debt!EK$357</f>
        <v>0</v>
      </c>
      <c r="EL20" s="68">
        <f xml:space="preserve"> Debt!EL$357</f>
        <v>0</v>
      </c>
      <c r="EM20" s="68">
        <f xml:space="preserve"> Debt!EM$357</f>
        <v>0</v>
      </c>
      <c r="EN20" s="68">
        <f xml:space="preserve"> Debt!EN$357</f>
        <v>0</v>
      </c>
      <c r="EO20" s="68">
        <f xml:space="preserve"> Debt!EO$357</f>
        <v>0</v>
      </c>
      <c r="EP20" s="68">
        <f xml:space="preserve"> Debt!EP$357</f>
        <v>0</v>
      </c>
      <c r="EQ20" s="68">
        <f xml:space="preserve"> Debt!EQ$357</f>
        <v>0</v>
      </c>
      <c r="ER20" s="68">
        <f xml:space="preserve"> Debt!ER$357</f>
        <v>0</v>
      </c>
      <c r="ES20" s="68">
        <f xml:space="preserve"> Debt!ES$357</f>
        <v>0</v>
      </c>
      <c r="ET20" s="68">
        <f xml:space="preserve"> Debt!ET$357</f>
        <v>0</v>
      </c>
      <c r="EU20" s="68">
        <f xml:space="preserve"> Debt!EU$357</f>
        <v>0</v>
      </c>
      <c r="EV20" s="68">
        <f xml:space="preserve"> Debt!EV$357</f>
        <v>0</v>
      </c>
      <c r="EW20" s="68">
        <f xml:space="preserve"> Debt!EW$357</f>
        <v>0</v>
      </c>
      <c r="EX20" s="68">
        <f xml:space="preserve"> Debt!EX$357</f>
        <v>0</v>
      </c>
      <c r="EY20" s="68">
        <f xml:space="preserve"> Debt!EY$357</f>
        <v>0</v>
      </c>
      <c r="EZ20" s="68">
        <f xml:space="preserve"> Debt!EZ$357</f>
        <v>0</v>
      </c>
      <c r="FA20" s="68">
        <f xml:space="preserve"> Debt!FA$357</f>
        <v>0</v>
      </c>
      <c r="FB20" s="68">
        <f xml:space="preserve"> Debt!FB$357</f>
        <v>0</v>
      </c>
      <c r="FC20" s="68">
        <f xml:space="preserve"> Debt!FC$357</f>
        <v>0</v>
      </c>
      <c r="FD20" s="68">
        <f xml:space="preserve"> Debt!FD$357</f>
        <v>0</v>
      </c>
      <c r="FE20" s="68">
        <f xml:space="preserve"> Debt!FE$357</f>
        <v>0</v>
      </c>
      <c r="FF20" s="68">
        <f xml:space="preserve"> Debt!FF$357</f>
        <v>0</v>
      </c>
      <c r="FG20" s="68">
        <f xml:space="preserve"> Debt!FG$357</f>
        <v>0</v>
      </c>
      <c r="FH20" s="68">
        <f xml:space="preserve"> Debt!FH$357</f>
        <v>0</v>
      </c>
      <c r="FI20" s="68">
        <f xml:space="preserve"> Debt!FI$357</f>
        <v>0</v>
      </c>
      <c r="FJ20" s="68">
        <f xml:space="preserve"> Debt!FJ$357</f>
        <v>0</v>
      </c>
      <c r="FK20" s="68">
        <f xml:space="preserve"> Debt!FK$357</f>
        <v>0</v>
      </c>
      <c r="FL20" s="68">
        <f xml:space="preserve"> Debt!FL$357</f>
        <v>0</v>
      </c>
      <c r="FM20" s="68">
        <f xml:space="preserve"> Debt!FM$357</f>
        <v>0</v>
      </c>
      <c r="FN20" s="68">
        <f xml:space="preserve"> Debt!FN$357</f>
        <v>0</v>
      </c>
      <c r="FO20" s="68">
        <f xml:space="preserve"> Debt!FO$357</f>
        <v>0</v>
      </c>
      <c r="FP20" s="68">
        <f xml:space="preserve"> Debt!FP$357</f>
        <v>0</v>
      </c>
      <c r="FQ20" s="68">
        <f xml:space="preserve"> Debt!FQ$357</f>
        <v>0</v>
      </c>
      <c r="FR20" s="68">
        <f xml:space="preserve"> Debt!FR$357</f>
        <v>0</v>
      </c>
      <c r="FS20" s="68">
        <f xml:space="preserve"> Debt!FS$357</f>
        <v>0</v>
      </c>
      <c r="FT20" s="68">
        <f xml:space="preserve"> Debt!FT$357</f>
        <v>0</v>
      </c>
      <c r="FU20" s="68">
        <f xml:space="preserve"> Debt!FU$357</f>
        <v>0</v>
      </c>
      <c r="FV20" s="68">
        <f xml:space="preserve"> Debt!FV$357</f>
        <v>0</v>
      </c>
      <c r="FW20" s="68">
        <f xml:space="preserve"> Debt!FW$357</f>
        <v>0</v>
      </c>
      <c r="FX20" s="68">
        <f xml:space="preserve"> Debt!FX$357</f>
        <v>0</v>
      </c>
      <c r="FY20" s="68">
        <f xml:space="preserve"> Debt!FY$357</f>
        <v>0</v>
      </c>
      <c r="FZ20" s="68">
        <f xml:space="preserve"> Debt!FZ$357</f>
        <v>0</v>
      </c>
      <c r="GA20" s="68">
        <f xml:space="preserve"> Debt!GA$357</f>
        <v>0</v>
      </c>
      <c r="GB20" s="68">
        <f xml:space="preserve"> Debt!GB$357</f>
        <v>0</v>
      </c>
      <c r="GC20" s="68">
        <f xml:space="preserve"> Debt!GC$357</f>
        <v>0</v>
      </c>
      <c r="GD20" s="68">
        <f xml:space="preserve"> Debt!GD$357</f>
        <v>0</v>
      </c>
      <c r="GE20" s="68">
        <f xml:space="preserve"> Debt!GE$357</f>
        <v>0</v>
      </c>
      <c r="GF20" s="68">
        <f xml:space="preserve"> Debt!GF$357</f>
        <v>0</v>
      </c>
      <c r="GG20" s="68">
        <f xml:space="preserve"> Debt!GG$357</f>
        <v>0</v>
      </c>
      <c r="GH20" s="68">
        <f xml:space="preserve"> Debt!GH$357</f>
        <v>0</v>
      </c>
      <c r="GI20" s="68">
        <f xml:space="preserve"> Debt!GI$357</f>
        <v>0</v>
      </c>
      <c r="GJ20" s="68">
        <f xml:space="preserve"> Debt!GJ$357</f>
        <v>0</v>
      </c>
    </row>
    <row r="21" spans="1:192" s="192" customFormat="1" outlineLevel="1" x14ac:dyDescent="0.2">
      <c r="A21" s="205"/>
      <c r="B21" s="205"/>
      <c r="C21" s="206"/>
      <c r="D21" s="209"/>
      <c r="E21" s="235" t="str">
        <f xml:space="preserve"> Debt!E$398</f>
        <v>Standby debt interest - T1</v>
      </c>
      <c r="F21" s="235">
        <f xml:space="preserve"> Debt!F$398</f>
        <v>0</v>
      </c>
      <c r="G21" s="235" t="str">
        <f xml:space="preserve"> Debt!G$398</f>
        <v>$ 000s</v>
      </c>
      <c r="H21" s="235">
        <f xml:space="preserve"> Debt!H$398</f>
        <v>0</v>
      </c>
      <c r="I21" s="235">
        <f xml:space="preserve"> Debt!I$398</f>
        <v>0</v>
      </c>
      <c r="J21" s="235">
        <f xml:space="preserve"> Debt!J$398</f>
        <v>0</v>
      </c>
      <c r="K21" s="235">
        <f xml:space="preserve"> Debt!K$398</f>
        <v>0</v>
      </c>
      <c r="L21" s="235">
        <f xml:space="preserve"> Debt!L$398</f>
        <v>0</v>
      </c>
      <c r="M21" s="235">
        <f xml:space="preserve"> Debt!M$398</f>
        <v>0</v>
      </c>
      <c r="N21" s="235">
        <f xml:space="preserve"> Debt!N$398</f>
        <v>0</v>
      </c>
      <c r="O21" s="235">
        <f xml:space="preserve"> Debt!O$398</f>
        <v>0</v>
      </c>
      <c r="P21" s="235">
        <f xml:space="preserve"> Debt!P$398</f>
        <v>0</v>
      </c>
      <c r="Q21" s="235">
        <f xml:space="preserve"> Debt!Q$398</f>
        <v>0</v>
      </c>
      <c r="R21" s="235">
        <f xml:space="preserve"> Debt!R$398</f>
        <v>0</v>
      </c>
      <c r="S21" s="235">
        <f xml:space="preserve"> Debt!S$398</f>
        <v>0</v>
      </c>
      <c r="T21" s="235">
        <f xml:space="preserve"> Debt!T$398</f>
        <v>0</v>
      </c>
      <c r="U21" s="235">
        <f xml:space="preserve"> Debt!U$398</f>
        <v>0</v>
      </c>
      <c r="V21" s="235">
        <f xml:space="preserve"> Debt!V$398</f>
        <v>0</v>
      </c>
      <c r="W21" s="235">
        <f xml:space="preserve"> Debt!W$398</f>
        <v>0</v>
      </c>
      <c r="X21" s="235">
        <f xml:space="preserve"> Debt!X$398</f>
        <v>0</v>
      </c>
      <c r="Y21" s="235">
        <f xml:space="preserve"> Debt!Y$398</f>
        <v>0</v>
      </c>
      <c r="Z21" s="235">
        <f xml:space="preserve"> Debt!Z$398</f>
        <v>0</v>
      </c>
      <c r="AA21" s="235">
        <f xml:space="preserve"> Debt!AA$398</f>
        <v>0</v>
      </c>
      <c r="AB21" s="235">
        <f xml:space="preserve"> Debt!AB$398</f>
        <v>0</v>
      </c>
      <c r="AC21" s="235">
        <f xml:space="preserve"> Debt!AC$398</f>
        <v>0</v>
      </c>
      <c r="AD21" s="235">
        <f xml:space="preserve"> Debt!AD$398</f>
        <v>0</v>
      </c>
      <c r="AE21" s="235">
        <f xml:space="preserve"> Debt!AE$398</f>
        <v>0</v>
      </c>
      <c r="AF21" s="235">
        <f xml:space="preserve"> Debt!AF$398</f>
        <v>0</v>
      </c>
      <c r="AG21" s="235">
        <f xml:space="preserve"> Debt!AG$398</f>
        <v>0</v>
      </c>
      <c r="AH21" s="235">
        <f xml:space="preserve"> Debt!AH$398</f>
        <v>0</v>
      </c>
      <c r="AI21" s="235">
        <f xml:space="preserve"> Debt!AI$398</f>
        <v>0</v>
      </c>
      <c r="AJ21" s="235">
        <f xml:space="preserve"> Debt!AJ$398</f>
        <v>0</v>
      </c>
      <c r="AK21" s="235">
        <f xml:space="preserve"> Debt!AK$398</f>
        <v>0</v>
      </c>
      <c r="AL21" s="235">
        <f xml:space="preserve"> Debt!AL$398</f>
        <v>0</v>
      </c>
      <c r="AM21" s="235">
        <f xml:space="preserve"> Debt!AM$398</f>
        <v>0</v>
      </c>
      <c r="AN21" s="235">
        <f xml:space="preserve"> Debt!AN$398</f>
        <v>0</v>
      </c>
      <c r="AO21" s="235">
        <f xml:space="preserve"> Debt!AO$398</f>
        <v>0</v>
      </c>
      <c r="AP21" s="235">
        <f xml:space="preserve"> Debt!AP$398</f>
        <v>0</v>
      </c>
      <c r="AQ21" s="235">
        <f xml:space="preserve"> Debt!AQ$398</f>
        <v>0</v>
      </c>
      <c r="AR21" s="235">
        <f xml:space="preserve"> Debt!AR$398</f>
        <v>0</v>
      </c>
      <c r="AS21" s="235">
        <f xml:space="preserve"> Debt!AS$398</f>
        <v>0</v>
      </c>
      <c r="AT21" s="235">
        <f xml:space="preserve"> Debt!AT$398</f>
        <v>0</v>
      </c>
      <c r="AU21" s="235">
        <f xml:space="preserve"> Debt!AU$398</f>
        <v>0</v>
      </c>
      <c r="AV21" s="235">
        <f xml:space="preserve"> Debt!AV$398</f>
        <v>0</v>
      </c>
      <c r="AW21" s="235">
        <f xml:space="preserve"> Debt!AW$398</f>
        <v>0</v>
      </c>
      <c r="AX21" s="235">
        <f xml:space="preserve"> Debt!AX$398</f>
        <v>0</v>
      </c>
      <c r="AY21" s="235">
        <f xml:space="preserve"> Debt!AY$398</f>
        <v>0</v>
      </c>
      <c r="AZ21" s="235">
        <f xml:space="preserve"> Debt!AZ$398</f>
        <v>0</v>
      </c>
      <c r="BA21" s="235">
        <f xml:space="preserve"> Debt!BA$398</f>
        <v>0</v>
      </c>
      <c r="BB21" s="235">
        <f xml:space="preserve"> Debt!BB$398</f>
        <v>0</v>
      </c>
      <c r="BC21" s="235">
        <f xml:space="preserve"> Debt!BC$398</f>
        <v>0</v>
      </c>
      <c r="BD21" s="235">
        <f xml:space="preserve"> Debt!BD$398</f>
        <v>0</v>
      </c>
      <c r="BE21" s="235">
        <f xml:space="preserve"> Debt!BE$398</f>
        <v>0</v>
      </c>
      <c r="BF21" s="235">
        <f xml:space="preserve"> Debt!BF$398</f>
        <v>0</v>
      </c>
      <c r="BG21" s="235">
        <f xml:space="preserve"> Debt!BG$398</f>
        <v>0</v>
      </c>
      <c r="BH21" s="235">
        <f xml:space="preserve"> Debt!BH$398</f>
        <v>0</v>
      </c>
      <c r="BI21" s="235">
        <f xml:space="preserve"> Debt!BI$398</f>
        <v>0</v>
      </c>
      <c r="BJ21" s="235">
        <f xml:space="preserve"> Debt!BJ$398</f>
        <v>0</v>
      </c>
      <c r="BK21" s="235">
        <f xml:space="preserve"> Debt!BK$398</f>
        <v>0</v>
      </c>
      <c r="BL21" s="235">
        <f xml:space="preserve"> Debt!BL$398</f>
        <v>0</v>
      </c>
      <c r="BM21" s="235">
        <f xml:space="preserve"> Debt!BM$398</f>
        <v>0</v>
      </c>
      <c r="BN21" s="235">
        <f xml:space="preserve"> Debt!BN$398</f>
        <v>0</v>
      </c>
      <c r="BO21" s="235">
        <f xml:space="preserve"> Debt!BO$398</f>
        <v>0</v>
      </c>
      <c r="BP21" s="235">
        <f xml:space="preserve"> Debt!BP$398</f>
        <v>0</v>
      </c>
      <c r="BQ21" s="235">
        <f xml:space="preserve"> Debt!BQ$398</f>
        <v>0</v>
      </c>
      <c r="BR21" s="235">
        <f xml:space="preserve"> Debt!BR$398</f>
        <v>0</v>
      </c>
      <c r="BS21" s="235">
        <f xml:space="preserve"> Debt!BS$398</f>
        <v>0</v>
      </c>
      <c r="BT21" s="235">
        <f xml:space="preserve"> Debt!BT$398</f>
        <v>0</v>
      </c>
      <c r="BU21" s="235">
        <f xml:space="preserve"> Debt!BU$398</f>
        <v>0</v>
      </c>
      <c r="BV21" s="235">
        <f xml:space="preserve"> Debt!BV$398</f>
        <v>0</v>
      </c>
      <c r="BW21" s="235">
        <f xml:space="preserve"> Debt!BW$398</f>
        <v>0</v>
      </c>
      <c r="BX21" s="235">
        <f xml:space="preserve"> Debt!BX$398</f>
        <v>0</v>
      </c>
      <c r="BY21" s="235">
        <f xml:space="preserve"> Debt!BY$398</f>
        <v>0</v>
      </c>
      <c r="BZ21" s="235">
        <f xml:space="preserve"> Debt!BZ$398</f>
        <v>0</v>
      </c>
      <c r="CA21" s="235">
        <f xml:space="preserve"> Debt!CA$398</f>
        <v>0</v>
      </c>
      <c r="CB21" s="235">
        <f xml:space="preserve"> Debt!CB$398</f>
        <v>0</v>
      </c>
      <c r="CC21" s="235">
        <f xml:space="preserve"> Debt!CC$398</f>
        <v>0</v>
      </c>
      <c r="CD21" s="235">
        <f xml:space="preserve"> Debt!CD$398</f>
        <v>0</v>
      </c>
      <c r="CE21" s="235">
        <f xml:space="preserve"> Debt!CE$398</f>
        <v>0</v>
      </c>
      <c r="CF21" s="235">
        <f xml:space="preserve"> Debt!CF$398</f>
        <v>0</v>
      </c>
      <c r="CG21" s="235">
        <f xml:space="preserve"> Debt!CG$398</f>
        <v>0</v>
      </c>
      <c r="CH21" s="235">
        <f xml:space="preserve"> Debt!CH$398</f>
        <v>0</v>
      </c>
      <c r="CI21" s="235">
        <f xml:space="preserve"> Debt!CI$398</f>
        <v>0</v>
      </c>
      <c r="CJ21" s="235">
        <f xml:space="preserve"> Debt!CJ$398</f>
        <v>0</v>
      </c>
      <c r="CK21" s="235">
        <f xml:space="preserve"> Debt!CK$398</f>
        <v>0</v>
      </c>
      <c r="CL21" s="235">
        <f xml:space="preserve"> Debt!CL$398</f>
        <v>0</v>
      </c>
      <c r="CM21" s="235">
        <f xml:space="preserve"> Debt!CM$398</f>
        <v>0</v>
      </c>
      <c r="CN21" s="235">
        <f xml:space="preserve"> Debt!CN$398</f>
        <v>0</v>
      </c>
      <c r="CO21" s="235">
        <f xml:space="preserve"> Debt!CO$398</f>
        <v>0</v>
      </c>
      <c r="CP21" s="235">
        <f xml:space="preserve"> Debt!CP$398</f>
        <v>0</v>
      </c>
      <c r="CQ21" s="235">
        <f xml:space="preserve"> Debt!CQ$398</f>
        <v>0</v>
      </c>
      <c r="CR21" s="235">
        <f xml:space="preserve"> Debt!CR$398</f>
        <v>0</v>
      </c>
      <c r="CS21" s="235">
        <f xml:space="preserve"> Debt!CS$398</f>
        <v>0</v>
      </c>
      <c r="CT21" s="235">
        <f xml:space="preserve"> Debt!CT$398</f>
        <v>0</v>
      </c>
      <c r="CU21" s="235">
        <f xml:space="preserve"> Debt!CU$398</f>
        <v>0</v>
      </c>
      <c r="CV21" s="235">
        <f xml:space="preserve"> Debt!CV$398</f>
        <v>0</v>
      </c>
    </row>
    <row r="22" spans="1:192" s="192" customFormat="1" outlineLevel="1" x14ac:dyDescent="0.2">
      <c r="A22" s="205"/>
      <c r="B22" s="205"/>
      <c r="C22" s="206"/>
      <c r="D22" s="209"/>
      <c r="E22" s="235" t="str">
        <f xml:space="preserve"> Debt!E$430</f>
        <v>Standby debt interest - T2</v>
      </c>
      <c r="F22" s="235">
        <f xml:space="preserve"> Debt!F$430</f>
        <v>0</v>
      </c>
      <c r="G22" s="235" t="str">
        <f xml:space="preserve"> Debt!G$430</f>
        <v>$ 000s</v>
      </c>
      <c r="H22" s="235">
        <f xml:space="preserve"> Debt!H$430</f>
        <v>0</v>
      </c>
      <c r="I22" s="235">
        <f xml:space="preserve"> Debt!I$430</f>
        <v>0</v>
      </c>
      <c r="J22" s="235">
        <f xml:space="preserve"> Debt!J$430</f>
        <v>0</v>
      </c>
      <c r="K22" s="235">
        <f xml:space="preserve"> Debt!K$430</f>
        <v>0</v>
      </c>
      <c r="L22" s="235">
        <f xml:space="preserve"> Debt!L$430</f>
        <v>0</v>
      </c>
      <c r="M22" s="235">
        <f xml:space="preserve"> Debt!M$430</f>
        <v>0</v>
      </c>
      <c r="N22" s="235">
        <f xml:space="preserve"> Debt!N$430</f>
        <v>0</v>
      </c>
      <c r="O22" s="235">
        <f xml:space="preserve"> Debt!O$430</f>
        <v>0</v>
      </c>
      <c r="P22" s="235">
        <f xml:space="preserve"> Debt!P$430</f>
        <v>0</v>
      </c>
      <c r="Q22" s="235">
        <f xml:space="preserve"> Debt!Q$430</f>
        <v>0</v>
      </c>
      <c r="R22" s="235">
        <f xml:space="preserve"> Debt!R$430</f>
        <v>0</v>
      </c>
      <c r="S22" s="235">
        <f xml:space="preserve"> Debt!S$430</f>
        <v>0</v>
      </c>
      <c r="T22" s="235">
        <f xml:space="preserve"> Debt!T$430</f>
        <v>0</v>
      </c>
      <c r="U22" s="235">
        <f xml:space="preserve"> Debt!U$430</f>
        <v>0</v>
      </c>
      <c r="V22" s="235">
        <f xml:space="preserve"> Debt!V$430</f>
        <v>0</v>
      </c>
      <c r="W22" s="235">
        <f xml:space="preserve"> Debt!W$430</f>
        <v>0</v>
      </c>
      <c r="X22" s="235">
        <f xml:space="preserve"> Debt!X$430</f>
        <v>0</v>
      </c>
      <c r="Y22" s="235">
        <f xml:space="preserve"> Debt!Y$430</f>
        <v>0</v>
      </c>
      <c r="Z22" s="235">
        <f xml:space="preserve"> Debt!Z$430</f>
        <v>0</v>
      </c>
      <c r="AA22" s="235">
        <f xml:space="preserve"> Debt!AA$430</f>
        <v>0</v>
      </c>
      <c r="AB22" s="235">
        <f xml:space="preserve"> Debt!AB$430</f>
        <v>0</v>
      </c>
      <c r="AC22" s="235">
        <f xml:space="preserve"> Debt!AC$430</f>
        <v>0</v>
      </c>
      <c r="AD22" s="235">
        <f xml:space="preserve"> Debt!AD$430</f>
        <v>0</v>
      </c>
      <c r="AE22" s="235">
        <f xml:space="preserve"> Debt!AE$430</f>
        <v>0</v>
      </c>
      <c r="AF22" s="235">
        <f xml:space="preserve"> Debt!AF$430</f>
        <v>0</v>
      </c>
      <c r="AG22" s="235">
        <f xml:space="preserve"> Debt!AG$430</f>
        <v>0</v>
      </c>
      <c r="AH22" s="235">
        <f xml:space="preserve"> Debt!AH$430</f>
        <v>0</v>
      </c>
      <c r="AI22" s="235">
        <f xml:space="preserve"> Debt!AI$430</f>
        <v>0</v>
      </c>
      <c r="AJ22" s="235">
        <f xml:space="preserve"> Debt!AJ$430</f>
        <v>0</v>
      </c>
      <c r="AK22" s="235">
        <f xml:space="preserve"> Debt!AK$430</f>
        <v>0</v>
      </c>
      <c r="AL22" s="235">
        <f xml:space="preserve"> Debt!AL$430</f>
        <v>0</v>
      </c>
      <c r="AM22" s="235">
        <f xml:space="preserve"> Debt!AM$430</f>
        <v>0</v>
      </c>
      <c r="AN22" s="235">
        <f xml:space="preserve"> Debt!AN$430</f>
        <v>0</v>
      </c>
      <c r="AO22" s="235">
        <f xml:space="preserve"> Debt!AO$430</f>
        <v>0</v>
      </c>
      <c r="AP22" s="235">
        <f xml:space="preserve"> Debt!AP$430</f>
        <v>0</v>
      </c>
      <c r="AQ22" s="235">
        <f xml:space="preserve"> Debt!AQ$430</f>
        <v>0</v>
      </c>
      <c r="AR22" s="235">
        <f xml:space="preserve"> Debt!AR$430</f>
        <v>0</v>
      </c>
      <c r="AS22" s="235">
        <f xml:space="preserve"> Debt!AS$430</f>
        <v>0</v>
      </c>
      <c r="AT22" s="235">
        <f xml:space="preserve"> Debt!AT$430</f>
        <v>0</v>
      </c>
      <c r="AU22" s="235">
        <f xml:space="preserve"> Debt!AU$430</f>
        <v>0</v>
      </c>
      <c r="AV22" s="235">
        <f xml:space="preserve"> Debt!AV$430</f>
        <v>0</v>
      </c>
      <c r="AW22" s="235">
        <f xml:space="preserve"> Debt!AW$430</f>
        <v>0</v>
      </c>
      <c r="AX22" s="235">
        <f xml:space="preserve"> Debt!AX$430</f>
        <v>0</v>
      </c>
      <c r="AY22" s="235">
        <f xml:space="preserve"> Debt!AY$430</f>
        <v>0</v>
      </c>
      <c r="AZ22" s="235">
        <f xml:space="preserve"> Debt!AZ$430</f>
        <v>0</v>
      </c>
      <c r="BA22" s="235">
        <f xml:space="preserve"> Debt!BA$430</f>
        <v>0</v>
      </c>
      <c r="BB22" s="235">
        <f xml:space="preserve"> Debt!BB$430</f>
        <v>0</v>
      </c>
      <c r="BC22" s="235">
        <f xml:space="preserve"> Debt!BC$430</f>
        <v>0</v>
      </c>
      <c r="BD22" s="235">
        <f xml:space="preserve"> Debt!BD$430</f>
        <v>0</v>
      </c>
      <c r="BE22" s="235">
        <f xml:space="preserve"> Debt!BE$430</f>
        <v>0</v>
      </c>
      <c r="BF22" s="235">
        <f xml:space="preserve"> Debt!BF$430</f>
        <v>0</v>
      </c>
      <c r="BG22" s="235">
        <f xml:space="preserve"> Debt!BG$430</f>
        <v>0</v>
      </c>
      <c r="BH22" s="235">
        <f xml:space="preserve"> Debt!BH$430</f>
        <v>0</v>
      </c>
      <c r="BI22" s="235">
        <f xml:space="preserve"> Debt!BI$430</f>
        <v>0</v>
      </c>
      <c r="BJ22" s="235">
        <f xml:space="preserve"> Debt!BJ$430</f>
        <v>0</v>
      </c>
      <c r="BK22" s="235">
        <f xml:space="preserve"> Debt!BK$430</f>
        <v>0</v>
      </c>
      <c r="BL22" s="235">
        <f xml:space="preserve"> Debt!BL$430</f>
        <v>0</v>
      </c>
      <c r="BM22" s="235">
        <f xml:space="preserve"> Debt!BM$430</f>
        <v>0</v>
      </c>
      <c r="BN22" s="235">
        <f xml:space="preserve"> Debt!BN$430</f>
        <v>0</v>
      </c>
      <c r="BO22" s="235">
        <f xml:space="preserve"> Debt!BO$430</f>
        <v>0</v>
      </c>
      <c r="BP22" s="235">
        <f xml:space="preserve"> Debt!BP$430</f>
        <v>0</v>
      </c>
      <c r="BQ22" s="235">
        <f xml:space="preserve"> Debt!BQ$430</f>
        <v>0</v>
      </c>
      <c r="BR22" s="235">
        <f xml:space="preserve"> Debt!BR$430</f>
        <v>0</v>
      </c>
      <c r="BS22" s="235">
        <f xml:space="preserve"> Debt!BS$430</f>
        <v>0</v>
      </c>
      <c r="BT22" s="235">
        <f xml:space="preserve"> Debt!BT$430</f>
        <v>0</v>
      </c>
      <c r="BU22" s="235">
        <f xml:space="preserve"> Debt!BU$430</f>
        <v>0</v>
      </c>
      <c r="BV22" s="235">
        <f xml:space="preserve"> Debt!BV$430</f>
        <v>0</v>
      </c>
      <c r="BW22" s="235">
        <f xml:space="preserve"> Debt!BW$430</f>
        <v>0</v>
      </c>
      <c r="BX22" s="235">
        <f xml:space="preserve"> Debt!BX$430</f>
        <v>0</v>
      </c>
      <c r="BY22" s="235">
        <f xml:space="preserve"> Debt!BY$430</f>
        <v>0</v>
      </c>
      <c r="BZ22" s="235">
        <f xml:space="preserve"> Debt!BZ$430</f>
        <v>0</v>
      </c>
      <c r="CA22" s="235">
        <f xml:space="preserve"> Debt!CA$430</f>
        <v>0</v>
      </c>
      <c r="CB22" s="235">
        <f xml:space="preserve"> Debt!CB$430</f>
        <v>0</v>
      </c>
      <c r="CC22" s="235">
        <f xml:space="preserve"> Debt!CC$430</f>
        <v>0</v>
      </c>
      <c r="CD22" s="235">
        <f xml:space="preserve"> Debt!CD$430</f>
        <v>0</v>
      </c>
      <c r="CE22" s="235">
        <f xml:space="preserve"> Debt!CE$430</f>
        <v>0</v>
      </c>
      <c r="CF22" s="235">
        <f xml:space="preserve"> Debt!CF$430</f>
        <v>0</v>
      </c>
      <c r="CG22" s="235">
        <f xml:space="preserve"> Debt!CG$430</f>
        <v>0</v>
      </c>
      <c r="CH22" s="235">
        <f xml:space="preserve"> Debt!CH$430</f>
        <v>0</v>
      </c>
      <c r="CI22" s="235">
        <f xml:space="preserve"> Debt!CI$430</f>
        <v>0</v>
      </c>
      <c r="CJ22" s="235">
        <f xml:space="preserve"> Debt!CJ$430</f>
        <v>0</v>
      </c>
      <c r="CK22" s="235">
        <f xml:space="preserve"> Debt!CK$430</f>
        <v>0</v>
      </c>
      <c r="CL22" s="235">
        <f xml:space="preserve"> Debt!CL$430</f>
        <v>0</v>
      </c>
      <c r="CM22" s="235">
        <f xml:space="preserve"> Debt!CM$430</f>
        <v>0</v>
      </c>
      <c r="CN22" s="235">
        <f xml:space="preserve"> Debt!CN$430</f>
        <v>0</v>
      </c>
      <c r="CO22" s="235">
        <f xml:space="preserve"> Debt!CO$430</f>
        <v>0</v>
      </c>
      <c r="CP22" s="235">
        <f xml:space="preserve"> Debt!CP$430</f>
        <v>0</v>
      </c>
      <c r="CQ22" s="235">
        <f xml:space="preserve"> Debt!CQ$430</f>
        <v>0</v>
      </c>
      <c r="CR22" s="235">
        <f xml:space="preserve"> Debt!CR$430</f>
        <v>0</v>
      </c>
      <c r="CS22" s="235">
        <f xml:space="preserve"> Debt!CS$430</f>
        <v>0</v>
      </c>
      <c r="CT22" s="235">
        <f xml:space="preserve"> Debt!CT$430</f>
        <v>0</v>
      </c>
      <c r="CU22" s="235">
        <f xml:space="preserve"> Debt!CU$430</f>
        <v>0</v>
      </c>
      <c r="CV22" s="235">
        <f xml:space="preserve"> Debt!CV$430</f>
        <v>0</v>
      </c>
    </row>
    <row r="23" spans="1:192" s="192" customFormat="1" outlineLevel="1" x14ac:dyDescent="0.2">
      <c r="A23" s="205"/>
      <c r="B23" s="205"/>
      <c r="C23" s="206"/>
      <c r="D23" s="209"/>
      <c r="E23" s="235" t="str">
        <f xml:space="preserve"> Debt!E$583</f>
        <v>WCF commitment fee</v>
      </c>
      <c r="F23" s="235">
        <f xml:space="preserve"> Debt!F$583</f>
        <v>0</v>
      </c>
      <c r="G23" s="235" t="str">
        <f xml:space="preserve"> Debt!G$583</f>
        <v>$ 000s</v>
      </c>
      <c r="H23" s="235">
        <f xml:space="preserve"> Debt!H$583</f>
        <v>0</v>
      </c>
      <c r="I23" s="235">
        <f xml:space="preserve"> Debt!I$583</f>
        <v>0</v>
      </c>
      <c r="J23" s="235">
        <f xml:space="preserve"> Debt!J$583</f>
        <v>0</v>
      </c>
      <c r="K23" s="235">
        <f xml:space="preserve"> Debt!K$583</f>
        <v>0</v>
      </c>
      <c r="L23" s="235">
        <f xml:space="preserve"> Debt!L$583</f>
        <v>0</v>
      </c>
      <c r="M23" s="235">
        <f xml:space="preserve"> Debt!M$583</f>
        <v>0</v>
      </c>
      <c r="N23" s="235">
        <f xml:space="preserve"> Debt!N$583</f>
        <v>0</v>
      </c>
      <c r="O23" s="235">
        <f xml:space="preserve"> Debt!O$583</f>
        <v>0</v>
      </c>
      <c r="P23" s="235">
        <f xml:space="preserve"> Debt!P$583</f>
        <v>0</v>
      </c>
      <c r="Q23" s="235">
        <f xml:space="preserve"> Debt!Q$583</f>
        <v>0</v>
      </c>
      <c r="R23" s="235">
        <f xml:space="preserve"> Debt!R$583</f>
        <v>0</v>
      </c>
      <c r="S23" s="235">
        <f xml:space="preserve"> Debt!S$583</f>
        <v>0</v>
      </c>
      <c r="T23" s="235">
        <f xml:space="preserve"> Debt!T$583</f>
        <v>0</v>
      </c>
      <c r="U23" s="235">
        <f xml:space="preserve"> Debt!U$583</f>
        <v>0</v>
      </c>
      <c r="V23" s="235">
        <f xml:space="preserve"> Debt!V$583</f>
        <v>0</v>
      </c>
      <c r="W23" s="235">
        <f xml:space="preserve"> Debt!W$583</f>
        <v>0</v>
      </c>
      <c r="X23" s="235">
        <f xml:space="preserve"> Debt!X$583</f>
        <v>0</v>
      </c>
      <c r="Y23" s="235">
        <f xml:space="preserve"> Debt!Y$583</f>
        <v>0</v>
      </c>
      <c r="Z23" s="235">
        <f xml:space="preserve"> Debt!Z$583</f>
        <v>0</v>
      </c>
      <c r="AA23" s="235">
        <f xml:space="preserve"> Debt!AA$583</f>
        <v>0</v>
      </c>
      <c r="AB23" s="235">
        <f xml:space="preserve"> Debt!AB$583</f>
        <v>0</v>
      </c>
      <c r="AC23" s="235">
        <f xml:space="preserve"> Debt!AC$583</f>
        <v>0</v>
      </c>
      <c r="AD23" s="235">
        <f xml:space="preserve"> Debt!AD$583</f>
        <v>0</v>
      </c>
      <c r="AE23" s="235">
        <f xml:space="preserve"> Debt!AE$583</f>
        <v>0</v>
      </c>
      <c r="AF23" s="235">
        <f xml:space="preserve"> Debt!AF$583</f>
        <v>0</v>
      </c>
      <c r="AG23" s="235">
        <f xml:space="preserve"> Debt!AG$583</f>
        <v>0</v>
      </c>
      <c r="AH23" s="235">
        <f xml:space="preserve"> Debt!AH$583</f>
        <v>0</v>
      </c>
      <c r="AI23" s="235">
        <f xml:space="preserve"> Debt!AI$583</f>
        <v>0</v>
      </c>
      <c r="AJ23" s="235">
        <f xml:space="preserve"> Debt!AJ$583</f>
        <v>0</v>
      </c>
      <c r="AK23" s="235">
        <f xml:space="preserve"> Debt!AK$583</f>
        <v>0</v>
      </c>
      <c r="AL23" s="235">
        <f xml:space="preserve"> Debt!AL$583</f>
        <v>0</v>
      </c>
      <c r="AM23" s="235">
        <f xml:space="preserve"> Debt!AM$583</f>
        <v>0</v>
      </c>
      <c r="AN23" s="235">
        <f xml:space="preserve"> Debt!AN$583</f>
        <v>0</v>
      </c>
      <c r="AO23" s="235">
        <f xml:space="preserve"> Debt!AO$583</f>
        <v>0</v>
      </c>
      <c r="AP23" s="235">
        <f xml:space="preserve"> Debt!AP$583</f>
        <v>0</v>
      </c>
      <c r="AQ23" s="235">
        <f xml:space="preserve"> Debt!AQ$583</f>
        <v>0</v>
      </c>
      <c r="AR23" s="235">
        <f xml:space="preserve"> Debt!AR$583</f>
        <v>0</v>
      </c>
      <c r="AS23" s="235">
        <f xml:space="preserve"> Debt!AS$583</f>
        <v>0</v>
      </c>
      <c r="AT23" s="235">
        <f xml:space="preserve"> Debt!AT$583</f>
        <v>0</v>
      </c>
      <c r="AU23" s="235">
        <f xml:space="preserve"> Debt!AU$583</f>
        <v>0</v>
      </c>
      <c r="AV23" s="235">
        <f xml:space="preserve"> Debt!AV$583</f>
        <v>0</v>
      </c>
      <c r="AW23" s="235">
        <f xml:space="preserve"> Debt!AW$583</f>
        <v>0</v>
      </c>
      <c r="AX23" s="235">
        <f xml:space="preserve"> Debt!AX$583</f>
        <v>0</v>
      </c>
      <c r="AY23" s="235">
        <f xml:space="preserve"> Debt!AY$583</f>
        <v>0</v>
      </c>
      <c r="AZ23" s="235">
        <f xml:space="preserve"> Debt!AZ$583</f>
        <v>0</v>
      </c>
      <c r="BA23" s="235">
        <f xml:space="preserve"> Debt!BA$583</f>
        <v>0</v>
      </c>
      <c r="BB23" s="235">
        <f xml:space="preserve"> Debt!BB$583</f>
        <v>0</v>
      </c>
      <c r="BC23" s="235">
        <f xml:space="preserve"> Debt!BC$583</f>
        <v>0</v>
      </c>
      <c r="BD23" s="235">
        <f xml:space="preserve"> Debt!BD$583</f>
        <v>0</v>
      </c>
      <c r="BE23" s="235">
        <f xml:space="preserve"> Debt!BE$583</f>
        <v>0</v>
      </c>
      <c r="BF23" s="235">
        <f xml:space="preserve"> Debt!BF$583</f>
        <v>0</v>
      </c>
      <c r="BG23" s="235">
        <f xml:space="preserve"> Debt!BG$583</f>
        <v>0</v>
      </c>
      <c r="BH23" s="235">
        <f xml:space="preserve"> Debt!BH$583</f>
        <v>0</v>
      </c>
      <c r="BI23" s="235">
        <f xml:space="preserve"> Debt!BI$583</f>
        <v>0</v>
      </c>
      <c r="BJ23" s="235">
        <f xml:space="preserve"> Debt!BJ$583</f>
        <v>0</v>
      </c>
      <c r="BK23" s="235">
        <f xml:space="preserve"> Debt!BK$583</f>
        <v>0</v>
      </c>
      <c r="BL23" s="235">
        <f xml:space="preserve"> Debt!BL$583</f>
        <v>0</v>
      </c>
      <c r="BM23" s="235">
        <f xml:space="preserve"> Debt!BM$583</f>
        <v>0</v>
      </c>
      <c r="BN23" s="235">
        <f xml:space="preserve"> Debt!BN$583</f>
        <v>0</v>
      </c>
      <c r="BO23" s="235">
        <f xml:space="preserve"> Debt!BO$583</f>
        <v>0</v>
      </c>
      <c r="BP23" s="235">
        <f xml:space="preserve"> Debt!BP$583</f>
        <v>0</v>
      </c>
      <c r="BQ23" s="235">
        <f xml:space="preserve"> Debt!BQ$583</f>
        <v>0</v>
      </c>
      <c r="BR23" s="235">
        <f xml:space="preserve"> Debt!BR$583</f>
        <v>0</v>
      </c>
      <c r="BS23" s="235">
        <f xml:space="preserve"> Debt!BS$583</f>
        <v>0</v>
      </c>
      <c r="BT23" s="235">
        <f xml:space="preserve"> Debt!BT$583</f>
        <v>0</v>
      </c>
      <c r="BU23" s="235">
        <f xml:space="preserve"> Debt!BU$583</f>
        <v>0</v>
      </c>
      <c r="BV23" s="235">
        <f xml:space="preserve"> Debt!BV$583</f>
        <v>0</v>
      </c>
      <c r="BW23" s="235">
        <f xml:space="preserve"> Debt!BW$583</f>
        <v>0</v>
      </c>
      <c r="BX23" s="235">
        <f xml:space="preserve"> Debt!BX$583</f>
        <v>0</v>
      </c>
      <c r="BY23" s="235">
        <f xml:space="preserve"> Debt!BY$583</f>
        <v>0</v>
      </c>
      <c r="BZ23" s="235">
        <f xml:space="preserve"> Debt!BZ$583</f>
        <v>0</v>
      </c>
      <c r="CA23" s="235">
        <f xml:space="preserve"> Debt!CA$583</f>
        <v>0</v>
      </c>
      <c r="CB23" s="235">
        <f xml:space="preserve"> Debt!CB$583</f>
        <v>0</v>
      </c>
      <c r="CC23" s="235">
        <f xml:space="preserve"> Debt!CC$583</f>
        <v>0</v>
      </c>
      <c r="CD23" s="235">
        <f xml:space="preserve"> Debt!CD$583</f>
        <v>0</v>
      </c>
      <c r="CE23" s="235">
        <f xml:space="preserve"> Debt!CE$583</f>
        <v>0</v>
      </c>
      <c r="CF23" s="235">
        <f xml:space="preserve"> Debt!CF$583</f>
        <v>0</v>
      </c>
      <c r="CG23" s="235">
        <f xml:space="preserve"> Debt!CG$583</f>
        <v>0</v>
      </c>
      <c r="CH23" s="235">
        <f xml:space="preserve"> Debt!CH$583</f>
        <v>0</v>
      </c>
      <c r="CI23" s="235">
        <f xml:space="preserve"> Debt!CI$583</f>
        <v>0</v>
      </c>
      <c r="CJ23" s="235">
        <f xml:space="preserve"> Debt!CJ$583</f>
        <v>0</v>
      </c>
      <c r="CK23" s="235">
        <f xml:space="preserve"> Debt!CK$583</f>
        <v>0</v>
      </c>
      <c r="CL23" s="235">
        <f xml:space="preserve"> Debt!CL$583</f>
        <v>0</v>
      </c>
      <c r="CM23" s="235">
        <f xml:space="preserve"> Debt!CM$583</f>
        <v>0</v>
      </c>
      <c r="CN23" s="235">
        <f xml:space="preserve"> Debt!CN$583</f>
        <v>0</v>
      </c>
      <c r="CO23" s="235">
        <f xml:space="preserve"> Debt!CO$583</f>
        <v>0</v>
      </c>
      <c r="CP23" s="235">
        <f xml:space="preserve"> Debt!CP$583</f>
        <v>0</v>
      </c>
      <c r="CQ23" s="235">
        <f xml:space="preserve"> Debt!CQ$583</f>
        <v>0</v>
      </c>
      <c r="CR23" s="235">
        <f xml:space="preserve"> Debt!CR$583</f>
        <v>0</v>
      </c>
      <c r="CS23" s="235">
        <f xml:space="preserve"> Debt!CS$583</f>
        <v>0</v>
      </c>
      <c r="CT23" s="235">
        <f xml:space="preserve"> Debt!CT$583</f>
        <v>0</v>
      </c>
      <c r="CU23" s="235">
        <f xml:space="preserve"> Debt!CU$583</f>
        <v>0</v>
      </c>
      <c r="CV23" s="235">
        <f xml:space="preserve"> Debt!CV$583</f>
        <v>0</v>
      </c>
    </row>
    <row r="24" spans="1:192" s="192" customFormat="1" outlineLevel="1" x14ac:dyDescent="0.2">
      <c r="A24" s="205"/>
      <c r="B24" s="205"/>
      <c r="C24" s="206"/>
      <c r="D24" s="209"/>
      <c r="E24" s="235" t="str">
        <f xml:space="preserve"> Debt!E$591</f>
        <v>WCF upfront fee</v>
      </c>
      <c r="F24" s="235">
        <f xml:space="preserve"> Debt!F$591</f>
        <v>0</v>
      </c>
      <c r="G24" s="235" t="str">
        <f xml:space="preserve"> Debt!G$591</f>
        <v>$ 000s</v>
      </c>
      <c r="H24" s="235">
        <f xml:space="preserve"> Debt!H$591</f>
        <v>0</v>
      </c>
      <c r="I24" s="235">
        <f xml:space="preserve"> Debt!I$591</f>
        <v>0</v>
      </c>
      <c r="J24" s="235">
        <f xml:space="preserve"> Debt!J$591</f>
        <v>0</v>
      </c>
      <c r="K24" s="235">
        <f xml:space="preserve"> Debt!K$591</f>
        <v>0</v>
      </c>
      <c r="L24" s="235">
        <f xml:space="preserve"> Debt!L$591</f>
        <v>0</v>
      </c>
      <c r="M24" s="235">
        <f xml:space="preserve"> Debt!M$591</f>
        <v>0</v>
      </c>
      <c r="N24" s="235">
        <f xml:space="preserve"> Debt!N$591</f>
        <v>0</v>
      </c>
      <c r="O24" s="235">
        <f xml:space="preserve"> Debt!O$591</f>
        <v>0</v>
      </c>
      <c r="P24" s="235">
        <f xml:space="preserve"> Debt!P$591</f>
        <v>0</v>
      </c>
      <c r="Q24" s="235">
        <f xml:space="preserve"> Debt!Q$591</f>
        <v>0</v>
      </c>
      <c r="R24" s="235">
        <f xml:space="preserve"> Debt!R$591</f>
        <v>0</v>
      </c>
      <c r="S24" s="235">
        <f xml:space="preserve"> Debt!S$591</f>
        <v>0</v>
      </c>
      <c r="T24" s="235">
        <f xml:space="preserve"> Debt!T$591</f>
        <v>0</v>
      </c>
      <c r="U24" s="235">
        <f xml:space="preserve"> Debt!U$591</f>
        <v>0</v>
      </c>
      <c r="V24" s="235">
        <f xml:space="preserve"> Debt!V$591</f>
        <v>0</v>
      </c>
      <c r="W24" s="235">
        <f xml:space="preserve"> Debt!W$591</f>
        <v>0</v>
      </c>
      <c r="X24" s="235">
        <f xml:space="preserve"> Debt!X$591</f>
        <v>0</v>
      </c>
      <c r="Y24" s="235">
        <f xml:space="preserve"> Debt!Y$591</f>
        <v>0</v>
      </c>
      <c r="Z24" s="235">
        <f xml:space="preserve"> Debt!Z$591</f>
        <v>0</v>
      </c>
      <c r="AA24" s="235">
        <f xml:space="preserve"> Debt!AA$591</f>
        <v>0</v>
      </c>
      <c r="AB24" s="235">
        <f xml:space="preserve"> Debt!AB$591</f>
        <v>0</v>
      </c>
      <c r="AC24" s="235">
        <f xml:space="preserve"> Debt!AC$591</f>
        <v>0</v>
      </c>
      <c r="AD24" s="235">
        <f xml:space="preserve"> Debt!AD$591</f>
        <v>0</v>
      </c>
      <c r="AE24" s="235">
        <f xml:space="preserve"> Debt!AE$591</f>
        <v>0</v>
      </c>
      <c r="AF24" s="235">
        <f xml:space="preserve"> Debt!AF$591</f>
        <v>0</v>
      </c>
      <c r="AG24" s="235">
        <f xml:space="preserve"> Debt!AG$591</f>
        <v>0</v>
      </c>
      <c r="AH24" s="235">
        <f xml:space="preserve"> Debt!AH$591</f>
        <v>0</v>
      </c>
      <c r="AI24" s="235">
        <f xml:space="preserve"> Debt!AI$591</f>
        <v>0</v>
      </c>
      <c r="AJ24" s="235">
        <f xml:space="preserve"> Debt!AJ$591</f>
        <v>0</v>
      </c>
      <c r="AK24" s="235">
        <f xml:space="preserve"> Debt!AK$591</f>
        <v>0</v>
      </c>
      <c r="AL24" s="235">
        <f xml:space="preserve"> Debt!AL$591</f>
        <v>0</v>
      </c>
      <c r="AM24" s="235">
        <f xml:space="preserve"> Debt!AM$591</f>
        <v>0</v>
      </c>
      <c r="AN24" s="235">
        <f xml:space="preserve"> Debt!AN$591</f>
        <v>0</v>
      </c>
      <c r="AO24" s="235">
        <f xml:space="preserve"> Debt!AO$591</f>
        <v>0</v>
      </c>
      <c r="AP24" s="235">
        <f xml:space="preserve"> Debt!AP$591</f>
        <v>0</v>
      </c>
      <c r="AQ24" s="235">
        <f xml:space="preserve"> Debt!AQ$591</f>
        <v>0</v>
      </c>
      <c r="AR24" s="235">
        <f xml:space="preserve"> Debt!AR$591</f>
        <v>0</v>
      </c>
      <c r="AS24" s="235">
        <f xml:space="preserve"> Debt!AS$591</f>
        <v>0</v>
      </c>
      <c r="AT24" s="235">
        <f xml:space="preserve"> Debt!AT$591</f>
        <v>0</v>
      </c>
      <c r="AU24" s="235">
        <f xml:space="preserve"> Debt!AU$591</f>
        <v>0</v>
      </c>
      <c r="AV24" s="235">
        <f xml:space="preserve"> Debt!AV$591</f>
        <v>0</v>
      </c>
      <c r="AW24" s="235">
        <f xml:space="preserve"> Debt!AW$591</f>
        <v>0</v>
      </c>
      <c r="AX24" s="235">
        <f xml:space="preserve"> Debt!AX$591</f>
        <v>0</v>
      </c>
      <c r="AY24" s="235">
        <f xml:space="preserve"> Debt!AY$591</f>
        <v>0</v>
      </c>
      <c r="AZ24" s="235">
        <f xml:space="preserve"> Debt!AZ$591</f>
        <v>0</v>
      </c>
      <c r="BA24" s="235">
        <f xml:space="preserve"> Debt!BA$591</f>
        <v>0</v>
      </c>
      <c r="BB24" s="235">
        <f xml:space="preserve"> Debt!BB$591</f>
        <v>0</v>
      </c>
      <c r="BC24" s="235">
        <f xml:space="preserve"> Debt!BC$591</f>
        <v>0</v>
      </c>
      <c r="BD24" s="235">
        <f xml:space="preserve"> Debt!BD$591</f>
        <v>0</v>
      </c>
      <c r="BE24" s="235">
        <f xml:space="preserve"> Debt!BE$591</f>
        <v>0</v>
      </c>
      <c r="BF24" s="235">
        <f xml:space="preserve"> Debt!BF$591</f>
        <v>0</v>
      </c>
      <c r="BG24" s="235">
        <f xml:space="preserve"> Debt!BG$591</f>
        <v>0</v>
      </c>
      <c r="BH24" s="235">
        <f xml:space="preserve"> Debt!BH$591</f>
        <v>0</v>
      </c>
      <c r="BI24" s="235">
        <f xml:space="preserve"> Debt!BI$591</f>
        <v>0</v>
      </c>
      <c r="BJ24" s="235">
        <f xml:space="preserve"> Debt!BJ$591</f>
        <v>0</v>
      </c>
      <c r="BK24" s="235">
        <f xml:space="preserve"> Debt!BK$591</f>
        <v>0</v>
      </c>
      <c r="BL24" s="235">
        <f xml:space="preserve"> Debt!BL$591</f>
        <v>0</v>
      </c>
      <c r="BM24" s="235">
        <f xml:space="preserve"> Debt!BM$591</f>
        <v>0</v>
      </c>
      <c r="BN24" s="235">
        <f xml:space="preserve"> Debt!BN$591</f>
        <v>0</v>
      </c>
      <c r="BO24" s="235">
        <f xml:space="preserve"> Debt!BO$591</f>
        <v>0</v>
      </c>
      <c r="BP24" s="235">
        <f xml:space="preserve"> Debt!BP$591</f>
        <v>0</v>
      </c>
      <c r="BQ24" s="235">
        <f xml:space="preserve"> Debt!BQ$591</f>
        <v>0</v>
      </c>
      <c r="BR24" s="235">
        <f xml:space="preserve"> Debt!BR$591</f>
        <v>0</v>
      </c>
      <c r="BS24" s="235">
        <f xml:space="preserve"> Debt!BS$591</f>
        <v>0</v>
      </c>
      <c r="BT24" s="235">
        <f xml:space="preserve"> Debt!BT$591</f>
        <v>0</v>
      </c>
      <c r="BU24" s="235">
        <f xml:space="preserve"> Debt!BU$591</f>
        <v>0</v>
      </c>
      <c r="BV24" s="235">
        <f xml:space="preserve"> Debt!BV$591</f>
        <v>0</v>
      </c>
      <c r="BW24" s="235">
        <f xml:space="preserve"> Debt!BW$591</f>
        <v>0</v>
      </c>
      <c r="BX24" s="235">
        <f xml:space="preserve"> Debt!BX$591</f>
        <v>0</v>
      </c>
      <c r="BY24" s="235">
        <f xml:space="preserve"> Debt!BY$591</f>
        <v>0</v>
      </c>
      <c r="BZ24" s="235">
        <f xml:space="preserve"> Debt!BZ$591</f>
        <v>0</v>
      </c>
      <c r="CA24" s="235">
        <f xml:space="preserve"> Debt!CA$591</f>
        <v>0</v>
      </c>
      <c r="CB24" s="235">
        <f xml:space="preserve"> Debt!CB$591</f>
        <v>0</v>
      </c>
      <c r="CC24" s="235">
        <f xml:space="preserve"> Debt!CC$591</f>
        <v>0</v>
      </c>
      <c r="CD24" s="235">
        <f xml:space="preserve"> Debt!CD$591</f>
        <v>0</v>
      </c>
      <c r="CE24" s="235">
        <f xml:space="preserve"> Debt!CE$591</f>
        <v>0</v>
      </c>
      <c r="CF24" s="235">
        <f xml:space="preserve"> Debt!CF$591</f>
        <v>0</v>
      </c>
      <c r="CG24" s="235">
        <f xml:space="preserve"> Debt!CG$591</f>
        <v>0</v>
      </c>
      <c r="CH24" s="235">
        <f xml:space="preserve"> Debt!CH$591</f>
        <v>0</v>
      </c>
      <c r="CI24" s="235">
        <f xml:space="preserve"> Debt!CI$591</f>
        <v>0</v>
      </c>
      <c r="CJ24" s="235">
        <f xml:space="preserve"> Debt!CJ$591</f>
        <v>0</v>
      </c>
      <c r="CK24" s="235">
        <f xml:space="preserve"> Debt!CK$591</f>
        <v>0</v>
      </c>
      <c r="CL24" s="235">
        <f xml:space="preserve"> Debt!CL$591</f>
        <v>0</v>
      </c>
      <c r="CM24" s="235">
        <f xml:space="preserve"> Debt!CM$591</f>
        <v>0</v>
      </c>
      <c r="CN24" s="235">
        <f xml:space="preserve"> Debt!CN$591</f>
        <v>0</v>
      </c>
      <c r="CO24" s="235">
        <f xml:space="preserve"> Debt!CO$591</f>
        <v>0</v>
      </c>
      <c r="CP24" s="235">
        <f xml:space="preserve"> Debt!CP$591</f>
        <v>0</v>
      </c>
      <c r="CQ24" s="235">
        <f xml:space="preserve"> Debt!CQ$591</f>
        <v>0</v>
      </c>
      <c r="CR24" s="235">
        <f xml:space="preserve"> Debt!CR$591</f>
        <v>0</v>
      </c>
      <c r="CS24" s="235">
        <f xml:space="preserve"> Debt!CS$591</f>
        <v>0</v>
      </c>
      <c r="CT24" s="235">
        <f xml:space="preserve"> Debt!CT$591</f>
        <v>0</v>
      </c>
      <c r="CU24" s="235">
        <f xml:space="preserve"> Debt!CU$591</f>
        <v>0</v>
      </c>
      <c r="CV24" s="235">
        <f xml:space="preserve"> Debt!CV$591</f>
        <v>0</v>
      </c>
    </row>
    <row r="25" spans="1:192" s="192" customFormat="1" outlineLevel="1" x14ac:dyDescent="0.2">
      <c r="A25" s="205"/>
      <c r="B25" s="205"/>
      <c r="C25" s="206"/>
      <c r="D25" s="209"/>
      <c r="E25" s="235" t="str">
        <f xml:space="preserve"> Debt!E$605</f>
        <v>WCF interest accrued and paid</v>
      </c>
      <c r="F25" s="235">
        <f xml:space="preserve"> Debt!F$605</f>
        <v>0</v>
      </c>
      <c r="G25" s="235" t="str">
        <f xml:space="preserve"> Debt!G$605</f>
        <v>$ 000s</v>
      </c>
      <c r="H25" s="235">
        <f xml:space="preserve"> Debt!H$605</f>
        <v>0</v>
      </c>
      <c r="I25" s="235">
        <f xml:space="preserve"> Debt!I$605</f>
        <v>0</v>
      </c>
      <c r="J25" s="235">
        <f xml:space="preserve"> Debt!J$605</f>
        <v>0</v>
      </c>
      <c r="K25" s="235">
        <f xml:space="preserve"> Debt!K$605</f>
        <v>0</v>
      </c>
      <c r="L25" s="235">
        <f xml:space="preserve"> Debt!L$605</f>
        <v>0</v>
      </c>
      <c r="M25" s="235">
        <f xml:space="preserve"> Debt!M$605</f>
        <v>0</v>
      </c>
      <c r="N25" s="235">
        <f xml:space="preserve"> Debt!N$605</f>
        <v>0</v>
      </c>
      <c r="O25" s="235">
        <f xml:space="preserve"> Debt!O$605</f>
        <v>0</v>
      </c>
      <c r="P25" s="235">
        <f xml:space="preserve"> Debt!P$605</f>
        <v>0</v>
      </c>
      <c r="Q25" s="235">
        <f xml:space="preserve"> Debt!Q$605</f>
        <v>0</v>
      </c>
      <c r="R25" s="235">
        <f xml:space="preserve"> Debt!R$605</f>
        <v>0</v>
      </c>
      <c r="S25" s="235">
        <f xml:space="preserve"> Debt!S$605</f>
        <v>0</v>
      </c>
      <c r="T25" s="235">
        <f xml:space="preserve"> Debt!T$605</f>
        <v>0</v>
      </c>
      <c r="U25" s="235">
        <f xml:space="preserve"> Debt!U$605</f>
        <v>0</v>
      </c>
      <c r="V25" s="235">
        <f xml:space="preserve"> Debt!V$605</f>
        <v>0</v>
      </c>
      <c r="W25" s="235">
        <f xml:space="preserve"> Debt!W$605</f>
        <v>0</v>
      </c>
      <c r="X25" s="235">
        <f xml:space="preserve"> Debt!X$605</f>
        <v>0</v>
      </c>
      <c r="Y25" s="235">
        <f xml:space="preserve"> Debt!Y$605</f>
        <v>0</v>
      </c>
      <c r="Z25" s="235">
        <f xml:space="preserve"> Debt!Z$605</f>
        <v>0</v>
      </c>
      <c r="AA25" s="235">
        <f xml:space="preserve"> Debt!AA$605</f>
        <v>0</v>
      </c>
      <c r="AB25" s="235">
        <f xml:space="preserve"> Debt!AB$605</f>
        <v>0</v>
      </c>
      <c r="AC25" s="235">
        <f xml:space="preserve"> Debt!AC$605</f>
        <v>0</v>
      </c>
      <c r="AD25" s="235">
        <f xml:space="preserve"> Debt!AD$605</f>
        <v>0</v>
      </c>
      <c r="AE25" s="235">
        <f xml:space="preserve"> Debt!AE$605</f>
        <v>0</v>
      </c>
      <c r="AF25" s="235">
        <f xml:space="preserve"> Debt!AF$605</f>
        <v>0</v>
      </c>
      <c r="AG25" s="235">
        <f xml:space="preserve"> Debt!AG$605</f>
        <v>0</v>
      </c>
      <c r="AH25" s="235">
        <f xml:space="preserve"> Debt!AH$605</f>
        <v>0</v>
      </c>
      <c r="AI25" s="235">
        <f xml:space="preserve"> Debt!AI$605</f>
        <v>0</v>
      </c>
      <c r="AJ25" s="235">
        <f xml:space="preserve"> Debt!AJ$605</f>
        <v>0</v>
      </c>
      <c r="AK25" s="235">
        <f xml:space="preserve"> Debt!AK$605</f>
        <v>0</v>
      </c>
      <c r="AL25" s="235">
        <f xml:space="preserve"> Debt!AL$605</f>
        <v>0</v>
      </c>
      <c r="AM25" s="235">
        <f xml:space="preserve"> Debt!AM$605</f>
        <v>0</v>
      </c>
      <c r="AN25" s="235">
        <f xml:space="preserve"> Debt!AN$605</f>
        <v>0</v>
      </c>
      <c r="AO25" s="235">
        <f xml:space="preserve"> Debt!AO$605</f>
        <v>0</v>
      </c>
      <c r="AP25" s="235">
        <f xml:space="preserve"> Debt!AP$605</f>
        <v>0</v>
      </c>
      <c r="AQ25" s="235">
        <f xml:space="preserve"> Debt!AQ$605</f>
        <v>0</v>
      </c>
      <c r="AR25" s="235">
        <f xml:space="preserve"> Debt!AR$605</f>
        <v>0</v>
      </c>
      <c r="AS25" s="235">
        <f xml:space="preserve"> Debt!AS$605</f>
        <v>0</v>
      </c>
      <c r="AT25" s="235">
        <f xml:space="preserve"> Debt!AT$605</f>
        <v>0</v>
      </c>
      <c r="AU25" s="235">
        <f xml:space="preserve"> Debt!AU$605</f>
        <v>0</v>
      </c>
      <c r="AV25" s="235">
        <f xml:space="preserve"> Debt!AV$605</f>
        <v>0</v>
      </c>
      <c r="AW25" s="235">
        <f xml:space="preserve"> Debt!AW$605</f>
        <v>0</v>
      </c>
      <c r="AX25" s="235">
        <f xml:space="preserve"> Debt!AX$605</f>
        <v>0</v>
      </c>
      <c r="AY25" s="235">
        <f xml:space="preserve"> Debt!AY$605</f>
        <v>0</v>
      </c>
      <c r="AZ25" s="235">
        <f xml:space="preserve"> Debt!AZ$605</f>
        <v>0</v>
      </c>
      <c r="BA25" s="235">
        <f xml:space="preserve"> Debt!BA$605</f>
        <v>0</v>
      </c>
      <c r="BB25" s="235">
        <f xml:space="preserve"> Debt!BB$605</f>
        <v>0</v>
      </c>
      <c r="BC25" s="235">
        <f xml:space="preserve"> Debt!BC$605</f>
        <v>0</v>
      </c>
      <c r="BD25" s="235">
        <f xml:space="preserve"> Debt!BD$605</f>
        <v>0</v>
      </c>
      <c r="BE25" s="235">
        <f xml:space="preserve"> Debt!BE$605</f>
        <v>0</v>
      </c>
      <c r="BF25" s="235">
        <f xml:space="preserve"> Debt!BF$605</f>
        <v>0</v>
      </c>
      <c r="BG25" s="235">
        <f xml:space="preserve"> Debt!BG$605</f>
        <v>0</v>
      </c>
      <c r="BH25" s="235">
        <f xml:space="preserve"> Debt!BH$605</f>
        <v>0</v>
      </c>
      <c r="BI25" s="235">
        <f xml:space="preserve"> Debt!BI$605</f>
        <v>0</v>
      </c>
      <c r="BJ25" s="235">
        <f xml:space="preserve"> Debt!BJ$605</f>
        <v>0</v>
      </c>
      <c r="BK25" s="235">
        <f xml:space="preserve"> Debt!BK$605</f>
        <v>0</v>
      </c>
      <c r="BL25" s="235">
        <f xml:space="preserve"> Debt!BL$605</f>
        <v>0</v>
      </c>
      <c r="BM25" s="235">
        <f xml:space="preserve"> Debt!BM$605</f>
        <v>0</v>
      </c>
      <c r="BN25" s="235">
        <f xml:space="preserve"> Debt!BN$605</f>
        <v>0</v>
      </c>
      <c r="BO25" s="235">
        <f xml:space="preserve"> Debt!BO$605</f>
        <v>0</v>
      </c>
      <c r="BP25" s="235">
        <f xml:space="preserve"> Debt!BP$605</f>
        <v>0</v>
      </c>
      <c r="BQ25" s="235">
        <f xml:space="preserve"> Debt!BQ$605</f>
        <v>0</v>
      </c>
      <c r="BR25" s="235">
        <f xml:space="preserve"> Debt!BR$605</f>
        <v>0</v>
      </c>
      <c r="BS25" s="235">
        <f xml:space="preserve"> Debt!BS$605</f>
        <v>0</v>
      </c>
      <c r="BT25" s="235">
        <f xml:space="preserve"> Debt!BT$605</f>
        <v>0</v>
      </c>
      <c r="BU25" s="235">
        <f xml:space="preserve"> Debt!BU$605</f>
        <v>0</v>
      </c>
      <c r="BV25" s="235">
        <f xml:space="preserve"> Debt!BV$605</f>
        <v>0</v>
      </c>
      <c r="BW25" s="235">
        <f xml:space="preserve"> Debt!BW$605</f>
        <v>0</v>
      </c>
      <c r="BX25" s="235">
        <f xml:space="preserve"> Debt!BX$605</f>
        <v>0</v>
      </c>
      <c r="BY25" s="235">
        <f xml:space="preserve"> Debt!BY$605</f>
        <v>0</v>
      </c>
      <c r="BZ25" s="235">
        <f xml:space="preserve"> Debt!BZ$605</f>
        <v>0</v>
      </c>
      <c r="CA25" s="235">
        <f xml:space="preserve"> Debt!CA$605</f>
        <v>0</v>
      </c>
      <c r="CB25" s="235">
        <f xml:space="preserve"> Debt!CB$605</f>
        <v>0</v>
      </c>
      <c r="CC25" s="235">
        <f xml:space="preserve"> Debt!CC$605</f>
        <v>0</v>
      </c>
      <c r="CD25" s="235">
        <f xml:space="preserve"> Debt!CD$605</f>
        <v>0</v>
      </c>
      <c r="CE25" s="235">
        <f xml:space="preserve"> Debt!CE$605</f>
        <v>0</v>
      </c>
      <c r="CF25" s="235">
        <f xml:space="preserve"> Debt!CF$605</f>
        <v>0</v>
      </c>
      <c r="CG25" s="235">
        <f xml:space="preserve"> Debt!CG$605</f>
        <v>0</v>
      </c>
      <c r="CH25" s="235">
        <f xml:space="preserve"> Debt!CH$605</f>
        <v>0</v>
      </c>
      <c r="CI25" s="235">
        <f xml:space="preserve"> Debt!CI$605</f>
        <v>0</v>
      </c>
      <c r="CJ25" s="235">
        <f xml:space="preserve"> Debt!CJ$605</f>
        <v>0</v>
      </c>
      <c r="CK25" s="235">
        <f xml:space="preserve"> Debt!CK$605</f>
        <v>0</v>
      </c>
      <c r="CL25" s="235">
        <f xml:space="preserve"> Debt!CL$605</f>
        <v>0</v>
      </c>
      <c r="CM25" s="235">
        <f xml:space="preserve"> Debt!CM$605</f>
        <v>0</v>
      </c>
      <c r="CN25" s="235">
        <f xml:space="preserve"> Debt!CN$605</f>
        <v>0</v>
      </c>
      <c r="CO25" s="235">
        <f xml:space="preserve"> Debt!CO$605</f>
        <v>0</v>
      </c>
      <c r="CP25" s="235">
        <f xml:space="preserve"> Debt!CP$605</f>
        <v>0</v>
      </c>
      <c r="CQ25" s="235">
        <f xml:space="preserve"> Debt!CQ$605</f>
        <v>0</v>
      </c>
      <c r="CR25" s="235">
        <f xml:space="preserve"> Debt!CR$605</f>
        <v>0</v>
      </c>
      <c r="CS25" s="235">
        <f xml:space="preserve"> Debt!CS$605</f>
        <v>0</v>
      </c>
      <c r="CT25" s="235">
        <f xml:space="preserve"> Debt!CT$605</f>
        <v>0</v>
      </c>
      <c r="CU25" s="235">
        <f xml:space="preserve"> Debt!CU$605</f>
        <v>0</v>
      </c>
      <c r="CV25" s="235">
        <f xml:space="preserve"> Debt!CV$605</f>
        <v>0</v>
      </c>
    </row>
    <row r="26" spans="1:192" s="732" customFormat="1" outlineLevel="1" x14ac:dyDescent="0.2">
      <c r="A26" s="752"/>
      <c r="B26" s="752"/>
      <c r="C26" s="753"/>
      <c r="D26" s="754"/>
      <c r="E26" s="722" t="str">
        <f xml:space="preserve"> Debt!E$715</f>
        <v>Equity bridge interest</v>
      </c>
      <c r="F26" s="722">
        <f xml:space="preserve"> Debt!F$715</f>
        <v>0</v>
      </c>
      <c r="G26" s="722" t="str">
        <f xml:space="preserve"> Debt!G$715</f>
        <v>$ 000s</v>
      </c>
      <c r="H26" s="722">
        <f xml:space="preserve"> Debt!H$715</f>
        <v>0</v>
      </c>
      <c r="I26" s="722">
        <f xml:space="preserve"> Debt!I$715</f>
        <v>0</v>
      </c>
      <c r="J26" s="722">
        <f xml:space="preserve"> Debt!J$715</f>
        <v>0</v>
      </c>
      <c r="K26" s="722">
        <f xml:space="preserve"> Debt!K$715</f>
        <v>0</v>
      </c>
      <c r="L26" s="722">
        <f xml:space="preserve"> Debt!L$715</f>
        <v>0</v>
      </c>
      <c r="M26" s="722">
        <f xml:space="preserve"> Debt!M$715</f>
        <v>0</v>
      </c>
      <c r="N26" s="722">
        <f xml:space="preserve"> Debt!N$715</f>
        <v>0</v>
      </c>
      <c r="O26" s="722">
        <f xml:space="preserve"> Debt!O$715</f>
        <v>0</v>
      </c>
      <c r="P26" s="722">
        <f xml:space="preserve"> Debt!P$715</f>
        <v>0</v>
      </c>
      <c r="Q26" s="722">
        <f xml:space="preserve"> Debt!Q$715</f>
        <v>0</v>
      </c>
      <c r="R26" s="722">
        <f xml:space="preserve"> Debt!R$715</f>
        <v>0</v>
      </c>
      <c r="S26" s="722">
        <f xml:space="preserve"> Debt!S$715</f>
        <v>0</v>
      </c>
      <c r="T26" s="722">
        <f xml:space="preserve"> Debt!T$715</f>
        <v>0</v>
      </c>
      <c r="U26" s="722">
        <f xml:space="preserve"> Debt!U$715</f>
        <v>0</v>
      </c>
      <c r="V26" s="722">
        <f xml:space="preserve"> Debt!V$715</f>
        <v>0</v>
      </c>
      <c r="W26" s="722">
        <f xml:space="preserve"> Debt!W$715</f>
        <v>0</v>
      </c>
      <c r="X26" s="722">
        <f xml:space="preserve"> Debt!X$715</f>
        <v>0</v>
      </c>
      <c r="Y26" s="722">
        <f xml:space="preserve"> Debt!Y$715</f>
        <v>0</v>
      </c>
      <c r="Z26" s="722">
        <f xml:space="preserve"> Debt!Z$715</f>
        <v>0</v>
      </c>
      <c r="AA26" s="722">
        <f xml:space="preserve"> Debt!AA$715</f>
        <v>0</v>
      </c>
      <c r="AB26" s="722">
        <f xml:space="preserve"> Debt!AB$715</f>
        <v>0</v>
      </c>
      <c r="AC26" s="722">
        <f xml:space="preserve"> Debt!AC$715</f>
        <v>0</v>
      </c>
      <c r="AD26" s="722">
        <f xml:space="preserve"> Debt!AD$715</f>
        <v>0</v>
      </c>
      <c r="AE26" s="722">
        <f xml:space="preserve"> Debt!AE$715</f>
        <v>0</v>
      </c>
      <c r="AF26" s="722">
        <f xml:space="preserve"> Debt!AF$715</f>
        <v>0</v>
      </c>
      <c r="AG26" s="722">
        <f xml:space="preserve"> Debt!AG$715</f>
        <v>0</v>
      </c>
      <c r="AH26" s="722">
        <f xml:space="preserve"> Debt!AH$715</f>
        <v>0</v>
      </c>
      <c r="AI26" s="722">
        <f xml:space="preserve"> Debt!AI$715</f>
        <v>0</v>
      </c>
      <c r="AJ26" s="722">
        <f xml:space="preserve"> Debt!AJ$715</f>
        <v>0</v>
      </c>
      <c r="AK26" s="722">
        <f xml:space="preserve"> Debt!AK$715</f>
        <v>0</v>
      </c>
      <c r="AL26" s="722">
        <f xml:space="preserve"> Debt!AL$715</f>
        <v>0</v>
      </c>
      <c r="AM26" s="722">
        <f xml:space="preserve"> Debt!AM$715</f>
        <v>0</v>
      </c>
      <c r="AN26" s="722">
        <f xml:space="preserve"> Debt!AN$715</f>
        <v>0</v>
      </c>
      <c r="AO26" s="722">
        <f xml:space="preserve"> Debt!AO$715</f>
        <v>0</v>
      </c>
      <c r="AP26" s="722">
        <f xml:space="preserve"> Debt!AP$715</f>
        <v>0</v>
      </c>
      <c r="AQ26" s="722">
        <f xml:space="preserve"> Debt!AQ$715</f>
        <v>0</v>
      </c>
      <c r="AR26" s="722">
        <f xml:space="preserve"> Debt!AR$715</f>
        <v>0</v>
      </c>
      <c r="AS26" s="722">
        <f xml:space="preserve"> Debt!AS$715</f>
        <v>0</v>
      </c>
      <c r="AT26" s="722">
        <f xml:space="preserve"> Debt!AT$715</f>
        <v>0</v>
      </c>
      <c r="AU26" s="722">
        <f xml:space="preserve"> Debt!AU$715</f>
        <v>0</v>
      </c>
      <c r="AV26" s="722">
        <f xml:space="preserve"> Debt!AV$715</f>
        <v>0</v>
      </c>
      <c r="AW26" s="722">
        <f xml:space="preserve"> Debt!AW$715</f>
        <v>0</v>
      </c>
      <c r="AX26" s="722">
        <f xml:space="preserve"> Debt!AX$715</f>
        <v>0</v>
      </c>
      <c r="AY26" s="722">
        <f xml:space="preserve"> Debt!AY$715</f>
        <v>0</v>
      </c>
      <c r="AZ26" s="722">
        <f xml:space="preserve"> Debt!AZ$715</f>
        <v>0</v>
      </c>
      <c r="BA26" s="722">
        <f xml:space="preserve"> Debt!BA$715</f>
        <v>0</v>
      </c>
      <c r="BB26" s="722">
        <f xml:space="preserve"> Debt!BB$715</f>
        <v>0</v>
      </c>
      <c r="BC26" s="722">
        <f xml:space="preserve"> Debt!BC$715</f>
        <v>0</v>
      </c>
      <c r="BD26" s="722">
        <f xml:space="preserve"> Debt!BD$715</f>
        <v>0</v>
      </c>
      <c r="BE26" s="722">
        <f xml:space="preserve"> Debt!BE$715</f>
        <v>0</v>
      </c>
      <c r="BF26" s="722">
        <f xml:space="preserve"> Debt!BF$715</f>
        <v>0</v>
      </c>
      <c r="BG26" s="722">
        <f xml:space="preserve"> Debt!BG$715</f>
        <v>0</v>
      </c>
      <c r="BH26" s="722">
        <f xml:space="preserve"> Debt!BH$715</f>
        <v>0</v>
      </c>
      <c r="BI26" s="722">
        <f xml:space="preserve"> Debt!BI$715</f>
        <v>0</v>
      </c>
      <c r="BJ26" s="722">
        <f xml:space="preserve"> Debt!BJ$715</f>
        <v>0</v>
      </c>
      <c r="BK26" s="722">
        <f xml:space="preserve"> Debt!BK$715</f>
        <v>0</v>
      </c>
      <c r="BL26" s="722">
        <f xml:space="preserve"> Debt!BL$715</f>
        <v>0</v>
      </c>
      <c r="BM26" s="722">
        <f xml:space="preserve"> Debt!BM$715</f>
        <v>0</v>
      </c>
      <c r="BN26" s="722">
        <f xml:space="preserve"> Debt!BN$715</f>
        <v>0</v>
      </c>
      <c r="BO26" s="722">
        <f xml:space="preserve"> Debt!BO$715</f>
        <v>0</v>
      </c>
      <c r="BP26" s="722">
        <f xml:space="preserve"> Debt!BP$715</f>
        <v>0</v>
      </c>
      <c r="BQ26" s="722">
        <f xml:space="preserve"> Debt!BQ$715</f>
        <v>0</v>
      </c>
      <c r="BR26" s="722">
        <f xml:space="preserve"> Debt!BR$715</f>
        <v>0</v>
      </c>
      <c r="BS26" s="722">
        <f xml:space="preserve"> Debt!BS$715</f>
        <v>0</v>
      </c>
      <c r="BT26" s="722">
        <f xml:space="preserve"> Debt!BT$715</f>
        <v>0</v>
      </c>
      <c r="BU26" s="722">
        <f xml:space="preserve"> Debt!BU$715</f>
        <v>0</v>
      </c>
      <c r="BV26" s="722">
        <f xml:space="preserve"> Debt!BV$715</f>
        <v>0</v>
      </c>
      <c r="BW26" s="722">
        <f xml:space="preserve"> Debt!BW$715</f>
        <v>0</v>
      </c>
      <c r="BX26" s="722">
        <f xml:space="preserve"> Debt!BX$715</f>
        <v>0</v>
      </c>
      <c r="BY26" s="722">
        <f xml:space="preserve"> Debt!BY$715</f>
        <v>0</v>
      </c>
      <c r="BZ26" s="722">
        <f xml:space="preserve"> Debt!BZ$715</f>
        <v>0</v>
      </c>
      <c r="CA26" s="722">
        <f xml:space="preserve"> Debt!CA$715</f>
        <v>0</v>
      </c>
      <c r="CB26" s="722">
        <f xml:space="preserve"> Debt!CB$715</f>
        <v>0</v>
      </c>
      <c r="CC26" s="722">
        <f xml:space="preserve"> Debt!CC$715</f>
        <v>0</v>
      </c>
      <c r="CD26" s="722">
        <f xml:space="preserve"> Debt!CD$715</f>
        <v>0</v>
      </c>
      <c r="CE26" s="722">
        <f xml:space="preserve"> Debt!CE$715</f>
        <v>0</v>
      </c>
      <c r="CF26" s="722">
        <f xml:space="preserve"> Debt!CF$715</f>
        <v>0</v>
      </c>
      <c r="CG26" s="722">
        <f xml:space="preserve"> Debt!CG$715</f>
        <v>0</v>
      </c>
      <c r="CH26" s="722">
        <f xml:space="preserve"> Debt!CH$715</f>
        <v>0</v>
      </c>
      <c r="CI26" s="722">
        <f xml:space="preserve"> Debt!CI$715</f>
        <v>0</v>
      </c>
      <c r="CJ26" s="722">
        <f xml:space="preserve"> Debt!CJ$715</f>
        <v>0</v>
      </c>
      <c r="CK26" s="722">
        <f xml:space="preserve"> Debt!CK$715</f>
        <v>0</v>
      </c>
      <c r="CL26" s="722">
        <f xml:space="preserve"> Debt!CL$715</f>
        <v>0</v>
      </c>
      <c r="CM26" s="722">
        <f xml:space="preserve"> Debt!CM$715</f>
        <v>0</v>
      </c>
      <c r="CN26" s="722">
        <f xml:space="preserve"> Debt!CN$715</f>
        <v>0</v>
      </c>
      <c r="CO26" s="722">
        <f xml:space="preserve"> Debt!CO$715</f>
        <v>0</v>
      </c>
      <c r="CP26" s="722">
        <f xml:space="preserve"> Debt!CP$715</f>
        <v>0</v>
      </c>
      <c r="CQ26" s="722">
        <f xml:space="preserve"> Debt!CQ$715</f>
        <v>0</v>
      </c>
      <c r="CR26" s="722">
        <f xml:space="preserve"> Debt!CR$715</f>
        <v>0</v>
      </c>
      <c r="CS26" s="722">
        <f xml:space="preserve"> Debt!CS$715</f>
        <v>0</v>
      </c>
      <c r="CT26" s="722">
        <f xml:space="preserve"> Debt!CT$715</f>
        <v>0</v>
      </c>
      <c r="CU26" s="722">
        <f xml:space="preserve"> Debt!CU$715</f>
        <v>0</v>
      </c>
      <c r="CV26" s="722">
        <f xml:space="preserve"> Debt!CV$715</f>
        <v>0</v>
      </c>
    </row>
    <row r="27" spans="1:192" outlineLevel="1" x14ac:dyDescent="0.2">
      <c r="D27" s="209"/>
      <c r="E27" s="235" t="str">
        <f xml:space="preserve"> Debt!E$455</f>
        <v>Shareholder loan interest expense</v>
      </c>
      <c r="F27" s="235">
        <f xml:space="preserve"> Debt!F$455</f>
        <v>0</v>
      </c>
      <c r="G27" s="235" t="str">
        <f xml:space="preserve"> Debt!G$455</f>
        <v>$ 000s</v>
      </c>
      <c r="H27" s="235">
        <f xml:space="preserve"> Debt!H$455</f>
        <v>-289672.52637153119</v>
      </c>
      <c r="I27" s="235">
        <f xml:space="preserve"> Debt!I$455</f>
        <v>0</v>
      </c>
      <c r="J27" s="235">
        <f xml:space="preserve"> Debt!J$455</f>
        <v>0</v>
      </c>
      <c r="K27" s="235">
        <f xml:space="preserve"> Debt!K$455</f>
        <v>0</v>
      </c>
      <c r="L27" s="235">
        <f xml:space="preserve"> Debt!L$455</f>
        <v>0</v>
      </c>
      <c r="M27" s="235">
        <f xml:space="preserve"> Debt!M$455</f>
        <v>0</v>
      </c>
      <c r="N27" s="235">
        <f xml:space="preserve"> Debt!N$455</f>
        <v>0</v>
      </c>
      <c r="O27" s="235">
        <f xml:space="preserve"> Debt!O$455</f>
        <v>-5179.0951864116714</v>
      </c>
      <c r="P27" s="235">
        <f xml:space="preserve"> Debt!P$455</f>
        <v>-5192.3345172570835</v>
      </c>
      <c r="Q27" s="235">
        <f xml:space="preserve"> Debt!Q$455</f>
        <v>-5238.7309346040465</v>
      </c>
      <c r="R27" s="235">
        <f xml:space="preserve"> Debt!R$455</f>
        <v>-5287.1632690546676</v>
      </c>
      <c r="S27" s="235">
        <f xml:space="preserve"> Debt!S$455</f>
        <v>-5340.9274316816491</v>
      </c>
      <c r="T27" s="235">
        <f xml:space="preserve"> Debt!T$455</f>
        <v>-5397.194795497142</v>
      </c>
      <c r="U27" s="235">
        <f xml:space="preserve"> Debt!U$455</f>
        <v>-5459.7053220878361</v>
      </c>
      <c r="V27" s="235">
        <f xml:space="preserve"> Debt!V$455</f>
        <v>-5524.367153190703</v>
      </c>
      <c r="W27" s="235">
        <f xml:space="preserve"> Debt!W$455</f>
        <v>-5594.9852617525185</v>
      </c>
      <c r="X27" s="235">
        <f xml:space="preserve"> Debt!X$455</f>
        <v>-5670.7618323387051</v>
      </c>
      <c r="Y27" s="235">
        <f xml:space="preserve"> Debt!Y$455</f>
        <v>-5752.6695070192836</v>
      </c>
      <c r="Z27" s="235">
        <f xml:space="preserve"> Debt!Z$455</f>
        <v>-5839.0817232208938</v>
      </c>
      <c r="AA27" s="235">
        <f xml:space="preserve"> Debt!AA$455</f>
        <v>-5933.0580745547104</v>
      </c>
      <c r="AB27" s="235">
        <f xml:space="preserve"> Debt!AB$455</f>
        <v>-6032.0546151116569</v>
      </c>
      <c r="AC27" s="235">
        <f xml:space="preserve"> Debt!AC$455</f>
        <v>-6139.7960363448474</v>
      </c>
      <c r="AD27" s="235">
        <f xml:space="preserve"> Debt!AD$455</f>
        <v>-6252.5368912803078</v>
      </c>
      <c r="AE27" s="235">
        <f xml:space="preserve"> Debt!AE$455</f>
        <v>-6374.075542849635</v>
      </c>
      <c r="AF27" s="235">
        <f xml:space="preserve"> Debt!AF$455</f>
        <v>-6503.8866749348708</v>
      </c>
      <c r="AG27" s="235">
        <f xml:space="preserve"> Debt!AG$455</f>
        <v>-6643.0486826418846</v>
      </c>
      <c r="AH27" s="235">
        <f xml:space="preserve"> Debt!AH$455</f>
        <v>-6790.0204254753799</v>
      </c>
      <c r="AI27" s="235">
        <f xml:space="preserve"> Debt!AI$455</f>
        <v>-6948.1465445450103</v>
      </c>
      <c r="AJ27" s="235">
        <f xml:space="preserve"> Debt!AJ$455</f>
        <v>-7115.4251967897117</v>
      </c>
      <c r="AK27" s="235">
        <f xml:space="preserve"> Debt!AK$455</f>
        <v>-7295.4755025311288</v>
      </c>
      <c r="AL27" s="235">
        <f xml:space="preserve"> Debt!AL$455</f>
        <v>-7484.9950267201784</v>
      </c>
      <c r="AM27" s="235">
        <f xml:space="preserve"> Debt!AM$455</f>
        <v>-7687.8671038685634</v>
      </c>
      <c r="AN27" s="235">
        <f xml:space="preserve"> Debt!AN$455</f>
        <v>-7903.9436345669965</v>
      </c>
      <c r="AO27" s="235">
        <f xml:space="preserve"> Debt!AO$455</f>
        <v>-8134.5180081093677</v>
      </c>
      <c r="AP27" s="235">
        <f xml:space="preserve"> Debt!AP$455</f>
        <v>-8378.485860854018</v>
      </c>
      <c r="AQ27" s="235">
        <f xml:space="preserve"> Debt!AQ$455</f>
        <v>-8639.3695206221637</v>
      </c>
      <c r="AR27" s="235">
        <f xml:space="preserve"> Debt!AR$455</f>
        <v>-8915.4910075094849</v>
      </c>
      <c r="AS27" s="235">
        <f xml:space="preserve"> Debt!AS$455</f>
        <v>-9210.849180009569</v>
      </c>
      <c r="AT27" s="235">
        <f xml:space="preserve"> Debt!AT$455</f>
        <v>-9522.7309573705625</v>
      </c>
      <c r="AU27" s="235">
        <f xml:space="preserve"> Debt!AU$455</f>
        <v>-9855.2786956993423</v>
      </c>
      <c r="AV27" s="235">
        <f xml:space="preserve"> Debt!AV$455</f>
        <v>-9917.2919463241396</v>
      </c>
      <c r="AW27" s="235">
        <f xml:space="preserve"> Debt!AW$455</f>
        <v>-9987.6941905636468</v>
      </c>
      <c r="AX27" s="235">
        <f xml:space="preserve"> Debt!AX$455</f>
        <v>-9770.4895641548992</v>
      </c>
      <c r="AY27" s="235">
        <f xml:space="preserve"> Debt!AY$455</f>
        <v>-9549.0318421243355</v>
      </c>
      <c r="AZ27" s="235">
        <f xml:space="preserve"> Debt!AZ$455</f>
        <v>-9314.507238305725</v>
      </c>
      <c r="BA27" s="235">
        <f xml:space="preserve"> Debt!BA$455</f>
        <v>-9074.6492789060685</v>
      </c>
      <c r="BB27" s="235">
        <f xml:space="preserve"> Debt!BB$455</f>
        <v>-8820.7921946468232</v>
      </c>
      <c r="BC27" s="235">
        <f xml:space="preserve"> Debt!BC$455</f>
        <v>0</v>
      </c>
      <c r="BD27" s="235">
        <f xml:space="preserve"> Debt!BD$455</f>
        <v>0</v>
      </c>
      <c r="BE27" s="235">
        <f xml:space="preserve"> Debt!BE$455</f>
        <v>0</v>
      </c>
      <c r="BF27" s="235">
        <f xml:space="preserve"> Debt!BF$455</f>
        <v>0</v>
      </c>
      <c r="BG27" s="235">
        <f xml:space="preserve"> Debt!BG$455</f>
        <v>0</v>
      </c>
      <c r="BH27" s="235">
        <f xml:space="preserve"> Debt!BH$455</f>
        <v>0</v>
      </c>
      <c r="BI27" s="235">
        <f xml:space="preserve"> Debt!BI$455</f>
        <v>0</v>
      </c>
      <c r="BJ27" s="235">
        <f xml:space="preserve"> Debt!BJ$455</f>
        <v>0</v>
      </c>
      <c r="BK27" s="235">
        <f xml:space="preserve"> Debt!BK$455</f>
        <v>0</v>
      </c>
      <c r="BL27" s="235">
        <f xml:space="preserve"> Debt!BL$455</f>
        <v>0</v>
      </c>
      <c r="BM27" s="235">
        <f xml:space="preserve"> Debt!BM$455</f>
        <v>0</v>
      </c>
      <c r="BN27" s="235">
        <f xml:space="preserve"> Debt!BN$455</f>
        <v>0</v>
      </c>
      <c r="BO27" s="235">
        <f xml:space="preserve"> Debt!BO$455</f>
        <v>0</v>
      </c>
      <c r="BP27" s="235">
        <f xml:space="preserve"> Debt!BP$455</f>
        <v>0</v>
      </c>
      <c r="BQ27" s="235">
        <f xml:space="preserve"> Debt!BQ$455</f>
        <v>0</v>
      </c>
      <c r="BR27" s="235">
        <f xml:space="preserve"> Debt!BR$455</f>
        <v>0</v>
      </c>
      <c r="BS27" s="235">
        <f xml:space="preserve"> Debt!BS$455</f>
        <v>0</v>
      </c>
      <c r="BT27" s="235">
        <f xml:space="preserve"> Debt!BT$455</f>
        <v>0</v>
      </c>
      <c r="BU27" s="235">
        <f xml:space="preserve"> Debt!BU$455</f>
        <v>0</v>
      </c>
      <c r="BV27" s="235">
        <f xml:space="preserve"> Debt!BV$455</f>
        <v>0</v>
      </c>
      <c r="BW27" s="235">
        <f xml:space="preserve"> Debt!BW$455</f>
        <v>0</v>
      </c>
      <c r="BX27" s="235">
        <f xml:space="preserve"> Debt!BX$455</f>
        <v>0</v>
      </c>
      <c r="BY27" s="235">
        <f xml:space="preserve"> Debt!BY$455</f>
        <v>0</v>
      </c>
      <c r="BZ27" s="235">
        <f xml:space="preserve"> Debt!BZ$455</f>
        <v>0</v>
      </c>
      <c r="CA27" s="235">
        <f xml:space="preserve"> Debt!CA$455</f>
        <v>0</v>
      </c>
      <c r="CB27" s="235">
        <f xml:space="preserve"> Debt!CB$455</f>
        <v>0</v>
      </c>
      <c r="CC27" s="235">
        <f xml:space="preserve"> Debt!CC$455</f>
        <v>0</v>
      </c>
      <c r="CD27" s="235">
        <f xml:space="preserve"> Debt!CD$455</f>
        <v>0</v>
      </c>
      <c r="CE27" s="235">
        <f xml:space="preserve"> Debt!CE$455</f>
        <v>0</v>
      </c>
      <c r="CF27" s="235">
        <f xml:space="preserve"> Debt!CF$455</f>
        <v>0</v>
      </c>
      <c r="CG27" s="235">
        <f xml:space="preserve"> Debt!CG$455</f>
        <v>0</v>
      </c>
      <c r="CH27" s="235">
        <f xml:space="preserve"> Debt!CH$455</f>
        <v>0</v>
      </c>
      <c r="CI27" s="235">
        <f xml:space="preserve"> Debt!CI$455</f>
        <v>0</v>
      </c>
      <c r="CJ27" s="235">
        <f xml:space="preserve"> Debt!CJ$455</f>
        <v>0</v>
      </c>
      <c r="CK27" s="235">
        <f xml:space="preserve"> Debt!CK$455</f>
        <v>0</v>
      </c>
      <c r="CL27" s="235">
        <f xml:space="preserve"> Debt!CL$455</f>
        <v>0</v>
      </c>
      <c r="CM27" s="235">
        <f xml:space="preserve"> Debt!CM$455</f>
        <v>0</v>
      </c>
      <c r="CN27" s="235">
        <f xml:space="preserve"> Debt!CN$455</f>
        <v>0</v>
      </c>
      <c r="CO27" s="235">
        <f xml:space="preserve"> Debt!CO$455</f>
        <v>0</v>
      </c>
      <c r="CP27" s="235">
        <f xml:space="preserve"> Debt!CP$455</f>
        <v>0</v>
      </c>
      <c r="CQ27" s="235">
        <f xml:space="preserve"> Debt!CQ$455</f>
        <v>0</v>
      </c>
      <c r="CR27" s="235">
        <f xml:space="preserve"> Debt!CR$455</f>
        <v>0</v>
      </c>
      <c r="CS27" s="235">
        <f xml:space="preserve"> Debt!CS$455</f>
        <v>0</v>
      </c>
      <c r="CT27" s="235">
        <f xml:space="preserve"> Debt!CT$455</f>
        <v>0</v>
      </c>
      <c r="CU27" s="235">
        <f xml:space="preserve"> Debt!CU$455</f>
        <v>0</v>
      </c>
      <c r="CV27" s="235">
        <f xml:space="preserve"> Debt!CV$455</f>
        <v>0</v>
      </c>
    </row>
    <row r="28" spans="1:192" outlineLevel="1" x14ac:dyDescent="0.2">
      <c r="D28" s="209"/>
      <c r="E28" s="235" t="str">
        <f xml:space="preserve"> DSRA!E$174</f>
        <v>DSRA LC fee accrued and paid</v>
      </c>
      <c r="F28" s="235">
        <f xml:space="preserve"> DSRA!F$174</f>
        <v>0</v>
      </c>
      <c r="G28" s="235" t="str">
        <f xml:space="preserve"> DSRA!G$174</f>
        <v>$ 000s</v>
      </c>
      <c r="H28" s="235">
        <f xml:space="preserve"> DSRA!H$174</f>
        <v>0</v>
      </c>
      <c r="I28" s="235">
        <f xml:space="preserve"> DSRA!I$174</f>
        <v>0</v>
      </c>
      <c r="J28" s="235">
        <f xml:space="preserve"> DSRA!J$174</f>
        <v>0</v>
      </c>
      <c r="K28" s="235">
        <f xml:space="preserve"> DSRA!K$174</f>
        <v>0</v>
      </c>
      <c r="L28" s="235">
        <f xml:space="preserve"> DSRA!L$174</f>
        <v>0</v>
      </c>
      <c r="M28" s="235">
        <f xml:space="preserve"> DSRA!M$174</f>
        <v>0</v>
      </c>
      <c r="N28" s="235">
        <f xml:space="preserve"> DSRA!N$174</f>
        <v>0</v>
      </c>
      <c r="O28" s="235">
        <f xml:space="preserve"> DSRA!O$174</f>
        <v>0</v>
      </c>
      <c r="P28" s="235">
        <f xml:space="preserve"> DSRA!P$174</f>
        <v>0</v>
      </c>
      <c r="Q28" s="235">
        <f xml:space="preserve"> DSRA!Q$174</f>
        <v>0</v>
      </c>
      <c r="R28" s="235">
        <f xml:space="preserve"> DSRA!R$174</f>
        <v>0</v>
      </c>
      <c r="S28" s="235">
        <f xml:space="preserve"> DSRA!S$174</f>
        <v>0</v>
      </c>
      <c r="T28" s="235">
        <f xml:space="preserve"> DSRA!T$174</f>
        <v>0</v>
      </c>
      <c r="U28" s="235">
        <f xml:space="preserve"> DSRA!U$174</f>
        <v>0</v>
      </c>
      <c r="V28" s="235">
        <f xml:space="preserve"> DSRA!V$174</f>
        <v>0</v>
      </c>
      <c r="W28" s="235">
        <f xml:space="preserve"> DSRA!W$174</f>
        <v>0</v>
      </c>
      <c r="X28" s="235">
        <f xml:space="preserve"> DSRA!X$174</f>
        <v>0</v>
      </c>
      <c r="Y28" s="235">
        <f xml:space="preserve"> DSRA!Y$174</f>
        <v>0</v>
      </c>
      <c r="Z28" s="235">
        <f xml:space="preserve"> DSRA!Z$174</f>
        <v>0</v>
      </c>
      <c r="AA28" s="235">
        <f xml:space="preserve"> DSRA!AA$174</f>
        <v>0</v>
      </c>
      <c r="AB28" s="235">
        <f xml:space="preserve"> DSRA!AB$174</f>
        <v>0</v>
      </c>
      <c r="AC28" s="235">
        <f xml:space="preserve"> DSRA!AC$174</f>
        <v>0</v>
      </c>
      <c r="AD28" s="235">
        <f xml:space="preserve"> DSRA!AD$174</f>
        <v>0</v>
      </c>
      <c r="AE28" s="235">
        <f xml:space="preserve"> DSRA!AE$174</f>
        <v>0</v>
      </c>
      <c r="AF28" s="235">
        <f xml:space="preserve"> DSRA!AF$174</f>
        <v>0</v>
      </c>
      <c r="AG28" s="235">
        <f xml:space="preserve"> DSRA!AG$174</f>
        <v>0</v>
      </c>
      <c r="AH28" s="235">
        <f xml:space="preserve"> DSRA!AH$174</f>
        <v>0</v>
      </c>
      <c r="AI28" s="235">
        <f xml:space="preserve"> DSRA!AI$174</f>
        <v>0</v>
      </c>
      <c r="AJ28" s="235">
        <f xml:space="preserve"> DSRA!AJ$174</f>
        <v>0</v>
      </c>
      <c r="AK28" s="235">
        <f xml:space="preserve"> DSRA!AK$174</f>
        <v>0</v>
      </c>
      <c r="AL28" s="235">
        <f xml:space="preserve"> DSRA!AL$174</f>
        <v>0</v>
      </c>
      <c r="AM28" s="235">
        <f xml:space="preserve"> DSRA!AM$174</f>
        <v>0</v>
      </c>
      <c r="AN28" s="235">
        <f xml:space="preserve"> DSRA!AN$174</f>
        <v>0</v>
      </c>
      <c r="AO28" s="235">
        <f xml:space="preserve"> DSRA!AO$174</f>
        <v>0</v>
      </c>
      <c r="AP28" s="235">
        <f xml:space="preserve"> DSRA!AP$174</f>
        <v>0</v>
      </c>
      <c r="AQ28" s="235">
        <f xml:space="preserve"> DSRA!AQ$174</f>
        <v>0</v>
      </c>
      <c r="AR28" s="235">
        <f xml:space="preserve"> DSRA!AR$174</f>
        <v>0</v>
      </c>
      <c r="AS28" s="235">
        <f xml:space="preserve"> DSRA!AS$174</f>
        <v>0</v>
      </c>
      <c r="AT28" s="235">
        <f xml:space="preserve"> DSRA!AT$174</f>
        <v>0</v>
      </c>
      <c r="AU28" s="235">
        <f xml:space="preserve"> DSRA!AU$174</f>
        <v>0</v>
      </c>
      <c r="AV28" s="235">
        <f xml:space="preserve"> DSRA!AV$174</f>
        <v>0</v>
      </c>
      <c r="AW28" s="235">
        <f xml:space="preserve"> DSRA!AW$174</f>
        <v>0</v>
      </c>
      <c r="AX28" s="235">
        <f xml:space="preserve"> DSRA!AX$174</f>
        <v>0</v>
      </c>
      <c r="AY28" s="235">
        <f xml:space="preserve"> DSRA!AY$174</f>
        <v>0</v>
      </c>
      <c r="AZ28" s="235">
        <f xml:space="preserve"> DSRA!AZ$174</f>
        <v>0</v>
      </c>
      <c r="BA28" s="235">
        <f xml:space="preserve"> DSRA!BA$174</f>
        <v>0</v>
      </c>
      <c r="BB28" s="235">
        <f xml:space="preserve"> DSRA!BB$174</f>
        <v>0</v>
      </c>
      <c r="BC28" s="235">
        <f xml:space="preserve"> DSRA!BC$174</f>
        <v>0</v>
      </c>
      <c r="BD28" s="235">
        <f xml:space="preserve"> DSRA!BD$174</f>
        <v>0</v>
      </c>
      <c r="BE28" s="235">
        <f xml:space="preserve"> DSRA!BE$174</f>
        <v>0</v>
      </c>
      <c r="BF28" s="235">
        <f xml:space="preserve"> DSRA!BF$174</f>
        <v>0</v>
      </c>
      <c r="BG28" s="235">
        <f xml:space="preserve"> DSRA!BG$174</f>
        <v>0</v>
      </c>
      <c r="BH28" s="235">
        <f xml:space="preserve"> DSRA!BH$174</f>
        <v>0</v>
      </c>
      <c r="BI28" s="235">
        <f xml:space="preserve"> DSRA!BI$174</f>
        <v>0</v>
      </c>
      <c r="BJ28" s="235">
        <f xml:space="preserve"> DSRA!BJ$174</f>
        <v>0</v>
      </c>
      <c r="BK28" s="235">
        <f xml:space="preserve"> DSRA!BK$174</f>
        <v>0</v>
      </c>
      <c r="BL28" s="235">
        <f xml:space="preserve"> DSRA!BL$174</f>
        <v>0</v>
      </c>
      <c r="BM28" s="235">
        <f xml:space="preserve"> DSRA!BM$174</f>
        <v>0</v>
      </c>
      <c r="BN28" s="235">
        <f xml:space="preserve"> DSRA!BN$174</f>
        <v>0</v>
      </c>
      <c r="BO28" s="235">
        <f xml:space="preserve"> DSRA!BO$174</f>
        <v>0</v>
      </c>
      <c r="BP28" s="235">
        <f xml:space="preserve"> DSRA!BP$174</f>
        <v>0</v>
      </c>
      <c r="BQ28" s="235">
        <f xml:space="preserve"> DSRA!BQ$174</f>
        <v>0</v>
      </c>
      <c r="BR28" s="235">
        <f xml:space="preserve"> DSRA!BR$174</f>
        <v>0</v>
      </c>
      <c r="BS28" s="235">
        <f xml:space="preserve"> DSRA!BS$174</f>
        <v>0</v>
      </c>
      <c r="BT28" s="235">
        <f xml:space="preserve"> DSRA!BT$174</f>
        <v>0</v>
      </c>
      <c r="BU28" s="235">
        <f xml:space="preserve"> DSRA!BU$174</f>
        <v>0</v>
      </c>
      <c r="BV28" s="235">
        <f xml:space="preserve"> DSRA!BV$174</f>
        <v>0</v>
      </c>
      <c r="BW28" s="235">
        <f xml:space="preserve"> DSRA!BW$174</f>
        <v>0</v>
      </c>
      <c r="BX28" s="235">
        <f xml:space="preserve"> DSRA!BX$174</f>
        <v>0</v>
      </c>
      <c r="BY28" s="235">
        <f xml:space="preserve"> DSRA!BY$174</f>
        <v>0</v>
      </c>
      <c r="BZ28" s="235">
        <f xml:space="preserve"> DSRA!BZ$174</f>
        <v>0</v>
      </c>
      <c r="CA28" s="235">
        <f xml:space="preserve"> DSRA!CA$174</f>
        <v>0</v>
      </c>
      <c r="CB28" s="235">
        <f xml:space="preserve"> DSRA!CB$174</f>
        <v>0</v>
      </c>
      <c r="CC28" s="235">
        <f xml:space="preserve"> DSRA!CC$174</f>
        <v>0</v>
      </c>
      <c r="CD28" s="235">
        <f xml:space="preserve"> DSRA!CD$174</f>
        <v>0</v>
      </c>
      <c r="CE28" s="235">
        <f xml:space="preserve"> DSRA!CE$174</f>
        <v>0</v>
      </c>
      <c r="CF28" s="235">
        <f xml:space="preserve"> DSRA!CF$174</f>
        <v>0</v>
      </c>
      <c r="CG28" s="235">
        <f xml:space="preserve"> DSRA!CG$174</f>
        <v>0</v>
      </c>
      <c r="CH28" s="235">
        <f xml:space="preserve"> DSRA!CH$174</f>
        <v>0</v>
      </c>
      <c r="CI28" s="235">
        <f xml:space="preserve"> DSRA!CI$174</f>
        <v>0</v>
      </c>
      <c r="CJ28" s="235">
        <f xml:space="preserve"> DSRA!CJ$174</f>
        <v>0</v>
      </c>
      <c r="CK28" s="235">
        <f xml:space="preserve"> DSRA!CK$174</f>
        <v>0</v>
      </c>
      <c r="CL28" s="235">
        <f xml:space="preserve"> DSRA!CL$174</f>
        <v>0</v>
      </c>
      <c r="CM28" s="235">
        <f xml:space="preserve"> DSRA!CM$174</f>
        <v>0</v>
      </c>
      <c r="CN28" s="235">
        <f xml:space="preserve"> DSRA!CN$174</f>
        <v>0</v>
      </c>
      <c r="CO28" s="235">
        <f xml:space="preserve"> DSRA!CO$174</f>
        <v>0</v>
      </c>
      <c r="CP28" s="235">
        <f xml:space="preserve"> DSRA!CP$174</f>
        <v>0</v>
      </c>
      <c r="CQ28" s="235">
        <f xml:space="preserve"> DSRA!CQ$174</f>
        <v>0</v>
      </c>
      <c r="CR28" s="235">
        <f xml:space="preserve"> DSRA!CR$174</f>
        <v>0</v>
      </c>
      <c r="CS28" s="235">
        <f xml:space="preserve"> DSRA!CS$174</f>
        <v>0</v>
      </c>
      <c r="CT28" s="235">
        <f xml:space="preserve"> DSRA!CT$174</f>
        <v>0</v>
      </c>
      <c r="CU28" s="235">
        <f xml:space="preserve"> DSRA!CU$174</f>
        <v>0</v>
      </c>
      <c r="CV28" s="235">
        <f xml:space="preserve"> DSRA!CV$174</f>
        <v>0</v>
      </c>
    </row>
    <row r="29" spans="1:192" s="191" customFormat="1" outlineLevel="1" x14ac:dyDescent="0.2">
      <c r="A29" s="205"/>
      <c r="B29" s="205"/>
      <c r="C29" s="206"/>
      <c r="D29" s="209"/>
      <c r="E29" s="232" t="s">
        <v>109</v>
      </c>
      <c r="F29" s="232"/>
      <c r="G29" s="232" t="str">
        <f xml:space="preserve"> SMU</f>
        <v>$ 000s</v>
      </c>
      <c r="H29" s="232">
        <f xml:space="preserve"> SUM(J29:CV29)</f>
        <v>-139488.01257311381</v>
      </c>
      <c r="I29" s="232"/>
      <c r="J29" s="232">
        <f t="shared" ref="J29:AO29" si="6" xml:space="preserve"> J15 + SUM(J17:J28)</f>
        <v>0</v>
      </c>
      <c r="K29" s="232">
        <f t="shared" si="6"/>
        <v>0</v>
      </c>
      <c r="L29" s="232">
        <f t="shared" si="6"/>
        <v>0</v>
      </c>
      <c r="M29" s="232">
        <f t="shared" si="6"/>
        <v>0</v>
      </c>
      <c r="N29" s="232">
        <f t="shared" si="6"/>
        <v>0</v>
      </c>
      <c r="O29" s="232">
        <f t="shared" si="6"/>
        <v>-3319.5173877542884</v>
      </c>
      <c r="P29" s="232">
        <f t="shared" si="6"/>
        <v>-3076.8266126723111</v>
      </c>
      <c r="Q29" s="232">
        <f t="shared" si="6"/>
        <v>-3198.9722992948782</v>
      </c>
      <c r="R29" s="232">
        <f t="shared" si="6"/>
        <v>-3022.7897593385396</v>
      </c>
      <c r="S29" s="232">
        <f t="shared" si="6"/>
        <v>-3145.2237957636053</v>
      </c>
      <c r="T29" s="232">
        <f t="shared" si="6"/>
        <v>-2977.1245552437767</v>
      </c>
      <c r="U29" s="232">
        <f t="shared" si="6"/>
        <v>-3100.9530416577609</v>
      </c>
      <c r="V29" s="232">
        <f t="shared" si="6"/>
        <v>-2967.5793020116025</v>
      </c>
      <c r="W29" s="232">
        <f t="shared" si="6"/>
        <v>-3066.0146916400709</v>
      </c>
      <c r="X29" s="232">
        <f t="shared" si="6"/>
        <v>-2918.1813402736107</v>
      </c>
      <c r="Y29" s="232">
        <f t="shared" si="6"/>
        <v>-3242.1461492282751</v>
      </c>
      <c r="Z29" s="232">
        <f t="shared" si="6"/>
        <v>-3099.3908019687833</v>
      </c>
      <c r="AA29" s="232">
        <f t="shared" si="6"/>
        <v>-3231.6117374161468</v>
      </c>
      <c r="AB29" s="232">
        <f t="shared" si="6"/>
        <v>-3101.3080222978215</v>
      </c>
      <c r="AC29" s="232">
        <f t="shared" si="6"/>
        <v>-3238.3025212341336</v>
      </c>
      <c r="AD29" s="232">
        <f t="shared" si="6"/>
        <v>-3141.8555632136513</v>
      </c>
      <c r="AE29" s="232">
        <f t="shared" si="6"/>
        <v>-3263.1162592554219</v>
      </c>
      <c r="AF29" s="232">
        <f t="shared" si="6"/>
        <v>-3163.5608893660965</v>
      </c>
      <c r="AG29" s="232">
        <f t="shared" si="6"/>
        <v>-3312.8685691650162</v>
      </c>
      <c r="AH29" s="232">
        <f t="shared" si="6"/>
        <v>-3229.8359817745195</v>
      </c>
      <c r="AI29" s="232">
        <f t="shared" si="6"/>
        <v>-3536.6577095706552</v>
      </c>
      <c r="AJ29" s="232">
        <f t="shared" si="6"/>
        <v>-3464.7237822655725</v>
      </c>
      <c r="AK29" s="232">
        <f t="shared" si="6"/>
        <v>-3629.542033345776</v>
      </c>
      <c r="AL29" s="232">
        <f t="shared" si="6"/>
        <v>-3592.0325871213836</v>
      </c>
      <c r="AM29" s="232">
        <f t="shared" si="6"/>
        <v>-3754.566882320697</v>
      </c>
      <c r="AN29" s="232">
        <f t="shared" si="6"/>
        <v>-3729.9196958629464</v>
      </c>
      <c r="AO29" s="232">
        <f t="shared" si="6"/>
        <v>-3920.7200085078975</v>
      </c>
      <c r="AP29" s="232">
        <f t="shared" ref="AP29:BU29" si="7" xml:space="preserve"> AP15 + SUM(AP17:AP28)</f>
        <v>-3922.5330944446241</v>
      </c>
      <c r="AQ29" s="232">
        <f t="shared" si="7"/>
        <v>-4130.5156896481976</v>
      </c>
      <c r="AR29" s="232">
        <f t="shared" si="7"/>
        <v>-4163.3012835695363</v>
      </c>
      <c r="AS29" s="232">
        <f t="shared" si="7"/>
        <v>-4392.0271762192597</v>
      </c>
      <c r="AT29" s="232">
        <f t="shared" si="7"/>
        <v>-4479.3061680967849</v>
      </c>
      <c r="AU29" s="232">
        <f t="shared" si="7"/>
        <v>-4744.5003122072494</v>
      </c>
      <c r="AV29" s="232">
        <f t="shared" si="7"/>
        <v>-4578.0419031493393</v>
      </c>
      <c r="AW29" s="232">
        <f t="shared" si="7"/>
        <v>-3856.2612943384665</v>
      </c>
      <c r="AX29" s="232">
        <f t="shared" si="7"/>
        <v>-3639.0566712983509</v>
      </c>
      <c r="AY29" s="232">
        <f t="shared" si="7"/>
        <v>-3567.5183573298073</v>
      </c>
      <c r="AZ29" s="232">
        <f t="shared" si="7"/>
        <v>-3332.9937568798287</v>
      </c>
      <c r="BA29" s="232">
        <f t="shared" si="7"/>
        <v>-3245.235984190318</v>
      </c>
      <c r="BB29" s="232">
        <f t="shared" si="7"/>
        <v>-2991.378902176828</v>
      </c>
      <c r="BC29" s="232">
        <f t="shared" si="7"/>
        <v>0</v>
      </c>
      <c r="BD29" s="232">
        <f t="shared" si="7"/>
        <v>0</v>
      </c>
      <c r="BE29" s="232">
        <f t="shared" si="7"/>
        <v>0</v>
      </c>
      <c r="BF29" s="232">
        <f t="shared" si="7"/>
        <v>0</v>
      </c>
      <c r="BG29" s="232">
        <f t="shared" si="7"/>
        <v>0</v>
      </c>
      <c r="BH29" s="232">
        <f t="shared" si="7"/>
        <v>0</v>
      </c>
      <c r="BI29" s="232">
        <f t="shared" si="7"/>
        <v>0</v>
      </c>
      <c r="BJ29" s="232">
        <f t="shared" si="7"/>
        <v>0</v>
      </c>
      <c r="BK29" s="232">
        <f t="shared" si="7"/>
        <v>0</v>
      </c>
      <c r="BL29" s="232">
        <f t="shared" si="7"/>
        <v>0</v>
      </c>
      <c r="BM29" s="232">
        <f t="shared" si="7"/>
        <v>0</v>
      </c>
      <c r="BN29" s="232">
        <f t="shared" si="7"/>
        <v>0</v>
      </c>
      <c r="BO29" s="232">
        <f t="shared" si="7"/>
        <v>0</v>
      </c>
      <c r="BP29" s="232">
        <f t="shared" si="7"/>
        <v>0</v>
      </c>
      <c r="BQ29" s="232">
        <f t="shared" si="7"/>
        <v>0</v>
      </c>
      <c r="BR29" s="232">
        <f t="shared" si="7"/>
        <v>0</v>
      </c>
      <c r="BS29" s="232">
        <f t="shared" si="7"/>
        <v>0</v>
      </c>
      <c r="BT29" s="232">
        <f t="shared" si="7"/>
        <v>0</v>
      </c>
      <c r="BU29" s="232">
        <f t="shared" si="7"/>
        <v>0</v>
      </c>
      <c r="BV29" s="232">
        <f t="shared" ref="BV29:CV29" si="8" xml:space="preserve"> BV15 + SUM(BV17:BV28)</f>
        <v>0</v>
      </c>
      <c r="BW29" s="232">
        <f t="shared" si="8"/>
        <v>0</v>
      </c>
      <c r="BX29" s="232">
        <f t="shared" si="8"/>
        <v>0</v>
      </c>
      <c r="BY29" s="232">
        <f t="shared" si="8"/>
        <v>0</v>
      </c>
      <c r="BZ29" s="232">
        <f t="shared" si="8"/>
        <v>0</v>
      </c>
      <c r="CA29" s="232">
        <f t="shared" si="8"/>
        <v>0</v>
      </c>
      <c r="CB29" s="232">
        <f t="shared" si="8"/>
        <v>0</v>
      </c>
      <c r="CC29" s="232">
        <f t="shared" si="8"/>
        <v>0</v>
      </c>
      <c r="CD29" s="232">
        <f t="shared" si="8"/>
        <v>0</v>
      </c>
      <c r="CE29" s="232">
        <f t="shared" si="8"/>
        <v>0</v>
      </c>
      <c r="CF29" s="232">
        <f t="shared" si="8"/>
        <v>0</v>
      </c>
      <c r="CG29" s="232">
        <f t="shared" si="8"/>
        <v>0</v>
      </c>
      <c r="CH29" s="232">
        <f t="shared" si="8"/>
        <v>0</v>
      </c>
      <c r="CI29" s="232">
        <f t="shared" si="8"/>
        <v>0</v>
      </c>
      <c r="CJ29" s="232">
        <f t="shared" si="8"/>
        <v>0</v>
      </c>
      <c r="CK29" s="232">
        <f t="shared" si="8"/>
        <v>0</v>
      </c>
      <c r="CL29" s="232">
        <f t="shared" si="8"/>
        <v>0</v>
      </c>
      <c r="CM29" s="232">
        <f t="shared" si="8"/>
        <v>0</v>
      </c>
      <c r="CN29" s="232">
        <f t="shared" si="8"/>
        <v>0</v>
      </c>
      <c r="CO29" s="232">
        <f t="shared" si="8"/>
        <v>0</v>
      </c>
      <c r="CP29" s="232">
        <f t="shared" si="8"/>
        <v>0</v>
      </c>
      <c r="CQ29" s="232">
        <f t="shared" si="8"/>
        <v>0</v>
      </c>
      <c r="CR29" s="232">
        <f t="shared" si="8"/>
        <v>0</v>
      </c>
      <c r="CS29" s="232">
        <f t="shared" si="8"/>
        <v>0</v>
      </c>
      <c r="CT29" s="232">
        <f t="shared" si="8"/>
        <v>0</v>
      </c>
      <c r="CU29" s="232">
        <f t="shared" si="8"/>
        <v>0</v>
      </c>
      <c r="CV29" s="232">
        <f t="shared" si="8"/>
        <v>0</v>
      </c>
    </row>
    <row r="30" spans="1:192" outlineLevel="1" x14ac:dyDescent="0.2">
      <c r="D30" s="209"/>
      <c r="E30" s="235"/>
      <c r="F30" s="235"/>
      <c r="G30" s="235"/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  <c r="AG30" s="235"/>
      <c r="AH30" s="235"/>
      <c r="AI30" s="235"/>
      <c r="AJ30" s="235"/>
      <c r="AK30" s="235"/>
      <c r="AL30" s="235"/>
      <c r="AM30" s="235"/>
      <c r="AN30" s="235"/>
      <c r="AO30" s="235"/>
      <c r="AP30" s="235"/>
      <c r="AQ30" s="235"/>
      <c r="AR30" s="235"/>
      <c r="AS30" s="235"/>
      <c r="AT30" s="235"/>
      <c r="AU30" s="235"/>
      <c r="AV30" s="235"/>
      <c r="AW30" s="235"/>
      <c r="AX30" s="235"/>
      <c r="AY30" s="235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  <c r="BJ30" s="235"/>
      <c r="BK30" s="235"/>
      <c r="BL30" s="235"/>
      <c r="BM30" s="235"/>
      <c r="BN30" s="235"/>
      <c r="BO30" s="235"/>
      <c r="BP30" s="235"/>
      <c r="BQ30" s="235"/>
      <c r="BR30" s="235"/>
      <c r="BS30" s="235"/>
      <c r="BT30" s="235"/>
      <c r="BU30" s="235"/>
      <c r="BV30" s="235"/>
      <c r="BW30" s="235"/>
      <c r="BX30" s="235"/>
      <c r="BY30" s="235"/>
      <c r="BZ30" s="235"/>
      <c r="CA30" s="235"/>
      <c r="CB30" s="235"/>
      <c r="CC30" s="235"/>
      <c r="CD30" s="235"/>
      <c r="CE30" s="235"/>
      <c r="CF30" s="235"/>
      <c r="CG30" s="235"/>
      <c r="CH30" s="235"/>
      <c r="CI30" s="235"/>
      <c r="CJ30" s="235"/>
      <c r="CK30" s="235"/>
      <c r="CL30" s="235"/>
      <c r="CM30" s="235"/>
      <c r="CN30" s="235"/>
      <c r="CO30" s="235"/>
      <c r="CP30" s="235"/>
      <c r="CQ30" s="235"/>
      <c r="CR30" s="235"/>
      <c r="CS30" s="235"/>
      <c r="CT30" s="235"/>
      <c r="CU30" s="235"/>
      <c r="CV30" s="235"/>
    </row>
    <row r="31" spans="1:192" outlineLevel="1" x14ac:dyDescent="0.2">
      <c r="D31" s="209"/>
      <c r="E31" s="235" t="str">
        <f xml:space="preserve"> Tax!E$77</f>
        <v>Corporate income tax</v>
      </c>
      <c r="F31" s="235">
        <f xml:space="preserve"> Tax!F$77</f>
        <v>0</v>
      </c>
      <c r="G31" s="235" t="str">
        <f xml:space="preserve"> Tax!G$77</f>
        <v>$ 000s</v>
      </c>
      <c r="H31" s="235">
        <f xml:space="preserve"> Tax!H$77</f>
        <v>0</v>
      </c>
      <c r="I31" s="235">
        <f xml:space="preserve"> Tax!I$77</f>
        <v>0</v>
      </c>
      <c r="J31" s="235">
        <f xml:space="preserve"> Tax!J$77</f>
        <v>0</v>
      </c>
      <c r="K31" s="235">
        <f xml:space="preserve"> Tax!K$77</f>
        <v>0</v>
      </c>
      <c r="L31" s="235">
        <f xml:space="preserve"> Tax!L$77</f>
        <v>0</v>
      </c>
      <c r="M31" s="235">
        <f xml:space="preserve"> Tax!M$77</f>
        <v>0</v>
      </c>
      <c r="N31" s="235">
        <f xml:space="preserve"> Tax!N$77</f>
        <v>0</v>
      </c>
      <c r="O31" s="235">
        <f xml:space="preserve"> Tax!O$77</f>
        <v>0</v>
      </c>
      <c r="P31" s="235">
        <f xml:space="preserve"> Tax!P$77</f>
        <v>0</v>
      </c>
      <c r="Q31" s="235">
        <f xml:space="preserve"> Tax!Q$77</f>
        <v>0</v>
      </c>
      <c r="R31" s="235">
        <f xml:space="preserve"> Tax!R$77</f>
        <v>0</v>
      </c>
      <c r="S31" s="235">
        <f xml:space="preserve"> Tax!S$77</f>
        <v>0</v>
      </c>
      <c r="T31" s="235">
        <f xml:space="preserve"> Tax!T$77</f>
        <v>0</v>
      </c>
      <c r="U31" s="235">
        <f xml:space="preserve"> Tax!U$77</f>
        <v>0</v>
      </c>
      <c r="V31" s="235">
        <f xml:space="preserve"> Tax!V$77</f>
        <v>0</v>
      </c>
      <c r="W31" s="235">
        <f xml:space="preserve"> Tax!W$77</f>
        <v>0</v>
      </c>
      <c r="X31" s="235">
        <f xml:space="preserve"> Tax!X$77</f>
        <v>0</v>
      </c>
      <c r="Y31" s="235">
        <f xml:space="preserve"> Tax!Y$77</f>
        <v>0</v>
      </c>
      <c r="Z31" s="235">
        <f xml:space="preserve"> Tax!Z$77</f>
        <v>0</v>
      </c>
      <c r="AA31" s="235">
        <f xml:space="preserve"> Tax!AA$77</f>
        <v>0</v>
      </c>
      <c r="AB31" s="235">
        <f xml:space="preserve"> Tax!AB$77</f>
        <v>0</v>
      </c>
      <c r="AC31" s="235">
        <f xml:space="preserve"> Tax!AC$77</f>
        <v>0</v>
      </c>
      <c r="AD31" s="235">
        <f xml:space="preserve"> Tax!AD$77</f>
        <v>0</v>
      </c>
      <c r="AE31" s="235">
        <f xml:space="preserve"> Tax!AE$77</f>
        <v>0</v>
      </c>
      <c r="AF31" s="235">
        <f xml:space="preserve"> Tax!AF$77</f>
        <v>0</v>
      </c>
      <c r="AG31" s="235">
        <f xml:space="preserve"> Tax!AG$77</f>
        <v>0</v>
      </c>
      <c r="AH31" s="235">
        <f xml:space="preserve"> Tax!AH$77</f>
        <v>0</v>
      </c>
      <c r="AI31" s="235">
        <f xml:space="preserve"> Tax!AI$77</f>
        <v>0</v>
      </c>
      <c r="AJ31" s="235">
        <f xml:space="preserve"> Tax!AJ$77</f>
        <v>0</v>
      </c>
      <c r="AK31" s="235">
        <f xml:space="preserve"> Tax!AK$77</f>
        <v>0</v>
      </c>
      <c r="AL31" s="235">
        <f xml:space="preserve"> Tax!AL$77</f>
        <v>0</v>
      </c>
      <c r="AM31" s="235">
        <f xml:space="preserve"> Tax!AM$77</f>
        <v>0</v>
      </c>
      <c r="AN31" s="235">
        <f xml:space="preserve"> Tax!AN$77</f>
        <v>0</v>
      </c>
      <c r="AO31" s="235">
        <f xml:space="preserve"> Tax!AO$77</f>
        <v>0</v>
      </c>
      <c r="AP31" s="235">
        <f xml:space="preserve"> Tax!AP$77</f>
        <v>0</v>
      </c>
      <c r="AQ31" s="235">
        <f xml:space="preserve"> Tax!AQ$77</f>
        <v>0</v>
      </c>
      <c r="AR31" s="235">
        <f xml:space="preserve"> Tax!AR$77</f>
        <v>0</v>
      </c>
      <c r="AS31" s="235">
        <f xml:space="preserve"> Tax!AS$77</f>
        <v>0</v>
      </c>
      <c r="AT31" s="235">
        <f xml:space="preserve"> Tax!AT$77</f>
        <v>0</v>
      </c>
      <c r="AU31" s="235">
        <f xml:space="preserve"> Tax!AU$77</f>
        <v>0</v>
      </c>
      <c r="AV31" s="235">
        <f xml:space="preserve"> Tax!AV$77</f>
        <v>0</v>
      </c>
      <c r="AW31" s="235">
        <f xml:space="preserve"> Tax!AW$77</f>
        <v>0</v>
      </c>
      <c r="AX31" s="235">
        <f xml:space="preserve"> Tax!AX$77</f>
        <v>0</v>
      </c>
      <c r="AY31" s="235">
        <f xml:space="preserve"> Tax!AY$77</f>
        <v>0</v>
      </c>
      <c r="AZ31" s="235">
        <f xml:space="preserve"> Tax!AZ$77</f>
        <v>0</v>
      </c>
      <c r="BA31" s="235">
        <f xml:space="preserve"> Tax!BA$77</f>
        <v>0</v>
      </c>
      <c r="BB31" s="235">
        <f xml:space="preserve"> Tax!BB$77</f>
        <v>0</v>
      </c>
      <c r="BC31" s="235">
        <f xml:space="preserve"> Tax!BC$77</f>
        <v>0</v>
      </c>
      <c r="BD31" s="235">
        <f xml:space="preserve"> Tax!BD$77</f>
        <v>0</v>
      </c>
      <c r="BE31" s="235">
        <f xml:space="preserve"> Tax!BE$77</f>
        <v>0</v>
      </c>
      <c r="BF31" s="235">
        <f xml:space="preserve"> Tax!BF$77</f>
        <v>0</v>
      </c>
      <c r="BG31" s="235">
        <f xml:space="preserve"> Tax!BG$77</f>
        <v>0</v>
      </c>
      <c r="BH31" s="235">
        <f xml:space="preserve"> Tax!BH$77</f>
        <v>0</v>
      </c>
      <c r="BI31" s="235">
        <f xml:space="preserve"> Tax!BI$77</f>
        <v>0</v>
      </c>
      <c r="BJ31" s="235">
        <f xml:space="preserve"> Tax!BJ$77</f>
        <v>0</v>
      </c>
      <c r="BK31" s="235">
        <f xml:space="preserve"> Tax!BK$77</f>
        <v>0</v>
      </c>
      <c r="BL31" s="235">
        <f xml:space="preserve"> Tax!BL$77</f>
        <v>0</v>
      </c>
      <c r="BM31" s="235">
        <f xml:space="preserve"> Tax!BM$77</f>
        <v>0</v>
      </c>
      <c r="BN31" s="235">
        <f xml:space="preserve"> Tax!BN$77</f>
        <v>0</v>
      </c>
      <c r="BO31" s="235">
        <f xml:space="preserve"> Tax!BO$77</f>
        <v>0</v>
      </c>
      <c r="BP31" s="235">
        <f xml:space="preserve"> Tax!BP$77</f>
        <v>0</v>
      </c>
      <c r="BQ31" s="235">
        <f xml:space="preserve"> Tax!BQ$77</f>
        <v>0</v>
      </c>
      <c r="BR31" s="235">
        <f xml:space="preserve"> Tax!BR$77</f>
        <v>0</v>
      </c>
      <c r="BS31" s="235">
        <f xml:space="preserve"> Tax!BS$77</f>
        <v>0</v>
      </c>
      <c r="BT31" s="235">
        <f xml:space="preserve"> Tax!BT$77</f>
        <v>0</v>
      </c>
      <c r="BU31" s="235">
        <f xml:space="preserve"> Tax!BU$77</f>
        <v>0</v>
      </c>
      <c r="BV31" s="235">
        <f xml:space="preserve"> Tax!BV$77</f>
        <v>0</v>
      </c>
      <c r="BW31" s="235">
        <f xml:space="preserve"> Tax!BW$77</f>
        <v>0</v>
      </c>
      <c r="BX31" s="235">
        <f xml:space="preserve"> Tax!BX$77</f>
        <v>0</v>
      </c>
      <c r="BY31" s="235">
        <f xml:space="preserve"> Tax!BY$77</f>
        <v>0</v>
      </c>
      <c r="BZ31" s="235">
        <f xml:space="preserve"> Tax!BZ$77</f>
        <v>0</v>
      </c>
      <c r="CA31" s="235">
        <f xml:space="preserve"> Tax!CA$77</f>
        <v>0</v>
      </c>
      <c r="CB31" s="235">
        <f xml:space="preserve"> Tax!CB$77</f>
        <v>0</v>
      </c>
      <c r="CC31" s="235">
        <f xml:space="preserve"> Tax!CC$77</f>
        <v>0</v>
      </c>
      <c r="CD31" s="235">
        <f xml:space="preserve"> Tax!CD$77</f>
        <v>0</v>
      </c>
      <c r="CE31" s="235">
        <f xml:space="preserve"> Tax!CE$77</f>
        <v>0</v>
      </c>
      <c r="CF31" s="235">
        <f xml:space="preserve"> Tax!CF$77</f>
        <v>0</v>
      </c>
      <c r="CG31" s="235">
        <f xml:space="preserve"> Tax!CG$77</f>
        <v>0</v>
      </c>
      <c r="CH31" s="235">
        <f xml:space="preserve"> Tax!CH$77</f>
        <v>0</v>
      </c>
      <c r="CI31" s="235">
        <f xml:space="preserve"> Tax!CI$77</f>
        <v>0</v>
      </c>
      <c r="CJ31" s="235">
        <f xml:space="preserve"> Tax!CJ$77</f>
        <v>0</v>
      </c>
      <c r="CK31" s="235">
        <f xml:space="preserve"> Tax!CK$77</f>
        <v>0</v>
      </c>
      <c r="CL31" s="235">
        <f xml:space="preserve"> Tax!CL$77</f>
        <v>0</v>
      </c>
      <c r="CM31" s="235">
        <f xml:space="preserve"> Tax!CM$77</f>
        <v>0</v>
      </c>
      <c r="CN31" s="235">
        <f xml:space="preserve"> Tax!CN$77</f>
        <v>0</v>
      </c>
      <c r="CO31" s="235">
        <f xml:space="preserve"> Tax!CO$77</f>
        <v>0</v>
      </c>
      <c r="CP31" s="235">
        <f xml:space="preserve"> Tax!CP$77</f>
        <v>0</v>
      </c>
      <c r="CQ31" s="235">
        <f xml:space="preserve"> Tax!CQ$77</f>
        <v>0</v>
      </c>
      <c r="CR31" s="235">
        <f xml:space="preserve"> Tax!CR$77</f>
        <v>0</v>
      </c>
      <c r="CS31" s="235">
        <f xml:space="preserve"> Tax!CS$77</f>
        <v>0</v>
      </c>
      <c r="CT31" s="235">
        <f xml:space="preserve"> Tax!CT$77</f>
        <v>0</v>
      </c>
      <c r="CU31" s="235">
        <f xml:space="preserve"> Tax!CU$77</f>
        <v>0</v>
      </c>
      <c r="CV31" s="235">
        <f xml:space="preserve"> Tax!CV$77</f>
        <v>0</v>
      </c>
      <c r="CW31" s="235">
        <f xml:space="preserve"> Tax!CW$77</f>
        <v>0</v>
      </c>
      <c r="CX31" s="235">
        <f xml:space="preserve"> Tax!CX$77</f>
        <v>0</v>
      </c>
      <c r="CY31" s="235">
        <f xml:space="preserve"> Tax!CY$77</f>
        <v>0</v>
      </c>
      <c r="CZ31" s="235">
        <f xml:space="preserve"> Tax!CZ$77</f>
        <v>0</v>
      </c>
      <c r="DA31" s="235">
        <f xml:space="preserve"> Tax!DA$77</f>
        <v>0</v>
      </c>
      <c r="DB31" s="235">
        <f xml:space="preserve"> Tax!DB$77</f>
        <v>0</v>
      </c>
      <c r="DC31" s="235">
        <f xml:space="preserve"> Tax!DC$77</f>
        <v>0</v>
      </c>
      <c r="DD31" s="235">
        <f xml:space="preserve"> Tax!DD$77</f>
        <v>0</v>
      </c>
      <c r="DE31" s="235">
        <f xml:space="preserve"> Tax!DE$77</f>
        <v>0</v>
      </c>
      <c r="DF31" s="235">
        <f xml:space="preserve"> Tax!DF$77</f>
        <v>0</v>
      </c>
      <c r="DG31" s="235">
        <f xml:space="preserve"> Tax!DG$77</f>
        <v>0</v>
      </c>
      <c r="DH31" s="235">
        <f xml:space="preserve"> Tax!DH$77</f>
        <v>0</v>
      </c>
      <c r="DI31" s="235">
        <f xml:space="preserve"> Tax!DI$77</f>
        <v>0</v>
      </c>
      <c r="DJ31" s="235">
        <f xml:space="preserve"> Tax!DJ$77</f>
        <v>0</v>
      </c>
      <c r="DK31" s="235">
        <f xml:space="preserve"> Tax!DK$77</f>
        <v>0</v>
      </c>
      <c r="DL31" s="235">
        <f xml:space="preserve"> Tax!DL$77</f>
        <v>0</v>
      </c>
      <c r="DM31" s="235">
        <f xml:space="preserve"> Tax!DM$77</f>
        <v>0</v>
      </c>
      <c r="DN31" s="235">
        <f xml:space="preserve"> Tax!DN$77</f>
        <v>0</v>
      </c>
      <c r="DO31" s="235">
        <f xml:space="preserve"> Tax!DO$77</f>
        <v>0</v>
      </c>
      <c r="DP31" s="235">
        <f xml:space="preserve"> Tax!DP$77</f>
        <v>0</v>
      </c>
      <c r="DQ31" s="235">
        <f xml:space="preserve"> Tax!DQ$77</f>
        <v>0</v>
      </c>
      <c r="DR31" s="235">
        <f xml:space="preserve"> Tax!DR$77</f>
        <v>0</v>
      </c>
      <c r="DS31" s="235">
        <f xml:space="preserve"> Tax!DS$77</f>
        <v>0</v>
      </c>
      <c r="DT31" s="235">
        <f xml:space="preserve"> Tax!DT$77</f>
        <v>0</v>
      </c>
      <c r="DU31" s="235">
        <f xml:space="preserve"> Tax!DU$77</f>
        <v>0</v>
      </c>
      <c r="DV31" s="235">
        <f xml:space="preserve"> Tax!DV$77</f>
        <v>0</v>
      </c>
      <c r="DW31" s="235">
        <f xml:space="preserve"> Tax!DW$77</f>
        <v>0</v>
      </c>
      <c r="DX31" s="235">
        <f xml:space="preserve"> Tax!DX$77</f>
        <v>0</v>
      </c>
      <c r="DY31" s="235">
        <f xml:space="preserve"> Tax!DY$77</f>
        <v>0</v>
      </c>
      <c r="DZ31" s="235">
        <f xml:space="preserve"> Tax!DZ$77</f>
        <v>0</v>
      </c>
      <c r="EA31" s="235">
        <f xml:space="preserve"> Tax!EA$77</f>
        <v>0</v>
      </c>
      <c r="EB31" s="235">
        <f xml:space="preserve"> Tax!EB$77</f>
        <v>0</v>
      </c>
      <c r="EC31" s="235">
        <f xml:space="preserve"> Tax!EC$77</f>
        <v>0</v>
      </c>
      <c r="ED31" s="235">
        <f xml:space="preserve"> Tax!ED$77</f>
        <v>0</v>
      </c>
      <c r="EE31" s="235">
        <f xml:space="preserve"> Tax!EE$77</f>
        <v>0</v>
      </c>
      <c r="EF31" s="235">
        <f xml:space="preserve"> Tax!EF$77</f>
        <v>0</v>
      </c>
      <c r="EG31" s="235">
        <f xml:space="preserve"> Tax!EG$77</f>
        <v>0</v>
      </c>
      <c r="EH31" s="235">
        <f xml:space="preserve"> Tax!EH$77</f>
        <v>0</v>
      </c>
      <c r="EI31" s="235">
        <f xml:space="preserve"> Tax!EI$77</f>
        <v>0</v>
      </c>
      <c r="EJ31" s="235">
        <f xml:space="preserve"> Tax!EJ$77</f>
        <v>0</v>
      </c>
      <c r="EK31" s="235">
        <f xml:space="preserve"> Tax!EK$77</f>
        <v>0</v>
      </c>
      <c r="EL31" s="235">
        <f xml:space="preserve"> Tax!EL$77</f>
        <v>0</v>
      </c>
      <c r="EM31" s="235">
        <f xml:space="preserve"> Tax!EM$77</f>
        <v>0</v>
      </c>
      <c r="EN31" s="235">
        <f xml:space="preserve"> Tax!EN$77</f>
        <v>0</v>
      </c>
      <c r="EO31" s="235">
        <f xml:space="preserve"> Tax!EO$77</f>
        <v>0</v>
      </c>
      <c r="EP31" s="235">
        <f xml:space="preserve"> Tax!EP$77</f>
        <v>0</v>
      </c>
      <c r="EQ31" s="235">
        <f xml:space="preserve"> Tax!EQ$77</f>
        <v>0</v>
      </c>
      <c r="ER31" s="235">
        <f xml:space="preserve"> Tax!ER$77</f>
        <v>0</v>
      </c>
      <c r="ES31" s="235">
        <f xml:space="preserve"> Tax!ES$77</f>
        <v>0</v>
      </c>
      <c r="ET31" s="235">
        <f xml:space="preserve"> Tax!ET$77</f>
        <v>0</v>
      </c>
      <c r="EU31" s="235">
        <f xml:space="preserve"> Tax!EU$77</f>
        <v>0</v>
      </c>
      <c r="EV31" s="235">
        <f xml:space="preserve"> Tax!EV$77</f>
        <v>0</v>
      </c>
      <c r="EW31" s="235">
        <f xml:space="preserve"> Tax!EW$77</f>
        <v>0</v>
      </c>
      <c r="EX31" s="235">
        <f xml:space="preserve"> Tax!EX$77</f>
        <v>0</v>
      </c>
      <c r="EY31" s="235">
        <f xml:space="preserve"> Tax!EY$77</f>
        <v>0</v>
      </c>
      <c r="EZ31" s="235">
        <f xml:space="preserve"> Tax!EZ$77</f>
        <v>0</v>
      </c>
      <c r="FA31" s="235">
        <f xml:space="preserve"> Tax!FA$77</f>
        <v>0</v>
      </c>
      <c r="FB31" s="235">
        <f xml:space="preserve"> Tax!FB$77</f>
        <v>0</v>
      </c>
      <c r="FC31" s="235">
        <f xml:space="preserve"> Tax!FC$77</f>
        <v>0</v>
      </c>
      <c r="FD31" s="235">
        <f xml:space="preserve"> Tax!FD$77</f>
        <v>0</v>
      </c>
      <c r="FE31" s="235">
        <f xml:space="preserve"> Tax!FE$77</f>
        <v>0</v>
      </c>
      <c r="FF31" s="235">
        <f xml:space="preserve"> Tax!FF$77</f>
        <v>0</v>
      </c>
      <c r="FG31" s="235">
        <f xml:space="preserve"> Tax!FG$77</f>
        <v>0</v>
      </c>
      <c r="FH31" s="235">
        <f xml:space="preserve"> Tax!FH$77</f>
        <v>0</v>
      </c>
      <c r="FI31" s="235">
        <f xml:space="preserve"> Tax!FI$77</f>
        <v>0</v>
      </c>
      <c r="FJ31" s="235">
        <f xml:space="preserve"> Tax!FJ$77</f>
        <v>0</v>
      </c>
      <c r="FK31" s="235">
        <f xml:space="preserve"> Tax!FK$77</f>
        <v>0</v>
      </c>
      <c r="FL31" s="235">
        <f xml:space="preserve"> Tax!FL$77</f>
        <v>0</v>
      </c>
      <c r="FM31" s="235">
        <f xml:space="preserve"> Tax!FM$77</f>
        <v>0</v>
      </c>
      <c r="FN31" s="235">
        <f xml:space="preserve"> Tax!FN$77</f>
        <v>0</v>
      </c>
      <c r="FO31" s="235">
        <f xml:space="preserve"> Tax!FO$77</f>
        <v>0</v>
      </c>
      <c r="FP31" s="235">
        <f xml:space="preserve"> Tax!FP$77</f>
        <v>0</v>
      </c>
      <c r="FQ31" s="235">
        <f xml:space="preserve"> Tax!FQ$77</f>
        <v>0</v>
      </c>
      <c r="FR31" s="235">
        <f xml:space="preserve"> Tax!FR$77</f>
        <v>0</v>
      </c>
      <c r="FS31" s="235">
        <f xml:space="preserve"> Tax!FS$77</f>
        <v>0</v>
      </c>
      <c r="FT31" s="235">
        <f xml:space="preserve"> Tax!FT$77</f>
        <v>0</v>
      </c>
      <c r="FU31" s="235">
        <f xml:space="preserve"> Tax!FU$77</f>
        <v>0</v>
      </c>
      <c r="FV31" s="235">
        <f xml:space="preserve"> Tax!FV$77</f>
        <v>0</v>
      </c>
      <c r="FW31" s="235">
        <f xml:space="preserve"> Tax!FW$77</f>
        <v>0</v>
      </c>
      <c r="FX31" s="235">
        <f xml:space="preserve"> Tax!FX$77</f>
        <v>0</v>
      </c>
      <c r="FY31" s="235">
        <f xml:space="preserve"> Tax!FY$77</f>
        <v>0</v>
      </c>
      <c r="FZ31" s="235">
        <f xml:space="preserve"> Tax!FZ$77</f>
        <v>0</v>
      </c>
      <c r="GA31" s="235">
        <f xml:space="preserve"> Tax!GA$77</f>
        <v>0</v>
      </c>
      <c r="GB31" s="235">
        <f xml:space="preserve"> Tax!GB$77</f>
        <v>0</v>
      </c>
      <c r="GC31" s="235">
        <f xml:space="preserve"> Tax!GC$77</f>
        <v>0</v>
      </c>
      <c r="GD31" s="235">
        <f xml:space="preserve"> Tax!GD$77</f>
        <v>0</v>
      </c>
      <c r="GE31" s="235">
        <f xml:space="preserve"> Tax!GE$77</f>
        <v>0</v>
      </c>
      <c r="GF31" s="235">
        <f xml:space="preserve"> Tax!GF$77</f>
        <v>0</v>
      </c>
      <c r="GG31" s="235">
        <f xml:space="preserve"> Tax!GG$77</f>
        <v>0</v>
      </c>
      <c r="GH31" s="235">
        <f xml:space="preserve"> Tax!GH$77</f>
        <v>0</v>
      </c>
      <c r="GI31" s="235">
        <f xml:space="preserve"> Tax!GI$77</f>
        <v>0</v>
      </c>
      <c r="GJ31" s="235">
        <f xml:space="preserve"> Tax!GJ$77</f>
        <v>0</v>
      </c>
    </row>
    <row r="32" spans="1:192" outlineLevel="1" x14ac:dyDescent="0.2">
      <c r="D32" s="209"/>
      <c r="E32" s="235" t="str">
        <f xml:space="preserve"> Tax!E$88</f>
        <v>Deferred tax</v>
      </c>
      <c r="F32" s="235">
        <f xml:space="preserve"> Tax!F$88</f>
        <v>0</v>
      </c>
      <c r="G32" s="235" t="str">
        <f xml:space="preserve"> Tax!G$88</f>
        <v>$ 000s</v>
      </c>
      <c r="H32" s="235">
        <f xml:space="preserve"> Tax!H$88</f>
        <v>5.6843418860808015E-12</v>
      </c>
      <c r="I32" s="235">
        <f xml:space="preserve"> Tax!I$88</f>
        <v>0</v>
      </c>
      <c r="J32" s="235">
        <f xml:space="preserve"> Tax!J$88</f>
        <v>0</v>
      </c>
      <c r="K32" s="235">
        <f xml:space="preserve"> Tax!K$88</f>
        <v>0</v>
      </c>
      <c r="L32" s="235">
        <f xml:space="preserve"> Tax!L$88</f>
        <v>0</v>
      </c>
      <c r="M32" s="235">
        <f xml:space="preserve"> Tax!M$88</f>
        <v>0</v>
      </c>
      <c r="N32" s="235">
        <f xml:space="preserve"> Tax!N$88</f>
        <v>0</v>
      </c>
      <c r="O32" s="235">
        <f xml:space="preserve"> Tax!O$88</f>
        <v>-4774.4453219935003</v>
      </c>
      <c r="P32" s="235">
        <f xml:space="preserve"> Tax!P$88</f>
        <v>-4134.9896065094208</v>
      </c>
      <c r="Q32" s="235">
        <f xml:space="preserve"> Tax!Q$88</f>
        <v>-3559.4794625737495</v>
      </c>
      <c r="R32" s="235">
        <f xml:space="preserve"> Tax!R$88</f>
        <v>-3041.5203330316454</v>
      </c>
      <c r="S32" s="235">
        <f xml:space="preserve"> Tax!S$88</f>
        <v>-2575.3571164437512</v>
      </c>
      <c r="T32" s="235">
        <f xml:space="preserve"> Tax!T$88</f>
        <v>-2155.8102215146464</v>
      </c>
      <c r="U32" s="235">
        <f xml:space="preserve"> Tax!U$88</f>
        <v>-1778.2180160784535</v>
      </c>
      <c r="V32" s="235">
        <f xml:space="preserve"> Tax!V$88</f>
        <v>-1438.3850311858787</v>
      </c>
      <c r="W32" s="235">
        <f xml:space="preserve"> Tax!W$88</f>
        <v>-1132.5353447825617</v>
      </c>
      <c r="X32" s="235">
        <f xml:space="preserve"> Tax!X$88</f>
        <v>-857.27062701957641</v>
      </c>
      <c r="Y32" s="235">
        <f xml:space="preserve"> Tax!Y$88</f>
        <v>-609.53238103288948</v>
      </c>
      <c r="Z32" s="235">
        <f xml:space="preserve"> Tax!Z$88</f>
        <v>-386.56795964487122</v>
      </c>
      <c r="AA32" s="235">
        <f xml:space="preserve"> Tax!AA$88</f>
        <v>-185.89998039565489</v>
      </c>
      <c r="AB32" s="235">
        <f xml:space="preserve"> Tax!AB$88</f>
        <v>-5.2987990713601905</v>
      </c>
      <c r="AC32" s="235">
        <f xml:space="preserve"> Tax!AC$88</f>
        <v>157.24226412050484</v>
      </c>
      <c r="AD32" s="235">
        <f xml:space="preserve"> Tax!AD$88</f>
        <v>303.52922099318369</v>
      </c>
      <c r="AE32" s="235">
        <f xml:space="preserve"> Tax!AE$88</f>
        <v>435.18748217859451</v>
      </c>
      <c r="AF32" s="235">
        <f xml:space="preserve"> Tax!AF$88</f>
        <v>553.67991724546425</v>
      </c>
      <c r="AG32" s="235">
        <f xml:space="preserve"> Tax!AG$88</f>
        <v>660.32310880564694</v>
      </c>
      <c r="AH32" s="235">
        <f xml:space="preserve"> Tax!AH$88</f>
        <v>756.30198120981152</v>
      </c>
      <c r="AI32" s="235">
        <f xml:space="preserve"> Tax!AI$88</f>
        <v>842.68296637355945</v>
      </c>
      <c r="AJ32" s="235">
        <f xml:space="preserve"> Tax!AJ$88</f>
        <v>920.42585302093266</v>
      </c>
      <c r="AK32" s="235">
        <f xml:space="preserve"> Tax!AK$88</f>
        <v>990.39445100356852</v>
      </c>
      <c r="AL32" s="235">
        <f xml:space="preserve"> Tax!AL$88</f>
        <v>1053.3661891879408</v>
      </c>
      <c r="AM32" s="235">
        <f xml:space="preserve"> Tax!AM$88</f>
        <v>1110.0407535538759</v>
      </c>
      <c r="AN32" s="235">
        <f xml:space="preserve"> Tax!AN$88</f>
        <v>1161.0478614832175</v>
      </c>
      <c r="AO32" s="235">
        <f xml:space="preserve"> Tax!AO$88</f>
        <v>1206.9542586196249</v>
      </c>
      <c r="AP32" s="235">
        <f xml:space="preserve"> Tax!AP$88</f>
        <v>1248.2700160423917</v>
      </c>
      <c r="AQ32" s="235">
        <f xml:space="preserve"> Tax!AQ$88</f>
        <v>1285.4541977228819</v>
      </c>
      <c r="AR32" s="235">
        <f xml:space="preserve"> Tax!AR$88</f>
        <v>1318.9199612353227</v>
      </c>
      <c r="AS32" s="235">
        <f xml:space="preserve"> Tax!AS$88</f>
        <v>1349.0391483965195</v>
      </c>
      <c r="AT32" s="235">
        <f xml:space="preserve"> Tax!AT$88</f>
        <v>1376.1464168415969</v>
      </c>
      <c r="AU32" s="235">
        <f xml:space="preserve"> Tax!AU$88</f>
        <v>1400.5429584421663</v>
      </c>
      <c r="AV32" s="235">
        <f xml:space="preserve"> Tax!AV$88</f>
        <v>1422.499845882679</v>
      </c>
      <c r="AW32" s="235">
        <f xml:space="preserve"> Tax!AW$88</f>
        <v>1299.1107503318478</v>
      </c>
      <c r="AX32" s="235">
        <f xml:space="preserve"> Tax!AX$88</f>
        <v>1316.895829158663</v>
      </c>
      <c r="AY32" s="235">
        <f xml:space="preserve"> Tax!AY$88</f>
        <v>1332.9024001027965</v>
      </c>
      <c r="AZ32" s="235">
        <f xml:space="preserve"> Tax!AZ$88</f>
        <v>1347.308313952517</v>
      </c>
      <c r="BA32" s="235">
        <f xml:space="preserve"> Tax!BA$88</f>
        <v>1360.2736364172652</v>
      </c>
      <c r="BB32" s="235">
        <f xml:space="preserve"> Tax!BB$88</f>
        <v>426.77041895539082</v>
      </c>
      <c r="BC32" s="235">
        <f xml:space="preserve"> Tax!BC$88</f>
        <v>0</v>
      </c>
      <c r="BD32" s="235">
        <f xml:space="preserve"> Tax!BD$88</f>
        <v>0</v>
      </c>
      <c r="BE32" s="235">
        <f xml:space="preserve"> Tax!BE$88</f>
        <v>0</v>
      </c>
      <c r="BF32" s="235">
        <f xml:space="preserve"> Tax!BF$88</f>
        <v>0</v>
      </c>
      <c r="BG32" s="235">
        <f xml:space="preserve"> Tax!BG$88</f>
        <v>0</v>
      </c>
      <c r="BH32" s="235">
        <f xml:space="preserve"> Tax!BH$88</f>
        <v>0</v>
      </c>
      <c r="BI32" s="235">
        <f xml:space="preserve"> Tax!BI$88</f>
        <v>0</v>
      </c>
      <c r="BJ32" s="235">
        <f xml:space="preserve"> Tax!BJ$88</f>
        <v>0</v>
      </c>
      <c r="BK32" s="235">
        <f xml:space="preserve"> Tax!BK$88</f>
        <v>0</v>
      </c>
      <c r="BL32" s="235">
        <f xml:space="preserve"> Tax!BL$88</f>
        <v>0</v>
      </c>
      <c r="BM32" s="235">
        <f xml:space="preserve"> Tax!BM$88</f>
        <v>0</v>
      </c>
      <c r="BN32" s="235">
        <f xml:space="preserve"> Tax!BN$88</f>
        <v>0</v>
      </c>
      <c r="BO32" s="235">
        <f xml:space="preserve"> Tax!BO$88</f>
        <v>0</v>
      </c>
      <c r="BP32" s="235">
        <f xml:space="preserve"> Tax!BP$88</f>
        <v>0</v>
      </c>
      <c r="BQ32" s="235">
        <f xml:space="preserve"> Tax!BQ$88</f>
        <v>0</v>
      </c>
      <c r="BR32" s="235">
        <f xml:space="preserve"> Tax!BR$88</f>
        <v>0</v>
      </c>
      <c r="BS32" s="235">
        <f xml:space="preserve"> Tax!BS$88</f>
        <v>0</v>
      </c>
      <c r="BT32" s="235">
        <f xml:space="preserve"> Tax!BT$88</f>
        <v>0</v>
      </c>
      <c r="BU32" s="235">
        <f xml:space="preserve"> Tax!BU$88</f>
        <v>0</v>
      </c>
      <c r="BV32" s="235">
        <f xml:space="preserve"> Tax!BV$88</f>
        <v>0</v>
      </c>
      <c r="BW32" s="235">
        <f xml:space="preserve"> Tax!BW$88</f>
        <v>0</v>
      </c>
      <c r="BX32" s="235">
        <f xml:space="preserve"> Tax!BX$88</f>
        <v>0</v>
      </c>
      <c r="BY32" s="235">
        <f xml:space="preserve"> Tax!BY$88</f>
        <v>0</v>
      </c>
      <c r="BZ32" s="235">
        <f xml:space="preserve"> Tax!BZ$88</f>
        <v>0</v>
      </c>
      <c r="CA32" s="235">
        <f xml:space="preserve"> Tax!CA$88</f>
        <v>0</v>
      </c>
      <c r="CB32" s="235">
        <f xml:space="preserve"> Tax!CB$88</f>
        <v>0</v>
      </c>
      <c r="CC32" s="235">
        <f xml:space="preserve"> Tax!CC$88</f>
        <v>0</v>
      </c>
      <c r="CD32" s="235">
        <f xml:space="preserve"> Tax!CD$88</f>
        <v>0</v>
      </c>
      <c r="CE32" s="235">
        <f xml:space="preserve"> Tax!CE$88</f>
        <v>0</v>
      </c>
      <c r="CF32" s="235">
        <f xml:space="preserve"> Tax!CF$88</f>
        <v>0</v>
      </c>
      <c r="CG32" s="235">
        <f xml:space="preserve"> Tax!CG$88</f>
        <v>0</v>
      </c>
      <c r="CH32" s="235">
        <f xml:space="preserve"> Tax!CH$88</f>
        <v>0</v>
      </c>
      <c r="CI32" s="235">
        <f xml:space="preserve"> Tax!CI$88</f>
        <v>0</v>
      </c>
      <c r="CJ32" s="235">
        <f xml:space="preserve"> Tax!CJ$88</f>
        <v>0</v>
      </c>
      <c r="CK32" s="235">
        <f xml:space="preserve"> Tax!CK$88</f>
        <v>0</v>
      </c>
      <c r="CL32" s="235">
        <f xml:space="preserve"> Tax!CL$88</f>
        <v>0</v>
      </c>
      <c r="CM32" s="235">
        <f xml:space="preserve"> Tax!CM$88</f>
        <v>0</v>
      </c>
      <c r="CN32" s="235">
        <f xml:space="preserve"> Tax!CN$88</f>
        <v>0</v>
      </c>
      <c r="CO32" s="235">
        <f xml:space="preserve"> Tax!CO$88</f>
        <v>0</v>
      </c>
      <c r="CP32" s="235">
        <f xml:space="preserve"> Tax!CP$88</f>
        <v>0</v>
      </c>
      <c r="CQ32" s="235">
        <f xml:space="preserve"> Tax!CQ$88</f>
        <v>0</v>
      </c>
      <c r="CR32" s="235">
        <f xml:space="preserve"> Tax!CR$88</f>
        <v>0</v>
      </c>
      <c r="CS32" s="235">
        <f xml:space="preserve"> Tax!CS$88</f>
        <v>0</v>
      </c>
      <c r="CT32" s="235">
        <f xml:space="preserve"> Tax!CT$88</f>
        <v>0</v>
      </c>
      <c r="CU32" s="235">
        <f xml:space="preserve"> Tax!CU$88</f>
        <v>0</v>
      </c>
      <c r="CV32" s="235">
        <f xml:space="preserve"> Tax!CV$88</f>
        <v>0</v>
      </c>
      <c r="CW32" s="235">
        <f xml:space="preserve"> Tax!CW$88</f>
        <v>0</v>
      </c>
      <c r="CX32" s="235">
        <f xml:space="preserve"> Tax!CX$88</f>
        <v>0</v>
      </c>
      <c r="CY32" s="235">
        <f xml:space="preserve"> Tax!CY$88</f>
        <v>0</v>
      </c>
      <c r="CZ32" s="235">
        <f xml:space="preserve"> Tax!CZ$88</f>
        <v>0</v>
      </c>
      <c r="DA32" s="235">
        <f xml:space="preserve"> Tax!DA$88</f>
        <v>0</v>
      </c>
      <c r="DB32" s="235">
        <f xml:space="preserve"> Tax!DB$88</f>
        <v>0</v>
      </c>
      <c r="DC32" s="235">
        <f xml:space="preserve"> Tax!DC$88</f>
        <v>0</v>
      </c>
      <c r="DD32" s="235">
        <f xml:space="preserve"> Tax!DD$88</f>
        <v>0</v>
      </c>
      <c r="DE32" s="235">
        <f xml:space="preserve"> Tax!DE$88</f>
        <v>0</v>
      </c>
      <c r="DF32" s="235">
        <f xml:space="preserve"> Tax!DF$88</f>
        <v>0</v>
      </c>
      <c r="DG32" s="235">
        <f xml:space="preserve"> Tax!DG$88</f>
        <v>0</v>
      </c>
      <c r="DH32" s="235">
        <f xml:space="preserve"> Tax!DH$88</f>
        <v>0</v>
      </c>
      <c r="DI32" s="235">
        <f xml:space="preserve"> Tax!DI$88</f>
        <v>0</v>
      </c>
      <c r="DJ32" s="235">
        <f xml:space="preserve"> Tax!DJ$88</f>
        <v>0</v>
      </c>
      <c r="DK32" s="235">
        <f xml:space="preserve"> Tax!DK$88</f>
        <v>0</v>
      </c>
      <c r="DL32" s="235">
        <f xml:space="preserve"> Tax!DL$88</f>
        <v>0</v>
      </c>
      <c r="DM32" s="235">
        <f xml:space="preserve"> Tax!DM$88</f>
        <v>0</v>
      </c>
      <c r="DN32" s="235">
        <f xml:space="preserve"> Tax!DN$88</f>
        <v>0</v>
      </c>
      <c r="DO32" s="235">
        <f xml:space="preserve"> Tax!DO$88</f>
        <v>0</v>
      </c>
      <c r="DP32" s="235">
        <f xml:space="preserve"> Tax!DP$88</f>
        <v>0</v>
      </c>
      <c r="DQ32" s="235">
        <f xml:space="preserve"> Tax!DQ$88</f>
        <v>0</v>
      </c>
      <c r="DR32" s="235">
        <f xml:space="preserve"> Tax!DR$88</f>
        <v>0</v>
      </c>
      <c r="DS32" s="235">
        <f xml:space="preserve"> Tax!DS$88</f>
        <v>0</v>
      </c>
      <c r="DT32" s="235">
        <f xml:space="preserve"> Tax!DT$88</f>
        <v>0</v>
      </c>
      <c r="DU32" s="235">
        <f xml:space="preserve"> Tax!DU$88</f>
        <v>0</v>
      </c>
      <c r="DV32" s="235">
        <f xml:space="preserve"> Tax!DV$88</f>
        <v>0</v>
      </c>
      <c r="DW32" s="235">
        <f xml:space="preserve"> Tax!DW$88</f>
        <v>0</v>
      </c>
      <c r="DX32" s="235">
        <f xml:space="preserve"> Tax!DX$88</f>
        <v>0</v>
      </c>
      <c r="DY32" s="235">
        <f xml:space="preserve"> Tax!DY$88</f>
        <v>0</v>
      </c>
      <c r="DZ32" s="235">
        <f xml:space="preserve"> Tax!DZ$88</f>
        <v>0</v>
      </c>
      <c r="EA32" s="235">
        <f xml:space="preserve"> Tax!EA$88</f>
        <v>0</v>
      </c>
      <c r="EB32" s="235">
        <f xml:space="preserve"> Tax!EB$88</f>
        <v>0</v>
      </c>
      <c r="EC32" s="235">
        <f xml:space="preserve"> Tax!EC$88</f>
        <v>0</v>
      </c>
      <c r="ED32" s="235">
        <f xml:space="preserve"> Tax!ED$88</f>
        <v>0</v>
      </c>
      <c r="EE32" s="235">
        <f xml:space="preserve"> Tax!EE$88</f>
        <v>0</v>
      </c>
      <c r="EF32" s="235">
        <f xml:space="preserve"> Tax!EF$88</f>
        <v>0</v>
      </c>
      <c r="EG32" s="235">
        <f xml:space="preserve"> Tax!EG$88</f>
        <v>0</v>
      </c>
      <c r="EH32" s="235">
        <f xml:space="preserve"> Tax!EH$88</f>
        <v>0</v>
      </c>
      <c r="EI32" s="235">
        <f xml:space="preserve"> Tax!EI$88</f>
        <v>0</v>
      </c>
      <c r="EJ32" s="235">
        <f xml:space="preserve"> Tax!EJ$88</f>
        <v>0</v>
      </c>
      <c r="EK32" s="235">
        <f xml:space="preserve"> Tax!EK$88</f>
        <v>0</v>
      </c>
      <c r="EL32" s="235">
        <f xml:space="preserve"> Tax!EL$88</f>
        <v>0</v>
      </c>
      <c r="EM32" s="235">
        <f xml:space="preserve"> Tax!EM$88</f>
        <v>0</v>
      </c>
      <c r="EN32" s="235">
        <f xml:space="preserve"> Tax!EN$88</f>
        <v>0</v>
      </c>
      <c r="EO32" s="235">
        <f xml:space="preserve"> Tax!EO$88</f>
        <v>0</v>
      </c>
      <c r="EP32" s="235">
        <f xml:space="preserve"> Tax!EP$88</f>
        <v>0</v>
      </c>
      <c r="EQ32" s="235">
        <f xml:space="preserve"> Tax!EQ$88</f>
        <v>0</v>
      </c>
      <c r="ER32" s="235">
        <f xml:space="preserve"> Tax!ER$88</f>
        <v>0</v>
      </c>
      <c r="ES32" s="235">
        <f xml:space="preserve"> Tax!ES$88</f>
        <v>0</v>
      </c>
      <c r="ET32" s="235">
        <f xml:space="preserve"> Tax!ET$88</f>
        <v>0</v>
      </c>
      <c r="EU32" s="235">
        <f xml:space="preserve"> Tax!EU$88</f>
        <v>0</v>
      </c>
      <c r="EV32" s="235">
        <f xml:space="preserve"> Tax!EV$88</f>
        <v>0</v>
      </c>
      <c r="EW32" s="235">
        <f xml:space="preserve"> Tax!EW$88</f>
        <v>0</v>
      </c>
      <c r="EX32" s="235">
        <f xml:space="preserve"> Tax!EX$88</f>
        <v>0</v>
      </c>
      <c r="EY32" s="235">
        <f xml:space="preserve"> Tax!EY$88</f>
        <v>0</v>
      </c>
      <c r="EZ32" s="235">
        <f xml:space="preserve"> Tax!EZ$88</f>
        <v>0</v>
      </c>
      <c r="FA32" s="235">
        <f xml:space="preserve"> Tax!FA$88</f>
        <v>0</v>
      </c>
      <c r="FB32" s="235">
        <f xml:space="preserve"> Tax!FB$88</f>
        <v>0</v>
      </c>
      <c r="FC32" s="235">
        <f xml:space="preserve"> Tax!FC$88</f>
        <v>0</v>
      </c>
      <c r="FD32" s="235">
        <f xml:space="preserve"> Tax!FD$88</f>
        <v>0</v>
      </c>
      <c r="FE32" s="235">
        <f xml:space="preserve"> Tax!FE$88</f>
        <v>0</v>
      </c>
      <c r="FF32" s="235">
        <f xml:space="preserve"> Tax!FF$88</f>
        <v>0</v>
      </c>
      <c r="FG32" s="235">
        <f xml:space="preserve"> Tax!FG$88</f>
        <v>0</v>
      </c>
      <c r="FH32" s="235">
        <f xml:space="preserve"> Tax!FH$88</f>
        <v>0</v>
      </c>
      <c r="FI32" s="235">
        <f xml:space="preserve"> Tax!FI$88</f>
        <v>0</v>
      </c>
      <c r="FJ32" s="235">
        <f xml:space="preserve"> Tax!FJ$88</f>
        <v>0</v>
      </c>
      <c r="FK32" s="235">
        <f xml:space="preserve"> Tax!FK$88</f>
        <v>0</v>
      </c>
      <c r="FL32" s="235">
        <f xml:space="preserve"> Tax!FL$88</f>
        <v>0</v>
      </c>
      <c r="FM32" s="235">
        <f xml:space="preserve"> Tax!FM$88</f>
        <v>0</v>
      </c>
      <c r="FN32" s="235">
        <f xml:space="preserve"> Tax!FN$88</f>
        <v>0</v>
      </c>
      <c r="FO32" s="235">
        <f xml:space="preserve"> Tax!FO$88</f>
        <v>0</v>
      </c>
      <c r="FP32" s="235">
        <f xml:space="preserve"> Tax!FP$88</f>
        <v>0</v>
      </c>
      <c r="FQ32" s="235">
        <f xml:space="preserve"> Tax!FQ$88</f>
        <v>0</v>
      </c>
      <c r="FR32" s="235">
        <f xml:space="preserve"> Tax!FR$88</f>
        <v>0</v>
      </c>
      <c r="FS32" s="235">
        <f xml:space="preserve"> Tax!FS$88</f>
        <v>0</v>
      </c>
      <c r="FT32" s="235">
        <f xml:space="preserve"> Tax!FT$88</f>
        <v>0</v>
      </c>
      <c r="FU32" s="235">
        <f xml:space="preserve"> Tax!FU$88</f>
        <v>0</v>
      </c>
      <c r="FV32" s="235">
        <f xml:space="preserve"> Tax!FV$88</f>
        <v>0</v>
      </c>
      <c r="FW32" s="235">
        <f xml:space="preserve"> Tax!FW$88</f>
        <v>0</v>
      </c>
      <c r="FX32" s="235">
        <f xml:space="preserve"> Tax!FX$88</f>
        <v>0</v>
      </c>
      <c r="FY32" s="235">
        <f xml:space="preserve"> Tax!FY$88</f>
        <v>0</v>
      </c>
      <c r="FZ32" s="235">
        <f xml:space="preserve"> Tax!FZ$88</f>
        <v>0</v>
      </c>
      <c r="GA32" s="235">
        <f xml:space="preserve"> Tax!GA$88</f>
        <v>0</v>
      </c>
      <c r="GB32" s="235">
        <f xml:space="preserve"> Tax!GB$88</f>
        <v>0</v>
      </c>
      <c r="GC32" s="235">
        <f xml:space="preserve"> Tax!GC$88</f>
        <v>0</v>
      </c>
      <c r="GD32" s="235">
        <f xml:space="preserve"> Tax!GD$88</f>
        <v>0</v>
      </c>
      <c r="GE32" s="235">
        <f xml:space="preserve"> Tax!GE$88</f>
        <v>0</v>
      </c>
      <c r="GF32" s="235">
        <f xml:space="preserve"> Tax!GF$88</f>
        <v>0</v>
      </c>
      <c r="GG32" s="235">
        <f xml:space="preserve"> Tax!GG$88</f>
        <v>0</v>
      </c>
      <c r="GH32" s="235">
        <f xml:space="preserve"> Tax!GH$88</f>
        <v>0</v>
      </c>
      <c r="GI32" s="235">
        <f xml:space="preserve"> Tax!GI$88</f>
        <v>0</v>
      </c>
      <c r="GJ32" s="235">
        <f xml:space="preserve"> Tax!GJ$88</f>
        <v>0</v>
      </c>
    </row>
    <row r="33" spans="1:192" outlineLevel="1" x14ac:dyDescent="0.2">
      <c r="D33" s="209"/>
      <c r="E33" s="232" t="s">
        <v>110</v>
      </c>
      <c r="F33" s="232"/>
      <c r="G33" s="232" t="str">
        <f>SMU</f>
        <v>$ 000s</v>
      </c>
      <c r="H33" s="232">
        <f xml:space="preserve"> SUM(J33:CV33)</f>
        <v>-139488.01257311381</v>
      </c>
      <c r="I33" s="232"/>
      <c r="J33" s="232">
        <f t="shared" ref="J33:AO33" si="9" xml:space="preserve"> J29 + SUM(J31:J32)</f>
        <v>0</v>
      </c>
      <c r="K33" s="232">
        <f t="shared" si="9"/>
        <v>0</v>
      </c>
      <c r="L33" s="232">
        <f t="shared" si="9"/>
        <v>0</v>
      </c>
      <c r="M33" s="232">
        <f t="shared" si="9"/>
        <v>0</v>
      </c>
      <c r="N33" s="232">
        <f t="shared" si="9"/>
        <v>0</v>
      </c>
      <c r="O33" s="232">
        <f t="shared" si="9"/>
        <v>-8093.9627097477887</v>
      </c>
      <c r="P33" s="232">
        <f t="shared" si="9"/>
        <v>-7211.8162191817319</v>
      </c>
      <c r="Q33" s="232">
        <f t="shared" si="9"/>
        <v>-6758.4517618686277</v>
      </c>
      <c r="R33" s="232">
        <f t="shared" si="9"/>
        <v>-6064.310092370185</v>
      </c>
      <c r="S33" s="232">
        <f t="shared" si="9"/>
        <v>-5720.580912207357</v>
      </c>
      <c r="T33" s="232">
        <f t="shared" si="9"/>
        <v>-5132.9347767584231</v>
      </c>
      <c r="U33" s="232">
        <f t="shared" si="9"/>
        <v>-4879.1710577362146</v>
      </c>
      <c r="V33" s="232">
        <f t="shared" si="9"/>
        <v>-4405.9643331974812</v>
      </c>
      <c r="W33" s="232">
        <f t="shared" si="9"/>
        <v>-4198.5500364226327</v>
      </c>
      <c r="X33" s="232">
        <f t="shared" si="9"/>
        <v>-3775.451967293187</v>
      </c>
      <c r="Y33" s="232">
        <f t="shared" si="9"/>
        <v>-3851.6785302611647</v>
      </c>
      <c r="Z33" s="232">
        <f t="shared" si="9"/>
        <v>-3485.9587616136546</v>
      </c>
      <c r="AA33" s="232">
        <f t="shared" si="9"/>
        <v>-3417.5117178118016</v>
      </c>
      <c r="AB33" s="232">
        <f t="shared" si="9"/>
        <v>-3106.6068213691815</v>
      </c>
      <c r="AC33" s="232">
        <f t="shared" si="9"/>
        <v>-3081.0602571136287</v>
      </c>
      <c r="AD33" s="232">
        <f t="shared" si="9"/>
        <v>-2838.3263422204677</v>
      </c>
      <c r="AE33" s="232">
        <f t="shared" si="9"/>
        <v>-2827.9287770768274</v>
      </c>
      <c r="AF33" s="232">
        <f t="shared" si="9"/>
        <v>-2609.8809721206321</v>
      </c>
      <c r="AG33" s="232">
        <f t="shared" si="9"/>
        <v>-2652.5454603593694</v>
      </c>
      <c r="AH33" s="232">
        <f t="shared" si="9"/>
        <v>-2473.5340005647081</v>
      </c>
      <c r="AI33" s="232">
        <f t="shared" si="9"/>
        <v>-2693.9747431970959</v>
      </c>
      <c r="AJ33" s="232">
        <f t="shared" si="9"/>
        <v>-2544.2979292446398</v>
      </c>
      <c r="AK33" s="232">
        <f t="shared" si="9"/>
        <v>-2639.1475823422074</v>
      </c>
      <c r="AL33" s="232">
        <f t="shared" si="9"/>
        <v>-2538.6663979334426</v>
      </c>
      <c r="AM33" s="232">
        <f t="shared" si="9"/>
        <v>-2644.5261287668209</v>
      </c>
      <c r="AN33" s="232">
        <f t="shared" si="9"/>
        <v>-2568.8718343797291</v>
      </c>
      <c r="AO33" s="232">
        <f t="shared" si="9"/>
        <v>-2713.7657498882727</v>
      </c>
      <c r="AP33" s="232">
        <f t="shared" ref="AP33:BU33" si="10" xml:space="preserve"> AP29 + SUM(AP31:AP32)</f>
        <v>-2674.2630784022322</v>
      </c>
      <c r="AQ33" s="232">
        <f t="shared" si="10"/>
        <v>-2845.0614919253157</v>
      </c>
      <c r="AR33" s="232">
        <f t="shared" si="10"/>
        <v>-2844.3813223342136</v>
      </c>
      <c r="AS33" s="232">
        <f t="shared" si="10"/>
        <v>-3042.9880278227402</v>
      </c>
      <c r="AT33" s="232">
        <f t="shared" si="10"/>
        <v>-3103.159751255188</v>
      </c>
      <c r="AU33" s="232">
        <f t="shared" si="10"/>
        <v>-3343.9573537650831</v>
      </c>
      <c r="AV33" s="232">
        <f t="shared" si="10"/>
        <v>-3155.5420572666603</v>
      </c>
      <c r="AW33" s="232">
        <f t="shared" si="10"/>
        <v>-2557.1505440066185</v>
      </c>
      <c r="AX33" s="232">
        <f t="shared" si="10"/>
        <v>-2322.1608421396877</v>
      </c>
      <c r="AY33" s="232">
        <f t="shared" si="10"/>
        <v>-2234.6159572270108</v>
      </c>
      <c r="AZ33" s="232">
        <f t="shared" si="10"/>
        <v>-1985.6854429273117</v>
      </c>
      <c r="BA33" s="232">
        <f t="shared" si="10"/>
        <v>-1884.9623477730529</v>
      </c>
      <c r="BB33" s="232">
        <f t="shared" si="10"/>
        <v>-2564.6084832214374</v>
      </c>
      <c r="BC33" s="232">
        <f t="shared" si="10"/>
        <v>0</v>
      </c>
      <c r="BD33" s="232">
        <f t="shared" si="10"/>
        <v>0</v>
      </c>
      <c r="BE33" s="232">
        <f t="shared" si="10"/>
        <v>0</v>
      </c>
      <c r="BF33" s="232">
        <f t="shared" si="10"/>
        <v>0</v>
      </c>
      <c r="BG33" s="232">
        <f t="shared" si="10"/>
        <v>0</v>
      </c>
      <c r="BH33" s="232">
        <f t="shared" si="10"/>
        <v>0</v>
      </c>
      <c r="BI33" s="232">
        <f t="shared" si="10"/>
        <v>0</v>
      </c>
      <c r="BJ33" s="232">
        <f t="shared" si="10"/>
        <v>0</v>
      </c>
      <c r="BK33" s="232">
        <f t="shared" si="10"/>
        <v>0</v>
      </c>
      <c r="BL33" s="232">
        <f t="shared" si="10"/>
        <v>0</v>
      </c>
      <c r="BM33" s="232">
        <f t="shared" si="10"/>
        <v>0</v>
      </c>
      <c r="BN33" s="232">
        <f t="shared" si="10"/>
        <v>0</v>
      </c>
      <c r="BO33" s="232">
        <f t="shared" si="10"/>
        <v>0</v>
      </c>
      <c r="BP33" s="232">
        <f t="shared" si="10"/>
        <v>0</v>
      </c>
      <c r="BQ33" s="232">
        <f t="shared" si="10"/>
        <v>0</v>
      </c>
      <c r="BR33" s="232">
        <f t="shared" si="10"/>
        <v>0</v>
      </c>
      <c r="BS33" s="232">
        <f t="shared" si="10"/>
        <v>0</v>
      </c>
      <c r="BT33" s="232">
        <f t="shared" si="10"/>
        <v>0</v>
      </c>
      <c r="BU33" s="232">
        <f t="shared" si="10"/>
        <v>0</v>
      </c>
      <c r="BV33" s="232">
        <f t="shared" ref="BV33:DA33" si="11" xml:space="preserve"> BV29 + SUM(BV31:BV32)</f>
        <v>0</v>
      </c>
      <c r="BW33" s="232">
        <f t="shared" si="11"/>
        <v>0</v>
      </c>
      <c r="BX33" s="232">
        <f t="shared" si="11"/>
        <v>0</v>
      </c>
      <c r="BY33" s="232">
        <f t="shared" si="11"/>
        <v>0</v>
      </c>
      <c r="BZ33" s="232">
        <f t="shared" si="11"/>
        <v>0</v>
      </c>
      <c r="CA33" s="232">
        <f t="shared" si="11"/>
        <v>0</v>
      </c>
      <c r="CB33" s="232">
        <f t="shared" si="11"/>
        <v>0</v>
      </c>
      <c r="CC33" s="232">
        <f t="shared" si="11"/>
        <v>0</v>
      </c>
      <c r="CD33" s="232">
        <f t="shared" si="11"/>
        <v>0</v>
      </c>
      <c r="CE33" s="232">
        <f t="shared" si="11"/>
        <v>0</v>
      </c>
      <c r="CF33" s="232">
        <f t="shared" si="11"/>
        <v>0</v>
      </c>
      <c r="CG33" s="232">
        <f t="shared" si="11"/>
        <v>0</v>
      </c>
      <c r="CH33" s="232">
        <f t="shared" si="11"/>
        <v>0</v>
      </c>
      <c r="CI33" s="232">
        <f t="shared" si="11"/>
        <v>0</v>
      </c>
      <c r="CJ33" s="232">
        <f t="shared" si="11"/>
        <v>0</v>
      </c>
      <c r="CK33" s="232">
        <f t="shared" si="11"/>
        <v>0</v>
      </c>
      <c r="CL33" s="232">
        <f t="shared" si="11"/>
        <v>0</v>
      </c>
      <c r="CM33" s="232">
        <f t="shared" si="11"/>
        <v>0</v>
      </c>
      <c r="CN33" s="232">
        <f t="shared" si="11"/>
        <v>0</v>
      </c>
      <c r="CO33" s="232">
        <f t="shared" si="11"/>
        <v>0</v>
      </c>
      <c r="CP33" s="232">
        <f t="shared" si="11"/>
        <v>0</v>
      </c>
      <c r="CQ33" s="232">
        <f t="shared" si="11"/>
        <v>0</v>
      </c>
      <c r="CR33" s="232">
        <f t="shared" si="11"/>
        <v>0</v>
      </c>
      <c r="CS33" s="232">
        <f t="shared" si="11"/>
        <v>0</v>
      </c>
      <c r="CT33" s="232">
        <f t="shared" si="11"/>
        <v>0</v>
      </c>
      <c r="CU33" s="232">
        <f t="shared" si="11"/>
        <v>0</v>
      </c>
      <c r="CV33" s="232">
        <f t="shared" si="11"/>
        <v>0</v>
      </c>
      <c r="CW33" s="232">
        <f t="shared" si="11"/>
        <v>0</v>
      </c>
      <c r="CX33" s="232">
        <f t="shared" si="11"/>
        <v>0</v>
      </c>
      <c r="CY33" s="232">
        <f t="shared" si="11"/>
        <v>0</v>
      </c>
      <c r="CZ33" s="232">
        <f t="shared" si="11"/>
        <v>0</v>
      </c>
      <c r="DA33" s="232">
        <f t="shared" si="11"/>
        <v>0</v>
      </c>
      <c r="DB33" s="232">
        <f t="shared" ref="DB33:EG33" si="12" xml:space="preserve"> DB29 + SUM(DB31:DB32)</f>
        <v>0</v>
      </c>
      <c r="DC33" s="232">
        <f t="shared" si="12"/>
        <v>0</v>
      </c>
      <c r="DD33" s="232">
        <f t="shared" si="12"/>
        <v>0</v>
      </c>
      <c r="DE33" s="232">
        <f t="shared" si="12"/>
        <v>0</v>
      </c>
      <c r="DF33" s="232">
        <f t="shared" si="12"/>
        <v>0</v>
      </c>
      <c r="DG33" s="232">
        <f t="shared" si="12"/>
        <v>0</v>
      </c>
      <c r="DH33" s="232">
        <f t="shared" si="12"/>
        <v>0</v>
      </c>
      <c r="DI33" s="232">
        <f t="shared" si="12"/>
        <v>0</v>
      </c>
      <c r="DJ33" s="232">
        <f t="shared" si="12"/>
        <v>0</v>
      </c>
      <c r="DK33" s="232">
        <f t="shared" si="12"/>
        <v>0</v>
      </c>
      <c r="DL33" s="232">
        <f t="shared" si="12"/>
        <v>0</v>
      </c>
      <c r="DM33" s="232">
        <f t="shared" si="12"/>
        <v>0</v>
      </c>
      <c r="DN33" s="232">
        <f t="shared" si="12"/>
        <v>0</v>
      </c>
      <c r="DO33" s="232">
        <f t="shared" si="12"/>
        <v>0</v>
      </c>
      <c r="DP33" s="232">
        <f t="shared" si="12"/>
        <v>0</v>
      </c>
      <c r="DQ33" s="232">
        <f t="shared" si="12"/>
        <v>0</v>
      </c>
      <c r="DR33" s="232">
        <f t="shared" si="12"/>
        <v>0</v>
      </c>
      <c r="DS33" s="232">
        <f t="shared" si="12"/>
        <v>0</v>
      </c>
      <c r="DT33" s="232">
        <f t="shared" si="12"/>
        <v>0</v>
      </c>
      <c r="DU33" s="232">
        <f t="shared" si="12"/>
        <v>0</v>
      </c>
      <c r="DV33" s="232">
        <f t="shared" si="12"/>
        <v>0</v>
      </c>
      <c r="DW33" s="232">
        <f t="shared" si="12"/>
        <v>0</v>
      </c>
      <c r="DX33" s="232">
        <f t="shared" si="12"/>
        <v>0</v>
      </c>
      <c r="DY33" s="232">
        <f t="shared" si="12"/>
        <v>0</v>
      </c>
      <c r="DZ33" s="232">
        <f t="shared" si="12"/>
        <v>0</v>
      </c>
      <c r="EA33" s="232">
        <f t="shared" si="12"/>
        <v>0</v>
      </c>
      <c r="EB33" s="232">
        <f t="shared" si="12"/>
        <v>0</v>
      </c>
      <c r="EC33" s="232">
        <f t="shared" si="12"/>
        <v>0</v>
      </c>
      <c r="ED33" s="232">
        <f t="shared" si="12"/>
        <v>0</v>
      </c>
      <c r="EE33" s="232">
        <f t="shared" si="12"/>
        <v>0</v>
      </c>
      <c r="EF33" s="232">
        <f t="shared" si="12"/>
        <v>0</v>
      </c>
      <c r="EG33" s="232">
        <f t="shared" si="12"/>
        <v>0</v>
      </c>
      <c r="EH33" s="232">
        <f t="shared" ref="EH33:FM33" si="13" xml:space="preserve"> EH29 + SUM(EH31:EH32)</f>
        <v>0</v>
      </c>
      <c r="EI33" s="232">
        <f t="shared" si="13"/>
        <v>0</v>
      </c>
      <c r="EJ33" s="232">
        <f t="shared" si="13"/>
        <v>0</v>
      </c>
      <c r="EK33" s="232">
        <f t="shared" si="13"/>
        <v>0</v>
      </c>
      <c r="EL33" s="232">
        <f t="shared" si="13"/>
        <v>0</v>
      </c>
      <c r="EM33" s="232">
        <f t="shared" si="13"/>
        <v>0</v>
      </c>
      <c r="EN33" s="232">
        <f t="shared" si="13"/>
        <v>0</v>
      </c>
      <c r="EO33" s="232">
        <f t="shared" si="13"/>
        <v>0</v>
      </c>
      <c r="EP33" s="232">
        <f t="shared" si="13"/>
        <v>0</v>
      </c>
      <c r="EQ33" s="232">
        <f t="shared" si="13"/>
        <v>0</v>
      </c>
      <c r="ER33" s="232">
        <f t="shared" si="13"/>
        <v>0</v>
      </c>
      <c r="ES33" s="232">
        <f t="shared" si="13"/>
        <v>0</v>
      </c>
      <c r="ET33" s="232">
        <f t="shared" si="13"/>
        <v>0</v>
      </c>
      <c r="EU33" s="232">
        <f t="shared" si="13"/>
        <v>0</v>
      </c>
      <c r="EV33" s="232">
        <f t="shared" si="13"/>
        <v>0</v>
      </c>
      <c r="EW33" s="232">
        <f t="shared" si="13"/>
        <v>0</v>
      </c>
      <c r="EX33" s="232">
        <f t="shared" si="13"/>
        <v>0</v>
      </c>
      <c r="EY33" s="232">
        <f t="shared" si="13"/>
        <v>0</v>
      </c>
      <c r="EZ33" s="232">
        <f t="shared" si="13"/>
        <v>0</v>
      </c>
      <c r="FA33" s="232">
        <f t="shared" si="13"/>
        <v>0</v>
      </c>
      <c r="FB33" s="232">
        <f t="shared" si="13"/>
        <v>0</v>
      </c>
      <c r="FC33" s="232">
        <f t="shared" si="13"/>
        <v>0</v>
      </c>
      <c r="FD33" s="232">
        <f t="shared" si="13"/>
        <v>0</v>
      </c>
      <c r="FE33" s="232">
        <f t="shared" si="13"/>
        <v>0</v>
      </c>
      <c r="FF33" s="232">
        <f t="shared" si="13"/>
        <v>0</v>
      </c>
      <c r="FG33" s="232">
        <f t="shared" si="13"/>
        <v>0</v>
      </c>
      <c r="FH33" s="232">
        <f t="shared" si="13"/>
        <v>0</v>
      </c>
      <c r="FI33" s="232">
        <f t="shared" si="13"/>
        <v>0</v>
      </c>
      <c r="FJ33" s="232">
        <f t="shared" si="13"/>
        <v>0</v>
      </c>
      <c r="FK33" s="232">
        <f t="shared" si="13"/>
        <v>0</v>
      </c>
      <c r="FL33" s="232">
        <f t="shared" si="13"/>
        <v>0</v>
      </c>
      <c r="FM33" s="232">
        <f t="shared" si="13"/>
        <v>0</v>
      </c>
      <c r="FN33" s="232">
        <f t="shared" ref="FN33:GJ33" si="14" xml:space="preserve"> FN29 + SUM(FN31:FN32)</f>
        <v>0</v>
      </c>
      <c r="FO33" s="232">
        <f t="shared" si="14"/>
        <v>0</v>
      </c>
      <c r="FP33" s="232">
        <f t="shared" si="14"/>
        <v>0</v>
      </c>
      <c r="FQ33" s="232">
        <f t="shared" si="14"/>
        <v>0</v>
      </c>
      <c r="FR33" s="232">
        <f t="shared" si="14"/>
        <v>0</v>
      </c>
      <c r="FS33" s="232">
        <f t="shared" si="14"/>
        <v>0</v>
      </c>
      <c r="FT33" s="232">
        <f t="shared" si="14"/>
        <v>0</v>
      </c>
      <c r="FU33" s="232">
        <f t="shared" si="14"/>
        <v>0</v>
      </c>
      <c r="FV33" s="232">
        <f t="shared" si="14"/>
        <v>0</v>
      </c>
      <c r="FW33" s="232">
        <f t="shared" si="14"/>
        <v>0</v>
      </c>
      <c r="FX33" s="232">
        <f t="shared" si="14"/>
        <v>0</v>
      </c>
      <c r="FY33" s="232">
        <f t="shared" si="14"/>
        <v>0</v>
      </c>
      <c r="FZ33" s="232">
        <f t="shared" si="14"/>
        <v>0</v>
      </c>
      <c r="GA33" s="232">
        <f t="shared" si="14"/>
        <v>0</v>
      </c>
      <c r="GB33" s="232">
        <f t="shared" si="14"/>
        <v>0</v>
      </c>
      <c r="GC33" s="232">
        <f t="shared" si="14"/>
        <v>0</v>
      </c>
      <c r="GD33" s="232">
        <f t="shared" si="14"/>
        <v>0</v>
      </c>
      <c r="GE33" s="232">
        <f t="shared" si="14"/>
        <v>0</v>
      </c>
      <c r="GF33" s="232">
        <f t="shared" si="14"/>
        <v>0</v>
      </c>
      <c r="GG33" s="232">
        <f t="shared" si="14"/>
        <v>0</v>
      </c>
      <c r="GH33" s="232">
        <f t="shared" si="14"/>
        <v>0</v>
      </c>
      <c r="GI33" s="232">
        <f t="shared" si="14"/>
        <v>0</v>
      </c>
      <c r="GJ33" s="232">
        <f t="shared" si="14"/>
        <v>0</v>
      </c>
    </row>
    <row r="34" spans="1:192" outlineLevel="1" x14ac:dyDescent="0.2">
      <c r="D34" s="209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/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/>
      <c r="CM34" s="235"/>
      <c r="CN34" s="235"/>
      <c r="CO34" s="235"/>
      <c r="CP34" s="235"/>
      <c r="CQ34" s="235"/>
      <c r="CR34" s="235"/>
      <c r="CS34" s="235"/>
      <c r="CT34" s="235"/>
      <c r="CU34" s="235"/>
      <c r="CV34" s="235"/>
    </row>
    <row r="35" spans="1:192" outlineLevel="1" x14ac:dyDescent="0.2">
      <c r="D35" s="209"/>
      <c r="E35" s="288" t="str">
        <f xml:space="preserve"> Equity!E$81</f>
        <v>Dividends paid</v>
      </c>
      <c r="F35" s="288">
        <f xml:space="preserve"> Equity!F$81</f>
        <v>0</v>
      </c>
      <c r="G35" s="288" t="str">
        <f xml:space="preserve"> Equity!G$81</f>
        <v>$ 000s</v>
      </c>
      <c r="H35" s="288">
        <f xml:space="preserve"> Equity!H$81</f>
        <v>0</v>
      </c>
      <c r="I35" s="288">
        <f xml:space="preserve"> Equity!I$81</f>
        <v>0</v>
      </c>
      <c r="J35" s="288">
        <f xml:space="preserve"> Equity!J$81</f>
        <v>0</v>
      </c>
      <c r="K35" s="288">
        <f xml:space="preserve"> Equity!K$81</f>
        <v>0</v>
      </c>
      <c r="L35" s="288">
        <f xml:space="preserve"> Equity!L$81</f>
        <v>0</v>
      </c>
      <c r="M35" s="288">
        <f xml:space="preserve"> Equity!M$81</f>
        <v>0</v>
      </c>
      <c r="N35" s="288">
        <f xml:space="preserve"> Equity!N$81</f>
        <v>0</v>
      </c>
      <c r="O35" s="288">
        <f xml:space="preserve"> Equity!O$81</f>
        <v>0</v>
      </c>
      <c r="P35" s="288">
        <f xml:space="preserve"> Equity!P$81</f>
        <v>0</v>
      </c>
      <c r="Q35" s="288">
        <f xml:space="preserve"> Equity!Q$81</f>
        <v>0</v>
      </c>
      <c r="R35" s="288">
        <f xml:space="preserve"> Equity!R$81</f>
        <v>0</v>
      </c>
      <c r="S35" s="288">
        <f xml:space="preserve"> Equity!S$81</f>
        <v>0</v>
      </c>
      <c r="T35" s="288">
        <f xml:space="preserve"> Equity!T$81</f>
        <v>0</v>
      </c>
      <c r="U35" s="288">
        <f xml:space="preserve"> Equity!U$81</f>
        <v>0</v>
      </c>
      <c r="V35" s="288">
        <f xml:space="preserve"> Equity!V$81</f>
        <v>0</v>
      </c>
      <c r="W35" s="288">
        <f xml:space="preserve"> Equity!W$81</f>
        <v>0</v>
      </c>
      <c r="X35" s="288">
        <f xml:space="preserve"> Equity!X$81</f>
        <v>0</v>
      </c>
      <c r="Y35" s="288">
        <f xml:space="preserve"> Equity!Y$81</f>
        <v>0</v>
      </c>
      <c r="Z35" s="288">
        <f xml:space="preserve"> Equity!Z$81</f>
        <v>0</v>
      </c>
      <c r="AA35" s="288">
        <f xml:space="preserve"> Equity!AA$81</f>
        <v>0</v>
      </c>
      <c r="AB35" s="288">
        <f xml:space="preserve"> Equity!AB$81</f>
        <v>0</v>
      </c>
      <c r="AC35" s="288">
        <f xml:space="preserve"> Equity!AC$81</f>
        <v>0</v>
      </c>
      <c r="AD35" s="288">
        <f xml:space="preserve"> Equity!AD$81</f>
        <v>0</v>
      </c>
      <c r="AE35" s="288">
        <f xml:space="preserve"> Equity!AE$81</f>
        <v>0</v>
      </c>
      <c r="AF35" s="288">
        <f xml:space="preserve"> Equity!AF$81</f>
        <v>0</v>
      </c>
      <c r="AG35" s="288">
        <f xml:space="preserve"> Equity!AG$81</f>
        <v>0</v>
      </c>
      <c r="AH35" s="288">
        <f xml:space="preserve"> Equity!AH$81</f>
        <v>0</v>
      </c>
      <c r="AI35" s="288">
        <f xml:space="preserve"> Equity!AI$81</f>
        <v>0</v>
      </c>
      <c r="AJ35" s="288">
        <f xml:space="preserve"> Equity!AJ$81</f>
        <v>0</v>
      </c>
      <c r="AK35" s="288">
        <f xml:space="preserve"> Equity!AK$81</f>
        <v>0</v>
      </c>
      <c r="AL35" s="288">
        <f xml:space="preserve"> Equity!AL$81</f>
        <v>0</v>
      </c>
      <c r="AM35" s="288">
        <f xml:space="preserve"> Equity!AM$81</f>
        <v>0</v>
      </c>
      <c r="AN35" s="288">
        <f xml:space="preserve"> Equity!AN$81</f>
        <v>0</v>
      </c>
      <c r="AO35" s="288">
        <f xml:space="preserve"> Equity!AO$81</f>
        <v>0</v>
      </c>
      <c r="AP35" s="288">
        <f xml:space="preserve"> Equity!AP$81</f>
        <v>0</v>
      </c>
      <c r="AQ35" s="288">
        <f xml:space="preserve"> Equity!AQ$81</f>
        <v>0</v>
      </c>
      <c r="AR35" s="288">
        <f xml:space="preserve"> Equity!AR$81</f>
        <v>0</v>
      </c>
      <c r="AS35" s="288">
        <f xml:space="preserve"> Equity!AS$81</f>
        <v>0</v>
      </c>
      <c r="AT35" s="288">
        <f xml:space="preserve"> Equity!AT$81</f>
        <v>0</v>
      </c>
      <c r="AU35" s="288">
        <f xml:space="preserve"> Equity!AU$81</f>
        <v>0</v>
      </c>
      <c r="AV35" s="288">
        <f xml:space="preserve"> Equity!AV$81</f>
        <v>0</v>
      </c>
      <c r="AW35" s="288">
        <f xml:space="preserve"> Equity!AW$81</f>
        <v>0</v>
      </c>
      <c r="AX35" s="288">
        <f xml:space="preserve"> Equity!AX$81</f>
        <v>0</v>
      </c>
      <c r="AY35" s="288">
        <f xml:space="preserve"> Equity!AY$81</f>
        <v>0</v>
      </c>
      <c r="AZ35" s="288">
        <f xml:space="preserve"> Equity!AZ$81</f>
        <v>0</v>
      </c>
      <c r="BA35" s="288">
        <f xml:space="preserve"> Equity!BA$81</f>
        <v>0</v>
      </c>
      <c r="BB35" s="288">
        <f xml:space="preserve"> Equity!BB$81</f>
        <v>0</v>
      </c>
      <c r="BC35" s="288">
        <f xml:space="preserve"> Equity!BC$81</f>
        <v>0</v>
      </c>
      <c r="BD35" s="288">
        <f xml:space="preserve"> Equity!BD$81</f>
        <v>0</v>
      </c>
      <c r="BE35" s="288">
        <f xml:space="preserve"> Equity!BE$81</f>
        <v>0</v>
      </c>
      <c r="BF35" s="288">
        <f xml:space="preserve"> Equity!BF$81</f>
        <v>0</v>
      </c>
      <c r="BG35" s="288">
        <f xml:space="preserve"> Equity!BG$81</f>
        <v>0</v>
      </c>
      <c r="BH35" s="288">
        <f xml:space="preserve"> Equity!BH$81</f>
        <v>0</v>
      </c>
      <c r="BI35" s="288">
        <f xml:space="preserve"> Equity!BI$81</f>
        <v>0</v>
      </c>
      <c r="BJ35" s="288">
        <f xml:space="preserve"> Equity!BJ$81</f>
        <v>0</v>
      </c>
      <c r="BK35" s="288">
        <f xml:space="preserve"> Equity!BK$81</f>
        <v>0</v>
      </c>
      <c r="BL35" s="288">
        <f xml:space="preserve"> Equity!BL$81</f>
        <v>0</v>
      </c>
      <c r="BM35" s="288">
        <f xml:space="preserve"> Equity!BM$81</f>
        <v>0</v>
      </c>
      <c r="BN35" s="288">
        <f xml:space="preserve"> Equity!BN$81</f>
        <v>0</v>
      </c>
      <c r="BO35" s="288">
        <f xml:space="preserve"> Equity!BO$81</f>
        <v>0</v>
      </c>
      <c r="BP35" s="288">
        <f xml:space="preserve"> Equity!BP$81</f>
        <v>0</v>
      </c>
      <c r="BQ35" s="288">
        <f xml:space="preserve"> Equity!BQ$81</f>
        <v>0</v>
      </c>
      <c r="BR35" s="288">
        <f xml:space="preserve"> Equity!BR$81</f>
        <v>0</v>
      </c>
      <c r="BS35" s="288">
        <f xml:space="preserve"> Equity!BS$81</f>
        <v>0</v>
      </c>
      <c r="BT35" s="288">
        <f xml:space="preserve"> Equity!BT$81</f>
        <v>0</v>
      </c>
      <c r="BU35" s="288">
        <f xml:space="preserve"> Equity!BU$81</f>
        <v>0</v>
      </c>
      <c r="BV35" s="288">
        <f xml:space="preserve"> Equity!BV$81</f>
        <v>0</v>
      </c>
      <c r="BW35" s="288">
        <f xml:space="preserve"> Equity!BW$81</f>
        <v>0</v>
      </c>
      <c r="BX35" s="288">
        <f xml:space="preserve"> Equity!BX$81</f>
        <v>0</v>
      </c>
      <c r="BY35" s="288">
        <f xml:space="preserve"> Equity!BY$81</f>
        <v>0</v>
      </c>
      <c r="BZ35" s="288">
        <f xml:space="preserve"> Equity!BZ$81</f>
        <v>0</v>
      </c>
      <c r="CA35" s="288">
        <f xml:space="preserve"> Equity!CA$81</f>
        <v>0</v>
      </c>
      <c r="CB35" s="288">
        <f xml:space="preserve"> Equity!CB$81</f>
        <v>0</v>
      </c>
      <c r="CC35" s="288">
        <f xml:space="preserve"> Equity!CC$81</f>
        <v>0</v>
      </c>
      <c r="CD35" s="288">
        <f xml:space="preserve"> Equity!CD$81</f>
        <v>0</v>
      </c>
      <c r="CE35" s="288">
        <f xml:space="preserve"> Equity!CE$81</f>
        <v>0</v>
      </c>
      <c r="CF35" s="288">
        <f xml:space="preserve"> Equity!CF$81</f>
        <v>0</v>
      </c>
      <c r="CG35" s="288">
        <f xml:space="preserve"> Equity!CG$81</f>
        <v>0</v>
      </c>
      <c r="CH35" s="288">
        <f xml:space="preserve"> Equity!CH$81</f>
        <v>0</v>
      </c>
      <c r="CI35" s="288">
        <f xml:space="preserve"> Equity!CI$81</f>
        <v>0</v>
      </c>
      <c r="CJ35" s="288">
        <f xml:space="preserve"> Equity!CJ$81</f>
        <v>0</v>
      </c>
      <c r="CK35" s="288">
        <f xml:space="preserve"> Equity!CK$81</f>
        <v>0</v>
      </c>
      <c r="CL35" s="288">
        <f xml:space="preserve"> Equity!CL$81</f>
        <v>0</v>
      </c>
      <c r="CM35" s="288">
        <f xml:space="preserve"> Equity!CM$81</f>
        <v>0</v>
      </c>
      <c r="CN35" s="288">
        <f xml:space="preserve"> Equity!CN$81</f>
        <v>0</v>
      </c>
      <c r="CO35" s="288">
        <f xml:space="preserve"> Equity!CO$81</f>
        <v>0</v>
      </c>
      <c r="CP35" s="288">
        <f xml:space="preserve"> Equity!CP$81</f>
        <v>0</v>
      </c>
      <c r="CQ35" s="288">
        <f xml:space="preserve"> Equity!CQ$81</f>
        <v>0</v>
      </c>
      <c r="CR35" s="288">
        <f xml:space="preserve"> Equity!CR$81</f>
        <v>0</v>
      </c>
      <c r="CS35" s="288">
        <f xml:space="preserve"> Equity!CS$81</f>
        <v>0</v>
      </c>
      <c r="CT35" s="288">
        <f xml:space="preserve"> Equity!CT$81</f>
        <v>0</v>
      </c>
      <c r="CU35" s="288">
        <f xml:space="preserve"> Equity!CU$81</f>
        <v>0</v>
      </c>
      <c r="CV35" s="288">
        <f xml:space="preserve"> Equity!CV$81</f>
        <v>0</v>
      </c>
    </row>
    <row r="36" spans="1:192" outlineLevel="1" x14ac:dyDescent="0.2">
      <c r="D36" s="209"/>
      <c r="E36" s="232" t="s">
        <v>53</v>
      </c>
      <c r="F36" s="232"/>
      <c r="G36" s="232" t="str">
        <f>SMU</f>
        <v>$ 000s</v>
      </c>
      <c r="H36" s="232">
        <f xml:space="preserve"> SUM(J36:CV36)</f>
        <v>-139488.01257311381</v>
      </c>
      <c r="I36" s="232"/>
      <c r="J36" s="232">
        <f xml:space="preserve"> J33 + J35</f>
        <v>0</v>
      </c>
      <c r="K36" s="232">
        <f t="shared" ref="K36:BV36" si="15" xml:space="preserve"> K33 + K35</f>
        <v>0</v>
      </c>
      <c r="L36" s="232">
        <f t="shared" si="15"/>
        <v>0</v>
      </c>
      <c r="M36" s="232">
        <f t="shared" si="15"/>
        <v>0</v>
      </c>
      <c r="N36" s="232">
        <f t="shared" si="15"/>
        <v>0</v>
      </c>
      <c r="O36" s="232">
        <f t="shared" si="15"/>
        <v>-8093.9627097477887</v>
      </c>
      <c r="P36" s="232">
        <f t="shared" si="15"/>
        <v>-7211.8162191817319</v>
      </c>
      <c r="Q36" s="232">
        <f t="shared" si="15"/>
        <v>-6758.4517618686277</v>
      </c>
      <c r="R36" s="232">
        <f t="shared" si="15"/>
        <v>-6064.310092370185</v>
      </c>
      <c r="S36" s="232">
        <f t="shared" si="15"/>
        <v>-5720.580912207357</v>
      </c>
      <c r="T36" s="232">
        <f t="shared" si="15"/>
        <v>-5132.9347767584231</v>
      </c>
      <c r="U36" s="232">
        <f t="shared" si="15"/>
        <v>-4879.1710577362146</v>
      </c>
      <c r="V36" s="232">
        <f t="shared" si="15"/>
        <v>-4405.9643331974812</v>
      </c>
      <c r="W36" s="232">
        <f t="shared" si="15"/>
        <v>-4198.5500364226327</v>
      </c>
      <c r="X36" s="232">
        <f t="shared" si="15"/>
        <v>-3775.451967293187</v>
      </c>
      <c r="Y36" s="232">
        <f t="shared" si="15"/>
        <v>-3851.6785302611647</v>
      </c>
      <c r="Z36" s="232">
        <f t="shared" si="15"/>
        <v>-3485.9587616136546</v>
      </c>
      <c r="AA36" s="232">
        <f t="shared" si="15"/>
        <v>-3417.5117178118016</v>
      </c>
      <c r="AB36" s="232">
        <f t="shared" si="15"/>
        <v>-3106.6068213691815</v>
      </c>
      <c r="AC36" s="232">
        <f t="shared" si="15"/>
        <v>-3081.0602571136287</v>
      </c>
      <c r="AD36" s="232">
        <f t="shared" si="15"/>
        <v>-2838.3263422204677</v>
      </c>
      <c r="AE36" s="232">
        <f t="shared" si="15"/>
        <v>-2827.9287770768274</v>
      </c>
      <c r="AF36" s="232">
        <f t="shared" si="15"/>
        <v>-2609.8809721206321</v>
      </c>
      <c r="AG36" s="232">
        <f t="shared" si="15"/>
        <v>-2652.5454603593694</v>
      </c>
      <c r="AH36" s="232">
        <f t="shared" si="15"/>
        <v>-2473.5340005647081</v>
      </c>
      <c r="AI36" s="232">
        <f t="shared" si="15"/>
        <v>-2693.9747431970959</v>
      </c>
      <c r="AJ36" s="232">
        <f t="shared" si="15"/>
        <v>-2544.2979292446398</v>
      </c>
      <c r="AK36" s="232">
        <f t="shared" si="15"/>
        <v>-2639.1475823422074</v>
      </c>
      <c r="AL36" s="232">
        <f t="shared" si="15"/>
        <v>-2538.6663979334426</v>
      </c>
      <c r="AM36" s="232">
        <f t="shared" si="15"/>
        <v>-2644.5261287668209</v>
      </c>
      <c r="AN36" s="232">
        <f t="shared" si="15"/>
        <v>-2568.8718343797291</v>
      </c>
      <c r="AO36" s="232">
        <f t="shared" si="15"/>
        <v>-2713.7657498882727</v>
      </c>
      <c r="AP36" s="232">
        <f t="shared" si="15"/>
        <v>-2674.2630784022322</v>
      </c>
      <c r="AQ36" s="232">
        <f t="shared" si="15"/>
        <v>-2845.0614919253157</v>
      </c>
      <c r="AR36" s="232">
        <f t="shared" si="15"/>
        <v>-2844.3813223342136</v>
      </c>
      <c r="AS36" s="232">
        <f t="shared" si="15"/>
        <v>-3042.9880278227402</v>
      </c>
      <c r="AT36" s="232">
        <f t="shared" si="15"/>
        <v>-3103.159751255188</v>
      </c>
      <c r="AU36" s="232">
        <f t="shared" si="15"/>
        <v>-3343.9573537650831</v>
      </c>
      <c r="AV36" s="232">
        <f t="shared" si="15"/>
        <v>-3155.5420572666603</v>
      </c>
      <c r="AW36" s="232">
        <f t="shared" si="15"/>
        <v>-2557.1505440066185</v>
      </c>
      <c r="AX36" s="232">
        <f t="shared" si="15"/>
        <v>-2322.1608421396877</v>
      </c>
      <c r="AY36" s="232">
        <f t="shared" si="15"/>
        <v>-2234.6159572270108</v>
      </c>
      <c r="AZ36" s="232">
        <f t="shared" si="15"/>
        <v>-1985.6854429273117</v>
      </c>
      <c r="BA36" s="232">
        <f t="shared" si="15"/>
        <v>-1884.9623477730529</v>
      </c>
      <c r="BB36" s="232">
        <f t="shared" si="15"/>
        <v>-2564.6084832214374</v>
      </c>
      <c r="BC36" s="232">
        <f t="shared" si="15"/>
        <v>0</v>
      </c>
      <c r="BD36" s="232">
        <f t="shared" si="15"/>
        <v>0</v>
      </c>
      <c r="BE36" s="232">
        <f t="shared" si="15"/>
        <v>0</v>
      </c>
      <c r="BF36" s="232">
        <f t="shared" si="15"/>
        <v>0</v>
      </c>
      <c r="BG36" s="232">
        <f t="shared" si="15"/>
        <v>0</v>
      </c>
      <c r="BH36" s="232">
        <f t="shared" si="15"/>
        <v>0</v>
      </c>
      <c r="BI36" s="232">
        <f t="shared" si="15"/>
        <v>0</v>
      </c>
      <c r="BJ36" s="232">
        <f t="shared" si="15"/>
        <v>0</v>
      </c>
      <c r="BK36" s="232">
        <f t="shared" si="15"/>
        <v>0</v>
      </c>
      <c r="BL36" s="232">
        <f t="shared" si="15"/>
        <v>0</v>
      </c>
      <c r="BM36" s="232">
        <f t="shared" si="15"/>
        <v>0</v>
      </c>
      <c r="BN36" s="232">
        <f t="shared" si="15"/>
        <v>0</v>
      </c>
      <c r="BO36" s="232">
        <f t="shared" si="15"/>
        <v>0</v>
      </c>
      <c r="BP36" s="232">
        <f t="shared" si="15"/>
        <v>0</v>
      </c>
      <c r="BQ36" s="232">
        <f t="shared" si="15"/>
        <v>0</v>
      </c>
      <c r="BR36" s="232">
        <f t="shared" si="15"/>
        <v>0</v>
      </c>
      <c r="BS36" s="232">
        <f t="shared" si="15"/>
        <v>0</v>
      </c>
      <c r="BT36" s="232">
        <f t="shared" si="15"/>
        <v>0</v>
      </c>
      <c r="BU36" s="232">
        <f t="shared" si="15"/>
        <v>0</v>
      </c>
      <c r="BV36" s="232">
        <f t="shared" si="15"/>
        <v>0</v>
      </c>
      <c r="BW36" s="232">
        <f t="shared" ref="BW36:CV36" si="16" xml:space="preserve"> BW33 + BW35</f>
        <v>0</v>
      </c>
      <c r="BX36" s="232">
        <f t="shared" si="16"/>
        <v>0</v>
      </c>
      <c r="BY36" s="232">
        <f t="shared" si="16"/>
        <v>0</v>
      </c>
      <c r="BZ36" s="232">
        <f t="shared" si="16"/>
        <v>0</v>
      </c>
      <c r="CA36" s="232">
        <f t="shared" si="16"/>
        <v>0</v>
      </c>
      <c r="CB36" s="232">
        <f t="shared" si="16"/>
        <v>0</v>
      </c>
      <c r="CC36" s="232">
        <f t="shared" si="16"/>
        <v>0</v>
      </c>
      <c r="CD36" s="232">
        <f t="shared" si="16"/>
        <v>0</v>
      </c>
      <c r="CE36" s="232">
        <f t="shared" si="16"/>
        <v>0</v>
      </c>
      <c r="CF36" s="232">
        <f t="shared" si="16"/>
        <v>0</v>
      </c>
      <c r="CG36" s="232">
        <f t="shared" si="16"/>
        <v>0</v>
      </c>
      <c r="CH36" s="232">
        <f t="shared" si="16"/>
        <v>0</v>
      </c>
      <c r="CI36" s="232">
        <f t="shared" si="16"/>
        <v>0</v>
      </c>
      <c r="CJ36" s="232">
        <f t="shared" si="16"/>
        <v>0</v>
      </c>
      <c r="CK36" s="232">
        <f t="shared" si="16"/>
        <v>0</v>
      </c>
      <c r="CL36" s="232">
        <f t="shared" si="16"/>
        <v>0</v>
      </c>
      <c r="CM36" s="232">
        <f t="shared" si="16"/>
        <v>0</v>
      </c>
      <c r="CN36" s="232">
        <f t="shared" si="16"/>
        <v>0</v>
      </c>
      <c r="CO36" s="232">
        <f t="shared" si="16"/>
        <v>0</v>
      </c>
      <c r="CP36" s="232">
        <f t="shared" si="16"/>
        <v>0</v>
      </c>
      <c r="CQ36" s="232">
        <f t="shared" si="16"/>
        <v>0</v>
      </c>
      <c r="CR36" s="232">
        <f t="shared" si="16"/>
        <v>0</v>
      </c>
      <c r="CS36" s="232">
        <f t="shared" si="16"/>
        <v>0</v>
      </c>
      <c r="CT36" s="232">
        <f t="shared" si="16"/>
        <v>0</v>
      </c>
      <c r="CU36" s="232">
        <f t="shared" si="16"/>
        <v>0</v>
      </c>
      <c r="CV36" s="232">
        <f t="shared" si="16"/>
        <v>0</v>
      </c>
    </row>
    <row r="37" spans="1:192" outlineLevel="1" x14ac:dyDescent="0.2">
      <c r="D37" s="209"/>
      <c r="E37" s="235"/>
      <c r="F37" s="235"/>
      <c r="G37" s="235"/>
      <c r="H37" s="235"/>
      <c r="I37" s="235"/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  <c r="AG37" s="235"/>
      <c r="AH37" s="235"/>
      <c r="AI37" s="235"/>
      <c r="AJ37" s="235"/>
      <c r="AK37" s="235"/>
      <c r="AL37" s="235"/>
      <c r="AM37" s="235"/>
      <c r="AN37" s="235"/>
      <c r="AO37" s="235"/>
      <c r="AP37" s="235"/>
      <c r="AQ37" s="235"/>
      <c r="AR37" s="235"/>
      <c r="AS37" s="235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  <c r="BG37" s="235"/>
      <c r="BH37" s="235"/>
      <c r="BI37" s="235"/>
      <c r="BJ37" s="235"/>
      <c r="BK37" s="235"/>
      <c r="BL37" s="235"/>
      <c r="BM37" s="235"/>
      <c r="BN37" s="235"/>
      <c r="BO37" s="235"/>
      <c r="BP37" s="235"/>
      <c r="BQ37" s="235"/>
      <c r="BR37" s="235"/>
      <c r="BS37" s="235"/>
      <c r="BT37" s="235"/>
      <c r="BU37" s="235"/>
      <c r="BV37" s="235"/>
      <c r="BW37" s="235"/>
      <c r="BX37" s="235"/>
      <c r="BY37" s="235"/>
      <c r="BZ37" s="235"/>
      <c r="CA37" s="235"/>
      <c r="CB37" s="235"/>
      <c r="CC37" s="235"/>
      <c r="CD37" s="235"/>
      <c r="CE37" s="235"/>
      <c r="CF37" s="235"/>
      <c r="CG37" s="235"/>
      <c r="CH37" s="235"/>
      <c r="CI37" s="235"/>
      <c r="CJ37" s="235"/>
      <c r="CK37" s="235"/>
      <c r="CL37" s="235"/>
      <c r="CM37" s="235"/>
      <c r="CN37" s="235"/>
      <c r="CO37" s="235"/>
      <c r="CP37" s="235"/>
      <c r="CQ37" s="235"/>
      <c r="CR37" s="235"/>
      <c r="CS37" s="235"/>
      <c r="CT37" s="235"/>
      <c r="CU37" s="235"/>
      <c r="CV37" s="235"/>
    </row>
    <row r="38" spans="1:192" x14ac:dyDescent="0.2">
      <c r="D38" s="209"/>
      <c r="E38" s="235"/>
      <c r="F38" s="235"/>
      <c r="G38" s="235"/>
      <c r="H38" s="235"/>
      <c r="I38" s="235"/>
      <c r="J38" s="235"/>
      <c r="K38" s="235"/>
      <c r="L38" s="235"/>
      <c r="M38" s="235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5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5"/>
      <c r="BX38" s="235"/>
      <c r="BY38" s="235"/>
      <c r="BZ38" s="235"/>
      <c r="CA38" s="235"/>
      <c r="CB38" s="235"/>
      <c r="CC38" s="235"/>
      <c r="CD38" s="235"/>
      <c r="CE38" s="235"/>
      <c r="CF38" s="235"/>
      <c r="CG38" s="235"/>
      <c r="CH38" s="235"/>
      <c r="CI38" s="235"/>
      <c r="CJ38" s="235"/>
      <c r="CK38" s="235"/>
      <c r="CL38" s="235"/>
      <c r="CM38" s="235"/>
      <c r="CN38" s="235"/>
      <c r="CO38" s="235"/>
      <c r="CP38" s="235"/>
      <c r="CQ38" s="235"/>
      <c r="CR38" s="235"/>
      <c r="CS38" s="235"/>
      <c r="CT38" s="235"/>
      <c r="CU38" s="235"/>
      <c r="CV38" s="235"/>
    </row>
    <row r="39" spans="1:192" x14ac:dyDescent="0.2">
      <c r="A39" s="205" t="s">
        <v>54</v>
      </c>
      <c r="D39" s="209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  <c r="BJ39" s="235"/>
      <c r="BK39" s="235"/>
      <c r="BL39" s="235"/>
      <c r="BM39" s="235"/>
      <c r="BN39" s="235"/>
      <c r="BO39" s="235"/>
      <c r="BP39" s="235"/>
      <c r="BQ39" s="235"/>
      <c r="BR39" s="235"/>
      <c r="BS39" s="235"/>
      <c r="BT39" s="235"/>
      <c r="BU39" s="235"/>
      <c r="BV39" s="235"/>
      <c r="BW39" s="235"/>
      <c r="BX39" s="235"/>
      <c r="BY39" s="235"/>
      <c r="BZ39" s="235"/>
      <c r="CA39" s="235"/>
      <c r="CB39" s="235"/>
      <c r="CC39" s="235"/>
      <c r="CD39" s="235"/>
      <c r="CE39" s="235"/>
      <c r="CF39" s="235"/>
      <c r="CG39" s="235"/>
      <c r="CH39" s="235"/>
      <c r="CI39" s="235"/>
      <c r="CJ39" s="235"/>
      <c r="CK39" s="235"/>
      <c r="CL39" s="235"/>
      <c r="CM39" s="235"/>
      <c r="CN39" s="235"/>
      <c r="CO39" s="235"/>
      <c r="CP39" s="235"/>
      <c r="CQ39" s="235"/>
      <c r="CR39" s="235"/>
      <c r="CS39" s="235"/>
      <c r="CT39" s="235"/>
      <c r="CU39" s="235"/>
      <c r="CV39" s="235"/>
    </row>
    <row r="40" spans="1:192" outlineLevel="1" x14ac:dyDescent="0.2">
      <c r="D40" s="209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35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  <c r="BJ40" s="235"/>
      <c r="BK40" s="235"/>
      <c r="BL40" s="235"/>
      <c r="BM40" s="235"/>
      <c r="BN40" s="235"/>
      <c r="BO40" s="235"/>
      <c r="BP40" s="235"/>
      <c r="BQ40" s="235"/>
      <c r="BR40" s="235"/>
      <c r="BS40" s="235"/>
      <c r="BT40" s="235"/>
      <c r="BU40" s="235"/>
      <c r="BV40" s="235"/>
      <c r="BW40" s="235"/>
      <c r="BX40" s="235"/>
      <c r="BY40" s="235"/>
      <c r="BZ40" s="235"/>
      <c r="CA40" s="235"/>
      <c r="CB40" s="235"/>
      <c r="CC40" s="235"/>
      <c r="CD40" s="235"/>
      <c r="CE40" s="235"/>
      <c r="CF40" s="235"/>
      <c r="CG40" s="235"/>
      <c r="CH40" s="235"/>
      <c r="CI40" s="235"/>
      <c r="CJ40" s="235"/>
      <c r="CK40" s="235"/>
      <c r="CL40" s="235"/>
      <c r="CM40" s="235"/>
      <c r="CN40" s="235"/>
      <c r="CO40" s="235"/>
      <c r="CP40" s="235"/>
      <c r="CQ40" s="235"/>
      <c r="CR40" s="235"/>
      <c r="CS40" s="235"/>
      <c r="CT40" s="235"/>
      <c r="CU40" s="235"/>
      <c r="CV40" s="235"/>
    </row>
    <row r="41" spans="1:192" outlineLevel="1" x14ac:dyDescent="0.2">
      <c r="D41" s="209"/>
      <c r="E41" s="235" t="str">
        <f xml:space="preserve"> Ops!E$169</f>
        <v>Cash received from invoices</v>
      </c>
      <c r="F41" s="235">
        <f xml:space="preserve"> Ops!F$169</f>
        <v>0</v>
      </c>
      <c r="G41" s="235" t="str">
        <f xml:space="preserve"> Ops!G$169</f>
        <v>$ 000s</v>
      </c>
      <c r="H41" s="235">
        <f xml:space="preserve"> Ops!H$169</f>
        <v>792204.22663711908</v>
      </c>
      <c r="I41" s="235">
        <f xml:space="preserve"> Ops!I$169</f>
        <v>0</v>
      </c>
      <c r="J41" s="235">
        <f xml:space="preserve"> Ops!J$169</f>
        <v>0</v>
      </c>
      <c r="K41" s="235">
        <f xml:space="preserve"> Ops!K$169</f>
        <v>0</v>
      </c>
      <c r="L41" s="235">
        <f xml:space="preserve"> Ops!L$169</f>
        <v>0</v>
      </c>
      <c r="M41" s="235">
        <f xml:space="preserve"> Ops!M$169</f>
        <v>0</v>
      </c>
      <c r="N41" s="235">
        <f xml:space="preserve"> Ops!N$169</f>
        <v>0</v>
      </c>
      <c r="O41" s="235">
        <f xml:space="preserve"> Ops!O$169</f>
        <v>15185.045730524733</v>
      </c>
      <c r="P41" s="235">
        <f xml:space="preserve"> Ops!P$169</f>
        <v>20019.586702006236</v>
      </c>
      <c r="Q41" s="235">
        <f xml:space="preserve"> Ops!Q$169</f>
        <v>20158.051531665154</v>
      </c>
      <c r="R41" s="235">
        <f xml:space="preserve"> Ops!R$169</f>
        <v>19987.290168972926</v>
      </c>
      <c r="S41" s="235">
        <f xml:space="preserve"> Ops!S$169</f>
        <v>20125.645408906887</v>
      </c>
      <c r="T41" s="235">
        <f xml:space="preserve"> Ops!T$169</f>
        <v>19955.195753763528</v>
      </c>
      <c r="U41" s="235">
        <f xml:space="preserve"> Ops!U$169</f>
        <v>20093.44461889139</v>
      </c>
      <c r="V41" s="235">
        <f xml:space="preserve"> Ops!V$169</f>
        <v>19950.632274623134</v>
      </c>
      <c r="W41" s="235">
        <f xml:space="preserve"> Ops!W$169</f>
        <v>20034.124529563953</v>
      </c>
      <c r="X41" s="235">
        <f xml:space="preserve"> Ops!X$169</f>
        <v>19891.621594675551</v>
      </c>
      <c r="Y41" s="235">
        <f xml:space="preserve"> Ops!Y$169</f>
        <v>20029.667545446213</v>
      </c>
      <c r="Z41" s="235">
        <f xml:space="preserve"> Ops!Z$169</f>
        <v>19860.146111172617</v>
      </c>
      <c r="AA41" s="235">
        <f xml:space="preserve"> Ops!AA$169</f>
        <v>19998.095619837663</v>
      </c>
      <c r="AB41" s="235">
        <f xml:space="preserve"> Ops!AB$169</f>
        <v>19828.881267692923</v>
      </c>
      <c r="AC41" s="235">
        <f xml:space="preserve"> Ops!AC$169</f>
        <v>19966.737744093727</v>
      </c>
      <c r="AD41" s="235">
        <f xml:space="preserve"> Ops!AD$169</f>
        <v>19824.983945171065</v>
      </c>
      <c r="AE41" s="235">
        <f xml:space="preserve"> Ops!AE$169</f>
        <v>19908.441558099996</v>
      </c>
      <c r="AF41" s="235">
        <f xml:space="preserve"> Ops!AF$169</f>
        <v>19766.99248370267</v>
      </c>
      <c r="AG41" s="235">
        <f xml:space="preserve"> Ops!AG$169</f>
        <v>19904.67332999764</v>
      </c>
      <c r="AH41" s="235">
        <f xml:space="preserve"> Ops!AH$169</f>
        <v>19736.373143512603</v>
      </c>
      <c r="AI41" s="235">
        <f xml:space="preserve"> Ops!AI$169</f>
        <v>19873.971496773192</v>
      </c>
      <c r="AJ41" s="235">
        <f xml:space="preserve"> Ops!AJ$169</f>
        <v>19705.973645541784</v>
      </c>
      <c r="AK41" s="235">
        <f xml:space="preserve"> Ops!AK$169</f>
        <v>19843.493125257693</v>
      </c>
      <c r="AL41" s="235">
        <f xml:space="preserve"> Ops!AL$169</f>
        <v>19702.783668392214</v>
      </c>
      <c r="AM41" s="235">
        <f xml:space="preserve"> Ops!AM$169</f>
        <v>19786.253416796135</v>
      </c>
      <c r="AN41" s="235">
        <f xml:space="preserve"> Ops!AN$169</f>
        <v>19645.843872881807</v>
      </c>
      <c r="AO41" s="235">
        <f xml:space="preserve"> Ops!AO$169</f>
        <v>19783.216684336257</v>
      </c>
      <c r="AP41" s="235">
        <f xml:space="preserve"> Ops!AP$169</f>
        <v>19616.118563348624</v>
      </c>
      <c r="AQ41" s="235">
        <f xml:space="preserve"> Ops!AQ$169</f>
        <v>19753.423692797318</v>
      </c>
      <c r="AR41" s="235">
        <f xml:space="preserve"> Ops!AR$169</f>
        <v>19586.623028016518</v>
      </c>
      <c r="AS41" s="235">
        <f xml:space="preserve"> Ops!AS$169</f>
        <v>19723.864320407582</v>
      </c>
      <c r="AT41" s="235">
        <f xml:space="preserve"> Ops!AT$169</f>
        <v>19584.184688930021</v>
      </c>
      <c r="AU41" s="235">
        <f xml:space="preserve"> Ops!AU$169</f>
        <v>19667.716410503297</v>
      </c>
      <c r="AV41" s="235">
        <f xml:space="preserve"> Ops!AV$169</f>
        <v>19528.331742585055</v>
      </c>
      <c r="AW41" s="235">
        <f xml:space="preserve"> Ops!AW$169</f>
        <v>19665.457132662894</v>
      </c>
      <c r="AX41" s="235">
        <f xml:space="preserve"> Ops!AX$169</f>
        <v>19499.541349206702</v>
      </c>
      <c r="AY41" s="235">
        <f xml:space="preserve"> Ops!AY$169</f>
        <v>19636.614795225873</v>
      </c>
      <c r="AZ41" s="235">
        <f xml:space="preserve"> Ops!AZ$169</f>
        <v>19470.991445264735</v>
      </c>
      <c r="BA41" s="235">
        <f xml:space="preserve"> Ops!BA$169</f>
        <v>19608.017034606251</v>
      </c>
      <c r="BB41" s="235">
        <f xml:space="preserve"> Ops!BB$169</f>
        <v>24296.175461264407</v>
      </c>
      <c r="BC41" s="235">
        <f xml:space="preserve"> Ops!BC$169</f>
        <v>0</v>
      </c>
      <c r="BD41" s="235">
        <f xml:space="preserve"> Ops!BD$169</f>
        <v>0</v>
      </c>
      <c r="BE41" s="235">
        <f xml:space="preserve"> Ops!BE$169</f>
        <v>0</v>
      </c>
      <c r="BF41" s="235">
        <f xml:space="preserve"> Ops!BF$169</f>
        <v>0</v>
      </c>
      <c r="BG41" s="235">
        <f xml:space="preserve"> Ops!BG$169</f>
        <v>0</v>
      </c>
      <c r="BH41" s="235">
        <f xml:space="preserve"> Ops!BH$169</f>
        <v>0</v>
      </c>
      <c r="BI41" s="235">
        <f xml:space="preserve"> Ops!BI$169</f>
        <v>0</v>
      </c>
      <c r="BJ41" s="235">
        <f xml:space="preserve"> Ops!BJ$169</f>
        <v>0</v>
      </c>
      <c r="BK41" s="235">
        <f xml:space="preserve"> Ops!BK$169</f>
        <v>0</v>
      </c>
      <c r="BL41" s="235">
        <f xml:space="preserve"> Ops!BL$169</f>
        <v>0</v>
      </c>
      <c r="BM41" s="235">
        <f xml:space="preserve"> Ops!BM$169</f>
        <v>0</v>
      </c>
      <c r="BN41" s="235">
        <f xml:space="preserve"> Ops!BN$169</f>
        <v>0</v>
      </c>
      <c r="BO41" s="235">
        <f xml:space="preserve"> Ops!BO$169</f>
        <v>0</v>
      </c>
      <c r="BP41" s="235">
        <f xml:space="preserve"> Ops!BP$169</f>
        <v>0</v>
      </c>
      <c r="BQ41" s="235">
        <f xml:space="preserve"> Ops!BQ$169</f>
        <v>0</v>
      </c>
      <c r="BR41" s="235">
        <f xml:space="preserve"> Ops!BR$169</f>
        <v>0</v>
      </c>
      <c r="BS41" s="235">
        <f xml:space="preserve"> Ops!BS$169</f>
        <v>0</v>
      </c>
      <c r="BT41" s="235">
        <f xml:space="preserve"> Ops!BT$169</f>
        <v>0</v>
      </c>
      <c r="BU41" s="235">
        <f xml:space="preserve"> Ops!BU$169</f>
        <v>0</v>
      </c>
      <c r="BV41" s="235">
        <f xml:space="preserve"> Ops!BV$169</f>
        <v>0</v>
      </c>
      <c r="BW41" s="235">
        <f xml:space="preserve"> Ops!BW$169</f>
        <v>0</v>
      </c>
      <c r="BX41" s="235">
        <f xml:space="preserve"> Ops!BX$169</f>
        <v>0</v>
      </c>
      <c r="BY41" s="235">
        <f xml:space="preserve"> Ops!BY$169</f>
        <v>0</v>
      </c>
      <c r="BZ41" s="235">
        <f xml:space="preserve"> Ops!BZ$169</f>
        <v>0</v>
      </c>
      <c r="CA41" s="235">
        <f xml:space="preserve"> Ops!CA$169</f>
        <v>0</v>
      </c>
      <c r="CB41" s="235">
        <f xml:space="preserve"> Ops!CB$169</f>
        <v>0</v>
      </c>
      <c r="CC41" s="235">
        <f xml:space="preserve"> Ops!CC$169</f>
        <v>0</v>
      </c>
      <c r="CD41" s="235">
        <f xml:space="preserve"> Ops!CD$169</f>
        <v>0</v>
      </c>
      <c r="CE41" s="235">
        <f xml:space="preserve"> Ops!CE$169</f>
        <v>0</v>
      </c>
      <c r="CF41" s="235">
        <f xml:space="preserve"> Ops!CF$169</f>
        <v>0</v>
      </c>
      <c r="CG41" s="235">
        <f xml:space="preserve"> Ops!CG$169</f>
        <v>0</v>
      </c>
      <c r="CH41" s="235">
        <f xml:space="preserve"> Ops!CH$169</f>
        <v>0</v>
      </c>
      <c r="CI41" s="235">
        <f xml:space="preserve"> Ops!CI$169</f>
        <v>0</v>
      </c>
      <c r="CJ41" s="235">
        <f xml:space="preserve"> Ops!CJ$169</f>
        <v>0</v>
      </c>
      <c r="CK41" s="235">
        <f xml:space="preserve"> Ops!CK$169</f>
        <v>0</v>
      </c>
      <c r="CL41" s="235">
        <f xml:space="preserve"> Ops!CL$169</f>
        <v>0</v>
      </c>
      <c r="CM41" s="235">
        <f xml:space="preserve"> Ops!CM$169</f>
        <v>0</v>
      </c>
      <c r="CN41" s="235">
        <f xml:space="preserve"> Ops!CN$169</f>
        <v>0</v>
      </c>
      <c r="CO41" s="235">
        <f xml:space="preserve"> Ops!CO$169</f>
        <v>0</v>
      </c>
      <c r="CP41" s="235">
        <f xml:space="preserve"> Ops!CP$169</f>
        <v>0</v>
      </c>
      <c r="CQ41" s="235">
        <f xml:space="preserve"> Ops!CQ$169</f>
        <v>0</v>
      </c>
      <c r="CR41" s="235">
        <f xml:space="preserve"> Ops!CR$169</f>
        <v>0</v>
      </c>
      <c r="CS41" s="235">
        <f xml:space="preserve"> Ops!CS$169</f>
        <v>0</v>
      </c>
      <c r="CT41" s="235">
        <f xml:space="preserve"> Ops!CT$169</f>
        <v>0</v>
      </c>
      <c r="CU41" s="235">
        <f xml:space="preserve"> Ops!CU$169</f>
        <v>0</v>
      </c>
      <c r="CV41" s="235">
        <f xml:space="preserve"> Ops!CV$169</f>
        <v>0</v>
      </c>
    </row>
    <row r="42" spans="1:192" s="191" customFormat="1" outlineLevel="1" x14ac:dyDescent="0.2">
      <c r="A42" s="205"/>
      <c r="B42" s="205"/>
      <c r="C42" s="206"/>
      <c r="D42" s="209"/>
      <c r="E42" s="281" t="str">
        <f xml:space="preserve"> ConCost!E$259</f>
        <v>Early generation revenue received</v>
      </c>
      <c r="F42" s="281">
        <f xml:space="preserve"> ConCost!F$259</f>
        <v>0</v>
      </c>
      <c r="G42" s="281" t="str">
        <f xml:space="preserve"> ConCost!G$259</f>
        <v>$ 000s</v>
      </c>
      <c r="H42" s="281">
        <f xml:space="preserve"> ConCost!H$259</f>
        <v>13930</v>
      </c>
      <c r="I42" s="281">
        <f xml:space="preserve"> ConCost!I$259</f>
        <v>0</v>
      </c>
      <c r="J42" s="281">
        <f xml:space="preserve"> ConCost!J$259</f>
        <v>0</v>
      </c>
      <c r="K42" s="281">
        <f xml:space="preserve"> ConCost!K$259</f>
        <v>0</v>
      </c>
      <c r="L42" s="281">
        <f xml:space="preserve"> ConCost!L$259</f>
        <v>0</v>
      </c>
      <c r="M42" s="281">
        <f xml:space="preserve"> ConCost!M$259</f>
        <v>0</v>
      </c>
      <c r="N42" s="281">
        <f xml:space="preserve"> ConCost!N$259</f>
        <v>11940</v>
      </c>
      <c r="O42" s="281">
        <f xml:space="preserve"> ConCost!O$259</f>
        <v>1990</v>
      </c>
      <c r="P42" s="281">
        <f xml:space="preserve"> ConCost!P$259</f>
        <v>0</v>
      </c>
      <c r="Q42" s="281">
        <f xml:space="preserve"> ConCost!Q$259</f>
        <v>0</v>
      </c>
      <c r="R42" s="281">
        <f xml:space="preserve"> ConCost!R$259</f>
        <v>0</v>
      </c>
      <c r="S42" s="281">
        <f xml:space="preserve"> ConCost!S$259</f>
        <v>0</v>
      </c>
      <c r="T42" s="281">
        <f xml:space="preserve"> ConCost!T$259</f>
        <v>0</v>
      </c>
      <c r="U42" s="281">
        <f xml:space="preserve"> ConCost!U$259</f>
        <v>0</v>
      </c>
      <c r="V42" s="281">
        <f xml:space="preserve"> ConCost!V$259</f>
        <v>0</v>
      </c>
      <c r="W42" s="281">
        <f xml:space="preserve"> ConCost!W$259</f>
        <v>0</v>
      </c>
      <c r="X42" s="281">
        <f xml:space="preserve"> ConCost!X$259</f>
        <v>0</v>
      </c>
      <c r="Y42" s="281">
        <f xml:space="preserve"> ConCost!Y$259</f>
        <v>0</v>
      </c>
      <c r="Z42" s="281">
        <f xml:space="preserve"> ConCost!Z$259</f>
        <v>0</v>
      </c>
      <c r="AA42" s="281">
        <f xml:space="preserve"> ConCost!AA$259</f>
        <v>0</v>
      </c>
      <c r="AB42" s="281">
        <f xml:space="preserve"> ConCost!AB$259</f>
        <v>0</v>
      </c>
      <c r="AC42" s="281">
        <f xml:space="preserve"> ConCost!AC$259</f>
        <v>0</v>
      </c>
      <c r="AD42" s="281">
        <f xml:space="preserve"> ConCost!AD$259</f>
        <v>0</v>
      </c>
      <c r="AE42" s="281">
        <f xml:space="preserve"> ConCost!AE$259</f>
        <v>0</v>
      </c>
      <c r="AF42" s="281">
        <f xml:space="preserve"> ConCost!AF$259</f>
        <v>0</v>
      </c>
      <c r="AG42" s="281">
        <f xml:space="preserve"> ConCost!AG$259</f>
        <v>0</v>
      </c>
      <c r="AH42" s="281">
        <f xml:space="preserve"> ConCost!AH$259</f>
        <v>0</v>
      </c>
      <c r="AI42" s="281">
        <f xml:space="preserve"> ConCost!AI$259</f>
        <v>0</v>
      </c>
      <c r="AJ42" s="281">
        <f xml:space="preserve"> ConCost!AJ$259</f>
        <v>0</v>
      </c>
      <c r="AK42" s="281">
        <f xml:space="preserve"> ConCost!AK$259</f>
        <v>0</v>
      </c>
      <c r="AL42" s="281">
        <f xml:space="preserve"> ConCost!AL$259</f>
        <v>0</v>
      </c>
      <c r="AM42" s="281">
        <f xml:space="preserve"> ConCost!AM$259</f>
        <v>0</v>
      </c>
      <c r="AN42" s="281">
        <f xml:space="preserve"> ConCost!AN$259</f>
        <v>0</v>
      </c>
      <c r="AO42" s="281">
        <f xml:space="preserve"> ConCost!AO$259</f>
        <v>0</v>
      </c>
      <c r="AP42" s="281">
        <f xml:space="preserve"> ConCost!AP$259</f>
        <v>0</v>
      </c>
      <c r="AQ42" s="281">
        <f xml:space="preserve"> ConCost!AQ$259</f>
        <v>0</v>
      </c>
      <c r="AR42" s="281">
        <f xml:space="preserve"> ConCost!AR$259</f>
        <v>0</v>
      </c>
      <c r="AS42" s="281">
        <f xml:space="preserve"> ConCost!AS$259</f>
        <v>0</v>
      </c>
      <c r="AT42" s="281">
        <f xml:space="preserve"> ConCost!AT$259</f>
        <v>0</v>
      </c>
      <c r="AU42" s="281">
        <f xml:space="preserve"> ConCost!AU$259</f>
        <v>0</v>
      </c>
      <c r="AV42" s="281">
        <f xml:space="preserve"> ConCost!AV$259</f>
        <v>0</v>
      </c>
      <c r="AW42" s="281">
        <f xml:space="preserve"> ConCost!AW$259</f>
        <v>0</v>
      </c>
      <c r="AX42" s="281">
        <f xml:space="preserve"> ConCost!AX$259</f>
        <v>0</v>
      </c>
      <c r="AY42" s="281">
        <f xml:space="preserve"> ConCost!AY$259</f>
        <v>0</v>
      </c>
      <c r="AZ42" s="281">
        <f xml:space="preserve"> ConCost!AZ$259</f>
        <v>0</v>
      </c>
      <c r="BA42" s="281">
        <f xml:space="preserve"> ConCost!BA$259</f>
        <v>0</v>
      </c>
      <c r="BB42" s="281">
        <f xml:space="preserve"> ConCost!BB$259</f>
        <v>0</v>
      </c>
      <c r="BC42" s="281">
        <f xml:space="preserve"> ConCost!BC$259</f>
        <v>0</v>
      </c>
      <c r="BD42" s="281">
        <f xml:space="preserve"> ConCost!BD$259</f>
        <v>0</v>
      </c>
      <c r="BE42" s="281">
        <f xml:space="preserve"> ConCost!BE$259</f>
        <v>0</v>
      </c>
      <c r="BF42" s="281">
        <f xml:space="preserve"> ConCost!BF$259</f>
        <v>0</v>
      </c>
      <c r="BG42" s="281">
        <f xml:space="preserve"> ConCost!BG$259</f>
        <v>0</v>
      </c>
      <c r="BH42" s="281">
        <f xml:space="preserve"> ConCost!BH$259</f>
        <v>0</v>
      </c>
      <c r="BI42" s="281">
        <f xml:space="preserve"> ConCost!BI$259</f>
        <v>0</v>
      </c>
      <c r="BJ42" s="281">
        <f xml:space="preserve"> ConCost!BJ$259</f>
        <v>0</v>
      </c>
      <c r="BK42" s="281">
        <f xml:space="preserve"> ConCost!BK$259</f>
        <v>0</v>
      </c>
      <c r="BL42" s="281">
        <f xml:space="preserve"> ConCost!BL$259</f>
        <v>0</v>
      </c>
      <c r="BM42" s="281">
        <f xml:space="preserve"> ConCost!BM$259</f>
        <v>0</v>
      </c>
      <c r="BN42" s="281">
        <f xml:space="preserve"> ConCost!BN$259</f>
        <v>0</v>
      </c>
      <c r="BO42" s="281">
        <f xml:space="preserve"> ConCost!BO$259</f>
        <v>0</v>
      </c>
      <c r="BP42" s="281">
        <f xml:space="preserve"> ConCost!BP$259</f>
        <v>0</v>
      </c>
      <c r="BQ42" s="281">
        <f xml:space="preserve"> ConCost!BQ$259</f>
        <v>0</v>
      </c>
      <c r="BR42" s="281">
        <f xml:space="preserve"> ConCost!BR$259</f>
        <v>0</v>
      </c>
      <c r="BS42" s="281">
        <f xml:space="preserve"> ConCost!BS$259</f>
        <v>0</v>
      </c>
      <c r="BT42" s="281">
        <f xml:space="preserve"> ConCost!BT$259</f>
        <v>0</v>
      </c>
      <c r="BU42" s="281">
        <f xml:space="preserve"> ConCost!BU$259</f>
        <v>0</v>
      </c>
      <c r="BV42" s="281">
        <f xml:space="preserve"> ConCost!BV$259</f>
        <v>0</v>
      </c>
      <c r="BW42" s="281">
        <f xml:space="preserve"> ConCost!BW$259</f>
        <v>0</v>
      </c>
      <c r="BX42" s="281">
        <f xml:space="preserve"> ConCost!BX$259</f>
        <v>0</v>
      </c>
      <c r="BY42" s="281">
        <f xml:space="preserve"> ConCost!BY$259</f>
        <v>0</v>
      </c>
      <c r="BZ42" s="281">
        <f xml:space="preserve"> ConCost!BZ$259</f>
        <v>0</v>
      </c>
      <c r="CA42" s="281">
        <f xml:space="preserve"> ConCost!CA$259</f>
        <v>0</v>
      </c>
      <c r="CB42" s="281">
        <f xml:space="preserve"> ConCost!CB$259</f>
        <v>0</v>
      </c>
      <c r="CC42" s="281">
        <f xml:space="preserve"> ConCost!CC$259</f>
        <v>0</v>
      </c>
      <c r="CD42" s="281">
        <f xml:space="preserve"> ConCost!CD$259</f>
        <v>0</v>
      </c>
      <c r="CE42" s="281">
        <f xml:space="preserve"> ConCost!CE$259</f>
        <v>0</v>
      </c>
      <c r="CF42" s="281">
        <f xml:space="preserve"> ConCost!CF$259</f>
        <v>0</v>
      </c>
      <c r="CG42" s="281">
        <f xml:space="preserve"> ConCost!CG$259</f>
        <v>0</v>
      </c>
      <c r="CH42" s="281">
        <f xml:space="preserve"> ConCost!CH$259</f>
        <v>0</v>
      </c>
      <c r="CI42" s="281">
        <f xml:space="preserve"> ConCost!CI$259</f>
        <v>0</v>
      </c>
      <c r="CJ42" s="281">
        <f xml:space="preserve"> ConCost!CJ$259</f>
        <v>0</v>
      </c>
      <c r="CK42" s="281">
        <f xml:space="preserve"> ConCost!CK$259</f>
        <v>0</v>
      </c>
      <c r="CL42" s="281">
        <f xml:space="preserve"> ConCost!CL$259</f>
        <v>0</v>
      </c>
      <c r="CM42" s="281">
        <f xml:space="preserve"> ConCost!CM$259</f>
        <v>0</v>
      </c>
      <c r="CN42" s="281">
        <f xml:space="preserve"> ConCost!CN$259</f>
        <v>0</v>
      </c>
      <c r="CO42" s="281">
        <f xml:space="preserve"> ConCost!CO$259</f>
        <v>0</v>
      </c>
      <c r="CP42" s="281">
        <f xml:space="preserve"> ConCost!CP$259</f>
        <v>0</v>
      </c>
      <c r="CQ42" s="281">
        <f xml:space="preserve"> ConCost!CQ$259</f>
        <v>0</v>
      </c>
      <c r="CR42" s="281">
        <f xml:space="preserve"> ConCost!CR$259</f>
        <v>0</v>
      </c>
      <c r="CS42" s="281">
        <f xml:space="preserve"> ConCost!CS$259</f>
        <v>0</v>
      </c>
      <c r="CT42" s="281">
        <f xml:space="preserve"> ConCost!CT$259</f>
        <v>0</v>
      </c>
      <c r="CU42" s="281">
        <f xml:space="preserve"> ConCost!CU$259</f>
        <v>0</v>
      </c>
      <c r="CV42" s="281">
        <f xml:space="preserve"> ConCost!CV$259</f>
        <v>0</v>
      </c>
    </row>
    <row r="43" spans="1:192" outlineLevel="1" x14ac:dyDescent="0.2">
      <c r="D43" s="209"/>
      <c r="E43" s="288" t="str">
        <f xml:space="preserve"> Ops!E$269</f>
        <v>Release of working capital reserve</v>
      </c>
      <c r="F43" s="288">
        <f xml:space="preserve"> Ops!F$269</f>
        <v>0</v>
      </c>
      <c r="G43" s="288" t="str">
        <f xml:space="preserve"> Ops!G$269</f>
        <v>$ 000s</v>
      </c>
      <c r="H43" s="288">
        <f xml:space="preserve"> Ops!H$269</f>
        <v>3857.1209730037863</v>
      </c>
      <c r="I43" s="288">
        <f xml:space="preserve"> Ops!I$269</f>
        <v>0</v>
      </c>
      <c r="J43" s="288">
        <f xml:space="preserve"> Ops!J$269</f>
        <v>0</v>
      </c>
      <c r="K43" s="288">
        <f xml:space="preserve"> Ops!K$269</f>
        <v>0</v>
      </c>
      <c r="L43" s="288">
        <f xml:space="preserve"> Ops!L$269</f>
        <v>0</v>
      </c>
      <c r="M43" s="288">
        <f xml:space="preserve"> Ops!M$269</f>
        <v>0</v>
      </c>
      <c r="N43" s="288">
        <f xml:space="preserve"> Ops!N$269</f>
        <v>0</v>
      </c>
      <c r="O43" s="288">
        <f xml:space="preserve"> Ops!O$269</f>
        <v>3857.1209730037863</v>
      </c>
      <c r="P43" s="288">
        <f xml:space="preserve"> Ops!P$269</f>
        <v>0</v>
      </c>
      <c r="Q43" s="288">
        <f xml:space="preserve"> Ops!Q$269</f>
        <v>0</v>
      </c>
      <c r="R43" s="288">
        <f xml:space="preserve"> Ops!R$269</f>
        <v>0</v>
      </c>
      <c r="S43" s="288">
        <f xml:space="preserve"> Ops!S$269</f>
        <v>0</v>
      </c>
      <c r="T43" s="288">
        <f xml:space="preserve"> Ops!T$269</f>
        <v>0</v>
      </c>
      <c r="U43" s="288">
        <f xml:space="preserve"> Ops!U$269</f>
        <v>0</v>
      </c>
      <c r="V43" s="288">
        <f xml:space="preserve"> Ops!V$269</f>
        <v>0</v>
      </c>
      <c r="W43" s="288">
        <f xml:space="preserve"> Ops!W$269</f>
        <v>0</v>
      </c>
      <c r="X43" s="288">
        <f xml:space="preserve"> Ops!X$269</f>
        <v>0</v>
      </c>
      <c r="Y43" s="288">
        <f xml:space="preserve"> Ops!Y$269</f>
        <v>0</v>
      </c>
      <c r="Z43" s="288">
        <f xml:space="preserve"> Ops!Z$269</f>
        <v>0</v>
      </c>
      <c r="AA43" s="288">
        <f xml:space="preserve"> Ops!AA$269</f>
        <v>0</v>
      </c>
      <c r="AB43" s="288">
        <f xml:space="preserve"> Ops!AB$269</f>
        <v>0</v>
      </c>
      <c r="AC43" s="288">
        <f xml:space="preserve"> Ops!AC$269</f>
        <v>0</v>
      </c>
      <c r="AD43" s="288">
        <f xml:space="preserve"> Ops!AD$269</f>
        <v>0</v>
      </c>
      <c r="AE43" s="288">
        <f xml:space="preserve"> Ops!AE$269</f>
        <v>0</v>
      </c>
      <c r="AF43" s="288">
        <f xml:space="preserve"> Ops!AF$269</f>
        <v>0</v>
      </c>
      <c r="AG43" s="288">
        <f xml:space="preserve"> Ops!AG$269</f>
        <v>0</v>
      </c>
      <c r="AH43" s="288">
        <f xml:space="preserve"> Ops!AH$269</f>
        <v>0</v>
      </c>
      <c r="AI43" s="288">
        <f xml:space="preserve"> Ops!AI$269</f>
        <v>0</v>
      </c>
      <c r="AJ43" s="288">
        <f xml:space="preserve"> Ops!AJ$269</f>
        <v>0</v>
      </c>
      <c r="AK43" s="288">
        <f xml:space="preserve"> Ops!AK$269</f>
        <v>0</v>
      </c>
      <c r="AL43" s="288">
        <f xml:space="preserve"> Ops!AL$269</f>
        <v>0</v>
      </c>
      <c r="AM43" s="288">
        <f xml:space="preserve"> Ops!AM$269</f>
        <v>0</v>
      </c>
      <c r="AN43" s="288">
        <f xml:space="preserve"> Ops!AN$269</f>
        <v>0</v>
      </c>
      <c r="AO43" s="288">
        <f xml:space="preserve"> Ops!AO$269</f>
        <v>0</v>
      </c>
      <c r="AP43" s="288">
        <f xml:space="preserve"> Ops!AP$269</f>
        <v>0</v>
      </c>
      <c r="AQ43" s="288">
        <f xml:space="preserve"> Ops!AQ$269</f>
        <v>0</v>
      </c>
      <c r="AR43" s="288">
        <f xml:space="preserve"> Ops!AR$269</f>
        <v>0</v>
      </c>
      <c r="AS43" s="288">
        <f xml:space="preserve"> Ops!AS$269</f>
        <v>0</v>
      </c>
      <c r="AT43" s="288">
        <f xml:space="preserve"> Ops!AT$269</f>
        <v>0</v>
      </c>
      <c r="AU43" s="288">
        <f xml:space="preserve"> Ops!AU$269</f>
        <v>0</v>
      </c>
      <c r="AV43" s="288">
        <f xml:space="preserve"> Ops!AV$269</f>
        <v>0</v>
      </c>
      <c r="AW43" s="288">
        <f xml:space="preserve"> Ops!AW$269</f>
        <v>0</v>
      </c>
      <c r="AX43" s="288">
        <f xml:space="preserve"> Ops!AX$269</f>
        <v>0</v>
      </c>
      <c r="AY43" s="288">
        <f xml:space="preserve"> Ops!AY$269</f>
        <v>0</v>
      </c>
      <c r="AZ43" s="288">
        <f xml:space="preserve"> Ops!AZ$269</f>
        <v>0</v>
      </c>
      <c r="BA43" s="288">
        <f xml:space="preserve"> Ops!BA$269</f>
        <v>0</v>
      </c>
      <c r="BB43" s="288">
        <f xml:space="preserve"> Ops!BB$269</f>
        <v>0</v>
      </c>
      <c r="BC43" s="288">
        <f xml:space="preserve"> Ops!BC$269</f>
        <v>0</v>
      </c>
      <c r="BD43" s="288">
        <f xml:space="preserve"> Ops!BD$269</f>
        <v>0</v>
      </c>
      <c r="BE43" s="288">
        <f xml:space="preserve"> Ops!BE$269</f>
        <v>0</v>
      </c>
      <c r="BF43" s="288">
        <f xml:space="preserve"> Ops!BF$269</f>
        <v>0</v>
      </c>
      <c r="BG43" s="288">
        <f xml:space="preserve"> Ops!BG$269</f>
        <v>0</v>
      </c>
      <c r="BH43" s="288">
        <f xml:space="preserve"> Ops!BH$269</f>
        <v>0</v>
      </c>
      <c r="BI43" s="288">
        <f xml:space="preserve"> Ops!BI$269</f>
        <v>0</v>
      </c>
      <c r="BJ43" s="288">
        <f xml:space="preserve"> Ops!BJ$269</f>
        <v>0</v>
      </c>
      <c r="BK43" s="288">
        <f xml:space="preserve"> Ops!BK$269</f>
        <v>0</v>
      </c>
      <c r="BL43" s="288">
        <f xml:space="preserve"> Ops!BL$269</f>
        <v>0</v>
      </c>
      <c r="BM43" s="288">
        <f xml:space="preserve"> Ops!BM$269</f>
        <v>0</v>
      </c>
      <c r="BN43" s="288">
        <f xml:space="preserve"> Ops!BN$269</f>
        <v>0</v>
      </c>
      <c r="BO43" s="288">
        <f xml:space="preserve"> Ops!BO$269</f>
        <v>0</v>
      </c>
      <c r="BP43" s="288">
        <f xml:space="preserve"> Ops!BP$269</f>
        <v>0</v>
      </c>
      <c r="BQ43" s="288">
        <f xml:space="preserve"> Ops!BQ$269</f>
        <v>0</v>
      </c>
      <c r="BR43" s="288">
        <f xml:space="preserve"> Ops!BR$269</f>
        <v>0</v>
      </c>
      <c r="BS43" s="288">
        <f xml:space="preserve"> Ops!BS$269</f>
        <v>0</v>
      </c>
      <c r="BT43" s="288">
        <f xml:space="preserve"> Ops!BT$269</f>
        <v>0</v>
      </c>
      <c r="BU43" s="288">
        <f xml:space="preserve"> Ops!BU$269</f>
        <v>0</v>
      </c>
      <c r="BV43" s="288">
        <f xml:space="preserve"> Ops!BV$269</f>
        <v>0</v>
      </c>
      <c r="BW43" s="288">
        <f xml:space="preserve"> Ops!BW$269</f>
        <v>0</v>
      </c>
      <c r="BX43" s="288">
        <f xml:space="preserve"> Ops!BX$269</f>
        <v>0</v>
      </c>
      <c r="BY43" s="288">
        <f xml:space="preserve"> Ops!BY$269</f>
        <v>0</v>
      </c>
      <c r="BZ43" s="288">
        <f xml:space="preserve"> Ops!BZ$269</f>
        <v>0</v>
      </c>
      <c r="CA43" s="288">
        <f xml:space="preserve"> Ops!CA$269</f>
        <v>0</v>
      </c>
      <c r="CB43" s="288">
        <f xml:space="preserve"> Ops!CB$269</f>
        <v>0</v>
      </c>
      <c r="CC43" s="288">
        <f xml:space="preserve"> Ops!CC$269</f>
        <v>0</v>
      </c>
      <c r="CD43" s="288">
        <f xml:space="preserve"> Ops!CD$269</f>
        <v>0</v>
      </c>
      <c r="CE43" s="288">
        <f xml:space="preserve"> Ops!CE$269</f>
        <v>0</v>
      </c>
      <c r="CF43" s="288">
        <f xml:space="preserve"> Ops!CF$269</f>
        <v>0</v>
      </c>
      <c r="CG43" s="288">
        <f xml:space="preserve"> Ops!CG$269</f>
        <v>0</v>
      </c>
      <c r="CH43" s="288">
        <f xml:space="preserve"> Ops!CH$269</f>
        <v>0</v>
      </c>
      <c r="CI43" s="288">
        <f xml:space="preserve"> Ops!CI$269</f>
        <v>0</v>
      </c>
      <c r="CJ43" s="288">
        <f xml:space="preserve"> Ops!CJ$269</f>
        <v>0</v>
      </c>
      <c r="CK43" s="288">
        <f xml:space="preserve"> Ops!CK$269</f>
        <v>0</v>
      </c>
      <c r="CL43" s="288">
        <f xml:space="preserve"> Ops!CL$269</f>
        <v>0</v>
      </c>
      <c r="CM43" s="288">
        <f xml:space="preserve"> Ops!CM$269</f>
        <v>0</v>
      </c>
      <c r="CN43" s="288">
        <f xml:space="preserve"> Ops!CN$269</f>
        <v>0</v>
      </c>
      <c r="CO43" s="288">
        <f xml:space="preserve"> Ops!CO$269</f>
        <v>0</v>
      </c>
      <c r="CP43" s="288">
        <f xml:space="preserve"> Ops!CP$269</f>
        <v>0</v>
      </c>
      <c r="CQ43" s="288">
        <f xml:space="preserve"> Ops!CQ$269</f>
        <v>0</v>
      </c>
      <c r="CR43" s="288">
        <f xml:space="preserve"> Ops!CR$269</f>
        <v>0</v>
      </c>
      <c r="CS43" s="288">
        <f xml:space="preserve"> Ops!CS$269</f>
        <v>0</v>
      </c>
      <c r="CT43" s="288">
        <f xml:space="preserve"> Ops!CT$269</f>
        <v>0</v>
      </c>
      <c r="CU43" s="288">
        <f xml:space="preserve"> Ops!CU$269</f>
        <v>0</v>
      </c>
      <c r="CV43" s="288">
        <f xml:space="preserve"> Ops!CV$269</f>
        <v>0</v>
      </c>
    </row>
    <row r="44" spans="1:192" outlineLevel="1" x14ac:dyDescent="0.2">
      <c r="D44" s="209"/>
      <c r="E44" s="235" t="str">
        <f xml:space="preserve"> Ops!E$220</f>
        <v>Cash paid for O&amp;M costs</v>
      </c>
      <c r="F44" s="235">
        <f xml:space="preserve"> Ops!F$220</f>
        <v>0</v>
      </c>
      <c r="G44" s="235" t="str">
        <f xml:space="preserve"> Ops!G$220</f>
        <v>$ 000s</v>
      </c>
      <c r="H44" s="235">
        <f xml:space="preserve"> Ops!H$220</f>
        <v>-210402.03579009016</v>
      </c>
      <c r="I44" s="235">
        <f xml:space="preserve"> Ops!I$220</f>
        <v>0</v>
      </c>
      <c r="J44" s="235">
        <f xml:space="preserve"> Ops!J$220</f>
        <v>0</v>
      </c>
      <c r="K44" s="235">
        <f xml:space="preserve"> Ops!K$220</f>
        <v>0</v>
      </c>
      <c r="L44" s="235">
        <f xml:space="preserve"> Ops!L$220</f>
        <v>0</v>
      </c>
      <c r="M44" s="235">
        <f xml:space="preserve"> Ops!M$220</f>
        <v>0</v>
      </c>
      <c r="N44" s="235">
        <f xml:space="preserve"> Ops!N$220</f>
        <v>0</v>
      </c>
      <c r="O44" s="235">
        <f xml:space="preserve"> Ops!O$220</f>
        <v>-3270.827613913043</v>
      </c>
      <c r="P44" s="235">
        <f xml:space="preserve"> Ops!P$220</f>
        <v>-4312.1777942637509</v>
      </c>
      <c r="Q44" s="235">
        <f xml:space="preserve"> Ops!Q$220</f>
        <v>-4412.6960380145092</v>
      </c>
      <c r="R44" s="235">
        <f xml:space="preserve"> Ops!R$220</f>
        <v>-4398.4213501490267</v>
      </c>
      <c r="S44" s="235">
        <f xml:space="preserve"> Ops!S$220</f>
        <v>-4500.9499587747996</v>
      </c>
      <c r="T44" s="235">
        <f xml:space="preserve"> Ops!T$220</f>
        <v>-4486.3897771520087</v>
      </c>
      <c r="U44" s="235">
        <f xml:space="preserve"> Ops!U$220</f>
        <v>-4590.9689579502938</v>
      </c>
      <c r="V44" s="235">
        <f xml:space="preserve"> Ops!V$220</f>
        <v>-4582.3941624642439</v>
      </c>
      <c r="W44" s="235">
        <f xml:space="preserve"> Ops!W$220</f>
        <v>-4676.5117473401042</v>
      </c>
      <c r="X44" s="235">
        <f xml:space="preserve"> Ops!X$220</f>
        <v>-4667.639924148948</v>
      </c>
      <c r="Y44" s="235">
        <f xml:space="preserve"> Ops!Y$220</f>
        <v>-4776.4441038514869</v>
      </c>
      <c r="Z44" s="235">
        <f xml:space="preserve"> Ops!Z$220</f>
        <v>-4760.9927226319269</v>
      </c>
      <c r="AA44" s="235">
        <f xml:space="preserve"> Ops!AA$220</f>
        <v>-4871.9729859285162</v>
      </c>
      <c r="AB44" s="235">
        <f xml:space="preserve"> Ops!AB$220</f>
        <v>-4856.212577084566</v>
      </c>
      <c r="AC44" s="235">
        <f xml:space="preserve"> Ops!AC$220</f>
        <v>-4969.4124456470863</v>
      </c>
      <c r="AD44" s="235">
        <f xml:space="preserve"> Ops!AD$220</f>
        <v>-4960.1308112475617</v>
      </c>
      <c r="AE44" s="235">
        <f xml:space="preserve"> Ops!AE$220</f>
        <v>-5062.0067119387222</v>
      </c>
      <c r="AF44" s="235">
        <f xml:space="preserve"> Ops!AF$220</f>
        <v>-5052.4035651987824</v>
      </c>
      <c r="AG44" s="235">
        <f xml:space="preserve"> Ops!AG$220</f>
        <v>-5170.1767084512285</v>
      </c>
      <c r="AH44" s="235">
        <f xml:space="preserve"> Ops!AH$220</f>
        <v>-5153.4516365027575</v>
      </c>
      <c r="AI44" s="235">
        <f xml:space="preserve"> Ops!AI$220</f>
        <v>-5273.5802426202536</v>
      </c>
      <c r="AJ44" s="235">
        <f xml:space="preserve"> Ops!AJ$220</f>
        <v>-5256.5206692328138</v>
      </c>
      <c r="AK44" s="235">
        <f xml:space="preserve"> Ops!AK$220</f>
        <v>-5379.0518474726578</v>
      </c>
      <c r="AL44" s="235">
        <f xml:space="preserve"> Ops!AL$220</f>
        <v>-5369.005107901251</v>
      </c>
      <c r="AM44" s="235">
        <f xml:space="preserve"> Ops!AM$220</f>
        <v>-5479.2788591383296</v>
      </c>
      <c r="AN44" s="235">
        <f xml:space="preserve"> Ops!AN$220</f>
        <v>-5468.8841042698186</v>
      </c>
      <c r="AO44" s="235">
        <f xml:space="preserve"> Ops!AO$220</f>
        <v>-5596.3655421105541</v>
      </c>
      <c r="AP44" s="235">
        <f xml:space="preserve"> Ops!AP$220</f>
        <v>-5578.2617863552159</v>
      </c>
      <c r="AQ44" s="235">
        <f xml:space="preserve"> Ops!AQ$220</f>
        <v>-5708.2928529527653</v>
      </c>
      <c r="AR44" s="235">
        <f xml:space="preserve"> Ops!AR$220</f>
        <v>-5689.8270220823188</v>
      </c>
      <c r="AS44" s="235">
        <f xml:space="preserve"> Ops!AS$220</f>
        <v>-5822.4587100118197</v>
      </c>
      <c r="AT44" s="235">
        <f xml:space="preserve"> Ops!AT$220</f>
        <v>-5811.5837959965847</v>
      </c>
      <c r="AU44" s="235">
        <f xml:space="preserve"> Ops!AU$220</f>
        <v>-5930.9476507394374</v>
      </c>
      <c r="AV44" s="235">
        <f xml:space="preserve"> Ops!AV$220</f>
        <v>-5919.6960337744458</v>
      </c>
      <c r="AW44" s="235">
        <f xml:space="preserve"> Ops!AW$220</f>
        <v>-6057.686041896297</v>
      </c>
      <c r="AX44" s="235">
        <f xml:space="preserve"> Ops!AX$220</f>
        <v>-6038.0899544499343</v>
      </c>
      <c r="AY44" s="235">
        <f xml:space="preserve"> Ops!AY$220</f>
        <v>-6178.8397627342238</v>
      </c>
      <c r="AZ44" s="235">
        <f xml:space="preserve"> Ops!AZ$220</f>
        <v>-6158.8517535389319</v>
      </c>
      <c r="BA44" s="235">
        <f xml:space="preserve"> Ops!BA$220</f>
        <v>-6302.4165579889077</v>
      </c>
      <c r="BB44" s="235">
        <f xml:space="preserve"> Ops!BB$220</f>
        <v>-7850.2159021702164</v>
      </c>
      <c r="BC44" s="235">
        <f xml:space="preserve"> Ops!BC$220</f>
        <v>0</v>
      </c>
      <c r="BD44" s="235">
        <f xml:space="preserve"> Ops!BD$220</f>
        <v>0</v>
      </c>
      <c r="BE44" s="235">
        <f xml:space="preserve"> Ops!BE$220</f>
        <v>0</v>
      </c>
      <c r="BF44" s="235">
        <f xml:space="preserve"> Ops!BF$220</f>
        <v>0</v>
      </c>
      <c r="BG44" s="235">
        <f xml:space="preserve"> Ops!BG$220</f>
        <v>0</v>
      </c>
      <c r="BH44" s="235">
        <f xml:space="preserve"> Ops!BH$220</f>
        <v>0</v>
      </c>
      <c r="BI44" s="235">
        <f xml:space="preserve"> Ops!BI$220</f>
        <v>0</v>
      </c>
      <c r="BJ44" s="235">
        <f xml:space="preserve"> Ops!BJ$220</f>
        <v>0</v>
      </c>
      <c r="BK44" s="235">
        <f xml:space="preserve"> Ops!BK$220</f>
        <v>0</v>
      </c>
      <c r="BL44" s="235">
        <f xml:space="preserve"> Ops!BL$220</f>
        <v>0</v>
      </c>
      <c r="BM44" s="235">
        <f xml:space="preserve"> Ops!BM$220</f>
        <v>0</v>
      </c>
      <c r="BN44" s="235">
        <f xml:space="preserve"> Ops!BN$220</f>
        <v>0</v>
      </c>
      <c r="BO44" s="235">
        <f xml:space="preserve"> Ops!BO$220</f>
        <v>0</v>
      </c>
      <c r="BP44" s="235">
        <f xml:space="preserve"> Ops!BP$220</f>
        <v>0</v>
      </c>
      <c r="BQ44" s="235">
        <f xml:space="preserve"> Ops!BQ$220</f>
        <v>0</v>
      </c>
      <c r="BR44" s="235">
        <f xml:space="preserve"> Ops!BR$220</f>
        <v>0</v>
      </c>
      <c r="BS44" s="235">
        <f xml:space="preserve"> Ops!BS$220</f>
        <v>0</v>
      </c>
      <c r="BT44" s="235">
        <f xml:space="preserve"> Ops!BT$220</f>
        <v>0</v>
      </c>
      <c r="BU44" s="235">
        <f xml:space="preserve"> Ops!BU$220</f>
        <v>0</v>
      </c>
      <c r="BV44" s="235">
        <f xml:space="preserve"> Ops!BV$220</f>
        <v>0</v>
      </c>
      <c r="BW44" s="235">
        <f xml:space="preserve"> Ops!BW$220</f>
        <v>0</v>
      </c>
      <c r="BX44" s="235">
        <f xml:space="preserve"> Ops!BX$220</f>
        <v>0</v>
      </c>
      <c r="BY44" s="235">
        <f xml:space="preserve"> Ops!BY$220</f>
        <v>0</v>
      </c>
      <c r="BZ44" s="235">
        <f xml:space="preserve"> Ops!BZ$220</f>
        <v>0</v>
      </c>
      <c r="CA44" s="235">
        <f xml:space="preserve"> Ops!CA$220</f>
        <v>0</v>
      </c>
      <c r="CB44" s="235">
        <f xml:space="preserve"> Ops!CB$220</f>
        <v>0</v>
      </c>
      <c r="CC44" s="235">
        <f xml:space="preserve"> Ops!CC$220</f>
        <v>0</v>
      </c>
      <c r="CD44" s="235">
        <f xml:space="preserve"> Ops!CD$220</f>
        <v>0</v>
      </c>
      <c r="CE44" s="235">
        <f xml:space="preserve"> Ops!CE$220</f>
        <v>0</v>
      </c>
      <c r="CF44" s="235">
        <f xml:space="preserve"> Ops!CF$220</f>
        <v>0</v>
      </c>
      <c r="CG44" s="235">
        <f xml:space="preserve"> Ops!CG$220</f>
        <v>0</v>
      </c>
      <c r="CH44" s="235">
        <f xml:space="preserve"> Ops!CH$220</f>
        <v>0</v>
      </c>
      <c r="CI44" s="235">
        <f xml:space="preserve"> Ops!CI$220</f>
        <v>0</v>
      </c>
      <c r="CJ44" s="235">
        <f xml:space="preserve"> Ops!CJ$220</f>
        <v>0</v>
      </c>
      <c r="CK44" s="235">
        <f xml:space="preserve"> Ops!CK$220</f>
        <v>0</v>
      </c>
      <c r="CL44" s="235">
        <f xml:space="preserve"> Ops!CL$220</f>
        <v>0</v>
      </c>
      <c r="CM44" s="235">
        <f xml:space="preserve"> Ops!CM$220</f>
        <v>0</v>
      </c>
      <c r="CN44" s="235">
        <f xml:space="preserve"> Ops!CN$220</f>
        <v>0</v>
      </c>
      <c r="CO44" s="235">
        <f xml:space="preserve"> Ops!CO$220</f>
        <v>0</v>
      </c>
      <c r="CP44" s="235">
        <f xml:space="preserve"> Ops!CP$220</f>
        <v>0</v>
      </c>
      <c r="CQ44" s="235">
        <f xml:space="preserve"> Ops!CQ$220</f>
        <v>0</v>
      </c>
      <c r="CR44" s="235">
        <f xml:space="preserve"> Ops!CR$220</f>
        <v>0</v>
      </c>
      <c r="CS44" s="235">
        <f xml:space="preserve"> Ops!CS$220</f>
        <v>0</v>
      </c>
      <c r="CT44" s="235">
        <f xml:space="preserve"> Ops!CT$220</f>
        <v>0</v>
      </c>
      <c r="CU44" s="235">
        <f xml:space="preserve"> Ops!CU$220</f>
        <v>0</v>
      </c>
      <c r="CV44" s="235">
        <f xml:space="preserve"> Ops!CV$220</f>
        <v>0</v>
      </c>
    </row>
    <row r="45" spans="1:192" s="191" customFormat="1" outlineLevel="1" x14ac:dyDescent="0.2">
      <c r="A45" s="205"/>
      <c r="B45" s="205"/>
      <c r="C45" s="206"/>
      <c r="D45" s="209"/>
      <c r="E45" s="235" t="str">
        <f xml:space="preserve"> Ops!E$321</f>
        <v>EGR period costs paid through EGR's</v>
      </c>
      <c r="F45" s="235">
        <f xml:space="preserve"> Ops!F$321</f>
        <v>0</v>
      </c>
      <c r="G45" s="235" t="str">
        <f xml:space="preserve"> Ops!G$321</f>
        <v>$ 000s</v>
      </c>
      <c r="H45" s="235">
        <f xml:space="preserve"> Ops!H$321</f>
        <v>0</v>
      </c>
      <c r="I45" s="235">
        <f xml:space="preserve"> Ops!I$321</f>
        <v>0</v>
      </c>
      <c r="J45" s="235">
        <f xml:space="preserve"> Ops!J$321</f>
        <v>0</v>
      </c>
      <c r="K45" s="235">
        <f xml:space="preserve"> Ops!K$321</f>
        <v>0</v>
      </c>
      <c r="L45" s="235">
        <f xml:space="preserve"> Ops!L$321</f>
        <v>0</v>
      </c>
      <c r="M45" s="235">
        <f xml:space="preserve"> Ops!M$321</f>
        <v>0</v>
      </c>
      <c r="N45" s="235">
        <f xml:space="preserve"> Ops!N$321</f>
        <v>0</v>
      </c>
      <c r="O45" s="235">
        <f xml:space="preserve"> Ops!O$321</f>
        <v>0</v>
      </c>
      <c r="P45" s="235">
        <f xml:space="preserve"> Ops!P$321</f>
        <v>0</v>
      </c>
      <c r="Q45" s="235">
        <f xml:space="preserve"> Ops!Q$321</f>
        <v>0</v>
      </c>
      <c r="R45" s="235">
        <f xml:space="preserve"> Ops!R$321</f>
        <v>0</v>
      </c>
      <c r="S45" s="235">
        <f xml:space="preserve"> Ops!S$321</f>
        <v>0</v>
      </c>
      <c r="T45" s="235">
        <f xml:space="preserve"> Ops!T$321</f>
        <v>0</v>
      </c>
      <c r="U45" s="235">
        <f xml:space="preserve"> Ops!U$321</f>
        <v>0</v>
      </c>
      <c r="V45" s="235">
        <f xml:space="preserve"> Ops!V$321</f>
        <v>0</v>
      </c>
      <c r="W45" s="235">
        <f xml:space="preserve"> Ops!W$321</f>
        <v>0</v>
      </c>
      <c r="X45" s="235">
        <f xml:space="preserve"> Ops!X$321</f>
        <v>0</v>
      </c>
      <c r="Y45" s="235">
        <f xml:space="preserve"> Ops!Y$321</f>
        <v>0</v>
      </c>
      <c r="Z45" s="235">
        <f xml:space="preserve"> Ops!Z$321</f>
        <v>0</v>
      </c>
      <c r="AA45" s="235">
        <f xml:space="preserve"> Ops!AA$321</f>
        <v>0</v>
      </c>
      <c r="AB45" s="235">
        <f xml:space="preserve"> Ops!AB$321</f>
        <v>0</v>
      </c>
      <c r="AC45" s="235">
        <f xml:space="preserve"> Ops!AC$321</f>
        <v>0</v>
      </c>
      <c r="AD45" s="235">
        <f xml:space="preserve"> Ops!AD$321</f>
        <v>0</v>
      </c>
      <c r="AE45" s="235">
        <f xml:space="preserve"> Ops!AE$321</f>
        <v>0</v>
      </c>
      <c r="AF45" s="235">
        <f xml:space="preserve"> Ops!AF$321</f>
        <v>0</v>
      </c>
      <c r="AG45" s="235">
        <f xml:space="preserve"> Ops!AG$321</f>
        <v>0</v>
      </c>
      <c r="AH45" s="235">
        <f xml:space="preserve"> Ops!AH$321</f>
        <v>0</v>
      </c>
      <c r="AI45" s="235">
        <f xml:space="preserve"> Ops!AI$321</f>
        <v>0</v>
      </c>
      <c r="AJ45" s="235">
        <f xml:space="preserve"> Ops!AJ$321</f>
        <v>0</v>
      </c>
      <c r="AK45" s="235">
        <f xml:space="preserve"> Ops!AK$321</f>
        <v>0</v>
      </c>
      <c r="AL45" s="235">
        <f xml:space="preserve"> Ops!AL$321</f>
        <v>0</v>
      </c>
      <c r="AM45" s="235">
        <f xml:space="preserve"> Ops!AM$321</f>
        <v>0</v>
      </c>
      <c r="AN45" s="235">
        <f xml:space="preserve"> Ops!AN$321</f>
        <v>0</v>
      </c>
      <c r="AO45" s="235">
        <f xml:space="preserve"> Ops!AO$321</f>
        <v>0</v>
      </c>
      <c r="AP45" s="235">
        <f xml:space="preserve"> Ops!AP$321</f>
        <v>0</v>
      </c>
      <c r="AQ45" s="235">
        <f xml:space="preserve"> Ops!AQ$321</f>
        <v>0</v>
      </c>
      <c r="AR45" s="235">
        <f xml:space="preserve"> Ops!AR$321</f>
        <v>0</v>
      </c>
      <c r="AS45" s="235">
        <f xml:space="preserve"> Ops!AS$321</f>
        <v>0</v>
      </c>
      <c r="AT45" s="235">
        <f xml:space="preserve"> Ops!AT$321</f>
        <v>0</v>
      </c>
      <c r="AU45" s="235">
        <f xml:space="preserve"> Ops!AU$321</f>
        <v>0</v>
      </c>
      <c r="AV45" s="235">
        <f xml:space="preserve"> Ops!AV$321</f>
        <v>0</v>
      </c>
      <c r="AW45" s="235">
        <f xml:space="preserve"> Ops!AW$321</f>
        <v>0</v>
      </c>
      <c r="AX45" s="235">
        <f xml:space="preserve"> Ops!AX$321</f>
        <v>0</v>
      </c>
      <c r="AY45" s="235">
        <f xml:space="preserve"> Ops!AY$321</f>
        <v>0</v>
      </c>
      <c r="AZ45" s="235">
        <f xml:space="preserve"> Ops!AZ$321</f>
        <v>0</v>
      </c>
      <c r="BA45" s="235">
        <f xml:space="preserve"> Ops!BA$321</f>
        <v>0</v>
      </c>
      <c r="BB45" s="235">
        <f xml:space="preserve"> Ops!BB$321</f>
        <v>0</v>
      </c>
      <c r="BC45" s="235">
        <f xml:space="preserve"> Ops!BC$321</f>
        <v>0</v>
      </c>
      <c r="BD45" s="235">
        <f xml:space="preserve"> Ops!BD$321</f>
        <v>0</v>
      </c>
      <c r="BE45" s="235">
        <f xml:space="preserve"> Ops!BE$321</f>
        <v>0</v>
      </c>
      <c r="BF45" s="235">
        <f xml:space="preserve"> Ops!BF$321</f>
        <v>0</v>
      </c>
      <c r="BG45" s="235">
        <f xml:space="preserve"> Ops!BG$321</f>
        <v>0</v>
      </c>
      <c r="BH45" s="235">
        <f xml:space="preserve"> Ops!BH$321</f>
        <v>0</v>
      </c>
      <c r="BI45" s="235">
        <f xml:space="preserve"> Ops!BI$321</f>
        <v>0</v>
      </c>
      <c r="BJ45" s="235">
        <f xml:space="preserve"> Ops!BJ$321</f>
        <v>0</v>
      </c>
      <c r="BK45" s="235">
        <f xml:space="preserve"> Ops!BK$321</f>
        <v>0</v>
      </c>
      <c r="BL45" s="235">
        <f xml:space="preserve"> Ops!BL$321</f>
        <v>0</v>
      </c>
      <c r="BM45" s="235">
        <f xml:space="preserve"> Ops!BM$321</f>
        <v>0</v>
      </c>
      <c r="BN45" s="235">
        <f xml:space="preserve"> Ops!BN$321</f>
        <v>0</v>
      </c>
      <c r="BO45" s="235">
        <f xml:space="preserve"> Ops!BO$321</f>
        <v>0</v>
      </c>
      <c r="BP45" s="235">
        <f xml:space="preserve"> Ops!BP$321</f>
        <v>0</v>
      </c>
      <c r="BQ45" s="235">
        <f xml:space="preserve"> Ops!BQ$321</f>
        <v>0</v>
      </c>
      <c r="BR45" s="235">
        <f xml:space="preserve"> Ops!BR$321</f>
        <v>0</v>
      </c>
      <c r="BS45" s="235">
        <f xml:space="preserve"> Ops!BS$321</f>
        <v>0</v>
      </c>
      <c r="BT45" s="235">
        <f xml:space="preserve"> Ops!BT$321</f>
        <v>0</v>
      </c>
      <c r="BU45" s="235">
        <f xml:space="preserve"> Ops!BU$321</f>
        <v>0</v>
      </c>
      <c r="BV45" s="235">
        <f xml:space="preserve"> Ops!BV$321</f>
        <v>0</v>
      </c>
      <c r="BW45" s="235">
        <f xml:space="preserve"> Ops!BW$321</f>
        <v>0</v>
      </c>
      <c r="BX45" s="235">
        <f xml:space="preserve"> Ops!BX$321</f>
        <v>0</v>
      </c>
      <c r="BY45" s="235">
        <f xml:space="preserve"> Ops!BY$321</f>
        <v>0</v>
      </c>
      <c r="BZ45" s="235">
        <f xml:space="preserve"> Ops!BZ$321</f>
        <v>0</v>
      </c>
      <c r="CA45" s="235">
        <f xml:space="preserve"> Ops!CA$321</f>
        <v>0</v>
      </c>
      <c r="CB45" s="235">
        <f xml:space="preserve"> Ops!CB$321</f>
        <v>0</v>
      </c>
      <c r="CC45" s="235">
        <f xml:space="preserve"> Ops!CC$321</f>
        <v>0</v>
      </c>
      <c r="CD45" s="235">
        <f xml:space="preserve"> Ops!CD$321</f>
        <v>0</v>
      </c>
      <c r="CE45" s="235">
        <f xml:space="preserve"> Ops!CE$321</f>
        <v>0</v>
      </c>
      <c r="CF45" s="235">
        <f xml:space="preserve"> Ops!CF$321</f>
        <v>0</v>
      </c>
      <c r="CG45" s="235">
        <f xml:space="preserve"> Ops!CG$321</f>
        <v>0</v>
      </c>
      <c r="CH45" s="235">
        <f xml:space="preserve"> Ops!CH$321</f>
        <v>0</v>
      </c>
      <c r="CI45" s="235">
        <f xml:space="preserve"> Ops!CI$321</f>
        <v>0</v>
      </c>
      <c r="CJ45" s="235">
        <f xml:space="preserve"> Ops!CJ$321</f>
        <v>0</v>
      </c>
      <c r="CK45" s="235">
        <f xml:space="preserve"> Ops!CK$321</f>
        <v>0</v>
      </c>
      <c r="CL45" s="235">
        <f xml:space="preserve"> Ops!CL$321</f>
        <v>0</v>
      </c>
      <c r="CM45" s="235">
        <f xml:space="preserve"> Ops!CM$321</f>
        <v>0</v>
      </c>
      <c r="CN45" s="235">
        <f xml:space="preserve"> Ops!CN$321</f>
        <v>0</v>
      </c>
      <c r="CO45" s="235">
        <f xml:space="preserve"> Ops!CO$321</f>
        <v>0</v>
      </c>
      <c r="CP45" s="235">
        <f xml:space="preserve"> Ops!CP$321</f>
        <v>0</v>
      </c>
      <c r="CQ45" s="235">
        <f xml:space="preserve"> Ops!CQ$321</f>
        <v>0</v>
      </c>
      <c r="CR45" s="235">
        <f xml:space="preserve"> Ops!CR$321</f>
        <v>0</v>
      </c>
      <c r="CS45" s="235">
        <f xml:space="preserve"> Ops!CS$321</f>
        <v>0</v>
      </c>
      <c r="CT45" s="235">
        <f xml:space="preserve"> Ops!CT$321</f>
        <v>0</v>
      </c>
      <c r="CU45" s="235">
        <f xml:space="preserve"> Ops!CU$321</f>
        <v>0</v>
      </c>
      <c r="CV45" s="235">
        <f xml:space="preserve"> Ops!CV$321</f>
        <v>0</v>
      </c>
    </row>
    <row r="46" spans="1:192" outlineLevel="1" x14ac:dyDescent="0.2">
      <c r="D46" s="209"/>
      <c r="E46" s="235" t="str">
        <f xml:space="preserve"> Tax!E$77</f>
        <v>Corporate income tax</v>
      </c>
      <c r="F46" s="235">
        <f xml:space="preserve"> Tax!F$77</f>
        <v>0</v>
      </c>
      <c r="G46" s="235" t="str">
        <f xml:space="preserve"> Tax!G$77</f>
        <v>$ 000s</v>
      </c>
      <c r="H46" s="235">
        <f xml:space="preserve"> Tax!H$77</f>
        <v>0</v>
      </c>
      <c r="I46" s="235">
        <f xml:space="preserve"> Tax!I$77</f>
        <v>0</v>
      </c>
      <c r="J46" s="235">
        <f xml:space="preserve"> Tax!J$77</f>
        <v>0</v>
      </c>
      <c r="K46" s="235">
        <f xml:space="preserve"> Tax!K$77</f>
        <v>0</v>
      </c>
      <c r="L46" s="235">
        <f xml:space="preserve"> Tax!L$77</f>
        <v>0</v>
      </c>
      <c r="M46" s="235">
        <f xml:space="preserve"> Tax!M$77</f>
        <v>0</v>
      </c>
      <c r="N46" s="235">
        <f xml:space="preserve"> Tax!N$77</f>
        <v>0</v>
      </c>
      <c r="O46" s="235">
        <f xml:space="preserve"> Tax!O$77</f>
        <v>0</v>
      </c>
      <c r="P46" s="235">
        <f xml:space="preserve"> Tax!P$77</f>
        <v>0</v>
      </c>
      <c r="Q46" s="235">
        <f xml:space="preserve"> Tax!Q$77</f>
        <v>0</v>
      </c>
      <c r="R46" s="235">
        <f xml:space="preserve"> Tax!R$77</f>
        <v>0</v>
      </c>
      <c r="S46" s="235">
        <f xml:space="preserve"> Tax!S$77</f>
        <v>0</v>
      </c>
      <c r="T46" s="235">
        <f xml:space="preserve"> Tax!T$77</f>
        <v>0</v>
      </c>
      <c r="U46" s="235">
        <f xml:space="preserve"> Tax!U$77</f>
        <v>0</v>
      </c>
      <c r="V46" s="235">
        <f xml:space="preserve"> Tax!V$77</f>
        <v>0</v>
      </c>
      <c r="W46" s="235">
        <f xml:space="preserve"> Tax!W$77</f>
        <v>0</v>
      </c>
      <c r="X46" s="235">
        <f xml:space="preserve"> Tax!X$77</f>
        <v>0</v>
      </c>
      <c r="Y46" s="235">
        <f xml:space="preserve"> Tax!Y$77</f>
        <v>0</v>
      </c>
      <c r="Z46" s="235">
        <f xml:space="preserve"> Tax!Z$77</f>
        <v>0</v>
      </c>
      <c r="AA46" s="235">
        <f xml:space="preserve"> Tax!AA$77</f>
        <v>0</v>
      </c>
      <c r="AB46" s="235">
        <f xml:space="preserve"> Tax!AB$77</f>
        <v>0</v>
      </c>
      <c r="AC46" s="235">
        <f xml:space="preserve"> Tax!AC$77</f>
        <v>0</v>
      </c>
      <c r="AD46" s="235">
        <f xml:space="preserve"> Tax!AD$77</f>
        <v>0</v>
      </c>
      <c r="AE46" s="235">
        <f xml:space="preserve"> Tax!AE$77</f>
        <v>0</v>
      </c>
      <c r="AF46" s="235">
        <f xml:space="preserve"> Tax!AF$77</f>
        <v>0</v>
      </c>
      <c r="AG46" s="235">
        <f xml:space="preserve"> Tax!AG$77</f>
        <v>0</v>
      </c>
      <c r="AH46" s="235">
        <f xml:space="preserve"> Tax!AH$77</f>
        <v>0</v>
      </c>
      <c r="AI46" s="235">
        <f xml:space="preserve"> Tax!AI$77</f>
        <v>0</v>
      </c>
      <c r="AJ46" s="235">
        <f xml:space="preserve"> Tax!AJ$77</f>
        <v>0</v>
      </c>
      <c r="AK46" s="235">
        <f xml:space="preserve"> Tax!AK$77</f>
        <v>0</v>
      </c>
      <c r="AL46" s="235">
        <f xml:space="preserve"> Tax!AL$77</f>
        <v>0</v>
      </c>
      <c r="AM46" s="235">
        <f xml:space="preserve"> Tax!AM$77</f>
        <v>0</v>
      </c>
      <c r="AN46" s="235">
        <f xml:space="preserve"> Tax!AN$77</f>
        <v>0</v>
      </c>
      <c r="AO46" s="235">
        <f xml:space="preserve"> Tax!AO$77</f>
        <v>0</v>
      </c>
      <c r="AP46" s="235">
        <f xml:space="preserve"> Tax!AP$77</f>
        <v>0</v>
      </c>
      <c r="AQ46" s="235">
        <f xml:space="preserve"> Tax!AQ$77</f>
        <v>0</v>
      </c>
      <c r="AR46" s="235">
        <f xml:space="preserve"> Tax!AR$77</f>
        <v>0</v>
      </c>
      <c r="AS46" s="235">
        <f xml:space="preserve"> Tax!AS$77</f>
        <v>0</v>
      </c>
      <c r="AT46" s="235">
        <f xml:space="preserve"> Tax!AT$77</f>
        <v>0</v>
      </c>
      <c r="AU46" s="235">
        <f xml:space="preserve"> Tax!AU$77</f>
        <v>0</v>
      </c>
      <c r="AV46" s="235">
        <f xml:space="preserve"> Tax!AV$77</f>
        <v>0</v>
      </c>
      <c r="AW46" s="235">
        <f xml:space="preserve"> Tax!AW$77</f>
        <v>0</v>
      </c>
      <c r="AX46" s="235">
        <f xml:space="preserve"> Tax!AX$77</f>
        <v>0</v>
      </c>
      <c r="AY46" s="235">
        <f xml:space="preserve"> Tax!AY$77</f>
        <v>0</v>
      </c>
      <c r="AZ46" s="235">
        <f xml:space="preserve"> Tax!AZ$77</f>
        <v>0</v>
      </c>
      <c r="BA46" s="235">
        <f xml:space="preserve"> Tax!BA$77</f>
        <v>0</v>
      </c>
      <c r="BB46" s="235">
        <f xml:space="preserve"> Tax!BB$77</f>
        <v>0</v>
      </c>
      <c r="BC46" s="235">
        <f xml:space="preserve"> Tax!BC$77</f>
        <v>0</v>
      </c>
      <c r="BD46" s="235">
        <f xml:space="preserve"> Tax!BD$77</f>
        <v>0</v>
      </c>
      <c r="BE46" s="235">
        <f xml:space="preserve"> Tax!BE$77</f>
        <v>0</v>
      </c>
      <c r="BF46" s="235">
        <f xml:space="preserve"> Tax!BF$77</f>
        <v>0</v>
      </c>
      <c r="BG46" s="235">
        <f xml:space="preserve"> Tax!BG$77</f>
        <v>0</v>
      </c>
      <c r="BH46" s="235">
        <f xml:space="preserve"> Tax!BH$77</f>
        <v>0</v>
      </c>
      <c r="BI46" s="235">
        <f xml:space="preserve"> Tax!BI$77</f>
        <v>0</v>
      </c>
      <c r="BJ46" s="235">
        <f xml:space="preserve"> Tax!BJ$77</f>
        <v>0</v>
      </c>
      <c r="BK46" s="235">
        <f xml:space="preserve"> Tax!BK$77</f>
        <v>0</v>
      </c>
      <c r="BL46" s="235">
        <f xml:space="preserve"> Tax!BL$77</f>
        <v>0</v>
      </c>
      <c r="BM46" s="235">
        <f xml:space="preserve"> Tax!BM$77</f>
        <v>0</v>
      </c>
      <c r="BN46" s="235">
        <f xml:space="preserve"> Tax!BN$77</f>
        <v>0</v>
      </c>
      <c r="BO46" s="235">
        <f xml:space="preserve"> Tax!BO$77</f>
        <v>0</v>
      </c>
      <c r="BP46" s="235">
        <f xml:space="preserve"> Tax!BP$77</f>
        <v>0</v>
      </c>
      <c r="BQ46" s="235">
        <f xml:space="preserve"> Tax!BQ$77</f>
        <v>0</v>
      </c>
      <c r="BR46" s="235">
        <f xml:space="preserve"> Tax!BR$77</f>
        <v>0</v>
      </c>
      <c r="BS46" s="235">
        <f xml:space="preserve"> Tax!BS$77</f>
        <v>0</v>
      </c>
      <c r="BT46" s="235">
        <f xml:space="preserve"> Tax!BT$77</f>
        <v>0</v>
      </c>
      <c r="BU46" s="235">
        <f xml:space="preserve"> Tax!BU$77</f>
        <v>0</v>
      </c>
      <c r="BV46" s="235">
        <f xml:space="preserve"> Tax!BV$77</f>
        <v>0</v>
      </c>
      <c r="BW46" s="235">
        <f xml:space="preserve"> Tax!BW$77</f>
        <v>0</v>
      </c>
      <c r="BX46" s="235">
        <f xml:space="preserve"> Tax!BX$77</f>
        <v>0</v>
      </c>
      <c r="BY46" s="235">
        <f xml:space="preserve"> Tax!BY$77</f>
        <v>0</v>
      </c>
      <c r="BZ46" s="235">
        <f xml:space="preserve"> Tax!BZ$77</f>
        <v>0</v>
      </c>
      <c r="CA46" s="235">
        <f xml:space="preserve"> Tax!CA$77</f>
        <v>0</v>
      </c>
      <c r="CB46" s="235">
        <f xml:space="preserve"> Tax!CB$77</f>
        <v>0</v>
      </c>
      <c r="CC46" s="235">
        <f xml:space="preserve"> Tax!CC$77</f>
        <v>0</v>
      </c>
      <c r="CD46" s="235">
        <f xml:space="preserve"> Tax!CD$77</f>
        <v>0</v>
      </c>
      <c r="CE46" s="235">
        <f xml:space="preserve"> Tax!CE$77</f>
        <v>0</v>
      </c>
      <c r="CF46" s="235">
        <f xml:space="preserve"> Tax!CF$77</f>
        <v>0</v>
      </c>
      <c r="CG46" s="235">
        <f xml:space="preserve"> Tax!CG$77</f>
        <v>0</v>
      </c>
      <c r="CH46" s="235">
        <f xml:space="preserve"> Tax!CH$77</f>
        <v>0</v>
      </c>
      <c r="CI46" s="235">
        <f xml:space="preserve"> Tax!CI$77</f>
        <v>0</v>
      </c>
      <c r="CJ46" s="235">
        <f xml:space="preserve"> Tax!CJ$77</f>
        <v>0</v>
      </c>
      <c r="CK46" s="235">
        <f xml:space="preserve"> Tax!CK$77</f>
        <v>0</v>
      </c>
      <c r="CL46" s="235">
        <f xml:space="preserve"> Tax!CL$77</f>
        <v>0</v>
      </c>
      <c r="CM46" s="235">
        <f xml:space="preserve"> Tax!CM$77</f>
        <v>0</v>
      </c>
      <c r="CN46" s="235">
        <f xml:space="preserve"> Tax!CN$77</f>
        <v>0</v>
      </c>
      <c r="CO46" s="235">
        <f xml:space="preserve"> Tax!CO$77</f>
        <v>0</v>
      </c>
      <c r="CP46" s="235">
        <f xml:space="preserve"> Tax!CP$77</f>
        <v>0</v>
      </c>
      <c r="CQ46" s="235">
        <f xml:space="preserve"> Tax!CQ$77</f>
        <v>0</v>
      </c>
      <c r="CR46" s="235">
        <f xml:space="preserve"> Tax!CR$77</f>
        <v>0</v>
      </c>
      <c r="CS46" s="235">
        <f xml:space="preserve"> Tax!CS$77</f>
        <v>0</v>
      </c>
      <c r="CT46" s="235">
        <f xml:space="preserve"> Tax!CT$77</f>
        <v>0</v>
      </c>
      <c r="CU46" s="235">
        <f xml:space="preserve"> Tax!CU$77</f>
        <v>0</v>
      </c>
      <c r="CV46" s="235">
        <f xml:space="preserve"> Tax!CV$77</f>
        <v>0</v>
      </c>
      <c r="CW46" s="235">
        <f xml:space="preserve"> Tax!CW$77</f>
        <v>0</v>
      </c>
      <c r="CX46" s="235">
        <f xml:space="preserve"> Tax!CX$77</f>
        <v>0</v>
      </c>
      <c r="CY46" s="235">
        <f xml:space="preserve"> Tax!CY$77</f>
        <v>0</v>
      </c>
      <c r="CZ46" s="235">
        <f xml:space="preserve"> Tax!CZ$77</f>
        <v>0</v>
      </c>
      <c r="DA46" s="235">
        <f xml:space="preserve"> Tax!DA$77</f>
        <v>0</v>
      </c>
      <c r="DB46" s="235">
        <f xml:space="preserve"> Tax!DB$77</f>
        <v>0</v>
      </c>
      <c r="DC46" s="235">
        <f xml:space="preserve"> Tax!DC$77</f>
        <v>0</v>
      </c>
      <c r="DD46" s="235">
        <f xml:space="preserve"> Tax!DD$77</f>
        <v>0</v>
      </c>
      <c r="DE46" s="235">
        <f xml:space="preserve"> Tax!DE$77</f>
        <v>0</v>
      </c>
      <c r="DF46" s="235">
        <f xml:space="preserve"> Tax!DF$77</f>
        <v>0</v>
      </c>
      <c r="DG46" s="235">
        <f xml:space="preserve"> Tax!DG$77</f>
        <v>0</v>
      </c>
      <c r="DH46" s="235">
        <f xml:space="preserve"> Tax!DH$77</f>
        <v>0</v>
      </c>
      <c r="DI46" s="235">
        <f xml:space="preserve"> Tax!DI$77</f>
        <v>0</v>
      </c>
      <c r="DJ46" s="235">
        <f xml:space="preserve"> Tax!DJ$77</f>
        <v>0</v>
      </c>
      <c r="DK46" s="235">
        <f xml:space="preserve"> Tax!DK$77</f>
        <v>0</v>
      </c>
      <c r="DL46" s="235">
        <f xml:space="preserve"> Tax!DL$77</f>
        <v>0</v>
      </c>
      <c r="DM46" s="235">
        <f xml:space="preserve"> Tax!DM$77</f>
        <v>0</v>
      </c>
      <c r="DN46" s="235">
        <f xml:space="preserve"> Tax!DN$77</f>
        <v>0</v>
      </c>
      <c r="DO46" s="235">
        <f xml:space="preserve"> Tax!DO$77</f>
        <v>0</v>
      </c>
      <c r="DP46" s="235">
        <f xml:space="preserve"> Tax!DP$77</f>
        <v>0</v>
      </c>
      <c r="DQ46" s="235">
        <f xml:space="preserve"> Tax!DQ$77</f>
        <v>0</v>
      </c>
      <c r="DR46" s="235">
        <f xml:space="preserve"> Tax!DR$77</f>
        <v>0</v>
      </c>
      <c r="DS46" s="235">
        <f xml:space="preserve"> Tax!DS$77</f>
        <v>0</v>
      </c>
      <c r="DT46" s="235">
        <f xml:space="preserve"> Tax!DT$77</f>
        <v>0</v>
      </c>
      <c r="DU46" s="235">
        <f xml:space="preserve"> Tax!DU$77</f>
        <v>0</v>
      </c>
      <c r="DV46" s="235">
        <f xml:space="preserve"> Tax!DV$77</f>
        <v>0</v>
      </c>
      <c r="DW46" s="235">
        <f xml:space="preserve"> Tax!DW$77</f>
        <v>0</v>
      </c>
      <c r="DX46" s="235">
        <f xml:space="preserve"> Tax!DX$77</f>
        <v>0</v>
      </c>
      <c r="DY46" s="235">
        <f xml:space="preserve"> Tax!DY$77</f>
        <v>0</v>
      </c>
      <c r="DZ46" s="235">
        <f xml:space="preserve"> Tax!DZ$77</f>
        <v>0</v>
      </c>
      <c r="EA46" s="235">
        <f xml:space="preserve"> Tax!EA$77</f>
        <v>0</v>
      </c>
      <c r="EB46" s="235">
        <f xml:space="preserve"> Tax!EB$77</f>
        <v>0</v>
      </c>
      <c r="EC46" s="235">
        <f xml:space="preserve"> Tax!EC$77</f>
        <v>0</v>
      </c>
      <c r="ED46" s="235">
        <f xml:space="preserve"> Tax!ED$77</f>
        <v>0</v>
      </c>
      <c r="EE46" s="235">
        <f xml:space="preserve"> Tax!EE$77</f>
        <v>0</v>
      </c>
      <c r="EF46" s="235">
        <f xml:space="preserve"> Tax!EF$77</f>
        <v>0</v>
      </c>
      <c r="EG46" s="235">
        <f xml:space="preserve"> Tax!EG$77</f>
        <v>0</v>
      </c>
      <c r="EH46" s="235">
        <f xml:space="preserve"> Tax!EH$77</f>
        <v>0</v>
      </c>
      <c r="EI46" s="235">
        <f xml:space="preserve"> Tax!EI$77</f>
        <v>0</v>
      </c>
      <c r="EJ46" s="235">
        <f xml:space="preserve"> Tax!EJ$77</f>
        <v>0</v>
      </c>
      <c r="EK46" s="235">
        <f xml:space="preserve"> Tax!EK$77</f>
        <v>0</v>
      </c>
      <c r="EL46" s="235">
        <f xml:space="preserve"> Tax!EL$77</f>
        <v>0</v>
      </c>
      <c r="EM46" s="235">
        <f xml:space="preserve"> Tax!EM$77</f>
        <v>0</v>
      </c>
      <c r="EN46" s="235">
        <f xml:space="preserve"> Tax!EN$77</f>
        <v>0</v>
      </c>
      <c r="EO46" s="235">
        <f xml:space="preserve"> Tax!EO$77</f>
        <v>0</v>
      </c>
      <c r="EP46" s="235">
        <f xml:space="preserve"> Tax!EP$77</f>
        <v>0</v>
      </c>
      <c r="EQ46" s="235">
        <f xml:space="preserve"> Tax!EQ$77</f>
        <v>0</v>
      </c>
      <c r="ER46" s="235">
        <f xml:space="preserve"> Tax!ER$77</f>
        <v>0</v>
      </c>
      <c r="ES46" s="235">
        <f xml:space="preserve"> Tax!ES$77</f>
        <v>0</v>
      </c>
      <c r="ET46" s="235">
        <f xml:space="preserve"> Tax!ET$77</f>
        <v>0</v>
      </c>
      <c r="EU46" s="235">
        <f xml:space="preserve"> Tax!EU$77</f>
        <v>0</v>
      </c>
      <c r="EV46" s="235">
        <f xml:space="preserve"> Tax!EV$77</f>
        <v>0</v>
      </c>
      <c r="EW46" s="235">
        <f xml:space="preserve"> Tax!EW$77</f>
        <v>0</v>
      </c>
      <c r="EX46" s="235">
        <f xml:space="preserve"> Tax!EX$77</f>
        <v>0</v>
      </c>
      <c r="EY46" s="235">
        <f xml:space="preserve"> Tax!EY$77</f>
        <v>0</v>
      </c>
      <c r="EZ46" s="235">
        <f xml:space="preserve"> Tax!EZ$77</f>
        <v>0</v>
      </c>
      <c r="FA46" s="235">
        <f xml:space="preserve"> Tax!FA$77</f>
        <v>0</v>
      </c>
      <c r="FB46" s="235">
        <f xml:space="preserve"> Tax!FB$77</f>
        <v>0</v>
      </c>
      <c r="FC46" s="235">
        <f xml:space="preserve"> Tax!FC$77</f>
        <v>0</v>
      </c>
      <c r="FD46" s="235">
        <f xml:space="preserve"> Tax!FD$77</f>
        <v>0</v>
      </c>
      <c r="FE46" s="235">
        <f xml:space="preserve"> Tax!FE$77</f>
        <v>0</v>
      </c>
      <c r="FF46" s="235">
        <f xml:space="preserve"> Tax!FF$77</f>
        <v>0</v>
      </c>
      <c r="FG46" s="235">
        <f xml:space="preserve"> Tax!FG$77</f>
        <v>0</v>
      </c>
      <c r="FH46" s="235">
        <f xml:space="preserve"> Tax!FH$77</f>
        <v>0</v>
      </c>
      <c r="FI46" s="235">
        <f xml:space="preserve"> Tax!FI$77</f>
        <v>0</v>
      </c>
      <c r="FJ46" s="235">
        <f xml:space="preserve"> Tax!FJ$77</f>
        <v>0</v>
      </c>
      <c r="FK46" s="235">
        <f xml:space="preserve"> Tax!FK$77</f>
        <v>0</v>
      </c>
      <c r="FL46" s="235">
        <f xml:space="preserve"> Tax!FL$77</f>
        <v>0</v>
      </c>
      <c r="FM46" s="235">
        <f xml:space="preserve"> Tax!FM$77</f>
        <v>0</v>
      </c>
      <c r="FN46" s="235">
        <f xml:space="preserve"> Tax!FN$77</f>
        <v>0</v>
      </c>
      <c r="FO46" s="235">
        <f xml:space="preserve"> Tax!FO$77</f>
        <v>0</v>
      </c>
      <c r="FP46" s="235">
        <f xml:space="preserve"> Tax!FP$77</f>
        <v>0</v>
      </c>
      <c r="FQ46" s="235">
        <f xml:space="preserve"> Tax!FQ$77</f>
        <v>0</v>
      </c>
      <c r="FR46" s="235">
        <f xml:space="preserve"> Tax!FR$77</f>
        <v>0</v>
      </c>
      <c r="FS46" s="235">
        <f xml:space="preserve"> Tax!FS$77</f>
        <v>0</v>
      </c>
      <c r="FT46" s="235">
        <f xml:space="preserve"> Tax!FT$77</f>
        <v>0</v>
      </c>
      <c r="FU46" s="235">
        <f xml:space="preserve"> Tax!FU$77</f>
        <v>0</v>
      </c>
      <c r="FV46" s="235">
        <f xml:space="preserve"> Tax!FV$77</f>
        <v>0</v>
      </c>
      <c r="FW46" s="235">
        <f xml:space="preserve"> Tax!FW$77</f>
        <v>0</v>
      </c>
      <c r="FX46" s="235">
        <f xml:space="preserve"> Tax!FX$77</f>
        <v>0</v>
      </c>
      <c r="FY46" s="235">
        <f xml:space="preserve"> Tax!FY$77</f>
        <v>0</v>
      </c>
      <c r="FZ46" s="235">
        <f xml:space="preserve"> Tax!FZ$77</f>
        <v>0</v>
      </c>
      <c r="GA46" s="235">
        <f xml:space="preserve"> Tax!GA$77</f>
        <v>0</v>
      </c>
      <c r="GB46" s="235">
        <f xml:space="preserve"> Tax!GB$77</f>
        <v>0</v>
      </c>
      <c r="GC46" s="235">
        <f xml:space="preserve"> Tax!GC$77</f>
        <v>0</v>
      </c>
      <c r="GD46" s="235">
        <f xml:space="preserve"> Tax!GD$77</f>
        <v>0</v>
      </c>
      <c r="GE46" s="235">
        <f xml:space="preserve"> Tax!GE$77</f>
        <v>0</v>
      </c>
      <c r="GF46" s="235">
        <f xml:space="preserve"> Tax!GF$77</f>
        <v>0</v>
      </c>
      <c r="GG46" s="235">
        <f xml:space="preserve"> Tax!GG$77</f>
        <v>0</v>
      </c>
      <c r="GH46" s="235">
        <f xml:space="preserve"> Tax!GH$77</f>
        <v>0</v>
      </c>
      <c r="GI46" s="235">
        <f xml:space="preserve"> Tax!GI$77</f>
        <v>0</v>
      </c>
      <c r="GJ46" s="235">
        <f xml:space="preserve"> Tax!GJ$77</f>
        <v>0</v>
      </c>
    </row>
    <row r="47" spans="1:192" outlineLevel="1" x14ac:dyDescent="0.2">
      <c r="D47" s="209"/>
      <c r="E47" s="232" t="s">
        <v>293</v>
      </c>
      <c r="F47" s="232"/>
      <c r="G47" s="232" t="str">
        <f>SMU</f>
        <v>$ 000s</v>
      </c>
      <c r="H47" s="232">
        <f xml:space="preserve"> SUM(J47:CV47)</f>
        <v>599589.31182003266</v>
      </c>
      <c r="I47" s="232"/>
      <c r="J47" s="232">
        <f t="shared" ref="J47:AO47" si="17">SUM(J41:J46)</f>
        <v>0</v>
      </c>
      <c r="K47" s="232">
        <f t="shared" si="17"/>
        <v>0</v>
      </c>
      <c r="L47" s="232">
        <f t="shared" si="17"/>
        <v>0</v>
      </c>
      <c r="M47" s="232">
        <f t="shared" si="17"/>
        <v>0</v>
      </c>
      <c r="N47" s="232">
        <f t="shared" si="17"/>
        <v>11940</v>
      </c>
      <c r="O47" s="232">
        <f t="shared" si="17"/>
        <v>17761.339089615478</v>
      </c>
      <c r="P47" s="232">
        <f t="shared" si="17"/>
        <v>15707.408907742485</v>
      </c>
      <c r="Q47" s="232">
        <f t="shared" si="17"/>
        <v>15745.355493650644</v>
      </c>
      <c r="R47" s="232">
        <f t="shared" si="17"/>
        <v>15588.868818823899</v>
      </c>
      <c r="S47" s="232">
        <f t="shared" si="17"/>
        <v>15624.695450132087</v>
      </c>
      <c r="T47" s="232">
        <f t="shared" si="17"/>
        <v>15468.805976611518</v>
      </c>
      <c r="U47" s="232">
        <f t="shared" si="17"/>
        <v>15502.475660941096</v>
      </c>
      <c r="V47" s="232">
        <f t="shared" si="17"/>
        <v>15368.238112158891</v>
      </c>
      <c r="W47" s="232">
        <f t="shared" si="17"/>
        <v>15357.612782223849</v>
      </c>
      <c r="X47" s="232">
        <f t="shared" si="17"/>
        <v>15223.981670526602</v>
      </c>
      <c r="Y47" s="232">
        <f t="shared" si="17"/>
        <v>15253.223441594726</v>
      </c>
      <c r="Z47" s="232">
        <f t="shared" si="17"/>
        <v>15099.15338854069</v>
      </c>
      <c r="AA47" s="232">
        <f t="shared" si="17"/>
        <v>15126.122633909146</v>
      </c>
      <c r="AB47" s="232">
        <f t="shared" si="17"/>
        <v>14972.668690608356</v>
      </c>
      <c r="AC47" s="232">
        <f t="shared" si="17"/>
        <v>14997.325298446642</v>
      </c>
      <c r="AD47" s="232">
        <f t="shared" si="17"/>
        <v>14864.853133923503</v>
      </c>
      <c r="AE47" s="232">
        <f t="shared" si="17"/>
        <v>14846.434846161274</v>
      </c>
      <c r="AF47" s="232">
        <f t="shared" si="17"/>
        <v>14714.588918503887</v>
      </c>
      <c r="AG47" s="232">
        <f t="shared" si="17"/>
        <v>14734.496621546412</v>
      </c>
      <c r="AH47" s="232">
        <f t="shared" si="17"/>
        <v>14582.921507009845</v>
      </c>
      <c r="AI47" s="232">
        <f t="shared" si="17"/>
        <v>14600.391254152939</v>
      </c>
      <c r="AJ47" s="232">
        <f t="shared" si="17"/>
        <v>14449.45297630897</v>
      </c>
      <c r="AK47" s="232">
        <f t="shared" si="17"/>
        <v>14464.441277785036</v>
      </c>
      <c r="AL47" s="232">
        <f t="shared" si="17"/>
        <v>14333.778560490962</v>
      </c>
      <c r="AM47" s="232">
        <f t="shared" si="17"/>
        <v>14306.974557657806</v>
      </c>
      <c r="AN47" s="232">
        <f t="shared" si="17"/>
        <v>14176.959768611989</v>
      </c>
      <c r="AO47" s="232">
        <f t="shared" si="17"/>
        <v>14186.851142225703</v>
      </c>
      <c r="AP47" s="232">
        <f t="shared" ref="AP47:BU47" si="18">SUM(AP41:AP46)</f>
        <v>14037.856776993409</v>
      </c>
      <c r="AQ47" s="232">
        <f t="shared" si="18"/>
        <v>14045.130839844553</v>
      </c>
      <c r="AR47" s="232">
        <f t="shared" si="18"/>
        <v>13896.7960059342</v>
      </c>
      <c r="AS47" s="232">
        <f t="shared" si="18"/>
        <v>13901.405610395763</v>
      </c>
      <c r="AT47" s="232">
        <f t="shared" si="18"/>
        <v>13772.600892933437</v>
      </c>
      <c r="AU47" s="232">
        <f t="shared" si="18"/>
        <v>13736.76875976386</v>
      </c>
      <c r="AV47" s="232">
        <f t="shared" si="18"/>
        <v>13608.635708810609</v>
      </c>
      <c r="AW47" s="232">
        <f t="shared" si="18"/>
        <v>13607.771090766597</v>
      </c>
      <c r="AX47" s="232">
        <f t="shared" si="18"/>
        <v>13461.451394756768</v>
      </c>
      <c r="AY47" s="232">
        <f t="shared" si="18"/>
        <v>13457.775032491649</v>
      </c>
      <c r="AZ47" s="232">
        <f t="shared" si="18"/>
        <v>13312.139691725803</v>
      </c>
      <c r="BA47" s="232">
        <f t="shared" si="18"/>
        <v>13305.600476617343</v>
      </c>
      <c r="BB47" s="232">
        <f t="shared" si="18"/>
        <v>16445.95955909419</v>
      </c>
      <c r="BC47" s="232">
        <f t="shared" si="18"/>
        <v>0</v>
      </c>
      <c r="BD47" s="232">
        <f t="shared" si="18"/>
        <v>0</v>
      </c>
      <c r="BE47" s="232">
        <f t="shared" si="18"/>
        <v>0</v>
      </c>
      <c r="BF47" s="232">
        <f t="shared" si="18"/>
        <v>0</v>
      </c>
      <c r="BG47" s="232">
        <f t="shared" si="18"/>
        <v>0</v>
      </c>
      <c r="BH47" s="232">
        <f t="shared" si="18"/>
        <v>0</v>
      </c>
      <c r="BI47" s="232">
        <f t="shared" si="18"/>
        <v>0</v>
      </c>
      <c r="BJ47" s="232">
        <f t="shared" si="18"/>
        <v>0</v>
      </c>
      <c r="BK47" s="232">
        <f t="shared" si="18"/>
        <v>0</v>
      </c>
      <c r="BL47" s="232">
        <f t="shared" si="18"/>
        <v>0</v>
      </c>
      <c r="BM47" s="232">
        <f t="shared" si="18"/>
        <v>0</v>
      </c>
      <c r="BN47" s="232">
        <f t="shared" si="18"/>
        <v>0</v>
      </c>
      <c r="BO47" s="232">
        <f t="shared" si="18"/>
        <v>0</v>
      </c>
      <c r="BP47" s="232">
        <f t="shared" si="18"/>
        <v>0</v>
      </c>
      <c r="BQ47" s="232">
        <f t="shared" si="18"/>
        <v>0</v>
      </c>
      <c r="BR47" s="232">
        <f t="shared" si="18"/>
        <v>0</v>
      </c>
      <c r="BS47" s="232">
        <f t="shared" si="18"/>
        <v>0</v>
      </c>
      <c r="BT47" s="232">
        <f t="shared" si="18"/>
        <v>0</v>
      </c>
      <c r="BU47" s="232">
        <f t="shared" si="18"/>
        <v>0</v>
      </c>
      <c r="BV47" s="232">
        <f t="shared" ref="BV47:CV47" si="19">SUM(BV41:BV46)</f>
        <v>0</v>
      </c>
      <c r="BW47" s="232">
        <f t="shared" si="19"/>
        <v>0</v>
      </c>
      <c r="BX47" s="232">
        <f t="shared" si="19"/>
        <v>0</v>
      </c>
      <c r="BY47" s="232">
        <f t="shared" si="19"/>
        <v>0</v>
      </c>
      <c r="BZ47" s="232">
        <f t="shared" si="19"/>
        <v>0</v>
      </c>
      <c r="CA47" s="232">
        <f t="shared" si="19"/>
        <v>0</v>
      </c>
      <c r="CB47" s="232">
        <f t="shared" si="19"/>
        <v>0</v>
      </c>
      <c r="CC47" s="232">
        <f t="shared" si="19"/>
        <v>0</v>
      </c>
      <c r="CD47" s="232">
        <f t="shared" si="19"/>
        <v>0</v>
      </c>
      <c r="CE47" s="232">
        <f t="shared" si="19"/>
        <v>0</v>
      </c>
      <c r="CF47" s="232">
        <f t="shared" si="19"/>
        <v>0</v>
      </c>
      <c r="CG47" s="232">
        <f t="shared" si="19"/>
        <v>0</v>
      </c>
      <c r="CH47" s="232">
        <f t="shared" si="19"/>
        <v>0</v>
      </c>
      <c r="CI47" s="232">
        <f t="shared" si="19"/>
        <v>0</v>
      </c>
      <c r="CJ47" s="232">
        <f t="shared" si="19"/>
        <v>0</v>
      </c>
      <c r="CK47" s="232">
        <f t="shared" si="19"/>
        <v>0</v>
      </c>
      <c r="CL47" s="232">
        <f t="shared" si="19"/>
        <v>0</v>
      </c>
      <c r="CM47" s="232">
        <f t="shared" si="19"/>
        <v>0</v>
      </c>
      <c r="CN47" s="232">
        <f t="shared" si="19"/>
        <v>0</v>
      </c>
      <c r="CO47" s="232">
        <f t="shared" si="19"/>
        <v>0</v>
      </c>
      <c r="CP47" s="232">
        <f t="shared" si="19"/>
        <v>0</v>
      </c>
      <c r="CQ47" s="232">
        <f t="shared" si="19"/>
        <v>0</v>
      </c>
      <c r="CR47" s="232">
        <f t="shared" si="19"/>
        <v>0</v>
      </c>
      <c r="CS47" s="232">
        <f t="shared" si="19"/>
        <v>0</v>
      </c>
      <c r="CT47" s="232">
        <f t="shared" si="19"/>
        <v>0</v>
      </c>
      <c r="CU47" s="232">
        <f t="shared" si="19"/>
        <v>0</v>
      </c>
      <c r="CV47" s="232">
        <f t="shared" si="19"/>
        <v>0</v>
      </c>
    </row>
    <row r="48" spans="1:192" outlineLevel="1" x14ac:dyDescent="0.2">
      <c r="D48" s="209"/>
      <c r="E48" s="235"/>
      <c r="F48" s="235"/>
      <c r="G48" s="235"/>
      <c r="H48" s="235"/>
      <c r="I48" s="235"/>
      <c r="J48" s="235"/>
      <c r="K48" s="235"/>
      <c r="L48" s="235"/>
      <c r="M48" s="235"/>
      <c r="N48" s="235"/>
      <c r="O48" s="235"/>
      <c r="P48" s="235"/>
      <c r="Q48" s="235"/>
      <c r="R48" s="235"/>
      <c r="S48" s="235"/>
      <c r="T48" s="235"/>
      <c r="U48" s="235"/>
      <c r="V48" s="235"/>
      <c r="W48" s="235"/>
      <c r="X48" s="235"/>
      <c r="Y48" s="235"/>
      <c r="Z48" s="235"/>
      <c r="AA48" s="235"/>
      <c r="AB48" s="235"/>
      <c r="AC48" s="235"/>
      <c r="AD48" s="235"/>
      <c r="AE48" s="235"/>
      <c r="AF48" s="235"/>
      <c r="AG48" s="235"/>
      <c r="AH48" s="235"/>
      <c r="AI48" s="235"/>
      <c r="AJ48" s="235"/>
      <c r="AK48" s="235"/>
      <c r="AL48" s="235"/>
      <c r="AM48" s="235"/>
      <c r="AN48" s="235"/>
      <c r="AO48" s="235"/>
      <c r="AP48" s="235"/>
      <c r="AQ48" s="235"/>
      <c r="AR48" s="235"/>
      <c r="AS48" s="235"/>
      <c r="AT48" s="235"/>
      <c r="AU48" s="235"/>
      <c r="AV48" s="235"/>
      <c r="AW48" s="235"/>
      <c r="AX48" s="235"/>
      <c r="AY48" s="235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  <c r="BJ48" s="235"/>
      <c r="BK48" s="235"/>
      <c r="BL48" s="235"/>
      <c r="BM48" s="235"/>
      <c r="BN48" s="235"/>
      <c r="BO48" s="235"/>
      <c r="BP48" s="235"/>
      <c r="BQ48" s="235"/>
      <c r="BR48" s="235"/>
      <c r="BS48" s="235"/>
      <c r="BT48" s="235"/>
      <c r="BU48" s="235"/>
      <c r="BV48" s="235"/>
      <c r="BW48" s="235"/>
      <c r="BX48" s="235"/>
      <c r="BY48" s="235"/>
      <c r="BZ48" s="235"/>
      <c r="CA48" s="235"/>
      <c r="CB48" s="235"/>
      <c r="CC48" s="235"/>
      <c r="CD48" s="235"/>
      <c r="CE48" s="235"/>
      <c r="CF48" s="235"/>
      <c r="CG48" s="235"/>
      <c r="CH48" s="235"/>
      <c r="CI48" s="235"/>
      <c r="CJ48" s="235"/>
      <c r="CK48" s="235"/>
      <c r="CL48" s="235"/>
      <c r="CM48" s="235"/>
      <c r="CN48" s="235"/>
      <c r="CO48" s="235"/>
      <c r="CP48" s="235"/>
      <c r="CQ48" s="235"/>
      <c r="CR48" s="235"/>
      <c r="CS48" s="235"/>
      <c r="CT48" s="235"/>
      <c r="CU48" s="235"/>
      <c r="CV48" s="235"/>
    </row>
    <row r="49" spans="1:100" outlineLevel="1" x14ac:dyDescent="0.2">
      <c r="D49" s="209"/>
      <c r="E49" s="235" t="str">
        <f xml:space="preserve"> ConCost!E$237</f>
        <v>Construction costs</v>
      </c>
      <c r="F49" s="235">
        <f xml:space="preserve"> ConCost!F$237</f>
        <v>0</v>
      </c>
      <c r="G49" s="235" t="str">
        <f xml:space="preserve"> ConCost!G$237</f>
        <v>$ 000s</v>
      </c>
      <c r="H49" s="235">
        <f xml:space="preserve"> ConCost!H$237</f>
        <v>-309322.30772000004</v>
      </c>
      <c r="I49" s="235">
        <f xml:space="preserve"> ConCost!I$237</f>
        <v>0</v>
      </c>
      <c r="J49" s="235">
        <f xml:space="preserve"> ConCost!J$237</f>
        <v>-31455.562132307692</v>
      </c>
      <c r="K49" s="235">
        <f xml:space="preserve"> ConCost!K$237</f>
        <v>-69466.686396923076</v>
      </c>
      <c r="L49" s="235">
        <f xml:space="preserve"> ConCost!L$237</f>
        <v>-69466.686396923076</v>
      </c>
      <c r="M49" s="235">
        <f xml:space="preserve"> ConCost!M$237</f>
        <v>-69466.686396923076</v>
      </c>
      <c r="N49" s="235">
        <f xml:space="preserve"> ConCost!N$237</f>
        <v>-69466.686396923076</v>
      </c>
      <c r="O49" s="235">
        <f xml:space="preserve"> ConCost!O$237</f>
        <v>0</v>
      </c>
      <c r="P49" s="235">
        <f xml:space="preserve"> ConCost!P$237</f>
        <v>0</v>
      </c>
      <c r="Q49" s="235">
        <f xml:space="preserve"> ConCost!Q$237</f>
        <v>0</v>
      </c>
      <c r="R49" s="235">
        <f xml:space="preserve"> ConCost!R$237</f>
        <v>0</v>
      </c>
      <c r="S49" s="235">
        <f xml:space="preserve"> ConCost!S$237</f>
        <v>0</v>
      </c>
      <c r="T49" s="235">
        <f xml:space="preserve"> ConCost!T$237</f>
        <v>0</v>
      </c>
      <c r="U49" s="235">
        <f xml:space="preserve"> ConCost!U$237</f>
        <v>0</v>
      </c>
      <c r="V49" s="235">
        <f xml:space="preserve"> ConCost!V$237</f>
        <v>0</v>
      </c>
      <c r="W49" s="235">
        <f xml:space="preserve"> ConCost!W$237</f>
        <v>0</v>
      </c>
      <c r="X49" s="235">
        <f xml:space="preserve"> ConCost!X$237</f>
        <v>0</v>
      </c>
      <c r="Y49" s="235">
        <f xml:space="preserve"> ConCost!Y$237</f>
        <v>0</v>
      </c>
      <c r="Z49" s="235">
        <f xml:space="preserve"> ConCost!Z$237</f>
        <v>0</v>
      </c>
      <c r="AA49" s="235">
        <f xml:space="preserve"> ConCost!AA$237</f>
        <v>0</v>
      </c>
      <c r="AB49" s="235">
        <f xml:space="preserve"> ConCost!AB$237</f>
        <v>0</v>
      </c>
      <c r="AC49" s="235">
        <f xml:space="preserve"> ConCost!AC$237</f>
        <v>0</v>
      </c>
      <c r="AD49" s="235">
        <f xml:space="preserve"> ConCost!AD$237</f>
        <v>0</v>
      </c>
      <c r="AE49" s="235">
        <f xml:space="preserve"> ConCost!AE$237</f>
        <v>0</v>
      </c>
      <c r="AF49" s="235">
        <f xml:space="preserve"> ConCost!AF$237</f>
        <v>0</v>
      </c>
      <c r="AG49" s="235">
        <f xml:space="preserve"> ConCost!AG$237</f>
        <v>0</v>
      </c>
      <c r="AH49" s="235">
        <f xml:space="preserve"> ConCost!AH$237</f>
        <v>0</v>
      </c>
      <c r="AI49" s="235">
        <f xml:space="preserve"> ConCost!AI$237</f>
        <v>0</v>
      </c>
      <c r="AJ49" s="235">
        <f xml:space="preserve"> ConCost!AJ$237</f>
        <v>0</v>
      </c>
      <c r="AK49" s="235">
        <f xml:space="preserve"> ConCost!AK$237</f>
        <v>0</v>
      </c>
      <c r="AL49" s="235">
        <f xml:space="preserve"> ConCost!AL$237</f>
        <v>0</v>
      </c>
      <c r="AM49" s="235">
        <f xml:space="preserve"> ConCost!AM$237</f>
        <v>0</v>
      </c>
      <c r="AN49" s="235">
        <f xml:space="preserve"> ConCost!AN$237</f>
        <v>0</v>
      </c>
      <c r="AO49" s="235">
        <f xml:space="preserve"> ConCost!AO$237</f>
        <v>0</v>
      </c>
      <c r="AP49" s="235">
        <f xml:space="preserve"> ConCost!AP$237</f>
        <v>0</v>
      </c>
      <c r="AQ49" s="235">
        <f xml:space="preserve"> ConCost!AQ$237</f>
        <v>0</v>
      </c>
      <c r="AR49" s="235">
        <f xml:space="preserve"> ConCost!AR$237</f>
        <v>0</v>
      </c>
      <c r="AS49" s="235">
        <f xml:space="preserve"> ConCost!AS$237</f>
        <v>0</v>
      </c>
      <c r="AT49" s="235">
        <f xml:space="preserve"> ConCost!AT$237</f>
        <v>0</v>
      </c>
      <c r="AU49" s="235">
        <f xml:space="preserve"> ConCost!AU$237</f>
        <v>0</v>
      </c>
      <c r="AV49" s="235">
        <f xml:space="preserve"> ConCost!AV$237</f>
        <v>0</v>
      </c>
      <c r="AW49" s="235">
        <f xml:space="preserve"> ConCost!AW$237</f>
        <v>0</v>
      </c>
      <c r="AX49" s="235">
        <f xml:space="preserve"> ConCost!AX$237</f>
        <v>0</v>
      </c>
      <c r="AY49" s="235">
        <f xml:space="preserve"> ConCost!AY$237</f>
        <v>0</v>
      </c>
      <c r="AZ49" s="235">
        <f xml:space="preserve"> ConCost!AZ$237</f>
        <v>0</v>
      </c>
      <c r="BA49" s="235">
        <f xml:space="preserve"> ConCost!BA$237</f>
        <v>0</v>
      </c>
      <c r="BB49" s="235">
        <f xml:space="preserve"> ConCost!BB$237</f>
        <v>0</v>
      </c>
      <c r="BC49" s="235">
        <f xml:space="preserve"> ConCost!BC$237</f>
        <v>0</v>
      </c>
      <c r="BD49" s="235">
        <f xml:space="preserve"> ConCost!BD$237</f>
        <v>0</v>
      </c>
      <c r="BE49" s="235">
        <f xml:space="preserve"> ConCost!BE$237</f>
        <v>0</v>
      </c>
      <c r="BF49" s="235">
        <f xml:space="preserve"> ConCost!BF$237</f>
        <v>0</v>
      </c>
      <c r="BG49" s="235">
        <f xml:space="preserve"> ConCost!BG$237</f>
        <v>0</v>
      </c>
      <c r="BH49" s="235">
        <f xml:space="preserve"> ConCost!BH$237</f>
        <v>0</v>
      </c>
      <c r="BI49" s="235">
        <f xml:space="preserve"> ConCost!BI$237</f>
        <v>0</v>
      </c>
      <c r="BJ49" s="235">
        <f xml:space="preserve"> ConCost!BJ$237</f>
        <v>0</v>
      </c>
      <c r="BK49" s="235">
        <f xml:space="preserve"> ConCost!BK$237</f>
        <v>0</v>
      </c>
      <c r="BL49" s="235">
        <f xml:space="preserve"> ConCost!BL$237</f>
        <v>0</v>
      </c>
      <c r="BM49" s="235">
        <f xml:space="preserve"> ConCost!BM$237</f>
        <v>0</v>
      </c>
      <c r="BN49" s="235">
        <f xml:space="preserve"> ConCost!BN$237</f>
        <v>0</v>
      </c>
      <c r="BO49" s="235">
        <f xml:space="preserve"> ConCost!BO$237</f>
        <v>0</v>
      </c>
      <c r="BP49" s="235">
        <f xml:space="preserve"> ConCost!BP$237</f>
        <v>0</v>
      </c>
      <c r="BQ49" s="235">
        <f xml:space="preserve"> ConCost!BQ$237</f>
        <v>0</v>
      </c>
      <c r="BR49" s="235">
        <f xml:space="preserve"> ConCost!BR$237</f>
        <v>0</v>
      </c>
      <c r="BS49" s="235">
        <f xml:space="preserve"> ConCost!BS$237</f>
        <v>0</v>
      </c>
      <c r="BT49" s="235">
        <f xml:space="preserve"> ConCost!BT$237</f>
        <v>0</v>
      </c>
      <c r="BU49" s="235">
        <f xml:space="preserve"> ConCost!BU$237</f>
        <v>0</v>
      </c>
      <c r="BV49" s="235">
        <f xml:space="preserve"> ConCost!BV$237</f>
        <v>0</v>
      </c>
      <c r="BW49" s="235">
        <f xml:space="preserve"> ConCost!BW$237</f>
        <v>0</v>
      </c>
      <c r="BX49" s="235">
        <f xml:space="preserve"> ConCost!BX$237</f>
        <v>0</v>
      </c>
      <c r="BY49" s="235">
        <f xml:space="preserve"> ConCost!BY$237</f>
        <v>0</v>
      </c>
      <c r="BZ49" s="235">
        <f xml:space="preserve"> ConCost!BZ$237</f>
        <v>0</v>
      </c>
      <c r="CA49" s="235">
        <f xml:space="preserve"> ConCost!CA$237</f>
        <v>0</v>
      </c>
      <c r="CB49" s="235">
        <f xml:space="preserve"> ConCost!CB$237</f>
        <v>0</v>
      </c>
      <c r="CC49" s="235">
        <f xml:space="preserve"> ConCost!CC$237</f>
        <v>0</v>
      </c>
      <c r="CD49" s="235">
        <f xml:space="preserve"> ConCost!CD$237</f>
        <v>0</v>
      </c>
      <c r="CE49" s="235">
        <f xml:space="preserve"> ConCost!CE$237</f>
        <v>0</v>
      </c>
      <c r="CF49" s="235">
        <f xml:space="preserve"> ConCost!CF$237</f>
        <v>0</v>
      </c>
      <c r="CG49" s="235">
        <f xml:space="preserve"> ConCost!CG$237</f>
        <v>0</v>
      </c>
      <c r="CH49" s="235">
        <f xml:space="preserve"> ConCost!CH$237</f>
        <v>0</v>
      </c>
      <c r="CI49" s="235">
        <f xml:space="preserve"> ConCost!CI$237</f>
        <v>0</v>
      </c>
      <c r="CJ49" s="235">
        <f xml:space="preserve"> ConCost!CJ$237</f>
        <v>0</v>
      </c>
      <c r="CK49" s="235">
        <f xml:space="preserve"> ConCost!CK$237</f>
        <v>0</v>
      </c>
      <c r="CL49" s="235">
        <f xml:space="preserve"> ConCost!CL$237</f>
        <v>0</v>
      </c>
      <c r="CM49" s="235">
        <f xml:space="preserve"> ConCost!CM$237</f>
        <v>0</v>
      </c>
      <c r="CN49" s="235">
        <f xml:space="preserve"> ConCost!CN$237</f>
        <v>0</v>
      </c>
      <c r="CO49" s="235">
        <f xml:space="preserve"> ConCost!CO$237</f>
        <v>0</v>
      </c>
      <c r="CP49" s="235">
        <f xml:space="preserve"> ConCost!CP$237</f>
        <v>0</v>
      </c>
      <c r="CQ49" s="235">
        <f xml:space="preserve"> ConCost!CQ$237</f>
        <v>0</v>
      </c>
      <c r="CR49" s="235">
        <f xml:space="preserve"> ConCost!CR$237</f>
        <v>0</v>
      </c>
      <c r="CS49" s="235">
        <f xml:space="preserve"> ConCost!CS$237</f>
        <v>0</v>
      </c>
      <c r="CT49" s="235">
        <f xml:space="preserve"> ConCost!CT$237</f>
        <v>0</v>
      </c>
      <c r="CU49" s="235">
        <f xml:space="preserve"> ConCost!CU$237</f>
        <v>0</v>
      </c>
      <c r="CV49" s="235">
        <f xml:space="preserve"> ConCost!CV$237</f>
        <v>0</v>
      </c>
    </row>
    <row r="50" spans="1:100" outlineLevel="1" x14ac:dyDescent="0.2">
      <c r="D50" s="209"/>
      <c r="E50" s="235" t="str">
        <f xml:space="preserve"> ConFin!E$611</f>
        <v>Financing fees</v>
      </c>
      <c r="F50" s="235">
        <f xml:space="preserve"> ConFin!F$611</f>
        <v>0</v>
      </c>
      <c r="G50" s="235" t="str">
        <f xml:space="preserve"> ConFin!G$611</f>
        <v>$ 000s</v>
      </c>
      <c r="H50" s="235">
        <f xml:space="preserve"> ConFin!H$611</f>
        <v>-24335.550022039701</v>
      </c>
      <c r="I50" s="235">
        <f xml:space="preserve"> ConFin!I$611</f>
        <v>0</v>
      </c>
      <c r="J50" s="235">
        <f xml:space="preserve"> ConFin!J$611</f>
        <v>-7199.4501905899378</v>
      </c>
      <c r="K50" s="235">
        <f xml:space="preserve"> ConFin!K$611</f>
        <v>-2465.058188343467</v>
      </c>
      <c r="L50" s="235">
        <f xml:space="preserve"> ConFin!L$611</f>
        <v>-3646.9820080425716</v>
      </c>
      <c r="M50" s="235">
        <f xml:space="preserve"> ConFin!M$611</f>
        <v>-4947.2012865003635</v>
      </c>
      <c r="N50" s="235">
        <f xml:space="preserve"> ConFin!N$611</f>
        <v>-6076.858348563359</v>
      </c>
      <c r="O50" s="235">
        <f xml:space="preserve"> ConFin!O$611</f>
        <v>0</v>
      </c>
      <c r="P50" s="235">
        <f xml:space="preserve"> ConFin!P$611</f>
        <v>0</v>
      </c>
      <c r="Q50" s="235">
        <f xml:space="preserve"> ConFin!Q$611</f>
        <v>0</v>
      </c>
      <c r="R50" s="235">
        <f xml:space="preserve"> ConFin!R$611</f>
        <v>0</v>
      </c>
      <c r="S50" s="235">
        <f xml:space="preserve"> ConFin!S$611</f>
        <v>0</v>
      </c>
      <c r="T50" s="235">
        <f xml:space="preserve"> ConFin!T$611</f>
        <v>0</v>
      </c>
      <c r="U50" s="235">
        <f xml:space="preserve"> ConFin!U$611</f>
        <v>0</v>
      </c>
      <c r="V50" s="235">
        <f xml:space="preserve"> ConFin!V$611</f>
        <v>0</v>
      </c>
      <c r="W50" s="235">
        <f xml:space="preserve"> ConFin!W$611</f>
        <v>0</v>
      </c>
      <c r="X50" s="235">
        <f xml:space="preserve"> ConFin!X$611</f>
        <v>0</v>
      </c>
      <c r="Y50" s="235">
        <f xml:space="preserve"> ConFin!Y$611</f>
        <v>0</v>
      </c>
      <c r="Z50" s="235">
        <f xml:space="preserve"> ConFin!Z$611</f>
        <v>0</v>
      </c>
      <c r="AA50" s="235">
        <f xml:space="preserve"> ConFin!AA$611</f>
        <v>0</v>
      </c>
      <c r="AB50" s="235">
        <f xml:space="preserve"> ConFin!AB$611</f>
        <v>0</v>
      </c>
      <c r="AC50" s="235">
        <f xml:space="preserve"> ConFin!AC$611</f>
        <v>0</v>
      </c>
      <c r="AD50" s="235">
        <f xml:space="preserve"> ConFin!AD$611</f>
        <v>0</v>
      </c>
      <c r="AE50" s="235">
        <f xml:space="preserve"> ConFin!AE$611</f>
        <v>0</v>
      </c>
      <c r="AF50" s="235">
        <f xml:space="preserve"> ConFin!AF$611</f>
        <v>0</v>
      </c>
      <c r="AG50" s="235">
        <f xml:space="preserve"> ConFin!AG$611</f>
        <v>0</v>
      </c>
      <c r="AH50" s="235">
        <f xml:space="preserve"> ConFin!AH$611</f>
        <v>0</v>
      </c>
      <c r="AI50" s="235">
        <f xml:space="preserve"> ConFin!AI$611</f>
        <v>0</v>
      </c>
      <c r="AJ50" s="235">
        <f xml:space="preserve"> ConFin!AJ$611</f>
        <v>0</v>
      </c>
      <c r="AK50" s="235">
        <f xml:space="preserve"> ConFin!AK$611</f>
        <v>0</v>
      </c>
      <c r="AL50" s="235">
        <f xml:space="preserve"> ConFin!AL$611</f>
        <v>0</v>
      </c>
      <c r="AM50" s="235">
        <f xml:space="preserve"> ConFin!AM$611</f>
        <v>0</v>
      </c>
      <c r="AN50" s="235">
        <f xml:space="preserve"> ConFin!AN$611</f>
        <v>0</v>
      </c>
      <c r="AO50" s="235">
        <f xml:space="preserve"> ConFin!AO$611</f>
        <v>0</v>
      </c>
      <c r="AP50" s="235">
        <f xml:space="preserve"> ConFin!AP$611</f>
        <v>0</v>
      </c>
      <c r="AQ50" s="235">
        <f xml:space="preserve"> ConFin!AQ$611</f>
        <v>0</v>
      </c>
      <c r="AR50" s="235">
        <f xml:space="preserve"> ConFin!AR$611</f>
        <v>0</v>
      </c>
      <c r="AS50" s="235">
        <f xml:space="preserve"> ConFin!AS$611</f>
        <v>0</v>
      </c>
      <c r="AT50" s="235">
        <f xml:space="preserve"> ConFin!AT$611</f>
        <v>0</v>
      </c>
      <c r="AU50" s="235">
        <f xml:space="preserve"> ConFin!AU$611</f>
        <v>0</v>
      </c>
      <c r="AV50" s="235">
        <f xml:space="preserve"> ConFin!AV$611</f>
        <v>0</v>
      </c>
      <c r="AW50" s="235">
        <f xml:space="preserve"> ConFin!AW$611</f>
        <v>0</v>
      </c>
      <c r="AX50" s="235">
        <f xml:space="preserve"> ConFin!AX$611</f>
        <v>0</v>
      </c>
      <c r="AY50" s="235">
        <f xml:space="preserve"> ConFin!AY$611</f>
        <v>0</v>
      </c>
      <c r="AZ50" s="235">
        <f xml:space="preserve"> ConFin!AZ$611</f>
        <v>0</v>
      </c>
      <c r="BA50" s="235">
        <f xml:space="preserve"> ConFin!BA$611</f>
        <v>0</v>
      </c>
      <c r="BB50" s="235">
        <f xml:space="preserve"> ConFin!BB$611</f>
        <v>0</v>
      </c>
      <c r="BC50" s="235">
        <f xml:space="preserve"> ConFin!BC$611</f>
        <v>0</v>
      </c>
      <c r="BD50" s="235">
        <f xml:space="preserve"> ConFin!BD$611</f>
        <v>0</v>
      </c>
      <c r="BE50" s="235">
        <f xml:space="preserve"> ConFin!BE$611</f>
        <v>0</v>
      </c>
      <c r="BF50" s="235">
        <f xml:space="preserve"> ConFin!BF$611</f>
        <v>0</v>
      </c>
      <c r="BG50" s="235">
        <f xml:space="preserve"> ConFin!BG$611</f>
        <v>0</v>
      </c>
      <c r="BH50" s="235">
        <f xml:space="preserve"> ConFin!BH$611</f>
        <v>0</v>
      </c>
      <c r="BI50" s="235">
        <f xml:space="preserve"> ConFin!BI$611</f>
        <v>0</v>
      </c>
      <c r="BJ50" s="235">
        <f xml:space="preserve"> ConFin!BJ$611</f>
        <v>0</v>
      </c>
      <c r="BK50" s="235">
        <f xml:space="preserve"> ConFin!BK$611</f>
        <v>0</v>
      </c>
      <c r="BL50" s="235">
        <f xml:space="preserve"> ConFin!BL$611</f>
        <v>0</v>
      </c>
      <c r="BM50" s="235">
        <f xml:space="preserve"> ConFin!BM$611</f>
        <v>0</v>
      </c>
      <c r="BN50" s="235">
        <f xml:space="preserve"> ConFin!BN$611</f>
        <v>0</v>
      </c>
      <c r="BO50" s="235">
        <f xml:space="preserve"> ConFin!BO$611</f>
        <v>0</v>
      </c>
      <c r="BP50" s="235">
        <f xml:space="preserve"> ConFin!BP$611</f>
        <v>0</v>
      </c>
      <c r="BQ50" s="235">
        <f xml:space="preserve"> ConFin!BQ$611</f>
        <v>0</v>
      </c>
      <c r="BR50" s="235">
        <f xml:space="preserve"> ConFin!BR$611</f>
        <v>0</v>
      </c>
      <c r="BS50" s="235">
        <f xml:space="preserve"> ConFin!BS$611</f>
        <v>0</v>
      </c>
      <c r="BT50" s="235">
        <f xml:space="preserve"> ConFin!BT$611</f>
        <v>0</v>
      </c>
      <c r="BU50" s="235">
        <f xml:space="preserve"> ConFin!BU$611</f>
        <v>0</v>
      </c>
      <c r="BV50" s="235">
        <f xml:space="preserve"> ConFin!BV$611</f>
        <v>0</v>
      </c>
      <c r="BW50" s="235">
        <f xml:space="preserve"> ConFin!BW$611</f>
        <v>0</v>
      </c>
      <c r="BX50" s="235">
        <f xml:space="preserve"> ConFin!BX$611</f>
        <v>0</v>
      </c>
      <c r="BY50" s="235">
        <f xml:space="preserve"> ConFin!BY$611</f>
        <v>0</v>
      </c>
      <c r="BZ50" s="235">
        <f xml:space="preserve"> ConFin!BZ$611</f>
        <v>0</v>
      </c>
      <c r="CA50" s="235">
        <f xml:space="preserve"> ConFin!CA$611</f>
        <v>0</v>
      </c>
      <c r="CB50" s="235">
        <f xml:space="preserve"> ConFin!CB$611</f>
        <v>0</v>
      </c>
      <c r="CC50" s="235">
        <f xml:space="preserve"> ConFin!CC$611</f>
        <v>0</v>
      </c>
      <c r="CD50" s="235">
        <f xml:space="preserve"> ConFin!CD$611</f>
        <v>0</v>
      </c>
      <c r="CE50" s="235">
        <f xml:space="preserve"> ConFin!CE$611</f>
        <v>0</v>
      </c>
      <c r="CF50" s="235">
        <f xml:space="preserve"> ConFin!CF$611</f>
        <v>0</v>
      </c>
      <c r="CG50" s="235">
        <f xml:space="preserve"> ConFin!CG$611</f>
        <v>0</v>
      </c>
      <c r="CH50" s="235">
        <f xml:space="preserve"> ConFin!CH$611</f>
        <v>0</v>
      </c>
      <c r="CI50" s="235">
        <f xml:space="preserve"> ConFin!CI$611</f>
        <v>0</v>
      </c>
      <c r="CJ50" s="235">
        <f xml:space="preserve"> ConFin!CJ$611</f>
        <v>0</v>
      </c>
      <c r="CK50" s="235">
        <f xml:space="preserve"> ConFin!CK$611</f>
        <v>0</v>
      </c>
      <c r="CL50" s="235">
        <f xml:space="preserve"> ConFin!CL$611</f>
        <v>0</v>
      </c>
      <c r="CM50" s="235">
        <f xml:space="preserve"> ConFin!CM$611</f>
        <v>0</v>
      </c>
      <c r="CN50" s="235">
        <f xml:space="preserve"> ConFin!CN$611</f>
        <v>0</v>
      </c>
      <c r="CO50" s="235">
        <f xml:space="preserve"> ConFin!CO$611</f>
        <v>0</v>
      </c>
      <c r="CP50" s="235">
        <f xml:space="preserve"> ConFin!CP$611</f>
        <v>0</v>
      </c>
      <c r="CQ50" s="235">
        <f xml:space="preserve"> ConFin!CQ$611</f>
        <v>0</v>
      </c>
      <c r="CR50" s="235">
        <f xml:space="preserve"> ConFin!CR$611</f>
        <v>0</v>
      </c>
      <c r="CS50" s="235">
        <f xml:space="preserve"> ConFin!CS$611</f>
        <v>0</v>
      </c>
      <c r="CT50" s="235">
        <f xml:space="preserve"> ConFin!CT$611</f>
        <v>0</v>
      </c>
      <c r="CU50" s="235">
        <f xml:space="preserve"> ConFin!CU$611</f>
        <v>0</v>
      </c>
      <c r="CV50" s="235">
        <f xml:space="preserve"> ConFin!CV$611</f>
        <v>0</v>
      </c>
    </row>
    <row r="51" spans="1:100" outlineLevel="1" x14ac:dyDescent="0.2">
      <c r="D51" s="209"/>
      <c r="E51" s="235" t="str">
        <f xml:space="preserve"> ConCost!E$243</f>
        <v>Pre-funding of working capital</v>
      </c>
      <c r="F51" s="235">
        <f xml:space="preserve"> ConCost!F$243</f>
        <v>0</v>
      </c>
      <c r="G51" s="235" t="str">
        <f xml:space="preserve"> ConCost!G$243</f>
        <v>$ 000s</v>
      </c>
      <c r="H51" s="235">
        <f xml:space="preserve"> ConCost!H$243</f>
        <v>-3857.1209730037863</v>
      </c>
      <c r="I51" s="235">
        <f xml:space="preserve"> ConCost!I$243</f>
        <v>0</v>
      </c>
      <c r="J51" s="235">
        <f xml:space="preserve"> ConCost!J$243</f>
        <v>0</v>
      </c>
      <c r="K51" s="235">
        <f xml:space="preserve"> ConCost!K$243</f>
        <v>0</v>
      </c>
      <c r="L51" s="235">
        <f xml:space="preserve"> ConCost!L$243</f>
        <v>0</v>
      </c>
      <c r="M51" s="235">
        <f xml:space="preserve"> ConCost!M$243</f>
        <v>0</v>
      </c>
      <c r="N51" s="235">
        <f xml:space="preserve"> ConCost!N$243</f>
        <v>-3857.1209730037863</v>
      </c>
      <c r="O51" s="235">
        <f xml:space="preserve"> ConCost!O$243</f>
        <v>0</v>
      </c>
      <c r="P51" s="235">
        <f xml:space="preserve"> ConCost!P$243</f>
        <v>0</v>
      </c>
      <c r="Q51" s="235">
        <f xml:space="preserve"> ConCost!Q$243</f>
        <v>0</v>
      </c>
      <c r="R51" s="235">
        <f xml:space="preserve"> ConCost!R$243</f>
        <v>0</v>
      </c>
      <c r="S51" s="235">
        <f xml:space="preserve"> ConCost!S$243</f>
        <v>0</v>
      </c>
      <c r="T51" s="235">
        <f xml:space="preserve"> ConCost!T$243</f>
        <v>0</v>
      </c>
      <c r="U51" s="235">
        <f xml:space="preserve"> ConCost!U$243</f>
        <v>0</v>
      </c>
      <c r="V51" s="235">
        <f xml:space="preserve"> ConCost!V$243</f>
        <v>0</v>
      </c>
      <c r="W51" s="235">
        <f xml:space="preserve"> ConCost!W$243</f>
        <v>0</v>
      </c>
      <c r="X51" s="235">
        <f xml:space="preserve"> ConCost!X$243</f>
        <v>0</v>
      </c>
      <c r="Y51" s="235">
        <f xml:space="preserve"> ConCost!Y$243</f>
        <v>0</v>
      </c>
      <c r="Z51" s="235">
        <f xml:space="preserve"> ConCost!Z$243</f>
        <v>0</v>
      </c>
      <c r="AA51" s="235">
        <f xml:space="preserve"> ConCost!AA$243</f>
        <v>0</v>
      </c>
      <c r="AB51" s="235">
        <f xml:space="preserve"> ConCost!AB$243</f>
        <v>0</v>
      </c>
      <c r="AC51" s="235">
        <f xml:space="preserve"> ConCost!AC$243</f>
        <v>0</v>
      </c>
      <c r="AD51" s="235">
        <f xml:space="preserve"> ConCost!AD$243</f>
        <v>0</v>
      </c>
      <c r="AE51" s="235">
        <f xml:space="preserve"> ConCost!AE$243</f>
        <v>0</v>
      </c>
      <c r="AF51" s="235">
        <f xml:space="preserve"> ConCost!AF$243</f>
        <v>0</v>
      </c>
      <c r="AG51" s="235">
        <f xml:space="preserve"> ConCost!AG$243</f>
        <v>0</v>
      </c>
      <c r="AH51" s="235">
        <f xml:space="preserve"> ConCost!AH$243</f>
        <v>0</v>
      </c>
      <c r="AI51" s="235">
        <f xml:space="preserve"> ConCost!AI$243</f>
        <v>0</v>
      </c>
      <c r="AJ51" s="235">
        <f xml:space="preserve"> ConCost!AJ$243</f>
        <v>0</v>
      </c>
      <c r="AK51" s="235">
        <f xml:space="preserve"> ConCost!AK$243</f>
        <v>0</v>
      </c>
      <c r="AL51" s="235">
        <f xml:space="preserve"> ConCost!AL$243</f>
        <v>0</v>
      </c>
      <c r="AM51" s="235">
        <f xml:space="preserve"> ConCost!AM$243</f>
        <v>0</v>
      </c>
      <c r="AN51" s="235">
        <f xml:space="preserve"> ConCost!AN$243</f>
        <v>0</v>
      </c>
      <c r="AO51" s="235">
        <f xml:space="preserve"> ConCost!AO$243</f>
        <v>0</v>
      </c>
      <c r="AP51" s="235">
        <f xml:space="preserve"> ConCost!AP$243</f>
        <v>0</v>
      </c>
      <c r="AQ51" s="235">
        <f xml:space="preserve"> ConCost!AQ$243</f>
        <v>0</v>
      </c>
      <c r="AR51" s="235">
        <f xml:space="preserve"> ConCost!AR$243</f>
        <v>0</v>
      </c>
      <c r="AS51" s="235">
        <f xml:space="preserve"> ConCost!AS$243</f>
        <v>0</v>
      </c>
      <c r="AT51" s="235">
        <f xml:space="preserve"> ConCost!AT$243</f>
        <v>0</v>
      </c>
      <c r="AU51" s="235">
        <f xml:space="preserve"> ConCost!AU$243</f>
        <v>0</v>
      </c>
      <c r="AV51" s="235">
        <f xml:space="preserve"> ConCost!AV$243</f>
        <v>0</v>
      </c>
      <c r="AW51" s="235">
        <f xml:space="preserve"> ConCost!AW$243</f>
        <v>0</v>
      </c>
      <c r="AX51" s="235">
        <f xml:space="preserve"> ConCost!AX$243</f>
        <v>0</v>
      </c>
      <c r="AY51" s="235">
        <f xml:space="preserve"> ConCost!AY$243</f>
        <v>0</v>
      </c>
      <c r="AZ51" s="235">
        <f xml:space="preserve"> ConCost!AZ$243</f>
        <v>0</v>
      </c>
      <c r="BA51" s="235">
        <f xml:space="preserve"> ConCost!BA$243</f>
        <v>0</v>
      </c>
      <c r="BB51" s="235">
        <f xml:space="preserve"> ConCost!BB$243</f>
        <v>0</v>
      </c>
      <c r="BC51" s="235">
        <f xml:space="preserve"> ConCost!BC$243</f>
        <v>0</v>
      </c>
      <c r="BD51" s="235">
        <f xml:space="preserve"> ConCost!BD$243</f>
        <v>0</v>
      </c>
      <c r="BE51" s="235">
        <f xml:space="preserve"> ConCost!BE$243</f>
        <v>0</v>
      </c>
      <c r="BF51" s="235">
        <f xml:space="preserve"> ConCost!BF$243</f>
        <v>0</v>
      </c>
      <c r="BG51" s="235">
        <f xml:space="preserve"> ConCost!BG$243</f>
        <v>0</v>
      </c>
      <c r="BH51" s="235">
        <f xml:space="preserve"> ConCost!BH$243</f>
        <v>0</v>
      </c>
      <c r="BI51" s="235">
        <f xml:space="preserve"> ConCost!BI$243</f>
        <v>0</v>
      </c>
      <c r="BJ51" s="235">
        <f xml:space="preserve"> ConCost!BJ$243</f>
        <v>0</v>
      </c>
      <c r="BK51" s="235">
        <f xml:space="preserve"> ConCost!BK$243</f>
        <v>0</v>
      </c>
      <c r="BL51" s="235">
        <f xml:space="preserve"> ConCost!BL$243</f>
        <v>0</v>
      </c>
      <c r="BM51" s="235">
        <f xml:space="preserve"> ConCost!BM$243</f>
        <v>0</v>
      </c>
      <c r="BN51" s="235">
        <f xml:space="preserve"> ConCost!BN$243</f>
        <v>0</v>
      </c>
      <c r="BO51" s="235">
        <f xml:space="preserve"> ConCost!BO$243</f>
        <v>0</v>
      </c>
      <c r="BP51" s="235">
        <f xml:space="preserve"> ConCost!BP$243</f>
        <v>0</v>
      </c>
      <c r="BQ51" s="235">
        <f xml:space="preserve"> ConCost!BQ$243</f>
        <v>0</v>
      </c>
      <c r="BR51" s="235">
        <f xml:space="preserve"> ConCost!BR$243</f>
        <v>0</v>
      </c>
      <c r="BS51" s="235">
        <f xml:space="preserve"> ConCost!BS$243</f>
        <v>0</v>
      </c>
      <c r="BT51" s="235">
        <f xml:space="preserve"> ConCost!BT$243</f>
        <v>0</v>
      </c>
      <c r="BU51" s="235">
        <f xml:space="preserve"> ConCost!BU$243</f>
        <v>0</v>
      </c>
      <c r="BV51" s="235">
        <f xml:space="preserve"> ConCost!BV$243</f>
        <v>0</v>
      </c>
      <c r="BW51" s="235">
        <f xml:space="preserve"> ConCost!BW$243</f>
        <v>0</v>
      </c>
      <c r="BX51" s="235">
        <f xml:space="preserve"> ConCost!BX$243</f>
        <v>0</v>
      </c>
      <c r="BY51" s="235">
        <f xml:space="preserve"> ConCost!BY$243</f>
        <v>0</v>
      </c>
      <c r="BZ51" s="235">
        <f xml:space="preserve"> ConCost!BZ$243</f>
        <v>0</v>
      </c>
      <c r="CA51" s="235">
        <f xml:space="preserve"> ConCost!CA$243</f>
        <v>0</v>
      </c>
      <c r="CB51" s="235">
        <f xml:space="preserve"> ConCost!CB$243</f>
        <v>0</v>
      </c>
      <c r="CC51" s="235">
        <f xml:space="preserve"> ConCost!CC$243</f>
        <v>0</v>
      </c>
      <c r="CD51" s="235">
        <f xml:space="preserve"> ConCost!CD$243</f>
        <v>0</v>
      </c>
      <c r="CE51" s="235">
        <f xml:space="preserve"> ConCost!CE$243</f>
        <v>0</v>
      </c>
      <c r="CF51" s="235">
        <f xml:space="preserve"> ConCost!CF$243</f>
        <v>0</v>
      </c>
      <c r="CG51" s="235">
        <f xml:space="preserve"> ConCost!CG$243</f>
        <v>0</v>
      </c>
      <c r="CH51" s="235">
        <f xml:space="preserve"> ConCost!CH$243</f>
        <v>0</v>
      </c>
      <c r="CI51" s="235">
        <f xml:space="preserve"> ConCost!CI$243</f>
        <v>0</v>
      </c>
      <c r="CJ51" s="235">
        <f xml:space="preserve"> ConCost!CJ$243</f>
        <v>0</v>
      </c>
      <c r="CK51" s="235">
        <f xml:space="preserve"> ConCost!CK$243</f>
        <v>0</v>
      </c>
      <c r="CL51" s="235">
        <f xml:space="preserve"> ConCost!CL$243</f>
        <v>0</v>
      </c>
      <c r="CM51" s="235">
        <f xml:space="preserve"> ConCost!CM$243</f>
        <v>0</v>
      </c>
      <c r="CN51" s="235">
        <f xml:space="preserve"> ConCost!CN$243</f>
        <v>0</v>
      </c>
      <c r="CO51" s="235">
        <f xml:space="preserve"> ConCost!CO$243</f>
        <v>0</v>
      </c>
      <c r="CP51" s="235">
        <f xml:space="preserve"> ConCost!CP$243</f>
        <v>0</v>
      </c>
      <c r="CQ51" s="235">
        <f xml:space="preserve"> ConCost!CQ$243</f>
        <v>0</v>
      </c>
      <c r="CR51" s="235">
        <f xml:space="preserve"> ConCost!CR$243</f>
        <v>0</v>
      </c>
      <c r="CS51" s="235">
        <f xml:space="preserve"> ConCost!CS$243</f>
        <v>0</v>
      </c>
      <c r="CT51" s="235">
        <f xml:space="preserve"> ConCost!CT$243</f>
        <v>0</v>
      </c>
      <c r="CU51" s="235">
        <f xml:space="preserve"> ConCost!CU$243</f>
        <v>0</v>
      </c>
      <c r="CV51" s="235">
        <f xml:space="preserve"> ConCost!CV$243</f>
        <v>0</v>
      </c>
    </row>
    <row r="52" spans="1:100" s="191" customFormat="1" outlineLevel="1" x14ac:dyDescent="0.2">
      <c r="A52" s="205"/>
      <c r="B52" s="205"/>
      <c r="C52" s="206"/>
      <c r="D52" s="209"/>
      <c r="E52" s="235" t="str">
        <f xml:space="preserve"> ConCost!E$249</f>
        <v>Pre-funding of DSRA</v>
      </c>
      <c r="F52" s="235">
        <f xml:space="preserve"> ConCost!F$249</f>
        <v>0</v>
      </c>
      <c r="G52" s="235" t="str">
        <f xml:space="preserve"> ConCost!G$249</f>
        <v>$ 000s</v>
      </c>
      <c r="H52" s="235">
        <f xml:space="preserve"> ConCost!H$249</f>
        <v>-11233.130669939161</v>
      </c>
      <c r="I52" s="235">
        <f xml:space="preserve"> ConCost!I$249</f>
        <v>0</v>
      </c>
      <c r="J52" s="235">
        <f xml:space="preserve"> ConCost!J$249</f>
        <v>0</v>
      </c>
      <c r="K52" s="235">
        <f xml:space="preserve"> ConCost!K$249</f>
        <v>0</v>
      </c>
      <c r="L52" s="235">
        <f xml:space="preserve"> ConCost!L$249</f>
        <v>0</v>
      </c>
      <c r="M52" s="235">
        <f xml:space="preserve"> ConCost!M$249</f>
        <v>0</v>
      </c>
      <c r="N52" s="235">
        <f xml:space="preserve"> ConCost!N$249</f>
        <v>-11233.130669939161</v>
      </c>
      <c r="O52" s="235">
        <f xml:space="preserve"> ConCost!O$249</f>
        <v>0</v>
      </c>
      <c r="P52" s="235">
        <f xml:space="preserve"> ConCost!P$249</f>
        <v>0</v>
      </c>
      <c r="Q52" s="235">
        <f xml:space="preserve"> ConCost!Q$249</f>
        <v>0</v>
      </c>
      <c r="R52" s="235">
        <f xml:space="preserve"> ConCost!R$249</f>
        <v>0</v>
      </c>
      <c r="S52" s="235">
        <f xml:space="preserve"> ConCost!S$249</f>
        <v>0</v>
      </c>
      <c r="T52" s="235">
        <f xml:space="preserve"> ConCost!T$249</f>
        <v>0</v>
      </c>
      <c r="U52" s="235">
        <f xml:space="preserve"> ConCost!U$249</f>
        <v>0</v>
      </c>
      <c r="V52" s="235">
        <f xml:space="preserve"> ConCost!V$249</f>
        <v>0</v>
      </c>
      <c r="W52" s="235">
        <f xml:space="preserve"> ConCost!W$249</f>
        <v>0</v>
      </c>
      <c r="X52" s="235">
        <f xml:space="preserve"> ConCost!X$249</f>
        <v>0</v>
      </c>
      <c r="Y52" s="235">
        <f xml:space="preserve"> ConCost!Y$249</f>
        <v>0</v>
      </c>
      <c r="Z52" s="235">
        <f xml:space="preserve"> ConCost!Z$249</f>
        <v>0</v>
      </c>
      <c r="AA52" s="235">
        <f xml:space="preserve"> ConCost!AA$249</f>
        <v>0</v>
      </c>
      <c r="AB52" s="235">
        <f xml:space="preserve"> ConCost!AB$249</f>
        <v>0</v>
      </c>
      <c r="AC52" s="235">
        <f xml:space="preserve"> ConCost!AC$249</f>
        <v>0</v>
      </c>
      <c r="AD52" s="235">
        <f xml:space="preserve"> ConCost!AD$249</f>
        <v>0</v>
      </c>
      <c r="AE52" s="235">
        <f xml:space="preserve"> ConCost!AE$249</f>
        <v>0</v>
      </c>
      <c r="AF52" s="235">
        <f xml:space="preserve"> ConCost!AF$249</f>
        <v>0</v>
      </c>
      <c r="AG52" s="235">
        <f xml:space="preserve"> ConCost!AG$249</f>
        <v>0</v>
      </c>
      <c r="AH52" s="235">
        <f xml:space="preserve"> ConCost!AH$249</f>
        <v>0</v>
      </c>
      <c r="AI52" s="235">
        <f xml:space="preserve"> ConCost!AI$249</f>
        <v>0</v>
      </c>
      <c r="AJ52" s="235">
        <f xml:space="preserve"> ConCost!AJ$249</f>
        <v>0</v>
      </c>
      <c r="AK52" s="235">
        <f xml:space="preserve"> ConCost!AK$249</f>
        <v>0</v>
      </c>
      <c r="AL52" s="235">
        <f xml:space="preserve"> ConCost!AL$249</f>
        <v>0</v>
      </c>
      <c r="AM52" s="235">
        <f xml:space="preserve"> ConCost!AM$249</f>
        <v>0</v>
      </c>
      <c r="AN52" s="235">
        <f xml:space="preserve"> ConCost!AN$249</f>
        <v>0</v>
      </c>
      <c r="AO52" s="235">
        <f xml:space="preserve"> ConCost!AO$249</f>
        <v>0</v>
      </c>
      <c r="AP52" s="235">
        <f xml:space="preserve"> ConCost!AP$249</f>
        <v>0</v>
      </c>
      <c r="AQ52" s="235">
        <f xml:space="preserve"> ConCost!AQ$249</f>
        <v>0</v>
      </c>
      <c r="AR52" s="235">
        <f xml:space="preserve"> ConCost!AR$249</f>
        <v>0</v>
      </c>
      <c r="AS52" s="235">
        <f xml:space="preserve"> ConCost!AS$249</f>
        <v>0</v>
      </c>
      <c r="AT52" s="235">
        <f xml:space="preserve"> ConCost!AT$249</f>
        <v>0</v>
      </c>
      <c r="AU52" s="235">
        <f xml:space="preserve"> ConCost!AU$249</f>
        <v>0</v>
      </c>
      <c r="AV52" s="235">
        <f xml:space="preserve"> ConCost!AV$249</f>
        <v>0</v>
      </c>
      <c r="AW52" s="235">
        <f xml:space="preserve"> ConCost!AW$249</f>
        <v>0</v>
      </c>
      <c r="AX52" s="235">
        <f xml:space="preserve"> ConCost!AX$249</f>
        <v>0</v>
      </c>
      <c r="AY52" s="235">
        <f xml:space="preserve"> ConCost!AY$249</f>
        <v>0</v>
      </c>
      <c r="AZ52" s="235">
        <f xml:space="preserve"> ConCost!AZ$249</f>
        <v>0</v>
      </c>
      <c r="BA52" s="235">
        <f xml:space="preserve"> ConCost!BA$249</f>
        <v>0</v>
      </c>
      <c r="BB52" s="235">
        <f xml:space="preserve"> ConCost!BB$249</f>
        <v>0</v>
      </c>
      <c r="BC52" s="235">
        <f xml:space="preserve"> ConCost!BC$249</f>
        <v>0</v>
      </c>
      <c r="BD52" s="235">
        <f xml:space="preserve"> ConCost!BD$249</f>
        <v>0</v>
      </c>
      <c r="BE52" s="235">
        <f xml:space="preserve"> ConCost!BE$249</f>
        <v>0</v>
      </c>
      <c r="BF52" s="235">
        <f xml:space="preserve"> ConCost!BF$249</f>
        <v>0</v>
      </c>
      <c r="BG52" s="235">
        <f xml:space="preserve"> ConCost!BG$249</f>
        <v>0</v>
      </c>
      <c r="BH52" s="235">
        <f xml:space="preserve"> ConCost!BH$249</f>
        <v>0</v>
      </c>
      <c r="BI52" s="235">
        <f xml:space="preserve"> ConCost!BI$249</f>
        <v>0</v>
      </c>
      <c r="BJ52" s="235">
        <f xml:space="preserve"> ConCost!BJ$249</f>
        <v>0</v>
      </c>
      <c r="BK52" s="235">
        <f xml:space="preserve"> ConCost!BK$249</f>
        <v>0</v>
      </c>
      <c r="BL52" s="235">
        <f xml:space="preserve"> ConCost!BL$249</f>
        <v>0</v>
      </c>
      <c r="BM52" s="235">
        <f xml:space="preserve"> ConCost!BM$249</f>
        <v>0</v>
      </c>
      <c r="BN52" s="235">
        <f xml:space="preserve"> ConCost!BN$249</f>
        <v>0</v>
      </c>
      <c r="BO52" s="235">
        <f xml:space="preserve"> ConCost!BO$249</f>
        <v>0</v>
      </c>
      <c r="BP52" s="235">
        <f xml:space="preserve"> ConCost!BP$249</f>
        <v>0</v>
      </c>
      <c r="BQ52" s="235">
        <f xml:space="preserve"> ConCost!BQ$249</f>
        <v>0</v>
      </c>
      <c r="BR52" s="235">
        <f xml:space="preserve"> ConCost!BR$249</f>
        <v>0</v>
      </c>
      <c r="BS52" s="235">
        <f xml:space="preserve"> ConCost!BS$249</f>
        <v>0</v>
      </c>
      <c r="BT52" s="235">
        <f xml:space="preserve"> ConCost!BT$249</f>
        <v>0</v>
      </c>
      <c r="BU52" s="235">
        <f xml:space="preserve"> ConCost!BU$249</f>
        <v>0</v>
      </c>
      <c r="BV52" s="235">
        <f xml:space="preserve"> ConCost!BV$249</f>
        <v>0</v>
      </c>
      <c r="BW52" s="235">
        <f xml:space="preserve"> ConCost!BW$249</f>
        <v>0</v>
      </c>
      <c r="BX52" s="235">
        <f xml:space="preserve"> ConCost!BX$249</f>
        <v>0</v>
      </c>
      <c r="BY52" s="235">
        <f xml:space="preserve"> ConCost!BY$249</f>
        <v>0</v>
      </c>
      <c r="BZ52" s="235">
        <f xml:space="preserve"> ConCost!BZ$249</f>
        <v>0</v>
      </c>
      <c r="CA52" s="235">
        <f xml:space="preserve"> ConCost!CA$249</f>
        <v>0</v>
      </c>
      <c r="CB52" s="235">
        <f xml:space="preserve"> ConCost!CB$249</f>
        <v>0</v>
      </c>
      <c r="CC52" s="235">
        <f xml:space="preserve"> ConCost!CC$249</f>
        <v>0</v>
      </c>
      <c r="CD52" s="235">
        <f xml:space="preserve"> ConCost!CD$249</f>
        <v>0</v>
      </c>
      <c r="CE52" s="235">
        <f xml:space="preserve"> ConCost!CE$249</f>
        <v>0</v>
      </c>
      <c r="CF52" s="235">
        <f xml:space="preserve"> ConCost!CF$249</f>
        <v>0</v>
      </c>
      <c r="CG52" s="235">
        <f xml:space="preserve"> ConCost!CG$249</f>
        <v>0</v>
      </c>
      <c r="CH52" s="235">
        <f xml:space="preserve"> ConCost!CH$249</f>
        <v>0</v>
      </c>
      <c r="CI52" s="235">
        <f xml:space="preserve"> ConCost!CI$249</f>
        <v>0</v>
      </c>
      <c r="CJ52" s="235">
        <f xml:space="preserve"> ConCost!CJ$249</f>
        <v>0</v>
      </c>
      <c r="CK52" s="235">
        <f xml:space="preserve"> ConCost!CK$249</f>
        <v>0</v>
      </c>
      <c r="CL52" s="235">
        <f xml:space="preserve"> ConCost!CL$249</f>
        <v>0</v>
      </c>
      <c r="CM52" s="235">
        <f xml:space="preserve"> ConCost!CM$249</f>
        <v>0</v>
      </c>
      <c r="CN52" s="235">
        <f xml:space="preserve"> ConCost!CN$249</f>
        <v>0</v>
      </c>
      <c r="CO52" s="235">
        <f xml:space="preserve"> ConCost!CO$249</f>
        <v>0</v>
      </c>
      <c r="CP52" s="235">
        <f xml:space="preserve"> ConCost!CP$249</f>
        <v>0</v>
      </c>
      <c r="CQ52" s="235">
        <f xml:space="preserve"> ConCost!CQ$249</f>
        <v>0</v>
      </c>
      <c r="CR52" s="235">
        <f xml:space="preserve"> ConCost!CR$249</f>
        <v>0</v>
      </c>
      <c r="CS52" s="235">
        <f xml:space="preserve"> ConCost!CS$249</f>
        <v>0</v>
      </c>
      <c r="CT52" s="235">
        <f xml:space="preserve"> ConCost!CT$249</f>
        <v>0</v>
      </c>
      <c r="CU52" s="235">
        <f xml:space="preserve"> ConCost!CU$249</f>
        <v>0</v>
      </c>
      <c r="CV52" s="235">
        <f xml:space="preserve"> ConCost!CV$249</f>
        <v>0</v>
      </c>
    </row>
    <row r="53" spans="1:100" s="331" customFormat="1" outlineLevel="1" x14ac:dyDescent="0.2">
      <c r="A53" s="752"/>
      <c r="B53" s="752"/>
      <c r="C53" s="753"/>
      <c r="D53" s="754"/>
      <c r="E53" s="722" t="str">
        <f xml:space="preserve"> Debt!E$681</f>
        <v>Equity bridge repayment</v>
      </c>
      <c r="F53" s="722">
        <f xml:space="preserve"> Debt!F$681</f>
        <v>0</v>
      </c>
      <c r="G53" s="722" t="str">
        <f xml:space="preserve"> Debt!G$681</f>
        <v>$ 000s</v>
      </c>
      <c r="H53" s="722">
        <f xml:space="preserve"> Debt!H$681</f>
        <v>-86318.253106861201</v>
      </c>
      <c r="I53" s="722">
        <f xml:space="preserve"> Debt!I$681</f>
        <v>0</v>
      </c>
      <c r="J53" s="722">
        <f xml:space="preserve"> Debt!J$681</f>
        <v>0</v>
      </c>
      <c r="K53" s="722">
        <f xml:space="preserve"> Debt!K$681</f>
        <v>0</v>
      </c>
      <c r="L53" s="722">
        <f xml:space="preserve"> Debt!L$681</f>
        <v>0</v>
      </c>
      <c r="M53" s="722">
        <f xml:space="preserve"> Debt!M$681</f>
        <v>0</v>
      </c>
      <c r="N53" s="722">
        <f xml:space="preserve"> Debt!N$681</f>
        <v>-86318.253106861201</v>
      </c>
      <c r="O53" s="722">
        <f xml:space="preserve"> Debt!O$681</f>
        <v>0</v>
      </c>
      <c r="P53" s="722">
        <f xml:space="preserve"> Debt!P$681</f>
        <v>0</v>
      </c>
      <c r="Q53" s="722">
        <f xml:space="preserve"> Debt!Q$681</f>
        <v>0</v>
      </c>
      <c r="R53" s="722">
        <f xml:space="preserve"> Debt!R$681</f>
        <v>0</v>
      </c>
      <c r="S53" s="722">
        <f xml:space="preserve"> Debt!S$681</f>
        <v>0</v>
      </c>
      <c r="T53" s="722">
        <f xml:space="preserve"> Debt!T$681</f>
        <v>0</v>
      </c>
      <c r="U53" s="722">
        <f xml:space="preserve"> Debt!U$681</f>
        <v>0</v>
      </c>
      <c r="V53" s="722">
        <f xml:space="preserve"> Debt!V$681</f>
        <v>0</v>
      </c>
      <c r="W53" s="722">
        <f xml:space="preserve"> Debt!W$681</f>
        <v>0</v>
      </c>
      <c r="X53" s="722">
        <f xml:space="preserve"> Debt!X$681</f>
        <v>0</v>
      </c>
      <c r="Y53" s="722">
        <f xml:space="preserve"> Debt!Y$681</f>
        <v>0</v>
      </c>
      <c r="Z53" s="722">
        <f xml:space="preserve"> Debt!Z$681</f>
        <v>0</v>
      </c>
      <c r="AA53" s="722">
        <f xml:space="preserve"> Debt!AA$681</f>
        <v>0</v>
      </c>
      <c r="AB53" s="722">
        <f xml:space="preserve"> Debt!AB$681</f>
        <v>0</v>
      </c>
      <c r="AC53" s="722">
        <f xml:space="preserve"> Debt!AC$681</f>
        <v>0</v>
      </c>
      <c r="AD53" s="722">
        <f xml:space="preserve"> Debt!AD$681</f>
        <v>0</v>
      </c>
      <c r="AE53" s="722">
        <f xml:space="preserve"> Debt!AE$681</f>
        <v>0</v>
      </c>
      <c r="AF53" s="722">
        <f xml:space="preserve"> Debt!AF$681</f>
        <v>0</v>
      </c>
      <c r="AG53" s="722">
        <f xml:space="preserve"> Debt!AG$681</f>
        <v>0</v>
      </c>
      <c r="AH53" s="722">
        <f xml:space="preserve"> Debt!AH$681</f>
        <v>0</v>
      </c>
      <c r="AI53" s="722">
        <f xml:space="preserve"> Debt!AI$681</f>
        <v>0</v>
      </c>
      <c r="AJ53" s="722">
        <f xml:space="preserve"> Debt!AJ$681</f>
        <v>0</v>
      </c>
      <c r="AK53" s="722">
        <f xml:space="preserve"> Debt!AK$681</f>
        <v>0</v>
      </c>
      <c r="AL53" s="722">
        <f xml:space="preserve"> Debt!AL$681</f>
        <v>0</v>
      </c>
      <c r="AM53" s="722">
        <f xml:space="preserve"> Debt!AM$681</f>
        <v>0</v>
      </c>
      <c r="AN53" s="722">
        <f xml:space="preserve"> Debt!AN$681</f>
        <v>0</v>
      </c>
      <c r="AO53" s="722">
        <f xml:space="preserve"> Debt!AO$681</f>
        <v>0</v>
      </c>
      <c r="AP53" s="722">
        <f xml:space="preserve"> Debt!AP$681</f>
        <v>0</v>
      </c>
      <c r="AQ53" s="722">
        <f xml:space="preserve"> Debt!AQ$681</f>
        <v>0</v>
      </c>
      <c r="AR53" s="722">
        <f xml:space="preserve"> Debt!AR$681</f>
        <v>0</v>
      </c>
      <c r="AS53" s="722">
        <f xml:space="preserve"> Debt!AS$681</f>
        <v>0</v>
      </c>
      <c r="AT53" s="722">
        <f xml:space="preserve"> Debt!AT$681</f>
        <v>0</v>
      </c>
      <c r="AU53" s="722">
        <f xml:space="preserve"> Debt!AU$681</f>
        <v>0</v>
      </c>
      <c r="AV53" s="722">
        <f xml:space="preserve"> Debt!AV$681</f>
        <v>0</v>
      </c>
      <c r="AW53" s="722">
        <f xml:space="preserve"> Debt!AW$681</f>
        <v>0</v>
      </c>
      <c r="AX53" s="722">
        <f xml:space="preserve"> Debt!AX$681</f>
        <v>0</v>
      </c>
      <c r="AY53" s="722">
        <f xml:space="preserve"> Debt!AY$681</f>
        <v>0</v>
      </c>
      <c r="AZ53" s="722">
        <f xml:space="preserve"> Debt!AZ$681</f>
        <v>0</v>
      </c>
      <c r="BA53" s="722">
        <f xml:space="preserve"> Debt!BA$681</f>
        <v>0</v>
      </c>
      <c r="BB53" s="722">
        <f xml:space="preserve"> Debt!BB$681</f>
        <v>0</v>
      </c>
      <c r="BC53" s="722">
        <f xml:space="preserve"> Debt!BC$681</f>
        <v>0</v>
      </c>
      <c r="BD53" s="722">
        <f xml:space="preserve"> Debt!BD$681</f>
        <v>0</v>
      </c>
      <c r="BE53" s="722">
        <f xml:space="preserve"> Debt!BE$681</f>
        <v>0</v>
      </c>
      <c r="BF53" s="722">
        <f xml:space="preserve"> Debt!BF$681</f>
        <v>0</v>
      </c>
      <c r="BG53" s="722">
        <f xml:space="preserve"> Debt!BG$681</f>
        <v>0</v>
      </c>
      <c r="BH53" s="722">
        <f xml:space="preserve"> Debt!BH$681</f>
        <v>0</v>
      </c>
      <c r="BI53" s="722">
        <f xml:space="preserve"> Debt!BI$681</f>
        <v>0</v>
      </c>
      <c r="BJ53" s="722">
        <f xml:space="preserve"> Debt!BJ$681</f>
        <v>0</v>
      </c>
      <c r="BK53" s="722">
        <f xml:space="preserve"> Debt!BK$681</f>
        <v>0</v>
      </c>
      <c r="BL53" s="722">
        <f xml:space="preserve"> Debt!BL$681</f>
        <v>0</v>
      </c>
      <c r="BM53" s="722">
        <f xml:space="preserve"> Debt!BM$681</f>
        <v>0</v>
      </c>
      <c r="BN53" s="722">
        <f xml:space="preserve"> Debt!BN$681</f>
        <v>0</v>
      </c>
      <c r="BO53" s="722">
        <f xml:space="preserve"> Debt!BO$681</f>
        <v>0</v>
      </c>
      <c r="BP53" s="722">
        <f xml:space="preserve"> Debt!BP$681</f>
        <v>0</v>
      </c>
      <c r="BQ53" s="722">
        <f xml:space="preserve"> Debt!BQ$681</f>
        <v>0</v>
      </c>
      <c r="BR53" s="722">
        <f xml:space="preserve"> Debt!BR$681</f>
        <v>0</v>
      </c>
      <c r="BS53" s="722">
        <f xml:space="preserve"> Debt!BS$681</f>
        <v>0</v>
      </c>
      <c r="BT53" s="722">
        <f xml:space="preserve"> Debt!BT$681</f>
        <v>0</v>
      </c>
      <c r="BU53" s="722">
        <f xml:space="preserve"> Debt!BU$681</f>
        <v>0</v>
      </c>
      <c r="BV53" s="722">
        <f xml:space="preserve"> Debt!BV$681</f>
        <v>0</v>
      </c>
      <c r="BW53" s="722">
        <f xml:space="preserve"> Debt!BW$681</f>
        <v>0</v>
      </c>
      <c r="BX53" s="722">
        <f xml:space="preserve"> Debt!BX$681</f>
        <v>0</v>
      </c>
      <c r="BY53" s="722">
        <f xml:space="preserve"> Debt!BY$681</f>
        <v>0</v>
      </c>
      <c r="BZ53" s="722">
        <f xml:space="preserve"> Debt!BZ$681</f>
        <v>0</v>
      </c>
      <c r="CA53" s="722">
        <f xml:space="preserve"> Debt!CA$681</f>
        <v>0</v>
      </c>
      <c r="CB53" s="722">
        <f xml:space="preserve"> Debt!CB$681</f>
        <v>0</v>
      </c>
      <c r="CC53" s="722">
        <f xml:space="preserve"> Debt!CC$681</f>
        <v>0</v>
      </c>
      <c r="CD53" s="722">
        <f xml:space="preserve"> Debt!CD$681</f>
        <v>0</v>
      </c>
      <c r="CE53" s="722">
        <f xml:space="preserve"> Debt!CE$681</f>
        <v>0</v>
      </c>
      <c r="CF53" s="722">
        <f xml:space="preserve"> Debt!CF$681</f>
        <v>0</v>
      </c>
      <c r="CG53" s="722">
        <f xml:space="preserve"> Debt!CG$681</f>
        <v>0</v>
      </c>
      <c r="CH53" s="722">
        <f xml:space="preserve"> Debt!CH$681</f>
        <v>0</v>
      </c>
      <c r="CI53" s="722">
        <f xml:space="preserve"> Debt!CI$681</f>
        <v>0</v>
      </c>
      <c r="CJ53" s="722">
        <f xml:space="preserve"> Debt!CJ$681</f>
        <v>0</v>
      </c>
      <c r="CK53" s="722">
        <f xml:space="preserve"> Debt!CK$681</f>
        <v>0</v>
      </c>
      <c r="CL53" s="722">
        <f xml:space="preserve"> Debt!CL$681</f>
        <v>0</v>
      </c>
      <c r="CM53" s="722">
        <f xml:space="preserve"> Debt!CM$681</f>
        <v>0</v>
      </c>
      <c r="CN53" s="722">
        <f xml:space="preserve"> Debt!CN$681</f>
        <v>0</v>
      </c>
      <c r="CO53" s="722">
        <f xml:space="preserve"> Debt!CO$681</f>
        <v>0</v>
      </c>
      <c r="CP53" s="722">
        <f xml:space="preserve"> Debt!CP$681</f>
        <v>0</v>
      </c>
      <c r="CQ53" s="722">
        <f xml:space="preserve"> Debt!CQ$681</f>
        <v>0</v>
      </c>
      <c r="CR53" s="722">
        <f xml:space="preserve"> Debt!CR$681</f>
        <v>0</v>
      </c>
      <c r="CS53" s="722">
        <f xml:space="preserve"> Debt!CS$681</f>
        <v>0</v>
      </c>
      <c r="CT53" s="722">
        <f xml:space="preserve"> Debt!CT$681</f>
        <v>0</v>
      </c>
      <c r="CU53" s="722">
        <f xml:space="preserve"> Debt!CU$681</f>
        <v>0</v>
      </c>
      <c r="CV53" s="722">
        <f xml:space="preserve"> Debt!CV$681</f>
        <v>0</v>
      </c>
    </row>
    <row r="54" spans="1:100" outlineLevel="1" x14ac:dyDescent="0.2">
      <c r="D54" s="209"/>
      <c r="E54" s="235" t="str">
        <f xml:space="preserve"> ConFin!E$621</f>
        <v>Share capital drawdown</v>
      </c>
      <c r="F54" s="235">
        <f xml:space="preserve"> ConFin!F$621</f>
        <v>0</v>
      </c>
      <c r="G54" s="235" t="str">
        <f xml:space="preserve"> ConFin!G$621</f>
        <v>$ 000s</v>
      </c>
      <c r="H54" s="235">
        <f xml:space="preserve"> ConFin!H$621</f>
        <v>100</v>
      </c>
      <c r="I54" s="235">
        <f xml:space="preserve"> ConFin!I$621</f>
        <v>0</v>
      </c>
      <c r="J54" s="235">
        <f xml:space="preserve"> ConFin!J$621</f>
        <v>100</v>
      </c>
      <c r="K54" s="235">
        <f xml:space="preserve"> ConFin!K$621</f>
        <v>0</v>
      </c>
      <c r="L54" s="235">
        <f xml:space="preserve"> ConFin!L$621</f>
        <v>0</v>
      </c>
      <c r="M54" s="235">
        <f xml:space="preserve"> ConFin!M$621</f>
        <v>0</v>
      </c>
      <c r="N54" s="235">
        <f xml:space="preserve"> ConFin!N$621</f>
        <v>0</v>
      </c>
      <c r="O54" s="235">
        <f xml:space="preserve"> ConFin!O$621</f>
        <v>0</v>
      </c>
      <c r="P54" s="235">
        <f xml:space="preserve"> ConFin!P$621</f>
        <v>0</v>
      </c>
      <c r="Q54" s="235">
        <f xml:space="preserve"> ConFin!Q$621</f>
        <v>0</v>
      </c>
      <c r="R54" s="235">
        <f xml:space="preserve"> ConFin!R$621</f>
        <v>0</v>
      </c>
      <c r="S54" s="235">
        <f xml:space="preserve"> ConFin!S$621</f>
        <v>0</v>
      </c>
      <c r="T54" s="235">
        <f xml:space="preserve"> ConFin!T$621</f>
        <v>0</v>
      </c>
      <c r="U54" s="235">
        <f xml:space="preserve"> ConFin!U$621</f>
        <v>0</v>
      </c>
      <c r="V54" s="235">
        <f xml:space="preserve"> ConFin!V$621</f>
        <v>0</v>
      </c>
      <c r="W54" s="235">
        <f xml:space="preserve"> ConFin!W$621</f>
        <v>0</v>
      </c>
      <c r="X54" s="235">
        <f xml:space="preserve"> ConFin!X$621</f>
        <v>0</v>
      </c>
      <c r="Y54" s="235">
        <f xml:space="preserve"> ConFin!Y$621</f>
        <v>0</v>
      </c>
      <c r="Z54" s="235">
        <f xml:space="preserve"> ConFin!Z$621</f>
        <v>0</v>
      </c>
      <c r="AA54" s="235">
        <f xml:space="preserve"> ConFin!AA$621</f>
        <v>0</v>
      </c>
      <c r="AB54" s="235">
        <f xml:space="preserve"> ConFin!AB$621</f>
        <v>0</v>
      </c>
      <c r="AC54" s="235">
        <f xml:space="preserve"> ConFin!AC$621</f>
        <v>0</v>
      </c>
      <c r="AD54" s="235">
        <f xml:space="preserve"> ConFin!AD$621</f>
        <v>0</v>
      </c>
      <c r="AE54" s="235">
        <f xml:space="preserve"> ConFin!AE$621</f>
        <v>0</v>
      </c>
      <c r="AF54" s="235">
        <f xml:space="preserve"> ConFin!AF$621</f>
        <v>0</v>
      </c>
      <c r="AG54" s="235">
        <f xml:space="preserve"> ConFin!AG$621</f>
        <v>0</v>
      </c>
      <c r="AH54" s="235">
        <f xml:space="preserve"> ConFin!AH$621</f>
        <v>0</v>
      </c>
      <c r="AI54" s="235">
        <f xml:space="preserve"> ConFin!AI$621</f>
        <v>0</v>
      </c>
      <c r="AJ54" s="235">
        <f xml:space="preserve"> ConFin!AJ$621</f>
        <v>0</v>
      </c>
      <c r="AK54" s="235">
        <f xml:space="preserve"> ConFin!AK$621</f>
        <v>0</v>
      </c>
      <c r="AL54" s="235">
        <f xml:space="preserve"> ConFin!AL$621</f>
        <v>0</v>
      </c>
      <c r="AM54" s="235">
        <f xml:space="preserve"> ConFin!AM$621</f>
        <v>0</v>
      </c>
      <c r="AN54" s="235">
        <f xml:space="preserve"> ConFin!AN$621</f>
        <v>0</v>
      </c>
      <c r="AO54" s="235">
        <f xml:space="preserve"> ConFin!AO$621</f>
        <v>0</v>
      </c>
      <c r="AP54" s="235">
        <f xml:space="preserve"> ConFin!AP$621</f>
        <v>0</v>
      </c>
      <c r="AQ54" s="235">
        <f xml:space="preserve"> ConFin!AQ$621</f>
        <v>0</v>
      </c>
      <c r="AR54" s="235">
        <f xml:space="preserve"> ConFin!AR$621</f>
        <v>0</v>
      </c>
      <c r="AS54" s="235">
        <f xml:space="preserve"> ConFin!AS$621</f>
        <v>0</v>
      </c>
      <c r="AT54" s="235">
        <f xml:space="preserve"> ConFin!AT$621</f>
        <v>0</v>
      </c>
      <c r="AU54" s="235">
        <f xml:space="preserve"> ConFin!AU$621</f>
        <v>0</v>
      </c>
      <c r="AV54" s="235">
        <f xml:space="preserve"> ConFin!AV$621</f>
        <v>0</v>
      </c>
      <c r="AW54" s="235">
        <f xml:space="preserve"> ConFin!AW$621</f>
        <v>0</v>
      </c>
      <c r="AX54" s="235">
        <f xml:space="preserve"> ConFin!AX$621</f>
        <v>0</v>
      </c>
      <c r="AY54" s="235">
        <f xml:space="preserve"> ConFin!AY$621</f>
        <v>0</v>
      </c>
      <c r="AZ54" s="235">
        <f xml:space="preserve"> ConFin!AZ$621</f>
        <v>0</v>
      </c>
      <c r="BA54" s="235">
        <f xml:space="preserve"> ConFin!BA$621</f>
        <v>0</v>
      </c>
      <c r="BB54" s="235">
        <f xml:space="preserve"> ConFin!BB$621</f>
        <v>0</v>
      </c>
      <c r="BC54" s="235">
        <f xml:space="preserve"> ConFin!BC$621</f>
        <v>0</v>
      </c>
      <c r="BD54" s="235">
        <f xml:space="preserve"> ConFin!BD$621</f>
        <v>0</v>
      </c>
      <c r="BE54" s="235">
        <f xml:space="preserve"> ConFin!BE$621</f>
        <v>0</v>
      </c>
      <c r="BF54" s="235">
        <f xml:space="preserve"> ConFin!BF$621</f>
        <v>0</v>
      </c>
      <c r="BG54" s="235">
        <f xml:space="preserve"> ConFin!BG$621</f>
        <v>0</v>
      </c>
      <c r="BH54" s="235">
        <f xml:space="preserve"> ConFin!BH$621</f>
        <v>0</v>
      </c>
      <c r="BI54" s="235">
        <f xml:space="preserve"> ConFin!BI$621</f>
        <v>0</v>
      </c>
      <c r="BJ54" s="235">
        <f xml:space="preserve"> ConFin!BJ$621</f>
        <v>0</v>
      </c>
      <c r="BK54" s="235">
        <f xml:space="preserve"> ConFin!BK$621</f>
        <v>0</v>
      </c>
      <c r="BL54" s="235">
        <f xml:space="preserve"> ConFin!BL$621</f>
        <v>0</v>
      </c>
      <c r="BM54" s="235">
        <f xml:space="preserve"> ConFin!BM$621</f>
        <v>0</v>
      </c>
      <c r="BN54" s="235">
        <f xml:space="preserve"> ConFin!BN$621</f>
        <v>0</v>
      </c>
      <c r="BO54" s="235">
        <f xml:space="preserve"> ConFin!BO$621</f>
        <v>0</v>
      </c>
      <c r="BP54" s="235">
        <f xml:space="preserve"> ConFin!BP$621</f>
        <v>0</v>
      </c>
      <c r="BQ54" s="235">
        <f xml:space="preserve"> ConFin!BQ$621</f>
        <v>0</v>
      </c>
      <c r="BR54" s="235">
        <f xml:space="preserve"> ConFin!BR$621</f>
        <v>0</v>
      </c>
      <c r="BS54" s="235">
        <f xml:space="preserve"> ConFin!BS$621</f>
        <v>0</v>
      </c>
      <c r="BT54" s="235">
        <f xml:space="preserve"> ConFin!BT$621</f>
        <v>0</v>
      </c>
      <c r="BU54" s="235">
        <f xml:space="preserve"> ConFin!BU$621</f>
        <v>0</v>
      </c>
      <c r="BV54" s="235">
        <f xml:space="preserve"> ConFin!BV$621</f>
        <v>0</v>
      </c>
      <c r="BW54" s="235">
        <f xml:space="preserve"> ConFin!BW$621</f>
        <v>0</v>
      </c>
      <c r="BX54" s="235">
        <f xml:space="preserve"> ConFin!BX$621</f>
        <v>0</v>
      </c>
      <c r="BY54" s="235">
        <f xml:space="preserve"> ConFin!BY$621</f>
        <v>0</v>
      </c>
      <c r="BZ54" s="235">
        <f xml:space="preserve"> ConFin!BZ$621</f>
        <v>0</v>
      </c>
      <c r="CA54" s="235">
        <f xml:space="preserve"> ConFin!CA$621</f>
        <v>0</v>
      </c>
      <c r="CB54" s="235">
        <f xml:space="preserve"> ConFin!CB$621</f>
        <v>0</v>
      </c>
      <c r="CC54" s="235">
        <f xml:space="preserve"> ConFin!CC$621</f>
        <v>0</v>
      </c>
      <c r="CD54" s="235">
        <f xml:space="preserve"> ConFin!CD$621</f>
        <v>0</v>
      </c>
      <c r="CE54" s="235">
        <f xml:space="preserve"> ConFin!CE$621</f>
        <v>0</v>
      </c>
      <c r="CF54" s="235">
        <f xml:space="preserve"> ConFin!CF$621</f>
        <v>0</v>
      </c>
      <c r="CG54" s="235">
        <f xml:space="preserve"> ConFin!CG$621</f>
        <v>0</v>
      </c>
      <c r="CH54" s="235">
        <f xml:space="preserve"> ConFin!CH$621</f>
        <v>0</v>
      </c>
      <c r="CI54" s="235">
        <f xml:space="preserve"> ConFin!CI$621</f>
        <v>0</v>
      </c>
      <c r="CJ54" s="235">
        <f xml:space="preserve"> ConFin!CJ$621</f>
        <v>0</v>
      </c>
      <c r="CK54" s="235">
        <f xml:space="preserve"> ConFin!CK$621</f>
        <v>0</v>
      </c>
      <c r="CL54" s="235">
        <f xml:space="preserve"> ConFin!CL$621</f>
        <v>0</v>
      </c>
      <c r="CM54" s="235">
        <f xml:space="preserve"> ConFin!CM$621</f>
        <v>0</v>
      </c>
      <c r="CN54" s="235">
        <f xml:space="preserve"> ConFin!CN$621</f>
        <v>0</v>
      </c>
      <c r="CO54" s="235">
        <f xml:space="preserve"> ConFin!CO$621</f>
        <v>0</v>
      </c>
      <c r="CP54" s="235">
        <f xml:space="preserve"> ConFin!CP$621</f>
        <v>0</v>
      </c>
      <c r="CQ54" s="235">
        <f xml:space="preserve"> ConFin!CQ$621</f>
        <v>0</v>
      </c>
      <c r="CR54" s="235">
        <f xml:space="preserve"> ConFin!CR$621</f>
        <v>0</v>
      </c>
      <c r="CS54" s="235">
        <f xml:space="preserve"> ConFin!CS$621</f>
        <v>0</v>
      </c>
      <c r="CT54" s="235">
        <f xml:space="preserve"> ConFin!CT$621</f>
        <v>0</v>
      </c>
      <c r="CU54" s="235">
        <f xml:space="preserve"> ConFin!CU$621</f>
        <v>0</v>
      </c>
      <c r="CV54" s="235">
        <f xml:space="preserve"> ConFin!CV$621</f>
        <v>0</v>
      </c>
    </row>
    <row r="55" spans="1:100" s="114" customFormat="1" outlineLevel="1" x14ac:dyDescent="0.2">
      <c r="A55" s="752"/>
      <c r="B55" s="752"/>
      <c r="C55" s="753"/>
      <c r="D55" s="754"/>
      <c r="E55" s="703" t="str">
        <f xml:space="preserve"> ConFin!E$229</f>
        <v>Equity bridge drawdown - m</v>
      </c>
      <c r="F55" s="703">
        <f xml:space="preserve"> ConFin!F$229</f>
        <v>0</v>
      </c>
      <c r="G55" s="703" t="str">
        <f xml:space="preserve"> ConFin!G$229</f>
        <v>$ 000s</v>
      </c>
      <c r="H55" s="703">
        <f xml:space="preserve"> ConFin!H$229</f>
        <v>86318.253106861201</v>
      </c>
      <c r="I55" s="703">
        <f xml:space="preserve"> ConFin!I$229</f>
        <v>0</v>
      </c>
      <c r="J55" s="703">
        <f xml:space="preserve"> ConFin!J$229</f>
        <v>38555.01232134179</v>
      </c>
      <c r="K55" s="703">
        <f xml:space="preserve"> ConFin!K$229</f>
        <v>47763.240785519411</v>
      </c>
      <c r="L55" s="703">
        <f xml:space="preserve"> ConFin!L$229</f>
        <v>0</v>
      </c>
      <c r="M55" s="703">
        <f xml:space="preserve"> ConFin!M$229</f>
        <v>0</v>
      </c>
      <c r="N55" s="703">
        <f xml:space="preserve"> ConFin!N$229</f>
        <v>0</v>
      </c>
      <c r="O55" s="703">
        <f xml:space="preserve"> ConFin!O$229</f>
        <v>0</v>
      </c>
      <c r="P55" s="703">
        <f xml:space="preserve"> ConFin!P$229</f>
        <v>0</v>
      </c>
      <c r="Q55" s="703">
        <f xml:space="preserve"> ConFin!Q$229</f>
        <v>0</v>
      </c>
      <c r="R55" s="703">
        <f xml:space="preserve"> ConFin!R$229</f>
        <v>0</v>
      </c>
      <c r="S55" s="703">
        <f xml:space="preserve"> ConFin!S$229</f>
        <v>0</v>
      </c>
      <c r="T55" s="703">
        <f xml:space="preserve"> ConFin!T$229</f>
        <v>0</v>
      </c>
      <c r="U55" s="703">
        <f xml:space="preserve"> ConFin!U$229</f>
        <v>0</v>
      </c>
      <c r="V55" s="703">
        <f xml:space="preserve"> ConFin!V$229</f>
        <v>0</v>
      </c>
      <c r="W55" s="703">
        <f xml:space="preserve"> ConFin!W$229</f>
        <v>0</v>
      </c>
      <c r="X55" s="703">
        <f xml:space="preserve"> ConFin!X$229</f>
        <v>0</v>
      </c>
      <c r="Y55" s="703">
        <f xml:space="preserve"> ConFin!Y$229</f>
        <v>0</v>
      </c>
      <c r="Z55" s="703">
        <f xml:space="preserve"> ConFin!Z$229</f>
        <v>0</v>
      </c>
      <c r="AA55" s="703">
        <f xml:space="preserve"> ConFin!AA$229</f>
        <v>0</v>
      </c>
      <c r="AB55" s="703">
        <f xml:space="preserve"> ConFin!AB$229</f>
        <v>0</v>
      </c>
      <c r="AC55" s="703">
        <f xml:space="preserve"> ConFin!AC$229</f>
        <v>0</v>
      </c>
      <c r="AD55" s="703">
        <f xml:space="preserve"> ConFin!AD$229</f>
        <v>0</v>
      </c>
      <c r="AE55" s="703">
        <f xml:space="preserve"> ConFin!AE$229</f>
        <v>0</v>
      </c>
      <c r="AF55" s="703">
        <f xml:space="preserve"> ConFin!AF$229</f>
        <v>0</v>
      </c>
      <c r="AG55" s="703">
        <f xml:space="preserve"> ConFin!AG$229</f>
        <v>0</v>
      </c>
      <c r="AH55" s="703">
        <f xml:space="preserve"> ConFin!AH$229</f>
        <v>0</v>
      </c>
      <c r="AI55" s="703">
        <f xml:space="preserve"> ConFin!AI$229</f>
        <v>0</v>
      </c>
      <c r="AJ55" s="703">
        <f xml:space="preserve"> ConFin!AJ$229</f>
        <v>0</v>
      </c>
      <c r="AK55" s="703">
        <f xml:space="preserve"> ConFin!AK$229</f>
        <v>0</v>
      </c>
      <c r="AL55" s="703">
        <f xml:space="preserve"> ConFin!AL$229</f>
        <v>0</v>
      </c>
      <c r="AM55" s="703">
        <f xml:space="preserve"> ConFin!AM$229</f>
        <v>0</v>
      </c>
      <c r="AN55" s="703">
        <f xml:space="preserve"> ConFin!AN$229</f>
        <v>0</v>
      </c>
      <c r="AO55" s="703">
        <f xml:space="preserve"> ConFin!AO$229</f>
        <v>0</v>
      </c>
      <c r="AP55" s="703">
        <f xml:space="preserve"> ConFin!AP$229</f>
        <v>0</v>
      </c>
      <c r="AQ55" s="703">
        <f xml:space="preserve"> ConFin!AQ$229</f>
        <v>0</v>
      </c>
      <c r="AR55" s="703">
        <f xml:space="preserve"> ConFin!AR$229</f>
        <v>0</v>
      </c>
      <c r="AS55" s="703">
        <f xml:space="preserve"> ConFin!AS$229</f>
        <v>0</v>
      </c>
      <c r="AT55" s="703">
        <f xml:space="preserve"> ConFin!AT$229</f>
        <v>0</v>
      </c>
      <c r="AU55" s="703">
        <f xml:space="preserve"> ConFin!AU$229</f>
        <v>0</v>
      </c>
      <c r="AV55" s="703">
        <f xml:space="preserve"> ConFin!AV$229</f>
        <v>0</v>
      </c>
      <c r="AW55" s="703">
        <f xml:space="preserve"> ConFin!AW$229</f>
        <v>0</v>
      </c>
      <c r="AX55" s="703">
        <f xml:space="preserve"> ConFin!AX$229</f>
        <v>0</v>
      </c>
      <c r="AY55" s="703">
        <f xml:space="preserve"> ConFin!AY$229</f>
        <v>0</v>
      </c>
      <c r="AZ55" s="703">
        <f xml:space="preserve"> ConFin!AZ$229</f>
        <v>0</v>
      </c>
      <c r="BA55" s="703">
        <f xml:space="preserve"> ConFin!BA$229</f>
        <v>0</v>
      </c>
      <c r="BB55" s="703">
        <f xml:space="preserve"> ConFin!BB$229</f>
        <v>0</v>
      </c>
      <c r="BC55" s="703">
        <f xml:space="preserve"> ConFin!BC$229</f>
        <v>0</v>
      </c>
      <c r="BD55" s="703">
        <f xml:space="preserve"> ConFin!BD$229</f>
        <v>0</v>
      </c>
      <c r="BE55" s="703">
        <f xml:space="preserve"> ConFin!BE$229</f>
        <v>0</v>
      </c>
      <c r="BF55" s="703">
        <f xml:space="preserve"> ConFin!BF$229</f>
        <v>0</v>
      </c>
      <c r="BG55" s="703">
        <f xml:space="preserve"> ConFin!BG$229</f>
        <v>0</v>
      </c>
      <c r="BH55" s="703">
        <f xml:space="preserve"> ConFin!BH$229</f>
        <v>0</v>
      </c>
      <c r="BI55" s="703">
        <f xml:space="preserve"> ConFin!BI$229</f>
        <v>0</v>
      </c>
      <c r="BJ55" s="703">
        <f xml:space="preserve"> ConFin!BJ$229</f>
        <v>0</v>
      </c>
      <c r="BK55" s="703">
        <f xml:space="preserve"> ConFin!BK$229</f>
        <v>0</v>
      </c>
      <c r="BL55" s="703">
        <f xml:space="preserve"> ConFin!BL$229</f>
        <v>0</v>
      </c>
      <c r="BM55" s="703">
        <f xml:space="preserve"> ConFin!BM$229</f>
        <v>0</v>
      </c>
      <c r="BN55" s="703">
        <f xml:space="preserve"> ConFin!BN$229</f>
        <v>0</v>
      </c>
      <c r="BO55" s="703">
        <f xml:space="preserve"> ConFin!BO$229</f>
        <v>0</v>
      </c>
      <c r="BP55" s="703">
        <f xml:space="preserve"> ConFin!BP$229</f>
        <v>0</v>
      </c>
      <c r="BQ55" s="703">
        <f xml:space="preserve"> ConFin!BQ$229</f>
        <v>0</v>
      </c>
      <c r="BR55" s="703">
        <f xml:space="preserve"> ConFin!BR$229</f>
        <v>0</v>
      </c>
      <c r="BS55" s="703">
        <f xml:space="preserve"> ConFin!BS$229</f>
        <v>0</v>
      </c>
      <c r="BT55" s="703">
        <f xml:space="preserve"> ConFin!BT$229</f>
        <v>0</v>
      </c>
      <c r="BU55" s="703">
        <f xml:space="preserve"> ConFin!BU$229</f>
        <v>0</v>
      </c>
      <c r="BV55" s="703">
        <f xml:space="preserve"> ConFin!BV$229</f>
        <v>0</v>
      </c>
      <c r="BW55" s="703">
        <f xml:space="preserve"> ConFin!BW$229</f>
        <v>0</v>
      </c>
      <c r="BX55" s="703">
        <f xml:space="preserve"> ConFin!BX$229</f>
        <v>0</v>
      </c>
      <c r="BY55" s="703">
        <f xml:space="preserve"> ConFin!BY$229</f>
        <v>0</v>
      </c>
      <c r="BZ55" s="703">
        <f xml:space="preserve"> ConFin!BZ$229</f>
        <v>0</v>
      </c>
      <c r="CA55" s="703">
        <f xml:space="preserve"> ConFin!CA$229</f>
        <v>0</v>
      </c>
      <c r="CB55" s="703">
        <f xml:space="preserve"> ConFin!CB$229</f>
        <v>0</v>
      </c>
      <c r="CC55" s="703">
        <f xml:space="preserve"> ConFin!CC$229</f>
        <v>0</v>
      </c>
      <c r="CD55" s="703">
        <f xml:space="preserve"> ConFin!CD$229</f>
        <v>0</v>
      </c>
      <c r="CE55" s="703">
        <f xml:space="preserve"> ConFin!CE$229</f>
        <v>0</v>
      </c>
      <c r="CF55" s="703">
        <f xml:space="preserve"> ConFin!CF$229</f>
        <v>0</v>
      </c>
      <c r="CG55" s="703">
        <f xml:space="preserve"> ConFin!CG$229</f>
        <v>0</v>
      </c>
      <c r="CH55" s="703">
        <f xml:space="preserve"> ConFin!CH$229</f>
        <v>0</v>
      </c>
      <c r="CI55" s="703">
        <f xml:space="preserve"> ConFin!CI$229</f>
        <v>0</v>
      </c>
      <c r="CJ55" s="703">
        <f xml:space="preserve"> ConFin!CJ$229</f>
        <v>0</v>
      </c>
      <c r="CK55" s="703">
        <f xml:space="preserve"> ConFin!CK$229</f>
        <v>0</v>
      </c>
      <c r="CL55" s="703">
        <f xml:space="preserve"> ConFin!CL$229</f>
        <v>0</v>
      </c>
      <c r="CM55" s="703">
        <f xml:space="preserve"> ConFin!CM$229</f>
        <v>0</v>
      </c>
      <c r="CN55" s="703">
        <f xml:space="preserve"> ConFin!CN$229</f>
        <v>0</v>
      </c>
      <c r="CO55" s="703">
        <f xml:space="preserve"> ConFin!CO$229</f>
        <v>0</v>
      </c>
      <c r="CP55" s="703">
        <f xml:space="preserve"> ConFin!CP$229</f>
        <v>0</v>
      </c>
      <c r="CQ55" s="703">
        <f xml:space="preserve"> ConFin!CQ$229</f>
        <v>0</v>
      </c>
      <c r="CR55" s="703">
        <f xml:space="preserve"> ConFin!CR$229</f>
        <v>0</v>
      </c>
      <c r="CS55" s="703">
        <f xml:space="preserve"> ConFin!CS$229</f>
        <v>0</v>
      </c>
      <c r="CT55" s="703">
        <f xml:space="preserve"> ConFin!CT$229</f>
        <v>0</v>
      </c>
      <c r="CU55" s="703">
        <f xml:space="preserve"> ConFin!CU$229</f>
        <v>0</v>
      </c>
      <c r="CV55" s="703">
        <f xml:space="preserve"> ConFin!CV$229</f>
        <v>0</v>
      </c>
    </row>
    <row r="56" spans="1:100" outlineLevel="1" x14ac:dyDescent="0.2">
      <c r="D56" s="209"/>
      <c r="E56" s="235" t="str">
        <f xml:space="preserve"> Debt!E$447</f>
        <v>Shareholder loan drawdown</v>
      </c>
      <c r="F56" s="235">
        <f xml:space="preserve"> Debt!F$447</f>
        <v>0</v>
      </c>
      <c r="G56" s="235" t="str">
        <f xml:space="preserve"> Debt!G$447</f>
        <v>$ 000s</v>
      </c>
      <c r="H56" s="235">
        <f xml:space="preserve"> Debt!H$447</f>
        <v>86318.253106861201</v>
      </c>
      <c r="I56" s="235">
        <f xml:space="preserve"> Debt!I$447</f>
        <v>0</v>
      </c>
      <c r="J56" s="235">
        <f xml:space="preserve"> Debt!J$447</f>
        <v>0</v>
      </c>
      <c r="K56" s="235">
        <f xml:space="preserve"> Debt!K$447</f>
        <v>0</v>
      </c>
      <c r="L56" s="235">
        <f xml:space="preserve"> Debt!L$447</f>
        <v>0</v>
      </c>
      <c r="M56" s="235">
        <f xml:space="preserve"> Debt!M$447</f>
        <v>0</v>
      </c>
      <c r="N56" s="235">
        <f xml:space="preserve"> Debt!N$447</f>
        <v>86318.253106861201</v>
      </c>
      <c r="O56" s="235">
        <f xml:space="preserve"> Debt!O$447</f>
        <v>0</v>
      </c>
      <c r="P56" s="235">
        <f xml:space="preserve"> Debt!P$447</f>
        <v>0</v>
      </c>
      <c r="Q56" s="235">
        <f xml:space="preserve"> Debt!Q$447</f>
        <v>0</v>
      </c>
      <c r="R56" s="235">
        <f xml:space="preserve"> Debt!R$447</f>
        <v>0</v>
      </c>
      <c r="S56" s="235">
        <f xml:space="preserve"> Debt!S$447</f>
        <v>0</v>
      </c>
      <c r="T56" s="235">
        <f xml:space="preserve"> Debt!T$447</f>
        <v>0</v>
      </c>
      <c r="U56" s="235">
        <f xml:space="preserve"> Debt!U$447</f>
        <v>0</v>
      </c>
      <c r="V56" s="235">
        <f xml:space="preserve"> Debt!V$447</f>
        <v>0</v>
      </c>
      <c r="W56" s="235">
        <f xml:space="preserve"> Debt!W$447</f>
        <v>0</v>
      </c>
      <c r="X56" s="235">
        <f xml:space="preserve"> Debt!X$447</f>
        <v>0</v>
      </c>
      <c r="Y56" s="235">
        <f xml:space="preserve"> Debt!Y$447</f>
        <v>0</v>
      </c>
      <c r="Z56" s="235">
        <f xml:space="preserve"> Debt!Z$447</f>
        <v>0</v>
      </c>
      <c r="AA56" s="235">
        <f xml:space="preserve"> Debt!AA$447</f>
        <v>0</v>
      </c>
      <c r="AB56" s="235">
        <f xml:space="preserve"> Debt!AB$447</f>
        <v>0</v>
      </c>
      <c r="AC56" s="235">
        <f xml:space="preserve"> Debt!AC$447</f>
        <v>0</v>
      </c>
      <c r="AD56" s="235">
        <f xml:space="preserve"> Debt!AD$447</f>
        <v>0</v>
      </c>
      <c r="AE56" s="235">
        <f xml:space="preserve"> Debt!AE$447</f>
        <v>0</v>
      </c>
      <c r="AF56" s="235">
        <f xml:space="preserve"> Debt!AF$447</f>
        <v>0</v>
      </c>
      <c r="AG56" s="235">
        <f xml:space="preserve"> Debt!AG$447</f>
        <v>0</v>
      </c>
      <c r="AH56" s="235">
        <f xml:space="preserve"> Debt!AH$447</f>
        <v>0</v>
      </c>
      <c r="AI56" s="235">
        <f xml:space="preserve"> Debt!AI$447</f>
        <v>0</v>
      </c>
      <c r="AJ56" s="235">
        <f xml:space="preserve"> Debt!AJ$447</f>
        <v>0</v>
      </c>
      <c r="AK56" s="235">
        <f xml:space="preserve"> Debt!AK$447</f>
        <v>0</v>
      </c>
      <c r="AL56" s="235">
        <f xml:space="preserve"> Debt!AL$447</f>
        <v>0</v>
      </c>
      <c r="AM56" s="235">
        <f xml:space="preserve"> Debt!AM$447</f>
        <v>0</v>
      </c>
      <c r="AN56" s="235">
        <f xml:space="preserve"> Debt!AN$447</f>
        <v>0</v>
      </c>
      <c r="AO56" s="235">
        <f xml:space="preserve"> Debt!AO$447</f>
        <v>0</v>
      </c>
      <c r="AP56" s="235">
        <f xml:space="preserve"> Debt!AP$447</f>
        <v>0</v>
      </c>
      <c r="AQ56" s="235">
        <f xml:space="preserve"> Debt!AQ$447</f>
        <v>0</v>
      </c>
      <c r="AR56" s="235">
        <f xml:space="preserve"> Debt!AR$447</f>
        <v>0</v>
      </c>
      <c r="AS56" s="235">
        <f xml:space="preserve"> Debt!AS$447</f>
        <v>0</v>
      </c>
      <c r="AT56" s="235">
        <f xml:space="preserve"> Debt!AT$447</f>
        <v>0</v>
      </c>
      <c r="AU56" s="235">
        <f xml:space="preserve"> Debt!AU$447</f>
        <v>0</v>
      </c>
      <c r="AV56" s="235">
        <f xml:space="preserve"> Debt!AV$447</f>
        <v>0</v>
      </c>
      <c r="AW56" s="235">
        <f xml:space="preserve"> Debt!AW$447</f>
        <v>0</v>
      </c>
      <c r="AX56" s="235">
        <f xml:space="preserve"> Debt!AX$447</f>
        <v>0</v>
      </c>
      <c r="AY56" s="235">
        <f xml:space="preserve"> Debt!AY$447</f>
        <v>0</v>
      </c>
      <c r="AZ56" s="235">
        <f xml:space="preserve"> Debt!AZ$447</f>
        <v>0</v>
      </c>
      <c r="BA56" s="235">
        <f xml:space="preserve"> Debt!BA$447</f>
        <v>0</v>
      </c>
      <c r="BB56" s="235">
        <f xml:space="preserve"> Debt!BB$447</f>
        <v>0</v>
      </c>
      <c r="BC56" s="235">
        <f xml:space="preserve"> Debt!BC$447</f>
        <v>0</v>
      </c>
      <c r="BD56" s="235">
        <f xml:space="preserve"> Debt!BD$447</f>
        <v>0</v>
      </c>
      <c r="BE56" s="235">
        <f xml:space="preserve"> Debt!BE$447</f>
        <v>0</v>
      </c>
      <c r="BF56" s="235">
        <f xml:space="preserve"> Debt!BF$447</f>
        <v>0</v>
      </c>
      <c r="BG56" s="235">
        <f xml:space="preserve"> Debt!BG$447</f>
        <v>0</v>
      </c>
      <c r="BH56" s="235">
        <f xml:space="preserve"> Debt!BH$447</f>
        <v>0</v>
      </c>
      <c r="BI56" s="235">
        <f xml:space="preserve"> Debt!BI$447</f>
        <v>0</v>
      </c>
      <c r="BJ56" s="235">
        <f xml:space="preserve"> Debt!BJ$447</f>
        <v>0</v>
      </c>
      <c r="BK56" s="235">
        <f xml:space="preserve"> Debt!BK$447</f>
        <v>0</v>
      </c>
      <c r="BL56" s="235">
        <f xml:space="preserve"> Debt!BL$447</f>
        <v>0</v>
      </c>
      <c r="BM56" s="235">
        <f xml:space="preserve"> Debt!BM$447</f>
        <v>0</v>
      </c>
      <c r="BN56" s="235">
        <f xml:space="preserve"> Debt!BN$447</f>
        <v>0</v>
      </c>
      <c r="BO56" s="235">
        <f xml:space="preserve"> Debt!BO$447</f>
        <v>0</v>
      </c>
      <c r="BP56" s="235">
        <f xml:space="preserve"> Debt!BP$447</f>
        <v>0</v>
      </c>
      <c r="BQ56" s="235">
        <f xml:space="preserve"> Debt!BQ$447</f>
        <v>0</v>
      </c>
      <c r="BR56" s="235">
        <f xml:space="preserve"> Debt!BR$447</f>
        <v>0</v>
      </c>
      <c r="BS56" s="235">
        <f xml:space="preserve"> Debt!BS$447</f>
        <v>0</v>
      </c>
      <c r="BT56" s="235">
        <f xml:space="preserve"> Debt!BT$447</f>
        <v>0</v>
      </c>
      <c r="BU56" s="235">
        <f xml:space="preserve"> Debt!BU$447</f>
        <v>0</v>
      </c>
      <c r="BV56" s="235">
        <f xml:space="preserve"> Debt!BV$447</f>
        <v>0</v>
      </c>
      <c r="BW56" s="235">
        <f xml:space="preserve"> Debt!BW$447</f>
        <v>0</v>
      </c>
      <c r="BX56" s="235">
        <f xml:space="preserve"> Debt!BX$447</f>
        <v>0</v>
      </c>
      <c r="BY56" s="235">
        <f xml:space="preserve"> Debt!BY$447</f>
        <v>0</v>
      </c>
      <c r="BZ56" s="235">
        <f xml:space="preserve"> Debt!BZ$447</f>
        <v>0</v>
      </c>
      <c r="CA56" s="235">
        <f xml:space="preserve"> Debt!CA$447</f>
        <v>0</v>
      </c>
      <c r="CB56" s="235">
        <f xml:space="preserve"> Debt!CB$447</f>
        <v>0</v>
      </c>
      <c r="CC56" s="235">
        <f xml:space="preserve"> Debt!CC$447</f>
        <v>0</v>
      </c>
      <c r="CD56" s="235">
        <f xml:space="preserve"> Debt!CD$447</f>
        <v>0</v>
      </c>
      <c r="CE56" s="235">
        <f xml:space="preserve"> Debt!CE$447</f>
        <v>0</v>
      </c>
      <c r="CF56" s="235">
        <f xml:space="preserve"> Debt!CF$447</f>
        <v>0</v>
      </c>
      <c r="CG56" s="235">
        <f xml:space="preserve"> Debt!CG$447</f>
        <v>0</v>
      </c>
      <c r="CH56" s="235">
        <f xml:space="preserve"> Debt!CH$447</f>
        <v>0</v>
      </c>
      <c r="CI56" s="235">
        <f xml:space="preserve"> Debt!CI$447</f>
        <v>0</v>
      </c>
      <c r="CJ56" s="235">
        <f xml:space="preserve"> Debt!CJ$447</f>
        <v>0</v>
      </c>
      <c r="CK56" s="235">
        <f xml:space="preserve"> Debt!CK$447</f>
        <v>0</v>
      </c>
      <c r="CL56" s="235">
        <f xml:space="preserve"> Debt!CL$447</f>
        <v>0</v>
      </c>
      <c r="CM56" s="235">
        <f xml:space="preserve"> Debt!CM$447</f>
        <v>0</v>
      </c>
      <c r="CN56" s="235">
        <f xml:space="preserve"> Debt!CN$447</f>
        <v>0</v>
      </c>
      <c r="CO56" s="235">
        <f xml:space="preserve"> Debt!CO$447</f>
        <v>0</v>
      </c>
      <c r="CP56" s="235">
        <f xml:space="preserve"> Debt!CP$447</f>
        <v>0</v>
      </c>
      <c r="CQ56" s="235">
        <f xml:space="preserve"> Debt!CQ$447</f>
        <v>0</v>
      </c>
      <c r="CR56" s="235">
        <f xml:space="preserve"> Debt!CR$447</f>
        <v>0</v>
      </c>
      <c r="CS56" s="235">
        <f xml:space="preserve"> Debt!CS$447</f>
        <v>0</v>
      </c>
      <c r="CT56" s="235">
        <f xml:space="preserve"> Debt!CT$447</f>
        <v>0</v>
      </c>
      <c r="CU56" s="235">
        <f xml:space="preserve"> Debt!CU$447</f>
        <v>0</v>
      </c>
      <c r="CV56" s="235">
        <f xml:space="preserve"> Debt!CV$447</f>
        <v>0</v>
      </c>
    </row>
    <row r="57" spans="1:100" outlineLevel="1" x14ac:dyDescent="0.2">
      <c r="D57" s="209"/>
      <c r="E57" s="235" t="str">
        <f xml:space="preserve"> ConFin!E$631</f>
        <v>Construction debt drawdown</v>
      </c>
      <c r="F57" s="235">
        <f xml:space="preserve"> ConFin!F$631</f>
        <v>0</v>
      </c>
      <c r="G57" s="235" t="str">
        <f xml:space="preserve"> ConFin!G$631</f>
        <v>$ 000s</v>
      </c>
      <c r="H57" s="235">
        <f xml:space="preserve"> ConFin!H$631</f>
        <v>250389.85226030689</v>
      </c>
      <c r="I57" s="235">
        <f xml:space="preserve"> ConFin!I$631</f>
        <v>0</v>
      </c>
      <c r="J57" s="235">
        <f xml:space="preserve"> ConFin!J$631</f>
        <v>0</v>
      </c>
      <c r="K57" s="235">
        <f xml:space="preserve"> ConFin!K$631</f>
        <v>24168.503787280471</v>
      </c>
      <c r="L57" s="235">
        <f xml:space="preserve"> ConFin!L$631</f>
        <v>73113.668388211285</v>
      </c>
      <c r="M57" s="235">
        <f xml:space="preserve"> ConFin!M$631</f>
        <v>74413.887664000751</v>
      </c>
      <c r="N57" s="235">
        <f xml:space="preserve"> ConFin!N$631</f>
        <v>78693.792420814396</v>
      </c>
      <c r="O57" s="235">
        <f xml:space="preserve"> ConFin!O$631</f>
        <v>0</v>
      </c>
      <c r="P57" s="235">
        <f xml:space="preserve"> ConFin!P$631</f>
        <v>0</v>
      </c>
      <c r="Q57" s="235">
        <f xml:space="preserve"> ConFin!Q$631</f>
        <v>0</v>
      </c>
      <c r="R57" s="235">
        <f xml:space="preserve"> ConFin!R$631</f>
        <v>0</v>
      </c>
      <c r="S57" s="235">
        <f xml:space="preserve"> ConFin!S$631</f>
        <v>0</v>
      </c>
      <c r="T57" s="235">
        <f xml:space="preserve"> ConFin!T$631</f>
        <v>0</v>
      </c>
      <c r="U57" s="235">
        <f xml:space="preserve"> ConFin!U$631</f>
        <v>0</v>
      </c>
      <c r="V57" s="235">
        <f xml:space="preserve"> ConFin!V$631</f>
        <v>0</v>
      </c>
      <c r="W57" s="235">
        <f xml:space="preserve"> ConFin!W$631</f>
        <v>0</v>
      </c>
      <c r="X57" s="235">
        <f xml:space="preserve"> ConFin!X$631</f>
        <v>0</v>
      </c>
      <c r="Y57" s="235">
        <f xml:space="preserve"> ConFin!Y$631</f>
        <v>0</v>
      </c>
      <c r="Z57" s="235">
        <f xml:space="preserve"> ConFin!Z$631</f>
        <v>0</v>
      </c>
      <c r="AA57" s="235">
        <f xml:space="preserve"> ConFin!AA$631</f>
        <v>0</v>
      </c>
      <c r="AB57" s="235">
        <f xml:space="preserve"> ConFin!AB$631</f>
        <v>0</v>
      </c>
      <c r="AC57" s="235">
        <f xml:space="preserve"> ConFin!AC$631</f>
        <v>0</v>
      </c>
      <c r="AD57" s="235">
        <f xml:space="preserve"> ConFin!AD$631</f>
        <v>0</v>
      </c>
      <c r="AE57" s="235">
        <f xml:space="preserve"> ConFin!AE$631</f>
        <v>0</v>
      </c>
      <c r="AF57" s="235">
        <f xml:space="preserve"> ConFin!AF$631</f>
        <v>0</v>
      </c>
      <c r="AG57" s="235">
        <f xml:space="preserve"> ConFin!AG$631</f>
        <v>0</v>
      </c>
      <c r="AH57" s="235">
        <f xml:space="preserve"> ConFin!AH$631</f>
        <v>0</v>
      </c>
      <c r="AI57" s="235">
        <f xml:space="preserve"> ConFin!AI$631</f>
        <v>0</v>
      </c>
      <c r="AJ57" s="235">
        <f xml:space="preserve"> ConFin!AJ$631</f>
        <v>0</v>
      </c>
      <c r="AK57" s="235">
        <f xml:space="preserve"> ConFin!AK$631</f>
        <v>0</v>
      </c>
      <c r="AL57" s="235">
        <f xml:space="preserve"> ConFin!AL$631</f>
        <v>0</v>
      </c>
      <c r="AM57" s="235">
        <f xml:space="preserve"> ConFin!AM$631</f>
        <v>0</v>
      </c>
      <c r="AN57" s="235">
        <f xml:space="preserve"> ConFin!AN$631</f>
        <v>0</v>
      </c>
      <c r="AO57" s="235">
        <f xml:space="preserve"> ConFin!AO$631</f>
        <v>0</v>
      </c>
      <c r="AP57" s="235">
        <f xml:space="preserve"> ConFin!AP$631</f>
        <v>0</v>
      </c>
      <c r="AQ57" s="235">
        <f xml:space="preserve"> ConFin!AQ$631</f>
        <v>0</v>
      </c>
      <c r="AR57" s="235">
        <f xml:space="preserve"> ConFin!AR$631</f>
        <v>0</v>
      </c>
      <c r="AS57" s="235">
        <f xml:space="preserve"> ConFin!AS$631</f>
        <v>0</v>
      </c>
      <c r="AT57" s="235">
        <f xml:space="preserve"> ConFin!AT$631</f>
        <v>0</v>
      </c>
      <c r="AU57" s="235">
        <f xml:space="preserve"> ConFin!AU$631</f>
        <v>0</v>
      </c>
      <c r="AV57" s="235">
        <f xml:space="preserve"> ConFin!AV$631</f>
        <v>0</v>
      </c>
      <c r="AW57" s="235">
        <f xml:space="preserve"> ConFin!AW$631</f>
        <v>0</v>
      </c>
      <c r="AX57" s="235">
        <f xml:space="preserve"> ConFin!AX$631</f>
        <v>0</v>
      </c>
      <c r="AY57" s="235">
        <f xml:space="preserve"> ConFin!AY$631</f>
        <v>0</v>
      </c>
      <c r="AZ57" s="235">
        <f xml:space="preserve"> ConFin!AZ$631</f>
        <v>0</v>
      </c>
      <c r="BA57" s="235">
        <f xml:space="preserve"> ConFin!BA$631</f>
        <v>0</v>
      </c>
      <c r="BB57" s="235">
        <f xml:space="preserve"> ConFin!BB$631</f>
        <v>0</v>
      </c>
      <c r="BC57" s="235">
        <f xml:space="preserve"> ConFin!BC$631</f>
        <v>0</v>
      </c>
      <c r="BD57" s="235">
        <f xml:space="preserve"> ConFin!BD$631</f>
        <v>0</v>
      </c>
      <c r="BE57" s="235">
        <f xml:space="preserve"> ConFin!BE$631</f>
        <v>0</v>
      </c>
      <c r="BF57" s="235">
        <f xml:space="preserve"> ConFin!BF$631</f>
        <v>0</v>
      </c>
      <c r="BG57" s="235">
        <f xml:space="preserve"> ConFin!BG$631</f>
        <v>0</v>
      </c>
      <c r="BH57" s="235">
        <f xml:space="preserve"> ConFin!BH$631</f>
        <v>0</v>
      </c>
      <c r="BI57" s="235">
        <f xml:space="preserve"> ConFin!BI$631</f>
        <v>0</v>
      </c>
      <c r="BJ57" s="235">
        <f xml:space="preserve"> ConFin!BJ$631</f>
        <v>0</v>
      </c>
      <c r="BK57" s="235">
        <f xml:space="preserve"> ConFin!BK$631</f>
        <v>0</v>
      </c>
      <c r="BL57" s="235">
        <f xml:space="preserve"> ConFin!BL$631</f>
        <v>0</v>
      </c>
      <c r="BM57" s="235">
        <f xml:space="preserve"> ConFin!BM$631</f>
        <v>0</v>
      </c>
      <c r="BN57" s="235">
        <f xml:space="preserve"> ConFin!BN$631</f>
        <v>0</v>
      </c>
      <c r="BO57" s="235">
        <f xml:space="preserve"> ConFin!BO$631</f>
        <v>0</v>
      </c>
      <c r="BP57" s="235">
        <f xml:space="preserve"> ConFin!BP$631</f>
        <v>0</v>
      </c>
      <c r="BQ57" s="235">
        <f xml:space="preserve"> ConFin!BQ$631</f>
        <v>0</v>
      </c>
      <c r="BR57" s="235">
        <f xml:space="preserve"> ConFin!BR$631</f>
        <v>0</v>
      </c>
      <c r="BS57" s="235">
        <f xml:space="preserve"> ConFin!BS$631</f>
        <v>0</v>
      </c>
      <c r="BT57" s="235">
        <f xml:space="preserve"> ConFin!BT$631</f>
        <v>0</v>
      </c>
      <c r="BU57" s="235">
        <f xml:space="preserve"> ConFin!BU$631</f>
        <v>0</v>
      </c>
      <c r="BV57" s="235">
        <f xml:space="preserve"> ConFin!BV$631</f>
        <v>0</v>
      </c>
      <c r="BW57" s="235">
        <f xml:space="preserve"> ConFin!BW$631</f>
        <v>0</v>
      </c>
      <c r="BX57" s="235">
        <f xml:space="preserve"> ConFin!BX$631</f>
        <v>0</v>
      </c>
      <c r="BY57" s="235">
        <f xml:space="preserve"> ConFin!BY$631</f>
        <v>0</v>
      </c>
      <c r="BZ57" s="235">
        <f xml:space="preserve"> ConFin!BZ$631</f>
        <v>0</v>
      </c>
      <c r="CA57" s="235">
        <f xml:space="preserve"> ConFin!CA$631</f>
        <v>0</v>
      </c>
      <c r="CB57" s="235">
        <f xml:space="preserve"> ConFin!CB$631</f>
        <v>0</v>
      </c>
      <c r="CC57" s="235">
        <f xml:space="preserve"> ConFin!CC$631</f>
        <v>0</v>
      </c>
      <c r="CD57" s="235">
        <f xml:space="preserve"> ConFin!CD$631</f>
        <v>0</v>
      </c>
      <c r="CE57" s="235">
        <f xml:space="preserve"> ConFin!CE$631</f>
        <v>0</v>
      </c>
      <c r="CF57" s="235">
        <f xml:space="preserve"> ConFin!CF$631</f>
        <v>0</v>
      </c>
      <c r="CG57" s="235">
        <f xml:space="preserve"> ConFin!CG$631</f>
        <v>0</v>
      </c>
      <c r="CH57" s="235">
        <f xml:space="preserve"> ConFin!CH$631</f>
        <v>0</v>
      </c>
      <c r="CI57" s="235">
        <f xml:space="preserve"> ConFin!CI$631</f>
        <v>0</v>
      </c>
      <c r="CJ57" s="235">
        <f xml:space="preserve"> ConFin!CJ$631</f>
        <v>0</v>
      </c>
      <c r="CK57" s="235">
        <f xml:space="preserve"> ConFin!CK$631</f>
        <v>0</v>
      </c>
      <c r="CL57" s="235">
        <f xml:space="preserve"> ConFin!CL$631</f>
        <v>0</v>
      </c>
      <c r="CM57" s="235">
        <f xml:space="preserve"> ConFin!CM$631</f>
        <v>0</v>
      </c>
      <c r="CN57" s="235">
        <f xml:space="preserve"> ConFin!CN$631</f>
        <v>0</v>
      </c>
      <c r="CO57" s="235">
        <f xml:space="preserve"> ConFin!CO$631</f>
        <v>0</v>
      </c>
      <c r="CP57" s="235">
        <f xml:space="preserve"> ConFin!CP$631</f>
        <v>0</v>
      </c>
      <c r="CQ57" s="235">
        <f xml:space="preserve"> ConFin!CQ$631</f>
        <v>0</v>
      </c>
      <c r="CR57" s="235">
        <f xml:space="preserve"> ConFin!CR$631</f>
        <v>0</v>
      </c>
      <c r="CS57" s="235">
        <f xml:space="preserve"> ConFin!CS$631</f>
        <v>0</v>
      </c>
      <c r="CT57" s="235">
        <f xml:space="preserve"> ConFin!CT$631</f>
        <v>0</v>
      </c>
      <c r="CU57" s="235">
        <f xml:space="preserve"> ConFin!CU$631</f>
        <v>0</v>
      </c>
      <c r="CV57" s="235">
        <f xml:space="preserve"> ConFin!CV$631</f>
        <v>0</v>
      </c>
    </row>
    <row r="58" spans="1:100" outlineLevel="1" x14ac:dyDescent="0.2">
      <c r="D58" s="209"/>
      <c r="E58" s="235" t="str">
        <f xml:space="preserve"> ConFin!E$651</f>
        <v>Standby debt drawdown</v>
      </c>
      <c r="F58" s="235">
        <f xml:space="preserve"> ConFin!F$651</f>
        <v>0</v>
      </c>
      <c r="G58" s="235" t="str">
        <f xml:space="preserve"> ConFin!G$651</f>
        <v>$ 000s</v>
      </c>
      <c r="H58" s="235">
        <f xml:space="preserve"> ConFin!H$651</f>
        <v>0</v>
      </c>
      <c r="I58" s="235">
        <f xml:space="preserve"> ConFin!I$651</f>
        <v>0</v>
      </c>
      <c r="J58" s="235">
        <f xml:space="preserve"> ConFin!J$651</f>
        <v>0</v>
      </c>
      <c r="K58" s="235">
        <f xml:space="preserve"> ConFin!K$651</f>
        <v>0</v>
      </c>
      <c r="L58" s="235">
        <f xml:space="preserve"> ConFin!L$651</f>
        <v>0</v>
      </c>
      <c r="M58" s="235">
        <f xml:space="preserve"> ConFin!M$651</f>
        <v>0</v>
      </c>
      <c r="N58" s="235">
        <f xml:space="preserve"> ConFin!N$651</f>
        <v>0</v>
      </c>
      <c r="O58" s="235">
        <f xml:space="preserve"> ConFin!O$651</f>
        <v>0</v>
      </c>
      <c r="P58" s="235">
        <f xml:space="preserve"> ConFin!P$651</f>
        <v>0</v>
      </c>
      <c r="Q58" s="235">
        <f xml:space="preserve"> ConFin!Q$651</f>
        <v>0</v>
      </c>
      <c r="R58" s="235">
        <f xml:space="preserve"> ConFin!R$651</f>
        <v>0</v>
      </c>
      <c r="S58" s="235">
        <f xml:space="preserve"> ConFin!S$651</f>
        <v>0</v>
      </c>
      <c r="T58" s="235">
        <f xml:space="preserve"> ConFin!T$651</f>
        <v>0</v>
      </c>
      <c r="U58" s="235">
        <f xml:space="preserve"> ConFin!U$651</f>
        <v>0</v>
      </c>
      <c r="V58" s="235">
        <f xml:space="preserve"> ConFin!V$651</f>
        <v>0</v>
      </c>
      <c r="W58" s="235">
        <f xml:space="preserve"> ConFin!W$651</f>
        <v>0</v>
      </c>
      <c r="X58" s="235">
        <f xml:space="preserve"> ConFin!X$651</f>
        <v>0</v>
      </c>
      <c r="Y58" s="235">
        <f xml:space="preserve"> ConFin!Y$651</f>
        <v>0</v>
      </c>
      <c r="Z58" s="235">
        <f xml:space="preserve"> ConFin!Z$651</f>
        <v>0</v>
      </c>
      <c r="AA58" s="235">
        <f xml:space="preserve"> ConFin!AA$651</f>
        <v>0</v>
      </c>
      <c r="AB58" s="235">
        <f xml:space="preserve"> ConFin!AB$651</f>
        <v>0</v>
      </c>
      <c r="AC58" s="235">
        <f xml:space="preserve"> ConFin!AC$651</f>
        <v>0</v>
      </c>
      <c r="AD58" s="235">
        <f xml:space="preserve"> ConFin!AD$651</f>
        <v>0</v>
      </c>
      <c r="AE58" s="235">
        <f xml:space="preserve"> ConFin!AE$651</f>
        <v>0</v>
      </c>
      <c r="AF58" s="235">
        <f xml:space="preserve"> ConFin!AF$651</f>
        <v>0</v>
      </c>
      <c r="AG58" s="235">
        <f xml:space="preserve"> ConFin!AG$651</f>
        <v>0</v>
      </c>
      <c r="AH58" s="235">
        <f xml:space="preserve"> ConFin!AH$651</f>
        <v>0</v>
      </c>
      <c r="AI58" s="235">
        <f xml:space="preserve"> ConFin!AI$651</f>
        <v>0</v>
      </c>
      <c r="AJ58" s="235">
        <f xml:space="preserve"> ConFin!AJ$651</f>
        <v>0</v>
      </c>
      <c r="AK58" s="235">
        <f xml:space="preserve"> ConFin!AK$651</f>
        <v>0</v>
      </c>
      <c r="AL58" s="235">
        <f xml:space="preserve"> ConFin!AL$651</f>
        <v>0</v>
      </c>
      <c r="AM58" s="235">
        <f xml:space="preserve"> ConFin!AM$651</f>
        <v>0</v>
      </c>
      <c r="AN58" s="235">
        <f xml:space="preserve"> ConFin!AN$651</f>
        <v>0</v>
      </c>
      <c r="AO58" s="235">
        <f xml:space="preserve"> ConFin!AO$651</f>
        <v>0</v>
      </c>
      <c r="AP58" s="235">
        <f xml:space="preserve"> ConFin!AP$651</f>
        <v>0</v>
      </c>
      <c r="AQ58" s="235">
        <f xml:space="preserve"> ConFin!AQ$651</f>
        <v>0</v>
      </c>
      <c r="AR58" s="235">
        <f xml:space="preserve"> ConFin!AR$651</f>
        <v>0</v>
      </c>
      <c r="AS58" s="235">
        <f xml:space="preserve"> ConFin!AS$651</f>
        <v>0</v>
      </c>
      <c r="AT58" s="235">
        <f xml:space="preserve"> ConFin!AT$651</f>
        <v>0</v>
      </c>
      <c r="AU58" s="235">
        <f xml:space="preserve"> ConFin!AU$651</f>
        <v>0</v>
      </c>
      <c r="AV58" s="235">
        <f xml:space="preserve"> ConFin!AV$651</f>
        <v>0</v>
      </c>
      <c r="AW58" s="235">
        <f xml:space="preserve"> ConFin!AW$651</f>
        <v>0</v>
      </c>
      <c r="AX58" s="235">
        <f xml:space="preserve"> ConFin!AX$651</f>
        <v>0</v>
      </c>
      <c r="AY58" s="235">
        <f xml:space="preserve"> ConFin!AY$651</f>
        <v>0</v>
      </c>
      <c r="AZ58" s="235">
        <f xml:space="preserve"> ConFin!AZ$651</f>
        <v>0</v>
      </c>
      <c r="BA58" s="235">
        <f xml:space="preserve"> ConFin!BA$651</f>
        <v>0</v>
      </c>
      <c r="BB58" s="235">
        <f xml:space="preserve"> ConFin!BB$651</f>
        <v>0</v>
      </c>
      <c r="BC58" s="235">
        <f xml:space="preserve"> ConFin!BC$651</f>
        <v>0</v>
      </c>
      <c r="BD58" s="235">
        <f xml:space="preserve"> ConFin!BD$651</f>
        <v>0</v>
      </c>
      <c r="BE58" s="235">
        <f xml:space="preserve"> ConFin!BE$651</f>
        <v>0</v>
      </c>
      <c r="BF58" s="235">
        <f xml:space="preserve"> ConFin!BF$651</f>
        <v>0</v>
      </c>
      <c r="BG58" s="235">
        <f xml:space="preserve"> ConFin!BG$651</f>
        <v>0</v>
      </c>
      <c r="BH58" s="235">
        <f xml:space="preserve"> ConFin!BH$651</f>
        <v>0</v>
      </c>
      <c r="BI58" s="235">
        <f xml:space="preserve"> ConFin!BI$651</f>
        <v>0</v>
      </c>
      <c r="BJ58" s="235">
        <f xml:space="preserve"> ConFin!BJ$651</f>
        <v>0</v>
      </c>
      <c r="BK58" s="235">
        <f xml:space="preserve"> ConFin!BK$651</f>
        <v>0</v>
      </c>
      <c r="BL58" s="235">
        <f xml:space="preserve"> ConFin!BL$651</f>
        <v>0</v>
      </c>
      <c r="BM58" s="235">
        <f xml:space="preserve"> ConFin!BM$651</f>
        <v>0</v>
      </c>
      <c r="BN58" s="235">
        <f xml:space="preserve"> ConFin!BN$651</f>
        <v>0</v>
      </c>
      <c r="BO58" s="235">
        <f xml:space="preserve"> ConFin!BO$651</f>
        <v>0</v>
      </c>
      <c r="BP58" s="235">
        <f xml:space="preserve"> ConFin!BP$651</f>
        <v>0</v>
      </c>
      <c r="BQ58" s="235">
        <f xml:space="preserve"> ConFin!BQ$651</f>
        <v>0</v>
      </c>
      <c r="BR58" s="235">
        <f xml:space="preserve"> ConFin!BR$651</f>
        <v>0</v>
      </c>
      <c r="BS58" s="235">
        <f xml:space="preserve"> ConFin!BS$651</f>
        <v>0</v>
      </c>
      <c r="BT58" s="235">
        <f xml:space="preserve"> ConFin!BT$651</f>
        <v>0</v>
      </c>
      <c r="BU58" s="235">
        <f xml:space="preserve"> ConFin!BU$651</f>
        <v>0</v>
      </c>
      <c r="BV58" s="235">
        <f xml:space="preserve"> ConFin!BV$651</f>
        <v>0</v>
      </c>
      <c r="BW58" s="235">
        <f xml:space="preserve"> ConFin!BW$651</f>
        <v>0</v>
      </c>
      <c r="BX58" s="235">
        <f xml:space="preserve"> ConFin!BX$651</f>
        <v>0</v>
      </c>
      <c r="BY58" s="235">
        <f xml:space="preserve"> ConFin!BY$651</f>
        <v>0</v>
      </c>
      <c r="BZ58" s="235">
        <f xml:space="preserve"> ConFin!BZ$651</f>
        <v>0</v>
      </c>
      <c r="CA58" s="235">
        <f xml:space="preserve"> ConFin!CA$651</f>
        <v>0</v>
      </c>
      <c r="CB58" s="235">
        <f xml:space="preserve"> ConFin!CB$651</f>
        <v>0</v>
      </c>
      <c r="CC58" s="235">
        <f xml:space="preserve"> ConFin!CC$651</f>
        <v>0</v>
      </c>
      <c r="CD58" s="235">
        <f xml:space="preserve"> ConFin!CD$651</f>
        <v>0</v>
      </c>
      <c r="CE58" s="235">
        <f xml:space="preserve"> ConFin!CE$651</f>
        <v>0</v>
      </c>
      <c r="CF58" s="235">
        <f xml:space="preserve"> ConFin!CF$651</f>
        <v>0</v>
      </c>
      <c r="CG58" s="235">
        <f xml:space="preserve"> ConFin!CG$651</f>
        <v>0</v>
      </c>
      <c r="CH58" s="235">
        <f xml:space="preserve"> ConFin!CH$651</f>
        <v>0</v>
      </c>
      <c r="CI58" s="235">
        <f xml:space="preserve"> ConFin!CI$651</f>
        <v>0</v>
      </c>
      <c r="CJ58" s="235">
        <f xml:space="preserve"> ConFin!CJ$651</f>
        <v>0</v>
      </c>
      <c r="CK58" s="235">
        <f xml:space="preserve"> ConFin!CK$651</f>
        <v>0</v>
      </c>
      <c r="CL58" s="235">
        <f xml:space="preserve"> ConFin!CL$651</f>
        <v>0</v>
      </c>
      <c r="CM58" s="235">
        <f xml:space="preserve"> ConFin!CM$651</f>
        <v>0</v>
      </c>
      <c r="CN58" s="235">
        <f xml:space="preserve"> ConFin!CN$651</f>
        <v>0</v>
      </c>
      <c r="CO58" s="235">
        <f xml:space="preserve"> ConFin!CO$651</f>
        <v>0</v>
      </c>
      <c r="CP58" s="235">
        <f xml:space="preserve"> ConFin!CP$651</f>
        <v>0</v>
      </c>
      <c r="CQ58" s="235">
        <f xml:space="preserve"> ConFin!CQ$651</f>
        <v>0</v>
      </c>
      <c r="CR58" s="235">
        <f xml:space="preserve"> ConFin!CR$651</f>
        <v>0</v>
      </c>
      <c r="CS58" s="235">
        <f xml:space="preserve"> ConFin!CS$651</f>
        <v>0</v>
      </c>
      <c r="CT58" s="235">
        <f xml:space="preserve"> ConFin!CT$651</f>
        <v>0</v>
      </c>
      <c r="CU58" s="235">
        <f xml:space="preserve"> ConFin!CU$651</f>
        <v>0</v>
      </c>
      <c r="CV58" s="235">
        <f xml:space="preserve"> ConFin!CV$651</f>
        <v>0</v>
      </c>
    </row>
    <row r="59" spans="1:100" outlineLevel="1" x14ac:dyDescent="0.2">
      <c r="D59" s="209"/>
      <c r="E59" s="235" t="str">
        <f xml:space="preserve"> ConFin!E$646</f>
        <v>Standby equity drawdown</v>
      </c>
      <c r="F59" s="235">
        <f xml:space="preserve"> ConFin!F$646</f>
        <v>0</v>
      </c>
      <c r="G59" s="235" t="str">
        <f xml:space="preserve"> ConFin!G$646</f>
        <v>$ 000s</v>
      </c>
      <c r="H59" s="235">
        <f xml:space="preserve"> ConFin!H$646</f>
        <v>0</v>
      </c>
      <c r="I59" s="235">
        <f xml:space="preserve"> ConFin!I$646</f>
        <v>0</v>
      </c>
      <c r="J59" s="235">
        <f xml:space="preserve"> ConFin!J$646</f>
        <v>0</v>
      </c>
      <c r="K59" s="235">
        <f xml:space="preserve"> ConFin!K$646</f>
        <v>0</v>
      </c>
      <c r="L59" s="235">
        <f xml:space="preserve"> ConFin!L$646</f>
        <v>0</v>
      </c>
      <c r="M59" s="235">
        <f xml:space="preserve"> ConFin!M$646</f>
        <v>0</v>
      </c>
      <c r="N59" s="235">
        <f xml:space="preserve"> ConFin!N$646</f>
        <v>0</v>
      </c>
      <c r="O59" s="235">
        <f xml:space="preserve"> ConFin!O$646</f>
        <v>0</v>
      </c>
      <c r="P59" s="235">
        <f xml:space="preserve"> ConFin!P$646</f>
        <v>0</v>
      </c>
      <c r="Q59" s="235">
        <f xml:space="preserve"> ConFin!Q$646</f>
        <v>0</v>
      </c>
      <c r="R59" s="235">
        <f xml:space="preserve"> ConFin!R$646</f>
        <v>0</v>
      </c>
      <c r="S59" s="235">
        <f xml:space="preserve"> ConFin!S$646</f>
        <v>0</v>
      </c>
      <c r="T59" s="235">
        <f xml:space="preserve"> ConFin!T$646</f>
        <v>0</v>
      </c>
      <c r="U59" s="235">
        <f xml:space="preserve"> ConFin!U$646</f>
        <v>0</v>
      </c>
      <c r="V59" s="235">
        <f xml:space="preserve"> ConFin!V$646</f>
        <v>0</v>
      </c>
      <c r="W59" s="235">
        <f xml:space="preserve"> ConFin!W$646</f>
        <v>0</v>
      </c>
      <c r="X59" s="235">
        <f xml:space="preserve"> ConFin!X$646</f>
        <v>0</v>
      </c>
      <c r="Y59" s="235">
        <f xml:space="preserve"> ConFin!Y$646</f>
        <v>0</v>
      </c>
      <c r="Z59" s="235">
        <f xml:space="preserve"> ConFin!Z$646</f>
        <v>0</v>
      </c>
      <c r="AA59" s="235">
        <f xml:space="preserve"> ConFin!AA$646</f>
        <v>0</v>
      </c>
      <c r="AB59" s="235">
        <f xml:space="preserve"> ConFin!AB$646</f>
        <v>0</v>
      </c>
      <c r="AC59" s="235">
        <f xml:space="preserve"> ConFin!AC$646</f>
        <v>0</v>
      </c>
      <c r="AD59" s="235">
        <f xml:space="preserve"> ConFin!AD$646</f>
        <v>0</v>
      </c>
      <c r="AE59" s="235">
        <f xml:space="preserve"> ConFin!AE$646</f>
        <v>0</v>
      </c>
      <c r="AF59" s="235">
        <f xml:space="preserve"> ConFin!AF$646</f>
        <v>0</v>
      </c>
      <c r="AG59" s="235">
        <f xml:space="preserve"> ConFin!AG$646</f>
        <v>0</v>
      </c>
      <c r="AH59" s="235">
        <f xml:space="preserve"> ConFin!AH$646</f>
        <v>0</v>
      </c>
      <c r="AI59" s="235">
        <f xml:space="preserve"> ConFin!AI$646</f>
        <v>0</v>
      </c>
      <c r="AJ59" s="235">
        <f xml:space="preserve"> ConFin!AJ$646</f>
        <v>0</v>
      </c>
      <c r="AK59" s="235">
        <f xml:space="preserve"> ConFin!AK$646</f>
        <v>0</v>
      </c>
      <c r="AL59" s="235">
        <f xml:space="preserve"> ConFin!AL$646</f>
        <v>0</v>
      </c>
      <c r="AM59" s="235">
        <f xml:space="preserve"> ConFin!AM$646</f>
        <v>0</v>
      </c>
      <c r="AN59" s="235">
        <f xml:space="preserve"> ConFin!AN$646</f>
        <v>0</v>
      </c>
      <c r="AO59" s="235">
        <f xml:space="preserve"> ConFin!AO$646</f>
        <v>0</v>
      </c>
      <c r="AP59" s="235">
        <f xml:space="preserve"> ConFin!AP$646</f>
        <v>0</v>
      </c>
      <c r="AQ59" s="235">
        <f xml:space="preserve"> ConFin!AQ$646</f>
        <v>0</v>
      </c>
      <c r="AR59" s="235">
        <f xml:space="preserve"> ConFin!AR$646</f>
        <v>0</v>
      </c>
      <c r="AS59" s="235">
        <f xml:space="preserve"> ConFin!AS$646</f>
        <v>0</v>
      </c>
      <c r="AT59" s="235">
        <f xml:space="preserve"> ConFin!AT$646</f>
        <v>0</v>
      </c>
      <c r="AU59" s="235">
        <f xml:space="preserve"> ConFin!AU$646</f>
        <v>0</v>
      </c>
      <c r="AV59" s="235">
        <f xml:space="preserve"> ConFin!AV$646</f>
        <v>0</v>
      </c>
      <c r="AW59" s="235">
        <f xml:space="preserve"> ConFin!AW$646</f>
        <v>0</v>
      </c>
      <c r="AX59" s="235">
        <f xml:space="preserve"> ConFin!AX$646</f>
        <v>0</v>
      </c>
      <c r="AY59" s="235">
        <f xml:space="preserve"> ConFin!AY$646</f>
        <v>0</v>
      </c>
      <c r="AZ59" s="235">
        <f xml:space="preserve"> ConFin!AZ$646</f>
        <v>0</v>
      </c>
      <c r="BA59" s="235">
        <f xml:space="preserve"> ConFin!BA$646</f>
        <v>0</v>
      </c>
      <c r="BB59" s="235">
        <f xml:space="preserve"> ConFin!BB$646</f>
        <v>0</v>
      </c>
      <c r="BC59" s="235">
        <f xml:space="preserve"> ConFin!BC$646</f>
        <v>0</v>
      </c>
      <c r="BD59" s="235">
        <f xml:space="preserve"> ConFin!BD$646</f>
        <v>0</v>
      </c>
      <c r="BE59" s="235">
        <f xml:space="preserve"> ConFin!BE$646</f>
        <v>0</v>
      </c>
      <c r="BF59" s="235">
        <f xml:space="preserve"> ConFin!BF$646</f>
        <v>0</v>
      </c>
      <c r="BG59" s="235">
        <f xml:space="preserve"> ConFin!BG$646</f>
        <v>0</v>
      </c>
      <c r="BH59" s="235">
        <f xml:space="preserve"> ConFin!BH$646</f>
        <v>0</v>
      </c>
      <c r="BI59" s="235">
        <f xml:space="preserve"> ConFin!BI$646</f>
        <v>0</v>
      </c>
      <c r="BJ59" s="235">
        <f xml:space="preserve"> ConFin!BJ$646</f>
        <v>0</v>
      </c>
      <c r="BK59" s="235">
        <f xml:space="preserve"> ConFin!BK$646</f>
        <v>0</v>
      </c>
      <c r="BL59" s="235">
        <f xml:space="preserve"> ConFin!BL$646</f>
        <v>0</v>
      </c>
      <c r="BM59" s="235">
        <f xml:space="preserve"> ConFin!BM$646</f>
        <v>0</v>
      </c>
      <c r="BN59" s="235">
        <f xml:space="preserve"> ConFin!BN$646</f>
        <v>0</v>
      </c>
      <c r="BO59" s="235">
        <f xml:space="preserve"> ConFin!BO$646</f>
        <v>0</v>
      </c>
      <c r="BP59" s="235">
        <f xml:space="preserve"> ConFin!BP$646</f>
        <v>0</v>
      </c>
      <c r="BQ59" s="235">
        <f xml:space="preserve"> ConFin!BQ$646</f>
        <v>0</v>
      </c>
      <c r="BR59" s="235">
        <f xml:space="preserve"> ConFin!BR$646</f>
        <v>0</v>
      </c>
      <c r="BS59" s="235">
        <f xml:space="preserve"> ConFin!BS$646</f>
        <v>0</v>
      </c>
      <c r="BT59" s="235">
        <f xml:space="preserve"> ConFin!BT$646</f>
        <v>0</v>
      </c>
      <c r="BU59" s="235">
        <f xml:space="preserve"> ConFin!BU$646</f>
        <v>0</v>
      </c>
      <c r="BV59" s="235">
        <f xml:space="preserve"> ConFin!BV$646</f>
        <v>0</v>
      </c>
      <c r="BW59" s="235">
        <f xml:space="preserve"> ConFin!BW$646</f>
        <v>0</v>
      </c>
      <c r="BX59" s="235">
        <f xml:space="preserve"> ConFin!BX$646</f>
        <v>0</v>
      </c>
      <c r="BY59" s="235">
        <f xml:space="preserve"> ConFin!BY$646</f>
        <v>0</v>
      </c>
      <c r="BZ59" s="235">
        <f xml:space="preserve"> ConFin!BZ$646</f>
        <v>0</v>
      </c>
      <c r="CA59" s="235">
        <f xml:space="preserve"> ConFin!CA$646</f>
        <v>0</v>
      </c>
      <c r="CB59" s="235">
        <f xml:space="preserve"> ConFin!CB$646</f>
        <v>0</v>
      </c>
      <c r="CC59" s="235">
        <f xml:space="preserve"> ConFin!CC$646</f>
        <v>0</v>
      </c>
      <c r="CD59" s="235">
        <f xml:space="preserve"> ConFin!CD$646</f>
        <v>0</v>
      </c>
      <c r="CE59" s="235">
        <f xml:space="preserve"> ConFin!CE$646</f>
        <v>0</v>
      </c>
      <c r="CF59" s="235">
        <f xml:space="preserve"> ConFin!CF$646</f>
        <v>0</v>
      </c>
      <c r="CG59" s="235">
        <f xml:space="preserve"> ConFin!CG$646</f>
        <v>0</v>
      </c>
      <c r="CH59" s="235">
        <f xml:space="preserve"> ConFin!CH$646</f>
        <v>0</v>
      </c>
      <c r="CI59" s="235">
        <f xml:space="preserve"> ConFin!CI$646</f>
        <v>0</v>
      </c>
      <c r="CJ59" s="235">
        <f xml:space="preserve"> ConFin!CJ$646</f>
        <v>0</v>
      </c>
      <c r="CK59" s="235">
        <f xml:space="preserve"> ConFin!CK$646</f>
        <v>0</v>
      </c>
      <c r="CL59" s="235">
        <f xml:space="preserve"> ConFin!CL$646</f>
        <v>0</v>
      </c>
      <c r="CM59" s="235">
        <f xml:space="preserve"> ConFin!CM$646</f>
        <v>0</v>
      </c>
      <c r="CN59" s="235">
        <f xml:space="preserve"> ConFin!CN$646</f>
        <v>0</v>
      </c>
      <c r="CO59" s="235">
        <f xml:space="preserve"> ConFin!CO$646</f>
        <v>0</v>
      </c>
      <c r="CP59" s="235">
        <f xml:space="preserve"> ConFin!CP$646</f>
        <v>0</v>
      </c>
      <c r="CQ59" s="235">
        <f xml:space="preserve"> ConFin!CQ$646</f>
        <v>0</v>
      </c>
      <c r="CR59" s="235">
        <f xml:space="preserve"> ConFin!CR$646</f>
        <v>0</v>
      </c>
      <c r="CS59" s="235">
        <f xml:space="preserve"> ConFin!CS$646</f>
        <v>0</v>
      </c>
      <c r="CT59" s="235">
        <f xml:space="preserve"> ConFin!CT$646</f>
        <v>0</v>
      </c>
      <c r="CU59" s="235">
        <f xml:space="preserve"> ConFin!CU$646</f>
        <v>0</v>
      </c>
      <c r="CV59" s="235">
        <f xml:space="preserve"> ConFin!CV$646</f>
        <v>0</v>
      </c>
    </row>
    <row r="60" spans="1:100" s="192" customFormat="1" outlineLevel="1" x14ac:dyDescent="0.2">
      <c r="A60" s="205"/>
      <c r="B60" s="205"/>
      <c r="C60" s="206"/>
      <c r="D60" s="209"/>
      <c r="E60" s="235" t="str">
        <f xml:space="preserve"> Debt!E$583</f>
        <v>WCF commitment fee</v>
      </c>
      <c r="F60" s="235">
        <f xml:space="preserve"> Debt!F$583</f>
        <v>0</v>
      </c>
      <c r="G60" s="235" t="str">
        <f xml:space="preserve"> Debt!G$583</f>
        <v>$ 000s</v>
      </c>
      <c r="H60" s="235">
        <f xml:space="preserve"> Debt!H$583</f>
        <v>0</v>
      </c>
      <c r="I60" s="235">
        <f xml:space="preserve"> Debt!I$583</f>
        <v>0</v>
      </c>
      <c r="J60" s="235">
        <f xml:space="preserve"> Debt!J$583</f>
        <v>0</v>
      </c>
      <c r="K60" s="235">
        <f xml:space="preserve"> Debt!K$583</f>
        <v>0</v>
      </c>
      <c r="L60" s="235">
        <f xml:space="preserve"> Debt!L$583</f>
        <v>0</v>
      </c>
      <c r="M60" s="235">
        <f xml:space="preserve"> Debt!M$583</f>
        <v>0</v>
      </c>
      <c r="N60" s="235">
        <f xml:space="preserve"> Debt!N$583</f>
        <v>0</v>
      </c>
      <c r="O60" s="235">
        <f xml:space="preserve"> Debt!O$583</f>
        <v>0</v>
      </c>
      <c r="P60" s="235">
        <f xml:space="preserve"> Debt!P$583</f>
        <v>0</v>
      </c>
      <c r="Q60" s="235">
        <f xml:space="preserve"> Debt!Q$583</f>
        <v>0</v>
      </c>
      <c r="R60" s="235">
        <f xml:space="preserve"> Debt!R$583</f>
        <v>0</v>
      </c>
      <c r="S60" s="235">
        <f xml:space="preserve"> Debt!S$583</f>
        <v>0</v>
      </c>
      <c r="T60" s="235">
        <f xml:space="preserve"> Debt!T$583</f>
        <v>0</v>
      </c>
      <c r="U60" s="235">
        <f xml:space="preserve"> Debt!U$583</f>
        <v>0</v>
      </c>
      <c r="V60" s="235">
        <f xml:space="preserve"> Debt!V$583</f>
        <v>0</v>
      </c>
      <c r="W60" s="235">
        <f xml:space="preserve"> Debt!W$583</f>
        <v>0</v>
      </c>
      <c r="X60" s="235">
        <f xml:space="preserve"> Debt!X$583</f>
        <v>0</v>
      </c>
      <c r="Y60" s="235">
        <f xml:space="preserve"> Debt!Y$583</f>
        <v>0</v>
      </c>
      <c r="Z60" s="235">
        <f xml:space="preserve"> Debt!Z$583</f>
        <v>0</v>
      </c>
      <c r="AA60" s="235">
        <f xml:space="preserve"> Debt!AA$583</f>
        <v>0</v>
      </c>
      <c r="AB60" s="235">
        <f xml:space="preserve"> Debt!AB$583</f>
        <v>0</v>
      </c>
      <c r="AC60" s="235">
        <f xml:space="preserve"> Debt!AC$583</f>
        <v>0</v>
      </c>
      <c r="AD60" s="235">
        <f xml:space="preserve"> Debt!AD$583</f>
        <v>0</v>
      </c>
      <c r="AE60" s="235">
        <f xml:space="preserve"> Debt!AE$583</f>
        <v>0</v>
      </c>
      <c r="AF60" s="235">
        <f xml:space="preserve"> Debt!AF$583</f>
        <v>0</v>
      </c>
      <c r="AG60" s="235">
        <f xml:space="preserve"> Debt!AG$583</f>
        <v>0</v>
      </c>
      <c r="AH60" s="235">
        <f xml:space="preserve"> Debt!AH$583</f>
        <v>0</v>
      </c>
      <c r="AI60" s="235">
        <f xml:space="preserve"> Debt!AI$583</f>
        <v>0</v>
      </c>
      <c r="AJ60" s="235">
        <f xml:space="preserve"> Debt!AJ$583</f>
        <v>0</v>
      </c>
      <c r="AK60" s="235">
        <f xml:space="preserve"> Debt!AK$583</f>
        <v>0</v>
      </c>
      <c r="AL60" s="235">
        <f xml:space="preserve"> Debt!AL$583</f>
        <v>0</v>
      </c>
      <c r="AM60" s="235">
        <f xml:space="preserve"> Debt!AM$583</f>
        <v>0</v>
      </c>
      <c r="AN60" s="235">
        <f xml:space="preserve"> Debt!AN$583</f>
        <v>0</v>
      </c>
      <c r="AO60" s="235">
        <f xml:space="preserve"> Debt!AO$583</f>
        <v>0</v>
      </c>
      <c r="AP60" s="235">
        <f xml:space="preserve"> Debt!AP$583</f>
        <v>0</v>
      </c>
      <c r="AQ60" s="235">
        <f xml:space="preserve"> Debt!AQ$583</f>
        <v>0</v>
      </c>
      <c r="AR60" s="235">
        <f xml:space="preserve"> Debt!AR$583</f>
        <v>0</v>
      </c>
      <c r="AS60" s="235">
        <f xml:space="preserve"> Debt!AS$583</f>
        <v>0</v>
      </c>
      <c r="AT60" s="235">
        <f xml:space="preserve"> Debt!AT$583</f>
        <v>0</v>
      </c>
      <c r="AU60" s="235">
        <f xml:space="preserve"> Debt!AU$583</f>
        <v>0</v>
      </c>
      <c r="AV60" s="235">
        <f xml:space="preserve"> Debt!AV$583</f>
        <v>0</v>
      </c>
      <c r="AW60" s="235">
        <f xml:space="preserve"> Debt!AW$583</f>
        <v>0</v>
      </c>
      <c r="AX60" s="235">
        <f xml:space="preserve"> Debt!AX$583</f>
        <v>0</v>
      </c>
      <c r="AY60" s="235">
        <f xml:space="preserve"> Debt!AY$583</f>
        <v>0</v>
      </c>
      <c r="AZ60" s="235">
        <f xml:space="preserve"> Debt!AZ$583</f>
        <v>0</v>
      </c>
      <c r="BA60" s="235">
        <f xml:space="preserve"> Debt!BA$583</f>
        <v>0</v>
      </c>
      <c r="BB60" s="235">
        <f xml:space="preserve"> Debt!BB$583</f>
        <v>0</v>
      </c>
      <c r="BC60" s="235">
        <f xml:space="preserve"> Debt!BC$583</f>
        <v>0</v>
      </c>
      <c r="BD60" s="235">
        <f xml:space="preserve"> Debt!BD$583</f>
        <v>0</v>
      </c>
      <c r="BE60" s="235">
        <f xml:space="preserve"> Debt!BE$583</f>
        <v>0</v>
      </c>
      <c r="BF60" s="235">
        <f xml:space="preserve"> Debt!BF$583</f>
        <v>0</v>
      </c>
      <c r="BG60" s="235">
        <f xml:space="preserve"> Debt!BG$583</f>
        <v>0</v>
      </c>
      <c r="BH60" s="235">
        <f xml:space="preserve"> Debt!BH$583</f>
        <v>0</v>
      </c>
      <c r="BI60" s="235">
        <f xml:space="preserve"> Debt!BI$583</f>
        <v>0</v>
      </c>
      <c r="BJ60" s="235">
        <f xml:space="preserve"> Debt!BJ$583</f>
        <v>0</v>
      </c>
      <c r="BK60" s="235">
        <f xml:space="preserve"> Debt!BK$583</f>
        <v>0</v>
      </c>
      <c r="BL60" s="235">
        <f xml:space="preserve"> Debt!BL$583</f>
        <v>0</v>
      </c>
      <c r="BM60" s="235">
        <f xml:space="preserve"> Debt!BM$583</f>
        <v>0</v>
      </c>
      <c r="BN60" s="235">
        <f xml:space="preserve"> Debt!BN$583</f>
        <v>0</v>
      </c>
      <c r="BO60" s="235">
        <f xml:space="preserve"> Debt!BO$583</f>
        <v>0</v>
      </c>
      <c r="BP60" s="235">
        <f xml:space="preserve"> Debt!BP$583</f>
        <v>0</v>
      </c>
      <c r="BQ60" s="235">
        <f xml:space="preserve"> Debt!BQ$583</f>
        <v>0</v>
      </c>
      <c r="BR60" s="235">
        <f xml:space="preserve"> Debt!BR$583</f>
        <v>0</v>
      </c>
      <c r="BS60" s="235">
        <f xml:space="preserve"> Debt!BS$583</f>
        <v>0</v>
      </c>
      <c r="BT60" s="235">
        <f xml:space="preserve"> Debt!BT$583</f>
        <v>0</v>
      </c>
      <c r="BU60" s="235">
        <f xml:space="preserve"> Debt!BU$583</f>
        <v>0</v>
      </c>
      <c r="BV60" s="235">
        <f xml:space="preserve"> Debt!BV$583</f>
        <v>0</v>
      </c>
      <c r="BW60" s="235">
        <f xml:space="preserve"> Debt!BW$583</f>
        <v>0</v>
      </c>
      <c r="BX60" s="235">
        <f xml:space="preserve"> Debt!BX$583</f>
        <v>0</v>
      </c>
      <c r="BY60" s="235">
        <f xml:space="preserve"> Debt!BY$583</f>
        <v>0</v>
      </c>
      <c r="BZ60" s="235">
        <f xml:space="preserve"> Debt!BZ$583</f>
        <v>0</v>
      </c>
      <c r="CA60" s="235">
        <f xml:space="preserve"> Debt!CA$583</f>
        <v>0</v>
      </c>
      <c r="CB60" s="235">
        <f xml:space="preserve"> Debt!CB$583</f>
        <v>0</v>
      </c>
      <c r="CC60" s="235">
        <f xml:space="preserve"> Debt!CC$583</f>
        <v>0</v>
      </c>
      <c r="CD60" s="235">
        <f xml:space="preserve"> Debt!CD$583</f>
        <v>0</v>
      </c>
      <c r="CE60" s="235">
        <f xml:space="preserve"> Debt!CE$583</f>
        <v>0</v>
      </c>
      <c r="CF60" s="235">
        <f xml:space="preserve"> Debt!CF$583</f>
        <v>0</v>
      </c>
      <c r="CG60" s="235">
        <f xml:space="preserve"> Debt!CG$583</f>
        <v>0</v>
      </c>
      <c r="CH60" s="235">
        <f xml:space="preserve"> Debt!CH$583</f>
        <v>0</v>
      </c>
      <c r="CI60" s="235">
        <f xml:space="preserve"> Debt!CI$583</f>
        <v>0</v>
      </c>
      <c r="CJ60" s="235">
        <f xml:space="preserve"> Debt!CJ$583</f>
        <v>0</v>
      </c>
      <c r="CK60" s="235">
        <f xml:space="preserve"> Debt!CK$583</f>
        <v>0</v>
      </c>
      <c r="CL60" s="235">
        <f xml:space="preserve"> Debt!CL$583</f>
        <v>0</v>
      </c>
      <c r="CM60" s="235">
        <f xml:space="preserve"> Debt!CM$583</f>
        <v>0</v>
      </c>
      <c r="CN60" s="235">
        <f xml:space="preserve"> Debt!CN$583</f>
        <v>0</v>
      </c>
      <c r="CO60" s="235">
        <f xml:space="preserve"> Debt!CO$583</f>
        <v>0</v>
      </c>
      <c r="CP60" s="235">
        <f xml:space="preserve"> Debt!CP$583</f>
        <v>0</v>
      </c>
      <c r="CQ60" s="235">
        <f xml:space="preserve"> Debt!CQ$583</f>
        <v>0</v>
      </c>
      <c r="CR60" s="235">
        <f xml:space="preserve"> Debt!CR$583</f>
        <v>0</v>
      </c>
      <c r="CS60" s="235">
        <f xml:space="preserve"> Debt!CS$583</f>
        <v>0</v>
      </c>
      <c r="CT60" s="235">
        <f xml:space="preserve"> Debt!CT$583</f>
        <v>0</v>
      </c>
      <c r="CU60" s="235">
        <f xml:space="preserve"> Debt!CU$583</f>
        <v>0</v>
      </c>
      <c r="CV60" s="235">
        <f xml:space="preserve"> Debt!CV$583</f>
        <v>0</v>
      </c>
    </row>
    <row r="61" spans="1:100" s="192" customFormat="1" outlineLevel="1" x14ac:dyDescent="0.2">
      <c r="A61" s="205"/>
      <c r="B61" s="205"/>
      <c r="C61" s="206"/>
      <c r="D61" s="209"/>
      <c r="E61" s="235" t="str">
        <f xml:space="preserve"> Debt!E$591</f>
        <v>WCF upfront fee</v>
      </c>
      <c r="F61" s="235">
        <f xml:space="preserve"> Debt!F$591</f>
        <v>0</v>
      </c>
      <c r="G61" s="235" t="str">
        <f xml:space="preserve"> Debt!G$591</f>
        <v>$ 000s</v>
      </c>
      <c r="H61" s="235">
        <f xml:space="preserve"> Debt!H$591</f>
        <v>0</v>
      </c>
      <c r="I61" s="235">
        <f xml:space="preserve"> Debt!I$591</f>
        <v>0</v>
      </c>
      <c r="J61" s="235">
        <f xml:space="preserve"> Debt!J$591</f>
        <v>0</v>
      </c>
      <c r="K61" s="235">
        <f xml:space="preserve"> Debt!K$591</f>
        <v>0</v>
      </c>
      <c r="L61" s="235">
        <f xml:space="preserve"> Debt!L$591</f>
        <v>0</v>
      </c>
      <c r="M61" s="235">
        <f xml:space="preserve"> Debt!M$591</f>
        <v>0</v>
      </c>
      <c r="N61" s="235">
        <f xml:space="preserve"> Debt!N$591</f>
        <v>0</v>
      </c>
      <c r="O61" s="235">
        <f xml:space="preserve"> Debt!O$591</f>
        <v>0</v>
      </c>
      <c r="P61" s="235">
        <f xml:space="preserve"> Debt!P$591</f>
        <v>0</v>
      </c>
      <c r="Q61" s="235">
        <f xml:space="preserve"> Debt!Q$591</f>
        <v>0</v>
      </c>
      <c r="R61" s="235">
        <f xml:space="preserve"> Debt!R$591</f>
        <v>0</v>
      </c>
      <c r="S61" s="235">
        <f xml:space="preserve"> Debt!S$591</f>
        <v>0</v>
      </c>
      <c r="T61" s="235">
        <f xml:space="preserve"> Debt!T$591</f>
        <v>0</v>
      </c>
      <c r="U61" s="235">
        <f xml:space="preserve"> Debt!U$591</f>
        <v>0</v>
      </c>
      <c r="V61" s="235">
        <f xml:space="preserve"> Debt!V$591</f>
        <v>0</v>
      </c>
      <c r="W61" s="235">
        <f xml:space="preserve"> Debt!W$591</f>
        <v>0</v>
      </c>
      <c r="X61" s="235">
        <f xml:space="preserve"> Debt!X$591</f>
        <v>0</v>
      </c>
      <c r="Y61" s="235">
        <f xml:space="preserve"> Debt!Y$591</f>
        <v>0</v>
      </c>
      <c r="Z61" s="235">
        <f xml:space="preserve"> Debt!Z$591</f>
        <v>0</v>
      </c>
      <c r="AA61" s="235">
        <f xml:space="preserve"> Debt!AA$591</f>
        <v>0</v>
      </c>
      <c r="AB61" s="235">
        <f xml:space="preserve"> Debt!AB$591</f>
        <v>0</v>
      </c>
      <c r="AC61" s="235">
        <f xml:space="preserve"> Debt!AC$591</f>
        <v>0</v>
      </c>
      <c r="AD61" s="235">
        <f xml:space="preserve"> Debt!AD$591</f>
        <v>0</v>
      </c>
      <c r="AE61" s="235">
        <f xml:space="preserve"> Debt!AE$591</f>
        <v>0</v>
      </c>
      <c r="AF61" s="235">
        <f xml:space="preserve"> Debt!AF$591</f>
        <v>0</v>
      </c>
      <c r="AG61" s="235">
        <f xml:space="preserve"> Debt!AG$591</f>
        <v>0</v>
      </c>
      <c r="AH61" s="235">
        <f xml:space="preserve"> Debt!AH$591</f>
        <v>0</v>
      </c>
      <c r="AI61" s="235">
        <f xml:space="preserve"> Debt!AI$591</f>
        <v>0</v>
      </c>
      <c r="AJ61" s="235">
        <f xml:space="preserve"> Debt!AJ$591</f>
        <v>0</v>
      </c>
      <c r="AK61" s="235">
        <f xml:space="preserve"> Debt!AK$591</f>
        <v>0</v>
      </c>
      <c r="AL61" s="235">
        <f xml:space="preserve"> Debt!AL$591</f>
        <v>0</v>
      </c>
      <c r="AM61" s="235">
        <f xml:space="preserve"> Debt!AM$591</f>
        <v>0</v>
      </c>
      <c r="AN61" s="235">
        <f xml:space="preserve"> Debt!AN$591</f>
        <v>0</v>
      </c>
      <c r="AO61" s="235">
        <f xml:space="preserve"> Debt!AO$591</f>
        <v>0</v>
      </c>
      <c r="AP61" s="235">
        <f xml:space="preserve"> Debt!AP$591</f>
        <v>0</v>
      </c>
      <c r="AQ61" s="235">
        <f xml:space="preserve"> Debt!AQ$591</f>
        <v>0</v>
      </c>
      <c r="AR61" s="235">
        <f xml:space="preserve"> Debt!AR$591</f>
        <v>0</v>
      </c>
      <c r="AS61" s="235">
        <f xml:space="preserve"> Debt!AS$591</f>
        <v>0</v>
      </c>
      <c r="AT61" s="235">
        <f xml:space="preserve"> Debt!AT$591</f>
        <v>0</v>
      </c>
      <c r="AU61" s="235">
        <f xml:space="preserve"> Debt!AU$591</f>
        <v>0</v>
      </c>
      <c r="AV61" s="235">
        <f xml:space="preserve"> Debt!AV$591</f>
        <v>0</v>
      </c>
      <c r="AW61" s="235">
        <f xml:space="preserve"> Debt!AW$591</f>
        <v>0</v>
      </c>
      <c r="AX61" s="235">
        <f xml:space="preserve"> Debt!AX$591</f>
        <v>0</v>
      </c>
      <c r="AY61" s="235">
        <f xml:space="preserve"> Debt!AY$591</f>
        <v>0</v>
      </c>
      <c r="AZ61" s="235">
        <f xml:space="preserve"> Debt!AZ$591</f>
        <v>0</v>
      </c>
      <c r="BA61" s="235">
        <f xml:space="preserve"> Debt!BA$591</f>
        <v>0</v>
      </c>
      <c r="BB61" s="235">
        <f xml:space="preserve"> Debt!BB$591</f>
        <v>0</v>
      </c>
      <c r="BC61" s="235">
        <f xml:space="preserve"> Debt!BC$591</f>
        <v>0</v>
      </c>
      <c r="BD61" s="235">
        <f xml:space="preserve"> Debt!BD$591</f>
        <v>0</v>
      </c>
      <c r="BE61" s="235">
        <f xml:space="preserve"> Debt!BE$591</f>
        <v>0</v>
      </c>
      <c r="BF61" s="235">
        <f xml:space="preserve"> Debt!BF$591</f>
        <v>0</v>
      </c>
      <c r="BG61" s="235">
        <f xml:space="preserve"> Debt!BG$591</f>
        <v>0</v>
      </c>
      <c r="BH61" s="235">
        <f xml:space="preserve"> Debt!BH$591</f>
        <v>0</v>
      </c>
      <c r="BI61" s="235">
        <f xml:space="preserve"> Debt!BI$591</f>
        <v>0</v>
      </c>
      <c r="BJ61" s="235">
        <f xml:space="preserve"> Debt!BJ$591</f>
        <v>0</v>
      </c>
      <c r="BK61" s="235">
        <f xml:space="preserve"> Debt!BK$591</f>
        <v>0</v>
      </c>
      <c r="BL61" s="235">
        <f xml:space="preserve"> Debt!BL$591</f>
        <v>0</v>
      </c>
      <c r="BM61" s="235">
        <f xml:space="preserve"> Debt!BM$591</f>
        <v>0</v>
      </c>
      <c r="BN61" s="235">
        <f xml:space="preserve"> Debt!BN$591</f>
        <v>0</v>
      </c>
      <c r="BO61" s="235">
        <f xml:space="preserve"> Debt!BO$591</f>
        <v>0</v>
      </c>
      <c r="BP61" s="235">
        <f xml:space="preserve"> Debt!BP$591</f>
        <v>0</v>
      </c>
      <c r="BQ61" s="235">
        <f xml:space="preserve"> Debt!BQ$591</f>
        <v>0</v>
      </c>
      <c r="BR61" s="235">
        <f xml:space="preserve"> Debt!BR$591</f>
        <v>0</v>
      </c>
      <c r="BS61" s="235">
        <f xml:space="preserve"> Debt!BS$591</f>
        <v>0</v>
      </c>
      <c r="BT61" s="235">
        <f xml:space="preserve"> Debt!BT$591</f>
        <v>0</v>
      </c>
      <c r="BU61" s="235">
        <f xml:space="preserve"> Debt!BU$591</f>
        <v>0</v>
      </c>
      <c r="BV61" s="235">
        <f xml:space="preserve"> Debt!BV$591</f>
        <v>0</v>
      </c>
      <c r="BW61" s="235">
        <f xml:space="preserve"> Debt!BW$591</f>
        <v>0</v>
      </c>
      <c r="BX61" s="235">
        <f xml:space="preserve"> Debt!BX$591</f>
        <v>0</v>
      </c>
      <c r="BY61" s="235">
        <f xml:space="preserve"> Debt!BY$591</f>
        <v>0</v>
      </c>
      <c r="BZ61" s="235">
        <f xml:space="preserve"> Debt!BZ$591</f>
        <v>0</v>
      </c>
      <c r="CA61" s="235">
        <f xml:space="preserve"> Debt!CA$591</f>
        <v>0</v>
      </c>
      <c r="CB61" s="235">
        <f xml:space="preserve"> Debt!CB$591</f>
        <v>0</v>
      </c>
      <c r="CC61" s="235">
        <f xml:space="preserve"> Debt!CC$591</f>
        <v>0</v>
      </c>
      <c r="CD61" s="235">
        <f xml:space="preserve"> Debt!CD$591</f>
        <v>0</v>
      </c>
      <c r="CE61" s="235">
        <f xml:space="preserve"> Debt!CE$591</f>
        <v>0</v>
      </c>
      <c r="CF61" s="235">
        <f xml:space="preserve"> Debt!CF$591</f>
        <v>0</v>
      </c>
      <c r="CG61" s="235">
        <f xml:space="preserve"> Debt!CG$591</f>
        <v>0</v>
      </c>
      <c r="CH61" s="235">
        <f xml:space="preserve"> Debt!CH$591</f>
        <v>0</v>
      </c>
      <c r="CI61" s="235">
        <f xml:space="preserve"> Debt!CI$591</f>
        <v>0</v>
      </c>
      <c r="CJ61" s="235">
        <f xml:space="preserve"> Debt!CJ$591</f>
        <v>0</v>
      </c>
      <c r="CK61" s="235">
        <f xml:space="preserve"> Debt!CK$591</f>
        <v>0</v>
      </c>
      <c r="CL61" s="235">
        <f xml:space="preserve"> Debt!CL$591</f>
        <v>0</v>
      </c>
      <c r="CM61" s="235">
        <f xml:space="preserve"> Debt!CM$591</f>
        <v>0</v>
      </c>
      <c r="CN61" s="235">
        <f xml:space="preserve"> Debt!CN$591</f>
        <v>0</v>
      </c>
      <c r="CO61" s="235">
        <f xml:space="preserve"> Debt!CO$591</f>
        <v>0</v>
      </c>
      <c r="CP61" s="235">
        <f xml:space="preserve"> Debt!CP$591</f>
        <v>0</v>
      </c>
      <c r="CQ61" s="235">
        <f xml:space="preserve"> Debt!CQ$591</f>
        <v>0</v>
      </c>
      <c r="CR61" s="235">
        <f xml:space="preserve"> Debt!CR$591</f>
        <v>0</v>
      </c>
      <c r="CS61" s="235">
        <f xml:space="preserve"> Debt!CS$591</f>
        <v>0</v>
      </c>
      <c r="CT61" s="235">
        <f xml:space="preserve"> Debt!CT$591</f>
        <v>0</v>
      </c>
      <c r="CU61" s="235">
        <f xml:space="preserve"> Debt!CU$591</f>
        <v>0</v>
      </c>
      <c r="CV61" s="235">
        <f xml:space="preserve"> Debt!CV$591</f>
        <v>0</v>
      </c>
    </row>
    <row r="62" spans="1:100" s="192" customFormat="1" outlineLevel="1" x14ac:dyDescent="0.2">
      <c r="A62" s="205"/>
      <c r="B62" s="205"/>
      <c r="C62" s="206"/>
      <c r="D62" s="209"/>
      <c r="E62" s="235" t="str">
        <f xml:space="preserve"> Debt!E$605</f>
        <v>WCF interest accrued and paid</v>
      </c>
      <c r="F62" s="235">
        <f xml:space="preserve"> Debt!F$605</f>
        <v>0</v>
      </c>
      <c r="G62" s="235" t="str">
        <f xml:space="preserve"> Debt!G$605</f>
        <v>$ 000s</v>
      </c>
      <c r="H62" s="235">
        <f xml:space="preserve"> Debt!H$605</f>
        <v>0</v>
      </c>
      <c r="I62" s="235">
        <f xml:space="preserve"> Debt!I$605</f>
        <v>0</v>
      </c>
      <c r="J62" s="235">
        <f xml:space="preserve"> Debt!J$605</f>
        <v>0</v>
      </c>
      <c r="K62" s="235">
        <f xml:space="preserve"> Debt!K$605</f>
        <v>0</v>
      </c>
      <c r="L62" s="235">
        <f xml:space="preserve"> Debt!L$605</f>
        <v>0</v>
      </c>
      <c r="M62" s="235">
        <f xml:space="preserve"> Debt!M$605</f>
        <v>0</v>
      </c>
      <c r="N62" s="235">
        <f xml:space="preserve"> Debt!N$605</f>
        <v>0</v>
      </c>
      <c r="O62" s="235">
        <f xml:space="preserve"> Debt!O$605</f>
        <v>0</v>
      </c>
      <c r="P62" s="235">
        <f xml:space="preserve"> Debt!P$605</f>
        <v>0</v>
      </c>
      <c r="Q62" s="235">
        <f xml:space="preserve"> Debt!Q$605</f>
        <v>0</v>
      </c>
      <c r="R62" s="235">
        <f xml:space="preserve"> Debt!R$605</f>
        <v>0</v>
      </c>
      <c r="S62" s="235">
        <f xml:space="preserve"> Debt!S$605</f>
        <v>0</v>
      </c>
      <c r="T62" s="235">
        <f xml:space="preserve"> Debt!T$605</f>
        <v>0</v>
      </c>
      <c r="U62" s="235">
        <f xml:space="preserve"> Debt!U$605</f>
        <v>0</v>
      </c>
      <c r="V62" s="235">
        <f xml:space="preserve"> Debt!V$605</f>
        <v>0</v>
      </c>
      <c r="W62" s="235">
        <f xml:space="preserve"> Debt!W$605</f>
        <v>0</v>
      </c>
      <c r="X62" s="235">
        <f xml:space="preserve"> Debt!X$605</f>
        <v>0</v>
      </c>
      <c r="Y62" s="235">
        <f xml:space="preserve"> Debt!Y$605</f>
        <v>0</v>
      </c>
      <c r="Z62" s="235">
        <f xml:space="preserve"> Debt!Z$605</f>
        <v>0</v>
      </c>
      <c r="AA62" s="235">
        <f xml:space="preserve"> Debt!AA$605</f>
        <v>0</v>
      </c>
      <c r="AB62" s="235">
        <f xml:space="preserve"> Debt!AB$605</f>
        <v>0</v>
      </c>
      <c r="AC62" s="235">
        <f xml:space="preserve"> Debt!AC$605</f>
        <v>0</v>
      </c>
      <c r="AD62" s="235">
        <f xml:space="preserve"> Debt!AD$605</f>
        <v>0</v>
      </c>
      <c r="AE62" s="235">
        <f xml:space="preserve"> Debt!AE$605</f>
        <v>0</v>
      </c>
      <c r="AF62" s="235">
        <f xml:space="preserve"> Debt!AF$605</f>
        <v>0</v>
      </c>
      <c r="AG62" s="235">
        <f xml:space="preserve"> Debt!AG$605</f>
        <v>0</v>
      </c>
      <c r="AH62" s="235">
        <f xml:space="preserve"> Debt!AH$605</f>
        <v>0</v>
      </c>
      <c r="AI62" s="235">
        <f xml:space="preserve"> Debt!AI$605</f>
        <v>0</v>
      </c>
      <c r="AJ62" s="235">
        <f xml:space="preserve"> Debt!AJ$605</f>
        <v>0</v>
      </c>
      <c r="AK62" s="235">
        <f xml:space="preserve"> Debt!AK$605</f>
        <v>0</v>
      </c>
      <c r="AL62" s="235">
        <f xml:space="preserve"> Debt!AL$605</f>
        <v>0</v>
      </c>
      <c r="AM62" s="235">
        <f xml:space="preserve"> Debt!AM$605</f>
        <v>0</v>
      </c>
      <c r="AN62" s="235">
        <f xml:space="preserve"> Debt!AN$605</f>
        <v>0</v>
      </c>
      <c r="AO62" s="235">
        <f xml:space="preserve"> Debt!AO$605</f>
        <v>0</v>
      </c>
      <c r="AP62" s="235">
        <f xml:space="preserve"> Debt!AP$605</f>
        <v>0</v>
      </c>
      <c r="AQ62" s="235">
        <f xml:space="preserve"> Debt!AQ$605</f>
        <v>0</v>
      </c>
      <c r="AR62" s="235">
        <f xml:space="preserve"> Debt!AR$605</f>
        <v>0</v>
      </c>
      <c r="AS62" s="235">
        <f xml:space="preserve"> Debt!AS$605</f>
        <v>0</v>
      </c>
      <c r="AT62" s="235">
        <f xml:space="preserve"> Debt!AT$605</f>
        <v>0</v>
      </c>
      <c r="AU62" s="235">
        <f xml:space="preserve"> Debt!AU$605</f>
        <v>0</v>
      </c>
      <c r="AV62" s="235">
        <f xml:space="preserve"> Debt!AV$605</f>
        <v>0</v>
      </c>
      <c r="AW62" s="235">
        <f xml:space="preserve"> Debt!AW$605</f>
        <v>0</v>
      </c>
      <c r="AX62" s="235">
        <f xml:space="preserve"> Debt!AX$605</f>
        <v>0</v>
      </c>
      <c r="AY62" s="235">
        <f xml:space="preserve"> Debt!AY$605</f>
        <v>0</v>
      </c>
      <c r="AZ62" s="235">
        <f xml:space="preserve"> Debt!AZ$605</f>
        <v>0</v>
      </c>
      <c r="BA62" s="235">
        <f xml:space="preserve"> Debt!BA$605</f>
        <v>0</v>
      </c>
      <c r="BB62" s="235">
        <f xml:space="preserve"> Debt!BB$605</f>
        <v>0</v>
      </c>
      <c r="BC62" s="235">
        <f xml:space="preserve"> Debt!BC$605</f>
        <v>0</v>
      </c>
      <c r="BD62" s="235">
        <f xml:space="preserve"> Debt!BD$605</f>
        <v>0</v>
      </c>
      <c r="BE62" s="235">
        <f xml:space="preserve"> Debt!BE$605</f>
        <v>0</v>
      </c>
      <c r="BF62" s="235">
        <f xml:space="preserve"> Debt!BF$605</f>
        <v>0</v>
      </c>
      <c r="BG62" s="235">
        <f xml:space="preserve"> Debt!BG$605</f>
        <v>0</v>
      </c>
      <c r="BH62" s="235">
        <f xml:space="preserve"> Debt!BH$605</f>
        <v>0</v>
      </c>
      <c r="BI62" s="235">
        <f xml:space="preserve"> Debt!BI$605</f>
        <v>0</v>
      </c>
      <c r="BJ62" s="235">
        <f xml:space="preserve"> Debt!BJ$605</f>
        <v>0</v>
      </c>
      <c r="BK62" s="235">
        <f xml:space="preserve"> Debt!BK$605</f>
        <v>0</v>
      </c>
      <c r="BL62" s="235">
        <f xml:space="preserve"> Debt!BL$605</f>
        <v>0</v>
      </c>
      <c r="BM62" s="235">
        <f xml:space="preserve"> Debt!BM$605</f>
        <v>0</v>
      </c>
      <c r="BN62" s="235">
        <f xml:space="preserve"> Debt!BN$605</f>
        <v>0</v>
      </c>
      <c r="BO62" s="235">
        <f xml:space="preserve"> Debt!BO$605</f>
        <v>0</v>
      </c>
      <c r="BP62" s="235">
        <f xml:space="preserve"> Debt!BP$605</f>
        <v>0</v>
      </c>
      <c r="BQ62" s="235">
        <f xml:space="preserve"> Debt!BQ$605</f>
        <v>0</v>
      </c>
      <c r="BR62" s="235">
        <f xml:space="preserve"> Debt!BR$605</f>
        <v>0</v>
      </c>
      <c r="BS62" s="235">
        <f xml:space="preserve"> Debt!BS$605</f>
        <v>0</v>
      </c>
      <c r="BT62" s="235">
        <f xml:space="preserve"> Debt!BT$605</f>
        <v>0</v>
      </c>
      <c r="BU62" s="235">
        <f xml:space="preserve"> Debt!BU$605</f>
        <v>0</v>
      </c>
      <c r="BV62" s="235">
        <f xml:space="preserve"> Debt!BV$605</f>
        <v>0</v>
      </c>
      <c r="BW62" s="235">
        <f xml:space="preserve"> Debt!BW$605</f>
        <v>0</v>
      </c>
      <c r="BX62" s="235">
        <f xml:space="preserve"> Debt!BX$605</f>
        <v>0</v>
      </c>
      <c r="BY62" s="235">
        <f xml:space="preserve"> Debt!BY$605</f>
        <v>0</v>
      </c>
      <c r="BZ62" s="235">
        <f xml:space="preserve"> Debt!BZ$605</f>
        <v>0</v>
      </c>
      <c r="CA62" s="235">
        <f xml:space="preserve"> Debt!CA$605</f>
        <v>0</v>
      </c>
      <c r="CB62" s="235">
        <f xml:space="preserve"> Debt!CB$605</f>
        <v>0</v>
      </c>
      <c r="CC62" s="235">
        <f xml:space="preserve"> Debt!CC$605</f>
        <v>0</v>
      </c>
      <c r="CD62" s="235">
        <f xml:space="preserve"> Debt!CD$605</f>
        <v>0</v>
      </c>
      <c r="CE62" s="235">
        <f xml:space="preserve"> Debt!CE$605</f>
        <v>0</v>
      </c>
      <c r="CF62" s="235">
        <f xml:space="preserve"> Debt!CF$605</f>
        <v>0</v>
      </c>
      <c r="CG62" s="235">
        <f xml:space="preserve"> Debt!CG$605</f>
        <v>0</v>
      </c>
      <c r="CH62" s="235">
        <f xml:space="preserve"> Debt!CH$605</f>
        <v>0</v>
      </c>
      <c r="CI62" s="235">
        <f xml:space="preserve"> Debt!CI$605</f>
        <v>0</v>
      </c>
      <c r="CJ62" s="235">
        <f xml:space="preserve"> Debt!CJ$605</f>
        <v>0</v>
      </c>
      <c r="CK62" s="235">
        <f xml:space="preserve"> Debt!CK$605</f>
        <v>0</v>
      </c>
      <c r="CL62" s="235">
        <f xml:space="preserve"> Debt!CL$605</f>
        <v>0</v>
      </c>
      <c r="CM62" s="235">
        <f xml:space="preserve"> Debt!CM$605</f>
        <v>0</v>
      </c>
      <c r="CN62" s="235">
        <f xml:space="preserve"> Debt!CN$605</f>
        <v>0</v>
      </c>
      <c r="CO62" s="235">
        <f xml:space="preserve"> Debt!CO$605</f>
        <v>0</v>
      </c>
      <c r="CP62" s="235">
        <f xml:space="preserve"> Debt!CP$605</f>
        <v>0</v>
      </c>
      <c r="CQ62" s="235">
        <f xml:space="preserve"> Debt!CQ$605</f>
        <v>0</v>
      </c>
      <c r="CR62" s="235">
        <f xml:space="preserve"> Debt!CR$605</f>
        <v>0</v>
      </c>
      <c r="CS62" s="235">
        <f xml:space="preserve"> Debt!CS$605</f>
        <v>0</v>
      </c>
      <c r="CT62" s="235">
        <f xml:space="preserve"> Debt!CT$605</f>
        <v>0</v>
      </c>
      <c r="CU62" s="235">
        <f xml:space="preserve"> Debt!CU$605</f>
        <v>0</v>
      </c>
      <c r="CV62" s="235">
        <f xml:space="preserve"> Debt!CV$605</f>
        <v>0</v>
      </c>
    </row>
    <row r="63" spans="1:100" outlineLevel="1" x14ac:dyDescent="0.2">
      <c r="D63" s="209"/>
      <c r="E63" s="235" t="str">
        <f xml:space="preserve"> Debt!E$557</f>
        <v>WCF drawdown</v>
      </c>
      <c r="F63" s="235">
        <f xml:space="preserve"> Debt!F$557</f>
        <v>0</v>
      </c>
      <c r="G63" s="235" t="str">
        <f xml:space="preserve"> Debt!G$557</f>
        <v>$ 000s</v>
      </c>
      <c r="H63" s="235">
        <f xml:space="preserve"> Debt!H$557</f>
        <v>0</v>
      </c>
      <c r="I63" s="235">
        <f xml:space="preserve"> Debt!I$557</f>
        <v>0</v>
      </c>
      <c r="J63" s="235">
        <f xml:space="preserve"> Debt!J$557</f>
        <v>0</v>
      </c>
      <c r="K63" s="235">
        <f xml:space="preserve"> Debt!K$557</f>
        <v>0</v>
      </c>
      <c r="L63" s="235">
        <f xml:space="preserve"> Debt!L$557</f>
        <v>0</v>
      </c>
      <c r="M63" s="235">
        <f xml:space="preserve"> Debt!M$557</f>
        <v>0</v>
      </c>
      <c r="N63" s="235">
        <f xml:space="preserve"> Debt!N$557</f>
        <v>0</v>
      </c>
      <c r="O63" s="235">
        <f xml:space="preserve"> Debt!O$557</f>
        <v>0</v>
      </c>
      <c r="P63" s="235">
        <f xml:space="preserve"> Debt!P$557</f>
        <v>0</v>
      </c>
      <c r="Q63" s="235">
        <f xml:space="preserve"> Debt!Q$557</f>
        <v>0</v>
      </c>
      <c r="R63" s="235">
        <f xml:space="preserve"> Debt!R$557</f>
        <v>0</v>
      </c>
      <c r="S63" s="235">
        <f xml:space="preserve"> Debt!S$557</f>
        <v>0</v>
      </c>
      <c r="T63" s="235">
        <f xml:space="preserve"> Debt!T$557</f>
        <v>0</v>
      </c>
      <c r="U63" s="235">
        <f xml:space="preserve"> Debt!U$557</f>
        <v>0</v>
      </c>
      <c r="V63" s="235">
        <f xml:space="preserve"> Debt!V$557</f>
        <v>0</v>
      </c>
      <c r="W63" s="235">
        <f xml:space="preserve"> Debt!W$557</f>
        <v>0</v>
      </c>
      <c r="X63" s="235">
        <f xml:space="preserve"> Debt!X$557</f>
        <v>0</v>
      </c>
      <c r="Y63" s="235">
        <f xml:space="preserve"> Debt!Y$557</f>
        <v>0</v>
      </c>
      <c r="Z63" s="235">
        <f xml:space="preserve"> Debt!Z$557</f>
        <v>0</v>
      </c>
      <c r="AA63" s="235">
        <f xml:space="preserve"> Debt!AA$557</f>
        <v>0</v>
      </c>
      <c r="AB63" s="235">
        <f xml:space="preserve"> Debt!AB$557</f>
        <v>0</v>
      </c>
      <c r="AC63" s="235">
        <f xml:space="preserve"> Debt!AC$557</f>
        <v>0</v>
      </c>
      <c r="AD63" s="235">
        <f xml:space="preserve"> Debt!AD$557</f>
        <v>0</v>
      </c>
      <c r="AE63" s="235">
        <f xml:space="preserve"> Debt!AE$557</f>
        <v>0</v>
      </c>
      <c r="AF63" s="235">
        <f xml:space="preserve"> Debt!AF$557</f>
        <v>0</v>
      </c>
      <c r="AG63" s="235">
        <f xml:space="preserve"> Debt!AG$557</f>
        <v>0</v>
      </c>
      <c r="AH63" s="235">
        <f xml:space="preserve"> Debt!AH$557</f>
        <v>0</v>
      </c>
      <c r="AI63" s="235">
        <f xml:space="preserve"> Debt!AI$557</f>
        <v>0</v>
      </c>
      <c r="AJ63" s="235">
        <f xml:space="preserve"> Debt!AJ$557</f>
        <v>0</v>
      </c>
      <c r="AK63" s="235">
        <f xml:space="preserve"> Debt!AK$557</f>
        <v>0</v>
      </c>
      <c r="AL63" s="235">
        <f xml:space="preserve"> Debt!AL$557</f>
        <v>0</v>
      </c>
      <c r="AM63" s="235">
        <f xml:space="preserve"> Debt!AM$557</f>
        <v>0</v>
      </c>
      <c r="AN63" s="235">
        <f xml:space="preserve"> Debt!AN$557</f>
        <v>0</v>
      </c>
      <c r="AO63" s="235">
        <f xml:space="preserve"> Debt!AO$557</f>
        <v>0</v>
      </c>
      <c r="AP63" s="235">
        <f xml:space="preserve"> Debt!AP$557</f>
        <v>0</v>
      </c>
      <c r="AQ63" s="235">
        <f xml:space="preserve"> Debt!AQ$557</f>
        <v>0</v>
      </c>
      <c r="AR63" s="235">
        <f xml:space="preserve"> Debt!AR$557</f>
        <v>0</v>
      </c>
      <c r="AS63" s="235">
        <f xml:space="preserve"> Debt!AS$557</f>
        <v>0</v>
      </c>
      <c r="AT63" s="235">
        <f xml:space="preserve"> Debt!AT$557</f>
        <v>0</v>
      </c>
      <c r="AU63" s="235">
        <f xml:space="preserve"> Debt!AU$557</f>
        <v>0</v>
      </c>
      <c r="AV63" s="235">
        <f xml:space="preserve"> Debt!AV$557</f>
        <v>0</v>
      </c>
      <c r="AW63" s="235">
        <f xml:space="preserve"> Debt!AW$557</f>
        <v>0</v>
      </c>
      <c r="AX63" s="235">
        <f xml:space="preserve"> Debt!AX$557</f>
        <v>0</v>
      </c>
      <c r="AY63" s="235">
        <f xml:space="preserve"> Debt!AY$557</f>
        <v>0</v>
      </c>
      <c r="AZ63" s="235">
        <f xml:space="preserve"> Debt!AZ$557</f>
        <v>0</v>
      </c>
      <c r="BA63" s="235">
        <f xml:space="preserve"> Debt!BA$557</f>
        <v>0</v>
      </c>
      <c r="BB63" s="235">
        <f xml:space="preserve"> Debt!BB$557</f>
        <v>0</v>
      </c>
      <c r="BC63" s="235">
        <f xml:space="preserve"> Debt!BC$557</f>
        <v>0</v>
      </c>
      <c r="BD63" s="235">
        <f xml:space="preserve"> Debt!BD$557</f>
        <v>0</v>
      </c>
      <c r="BE63" s="235">
        <f xml:space="preserve"> Debt!BE$557</f>
        <v>0</v>
      </c>
      <c r="BF63" s="235">
        <f xml:space="preserve"> Debt!BF$557</f>
        <v>0</v>
      </c>
      <c r="BG63" s="235">
        <f xml:space="preserve"> Debt!BG$557</f>
        <v>0</v>
      </c>
      <c r="BH63" s="235">
        <f xml:space="preserve"> Debt!BH$557</f>
        <v>0</v>
      </c>
      <c r="BI63" s="235">
        <f xml:space="preserve"> Debt!BI$557</f>
        <v>0</v>
      </c>
      <c r="BJ63" s="235">
        <f xml:space="preserve"> Debt!BJ$557</f>
        <v>0</v>
      </c>
      <c r="BK63" s="235">
        <f xml:space="preserve"> Debt!BK$557</f>
        <v>0</v>
      </c>
      <c r="BL63" s="235">
        <f xml:space="preserve"> Debt!BL$557</f>
        <v>0</v>
      </c>
      <c r="BM63" s="235">
        <f xml:space="preserve"> Debt!BM$557</f>
        <v>0</v>
      </c>
      <c r="BN63" s="235">
        <f xml:space="preserve"> Debt!BN$557</f>
        <v>0</v>
      </c>
      <c r="BO63" s="235">
        <f xml:space="preserve"> Debt!BO$557</f>
        <v>0</v>
      </c>
      <c r="BP63" s="235">
        <f xml:space="preserve"> Debt!BP$557</f>
        <v>0</v>
      </c>
      <c r="BQ63" s="235">
        <f xml:space="preserve"> Debt!BQ$557</f>
        <v>0</v>
      </c>
      <c r="BR63" s="235">
        <f xml:space="preserve"> Debt!BR$557</f>
        <v>0</v>
      </c>
      <c r="BS63" s="235">
        <f xml:space="preserve"> Debt!BS$557</f>
        <v>0</v>
      </c>
      <c r="BT63" s="235">
        <f xml:space="preserve"> Debt!BT$557</f>
        <v>0</v>
      </c>
      <c r="BU63" s="235">
        <f xml:space="preserve"> Debt!BU$557</f>
        <v>0</v>
      </c>
      <c r="BV63" s="235">
        <f xml:space="preserve"> Debt!BV$557</f>
        <v>0</v>
      </c>
      <c r="BW63" s="235">
        <f xml:space="preserve"> Debt!BW$557</f>
        <v>0</v>
      </c>
      <c r="BX63" s="235">
        <f xml:space="preserve"> Debt!BX$557</f>
        <v>0</v>
      </c>
      <c r="BY63" s="235">
        <f xml:space="preserve"> Debt!BY$557</f>
        <v>0</v>
      </c>
      <c r="BZ63" s="235">
        <f xml:space="preserve"> Debt!BZ$557</f>
        <v>0</v>
      </c>
      <c r="CA63" s="235">
        <f xml:space="preserve"> Debt!CA$557</f>
        <v>0</v>
      </c>
      <c r="CB63" s="235">
        <f xml:space="preserve"> Debt!CB$557</f>
        <v>0</v>
      </c>
      <c r="CC63" s="235">
        <f xml:space="preserve"> Debt!CC$557</f>
        <v>0</v>
      </c>
      <c r="CD63" s="235">
        <f xml:space="preserve"> Debt!CD$557</f>
        <v>0</v>
      </c>
      <c r="CE63" s="235">
        <f xml:space="preserve"> Debt!CE$557</f>
        <v>0</v>
      </c>
      <c r="CF63" s="235">
        <f xml:space="preserve"> Debt!CF$557</f>
        <v>0</v>
      </c>
      <c r="CG63" s="235">
        <f xml:space="preserve"> Debt!CG$557</f>
        <v>0</v>
      </c>
      <c r="CH63" s="235">
        <f xml:space="preserve"> Debt!CH$557</f>
        <v>0</v>
      </c>
      <c r="CI63" s="235">
        <f xml:space="preserve"> Debt!CI$557</f>
        <v>0</v>
      </c>
      <c r="CJ63" s="235">
        <f xml:space="preserve"> Debt!CJ$557</f>
        <v>0</v>
      </c>
      <c r="CK63" s="235">
        <f xml:space="preserve"> Debt!CK$557</f>
        <v>0</v>
      </c>
      <c r="CL63" s="235">
        <f xml:space="preserve"> Debt!CL$557</f>
        <v>0</v>
      </c>
      <c r="CM63" s="235">
        <f xml:space="preserve"> Debt!CM$557</f>
        <v>0</v>
      </c>
      <c r="CN63" s="235">
        <f xml:space="preserve"> Debt!CN$557</f>
        <v>0</v>
      </c>
      <c r="CO63" s="235">
        <f xml:space="preserve"> Debt!CO$557</f>
        <v>0</v>
      </c>
      <c r="CP63" s="235">
        <f xml:space="preserve"> Debt!CP$557</f>
        <v>0</v>
      </c>
      <c r="CQ63" s="235">
        <f xml:space="preserve"> Debt!CQ$557</f>
        <v>0</v>
      </c>
      <c r="CR63" s="235">
        <f xml:space="preserve"> Debt!CR$557</f>
        <v>0</v>
      </c>
      <c r="CS63" s="235">
        <f xml:space="preserve"> Debt!CS$557</f>
        <v>0</v>
      </c>
      <c r="CT63" s="235">
        <f xml:space="preserve"> Debt!CT$557</f>
        <v>0</v>
      </c>
      <c r="CU63" s="235">
        <f xml:space="preserve"> Debt!CU$557</f>
        <v>0</v>
      </c>
      <c r="CV63" s="235">
        <f xml:space="preserve"> Debt!CV$557</f>
        <v>0</v>
      </c>
    </row>
    <row r="64" spans="1:100" outlineLevel="1" x14ac:dyDescent="0.2">
      <c r="D64" s="209"/>
      <c r="E64" s="235" t="str">
        <f xml:space="preserve"> Debt!E$568</f>
        <v>WCF repayment</v>
      </c>
      <c r="F64" s="235">
        <f xml:space="preserve"> Debt!F$568</f>
        <v>0</v>
      </c>
      <c r="G64" s="235" t="str">
        <f xml:space="preserve"> Debt!G$568</f>
        <v>$ 000s</v>
      </c>
      <c r="H64" s="235">
        <f xml:space="preserve"> Debt!H$568</f>
        <v>0</v>
      </c>
      <c r="I64" s="235">
        <f xml:space="preserve"> Debt!I$568</f>
        <v>0</v>
      </c>
      <c r="J64" s="235">
        <f xml:space="preserve"> Debt!J$568</f>
        <v>0</v>
      </c>
      <c r="K64" s="235">
        <f xml:space="preserve"> Debt!K$568</f>
        <v>0</v>
      </c>
      <c r="L64" s="235">
        <f xml:space="preserve"> Debt!L$568</f>
        <v>0</v>
      </c>
      <c r="M64" s="235">
        <f xml:space="preserve"> Debt!M$568</f>
        <v>0</v>
      </c>
      <c r="N64" s="235">
        <f xml:space="preserve"> Debt!N$568</f>
        <v>0</v>
      </c>
      <c r="O64" s="235">
        <f xml:space="preserve"> Debt!O$568</f>
        <v>0</v>
      </c>
      <c r="P64" s="235">
        <f xml:space="preserve"> Debt!P$568</f>
        <v>0</v>
      </c>
      <c r="Q64" s="235">
        <f xml:space="preserve"> Debt!Q$568</f>
        <v>0</v>
      </c>
      <c r="R64" s="235">
        <f xml:space="preserve"> Debt!R$568</f>
        <v>0</v>
      </c>
      <c r="S64" s="235">
        <f xml:space="preserve"> Debt!S$568</f>
        <v>0</v>
      </c>
      <c r="T64" s="235">
        <f xml:space="preserve"> Debt!T$568</f>
        <v>0</v>
      </c>
      <c r="U64" s="235">
        <f xml:space="preserve"> Debt!U$568</f>
        <v>0</v>
      </c>
      <c r="V64" s="235">
        <f xml:space="preserve"> Debt!V$568</f>
        <v>0</v>
      </c>
      <c r="W64" s="235">
        <f xml:space="preserve"> Debt!W$568</f>
        <v>0</v>
      </c>
      <c r="X64" s="235">
        <f xml:space="preserve"> Debt!X$568</f>
        <v>0</v>
      </c>
      <c r="Y64" s="235">
        <f xml:space="preserve"> Debt!Y$568</f>
        <v>0</v>
      </c>
      <c r="Z64" s="235">
        <f xml:space="preserve"> Debt!Z$568</f>
        <v>0</v>
      </c>
      <c r="AA64" s="235">
        <f xml:space="preserve"> Debt!AA$568</f>
        <v>0</v>
      </c>
      <c r="AB64" s="235">
        <f xml:space="preserve"> Debt!AB$568</f>
        <v>0</v>
      </c>
      <c r="AC64" s="235">
        <f xml:space="preserve"> Debt!AC$568</f>
        <v>0</v>
      </c>
      <c r="AD64" s="235">
        <f xml:space="preserve"> Debt!AD$568</f>
        <v>0</v>
      </c>
      <c r="AE64" s="235">
        <f xml:space="preserve"> Debt!AE$568</f>
        <v>0</v>
      </c>
      <c r="AF64" s="235">
        <f xml:space="preserve"> Debt!AF$568</f>
        <v>0</v>
      </c>
      <c r="AG64" s="235">
        <f xml:space="preserve"> Debt!AG$568</f>
        <v>0</v>
      </c>
      <c r="AH64" s="235">
        <f xml:space="preserve"> Debt!AH$568</f>
        <v>0</v>
      </c>
      <c r="AI64" s="235">
        <f xml:space="preserve"> Debt!AI$568</f>
        <v>0</v>
      </c>
      <c r="AJ64" s="235">
        <f xml:space="preserve"> Debt!AJ$568</f>
        <v>0</v>
      </c>
      <c r="AK64" s="235">
        <f xml:space="preserve"> Debt!AK$568</f>
        <v>0</v>
      </c>
      <c r="AL64" s="235">
        <f xml:space="preserve"> Debt!AL$568</f>
        <v>0</v>
      </c>
      <c r="AM64" s="235">
        <f xml:space="preserve"> Debt!AM$568</f>
        <v>0</v>
      </c>
      <c r="AN64" s="235">
        <f xml:space="preserve"> Debt!AN$568</f>
        <v>0</v>
      </c>
      <c r="AO64" s="235">
        <f xml:space="preserve"> Debt!AO$568</f>
        <v>0</v>
      </c>
      <c r="AP64" s="235">
        <f xml:space="preserve"> Debt!AP$568</f>
        <v>0</v>
      </c>
      <c r="AQ64" s="235">
        <f xml:space="preserve"> Debt!AQ$568</f>
        <v>0</v>
      </c>
      <c r="AR64" s="235">
        <f xml:space="preserve"> Debt!AR$568</f>
        <v>0</v>
      </c>
      <c r="AS64" s="235">
        <f xml:space="preserve"> Debt!AS$568</f>
        <v>0</v>
      </c>
      <c r="AT64" s="235">
        <f xml:space="preserve"> Debt!AT$568</f>
        <v>0</v>
      </c>
      <c r="AU64" s="235">
        <f xml:space="preserve"> Debt!AU$568</f>
        <v>0</v>
      </c>
      <c r="AV64" s="235">
        <f xml:space="preserve"> Debt!AV$568</f>
        <v>0</v>
      </c>
      <c r="AW64" s="235">
        <f xml:space="preserve"> Debt!AW$568</f>
        <v>0</v>
      </c>
      <c r="AX64" s="235">
        <f xml:space="preserve"> Debt!AX$568</f>
        <v>0</v>
      </c>
      <c r="AY64" s="235">
        <f xml:space="preserve"> Debt!AY$568</f>
        <v>0</v>
      </c>
      <c r="AZ64" s="235">
        <f xml:space="preserve"> Debt!AZ$568</f>
        <v>0</v>
      </c>
      <c r="BA64" s="235">
        <f xml:space="preserve"> Debt!BA$568</f>
        <v>0</v>
      </c>
      <c r="BB64" s="235">
        <f xml:space="preserve"> Debt!BB$568</f>
        <v>0</v>
      </c>
      <c r="BC64" s="235">
        <f xml:space="preserve"> Debt!BC$568</f>
        <v>0</v>
      </c>
      <c r="BD64" s="235">
        <f xml:space="preserve"> Debt!BD$568</f>
        <v>0</v>
      </c>
      <c r="BE64" s="235">
        <f xml:space="preserve"> Debt!BE$568</f>
        <v>0</v>
      </c>
      <c r="BF64" s="235">
        <f xml:space="preserve"> Debt!BF$568</f>
        <v>0</v>
      </c>
      <c r="BG64" s="235">
        <f xml:space="preserve"> Debt!BG$568</f>
        <v>0</v>
      </c>
      <c r="BH64" s="235">
        <f xml:space="preserve"> Debt!BH$568</f>
        <v>0</v>
      </c>
      <c r="BI64" s="235">
        <f xml:space="preserve"> Debt!BI$568</f>
        <v>0</v>
      </c>
      <c r="BJ64" s="235">
        <f xml:space="preserve"> Debt!BJ$568</f>
        <v>0</v>
      </c>
      <c r="BK64" s="235">
        <f xml:space="preserve"> Debt!BK$568</f>
        <v>0</v>
      </c>
      <c r="BL64" s="235">
        <f xml:space="preserve"> Debt!BL$568</f>
        <v>0</v>
      </c>
      <c r="BM64" s="235">
        <f xml:space="preserve"> Debt!BM$568</f>
        <v>0</v>
      </c>
      <c r="BN64" s="235">
        <f xml:space="preserve"> Debt!BN$568</f>
        <v>0</v>
      </c>
      <c r="BO64" s="235">
        <f xml:space="preserve"> Debt!BO$568</f>
        <v>0</v>
      </c>
      <c r="BP64" s="235">
        <f xml:space="preserve"> Debt!BP$568</f>
        <v>0</v>
      </c>
      <c r="BQ64" s="235">
        <f xml:space="preserve"> Debt!BQ$568</f>
        <v>0</v>
      </c>
      <c r="BR64" s="235">
        <f xml:space="preserve"> Debt!BR$568</f>
        <v>0</v>
      </c>
      <c r="BS64" s="235">
        <f xml:space="preserve"> Debt!BS$568</f>
        <v>0</v>
      </c>
      <c r="BT64" s="235">
        <f xml:space="preserve"> Debt!BT$568</f>
        <v>0</v>
      </c>
      <c r="BU64" s="235">
        <f xml:space="preserve"> Debt!BU$568</f>
        <v>0</v>
      </c>
      <c r="BV64" s="235">
        <f xml:space="preserve"> Debt!BV$568</f>
        <v>0</v>
      </c>
      <c r="BW64" s="235">
        <f xml:space="preserve"> Debt!BW$568</f>
        <v>0</v>
      </c>
      <c r="BX64" s="235">
        <f xml:space="preserve"> Debt!BX$568</f>
        <v>0</v>
      </c>
      <c r="BY64" s="235">
        <f xml:space="preserve"> Debt!BY$568</f>
        <v>0</v>
      </c>
      <c r="BZ64" s="235">
        <f xml:space="preserve"> Debt!BZ$568</f>
        <v>0</v>
      </c>
      <c r="CA64" s="235">
        <f xml:space="preserve"> Debt!CA$568</f>
        <v>0</v>
      </c>
      <c r="CB64" s="235">
        <f xml:space="preserve"> Debt!CB$568</f>
        <v>0</v>
      </c>
      <c r="CC64" s="235">
        <f xml:space="preserve"> Debt!CC$568</f>
        <v>0</v>
      </c>
      <c r="CD64" s="235">
        <f xml:space="preserve"> Debt!CD$568</f>
        <v>0</v>
      </c>
      <c r="CE64" s="235">
        <f xml:space="preserve"> Debt!CE$568</f>
        <v>0</v>
      </c>
      <c r="CF64" s="235">
        <f xml:space="preserve"> Debt!CF$568</f>
        <v>0</v>
      </c>
      <c r="CG64" s="235">
        <f xml:space="preserve"> Debt!CG$568</f>
        <v>0</v>
      </c>
      <c r="CH64" s="235">
        <f xml:space="preserve"> Debt!CH$568</f>
        <v>0</v>
      </c>
      <c r="CI64" s="235">
        <f xml:space="preserve"> Debt!CI$568</f>
        <v>0</v>
      </c>
      <c r="CJ64" s="235">
        <f xml:space="preserve"> Debt!CJ$568</f>
        <v>0</v>
      </c>
      <c r="CK64" s="235">
        <f xml:space="preserve"> Debt!CK$568</f>
        <v>0</v>
      </c>
      <c r="CL64" s="235">
        <f xml:space="preserve"> Debt!CL$568</f>
        <v>0</v>
      </c>
      <c r="CM64" s="235">
        <f xml:space="preserve"> Debt!CM$568</f>
        <v>0</v>
      </c>
      <c r="CN64" s="235">
        <f xml:space="preserve"> Debt!CN$568</f>
        <v>0</v>
      </c>
      <c r="CO64" s="235">
        <f xml:space="preserve"> Debt!CO$568</f>
        <v>0</v>
      </c>
      <c r="CP64" s="235">
        <f xml:space="preserve"> Debt!CP$568</f>
        <v>0</v>
      </c>
      <c r="CQ64" s="235">
        <f xml:space="preserve"> Debt!CQ$568</f>
        <v>0</v>
      </c>
      <c r="CR64" s="235">
        <f xml:space="preserve"> Debt!CR$568</f>
        <v>0</v>
      </c>
      <c r="CS64" s="235">
        <f xml:space="preserve"> Debt!CS$568</f>
        <v>0</v>
      </c>
      <c r="CT64" s="235">
        <f xml:space="preserve"> Debt!CT$568</f>
        <v>0</v>
      </c>
      <c r="CU64" s="235">
        <f xml:space="preserve"> Debt!CU$568</f>
        <v>0</v>
      </c>
      <c r="CV64" s="235">
        <f xml:space="preserve"> Debt!CV$568</f>
        <v>0</v>
      </c>
    </row>
    <row r="65" spans="1:192" s="191" customFormat="1" outlineLevel="1" x14ac:dyDescent="0.2">
      <c r="A65" s="205"/>
      <c r="B65" s="205"/>
      <c r="C65" s="206"/>
      <c r="D65" s="209"/>
      <c r="E65" s="232" t="s">
        <v>294</v>
      </c>
      <c r="F65" s="232"/>
      <c r="G65" s="232" t="str">
        <f xml:space="preserve"> SMU</f>
        <v>$ 000s</v>
      </c>
      <c r="H65" s="232">
        <f xml:space="preserve"> SUM(J65:CV65)</f>
        <v>587649.30780221813</v>
      </c>
      <c r="I65" s="232"/>
      <c r="J65" s="232">
        <f t="shared" ref="J65:AO65" si="20" xml:space="preserve"> J47 + SUM(J49:J64)</f>
        <v>-1.5558398445136845E-6</v>
      </c>
      <c r="K65" s="232">
        <f t="shared" si="20"/>
        <v>-1.2466658517951146E-5</v>
      </c>
      <c r="L65" s="232">
        <f t="shared" si="20"/>
        <v>-1.6754362150095403E-5</v>
      </c>
      <c r="M65" s="232">
        <f t="shared" si="20"/>
        <v>-1.9422688637860119E-5</v>
      </c>
      <c r="N65" s="232">
        <f t="shared" si="20"/>
        <v>-3.9676149608567357E-3</v>
      </c>
      <c r="O65" s="232">
        <f t="shared" si="20"/>
        <v>17761.339089615478</v>
      </c>
      <c r="P65" s="232">
        <f t="shared" si="20"/>
        <v>15707.408907742485</v>
      </c>
      <c r="Q65" s="232">
        <f t="shared" si="20"/>
        <v>15745.355493650644</v>
      </c>
      <c r="R65" s="232">
        <f t="shared" si="20"/>
        <v>15588.868818823899</v>
      </c>
      <c r="S65" s="232">
        <f t="shared" si="20"/>
        <v>15624.695450132087</v>
      </c>
      <c r="T65" s="232">
        <f t="shared" si="20"/>
        <v>15468.805976611518</v>
      </c>
      <c r="U65" s="232">
        <f t="shared" si="20"/>
        <v>15502.475660941096</v>
      </c>
      <c r="V65" s="232">
        <f t="shared" si="20"/>
        <v>15368.238112158891</v>
      </c>
      <c r="W65" s="232">
        <f t="shared" si="20"/>
        <v>15357.612782223849</v>
      </c>
      <c r="X65" s="232">
        <f t="shared" si="20"/>
        <v>15223.981670526602</v>
      </c>
      <c r="Y65" s="232">
        <f t="shared" si="20"/>
        <v>15253.223441594726</v>
      </c>
      <c r="Z65" s="232">
        <f t="shared" si="20"/>
        <v>15099.15338854069</v>
      </c>
      <c r="AA65" s="232">
        <f t="shared" si="20"/>
        <v>15126.122633909146</v>
      </c>
      <c r="AB65" s="232">
        <f t="shared" si="20"/>
        <v>14972.668690608356</v>
      </c>
      <c r="AC65" s="232">
        <f t="shared" si="20"/>
        <v>14997.325298446642</v>
      </c>
      <c r="AD65" s="232">
        <f t="shared" si="20"/>
        <v>14864.853133923503</v>
      </c>
      <c r="AE65" s="232">
        <f t="shared" si="20"/>
        <v>14846.434846161274</v>
      </c>
      <c r="AF65" s="232">
        <f t="shared" si="20"/>
        <v>14714.588918503887</v>
      </c>
      <c r="AG65" s="232">
        <f t="shared" si="20"/>
        <v>14734.496621546412</v>
      </c>
      <c r="AH65" s="232">
        <f t="shared" si="20"/>
        <v>14582.921507009845</v>
      </c>
      <c r="AI65" s="232">
        <f t="shared" si="20"/>
        <v>14600.391254152939</v>
      </c>
      <c r="AJ65" s="232">
        <f t="shared" si="20"/>
        <v>14449.45297630897</v>
      </c>
      <c r="AK65" s="232">
        <f t="shared" si="20"/>
        <v>14464.441277785036</v>
      </c>
      <c r="AL65" s="232">
        <f t="shared" si="20"/>
        <v>14333.778560490962</v>
      </c>
      <c r="AM65" s="232">
        <f t="shared" si="20"/>
        <v>14306.974557657806</v>
      </c>
      <c r="AN65" s="232">
        <f t="shared" si="20"/>
        <v>14176.959768611989</v>
      </c>
      <c r="AO65" s="232">
        <f t="shared" si="20"/>
        <v>14186.851142225703</v>
      </c>
      <c r="AP65" s="232">
        <f t="shared" ref="AP65:BU65" si="21" xml:space="preserve"> AP47 + SUM(AP49:AP64)</f>
        <v>14037.856776993409</v>
      </c>
      <c r="AQ65" s="232">
        <f t="shared" si="21"/>
        <v>14045.130839844553</v>
      </c>
      <c r="AR65" s="232">
        <f t="shared" si="21"/>
        <v>13896.7960059342</v>
      </c>
      <c r="AS65" s="232">
        <f t="shared" si="21"/>
        <v>13901.405610395763</v>
      </c>
      <c r="AT65" s="232">
        <f t="shared" si="21"/>
        <v>13772.600892933437</v>
      </c>
      <c r="AU65" s="232">
        <f t="shared" si="21"/>
        <v>13736.76875976386</v>
      </c>
      <c r="AV65" s="232">
        <f t="shared" si="21"/>
        <v>13608.635708810609</v>
      </c>
      <c r="AW65" s="232">
        <f t="shared" si="21"/>
        <v>13607.771090766597</v>
      </c>
      <c r="AX65" s="232">
        <f t="shared" si="21"/>
        <v>13461.451394756768</v>
      </c>
      <c r="AY65" s="232">
        <f t="shared" si="21"/>
        <v>13457.775032491649</v>
      </c>
      <c r="AZ65" s="232">
        <f t="shared" si="21"/>
        <v>13312.139691725803</v>
      </c>
      <c r="BA65" s="232">
        <f t="shared" si="21"/>
        <v>13305.600476617343</v>
      </c>
      <c r="BB65" s="232">
        <f t="shared" si="21"/>
        <v>16445.95955909419</v>
      </c>
      <c r="BC65" s="232">
        <f t="shared" si="21"/>
        <v>0</v>
      </c>
      <c r="BD65" s="232">
        <f t="shared" si="21"/>
        <v>0</v>
      </c>
      <c r="BE65" s="232">
        <f t="shared" si="21"/>
        <v>0</v>
      </c>
      <c r="BF65" s="232">
        <f t="shared" si="21"/>
        <v>0</v>
      </c>
      <c r="BG65" s="232">
        <f t="shared" si="21"/>
        <v>0</v>
      </c>
      <c r="BH65" s="232">
        <f t="shared" si="21"/>
        <v>0</v>
      </c>
      <c r="BI65" s="232">
        <f t="shared" si="21"/>
        <v>0</v>
      </c>
      <c r="BJ65" s="232">
        <f t="shared" si="21"/>
        <v>0</v>
      </c>
      <c r="BK65" s="232">
        <f t="shared" si="21"/>
        <v>0</v>
      </c>
      <c r="BL65" s="232">
        <f t="shared" si="21"/>
        <v>0</v>
      </c>
      <c r="BM65" s="232">
        <f t="shared" si="21"/>
        <v>0</v>
      </c>
      <c r="BN65" s="232">
        <f t="shared" si="21"/>
        <v>0</v>
      </c>
      <c r="BO65" s="232">
        <f t="shared" si="21"/>
        <v>0</v>
      </c>
      <c r="BP65" s="232">
        <f t="shared" si="21"/>
        <v>0</v>
      </c>
      <c r="BQ65" s="232">
        <f t="shared" si="21"/>
        <v>0</v>
      </c>
      <c r="BR65" s="232">
        <f t="shared" si="21"/>
        <v>0</v>
      </c>
      <c r="BS65" s="232">
        <f t="shared" si="21"/>
        <v>0</v>
      </c>
      <c r="BT65" s="232">
        <f t="shared" si="21"/>
        <v>0</v>
      </c>
      <c r="BU65" s="232">
        <f t="shared" si="21"/>
        <v>0</v>
      </c>
      <c r="BV65" s="232">
        <f t="shared" ref="BV65:CV65" si="22" xml:space="preserve"> BV47 + SUM(BV49:BV64)</f>
        <v>0</v>
      </c>
      <c r="BW65" s="232">
        <f t="shared" si="22"/>
        <v>0</v>
      </c>
      <c r="BX65" s="232">
        <f t="shared" si="22"/>
        <v>0</v>
      </c>
      <c r="BY65" s="232">
        <f t="shared" si="22"/>
        <v>0</v>
      </c>
      <c r="BZ65" s="232">
        <f t="shared" si="22"/>
        <v>0</v>
      </c>
      <c r="CA65" s="232">
        <f t="shared" si="22"/>
        <v>0</v>
      </c>
      <c r="CB65" s="232">
        <f t="shared" si="22"/>
        <v>0</v>
      </c>
      <c r="CC65" s="232">
        <f t="shared" si="22"/>
        <v>0</v>
      </c>
      <c r="CD65" s="232">
        <f t="shared" si="22"/>
        <v>0</v>
      </c>
      <c r="CE65" s="232">
        <f t="shared" si="22"/>
        <v>0</v>
      </c>
      <c r="CF65" s="232">
        <f t="shared" si="22"/>
        <v>0</v>
      </c>
      <c r="CG65" s="232">
        <f t="shared" si="22"/>
        <v>0</v>
      </c>
      <c r="CH65" s="232">
        <f t="shared" si="22"/>
        <v>0</v>
      </c>
      <c r="CI65" s="232">
        <f t="shared" si="22"/>
        <v>0</v>
      </c>
      <c r="CJ65" s="232">
        <f t="shared" si="22"/>
        <v>0</v>
      </c>
      <c r="CK65" s="232">
        <f t="shared" si="22"/>
        <v>0</v>
      </c>
      <c r="CL65" s="232">
        <f t="shared" si="22"/>
        <v>0</v>
      </c>
      <c r="CM65" s="232">
        <f t="shared" si="22"/>
        <v>0</v>
      </c>
      <c r="CN65" s="232">
        <f t="shared" si="22"/>
        <v>0</v>
      </c>
      <c r="CO65" s="232">
        <f t="shared" si="22"/>
        <v>0</v>
      </c>
      <c r="CP65" s="232">
        <f t="shared" si="22"/>
        <v>0</v>
      </c>
      <c r="CQ65" s="232">
        <f t="shared" si="22"/>
        <v>0</v>
      </c>
      <c r="CR65" s="232">
        <f t="shared" si="22"/>
        <v>0</v>
      </c>
      <c r="CS65" s="232">
        <f t="shared" si="22"/>
        <v>0</v>
      </c>
      <c r="CT65" s="232">
        <f t="shared" si="22"/>
        <v>0</v>
      </c>
      <c r="CU65" s="232">
        <f t="shared" si="22"/>
        <v>0</v>
      </c>
      <c r="CV65" s="232">
        <f t="shared" si="22"/>
        <v>0</v>
      </c>
    </row>
    <row r="66" spans="1:192" outlineLevel="1" x14ac:dyDescent="0.2">
      <c r="D66" s="209"/>
      <c r="E66" s="235"/>
      <c r="F66" s="235"/>
      <c r="G66" s="235"/>
      <c r="H66" s="235"/>
      <c r="I66" s="235"/>
      <c r="J66" s="235"/>
      <c r="K66" s="235"/>
      <c r="L66" s="235"/>
      <c r="M66" s="235"/>
      <c r="N66" s="235"/>
      <c r="O66" s="235"/>
      <c r="P66" s="235"/>
      <c r="Q66" s="235"/>
      <c r="R66" s="235"/>
      <c r="S66" s="235"/>
      <c r="T66" s="235"/>
      <c r="U66" s="235"/>
      <c r="V66" s="235"/>
      <c r="W66" s="235"/>
      <c r="X66" s="235"/>
      <c r="Y66" s="235"/>
      <c r="Z66" s="235"/>
      <c r="AA66" s="235"/>
      <c r="AB66" s="235"/>
      <c r="AC66" s="235"/>
      <c r="AD66" s="235"/>
      <c r="AE66" s="235"/>
      <c r="AF66" s="235"/>
      <c r="AG66" s="235"/>
      <c r="AH66" s="235"/>
      <c r="AI66" s="235"/>
      <c r="AJ66" s="235"/>
      <c r="AK66" s="235"/>
      <c r="AL66" s="235"/>
      <c r="AM66" s="235"/>
      <c r="AN66" s="235"/>
      <c r="AO66" s="235"/>
      <c r="AP66" s="235"/>
      <c r="AQ66" s="235"/>
      <c r="AR66" s="235"/>
      <c r="AS66" s="235"/>
      <c r="AT66" s="235"/>
      <c r="AU66" s="235"/>
      <c r="AV66" s="235"/>
      <c r="AW66" s="235"/>
      <c r="AX66" s="235"/>
      <c r="AY66" s="235"/>
      <c r="AZ66" s="235"/>
      <c r="BA66" s="235"/>
      <c r="BB66" s="235"/>
      <c r="BC66" s="235"/>
      <c r="BD66" s="235"/>
      <c r="BE66" s="235"/>
      <c r="BF66" s="235"/>
      <c r="BG66" s="235"/>
      <c r="BH66" s="235"/>
      <c r="BI66" s="235"/>
      <c r="BJ66" s="235"/>
      <c r="BK66" s="235"/>
      <c r="BL66" s="235"/>
      <c r="BM66" s="235"/>
      <c r="BN66" s="235"/>
      <c r="BO66" s="235"/>
      <c r="BP66" s="235"/>
      <c r="BQ66" s="235"/>
      <c r="BR66" s="235"/>
      <c r="BS66" s="235"/>
      <c r="BT66" s="235"/>
      <c r="BU66" s="235"/>
      <c r="BV66" s="235"/>
      <c r="BW66" s="235"/>
      <c r="BX66" s="235"/>
      <c r="BY66" s="235"/>
      <c r="BZ66" s="235"/>
      <c r="CA66" s="235"/>
      <c r="CB66" s="235"/>
      <c r="CC66" s="235"/>
      <c r="CD66" s="235"/>
      <c r="CE66" s="235"/>
      <c r="CF66" s="235"/>
      <c r="CG66" s="235"/>
      <c r="CH66" s="235"/>
      <c r="CI66" s="235"/>
      <c r="CJ66" s="235"/>
      <c r="CK66" s="235"/>
      <c r="CL66" s="235"/>
      <c r="CM66" s="235"/>
      <c r="CN66" s="235"/>
      <c r="CO66" s="235"/>
      <c r="CP66" s="235"/>
      <c r="CQ66" s="235"/>
      <c r="CR66" s="235"/>
      <c r="CS66" s="235"/>
      <c r="CT66" s="235"/>
      <c r="CU66" s="235"/>
      <c r="CV66" s="235"/>
    </row>
    <row r="67" spans="1:192" outlineLevel="1" x14ac:dyDescent="0.2">
      <c r="D67" s="209"/>
      <c r="E67" s="235" t="str">
        <f xml:space="preserve"> Debt!E$238</f>
        <v>Senior debt interest - T1</v>
      </c>
      <c r="F67" s="235">
        <f xml:space="preserve"> Debt!F$238</f>
        <v>0</v>
      </c>
      <c r="G67" s="235" t="str">
        <f xml:space="preserve"> Debt!G$238</f>
        <v>$ 000s</v>
      </c>
      <c r="H67" s="235">
        <f xml:space="preserve"> Debt!H$238</f>
        <v>-58932.622085008683</v>
      </c>
      <c r="I67" s="235">
        <f xml:space="preserve"> Debt!I$238</f>
        <v>0</v>
      </c>
      <c r="J67" s="235">
        <f xml:space="preserve"> Debt!J$238</f>
        <v>0</v>
      </c>
      <c r="K67" s="235">
        <f xml:space="preserve"> Debt!K$238</f>
        <v>0</v>
      </c>
      <c r="L67" s="235">
        <f xml:space="preserve"> Debt!L$238</f>
        <v>0</v>
      </c>
      <c r="M67" s="235">
        <f xml:space="preserve"> Debt!M$238</f>
        <v>0</v>
      </c>
      <c r="N67" s="235">
        <f xml:space="preserve"> Debt!N$238</f>
        <v>0</v>
      </c>
      <c r="O67" s="235">
        <f xml:space="preserve"> Debt!O$238</f>
        <v>-2687.5177475939608</v>
      </c>
      <c r="P67" s="235">
        <f xml:space="preserve"> Debt!P$238</f>
        <v>-2582.7239566536373</v>
      </c>
      <c r="Q67" s="235">
        <f xml:space="preserve"> Debt!Q$238</f>
        <v>-2574.328504175005</v>
      </c>
      <c r="R67" s="235">
        <f xml:space="preserve"> Debt!R$238</f>
        <v>-2481.3813281599528</v>
      </c>
      <c r="S67" s="235">
        <f xml:space="preserve"> Debt!S$238</f>
        <v>-2469.7293209345407</v>
      </c>
      <c r="T67" s="235">
        <f xml:space="preserve"> Debt!T$238</f>
        <v>-2376.876065985799</v>
      </c>
      <c r="U67" s="235">
        <f xml:space="preserve"> Debt!U$238</f>
        <v>-2361.8520922003349</v>
      </c>
      <c r="V67" s="235">
        <f xml:space="preserve"> Debt!V$238</f>
        <v>-2281.6182261919198</v>
      </c>
      <c r="W67" s="235">
        <f xml:space="preserve"> Debt!W$238</f>
        <v>-2250.6592852748454</v>
      </c>
      <c r="X67" s="235">
        <f xml:space="preserve"> Debt!X$238</f>
        <v>-2158.0922847899237</v>
      </c>
      <c r="Y67" s="235">
        <f xml:space="preserve"> Debt!Y$238</f>
        <v>-2237.6804315095601</v>
      </c>
      <c r="Z67" s="235">
        <f xml:space="preserve"> Debt!Z$238</f>
        <v>-2142.3886900549105</v>
      </c>
      <c r="AA67" s="235">
        <f xml:space="preserve"> Debt!AA$238</f>
        <v>-2117.0515797327043</v>
      </c>
      <c r="AB67" s="235">
        <f xml:space="preserve"> Debt!AB$238</f>
        <v>-2021.7094910691326</v>
      </c>
      <c r="AC67" s="235">
        <f xml:space="preserve"> Debt!AC$238</f>
        <v>-1992.3163229370118</v>
      </c>
      <c r="AD67" s="235">
        <f xml:space="preserve"> Debt!AD$238</f>
        <v>-1907.3851466300987</v>
      </c>
      <c r="AE67" s="235">
        <f xml:space="preserve"> Debt!AE$238</f>
        <v>-1863.349317892918</v>
      </c>
      <c r="AF67" s="235">
        <f xml:space="preserve"> Debt!AF$238</f>
        <v>-1767.9820934948079</v>
      </c>
      <c r="AG67" s="235">
        <f xml:space="preserve"> Debt!AG$238</f>
        <v>-1730.0089819557033</v>
      </c>
      <c r="AH67" s="235">
        <f xml:space="preserve"> Debt!AH$238</f>
        <v>-1634.3997473361794</v>
      </c>
      <c r="AI67" s="235">
        <f xml:space="preserve"> Debt!AI$238</f>
        <v>-1664.2398160286421</v>
      </c>
      <c r="AJ67" s="235">
        <f xml:space="preserve"> Debt!AJ$238</f>
        <v>-1565.5385581725184</v>
      </c>
      <c r="AK67" s="235">
        <f xml:space="preserve"> Debt!AK$238</f>
        <v>-1517.504166079535</v>
      </c>
      <c r="AL67" s="235">
        <f xml:space="preserve"> Debt!AL$238</f>
        <v>-1426.3062182693025</v>
      </c>
      <c r="AM67" s="235">
        <f xml:space="preserve"> Debt!AM$238</f>
        <v>-1365.2015310096476</v>
      </c>
      <c r="AN67" s="235">
        <f xml:space="preserve"> Debt!AN$238</f>
        <v>-1265.9321561833478</v>
      </c>
      <c r="AO67" s="235">
        <f xml:space="preserve"> Debt!AO$238</f>
        <v>-1207.2384434234541</v>
      </c>
      <c r="AP67" s="235">
        <f xml:space="preserve"> Debt!AP$238</f>
        <v>-1107.4310609472375</v>
      </c>
      <c r="AQ67" s="235">
        <f xml:space="preserve"> Debt!AQ$238</f>
        <v>-1043.0631804876928</v>
      </c>
      <c r="AR67" s="235">
        <f xml:space="preserve"> Debt!AR$238</f>
        <v>-942.81174989072917</v>
      </c>
      <c r="AS67" s="235">
        <f xml:space="preserve"> Debt!AS$238</f>
        <v>-872.52701382584769</v>
      </c>
      <c r="AT67" s="235">
        <f xml:space="preserve"> Debt!AT$238</f>
        <v>-652.41628467561759</v>
      </c>
      <c r="AU67" s="235">
        <f xml:space="preserve"> Debt!AU$238</f>
        <v>-443.63241738550107</v>
      </c>
      <c r="AV67" s="235">
        <f xml:space="preserve"> Debt!AV$238</f>
        <v>-219.7301918317994</v>
      </c>
      <c r="AW67" s="235">
        <f xml:space="preserve"> Debt!AW$238</f>
        <v>2.2123232123425019E-4</v>
      </c>
      <c r="AX67" s="235">
        <f xml:space="preserve"> Debt!AX$238</f>
        <v>2.1762527251847438E-4</v>
      </c>
      <c r="AY67" s="235">
        <f xml:space="preserve"> Debt!AY$238</f>
        <v>2.2123232123425019E-4</v>
      </c>
      <c r="AZ67" s="235">
        <f xml:space="preserve"> Debt!AZ$238</f>
        <v>2.1762527251847438E-4</v>
      </c>
      <c r="BA67" s="235">
        <f xml:space="preserve"> Debt!BA$238</f>
        <v>2.2123232123425019E-4</v>
      </c>
      <c r="BB67" s="235">
        <f xml:space="preserve"> Debt!BB$238</f>
        <v>2.1882762209039967E-4</v>
      </c>
      <c r="BC67" s="235">
        <f xml:space="preserve"> Debt!BC$238</f>
        <v>0</v>
      </c>
      <c r="BD67" s="235">
        <f xml:space="preserve"> Debt!BD$238</f>
        <v>0</v>
      </c>
      <c r="BE67" s="235">
        <f xml:space="preserve"> Debt!BE$238</f>
        <v>0</v>
      </c>
      <c r="BF67" s="235">
        <f xml:space="preserve"> Debt!BF$238</f>
        <v>0</v>
      </c>
      <c r="BG67" s="235">
        <f xml:space="preserve"> Debt!BG$238</f>
        <v>0</v>
      </c>
      <c r="BH67" s="235">
        <f xml:space="preserve"> Debt!BH$238</f>
        <v>0</v>
      </c>
      <c r="BI67" s="235">
        <f xml:space="preserve"> Debt!BI$238</f>
        <v>0</v>
      </c>
      <c r="BJ67" s="235">
        <f xml:space="preserve"> Debt!BJ$238</f>
        <v>0</v>
      </c>
      <c r="BK67" s="235">
        <f xml:space="preserve"> Debt!BK$238</f>
        <v>0</v>
      </c>
      <c r="BL67" s="235">
        <f xml:space="preserve"> Debt!BL$238</f>
        <v>0</v>
      </c>
      <c r="BM67" s="235">
        <f xml:space="preserve"> Debt!BM$238</f>
        <v>0</v>
      </c>
      <c r="BN67" s="235">
        <f xml:space="preserve"> Debt!BN$238</f>
        <v>0</v>
      </c>
      <c r="BO67" s="235">
        <f xml:space="preserve"> Debt!BO$238</f>
        <v>0</v>
      </c>
      <c r="BP67" s="235">
        <f xml:space="preserve"> Debt!BP$238</f>
        <v>0</v>
      </c>
      <c r="BQ67" s="235">
        <f xml:space="preserve"> Debt!BQ$238</f>
        <v>0</v>
      </c>
      <c r="BR67" s="235">
        <f xml:space="preserve"> Debt!BR$238</f>
        <v>0</v>
      </c>
      <c r="BS67" s="235">
        <f xml:space="preserve"> Debt!BS$238</f>
        <v>0</v>
      </c>
      <c r="BT67" s="235">
        <f xml:space="preserve"> Debt!BT$238</f>
        <v>0</v>
      </c>
      <c r="BU67" s="235">
        <f xml:space="preserve"> Debt!BU$238</f>
        <v>0</v>
      </c>
      <c r="BV67" s="235">
        <f xml:space="preserve"> Debt!BV$238</f>
        <v>0</v>
      </c>
      <c r="BW67" s="235">
        <f xml:space="preserve"> Debt!BW$238</f>
        <v>0</v>
      </c>
      <c r="BX67" s="235">
        <f xml:space="preserve"> Debt!BX$238</f>
        <v>0</v>
      </c>
      <c r="BY67" s="235">
        <f xml:space="preserve"> Debt!BY$238</f>
        <v>0</v>
      </c>
      <c r="BZ67" s="235">
        <f xml:space="preserve"> Debt!BZ$238</f>
        <v>0</v>
      </c>
      <c r="CA67" s="235">
        <f xml:space="preserve"> Debt!CA$238</f>
        <v>0</v>
      </c>
      <c r="CB67" s="235">
        <f xml:space="preserve"> Debt!CB$238</f>
        <v>0</v>
      </c>
      <c r="CC67" s="235">
        <f xml:space="preserve"> Debt!CC$238</f>
        <v>0</v>
      </c>
      <c r="CD67" s="235">
        <f xml:space="preserve"> Debt!CD$238</f>
        <v>0</v>
      </c>
      <c r="CE67" s="235">
        <f xml:space="preserve"> Debt!CE$238</f>
        <v>0</v>
      </c>
      <c r="CF67" s="235">
        <f xml:space="preserve"> Debt!CF$238</f>
        <v>0</v>
      </c>
      <c r="CG67" s="235">
        <f xml:space="preserve"> Debt!CG$238</f>
        <v>0</v>
      </c>
      <c r="CH67" s="235">
        <f xml:space="preserve"> Debt!CH$238</f>
        <v>0</v>
      </c>
      <c r="CI67" s="235">
        <f xml:space="preserve"> Debt!CI$238</f>
        <v>0</v>
      </c>
      <c r="CJ67" s="235">
        <f xml:space="preserve"> Debt!CJ$238</f>
        <v>0</v>
      </c>
      <c r="CK67" s="235">
        <f xml:space="preserve"> Debt!CK$238</f>
        <v>0</v>
      </c>
      <c r="CL67" s="235">
        <f xml:space="preserve"> Debt!CL$238</f>
        <v>0</v>
      </c>
      <c r="CM67" s="235">
        <f xml:space="preserve"> Debt!CM$238</f>
        <v>0</v>
      </c>
      <c r="CN67" s="235">
        <f xml:space="preserve"> Debt!CN$238</f>
        <v>0</v>
      </c>
      <c r="CO67" s="235">
        <f xml:space="preserve"> Debt!CO$238</f>
        <v>0</v>
      </c>
      <c r="CP67" s="235">
        <f xml:space="preserve"> Debt!CP$238</f>
        <v>0</v>
      </c>
      <c r="CQ67" s="235">
        <f xml:space="preserve"> Debt!CQ$238</f>
        <v>0</v>
      </c>
      <c r="CR67" s="235">
        <f xml:space="preserve"> Debt!CR$238</f>
        <v>0</v>
      </c>
      <c r="CS67" s="235">
        <f xml:space="preserve"> Debt!CS$238</f>
        <v>0</v>
      </c>
      <c r="CT67" s="235">
        <f xml:space="preserve"> Debt!CT$238</f>
        <v>0</v>
      </c>
      <c r="CU67" s="235">
        <f xml:space="preserve"> Debt!CU$238</f>
        <v>0</v>
      </c>
      <c r="CV67" s="235">
        <f xml:space="preserve"> Debt!CV$238</f>
        <v>0</v>
      </c>
    </row>
    <row r="68" spans="1:192" outlineLevel="1" x14ac:dyDescent="0.2">
      <c r="D68" s="209"/>
      <c r="E68" s="68" t="str">
        <f xml:space="preserve"> Debt!E$245</f>
        <v>Withholding tax on Senior Debt Interest T1</v>
      </c>
      <c r="F68" s="68">
        <f xml:space="preserve"> Debt!F$245</f>
        <v>0</v>
      </c>
      <c r="G68" s="68" t="str">
        <f xml:space="preserve"> Debt!G$245</f>
        <v>$ 000s</v>
      </c>
      <c r="H68" s="68">
        <f xml:space="preserve"> Debt!H$245</f>
        <v>-1202.7065731634439</v>
      </c>
      <c r="I68" s="68">
        <f xml:space="preserve"> Debt!I$245</f>
        <v>0</v>
      </c>
      <c r="J68" s="68">
        <f xml:space="preserve"> Debt!J$245</f>
        <v>0</v>
      </c>
      <c r="K68" s="68">
        <f xml:space="preserve"> Debt!K$245</f>
        <v>0</v>
      </c>
      <c r="L68" s="68">
        <f xml:space="preserve"> Debt!L$245</f>
        <v>0</v>
      </c>
      <c r="M68" s="68">
        <f xml:space="preserve"> Debt!M$245</f>
        <v>0</v>
      </c>
      <c r="N68" s="68">
        <f xml:space="preserve"> Debt!N$245</f>
        <v>0</v>
      </c>
      <c r="O68" s="68">
        <f xml:space="preserve"> Debt!O$245</f>
        <v>-54.847300971305231</v>
      </c>
      <c r="P68" s="68">
        <f xml:space="preserve"> Debt!P$245</f>
        <v>-52.708652176605028</v>
      </c>
      <c r="Q68" s="68">
        <f xml:space="preserve"> Debt!Q$245</f>
        <v>-52.537316411734992</v>
      </c>
      <c r="R68" s="68">
        <f xml:space="preserve"> Debt!R$245</f>
        <v>-50.6404352685704</v>
      </c>
      <c r="S68" s="68">
        <f xml:space="preserve"> Debt!S$245</f>
        <v>-50.402639202745831</v>
      </c>
      <c r="T68" s="68">
        <f xml:space="preserve"> Debt!T$245</f>
        <v>-48.507674816036797</v>
      </c>
      <c r="U68" s="68">
        <f xml:space="preserve"> Debt!U$245</f>
        <v>-48.201063106129368</v>
      </c>
      <c r="V68" s="68">
        <f xml:space="preserve"> Debt!V$245</f>
        <v>-46.563637269222909</v>
      </c>
      <c r="W68" s="68">
        <f xml:space="preserve"> Debt!W$245</f>
        <v>-45.931822148466381</v>
      </c>
      <c r="X68" s="68">
        <f xml:space="preserve"> Debt!X$245</f>
        <v>-44.042699689590336</v>
      </c>
      <c r="Y68" s="68">
        <f xml:space="preserve"> Debt!Y$245</f>
        <v>-45.666947581827571</v>
      </c>
      <c r="Z68" s="68">
        <f xml:space="preserve"> Debt!Z$245</f>
        <v>-43.722218164386049</v>
      </c>
      <c r="AA68" s="68">
        <f xml:space="preserve"> Debt!AA$245</f>
        <v>-43.205134280259244</v>
      </c>
      <c r="AB68" s="68">
        <f xml:space="preserve"> Debt!AB$245</f>
        <v>-41.259377368757669</v>
      </c>
      <c r="AC68" s="68">
        <f xml:space="preserve"> Debt!AC$245</f>
        <v>-40.659516794632964</v>
      </c>
      <c r="AD68" s="68">
        <f xml:space="preserve"> Debt!AD$245</f>
        <v>-38.926227482246986</v>
      </c>
      <c r="AE68" s="68">
        <f xml:space="preserve"> Debt!AE$245</f>
        <v>-38.027537099855408</v>
      </c>
      <c r="AF68" s="68">
        <f xml:space="preserve"> Debt!AF$245</f>
        <v>-36.081267214179888</v>
      </c>
      <c r="AG68" s="68">
        <f xml:space="preserve"> Debt!AG$245</f>
        <v>-35.306305754198092</v>
      </c>
      <c r="AH68" s="68">
        <f xml:space="preserve"> Debt!AH$245</f>
        <v>-33.355096884411751</v>
      </c>
      <c r="AI68" s="68">
        <f xml:space="preserve"> Debt!AI$245</f>
        <v>-33.96407787813564</v>
      </c>
      <c r="AJ68" s="68">
        <f xml:space="preserve"> Debt!AJ$245</f>
        <v>-31.949766493316702</v>
      </c>
      <c r="AK68" s="68">
        <f xml:space="preserve"> Debt!AK$245</f>
        <v>-30.969472777133433</v>
      </c>
      <c r="AL68" s="68">
        <f xml:space="preserve"> Debt!AL$245</f>
        <v>-29.108290168761414</v>
      </c>
      <c r="AM68" s="68">
        <f xml:space="preserve"> Debt!AM$245</f>
        <v>-27.861255734890847</v>
      </c>
      <c r="AN68" s="68">
        <f xml:space="preserve"> Debt!AN$245</f>
        <v>-25.83535012619086</v>
      </c>
      <c r="AO68" s="68">
        <f xml:space="preserve"> Debt!AO$245</f>
        <v>-24.637519253539949</v>
      </c>
      <c r="AP68" s="68">
        <f xml:space="preserve"> Debt!AP$245</f>
        <v>-22.600633896882528</v>
      </c>
      <c r="AQ68" s="68">
        <f xml:space="preserve"> Debt!AQ$245</f>
        <v>-21.287003683422427</v>
      </c>
      <c r="AR68" s="68">
        <f xml:space="preserve"> Debt!AR$245</f>
        <v>-19.241056120219014</v>
      </c>
      <c r="AS68" s="68">
        <f xml:space="preserve"> Debt!AS$245</f>
        <v>-17.806673751547919</v>
      </c>
      <c r="AT68" s="68">
        <f xml:space="preserve"> Debt!AT$245</f>
        <v>-13.314618054604466</v>
      </c>
      <c r="AU68" s="68">
        <f xml:space="preserve"> Debt!AU$245</f>
        <v>-9.0537228037857176</v>
      </c>
      <c r="AV68" s="68">
        <f xml:space="preserve"> Debt!AV$245</f>
        <v>-4.4842896292203989</v>
      </c>
      <c r="AW68" s="68">
        <f xml:space="preserve"> Debt!AW$245</f>
        <v>4.5149453313112278E-6</v>
      </c>
      <c r="AX68" s="68">
        <f xml:space="preserve"> Debt!AX$245</f>
        <v>4.4413320922137751E-6</v>
      </c>
      <c r="AY68" s="68">
        <f xml:space="preserve"> Debt!AY$245</f>
        <v>4.5149453313112278E-6</v>
      </c>
      <c r="AZ68" s="68">
        <f xml:space="preserve"> Debt!AZ$245</f>
        <v>4.4413320922137751E-6</v>
      </c>
      <c r="BA68" s="68">
        <f xml:space="preserve"> Debt!BA$245</f>
        <v>4.5149453313112278E-6</v>
      </c>
      <c r="BB68" s="68">
        <f xml:space="preserve"> Debt!BB$245</f>
        <v>4.4658698385796017E-6</v>
      </c>
      <c r="BC68" s="68">
        <f xml:space="preserve"> Debt!BC$245</f>
        <v>0</v>
      </c>
      <c r="BD68" s="68">
        <f xml:space="preserve"> Debt!BD$245</f>
        <v>0</v>
      </c>
      <c r="BE68" s="68">
        <f xml:space="preserve"> Debt!BE$245</f>
        <v>0</v>
      </c>
      <c r="BF68" s="68">
        <f xml:space="preserve"> Debt!BF$245</f>
        <v>0</v>
      </c>
      <c r="BG68" s="68">
        <f xml:space="preserve"> Debt!BG$245</f>
        <v>0</v>
      </c>
      <c r="BH68" s="68">
        <f xml:space="preserve"> Debt!BH$245</f>
        <v>0</v>
      </c>
      <c r="BI68" s="68">
        <f xml:space="preserve"> Debt!BI$245</f>
        <v>0</v>
      </c>
      <c r="BJ68" s="68">
        <f xml:space="preserve"> Debt!BJ$245</f>
        <v>0</v>
      </c>
      <c r="BK68" s="68">
        <f xml:space="preserve"> Debt!BK$245</f>
        <v>0</v>
      </c>
      <c r="BL68" s="68">
        <f xml:space="preserve"> Debt!BL$245</f>
        <v>0</v>
      </c>
      <c r="BM68" s="68">
        <f xml:space="preserve"> Debt!BM$245</f>
        <v>0</v>
      </c>
      <c r="BN68" s="68">
        <f xml:space="preserve"> Debt!BN$245</f>
        <v>0</v>
      </c>
      <c r="BO68" s="68">
        <f xml:space="preserve"> Debt!BO$245</f>
        <v>0</v>
      </c>
      <c r="BP68" s="68">
        <f xml:space="preserve"> Debt!BP$245</f>
        <v>0</v>
      </c>
      <c r="BQ68" s="68">
        <f xml:space="preserve"> Debt!BQ$245</f>
        <v>0</v>
      </c>
      <c r="BR68" s="68">
        <f xml:space="preserve"> Debt!BR$245</f>
        <v>0</v>
      </c>
      <c r="BS68" s="68">
        <f xml:space="preserve"> Debt!BS$245</f>
        <v>0</v>
      </c>
      <c r="BT68" s="68">
        <f xml:space="preserve"> Debt!BT$245</f>
        <v>0</v>
      </c>
      <c r="BU68" s="68">
        <f xml:space="preserve"> Debt!BU$245</f>
        <v>0</v>
      </c>
      <c r="BV68" s="68">
        <f xml:space="preserve"> Debt!BV$245</f>
        <v>0</v>
      </c>
      <c r="BW68" s="68">
        <f xml:space="preserve"> Debt!BW$245</f>
        <v>0</v>
      </c>
      <c r="BX68" s="68">
        <f xml:space="preserve"> Debt!BX$245</f>
        <v>0</v>
      </c>
      <c r="BY68" s="68">
        <f xml:space="preserve"> Debt!BY$245</f>
        <v>0</v>
      </c>
      <c r="BZ68" s="68">
        <f xml:space="preserve"> Debt!BZ$245</f>
        <v>0</v>
      </c>
      <c r="CA68" s="68">
        <f xml:space="preserve"> Debt!CA$245</f>
        <v>0</v>
      </c>
      <c r="CB68" s="68">
        <f xml:space="preserve"> Debt!CB$245</f>
        <v>0</v>
      </c>
      <c r="CC68" s="68">
        <f xml:space="preserve"> Debt!CC$245</f>
        <v>0</v>
      </c>
      <c r="CD68" s="68">
        <f xml:space="preserve"> Debt!CD$245</f>
        <v>0</v>
      </c>
      <c r="CE68" s="68">
        <f xml:space="preserve"> Debt!CE$245</f>
        <v>0</v>
      </c>
      <c r="CF68" s="68">
        <f xml:space="preserve"> Debt!CF$245</f>
        <v>0</v>
      </c>
      <c r="CG68" s="68">
        <f xml:space="preserve"> Debt!CG$245</f>
        <v>0</v>
      </c>
      <c r="CH68" s="68">
        <f xml:space="preserve"> Debt!CH$245</f>
        <v>0</v>
      </c>
      <c r="CI68" s="68">
        <f xml:space="preserve"> Debt!CI$245</f>
        <v>0</v>
      </c>
      <c r="CJ68" s="68">
        <f xml:space="preserve"> Debt!CJ$245</f>
        <v>0</v>
      </c>
      <c r="CK68" s="68">
        <f xml:space="preserve"> Debt!CK$245</f>
        <v>0</v>
      </c>
      <c r="CL68" s="68">
        <f xml:space="preserve"> Debt!CL$245</f>
        <v>0</v>
      </c>
      <c r="CM68" s="68">
        <f xml:space="preserve"> Debt!CM$245</f>
        <v>0</v>
      </c>
      <c r="CN68" s="68">
        <f xml:space="preserve"> Debt!CN$245</f>
        <v>0</v>
      </c>
      <c r="CO68" s="68">
        <f xml:space="preserve"> Debt!CO$245</f>
        <v>0</v>
      </c>
      <c r="CP68" s="68">
        <f xml:space="preserve"> Debt!CP$245</f>
        <v>0</v>
      </c>
      <c r="CQ68" s="68">
        <f xml:space="preserve"> Debt!CQ$245</f>
        <v>0</v>
      </c>
      <c r="CR68" s="68">
        <f xml:space="preserve"> Debt!CR$245</f>
        <v>0</v>
      </c>
      <c r="CS68" s="68">
        <f xml:space="preserve"> Debt!CS$245</f>
        <v>0</v>
      </c>
      <c r="CT68" s="68">
        <f xml:space="preserve"> Debt!CT$245</f>
        <v>0</v>
      </c>
      <c r="CU68" s="68">
        <f xml:space="preserve"> Debt!CU$245</f>
        <v>0</v>
      </c>
      <c r="CV68" s="68">
        <f xml:space="preserve"> Debt!CV$245</f>
        <v>0</v>
      </c>
      <c r="CW68" s="68">
        <f xml:space="preserve"> Debt!CW$245</f>
        <v>0</v>
      </c>
      <c r="CX68" s="68">
        <f xml:space="preserve"> Debt!CX$245</f>
        <v>0</v>
      </c>
      <c r="CY68" s="68">
        <f xml:space="preserve"> Debt!CY$245</f>
        <v>0</v>
      </c>
      <c r="CZ68" s="68">
        <f xml:space="preserve"> Debt!CZ$245</f>
        <v>0</v>
      </c>
      <c r="DA68" s="68">
        <f xml:space="preserve"> Debt!DA$245</f>
        <v>0</v>
      </c>
      <c r="DB68" s="68">
        <f xml:space="preserve"> Debt!DB$245</f>
        <v>0</v>
      </c>
      <c r="DC68" s="68">
        <f xml:space="preserve"> Debt!DC$245</f>
        <v>0</v>
      </c>
      <c r="DD68" s="68">
        <f xml:space="preserve"> Debt!DD$245</f>
        <v>0</v>
      </c>
      <c r="DE68" s="68">
        <f xml:space="preserve"> Debt!DE$245</f>
        <v>0</v>
      </c>
      <c r="DF68" s="68">
        <f xml:space="preserve"> Debt!DF$245</f>
        <v>0</v>
      </c>
      <c r="DG68" s="68">
        <f xml:space="preserve"> Debt!DG$245</f>
        <v>0</v>
      </c>
      <c r="DH68" s="68">
        <f xml:space="preserve"> Debt!DH$245</f>
        <v>0</v>
      </c>
      <c r="DI68" s="68">
        <f xml:space="preserve"> Debt!DI$245</f>
        <v>0</v>
      </c>
      <c r="DJ68" s="68">
        <f xml:space="preserve"> Debt!DJ$245</f>
        <v>0</v>
      </c>
      <c r="DK68" s="68">
        <f xml:space="preserve"> Debt!DK$245</f>
        <v>0</v>
      </c>
      <c r="DL68" s="68">
        <f xml:space="preserve"> Debt!DL$245</f>
        <v>0</v>
      </c>
      <c r="DM68" s="68">
        <f xml:space="preserve"> Debt!DM$245</f>
        <v>0</v>
      </c>
      <c r="DN68" s="68">
        <f xml:space="preserve"> Debt!DN$245</f>
        <v>0</v>
      </c>
      <c r="DO68" s="68">
        <f xml:space="preserve"> Debt!DO$245</f>
        <v>0</v>
      </c>
      <c r="DP68" s="68">
        <f xml:space="preserve"> Debt!DP$245</f>
        <v>0</v>
      </c>
      <c r="DQ68" s="68">
        <f xml:space="preserve"> Debt!DQ$245</f>
        <v>0</v>
      </c>
      <c r="DR68" s="68">
        <f xml:space="preserve"> Debt!DR$245</f>
        <v>0</v>
      </c>
      <c r="DS68" s="68">
        <f xml:space="preserve"> Debt!DS$245</f>
        <v>0</v>
      </c>
      <c r="DT68" s="68">
        <f xml:space="preserve"> Debt!DT$245</f>
        <v>0</v>
      </c>
      <c r="DU68" s="68">
        <f xml:space="preserve"> Debt!DU$245</f>
        <v>0</v>
      </c>
      <c r="DV68" s="68">
        <f xml:space="preserve"> Debt!DV$245</f>
        <v>0</v>
      </c>
      <c r="DW68" s="68">
        <f xml:space="preserve"> Debt!DW$245</f>
        <v>0</v>
      </c>
      <c r="DX68" s="68">
        <f xml:space="preserve"> Debt!DX$245</f>
        <v>0</v>
      </c>
      <c r="DY68" s="68">
        <f xml:space="preserve"> Debt!DY$245</f>
        <v>0</v>
      </c>
      <c r="DZ68" s="68">
        <f xml:space="preserve"> Debt!DZ$245</f>
        <v>0</v>
      </c>
      <c r="EA68" s="68">
        <f xml:space="preserve"> Debt!EA$245</f>
        <v>0</v>
      </c>
      <c r="EB68" s="68">
        <f xml:space="preserve"> Debt!EB$245</f>
        <v>0</v>
      </c>
      <c r="EC68" s="68">
        <f xml:space="preserve"> Debt!EC$245</f>
        <v>0</v>
      </c>
      <c r="ED68" s="68">
        <f xml:space="preserve"> Debt!ED$245</f>
        <v>0</v>
      </c>
      <c r="EE68" s="68">
        <f xml:space="preserve"> Debt!EE$245</f>
        <v>0</v>
      </c>
      <c r="EF68" s="68">
        <f xml:space="preserve"> Debt!EF$245</f>
        <v>0</v>
      </c>
      <c r="EG68" s="68">
        <f xml:space="preserve"> Debt!EG$245</f>
        <v>0</v>
      </c>
      <c r="EH68" s="68">
        <f xml:space="preserve"> Debt!EH$245</f>
        <v>0</v>
      </c>
      <c r="EI68" s="68">
        <f xml:space="preserve"> Debt!EI$245</f>
        <v>0</v>
      </c>
      <c r="EJ68" s="68">
        <f xml:space="preserve"> Debt!EJ$245</f>
        <v>0</v>
      </c>
      <c r="EK68" s="68">
        <f xml:space="preserve"> Debt!EK$245</f>
        <v>0</v>
      </c>
      <c r="EL68" s="68">
        <f xml:space="preserve"> Debt!EL$245</f>
        <v>0</v>
      </c>
      <c r="EM68" s="68">
        <f xml:space="preserve"> Debt!EM$245</f>
        <v>0</v>
      </c>
      <c r="EN68" s="68">
        <f xml:space="preserve"> Debt!EN$245</f>
        <v>0</v>
      </c>
      <c r="EO68" s="68">
        <f xml:space="preserve"> Debt!EO$245</f>
        <v>0</v>
      </c>
      <c r="EP68" s="68">
        <f xml:space="preserve"> Debt!EP$245</f>
        <v>0</v>
      </c>
      <c r="EQ68" s="68">
        <f xml:space="preserve"> Debt!EQ$245</f>
        <v>0</v>
      </c>
      <c r="ER68" s="68">
        <f xml:space="preserve"> Debt!ER$245</f>
        <v>0</v>
      </c>
      <c r="ES68" s="68">
        <f xml:space="preserve"> Debt!ES$245</f>
        <v>0</v>
      </c>
      <c r="ET68" s="68">
        <f xml:space="preserve"> Debt!ET$245</f>
        <v>0</v>
      </c>
      <c r="EU68" s="68">
        <f xml:space="preserve"> Debt!EU$245</f>
        <v>0</v>
      </c>
      <c r="EV68" s="68">
        <f xml:space="preserve"> Debt!EV$245</f>
        <v>0</v>
      </c>
      <c r="EW68" s="68">
        <f xml:space="preserve"> Debt!EW$245</f>
        <v>0</v>
      </c>
      <c r="EX68" s="68">
        <f xml:space="preserve"> Debt!EX$245</f>
        <v>0</v>
      </c>
      <c r="EY68" s="68">
        <f xml:space="preserve"> Debt!EY$245</f>
        <v>0</v>
      </c>
      <c r="EZ68" s="68">
        <f xml:space="preserve"> Debt!EZ$245</f>
        <v>0</v>
      </c>
      <c r="FA68" s="68">
        <f xml:space="preserve"> Debt!FA$245</f>
        <v>0</v>
      </c>
      <c r="FB68" s="68">
        <f xml:space="preserve"> Debt!FB$245</f>
        <v>0</v>
      </c>
      <c r="FC68" s="68">
        <f xml:space="preserve"> Debt!FC$245</f>
        <v>0</v>
      </c>
      <c r="FD68" s="68">
        <f xml:space="preserve"> Debt!FD$245</f>
        <v>0</v>
      </c>
      <c r="FE68" s="68">
        <f xml:space="preserve"> Debt!FE$245</f>
        <v>0</v>
      </c>
      <c r="FF68" s="68">
        <f xml:space="preserve"> Debt!FF$245</f>
        <v>0</v>
      </c>
      <c r="FG68" s="68">
        <f xml:space="preserve"> Debt!FG$245</f>
        <v>0</v>
      </c>
      <c r="FH68" s="68">
        <f xml:space="preserve"> Debt!FH$245</f>
        <v>0</v>
      </c>
      <c r="FI68" s="68">
        <f xml:space="preserve"> Debt!FI$245</f>
        <v>0</v>
      </c>
      <c r="FJ68" s="68">
        <f xml:space="preserve"> Debt!FJ$245</f>
        <v>0</v>
      </c>
      <c r="FK68" s="68">
        <f xml:space="preserve"> Debt!FK$245</f>
        <v>0</v>
      </c>
      <c r="FL68" s="68">
        <f xml:space="preserve"> Debt!FL$245</f>
        <v>0</v>
      </c>
      <c r="FM68" s="68">
        <f xml:space="preserve"> Debt!FM$245</f>
        <v>0</v>
      </c>
      <c r="FN68" s="68">
        <f xml:space="preserve"> Debt!FN$245</f>
        <v>0</v>
      </c>
      <c r="FO68" s="68">
        <f xml:space="preserve"> Debt!FO$245</f>
        <v>0</v>
      </c>
      <c r="FP68" s="68">
        <f xml:space="preserve"> Debt!FP$245</f>
        <v>0</v>
      </c>
      <c r="FQ68" s="68">
        <f xml:space="preserve"> Debt!FQ$245</f>
        <v>0</v>
      </c>
      <c r="FR68" s="68">
        <f xml:space="preserve"> Debt!FR$245</f>
        <v>0</v>
      </c>
      <c r="FS68" s="68">
        <f xml:space="preserve"> Debt!FS$245</f>
        <v>0</v>
      </c>
      <c r="FT68" s="68">
        <f xml:space="preserve"> Debt!FT$245</f>
        <v>0</v>
      </c>
      <c r="FU68" s="68">
        <f xml:space="preserve"> Debt!FU$245</f>
        <v>0</v>
      </c>
      <c r="FV68" s="68">
        <f xml:space="preserve"> Debt!FV$245</f>
        <v>0</v>
      </c>
      <c r="FW68" s="68">
        <f xml:space="preserve"> Debt!FW$245</f>
        <v>0</v>
      </c>
      <c r="FX68" s="68">
        <f xml:space="preserve"> Debt!FX$245</f>
        <v>0</v>
      </c>
      <c r="FY68" s="68">
        <f xml:space="preserve"> Debt!FY$245</f>
        <v>0</v>
      </c>
      <c r="FZ68" s="68">
        <f xml:space="preserve"> Debt!FZ$245</f>
        <v>0</v>
      </c>
      <c r="GA68" s="68">
        <f xml:space="preserve"> Debt!GA$245</f>
        <v>0</v>
      </c>
      <c r="GB68" s="68">
        <f xml:space="preserve"> Debt!GB$245</f>
        <v>0</v>
      </c>
      <c r="GC68" s="68">
        <f xml:space="preserve"> Debt!GC$245</f>
        <v>0</v>
      </c>
      <c r="GD68" s="68">
        <f xml:space="preserve"> Debt!GD$245</f>
        <v>0</v>
      </c>
      <c r="GE68" s="68">
        <f xml:space="preserve"> Debt!GE$245</f>
        <v>0</v>
      </c>
      <c r="GF68" s="68">
        <f xml:space="preserve"> Debt!GF$245</f>
        <v>0</v>
      </c>
      <c r="GG68" s="68">
        <f xml:space="preserve"> Debt!GG$245</f>
        <v>0</v>
      </c>
      <c r="GH68" s="68">
        <f xml:space="preserve"> Debt!GH$245</f>
        <v>0</v>
      </c>
      <c r="GI68" s="68">
        <f xml:space="preserve"> Debt!GI$245</f>
        <v>0</v>
      </c>
      <c r="GJ68" s="68">
        <f xml:space="preserve"> Debt!GJ$245</f>
        <v>0</v>
      </c>
    </row>
    <row r="69" spans="1:192" outlineLevel="1" x14ac:dyDescent="0.2">
      <c r="D69" s="209"/>
      <c r="E69" s="235" t="str">
        <f xml:space="preserve"> Debt!E$350</f>
        <v>Senior debt interest - T2</v>
      </c>
      <c r="F69" s="235">
        <f xml:space="preserve"> Debt!F$350</f>
        <v>0</v>
      </c>
      <c r="G69" s="235" t="str">
        <f xml:space="preserve"> Debt!G$350</f>
        <v>$ 000s</v>
      </c>
      <c r="H69" s="235">
        <f xml:space="preserve"> Debt!H$350</f>
        <v>-50719.400835431705</v>
      </c>
      <c r="I69" s="235">
        <f xml:space="preserve"> Debt!I$350</f>
        <v>0</v>
      </c>
      <c r="J69" s="235">
        <f xml:space="preserve"> Debt!J$350</f>
        <v>0</v>
      </c>
      <c r="K69" s="235">
        <f xml:space="preserve"> Debt!K$350</f>
        <v>0</v>
      </c>
      <c r="L69" s="235">
        <f xml:space="preserve"> Debt!L$350</f>
        <v>0</v>
      </c>
      <c r="M69" s="235">
        <f xml:space="preserve"> Debt!M$350</f>
        <v>0</v>
      </c>
      <c r="N69" s="235">
        <f xml:space="preserve"> Debt!N$350</f>
        <v>0</v>
      </c>
      <c r="O69" s="235">
        <f xml:space="preserve"> Debt!O$350</f>
        <v>-3007.4603365932417</v>
      </c>
      <c r="P69" s="235">
        <f xml:space="preserve"> Debt!P$350</f>
        <v>-2861.4426237247226</v>
      </c>
      <c r="Q69" s="235">
        <f xml:space="preserve"> Debt!Q$350</f>
        <v>-2827.4302563544802</v>
      </c>
      <c r="R69" s="235">
        <f xml:space="preserve"> Debt!R$350</f>
        <v>-2700.2548554507134</v>
      </c>
      <c r="S69" s="235">
        <f xml:space="preserve"> Debt!S$350</f>
        <v>-2661.0628632799539</v>
      </c>
      <c r="T69" s="235">
        <f xml:space="preserve"> Debt!T$350</f>
        <v>-2534.0368459800811</v>
      </c>
      <c r="U69" s="235">
        <f xml:space="preserve"> Debt!U$350</f>
        <v>-2489.4816638803841</v>
      </c>
      <c r="V69" s="235">
        <f xml:space="preserve"> Debt!V$350</f>
        <v>-2375.6406705547574</v>
      </c>
      <c r="W69" s="235">
        <f xml:space="preserve"> Debt!W$350</f>
        <v>-2312.626961541976</v>
      </c>
      <c r="X69" s="235">
        <f xml:space="preserve"> Debt!X$350</f>
        <v>-2186.0562385133053</v>
      </c>
      <c r="Y69" s="235">
        <f xml:space="preserve"> Debt!Y$350</f>
        <v>-2220.854468947296</v>
      </c>
      <c r="Z69" s="235">
        <f xml:space="preserve"> Debt!Z$350</f>
        <v>-2091.5619982100643</v>
      </c>
      <c r="AA69" s="235">
        <f xml:space="preserve"> Debt!AA$350</f>
        <v>-2029.9192920142364</v>
      </c>
      <c r="AB69" s="235">
        <f xml:space="preserve"> Debt!AB$350</f>
        <v>-1900.5471301160426</v>
      </c>
      <c r="AC69" s="235">
        <f xml:space="preserve"> Debt!AC$350</f>
        <v>-1832.4843668262508</v>
      </c>
      <c r="AD69" s="235">
        <f xml:space="preserve"> Debt!AD$350</f>
        <v>-1712.4114864363401</v>
      </c>
      <c r="AE69" s="235">
        <f xml:space="preserve"> Debt!AE$350</f>
        <v>-1628.351296139547</v>
      </c>
      <c r="AF69" s="235">
        <f xml:space="preserve"> Debt!AF$350</f>
        <v>-1498.9393486025879</v>
      </c>
      <c r="AG69" s="235">
        <f xml:space="preserve"> Debt!AG$350</f>
        <v>-1417.2959784483739</v>
      </c>
      <c r="AH69" s="235">
        <f xml:space="preserve"> Debt!AH$350</f>
        <v>-1287.5009694483854</v>
      </c>
      <c r="AI69" s="235">
        <f xml:space="preserve"> Debt!AI$350</f>
        <v>-1272.051076082276</v>
      </c>
      <c r="AJ69" s="235">
        <f xml:space="preserve"> Debt!AJ$350</f>
        <v>-1136.3240059796112</v>
      </c>
      <c r="AK69" s="235">
        <f xml:space="preserve"> Debt!AK$350</f>
        <v>-1036.2897842601778</v>
      </c>
      <c r="AL69" s="235">
        <f xml:space="preserve"> Debt!AL$350</f>
        <v>-904.99934106523745</v>
      </c>
      <c r="AM69" s="235">
        <f xml:space="preserve"> Debt!AM$350</f>
        <v>-791.5839748373146</v>
      </c>
      <c r="AN69" s="235">
        <f xml:space="preserve"> Debt!AN$350</f>
        <v>-654.9441068505555</v>
      </c>
      <c r="AO69" s="235">
        <f xml:space="preserve"> Debt!AO$350</f>
        <v>-537.78347303393627</v>
      </c>
      <c r="AP69" s="235">
        <f xml:space="preserve"> Debt!AP$350</f>
        <v>-400.27918403838652</v>
      </c>
      <c r="AQ69" s="235">
        <f xml:space="preserve"> Debt!AQ$350</f>
        <v>-274.00182155120319</v>
      </c>
      <c r="AR69" s="235">
        <f xml:space="preserve"> Debt!AR$350</f>
        <v>-135.78407704150388</v>
      </c>
      <c r="AS69" s="235">
        <f xml:space="preserve"> Debt!AS$350</f>
        <v>-5.7368266412878361E-5</v>
      </c>
      <c r="AT69" s="235">
        <f xml:space="preserve"> Debt!AT$350</f>
        <v>-5.6744698299694907E-5</v>
      </c>
      <c r="AU69" s="235">
        <f xml:space="preserve"> Debt!AU$350</f>
        <v>-5.7368266412878361E-5</v>
      </c>
      <c r="AV69" s="235">
        <f xml:space="preserve"> Debt!AV$350</f>
        <v>-5.6432914243103177E-5</v>
      </c>
      <c r="AW69" s="235">
        <f xml:space="preserve"> Debt!AW$350</f>
        <v>-1.8755010173441004E-5</v>
      </c>
      <c r="AX69" s="235">
        <f xml:space="preserve"> Debt!AX$350</f>
        <v>-1.8449221964091424E-5</v>
      </c>
      <c r="AY69" s="235">
        <f xml:space="preserve"> Debt!AY$350</f>
        <v>-1.8755010173441004E-5</v>
      </c>
      <c r="AZ69" s="235">
        <f xml:space="preserve"> Debt!AZ$350</f>
        <v>-1.8449221964091424E-5</v>
      </c>
      <c r="BA69" s="235">
        <f xml:space="preserve"> Debt!BA$350</f>
        <v>-1.8755010173441004E-5</v>
      </c>
      <c r="BB69" s="235">
        <f xml:space="preserve"> Debt!BB$350</f>
        <v>-1.8551151367207951E-5</v>
      </c>
      <c r="BC69" s="235">
        <f xml:space="preserve"> Debt!BC$350</f>
        <v>0</v>
      </c>
      <c r="BD69" s="235">
        <f xml:space="preserve"> Debt!BD$350</f>
        <v>0</v>
      </c>
      <c r="BE69" s="235">
        <f xml:space="preserve"> Debt!BE$350</f>
        <v>0</v>
      </c>
      <c r="BF69" s="235">
        <f xml:space="preserve"> Debt!BF$350</f>
        <v>0</v>
      </c>
      <c r="BG69" s="235">
        <f xml:space="preserve"> Debt!BG$350</f>
        <v>0</v>
      </c>
      <c r="BH69" s="235">
        <f xml:space="preserve"> Debt!BH$350</f>
        <v>0</v>
      </c>
      <c r="BI69" s="235">
        <f xml:space="preserve"> Debt!BI$350</f>
        <v>0</v>
      </c>
      <c r="BJ69" s="235">
        <f xml:space="preserve"> Debt!BJ$350</f>
        <v>0</v>
      </c>
      <c r="BK69" s="235">
        <f xml:space="preserve"> Debt!BK$350</f>
        <v>0</v>
      </c>
      <c r="BL69" s="235">
        <f xml:space="preserve"> Debt!BL$350</f>
        <v>0</v>
      </c>
      <c r="BM69" s="235">
        <f xml:space="preserve"> Debt!BM$350</f>
        <v>0</v>
      </c>
      <c r="BN69" s="235">
        <f xml:space="preserve"> Debt!BN$350</f>
        <v>0</v>
      </c>
      <c r="BO69" s="235">
        <f xml:space="preserve"> Debt!BO$350</f>
        <v>0</v>
      </c>
      <c r="BP69" s="235">
        <f xml:space="preserve"> Debt!BP$350</f>
        <v>0</v>
      </c>
      <c r="BQ69" s="235">
        <f xml:space="preserve"> Debt!BQ$350</f>
        <v>0</v>
      </c>
      <c r="BR69" s="235">
        <f xml:space="preserve"> Debt!BR$350</f>
        <v>0</v>
      </c>
      <c r="BS69" s="235">
        <f xml:space="preserve"> Debt!BS$350</f>
        <v>0</v>
      </c>
      <c r="BT69" s="235">
        <f xml:space="preserve"> Debt!BT$350</f>
        <v>0</v>
      </c>
      <c r="BU69" s="235">
        <f xml:space="preserve"> Debt!BU$350</f>
        <v>0</v>
      </c>
      <c r="BV69" s="235">
        <f xml:space="preserve"> Debt!BV$350</f>
        <v>0</v>
      </c>
      <c r="BW69" s="235">
        <f xml:space="preserve"> Debt!BW$350</f>
        <v>0</v>
      </c>
      <c r="BX69" s="235">
        <f xml:space="preserve"> Debt!BX$350</f>
        <v>0</v>
      </c>
      <c r="BY69" s="235">
        <f xml:space="preserve"> Debt!BY$350</f>
        <v>0</v>
      </c>
      <c r="BZ69" s="235">
        <f xml:space="preserve"> Debt!BZ$350</f>
        <v>0</v>
      </c>
      <c r="CA69" s="235">
        <f xml:space="preserve"> Debt!CA$350</f>
        <v>0</v>
      </c>
      <c r="CB69" s="235">
        <f xml:space="preserve"> Debt!CB$350</f>
        <v>0</v>
      </c>
      <c r="CC69" s="235">
        <f xml:space="preserve"> Debt!CC$350</f>
        <v>0</v>
      </c>
      <c r="CD69" s="235">
        <f xml:space="preserve"> Debt!CD$350</f>
        <v>0</v>
      </c>
      <c r="CE69" s="235">
        <f xml:space="preserve"> Debt!CE$350</f>
        <v>0</v>
      </c>
      <c r="CF69" s="235">
        <f xml:space="preserve"> Debt!CF$350</f>
        <v>0</v>
      </c>
      <c r="CG69" s="235">
        <f xml:space="preserve"> Debt!CG$350</f>
        <v>0</v>
      </c>
      <c r="CH69" s="235">
        <f xml:space="preserve"> Debt!CH$350</f>
        <v>0</v>
      </c>
      <c r="CI69" s="235">
        <f xml:space="preserve"> Debt!CI$350</f>
        <v>0</v>
      </c>
      <c r="CJ69" s="235">
        <f xml:space="preserve"> Debt!CJ$350</f>
        <v>0</v>
      </c>
      <c r="CK69" s="235">
        <f xml:space="preserve"> Debt!CK$350</f>
        <v>0</v>
      </c>
      <c r="CL69" s="235">
        <f xml:space="preserve"> Debt!CL$350</f>
        <v>0</v>
      </c>
      <c r="CM69" s="235">
        <f xml:space="preserve"> Debt!CM$350</f>
        <v>0</v>
      </c>
      <c r="CN69" s="235">
        <f xml:space="preserve"> Debt!CN$350</f>
        <v>0</v>
      </c>
      <c r="CO69" s="235">
        <f xml:space="preserve"> Debt!CO$350</f>
        <v>0</v>
      </c>
      <c r="CP69" s="235">
        <f xml:space="preserve"> Debt!CP$350</f>
        <v>0</v>
      </c>
      <c r="CQ69" s="235">
        <f xml:space="preserve"> Debt!CQ$350</f>
        <v>0</v>
      </c>
      <c r="CR69" s="235">
        <f xml:space="preserve"> Debt!CR$350</f>
        <v>0</v>
      </c>
      <c r="CS69" s="235">
        <f xml:space="preserve"> Debt!CS$350</f>
        <v>0</v>
      </c>
      <c r="CT69" s="235">
        <f xml:space="preserve"> Debt!CT$350</f>
        <v>0</v>
      </c>
      <c r="CU69" s="235">
        <f xml:space="preserve"> Debt!CU$350</f>
        <v>0</v>
      </c>
      <c r="CV69" s="235">
        <f xml:space="preserve"> Debt!CV$350</f>
        <v>0</v>
      </c>
    </row>
    <row r="70" spans="1:192" outlineLevel="1" x14ac:dyDescent="0.2">
      <c r="D70" s="209"/>
      <c r="E70" s="68" t="str">
        <f xml:space="preserve"> Debt!E$357</f>
        <v>Withholding tax on Senior Debt Interest T2</v>
      </c>
      <c r="F70" s="68">
        <f xml:space="preserve"> Debt!F$357</f>
        <v>0</v>
      </c>
      <c r="G70" s="68" t="str">
        <f xml:space="preserve"> Debt!G$357</f>
        <v>$ 000s</v>
      </c>
      <c r="H70" s="68">
        <f xml:space="preserve"> Debt!H$357</f>
        <v>-1035.0898129679949</v>
      </c>
      <c r="I70" s="68">
        <f xml:space="preserve"> Debt!I$357</f>
        <v>0</v>
      </c>
      <c r="J70" s="68">
        <f xml:space="preserve"> Debt!J$357</f>
        <v>0</v>
      </c>
      <c r="K70" s="68">
        <f xml:space="preserve"> Debt!K$357</f>
        <v>0</v>
      </c>
      <c r="L70" s="68">
        <f xml:space="preserve"> Debt!L$357</f>
        <v>0</v>
      </c>
      <c r="M70" s="68">
        <f xml:space="preserve"> Debt!M$357</f>
        <v>0</v>
      </c>
      <c r="N70" s="68">
        <f xml:space="preserve"> Debt!N$357</f>
        <v>0</v>
      </c>
      <c r="O70" s="68">
        <f xml:space="preserve"> Debt!O$357</f>
        <v>-61.376741563127325</v>
      </c>
      <c r="P70" s="68">
        <f xml:space="preserve"> Debt!P$357</f>
        <v>-58.396788239279886</v>
      </c>
      <c r="Q70" s="68">
        <f xml:space="preserve"> Debt!Q$357</f>
        <v>-57.702658292948854</v>
      </c>
      <c r="R70" s="68">
        <f xml:space="preserve"> Debt!R$357</f>
        <v>-55.107241947973762</v>
      </c>
      <c r="S70" s="68">
        <f xml:space="preserve"> Debt!S$357</f>
        <v>-54.307405373060192</v>
      </c>
      <c r="T70" s="68">
        <f xml:space="preserve"> Debt!T$357</f>
        <v>-51.715037673062852</v>
      </c>
      <c r="U70" s="68">
        <f xml:space="preserve"> Debt!U$357</f>
        <v>-50.805748242456957</v>
      </c>
      <c r="V70" s="68">
        <f xml:space="preserve"> Debt!V$357</f>
        <v>-48.482462664382638</v>
      </c>
      <c r="W70" s="68">
        <f xml:space="preserve"> Debt!W$357</f>
        <v>-47.196468602897312</v>
      </c>
      <c r="X70" s="68">
        <f xml:space="preserve"> Debt!X$357</f>
        <v>-44.613392622720767</v>
      </c>
      <c r="Y70" s="68">
        <f xml:space="preserve"> Debt!Y$357</f>
        <v>-45.32356059076119</v>
      </c>
      <c r="Z70" s="68">
        <f xml:space="preserve"> Debt!Z$357</f>
        <v>-42.684938738981145</v>
      </c>
      <c r="AA70" s="68">
        <f xml:space="preserve"> Debt!AA$357</f>
        <v>-41.426924326821336</v>
      </c>
      <c r="AB70" s="68">
        <f xml:space="preserve"> Debt!AB$357</f>
        <v>-38.786676124817177</v>
      </c>
      <c r="AC70" s="68">
        <f xml:space="preserve"> Debt!AC$357</f>
        <v>-37.397640139311306</v>
      </c>
      <c r="AD70" s="68">
        <f xml:space="preserve"> Debt!AD$357</f>
        <v>-34.947173192578475</v>
      </c>
      <c r="AE70" s="68">
        <f xml:space="preserve"> Debt!AE$357</f>
        <v>-33.231659104888649</v>
      </c>
      <c r="AF70" s="68">
        <f xml:space="preserve"> Debt!AF$357</f>
        <v>-30.590598951073162</v>
      </c>
      <c r="AG70" s="68">
        <f xml:space="preserve"> Debt!AG$357</f>
        <v>-28.924407723436161</v>
      </c>
      <c r="AH70" s="68">
        <f xml:space="preserve"> Debt!AH$357</f>
        <v>-26.275529988742619</v>
      </c>
      <c r="AI70" s="68">
        <f xml:space="preserve"> Debt!AI$357</f>
        <v>-25.960226042495378</v>
      </c>
      <c r="AJ70" s="68">
        <f xml:space="preserve"> Debt!AJ$357</f>
        <v>-23.190285836318708</v>
      </c>
      <c r="AK70" s="68">
        <f xml:space="preserve"> Debt!AK$357</f>
        <v>-21.148771107350512</v>
      </c>
      <c r="AL70" s="68">
        <f xml:space="preserve"> Debt!AL$357</f>
        <v>-18.469374307453791</v>
      </c>
      <c r="AM70" s="68">
        <f xml:space="preserve"> Debt!AM$357</f>
        <v>-16.154774996679862</v>
      </c>
      <c r="AN70" s="68">
        <f xml:space="preserve"> Debt!AN$357</f>
        <v>-13.366206262256242</v>
      </c>
      <c r="AO70" s="68">
        <f xml:space="preserve"> Debt!AO$357</f>
        <v>-10.975172919059901</v>
      </c>
      <c r="AP70" s="68">
        <f xml:space="preserve"> Debt!AP$357</f>
        <v>-8.1689629395589236</v>
      </c>
      <c r="AQ70" s="68">
        <f xml:space="preserve"> Debt!AQ$357</f>
        <v>-5.5918739092082319</v>
      </c>
      <c r="AR70" s="68">
        <f xml:space="preserve"> Debt!AR$357</f>
        <v>-2.771103613091924</v>
      </c>
      <c r="AS70" s="68">
        <f xml:space="preserve"> Debt!AS$357</f>
        <v>-1.1707809472015975E-6</v>
      </c>
      <c r="AT70" s="68">
        <f xml:space="preserve"> Debt!AT$357</f>
        <v>-1.1580550673407136E-6</v>
      </c>
      <c r="AU70" s="68">
        <f xml:space="preserve"> Debt!AU$357</f>
        <v>-1.1707809472015975E-6</v>
      </c>
      <c r="AV70" s="68">
        <f xml:space="preserve"> Debt!AV$357</f>
        <v>-1.1516921274102717E-6</v>
      </c>
      <c r="AW70" s="68">
        <f xml:space="preserve"> Debt!AW$357</f>
        <v>-3.8275530966206165E-7</v>
      </c>
      <c r="AX70" s="68">
        <f xml:space="preserve"> Debt!AX$357</f>
        <v>-3.7651473396104918E-7</v>
      </c>
      <c r="AY70" s="68">
        <f xml:space="preserve"> Debt!AY$357</f>
        <v>-3.8275530966206165E-7</v>
      </c>
      <c r="AZ70" s="68">
        <f xml:space="preserve"> Debt!AZ$357</f>
        <v>-3.7651473396104918E-7</v>
      </c>
      <c r="BA70" s="68">
        <f xml:space="preserve"> Debt!BA$357</f>
        <v>-3.8275530966206165E-7</v>
      </c>
      <c r="BB70" s="68">
        <f xml:space="preserve"> Debt!BB$357</f>
        <v>-3.785949258613878E-7</v>
      </c>
      <c r="BC70" s="68">
        <f xml:space="preserve"> Debt!BC$357</f>
        <v>0</v>
      </c>
      <c r="BD70" s="68">
        <f xml:space="preserve"> Debt!BD$357</f>
        <v>0</v>
      </c>
      <c r="BE70" s="68">
        <f xml:space="preserve"> Debt!BE$357</f>
        <v>0</v>
      </c>
      <c r="BF70" s="68">
        <f xml:space="preserve"> Debt!BF$357</f>
        <v>0</v>
      </c>
      <c r="BG70" s="68">
        <f xml:space="preserve"> Debt!BG$357</f>
        <v>0</v>
      </c>
      <c r="BH70" s="68">
        <f xml:space="preserve"> Debt!BH$357</f>
        <v>0</v>
      </c>
      <c r="BI70" s="68">
        <f xml:space="preserve"> Debt!BI$357</f>
        <v>0</v>
      </c>
      <c r="BJ70" s="68">
        <f xml:space="preserve"> Debt!BJ$357</f>
        <v>0</v>
      </c>
      <c r="BK70" s="68">
        <f xml:space="preserve"> Debt!BK$357</f>
        <v>0</v>
      </c>
      <c r="BL70" s="68">
        <f xml:space="preserve"> Debt!BL$357</f>
        <v>0</v>
      </c>
      <c r="BM70" s="68">
        <f xml:space="preserve"> Debt!BM$357</f>
        <v>0</v>
      </c>
      <c r="BN70" s="68">
        <f xml:space="preserve"> Debt!BN$357</f>
        <v>0</v>
      </c>
      <c r="BO70" s="68">
        <f xml:space="preserve"> Debt!BO$357</f>
        <v>0</v>
      </c>
      <c r="BP70" s="68">
        <f xml:space="preserve"> Debt!BP$357</f>
        <v>0</v>
      </c>
      <c r="BQ70" s="68">
        <f xml:space="preserve"> Debt!BQ$357</f>
        <v>0</v>
      </c>
      <c r="BR70" s="68">
        <f xml:space="preserve"> Debt!BR$357</f>
        <v>0</v>
      </c>
      <c r="BS70" s="68">
        <f xml:space="preserve"> Debt!BS$357</f>
        <v>0</v>
      </c>
      <c r="BT70" s="68">
        <f xml:space="preserve"> Debt!BT$357</f>
        <v>0</v>
      </c>
      <c r="BU70" s="68">
        <f xml:space="preserve"> Debt!BU$357</f>
        <v>0</v>
      </c>
      <c r="BV70" s="68">
        <f xml:space="preserve"> Debt!BV$357</f>
        <v>0</v>
      </c>
      <c r="BW70" s="68">
        <f xml:space="preserve"> Debt!BW$357</f>
        <v>0</v>
      </c>
      <c r="BX70" s="68">
        <f xml:space="preserve"> Debt!BX$357</f>
        <v>0</v>
      </c>
      <c r="BY70" s="68">
        <f xml:space="preserve"> Debt!BY$357</f>
        <v>0</v>
      </c>
      <c r="BZ70" s="68">
        <f xml:space="preserve"> Debt!BZ$357</f>
        <v>0</v>
      </c>
      <c r="CA70" s="68">
        <f xml:space="preserve"> Debt!CA$357</f>
        <v>0</v>
      </c>
      <c r="CB70" s="68">
        <f xml:space="preserve"> Debt!CB$357</f>
        <v>0</v>
      </c>
      <c r="CC70" s="68">
        <f xml:space="preserve"> Debt!CC$357</f>
        <v>0</v>
      </c>
      <c r="CD70" s="68">
        <f xml:space="preserve"> Debt!CD$357</f>
        <v>0</v>
      </c>
      <c r="CE70" s="68">
        <f xml:space="preserve"> Debt!CE$357</f>
        <v>0</v>
      </c>
      <c r="CF70" s="68">
        <f xml:space="preserve"> Debt!CF$357</f>
        <v>0</v>
      </c>
      <c r="CG70" s="68">
        <f xml:space="preserve"> Debt!CG$357</f>
        <v>0</v>
      </c>
      <c r="CH70" s="68">
        <f xml:space="preserve"> Debt!CH$357</f>
        <v>0</v>
      </c>
      <c r="CI70" s="68">
        <f xml:space="preserve"> Debt!CI$357</f>
        <v>0</v>
      </c>
      <c r="CJ70" s="68">
        <f xml:space="preserve"> Debt!CJ$357</f>
        <v>0</v>
      </c>
      <c r="CK70" s="68">
        <f xml:space="preserve"> Debt!CK$357</f>
        <v>0</v>
      </c>
      <c r="CL70" s="68">
        <f xml:space="preserve"> Debt!CL$357</f>
        <v>0</v>
      </c>
      <c r="CM70" s="68">
        <f xml:space="preserve"> Debt!CM$357</f>
        <v>0</v>
      </c>
      <c r="CN70" s="68">
        <f xml:space="preserve"> Debt!CN$357</f>
        <v>0</v>
      </c>
      <c r="CO70" s="68">
        <f xml:space="preserve"> Debt!CO$357</f>
        <v>0</v>
      </c>
      <c r="CP70" s="68">
        <f xml:space="preserve"> Debt!CP$357</f>
        <v>0</v>
      </c>
      <c r="CQ70" s="68">
        <f xml:space="preserve"> Debt!CQ$357</f>
        <v>0</v>
      </c>
      <c r="CR70" s="68">
        <f xml:space="preserve"> Debt!CR$357</f>
        <v>0</v>
      </c>
      <c r="CS70" s="68">
        <f xml:space="preserve"> Debt!CS$357</f>
        <v>0</v>
      </c>
      <c r="CT70" s="68">
        <f xml:space="preserve"> Debt!CT$357</f>
        <v>0</v>
      </c>
      <c r="CU70" s="68">
        <f xml:space="preserve"> Debt!CU$357</f>
        <v>0</v>
      </c>
      <c r="CV70" s="68">
        <f xml:space="preserve"> Debt!CV$357</f>
        <v>0</v>
      </c>
      <c r="CW70" s="68">
        <f xml:space="preserve"> Debt!CW$357</f>
        <v>0</v>
      </c>
      <c r="CX70" s="68">
        <f xml:space="preserve"> Debt!CX$357</f>
        <v>0</v>
      </c>
      <c r="CY70" s="68">
        <f xml:space="preserve"> Debt!CY$357</f>
        <v>0</v>
      </c>
      <c r="CZ70" s="68">
        <f xml:space="preserve"> Debt!CZ$357</f>
        <v>0</v>
      </c>
      <c r="DA70" s="68">
        <f xml:space="preserve"> Debt!DA$357</f>
        <v>0</v>
      </c>
      <c r="DB70" s="68">
        <f xml:space="preserve"> Debt!DB$357</f>
        <v>0</v>
      </c>
      <c r="DC70" s="68">
        <f xml:space="preserve"> Debt!DC$357</f>
        <v>0</v>
      </c>
      <c r="DD70" s="68">
        <f xml:space="preserve"> Debt!DD$357</f>
        <v>0</v>
      </c>
      <c r="DE70" s="68">
        <f xml:space="preserve"> Debt!DE$357</f>
        <v>0</v>
      </c>
      <c r="DF70" s="68">
        <f xml:space="preserve"> Debt!DF$357</f>
        <v>0</v>
      </c>
      <c r="DG70" s="68">
        <f xml:space="preserve"> Debt!DG$357</f>
        <v>0</v>
      </c>
      <c r="DH70" s="68">
        <f xml:space="preserve"> Debt!DH$357</f>
        <v>0</v>
      </c>
      <c r="DI70" s="68">
        <f xml:space="preserve"> Debt!DI$357</f>
        <v>0</v>
      </c>
      <c r="DJ70" s="68">
        <f xml:space="preserve"> Debt!DJ$357</f>
        <v>0</v>
      </c>
      <c r="DK70" s="68">
        <f xml:space="preserve"> Debt!DK$357</f>
        <v>0</v>
      </c>
      <c r="DL70" s="68">
        <f xml:space="preserve"> Debt!DL$357</f>
        <v>0</v>
      </c>
      <c r="DM70" s="68">
        <f xml:space="preserve"> Debt!DM$357</f>
        <v>0</v>
      </c>
      <c r="DN70" s="68">
        <f xml:space="preserve"> Debt!DN$357</f>
        <v>0</v>
      </c>
      <c r="DO70" s="68">
        <f xml:space="preserve"> Debt!DO$357</f>
        <v>0</v>
      </c>
      <c r="DP70" s="68">
        <f xml:space="preserve"> Debt!DP$357</f>
        <v>0</v>
      </c>
      <c r="DQ70" s="68">
        <f xml:space="preserve"> Debt!DQ$357</f>
        <v>0</v>
      </c>
      <c r="DR70" s="68">
        <f xml:space="preserve"> Debt!DR$357</f>
        <v>0</v>
      </c>
      <c r="DS70" s="68">
        <f xml:space="preserve"> Debt!DS$357</f>
        <v>0</v>
      </c>
      <c r="DT70" s="68">
        <f xml:space="preserve"> Debt!DT$357</f>
        <v>0</v>
      </c>
      <c r="DU70" s="68">
        <f xml:space="preserve"> Debt!DU$357</f>
        <v>0</v>
      </c>
      <c r="DV70" s="68">
        <f xml:space="preserve"> Debt!DV$357</f>
        <v>0</v>
      </c>
      <c r="DW70" s="68">
        <f xml:space="preserve"> Debt!DW$357</f>
        <v>0</v>
      </c>
      <c r="DX70" s="68">
        <f xml:space="preserve"> Debt!DX$357</f>
        <v>0</v>
      </c>
      <c r="DY70" s="68">
        <f xml:space="preserve"> Debt!DY$357</f>
        <v>0</v>
      </c>
      <c r="DZ70" s="68">
        <f xml:space="preserve"> Debt!DZ$357</f>
        <v>0</v>
      </c>
      <c r="EA70" s="68">
        <f xml:space="preserve"> Debt!EA$357</f>
        <v>0</v>
      </c>
      <c r="EB70" s="68">
        <f xml:space="preserve"> Debt!EB$357</f>
        <v>0</v>
      </c>
      <c r="EC70" s="68">
        <f xml:space="preserve"> Debt!EC$357</f>
        <v>0</v>
      </c>
      <c r="ED70" s="68">
        <f xml:space="preserve"> Debt!ED$357</f>
        <v>0</v>
      </c>
      <c r="EE70" s="68">
        <f xml:space="preserve"> Debt!EE$357</f>
        <v>0</v>
      </c>
      <c r="EF70" s="68">
        <f xml:space="preserve"> Debt!EF$357</f>
        <v>0</v>
      </c>
      <c r="EG70" s="68">
        <f xml:space="preserve"> Debt!EG$357</f>
        <v>0</v>
      </c>
      <c r="EH70" s="68">
        <f xml:space="preserve"> Debt!EH$357</f>
        <v>0</v>
      </c>
      <c r="EI70" s="68">
        <f xml:space="preserve"> Debt!EI$357</f>
        <v>0</v>
      </c>
      <c r="EJ70" s="68">
        <f xml:space="preserve"> Debt!EJ$357</f>
        <v>0</v>
      </c>
      <c r="EK70" s="68">
        <f xml:space="preserve"> Debt!EK$357</f>
        <v>0</v>
      </c>
      <c r="EL70" s="68">
        <f xml:space="preserve"> Debt!EL$357</f>
        <v>0</v>
      </c>
      <c r="EM70" s="68">
        <f xml:space="preserve"> Debt!EM$357</f>
        <v>0</v>
      </c>
      <c r="EN70" s="68">
        <f xml:space="preserve"> Debt!EN$357</f>
        <v>0</v>
      </c>
      <c r="EO70" s="68">
        <f xml:space="preserve"> Debt!EO$357</f>
        <v>0</v>
      </c>
      <c r="EP70" s="68">
        <f xml:space="preserve"> Debt!EP$357</f>
        <v>0</v>
      </c>
      <c r="EQ70" s="68">
        <f xml:space="preserve"> Debt!EQ$357</f>
        <v>0</v>
      </c>
      <c r="ER70" s="68">
        <f xml:space="preserve"> Debt!ER$357</f>
        <v>0</v>
      </c>
      <c r="ES70" s="68">
        <f xml:space="preserve"> Debt!ES$357</f>
        <v>0</v>
      </c>
      <c r="ET70" s="68">
        <f xml:space="preserve"> Debt!ET$357</f>
        <v>0</v>
      </c>
      <c r="EU70" s="68">
        <f xml:space="preserve"> Debt!EU$357</f>
        <v>0</v>
      </c>
      <c r="EV70" s="68">
        <f xml:space="preserve"> Debt!EV$357</f>
        <v>0</v>
      </c>
      <c r="EW70" s="68">
        <f xml:space="preserve"> Debt!EW$357</f>
        <v>0</v>
      </c>
      <c r="EX70" s="68">
        <f xml:space="preserve"> Debt!EX$357</f>
        <v>0</v>
      </c>
      <c r="EY70" s="68">
        <f xml:space="preserve"> Debt!EY$357</f>
        <v>0</v>
      </c>
      <c r="EZ70" s="68">
        <f xml:space="preserve"> Debt!EZ$357</f>
        <v>0</v>
      </c>
      <c r="FA70" s="68">
        <f xml:space="preserve"> Debt!FA$357</f>
        <v>0</v>
      </c>
      <c r="FB70" s="68">
        <f xml:space="preserve"> Debt!FB$357</f>
        <v>0</v>
      </c>
      <c r="FC70" s="68">
        <f xml:space="preserve"> Debt!FC$357</f>
        <v>0</v>
      </c>
      <c r="FD70" s="68">
        <f xml:space="preserve"> Debt!FD$357</f>
        <v>0</v>
      </c>
      <c r="FE70" s="68">
        <f xml:space="preserve"> Debt!FE$357</f>
        <v>0</v>
      </c>
      <c r="FF70" s="68">
        <f xml:space="preserve"> Debt!FF$357</f>
        <v>0</v>
      </c>
      <c r="FG70" s="68">
        <f xml:space="preserve"> Debt!FG$357</f>
        <v>0</v>
      </c>
      <c r="FH70" s="68">
        <f xml:space="preserve"> Debt!FH$357</f>
        <v>0</v>
      </c>
      <c r="FI70" s="68">
        <f xml:space="preserve"> Debt!FI$357</f>
        <v>0</v>
      </c>
      <c r="FJ70" s="68">
        <f xml:space="preserve"> Debt!FJ$357</f>
        <v>0</v>
      </c>
      <c r="FK70" s="68">
        <f xml:space="preserve"> Debt!FK$357</f>
        <v>0</v>
      </c>
      <c r="FL70" s="68">
        <f xml:space="preserve"> Debt!FL$357</f>
        <v>0</v>
      </c>
      <c r="FM70" s="68">
        <f xml:space="preserve"> Debt!FM$357</f>
        <v>0</v>
      </c>
      <c r="FN70" s="68">
        <f xml:space="preserve"> Debt!FN$357</f>
        <v>0</v>
      </c>
      <c r="FO70" s="68">
        <f xml:space="preserve"> Debt!FO$357</f>
        <v>0</v>
      </c>
      <c r="FP70" s="68">
        <f xml:space="preserve"> Debt!FP$357</f>
        <v>0</v>
      </c>
      <c r="FQ70" s="68">
        <f xml:space="preserve"> Debt!FQ$357</f>
        <v>0</v>
      </c>
      <c r="FR70" s="68">
        <f xml:space="preserve"> Debt!FR$357</f>
        <v>0</v>
      </c>
      <c r="FS70" s="68">
        <f xml:space="preserve"> Debt!FS$357</f>
        <v>0</v>
      </c>
      <c r="FT70" s="68">
        <f xml:space="preserve"> Debt!FT$357</f>
        <v>0</v>
      </c>
      <c r="FU70" s="68">
        <f xml:space="preserve"> Debt!FU$357</f>
        <v>0</v>
      </c>
      <c r="FV70" s="68">
        <f xml:space="preserve"> Debt!FV$357</f>
        <v>0</v>
      </c>
      <c r="FW70" s="68">
        <f xml:space="preserve"> Debt!FW$357</f>
        <v>0</v>
      </c>
      <c r="FX70" s="68">
        <f xml:space="preserve"> Debt!FX$357</f>
        <v>0</v>
      </c>
      <c r="FY70" s="68">
        <f xml:space="preserve"> Debt!FY$357</f>
        <v>0</v>
      </c>
      <c r="FZ70" s="68">
        <f xml:space="preserve"> Debt!FZ$357</f>
        <v>0</v>
      </c>
      <c r="GA70" s="68">
        <f xml:space="preserve"> Debt!GA$357</f>
        <v>0</v>
      </c>
      <c r="GB70" s="68">
        <f xml:space="preserve"> Debt!GB$357</f>
        <v>0</v>
      </c>
      <c r="GC70" s="68">
        <f xml:space="preserve"> Debt!GC$357</f>
        <v>0</v>
      </c>
      <c r="GD70" s="68">
        <f xml:space="preserve"> Debt!GD$357</f>
        <v>0</v>
      </c>
      <c r="GE70" s="68">
        <f xml:space="preserve"> Debt!GE$357</f>
        <v>0</v>
      </c>
      <c r="GF70" s="68">
        <f xml:space="preserve"> Debt!GF$357</f>
        <v>0</v>
      </c>
      <c r="GG70" s="68">
        <f xml:space="preserve"> Debt!GG$357</f>
        <v>0</v>
      </c>
      <c r="GH70" s="68">
        <f xml:space="preserve"> Debt!GH$357</f>
        <v>0</v>
      </c>
      <c r="GI70" s="68">
        <f xml:space="preserve"> Debt!GI$357</f>
        <v>0</v>
      </c>
      <c r="GJ70" s="68">
        <f xml:space="preserve"> Debt!GJ$357</f>
        <v>0</v>
      </c>
    </row>
    <row r="71" spans="1:192" s="192" customFormat="1" outlineLevel="1" x14ac:dyDescent="0.2">
      <c r="A71" s="205"/>
      <c r="B71" s="205"/>
      <c r="C71" s="206"/>
      <c r="D71" s="209"/>
      <c r="E71" s="235" t="str">
        <f xml:space="preserve"> Debt!E$398</f>
        <v>Standby debt interest - T1</v>
      </c>
      <c r="F71" s="235">
        <f xml:space="preserve"> Debt!F$398</f>
        <v>0</v>
      </c>
      <c r="G71" s="235" t="str">
        <f xml:space="preserve"> Debt!G$398</f>
        <v>$ 000s</v>
      </c>
      <c r="H71" s="235">
        <f xml:space="preserve"> Debt!H$398</f>
        <v>0</v>
      </c>
      <c r="I71" s="235">
        <f xml:space="preserve"> Debt!I$398</f>
        <v>0</v>
      </c>
      <c r="J71" s="235">
        <f xml:space="preserve"> Debt!J$398</f>
        <v>0</v>
      </c>
      <c r="K71" s="235">
        <f xml:space="preserve"> Debt!K$398</f>
        <v>0</v>
      </c>
      <c r="L71" s="235">
        <f xml:space="preserve"> Debt!L$398</f>
        <v>0</v>
      </c>
      <c r="M71" s="235">
        <f xml:space="preserve"> Debt!M$398</f>
        <v>0</v>
      </c>
      <c r="N71" s="235">
        <f xml:space="preserve"> Debt!N$398</f>
        <v>0</v>
      </c>
      <c r="O71" s="235">
        <f xml:space="preserve"> Debt!O$398</f>
        <v>0</v>
      </c>
      <c r="P71" s="235">
        <f xml:space="preserve"> Debt!P$398</f>
        <v>0</v>
      </c>
      <c r="Q71" s="235">
        <f xml:space="preserve"> Debt!Q$398</f>
        <v>0</v>
      </c>
      <c r="R71" s="235">
        <f xml:space="preserve"> Debt!R$398</f>
        <v>0</v>
      </c>
      <c r="S71" s="235">
        <f xml:space="preserve"> Debt!S$398</f>
        <v>0</v>
      </c>
      <c r="T71" s="235">
        <f xml:space="preserve"> Debt!T$398</f>
        <v>0</v>
      </c>
      <c r="U71" s="235">
        <f xml:space="preserve"> Debt!U$398</f>
        <v>0</v>
      </c>
      <c r="V71" s="235">
        <f xml:space="preserve"> Debt!V$398</f>
        <v>0</v>
      </c>
      <c r="W71" s="235">
        <f xml:space="preserve"> Debt!W$398</f>
        <v>0</v>
      </c>
      <c r="X71" s="235">
        <f xml:space="preserve"> Debt!X$398</f>
        <v>0</v>
      </c>
      <c r="Y71" s="235">
        <f xml:space="preserve"> Debt!Y$398</f>
        <v>0</v>
      </c>
      <c r="Z71" s="235">
        <f xml:space="preserve"> Debt!Z$398</f>
        <v>0</v>
      </c>
      <c r="AA71" s="235">
        <f xml:space="preserve"> Debt!AA$398</f>
        <v>0</v>
      </c>
      <c r="AB71" s="235">
        <f xml:space="preserve"> Debt!AB$398</f>
        <v>0</v>
      </c>
      <c r="AC71" s="235">
        <f xml:space="preserve"> Debt!AC$398</f>
        <v>0</v>
      </c>
      <c r="AD71" s="235">
        <f xml:space="preserve"> Debt!AD$398</f>
        <v>0</v>
      </c>
      <c r="AE71" s="235">
        <f xml:space="preserve"> Debt!AE$398</f>
        <v>0</v>
      </c>
      <c r="AF71" s="235">
        <f xml:space="preserve"> Debt!AF$398</f>
        <v>0</v>
      </c>
      <c r="AG71" s="235">
        <f xml:space="preserve"> Debt!AG$398</f>
        <v>0</v>
      </c>
      <c r="AH71" s="235">
        <f xml:space="preserve"> Debt!AH$398</f>
        <v>0</v>
      </c>
      <c r="AI71" s="235">
        <f xml:space="preserve"> Debt!AI$398</f>
        <v>0</v>
      </c>
      <c r="AJ71" s="235">
        <f xml:space="preserve"> Debt!AJ$398</f>
        <v>0</v>
      </c>
      <c r="AK71" s="235">
        <f xml:space="preserve"> Debt!AK$398</f>
        <v>0</v>
      </c>
      <c r="AL71" s="235">
        <f xml:space="preserve"> Debt!AL$398</f>
        <v>0</v>
      </c>
      <c r="AM71" s="235">
        <f xml:space="preserve"> Debt!AM$398</f>
        <v>0</v>
      </c>
      <c r="AN71" s="235">
        <f xml:space="preserve"> Debt!AN$398</f>
        <v>0</v>
      </c>
      <c r="AO71" s="235">
        <f xml:space="preserve"> Debt!AO$398</f>
        <v>0</v>
      </c>
      <c r="AP71" s="235">
        <f xml:space="preserve"> Debt!AP$398</f>
        <v>0</v>
      </c>
      <c r="AQ71" s="235">
        <f xml:space="preserve"> Debt!AQ$398</f>
        <v>0</v>
      </c>
      <c r="AR71" s="235">
        <f xml:space="preserve"> Debt!AR$398</f>
        <v>0</v>
      </c>
      <c r="AS71" s="235">
        <f xml:space="preserve"> Debt!AS$398</f>
        <v>0</v>
      </c>
      <c r="AT71" s="235">
        <f xml:space="preserve"> Debt!AT$398</f>
        <v>0</v>
      </c>
      <c r="AU71" s="235">
        <f xml:space="preserve"> Debt!AU$398</f>
        <v>0</v>
      </c>
      <c r="AV71" s="235">
        <f xml:space="preserve"> Debt!AV$398</f>
        <v>0</v>
      </c>
      <c r="AW71" s="235">
        <f xml:space="preserve"> Debt!AW$398</f>
        <v>0</v>
      </c>
      <c r="AX71" s="235">
        <f xml:space="preserve"> Debt!AX$398</f>
        <v>0</v>
      </c>
      <c r="AY71" s="235">
        <f xml:space="preserve"> Debt!AY$398</f>
        <v>0</v>
      </c>
      <c r="AZ71" s="235">
        <f xml:space="preserve"> Debt!AZ$398</f>
        <v>0</v>
      </c>
      <c r="BA71" s="235">
        <f xml:space="preserve"> Debt!BA$398</f>
        <v>0</v>
      </c>
      <c r="BB71" s="235">
        <f xml:space="preserve"> Debt!BB$398</f>
        <v>0</v>
      </c>
      <c r="BC71" s="235">
        <f xml:space="preserve"> Debt!BC$398</f>
        <v>0</v>
      </c>
      <c r="BD71" s="235">
        <f xml:space="preserve"> Debt!BD$398</f>
        <v>0</v>
      </c>
      <c r="BE71" s="235">
        <f xml:space="preserve"> Debt!BE$398</f>
        <v>0</v>
      </c>
      <c r="BF71" s="235">
        <f xml:space="preserve"> Debt!BF$398</f>
        <v>0</v>
      </c>
      <c r="BG71" s="235">
        <f xml:space="preserve"> Debt!BG$398</f>
        <v>0</v>
      </c>
      <c r="BH71" s="235">
        <f xml:space="preserve"> Debt!BH$398</f>
        <v>0</v>
      </c>
      <c r="BI71" s="235">
        <f xml:space="preserve"> Debt!BI$398</f>
        <v>0</v>
      </c>
      <c r="BJ71" s="235">
        <f xml:space="preserve"> Debt!BJ$398</f>
        <v>0</v>
      </c>
      <c r="BK71" s="235">
        <f xml:space="preserve"> Debt!BK$398</f>
        <v>0</v>
      </c>
      <c r="BL71" s="235">
        <f xml:space="preserve"> Debt!BL$398</f>
        <v>0</v>
      </c>
      <c r="BM71" s="235">
        <f xml:space="preserve"> Debt!BM$398</f>
        <v>0</v>
      </c>
      <c r="BN71" s="235">
        <f xml:space="preserve"> Debt!BN$398</f>
        <v>0</v>
      </c>
      <c r="BO71" s="235">
        <f xml:space="preserve"> Debt!BO$398</f>
        <v>0</v>
      </c>
      <c r="BP71" s="235">
        <f xml:space="preserve"> Debt!BP$398</f>
        <v>0</v>
      </c>
      <c r="BQ71" s="235">
        <f xml:space="preserve"> Debt!BQ$398</f>
        <v>0</v>
      </c>
      <c r="BR71" s="235">
        <f xml:space="preserve"> Debt!BR$398</f>
        <v>0</v>
      </c>
      <c r="BS71" s="235">
        <f xml:space="preserve"> Debt!BS$398</f>
        <v>0</v>
      </c>
      <c r="BT71" s="235">
        <f xml:space="preserve"> Debt!BT$398</f>
        <v>0</v>
      </c>
      <c r="BU71" s="235">
        <f xml:space="preserve"> Debt!BU$398</f>
        <v>0</v>
      </c>
      <c r="BV71" s="235">
        <f xml:space="preserve"> Debt!BV$398</f>
        <v>0</v>
      </c>
      <c r="BW71" s="235">
        <f xml:space="preserve"> Debt!BW$398</f>
        <v>0</v>
      </c>
      <c r="BX71" s="235">
        <f xml:space="preserve"> Debt!BX$398</f>
        <v>0</v>
      </c>
      <c r="BY71" s="235">
        <f xml:space="preserve"> Debt!BY$398</f>
        <v>0</v>
      </c>
      <c r="BZ71" s="235">
        <f xml:space="preserve"> Debt!BZ$398</f>
        <v>0</v>
      </c>
      <c r="CA71" s="235">
        <f xml:space="preserve"> Debt!CA$398</f>
        <v>0</v>
      </c>
      <c r="CB71" s="235">
        <f xml:space="preserve"> Debt!CB$398</f>
        <v>0</v>
      </c>
      <c r="CC71" s="235">
        <f xml:space="preserve"> Debt!CC$398</f>
        <v>0</v>
      </c>
      <c r="CD71" s="235">
        <f xml:space="preserve"> Debt!CD$398</f>
        <v>0</v>
      </c>
      <c r="CE71" s="235">
        <f xml:space="preserve"> Debt!CE$398</f>
        <v>0</v>
      </c>
      <c r="CF71" s="235">
        <f xml:space="preserve"> Debt!CF$398</f>
        <v>0</v>
      </c>
      <c r="CG71" s="235">
        <f xml:space="preserve"> Debt!CG$398</f>
        <v>0</v>
      </c>
      <c r="CH71" s="235">
        <f xml:space="preserve"> Debt!CH$398</f>
        <v>0</v>
      </c>
      <c r="CI71" s="235">
        <f xml:space="preserve"> Debt!CI$398</f>
        <v>0</v>
      </c>
      <c r="CJ71" s="235">
        <f xml:space="preserve"> Debt!CJ$398</f>
        <v>0</v>
      </c>
      <c r="CK71" s="235">
        <f xml:space="preserve"> Debt!CK$398</f>
        <v>0</v>
      </c>
      <c r="CL71" s="235">
        <f xml:space="preserve"> Debt!CL$398</f>
        <v>0</v>
      </c>
      <c r="CM71" s="235">
        <f xml:space="preserve"> Debt!CM$398</f>
        <v>0</v>
      </c>
      <c r="CN71" s="235">
        <f xml:space="preserve"> Debt!CN$398</f>
        <v>0</v>
      </c>
      <c r="CO71" s="235">
        <f xml:space="preserve"> Debt!CO$398</f>
        <v>0</v>
      </c>
      <c r="CP71" s="235">
        <f xml:space="preserve"> Debt!CP$398</f>
        <v>0</v>
      </c>
      <c r="CQ71" s="235">
        <f xml:space="preserve"> Debt!CQ$398</f>
        <v>0</v>
      </c>
      <c r="CR71" s="235">
        <f xml:space="preserve"> Debt!CR$398</f>
        <v>0</v>
      </c>
      <c r="CS71" s="235">
        <f xml:space="preserve"> Debt!CS$398</f>
        <v>0</v>
      </c>
      <c r="CT71" s="235">
        <f xml:space="preserve"> Debt!CT$398</f>
        <v>0</v>
      </c>
      <c r="CU71" s="235">
        <f xml:space="preserve"> Debt!CU$398</f>
        <v>0</v>
      </c>
      <c r="CV71" s="235">
        <f xml:space="preserve"> Debt!CV$398</f>
        <v>0</v>
      </c>
    </row>
    <row r="72" spans="1:192" s="192" customFormat="1" outlineLevel="1" x14ac:dyDescent="0.2">
      <c r="A72" s="205"/>
      <c r="B72" s="205"/>
      <c r="C72" s="206"/>
      <c r="D72" s="209"/>
      <c r="E72" s="235" t="str">
        <f xml:space="preserve"> Debt!E$430</f>
        <v>Standby debt interest - T2</v>
      </c>
      <c r="F72" s="235">
        <f xml:space="preserve"> Debt!F$430</f>
        <v>0</v>
      </c>
      <c r="G72" s="235" t="str">
        <f xml:space="preserve"> Debt!G$430</f>
        <v>$ 000s</v>
      </c>
      <c r="H72" s="235">
        <f xml:space="preserve"> Debt!H$430</f>
        <v>0</v>
      </c>
      <c r="I72" s="235">
        <f xml:space="preserve"> Debt!I$430</f>
        <v>0</v>
      </c>
      <c r="J72" s="235">
        <f xml:space="preserve"> Debt!J$430</f>
        <v>0</v>
      </c>
      <c r="K72" s="235">
        <f xml:space="preserve"> Debt!K$430</f>
        <v>0</v>
      </c>
      <c r="L72" s="235">
        <f xml:space="preserve"> Debt!L$430</f>
        <v>0</v>
      </c>
      <c r="M72" s="235">
        <f xml:space="preserve"> Debt!M$430</f>
        <v>0</v>
      </c>
      <c r="N72" s="235">
        <f xml:space="preserve"> Debt!N$430</f>
        <v>0</v>
      </c>
      <c r="O72" s="235">
        <f xml:space="preserve"> Debt!O$430</f>
        <v>0</v>
      </c>
      <c r="P72" s="235">
        <f xml:space="preserve"> Debt!P$430</f>
        <v>0</v>
      </c>
      <c r="Q72" s="235">
        <f xml:space="preserve"> Debt!Q$430</f>
        <v>0</v>
      </c>
      <c r="R72" s="235">
        <f xml:space="preserve"> Debt!R$430</f>
        <v>0</v>
      </c>
      <c r="S72" s="235">
        <f xml:space="preserve"> Debt!S$430</f>
        <v>0</v>
      </c>
      <c r="T72" s="235">
        <f xml:space="preserve"> Debt!T$430</f>
        <v>0</v>
      </c>
      <c r="U72" s="235">
        <f xml:space="preserve"> Debt!U$430</f>
        <v>0</v>
      </c>
      <c r="V72" s="235">
        <f xml:space="preserve"> Debt!V$430</f>
        <v>0</v>
      </c>
      <c r="W72" s="235">
        <f xml:space="preserve"> Debt!W$430</f>
        <v>0</v>
      </c>
      <c r="X72" s="235">
        <f xml:space="preserve"> Debt!X$430</f>
        <v>0</v>
      </c>
      <c r="Y72" s="235">
        <f xml:space="preserve"> Debt!Y$430</f>
        <v>0</v>
      </c>
      <c r="Z72" s="235">
        <f xml:space="preserve"> Debt!Z$430</f>
        <v>0</v>
      </c>
      <c r="AA72" s="235">
        <f xml:space="preserve"> Debt!AA$430</f>
        <v>0</v>
      </c>
      <c r="AB72" s="235">
        <f xml:space="preserve"> Debt!AB$430</f>
        <v>0</v>
      </c>
      <c r="AC72" s="235">
        <f xml:space="preserve"> Debt!AC$430</f>
        <v>0</v>
      </c>
      <c r="AD72" s="235">
        <f xml:space="preserve"> Debt!AD$430</f>
        <v>0</v>
      </c>
      <c r="AE72" s="235">
        <f xml:space="preserve"> Debt!AE$430</f>
        <v>0</v>
      </c>
      <c r="AF72" s="235">
        <f xml:space="preserve"> Debt!AF$430</f>
        <v>0</v>
      </c>
      <c r="AG72" s="235">
        <f xml:space="preserve"> Debt!AG$430</f>
        <v>0</v>
      </c>
      <c r="AH72" s="235">
        <f xml:space="preserve"> Debt!AH$430</f>
        <v>0</v>
      </c>
      <c r="AI72" s="235">
        <f xml:space="preserve"> Debt!AI$430</f>
        <v>0</v>
      </c>
      <c r="AJ72" s="235">
        <f xml:space="preserve"> Debt!AJ$430</f>
        <v>0</v>
      </c>
      <c r="AK72" s="235">
        <f xml:space="preserve"> Debt!AK$430</f>
        <v>0</v>
      </c>
      <c r="AL72" s="235">
        <f xml:space="preserve"> Debt!AL$430</f>
        <v>0</v>
      </c>
      <c r="AM72" s="235">
        <f xml:space="preserve"> Debt!AM$430</f>
        <v>0</v>
      </c>
      <c r="AN72" s="235">
        <f xml:space="preserve"> Debt!AN$430</f>
        <v>0</v>
      </c>
      <c r="AO72" s="235">
        <f xml:space="preserve"> Debt!AO$430</f>
        <v>0</v>
      </c>
      <c r="AP72" s="235">
        <f xml:space="preserve"> Debt!AP$430</f>
        <v>0</v>
      </c>
      <c r="AQ72" s="235">
        <f xml:space="preserve"> Debt!AQ$430</f>
        <v>0</v>
      </c>
      <c r="AR72" s="235">
        <f xml:space="preserve"> Debt!AR$430</f>
        <v>0</v>
      </c>
      <c r="AS72" s="235">
        <f xml:space="preserve"> Debt!AS$430</f>
        <v>0</v>
      </c>
      <c r="AT72" s="235">
        <f xml:space="preserve"> Debt!AT$430</f>
        <v>0</v>
      </c>
      <c r="AU72" s="235">
        <f xml:space="preserve"> Debt!AU$430</f>
        <v>0</v>
      </c>
      <c r="AV72" s="235">
        <f xml:space="preserve"> Debt!AV$430</f>
        <v>0</v>
      </c>
      <c r="AW72" s="235">
        <f xml:space="preserve"> Debt!AW$430</f>
        <v>0</v>
      </c>
      <c r="AX72" s="235">
        <f xml:space="preserve"> Debt!AX$430</f>
        <v>0</v>
      </c>
      <c r="AY72" s="235">
        <f xml:space="preserve"> Debt!AY$430</f>
        <v>0</v>
      </c>
      <c r="AZ72" s="235">
        <f xml:space="preserve"> Debt!AZ$430</f>
        <v>0</v>
      </c>
      <c r="BA72" s="235">
        <f xml:space="preserve"> Debt!BA$430</f>
        <v>0</v>
      </c>
      <c r="BB72" s="235">
        <f xml:space="preserve"> Debt!BB$430</f>
        <v>0</v>
      </c>
      <c r="BC72" s="235">
        <f xml:space="preserve"> Debt!BC$430</f>
        <v>0</v>
      </c>
      <c r="BD72" s="235">
        <f xml:space="preserve"> Debt!BD$430</f>
        <v>0</v>
      </c>
      <c r="BE72" s="235">
        <f xml:space="preserve"> Debt!BE$430</f>
        <v>0</v>
      </c>
      <c r="BF72" s="235">
        <f xml:space="preserve"> Debt!BF$430</f>
        <v>0</v>
      </c>
      <c r="BG72" s="235">
        <f xml:space="preserve"> Debt!BG$430</f>
        <v>0</v>
      </c>
      <c r="BH72" s="235">
        <f xml:space="preserve"> Debt!BH$430</f>
        <v>0</v>
      </c>
      <c r="BI72" s="235">
        <f xml:space="preserve"> Debt!BI$430</f>
        <v>0</v>
      </c>
      <c r="BJ72" s="235">
        <f xml:space="preserve"> Debt!BJ$430</f>
        <v>0</v>
      </c>
      <c r="BK72" s="235">
        <f xml:space="preserve"> Debt!BK$430</f>
        <v>0</v>
      </c>
      <c r="BL72" s="235">
        <f xml:space="preserve"> Debt!BL$430</f>
        <v>0</v>
      </c>
      <c r="BM72" s="235">
        <f xml:space="preserve"> Debt!BM$430</f>
        <v>0</v>
      </c>
      <c r="BN72" s="235">
        <f xml:space="preserve"> Debt!BN$430</f>
        <v>0</v>
      </c>
      <c r="BO72" s="235">
        <f xml:space="preserve"> Debt!BO$430</f>
        <v>0</v>
      </c>
      <c r="BP72" s="235">
        <f xml:space="preserve"> Debt!BP$430</f>
        <v>0</v>
      </c>
      <c r="BQ72" s="235">
        <f xml:space="preserve"> Debt!BQ$430</f>
        <v>0</v>
      </c>
      <c r="BR72" s="235">
        <f xml:space="preserve"> Debt!BR$430</f>
        <v>0</v>
      </c>
      <c r="BS72" s="235">
        <f xml:space="preserve"> Debt!BS$430</f>
        <v>0</v>
      </c>
      <c r="BT72" s="235">
        <f xml:space="preserve"> Debt!BT$430</f>
        <v>0</v>
      </c>
      <c r="BU72" s="235">
        <f xml:space="preserve"> Debt!BU$430</f>
        <v>0</v>
      </c>
      <c r="BV72" s="235">
        <f xml:space="preserve"> Debt!BV$430</f>
        <v>0</v>
      </c>
      <c r="BW72" s="235">
        <f xml:space="preserve"> Debt!BW$430</f>
        <v>0</v>
      </c>
      <c r="BX72" s="235">
        <f xml:space="preserve"> Debt!BX$430</f>
        <v>0</v>
      </c>
      <c r="BY72" s="235">
        <f xml:space="preserve"> Debt!BY$430</f>
        <v>0</v>
      </c>
      <c r="BZ72" s="235">
        <f xml:space="preserve"> Debt!BZ$430</f>
        <v>0</v>
      </c>
      <c r="CA72" s="235">
        <f xml:space="preserve"> Debt!CA$430</f>
        <v>0</v>
      </c>
      <c r="CB72" s="235">
        <f xml:space="preserve"> Debt!CB$430</f>
        <v>0</v>
      </c>
      <c r="CC72" s="235">
        <f xml:space="preserve"> Debt!CC$430</f>
        <v>0</v>
      </c>
      <c r="CD72" s="235">
        <f xml:space="preserve"> Debt!CD$430</f>
        <v>0</v>
      </c>
      <c r="CE72" s="235">
        <f xml:space="preserve"> Debt!CE$430</f>
        <v>0</v>
      </c>
      <c r="CF72" s="235">
        <f xml:space="preserve"> Debt!CF$430</f>
        <v>0</v>
      </c>
      <c r="CG72" s="235">
        <f xml:space="preserve"> Debt!CG$430</f>
        <v>0</v>
      </c>
      <c r="CH72" s="235">
        <f xml:space="preserve"> Debt!CH$430</f>
        <v>0</v>
      </c>
      <c r="CI72" s="235">
        <f xml:space="preserve"> Debt!CI$430</f>
        <v>0</v>
      </c>
      <c r="CJ72" s="235">
        <f xml:space="preserve"> Debt!CJ$430</f>
        <v>0</v>
      </c>
      <c r="CK72" s="235">
        <f xml:space="preserve"> Debt!CK$430</f>
        <v>0</v>
      </c>
      <c r="CL72" s="235">
        <f xml:space="preserve"> Debt!CL$430</f>
        <v>0</v>
      </c>
      <c r="CM72" s="235">
        <f xml:space="preserve"> Debt!CM$430</f>
        <v>0</v>
      </c>
      <c r="CN72" s="235">
        <f xml:space="preserve"> Debt!CN$430</f>
        <v>0</v>
      </c>
      <c r="CO72" s="235">
        <f xml:space="preserve"> Debt!CO$430</f>
        <v>0</v>
      </c>
      <c r="CP72" s="235">
        <f xml:space="preserve"> Debt!CP$430</f>
        <v>0</v>
      </c>
      <c r="CQ72" s="235">
        <f xml:space="preserve"> Debt!CQ$430</f>
        <v>0</v>
      </c>
      <c r="CR72" s="235">
        <f xml:space="preserve"> Debt!CR$430</f>
        <v>0</v>
      </c>
      <c r="CS72" s="235">
        <f xml:space="preserve"> Debt!CS$430</f>
        <v>0</v>
      </c>
      <c r="CT72" s="235">
        <f xml:space="preserve"> Debt!CT$430</f>
        <v>0</v>
      </c>
      <c r="CU72" s="235">
        <f xml:space="preserve"> Debt!CU$430</f>
        <v>0</v>
      </c>
      <c r="CV72" s="235">
        <f xml:space="preserve"> Debt!CV$430</f>
        <v>0</v>
      </c>
    </row>
    <row r="73" spans="1:192" outlineLevel="1" x14ac:dyDescent="0.2">
      <c r="D73" s="209"/>
      <c r="E73" s="235" t="str">
        <f xml:space="preserve"> Debt!E$184</f>
        <v>Senior debt principal repayment - T1</v>
      </c>
      <c r="F73" s="235">
        <f xml:space="preserve"> Debt!F$184</f>
        <v>0</v>
      </c>
      <c r="G73" s="235" t="str">
        <f xml:space="preserve"> Debt!G$184</f>
        <v>$ 000s</v>
      </c>
      <c r="H73" s="235">
        <f xml:space="preserve"> Debt!H$184</f>
        <v>-125194.95159167382</v>
      </c>
      <c r="I73" s="235">
        <f xml:space="preserve"> Debt!I$184</f>
        <v>0</v>
      </c>
      <c r="J73" s="235">
        <f xml:space="preserve"> Debt!J$184</f>
        <v>0</v>
      </c>
      <c r="K73" s="235">
        <f xml:space="preserve"> Debt!K$184</f>
        <v>0</v>
      </c>
      <c r="L73" s="235">
        <f xml:space="preserve"> Debt!L$184</f>
        <v>0</v>
      </c>
      <c r="M73" s="235">
        <f xml:space="preserve"> Debt!M$184</f>
        <v>0</v>
      </c>
      <c r="N73" s="235">
        <f xml:space="preserve"> Debt!N$184</f>
        <v>0</v>
      </c>
      <c r="O73" s="235">
        <f xml:space="preserve"> Debt!O$184</f>
        <v>-2887.5564385842031</v>
      </c>
      <c r="P73" s="235">
        <f xml:space="preserve"> Debt!P$184</f>
        <v>-2385.234403913732</v>
      </c>
      <c r="Q73" s="235">
        <f xml:space="preserve"> Debt!Q$184</f>
        <v>-2413.9429517461499</v>
      </c>
      <c r="R73" s="235">
        <f xml:space="preserve"> Debt!R$184</f>
        <v>-2458.6898079027978</v>
      </c>
      <c r="S73" s="235">
        <f xml:space="preserve"> Debt!S$184</f>
        <v>-2490.2570985291154</v>
      </c>
      <c r="T73" s="235">
        <f xml:space="preserve"> Debt!T$184</f>
        <v>-2535.0796437475524</v>
      </c>
      <c r="U73" s="235">
        <f xml:space="preserve"> Debt!U$184</f>
        <v>-2569.6182413694601</v>
      </c>
      <c r="V73" s="235">
        <f xml:space="preserve"> Debt!V$184</f>
        <v>-2610.1709011222924</v>
      </c>
      <c r="W73" s="235">
        <f xml:space="preserve"> Debt!W$184</f>
        <v>-2645.8469767855477</v>
      </c>
      <c r="X73" s="235">
        <f xml:space="preserve"> Debt!X$184</f>
        <v>-2696.9294511065236</v>
      </c>
      <c r="Y73" s="235">
        <f xml:space="preserve"> Debt!Y$184</f>
        <v>-2658.3143766007292</v>
      </c>
      <c r="Z73" s="235">
        <f xml:space="preserve"> Debt!Z$184</f>
        <v>-2705.6167794847602</v>
      </c>
      <c r="AA73" s="235">
        <f xml:space="preserve"> Debt!AA$184</f>
        <v>-2749.4951786870188</v>
      </c>
      <c r="AB73" s="235">
        <f xml:space="preserve"> Debt!AB$184</f>
        <v>-2797.0330385127395</v>
      </c>
      <c r="AC73" s="235">
        <f xml:space="preserve"> Debt!AC$184</f>
        <v>-2844.5558287196923</v>
      </c>
      <c r="AD73" s="235">
        <f xml:space="preserve"> Debt!AD$184</f>
        <v>-2890.1430121738081</v>
      </c>
      <c r="AE73" s="235">
        <f xml:space="preserve"> Debt!AE$184</f>
        <v>-2937.6130636822691</v>
      </c>
      <c r="AF73" s="235">
        <f xml:space="preserve"> Debt!AF$184</f>
        <v>-2991.5520718658245</v>
      </c>
      <c r="AG73" s="235">
        <f xml:space="preserve"> Debt!AG$184</f>
        <v>-3046.8262075297375</v>
      </c>
      <c r="AH73" s="235">
        <f xml:space="preserve"> Debt!AH$184</f>
        <v>-3095.2032844704854</v>
      </c>
      <c r="AI73" s="235">
        <f xml:space="preserve"> Debt!AI$184</f>
        <v>-3094.413726957142</v>
      </c>
      <c r="AJ73" s="235">
        <f xml:space="preserve"> Debt!AJ$184</f>
        <v>-3146.705599800724</v>
      </c>
      <c r="AK73" s="235">
        <f xml:space="preserve"> Debt!AK$184</f>
        <v>-3212.2791962939004</v>
      </c>
      <c r="AL73" s="235">
        <f xml:space="preserve"> Debt!AL$184</f>
        <v>-3265.6211611209619</v>
      </c>
      <c r="AM73" s="235">
        <f xml:space="preserve"> Debt!AM$184</f>
        <v>-3329.7904775791908</v>
      </c>
      <c r="AN73" s="235">
        <f xml:space="preserve"> Debt!AN$184</f>
        <v>-3388.8663668241315</v>
      </c>
      <c r="AO73" s="235">
        <f xml:space="preserve"> Debt!AO$184</f>
        <v>-3464.411832190975</v>
      </c>
      <c r="AP73" s="235">
        <f xml:space="preserve"> Debt!AP$184</f>
        <v>-3518.4679713149394</v>
      </c>
      <c r="AQ73" s="235">
        <f xml:space="preserve"> Debt!AQ$184</f>
        <v>-3599.3499460935395</v>
      </c>
      <c r="AR73" s="235">
        <f xml:space="preserve"> Debt!AR$184</f>
        <v>-3654.0786926427813</v>
      </c>
      <c r="AS73" s="235">
        <f xml:space="preserve"> Debt!AS$184</f>
        <v>-9057.0504482829947</v>
      </c>
      <c r="AT73" s="235">
        <f xml:space="preserve"> Debt!AT$184</f>
        <v>-9185.158285002075</v>
      </c>
      <c r="AU73" s="235">
        <f xml:space="preserve"> Debt!AU$184</f>
        <v>-9368.3487620633514</v>
      </c>
      <c r="AV73" s="235">
        <f xml:space="preserve"> Debt!AV$184</f>
        <v>-9500.7303689726396</v>
      </c>
      <c r="AW73" s="235">
        <f xml:space="preserve"> Debt!AW$184</f>
        <v>0</v>
      </c>
      <c r="AX73" s="235">
        <f xml:space="preserve"> Debt!AX$184</f>
        <v>0</v>
      </c>
      <c r="AY73" s="235">
        <f xml:space="preserve"> Debt!AY$184</f>
        <v>0</v>
      </c>
      <c r="AZ73" s="235">
        <f xml:space="preserve"> Debt!AZ$184</f>
        <v>0</v>
      </c>
      <c r="BA73" s="235">
        <f xml:space="preserve"> Debt!BA$184</f>
        <v>0</v>
      </c>
      <c r="BB73" s="235">
        <f xml:space="preserve"> Debt!BB$184</f>
        <v>0</v>
      </c>
      <c r="BC73" s="235">
        <f xml:space="preserve"> Debt!BC$184</f>
        <v>0</v>
      </c>
      <c r="BD73" s="235">
        <f xml:space="preserve"> Debt!BD$184</f>
        <v>0</v>
      </c>
      <c r="BE73" s="235">
        <f xml:space="preserve"> Debt!BE$184</f>
        <v>0</v>
      </c>
      <c r="BF73" s="235">
        <f xml:space="preserve"> Debt!BF$184</f>
        <v>0</v>
      </c>
      <c r="BG73" s="235">
        <f xml:space="preserve"> Debt!BG$184</f>
        <v>0</v>
      </c>
      <c r="BH73" s="235">
        <f xml:space="preserve"> Debt!BH$184</f>
        <v>0</v>
      </c>
      <c r="BI73" s="235">
        <f xml:space="preserve"> Debt!BI$184</f>
        <v>0</v>
      </c>
      <c r="BJ73" s="235">
        <f xml:space="preserve"> Debt!BJ$184</f>
        <v>0</v>
      </c>
      <c r="BK73" s="235">
        <f xml:space="preserve"> Debt!BK$184</f>
        <v>0</v>
      </c>
      <c r="BL73" s="235">
        <f xml:space="preserve"> Debt!BL$184</f>
        <v>0</v>
      </c>
      <c r="BM73" s="235">
        <f xml:space="preserve"> Debt!BM$184</f>
        <v>0</v>
      </c>
      <c r="BN73" s="235">
        <f xml:space="preserve"> Debt!BN$184</f>
        <v>0</v>
      </c>
      <c r="BO73" s="235">
        <f xml:space="preserve"> Debt!BO$184</f>
        <v>0</v>
      </c>
      <c r="BP73" s="235">
        <f xml:space="preserve"> Debt!BP$184</f>
        <v>0</v>
      </c>
      <c r="BQ73" s="235">
        <f xml:space="preserve"> Debt!BQ$184</f>
        <v>0</v>
      </c>
      <c r="BR73" s="235">
        <f xml:space="preserve"> Debt!BR$184</f>
        <v>0</v>
      </c>
      <c r="BS73" s="235">
        <f xml:space="preserve"> Debt!BS$184</f>
        <v>0</v>
      </c>
      <c r="BT73" s="235">
        <f xml:space="preserve"> Debt!BT$184</f>
        <v>0</v>
      </c>
      <c r="BU73" s="235">
        <f xml:space="preserve"> Debt!BU$184</f>
        <v>0</v>
      </c>
      <c r="BV73" s="235">
        <f xml:space="preserve"> Debt!BV$184</f>
        <v>0</v>
      </c>
      <c r="BW73" s="235">
        <f xml:space="preserve"> Debt!BW$184</f>
        <v>0</v>
      </c>
      <c r="BX73" s="235">
        <f xml:space="preserve"> Debt!BX$184</f>
        <v>0</v>
      </c>
      <c r="BY73" s="235">
        <f xml:space="preserve"> Debt!BY$184</f>
        <v>0</v>
      </c>
      <c r="BZ73" s="235">
        <f xml:space="preserve"> Debt!BZ$184</f>
        <v>0</v>
      </c>
      <c r="CA73" s="235">
        <f xml:space="preserve"> Debt!CA$184</f>
        <v>0</v>
      </c>
      <c r="CB73" s="235">
        <f xml:space="preserve"> Debt!CB$184</f>
        <v>0</v>
      </c>
      <c r="CC73" s="235">
        <f xml:space="preserve"> Debt!CC$184</f>
        <v>0</v>
      </c>
      <c r="CD73" s="235">
        <f xml:space="preserve"> Debt!CD$184</f>
        <v>0</v>
      </c>
      <c r="CE73" s="235">
        <f xml:space="preserve"> Debt!CE$184</f>
        <v>0</v>
      </c>
      <c r="CF73" s="235">
        <f xml:space="preserve"> Debt!CF$184</f>
        <v>0</v>
      </c>
      <c r="CG73" s="235">
        <f xml:space="preserve"> Debt!CG$184</f>
        <v>0</v>
      </c>
      <c r="CH73" s="235">
        <f xml:space="preserve"> Debt!CH$184</f>
        <v>0</v>
      </c>
      <c r="CI73" s="235">
        <f xml:space="preserve"> Debt!CI$184</f>
        <v>0</v>
      </c>
      <c r="CJ73" s="235">
        <f xml:space="preserve"> Debt!CJ$184</f>
        <v>0</v>
      </c>
      <c r="CK73" s="235">
        <f xml:space="preserve"> Debt!CK$184</f>
        <v>0</v>
      </c>
      <c r="CL73" s="235">
        <f xml:space="preserve"> Debt!CL$184</f>
        <v>0</v>
      </c>
      <c r="CM73" s="235">
        <f xml:space="preserve"> Debt!CM$184</f>
        <v>0</v>
      </c>
      <c r="CN73" s="235">
        <f xml:space="preserve"> Debt!CN$184</f>
        <v>0</v>
      </c>
      <c r="CO73" s="235">
        <f xml:space="preserve"> Debt!CO$184</f>
        <v>0</v>
      </c>
      <c r="CP73" s="235">
        <f xml:space="preserve"> Debt!CP$184</f>
        <v>0</v>
      </c>
      <c r="CQ73" s="235">
        <f xml:space="preserve"> Debt!CQ$184</f>
        <v>0</v>
      </c>
      <c r="CR73" s="235">
        <f xml:space="preserve"> Debt!CR$184</f>
        <v>0</v>
      </c>
      <c r="CS73" s="235">
        <f xml:space="preserve"> Debt!CS$184</f>
        <v>0</v>
      </c>
      <c r="CT73" s="235">
        <f xml:space="preserve"> Debt!CT$184</f>
        <v>0</v>
      </c>
      <c r="CU73" s="235">
        <f xml:space="preserve"> Debt!CU$184</f>
        <v>0</v>
      </c>
      <c r="CV73" s="235">
        <f xml:space="preserve"> Debt!CV$184</f>
        <v>0</v>
      </c>
    </row>
    <row r="74" spans="1:192" outlineLevel="1" x14ac:dyDescent="0.2">
      <c r="D74" s="209"/>
      <c r="E74" s="235" t="str">
        <f xml:space="preserve"> Debt!E$296</f>
        <v>Senior debt principal repayment - T2</v>
      </c>
      <c r="F74" s="235">
        <f xml:space="preserve"> Debt!F$296</f>
        <v>0</v>
      </c>
      <c r="G74" s="235" t="str">
        <f xml:space="preserve"> Debt!G$296</f>
        <v>$ 000s</v>
      </c>
      <c r="H74" s="235">
        <f xml:space="preserve"> Debt!H$296</f>
        <v>-125194.92397164847</v>
      </c>
      <c r="I74" s="235">
        <f xml:space="preserve"> Debt!I$296</f>
        <v>0</v>
      </c>
      <c r="J74" s="235">
        <f xml:space="preserve"> Debt!J$296</f>
        <v>0</v>
      </c>
      <c r="K74" s="235">
        <f xml:space="preserve"> Debt!K$296</f>
        <v>0</v>
      </c>
      <c r="L74" s="235">
        <f xml:space="preserve"> Debt!L$296</f>
        <v>0</v>
      </c>
      <c r="M74" s="235">
        <f xml:space="preserve"> Debt!M$296</f>
        <v>0</v>
      </c>
      <c r="N74" s="235">
        <f xml:space="preserve"> Debt!N$296</f>
        <v>0</v>
      </c>
      <c r="O74" s="235">
        <f xml:space="preserve"> Debt!O$296</f>
        <v>-4104.1368341736443</v>
      </c>
      <c r="P74" s="235">
        <f xml:space="preserve"> Debt!P$296</f>
        <v>-3390.1773293270649</v>
      </c>
      <c r="Q74" s="235">
        <f xml:space="preserve"> Debt!Q$296</f>
        <v>-3430.9813139835283</v>
      </c>
      <c r="R74" s="235">
        <f xml:space="preserve"> Debt!R$296</f>
        <v>-3494.5808399051803</v>
      </c>
      <c r="S74" s="235">
        <f xml:space="preserve"> Debt!S$296</f>
        <v>-3539.4480080350804</v>
      </c>
      <c r="T74" s="235">
        <f xml:space="preserve"> Debt!T$296</f>
        <v>-3603.1551122060368</v>
      </c>
      <c r="U74" s="235">
        <f xml:space="preserve"> Debt!U$296</f>
        <v>-3652.2454533701657</v>
      </c>
      <c r="V74" s="235">
        <f xml:space="preserve"> Debt!V$296</f>
        <v>-3709.8836911519061</v>
      </c>
      <c r="W74" s="235">
        <f xml:space="preserve"> Debt!W$296</f>
        <v>-3760.5907506821859</v>
      </c>
      <c r="X74" s="235">
        <f xml:space="preserve"> Debt!X$296</f>
        <v>-3833.1952066990661</v>
      </c>
      <c r="Y74" s="235">
        <f xml:space="preserve"> Debt!Y$296</f>
        <v>-3778.310894304017</v>
      </c>
      <c r="Z74" s="235">
        <f xml:space="preserve"> Debt!Z$296</f>
        <v>-3845.5426655785759</v>
      </c>
      <c r="AA74" s="235">
        <f xml:space="preserve"> Debt!AA$296</f>
        <v>-3907.9078377304527</v>
      </c>
      <c r="AB74" s="235">
        <f xml:space="preserve"> Debt!AB$296</f>
        <v>-3975.4742682671963</v>
      </c>
      <c r="AC74" s="235">
        <f xml:space="preserve"> Debt!AC$296</f>
        <v>-4043.019280078875</v>
      </c>
      <c r="AD74" s="235">
        <f xml:space="preserve"> Debt!AD$296</f>
        <v>-4107.813178573896</v>
      </c>
      <c r="AE74" s="235">
        <f xml:space="preserve"> Debt!AE$296</f>
        <v>-4175.2832319078207</v>
      </c>
      <c r="AF74" s="235">
        <f xml:space="preserve"> Debt!AF$296</f>
        <v>-4251.9477318036097</v>
      </c>
      <c r="AG74" s="235">
        <f xml:space="preserve"> Debt!AG$296</f>
        <v>-4330.5098728319617</v>
      </c>
      <c r="AH74" s="235">
        <f xml:space="preserve"> Debt!AH$296</f>
        <v>-4399.2690980194438</v>
      </c>
      <c r="AI74" s="235">
        <f xml:space="preserve"> Debt!AI$296</f>
        <v>-4398.1468854697905</v>
      </c>
      <c r="AJ74" s="235">
        <f xml:space="preserve"> Debt!AJ$296</f>
        <v>-4472.4702817496218</v>
      </c>
      <c r="AK74" s="235">
        <f xml:space="preserve"> Debt!AK$296</f>
        <v>-4565.6712350265161</v>
      </c>
      <c r="AL74" s="235">
        <f xml:space="preserve"> Debt!AL$296</f>
        <v>-4641.4871462685069</v>
      </c>
      <c r="AM74" s="235">
        <f xml:space="preserve"> Debt!AM$296</f>
        <v>-4732.6921706208932</v>
      </c>
      <c r="AN74" s="235">
        <f xml:space="preserve"> Debt!AN$296</f>
        <v>-4816.6578136199269</v>
      </c>
      <c r="AO74" s="235">
        <f xml:space="preserve"> Debt!AO$296</f>
        <v>-4924.0319667010262</v>
      </c>
      <c r="AP74" s="235">
        <f xml:space="preserve"> Debt!AP$296</f>
        <v>-5000.8629469469588</v>
      </c>
      <c r="AQ74" s="235">
        <f xml:space="preserve"> Debt!AQ$296</f>
        <v>-5115.8219785606616</v>
      </c>
      <c r="AR74" s="235">
        <f xml:space="preserve"> Debt!AR$296</f>
        <v>-5193.6089480548508</v>
      </c>
      <c r="AS74" s="235">
        <f xml:space="preserve"> Debt!AS$296</f>
        <v>0</v>
      </c>
      <c r="AT74" s="235">
        <f xml:space="preserve"> Debt!AT$296</f>
        <v>0</v>
      </c>
      <c r="AU74" s="235">
        <f xml:space="preserve"> Debt!AU$296</f>
        <v>0</v>
      </c>
      <c r="AV74" s="235">
        <f xml:space="preserve"> Debt!AV$296</f>
        <v>0</v>
      </c>
      <c r="AW74" s="235">
        <f xml:space="preserve"> Debt!AW$296</f>
        <v>0</v>
      </c>
      <c r="AX74" s="235">
        <f xml:space="preserve"> Debt!AX$296</f>
        <v>0</v>
      </c>
      <c r="AY74" s="235">
        <f xml:space="preserve"> Debt!AY$296</f>
        <v>0</v>
      </c>
      <c r="AZ74" s="235">
        <f xml:space="preserve"> Debt!AZ$296</f>
        <v>0</v>
      </c>
      <c r="BA74" s="235">
        <f xml:space="preserve"> Debt!BA$296</f>
        <v>0</v>
      </c>
      <c r="BB74" s="235">
        <f xml:space="preserve"> Debt!BB$296</f>
        <v>0</v>
      </c>
      <c r="BC74" s="235">
        <f xml:space="preserve"> Debt!BC$296</f>
        <v>0</v>
      </c>
      <c r="BD74" s="235">
        <f xml:space="preserve"> Debt!BD$296</f>
        <v>0</v>
      </c>
      <c r="BE74" s="235">
        <f xml:space="preserve"> Debt!BE$296</f>
        <v>0</v>
      </c>
      <c r="BF74" s="235">
        <f xml:space="preserve"> Debt!BF$296</f>
        <v>0</v>
      </c>
      <c r="BG74" s="235">
        <f xml:space="preserve"> Debt!BG$296</f>
        <v>0</v>
      </c>
      <c r="BH74" s="235">
        <f xml:space="preserve"> Debt!BH$296</f>
        <v>0</v>
      </c>
      <c r="BI74" s="235">
        <f xml:space="preserve"> Debt!BI$296</f>
        <v>0</v>
      </c>
      <c r="BJ74" s="235">
        <f xml:space="preserve"> Debt!BJ$296</f>
        <v>0</v>
      </c>
      <c r="BK74" s="235">
        <f xml:space="preserve"> Debt!BK$296</f>
        <v>0</v>
      </c>
      <c r="BL74" s="235">
        <f xml:space="preserve"> Debt!BL$296</f>
        <v>0</v>
      </c>
      <c r="BM74" s="235">
        <f xml:space="preserve"> Debt!BM$296</f>
        <v>0</v>
      </c>
      <c r="BN74" s="235">
        <f xml:space="preserve"> Debt!BN$296</f>
        <v>0</v>
      </c>
      <c r="BO74" s="235">
        <f xml:space="preserve"> Debt!BO$296</f>
        <v>0</v>
      </c>
      <c r="BP74" s="235">
        <f xml:space="preserve"> Debt!BP$296</f>
        <v>0</v>
      </c>
      <c r="BQ74" s="235">
        <f xml:space="preserve"> Debt!BQ$296</f>
        <v>0</v>
      </c>
      <c r="BR74" s="235">
        <f xml:space="preserve"> Debt!BR$296</f>
        <v>0</v>
      </c>
      <c r="BS74" s="235">
        <f xml:space="preserve"> Debt!BS$296</f>
        <v>0</v>
      </c>
      <c r="BT74" s="235">
        <f xml:space="preserve"> Debt!BT$296</f>
        <v>0</v>
      </c>
      <c r="BU74" s="235">
        <f xml:space="preserve"> Debt!BU$296</f>
        <v>0</v>
      </c>
      <c r="BV74" s="235">
        <f xml:space="preserve"> Debt!BV$296</f>
        <v>0</v>
      </c>
      <c r="BW74" s="235">
        <f xml:space="preserve"> Debt!BW$296</f>
        <v>0</v>
      </c>
      <c r="BX74" s="235">
        <f xml:space="preserve"> Debt!BX$296</f>
        <v>0</v>
      </c>
      <c r="BY74" s="235">
        <f xml:space="preserve"> Debt!BY$296</f>
        <v>0</v>
      </c>
      <c r="BZ74" s="235">
        <f xml:space="preserve"> Debt!BZ$296</f>
        <v>0</v>
      </c>
      <c r="CA74" s="235">
        <f xml:space="preserve"> Debt!CA$296</f>
        <v>0</v>
      </c>
      <c r="CB74" s="235">
        <f xml:space="preserve"> Debt!CB$296</f>
        <v>0</v>
      </c>
      <c r="CC74" s="235">
        <f xml:space="preserve"> Debt!CC$296</f>
        <v>0</v>
      </c>
      <c r="CD74" s="235">
        <f xml:space="preserve"> Debt!CD$296</f>
        <v>0</v>
      </c>
      <c r="CE74" s="235">
        <f xml:space="preserve"> Debt!CE$296</f>
        <v>0</v>
      </c>
      <c r="CF74" s="235">
        <f xml:space="preserve"> Debt!CF$296</f>
        <v>0</v>
      </c>
      <c r="CG74" s="235">
        <f xml:space="preserve"> Debt!CG$296</f>
        <v>0</v>
      </c>
      <c r="CH74" s="235">
        <f xml:space="preserve"> Debt!CH$296</f>
        <v>0</v>
      </c>
      <c r="CI74" s="235">
        <f xml:space="preserve"> Debt!CI$296</f>
        <v>0</v>
      </c>
      <c r="CJ74" s="235">
        <f xml:space="preserve"> Debt!CJ$296</f>
        <v>0</v>
      </c>
      <c r="CK74" s="235">
        <f xml:space="preserve"> Debt!CK$296</f>
        <v>0</v>
      </c>
      <c r="CL74" s="235">
        <f xml:space="preserve"> Debt!CL$296</f>
        <v>0</v>
      </c>
      <c r="CM74" s="235">
        <f xml:space="preserve"> Debt!CM$296</f>
        <v>0</v>
      </c>
      <c r="CN74" s="235">
        <f xml:space="preserve"> Debt!CN$296</f>
        <v>0</v>
      </c>
      <c r="CO74" s="235">
        <f xml:space="preserve"> Debt!CO$296</f>
        <v>0</v>
      </c>
      <c r="CP74" s="235">
        <f xml:space="preserve"> Debt!CP$296</f>
        <v>0</v>
      </c>
      <c r="CQ74" s="235">
        <f xml:space="preserve"> Debt!CQ$296</f>
        <v>0</v>
      </c>
      <c r="CR74" s="235">
        <f xml:space="preserve"> Debt!CR$296</f>
        <v>0</v>
      </c>
      <c r="CS74" s="235">
        <f xml:space="preserve"> Debt!CS$296</f>
        <v>0</v>
      </c>
      <c r="CT74" s="235">
        <f xml:space="preserve"> Debt!CT$296</f>
        <v>0</v>
      </c>
      <c r="CU74" s="235">
        <f xml:space="preserve"> Debt!CU$296</f>
        <v>0</v>
      </c>
      <c r="CV74" s="235">
        <f xml:space="preserve"> Debt!CV$296</f>
        <v>0</v>
      </c>
    </row>
    <row r="75" spans="1:192" s="192" customFormat="1" outlineLevel="1" x14ac:dyDescent="0.2">
      <c r="A75" s="205"/>
      <c r="B75" s="205"/>
      <c r="C75" s="206"/>
      <c r="D75" s="209"/>
      <c r="E75" s="288" t="str">
        <f xml:space="preserve"> Debt!E$382</f>
        <v>Standby debt principal repayment - T1</v>
      </c>
      <c r="F75" s="288">
        <f xml:space="preserve"> Debt!F$382</f>
        <v>0</v>
      </c>
      <c r="G75" s="288" t="str">
        <f xml:space="preserve"> Debt!G$382</f>
        <v>$ 000s</v>
      </c>
      <c r="H75" s="288">
        <f xml:space="preserve"> Debt!H$382</f>
        <v>0</v>
      </c>
      <c r="I75" s="288">
        <f xml:space="preserve"> Debt!I$382</f>
        <v>0</v>
      </c>
      <c r="J75" s="288">
        <f xml:space="preserve"> Debt!J$382</f>
        <v>0</v>
      </c>
      <c r="K75" s="288">
        <f xml:space="preserve"> Debt!K$382</f>
        <v>0</v>
      </c>
      <c r="L75" s="288">
        <f xml:space="preserve"> Debt!L$382</f>
        <v>0</v>
      </c>
      <c r="M75" s="288">
        <f xml:space="preserve"> Debt!M$382</f>
        <v>0</v>
      </c>
      <c r="N75" s="288">
        <f xml:space="preserve"> Debt!N$382</f>
        <v>0</v>
      </c>
      <c r="O75" s="288">
        <f xml:space="preserve"> Debt!O$382</f>
        <v>0</v>
      </c>
      <c r="P75" s="288">
        <f xml:space="preserve"> Debt!P$382</f>
        <v>0</v>
      </c>
      <c r="Q75" s="288">
        <f xml:space="preserve"> Debt!Q$382</f>
        <v>0</v>
      </c>
      <c r="R75" s="288">
        <f xml:space="preserve"> Debt!R$382</f>
        <v>0</v>
      </c>
      <c r="S75" s="288">
        <f xml:space="preserve"> Debt!S$382</f>
        <v>0</v>
      </c>
      <c r="T75" s="288">
        <f xml:space="preserve"> Debt!T$382</f>
        <v>0</v>
      </c>
      <c r="U75" s="288">
        <f xml:space="preserve"> Debt!U$382</f>
        <v>0</v>
      </c>
      <c r="V75" s="288">
        <f xml:space="preserve"> Debt!V$382</f>
        <v>0</v>
      </c>
      <c r="W75" s="288">
        <f xml:space="preserve"> Debt!W$382</f>
        <v>0</v>
      </c>
      <c r="X75" s="288">
        <f xml:space="preserve"> Debt!X$382</f>
        <v>0</v>
      </c>
      <c r="Y75" s="288">
        <f xml:space="preserve"> Debt!Y$382</f>
        <v>0</v>
      </c>
      <c r="Z75" s="288">
        <f xml:space="preserve"> Debt!Z$382</f>
        <v>0</v>
      </c>
      <c r="AA75" s="288">
        <f xml:space="preserve"> Debt!AA$382</f>
        <v>0</v>
      </c>
      <c r="AB75" s="288">
        <f xml:space="preserve"> Debt!AB$382</f>
        <v>0</v>
      </c>
      <c r="AC75" s="288">
        <f xml:space="preserve"> Debt!AC$382</f>
        <v>0</v>
      </c>
      <c r="AD75" s="288">
        <f xml:space="preserve"> Debt!AD$382</f>
        <v>0</v>
      </c>
      <c r="AE75" s="288">
        <f xml:space="preserve"> Debt!AE$382</f>
        <v>0</v>
      </c>
      <c r="AF75" s="288">
        <f xml:space="preserve"> Debt!AF$382</f>
        <v>0</v>
      </c>
      <c r="AG75" s="288">
        <f xml:space="preserve"> Debt!AG$382</f>
        <v>0</v>
      </c>
      <c r="AH75" s="288">
        <f xml:space="preserve"> Debt!AH$382</f>
        <v>0</v>
      </c>
      <c r="AI75" s="288">
        <f xml:space="preserve"> Debt!AI$382</f>
        <v>0</v>
      </c>
      <c r="AJ75" s="288">
        <f xml:space="preserve"> Debt!AJ$382</f>
        <v>0</v>
      </c>
      <c r="AK75" s="288">
        <f xml:space="preserve"> Debt!AK$382</f>
        <v>0</v>
      </c>
      <c r="AL75" s="288">
        <f xml:space="preserve"> Debt!AL$382</f>
        <v>0</v>
      </c>
      <c r="AM75" s="288">
        <f xml:space="preserve"> Debt!AM$382</f>
        <v>0</v>
      </c>
      <c r="AN75" s="288">
        <f xml:space="preserve"> Debt!AN$382</f>
        <v>0</v>
      </c>
      <c r="AO75" s="288">
        <f xml:space="preserve"> Debt!AO$382</f>
        <v>0</v>
      </c>
      <c r="AP75" s="288">
        <f xml:space="preserve"> Debt!AP$382</f>
        <v>0</v>
      </c>
      <c r="AQ75" s="288">
        <f xml:space="preserve"> Debt!AQ$382</f>
        <v>0</v>
      </c>
      <c r="AR75" s="288">
        <f xml:space="preserve"> Debt!AR$382</f>
        <v>0</v>
      </c>
      <c r="AS75" s="288">
        <f xml:space="preserve"> Debt!AS$382</f>
        <v>0</v>
      </c>
      <c r="AT75" s="288">
        <f xml:space="preserve"> Debt!AT$382</f>
        <v>0</v>
      </c>
      <c r="AU75" s="288">
        <f xml:space="preserve"> Debt!AU$382</f>
        <v>0</v>
      </c>
      <c r="AV75" s="288">
        <f xml:space="preserve"> Debt!AV$382</f>
        <v>0</v>
      </c>
      <c r="AW75" s="288">
        <f xml:space="preserve"> Debt!AW$382</f>
        <v>0</v>
      </c>
      <c r="AX75" s="288">
        <f xml:space="preserve"> Debt!AX$382</f>
        <v>0</v>
      </c>
      <c r="AY75" s="288">
        <f xml:space="preserve"> Debt!AY$382</f>
        <v>0</v>
      </c>
      <c r="AZ75" s="288">
        <f xml:space="preserve"> Debt!AZ$382</f>
        <v>0</v>
      </c>
      <c r="BA75" s="288">
        <f xml:space="preserve"> Debt!BA$382</f>
        <v>0</v>
      </c>
      <c r="BB75" s="288">
        <f xml:space="preserve"> Debt!BB$382</f>
        <v>0</v>
      </c>
      <c r="BC75" s="288">
        <f xml:space="preserve"> Debt!BC$382</f>
        <v>0</v>
      </c>
      <c r="BD75" s="288">
        <f xml:space="preserve"> Debt!BD$382</f>
        <v>0</v>
      </c>
      <c r="BE75" s="288">
        <f xml:space="preserve"> Debt!BE$382</f>
        <v>0</v>
      </c>
      <c r="BF75" s="288">
        <f xml:space="preserve"> Debt!BF$382</f>
        <v>0</v>
      </c>
      <c r="BG75" s="288">
        <f xml:space="preserve"> Debt!BG$382</f>
        <v>0</v>
      </c>
      <c r="BH75" s="288">
        <f xml:space="preserve"> Debt!BH$382</f>
        <v>0</v>
      </c>
      <c r="BI75" s="288">
        <f xml:space="preserve"> Debt!BI$382</f>
        <v>0</v>
      </c>
      <c r="BJ75" s="288">
        <f xml:space="preserve"> Debt!BJ$382</f>
        <v>0</v>
      </c>
      <c r="BK75" s="288">
        <f xml:space="preserve"> Debt!BK$382</f>
        <v>0</v>
      </c>
      <c r="BL75" s="288">
        <f xml:space="preserve"> Debt!BL$382</f>
        <v>0</v>
      </c>
      <c r="BM75" s="288">
        <f xml:space="preserve"> Debt!BM$382</f>
        <v>0</v>
      </c>
      <c r="BN75" s="288">
        <f xml:space="preserve"> Debt!BN$382</f>
        <v>0</v>
      </c>
      <c r="BO75" s="288">
        <f xml:space="preserve"> Debt!BO$382</f>
        <v>0</v>
      </c>
      <c r="BP75" s="288">
        <f xml:space="preserve"> Debt!BP$382</f>
        <v>0</v>
      </c>
      <c r="BQ75" s="288">
        <f xml:space="preserve"> Debt!BQ$382</f>
        <v>0</v>
      </c>
      <c r="BR75" s="288">
        <f xml:space="preserve"> Debt!BR$382</f>
        <v>0</v>
      </c>
      <c r="BS75" s="288">
        <f xml:space="preserve"> Debt!BS$382</f>
        <v>0</v>
      </c>
      <c r="BT75" s="288">
        <f xml:space="preserve"> Debt!BT$382</f>
        <v>0</v>
      </c>
      <c r="BU75" s="288">
        <f xml:space="preserve"> Debt!BU$382</f>
        <v>0</v>
      </c>
      <c r="BV75" s="288">
        <f xml:space="preserve"> Debt!BV$382</f>
        <v>0</v>
      </c>
      <c r="BW75" s="288">
        <f xml:space="preserve"> Debt!BW$382</f>
        <v>0</v>
      </c>
      <c r="BX75" s="288">
        <f xml:space="preserve"> Debt!BX$382</f>
        <v>0</v>
      </c>
      <c r="BY75" s="288">
        <f xml:space="preserve"> Debt!BY$382</f>
        <v>0</v>
      </c>
      <c r="BZ75" s="288">
        <f xml:space="preserve"> Debt!BZ$382</f>
        <v>0</v>
      </c>
      <c r="CA75" s="288">
        <f xml:space="preserve"> Debt!CA$382</f>
        <v>0</v>
      </c>
      <c r="CB75" s="288">
        <f xml:space="preserve"> Debt!CB$382</f>
        <v>0</v>
      </c>
      <c r="CC75" s="288">
        <f xml:space="preserve"> Debt!CC$382</f>
        <v>0</v>
      </c>
      <c r="CD75" s="288">
        <f xml:space="preserve"> Debt!CD$382</f>
        <v>0</v>
      </c>
      <c r="CE75" s="288">
        <f xml:space="preserve"> Debt!CE$382</f>
        <v>0</v>
      </c>
      <c r="CF75" s="288">
        <f xml:space="preserve"> Debt!CF$382</f>
        <v>0</v>
      </c>
      <c r="CG75" s="288">
        <f xml:space="preserve"> Debt!CG$382</f>
        <v>0</v>
      </c>
      <c r="CH75" s="288">
        <f xml:space="preserve"> Debt!CH$382</f>
        <v>0</v>
      </c>
      <c r="CI75" s="288">
        <f xml:space="preserve"> Debt!CI$382</f>
        <v>0</v>
      </c>
      <c r="CJ75" s="288">
        <f xml:space="preserve"> Debt!CJ$382</f>
        <v>0</v>
      </c>
      <c r="CK75" s="288">
        <f xml:space="preserve"> Debt!CK$382</f>
        <v>0</v>
      </c>
      <c r="CL75" s="288">
        <f xml:space="preserve"> Debt!CL$382</f>
        <v>0</v>
      </c>
      <c r="CM75" s="288">
        <f xml:space="preserve"> Debt!CM$382</f>
        <v>0</v>
      </c>
      <c r="CN75" s="288">
        <f xml:space="preserve"> Debt!CN$382</f>
        <v>0</v>
      </c>
      <c r="CO75" s="288">
        <f xml:space="preserve"> Debt!CO$382</f>
        <v>0</v>
      </c>
      <c r="CP75" s="288">
        <f xml:space="preserve"> Debt!CP$382</f>
        <v>0</v>
      </c>
      <c r="CQ75" s="288">
        <f xml:space="preserve"> Debt!CQ$382</f>
        <v>0</v>
      </c>
      <c r="CR75" s="288">
        <f xml:space="preserve"> Debt!CR$382</f>
        <v>0</v>
      </c>
      <c r="CS75" s="288">
        <f xml:space="preserve"> Debt!CS$382</f>
        <v>0</v>
      </c>
      <c r="CT75" s="288">
        <f xml:space="preserve"> Debt!CT$382</f>
        <v>0</v>
      </c>
      <c r="CU75" s="288">
        <f xml:space="preserve"> Debt!CU$382</f>
        <v>0</v>
      </c>
      <c r="CV75" s="288">
        <f xml:space="preserve"> Debt!CV$382</f>
        <v>0</v>
      </c>
    </row>
    <row r="76" spans="1:192" s="192" customFormat="1" outlineLevel="1" x14ac:dyDescent="0.2">
      <c r="A76" s="205"/>
      <c r="B76" s="205"/>
      <c r="C76" s="206"/>
      <c r="D76" s="209"/>
      <c r="E76" s="288" t="str">
        <f xml:space="preserve"> Debt!E$414</f>
        <v>Standby debt principal repayment - T2</v>
      </c>
      <c r="F76" s="288">
        <f xml:space="preserve"> Debt!F$414</f>
        <v>0</v>
      </c>
      <c r="G76" s="288" t="str">
        <f xml:space="preserve"> Debt!G$414</f>
        <v>$ 000s</v>
      </c>
      <c r="H76" s="288">
        <f xml:space="preserve"> Debt!H$414</f>
        <v>0</v>
      </c>
      <c r="I76" s="288">
        <f xml:space="preserve"> Debt!I$414</f>
        <v>0</v>
      </c>
      <c r="J76" s="288">
        <f xml:space="preserve"> Debt!J$414</f>
        <v>0</v>
      </c>
      <c r="K76" s="288">
        <f xml:space="preserve"> Debt!K$414</f>
        <v>0</v>
      </c>
      <c r="L76" s="288">
        <f xml:space="preserve"> Debt!L$414</f>
        <v>0</v>
      </c>
      <c r="M76" s="288">
        <f xml:space="preserve"> Debt!M$414</f>
        <v>0</v>
      </c>
      <c r="N76" s="288">
        <f xml:space="preserve"> Debt!N$414</f>
        <v>0</v>
      </c>
      <c r="O76" s="288">
        <f xml:space="preserve"> Debt!O$414</f>
        <v>0</v>
      </c>
      <c r="P76" s="288">
        <f xml:space="preserve"> Debt!P$414</f>
        <v>0</v>
      </c>
      <c r="Q76" s="288">
        <f xml:space="preserve"> Debt!Q$414</f>
        <v>0</v>
      </c>
      <c r="R76" s="288">
        <f xml:space="preserve"> Debt!R$414</f>
        <v>0</v>
      </c>
      <c r="S76" s="288">
        <f xml:space="preserve"> Debt!S$414</f>
        <v>0</v>
      </c>
      <c r="T76" s="288">
        <f xml:space="preserve"> Debt!T$414</f>
        <v>0</v>
      </c>
      <c r="U76" s="288">
        <f xml:space="preserve"> Debt!U$414</f>
        <v>0</v>
      </c>
      <c r="V76" s="288">
        <f xml:space="preserve"> Debt!V$414</f>
        <v>0</v>
      </c>
      <c r="W76" s="288">
        <f xml:space="preserve"> Debt!W$414</f>
        <v>0</v>
      </c>
      <c r="X76" s="288">
        <f xml:space="preserve"> Debt!X$414</f>
        <v>0</v>
      </c>
      <c r="Y76" s="288">
        <f xml:space="preserve"> Debt!Y$414</f>
        <v>0</v>
      </c>
      <c r="Z76" s="288">
        <f xml:space="preserve"> Debt!Z$414</f>
        <v>0</v>
      </c>
      <c r="AA76" s="288">
        <f xml:space="preserve"> Debt!AA$414</f>
        <v>0</v>
      </c>
      <c r="AB76" s="288">
        <f xml:space="preserve"> Debt!AB$414</f>
        <v>0</v>
      </c>
      <c r="AC76" s="288">
        <f xml:space="preserve"> Debt!AC$414</f>
        <v>0</v>
      </c>
      <c r="AD76" s="288">
        <f xml:space="preserve"> Debt!AD$414</f>
        <v>0</v>
      </c>
      <c r="AE76" s="288">
        <f xml:space="preserve"> Debt!AE$414</f>
        <v>0</v>
      </c>
      <c r="AF76" s="288">
        <f xml:space="preserve"> Debt!AF$414</f>
        <v>0</v>
      </c>
      <c r="AG76" s="288">
        <f xml:space="preserve"> Debt!AG$414</f>
        <v>0</v>
      </c>
      <c r="AH76" s="288">
        <f xml:space="preserve"> Debt!AH$414</f>
        <v>0</v>
      </c>
      <c r="AI76" s="288">
        <f xml:space="preserve"> Debt!AI$414</f>
        <v>0</v>
      </c>
      <c r="AJ76" s="288">
        <f xml:space="preserve"> Debt!AJ$414</f>
        <v>0</v>
      </c>
      <c r="AK76" s="288">
        <f xml:space="preserve"> Debt!AK$414</f>
        <v>0</v>
      </c>
      <c r="AL76" s="288">
        <f xml:space="preserve"> Debt!AL$414</f>
        <v>0</v>
      </c>
      <c r="AM76" s="288">
        <f xml:space="preserve"> Debt!AM$414</f>
        <v>0</v>
      </c>
      <c r="AN76" s="288">
        <f xml:space="preserve"> Debt!AN$414</f>
        <v>0</v>
      </c>
      <c r="AO76" s="288">
        <f xml:space="preserve"> Debt!AO$414</f>
        <v>0</v>
      </c>
      <c r="AP76" s="288">
        <f xml:space="preserve"> Debt!AP$414</f>
        <v>0</v>
      </c>
      <c r="AQ76" s="288">
        <f xml:space="preserve"> Debt!AQ$414</f>
        <v>0</v>
      </c>
      <c r="AR76" s="288">
        <f xml:space="preserve"> Debt!AR$414</f>
        <v>0</v>
      </c>
      <c r="AS76" s="288">
        <f xml:space="preserve"> Debt!AS$414</f>
        <v>0</v>
      </c>
      <c r="AT76" s="288">
        <f xml:space="preserve"> Debt!AT$414</f>
        <v>0</v>
      </c>
      <c r="AU76" s="288">
        <f xml:space="preserve"> Debt!AU$414</f>
        <v>0</v>
      </c>
      <c r="AV76" s="288">
        <f xml:space="preserve"> Debt!AV$414</f>
        <v>0</v>
      </c>
      <c r="AW76" s="288">
        <f xml:space="preserve"> Debt!AW$414</f>
        <v>0</v>
      </c>
      <c r="AX76" s="288">
        <f xml:space="preserve"> Debt!AX$414</f>
        <v>0</v>
      </c>
      <c r="AY76" s="288">
        <f xml:space="preserve"> Debt!AY$414</f>
        <v>0</v>
      </c>
      <c r="AZ76" s="288">
        <f xml:space="preserve"> Debt!AZ$414</f>
        <v>0</v>
      </c>
      <c r="BA76" s="288">
        <f xml:space="preserve"> Debt!BA$414</f>
        <v>0</v>
      </c>
      <c r="BB76" s="288">
        <f xml:space="preserve"> Debt!BB$414</f>
        <v>0</v>
      </c>
      <c r="BC76" s="288">
        <f xml:space="preserve"> Debt!BC$414</f>
        <v>0</v>
      </c>
      <c r="BD76" s="288">
        <f xml:space="preserve"> Debt!BD$414</f>
        <v>0</v>
      </c>
      <c r="BE76" s="288">
        <f xml:space="preserve"> Debt!BE$414</f>
        <v>0</v>
      </c>
      <c r="BF76" s="288">
        <f xml:space="preserve"> Debt!BF$414</f>
        <v>0</v>
      </c>
      <c r="BG76" s="288">
        <f xml:space="preserve"> Debt!BG$414</f>
        <v>0</v>
      </c>
      <c r="BH76" s="288">
        <f xml:space="preserve"> Debt!BH$414</f>
        <v>0</v>
      </c>
      <c r="BI76" s="288">
        <f xml:space="preserve"> Debt!BI$414</f>
        <v>0</v>
      </c>
      <c r="BJ76" s="288">
        <f xml:space="preserve"> Debt!BJ$414</f>
        <v>0</v>
      </c>
      <c r="BK76" s="288">
        <f xml:space="preserve"> Debt!BK$414</f>
        <v>0</v>
      </c>
      <c r="BL76" s="288">
        <f xml:space="preserve"> Debt!BL$414</f>
        <v>0</v>
      </c>
      <c r="BM76" s="288">
        <f xml:space="preserve"> Debt!BM$414</f>
        <v>0</v>
      </c>
      <c r="BN76" s="288">
        <f xml:space="preserve"> Debt!BN$414</f>
        <v>0</v>
      </c>
      <c r="BO76" s="288">
        <f xml:space="preserve"> Debt!BO$414</f>
        <v>0</v>
      </c>
      <c r="BP76" s="288">
        <f xml:space="preserve"> Debt!BP$414</f>
        <v>0</v>
      </c>
      <c r="BQ76" s="288">
        <f xml:space="preserve"> Debt!BQ$414</f>
        <v>0</v>
      </c>
      <c r="BR76" s="288">
        <f xml:space="preserve"> Debt!BR$414</f>
        <v>0</v>
      </c>
      <c r="BS76" s="288">
        <f xml:space="preserve"> Debt!BS$414</f>
        <v>0</v>
      </c>
      <c r="BT76" s="288">
        <f xml:space="preserve"> Debt!BT$414</f>
        <v>0</v>
      </c>
      <c r="BU76" s="288">
        <f xml:space="preserve"> Debt!BU$414</f>
        <v>0</v>
      </c>
      <c r="BV76" s="288">
        <f xml:space="preserve"> Debt!BV$414</f>
        <v>0</v>
      </c>
      <c r="BW76" s="288">
        <f xml:space="preserve"> Debt!BW$414</f>
        <v>0</v>
      </c>
      <c r="BX76" s="288">
        <f xml:space="preserve"> Debt!BX$414</f>
        <v>0</v>
      </c>
      <c r="BY76" s="288">
        <f xml:space="preserve"> Debt!BY$414</f>
        <v>0</v>
      </c>
      <c r="BZ76" s="288">
        <f xml:space="preserve"> Debt!BZ$414</f>
        <v>0</v>
      </c>
      <c r="CA76" s="288">
        <f xml:space="preserve"> Debt!CA$414</f>
        <v>0</v>
      </c>
      <c r="CB76" s="288">
        <f xml:space="preserve"> Debt!CB$414</f>
        <v>0</v>
      </c>
      <c r="CC76" s="288">
        <f xml:space="preserve"> Debt!CC$414</f>
        <v>0</v>
      </c>
      <c r="CD76" s="288">
        <f xml:space="preserve"> Debt!CD$414</f>
        <v>0</v>
      </c>
      <c r="CE76" s="288">
        <f xml:space="preserve"> Debt!CE$414</f>
        <v>0</v>
      </c>
      <c r="CF76" s="288">
        <f xml:space="preserve"> Debt!CF$414</f>
        <v>0</v>
      </c>
      <c r="CG76" s="288">
        <f xml:space="preserve"> Debt!CG$414</f>
        <v>0</v>
      </c>
      <c r="CH76" s="288">
        <f xml:space="preserve"> Debt!CH$414</f>
        <v>0</v>
      </c>
      <c r="CI76" s="288">
        <f xml:space="preserve"> Debt!CI$414</f>
        <v>0</v>
      </c>
      <c r="CJ76" s="288">
        <f xml:space="preserve"> Debt!CJ$414</f>
        <v>0</v>
      </c>
      <c r="CK76" s="288">
        <f xml:space="preserve"> Debt!CK$414</f>
        <v>0</v>
      </c>
      <c r="CL76" s="288">
        <f xml:space="preserve"> Debt!CL$414</f>
        <v>0</v>
      </c>
      <c r="CM76" s="288">
        <f xml:space="preserve"> Debt!CM$414</f>
        <v>0</v>
      </c>
      <c r="CN76" s="288">
        <f xml:space="preserve"> Debt!CN$414</f>
        <v>0</v>
      </c>
      <c r="CO76" s="288">
        <f xml:space="preserve"> Debt!CO$414</f>
        <v>0</v>
      </c>
      <c r="CP76" s="288">
        <f xml:space="preserve"> Debt!CP$414</f>
        <v>0</v>
      </c>
      <c r="CQ76" s="288">
        <f xml:space="preserve"> Debt!CQ$414</f>
        <v>0</v>
      </c>
      <c r="CR76" s="288">
        <f xml:space="preserve"> Debt!CR$414</f>
        <v>0</v>
      </c>
      <c r="CS76" s="288">
        <f xml:space="preserve"> Debt!CS$414</f>
        <v>0</v>
      </c>
      <c r="CT76" s="288">
        <f xml:space="preserve"> Debt!CT$414</f>
        <v>0</v>
      </c>
      <c r="CU76" s="288">
        <f xml:space="preserve"> Debt!CU$414</f>
        <v>0</v>
      </c>
      <c r="CV76" s="288">
        <f xml:space="preserve"> Debt!CV$414</f>
        <v>0</v>
      </c>
    </row>
    <row r="77" spans="1:192" s="191" customFormat="1" outlineLevel="1" x14ac:dyDescent="0.2">
      <c r="A77" s="205"/>
      <c r="B77" s="205"/>
      <c r="C77" s="206"/>
      <c r="D77" s="209"/>
      <c r="E77" s="232" t="s">
        <v>378</v>
      </c>
      <c r="F77" s="232"/>
      <c r="G77" s="232" t="str">
        <f>SMU</f>
        <v>$ 000s</v>
      </c>
      <c r="H77" s="232">
        <f xml:space="preserve"> SUM(J77:CV77)</f>
        <v>225369.61293232403</v>
      </c>
      <c r="I77" s="232"/>
      <c r="J77" s="232">
        <f t="shared" ref="J77:AO77" si="23" xml:space="preserve"> J65+ SUM(J67:J76)</f>
        <v>-1.5558398445136845E-6</v>
      </c>
      <c r="K77" s="232">
        <f t="shared" si="23"/>
        <v>-1.2466658517951146E-5</v>
      </c>
      <c r="L77" s="232">
        <f t="shared" si="23"/>
        <v>-1.6754362150095403E-5</v>
      </c>
      <c r="M77" s="232">
        <f t="shared" si="23"/>
        <v>-1.9422688637860119E-5</v>
      </c>
      <c r="N77" s="232">
        <f t="shared" si="23"/>
        <v>-3.9676149608567357E-3</v>
      </c>
      <c r="O77" s="232">
        <f t="shared" si="23"/>
        <v>4958.443690135995</v>
      </c>
      <c r="P77" s="232">
        <f t="shared" si="23"/>
        <v>4376.7251537074426</v>
      </c>
      <c r="Q77" s="232">
        <f t="shared" si="23"/>
        <v>4388.4324926867976</v>
      </c>
      <c r="R77" s="232">
        <f t="shared" si="23"/>
        <v>4348.2143101887104</v>
      </c>
      <c r="S77" s="232">
        <f t="shared" si="23"/>
        <v>4359.4881147775905</v>
      </c>
      <c r="T77" s="232">
        <f t="shared" si="23"/>
        <v>4319.4355962029495</v>
      </c>
      <c r="U77" s="232">
        <f t="shared" si="23"/>
        <v>4330.2713987721636</v>
      </c>
      <c r="V77" s="232">
        <f t="shared" si="23"/>
        <v>4295.8785232044102</v>
      </c>
      <c r="W77" s="232">
        <f t="shared" si="23"/>
        <v>4294.7605171879295</v>
      </c>
      <c r="X77" s="232">
        <f t="shared" si="23"/>
        <v>4261.0523971054718</v>
      </c>
      <c r="Y77" s="232">
        <f t="shared" si="23"/>
        <v>4267.0727620605358</v>
      </c>
      <c r="Z77" s="232">
        <f t="shared" si="23"/>
        <v>4227.6360983090108</v>
      </c>
      <c r="AA77" s="232">
        <f t="shared" si="23"/>
        <v>4237.1166871376536</v>
      </c>
      <c r="AB77" s="232">
        <f t="shared" si="23"/>
        <v>4197.8587091496702</v>
      </c>
      <c r="AC77" s="232">
        <f t="shared" si="23"/>
        <v>4206.8923429508668</v>
      </c>
      <c r="AD77" s="232">
        <f t="shared" si="23"/>
        <v>4173.2269094345338</v>
      </c>
      <c r="AE77" s="232">
        <f t="shared" si="23"/>
        <v>4170.5787403339746</v>
      </c>
      <c r="AF77" s="232">
        <f t="shared" si="23"/>
        <v>4137.4958065718038</v>
      </c>
      <c r="AG77" s="232">
        <f t="shared" si="23"/>
        <v>4145.6248673030022</v>
      </c>
      <c r="AH77" s="232">
        <f t="shared" si="23"/>
        <v>4106.9177808621971</v>
      </c>
      <c r="AI77" s="232">
        <f t="shared" si="23"/>
        <v>4111.6154456944569</v>
      </c>
      <c r="AJ77" s="232">
        <f t="shared" si="23"/>
        <v>4073.2744782768605</v>
      </c>
      <c r="AK77" s="232">
        <f t="shared" si="23"/>
        <v>4080.5786522404214</v>
      </c>
      <c r="AL77" s="232">
        <f t="shared" si="23"/>
        <v>4047.7870292907392</v>
      </c>
      <c r="AM77" s="232">
        <f t="shared" si="23"/>
        <v>4043.6903728791895</v>
      </c>
      <c r="AN77" s="232">
        <f t="shared" si="23"/>
        <v>4011.35776874558</v>
      </c>
      <c r="AO77" s="232">
        <f t="shared" si="23"/>
        <v>4017.7727347037126</v>
      </c>
      <c r="AP77" s="232">
        <f t="shared" ref="AP77:BU77" si="24" xml:space="preserve"> AP65+ SUM(AP67:AP76)</f>
        <v>3980.046016909444</v>
      </c>
      <c r="AQ77" s="232">
        <f t="shared" si="24"/>
        <v>3986.0150355588248</v>
      </c>
      <c r="AR77" s="232">
        <f t="shared" si="24"/>
        <v>3948.5003785710251</v>
      </c>
      <c r="AS77" s="232">
        <f t="shared" si="24"/>
        <v>3954.0214159963252</v>
      </c>
      <c r="AT77" s="232">
        <f t="shared" si="24"/>
        <v>3921.7116472983853</v>
      </c>
      <c r="AU77" s="232">
        <f t="shared" si="24"/>
        <v>3915.7337989721746</v>
      </c>
      <c r="AV77" s="232">
        <f t="shared" si="24"/>
        <v>3883.690800792343</v>
      </c>
      <c r="AW77" s="232">
        <f t="shared" si="24"/>
        <v>13607.771297376097</v>
      </c>
      <c r="AX77" s="232">
        <f t="shared" si="24"/>
        <v>13461.451597997637</v>
      </c>
      <c r="AY77" s="232">
        <f t="shared" si="24"/>
        <v>13457.775239101149</v>
      </c>
      <c r="AZ77" s="232">
        <f t="shared" si="24"/>
        <v>13312.139894966671</v>
      </c>
      <c r="BA77" s="232">
        <f t="shared" si="24"/>
        <v>13305.600683226843</v>
      </c>
      <c r="BB77" s="232">
        <f t="shared" si="24"/>
        <v>16445.959763457937</v>
      </c>
      <c r="BC77" s="232">
        <f t="shared" si="24"/>
        <v>0</v>
      </c>
      <c r="BD77" s="232">
        <f t="shared" si="24"/>
        <v>0</v>
      </c>
      <c r="BE77" s="232">
        <f t="shared" si="24"/>
        <v>0</v>
      </c>
      <c r="BF77" s="232">
        <f t="shared" si="24"/>
        <v>0</v>
      </c>
      <c r="BG77" s="232">
        <f t="shared" si="24"/>
        <v>0</v>
      </c>
      <c r="BH77" s="232">
        <f t="shared" si="24"/>
        <v>0</v>
      </c>
      <c r="BI77" s="232">
        <f t="shared" si="24"/>
        <v>0</v>
      </c>
      <c r="BJ77" s="232">
        <f t="shared" si="24"/>
        <v>0</v>
      </c>
      <c r="BK77" s="232">
        <f t="shared" si="24"/>
        <v>0</v>
      </c>
      <c r="BL77" s="232">
        <f t="shared" si="24"/>
        <v>0</v>
      </c>
      <c r="BM77" s="232">
        <f t="shared" si="24"/>
        <v>0</v>
      </c>
      <c r="BN77" s="232">
        <f t="shared" si="24"/>
        <v>0</v>
      </c>
      <c r="BO77" s="232">
        <f t="shared" si="24"/>
        <v>0</v>
      </c>
      <c r="BP77" s="232">
        <f t="shared" si="24"/>
        <v>0</v>
      </c>
      <c r="BQ77" s="232">
        <f t="shared" si="24"/>
        <v>0</v>
      </c>
      <c r="BR77" s="232">
        <f t="shared" si="24"/>
        <v>0</v>
      </c>
      <c r="BS77" s="232">
        <f t="shared" si="24"/>
        <v>0</v>
      </c>
      <c r="BT77" s="232">
        <f t="shared" si="24"/>
        <v>0</v>
      </c>
      <c r="BU77" s="232">
        <f t="shared" si="24"/>
        <v>0</v>
      </c>
      <c r="BV77" s="232">
        <f t="shared" ref="BV77:CV77" si="25" xml:space="preserve"> BV65+ SUM(BV67:BV76)</f>
        <v>0</v>
      </c>
      <c r="BW77" s="232">
        <f t="shared" si="25"/>
        <v>0</v>
      </c>
      <c r="BX77" s="232">
        <f t="shared" si="25"/>
        <v>0</v>
      </c>
      <c r="BY77" s="232">
        <f t="shared" si="25"/>
        <v>0</v>
      </c>
      <c r="BZ77" s="232">
        <f t="shared" si="25"/>
        <v>0</v>
      </c>
      <c r="CA77" s="232">
        <f t="shared" si="25"/>
        <v>0</v>
      </c>
      <c r="CB77" s="232">
        <f t="shared" si="25"/>
        <v>0</v>
      </c>
      <c r="CC77" s="232">
        <f t="shared" si="25"/>
        <v>0</v>
      </c>
      <c r="CD77" s="232">
        <f t="shared" si="25"/>
        <v>0</v>
      </c>
      <c r="CE77" s="232">
        <f t="shared" si="25"/>
        <v>0</v>
      </c>
      <c r="CF77" s="232">
        <f t="shared" si="25"/>
        <v>0</v>
      </c>
      <c r="CG77" s="232">
        <f t="shared" si="25"/>
        <v>0</v>
      </c>
      <c r="CH77" s="232">
        <f t="shared" si="25"/>
        <v>0</v>
      </c>
      <c r="CI77" s="232">
        <f t="shared" si="25"/>
        <v>0</v>
      </c>
      <c r="CJ77" s="232">
        <f t="shared" si="25"/>
        <v>0</v>
      </c>
      <c r="CK77" s="232">
        <f t="shared" si="25"/>
        <v>0</v>
      </c>
      <c r="CL77" s="232">
        <f t="shared" si="25"/>
        <v>0</v>
      </c>
      <c r="CM77" s="232">
        <f t="shared" si="25"/>
        <v>0</v>
      </c>
      <c r="CN77" s="232">
        <f t="shared" si="25"/>
        <v>0</v>
      </c>
      <c r="CO77" s="232">
        <f t="shared" si="25"/>
        <v>0</v>
      </c>
      <c r="CP77" s="232">
        <f t="shared" si="25"/>
        <v>0</v>
      </c>
      <c r="CQ77" s="232">
        <f t="shared" si="25"/>
        <v>0</v>
      </c>
      <c r="CR77" s="232">
        <f t="shared" si="25"/>
        <v>0</v>
      </c>
      <c r="CS77" s="232">
        <f t="shared" si="25"/>
        <v>0</v>
      </c>
      <c r="CT77" s="232">
        <f t="shared" si="25"/>
        <v>0</v>
      </c>
      <c r="CU77" s="232">
        <f t="shared" si="25"/>
        <v>0</v>
      </c>
      <c r="CV77" s="232">
        <f t="shared" si="25"/>
        <v>0</v>
      </c>
    </row>
    <row r="78" spans="1:192" outlineLevel="1" x14ac:dyDescent="0.2">
      <c r="D78" s="209"/>
      <c r="E78" s="235"/>
      <c r="F78" s="235"/>
      <c r="G78" s="235"/>
      <c r="H78" s="235"/>
      <c r="I78" s="235"/>
      <c r="J78" s="235"/>
      <c r="K78" s="235"/>
      <c r="L78" s="235"/>
      <c r="M78" s="235"/>
      <c r="N78" s="235"/>
      <c r="O78" s="235"/>
      <c r="P78" s="235"/>
      <c r="Q78" s="235"/>
      <c r="R78" s="235"/>
      <c r="S78" s="235"/>
      <c r="T78" s="235"/>
      <c r="U78" s="235"/>
      <c r="V78" s="235"/>
      <c r="W78" s="235"/>
      <c r="X78" s="235"/>
      <c r="Y78" s="235"/>
      <c r="Z78" s="235"/>
      <c r="AA78" s="235"/>
      <c r="AB78" s="235"/>
      <c r="AC78" s="235"/>
      <c r="AD78" s="235"/>
      <c r="AE78" s="235"/>
      <c r="AF78" s="235"/>
      <c r="AG78" s="235"/>
      <c r="AH78" s="235"/>
      <c r="AI78" s="235"/>
      <c r="AJ78" s="235"/>
      <c r="AK78" s="235"/>
      <c r="AL78" s="235"/>
      <c r="AM78" s="235"/>
      <c r="AN78" s="235"/>
      <c r="AO78" s="235"/>
      <c r="AP78" s="235"/>
      <c r="AQ78" s="235"/>
      <c r="AR78" s="235"/>
      <c r="AS78" s="235"/>
      <c r="AT78" s="235"/>
      <c r="AU78" s="235"/>
      <c r="AV78" s="235"/>
      <c r="AW78" s="235"/>
      <c r="AX78" s="235"/>
      <c r="AY78" s="235"/>
      <c r="AZ78" s="235"/>
      <c r="BA78" s="235"/>
      <c r="BB78" s="235"/>
      <c r="BC78" s="235"/>
      <c r="BD78" s="235"/>
      <c r="BE78" s="235"/>
      <c r="BF78" s="235"/>
      <c r="BG78" s="235"/>
      <c r="BH78" s="235"/>
      <c r="BI78" s="235"/>
      <c r="BJ78" s="235"/>
      <c r="BK78" s="235"/>
      <c r="BL78" s="235"/>
      <c r="BM78" s="235"/>
      <c r="BN78" s="235"/>
      <c r="BO78" s="235"/>
      <c r="BP78" s="235"/>
      <c r="BQ78" s="235"/>
      <c r="BR78" s="235"/>
      <c r="BS78" s="235"/>
      <c r="BT78" s="235"/>
      <c r="BU78" s="235"/>
      <c r="BV78" s="235"/>
      <c r="BW78" s="235"/>
      <c r="BX78" s="235"/>
      <c r="BY78" s="235"/>
      <c r="BZ78" s="235"/>
      <c r="CA78" s="235"/>
      <c r="CB78" s="235"/>
      <c r="CC78" s="235"/>
      <c r="CD78" s="235"/>
      <c r="CE78" s="235"/>
      <c r="CF78" s="235"/>
      <c r="CG78" s="235"/>
      <c r="CH78" s="235"/>
      <c r="CI78" s="235"/>
      <c r="CJ78" s="235"/>
      <c r="CK78" s="235"/>
      <c r="CL78" s="235"/>
      <c r="CM78" s="235"/>
      <c r="CN78" s="235"/>
      <c r="CO78" s="235"/>
      <c r="CP78" s="235"/>
      <c r="CQ78" s="235"/>
      <c r="CR78" s="235"/>
      <c r="CS78" s="235"/>
      <c r="CT78" s="235"/>
      <c r="CU78" s="235"/>
      <c r="CV78" s="235"/>
    </row>
    <row r="79" spans="1:192" s="192" customFormat="1" outlineLevel="1" x14ac:dyDescent="0.2">
      <c r="A79" s="205"/>
      <c r="B79" s="205"/>
      <c r="C79" s="206"/>
      <c r="D79" s="209"/>
      <c r="E79" s="235" t="str">
        <f xml:space="preserve"> DSRA!E$67</f>
        <v>DSRA deposit</v>
      </c>
      <c r="F79" s="235">
        <f xml:space="preserve"> DSRA!F$67</f>
        <v>0</v>
      </c>
      <c r="G79" s="235" t="str">
        <f xml:space="preserve"> DSRA!G$67</f>
        <v>$ 000s</v>
      </c>
      <c r="H79" s="235">
        <f xml:space="preserve"> DSRA!H$67</f>
        <v>0</v>
      </c>
      <c r="I79" s="235">
        <f xml:space="preserve"> DSRA!I$67</f>
        <v>0</v>
      </c>
      <c r="J79" s="235">
        <f xml:space="preserve"> DSRA!J$67</f>
        <v>0</v>
      </c>
      <c r="K79" s="235">
        <f xml:space="preserve"> DSRA!K$67</f>
        <v>0</v>
      </c>
      <c r="L79" s="235">
        <f xml:space="preserve"> DSRA!L$67</f>
        <v>0</v>
      </c>
      <c r="M79" s="235">
        <f xml:space="preserve"> DSRA!M$67</f>
        <v>0</v>
      </c>
      <c r="N79" s="235">
        <f xml:space="preserve"> DSRA!N$67</f>
        <v>0</v>
      </c>
      <c r="O79" s="235">
        <f xml:space="preserve"> DSRA!O$67</f>
        <v>0</v>
      </c>
      <c r="P79" s="235">
        <f xml:space="preserve"> DSRA!P$67</f>
        <v>0</v>
      </c>
      <c r="Q79" s="235">
        <f xml:space="preserve"> DSRA!Q$67</f>
        <v>0</v>
      </c>
      <c r="R79" s="235">
        <f xml:space="preserve"> DSRA!R$67</f>
        <v>0</v>
      </c>
      <c r="S79" s="235">
        <f xml:space="preserve"> DSRA!S$67</f>
        <v>0</v>
      </c>
      <c r="T79" s="235">
        <f xml:space="preserve"> DSRA!T$67</f>
        <v>0</v>
      </c>
      <c r="U79" s="235">
        <f xml:space="preserve"> DSRA!U$67</f>
        <v>0</v>
      </c>
      <c r="V79" s="235">
        <f xml:space="preserve"> DSRA!V$67</f>
        <v>0</v>
      </c>
      <c r="W79" s="235">
        <f xml:space="preserve"> DSRA!W$67</f>
        <v>0</v>
      </c>
      <c r="X79" s="235">
        <f xml:space="preserve"> DSRA!X$67</f>
        <v>0</v>
      </c>
      <c r="Y79" s="235">
        <f xml:space="preserve"> DSRA!Y$67</f>
        <v>0</v>
      </c>
      <c r="Z79" s="235">
        <f xml:space="preserve"> DSRA!Z$67</f>
        <v>0</v>
      </c>
      <c r="AA79" s="235">
        <f xml:space="preserve"> DSRA!AA$67</f>
        <v>0</v>
      </c>
      <c r="AB79" s="235">
        <f xml:space="preserve"> DSRA!AB$67</f>
        <v>0</v>
      </c>
      <c r="AC79" s="235">
        <f xml:space="preserve"> DSRA!AC$67</f>
        <v>0</v>
      </c>
      <c r="AD79" s="235">
        <f xml:space="preserve"> DSRA!AD$67</f>
        <v>0</v>
      </c>
      <c r="AE79" s="235">
        <f xml:space="preserve"> DSRA!AE$67</f>
        <v>0</v>
      </c>
      <c r="AF79" s="235">
        <f xml:space="preserve"> DSRA!AF$67</f>
        <v>0</v>
      </c>
      <c r="AG79" s="235">
        <f xml:space="preserve"> DSRA!AG$67</f>
        <v>0</v>
      </c>
      <c r="AH79" s="235">
        <f xml:space="preserve"> DSRA!AH$67</f>
        <v>0</v>
      </c>
      <c r="AI79" s="235">
        <f xml:space="preserve"> DSRA!AI$67</f>
        <v>0</v>
      </c>
      <c r="AJ79" s="235">
        <f xml:space="preserve"> DSRA!AJ$67</f>
        <v>0</v>
      </c>
      <c r="AK79" s="235">
        <f xml:space="preserve"> DSRA!AK$67</f>
        <v>0</v>
      </c>
      <c r="AL79" s="235">
        <f xml:space="preserve"> DSRA!AL$67</f>
        <v>0</v>
      </c>
      <c r="AM79" s="235">
        <f xml:space="preserve"> DSRA!AM$67</f>
        <v>0</v>
      </c>
      <c r="AN79" s="235">
        <f xml:space="preserve"> DSRA!AN$67</f>
        <v>0</v>
      </c>
      <c r="AO79" s="235">
        <f xml:space="preserve"> DSRA!AO$67</f>
        <v>0</v>
      </c>
      <c r="AP79" s="235">
        <f xml:space="preserve"> DSRA!AP$67</f>
        <v>0</v>
      </c>
      <c r="AQ79" s="235">
        <f xml:space="preserve"> DSRA!AQ$67</f>
        <v>0</v>
      </c>
      <c r="AR79" s="235">
        <f xml:space="preserve"> DSRA!AR$67</f>
        <v>0</v>
      </c>
      <c r="AS79" s="235">
        <f xml:space="preserve"> DSRA!AS$67</f>
        <v>0</v>
      </c>
      <c r="AT79" s="235">
        <f xml:space="preserve"> DSRA!AT$67</f>
        <v>0</v>
      </c>
      <c r="AU79" s="235">
        <f xml:space="preserve"> DSRA!AU$67</f>
        <v>0</v>
      </c>
      <c r="AV79" s="235">
        <f xml:space="preserve"> DSRA!AV$67</f>
        <v>0</v>
      </c>
      <c r="AW79" s="235">
        <f xml:space="preserve"> DSRA!AW$67</f>
        <v>0</v>
      </c>
      <c r="AX79" s="235">
        <f xml:space="preserve"> DSRA!AX$67</f>
        <v>0</v>
      </c>
      <c r="AY79" s="235">
        <f xml:space="preserve"> DSRA!AY$67</f>
        <v>0</v>
      </c>
      <c r="AZ79" s="235">
        <f xml:space="preserve"> DSRA!AZ$67</f>
        <v>0</v>
      </c>
      <c r="BA79" s="235">
        <f xml:space="preserve"> DSRA!BA$67</f>
        <v>0</v>
      </c>
      <c r="BB79" s="235">
        <f xml:space="preserve"> DSRA!BB$67</f>
        <v>0</v>
      </c>
      <c r="BC79" s="235">
        <f xml:space="preserve"> DSRA!BC$67</f>
        <v>0</v>
      </c>
      <c r="BD79" s="235">
        <f xml:space="preserve"> DSRA!BD$67</f>
        <v>0</v>
      </c>
      <c r="BE79" s="235">
        <f xml:space="preserve"> DSRA!BE$67</f>
        <v>0</v>
      </c>
      <c r="BF79" s="235">
        <f xml:space="preserve"> DSRA!BF$67</f>
        <v>0</v>
      </c>
      <c r="BG79" s="235">
        <f xml:space="preserve"> DSRA!BG$67</f>
        <v>0</v>
      </c>
      <c r="BH79" s="235">
        <f xml:space="preserve"> DSRA!BH$67</f>
        <v>0</v>
      </c>
      <c r="BI79" s="235">
        <f xml:space="preserve"> DSRA!BI$67</f>
        <v>0</v>
      </c>
      <c r="BJ79" s="235">
        <f xml:space="preserve"> DSRA!BJ$67</f>
        <v>0</v>
      </c>
      <c r="BK79" s="235">
        <f xml:space="preserve"> DSRA!BK$67</f>
        <v>0</v>
      </c>
      <c r="BL79" s="235">
        <f xml:space="preserve"> DSRA!BL$67</f>
        <v>0</v>
      </c>
      <c r="BM79" s="235">
        <f xml:space="preserve"> DSRA!BM$67</f>
        <v>0</v>
      </c>
      <c r="BN79" s="235">
        <f xml:space="preserve"> DSRA!BN$67</f>
        <v>0</v>
      </c>
      <c r="BO79" s="235">
        <f xml:space="preserve"> DSRA!BO$67</f>
        <v>0</v>
      </c>
      <c r="BP79" s="235">
        <f xml:space="preserve"> DSRA!BP$67</f>
        <v>0</v>
      </c>
      <c r="BQ79" s="235">
        <f xml:space="preserve"> DSRA!BQ$67</f>
        <v>0</v>
      </c>
      <c r="BR79" s="235">
        <f xml:space="preserve"> DSRA!BR$67</f>
        <v>0</v>
      </c>
      <c r="BS79" s="235">
        <f xml:space="preserve"> DSRA!BS$67</f>
        <v>0</v>
      </c>
      <c r="BT79" s="235">
        <f xml:space="preserve"> DSRA!BT$67</f>
        <v>0</v>
      </c>
      <c r="BU79" s="235">
        <f xml:space="preserve"> DSRA!BU$67</f>
        <v>0</v>
      </c>
      <c r="BV79" s="235">
        <f xml:space="preserve"> DSRA!BV$67</f>
        <v>0</v>
      </c>
      <c r="BW79" s="235">
        <f xml:space="preserve"> DSRA!BW$67</f>
        <v>0</v>
      </c>
      <c r="BX79" s="235">
        <f xml:space="preserve"> DSRA!BX$67</f>
        <v>0</v>
      </c>
      <c r="BY79" s="235">
        <f xml:space="preserve"> DSRA!BY$67</f>
        <v>0</v>
      </c>
      <c r="BZ79" s="235">
        <f xml:space="preserve"> DSRA!BZ$67</f>
        <v>0</v>
      </c>
      <c r="CA79" s="235">
        <f xml:space="preserve"> DSRA!CA$67</f>
        <v>0</v>
      </c>
      <c r="CB79" s="235">
        <f xml:space="preserve"> DSRA!CB$67</f>
        <v>0</v>
      </c>
      <c r="CC79" s="235">
        <f xml:space="preserve"> DSRA!CC$67</f>
        <v>0</v>
      </c>
      <c r="CD79" s="235">
        <f xml:space="preserve"> DSRA!CD$67</f>
        <v>0</v>
      </c>
      <c r="CE79" s="235">
        <f xml:space="preserve"> DSRA!CE$67</f>
        <v>0</v>
      </c>
      <c r="CF79" s="235">
        <f xml:space="preserve"> DSRA!CF$67</f>
        <v>0</v>
      </c>
      <c r="CG79" s="235">
        <f xml:space="preserve"> DSRA!CG$67</f>
        <v>0</v>
      </c>
      <c r="CH79" s="235">
        <f xml:space="preserve"> DSRA!CH$67</f>
        <v>0</v>
      </c>
      <c r="CI79" s="235">
        <f xml:space="preserve"> DSRA!CI$67</f>
        <v>0</v>
      </c>
      <c r="CJ79" s="235">
        <f xml:space="preserve"> DSRA!CJ$67</f>
        <v>0</v>
      </c>
      <c r="CK79" s="235">
        <f xml:space="preserve"> DSRA!CK$67</f>
        <v>0</v>
      </c>
      <c r="CL79" s="235">
        <f xml:space="preserve"> DSRA!CL$67</f>
        <v>0</v>
      </c>
      <c r="CM79" s="235">
        <f xml:space="preserve"> DSRA!CM$67</f>
        <v>0</v>
      </c>
      <c r="CN79" s="235">
        <f xml:space="preserve"> DSRA!CN$67</f>
        <v>0</v>
      </c>
      <c r="CO79" s="235">
        <f xml:space="preserve"> DSRA!CO$67</f>
        <v>0</v>
      </c>
      <c r="CP79" s="235">
        <f xml:space="preserve"> DSRA!CP$67</f>
        <v>0</v>
      </c>
      <c r="CQ79" s="235">
        <f xml:space="preserve"> DSRA!CQ$67</f>
        <v>0</v>
      </c>
      <c r="CR79" s="235">
        <f xml:space="preserve"> DSRA!CR$67</f>
        <v>0</v>
      </c>
      <c r="CS79" s="235">
        <f xml:space="preserve"> DSRA!CS$67</f>
        <v>0</v>
      </c>
      <c r="CT79" s="235">
        <f xml:space="preserve"> DSRA!CT$67</f>
        <v>0</v>
      </c>
      <c r="CU79" s="235">
        <f xml:space="preserve"> DSRA!CU$67</f>
        <v>0</v>
      </c>
      <c r="CV79" s="235">
        <f xml:space="preserve"> DSRA!CV$67</f>
        <v>0</v>
      </c>
    </row>
    <row r="80" spans="1:192" s="192" customFormat="1" outlineLevel="1" x14ac:dyDescent="0.2">
      <c r="A80" s="205"/>
      <c r="B80" s="205"/>
      <c r="C80" s="206"/>
      <c r="D80" s="209"/>
      <c r="E80" s="288" t="str">
        <f xml:space="preserve"> DSRA!E$75</f>
        <v>DSRA withdrawal</v>
      </c>
      <c r="F80" s="288">
        <f xml:space="preserve"> DSRA!F$75</f>
        <v>0</v>
      </c>
      <c r="G80" s="288" t="str">
        <f xml:space="preserve"> DSRA!G$75</f>
        <v>$ 000s</v>
      </c>
      <c r="H80" s="288">
        <f xml:space="preserve"> DSRA!H$75</f>
        <v>11233.130870765843</v>
      </c>
      <c r="I80" s="288">
        <f xml:space="preserve"> DSRA!I$75</f>
        <v>0</v>
      </c>
      <c r="J80" s="288">
        <f xml:space="preserve"> DSRA!J$75</f>
        <v>0</v>
      </c>
      <c r="K80" s="288">
        <f xml:space="preserve"> DSRA!K$75</f>
        <v>0</v>
      </c>
      <c r="L80" s="288">
        <f xml:space="preserve"> DSRA!L$75</f>
        <v>0</v>
      </c>
      <c r="M80" s="288">
        <f xml:space="preserve"> DSRA!M$75</f>
        <v>0</v>
      </c>
      <c r="N80" s="288">
        <f xml:space="preserve"> DSRA!N$75</f>
        <v>0</v>
      </c>
      <c r="O80" s="288">
        <f xml:space="preserve"> DSRA!O$75</f>
        <v>0</v>
      </c>
      <c r="P80" s="288">
        <f xml:space="preserve"> DSRA!P$75</f>
        <v>42.335741100258019</v>
      </c>
      <c r="Q80" s="288">
        <f xml:space="preserve"> DSRA!Q$75</f>
        <v>43.092867740235306</v>
      </c>
      <c r="R80" s="288">
        <f xml:space="preserve"> DSRA!R$75</f>
        <v>42.879581749586578</v>
      </c>
      <c r="S80" s="288">
        <f xml:space="preserve"> DSRA!S$75</f>
        <v>43.64991997917241</v>
      </c>
      <c r="T80" s="288">
        <f xml:space="preserve"> DSRA!T$75</f>
        <v>35.917089449296327</v>
      </c>
      <c r="U80" s="288">
        <f xml:space="preserve"> DSRA!U$75</f>
        <v>51.736738267896726</v>
      </c>
      <c r="V80" s="288">
        <f xml:space="preserve"> DSRA!V$75</f>
        <v>51.520153956027571</v>
      </c>
      <c r="W80" s="288">
        <f xml:space="preserve"> DSRA!W$75</f>
        <v>37.281901461477901</v>
      </c>
      <c r="X80" s="288">
        <f xml:space="preserve"> DSRA!X$75</f>
        <v>44.581523890254175</v>
      </c>
      <c r="Y80" s="288">
        <f xml:space="preserve"> DSRA!Y$75</f>
        <v>45.393141598593502</v>
      </c>
      <c r="Z80" s="288">
        <f xml:space="preserve"> DSRA!Z$75</f>
        <v>45.173102681601449</v>
      </c>
      <c r="AA80" s="288">
        <f xml:space="preserve"> DSRA!AA$75</f>
        <v>45.999044801290438</v>
      </c>
      <c r="AB80" s="288">
        <f xml:space="preserve"> DSRA!AB$75</f>
        <v>38.505552075483138</v>
      </c>
      <c r="AC80" s="288">
        <f xml:space="preserve"> DSRA!AC$75</f>
        <v>53.889444469637965</v>
      </c>
      <c r="AD80" s="288">
        <f xml:space="preserve"> DSRA!AD$75</f>
        <v>53.665789023656544</v>
      </c>
      <c r="AE80" s="288">
        <f xml:space="preserve"> DSRA!AE$75</f>
        <v>39.977934428390654</v>
      </c>
      <c r="AF80" s="288">
        <f xml:space="preserve"> DSRA!AF$75</f>
        <v>47.024073246167973</v>
      </c>
      <c r="AG80" s="288">
        <f xml:space="preserve"> DSRA!AG$75</f>
        <v>47.894768113961618</v>
      </c>
      <c r="AH80" s="288">
        <f xml:space="preserve"> DSRA!AH$75</f>
        <v>47.667326786007834</v>
      </c>
      <c r="AI80" s="288">
        <f xml:space="preserve"> DSRA!AI$75</f>
        <v>48.553561438860925</v>
      </c>
      <c r="AJ80" s="288">
        <f xml:space="preserve"> DSRA!AJ$75</f>
        <v>41.312289489233081</v>
      </c>
      <c r="AK80" s="288">
        <f xml:space="preserve"> DSRA!AK$75</f>
        <v>56.23811380654297</v>
      </c>
      <c r="AL80" s="288">
        <f xml:space="preserve"> DSRA!AL$75</f>
        <v>56.006711623023875</v>
      </c>
      <c r="AM80" s="288">
        <f xml:space="preserve"> DSRA!AM$75</f>
        <v>42.901219348826999</v>
      </c>
      <c r="AN80" s="288">
        <f xml:space="preserve"> DSRA!AN$75</f>
        <v>49.679640115220536</v>
      </c>
      <c r="AO80" s="288">
        <f xml:space="preserve"> DSRA!AO$75</f>
        <v>50.614394328145863</v>
      </c>
      <c r="AP80" s="288">
        <f xml:space="preserve"> DSRA!AP$75</f>
        <v>50.378847808828141</v>
      </c>
      <c r="AQ80" s="288">
        <f xml:space="preserve"> DSRA!AQ$75</f>
        <v>51.329703607994816</v>
      </c>
      <c r="AR80" s="288">
        <f xml:space="preserve"> DSRA!AR$75</f>
        <v>44.354420603738618</v>
      </c>
      <c r="AS80" s="288">
        <f xml:space="preserve"> DSRA!AS$75</f>
        <v>58.798141329993086</v>
      </c>
      <c r="AT80" s="288">
        <f xml:space="preserve"> DSRA!AT$75</f>
        <v>58.557004592519661</v>
      </c>
      <c r="AU80" s="288">
        <f xml:space="preserve"> DSRA!AU$75</f>
        <v>4905.990719647215</v>
      </c>
      <c r="AV80" s="288">
        <f xml:space="preserve"> DSRA!AV$75</f>
        <v>4860.2304082067021</v>
      </c>
      <c r="AW80" s="288">
        <f xml:space="preserve"> DSRA!AW$75</f>
        <v>0</v>
      </c>
      <c r="AX80" s="288">
        <f xml:space="preserve"> DSRA!AX$75</f>
        <v>0</v>
      </c>
      <c r="AY80" s="288">
        <f xml:space="preserve"> DSRA!AY$75</f>
        <v>0</v>
      </c>
      <c r="AZ80" s="288">
        <f xml:space="preserve"> DSRA!AZ$75</f>
        <v>0</v>
      </c>
      <c r="BA80" s="288">
        <f xml:space="preserve"> DSRA!BA$75</f>
        <v>0</v>
      </c>
      <c r="BB80" s="288">
        <f xml:space="preserve"> DSRA!BB$75</f>
        <v>0</v>
      </c>
      <c r="BC80" s="288">
        <f xml:space="preserve"> DSRA!BC$75</f>
        <v>0</v>
      </c>
      <c r="BD80" s="288">
        <f xml:space="preserve"> DSRA!BD$75</f>
        <v>0</v>
      </c>
      <c r="BE80" s="288">
        <f xml:space="preserve"> DSRA!BE$75</f>
        <v>0</v>
      </c>
      <c r="BF80" s="288">
        <f xml:space="preserve"> DSRA!BF$75</f>
        <v>0</v>
      </c>
      <c r="BG80" s="288">
        <f xml:space="preserve"> DSRA!BG$75</f>
        <v>0</v>
      </c>
      <c r="BH80" s="288">
        <f xml:space="preserve"> DSRA!BH$75</f>
        <v>0</v>
      </c>
      <c r="BI80" s="288">
        <f xml:space="preserve"> DSRA!BI$75</f>
        <v>0</v>
      </c>
      <c r="BJ80" s="288">
        <f xml:space="preserve"> DSRA!BJ$75</f>
        <v>0</v>
      </c>
      <c r="BK80" s="288">
        <f xml:space="preserve"> DSRA!BK$75</f>
        <v>0</v>
      </c>
      <c r="BL80" s="288">
        <f xml:space="preserve"> DSRA!BL$75</f>
        <v>0</v>
      </c>
      <c r="BM80" s="288">
        <f xml:space="preserve"> DSRA!BM$75</f>
        <v>0</v>
      </c>
      <c r="BN80" s="288">
        <f xml:space="preserve"> DSRA!BN$75</f>
        <v>0</v>
      </c>
      <c r="BO80" s="288">
        <f xml:space="preserve"> DSRA!BO$75</f>
        <v>0</v>
      </c>
      <c r="BP80" s="288">
        <f xml:space="preserve"> DSRA!BP$75</f>
        <v>0</v>
      </c>
      <c r="BQ80" s="288">
        <f xml:space="preserve"> DSRA!BQ$75</f>
        <v>0</v>
      </c>
      <c r="BR80" s="288">
        <f xml:space="preserve"> DSRA!BR$75</f>
        <v>0</v>
      </c>
      <c r="BS80" s="288">
        <f xml:space="preserve"> DSRA!BS$75</f>
        <v>0</v>
      </c>
      <c r="BT80" s="288">
        <f xml:space="preserve"> DSRA!BT$75</f>
        <v>0</v>
      </c>
      <c r="BU80" s="288">
        <f xml:space="preserve"> DSRA!BU$75</f>
        <v>0</v>
      </c>
      <c r="BV80" s="288">
        <f xml:space="preserve"> DSRA!BV$75</f>
        <v>0</v>
      </c>
      <c r="BW80" s="288">
        <f xml:space="preserve"> DSRA!BW$75</f>
        <v>0</v>
      </c>
      <c r="BX80" s="288">
        <f xml:space="preserve"> DSRA!BX$75</f>
        <v>0</v>
      </c>
      <c r="BY80" s="288">
        <f xml:space="preserve"> DSRA!BY$75</f>
        <v>0</v>
      </c>
      <c r="BZ80" s="288">
        <f xml:space="preserve"> DSRA!BZ$75</f>
        <v>0</v>
      </c>
      <c r="CA80" s="288">
        <f xml:space="preserve"> DSRA!CA$75</f>
        <v>0</v>
      </c>
      <c r="CB80" s="288">
        <f xml:space="preserve"> DSRA!CB$75</f>
        <v>0</v>
      </c>
      <c r="CC80" s="288">
        <f xml:space="preserve"> DSRA!CC$75</f>
        <v>0</v>
      </c>
      <c r="CD80" s="288">
        <f xml:space="preserve"> DSRA!CD$75</f>
        <v>0</v>
      </c>
      <c r="CE80" s="288">
        <f xml:space="preserve"> DSRA!CE$75</f>
        <v>0</v>
      </c>
      <c r="CF80" s="288">
        <f xml:space="preserve"> DSRA!CF$75</f>
        <v>0</v>
      </c>
      <c r="CG80" s="288">
        <f xml:space="preserve"> DSRA!CG$75</f>
        <v>0</v>
      </c>
      <c r="CH80" s="288">
        <f xml:space="preserve"> DSRA!CH$75</f>
        <v>0</v>
      </c>
      <c r="CI80" s="288">
        <f xml:space="preserve"> DSRA!CI$75</f>
        <v>0</v>
      </c>
      <c r="CJ80" s="288">
        <f xml:space="preserve"> DSRA!CJ$75</f>
        <v>0</v>
      </c>
      <c r="CK80" s="288">
        <f xml:space="preserve"> DSRA!CK$75</f>
        <v>0</v>
      </c>
      <c r="CL80" s="288">
        <f xml:space="preserve"> DSRA!CL$75</f>
        <v>0</v>
      </c>
      <c r="CM80" s="288">
        <f xml:space="preserve"> DSRA!CM$75</f>
        <v>0</v>
      </c>
      <c r="CN80" s="288">
        <f xml:space="preserve"> DSRA!CN$75</f>
        <v>0</v>
      </c>
      <c r="CO80" s="288">
        <f xml:space="preserve"> DSRA!CO$75</f>
        <v>0</v>
      </c>
      <c r="CP80" s="288">
        <f xml:space="preserve"> DSRA!CP$75</f>
        <v>0</v>
      </c>
      <c r="CQ80" s="288">
        <f xml:space="preserve"> DSRA!CQ$75</f>
        <v>0</v>
      </c>
      <c r="CR80" s="288">
        <f xml:space="preserve"> DSRA!CR$75</f>
        <v>0</v>
      </c>
      <c r="CS80" s="288">
        <f xml:space="preserve"> DSRA!CS$75</f>
        <v>0</v>
      </c>
      <c r="CT80" s="288">
        <f xml:space="preserve"> DSRA!CT$75</f>
        <v>0</v>
      </c>
      <c r="CU80" s="288">
        <f xml:space="preserve"> DSRA!CU$75</f>
        <v>0</v>
      </c>
      <c r="CV80" s="288">
        <f xml:space="preserve"> DSRA!CV$75</f>
        <v>0</v>
      </c>
    </row>
    <row r="81" spans="1:100" outlineLevel="1" x14ac:dyDescent="0.2">
      <c r="D81" s="209"/>
      <c r="E81" s="235" t="str">
        <f xml:space="preserve"> DSRA!E$174</f>
        <v>DSRA LC fee accrued and paid</v>
      </c>
      <c r="F81" s="235">
        <f xml:space="preserve"> DSRA!F$174</f>
        <v>0</v>
      </c>
      <c r="G81" s="235" t="str">
        <f xml:space="preserve"> DSRA!G$174</f>
        <v>$ 000s</v>
      </c>
      <c r="H81" s="235">
        <f xml:space="preserve"> DSRA!H$174</f>
        <v>0</v>
      </c>
      <c r="I81" s="235">
        <f xml:space="preserve"> DSRA!I$174</f>
        <v>0</v>
      </c>
      <c r="J81" s="235">
        <f xml:space="preserve"> DSRA!J$174</f>
        <v>0</v>
      </c>
      <c r="K81" s="235">
        <f xml:space="preserve"> DSRA!K$174</f>
        <v>0</v>
      </c>
      <c r="L81" s="235">
        <f xml:space="preserve"> DSRA!L$174</f>
        <v>0</v>
      </c>
      <c r="M81" s="235">
        <f xml:space="preserve"> DSRA!M$174</f>
        <v>0</v>
      </c>
      <c r="N81" s="235">
        <f xml:space="preserve"> DSRA!N$174</f>
        <v>0</v>
      </c>
      <c r="O81" s="235">
        <f xml:space="preserve"> DSRA!O$174</f>
        <v>0</v>
      </c>
      <c r="P81" s="235">
        <f xml:space="preserve"> DSRA!P$174</f>
        <v>0</v>
      </c>
      <c r="Q81" s="235">
        <f xml:space="preserve"> DSRA!Q$174</f>
        <v>0</v>
      </c>
      <c r="R81" s="235">
        <f xml:space="preserve"> DSRA!R$174</f>
        <v>0</v>
      </c>
      <c r="S81" s="235">
        <f xml:space="preserve"> DSRA!S$174</f>
        <v>0</v>
      </c>
      <c r="T81" s="235">
        <f xml:space="preserve"> DSRA!T$174</f>
        <v>0</v>
      </c>
      <c r="U81" s="235">
        <f xml:space="preserve"> DSRA!U$174</f>
        <v>0</v>
      </c>
      <c r="V81" s="235">
        <f xml:space="preserve"> DSRA!V$174</f>
        <v>0</v>
      </c>
      <c r="W81" s="235">
        <f xml:space="preserve"> DSRA!W$174</f>
        <v>0</v>
      </c>
      <c r="X81" s="235">
        <f xml:space="preserve"> DSRA!X$174</f>
        <v>0</v>
      </c>
      <c r="Y81" s="235">
        <f xml:space="preserve"> DSRA!Y$174</f>
        <v>0</v>
      </c>
      <c r="Z81" s="235">
        <f xml:space="preserve"> DSRA!Z$174</f>
        <v>0</v>
      </c>
      <c r="AA81" s="235">
        <f xml:space="preserve"> DSRA!AA$174</f>
        <v>0</v>
      </c>
      <c r="AB81" s="235">
        <f xml:space="preserve"> DSRA!AB$174</f>
        <v>0</v>
      </c>
      <c r="AC81" s="235">
        <f xml:space="preserve"> DSRA!AC$174</f>
        <v>0</v>
      </c>
      <c r="AD81" s="235">
        <f xml:space="preserve"> DSRA!AD$174</f>
        <v>0</v>
      </c>
      <c r="AE81" s="235">
        <f xml:space="preserve"> DSRA!AE$174</f>
        <v>0</v>
      </c>
      <c r="AF81" s="235">
        <f xml:space="preserve"> DSRA!AF$174</f>
        <v>0</v>
      </c>
      <c r="AG81" s="235">
        <f xml:space="preserve"> DSRA!AG$174</f>
        <v>0</v>
      </c>
      <c r="AH81" s="235">
        <f xml:space="preserve"> DSRA!AH$174</f>
        <v>0</v>
      </c>
      <c r="AI81" s="235">
        <f xml:space="preserve"> DSRA!AI$174</f>
        <v>0</v>
      </c>
      <c r="AJ81" s="235">
        <f xml:space="preserve"> DSRA!AJ$174</f>
        <v>0</v>
      </c>
      <c r="AK81" s="235">
        <f xml:space="preserve"> DSRA!AK$174</f>
        <v>0</v>
      </c>
      <c r="AL81" s="235">
        <f xml:space="preserve"> DSRA!AL$174</f>
        <v>0</v>
      </c>
      <c r="AM81" s="235">
        <f xml:space="preserve"> DSRA!AM$174</f>
        <v>0</v>
      </c>
      <c r="AN81" s="235">
        <f xml:space="preserve"> DSRA!AN$174</f>
        <v>0</v>
      </c>
      <c r="AO81" s="235">
        <f xml:space="preserve"> DSRA!AO$174</f>
        <v>0</v>
      </c>
      <c r="AP81" s="235">
        <f xml:space="preserve"> DSRA!AP$174</f>
        <v>0</v>
      </c>
      <c r="AQ81" s="235">
        <f xml:space="preserve"> DSRA!AQ$174</f>
        <v>0</v>
      </c>
      <c r="AR81" s="235">
        <f xml:space="preserve"> DSRA!AR$174</f>
        <v>0</v>
      </c>
      <c r="AS81" s="235">
        <f xml:space="preserve"> DSRA!AS$174</f>
        <v>0</v>
      </c>
      <c r="AT81" s="235">
        <f xml:space="preserve"> DSRA!AT$174</f>
        <v>0</v>
      </c>
      <c r="AU81" s="235">
        <f xml:space="preserve"> DSRA!AU$174</f>
        <v>0</v>
      </c>
      <c r="AV81" s="235">
        <f xml:space="preserve"> DSRA!AV$174</f>
        <v>0</v>
      </c>
      <c r="AW81" s="235">
        <f xml:space="preserve"> DSRA!AW$174</f>
        <v>0</v>
      </c>
      <c r="AX81" s="235">
        <f xml:space="preserve"> DSRA!AX$174</f>
        <v>0</v>
      </c>
      <c r="AY81" s="235">
        <f xml:space="preserve"> DSRA!AY$174</f>
        <v>0</v>
      </c>
      <c r="AZ81" s="235">
        <f xml:space="preserve"> DSRA!AZ$174</f>
        <v>0</v>
      </c>
      <c r="BA81" s="235">
        <f xml:space="preserve"> DSRA!BA$174</f>
        <v>0</v>
      </c>
      <c r="BB81" s="235">
        <f xml:space="preserve"> DSRA!BB$174</f>
        <v>0</v>
      </c>
      <c r="BC81" s="235">
        <f xml:space="preserve"> DSRA!BC$174</f>
        <v>0</v>
      </c>
      <c r="BD81" s="235">
        <f xml:space="preserve"> DSRA!BD$174</f>
        <v>0</v>
      </c>
      <c r="BE81" s="235">
        <f xml:space="preserve"> DSRA!BE$174</f>
        <v>0</v>
      </c>
      <c r="BF81" s="235">
        <f xml:space="preserve"> DSRA!BF$174</f>
        <v>0</v>
      </c>
      <c r="BG81" s="235">
        <f xml:space="preserve"> DSRA!BG$174</f>
        <v>0</v>
      </c>
      <c r="BH81" s="235">
        <f xml:space="preserve"> DSRA!BH$174</f>
        <v>0</v>
      </c>
      <c r="BI81" s="235">
        <f xml:space="preserve"> DSRA!BI$174</f>
        <v>0</v>
      </c>
      <c r="BJ81" s="235">
        <f xml:space="preserve"> DSRA!BJ$174</f>
        <v>0</v>
      </c>
      <c r="BK81" s="235">
        <f xml:space="preserve"> DSRA!BK$174</f>
        <v>0</v>
      </c>
      <c r="BL81" s="235">
        <f xml:space="preserve"> DSRA!BL$174</f>
        <v>0</v>
      </c>
      <c r="BM81" s="235">
        <f xml:space="preserve"> DSRA!BM$174</f>
        <v>0</v>
      </c>
      <c r="BN81" s="235">
        <f xml:space="preserve"> DSRA!BN$174</f>
        <v>0</v>
      </c>
      <c r="BO81" s="235">
        <f xml:space="preserve"> DSRA!BO$174</f>
        <v>0</v>
      </c>
      <c r="BP81" s="235">
        <f xml:space="preserve"> DSRA!BP$174</f>
        <v>0</v>
      </c>
      <c r="BQ81" s="235">
        <f xml:space="preserve"> DSRA!BQ$174</f>
        <v>0</v>
      </c>
      <c r="BR81" s="235">
        <f xml:space="preserve"> DSRA!BR$174</f>
        <v>0</v>
      </c>
      <c r="BS81" s="235">
        <f xml:space="preserve"> DSRA!BS$174</f>
        <v>0</v>
      </c>
      <c r="BT81" s="235">
        <f xml:space="preserve"> DSRA!BT$174</f>
        <v>0</v>
      </c>
      <c r="BU81" s="235">
        <f xml:space="preserve"> DSRA!BU$174</f>
        <v>0</v>
      </c>
      <c r="BV81" s="235">
        <f xml:space="preserve"> DSRA!BV$174</f>
        <v>0</v>
      </c>
      <c r="BW81" s="235">
        <f xml:space="preserve"> DSRA!BW$174</f>
        <v>0</v>
      </c>
      <c r="BX81" s="235">
        <f xml:space="preserve"> DSRA!BX$174</f>
        <v>0</v>
      </c>
      <c r="BY81" s="235">
        <f xml:space="preserve"> DSRA!BY$174</f>
        <v>0</v>
      </c>
      <c r="BZ81" s="235">
        <f xml:space="preserve"> DSRA!BZ$174</f>
        <v>0</v>
      </c>
      <c r="CA81" s="235">
        <f xml:space="preserve"> DSRA!CA$174</f>
        <v>0</v>
      </c>
      <c r="CB81" s="235">
        <f xml:space="preserve"> DSRA!CB$174</f>
        <v>0</v>
      </c>
      <c r="CC81" s="235">
        <f xml:space="preserve"> DSRA!CC$174</f>
        <v>0</v>
      </c>
      <c r="CD81" s="235">
        <f xml:space="preserve"> DSRA!CD$174</f>
        <v>0</v>
      </c>
      <c r="CE81" s="235">
        <f xml:space="preserve"> DSRA!CE$174</f>
        <v>0</v>
      </c>
      <c r="CF81" s="235">
        <f xml:space="preserve"> DSRA!CF$174</f>
        <v>0</v>
      </c>
      <c r="CG81" s="235">
        <f xml:space="preserve"> DSRA!CG$174</f>
        <v>0</v>
      </c>
      <c r="CH81" s="235">
        <f xml:space="preserve"> DSRA!CH$174</f>
        <v>0</v>
      </c>
      <c r="CI81" s="235">
        <f xml:space="preserve"> DSRA!CI$174</f>
        <v>0</v>
      </c>
      <c r="CJ81" s="235">
        <f xml:space="preserve"> DSRA!CJ$174</f>
        <v>0</v>
      </c>
      <c r="CK81" s="235">
        <f xml:space="preserve"> DSRA!CK$174</f>
        <v>0</v>
      </c>
      <c r="CL81" s="235">
        <f xml:space="preserve"> DSRA!CL$174</f>
        <v>0</v>
      </c>
      <c r="CM81" s="235">
        <f xml:space="preserve"> DSRA!CM$174</f>
        <v>0</v>
      </c>
      <c r="CN81" s="235">
        <f xml:space="preserve"> DSRA!CN$174</f>
        <v>0</v>
      </c>
      <c r="CO81" s="235">
        <f xml:space="preserve"> DSRA!CO$174</f>
        <v>0</v>
      </c>
      <c r="CP81" s="235">
        <f xml:space="preserve"> DSRA!CP$174</f>
        <v>0</v>
      </c>
      <c r="CQ81" s="235">
        <f xml:space="preserve"> DSRA!CQ$174</f>
        <v>0</v>
      </c>
      <c r="CR81" s="235">
        <f xml:space="preserve"> DSRA!CR$174</f>
        <v>0</v>
      </c>
      <c r="CS81" s="235">
        <f xml:space="preserve"> DSRA!CS$174</f>
        <v>0</v>
      </c>
      <c r="CT81" s="235">
        <f xml:space="preserve"> DSRA!CT$174</f>
        <v>0</v>
      </c>
      <c r="CU81" s="235">
        <f xml:space="preserve"> DSRA!CU$174</f>
        <v>0</v>
      </c>
      <c r="CV81" s="235">
        <f xml:space="preserve"> DSRA!CV$174</f>
        <v>0</v>
      </c>
    </row>
    <row r="82" spans="1:100" s="191" customFormat="1" outlineLevel="1" x14ac:dyDescent="0.2">
      <c r="A82" s="205"/>
      <c r="B82" s="205"/>
      <c r="C82" s="206"/>
      <c r="D82" s="209"/>
      <c r="E82" s="232" t="s">
        <v>851</v>
      </c>
      <c r="F82" s="232"/>
      <c r="G82" s="232" t="str">
        <f>SMU</f>
        <v>$ 000s</v>
      </c>
      <c r="H82" s="232">
        <f xml:space="preserve"> SUM(J82:CV82)</f>
        <v>236602.74380308986</v>
      </c>
      <c r="I82" s="232"/>
      <c r="J82" s="232">
        <f t="shared" ref="J82:AO82" si="26" xml:space="preserve"> J77 + SUM(J79:J81)</f>
        <v>-1.5558398445136845E-6</v>
      </c>
      <c r="K82" s="232">
        <f t="shared" si="26"/>
        <v>-1.2466658517951146E-5</v>
      </c>
      <c r="L82" s="232">
        <f t="shared" si="26"/>
        <v>-1.6754362150095403E-5</v>
      </c>
      <c r="M82" s="232">
        <f t="shared" si="26"/>
        <v>-1.9422688637860119E-5</v>
      </c>
      <c r="N82" s="232">
        <f t="shared" si="26"/>
        <v>-3.9676149608567357E-3</v>
      </c>
      <c r="O82" s="232">
        <f t="shared" si="26"/>
        <v>4958.443690135995</v>
      </c>
      <c r="P82" s="232">
        <f t="shared" si="26"/>
        <v>4419.0608948077006</v>
      </c>
      <c r="Q82" s="232">
        <f t="shared" si="26"/>
        <v>4431.5253604270329</v>
      </c>
      <c r="R82" s="232">
        <f t="shared" si="26"/>
        <v>4391.093891938297</v>
      </c>
      <c r="S82" s="232">
        <f t="shared" si="26"/>
        <v>4403.1380347567629</v>
      </c>
      <c r="T82" s="232">
        <f t="shared" si="26"/>
        <v>4355.3526856522458</v>
      </c>
      <c r="U82" s="232">
        <f t="shared" si="26"/>
        <v>4382.0081370400603</v>
      </c>
      <c r="V82" s="232">
        <f t="shared" si="26"/>
        <v>4347.3986771604377</v>
      </c>
      <c r="W82" s="232">
        <f t="shared" si="26"/>
        <v>4332.0424186494074</v>
      </c>
      <c r="X82" s="232">
        <f t="shared" si="26"/>
        <v>4305.6339209957259</v>
      </c>
      <c r="Y82" s="232">
        <f t="shared" si="26"/>
        <v>4312.4659036591293</v>
      </c>
      <c r="Z82" s="232">
        <f t="shared" si="26"/>
        <v>4272.8092009906122</v>
      </c>
      <c r="AA82" s="232">
        <f t="shared" si="26"/>
        <v>4283.115731938944</v>
      </c>
      <c r="AB82" s="232">
        <f t="shared" si="26"/>
        <v>4236.3642612251533</v>
      </c>
      <c r="AC82" s="232">
        <f t="shared" si="26"/>
        <v>4260.7817874205048</v>
      </c>
      <c r="AD82" s="232">
        <f t="shared" si="26"/>
        <v>4226.8926984581904</v>
      </c>
      <c r="AE82" s="232">
        <f t="shared" si="26"/>
        <v>4210.5566747623652</v>
      </c>
      <c r="AF82" s="232">
        <f t="shared" si="26"/>
        <v>4184.5198798179717</v>
      </c>
      <c r="AG82" s="232">
        <f t="shared" si="26"/>
        <v>4193.5196354169639</v>
      </c>
      <c r="AH82" s="232">
        <f t="shared" si="26"/>
        <v>4154.5851076482049</v>
      </c>
      <c r="AI82" s="232">
        <f t="shared" si="26"/>
        <v>4160.1690071333178</v>
      </c>
      <c r="AJ82" s="232">
        <f t="shared" si="26"/>
        <v>4114.5867677660935</v>
      </c>
      <c r="AK82" s="232">
        <f t="shared" si="26"/>
        <v>4136.8167660469644</v>
      </c>
      <c r="AL82" s="232">
        <f t="shared" si="26"/>
        <v>4103.793740913763</v>
      </c>
      <c r="AM82" s="232">
        <f t="shared" si="26"/>
        <v>4086.5915922280165</v>
      </c>
      <c r="AN82" s="232">
        <f t="shared" si="26"/>
        <v>4061.0374088608005</v>
      </c>
      <c r="AO82" s="232">
        <f t="shared" si="26"/>
        <v>4068.3871290318584</v>
      </c>
      <c r="AP82" s="232">
        <f t="shared" ref="AP82:BU82" si="27" xml:space="preserve"> AP77 + SUM(AP79:AP81)</f>
        <v>4030.4248647182721</v>
      </c>
      <c r="AQ82" s="232">
        <f t="shared" si="27"/>
        <v>4037.3447391668196</v>
      </c>
      <c r="AR82" s="232">
        <f t="shared" si="27"/>
        <v>3992.8547991747637</v>
      </c>
      <c r="AS82" s="232">
        <f t="shared" si="27"/>
        <v>4012.8195573263183</v>
      </c>
      <c r="AT82" s="232">
        <f t="shared" si="27"/>
        <v>3980.2686518909049</v>
      </c>
      <c r="AU82" s="232">
        <f t="shared" si="27"/>
        <v>8821.7245186193904</v>
      </c>
      <c r="AV82" s="232">
        <f t="shared" si="27"/>
        <v>8743.9212089990451</v>
      </c>
      <c r="AW82" s="232">
        <f t="shared" si="27"/>
        <v>13607.771297376097</v>
      </c>
      <c r="AX82" s="232">
        <f t="shared" si="27"/>
        <v>13461.451597997637</v>
      </c>
      <c r="AY82" s="232">
        <f t="shared" si="27"/>
        <v>13457.775239101149</v>
      </c>
      <c r="AZ82" s="232">
        <f t="shared" si="27"/>
        <v>13312.139894966671</v>
      </c>
      <c r="BA82" s="232">
        <f t="shared" si="27"/>
        <v>13305.600683226843</v>
      </c>
      <c r="BB82" s="232">
        <f t="shared" si="27"/>
        <v>16445.959763457937</v>
      </c>
      <c r="BC82" s="232">
        <f t="shared" si="27"/>
        <v>0</v>
      </c>
      <c r="BD82" s="232">
        <f t="shared" si="27"/>
        <v>0</v>
      </c>
      <c r="BE82" s="232">
        <f t="shared" si="27"/>
        <v>0</v>
      </c>
      <c r="BF82" s="232">
        <f t="shared" si="27"/>
        <v>0</v>
      </c>
      <c r="BG82" s="232">
        <f t="shared" si="27"/>
        <v>0</v>
      </c>
      <c r="BH82" s="232">
        <f t="shared" si="27"/>
        <v>0</v>
      </c>
      <c r="BI82" s="232">
        <f t="shared" si="27"/>
        <v>0</v>
      </c>
      <c r="BJ82" s="232">
        <f t="shared" si="27"/>
        <v>0</v>
      </c>
      <c r="BK82" s="232">
        <f t="shared" si="27"/>
        <v>0</v>
      </c>
      <c r="BL82" s="232">
        <f t="shared" si="27"/>
        <v>0</v>
      </c>
      <c r="BM82" s="232">
        <f t="shared" si="27"/>
        <v>0</v>
      </c>
      <c r="BN82" s="232">
        <f t="shared" si="27"/>
        <v>0</v>
      </c>
      <c r="BO82" s="232">
        <f t="shared" si="27"/>
        <v>0</v>
      </c>
      <c r="BP82" s="232">
        <f t="shared" si="27"/>
        <v>0</v>
      </c>
      <c r="BQ82" s="232">
        <f t="shared" si="27"/>
        <v>0</v>
      </c>
      <c r="BR82" s="232">
        <f t="shared" si="27"/>
        <v>0</v>
      </c>
      <c r="BS82" s="232">
        <f t="shared" si="27"/>
        <v>0</v>
      </c>
      <c r="BT82" s="232">
        <f t="shared" si="27"/>
        <v>0</v>
      </c>
      <c r="BU82" s="232">
        <f t="shared" si="27"/>
        <v>0</v>
      </c>
      <c r="BV82" s="232">
        <f t="shared" ref="BV82:CV82" si="28" xml:space="preserve"> BV77 + SUM(BV79:BV81)</f>
        <v>0</v>
      </c>
      <c r="BW82" s="232">
        <f t="shared" si="28"/>
        <v>0</v>
      </c>
      <c r="BX82" s="232">
        <f t="shared" si="28"/>
        <v>0</v>
      </c>
      <c r="BY82" s="232">
        <f t="shared" si="28"/>
        <v>0</v>
      </c>
      <c r="BZ82" s="232">
        <f t="shared" si="28"/>
        <v>0</v>
      </c>
      <c r="CA82" s="232">
        <f t="shared" si="28"/>
        <v>0</v>
      </c>
      <c r="CB82" s="232">
        <f t="shared" si="28"/>
        <v>0</v>
      </c>
      <c r="CC82" s="232">
        <f t="shared" si="28"/>
        <v>0</v>
      </c>
      <c r="CD82" s="232">
        <f t="shared" si="28"/>
        <v>0</v>
      </c>
      <c r="CE82" s="232">
        <f t="shared" si="28"/>
        <v>0</v>
      </c>
      <c r="CF82" s="232">
        <f t="shared" si="28"/>
        <v>0</v>
      </c>
      <c r="CG82" s="232">
        <f t="shared" si="28"/>
        <v>0</v>
      </c>
      <c r="CH82" s="232">
        <f t="shared" si="28"/>
        <v>0</v>
      </c>
      <c r="CI82" s="232">
        <f t="shared" si="28"/>
        <v>0</v>
      </c>
      <c r="CJ82" s="232">
        <f t="shared" si="28"/>
        <v>0</v>
      </c>
      <c r="CK82" s="232">
        <f t="shared" si="28"/>
        <v>0</v>
      </c>
      <c r="CL82" s="232">
        <f t="shared" si="28"/>
        <v>0</v>
      </c>
      <c r="CM82" s="232">
        <f t="shared" si="28"/>
        <v>0</v>
      </c>
      <c r="CN82" s="232">
        <f t="shared" si="28"/>
        <v>0</v>
      </c>
      <c r="CO82" s="232">
        <f t="shared" si="28"/>
        <v>0</v>
      </c>
      <c r="CP82" s="232">
        <f t="shared" si="28"/>
        <v>0</v>
      </c>
      <c r="CQ82" s="232">
        <f t="shared" si="28"/>
        <v>0</v>
      </c>
      <c r="CR82" s="232">
        <f t="shared" si="28"/>
        <v>0</v>
      </c>
      <c r="CS82" s="232">
        <f t="shared" si="28"/>
        <v>0</v>
      </c>
      <c r="CT82" s="232">
        <f t="shared" si="28"/>
        <v>0</v>
      </c>
      <c r="CU82" s="232">
        <f t="shared" si="28"/>
        <v>0</v>
      </c>
      <c r="CV82" s="232">
        <f t="shared" si="28"/>
        <v>0</v>
      </c>
    </row>
    <row r="83" spans="1:100" s="192" customFormat="1" outlineLevel="1" x14ac:dyDescent="0.2">
      <c r="A83" s="205"/>
      <c r="B83" s="205"/>
      <c r="C83" s="206"/>
      <c r="D83" s="209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  <c r="CO83" s="288"/>
      <c r="CP83" s="288"/>
      <c r="CQ83" s="288"/>
      <c r="CR83" s="288"/>
      <c r="CS83" s="288"/>
      <c r="CT83" s="288"/>
      <c r="CU83" s="288"/>
      <c r="CV83" s="288"/>
    </row>
    <row r="84" spans="1:100" s="331" customFormat="1" outlineLevel="1" x14ac:dyDescent="0.2">
      <c r="A84" s="752"/>
      <c r="B84" s="752"/>
      <c r="C84" s="753"/>
      <c r="D84" s="754"/>
      <c r="E84" s="722" t="str">
        <f xml:space="preserve"> Debt!E$715</f>
        <v>Equity bridge interest</v>
      </c>
      <c r="F84" s="722">
        <f xml:space="preserve"> Debt!F$715</f>
        <v>0</v>
      </c>
      <c r="G84" s="722" t="str">
        <f xml:space="preserve"> Debt!G$715</f>
        <v>$ 000s</v>
      </c>
      <c r="H84" s="722">
        <f xml:space="preserve"> Debt!H$715</f>
        <v>0</v>
      </c>
      <c r="I84" s="722">
        <f xml:space="preserve"> Debt!I$715</f>
        <v>0</v>
      </c>
      <c r="J84" s="722">
        <f xml:space="preserve"> Debt!J$715</f>
        <v>0</v>
      </c>
      <c r="K84" s="722">
        <f xml:space="preserve"> Debt!K$715</f>
        <v>0</v>
      </c>
      <c r="L84" s="722">
        <f xml:space="preserve"> Debt!L$715</f>
        <v>0</v>
      </c>
      <c r="M84" s="722">
        <f xml:space="preserve"> Debt!M$715</f>
        <v>0</v>
      </c>
      <c r="N84" s="722">
        <f xml:space="preserve"> Debt!N$715</f>
        <v>0</v>
      </c>
      <c r="O84" s="722">
        <f xml:space="preserve"> Debt!O$715</f>
        <v>0</v>
      </c>
      <c r="P84" s="722">
        <f xml:space="preserve"> Debt!P$715</f>
        <v>0</v>
      </c>
      <c r="Q84" s="722">
        <f xml:space="preserve"> Debt!Q$715</f>
        <v>0</v>
      </c>
      <c r="R84" s="722">
        <f xml:space="preserve"> Debt!R$715</f>
        <v>0</v>
      </c>
      <c r="S84" s="722">
        <f xml:space="preserve"> Debt!S$715</f>
        <v>0</v>
      </c>
      <c r="T84" s="722">
        <f xml:space="preserve"> Debt!T$715</f>
        <v>0</v>
      </c>
      <c r="U84" s="722">
        <f xml:space="preserve"> Debt!U$715</f>
        <v>0</v>
      </c>
      <c r="V84" s="722">
        <f xml:space="preserve"> Debt!V$715</f>
        <v>0</v>
      </c>
      <c r="W84" s="722">
        <f xml:space="preserve"> Debt!W$715</f>
        <v>0</v>
      </c>
      <c r="X84" s="722">
        <f xml:space="preserve"> Debt!X$715</f>
        <v>0</v>
      </c>
      <c r="Y84" s="722">
        <f xml:space="preserve"> Debt!Y$715</f>
        <v>0</v>
      </c>
      <c r="Z84" s="722">
        <f xml:space="preserve"> Debt!Z$715</f>
        <v>0</v>
      </c>
      <c r="AA84" s="722">
        <f xml:space="preserve"> Debt!AA$715</f>
        <v>0</v>
      </c>
      <c r="AB84" s="722">
        <f xml:space="preserve"> Debt!AB$715</f>
        <v>0</v>
      </c>
      <c r="AC84" s="722">
        <f xml:space="preserve"> Debt!AC$715</f>
        <v>0</v>
      </c>
      <c r="AD84" s="722">
        <f xml:space="preserve"> Debt!AD$715</f>
        <v>0</v>
      </c>
      <c r="AE84" s="722">
        <f xml:space="preserve"> Debt!AE$715</f>
        <v>0</v>
      </c>
      <c r="AF84" s="722">
        <f xml:space="preserve"> Debt!AF$715</f>
        <v>0</v>
      </c>
      <c r="AG84" s="722">
        <f xml:space="preserve"> Debt!AG$715</f>
        <v>0</v>
      </c>
      <c r="AH84" s="722">
        <f xml:space="preserve"> Debt!AH$715</f>
        <v>0</v>
      </c>
      <c r="AI84" s="722">
        <f xml:space="preserve"> Debt!AI$715</f>
        <v>0</v>
      </c>
      <c r="AJ84" s="722">
        <f xml:space="preserve"> Debt!AJ$715</f>
        <v>0</v>
      </c>
      <c r="AK84" s="722">
        <f xml:space="preserve"> Debt!AK$715</f>
        <v>0</v>
      </c>
      <c r="AL84" s="722">
        <f xml:space="preserve"> Debt!AL$715</f>
        <v>0</v>
      </c>
      <c r="AM84" s="722">
        <f xml:space="preserve"> Debt!AM$715</f>
        <v>0</v>
      </c>
      <c r="AN84" s="722">
        <f xml:space="preserve"> Debt!AN$715</f>
        <v>0</v>
      </c>
      <c r="AO84" s="722">
        <f xml:space="preserve"> Debt!AO$715</f>
        <v>0</v>
      </c>
      <c r="AP84" s="722">
        <f xml:space="preserve"> Debt!AP$715</f>
        <v>0</v>
      </c>
      <c r="AQ84" s="722">
        <f xml:space="preserve"> Debt!AQ$715</f>
        <v>0</v>
      </c>
      <c r="AR84" s="722">
        <f xml:space="preserve"> Debt!AR$715</f>
        <v>0</v>
      </c>
      <c r="AS84" s="722">
        <f xml:space="preserve"> Debt!AS$715</f>
        <v>0</v>
      </c>
      <c r="AT84" s="722">
        <f xml:space="preserve"> Debt!AT$715</f>
        <v>0</v>
      </c>
      <c r="AU84" s="722">
        <f xml:space="preserve"> Debt!AU$715</f>
        <v>0</v>
      </c>
      <c r="AV84" s="722">
        <f xml:space="preserve"> Debt!AV$715</f>
        <v>0</v>
      </c>
      <c r="AW84" s="722">
        <f xml:space="preserve"> Debt!AW$715</f>
        <v>0</v>
      </c>
      <c r="AX84" s="722">
        <f xml:space="preserve"> Debt!AX$715</f>
        <v>0</v>
      </c>
      <c r="AY84" s="722">
        <f xml:space="preserve"> Debt!AY$715</f>
        <v>0</v>
      </c>
      <c r="AZ84" s="722">
        <f xml:space="preserve"> Debt!AZ$715</f>
        <v>0</v>
      </c>
      <c r="BA84" s="722">
        <f xml:space="preserve"> Debt!BA$715</f>
        <v>0</v>
      </c>
      <c r="BB84" s="722">
        <f xml:space="preserve"> Debt!BB$715</f>
        <v>0</v>
      </c>
      <c r="BC84" s="722">
        <f xml:space="preserve"> Debt!BC$715</f>
        <v>0</v>
      </c>
      <c r="BD84" s="722">
        <f xml:space="preserve"> Debt!BD$715</f>
        <v>0</v>
      </c>
      <c r="BE84" s="722">
        <f xml:space="preserve"> Debt!BE$715</f>
        <v>0</v>
      </c>
      <c r="BF84" s="722">
        <f xml:space="preserve"> Debt!BF$715</f>
        <v>0</v>
      </c>
      <c r="BG84" s="722">
        <f xml:space="preserve"> Debt!BG$715</f>
        <v>0</v>
      </c>
      <c r="BH84" s="722">
        <f xml:space="preserve"> Debt!BH$715</f>
        <v>0</v>
      </c>
      <c r="BI84" s="722">
        <f xml:space="preserve"> Debt!BI$715</f>
        <v>0</v>
      </c>
      <c r="BJ84" s="722">
        <f xml:space="preserve"> Debt!BJ$715</f>
        <v>0</v>
      </c>
      <c r="BK84" s="722">
        <f xml:space="preserve"> Debt!BK$715</f>
        <v>0</v>
      </c>
      <c r="BL84" s="722">
        <f xml:space="preserve"> Debt!BL$715</f>
        <v>0</v>
      </c>
      <c r="BM84" s="722">
        <f xml:space="preserve"> Debt!BM$715</f>
        <v>0</v>
      </c>
      <c r="BN84" s="722">
        <f xml:space="preserve"> Debt!BN$715</f>
        <v>0</v>
      </c>
      <c r="BO84" s="722">
        <f xml:space="preserve"> Debt!BO$715</f>
        <v>0</v>
      </c>
      <c r="BP84" s="722">
        <f xml:space="preserve"> Debt!BP$715</f>
        <v>0</v>
      </c>
      <c r="BQ84" s="722">
        <f xml:space="preserve"> Debt!BQ$715</f>
        <v>0</v>
      </c>
      <c r="BR84" s="722">
        <f xml:space="preserve"> Debt!BR$715</f>
        <v>0</v>
      </c>
      <c r="BS84" s="722">
        <f xml:space="preserve"> Debt!BS$715</f>
        <v>0</v>
      </c>
      <c r="BT84" s="722">
        <f xml:space="preserve"> Debt!BT$715</f>
        <v>0</v>
      </c>
      <c r="BU84" s="722">
        <f xml:space="preserve"> Debt!BU$715</f>
        <v>0</v>
      </c>
      <c r="BV84" s="722">
        <f xml:space="preserve"> Debt!BV$715</f>
        <v>0</v>
      </c>
      <c r="BW84" s="722">
        <f xml:space="preserve"> Debt!BW$715</f>
        <v>0</v>
      </c>
      <c r="BX84" s="722">
        <f xml:space="preserve"> Debt!BX$715</f>
        <v>0</v>
      </c>
      <c r="BY84" s="722">
        <f xml:space="preserve"> Debt!BY$715</f>
        <v>0</v>
      </c>
      <c r="BZ84" s="722">
        <f xml:space="preserve"> Debt!BZ$715</f>
        <v>0</v>
      </c>
      <c r="CA84" s="722">
        <f xml:space="preserve"> Debt!CA$715</f>
        <v>0</v>
      </c>
      <c r="CB84" s="722">
        <f xml:space="preserve"> Debt!CB$715</f>
        <v>0</v>
      </c>
      <c r="CC84" s="722">
        <f xml:space="preserve"> Debt!CC$715</f>
        <v>0</v>
      </c>
      <c r="CD84" s="722">
        <f xml:space="preserve"> Debt!CD$715</f>
        <v>0</v>
      </c>
      <c r="CE84" s="722">
        <f xml:space="preserve"> Debt!CE$715</f>
        <v>0</v>
      </c>
      <c r="CF84" s="722">
        <f xml:space="preserve"> Debt!CF$715</f>
        <v>0</v>
      </c>
      <c r="CG84" s="722">
        <f xml:space="preserve"> Debt!CG$715</f>
        <v>0</v>
      </c>
      <c r="CH84" s="722">
        <f xml:space="preserve"> Debt!CH$715</f>
        <v>0</v>
      </c>
      <c r="CI84" s="722">
        <f xml:space="preserve"> Debt!CI$715</f>
        <v>0</v>
      </c>
      <c r="CJ84" s="722">
        <f xml:space="preserve"> Debt!CJ$715</f>
        <v>0</v>
      </c>
      <c r="CK84" s="722">
        <f xml:space="preserve"> Debt!CK$715</f>
        <v>0</v>
      </c>
      <c r="CL84" s="722">
        <f xml:space="preserve"> Debt!CL$715</f>
        <v>0</v>
      </c>
      <c r="CM84" s="722">
        <f xml:space="preserve"> Debt!CM$715</f>
        <v>0</v>
      </c>
      <c r="CN84" s="722">
        <f xml:space="preserve"> Debt!CN$715</f>
        <v>0</v>
      </c>
      <c r="CO84" s="722">
        <f xml:space="preserve"> Debt!CO$715</f>
        <v>0</v>
      </c>
      <c r="CP84" s="722">
        <f xml:space="preserve"> Debt!CP$715</f>
        <v>0</v>
      </c>
      <c r="CQ84" s="722">
        <f xml:space="preserve"> Debt!CQ$715</f>
        <v>0</v>
      </c>
      <c r="CR84" s="722">
        <f xml:space="preserve"> Debt!CR$715</f>
        <v>0</v>
      </c>
      <c r="CS84" s="722">
        <f xml:space="preserve"> Debt!CS$715</f>
        <v>0</v>
      </c>
      <c r="CT84" s="722">
        <f xml:space="preserve"> Debt!CT$715</f>
        <v>0</v>
      </c>
      <c r="CU84" s="722">
        <f xml:space="preserve"> Debt!CU$715</f>
        <v>0</v>
      </c>
      <c r="CV84" s="722">
        <f xml:space="preserve"> Debt!CV$715</f>
        <v>0</v>
      </c>
    </row>
    <row r="85" spans="1:100" s="331" customFormat="1" outlineLevel="1" x14ac:dyDescent="0.2">
      <c r="A85" s="752"/>
      <c r="B85" s="752"/>
      <c r="C85" s="753"/>
      <c r="D85" s="754"/>
      <c r="E85" s="817" t="s">
        <v>347</v>
      </c>
      <c r="F85" s="817"/>
      <c r="G85" s="817" t="str">
        <f xml:space="preserve"> SMU</f>
        <v>$ 000s</v>
      </c>
      <c r="H85" s="817">
        <f xml:space="preserve"> SUM(J85:CV85)</f>
        <v>236602.74380308986</v>
      </c>
      <c r="I85" s="817"/>
      <c r="J85" s="817">
        <f t="shared" ref="J85:AO85" si="29" xml:space="preserve"> J82 + SUM(J84:J84)</f>
        <v>-1.5558398445136845E-6</v>
      </c>
      <c r="K85" s="817">
        <f t="shared" si="29"/>
        <v>-1.2466658517951146E-5</v>
      </c>
      <c r="L85" s="817">
        <f t="shared" si="29"/>
        <v>-1.6754362150095403E-5</v>
      </c>
      <c r="M85" s="817">
        <f t="shared" si="29"/>
        <v>-1.9422688637860119E-5</v>
      </c>
      <c r="N85" s="817">
        <f t="shared" si="29"/>
        <v>-3.9676149608567357E-3</v>
      </c>
      <c r="O85" s="817">
        <f t="shared" si="29"/>
        <v>4958.443690135995</v>
      </c>
      <c r="P85" s="817">
        <f t="shared" si="29"/>
        <v>4419.0608948077006</v>
      </c>
      <c r="Q85" s="817">
        <f t="shared" si="29"/>
        <v>4431.5253604270329</v>
      </c>
      <c r="R85" s="817">
        <f t="shared" si="29"/>
        <v>4391.093891938297</v>
      </c>
      <c r="S85" s="817">
        <f t="shared" si="29"/>
        <v>4403.1380347567629</v>
      </c>
      <c r="T85" s="817">
        <f t="shared" si="29"/>
        <v>4355.3526856522458</v>
      </c>
      <c r="U85" s="817">
        <f t="shared" si="29"/>
        <v>4382.0081370400603</v>
      </c>
      <c r="V85" s="817">
        <f t="shared" si="29"/>
        <v>4347.3986771604377</v>
      </c>
      <c r="W85" s="817">
        <f t="shared" si="29"/>
        <v>4332.0424186494074</v>
      </c>
      <c r="X85" s="817">
        <f t="shared" si="29"/>
        <v>4305.6339209957259</v>
      </c>
      <c r="Y85" s="817">
        <f t="shared" si="29"/>
        <v>4312.4659036591293</v>
      </c>
      <c r="Z85" s="817">
        <f t="shared" si="29"/>
        <v>4272.8092009906122</v>
      </c>
      <c r="AA85" s="817">
        <f t="shared" si="29"/>
        <v>4283.115731938944</v>
      </c>
      <c r="AB85" s="817">
        <f t="shared" si="29"/>
        <v>4236.3642612251533</v>
      </c>
      <c r="AC85" s="817">
        <f t="shared" si="29"/>
        <v>4260.7817874205048</v>
      </c>
      <c r="AD85" s="817">
        <f t="shared" si="29"/>
        <v>4226.8926984581904</v>
      </c>
      <c r="AE85" s="817">
        <f t="shared" si="29"/>
        <v>4210.5566747623652</v>
      </c>
      <c r="AF85" s="817">
        <f t="shared" si="29"/>
        <v>4184.5198798179717</v>
      </c>
      <c r="AG85" s="817">
        <f t="shared" si="29"/>
        <v>4193.5196354169639</v>
      </c>
      <c r="AH85" s="817">
        <f t="shared" si="29"/>
        <v>4154.5851076482049</v>
      </c>
      <c r="AI85" s="817">
        <f t="shared" si="29"/>
        <v>4160.1690071333178</v>
      </c>
      <c r="AJ85" s="817">
        <f t="shared" si="29"/>
        <v>4114.5867677660935</v>
      </c>
      <c r="AK85" s="817">
        <f t="shared" si="29"/>
        <v>4136.8167660469644</v>
      </c>
      <c r="AL85" s="817">
        <f t="shared" si="29"/>
        <v>4103.793740913763</v>
      </c>
      <c r="AM85" s="817">
        <f t="shared" si="29"/>
        <v>4086.5915922280165</v>
      </c>
      <c r="AN85" s="817">
        <f t="shared" si="29"/>
        <v>4061.0374088608005</v>
      </c>
      <c r="AO85" s="817">
        <f t="shared" si="29"/>
        <v>4068.3871290318584</v>
      </c>
      <c r="AP85" s="817">
        <f t="shared" ref="AP85:BU85" si="30" xml:space="preserve"> AP82 + SUM(AP84:AP84)</f>
        <v>4030.4248647182721</v>
      </c>
      <c r="AQ85" s="817">
        <f t="shared" si="30"/>
        <v>4037.3447391668196</v>
      </c>
      <c r="AR85" s="817">
        <f t="shared" si="30"/>
        <v>3992.8547991747637</v>
      </c>
      <c r="AS85" s="817">
        <f t="shared" si="30"/>
        <v>4012.8195573263183</v>
      </c>
      <c r="AT85" s="817">
        <f t="shared" si="30"/>
        <v>3980.2686518909049</v>
      </c>
      <c r="AU85" s="817">
        <f t="shared" si="30"/>
        <v>8821.7245186193904</v>
      </c>
      <c r="AV85" s="817">
        <f t="shared" si="30"/>
        <v>8743.9212089990451</v>
      </c>
      <c r="AW85" s="817">
        <f t="shared" si="30"/>
        <v>13607.771297376097</v>
      </c>
      <c r="AX85" s="817">
        <f t="shared" si="30"/>
        <v>13461.451597997637</v>
      </c>
      <c r="AY85" s="817">
        <f t="shared" si="30"/>
        <v>13457.775239101149</v>
      </c>
      <c r="AZ85" s="817">
        <f t="shared" si="30"/>
        <v>13312.139894966671</v>
      </c>
      <c r="BA85" s="817">
        <f t="shared" si="30"/>
        <v>13305.600683226843</v>
      </c>
      <c r="BB85" s="817">
        <f t="shared" si="30"/>
        <v>16445.959763457937</v>
      </c>
      <c r="BC85" s="817">
        <f t="shared" si="30"/>
        <v>0</v>
      </c>
      <c r="BD85" s="817">
        <f t="shared" si="30"/>
        <v>0</v>
      </c>
      <c r="BE85" s="817">
        <f t="shared" si="30"/>
        <v>0</v>
      </c>
      <c r="BF85" s="817">
        <f t="shared" si="30"/>
        <v>0</v>
      </c>
      <c r="BG85" s="817">
        <f t="shared" si="30"/>
        <v>0</v>
      </c>
      <c r="BH85" s="817">
        <f t="shared" si="30"/>
        <v>0</v>
      </c>
      <c r="BI85" s="817">
        <f t="shared" si="30"/>
        <v>0</v>
      </c>
      <c r="BJ85" s="817">
        <f t="shared" si="30"/>
        <v>0</v>
      </c>
      <c r="BK85" s="817">
        <f t="shared" si="30"/>
        <v>0</v>
      </c>
      <c r="BL85" s="817">
        <f t="shared" si="30"/>
        <v>0</v>
      </c>
      <c r="BM85" s="817">
        <f t="shared" si="30"/>
        <v>0</v>
      </c>
      <c r="BN85" s="817">
        <f t="shared" si="30"/>
        <v>0</v>
      </c>
      <c r="BO85" s="817">
        <f t="shared" si="30"/>
        <v>0</v>
      </c>
      <c r="BP85" s="817">
        <f t="shared" si="30"/>
        <v>0</v>
      </c>
      <c r="BQ85" s="817">
        <f t="shared" si="30"/>
        <v>0</v>
      </c>
      <c r="BR85" s="817">
        <f t="shared" si="30"/>
        <v>0</v>
      </c>
      <c r="BS85" s="817">
        <f t="shared" si="30"/>
        <v>0</v>
      </c>
      <c r="BT85" s="817">
        <f t="shared" si="30"/>
        <v>0</v>
      </c>
      <c r="BU85" s="817">
        <f t="shared" si="30"/>
        <v>0</v>
      </c>
      <c r="BV85" s="817">
        <f t="shared" ref="BV85:CV85" si="31" xml:space="preserve"> BV82 + SUM(BV84:BV84)</f>
        <v>0</v>
      </c>
      <c r="BW85" s="817">
        <f t="shared" si="31"/>
        <v>0</v>
      </c>
      <c r="BX85" s="817">
        <f t="shared" si="31"/>
        <v>0</v>
      </c>
      <c r="BY85" s="817">
        <f t="shared" si="31"/>
        <v>0</v>
      </c>
      <c r="BZ85" s="817">
        <f t="shared" si="31"/>
        <v>0</v>
      </c>
      <c r="CA85" s="817">
        <f t="shared" si="31"/>
        <v>0</v>
      </c>
      <c r="CB85" s="817">
        <f t="shared" si="31"/>
        <v>0</v>
      </c>
      <c r="CC85" s="817">
        <f t="shared" si="31"/>
        <v>0</v>
      </c>
      <c r="CD85" s="817">
        <f t="shared" si="31"/>
        <v>0</v>
      </c>
      <c r="CE85" s="817">
        <f t="shared" si="31"/>
        <v>0</v>
      </c>
      <c r="CF85" s="817">
        <f t="shared" si="31"/>
        <v>0</v>
      </c>
      <c r="CG85" s="817">
        <f t="shared" si="31"/>
        <v>0</v>
      </c>
      <c r="CH85" s="817">
        <f t="shared" si="31"/>
        <v>0</v>
      </c>
      <c r="CI85" s="817">
        <f t="shared" si="31"/>
        <v>0</v>
      </c>
      <c r="CJ85" s="817">
        <f t="shared" si="31"/>
        <v>0</v>
      </c>
      <c r="CK85" s="817">
        <f t="shared" si="31"/>
        <v>0</v>
      </c>
      <c r="CL85" s="817">
        <f t="shared" si="31"/>
        <v>0</v>
      </c>
      <c r="CM85" s="817">
        <f t="shared" si="31"/>
        <v>0</v>
      </c>
      <c r="CN85" s="817">
        <f t="shared" si="31"/>
        <v>0</v>
      </c>
      <c r="CO85" s="817">
        <f t="shared" si="31"/>
        <v>0</v>
      </c>
      <c r="CP85" s="817">
        <f t="shared" si="31"/>
        <v>0</v>
      </c>
      <c r="CQ85" s="817">
        <f t="shared" si="31"/>
        <v>0</v>
      </c>
      <c r="CR85" s="817">
        <f t="shared" si="31"/>
        <v>0</v>
      </c>
      <c r="CS85" s="817">
        <f t="shared" si="31"/>
        <v>0</v>
      </c>
      <c r="CT85" s="817">
        <f t="shared" si="31"/>
        <v>0</v>
      </c>
      <c r="CU85" s="817">
        <f t="shared" si="31"/>
        <v>0</v>
      </c>
      <c r="CV85" s="817">
        <f t="shared" si="31"/>
        <v>0</v>
      </c>
    </row>
    <row r="86" spans="1:100" outlineLevel="1" x14ac:dyDescent="0.2">
      <c r="D86" s="209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  <c r="AG86" s="235"/>
      <c r="AH86" s="235"/>
      <c r="AI86" s="235"/>
      <c r="AJ86" s="235"/>
      <c r="AK86" s="235"/>
      <c r="AL86" s="235"/>
      <c r="AM86" s="235"/>
      <c r="AN86" s="235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  <c r="BG86" s="235"/>
      <c r="BH86" s="235"/>
      <c r="BI86" s="235"/>
      <c r="BJ86" s="235"/>
      <c r="BK86" s="235"/>
      <c r="BL86" s="235"/>
      <c r="BM86" s="235"/>
      <c r="BN86" s="235"/>
      <c r="BO86" s="235"/>
      <c r="BP86" s="235"/>
      <c r="BQ86" s="235"/>
      <c r="BR86" s="235"/>
      <c r="BS86" s="235"/>
      <c r="BT86" s="235"/>
      <c r="BU86" s="235"/>
      <c r="BV86" s="235"/>
      <c r="BW86" s="235"/>
      <c r="BX86" s="235"/>
      <c r="BY86" s="235"/>
      <c r="BZ86" s="235"/>
      <c r="CA86" s="235"/>
      <c r="CB86" s="235"/>
      <c r="CC86" s="235"/>
      <c r="CD86" s="235"/>
      <c r="CE86" s="235"/>
      <c r="CF86" s="235"/>
      <c r="CG86" s="235"/>
      <c r="CH86" s="235"/>
      <c r="CI86" s="235"/>
      <c r="CJ86" s="235"/>
      <c r="CK86" s="235"/>
      <c r="CL86" s="235"/>
      <c r="CM86" s="235"/>
      <c r="CN86" s="235"/>
      <c r="CO86" s="235"/>
      <c r="CP86" s="235"/>
      <c r="CQ86" s="235"/>
      <c r="CR86" s="235"/>
      <c r="CS86" s="235"/>
      <c r="CT86" s="235"/>
      <c r="CU86" s="235"/>
      <c r="CV86" s="235"/>
    </row>
    <row r="87" spans="1:100" outlineLevel="1" x14ac:dyDescent="0.2">
      <c r="D87" s="209"/>
      <c r="E87" s="235" t="str">
        <f xml:space="preserve"> Debt!E$465</f>
        <v>Shareholder loan interest paid</v>
      </c>
      <c r="F87" s="235">
        <f xml:space="preserve"> Debt!F$465</f>
        <v>0</v>
      </c>
      <c r="G87" s="235" t="str">
        <f xml:space="preserve"> Debt!G$465</f>
        <v>$ 000s</v>
      </c>
      <c r="H87" s="235">
        <f xml:space="preserve"> Debt!H$465</f>
        <v>-209529.209635665</v>
      </c>
      <c r="I87" s="235">
        <f xml:space="preserve"> Debt!I$465</f>
        <v>0</v>
      </c>
      <c r="J87" s="235">
        <f xml:space="preserve"> Debt!J$465</f>
        <v>0</v>
      </c>
      <c r="K87" s="235">
        <f xml:space="preserve"> Debt!K$465</f>
        <v>0</v>
      </c>
      <c r="L87" s="235">
        <f xml:space="preserve"> Debt!L$465</f>
        <v>0</v>
      </c>
      <c r="M87" s="235">
        <f xml:space="preserve"> Debt!M$465</f>
        <v>0</v>
      </c>
      <c r="N87" s="235">
        <f xml:space="preserve"> Debt!N$465</f>
        <v>0</v>
      </c>
      <c r="O87" s="235">
        <f xml:space="preserve"> Debt!O$465</f>
        <v>-4958.439672321485</v>
      </c>
      <c r="P87" s="235">
        <f xml:space="preserve"> Debt!P$465</f>
        <v>-4419.0608948077006</v>
      </c>
      <c r="Q87" s="235">
        <f xml:space="preserve"> Debt!Q$465</f>
        <v>-4431.5253604270329</v>
      </c>
      <c r="R87" s="235">
        <f xml:space="preserve"> Debt!R$465</f>
        <v>-4391.093891938297</v>
      </c>
      <c r="S87" s="235">
        <f xml:space="preserve"> Debt!S$465</f>
        <v>-4403.1380347567629</v>
      </c>
      <c r="T87" s="235">
        <f xml:space="preserve"> Debt!T$465</f>
        <v>-4355.3526856522458</v>
      </c>
      <c r="U87" s="235">
        <f xml:space="preserve"> Debt!U$465</f>
        <v>-4382.0081370400603</v>
      </c>
      <c r="V87" s="235">
        <f xml:space="preserve"> Debt!V$465</f>
        <v>-4347.3986771604377</v>
      </c>
      <c r="W87" s="235">
        <f xml:space="preserve"> Debt!W$465</f>
        <v>-4332.0424186494074</v>
      </c>
      <c r="X87" s="235">
        <f xml:space="preserve"> Debt!X$465</f>
        <v>-4305.6339209957259</v>
      </c>
      <c r="Y87" s="235">
        <f xml:space="preserve"> Debt!Y$465</f>
        <v>-4312.4659036591293</v>
      </c>
      <c r="Z87" s="235">
        <f xml:space="preserve"> Debt!Z$465</f>
        <v>-4272.8092009906122</v>
      </c>
      <c r="AA87" s="235">
        <f xml:space="preserve"> Debt!AA$465</f>
        <v>-4283.115731938944</v>
      </c>
      <c r="AB87" s="235">
        <f xml:space="preserve"> Debt!AB$465</f>
        <v>-4236.3642612251533</v>
      </c>
      <c r="AC87" s="235">
        <f xml:space="preserve"> Debt!AC$465</f>
        <v>-4260.7817874205048</v>
      </c>
      <c r="AD87" s="235">
        <f xml:space="preserve"> Debt!AD$465</f>
        <v>-4226.8926984581904</v>
      </c>
      <c r="AE87" s="235">
        <f xml:space="preserve"> Debt!AE$465</f>
        <v>-4210.5566747623652</v>
      </c>
      <c r="AF87" s="235">
        <f xml:space="preserve"> Debt!AF$465</f>
        <v>-4184.5198798179717</v>
      </c>
      <c r="AG87" s="235">
        <f xml:space="preserve"> Debt!AG$465</f>
        <v>-4193.5196354169639</v>
      </c>
      <c r="AH87" s="235">
        <f xml:space="preserve"> Debt!AH$465</f>
        <v>-4154.5851076482049</v>
      </c>
      <c r="AI87" s="235">
        <f xml:space="preserve"> Debt!AI$465</f>
        <v>-4160.1690071333178</v>
      </c>
      <c r="AJ87" s="235">
        <f xml:space="preserve"> Debt!AJ$465</f>
        <v>-4114.5867677660935</v>
      </c>
      <c r="AK87" s="235">
        <f xml:space="preserve"> Debt!AK$465</f>
        <v>-4136.8167660469644</v>
      </c>
      <c r="AL87" s="235">
        <f xml:space="preserve"> Debt!AL$465</f>
        <v>-4103.793740913763</v>
      </c>
      <c r="AM87" s="235">
        <f xml:space="preserve"> Debt!AM$465</f>
        <v>-4086.5915922280165</v>
      </c>
      <c r="AN87" s="235">
        <f xml:space="preserve"> Debt!AN$465</f>
        <v>-4061.0374088608005</v>
      </c>
      <c r="AO87" s="235">
        <f xml:space="preserve"> Debt!AO$465</f>
        <v>-4068.3871290318584</v>
      </c>
      <c r="AP87" s="235">
        <f xml:space="preserve"> Debt!AP$465</f>
        <v>-4030.4248647182721</v>
      </c>
      <c r="AQ87" s="235">
        <f xml:space="preserve"> Debt!AQ$465</f>
        <v>-4037.3447391668196</v>
      </c>
      <c r="AR87" s="235">
        <f xml:space="preserve"> Debt!AR$465</f>
        <v>-3992.8547991747637</v>
      </c>
      <c r="AS87" s="235">
        <f xml:space="preserve"> Debt!AS$465</f>
        <v>-4012.8195573263183</v>
      </c>
      <c r="AT87" s="235">
        <f xml:space="preserve"> Debt!AT$465</f>
        <v>-3980.2686518909049</v>
      </c>
      <c r="AU87" s="235">
        <f xml:space="preserve"> Debt!AU$465</f>
        <v>-8821.7245186193904</v>
      </c>
      <c r="AV87" s="235">
        <f xml:space="preserve"> Debt!AV$465</f>
        <v>-8743.9212089990451</v>
      </c>
      <c r="AW87" s="235">
        <f xml:space="preserve"> Debt!AW$465</f>
        <v>-9987.6941905636468</v>
      </c>
      <c r="AX87" s="235">
        <f xml:space="preserve"> Debt!AX$465</f>
        <v>-9770.4895641548992</v>
      </c>
      <c r="AY87" s="235">
        <f xml:space="preserve"> Debt!AY$465</f>
        <v>-9549.0318421243355</v>
      </c>
      <c r="AZ87" s="235">
        <f xml:space="preserve"> Debt!AZ$465</f>
        <v>-9314.507238305725</v>
      </c>
      <c r="BA87" s="235">
        <f xml:space="preserve"> Debt!BA$465</f>
        <v>-9074.6492789060685</v>
      </c>
      <c r="BB87" s="235">
        <f xml:space="preserve"> Debt!BB$465</f>
        <v>-8820.7921946468232</v>
      </c>
      <c r="BC87" s="235">
        <f xml:space="preserve"> Debt!BC$465</f>
        <v>0</v>
      </c>
      <c r="BD87" s="235">
        <f xml:space="preserve"> Debt!BD$465</f>
        <v>0</v>
      </c>
      <c r="BE87" s="235">
        <f xml:space="preserve"> Debt!BE$465</f>
        <v>0</v>
      </c>
      <c r="BF87" s="235">
        <f xml:space="preserve"> Debt!BF$465</f>
        <v>0</v>
      </c>
      <c r="BG87" s="235">
        <f xml:space="preserve"> Debt!BG$465</f>
        <v>0</v>
      </c>
      <c r="BH87" s="235">
        <f xml:space="preserve"> Debt!BH$465</f>
        <v>0</v>
      </c>
      <c r="BI87" s="235">
        <f xml:space="preserve"> Debt!BI$465</f>
        <v>0</v>
      </c>
      <c r="BJ87" s="235">
        <f xml:space="preserve"> Debt!BJ$465</f>
        <v>0</v>
      </c>
      <c r="BK87" s="235">
        <f xml:space="preserve"> Debt!BK$465</f>
        <v>0</v>
      </c>
      <c r="BL87" s="235">
        <f xml:space="preserve"> Debt!BL$465</f>
        <v>0</v>
      </c>
      <c r="BM87" s="235">
        <f xml:space="preserve"> Debt!BM$465</f>
        <v>0</v>
      </c>
      <c r="BN87" s="235">
        <f xml:space="preserve"> Debt!BN$465</f>
        <v>0</v>
      </c>
      <c r="BO87" s="235">
        <f xml:space="preserve"> Debt!BO$465</f>
        <v>0</v>
      </c>
      <c r="BP87" s="235">
        <f xml:space="preserve"> Debt!BP$465</f>
        <v>0</v>
      </c>
      <c r="BQ87" s="235">
        <f xml:space="preserve"> Debt!BQ$465</f>
        <v>0</v>
      </c>
      <c r="BR87" s="235">
        <f xml:space="preserve"> Debt!BR$465</f>
        <v>0</v>
      </c>
      <c r="BS87" s="235">
        <f xml:space="preserve"> Debt!BS$465</f>
        <v>0</v>
      </c>
      <c r="BT87" s="235">
        <f xml:space="preserve"> Debt!BT$465</f>
        <v>0</v>
      </c>
      <c r="BU87" s="235">
        <f xml:space="preserve"> Debt!BU$465</f>
        <v>0</v>
      </c>
      <c r="BV87" s="235">
        <f xml:space="preserve"> Debt!BV$465</f>
        <v>0</v>
      </c>
      <c r="BW87" s="235">
        <f xml:space="preserve"> Debt!BW$465</f>
        <v>0</v>
      </c>
      <c r="BX87" s="235">
        <f xml:space="preserve"> Debt!BX$465</f>
        <v>0</v>
      </c>
      <c r="BY87" s="235">
        <f xml:space="preserve"> Debt!BY$465</f>
        <v>0</v>
      </c>
      <c r="BZ87" s="235">
        <f xml:space="preserve"> Debt!BZ$465</f>
        <v>0</v>
      </c>
      <c r="CA87" s="235">
        <f xml:space="preserve"> Debt!CA$465</f>
        <v>0</v>
      </c>
      <c r="CB87" s="235">
        <f xml:space="preserve"> Debt!CB$465</f>
        <v>0</v>
      </c>
      <c r="CC87" s="235">
        <f xml:space="preserve"> Debt!CC$465</f>
        <v>0</v>
      </c>
      <c r="CD87" s="235">
        <f xml:space="preserve"> Debt!CD$465</f>
        <v>0</v>
      </c>
      <c r="CE87" s="235">
        <f xml:space="preserve"> Debt!CE$465</f>
        <v>0</v>
      </c>
      <c r="CF87" s="235">
        <f xml:space="preserve"> Debt!CF$465</f>
        <v>0</v>
      </c>
      <c r="CG87" s="235">
        <f xml:space="preserve"> Debt!CG$465</f>
        <v>0</v>
      </c>
      <c r="CH87" s="235">
        <f xml:space="preserve"> Debt!CH$465</f>
        <v>0</v>
      </c>
      <c r="CI87" s="235">
        <f xml:space="preserve"> Debt!CI$465</f>
        <v>0</v>
      </c>
      <c r="CJ87" s="235">
        <f xml:space="preserve"> Debt!CJ$465</f>
        <v>0</v>
      </c>
      <c r="CK87" s="235">
        <f xml:space="preserve"> Debt!CK$465</f>
        <v>0</v>
      </c>
      <c r="CL87" s="235">
        <f xml:space="preserve"> Debt!CL$465</f>
        <v>0</v>
      </c>
      <c r="CM87" s="235">
        <f xml:space="preserve"> Debt!CM$465</f>
        <v>0</v>
      </c>
      <c r="CN87" s="235">
        <f xml:space="preserve"> Debt!CN$465</f>
        <v>0</v>
      </c>
      <c r="CO87" s="235">
        <f xml:space="preserve"> Debt!CO$465</f>
        <v>0</v>
      </c>
      <c r="CP87" s="235">
        <f xml:space="preserve"> Debt!CP$465</f>
        <v>0</v>
      </c>
      <c r="CQ87" s="235">
        <f xml:space="preserve"> Debt!CQ$465</f>
        <v>0</v>
      </c>
      <c r="CR87" s="235">
        <f xml:space="preserve"> Debt!CR$465</f>
        <v>0</v>
      </c>
      <c r="CS87" s="235">
        <f xml:space="preserve"> Debt!CS$465</f>
        <v>0</v>
      </c>
      <c r="CT87" s="235">
        <f xml:space="preserve"> Debt!CT$465</f>
        <v>0</v>
      </c>
      <c r="CU87" s="235">
        <f xml:space="preserve"> Debt!CU$465</f>
        <v>0</v>
      </c>
      <c r="CV87" s="235">
        <f xml:space="preserve"> Debt!CV$465</f>
        <v>0</v>
      </c>
    </row>
    <row r="88" spans="1:100" outlineLevel="1" x14ac:dyDescent="0.2">
      <c r="D88" s="209"/>
      <c r="E88" s="235" t="str">
        <f xml:space="preserve"> Debt!E$480</f>
        <v>Shareholder loan principal repayment</v>
      </c>
      <c r="F88" s="235">
        <f xml:space="preserve"> Debt!F$480</f>
        <v>0</v>
      </c>
      <c r="G88" s="235" t="str">
        <f xml:space="preserve"> Debt!G$480</f>
        <v>$ 000s</v>
      </c>
      <c r="H88" s="235">
        <f xml:space="preserve"> Debt!H$480</f>
        <v>-27073.534167424834</v>
      </c>
      <c r="I88" s="235">
        <f xml:space="preserve"> Debt!I$480</f>
        <v>0</v>
      </c>
      <c r="J88" s="235">
        <f xml:space="preserve"> Debt!J$480</f>
        <v>0</v>
      </c>
      <c r="K88" s="235">
        <f xml:space="preserve"> Debt!K$480</f>
        <v>0</v>
      </c>
      <c r="L88" s="235">
        <f xml:space="preserve"> Debt!L$480</f>
        <v>0</v>
      </c>
      <c r="M88" s="235">
        <f xml:space="preserve"> Debt!M$480</f>
        <v>0</v>
      </c>
      <c r="N88" s="235">
        <f xml:space="preserve"> Debt!N$480</f>
        <v>0</v>
      </c>
      <c r="O88" s="235">
        <f xml:space="preserve"> Debt!O$480</f>
        <v>0</v>
      </c>
      <c r="P88" s="235">
        <f xml:space="preserve"> Debt!P$480</f>
        <v>0</v>
      </c>
      <c r="Q88" s="235">
        <f xml:space="preserve"> Debt!Q$480</f>
        <v>0</v>
      </c>
      <c r="R88" s="235">
        <f xml:space="preserve"> Debt!R$480</f>
        <v>0</v>
      </c>
      <c r="S88" s="235">
        <f xml:space="preserve"> Debt!S$480</f>
        <v>0</v>
      </c>
      <c r="T88" s="235">
        <f xml:space="preserve"> Debt!T$480</f>
        <v>0</v>
      </c>
      <c r="U88" s="235">
        <f xml:space="preserve"> Debt!U$480</f>
        <v>0</v>
      </c>
      <c r="V88" s="235">
        <f xml:space="preserve"> Debt!V$480</f>
        <v>0</v>
      </c>
      <c r="W88" s="235">
        <f xml:space="preserve"> Debt!W$480</f>
        <v>0</v>
      </c>
      <c r="X88" s="235">
        <f xml:space="preserve"> Debt!X$480</f>
        <v>0</v>
      </c>
      <c r="Y88" s="235">
        <f xml:space="preserve"> Debt!Y$480</f>
        <v>0</v>
      </c>
      <c r="Z88" s="235">
        <f xml:space="preserve"> Debt!Z$480</f>
        <v>0</v>
      </c>
      <c r="AA88" s="235">
        <f xml:space="preserve"> Debt!AA$480</f>
        <v>0</v>
      </c>
      <c r="AB88" s="235">
        <f xml:space="preserve"> Debt!AB$480</f>
        <v>0</v>
      </c>
      <c r="AC88" s="235">
        <f xml:space="preserve"> Debt!AC$480</f>
        <v>0</v>
      </c>
      <c r="AD88" s="235">
        <f xml:space="preserve"> Debt!AD$480</f>
        <v>0</v>
      </c>
      <c r="AE88" s="235">
        <f xml:space="preserve"> Debt!AE$480</f>
        <v>0</v>
      </c>
      <c r="AF88" s="235">
        <f xml:space="preserve"> Debt!AF$480</f>
        <v>0</v>
      </c>
      <c r="AG88" s="235">
        <f xml:space="preserve"> Debt!AG$480</f>
        <v>0</v>
      </c>
      <c r="AH88" s="235">
        <f xml:space="preserve"> Debt!AH$480</f>
        <v>0</v>
      </c>
      <c r="AI88" s="235">
        <f xml:space="preserve"> Debt!AI$480</f>
        <v>0</v>
      </c>
      <c r="AJ88" s="235">
        <f xml:space="preserve"> Debt!AJ$480</f>
        <v>0</v>
      </c>
      <c r="AK88" s="235">
        <f xml:space="preserve"> Debt!AK$480</f>
        <v>0</v>
      </c>
      <c r="AL88" s="235">
        <f xml:space="preserve"> Debt!AL$480</f>
        <v>0</v>
      </c>
      <c r="AM88" s="235">
        <f xml:space="preserve"> Debt!AM$480</f>
        <v>0</v>
      </c>
      <c r="AN88" s="235">
        <f xml:space="preserve"> Debt!AN$480</f>
        <v>0</v>
      </c>
      <c r="AO88" s="235">
        <f xml:space="preserve"> Debt!AO$480</f>
        <v>0</v>
      </c>
      <c r="AP88" s="235">
        <f xml:space="preserve"> Debt!AP$480</f>
        <v>0</v>
      </c>
      <c r="AQ88" s="235">
        <f xml:space="preserve"> Debt!AQ$480</f>
        <v>0</v>
      </c>
      <c r="AR88" s="235">
        <f xml:space="preserve"> Debt!AR$480</f>
        <v>0</v>
      </c>
      <c r="AS88" s="235">
        <f xml:space="preserve"> Debt!AS$480</f>
        <v>0</v>
      </c>
      <c r="AT88" s="235">
        <f xml:space="preserve"> Debt!AT$480</f>
        <v>0</v>
      </c>
      <c r="AU88" s="235">
        <f xml:space="preserve"> Debt!AU$480</f>
        <v>0</v>
      </c>
      <c r="AV88" s="235">
        <f xml:space="preserve"> Debt!AV$480</f>
        <v>0</v>
      </c>
      <c r="AW88" s="235">
        <f xml:space="preserve"> Debt!AW$480</f>
        <v>-3620.0771068124504</v>
      </c>
      <c r="AX88" s="235">
        <f xml:space="preserve"> Debt!AX$480</f>
        <v>-3690.9620338427376</v>
      </c>
      <c r="AY88" s="235">
        <f xml:space="preserve"> Debt!AY$480</f>
        <v>-3908.7433969768135</v>
      </c>
      <c r="AZ88" s="235">
        <f xml:space="preserve"> Debt!AZ$480</f>
        <v>-3997.6326566609459</v>
      </c>
      <c r="BA88" s="235">
        <f xml:space="preserve"> Debt!BA$480</f>
        <v>-4230.9514043207746</v>
      </c>
      <c r="BB88" s="235">
        <f xml:space="preserve"> Debt!BB$480</f>
        <v>-7625.1675688111136</v>
      </c>
      <c r="BC88" s="235">
        <f xml:space="preserve"> Debt!BC$480</f>
        <v>0</v>
      </c>
      <c r="BD88" s="235">
        <f xml:space="preserve"> Debt!BD$480</f>
        <v>0</v>
      </c>
      <c r="BE88" s="235">
        <f xml:space="preserve"> Debt!BE$480</f>
        <v>0</v>
      </c>
      <c r="BF88" s="235">
        <f xml:space="preserve"> Debt!BF$480</f>
        <v>0</v>
      </c>
      <c r="BG88" s="235">
        <f xml:space="preserve"> Debt!BG$480</f>
        <v>0</v>
      </c>
      <c r="BH88" s="235">
        <f xml:space="preserve"> Debt!BH$480</f>
        <v>0</v>
      </c>
      <c r="BI88" s="235">
        <f xml:space="preserve"> Debt!BI$480</f>
        <v>0</v>
      </c>
      <c r="BJ88" s="235">
        <f xml:space="preserve"> Debt!BJ$480</f>
        <v>0</v>
      </c>
      <c r="BK88" s="235">
        <f xml:space="preserve"> Debt!BK$480</f>
        <v>0</v>
      </c>
      <c r="BL88" s="235">
        <f xml:space="preserve"> Debt!BL$480</f>
        <v>0</v>
      </c>
      <c r="BM88" s="235">
        <f xml:space="preserve"> Debt!BM$480</f>
        <v>0</v>
      </c>
      <c r="BN88" s="235">
        <f xml:space="preserve"> Debt!BN$480</f>
        <v>0</v>
      </c>
      <c r="BO88" s="235">
        <f xml:space="preserve"> Debt!BO$480</f>
        <v>0</v>
      </c>
      <c r="BP88" s="235">
        <f xml:space="preserve"> Debt!BP$480</f>
        <v>0</v>
      </c>
      <c r="BQ88" s="235">
        <f xml:space="preserve"> Debt!BQ$480</f>
        <v>0</v>
      </c>
      <c r="BR88" s="235">
        <f xml:space="preserve"> Debt!BR$480</f>
        <v>0</v>
      </c>
      <c r="BS88" s="235">
        <f xml:space="preserve"> Debt!BS$480</f>
        <v>0</v>
      </c>
      <c r="BT88" s="235">
        <f xml:space="preserve"> Debt!BT$480</f>
        <v>0</v>
      </c>
      <c r="BU88" s="235">
        <f xml:space="preserve"> Debt!BU$480</f>
        <v>0</v>
      </c>
      <c r="BV88" s="235">
        <f xml:space="preserve"> Debt!BV$480</f>
        <v>0</v>
      </c>
      <c r="BW88" s="235">
        <f xml:space="preserve"> Debt!BW$480</f>
        <v>0</v>
      </c>
      <c r="BX88" s="235">
        <f xml:space="preserve"> Debt!BX$480</f>
        <v>0</v>
      </c>
      <c r="BY88" s="235">
        <f xml:space="preserve"> Debt!BY$480</f>
        <v>0</v>
      </c>
      <c r="BZ88" s="235">
        <f xml:space="preserve"> Debt!BZ$480</f>
        <v>0</v>
      </c>
      <c r="CA88" s="235">
        <f xml:space="preserve"> Debt!CA$480</f>
        <v>0</v>
      </c>
      <c r="CB88" s="235">
        <f xml:space="preserve"> Debt!CB$480</f>
        <v>0</v>
      </c>
      <c r="CC88" s="235">
        <f xml:space="preserve"> Debt!CC$480</f>
        <v>0</v>
      </c>
      <c r="CD88" s="235">
        <f xml:space="preserve"> Debt!CD$480</f>
        <v>0</v>
      </c>
      <c r="CE88" s="235">
        <f xml:space="preserve"> Debt!CE$480</f>
        <v>0</v>
      </c>
      <c r="CF88" s="235">
        <f xml:space="preserve"> Debt!CF$480</f>
        <v>0</v>
      </c>
      <c r="CG88" s="235">
        <f xml:space="preserve"> Debt!CG$480</f>
        <v>0</v>
      </c>
      <c r="CH88" s="235">
        <f xml:space="preserve"> Debt!CH$480</f>
        <v>0</v>
      </c>
      <c r="CI88" s="235">
        <f xml:space="preserve"> Debt!CI$480</f>
        <v>0</v>
      </c>
      <c r="CJ88" s="235">
        <f xml:space="preserve"> Debt!CJ$480</f>
        <v>0</v>
      </c>
      <c r="CK88" s="235">
        <f xml:space="preserve"> Debt!CK$480</f>
        <v>0</v>
      </c>
      <c r="CL88" s="235">
        <f xml:space="preserve"> Debt!CL$480</f>
        <v>0</v>
      </c>
      <c r="CM88" s="235">
        <f xml:space="preserve"> Debt!CM$480</f>
        <v>0</v>
      </c>
      <c r="CN88" s="235">
        <f xml:space="preserve"> Debt!CN$480</f>
        <v>0</v>
      </c>
      <c r="CO88" s="235">
        <f xml:space="preserve"> Debt!CO$480</f>
        <v>0</v>
      </c>
      <c r="CP88" s="235">
        <f xml:space="preserve"> Debt!CP$480</f>
        <v>0</v>
      </c>
      <c r="CQ88" s="235">
        <f xml:space="preserve"> Debt!CQ$480</f>
        <v>0</v>
      </c>
      <c r="CR88" s="235">
        <f xml:space="preserve"> Debt!CR$480</f>
        <v>0</v>
      </c>
      <c r="CS88" s="235">
        <f xml:space="preserve"> Debt!CS$480</f>
        <v>0</v>
      </c>
      <c r="CT88" s="235">
        <f xml:space="preserve"> Debt!CT$480</f>
        <v>0</v>
      </c>
      <c r="CU88" s="235">
        <f xml:space="preserve"> Debt!CU$480</f>
        <v>0</v>
      </c>
      <c r="CV88" s="235">
        <f xml:space="preserve"> Debt!CV$480</f>
        <v>0</v>
      </c>
    </row>
    <row r="89" spans="1:100" outlineLevel="1" x14ac:dyDescent="0.2">
      <c r="D89" s="209"/>
      <c r="E89" s="232" t="s">
        <v>333</v>
      </c>
      <c r="F89" s="232"/>
      <c r="G89" s="232" t="str">
        <f xml:space="preserve"> SMU</f>
        <v>$ 000s</v>
      </c>
      <c r="H89" s="232">
        <f xml:space="preserve"> SUM(J89:CV89)</f>
        <v>0</v>
      </c>
      <c r="I89" s="232"/>
      <c r="J89" s="232">
        <f t="shared" ref="J89:R89" si="32" xml:space="preserve"> J85 + SUM(J87:J88)</f>
        <v>-1.5558398445136845E-6</v>
      </c>
      <c r="K89" s="232">
        <f t="shared" si="32"/>
        <v>-1.2466658517951146E-5</v>
      </c>
      <c r="L89" s="232">
        <f t="shared" si="32"/>
        <v>-1.6754362150095403E-5</v>
      </c>
      <c r="M89" s="232">
        <f t="shared" si="32"/>
        <v>-1.9422688637860119E-5</v>
      </c>
      <c r="N89" s="232">
        <f t="shared" si="32"/>
        <v>-3.9676149608567357E-3</v>
      </c>
      <c r="O89" s="232">
        <f t="shared" si="32"/>
        <v>4.0178145100071561E-3</v>
      </c>
      <c r="P89" s="232">
        <f t="shared" si="32"/>
        <v>0</v>
      </c>
      <c r="Q89" s="232">
        <f t="shared" si="32"/>
        <v>0</v>
      </c>
      <c r="R89" s="232">
        <f t="shared" si="32"/>
        <v>0</v>
      </c>
      <c r="S89" s="232">
        <f xml:space="preserve"> S85 + SUM(S87:S88)</f>
        <v>0</v>
      </c>
      <c r="T89" s="232">
        <f t="shared" ref="T89:CE89" si="33" xml:space="preserve"> T85 + SUM(T87:T88)</f>
        <v>0</v>
      </c>
      <c r="U89" s="232">
        <f t="shared" si="33"/>
        <v>0</v>
      </c>
      <c r="V89" s="232">
        <f t="shared" si="33"/>
        <v>0</v>
      </c>
      <c r="W89" s="232">
        <f t="shared" si="33"/>
        <v>0</v>
      </c>
      <c r="X89" s="232">
        <f t="shared" si="33"/>
        <v>0</v>
      </c>
      <c r="Y89" s="232">
        <f t="shared" si="33"/>
        <v>0</v>
      </c>
      <c r="Z89" s="232">
        <f t="shared" si="33"/>
        <v>0</v>
      </c>
      <c r="AA89" s="232">
        <f t="shared" si="33"/>
        <v>0</v>
      </c>
      <c r="AB89" s="232">
        <f t="shared" si="33"/>
        <v>0</v>
      </c>
      <c r="AC89" s="232">
        <f t="shared" si="33"/>
        <v>0</v>
      </c>
      <c r="AD89" s="232">
        <f t="shared" si="33"/>
        <v>0</v>
      </c>
      <c r="AE89" s="232">
        <f t="shared" si="33"/>
        <v>0</v>
      </c>
      <c r="AF89" s="232">
        <f t="shared" si="33"/>
        <v>0</v>
      </c>
      <c r="AG89" s="232">
        <f t="shared" si="33"/>
        <v>0</v>
      </c>
      <c r="AH89" s="232">
        <f t="shared" si="33"/>
        <v>0</v>
      </c>
      <c r="AI89" s="232">
        <f t="shared" si="33"/>
        <v>0</v>
      </c>
      <c r="AJ89" s="232">
        <f t="shared" si="33"/>
        <v>0</v>
      </c>
      <c r="AK89" s="232">
        <f t="shared" si="33"/>
        <v>0</v>
      </c>
      <c r="AL89" s="232">
        <f t="shared" si="33"/>
        <v>0</v>
      </c>
      <c r="AM89" s="232">
        <f t="shared" si="33"/>
        <v>0</v>
      </c>
      <c r="AN89" s="232">
        <f t="shared" si="33"/>
        <v>0</v>
      </c>
      <c r="AO89" s="232">
        <f t="shared" si="33"/>
        <v>0</v>
      </c>
      <c r="AP89" s="232">
        <f t="shared" si="33"/>
        <v>0</v>
      </c>
      <c r="AQ89" s="232">
        <f t="shared" si="33"/>
        <v>0</v>
      </c>
      <c r="AR89" s="232">
        <f t="shared" si="33"/>
        <v>0</v>
      </c>
      <c r="AS89" s="232">
        <f t="shared" si="33"/>
        <v>0</v>
      </c>
      <c r="AT89" s="232">
        <f t="shared" si="33"/>
        <v>0</v>
      </c>
      <c r="AU89" s="232">
        <f t="shared" si="33"/>
        <v>0</v>
      </c>
      <c r="AV89" s="232">
        <f t="shared" si="33"/>
        <v>0</v>
      </c>
      <c r="AW89" s="232">
        <f t="shared" si="33"/>
        <v>0</v>
      </c>
      <c r="AX89" s="232">
        <f t="shared" si="33"/>
        <v>0</v>
      </c>
      <c r="AY89" s="232">
        <f t="shared" si="33"/>
        <v>0</v>
      </c>
      <c r="AZ89" s="232">
        <f t="shared" si="33"/>
        <v>0</v>
      </c>
      <c r="BA89" s="232">
        <f t="shared" si="33"/>
        <v>0</v>
      </c>
      <c r="BB89" s="232">
        <f t="shared" si="33"/>
        <v>0</v>
      </c>
      <c r="BC89" s="232">
        <f t="shared" si="33"/>
        <v>0</v>
      </c>
      <c r="BD89" s="232">
        <f t="shared" si="33"/>
        <v>0</v>
      </c>
      <c r="BE89" s="232">
        <f t="shared" si="33"/>
        <v>0</v>
      </c>
      <c r="BF89" s="232">
        <f t="shared" si="33"/>
        <v>0</v>
      </c>
      <c r="BG89" s="232">
        <f t="shared" si="33"/>
        <v>0</v>
      </c>
      <c r="BH89" s="232">
        <f t="shared" si="33"/>
        <v>0</v>
      </c>
      <c r="BI89" s="232">
        <f t="shared" si="33"/>
        <v>0</v>
      </c>
      <c r="BJ89" s="232">
        <f t="shared" si="33"/>
        <v>0</v>
      </c>
      <c r="BK89" s="232">
        <f t="shared" si="33"/>
        <v>0</v>
      </c>
      <c r="BL89" s="232">
        <f t="shared" si="33"/>
        <v>0</v>
      </c>
      <c r="BM89" s="232">
        <f t="shared" si="33"/>
        <v>0</v>
      </c>
      <c r="BN89" s="232">
        <f t="shared" si="33"/>
        <v>0</v>
      </c>
      <c r="BO89" s="232">
        <f t="shared" si="33"/>
        <v>0</v>
      </c>
      <c r="BP89" s="232">
        <f t="shared" si="33"/>
        <v>0</v>
      </c>
      <c r="BQ89" s="232">
        <f t="shared" si="33"/>
        <v>0</v>
      </c>
      <c r="BR89" s="232">
        <f t="shared" si="33"/>
        <v>0</v>
      </c>
      <c r="BS89" s="232">
        <f t="shared" si="33"/>
        <v>0</v>
      </c>
      <c r="BT89" s="232">
        <f t="shared" si="33"/>
        <v>0</v>
      </c>
      <c r="BU89" s="232">
        <f t="shared" si="33"/>
        <v>0</v>
      </c>
      <c r="BV89" s="232">
        <f t="shared" si="33"/>
        <v>0</v>
      </c>
      <c r="BW89" s="232">
        <f t="shared" si="33"/>
        <v>0</v>
      </c>
      <c r="BX89" s="232">
        <f t="shared" si="33"/>
        <v>0</v>
      </c>
      <c r="BY89" s="232">
        <f t="shared" si="33"/>
        <v>0</v>
      </c>
      <c r="BZ89" s="232">
        <f t="shared" si="33"/>
        <v>0</v>
      </c>
      <c r="CA89" s="232">
        <f t="shared" si="33"/>
        <v>0</v>
      </c>
      <c r="CB89" s="232">
        <f t="shared" si="33"/>
        <v>0</v>
      </c>
      <c r="CC89" s="232">
        <f t="shared" si="33"/>
        <v>0</v>
      </c>
      <c r="CD89" s="232">
        <f t="shared" si="33"/>
        <v>0</v>
      </c>
      <c r="CE89" s="232">
        <f t="shared" si="33"/>
        <v>0</v>
      </c>
      <c r="CF89" s="232">
        <f t="shared" ref="CF89:CV89" si="34" xml:space="preserve"> CF85 + SUM(CF87:CF88)</f>
        <v>0</v>
      </c>
      <c r="CG89" s="232">
        <f t="shared" si="34"/>
        <v>0</v>
      </c>
      <c r="CH89" s="232">
        <f t="shared" si="34"/>
        <v>0</v>
      </c>
      <c r="CI89" s="232">
        <f t="shared" si="34"/>
        <v>0</v>
      </c>
      <c r="CJ89" s="232">
        <f t="shared" si="34"/>
        <v>0</v>
      </c>
      <c r="CK89" s="232">
        <f t="shared" si="34"/>
        <v>0</v>
      </c>
      <c r="CL89" s="232">
        <f t="shared" si="34"/>
        <v>0</v>
      </c>
      <c r="CM89" s="232">
        <f t="shared" si="34"/>
        <v>0</v>
      </c>
      <c r="CN89" s="232">
        <f t="shared" si="34"/>
        <v>0</v>
      </c>
      <c r="CO89" s="232">
        <f t="shared" si="34"/>
        <v>0</v>
      </c>
      <c r="CP89" s="232">
        <f t="shared" si="34"/>
        <v>0</v>
      </c>
      <c r="CQ89" s="232">
        <f t="shared" si="34"/>
        <v>0</v>
      </c>
      <c r="CR89" s="232">
        <f t="shared" si="34"/>
        <v>0</v>
      </c>
      <c r="CS89" s="232">
        <f t="shared" si="34"/>
        <v>0</v>
      </c>
      <c r="CT89" s="232">
        <f t="shared" si="34"/>
        <v>0</v>
      </c>
      <c r="CU89" s="232">
        <f t="shared" si="34"/>
        <v>0</v>
      </c>
      <c r="CV89" s="232">
        <f t="shared" si="34"/>
        <v>0</v>
      </c>
    </row>
    <row r="90" spans="1:100" outlineLevel="1" x14ac:dyDescent="0.2">
      <c r="D90" s="209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  <c r="AG90" s="235"/>
      <c r="AH90" s="235"/>
      <c r="AI90" s="235"/>
      <c r="AJ90" s="235"/>
      <c r="AK90" s="235"/>
      <c r="AL90" s="235"/>
      <c r="AM90" s="235"/>
      <c r="AN90" s="235"/>
      <c r="AO90" s="235"/>
      <c r="AP90" s="235"/>
      <c r="AQ90" s="235"/>
      <c r="AR90" s="235"/>
      <c r="AS90" s="235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  <c r="BG90" s="235"/>
      <c r="BH90" s="235"/>
      <c r="BI90" s="235"/>
      <c r="BJ90" s="235"/>
      <c r="BK90" s="235"/>
      <c r="BL90" s="235"/>
      <c r="BM90" s="235"/>
      <c r="BN90" s="235"/>
      <c r="BO90" s="235"/>
      <c r="BP90" s="235"/>
      <c r="BQ90" s="235"/>
      <c r="BR90" s="235"/>
      <c r="BS90" s="235"/>
      <c r="BT90" s="235"/>
      <c r="BU90" s="235"/>
      <c r="BV90" s="235"/>
      <c r="BW90" s="235"/>
      <c r="BX90" s="235"/>
      <c r="BY90" s="235"/>
      <c r="BZ90" s="235"/>
      <c r="CA90" s="235"/>
      <c r="CB90" s="235"/>
      <c r="CC90" s="235"/>
      <c r="CD90" s="235"/>
      <c r="CE90" s="235"/>
      <c r="CF90" s="235"/>
      <c r="CG90" s="235"/>
      <c r="CH90" s="235"/>
      <c r="CI90" s="235"/>
      <c r="CJ90" s="235"/>
      <c r="CK90" s="235"/>
      <c r="CL90" s="235"/>
      <c r="CM90" s="235"/>
      <c r="CN90" s="235"/>
      <c r="CO90" s="235"/>
      <c r="CP90" s="235"/>
      <c r="CQ90" s="235"/>
      <c r="CR90" s="235"/>
      <c r="CS90" s="235"/>
      <c r="CT90" s="235"/>
      <c r="CU90" s="235"/>
      <c r="CV90" s="235"/>
    </row>
    <row r="91" spans="1:100" outlineLevel="1" x14ac:dyDescent="0.2">
      <c r="D91" s="209"/>
      <c r="E91" s="288" t="str">
        <f xml:space="preserve"> Equity!E$17</f>
        <v>Share capital redemption</v>
      </c>
      <c r="F91" s="288">
        <f xml:space="preserve"> Equity!F$17</f>
        <v>0</v>
      </c>
      <c r="G91" s="288" t="str">
        <f xml:space="preserve"> Equity!G$17</f>
        <v>$ 000s</v>
      </c>
      <c r="H91" s="288">
        <f xml:space="preserve"> Equity!H$17</f>
        <v>0</v>
      </c>
      <c r="I91" s="288">
        <f xml:space="preserve"> Equity!I$17</f>
        <v>0</v>
      </c>
      <c r="J91" s="288">
        <f xml:space="preserve"> Equity!J$17</f>
        <v>0</v>
      </c>
      <c r="K91" s="288">
        <f xml:space="preserve"> Equity!K$17</f>
        <v>0</v>
      </c>
      <c r="L91" s="288">
        <f xml:space="preserve"> Equity!L$17</f>
        <v>0</v>
      </c>
      <c r="M91" s="288">
        <f xml:space="preserve"> Equity!M$17</f>
        <v>0</v>
      </c>
      <c r="N91" s="288">
        <f xml:space="preserve"> Equity!N$17</f>
        <v>0</v>
      </c>
      <c r="O91" s="288">
        <f xml:space="preserve"> Equity!O$17</f>
        <v>0</v>
      </c>
      <c r="P91" s="288">
        <f xml:space="preserve"> Equity!P$17</f>
        <v>0</v>
      </c>
      <c r="Q91" s="288">
        <f xml:space="preserve"> Equity!Q$17</f>
        <v>0</v>
      </c>
      <c r="R91" s="288">
        <f xml:space="preserve"> Equity!R$17</f>
        <v>0</v>
      </c>
      <c r="S91" s="288">
        <f xml:space="preserve"> Equity!S$17</f>
        <v>0</v>
      </c>
      <c r="T91" s="288">
        <f xml:space="preserve"> Equity!T$17</f>
        <v>0</v>
      </c>
      <c r="U91" s="288">
        <f xml:space="preserve"> Equity!U$17</f>
        <v>0</v>
      </c>
      <c r="V91" s="288">
        <f xml:space="preserve"> Equity!V$17</f>
        <v>0</v>
      </c>
      <c r="W91" s="288">
        <f xml:space="preserve"> Equity!W$17</f>
        <v>0</v>
      </c>
      <c r="X91" s="288">
        <f xml:space="preserve"> Equity!X$17</f>
        <v>0</v>
      </c>
      <c r="Y91" s="288">
        <f xml:space="preserve"> Equity!Y$17</f>
        <v>0</v>
      </c>
      <c r="Z91" s="288">
        <f xml:space="preserve"> Equity!Z$17</f>
        <v>0</v>
      </c>
      <c r="AA91" s="288">
        <f xml:space="preserve"> Equity!AA$17</f>
        <v>0</v>
      </c>
      <c r="AB91" s="288">
        <f xml:space="preserve"> Equity!AB$17</f>
        <v>0</v>
      </c>
      <c r="AC91" s="288">
        <f xml:space="preserve"> Equity!AC$17</f>
        <v>0</v>
      </c>
      <c r="AD91" s="288">
        <f xml:space="preserve"> Equity!AD$17</f>
        <v>0</v>
      </c>
      <c r="AE91" s="288">
        <f xml:space="preserve"> Equity!AE$17</f>
        <v>0</v>
      </c>
      <c r="AF91" s="288">
        <f xml:space="preserve"> Equity!AF$17</f>
        <v>0</v>
      </c>
      <c r="AG91" s="288">
        <f xml:space="preserve"> Equity!AG$17</f>
        <v>0</v>
      </c>
      <c r="AH91" s="288">
        <f xml:space="preserve"> Equity!AH$17</f>
        <v>0</v>
      </c>
      <c r="AI91" s="288">
        <f xml:space="preserve"> Equity!AI$17</f>
        <v>0</v>
      </c>
      <c r="AJ91" s="288">
        <f xml:space="preserve"> Equity!AJ$17</f>
        <v>0</v>
      </c>
      <c r="AK91" s="288">
        <f xml:space="preserve"> Equity!AK$17</f>
        <v>0</v>
      </c>
      <c r="AL91" s="288">
        <f xml:space="preserve"> Equity!AL$17</f>
        <v>0</v>
      </c>
      <c r="AM91" s="288">
        <f xml:space="preserve"> Equity!AM$17</f>
        <v>0</v>
      </c>
      <c r="AN91" s="288">
        <f xml:space="preserve"> Equity!AN$17</f>
        <v>0</v>
      </c>
      <c r="AO91" s="288">
        <f xml:space="preserve"> Equity!AO$17</f>
        <v>0</v>
      </c>
      <c r="AP91" s="288">
        <f xml:space="preserve"> Equity!AP$17</f>
        <v>0</v>
      </c>
      <c r="AQ91" s="288">
        <f xml:space="preserve"> Equity!AQ$17</f>
        <v>0</v>
      </c>
      <c r="AR91" s="288">
        <f xml:space="preserve"> Equity!AR$17</f>
        <v>0</v>
      </c>
      <c r="AS91" s="288">
        <f xml:space="preserve"> Equity!AS$17</f>
        <v>0</v>
      </c>
      <c r="AT91" s="288">
        <f xml:space="preserve"> Equity!AT$17</f>
        <v>0</v>
      </c>
      <c r="AU91" s="288">
        <f xml:space="preserve"> Equity!AU$17</f>
        <v>0</v>
      </c>
      <c r="AV91" s="288">
        <f xml:space="preserve"> Equity!AV$17</f>
        <v>0</v>
      </c>
      <c r="AW91" s="288">
        <f xml:space="preserve"> Equity!AW$17</f>
        <v>0</v>
      </c>
      <c r="AX91" s="288">
        <f xml:space="preserve"> Equity!AX$17</f>
        <v>0</v>
      </c>
      <c r="AY91" s="288">
        <f xml:space="preserve"> Equity!AY$17</f>
        <v>0</v>
      </c>
      <c r="AZ91" s="288">
        <f xml:space="preserve"> Equity!AZ$17</f>
        <v>0</v>
      </c>
      <c r="BA91" s="288">
        <f xml:space="preserve"> Equity!BA$17</f>
        <v>0</v>
      </c>
      <c r="BB91" s="288">
        <f xml:space="preserve"> Equity!BB$17</f>
        <v>0</v>
      </c>
      <c r="BC91" s="288">
        <f xml:space="preserve"> Equity!BC$17</f>
        <v>0</v>
      </c>
      <c r="BD91" s="288">
        <f xml:space="preserve"> Equity!BD$17</f>
        <v>0</v>
      </c>
      <c r="BE91" s="288">
        <f xml:space="preserve"> Equity!BE$17</f>
        <v>0</v>
      </c>
      <c r="BF91" s="288">
        <f xml:space="preserve"> Equity!BF$17</f>
        <v>0</v>
      </c>
      <c r="BG91" s="288">
        <f xml:space="preserve"> Equity!BG$17</f>
        <v>0</v>
      </c>
      <c r="BH91" s="288">
        <f xml:space="preserve"> Equity!BH$17</f>
        <v>0</v>
      </c>
      <c r="BI91" s="288">
        <f xml:space="preserve"> Equity!BI$17</f>
        <v>0</v>
      </c>
      <c r="BJ91" s="288">
        <f xml:space="preserve"> Equity!BJ$17</f>
        <v>0</v>
      </c>
      <c r="BK91" s="288">
        <f xml:space="preserve"> Equity!BK$17</f>
        <v>0</v>
      </c>
      <c r="BL91" s="288">
        <f xml:space="preserve"> Equity!BL$17</f>
        <v>0</v>
      </c>
      <c r="BM91" s="288">
        <f xml:space="preserve"> Equity!BM$17</f>
        <v>0</v>
      </c>
      <c r="BN91" s="288">
        <f xml:space="preserve"> Equity!BN$17</f>
        <v>0</v>
      </c>
      <c r="BO91" s="288">
        <f xml:space="preserve"> Equity!BO$17</f>
        <v>0</v>
      </c>
      <c r="BP91" s="288">
        <f xml:space="preserve"> Equity!BP$17</f>
        <v>0</v>
      </c>
      <c r="BQ91" s="288">
        <f xml:space="preserve"> Equity!BQ$17</f>
        <v>0</v>
      </c>
      <c r="BR91" s="288">
        <f xml:space="preserve"> Equity!BR$17</f>
        <v>0</v>
      </c>
      <c r="BS91" s="288">
        <f xml:space="preserve"> Equity!BS$17</f>
        <v>0</v>
      </c>
      <c r="BT91" s="288">
        <f xml:space="preserve"> Equity!BT$17</f>
        <v>0</v>
      </c>
      <c r="BU91" s="288">
        <f xml:space="preserve"> Equity!BU$17</f>
        <v>0</v>
      </c>
      <c r="BV91" s="288">
        <f xml:space="preserve"> Equity!BV$17</f>
        <v>0</v>
      </c>
      <c r="BW91" s="288">
        <f xml:space="preserve"> Equity!BW$17</f>
        <v>0</v>
      </c>
      <c r="BX91" s="288">
        <f xml:space="preserve"> Equity!BX$17</f>
        <v>0</v>
      </c>
      <c r="BY91" s="288">
        <f xml:space="preserve"> Equity!BY$17</f>
        <v>0</v>
      </c>
      <c r="BZ91" s="288">
        <f xml:space="preserve"> Equity!BZ$17</f>
        <v>0</v>
      </c>
      <c r="CA91" s="288">
        <f xml:space="preserve"> Equity!CA$17</f>
        <v>0</v>
      </c>
      <c r="CB91" s="288">
        <f xml:space="preserve"> Equity!CB$17</f>
        <v>0</v>
      </c>
      <c r="CC91" s="288">
        <f xml:space="preserve"> Equity!CC$17</f>
        <v>0</v>
      </c>
      <c r="CD91" s="288">
        <f xml:space="preserve"> Equity!CD$17</f>
        <v>0</v>
      </c>
      <c r="CE91" s="288">
        <f xml:space="preserve"> Equity!CE$17</f>
        <v>0</v>
      </c>
      <c r="CF91" s="288">
        <f xml:space="preserve"> Equity!CF$17</f>
        <v>0</v>
      </c>
      <c r="CG91" s="288">
        <f xml:space="preserve"> Equity!CG$17</f>
        <v>0</v>
      </c>
      <c r="CH91" s="288">
        <f xml:space="preserve"> Equity!CH$17</f>
        <v>0</v>
      </c>
      <c r="CI91" s="288">
        <f xml:space="preserve"> Equity!CI$17</f>
        <v>0</v>
      </c>
      <c r="CJ91" s="288">
        <f xml:space="preserve"> Equity!CJ$17</f>
        <v>0</v>
      </c>
      <c r="CK91" s="288">
        <f xml:space="preserve"> Equity!CK$17</f>
        <v>0</v>
      </c>
      <c r="CL91" s="288">
        <f xml:space="preserve"> Equity!CL$17</f>
        <v>0</v>
      </c>
      <c r="CM91" s="288">
        <f xml:space="preserve"> Equity!CM$17</f>
        <v>0</v>
      </c>
      <c r="CN91" s="288">
        <f xml:space="preserve"> Equity!CN$17</f>
        <v>0</v>
      </c>
      <c r="CO91" s="288">
        <f xml:space="preserve"> Equity!CO$17</f>
        <v>0</v>
      </c>
      <c r="CP91" s="288">
        <f xml:space="preserve"> Equity!CP$17</f>
        <v>0</v>
      </c>
      <c r="CQ91" s="288">
        <f xml:space="preserve"> Equity!CQ$17</f>
        <v>0</v>
      </c>
      <c r="CR91" s="288">
        <f xml:space="preserve"> Equity!CR$17</f>
        <v>0</v>
      </c>
      <c r="CS91" s="288">
        <f xml:space="preserve"> Equity!CS$17</f>
        <v>0</v>
      </c>
      <c r="CT91" s="288">
        <f xml:space="preserve"> Equity!CT$17</f>
        <v>0</v>
      </c>
      <c r="CU91" s="288">
        <f xml:space="preserve"> Equity!CU$17</f>
        <v>0</v>
      </c>
      <c r="CV91" s="288">
        <f xml:space="preserve"> Equity!CV$17</f>
        <v>0</v>
      </c>
    </row>
    <row r="92" spans="1:100" outlineLevel="1" x14ac:dyDescent="0.2">
      <c r="D92" s="209"/>
      <c r="E92" s="288" t="str">
        <f xml:space="preserve"> Equity!E$35</f>
        <v>Standby equity redemption</v>
      </c>
      <c r="F92" s="288">
        <f xml:space="preserve"> Equity!F$35</f>
        <v>0</v>
      </c>
      <c r="G92" s="288" t="str">
        <f xml:space="preserve"> Equity!G$35</f>
        <v>$ 000s</v>
      </c>
      <c r="H92" s="288">
        <f xml:space="preserve"> Equity!H$35</f>
        <v>0</v>
      </c>
      <c r="I92" s="288">
        <f xml:space="preserve"> Equity!I$35</f>
        <v>0</v>
      </c>
      <c r="J92" s="288">
        <f xml:space="preserve"> Equity!J$35</f>
        <v>0</v>
      </c>
      <c r="K92" s="288">
        <f xml:space="preserve"> Equity!K$35</f>
        <v>0</v>
      </c>
      <c r="L92" s="288">
        <f xml:space="preserve"> Equity!L$35</f>
        <v>0</v>
      </c>
      <c r="M92" s="288">
        <f xml:space="preserve"> Equity!M$35</f>
        <v>0</v>
      </c>
      <c r="N92" s="288">
        <f xml:space="preserve"> Equity!N$35</f>
        <v>0</v>
      </c>
      <c r="O92" s="288">
        <f xml:space="preserve"> Equity!O$35</f>
        <v>0</v>
      </c>
      <c r="P92" s="288">
        <f xml:space="preserve"> Equity!P$35</f>
        <v>0</v>
      </c>
      <c r="Q92" s="288">
        <f xml:space="preserve"> Equity!Q$35</f>
        <v>0</v>
      </c>
      <c r="R92" s="288">
        <f xml:space="preserve"> Equity!R$35</f>
        <v>0</v>
      </c>
      <c r="S92" s="288">
        <f xml:space="preserve"> Equity!S$35</f>
        <v>0</v>
      </c>
      <c r="T92" s="288">
        <f xml:space="preserve"> Equity!T$35</f>
        <v>0</v>
      </c>
      <c r="U92" s="288">
        <f xml:space="preserve"> Equity!U$35</f>
        <v>0</v>
      </c>
      <c r="V92" s="288">
        <f xml:space="preserve"> Equity!V$35</f>
        <v>0</v>
      </c>
      <c r="W92" s="288">
        <f xml:space="preserve"> Equity!W$35</f>
        <v>0</v>
      </c>
      <c r="X92" s="288">
        <f xml:space="preserve"> Equity!X$35</f>
        <v>0</v>
      </c>
      <c r="Y92" s="288">
        <f xml:space="preserve"> Equity!Y$35</f>
        <v>0</v>
      </c>
      <c r="Z92" s="288">
        <f xml:space="preserve"> Equity!Z$35</f>
        <v>0</v>
      </c>
      <c r="AA92" s="288">
        <f xml:space="preserve"> Equity!AA$35</f>
        <v>0</v>
      </c>
      <c r="AB92" s="288">
        <f xml:space="preserve"> Equity!AB$35</f>
        <v>0</v>
      </c>
      <c r="AC92" s="288">
        <f xml:space="preserve"> Equity!AC$35</f>
        <v>0</v>
      </c>
      <c r="AD92" s="288">
        <f xml:space="preserve"> Equity!AD$35</f>
        <v>0</v>
      </c>
      <c r="AE92" s="288">
        <f xml:space="preserve"> Equity!AE$35</f>
        <v>0</v>
      </c>
      <c r="AF92" s="288">
        <f xml:space="preserve"> Equity!AF$35</f>
        <v>0</v>
      </c>
      <c r="AG92" s="288">
        <f xml:space="preserve"> Equity!AG$35</f>
        <v>0</v>
      </c>
      <c r="AH92" s="288">
        <f xml:space="preserve"> Equity!AH$35</f>
        <v>0</v>
      </c>
      <c r="AI92" s="288">
        <f xml:space="preserve"> Equity!AI$35</f>
        <v>0</v>
      </c>
      <c r="AJ92" s="288">
        <f xml:space="preserve"> Equity!AJ$35</f>
        <v>0</v>
      </c>
      <c r="AK92" s="288">
        <f xml:space="preserve"> Equity!AK$35</f>
        <v>0</v>
      </c>
      <c r="AL92" s="288">
        <f xml:space="preserve"> Equity!AL$35</f>
        <v>0</v>
      </c>
      <c r="AM92" s="288">
        <f xml:space="preserve"> Equity!AM$35</f>
        <v>0</v>
      </c>
      <c r="AN92" s="288">
        <f xml:space="preserve"> Equity!AN$35</f>
        <v>0</v>
      </c>
      <c r="AO92" s="288">
        <f xml:space="preserve"> Equity!AO$35</f>
        <v>0</v>
      </c>
      <c r="AP92" s="288">
        <f xml:space="preserve"> Equity!AP$35</f>
        <v>0</v>
      </c>
      <c r="AQ92" s="288">
        <f xml:space="preserve"> Equity!AQ$35</f>
        <v>0</v>
      </c>
      <c r="AR92" s="288">
        <f xml:space="preserve"> Equity!AR$35</f>
        <v>0</v>
      </c>
      <c r="AS92" s="288">
        <f xml:space="preserve"> Equity!AS$35</f>
        <v>0</v>
      </c>
      <c r="AT92" s="288">
        <f xml:space="preserve"> Equity!AT$35</f>
        <v>0</v>
      </c>
      <c r="AU92" s="288">
        <f xml:space="preserve"> Equity!AU$35</f>
        <v>0</v>
      </c>
      <c r="AV92" s="288">
        <f xml:space="preserve"> Equity!AV$35</f>
        <v>0</v>
      </c>
      <c r="AW92" s="288">
        <f xml:space="preserve"> Equity!AW$35</f>
        <v>0</v>
      </c>
      <c r="AX92" s="288">
        <f xml:space="preserve"> Equity!AX$35</f>
        <v>0</v>
      </c>
      <c r="AY92" s="288">
        <f xml:space="preserve"> Equity!AY$35</f>
        <v>0</v>
      </c>
      <c r="AZ92" s="288">
        <f xml:space="preserve"> Equity!AZ$35</f>
        <v>0</v>
      </c>
      <c r="BA92" s="288">
        <f xml:space="preserve"> Equity!BA$35</f>
        <v>0</v>
      </c>
      <c r="BB92" s="288">
        <f xml:space="preserve"> Equity!BB$35</f>
        <v>0</v>
      </c>
      <c r="BC92" s="288">
        <f xml:space="preserve"> Equity!BC$35</f>
        <v>0</v>
      </c>
      <c r="BD92" s="288">
        <f xml:space="preserve"> Equity!BD$35</f>
        <v>0</v>
      </c>
      <c r="BE92" s="288">
        <f xml:space="preserve"> Equity!BE$35</f>
        <v>0</v>
      </c>
      <c r="BF92" s="288">
        <f xml:space="preserve"> Equity!BF$35</f>
        <v>0</v>
      </c>
      <c r="BG92" s="288">
        <f xml:space="preserve"> Equity!BG$35</f>
        <v>0</v>
      </c>
      <c r="BH92" s="288">
        <f xml:space="preserve"> Equity!BH$35</f>
        <v>0</v>
      </c>
      <c r="BI92" s="288">
        <f xml:space="preserve"> Equity!BI$35</f>
        <v>0</v>
      </c>
      <c r="BJ92" s="288">
        <f xml:space="preserve"> Equity!BJ$35</f>
        <v>0</v>
      </c>
      <c r="BK92" s="288">
        <f xml:space="preserve"> Equity!BK$35</f>
        <v>0</v>
      </c>
      <c r="BL92" s="288">
        <f xml:space="preserve"> Equity!BL$35</f>
        <v>0</v>
      </c>
      <c r="BM92" s="288">
        <f xml:space="preserve"> Equity!BM$35</f>
        <v>0</v>
      </c>
      <c r="BN92" s="288">
        <f xml:space="preserve"> Equity!BN$35</f>
        <v>0</v>
      </c>
      <c r="BO92" s="288">
        <f xml:space="preserve"> Equity!BO$35</f>
        <v>0</v>
      </c>
      <c r="BP92" s="288">
        <f xml:space="preserve"> Equity!BP$35</f>
        <v>0</v>
      </c>
      <c r="BQ92" s="288">
        <f xml:space="preserve"> Equity!BQ$35</f>
        <v>0</v>
      </c>
      <c r="BR92" s="288">
        <f xml:space="preserve"> Equity!BR$35</f>
        <v>0</v>
      </c>
      <c r="BS92" s="288">
        <f xml:space="preserve"> Equity!BS$35</f>
        <v>0</v>
      </c>
      <c r="BT92" s="288">
        <f xml:space="preserve"> Equity!BT$35</f>
        <v>0</v>
      </c>
      <c r="BU92" s="288">
        <f xml:space="preserve"> Equity!BU$35</f>
        <v>0</v>
      </c>
      <c r="BV92" s="288">
        <f xml:space="preserve"> Equity!BV$35</f>
        <v>0</v>
      </c>
      <c r="BW92" s="288">
        <f xml:space="preserve"> Equity!BW$35</f>
        <v>0</v>
      </c>
      <c r="BX92" s="288">
        <f xml:space="preserve"> Equity!BX$35</f>
        <v>0</v>
      </c>
      <c r="BY92" s="288">
        <f xml:space="preserve"> Equity!BY$35</f>
        <v>0</v>
      </c>
      <c r="BZ92" s="288">
        <f xml:space="preserve"> Equity!BZ$35</f>
        <v>0</v>
      </c>
      <c r="CA92" s="288">
        <f xml:space="preserve"> Equity!CA$35</f>
        <v>0</v>
      </c>
      <c r="CB92" s="288">
        <f xml:space="preserve"> Equity!CB$35</f>
        <v>0</v>
      </c>
      <c r="CC92" s="288">
        <f xml:space="preserve"> Equity!CC$35</f>
        <v>0</v>
      </c>
      <c r="CD92" s="288">
        <f xml:space="preserve"> Equity!CD$35</f>
        <v>0</v>
      </c>
      <c r="CE92" s="288">
        <f xml:space="preserve"> Equity!CE$35</f>
        <v>0</v>
      </c>
      <c r="CF92" s="288">
        <f xml:space="preserve"> Equity!CF$35</f>
        <v>0</v>
      </c>
      <c r="CG92" s="288">
        <f xml:space="preserve"> Equity!CG$35</f>
        <v>0</v>
      </c>
      <c r="CH92" s="288">
        <f xml:space="preserve"> Equity!CH$35</f>
        <v>0</v>
      </c>
      <c r="CI92" s="288">
        <f xml:space="preserve"> Equity!CI$35</f>
        <v>0</v>
      </c>
      <c r="CJ92" s="288">
        <f xml:space="preserve"> Equity!CJ$35</f>
        <v>0</v>
      </c>
      <c r="CK92" s="288">
        <f xml:space="preserve"> Equity!CK$35</f>
        <v>0</v>
      </c>
      <c r="CL92" s="288">
        <f xml:space="preserve"> Equity!CL$35</f>
        <v>0</v>
      </c>
      <c r="CM92" s="288">
        <f xml:space="preserve"> Equity!CM$35</f>
        <v>0</v>
      </c>
      <c r="CN92" s="288">
        <f xml:space="preserve"> Equity!CN$35</f>
        <v>0</v>
      </c>
      <c r="CO92" s="288">
        <f xml:space="preserve"> Equity!CO$35</f>
        <v>0</v>
      </c>
      <c r="CP92" s="288">
        <f xml:space="preserve"> Equity!CP$35</f>
        <v>0</v>
      </c>
      <c r="CQ92" s="288">
        <f xml:space="preserve"> Equity!CQ$35</f>
        <v>0</v>
      </c>
      <c r="CR92" s="288">
        <f xml:space="preserve"> Equity!CR$35</f>
        <v>0</v>
      </c>
      <c r="CS92" s="288">
        <f xml:space="preserve"> Equity!CS$35</f>
        <v>0</v>
      </c>
      <c r="CT92" s="288">
        <f xml:space="preserve"> Equity!CT$35</f>
        <v>0</v>
      </c>
      <c r="CU92" s="288">
        <f xml:space="preserve"> Equity!CU$35</f>
        <v>0</v>
      </c>
      <c r="CV92" s="288">
        <f xml:space="preserve"> Equity!CV$35</f>
        <v>0</v>
      </c>
    </row>
    <row r="93" spans="1:100" outlineLevel="1" x14ac:dyDescent="0.2">
      <c r="D93" s="209"/>
      <c r="E93" s="232" t="s">
        <v>55</v>
      </c>
      <c r="F93" s="232"/>
      <c r="G93" s="232" t="str">
        <f>SMU</f>
        <v>$ 000s</v>
      </c>
      <c r="H93" s="232">
        <f xml:space="preserve"> SUM(J93:CV93)</f>
        <v>0</v>
      </c>
      <c r="I93" s="232"/>
      <c r="J93" s="232">
        <f t="shared" ref="J93:AO93" si="35" xml:space="preserve"> J89 + SUM(J91:J92)</f>
        <v>-1.5558398445136845E-6</v>
      </c>
      <c r="K93" s="232">
        <f t="shared" si="35"/>
        <v>-1.2466658517951146E-5</v>
      </c>
      <c r="L93" s="232">
        <f t="shared" si="35"/>
        <v>-1.6754362150095403E-5</v>
      </c>
      <c r="M93" s="232">
        <f t="shared" si="35"/>
        <v>-1.9422688637860119E-5</v>
      </c>
      <c r="N93" s="232">
        <f t="shared" si="35"/>
        <v>-3.9676149608567357E-3</v>
      </c>
      <c r="O93" s="232">
        <f t="shared" si="35"/>
        <v>4.0178145100071561E-3</v>
      </c>
      <c r="P93" s="232">
        <f t="shared" si="35"/>
        <v>0</v>
      </c>
      <c r="Q93" s="232">
        <f t="shared" si="35"/>
        <v>0</v>
      </c>
      <c r="R93" s="232">
        <f t="shared" si="35"/>
        <v>0</v>
      </c>
      <c r="S93" s="232">
        <f t="shared" si="35"/>
        <v>0</v>
      </c>
      <c r="T93" s="232">
        <f t="shared" si="35"/>
        <v>0</v>
      </c>
      <c r="U93" s="232">
        <f t="shared" si="35"/>
        <v>0</v>
      </c>
      <c r="V93" s="232">
        <f t="shared" si="35"/>
        <v>0</v>
      </c>
      <c r="W93" s="232">
        <f t="shared" si="35"/>
        <v>0</v>
      </c>
      <c r="X93" s="232">
        <f t="shared" si="35"/>
        <v>0</v>
      </c>
      <c r="Y93" s="232">
        <f t="shared" si="35"/>
        <v>0</v>
      </c>
      <c r="Z93" s="232">
        <f t="shared" si="35"/>
        <v>0</v>
      </c>
      <c r="AA93" s="232">
        <f t="shared" si="35"/>
        <v>0</v>
      </c>
      <c r="AB93" s="232">
        <f t="shared" si="35"/>
        <v>0</v>
      </c>
      <c r="AC93" s="232">
        <f t="shared" si="35"/>
        <v>0</v>
      </c>
      <c r="AD93" s="232">
        <f t="shared" si="35"/>
        <v>0</v>
      </c>
      <c r="AE93" s="232">
        <f t="shared" si="35"/>
        <v>0</v>
      </c>
      <c r="AF93" s="232">
        <f t="shared" si="35"/>
        <v>0</v>
      </c>
      <c r="AG93" s="232">
        <f t="shared" si="35"/>
        <v>0</v>
      </c>
      <c r="AH93" s="232">
        <f t="shared" si="35"/>
        <v>0</v>
      </c>
      <c r="AI93" s="232">
        <f t="shared" si="35"/>
        <v>0</v>
      </c>
      <c r="AJ93" s="232">
        <f t="shared" si="35"/>
        <v>0</v>
      </c>
      <c r="AK93" s="232">
        <f t="shared" si="35"/>
        <v>0</v>
      </c>
      <c r="AL93" s="232">
        <f t="shared" si="35"/>
        <v>0</v>
      </c>
      <c r="AM93" s="232">
        <f t="shared" si="35"/>
        <v>0</v>
      </c>
      <c r="AN93" s="232">
        <f t="shared" si="35"/>
        <v>0</v>
      </c>
      <c r="AO93" s="232">
        <f t="shared" si="35"/>
        <v>0</v>
      </c>
      <c r="AP93" s="232">
        <f t="shared" ref="AP93:BU93" si="36" xml:space="preserve"> AP89 + SUM(AP91:AP92)</f>
        <v>0</v>
      </c>
      <c r="AQ93" s="232">
        <f t="shared" si="36"/>
        <v>0</v>
      </c>
      <c r="AR93" s="232">
        <f t="shared" si="36"/>
        <v>0</v>
      </c>
      <c r="AS93" s="232">
        <f t="shared" si="36"/>
        <v>0</v>
      </c>
      <c r="AT93" s="232">
        <f t="shared" si="36"/>
        <v>0</v>
      </c>
      <c r="AU93" s="232">
        <f t="shared" si="36"/>
        <v>0</v>
      </c>
      <c r="AV93" s="232">
        <f t="shared" si="36"/>
        <v>0</v>
      </c>
      <c r="AW93" s="232">
        <f t="shared" si="36"/>
        <v>0</v>
      </c>
      <c r="AX93" s="232">
        <f t="shared" si="36"/>
        <v>0</v>
      </c>
      <c r="AY93" s="232">
        <f t="shared" si="36"/>
        <v>0</v>
      </c>
      <c r="AZ93" s="232">
        <f t="shared" si="36"/>
        <v>0</v>
      </c>
      <c r="BA93" s="232">
        <f t="shared" si="36"/>
        <v>0</v>
      </c>
      <c r="BB93" s="232">
        <f t="shared" si="36"/>
        <v>0</v>
      </c>
      <c r="BC93" s="232">
        <f t="shared" si="36"/>
        <v>0</v>
      </c>
      <c r="BD93" s="232">
        <f t="shared" si="36"/>
        <v>0</v>
      </c>
      <c r="BE93" s="232">
        <f t="shared" si="36"/>
        <v>0</v>
      </c>
      <c r="BF93" s="232">
        <f t="shared" si="36"/>
        <v>0</v>
      </c>
      <c r="BG93" s="232">
        <f t="shared" si="36"/>
        <v>0</v>
      </c>
      <c r="BH93" s="232">
        <f t="shared" si="36"/>
        <v>0</v>
      </c>
      <c r="BI93" s="232">
        <f t="shared" si="36"/>
        <v>0</v>
      </c>
      <c r="BJ93" s="232">
        <f t="shared" si="36"/>
        <v>0</v>
      </c>
      <c r="BK93" s="232">
        <f t="shared" si="36"/>
        <v>0</v>
      </c>
      <c r="BL93" s="232">
        <f t="shared" si="36"/>
        <v>0</v>
      </c>
      <c r="BM93" s="232">
        <f t="shared" si="36"/>
        <v>0</v>
      </c>
      <c r="BN93" s="232">
        <f t="shared" si="36"/>
        <v>0</v>
      </c>
      <c r="BO93" s="232">
        <f t="shared" si="36"/>
        <v>0</v>
      </c>
      <c r="BP93" s="232">
        <f t="shared" si="36"/>
        <v>0</v>
      </c>
      <c r="BQ93" s="232">
        <f t="shared" si="36"/>
        <v>0</v>
      </c>
      <c r="BR93" s="232">
        <f t="shared" si="36"/>
        <v>0</v>
      </c>
      <c r="BS93" s="232">
        <f t="shared" si="36"/>
        <v>0</v>
      </c>
      <c r="BT93" s="232">
        <f t="shared" si="36"/>
        <v>0</v>
      </c>
      <c r="BU93" s="232">
        <f t="shared" si="36"/>
        <v>0</v>
      </c>
      <c r="BV93" s="232">
        <f t="shared" ref="BV93:CV93" si="37" xml:space="preserve"> BV89 + SUM(BV91:BV92)</f>
        <v>0</v>
      </c>
      <c r="BW93" s="232">
        <f t="shared" si="37"/>
        <v>0</v>
      </c>
      <c r="BX93" s="232">
        <f t="shared" si="37"/>
        <v>0</v>
      </c>
      <c r="BY93" s="232">
        <f t="shared" si="37"/>
        <v>0</v>
      </c>
      <c r="BZ93" s="232">
        <f t="shared" si="37"/>
        <v>0</v>
      </c>
      <c r="CA93" s="232">
        <f t="shared" si="37"/>
        <v>0</v>
      </c>
      <c r="CB93" s="232">
        <f t="shared" si="37"/>
        <v>0</v>
      </c>
      <c r="CC93" s="232">
        <f t="shared" si="37"/>
        <v>0</v>
      </c>
      <c r="CD93" s="232">
        <f t="shared" si="37"/>
        <v>0</v>
      </c>
      <c r="CE93" s="232">
        <f t="shared" si="37"/>
        <v>0</v>
      </c>
      <c r="CF93" s="232">
        <f t="shared" si="37"/>
        <v>0</v>
      </c>
      <c r="CG93" s="232">
        <f t="shared" si="37"/>
        <v>0</v>
      </c>
      <c r="CH93" s="232">
        <f t="shared" si="37"/>
        <v>0</v>
      </c>
      <c r="CI93" s="232">
        <f t="shared" si="37"/>
        <v>0</v>
      </c>
      <c r="CJ93" s="232">
        <f t="shared" si="37"/>
        <v>0</v>
      </c>
      <c r="CK93" s="232">
        <f t="shared" si="37"/>
        <v>0</v>
      </c>
      <c r="CL93" s="232">
        <f t="shared" si="37"/>
        <v>0</v>
      </c>
      <c r="CM93" s="232">
        <f t="shared" si="37"/>
        <v>0</v>
      </c>
      <c r="CN93" s="232">
        <f t="shared" si="37"/>
        <v>0</v>
      </c>
      <c r="CO93" s="232">
        <f t="shared" si="37"/>
        <v>0</v>
      </c>
      <c r="CP93" s="232">
        <f t="shared" si="37"/>
        <v>0</v>
      </c>
      <c r="CQ93" s="232">
        <f t="shared" si="37"/>
        <v>0</v>
      </c>
      <c r="CR93" s="232">
        <f t="shared" si="37"/>
        <v>0</v>
      </c>
      <c r="CS93" s="232">
        <f t="shared" si="37"/>
        <v>0</v>
      </c>
      <c r="CT93" s="232">
        <f t="shared" si="37"/>
        <v>0</v>
      </c>
      <c r="CU93" s="232">
        <f t="shared" si="37"/>
        <v>0</v>
      </c>
      <c r="CV93" s="232">
        <f t="shared" si="37"/>
        <v>0</v>
      </c>
    </row>
    <row r="94" spans="1:100" outlineLevel="1" x14ac:dyDescent="0.2">
      <c r="D94" s="209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5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  <c r="BG94" s="235"/>
      <c r="BH94" s="235"/>
      <c r="BI94" s="235"/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5"/>
      <c r="BW94" s="235"/>
      <c r="BX94" s="235"/>
      <c r="BY94" s="235"/>
      <c r="BZ94" s="235"/>
      <c r="CA94" s="235"/>
      <c r="CB94" s="235"/>
      <c r="CC94" s="235"/>
      <c r="CD94" s="235"/>
      <c r="CE94" s="235"/>
      <c r="CF94" s="235"/>
      <c r="CG94" s="235"/>
      <c r="CH94" s="235"/>
      <c r="CI94" s="235"/>
      <c r="CJ94" s="235"/>
      <c r="CK94" s="235"/>
      <c r="CL94" s="235"/>
      <c r="CM94" s="235"/>
      <c r="CN94" s="235"/>
      <c r="CO94" s="235"/>
      <c r="CP94" s="235"/>
      <c r="CQ94" s="235"/>
      <c r="CR94" s="235"/>
      <c r="CS94" s="235"/>
      <c r="CT94" s="235"/>
      <c r="CU94" s="235"/>
      <c r="CV94" s="235"/>
    </row>
    <row r="95" spans="1:100" outlineLevel="1" x14ac:dyDescent="0.2">
      <c r="D95" s="209"/>
      <c r="E95" s="288" t="str">
        <f xml:space="preserve"> Equity!E$81</f>
        <v>Dividends paid</v>
      </c>
      <c r="F95" s="288">
        <f xml:space="preserve"> Equity!F$81</f>
        <v>0</v>
      </c>
      <c r="G95" s="288" t="str">
        <f xml:space="preserve"> Equity!G$81</f>
        <v>$ 000s</v>
      </c>
      <c r="H95" s="288">
        <f xml:space="preserve"> Equity!H$81</f>
        <v>0</v>
      </c>
      <c r="I95" s="288">
        <f xml:space="preserve"> Equity!I$81</f>
        <v>0</v>
      </c>
      <c r="J95" s="288">
        <f xml:space="preserve"> Equity!J$81</f>
        <v>0</v>
      </c>
      <c r="K95" s="288">
        <f xml:space="preserve"> Equity!K$81</f>
        <v>0</v>
      </c>
      <c r="L95" s="288">
        <f xml:space="preserve"> Equity!L$81</f>
        <v>0</v>
      </c>
      <c r="M95" s="288">
        <f xml:space="preserve"> Equity!M$81</f>
        <v>0</v>
      </c>
      <c r="N95" s="288">
        <f xml:space="preserve"> Equity!N$81</f>
        <v>0</v>
      </c>
      <c r="O95" s="288">
        <f xml:space="preserve"> Equity!O$81</f>
        <v>0</v>
      </c>
      <c r="P95" s="288">
        <f xml:space="preserve"> Equity!P$81</f>
        <v>0</v>
      </c>
      <c r="Q95" s="288">
        <f xml:space="preserve"> Equity!Q$81</f>
        <v>0</v>
      </c>
      <c r="R95" s="288">
        <f xml:space="preserve"> Equity!R$81</f>
        <v>0</v>
      </c>
      <c r="S95" s="288">
        <f xml:space="preserve"> Equity!S$81</f>
        <v>0</v>
      </c>
      <c r="T95" s="288">
        <f xml:space="preserve"> Equity!T$81</f>
        <v>0</v>
      </c>
      <c r="U95" s="288">
        <f xml:space="preserve"> Equity!U$81</f>
        <v>0</v>
      </c>
      <c r="V95" s="288">
        <f xml:space="preserve"> Equity!V$81</f>
        <v>0</v>
      </c>
      <c r="W95" s="288">
        <f xml:space="preserve"> Equity!W$81</f>
        <v>0</v>
      </c>
      <c r="X95" s="288">
        <f xml:space="preserve"> Equity!X$81</f>
        <v>0</v>
      </c>
      <c r="Y95" s="288">
        <f xml:space="preserve"> Equity!Y$81</f>
        <v>0</v>
      </c>
      <c r="Z95" s="288">
        <f xml:space="preserve"> Equity!Z$81</f>
        <v>0</v>
      </c>
      <c r="AA95" s="288">
        <f xml:space="preserve"> Equity!AA$81</f>
        <v>0</v>
      </c>
      <c r="AB95" s="288">
        <f xml:space="preserve"> Equity!AB$81</f>
        <v>0</v>
      </c>
      <c r="AC95" s="288">
        <f xml:space="preserve"> Equity!AC$81</f>
        <v>0</v>
      </c>
      <c r="AD95" s="288">
        <f xml:space="preserve"> Equity!AD$81</f>
        <v>0</v>
      </c>
      <c r="AE95" s="288">
        <f xml:space="preserve"> Equity!AE$81</f>
        <v>0</v>
      </c>
      <c r="AF95" s="288">
        <f xml:space="preserve"> Equity!AF$81</f>
        <v>0</v>
      </c>
      <c r="AG95" s="288">
        <f xml:space="preserve"> Equity!AG$81</f>
        <v>0</v>
      </c>
      <c r="AH95" s="288">
        <f xml:space="preserve"> Equity!AH$81</f>
        <v>0</v>
      </c>
      <c r="AI95" s="288">
        <f xml:space="preserve"> Equity!AI$81</f>
        <v>0</v>
      </c>
      <c r="AJ95" s="288">
        <f xml:space="preserve"> Equity!AJ$81</f>
        <v>0</v>
      </c>
      <c r="AK95" s="288">
        <f xml:space="preserve"> Equity!AK$81</f>
        <v>0</v>
      </c>
      <c r="AL95" s="288">
        <f xml:space="preserve"> Equity!AL$81</f>
        <v>0</v>
      </c>
      <c r="AM95" s="288">
        <f xml:space="preserve"> Equity!AM$81</f>
        <v>0</v>
      </c>
      <c r="AN95" s="288">
        <f xml:space="preserve"> Equity!AN$81</f>
        <v>0</v>
      </c>
      <c r="AO95" s="288">
        <f xml:space="preserve"> Equity!AO$81</f>
        <v>0</v>
      </c>
      <c r="AP95" s="288">
        <f xml:space="preserve"> Equity!AP$81</f>
        <v>0</v>
      </c>
      <c r="AQ95" s="288">
        <f xml:space="preserve"> Equity!AQ$81</f>
        <v>0</v>
      </c>
      <c r="AR95" s="288">
        <f xml:space="preserve"> Equity!AR$81</f>
        <v>0</v>
      </c>
      <c r="AS95" s="288">
        <f xml:space="preserve"> Equity!AS$81</f>
        <v>0</v>
      </c>
      <c r="AT95" s="288">
        <f xml:space="preserve"> Equity!AT$81</f>
        <v>0</v>
      </c>
      <c r="AU95" s="288">
        <f xml:space="preserve"> Equity!AU$81</f>
        <v>0</v>
      </c>
      <c r="AV95" s="288">
        <f xml:space="preserve"> Equity!AV$81</f>
        <v>0</v>
      </c>
      <c r="AW95" s="288">
        <f xml:space="preserve"> Equity!AW$81</f>
        <v>0</v>
      </c>
      <c r="AX95" s="288">
        <f xml:space="preserve"> Equity!AX$81</f>
        <v>0</v>
      </c>
      <c r="AY95" s="288">
        <f xml:space="preserve"> Equity!AY$81</f>
        <v>0</v>
      </c>
      <c r="AZ95" s="288">
        <f xml:space="preserve"> Equity!AZ$81</f>
        <v>0</v>
      </c>
      <c r="BA95" s="288">
        <f xml:space="preserve"> Equity!BA$81</f>
        <v>0</v>
      </c>
      <c r="BB95" s="288">
        <f xml:space="preserve"> Equity!BB$81</f>
        <v>0</v>
      </c>
      <c r="BC95" s="288">
        <f xml:space="preserve"> Equity!BC$81</f>
        <v>0</v>
      </c>
      <c r="BD95" s="288">
        <f xml:space="preserve"> Equity!BD$81</f>
        <v>0</v>
      </c>
      <c r="BE95" s="288">
        <f xml:space="preserve"> Equity!BE$81</f>
        <v>0</v>
      </c>
      <c r="BF95" s="288">
        <f xml:space="preserve"> Equity!BF$81</f>
        <v>0</v>
      </c>
      <c r="BG95" s="288">
        <f xml:space="preserve"> Equity!BG$81</f>
        <v>0</v>
      </c>
      <c r="BH95" s="288">
        <f xml:space="preserve"> Equity!BH$81</f>
        <v>0</v>
      </c>
      <c r="BI95" s="288">
        <f xml:space="preserve"> Equity!BI$81</f>
        <v>0</v>
      </c>
      <c r="BJ95" s="288">
        <f xml:space="preserve"> Equity!BJ$81</f>
        <v>0</v>
      </c>
      <c r="BK95" s="288">
        <f xml:space="preserve"> Equity!BK$81</f>
        <v>0</v>
      </c>
      <c r="BL95" s="288">
        <f xml:space="preserve"> Equity!BL$81</f>
        <v>0</v>
      </c>
      <c r="BM95" s="288">
        <f xml:space="preserve"> Equity!BM$81</f>
        <v>0</v>
      </c>
      <c r="BN95" s="288">
        <f xml:space="preserve"> Equity!BN$81</f>
        <v>0</v>
      </c>
      <c r="BO95" s="288">
        <f xml:space="preserve"> Equity!BO$81</f>
        <v>0</v>
      </c>
      <c r="BP95" s="288">
        <f xml:space="preserve"> Equity!BP$81</f>
        <v>0</v>
      </c>
      <c r="BQ95" s="288">
        <f xml:space="preserve"> Equity!BQ$81</f>
        <v>0</v>
      </c>
      <c r="BR95" s="288">
        <f xml:space="preserve"> Equity!BR$81</f>
        <v>0</v>
      </c>
      <c r="BS95" s="288">
        <f xml:space="preserve"> Equity!BS$81</f>
        <v>0</v>
      </c>
      <c r="BT95" s="288">
        <f xml:space="preserve"> Equity!BT$81</f>
        <v>0</v>
      </c>
      <c r="BU95" s="288">
        <f xml:space="preserve"> Equity!BU$81</f>
        <v>0</v>
      </c>
      <c r="BV95" s="288">
        <f xml:space="preserve"> Equity!BV$81</f>
        <v>0</v>
      </c>
      <c r="BW95" s="288">
        <f xml:space="preserve"> Equity!BW$81</f>
        <v>0</v>
      </c>
      <c r="BX95" s="288">
        <f xml:space="preserve"> Equity!BX$81</f>
        <v>0</v>
      </c>
      <c r="BY95" s="288">
        <f xml:space="preserve"> Equity!BY$81</f>
        <v>0</v>
      </c>
      <c r="BZ95" s="288">
        <f xml:space="preserve"> Equity!BZ$81</f>
        <v>0</v>
      </c>
      <c r="CA95" s="288">
        <f xml:space="preserve"> Equity!CA$81</f>
        <v>0</v>
      </c>
      <c r="CB95" s="288">
        <f xml:space="preserve"> Equity!CB$81</f>
        <v>0</v>
      </c>
      <c r="CC95" s="288">
        <f xml:space="preserve"> Equity!CC$81</f>
        <v>0</v>
      </c>
      <c r="CD95" s="288">
        <f xml:space="preserve"> Equity!CD$81</f>
        <v>0</v>
      </c>
      <c r="CE95" s="288">
        <f xml:space="preserve"> Equity!CE$81</f>
        <v>0</v>
      </c>
      <c r="CF95" s="288">
        <f xml:space="preserve"> Equity!CF$81</f>
        <v>0</v>
      </c>
      <c r="CG95" s="288">
        <f xml:space="preserve"> Equity!CG$81</f>
        <v>0</v>
      </c>
      <c r="CH95" s="288">
        <f xml:space="preserve"> Equity!CH$81</f>
        <v>0</v>
      </c>
      <c r="CI95" s="288">
        <f xml:space="preserve"> Equity!CI$81</f>
        <v>0</v>
      </c>
      <c r="CJ95" s="288">
        <f xml:space="preserve"> Equity!CJ$81</f>
        <v>0</v>
      </c>
      <c r="CK95" s="288">
        <f xml:space="preserve"> Equity!CK$81</f>
        <v>0</v>
      </c>
      <c r="CL95" s="288">
        <f xml:space="preserve"> Equity!CL$81</f>
        <v>0</v>
      </c>
      <c r="CM95" s="288">
        <f xml:space="preserve"> Equity!CM$81</f>
        <v>0</v>
      </c>
      <c r="CN95" s="288">
        <f xml:space="preserve"> Equity!CN$81</f>
        <v>0</v>
      </c>
      <c r="CO95" s="288">
        <f xml:space="preserve"> Equity!CO$81</f>
        <v>0</v>
      </c>
      <c r="CP95" s="288">
        <f xml:space="preserve"> Equity!CP$81</f>
        <v>0</v>
      </c>
      <c r="CQ95" s="288">
        <f xml:space="preserve"> Equity!CQ$81</f>
        <v>0</v>
      </c>
      <c r="CR95" s="288">
        <f xml:space="preserve"> Equity!CR$81</f>
        <v>0</v>
      </c>
      <c r="CS95" s="288">
        <f xml:space="preserve"> Equity!CS$81</f>
        <v>0</v>
      </c>
      <c r="CT95" s="288">
        <f xml:space="preserve"> Equity!CT$81</f>
        <v>0</v>
      </c>
      <c r="CU95" s="288">
        <f xml:space="preserve"> Equity!CU$81</f>
        <v>0</v>
      </c>
      <c r="CV95" s="288">
        <f xml:space="preserve"> Equity!CV$81</f>
        <v>0</v>
      </c>
    </row>
    <row r="96" spans="1:100" outlineLevel="1" x14ac:dyDescent="0.2">
      <c r="D96" s="209"/>
      <c r="E96" s="232" t="s">
        <v>56</v>
      </c>
      <c r="F96" s="232"/>
      <c r="G96" s="232" t="str">
        <f>SMU</f>
        <v>$ 000s</v>
      </c>
      <c r="H96" s="232">
        <f xml:space="preserve"> SUM(J96:CV96)</f>
        <v>0</v>
      </c>
      <c r="I96" s="232"/>
      <c r="J96" s="232">
        <f xml:space="preserve"> J93 + J95</f>
        <v>-1.5558398445136845E-6</v>
      </c>
      <c r="K96" s="232">
        <f t="shared" ref="K96:BV96" si="38" xml:space="preserve"> K93 + K95</f>
        <v>-1.2466658517951146E-5</v>
      </c>
      <c r="L96" s="232">
        <f t="shared" si="38"/>
        <v>-1.6754362150095403E-5</v>
      </c>
      <c r="M96" s="232">
        <f t="shared" si="38"/>
        <v>-1.9422688637860119E-5</v>
      </c>
      <c r="N96" s="232">
        <f t="shared" si="38"/>
        <v>-3.9676149608567357E-3</v>
      </c>
      <c r="O96" s="232">
        <f t="shared" si="38"/>
        <v>4.0178145100071561E-3</v>
      </c>
      <c r="P96" s="232">
        <f t="shared" si="38"/>
        <v>0</v>
      </c>
      <c r="Q96" s="232">
        <f t="shared" si="38"/>
        <v>0</v>
      </c>
      <c r="R96" s="232">
        <f t="shared" si="38"/>
        <v>0</v>
      </c>
      <c r="S96" s="232">
        <f t="shared" si="38"/>
        <v>0</v>
      </c>
      <c r="T96" s="232">
        <f t="shared" si="38"/>
        <v>0</v>
      </c>
      <c r="U96" s="232">
        <f t="shared" si="38"/>
        <v>0</v>
      </c>
      <c r="V96" s="232">
        <f t="shared" si="38"/>
        <v>0</v>
      </c>
      <c r="W96" s="232">
        <f t="shared" si="38"/>
        <v>0</v>
      </c>
      <c r="X96" s="232">
        <f t="shared" si="38"/>
        <v>0</v>
      </c>
      <c r="Y96" s="232">
        <f t="shared" si="38"/>
        <v>0</v>
      </c>
      <c r="Z96" s="232">
        <f t="shared" si="38"/>
        <v>0</v>
      </c>
      <c r="AA96" s="232">
        <f t="shared" si="38"/>
        <v>0</v>
      </c>
      <c r="AB96" s="232">
        <f t="shared" si="38"/>
        <v>0</v>
      </c>
      <c r="AC96" s="232">
        <f t="shared" si="38"/>
        <v>0</v>
      </c>
      <c r="AD96" s="232">
        <f t="shared" si="38"/>
        <v>0</v>
      </c>
      <c r="AE96" s="232">
        <f t="shared" si="38"/>
        <v>0</v>
      </c>
      <c r="AF96" s="232">
        <f t="shared" si="38"/>
        <v>0</v>
      </c>
      <c r="AG96" s="232">
        <f t="shared" si="38"/>
        <v>0</v>
      </c>
      <c r="AH96" s="232">
        <f t="shared" si="38"/>
        <v>0</v>
      </c>
      <c r="AI96" s="232">
        <f t="shared" si="38"/>
        <v>0</v>
      </c>
      <c r="AJ96" s="232">
        <f t="shared" si="38"/>
        <v>0</v>
      </c>
      <c r="AK96" s="232">
        <f t="shared" si="38"/>
        <v>0</v>
      </c>
      <c r="AL96" s="232">
        <f t="shared" si="38"/>
        <v>0</v>
      </c>
      <c r="AM96" s="232">
        <f t="shared" si="38"/>
        <v>0</v>
      </c>
      <c r="AN96" s="232">
        <f t="shared" si="38"/>
        <v>0</v>
      </c>
      <c r="AO96" s="232">
        <f t="shared" si="38"/>
        <v>0</v>
      </c>
      <c r="AP96" s="232">
        <f t="shared" si="38"/>
        <v>0</v>
      </c>
      <c r="AQ96" s="232">
        <f t="shared" si="38"/>
        <v>0</v>
      </c>
      <c r="AR96" s="232">
        <f t="shared" si="38"/>
        <v>0</v>
      </c>
      <c r="AS96" s="232">
        <f t="shared" si="38"/>
        <v>0</v>
      </c>
      <c r="AT96" s="232">
        <f t="shared" si="38"/>
        <v>0</v>
      </c>
      <c r="AU96" s="232">
        <f t="shared" si="38"/>
        <v>0</v>
      </c>
      <c r="AV96" s="232">
        <f t="shared" si="38"/>
        <v>0</v>
      </c>
      <c r="AW96" s="232">
        <f t="shared" si="38"/>
        <v>0</v>
      </c>
      <c r="AX96" s="232">
        <f t="shared" si="38"/>
        <v>0</v>
      </c>
      <c r="AY96" s="232">
        <f t="shared" si="38"/>
        <v>0</v>
      </c>
      <c r="AZ96" s="232">
        <f t="shared" si="38"/>
        <v>0</v>
      </c>
      <c r="BA96" s="232">
        <f t="shared" si="38"/>
        <v>0</v>
      </c>
      <c r="BB96" s="232">
        <f t="shared" si="38"/>
        <v>0</v>
      </c>
      <c r="BC96" s="232">
        <f t="shared" si="38"/>
        <v>0</v>
      </c>
      <c r="BD96" s="232">
        <f t="shared" si="38"/>
        <v>0</v>
      </c>
      <c r="BE96" s="232">
        <f t="shared" si="38"/>
        <v>0</v>
      </c>
      <c r="BF96" s="232">
        <f t="shared" si="38"/>
        <v>0</v>
      </c>
      <c r="BG96" s="232">
        <f t="shared" si="38"/>
        <v>0</v>
      </c>
      <c r="BH96" s="232">
        <f t="shared" si="38"/>
        <v>0</v>
      </c>
      <c r="BI96" s="232">
        <f t="shared" si="38"/>
        <v>0</v>
      </c>
      <c r="BJ96" s="232">
        <f t="shared" si="38"/>
        <v>0</v>
      </c>
      <c r="BK96" s="232">
        <f t="shared" si="38"/>
        <v>0</v>
      </c>
      <c r="BL96" s="232">
        <f t="shared" si="38"/>
        <v>0</v>
      </c>
      <c r="BM96" s="232">
        <f t="shared" si="38"/>
        <v>0</v>
      </c>
      <c r="BN96" s="232">
        <f t="shared" si="38"/>
        <v>0</v>
      </c>
      <c r="BO96" s="232">
        <f t="shared" si="38"/>
        <v>0</v>
      </c>
      <c r="BP96" s="232">
        <f t="shared" si="38"/>
        <v>0</v>
      </c>
      <c r="BQ96" s="232">
        <f t="shared" si="38"/>
        <v>0</v>
      </c>
      <c r="BR96" s="232">
        <f t="shared" si="38"/>
        <v>0</v>
      </c>
      <c r="BS96" s="232">
        <f t="shared" si="38"/>
        <v>0</v>
      </c>
      <c r="BT96" s="232">
        <f t="shared" si="38"/>
        <v>0</v>
      </c>
      <c r="BU96" s="232">
        <f t="shared" si="38"/>
        <v>0</v>
      </c>
      <c r="BV96" s="232">
        <f t="shared" si="38"/>
        <v>0</v>
      </c>
      <c r="BW96" s="232">
        <f t="shared" ref="BW96:CV96" si="39" xml:space="preserve"> BW93 + BW95</f>
        <v>0</v>
      </c>
      <c r="BX96" s="232">
        <f t="shared" si="39"/>
        <v>0</v>
      </c>
      <c r="BY96" s="232">
        <f t="shared" si="39"/>
        <v>0</v>
      </c>
      <c r="BZ96" s="232">
        <f t="shared" si="39"/>
        <v>0</v>
      </c>
      <c r="CA96" s="232">
        <f t="shared" si="39"/>
        <v>0</v>
      </c>
      <c r="CB96" s="232">
        <f t="shared" si="39"/>
        <v>0</v>
      </c>
      <c r="CC96" s="232">
        <f t="shared" si="39"/>
        <v>0</v>
      </c>
      <c r="CD96" s="232">
        <f t="shared" si="39"/>
        <v>0</v>
      </c>
      <c r="CE96" s="232">
        <f t="shared" si="39"/>
        <v>0</v>
      </c>
      <c r="CF96" s="232">
        <f t="shared" si="39"/>
        <v>0</v>
      </c>
      <c r="CG96" s="232">
        <f t="shared" si="39"/>
        <v>0</v>
      </c>
      <c r="CH96" s="232">
        <f t="shared" si="39"/>
        <v>0</v>
      </c>
      <c r="CI96" s="232">
        <f t="shared" si="39"/>
        <v>0</v>
      </c>
      <c r="CJ96" s="232">
        <f t="shared" si="39"/>
        <v>0</v>
      </c>
      <c r="CK96" s="232">
        <f t="shared" si="39"/>
        <v>0</v>
      </c>
      <c r="CL96" s="232">
        <f t="shared" si="39"/>
        <v>0</v>
      </c>
      <c r="CM96" s="232">
        <f t="shared" si="39"/>
        <v>0</v>
      </c>
      <c r="CN96" s="232">
        <f t="shared" si="39"/>
        <v>0</v>
      </c>
      <c r="CO96" s="232">
        <f t="shared" si="39"/>
        <v>0</v>
      </c>
      <c r="CP96" s="232">
        <f t="shared" si="39"/>
        <v>0</v>
      </c>
      <c r="CQ96" s="232">
        <f t="shared" si="39"/>
        <v>0</v>
      </c>
      <c r="CR96" s="232">
        <f t="shared" si="39"/>
        <v>0</v>
      </c>
      <c r="CS96" s="232">
        <f t="shared" si="39"/>
        <v>0</v>
      </c>
      <c r="CT96" s="232">
        <f t="shared" si="39"/>
        <v>0</v>
      </c>
      <c r="CU96" s="232">
        <f t="shared" si="39"/>
        <v>0</v>
      </c>
      <c r="CV96" s="232">
        <f t="shared" si="39"/>
        <v>0</v>
      </c>
    </row>
    <row r="97" spans="1:100" outlineLevel="1" x14ac:dyDescent="0.2">
      <c r="D97" s="209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x14ac:dyDescent="0.2">
      <c r="D98" s="209"/>
      <c r="E98" s="235"/>
      <c r="F98" s="235"/>
      <c r="G98" s="235"/>
      <c r="H98" s="235"/>
      <c r="I98" s="235"/>
      <c r="J98" s="235"/>
      <c r="K98" s="235"/>
      <c r="L98" s="235"/>
      <c r="M98" s="235"/>
      <c r="N98" s="235"/>
      <c r="O98" s="235"/>
      <c r="P98" s="235"/>
      <c r="Q98" s="235"/>
      <c r="R98" s="235"/>
      <c r="S98" s="235"/>
      <c r="T98" s="235"/>
      <c r="U98" s="235"/>
      <c r="V98" s="235"/>
      <c r="W98" s="235"/>
      <c r="X98" s="235"/>
      <c r="Y98" s="235"/>
      <c r="Z98" s="235"/>
      <c r="AA98" s="235"/>
      <c r="AB98" s="235"/>
      <c r="AC98" s="235"/>
      <c r="AD98" s="235"/>
      <c r="AE98" s="235"/>
      <c r="AF98" s="235"/>
      <c r="AG98" s="235"/>
      <c r="AH98" s="235"/>
      <c r="AI98" s="235"/>
      <c r="AJ98" s="235"/>
      <c r="AK98" s="235"/>
      <c r="AL98" s="235"/>
      <c r="AM98" s="235"/>
      <c r="AN98" s="235"/>
      <c r="AO98" s="235"/>
      <c r="AP98" s="235"/>
      <c r="AQ98" s="235"/>
      <c r="AR98" s="235"/>
      <c r="AS98" s="235"/>
      <c r="AT98" s="235"/>
      <c r="AU98" s="235"/>
      <c r="AV98" s="235"/>
      <c r="AW98" s="235"/>
      <c r="AX98" s="235"/>
      <c r="AY98" s="235"/>
      <c r="AZ98" s="235"/>
      <c r="BA98" s="235"/>
      <c r="BB98" s="235"/>
      <c r="BC98" s="235"/>
      <c r="BD98" s="235"/>
      <c r="BE98" s="235"/>
      <c r="BF98" s="235"/>
      <c r="BG98" s="235"/>
      <c r="BH98" s="235"/>
      <c r="BI98" s="235"/>
      <c r="BJ98" s="235"/>
      <c r="BK98" s="235"/>
      <c r="BL98" s="235"/>
      <c r="BM98" s="235"/>
      <c r="BN98" s="235"/>
      <c r="BO98" s="235"/>
      <c r="BP98" s="235"/>
      <c r="BQ98" s="235"/>
      <c r="BR98" s="235"/>
      <c r="BS98" s="235"/>
      <c r="BT98" s="235"/>
      <c r="BU98" s="235"/>
      <c r="BV98" s="235"/>
      <c r="BW98" s="235"/>
      <c r="BX98" s="235"/>
      <c r="BY98" s="235"/>
      <c r="BZ98" s="235"/>
      <c r="CA98" s="235"/>
      <c r="CB98" s="235"/>
      <c r="CC98" s="235"/>
      <c r="CD98" s="235"/>
      <c r="CE98" s="235"/>
      <c r="CF98" s="235"/>
      <c r="CG98" s="235"/>
      <c r="CH98" s="235"/>
      <c r="CI98" s="235"/>
      <c r="CJ98" s="235"/>
      <c r="CK98" s="235"/>
      <c r="CL98" s="235"/>
      <c r="CM98" s="235"/>
      <c r="CN98" s="235"/>
      <c r="CO98" s="235"/>
      <c r="CP98" s="235"/>
      <c r="CQ98" s="235"/>
      <c r="CR98" s="235"/>
      <c r="CS98" s="235"/>
      <c r="CT98" s="235"/>
      <c r="CU98" s="235"/>
      <c r="CV98" s="235"/>
    </row>
    <row r="99" spans="1:100" x14ac:dyDescent="0.2">
      <c r="A99" s="205" t="s">
        <v>60</v>
      </c>
      <c r="D99" s="209"/>
      <c r="E99" s="235"/>
      <c r="F99" s="235"/>
      <c r="G99" s="235"/>
      <c r="H99" s="235"/>
      <c r="I99" s="235"/>
      <c r="J99" s="235"/>
      <c r="K99" s="235"/>
      <c r="L99" s="235"/>
      <c r="M99" s="235"/>
      <c r="N99" s="235"/>
      <c r="O99" s="235"/>
      <c r="P99" s="235"/>
      <c r="Q99" s="235"/>
      <c r="R99" s="235"/>
      <c r="S99" s="235"/>
      <c r="T99" s="235"/>
      <c r="U99" s="235"/>
      <c r="V99" s="235"/>
      <c r="W99" s="235"/>
      <c r="X99" s="235"/>
      <c r="Y99" s="235"/>
      <c r="Z99" s="235"/>
      <c r="AA99" s="235"/>
      <c r="AB99" s="235"/>
      <c r="AC99" s="235"/>
      <c r="AD99" s="235"/>
      <c r="AE99" s="235"/>
      <c r="AF99" s="235"/>
      <c r="AG99" s="235"/>
      <c r="AH99" s="235"/>
      <c r="AI99" s="235"/>
      <c r="AJ99" s="235"/>
      <c r="AK99" s="235"/>
      <c r="AL99" s="235"/>
      <c r="AM99" s="235"/>
      <c r="AN99" s="235"/>
      <c r="AO99" s="235"/>
      <c r="AP99" s="235"/>
      <c r="AQ99" s="235"/>
      <c r="AR99" s="235"/>
      <c r="AS99" s="235"/>
      <c r="AT99" s="235"/>
      <c r="AU99" s="235"/>
      <c r="AV99" s="235"/>
      <c r="AW99" s="235"/>
      <c r="AX99" s="235"/>
      <c r="AY99" s="235"/>
      <c r="AZ99" s="235"/>
      <c r="BA99" s="235"/>
      <c r="BB99" s="235"/>
      <c r="BC99" s="235"/>
      <c r="BD99" s="235"/>
      <c r="BE99" s="235"/>
      <c r="BF99" s="235"/>
      <c r="BG99" s="235"/>
      <c r="BH99" s="235"/>
      <c r="BI99" s="235"/>
      <c r="BJ99" s="235"/>
      <c r="BK99" s="235"/>
      <c r="BL99" s="235"/>
      <c r="BM99" s="235"/>
      <c r="BN99" s="235"/>
      <c r="BO99" s="235"/>
      <c r="BP99" s="235"/>
      <c r="BQ99" s="235"/>
      <c r="BR99" s="235"/>
      <c r="BS99" s="235"/>
      <c r="BT99" s="235"/>
      <c r="BU99" s="235"/>
      <c r="BV99" s="235"/>
      <c r="BW99" s="235"/>
      <c r="BX99" s="235"/>
      <c r="BY99" s="235"/>
      <c r="BZ99" s="235"/>
      <c r="CA99" s="235"/>
      <c r="CB99" s="235"/>
      <c r="CC99" s="235"/>
      <c r="CD99" s="235"/>
      <c r="CE99" s="235"/>
      <c r="CF99" s="235"/>
      <c r="CG99" s="235"/>
      <c r="CH99" s="235"/>
      <c r="CI99" s="235"/>
      <c r="CJ99" s="235"/>
      <c r="CK99" s="235"/>
      <c r="CL99" s="235"/>
      <c r="CM99" s="235"/>
      <c r="CN99" s="235"/>
      <c r="CO99" s="235"/>
      <c r="CP99" s="235"/>
      <c r="CQ99" s="235"/>
      <c r="CR99" s="235"/>
      <c r="CS99" s="235"/>
      <c r="CT99" s="235"/>
      <c r="CU99" s="235"/>
      <c r="CV99" s="235"/>
    </row>
    <row r="100" spans="1:100" outlineLevel="1" x14ac:dyDescent="0.2">
      <c r="D100" s="209"/>
      <c r="E100" s="235"/>
      <c r="F100" s="235"/>
      <c r="G100" s="235"/>
      <c r="H100" s="235"/>
      <c r="I100" s="235"/>
      <c r="J100" s="235"/>
      <c r="K100" s="235"/>
      <c r="L100" s="235"/>
      <c r="M100" s="235"/>
      <c r="N100" s="235"/>
      <c r="O100" s="235"/>
      <c r="P100" s="235"/>
      <c r="Q100" s="235"/>
      <c r="R100" s="235"/>
      <c r="S100" s="235"/>
      <c r="T100" s="235"/>
      <c r="U100" s="235"/>
      <c r="V100" s="235"/>
      <c r="W100" s="235"/>
      <c r="X100" s="235"/>
      <c r="Y100" s="235"/>
      <c r="Z100" s="235"/>
      <c r="AA100" s="235"/>
      <c r="AB100" s="235"/>
      <c r="AC100" s="235"/>
      <c r="AD100" s="235"/>
      <c r="AE100" s="235"/>
      <c r="AF100" s="235"/>
      <c r="AG100" s="235"/>
      <c r="AH100" s="235"/>
      <c r="AI100" s="235"/>
      <c r="AJ100" s="235"/>
      <c r="AK100" s="235"/>
      <c r="AL100" s="235"/>
      <c r="AM100" s="235"/>
      <c r="AN100" s="235"/>
      <c r="AO100" s="235"/>
      <c r="AP100" s="235"/>
      <c r="AQ100" s="235"/>
      <c r="AR100" s="235"/>
      <c r="AS100" s="235"/>
      <c r="AT100" s="235"/>
      <c r="AU100" s="235"/>
      <c r="AV100" s="235"/>
      <c r="AW100" s="235"/>
      <c r="AX100" s="235"/>
      <c r="AY100" s="235"/>
      <c r="AZ100" s="235"/>
      <c r="BA100" s="235"/>
      <c r="BB100" s="235"/>
      <c r="BC100" s="235"/>
      <c r="BD100" s="235"/>
      <c r="BE100" s="235"/>
      <c r="BF100" s="235"/>
      <c r="BG100" s="235"/>
      <c r="BH100" s="235"/>
      <c r="BI100" s="235"/>
      <c r="BJ100" s="235"/>
      <c r="BK100" s="235"/>
      <c r="BL100" s="235"/>
      <c r="BM100" s="235"/>
      <c r="BN100" s="235"/>
      <c r="BO100" s="235"/>
      <c r="BP100" s="235"/>
      <c r="BQ100" s="235"/>
      <c r="BR100" s="235"/>
      <c r="BS100" s="235"/>
      <c r="BT100" s="235"/>
      <c r="BU100" s="235"/>
      <c r="BV100" s="235"/>
      <c r="BW100" s="235"/>
      <c r="BX100" s="235"/>
      <c r="BY100" s="235"/>
      <c r="BZ100" s="235"/>
      <c r="CA100" s="235"/>
      <c r="CB100" s="235"/>
      <c r="CC100" s="235"/>
      <c r="CD100" s="235"/>
      <c r="CE100" s="235"/>
      <c r="CF100" s="235"/>
      <c r="CG100" s="235"/>
      <c r="CH100" s="235"/>
      <c r="CI100" s="235"/>
      <c r="CJ100" s="235"/>
      <c r="CK100" s="235"/>
      <c r="CL100" s="235"/>
      <c r="CM100" s="235"/>
      <c r="CN100" s="235"/>
      <c r="CO100" s="235"/>
      <c r="CP100" s="235"/>
      <c r="CQ100" s="235"/>
      <c r="CR100" s="235"/>
      <c r="CS100" s="235"/>
      <c r="CT100" s="235"/>
      <c r="CU100" s="235"/>
      <c r="CV100" s="235"/>
    </row>
    <row r="101" spans="1:100" outlineLevel="1" x14ac:dyDescent="0.2">
      <c r="B101" s="205" t="s">
        <v>61</v>
      </c>
      <c r="D101" s="209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  <c r="AG101" s="235"/>
      <c r="AH101" s="235"/>
      <c r="AI101" s="235"/>
      <c r="AJ101" s="235"/>
      <c r="AK101" s="235"/>
      <c r="AL101" s="235"/>
      <c r="AM101" s="235"/>
      <c r="AN101" s="235"/>
      <c r="AO101" s="235"/>
      <c r="AP101" s="235"/>
      <c r="AQ101" s="235"/>
      <c r="AR101" s="235"/>
      <c r="AS101" s="235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  <c r="BG101" s="235"/>
      <c r="BH101" s="235"/>
      <c r="BI101" s="235"/>
      <c r="BJ101" s="235"/>
      <c r="BK101" s="235"/>
      <c r="BL101" s="235"/>
      <c r="BM101" s="235"/>
      <c r="BN101" s="235"/>
      <c r="BO101" s="235"/>
      <c r="BP101" s="235"/>
      <c r="BQ101" s="235"/>
      <c r="BR101" s="235"/>
      <c r="BS101" s="235"/>
      <c r="BT101" s="235"/>
      <c r="BU101" s="235"/>
      <c r="BV101" s="235"/>
      <c r="BW101" s="235"/>
      <c r="BX101" s="235"/>
      <c r="BY101" s="235"/>
      <c r="BZ101" s="235"/>
      <c r="CA101" s="235"/>
      <c r="CB101" s="235"/>
      <c r="CC101" s="235"/>
      <c r="CD101" s="235"/>
      <c r="CE101" s="235"/>
      <c r="CF101" s="235"/>
      <c r="CG101" s="235"/>
      <c r="CH101" s="235"/>
      <c r="CI101" s="235"/>
      <c r="CJ101" s="235"/>
      <c r="CK101" s="235"/>
      <c r="CL101" s="235"/>
      <c r="CM101" s="235"/>
      <c r="CN101" s="235"/>
      <c r="CO101" s="235"/>
      <c r="CP101" s="235"/>
      <c r="CQ101" s="235"/>
      <c r="CR101" s="235"/>
      <c r="CS101" s="235"/>
      <c r="CT101" s="235"/>
      <c r="CU101" s="235"/>
      <c r="CV101" s="235"/>
    </row>
    <row r="102" spans="1:100" outlineLevel="2" x14ac:dyDescent="0.2">
      <c r="D102" s="209"/>
      <c r="E102" s="288" t="str">
        <f xml:space="preserve"> Acct!E$27</f>
        <v>Fixed asset balance</v>
      </c>
      <c r="F102" s="288">
        <f xml:space="preserve"> Acct!F$27</f>
        <v>0</v>
      </c>
      <c r="G102" s="288" t="str">
        <f xml:space="preserve"> Acct!G$27</f>
        <v>$ 000s</v>
      </c>
      <c r="H102" s="288">
        <f xml:space="preserve"> Acct!H$27</f>
        <v>0</v>
      </c>
      <c r="I102" s="288">
        <f xml:space="preserve"> Acct!I$27</f>
        <v>0</v>
      </c>
      <c r="J102" s="288">
        <f xml:space="preserve"> Acct!J$27</f>
        <v>31455.562132307692</v>
      </c>
      <c r="K102" s="288">
        <f xml:space="preserve"> Acct!K$27</f>
        <v>100922.24852923077</v>
      </c>
      <c r="L102" s="288">
        <f xml:space="preserve"> Acct!L$27</f>
        <v>170388.93492615386</v>
      </c>
      <c r="M102" s="288">
        <f xml:space="preserve"> Acct!M$27</f>
        <v>237865.62132307695</v>
      </c>
      <c r="N102" s="288">
        <f xml:space="preserve"> Acct!N$27</f>
        <v>295392.30772000004</v>
      </c>
      <c r="O102" s="288">
        <f xml:space="preserve"> Acct!O$27</f>
        <v>288007.50002700003</v>
      </c>
      <c r="P102" s="288">
        <f xml:space="preserve"> Acct!P$27</f>
        <v>280622.69233400002</v>
      </c>
      <c r="Q102" s="288">
        <f xml:space="preserve"> Acct!Q$27</f>
        <v>273237.88464100001</v>
      </c>
      <c r="R102" s="288">
        <f xml:space="preserve"> Acct!R$27</f>
        <v>265853.076948</v>
      </c>
      <c r="S102" s="288">
        <f xml:space="preserve"> Acct!S$27</f>
        <v>258468.26925499999</v>
      </c>
      <c r="T102" s="288">
        <f xml:space="preserve"> Acct!T$27</f>
        <v>251083.46156199998</v>
      </c>
      <c r="U102" s="288">
        <f xml:space="preserve"> Acct!U$27</f>
        <v>243698.65386899997</v>
      </c>
      <c r="V102" s="288">
        <f xml:space="preserve"> Acct!V$27</f>
        <v>236313.84617599996</v>
      </c>
      <c r="W102" s="288">
        <f xml:space="preserve"> Acct!W$27</f>
        <v>228929.03848299995</v>
      </c>
      <c r="X102" s="288">
        <f xml:space="preserve"> Acct!X$27</f>
        <v>221544.23078999994</v>
      </c>
      <c r="Y102" s="288">
        <f xml:space="preserve"> Acct!Y$27</f>
        <v>214159.42309699993</v>
      </c>
      <c r="Z102" s="288">
        <f xml:space="preserve"> Acct!Z$27</f>
        <v>206774.61540399992</v>
      </c>
      <c r="AA102" s="288">
        <f xml:space="preserve"> Acct!AA$27</f>
        <v>199389.80771099991</v>
      </c>
      <c r="AB102" s="288">
        <f xml:space="preserve"> Acct!AB$27</f>
        <v>192005.0000179999</v>
      </c>
      <c r="AC102" s="288">
        <f xml:space="preserve"> Acct!AC$27</f>
        <v>184620.19232499989</v>
      </c>
      <c r="AD102" s="288">
        <f xml:space="preserve"> Acct!AD$27</f>
        <v>177235.38463199988</v>
      </c>
      <c r="AE102" s="288">
        <f xml:space="preserve"> Acct!AE$27</f>
        <v>169850.57693899987</v>
      </c>
      <c r="AF102" s="288">
        <f xml:space="preserve"> Acct!AF$27</f>
        <v>162465.76924599987</v>
      </c>
      <c r="AG102" s="288">
        <f xml:space="preserve"> Acct!AG$27</f>
        <v>155080.96155299986</v>
      </c>
      <c r="AH102" s="288">
        <f xml:space="preserve"> Acct!AH$27</f>
        <v>147696.15385999985</v>
      </c>
      <c r="AI102" s="288">
        <f xml:space="preserve"> Acct!AI$27</f>
        <v>140311.34616699984</v>
      </c>
      <c r="AJ102" s="288">
        <f xml:space="preserve"> Acct!AJ$27</f>
        <v>132926.53847399983</v>
      </c>
      <c r="AK102" s="288">
        <f xml:space="preserve"> Acct!AK$27</f>
        <v>125541.73078099983</v>
      </c>
      <c r="AL102" s="288">
        <f xml:space="preserve"> Acct!AL$27</f>
        <v>118156.92308799984</v>
      </c>
      <c r="AM102" s="288">
        <f xml:space="preserve"> Acct!AM$27</f>
        <v>110772.11539499984</v>
      </c>
      <c r="AN102" s="288">
        <f xml:space="preserve"> Acct!AN$27</f>
        <v>103387.30770199985</v>
      </c>
      <c r="AO102" s="288">
        <f xml:space="preserve"> Acct!AO$27</f>
        <v>96002.50000899985</v>
      </c>
      <c r="AP102" s="288">
        <f xml:space="preserve"> Acct!AP$27</f>
        <v>88617.692315999855</v>
      </c>
      <c r="AQ102" s="288">
        <f xml:space="preserve"> Acct!AQ$27</f>
        <v>81232.88462299986</v>
      </c>
      <c r="AR102" s="288">
        <f xml:space="preserve"> Acct!AR$27</f>
        <v>73848.076929999865</v>
      </c>
      <c r="AS102" s="288">
        <f xml:space="preserve"> Acct!AS$27</f>
        <v>66463.269236999869</v>
      </c>
      <c r="AT102" s="288">
        <f xml:space="preserve"> Acct!AT$27</f>
        <v>59078.461543999874</v>
      </c>
      <c r="AU102" s="288">
        <f xml:space="preserve"> Acct!AU$27</f>
        <v>51693.653850999879</v>
      </c>
      <c r="AV102" s="288">
        <f xml:space="preserve"> Acct!AV$27</f>
        <v>44308.846157999884</v>
      </c>
      <c r="AW102" s="288">
        <f xml:space="preserve"> Acct!AW$27</f>
        <v>36924.038464999889</v>
      </c>
      <c r="AX102" s="288">
        <f xml:space="preserve"> Acct!AX$27</f>
        <v>29539.230771999893</v>
      </c>
      <c r="AY102" s="288">
        <f xml:space="preserve"> Acct!AY$27</f>
        <v>22154.423078999898</v>
      </c>
      <c r="AZ102" s="288">
        <f xml:space="preserve"> Acct!AZ$27</f>
        <v>14769.615385999901</v>
      </c>
      <c r="BA102" s="288">
        <f xml:space="preserve"> Acct!BA$27</f>
        <v>7384.8076929999042</v>
      </c>
      <c r="BB102" s="288">
        <f xml:space="preserve"> Acct!BB$27</f>
        <v>-9.276845958083868E-11</v>
      </c>
      <c r="BC102" s="288">
        <f xml:space="preserve"> Acct!BC$27</f>
        <v>-9.276845958083868E-11</v>
      </c>
      <c r="BD102" s="288">
        <f xml:space="preserve"> Acct!BD$27</f>
        <v>-9.276845958083868E-11</v>
      </c>
      <c r="BE102" s="288">
        <f xml:space="preserve"> Acct!BE$27</f>
        <v>-9.276845958083868E-11</v>
      </c>
      <c r="BF102" s="288">
        <f xml:space="preserve"> Acct!BF$27</f>
        <v>-9.276845958083868E-11</v>
      </c>
      <c r="BG102" s="288">
        <f xml:space="preserve"> Acct!BG$27</f>
        <v>-9.276845958083868E-11</v>
      </c>
      <c r="BH102" s="288">
        <f xml:space="preserve"> Acct!BH$27</f>
        <v>-9.276845958083868E-11</v>
      </c>
      <c r="BI102" s="288">
        <f xml:space="preserve"> Acct!BI$27</f>
        <v>-9.276845958083868E-11</v>
      </c>
      <c r="BJ102" s="288">
        <f xml:space="preserve"> Acct!BJ$27</f>
        <v>-9.276845958083868E-11</v>
      </c>
      <c r="BK102" s="288">
        <f xml:space="preserve"> Acct!BK$27</f>
        <v>-9.276845958083868E-11</v>
      </c>
      <c r="BL102" s="288">
        <f xml:space="preserve"> Acct!BL$27</f>
        <v>-9.276845958083868E-11</v>
      </c>
      <c r="BM102" s="288">
        <f xml:space="preserve"> Acct!BM$27</f>
        <v>-9.276845958083868E-11</v>
      </c>
      <c r="BN102" s="288">
        <f xml:space="preserve"> Acct!BN$27</f>
        <v>-9.276845958083868E-11</v>
      </c>
      <c r="BO102" s="288">
        <f xml:space="preserve"> Acct!BO$27</f>
        <v>-9.276845958083868E-11</v>
      </c>
      <c r="BP102" s="288">
        <f xml:space="preserve"> Acct!BP$27</f>
        <v>-9.276845958083868E-11</v>
      </c>
      <c r="BQ102" s="288">
        <f xml:space="preserve"> Acct!BQ$27</f>
        <v>-9.276845958083868E-11</v>
      </c>
      <c r="BR102" s="288">
        <f xml:space="preserve"> Acct!BR$27</f>
        <v>-9.276845958083868E-11</v>
      </c>
      <c r="BS102" s="288">
        <f xml:space="preserve"> Acct!BS$27</f>
        <v>-9.276845958083868E-11</v>
      </c>
      <c r="BT102" s="288">
        <f xml:space="preserve"> Acct!BT$27</f>
        <v>-9.276845958083868E-11</v>
      </c>
      <c r="BU102" s="288">
        <f xml:space="preserve"> Acct!BU$27</f>
        <v>-9.276845958083868E-11</v>
      </c>
      <c r="BV102" s="288">
        <f xml:space="preserve"> Acct!BV$27</f>
        <v>-9.276845958083868E-11</v>
      </c>
      <c r="BW102" s="288">
        <f xml:space="preserve"> Acct!BW$27</f>
        <v>-9.276845958083868E-11</v>
      </c>
      <c r="BX102" s="288">
        <f xml:space="preserve"> Acct!BX$27</f>
        <v>-9.276845958083868E-11</v>
      </c>
      <c r="BY102" s="288">
        <f xml:space="preserve"> Acct!BY$27</f>
        <v>-9.276845958083868E-11</v>
      </c>
      <c r="BZ102" s="288">
        <f xml:space="preserve"> Acct!BZ$27</f>
        <v>-9.276845958083868E-11</v>
      </c>
      <c r="CA102" s="288">
        <f xml:space="preserve"> Acct!CA$27</f>
        <v>-9.276845958083868E-11</v>
      </c>
      <c r="CB102" s="288">
        <f xml:space="preserve"> Acct!CB$27</f>
        <v>-9.276845958083868E-11</v>
      </c>
      <c r="CC102" s="288">
        <f xml:space="preserve"> Acct!CC$27</f>
        <v>-9.276845958083868E-11</v>
      </c>
      <c r="CD102" s="288">
        <f xml:space="preserve"> Acct!CD$27</f>
        <v>-9.276845958083868E-11</v>
      </c>
      <c r="CE102" s="288">
        <f xml:space="preserve"> Acct!CE$27</f>
        <v>-9.276845958083868E-11</v>
      </c>
      <c r="CF102" s="288">
        <f xml:space="preserve"> Acct!CF$27</f>
        <v>-9.276845958083868E-11</v>
      </c>
      <c r="CG102" s="288">
        <f xml:space="preserve"> Acct!CG$27</f>
        <v>-9.276845958083868E-11</v>
      </c>
      <c r="CH102" s="288">
        <f xml:space="preserve"> Acct!CH$27</f>
        <v>-9.276845958083868E-11</v>
      </c>
      <c r="CI102" s="288">
        <f xml:space="preserve"> Acct!CI$27</f>
        <v>-9.276845958083868E-11</v>
      </c>
      <c r="CJ102" s="288">
        <f xml:space="preserve"> Acct!CJ$27</f>
        <v>-9.276845958083868E-11</v>
      </c>
      <c r="CK102" s="288">
        <f xml:space="preserve"> Acct!CK$27</f>
        <v>-9.276845958083868E-11</v>
      </c>
      <c r="CL102" s="288">
        <f xml:space="preserve"> Acct!CL$27</f>
        <v>-9.276845958083868E-11</v>
      </c>
      <c r="CM102" s="288">
        <f xml:space="preserve"> Acct!CM$27</f>
        <v>-9.276845958083868E-11</v>
      </c>
      <c r="CN102" s="288">
        <f xml:space="preserve"> Acct!CN$27</f>
        <v>-9.276845958083868E-11</v>
      </c>
      <c r="CO102" s="288">
        <f xml:space="preserve"> Acct!CO$27</f>
        <v>-9.276845958083868E-11</v>
      </c>
      <c r="CP102" s="288">
        <f xml:space="preserve"> Acct!CP$27</f>
        <v>-9.276845958083868E-11</v>
      </c>
      <c r="CQ102" s="288">
        <f xml:space="preserve"> Acct!CQ$27</f>
        <v>-9.276845958083868E-11</v>
      </c>
      <c r="CR102" s="288">
        <f xml:space="preserve"> Acct!CR$27</f>
        <v>-9.276845958083868E-11</v>
      </c>
      <c r="CS102" s="288">
        <f xml:space="preserve"> Acct!CS$27</f>
        <v>-9.276845958083868E-11</v>
      </c>
      <c r="CT102" s="288">
        <f xml:space="preserve"> Acct!CT$27</f>
        <v>-9.276845958083868E-11</v>
      </c>
      <c r="CU102" s="288">
        <f xml:space="preserve"> Acct!CU$27</f>
        <v>-9.276845958083868E-11</v>
      </c>
      <c r="CV102" s="288">
        <f xml:space="preserve"> Acct!CV$27</f>
        <v>-9.276845958083868E-11</v>
      </c>
    </row>
    <row r="103" spans="1:100" outlineLevel="2" x14ac:dyDescent="0.2">
      <c r="D103" s="209"/>
      <c r="E103" s="235" t="str">
        <f xml:space="preserve"> Acct!E$43</f>
        <v>Capitalised finance costs balance</v>
      </c>
      <c r="F103" s="235">
        <f xml:space="preserve"> Acct!F$43</f>
        <v>0</v>
      </c>
      <c r="G103" s="235" t="str">
        <f xml:space="preserve"> Acct!G$43</f>
        <v>$ 000s</v>
      </c>
      <c r="H103" s="235">
        <f xml:space="preserve"> Acct!H$43</f>
        <v>0</v>
      </c>
      <c r="I103" s="235">
        <f xml:space="preserve"> Acct!I$43</f>
        <v>0</v>
      </c>
      <c r="J103" s="235">
        <f xml:space="preserve"> Acct!J$43</f>
        <v>7199.4501905899378</v>
      </c>
      <c r="K103" s="235">
        <f xml:space="preserve"> Acct!K$43</f>
        <v>9664.5083789334058</v>
      </c>
      <c r="L103" s="235">
        <f xml:space="preserve"> Acct!L$43</f>
        <v>13311.490386975976</v>
      </c>
      <c r="M103" s="235">
        <f xml:space="preserve"> Acct!M$43</f>
        <v>18258.69167347634</v>
      </c>
      <c r="N103" s="235">
        <f xml:space="preserve"> Acct!N$43</f>
        <v>24335.550022039701</v>
      </c>
      <c r="O103" s="235">
        <f xml:space="preserve"> Acct!O$43</f>
        <v>23619.79855080324</v>
      </c>
      <c r="P103" s="235">
        <f xml:space="preserve"> Acct!P$43</f>
        <v>22904.047079566779</v>
      </c>
      <c r="Q103" s="235">
        <f xml:space="preserve"> Acct!Q$43</f>
        <v>22188.295608330318</v>
      </c>
      <c r="R103" s="235">
        <f xml:space="preserve"> Acct!R$43</f>
        <v>21472.544137093857</v>
      </c>
      <c r="S103" s="235">
        <f xml:space="preserve"> Acct!S$43</f>
        <v>20756.792665857396</v>
      </c>
      <c r="T103" s="235">
        <f xml:space="preserve"> Acct!T$43</f>
        <v>20041.041194620935</v>
      </c>
      <c r="U103" s="235">
        <f xml:space="preserve"> Acct!U$43</f>
        <v>19325.289723384474</v>
      </c>
      <c r="V103" s="235">
        <f xml:space="preserve"> Acct!V$43</f>
        <v>18609.538252148013</v>
      </c>
      <c r="W103" s="235">
        <f xml:space="preserve"> Acct!W$43</f>
        <v>17893.786780911552</v>
      </c>
      <c r="X103" s="235">
        <f xml:space="preserve"> Acct!X$43</f>
        <v>17178.035309675091</v>
      </c>
      <c r="Y103" s="235">
        <f xml:space="preserve"> Acct!Y$43</f>
        <v>16462.28383843863</v>
      </c>
      <c r="Z103" s="235">
        <f xml:space="preserve"> Acct!Z$43</f>
        <v>15746.53236720217</v>
      </c>
      <c r="AA103" s="235">
        <f xml:space="preserve"> Acct!AA$43</f>
        <v>15030.780895965709</v>
      </c>
      <c r="AB103" s="235">
        <f xml:space="preserve"> Acct!AB$43</f>
        <v>14315.029424729248</v>
      </c>
      <c r="AC103" s="235">
        <f xml:space="preserve"> Acct!AC$43</f>
        <v>13599.277953492787</v>
      </c>
      <c r="AD103" s="235">
        <f xml:space="preserve"> Acct!AD$43</f>
        <v>12883.526482256326</v>
      </c>
      <c r="AE103" s="235">
        <f xml:space="preserve"> Acct!AE$43</f>
        <v>12167.775011019865</v>
      </c>
      <c r="AF103" s="235">
        <f xml:space="preserve"> Acct!AF$43</f>
        <v>11452.023539783404</v>
      </c>
      <c r="AG103" s="235">
        <f xml:space="preserve"> Acct!AG$43</f>
        <v>10736.272068546943</v>
      </c>
      <c r="AH103" s="235">
        <f xml:space="preserve"> Acct!AH$43</f>
        <v>10020.520597310482</v>
      </c>
      <c r="AI103" s="235">
        <f xml:space="preserve"> Acct!AI$43</f>
        <v>9304.7691260740212</v>
      </c>
      <c r="AJ103" s="235">
        <f xml:space="preserve"> Acct!AJ$43</f>
        <v>8589.0176548375603</v>
      </c>
      <c r="AK103" s="235">
        <f xml:space="preserve"> Acct!AK$43</f>
        <v>7873.2661836010984</v>
      </c>
      <c r="AL103" s="235">
        <f xml:space="preserve"> Acct!AL$43</f>
        <v>7157.5147123646366</v>
      </c>
      <c r="AM103" s="235">
        <f xml:space="preserve"> Acct!AM$43</f>
        <v>6441.7632411281747</v>
      </c>
      <c r="AN103" s="235">
        <f xml:space="preserve"> Acct!AN$43</f>
        <v>5726.0117698917129</v>
      </c>
      <c r="AO103" s="235">
        <f xml:space="preserve"> Acct!AO$43</f>
        <v>5010.2602986552511</v>
      </c>
      <c r="AP103" s="235">
        <f xml:space="preserve"> Acct!AP$43</f>
        <v>4294.5088274187892</v>
      </c>
      <c r="AQ103" s="235">
        <f xml:space="preserve"> Acct!AQ$43</f>
        <v>3578.7573561823274</v>
      </c>
      <c r="AR103" s="235">
        <f xml:space="preserve"> Acct!AR$43</f>
        <v>2863.0058849458655</v>
      </c>
      <c r="AS103" s="235">
        <f xml:space="preserve"> Acct!AS$43</f>
        <v>2147.2544137094037</v>
      </c>
      <c r="AT103" s="235">
        <f xml:space="preserve"> Acct!AT$43</f>
        <v>1431.5029424729419</v>
      </c>
      <c r="AU103" s="235">
        <f xml:space="preserve"> Acct!AU$43</f>
        <v>715.75147123648003</v>
      </c>
      <c r="AV103" s="235">
        <f xml:space="preserve"> Acct!AV$43</f>
        <v>1.8189894035458565E-11</v>
      </c>
      <c r="AW103" s="235">
        <f xml:space="preserve"> Acct!AW$43</f>
        <v>1.8189894035458565E-11</v>
      </c>
      <c r="AX103" s="235">
        <f xml:space="preserve"> Acct!AX$43</f>
        <v>1.8189894035458565E-11</v>
      </c>
      <c r="AY103" s="235">
        <f xml:space="preserve"> Acct!AY$43</f>
        <v>1.8189894035458565E-11</v>
      </c>
      <c r="AZ103" s="235">
        <f xml:space="preserve"> Acct!AZ$43</f>
        <v>1.8189894035458565E-11</v>
      </c>
      <c r="BA103" s="235">
        <f xml:space="preserve"> Acct!BA$43</f>
        <v>1.8189894035458565E-11</v>
      </c>
      <c r="BB103" s="235">
        <f xml:space="preserve"> Acct!BB$43</f>
        <v>1.8189894035458565E-11</v>
      </c>
      <c r="BC103" s="235">
        <f xml:space="preserve"> Acct!BC$43</f>
        <v>1.8189894035458565E-11</v>
      </c>
      <c r="BD103" s="235">
        <f xml:space="preserve"> Acct!BD$43</f>
        <v>1.8189894035458565E-11</v>
      </c>
      <c r="BE103" s="235">
        <f xml:space="preserve"> Acct!BE$43</f>
        <v>1.8189894035458565E-11</v>
      </c>
      <c r="BF103" s="235">
        <f xml:space="preserve"> Acct!BF$43</f>
        <v>1.8189894035458565E-11</v>
      </c>
      <c r="BG103" s="235">
        <f xml:space="preserve"> Acct!BG$43</f>
        <v>1.8189894035458565E-11</v>
      </c>
      <c r="BH103" s="235">
        <f xml:space="preserve"> Acct!BH$43</f>
        <v>1.8189894035458565E-11</v>
      </c>
      <c r="BI103" s="235">
        <f xml:space="preserve"> Acct!BI$43</f>
        <v>1.8189894035458565E-11</v>
      </c>
      <c r="BJ103" s="235">
        <f xml:space="preserve"> Acct!BJ$43</f>
        <v>1.8189894035458565E-11</v>
      </c>
      <c r="BK103" s="235">
        <f xml:space="preserve"> Acct!BK$43</f>
        <v>1.8189894035458565E-11</v>
      </c>
      <c r="BL103" s="235">
        <f xml:space="preserve"> Acct!BL$43</f>
        <v>1.8189894035458565E-11</v>
      </c>
      <c r="BM103" s="235">
        <f xml:space="preserve"> Acct!BM$43</f>
        <v>1.8189894035458565E-11</v>
      </c>
      <c r="BN103" s="235">
        <f xml:space="preserve"> Acct!BN$43</f>
        <v>1.8189894035458565E-11</v>
      </c>
      <c r="BO103" s="235">
        <f xml:space="preserve"> Acct!BO$43</f>
        <v>1.8189894035458565E-11</v>
      </c>
      <c r="BP103" s="235">
        <f xml:space="preserve"> Acct!BP$43</f>
        <v>1.8189894035458565E-11</v>
      </c>
      <c r="BQ103" s="235">
        <f xml:space="preserve"> Acct!BQ$43</f>
        <v>1.8189894035458565E-11</v>
      </c>
      <c r="BR103" s="235">
        <f xml:space="preserve"> Acct!BR$43</f>
        <v>1.8189894035458565E-11</v>
      </c>
      <c r="BS103" s="235">
        <f xml:space="preserve"> Acct!BS$43</f>
        <v>1.8189894035458565E-11</v>
      </c>
      <c r="BT103" s="235">
        <f xml:space="preserve"> Acct!BT$43</f>
        <v>1.8189894035458565E-11</v>
      </c>
      <c r="BU103" s="235">
        <f xml:space="preserve"> Acct!BU$43</f>
        <v>1.8189894035458565E-11</v>
      </c>
      <c r="BV103" s="235">
        <f xml:space="preserve"> Acct!BV$43</f>
        <v>1.8189894035458565E-11</v>
      </c>
      <c r="BW103" s="235">
        <f xml:space="preserve"> Acct!BW$43</f>
        <v>1.8189894035458565E-11</v>
      </c>
      <c r="BX103" s="235">
        <f xml:space="preserve"> Acct!BX$43</f>
        <v>1.8189894035458565E-11</v>
      </c>
      <c r="BY103" s="235">
        <f xml:space="preserve"> Acct!BY$43</f>
        <v>1.8189894035458565E-11</v>
      </c>
      <c r="BZ103" s="235">
        <f xml:space="preserve"> Acct!BZ$43</f>
        <v>1.8189894035458565E-11</v>
      </c>
      <c r="CA103" s="235">
        <f xml:space="preserve"> Acct!CA$43</f>
        <v>1.8189894035458565E-11</v>
      </c>
      <c r="CB103" s="235">
        <f xml:space="preserve"> Acct!CB$43</f>
        <v>1.8189894035458565E-11</v>
      </c>
      <c r="CC103" s="235">
        <f xml:space="preserve"> Acct!CC$43</f>
        <v>1.8189894035458565E-11</v>
      </c>
      <c r="CD103" s="235">
        <f xml:space="preserve"> Acct!CD$43</f>
        <v>1.8189894035458565E-11</v>
      </c>
      <c r="CE103" s="235">
        <f xml:space="preserve"> Acct!CE$43</f>
        <v>1.8189894035458565E-11</v>
      </c>
      <c r="CF103" s="235">
        <f xml:space="preserve"> Acct!CF$43</f>
        <v>1.8189894035458565E-11</v>
      </c>
      <c r="CG103" s="235">
        <f xml:space="preserve"> Acct!CG$43</f>
        <v>1.8189894035458565E-11</v>
      </c>
      <c r="CH103" s="235">
        <f xml:space="preserve"> Acct!CH$43</f>
        <v>1.8189894035458565E-11</v>
      </c>
      <c r="CI103" s="235">
        <f xml:space="preserve"> Acct!CI$43</f>
        <v>1.8189894035458565E-11</v>
      </c>
      <c r="CJ103" s="235">
        <f xml:space="preserve"> Acct!CJ$43</f>
        <v>1.8189894035458565E-11</v>
      </c>
      <c r="CK103" s="235">
        <f xml:space="preserve"> Acct!CK$43</f>
        <v>1.8189894035458565E-11</v>
      </c>
      <c r="CL103" s="235">
        <f xml:space="preserve"> Acct!CL$43</f>
        <v>1.8189894035458565E-11</v>
      </c>
      <c r="CM103" s="235">
        <f xml:space="preserve"> Acct!CM$43</f>
        <v>1.8189894035458565E-11</v>
      </c>
      <c r="CN103" s="235">
        <f xml:space="preserve"> Acct!CN$43</f>
        <v>1.8189894035458565E-11</v>
      </c>
      <c r="CO103" s="235">
        <f xml:space="preserve"> Acct!CO$43</f>
        <v>1.8189894035458565E-11</v>
      </c>
      <c r="CP103" s="235">
        <f xml:space="preserve"> Acct!CP$43</f>
        <v>1.8189894035458565E-11</v>
      </c>
      <c r="CQ103" s="235">
        <f xml:space="preserve"> Acct!CQ$43</f>
        <v>1.8189894035458565E-11</v>
      </c>
      <c r="CR103" s="235">
        <f xml:space="preserve"> Acct!CR$43</f>
        <v>1.8189894035458565E-11</v>
      </c>
      <c r="CS103" s="235">
        <f xml:space="preserve"> Acct!CS$43</f>
        <v>1.8189894035458565E-11</v>
      </c>
      <c r="CT103" s="235">
        <f xml:space="preserve"> Acct!CT$43</f>
        <v>1.8189894035458565E-11</v>
      </c>
      <c r="CU103" s="235">
        <f xml:space="preserve"> Acct!CU$43</f>
        <v>1.8189894035458565E-11</v>
      </c>
      <c r="CV103" s="235">
        <f xml:space="preserve"> Acct!CV$43</f>
        <v>1.8189894035458565E-11</v>
      </c>
    </row>
    <row r="104" spans="1:100" outlineLevel="2" x14ac:dyDescent="0.2">
      <c r="D104" s="209"/>
      <c r="E104" s="232" t="s">
        <v>61</v>
      </c>
      <c r="F104" s="232"/>
      <c r="G104" s="232" t="str">
        <f>SMU</f>
        <v>$ 000s</v>
      </c>
      <c r="H104" s="232"/>
      <c r="I104" s="232"/>
      <c r="J104" s="232">
        <f t="shared" ref="J104:AO104" si="40">SUM(J102:J103)</f>
        <v>38655.01232289763</v>
      </c>
      <c r="K104" s="232">
        <f t="shared" si="40"/>
        <v>110586.75690816417</v>
      </c>
      <c r="L104" s="232">
        <f t="shared" si="40"/>
        <v>183700.42531312985</v>
      </c>
      <c r="M104" s="232">
        <f t="shared" si="40"/>
        <v>256124.31299655329</v>
      </c>
      <c r="N104" s="232">
        <f t="shared" si="40"/>
        <v>319727.85774203972</v>
      </c>
      <c r="O104" s="232">
        <f t="shared" si="40"/>
        <v>311627.29857780325</v>
      </c>
      <c r="P104" s="232">
        <f t="shared" si="40"/>
        <v>303526.73941356677</v>
      </c>
      <c r="Q104" s="232">
        <f t="shared" si="40"/>
        <v>295426.18024933035</v>
      </c>
      <c r="R104" s="232">
        <f t="shared" si="40"/>
        <v>287325.62108509388</v>
      </c>
      <c r="S104" s="232">
        <f t="shared" si="40"/>
        <v>279225.06192085741</v>
      </c>
      <c r="T104" s="232">
        <f t="shared" si="40"/>
        <v>271124.50275662093</v>
      </c>
      <c r="U104" s="232">
        <f t="shared" si="40"/>
        <v>263023.94359238446</v>
      </c>
      <c r="V104" s="232">
        <f t="shared" si="40"/>
        <v>254923.38442814798</v>
      </c>
      <c r="W104" s="232">
        <f t="shared" si="40"/>
        <v>246822.82526391151</v>
      </c>
      <c r="X104" s="232">
        <f t="shared" si="40"/>
        <v>238722.26609967503</v>
      </c>
      <c r="Y104" s="232">
        <f t="shared" si="40"/>
        <v>230621.70693543856</v>
      </c>
      <c r="Z104" s="232">
        <f t="shared" si="40"/>
        <v>222521.14777120209</v>
      </c>
      <c r="AA104" s="232">
        <f t="shared" si="40"/>
        <v>214420.58860696561</v>
      </c>
      <c r="AB104" s="232">
        <f t="shared" si="40"/>
        <v>206320.02944272914</v>
      </c>
      <c r="AC104" s="232">
        <f t="shared" si="40"/>
        <v>198219.47027849269</v>
      </c>
      <c r="AD104" s="232">
        <f t="shared" si="40"/>
        <v>190118.91111425622</v>
      </c>
      <c r="AE104" s="232">
        <f t="shared" si="40"/>
        <v>182018.35195001974</v>
      </c>
      <c r="AF104" s="232">
        <f t="shared" si="40"/>
        <v>173917.79278578327</v>
      </c>
      <c r="AG104" s="232">
        <f t="shared" si="40"/>
        <v>165817.23362154679</v>
      </c>
      <c r="AH104" s="232">
        <f t="shared" si="40"/>
        <v>157716.67445731032</v>
      </c>
      <c r="AI104" s="232">
        <f t="shared" si="40"/>
        <v>149616.11529307385</v>
      </c>
      <c r="AJ104" s="232">
        <f t="shared" si="40"/>
        <v>141515.5561288374</v>
      </c>
      <c r="AK104" s="232">
        <f t="shared" si="40"/>
        <v>133414.99696460093</v>
      </c>
      <c r="AL104" s="232">
        <f t="shared" si="40"/>
        <v>125314.43780036447</v>
      </c>
      <c r="AM104" s="232">
        <f t="shared" si="40"/>
        <v>117213.87863612802</v>
      </c>
      <c r="AN104" s="232">
        <f t="shared" si="40"/>
        <v>109113.31947189156</v>
      </c>
      <c r="AO104" s="232">
        <f t="shared" si="40"/>
        <v>101012.7603076551</v>
      </c>
      <c r="AP104" s="232">
        <f t="shared" ref="AP104:BU104" si="41">SUM(AP102:AP103)</f>
        <v>92912.201143418642</v>
      </c>
      <c r="AQ104" s="232">
        <f t="shared" si="41"/>
        <v>84811.641979182183</v>
      </c>
      <c r="AR104" s="232">
        <f t="shared" si="41"/>
        <v>76711.082814945723</v>
      </c>
      <c r="AS104" s="232">
        <f t="shared" si="41"/>
        <v>68610.523650709278</v>
      </c>
      <c r="AT104" s="232">
        <f t="shared" si="41"/>
        <v>60509.964486472818</v>
      </c>
      <c r="AU104" s="232">
        <f t="shared" si="41"/>
        <v>52409.405322236358</v>
      </c>
      <c r="AV104" s="232">
        <f t="shared" si="41"/>
        <v>44308.846157999898</v>
      </c>
      <c r="AW104" s="232">
        <f t="shared" si="41"/>
        <v>36924.038464999903</v>
      </c>
      <c r="AX104" s="232">
        <f t="shared" si="41"/>
        <v>29539.230771999912</v>
      </c>
      <c r="AY104" s="232">
        <f t="shared" si="41"/>
        <v>22154.423078999916</v>
      </c>
      <c r="AZ104" s="232">
        <f t="shared" si="41"/>
        <v>14769.615385999919</v>
      </c>
      <c r="BA104" s="232">
        <f t="shared" si="41"/>
        <v>7384.8076929999224</v>
      </c>
      <c r="BB104" s="232">
        <f t="shared" si="41"/>
        <v>-7.4578565545380116E-11</v>
      </c>
      <c r="BC104" s="232">
        <f t="shared" si="41"/>
        <v>-7.4578565545380116E-11</v>
      </c>
      <c r="BD104" s="232">
        <f t="shared" si="41"/>
        <v>-7.4578565545380116E-11</v>
      </c>
      <c r="BE104" s="232">
        <f t="shared" si="41"/>
        <v>-7.4578565545380116E-11</v>
      </c>
      <c r="BF104" s="232">
        <f t="shared" si="41"/>
        <v>-7.4578565545380116E-11</v>
      </c>
      <c r="BG104" s="232">
        <f t="shared" si="41"/>
        <v>-7.4578565545380116E-11</v>
      </c>
      <c r="BH104" s="232">
        <f t="shared" si="41"/>
        <v>-7.4578565545380116E-11</v>
      </c>
      <c r="BI104" s="232">
        <f t="shared" si="41"/>
        <v>-7.4578565545380116E-11</v>
      </c>
      <c r="BJ104" s="232">
        <f t="shared" si="41"/>
        <v>-7.4578565545380116E-11</v>
      </c>
      <c r="BK104" s="232">
        <f t="shared" si="41"/>
        <v>-7.4578565545380116E-11</v>
      </c>
      <c r="BL104" s="232">
        <f t="shared" si="41"/>
        <v>-7.4578565545380116E-11</v>
      </c>
      <c r="BM104" s="232">
        <f t="shared" si="41"/>
        <v>-7.4578565545380116E-11</v>
      </c>
      <c r="BN104" s="232">
        <f t="shared" si="41"/>
        <v>-7.4578565545380116E-11</v>
      </c>
      <c r="BO104" s="232">
        <f t="shared" si="41"/>
        <v>-7.4578565545380116E-11</v>
      </c>
      <c r="BP104" s="232">
        <f t="shared" si="41"/>
        <v>-7.4578565545380116E-11</v>
      </c>
      <c r="BQ104" s="232">
        <f t="shared" si="41"/>
        <v>-7.4578565545380116E-11</v>
      </c>
      <c r="BR104" s="232">
        <f t="shared" si="41"/>
        <v>-7.4578565545380116E-11</v>
      </c>
      <c r="BS104" s="232">
        <f t="shared" si="41"/>
        <v>-7.4578565545380116E-11</v>
      </c>
      <c r="BT104" s="232">
        <f t="shared" si="41"/>
        <v>-7.4578565545380116E-11</v>
      </c>
      <c r="BU104" s="232">
        <f t="shared" si="41"/>
        <v>-7.4578565545380116E-11</v>
      </c>
      <c r="BV104" s="232">
        <f t="shared" ref="BV104:CV104" si="42">SUM(BV102:BV103)</f>
        <v>-7.4578565545380116E-11</v>
      </c>
      <c r="BW104" s="232">
        <f t="shared" si="42"/>
        <v>-7.4578565545380116E-11</v>
      </c>
      <c r="BX104" s="232">
        <f t="shared" si="42"/>
        <v>-7.4578565545380116E-11</v>
      </c>
      <c r="BY104" s="232">
        <f t="shared" si="42"/>
        <v>-7.4578565545380116E-11</v>
      </c>
      <c r="BZ104" s="232">
        <f t="shared" si="42"/>
        <v>-7.4578565545380116E-11</v>
      </c>
      <c r="CA104" s="232">
        <f t="shared" si="42"/>
        <v>-7.4578565545380116E-11</v>
      </c>
      <c r="CB104" s="232">
        <f t="shared" si="42"/>
        <v>-7.4578565545380116E-11</v>
      </c>
      <c r="CC104" s="232">
        <f t="shared" si="42"/>
        <v>-7.4578565545380116E-11</v>
      </c>
      <c r="CD104" s="232">
        <f t="shared" si="42"/>
        <v>-7.4578565545380116E-11</v>
      </c>
      <c r="CE104" s="232">
        <f t="shared" si="42"/>
        <v>-7.4578565545380116E-11</v>
      </c>
      <c r="CF104" s="232">
        <f t="shared" si="42"/>
        <v>-7.4578565545380116E-11</v>
      </c>
      <c r="CG104" s="232">
        <f t="shared" si="42"/>
        <v>-7.4578565545380116E-11</v>
      </c>
      <c r="CH104" s="232">
        <f t="shared" si="42"/>
        <v>-7.4578565545380116E-11</v>
      </c>
      <c r="CI104" s="232">
        <f t="shared" si="42"/>
        <v>-7.4578565545380116E-11</v>
      </c>
      <c r="CJ104" s="232">
        <f t="shared" si="42"/>
        <v>-7.4578565545380116E-11</v>
      </c>
      <c r="CK104" s="232">
        <f t="shared" si="42"/>
        <v>-7.4578565545380116E-11</v>
      </c>
      <c r="CL104" s="232">
        <f t="shared" si="42"/>
        <v>-7.4578565545380116E-11</v>
      </c>
      <c r="CM104" s="232">
        <f t="shared" si="42"/>
        <v>-7.4578565545380116E-11</v>
      </c>
      <c r="CN104" s="232">
        <f t="shared" si="42"/>
        <v>-7.4578565545380116E-11</v>
      </c>
      <c r="CO104" s="232">
        <f t="shared" si="42"/>
        <v>-7.4578565545380116E-11</v>
      </c>
      <c r="CP104" s="232">
        <f t="shared" si="42"/>
        <v>-7.4578565545380116E-11</v>
      </c>
      <c r="CQ104" s="232">
        <f t="shared" si="42"/>
        <v>-7.4578565545380116E-11</v>
      </c>
      <c r="CR104" s="232">
        <f t="shared" si="42"/>
        <v>-7.4578565545380116E-11</v>
      </c>
      <c r="CS104" s="232">
        <f t="shared" si="42"/>
        <v>-7.4578565545380116E-11</v>
      </c>
      <c r="CT104" s="232">
        <f t="shared" si="42"/>
        <v>-7.4578565545380116E-11</v>
      </c>
      <c r="CU104" s="232">
        <f t="shared" si="42"/>
        <v>-7.4578565545380116E-11</v>
      </c>
      <c r="CV104" s="232">
        <f t="shared" si="42"/>
        <v>-7.4578565545380116E-11</v>
      </c>
    </row>
    <row r="105" spans="1:100" outlineLevel="1" x14ac:dyDescent="0.2">
      <c r="D105" s="209"/>
      <c r="E105" s="235"/>
      <c r="F105" s="235"/>
      <c r="G105" s="235"/>
      <c r="H105" s="235"/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  <c r="X105" s="235"/>
      <c r="Y105" s="235"/>
      <c r="Z105" s="235"/>
      <c r="AA105" s="235"/>
      <c r="AB105" s="235"/>
      <c r="AC105" s="235"/>
      <c r="AD105" s="235"/>
      <c r="AE105" s="235"/>
      <c r="AF105" s="235"/>
      <c r="AG105" s="235"/>
      <c r="AH105" s="235"/>
      <c r="AI105" s="235"/>
      <c r="AJ105" s="235"/>
      <c r="AK105" s="235"/>
      <c r="AL105" s="235"/>
      <c r="AM105" s="235"/>
      <c r="AN105" s="235"/>
      <c r="AO105" s="235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  <c r="BC105" s="235"/>
      <c r="BD105" s="235"/>
      <c r="BE105" s="235"/>
      <c r="BF105" s="235"/>
      <c r="BG105" s="235"/>
      <c r="BH105" s="235"/>
      <c r="BI105" s="235"/>
      <c r="BJ105" s="235"/>
      <c r="BK105" s="235"/>
      <c r="BL105" s="235"/>
      <c r="BM105" s="235"/>
      <c r="BN105" s="235"/>
      <c r="BO105" s="235"/>
      <c r="BP105" s="235"/>
      <c r="BQ105" s="235"/>
      <c r="BR105" s="235"/>
      <c r="BS105" s="235"/>
      <c r="BT105" s="235"/>
      <c r="BU105" s="235"/>
      <c r="BV105" s="235"/>
      <c r="BW105" s="235"/>
      <c r="BX105" s="235"/>
      <c r="BY105" s="235"/>
      <c r="BZ105" s="235"/>
      <c r="CA105" s="235"/>
      <c r="CB105" s="235"/>
      <c r="CC105" s="235"/>
      <c r="CD105" s="235"/>
      <c r="CE105" s="235"/>
      <c r="CF105" s="235"/>
      <c r="CG105" s="235"/>
      <c r="CH105" s="235"/>
      <c r="CI105" s="235"/>
      <c r="CJ105" s="235"/>
      <c r="CK105" s="235"/>
      <c r="CL105" s="235"/>
      <c r="CM105" s="235"/>
      <c r="CN105" s="235"/>
      <c r="CO105" s="235"/>
      <c r="CP105" s="235"/>
      <c r="CQ105" s="235"/>
      <c r="CR105" s="235"/>
      <c r="CS105" s="235"/>
      <c r="CT105" s="235"/>
      <c r="CU105" s="235"/>
      <c r="CV105" s="235"/>
    </row>
    <row r="106" spans="1:100" outlineLevel="1" x14ac:dyDescent="0.2">
      <c r="B106" s="205" t="s">
        <v>57</v>
      </c>
      <c r="D106" s="209"/>
      <c r="E106" s="235"/>
      <c r="F106" s="235"/>
      <c r="G106" s="235"/>
      <c r="H106" s="235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  <c r="X106" s="235"/>
      <c r="Y106" s="235"/>
      <c r="Z106" s="235"/>
      <c r="AA106" s="235"/>
      <c r="AB106" s="235"/>
      <c r="AC106" s="235"/>
      <c r="AD106" s="235"/>
      <c r="AE106" s="235"/>
      <c r="AF106" s="235"/>
      <c r="AG106" s="235"/>
      <c r="AH106" s="235"/>
      <c r="AI106" s="235"/>
      <c r="AJ106" s="235"/>
      <c r="AK106" s="235"/>
      <c r="AL106" s="235"/>
      <c r="AM106" s="235"/>
      <c r="AN106" s="235"/>
      <c r="AO106" s="235"/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  <c r="BC106" s="235"/>
      <c r="BD106" s="235"/>
      <c r="BE106" s="235"/>
      <c r="BF106" s="235"/>
      <c r="BG106" s="235"/>
      <c r="BH106" s="235"/>
      <c r="BI106" s="235"/>
      <c r="BJ106" s="235"/>
      <c r="BK106" s="235"/>
      <c r="BL106" s="235"/>
      <c r="BM106" s="235"/>
      <c r="BN106" s="235"/>
      <c r="BO106" s="235"/>
      <c r="BP106" s="235"/>
      <c r="BQ106" s="235"/>
      <c r="BR106" s="235"/>
      <c r="BS106" s="235"/>
      <c r="BT106" s="235"/>
      <c r="BU106" s="235"/>
      <c r="BV106" s="235"/>
      <c r="BW106" s="235"/>
      <c r="BX106" s="235"/>
      <c r="BY106" s="235"/>
      <c r="BZ106" s="235"/>
      <c r="CA106" s="235"/>
      <c r="CB106" s="235"/>
      <c r="CC106" s="235"/>
      <c r="CD106" s="235"/>
      <c r="CE106" s="235"/>
      <c r="CF106" s="235"/>
      <c r="CG106" s="235"/>
      <c r="CH106" s="235"/>
      <c r="CI106" s="235"/>
      <c r="CJ106" s="235"/>
      <c r="CK106" s="235"/>
      <c r="CL106" s="235"/>
      <c r="CM106" s="235"/>
      <c r="CN106" s="235"/>
      <c r="CO106" s="235"/>
      <c r="CP106" s="235"/>
      <c r="CQ106" s="235"/>
      <c r="CR106" s="235"/>
      <c r="CS106" s="235"/>
      <c r="CT106" s="235"/>
      <c r="CU106" s="235"/>
      <c r="CV106" s="235"/>
    </row>
    <row r="107" spans="1:100" outlineLevel="2" x14ac:dyDescent="0.2">
      <c r="D107" s="209"/>
      <c r="E107" s="288" t="str">
        <f xml:space="preserve"> Equity!E$56</f>
        <v>Retained cash balance</v>
      </c>
      <c r="F107" s="288">
        <f xml:space="preserve"> Equity!F$56</f>
        <v>0</v>
      </c>
      <c r="G107" s="288" t="str">
        <f xml:space="preserve"> Equity!G$56</f>
        <v>$ 000s</v>
      </c>
      <c r="H107" s="288">
        <f xml:space="preserve"> Equity!H$56</f>
        <v>0</v>
      </c>
      <c r="I107" s="288">
        <f xml:space="preserve"> Equity!I$56</f>
        <v>0</v>
      </c>
      <c r="J107" s="288">
        <f xml:space="preserve"> Equity!J$56</f>
        <v>-1.5558398445136845E-6</v>
      </c>
      <c r="K107" s="288">
        <f xml:space="preserve"> Equity!K$56</f>
        <v>-1.402249836246483E-5</v>
      </c>
      <c r="L107" s="288">
        <f xml:space="preserve"> Equity!L$56</f>
        <v>-3.0776860512560233E-5</v>
      </c>
      <c r="M107" s="288">
        <f xml:space="preserve"> Equity!M$56</f>
        <v>-5.0199549150420353E-5</v>
      </c>
      <c r="N107" s="288">
        <f xml:space="preserve"> Equity!N$56</f>
        <v>-4.0178145100071561E-3</v>
      </c>
      <c r="O107" s="288">
        <f xml:space="preserve"> Equity!O$56</f>
        <v>0</v>
      </c>
      <c r="P107" s="288">
        <f xml:space="preserve"> Equity!P$56</f>
        <v>0</v>
      </c>
      <c r="Q107" s="288">
        <f xml:space="preserve"> Equity!Q$56</f>
        <v>0</v>
      </c>
      <c r="R107" s="288">
        <f xml:space="preserve"> Equity!R$56</f>
        <v>0</v>
      </c>
      <c r="S107" s="288">
        <f xml:space="preserve"> Equity!S$56</f>
        <v>0</v>
      </c>
      <c r="T107" s="288">
        <f xml:space="preserve"> Equity!T$56</f>
        <v>0</v>
      </c>
      <c r="U107" s="288">
        <f xml:space="preserve"> Equity!U$56</f>
        <v>0</v>
      </c>
      <c r="V107" s="288">
        <f xml:space="preserve"> Equity!V$56</f>
        <v>0</v>
      </c>
      <c r="W107" s="288">
        <f xml:space="preserve"> Equity!W$56</f>
        <v>0</v>
      </c>
      <c r="X107" s="288">
        <f xml:space="preserve"> Equity!X$56</f>
        <v>0</v>
      </c>
      <c r="Y107" s="288">
        <f xml:space="preserve"> Equity!Y$56</f>
        <v>0</v>
      </c>
      <c r="Z107" s="288">
        <f xml:space="preserve"> Equity!Z$56</f>
        <v>0</v>
      </c>
      <c r="AA107" s="288">
        <f xml:space="preserve"> Equity!AA$56</f>
        <v>0</v>
      </c>
      <c r="AB107" s="288">
        <f xml:space="preserve"> Equity!AB$56</f>
        <v>0</v>
      </c>
      <c r="AC107" s="288">
        <f xml:space="preserve"> Equity!AC$56</f>
        <v>0</v>
      </c>
      <c r="AD107" s="288">
        <f xml:space="preserve"> Equity!AD$56</f>
        <v>0</v>
      </c>
      <c r="AE107" s="288">
        <f xml:space="preserve"> Equity!AE$56</f>
        <v>0</v>
      </c>
      <c r="AF107" s="288">
        <f xml:space="preserve"> Equity!AF$56</f>
        <v>0</v>
      </c>
      <c r="AG107" s="288">
        <f xml:space="preserve"> Equity!AG$56</f>
        <v>0</v>
      </c>
      <c r="AH107" s="288">
        <f xml:space="preserve"> Equity!AH$56</f>
        <v>0</v>
      </c>
      <c r="AI107" s="288">
        <f xml:space="preserve"> Equity!AI$56</f>
        <v>0</v>
      </c>
      <c r="AJ107" s="288">
        <f xml:space="preserve"> Equity!AJ$56</f>
        <v>0</v>
      </c>
      <c r="AK107" s="288">
        <f xml:space="preserve"> Equity!AK$56</f>
        <v>0</v>
      </c>
      <c r="AL107" s="288">
        <f xml:space="preserve"> Equity!AL$56</f>
        <v>0</v>
      </c>
      <c r="AM107" s="288">
        <f xml:space="preserve"> Equity!AM$56</f>
        <v>0</v>
      </c>
      <c r="AN107" s="288">
        <f xml:space="preserve"> Equity!AN$56</f>
        <v>0</v>
      </c>
      <c r="AO107" s="288">
        <f xml:space="preserve"> Equity!AO$56</f>
        <v>0</v>
      </c>
      <c r="AP107" s="288">
        <f xml:space="preserve"> Equity!AP$56</f>
        <v>0</v>
      </c>
      <c r="AQ107" s="288">
        <f xml:space="preserve"> Equity!AQ$56</f>
        <v>0</v>
      </c>
      <c r="AR107" s="288">
        <f xml:space="preserve"> Equity!AR$56</f>
        <v>0</v>
      </c>
      <c r="AS107" s="288">
        <f xml:space="preserve"> Equity!AS$56</f>
        <v>0</v>
      </c>
      <c r="AT107" s="288">
        <f xml:space="preserve"> Equity!AT$56</f>
        <v>0</v>
      </c>
      <c r="AU107" s="288">
        <f xml:space="preserve"> Equity!AU$56</f>
        <v>0</v>
      </c>
      <c r="AV107" s="288">
        <f xml:space="preserve"> Equity!AV$56</f>
        <v>0</v>
      </c>
      <c r="AW107" s="288">
        <f xml:space="preserve"> Equity!AW$56</f>
        <v>0</v>
      </c>
      <c r="AX107" s="288">
        <f xml:space="preserve"> Equity!AX$56</f>
        <v>0</v>
      </c>
      <c r="AY107" s="288">
        <f xml:space="preserve"> Equity!AY$56</f>
        <v>0</v>
      </c>
      <c r="AZ107" s="288">
        <f xml:space="preserve"> Equity!AZ$56</f>
        <v>0</v>
      </c>
      <c r="BA107" s="288">
        <f xml:space="preserve"> Equity!BA$56</f>
        <v>0</v>
      </c>
      <c r="BB107" s="288">
        <f xml:space="preserve"> Equity!BB$56</f>
        <v>0</v>
      </c>
      <c r="BC107" s="288">
        <f xml:space="preserve"> Equity!BC$56</f>
        <v>0</v>
      </c>
      <c r="BD107" s="288">
        <f xml:space="preserve"> Equity!BD$56</f>
        <v>0</v>
      </c>
      <c r="BE107" s="288">
        <f xml:space="preserve"> Equity!BE$56</f>
        <v>0</v>
      </c>
      <c r="BF107" s="288">
        <f xml:space="preserve"> Equity!BF$56</f>
        <v>0</v>
      </c>
      <c r="BG107" s="288">
        <f xml:space="preserve"> Equity!BG$56</f>
        <v>0</v>
      </c>
      <c r="BH107" s="288">
        <f xml:space="preserve"> Equity!BH$56</f>
        <v>0</v>
      </c>
      <c r="BI107" s="288">
        <f xml:space="preserve"> Equity!BI$56</f>
        <v>0</v>
      </c>
      <c r="BJ107" s="288">
        <f xml:space="preserve"> Equity!BJ$56</f>
        <v>0</v>
      </c>
      <c r="BK107" s="288">
        <f xml:space="preserve"> Equity!BK$56</f>
        <v>0</v>
      </c>
      <c r="BL107" s="288">
        <f xml:space="preserve"> Equity!BL$56</f>
        <v>0</v>
      </c>
      <c r="BM107" s="288">
        <f xml:space="preserve"> Equity!BM$56</f>
        <v>0</v>
      </c>
      <c r="BN107" s="288">
        <f xml:space="preserve"> Equity!BN$56</f>
        <v>0</v>
      </c>
      <c r="BO107" s="288">
        <f xml:space="preserve"> Equity!BO$56</f>
        <v>0</v>
      </c>
      <c r="BP107" s="288">
        <f xml:space="preserve"> Equity!BP$56</f>
        <v>0</v>
      </c>
      <c r="BQ107" s="288">
        <f xml:space="preserve"> Equity!BQ$56</f>
        <v>0</v>
      </c>
      <c r="BR107" s="288">
        <f xml:space="preserve"> Equity!BR$56</f>
        <v>0</v>
      </c>
      <c r="BS107" s="288">
        <f xml:space="preserve"> Equity!BS$56</f>
        <v>0</v>
      </c>
      <c r="BT107" s="288">
        <f xml:space="preserve"> Equity!BT$56</f>
        <v>0</v>
      </c>
      <c r="BU107" s="288">
        <f xml:space="preserve"> Equity!BU$56</f>
        <v>0</v>
      </c>
      <c r="BV107" s="288">
        <f xml:space="preserve"> Equity!BV$56</f>
        <v>0</v>
      </c>
      <c r="BW107" s="288">
        <f xml:space="preserve"> Equity!BW$56</f>
        <v>0</v>
      </c>
      <c r="BX107" s="288">
        <f xml:space="preserve"> Equity!BX$56</f>
        <v>0</v>
      </c>
      <c r="BY107" s="288">
        <f xml:space="preserve"> Equity!BY$56</f>
        <v>0</v>
      </c>
      <c r="BZ107" s="288">
        <f xml:space="preserve"> Equity!BZ$56</f>
        <v>0</v>
      </c>
      <c r="CA107" s="288">
        <f xml:space="preserve"> Equity!CA$56</f>
        <v>0</v>
      </c>
      <c r="CB107" s="288">
        <f xml:space="preserve"> Equity!CB$56</f>
        <v>0</v>
      </c>
      <c r="CC107" s="288">
        <f xml:space="preserve"> Equity!CC$56</f>
        <v>0</v>
      </c>
      <c r="CD107" s="288">
        <f xml:space="preserve"> Equity!CD$56</f>
        <v>0</v>
      </c>
      <c r="CE107" s="288">
        <f xml:space="preserve"> Equity!CE$56</f>
        <v>0</v>
      </c>
      <c r="CF107" s="288">
        <f xml:space="preserve"> Equity!CF$56</f>
        <v>0</v>
      </c>
      <c r="CG107" s="288">
        <f xml:space="preserve"> Equity!CG$56</f>
        <v>0</v>
      </c>
      <c r="CH107" s="288">
        <f xml:space="preserve"> Equity!CH$56</f>
        <v>0</v>
      </c>
      <c r="CI107" s="288">
        <f xml:space="preserve"> Equity!CI$56</f>
        <v>0</v>
      </c>
      <c r="CJ107" s="288">
        <f xml:space="preserve"> Equity!CJ$56</f>
        <v>0</v>
      </c>
      <c r="CK107" s="288">
        <f xml:space="preserve"> Equity!CK$56</f>
        <v>0</v>
      </c>
      <c r="CL107" s="288">
        <f xml:space="preserve"> Equity!CL$56</f>
        <v>0</v>
      </c>
      <c r="CM107" s="288">
        <f xml:space="preserve"> Equity!CM$56</f>
        <v>0</v>
      </c>
      <c r="CN107" s="288">
        <f xml:space="preserve"> Equity!CN$56</f>
        <v>0</v>
      </c>
      <c r="CO107" s="288">
        <f xml:space="preserve"> Equity!CO$56</f>
        <v>0</v>
      </c>
      <c r="CP107" s="288">
        <f xml:space="preserve"> Equity!CP$56</f>
        <v>0</v>
      </c>
      <c r="CQ107" s="288">
        <f xml:space="preserve"> Equity!CQ$56</f>
        <v>0</v>
      </c>
      <c r="CR107" s="288">
        <f xml:space="preserve"> Equity!CR$56</f>
        <v>0</v>
      </c>
      <c r="CS107" s="288">
        <f xml:space="preserve"> Equity!CS$56</f>
        <v>0</v>
      </c>
      <c r="CT107" s="288">
        <f xml:space="preserve"> Equity!CT$56</f>
        <v>0</v>
      </c>
      <c r="CU107" s="288">
        <f xml:space="preserve"> Equity!CU$56</f>
        <v>0</v>
      </c>
      <c r="CV107" s="288">
        <f xml:space="preserve"> Equity!CV$56</f>
        <v>0</v>
      </c>
    </row>
    <row r="108" spans="1:100" outlineLevel="2" x14ac:dyDescent="0.2">
      <c r="D108" s="209"/>
      <c r="E108" s="235" t="str">
        <f xml:space="preserve"> Ops!E$276</f>
        <v>Working capital reserve account balance</v>
      </c>
      <c r="F108" s="235">
        <f xml:space="preserve"> Ops!F$276</f>
        <v>0</v>
      </c>
      <c r="G108" s="235" t="str">
        <f xml:space="preserve"> Ops!G$276</f>
        <v>$ 000s</v>
      </c>
      <c r="H108" s="235">
        <f xml:space="preserve"> Ops!H$276</f>
        <v>0</v>
      </c>
      <c r="I108" s="235">
        <f xml:space="preserve"> Ops!I$276</f>
        <v>0</v>
      </c>
      <c r="J108" s="235">
        <f xml:space="preserve"> Ops!J$276</f>
        <v>0</v>
      </c>
      <c r="K108" s="235">
        <f xml:space="preserve"> Ops!K$276</f>
        <v>0</v>
      </c>
      <c r="L108" s="235">
        <f xml:space="preserve"> Ops!L$276</f>
        <v>0</v>
      </c>
      <c r="M108" s="235">
        <f xml:space="preserve"> Ops!M$276</f>
        <v>0</v>
      </c>
      <c r="N108" s="235">
        <f xml:space="preserve"> Ops!N$276</f>
        <v>3857.1209730037863</v>
      </c>
      <c r="O108" s="235">
        <f xml:space="preserve"> Ops!O$276</f>
        <v>0</v>
      </c>
      <c r="P108" s="235">
        <f xml:space="preserve"> Ops!P$276</f>
        <v>0</v>
      </c>
      <c r="Q108" s="235">
        <f xml:space="preserve"> Ops!Q$276</f>
        <v>0</v>
      </c>
      <c r="R108" s="235">
        <f xml:space="preserve"> Ops!R$276</f>
        <v>0</v>
      </c>
      <c r="S108" s="235">
        <f xml:space="preserve"> Ops!S$276</f>
        <v>0</v>
      </c>
      <c r="T108" s="235">
        <f xml:space="preserve"> Ops!T$276</f>
        <v>0</v>
      </c>
      <c r="U108" s="235">
        <f xml:space="preserve"> Ops!U$276</f>
        <v>0</v>
      </c>
      <c r="V108" s="235">
        <f xml:space="preserve"> Ops!V$276</f>
        <v>0</v>
      </c>
      <c r="W108" s="235">
        <f xml:space="preserve"> Ops!W$276</f>
        <v>0</v>
      </c>
      <c r="X108" s="235">
        <f xml:space="preserve"> Ops!X$276</f>
        <v>0</v>
      </c>
      <c r="Y108" s="235">
        <f xml:space="preserve"> Ops!Y$276</f>
        <v>0</v>
      </c>
      <c r="Z108" s="235">
        <f xml:space="preserve"> Ops!Z$276</f>
        <v>0</v>
      </c>
      <c r="AA108" s="235">
        <f xml:space="preserve"> Ops!AA$276</f>
        <v>0</v>
      </c>
      <c r="AB108" s="235">
        <f xml:space="preserve"> Ops!AB$276</f>
        <v>0</v>
      </c>
      <c r="AC108" s="235">
        <f xml:space="preserve"> Ops!AC$276</f>
        <v>0</v>
      </c>
      <c r="AD108" s="235">
        <f xml:space="preserve"> Ops!AD$276</f>
        <v>0</v>
      </c>
      <c r="AE108" s="235">
        <f xml:space="preserve"> Ops!AE$276</f>
        <v>0</v>
      </c>
      <c r="AF108" s="235">
        <f xml:space="preserve"> Ops!AF$276</f>
        <v>0</v>
      </c>
      <c r="AG108" s="235">
        <f xml:space="preserve"> Ops!AG$276</f>
        <v>0</v>
      </c>
      <c r="AH108" s="235">
        <f xml:space="preserve"> Ops!AH$276</f>
        <v>0</v>
      </c>
      <c r="AI108" s="235">
        <f xml:space="preserve"> Ops!AI$276</f>
        <v>0</v>
      </c>
      <c r="AJ108" s="235">
        <f xml:space="preserve"> Ops!AJ$276</f>
        <v>0</v>
      </c>
      <c r="AK108" s="235">
        <f xml:space="preserve"> Ops!AK$276</f>
        <v>0</v>
      </c>
      <c r="AL108" s="235">
        <f xml:space="preserve"> Ops!AL$276</f>
        <v>0</v>
      </c>
      <c r="AM108" s="235">
        <f xml:space="preserve"> Ops!AM$276</f>
        <v>0</v>
      </c>
      <c r="AN108" s="235">
        <f xml:space="preserve"> Ops!AN$276</f>
        <v>0</v>
      </c>
      <c r="AO108" s="235">
        <f xml:space="preserve"> Ops!AO$276</f>
        <v>0</v>
      </c>
      <c r="AP108" s="235">
        <f xml:space="preserve"> Ops!AP$276</f>
        <v>0</v>
      </c>
      <c r="AQ108" s="235">
        <f xml:space="preserve"> Ops!AQ$276</f>
        <v>0</v>
      </c>
      <c r="AR108" s="235">
        <f xml:space="preserve"> Ops!AR$276</f>
        <v>0</v>
      </c>
      <c r="AS108" s="235">
        <f xml:space="preserve"> Ops!AS$276</f>
        <v>0</v>
      </c>
      <c r="AT108" s="235">
        <f xml:space="preserve"> Ops!AT$276</f>
        <v>0</v>
      </c>
      <c r="AU108" s="235">
        <f xml:space="preserve"> Ops!AU$276</f>
        <v>0</v>
      </c>
      <c r="AV108" s="235">
        <f xml:space="preserve"> Ops!AV$276</f>
        <v>0</v>
      </c>
      <c r="AW108" s="235">
        <f xml:space="preserve"> Ops!AW$276</f>
        <v>0</v>
      </c>
      <c r="AX108" s="235">
        <f xml:space="preserve"> Ops!AX$276</f>
        <v>0</v>
      </c>
      <c r="AY108" s="235">
        <f xml:space="preserve"> Ops!AY$276</f>
        <v>0</v>
      </c>
      <c r="AZ108" s="235">
        <f xml:space="preserve"> Ops!AZ$276</f>
        <v>0</v>
      </c>
      <c r="BA108" s="235">
        <f xml:space="preserve"> Ops!BA$276</f>
        <v>0</v>
      </c>
      <c r="BB108" s="235">
        <f xml:space="preserve"> Ops!BB$276</f>
        <v>0</v>
      </c>
      <c r="BC108" s="235">
        <f xml:space="preserve"> Ops!BC$276</f>
        <v>0</v>
      </c>
      <c r="BD108" s="235">
        <f xml:space="preserve"> Ops!BD$276</f>
        <v>0</v>
      </c>
      <c r="BE108" s="235">
        <f xml:space="preserve"> Ops!BE$276</f>
        <v>0</v>
      </c>
      <c r="BF108" s="235">
        <f xml:space="preserve"> Ops!BF$276</f>
        <v>0</v>
      </c>
      <c r="BG108" s="235">
        <f xml:space="preserve"> Ops!BG$276</f>
        <v>0</v>
      </c>
      <c r="BH108" s="235">
        <f xml:space="preserve"> Ops!BH$276</f>
        <v>0</v>
      </c>
      <c r="BI108" s="235">
        <f xml:space="preserve"> Ops!BI$276</f>
        <v>0</v>
      </c>
      <c r="BJ108" s="235">
        <f xml:space="preserve"> Ops!BJ$276</f>
        <v>0</v>
      </c>
      <c r="BK108" s="235">
        <f xml:space="preserve"> Ops!BK$276</f>
        <v>0</v>
      </c>
      <c r="BL108" s="235">
        <f xml:space="preserve"> Ops!BL$276</f>
        <v>0</v>
      </c>
      <c r="BM108" s="235">
        <f xml:space="preserve"> Ops!BM$276</f>
        <v>0</v>
      </c>
      <c r="BN108" s="235">
        <f xml:space="preserve"> Ops!BN$276</f>
        <v>0</v>
      </c>
      <c r="BO108" s="235">
        <f xml:space="preserve"> Ops!BO$276</f>
        <v>0</v>
      </c>
      <c r="BP108" s="235">
        <f xml:space="preserve"> Ops!BP$276</f>
        <v>0</v>
      </c>
      <c r="BQ108" s="235">
        <f xml:space="preserve"> Ops!BQ$276</f>
        <v>0</v>
      </c>
      <c r="BR108" s="235">
        <f xml:space="preserve"> Ops!BR$276</f>
        <v>0</v>
      </c>
      <c r="BS108" s="235">
        <f xml:space="preserve"> Ops!BS$276</f>
        <v>0</v>
      </c>
      <c r="BT108" s="235">
        <f xml:space="preserve"> Ops!BT$276</f>
        <v>0</v>
      </c>
      <c r="BU108" s="235">
        <f xml:space="preserve"> Ops!BU$276</f>
        <v>0</v>
      </c>
      <c r="BV108" s="235">
        <f xml:space="preserve"> Ops!BV$276</f>
        <v>0</v>
      </c>
      <c r="BW108" s="235">
        <f xml:space="preserve"> Ops!BW$276</f>
        <v>0</v>
      </c>
      <c r="BX108" s="235">
        <f xml:space="preserve"> Ops!BX$276</f>
        <v>0</v>
      </c>
      <c r="BY108" s="235">
        <f xml:space="preserve"> Ops!BY$276</f>
        <v>0</v>
      </c>
      <c r="BZ108" s="235">
        <f xml:space="preserve"> Ops!BZ$276</f>
        <v>0</v>
      </c>
      <c r="CA108" s="235">
        <f xml:space="preserve"> Ops!CA$276</f>
        <v>0</v>
      </c>
      <c r="CB108" s="235">
        <f xml:space="preserve"> Ops!CB$276</f>
        <v>0</v>
      </c>
      <c r="CC108" s="235">
        <f xml:space="preserve"> Ops!CC$276</f>
        <v>0</v>
      </c>
      <c r="CD108" s="235">
        <f xml:space="preserve"> Ops!CD$276</f>
        <v>0</v>
      </c>
      <c r="CE108" s="235">
        <f xml:space="preserve"> Ops!CE$276</f>
        <v>0</v>
      </c>
      <c r="CF108" s="235">
        <f xml:space="preserve"> Ops!CF$276</f>
        <v>0</v>
      </c>
      <c r="CG108" s="235">
        <f xml:space="preserve"> Ops!CG$276</f>
        <v>0</v>
      </c>
      <c r="CH108" s="235">
        <f xml:space="preserve"> Ops!CH$276</f>
        <v>0</v>
      </c>
      <c r="CI108" s="235">
        <f xml:space="preserve"> Ops!CI$276</f>
        <v>0</v>
      </c>
      <c r="CJ108" s="235">
        <f xml:space="preserve"> Ops!CJ$276</f>
        <v>0</v>
      </c>
      <c r="CK108" s="235">
        <f xml:space="preserve"> Ops!CK$276</f>
        <v>0</v>
      </c>
      <c r="CL108" s="235">
        <f xml:space="preserve"> Ops!CL$276</f>
        <v>0</v>
      </c>
      <c r="CM108" s="235">
        <f xml:space="preserve"> Ops!CM$276</f>
        <v>0</v>
      </c>
      <c r="CN108" s="235">
        <f xml:space="preserve"> Ops!CN$276</f>
        <v>0</v>
      </c>
      <c r="CO108" s="235">
        <f xml:space="preserve"> Ops!CO$276</f>
        <v>0</v>
      </c>
      <c r="CP108" s="235">
        <f xml:space="preserve"> Ops!CP$276</f>
        <v>0</v>
      </c>
      <c r="CQ108" s="235">
        <f xml:space="preserve"> Ops!CQ$276</f>
        <v>0</v>
      </c>
      <c r="CR108" s="235">
        <f xml:space="preserve"> Ops!CR$276</f>
        <v>0</v>
      </c>
      <c r="CS108" s="235">
        <f xml:space="preserve"> Ops!CS$276</f>
        <v>0</v>
      </c>
      <c r="CT108" s="235">
        <f xml:space="preserve"> Ops!CT$276</f>
        <v>0</v>
      </c>
      <c r="CU108" s="235">
        <f xml:space="preserve"> Ops!CU$276</f>
        <v>0</v>
      </c>
      <c r="CV108" s="235">
        <f xml:space="preserve"> Ops!CV$276</f>
        <v>0</v>
      </c>
    </row>
    <row r="109" spans="1:100" outlineLevel="2" x14ac:dyDescent="0.2">
      <c r="D109" s="209"/>
      <c r="E109" s="235" t="str">
        <f xml:space="preserve"> Ops!E$174</f>
        <v>Accounts receivable balance</v>
      </c>
      <c r="F109" s="235">
        <f xml:space="preserve"> Ops!F$174</f>
        <v>0</v>
      </c>
      <c r="G109" s="235" t="str">
        <f xml:space="preserve"> Ops!G$174</f>
        <v>$ 000s</v>
      </c>
      <c r="H109" s="235">
        <f xml:space="preserve"> Ops!H$174</f>
        <v>0</v>
      </c>
      <c r="I109" s="235">
        <f xml:space="preserve"> Ops!I$174</f>
        <v>0</v>
      </c>
      <c r="J109" s="235">
        <f xml:space="preserve"> Ops!J$174</f>
        <v>0</v>
      </c>
      <c r="K109" s="235">
        <f xml:space="preserve"> Ops!K$174</f>
        <v>0</v>
      </c>
      <c r="L109" s="235">
        <f xml:space="preserve"> Ops!L$174</f>
        <v>0</v>
      </c>
      <c r="M109" s="235">
        <f xml:space="preserve"> Ops!M$174</f>
        <v>0</v>
      </c>
      <c r="N109" s="235">
        <f xml:space="preserve"> Ops!N$174</f>
        <v>0</v>
      </c>
      <c r="O109" s="235">
        <f xml:space="preserve"> Ops!O$174</f>
        <v>4916.0219990907426</v>
      </c>
      <c r="P109" s="235">
        <f xml:space="preserve"> Ops!P$174</f>
        <v>4997.503026699982</v>
      </c>
      <c r="Q109" s="235">
        <f xml:space="preserve"> Ops!Q$174</f>
        <v>4908.0912426146242</v>
      </c>
      <c r="R109" s="235">
        <f xml:space="preserve"> Ops!R$174</f>
        <v>4989.4408212214948</v>
      </c>
      <c r="S109" s="235">
        <f xml:space="preserve"> Ops!S$174</f>
        <v>4900.2101183154118</v>
      </c>
      <c r="T109" s="235">
        <f xml:space="preserve"> Ops!T$174</f>
        <v>4981.4290705526873</v>
      </c>
      <c r="U109" s="235">
        <f xml:space="preserve"> Ops!U$174</f>
        <v>4892.379134354258</v>
      </c>
      <c r="V109" s="235">
        <f xml:space="preserve"> Ops!V$174</f>
        <v>4946.141542424084</v>
      </c>
      <c r="W109" s="235">
        <f xml:space="preserve"> Ops!W$174</f>
        <v>4884.5988087862861</v>
      </c>
      <c r="X109" s="235">
        <f xml:space="preserve"> Ops!X$174</f>
        <v>4965.55901003689</v>
      </c>
      <c r="Y109" s="235">
        <f xml:space="preserve"> Ops!Y$174</f>
        <v>4876.8696697368323</v>
      </c>
      <c r="Z109" s="235">
        <f xml:space="preserve"> Ops!Z$174</f>
        <v>4957.7017637103709</v>
      </c>
      <c r="AA109" s="235">
        <f xml:space="preserve"> Ops!AA$174</f>
        <v>4869.1922555807796</v>
      </c>
      <c r="AB109" s="235">
        <f xml:space="preserve"> Ops!AB$174</f>
        <v>4949.897099595928</v>
      </c>
      <c r="AC109" s="235">
        <f xml:space="preserve"> Ops!AC$174</f>
        <v>4861.5671151251881</v>
      </c>
      <c r="AD109" s="235">
        <f xml:space="preserve"> Ops!AD$174</f>
        <v>4914.9909295771104</v>
      </c>
      <c r="AE109" s="235">
        <f xml:space="preserve"> Ops!AE$174</f>
        <v>4853.9948077951776</v>
      </c>
      <c r="AF109" s="235">
        <f xml:space="preserve"> Ops!AF$174</f>
        <v>4934.4477604105705</v>
      </c>
      <c r="AG109" s="235">
        <f xml:space="preserve"> Ops!AG$174</f>
        <v>4846.4759038231532</v>
      </c>
      <c r="AH109" s="235">
        <f xml:space="preserve"> Ops!AH$174</f>
        <v>4926.8042337207735</v>
      </c>
      <c r="AI109" s="235">
        <f xml:space="preserve"> Ops!AI$174</f>
        <v>4839.0109844414328</v>
      </c>
      <c r="AJ109" s="235">
        <f xml:space="preserve"> Ops!AJ$174</f>
        <v>4919.2155863935004</v>
      </c>
      <c r="AK109" s="235">
        <f xml:space="preserve"> Ops!AK$174</f>
        <v>4831.6006420783342</v>
      </c>
      <c r="AL109" s="235">
        <f xml:space="preserve"> Ops!AL$174</f>
        <v>4884.6951546286473</v>
      </c>
      <c r="AM109" s="235">
        <f xml:space="preserve"> Ops!AM$174</f>
        <v>4824.24548055782</v>
      </c>
      <c r="AN109" s="235">
        <f xml:space="preserve"> Ops!AN$174</f>
        <v>4904.2053504013202</v>
      </c>
      <c r="AO109" s="235">
        <f xml:space="preserve"> Ops!AO$174</f>
        <v>4816.9461153026787</v>
      </c>
      <c r="AP109" s="235">
        <f xml:space="preserve"> Ops!AP$174</f>
        <v>4896.7850011916707</v>
      </c>
      <c r="AQ109" s="235">
        <f xml:space="preserve"> Ops!AQ$174</f>
        <v>4809.7031735413948</v>
      </c>
      <c r="AR109" s="235">
        <f xml:space="preserve"> Ops!AR$174</f>
        <v>4889.4220106719185</v>
      </c>
      <c r="AS109" s="235">
        <f xml:space="preserve"> Ops!AS$174</f>
        <v>4802.5172945187405</v>
      </c>
      <c r="AT109" s="235">
        <f xml:space="preserve"> Ops!AT$174</f>
        <v>4855.2922098431227</v>
      </c>
      <c r="AU109" s="235">
        <f xml:space="preserve"> Ops!AU$174</f>
        <v>4795.3891297101291</v>
      </c>
      <c r="AV109" s="235">
        <f xml:space="preserve"> Ops!AV$174</f>
        <v>4874.8707174953779</v>
      </c>
      <c r="AW109" s="235">
        <f xml:space="preserve"> Ops!AW$174</f>
        <v>4788.319343039846</v>
      </c>
      <c r="AX109" s="235">
        <f xml:space="preserve"> Ops!AX$174</f>
        <v>4867.6837520405061</v>
      </c>
      <c r="AY109" s="235">
        <f xml:space="preserve"> Ops!AY$174</f>
        <v>4781.3086111031771</v>
      </c>
      <c r="AZ109" s="235">
        <f xml:space="preserve"> Ops!AZ$174</f>
        <v>4860.5568201269853</v>
      </c>
      <c r="BA109" s="235">
        <f xml:space="preserve"> Ops!BA$174</f>
        <v>4774.3576233925705</v>
      </c>
      <c r="BB109" s="235">
        <f xml:space="preserve"> Ops!BB$174</f>
        <v>0</v>
      </c>
      <c r="BC109" s="235">
        <f xml:space="preserve"> Ops!BC$174</f>
        <v>0</v>
      </c>
      <c r="BD109" s="235">
        <f xml:space="preserve"> Ops!BD$174</f>
        <v>0</v>
      </c>
      <c r="BE109" s="235">
        <f xml:space="preserve"> Ops!BE$174</f>
        <v>0</v>
      </c>
      <c r="BF109" s="235">
        <f xml:space="preserve"> Ops!BF$174</f>
        <v>0</v>
      </c>
      <c r="BG109" s="235">
        <f xml:space="preserve"> Ops!BG$174</f>
        <v>0</v>
      </c>
      <c r="BH109" s="235">
        <f xml:space="preserve"> Ops!BH$174</f>
        <v>0</v>
      </c>
      <c r="BI109" s="235">
        <f xml:space="preserve"> Ops!BI$174</f>
        <v>0</v>
      </c>
      <c r="BJ109" s="235">
        <f xml:space="preserve"> Ops!BJ$174</f>
        <v>0</v>
      </c>
      <c r="BK109" s="235">
        <f xml:space="preserve"> Ops!BK$174</f>
        <v>0</v>
      </c>
      <c r="BL109" s="235">
        <f xml:space="preserve"> Ops!BL$174</f>
        <v>0</v>
      </c>
      <c r="BM109" s="235">
        <f xml:space="preserve"> Ops!BM$174</f>
        <v>0</v>
      </c>
      <c r="BN109" s="235">
        <f xml:space="preserve"> Ops!BN$174</f>
        <v>0</v>
      </c>
      <c r="BO109" s="235">
        <f xml:space="preserve"> Ops!BO$174</f>
        <v>0</v>
      </c>
      <c r="BP109" s="235">
        <f xml:space="preserve"> Ops!BP$174</f>
        <v>0</v>
      </c>
      <c r="BQ109" s="235">
        <f xml:space="preserve"> Ops!BQ$174</f>
        <v>0</v>
      </c>
      <c r="BR109" s="235">
        <f xml:space="preserve"> Ops!BR$174</f>
        <v>0</v>
      </c>
      <c r="BS109" s="235">
        <f xml:space="preserve"> Ops!BS$174</f>
        <v>0</v>
      </c>
      <c r="BT109" s="235">
        <f xml:space="preserve"> Ops!BT$174</f>
        <v>0</v>
      </c>
      <c r="BU109" s="235">
        <f xml:space="preserve"> Ops!BU$174</f>
        <v>0</v>
      </c>
      <c r="BV109" s="235">
        <f xml:space="preserve"> Ops!BV$174</f>
        <v>0</v>
      </c>
      <c r="BW109" s="235">
        <f xml:space="preserve"> Ops!BW$174</f>
        <v>0</v>
      </c>
      <c r="BX109" s="235">
        <f xml:space="preserve"> Ops!BX$174</f>
        <v>0</v>
      </c>
      <c r="BY109" s="235">
        <f xml:space="preserve"> Ops!BY$174</f>
        <v>0</v>
      </c>
      <c r="BZ109" s="235">
        <f xml:space="preserve"> Ops!BZ$174</f>
        <v>0</v>
      </c>
      <c r="CA109" s="235">
        <f xml:space="preserve"> Ops!CA$174</f>
        <v>0</v>
      </c>
      <c r="CB109" s="235">
        <f xml:space="preserve"> Ops!CB$174</f>
        <v>0</v>
      </c>
      <c r="CC109" s="235">
        <f xml:space="preserve"> Ops!CC$174</f>
        <v>0</v>
      </c>
      <c r="CD109" s="235">
        <f xml:space="preserve"> Ops!CD$174</f>
        <v>0</v>
      </c>
      <c r="CE109" s="235">
        <f xml:space="preserve"> Ops!CE$174</f>
        <v>0</v>
      </c>
      <c r="CF109" s="235">
        <f xml:space="preserve"> Ops!CF$174</f>
        <v>0</v>
      </c>
      <c r="CG109" s="235">
        <f xml:space="preserve"> Ops!CG$174</f>
        <v>0</v>
      </c>
      <c r="CH109" s="235">
        <f xml:space="preserve"> Ops!CH$174</f>
        <v>0</v>
      </c>
      <c r="CI109" s="235">
        <f xml:space="preserve"> Ops!CI$174</f>
        <v>0</v>
      </c>
      <c r="CJ109" s="235">
        <f xml:space="preserve"> Ops!CJ$174</f>
        <v>0</v>
      </c>
      <c r="CK109" s="235">
        <f xml:space="preserve"> Ops!CK$174</f>
        <v>0</v>
      </c>
      <c r="CL109" s="235">
        <f xml:space="preserve"> Ops!CL$174</f>
        <v>0</v>
      </c>
      <c r="CM109" s="235">
        <f xml:space="preserve"> Ops!CM$174</f>
        <v>0</v>
      </c>
      <c r="CN109" s="235">
        <f xml:space="preserve"> Ops!CN$174</f>
        <v>0</v>
      </c>
      <c r="CO109" s="235">
        <f xml:space="preserve"> Ops!CO$174</f>
        <v>0</v>
      </c>
      <c r="CP109" s="235">
        <f xml:space="preserve"> Ops!CP$174</f>
        <v>0</v>
      </c>
      <c r="CQ109" s="235">
        <f xml:space="preserve"> Ops!CQ$174</f>
        <v>0</v>
      </c>
      <c r="CR109" s="235">
        <f xml:space="preserve"> Ops!CR$174</f>
        <v>0</v>
      </c>
      <c r="CS109" s="235">
        <f xml:space="preserve"> Ops!CS$174</f>
        <v>0</v>
      </c>
      <c r="CT109" s="235">
        <f xml:space="preserve"> Ops!CT$174</f>
        <v>0</v>
      </c>
      <c r="CU109" s="235">
        <f xml:space="preserve"> Ops!CU$174</f>
        <v>0</v>
      </c>
      <c r="CV109" s="235">
        <f xml:space="preserve"> Ops!CV$174</f>
        <v>0</v>
      </c>
    </row>
    <row r="110" spans="1:100" s="191" customFormat="1" outlineLevel="2" x14ac:dyDescent="0.2">
      <c r="A110" s="205"/>
      <c r="B110" s="205"/>
      <c r="C110" s="206"/>
      <c r="D110" s="209"/>
      <c r="E110" s="235" t="str">
        <f xml:space="preserve"> Ops!E$312</f>
        <v>EGR receivables balance</v>
      </c>
      <c r="F110" s="235">
        <f xml:space="preserve"> Ops!F$312</f>
        <v>0</v>
      </c>
      <c r="G110" s="235" t="str">
        <f xml:space="preserve"> Ops!G$312</f>
        <v>$ 000s</v>
      </c>
      <c r="H110" s="235">
        <f xml:space="preserve"> Ops!H$312</f>
        <v>0</v>
      </c>
      <c r="I110" s="235">
        <f xml:space="preserve"> Ops!I$312</f>
        <v>0</v>
      </c>
      <c r="J110" s="235">
        <f xml:space="preserve"> Ops!J$312</f>
        <v>0</v>
      </c>
      <c r="K110" s="235">
        <f xml:space="preserve"> Ops!K$312</f>
        <v>0</v>
      </c>
      <c r="L110" s="235">
        <f xml:space="preserve"> Ops!L$312</f>
        <v>0</v>
      </c>
      <c r="M110" s="235">
        <f xml:space="preserve"> Ops!M$312</f>
        <v>1990</v>
      </c>
      <c r="N110" s="235">
        <f xml:space="preserve"> Ops!N$312</f>
        <v>1990</v>
      </c>
      <c r="O110" s="235">
        <f xml:space="preserve"> Ops!O$312</f>
        <v>0</v>
      </c>
      <c r="P110" s="235">
        <f xml:space="preserve"> Ops!P$312</f>
        <v>0</v>
      </c>
      <c r="Q110" s="235">
        <f xml:space="preserve"> Ops!Q$312</f>
        <v>0</v>
      </c>
      <c r="R110" s="235">
        <f xml:space="preserve"> Ops!R$312</f>
        <v>0</v>
      </c>
      <c r="S110" s="235">
        <f xml:space="preserve"> Ops!S$312</f>
        <v>0</v>
      </c>
      <c r="T110" s="235">
        <f xml:space="preserve"> Ops!T$312</f>
        <v>0</v>
      </c>
      <c r="U110" s="235">
        <f xml:space="preserve"> Ops!U$312</f>
        <v>0</v>
      </c>
      <c r="V110" s="235">
        <f xml:space="preserve"> Ops!V$312</f>
        <v>0</v>
      </c>
      <c r="W110" s="235">
        <f xml:space="preserve"> Ops!W$312</f>
        <v>0</v>
      </c>
      <c r="X110" s="235">
        <f xml:space="preserve"> Ops!X$312</f>
        <v>0</v>
      </c>
      <c r="Y110" s="235">
        <f xml:space="preserve"> Ops!Y$312</f>
        <v>0</v>
      </c>
      <c r="Z110" s="235">
        <f xml:space="preserve"> Ops!Z$312</f>
        <v>0</v>
      </c>
      <c r="AA110" s="235">
        <f xml:space="preserve"> Ops!AA$312</f>
        <v>0</v>
      </c>
      <c r="AB110" s="235">
        <f xml:space="preserve"> Ops!AB$312</f>
        <v>0</v>
      </c>
      <c r="AC110" s="235">
        <f xml:space="preserve"> Ops!AC$312</f>
        <v>0</v>
      </c>
      <c r="AD110" s="235">
        <f xml:space="preserve"> Ops!AD$312</f>
        <v>0</v>
      </c>
      <c r="AE110" s="235">
        <f xml:space="preserve"> Ops!AE$312</f>
        <v>0</v>
      </c>
      <c r="AF110" s="235">
        <f xml:space="preserve"> Ops!AF$312</f>
        <v>0</v>
      </c>
      <c r="AG110" s="235">
        <f xml:space="preserve"> Ops!AG$312</f>
        <v>0</v>
      </c>
      <c r="AH110" s="235">
        <f xml:space="preserve"> Ops!AH$312</f>
        <v>0</v>
      </c>
      <c r="AI110" s="235">
        <f xml:space="preserve"> Ops!AI$312</f>
        <v>0</v>
      </c>
      <c r="AJ110" s="235">
        <f xml:space="preserve"> Ops!AJ$312</f>
        <v>0</v>
      </c>
      <c r="AK110" s="235">
        <f xml:space="preserve"> Ops!AK$312</f>
        <v>0</v>
      </c>
      <c r="AL110" s="235">
        <f xml:space="preserve"> Ops!AL$312</f>
        <v>0</v>
      </c>
      <c r="AM110" s="235">
        <f xml:space="preserve"> Ops!AM$312</f>
        <v>0</v>
      </c>
      <c r="AN110" s="235">
        <f xml:space="preserve"> Ops!AN$312</f>
        <v>0</v>
      </c>
      <c r="AO110" s="235">
        <f xml:space="preserve"> Ops!AO$312</f>
        <v>0</v>
      </c>
      <c r="AP110" s="235">
        <f xml:space="preserve"> Ops!AP$312</f>
        <v>0</v>
      </c>
      <c r="AQ110" s="235">
        <f xml:space="preserve"> Ops!AQ$312</f>
        <v>0</v>
      </c>
      <c r="AR110" s="235">
        <f xml:space="preserve"> Ops!AR$312</f>
        <v>0</v>
      </c>
      <c r="AS110" s="235">
        <f xml:space="preserve"> Ops!AS$312</f>
        <v>0</v>
      </c>
      <c r="AT110" s="235">
        <f xml:space="preserve"> Ops!AT$312</f>
        <v>0</v>
      </c>
      <c r="AU110" s="235">
        <f xml:space="preserve"> Ops!AU$312</f>
        <v>0</v>
      </c>
      <c r="AV110" s="235">
        <f xml:space="preserve"> Ops!AV$312</f>
        <v>0</v>
      </c>
      <c r="AW110" s="235">
        <f xml:space="preserve"> Ops!AW$312</f>
        <v>0</v>
      </c>
      <c r="AX110" s="235">
        <f xml:space="preserve"> Ops!AX$312</f>
        <v>0</v>
      </c>
      <c r="AY110" s="235">
        <f xml:space="preserve"> Ops!AY$312</f>
        <v>0</v>
      </c>
      <c r="AZ110" s="235">
        <f xml:space="preserve"> Ops!AZ$312</f>
        <v>0</v>
      </c>
      <c r="BA110" s="235">
        <f xml:space="preserve"> Ops!BA$312</f>
        <v>0</v>
      </c>
      <c r="BB110" s="235">
        <f xml:space="preserve"> Ops!BB$312</f>
        <v>0</v>
      </c>
      <c r="BC110" s="235">
        <f xml:space="preserve"> Ops!BC$312</f>
        <v>0</v>
      </c>
      <c r="BD110" s="235">
        <f xml:space="preserve"> Ops!BD$312</f>
        <v>0</v>
      </c>
      <c r="BE110" s="235">
        <f xml:space="preserve"> Ops!BE$312</f>
        <v>0</v>
      </c>
      <c r="BF110" s="235">
        <f xml:space="preserve"> Ops!BF$312</f>
        <v>0</v>
      </c>
      <c r="BG110" s="235">
        <f xml:space="preserve"> Ops!BG$312</f>
        <v>0</v>
      </c>
      <c r="BH110" s="235">
        <f xml:space="preserve"> Ops!BH$312</f>
        <v>0</v>
      </c>
      <c r="BI110" s="235">
        <f xml:space="preserve"> Ops!BI$312</f>
        <v>0</v>
      </c>
      <c r="BJ110" s="235">
        <f xml:space="preserve"> Ops!BJ$312</f>
        <v>0</v>
      </c>
      <c r="BK110" s="235">
        <f xml:space="preserve"> Ops!BK$312</f>
        <v>0</v>
      </c>
      <c r="BL110" s="235">
        <f xml:space="preserve"> Ops!BL$312</f>
        <v>0</v>
      </c>
      <c r="BM110" s="235">
        <f xml:space="preserve"> Ops!BM$312</f>
        <v>0</v>
      </c>
      <c r="BN110" s="235">
        <f xml:space="preserve"> Ops!BN$312</f>
        <v>0</v>
      </c>
      <c r="BO110" s="235">
        <f xml:space="preserve"> Ops!BO$312</f>
        <v>0</v>
      </c>
      <c r="BP110" s="235">
        <f xml:space="preserve"> Ops!BP$312</f>
        <v>0</v>
      </c>
      <c r="BQ110" s="235">
        <f xml:space="preserve"> Ops!BQ$312</f>
        <v>0</v>
      </c>
      <c r="BR110" s="235">
        <f xml:space="preserve"> Ops!BR$312</f>
        <v>0</v>
      </c>
      <c r="BS110" s="235">
        <f xml:space="preserve"> Ops!BS$312</f>
        <v>0</v>
      </c>
      <c r="BT110" s="235">
        <f xml:space="preserve"> Ops!BT$312</f>
        <v>0</v>
      </c>
      <c r="BU110" s="235">
        <f xml:space="preserve"> Ops!BU$312</f>
        <v>0</v>
      </c>
      <c r="BV110" s="235">
        <f xml:space="preserve"> Ops!BV$312</f>
        <v>0</v>
      </c>
      <c r="BW110" s="235">
        <f xml:space="preserve"> Ops!BW$312</f>
        <v>0</v>
      </c>
      <c r="BX110" s="235">
        <f xml:space="preserve"> Ops!BX$312</f>
        <v>0</v>
      </c>
      <c r="BY110" s="235">
        <f xml:space="preserve"> Ops!BY$312</f>
        <v>0</v>
      </c>
      <c r="BZ110" s="235">
        <f xml:space="preserve"> Ops!BZ$312</f>
        <v>0</v>
      </c>
      <c r="CA110" s="235">
        <f xml:space="preserve"> Ops!CA$312</f>
        <v>0</v>
      </c>
      <c r="CB110" s="235">
        <f xml:space="preserve"> Ops!CB$312</f>
        <v>0</v>
      </c>
      <c r="CC110" s="235">
        <f xml:space="preserve"> Ops!CC$312</f>
        <v>0</v>
      </c>
      <c r="CD110" s="235">
        <f xml:space="preserve"> Ops!CD$312</f>
        <v>0</v>
      </c>
      <c r="CE110" s="235">
        <f xml:space="preserve"> Ops!CE$312</f>
        <v>0</v>
      </c>
      <c r="CF110" s="235">
        <f xml:space="preserve"> Ops!CF$312</f>
        <v>0</v>
      </c>
      <c r="CG110" s="235">
        <f xml:space="preserve"> Ops!CG$312</f>
        <v>0</v>
      </c>
      <c r="CH110" s="235">
        <f xml:space="preserve"> Ops!CH$312</f>
        <v>0</v>
      </c>
      <c r="CI110" s="235">
        <f xml:space="preserve"> Ops!CI$312</f>
        <v>0</v>
      </c>
      <c r="CJ110" s="235">
        <f xml:space="preserve"> Ops!CJ$312</f>
        <v>0</v>
      </c>
      <c r="CK110" s="235">
        <f xml:space="preserve"> Ops!CK$312</f>
        <v>0</v>
      </c>
      <c r="CL110" s="235">
        <f xml:space="preserve"> Ops!CL$312</f>
        <v>0</v>
      </c>
      <c r="CM110" s="235">
        <f xml:space="preserve"> Ops!CM$312</f>
        <v>0</v>
      </c>
      <c r="CN110" s="235">
        <f xml:space="preserve"> Ops!CN$312</f>
        <v>0</v>
      </c>
      <c r="CO110" s="235">
        <f xml:space="preserve"> Ops!CO$312</f>
        <v>0</v>
      </c>
      <c r="CP110" s="235">
        <f xml:space="preserve"> Ops!CP$312</f>
        <v>0</v>
      </c>
      <c r="CQ110" s="235">
        <f xml:space="preserve"> Ops!CQ$312</f>
        <v>0</v>
      </c>
      <c r="CR110" s="235">
        <f xml:space="preserve"> Ops!CR$312</f>
        <v>0</v>
      </c>
      <c r="CS110" s="235">
        <f xml:space="preserve"> Ops!CS$312</f>
        <v>0</v>
      </c>
      <c r="CT110" s="235">
        <f xml:space="preserve"> Ops!CT$312</f>
        <v>0</v>
      </c>
      <c r="CU110" s="235">
        <f xml:space="preserve"> Ops!CU$312</f>
        <v>0</v>
      </c>
      <c r="CV110" s="235">
        <f xml:space="preserve"> Ops!CV$312</f>
        <v>0</v>
      </c>
    </row>
    <row r="111" spans="1:100" s="191" customFormat="1" outlineLevel="2" x14ac:dyDescent="0.2">
      <c r="A111" s="205"/>
      <c r="B111" s="205"/>
      <c r="C111" s="206"/>
      <c r="D111" s="209"/>
      <c r="E111" s="288" t="str">
        <f xml:space="preserve"> DSRA!E$84</f>
        <v>DSRA balance</v>
      </c>
      <c r="F111" s="288">
        <f xml:space="preserve"> DSRA!F$84</f>
        <v>0</v>
      </c>
      <c r="G111" s="288" t="str">
        <f xml:space="preserve"> DSRA!G$84</f>
        <v>$ 000s</v>
      </c>
      <c r="H111" s="288">
        <f xml:space="preserve"> DSRA!H$84</f>
        <v>0</v>
      </c>
      <c r="I111" s="288">
        <f xml:space="preserve"> DSRA!I$84</f>
        <v>0</v>
      </c>
      <c r="J111" s="288">
        <f xml:space="preserve"> DSRA!J$84</f>
        <v>0</v>
      </c>
      <c r="K111" s="288">
        <f xml:space="preserve"> DSRA!K$84</f>
        <v>0</v>
      </c>
      <c r="L111" s="288">
        <f xml:space="preserve"> DSRA!L$84</f>
        <v>0</v>
      </c>
      <c r="M111" s="288">
        <f xml:space="preserve"> DSRA!M$84</f>
        <v>0</v>
      </c>
      <c r="N111" s="288">
        <f xml:space="preserve"> DSRA!N$84</f>
        <v>11233.130669939161</v>
      </c>
      <c r="O111" s="288">
        <f xml:space="preserve"> DSRA!O$84</f>
        <v>11233.130669939161</v>
      </c>
      <c r="P111" s="288">
        <f xml:space="preserve"> DSRA!P$84</f>
        <v>11190.794928838903</v>
      </c>
      <c r="Q111" s="288">
        <f xml:space="preserve"> DSRA!Q$84</f>
        <v>11147.702061098667</v>
      </c>
      <c r="R111" s="288">
        <f xml:space="preserve"> DSRA!R$84</f>
        <v>11104.822479349081</v>
      </c>
      <c r="S111" s="288">
        <f xml:space="preserve"> DSRA!S$84</f>
        <v>11061.172559369908</v>
      </c>
      <c r="T111" s="288">
        <f xml:space="preserve"> DSRA!T$84</f>
        <v>11025.255469920612</v>
      </c>
      <c r="U111" s="288">
        <f xml:space="preserve"> DSRA!U$84</f>
        <v>10973.518731652715</v>
      </c>
      <c r="V111" s="288">
        <f xml:space="preserve"> DSRA!V$84</f>
        <v>10921.998577696688</v>
      </c>
      <c r="W111" s="288">
        <f xml:space="preserve"> DSRA!W$84</f>
        <v>10884.71667623521</v>
      </c>
      <c r="X111" s="288">
        <f xml:space="preserve"> DSRA!X$84</f>
        <v>10840.135152344956</v>
      </c>
      <c r="Y111" s="288">
        <f xml:space="preserve"> DSRA!Y$84</f>
        <v>10794.742010746362</v>
      </c>
      <c r="Z111" s="288">
        <f xml:space="preserve"> DSRA!Z$84</f>
        <v>10749.568908064761</v>
      </c>
      <c r="AA111" s="288">
        <f xml:space="preserve"> DSRA!AA$84</f>
        <v>10703.56986326347</v>
      </c>
      <c r="AB111" s="288">
        <f xml:space="preserve"> DSRA!AB$84</f>
        <v>10665.064311187987</v>
      </c>
      <c r="AC111" s="288">
        <f xml:space="preserve"> DSRA!AC$84</f>
        <v>10611.174866718349</v>
      </c>
      <c r="AD111" s="288">
        <f xml:space="preserve"> DSRA!AD$84</f>
        <v>10557.509077694693</v>
      </c>
      <c r="AE111" s="288">
        <f xml:space="preserve"> DSRA!AE$84</f>
        <v>10517.531143266302</v>
      </c>
      <c r="AF111" s="288">
        <f xml:space="preserve"> DSRA!AF$84</f>
        <v>10470.507070020134</v>
      </c>
      <c r="AG111" s="288">
        <f xml:space="preserve"> DSRA!AG$84</f>
        <v>10422.612301906172</v>
      </c>
      <c r="AH111" s="288">
        <f xml:space="preserve"> DSRA!AH$84</f>
        <v>10374.944975120165</v>
      </c>
      <c r="AI111" s="288">
        <f xml:space="preserve"> DSRA!AI$84</f>
        <v>10326.391413681304</v>
      </c>
      <c r="AJ111" s="288">
        <f xml:space="preserve"> DSRA!AJ$84</f>
        <v>10285.079124192071</v>
      </c>
      <c r="AK111" s="288">
        <f xml:space="preserve"> DSRA!AK$84</f>
        <v>10228.841010385528</v>
      </c>
      <c r="AL111" s="288">
        <f xml:space="preserve"> DSRA!AL$84</f>
        <v>10172.834298762504</v>
      </c>
      <c r="AM111" s="288">
        <f xml:space="preserve"> DSRA!AM$84</f>
        <v>10129.933079413677</v>
      </c>
      <c r="AN111" s="288">
        <f xml:space="preserve"> DSRA!AN$84</f>
        <v>10080.253439298456</v>
      </c>
      <c r="AO111" s="288">
        <f xml:space="preserve"> DSRA!AO$84</f>
        <v>10029.63904497031</v>
      </c>
      <c r="AP111" s="288">
        <f xml:space="preserve"> DSRA!AP$84</f>
        <v>9979.2601971614822</v>
      </c>
      <c r="AQ111" s="288">
        <f xml:space="preserve"> DSRA!AQ$84</f>
        <v>9927.9304935534874</v>
      </c>
      <c r="AR111" s="288">
        <f xml:space="preserve"> DSRA!AR$84</f>
        <v>9883.5760729497488</v>
      </c>
      <c r="AS111" s="288">
        <f xml:space="preserve"> DSRA!AS$84</f>
        <v>9824.7779316197557</v>
      </c>
      <c r="AT111" s="288">
        <f xml:space="preserve"> DSRA!AT$84</f>
        <v>9766.220927027236</v>
      </c>
      <c r="AU111" s="288">
        <f xml:space="preserve"> DSRA!AU$84</f>
        <v>4860.2302073800211</v>
      </c>
      <c r="AV111" s="288">
        <f xml:space="preserve"> DSRA!AV$84</f>
        <v>-2.0082668106624624E-4</v>
      </c>
      <c r="AW111" s="288">
        <f xml:space="preserve"> DSRA!AW$84</f>
        <v>-2.0082668106624624E-4</v>
      </c>
      <c r="AX111" s="288">
        <f xml:space="preserve"> DSRA!AX$84</f>
        <v>-2.0082668106624624E-4</v>
      </c>
      <c r="AY111" s="288">
        <f xml:space="preserve"> DSRA!AY$84</f>
        <v>-2.0082668106624624E-4</v>
      </c>
      <c r="AZ111" s="288">
        <f xml:space="preserve"> DSRA!AZ$84</f>
        <v>-2.0082668106624624E-4</v>
      </c>
      <c r="BA111" s="288">
        <f xml:space="preserve"> DSRA!BA$84</f>
        <v>-2.0082668106624624E-4</v>
      </c>
      <c r="BB111" s="288">
        <f xml:space="preserve"> DSRA!BB$84</f>
        <v>-2.0082668106624624E-4</v>
      </c>
      <c r="BC111" s="288">
        <f xml:space="preserve"> DSRA!BC$84</f>
        <v>-2.0082668106624624E-4</v>
      </c>
      <c r="BD111" s="288">
        <f xml:space="preserve"> DSRA!BD$84</f>
        <v>-2.0082668106624624E-4</v>
      </c>
      <c r="BE111" s="288">
        <f xml:space="preserve"> DSRA!BE$84</f>
        <v>-2.0082668106624624E-4</v>
      </c>
      <c r="BF111" s="288">
        <f xml:space="preserve"> DSRA!BF$84</f>
        <v>-2.0082668106624624E-4</v>
      </c>
      <c r="BG111" s="288">
        <f xml:space="preserve"> DSRA!BG$84</f>
        <v>-2.0082668106624624E-4</v>
      </c>
      <c r="BH111" s="288">
        <f xml:space="preserve"> DSRA!BH$84</f>
        <v>-2.0082668106624624E-4</v>
      </c>
      <c r="BI111" s="288">
        <f xml:space="preserve"> DSRA!BI$84</f>
        <v>-2.0082668106624624E-4</v>
      </c>
      <c r="BJ111" s="288">
        <f xml:space="preserve"> DSRA!BJ$84</f>
        <v>-2.0082668106624624E-4</v>
      </c>
      <c r="BK111" s="288">
        <f xml:space="preserve"> DSRA!BK$84</f>
        <v>-2.0082668106624624E-4</v>
      </c>
      <c r="BL111" s="288">
        <f xml:space="preserve"> DSRA!BL$84</f>
        <v>-2.0082668106624624E-4</v>
      </c>
      <c r="BM111" s="288">
        <f xml:space="preserve"> DSRA!BM$84</f>
        <v>-2.0082668106624624E-4</v>
      </c>
      <c r="BN111" s="288">
        <f xml:space="preserve"> DSRA!BN$84</f>
        <v>-2.0082668106624624E-4</v>
      </c>
      <c r="BO111" s="288">
        <f xml:space="preserve"> DSRA!BO$84</f>
        <v>-2.0082668106624624E-4</v>
      </c>
      <c r="BP111" s="288">
        <f xml:space="preserve"> DSRA!BP$84</f>
        <v>-2.0082668106624624E-4</v>
      </c>
      <c r="BQ111" s="288">
        <f xml:space="preserve"> DSRA!BQ$84</f>
        <v>-2.0082668106624624E-4</v>
      </c>
      <c r="BR111" s="288">
        <f xml:space="preserve"> DSRA!BR$84</f>
        <v>-2.0082668106624624E-4</v>
      </c>
      <c r="BS111" s="288">
        <f xml:space="preserve"> DSRA!BS$84</f>
        <v>-2.0082668106624624E-4</v>
      </c>
      <c r="BT111" s="288">
        <f xml:space="preserve"> DSRA!BT$84</f>
        <v>-2.0082668106624624E-4</v>
      </c>
      <c r="BU111" s="288">
        <f xml:space="preserve"> DSRA!BU$84</f>
        <v>-2.0082668106624624E-4</v>
      </c>
      <c r="BV111" s="288">
        <f xml:space="preserve"> DSRA!BV$84</f>
        <v>-2.0082668106624624E-4</v>
      </c>
      <c r="BW111" s="288">
        <f xml:space="preserve"> DSRA!BW$84</f>
        <v>-2.0082668106624624E-4</v>
      </c>
      <c r="BX111" s="288">
        <f xml:space="preserve"> DSRA!BX$84</f>
        <v>-2.0082668106624624E-4</v>
      </c>
      <c r="BY111" s="288">
        <f xml:space="preserve"> DSRA!BY$84</f>
        <v>-2.0082668106624624E-4</v>
      </c>
      <c r="BZ111" s="288">
        <f xml:space="preserve"> DSRA!BZ$84</f>
        <v>-2.0082668106624624E-4</v>
      </c>
      <c r="CA111" s="288">
        <f xml:space="preserve"> DSRA!CA$84</f>
        <v>-2.0082668106624624E-4</v>
      </c>
      <c r="CB111" s="288">
        <f xml:space="preserve"> DSRA!CB$84</f>
        <v>-2.0082668106624624E-4</v>
      </c>
      <c r="CC111" s="288">
        <f xml:space="preserve"> DSRA!CC$84</f>
        <v>-2.0082668106624624E-4</v>
      </c>
      <c r="CD111" s="288">
        <f xml:space="preserve"> DSRA!CD$84</f>
        <v>-2.0082668106624624E-4</v>
      </c>
      <c r="CE111" s="288">
        <f xml:space="preserve"> DSRA!CE$84</f>
        <v>-2.0082668106624624E-4</v>
      </c>
      <c r="CF111" s="288">
        <f xml:space="preserve"> DSRA!CF$84</f>
        <v>-2.0082668106624624E-4</v>
      </c>
      <c r="CG111" s="288">
        <f xml:space="preserve"> DSRA!CG$84</f>
        <v>-2.0082668106624624E-4</v>
      </c>
      <c r="CH111" s="288">
        <f xml:space="preserve"> DSRA!CH$84</f>
        <v>-2.0082668106624624E-4</v>
      </c>
      <c r="CI111" s="288">
        <f xml:space="preserve"> DSRA!CI$84</f>
        <v>-2.0082668106624624E-4</v>
      </c>
      <c r="CJ111" s="288">
        <f xml:space="preserve"> DSRA!CJ$84</f>
        <v>-2.0082668106624624E-4</v>
      </c>
      <c r="CK111" s="288">
        <f xml:space="preserve"> DSRA!CK$84</f>
        <v>-2.0082668106624624E-4</v>
      </c>
      <c r="CL111" s="288">
        <f xml:space="preserve"> DSRA!CL$84</f>
        <v>-2.0082668106624624E-4</v>
      </c>
      <c r="CM111" s="288">
        <f xml:space="preserve"> DSRA!CM$84</f>
        <v>-2.0082668106624624E-4</v>
      </c>
      <c r="CN111" s="288">
        <f xml:space="preserve"> DSRA!CN$84</f>
        <v>-2.0082668106624624E-4</v>
      </c>
      <c r="CO111" s="288">
        <f xml:space="preserve"> DSRA!CO$84</f>
        <v>-2.0082668106624624E-4</v>
      </c>
      <c r="CP111" s="288">
        <f xml:space="preserve"> DSRA!CP$84</f>
        <v>-2.0082668106624624E-4</v>
      </c>
      <c r="CQ111" s="288">
        <f xml:space="preserve"> DSRA!CQ$84</f>
        <v>-2.0082668106624624E-4</v>
      </c>
      <c r="CR111" s="288">
        <f xml:space="preserve"> DSRA!CR$84</f>
        <v>-2.0082668106624624E-4</v>
      </c>
      <c r="CS111" s="288">
        <f xml:space="preserve"> DSRA!CS$84</f>
        <v>-2.0082668106624624E-4</v>
      </c>
      <c r="CT111" s="288">
        <f xml:space="preserve"> DSRA!CT$84</f>
        <v>-2.0082668106624624E-4</v>
      </c>
      <c r="CU111" s="288">
        <f xml:space="preserve"> DSRA!CU$84</f>
        <v>-2.0082668106624624E-4</v>
      </c>
      <c r="CV111" s="288">
        <f xml:space="preserve"> DSRA!CV$84</f>
        <v>-2.0082668106624624E-4</v>
      </c>
    </row>
    <row r="112" spans="1:100" outlineLevel="2" x14ac:dyDescent="0.2">
      <c r="D112" s="209"/>
      <c r="E112" s="232" t="s">
        <v>57</v>
      </c>
      <c r="F112" s="232"/>
      <c r="G112" s="232" t="str">
        <f>SMU</f>
        <v>$ 000s</v>
      </c>
      <c r="H112" s="232"/>
      <c r="I112" s="232"/>
      <c r="J112" s="232">
        <f t="shared" ref="J112:AO112" si="43">SUM(J107:J111)</f>
        <v>-1.5558398445136845E-6</v>
      </c>
      <c r="K112" s="232">
        <f t="shared" si="43"/>
        <v>-1.402249836246483E-5</v>
      </c>
      <c r="L112" s="232">
        <f t="shared" si="43"/>
        <v>-3.0776860512560233E-5</v>
      </c>
      <c r="M112" s="232">
        <f t="shared" si="43"/>
        <v>1989.9999498004508</v>
      </c>
      <c r="N112" s="232">
        <f t="shared" si="43"/>
        <v>17080.247625128439</v>
      </c>
      <c r="O112" s="232">
        <f t="shared" si="43"/>
        <v>16149.152669029903</v>
      </c>
      <c r="P112" s="232">
        <f t="shared" si="43"/>
        <v>16188.297955538885</v>
      </c>
      <c r="Q112" s="232">
        <f t="shared" si="43"/>
        <v>16055.793303713292</v>
      </c>
      <c r="R112" s="232">
        <f t="shared" si="43"/>
        <v>16094.263300570576</v>
      </c>
      <c r="S112" s="232">
        <f t="shared" si="43"/>
        <v>15961.38267768532</v>
      </c>
      <c r="T112" s="232">
        <f t="shared" si="43"/>
        <v>16006.684540473299</v>
      </c>
      <c r="U112" s="232">
        <f t="shared" si="43"/>
        <v>15865.897866006973</v>
      </c>
      <c r="V112" s="232">
        <f t="shared" si="43"/>
        <v>15868.140120120772</v>
      </c>
      <c r="W112" s="232">
        <f t="shared" si="43"/>
        <v>15769.315485021496</v>
      </c>
      <c r="X112" s="232">
        <f t="shared" si="43"/>
        <v>15805.694162381846</v>
      </c>
      <c r="Y112" s="232">
        <f t="shared" si="43"/>
        <v>15671.611680483195</v>
      </c>
      <c r="Z112" s="232">
        <f t="shared" si="43"/>
        <v>15707.270671775132</v>
      </c>
      <c r="AA112" s="232">
        <f t="shared" si="43"/>
        <v>15572.76211884425</v>
      </c>
      <c r="AB112" s="232">
        <f t="shared" si="43"/>
        <v>15614.961410783915</v>
      </c>
      <c r="AC112" s="232">
        <f t="shared" si="43"/>
        <v>15472.741981843537</v>
      </c>
      <c r="AD112" s="232">
        <f t="shared" si="43"/>
        <v>15472.500007271803</v>
      </c>
      <c r="AE112" s="232">
        <f t="shared" si="43"/>
        <v>15371.52595106148</v>
      </c>
      <c r="AF112" s="232">
        <f t="shared" si="43"/>
        <v>15404.954830430705</v>
      </c>
      <c r="AG112" s="232">
        <f t="shared" si="43"/>
        <v>15269.088205729326</v>
      </c>
      <c r="AH112" s="232">
        <f t="shared" si="43"/>
        <v>15301.749208840938</v>
      </c>
      <c r="AI112" s="232">
        <f t="shared" si="43"/>
        <v>15165.402398122736</v>
      </c>
      <c r="AJ112" s="232">
        <f t="shared" si="43"/>
        <v>15204.294710585571</v>
      </c>
      <c r="AK112" s="232">
        <f t="shared" si="43"/>
        <v>15060.441652463862</v>
      </c>
      <c r="AL112" s="232">
        <f t="shared" si="43"/>
        <v>15057.529453391151</v>
      </c>
      <c r="AM112" s="232">
        <f t="shared" si="43"/>
        <v>14954.178559971497</v>
      </c>
      <c r="AN112" s="232">
        <f t="shared" si="43"/>
        <v>14984.458789699776</v>
      </c>
      <c r="AO112" s="232">
        <f t="shared" si="43"/>
        <v>14846.585160272989</v>
      </c>
      <c r="AP112" s="232">
        <f t="shared" ref="AP112:BU112" si="44">SUM(AP107:AP111)</f>
        <v>14876.045198353153</v>
      </c>
      <c r="AQ112" s="232">
        <f t="shared" si="44"/>
        <v>14737.633667094882</v>
      </c>
      <c r="AR112" s="232">
        <f t="shared" si="44"/>
        <v>14772.998083621667</v>
      </c>
      <c r="AS112" s="232">
        <f t="shared" si="44"/>
        <v>14627.295226138496</v>
      </c>
      <c r="AT112" s="232">
        <f t="shared" si="44"/>
        <v>14621.513136870359</v>
      </c>
      <c r="AU112" s="232">
        <f t="shared" si="44"/>
        <v>9655.6193370901492</v>
      </c>
      <c r="AV112" s="232">
        <f t="shared" si="44"/>
        <v>4874.8705166686968</v>
      </c>
      <c r="AW112" s="232">
        <f t="shared" si="44"/>
        <v>4788.3191422131649</v>
      </c>
      <c r="AX112" s="232">
        <f t="shared" si="44"/>
        <v>4867.683551213825</v>
      </c>
      <c r="AY112" s="232">
        <f t="shared" si="44"/>
        <v>4781.308410276496</v>
      </c>
      <c r="AZ112" s="232">
        <f t="shared" si="44"/>
        <v>4860.5566193003042</v>
      </c>
      <c r="BA112" s="232">
        <f t="shared" si="44"/>
        <v>4774.3574225658895</v>
      </c>
      <c r="BB112" s="232">
        <f t="shared" si="44"/>
        <v>-2.0082668106624624E-4</v>
      </c>
      <c r="BC112" s="232">
        <f t="shared" si="44"/>
        <v>-2.0082668106624624E-4</v>
      </c>
      <c r="BD112" s="232">
        <f t="shared" si="44"/>
        <v>-2.0082668106624624E-4</v>
      </c>
      <c r="BE112" s="232">
        <f t="shared" si="44"/>
        <v>-2.0082668106624624E-4</v>
      </c>
      <c r="BF112" s="232">
        <f t="shared" si="44"/>
        <v>-2.0082668106624624E-4</v>
      </c>
      <c r="BG112" s="232">
        <f t="shared" si="44"/>
        <v>-2.0082668106624624E-4</v>
      </c>
      <c r="BH112" s="232">
        <f t="shared" si="44"/>
        <v>-2.0082668106624624E-4</v>
      </c>
      <c r="BI112" s="232">
        <f t="shared" si="44"/>
        <v>-2.0082668106624624E-4</v>
      </c>
      <c r="BJ112" s="232">
        <f t="shared" si="44"/>
        <v>-2.0082668106624624E-4</v>
      </c>
      <c r="BK112" s="232">
        <f t="shared" si="44"/>
        <v>-2.0082668106624624E-4</v>
      </c>
      <c r="BL112" s="232">
        <f t="shared" si="44"/>
        <v>-2.0082668106624624E-4</v>
      </c>
      <c r="BM112" s="232">
        <f t="shared" si="44"/>
        <v>-2.0082668106624624E-4</v>
      </c>
      <c r="BN112" s="232">
        <f t="shared" si="44"/>
        <v>-2.0082668106624624E-4</v>
      </c>
      <c r="BO112" s="232">
        <f t="shared" si="44"/>
        <v>-2.0082668106624624E-4</v>
      </c>
      <c r="BP112" s="232">
        <f t="shared" si="44"/>
        <v>-2.0082668106624624E-4</v>
      </c>
      <c r="BQ112" s="232">
        <f t="shared" si="44"/>
        <v>-2.0082668106624624E-4</v>
      </c>
      <c r="BR112" s="232">
        <f t="shared" si="44"/>
        <v>-2.0082668106624624E-4</v>
      </c>
      <c r="BS112" s="232">
        <f t="shared" si="44"/>
        <v>-2.0082668106624624E-4</v>
      </c>
      <c r="BT112" s="232">
        <f t="shared" si="44"/>
        <v>-2.0082668106624624E-4</v>
      </c>
      <c r="BU112" s="232">
        <f t="shared" si="44"/>
        <v>-2.0082668106624624E-4</v>
      </c>
      <c r="BV112" s="232">
        <f t="shared" ref="BV112:CV112" si="45">SUM(BV107:BV111)</f>
        <v>-2.0082668106624624E-4</v>
      </c>
      <c r="BW112" s="232">
        <f t="shared" si="45"/>
        <v>-2.0082668106624624E-4</v>
      </c>
      <c r="BX112" s="232">
        <f t="shared" si="45"/>
        <v>-2.0082668106624624E-4</v>
      </c>
      <c r="BY112" s="232">
        <f t="shared" si="45"/>
        <v>-2.0082668106624624E-4</v>
      </c>
      <c r="BZ112" s="232">
        <f t="shared" si="45"/>
        <v>-2.0082668106624624E-4</v>
      </c>
      <c r="CA112" s="232">
        <f t="shared" si="45"/>
        <v>-2.0082668106624624E-4</v>
      </c>
      <c r="CB112" s="232">
        <f t="shared" si="45"/>
        <v>-2.0082668106624624E-4</v>
      </c>
      <c r="CC112" s="232">
        <f t="shared" si="45"/>
        <v>-2.0082668106624624E-4</v>
      </c>
      <c r="CD112" s="232">
        <f t="shared" si="45"/>
        <v>-2.0082668106624624E-4</v>
      </c>
      <c r="CE112" s="232">
        <f t="shared" si="45"/>
        <v>-2.0082668106624624E-4</v>
      </c>
      <c r="CF112" s="232">
        <f t="shared" si="45"/>
        <v>-2.0082668106624624E-4</v>
      </c>
      <c r="CG112" s="232">
        <f t="shared" si="45"/>
        <v>-2.0082668106624624E-4</v>
      </c>
      <c r="CH112" s="232">
        <f t="shared" si="45"/>
        <v>-2.0082668106624624E-4</v>
      </c>
      <c r="CI112" s="232">
        <f t="shared" si="45"/>
        <v>-2.0082668106624624E-4</v>
      </c>
      <c r="CJ112" s="232">
        <f t="shared" si="45"/>
        <v>-2.0082668106624624E-4</v>
      </c>
      <c r="CK112" s="232">
        <f t="shared" si="45"/>
        <v>-2.0082668106624624E-4</v>
      </c>
      <c r="CL112" s="232">
        <f t="shared" si="45"/>
        <v>-2.0082668106624624E-4</v>
      </c>
      <c r="CM112" s="232">
        <f t="shared" si="45"/>
        <v>-2.0082668106624624E-4</v>
      </c>
      <c r="CN112" s="232">
        <f t="shared" si="45"/>
        <v>-2.0082668106624624E-4</v>
      </c>
      <c r="CO112" s="232">
        <f t="shared" si="45"/>
        <v>-2.0082668106624624E-4</v>
      </c>
      <c r="CP112" s="232">
        <f t="shared" si="45"/>
        <v>-2.0082668106624624E-4</v>
      </c>
      <c r="CQ112" s="232">
        <f t="shared" si="45"/>
        <v>-2.0082668106624624E-4</v>
      </c>
      <c r="CR112" s="232">
        <f t="shared" si="45"/>
        <v>-2.0082668106624624E-4</v>
      </c>
      <c r="CS112" s="232">
        <f t="shared" si="45"/>
        <v>-2.0082668106624624E-4</v>
      </c>
      <c r="CT112" s="232">
        <f t="shared" si="45"/>
        <v>-2.0082668106624624E-4</v>
      </c>
      <c r="CU112" s="232">
        <f t="shared" si="45"/>
        <v>-2.0082668106624624E-4</v>
      </c>
      <c r="CV112" s="232">
        <f t="shared" si="45"/>
        <v>-2.0082668106624624E-4</v>
      </c>
    </row>
    <row r="113" spans="1:192" outlineLevel="2" x14ac:dyDescent="0.2">
      <c r="D113" s="209"/>
      <c r="E113" s="235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235"/>
      <c r="BY113" s="235"/>
      <c r="BZ113" s="235"/>
      <c r="CA113" s="235"/>
      <c r="CB113" s="235"/>
      <c r="CC113" s="235"/>
      <c r="CD113" s="235"/>
      <c r="CE113" s="235"/>
      <c r="CF113" s="235"/>
      <c r="CG113" s="235"/>
      <c r="CH113" s="235"/>
      <c r="CI113" s="235"/>
      <c r="CJ113" s="235"/>
      <c r="CK113" s="235"/>
      <c r="CL113" s="235"/>
      <c r="CM113" s="235"/>
      <c r="CN113" s="235"/>
      <c r="CO113" s="235"/>
      <c r="CP113" s="235"/>
      <c r="CQ113" s="235"/>
      <c r="CR113" s="235"/>
      <c r="CS113" s="235"/>
      <c r="CT113" s="235"/>
      <c r="CU113" s="235"/>
      <c r="CV113" s="235"/>
    </row>
    <row r="114" spans="1:192" outlineLevel="2" x14ac:dyDescent="0.2">
      <c r="D114" s="209"/>
      <c r="E114" s="232" t="s">
        <v>58</v>
      </c>
      <c r="F114" s="232"/>
      <c r="G114" s="232" t="str">
        <f>SMU</f>
        <v>$ 000s</v>
      </c>
      <c r="H114" s="232"/>
      <c r="I114" s="232"/>
      <c r="J114" s="232">
        <f t="shared" ref="J114:AO114" si="46" xml:space="preserve"> J112 + J104</f>
        <v>38655.01232134179</v>
      </c>
      <c r="K114" s="232">
        <f t="shared" si="46"/>
        <v>110586.75689414167</v>
      </c>
      <c r="L114" s="232">
        <f t="shared" si="46"/>
        <v>183700.42528235298</v>
      </c>
      <c r="M114" s="232">
        <f t="shared" si="46"/>
        <v>258114.31294635375</v>
      </c>
      <c r="N114" s="232">
        <f t="shared" si="46"/>
        <v>336808.10536716814</v>
      </c>
      <c r="O114" s="232">
        <f t="shared" si="46"/>
        <v>327776.45124683314</v>
      </c>
      <c r="P114" s="232">
        <f t="shared" si="46"/>
        <v>319715.03736910567</v>
      </c>
      <c r="Q114" s="232">
        <f t="shared" si="46"/>
        <v>311481.97355304367</v>
      </c>
      <c r="R114" s="232">
        <f t="shared" si="46"/>
        <v>303419.88438566448</v>
      </c>
      <c r="S114" s="232">
        <f t="shared" si="46"/>
        <v>295186.4445985427</v>
      </c>
      <c r="T114" s="232">
        <f t="shared" si="46"/>
        <v>287131.18729709421</v>
      </c>
      <c r="U114" s="232">
        <f t="shared" si="46"/>
        <v>278889.84145839146</v>
      </c>
      <c r="V114" s="232">
        <f t="shared" si="46"/>
        <v>270791.52454826876</v>
      </c>
      <c r="W114" s="232">
        <f t="shared" si="46"/>
        <v>262592.14074893302</v>
      </c>
      <c r="X114" s="232">
        <f t="shared" si="46"/>
        <v>254527.96026205688</v>
      </c>
      <c r="Y114" s="232">
        <f t="shared" si="46"/>
        <v>246293.31861592174</v>
      </c>
      <c r="Z114" s="232">
        <f t="shared" si="46"/>
        <v>238228.41844297721</v>
      </c>
      <c r="AA114" s="232">
        <f t="shared" si="46"/>
        <v>229993.35072580987</v>
      </c>
      <c r="AB114" s="232">
        <f t="shared" si="46"/>
        <v>221934.99085351307</v>
      </c>
      <c r="AC114" s="232">
        <f t="shared" si="46"/>
        <v>213692.21226033624</v>
      </c>
      <c r="AD114" s="232">
        <f t="shared" si="46"/>
        <v>205591.41112152801</v>
      </c>
      <c r="AE114" s="232">
        <f t="shared" si="46"/>
        <v>197389.87790108123</v>
      </c>
      <c r="AF114" s="232">
        <f t="shared" si="46"/>
        <v>189322.74761621398</v>
      </c>
      <c r="AG114" s="232">
        <f t="shared" si="46"/>
        <v>181086.32182727612</v>
      </c>
      <c r="AH114" s="232">
        <f t="shared" si="46"/>
        <v>173018.42366615127</v>
      </c>
      <c r="AI114" s="232">
        <f t="shared" si="46"/>
        <v>164781.51769119658</v>
      </c>
      <c r="AJ114" s="232">
        <f t="shared" si="46"/>
        <v>156719.85083942296</v>
      </c>
      <c r="AK114" s="232">
        <f t="shared" si="46"/>
        <v>148475.43861706479</v>
      </c>
      <c r="AL114" s="232">
        <f t="shared" si="46"/>
        <v>140371.9672537556</v>
      </c>
      <c r="AM114" s="232">
        <f t="shared" si="46"/>
        <v>132168.05719609951</v>
      </c>
      <c r="AN114" s="232">
        <f t="shared" si="46"/>
        <v>124097.77826159133</v>
      </c>
      <c r="AO114" s="232">
        <f t="shared" si="46"/>
        <v>115859.3454679281</v>
      </c>
      <c r="AP114" s="232">
        <f t="shared" ref="AP114:BU114" si="47" xml:space="preserve"> AP112 + AP104</f>
        <v>107788.2463417718</v>
      </c>
      <c r="AQ114" s="232">
        <f t="shared" si="47"/>
        <v>99549.275646277063</v>
      </c>
      <c r="AR114" s="232">
        <f t="shared" si="47"/>
        <v>91484.080898567394</v>
      </c>
      <c r="AS114" s="232">
        <f t="shared" si="47"/>
        <v>83237.81887684777</v>
      </c>
      <c r="AT114" s="232">
        <f t="shared" si="47"/>
        <v>75131.477623343177</v>
      </c>
      <c r="AU114" s="232">
        <f t="shared" si="47"/>
        <v>62065.024659326504</v>
      </c>
      <c r="AV114" s="232">
        <f t="shared" si="47"/>
        <v>49183.716674668598</v>
      </c>
      <c r="AW114" s="232">
        <f t="shared" si="47"/>
        <v>41712.357607213067</v>
      </c>
      <c r="AX114" s="232">
        <f t="shared" si="47"/>
        <v>34406.914323213736</v>
      </c>
      <c r="AY114" s="232">
        <f t="shared" si="47"/>
        <v>26935.731489276412</v>
      </c>
      <c r="AZ114" s="232">
        <f t="shared" si="47"/>
        <v>19630.172005300225</v>
      </c>
      <c r="BA114" s="232">
        <f t="shared" si="47"/>
        <v>12159.165115565811</v>
      </c>
      <c r="BB114" s="232">
        <f t="shared" si="47"/>
        <v>-2.0082675564481178E-4</v>
      </c>
      <c r="BC114" s="232">
        <f t="shared" si="47"/>
        <v>-2.0082675564481178E-4</v>
      </c>
      <c r="BD114" s="232">
        <f t="shared" si="47"/>
        <v>-2.0082675564481178E-4</v>
      </c>
      <c r="BE114" s="232">
        <f t="shared" si="47"/>
        <v>-2.0082675564481178E-4</v>
      </c>
      <c r="BF114" s="232">
        <f t="shared" si="47"/>
        <v>-2.0082675564481178E-4</v>
      </c>
      <c r="BG114" s="232">
        <f t="shared" si="47"/>
        <v>-2.0082675564481178E-4</v>
      </c>
      <c r="BH114" s="232">
        <f t="shared" si="47"/>
        <v>-2.0082675564481178E-4</v>
      </c>
      <c r="BI114" s="232">
        <f t="shared" si="47"/>
        <v>-2.0082675564481178E-4</v>
      </c>
      <c r="BJ114" s="232">
        <f t="shared" si="47"/>
        <v>-2.0082675564481178E-4</v>
      </c>
      <c r="BK114" s="232">
        <f t="shared" si="47"/>
        <v>-2.0082675564481178E-4</v>
      </c>
      <c r="BL114" s="232">
        <f t="shared" si="47"/>
        <v>-2.0082675564481178E-4</v>
      </c>
      <c r="BM114" s="232">
        <f t="shared" si="47"/>
        <v>-2.0082675564481178E-4</v>
      </c>
      <c r="BN114" s="232">
        <f t="shared" si="47"/>
        <v>-2.0082675564481178E-4</v>
      </c>
      <c r="BO114" s="232">
        <f t="shared" si="47"/>
        <v>-2.0082675564481178E-4</v>
      </c>
      <c r="BP114" s="232">
        <f t="shared" si="47"/>
        <v>-2.0082675564481178E-4</v>
      </c>
      <c r="BQ114" s="232">
        <f t="shared" si="47"/>
        <v>-2.0082675564481178E-4</v>
      </c>
      <c r="BR114" s="232">
        <f t="shared" si="47"/>
        <v>-2.0082675564481178E-4</v>
      </c>
      <c r="BS114" s="232">
        <f t="shared" si="47"/>
        <v>-2.0082675564481178E-4</v>
      </c>
      <c r="BT114" s="232">
        <f t="shared" si="47"/>
        <v>-2.0082675564481178E-4</v>
      </c>
      <c r="BU114" s="232">
        <f t="shared" si="47"/>
        <v>-2.0082675564481178E-4</v>
      </c>
      <c r="BV114" s="232">
        <f t="shared" ref="BV114:CV114" si="48" xml:space="preserve"> BV112 + BV104</f>
        <v>-2.0082675564481178E-4</v>
      </c>
      <c r="BW114" s="232">
        <f t="shared" si="48"/>
        <v>-2.0082675564481178E-4</v>
      </c>
      <c r="BX114" s="232">
        <f t="shared" si="48"/>
        <v>-2.0082675564481178E-4</v>
      </c>
      <c r="BY114" s="232">
        <f t="shared" si="48"/>
        <v>-2.0082675564481178E-4</v>
      </c>
      <c r="BZ114" s="232">
        <f t="shared" si="48"/>
        <v>-2.0082675564481178E-4</v>
      </c>
      <c r="CA114" s="232">
        <f t="shared" si="48"/>
        <v>-2.0082675564481178E-4</v>
      </c>
      <c r="CB114" s="232">
        <f t="shared" si="48"/>
        <v>-2.0082675564481178E-4</v>
      </c>
      <c r="CC114" s="232">
        <f t="shared" si="48"/>
        <v>-2.0082675564481178E-4</v>
      </c>
      <c r="CD114" s="232">
        <f t="shared" si="48"/>
        <v>-2.0082675564481178E-4</v>
      </c>
      <c r="CE114" s="232">
        <f t="shared" si="48"/>
        <v>-2.0082675564481178E-4</v>
      </c>
      <c r="CF114" s="232">
        <f t="shared" si="48"/>
        <v>-2.0082675564481178E-4</v>
      </c>
      <c r="CG114" s="232">
        <f t="shared" si="48"/>
        <v>-2.0082675564481178E-4</v>
      </c>
      <c r="CH114" s="232">
        <f t="shared" si="48"/>
        <v>-2.0082675564481178E-4</v>
      </c>
      <c r="CI114" s="232">
        <f t="shared" si="48"/>
        <v>-2.0082675564481178E-4</v>
      </c>
      <c r="CJ114" s="232">
        <f t="shared" si="48"/>
        <v>-2.0082675564481178E-4</v>
      </c>
      <c r="CK114" s="232">
        <f t="shared" si="48"/>
        <v>-2.0082675564481178E-4</v>
      </c>
      <c r="CL114" s="232">
        <f t="shared" si="48"/>
        <v>-2.0082675564481178E-4</v>
      </c>
      <c r="CM114" s="232">
        <f t="shared" si="48"/>
        <v>-2.0082675564481178E-4</v>
      </c>
      <c r="CN114" s="232">
        <f t="shared" si="48"/>
        <v>-2.0082675564481178E-4</v>
      </c>
      <c r="CO114" s="232">
        <f t="shared" si="48"/>
        <v>-2.0082675564481178E-4</v>
      </c>
      <c r="CP114" s="232">
        <f t="shared" si="48"/>
        <v>-2.0082675564481178E-4</v>
      </c>
      <c r="CQ114" s="232">
        <f t="shared" si="48"/>
        <v>-2.0082675564481178E-4</v>
      </c>
      <c r="CR114" s="232">
        <f t="shared" si="48"/>
        <v>-2.0082675564481178E-4</v>
      </c>
      <c r="CS114" s="232">
        <f t="shared" si="48"/>
        <v>-2.0082675564481178E-4</v>
      </c>
      <c r="CT114" s="232">
        <f t="shared" si="48"/>
        <v>-2.0082675564481178E-4</v>
      </c>
      <c r="CU114" s="232">
        <f t="shared" si="48"/>
        <v>-2.0082675564481178E-4</v>
      </c>
      <c r="CV114" s="232">
        <f t="shared" si="48"/>
        <v>-2.0082675564481178E-4</v>
      </c>
    </row>
    <row r="115" spans="1:192" outlineLevel="2" x14ac:dyDescent="0.2">
      <c r="D115" s="209"/>
      <c r="E115" s="235"/>
      <c r="F115" s="235"/>
      <c r="G115" s="235"/>
      <c r="H115" s="235"/>
      <c r="I115" s="235"/>
      <c r="J115" s="235"/>
      <c r="K115" s="235"/>
      <c r="L115" s="235"/>
      <c r="M115" s="235"/>
      <c r="N115" s="235"/>
      <c r="O115" s="235"/>
      <c r="P115" s="235"/>
      <c r="Q115" s="235"/>
      <c r="R115" s="235"/>
      <c r="S115" s="235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235"/>
      <c r="BY115" s="235"/>
      <c r="BZ115" s="235"/>
      <c r="CA115" s="235"/>
      <c r="CB115" s="235"/>
      <c r="CC115" s="235"/>
      <c r="CD115" s="235"/>
      <c r="CE115" s="235"/>
      <c r="CF115" s="235"/>
      <c r="CG115" s="235"/>
      <c r="CH115" s="235"/>
      <c r="CI115" s="235"/>
      <c r="CJ115" s="235"/>
      <c r="CK115" s="235"/>
      <c r="CL115" s="235"/>
      <c r="CM115" s="235"/>
      <c r="CN115" s="235"/>
      <c r="CO115" s="235"/>
      <c r="CP115" s="235"/>
      <c r="CQ115" s="235"/>
      <c r="CR115" s="235"/>
      <c r="CS115" s="235"/>
      <c r="CT115" s="235"/>
      <c r="CU115" s="235"/>
      <c r="CV115" s="235"/>
    </row>
    <row r="116" spans="1:192" outlineLevel="2" x14ac:dyDescent="0.2">
      <c r="D116" s="209"/>
      <c r="E116" s="235" t="str">
        <f xml:space="preserve"> Ops!E$225</f>
        <v>Accounts payable balance</v>
      </c>
      <c r="F116" s="235">
        <f xml:space="preserve"> Ops!F$225</f>
        <v>0</v>
      </c>
      <c r="G116" s="235" t="str">
        <f xml:space="preserve"> Ops!G$225</f>
        <v>$ 000s</v>
      </c>
      <c r="H116" s="235">
        <f xml:space="preserve"> Ops!H$225</f>
        <v>0</v>
      </c>
      <c r="I116" s="235">
        <f xml:space="preserve"> Ops!I$225</f>
        <v>0</v>
      </c>
      <c r="J116" s="235">
        <f xml:space="preserve"> Ops!J$225</f>
        <v>0</v>
      </c>
      <c r="K116" s="235">
        <f xml:space="preserve"> Ops!K$225</f>
        <v>0</v>
      </c>
      <c r="L116" s="235">
        <f xml:space="preserve"> Ops!L$225</f>
        <v>0</v>
      </c>
      <c r="M116" s="235">
        <f xml:space="preserve"> Ops!M$225</f>
        <v>0</v>
      </c>
      <c r="N116" s="235">
        <f xml:space="preserve"> Ops!N$225</f>
        <v>0</v>
      </c>
      <c r="O116" s="235">
        <f xml:space="preserve"> Ops!O$225</f>
        <v>1058.9010260869563</v>
      </c>
      <c r="P116" s="235">
        <f xml:space="preserve"> Ops!P$225</f>
        <v>1076.4518718232048</v>
      </c>
      <c r="Q116" s="235">
        <f xml:space="preserve"> Ops!Q$225</f>
        <v>1080.0790466086955</v>
      </c>
      <c r="R116" s="235">
        <f xml:space="preserve"> Ops!R$225</f>
        <v>1097.9809092596688</v>
      </c>
      <c r="S116" s="235">
        <f xml:space="preserve"> Ops!S$225</f>
        <v>1101.6806275408699</v>
      </c>
      <c r="T116" s="235">
        <f xml:space="preserve"> Ops!T$225</f>
        <v>1119.9405274448618</v>
      </c>
      <c r="U116" s="235">
        <f xml:space="preserve"> Ops!U$225</f>
        <v>1123.7142400916873</v>
      </c>
      <c r="V116" s="235">
        <f xml:space="preserve"> Ops!V$225</f>
        <v>1136.0627482245627</v>
      </c>
      <c r="W116" s="235">
        <f xml:space="preserve"> Ops!W$225</f>
        <v>1146.1885248935205</v>
      </c>
      <c r="X116" s="235">
        <f xml:space="preserve"> Ops!X$225</f>
        <v>1165.1861247536344</v>
      </c>
      <c r="Y116" s="235">
        <f xml:space="preserve"> Ops!Y$225</f>
        <v>1169.1122953913909</v>
      </c>
      <c r="Z116" s="235">
        <f xml:space="preserve"> Ops!Z$225</f>
        <v>1188.4898472487075</v>
      </c>
      <c r="AA116" s="235">
        <f xml:space="preserve"> Ops!AA$225</f>
        <v>1192.4945412992192</v>
      </c>
      <c r="AB116" s="235">
        <f xml:space="preserve"> Ops!AB$225</f>
        <v>1212.2596441936812</v>
      </c>
      <c r="AC116" s="235">
        <f xml:space="preserve"> Ops!AC$225</f>
        <v>1216.3444321252027</v>
      </c>
      <c r="AD116" s="235">
        <f xml:space="preserve"> Ops!AD$225</f>
        <v>1229.7108544562489</v>
      </c>
      <c r="AE116" s="235">
        <f xml:space="preserve"> Ops!AE$225</f>
        <v>1240.6713207677076</v>
      </c>
      <c r="AF116" s="235">
        <f xml:space="preserve"> Ops!AF$225</f>
        <v>1261.2349338191061</v>
      </c>
      <c r="AG116" s="235">
        <f xml:space="preserve"> Ops!AG$225</f>
        <v>1265.4847471830617</v>
      </c>
      <c r="AH116" s="235">
        <f xml:space="preserve"> Ops!AH$225</f>
        <v>1286.4596324954882</v>
      </c>
      <c r="AI116" s="235">
        <f xml:space="preserve"> Ops!AI$225</f>
        <v>1290.794442126723</v>
      </c>
      <c r="AJ116" s="235">
        <f xml:space="preserve"> Ops!AJ$225</f>
        <v>1312.1888251453975</v>
      </c>
      <c r="AK116" s="235">
        <f xml:space="preserve"> Ops!AK$225</f>
        <v>1316.6103309692571</v>
      </c>
      <c r="AL116" s="235">
        <f xml:space="preserve"> Ops!AL$225</f>
        <v>1331.0785763645235</v>
      </c>
      <c r="AM116" s="235">
        <f xml:space="preserve"> Ops!AM$225</f>
        <v>1342.9425375886422</v>
      </c>
      <c r="AN116" s="235">
        <f xml:space="preserve"> Ops!AN$225</f>
        <v>1365.2012536812717</v>
      </c>
      <c r="AO116" s="235">
        <f xml:space="preserve"> Ops!AO$225</f>
        <v>1369.8013883404155</v>
      </c>
      <c r="AP116" s="235">
        <f xml:space="preserve"> Ops!AP$225</f>
        <v>1392.5052787548975</v>
      </c>
      <c r="AQ116" s="235">
        <f xml:space="preserve"> Ops!AQ$225</f>
        <v>1397.197416107223</v>
      </c>
      <c r="AR116" s="235">
        <f xml:space="preserve"> Ops!AR$225</f>
        <v>1420.3553843299951</v>
      </c>
      <c r="AS116" s="235">
        <f xml:space="preserve"> Ops!AS$225</f>
        <v>1425.141364429368</v>
      </c>
      <c r="AT116" s="235">
        <f xml:space="preserve"> Ops!AT$225</f>
        <v>1440.8022585439758</v>
      </c>
      <c r="AU116" s="235">
        <f xml:space="preserve"> Ops!AU$225</f>
        <v>1453.6441917179554</v>
      </c>
      <c r="AV116" s="235">
        <f xml:space="preserve"> Ops!AV$225</f>
        <v>1477.7377418569267</v>
      </c>
      <c r="AW116" s="235">
        <f xml:space="preserve"> Ops!AW$225</f>
        <v>1482.7170755523148</v>
      </c>
      <c r="AX116" s="235">
        <f xml:space="preserve"> Ops!AX$225</f>
        <v>1507.2924966940654</v>
      </c>
      <c r="AY116" s="235">
        <f xml:space="preserve"> Ops!AY$225</f>
        <v>1512.3714170633602</v>
      </c>
      <c r="AZ116" s="235">
        <f xml:space="preserve"> Ops!AZ$225</f>
        <v>1537.4383466279469</v>
      </c>
      <c r="BA116" s="235">
        <f xml:space="preserve"> Ops!BA$225</f>
        <v>1542.6188454046278</v>
      </c>
      <c r="BB116" s="235">
        <f xml:space="preserve"> Ops!BB$225</f>
        <v>0</v>
      </c>
      <c r="BC116" s="235">
        <f xml:space="preserve"> Ops!BC$225</f>
        <v>0</v>
      </c>
      <c r="BD116" s="235">
        <f xml:space="preserve"> Ops!BD$225</f>
        <v>0</v>
      </c>
      <c r="BE116" s="235">
        <f xml:space="preserve"> Ops!BE$225</f>
        <v>0</v>
      </c>
      <c r="BF116" s="235">
        <f xml:space="preserve"> Ops!BF$225</f>
        <v>0</v>
      </c>
      <c r="BG116" s="235">
        <f xml:space="preserve"> Ops!BG$225</f>
        <v>0</v>
      </c>
      <c r="BH116" s="235">
        <f xml:space="preserve"> Ops!BH$225</f>
        <v>0</v>
      </c>
      <c r="BI116" s="235">
        <f xml:space="preserve"> Ops!BI$225</f>
        <v>0</v>
      </c>
      <c r="BJ116" s="235">
        <f xml:space="preserve"> Ops!BJ$225</f>
        <v>0</v>
      </c>
      <c r="BK116" s="235">
        <f xml:space="preserve"> Ops!BK$225</f>
        <v>0</v>
      </c>
      <c r="BL116" s="235">
        <f xml:space="preserve"> Ops!BL$225</f>
        <v>0</v>
      </c>
      <c r="BM116" s="235">
        <f xml:space="preserve"> Ops!BM$225</f>
        <v>0</v>
      </c>
      <c r="BN116" s="235">
        <f xml:space="preserve"> Ops!BN$225</f>
        <v>0</v>
      </c>
      <c r="BO116" s="235">
        <f xml:space="preserve"> Ops!BO$225</f>
        <v>0</v>
      </c>
      <c r="BP116" s="235">
        <f xml:space="preserve"> Ops!BP$225</f>
        <v>0</v>
      </c>
      <c r="BQ116" s="235">
        <f xml:space="preserve"> Ops!BQ$225</f>
        <v>0</v>
      </c>
      <c r="BR116" s="235">
        <f xml:space="preserve"> Ops!BR$225</f>
        <v>0</v>
      </c>
      <c r="BS116" s="235">
        <f xml:space="preserve"> Ops!BS$225</f>
        <v>0</v>
      </c>
      <c r="BT116" s="235">
        <f xml:space="preserve"> Ops!BT$225</f>
        <v>0</v>
      </c>
      <c r="BU116" s="235">
        <f xml:space="preserve"> Ops!BU$225</f>
        <v>0</v>
      </c>
      <c r="BV116" s="235">
        <f xml:space="preserve"> Ops!BV$225</f>
        <v>0</v>
      </c>
      <c r="BW116" s="235">
        <f xml:space="preserve"> Ops!BW$225</f>
        <v>0</v>
      </c>
      <c r="BX116" s="235">
        <f xml:space="preserve"> Ops!BX$225</f>
        <v>0</v>
      </c>
      <c r="BY116" s="235">
        <f xml:space="preserve"> Ops!BY$225</f>
        <v>0</v>
      </c>
      <c r="BZ116" s="235">
        <f xml:space="preserve"> Ops!BZ$225</f>
        <v>0</v>
      </c>
      <c r="CA116" s="235">
        <f xml:space="preserve"> Ops!CA$225</f>
        <v>0</v>
      </c>
      <c r="CB116" s="235">
        <f xml:space="preserve"> Ops!CB$225</f>
        <v>0</v>
      </c>
      <c r="CC116" s="235">
        <f xml:space="preserve"> Ops!CC$225</f>
        <v>0</v>
      </c>
      <c r="CD116" s="235">
        <f xml:space="preserve"> Ops!CD$225</f>
        <v>0</v>
      </c>
      <c r="CE116" s="235">
        <f xml:space="preserve"> Ops!CE$225</f>
        <v>0</v>
      </c>
      <c r="CF116" s="235">
        <f xml:space="preserve"> Ops!CF$225</f>
        <v>0</v>
      </c>
      <c r="CG116" s="235">
        <f xml:space="preserve"> Ops!CG$225</f>
        <v>0</v>
      </c>
      <c r="CH116" s="235">
        <f xml:space="preserve"> Ops!CH$225</f>
        <v>0</v>
      </c>
      <c r="CI116" s="235">
        <f xml:space="preserve"> Ops!CI$225</f>
        <v>0</v>
      </c>
      <c r="CJ116" s="235">
        <f xml:space="preserve"> Ops!CJ$225</f>
        <v>0</v>
      </c>
      <c r="CK116" s="235">
        <f xml:space="preserve"> Ops!CK$225</f>
        <v>0</v>
      </c>
      <c r="CL116" s="235">
        <f xml:space="preserve"> Ops!CL$225</f>
        <v>0</v>
      </c>
      <c r="CM116" s="235">
        <f xml:space="preserve"> Ops!CM$225</f>
        <v>0</v>
      </c>
      <c r="CN116" s="235">
        <f xml:space="preserve"> Ops!CN$225</f>
        <v>0</v>
      </c>
      <c r="CO116" s="235">
        <f xml:space="preserve"> Ops!CO$225</f>
        <v>0</v>
      </c>
      <c r="CP116" s="235">
        <f xml:space="preserve"> Ops!CP$225</f>
        <v>0</v>
      </c>
      <c r="CQ116" s="235">
        <f xml:space="preserve"> Ops!CQ$225</f>
        <v>0</v>
      </c>
      <c r="CR116" s="235">
        <f xml:space="preserve"> Ops!CR$225</f>
        <v>0</v>
      </c>
      <c r="CS116" s="235">
        <f xml:space="preserve"> Ops!CS$225</f>
        <v>0</v>
      </c>
      <c r="CT116" s="235">
        <f xml:space="preserve"> Ops!CT$225</f>
        <v>0</v>
      </c>
      <c r="CU116" s="235">
        <f xml:space="preserve"> Ops!CU$225</f>
        <v>0</v>
      </c>
      <c r="CV116" s="235">
        <f xml:space="preserve"> Ops!CV$225</f>
        <v>0</v>
      </c>
    </row>
    <row r="117" spans="1:192" s="191" customFormat="1" outlineLevel="2" x14ac:dyDescent="0.2">
      <c r="A117" s="205"/>
      <c r="B117" s="205"/>
      <c r="C117" s="206"/>
      <c r="D117" s="209"/>
      <c r="E117" s="235" t="str">
        <f xml:space="preserve"> Ops!E$326</f>
        <v>EGR period cost payable balance</v>
      </c>
      <c r="F117" s="235">
        <f xml:space="preserve"> Ops!F$326</f>
        <v>0</v>
      </c>
      <c r="G117" s="235" t="str">
        <f xml:space="preserve"> Ops!G$326</f>
        <v>$ 000s</v>
      </c>
      <c r="H117" s="235">
        <f xml:space="preserve"> Ops!H$326</f>
        <v>0</v>
      </c>
      <c r="I117" s="235">
        <f xml:space="preserve"> Ops!I$326</f>
        <v>0</v>
      </c>
      <c r="J117" s="235">
        <f xml:space="preserve"> Ops!J$326</f>
        <v>0</v>
      </c>
      <c r="K117" s="235">
        <f xml:space="preserve"> Ops!K$326</f>
        <v>0</v>
      </c>
      <c r="L117" s="235">
        <f xml:space="preserve"> Ops!L$326</f>
        <v>0</v>
      </c>
      <c r="M117" s="235">
        <f xml:space="preserve"> Ops!M$326</f>
        <v>0</v>
      </c>
      <c r="N117" s="235">
        <f xml:space="preserve"> Ops!N$326</f>
        <v>0</v>
      </c>
      <c r="O117" s="235">
        <f xml:space="preserve"> Ops!O$326</f>
        <v>0</v>
      </c>
      <c r="P117" s="235">
        <f xml:space="preserve"> Ops!P$326</f>
        <v>0</v>
      </c>
      <c r="Q117" s="235">
        <f xml:space="preserve"> Ops!Q$326</f>
        <v>0</v>
      </c>
      <c r="R117" s="235">
        <f xml:space="preserve"> Ops!R$326</f>
        <v>0</v>
      </c>
      <c r="S117" s="235">
        <f xml:space="preserve"> Ops!S$326</f>
        <v>0</v>
      </c>
      <c r="T117" s="235">
        <f xml:space="preserve"> Ops!T$326</f>
        <v>0</v>
      </c>
      <c r="U117" s="235">
        <f xml:space="preserve"> Ops!U$326</f>
        <v>0</v>
      </c>
      <c r="V117" s="235">
        <f xml:space="preserve"> Ops!V$326</f>
        <v>0</v>
      </c>
      <c r="W117" s="235">
        <f xml:space="preserve"> Ops!W$326</f>
        <v>0</v>
      </c>
      <c r="X117" s="235">
        <f xml:space="preserve"> Ops!X$326</f>
        <v>0</v>
      </c>
      <c r="Y117" s="235">
        <f xml:space="preserve"> Ops!Y$326</f>
        <v>0</v>
      </c>
      <c r="Z117" s="235">
        <f xml:space="preserve"> Ops!Z$326</f>
        <v>0</v>
      </c>
      <c r="AA117" s="235">
        <f xml:space="preserve"> Ops!AA$326</f>
        <v>0</v>
      </c>
      <c r="AB117" s="235">
        <f xml:space="preserve"> Ops!AB$326</f>
        <v>0</v>
      </c>
      <c r="AC117" s="235">
        <f xml:space="preserve"> Ops!AC$326</f>
        <v>0</v>
      </c>
      <c r="AD117" s="235">
        <f xml:space="preserve"> Ops!AD$326</f>
        <v>0</v>
      </c>
      <c r="AE117" s="235">
        <f xml:space="preserve"> Ops!AE$326</f>
        <v>0</v>
      </c>
      <c r="AF117" s="235">
        <f xml:space="preserve"> Ops!AF$326</f>
        <v>0</v>
      </c>
      <c r="AG117" s="235">
        <f xml:space="preserve"> Ops!AG$326</f>
        <v>0</v>
      </c>
      <c r="AH117" s="235">
        <f xml:space="preserve"> Ops!AH$326</f>
        <v>0</v>
      </c>
      <c r="AI117" s="235">
        <f xml:space="preserve"> Ops!AI$326</f>
        <v>0</v>
      </c>
      <c r="AJ117" s="235">
        <f xml:space="preserve"> Ops!AJ$326</f>
        <v>0</v>
      </c>
      <c r="AK117" s="235">
        <f xml:space="preserve"> Ops!AK$326</f>
        <v>0</v>
      </c>
      <c r="AL117" s="235">
        <f xml:space="preserve"> Ops!AL$326</f>
        <v>0</v>
      </c>
      <c r="AM117" s="235">
        <f xml:space="preserve"> Ops!AM$326</f>
        <v>0</v>
      </c>
      <c r="AN117" s="235">
        <f xml:space="preserve"> Ops!AN$326</f>
        <v>0</v>
      </c>
      <c r="AO117" s="235">
        <f xml:space="preserve"> Ops!AO$326</f>
        <v>0</v>
      </c>
      <c r="AP117" s="235">
        <f xml:space="preserve"> Ops!AP$326</f>
        <v>0</v>
      </c>
      <c r="AQ117" s="235">
        <f xml:space="preserve"> Ops!AQ$326</f>
        <v>0</v>
      </c>
      <c r="AR117" s="235">
        <f xml:space="preserve"> Ops!AR$326</f>
        <v>0</v>
      </c>
      <c r="AS117" s="235">
        <f xml:space="preserve"> Ops!AS$326</f>
        <v>0</v>
      </c>
      <c r="AT117" s="235">
        <f xml:space="preserve"> Ops!AT$326</f>
        <v>0</v>
      </c>
      <c r="AU117" s="235">
        <f xml:space="preserve"> Ops!AU$326</f>
        <v>0</v>
      </c>
      <c r="AV117" s="235">
        <f xml:space="preserve"> Ops!AV$326</f>
        <v>0</v>
      </c>
      <c r="AW117" s="235">
        <f xml:space="preserve"> Ops!AW$326</f>
        <v>0</v>
      </c>
      <c r="AX117" s="235">
        <f xml:space="preserve"> Ops!AX$326</f>
        <v>0</v>
      </c>
      <c r="AY117" s="235">
        <f xml:space="preserve"> Ops!AY$326</f>
        <v>0</v>
      </c>
      <c r="AZ117" s="235">
        <f xml:space="preserve"> Ops!AZ$326</f>
        <v>0</v>
      </c>
      <c r="BA117" s="235">
        <f xml:space="preserve"> Ops!BA$326</f>
        <v>0</v>
      </c>
      <c r="BB117" s="235">
        <f xml:space="preserve"> Ops!BB$326</f>
        <v>0</v>
      </c>
      <c r="BC117" s="235">
        <f xml:space="preserve"> Ops!BC$326</f>
        <v>0</v>
      </c>
      <c r="BD117" s="235">
        <f xml:space="preserve"> Ops!BD$326</f>
        <v>0</v>
      </c>
      <c r="BE117" s="235">
        <f xml:space="preserve"> Ops!BE$326</f>
        <v>0</v>
      </c>
      <c r="BF117" s="235">
        <f xml:space="preserve"> Ops!BF$326</f>
        <v>0</v>
      </c>
      <c r="BG117" s="235">
        <f xml:space="preserve"> Ops!BG$326</f>
        <v>0</v>
      </c>
      <c r="BH117" s="235">
        <f xml:space="preserve"> Ops!BH$326</f>
        <v>0</v>
      </c>
      <c r="BI117" s="235">
        <f xml:space="preserve"> Ops!BI$326</f>
        <v>0</v>
      </c>
      <c r="BJ117" s="235">
        <f xml:space="preserve"> Ops!BJ$326</f>
        <v>0</v>
      </c>
      <c r="BK117" s="235">
        <f xml:space="preserve"> Ops!BK$326</f>
        <v>0</v>
      </c>
      <c r="BL117" s="235">
        <f xml:space="preserve"> Ops!BL$326</f>
        <v>0</v>
      </c>
      <c r="BM117" s="235">
        <f xml:space="preserve"> Ops!BM$326</f>
        <v>0</v>
      </c>
      <c r="BN117" s="235">
        <f xml:space="preserve"> Ops!BN$326</f>
        <v>0</v>
      </c>
      <c r="BO117" s="235">
        <f xml:space="preserve"> Ops!BO$326</f>
        <v>0</v>
      </c>
      <c r="BP117" s="235">
        <f xml:space="preserve"> Ops!BP$326</f>
        <v>0</v>
      </c>
      <c r="BQ117" s="235">
        <f xml:space="preserve"> Ops!BQ$326</f>
        <v>0</v>
      </c>
      <c r="BR117" s="235">
        <f xml:space="preserve"> Ops!BR$326</f>
        <v>0</v>
      </c>
      <c r="BS117" s="235">
        <f xml:space="preserve"> Ops!BS$326</f>
        <v>0</v>
      </c>
      <c r="BT117" s="235">
        <f xml:space="preserve"> Ops!BT$326</f>
        <v>0</v>
      </c>
      <c r="BU117" s="235">
        <f xml:space="preserve"> Ops!BU$326</f>
        <v>0</v>
      </c>
      <c r="BV117" s="235">
        <f xml:space="preserve"> Ops!BV$326</f>
        <v>0</v>
      </c>
      <c r="BW117" s="235">
        <f xml:space="preserve"> Ops!BW$326</f>
        <v>0</v>
      </c>
      <c r="BX117" s="235">
        <f xml:space="preserve"> Ops!BX$326</f>
        <v>0</v>
      </c>
      <c r="BY117" s="235">
        <f xml:space="preserve"> Ops!BY$326</f>
        <v>0</v>
      </c>
      <c r="BZ117" s="235">
        <f xml:space="preserve"> Ops!BZ$326</f>
        <v>0</v>
      </c>
      <c r="CA117" s="235">
        <f xml:space="preserve"> Ops!CA$326</f>
        <v>0</v>
      </c>
      <c r="CB117" s="235">
        <f xml:space="preserve"> Ops!CB$326</f>
        <v>0</v>
      </c>
      <c r="CC117" s="235">
        <f xml:space="preserve"> Ops!CC$326</f>
        <v>0</v>
      </c>
      <c r="CD117" s="235">
        <f xml:space="preserve"> Ops!CD$326</f>
        <v>0</v>
      </c>
      <c r="CE117" s="235">
        <f xml:space="preserve"> Ops!CE$326</f>
        <v>0</v>
      </c>
      <c r="CF117" s="235">
        <f xml:space="preserve"> Ops!CF$326</f>
        <v>0</v>
      </c>
      <c r="CG117" s="235">
        <f xml:space="preserve"> Ops!CG$326</f>
        <v>0</v>
      </c>
      <c r="CH117" s="235">
        <f xml:space="preserve"> Ops!CH$326</f>
        <v>0</v>
      </c>
      <c r="CI117" s="235">
        <f xml:space="preserve"> Ops!CI$326</f>
        <v>0</v>
      </c>
      <c r="CJ117" s="235">
        <f xml:space="preserve"> Ops!CJ$326</f>
        <v>0</v>
      </c>
      <c r="CK117" s="235">
        <f xml:space="preserve"> Ops!CK$326</f>
        <v>0</v>
      </c>
      <c r="CL117" s="235">
        <f xml:space="preserve"> Ops!CL$326</f>
        <v>0</v>
      </c>
      <c r="CM117" s="235">
        <f xml:space="preserve"> Ops!CM$326</f>
        <v>0</v>
      </c>
      <c r="CN117" s="235">
        <f xml:space="preserve"> Ops!CN$326</f>
        <v>0</v>
      </c>
      <c r="CO117" s="235">
        <f xml:space="preserve"> Ops!CO$326</f>
        <v>0</v>
      </c>
      <c r="CP117" s="235">
        <f xml:space="preserve"> Ops!CP$326</f>
        <v>0</v>
      </c>
      <c r="CQ117" s="235">
        <f xml:space="preserve"> Ops!CQ$326</f>
        <v>0</v>
      </c>
      <c r="CR117" s="235">
        <f xml:space="preserve"> Ops!CR$326</f>
        <v>0</v>
      </c>
      <c r="CS117" s="235">
        <f xml:space="preserve"> Ops!CS$326</f>
        <v>0</v>
      </c>
      <c r="CT117" s="235">
        <f xml:space="preserve"> Ops!CT$326</f>
        <v>0</v>
      </c>
      <c r="CU117" s="235">
        <f xml:space="preserve"> Ops!CU$326</f>
        <v>0</v>
      </c>
      <c r="CV117" s="235">
        <f xml:space="preserve"> Ops!CV$326</f>
        <v>0</v>
      </c>
    </row>
    <row r="118" spans="1:192" outlineLevel="2" x14ac:dyDescent="0.2">
      <c r="D118" s="209"/>
      <c r="E118" s="235" t="str">
        <f xml:space="preserve"> Debt!E$611</f>
        <v>WCF balance</v>
      </c>
      <c r="F118" s="235">
        <f xml:space="preserve"> Debt!F$611</f>
        <v>0</v>
      </c>
      <c r="G118" s="235" t="str">
        <f xml:space="preserve"> Debt!G$611</f>
        <v>$ 000s</v>
      </c>
      <c r="H118" s="235">
        <f xml:space="preserve"> Debt!H$611</f>
        <v>0</v>
      </c>
      <c r="I118" s="235">
        <f xml:space="preserve"> Debt!I$611</f>
        <v>0</v>
      </c>
      <c r="J118" s="235">
        <f xml:space="preserve"> Debt!J$611</f>
        <v>0</v>
      </c>
      <c r="K118" s="235">
        <f xml:space="preserve"> Debt!K$611</f>
        <v>0</v>
      </c>
      <c r="L118" s="235">
        <f xml:space="preserve"> Debt!L$611</f>
        <v>0</v>
      </c>
      <c r="M118" s="235">
        <f xml:space="preserve"> Debt!M$611</f>
        <v>0</v>
      </c>
      <c r="N118" s="235">
        <f xml:space="preserve"> Debt!N$611</f>
        <v>0</v>
      </c>
      <c r="O118" s="235">
        <f xml:space="preserve"> Debt!O$611</f>
        <v>0</v>
      </c>
      <c r="P118" s="235">
        <f xml:space="preserve"> Debt!P$611</f>
        <v>0</v>
      </c>
      <c r="Q118" s="235">
        <f xml:space="preserve"> Debt!Q$611</f>
        <v>0</v>
      </c>
      <c r="R118" s="235">
        <f xml:space="preserve"> Debt!R$611</f>
        <v>0</v>
      </c>
      <c r="S118" s="235">
        <f xml:space="preserve"> Debt!S$611</f>
        <v>0</v>
      </c>
      <c r="T118" s="235">
        <f xml:space="preserve"> Debt!T$611</f>
        <v>0</v>
      </c>
      <c r="U118" s="235">
        <f xml:space="preserve"> Debt!U$611</f>
        <v>0</v>
      </c>
      <c r="V118" s="235">
        <f xml:space="preserve"> Debt!V$611</f>
        <v>0</v>
      </c>
      <c r="W118" s="235">
        <f xml:space="preserve"> Debt!W$611</f>
        <v>0</v>
      </c>
      <c r="X118" s="235">
        <f xml:space="preserve"> Debt!X$611</f>
        <v>0</v>
      </c>
      <c r="Y118" s="235">
        <f xml:space="preserve"> Debt!Y$611</f>
        <v>0</v>
      </c>
      <c r="Z118" s="235">
        <f xml:space="preserve"> Debt!Z$611</f>
        <v>0</v>
      </c>
      <c r="AA118" s="235">
        <f xml:space="preserve"> Debt!AA$611</f>
        <v>0</v>
      </c>
      <c r="AB118" s="235">
        <f xml:space="preserve"> Debt!AB$611</f>
        <v>0</v>
      </c>
      <c r="AC118" s="235">
        <f xml:space="preserve"> Debt!AC$611</f>
        <v>0</v>
      </c>
      <c r="AD118" s="235">
        <f xml:space="preserve"> Debt!AD$611</f>
        <v>0</v>
      </c>
      <c r="AE118" s="235">
        <f xml:space="preserve"> Debt!AE$611</f>
        <v>0</v>
      </c>
      <c r="AF118" s="235">
        <f xml:space="preserve"> Debt!AF$611</f>
        <v>0</v>
      </c>
      <c r="AG118" s="235">
        <f xml:space="preserve"> Debt!AG$611</f>
        <v>0</v>
      </c>
      <c r="AH118" s="235">
        <f xml:space="preserve"> Debt!AH$611</f>
        <v>0</v>
      </c>
      <c r="AI118" s="235">
        <f xml:space="preserve"> Debt!AI$611</f>
        <v>0</v>
      </c>
      <c r="AJ118" s="235">
        <f xml:space="preserve"> Debt!AJ$611</f>
        <v>0</v>
      </c>
      <c r="AK118" s="235">
        <f xml:space="preserve"> Debt!AK$611</f>
        <v>0</v>
      </c>
      <c r="AL118" s="235">
        <f xml:space="preserve"> Debt!AL$611</f>
        <v>0</v>
      </c>
      <c r="AM118" s="235">
        <f xml:space="preserve"> Debt!AM$611</f>
        <v>0</v>
      </c>
      <c r="AN118" s="235">
        <f xml:space="preserve"> Debt!AN$611</f>
        <v>0</v>
      </c>
      <c r="AO118" s="235">
        <f xml:space="preserve"> Debt!AO$611</f>
        <v>0</v>
      </c>
      <c r="AP118" s="235">
        <f xml:space="preserve"> Debt!AP$611</f>
        <v>0</v>
      </c>
      <c r="AQ118" s="235">
        <f xml:space="preserve"> Debt!AQ$611</f>
        <v>0</v>
      </c>
      <c r="AR118" s="235">
        <f xml:space="preserve"> Debt!AR$611</f>
        <v>0</v>
      </c>
      <c r="AS118" s="235">
        <f xml:space="preserve"> Debt!AS$611</f>
        <v>0</v>
      </c>
      <c r="AT118" s="235">
        <f xml:space="preserve"> Debt!AT$611</f>
        <v>0</v>
      </c>
      <c r="AU118" s="235">
        <f xml:space="preserve"> Debt!AU$611</f>
        <v>0</v>
      </c>
      <c r="AV118" s="235">
        <f xml:space="preserve"> Debt!AV$611</f>
        <v>0</v>
      </c>
      <c r="AW118" s="235">
        <f xml:space="preserve"> Debt!AW$611</f>
        <v>0</v>
      </c>
      <c r="AX118" s="235">
        <f xml:space="preserve"> Debt!AX$611</f>
        <v>0</v>
      </c>
      <c r="AY118" s="235">
        <f xml:space="preserve"> Debt!AY$611</f>
        <v>0</v>
      </c>
      <c r="AZ118" s="235">
        <f xml:space="preserve"> Debt!AZ$611</f>
        <v>0</v>
      </c>
      <c r="BA118" s="235">
        <f xml:space="preserve"> Debt!BA$611</f>
        <v>0</v>
      </c>
      <c r="BB118" s="235">
        <f xml:space="preserve"> Debt!BB$611</f>
        <v>0</v>
      </c>
      <c r="BC118" s="235">
        <f xml:space="preserve"> Debt!BC$611</f>
        <v>0</v>
      </c>
      <c r="BD118" s="235">
        <f xml:space="preserve"> Debt!BD$611</f>
        <v>0</v>
      </c>
      <c r="BE118" s="235">
        <f xml:space="preserve"> Debt!BE$611</f>
        <v>0</v>
      </c>
      <c r="BF118" s="235">
        <f xml:space="preserve"> Debt!BF$611</f>
        <v>0</v>
      </c>
      <c r="BG118" s="235">
        <f xml:space="preserve"> Debt!BG$611</f>
        <v>0</v>
      </c>
      <c r="BH118" s="235">
        <f xml:space="preserve"> Debt!BH$611</f>
        <v>0</v>
      </c>
      <c r="BI118" s="235">
        <f xml:space="preserve"> Debt!BI$611</f>
        <v>0</v>
      </c>
      <c r="BJ118" s="235">
        <f xml:space="preserve"> Debt!BJ$611</f>
        <v>0</v>
      </c>
      <c r="BK118" s="235">
        <f xml:space="preserve"> Debt!BK$611</f>
        <v>0</v>
      </c>
      <c r="BL118" s="235">
        <f xml:space="preserve"> Debt!BL$611</f>
        <v>0</v>
      </c>
      <c r="BM118" s="235">
        <f xml:space="preserve"> Debt!BM$611</f>
        <v>0</v>
      </c>
      <c r="BN118" s="235">
        <f xml:space="preserve"> Debt!BN$611</f>
        <v>0</v>
      </c>
      <c r="BO118" s="235">
        <f xml:space="preserve"> Debt!BO$611</f>
        <v>0</v>
      </c>
      <c r="BP118" s="235">
        <f xml:space="preserve"> Debt!BP$611</f>
        <v>0</v>
      </c>
      <c r="BQ118" s="235">
        <f xml:space="preserve"> Debt!BQ$611</f>
        <v>0</v>
      </c>
      <c r="BR118" s="235">
        <f xml:space="preserve"> Debt!BR$611</f>
        <v>0</v>
      </c>
      <c r="BS118" s="235">
        <f xml:space="preserve"> Debt!BS$611</f>
        <v>0</v>
      </c>
      <c r="BT118" s="235">
        <f xml:space="preserve"> Debt!BT$611</f>
        <v>0</v>
      </c>
      <c r="BU118" s="235">
        <f xml:space="preserve"> Debt!BU$611</f>
        <v>0</v>
      </c>
      <c r="BV118" s="235">
        <f xml:space="preserve"> Debt!BV$611</f>
        <v>0</v>
      </c>
      <c r="BW118" s="235">
        <f xml:space="preserve"> Debt!BW$611</f>
        <v>0</v>
      </c>
      <c r="BX118" s="235">
        <f xml:space="preserve"> Debt!BX$611</f>
        <v>0</v>
      </c>
      <c r="BY118" s="235">
        <f xml:space="preserve"> Debt!BY$611</f>
        <v>0</v>
      </c>
      <c r="BZ118" s="235">
        <f xml:space="preserve"> Debt!BZ$611</f>
        <v>0</v>
      </c>
      <c r="CA118" s="235">
        <f xml:space="preserve"> Debt!CA$611</f>
        <v>0</v>
      </c>
      <c r="CB118" s="235">
        <f xml:space="preserve"> Debt!CB$611</f>
        <v>0</v>
      </c>
      <c r="CC118" s="235">
        <f xml:space="preserve"> Debt!CC$611</f>
        <v>0</v>
      </c>
      <c r="CD118" s="235">
        <f xml:space="preserve"> Debt!CD$611</f>
        <v>0</v>
      </c>
      <c r="CE118" s="235">
        <f xml:space="preserve"> Debt!CE$611</f>
        <v>0</v>
      </c>
      <c r="CF118" s="235">
        <f xml:space="preserve"> Debt!CF$611</f>
        <v>0</v>
      </c>
      <c r="CG118" s="235">
        <f xml:space="preserve"> Debt!CG$611</f>
        <v>0</v>
      </c>
      <c r="CH118" s="235">
        <f xml:space="preserve"> Debt!CH$611</f>
        <v>0</v>
      </c>
      <c r="CI118" s="235">
        <f xml:space="preserve"> Debt!CI$611</f>
        <v>0</v>
      </c>
      <c r="CJ118" s="235">
        <f xml:space="preserve"> Debt!CJ$611</f>
        <v>0</v>
      </c>
      <c r="CK118" s="235">
        <f xml:space="preserve"> Debt!CK$611</f>
        <v>0</v>
      </c>
      <c r="CL118" s="235">
        <f xml:space="preserve"> Debt!CL$611</f>
        <v>0</v>
      </c>
      <c r="CM118" s="235">
        <f xml:space="preserve"> Debt!CM$611</f>
        <v>0</v>
      </c>
      <c r="CN118" s="235">
        <f xml:space="preserve"> Debt!CN$611</f>
        <v>0</v>
      </c>
      <c r="CO118" s="235">
        <f xml:space="preserve"> Debt!CO$611</f>
        <v>0</v>
      </c>
      <c r="CP118" s="235">
        <f xml:space="preserve"> Debt!CP$611</f>
        <v>0</v>
      </c>
      <c r="CQ118" s="235">
        <f xml:space="preserve"> Debt!CQ$611</f>
        <v>0</v>
      </c>
      <c r="CR118" s="235">
        <f xml:space="preserve"> Debt!CR$611</f>
        <v>0</v>
      </c>
      <c r="CS118" s="235">
        <f xml:space="preserve"> Debt!CS$611</f>
        <v>0</v>
      </c>
      <c r="CT118" s="235">
        <f xml:space="preserve"> Debt!CT$611</f>
        <v>0</v>
      </c>
      <c r="CU118" s="235">
        <f xml:space="preserve"> Debt!CU$611</f>
        <v>0</v>
      </c>
      <c r="CV118" s="235">
        <f xml:space="preserve"> Debt!CV$611</f>
        <v>0</v>
      </c>
    </row>
    <row r="119" spans="1:192" outlineLevel="2" x14ac:dyDescent="0.2">
      <c r="D119" s="209"/>
      <c r="E119" s="235" t="str">
        <f xml:space="preserve"> Debt!E$190</f>
        <v>Senior debt balance - T1</v>
      </c>
      <c r="F119" s="235">
        <f xml:space="preserve"> Debt!F$190</f>
        <v>0</v>
      </c>
      <c r="G119" s="235" t="str">
        <f xml:space="preserve"> Debt!G$190</f>
        <v>$ 000s</v>
      </c>
      <c r="H119" s="235">
        <f xml:space="preserve"> Debt!H$190</f>
        <v>0</v>
      </c>
      <c r="I119" s="235">
        <f xml:space="preserve"> Debt!I$190</f>
        <v>0</v>
      </c>
      <c r="J119" s="235">
        <f xml:space="preserve"> Debt!J$190</f>
        <v>0</v>
      </c>
      <c r="K119" s="235">
        <f xml:space="preserve"> Debt!K$190</f>
        <v>12084.251893640236</v>
      </c>
      <c r="L119" s="235">
        <f xml:space="preserve"> Debt!L$190</f>
        <v>48641.086087745876</v>
      </c>
      <c r="M119" s="235">
        <f xml:space="preserve"> Debt!M$190</f>
        <v>85848.029919746245</v>
      </c>
      <c r="N119" s="235">
        <f xml:space="preserve"> Debt!N$190</f>
        <v>125194.92613015344</v>
      </c>
      <c r="O119" s="235">
        <f xml:space="preserve"> Debt!O$190</f>
        <v>122307.36969156924</v>
      </c>
      <c r="P119" s="235">
        <f xml:space="preserve"> Debt!P$190</f>
        <v>119922.1352876555</v>
      </c>
      <c r="Q119" s="235">
        <f xml:space="preserve"> Debt!Q$190</f>
        <v>117508.19233590935</v>
      </c>
      <c r="R119" s="235">
        <f xml:space="preserve"> Debt!R$190</f>
        <v>115049.50252800655</v>
      </c>
      <c r="S119" s="235">
        <f xml:space="preserve"> Debt!S$190</f>
        <v>112559.24542947744</v>
      </c>
      <c r="T119" s="235">
        <f xml:space="preserve"> Debt!T$190</f>
        <v>110024.16578572989</v>
      </c>
      <c r="U119" s="235">
        <f xml:space="preserve"> Debt!U$190</f>
        <v>107454.54754436042</v>
      </c>
      <c r="V119" s="235">
        <f xml:space="preserve"> Debt!V$190</f>
        <v>104844.37664323812</v>
      </c>
      <c r="W119" s="235">
        <f xml:space="preserve"> Debt!W$190</f>
        <v>102198.52966645258</v>
      </c>
      <c r="X119" s="235">
        <f xml:space="preserve"> Debt!X$190</f>
        <v>99501.600215346058</v>
      </c>
      <c r="Y119" s="235">
        <f xml:space="preserve"> Debt!Y$190</f>
        <v>96843.285838745331</v>
      </c>
      <c r="Z119" s="235">
        <f xml:space="preserve"> Debt!Z$190</f>
        <v>94137.669059260574</v>
      </c>
      <c r="AA119" s="235">
        <f xml:space="preserve"> Debt!AA$190</f>
        <v>91388.173880573551</v>
      </c>
      <c r="AB119" s="235">
        <f xml:space="preserve"> Debt!AB$190</f>
        <v>88591.140842060806</v>
      </c>
      <c r="AC119" s="235">
        <f xml:space="preserve"> Debt!AC$190</f>
        <v>85746.585013341115</v>
      </c>
      <c r="AD119" s="235">
        <f xml:space="preserve"> Debt!AD$190</f>
        <v>82856.442001167306</v>
      </c>
      <c r="AE119" s="235">
        <f xml:space="preserve"> Debt!AE$190</f>
        <v>79918.828937485043</v>
      </c>
      <c r="AF119" s="235">
        <f xml:space="preserve"> Debt!AF$190</f>
        <v>76927.27686561922</v>
      </c>
      <c r="AG119" s="235">
        <f xml:space="preserve"> Debt!AG$190</f>
        <v>73880.450658089481</v>
      </c>
      <c r="AH119" s="235">
        <f xml:space="preserve"> Debt!AH$190</f>
        <v>70785.247373619</v>
      </c>
      <c r="AI119" s="235">
        <f xml:space="preserve"> Debt!AI$190</f>
        <v>67690.833646661864</v>
      </c>
      <c r="AJ119" s="235">
        <f xml:space="preserve"> Debt!AJ$190</f>
        <v>64544.128046861137</v>
      </c>
      <c r="AK119" s="235">
        <f xml:space="preserve"> Debt!AK$190</f>
        <v>61331.848850567236</v>
      </c>
      <c r="AL119" s="235">
        <f xml:space="preserve"> Debt!AL$190</f>
        <v>58066.22768944627</v>
      </c>
      <c r="AM119" s="235">
        <f xml:space="preserve"> Debt!AM$190</f>
        <v>54736.43721186708</v>
      </c>
      <c r="AN119" s="235">
        <f xml:space="preserve"> Debt!AN$190</f>
        <v>51347.570845042952</v>
      </c>
      <c r="AO119" s="235">
        <f xml:space="preserve"> Debt!AO$190</f>
        <v>47883.159012851975</v>
      </c>
      <c r="AP119" s="235">
        <f xml:space="preserve"> Debt!AP$190</f>
        <v>44364.691041537037</v>
      </c>
      <c r="AQ119" s="235">
        <f xml:space="preserve"> Debt!AQ$190</f>
        <v>40765.341095443495</v>
      </c>
      <c r="AR119" s="235">
        <f xml:space="preserve"> Debt!AR$190</f>
        <v>37111.262402800712</v>
      </c>
      <c r="AS119" s="235">
        <f xml:space="preserve"> Debt!AS$190</f>
        <v>28054.211954517719</v>
      </c>
      <c r="AT119" s="235">
        <f xml:space="preserve"> Debt!AT$190</f>
        <v>18869.053669515644</v>
      </c>
      <c r="AU119" s="235">
        <f xml:space="preserve"> Debt!AU$190</f>
        <v>9500.7049074522929</v>
      </c>
      <c r="AV119" s="235">
        <f xml:space="preserve"> Debt!AV$190</f>
        <v>-2.5461520346652833E-2</v>
      </c>
      <c r="AW119" s="235">
        <f xml:space="preserve"> Debt!AW$190</f>
        <v>-2.5461520346652833E-2</v>
      </c>
      <c r="AX119" s="235">
        <f xml:space="preserve"> Debt!AX$190</f>
        <v>-2.5461520346652833E-2</v>
      </c>
      <c r="AY119" s="235">
        <f xml:space="preserve"> Debt!AY$190</f>
        <v>-2.5461520346652833E-2</v>
      </c>
      <c r="AZ119" s="235">
        <f xml:space="preserve"> Debt!AZ$190</f>
        <v>-2.5461520346652833E-2</v>
      </c>
      <c r="BA119" s="235">
        <f xml:space="preserve"> Debt!BA$190</f>
        <v>-2.5461520346652833E-2</v>
      </c>
      <c r="BB119" s="235">
        <f xml:space="preserve"> Debt!BB$190</f>
        <v>-2.5461520346652833E-2</v>
      </c>
      <c r="BC119" s="235">
        <f xml:space="preserve"> Debt!BC$190</f>
        <v>-2.5461520346652833E-2</v>
      </c>
      <c r="BD119" s="235">
        <f xml:space="preserve"> Debt!BD$190</f>
        <v>-2.5461520346652833E-2</v>
      </c>
      <c r="BE119" s="235">
        <f xml:space="preserve"> Debt!BE$190</f>
        <v>-2.5461520346652833E-2</v>
      </c>
      <c r="BF119" s="235">
        <f xml:space="preserve"> Debt!BF$190</f>
        <v>-2.5461520346652833E-2</v>
      </c>
      <c r="BG119" s="235">
        <f xml:space="preserve"> Debt!BG$190</f>
        <v>-2.5461520346652833E-2</v>
      </c>
      <c r="BH119" s="235">
        <f xml:space="preserve"> Debt!BH$190</f>
        <v>-2.5461520346652833E-2</v>
      </c>
      <c r="BI119" s="235">
        <f xml:space="preserve"> Debt!BI$190</f>
        <v>-2.5461520346652833E-2</v>
      </c>
      <c r="BJ119" s="235">
        <f xml:space="preserve"> Debt!BJ$190</f>
        <v>-2.5461520346652833E-2</v>
      </c>
      <c r="BK119" s="235">
        <f xml:space="preserve"> Debt!BK$190</f>
        <v>-2.5461520346652833E-2</v>
      </c>
      <c r="BL119" s="235">
        <f xml:space="preserve"> Debt!BL$190</f>
        <v>-2.5461520346652833E-2</v>
      </c>
      <c r="BM119" s="235">
        <f xml:space="preserve"> Debt!BM$190</f>
        <v>-2.5461520346652833E-2</v>
      </c>
      <c r="BN119" s="235">
        <f xml:space="preserve"> Debt!BN$190</f>
        <v>-2.5461520346652833E-2</v>
      </c>
      <c r="BO119" s="235">
        <f xml:space="preserve"> Debt!BO$190</f>
        <v>-2.5461520346652833E-2</v>
      </c>
      <c r="BP119" s="235">
        <f xml:space="preserve"> Debt!BP$190</f>
        <v>-2.5461520346652833E-2</v>
      </c>
      <c r="BQ119" s="235">
        <f xml:space="preserve"> Debt!BQ$190</f>
        <v>-2.5461520346652833E-2</v>
      </c>
      <c r="BR119" s="235">
        <f xml:space="preserve"> Debt!BR$190</f>
        <v>-2.5461520346652833E-2</v>
      </c>
      <c r="BS119" s="235">
        <f xml:space="preserve"> Debt!BS$190</f>
        <v>-2.5461520346652833E-2</v>
      </c>
      <c r="BT119" s="235">
        <f xml:space="preserve"> Debt!BT$190</f>
        <v>-2.5461520346652833E-2</v>
      </c>
      <c r="BU119" s="235">
        <f xml:space="preserve"> Debt!BU$190</f>
        <v>-2.5461520346652833E-2</v>
      </c>
      <c r="BV119" s="235">
        <f xml:space="preserve"> Debt!BV$190</f>
        <v>-2.5461520346652833E-2</v>
      </c>
      <c r="BW119" s="235">
        <f xml:space="preserve"> Debt!BW$190</f>
        <v>-2.5461520346652833E-2</v>
      </c>
      <c r="BX119" s="235">
        <f xml:space="preserve"> Debt!BX$190</f>
        <v>-2.5461520346652833E-2</v>
      </c>
      <c r="BY119" s="235">
        <f xml:space="preserve"> Debt!BY$190</f>
        <v>-2.5461520346652833E-2</v>
      </c>
      <c r="BZ119" s="235">
        <f xml:space="preserve"> Debt!BZ$190</f>
        <v>-2.5461520346652833E-2</v>
      </c>
      <c r="CA119" s="235">
        <f xml:space="preserve"> Debt!CA$190</f>
        <v>-2.5461520346652833E-2</v>
      </c>
      <c r="CB119" s="235">
        <f xml:space="preserve"> Debt!CB$190</f>
        <v>-2.5461520346652833E-2</v>
      </c>
      <c r="CC119" s="235">
        <f xml:space="preserve"> Debt!CC$190</f>
        <v>-2.5461520346652833E-2</v>
      </c>
      <c r="CD119" s="235">
        <f xml:space="preserve"> Debt!CD$190</f>
        <v>-2.5461520346652833E-2</v>
      </c>
      <c r="CE119" s="235">
        <f xml:space="preserve"> Debt!CE$190</f>
        <v>-2.5461520346652833E-2</v>
      </c>
      <c r="CF119" s="235">
        <f xml:space="preserve"> Debt!CF$190</f>
        <v>-2.5461520346652833E-2</v>
      </c>
      <c r="CG119" s="235">
        <f xml:space="preserve"> Debt!CG$190</f>
        <v>-2.5461520346652833E-2</v>
      </c>
      <c r="CH119" s="235">
        <f xml:space="preserve"> Debt!CH$190</f>
        <v>-2.5461520346652833E-2</v>
      </c>
      <c r="CI119" s="235">
        <f xml:space="preserve"> Debt!CI$190</f>
        <v>-2.5461520346652833E-2</v>
      </c>
      <c r="CJ119" s="235">
        <f xml:space="preserve"> Debt!CJ$190</f>
        <v>-2.5461520346652833E-2</v>
      </c>
      <c r="CK119" s="235">
        <f xml:space="preserve"> Debt!CK$190</f>
        <v>-2.5461520346652833E-2</v>
      </c>
      <c r="CL119" s="235">
        <f xml:space="preserve"> Debt!CL$190</f>
        <v>-2.5461520346652833E-2</v>
      </c>
      <c r="CM119" s="235">
        <f xml:space="preserve"> Debt!CM$190</f>
        <v>-2.5461520346652833E-2</v>
      </c>
      <c r="CN119" s="235">
        <f xml:space="preserve"> Debt!CN$190</f>
        <v>-2.5461520346652833E-2</v>
      </c>
      <c r="CO119" s="235">
        <f xml:space="preserve"> Debt!CO$190</f>
        <v>-2.5461520346652833E-2</v>
      </c>
      <c r="CP119" s="235">
        <f xml:space="preserve"> Debt!CP$190</f>
        <v>-2.5461520346652833E-2</v>
      </c>
      <c r="CQ119" s="235">
        <f xml:space="preserve"> Debt!CQ$190</f>
        <v>-2.5461520346652833E-2</v>
      </c>
      <c r="CR119" s="235">
        <f xml:space="preserve"> Debt!CR$190</f>
        <v>-2.5461520346652833E-2</v>
      </c>
      <c r="CS119" s="235">
        <f xml:space="preserve"> Debt!CS$190</f>
        <v>-2.5461520346652833E-2</v>
      </c>
      <c r="CT119" s="235">
        <f xml:space="preserve"> Debt!CT$190</f>
        <v>-2.5461520346652833E-2</v>
      </c>
      <c r="CU119" s="235">
        <f xml:space="preserve"> Debt!CU$190</f>
        <v>-2.5461520346652833E-2</v>
      </c>
      <c r="CV119" s="235">
        <f xml:space="preserve"> Debt!CV$190</f>
        <v>-2.5461520346652833E-2</v>
      </c>
    </row>
    <row r="120" spans="1:192" outlineLevel="2" x14ac:dyDescent="0.2">
      <c r="D120" s="209"/>
      <c r="E120" s="235" t="str">
        <f xml:space="preserve"> Debt!E$302</f>
        <v>Senior debt balance - T2</v>
      </c>
      <c r="F120" s="235">
        <f xml:space="preserve"> Debt!F$302</f>
        <v>0</v>
      </c>
      <c r="G120" s="235" t="str">
        <f xml:space="preserve"> Debt!G$302</f>
        <v>$ 000s</v>
      </c>
      <c r="H120" s="235">
        <f xml:space="preserve"> Debt!H$302</f>
        <v>0</v>
      </c>
      <c r="I120" s="235">
        <f xml:space="preserve"> Debt!I$302</f>
        <v>0</v>
      </c>
      <c r="J120" s="235">
        <f xml:space="preserve"> Debt!J$302</f>
        <v>0</v>
      </c>
      <c r="K120" s="235">
        <f xml:space="preserve"> Debt!K$302</f>
        <v>12084.251893640236</v>
      </c>
      <c r="L120" s="235">
        <f xml:space="preserve"> Debt!L$302</f>
        <v>48641.086087745876</v>
      </c>
      <c r="M120" s="235">
        <f xml:space="preserve"> Debt!M$302</f>
        <v>85848.029919746245</v>
      </c>
      <c r="N120" s="235">
        <f xml:space="preserve"> Debt!N$302</f>
        <v>125194.92613015344</v>
      </c>
      <c r="O120" s="235">
        <f xml:space="preserve"> Debt!O$302</f>
        <v>121090.7892959798</v>
      </c>
      <c r="P120" s="235">
        <f xml:space="preserve"> Debt!P$302</f>
        <v>117700.61196665274</v>
      </c>
      <c r="Q120" s="235">
        <f xml:space="preserve"> Debt!Q$302</f>
        <v>114269.63065266921</v>
      </c>
      <c r="R120" s="235">
        <f xml:space="preserve"> Debt!R$302</f>
        <v>110775.04981276403</v>
      </c>
      <c r="S120" s="235">
        <f xml:space="preserve"> Debt!S$302</f>
        <v>107235.60180472895</v>
      </c>
      <c r="T120" s="235">
        <f xml:space="preserve"> Debt!T$302</f>
        <v>103632.44669252292</v>
      </c>
      <c r="U120" s="235">
        <f xml:space="preserve"> Debt!U$302</f>
        <v>99980.201239152753</v>
      </c>
      <c r="V120" s="235">
        <f xml:space="preserve"> Debt!V$302</f>
        <v>96270.31754800085</v>
      </c>
      <c r="W120" s="235">
        <f xml:space="preserve"> Debt!W$302</f>
        <v>92509.726797318668</v>
      </c>
      <c r="X120" s="235">
        <f xml:space="preserve"> Debt!X$302</f>
        <v>88676.531590619605</v>
      </c>
      <c r="Y120" s="235">
        <f xml:space="preserve"> Debt!Y$302</f>
        <v>84898.220696315591</v>
      </c>
      <c r="Z120" s="235">
        <f xml:space="preserve"> Debt!Z$302</f>
        <v>81052.678030737021</v>
      </c>
      <c r="AA120" s="235">
        <f xml:space="preserve"> Debt!AA$302</f>
        <v>77144.770193006567</v>
      </c>
      <c r="AB120" s="235">
        <f xml:space="preserve"> Debt!AB$302</f>
        <v>73169.295924739374</v>
      </c>
      <c r="AC120" s="235">
        <f xml:space="preserve"> Debt!AC$302</f>
        <v>69126.276644660495</v>
      </c>
      <c r="AD120" s="235">
        <f xml:space="preserve"> Debt!AD$302</f>
        <v>65018.4634660866</v>
      </c>
      <c r="AE120" s="235">
        <f xml:space="preserve"> Debt!AE$302</f>
        <v>60843.180234178777</v>
      </c>
      <c r="AF120" s="235">
        <f xml:space="preserve"> Debt!AF$302</f>
        <v>56591.232502375169</v>
      </c>
      <c r="AG120" s="235">
        <f xml:space="preserve"> Debt!AG$302</f>
        <v>52260.722629543205</v>
      </c>
      <c r="AH120" s="235">
        <f xml:space="preserve"> Debt!AH$302</f>
        <v>47861.453531523759</v>
      </c>
      <c r="AI120" s="235">
        <f xml:space="preserve"> Debt!AI$302</f>
        <v>43463.30664605397</v>
      </c>
      <c r="AJ120" s="235">
        <f xml:space="preserve"> Debt!AJ$302</f>
        <v>38990.836364304349</v>
      </c>
      <c r="AK120" s="235">
        <f xml:space="preserve"> Debt!AK$302</f>
        <v>34425.165129277833</v>
      </c>
      <c r="AL120" s="235">
        <f xml:space="preserve"> Debt!AL$302</f>
        <v>29783.677983009326</v>
      </c>
      <c r="AM120" s="235">
        <f xml:space="preserve"> Debt!AM$302</f>
        <v>25050.985812388433</v>
      </c>
      <c r="AN120" s="235">
        <f xml:space="preserve"> Debt!AN$302</f>
        <v>20234.327998768505</v>
      </c>
      <c r="AO120" s="235">
        <f xml:space="preserve"> Debt!AO$302</f>
        <v>15310.296032067479</v>
      </c>
      <c r="AP120" s="235">
        <f xml:space="preserve"> Debt!AP$302</f>
        <v>10309.43308512052</v>
      </c>
      <c r="AQ120" s="235">
        <f xml:space="preserve"> Debt!AQ$302</f>
        <v>5193.6111065598579</v>
      </c>
      <c r="AR120" s="235">
        <f xml:space="preserve"> Debt!AR$302</f>
        <v>2.1585050071735168E-3</v>
      </c>
      <c r="AS120" s="235">
        <f xml:space="preserve"> Debt!AS$302</f>
        <v>2.1585050071735168E-3</v>
      </c>
      <c r="AT120" s="235">
        <f xml:space="preserve"> Debt!AT$302</f>
        <v>2.1585050071735168E-3</v>
      </c>
      <c r="AU120" s="235">
        <f xml:space="preserve"> Debt!AU$302</f>
        <v>2.1585050071735168E-3</v>
      </c>
      <c r="AV120" s="235">
        <f xml:space="preserve"> Debt!AV$302</f>
        <v>2.1585050071735168E-3</v>
      </c>
      <c r="AW120" s="235">
        <f xml:space="preserve"> Debt!AW$302</f>
        <v>2.1585050071735168E-3</v>
      </c>
      <c r="AX120" s="235">
        <f xml:space="preserve"> Debt!AX$302</f>
        <v>2.1585050071735168E-3</v>
      </c>
      <c r="AY120" s="235">
        <f xml:space="preserve"> Debt!AY$302</f>
        <v>2.1585050071735168E-3</v>
      </c>
      <c r="AZ120" s="235">
        <f xml:space="preserve"> Debt!AZ$302</f>
        <v>2.1585050071735168E-3</v>
      </c>
      <c r="BA120" s="235">
        <f xml:space="preserve"> Debt!BA$302</f>
        <v>2.1585050071735168E-3</v>
      </c>
      <c r="BB120" s="235">
        <f xml:space="preserve"> Debt!BB$302</f>
        <v>2.1585050071735168E-3</v>
      </c>
      <c r="BC120" s="235">
        <f xml:space="preserve"> Debt!BC$302</f>
        <v>2.1585050071735168E-3</v>
      </c>
      <c r="BD120" s="235">
        <f xml:space="preserve"> Debt!BD$302</f>
        <v>2.1585050071735168E-3</v>
      </c>
      <c r="BE120" s="235">
        <f xml:space="preserve"> Debt!BE$302</f>
        <v>2.1585050071735168E-3</v>
      </c>
      <c r="BF120" s="235">
        <f xml:space="preserve"> Debt!BF$302</f>
        <v>2.1585050071735168E-3</v>
      </c>
      <c r="BG120" s="235">
        <f xml:space="preserve"> Debt!BG$302</f>
        <v>2.1585050071735168E-3</v>
      </c>
      <c r="BH120" s="235">
        <f xml:space="preserve"> Debt!BH$302</f>
        <v>2.1585050071735168E-3</v>
      </c>
      <c r="BI120" s="235">
        <f xml:space="preserve"> Debt!BI$302</f>
        <v>2.1585050071735168E-3</v>
      </c>
      <c r="BJ120" s="235">
        <f xml:space="preserve"> Debt!BJ$302</f>
        <v>2.1585050071735168E-3</v>
      </c>
      <c r="BK120" s="235">
        <f xml:space="preserve"> Debt!BK$302</f>
        <v>2.1585050071735168E-3</v>
      </c>
      <c r="BL120" s="235">
        <f xml:space="preserve"> Debt!BL$302</f>
        <v>2.1585050071735168E-3</v>
      </c>
      <c r="BM120" s="235">
        <f xml:space="preserve"> Debt!BM$302</f>
        <v>2.1585050071735168E-3</v>
      </c>
      <c r="BN120" s="235">
        <f xml:space="preserve"> Debt!BN$302</f>
        <v>2.1585050071735168E-3</v>
      </c>
      <c r="BO120" s="235">
        <f xml:space="preserve"> Debt!BO$302</f>
        <v>2.1585050071735168E-3</v>
      </c>
      <c r="BP120" s="235">
        <f xml:space="preserve"> Debt!BP$302</f>
        <v>2.1585050071735168E-3</v>
      </c>
      <c r="BQ120" s="235">
        <f xml:space="preserve"> Debt!BQ$302</f>
        <v>2.1585050071735168E-3</v>
      </c>
      <c r="BR120" s="235">
        <f xml:space="preserve"> Debt!BR$302</f>
        <v>2.1585050071735168E-3</v>
      </c>
      <c r="BS120" s="235">
        <f xml:space="preserve"> Debt!BS$302</f>
        <v>2.1585050071735168E-3</v>
      </c>
      <c r="BT120" s="235">
        <f xml:space="preserve"> Debt!BT$302</f>
        <v>2.1585050071735168E-3</v>
      </c>
      <c r="BU120" s="235">
        <f xml:space="preserve"> Debt!BU$302</f>
        <v>2.1585050071735168E-3</v>
      </c>
      <c r="BV120" s="235">
        <f xml:space="preserve"> Debt!BV$302</f>
        <v>2.1585050071735168E-3</v>
      </c>
      <c r="BW120" s="235">
        <f xml:space="preserve"> Debt!BW$302</f>
        <v>2.1585050071735168E-3</v>
      </c>
      <c r="BX120" s="235">
        <f xml:space="preserve"> Debt!BX$302</f>
        <v>2.1585050071735168E-3</v>
      </c>
      <c r="BY120" s="235">
        <f xml:space="preserve"> Debt!BY$302</f>
        <v>2.1585050071735168E-3</v>
      </c>
      <c r="BZ120" s="235">
        <f xml:space="preserve"> Debt!BZ$302</f>
        <v>2.1585050071735168E-3</v>
      </c>
      <c r="CA120" s="235">
        <f xml:space="preserve"> Debt!CA$302</f>
        <v>2.1585050071735168E-3</v>
      </c>
      <c r="CB120" s="235">
        <f xml:space="preserve"> Debt!CB$302</f>
        <v>2.1585050071735168E-3</v>
      </c>
      <c r="CC120" s="235">
        <f xml:space="preserve"> Debt!CC$302</f>
        <v>2.1585050071735168E-3</v>
      </c>
      <c r="CD120" s="235">
        <f xml:space="preserve"> Debt!CD$302</f>
        <v>2.1585050071735168E-3</v>
      </c>
      <c r="CE120" s="235">
        <f xml:space="preserve"> Debt!CE$302</f>
        <v>2.1585050071735168E-3</v>
      </c>
      <c r="CF120" s="235">
        <f xml:space="preserve"> Debt!CF$302</f>
        <v>2.1585050071735168E-3</v>
      </c>
      <c r="CG120" s="235">
        <f xml:space="preserve"> Debt!CG$302</f>
        <v>2.1585050071735168E-3</v>
      </c>
      <c r="CH120" s="235">
        <f xml:space="preserve"> Debt!CH$302</f>
        <v>2.1585050071735168E-3</v>
      </c>
      <c r="CI120" s="235">
        <f xml:space="preserve"> Debt!CI$302</f>
        <v>2.1585050071735168E-3</v>
      </c>
      <c r="CJ120" s="235">
        <f xml:space="preserve"> Debt!CJ$302</f>
        <v>2.1585050071735168E-3</v>
      </c>
      <c r="CK120" s="235">
        <f xml:space="preserve"> Debt!CK$302</f>
        <v>2.1585050071735168E-3</v>
      </c>
      <c r="CL120" s="235">
        <f xml:space="preserve"> Debt!CL$302</f>
        <v>2.1585050071735168E-3</v>
      </c>
      <c r="CM120" s="235">
        <f xml:space="preserve"> Debt!CM$302</f>
        <v>2.1585050071735168E-3</v>
      </c>
      <c r="CN120" s="235">
        <f xml:space="preserve"> Debt!CN$302</f>
        <v>2.1585050071735168E-3</v>
      </c>
      <c r="CO120" s="235">
        <f xml:space="preserve"> Debt!CO$302</f>
        <v>2.1585050071735168E-3</v>
      </c>
      <c r="CP120" s="235">
        <f xml:space="preserve"> Debt!CP$302</f>
        <v>2.1585050071735168E-3</v>
      </c>
      <c r="CQ120" s="235">
        <f xml:space="preserve"> Debt!CQ$302</f>
        <v>2.1585050071735168E-3</v>
      </c>
      <c r="CR120" s="235">
        <f xml:space="preserve"> Debt!CR$302</f>
        <v>2.1585050071735168E-3</v>
      </c>
      <c r="CS120" s="235">
        <f xml:space="preserve"> Debt!CS$302</f>
        <v>2.1585050071735168E-3</v>
      </c>
      <c r="CT120" s="235">
        <f xml:space="preserve"> Debt!CT$302</f>
        <v>2.1585050071735168E-3</v>
      </c>
      <c r="CU120" s="235">
        <f xml:space="preserve"> Debt!CU$302</f>
        <v>2.1585050071735168E-3</v>
      </c>
      <c r="CV120" s="235">
        <f xml:space="preserve"> Debt!CV$302</f>
        <v>2.1585050071735168E-3</v>
      </c>
    </row>
    <row r="121" spans="1:192" s="192" customFormat="1" outlineLevel="2" x14ac:dyDescent="0.2">
      <c r="A121" s="205"/>
      <c r="B121" s="205"/>
      <c r="C121" s="206"/>
      <c r="D121" s="209"/>
      <c r="E121" s="235" t="str">
        <f xml:space="preserve"> Debt!E$404</f>
        <v>Standby debt - T1 balance</v>
      </c>
      <c r="F121" s="235">
        <f xml:space="preserve"> Debt!F$404</f>
        <v>0</v>
      </c>
      <c r="G121" s="235" t="str">
        <f xml:space="preserve"> Debt!G$404</f>
        <v>$ 000s</v>
      </c>
      <c r="H121" s="235">
        <f xml:space="preserve"> Debt!H$404</f>
        <v>0</v>
      </c>
      <c r="I121" s="235">
        <f xml:space="preserve"> Debt!I$404</f>
        <v>0</v>
      </c>
      <c r="J121" s="235">
        <f xml:space="preserve"> Debt!J$404</f>
        <v>0</v>
      </c>
      <c r="K121" s="235">
        <f xml:space="preserve"> Debt!K$404</f>
        <v>0</v>
      </c>
      <c r="L121" s="235">
        <f xml:space="preserve"> Debt!L$404</f>
        <v>0</v>
      </c>
      <c r="M121" s="235">
        <f xml:space="preserve"> Debt!M$404</f>
        <v>0</v>
      </c>
      <c r="N121" s="235">
        <f xml:space="preserve"> Debt!N$404</f>
        <v>0</v>
      </c>
      <c r="O121" s="235">
        <f xml:space="preserve"> Debt!O$404</f>
        <v>0</v>
      </c>
      <c r="P121" s="235">
        <f xml:space="preserve"> Debt!P$404</f>
        <v>0</v>
      </c>
      <c r="Q121" s="235">
        <f xml:space="preserve"> Debt!Q$404</f>
        <v>0</v>
      </c>
      <c r="R121" s="235">
        <f xml:space="preserve"> Debt!R$404</f>
        <v>0</v>
      </c>
      <c r="S121" s="235">
        <f xml:space="preserve"> Debt!S$404</f>
        <v>0</v>
      </c>
      <c r="T121" s="235">
        <f xml:space="preserve"> Debt!T$404</f>
        <v>0</v>
      </c>
      <c r="U121" s="235">
        <f xml:space="preserve"> Debt!U$404</f>
        <v>0</v>
      </c>
      <c r="V121" s="235">
        <f xml:space="preserve"> Debt!V$404</f>
        <v>0</v>
      </c>
      <c r="W121" s="235">
        <f xml:space="preserve"> Debt!W$404</f>
        <v>0</v>
      </c>
      <c r="X121" s="235">
        <f xml:space="preserve"> Debt!X$404</f>
        <v>0</v>
      </c>
      <c r="Y121" s="235">
        <f xml:space="preserve"> Debt!Y$404</f>
        <v>0</v>
      </c>
      <c r="Z121" s="235">
        <f xml:space="preserve"> Debt!Z$404</f>
        <v>0</v>
      </c>
      <c r="AA121" s="235">
        <f xml:space="preserve"> Debt!AA$404</f>
        <v>0</v>
      </c>
      <c r="AB121" s="235">
        <f xml:space="preserve"> Debt!AB$404</f>
        <v>0</v>
      </c>
      <c r="AC121" s="235">
        <f xml:space="preserve"> Debt!AC$404</f>
        <v>0</v>
      </c>
      <c r="AD121" s="235">
        <f xml:space="preserve"> Debt!AD$404</f>
        <v>0</v>
      </c>
      <c r="AE121" s="235">
        <f xml:space="preserve"> Debt!AE$404</f>
        <v>0</v>
      </c>
      <c r="AF121" s="235">
        <f xml:space="preserve"> Debt!AF$404</f>
        <v>0</v>
      </c>
      <c r="AG121" s="235">
        <f xml:space="preserve"> Debt!AG$404</f>
        <v>0</v>
      </c>
      <c r="AH121" s="235">
        <f xml:space="preserve"> Debt!AH$404</f>
        <v>0</v>
      </c>
      <c r="AI121" s="235">
        <f xml:space="preserve"> Debt!AI$404</f>
        <v>0</v>
      </c>
      <c r="AJ121" s="235">
        <f xml:space="preserve"> Debt!AJ$404</f>
        <v>0</v>
      </c>
      <c r="AK121" s="235">
        <f xml:space="preserve"> Debt!AK$404</f>
        <v>0</v>
      </c>
      <c r="AL121" s="235">
        <f xml:space="preserve"> Debt!AL$404</f>
        <v>0</v>
      </c>
      <c r="AM121" s="235">
        <f xml:space="preserve"> Debt!AM$404</f>
        <v>0</v>
      </c>
      <c r="AN121" s="235">
        <f xml:space="preserve"> Debt!AN$404</f>
        <v>0</v>
      </c>
      <c r="AO121" s="235">
        <f xml:space="preserve"> Debt!AO$404</f>
        <v>0</v>
      </c>
      <c r="AP121" s="235">
        <f xml:space="preserve"> Debt!AP$404</f>
        <v>0</v>
      </c>
      <c r="AQ121" s="235">
        <f xml:space="preserve"> Debt!AQ$404</f>
        <v>0</v>
      </c>
      <c r="AR121" s="235">
        <f xml:space="preserve"> Debt!AR$404</f>
        <v>0</v>
      </c>
      <c r="AS121" s="235">
        <f xml:space="preserve"> Debt!AS$404</f>
        <v>0</v>
      </c>
      <c r="AT121" s="235">
        <f xml:space="preserve"> Debt!AT$404</f>
        <v>0</v>
      </c>
      <c r="AU121" s="235">
        <f xml:space="preserve"> Debt!AU$404</f>
        <v>0</v>
      </c>
      <c r="AV121" s="235">
        <f xml:space="preserve"> Debt!AV$404</f>
        <v>0</v>
      </c>
      <c r="AW121" s="235">
        <f xml:space="preserve"> Debt!AW$404</f>
        <v>0</v>
      </c>
      <c r="AX121" s="235">
        <f xml:space="preserve"> Debt!AX$404</f>
        <v>0</v>
      </c>
      <c r="AY121" s="235">
        <f xml:space="preserve"> Debt!AY$404</f>
        <v>0</v>
      </c>
      <c r="AZ121" s="235">
        <f xml:space="preserve"> Debt!AZ$404</f>
        <v>0</v>
      </c>
      <c r="BA121" s="235">
        <f xml:space="preserve"> Debt!BA$404</f>
        <v>0</v>
      </c>
      <c r="BB121" s="235">
        <f xml:space="preserve"> Debt!BB$404</f>
        <v>0</v>
      </c>
      <c r="BC121" s="235">
        <f xml:space="preserve"> Debt!BC$404</f>
        <v>0</v>
      </c>
      <c r="BD121" s="235">
        <f xml:space="preserve"> Debt!BD$404</f>
        <v>0</v>
      </c>
      <c r="BE121" s="235">
        <f xml:space="preserve"> Debt!BE$404</f>
        <v>0</v>
      </c>
      <c r="BF121" s="235">
        <f xml:space="preserve"> Debt!BF$404</f>
        <v>0</v>
      </c>
      <c r="BG121" s="235">
        <f xml:space="preserve"> Debt!BG$404</f>
        <v>0</v>
      </c>
      <c r="BH121" s="235">
        <f xml:space="preserve"> Debt!BH$404</f>
        <v>0</v>
      </c>
      <c r="BI121" s="235">
        <f xml:space="preserve"> Debt!BI$404</f>
        <v>0</v>
      </c>
      <c r="BJ121" s="235">
        <f xml:space="preserve"> Debt!BJ$404</f>
        <v>0</v>
      </c>
      <c r="BK121" s="235">
        <f xml:space="preserve"> Debt!BK$404</f>
        <v>0</v>
      </c>
      <c r="BL121" s="235">
        <f xml:space="preserve"> Debt!BL$404</f>
        <v>0</v>
      </c>
      <c r="BM121" s="235">
        <f xml:space="preserve"> Debt!BM$404</f>
        <v>0</v>
      </c>
      <c r="BN121" s="235">
        <f xml:space="preserve"> Debt!BN$404</f>
        <v>0</v>
      </c>
      <c r="BO121" s="235">
        <f xml:space="preserve"> Debt!BO$404</f>
        <v>0</v>
      </c>
      <c r="BP121" s="235">
        <f xml:space="preserve"> Debt!BP$404</f>
        <v>0</v>
      </c>
      <c r="BQ121" s="235">
        <f xml:space="preserve"> Debt!BQ$404</f>
        <v>0</v>
      </c>
      <c r="BR121" s="235">
        <f xml:space="preserve"> Debt!BR$404</f>
        <v>0</v>
      </c>
      <c r="BS121" s="235">
        <f xml:space="preserve"> Debt!BS$404</f>
        <v>0</v>
      </c>
      <c r="BT121" s="235">
        <f xml:space="preserve"> Debt!BT$404</f>
        <v>0</v>
      </c>
      <c r="BU121" s="235">
        <f xml:space="preserve"> Debt!BU$404</f>
        <v>0</v>
      </c>
      <c r="BV121" s="235">
        <f xml:space="preserve"> Debt!BV$404</f>
        <v>0</v>
      </c>
      <c r="BW121" s="235">
        <f xml:space="preserve"> Debt!BW$404</f>
        <v>0</v>
      </c>
      <c r="BX121" s="235">
        <f xml:space="preserve"> Debt!BX$404</f>
        <v>0</v>
      </c>
      <c r="BY121" s="235">
        <f xml:space="preserve"> Debt!BY$404</f>
        <v>0</v>
      </c>
      <c r="BZ121" s="235">
        <f xml:space="preserve"> Debt!BZ$404</f>
        <v>0</v>
      </c>
      <c r="CA121" s="235">
        <f xml:space="preserve"> Debt!CA$404</f>
        <v>0</v>
      </c>
      <c r="CB121" s="235">
        <f xml:space="preserve"> Debt!CB$404</f>
        <v>0</v>
      </c>
      <c r="CC121" s="235">
        <f xml:space="preserve"> Debt!CC$404</f>
        <v>0</v>
      </c>
      <c r="CD121" s="235">
        <f xml:space="preserve"> Debt!CD$404</f>
        <v>0</v>
      </c>
      <c r="CE121" s="235">
        <f xml:space="preserve"> Debt!CE$404</f>
        <v>0</v>
      </c>
      <c r="CF121" s="235">
        <f xml:space="preserve"> Debt!CF$404</f>
        <v>0</v>
      </c>
      <c r="CG121" s="235">
        <f xml:space="preserve"> Debt!CG$404</f>
        <v>0</v>
      </c>
      <c r="CH121" s="235">
        <f xml:space="preserve"> Debt!CH$404</f>
        <v>0</v>
      </c>
      <c r="CI121" s="235">
        <f xml:space="preserve"> Debt!CI$404</f>
        <v>0</v>
      </c>
      <c r="CJ121" s="235">
        <f xml:space="preserve"> Debt!CJ$404</f>
        <v>0</v>
      </c>
      <c r="CK121" s="235">
        <f xml:space="preserve"> Debt!CK$404</f>
        <v>0</v>
      </c>
      <c r="CL121" s="235">
        <f xml:space="preserve"> Debt!CL$404</f>
        <v>0</v>
      </c>
      <c r="CM121" s="235">
        <f xml:space="preserve"> Debt!CM$404</f>
        <v>0</v>
      </c>
      <c r="CN121" s="235">
        <f xml:space="preserve"> Debt!CN$404</f>
        <v>0</v>
      </c>
      <c r="CO121" s="235">
        <f xml:space="preserve"> Debt!CO$404</f>
        <v>0</v>
      </c>
      <c r="CP121" s="235">
        <f xml:space="preserve"> Debt!CP$404</f>
        <v>0</v>
      </c>
      <c r="CQ121" s="235">
        <f xml:space="preserve"> Debt!CQ$404</f>
        <v>0</v>
      </c>
      <c r="CR121" s="235">
        <f xml:space="preserve"> Debt!CR$404</f>
        <v>0</v>
      </c>
      <c r="CS121" s="235">
        <f xml:space="preserve"> Debt!CS$404</f>
        <v>0</v>
      </c>
      <c r="CT121" s="235">
        <f xml:space="preserve"> Debt!CT$404</f>
        <v>0</v>
      </c>
      <c r="CU121" s="235">
        <f xml:space="preserve"> Debt!CU$404</f>
        <v>0</v>
      </c>
      <c r="CV121" s="235">
        <f xml:space="preserve"> Debt!CV$404</f>
        <v>0</v>
      </c>
    </row>
    <row r="122" spans="1:192" s="192" customFormat="1" outlineLevel="2" x14ac:dyDescent="0.2">
      <c r="A122" s="205"/>
      <c r="B122" s="205"/>
      <c r="C122" s="206"/>
      <c r="D122" s="209"/>
      <c r="E122" s="235" t="str">
        <f xml:space="preserve"> Debt!E$436</f>
        <v>Standby debt - T2 balance</v>
      </c>
      <c r="F122" s="235">
        <f xml:space="preserve"> Debt!F$436</f>
        <v>0</v>
      </c>
      <c r="G122" s="235" t="str">
        <f xml:space="preserve"> Debt!G$436</f>
        <v>$ 000s</v>
      </c>
      <c r="H122" s="235">
        <f xml:space="preserve"> Debt!H$436</f>
        <v>0</v>
      </c>
      <c r="I122" s="235">
        <f xml:space="preserve"> Debt!I$436</f>
        <v>0</v>
      </c>
      <c r="J122" s="235">
        <f xml:space="preserve"> Debt!J$436</f>
        <v>0</v>
      </c>
      <c r="K122" s="235">
        <f xml:space="preserve"> Debt!K$436</f>
        <v>0</v>
      </c>
      <c r="L122" s="235">
        <f xml:space="preserve"> Debt!L$436</f>
        <v>0</v>
      </c>
      <c r="M122" s="235">
        <f xml:space="preserve"> Debt!M$436</f>
        <v>0</v>
      </c>
      <c r="N122" s="235">
        <f xml:space="preserve"> Debt!N$436</f>
        <v>0</v>
      </c>
      <c r="O122" s="235">
        <f xml:space="preserve"> Debt!O$436</f>
        <v>0</v>
      </c>
      <c r="P122" s="235">
        <f xml:space="preserve"> Debt!P$436</f>
        <v>0</v>
      </c>
      <c r="Q122" s="235">
        <f xml:space="preserve"> Debt!Q$436</f>
        <v>0</v>
      </c>
      <c r="R122" s="235">
        <f xml:space="preserve"> Debt!R$436</f>
        <v>0</v>
      </c>
      <c r="S122" s="235">
        <f xml:space="preserve"> Debt!S$436</f>
        <v>0</v>
      </c>
      <c r="T122" s="235">
        <f xml:space="preserve"> Debt!T$436</f>
        <v>0</v>
      </c>
      <c r="U122" s="235">
        <f xml:space="preserve"> Debt!U$436</f>
        <v>0</v>
      </c>
      <c r="V122" s="235">
        <f xml:space="preserve"> Debt!V$436</f>
        <v>0</v>
      </c>
      <c r="W122" s="235">
        <f xml:space="preserve"> Debt!W$436</f>
        <v>0</v>
      </c>
      <c r="X122" s="235">
        <f xml:space="preserve"> Debt!X$436</f>
        <v>0</v>
      </c>
      <c r="Y122" s="235">
        <f xml:space="preserve"> Debt!Y$436</f>
        <v>0</v>
      </c>
      <c r="Z122" s="235">
        <f xml:space="preserve"> Debt!Z$436</f>
        <v>0</v>
      </c>
      <c r="AA122" s="235">
        <f xml:space="preserve"> Debt!AA$436</f>
        <v>0</v>
      </c>
      <c r="AB122" s="235">
        <f xml:space="preserve"> Debt!AB$436</f>
        <v>0</v>
      </c>
      <c r="AC122" s="235">
        <f xml:space="preserve"> Debt!AC$436</f>
        <v>0</v>
      </c>
      <c r="AD122" s="235">
        <f xml:space="preserve"> Debt!AD$436</f>
        <v>0</v>
      </c>
      <c r="AE122" s="235">
        <f xml:space="preserve"> Debt!AE$436</f>
        <v>0</v>
      </c>
      <c r="AF122" s="235">
        <f xml:space="preserve"> Debt!AF$436</f>
        <v>0</v>
      </c>
      <c r="AG122" s="235">
        <f xml:space="preserve"> Debt!AG$436</f>
        <v>0</v>
      </c>
      <c r="AH122" s="235">
        <f xml:space="preserve"> Debt!AH$436</f>
        <v>0</v>
      </c>
      <c r="AI122" s="235">
        <f xml:space="preserve"> Debt!AI$436</f>
        <v>0</v>
      </c>
      <c r="AJ122" s="235">
        <f xml:space="preserve"> Debt!AJ$436</f>
        <v>0</v>
      </c>
      <c r="AK122" s="235">
        <f xml:space="preserve"> Debt!AK$436</f>
        <v>0</v>
      </c>
      <c r="AL122" s="235">
        <f xml:space="preserve"> Debt!AL$436</f>
        <v>0</v>
      </c>
      <c r="AM122" s="235">
        <f xml:space="preserve"> Debt!AM$436</f>
        <v>0</v>
      </c>
      <c r="AN122" s="235">
        <f xml:space="preserve"> Debt!AN$436</f>
        <v>0</v>
      </c>
      <c r="AO122" s="235">
        <f xml:space="preserve"> Debt!AO$436</f>
        <v>0</v>
      </c>
      <c r="AP122" s="235">
        <f xml:space="preserve"> Debt!AP$436</f>
        <v>0</v>
      </c>
      <c r="AQ122" s="235">
        <f xml:space="preserve"> Debt!AQ$436</f>
        <v>0</v>
      </c>
      <c r="AR122" s="235">
        <f xml:space="preserve"> Debt!AR$436</f>
        <v>0</v>
      </c>
      <c r="AS122" s="235">
        <f xml:space="preserve"> Debt!AS$436</f>
        <v>0</v>
      </c>
      <c r="AT122" s="235">
        <f xml:space="preserve"> Debt!AT$436</f>
        <v>0</v>
      </c>
      <c r="AU122" s="235">
        <f xml:space="preserve"> Debt!AU$436</f>
        <v>0</v>
      </c>
      <c r="AV122" s="235">
        <f xml:space="preserve"> Debt!AV$436</f>
        <v>0</v>
      </c>
      <c r="AW122" s="235">
        <f xml:space="preserve"> Debt!AW$436</f>
        <v>0</v>
      </c>
      <c r="AX122" s="235">
        <f xml:space="preserve"> Debt!AX$436</f>
        <v>0</v>
      </c>
      <c r="AY122" s="235">
        <f xml:space="preserve"> Debt!AY$436</f>
        <v>0</v>
      </c>
      <c r="AZ122" s="235">
        <f xml:space="preserve"> Debt!AZ$436</f>
        <v>0</v>
      </c>
      <c r="BA122" s="235">
        <f xml:space="preserve"> Debt!BA$436</f>
        <v>0</v>
      </c>
      <c r="BB122" s="235">
        <f xml:space="preserve"> Debt!BB$436</f>
        <v>0</v>
      </c>
      <c r="BC122" s="235">
        <f xml:space="preserve"> Debt!BC$436</f>
        <v>0</v>
      </c>
      <c r="BD122" s="235">
        <f xml:space="preserve"> Debt!BD$436</f>
        <v>0</v>
      </c>
      <c r="BE122" s="235">
        <f xml:space="preserve"> Debt!BE$436</f>
        <v>0</v>
      </c>
      <c r="BF122" s="235">
        <f xml:space="preserve"> Debt!BF$436</f>
        <v>0</v>
      </c>
      <c r="BG122" s="235">
        <f xml:space="preserve"> Debt!BG$436</f>
        <v>0</v>
      </c>
      <c r="BH122" s="235">
        <f xml:space="preserve"> Debt!BH$436</f>
        <v>0</v>
      </c>
      <c r="BI122" s="235">
        <f xml:space="preserve"> Debt!BI$436</f>
        <v>0</v>
      </c>
      <c r="BJ122" s="235">
        <f xml:space="preserve"> Debt!BJ$436</f>
        <v>0</v>
      </c>
      <c r="BK122" s="235">
        <f xml:space="preserve"> Debt!BK$436</f>
        <v>0</v>
      </c>
      <c r="BL122" s="235">
        <f xml:space="preserve"> Debt!BL$436</f>
        <v>0</v>
      </c>
      <c r="BM122" s="235">
        <f xml:space="preserve"> Debt!BM$436</f>
        <v>0</v>
      </c>
      <c r="BN122" s="235">
        <f xml:space="preserve"> Debt!BN$436</f>
        <v>0</v>
      </c>
      <c r="BO122" s="235">
        <f xml:space="preserve"> Debt!BO$436</f>
        <v>0</v>
      </c>
      <c r="BP122" s="235">
        <f xml:space="preserve"> Debt!BP$436</f>
        <v>0</v>
      </c>
      <c r="BQ122" s="235">
        <f xml:space="preserve"> Debt!BQ$436</f>
        <v>0</v>
      </c>
      <c r="BR122" s="235">
        <f xml:space="preserve"> Debt!BR$436</f>
        <v>0</v>
      </c>
      <c r="BS122" s="235">
        <f xml:space="preserve"> Debt!BS$436</f>
        <v>0</v>
      </c>
      <c r="BT122" s="235">
        <f xml:space="preserve"> Debt!BT$436</f>
        <v>0</v>
      </c>
      <c r="BU122" s="235">
        <f xml:space="preserve"> Debt!BU$436</f>
        <v>0</v>
      </c>
      <c r="BV122" s="235">
        <f xml:space="preserve"> Debt!BV$436</f>
        <v>0</v>
      </c>
      <c r="BW122" s="235">
        <f xml:space="preserve"> Debt!BW$436</f>
        <v>0</v>
      </c>
      <c r="BX122" s="235">
        <f xml:space="preserve"> Debt!BX$436</f>
        <v>0</v>
      </c>
      <c r="BY122" s="235">
        <f xml:space="preserve"> Debt!BY$436</f>
        <v>0</v>
      </c>
      <c r="BZ122" s="235">
        <f xml:space="preserve"> Debt!BZ$436</f>
        <v>0</v>
      </c>
      <c r="CA122" s="235">
        <f xml:space="preserve"> Debt!CA$436</f>
        <v>0</v>
      </c>
      <c r="CB122" s="235">
        <f xml:space="preserve"> Debt!CB$436</f>
        <v>0</v>
      </c>
      <c r="CC122" s="235">
        <f xml:space="preserve"> Debt!CC$436</f>
        <v>0</v>
      </c>
      <c r="CD122" s="235">
        <f xml:space="preserve"> Debt!CD$436</f>
        <v>0</v>
      </c>
      <c r="CE122" s="235">
        <f xml:space="preserve"> Debt!CE$436</f>
        <v>0</v>
      </c>
      <c r="CF122" s="235">
        <f xml:space="preserve"> Debt!CF$436</f>
        <v>0</v>
      </c>
      <c r="CG122" s="235">
        <f xml:space="preserve"> Debt!CG$436</f>
        <v>0</v>
      </c>
      <c r="CH122" s="235">
        <f xml:space="preserve"> Debt!CH$436</f>
        <v>0</v>
      </c>
      <c r="CI122" s="235">
        <f xml:space="preserve"> Debt!CI$436</f>
        <v>0</v>
      </c>
      <c r="CJ122" s="235">
        <f xml:space="preserve"> Debt!CJ$436</f>
        <v>0</v>
      </c>
      <c r="CK122" s="235">
        <f xml:space="preserve"> Debt!CK$436</f>
        <v>0</v>
      </c>
      <c r="CL122" s="235">
        <f xml:space="preserve"> Debt!CL$436</f>
        <v>0</v>
      </c>
      <c r="CM122" s="235">
        <f xml:space="preserve"> Debt!CM$436</f>
        <v>0</v>
      </c>
      <c r="CN122" s="235">
        <f xml:space="preserve"> Debt!CN$436</f>
        <v>0</v>
      </c>
      <c r="CO122" s="235">
        <f xml:space="preserve"> Debt!CO$436</f>
        <v>0</v>
      </c>
      <c r="CP122" s="235">
        <f xml:space="preserve"> Debt!CP$436</f>
        <v>0</v>
      </c>
      <c r="CQ122" s="235">
        <f xml:space="preserve"> Debt!CQ$436</f>
        <v>0</v>
      </c>
      <c r="CR122" s="235">
        <f xml:space="preserve"> Debt!CR$436</f>
        <v>0</v>
      </c>
      <c r="CS122" s="235">
        <f xml:space="preserve"> Debt!CS$436</f>
        <v>0</v>
      </c>
      <c r="CT122" s="235">
        <f xml:space="preserve"> Debt!CT$436</f>
        <v>0</v>
      </c>
      <c r="CU122" s="235">
        <f xml:space="preserve"> Debt!CU$436</f>
        <v>0</v>
      </c>
      <c r="CV122" s="235">
        <f xml:space="preserve"> Debt!CV$436</f>
        <v>0</v>
      </c>
    </row>
    <row r="123" spans="1:192" s="331" customFormat="1" outlineLevel="2" x14ac:dyDescent="0.2">
      <c r="A123" s="752"/>
      <c r="B123" s="752"/>
      <c r="C123" s="753"/>
      <c r="D123" s="754"/>
      <c r="E123" s="722" t="str">
        <f xml:space="preserve"> Debt!E$688</f>
        <v>Equity bridge balance</v>
      </c>
      <c r="F123" s="722">
        <f xml:space="preserve"> Debt!F$688</f>
        <v>0</v>
      </c>
      <c r="G123" s="722" t="str">
        <f xml:space="preserve"> Debt!G$688</f>
        <v>$ 000s</v>
      </c>
      <c r="H123" s="722">
        <f xml:space="preserve"> Debt!H$688</f>
        <v>0</v>
      </c>
      <c r="I123" s="722">
        <f xml:space="preserve"> Debt!I$688</f>
        <v>0</v>
      </c>
      <c r="J123" s="722">
        <f xml:space="preserve"> Debt!J$688</f>
        <v>38555.01232134179</v>
      </c>
      <c r="K123" s="722">
        <f xml:space="preserve"> Debt!K$688</f>
        <v>86318.253106861201</v>
      </c>
      <c r="L123" s="722">
        <f xml:space="preserve"> Debt!L$688</f>
        <v>86318.253106861201</v>
      </c>
      <c r="M123" s="722">
        <f xml:space="preserve"> Debt!M$688</f>
        <v>86318.253106861201</v>
      </c>
      <c r="N123" s="722">
        <f xml:space="preserve"> Debt!N$688</f>
        <v>0</v>
      </c>
      <c r="O123" s="722">
        <f xml:space="preserve"> Debt!O$688</f>
        <v>0</v>
      </c>
      <c r="P123" s="722">
        <f xml:space="preserve"> Debt!P$688</f>
        <v>0</v>
      </c>
      <c r="Q123" s="722">
        <f xml:space="preserve"> Debt!Q$688</f>
        <v>0</v>
      </c>
      <c r="R123" s="722">
        <f xml:space="preserve"> Debt!R$688</f>
        <v>0</v>
      </c>
      <c r="S123" s="722">
        <f xml:space="preserve"> Debt!S$688</f>
        <v>0</v>
      </c>
      <c r="T123" s="722">
        <f xml:space="preserve"> Debt!T$688</f>
        <v>0</v>
      </c>
      <c r="U123" s="722">
        <f xml:space="preserve"> Debt!U$688</f>
        <v>0</v>
      </c>
      <c r="V123" s="722">
        <f xml:space="preserve"> Debt!V$688</f>
        <v>0</v>
      </c>
      <c r="W123" s="722">
        <f xml:space="preserve"> Debt!W$688</f>
        <v>0</v>
      </c>
      <c r="X123" s="722">
        <f xml:space="preserve"> Debt!X$688</f>
        <v>0</v>
      </c>
      <c r="Y123" s="722">
        <f xml:space="preserve"> Debt!Y$688</f>
        <v>0</v>
      </c>
      <c r="Z123" s="722">
        <f xml:space="preserve"> Debt!Z$688</f>
        <v>0</v>
      </c>
      <c r="AA123" s="722">
        <f xml:space="preserve"> Debt!AA$688</f>
        <v>0</v>
      </c>
      <c r="AB123" s="722">
        <f xml:space="preserve"> Debt!AB$688</f>
        <v>0</v>
      </c>
      <c r="AC123" s="722">
        <f xml:space="preserve"> Debt!AC$688</f>
        <v>0</v>
      </c>
      <c r="AD123" s="722">
        <f xml:space="preserve"> Debt!AD$688</f>
        <v>0</v>
      </c>
      <c r="AE123" s="722">
        <f xml:space="preserve"> Debt!AE$688</f>
        <v>0</v>
      </c>
      <c r="AF123" s="722">
        <f xml:space="preserve"> Debt!AF$688</f>
        <v>0</v>
      </c>
      <c r="AG123" s="722">
        <f xml:space="preserve"> Debt!AG$688</f>
        <v>0</v>
      </c>
      <c r="AH123" s="722">
        <f xml:space="preserve"> Debt!AH$688</f>
        <v>0</v>
      </c>
      <c r="AI123" s="722">
        <f xml:space="preserve"> Debt!AI$688</f>
        <v>0</v>
      </c>
      <c r="AJ123" s="722">
        <f xml:space="preserve"> Debt!AJ$688</f>
        <v>0</v>
      </c>
      <c r="AK123" s="722">
        <f xml:space="preserve"> Debt!AK$688</f>
        <v>0</v>
      </c>
      <c r="AL123" s="722">
        <f xml:space="preserve"> Debt!AL$688</f>
        <v>0</v>
      </c>
      <c r="AM123" s="722">
        <f xml:space="preserve"> Debt!AM$688</f>
        <v>0</v>
      </c>
      <c r="AN123" s="722">
        <f xml:space="preserve"> Debt!AN$688</f>
        <v>0</v>
      </c>
      <c r="AO123" s="722">
        <f xml:space="preserve"> Debt!AO$688</f>
        <v>0</v>
      </c>
      <c r="AP123" s="722">
        <f xml:space="preserve"> Debt!AP$688</f>
        <v>0</v>
      </c>
      <c r="AQ123" s="722">
        <f xml:space="preserve"> Debt!AQ$688</f>
        <v>0</v>
      </c>
      <c r="AR123" s="722">
        <f xml:space="preserve"> Debt!AR$688</f>
        <v>0</v>
      </c>
      <c r="AS123" s="722">
        <f xml:space="preserve"> Debt!AS$688</f>
        <v>0</v>
      </c>
      <c r="AT123" s="722">
        <f xml:space="preserve"> Debt!AT$688</f>
        <v>0</v>
      </c>
      <c r="AU123" s="722">
        <f xml:space="preserve"> Debt!AU$688</f>
        <v>0</v>
      </c>
      <c r="AV123" s="722">
        <f xml:space="preserve"> Debt!AV$688</f>
        <v>0</v>
      </c>
      <c r="AW123" s="722">
        <f xml:space="preserve"> Debt!AW$688</f>
        <v>0</v>
      </c>
      <c r="AX123" s="722">
        <f xml:space="preserve"> Debt!AX$688</f>
        <v>0</v>
      </c>
      <c r="AY123" s="722">
        <f xml:space="preserve"> Debt!AY$688</f>
        <v>0</v>
      </c>
      <c r="AZ123" s="722">
        <f xml:space="preserve"> Debt!AZ$688</f>
        <v>0</v>
      </c>
      <c r="BA123" s="722">
        <f xml:space="preserve"> Debt!BA$688</f>
        <v>0</v>
      </c>
      <c r="BB123" s="722">
        <f xml:space="preserve"> Debt!BB$688</f>
        <v>0</v>
      </c>
      <c r="BC123" s="722">
        <f xml:space="preserve"> Debt!BC$688</f>
        <v>0</v>
      </c>
      <c r="BD123" s="722">
        <f xml:space="preserve"> Debt!BD$688</f>
        <v>0</v>
      </c>
      <c r="BE123" s="722">
        <f xml:space="preserve"> Debt!BE$688</f>
        <v>0</v>
      </c>
      <c r="BF123" s="722">
        <f xml:space="preserve"> Debt!BF$688</f>
        <v>0</v>
      </c>
      <c r="BG123" s="722">
        <f xml:space="preserve"> Debt!BG$688</f>
        <v>0</v>
      </c>
      <c r="BH123" s="722">
        <f xml:space="preserve"> Debt!BH$688</f>
        <v>0</v>
      </c>
      <c r="BI123" s="722">
        <f xml:space="preserve"> Debt!BI$688</f>
        <v>0</v>
      </c>
      <c r="BJ123" s="722">
        <f xml:space="preserve"> Debt!BJ$688</f>
        <v>0</v>
      </c>
      <c r="BK123" s="722">
        <f xml:space="preserve"> Debt!BK$688</f>
        <v>0</v>
      </c>
      <c r="BL123" s="722">
        <f xml:space="preserve"> Debt!BL$688</f>
        <v>0</v>
      </c>
      <c r="BM123" s="722">
        <f xml:space="preserve"> Debt!BM$688</f>
        <v>0</v>
      </c>
      <c r="BN123" s="722">
        <f xml:space="preserve"> Debt!BN$688</f>
        <v>0</v>
      </c>
      <c r="BO123" s="722">
        <f xml:space="preserve"> Debt!BO$688</f>
        <v>0</v>
      </c>
      <c r="BP123" s="722">
        <f xml:space="preserve"> Debt!BP$688</f>
        <v>0</v>
      </c>
      <c r="BQ123" s="722">
        <f xml:space="preserve"> Debt!BQ$688</f>
        <v>0</v>
      </c>
      <c r="BR123" s="722">
        <f xml:space="preserve"> Debt!BR$688</f>
        <v>0</v>
      </c>
      <c r="BS123" s="722">
        <f xml:space="preserve"> Debt!BS$688</f>
        <v>0</v>
      </c>
      <c r="BT123" s="722">
        <f xml:space="preserve"> Debt!BT$688</f>
        <v>0</v>
      </c>
      <c r="BU123" s="722">
        <f xml:space="preserve"> Debt!BU$688</f>
        <v>0</v>
      </c>
      <c r="BV123" s="722">
        <f xml:space="preserve"> Debt!BV$688</f>
        <v>0</v>
      </c>
      <c r="BW123" s="722">
        <f xml:space="preserve"> Debt!BW$688</f>
        <v>0</v>
      </c>
      <c r="BX123" s="722">
        <f xml:space="preserve"> Debt!BX$688</f>
        <v>0</v>
      </c>
      <c r="BY123" s="722">
        <f xml:space="preserve"> Debt!BY$688</f>
        <v>0</v>
      </c>
      <c r="BZ123" s="722">
        <f xml:space="preserve"> Debt!BZ$688</f>
        <v>0</v>
      </c>
      <c r="CA123" s="722">
        <f xml:space="preserve"> Debt!CA$688</f>
        <v>0</v>
      </c>
      <c r="CB123" s="722">
        <f xml:space="preserve"> Debt!CB$688</f>
        <v>0</v>
      </c>
      <c r="CC123" s="722">
        <f xml:space="preserve"> Debt!CC$688</f>
        <v>0</v>
      </c>
      <c r="CD123" s="722">
        <f xml:space="preserve"> Debt!CD$688</f>
        <v>0</v>
      </c>
      <c r="CE123" s="722">
        <f xml:space="preserve"> Debt!CE$688</f>
        <v>0</v>
      </c>
      <c r="CF123" s="722">
        <f xml:space="preserve"> Debt!CF$688</f>
        <v>0</v>
      </c>
      <c r="CG123" s="722">
        <f xml:space="preserve"> Debt!CG$688</f>
        <v>0</v>
      </c>
      <c r="CH123" s="722">
        <f xml:space="preserve"> Debt!CH$688</f>
        <v>0</v>
      </c>
      <c r="CI123" s="722">
        <f xml:space="preserve"> Debt!CI$688</f>
        <v>0</v>
      </c>
      <c r="CJ123" s="722">
        <f xml:space="preserve"> Debt!CJ$688</f>
        <v>0</v>
      </c>
      <c r="CK123" s="722">
        <f xml:space="preserve"> Debt!CK$688</f>
        <v>0</v>
      </c>
      <c r="CL123" s="722">
        <f xml:space="preserve"> Debt!CL$688</f>
        <v>0</v>
      </c>
      <c r="CM123" s="722">
        <f xml:space="preserve"> Debt!CM$688</f>
        <v>0</v>
      </c>
      <c r="CN123" s="722">
        <f xml:space="preserve"> Debt!CN$688</f>
        <v>0</v>
      </c>
      <c r="CO123" s="722">
        <f xml:space="preserve"> Debt!CO$688</f>
        <v>0</v>
      </c>
      <c r="CP123" s="722">
        <f xml:space="preserve"> Debt!CP$688</f>
        <v>0</v>
      </c>
      <c r="CQ123" s="722">
        <f xml:space="preserve"> Debt!CQ$688</f>
        <v>0</v>
      </c>
      <c r="CR123" s="722">
        <f xml:space="preserve"> Debt!CR$688</f>
        <v>0</v>
      </c>
      <c r="CS123" s="722">
        <f xml:space="preserve"> Debt!CS$688</f>
        <v>0</v>
      </c>
      <c r="CT123" s="722">
        <f xml:space="preserve"> Debt!CT$688</f>
        <v>0</v>
      </c>
      <c r="CU123" s="722">
        <f xml:space="preserve"> Debt!CU$688</f>
        <v>0</v>
      </c>
      <c r="CV123" s="722">
        <f xml:space="preserve"> Debt!CV$688</f>
        <v>0</v>
      </c>
    </row>
    <row r="124" spans="1:192" s="495" customFormat="1" outlineLevel="2" x14ac:dyDescent="0.2">
      <c r="A124" s="205"/>
      <c r="B124" s="205"/>
      <c r="C124" s="206"/>
      <c r="D124" s="209"/>
      <c r="E124" s="235" t="str">
        <f xml:space="preserve"> Debt!E$488</f>
        <v>Shareholder loan balance</v>
      </c>
      <c r="F124" s="235">
        <f xml:space="preserve"> Debt!F$488</f>
        <v>0</v>
      </c>
      <c r="G124" s="235" t="str">
        <f xml:space="preserve"> Debt!G$488</f>
        <v>$ 000s</v>
      </c>
      <c r="H124" s="235">
        <f xml:space="preserve"> Debt!H$488</f>
        <v>0</v>
      </c>
      <c r="I124" s="235">
        <f xml:space="preserve"> Debt!I$488</f>
        <v>0</v>
      </c>
      <c r="J124" s="235">
        <f xml:space="preserve"> Debt!J$488</f>
        <v>0</v>
      </c>
      <c r="K124" s="235">
        <f xml:space="preserve"> Debt!K$488</f>
        <v>0</v>
      </c>
      <c r="L124" s="235">
        <f xml:space="preserve"> Debt!L$488</f>
        <v>0</v>
      </c>
      <c r="M124" s="235">
        <f xml:space="preserve"> Debt!M$488</f>
        <v>0</v>
      </c>
      <c r="N124" s="235">
        <f xml:space="preserve"> Debt!N$488</f>
        <v>86318.253106861201</v>
      </c>
      <c r="O124" s="235">
        <f xml:space="preserve"> Debt!O$488</f>
        <v>86538.908620951392</v>
      </c>
      <c r="P124" s="235">
        <f xml:space="preserve"> Debt!P$488</f>
        <v>87312.182243400777</v>
      </c>
      <c r="Q124" s="235">
        <f xml:space="preserve"> Debt!Q$488</f>
        <v>88119.387817577794</v>
      </c>
      <c r="R124" s="235">
        <f xml:space="preserve"> Debt!R$488</f>
        <v>89015.457194694158</v>
      </c>
      <c r="S124" s="235">
        <f xml:space="preserve"> Debt!S$488</f>
        <v>89953.246591619041</v>
      </c>
      <c r="T124" s="235">
        <f xml:space="preserve"> Debt!T$488</f>
        <v>90995.088701463945</v>
      </c>
      <c r="U124" s="235">
        <f xml:space="preserve"> Debt!U$488</f>
        <v>92072.785886511716</v>
      </c>
      <c r="V124" s="235">
        <f xml:space="preserve"> Debt!V$488</f>
        <v>93249.754362541978</v>
      </c>
      <c r="W124" s="235">
        <f xml:space="preserve"> Debt!W$488</f>
        <v>94512.69720564509</v>
      </c>
      <c r="X124" s="235">
        <f xml:space="preserve"> Debt!X$488</f>
        <v>95877.825116988068</v>
      </c>
      <c r="Y124" s="235">
        <f xml:space="preserve"> Debt!Y$488</f>
        <v>97318.028720348229</v>
      </c>
      <c r="Z124" s="235">
        <f xml:space="preserve"> Debt!Z$488</f>
        <v>98884.301242578513</v>
      </c>
      <c r="AA124" s="235">
        <f xml:space="preserve"> Debt!AA$488</f>
        <v>100534.24358519429</v>
      </c>
      <c r="AB124" s="235">
        <f xml:space="preserve"> Debt!AB$488</f>
        <v>102329.93393908079</v>
      </c>
      <c r="AC124" s="235">
        <f xml:space="preserve"> Debt!AC$488</f>
        <v>104208.94818800513</v>
      </c>
      <c r="AD124" s="235">
        <f xml:space="preserve"> Debt!AD$488</f>
        <v>106234.59238082725</v>
      </c>
      <c r="AE124" s="235">
        <f xml:space="preserve"> Debt!AE$488</f>
        <v>108398.11124891452</v>
      </c>
      <c r="AF124" s="235">
        <f xml:space="preserve"> Debt!AF$488</f>
        <v>110717.47804403142</v>
      </c>
      <c r="AG124" s="235">
        <f xml:space="preserve"> Debt!AG$488</f>
        <v>113167.00709125634</v>
      </c>
      <c r="AH124" s="235">
        <f xml:space="preserve"> Debt!AH$488</f>
        <v>115802.44240908351</v>
      </c>
      <c r="AI124" s="235">
        <f xml:space="preserve"> Debt!AI$488</f>
        <v>118590.4199464952</v>
      </c>
      <c r="AJ124" s="235">
        <f xml:space="preserve"> Debt!AJ$488</f>
        <v>121591.25837551881</v>
      </c>
      <c r="AK124" s="235">
        <f xml:space="preserve"> Debt!AK$488</f>
        <v>124749.91711200298</v>
      </c>
      <c r="AL124" s="235">
        <f xml:space="preserve"> Debt!AL$488</f>
        <v>128131.11839780939</v>
      </c>
      <c r="AM124" s="235">
        <f xml:space="preserve"> Debt!AM$488</f>
        <v>131732.39390944995</v>
      </c>
      <c r="AN124" s="235">
        <f xml:space="preserve"> Debt!AN$488</f>
        <v>135575.30013515614</v>
      </c>
      <c r="AO124" s="235">
        <f xml:space="preserve"> Debt!AO$488</f>
        <v>139641.43101423365</v>
      </c>
      <c r="AP124" s="235">
        <f xml:space="preserve"> Debt!AP$488</f>
        <v>143989.4920103694</v>
      </c>
      <c r="AQ124" s="235">
        <f xml:space="preserve"> Debt!AQ$488</f>
        <v>148591.51679182475</v>
      </c>
      <c r="AR124" s="235">
        <f xml:space="preserve"> Debt!AR$488</f>
        <v>153514.15300015948</v>
      </c>
      <c r="AS124" s="235">
        <f xml:space="preserve"> Debt!AS$488</f>
        <v>158712.18262284272</v>
      </c>
      <c r="AT124" s="235">
        <f xml:space="preserve"> Debt!AT$488</f>
        <v>164254.64492832238</v>
      </c>
      <c r="AU124" s="235">
        <f xml:space="preserve"> Debt!AU$488</f>
        <v>165288.19910540234</v>
      </c>
      <c r="AV124" s="235">
        <f xml:space="preserve"> Debt!AV$488</f>
        <v>166461.56984272745</v>
      </c>
      <c r="AW124" s="235">
        <f xml:space="preserve"> Debt!AW$488</f>
        <v>162841.492735915</v>
      </c>
      <c r="AX124" s="235">
        <f xml:space="preserve"> Debt!AX$488</f>
        <v>159150.53070207225</v>
      </c>
      <c r="AY124" s="235">
        <f xml:space="preserve"> Debt!AY$488</f>
        <v>155241.78730509544</v>
      </c>
      <c r="AZ124" s="235">
        <f xml:space="preserve"> Debt!AZ$488</f>
        <v>151244.15464843449</v>
      </c>
      <c r="BA124" s="235">
        <f xml:space="preserve"> Debt!BA$488</f>
        <v>147013.20324411371</v>
      </c>
      <c r="BB124" s="235">
        <f xml:space="preserve"> Debt!BB$488</f>
        <v>139388.03567530261</v>
      </c>
      <c r="BC124" s="235">
        <f xml:space="preserve"> Debt!BC$488</f>
        <v>139388.03567530261</v>
      </c>
      <c r="BD124" s="235">
        <f xml:space="preserve"> Debt!BD$488</f>
        <v>139388.03567530261</v>
      </c>
      <c r="BE124" s="235">
        <f xml:space="preserve"> Debt!BE$488</f>
        <v>139388.03567530261</v>
      </c>
      <c r="BF124" s="235">
        <f xml:space="preserve"> Debt!BF$488</f>
        <v>139388.03567530261</v>
      </c>
      <c r="BG124" s="235">
        <f xml:space="preserve"> Debt!BG$488</f>
        <v>139388.03567530261</v>
      </c>
      <c r="BH124" s="235">
        <f xml:space="preserve"> Debt!BH$488</f>
        <v>139388.03567530261</v>
      </c>
      <c r="BI124" s="235">
        <f xml:space="preserve"> Debt!BI$488</f>
        <v>139388.03567530261</v>
      </c>
      <c r="BJ124" s="235">
        <f xml:space="preserve"> Debt!BJ$488</f>
        <v>139388.03567530261</v>
      </c>
      <c r="BK124" s="235">
        <f xml:space="preserve"> Debt!BK$488</f>
        <v>139388.03567530261</v>
      </c>
      <c r="BL124" s="235">
        <f xml:space="preserve"> Debt!BL$488</f>
        <v>139388.03567530261</v>
      </c>
      <c r="BM124" s="235">
        <f xml:space="preserve"> Debt!BM$488</f>
        <v>139388.03567530261</v>
      </c>
      <c r="BN124" s="235">
        <f xml:space="preserve"> Debt!BN$488</f>
        <v>139388.03567530261</v>
      </c>
      <c r="BO124" s="235">
        <f xml:space="preserve"> Debt!BO$488</f>
        <v>139388.03567530261</v>
      </c>
      <c r="BP124" s="235">
        <f xml:space="preserve"> Debt!BP$488</f>
        <v>139388.03567530261</v>
      </c>
      <c r="BQ124" s="235">
        <f xml:space="preserve"> Debt!BQ$488</f>
        <v>139388.03567530261</v>
      </c>
      <c r="BR124" s="235">
        <f xml:space="preserve"> Debt!BR$488</f>
        <v>139388.03567530261</v>
      </c>
      <c r="BS124" s="235">
        <f xml:space="preserve"> Debt!BS$488</f>
        <v>139388.03567530261</v>
      </c>
      <c r="BT124" s="235">
        <f xml:space="preserve"> Debt!BT$488</f>
        <v>139388.03567530261</v>
      </c>
      <c r="BU124" s="235">
        <f xml:space="preserve"> Debt!BU$488</f>
        <v>139388.03567530261</v>
      </c>
      <c r="BV124" s="235">
        <f xml:space="preserve"> Debt!BV$488</f>
        <v>139388.03567530261</v>
      </c>
      <c r="BW124" s="235">
        <f xml:space="preserve"> Debt!BW$488</f>
        <v>139388.03567530261</v>
      </c>
      <c r="BX124" s="235">
        <f xml:space="preserve"> Debt!BX$488</f>
        <v>139388.03567530261</v>
      </c>
      <c r="BY124" s="235">
        <f xml:space="preserve"> Debt!BY$488</f>
        <v>139388.03567530261</v>
      </c>
      <c r="BZ124" s="235">
        <f xml:space="preserve"> Debt!BZ$488</f>
        <v>139388.03567530261</v>
      </c>
      <c r="CA124" s="235">
        <f xml:space="preserve"> Debt!CA$488</f>
        <v>139388.03567530261</v>
      </c>
      <c r="CB124" s="235">
        <f xml:space="preserve"> Debt!CB$488</f>
        <v>139388.03567530261</v>
      </c>
      <c r="CC124" s="235">
        <f xml:space="preserve"> Debt!CC$488</f>
        <v>139388.03567530261</v>
      </c>
      <c r="CD124" s="235">
        <f xml:space="preserve"> Debt!CD$488</f>
        <v>139388.03567530261</v>
      </c>
      <c r="CE124" s="235">
        <f xml:space="preserve"> Debt!CE$488</f>
        <v>139388.03567530261</v>
      </c>
      <c r="CF124" s="235">
        <f xml:space="preserve"> Debt!CF$488</f>
        <v>139388.03567530261</v>
      </c>
      <c r="CG124" s="235">
        <f xml:space="preserve"> Debt!CG$488</f>
        <v>139388.03567530261</v>
      </c>
      <c r="CH124" s="235">
        <f xml:space="preserve"> Debt!CH$488</f>
        <v>139388.03567530261</v>
      </c>
      <c r="CI124" s="235">
        <f xml:space="preserve"> Debt!CI$488</f>
        <v>139388.03567530261</v>
      </c>
      <c r="CJ124" s="235">
        <f xml:space="preserve"> Debt!CJ$488</f>
        <v>139388.03567530261</v>
      </c>
      <c r="CK124" s="235">
        <f xml:space="preserve"> Debt!CK$488</f>
        <v>139388.03567530261</v>
      </c>
      <c r="CL124" s="235">
        <f xml:space="preserve"> Debt!CL$488</f>
        <v>139388.03567530261</v>
      </c>
      <c r="CM124" s="235">
        <f xml:space="preserve"> Debt!CM$488</f>
        <v>139388.03567530261</v>
      </c>
      <c r="CN124" s="235">
        <f xml:space="preserve"> Debt!CN$488</f>
        <v>139388.03567530261</v>
      </c>
      <c r="CO124" s="235">
        <f xml:space="preserve"> Debt!CO$488</f>
        <v>139388.03567530261</v>
      </c>
      <c r="CP124" s="235">
        <f xml:space="preserve"> Debt!CP$488</f>
        <v>139388.03567530261</v>
      </c>
      <c r="CQ124" s="235">
        <f xml:space="preserve"> Debt!CQ$488</f>
        <v>139388.03567530261</v>
      </c>
      <c r="CR124" s="235">
        <f xml:space="preserve"> Debt!CR$488</f>
        <v>139388.03567530261</v>
      </c>
      <c r="CS124" s="235">
        <f xml:space="preserve"> Debt!CS$488</f>
        <v>139388.03567530261</v>
      </c>
      <c r="CT124" s="235">
        <f xml:space="preserve"> Debt!CT$488</f>
        <v>139388.03567530261</v>
      </c>
      <c r="CU124" s="235">
        <f xml:space="preserve"> Debt!CU$488</f>
        <v>139388.03567530261</v>
      </c>
      <c r="CV124" s="235">
        <f xml:space="preserve"> Debt!CV$488</f>
        <v>139388.03567530261</v>
      </c>
    </row>
    <row r="125" spans="1:192" outlineLevel="2" x14ac:dyDescent="0.2">
      <c r="D125" s="209"/>
      <c r="E125" s="235" t="str">
        <f xml:space="preserve"> Tax!E$94</f>
        <v>Deferred tax liability balance</v>
      </c>
      <c r="F125" s="235">
        <f xml:space="preserve"> Tax!F$94</f>
        <v>0</v>
      </c>
      <c r="G125" s="235" t="str">
        <f xml:space="preserve"> Tax!G$94</f>
        <v>$ 000s</v>
      </c>
      <c r="H125" s="235">
        <f xml:space="preserve"> Tax!H$94</f>
        <v>0</v>
      </c>
      <c r="I125" s="235">
        <f xml:space="preserve"> Tax!I$94</f>
        <v>0</v>
      </c>
      <c r="J125" s="235">
        <f xml:space="preserve"> Tax!J$94</f>
        <v>0</v>
      </c>
      <c r="K125" s="235">
        <f xml:space="preserve"> Tax!K$94</f>
        <v>0</v>
      </c>
      <c r="L125" s="235">
        <f xml:space="preserve"> Tax!L$94</f>
        <v>0</v>
      </c>
      <c r="M125" s="235">
        <f xml:space="preserve"> Tax!M$94</f>
        <v>0</v>
      </c>
      <c r="N125" s="235">
        <f xml:space="preserve"> Tax!N$94</f>
        <v>0</v>
      </c>
      <c r="O125" s="235">
        <f xml:space="preserve"> Tax!O$94</f>
        <v>4774.4453219935003</v>
      </c>
      <c r="P125" s="235">
        <f xml:space="preserve"> Tax!P$94</f>
        <v>8909.4349285029202</v>
      </c>
      <c r="Q125" s="235">
        <f xml:space="preserve"> Tax!Q$94</f>
        <v>12468.914391076669</v>
      </c>
      <c r="R125" s="235">
        <f xml:space="preserve"> Tax!R$94</f>
        <v>15510.434724108314</v>
      </c>
      <c r="S125" s="235">
        <f xml:space="preserve"> Tax!S$94</f>
        <v>18085.791840552065</v>
      </c>
      <c r="T125" s="235">
        <f xml:space="preserve"> Tax!T$94</f>
        <v>20241.602062066711</v>
      </c>
      <c r="U125" s="235">
        <f xml:space="preserve"> Tax!U$94</f>
        <v>22019.820078145163</v>
      </c>
      <c r="V125" s="235">
        <f xml:space="preserve"> Tax!V$94</f>
        <v>23458.205109331044</v>
      </c>
      <c r="W125" s="235">
        <f xml:space="preserve"> Tax!W$94</f>
        <v>24590.740454113606</v>
      </c>
      <c r="X125" s="235">
        <f xml:space="preserve"> Tax!X$94</f>
        <v>25448.011081133183</v>
      </c>
      <c r="Y125" s="235">
        <f xml:space="preserve"> Tax!Y$94</f>
        <v>26057.543462166072</v>
      </c>
      <c r="Z125" s="235">
        <f xml:space="preserve"> Tax!Z$94</f>
        <v>26444.111421810943</v>
      </c>
      <c r="AA125" s="235">
        <f xml:space="preserve"> Tax!AA$94</f>
        <v>26630.011402206597</v>
      </c>
      <c r="AB125" s="235">
        <f xml:space="preserve"> Tax!AB$94</f>
        <v>26635.310201277956</v>
      </c>
      <c r="AC125" s="235">
        <f xml:space="preserve"> Tax!AC$94</f>
        <v>26478.067937157452</v>
      </c>
      <c r="AD125" s="235">
        <f xml:space="preserve"> Tax!AD$94</f>
        <v>26174.538716164268</v>
      </c>
      <c r="AE125" s="235">
        <f xml:space="preserve"> Tax!AE$94</f>
        <v>25739.351233985675</v>
      </c>
      <c r="AF125" s="235">
        <f xml:space="preserve"> Tax!AF$94</f>
        <v>25185.671316740212</v>
      </c>
      <c r="AG125" s="235">
        <f xml:space="preserve"> Tax!AG$94</f>
        <v>24525.348207934567</v>
      </c>
      <c r="AH125" s="235">
        <f xml:space="preserve"> Tax!AH$94</f>
        <v>23769.046226724757</v>
      </c>
      <c r="AI125" s="235">
        <f xml:space="preserve"> Tax!AI$94</f>
        <v>22926.363260351198</v>
      </c>
      <c r="AJ125" s="235">
        <f xml:space="preserve"> Tax!AJ$94</f>
        <v>22005.937407330264</v>
      </c>
      <c r="AK125" s="235">
        <f xml:space="preserve"> Tax!AK$94</f>
        <v>21015.542956326695</v>
      </c>
      <c r="AL125" s="235">
        <f xml:space="preserve"> Tax!AL$94</f>
        <v>19962.176767138753</v>
      </c>
      <c r="AM125" s="235">
        <f xml:space="preserve"> Tax!AM$94</f>
        <v>18852.136013584877</v>
      </c>
      <c r="AN125" s="235">
        <f xml:space="preserve"> Tax!AN$94</f>
        <v>17691.08815210166</v>
      </c>
      <c r="AO125" s="235">
        <f xml:space="preserve"> Tax!AO$94</f>
        <v>16484.133893482034</v>
      </c>
      <c r="AP125" s="235">
        <f xml:space="preserve"> Tax!AP$94</f>
        <v>15235.863877439642</v>
      </c>
      <c r="AQ125" s="235">
        <f xml:space="preserve"> Tax!AQ$94</f>
        <v>13950.40967971676</v>
      </c>
      <c r="AR125" s="235">
        <f xml:space="preserve"> Tax!AR$94</f>
        <v>12631.489718481438</v>
      </c>
      <c r="AS125" s="235">
        <f xml:space="preserve"> Tax!AS$94</f>
        <v>11282.450570084919</v>
      </c>
      <c r="AT125" s="235">
        <f xml:space="preserve"> Tax!AT$94</f>
        <v>9906.3041532433217</v>
      </c>
      <c r="AU125" s="235">
        <f xml:space="preserve"> Tax!AU$94</f>
        <v>8505.7611948011545</v>
      </c>
      <c r="AV125" s="235">
        <f xml:space="preserve"> Tax!AV$94</f>
        <v>7083.2613489184751</v>
      </c>
      <c r="AW125" s="235">
        <f xml:space="preserve"> Tax!AW$94</f>
        <v>5784.150598586627</v>
      </c>
      <c r="AX125" s="235">
        <f xml:space="preserve"> Tax!AX$94</f>
        <v>4467.2547694279638</v>
      </c>
      <c r="AY125" s="235">
        <f xml:space="preserve"> Tax!AY$94</f>
        <v>3134.3523693251673</v>
      </c>
      <c r="AZ125" s="235">
        <f xml:space="preserve"> Tax!AZ$94</f>
        <v>1787.0440553726503</v>
      </c>
      <c r="BA125" s="235">
        <f xml:space="preserve"> Tax!BA$94</f>
        <v>426.77041895538514</v>
      </c>
      <c r="BB125" s="235">
        <f xml:space="preserve"> Tax!BB$94</f>
        <v>-5.6843418860808015E-12</v>
      </c>
      <c r="BC125" s="235">
        <f xml:space="preserve"> Tax!BC$94</f>
        <v>-5.6843418860808015E-12</v>
      </c>
      <c r="BD125" s="235">
        <f xml:space="preserve"> Tax!BD$94</f>
        <v>-5.6843418860808015E-12</v>
      </c>
      <c r="BE125" s="235">
        <f xml:space="preserve"> Tax!BE$94</f>
        <v>-5.6843418860808015E-12</v>
      </c>
      <c r="BF125" s="235">
        <f xml:space="preserve"> Tax!BF$94</f>
        <v>-5.6843418860808015E-12</v>
      </c>
      <c r="BG125" s="235">
        <f xml:space="preserve"> Tax!BG$94</f>
        <v>-5.6843418860808015E-12</v>
      </c>
      <c r="BH125" s="235">
        <f xml:space="preserve"> Tax!BH$94</f>
        <v>-5.6843418860808015E-12</v>
      </c>
      <c r="BI125" s="235">
        <f xml:space="preserve"> Tax!BI$94</f>
        <v>-5.6843418860808015E-12</v>
      </c>
      <c r="BJ125" s="235">
        <f xml:space="preserve"> Tax!BJ$94</f>
        <v>-5.6843418860808015E-12</v>
      </c>
      <c r="BK125" s="235">
        <f xml:space="preserve"> Tax!BK$94</f>
        <v>-5.6843418860808015E-12</v>
      </c>
      <c r="BL125" s="235">
        <f xml:space="preserve"> Tax!BL$94</f>
        <v>-5.6843418860808015E-12</v>
      </c>
      <c r="BM125" s="235">
        <f xml:space="preserve"> Tax!BM$94</f>
        <v>-5.6843418860808015E-12</v>
      </c>
      <c r="BN125" s="235">
        <f xml:space="preserve"> Tax!BN$94</f>
        <v>-5.6843418860808015E-12</v>
      </c>
      <c r="BO125" s="235">
        <f xml:space="preserve"> Tax!BO$94</f>
        <v>-5.6843418860808015E-12</v>
      </c>
      <c r="BP125" s="235">
        <f xml:space="preserve"> Tax!BP$94</f>
        <v>-5.6843418860808015E-12</v>
      </c>
      <c r="BQ125" s="235">
        <f xml:space="preserve"> Tax!BQ$94</f>
        <v>-5.6843418860808015E-12</v>
      </c>
      <c r="BR125" s="235">
        <f xml:space="preserve"> Tax!BR$94</f>
        <v>-5.6843418860808015E-12</v>
      </c>
      <c r="BS125" s="235">
        <f xml:space="preserve"> Tax!BS$94</f>
        <v>-5.6843418860808015E-12</v>
      </c>
      <c r="BT125" s="235">
        <f xml:space="preserve"> Tax!BT$94</f>
        <v>-5.6843418860808015E-12</v>
      </c>
      <c r="BU125" s="235">
        <f xml:space="preserve"> Tax!BU$94</f>
        <v>-5.6843418860808015E-12</v>
      </c>
      <c r="BV125" s="235">
        <f xml:space="preserve"> Tax!BV$94</f>
        <v>-5.6843418860808015E-12</v>
      </c>
      <c r="BW125" s="235">
        <f xml:space="preserve"> Tax!BW$94</f>
        <v>-5.6843418860808015E-12</v>
      </c>
      <c r="BX125" s="235">
        <f xml:space="preserve"> Tax!BX$94</f>
        <v>-5.6843418860808015E-12</v>
      </c>
      <c r="BY125" s="235">
        <f xml:space="preserve"> Tax!BY$94</f>
        <v>-5.6843418860808015E-12</v>
      </c>
      <c r="BZ125" s="235">
        <f xml:space="preserve"> Tax!BZ$94</f>
        <v>-5.6843418860808015E-12</v>
      </c>
      <c r="CA125" s="235">
        <f xml:space="preserve"> Tax!CA$94</f>
        <v>-5.6843418860808015E-12</v>
      </c>
      <c r="CB125" s="235">
        <f xml:space="preserve"> Tax!CB$94</f>
        <v>-5.6843418860808015E-12</v>
      </c>
      <c r="CC125" s="235">
        <f xml:space="preserve"> Tax!CC$94</f>
        <v>-5.6843418860808015E-12</v>
      </c>
      <c r="CD125" s="235">
        <f xml:space="preserve"> Tax!CD$94</f>
        <v>-5.6843418860808015E-12</v>
      </c>
      <c r="CE125" s="235">
        <f xml:space="preserve"> Tax!CE$94</f>
        <v>-5.6843418860808015E-12</v>
      </c>
      <c r="CF125" s="235">
        <f xml:space="preserve"> Tax!CF$94</f>
        <v>-5.6843418860808015E-12</v>
      </c>
      <c r="CG125" s="235">
        <f xml:space="preserve"> Tax!CG$94</f>
        <v>-5.6843418860808015E-12</v>
      </c>
      <c r="CH125" s="235">
        <f xml:space="preserve"> Tax!CH$94</f>
        <v>-5.6843418860808015E-12</v>
      </c>
      <c r="CI125" s="235">
        <f xml:space="preserve"> Tax!CI$94</f>
        <v>-5.6843418860808015E-12</v>
      </c>
      <c r="CJ125" s="235">
        <f xml:space="preserve"> Tax!CJ$94</f>
        <v>-5.6843418860808015E-12</v>
      </c>
      <c r="CK125" s="235">
        <f xml:space="preserve"> Tax!CK$94</f>
        <v>-5.6843418860808015E-12</v>
      </c>
      <c r="CL125" s="235">
        <f xml:space="preserve"> Tax!CL$94</f>
        <v>-5.6843418860808015E-12</v>
      </c>
      <c r="CM125" s="235">
        <f xml:space="preserve"> Tax!CM$94</f>
        <v>-5.6843418860808015E-12</v>
      </c>
      <c r="CN125" s="235">
        <f xml:space="preserve"> Tax!CN$94</f>
        <v>-5.6843418860808015E-12</v>
      </c>
      <c r="CO125" s="235">
        <f xml:space="preserve"> Tax!CO$94</f>
        <v>-5.6843418860808015E-12</v>
      </c>
      <c r="CP125" s="235">
        <f xml:space="preserve"> Tax!CP$94</f>
        <v>-5.6843418860808015E-12</v>
      </c>
      <c r="CQ125" s="235">
        <f xml:space="preserve"> Tax!CQ$94</f>
        <v>-5.6843418860808015E-12</v>
      </c>
      <c r="CR125" s="235">
        <f xml:space="preserve"> Tax!CR$94</f>
        <v>-5.6843418860808015E-12</v>
      </c>
      <c r="CS125" s="235">
        <f xml:space="preserve"> Tax!CS$94</f>
        <v>-5.6843418860808015E-12</v>
      </c>
      <c r="CT125" s="235">
        <f xml:space="preserve"> Tax!CT$94</f>
        <v>-5.6843418860808015E-12</v>
      </c>
      <c r="CU125" s="235">
        <f xml:space="preserve"> Tax!CU$94</f>
        <v>-5.6843418860808015E-12</v>
      </c>
      <c r="CV125" s="235">
        <f xml:space="preserve"> Tax!CV$94</f>
        <v>-5.6843418860808015E-12</v>
      </c>
      <c r="CW125" s="235">
        <f xml:space="preserve"> Tax!CW$94</f>
        <v>-5.6843418860808015E-12</v>
      </c>
      <c r="CX125" s="235">
        <f xml:space="preserve"> Tax!CX$94</f>
        <v>-5.6843418860808015E-12</v>
      </c>
      <c r="CY125" s="235">
        <f xml:space="preserve"> Tax!CY$94</f>
        <v>-5.6843418860808015E-12</v>
      </c>
      <c r="CZ125" s="235">
        <f xml:space="preserve"> Tax!CZ$94</f>
        <v>-5.6843418860808015E-12</v>
      </c>
      <c r="DA125" s="235">
        <f xml:space="preserve"> Tax!DA$94</f>
        <v>-5.6843418860808015E-12</v>
      </c>
      <c r="DB125" s="235">
        <f xml:space="preserve"> Tax!DB$94</f>
        <v>-5.6843418860808015E-12</v>
      </c>
      <c r="DC125" s="235">
        <f xml:space="preserve"> Tax!DC$94</f>
        <v>-5.6843418860808015E-12</v>
      </c>
      <c r="DD125" s="235">
        <f xml:space="preserve"> Tax!DD$94</f>
        <v>-5.6843418860808015E-12</v>
      </c>
      <c r="DE125" s="235">
        <f xml:space="preserve"> Tax!DE$94</f>
        <v>-5.6843418860808015E-12</v>
      </c>
      <c r="DF125" s="235">
        <f xml:space="preserve"> Tax!DF$94</f>
        <v>-5.6843418860808015E-12</v>
      </c>
      <c r="DG125" s="235">
        <f xml:space="preserve"> Tax!DG$94</f>
        <v>-5.6843418860808015E-12</v>
      </c>
      <c r="DH125" s="235">
        <f xml:space="preserve"> Tax!DH$94</f>
        <v>-5.6843418860808015E-12</v>
      </c>
      <c r="DI125" s="235">
        <f xml:space="preserve"> Tax!DI$94</f>
        <v>-5.6843418860808015E-12</v>
      </c>
      <c r="DJ125" s="235">
        <f xml:space="preserve"> Tax!DJ$94</f>
        <v>-5.6843418860808015E-12</v>
      </c>
      <c r="DK125" s="235">
        <f xml:space="preserve"> Tax!DK$94</f>
        <v>-5.6843418860808015E-12</v>
      </c>
      <c r="DL125" s="235">
        <f xml:space="preserve"> Tax!DL$94</f>
        <v>-5.6843418860808015E-12</v>
      </c>
      <c r="DM125" s="235">
        <f xml:space="preserve"> Tax!DM$94</f>
        <v>-5.6843418860808015E-12</v>
      </c>
      <c r="DN125" s="235">
        <f xml:space="preserve"> Tax!DN$94</f>
        <v>-5.6843418860808015E-12</v>
      </c>
      <c r="DO125" s="235">
        <f xml:space="preserve"> Tax!DO$94</f>
        <v>-5.6843418860808015E-12</v>
      </c>
      <c r="DP125" s="235">
        <f xml:space="preserve"> Tax!DP$94</f>
        <v>-5.6843418860808015E-12</v>
      </c>
      <c r="DQ125" s="235">
        <f xml:space="preserve"> Tax!DQ$94</f>
        <v>-5.6843418860808015E-12</v>
      </c>
      <c r="DR125" s="235">
        <f xml:space="preserve"> Tax!DR$94</f>
        <v>-5.6843418860808015E-12</v>
      </c>
      <c r="DS125" s="235">
        <f xml:space="preserve"> Tax!DS$94</f>
        <v>-5.6843418860808015E-12</v>
      </c>
      <c r="DT125" s="235">
        <f xml:space="preserve"> Tax!DT$94</f>
        <v>-5.6843418860808015E-12</v>
      </c>
      <c r="DU125" s="235">
        <f xml:space="preserve"> Tax!DU$94</f>
        <v>-5.6843418860808015E-12</v>
      </c>
      <c r="DV125" s="235">
        <f xml:space="preserve"> Tax!DV$94</f>
        <v>-5.6843418860808015E-12</v>
      </c>
      <c r="DW125" s="235">
        <f xml:space="preserve"> Tax!DW$94</f>
        <v>-5.6843418860808015E-12</v>
      </c>
      <c r="DX125" s="235">
        <f xml:space="preserve"> Tax!DX$94</f>
        <v>-5.6843418860808015E-12</v>
      </c>
      <c r="DY125" s="235">
        <f xml:space="preserve"> Tax!DY$94</f>
        <v>-5.6843418860808015E-12</v>
      </c>
      <c r="DZ125" s="235">
        <f xml:space="preserve"> Tax!DZ$94</f>
        <v>-5.6843418860808015E-12</v>
      </c>
      <c r="EA125" s="235">
        <f xml:space="preserve"> Tax!EA$94</f>
        <v>-5.6843418860808015E-12</v>
      </c>
      <c r="EB125" s="235">
        <f xml:space="preserve"> Tax!EB$94</f>
        <v>-5.6843418860808015E-12</v>
      </c>
      <c r="EC125" s="235">
        <f xml:space="preserve"> Tax!EC$94</f>
        <v>-5.6843418860808015E-12</v>
      </c>
      <c r="ED125" s="235">
        <f xml:space="preserve"> Tax!ED$94</f>
        <v>-5.6843418860808015E-12</v>
      </c>
      <c r="EE125" s="235">
        <f xml:space="preserve"> Tax!EE$94</f>
        <v>-5.6843418860808015E-12</v>
      </c>
      <c r="EF125" s="235">
        <f xml:space="preserve"> Tax!EF$94</f>
        <v>-5.6843418860808015E-12</v>
      </c>
      <c r="EG125" s="235">
        <f xml:space="preserve"> Tax!EG$94</f>
        <v>-5.6843418860808015E-12</v>
      </c>
      <c r="EH125" s="235">
        <f xml:space="preserve"> Tax!EH$94</f>
        <v>-5.6843418860808015E-12</v>
      </c>
      <c r="EI125" s="235">
        <f xml:space="preserve"> Tax!EI$94</f>
        <v>-5.6843418860808015E-12</v>
      </c>
      <c r="EJ125" s="235">
        <f xml:space="preserve"> Tax!EJ$94</f>
        <v>-5.6843418860808015E-12</v>
      </c>
      <c r="EK125" s="235">
        <f xml:space="preserve"> Tax!EK$94</f>
        <v>-5.6843418860808015E-12</v>
      </c>
      <c r="EL125" s="235">
        <f xml:space="preserve"> Tax!EL$94</f>
        <v>-5.6843418860808015E-12</v>
      </c>
      <c r="EM125" s="235">
        <f xml:space="preserve"> Tax!EM$94</f>
        <v>-5.6843418860808015E-12</v>
      </c>
      <c r="EN125" s="235">
        <f xml:space="preserve"> Tax!EN$94</f>
        <v>-5.6843418860808015E-12</v>
      </c>
      <c r="EO125" s="235">
        <f xml:space="preserve"> Tax!EO$94</f>
        <v>-5.6843418860808015E-12</v>
      </c>
      <c r="EP125" s="235">
        <f xml:space="preserve"> Tax!EP$94</f>
        <v>-5.6843418860808015E-12</v>
      </c>
      <c r="EQ125" s="235">
        <f xml:space="preserve"> Tax!EQ$94</f>
        <v>-5.6843418860808015E-12</v>
      </c>
      <c r="ER125" s="235">
        <f xml:space="preserve"> Tax!ER$94</f>
        <v>-5.6843418860808015E-12</v>
      </c>
      <c r="ES125" s="235">
        <f xml:space="preserve"> Tax!ES$94</f>
        <v>-5.6843418860808015E-12</v>
      </c>
      <c r="ET125" s="235">
        <f xml:space="preserve"> Tax!ET$94</f>
        <v>-5.6843418860808015E-12</v>
      </c>
      <c r="EU125" s="235">
        <f xml:space="preserve"> Tax!EU$94</f>
        <v>-5.6843418860808015E-12</v>
      </c>
      <c r="EV125" s="235">
        <f xml:space="preserve"> Tax!EV$94</f>
        <v>-5.6843418860808015E-12</v>
      </c>
      <c r="EW125" s="235">
        <f xml:space="preserve"> Tax!EW$94</f>
        <v>-5.6843418860808015E-12</v>
      </c>
      <c r="EX125" s="235">
        <f xml:space="preserve"> Tax!EX$94</f>
        <v>-5.6843418860808015E-12</v>
      </c>
      <c r="EY125" s="235">
        <f xml:space="preserve"> Tax!EY$94</f>
        <v>-5.6843418860808015E-12</v>
      </c>
      <c r="EZ125" s="235">
        <f xml:space="preserve"> Tax!EZ$94</f>
        <v>-5.6843418860808015E-12</v>
      </c>
      <c r="FA125" s="235">
        <f xml:space="preserve"> Tax!FA$94</f>
        <v>-5.6843418860808015E-12</v>
      </c>
      <c r="FB125" s="235">
        <f xml:space="preserve"> Tax!FB$94</f>
        <v>-5.6843418860808015E-12</v>
      </c>
      <c r="FC125" s="235">
        <f xml:space="preserve"> Tax!FC$94</f>
        <v>-5.6843418860808015E-12</v>
      </c>
      <c r="FD125" s="235">
        <f xml:space="preserve"> Tax!FD$94</f>
        <v>-5.6843418860808015E-12</v>
      </c>
      <c r="FE125" s="235">
        <f xml:space="preserve"> Tax!FE$94</f>
        <v>-5.6843418860808015E-12</v>
      </c>
      <c r="FF125" s="235">
        <f xml:space="preserve"> Tax!FF$94</f>
        <v>-5.6843418860808015E-12</v>
      </c>
      <c r="FG125" s="235">
        <f xml:space="preserve"> Tax!FG$94</f>
        <v>-5.6843418860808015E-12</v>
      </c>
      <c r="FH125" s="235">
        <f xml:space="preserve"> Tax!FH$94</f>
        <v>-5.6843418860808015E-12</v>
      </c>
      <c r="FI125" s="235">
        <f xml:space="preserve"> Tax!FI$94</f>
        <v>-5.6843418860808015E-12</v>
      </c>
      <c r="FJ125" s="235">
        <f xml:space="preserve"> Tax!FJ$94</f>
        <v>-5.6843418860808015E-12</v>
      </c>
      <c r="FK125" s="235">
        <f xml:space="preserve"> Tax!FK$94</f>
        <v>-5.6843418860808015E-12</v>
      </c>
      <c r="FL125" s="235">
        <f xml:space="preserve"> Tax!FL$94</f>
        <v>-5.6843418860808015E-12</v>
      </c>
      <c r="FM125" s="235">
        <f xml:space="preserve"> Tax!FM$94</f>
        <v>-5.6843418860808015E-12</v>
      </c>
      <c r="FN125" s="235">
        <f xml:space="preserve"> Tax!FN$94</f>
        <v>-5.6843418860808015E-12</v>
      </c>
      <c r="FO125" s="235">
        <f xml:space="preserve"> Tax!FO$94</f>
        <v>-5.6843418860808015E-12</v>
      </c>
      <c r="FP125" s="235">
        <f xml:space="preserve"> Tax!FP$94</f>
        <v>-5.6843418860808015E-12</v>
      </c>
      <c r="FQ125" s="235">
        <f xml:space="preserve"> Tax!FQ$94</f>
        <v>-5.6843418860808015E-12</v>
      </c>
      <c r="FR125" s="235">
        <f xml:space="preserve"> Tax!FR$94</f>
        <v>-5.6843418860808015E-12</v>
      </c>
      <c r="FS125" s="235">
        <f xml:space="preserve"> Tax!FS$94</f>
        <v>-5.6843418860808015E-12</v>
      </c>
      <c r="FT125" s="235">
        <f xml:space="preserve"> Tax!FT$94</f>
        <v>-5.6843418860808015E-12</v>
      </c>
      <c r="FU125" s="235">
        <f xml:space="preserve"> Tax!FU$94</f>
        <v>-5.6843418860808015E-12</v>
      </c>
      <c r="FV125" s="235">
        <f xml:space="preserve"> Tax!FV$94</f>
        <v>-5.6843418860808015E-12</v>
      </c>
      <c r="FW125" s="235">
        <f xml:space="preserve"> Tax!FW$94</f>
        <v>-5.6843418860808015E-12</v>
      </c>
      <c r="FX125" s="235">
        <f xml:space="preserve"> Tax!FX$94</f>
        <v>-5.6843418860808015E-12</v>
      </c>
      <c r="FY125" s="235">
        <f xml:space="preserve"> Tax!FY$94</f>
        <v>-5.6843418860808015E-12</v>
      </c>
      <c r="FZ125" s="235">
        <f xml:space="preserve"> Tax!FZ$94</f>
        <v>-5.6843418860808015E-12</v>
      </c>
      <c r="GA125" s="235">
        <f xml:space="preserve"> Tax!GA$94</f>
        <v>-5.6843418860808015E-12</v>
      </c>
      <c r="GB125" s="235">
        <f xml:space="preserve"> Tax!GB$94</f>
        <v>-5.6843418860808015E-12</v>
      </c>
      <c r="GC125" s="235">
        <f xml:space="preserve"> Tax!GC$94</f>
        <v>-5.6843418860808015E-12</v>
      </c>
      <c r="GD125" s="235">
        <f xml:space="preserve"> Tax!GD$94</f>
        <v>-5.6843418860808015E-12</v>
      </c>
      <c r="GE125" s="235">
        <f xml:space="preserve"> Tax!GE$94</f>
        <v>-5.6843418860808015E-12</v>
      </c>
      <c r="GF125" s="235">
        <f xml:space="preserve"> Tax!GF$94</f>
        <v>-5.6843418860808015E-12</v>
      </c>
      <c r="GG125" s="235">
        <f xml:space="preserve"> Tax!GG$94</f>
        <v>-5.6843418860808015E-12</v>
      </c>
      <c r="GH125" s="235">
        <f xml:space="preserve"> Tax!GH$94</f>
        <v>-5.6843418860808015E-12</v>
      </c>
      <c r="GI125" s="235">
        <f xml:space="preserve"> Tax!GI$94</f>
        <v>-5.6843418860808015E-12</v>
      </c>
      <c r="GJ125" s="235">
        <f xml:space="preserve"> Tax!GJ$94</f>
        <v>-5.6843418860808015E-12</v>
      </c>
    </row>
    <row r="126" spans="1:192" outlineLevel="2" x14ac:dyDescent="0.2">
      <c r="D126" s="209"/>
      <c r="E126" s="288" t="str">
        <f xml:space="preserve"> Equity!E$22</f>
        <v>Share capital balance</v>
      </c>
      <c r="F126" s="288">
        <f xml:space="preserve"> Equity!F$22</f>
        <v>0</v>
      </c>
      <c r="G126" s="288" t="str">
        <f xml:space="preserve"> Equity!G$22</f>
        <v>$ 000s</v>
      </c>
      <c r="H126" s="288">
        <f xml:space="preserve"> Equity!H$22</f>
        <v>0</v>
      </c>
      <c r="I126" s="288">
        <f xml:space="preserve"> Equity!I$22</f>
        <v>0</v>
      </c>
      <c r="J126" s="288">
        <f xml:space="preserve"> Equity!J$22</f>
        <v>100</v>
      </c>
      <c r="K126" s="288">
        <f xml:space="preserve"> Equity!K$22</f>
        <v>100</v>
      </c>
      <c r="L126" s="288">
        <f xml:space="preserve"> Equity!L$22</f>
        <v>100</v>
      </c>
      <c r="M126" s="288">
        <f xml:space="preserve"> Equity!M$22</f>
        <v>100</v>
      </c>
      <c r="N126" s="288">
        <f xml:space="preserve"> Equity!N$22</f>
        <v>100</v>
      </c>
      <c r="O126" s="288">
        <f xml:space="preserve"> Equity!O$22</f>
        <v>100</v>
      </c>
      <c r="P126" s="288">
        <f xml:space="preserve"> Equity!P$22</f>
        <v>100</v>
      </c>
      <c r="Q126" s="288">
        <f xml:space="preserve"> Equity!Q$22</f>
        <v>100</v>
      </c>
      <c r="R126" s="288">
        <f xml:space="preserve"> Equity!R$22</f>
        <v>100</v>
      </c>
      <c r="S126" s="288">
        <f xml:space="preserve"> Equity!S$22</f>
        <v>100</v>
      </c>
      <c r="T126" s="288">
        <f xml:space="preserve"> Equity!T$22</f>
        <v>100</v>
      </c>
      <c r="U126" s="288">
        <f xml:space="preserve"> Equity!U$22</f>
        <v>100</v>
      </c>
      <c r="V126" s="288">
        <f xml:space="preserve"> Equity!V$22</f>
        <v>100</v>
      </c>
      <c r="W126" s="288">
        <f xml:space="preserve"> Equity!W$22</f>
        <v>100</v>
      </c>
      <c r="X126" s="288">
        <f xml:space="preserve"> Equity!X$22</f>
        <v>100</v>
      </c>
      <c r="Y126" s="288">
        <f xml:space="preserve"> Equity!Y$22</f>
        <v>100</v>
      </c>
      <c r="Z126" s="288">
        <f xml:space="preserve"> Equity!Z$22</f>
        <v>100</v>
      </c>
      <c r="AA126" s="288">
        <f xml:space="preserve"> Equity!AA$22</f>
        <v>100</v>
      </c>
      <c r="AB126" s="288">
        <f xml:space="preserve"> Equity!AB$22</f>
        <v>100</v>
      </c>
      <c r="AC126" s="288">
        <f xml:space="preserve"> Equity!AC$22</f>
        <v>100</v>
      </c>
      <c r="AD126" s="288">
        <f xml:space="preserve"> Equity!AD$22</f>
        <v>100</v>
      </c>
      <c r="AE126" s="288">
        <f xml:space="preserve"> Equity!AE$22</f>
        <v>100</v>
      </c>
      <c r="AF126" s="288">
        <f xml:space="preserve"> Equity!AF$22</f>
        <v>100</v>
      </c>
      <c r="AG126" s="288">
        <f xml:space="preserve"> Equity!AG$22</f>
        <v>100</v>
      </c>
      <c r="AH126" s="288">
        <f xml:space="preserve"> Equity!AH$22</f>
        <v>100</v>
      </c>
      <c r="AI126" s="288">
        <f xml:space="preserve"> Equity!AI$22</f>
        <v>100</v>
      </c>
      <c r="AJ126" s="288">
        <f xml:space="preserve"> Equity!AJ$22</f>
        <v>100</v>
      </c>
      <c r="AK126" s="288">
        <f xml:space="preserve"> Equity!AK$22</f>
        <v>100</v>
      </c>
      <c r="AL126" s="288">
        <f xml:space="preserve"> Equity!AL$22</f>
        <v>100</v>
      </c>
      <c r="AM126" s="288">
        <f xml:space="preserve"> Equity!AM$22</f>
        <v>100</v>
      </c>
      <c r="AN126" s="288">
        <f xml:space="preserve"> Equity!AN$22</f>
        <v>100</v>
      </c>
      <c r="AO126" s="288">
        <f xml:space="preserve"> Equity!AO$22</f>
        <v>100</v>
      </c>
      <c r="AP126" s="288">
        <f xml:space="preserve"> Equity!AP$22</f>
        <v>100</v>
      </c>
      <c r="AQ126" s="288">
        <f xml:space="preserve"> Equity!AQ$22</f>
        <v>100</v>
      </c>
      <c r="AR126" s="288">
        <f xml:space="preserve"> Equity!AR$22</f>
        <v>100</v>
      </c>
      <c r="AS126" s="288">
        <f xml:space="preserve"> Equity!AS$22</f>
        <v>100</v>
      </c>
      <c r="AT126" s="288">
        <f xml:space="preserve"> Equity!AT$22</f>
        <v>100</v>
      </c>
      <c r="AU126" s="288">
        <f xml:space="preserve"> Equity!AU$22</f>
        <v>100</v>
      </c>
      <c r="AV126" s="288">
        <f xml:space="preserve"> Equity!AV$22</f>
        <v>100</v>
      </c>
      <c r="AW126" s="288">
        <f xml:space="preserve"> Equity!AW$22</f>
        <v>100</v>
      </c>
      <c r="AX126" s="288">
        <f xml:space="preserve"> Equity!AX$22</f>
        <v>100</v>
      </c>
      <c r="AY126" s="288">
        <f xml:space="preserve"> Equity!AY$22</f>
        <v>100</v>
      </c>
      <c r="AZ126" s="288">
        <f xml:space="preserve"> Equity!AZ$22</f>
        <v>100</v>
      </c>
      <c r="BA126" s="288">
        <f xml:space="preserve"> Equity!BA$22</f>
        <v>100</v>
      </c>
      <c r="BB126" s="288">
        <f xml:space="preserve"> Equity!BB$22</f>
        <v>100</v>
      </c>
      <c r="BC126" s="288">
        <f xml:space="preserve"> Equity!BC$22</f>
        <v>100</v>
      </c>
      <c r="BD126" s="288">
        <f xml:space="preserve"> Equity!BD$22</f>
        <v>100</v>
      </c>
      <c r="BE126" s="288">
        <f xml:space="preserve"> Equity!BE$22</f>
        <v>100</v>
      </c>
      <c r="BF126" s="288">
        <f xml:space="preserve"> Equity!BF$22</f>
        <v>100</v>
      </c>
      <c r="BG126" s="288">
        <f xml:space="preserve"> Equity!BG$22</f>
        <v>100</v>
      </c>
      <c r="BH126" s="288">
        <f xml:space="preserve"> Equity!BH$22</f>
        <v>100</v>
      </c>
      <c r="BI126" s="288">
        <f xml:space="preserve"> Equity!BI$22</f>
        <v>100</v>
      </c>
      <c r="BJ126" s="288">
        <f xml:space="preserve"> Equity!BJ$22</f>
        <v>100</v>
      </c>
      <c r="BK126" s="288">
        <f xml:space="preserve"> Equity!BK$22</f>
        <v>100</v>
      </c>
      <c r="BL126" s="288">
        <f xml:space="preserve"> Equity!BL$22</f>
        <v>100</v>
      </c>
      <c r="BM126" s="288">
        <f xml:space="preserve"> Equity!BM$22</f>
        <v>100</v>
      </c>
      <c r="BN126" s="288">
        <f xml:space="preserve"> Equity!BN$22</f>
        <v>100</v>
      </c>
      <c r="BO126" s="288">
        <f xml:space="preserve"> Equity!BO$22</f>
        <v>100</v>
      </c>
      <c r="BP126" s="288">
        <f xml:space="preserve"> Equity!BP$22</f>
        <v>100</v>
      </c>
      <c r="BQ126" s="288">
        <f xml:space="preserve"> Equity!BQ$22</f>
        <v>100</v>
      </c>
      <c r="BR126" s="288">
        <f xml:space="preserve"> Equity!BR$22</f>
        <v>100</v>
      </c>
      <c r="BS126" s="288">
        <f xml:space="preserve"> Equity!BS$22</f>
        <v>100</v>
      </c>
      <c r="BT126" s="288">
        <f xml:space="preserve"> Equity!BT$22</f>
        <v>100</v>
      </c>
      <c r="BU126" s="288">
        <f xml:space="preserve"> Equity!BU$22</f>
        <v>100</v>
      </c>
      <c r="BV126" s="288">
        <f xml:space="preserve"> Equity!BV$22</f>
        <v>100</v>
      </c>
      <c r="BW126" s="288">
        <f xml:space="preserve"> Equity!BW$22</f>
        <v>100</v>
      </c>
      <c r="BX126" s="288">
        <f xml:space="preserve"> Equity!BX$22</f>
        <v>100</v>
      </c>
      <c r="BY126" s="288">
        <f xml:space="preserve"> Equity!BY$22</f>
        <v>100</v>
      </c>
      <c r="BZ126" s="288">
        <f xml:space="preserve"> Equity!BZ$22</f>
        <v>100</v>
      </c>
      <c r="CA126" s="288">
        <f xml:space="preserve"> Equity!CA$22</f>
        <v>100</v>
      </c>
      <c r="CB126" s="288">
        <f xml:space="preserve"> Equity!CB$22</f>
        <v>100</v>
      </c>
      <c r="CC126" s="288">
        <f xml:space="preserve"> Equity!CC$22</f>
        <v>100</v>
      </c>
      <c r="CD126" s="288">
        <f xml:space="preserve"> Equity!CD$22</f>
        <v>100</v>
      </c>
      <c r="CE126" s="288">
        <f xml:space="preserve"> Equity!CE$22</f>
        <v>100</v>
      </c>
      <c r="CF126" s="288">
        <f xml:space="preserve"> Equity!CF$22</f>
        <v>100</v>
      </c>
      <c r="CG126" s="288">
        <f xml:space="preserve"> Equity!CG$22</f>
        <v>100</v>
      </c>
      <c r="CH126" s="288">
        <f xml:space="preserve"> Equity!CH$22</f>
        <v>100</v>
      </c>
      <c r="CI126" s="288">
        <f xml:space="preserve"> Equity!CI$22</f>
        <v>100</v>
      </c>
      <c r="CJ126" s="288">
        <f xml:space="preserve"> Equity!CJ$22</f>
        <v>100</v>
      </c>
      <c r="CK126" s="288">
        <f xml:space="preserve"> Equity!CK$22</f>
        <v>100</v>
      </c>
      <c r="CL126" s="288">
        <f xml:space="preserve"> Equity!CL$22</f>
        <v>100</v>
      </c>
      <c r="CM126" s="288">
        <f xml:space="preserve"> Equity!CM$22</f>
        <v>100</v>
      </c>
      <c r="CN126" s="288">
        <f xml:space="preserve"> Equity!CN$22</f>
        <v>100</v>
      </c>
      <c r="CO126" s="288">
        <f xml:space="preserve"> Equity!CO$22</f>
        <v>100</v>
      </c>
      <c r="CP126" s="288">
        <f xml:space="preserve"> Equity!CP$22</f>
        <v>100</v>
      </c>
      <c r="CQ126" s="288">
        <f xml:space="preserve"> Equity!CQ$22</f>
        <v>100</v>
      </c>
      <c r="CR126" s="288">
        <f xml:space="preserve"> Equity!CR$22</f>
        <v>100</v>
      </c>
      <c r="CS126" s="288">
        <f xml:space="preserve"> Equity!CS$22</f>
        <v>100</v>
      </c>
      <c r="CT126" s="288">
        <f xml:space="preserve"> Equity!CT$22</f>
        <v>100</v>
      </c>
      <c r="CU126" s="288">
        <f xml:space="preserve"> Equity!CU$22</f>
        <v>100</v>
      </c>
      <c r="CV126" s="288">
        <f xml:space="preserve"> Equity!CV$22</f>
        <v>100</v>
      </c>
    </row>
    <row r="127" spans="1:192" outlineLevel="2" x14ac:dyDescent="0.2">
      <c r="D127" s="209"/>
      <c r="E127" s="288" t="str">
        <f xml:space="preserve"> Equity!E$40</f>
        <v>Standby equity balance</v>
      </c>
      <c r="F127" s="288">
        <f xml:space="preserve"> Equity!F$40</f>
        <v>0</v>
      </c>
      <c r="G127" s="288" t="str">
        <f xml:space="preserve"> Equity!G$40</f>
        <v>$ 000s</v>
      </c>
      <c r="H127" s="288">
        <f xml:space="preserve"> Equity!H$40</f>
        <v>0</v>
      </c>
      <c r="I127" s="288">
        <f xml:space="preserve"> Equity!I$40</f>
        <v>0</v>
      </c>
      <c r="J127" s="288">
        <f xml:space="preserve"> Equity!J$40</f>
        <v>0</v>
      </c>
      <c r="K127" s="288">
        <f xml:space="preserve"> Equity!K$40</f>
        <v>0</v>
      </c>
      <c r="L127" s="288">
        <f xml:space="preserve"> Equity!L$40</f>
        <v>0</v>
      </c>
      <c r="M127" s="288">
        <f xml:space="preserve"> Equity!M$40</f>
        <v>0</v>
      </c>
      <c r="N127" s="288">
        <f xml:space="preserve"> Equity!N$40</f>
        <v>0</v>
      </c>
      <c r="O127" s="288">
        <f xml:space="preserve"> Equity!O$40</f>
        <v>0</v>
      </c>
      <c r="P127" s="288">
        <f xml:space="preserve"> Equity!P$40</f>
        <v>0</v>
      </c>
      <c r="Q127" s="288">
        <f xml:space="preserve"> Equity!Q$40</f>
        <v>0</v>
      </c>
      <c r="R127" s="288">
        <f xml:space="preserve"> Equity!R$40</f>
        <v>0</v>
      </c>
      <c r="S127" s="288">
        <f xml:space="preserve"> Equity!S$40</f>
        <v>0</v>
      </c>
      <c r="T127" s="288">
        <f xml:space="preserve"> Equity!T$40</f>
        <v>0</v>
      </c>
      <c r="U127" s="288">
        <f xml:space="preserve"> Equity!U$40</f>
        <v>0</v>
      </c>
      <c r="V127" s="288">
        <f xml:space="preserve"> Equity!V$40</f>
        <v>0</v>
      </c>
      <c r="W127" s="288">
        <f xml:space="preserve"> Equity!W$40</f>
        <v>0</v>
      </c>
      <c r="X127" s="288">
        <f xml:space="preserve"> Equity!X$40</f>
        <v>0</v>
      </c>
      <c r="Y127" s="288">
        <f xml:space="preserve"> Equity!Y$40</f>
        <v>0</v>
      </c>
      <c r="Z127" s="288">
        <f xml:space="preserve"> Equity!Z$40</f>
        <v>0</v>
      </c>
      <c r="AA127" s="288">
        <f xml:space="preserve"> Equity!AA$40</f>
        <v>0</v>
      </c>
      <c r="AB127" s="288">
        <f xml:space="preserve"> Equity!AB$40</f>
        <v>0</v>
      </c>
      <c r="AC127" s="288">
        <f xml:space="preserve"> Equity!AC$40</f>
        <v>0</v>
      </c>
      <c r="AD127" s="288">
        <f xml:space="preserve"> Equity!AD$40</f>
        <v>0</v>
      </c>
      <c r="AE127" s="288">
        <f xml:space="preserve"> Equity!AE$40</f>
        <v>0</v>
      </c>
      <c r="AF127" s="288">
        <f xml:space="preserve"> Equity!AF$40</f>
        <v>0</v>
      </c>
      <c r="AG127" s="288">
        <f xml:space="preserve"> Equity!AG$40</f>
        <v>0</v>
      </c>
      <c r="AH127" s="288">
        <f xml:space="preserve"> Equity!AH$40</f>
        <v>0</v>
      </c>
      <c r="AI127" s="288">
        <f xml:space="preserve"> Equity!AI$40</f>
        <v>0</v>
      </c>
      <c r="AJ127" s="288">
        <f xml:space="preserve"> Equity!AJ$40</f>
        <v>0</v>
      </c>
      <c r="AK127" s="288">
        <f xml:space="preserve"> Equity!AK$40</f>
        <v>0</v>
      </c>
      <c r="AL127" s="288">
        <f xml:space="preserve"> Equity!AL$40</f>
        <v>0</v>
      </c>
      <c r="AM127" s="288">
        <f xml:space="preserve"> Equity!AM$40</f>
        <v>0</v>
      </c>
      <c r="AN127" s="288">
        <f xml:space="preserve"> Equity!AN$40</f>
        <v>0</v>
      </c>
      <c r="AO127" s="288">
        <f xml:space="preserve"> Equity!AO$40</f>
        <v>0</v>
      </c>
      <c r="AP127" s="288">
        <f xml:space="preserve"> Equity!AP$40</f>
        <v>0</v>
      </c>
      <c r="AQ127" s="288">
        <f xml:space="preserve"> Equity!AQ$40</f>
        <v>0</v>
      </c>
      <c r="AR127" s="288">
        <f xml:space="preserve"> Equity!AR$40</f>
        <v>0</v>
      </c>
      <c r="AS127" s="288">
        <f xml:space="preserve"> Equity!AS$40</f>
        <v>0</v>
      </c>
      <c r="AT127" s="288">
        <f xml:space="preserve"> Equity!AT$40</f>
        <v>0</v>
      </c>
      <c r="AU127" s="288">
        <f xml:space="preserve"> Equity!AU$40</f>
        <v>0</v>
      </c>
      <c r="AV127" s="288">
        <f xml:space="preserve"> Equity!AV$40</f>
        <v>0</v>
      </c>
      <c r="AW127" s="288">
        <f xml:space="preserve"> Equity!AW$40</f>
        <v>0</v>
      </c>
      <c r="AX127" s="288">
        <f xml:space="preserve"> Equity!AX$40</f>
        <v>0</v>
      </c>
      <c r="AY127" s="288">
        <f xml:space="preserve"> Equity!AY$40</f>
        <v>0</v>
      </c>
      <c r="AZ127" s="288">
        <f xml:space="preserve"> Equity!AZ$40</f>
        <v>0</v>
      </c>
      <c r="BA127" s="288">
        <f xml:space="preserve"> Equity!BA$40</f>
        <v>0</v>
      </c>
      <c r="BB127" s="288">
        <f xml:space="preserve"> Equity!BB$40</f>
        <v>0</v>
      </c>
      <c r="BC127" s="288">
        <f xml:space="preserve"> Equity!BC$40</f>
        <v>0</v>
      </c>
      <c r="BD127" s="288">
        <f xml:space="preserve"> Equity!BD$40</f>
        <v>0</v>
      </c>
      <c r="BE127" s="288">
        <f xml:space="preserve"> Equity!BE$40</f>
        <v>0</v>
      </c>
      <c r="BF127" s="288">
        <f xml:space="preserve"> Equity!BF$40</f>
        <v>0</v>
      </c>
      <c r="BG127" s="288">
        <f xml:space="preserve"> Equity!BG$40</f>
        <v>0</v>
      </c>
      <c r="BH127" s="288">
        <f xml:space="preserve"> Equity!BH$40</f>
        <v>0</v>
      </c>
      <c r="BI127" s="288">
        <f xml:space="preserve"> Equity!BI$40</f>
        <v>0</v>
      </c>
      <c r="BJ127" s="288">
        <f xml:space="preserve"> Equity!BJ$40</f>
        <v>0</v>
      </c>
      <c r="BK127" s="288">
        <f xml:space="preserve"> Equity!BK$40</f>
        <v>0</v>
      </c>
      <c r="BL127" s="288">
        <f xml:space="preserve"> Equity!BL$40</f>
        <v>0</v>
      </c>
      <c r="BM127" s="288">
        <f xml:space="preserve"> Equity!BM$40</f>
        <v>0</v>
      </c>
      <c r="BN127" s="288">
        <f xml:space="preserve"> Equity!BN$40</f>
        <v>0</v>
      </c>
      <c r="BO127" s="288">
        <f xml:space="preserve"> Equity!BO$40</f>
        <v>0</v>
      </c>
      <c r="BP127" s="288">
        <f xml:space="preserve"> Equity!BP$40</f>
        <v>0</v>
      </c>
      <c r="BQ127" s="288">
        <f xml:space="preserve"> Equity!BQ$40</f>
        <v>0</v>
      </c>
      <c r="BR127" s="288">
        <f xml:space="preserve"> Equity!BR$40</f>
        <v>0</v>
      </c>
      <c r="BS127" s="288">
        <f xml:space="preserve"> Equity!BS$40</f>
        <v>0</v>
      </c>
      <c r="BT127" s="288">
        <f xml:space="preserve"> Equity!BT$40</f>
        <v>0</v>
      </c>
      <c r="BU127" s="288">
        <f xml:space="preserve"> Equity!BU$40</f>
        <v>0</v>
      </c>
      <c r="BV127" s="288">
        <f xml:space="preserve"> Equity!BV$40</f>
        <v>0</v>
      </c>
      <c r="BW127" s="288">
        <f xml:space="preserve"> Equity!BW$40</f>
        <v>0</v>
      </c>
      <c r="BX127" s="288">
        <f xml:space="preserve"> Equity!BX$40</f>
        <v>0</v>
      </c>
      <c r="BY127" s="288">
        <f xml:space="preserve"> Equity!BY$40</f>
        <v>0</v>
      </c>
      <c r="BZ127" s="288">
        <f xml:space="preserve"> Equity!BZ$40</f>
        <v>0</v>
      </c>
      <c r="CA127" s="288">
        <f xml:space="preserve"> Equity!CA$40</f>
        <v>0</v>
      </c>
      <c r="CB127" s="288">
        <f xml:space="preserve"> Equity!CB$40</f>
        <v>0</v>
      </c>
      <c r="CC127" s="288">
        <f xml:space="preserve"> Equity!CC$40</f>
        <v>0</v>
      </c>
      <c r="CD127" s="288">
        <f xml:space="preserve"> Equity!CD$40</f>
        <v>0</v>
      </c>
      <c r="CE127" s="288">
        <f xml:space="preserve"> Equity!CE$40</f>
        <v>0</v>
      </c>
      <c r="CF127" s="288">
        <f xml:space="preserve"> Equity!CF$40</f>
        <v>0</v>
      </c>
      <c r="CG127" s="288">
        <f xml:space="preserve"> Equity!CG$40</f>
        <v>0</v>
      </c>
      <c r="CH127" s="288">
        <f xml:space="preserve"> Equity!CH$40</f>
        <v>0</v>
      </c>
      <c r="CI127" s="288">
        <f xml:space="preserve"> Equity!CI$40</f>
        <v>0</v>
      </c>
      <c r="CJ127" s="288">
        <f xml:space="preserve"> Equity!CJ$40</f>
        <v>0</v>
      </c>
      <c r="CK127" s="288">
        <f xml:space="preserve"> Equity!CK$40</f>
        <v>0</v>
      </c>
      <c r="CL127" s="288">
        <f xml:space="preserve"> Equity!CL$40</f>
        <v>0</v>
      </c>
      <c r="CM127" s="288">
        <f xml:space="preserve"> Equity!CM$40</f>
        <v>0</v>
      </c>
      <c r="CN127" s="288">
        <f xml:space="preserve"> Equity!CN$40</f>
        <v>0</v>
      </c>
      <c r="CO127" s="288">
        <f xml:space="preserve"> Equity!CO$40</f>
        <v>0</v>
      </c>
      <c r="CP127" s="288">
        <f xml:space="preserve"> Equity!CP$40</f>
        <v>0</v>
      </c>
      <c r="CQ127" s="288">
        <f xml:space="preserve"> Equity!CQ$40</f>
        <v>0</v>
      </c>
      <c r="CR127" s="288">
        <f xml:space="preserve"> Equity!CR$40</f>
        <v>0</v>
      </c>
      <c r="CS127" s="288">
        <f xml:space="preserve"> Equity!CS$40</f>
        <v>0</v>
      </c>
      <c r="CT127" s="288">
        <f xml:space="preserve"> Equity!CT$40</f>
        <v>0</v>
      </c>
      <c r="CU127" s="288">
        <f xml:space="preserve"> Equity!CU$40</f>
        <v>0</v>
      </c>
      <c r="CV127" s="288">
        <f xml:space="preserve"> Equity!CV$40</f>
        <v>0</v>
      </c>
    </row>
    <row r="128" spans="1:192" s="191" customFormat="1" outlineLevel="2" x14ac:dyDescent="0.2">
      <c r="A128" s="205"/>
      <c r="B128" s="205"/>
      <c r="C128" s="206"/>
      <c r="D128" s="209"/>
      <c r="E128" s="235" t="str">
        <f xml:space="preserve"> Equity!E$48</f>
        <v>Retained earnings balance</v>
      </c>
      <c r="F128" s="235">
        <f xml:space="preserve"> Equity!F$48</f>
        <v>0</v>
      </c>
      <c r="G128" s="235" t="str">
        <f xml:space="preserve"> Equity!G$48</f>
        <v>$ 000s</v>
      </c>
      <c r="H128" s="235">
        <f xml:space="preserve"> Equity!H$48</f>
        <v>0</v>
      </c>
      <c r="I128" s="235">
        <f xml:space="preserve"> Equity!I$48</f>
        <v>0</v>
      </c>
      <c r="J128" s="235">
        <f xml:space="preserve"> Equity!J$48</f>
        <v>0</v>
      </c>
      <c r="K128" s="235">
        <f xml:space="preserve"> Equity!K$48</f>
        <v>0</v>
      </c>
      <c r="L128" s="235">
        <f xml:space="preserve"> Equity!L$48</f>
        <v>0</v>
      </c>
      <c r="M128" s="235">
        <f xml:space="preserve"> Equity!M$48</f>
        <v>0</v>
      </c>
      <c r="N128" s="235">
        <f xml:space="preserve"> Equity!N$48</f>
        <v>0</v>
      </c>
      <c r="O128" s="235">
        <f xml:space="preserve"> Equity!O$48</f>
        <v>-8093.9627097477887</v>
      </c>
      <c r="P128" s="235">
        <f xml:space="preserve"> Equity!P$48</f>
        <v>-15305.778928929521</v>
      </c>
      <c r="Q128" s="235">
        <f xml:space="preserve"> Equity!Q$48</f>
        <v>-22064.230690798147</v>
      </c>
      <c r="R128" s="235">
        <f xml:space="preserve"> Equity!R$48</f>
        <v>-28128.540783168333</v>
      </c>
      <c r="S128" s="235">
        <f xml:space="preserve"> Equity!S$48</f>
        <v>-33849.121695375688</v>
      </c>
      <c r="T128" s="235">
        <f xml:space="preserve"> Equity!T$48</f>
        <v>-38982.056472134114</v>
      </c>
      <c r="U128" s="235">
        <f xml:space="preserve"> Equity!U$48</f>
        <v>-43861.227529870332</v>
      </c>
      <c r="V128" s="235">
        <f xml:space="preserve"> Equity!V$48</f>
        <v>-48267.191863067812</v>
      </c>
      <c r="W128" s="235">
        <f xml:space="preserve"> Equity!W$48</f>
        <v>-52465.741899490444</v>
      </c>
      <c r="X128" s="235">
        <f xml:space="preserve"> Equity!X$48</f>
        <v>-56241.193866783629</v>
      </c>
      <c r="Y128" s="235">
        <f xml:space="preserve"> Equity!Y$48</f>
        <v>-60092.872397044797</v>
      </c>
      <c r="Z128" s="235">
        <f xml:space="preserve"> Equity!Z$48</f>
        <v>-63578.831158658453</v>
      </c>
      <c r="AA128" s="235">
        <f xml:space="preserve"> Equity!AA$48</f>
        <v>-66996.342876470255</v>
      </c>
      <c r="AB128" s="235">
        <f xml:space="preserve"> Equity!AB$48</f>
        <v>-70102.949697839431</v>
      </c>
      <c r="AC128" s="235">
        <f xml:space="preserve"> Equity!AC$48</f>
        <v>-73184.009954953057</v>
      </c>
      <c r="AD128" s="235">
        <f xml:space="preserve"> Equity!AD$48</f>
        <v>-76022.336297173519</v>
      </c>
      <c r="AE128" s="235">
        <f xml:space="preserve"> Equity!AE$48</f>
        <v>-78850.265074250347</v>
      </c>
      <c r="AF128" s="235">
        <f xml:space="preserve"> Equity!AF$48</f>
        <v>-81460.146046370981</v>
      </c>
      <c r="AG128" s="235">
        <f xml:space="preserve"> Equity!AG$48</f>
        <v>-84112.691506730349</v>
      </c>
      <c r="AH128" s="235">
        <f xml:space="preserve"> Equity!AH$48</f>
        <v>-86586.22550729505</v>
      </c>
      <c r="AI128" s="235">
        <f xml:space="preserve"> Equity!AI$48</f>
        <v>-89280.20025049214</v>
      </c>
      <c r="AJ128" s="235">
        <f xml:space="preserve"> Equity!AJ$48</f>
        <v>-91824.49817973678</v>
      </c>
      <c r="AK128" s="235">
        <f xml:space="preserve"> Equity!AK$48</f>
        <v>-94463.645762078988</v>
      </c>
      <c r="AL128" s="235">
        <f xml:space="preserve"> Equity!AL$48</f>
        <v>-97002.312160012429</v>
      </c>
      <c r="AM128" s="235">
        <f xml:space="preserve"> Equity!AM$48</f>
        <v>-99646.838288779254</v>
      </c>
      <c r="AN128" s="235">
        <f xml:space="preserve"> Equity!AN$48</f>
        <v>-102215.71012315898</v>
      </c>
      <c r="AO128" s="235">
        <f xml:space="preserve"> Equity!AO$48</f>
        <v>-104929.47587304725</v>
      </c>
      <c r="AP128" s="235">
        <f xml:space="preserve"> Equity!AP$48</f>
        <v>-107603.73895144949</v>
      </c>
      <c r="AQ128" s="235">
        <f xml:space="preserve"> Equity!AQ$48</f>
        <v>-110448.8004433748</v>
      </c>
      <c r="AR128" s="235">
        <f xml:space="preserve"> Equity!AR$48</f>
        <v>-113293.18176570901</v>
      </c>
      <c r="AS128" s="235">
        <f xml:space="preserve"> Equity!AS$48</f>
        <v>-116336.16979353175</v>
      </c>
      <c r="AT128" s="235">
        <f xml:space="preserve"> Equity!AT$48</f>
        <v>-119439.32954478693</v>
      </c>
      <c r="AU128" s="235">
        <f xml:space="preserve"> Equity!AU$48</f>
        <v>-122783.28689855202</v>
      </c>
      <c r="AV128" s="235">
        <f xml:space="preserve"> Equity!AV$48</f>
        <v>-125938.82895581868</v>
      </c>
      <c r="AW128" s="235">
        <f xml:space="preserve"> Equity!AW$48</f>
        <v>-128495.97949982531</v>
      </c>
      <c r="AX128" s="235">
        <f xml:space="preserve"> Equity!AX$48</f>
        <v>-130818.14034196499</v>
      </c>
      <c r="AY128" s="235">
        <f xml:space="preserve"> Equity!AY$48</f>
        <v>-133052.756299192</v>
      </c>
      <c r="AZ128" s="235">
        <f xml:space="preserve"> Equity!AZ$48</f>
        <v>-135038.44174211932</v>
      </c>
      <c r="BA128" s="235">
        <f xml:space="preserve"> Equity!BA$48</f>
        <v>-136923.40408989237</v>
      </c>
      <c r="BB128" s="235">
        <f xml:space="preserve"> Equity!BB$48</f>
        <v>-139488.01257311381</v>
      </c>
      <c r="BC128" s="235">
        <f xml:space="preserve"> Equity!BC$48</f>
        <v>-139488.01257311381</v>
      </c>
      <c r="BD128" s="235">
        <f xml:space="preserve"> Equity!BD$48</f>
        <v>-139488.01257311381</v>
      </c>
      <c r="BE128" s="235">
        <f xml:space="preserve"> Equity!BE$48</f>
        <v>-139488.01257311381</v>
      </c>
      <c r="BF128" s="235">
        <f xml:space="preserve"> Equity!BF$48</f>
        <v>-139488.01257311381</v>
      </c>
      <c r="BG128" s="235">
        <f xml:space="preserve"> Equity!BG$48</f>
        <v>-139488.01257311381</v>
      </c>
      <c r="BH128" s="235">
        <f xml:space="preserve"> Equity!BH$48</f>
        <v>-139488.01257311381</v>
      </c>
      <c r="BI128" s="235">
        <f xml:space="preserve"> Equity!BI$48</f>
        <v>-139488.01257311381</v>
      </c>
      <c r="BJ128" s="235">
        <f xml:space="preserve"> Equity!BJ$48</f>
        <v>-139488.01257311381</v>
      </c>
      <c r="BK128" s="235">
        <f xml:space="preserve"> Equity!BK$48</f>
        <v>-139488.01257311381</v>
      </c>
      <c r="BL128" s="235">
        <f xml:space="preserve"> Equity!BL$48</f>
        <v>-139488.01257311381</v>
      </c>
      <c r="BM128" s="235">
        <f xml:space="preserve"> Equity!BM$48</f>
        <v>-139488.01257311381</v>
      </c>
      <c r="BN128" s="235">
        <f xml:space="preserve"> Equity!BN$48</f>
        <v>-139488.01257311381</v>
      </c>
      <c r="BO128" s="235">
        <f xml:space="preserve"> Equity!BO$48</f>
        <v>-139488.01257311381</v>
      </c>
      <c r="BP128" s="235">
        <f xml:space="preserve"> Equity!BP$48</f>
        <v>-139488.01257311381</v>
      </c>
      <c r="BQ128" s="235">
        <f xml:space="preserve"> Equity!BQ$48</f>
        <v>-139488.01257311381</v>
      </c>
      <c r="BR128" s="235">
        <f xml:space="preserve"> Equity!BR$48</f>
        <v>-139488.01257311381</v>
      </c>
      <c r="BS128" s="235">
        <f xml:space="preserve"> Equity!BS$48</f>
        <v>-139488.01257311381</v>
      </c>
      <c r="BT128" s="235">
        <f xml:space="preserve"> Equity!BT$48</f>
        <v>-139488.01257311381</v>
      </c>
      <c r="BU128" s="235">
        <f xml:space="preserve"> Equity!BU$48</f>
        <v>-139488.01257311381</v>
      </c>
      <c r="BV128" s="235">
        <f xml:space="preserve"> Equity!BV$48</f>
        <v>-139488.01257311381</v>
      </c>
      <c r="BW128" s="235">
        <f xml:space="preserve"> Equity!BW$48</f>
        <v>-139488.01257311381</v>
      </c>
      <c r="BX128" s="235">
        <f xml:space="preserve"> Equity!BX$48</f>
        <v>-139488.01257311381</v>
      </c>
      <c r="BY128" s="235">
        <f xml:space="preserve"> Equity!BY$48</f>
        <v>-139488.01257311381</v>
      </c>
      <c r="BZ128" s="235">
        <f xml:space="preserve"> Equity!BZ$48</f>
        <v>-139488.01257311381</v>
      </c>
      <c r="CA128" s="235">
        <f xml:space="preserve"> Equity!CA$48</f>
        <v>-139488.01257311381</v>
      </c>
      <c r="CB128" s="235">
        <f xml:space="preserve"> Equity!CB$48</f>
        <v>-139488.01257311381</v>
      </c>
      <c r="CC128" s="235">
        <f xml:space="preserve"> Equity!CC$48</f>
        <v>-139488.01257311381</v>
      </c>
      <c r="CD128" s="235">
        <f xml:space="preserve"> Equity!CD$48</f>
        <v>-139488.01257311381</v>
      </c>
      <c r="CE128" s="235">
        <f xml:space="preserve"> Equity!CE$48</f>
        <v>-139488.01257311381</v>
      </c>
      <c r="CF128" s="235">
        <f xml:space="preserve"> Equity!CF$48</f>
        <v>-139488.01257311381</v>
      </c>
      <c r="CG128" s="235">
        <f xml:space="preserve"> Equity!CG$48</f>
        <v>-139488.01257311381</v>
      </c>
      <c r="CH128" s="235">
        <f xml:space="preserve"> Equity!CH$48</f>
        <v>-139488.01257311381</v>
      </c>
      <c r="CI128" s="235">
        <f xml:space="preserve"> Equity!CI$48</f>
        <v>-139488.01257311381</v>
      </c>
      <c r="CJ128" s="235">
        <f xml:space="preserve"> Equity!CJ$48</f>
        <v>-139488.01257311381</v>
      </c>
      <c r="CK128" s="235">
        <f xml:space="preserve"> Equity!CK$48</f>
        <v>-139488.01257311381</v>
      </c>
      <c r="CL128" s="235">
        <f xml:space="preserve"> Equity!CL$48</f>
        <v>-139488.01257311381</v>
      </c>
      <c r="CM128" s="235">
        <f xml:space="preserve"> Equity!CM$48</f>
        <v>-139488.01257311381</v>
      </c>
      <c r="CN128" s="235">
        <f xml:space="preserve"> Equity!CN$48</f>
        <v>-139488.01257311381</v>
      </c>
      <c r="CO128" s="235">
        <f xml:space="preserve"> Equity!CO$48</f>
        <v>-139488.01257311381</v>
      </c>
      <c r="CP128" s="235">
        <f xml:space="preserve"> Equity!CP$48</f>
        <v>-139488.01257311381</v>
      </c>
      <c r="CQ128" s="235">
        <f xml:space="preserve"> Equity!CQ$48</f>
        <v>-139488.01257311381</v>
      </c>
      <c r="CR128" s="235">
        <f xml:space="preserve"> Equity!CR$48</f>
        <v>-139488.01257311381</v>
      </c>
      <c r="CS128" s="235">
        <f xml:space="preserve"> Equity!CS$48</f>
        <v>-139488.01257311381</v>
      </c>
      <c r="CT128" s="235">
        <f xml:space="preserve"> Equity!CT$48</f>
        <v>-139488.01257311381</v>
      </c>
      <c r="CU128" s="235">
        <f xml:space="preserve"> Equity!CU$48</f>
        <v>-139488.01257311381</v>
      </c>
      <c r="CV128" s="235">
        <f xml:space="preserve"> Equity!CV$48</f>
        <v>-139488.01257311381</v>
      </c>
    </row>
    <row r="129" spans="1:100" outlineLevel="2" x14ac:dyDescent="0.2">
      <c r="D129" s="209"/>
      <c r="E129" s="232" t="s">
        <v>59</v>
      </c>
      <c r="F129" s="232"/>
      <c r="G129" s="232" t="str">
        <f>SMU</f>
        <v>$ 000s</v>
      </c>
      <c r="H129" s="232"/>
      <c r="I129" s="232"/>
      <c r="J129" s="232">
        <f t="shared" ref="J129:AO129" si="49" xml:space="preserve"> SUM(J116:J128)</f>
        <v>38655.01232134179</v>
      </c>
      <c r="K129" s="232">
        <f t="shared" si="49"/>
        <v>110586.75689414167</v>
      </c>
      <c r="L129" s="232">
        <f t="shared" si="49"/>
        <v>183700.42528235295</v>
      </c>
      <c r="M129" s="232">
        <f t="shared" si="49"/>
        <v>258114.31294635369</v>
      </c>
      <c r="N129" s="232">
        <f t="shared" si="49"/>
        <v>336808.10536716809</v>
      </c>
      <c r="O129" s="232">
        <f t="shared" si="49"/>
        <v>327776.45124683314</v>
      </c>
      <c r="P129" s="232">
        <f t="shared" si="49"/>
        <v>319715.03736910562</v>
      </c>
      <c r="Q129" s="232">
        <f t="shared" si="49"/>
        <v>311481.97355304356</v>
      </c>
      <c r="R129" s="232">
        <f t="shared" si="49"/>
        <v>303419.88438566437</v>
      </c>
      <c r="S129" s="232">
        <f t="shared" si="49"/>
        <v>295186.44459854264</v>
      </c>
      <c r="T129" s="232">
        <f t="shared" si="49"/>
        <v>287131.18729709421</v>
      </c>
      <c r="U129" s="232">
        <f t="shared" si="49"/>
        <v>278889.84145839146</v>
      </c>
      <c r="V129" s="232">
        <f t="shared" si="49"/>
        <v>270791.52454826876</v>
      </c>
      <c r="W129" s="232">
        <f t="shared" si="49"/>
        <v>262592.14074893296</v>
      </c>
      <c r="X129" s="232">
        <f t="shared" si="49"/>
        <v>254527.96026205691</v>
      </c>
      <c r="Y129" s="232">
        <f t="shared" si="49"/>
        <v>246293.31861592189</v>
      </c>
      <c r="Z129" s="232">
        <f t="shared" si="49"/>
        <v>238228.41844297727</v>
      </c>
      <c r="AA129" s="232">
        <f t="shared" si="49"/>
        <v>229993.35072580999</v>
      </c>
      <c r="AB129" s="232">
        <f t="shared" si="49"/>
        <v>221934.99085351318</v>
      </c>
      <c r="AC129" s="232">
        <f t="shared" si="49"/>
        <v>213692.21226033638</v>
      </c>
      <c r="AD129" s="232">
        <f t="shared" si="49"/>
        <v>205591.41112152813</v>
      </c>
      <c r="AE129" s="232">
        <f t="shared" si="49"/>
        <v>197389.8779010814</v>
      </c>
      <c r="AF129" s="232">
        <f t="shared" si="49"/>
        <v>189322.74761621415</v>
      </c>
      <c r="AG129" s="232">
        <f t="shared" si="49"/>
        <v>181086.32182727632</v>
      </c>
      <c r="AH129" s="232">
        <f t="shared" si="49"/>
        <v>173018.42366615147</v>
      </c>
      <c r="AI129" s="232">
        <f t="shared" si="49"/>
        <v>164781.51769119682</v>
      </c>
      <c r="AJ129" s="232">
        <f t="shared" si="49"/>
        <v>156719.85083942316</v>
      </c>
      <c r="AK129" s="232">
        <f t="shared" si="49"/>
        <v>148475.43861706503</v>
      </c>
      <c r="AL129" s="232">
        <f t="shared" si="49"/>
        <v>140371.96725375584</v>
      </c>
      <c r="AM129" s="232">
        <f t="shared" si="49"/>
        <v>132168.05719609975</v>
      </c>
      <c r="AN129" s="232">
        <f t="shared" si="49"/>
        <v>124097.77826159158</v>
      </c>
      <c r="AO129" s="232">
        <f t="shared" si="49"/>
        <v>115859.3454679283</v>
      </c>
      <c r="AP129" s="232">
        <f t="shared" ref="AP129:BU129" si="50" xml:space="preserve"> SUM(AP116:AP128)</f>
        <v>107788.246341772</v>
      </c>
      <c r="AQ129" s="232">
        <f t="shared" si="50"/>
        <v>99549.27564627731</v>
      </c>
      <c r="AR129" s="232">
        <f t="shared" si="50"/>
        <v>91484.080898567627</v>
      </c>
      <c r="AS129" s="232">
        <f t="shared" si="50"/>
        <v>83237.818876847989</v>
      </c>
      <c r="AT129" s="232">
        <f t="shared" si="50"/>
        <v>75131.477623343395</v>
      </c>
      <c r="AU129" s="232">
        <f t="shared" si="50"/>
        <v>62065.024659326751</v>
      </c>
      <c r="AV129" s="232">
        <f t="shared" si="50"/>
        <v>49183.716674668845</v>
      </c>
      <c r="AW129" s="232">
        <f t="shared" si="50"/>
        <v>41712.357607213286</v>
      </c>
      <c r="AX129" s="232">
        <f t="shared" si="50"/>
        <v>34406.914323213947</v>
      </c>
      <c r="AY129" s="232">
        <f t="shared" si="50"/>
        <v>26935.73148927663</v>
      </c>
      <c r="AZ129" s="232">
        <f t="shared" si="50"/>
        <v>19630.17200530041</v>
      </c>
      <c r="BA129" s="232">
        <f t="shared" si="50"/>
        <v>12159.165115566022</v>
      </c>
      <c r="BB129" s="232">
        <f t="shared" si="50"/>
        <v>-2.0082652918063104E-4</v>
      </c>
      <c r="BC129" s="232">
        <f t="shared" si="50"/>
        <v>-2.0082652918063104E-4</v>
      </c>
      <c r="BD129" s="232">
        <f t="shared" si="50"/>
        <v>-2.0082652918063104E-4</v>
      </c>
      <c r="BE129" s="232">
        <f t="shared" si="50"/>
        <v>-2.0082652918063104E-4</v>
      </c>
      <c r="BF129" s="232">
        <f t="shared" si="50"/>
        <v>-2.0082652918063104E-4</v>
      </c>
      <c r="BG129" s="232">
        <f t="shared" si="50"/>
        <v>-2.0082652918063104E-4</v>
      </c>
      <c r="BH129" s="232">
        <f t="shared" si="50"/>
        <v>-2.0082652918063104E-4</v>
      </c>
      <c r="BI129" s="232">
        <f t="shared" si="50"/>
        <v>-2.0082652918063104E-4</v>
      </c>
      <c r="BJ129" s="232">
        <f t="shared" si="50"/>
        <v>-2.0082652918063104E-4</v>
      </c>
      <c r="BK129" s="232">
        <f t="shared" si="50"/>
        <v>-2.0082652918063104E-4</v>
      </c>
      <c r="BL129" s="232">
        <f t="shared" si="50"/>
        <v>-2.0082652918063104E-4</v>
      </c>
      <c r="BM129" s="232">
        <f t="shared" si="50"/>
        <v>-2.0082652918063104E-4</v>
      </c>
      <c r="BN129" s="232">
        <f t="shared" si="50"/>
        <v>-2.0082652918063104E-4</v>
      </c>
      <c r="BO129" s="232">
        <f t="shared" si="50"/>
        <v>-2.0082652918063104E-4</v>
      </c>
      <c r="BP129" s="232">
        <f t="shared" si="50"/>
        <v>-2.0082652918063104E-4</v>
      </c>
      <c r="BQ129" s="232">
        <f t="shared" si="50"/>
        <v>-2.0082652918063104E-4</v>
      </c>
      <c r="BR129" s="232">
        <f t="shared" si="50"/>
        <v>-2.0082652918063104E-4</v>
      </c>
      <c r="BS129" s="232">
        <f t="shared" si="50"/>
        <v>-2.0082652918063104E-4</v>
      </c>
      <c r="BT129" s="232">
        <f t="shared" si="50"/>
        <v>-2.0082652918063104E-4</v>
      </c>
      <c r="BU129" s="232">
        <f t="shared" si="50"/>
        <v>-2.0082652918063104E-4</v>
      </c>
      <c r="BV129" s="232">
        <f t="shared" ref="BV129:CV129" si="51" xml:space="preserve"> SUM(BV116:BV128)</f>
        <v>-2.0082652918063104E-4</v>
      </c>
      <c r="BW129" s="232">
        <f t="shared" si="51"/>
        <v>-2.0082652918063104E-4</v>
      </c>
      <c r="BX129" s="232">
        <f t="shared" si="51"/>
        <v>-2.0082652918063104E-4</v>
      </c>
      <c r="BY129" s="232">
        <f t="shared" si="51"/>
        <v>-2.0082652918063104E-4</v>
      </c>
      <c r="BZ129" s="232">
        <f t="shared" si="51"/>
        <v>-2.0082652918063104E-4</v>
      </c>
      <c r="CA129" s="232">
        <f t="shared" si="51"/>
        <v>-2.0082652918063104E-4</v>
      </c>
      <c r="CB129" s="232">
        <f t="shared" si="51"/>
        <v>-2.0082652918063104E-4</v>
      </c>
      <c r="CC129" s="232">
        <f t="shared" si="51"/>
        <v>-2.0082652918063104E-4</v>
      </c>
      <c r="CD129" s="232">
        <f t="shared" si="51"/>
        <v>-2.0082652918063104E-4</v>
      </c>
      <c r="CE129" s="232">
        <f t="shared" si="51"/>
        <v>-2.0082652918063104E-4</v>
      </c>
      <c r="CF129" s="232">
        <f t="shared" si="51"/>
        <v>-2.0082652918063104E-4</v>
      </c>
      <c r="CG129" s="232">
        <f t="shared" si="51"/>
        <v>-2.0082652918063104E-4</v>
      </c>
      <c r="CH129" s="232">
        <f t="shared" si="51"/>
        <v>-2.0082652918063104E-4</v>
      </c>
      <c r="CI129" s="232">
        <f t="shared" si="51"/>
        <v>-2.0082652918063104E-4</v>
      </c>
      <c r="CJ129" s="232">
        <f t="shared" si="51"/>
        <v>-2.0082652918063104E-4</v>
      </c>
      <c r="CK129" s="232">
        <f t="shared" si="51"/>
        <v>-2.0082652918063104E-4</v>
      </c>
      <c r="CL129" s="232">
        <f t="shared" si="51"/>
        <v>-2.0082652918063104E-4</v>
      </c>
      <c r="CM129" s="232">
        <f t="shared" si="51"/>
        <v>-2.0082652918063104E-4</v>
      </c>
      <c r="CN129" s="232">
        <f t="shared" si="51"/>
        <v>-2.0082652918063104E-4</v>
      </c>
      <c r="CO129" s="232">
        <f t="shared" si="51"/>
        <v>-2.0082652918063104E-4</v>
      </c>
      <c r="CP129" s="232">
        <f t="shared" si="51"/>
        <v>-2.0082652918063104E-4</v>
      </c>
      <c r="CQ129" s="232">
        <f t="shared" si="51"/>
        <v>-2.0082652918063104E-4</v>
      </c>
      <c r="CR129" s="232">
        <f t="shared" si="51"/>
        <v>-2.0082652918063104E-4</v>
      </c>
      <c r="CS129" s="232">
        <f t="shared" si="51"/>
        <v>-2.0082652918063104E-4</v>
      </c>
      <c r="CT129" s="232">
        <f t="shared" si="51"/>
        <v>-2.0082652918063104E-4</v>
      </c>
      <c r="CU129" s="232">
        <f t="shared" si="51"/>
        <v>-2.0082652918063104E-4</v>
      </c>
      <c r="CV129" s="232">
        <f t="shared" si="51"/>
        <v>-2.0082652918063104E-4</v>
      </c>
    </row>
    <row r="130" spans="1:100" outlineLevel="2" x14ac:dyDescent="0.2">
      <c r="D130" s="209"/>
      <c r="E130" s="235"/>
      <c r="F130" s="235"/>
      <c r="G130" s="235"/>
      <c r="H130" s="235"/>
      <c r="I130" s="235"/>
      <c r="J130" s="235"/>
      <c r="K130" s="235"/>
      <c r="L130" s="235"/>
      <c r="M130" s="235"/>
      <c r="N130" s="235"/>
      <c r="O130" s="235"/>
      <c r="P130" s="235"/>
      <c r="Q130" s="235"/>
      <c r="R130" s="235"/>
      <c r="S130" s="235"/>
      <c r="T130" s="235"/>
      <c r="U130" s="235"/>
      <c r="V130" s="235"/>
      <c r="W130" s="235"/>
      <c r="X130" s="235"/>
      <c r="Y130" s="235"/>
      <c r="Z130" s="235"/>
      <c r="AA130" s="235"/>
      <c r="AB130" s="235"/>
      <c r="AC130" s="235"/>
      <c r="AD130" s="235"/>
      <c r="AE130" s="235"/>
      <c r="AF130" s="235"/>
      <c r="AG130" s="235"/>
      <c r="AH130" s="235"/>
      <c r="AI130" s="235"/>
      <c r="AJ130" s="235"/>
      <c r="AK130" s="235"/>
      <c r="AL130" s="235"/>
      <c r="AM130" s="235"/>
      <c r="AN130" s="235"/>
      <c r="AO130" s="235"/>
      <c r="AP130" s="235"/>
      <c r="AQ130" s="235"/>
      <c r="AR130" s="235"/>
      <c r="AS130" s="235"/>
      <c r="AT130" s="235"/>
      <c r="AU130" s="235"/>
      <c r="AV130" s="235"/>
      <c r="AW130" s="235"/>
      <c r="AX130" s="235"/>
      <c r="AY130" s="235"/>
      <c r="AZ130" s="235"/>
      <c r="BA130" s="235"/>
      <c r="BB130" s="235"/>
      <c r="BC130" s="235"/>
      <c r="BD130" s="235"/>
      <c r="BE130" s="235"/>
      <c r="BF130" s="235"/>
      <c r="BG130" s="235"/>
      <c r="BH130" s="235"/>
      <c r="BI130" s="235"/>
      <c r="BJ130" s="235"/>
      <c r="BK130" s="235"/>
      <c r="BL130" s="235"/>
      <c r="BM130" s="235"/>
      <c r="BN130" s="235"/>
      <c r="BO130" s="235"/>
      <c r="BP130" s="235"/>
      <c r="BQ130" s="235"/>
      <c r="BR130" s="235"/>
      <c r="BS130" s="235"/>
      <c r="BT130" s="235"/>
      <c r="BU130" s="235"/>
      <c r="BV130" s="235"/>
      <c r="BW130" s="235"/>
      <c r="BX130" s="235"/>
      <c r="BY130" s="235"/>
      <c r="BZ130" s="235"/>
      <c r="CA130" s="235"/>
      <c r="CB130" s="235"/>
      <c r="CC130" s="235"/>
      <c r="CD130" s="235"/>
      <c r="CE130" s="235"/>
      <c r="CF130" s="235"/>
      <c r="CG130" s="235"/>
      <c r="CH130" s="235"/>
      <c r="CI130" s="235"/>
      <c r="CJ130" s="235"/>
      <c r="CK130" s="235"/>
      <c r="CL130" s="235"/>
      <c r="CM130" s="235"/>
      <c r="CN130" s="235"/>
      <c r="CO130" s="235"/>
      <c r="CP130" s="235"/>
      <c r="CQ130" s="235"/>
      <c r="CR130" s="235"/>
      <c r="CS130" s="235"/>
      <c r="CT130" s="235"/>
      <c r="CU130" s="235"/>
      <c r="CV130" s="235"/>
    </row>
    <row r="131" spans="1:100" x14ac:dyDescent="0.2">
      <c r="D131" s="209"/>
      <c r="E131" s="235"/>
      <c r="F131" s="235"/>
      <c r="G131" s="235"/>
      <c r="H131" s="235"/>
      <c r="I131" s="235"/>
      <c r="J131" s="235"/>
      <c r="K131" s="235"/>
      <c r="L131" s="235"/>
      <c r="M131" s="235"/>
      <c r="N131" s="235"/>
      <c r="O131" s="235"/>
      <c r="P131" s="235"/>
      <c r="Q131" s="235"/>
      <c r="R131" s="235"/>
      <c r="S131" s="235"/>
      <c r="T131" s="235"/>
      <c r="U131" s="235"/>
      <c r="V131" s="235"/>
      <c r="W131" s="235"/>
      <c r="X131" s="235"/>
      <c r="Y131" s="235"/>
      <c r="Z131" s="235"/>
      <c r="AA131" s="235"/>
      <c r="AB131" s="235"/>
      <c r="AC131" s="235"/>
      <c r="AD131" s="235"/>
      <c r="AE131" s="235"/>
      <c r="AF131" s="235"/>
      <c r="AG131" s="235"/>
      <c r="AH131" s="235"/>
      <c r="AI131" s="235"/>
      <c r="AJ131" s="235"/>
      <c r="AK131" s="235"/>
      <c r="AL131" s="235"/>
      <c r="AM131" s="235"/>
      <c r="AN131" s="235"/>
      <c r="AO131" s="235"/>
      <c r="AP131" s="235"/>
      <c r="AQ131" s="235"/>
      <c r="AR131" s="235"/>
      <c r="AS131" s="235"/>
      <c r="AT131" s="235"/>
      <c r="AU131" s="235"/>
      <c r="AV131" s="235"/>
      <c r="AW131" s="235"/>
      <c r="AX131" s="235"/>
      <c r="AY131" s="235"/>
      <c r="AZ131" s="235"/>
      <c r="BA131" s="235"/>
      <c r="BB131" s="235"/>
      <c r="BC131" s="235"/>
      <c r="BD131" s="235"/>
      <c r="BE131" s="235"/>
      <c r="BF131" s="235"/>
      <c r="BG131" s="235"/>
      <c r="BH131" s="235"/>
      <c r="BI131" s="235"/>
      <c r="BJ131" s="235"/>
      <c r="BK131" s="235"/>
      <c r="BL131" s="235"/>
      <c r="BM131" s="235"/>
      <c r="BN131" s="235"/>
      <c r="BO131" s="235"/>
      <c r="BP131" s="235"/>
      <c r="BQ131" s="235"/>
      <c r="BR131" s="235"/>
      <c r="BS131" s="235"/>
      <c r="BT131" s="235"/>
      <c r="BU131" s="235"/>
      <c r="BV131" s="235"/>
      <c r="BW131" s="235"/>
      <c r="BX131" s="235"/>
      <c r="BY131" s="235"/>
      <c r="BZ131" s="235"/>
      <c r="CA131" s="235"/>
      <c r="CB131" s="235"/>
      <c r="CC131" s="235"/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235"/>
      <c r="CU131" s="235"/>
      <c r="CV131" s="235"/>
    </row>
    <row r="132" spans="1:100" x14ac:dyDescent="0.2">
      <c r="A132" s="205" t="s">
        <v>73</v>
      </c>
      <c r="D132" s="209"/>
      <c r="E132" s="235"/>
      <c r="F132" s="235"/>
      <c r="G132" s="235"/>
      <c r="H132" s="235"/>
      <c r="I132" s="235"/>
      <c r="J132" s="235"/>
      <c r="K132" s="235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  <c r="AD132" s="235"/>
      <c r="AE132" s="235"/>
      <c r="AF132" s="235"/>
      <c r="AG132" s="235"/>
      <c r="AH132" s="235"/>
      <c r="AI132" s="235"/>
      <c r="AJ132" s="235"/>
      <c r="AK132" s="235"/>
      <c r="AL132" s="235"/>
      <c r="AM132" s="235"/>
      <c r="AN132" s="235"/>
      <c r="AO132" s="235"/>
      <c r="AP132" s="235"/>
      <c r="AQ132" s="235"/>
      <c r="AR132" s="235"/>
      <c r="AS132" s="235"/>
      <c r="AT132" s="235"/>
      <c r="AU132" s="235"/>
      <c r="AV132" s="235"/>
      <c r="AW132" s="235"/>
      <c r="AX132" s="235"/>
      <c r="AY132" s="235"/>
      <c r="AZ132" s="235"/>
      <c r="BA132" s="235"/>
      <c r="BB132" s="235"/>
      <c r="BC132" s="235"/>
      <c r="BD132" s="235"/>
      <c r="BE132" s="235"/>
      <c r="BF132" s="235"/>
      <c r="BG132" s="235"/>
      <c r="BH132" s="235"/>
      <c r="BI132" s="235"/>
      <c r="BJ132" s="235"/>
      <c r="BK132" s="235"/>
      <c r="BL132" s="235"/>
      <c r="BM132" s="235"/>
      <c r="BN132" s="235"/>
      <c r="BO132" s="235"/>
      <c r="BP132" s="235"/>
      <c r="BQ132" s="235"/>
      <c r="BR132" s="235"/>
      <c r="BS132" s="235"/>
      <c r="BT132" s="235"/>
      <c r="BU132" s="235"/>
      <c r="BV132" s="235"/>
      <c r="BW132" s="235"/>
      <c r="BX132" s="235"/>
      <c r="BY132" s="235"/>
      <c r="BZ132" s="235"/>
      <c r="CA132" s="235"/>
      <c r="CB132" s="235"/>
      <c r="CC132" s="235"/>
      <c r="CD132" s="235"/>
      <c r="CE132" s="235"/>
      <c r="CF132" s="235"/>
      <c r="CG132" s="235"/>
      <c r="CH132" s="235"/>
      <c r="CI132" s="235"/>
      <c r="CJ132" s="235"/>
      <c r="CK132" s="235"/>
      <c r="CL132" s="235"/>
      <c r="CM132" s="235"/>
      <c r="CN132" s="235"/>
      <c r="CO132" s="235"/>
      <c r="CP132" s="235"/>
      <c r="CQ132" s="235"/>
      <c r="CR132" s="235"/>
      <c r="CS132" s="235"/>
      <c r="CT132" s="235"/>
      <c r="CU132" s="235"/>
      <c r="CV132" s="235"/>
    </row>
    <row r="133" spans="1:100" outlineLevel="1" x14ac:dyDescent="0.2">
      <c r="D133" s="209"/>
      <c r="E133" s="235"/>
      <c r="F133" s="235"/>
      <c r="G133" s="235"/>
      <c r="H133" s="235"/>
      <c r="I133" s="235"/>
      <c r="J133" s="235"/>
      <c r="K133" s="235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  <c r="AG133" s="235"/>
      <c r="AH133" s="235"/>
      <c r="AI133" s="235"/>
      <c r="AJ133" s="235"/>
      <c r="AK133" s="235"/>
      <c r="AL133" s="235"/>
      <c r="AM133" s="235"/>
      <c r="AN133" s="235"/>
      <c r="AO133" s="235"/>
      <c r="AP133" s="235"/>
      <c r="AQ133" s="235"/>
      <c r="AR133" s="235"/>
      <c r="AS133" s="235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  <c r="BG133" s="235"/>
      <c r="BH133" s="235"/>
      <c r="BI133" s="235"/>
      <c r="BJ133" s="235"/>
      <c r="BK133" s="235"/>
      <c r="BL133" s="235"/>
      <c r="BM133" s="235"/>
      <c r="BN133" s="235"/>
      <c r="BO133" s="235"/>
      <c r="BP133" s="235"/>
      <c r="BQ133" s="235"/>
      <c r="BR133" s="235"/>
      <c r="BS133" s="235"/>
      <c r="BT133" s="235"/>
      <c r="BU133" s="235"/>
      <c r="BV133" s="235"/>
      <c r="BW133" s="235"/>
      <c r="BX133" s="235"/>
      <c r="BY133" s="235"/>
      <c r="BZ133" s="235"/>
      <c r="CA133" s="235"/>
      <c r="CB133" s="235"/>
      <c r="CC133" s="235"/>
      <c r="CD133" s="235"/>
      <c r="CE133" s="235"/>
      <c r="CF133" s="235"/>
      <c r="CG133" s="235"/>
      <c r="CH133" s="235"/>
      <c r="CI133" s="235"/>
      <c r="CJ133" s="235"/>
      <c r="CK133" s="235"/>
      <c r="CL133" s="235"/>
      <c r="CM133" s="235"/>
      <c r="CN133" s="235"/>
      <c r="CO133" s="235"/>
      <c r="CP133" s="235"/>
      <c r="CQ133" s="235"/>
      <c r="CR133" s="235"/>
      <c r="CS133" s="235"/>
      <c r="CT133" s="235"/>
      <c r="CU133" s="235"/>
      <c r="CV133" s="235"/>
    </row>
    <row r="134" spans="1:100" outlineLevel="1" x14ac:dyDescent="0.2">
      <c r="D134" s="209"/>
      <c r="E134" s="235" t="str">
        <f xml:space="preserve"> E$114</f>
        <v>Total assets</v>
      </c>
      <c r="F134" s="235">
        <f t="shared" ref="F134:BQ134" si="52" xml:space="preserve"> F$114</f>
        <v>0</v>
      </c>
      <c r="G134" s="235" t="str">
        <f t="shared" si="52"/>
        <v>$ 000s</v>
      </c>
      <c r="H134" s="235">
        <f t="shared" si="52"/>
        <v>0</v>
      </c>
      <c r="I134" s="235">
        <f t="shared" si="52"/>
        <v>0</v>
      </c>
      <c r="J134" s="235">
        <f t="shared" si="52"/>
        <v>38655.01232134179</v>
      </c>
      <c r="K134" s="235">
        <f t="shared" si="52"/>
        <v>110586.75689414167</v>
      </c>
      <c r="L134" s="235">
        <f t="shared" si="52"/>
        <v>183700.42528235298</v>
      </c>
      <c r="M134" s="235">
        <f t="shared" si="52"/>
        <v>258114.31294635375</v>
      </c>
      <c r="N134" s="235">
        <f t="shared" si="52"/>
        <v>336808.10536716814</v>
      </c>
      <c r="O134" s="235">
        <f t="shared" si="52"/>
        <v>327776.45124683314</v>
      </c>
      <c r="P134" s="235">
        <f t="shared" si="52"/>
        <v>319715.03736910567</v>
      </c>
      <c r="Q134" s="235">
        <f t="shared" si="52"/>
        <v>311481.97355304367</v>
      </c>
      <c r="R134" s="235">
        <f t="shared" si="52"/>
        <v>303419.88438566448</v>
      </c>
      <c r="S134" s="235">
        <f t="shared" si="52"/>
        <v>295186.4445985427</v>
      </c>
      <c r="T134" s="235">
        <f t="shared" si="52"/>
        <v>287131.18729709421</v>
      </c>
      <c r="U134" s="235">
        <f t="shared" si="52"/>
        <v>278889.84145839146</v>
      </c>
      <c r="V134" s="235">
        <f t="shared" si="52"/>
        <v>270791.52454826876</v>
      </c>
      <c r="W134" s="235">
        <f t="shared" si="52"/>
        <v>262592.14074893302</v>
      </c>
      <c r="X134" s="235">
        <f t="shared" si="52"/>
        <v>254527.96026205688</v>
      </c>
      <c r="Y134" s="235">
        <f t="shared" si="52"/>
        <v>246293.31861592174</v>
      </c>
      <c r="Z134" s="235">
        <f t="shared" si="52"/>
        <v>238228.41844297721</v>
      </c>
      <c r="AA134" s="235">
        <f t="shared" si="52"/>
        <v>229993.35072580987</v>
      </c>
      <c r="AB134" s="235">
        <f t="shared" si="52"/>
        <v>221934.99085351307</v>
      </c>
      <c r="AC134" s="235">
        <f t="shared" si="52"/>
        <v>213692.21226033624</v>
      </c>
      <c r="AD134" s="235">
        <f t="shared" si="52"/>
        <v>205591.41112152801</v>
      </c>
      <c r="AE134" s="235">
        <f t="shared" si="52"/>
        <v>197389.87790108123</v>
      </c>
      <c r="AF134" s="235">
        <f t="shared" si="52"/>
        <v>189322.74761621398</v>
      </c>
      <c r="AG134" s="235">
        <f t="shared" si="52"/>
        <v>181086.32182727612</v>
      </c>
      <c r="AH134" s="235">
        <f t="shared" si="52"/>
        <v>173018.42366615127</v>
      </c>
      <c r="AI134" s="235">
        <f t="shared" si="52"/>
        <v>164781.51769119658</v>
      </c>
      <c r="AJ134" s="235">
        <f t="shared" si="52"/>
        <v>156719.85083942296</v>
      </c>
      <c r="AK134" s="235">
        <f t="shared" si="52"/>
        <v>148475.43861706479</v>
      </c>
      <c r="AL134" s="235">
        <f t="shared" si="52"/>
        <v>140371.9672537556</v>
      </c>
      <c r="AM134" s="235">
        <f t="shared" si="52"/>
        <v>132168.05719609951</v>
      </c>
      <c r="AN134" s="235">
        <f t="shared" si="52"/>
        <v>124097.77826159133</v>
      </c>
      <c r="AO134" s="235">
        <f t="shared" si="52"/>
        <v>115859.3454679281</v>
      </c>
      <c r="AP134" s="235">
        <f t="shared" si="52"/>
        <v>107788.2463417718</v>
      </c>
      <c r="AQ134" s="235">
        <f t="shared" si="52"/>
        <v>99549.275646277063</v>
      </c>
      <c r="AR134" s="235">
        <f t="shared" si="52"/>
        <v>91484.080898567394</v>
      </c>
      <c r="AS134" s="235">
        <f t="shared" si="52"/>
        <v>83237.81887684777</v>
      </c>
      <c r="AT134" s="235">
        <f t="shared" si="52"/>
        <v>75131.477623343177</v>
      </c>
      <c r="AU134" s="235">
        <f t="shared" si="52"/>
        <v>62065.024659326504</v>
      </c>
      <c r="AV134" s="235">
        <f t="shared" si="52"/>
        <v>49183.716674668598</v>
      </c>
      <c r="AW134" s="235">
        <f t="shared" si="52"/>
        <v>41712.357607213067</v>
      </c>
      <c r="AX134" s="235">
        <f t="shared" si="52"/>
        <v>34406.914323213736</v>
      </c>
      <c r="AY134" s="235">
        <f t="shared" si="52"/>
        <v>26935.731489276412</v>
      </c>
      <c r="AZ134" s="235">
        <f t="shared" si="52"/>
        <v>19630.172005300225</v>
      </c>
      <c r="BA134" s="235">
        <f t="shared" si="52"/>
        <v>12159.165115565811</v>
      </c>
      <c r="BB134" s="235">
        <f t="shared" si="52"/>
        <v>-2.0082675564481178E-4</v>
      </c>
      <c r="BC134" s="235">
        <f t="shared" si="52"/>
        <v>-2.0082675564481178E-4</v>
      </c>
      <c r="BD134" s="235">
        <f t="shared" si="52"/>
        <v>-2.0082675564481178E-4</v>
      </c>
      <c r="BE134" s="235">
        <f t="shared" si="52"/>
        <v>-2.0082675564481178E-4</v>
      </c>
      <c r="BF134" s="235">
        <f t="shared" si="52"/>
        <v>-2.0082675564481178E-4</v>
      </c>
      <c r="BG134" s="235">
        <f t="shared" si="52"/>
        <v>-2.0082675564481178E-4</v>
      </c>
      <c r="BH134" s="235">
        <f t="shared" si="52"/>
        <v>-2.0082675564481178E-4</v>
      </c>
      <c r="BI134" s="235">
        <f t="shared" si="52"/>
        <v>-2.0082675564481178E-4</v>
      </c>
      <c r="BJ134" s="235">
        <f t="shared" si="52"/>
        <v>-2.0082675564481178E-4</v>
      </c>
      <c r="BK134" s="235">
        <f t="shared" si="52"/>
        <v>-2.0082675564481178E-4</v>
      </c>
      <c r="BL134" s="235">
        <f t="shared" si="52"/>
        <v>-2.0082675564481178E-4</v>
      </c>
      <c r="BM134" s="235">
        <f t="shared" si="52"/>
        <v>-2.0082675564481178E-4</v>
      </c>
      <c r="BN134" s="235">
        <f t="shared" si="52"/>
        <v>-2.0082675564481178E-4</v>
      </c>
      <c r="BO134" s="235">
        <f t="shared" si="52"/>
        <v>-2.0082675564481178E-4</v>
      </c>
      <c r="BP134" s="235">
        <f t="shared" si="52"/>
        <v>-2.0082675564481178E-4</v>
      </c>
      <c r="BQ134" s="235">
        <f t="shared" si="52"/>
        <v>-2.0082675564481178E-4</v>
      </c>
      <c r="BR134" s="235">
        <f t="shared" ref="BR134:CV134" si="53" xml:space="preserve"> BR$114</f>
        <v>-2.0082675564481178E-4</v>
      </c>
      <c r="BS134" s="235">
        <f t="shared" si="53"/>
        <v>-2.0082675564481178E-4</v>
      </c>
      <c r="BT134" s="235">
        <f t="shared" si="53"/>
        <v>-2.0082675564481178E-4</v>
      </c>
      <c r="BU134" s="235">
        <f t="shared" si="53"/>
        <v>-2.0082675564481178E-4</v>
      </c>
      <c r="BV134" s="235">
        <f t="shared" si="53"/>
        <v>-2.0082675564481178E-4</v>
      </c>
      <c r="BW134" s="235">
        <f t="shared" si="53"/>
        <v>-2.0082675564481178E-4</v>
      </c>
      <c r="BX134" s="235">
        <f t="shared" si="53"/>
        <v>-2.0082675564481178E-4</v>
      </c>
      <c r="BY134" s="235">
        <f t="shared" si="53"/>
        <v>-2.0082675564481178E-4</v>
      </c>
      <c r="BZ134" s="235">
        <f t="shared" si="53"/>
        <v>-2.0082675564481178E-4</v>
      </c>
      <c r="CA134" s="235">
        <f t="shared" si="53"/>
        <v>-2.0082675564481178E-4</v>
      </c>
      <c r="CB134" s="235">
        <f t="shared" si="53"/>
        <v>-2.0082675564481178E-4</v>
      </c>
      <c r="CC134" s="235">
        <f t="shared" si="53"/>
        <v>-2.0082675564481178E-4</v>
      </c>
      <c r="CD134" s="235">
        <f t="shared" si="53"/>
        <v>-2.0082675564481178E-4</v>
      </c>
      <c r="CE134" s="235">
        <f t="shared" si="53"/>
        <v>-2.0082675564481178E-4</v>
      </c>
      <c r="CF134" s="235">
        <f t="shared" si="53"/>
        <v>-2.0082675564481178E-4</v>
      </c>
      <c r="CG134" s="235">
        <f t="shared" si="53"/>
        <v>-2.0082675564481178E-4</v>
      </c>
      <c r="CH134" s="235">
        <f t="shared" si="53"/>
        <v>-2.0082675564481178E-4</v>
      </c>
      <c r="CI134" s="235">
        <f t="shared" si="53"/>
        <v>-2.0082675564481178E-4</v>
      </c>
      <c r="CJ134" s="235">
        <f t="shared" si="53"/>
        <v>-2.0082675564481178E-4</v>
      </c>
      <c r="CK134" s="235">
        <f t="shared" si="53"/>
        <v>-2.0082675564481178E-4</v>
      </c>
      <c r="CL134" s="235">
        <f t="shared" si="53"/>
        <v>-2.0082675564481178E-4</v>
      </c>
      <c r="CM134" s="235">
        <f t="shared" si="53"/>
        <v>-2.0082675564481178E-4</v>
      </c>
      <c r="CN134" s="235">
        <f t="shared" si="53"/>
        <v>-2.0082675564481178E-4</v>
      </c>
      <c r="CO134" s="235">
        <f t="shared" si="53"/>
        <v>-2.0082675564481178E-4</v>
      </c>
      <c r="CP134" s="235">
        <f t="shared" si="53"/>
        <v>-2.0082675564481178E-4</v>
      </c>
      <c r="CQ134" s="235">
        <f t="shared" si="53"/>
        <v>-2.0082675564481178E-4</v>
      </c>
      <c r="CR134" s="235">
        <f t="shared" si="53"/>
        <v>-2.0082675564481178E-4</v>
      </c>
      <c r="CS134" s="235">
        <f t="shared" si="53"/>
        <v>-2.0082675564481178E-4</v>
      </c>
      <c r="CT134" s="235">
        <f t="shared" si="53"/>
        <v>-2.0082675564481178E-4</v>
      </c>
      <c r="CU134" s="235">
        <f t="shared" si="53"/>
        <v>-2.0082675564481178E-4</v>
      </c>
      <c r="CV134" s="235">
        <f t="shared" si="53"/>
        <v>-2.0082675564481178E-4</v>
      </c>
    </row>
    <row r="135" spans="1:100" outlineLevel="1" x14ac:dyDescent="0.2">
      <c r="D135" s="209"/>
      <c r="E135" s="235" t="str">
        <f xml:space="preserve"> E$129</f>
        <v>Total liabilities</v>
      </c>
      <c r="F135" s="235">
        <f t="shared" ref="F135:M135" si="54" xml:space="preserve"> F$129</f>
        <v>0</v>
      </c>
      <c r="G135" s="235" t="str">
        <f t="shared" si="54"/>
        <v>$ 000s</v>
      </c>
      <c r="H135" s="235">
        <f t="shared" si="54"/>
        <v>0</v>
      </c>
      <c r="I135" s="235">
        <f t="shared" si="54"/>
        <v>0</v>
      </c>
      <c r="J135" s="235">
        <f t="shared" si="54"/>
        <v>38655.01232134179</v>
      </c>
      <c r="K135" s="235">
        <f t="shared" si="54"/>
        <v>110586.75689414167</v>
      </c>
      <c r="L135" s="235">
        <f t="shared" si="54"/>
        <v>183700.42528235295</v>
      </c>
      <c r="M135" s="235">
        <f t="shared" si="54"/>
        <v>258114.31294635369</v>
      </c>
      <c r="N135" s="235">
        <f t="shared" ref="N135:AS135" si="55" xml:space="preserve"> N$129</f>
        <v>336808.10536716809</v>
      </c>
      <c r="O135" s="235">
        <f t="shared" si="55"/>
        <v>327776.45124683314</v>
      </c>
      <c r="P135" s="235">
        <f t="shared" si="55"/>
        <v>319715.03736910562</v>
      </c>
      <c r="Q135" s="235">
        <f t="shared" si="55"/>
        <v>311481.97355304356</v>
      </c>
      <c r="R135" s="235">
        <f t="shared" si="55"/>
        <v>303419.88438566437</v>
      </c>
      <c r="S135" s="235">
        <f t="shared" si="55"/>
        <v>295186.44459854264</v>
      </c>
      <c r="T135" s="235">
        <f t="shared" si="55"/>
        <v>287131.18729709421</v>
      </c>
      <c r="U135" s="235">
        <f t="shared" si="55"/>
        <v>278889.84145839146</v>
      </c>
      <c r="V135" s="235">
        <f t="shared" si="55"/>
        <v>270791.52454826876</v>
      </c>
      <c r="W135" s="235">
        <f t="shared" si="55"/>
        <v>262592.14074893296</v>
      </c>
      <c r="X135" s="235">
        <f t="shared" si="55"/>
        <v>254527.96026205691</v>
      </c>
      <c r="Y135" s="235">
        <f t="shared" si="55"/>
        <v>246293.31861592189</v>
      </c>
      <c r="Z135" s="235">
        <f t="shared" si="55"/>
        <v>238228.41844297727</v>
      </c>
      <c r="AA135" s="235">
        <f t="shared" si="55"/>
        <v>229993.35072580999</v>
      </c>
      <c r="AB135" s="235">
        <f t="shared" si="55"/>
        <v>221934.99085351318</v>
      </c>
      <c r="AC135" s="235">
        <f t="shared" si="55"/>
        <v>213692.21226033638</v>
      </c>
      <c r="AD135" s="235">
        <f t="shared" si="55"/>
        <v>205591.41112152813</v>
      </c>
      <c r="AE135" s="235">
        <f t="shared" si="55"/>
        <v>197389.8779010814</v>
      </c>
      <c r="AF135" s="235">
        <f t="shared" si="55"/>
        <v>189322.74761621415</v>
      </c>
      <c r="AG135" s="235">
        <f t="shared" si="55"/>
        <v>181086.32182727632</v>
      </c>
      <c r="AH135" s="235">
        <f t="shared" si="55"/>
        <v>173018.42366615147</v>
      </c>
      <c r="AI135" s="235">
        <f t="shared" si="55"/>
        <v>164781.51769119682</v>
      </c>
      <c r="AJ135" s="235">
        <f t="shared" si="55"/>
        <v>156719.85083942316</v>
      </c>
      <c r="AK135" s="235">
        <f t="shared" si="55"/>
        <v>148475.43861706503</v>
      </c>
      <c r="AL135" s="235">
        <f t="shared" si="55"/>
        <v>140371.96725375584</v>
      </c>
      <c r="AM135" s="235">
        <f t="shared" si="55"/>
        <v>132168.05719609975</v>
      </c>
      <c r="AN135" s="235">
        <f t="shared" si="55"/>
        <v>124097.77826159158</v>
      </c>
      <c r="AO135" s="235">
        <f t="shared" si="55"/>
        <v>115859.3454679283</v>
      </c>
      <c r="AP135" s="235">
        <f t="shared" si="55"/>
        <v>107788.246341772</v>
      </c>
      <c r="AQ135" s="235">
        <f t="shared" si="55"/>
        <v>99549.27564627731</v>
      </c>
      <c r="AR135" s="235">
        <f t="shared" si="55"/>
        <v>91484.080898567627</v>
      </c>
      <c r="AS135" s="235">
        <f t="shared" si="55"/>
        <v>83237.818876847989</v>
      </c>
      <c r="AT135" s="235">
        <f t="shared" ref="AT135:BY135" si="56" xml:space="preserve"> AT$129</f>
        <v>75131.477623343395</v>
      </c>
      <c r="AU135" s="235">
        <f t="shared" si="56"/>
        <v>62065.024659326751</v>
      </c>
      <c r="AV135" s="235">
        <f t="shared" si="56"/>
        <v>49183.716674668845</v>
      </c>
      <c r="AW135" s="235">
        <f t="shared" si="56"/>
        <v>41712.357607213286</v>
      </c>
      <c r="AX135" s="235">
        <f t="shared" si="56"/>
        <v>34406.914323213947</v>
      </c>
      <c r="AY135" s="235">
        <f t="shared" si="56"/>
        <v>26935.73148927663</v>
      </c>
      <c r="AZ135" s="235">
        <f t="shared" si="56"/>
        <v>19630.17200530041</v>
      </c>
      <c r="BA135" s="235">
        <f t="shared" si="56"/>
        <v>12159.165115566022</v>
      </c>
      <c r="BB135" s="235">
        <f t="shared" si="56"/>
        <v>-2.0082652918063104E-4</v>
      </c>
      <c r="BC135" s="235">
        <f t="shared" si="56"/>
        <v>-2.0082652918063104E-4</v>
      </c>
      <c r="BD135" s="235">
        <f t="shared" si="56"/>
        <v>-2.0082652918063104E-4</v>
      </c>
      <c r="BE135" s="235">
        <f t="shared" si="56"/>
        <v>-2.0082652918063104E-4</v>
      </c>
      <c r="BF135" s="235">
        <f t="shared" si="56"/>
        <v>-2.0082652918063104E-4</v>
      </c>
      <c r="BG135" s="235">
        <f t="shared" si="56"/>
        <v>-2.0082652918063104E-4</v>
      </c>
      <c r="BH135" s="235">
        <f t="shared" si="56"/>
        <v>-2.0082652918063104E-4</v>
      </c>
      <c r="BI135" s="235">
        <f t="shared" si="56"/>
        <v>-2.0082652918063104E-4</v>
      </c>
      <c r="BJ135" s="235">
        <f t="shared" si="56"/>
        <v>-2.0082652918063104E-4</v>
      </c>
      <c r="BK135" s="235">
        <f t="shared" si="56"/>
        <v>-2.0082652918063104E-4</v>
      </c>
      <c r="BL135" s="235">
        <f t="shared" si="56"/>
        <v>-2.0082652918063104E-4</v>
      </c>
      <c r="BM135" s="235">
        <f t="shared" si="56"/>
        <v>-2.0082652918063104E-4</v>
      </c>
      <c r="BN135" s="235">
        <f t="shared" si="56"/>
        <v>-2.0082652918063104E-4</v>
      </c>
      <c r="BO135" s="235">
        <f t="shared" si="56"/>
        <v>-2.0082652918063104E-4</v>
      </c>
      <c r="BP135" s="235">
        <f t="shared" si="56"/>
        <v>-2.0082652918063104E-4</v>
      </c>
      <c r="BQ135" s="235">
        <f t="shared" si="56"/>
        <v>-2.0082652918063104E-4</v>
      </c>
      <c r="BR135" s="235">
        <f t="shared" si="56"/>
        <v>-2.0082652918063104E-4</v>
      </c>
      <c r="BS135" s="235">
        <f t="shared" si="56"/>
        <v>-2.0082652918063104E-4</v>
      </c>
      <c r="BT135" s="235">
        <f t="shared" si="56"/>
        <v>-2.0082652918063104E-4</v>
      </c>
      <c r="BU135" s="235">
        <f t="shared" si="56"/>
        <v>-2.0082652918063104E-4</v>
      </c>
      <c r="BV135" s="235">
        <f t="shared" si="56"/>
        <v>-2.0082652918063104E-4</v>
      </c>
      <c r="BW135" s="235">
        <f t="shared" si="56"/>
        <v>-2.0082652918063104E-4</v>
      </c>
      <c r="BX135" s="235">
        <f t="shared" si="56"/>
        <v>-2.0082652918063104E-4</v>
      </c>
      <c r="BY135" s="235">
        <f t="shared" si="56"/>
        <v>-2.0082652918063104E-4</v>
      </c>
      <c r="BZ135" s="235">
        <f t="shared" ref="BZ135:CV135" si="57" xml:space="preserve"> BZ$129</f>
        <v>-2.0082652918063104E-4</v>
      </c>
      <c r="CA135" s="235">
        <f t="shared" si="57"/>
        <v>-2.0082652918063104E-4</v>
      </c>
      <c r="CB135" s="235">
        <f t="shared" si="57"/>
        <v>-2.0082652918063104E-4</v>
      </c>
      <c r="CC135" s="235">
        <f t="shared" si="57"/>
        <v>-2.0082652918063104E-4</v>
      </c>
      <c r="CD135" s="235">
        <f t="shared" si="57"/>
        <v>-2.0082652918063104E-4</v>
      </c>
      <c r="CE135" s="235">
        <f t="shared" si="57"/>
        <v>-2.0082652918063104E-4</v>
      </c>
      <c r="CF135" s="235">
        <f t="shared" si="57"/>
        <v>-2.0082652918063104E-4</v>
      </c>
      <c r="CG135" s="235">
        <f t="shared" si="57"/>
        <v>-2.0082652918063104E-4</v>
      </c>
      <c r="CH135" s="235">
        <f t="shared" si="57"/>
        <v>-2.0082652918063104E-4</v>
      </c>
      <c r="CI135" s="235">
        <f t="shared" si="57"/>
        <v>-2.0082652918063104E-4</v>
      </c>
      <c r="CJ135" s="235">
        <f t="shared" si="57"/>
        <v>-2.0082652918063104E-4</v>
      </c>
      <c r="CK135" s="235">
        <f t="shared" si="57"/>
        <v>-2.0082652918063104E-4</v>
      </c>
      <c r="CL135" s="235">
        <f t="shared" si="57"/>
        <v>-2.0082652918063104E-4</v>
      </c>
      <c r="CM135" s="235">
        <f t="shared" si="57"/>
        <v>-2.0082652918063104E-4</v>
      </c>
      <c r="CN135" s="235">
        <f t="shared" si="57"/>
        <v>-2.0082652918063104E-4</v>
      </c>
      <c r="CO135" s="235">
        <f t="shared" si="57"/>
        <v>-2.0082652918063104E-4</v>
      </c>
      <c r="CP135" s="235">
        <f t="shared" si="57"/>
        <v>-2.0082652918063104E-4</v>
      </c>
      <c r="CQ135" s="235">
        <f t="shared" si="57"/>
        <v>-2.0082652918063104E-4</v>
      </c>
      <c r="CR135" s="235">
        <f t="shared" si="57"/>
        <v>-2.0082652918063104E-4</v>
      </c>
      <c r="CS135" s="235">
        <f t="shared" si="57"/>
        <v>-2.0082652918063104E-4</v>
      </c>
      <c r="CT135" s="235">
        <f t="shared" si="57"/>
        <v>-2.0082652918063104E-4</v>
      </c>
      <c r="CU135" s="235">
        <f t="shared" si="57"/>
        <v>-2.0082652918063104E-4</v>
      </c>
      <c r="CV135" s="235">
        <f t="shared" si="57"/>
        <v>-2.0082652918063104E-4</v>
      </c>
    </row>
    <row r="136" spans="1:100" outlineLevel="1" x14ac:dyDescent="0.2">
      <c r="D136" s="209"/>
      <c r="E136" s="192" t="s">
        <v>74</v>
      </c>
      <c r="F136" s="271">
        <f xml:space="preserve"> IF(SUM(J136:CV136) &lt;&gt; 0, 1, 0)</f>
        <v>0</v>
      </c>
      <c r="G136" s="192" t="s">
        <v>20</v>
      </c>
      <c r="H136" s="192"/>
      <c r="I136" s="192"/>
      <c r="J136" s="271">
        <f t="shared" ref="J136:AO136" si="58" xml:space="preserve"> IF(ABS(J134 - J135) &gt; CHK_TOL, 1, 0)</f>
        <v>0</v>
      </c>
      <c r="K136" s="271">
        <f t="shared" si="58"/>
        <v>0</v>
      </c>
      <c r="L136" s="271">
        <f t="shared" si="58"/>
        <v>0</v>
      </c>
      <c r="M136" s="271">
        <f t="shared" si="58"/>
        <v>0</v>
      </c>
      <c r="N136" s="271">
        <f t="shared" si="58"/>
        <v>0</v>
      </c>
      <c r="O136" s="271">
        <f t="shared" si="58"/>
        <v>0</v>
      </c>
      <c r="P136" s="271">
        <f t="shared" si="58"/>
        <v>0</v>
      </c>
      <c r="Q136" s="271">
        <f t="shared" si="58"/>
        <v>0</v>
      </c>
      <c r="R136" s="271">
        <f t="shared" si="58"/>
        <v>0</v>
      </c>
      <c r="S136" s="271">
        <f t="shared" si="58"/>
        <v>0</v>
      </c>
      <c r="T136" s="271">
        <f t="shared" si="58"/>
        <v>0</v>
      </c>
      <c r="U136" s="271">
        <f t="shared" si="58"/>
        <v>0</v>
      </c>
      <c r="V136" s="271">
        <f t="shared" si="58"/>
        <v>0</v>
      </c>
      <c r="W136" s="271">
        <f t="shared" si="58"/>
        <v>0</v>
      </c>
      <c r="X136" s="271">
        <f t="shared" si="58"/>
        <v>0</v>
      </c>
      <c r="Y136" s="271">
        <f t="shared" si="58"/>
        <v>0</v>
      </c>
      <c r="Z136" s="271">
        <f t="shared" si="58"/>
        <v>0</v>
      </c>
      <c r="AA136" s="271">
        <f t="shared" si="58"/>
        <v>0</v>
      </c>
      <c r="AB136" s="271">
        <f t="shared" si="58"/>
        <v>0</v>
      </c>
      <c r="AC136" s="271">
        <f t="shared" si="58"/>
        <v>0</v>
      </c>
      <c r="AD136" s="271">
        <f t="shared" si="58"/>
        <v>0</v>
      </c>
      <c r="AE136" s="271">
        <f t="shared" si="58"/>
        <v>0</v>
      </c>
      <c r="AF136" s="271">
        <f t="shared" si="58"/>
        <v>0</v>
      </c>
      <c r="AG136" s="271">
        <f t="shared" si="58"/>
        <v>0</v>
      </c>
      <c r="AH136" s="271">
        <f t="shared" si="58"/>
        <v>0</v>
      </c>
      <c r="AI136" s="271">
        <f t="shared" si="58"/>
        <v>0</v>
      </c>
      <c r="AJ136" s="271">
        <f t="shared" si="58"/>
        <v>0</v>
      </c>
      <c r="AK136" s="271">
        <f t="shared" si="58"/>
        <v>0</v>
      </c>
      <c r="AL136" s="271">
        <f t="shared" si="58"/>
        <v>0</v>
      </c>
      <c r="AM136" s="271">
        <f t="shared" si="58"/>
        <v>0</v>
      </c>
      <c r="AN136" s="271">
        <f t="shared" si="58"/>
        <v>0</v>
      </c>
      <c r="AO136" s="271">
        <f t="shared" si="58"/>
        <v>0</v>
      </c>
      <c r="AP136" s="271">
        <f t="shared" ref="AP136:BU136" si="59" xml:space="preserve"> IF(ABS(AP134 - AP135) &gt; CHK_TOL, 1, 0)</f>
        <v>0</v>
      </c>
      <c r="AQ136" s="271">
        <f t="shared" si="59"/>
        <v>0</v>
      </c>
      <c r="AR136" s="271">
        <f t="shared" si="59"/>
        <v>0</v>
      </c>
      <c r="AS136" s="271">
        <f t="shared" si="59"/>
        <v>0</v>
      </c>
      <c r="AT136" s="271">
        <f t="shared" si="59"/>
        <v>0</v>
      </c>
      <c r="AU136" s="271">
        <f t="shared" si="59"/>
        <v>0</v>
      </c>
      <c r="AV136" s="271">
        <f t="shared" si="59"/>
        <v>0</v>
      </c>
      <c r="AW136" s="271">
        <f t="shared" si="59"/>
        <v>0</v>
      </c>
      <c r="AX136" s="271">
        <f t="shared" si="59"/>
        <v>0</v>
      </c>
      <c r="AY136" s="271">
        <f t="shared" si="59"/>
        <v>0</v>
      </c>
      <c r="AZ136" s="271">
        <f t="shared" si="59"/>
        <v>0</v>
      </c>
      <c r="BA136" s="271">
        <f t="shared" si="59"/>
        <v>0</v>
      </c>
      <c r="BB136" s="271">
        <f t="shared" si="59"/>
        <v>0</v>
      </c>
      <c r="BC136" s="271">
        <f t="shared" si="59"/>
        <v>0</v>
      </c>
      <c r="BD136" s="271">
        <f t="shared" si="59"/>
        <v>0</v>
      </c>
      <c r="BE136" s="271">
        <f t="shared" si="59"/>
        <v>0</v>
      </c>
      <c r="BF136" s="271">
        <f t="shared" si="59"/>
        <v>0</v>
      </c>
      <c r="BG136" s="271">
        <f t="shared" si="59"/>
        <v>0</v>
      </c>
      <c r="BH136" s="271">
        <f t="shared" si="59"/>
        <v>0</v>
      </c>
      <c r="BI136" s="271">
        <f t="shared" si="59"/>
        <v>0</v>
      </c>
      <c r="BJ136" s="271">
        <f t="shared" si="59"/>
        <v>0</v>
      </c>
      <c r="BK136" s="271">
        <f t="shared" si="59"/>
        <v>0</v>
      </c>
      <c r="BL136" s="271">
        <f t="shared" si="59"/>
        <v>0</v>
      </c>
      <c r="BM136" s="271">
        <f t="shared" si="59"/>
        <v>0</v>
      </c>
      <c r="BN136" s="271">
        <f t="shared" si="59"/>
        <v>0</v>
      </c>
      <c r="BO136" s="271">
        <f t="shared" si="59"/>
        <v>0</v>
      </c>
      <c r="BP136" s="271">
        <f t="shared" si="59"/>
        <v>0</v>
      </c>
      <c r="BQ136" s="271">
        <f t="shared" si="59"/>
        <v>0</v>
      </c>
      <c r="BR136" s="271">
        <f t="shared" si="59"/>
        <v>0</v>
      </c>
      <c r="BS136" s="271">
        <f t="shared" si="59"/>
        <v>0</v>
      </c>
      <c r="BT136" s="271">
        <f t="shared" si="59"/>
        <v>0</v>
      </c>
      <c r="BU136" s="271">
        <f t="shared" si="59"/>
        <v>0</v>
      </c>
      <c r="BV136" s="271">
        <f t="shared" ref="BV136:CV136" si="60" xml:space="preserve"> IF(ABS(BV134 - BV135) &gt; CHK_TOL, 1, 0)</f>
        <v>0</v>
      </c>
      <c r="BW136" s="271">
        <f t="shared" si="60"/>
        <v>0</v>
      </c>
      <c r="BX136" s="271">
        <f t="shared" si="60"/>
        <v>0</v>
      </c>
      <c r="BY136" s="271">
        <f t="shared" si="60"/>
        <v>0</v>
      </c>
      <c r="BZ136" s="271">
        <f t="shared" si="60"/>
        <v>0</v>
      </c>
      <c r="CA136" s="271">
        <f t="shared" si="60"/>
        <v>0</v>
      </c>
      <c r="CB136" s="271">
        <f t="shared" si="60"/>
        <v>0</v>
      </c>
      <c r="CC136" s="271">
        <f t="shared" si="60"/>
        <v>0</v>
      </c>
      <c r="CD136" s="271">
        <f t="shared" si="60"/>
        <v>0</v>
      </c>
      <c r="CE136" s="271">
        <f t="shared" si="60"/>
        <v>0</v>
      </c>
      <c r="CF136" s="271">
        <f t="shared" si="60"/>
        <v>0</v>
      </c>
      <c r="CG136" s="271">
        <f t="shared" si="60"/>
        <v>0</v>
      </c>
      <c r="CH136" s="271">
        <f t="shared" si="60"/>
        <v>0</v>
      </c>
      <c r="CI136" s="271">
        <f t="shared" si="60"/>
        <v>0</v>
      </c>
      <c r="CJ136" s="271">
        <f t="shared" si="60"/>
        <v>0</v>
      </c>
      <c r="CK136" s="271">
        <f t="shared" si="60"/>
        <v>0</v>
      </c>
      <c r="CL136" s="271">
        <f t="shared" si="60"/>
        <v>0</v>
      </c>
      <c r="CM136" s="271">
        <f t="shared" si="60"/>
        <v>0</v>
      </c>
      <c r="CN136" s="271">
        <f t="shared" si="60"/>
        <v>0</v>
      </c>
      <c r="CO136" s="271">
        <f t="shared" si="60"/>
        <v>0</v>
      </c>
      <c r="CP136" s="271">
        <f t="shared" si="60"/>
        <v>0</v>
      </c>
      <c r="CQ136" s="271">
        <f t="shared" si="60"/>
        <v>0</v>
      </c>
      <c r="CR136" s="271">
        <f t="shared" si="60"/>
        <v>0</v>
      </c>
      <c r="CS136" s="271">
        <f t="shared" si="60"/>
        <v>0</v>
      </c>
      <c r="CT136" s="271">
        <f t="shared" si="60"/>
        <v>0</v>
      </c>
      <c r="CU136" s="271">
        <f t="shared" si="60"/>
        <v>0</v>
      </c>
      <c r="CV136" s="271">
        <f t="shared" si="60"/>
        <v>0</v>
      </c>
    </row>
    <row r="137" spans="1:100" s="44" customFormat="1" outlineLevel="1" x14ac:dyDescent="0.2">
      <c r="A137" s="405"/>
      <c r="B137" s="405"/>
      <c r="C137" s="406"/>
      <c r="D137" s="192"/>
      <c r="E137" s="192" t="s">
        <v>75</v>
      </c>
      <c r="F137" s="192"/>
      <c r="G137" s="192" t="str">
        <f xml:space="preserve"> SMU</f>
        <v>$ 000s</v>
      </c>
      <c r="H137" s="192">
        <f xml:space="preserve"> SUM(J137:CV137)</f>
        <v>-1.4685610949527472E-8</v>
      </c>
      <c r="I137" s="192"/>
      <c r="J137" s="192">
        <f xml:space="preserve"> J134 - J135</f>
        <v>0</v>
      </c>
      <c r="K137" s="192">
        <f t="shared" ref="K137:BV137" si="61" xml:space="preserve"> K134 - K135</f>
        <v>0</v>
      </c>
      <c r="L137" s="192">
        <f t="shared" si="61"/>
        <v>0</v>
      </c>
      <c r="M137" s="192">
        <f t="shared" si="61"/>
        <v>0</v>
      </c>
      <c r="N137" s="192">
        <f t="shared" si="61"/>
        <v>0</v>
      </c>
      <c r="O137" s="192">
        <f t="shared" si="61"/>
        <v>0</v>
      </c>
      <c r="P137" s="192">
        <f t="shared" si="61"/>
        <v>0</v>
      </c>
      <c r="Q137" s="192">
        <f t="shared" si="61"/>
        <v>0</v>
      </c>
      <c r="R137" s="192">
        <f t="shared" si="61"/>
        <v>0</v>
      </c>
      <c r="S137" s="192">
        <f t="shared" si="61"/>
        <v>0</v>
      </c>
      <c r="T137" s="192">
        <f t="shared" si="61"/>
        <v>0</v>
      </c>
      <c r="U137" s="192">
        <f t="shared" si="61"/>
        <v>0</v>
      </c>
      <c r="V137" s="192">
        <f t="shared" si="61"/>
        <v>0</v>
      </c>
      <c r="W137" s="192">
        <f t="shared" si="61"/>
        <v>0</v>
      </c>
      <c r="X137" s="192">
        <f t="shared" si="61"/>
        <v>0</v>
      </c>
      <c r="Y137" s="192">
        <f t="shared" si="61"/>
        <v>0</v>
      </c>
      <c r="Z137" s="192">
        <f t="shared" si="61"/>
        <v>0</v>
      </c>
      <c r="AA137" s="192">
        <f t="shared" si="61"/>
        <v>0</v>
      </c>
      <c r="AB137" s="192">
        <f t="shared" si="61"/>
        <v>0</v>
      </c>
      <c r="AC137" s="192">
        <f t="shared" si="61"/>
        <v>0</v>
      </c>
      <c r="AD137" s="192">
        <f t="shared" si="61"/>
        <v>0</v>
      </c>
      <c r="AE137" s="192">
        <f t="shared" si="61"/>
        <v>0</v>
      </c>
      <c r="AF137" s="192">
        <f t="shared" si="61"/>
        <v>0</v>
      </c>
      <c r="AG137" s="192">
        <f t="shared" si="61"/>
        <v>0</v>
      </c>
      <c r="AH137" s="192">
        <f t="shared" si="61"/>
        <v>0</v>
      </c>
      <c r="AI137" s="192">
        <f t="shared" si="61"/>
        <v>-2.3283064365386963E-10</v>
      </c>
      <c r="AJ137" s="192">
        <f t="shared" si="61"/>
        <v>0</v>
      </c>
      <c r="AK137" s="192">
        <f t="shared" si="61"/>
        <v>-2.3283064365386963E-10</v>
      </c>
      <c r="AL137" s="192">
        <f t="shared" si="61"/>
        <v>-2.3283064365386963E-10</v>
      </c>
      <c r="AM137" s="192">
        <f t="shared" si="61"/>
        <v>-2.3283064365386963E-10</v>
      </c>
      <c r="AN137" s="192">
        <f t="shared" si="61"/>
        <v>-2.4738255888223648E-10</v>
      </c>
      <c r="AO137" s="192">
        <f t="shared" si="61"/>
        <v>-2.0372681319713593E-10</v>
      </c>
      <c r="AP137" s="192">
        <f t="shared" si="61"/>
        <v>-2.0372681319713593E-10</v>
      </c>
      <c r="AQ137" s="192">
        <f t="shared" si="61"/>
        <v>-2.4738255888223648E-10</v>
      </c>
      <c r="AR137" s="192">
        <f t="shared" si="61"/>
        <v>-2.3283064365386963E-10</v>
      </c>
      <c r="AS137" s="192">
        <f t="shared" si="61"/>
        <v>-2.1827872842550278E-10</v>
      </c>
      <c r="AT137" s="192">
        <f t="shared" si="61"/>
        <v>-2.1827872842550278E-10</v>
      </c>
      <c r="AU137" s="192">
        <f t="shared" si="61"/>
        <v>-2.4738255888223648E-10</v>
      </c>
      <c r="AV137" s="192">
        <f t="shared" si="61"/>
        <v>-2.4738255888223648E-10</v>
      </c>
      <c r="AW137" s="192">
        <f t="shared" si="61"/>
        <v>-2.1827872842550278E-10</v>
      </c>
      <c r="AX137" s="192">
        <f t="shared" si="61"/>
        <v>-2.1100277081131935E-10</v>
      </c>
      <c r="AY137" s="192">
        <f t="shared" si="61"/>
        <v>-2.1827872842550278E-10</v>
      </c>
      <c r="AZ137" s="192">
        <f t="shared" si="61"/>
        <v>-1.8553691916167736E-10</v>
      </c>
      <c r="BA137" s="192">
        <f t="shared" si="61"/>
        <v>-2.1100277081131935E-10</v>
      </c>
      <c r="BB137" s="192">
        <f t="shared" si="61"/>
        <v>-2.2646418074145913E-10</v>
      </c>
      <c r="BC137" s="192">
        <f t="shared" si="61"/>
        <v>-2.2646418074145913E-10</v>
      </c>
      <c r="BD137" s="192">
        <f t="shared" si="61"/>
        <v>-2.2646418074145913E-10</v>
      </c>
      <c r="BE137" s="192">
        <f t="shared" si="61"/>
        <v>-2.2646418074145913E-10</v>
      </c>
      <c r="BF137" s="192">
        <f t="shared" si="61"/>
        <v>-2.2646418074145913E-10</v>
      </c>
      <c r="BG137" s="192">
        <f t="shared" si="61"/>
        <v>-2.2646418074145913E-10</v>
      </c>
      <c r="BH137" s="192">
        <f t="shared" si="61"/>
        <v>-2.2646418074145913E-10</v>
      </c>
      <c r="BI137" s="192">
        <f t="shared" si="61"/>
        <v>-2.2646418074145913E-10</v>
      </c>
      <c r="BJ137" s="192">
        <f t="shared" si="61"/>
        <v>-2.2646418074145913E-10</v>
      </c>
      <c r="BK137" s="192">
        <f t="shared" si="61"/>
        <v>-2.2646418074145913E-10</v>
      </c>
      <c r="BL137" s="192">
        <f t="shared" si="61"/>
        <v>-2.2646418074145913E-10</v>
      </c>
      <c r="BM137" s="192">
        <f t="shared" si="61"/>
        <v>-2.2646418074145913E-10</v>
      </c>
      <c r="BN137" s="192">
        <f t="shared" si="61"/>
        <v>-2.2646418074145913E-10</v>
      </c>
      <c r="BO137" s="192">
        <f t="shared" si="61"/>
        <v>-2.2646418074145913E-10</v>
      </c>
      <c r="BP137" s="192">
        <f t="shared" si="61"/>
        <v>-2.2646418074145913E-10</v>
      </c>
      <c r="BQ137" s="192">
        <f t="shared" si="61"/>
        <v>-2.2646418074145913E-10</v>
      </c>
      <c r="BR137" s="192">
        <f t="shared" si="61"/>
        <v>-2.2646418074145913E-10</v>
      </c>
      <c r="BS137" s="192">
        <f t="shared" si="61"/>
        <v>-2.2646418074145913E-10</v>
      </c>
      <c r="BT137" s="192">
        <f t="shared" si="61"/>
        <v>-2.2646418074145913E-10</v>
      </c>
      <c r="BU137" s="192">
        <f t="shared" si="61"/>
        <v>-2.2646418074145913E-10</v>
      </c>
      <c r="BV137" s="192">
        <f t="shared" si="61"/>
        <v>-2.2646418074145913E-10</v>
      </c>
      <c r="BW137" s="192">
        <f t="shared" ref="BW137:CV137" si="62" xml:space="preserve"> BW134 - BW135</f>
        <v>-2.2646418074145913E-10</v>
      </c>
      <c r="BX137" s="192">
        <f t="shared" si="62"/>
        <v>-2.2646418074145913E-10</v>
      </c>
      <c r="BY137" s="192">
        <f t="shared" si="62"/>
        <v>-2.2646418074145913E-10</v>
      </c>
      <c r="BZ137" s="192">
        <f t="shared" si="62"/>
        <v>-2.2646418074145913E-10</v>
      </c>
      <c r="CA137" s="192">
        <f t="shared" si="62"/>
        <v>-2.2646418074145913E-10</v>
      </c>
      <c r="CB137" s="192">
        <f t="shared" si="62"/>
        <v>-2.2646418074145913E-10</v>
      </c>
      <c r="CC137" s="192">
        <f t="shared" si="62"/>
        <v>-2.2646418074145913E-10</v>
      </c>
      <c r="CD137" s="192">
        <f t="shared" si="62"/>
        <v>-2.2646418074145913E-10</v>
      </c>
      <c r="CE137" s="192">
        <f t="shared" si="62"/>
        <v>-2.2646418074145913E-10</v>
      </c>
      <c r="CF137" s="192">
        <f t="shared" si="62"/>
        <v>-2.2646418074145913E-10</v>
      </c>
      <c r="CG137" s="192">
        <f t="shared" si="62"/>
        <v>-2.2646418074145913E-10</v>
      </c>
      <c r="CH137" s="192">
        <f t="shared" si="62"/>
        <v>-2.2646418074145913E-10</v>
      </c>
      <c r="CI137" s="192">
        <f t="shared" si="62"/>
        <v>-2.2646418074145913E-10</v>
      </c>
      <c r="CJ137" s="192">
        <f t="shared" si="62"/>
        <v>-2.2646418074145913E-10</v>
      </c>
      <c r="CK137" s="192">
        <f t="shared" si="62"/>
        <v>-2.2646418074145913E-10</v>
      </c>
      <c r="CL137" s="192">
        <f t="shared" si="62"/>
        <v>-2.2646418074145913E-10</v>
      </c>
      <c r="CM137" s="192">
        <f t="shared" si="62"/>
        <v>-2.2646418074145913E-10</v>
      </c>
      <c r="CN137" s="192">
        <f t="shared" si="62"/>
        <v>-2.2646418074145913E-10</v>
      </c>
      <c r="CO137" s="192">
        <f t="shared" si="62"/>
        <v>-2.2646418074145913E-10</v>
      </c>
      <c r="CP137" s="192">
        <f t="shared" si="62"/>
        <v>-2.2646418074145913E-10</v>
      </c>
      <c r="CQ137" s="192">
        <f t="shared" si="62"/>
        <v>-2.2646418074145913E-10</v>
      </c>
      <c r="CR137" s="192">
        <f t="shared" si="62"/>
        <v>-2.2646418074145913E-10</v>
      </c>
      <c r="CS137" s="192">
        <f t="shared" si="62"/>
        <v>-2.2646418074145913E-10</v>
      </c>
      <c r="CT137" s="192">
        <f t="shared" si="62"/>
        <v>-2.2646418074145913E-10</v>
      </c>
      <c r="CU137" s="192">
        <f t="shared" si="62"/>
        <v>-2.2646418074145913E-10</v>
      </c>
      <c r="CV137" s="192">
        <f t="shared" si="62"/>
        <v>-2.2646418074145913E-10</v>
      </c>
    </row>
    <row r="138" spans="1:100" outlineLevel="1" x14ac:dyDescent="0.2">
      <c r="D138" s="209"/>
      <c r="E138" s="235"/>
      <c r="F138" s="235"/>
      <c r="G138" s="235"/>
      <c r="H138" s="235"/>
      <c r="I138" s="235"/>
      <c r="J138" s="235"/>
      <c r="K138" s="235"/>
      <c r="L138" s="235"/>
      <c r="M138" s="235"/>
      <c r="N138" s="235"/>
      <c r="O138" s="235"/>
      <c r="P138" s="235"/>
      <c r="Q138" s="235"/>
      <c r="R138" s="235"/>
      <c r="S138" s="235"/>
      <c r="T138" s="235"/>
      <c r="U138" s="235"/>
      <c r="V138" s="235"/>
      <c r="W138" s="235"/>
      <c r="X138" s="235"/>
      <c r="Y138" s="235"/>
      <c r="Z138" s="235"/>
      <c r="AA138" s="235"/>
      <c r="AB138" s="235"/>
      <c r="AC138" s="235"/>
      <c r="AD138" s="235"/>
      <c r="AE138" s="235"/>
      <c r="AF138" s="235"/>
      <c r="AG138" s="235"/>
      <c r="AH138" s="235"/>
      <c r="AI138" s="235"/>
      <c r="AJ138" s="235"/>
      <c r="AK138" s="235"/>
      <c r="AL138" s="235"/>
      <c r="AM138" s="235"/>
      <c r="AN138" s="235"/>
      <c r="AO138" s="235"/>
      <c r="AP138" s="235"/>
      <c r="AQ138" s="235"/>
      <c r="AR138" s="235"/>
      <c r="AS138" s="235"/>
      <c r="AT138" s="235"/>
      <c r="AU138" s="235"/>
      <c r="AV138" s="235"/>
      <c r="AW138" s="235"/>
      <c r="AX138" s="235"/>
      <c r="AY138" s="235"/>
      <c r="AZ138" s="235"/>
      <c r="BA138" s="235"/>
      <c r="BB138" s="235"/>
      <c r="BC138" s="235"/>
      <c r="BD138" s="235"/>
      <c r="BE138" s="235"/>
      <c r="BF138" s="235"/>
      <c r="BG138" s="235"/>
      <c r="BH138" s="235"/>
      <c r="BI138" s="235"/>
      <c r="BJ138" s="235"/>
      <c r="BK138" s="235"/>
      <c r="BL138" s="235"/>
      <c r="BM138" s="235"/>
      <c r="BN138" s="235"/>
      <c r="BO138" s="235"/>
      <c r="BP138" s="235"/>
      <c r="BQ138" s="235"/>
      <c r="BR138" s="235"/>
      <c r="BS138" s="235"/>
      <c r="BT138" s="235"/>
      <c r="BU138" s="235"/>
      <c r="BV138" s="235"/>
      <c r="BW138" s="235"/>
      <c r="BX138" s="235"/>
      <c r="BY138" s="235"/>
      <c r="BZ138" s="235"/>
      <c r="CA138" s="235"/>
      <c r="CB138" s="235"/>
      <c r="CC138" s="235"/>
      <c r="CD138" s="235"/>
      <c r="CE138" s="235"/>
      <c r="CF138" s="235"/>
      <c r="CG138" s="235"/>
      <c r="CH138" s="235"/>
      <c r="CI138" s="235"/>
      <c r="CJ138" s="235"/>
      <c r="CK138" s="235"/>
      <c r="CL138" s="235"/>
      <c r="CM138" s="235"/>
      <c r="CN138" s="235"/>
      <c r="CO138" s="235"/>
      <c r="CP138" s="235"/>
      <c r="CQ138" s="235"/>
      <c r="CR138" s="235"/>
      <c r="CS138" s="235"/>
      <c r="CT138" s="235"/>
      <c r="CU138" s="235"/>
      <c r="CV138" s="235"/>
    </row>
    <row r="139" spans="1:100" x14ac:dyDescent="0.2">
      <c r="D139" s="209"/>
      <c r="E139" s="235"/>
      <c r="F139" s="235"/>
      <c r="G139" s="235"/>
      <c r="H139" s="235"/>
      <c r="I139" s="235"/>
      <c r="J139" s="235"/>
      <c r="K139" s="235"/>
      <c r="L139" s="235"/>
      <c r="M139" s="235"/>
      <c r="N139" s="235"/>
      <c r="O139" s="235"/>
      <c r="P139" s="235"/>
      <c r="Q139" s="235"/>
      <c r="R139" s="235"/>
      <c r="S139" s="235"/>
      <c r="T139" s="235"/>
      <c r="U139" s="235"/>
      <c r="V139" s="235"/>
      <c r="W139" s="235"/>
      <c r="X139" s="235"/>
      <c r="Y139" s="235"/>
      <c r="Z139" s="235"/>
      <c r="AA139" s="235"/>
      <c r="AB139" s="235"/>
      <c r="AC139" s="235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  <c r="AS139" s="235"/>
      <c r="AT139" s="235"/>
      <c r="AU139" s="235"/>
      <c r="AV139" s="235"/>
      <c r="AW139" s="235"/>
      <c r="AX139" s="235"/>
      <c r="AY139" s="235"/>
      <c r="AZ139" s="235"/>
      <c r="BA139" s="235"/>
      <c r="BB139" s="235"/>
      <c r="BC139" s="235"/>
      <c r="BD139" s="235"/>
      <c r="BE139" s="235"/>
      <c r="BF139" s="235"/>
      <c r="BG139" s="235"/>
      <c r="BH139" s="235"/>
      <c r="BI139" s="235"/>
      <c r="BJ139" s="235"/>
      <c r="BK139" s="235"/>
      <c r="BL139" s="235"/>
      <c r="BM139" s="235"/>
      <c r="BN139" s="235"/>
      <c r="BO139" s="235"/>
      <c r="BP139" s="235"/>
      <c r="BQ139" s="235"/>
      <c r="BR139" s="235"/>
      <c r="BS139" s="235"/>
      <c r="BT139" s="235"/>
      <c r="BU139" s="235"/>
      <c r="BV139" s="235"/>
      <c r="BW139" s="235"/>
      <c r="BX139" s="235"/>
      <c r="BY139" s="235"/>
      <c r="BZ139" s="235"/>
      <c r="CA139" s="235"/>
      <c r="CB139" s="235"/>
      <c r="CC139" s="235"/>
      <c r="CD139" s="235"/>
      <c r="CE139" s="235"/>
      <c r="CF139" s="235"/>
      <c r="CG139" s="235"/>
      <c r="CH139" s="235"/>
      <c r="CI139" s="235"/>
      <c r="CJ139" s="235"/>
      <c r="CK139" s="235"/>
      <c r="CL139" s="235"/>
      <c r="CM139" s="235"/>
      <c r="CN139" s="235"/>
      <c r="CO139" s="235"/>
      <c r="CP139" s="235"/>
      <c r="CQ139" s="235"/>
      <c r="CR139" s="235"/>
      <c r="CS139" s="235"/>
      <c r="CT139" s="235"/>
      <c r="CU139" s="235"/>
      <c r="CV139" s="235"/>
    </row>
    <row r="140" spans="1:100" x14ac:dyDescent="0.2">
      <c r="A140" s="205" t="s">
        <v>62</v>
      </c>
      <c r="D140" s="209"/>
      <c r="E140" s="235"/>
      <c r="F140" s="235"/>
      <c r="G140" s="235"/>
      <c r="H140" s="235"/>
      <c r="I140" s="235"/>
      <c r="J140" s="235"/>
      <c r="K140" s="235"/>
      <c r="L140" s="235"/>
      <c r="M140" s="235"/>
      <c r="N140" s="235"/>
      <c r="O140" s="235"/>
      <c r="P140" s="235"/>
      <c r="Q140" s="235"/>
      <c r="R140" s="235"/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235"/>
      <c r="AE140" s="235"/>
      <c r="AF140" s="235"/>
      <c r="AG140" s="235"/>
      <c r="AH140" s="235"/>
      <c r="AI140" s="235"/>
      <c r="AJ140" s="235"/>
      <c r="AK140" s="235"/>
      <c r="AL140" s="235"/>
      <c r="AM140" s="235"/>
      <c r="AN140" s="235"/>
      <c r="AO140" s="235"/>
      <c r="AP140" s="235"/>
      <c r="AQ140" s="235"/>
      <c r="AR140" s="235"/>
      <c r="AS140" s="235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  <c r="BG140" s="235"/>
      <c r="BH140" s="235"/>
      <c r="BI140" s="235"/>
      <c r="BJ140" s="235"/>
      <c r="BK140" s="235"/>
      <c r="BL140" s="235"/>
      <c r="BM140" s="235"/>
      <c r="BN140" s="235"/>
      <c r="BO140" s="235"/>
      <c r="BP140" s="235"/>
      <c r="BQ140" s="235"/>
      <c r="BR140" s="235"/>
      <c r="BS140" s="235"/>
      <c r="BT140" s="235"/>
      <c r="BU140" s="235"/>
      <c r="BV140" s="235"/>
      <c r="BW140" s="235"/>
      <c r="BX140" s="235"/>
      <c r="BY140" s="235"/>
      <c r="BZ140" s="235"/>
      <c r="CA140" s="235"/>
      <c r="CB140" s="235"/>
      <c r="CC140" s="235"/>
      <c r="CD140" s="235"/>
      <c r="CE140" s="235"/>
      <c r="CF140" s="235"/>
      <c r="CG140" s="235"/>
      <c r="CH140" s="235"/>
      <c r="CI140" s="235"/>
      <c r="CJ140" s="235"/>
      <c r="CK140" s="235"/>
      <c r="CL140" s="235"/>
      <c r="CM140" s="235"/>
      <c r="CN140" s="235"/>
      <c r="CO140" s="235"/>
      <c r="CP140" s="235"/>
      <c r="CQ140" s="235"/>
      <c r="CR140" s="235"/>
      <c r="CS140" s="235"/>
      <c r="CT140" s="235"/>
      <c r="CU140" s="235"/>
      <c r="CV140" s="235"/>
    </row>
    <row r="144" spans="1:100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</sheetData>
  <conditionalFormatting sqref="J136:CV136">
    <cfRule type="cellIs" dxfId="1058" priority="10" stopIfTrue="1" operator="notEqual">
      <formula>0</formula>
    </cfRule>
    <cfRule type="cellIs" dxfId="1057" priority="11" stopIfTrue="1" operator="equal">
      <formula>""</formula>
    </cfRule>
  </conditionalFormatting>
  <conditionalFormatting sqref="J136:CV136">
    <cfRule type="cellIs" dxfId="1056" priority="12" stopIfTrue="1" operator="notEqual">
      <formula>0</formula>
    </cfRule>
    <cfRule type="cellIs" dxfId="1055" priority="13" stopIfTrue="1" operator="equal">
      <formula>""</formula>
    </cfRule>
  </conditionalFormatting>
  <conditionalFormatting sqref="F136">
    <cfRule type="cellIs" dxfId="1054" priority="14" stopIfTrue="1" operator="notEqual">
      <formula>0</formula>
    </cfRule>
    <cfRule type="cellIs" dxfId="1053" priority="15" stopIfTrue="1" operator="equal">
      <formula>""</formula>
    </cfRule>
  </conditionalFormatting>
  <conditionalFormatting sqref="F136">
    <cfRule type="cellIs" dxfId="1052" priority="16" stopIfTrue="1" operator="notEqual">
      <formula>0</formula>
    </cfRule>
    <cfRule type="cellIs" dxfId="1051" priority="17" stopIfTrue="1" operator="equal">
      <formula>""</formula>
    </cfRule>
  </conditionalFormatting>
  <conditionalFormatting sqref="J3:CV3">
    <cfRule type="cellIs" dxfId="1050" priority="8" stopIfTrue="1" operator="equal">
      <formula>"Construction"</formula>
    </cfRule>
    <cfRule type="cellIs" dxfId="1049" priority="9" stopIfTrue="1" operator="equal">
      <formula>"Operations"</formula>
    </cfRule>
  </conditionalFormatting>
  <conditionalFormatting sqref="J3:CV3">
    <cfRule type="cellIs" dxfId="1048" priority="7" operator="equal">
      <formula>"Fin Close"</formula>
    </cfRule>
  </conditionalFormatting>
  <conditionalFormatting sqref="J3:CV3">
    <cfRule type="cellIs" dxfId="1047" priority="5" operator="equal">
      <formula>"PPA ext."</formula>
    </cfRule>
    <cfRule type="cellIs" dxfId="1046" priority="6" operator="equal">
      <formula>"Delay"</formula>
    </cfRule>
  </conditionalFormatting>
  <conditionalFormatting sqref="F2:F4">
    <cfRule type="cellIs" dxfId="1045" priority="1" stopIfTrue="1" operator="notEqual">
      <formula>0</formula>
    </cfRule>
    <cfRule type="cellIs" dxfId="1044" priority="2" stopIfTrue="1" operator="equal">
      <formula>""</formula>
    </cfRule>
  </conditionalFormatting>
  <conditionalFormatting sqref="F2:F4">
    <cfRule type="cellIs" dxfId="1043" priority="3" stopIfTrue="1" operator="notEqual">
      <formula>0</formula>
    </cfRule>
    <cfRule type="cellIs" dxfId="104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0782-9CBB-4992-88EB-B378D8AC75F3}">
  <sheetPr codeName="Sheet7">
    <tabColor theme="4"/>
    <outlinePr summaryBelow="0" summaryRight="0"/>
    <pageSetUpPr autoPageBreaks="0"/>
  </sheetPr>
  <dimension ref="A1:GJ152"/>
  <sheetViews>
    <sheetView showFormulas="1" showGridLines="0" defaultGridColor="0" colorId="22" zoomScale="75" zoomScaleNormal="75" zoomScalePageLayoutView="120" workbookViewId="0">
      <pane xSplit="9" ySplit="5" topLeftCell="J126" activePane="bottomRight" state="frozen"/>
      <selection activeCell="N7" sqref="N7"/>
      <selection pane="topRight" activeCell="N7" sqref="N7"/>
      <selection pane="bottomLeft" activeCell="N7" sqref="N7"/>
      <selection pane="bottomRight" activeCell="M9" sqref="M9"/>
    </sheetView>
  </sheetViews>
  <sheetFormatPr defaultColWidth="0" defaultRowHeight="12.75" zeroHeight="1" outlineLevelRow="2" x14ac:dyDescent="0.2"/>
  <cols>
    <col min="1" max="2" width="1.28515625" style="205" customWidth="1"/>
    <col min="3" max="3" width="1.28515625" style="206" customWidth="1"/>
    <col min="4" max="4" width="1.28515625" style="207" customWidth="1"/>
    <col min="5" max="5" width="40.5703125" style="234" customWidth="1"/>
    <col min="6" max="6" width="12.5703125" style="234" customWidth="1"/>
    <col min="7" max="8" width="11.5703125" style="234" customWidth="1"/>
    <col min="9" max="9" width="2.5703125" style="234" customWidth="1"/>
    <col min="10" max="10" width="12.7109375" style="234" bestFit="1" customWidth="1"/>
    <col min="11" max="100" width="11.5703125" style="234" customWidth="1"/>
    <col min="101" max="192" width="0" hidden="1" customWidth="1"/>
    <col min="193" max="16384" width="11.5703125" hidden="1"/>
  </cols>
  <sheetData>
    <row r="1" spans="1:100" ht="26.25" x14ac:dyDescent="0.2">
      <c r="A1" s="290" t="str">
        <f ca="1" xml:space="preserve"> RIGHT(CELL("filename", A1), LEN(CELL("filename", A1)) - SEARCH("]", CELL("filename", A1))) &amp; " - " &amp; InpC!F3</f>
        <v>FS Semi_P99 - Base case 1</v>
      </c>
      <c r="D1" s="209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">
      <c r="A2" s="291"/>
      <c r="B2" s="291"/>
      <c r="C2" s="292"/>
      <c r="D2" s="293"/>
      <c r="E2" s="442" t="str">
        <f xml:space="preserve"> Time!E$25</f>
        <v>Model period ending</v>
      </c>
      <c r="F2" s="271">
        <f ca="1" xml:space="preserve"> Check!$F$9</f>
        <v>1</v>
      </c>
      <c r="G2" s="444" t="s">
        <v>23</v>
      </c>
      <c r="H2" s="294"/>
      <c r="I2" s="294"/>
      <c r="J2" s="294">
        <f xml:space="preserve"> Time!J$25</f>
        <v>44742</v>
      </c>
      <c r="K2" s="294">
        <f xml:space="preserve"> Time!K$25</f>
        <v>44926</v>
      </c>
      <c r="L2" s="294">
        <f xml:space="preserve"> Time!L$25</f>
        <v>45107</v>
      </c>
      <c r="M2" s="294">
        <f xml:space="preserve"> Time!M$25</f>
        <v>45291</v>
      </c>
      <c r="N2" s="294">
        <f xml:space="preserve"> Time!N$25</f>
        <v>45473</v>
      </c>
      <c r="O2" s="294">
        <f xml:space="preserve"> Time!O$25</f>
        <v>45657</v>
      </c>
      <c r="P2" s="294">
        <f xml:space="preserve"> Time!P$25</f>
        <v>45838</v>
      </c>
      <c r="Q2" s="294">
        <f xml:space="preserve"> Time!Q$25</f>
        <v>46022</v>
      </c>
      <c r="R2" s="294">
        <f xml:space="preserve"> Time!R$25</f>
        <v>46203</v>
      </c>
      <c r="S2" s="294">
        <f xml:space="preserve"> Time!S$25</f>
        <v>46387</v>
      </c>
      <c r="T2" s="294">
        <f xml:space="preserve"> Time!T$25</f>
        <v>46568</v>
      </c>
      <c r="U2" s="294">
        <f xml:space="preserve"> Time!U$25</f>
        <v>46752</v>
      </c>
      <c r="V2" s="294">
        <f xml:space="preserve"> Time!V$25</f>
        <v>46934</v>
      </c>
      <c r="W2" s="294">
        <f xml:space="preserve"> Time!W$25</f>
        <v>47118</v>
      </c>
      <c r="X2" s="294">
        <f xml:space="preserve"> Time!X$25</f>
        <v>47299</v>
      </c>
      <c r="Y2" s="294">
        <f xml:space="preserve"> Time!Y$25</f>
        <v>47483</v>
      </c>
      <c r="Z2" s="294">
        <f xml:space="preserve"> Time!Z$25</f>
        <v>47664</v>
      </c>
      <c r="AA2" s="294">
        <f xml:space="preserve"> Time!AA$25</f>
        <v>47848</v>
      </c>
      <c r="AB2" s="294">
        <f xml:space="preserve"> Time!AB$25</f>
        <v>48029</v>
      </c>
      <c r="AC2" s="294">
        <f xml:space="preserve"> Time!AC$25</f>
        <v>48213</v>
      </c>
      <c r="AD2" s="294">
        <f xml:space="preserve"> Time!AD$25</f>
        <v>48395</v>
      </c>
      <c r="AE2" s="294">
        <f xml:space="preserve"> Time!AE$25</f>
        <v>48579</v>
      </c>
      <c r="AF2" s="294">
        <f xml:space="preserve"> Time!AF$25</f>
        <v>48760</v>
      </c>
      <c r="AG2" s="294">
        <f xml:space="preserve"> Time!AG$25</f>
        <v>48944</v>
      </c>
      <c r="AH2" s="294">
        <f xml:space="preserve"> Time!AH$25</f>
        <v>49125</v>
      </c>
      <c r="AI2" s="294">
        <f xml:space="preserve"> Time!AI$25</f>
        <v>49309</v>
      </c>
      <c r="AJ2" s="294">
        <f xml:space="preserve"> Time!AJ$25</f>
        <v>49490</v>
      </c>
      <c r="AK2" s="294">
        <f xml:space="preserve"> Time!AK$25</f>
        <v>49674</v>
      </c>
      <c r="AL2" s="294">
        <f xml:space="preserve"> Time!AL$25</f>
        <v>49856</v>
      </c>
      <c r="AM2" s="294">
        <f xml:space="preserve"> Time!AM$25</f>
        <v>50040</v>
      </c>
      <c r="AN2" s="294">
        <f xml:space="preserve"> Time!AN$25</f>
        <v>50221</v>
      </c>
      <c r="AO2" s="294">
        <f xml:space="preserve"> Time!AO$25</f>
        <v>50405</v>
      </c>
      <c r="AP2" s="294">
        <f xml:space="preserve"> Time!AP$25</f>
        <v>50586</v>
      </c>
      <c r="AQ2" s="294">
        <f xml:space="preserve"> Time!AQ$25</f>
        <v>50770</v>
      </c>
      <c r="AR2" s="294">
        <f xml:space="preserve"> Time!AR$25</f>
        <v>50951</v>
      </c>
      <c r="AS2" s="294">
        <f xml:space="preserve"> Time!AS$25</f>
        <v>51135</v>
      </c>
      <c r="AT2" s="294">
        <f xml:space="preserve"> Time!AT$25</f>
        <v>51317</v>
      </c>
      <c r="AU2" s="294">
        <f xml:space="preserve"> Time!AU$25</f>
        <v>51501</v>
      </c>
      <c r="AV2" s="294">
        <f xml:space="preserve"> Time!AV$25</f>
        <v>51682</v>
      </c>
      <c r="AW2" s="294">
        <f xml:space="preserve"> Time!AW$25</f>
        <v>51866</v>
      </c>
      <c r="AX2" s="294">
        <f xml:space="preserve"> Time!AX$25</f>
        <v>52047</v>
      </c>
      <c r="AY2" s="294">
        <f xml:space="preserve"> Time!AY$25</f>
        <v>52231</v>
      </c>
      <c r="AZ2" s="294">
        <f xml:space="preserve"> Time!AZ$25</f>
        <v>52412</v>
      </c>
      <c r="BA2" s="294">
        <f xml:space="preserve"> Time!BA$25</f>
        <v>52596</v>
      </c>
      <c r="BB2" s="294">
        <f xml:space="preserve"> Time!BB$25</f>
        <v>52778</v>
      </c>
      <c r="BC2" s="294">
        <f xml:space="preserve"> Time!BC$25</f>
        <v>52962</v>
      </c>
      <c r="BD2" s="294">
        <f xml:space="preserve"> Time!BD$25</f>
        <v>53143</v>
      </c>
      <c r="BE2" s="294">
        <f xml:space="preserve"> Time!BE$25</f>
        <v>53327</v>
      </c>
      <c r="BF2" s="294">
        <f xml:space="preserve"> Time!BF$25</f>
        <v>53508</v>
      </c>
      <c r="BG2" s="294">
        <f xml:space="preserve"> Time!BG$25</f>
        <v>53692</v>
      </c>
      <c r="BH2" s="294">
        <f xml:space="preserve"> Time!BH$25</f>
        <v>53873</v>
      </c>
      <c r="BI2" s="294">
        <f xml:space="preserve"> Time!BI$25</f>
        <v>54057</v>
      </c>
      <c r="BJ2" s="294">
        <f xml:space="preserve"> Time!BJ$25</f>
        <v>54239</v>
      </c>
      <c r="BK2" s="294">
        <f xml:space="preserve"> Time!BK$25</f>
        <v>54423</v>
      </c>
      <c r="BL2" s="294">
        <f xml:space="preserve"> Time!BL$25</f>
        <v>54604</v>
      </c>
      <c r="BM2" s="294">
        <f xml:space="preserve"> Time!BM$25</f>
        <v>54788</v>
      </c>
      <c r="BN2" s="294">
        <f xml:space="preserve"> Time!BN$25</f>
        <v>54969</v>
      </c>
      <c r="BO2" s="294">
        <f xml:space="preserve"> Time!BO$25</f>
        <v>55153</v>
      </c>
      <c r="BP2" s="294">
        <f xml:space="preserve"> Time!BP$25</f>
        <v>55334</v>
      </c>
      <c r="BQ2" s="294">
        <f xml:space="preserve"> Time!BQ$25</f>
        <v>55518</v>
      </c>
      <c r="BR2" s="294">
        <f xml:space="preserve"> Time!BR$25</f>
        <v>55700</v>
      </c>
      <c r="BS2" s="294">
        <f xml:space="preserve"> Time!BS$25</f>
        <v>55884</v>
      </c>
      <c r="BT2" s="294">
        <f xml:space="preserve"> Time!BT$25</f>
        <v>56065</v>
      </c>
      <c r="BU2" s="294">
        <f xml:space="preserve"> Time!BU$25</f>
        <v>56249</v>
      </c>
      <c r="BV2" s="294">
        <f xml:space="preserve"> Time!BV$25</f>
        <v>56430</v>
      </c>
      <c r="BW2" s="294">
        <f xml:space="preserve"> Time!BW$25</f>
        <v>56614</v>
      </c>
      <c r="BX2" s="294">
        <f xml:space="preserve"> Time!BX$25</f>
        <v>56795</v>
      </c>
      <c r="BY2" s="294">
        <f xml:space="preserve"> Time!BY$25</f>
        <v>56979</v>
      </c>
      <c r="BZ2" s="294">
        <f xml:space="preserve"> Time!BZ$25</f>
        <v>57161</v>
      </c>
      <c r="CA2" s="294">
        <f xml:space="preserve"> Time!CA$25</f>
        <v>57345</v>
      </c>
      <c r="CB2" s="294">
        <f xml:space="preserve"> Time!CB$25</f>
        <v>57526</v>
      </c>
      <c r="CC2" s="294">
        <f xml:space="preserve"> Time!CC$25</f>
        <v>57710</v>
      </c>
      <c r="CD2" s="294">
        <f xml:space="preserve"> Time!CD$25</f>
        <v>57891</v>
      </c>
      <c r="CE2" s="294">
        <f xml:space="preserve"> Time!CE$25</f>
        <v>58075</v>
      </c>
      <c r="CF2" s="294">
        <f xml:space="preserve"> Time!CF$25</f>
        <v>58256</v>
      </c>
      <c r="CG2" s="294">
        <f xml:space="preserve"> Time!CG$25</f>
        <v>58440</v>
      </c>
      <c r="CH2" s="294">
        <f xml:space="preserve"> Time!CH$25</f>
        <v>58622</v>
      </c>
      <c r="CI2" s="294">
        <f xml:space="preserve"> Time!CI$25</f>
        <v>58806</v>
      </c>
      <c r="CJ2" s="294">
        <f xml:space="preserve"> Time!CJ$25</f>
        <v>58987</v>
      </c>
      <c r="CK2" s="294">
        <f xml:space="preserve"> Time!CK$25</f>
        <v>59171</v>
      </c>
      <c r="CL2" s="294">
        <f xml:space="preserve"> Time!CL$25</f>
        <v>59352</v>
      </c>
      <c r="CM2" s="294">
        <f xml:space="preserve"> Time!CM$25</f>
        <v>59536</v>
      </c>
      <c r="CN2" s="294">
        <f xml:space="preserve"> Time!CN$25</f>
        <v>59717</v>
      </c>
      <c r="CO2" s="294">
        <f xml:space="preserve"> Time!CO$25</f>
        <v>59901</v>
      </c>
      <c r="CP2" s="294">
        <f xml:space="preserve"> Time!CP$25</f>
        <v>60083</v>
      </c>
      <c r="CQ2" s="294">
        <f xml:space="preserve"> Time!CQ$25</f>
        <v>60267</v>
      </c>
      <c r="CR2" s="294">
        <f xml:space="preserve"> Time!CR$25</f>
        <v>60448</v>
      </c>
      <c r="CS2" s="294">
        <f xml:space="preserve"> Time!CS$25</f>
        <v>60632</v>
      </c>
      <c r="CT2" s="294">
        <f xml:space="preserve"> Time!CT$25</f>
        <v>60813</v>
      </c>
      <c r="CU2" s="294">
        <f xml:space="preserve"> Time!CU$25</f>
        <v>60997</v>
      </c>
      <c r="CV2" s="294">
        <f xml:space="preserve"> Time!CV$25</f>
        <v>61178</v>
      </c>
    </row>
    <row r="3" spans="1:100" x14ac:dyDescent="0.2">
      <c r="A3" s="236"/>
      <c r="B3" s="236"/>
      <c r="C3" s="237"/>
      <c r="D3" s="238"/>
      <c r="E3" s="235" t="str">
        <f xml:space="preserve"> Time!E$64</f>
        <v>Timeline label</v>
      </c>
      <c r="F3" s="271">
        <f ca="1" xml:space="preserve"> Output!J2</f>
        <v>82</v>
      </c>
      <c r="G3" s="445" t="s">
        <v>25</v>
      </c>
      <c r="H3" s="235"/>
      <c r="I3" s="235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A4" s="236"/>
      <c r="B4" s="236"/>
      <c r="C4" s="237"/>
      <c r="D4" s="238"/>
      <c r="E4" s="446" t="str">
        <f xml:space="preserve"> Time!E$39</f>
        <v>Financial year - semi timeline</v>
      </c>
      <c r="F4" s="271">
        <f xml:space="preserve"> Check!$F$28</f>
        <v>0</v>
      </c>
      <c r="G4" s="445" t="s">
        <v>24</v>
      </c>
      <c r="H4" s="235"/>
      <c r="I4" s="235"/>
      <c r="J4" s="446">
        <f xml:space="preserve"> Time!J$39</f>
        <v>2022</v>
      </c>
      <c r="K4" s="446">
        <f xml:space="preserve"> Time!K$39</f>
        <v>2023</v>
      </c>
      <c r="L4" s="446">
        <f xml:space="preserve"> Time!L$39</f>
        <v>2023</v>
      </c>
      <c r="M4" s="446">
        <f xml:space="preserve"> Time!M$39</f>
        <v>2024</v>
      </c>
      <c r="N4" s="446">
        <f xml:space="preserve"> Time!N$39</f>
        <v>2024</v>
      </c>
      <c r="O4" s="446">
        <f xml:space="preserve"> Time!O$39</f>
        <v>2025</v>
      </c>
      <c r="P4" s="446">
        <f xml:space="preserve"> Time!P$39</f>
        <v>2025</v>
      </c>
      <c r="Q4" s="446">
        <f xml:space="preserve"> Time!Q$39</f>
        <v>2026</v>
      </c>
      <c r="R4" s="446">
        <f xml:space="preserve"> Time!R$39</f>
        <v>2026</v>
      </c>
      <c r="S4" s="446">
        <f xml:space="preserve"> Time!S$39</f>
        <v>2027</v>
      </c>
      <c r="T4" s="446">
        <f xml:space="preserve"> Time!T$39</f>
        <v>2027</v>
      </c>
      <c r="U4" s="446">
        <f xml:space="preserve"> Time!U$39</f>
        <v>2028</v>
      </c>
      <c r="V4" s="446">
        <f xml:space="preserve"> Time!V$39</f>
        <v>2028</v>
      </c>
      <c r="W4" s="446">
        <f xml:space="preserve"> Time!W$39</f>
        <v>2029</v>
      </c>
      <c r="X4" s="446">
        <f xml:space="preserve"> Time!X$39</f>
        <v>2029</v>
      </c>
      <c r="Y4" s="446">
        <f xml:space="preserve"> Time!Y$39</f>
        <v>2030</v>
      </c>
      <c r="Z4" s="446">
        <f xml:space="preserve"> Time!Z$39</f>
        <v>2030</v>
      </c>
      <c r="AA4" s="446">
        <f xml:space="preserve"> Time!AA$39</f>
        <v>2031</v>
      </c>
      <c r="AB4" s="446">
        <f xml:space="preserve"> Time!AB$39</f>
        <v>2031</v>
      </c>
      <c r="AC4" s="446">
        <f xml:space="preserve"> Time!AC$39</f>
        <v>2032</v>
      </c>
      <c r="AD4" s="446">
        <f xml:space="preserve"> Time!AD$39</f>
        <v>2032</v>
      </c>
      <c r="AE4" s="446">
        <f xml:space="preserve"> Time!AE$39</f>
        <v>2033</v>
      </c>
      <c r="AF4" s="446">
        <f xml:space="preserve"> Time!AF$39</f>
        <v>2033</v>
      </c>
      <c r="AG4" s="446">
        <f xml:space="preserve"> Time!AG$39</f>
        <v>2034</v>
      </c>
      <c r="AH4" s="446">
        <f xml:space="preserve"> Time!AH$39</f>
        <v>2034</v>
      </c>
      <c r="AI4" s="446">
        <f xml:space="preserve"> Time!AI$39</f>
        <v>2035</v>
      </c>
      <c r="AJ4" s="446">
        <f xml:space="preserve"> Time!AJ$39</f>
        <v>2035</v>
      </c>
      <c r="AK4" s="446">
        <f xml:space="preserve"> Time!AK$39</f>
        <v>2036</v>
      </c>
      <c r="AL4" s="446">
        <f xml:space="preserve"> Time!AL$39</f>
        <v>2036</v>
      </c>
      <c r="AM4" s="446">
        <f xml:space="preserve"> Time!AM$39</f>
        <v>2037</v>
      </c>
      <c r="AN4" s="446">
        <f xml:space="preserve"> Time!AN$39</f>
        <v>2037</v>
      </c>
      <c r="AO4" s="446">
        <f xml:space="preserve"> Time!AO$39</f>
        <v>2038</v>
      </c>
      <c r="AP4" s="446">
        <f xml:space="preserve"> Time!AP$39</f>
        <v>2038</v>
      </c>
      <c r="AQ4" s="446">
        <f xml:space="preserve"> Time!AQ$39</f>
        <v>2039</v>
      </c>
      <c r="AR4" s="446">
        <f xml:space="preserve"> Time!AR$39</f>
        <v>2039</v>
      </c>
      <c r="AS4" s="446">
        <f xml:space="preserve"> Time!AS$39</f>
        <v>2040</v>
      </c>
      <c r="AT4" s="446">
        <f xml:space="preserve"> Time!AT$39</f>
        <v>2040</v>
      </c>
      <c r="AU4" s="446">
        <f xml:space="preserve"> Time!AU$39</f>
        <v>2041</v>
      </c>
      <c r="AV4" s="446">
        <f xml:space="preserve"> Time!AV$39</f>
        <v>2041</v>
      </c>
      <c r="AW4" s="446">
        <f xml:space="preserve"> Time!AW$39</f>
        <v>2042</v>
      </c>
      <c r="AX4" s="446">
        <f xml:space="preserve"> Time!AX$39</f>
        <v>2042</v>
      </c>
      <c r="AY4" s="446">
        <f xml:space="preserve"> Time!AY$39</f>
        <v>2043</v>
      </c>
      <c r="AZ4" s="446">
        <f xml:space="preserve"> Time!AZ$39</f>
        <v>2043</v>
      </c>
      <c r="BA4" s="446">
        <f xml:space="preserve"> Time!BA$39</f>
        <v>2044</v>
      </c>
      <c r="BB4" s="446">
        <f xml:space="preserve"> Time!BB$39</f>
        <v>2044</v>
      </c>
      <c r="BC4" s="446">
        <f xml:space="preserve"> Time!BC$39</f>
        <v>2045</v>
      </c>
      <c r="BD4" s="446">
        <f xml:space="preserve"> Time!BD$39</f>
        <v>2045</v>
      </c>
      <c r="BE4" s="446">
        <f xml:space="preserve"> Time!BE$39</f>
        <v>2046</v>
      </c>
      <c r="BF4" s="446">
        <f xml:space="preserve"> Time!BF$39</f>
        <v>2046</v>
      </c>
      <c r="BG4" s="446">
        <f xml:space="preserve"> Time!BG$39</f>
        <v>2047</v>
      </c>
      <c r="BH4" s="446">
        <f xml:space="preserve"> Time!BH$39</f>
        <v>2047</v>
      </c>
      <c r="BI4" s="446">
        <f xml:space="preserve"> Time!BI$39</f>
        <v>2048</v>
      </c>
      <c r="BJ4" s="446">
        <f xml:space="preserve"> Time!BJ$39</f>
        <v>2048</v>
      </c>
      <c r="BK4" s="446">
        <f xml:space="preserve"> Time!BK$39</f>
        <v>2049</v>
      </c>
      <c r="BL4" s="446">
        <f xml:space="preserve"> Time!BL$39</f>
        <v>2049</v>
      </c>
      <c r="BM4" s="446">
        <f xml:space="preserve"> Time!BM$39</f>
        <v>2050</v>
      </c>
      <c r="BN4" s="446">
        <f xml:space="preserve"> Time!BN$39</f>
        <v>2050</v>
      </c>
      <c r="BO4" s="446">
        <f xml:space="preserve"> Time!BO$39</f>
        <v>2051</v>
      </c>
      <c r="BP4" s="446">
        <f xml:space="preserve"> Time!BP$39</f>
        <v>2051</v>
      </c>
      <c r="BQ4" s="446">
        <f xml:space="preserve"> Time!BQ$39</f>
        <v>2052</v>
      </c>
      <c r="BR4" s="446">
        <f xml:space="preserve"> Time!BR$39</f>
        <v>2052</v>
      </c>
      <c r="BS4" s="446">
        <f xml:space="preserve"> Time!BS$39</f>
        <v>2053</v>
      </c>
      <c r="BT4" s="446">
        <f xml:space="preserve"> Time!BT$39</f>
        <v>2053</v>
      </c>
      <c r="BU4" s="446">
        <f xml:space="preserve"> Time!BU$39</f>
        <v>2054</v>
      </c>
      <c r="BV4" s="446">
        <f xml:space="preserve"> Time!BV$39</f>
        <v>2054</v>
      </c>
      <c r="BW4" s="446">
        <f xml:space="preserve"> Time!BW$39</f>
        <v>2055</v>
      </c>
      <c r="BX4" s="446">
        <f xml:space="preserve"> Time!BX$39</f>
        <v>2055</v>
      </c>
      <c r="BY4" s="446">
        <f xml:space="preserve"> Time!BY$39</f>
        <v>2056</v>
      </c>
      <c r="BZ4" s="446">
        <f xml:space="preserve"> Time!BZ$39</f>
        <v>2056</v>
      </c>
      <c r="CA4" s="446">
        <f xml:space="preserve"> Time!CA$39</f>
        <v>2057</v>
      </c>
      <c r="CB4" s="446">
        <f xml:space="preserve"> Time!CB$39</f>
        <v>2057</v>
      </c>
      <c r="CC4" s="446">
        <f xml:space="preserve"> Time!CC$39</f>
        <v>2058</v>
      </c>
      <c r="CD4" s="446">
        <f xml:space="preserve"> Time!CD$39</f>
        <v>2058</v>
      </c>
      <c r="CE4" s="446">
        <f xml:space="preserve"> Time!CE$39</f>
        <v>2059</v>
      </c>
      <c r="CF4" s="446">
        <f xml:space="preserve"> Time!CF$39</f>
        <v>2059</v>
      </c>
      <c r="CG4" s="446">
        <f xml:space="preserve"> Time!CG$39</f>
        <v>2060</v>
      </c>
      <c r="CH4" s="446">
        <f xml:space="preserve"> Time!CH$39</f>
        <v>2060</v>
      </c>
      <c r="CI4" s="446">
        <f xml:space="preserve"> Time!CI$39</f>
        <v>2061</v>
      </c>
      <c r="CJ4" s="446">
        <f xml:space="preserve"> Time!CJ$39</f>
        <v>2061</v>
      </c>
      <c r="CK4" s="446">
        <f xml:space="preserve"> Time!CK$39</f>
        <v>2062</v>
      </c>
      <c r="CL4" s="446">
        <f xml:space="preserve"> Time!CL$39</f>
        <v>2062</v>
      </c>
      <c r="CM4" s="446">
        <f xml:space="preserve"> Time!CM$39</f>
        <v>2063</v>
      </c>
      <c r="CN4" s="446">
        <f xml:space="preserve"> Time!CN$39</f>
        <v>2063</v>
      </c>
      <c r="CO4" s="446">
        <f xml:space="preserve"> Time!CO$39</f>
        <v>2064</v>
      </c>
      <c r="CP4" s="446">
        <f xml:space="preserve"> Time!CP$39</f>
        <v>2064</v>
      </c>
      <c r="CQ4" s="446">
        <f xml:space="preserve"> Time!CQ$39</f>
        <v>2065</v>
      </c>
      <c r="CR4" s="446">
        <f xml:space="preserve"> Time!CR$39</f>
        <v>2065</v>
      </c>
      <c r="CS4" s="446">
        <f xml:space="preserve"> Time!CS$39</f>
        <v>2066</v>
      </c>
      <c r="CT4" s="446">
        <f xml:space="preserve"> Time!CT$39</f>
        <v>2066</v>
      </c>
      <c r="CU4" s="446">
        <f xml:space="preserve"> Time!CU$39</f>
        <v>2067</v>
      </c>
      <c r="CV4" s="446">
        <f xml:space="preserve"> Time!CV$39</f>
        <v>2067</v>
      </c>
    </row>
    <row r="5" spans="1:100" x14ac:dyDescent="0.2">
      <c r="A5" s="236"/>
      <c r="B5" s="236"/>
      <c r="C5" s="237"/>
      <c r="D5" s="238"/>
      <c r="E5" s="235" t="str">
        <f xml:space="preserve"> Time!E$10</f>
        <v>Model column counter</v>
      </c>
      <c r="F5" s="447" t="s">
        <v>19</v>
      </c>
      <c r="G5" s="448" t="s">
        <v>17</v>
      </c>
      <c r="H5" s="447" t="s">
        <v>18</v>
      </c>
      <c r="I5" s="235"/>
      <c r="J5" s="235">
        <f xml:space="preserve"> Time!J$10</f>
        <v>1</v>
      </c>
      <c r="K5" s="235">
        <f xml:space="preserve"> Time!K$10</f>
        <v>2</v>
      </c>
      <c r="L5" s="235">
        <f xml:space="preserve"> Time!L$10</f>
        <v>3</v>
      </c>
      <c r="M5" s="235">
        <f xml:space="preserve"> Time!M$10</f>
        <v>4</v>
      </c>
      <c r="N5" s="235">
        <f xml:space="preserve"> Time!N$10</f>
        <v>5</v>
      </c>
      <c r="O5" s="235">
        <f xml:space="preserve"> Time!O$10</f>
        <v>6</v>
      </c>
      <c r="P5" s="235">
        <f xml:space="preserve"> Time!P$10</f>
        <v>7</v>
      </c>
      <c r="Q5" s="235">
        <f xml:space="preserve"> Time!Q$10</f>
        <v>8</v>
      </c>
      <c r="R5" s="235">
        <f xml:space="preserve"> Time!R$10</f>
        <v>9</v>
      </c>
      <c r="S5" s="235">
        <f xml:space="preserve"> Time!S$10</f>
        <v>10</v>
      </c>
      <c r="T5" s="235">
        <f xml:space="preserve"> Time!T$10</f>
        <v>11</v>
      </c>
      <c r="U5" s="235">
        <f xml:space="preserve"> Time!U$10</f>
        <v>12</v>
      </c>
      <c r="V5" s="235">
        <f xml:space="preserve"> Time!V$10</f>
        <v>13</v>
      </c>
      <c r="W5" s="235">
        <f xml:space="preserve"> Time!W$10</f>
        <v>14</v>
      </c>
      <c r="X5" s="235">
        <f xml:space="preserve"> Time!X$10</f>
        <v>15</v>
      </c>
      <c r="Y5" s="235">
        <f xml:space="preserve"> Time!Y$10</f>
        <v>16</v>
      </c>
      <c r="Z5" s="235">
        <f xml:space="preserve"> Time!Z$10</f>
        <v>17</v>
      </c>
      <c r="AA5" s="235">
        <f xml:space="preserve"> Time!AA$10</f>
        <v>18</v>
      </c>
      <c r="AB5" s="235">
        <f xml:space="preserve"> Time!AB$10</f>
        <v>19</v>
      </c>
      <c r="AC5" s="235">
        <f xml:space="preserve"> Time!AC$10</f>
        <v>20</v>
      </c>
      <c r="AD5" s="235">
        <f xml:space="preserve"> Time!AD$10</f>
        <v>21</v>
      </c>
      <c r="AE5" s="235">
        <f xml:space="preserve"> Time!AE$10</f>
        <v>22</v>
      </c>
      <c r="AF5" s="235">
        <f xml:space="preserve"> Time!AF$10</f>
        <v>23</v>
      </c>
      <c r="AG5" s="235">
        <f xml:space="preserve"> Time!AG$10</f>
        <v>24</v>
      </c>
      <c r="AH5" s="235">
        <f xml:space="preserve"> Time!AH$10</f>
        <v>25</v>
      </c>
      <c r="AI5" s="235">
        <f xml:space="preserve"> Time!AI$10</f>
        <v>26</v>
      </c>
      <c r="AJ5" s="235">
        <f xml:space="preserve"> Time!AJ$10</f>
        <v>27</v>
      </c>
      <c r="AK5" s="235">
        <f xml:space="preserve"> Time!AK$10</f>
        <v>28</v>
      </c>
      <c r="AL5" s="235">
        <f xml:space="preserve"> Time!AL$10</f>
        <v>29</v>
      </c>
      <c r="AM5" s="235">
        <f xml:space="preserve"> Time!AM$10</f>
        <v>30</v>
      </c>
      <c r="AN5" s="235">
        <f xml:space="preserve"> Time!AN$10</f>
        <v>31</v>
      </c>
      <c r="AO5" s="235">
        <f xml:space="preserve"> Time!AO$10</f>
        <v>32</v>
      </c>
      <c r="AP5" s="235">
        <f xml:space="preserve"> Time!AP$10</f>
        <v>33</v>
      </c>
      <c r="AQ5" s="235">
        <f xml:space="preserve"> Time!AQ$10</f>
        <v>34</v>
      </c>
      <c r="AR5" s="235">
        <f xml:space="preserve"> Time!AR$10</f>
        <v>35</v>
      </c>
      <c r="AS5" s="235">
        <f xml:space="preserve"> Time!AS$10</f>
        <v>36</v>
      </c>
      <c r="AT5" s="235">
        <f xml:space="preserve"> Time!AT$10</f>
        <v>37</v>
      </c>
      <c r="AU5" s="235">
        <f xml:space="preserve"> Time!AU$10</f>
        <v>38</v>
      </c>
      <c r="AV5" s="235">
        <f xml:space="preserve"> Time!AV$10</f>
        <v>39</v>
      </c>
      <c r="AW5" s="235">
        <f xml:space="preserve"> Time!AW$10</f>
        <v>40</v>
      </c>
      <c r="AX5" s="235">
        <f xml:space="preserve"> Time!AX$10</f>
        <v>41</v>
      </c>
      <c r="AY5" s="235">
        <f xml:space="preserve"> Time!AY$10</f>
        <v>42</v>
      </c>
      <c r="AZ5" s="235">
        <f xml:space="preserve"> Time!AZ$10</f>
        <v>43</v>
      </c>
      <c r="BA5" s="235">
        <f xml:space="preserve"> Time!BA$10</f>
        <v>44</v>
      </c>
      <c r="BB5" s="235">
        <f xml:space="preserve"> Time!BB$10</f>
        <v>45</v>
      </c>
      <c r="BC5" s="235">
        <f xml:space="preserve"> Time!BC$10</f>
        <v>46</v>
      </c>
      <c r="BD5" s="235">
        <f xml:space="preserve"> Time!BD$10</f>
        <v>47</v>
      </c>
      <c r="BE5" s="235">
        <f xml:space="preserve"> Time!BE$10</f>
        <v>48</v>
      </c>
      <c r="BF5" s="235">
        <f xml:space="preserve"> Time!BF$10</f>
        <v>49</v>
      </c>
      <c r="BG5" s="235">
        <f xml:space="preserve"> Time!BG$10</f>
        <v>50</v>
      </c>
      <c r="BH5" s="235">
        <f xml:space="preserve"> Time!BH$10</f>
        <v>51</v>
      </c>
      <c r="BI5" s="235">
        <f xml:space="preserve"> Time!BI$10</f>
        <v>52</v>
      </c>
      <c r="BJ5" s="235">
        <f xml:space="preserve"> Time!BJ$10</f>
        <v>53</v>
      </c>
      <c r="BK5" s="235">
        <f xml:space="preserve"> Time!BK$10</f>
        <v>54</v>
      </c>
      <c r="BL5" s="235">
        <f xml:space="preserve"> Time!BL$10</f>
        <v>55</v>
      </c>
      <c r="BM5" s="235">
        <f xml:space="preserve"> Time!BM$10</f>
        <v>56</v>
      </c>
      <c r="BN5" s="235">
        <f xml:space="preserve"> Time!BN$10</f>
        <v>57</v>
      </c>
      <c r="BO5" s="235">
        <f xml:space="preserve"> Time!BO$10</f>
        <v>58</v>
      </c>
      <c r="BP5" s="235">
        <f xml:space="preserve"> Time!BP$10</f>
        <v>59</v>
      </c>
      <c r="BQ5" s="235">
        <f xml:space="preserve"> Time!BQ$10</f>
        <v>60</v>
      </c>
      <c r="BR5" s="235">
        <f xml:space="preserve"> Time!BR$10</f>
        <v>61</v>
      </c>
      <c r="BS5" s="235">
        <f xml:space="preserve"> Time!BS$10</f>
        <v>62</v>
      </c>
      <c r="BT5" s="235">
        <f xml:space="preserve"> Time!BT$10</f>
        <v>63</v>
      </c>
      <c r="BU5" s="235">
        <f xml:space="preserve"> Time!BU$10</f>
        <v>64</v>
      </c>
      <c r="BV5" s="235">
        <f xml:space="preserve"> Time!BV$10</f>
        <v>65</v>
      </c>
      <c r="BW5" s="235">
        <f xml:space="preserve"> Time!BW$10</f>
        <v>66</v>
      </c>
      <c r="BX5" s="235">
        <f xml:space="preserve"> Time!BX$10</f>
        <v>67</v>
      </c>
      <c r="BY5" s="235">
        <f xml:space="preserve"> Time!BY$10</f>
        <v>68</v>
      </c>
      <c r="BZ5" s="235">
        <f xml:space="preserve"> Time!BZ$10</f>
        <v>69</v>
      </c>
      <c r="CA5" s="235">
        <f xml:space="preserve"> Time!CA$10</f>
        <v>70</v>
      </c>
      <c r="CB5" s="235">
        <f xml:space="preserve"> Time!CB$10</f>
        <v>71</v>
      </c>
      <c r="CC5" s="235">
        <f xml:space="preserve"> Time!CC$10</f>
        <v>72</v>
      </c>
      <c r="CD5" s="235">
        <f xml:space="preserve"> Time!CD$10</f>
        <v>73</v>
      </c>
      <c r="CE5" s="235">
        <f xml:space="preserve"> Time!CE$10</f>
        <v>74</v>
      </c>
      <c r="CF5" s="235">
        <f xml:space="preserve"> Time!CF$10</f>
        <v>75</v>
      </c>
      <c r="CG5" s="235">
        <f xml:space="preserve"> Time!CG$10</f>
        <v>76</v>
      </c>
      <c r="CH5" s="235">
        <f xml:space="preserve"> Time!CH$10</f>
        <v>77</v>
      </c>
      <c r="CI5" s="235">
        <f xml:space="preserve"> Time!CI$10</f>
        <v>78</v>
      </c>
      <c r="CJ5" s="235">
        <f xml:space="preserve"> Time!CJ$10</f>
        <v>79</v>
      </c>
      <c r="CK5" s="235">
        <f xml:space="preserve"> Time!CK$10</f>
        <v>80</v>
      </c>
      <c r="CL5" s="235">
        <f xml:space="preserve"> Time!CL$10</f>
        <v>81</v>
      </c>
      <c r="CM5" s="235">
        <f xml:space="preserve"> Time!CM$10</f>
        <v>82</v>
      </c>
      <c r="CN5" s="235">
        <f xml:space="preserve"> Time!CN$10</f>
        <v>83</v>
      </c>
      <c r="CO5" s="235">
        <f xml:space="preserve"> Time!CO$10</f>
        <v>84</v>
      </c>
      <c r="CP5" s="235">
        <f xml:space="preserve"> Time!CP$10</f>
        <v>85</v>
      </c>
      <c r="CQ5" s="235">
        <f xml:space="preserve"> Time!CQ$10</f>
        <v>86</v>
      </c>
      <c r="CR5" s="235">
        <f xml:space="preserve"> Time!CR$10</f>
        <v>87</v>
      </c>
      <c r="CS5" s="235">
        <f xml:space="preserve"> Time!CS$10</f>
        <v>88</v>
      </c>
      <c r="CT5" s="235">
        <f xml:space="preserve"> Time!CT$10</f>
        <v>89</v>
      </c>
      <c r="CU5" s="235">
        <f xml:space="preserve"> Time!CU$10</f>
        <v>90</v>
      </c>
      <c r="CV5" s="235">
        <f xml:space="preserve"> Time!CV$10</f>
        <v>91</v>
      </c>
    </row>
    <row r="6" spans="1:100" x14ac:dyDescent="0.2">
      <c r="D6" s="209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">
      <c r="A7" s="205" t="s">
        <v>50</v>
      </c>
      <c r="D7" s="209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">
      <c r="D8" s="209"/>
      <c r="E8" s="235"/>
      <c r="F8" s="235"/>
      <c r="G8" s="235"/>
      <c r="H8" s="192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">
      <c r="D9" s="209"/>
      <c r="E9" s="288" t="str">
        <f xml:space="preserve"> Ops!E$105</f>
        <v>Electricity payments (EPn) - P99</v>
      </c>
      <c r="F9" s="288">
        <f xml:space="preserve"> Ops!F$105</f>
        <v>0</v>
      </c>
      <c r="G9" s="288" t="str">
        <f xml:space="preserve"> Ops!G$105</f>
        <v>$ 000s</v>
      </c>
      <c r="H9" s="288">
        <f xml:space="preserve"> Ops!H$105</f>
        <v>644768.81716164469</v>
      </c>
      <c r="I9" s="288">
        <f xml:space="preserve"> Ops!I$105</f>
        <v>0</v>
      </c>
      <c r="J9" s="288">
        <f xml:space="preserve"> Ops!J$105</f>
        <v>0</v>
      </c>
      <c r="K9" s="288">
        <f xml:space="preserve"> Ops!K$105</f>
        <v>0</v>
      </c>
      <c r="L9" s="288">
        <f xml:space="preserve"> Ops!L$105</f>
        <v>0</v>
      </c>
      <c r="M9" s="288">
        <f xml:space="preserve"> Ops!M$105</f>
        <v>0</v>
      </c>
      <c r="N9" s="288">
        <f xml:space="preserve"> Ops!N$105</f>
        <v>0</v>
      </c>
      <c r="O9" s="288">
        <f xml:space="preserve"> Ops!O$105</f>
        <v>16360.101635316129</v>
      </c>
      <c r="P9" s="288">
        <f xml:space="preserve"> Ops!P$105</f>
        <v>16360.101635316129</v>
      </c>
      <c r="Q9" s="288">
        <f xml:space="preserve"> Ops!Q$105</f>
        <v>16333.708754645897</v>
      </c>
      <c r="R9" s="288">
        <f xml:space="preserve"> Ops!R$105</f>
        <v>16333.708754645897</v>
      </c>
      <c r="S9" s="288">
        <f xml:space="preserve"> Ops!S$105</f>
        <v>16307.481045624358</v>
      </c>
      <c r="T9" s="288">
        <f xml:space="preserve"> Ops!T$105</f>
        <v>16307.481045624358</v>
      </c>
      <c r="U9" s="288">
        <f xml:space="preserve"> Ops!U$105</f>
        <v>16281.420199368429</v>
      </c>
      <c r="V9" s="288">
        <f xml:space="preserve"> Ops!V$105</f>
        <v>16281.420199368429</v>
      </c>
      <c r="W9" s="288">
        <f xml:space="preserve"> Ops!W$105</f>
        <v>16255.52793992139</v>
      </c>
      <c r="X9" s="288">
        <f xml:space="preserve"> Ops!X$105</f>
        <v>16255.52793992139</v>
      </c>
      <c r="Y9" s="288">
        <f xml:space="preserve"> Ops!Y$105</f>
        <v>16229.806024839239</v>
      </c>
      <c r="Z9" s="288">
        <f xml:space="preserve"> Ops!Z$105</f>
        <v>16229.806024839239</v>
      </c>
      <c r="AA9" s="288">
        <f xml:space="preserve"> Ops!AA$105</f>
        <v>16204.256245787663</v>
      </c>
      <c r="AB9" s="288">
        <f xml:space="preserve"> Ops!AB$105</f>
        <v>16204.256245787663</v>
      </c>
      <c r="AC9" s="288">
        <f xml:space="preserve"> Ops!AC$105</f>
        <v>16178.880429149718</v>
      </c>
      <c r="AD9" s="288">
        <f xml:space="preserve"> Ops!AD$105</f>
        <v>16178.880429149718</v>
      </c>
      <c r="AE9" s="288">
        <f xml:space="preserve"> Ops!AE$105</f>
        <v>16153.680436644452</v>
      </c>
      <c r="AF9" s="288">
        <f xml:space="preserve"> Ops!AF$105</f>
        <v>16153.680436644452</v>
      </c>
      <c r="AG9" s="288">
        <f xml:space="preserve"> Ops!AG$105</f>
        <v>16128.658165956635</v>
      </c>
      <c r="AH9" s="288">
        <f xml:space="preserve"> Ops!AH$105</f>
        <v>16128.658165956635</v>
      </c>
      <c r="AI9" s="288">
        <f xml:space="preserve"> Ops!AI$105</f>
        <v>16103.815551377818</v>
      </c>
      <c r="AJ9" s="288">
        <f xml:space="preserve"> Ops!AJ$105</f>
        <v>16103.815551377818</v>
      </c>
      <c r="AK9" s="288">
        <f xml:space="preserve"> Ops!AK$105</f>
        <v>16079.154564458891</v>
      </c>
      <c r="AL9" s="288">
        <f xml:space="preserve"> Ops!AL$105</f>
        <v>16079.154564458891</v>
      </c>
      <c r="AM9" s="288">
        <f xml:space="preserve"> Ops!AM$105</f>
        <v>16054.677214674439</v>
      </c>
      <c r="AN9" s="288">
        <f xml:space="preserve"> Ops!AN$105</f>
        <v>16054.677214674439</v>
      </c>
      <c r="AO9" s="288">
        <f xml:space="preserve"> Ops!AO$105</f>
        <v>16030.385550098992</v>
      </c>
      <c r="AP9" s="288">
        <f xml:space="preserve"> Ops!AP$105</f>
        <v>16030.385550098992</v>
      </c>
      <c r="AQ9" s="288">
        <f xml:space="preserve"> Ops!AQ$105</f>
        <v>16006.281658095428</v>
      </c>
      <c r="AR9" s="288">
        <f xml:space="preserve"> Ops!AR$105</f>
        <v>16006.281658095428</v>
      </c>
      <c r="AS9" s="288">
        <f xml:space="preserve"> Ops!AS$105</f>
        <v>15982.367666015756</v>
      </c>
      <c r="AT9" s="288">
        <f xml:space="preserve"> Ops!AT$105</f>
        <v>15982.367666015756</v>
      </c>
      <c r="AU9" s="288">
        <f xml:space="preserve"> Ops!AU$105</f>
        <v>15958.645741914579</v>
      </c>
      <c r="AV9" s="288">
        <f xml:space="preserve"> Ops!AV$105</f>
        <v>15958.645741914579</v>
      </c>
      <c r="AW9" s="288">
        <f xml:space="preserve"> Ops!AW$105</f>
        <v>15935.118095275227</v>
      </c>
      <c r="AX9" s="288">
        <f xml:space="preserve"> Ops!AX$105</f>
        <v>15935.118095275227</v>
      </c>
      <c r="AY9" s="288">
        <f xml:space="preserve"> Ops!AY$105</f>
        <v>15911.786977749096</v>
      </c>
      <c r="AZ9" s="288">
        <f xml:space="preserve"> Ops!AZ$105</f>
        <v>15911.786977749096</v>
      </c>
      <c r="BA9" s="288">
        <f xml:space="preserve"> Ops!BA$105</f>
        <v>15888.65468390818</v>
      </c>
      <c r="BB9" s="288">
        <f xml:space="preserve"> Ops!BB$105</f>
        <v>15888.65468390818</v>
      </c>
      <c r="BC9" s="288">
        <f xml:space="preserve"> Ops!BC$105</f>
        <v>0</v>
      </c>
      <c r="BD9" s="288">
        <f xml:space="preserve"> Ops!BD$105</f>
        <v>0</v>
      </c>
      <c r="BE9" s="288">
        <f xml:space="preserve"> Ops!BE$105</f>
        <v>0</v>
      </c>
      <c r="BF9" s="288">
        <f xml:space="preserve"> Ops!BF$105</f>
        <v>0</v>
      </c>
      <c r="BG9" s="288">
        <f xml:space="preserve"> Ops!BG$105</f>
        <v>0</v>
      </c>
      <c r="BH9" s="288">
        <f xml:space="preserve"> Ops!BH$105</f>
        <v>0</v>
      </c>
      <c r="BI9" s="288">
        <f xml:space="preserve"> Ops!BI$105</f>
        <v>0</v>
      </c>
      <c r="BJ9" s="288">
        <f xml:space="preserve"> Ops!BJ$105</f>
        <v>0</v>
      </c>
      <c r="BK9" s="288">
        <f xml:space="preserve"> Ops!BK$105</f>
        <v>0</v>
      </c>
      <c r="BL9" s="288">
        <f xml:space="preserve"> Ops!BL$105</f>
        <v>0</v>
      </c>
      <c r="BM9" s="288">
        <f xml:space="preserve"> Ops!BM$105</f>
        <v>0</v>
      </c>
      <c r="BN9" s="288">
        <f xml:space="preserve"> Ops!BN$105</f>
        <v>0</v>
      </c>
      <c r="BO9" s="288">
        <f xml:space="preserve"> Ops!BO$105</f>
        <v>0</v>
      </c>
      <c r="BP9" s="288">
        <f xml:space="preserve"> Ops!BP$105</f>
        <v>0</v>
      </c>
      <c r="BQ9" s="288">
        <f xml:space="preserve"> Ops!BQ$105</f>
        <v>0</v>
      </c>
      <c r="BR9" s="288">
        <f xml:space="preserve"> Ops!BR$105</f>
        <v>0</v>
      </c>
      <c r="BS9" s="288">
        <f xml:space="preserve"> Ops!BS$105</f>
        <v>0</v>
      </c>
      <c r="BT9" s="288">
        <f xml:space="preserve"> Ops!BT$105</f>
        <v>0</v>
      </c>
      <c r="BU9" s="288">
        <f xml:space="preserve"> Ops!BU$105</f>
        <v>0</v>
      </c>
      <c r="BV9" s="288">
        <f xml:space="preserve"> Ops!BV$105</f>
        <v>0</v>
      </c>
      <c r="BW9" s="288">
        <f xml:space="preserve"> Ops!BW$105</f>
        <v>0</v>
      </c>
      <c r="BX9" s="288">
        <f xml:space="preserve"> Ops!BX$105</f>
        <v>0</v>
      </c>
      <c r="BY9" s="288">
        <f xml:space="preserve"> Ops!BY$105</f>
        <v>0</v>
      </c>
      <c r="BZ9" s="288">
        <f xml:space="preserve"> Ops!BZ$105</f>
        <v>0</v>
      </c>
      <c r="CA9" s="288">
        <f xml:space="preserve"> Ops!CA$105</f>
        <v>0</v>
      </c>
      <c r="CB9" s="288">
        <f xml:space="preserve"> Ops!CB$105</f>
        <v>0</v>
      </c>
      <c r="CC9" s="288">
        <f xml:space="preserve"> Ops!CC$105</f>
        <v>0</v>
      </c>
      <c r="CD9" s="288">
        <f xml:space="preserve"> Ops!CD$105</f>
        <v>0</v>
      </c>
      <c r="CE9" s="288">
        <f xml:space="preserve"> Ops!CE$105</f>
        <v>0</v>
      </c>
      <c r="CF9" s="288">
        <f xml:space="preserve"> Ops!CF$105</f>
        <v>0</v>
      </c>
      <c r="CG9" s="288">
        <f xml:space="preserve"> Ops!CG$105</f>
        <v>0</v>
      </c>
      <c r="CH9" s="288">
        <f xml:space="preserve"> Ops!CH$105</f>
        <v>0</v>
      </c>
      <c r="CI9" s="288">
        <f xml:space="preserve"> Ops!CI$105</f>
        <v>0</v>
      </c>
      <c r="CJ9" s="288">
        <f xml:space="preserve"> Ops!CJ$105</f>
        <v>0</v>
      </c>
      <c r="CK9" s="288">
        <f xml:space="preserve"> Ops!CK$105</f>
        <v>0</v>
      </c>
      <c r="CL9" s="288">
        <f xml:space="preserve"> Ops!CL$105</f>
        <v>0</v>
      </c>
      <c r="CM9" s="288">
        <f xml:space="preserve"> Ops!CM$105</f>
        <v>0</v>
      </c>
      <c r="CN9" s="288">
        <f xml:space="preserve"> Ops!CN$105</f>
        <v>0</v>
      </c>
      <c r="CO9" s="288">
        <f xml:space="preserve"> Ops!CO$105</f>
        <v>0</v>
      </c>
      <c r="CP9" s="288">
        <f xml:space="preserve"> Ops!CP$105</f>
        <v>0</v>
      </c>
      <c r="CQ9" s="288">
        <f xml:space="preserve"> Ops!CQ$105</f>
        <v>0</v>
      </c>
      <c r="CR9" s="288">
        <f xml:space="preserve"> Ops!CR$105</f>
        <v>0</v>
      </c>
      <c r="CS9" s="288">
        <f xml:space="preserve"> Ops!CS$105</f>
        <v>0</v>
      </c>
      <c r="CT9" s="288">
        <f xml:space="preserve"> Ops!CT$105</f>
        <v>0</v>
      </c>
      <c r="CU9" s="288">
        <f xml:space="preserve"> Ops!CU$105</f>
        <v>0</v>
      </c>
      <c r="CV9" s="288">
        <f xml:space="preserve"> Ops!CV$105</f>
        <v>0</v>
      </c>
    </row>
    <row r="10" spans="1:100" outlineLevel="1" x14ac:dyDescent="0.2">
      <c r="D10" s="209"/>
      <c r="E10" s="288" t="str">
        <f xml:space="preserve"> Ops!E$155</f>
        <v>O&amp;M expense</v>
      </c>
      <c r="F10" s="288">
        <f xml:space="preserve"> Ops!F$155</f>
        <v>0</v>
      </c>
      <c r="G10" s="288" t="str">
        <f xml:space="preserve"> Ops!G$155</f>
        <v>$ 000s</v>
      </c>
      <c r="H10" s="288">
        <f xml:space="preserve"> Ops!H$155</f>
        <v>-210402.03579009019</v>
      </c>
      <c r="I10" s="288">
        <f xml:space="preserve"> Ops!I$155</f>
        <v>0</v>
      </c>
      <c r="J10" s="288">
        <f xml:space="preserve"> Ops!J$155</f>
        <v>0</v>
      </c>
      <c r="K10" s="288">
        <f xml:space="preserve"> Ops!K$155</f>
        <v>0</v>
      </c>
      <c r="L10" s="288">
        <f xml:space="preserve"> Ops!L$155</f>
        <v>0</v>
      </c>
      <c r="M10" s="288">
        <f xml:space="preserve"> Ops!M$155</f>
        <v>0</v>
      </c>
      <c r="N10" s="288">
        <f xml:space="preserve"> Ops!N$155</f>
        <v>0</v>
      </c>
      <c r="O10" s="288">
        <f xml:space="preserve"> Ops!O$155</f>
        <v>-4329.7286399999994</v>
      </c>
      <c r="P10" s="288">
        <f xml:space="preserve"> Ops!P$155</f>
        <v>-4329.7286399999994</v>
      </c>
      <c r="Q10" s="288">
        <f xml:space="preserve"> Ops!Q$155</f>
        <v>-4416.3232128</v>
      </c>
      <c r="R10" s="288">
        <f xml:space="preserve"> Ops!R$155</f>
        <v>-4416.3232128</v>
      </c>
      <c r="S10" s="288">
        <f xml:space="preserve"> Ops!S$155</f>
        <v>-4504.6496770560007</v>
      </c>
      <c r="T10" s="288">
        <f xml:space="preserve"> Ops!T$155</f>
        <v>-4504.6496770560007</v>
      </c>
      <c r="U10" s="288">
        <f xml:space="preserve"> Ops!U$155</f>
        <v>-4594.7426705971193</v>
      </c>
      <c r="V10" s="288">
        <f xml:space="preserve"> Ops!V$155</f>
        <v>-4594.7426705971193</v>
      </c>
      <c r="W10" s="288">
        <f xml:space="preserve"> Ops!W$155</f>
        <v>-4686.637524009062</v>
      </c>
      <c r="X10" s="288">
        <f xml:space="preserve"> Ops!X$155</f>
        <v>-4686.637524009062</v>
      </c>
      <c r="Y10" s="288">
        <f xml:space="preserve"> Ops!Y$155</f>
        <v>-4780.3702744892435</v>
      </c>
      <c r="Z10" s="288">
        <f xml:space="preserve"> Ops!Z$155</f>
        <v>-4780.3702744892435</v>
      </c>
      <c r="AA10" s="288">
        <f xml:space="preserve"> Ops!AA$155</f>
        <v>-4875.9776799790279</v>
      </c>
      <c r="AB10" s="288">
        <f xml:space="preserve"> Ops!AB$155</f>
        <v>-4875.9776799790279</v>
      </c>
      <c r="AC10" s="288">
        <f xml:space="preserve"> Ops!AC$155</f>
        <v>-4973.4972335786078</v>
      </c>
      <c r="AD10" s="288">
        <f xml:space="preserve"> Ops!AD$155</f>
        <v>-4973.4972335786078</v>
      </c>
      <c r="AE10" s="288">
        <f xml:space="preserve"> Ops!AE$155</f>
        <v>-5072.967178250181</v>
      </c>
      <c r="AF10" s="288">
        <f xml:space="preserve"> Ops!AF$155</f>
        <v>-5072.967178250181</v>
      </c>
      <c r="AG10" s="288">
        <f xml:space="preserve"> Ops!AG$155</f>
        <v>-5174.4265218151841</v>
      </c>
      <c r="AH10" s="288">
        <f xml:space="preserve"> Ops!AH$155</f>
        <v>-5174.4265218151841</v>
      </c>
      <c r="AI10" s="288">
        <f xml:space="preserve"> Ops!AI$155</f>
        <v>-5277.9150522514883</v>
      </c>
      <c r="AJ10" s="288">
        <f xml:space="preserve"> Ops!AJ$155</f>
        <v>-5277.9150522514883</v>
      </c>
      <c r="AK10" s="288">
        <f xml:space="preserve"> Ops!AK$155</f>
        <v>-5383.4733532965174</v>
      </c>
      <c r="AL10" s="288">
        <f xml:space="preserve"> Ops!AL$155</f>
        <v>-5383.4733532965174</v>
      </c>
      <c r="AM10" s="288">
        <f xml:space="preserve"> Ops!AM$155</f>
        <v>-5491.1428203624482</v>
      </c>
      <c r="AN10" s="288">
        <f xml:space="preserve"> Ops!AN$155</f>
        <v>-5491.1428203624482</v>
      </c>
      <c r="AO10" s="288">
        <f xml:space="preserve"> Ops!AO$155</f>
        <v>-5600.9656767696979</v>
      </c>
      <c r="AP10" s="288">
        <f xml:space="preserve"> Ops!AP$155</f>
        <v>-5600.9656767696979</v>
      </c>
      <c r="AQ10" s="288">
        <f xml:space="preserve"> Ops!AQ$155</f>
        <v>-5712.9849903050908</v>
      </c>
      <c r="AR10" s="288">
        <f xml:space="preserve"> Ops!AR$155</f>
        <v>-5712.9849903050908</v>
      </c>
      <c r="AS10" s="288">
        <f xml:space="preserve"> Ops!AS$155</f>
        <v>-5827.2446901111925</v>
      </c>
      <c r="AT10" s="288">
        <f xml:space="preserve"> Ops!AT$155</f>
        <v>-5827.2446901111925</v>
      </c>
      <c r="AU10" s="288">
        <f xml:space="preserve"> Ops!AU$155</f>
        <v>-5943.7895839134171</v>
      </c>
      <c r="AV10" s="288">
        <f xml:space="preserve"> Ops!AV$155</f>
        <v>-5943.7895839134171</v>
      </c>
      <c r="AW10" s="288">
        <f xml:space="preserve"> Ops!AW$155</f>
        <v>-6062.665375591685</v>
      </c>
      <c r="AX10" s="288">
        <f xml:space="preserve"> Ops!AX$155</f>
        <v>-6062.665375591685</v>
      </c>
      <c r="AY10" s="288">
        <f xml:space="preserve"> Ops!AY$155</f>
        <v>-6183.9186831035186</v>
      </c>
      <c r="AZ10" s="288">
        <f xml:space="preserve"> Ops!AZ$155</f>
        <v>-6183.9186831035186</v>
      </c>
      <c r="BA10" s="288">
        <f xml:space="preserve"> Ops!BA$155</f>
        <v>-6307.5970567655886</v>
      </c>
      <c r="BB10" s="288">
        <f xml:space="preserve"> Ops!BB$155</f>
        <v>-6307.5970567655886</v>
      </c>
      <c r="BC10" s="288">
        <f xml:space="preserve"> Ops!BC$155</f>
        <v>0</v>
      </c>
      <c r="BD10" s="288">
        <f xml:space="preserve"> Ops!BD$155</f>
        <v>0</v>
      </c>
      <c r="BE10" s="288">
        <f xml:space="preserve"> Ops!BE$155</f>
        <v>0</v>
      </c>
      <c r="BF10" s="288">
        <f xml:space="preserve"> Ops!BF$155</f>
        <v>0</v>
      </c>
      <c r="BG10" s="288">
        <f xml:space="preserve"> Ops!BG$155</f>
        <v>0</v>
      </c>
      <c r="BH10" s="288">
        <f xml:space="preserve"> Ops!BH$155</f>
        <v>0</v>
      </c>
      <c r="BI10" s="288">
        <f xml:space="preserve"> Ops!BI$155</f>
        <v>0</v>
      </c>
      <c r="BJ10" s="288">
        <f xml:space="preserve"> Ops!BJ$155</f>
        <v>0</v>
      </c>
      <c r="BK10" s="288">
        <f xml:space="preserve"> Ops!BK$155</f>
        <v>0</v>
      </c>
      <c r="BL10" s="288">
        <f xml:space="preserve"> Ops!BL$155</f>
        <v>0</v>
      </c>
      <c r="BM10" s="288">
        <f xml:space="preserve"> Ops!BM$155</f>
        <v>0</v>
      </c>
      <c r="BN10" s="288">
        <f xml:space="preserve"> Ops!BN$155</f>
        <v>0</v>
      </c>
      <c r="BO10" s="288">
        <f xml:space="preserve"> Ops!BO$155</f>
        <v>0</v>
      </c>
      <c r="BP10" s="288">
        <f xml:space="preserve"> Ops!BP$155</f>
        <v>0</v>
      </c>
      <c r="BQ10" s="288">
        <f xml:space="preserve"> Ops!BQ$155</f>
        <v>0</v>
      </c>
      <c r="BR10" s="288">
        <f xml:space="preserve"> Ops!BR$155</f>
        <v>0</v>
      </c>
      <c r="BS10" s="288">
        <f xml:space="preserve"> Ops!BS$155</f>
        <v>0</v>
      </c>
      <c r="BT10" s="288">
        <f xml:space="preserve"> Ops!BT$155</f>
        <v>0</v>
      </c>
      <c r="BU10" s="288">
        <f xml:space="preserve"> Ops!BU$155</f>
        <v>0</v>
      </c>
      <c r="BV10" s="288">
        <f xml:space="preserve"> Ops!BV$155</f>
        <v>0</v>
      </c>
      <c r="BW10" s="288">
        <f xml:space="preserve"> Ops!BW$155</f>
        <v>0</v>
      </c>
      <c r="BX10" s="288">
        <f xml:space="preserve"> Ops!BX$155</f>
        <v>0</v>
      </c>
      <c r="BY10" s="288">
        <f xml:space="preserve"> Ops!BY$155</f>
        <v>0</v>
      </c>
      <c r="BZ10" s="288">
        <f xml:space="preserve"> Ops!BZ$155</f>
        <v>0</v>
      </c>
      <c r="CA10" s="288">
        <f xml:space="preserve"> Ops!CA$155</f>
        <v>0</v>
      </c>
      <c r="CB10" s="288">
        <f xml:space="preserve"> Ops!CB$155</f>
        <v>0</v>
      </c>
      <c r="CC10" s="288">
        <f xml:space="preserve"> Ops!CC$155</f>
        <v>0</v>
      </c>
      <c r="CD10" s="288">
        <f xml:space="preserve"> Ops!CD$155</f>
        <v>0</v>
      </c>
      <c r="CE10" s="288">
        <f xml:space="preserve"> Ops!CE$155</f>
        <v>0</v>
      </c>
      <c r="CF10" s="288">
        <f xml:space="preserve"> Ops!CF$155</f>
        <v>0</v>
      </c>
      <c r="CG10" s="288">
        <f xml:space="preserve"> Ops!CG$155</f>
        <v>0</v>
      </c>
      <c r="CH10" s="288">
        <f xml:space="preserve"> Ops!CH$155</f>
        <v>0</v>
      </c>
      <c r="CI10" s="288">
        <f xml:space="preserve"> Ops!CI$155</f>
        <v>0</v>
      </c>
      <c r="CJ10" s="288">
        <f xml:space="preserve"> Ops!CJ$155</f>
        <v>0</v>
      </c>
      <c r="CK10" s="288">
        <f xml:space="preserve"> Ops!CK$155</f>
        <v>0</v>
      </c>
      <c r="CL10" s="288">
        <f xml:space="preserve"> Ops!CL$155</f>
        <v>0</v>
      </c>
      <c r="CM10" s="288">
        <f xml:space="preserve"> Ops!CM$155</f>
        <v>0</v>
      </c>
      <c r="CN10" s="288">
        <f xml:space="preserve"> Ops!CN$155</f>
        <v>0</v>
      </c>
      <c r="CO10" s="288">
        <f xml:space="preserve"> Ops!CO$155</f>
        <v>0</v>
      </c>
      <c r="CP10" s="288">
        <f xml:space="preserve"> Ops!CP$155</f>
        <v>0</v>
      </c>
      <c r="CQ10" s="288">
        <f xml:space="preserve"> Ops!CQ$155</f>
        <v>0</v>
      </c>
      <c r="CR10" s="288">
        <f xml:space="preserve"> Ops!CR$155</f>
        <v>0</v>
      </c>
      <c r="CS10" s="288">
        <f xml:space="preserve"> Ops!CS$155</f>
        <v>0</v>
      </c>
      <c r="CT10" s="288">
        <f xml:space="preserve"> Ops!CT$155</f>
        <v>0</v>
      </c>
      <c r="CU10" s="288">
        <f xml:space="preserve"> Ops!CU$155</f>
        <v>0</v>
      </c>
      <c r="CV10" s="288">
        <f xml:space="preserve"> Ops!CV$155</f>
        <v>0</v>
      </c>
    </row>
    <row r="11" spans="1:100" s="191" customFormat="1" outlineLevel="1" x14ac:dyDescent="0.2">
      <c r="A11" s="205"/>
      <c r="B11" s="205"/>
      <c r="C11" s="206"/>
      <c r="D11" s="209"/>
      <c r="E11" s="232" t="s">
        <v>1147</v>
      </c>
      <c r="F11" s="232"/>
      <c r="G11" s="232" t="str">
        <f>SMU</f>
        <v>$ 000s</v>
      </c>
      <c r="H11" s="232">
        <f xml:space="preserve"> SUM(J11:CV11)</f>
        <v>434366.78137155442</v>
      </c>
      <c r="I11" s="232"/>
      <c r="J11" s="232">
        <f t="shared" ref="J11:AO11" si="0">SUM(J9:J10)</f>
        <v>0</v>
      </c>
      <c r="K11" s="232">
        <f t="shared" si="0"/>
        <v>0</v>
      </c>
      <c r="L11" s="232">
        <f t="shared" si="0"/>
        <v>0</v>
      </c>
      <c r="M11" s="232">
        <f t="shared" si="0"/>
        <v>0</v>
      </c>
      <c r="N11" s="232">
        <f t="shared" si="0"/>
        <v>0</v>
      </c>
      <c r="O11" s="232">
        <f t="shared" si="0"/>
        <v>12030.372995316129</v>
      </c>
      <c r="P11" s="232">
        <f t="shared" si="0"/>
        <v>12030.372995316129</v>
      </c>
      <c r="Q11" s="232">
        <f t="shared" si="0"/>
        <v>11917.385541845897</v>
      </c>
      <c r="R11" s="232">
        <f t="shared" si="0"/>
        <v>11917.385541845897</v>
      </c>
      <c r="S11" s="232">
        <f t="shared" si="0"/>
        <v>11802.831368568357</v>
      </c>
      <c r="T11" s="232">
        <f t="shared" si="0"/>
        <v>11802.831368568357</v>
      </c>
      <c r="U11" s="232">
        <f t="shared" si="0"/>
        <v>11686.67752877131</v>
      </c>
      <c r="V11" s="232">
        <f t="shared" si="0"/>
        <v>11686.67752877131</v>
      </c>
      <c r="W11" s="232">
        <f t="shared" si="0"/>
        <v>11568.890415912329</v>
      </c>
      <c r="X11" s="232">
        <f t="shared" si="0"/>
        <v>11568.890415912329</v>
      </c>
      <c r="Y11" s="232">
        <f t="shared" si="0"/>
        <v>11449.435750349996</v>
      </c>
      <c r="Z11" s="232">
        <f t="shared" si="0"/>
        <v>11449.435750349996</v>
      </c>
      <c r="AA11" s="232">
        <f t="shared" si="0"/>
        <v>11328.278565808636</v>
      </c>
      <c r="AB11" s="232">
        <f t="shared" si="0"/>
        <v>11328.278565808636</v>
      </c>
      <c r="AC11" s="232">
        <f t="shared" si="0"/>
        <v>11205.38319557111</v>
      </c>
      <c r="AD11" s="232">
        <f t="shared" si="0"/>
        <v>11205.38319557111</v>
      </c>
      <c r="AE11" s="232">
        <f t="shared" si="0"/>
        <v>11080.713258394271</v>
      </c>
      <c r="AF11" s="232">
        <f t="shared" si="0"/>
        <v>11080.713258394271</v>
      </c>
      <c r="AG11" s="232">
        <f t="shared" si="0"/>
        <v>10954.231644141451</v>
      </c>
      <c r="AH11" s="232">
        <f t="shared" si="0"/>
        <v>10954.231644141451</v>
      </c>
      <c r="AI11" s="232">
        <f t="shared" si="0"/>
        <v>10825.90049912633</v>
      </c>
      <c r="AJ11" s="232">
        <f t="shared" si="0"/>
        <v>10825.90049912633</v>
      </c>
      <c r="AK11" s="232">
        <f t="shared" si="0"/>
        <v>10695.681211162373</v>
      </c>
      <c r="AL11" s="232">
        <f t="shared" si="0"/>
        <v>10695.681211162373</v>
      </c>
      <c r="AM11" s="232">
        <f t="shared" si="0"/>
        <v>10563.534394311991</v>
      </c>
      <c r="AN11" s="232">
        <f t="shared" si="0"/>
        <v>10563.534394311991</v>
      </c>
      <c r="AO11" s="232">
        <f t="shared" si="0"/>
        <v>10429.419873329294</v>
      </c>
      <c r="AP11" s="232">
        <f t="shared" ref="AP11:CV11" si="1">SUM(AP9:AP10)</f>
        <v>10429.419873329294</v>
      </c>
      <c r="AQ11" s="232">
        <f t="shared" si="1"/>
        <v>10293.296667790337</v>
      </c>
      <c r="AR11" s="232">
        <f t="shared" si="1"/>
        <v>10293.296667790337</v>
      </c>
      <c r="AS11" s="232">
        <f t="shared" si="1"/>
        <v>10155.122975904564</v>
      </c>
      <c r="AT11" s="232">
        <f t="shared" si="1"/>
        <v>10155.122975904564</v>
      </c>
      <c r="AU11" s="232">
        <f t="shared" si="1"/>
        <v>10014.856158001163</v>
      </c>
      <c r="AV11" s="232">
        <f t="shared" si="1"/>
        <v>10014.856158001163</v>
      </c>
      <c r="AW11" s="232">
        <f t="shared" si="1"/>
        <v>9872.4527196835425</v>
      </c>
      <c r="AX11" s="232">
        <f t="shared" si="1"/>
        <v>9872.4527196835425</v>
      </c>
      <c r="AY11" s="232">
        <f t="shared" si="1"/>
        <v>9727.8682946455774</v>
      </c>
      <c r="AZ11" s="232">
        <f t="shared" si="1"/>
        <v>9727.8682946455774</v>
      </c>
      <c r="BA11" s="232">
        <f t="shared" si="1"/>
        <v>9581.0576271425925</v>
      </c>
      <c r="BB11" s="232">
        <f t="shared" si="1"/>
        <v>9581.0576271425925</v>
      </c>
      <c r="BC11" s="232">
        <f t="shared" si="1"/>
        <v>0</v>
      </c>
      <c r="BD11" s="232">
        <f t="shared" si="1"/>
        <v>0</v>
      </c>
      <c r="BE11" s="232">
        <f t="shared" si="1"/>
        <v>0</v>
      </c>
      <c r="BF11" s="232">
        <f t="shared" si="1"/>
        <v>0</v>
      </c>
      <c r="BG11" s="232">
        <f t="shared" si="1"/>
        <v>0</v>
      </c>
      <c r="BH11" s="232">
        <f t="shared" si="1"/>
        <v>0</v>
      </c>
      <c r="BI11" s="232">
        <f t="shared" si="1"/>
        <v>0</v>
      </c>
      <c r="BJ11" s="232">
        <f t="shared" si="1"/>
        <v>0</v>
      </c>
      <c r="BK11" s="232">
        <f t="shared" si="1"/>
        <v>0</v>
      </c>
      <c r="BL11" s="232">
        <f t="shared" si="1"/>
        <v>0</v>
      </c>
      <c r="BM11" s="232">
        <f t="shared" si="1"/>
        <v>0</v>
      </c>
      <c r="BN11" s="232">
        <f t="shared" si="1"/>
        <v>0</v>
      </c>
      <c r="BO11" s="232">
        <f t="shared" si="1"/>
        <v>0</v>
      </c>
      <c r="BP11" s="232">
        <f t="shared" si="1"/>
        <v>0</v>
      </c>
      <c r="BQ11" s="232">
        <f t="shared" si="1"/>
        <v>0</v>
      </c>
      <c r="BR11" s="232">
        <f t="shared" si="1"/>
        <v>0</v>
      </c>
      <c r="BS11" s="232">
        <f t="shared" si="1"/>
        <v>0</v>
      </c>
      <c r="BT11" s="232">
        <f t="shared" si="1"/>
        <v>0</v>
      </c>
      <c r="BU11" s="232">
        <f t="shared" si="1"/>
        <v>0</v>
      </c>
      <c r="BV11" s="232">
        <f t="shared" si="1"/>
        <v>0</v>
      </c>
      <c r="BW11" s="232">
        <f t="shared" si="1"/>
        <v>0</v>
      </c>
      <c r="BX11" s="232">
        <f t="shared" si="1"/>
        <v>0</v>
      </c>
      <c r="BY11" s="232">
        <f t="shared" si="1"/>
        <v>0</v>
      </c>
      <c r="BZ11" s="232">
        <f t="shared" si="1"/>
        <v>0</v>
      </c>
      <c r="CA11" s="232">
        <f t="shared" si="1"/>
        <v>0</v>
      </c>
      <c r="CB11" s="232">
        <f t="shared" si="1"/>
        <v>0</v>
      </c>
      <c r="CC11" s="232">
        <f t="shared" si="1"/>
        <v>0</v>
      </c>
      <c r="CD11" s="232">
        <f t="shared" si="1"/>
        <v>0</v>
      </c>
      <c r="CE11" s="232">
        <f t="shared" si="1"/>
        <v>0</v>
      </c>
      <c r="CF11" s="232">
        <f t="shared" si="1"/>
        <v>0</v>
      </c>
      <c r="CG11" s="232">
        <f t="shared" si="1"/>
        <v>0</v>
      </c>
      <c r="CH11" s="232">
        <f t="shared" si="1"/>
        <v>0</v>
      </c>
      <c r="CI11" s="232">
        <f t="shared" si="1"/>
        <v>0</v>
      </c>
      <c r="CJ11" s="232">
        <f t="shared" si="1"/>
        <v>0</v>
      </c>
      <c r="CK11" s="232">
        <f t="shared" si="1"/>
        <v>0</v>
      </c>
      <c r="CL11" s="232">
        <f t="shared" si="1"/>
        <v>0</v>
      </c>
      <c r="CM11" s="232">
        <f t="shared" si="1"/>
        <v>0</v>
      </c>
      <c r="CN11" s="232">
        <f t="shared" si="1"/>
        <v>0</v>
      </c>
      <c r="CO11" s="232">
        <f t="shared" si="1"/>
        <v>0</v>
      </c>
      <c r="CP11" s="232">
        <f t="shared" si="1"/>
        <v>0</v>
      </c>
      <c r="CQ11" s="232">
        <f t="shared" si="1"/>
        <v>0</v>
      </c>
      <c r="CR11" s="232">
        <f t="shared" si="1"/>
        <v>0</v>
      </c>
      <c r="CS11" s="232">
        <f t="shared" si="1"/>
        <v>0</v>
      </c>
      <c r="CT11" s="232">
        <f t="shared" si="1"/>
        <v>0</v>
      </c>
      <c r="CU11" s="232">
        <f t="shared" si="1"/>
        <v>0</v>
      </c>
      <c r="CV11" s="232">
        <f t="shared" si="1"/>
        <v>0</v>
      </c>
    </row>
    <row r="12" spans="1:100" outlineLevel="1" x14ac:dyDescent="0.2">
      <c r="D12" s="209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</row>
    <row r="13" spans="1:100" outlineLevel="1" x14ac:dyDescent="0.2">
      <c r="D13" s="209"/>
      <c r="E13" s="288" t="str">
        <f xml:space="preserve"> Acct!E$18</f>
        <v>Fixed asset depreciation</v>
      </c>
      <c r="F13" s="288">
        <f xml:space="preserve"> Acct!F$18</f>
        <v>0</v>
      </c>
      <c r="G13" s="288" t="str">
        <f xml:space="preserve"> Acct!G$18</f>
        <v>$ 000s</v>
      </c>
      <c r="H13" s="288">
        <f xml:space="preserve"> Acct!H$18</f>
        <v>-295392.30772000016</v>
      </c>
      <c r="I13" s="288">
        <f xml:space="preserve"> Acct!I$18</f>
        <v>0</v>
      </c>
      <c r="J13" s="288">
        <f xml:space="preserve"> Acct!J$18</f>
        <v>0</v>
      </c>
      <c r="K13" s="288">
        <f xml:space="preserve"> Acct!K$18</f>
        <v>0</v>
      </c>
      <c r="L13" s="288">
        <f xml:space="preserve"> Acct!L$18</f>
        <v>0</v>
      </c>
      <c r="M13" s="288">
        <f xml:space="preserve"> Acct!M$18</f>
        <v>0</v>
      </c>
      <c r="N13" s="288">
        <f xml:space="preserve"> Acct!N$18</f>
        <v>0</v>
      </c>
      <c r="O13" s="288">
        <f xml:space="preserve"> Acct!O$18</f>
        <v>-7384.807692999997</v>
      </c>
      <c r="P13" s="288">
        <f xml:space="preserve"> Acct!P$18</f>
        <v>-7384.807692999997</v>
      </c>
      <c r="Q13" s="288">
        <f xml:space="preserve"> Acct!Q$18</f>
        <v>-7384.807692999997</v>
      </c>
      <c r="R13" s="288">
        <f xml:space="preserve"> Acct!R$18</f>
        <v>-7384.807692999997</v>
      </c>
      <c r="S13" s="288">
        <f xml:space="preserve"> Acct!S$18</f>
        <v>-7384.807692999997</v>
      </c>
      <c r="T13" s="288">
        <f xml:space="preserve"> Acct!T$18</f>
        <v>-7384.807692999997</v>
      </c>
      <c r="U13" s="288">
        <f xml:space="preserve"> Acct!U$18</f>
        <v>-7384.807692999997</v>
      </c>
      <c r="V13" s="288">
        <f xml:space="preserve"> Acct!V$18</f>
        <v>-7384.807692999997</v>
      </c>
      <c r="W13" s="288">
        <f xml:space="preserve"> Acct!W$18</f>
        <v>-7384.807692999997</v>
      </c>
      <c r="X13" s="288">
        <f xml:space="preserve"> Acct!X$18</f>
        <v>-7384.807692999997</v>
      </c>
      <c r="Y13" s="288">
        <f xml:space="preserve"> Acct!Y$18</f>
        <v>-7384.807692999997</v>
      </c>
      <c r="Z13" s="288">
        <f xml:space="preserve"> Acct!Z$18</f>
        <v>-7384.807692999997</v>
      </c>
      <c r="AA13" s="288">
        <f xml:space="preserve"> Acct!AA$18</f>
        <v>-7384.807692999997</v>
      </c>
      <c r="AB13" s="288">
        <f xml:space="preserve"> Acct!AB$18</f>
        <v>-7384.807692999997</v>
      </c>
      <c r="AC13" s="288">
        <f xml:space="preserve"> Acct!AC$18</f>
        <v>-7384.807692999997</v>
      </c>
      <c r="AD13" s="288">
        <f xml:space="preserve"> Acct!AD$18</f>
        <v>-7384.807692999997</v>
      </c>
      <c r="AE13" s="288">
        <f xml:space="preserve"> Acct!AE$18</f>
        <v>-7384.807692999997</v>
      </c>
      <c r="AF13" s="288">
        <f xml:space="preserve"> Acct!AF$18</f>
        <v>-7384.807692999997</v>
      </c>
      <c r="AG13" s="288">
        <f xml:space="preserve"> Acct!AG$18</f>
        <v>-7384.807692999997</v>
      </c>
      <c r="AH13" s="288">
        <f xml:space="preserve"> Acct!AH$18</f>
        <v>-7384.807692999997</v>
      </c>
      <c r="AI13" s="288">
        <f xml:space="preserve"> Acct!AI$18</f>
        <v>-7384.807692999997</v>
      </c>
      <c r="AJ13" s="288">
        <f xml:space="preserve"> Acct!AJ$18</f>
        <v>-7384.807692999997</v>
      </c>
      <c r="AK13" s="288">
        <f xml:space="preserve"> Acct!AK$18</f>
        <v>-7384.807692999997</v>
      </c>
      <c r="AL13" s="288">
        <f xml:space="preserve"> Acct!AL$18</f>
        <v>-7384.807692999997</v>
      </c>
      <c r="AM13" s="288">
        <f xml:space="preserve"> Acct!AM$18</f>
        <v>-7384.807692999997</v>
      </c>
      <c r="AN13" s="288">
        <f xml:space="preserve"> Acct!AN$18</f>
        <v>-7384.807692999997</v>
      </c>
      <c r="AO13" s="288">
        <f xml:space="preserve"> Acct!AO$18</f>
        <v>-7384.807692999997</v>
      </c>
      <c r="AP13" s="288">
        <f xml:space="preserve"> Acct!AP$18</f>
        <v>-7384.807692999997</v>
      </c>
      <c r="AQ13" s="288">
        <f xml:space="preserve"> Acct!AQ$18</f>
        <v>-7384.807692999997</v>
      </c>
      <c r="AR13" s="288">
        <f xml:space="preserve"> Acct!AR$18</f>
        <v>-7384.807692999997</v>
      </c>
      <c r="AS13" s="288">
        <f xml:space="preserve"> Acct!AS$18</f>
        <v>-7384.807692999997</v>
      </c>
      <c r="AT13" s="288">
        <f xml:space="preserve"> Acct!AT$18</f>
        <v>-7384.807692999997</v>
      </c>
      <c r="AU13" s="288">
        <f xml:space="preserve"> Acct!AU$18</f>
        <v>-7384.807692999997</v>
      </c>
      <c r="AV13" s="288">
        <f xml:space="preserve"> Acct!AV$18</f>
        <v>-7384.807692999997</v>
      </c>
      <c r="AW13" s="288">
        <f xml:space="preserve"> Acct!AW$18</f>
        <v>-7384.807692999997</v>
      </c>
      <c r="AX13" s="288">
        <f xml:space="preserve"> Acct!AX$18</f>
        <v>-7384.807692999997</v>
      </c>
      <c r="AY13" s="288">
        <f xml:space="preserve"> Acct!AY$18</f>
        <v>-7384.807692999997</v>
      </c>
      <c r="AZ13" s="288">
        <f xml:space="preserve"> Acct!AZ$18</f>
        <v>-7384.807692999997</v>
      </c>
      <c r="BA13" s="288">
        <f xml:space="preserve"> Acct!BA$18</f>
        <v>-7384.807692999997</v>
      </c>
      <c r="BB13" s="288">
        <f xml:space="preserve"> Acct!BB$18</f>
        <v>-7384.807692999997</v>
      </c>
      <c r="BC13" s="288">
        <f xml:space="preserve"> Acct!BC$18</f>
        <v>0</v>
      </c>
      <c r="BD13" s="288">
        <f xml:space="preserve"> Acct!BD$18</f>
        <v>0</v>
      </c>
      <c r="BE13" s="288">
        <f xml:space="preserve"> Acct!BE$18</f>
        <v>0</v>
      </c>
      <c r="BF13" s="288">
        <f xml:space="preserve"> Acct!BF$18</f>
        <v>0</v>
      </c>
      <c r="BG13" s="288">
        <f xml:space="preserve"> Acct!BG$18</f>
        <v>0</v>
      </c>
      <c r="BH13" s="288">
        <f xml:space="preserve"> Acct!BH$18</f>
        <v>0</v>
      </c>
      <c r="BI13" s="288">
        <f xml:space="preserve"> Acct!BI$18</f>
        <v>0</v>
      </c>
      <c r="BJ13" s="288">
        <f xml:space="preserve"> Acct!BJ$18</f>
        <v>0</v>
      </c>
      <c r="BK13" s="288">
        <f xml:space="preserve"> Acct!BK$18</f>
        <v>0</v>
      </c>
      <c r="BL13" s="288">
        <f xml:space="preserve"> Acct!BL$18</f>
        <v>0</v>
      </c>
      <c r="BM13" s="288">
        <f xml:space="preserve"> Acct!BM$18</f>
        <v>0</v>
      </c>
      <c r="BN13" s="288">
        <f xml:space="preserve"> Acct!BN$18</f>
        <v>0</v>
      </c>
      <c r="BO13" s="288">
        <f xml:space="preserve"> Acct!BO$18</f>
        <v>0</v>
      </c>
      <c r="BP13" s="288">
        <f xml:space="preserve"> Acct!BP$18</f>
        <v>0</v>
      </c>
      <c r="BQ13" s="288">
        <f xml:space="preserve"> Acct!BQ$18</f>
        <v>0</v>
      </c>
      <c r="BR13" s="288">
        <f xml:space="preserve"> Acct!BR$18</f>
        <v>0</v>
      </c>
      <c r="BS13" s="288">
        <f xml:space="preserve"> Acct!BS$18</f>
        <v>0</v>
      </c>
      <c r="BT13" s="288">
        <f xml:space="preserve"> Acct!BT$18</f>
        <v>0</v>
      </c>
      <c r="BU13" s="288">
        <f xml:space="preserve"> Acct!BU$18</f>
        <v>0</v>
      </c>
      <c r="BV13" s="288">
        <f xml:space="preserve"> Acct!BV$18</f>
        <v>0</v>
      </c>
      <c r="BW13" s="288">
        <f xml:space="preserve"> Acct!BW$18</f>
        <v>0</v>
      </c>
      <c r="BX13" s="288">
        <f xml:space="preserve"> Acct!BX$18</f>
        <v>0</v>
      </c>
      <c r="BY13" s="288">
        <f xml:space="preserve"> Acct!BY$18</f>
        <v>0</v>
      </c>
      <c r="BZ13" s="288">
        <f xml:space="preserve"> Acct!BZ$18</f>
        <v>0</v>
      </c>
      <c r="CA13" s="288">
        <f xml:space="preserve"> Acct!CA$18</f>
        <v>0</v>
      </c>
      <c r="CB13" s="288">
        <f xml:space="preserve"> Acct!CB$18</f>
        <v>0</v>
      </c>
      <c r="CC13" s="288">
        <f xml:space="preserve"> Acct!CC$18</f>
        <v>0</v>
      </c>
      <c r="CD13" s="288">
        <f xml:space="preserve"> Acct!CD$18</f>
        <v>0</v>
      </c>
      <c r="CE13" s="288">
        <f xml:space="preserve"> Acct!CE$18</f>
        <v>0</v>
      </c>
      <c r="CF13" s="288">
        <f xml:space="preserve"> Acct!CF$18</f>
        <v>0</v>
      </c>
      <c r="CG13" s="288">
        <f xml:space="preserve"> Acct!CG$18</f>
        <v>0</v>
      </c>
      <c r="CH13" s="288">
        <f xml:space="preserve"> Acct!CH$18</f>
        <v>0</v>
      </c>
      <c r="CI13" s="288">
        <f xml:space="preserve"> Acct!CI$18</f>
        <v>0</v>
      </c>
      <c r="CJ13" s="288">
        <f xml:space="preserve"> Acct!CJ$18</f>
        <v>0</v>
      </c>
      <c r="CK13" s="288">
        <f xml:space="preserve"> Acct!CK$18</f>
        <v>0</v>
      </c>
      <c r="CL13" s="288">
        <f xml:space="preserve"> Acct!CL$18</f>
        <v>0</v>
      </c>
      <c r="CM13" s="288">
        <f xml:space="preserve"> Acct!CM$18</f>
        <v>0</v>
      </c>
      <c r="CN13" s="288">
        <f xml:space="preserve"> Acct!CN$18</f>
        <v>0</v>
      </c>
      <c r="CO13" s="288">
        <f xml:space="preserve"> Acct!CO$18</f>
        <v>0</v>
      </c>
      <c r="CP13" s="288">
        <f xml:space="preserve"> Acct!CP$18</f>
        <v>0</v>
      </c>
      <c r="CQ13" s="288">
        <f xml:space="preserve"> Acct!CQ$18</f>
        <v>0</v>
      </c>
      <c r="CR13" s="288">
        <f xml:space="preserve"> Acct!CR$18</f>
        <v>0</v>
      </c>
      <c r="CS13" s="288">
        <f xml:space="preserve"> Acct!CS$18</f>
        <v>0</v>
      </c>
      <c r="CT13" s="288">
        <f xml:space="preserve"> Acct!CT$18</f>
        <v>0</v>
      </c>
      <c r="CU13" s="288">
        <f xml:space="preserve"> Acct!CU$18</f>
        <v>0</v>
      </c>
      <c r="CV13" s="288">
        <f xml:space="preserve"> Acct!CV$18</f>
        <v>0</v>
      </c>
    </row>
    <row r="14" spans="1:100" outlineLevel="1" x14ac:dyDescent="0.2">
      <c r="D14" s="209"/>
      <c r="E14" s="235" t="str">
        <f xml:space="preserve"> Acct!E$38</f>
        <v>Amortisation of capitalised finance costs</v>
      </c>
      <c r="F14" s="235">
        <f xml:space="preserve"> Acct!F$38</f>
        <v>0</v>
      </c>
      <c r="G14" s="235" t="str">
        <f xml:space="preserve"> Acct!G$38</f>
        <v>$ 000s</v>
      </c>
      <c r="H14" s="235">
        <f xml:space="preserve"> Acct!H$38</f>
        <v>-24335.550022039683</v>
      </c>
      <c r="I14" s="235">
        <f xml:space="preserve"> Acct!I$38</f>
        <v>0</v>
      </c>
      <c r="J14" s="235">
        <f xml:space="preserve"> Acct!J$38</f>
        <v>0</v>
      </c>
      <c r="K14" s="235">
        <f xml:space="preserve"> Acct!K$38</f>
        <v>0</v>
      </c>
      <c r="L14" s="235">
        <f xml:space="preserve"> Acct!L$38</f>
        <v>0</v>
      </c>
      <c r="M14" s="235">
        <f xml:space="preserve"> Acct!M$38</f>
        <v>0</v>
      </c>
      <c r="N14" s="235">
        <f xml:space="preserve"> Acct!N$38</f>
        <v>0</v>
      </c>
      <c r="O14" s="235">
        <f xml:space="preserve"> Acct!O$38</f>
        <v>-715.75147123646184</v>
      </c>
      <c r="P14" s="235">
        <f xml:space="preserve"> Acct!P$38</f>
        <v>-715.75147123646184</v>
      </c>
      <c r="Q14" s="235">
        <f xml:space="preserve"> Acct!Q$38</f>
        <v>-715.75147123646184</v>
      </c>
      <c r="R14" s="235">
        <f xml:space="preserve"> Acct!R$38</f>
        <v>-715.75147123646184</v>
      </c>
      <c r="S14" s="235">
        <f xml:space="preserve"> Acct!S$38</f>
        <v>-715.75147123646184</v>
      </c>
      <c r="T14" s="235">
        <f xml:space="preserve"> Acct!T$38</f>
        <v>-715.75147123646184</v>
      </c>
      <c r="U14" s="235">
        <f xml:space="preserve"> Acct!U$38</f>
        <v>-715.75147123646184</v>
      </c>
      <c r="V14" s="235">
        <f xml:space="preserve"> Acct!V$38</f>
        <v>-715.75147123646184</v>
      </c>
      <c r="W14" s="235">
        <f xml:space="preserve"> Acct!W$38</f>
        <v>-715.75147123646184</v>
      </c>
      <c r="X14" s="235">
        <f xml:space="preserve"> Acct!X$38</f>
        <v>-715.75147123646184</v>
      </c>
      <c r="Y14" s="235">
        <f xml:space="preserve"> Acct!Y$38</f>
        <v>-715.75147123646184</v>
      </c>
      <c r="Z14" s="235">
        <f xml:space="preserve"> Acct!Z$38</f>
        <v>-715.75147123646184</v>
      </c>
      <c r="AA14" s="235">
        <f xml:space="preserve"> Acct!AA$38</f>
        <v>-715.75147123646184</v>
      </c>
      <c r="AB14" s="235">
        <f xml:space="preserve"> Acct!AB$38</f>
        <v>-715.75147123646184</v>
      </c>
      <c r="AC14" s="235">
        <f xml:space="preserve"> Acct!AC$38</f>
        <v>-715.75147123646184</v>
      </c>
      <c r="AD14" s="235">
        <f xml:space="preserve"> Acct!AD$38</f>
        <v>-715.75147123646184</v>
      </c>
      <c r="AE14" s="235">
        <f xml:space="preserve"> Acct!AE$38</f>
        <v>-715.75147123646184</v>
      </c>
      <c r="AF14" s="235">
        <f xml:space="preserve"> Acct!AF$38</f>
        <v>-715.75147123646184</v>
      </c>
      <c r="AG14" s="235">
        <f xml:space="preserve"> Acct!AG$38</f>
        <v>-715.75147123646184</v>
      </c>
      <c r="AH14" s="235">
        <f xml:space="preserve"> Acct!AH$38</f>
        <v>-715.75147123646184</v>
      </c>
      <c r="AI14" s="235">
        <f xml:space="preserve"> Acct!AI$38</f>
        <v>-715.75147123646184</v>
      </c>
      <c r="AJ14" s="235">
        <f xml:space="preserve"> Acct!AJ$38</f>
        <v>-715.75147123646184</v>
      </c>
      <c r="AK14" s="235">
        <f xml:space="preserve"> Acct!AK$38</f>
        <v>-715.75147123646184</v>
      </c>
      <c r="AL14" s="235">
        <f xml:space="preserve"> Acct!AL$38</f>
        <v>-715.75147123646184</v>
      </c>
      <c r="AM14" s="235">
        <f xml:space="preserve"> Acct!AM$38</f>
        <v>-715.75147123646184</v>
      </c>
      <c r="AN14" s="235">
        <f xml:space="preserve"> Acct!AN$38</f>
        <v>-715.75147123646184</v>
      </c>
      <c r="AO14" s="235">
        <f xml:space="preserve"> Acct!AO$38</f>
        <v>-715.75147123646184</v>
      </c>
      <c r="AP14" s="235">
        <f xml:space="preserve"> Acct!AP$38</f>
        <v>-715.75147123646184</v>
      </c>
      <c r="AQ14" s="235">
        <f xml:space="preserve"> Acct!AQ$38</f>
        <v>-715.75147123646184</v>
      </c>
      <c r="AR14" s="235">
        <f xml:space="preserve"> Acct!AR$38</f>
        <v>-715.75147123646184</v>
      </c>
      <c r="AS14" s="235">
        <f xml:space="preserve"> Acct!AS$38</f>
        <v>-715.75147123646184</v>
      </c>
      <c r="AT14" s="235">
        <f xml:space="preserve"> Acct!AT$38</f>
        <v>-715.75147123646184</v>
      </c>
      <c r="AU14" s="235">
        <f xml:space="preserve"> Acct!AU$38</f>
        <v>-715.75147123646184</v>
      </c>
      <c r="AV14" s="235">
        <f xml:space="preserve"> Acct!AV$38</f>
        <v>-715.75147123646184</v>
      </c>
      <c r="AW14" s="235">
        <f xml:space="preserve"> Acct!AW$38</f>
        <v>0</v>
      </c>
      <c r="AX14" s="235">
        <f xml:space="preserve"> Acct!AX$38</f>
        <v>0</v>
      </c>
      <c r="AY14" s="235">
        <f xml:space="preserve"> Acct!AY$38</f>
        <v>0</v>
      </c>
      <c r="AZ14" s="235">
        <f xml:space="preserve"> Acct!AZ$38</f>
        <v>0</v>
      </c>
      <c r="BA14" s="235">
        <f xml:space="preserve"> Acct!BA$38</f>
        <v>0</v>
      </c>
      <c r="BB14" s="235">
        <f xml:space="preserve"> Acct!BB$38</f>
        <v>0</v>
      </c>
      <c r="BC14" s="235">
        <f xml:space="preserve"> Acct!BC$38</f>
        <v>0</v>
      </c>
      <c r="BD14" s="235">
        <f xml:space="preserve"> Acct!BD$38</f>
        <v>0</v>
      </c>
      <c r="BE14" s="235">
        <f xml:space="preserve"> Acct!BE$38</f>
        <v>0</v>
      </c>
      <c r="BF14" s="235">
        <f xml:space="preserve"> Acct!BF$38</f>
        <v>0</v>
      </c>
      <c r="BG14" s="235">
        <f xml:space="preserve"> Acct!BG$38</f>
        <v>0</v>
      </c>
      <c r="BH14" s="235">
        <f xml:space="preserve"> Acct!BH$38</f>
        <v>0</v>
      </c>
      <c r="BI14" s="235">
        <f xml:space="preserve"> Acct!BI$38</f>
        <v>0</v>
      </c>
      <c r="BJ14" s="235">
        <f xml:space="preserve"> Acct!BJ$38</f>
        <v>0</v>
      </c>
      <c r="BK14" s="235">
        <f xml:space="preserve"> Acct!BK$38</f>
        <v>0</v>
      </c>
      <c r="BL14" s="235">
        <f xml:space="preserve"> Acct!BL$38</f>
        <v>0</v>
      </c>
      <c r="BM14" s="235">
        <f xml:space="preserve"> Acct!BM$38</f>
        <v>0</v>
      </c>
      <c r="BN14" s="235">
        <f xml:space="preserve"> Acct!BN$38</f>
        <v>0</v>
      </c>
      <c r="BO14" s="235">
        <f xml:space="preserve"> Acct!BO$38</f>
        <v>0</v>
      </c>
      <c r="BP14" s="235">
        <f xml:space="preserve"> Acct!BP$38</f>
        <v>0</v>
      </c>
      <c r="BQ14" s="235">
        <f xml:space="preserve"> Acct!BQ$38</f>
        <v>0</v>
      </c>
      <c r="BR14" s="235">
        <f xml:space="preserve"> Acct!BR$38</f>
        <v>0</v>
      </c>
      <c r="BS14" s="235">
        <f xml:space="preserve"> Acct!BS$38</f>
        <v>0</v>
      </c>
      <c r="BT14" s="235">
        <f xml:space="preserve"> Acct!BT$38</f>
        <v>0</v>
      </c>
      <c r="BU14" s="235">
        <f xml:space="preserve"> Acct!BU$38</f>
        <v>0</v>
      </c>
      <c r="BV14" s="235">
        <f xml:space="preserve"> Acct!BV$38</f>
        <v>0</v>
      </c>
      <c r="BW14" s="235">
        <f xml:space="preserve"> Acct!BW$38</f>
        <v>0</v>
      </c>
      <c r="BX14" s="235">
        <f xml:space="preserve"> Acct!BX$38</f>
        <v>0</v>
      </c>
      <c r="BY14" s="235">
        <f xml:space="preserve"> Acct!BY$38</f>
        <v>0</v>
      </c>
      <c r="BZ14" s="235">
        <f xml:space="preserve"> Acct!BZ$38</f>
        <v>0</v>
      </c>
      <c r="CA14" s="235">
        <f xml:space="preserve"> Acct!CA$38</f>
        <v>0</v>
      </c>
      <c r="CB14" s="235">
        <f xml:space="preserve"> Acct!CB$38</f>
        <v>0</v>
      </c>
      <c r="CC14" s="235">
        <f xml:space="preserve"> Acct!CC$38</f>
        <v>0</v>
      </c>
      <c r="CD14" s="235">
        <f xml:space="preserve"> Acct!CD$38</f>
        <v>0</v>
      </c>
      <c r="CE14" s="235">
        <f xml:space="preserve"> Acct!CE$38</f>
        <v>0</v>
      </c>
      <c r="CF14" s="235">
        <f xml:space="preserve"> Acct!CF$38</f>
        <v>0</v>
      </c>
      <c r="CG14" s="235">
        <f xml:space="preserve"> Acct!CG$38</f>
        <v>0</v>
      </c>
      <c r="CH14" s="235">
        <f xml:space="preserve"> Acct!CH$38</f>
        <v>0</v>
      </c>
      <c r="CI14" s="235">
        <f xml:space="preserve"> Acct!CI$38</f>
        <v>0</v>
      </c>
      <c r="CJ14" s="235">
        <f xml:space="preserve"> Acct!CJ$38</f>
        <v>0</v>
      </c>
      <c r="CK14" s="235">
        <f xml:space="preserve"> Acct!CK$38</f>
        <v>0</v>
      </c>
      <c r="CL14" s="235">
        <f xml:space="preserve"> Acct!CL$38</f>
        <v>0</v>
      </c>
      <c r="CM14" s="235">
        <f xml:space="preserve"> Acct!CM$38</f>
        <v>0</v>
      </c>
      <c r="CN14" s="235">
        <f xml:space="preserve"> Acct!CN$38</f>
        <v>0</v>
      </c>
      <c r="CO14" s="235">
        <f xml:space="preserve"> Acct!CO$38</f>
        <v>0</v>
      </c>
      <c r="CP14" s="235">
        <f xml:space="preserve"> Acct!CP$38</f>
        <v>0</v>
      </c>
      <c r="CQ14" s="235">
        <f xml:space="preserve"> Acct!CQ$38</f>
        <v>0</v>
      </c>
      <c r="CR14" s="235">
        <f xml:space="preserve"> Acct!CR$38</f>
        <v>0</v>
      </c>
      <c r="CS14" s="235">
        <f xml:space="preserve"> Acct!CS$38</f>
        <v>0</v>
      </c>
      <c r="CT14" s="235">
        <f xml:space="preserve"> Acct!CT$38</f>
        <v>0</v>
      </c>
      <c r="CU14" s="235">
        <f xml:space="preserve"> Acct!CU$38</f>
        <v>0</v>
      </c>
      <c r="CV14" s="235">
        <f xml:space="preserve"> Acct!CV$38</f>
        <v>0</v>
      </c>
    </row>
    <row r="15" spans="1:100" outlineLevel="1" x14ac:dyDescent="0.2">
      <c r="D15" s="209"/>
      <c r="E15" s="232" t="s">
        <v>1148</v>
      </c>
      <c r="F15" s="232"/>
      <c r="G15" s="232" t="str">
        <f xml:space="preserve"> SMU</f>
        <v>$ 000s</v>
      </c>
      <c r="H15" s="232">
        <f xml:space="preserve"> SUM(J15:CV15)</f>
        <v>114638.92362951496</v>
      </c>
      <c r="I15" s="232"/>
      <c r="J15" s="232">
        <f t="shared" ref="J15:AO15" si="2" xml:space="preserve"> J11 + SUM(J13:J14)</f>
        <v>0</v>
      </c>
      <c r="K15" s="232">
        <f t="shared" si="2"/>
        <v>0</v>
      </c>
      <c r="L15" s="232">
        <f t="shared" si="2"/>
        <v>0</v>
      </c>
      <c r="M15" s="232">
        <f t="shared" si="2"/>
        <v>0</v>
      </c>
      <c r="N15" s="232">
        <f t="shared" si="2"/>
        <v>0</v>
      </c>
      <c r="O15" s="232">
        <f t="shared" si="2"/>
        <v>3929.8138310796703</v>
      </c>
      <c r="P15" s="232">
        <f t="shared" si="2"/>
        <v>3929.8138310796703</v>
      </c>
      <c r="Q15" s="232">
        <f t="shared" si="2"/>
        <v>3816.8263776094382</v>
      </c>
      <c r="R15" s="232">
        <f t="shared" si="2"/>
        <v>3816.8263776094382</v>
      </c>
      <c r="S15" s="232">
        <f t="shared" si="2"/>
        <v>3702.2722043318981</v>
      </c>
      <c r="T15" s="232">
        <f t="shared" si="2"/>
        <v>3702.2722043318981</v>
      </c>
      <c r="U15" s="232">
        <f t="shared" si="2"/>
        <v>3586.118364534851</v>
      </c>
      <c r="V15" s="232">
        <f t="shared" si="2"/>
        <v>3586.118364534851</v>
      </c>
      <c r="W15" s="232">
        <f t="shared" si="2"/>
        <v>3468.3312516758697</v>
      </c>
      <c r="X15" s="232">
        <f t="shared" si="2"/>
        <v>3468.3312516758697</v>
      </c>
      <c r="Y15" s="232">
        <f t="shared" si="2"/>
        <v>3348.8765861135371</v>
      </c>
      <c r="Z15" s="232">
        <f t="shared" si="2"/>
        <v>3348.8765861135371</v>
      </c>
      <c r="AA15" s="232">
        <f t="shared" si="2"/>
        <v>3227.719401572177</v>
      </c>
      <c r="AB15" s="232">
        <f t="shared" si="2"/>
        <v>3227.719401572177</v>
      </c>
      <c r="AC15" s="232">
        <f t="shared" si="2"/>
        <v>3104.8240313346514</v>
      </c>
      <c r="AD15" s="232">
        <f t="shared" si="2"/>
        <v>3104.8240313346514</v>
      </c>
      <c r="AE15" s="232">
        <f t="shared" si="2"/>
        <v>2980.1540941578123</v>
      </c>
      <c r="AF15" s="232">
        <f t="shared" si="2"/>
        <v>2980.1540941578123</v>
      </c>
      <c r="AG15" s="232">
        <f t="shared" si="2"/>
        <v>2853.6724799049925</v>
      </c>
      <c r="AH15" s="232">
        <f t="shared" si="2"/>
        <v>2853.6724799049925</v>
      </c>
      <c r="AI15" s="232">
        <f t="shared" si="2"/>
        <v>2725.3413348898712</v>
      </c>
      <c r="AJ15" s="232">
        <f t="shared" si="2"/>
        <v>2725.3413348898712</v>
      </c>
      <c r="AK15" s="232">
        <f t="shared" si="2"/>
        <v>2595.1220469259142</v>
      </c>
      <c r="AL15" s="232">
        <f t="shared" si="2"/>
        <v>2595.1220469259142</v>
      </c>
      <c r="AM15" s="232">
        <f t="shared" si="2"/>
        <v>2462.9752300755326</v>
      </c>
      <c r="AN15" s="232">
        <f t="shared" si="2"/>
        <v>2462.9752300755326</v>
      </c>
      <c r="AO15" s="232">
        <f t="shared" si="2"/>
        <v>2328.8607090928354</v>
      </c>
      <c r="AP15" s="232">
        <f t="shared" ref="AP15:BU15" si="3" xml:space="preserve"> AP11 + SUM(AP13:AP14)</f>
        <v>2328.8607090928354</v>
      </c>
      <c r="AQ15" s="232">
        <f t="shared" si="3"/>
        <v>2192.737503553878</v>
      </c>
      <c r="AR15" s="232">
        <f t="shared" si="3"/>
        <v>2192.737503553878</v>
      </c>
      <c r="AS15" s="232">
        <f t="shared" si="3"/>
        <v>2054.5638116681048</v>
      </c>
      <c r="AT15" s="232">
        <f t="shared" si="3"/>
        <v>2054.5638116681048</v>
      </c>
      <c r="AU15" s="232">
        <f t="shared" si="3"/>
        <v>1914.296993764704</v>
      </c>
      <c r="AV15" s="232">
        <f t="shared" si="3"/>
        <v>1914.296993764704</v>
      </c>
      <c r="AW15" s="232">
        <f t="shared" si="3"/>
        <v>2487.6450266835454</v>
      </c>
      <c r="AX15" s="232">
        <f t="shared" si="3"/>
        <v>2487.6450266835454</v>
      </c>
      <c r="AY15" s="232">
        <f t="shared" si="3"/>
        <v>2343.0606016455804</v>
      </c>
      <c r="AZ15" s="232">
        <f t="shared" si="3"/>
        <v>2343.0606016455804</v>
      </c>
      <c r="BA15" s="232">
        <f t="shared" si="3"/>
        <v>2196.2499341425955</v>
      </c>
      <c r="BB15" s="232">
        <f t="shared" si="3"/>
        <v>2196.2499341425955</v>
      </c>
      <c r="BC15" s="232">
        <f t="shared" si="3"/>
        <v>0</v>
      </c>
      <c r="BD15" s="232">
        <f t="shared" si="3"/>
        <v>0</v>
      </c>
      <c r="BE15" s="232">
        <f t="shared" si="3"/>
        <v>0</v>
      </c>
      <c r="BF15" s="232">
        <f t="shared" si="3"/>
        <v>0</v>
      </c>
      <c r="BG15" s="232">
        <f t="shared" si="3"/>
        <v>0</v>
      </c>
      <c r="BH15" s="232">
        <f t="shared" si="3"/>
        <v>0</v>
      </c>
      <c r="BI15" s="232">
        <f t="shared" si="3"/>
        <v>0</v>
      </c>
      <c r="BJ15" s="232">
        <f t="shared" si="3"/>
        <v>0</v>
      </c>
      <c r="BK15" s="232">
        <f t="shared" si="3"/>
        <v>0</v>
      </c>
      <c r="BL15" s="232">
        <f t="shared" si="3"/>
        <v>0</v>
      </c>
      <c r="BM15" s="232">
        <f t="shared" si="3"/>
        <v>0</v>
      </c>
      <c r="BN15" s="232">
        <f t="shared" si="3"/>
        <v>0</v>
      </c>
      <c r="BO15" s="232">
        <f t="shared" si="3"/>
        <v>0</v>
      </c>
      <c r="BP15" s="232">
        <f t="shared" si="3"/>
        <v>0</v>
      </c>
      <c r="BQ15" s="232">
        <f t="shared" si="3"/>
        <v>0</v>
      </c>
      <c r="BR15" s="232">
        <f t="shared" si="3"/>
        <v>0</v>
      </c>
      <c r="BS15" s="232">
        <f t="shared" si="3"/>
        <v>0</v>
      </c>
      <c r="BT15" s="232">
        <f t="shared" si="3"/>
        <v>0</v>
      </c>
      <c r="BU15" s="232">
        <f t="shared" si="3"/>
        <v>0</v>
      </c>
      <c r="BV15" s="232">
        <f t="shared" ref="BV15:CV15" si="4" xml:space="preserve"> BV11 + SUM(BV13:BV14)</f>
        <v>0</v>
      </c>
      <c r="BW15" s="232">
        <f t="shared" si="4"/>
        <v>0</v>
      </c>
      <c r="BX15" s="232">
        <f t="shared" si="4"/>
        <v>0</v>
      </c>
      <c r="BY15" s="232">
        <f t="shared" si="4"/>
        <v>0</v>
      </c>
      <c r="BZ15" s="232">
        <f t="shared" si="4"/>
        <v>0</v>
      </c>
      <c r="CA15" s="232">
        <f t="shared" si="4"/>
        <v>0</v>
      </c>
      <c r="CB15" s="232">
        <f t="shared" si="4"/>
        <v>0</v>
      </c>
      <c r="CC15" s="232">
        <f t="shared" si="4"/>
        <v>0</v>
      </c>
      <c r="CD15" s="232">
        <f t="shared" si="4"/>
        <v>0</v>
      </c>
      <c r="CE15" s="232">
        <f t="shared" si="4"/>
        <v>0</v>
      </c>
      <c r="CF15" s="232">
        <f t="shared" si="4"/>
        <v>0</v>
      </c>
      <c r="CG15" s="232">
        <f t="shared" si="4"/>
        <v>0</v>
      </c>
      <c r="CH15" s="232">
        <f t="shared" si="4"/>
        <v>0</v>
      </c>
      <c r="CI15" s="232">
        <f t="shared" si="4"/>
        <v>0</v>
      </c>
      <c r="CJ15" s="232">
        <f t="shared" si="4"/>
        <v>0</v>
      </c>
      <c r="CK15" s="232">
        <f t="shared" si="4"/>
        <v>0</v>
      </c>
      <c r="CL15" s="232">
        <f t="shared" si="4"/>
        <v>0</v>
      </c>
      <c r="CM15" s="232">
        <f t="shared" si="4"/>
        <v>0</v>
      </c>
      <c r="CN15" s="232">
        <f t="shared" si="4"/>
        <v>0</v>
      </c>
      <c r="CO15" s="232">
        <f t="shared" si="4"/>
        <v>0</v>
      </c>
      <c r="CP15" s="232">
        <f t="shared" si="4"/>
        <v>0</v>
      </c>
      <c r="CQ15" s="232">
        <f t="shared" si="4"/>
        <v>0</v>
      </c>
      <c r="CR15" s="232">
        <f t="shared" si="4"/>
        <v>0</v>
      </c>
      <c r="CS15" s="232">
        <f t="shared" si="4"/>
        <v>0</v>
      </c>
      <c r="CT15" s="232">
        <f t="shared" si="4"/>
        <v>0</v>
      </c>
      <c r="CU15" s="232">
        <f t="shared" si="4"/>
        <v>0</v>
      </c>
      <c r="CV15" s="232">
        <f t="shared" si="4"/>
        <v>0</v>
      </c>
    </row>
    <row r="16" spans="1:100" outlineLevel="1" x14ac:dyDescent="0.2">
      <c r="D16" s="209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</row>
    <row r="17" spans="1:192" s="192" customFormat="1" outlineLevel="1" x14ac:dyDescent="0.2">
      <c r="A17" s="205"/>
      <c r="B17" s="205"/>
      <c r="C17" s="206"/>
      <c r="D17" s="209"/>
      <c r="E17" s="235" t="str">
        <f xml:space="preserve"> Debt!E$238</f>
        <v>Senior debt interest - T1</v>
      </c>
      <c r="F17" s="235">
        <f xml:space="preserve"> Debt!F$238</f>
        <v>0</v>
      </c>
      <c r="G17" s="235" t="str">
        <f xml:space="preserve"> Debt!G$238</f>
        <v>$ 000s</v>
      </c>
      <c r="H17" s="235">
        <f xml:space="preserve"> Debt!H$238</f>
        <v>-58932.622085008683</v>
      </c>
      <c r="I17" s="235">
        <f xml:space="preserve"> Debt!I$238</f>
        <v>0</v>
      </c>
      <c r="J17" s="235">
        <f xml:space="preserve"> Debt!J$238</f>
        <v>0</v>
      </c>
      <c r="K17" s="235">
        <f xml:space="preserve"> Debt!K$238</f>
        <v>0</v>
      </c>
      <c r="L17" s="235">
        <f xml:space="preserve"> Debt!L$238</f>
        <v>0</v>
      </c>
      <c r="M17" s="235">
        <f xml:space="preserve"> Debt!M$238</f>
        <v>0</v>
      </c>
      <c r="N17" s="235">
        <f xml:space="preserve"> Debt!N$238</f>
        <v>0</v>
      </c>
      <c r="O17" s="235">
        <f xml:space="preserve"> Debt!O$238</f>
        <v>-2687.5177475939608</v>
      </c>
      <c r="P17" s="235">
        <f xml:space="preserve"> Debt!P$238</f>
        <v>-2582.7239566536373</v>
      </c>
      <c r="Q17" s="235">
        <f xml:space="preserve"> Debt!Q$238</f>
        <v>-2574.328504175005</v>
      </c>
      <c r="R17" s="235">
        <f xml:space="preserve"> Debt!R$238</f>
        <v>-2481.3813281599528</v>
      </c>
      <c r="S17" s="235">
        <f xml:space="preserve"> Debt!S$238</f>
        <v>-2469.7293209345407</v>
      </c>
      <c r="T17" s="235">
        <f xml:space="preserve"> Debt!T$238</f>
        <v>-2376.876065985799</v>
      </c>
      <c r="U17" s="235">
        <f xml:space="preserve"> Debt!U$238</f>
        <v>-2361.8520922003349</v>
      </c>
      <c r="V17" s="235">
        <f xml:space="preserve"> Debt!V$238</f>
        <v>-2281.6182261919198</v>
      </c>
      <c r="W17" s="235">
        <f xml:space="preserve"> Debt!W$238</f>
        <v>-2250.6592852748454</v>
      </c>
      <c r="X17" s="235">
        <f xml:space="preserve"> Debt!X$238</f>
        <v>-2158.0922847899237</v>
      </c>
      <c r="Y17" s="235">
        <f xml:space="preserve"> Debt!Y$238</f>
        <v>-2237.6804315095601</v>
      </c>
      <c r="Z17" s="235">
        <f xml:space="preserve"> Debt!Z$238</f>
        <v>-2142.3886900549105</v>
      </c>
      <c r="AA17" s="235">
        <f xml:space="preserve"> Debt!AA$238</f>
        <v>-2117.0515797327043</v>
      </c>
      <c r="AB17" s="235">
        <f xml:space="preserve"> Debt!AB$238</f>
        <v>-2021.7094910691326</v>
      </c>
      <c r="AC17" s="235">
        <f xml:space="preserve"> Debt!AC$238</f>
        <v>-1992.3163229370118</v>
      </c>
      <c r="AD17" s="235">
        <f xml:space="preserve"> Debt!AD$238</f>
        <v>-1907.3851466300987</v>
      </c>
      <c r="AE17" s="235">
        <f xml:space="preserve"> Debt!AE$238</f>
        <v>-1863.349317892918</v>
      </c>
      <c r="AF17" s="235">
        <f xml:space="preserve"> Debt!AF$238</f>
        <v>-1767.9820934948079</v>
      </c>
      <c r="AG17" s="235">
        <f xml:space="preserve"> Debt!AG$238</f>
        <v>-1730.0089819557033</v>
      </c>
      <c r="AH17" s="235">
        <f xml:space="preserve"> Debt!AH$238</f>
        <v>-1634.3997473361794</v>
      </c>
      <c r="AI17" s="235">
        <f xml:space="preserve"> Debt!AI$238</f>
        <v>-1664.2398160286421</v>
      </c>
      <c r="AJ17" s="235">
        <f xml:space="preserve"> Debt!AJ$238</f>
        <v>-1565.5385581725184</v>
      </c>
      <c r="AK17" s="235">
        <f xml:space="preserve"> Debt!AK$238</f>
        <v>-1517.504166079535</v>
      </c>
      <c r="AL17" s="235">
        <f xml:space="preserve"> Debt!AL$238</f>
        <v>-1426.3062182693025</v>
      </c>
      <c r="AM17" s="235">
        <f xml:space="preserve"> Debt!AM$238</f>
        <v>-1365.2015310096476</v>
      </c>
      <c r="AN17" s="235">
        <f xml:space="preserve"> Debt!AN$238</f>
        <v>-1265.9321561833478</v>
      </c>
      <c r="AO17" s="235">
        <f xml:space="preserve"> Debt!AO$238</f>
        <v>-1207.2384434234541</v>
      </c>
      <c r="AP17" s="235">
        <f xml:space="preserve"> Debt!AP$238</f>
        <v>-1107.4310609472375</v>
      </c>
      <c r="AQ17" s="235">
        <f xml:space="preserve"> Debt!AQ$238</f>
        <v>-1043.0631804876928</v>
      </c>
      <c r="AR17" s="235">
        <f xml:space="preserve"> Debt!AR$238</f>
        <v>-942.81174989072917</v>
      </c>
      <c r="AS17" s="235">
        <f xml:space="preserve"> Debt!AS$238</f>
        <v>-872.52701382584769</v>
      </c>
      <c r="AT17" s="235">
        <f xml:space="preserve"> Debt!AT$238</f>
        <v>-652.41628467561759</v>
      </c>
      <c r="AU17" s="235">
        <f xml:space="preserve"> Debt!AU$238</f>
        <v>-443.63241738550107</v>
      </c>
      <c r="AV17" s="235">
        <f xml:space="preserve"> Debt!AV$238</f>
        <v>-219.7301918317994</v>
      </c>
      <c r="AW17" s="235">
        <f xml:space="preserve"> Debt!AW$238</f>
        <v>2.2123232123425019E-4</v>
      </c>
      <c r="AX17" s="235">
        <f xml:space="preserve"> Debt!AX$238</f>
        <v>2.1762527251847438E-4</v>
      </c>
      <c r="AY17" s="235">
        <f xml:space="preserve"> Debt!AY$238</f>
        <v>2.2123232123425019E-4</v>
      </c>
      <c r="AZ17" s="235">
        <f xml:space="preserve"> Debt!AZ$238</f>
        <v>2.1762527251847438E-4</v>
      </c>
      <c r="BA17" s="235">
        <f xml:space="preserve"> Debt!BA$238</f>
        <v>2.2123232123425019E-4</v>
      </c>
      <c r="BB17" s="235">
        <f xml:space="preserve"> Debt!BB$238</f>
        <v>2.1882762209039967E-4</v>
      </c>
      <c r="BC17" s="235">
        <f xml:space="preserve"> Debt!BC$238</f>
        <v>0</v>
      </c>
      <c r="BD17" s="235">
        <f xml:space="preserve"> Debt!BD$238</f>
        <v>0</v>
      </c>
      <c r="BE17" s="235">
        <f xml:space="preserve"> Debt!BE$238</f>
        <v>0</v>
      </c>
      <c r="BF17" s="235">
        <f xml:space="preserve"> Debt!BF$238</f>
        <v>0</v>
      </c>
      <c r="BG17" s="235">
        <f xml:space="preserve"> Debt!BG$238</f>
        <v>0</v>
      </c>
      <c r="BH17" s="235">
        <f xml:space="preserve"> Debt!BH$238</f>
        <v>0</v>
      </c>
      <c r="BI17" s="235">
        <f xml:space="preserve"> Debt!BI$238</f>
        <v>0</v>
      </c>
      <c r="BJ17" s="235">
        <f xml:space="preserve"> Debt!BJ$238</f>
        <v>0</v>
      </c>
      <c r="BK17" s="235">
        <f xml:space="preserve"> Debt!BK$238</f>
        <v>0</v>
      </c>
      <c r="BL17" s="235">
        <f xml:space="preserve"> Debt!BL$238</f>
        <v>0</v>
      </c>
      <c r="BM17" s="235">
        <f xml:space="preserve"> Debt!BM$238</f>
        <v>0</v>
      </c>
      <c r="BN17" s="235">
        <f xml:space="preserve"> Debt!BN$238</f>
        <v>0</v>
      </c>
      <c r="BO17" s="235">
        <f xml:space="preserve"> Debt!BO$238</f>
        <v>0</v>
      </c>
      <c r="BP17" s="235">
        <f xml:space="preserve"> Debt!BP$238</f>
        <v>0</v>
      </c>
      <c r="BQ17" s="235">
        <f xml:space="preserve"> Debt!BQ$238</f>
        <v>0</v>
      </c>
      <c r="BR17" s="235">
        <f xml:space="preserve"> Debt!BR$238</f>
        <v>0</v>
      </c>
      <c r="BS17" s="235">
        <f xml:space="preserve"> Debt!BS$238</f>
        <v>0</v>
      </c>
      <c r="BT17" s="235">
        <f xml:space="preserve"> Debt!BT$238</f>
        <v>0</v>
      </c>
      <c r="BU17" s="235">
        <f xml:space="preserve"> Debt!BU$238</f>
        <v>0</v>
      </c>
      <c r="BV17" s="235">
        <f xml:space="preserve"> Debt!BV$238</f>
        <v>0</v>
      </c>
      <c r="BW17" s="235">
        <f xml:space="preserve"> Debt!BW$238</f>
        <v>0</v>
      </c>
      <c r="BX17" s="235">
        <f xml:space="preserve"> Debt!BX$238</f>
        <v>0</v>
      </c>
      <c r="BY17" s="235">
        <f xml:space="preserve"> Debt!BY$238</f>
        <v>0</v>
      </c>
      <c r="BZ17" s="235">
        <f xml:space="preserve"> Debt!BZ$238</f>
        <v>0</v>
      </c>
      <c r="CA17" s="235">
        <f xml:space="preserve"> Debt!CA$238</f>
        <v>0</v>
      </c>
      <c r="CB17" s="235">
        <f xml:space="preserve"> Debt!CB$238</f>
        <v>0</v>
      </c>
      <c r="CC17" s="235">
        <f xml:space="preserve"> Debt!CC$238</f>
        <v>0</v>
      </c>
      <c r="CD17" s="235">
        <f xml:space="preserve"> Debt!CD$238</f>
        <v>0</v>
      </c>
      <c r="CE17" s="235">
        <f xml:space="preserve"> Debt!CE$238</f>
        <v>0</v>
      </c>
      <c r="CF17" s="235">
        <f xml:space="preserve"> Debt!CF$238</f>
        <v>0</v>
      </c>
      <c r="CG17" s="235">
        <f xml:space="preserve"> Debt!CG$238</f>
        <v>0</v>
      </c>
      <c r="CH17" s="235">
        <f xml:space="preserve"> Debt!CH$238</f>
        <v>0</v>
      </c>
      <c r="CI17" s="235">
        <f xml:space="preserve"> Debt!CI$238</f>
        <v>0</v>
      </c>
      <c r="CJ17" s="235">
        <f xml:space="preserve"> Debt!CJ$238</f>
        <v>0</v>
      </c>
      <c r="CK17" s="235">
        <f xml:space="preserve"> Debt!CK$238</f>
        <v>0</v>
      </c>
      <c r="CL17" s="235">
        <f xml:space="preserve"> Debt!CL$238</f>
        <v>0</v>
      </c>
      <c r="CM17" s="235">
        <f xml:space="preserve"> Debt!CM$238</f>
        <v>0</v>
      </c>
      <c r="CN17" s="235">
        <f xml:space="preserve"> Debt!CN$238</f>
        <v>0</v>
      </c>
      <c r="CO17" s="235">
        <f xml:space="preserve"> Debt!CO$238</f>
        <v>0</v>
      </c>
      <c r="CP17" s="235">
        <f xml:space="preserve"> Debt!CP$238</f>
        <v>0</v>
      </c>
      <c r="CQ17" s="235">
        <f xml:space="preserve"> Debt!CQ$238</f>
        <v>0</v>
      </c>
      <c r="CR17" s="235">
        <f xml:space="preserve"> Debt!CR$238</f>
        <v>0</v>
      </c>
      <c r="CS17" s="235">
        <f xml:space="preserve"> Debt!CS$238</f>
        <v>0</v>
      </c>
      <c r="CT17" s="235">
        <f xml:space="preserve"> Debt!CT$238</f>
        <v>0</v>
      </c>
      <c r="CU17" s="235">
        <f xml:space="preserve"> Debt!CU$238</f>
        <v>0</v>
      </c>
      <c r="CV17" s="235">
        <f xml:space="preserve"> Debt!CV$238</f>
        <v>0</v>
      </c>
    </row>
    <row r="18" spans="1:192" s="192" customFormat="1" outlineLevel="1" x14ac:dyDescent="0.2">
      <c r="A18" s="205"/>
      <c r="B18" s="205"/>
      <c r="C18" s="206"/>
      <c r="D18" s="209"/>
      <c r="E18" s="235" t="str">
        <f xml:space="preserve"> Debt!E$350</f>
        <v>Senior debt interest - T2</v>
      </c>
      <c r="F18" s="235">
        <f xml:space="preserve"> Debt!F$350</f>
        <v>0</v>
      </c>
      <c r="G18" s="235" t="str">
        <f xml:space="preserve"> Debt!G$350</f>
        <v>$ 000s</v>
      </c>
      <c r="H18" s="235">
        <f xml:space="preserve"> Debt!H$350</f>
        <v>-50719.400835431705</v>
      </c>
      <c r="I18" s="235">
        <f xml:space="preserve"> Debt!I$350</f>
        <v>0</v>
      </c>
      <c r="J18" s="235">
        <f xml:space="preserve"> Debt!J$350</f>
        <v>0</v>
      </c>
      <c r="K18" s="235">
        <f xml:space="preserve"> Debt!K$350</f>
        <v>0</v>
      </c>
      <c r="L18" s="235">
        <f xml:space="preserve"> Debt!L$350</f>
        <v>0</v>
      </c>
      <c r="M18" s="235">
        <f xml:space="preserve"> Debt!M$350</f>
        <v>0</v>
      </c>
      <c r="N18" s="235">
        <f xml:space="preserve"> Debt!N$350</f>
        <v>0</v>
      </c>
      <c r="O18" s="235">
        <f xml:space="preserve"> Debt!O$350</f>
        <v>-3007.4603365932417</v>
      </c>
      <c r="P18" s="235">
        <f xml:space="preserve"> Debt!P$350</f>
        <v>-2861.4426237247226</v>
      </c>
      <c r="Q18" s="235">
        <f xml:space="preserve"> Debt!Q$350</f>
        <v>-2827.4302563544802</v>
      </c>
      <c r="R18" s="235">
        <f xml:space="preserve"> Debt!R$350</f>
        <v>-2700.2548554507134</v>
      </c>
      <c r="S18" s="235">
        <f xml:space="preserve"> Debt!S$350</f>
        <v>-2661.0628632799539</v>
      </c>
      <c r="T18" s="235">
        <f xml:space="preserve"> Debt!T$350</f>
        <v>-2534.0368459800811</v>
      </c>
      <c r="U18" s="235">
        <f xml:space="preserve"> Debt!U$350</f>
        <v>-2489.4816638803841</v>
      </c>
      <c r="V18" s="235">
        <f xml:space="preserve"> Debt!V$350</f>
        <v>-2375.6406705547574</v>
      </c>
      <c r="W18" s="235">
        <f xml:space="preserve"> Debt!W$350</f>
        <v>-2312.626961541976</v>
      </c>
      <c r="X18" s="235">
        <f xml:space="preserve"> Debt!X$350</f>
        <v>-2186.0562385133053</v>
      </c>
      <c r="Y18" s="235">
        <f xml:space="preserve"> Debt!Y$350</f>
        <v>-2220.854468947296</v>
      </c>
      <c r="Z18" s="235">
        <f xml:space="preserve"> Debt!Z$350</f>
        <v>-2091.5619982100643</v>
      </c>
      <c r="AA18" s="235">
        <f xml:space="preserve"> Debt!AA$350</f>
        <v>-2029.9192920142364</v>
      </c>
      <c r="AB18" s="235">
        <f xml:space="preserve"> Debt!AB$350</f>
        <v>-1900.5471301160426</v>
      </c>
      <c r="AC18" s="235">
        <f xml:space="preserve"> Debt!AC$350</f>
        <v>-1832.4843668262508</v>
      </c>
      <c r="AD18" s="235">
        <f xml:space="preserve"> Debt!AD$350</f>
        <v>-1712.4114864363401</v>
      </c>
      <c r="AE18" s="235">
        <f xml:space="preserve"> Debt!AE$350</f>
        <v>-1628.351296139547</v>
      </c>
      <c r="AF18" s="235">
        <f xml:space="preserve"> Debt!AF$350</f>
        <v>-1498.9393486025879</v>
      </c>
      <c r="AG18" s="235">
        <f xml:space="preserve"> Debt!AG$350</f>
        <v>-1417.2959784483739</v>
      </c>
      <c r="AH18" s="235">
        <f xml:space="preserve"> Debt!AH$350</f>
        <v>-1287.5009694483854</v>
      </c>
      <c r="AI18" s="235">
        <f xml:space="preserve"> Debt!AI$350</f>
        <v>-1272.051076082276</v>
      </c>
      <c r="AJ18" s="235">
        <f xml:space="preserve"> Debt!AJ$350</f>
        <v>-1136.3240059796112</v>
      </c>
      <c r="AK18" s="235">
        <f xml:space="preserve"> Debt!AK$350</f>
        <v>-1036.2897842601778</v>
      </c>
      <c r="AL18" s="235">
        <f xml:space="preserve"> Debt!AL$350</f>
        <v>-904.99934106523745</v>
      </c>
      <c r="AM18" s="235">
        <f xml:space="preserve"> Debt!AM$350</f>
        <v>-791.5839748373146</v>
      </c>
      <c r="AN18" s="235">
        <f xml:space="preserve"> Debt!AN$350</f>
        <v>-654.9441068505555</v>
      </c>
      <c r="AO18" s="235">
        <f xml:space="preserve"> Debt!AO$350</f>
        <v>-537.78347303393627</v>
      </c>
      <c r="AP18" s="235">
        <f xml:space="preserve"> Debt!AP$350</f>
        <v>-400.27918403838652</v>
      </c>
      <c r="AQ18" s="235">
        <f xml:space="preserve"> Debt!AQ$350</f>
        <v>-274.00182155120319</v>
      </c>
      <c r="AR18" s="235">
        <f xml:space="preserve"> Debt!AR$350</f>
        <v>-135.78407704150388</v>
      </c>
      <c r="AS18" s="235">
        <f xml:space="preserve"> Debt!AS$350</f>
        <v>-5.7368266412878361E-5</v>
      </c>
      <c r="AT18" s="235">
        <f xml:space="preserve"> Debt!AT$350</f>
        <v>-5.6744698299694907E-5</v>
      </c>
      <c r="AU18" s="235">
        <f xml:space="preserve"> Debt!AU$350</f>
        <v>-5.7368266412878361E-5</v>
      </c>
      <c r="AV18" s="235">
        <f xml:space="preserve"> Debt!AV$350</f>
        <v>-5.6432914243103177E-5</v>
      </c>
      <c r="AW18" s="235">
        <f xml:space="preserve"> Debt!AW$350</f>
        <v>-1.8755010173441004E-5</v>
      </c>
      <c r="AX18" s="235">
        <f xml:space="preserve"> Debt!AX$350</f>
        <v>-1.8449221964091424E-5</v>
      </c>
      <c r="AY18" s="235">
        <f xml:space="preserve"> Debt!AY$350</f>
        <v>-1.8755010173441004E-5</v>
      </c>
      <c r="AZ18" s="235">
        <f xml:space="preserve"> Debt!AZ$350</f>
        <v>-1.8449221964091424E-5</v>
      </c>
      <c r="BA18" s="235">
        <f xml:space="preserve"> Debt!BA$350</f>
        <v>-1.8755010173441004E-5</v>
      </c>
      <c r="BB18" s="235">
        <f xml:space="preserve"> Debt!BB$350</f>
        <v>-1.8551151367207951E-5</v>
      </c>
      <c r="BC18" s="235">
        <f xml:space="preserve"> Debt!BC$350</f>
        <v>0</v>
      </c>
      <c r="BD18" s="235">
        <f xml:space="preserve"> Debt!BD$350</f>
        <v>0</v>
      </c>
      <c r="BE18" s="235">
        <f xml:space="preserve"> Debt!BE$350</f>
        <v>0</v>
      </c>
      <c r="BF18" s="235">
        <f xml:space="preserve"> Debt!BF$350</f>
        <v>0</v>
      </c>
      <c r="BG18" s="235">
        <f xml:space="preserve"> Debt!BG$350</f>
        <v>0</v>
      </c>
      <c r="BH18" s="235">
        <f xml:space="preserve"> Debt!BH$350</f>
        <v>0</v>
      </c>
      <c r="BI18" s="235">
        <f xml:space="preserve"> Debt!BI$350</f>
        <v>0</v>
      </c>
      <c r="BJ18" s="235">
        <f xml:space="preserve"> Debt!BJ$350</f>
        <v>0</v>
      </c>
      <c r="BK18" s="235">
        <f xml:space="preserve"> Debt!BK$350</f>
        <v>0</v>
      </c>
      <c r="BL18" s="235">
        <f xml:space="preserve"> Debt!BL$350</f>
        <v>0</v>
      </c>
      <c r="BM18" s="235">
        <f xml:space="preserve"> Debt!BM$350</f>
        <v>0</v>
      </c>
      <c r="BN18" s="235">
        <f xml:space="preserve"> Debt!BN$350</f>
        <v>0</v>
      </c>
      <c r="BO18" s="235">
        <f xml:space="preserve"> Debt!BO$350</f>
        <v>0</v>
      </c>
      <c r="BP18" s="235">
        <f xml:space="preserve"> Debt!BP$350</f>
        <v>0</v>
      </c>
      <c r="BQ18" s="235">
        <f xml:space="preserve"> Debt!BQ$350</f>
        <v>0</v>
      </c>
      <c r="BR18" s="235">
        <f xml:space="preserve"> Debt!BR$350</f>
        <v>0</v>
      </c>
      <c r="BS18" s="235">
        <f xml:space="preserve"> Debt!BS$350</f>
        <v>0</v>
      </c>
      <c r="BT18" s="235">
        <f xml:space="preserve"> Debt!BT$350</f>
        <v>0</v>
      </c>
      <c r="BU18" s="235">
        <f xml:space="preserve"> Debt!BU$350</f>
        <v>0</v>
      </c>
      <c r="BV18" s="235">
        <f xml:space="preserve"> Debt!BV$350</f>
        <v>0</v>
      </c>
      <c r="BW18" s="235">
        <f xml:space="preserve"> Debt!BW$350</f>
        <v>0</v>
      </c>
      <c r="BX18" s="235">
        <f xml:space="preserve"> Debt!BX$350</f>
        <v>0</v>
      </c>
      <c r="BY18" s="235">
        <f xml:space="preserve"> Debt!BY$350</f>
        <v>0</v>
      </c>
      <c r="BZ18" s="235">
        <f xml:space="preserve"> Debt!BZ$350</f>
        <v>0</v>
      </c>
      <c r="CA18" s="235">
        <f xml:space="preserve"> Debt!CA$350</f>
        <v>0</v>
      </c>
      <c r="CB18" s="235">
        <f xml:space="preserve"> Debt!CB$350</f>
        <v>0</v>
      </c>
      <c r="CC18" s="235">
        <f xml:space="preserve"> Debt!CC$350</f>
        <v>0</v>
      </c>
      <c r="CD18" s="235">
        <f xml:space="preserve"> Debt!CD$350</f>
        <v>0</v>
      </c>
      <c r="CE18" s="235">
        <f xml:space="preserve"> Debt!CE$350</f>
        <v>0</v>
      </c>
      <c r="CF18" s="235">
        <f xml:space="preserve"> Debt!CF$350</f>
        <v>0</v>
      </c>
      <c r="CG18" s="235">
        <f xml:space="preserve"> Debt!CG$350</f>
        <v>0</v>
      </c>
      <c r="CH18" s="235">
        <f xml:space="preserve"> Debt!CH$350</f>
        <v>0</v>
      </c>
      <c r="CI18" s="235">
        <f xml:space="preserve"> Debt!CI$350</f>
        <v>0</v>
      </c>
      <c r="CJ18" s="235">
        <f xml:space="preserve"> Debt!CJ$350</f>
        <v>0</v>
      </c>
      <c r="CK18" s="235">
        <f xml:space="preserve"> Debt!CK$350</f>
        <v>0</v>
      </c>
      <c r="CL18" s="235">
        <f xml:space="preserve"> Debt!CL$350</f>
        <v>0</v>
      </c>
      <c r="CM18" s="235">
        <f xml:space="preserve"> Debt!CM$350</f>
        <v>0</v>
      </c>
      <c r="CN18" s="235">
        <f xml:space="preserve"> Debt!CN$350</f>
        <v>0</v>
      </c>
      <c r="CO18" s="235">
        <f xml:space="preserve"> Debt!CO$350</f>
        <v>0</v>
      </c>
      <c r="CP18" s="235">
        <f xml:space="preserve"> Debt!CP$350</f>
        <v>0</v>
      </c>
      <c r="CQ18" s="235">
        <f xml:space="preserve"> Debt!CQ$350</f>
        <v>0</v>
      </c>
      <c r="CR18" s="235">
        <f xml:space="preserve"> Debt!CR$350</f>
        <v>0</v>
      </c>
      <c r="CS18" s="235">
        <f xml:space="preserve"> Debt!CS$350</f>
        <v>0</v>
      </c>
      <c r="CT18" s="235">
        <f xml:space="preserve"> Debt!CT$350</f>
        <v>0</v>
      </c>
      <c r="CU18" s="235">
        <f xml:space="preserve"> Debt!CU$350</f>
        <v>0</v>
      </c>
      <c r="CV18" s="235">
        <f xml:space="preserve"> Debt!CV$350</f>
        <v>0</v>
      </c>
    </row>
    <row r="19" spans="1:192" s="192" customFormat="1" outlineLevel="1" x14ac:dyDescent="0.2">
      <c r="A19" s="205"/>
      <c r="B19" s="205"/>
      <c r="C19" s="206"/>
      <c r="D19" s="209"/>
      <c r="E19" s="235" t="str">
        <f xml:space="preserve"> Debt!E$398</f>
        <v>Standby debt interest - T1</v>
      </c>
      <c r="F19" s="235">
        <f xml:space="preserve"> Debt!F$398</f>
        <v>0</v>
      </c>
      <c r="G19" s="235" t="str">
        <f xml:space="preserve"> Debt!G$398</f>
        <v>$ 000s</v>
      </c>
      <c r="H19" s="235">
        <f xml:space="preserve"> Debt!H$398</f>
        <v>0</v>
      </c>
      <c r="I19" s="235">
        <f xml:space="preserve"> Debt!I$398</f>
        <v>0</v>
      </c>
      <c r="J19" s="235">
        <f xml:space="preserve"> Debt!J$398</f>
        <v>0</v>
      </c>
      <c r="K19" s="235">
        <f xml:space="preserve"> Debt!K$398</f>
        <v>0</v>
      </c>
      <c r="L19" s="235">
        <f xml:space="preserve"> Debt!L$398</f>
        <v>0</v>
      </c>
      <c r="M19" s="235">
        <f xml:space="preserve"> Debt!M$398</f>
        <v>0</v>
      </c>
      <c r="N19" s="235">
        <f xml:space="preserve"> Debt!N$398</f>
        <v>0</v>
      </c>
      <c r="O19" s="235">
        <f xml:space="preserve"> Debt!O$398</f>
        <v>0</v>
      </c>
      <c r="P19" s="235">
        <f xml:space="preserve"> Debt!P$398</f>
        <v>0</v>
      </c>
      <c r="Q19" s="235">
        <f xml:space="preserve"> Debt!Q$398</f>
        <v>0</v>
      </c>
      <c r="R19" s="235">
        <f xml:space="preserve"> Debt!R$398</f>
        <v>0</v>
      </c>
      <c r="S19" s="235">
        <f xml:space="preserve"> Debt!S$398</f>
        <v>0</v>
      </c>
      <c r="T19" s="235">
        <f xml:space="preserve"> Debt!T$398</f>
        <v>0</v>
      </c>
      <c r="U19" s="235">
        <f xml:space="preserve"> Debt!U$398</f>
        <v>0</v>
      </c>
      <c r="V19" s="235">
        <f xml:space="preserve"> Debt!V$398</f>
        <v>0</v>
      </c>
      <c r="W19" s="235">
        <f xml:space="preserve"> Debt!W$398</f>
        <v>0</v>
      </c>
      <c r="X19" s="235">
        <f xml:space="preserve"> Debt!X$398</f>
        <v>0</v>
      </c>
      <c r="Y19" s="235">
        <f xml:space="preserve"> Debt!Y$398</f>
        <v>0</v>
      </c>
      <c r="Z19" s="235">
        <f xml:space="preserve"> Debt!Z$398</f>
        <v>0</v>
      </c>
      <c r="AA19" s="235">
        <f xml:space="preserve"> Debt!AA$398</f>
        <v>0</v>
      </c>
      <c r="AB19" s="235">
        <f xml:space="preserve"> Debt!AB$398</f>
        <v>0</v>
      </c>
      <c r="AC19" s="235">
        <f xml:space="preserve"> Debt!AC$398</f>
        <v>0</v>
      </c>
      <c r="AD19" s="235">
        <f xml:space="preserve"> Debt!AD$398</f>
        <v>0</v>
      </c>
      <c r="AE19" s="235">
        <f xml:space="preserve"> Debt!AE$398</f>
        <v>0</v>
      </c>
      <c r="AF19" s="235">
        <f xml:space="preserve"> Debt!AF$398</f>
        <v>0</v>
      </c>
      <c r="AG19" s="235">
        <f xml:space="preserve"> Debt!AG$398</f>
        <v>0</v>
      </c>
      <c r="AH19" s="235">
        <f xml:space="preserve"> Debt!AH$398</f>
        <v>0</v>
      </c>
      <c r="AI19" s="235">
        <f xml:space="preserve"> Debt!AI$398</f>
        <v>0</v>
      </c>
      <c r="AJ19" s="235">
        <f xml:space="preserve"> Debt!AJ$398</f>
        <v>0</v>
      </c>
      <c r="AK19" s="235">
        <f xml:space="preserve"> Debt!AK$398</f>
        <v>0</v>
      </c>
      <c r="AL19" s="235">
        <f xml:space="preserve"> Debt!AL$398</f>
        <v>0</v>
      </c>
      <c r="AM19" s="235">
        <f xml:space="preserve"> Debt!AM$398</f>
        <v>0</v>
      </c>
      <c r="AN19" s="235">
        <f xml:space="preserve"> Debt!AN$398</f>
        <v>0</v>
      </c>
      <c r="AO19" s="235">
        <f xml:space="preserve"> Debt!AO$398</f>
        <v>0</v>
      </c>
      <c r="AP19" s="235">
        <f xml:space="preserve"> Debt!AP$398</f>
        <v>0</v>
      </c>
      <c r="AQ19" s="235">
        <f xml:space="preserve"> Debt!AQ$398</f>
        <v>0</v>
      </c>
      <c r="AR19" s="235">
        <f xml:space="preserve"> Debt!AR$398</f>
        <v>0</v>
      </c>
      <c r="AS19" s="235">
        <f xml:space="preserve"> Debt!AS$398</f>
        <v>0</v>
      </c>
      <c r="AT19" s="235">
        <f xml:space="preserve"> Debt!AT$398</f>
        <v>0</v>
      </c>
      <c r="AU19" s="235">
        <f xml:space="preserve"> Debt!AU$398</f>
        <v>0</v>
      </c>
      <c r="AV19" s="235">
        <f xml:space="preserve"> Debt!AV$398</f>
        <v>0</v>
      </c>
      <c r="AW19" s="235">
        <f xml:space="preserve"> Debt!AW$398</f>
        <v>0</v>
      </c>
      <c r="AX19" s="235">
        <f xml:space="preserve"> Debt!AX$398</f>
        <v>0</v>
      </c>
      <c r="AY19" s="235">
        <f xml:space="preserve"> Debt!AY$398</f>
        <v>0</v>
      </c>
      <c r="AZ19" s="235">
        <f xml:space="preserve"> Debt!AZ$398</f>
        <v>0</v>
      </c>
      <c r="BA19" s="235">
        <f xml:space="preserve"> Debt!BA$398</f>
        <v>0</v>
      </c>
      <c r="BB19" s="235">
        <f xml:space="preserve"> Debt!BB$398</f>
        <v>0</v>
      </c>
      <c r="BC19" s="235">
        <f xml:space="preserve"> Debt!BC$398</f>
        <v>0</v>
      </c>
      <c r="BD19" s="235">
        <f xml:space="preserve"> Debt!BD$398</f>
        <v>0</v>
      </c>
      <c r="BE19" s="235">
        <f xml:space="preserve"> Debt!BE$398</f>
        <v>0</v>
      </c>
      <c r="BF19" s="235">
        <f xml:space="preserve"> Debt!BF$398</f>
        <v>0</v>
      </c>
      <c r="BG19" s="235">
        <f xml:space="preserve"> Debt!BG$398</f>
        <v>0</v>
      </c>
      <c r="BH19" s="235">
        <f xml:space="preserve"> Debt!BH$398</f>
        <v>0</v>
      </c>
      <c r="BI19" s="235">
        <f xml:space="preserve"> Debt!BI$398</f>
        <v>0</v>
      </c>
      <c r="BJ19" s="235">
        <f xml:space="preserve"> Debt!BJ$398</f>
        <v>0</v>
      </c>
      <c r="BK19" s="235">
        <f xml:space="preserve"> Debt!BK$398</f>
        <v>0</v>
      </c>
      <c r="BL19" s="235">
        <f xml:space="preserve"> Debt!BL$398</f>
        <v>0</v>
      </c>
      <c r="BM19" s="235">
        <f xml:space="preserve"> Debt!BM$398</f>
        <v>0</v>
      </c>
      <c r="BN19" s="235">
        <f xml:space="preserve"> Debt!BN$398</f>
        <v>0</v>
      </c>
      <c r="BO19" s="235">
        <f xml:space="preserve"> Debt!BO$398</f>
        <v>0</v>
      </c>
      <c r="BP19" s="235">
        <f xml:space="preserve"> Debt!BP$398</f>
        <v>0</v>
      </c>
      <c r="BQ19" s="235">
        <f xml:space="preserve"> Debt!BQ$398</f>
        <v>0</v>
      </c>
      <c r="BR19" s="235">
        <f xml:space="preserve"> Debt!BR$398</f>
        <v>0</v>
      </c>
      <c r="BS19" s="235">
        <f xml:space="preserve"> Debt!BS$398</f>
        <v>0</v>
      </c>
      <c r="BT19" s="235">
        <f xml:space="preserve"> Debt!BT$398</f>
        <v>0</v>
      </c>
      <c r="BU19" s="235">
        <f xml:space="preserve"> Debt!BU$398</f>
        <v>0</v>
      </c>
      <c r="BV19" s="235">
        <f xml:space="preserve"> Debt!BV$398</f>
        <v>0</v>
      </c>
      <c r="BW19" s="235">
        <f xml:space="preserve"> Debt!BW$398</f>
        <v>0</v>
      </c>
      <c r="BX19" s="235">
        <f xml:space="preserve"> Debt!BX$398</f>
        <v>0</v>
      </c>
      <c r="BY19" s="235">
        <f xml:space="preserve"> Debt!BY$398</f>
        <v>0</v>
      </c>
      <c r="BZ19" s="235">
        <f xml:space="preserve"> Debt!BZ$398</f>
        <v>0</v>
      </c>
      <c r="CA19" s="235">
        <f xml:space="preserve"> Debt!CA$398</f>
        <v>0</v>
      </c>
      <c r="CB19" s="235">
        <f xml:space="preserve"> Debt!CB$398</f>
        <v>0</v>
      </c>
      <c r="CC19" s="235">
        <f xml:space="preserve"> Debt!CC$398</f>
        <v>0</v>
      </c>
      <c r="CD19" s="235">
        <f xml:space="preserve"> Debt!CD$398</f>
        <v>0</v>
      </c>
      <c r="CE19" s="235">
        <f xml:space="preserve"> Debt!CE$398</f>
        <v>0</v>
      </c>
      <c r="CF19" s="235">
        <f xml:space="preserve"> Debt!CF$398</f>
        <v>0</v>
      </c>
      <c r="CG19" s="235">
        <f xml:space="preserve"> Debt!CG$398</f>
        <v>0</v>
      </c>
      <c r="CH19" s="235">
        <f xml:space="preserve"> Debt!CH$398</f>
        <v>0</v>
      </c>
      <c r="CI19" s="235">
        <f xml:space="preserve"> Debt!CI$398</f>
        <v>0</v>
      </c>
      <c r="CJ19" s="235">
        <f xml:space="preserve"> Debt!CJ$398</f>
        <v>0</v>
      </c>
      <c r="CK19" s="235">
        <f xml:space="preserve"> Debt!CK$398</f>
        <v>0</v>
      </c>
      <c r="CL19" s="235">
        <f xml:space="preserve"> Debt!CL$398</f>
        <v>0</v>
      </c>
      <c r="CM19" s="235">
        <f xml:space="preserve"> Debt!CM$398</f>
        <v>0</v>
      </c>
      <c r="CN19" s="235">
        <f xml:space="preserve"> Debt!CN$398</f>
        <v>0</v>
      </c>
      <c r="CO19" s="235">
        <f xml:space="preserve"> Debt!CO$398</f>
        <v>0</v>
      </c>
      <c r="CP19" s="235">
        <f xml:space="preserve"> Debt!CP$398</f>
        <v>0</v>
      </c>
      <c r="CQ19" s="235">
        <f xml:space="preserve"> Debt!CQ$398</f>
        <v>0</v>
      </c>
      <c r="CR19" s="235">
        <f xml:space="preserve"> Debt!CR$398</f>
        <v>0</v>
      </c>
      <c r="CS19" s="235">
        <f xml:space="preserve"> Debt!CS$398</f>
        <v>0</v>
      </c>
      <c r="CT19" s="235">
        <f xml:space="preserve"> Debt!CT$398</f>
        <v>0</v>
      </c>
      <c r="CU19" s="235">
        <f xml:space="preserve"> Debt!CU$398</f>
        <v>0</v>
      </c>
      <c r="CV19" s="235">
        <f xml:space="preserve"> Debt!CV$398</f>
        <v>0</v>
      </c>
    </row>
    <row r="20" spans="1:192" s="192" customFormat="1" outlineLevel="1" x14ac:dyDescent="0.2">
      <c r="A20" s="205"/>
      <c r="B20" s="205"/>
      <c r="C20" s="206"/>
      <c r="D20" s="209"/>
      <c r="E20" s="235" t="str">
        <f xml:space="preserve"> Debt!E$430</f>
        <v>Standby debt interest - T2</v>
      </c>
      <c r="F20" s="235">
        <f xml:space="preserve"> Debt!F$430</f>
        <v>0</v>
      </c>
      <c r="G20" s="235" t="str">
        <f xml:space="preserve"> Debt!G$430</f>
        <v>$ 000s</v>
      </c>
      <c r="H20" s="235">
        <f xml:space="preserve"> Debt!H$430</f>
        <v>0</v>
      </c>
      <c r="I20" s="235">
        <f xml:space="preserve"> Debt!I$430</f>
        <v>0</v>
      </c>
      <c r="J20" s="235">
        <f xml:space="preserve"> Debt!J$430</f>
        <v>0</v>
      </c>
      <c r="K20" s="235">
        <f xml:space="preserve"> Debt!K$430</f>
        <v>0</v>
      </c>
      <c r="L20" s="235">
        <f xml:space="preserve"> Debt!L$430</f>
        <v>0</v>
      </c>
      <c r="M20" s="235">
        <f xml:space="preserve"> Debt!M$430</f>
        <v>0</v>
      </c>
      <c r="N20" s="235">
        <f xml:space="preserve"> Debt!N$430</f>
        <v>0</v>
      </c>
      <c r="O20" s="235">
        <f xml:space="preserve"> Debt!O$430</f>
        <v>0</v>
      </c>
      <c r="P20" s="235">
        <f xml:space="preserve"> Debt!P$430</f>
        <v>0</v>
      </c>
      <c r="Q20" s="235">
        <f xml:space="preserve"> Debt!Q$430</f>
        <v>0</v>
      </c>
      <c r="R20" s="235">
        <f xml:space="preserve"> Debt!R$430</f>
        <v>0</v>
      </c>
      <c r="S20" s="235">
        <f xml:space="preserve"> Debt!S$430</f>
        <v>0</v>
      </c>
      <c r="T20" s="235">
        <f xml:space="preserve"> Debt!T$430</f>
        <v>0</v>
      </c>
      <c r="U20" s="235">
        <f xml:space="preserve"> Debt!U$430</f>
        <v>0</v>
      </c>
      <c r="V20" s="235">
        <f xml:space="preserve"> Debt!V$430</f>
        <v>0</v>
      </c>
      <c r="W20" s="235">
        <f xml:space="preserve"> Debt!W$430</f>
        <v>0</v>
      </c>
      <c r="X20" s="235">
        <f xml:space="preserve"> Debt!X$430</f>
        <v>0</v>
      </c>
      <c r="Y20" s="235">
        <f xml:space="preserve"> Debt!Y$430</f>
        <v>0</v>
      </c>
      <c r="Z20" s="235">
        <f xml:space="preserve"> Debt!Z$430</f>
        <v>0</v>
      </c>
      <c r="AA20" s="235">
        <f xml:space="preserve"> Debt!AA$430</f>
        <v>0</v>
      </c>
      <c r="AB20" s="235">
        <f xml:space="preserve"> Debt!AB$430</f>
        <v>0</v>
      </c>
      <c r="AC20" s="235">
        <f xml:space="preserve"> Debt!AC$430</f>
        <v>0</v>
      </c>
      <c r="AD20" s="235">
        <f xml:space="preserve"> Debt!AD$430</f>
        <v>0</v>
      </c>
      <c r="AE20" s="235">
        <f xml:space="preserve"> Debt!AE$430</f>
        <v>0</v>
      </c>
      <c r="AF20" s="235">
        <f xml:space="preserve"> Debt!AF$430</f>
        <v>0</v>
      </c>
      <c r="AG20" s="235">
        <f xml:space="preserve"> Debt!AG$430</f>
        <v>0</v>
      </c>
      <c r="AH20" s="235">
        <f xml:space="preserve"> Debt!AH$430</f>
        <v>0</v>
      </c>
      <c r="AI20" s="235">
        <f xml:space="preserve"> Debt!AI$430</f>
        <v>0</v>
      </c>
      <c r="AJ20" s="235">
        <f xml:space="preserve"> Debt!AJ$430</f>
        <v>0</v>
      </c>
      <c r="AK20" s="235">
        <f xml:space="preserve"> Debt!AK$430</f>
        <v>0</v>
      </c>
      <c r="AL20" s="235">
        <f xml:space="preserve"> Debt!AL$430</f>
        <v>0</v>
      </c>
      <c r="AM20" s="235">
        <f xml:space="preserve"> Debt!AM$430</f>
        <v>0</v>
      </c>
      <c r="AN20" s="235">
        <f xml:space="preserve"> Debt!AN$430</f>
        <v>0</v>
      </c>
      <c r="AO20" s="235">
        <f xml:space="preserve"> Debt!AO$430</f>
        <v>0</v>
      </c>
      <c r="AP20" s="235">
        <f xml:space="preserve"> Debt!AP$430</f>
        <v>0</v>
      </c>
      <c r="AQ20" s="235">
        <f xml:space="preserve"> Debt!AQ$430</f>
        <v>0</v>
      </c>
      <c r="AR20" s="235">
        <f xml:space="preserve"> Debt!AR$430</f>
        <v>0</v>
      </c>
      <c r="AS20" s="235">
        <f xml:space="preserve"> Debt!AS$430</f>
        <v>0</v>
      </c>
      <c r="AT20" s="235">
        <f xml:space="preserve"> Debt!AT$430</f>
        <v>0</v>
      </c>
      <c r="AU20" s="235">
        <f xml:space="preserve"> Debt!AU$430</f>
        <v>0</v>
      </c>
      <c r="AV20" s="235">
        <f xml:space="preserve"> Debt!AV$430</f>
        <v>0</v>
      </c>
      <c r="AW20" s="235">
        <f xml:space="preserve"> Debt!AW$430</f>
        <v>0</v>
      </c>
      <c r="AX20" s="235">
        <f xml:space="preserve"> Debt!AX$430</f>
        <v>0</v>
      </c>
      <c r="AY20" s="235">
        <f xml:space="preserve"> Debt!AY$430</f>
        <v>0</v>
      </c>
      <c r="AZ20" s="235">
        <f xml:space="preserve"> Debt!AZ$430</f>
        <v>0</v>
      </c>
      <c r="BA20" s="235">
        <f xml:space="preserve"> Debt!BA$430</f>
        <v>0</v>
      </c>
      <c r="BB20" s="235">
        <f xml:space="preserve"> Debt!BB$430</f>
        <v>0</v>
      </c>
      <c r="BC20" s="235">
        <f xml:space="preserve"> Debt!BC$430</f>
        <v>0</v>
      </c>
      <c r="BD20" s="235">
        <f xml:space="preserve"> Debt!BD$430</f>
        <v>0</v>
      </c>
      <c r="BE20" s="235">
        <f xml:space="preserve"> Debt!BE$430</f>
        <v>0</v>
      </c>
      <c r="BF20" s="235">
        <f xml:space="preserve"> Debt!BF$430</f>
        <v>0</v>
      </c>
      <c r="BG20" s="235">
        <f xml:space="preserve"> Debt!BG$430</f>
        <v>0</v>
      </c>
      <c r="BH20" s="235">
        <f xml:space="preserve"> Debt!BH$430</f>
        <v>0</v>
      </c>
      <c r="BI20" s="235">
        <f xml:space="preserve"> Debt!BI$430</f>
        <v>0</v>
      </c>
      <c r="BJ20" s="235">
        <f xml:space="preserve"> Debt!BJ$430</f>
        <v>0</v>
      </c>
      <c r="BK20" s="235">
        <f xml:space="preserve"> Debt!BK$430</f>
        <v>0</v>
      </c>
      <c r="BL20" s="235">
        <f xml:space="preserve"> Debt!BL$430</f>
        <v>0</v>
      </c>
      <c r="BM20" s="235">
        <f xml:space="preserve"> Debt!BM$430</f>
        <v>0</v>
      </c>
      <c r="BN20" s="235">
        <f xml:space="preserve"> Debt!BN$430</f>
        <v>0</v>
      </c>
      <c r="BO20" s="235">
        <f xml:space="preserve"> Debt!BO$430</f>
        <v>0</v>
      </c>
      <c r="BP20" s="235">
        <f xml:space="preserve"> Debt!BP$430</f>
        <v>0</v>
      </c>
      <c r="BQ20" s="235">
        <f xml:space="preserve"> Debt!BQ$430</f>
        <v>0</v>
      </c>
      <c r="BR20" s="235">
        <f xml:space="preserve"> Debt!BR$430</f>
        <v>0</v>
      </c>
      <c r="BS20" s="235">
        <f xml:space="preserve"> Debt!BS$430</f>
        <v>0</v>
      </c>
      <c r="BT20" s="235">
        <f xml:space="preserve"> Debt!BT$430</f>
        <v>0</v>
      </c>
      <c r="BU20" s="235">
        <f xml:space="preserve"> Debt!BU$430</f>
        <v>0</v>
      </c>
      <c r="BV20" s="235">
        <f xml:space="preserve"> Debt!BV$430</f>
        <v>0</v>
      </c>
      <c r="BW20" s="235">
        <f xml:space="preserve"> Debt!BW$430</f>
        <v>0</v>
      </c>
      <c r="BX20" s="235">
        <f xml:space="preserve"> Debt!BX$430</f>
        <v>0</v>
      </c>
      <c r="BY20" s="235">
        <f xml:space="preserve"> Debt!BY$430</f>
        <v>0</v>
      </c>
      <c r="BZ20" s="235">
        <f xml:space="preserve"> Debt!BZ$430</f>
        <v>0</v>
      </c>
      <c r="CA20" s="235">
        <f xml:space="preserve"> Debt!CA$430</f>
        <v>0</v>
      </c>
      <c r="CB20" s="235">
        <f xml:space="preserve"> Debt!CB$430</f>
        <v>0</v>
      </c>
      <c r="CC20" s="235">
        <f xml:space="preserve"> Debt!CC$430</f>
        <v>0</v>
      </c>
      <c r="CD20" s="235">
        <f xml:space="preserve"> Debt!CD$430</f>
        <v>0</v>
      </c>
      <c r="CE20" s="235">
        <f xml:space="preserve"> Debt!CE$430</f>
        <v>0</v>
      </c>
      <c r="CF20" s="235">
        <f xml:space="preserve"> Debt!CF$430</f>
        <v>0</v>
      </c>
      <c r="CG20" s="235">
        <f xml:space="preserve"> Debt!CG$430</f>
        <v>0</v>
      </c>
      <c r="CH20" s="235">
        <f xml:space="preserve"> Debt!CH$430</f>
        <v>0</v>
      </c>
      <c r="CI20" s="235">
        <f xml:space="preserve"> Debt!CI$430</f>
        <v>0</v>
      </c>
      <c r="CJ20" s="235">
        <f xml:space="preserve"> Debt!CJ$430</f>
        <v>0</v>
      </c>
      <c r="CK20" s="235">
        <f xml:space="preserve"> Debt!CK$430</f>
        <v>0</v>
      </c>
      <c r="CL20" s="235">
        <f xml:space="preserve"> Debt!CL$430</f>
        <v>0</v>
      </c>
      <c r="CM20" s="235">
        <f xml:space="preserve"> Debt!CM$430</f>
        <v>0</v>
      </c>
      <c r="CN20" s="235">
        <f xml:space="preserve"> Debt!CN$430</f>
        <v>0</v>
      </c>
      <c r="CO20" s="235">
        <f xml:space="preserve"> Debt!CO$430</f>
        <v>0</v>
      </c>
      <c r="CP20" s="235">
        <f xml:space="preserve"> Debt!CP$430</f>
        <v>0</v>
      </c>
      <c r="CQ20" s="235">
        <f xml:space="preserve"> Debt!CQ$430</f>
        <v>0</v>
      </c>
      <c r="CR20" s="235">
        <f xml:space="preserve"> Debt!CR$430</f>
        <v>0</v>
      </c>
      <c r="CS20" s="235">
        <f xml:space="preserve"> Debt!CS$430</f>
        <v>0</v>
      </c>
      <c r="CT20" s="235">
        <f xml:space="preserve"> Debt!CT$430</f>
        <v>0</v>
      </c>
      <c r="CU20" s="235">
        <f xml:space="preserve"> Debt!CU$430</f>
        <v>0</v>
      </c>
      <c r="CV20" s="235">
        <f xml:space="preserve"> Debt!CV$430</f>
        <v>0</v>
      </c>
    </row>
    <row r="21" spans="1:192" s="192" customFormat="1" outlineLevel="1" x14ac:dyDescent="0.2">
      <c r="A21" s="205"/>
      <c r="B21" s="205"/>
      <c r="C21" s="206"/>
      <c r="D21" s="209"/>
      <c r="E21" s="235" t="str">
        <f xml:space="preserve"> Debt!E$654</f>
        <v>WCF commitment fee - P99</v>
      </c>
      <c r="F21" s="235">
        <f xml:space="preserve"> Debt!F$654</f>
        <v>0</v>
      </c>
      <c r="G21" s="235" t="str">
        <f xml:space="preserve"> Debt!G$654</f>
        <v>$ 000s</v>
      </c>
      <c r="H21" s="235">
        <f xml:space="preserve"> Debt!H$654</f>
        <v>0</v>
      </c>
      <c r="I21" s="235">
        <f xml:space="preserve"> Debt!I$654</f>
        <v>0</v>
      </c>
      <c r="J21" s="235">
        <f xml:space="preserve"> Debt!J$654</f>
        <v>0</v>
      </c>
      <c r="K21" s="235">
        <f xml:space="preserve"> Debt!K$654</f>
        <v>0</v>
      </c>
      <c r="L21" s="235">
        <f xml:space="preserve"> Debt!L$654</f>
        <v>0</v>
      </c>
      <c r="M21" s="235">
        <f xml:space="preserve"> Debt!M$654</f>
        <v>0</v>
      </c>
      <c r="N21" s="235">
        <f xml:space="preserve"> Debt!N$654</f>
        <v>0</v>
      </c>
      <c r="O21" s="235">
        <f xml:space="preserve"> Debt!O$654</f>
        <v>0</v>
      </c>
      <c r="P21" s="235">
        <f xml:space="preserve"> Debt!P$654</f>
        <v>0</v>
      </c>
      <c r="Q21" s="235">
        <f xml:space="preserve"> Debt!Q$654</f>
        <v>0</v>
      </c>
      <c r="R21" s="235">
        <f xml:space="preserve"> Debt!R$654</f>
        <v>0</v>
      </c>
      <c r="S21" s="235">
        <f xml:space="preserve"> Debt!S$654</f>
        <v>0</v>
      </c>
      <c r="T21" s="235">
        <f xml:space="preserve"> Debt!T$654</f>
        <v>0</v>
      </c>
      <c r="U21" s="235">
        <f xml:space="preserve"> Debt!U$654</f>
        <v>0</v>
      </c>
      <c r="V21" s="235">
        <f xml:space="preserve"> Debt!V$654</f>
        <v>0</v>
      </c>
      <c r="W21" s="235">
        <f xml:space="preserve"> Debt!W$654</f>
        <v>0</v>
      </c>
      <c r="X21" s="235">
        <f xml:space="preserve"> Debt!X$654</f>
        <v>0</v>
      </c>
      <c r="Y21" s="235">
        <f xml:space="preserve"> Debt!Y$654</f>
        <v>0</v>
      </c>
      <c r="Z21" s="235">
        <f xml:space="preserve"> Debt!Z$654</f>
        <v>0</v>
      </c>
      <c r="AA21" s="235">
        <f xml:space="preserve"> Debt!AA$654</f>
        <v>0</v>
      </c>
      <c r="AB21" s="235">
        <f xml:space="preserve"> Debt!AB$654</f>
        <v>0</v>
      </c>
      <c r="AC21" s="235">
        <f xml:space="preserve"> Debt!AC$654</f>
        <v>0</v>
      </c>
      <c r="AD21" s="235">
        <f xml:space="preserve"> Debt!AD$654</f>
        <v>0</v>
      </c>
      <c r="AE21" s="235">
        <f xml:space="preserve"> Debt!AE$654</f>
        <v>0</v>
      </c>
      <c r="AF21" s="235">
        <f xml:space="preserve"> Debt!AF$654</f>
        <v>0</v>
      </c>
      <c r="AG21" s="235">
        <f xml:space="preserve"> Debt!AG$654</f>
        <v>0</v>
      </c>
      <c r="AH21" s="235">
        <f xml:space="preserve"> Debt!AH$654</f>
        <v>0</v>
      </c>
      <c r="AI21" s="235">
        <f xml:space="preserve"> Debt!AI$654</f>
        <v>0</v>
      </c>
      <c r="AJ21" s="235">
        <f xml:space="preserve"> Debt!AJ$654</f>
        <v>0</v>
      </c>
      <c r="AK21" s="235">
        <f xml:space="preserve"> Debt!AK$654</f>
        <v>0</v>
      </c>
      <c r="AL21" s="235">
        <f xml:space="preserve"> Debt!AL$654</f>
        <v>0</v>
      </c>
      <c r="AM21" s="235">
        <f xml:space="preserve"> Debt!AM$654</f>
        <v>0</v>
      </c>
      <c r="AN21" s="235">
        <f xml:space="preserve"> Debt!AN$654</f>
        <v>0</v>
      </c>
      <c r="AO21" s="235">
        <f xml:space="preserve"> Debt!AO$654</f>
        <v>0</v>
      </c>
      <c r="AP21" s="235">
        <f xml:space="preserve"> Debt!AP$654</f>
        <v>0</v>
      </c>
      <c r="AQ21" s="235">
        <f xml:space="preserve"> Debt!AQ$654</f>
        <v>0</v>
      </c>
      <c r="AR21" s="235">
        <f xml:space="preserve"> Debt!AR$654</f>
        <v>0</v>
      </c>
      <c r="AS21" s="235">
        <f xml:space="preserve"> Debt!AS$654</f>
        <v>0</v>
      </c>
      <c r="AT21" s="235">
        <f xml:space="preserve"> Debt!AT$654</f>
        <v>0</v>
      </c>
      <c r="AU21" s="235">
        <f xml:space="preserve"> Debt!AU$654</f>
        <v>0</v>
      </c>
      <c r="AV21" s="235">
        <f xml:space="preserve"> Debt!AV$654</f>
        <v>0</v>
      </c>
      <c r="AW21" s="235">
        <f xml:space="preserve"> Debt!AW$654</f>
        <v>0</v>
      </c>
      <c r="AX21" s="235">
        <f xml:space="preserve"> Debt!AX$654</f>
        <v>0</v>
      </c>
      <c r="AY21" s="235">
        <f xml:space="preserve"> Debt!AY$654</f>
        <v>0</v>
      </c>
      <c r="AZ21" s="235">
        <f xml:space="preserve"> Debt!AZ$654</f>
        <v>0</v>
      </c>
      <c r="BA21" s="235">
        <f xml:space="preserve"> Debt!BA$654</f>
        <v>0</v>
      </c>
      <c r="BB21" s="235">
        <f xml:space="preserve"> Debt!BB$654</f>
        <v>0</v>
      </c>
      <c r="BC21" s="235">
        <f xml:space="preserve"> Debt!BC$654</f>
        <v>0</v>
      </c>
      <c r="BD21" s="235">
        <f xml:space="preserve"> Debt!BD$654</f>
        <v>0</v>
      </c>
      <c r="BE21" s="235">
        <f xml:space="preserve"> Debt!BE$654</f>
        <v>0</v>
      </c>
      <c r="BF21" s="235">
        <f xml:space="preserve"> Debt!BF$654</f>
        <v>0</v>
      </c>
      <c r="BG21" s="235">
        <f xml:space="preserve"> Debt!BG$654</f>
        <v>0</v>
      </c>
      <c r="BH21" s="235">
        <f xml:space="preserve"> Debt!BH$654</f>
        <v>0</v>
      </c>
      <c r="BI21" s="235">
        <f xml:space="preserve"> Debt!BI$654</f>
        <v>0</v>
      </c>
      <c r="BJ21" s="235">
        <f xml:space="preserve"> Debt!BJ$654</f>
        <v>0</v>
      </c>
      <c r="BK21" s="235">
        <f xml:space="preserve"> Debt!BK$654</f>
        <v>0</v>
      </c>
      <c r="BL21" s="235">
        <f xml:space="preserve"> Debt!BL$654</f>
        <v>0</v>
      </c>
      <c r="BM21" s="235">
        <f xml:space="preserve"> Debt!BM$654</f>
        <v>0</v>
      </c>
      <c r="BN21" s="235">
        <f xml:space="preserve"> Debt!BN$654</f>
        <v>0</v>
      </c>
      <c r="BO21" s="235">
        <f xml:space="preserve"> Debt!BO$654</f>
        <v>0</v>
      </c>
      <c r="BP21" s="235">
        <f xml:space="preserve"> Debt!BP$654</f>
        <v>0</v>
      </c>
      <c r="BQ21" s="235">
        <f xml:space="preserve"> Debt!BQ$654</f>
        <v>0</v>
      </c>
      <c r="BR21" s="235">
        <f xml:space="preserve"> Debt!BR$654</f>
        <v>0</v>
      </c>
      <c r="BS21" s="235">
        <f xml:space="preserve"> Debt!BS$654</f>
        <v>0</v>
      </c>
      <c r="BT21" s="235">
        <f xml:space="preserve"> Debt!BT$654</f>
        <v>0</v>
      </c>
      <c r="BU21" s="235">
        <f xml:space="preserve"> Debt!BU$654</f>
        <v>0</v>
      </c>
      <c r="BV21" s="235">
        <f xml:space="preserve"> Debt!BV$654</f>
        <v>0</v>
      </c>
      <c r="BW21" s="235">
        <f xml:space="preserve"> Debt!BW$654</f>
        <v>0</v>
      </c>
      <c r="BX21" s="235">
        <f xml:space="preserve"> Debt!BX$654</f>
        <v>0</v>
      </c>
      <c r="BY21" s="235">
        <f xml:space="preserve"> Debt!BY$654</f>
        <v>0</v>
      </c>
      <c r="BZ21" s="235">
        <f xml:space="preserve"> Debt!BZ$654</f>
        <v>0</v>
      </c>
      <c r="CA21" s="235">
        <f xml:space="preserve"> Debt!CA$654</f>
        <v>0</v>
      </c>
      <c r="CB21" s="235">
        <f xml:space="preserve"> Debt!CB$654</f>
        <v>0</v>
      </c>
      <c r="CC21" s="235">
        <f xml:space="preserve"> Debt!CC$654</f>
        <v>0</v>
      </c>
      <c r="CD21" s="235">
        <f xml:space="preserve"> Debt!CD$654</f>
        <v>0</v>
      </c>
      <c r="CE21" s="235">
        <f xml:space="preserve"> Debt!CE$654</f>
        <v>0</v>
      </c>
      <c r="CF21" s="235">
        <f xml:space="preserve"> Debt!CF$654</f>
        <v>0</v>
      </c>
      <c r="CG21" s="235">
        <f xml:space="preserve"> Debt!CG$654</f>
        <v>0</v>
      </c>
      <c r="CH21" s="235">
        <f xml:space="preserve"> Debt!CH$654</f>
        <v>0</v>
      </c>
      <c r="CI21" s="235">
        <f xml:space="preserve"> Debt!CI$654</f>
        <v>0</v>
      </c>
      <c r="CJ21" s="235">
        <f xml:space="preserve"> Debt!CJ$654</f>
        <v>0</v>
      </c>
      <c r="CK21" s="235">
        <f xml:space="preserve"> Debt!CK$654</f>
        <v>0</v>
      </c>
      <c r="CL21" s="235">
        <f xml:space="preserve"> Debt!CL$654</f>
        <v>0</v>
      </c>
      <c r="CM21" s="235">
        <f xml:space="preserve"> Debt!CM$654</f>
        <v>0</v>
      </c>
      <c r="CN21" s="235">
        <f xml:space="preserve"> Debt!CN$654</f>
        <v>0</v>
      </c>
      <c r="CO21" s="235">
        <f xml:space="preserve"> Debt!CO$654</f>
        <v>0</v>
      </c>
      <c r="CP21" s="235">
        <f xml:space="preserve"> Debt!CP$654</f>
        <v>0</v>
      </c>
      <c r="CQ21" s="235">
        <f xml:space="preserve"> Debt!CQ$654</f>
        <v>0</v>
      </c>
      <c r="CR21" s="235">
        <f xml:space="preserve"> Debt!CR$654</f>
        <v>0</v>
      </c>
      <c r="CS21" s="235">
        <f xml:space="preserve"> Debt!CS$654</f>
        <v>0</v>
      </c>
      <c r="CT21" s="235">
        <f xml:space="preserve"> Debt!CT$654</f>
        <v>0</v>
      </c>
      <c r="CU21" s="235">
        <f xml:space="preserve"> Debt!CU$654</f>
        <v>0</v>
      </c>
      <c r="CV21" s="235">
        <f xml:space="preserve"> Debt!CV$654</f>
        <v>0</v>
      </c>
    </row>
    <row r="22" spans="1:192" s="192" customFormat="1" outlineLevel="1" x14ac:dyDescent="0.2">
      <c r="A22" s="205"/>
      <c r="B22" s="205"/>
      <c r="C22" s="206"/>
      <c r="D22" s="209"/>
      <c r="E22" s="235" t="str">
        <f xml:space="preserve"> Debt!E$591</f>
        <v>WCF upfront fee</v>
      </c>
      <c r="F22" s="235">
        <f xml:space="preserve"> Debt!F$591</f>
        <v>0</v>
      </c>
      <c r="G22" s="235" t="str">
        <f xml:space="preserve"> Debt!G$591</f>
        <v>$ 000s</v>
      </c>
      <c r="H22" s="235">
        <f xml:space="preserve"> Debt!H$591</f>
        <v>0</v>
      </c>
      <c r="I22" s="235">
        <f xml:space="preserve"> Debt!I$591</f>
        <v>0</v>
      </c>
      <c r="J22" s="235">
        <f xml:space="preserve"> Debt!J$591</f>
        <v>0</v>
      </c>
      <c r="K22" s="235">
        <f xml:space="preserve"> Debt!K$591</f>
        <v>0</v>
      </c>
      <c r="L22" s="235">
        <f xml:space="preserve"> Debt!L$591</f>
        <v>0</v>
      </c>
      <c r="M22" s="235">
        <f xml:space="preserve"> Debt!M$591</f>
        <v>0</v>
      </c>
      <c r="N22" s="235">
        <f xml:space="preserve"> Debt!N$591</f>
        <v>0</v>
      </c>
      <c r="O22" s="235">
        <f xml:space="preserve"> Debt!O$591</f>
        <v>0</v>
      </c>
      <c r="P22" s="235">
        <f xml:space="preserve"> Debt!P$591</f>
        <v>0</v>
      </c>
      <c r="Q22" s="235">
        <f xml:space="preserve"> Debt!Q$591</f>
        <v>0</v>
      </c>
      <c r="R22" s="235">
        <f xml:space="preserve"> Debt!R$591</f>
        <v>0</v>
      </c>
      <c r="S22" s="235">
        <f xml:space="preserve"> Debt!S$591</f>
        <v>0</v>
      </c>
      <c r="T22" s="235">
        <f xml:space="preserve"> Debt!T$591</f>
        <v>0</v>
      </c>
      <c r="U22" s="235">
        <f xml:space="preserve"> Debt!U$591</f>
        <v>0</v>
      </c>
      <c r="V22" s="235">
        <f xml:space="preserve"> Debt!V$591</f>
        <v>0</v>
      </c>
      <c r="W22" s="235">
        <f xml:space="preserve"> Debt!W$591</f>
        <v>0</v>
      </c>
      <c r="X22" s="235">
        <f xml:space="preserve"> Debt!X$591</f>
        <v>0</v>
      </c>
      <c r="Y22" s="235">
        <f xml:space="preserve"> Debt!Y$591</f>
        <v>0</v>
      </c>
      <c r="Z22" s="235">
        <f xml:space="preserve"> Debt!Z$591</f>
        <v>0</v>
      </c>
      <c r="AA22" s="235">
        <f xml:space="preserve"> Debt!AA$591</f>
        <v>0</v>
      </c>
      <c r="AB22" s="235">
        <f xml:space="preserve"> Debt!AB$591</f>
        <v>0</v>
      </c>
      <c r="AC22" s="235">
        <f xml:space="preserve"> Debt!AC$591</f>
        <v>0</v>
      </c>
      <c r="AD22" s="235">
        <f xml:space="preserve"> Debt!AD$591</f>
        <v>0</v>
      </c>
      <c r="AE22" s="235">
        <f xml:space="preserve"> Debt!AE$591</f>
        <v>0</v>
      </c>
      <c r="AF22" s="235">
        <f xml:space="preserve"> Debt!AF$591</f>
        <v>0</v>
      </c>
      <c r="AG22" s="235">
        <f xml:space="preserve"> Debt!AG$591</f>
        <v>0</v>
      </c>
      <c r="AH22" s="235">
        <f xml:space="preserve"> Debt!AH$591</f>
        <v>0</v>
      </c>
      <c r="AI22" s="235">
        <f xml:space="preserve"> Debt!AI$591</f>
        <v>0</v>
      </c>
      <c r="AJ22" s="235">
        <f xml:space="preserve"> Debt!AJ$591</f>
        <v>0</v>
      </c>
      <c r="AK22" s="235">
        <f xml:space="preserve"> Debt!AK$591</f>
        <v>0</v>
      </c>
      <c r="AL22" s="235">
        <f xml:space="preserve"> Debt!AL$591</f>
        <v>0</v>
      </c>
      <c r="AM22" s="235">
        <f xml:space="preserve"> Debt!AM$591</f>
        <v>0</v>
      </c>
      <c r="AN22" s="235">
        <f xml:space="preserve"> Debt!AN$591</f>
        <v>0</v>
      </c>
      <c r="AO22" s="235">
        <f xml:space="preserve"> Debt!AO$591</f>
        <v>0</v>
      </c>
      <c r="AP22" s="235">
        <f xml:space="preserve"> Debt!AP$591</f>
        <v>0</v>
      </c>
      <c r="AQ22" s="235">
        <f xml:space="preserve"> Debt!AQ$591</f>
        <v>0</v>
      </c>
      <c r="AR22" s="235">
        <f xml:space="preserve"> Debt!AR$591</f>
        <v>0</v>
      </c>
      <c r="AS22" s="235">
        <f xml:space="preserve"> Debt!AS$591</f>
        <v>0</v>
      </c>
      <c r="AT22" s="235">
        <f xml:space="preserve"> Debt!AT$591</f>
        <v>0</v>
      </c>
      <c r="AU22" s="235">
        <f xml:space="preserve"> Debt!AU$591</f>
        <v>0</v>
      </c>
      <c r="AV22" s="235">
        <f xml:space="preserve"> Debt!AV$591</f>
        <v>0</v>
      </c>
      <c r="AW22" s="235">
        <f xml:space="preserve"> Debt!AW$591</f>
        <v>0</v>
      </c>
      <c r="AX22" s="235">
        <f xml:space="preserve"> Debt!AX$591</f>
        <v>0</v>
      </c>
      <c r="AY22" s="235">
        <f xml:space="preserve"> Debt!AY$591</f>
        <v>0</v>
      </c>
      <c r="AZ22" s="235">
        <f xml:space="preserve"> Debt!AZ$591</f>
        <v>0</v>
      </c>
      <c r="BA22" s="235">
        <f xml:space="preserve"> Debt!BA$591</f>
        <v>0</v>
      </c>
      <c r="BB22" s="235">
        <f xml:space="preserve"> Debt!BB$591</f>
        <v>0</v>
      </c>
      <c r="BC22" s="235">
        <f xml:space="preserve"> Debt!BC$591</f>
        <v>0</v>
      </c>
      <c r="BD22" s="235">
        <f xml:space="preserve"> Debt!BD$591</f>
        <v>0</v>
      </c>
      <c r="BE22" s="235">
        <f xml:space="preserve"> Debt!BE$591</f>
        <v>0</v>
      </c>
      <c r="BF22" s="235">
        <f xml:space="preserve"> Debt!BF$591</f>
        <v>0</v>
      </c>
      <c r="BG22" s="235">
        <f xml:space="preserve"> Debt!BG$591</f>
        <v>0</v>
      </c>
      <c r="BH22" s="235">
        <f xml:space="preserve"> Debt!BH$591</f>
        <v>0</v>
      </c>
      <c r="BI22" s="235">
        <f xml:space="preserve"> Debt!BI$591</f>
        <v>0</v>
      </c>
      <c r="BJ22" s="235">
        <f xml:space="preserve"> Debt!BJ$591</f>
        <v>0</v>
      </c>
      <c r="BK22" s="235">
        <f xml:space="preserve"> Debt!BK$591</f>
        <v>0</v>
      </c>
      <c r="BL22" s="235">
        <f xml:space="preserve"> Debt!BL$591</f>
        <v>0</v>
      </c>
      <c r="BM22" s="235">
        <f xml:space="preserve"> Debt!BM$591</f>
        <v>0</v>
      </c>
      <c r="BN22" s="235">
        <f xml:space="preserve"> Debt!BN$591</f>
        <v>0</v>
      </c>
      <c r="BO22" s="235">
        <f xml:space="preserve"> Debt!BO$591</f>
        <v>0</v>
      </c>
      <c r="BP22" s="235">
        <f xml:space="preserve"> Debt!BP$591</f>
        <v>0</v>
      </c>
      <c r="BQ22" s="235">
        <f xml:space="preserve"> Debt!BQ$591</f>
        <v>0</v>
      </c>
      <c r="BR22" s="235">
        <f xml:space="preserve"> Debt!BR$591</f>
        <v>0</v>
      </c>
      <c r="BS22" s="235">
        <f xml:space="preserve"> Debt!BS$591</f>
        <v>0</v>
      </c>
      <c r="BT22" s="235">
        <f xml:space="preserve"> Debt!BT$591</f>
        <v>0</v>
      </c>
      <c r="BU22" s="235">
        <f xml:space="preserve"> Debt!BU$591</f>
        <v>0</v>
      </c>
      <c r="BV22" s="235">
        <f xml:space="preserve"> Debt!BV$591</f>
        <v>0</v>
      </c>
      <c r="BW22" s="235">
        <f xml:space="preserve"> Debt!BW$591</f>
        <v>0</v>
      </c>
      <c r="BX22" s="235">
        <f xml:space="preserve"> Debt!BX$591</f>
        <v>0</v>
      </c>
      <c r="BY22" s="235">
        <f xml:space="preserve"> Debt!BY$591</f>
        <v>0</v>
      </c>
      <c r="BZ22" s="235">
        <f xml:space="preserve"> Debt!BZ$591</f>
        <v>0</v>
      </c>
      <c r="CA22" s="235">
        <f xml:space="preserve"> Debt!CA$591</f>
        <v>0</v>
      </c>
      <c r="CB22" s="235">
        <f xml:space="preserve"> Debt!CB$591</f>
        <v>0</v>
      </c>
      <c r="CC22" s="235">
        <f xml:space="preserve"> Debt!CC$591</f>
        <v>0</v>
      </c>
      <c r="CD22" s="235">
        <f xml:space="preserve"> Debt!CD$591</f>
        <v>0</v>
      </c>
      <c r="CE22" s="235">
        <f xml:space="preserve"> Debt!CE$591</f>
        <v>0</v>
      </c>
      <c r="CF22" s="235">
        <f xml:space="preserve"> Debt!CF$591</f>
        <v>0</v>
      </c>
      <c r="CG22" s="235">
        <f xml:space="preserve"> Debt!CG$591</f>
        <v>0</v>
      </c>
      <c r="CH22" s="235">
        <f xml:space="preserve"> Debt!CH$591</f>
        <v>0</v>
      </c>
      <c r="CI22" s="235">
        <f xml:space="preserve"> Debt!CI$591</f>
        <v>0</v>
      </c>
      <c r="CJ22" s="235">
        <f xml:space="preserve"> Debt!CJ$591</f>
        <v>0</v>
      </c>
      <c r="CK22" s="235">
        <f xml:space="preserve"> Debt!CK$591</f>
        <v>0</v>
      </c>
      <c r="CL22" s="235">
        <f xml:space="preserve"> Debt!CL$591</f>
        <v>0</v>
      </c>
      <c r="CM22" s="235">
        <f xml:space="preserve"> Debt!CM$591</f>
        <v>0</v>
      </c>
      <c r="CN22" s="235">
        <f xml:space="preserve"> Debt!CN$591</f>
        <v>0</v>
      </c>
      <c r="CO22" s="235">
        <f xml:space="preserve"> Debt!CO$591</f>
        <v>0</v>
      </c>
      <c r="CP22" s="235">
        <f xml:space="preserve"> Debt!CP$591</f>
        <v>0</v>
      </c>
      <c r="CQ22" s="235">
        <f xml:space="preserve"> Debt!CQ$591</f>
        <v>0</v>
      </c>
      <c r="CR22" s="235">
        <f xml:space="preserve"> Debt!CR$591</f>
        <v>0</v>
      </c>
      <c r="CS22" s="235">
        <f xml:space="preserve"> Debt!CS$591</f>
        <v>0</v>
      </c>
      <c r="CT22" s="235">
        <f xml:space="preserve"> Debt!CT$591</f>
        <v>0</v>
      </c>
      <c r="CU22" s="235">
        <f xml:space="preserve"> Debt!CU$591</f>
        <v>0</v>
      </c>
      <c r="CV22" s="235">
        <f xml:space="preserve"> Debt!CV$591</f>
        <v>0</v>
      </c>
    </row>
    <row r="23" spans="1:192" s="192" customFormat="1" outlineLevel="1" x14ac:dyDescent="0.2">
      <c r="A23" s="205"/>
      <c r="B23" s="205"/>
      <c r="C23" s="206"/>
      <c r="D23" s="209"/>
      <c r="E23" s="235" t="str">
        <f xml:space="preserve"> Debt!E$661</f>
        <v>WCF interest accrued and paid - P99</v>
      </c>
      <c r="F23" s="235">
        <f xml:space="preserve"> Debt!F$661</f>
        <v>0</v>
      </c>
      <c r="G23" s="235" t="str">
        <f xml:space="preserve"> Debt!G$661</f>
        <v>$ 000s</v>
      </c>
      <c r="H23" s="235">
        <f xml:space="preserve"> Debt!H$661</f>
        <v>0</v>
      </c>
      <c r="I23" s="235">
        <f xml:space="preserve"> Debt!I$661</f>
        <v>0</v>
      </c>
      <c r="J23" s="235">
        <f xml:space="preserve"> Debt!J$661</f>
        <v>0</v>
      </c>
      <c r="K23" s="235">
        <f xml:space="preserve"> Debt!K$661</f>
        <v>0</v>
      </c>
      <c r="L23" s="235">
        <f xml:space="preserve"> Debt!L$661</f>
        <v>0</v>
      </c>
      <c r="M23" s="235">
        <f xml:space="preserve"> Debt!M$661</f>
        <v>0</v>
      </c>
      <c r="N23" s="235">
        <f xml:space="preserve"> Debt!N$661</f>
        <v>0</v>
      </c>
      <c r="O23" s="235">
        <f xml:space="preserve"> Debt!O$661</f>
        <v>0</v>
      </c>
      <c r="P23" s="235">
        <f xml:space="preserve"> Debt!P$661</f>
        <v>0</v>
      </c>
      <c r="Q23" s="235">
        <f xml:space="preserve"> Debt!Q$661</f>
        <v>0</v>
      </c>
      <c r="R23" s="235">
        <f xml:space="preserve"> Debt!R$661</f>
        <v>0</v>
      </c>
      <c r="S23" s="235">
        <f xml:space="preserve"> Debt!S$661</f>
        <v>0</v>
      </c>
      <c r="T23" s="235">
        <f xml:space="preserve"> Debt!T$661</f>
        <v>0</v>
      </c>
      <c r="U23" s="235">
        <f xml:space="preserve"> Debt!U$661</f>
        <v>0</v>
      </c>
      <c r="V23" s="235">
        <f xml:space="preserve"> Debt!V$661</f>
        <v>0</v>
      </c>
      <c r="W23" s="235">
        <f xml:space="preserve"> Debt!W$661</f>
        <v>0</v>
      </c>
      <c r="X23" s="235">
        <f xml:space="preserve"> Debt!X$661</f>
        <v>0</v>
      </c>
      <c r="Y23" s="235">
        <f xml:space="preserve"> Debt!Y$661</f>
        <v>0</v>
      </c>
      <c r="Z23" s="235">
        <f xml:space="preserve"> Debt!Z$661</f>
        <v>0</v>
      </c>
      <c r="AA23" s="235">
        <f xml:space="preserve"> Debt!AA$661</f>
        <v>0</v>
      </c>
      <c r="AB23" s="235">
        <f xml:space="preserve"> Debt!AB$661</f>
        <v>0</v>
      </c>
      <c r="AC23" s="235">
        <f xml:space="preserve"> Debt!AC$661</f>
        <v>0</v>
      </c>
      <c r="AD23" s="235">
        <f xml:space="preserve"> Debt!AD$661</f>
        <v>0</v>
      </c>
      <c r="AE23" s="235">
        <f xml:space="preserve"> Debt!AE$661</f>
        <v>0</v>
      </c>
      <c r="AF23" s="235">
        <f xml:space="preserve"> Debt!AF$661</f>
        <v>0</v>
      </c>
      <c r="AG23" s="235">
        <f xml:space="preserve"> Debt!AG$661</f>
        <v>0</v>
      </c>
      <c r="AH23" s="235">
        <f xml:space="preserve"> Debt!AH$661</f>
        <v>0</v>
      </c>
      <c r="AI23" s="235">
        <f xml:space="preserve"> Debt!AI$661</f>
        <v>0</v>
      </c>
      <c r="AJ23" s="235">
        <f xml:space="preserve"> Debt!AJ$661</f>
        <v>0</v>
      </c>
      <c r="AK23" s="235">
        <f xml:space="preserve"> Debt!AK$661</f>
        <v>0</v>
      </c>
      <c r="AL23" s="235">
        <f xml:space="preserve"> Debt!AL$661</f>
        <v>0</v>
      </c>
      <c r="AM23" s="235">
        <f xml:space="preserve"> Debt!AM$661</f>
        <v>0</v>
      </c>
      <c r="AN23" s="235">
        <f xml:space="preserve"> Debt!AN$661</f>
        <v>0</v>
      </c>
      <c r="AO23" s="235">
        <f xml:space="preserve"> Debt!AO$661</f>
        <v>0</v>
      </c>
      <c r="AP23" s="235">
        <f xml:space="preserve"> Debt!AP$661</f>
        <v>0</v>
      </c>
      <c r="AQ23" s="235">
        <f xml:space="preserve"> Debt!AQ$661</f>
        <v>0</v>
      </c>
      <c r="AR23" s="235">
        <f xml:space="preserve"> Debt!AR$661</f>
        <v>0</v>
      </c>
      <c r="AS23" s="235">
        <f xml:space="preserve"> Debt!AS$661</f>
        <v>0</v>
      </c>
      <c r="AT23" s="235">
        <f xml:space="preserve"> Debt!AT$661</f>
        <v>0</v>
      </c>
      <c r="AU23" s="235">
        <f xml:space="preserve"> Debt!AU$661</f>
        <v>0</v>
      </c>
      <c r="AV23" s="235">
        <f xml:space="preserve"> Debt!AV$661</f>
        <v>0</v>
      </c>
      <c r="AW23" s="235">
        <f xml:space="preserve"> Debt!AW$661</f>
        <v>0</v>
      </c>
      <c r="AX23" s="235">
        <f xml:space="preserve"> Debt!AX$661</f>
        <v>0</v>
      </c>
      <c r="AY23" s="235">
        <f xml:space="preserve"> Debt!AY$661</f>
        <v>0</v>
      </c>
      <c r="AZ23" s="235">
        <f xml:space="preserve"> Debt!AZ$661</f>
        <v>0</v>
      </c>
      <c r="BA23" s="235">
        <f xml:space="preserve"> Debt!BA$661</f>
        <v>0</v>
      </c>
      <c r="BB23" s="235">
        <f xml:space="preserve"> Debt!BB$661</f>
        <v>0</v>
      </c>
      <c r="BC23" s="235">
        <f xml:space="preserve"> Debt!BC$661</f>
        <v>0</v>
      </c>
      <c r="BD23" s="235">
        <f xml:space="preserve"> Debt!BD$661</f>
        <v>0</v>
      </c>
      <c r="BE23" s="235">
        <f xml:space="preserve"> Debt!BE$661</f>
        <v>0</v>
      </c>
      <c r="BF23" s="235">
        <f xml:space="preserve"> Debt!BF$661</f>
        <v>0</v>
      </c>
      <c r="BG23" s="235">
        <f xml:space="preserve"> Debt!BG$661</f>
        <v>0</v>
      </c>
      <c r="BH23" s="235">
        <f xml:space="preserve"> Debt!BH$661</f>
        <v>0</v>
      </c>
      <c r="BI23" s="235">
        <f xml:space="preserve"> Debt!BI$661</f>
        <v>0</v>
      </c>
      <c r="BJ23" s="235">
        <f xml:space="preserve"> Debt!BJ$661</f>
        <v>0</v>
      </c>
      <c r="BK23" s="235">
        <f xml:space="preserve"> Debt!BK$661</f>
        <v>0</v>
      </c>
      <c r="BL23" s="235">
        <f xml:space="preserve"> Debt!BL$661</f>
        <v>0</v>
      </c>
      <c r="BM23" s="235">
        <f xml:space="preserve"> Debt!BM$661</f>
        <v>0</v>
      </c>
      <c r="BN23" s="235">
        <f xml:space="preserve"> Debt!BN$661</f>
        <v>0</v>
      </c>
      <c r="BO23" s="235">
        <f xml:space="preserve"> Debt!BO$661</f>
        <v>0</v>
      </c>
      <c r="BP23" s="235">
        <f xml:space="preserve"> Debt!BP$661</f>
        <v>0</v>
      </c>
      <c r="BQ23" s="235">
        <f xml:space="preserve"> Debt!BQ$661</f>
        <v>0</v>
      </c>
      <c r="BR23" s="235">
        <f xml:space="preserve"> Debt!BR$661</f>
        <v>0</v>
      </c>
      <c r="BS23" s="235">
        <f xml:space="preserve"> Debt!BS$661</f>
        <v>0</v>
      </c>
      <c r="BT23" s="235">
        <f xml:space="preserve"> Debt!BT$661</f>
        <v>0</v>
      </c>
      <c r="BU23" s="235">
        <f xml:space="preserve"> Debt!BU$661</f>
        <v>0</v>
      </c>
      <c r="BV23" s="235">
        <f xml:space="preserve"> Debt!BV$661</f>
        <v>0</v>
      </c>
      <c r="BW23" s="235">
        <f xml:space="preserve"> Debt!BW$661</f>
        <v>0</v>
      </c>
      <c r="BX23" s="235">
        <f xml:space="preserve"> Debt!BX$661</f>
        <v>0</v>
      </c>
      <c r="BY23" s="235">
        <f xml:space="preserve"> Debt!BY$661</f>
        <v>0</v>
      </c>
      <c r="BZ23" s="235">
        <f xml:space="preserve"> Debt!BZ$661</f>
        <v>0</v>
      </c>
      <c r="CA23" s="235">
        <f xml:space="preserve"> Debt!CA$661</f>
        <v>0</v>
      </c>
      <c r="CB23" s="235">
        <f xml:space="preserve"> Debt!CB$661</f>
        <v>0</v>
      </c>
      <c r="CC23" s="235">
        <f xml:space="preserve"> Debt!CC$661</f>
        <v>0</v>
      </c>
      <c r="CD23" s="235">
        <f xml:space="preserve"> Debt!CD$661</f>
        <v>0</v>
      </c>
      <c r="CE23" s="235">
        <f xml:space="preserve"> Debt!CE$661</f>
        <v>0</v>
      </c>
      <c r="CF23" s="235">
        <f xml:space="preserve"> Debt!CF$661</f>
        <v>0</v>
      </c>
      <c r="CG23" s="235">
        <f xml:space="preserve"> Debt!CG$661</f>
        <v>0</v>
      </c>
      <c r="CH23" s="235">
        <f xml:space="preserve"> Debt!CH$661</f>
        <v>0</v>
      </c>
      <c r="CI23" s="235">
        <f xml:space="preserve"> Debt!CI$661</f>
        <v>0</v>
      </c>
      <c r="CJ23" s="235">
        <f xml:space="preserve"> Debt!CJ$661</f>
        <v>0</v>
      </c>
      <c r="CK23" s="235">
        <f xml:space="preserve"> Debt!CK$661</f>
        <v>0</v>
      </c>
      <c r="CL23" s="235">
        <f xml:space="preserve"> Debt!CL$661</f>
        <v>0</v>
      </c>
      <c r="CM23" s="235">
        <f xml:space="preserve"> Debt!CM$661</f>
        <v>0</v>
      </c>
      <c r="CN23" s="235">
        <f xml:space="preserve"> Debt!CN$661</f>
        <v>0</v>
      </c>
      <c r="CO23" s="235">
        <f xml:space="preserve"> Debt!CO$661</f>
        <v>0</v>
      </c>
      <c r="CP23" s="235">
        <f xml:space="preserve"> Debt!CP$661</f>
        <v>0</v>
      </c>
      <c r="CQ23" s="235">
        <f xml:space="preserve"> Debt!CQ$661</f>
        <v>0</v>
      </c>
      <c r="CR23" s="235">
        <f xml:space="preserve"> Debt!CR$661</f>
        <v>0</v>
      </c>
      <c r="CS23" s="235">
        <f xml:space="preserve"> Debt!CS$661</f>
        <v>0</v>
      </c>
      <c r="CT23" s="235">
        <f xml:space="preserve"> Debt!CT$661</f>
        <v>0</v>
      </c>
      <c r="CU23" s="235">
        <f xml:space="preserve"> Debt!CU$661</f>
        <v>0</v>
      </c>
      <c r="CV23" s="235">
        <f xml:space="preserve"> Debt!CV$661</f>
        <v>0</v>
      </c>
    </row>
    <row r="24" spans="1:192" s="732" customFormat="1" outlineLevel="1" x14ac:dyDescent="0.2">
      <c r="A24" s="752"/>
      <c r="B24" s="752"/>
      <c r="C24" s="753"/>
      <c r="D24" s="754"/>
      <c r="E24" s="722" t="str">
        <f xml:space="preserve"> Debt!E$715</f>
        <v>Equity bridge interest</v>
      </c>
      <c r="F24" s="722">
        <f xml:space="preserve"> Debt!F$715</f>
        <v>0</v>
      </c>
      <c r="G24" s="722" t="str">
        <f xml:space="preserve"> Debt!G$715</f>
        <v>$ 000s</v>
      </c>
      <c r="H24" s="722">
        <f xml:space="preserve"> Debt!H$715</f>
        <v>0</v>
      </c>
      <c r="I24" s="722">
        <f xml:space="preserve"> Debt!I$715</f>
        <v>0</v>
      </c>
      <c r="J24" s="722">
        <f xml:space="preserve"> Debt!J$715</f>
        <v>0</v>
      </c>
      <c r="K24" s="722">
        <f xml:space="preserve"> Debt!K$715</f>
        <v>0</v>
      </c>
      <c r="L24" s="722">
        <f xml:space="preserve"> Debt!L$715</f>
        <v>0</v>
      </c>
      <c r="M24" s="722">
        <f xml:space="preserve"> Debt!M$715</f>
        <v>0</v>
      </c>
      <c r="N24" s="722">
        <f xml:space="preserve"> Debt!N$715</f>
        <v>0</v>
      </c>
      <c r="O24" s="722">
        <f xml:space="preserve"> Debt!O$715</f>
        <v>0</v>
      </c>
      <c r="P24" s="722">
        <f xml:space="preserve"> Debt!P$715</f>
        <v>0</v>
      </c>
      <c r="Q24" s="722">
        <f xml:space="preserve"> Debt!Q$715</f>
        <v>0</v>
      </c>
      <c r="R24" s="722">
        <f xml:space="preserve"> Debt!R$715</f>
        <v>0</v>
      </c>
      <c r="S24" s="722">
        <f xml:space="preserve"> Debt!S$715</f>
        <v>0</v>
      </c>
      <c r="T24" s="722">
        <f xml:space="preserve"> Debt!T$715</f>
        <v>0</v>
      </c>
      <c r="U24" s="722">
        <f xml:space="preserve"> Debt!U$715</f>
        <v>0</v>
      </c>
      <c r="V24" s="722">
        <f xml:space="preserve"> Debt!V$715</f>
        <v>0</v>
      </c>
      <c r="W24" s="722">
        <f xml:space="preserve"> Debt!W$715</f>
        <v>0</v>
      </c>
      <c r="X24" s="722">
        <f xml:space="preserve"> Debt!X$715</f>
        <v>0</v>
      </c>
      <c r="Y24" s="722">
        <f xml:space="preserve"> Debt!Y$715</f>
        <v>0</v>
      </c>
      <c r="Z24" s="722">
        <f xml:space="preserve"> Debt!Z$715</f>
        <v>0</v>
      </c>
      <c r="AA24" s="722">
        <f xml:space="preserve"> Debt!AA$715</f>
        <v>0</v>
      </c>
      <c r="AB24" s="722">
        <f xml:space="preserve"> Debt!AB$715</f>
        <v>0</v>
      </c>
      <c r="AC24" s="722">
        <f xml:space="preserve"> Debt!AC$715</f>
        <v>0</v>
      </c>
      <c r="AD24" s="722">
        <f xml:space="preserve"> Debt!AD$715</f>
        <v>0</v>
      </c>
      <c r="AE24" s="722">
        <f xml:space="preserve"> Debt!AE$715</f>
        <v>0</v>
      </c>
      <c r="AF24" s="722">
        <f xml:space="preserve"> Debt!AF$715</f>
        <v>0</v>
      </c>
      <c r="AG24" s="722">
        <f xml:space="preserve"> Debt!AG$715</f>
        <v>0</v>
      </c>
      <c r="AH24" s="722">
        <f xml:space="preserve"> Debt!AH$715</f>
        <v>0</v>
      </c>
      <c r="AI24" s="722">
        <f xml:space="preserve"> Debt!AI$715</f>
        <v>0</v>
      </c>
      <c r="AJ24" s="722">
        <f xml:space="preserve"> Debt!AJ$715</f>
        <v>0</v>
      </c>
      <c r="AK24" s="722">
        <f xml:space="preserve"> Debt!AK$715</f>
        <v>0</v>
      </c>
      <c r="AL24" s="722">
        <f xml:space="preserve"> Debt!AL$715</f>
        <v>0</v>
      </c>
      <c r="AM24" s="722">
        <f xml:space="preserve"> Debt!AM$715</f>
        <v>0</v>
      </c>
      <c r="AN24" s="722">
        <f xml:space="preserve"> Debt!AN$715</f>
        <v>0</v>
      </c>
      <c r="AO24" s="722">
        <f xml:space="preserve"> Debt!AO$715</f>
        <v>0</v>
      </c>
      <c r="AP24" s="722">
        <f xml:space="preserve"> Debt!AP$715</f>
        <v>0</v>
      </c>
      <c r="AQ24" s="722">
        <f xml:space="preserve"> Debt!AQ$715</f>
        <v>0</v>
      </c>
      <c r="AR24" s="722">
        <f xml:space="preserve"> Debt!AR$715</f>
        <v>0</v>
      </c>
      <c r="AS24" s="722">
        <f xml:space="preserve"> Debt!AS$715</f>
        <v>0</v>
      </c>
      <c r="AT24" s="722">
        <f xml:space="preserve"> Debt!AT$715</f>
        <v>0</v>
      </c>
      <c r="AU24" s="722">
        <f xml:space="preserve"> Debt!AU$715</f>
        <v>0</v>
      </c>
      <c r="AV24" s="722">
        <f xml:space="preserve"> Debt!AV$715</f>
        <v>0</v>
      </c>
      <c r="AW24" s="722">
        <f xml:space="preserve"> Debt!AW$715</f>
        <v>0</v>
      </c>
      <c r="AX24" s="722">
        <f xml:space="preserve"> Debt!AX$715</f>
        <v>0</v>
      </c>
      <c r="AY24" s="722">
        <f xml:space="preserve"> Debt!AY$715</f>
        <v>0</v>
      </c>
      <c r="AZ24" s="722">
        <f xml:space="preserve"> Debt!AZ$715</f>
        <v>0</v>
      </c>
      <c r="BA24" s="722">
        <f xml:space="preserve"> Debt!BA$715</f>
        <v>0</v>
      </c>
      <c r="BB24" s="722">
        <f xml:space="preserve"> Debt!BB$715</f>
        <v>0</v>
      </c>
      <c r="BC24" s="722">
        <f xml:space="preserve"> Debt!BC$715</f>
        <v>0</v>
      </c>
      <c r="BD24" s="722">
        <f xml:space="preserve"> Debt!BD$715</f>
        <v>0</v>
      </c>
      <c r="BE24" s="722">
        <f xml:space="preserve"> Debt!BE$715</f>
        <v>0</v>
      </c>
      <c r="BF24" s="722">
        <f xml:space="preserve"> Debt!BF$715</f>
        <v>0</v>
      </c>
      <c r="BG24" s="722">
        <f xml:space="preserve"> Debt!BG$715</f>
        <v>0</v>
      </c>
      <c r="BH24" s="722">
        <f xml:space="preserve"> Debt!BH$715</f>
        <v>0</v>
      </c>
      <c r="BI24" s="722">
        <f xml:space="preserve"> Debt!BI$715</f>
        <v>0</v>
      </c>
      <c r="BJ24" s="722">
        <f xml:space="preserve"> Debt!BJ$715</f>
        <v>0</v>
      </c>
      <c r="BK24" s="722">
        <f xml:space="preserve"> Debt!BK$715</f>
        <v>0</v>
      </c>
      <c r="BL24" s="722">
        <f xml:space="preserve"> Debt!BL$715</f>
        <v>0</v>
      </c>
      <c r="BM24" s="722">
        <f xml:space="preserve"> Debt!BM$715</f>
        <v>0</v>
      </c>
      <c r="BN24" s="722">
        <f xml:space="preserve"> Debt!BN$715</f>
        <v>0</v>
      </c>
      <c r="BO24" s="722">
        <f xml:space="preserve"> Debt!BO$715</f>
        <v>0</v>
      </c>
      <c r="BP24" s="722">
        <f xml:space="preserve"> Debt!BP$715</f>
        <v>0</v>
      </c>
      <c r="BQ24" s="722">
        <f xml:space="preserve"> Debt!BQ$715</f>
        <v>0</v>
      </c>
      <c r="BR24" s="722">
        <f xml:space="preserve"> Debt!BR$715</f>
        <v>0</v>
      </c>
      <c r="BS24" s="722">
        <f xml:space="preserve"> Debt!BS$715</f>
        <v>0</v>
      </c>
      <c r="BT24" s="722">
        <f xml:space="preserve"> Debt!BT$715</f>
        <v>0</v>
      </c>
      <c r="BU24" s="722">
        <f xml:space="preserve"> Debt!BU$715</f>
        <v>0</v>
      </c>
      <c r="BV24" s="722">
        <f xml:space="preserve"> Debt!BV$715</f>
        <v>0</v>
      </c>
      <c r="BW24" s="722">
        <f xml:space="preserve"> Debt!BW$715</f>
        <v>0</v>
      </c>
      <c r="BX24" s="722">
        <f xml:space="preserve"> Debt!BX$715</f>
        <v>0</v>
      </c>
      <c r="BY24" s="722">
        <f xml:space="preserve"> Debt!BY$715</f>
        <v>0</v>
      </c>
      <c r="BZ24" s="722">
        <f xml:space="preserve"> Debt!BZ$715</f>
        <v>0</v>
      </c>
      <c r="CA24" s="722">
        <f xml:space="preserve"> Debt!CA$715</f>
        <v>0</v>
      </c>
      <c r="CB24" s="722">
        <f xml:space="preserve"> Debt!CB$715</f>
        <v>0</v>
      </c>
      <c r="CC24" s="722">
        <f xml:space="preserve"> Debt!CC$715</f>
        <v>0</v>
      </c>
      <c r="CD24" s="722">
        <f xml:space="preserve"> Debt!CD$715</f>
        <v>0</v>
      </c>
      <c r="CE24" s="722">
        <f xml:space="preserve"> Debt!CE$715</f>
        <v>0</v>
      </c>
      <c r="CF24" s="722">
        <f xml:space="preserve"> Debt!CF$715</f>
        <v>0</v>
      </c>
      <c r="CG24" s="722">
        <f xml:space="preserve"> Debt!CG$715</f>
        <v>0</v>
      </c>
      <c r="CH24" s="722">
        <f xml:space="preserve"> Debt!CH$715</f>
        <v>0</v>
      </c>
      <c r="CI24" s="722">
        <f xml:space="preserve"> Debt!CI$715</f>
        <v>0</v>
      </c>
      <c r="CJ24" s="722">
        <f xml:space="preserve"> Debt!CJ$715</f>
        <v>0</v>
      </c>
      <c r="CK24" s="722">
        <f xml:space="preserve"> Debt!CK$715</f>
        <v>0</v>
      </c>
      <c r="CL24" s="722">
        <f xml:space="preserve"> Debt!CL$715</f>
        <v>0</v>
      </c>
      <c r="CM24" s="722">
        <f xml:space="preserve"> Debt!CM$715</f>
        <v>0</v>
      </c>
      <c r="CN24" s="722">
        <f xml:space="preserve"> Debt!CN$715</f>
        <v>0</v>
      </c>
      <c r="CO24" s="722">
        <f xml:space="preserve"> Debt!CO$715</f>
        <v>0</v>
      </c>
      <c r="CP24" s="722">
        <f xml:space="preserve"> Debt!CP$715</f>
        <v>0</v>
      </c>
      <c r="CQ24" s="722">
        <f xml:space="preserve"> Debt!CQ$715</f>
        <v>0</v>
      </c>
      <c r="CR24" s="722">
        <f xml:space="preserve"> Debt!CR$715</f>
        <v>0</v>
      </c>
      <c r="CS24" s="722">
        <f xml:space="preserve"> Debt!CS$715</f>
        <v>0</v>
      </c>
      <c r="CT24" s="722">
        <f xml:space="preserve"> Debt!CT$715</f>
        <v>0</v>
      </c>
      <c r="CU24" s="722">
        <f xml:space="preserve"> Debt!CU$715</f>
        <v>0</v>
      </c>
      <c r="CV24" s="722">
        <f xml:space="preserve"> Debt!CV$715</f>
        <v>0</v>
      </c>
    </row>
    <row r="25" spans="1:192" s="192" customFormat="1" outlineLevel="1" x14ac:dyDescent="0.2">
      <c r="A25" s="205"/>
      <c r="B25" s="205"/>
      <c r="C25" s="206"/>
      <c r="D25" s="209"/>
      <c r="E25" s="235" t="str">
        <f xml:space="preserve"> Debt!E$499</f>
        <v>Shareholder loan interest expense - P99</v>
      </c>
      <c r="F25" s="235">
        <f xml:space="preserve"> Debt!F$499</f>
        <v>0</v>
      </c>
      <c r="G25" s="235" t="str">
        <f xml:space="preserve"> Debt!G$499</f>
        <v>$ 000s</v>
      </c>
      <c r="H25" s="235">
        <f ca="1" xml:space="preserve"> Debt!H$499</f>
        <v>-703456.92471362185</v>
      </c>
      <c r="I25" s="235">
        <f xml:space="preserve"> Debt!I$499</f>
        <v>0</v>
      </c>
      <c r="J25" s="235">
        <f xml:space="preserve"> Debt!J$499</f>
        <v>0</v>
      </c>
      <c r="K25" s="235">
        <f ca="1" xml:space="preserve"> Debt!K$499</f>
        <v>0</v>
      </c>
      <c r="L25" s="235">
        <f ca="1" xml:space="preserve"> Debt!L$499</f>
        <v>0</v>
      </c>
      <c r="M25" s="235">
        <f ca="1" xml:space="preserve"> Debt!M$499</f>
        <v>0</v>
      </c>
      <c r="N25" s="235">
        <f ca="1" xml:space="preserve"> Debt!N$499</f>
        <v>0</v>
      </c>
      <c r="O25" s="235">
        <f ca="1" xml:space="preserve"> Debt!O$499</f>
        <v>-5179.0951864116714</v>
      </c>
      <c r="P25" s="235">
        <f ca="1" xml:space="preserve"> Debt!P$499</f>
        <v>-5409.8190403629778</v>
      </c>
      <c r="Q25" s="235">
        <f ca="1" xml:space="preserve"> Debt!Q$499</f>
        <v>-5683.2203574169225</v>
      </c>
      <c r="R25" s="235">
        <f ca="1" xml:space="preserve"> Debt!R$499</f>
        <v>-5976.8019323164099</v>
      </c>
      <c r="S25" s="235">
        <f ca="1" xml:space="preserve"> Debt!S$499</f>
        <v>-6285.8885507247842</v>
      </c>
      <c r="T25" s="235">
        <f ca="1" xml:space="preserve"> Debt!T$499</f>
        <v>-6617.3033905797265</v>
      </c>
      <c r="U25" s="235">
        <f ca="1" xml:space="preserve"> Debt!U$499</f>
        <v>-6966.9655466086188</v>
      </c>
      <c r="V25" s="235">
        <f ca="1" xml:space="preserve"> Debt!V$499</f>
        <v>-7340.4954249241309</v>
      </c>
      <c r="W25" s="235">
        <f ca="1" xml:space="preserve"> Debt!W$499</f>
        <v>-7735.2720987971907</v>
      </c>
      <c r="X25" s="235">
        <f ca="1" xml:space="preserve"> Debt!X$499</f>
        <v>-8157.5886285975548</v>
      </c>
      <c r="Y25" s="235">
        <f ca="1" xml:space="preserve"> Debt!Y$499</f>
        <v>-8602.6920207917829</v>
      </c>
      <c r="Z25" s="235">
        <f ca="1" xml:space="preserve"> Debt!Z$499</f>
        <v>-9078.3068349874356</v>
      </c>
      <c r="AA25" s="235">
        <f ca="1" xml:space="preserve"> Debt!AA$499</f>
        <v>-9580.4353219044842</v>
      </c>
      <c r="AB25" s="235">
        <f ca="1" xml:space="preserve"> Debt!AB$499</f>
        <v>-10116.504704490349</v>
      </c>
      <c r="AC25" s="235">
        <f ca="1" xml:space="preserve"> Debt!AC$499</f>
        <v>-10683.17377536463</v>
      </c>
      <c r="AD25" s="235">
        <f ca="1" xml:space="preserve"> Debt!AD$499</f>
        <v>-11286.791839157257</v>
      </c>
      <c r="AE25" s="235">
        <f ca="1" xml:space="preserve"> Debt!AE$499</f>
        <v>-11925.521579859857</v>
      </c>
      <c r="AF25" s="235">
        <f ca="1" xml:space="preserve"> Debt!AF$499</f>
        <v>-12606.450933725351</v>
      </c>
      <c r="AG25" s="235">
        <f ca="1" xml:space="preserve"> Debt!AG$499</f>
        <v>-13325.799024596456</v>
      </c>
      <c r="AH25" s="235">
        <f ca="1" xml:space="preserve"> Debt!AH$499</f>
        <v>-14092.146878665209</v>
      </c>
      <c r="AI25" s="235">
        <f ca="1" xml:space="preserve"> Debt!AI$499</f>
        <v>-14902.544139085943</v>
      </c>
      <c r="AJ25" s="235">
        <f ca="1" xml:space="preserve"> Debt!AJ$499</f>
        <v>-15765.413291201141</v>
      </c>
      <c r="AK25" s="235">
        <f ca="1" xml:space="preserve"> Debt!AK$499</f>
        <v>-16678.567628098426</v>
      </c>
      <c r="AL25" s="235">
        <f ca="1" xml:space="preserve"> Debt!AL$499</f>
        <v>-17649.527351806784</v>
      </c>
      <c r="AM25" s="235">
        <f ca="1" xml:space="preserve"> Debt!AM$499</f>
        <v>-18677.702549551508</v>
      </c>
      <c r="AN25" s="235">
        <f ca="1" xml:space="preserve"> Debt!AN$499</f>
        <v>-19771.470846289729</v>
      </c>
      <c r="AO25" s="235">
        <f ca="1" xml:space="preserve"> Debt!AO$499</f>
        <v>-20928.550281610158</v>
      </c>
      <c r="AP25" s="235">
        <f ca="1" xml:space="preserve"> Debt!AP$499</f>
        <v>-22158.932000795918</v>
      </c>
      <c r="AQ25" s="235">
        <f ca="1" xml:space="preserve"> Debt!AQ$499</f>
        <v>-23461.302467370235</v>
      </c>
      <c r="AR25" s="235">
        <f ca="1" xml:space="preserve"> Debt!AR$499</f>
        <v>-24845.70320742816</v>
      </c>
      <c r="AS25" s="235">
        <f ca="1" xml:space="preserve"> Debt!AS$499</f>
        <v>-26311.763342627997</v>
      </c>
      <c r="AT25" s="235">
        <f ca="1" xml:space="preserve"> Debt!AT$499</f>
        <v>-27868.877504433076</v>
      </c>
      <c r="AU25" s="235">
        <f ca="1" xml:space="preserve"> Debt!AU$499</f>
        <v>-29518.443833454578</v>
      </c>
      <c r="AV25" s="235">
        <f ca="1" xml:space="preserve"> Debt!AV$499</f>
        <v>-30979.322730148517</v>
      </c>
      <c r="AW25" s="235">
        <f ca="1" xml:space="preserve"> Debt!AW$499</f>
        <v>-32528.804537019194</v>
      </c>
      <c r="AX25" s="235">
        <f ca="1" xml:space="preserve"> Debt!AX$499</f>
        <v>-33883.66026473025</v>
      </c>
      <c r="AY25" s="235">
        <f ca="1" xml:space="preserve"> Debt!AY$499</f>
        <v>-35324.332705482491</v>
      </c>
      <c r="AZ25" s="235">
        <f ca="1" xml:space="preserve"> Debt!AZ$499</f>
        <v>-36855.597819708011</v>
      </c>
      <c r="BA25" s="235">
        <f ca="1" xml:space="preserve"> Debt!BA$499</f>
        <v>-38483.261579261198</v>
      </c>
      <c r="BB25" s="235">
        <f ca="1" xml:space="preserve"> Debt!BB$499</f>
        <v>-40212.873563235735</v>
      </c>
      <c r="BC25" s="235">
        <f ca="1" xml:space="preserve"> Debt!BC$499</f>
        <v>0</v>
      </c>
      <c r="BD25" s="235">
        <f ca="1" xml:space="preserve"> Debt!BD$499</f>
        <v>0</v>
      </c>
      <c r="BE25" s="235">
        <f ca="1" xml:space="preserve"> Debt!BE$499</f>
        <v>0</v>
      </c>
      <c r="BF25" s="235">
        <f ca="1" xml:space="preserve"> Debt!BF$499</f>
        <v>0</v>
      </c>
      <c r="BG25" s="235">
        <f ca="1" xml:space="preserve"> Debt!BG$499</f>
        <v>0</v>
      </c>
      <c r="BH25" s="235">
        <f ca="1" xml:space="preserve"> Debt!BH$499</f>
        <v>0</v>
      </c>
      <c r="BI25" s="235">
        <f ca="1" xml:space="preserve"> Debt!BI$499</f>
        <v>0</v>
      </c>
      <c r="BJ25" s="235">
        <f ca="1" xml:space="preserve"> Debt!BJ$499</f>
        <v>0</v>
      </c>
      <c r="BK25" s="235">
        <f ca="1" xml:space="preserve"> Debt!BK$499</f>
        <v>0</v>
      </c>
      <c r="BL25" s="235">
        <f ca="1" xml:space="preserve"> Debt!BL$499</f>
        <v>0</v>
      </c>
      <c r="BM25" s="235">
        <f ca="1" xml:space="preserve"> Debt!BM$499</f>
        <v>0</v>
      </c>
      <c r="BN25" s="235">
        <f ca="1" xml:space="preserve"> Debt!BN$499</f>
        <v>0</v>
      </c>
      <c r="BO25" s="235">
        <f ca="1" xml:space="preserve"> Debt!BO$499</f>
        <v>0</v>
      </c>
      <c r="BP25" s="235">
        <f ca="1" xml:space="preserve"> Debt!BP$499</f>
        <v>0</v>
      </c>
      <c r="BQ25" s="235">
        <f ca="1" xml:space="preserve"> Debt!BQ$499</f>
        <v>0</v>
      </c>
      <c r="BR25" s="235">
        <f ca="1" xml:space="preserve"> Debt!BR$499</f>
        <v>0</v>
      </c>
      <c r="BS25" s="235">
        <f ca="1" xml:space="preserve"> Debt!BS$499</f>
        <v>0</v>
      </c>
      <c r="BT25" s="235">
        <f ca="1" xml:space="preserve"> Debt!BT$499</f>
        <v>0</v>
      </c>
      <c r="BU25" s="235">
        <f ca="1" xml:space="preserve"> Debt!BU$499</f>
        <v>0</v>
      </c>
      <c r="BV25" s="235">
        <f ca="1" xml:space="preserve"> Debt!BV$499</f>
        <v>0</v>
      </c>
      <c r="BW25" s="235">
        <f ca="1" xml:space="preserve"> Debt!BW$499</f>
        <v>0</v>
      </c>
      <c r="BX25" s="235">
        <f ca="1" xml:space="preserve"> Debt!BX$499</f>
        <v>0</v>
      </c>
      <c r="BY25" s="235">
        <f ca="1" xml:space="preserve"> Debt!BY$499</f>
        <v>0</v>
      </c>
      <c r="BZ25" s="235">
        <f ca="1" xml:space="preserve"> Debt!BZ$499</f>
        <v>0</v>
      </c>
      <c r="CA25" s="235">
        <f ca="1" xml:space="preserve"> Debt!CA$499</f>
        <v>0</v>
      </c>
      <c r="CB25" s="235">
        <f ca="1" xml:space="preserve"> Debt!CB$499</f>
        <v>0</v>
      </c>
      <c r="CC25" s="235">
        <f ca="1" xml:space="preserve"> Debt!CC$499</f>
        <v>0</v>
      </c>
      <c r="CD25" s="235">
        <f ca="1" xml:space="preserve"> Debt!CD$499</f>
        <v>0</v>
      </c>
      <c r="CE25" s="235">
        <f ca="1" xml:space="preserve"> Debt!CE$499</f>
        <v>0</v>
      </c>
      <c r="CF25" s="235">
        <f ca="1" xml:space="preserve"> Debt!CF$499</f>
        <v>0</v>
      </c>
      <c r="CG25" s="235">
        <f ca="1" xml:space="preserve"> Debt!CG$499</f>
        <v>0</v>
      </c>
      <c r="CH25" s="235">
        <f ca="1" xml:space="preserve"> Debt!CH$499</f>
        <v>0</v>
      </c>
      <c r="CI25" s="235">
        <f ca="1" xml:space="preserve"> Debt!CI$499</f>
        <v>0</v>
      </c>
      <c r="CJ25" s="235">
        <f ca="1" xml:space="preserve"> Debt!CJ$499</f>
        <v>0</v>
      </c>
      <c r="CK25" s="235">
        <f ca="1" xml:space="preserve"> Debt!CK$499</f>
        <v>0</v>
      </c>
      <c r="CL25" s="235">
        <f ca="1" xml:space="preserve"> Debt!CL$499</f>
        <v>0</v>
      </c>
      <c r="CM25" s="235">
        <f ca="1" xml:space="preserve"> Debt!CM$499</f>
        <v>0</v>
      </c>
      <c r="CN25" s="235">
        <f ca="1" xml:space="preserve"> Debt!CN$499</f>
        <v>0</v>
      </c>
      <c r="CO25" s="235">
        <f ca="1" xml:space="preserve"> Debt!CO$499</f>
        <v>0</v>
      </c>
      <c r="CP25" s="235">
        <f ca="1" xml:space="preserve"> Debt!CP$499</f>
        <v>0</v>
      </c>
      <c r="CQ25" s="235">
        <f ca="1" xml:space="preserve"> Debt!CQ$499</f>
        <v>0</v>
      </c>
      <c r="CR25" s="235">
        <f ca="1" xml:space="preserve"> Debt!CR$499</f>
        <v>0</v>
      </c>
      <c r="CS25" s="235">
        <f ca="1" xml:space="preserve"> Debt!CS$499</f>
        <v>0</v>
      </c>
      <c r="CT25" s="235">
        <f ca="1" xml:space="preserve"> Debt!CT$499</f>
        <v>0</v>
      </c>
      <c r="CU25" s="235">
        <f ca="1" xml:space="preserve"> Debt!CU$499</f>
        <v>0</v>
      </c>
      <c r="CV25" s="235">
        <f ca="1" xml:space="preserve"> Debt!CV$499</f>
        <v>0</v>
      </c>
    </row>
    <row r="26" spans="1:192" s="192" customFormat="1" outlineLevel="1" x14ac:dyDescent="0.2">
      <c r="A26" s="205"/>
      <c r="B26" s="205"/>
      <c r="C26" s="206"/>
      <c r="D26" s="209"/>
      <c r="E26" s="235" t="str">
        <f xml:space="preserve"> DSRA!E$174</f>
        <v>DSRA LC fee accrued and paid</v>
      </c>
      <c r="F26" s="235">
        <f xml:space="preserve"> DSRA!F$174</f>
        <v>0</v>
      </c>
      <c r="G26" s="235" t="str">
        <f xml:space="preserve"> DSRA!G$174</f>
        <v>$ 000s</v>
      </c>
      <c r="H26" s="235">
        <f xml:space="preserve"> DSRA!H$174</f>
        <v>0</v>
      </c>
      <c r="I26" s="235">
        <f xml:space="preserve"> DSRA!I$174</f>
        <v>0</v>
      </c>
      <c r="J26" s="235">
        <f xml:space="preserve"> DSRA!J$174</f>
        <v>0</v>
      </c>
      <c r="K26" s="235">
        <f xml:space="preserve"> DSRA!K$174</f>
        <v>0</v>
      </c>
      <c r="L26" s="235">
        <f xml:space="preserve"> DSRA!L$174</f>
        <v>0</v>
      </c>
      <c r="M26" s="235">
        <f xml:space="preserve"> DSRA!M$174</f>
        <v>0</v>
      </c>
      <c r="N26" s="235">
        <f xml:space="preserve"> DSRA!N$174</f>
        <v>0</v>
      </c>
      <c r="O26" s="235">
        <f xml:space="preserve"> DSRA!O$174</f>
        <v>0</v>
      </c>
      <c r="P26" s="235">
        <f xml:space="preserve"> DSRA!P$174</f>
        <v>0</v>
      </c>
      <c r="Q26" s="235">
        <f xml:space="preserve"> DSRA!Q$174</f>
        <v>0</v>
      </c>
      <c r="R26" s="235">
        <f xml:space="preserve"> DSRA!R$174</f>
        <v>0</v>
      </c>
      <c r="S26" s="235">
        <f xml:space="preserve"> DSRA!S$174</f>
        <v>0</v>
      </c>
      <c r="T26" s="235">
        <f xml:space="preserve"> DSRA!T$174</f>
        <v>0</v>
      </c>
      <c r="U26" s="235">
        <f xml:space="preserve"> DSRA!U$174</f>
        <v>0</v>
      </c>
      <c r="V26" s="235">
        <f xml:space="preserve"> DSRA!V$174</f>
        <v>0</v>
      </c>
      <c r="W26" s="235">
        <f xml:space="preserve"> DSRA!W$174</f>
        <v>0</v>
      </c>
      <c r="X26" s="235">
        <f xml:space="preserve"> DSRA!X$174</f>
        <v>0</v>
      </c>
      <c r="Y26" s="235">
        <f xml:space="preserve"> DSRA!Y$174</f>
        <v>0</v>
      </c>
      <c r="Z26" s="235">
        <f xml:space="preserve"> DSRA!Z$174</f>
        <v>0</v>
      </c>
      <c r="AA26" s="235">
        <f xml:space="preserve"> DSRA!AA$174</f>
        <v>0</v>
      </c>
      <c r="AB26" s="235">
        <f xml:space="preserve"> DSRA!AB$174</f>
        <v>0</v>
      </c>
      <c r="AC26" s="235">
        <f xml:space="preserve"> DSRA!AC$174</f>
        <v>0</v>
      </c>
      <c r="AD26" s="235">
        <f xml:space="preserve"> DSRA!AD$174</f>
        <v>0</v>
      </c>
      <c r="AE26" s="235">
        <f xml:space="preserve"> DSRA!AE$174</f>
        <v>0</v>
      </c>
      <c r="AF26" s="235">
        <f xml:space="preserve"> DSRA!AF$174</f>
        <v>0</v>
      </c>
      <c r="AG26" s="235">
        <f xml:space="preserve"> DSRA!AG$174</f>
        <v>0</v>
      </c>
      <c r="AH26" s="235">
        <f xml:space="preserve"> DSRA!AH$174</f>
        <v>0</v>
      </c>
      <c r="AI26" s="235">
        <f xml:space="preserve"> DSRA!AI$174</f>
        <v>0</v>
      </c>
      <c r="AJ26" s="235">
        <f xml:space="preserve"> DSRA!AJ$174</f>
        <v>0</v>
      </c>
      <c r="AK26" s="235">
        <f xml:space="preserve"> DSRA!AK$174</f>
        <v>0</v>
      </c>
      <c r="AL26" s="235">
        <f xml:space="preserve"> DSRA!AL$174</f>
        <v>0</v>
      </c>
      <c r="AM26" s="235">
        <f xml:space="preserve"> DSRA!AM$174</f>
        <v>0</v>
      </c>
      <c r="AN26" s="235">
        <f xml:space="preserve"> DSRA!AN$174</f>
        <v>0</v>
      </c>
      <c r="AO26" s="235">
        <f xml:space="preserve"> DSRA!AO$174</f>
        <v>0</v>
      </c>
      <c r="AP26" s="235">
        <f xml:space="preserve"> DSRA!AP$174</f>
        <v>0</v>
      </c>
      <c r="AQ26" s="235">
        <f xml:space="preserve"> DSRA!AQ$174</f>
        <v>0</v>
      </c>
      <c r="AR26" s="235">
        <f xml:space="preserve"> DSRA!AR$174</f>
        <v>0</v>
      </c>
      <c r="AS26" s="235">
        <f xml:space="preserve"> DSRA!AS$174</f>
        <v>0</v>
      </c>
      <c r="AT26" s="235">
        <f xml:space="preserve"> DSRA!AT$174</f>
        <v>0</v>
      </c>
      <c r="AU26" s="235">
        <f xml:space="preserve"> DSRA!AU$174</f>
        <v>0</v>
      </c>
      <c r="AV26" s="235">
        <f xml:space="preserve"> DSRA!AV$174</f>
        <v>0</v>
      </c>
      <c r="AW26" s="235">
        <f xml:space="preserve"> DSRA!AW$174</f>
        <v>0</v>
      </c>
      <c r="AX26" s="235">
        <f xml:space="preserve"> DSRA!AX$174</f>
        <v>0</v>
      </c>
      <c r="AY26" s="235">
        <f xml:space="preserve"> DSRA!AY$174</f>
        <v>0</v>
      </c>
      <c r="AZ26" s="235">
        <f xml:space="preserve"> DSRA!AZ$174</f>
        <v>0</v>
      </c>
      <c r="BA26" s="235">
        <f xml:space="preserve"> DSRA!BA$174</f>
        <v>0</v>
      </c>
      <c r="BB26" s="235">
        <f xml:space="preserve"> DSRA!BB$174</f>
        <v>0</v>
      </c>
      <c r="BC26" s="235">
        <f xml:space="preserve"> DSRA!BC$174</f>
        <v>0</v>
      </c>
      <c r="BD26" s="235">
        <f xml:space="preserve"> DSRA!BD$174</f>
        <v>0</v>
      </c>
      <c r="BE26" s="235">
        <f xml:space="preserve"> DSRA!BE$174</f>
        <v>0</v>
      </c>
      <c r="BF26" s="235">
        <f xml:space="preserve"> DSRA!BF$174</f>
        <v>0</v>
      </c>
      <c r="BG26" s="235">
        <f xml:space="preserve"> DSRA!BG$174</f>
        <v>0</v>
      </c>
      <c r="BH26" s="235">
        <f xml:space="preserve"> DSRA!BH$174</f>
        <v>0</v>
      </c>
      <c r="BI26" s="235">
        <f xml:space="preserve"> DSRA!BI$174</f>
        <v>0</v>
      </c>
      <c r="BJ26" s="235">
        <f xml:space="preserve"> DSRA!BJ$174</f>
        <v>0</v>
      </c>
      <c r="BK26" s="235">
        <f xml:space="preserve"> DSRA!BK$174</f>
        <v>0</v>
      </c>
      <c r="BL26" s="235">
        <f xml:space="preserve"> DSRA!BL$174</f>
        <v>0</v>
      </c>
      <c r="BM26" s="235">
        <f xml:space="preserve"> DSRA!BM$174</f>
        <v>0</v>
      </c>
      <c r="BN26" s="235">
        <f xml:space="preserve"> DSRA!BN$174</f>
        <v>0</v>
      </c>
      <c r="BO26" s="235">
        <f xml:space="preserve"> DSRA!BO$174</f>
        <v>0</v>
      </c>
      <c r="BP26" s="235">
        <f xml:space="preserve"> DSRA!BP$174</f>
        <v>0</v>
      </c>
      <c r="BQ26" s="235">
        <f xml:space="preserve"> DSRA!BQ$174</f>
        <v>0</v>
      </c>
      <c r="BR26" s="235">
        <f xml:space="preserve"> DSRA!BR$174</f>
        <v>0</v>
      </c>
      <c r="BS26" s="235">
        <f xml:space="preserve"> DSRA!BS$174</f>
        <v>0</v>
      </c>
      <c r="BT26" s="235">
        <f xml:space="preserve"> DSRA!BT$174</f>
        <v>0</v>
      </c>
      <c r="BU26" s="235">
        <f xml:space="preserve"> DSRA!BU$174</f>
        <v>0</v>
      </c>
      <c r="BV26" s="235">
        <f xml:space="preserve"> DSRA!BV$174</f>
        <v>0</v>
      </c>
      <c r="BW26" s="235">
        <f xml:space="preserve"> DSRA!BW$174</f>
        <v>0</v>
      </c>
      <c r="BX26" s="235">
        <f xml:space="preserve"> DSRA!BX$174</f>
        <v>0</v>
      </c>
      <c r="BY26" s="235">
        <f xml:space="preserve"> DSRA!BY$174</f>
        <v>0</v>
      </c>
      <c r="BZ26" s="235">
        <f xml:space="preserve"> DSRA!BZ$174</f>
        <v>0</v>
      </c>
      <c r="CA26" s="235">
        <f xml:space="preserve"> DSRA!CA$174</f>
        <v>0</v>
      </c>
      <c r="CB26" s="235">
        <f xml:space="preserve"> DSRA!CB$174</f>
        <v>0</v>
      </c>
      <c r="CC26" s="235">
        <f xml:space="preserve"> DSRA!CC$174</f>
        <v>0</v>
      </c>
      <c r="CD26" s="235">
        <f xml:space="preserve"> DSRA!CD$174</f>
        <v>0</v>
      </c>
      <c r="CE26" s="235">
        <f xml:space="preserve"> DSRA!CE$174</f>
        <v>0</v>
      </c>
      <c r="CF26" s="235">
        <f xml:space="preserve"> DSRA!CF$174</f>
        <v>0</v>
      </c>
      <c r="CG26" s="235">
        <f xml:space="preserve"> DSRA!CG$174</f>
        <v>0</v>
      </c>
      <c r="CH26" s="235">
        <f xml:space="preserve"> DSRA!CH$174</f>
        <v>0</v>
      </c>
      <c r="CI26" s="235">
        <f xml:space="preserve"> DSRA!CI$174</f>
        <v>0</v>
      </c>
      <c r="CJ26" s="235">
        <f xml:space="preserve"> DSRA!CJ$174</f>
        <v>0</v>
      </c>
      <c r="CK26" s="235">
        <f xml:space="preserve"> DSRA!CK$174</f>
        <v>0</v>
      </c>
      <c r="CL26" s="235">
        <f xml:space="preserve"> DSRA!CL$174</f>
        <v>0</v>
      </c>
      <c r="CM26" s="235">
        <f xml:space="preserve"> DSRA!CM$174</f>
        <v>0</v>
      </c>
      <c r="CN26" s="235">
        <f xml:space="preserve"> DSRA!CN$174</f>
        <v>0</v>
      </c>
      <c r="CO26" s="235">
        <f xml:space="preserve"> DSRA!CO$174</f>
        <v>0</v>
      </c>
      <c r="CP26" s="235">
        <f xml:space="preserve"> DSRA!CP$174</f>
        <v>0</v>
      </c>
      <c r="CQ26" s="235">
        <f xml:space="preserve"> DSRA!CQ$174</f>
        <v>0</v>
      </c>
      <c r="CR26" s="235">
        <f xml:space="preserve"> DSRA!CR$174</f>
        <v>0</v>
      </c>
      <c r="CS26" s="235">
        <f xml:space="preserve"> DSRA!CS$174</f>
        <v>0</v>
      </c>
      <c r="CT26" s="235">
        <f xml:space="preserve"> DSRA!CT$174</f>
        <v>0</v>
      </c>
      <c r="CU26" s="235">
        <f xml:space="preserve"> DSRA!CU$174</f>
        <v>0</v>
      </c>
      <c r="CV26" s="235">
        <f xml:space="preserve"> DSRA!CV$174</f>
        <v>0</v>
      </c>
    </row>
    <row r="27" spans="1:192" s="191" customFormat="1" outlineLevel="1" x14ac:dyDescent="0.2">
      <c r="A27" s="205"/>
      <c r="B27" s="205"/>
      <c r="C27" s="206"/>
      <c r="D27" s="209"/>
      <c r="E27" s="232" t="s">
        <v>1149</v>
      </c>
      <c r="F27" s="232"/>
      <c r="G27" s="232" t="str">
        <f xml:space="preserve"> SMU</f>
        <v>$ 000s</v>
      </c>
      <c r="H27" s="232">
        <f ca="1" xml:space="preserve"> SUM(J27:CV27)</f>
        <v>-698470.02400454739</v>
      </c>
      <c r="I27" s="232"/>
      <c r="J27" s="232">
        <f t="shared" ref="J27:AO27" si="5" xml:space="preserve"> J15 + SUM(J17:J26)</f>
        <v>0</v>
      </c>
      <c r="K27" s="232">
        <f t="shared" ca="1" si="5"/>
        <v>0</v>
      </c>
      <c r="L27" s="232">
        <f t="shared" ca="1" si="5"/>
        <v>0</v>
      </c>
      <c r="M27" s="232">
        <f t="shared" ca="1" si="5"/>
        <v>0</v>
      </c>
      <c r="N27" s="232">
        <f t="shared" ca="1" si="5"/>
        <v>0</v>
      </c>
      <c r="O27" s="232">
        <f t="shared" ca="1" si="5"/>
        <v>-6944.2594395192036</v>
      </c>
      <c r="P27" s="232">
        <f t="shared" ca="1" si="5"/>
        <v>-6924.1717896616674</v>
      </c>
      <c r="Q27" s="232">
        <f t="shared" ca="1" si="5"/>
        <v>-7268.1527403369701</v>
      </c>
      <c r="R27" s="232">
        <f t="shared" ca="1" si="5"/>
        <v>-7341.6117383176379</v>
      </c>
      <c r="S27" s="232">
        <f t="shared" ca="1" si="5"/>
        <v>-7714.4085306073821</v>
      </c>
      <c r="T27" s="232">
        <f t="shared" ca="1" si="5"/>
        <v>-7825.9440982137085</v>
      </c>
      <c r="U27" s="232">
        <f t="shared" ca="1" si="5"/>
        <v>-8232.1809381544881</v>
      </c>
      <c r="V27" s="232">
        <f t="shared" ca="1" si="5"/>
        <v>-8411.6359571359571</v>
      </c>
      <c r="W27" s="232">
        <f t="shared" ca="1" si="5"/>
        <v>-8830.2270939381415</v>
      </c>
      <c r="X27" s="232">
        <f t="shared" ca="1" si="5"/>
        <v>-9033.4059002249123</v>
      </c>
      <c r="Y27" s="232">
        <f t="shared" ca="1" si="5"/>
        <v>-9712.3503351351028</v>
      </c>
      <c r="Z27" s="232">
        <f t="shared" ca="1" si="5"/>
        <v>-9963.3809371388743</v>
      </c>
      <c r="AA27" s="232">
        <f t="shared" ca="1" si="5"/>
        <v>-10499.686792079247</v>
      </c>
      <c r="AB27" s="232">
        <f t="shared" ca="1" si="5"/>
        <v>-10811.041924103349</v>
      </c>
      <c r="AC27" s="232">
        <f t="shared" ca="1" si="5"/>
        <v>-11403.150433793242</v>
      </c>
      <c r="AD27" s="232">
        <f t="shared" ca="1" si="5"/>
        <v>-11801.764440889045</v>
      </c>
      <c r="AE27" s="232">
        <f t="shared" ca="1" si="5"/>
        <v>-12437.068099734508</v>
      </c>
      <c r="AF27" s="232">
        <f t="shared" ca="1" si="5"/>
        <v>-12893.218281664933</v>
      </c>
      <c r="AG27" s="232">
        <f t="shared" ca="1" si="5"/>
        <v>-13619.431505095541</v>
      </c>
      <c r="AH27" s="232">
        <f t="shared" ca="1" si="5"/>
        <v>-14160.375115544783</v>
      </c>
      <c r="AI27" s="232">
        <f t="shared" ca="1" si="5"/>
        <v>-15113.493696306989</v>
      </c>
      <c r="AJ27" s="232">
        <f t="shared" ca="1" si="5"/>
        <v>-15741.934520463397</v>
      </c>
      <c r="AK27" s="232">
        <f t="shared" ca="1" si="5"/>
        <v>-16637.239531512227</v>
      </c>
      <c r="AL27" s="232">
        <f t="shared" ca="1" si="5"/>
        <v>-17385.710864215413</v>
      </c>
      <c r="AM27" s="232">
        <f t="shared" ca="1" si="5"/>
        <v>-18371.512825322938</v>
      </c>
      <c r="AN27" s="232">
        <f t="shared" ca="1" si="5"/>
        <v>-19229.371879248101</v>
      </c>
      <c r="AO27" s="232">
        <f t="shared" ca="1" si="5"/>
        <v>-20344.711488974714</v>
      </c>
      <c r="AP27" s="232">
        <f t="shared" ref="AP27:BU27" ca="1" si="6" xml:space="preserve"> AP15 + SUM(AP17:AP26)</f>
        <v>-21337.781536688708</v>
      </c>
      <c r="AQ27" s="232">
        <f t="shared" ca="1" si="6"/>
        <v>-22585.629965855253</v>
      </c>
      <c r="AR27" s="232">
        <f t="shared" ca="1" si="6"/>
        <v>-23731.561530806513</v>
      </c>
      <c r="AS27" s="232">
        <f t="shared" ca="1" si="6"/>
        <v>-25129.726602154009</v>
      </c>
      <c r="AT27" s="232">
        <f t="shared" ca="1" si="6"/>
        <v>-26466.73003418529</v>
      </c>
      <c r="AU27" s="232">
        <f t="shared" ca="1" si="6"/>
        <v>-28047.779314443644</v>
      </c>
      <c r="AV27" s="232">
        <f t="shared" ca="1" si="6"/>
        <v>-29284.755984648527</v>
      </c>
      <c r="AW27" s="232">
        <f t="shared" ca="1" si="6"/>
        <v>-30041.159307858339</v>
      </c>
      <c r="AX27" s="232">
        <f t="shared" ca="1" si="6"/>
        <v>-31396.015038870653</v>
      </c>
      <c r="AY27" s="232">
        <f t="shared" ca="1" si="6"/>
        <v>-32981.2719013596</v>
      </c>
      <c r="AZ27" s="232">
        <f t="shared" ca="1" si="6"/>
        <v>-34512.537018886382</v>
      </c>
      <c r="BA27" s="232">
        <f t="shared" ca="1" si="6"/>
        <v>-36287.011442641291</v>
      </c>
      <c r="BB27" s="232">
        <f t="shared" ca="1" si="6"/>
        <v>-38016.623428816667</v>
      </c>
      <c r="BC27" s="232">
        <f t="shared" ca="1" si="6"/>
        <v>0</v>
      </c>
      <c r="BD27" s="232">
        <f t="shared" ca="1" si="6"/>
        <v>0</v>
      </c>
      <c r="BE27" s="232">
        <f t="shared" ca="1" si="6"/>
        <v>0</v>
      </c>
      <c r="BF27" s="232">
        <f t="shared" ca="1" si="6"/>
        <v>0</v>
      </c>
      <c r="BG27" s="232">
        <f t="shared" ca="1" si="6"/>
        <v>0</v>
      </c>
      <c r="BH27" s="232">
        <f t="shared" ca="1" si="6"/>
        <v>0</v>
      </c>
      <c r="BI27" s="232">
        <f t="shared" ca="1" si="6"/>
        <v>0</v>
      </c>
      <c r="BJ27" s="232">
        <f t="shared" ca="1" si="6"/>
        <v>0</v>
      </c>
      <c r="BK27" s="232">
        <f t="shared" ca="1" si="6"/>
        <v>0</v>
      </c>
      <c r="BL27" s="232">
        <f t="shared" ca="1" si="6"/>
        <v>0</v>
      </c>
      <c r="BM27" s="232">
        <f t="shared" ca="1" si="6"/>
        <v>0</v>
      </c>
      <c r="BN27" s="232">
        <f t="shared" ca="1" si="6"/>
        <v>0</v>
      </c>
      <c r="BO27" s="232">
        <f t="shared" ca="1" si="6"/>
        <v>0</v>
      </c>
      <c r="BP27" s="232">
        <f t="shared" ca="1" si="6"/>
        <v>0</v>
      </c>
      <c r="BQ27" s="232">
        <f t="shared" ca="1" si="6"/>
        <v>0</v>
      </c>
      <c r="BR27" s="232">
        <f t="shared" ca="1" si="6"/>
        <v>0</v>
      </c>
      <c r="BS27" s="232">
        <f t="shared" ca="1" si="6"/>
        <v>0</v>
      </c>
      <c r="BT27" s="232">
        <f t="shared" ca="1" si="6"/>
        <v>0</v>
      </c>
      <c r="BU27" s="232">
        <f t="shared" ca="1" si="6"/>
        <v>0</v>
      </c>
      <c r="BV27" s="232">
        <f t="shared" ref="BV27:CV27" ca="1" si="7" xml:space="preserve"> BV15 + SUM(BV17:BV26)</f>
        <v>0</v>
      </c>
      <c r="BW27" s="232">
        <f t="shared" ca="1" si="7"/>
        <v>0</v>
      </c>
      <c r="BX27" s="232">
        <f t="shared" ca="1" si="7"/>
        <v>0</v>
      </c>
      <c r="BY27" s="232">
        <f t="shared" ca="1" si="7"/>
        <v>0</v>
      </c>
      <c r="BZ27" s="232">
        <f t="shared" ca="1" si="7"/>
        <v>0</v>
      </c>
      <c r="CA27" s="232">
        <f t="shared" ca="1" si="7"/>
        <v>0</v>
      </c>
      <c r="CB27" s="232">
        <f t="shared" ca="1" si="7"/>
        <v>0</v>
      </c>
      <c r="CC27" s="232">
        <f t="shared" ca="1" si="7"/>
        <v>0</v>
      </c>
      <c r="CD27" s="232">
        <f t="shared" ca="1" si="7"/>
        <v>0</v>
      </c>
      <c r="CE27" s="232">
        <f t="shared" ca="1" si="7"/>
        <v>0</v>
      </c>
      <c r="CF27" s="232">
        <f t="shared" ca="1" si="7"/>
        <v>0</v>
      </c>
      <c r="CG27" s="232">
        <f t="shared" ca="1" si="7"/>
        <v>0</v>
      </c>
      <c r="CH27" s="232">
        <f t="shared" ca="1" si="7"/>
        <v>0</v>
      </c>
      <c r="CI27" s="232">
        <f t="shared" ca="1" si="7"/>
        <v>0</v>
      </c>
      <c r="CJ27" s="232">
        <f t="shared" ca="1" si="7"/>
        <v>0</v>
      </c>
      <c r="CK27" s="232">
        <f t="shared" ca="1" si="7"/>
        <v>0</v>
      </c>
      <c r="CL27" s="232">
        <f t="shared" ca="1" si="7"/>
        <v>0</v>
      </c>
      <c r="CM27" s="232">
        <f t="shared" ca="1" si="7"/>
        <v>0</v>
      </c>
      <c r="CN27" s="232">
        <f t="shared" ca="1" si="7"/>
        <v>0</v>
      </c>
      <c r="CO27" s="232">
        <f t="shared" ca="1" si="7"/>
        <v>0</v>
      </c>
      <c r="CP27" s="232">
        <f t="shared" ca="1" si="7"/>
        <v>0</v>
      </c>
      <c r="CQ27" s="232">
        <f t="shared" ca="1" si="7"/>
        <v>0</v>
      </c>
      <c r="CR27" s="232">
        <f t="shared" ca="1" si="7"/>
        <v>0</v>
      </c>
      <c r="CS27" s="232">
        <f t="shared" ca="1" si="7"/>
        <v>0</v>
      </c>
      <c r="CT27" s="232">
        <f t="shared" ca="1" si="7"/>
        <v>0</v>
      </c>
      <c r="CU27" s="232">
        <f t="shared" ca="1" si="7"/>
        <v>0</v>
      </c>
      <c r="CV27" s="232">
        <f t="shared" ca="1" si="7"/>
        <v>0</v>
      </c>
    </row>
    <row r="28" spans="1:192" outlineLevel="1" x14ac:dyDescent="0.2">
      <c r="D28" s="209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5"/>
      <c r="AI28" s="235"/>
      <c r="AJ28" s="235"/>
      <c r="AK28" s="235"/>
      <c r="AL28" s="235"/>
      <c r="AM28" s="235"/>
      <c r="AN28" s="235"/>
      <c r="AO28" s="235"/>
      <c r="AP28" s="235"/>
      <c r="AQ28" s="235"/>
      <c r="AR28" s="235"/>
      <c r="AS28" s="235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5"/>
      <c r="BW28" s="235"/>
      <c r="BX28" s="235"/>
      <c r="BY28" s="235"/>
      <c r="BZ28" s="235"/>
      <c r="CA28" s="235"/>
      <c r="CB28" s="235"/>
      <c r="CC28" s="235"/>
      <c r="CD28" s="235"/>
      <c r="CE28" s="235"/>
      <c r="CF28" s="235"/>
      <c r="CG28" s="235"/>
      <c r="CH28" s="235"/>
      <c r="CI28" s="235"/>
      <c r="CJ28" s="235"/>
      <c r="CK28" s="235"/>
      <c r="CL28" s="235"/>
      <c r="CM28" s="235"/>
      <c r="CN28" s="235"/>
      <c r="CO28" s="235"/>
      <c r="CP28" s="235"/>
      <c r="CQ28" s="235"/>
      <c r="CR28" s="235"/>
      <c r="CS28" s="235"/>
      <c r="CT28" s="235"/>
      <c r="CU28" s="235"/>
      <c r="CV28" s="235"/>
    </row>
    <row r="29" spans="1:192" s="192" customFormat="1" outlineLevel="1" x14ac:dyDescent="0.2">
      <c r="A29" s="205"/>
      <c r="B29" s="205"/>
      <c r="C29" s="206"/>
      <c r="D29" s="209"/>
      <c r="E29" s="235" t="str">
        <f ca="1" xml:space="preserve"> Tax!E$145</f>
        <v>Corporate income tax - P99</v>
      </c>
      <c r="F29" s="235">
        <f ca="1" xml:space="preserve"> Tax!F$145</f>
        <v>0</v>
      </c>
      <c r="G29" s="235" t="str">
        <f ca="1" xml:space="preserve"> Tax!G$145</f>
        <v>$ 000s</v>
      </c>
      <c r="H29" s="235">
        <f ca="1" xml:space="preserve"> Tax!H$145</f>
        <v>0</v>
      </c>
      <c r="I29" s="235">
        <f ca="1" xml:space="preserve"> Tax!I$145</f>
        <v>0</v>
      </c>
      <c r="J29" s="235">
        <f ca="1" xml:space="preserve"> Tax!J$145</f>
        <v>0</v>
      </c>
      <c r="K29" s="235">
        <f ca="1" xml:space="preserve"> Tax!K$145</f>
        <v>0</v>
      </c>
      <c r="L29" s="235">
        <f ca="1" xml:space="preserve"> Tax!L$145</f>
        <v>0</v>
      </c>
      <c r="M29" s="235">
        <f ca="1" xml:space="preserve"> Tax!M$145</f>
        <v>0</v>
      </c>
      <c r="N29" s="235">
        <f ca="1" xml:space="preserve"> Tax!N$145</f>
        <v>0</v>
      </c>
      <c r="O29" s="235">
        <f ca="1" xml:space="preserve"> Tax!O$145</f>
        <v>0</v>
      </c>
      <c r="P29" s="235">
        <f ca="1" xml:space="preserve"> Tax!P$145</f>
        <v>0</v>
      </c>
      <c r="Q29" s="235">
        <f ca="1" xml:space="preserve"> Tax!Q$145</f>
        <v>0</v>
      </c>
      <c r="R29" s="235">
        <f ca="1" xml:space="preserve"> Tax!R$145</f>
        <v>0</v>
      </c>
      <c r="S29" s="235">
        <f ca="1" xml:space="preserve"> Tax!S$145</f>
        <v>0</v>
      </c>
      <c r="T29" s="235">
        <f ca="1" xml:space="preserve"> Tax!T$145</f>
        <v>0</v>
      </c>
      <c r="U29" s="235">
        <f ca="1" xml:space="preserve"> Tax!U$145</f>
        <v>0</v>
      </c>
      <c r="V29" s="235">
        <f ca="1" xml:space="preserve"> Tax!V$145</f>
        <v>0</v>
      </c>
      <c r="W29" s="235">
        <f ca="1" xml:space="preserve"> Tax!W$145</f>
        <v>0</v>
      </c>
      <c r="X29" s="235">
        <f ca="1" xml:space="preserve"> Tax!X$145</f>
        <v>0</v>
      </c>
      <c r="Y29" s="235">
        <f ca="1" xml:space="preserve"> Tax!Y$145</f>
        <v>0</v>
      </c>
      <c r="Z29" s="235">
        <f ca="1" xml:space="preserve"> Tax!Z$145</f>
        <v>0</v>
      </c>
      <c r="AA29" s="235">
        <f ca="1" xml:space="preserve"> Tax!AA$145</f>
        <v>0</v>
      </c>
      <c r="AB29" s="235">
        <f ca="1" xml:space="preserve"> Tax!AB$145</f>
        <v>0</v>
      </c>
      <c r="AC29" s="235">
        <f ca="1" xml:space="preserve"> Tax!AC$145</f>
        <v>0</v>
      </c>
      <c r="AD29" s="235">
        <f ca="1" xml:space="preserve"> Tax!AD$145</f>
        <v>0</v>
      </c>
      <c r="AE29" s="235">
        <f ca="1" xml:space="preserve"> Tax!AE$145</f>
        <v>0</v>
      </c>
      <c r="AF29" s="235">
        <f ca="1" xml:space="preserve"> Tax!AF$145</f>
        <v>0</v>
      </c>
      <c r="AG29" s="235">
        <f ca="1" xml:space="preserve"> Tax!AG$145</f>
        <v>0</v>
      </c>
      <c r="AH29" s="235">
        <f ca="1" xml:space="preserve"> Tax!AH$145</f>
        <v>0</v>
      </c>
      <c r="AI29" s="235">
        <f ca="1" xml:space="preserve"> Tax!AI$145</f>
        <v>0</v>
      </c>
      <c r="AJ29" s="235">
        <f ca="1" xml:space="preserve"> Tax!AJ$145</f>
        <v>0</v>
      </c>
      <c r="AK29" s="235">
        <f ca="1" xml:space="preserve"> Tax!AK$145</f>
        <v>0</v>
      </c>
      <c r="AL29" s="235">
        <f ca="1" xml:space="preserve"> Tax!AL$145</f>
        <v>0</v>
      </c>
      <c r="AM29" s="235">
        <f ca="1" xml:space="preserve"> Tax!AM$145</f>
        <v>0</v>
      </c>
      <c r="AN29" s="235">
        <f ca="1" xml:space="preserve"> Tax!AN$145</f>
        <v>0</v>
      </c>
      <c r="AO29" s="235">
        <f ca="1" xml:space="preserve"> Tax!AO$145</f>
        <v>0</v>
      </c>
      <c r="AP29" s="235">
        <f ca="1" xml:space="preserve"> Tax!AP$145</f>
        <v>0</v>
      </c>
      <c r="AQ29" s="235">
        <f ca="1" xml:space="preserve"> Tax!AQ$145</f>
        <v>0</v>
      </c>
      <c r="AR29" s="235">
        <f ca="1" xml:space="preserve"> Tax!AR$145</f>
        <v>0</v>
      </c>
      <c r="AS29" s="235">
        <f ca="1" xml:space="preserve"> Tax!AS$145</f>
        <v>0</v>
      </c>
      <c r="AT29" s="235">
        <f ca="1" xml:space="preserve"> Tax!AT$145</f>
        <v>0</v>
      </c>
      <c r="AU29" s="235">
        <f ca="1" xml:space="preserve"> Tax!AU$145</f>
        <v>0</v>
      </c>
      <c r="AV29" s="235">
        <f ca="1" xml:space="preserve"> Tax!AV$145</f>
        <v>0</v>
      </c>
      <c r="AW29" s="235">
        <f ca="1" xml:space="preserve"> Tax!AW$145</f>
        <v>0</v>
      </c>
      <c r="AX29" s="235">
        <f ca="1" xml:space="preserve"> Tax!AX$145</f>
        <v>0</v>
      </c>
      <c r="AY29" s="235">
        <f ca="1" xml:space="preserve"> Tax!AY$145</f>
        <v>0</v>
      </c>
      <c r="AZ29" s="235">
        <f ca="1" xml:space="preserve"> Tax!AZ$145</f>
        <v>0</v>
      </c>
      <c r="BA29" s="235">
        <f ca="1" xml:space="preserve"> Tax!BA$145</f>
        <v>0</v>
      </c>
      <c r="BB29" s="235">
        <f ca="1" xml:space="preserve"> Tax!BB$145</f>
        <v>0</v>
      </c>
      <c r="BC29" s="235">
        <f ca="1" xml:space="preserve"> Tax!BC$145</f>
        <v>0</v>
      </c>
      <c r="BD29" s="235">
        <f ca="1" xml:space="preserve"> Tax!BD$145</f>
        <v>0</v>
      </c>
      <c r="BE29" s="235">
        <f ca="1" xml:space="preserve"> Tax!BE$145</f>
        <v>0</v>
      </c>
      <c r="BF29" s="235">
        <f ca="1" xml:space="preserve"> Tax!BF$145</f>
        <v>0</v>
      </c>
      <c r="BG29" s="235">
        <f ca="1" xml:space="preserve"> Tax!BG$145</f>
        <v>0</v>
      </c>
      <c r="BH29" s="235">
        <f ca="1" xml:space="preserve"> Tax!BH$145</f>
        <v>0</v>
      </c>
      <c r="BI29" s="235">
        <f ca="1" xml:space="preserve"> Tax!BI$145</f>
        <v>0</v>
      </c>
      <c r="BJ29" s="235">
        <f ca="1" xml:space="preserve"> Tax!BJ$145</f>
        <v>0</v>
      </c>
      <c r="BK29" s="235">
        <f ca="1" xml:space="preserve"> Tax!BK$145</f>
        <v>0</v>
      </c>
      <c r="BL29" s="235">
        <f ca="1" xml:space="preserve"> Tax!BL$145</f>
        <v>0</v>
      </c>
      <c r="BM29" s="235">
        <f ca="1" xml:space="preserve"> Tax!BM$145</f>
        <v>0</v>
      </c>
      <c r="BN29" s="235">
        <f ca="1" xml:space="preserve"> Tax!BN$145</f>
        <v>0</v>
      </c>
      <c r="BO29" s="235">
        <f ca="1" xml:space="preserve"> Tax!BO$145</f>
        <v>0</v>
      </c>
      <c r="BP29" s="235">
        <f ca="1" xml:space="preserve"> Tax!BP$145</f>
        <v>0</v>
      </c>
      <c r="BQ29" s="235">
        <f ca="1" xml:space="preserve"> Tax!BQ$145</f>
        <v>0</v>
      </c>
      <c r="BR29" s="235">
        <f ca="1" xml:space="preserve"> Tax!BR$145</f>
        <v>0</v>
      </c>
      <c r="BS29" s="235">
        <f ca="1" xml:space="preserve"> Tax!BS$145</f>
        <v>0</v>
      </c>
      <c r="BT29" s="235">
        <f ca="1" xml:space="preserve"> Tax!BT$145</f>
        <v>0</v>
      </c>
      <c r="BU29" s="235">
        <f ca="1" xml:space="preserve"> Tax!BU$145</f>
        <v>0</v>
      </c>
      <c r="BV29" s="235">
        <f ca="1" xml:space="preserve"> Tax!BV$145</f>
        <v>0</v>
      </c>
      <c r="BW29" s="235">
        <f ca="1" xml:space="preserve"> Tax!BW$145</f>
        <v>0</v>
      </c>
      <c r="BX29" s="235">
        <f ca="1" xml:space="preserve"> Tax!BX$145</f>
        <v>0</v>
      </c>
      <c r="BY29" s="235">
        <f ca="1" xml:space="preserve"> Tax!BY$145</f>
        <v>0</v>
      </c>
      <c r="BZ29" s="235">
        <f ca="1" xml:space="preserve"> Tax!BZ$145</f>
        <v>0</v>
      </c>
      <c r="CA29" s="235">
        <f ca="1" xml:space="preserve"> Tax!CA$145</f>
        <v>0</v>
      </c>
      <c r="CB29" s="235">
        <f ca="1" xml:space="preserve"> Tax!CB$145</f>
        <v>0</v>
      </c>
      <c r="CC29" s="235">
        <f ca="1" xml:space="preserve"> Tax!CC$145</f>
        <v>0</v>
      </c>
      <c r="CD29" s="235">
        <f ca="1" xml:space="preserve"> Tax!CD$145</f>
        <v>0</v>
      </c>
      <c r="CE29" s="235">
        <f ca="1" xml:space="preserve"> Tax!CE$145</f>
        <v>0</v>
      </c>
      <c r="CF29" s="235">
        <f ca="1" xml:space="preserve"> Tax!CF$145</f>
        <v>0</v>
      </c>
      <c r="CG29" s="235">
        <f ca="1" xml:space="preserve"> Tax!CG$145</f>
        <v>0</v>
      </c>
      <c r="CH29" s="235">
        <f ca="1" xml:space="preserve"> Tax!CH$145</f>
        <v>0</v>
      </c>
      <c r="CI29" s="235">
        <f ca="1" xml:space="preserve"> Tax!CI$145</f>
        <v>0</v>
      </c>
      <c r="CJ29" s="235">
        <f ca="1" xml:space="preserve"> Tax!CJ$145</f>
        <v>0</v>
      </c>
      <c r="CK29" s="235">
        <f ca="1" xml:space="preserve"> Tax!CK$145</f>
        <v>0</v>
      </c>
      <c r="CL29" s="235">
        <f ca="1" xml:space="preserve"> Tax!CL$145</f>
        <v>0</v>
      </c>
      <c r="CM29" s="235">
        <f ca="1" xml:space="preserve"> Tax!CM$145</f>
        <v>0</v>
      </c>
      <c r="CN29" s="235">
        <f ca="1" xml:space="preserve"> Tax!CN$145</f>
        <v>0</v>
      </c>
      <c r="CO29" s="235">
        <f ca="1" xml:space="preserve"> Tax!CO$145</f>
        <v>0</v>
      </c>
      <c r="CP29" s="235">
        <f ca="1" xml:space="preserve"> Tax!CP$145</f>
        <v>0</v>
      </c>
      <c r="CQ29" s="235">
        <f ca="1" xml:space="preserve"> Tax!CQ$145</f>
        <v>0</v>
      </c>
      <c r="CR29" s="235">
        <f ca="1" xml:space="preserve"> Tax!CR$145</f>
        <v>0</v>
      </c>
      <c r="CS29" s="235">
        <f ca="1" xml:space="preserve"> Tax!CS$145</f>
        <v>0</v>
      </c>
      <c r="CT29" s="235">
        <f ca="1" xml:space="preserve"> Tax!CT$145</f>
        <v>0</v>
      </c>
      <c r="CU29" s="235">
        <f ca="1" xml:space="preserve"> Tax!CU$145</f>
        <v>0</v>
      </c>
      <c r="CV29" s="235">
        <f ca="1" xml:space="preserve"> Tax!CV$145</f>
        <v>0</v>
      </c>
      <c r="CW29" s="235">
        <f ca="1" xml:space="preserve"> Tax!CW$145</f>
        <v>0</v>
      </c>
      <c r="CX29" s="235">
        <f ca="1" xml:space="preserve"> Tax!CX$145</f>
        <v>0</v>
      </c>
      <c r="CY29" s="235">
        <f ca="1" xml:space="preserve"> Tax!CY$145</f>
        <v>0</v>
      </c>
      <c r="CZ29" s="235">
        <f ca="1" xml:space="preserve"> Tax!CZ$145</f>
        <v>0</v>
      </c>
      <c r="DA29" s="235">
        <f ca="1" xml:space="preserve"> Tax!DA$145</f>
        <v>0</v>
      </c>
      <c r="DB29" s="235">
        <f ca="1" xml:space="preserve"> Tax!DB$145</f>
        <v>0</v>
      </c>
      <c r="DC29" s="235">
        <f ca="1" xml:space="preserve"> Tax!DC$145</f>
        <v>0</v>
      </c>
      <c r="DD29" s="235">
        <f ca="1" xml:space="preserve"> Tax!DD$145</f>
        <v>0</v>
      </c>
      <c r="DE29" s="235">
        <f ca="1" xml:space="preserve"> Tax!DE$145</f>
        <v>0</v>
      </c>
      <c r="DF29" s="235">
        <f ca="1" xml:space="preserve"> Tax!DF$145</f>
        <v>0</v>
      </c>
      <c r="DG29" s="235">
        <f ca="1" xml:space="preserve"> Tax!DG$145</f>
        <v>0</v>
      </c>
      <c r="DH29" s="235">
        <f ca="1" xml:space="preserve"> Tax!DH$145</f>
        <v>0</v>
      </c>
      <c r="DI29" s="235">
        <f ca="1" xml:space="preserve"> Tax!DI$145</f>
        <v>0</v>
      </c>
      <c r="DJ29" s="235">
        <f ca="1" xml:space="preserve"> Tax!DJ$145</f>
        <v>0</v>
      </c>
      <c r="DK29" s="235">
        <f ca="1" xml:space="preserve"> Tax!DK$145</f>
        <v>0</v>
      </c>
      <c r="DL29" s="235">
        <f ca="1" xml:space="preserve"> Tax!DL$145</f>
        <v>0</v>
      </c>
      <c r="DM29" s="235">
        <f ca="1" xml:space="preserve"> Tax!DM$145</f>
        <v>0</v>
      </c>
      <c r="DN29" s="235">
        <f ca="1" xml:space="preserve"> Tax!DN$145</f>
        <v>0</v>
      </c>
      <c r="DO29" s="235">
        <f ca="1" xml:space="preserve"> Tax!DO$145</f>
        <v>0</v>
      </c>
      <c r="DP29" s="235">
        <f ca="1" xml:space="preserve"> Tax!DP$145</f>
        <v>0</v>
      </c>
      <c r="DQ29" s="235">
        <f ca="1" xml:space="preserve"> Tax!DQ$145</f>
        <v>0</v>
      </c>
      <c r="DR29" s="235">
        <f ca="1" xml:space="preserve"> Tax!DR$145</f>
        <v>0</v>
      </c>
      <c r="DS29" s="235">
        <f ca="1" xml:space="preserve"> Tax!DS$145</f>
        <v>0</v>
      </c>
      <c r="DT29" s="235">
        <f ca="1" xml:space="preserve"> Tax!DT$145</f>
        <v>0</v>
      </c>
      <c r="DU29" s="235">
        <f ca="1" xml:space="preserve"> Tax!DU$145</f>
        <v>0</v>
      </c>
      <c r="DV29" s="235">
        <f ca="1" xml:space="preserve"> Tax!DV$145</f>
        <v>0</v>
      </c>
      <c r="DW29" s="235">
        <f ca="1" xml:space="preserve"> Tax!DW$145</f>
        <v>0</v>
      </c>
      <c r="DX29" s="235">
        <f ca="1" xml:space="preserve"> Tax!DX$145</f>
        <v>0</v>
      </c>
      <c r="DY29" s="235">
        <f ca="1" xml:space="preserve"> Tax!DY$145</f>
        <v>0</v>
      </c>
      <c r="DZ29" s="235">
        <f ca="1" xml:space="preserve"> Tax!DZ$145</f>
        <v>0</v>
      </c>
      <c r="EA29" s="235">
        <f ca="1" xml:space="preserve"> Tax!EA$145</f>
        <v>0</v>
      </c>
      <c r="EB29" s="235">
        <f ca="1" xml:space="preserve"> Tax!EB$145</f>
        <v>0</v>
      </c>
      <c r="EC29" s="235">
        <f ca="1" xml:space="preserve"> Tax!EC$145</f>
        <v>0</v>
      </c>
      <c r="ED29" s="235">
        <f ca="1" xml:space="preserve"> Tax!ED$145</f>
        <v>0</v>
      </c>
      <c r="EE29" s="235">
        <f ca="1" xml:space="preserve"> Tax!EE$145</f>
        <v>0</v>
      </c>
      <c r="EF29" s="235">
        <f ca="1" xml:space="preserve"> Tax!EF$145</f>
        <v>0</v>
      </c>
      <c r="EG29" s="235">
        <f ca="1" xml:space="preserve"> Tax!EG$145</f>
        <v>0</v>
      </c>
      <c r="EH29" s="235">
        <f ca="1" xml:space="preserve"> Tax!EH$145</f>
        <v>0</v>
      </c>
      <c r="EI29" s="235">
        <f ca="1" xml:space="preserve"> Tax!EI$145</f>
        <v>0</v>
      </c>
      <c r="EJ29" s="235">
        <f ca="1" xml:space="preserve"> Tax!EJ$145</f>
        <v>0</v>
      </c>
      <c r="EK29" s="235">
        <f ca="1" xml:space="preserve"> Tax!EK$145</f>
        <v>0</v>
      </c>
      <c r="EL29" s="235">
        <f ca="1" xml:space="preserve"> Tax!EL$145</f>
        <v>0</v>
      </c>
      <c r="EM29" s="235">
        <f ca="1" xml:space="preserve"> Tax!EM$145</f>
        <v>0</v>
      </c>
      <c r="EN29" s="235">
        <f ca="1" xml:space="preserve"> Tax!EN$145</f>
        <v>0</v>
      </c>
      <c r="EO29" s="235">
        <f ca="1" xml:space="preserve"> Tax!EO$145</f>
        <v>0</v>
      </c>
      <c r="EP29" s="235">
        <f ca="1" xml:space="preserve"> Tax!EP$145</f>
        <v>0</v>
      </c>
      <c r="EQ29" s="235">
        <f ca="1" xml:space="preserve"> Tax!EQ$145</f>
        <v>0</v>
      </c>
      <c r="ER29" s="235">
        <f ca="1" xml:space="preserve"> Tax!ER$145</f>
        <v>0</v>
      </c>
      <c r="ES29" s="235">
        <f ca="1" xml:space="preserve"> Tax!ES$145</f>
        <v>0</v>
      </c>
      <c r="ET29" s="235">
        <f ca="1" xml:space="preserve"> Tax!ET$145</f>
        <v>0</v>
      </c>
      <c r="EU29" s="235">
        <f ca="1" xml:space="preserve"> Tax!EU$145</f>
        <v>0</v>
      </c>
      <c r="EV29" s="235">
        <f ca="1" xml:space="preserve"> Tax!EV$145</f>
        <v>0</v>
      </c>
      <c r="EW29" s="235">
        <f ca="1" xml:space="preserve"> Tax!EW$145</f>
        <v>0</v>
      </c>
      <c r="EX29" s="235">
        <f ca="1" xml:space="preserve"> Tax!EX$145</f>
        <v>0</v>
      </c>
      <c r="EY29" s="235">
        <f ca="1" xml:space="preserve"> Tax!EY$145</f>
        <v>0</v>
      </c>
      <c r="EZ29" s="235">
        <f ca="1" xml:space="preserve"> Tax!EZ$145</f>
        <v>0</v>
      </c>
      <c r="FA29" s="235">
        <f ca="1" xml:space="preserve"> Tax!FA$145</f>
        <v>0</v>
      </c>
      <c r="FB29" s="235">
        <f ca="1" xml:space="preserve"> Tax!FB$145</f>
        <v>0</v>
      </c>
      <c r="FC29" s="235">
        <f ca="1" xml:space="preserve"> Tax!FC$145</f>
        <v>0</v>
      </c>
      <c r="FD29" s="235">
        <f ca="1" xml:space="preserve"> Tax!FD$145</f>
        <v>0</v>
      </c>
      <c r="FE29" s="235">
        <f ca="1" xml:space="preserve"> Tax!FE$145</f>
        <v>0</v>
      </c>
      <c r="FF29" s="235">
        <f ca="1" xml:space="preserve"> Tax!FF$145</f>
        <v>0</v>
      </c>
      <c r="FG29" s="235">
        <f ca="1" xml:space="preserve"> Tax!FG$145</f>
        <v>0</v>
      </c>
      <c r="FH29" s="235">
        <f ca="1" xml:space="preserve"> Tax!FH$145</f>
        <v>0</v>
      </c>
      <c r="FI29" s="235">
        <f ca="1" xml:space="preserve"> Tax!FI$145</f>
        <v>0</v>
      </c>
      <c r="FJ29" s="235">
        <f ca="1" xml:space="preserve"> Tax!FJ$145</f>
        <v>0</v>
      </c>
      <c r="FK29" s="235">
        <f ca="1" xml:space="preserve"> Tax!FK$145</f>
        <v>0</v>
      </c>
      <c r="FL29" s="235">
        <f ca="1" xml:space="preserve"> Tax!FL$145</f>
        <v>0</v>
      </c>
      <c r="FM29" s="235">
        <f ca="1" xml:space="preserve"> Tax!FM$145</f>
        <v>0</v>
      </c>
      <c r="FN29" s="235">
        <f ca="1" xml:space="preserve"> Tax!FN$145</f>
        <v>0</v>
      </c>
      <c r="FO29" s="235">
        <f ca="1" xml:space="preserve"> Tax!FO$145</f>
        <v>0</v>
      </c>
      <c r="FP29" s="235">
        <f ca="1" xml:space="preserve"> Tax!FP$145</f>
        <v>0</v>
      </c>
      <c r="FQ29" s="235">
        <f ca="1" xml:space="preserve"> Tax!FQ$145</f>
        <v>0</v>
      </c>
      <c r="FR29" s="235">
        <f ca="1" xml:space="preserve"> Tax!FR$145</f>
        <v>0</v>
      </c>
      <c r="FS29" s="235">
        <f ca="1" xml:space="preserve"> Tax!FS$145</f>
        <v>0</v>
      </c>
      <c r="FT29" s="235">
        <f ca="1" xml:space="preserve"> Tax!FT$145</f>
        <v>0</v>
      </c>
      <c r="FU29" s="235">
        <f ca="1" xml:space="preserve"> Tax!FU$145</f>
        <v>0</v>
      </c>
      <c r="FV29" s="235">
        <f ca="1" xml:space="preserve"> Tax!FV$145</f>
        <v>0</v>
      </c>
      <c r="FW29" s="235">
        <f ca="1" xml:space="preserve"> Tax!FW$145</f>
        <v>0</v>
      </c>
      <c r="FX29" s="235">
        <f ca="1" xml:space="preserve"> Tax!FX$145</f>
        <v>0</v>
      </c>
      <c r="FY29" s="235">
        <f ca="1" xml:space="preserve"> Tax!FY$145</f>
        <v>0</v>
      </c>
      <c r="FZ29" s="235">
        <f ca="1" xml:space="preserve"> Tax!FZ$145</f>
        <v>0</v>
      </c>
      <c r="GA29" s="235">
        <f ca="1" xml:space="preserve"> Tax!GA$145</f>
        <v>0</v>
      </c>
      <c r="GB29" s="235">
        <f ca="1" xml:space="preserve"> Tax!GB$145</f>
        <v>0</v>
      </c>
      <c r="GC29" s="235">
        <f ca="1" xml:space="preserve"> Tax!GC$145</f>
        <v>0</v>
      </c>
      <c r="GD29" s="235">
        <f ca="1" xml:space="preserve"> Tax!GD$145</f>
        <v>0</v>
      </c>
      <c r="GE29" s="235">
        <f ca="1" xml:space="preserve"> Tax!GE$145</f>
        <v>0</v>
      </c>
      <c r="GF29" s="235">
        <f ca="1" xml:space="preserve"> Tax!GF$145</f>
        <v>0</v>
      </c>
      <c r="GG29" s="235">
        <f ca="1" xml:space="preserve"> Tax!GG$145</f>
        <v>0</v>
      </c>
      <c r="GH29" s="235">
        <f ca="1" xml:space="preserve"> Tax!GH$145</f>
        <v>0</v>
      </c>
      <c r="GI29" s="235">
        <f ca="1" xml:space="preserve"> Tax!GI$145</f>
        <v>0</v>
      </c>
      <c r="GJ29" s="235">
        <f ca="1" xml:space="preserve"> Tax!GJ$145</f>
        <v>0</v>
      </c>
    </row>
    <row r="30" spans="1:192" s="192" customFormat="1" outlineLevel="1" x14ac:dyDescent="0.2">
      <c r="A30" s="205"/>
      <c r="B30" s="205"/>
      <c r="C30" s="206"/>
      <c r="D30" s="209"/>
      <c r="E30" s="235" t="str">
        <f ca="1" xml:space="preserve"> Tax!E$156</f>
        <v>Deferred tax  - P99</v>
      </c>
      <c r="F30" s="235">
        <f ca="1" xml:space="preserve"> Tax!F$156</f>
        <v>0</v>
      </c>
      <c r="G30" s="235" t="str">
        <f ca="1" xml:space="preserve"> Tax!G$156</f>
        <v>$ 000s</v>
      </c>
      <c r="H30" s="235">
        <f ca="1" xml:space="preserve"> Tax!H$156</f>
        <v>5.6843418860808015E-12</v>
      </c>
      <c r="I30" s="235">
        <f ca="1" xml:space="preserve"> Tax!I$156</f>
        <v>0</v>
      </c>
      <c r="J30" s="235">
        <f ca="1" xml:space="preserve"> Tax!J$156</f>
        <v>0</v>
      </c>
      <c r="K30" s="235">
        <f ca="1" xml:space="preserve"> Tax!K$156</f>
        <v>0</v>
      </c>
      <c r="L30" s="235">
        <f ca="1" xml:space="preserve"> Tax!L$156</f>
        <v>0</v>
      </c>
      <c r="M30" s="235">
        <f ca="1" xml:space="preserve"> Tax!M$156</f>
        <v>0</v>
      </c>
      <c r="N30" s="235">
        <f ca="1" xml:space="preserve"> Tax!N$156</f>
        <v>0</v>
      </c>
      <c r="O30" s="235">
        <f ca="1" xml:space="preserve"> Tax!O$156</f>
        <v>-4774.4453219935003</v>
      </c>
      <c r="P30" s="235">
        <f ca="1" xml:space="preserve"> Tax!P$156</f>
        <v>-4134.9896065094208</v>
      </c>
      <c r="Q30" s="235">
        <f ca="1" xml:space="preserve"> Tax!Q$156</f>
        <v>-3559.4794625737495</v>
      </c>
      <c r="R30" s="235">
        <f ca="1" xml:space="preserve"> Tax!R$156</f>
        <v>-3041.5203330316454</v>
      </c>
      <c r="S30" s="235">
        <f ca="1" xml:space="preserve"> Tax!S$156</f>
        <v>-2575.3571164437512</v>
      </c>
      <c r="T30" s="235">
        <f ca="1" xml:space="preserve"> Tax!T$156</f>
        <v>-2155.8102215146464</v>
      </c>
      <c r="U30" s="235">
        <f ca="1" xml:space="preserve"> Tax!U$156</f>
        <v>-1778.2180160784535</v>
      </c>
      <c r="V30" s="235">
        <f ca="1" xml:space="preserve"> Tax!V$156</f>
        <v>-1438.3850311858787</v>
      </c>
      <c r="W30" s="235">
        <f ca="1" xml:space="preserve"> Tax!W$156</f>
        <v>-1132.5353447825617</v>
      </c>
      <c r="X30" s="235">
        <f ca="1" xml:space="preserve"> Tax!X$156</f>
        <v>-857.27062701957641</v>
      </c>
      <c r="Y30" s="235">
        <f ca="1" xml:space="preserve"> Tax!Y$156</f>
        <v>-609.53238103288948</v>
      </c>
      <c r="Z30" s="235">
        <f ca="1" xml:space="preserve"> Tax!Z$156</f>
        <v>-386.56795964487122</v>
      </c>
      <c r="AA30" s="235">
        <f ca="1" xml:space="preserve"> Tax!AA$156</f>
        <v>-185.89998039565489</v>
      </c>
      <c r="AB30" s="235">
        <f ca="1" xml:space="preserve"> Tax!AB$156</f>
        <v>-5.2987990713601905</v>
      </c>
      <c r="AC30" s="235">
        <f ca="1" xml:space="preserve"> Tax!AC$156</f>
        <v>157.24226412050484</v>
      </c>
      <c r="AD30" s="235">
        <f ca="1" xml:space="preserve"> Tax!AD$156</f>
        <v>303.52922099318369</v>
      </c>
      <c r="AE30" s="235">
        <f ca="1" xml:space="preserve"> Tax!AE$156</f>
        <v>435.18748217859451</v>
      </c>
      <c r="AF30" s="235">
        <f ca="1" xml:space="preserve"> Tax!AF$156</f>
        <v>553.67991724546425</v>
      </c>
      <c r="AG30" s="235">
        <f ca="1" xml:space="preserve"> Tax!AG$156</f>
        <v>660.32310880564694</v>
      </c>
      <c r="AH30" s="235">
        <f ca="1" xml:space="preserve"> Tax!AH$156</f>
        <v>756.30198120981152</v>
      </c>
      <c r="AI30" s="235">
        <f ca="1" xml:space="preserve"> Tax!AI$156</f>
        <v>842.68296637355945</v>
      </c>
      <c r="AJ30" s="235">
        <f ca="1" xml:space="preserve"> Tax!AJ$156</f>
        <v>920.42585302093266</v>
      </c>
      <c r="AK30" s="235">
        <f ca="1" xml:space="preserve"> Tax!AK$156</f>
        <v>990.39445100356852</v>
      </c>
      <c r="AL30" s="235">
        <f ca="1" xml:space="preserve"> Tax!AL$156</f>
        <v>1053.3661891879408</v>
      </c>
      <c r="AM30" s="235">
        <f ca="1" xml:space="preserve"> Tax!AM$156</f>
        <v>1110.0407535538759</v>
      </c>
      <c r="AN30" s="235">
        <f ca="1" xml:space="preserve"> Tax!AN$156</f>
        <v>1161.0478614832175</v>
      </c>
      <c r="AO30" s="235">
        <f ca="1" xml:space="preserve"> Tax!AO$156</f>
        <v>1206.9542586196249</v>
      </c>
      <c r="AP30" s="235">
        <f ca="1" xml:space="preserve"> Tax!AP$156</f>
        <v>1248.2700160423917</v>
      </c>
      <c r="AQ30" s="235">
        <f ca="1" xml:space="preserve"> Tax!AQ$156</f>
        <v>1285.4541977228819</v>
      </c>
      <c r="AR30" s="235">
        <f ca="1" xml:space="preserve"> Tax!AR$156</f>
        <v>1318.9199612353227</v>
      </c>
      <c r="AS30" s="235">
        <f ca="1" xml:space="preserve"> Tax!AS$156</f>
        <v>1349.0391483965195</v>
      </c>
      <c r="AT30" s="235">
        <f ca="1" xml:space="preserve"> Tax!AT$156</f>
        <v>1376.1464168415969</v>
      </c>
      <c r="AU30" s="235">
        <f ca="1" xml:space="preserve"> Tax!AU$156</f>
        <v>1400.5429584421663</v>
      </c>
      <c r="AV30" s="235">
        <f ca="1" xml:space="preserve"> Tax!AV$156</f>
        <v>1422.499845882679</v>
      </c>
      <c r="AW30" s="235">
        <f ca="1" xml:space="preserve"> Tax!AW$156</f>
        <v>1299.1107503318478</v>
      </c>
      <c r="AX30" s="235">
        <f ca="1" xml:space="preserve"> Tax!AX$156</f>
        <v>1316.895829158663</v>
      </c>
      <c r="AY30" s="235">
        <f ca="1" xml:space="preserve"> Tax!AY$156</f>
        <v>1332.9024001027965</v>
      </c>
      <c r="AZ30" s="235">
        <f ca="1" xml:space="preserve"> Tax!AZ$156</f>
        <v>1347.308313952517</v>
      </c>
      <c r="BA30" s="235">
        <f ca="1" xml:space="preserve"> Tax!BA$156</f>
        <v>1360.2736364172652</v>
      </c>
      <c r="BB30" s="235">
        <f ca="1" xml:space="preserve"> Tax!BB$156</f>
        <v>426.77041895539082</v>
      </c>
      <c r="BC30" s="235">
        <f ca="1" xml:space="preserve"> Tax!BC$156</f>
        <v>0</v>
      </c>
      <c r="BD30" s="235">
        <f ca="1" xml:space="preserve"> Tax!BD$156</f>
        <v>0</v>
      </c>
      <c r="BE30" s="235">
        <f ca="1" xml:space="preserve"> Tax!BE$156</f>
        <v>0</v>
      </c>
      <c r="BF30" s="235">
        <f ca="1" xml:space="preserve"> Tax!BF$156</f>
        <v>0</v>
      </c>
      <c r="BG30" s="235">
        <f ca="1" xml:space="preserve"> Tax!BG$156</f>
        <v>0</v>
      </c>
      <c r="BH30" s="235">
        <f ca="1" xml:space="preserve"> Tax!BH$156</f>
        <v>0</v>
      </c>
      <c r="BI30" s="235">
        <f ca="1" xml:space="preserve"> Tax!BI$156</f>
        <v>0</v>
      </c>
      <c r="BJ30" s="235">
        <f ca="1" xml:space="preserve"> Tax!BJ$156</f>
        <v>0</v>
      </c>
      <c r="BK30" s="235">
        <f ca="1" xml:space="preserve"> Tax!BK$156</f>
        <v>0</v>
      </c>
      <c r="BL30" s="235">
        <f ca="1" xml:space="preserve"> Tax!BL$156</f>
        <v>0</v>
      </c>
      <c r="BM30" s="235">
        <f ca="1" xml:space="preserve"> Tax!BM$156</f>
        <v>0</v>
      </c>
      <c r="BN30" s="235">
        <f ca="1" xml:space="preserve"> Tax!BN$156</f>
        <v>0</v>
      </c>
      <c r="BO30" s="235">
        <f ca="1" xml:space="preserve"> Tax!BO$156</f>
        <v>0</v>
      </c>
      <c r="BP30" s="235">
        <f ca="1" xml:space="preserve"> Tax!BP$156</f>
        <v>0</v>
      </c>
      <c r="BQ30" s="235">
        <f ca="1" xml:space="preserve"> Tax!BQ$156</f>
        <v>0</v>
      </c>
      <c r="BR30" s="235">
        <f ca="1" xml:space="preserve"> Tax!BR$156</f>
        <v>0</v>
      </c>
      <c r="BS30" s="235">
        <f ca="1" xml:space="preserve"> Tax!BS$156</f>
        <v>0</v>
      </c>
      <c r="BT30" s="235">
        <f ca="1" xml:space="preserve"> Tax!BT$156</f>
        <v>0</v>
      </c>
      <c r="BU30" s="235">
        <f ca="1" xml:space="preserve"> Tax!BU$156</f>
        <v>0</v>
      </c>
      <c r="BV30" s="235">
        <f ca="1" xml:space="preserve"> Tax!BV$156</f>
        <v>0</v>
      </c>
      <c r="BW30" s="235">
        <f ca="1" xml:space="preserve"> Tax!BW$156</f>
        <v>0</v>
      </c>
      <c r="BX30" s="235">
        <f ca="1" xml:space="preserve"> Tax!BX$156</f>
        <v>0</v>
      </c>
      <c r="BY30" s="235">
        <f ca="1" xml:space="preserve"> Tax!BY$156</f>
        <v>0</v>
      </c>
      <c r="BZ30" s="235">
        <f ca="1" xml:space="preserve"> Tax!BZ$156</f>
        <v>0</v>
      </c>
      <c r="CA30" s="235">
        <f ca="1" xml:space="preserve"> Tax!CA$156</f>
        <v>0</v>
      </c>
      <c r="CB30" s="235">
        <f ca="1" xml:space="preserve"> Tax!CB$156</f>
        <v>0</v>
      </c>
      <c r="CC30" s="235">
        <f ca="1" xml:space="preserve"> Tax!CC$156</f>
        <v>0</v>
      </c>
      <c r="CD30" s="235">
        <f ca="1" xml:space="preserve"> Tax!CD$156</f>
        <v>0</v>
      </c>
      <c r="CE30" s="235">
        <f ca="1" xml:space="preserve"> Tax!CE$156</f>
        <v>0</v>
      </c>
      <c r="CF30" s="235">
        <f ca="1" xml:space="preserve"> Tax!CF$156</f>
        <v>0</v>
      </c>
      <c r="CG30" s="235">
        <f ca="1" xml:space="preserve"> Tax!CG$156</f>
        <v>0</v>
      </c>
      <c r="CH30" s="235">
        <f ca="1" xml:space="preserve"> Tax!CH$156</f>
        <v>0</v>
      </c>
      <c r="CI30" s="235">
        <f ca="1" xml:space="preserve"> Tax!CI$156</f>
        <v>0</v>
      </c>
      <c r="CJ30" s="235">
        <f ca="1" xml:space="preserve"> Tax!CJ$156</f>
        <v>0</v>
      </c>
      <c r="CK30" s="235">
        <f ca="1" xml:space="preserve"> Tax!CK$156</f>
        <v>0</v>
      </c>
      <c r="CL30" s="235">
        <f ca="1" xml:space="preserve"> Tax!CL$156</f>
        <v>0</v>
      </c>
      <c r="CM30" s="235">
        <f ca="1" xml:space="preserve"> Tax!CM$156</f>
        <v>0</v>
      </c>
      <c r="CN30" s="235">
        <f ca="1" xml:space="preserve"> Tax!CN$156</f>
        <v>0</v>
      </c>
      <c r="CO30" s="235">
        <f ca="1" xml:space="preserve"> Tax!CO$156</f>
        <v>0</v>
      </c>
      <c r="CP30" s="235">
        <f ca="1" xml:space="preserve"> Tax!CP$156</f>
        <v>0</v>
      </c>
      <c r="CQ30" s="235">
        <f ca="1" xml:space="preserve"> Tax!CQ$156</f>
        <v>0</v>
      </c>
      <c r="CR30" s="235">
        <f ca="1" xml:space="preserve"> Tax!CR$156</f>
        <v>0</v>
      </c>
      <c r="CS30" s="235">
        <f ca="1" xml:space="preserve"> Tax!CS$156</f>
        <v>0</v>
      </c>
      <c r="CT30" s="235">
        <f ca="1" xml:space="preserve"> Tax!CT$156</f>
        <v>0</v>
      </c>
      <c r="CU30" s="235">
        <f ca="1" xml:space="preserve"> Tax!CU$156</f>
        <v>0</v>
      </c>
      <c r="CV30" s="235">
        <f ca="1" xml:space="preserve"> Tax!CV$156</f>
        <v>0</v>
      </c>
      <c r="CW30" s="235">
        <f ca="1" xml:space="preserve"> Tax!CW$156</f>
        <v>0</v>
      </c>
      <c r="CX30" s="235">
        <f ca="1" xml:space="preserve"> Tax!CX$156</f>
        <v>0</v>
      </c>
      <c r="CY30" s="235">
        <f ca="1" xml:space="preserve"> Tax!CY$156</f>
        <v>0</v>
      </c>
      <c r="CZ30" s="235">
        <f ca="1" xml:space="preserve"> Tax!CZ$156</f>
        <v>0</v>
      </c>
      <c r="DA30" s="235">
        <f ca="1" xml:space="preserve"> Tax!DA$156</f>
        <v>0</v>
      </c>
      <c r="DB30" s="235">
        <f ca="1" xml:space="preserve"> Tax!DB$156</f>
        <v>0</v>
      </c>
      <c r="DC30" s="235">
        <f ca="1" xml:space="preserve"> Tax!DC$156</f>
        <v>0</v>
      </c>
      <c r="DD30" s="235">
        <f ca="1" xml:space="preserve"> Tax!DD$156</f>
        <v>0</v>
      </c>
      <c r="DE30" s="235">
        <f ca="1" xml:space="preserve"> Tax!DE$156</f>
        <v>0</v>
      </c>
      <c r="DF30" s="235">
        <f ca="1" xml:space="preserve"> Tax!DF$156</f>
        <v>0</v>
      </c>
      <c r="DG30" s="235">
        <f ca="1" xml:space="preserve"> Tax!DG$156</f>
        <v>0</v>
      </c>
      <c r="DH30" s="235">
        <f ca="1" xml:space="preserve"> Tax!DH$156</f>
        <v>0</v>
      </c>
      <c r="DI30" s="235">
        <f ca="1" xml:space="preserve"> Tax!DI$156</f>
        <v>0</v>
      </c>
      <c r="DJ30" s="235">
        <f ca="1" xml:space="preserve"> Tax!DJ$156</f>
        <v>0</v>
      </c>
      <c r="DK30" s="235">
        <f ca="1" xml:space="preserve"> Tax!DK$156</f>
        <v>0</v>
      </c>
      <c r="DL30" s="235">
        <f ca="1" xml:space="preserve"> Tax!DL$156</f>
        <v>0</v>
      </c>
      <c r="DM30" s="235">
        <f ca="1" xml:space="preserve"> Tax!DM$156</f>
        <v>0</v>
      </c>
      <c r="DN30" s="235">
        <f ca="1" xml:space="preserve"> Tax!DN$156</f>
        <v>0</v>
      </c>
      <c r="DO30" s="235">
        <f ca="1" xml:space="preserve"> Tax!DO$156</f>
        <v>0</v>
      </c>
      <c r="DP30" s="235">
        <f ca="1" xml:space="preserve"> Tax!DP$156</f>
        <v>0</v>
      </c>
      <c r="DQ30" s="235">
        <f ca="1" xml:space="preserve"> Tax!DQ$156</f>
        <v>0</v>
      </c>
      <c r="DR30" s="235">
        <f ca="1" xml:space="preserve"> Tax!DR$156</f>
        <v>0</v>
      </c>
      <c r="DS30" s="235">
        <f ca="1" xml:space="preserve"> Tax!DS$156</f>
        <v>0</v>
      </c>
      <c r="DT30" s="235">
        <f ca="1" xml:space="preserve"> Tax!DT$156</f>
        <v>0</v>
      </c>
      <c r="DU30" s="235">
        <f ca="1" xml:space="preserve"> Tax!DU$156</f>
        <v>0</v>
      </c>
      <c r="DV30" s="235">
        <f ca="1" xml:space="preserve"> Tax!DV$156</f>
        <v>0</v>
      </c>
      <c r="DW30" s="235">
        <f ca="1" xml:space="preserve"> Tax!DW$156</f>
        <v>0</v>
      </c>
      <c r="DX30" s="235">
        <f ca="1" xml:space="preserve"> Tax!DX$156</f>
        <v>0</v>
      </c>
      <c r="DY30" s="235">
        <f ca="1" xml:space="preserve"> Tax!DY$156</f>
        <v>0</v>
      </c>
      <c r="DZ30" s="235">
        <f ca="1" xml:space="preserve"> Tax!DZ$156</f>
        <v>0</v>
      </c>
      <c r="EA30" s="235">
        <f ca="1" xml:space="preserve"> Tax!EA$156</f>
        <v>0</v>
      </c>
      <c r="EB30" s="235">
        <f ca="1" xml:space="preserve"> Tax!EB$156</f>
        <v>0</v>
      </c>
      <c r="EC30" s="235">
        <f ca="1" xml:space="preserve"> Tax!EC$156</f>
        <v>0</v>
      </c>
      <c r="ED30" s="235">
        <f ca="1" xml:space="preserve"> Tax!ED$156</f>
        <v>0</v>
      </c>
      <c r="EE30" s="235">
        <f ca="1" xml:space="preserve"> Tax!EE$156</f>
        <v>0</v>
      </c>
      <c r="EF30" s="235">
        <f ca="1" xml:space="preserve"> Tax!EF$156</f>
        <v>0</v>
      </c>
      <c r="EG30" s="235">
        <f ca="1" xml:space="preserve"> Tax!EG$156</f>
        <v>0</v>
      </c>
      <c r="EH30" s="235">
        <f ca="1" xml:space="preserve"> Tax!EH$156</f>
        <v>0</v>
      </c>
      <c r="EI30" s="235">
        <f ca="1" xml:space="preserve"> Tax!EI$156</f>
        <v>0</v>
      </c>
      <c r="EJ30" s="235">
        <f ca="1" xml:space="preserve"> Tax!EJ$156</f>
        <v>0</v>
      </c>
      <c r="EK30" s="235">
        <f ca="1" xml:space="preserve"> Tax!EK$156</f>
        <v>0</v>
      </c>
      <c r="EL30" s="235">
        <f ca="1" xml:space="preserve"> Tax!EL$156</f>
        <v>0</v>
      </c>
      <c r="EM30" s="235">
        <f ca="1" xml:space="preserve"> Tax!EM$156</f>
        <v>0</v>
      </c>
      <c r="EN30" s="235">
        <f ca="1" xml:space="preserve"> Tax!EN$156</f>
        <v>0</v>
      </c>
      <c r="EO30" s="235">
        <f ca="1" xml:space="preserve"> Tax!EO$156</f>
        <v>0</v>
      </c>
      <c r="EP30" s="235">
        <f ca="1" xml:space="preserve"> Tax!EP$156</f>
        <v>0</v>
      </c>
      <c r="EQ30" s="235">
        <f ca="1" xml:space="preserve"> Tax!EQ$156</f>
        <v>0</v>
      </c>
      <c r="ER30" s="235">
        <f ca="1" xml:space="preserve"> Tax!ER$156</f>
        <v>0</v>
      </c>
      <c r="ES30" s="235">
        <f ca="1" xml:space="preserve"> Tax!ES$156</f>
        <v>0</v>
      </c>
      <c r="ET30" s="235">
        <f ca="1" xml:space="preserve"> Tax!ET$156</f>
        <v>0</v>
      </c>
      <c r="EU30" s="235">
        <f ca="1" xml:space="preserve"> Tax!EU$156</f>
        <v>0</v>
      </c>
      <c r="EV30" s="235">
        <f ca="1" xml:space="preserve"> Tax!EV$156</f>
        <v>0</v>
      </c>
      <c r="EW30" s="235">
        <f ca="1" xml:space="preserve"> Tax!EW$156</f>
        <v>0</v>
      </c>
      <c r="EX30" s="235">
        <f ca="1" xml:space="preserve"> Tax!EX$156</f>
        <v>0</v>
      </c>
      <c r="EY30" s="235">
        <f ca="1" xml:space="preserve"> Tax!EY$156</f>
        <v>0</v>
      </c>
      <c r="EZ30" s="235">
        <f ca="1" xml:space="preserve"> Tax!EZ$156</f>
        <v>0</v>
      </c>
      <c r="FA30" s="235">
        <f ca="1" xml:space="preserve"> Tax!FA$156</f>
        <v>0</v>
      </c>
      <c r="FB30" s="235">
        <f ca="1" xml:space="preserve"> Tax!FB$156</f>
        <v>0</v>
      </c>
      <c r="FC30" s="235">
        <f ca="1" xml:space="preserve"> Tax!FC$156</f>
        <v>0</v>
      </c>
      <c r="FD30" s="235">
        <f ca="1" xml:space="preserve"> Tax!FD$156</f>
        <v>0</v>
      </c>
      <c r="FE30" s="235">
        <f ca="1" xml:space="preserve"> Tax!FE$156</f>
        <v>0</v>
      </c>
      <c r="FF30" s="235">
        <f ca="1" xml:space="preserve"> Tax!FF$156</f>
        <v>0</v>
      </c>
      <c r="FG30" s="235">
        <f ca="1" xml:space="preserve"> Tax!FG$156</f>
        <v>0</v>
      </c>
      <c r="FH30" s="235">
        <f ca="1" xml:space="preserve"> Tax!FH$156</f>
        <v>0</v>
      </c>
      <c r="FI30" s="235">
        <f ca="1" xml:space="preserve"> Tax!FI$156</f>
        <v>0</v>
      </c>
      <c r="FJ30" s="235">
        <f ca="1" xml:space="preserve"> Tax!FJ$156</f>
        <v>0</v>
      </c>
      <c r="FK30" s="235">
        <f ca="1" xml:space="preserve"> Tax!FK$156</f>
        <v>0</v>
      </c>
      <c r="FL30" s="235">
        <f ca="1" xml:space="preserve"> Tax!FL$156</f>
        <v>0</v>
      </c>
      <c r="FM30" s="235">
        <f ca="1" xml:space="preserve"> Tax!FM$156</f>
        <v>0</v>
      </c>
      <c r="FN30" s="235">
        <f ca="1" xml:space="preserve"> Tax!FN$156</f>
        <v>0</v>
      </c>
      <c r="FO30" s="235">
        <f ca="1" xml:space="preserve"> Tax!FO$156</f>
        <v>0</v>
      </c>
      <c r="FP30" s="235">
        <f ca="1" xml:space="preserve"> Tax!FP$156</f>
        <v>0</v>
      </c>
      <c r="FQ30" s="235">
        <f ca="1" xml:space="preserve"> Tax!FQ$156</f>
        <v>0</v>
      </c>
      <c r="FR30" s="235">
        <f ca="1" xml:space="preserve"> Tax!FR$156</f>
        <v>0</v>
      </c>
      <c r="FS30" s="235">
        <f ca="1" xml:space="preserve"> Tax!FS$156</f>
        <v>0</v>
      </c>
      <c r="FT30" s="235">
        <f ca="1" xml:space="preserve"> Tax!FT$156</f>
        <v>0</v>
      </c>
      <c r="FU30" s="235">
        <f ca="1" xml:space="preserve"> Tax!FU$156</f>
        <v>0</v>
      </c>
      <c r="FV30" s="235">
        <f ca="1" xml:space="preserve"> Tax!FV$156</f>
        <v>0</v>
      </c>
      <c r="FW30" s="235">
        <f ca="1" xml:space="preserve"> Tax!FW$156</f>
        <v>0</v>
      </c>
      <c r="FX30" s="235">
        <f ca="1" xml:space="preserve"> Tax!FX$156</f>
        <v>0</v>
      </c>
      <c r="FY30" s="235">
        <f ca="1" xml:space="preserve"> Tax!FY$156</f>
        <v>0</v>
      </c>
      <c r="FZ30" s="235">
        <f ca="1" xml:space="preserve"> Tax!FZ$156</f>
        <v>0</v>
      </c>
      <c r="GA30" s="235">
        <f ca="1" xml:space="preserve"> Tax!GA$156</f>
        <v>0</v>
      </c>
      <c r="GB30" s="235">
        <f ca="1" xml:space="preserve"> Tax!GB$156</f>
        <v>0</v>
      </c>
      <c r="GC30" s="235">
        <f ca="1" xml:space="preserve"> Tax!GC$156</f>
        <v>0</v>
      </c>
      <c r="GD30" s="235">
        <f ca="1" xml:space="preserve"> Tax!GD$156</f>
        <v>0</v>
      </c>
      <c r="GE30" s="235">
        <f ca="1" xml:space="preserve"> Tax!GE$156</f>
        <v>0</v>
      </c>
      <c r="GF30" s="235">
        <f ca="1" xml:space="preserve"> Tax!GF$156</f>
        <v>0</v>
      </c>
      <c r="GG30" s="235">
        <f ca="1" xml:space="preserve"> Tax!GG$156</f>
        <v>0</v>
      </c>
      <c r="GH30" s="235">
        <f ca="1" xml:space="preserve"> Tax!GH$156</f>
        <v>0</v>
      </c>
      <c r="GI30" s="235">
        <f ca="1" xml:space="preserve"> Tax!GI$156</f>
        <v>0</v>
      </c>
      <c r="GJ30" s="235">
        <f ca="1" xml:space="preserve"> Tax!GJ$156</f>
        <v>0</v>
      </c>
    </row>
    <row r="31" spans="1:192" s="191" customFormat="1" outlineLevel="1" x14ac:dyDescent="0.2">
      <c r="A31" s="205"/>
      <c r="B31" s="205"/>
      <c r="C31" s="206"/>
      <c r="D31" s="209"/>
      <c r="E31" s="232" t="s">
        <v>1150</v>
      </c>
      <c r="F31" s="232"/>
      <c r="G31" s="232" t="str">
        <f>SMU</f>
        <v>$ 000s</v>
      </c>
      <c r="H31" s="232">
        <f ca="1" xml:space="preserve"> SUM(J31:CV31)</f>
        <v>-698470.02400454751</v>
      </c>
      <c r="I31" s="232"/>
      <c r="J31" s="232">
        <f t="shared" ref="J31:AO31" ca="1" si="8" xml:space="preserve"> J27 + SUM(J29:J30)</f>
        <v>0</v>
      </c>
      <c r="K31" s="232">
        <f t="shared" ca="1" si="8"/>
        <v>0</v>
      </c>
      <c r="L31" s="232">
        <f t="shared" ca="1" si="8"/>
        <v>0</v>
      </c>
      <c r="M31" s="232">
        <f t="shared" ca="1" si="8"/>
        <v>0</v>
      </c>
      <c r="N31" s="232">
        <f t="shared" ca="1" si="8"/>
        <v>0</v>
      </c>
      <c r="O31" s="232">
        <f t="shared" ca="1" si="8"/>
        <v>-11718.704761512705</v>
      </c>
      <c r="P31" s="232">
        <f t="shared" ca="1" si="8"/>
        <v>-11059.161396171088</v>
      </c>
      <c r="Q31" s="232">
        <f t="shared" ca="1" si="8"/>
        <v>-10827.63220291072</v>
      </c>
      <c r="R31" s="232">
        <f t="shared" ca="1" si="8"/>
        <v>-10383.132071349282</v>
      </c>
      <c r="S31" s="232">
        <f t="shared" ca="1" si="8"/>
        <v>-10289.765647051134</v>
      </c>
      <c r="T31" s="232">
        <f t="shared" ca="1" si="8"/>
        <v>-9981.7543197283558</v>
      </c>
      <c r="U31" s="232">
        <f t="shared" ca="1" si="8"/>
        <v>-10010.398954232942</v>
      </c>
      <c r="V31" s="232">
        <f t="shared" ca="1" si="8"/>
        <v>-9850.0209883218358</v>
      </c>
      <c r="W31" s="232">
        <f t="shared" ca="1" si="8"/>
        <v>-9962.7624387207034</v>
      </c>
      <c r="X31" s="232">
        <f t="shared" ca="1" si="8"/>
        <v>-9890.6765272444882</v>
      </c>
      <c r="Y31" s="232">
        <f t="shared" ca="1" si="8"/>
        <v>-10321.882716167993</v>
      </c>
      <c r="Z31" s="232">
        <f t="shared" ca="1" si="8"/>
        <v>-10349.948896783746</v>
      </c>
      <c r="AA31" s="232">
        <f t="shared" ca="1" si="8"/>
        <v>-10685.5867724749</v>
      </c>
      <c r="AB31" s="232">
        <f t="shared" ca="1" si="8"/>
        <v>-10816.34072317471</v>
      </c>
      <c r="AC31" s="232">
        <f t="shared" ca="1" si="8"/>
        <v>-11245.908169672737</v>
      </c>
      <c r="AD31" s="232">
        <f t="shared" ca="1" si="8"/>
        <v>-11498.235219895862</v>
      </c>
      <c r="AE31" s="232">
        <f t="shared" ca="1" si="8"/>
        <v>-12001.880617555913</v>
      </c>
      <c r="AF31" s="232">
        <f t="shared" ca="1" si="8"/>
        <v>-12339.538364419468</v>
      </c>
      <c r="AG31" s="232">
        <f t="shared" ca="1" si="8"/>
        <v>-12959.108396289894</v>
      </c>
      <c r="AH31" s="232">
        <f t="shared" ca="1" si="8"/>
        <v>-13404.073134334971</v>
      </c>
      <c r="AI31" s="232">
        <f t="shared" ca="1" si="8"/>
        <v>-14270.81072993343</v>
      </c>
      <c r="AJ31" s="232">
        <f t="shared" ca="1" si="8"/>
        <v>-14821.508667442464</v>
      </c>
      <c r="AK31" s="232">
        <f t="shared" ca="1" si="8"/>
        <v>-15646.845080508658</v>
      </c>
      <c r="AL31" s="232">
        <f t="shared" ca="1" si="8"/>
        <v>-16332.344675027472</v>
      </c>
      <c r="AM31" s="232">
        <f t="shared" ca="1" si="8"/>
        <v>-17261.472071769062</v>
      </c>
      <c r="AN31" s="232">
        <f t="shared" ca="1" si="8"/>
        <v>-18068.324017764884</v>
      </c>
      <c r="AO31" s="232">
        <f t="shared" ca="1" si="8"/>
        <v>-19137.757230355088</v>
      </c>
      <c r="AP31" s="232">
        <f t="shared" ref="AP31:BU31" ca="1" si="9" xml:space="preserve"> AP27 + SUM(AP29:AP30)</f>
        <v>-20089.511520646316</v>
      </c>
      <c r="AQ31" s="232">
        <f t="shared" ca="1" si="9"/>
        <v>-21300.175768132372</v>
      </c>
      <c r="AR31" s="232">
        <f t="shared" ca="1" si="9"/>
        <v>-22412.641569571191</v>
      </c>
      <c r="AS31" s="232">
        <f t="shared" ca="1" si="9"/>
        <v>-23780.687453757491</v>
      </c>
      <c r="AT31" s="232">
        <f t="shared" ca="1" si="9"/>
        <v>-25090.583617343691</v>
      </c>
      <c r="AU31" s="232">
        <f t="shared" ca="1" si="9"/>
        <v>-26647.236356001478</v>
      </c>
      <c r="AV31" s="232">
        <f t="shared" ca="1" si="9"/>
        <v>-27862.25613876585</v>
      </c>
      <c r="AW31" s="232">
        <f t="shared" ca="1" si="9"/>
        <v>-28742.04855752649</v>
      </c>
      <c r="AX31" s="232">
        <f t="shared" ca="1" si="9"/>
        <v>-30079.119209711989</v>
      </c>
      <c r="AY31" s="232">
        <f t="shared" ca="1" si="9"/>
        <v>-31648.369501256802</v>
      </c>
      <c r="AZ31" s="232">
        <f t="shared" ca="1" si="9"/>
        <v>-33165.228704933863</v>
      </c>
      <c r="BA31" s="232">
        <f t="shared" ca="1" si="9"/>
        <v>-34926.737806224024</v>
      </c>
      <c r="BB31" s="232">
        <f t="shared" ca="1" si="9"/>
        <v>-37589.853009861275</v>
      </c>
      <c r="BC31" s="232">
        <f t="shared" ca="1" si="9"/>
        <v>0</v>
      </c>
      <c r="BD31" s="232">
        <f t="shared" ca="1" si="9"/>
        <v>0</v>
      </c>
      <c r="BE31" s="232">
        <f t="shared" ca="1" si="9"/>
        <v>0</v>
      </c>
      <c r="BF31" s="232">
        <f t="shared" ca="1" si="9"/>
        <v>0</v>
      </c>
      <c r="BG31" s="232">
        <f t="shared" ca="1" si="9"/>
        <v>0</v>
      </c>
      <c r="BH31" s="232">
        <f t="shared" ca="1" si="9"/>
        <v>0</v>
      </c>
      <c r="BI31" s="232">
        <f t="shared" ca="1" si="9"/>
        <v>0</v>
      </c>
      <c r="BJ31" s="232">
        <f t="shared" ca="1" si="9"/>
        <v>0</v>
      </c>
      <c r="BK31" s="232">
        <f t="shared" ca="1" si="9"/>
        <v>0</v>
      </c>
      <c r="BL31" s="232">
        <f t="shared" ca="1" si="9"/>
        <v>0</v>
      </c>
      <c r="BM31" s="232">
        <f t="shared" ca="1" si="9"/>
        <v>0</v>
      </c>
      <c r="BN31" s="232">
        <f t="shared" ca="1" si="9"/>
        <v>0</v>
      </c>
      <c r="BO31" s="232">
        <f t="shared" ca="1" si="9"/>
        <v>0</v>
      </c>
      <c r="BP31" s="232">
        <f t="shared" ca="1" si="9"/>
        <v>0</v>
      </c>
      <c r="BQ31" s="232">
        <f t="shared" ca="1" si="9"/>
        <v>0</v>
      </c>
      <c r="BR31" s="232">
        <f t="shared" ca="1" si="9"/>
        <v>0</v>
      </c>
      <c r="BS31" s="232">
        <f t="shared" ca="1" si="9"/>
        <v>0</v>
      </c>
      <c r="BT31" s="232">
        <f t="shared" ca="1" si="9"/>
        <v>0</v>
      </c>
      <c r="BU31" s="232">
        <f t="shared" ca="1" si="9"/>
        <v>0</v>
      </c>
      <c r="BV31" s="232">
        <f t="shared" ref="BV31:DA31" ca="1" si="10" xml:space="preserve"> BV27 + SUM(BV29:BV30)</f>
        <v>0</v>
      </c>
      <c r="BW31" s="232">
        <f t="shared" ca="1" si="10"/>
        <v>0</v>
      </c>
      <c r="BX31" s="232">
        <f t="shared" ca="1" si="10"/>
        <v>0</v>
      </c>
      <c r="BY31" s="232">
        <f t="shared" ca="1" si="10"/>
        <v>0</v>
      </c>
      <c r="BZ31" s="232">
        <f t="shared" ca="1" si="10"/>
        <v>0</v>
      </c>
      <c r="CA31" s="232">
        <f t="shared" ca="1" si="10"/>
        <v>0</v>
      </c>
      <c r="CB31" s="232">
        <f t="shared" ca="1" si="10"/>
        <v>0</v>
      </c>
      <c r="CC31" s="232">
        <f t="shared" ca="1" si="10"/>
        <v>0</v>
      </c>
      <c r="CD31" s="232">
        <f t="shared" ca="1" si="10"/>
        <v>0</v>
      </c>
      <c r="CE31" s="232">
        <f t="shared" ca="1" si="10"/>
        <v>0</v>
      </c>
      <c r="CF31" s="232">
        <f t="shared" ca="1" si="10"/>
        <v>0</v>
      </c>
      <c r="CG31" s="232">
        <f t="shared" ca="1" si="10"/>
        <v>0</v>
      </c>
      <c r="CH31" s="232">
        <f t="shared" ca="1" si="10"/>
        <v>0</v>
      </c>
      <c r="CI31" s="232">
        <f t="shared" ca="1" si="10"/>
        <v>0</v>
      </c>
      <c r="CJ31" s="232">
        <f t="shared" ca="1" si="10"/>
        <v>0</v>
      </c>
      <c r="CK31" s="232">
        <f t="shared" ca="1" si="10"/>
        <v>0</v>
      </c>
      <c r="CL31" s="232">
        <f t="shared" ca="1" si="10"/>
        <v>0</v>
      </c>
      <c r="CM31" s="232">
        <f t="shared" ca="1" si="10"/>
        <v>0</v>
      </c>
      <c r="CN31" s="232">
        <f t="shared" ca="1" si="10"/>
        <v>0</v>
      </c>
      <c r="CO31" s="232">
        <f t="shared" ca="1" si="10"/>
        <v>0</v>
      </c>
      <c r="CP31" s="232">
        <f t="shared" ca="1" si="10"/>
        <v>0</v>
      </c>
      <c r="CQ31" s="232">
        <f t="shared" ca="1" si="10"/>
        <v>0</v>
      </c>
      <c r="CR31" s="232">
        <f t="shared" ca="1" si="10"/>
        <v>0</v>
      </c>
      <c r="CS31" s="232">
        <f t="shared" ca="1" si="10"/>
        <v>0</v>
      </c>
      <c r="CT31" s="232">
        <f t="shared" ca="1" si="10"/>
        <v>0</v>
      </c>
      <c r="CU31" s="232">
        <f t="shared" ca="1" si="10"/>
        <v>0</v>
      </c>
      <c r="CV31" s="232">
        <f t="shared" ca="1" si="10"/>
        <v>0</v>
      </c>
      <c r="CW31" s="232">
        <f t="shared" ca="1" si="10"/>
        <v>0</v>
      </c>
      <c r="CX31" s="232">
        <f t="shared" ca="1" si="10"/>
        <v>0</v>
      </c>
      <c r="CY31" s="232">
        <f t="shared" ca="1" si="10"/>
        <v>0</v>
      </c>
      <c r="CZ31" s="232">
        <f t="shared" ca="1" si="10"/>
        <v>0</v>
      </c>
      <c r="DA31" s="232">
        <f t="shared" ca="1" si="10"/>
        <v>0</v>
      </c>
      <c r="DB31" s="232">
        <f t="shared" ref="DB31:EG31" ca="1" si="11" xml:space="preserve"> DB27 + SUM(DB29:DB30)</f>
        <v>0</v>
      </c>
      <c r="DC31" s="232">
        <f t="shared" ca="1" si="11"/>
        <v>0</v>
      </c>
      <c r="DD31" s="232">
        <f t="shared" ca="1" si="11"/>
        <v>0</v>
      </c>
      <c r="DE31" s="232">
        <f t="shared" ca="1" si="11"/>
        <v>0</v>
      </c>
      <c r="DF31" s="232">
        <f t="shared" ca="1" si="11"/>
        <v>0</v>
      </c>
      <c r="DG31" s="232">
        <f t="shared" ca="1" si="11"/>
        <v>0</v>
      </c>
      <c r="DH31" s="232">
        <f t="shared" ca="1" si="11"/>
        <v>0</v>
      </c>
      <c r="DI31" s="232">
        <f t="shared" ca="1" si="11"/>
        <v>0</v>
      </c>
      <c r="DJ31" s="232">
        <f t="shared" ca="1" si="11"/>
        <v>0</v>
      </c>
      <c r="DK31" s="232">
        <f t="shared" ca="1" si="11"/>
        <v>0</v>
      </c>
      <c r="DL31" s="232">
        <f t="shared" ca="1" si="11"/>
        <v>0</v>
      </c>
      <c r="DM31" s="232">
        <f t="shared" ca="1" si="11"/>
        <v>0</v>
      </c>
      <c r="DN31" s="232">
        <f t="shared" ca="1" si="11"/>
        <v>0</v>
      </c>
      <c r="DO31" s="232">
        <f t="shared" ca="1" si="11"/>
        <v>0</v>
      </c>
      <c r="DP31" s="232">
        <f t="shared" ca="1" si="11"/>
        <v>0</v>
      </c>
      <c r="DQ31" s="232">
        <f t="shared" ca="1" si="11"/>
        <v>0</v>
      </c>
      <c r="DR31" s="232">
        <f t="shared" ca="1" si="11"/>
        <v>0</v>
      </c>
      <c r="DS31" s="232">
        <f t="shared" ca="1" si="11"/>
        <v>0</v>
      </c>
      <c r="DT31" s="232">
        <f t="shared" ca="1" si="11"/>
        <v>0</v>
      </c>
      <c r="DU31" s="232">
        <f t="shared" ca="1" si="11"/>
        <v>0</v>
      </c>
      <c r="DV31" s="232">
        <f t="shared" ca="1" si="11"/>
        <v>0</v>
      </c>
      <c r="DW31" s="232">
        <f t="shared" ca="1" si="11"/>
        <v>0</v>
      </c>
      <c r="DX31" s="232">
        <f t="shared" ca="1" si="11"/>
        <v>0</v>
      </c>
      <c r="DY31" s="232">
        <f t="shared" ca="1" si="11"/>
        <v>0</v>
      </c>
      <c r="DZ31" s="232">
        <f t="shared" ca="1" si="11"/>
        <v>0</v>
      </c>
      <c r="EA31" s="232">
        <f t="shared" ca="1" si="11"/>
        <v>0</v>
      </c>
      <c r="EB31" s="232">
        <f t="shared" ca="1" si="11"/>
        <v>0</v>
      </c>
      <c r="EC31" s="232">
        <f t="shared" ca="1" si="11"/>
        <v>0</v>
      </c>
      <c r="ED31" s="232">
        <f t="shared" ca="1" si="11"/>
        <v>0</v>
      </c>
      <c r="EE31" s="232">
        <f t="shared" ca="1" si="11"/>
        <v>0</v>
      </c>
      <c r="EF31" s="232">
        <f t="shared" ca="1" si="11"/>
        <v>0</v>
      </c>
      <c r="EG31" s="232">
        <f t="shared" ca="1" si="11"/>
        <v>0</v>
      </c>
      <c r="EH31" s="232">
        <f t="shared" ref="EH31:FM31" ca="1" si="12" xml:space="preserve"> EH27 + SUM(EH29:EH30)</f>
        <v>0</v>
      </c>
      <c r="EI31" s="232">
        <f t="shared" ca="1" si="12"/>
        <v>0</v>
      </c>
      <c r="EJ31" s="232">
        <f t="shared" ca="1" si="12"/>
        <v>0</v>
      </c>
      <c r="EK31" s="232">
        <f t="shared" ca="1" si="12"/>
        <v>0</v>
      </c>
      <c r="EL31" s="232">
        <f t="shared" ca="1" si="12"/>
        <v>0</v>
      </c>
      <c r="EM31" s="232">
        <f t="shared" ca="1" si="12"/>
        <v>0</v>
      </c>
      <c r="EN31" s="232">
        <f t="shared" ca="1" si="12"/>
        <v>0</v>
      </c>
      <c r="EO31" s="232">
        <f t="shared" ca="1" si="12"/>
        <v>0</v>
      </c>
      <c r="EP31" s="232">
        <f t="shared" ca="1" si="12"/>
        <v>0</v>
      </c>
      <c r="EQ31" s="232">
        <f t="shared" ca="1" si="12"/>
        <v>0</v>
      </c>
      <c r="ER31" s="232">
        <f t="shared" ca="1" si="12"/>
        <v>0</v>
      </c>
      <c r="ES31" s="232">
        <f t="shared" ca="1" si="12"/>
        <v>0</v>
      </c>
      <c r="ET31" s="232">
        <f t="shared" ca="1" si="12"/>
        <v>0</v>
      </c>
      <c r="EU31" s="232">
        <f t="shared" ca="1" si="12"/>
        <v>0</v>
      </c>
      <c r="EV31" s="232">
        <f t="shared" ca="1" si="12"/>
        <v>0</v>
      </c>
      <c r="EW31" s="232">
        <f t="shared" ca="1" si="12"/>
        <v>0</v>
      </c>
      <c r="EX31" s="232">
        <f t="shared" ca="1" si="12"/>
        <v>0</v>
      </c>
      <c r="EY31" s="232">
        <f t="shared" ca="1" si="12"/>
        <v>0</v>
      </c>
      <c r="EZ31" s="232">
        <f t="shared" ca="1" si="12"/>
        <v>0</v>
      </c>
      <c r="FA31" s="232">
        <f t="shared" ca="1" si="12"/>
        <v>0</v>
      </c>
      <c r="FB31" s="232">
        <f t="shared" ca="1" si="12"/>
        <v>0</v>
      </c>
      <c r="FC31" s="232">
        <f t="shared" ca="1" si="12"/>
        <v>0</v>
      </c>
      <c r="FD31" s="232">
        <f t="shared" ca="1" si="12"/>
        <v>0</v>
      </c>
      <c r="FE31" s="232">
        <f t="shared" ca="1" si="12"/>
        <v>0</v>
      </c>
      <c r="FF31" s="232">
        <f t="shared" ca="1" si="12"/>
        <v>0</v>
      </c>
      <c r="FG31" s="232">
        <f t="shared" ca="1" si="12"/>
        <v>0</v>
      </c>
      <c r="FH31" s="232">
        <f t="shared" ca="1" si="12"/>
        <v>0</v>
      </c>
      <c r="FI31" s="232">
        <f t="shared" ca="1" si="12"/>
        <v>0</v>
      </c>
      <c r="FJ31" s="232">
        <f t="shared" ca="1" si="12"/>
        <v>0</v>
      </c>
      <c r="FK31" s="232">
        <f t="shared" ca="1" si="12"/>
        <v>0</v>
      </c>
      <c r="FL31" s="232">
        <f t="shared" ca="1" si="12"/>
        <v>0</v>
      </c>
      <c r="FM31" s="232">
        <f t="shared" ca="1" si="12"/>
        <v>0</v>
      </c>
      <c r="FN31" s="232">
        <f t="shared" ref="FN31:GJ31" ca="1" si="13" xml:space="preserve"> FN27 + SUM(FN29:FN30)</f>
        <v>0</v>
      </c>
      <c r="FO31" s="232">
        <f t="shared" ca="1" si="13"/>
        <v>0</v>
      </c>
      <c r="FP31" s="232">
        <f t="shared" ca="1" si="13"/>
        <v>0</v>
      </c>
      <c r="FQ31" s="232">
        <f t="shared" ca="1" si="13"/>
        <v>0</v>
      </c>
      <c r="FR31" s="232">
        <f t="shared" ca="1" si="13"/>
        <v>0</v>
      </c>
      <c r="FS31" s="232">
        <f t="shared" ca="1" si="13"/>
        <v>0</v>
      </c>
      <c r="FT31" s="232">
        <f t="shared" ca="1" si="13"/>
        <v>0</v>
      </c>
      <c r="FU31" s="232">
        <f t="shared" ca="1" si="13"/>
        <v>0</v>
      </c>
      <c r="FV31" s="232">
        <f t="shared" ca="1" si="13"/>
        <v>0</v>
      </c>
      <c r="FW31" s="232">
        <f t="shared" ca="1" si="13"/>
        <v>0</v>
      </c>
      <c r="FX31" s="232">
        <f t="shared" ca="1" si="13"/>
        <v>0</v>
      </c>
      <c r="FY31" s="232">
        <f t="shared" ca="1" si="13"/>
        <v>0</v>
      </c>
      <c r="FZ31" s="232">
        <f t="shared" ca="1" si="13"/>
        <v>0</v>
      </c>
      <c r="GA31" s="232">
        <f t="shared" ca="1" si="13"/>
        <v>0</v>
      </c>
      <c r="GB31" s="232">
        <f t="shared" ca="1" si="13"/>
        <v>0</v>
      </c>
      <c r="GC31" s="232">
        <f t="shared" ca="1" si="13"/>
        <v>0</v>
      </c>
      <c r="GD31" s="232">
        <f t="shared" ca="1" si="13"/>
        <v>0</v>
      </c>
      <c r="GE31" s="232">
        <f t="shared" ca="1" si="13"/>
        <v>0</v>
      </c>
      <c r="GF31" s="232">
        <f t="shared" ca="1" si="13"/>
        <v>0</v>
      </c>
      <c r="GG31" s="232">
        <f t="shared" ca="1" si="13"/>
        <v>0</v>
      </c>
      <c r="GH31" s="232">
        <f t="shared" ca="1" si="13"/>
        <v>0</v>
      </c>
      <c r="GI31" s="232">
        <f t="shared" ca="1" si="13"/>
        <v>0</v>
      </c>
      <c r="GJ31" s="232">
        <f t="shared" ca="1" si="13"/>
        <v>0</v>
      </c>
    </row>
    <row r="32" spans="1:192" outlineLevel="1" x14ac:dyDescent="0.2">
      <c r="D32" s="209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35"/>
      <c r="AP32" s="235"/>
      <c r="AQ32" s="235"/>
      <c r="AR32" s="235"/>
      <c r="AS32" s="235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BJ32" s="235"/>
      <c r="BK32" s="235"/>
      <c r="BL32" s="235"/>
      <c r="BM32" s="235"/>
      <c r="BN32" s="235"/>
      <c r="BO32" s="235"/>
      <c r="BP32" s="235"/>
      <c r="BQ32" s="235"/>
      <c r="BR32" s="235"/>
      <c r="BS32" s="235"/>
      <c r="BT32" s="235"/>
      <c r="BU32" s="235"/>
      <c r="BV32" s="235"/>
      <c r="BW32" s="235"/>
      <c r="BX32" s="235"/>
      <c r="BY32" s="235"/>
      <c r="BZ32" s="235"/>
      <c r="CA32" s="235"/>
      <c r="CB32" s="235"/>
      <c r="CC32" s="235"/>
      <c r="CD32" s="235"/>
      <c r="CE32" s="235"/>
      <c r="CF32" s="235"/>
      <c r="CG32" s="235"/>
      <c r="CH32" s="235"/>
      <c r="CI32" s="235"/>
      <c r="CJ32" s="235"/>
      <c r="CK32" s="235"/>
      <c r="CL32" s="235"/>
      <c r="CM32" s="235"/>
      <c r="CN32" s="235"/>
      <c r="CO32" s="235"/>
      <c r="CP32" s="235"/>
      <c r="CQ32" s="235"/>
      <c r="CR32" s="235"/>
      <c r="CS32" s="235"/>
      <c r="CT32" s="235"/>
      <c r="CU32" s="235"/>
      <c r="CV32" s="235"/>
    </row>
    <row r="33" spans="1:192" s="192" customFormat="1" outlineLevel="1" x14ac:dyDescent="0.2">
      <c r="A33" s="205"/>
      <c r="B33" s="205"/>
      <c r="C33" s="206"/>
      <c r="D33" s="209"/>
      <c r="E33" s="235" t="str">
        <f xml:space="preserve"> Equity!E$149</f>
        <v>Dividends paid - P99</v>
      </c>
      <c r="F33" s="235">
        <f xml:space="preserve"> Equity!F$149</f>
        <v>0</v>
      </c>
      <c r="G33" s="235" t="str">
        <f xml:space="preserve"> Equity!G$149</f>
        <v>$ 000s</v>
      </c>
      <c r="H33" s="235">
        <f ca="1" xml:space="preserve"> Equity!H$149</f>
        <v>0</v>
      </c>
      <c r="I33" s="235">
        <f xml:space="preserve"> Equity!I$149</f>
        <v>0</v>
      </c>
      <c r="J33" s="235">
        <f ca="1" xml:space="preserve"> Equity!J$149</f>
        <v>0</v>
      </c>
      <c r="K33" s="235">
        <f ca="1" xml:space="preserve"> Equity!K$149</f>
        <v>0</v>
      </c>
      <c r="L33" s="235">
        <f ca="1" xml:space="preserve"> Equity!L$149</f>
        <v>0</v>
      </c>
      <c r="M33" s="235">
        <f ca="1" xml:space="preserve"> Equity!M$149</f>
        <v>0</v>
      </c>
      <c r="N33" s="235">
        <f ca="1" xml:space="preserve"> Equity!N$149</f>
        <v>0</v>
      </c>
      <c r="O33" s="235">
        <f ca="1" xml:space="preserve"> Equity!O$149</f>
        <v>0</v>
      </c>
      <c r="P33" s="235">
        <f ca="1" xml:space="preserve"> Equity!P$149</f>
        <v>0</v>
      </c>
      <c r="Q33" s="235">
        <f ca="1" xml:space="preserve"> Equity!Q$149</f>
        <v>0</v>
      </c>
      <c r="R33" s="235">
        <f ca="1" xml:space="preserve"> Equity!R$149</f>
        <v>0</v>
      </c>
      <c r="S33" s="235">
        <f ca="1" xml:space="preserve"> Equity!S$149</f>
        <v>0</v>
      </c>
      <c r="T33" s="235">
        <f ca="1" xml:space="preserve"> Equity!T$149</f>
        <v>0</v>
      </c>
      <c r="U33" s="235">
        <f ca="1" xml:space="preserve"> Equity!U$149</f>
        <v>0</v>
      </c>
      <c r="V33" s="235">
        <f ca="1" xml:space="preserve"> Equity!V$149</f>
        <v>0</v>
      </c>
      <c r="W33" s="235">
        <f ca="1" xml:space="preserve"> Equity!W$149</f>
        <v>0</v>
      </c>
      <c r="X33" s="235">
        <f ca="1" xml:space="preserve"> Equity!X$149</f>
        <v>0</v>
      </c>
      <c r="Y33" s="235">
        <f ca="1" xml:space="preserve"> Equity!Y$149</f>
        <v>0</v>
      </c>
      <c r="Z33" s="235">
        <f ca="1" xml:space="preserve"> Equity!Z$149</f>
        <v>0</v>
      </c>
      <c r="AA33" s="235">
        <f ca="1" xml:space="preserve"> Equity!AA$149</f>
        <v>0</v>
      </c>
      <c r="AB33" s="235">
        <f ca="1" xml:space="preserve"> Equity!AB$149</f>
        <v>0</v>
      </c>
      <c r="AC33" s="235">
        <f ca="1" xml:space="preserve"> Equity!AC$149</f>
        <v>0</v>
      </c>
      <c r="AD33" s="235">
        <f ca="1" xml:space="preserve"> Equity!AD$149</f>
        <v>0</v>
      </c>
      <c r="AE33" s="235">
        <f ca="1" xml:space="preserve"> Equity!AE$149</f>
        <v>0</v>
      </c>
      <c r="AF33" s="235">
        <f ca="1" xml:space="preserve"> Equity!AF$149</f>
        <v>0</v>
      </c>
      <c r="AG33" s="235">
        <f ca="1" xml:space="preserve"> Equity!AG$149</f>
        <v>0</v>
      </c>
      <c r="AH33" s="235">
        <f ca="1" xml:space="preserve"> Equity!AH$149</f>
        <v>0</v>
      </c>
      <c r="AI33" s="235">
        <f ca="1" xml:space="preserve"> Equity!AI$149</f>
        <v>0</v>
      </c>
      <c r="AJ33" s="235">
        <f ca="1" xml:space="preserve"> Equity!AJ$149</f>
        <v>0</v>
      </c>
      <c r="AK33" s="235">
        <f ca="1" xml:space="preserve"> Equity!AK$149</f>
        <v>0</v>
      </c>
      <c r="AL33" s="235">
        <f ca="1" xml:space="preserve"> Equity!AL$149</f>
        <v>0</v>
      </c>
      <c r="AM33" s="235">
        <f ca="1" xml:space="preserve"> Equity!AM$149</f>
        <v>0</v>
      </c>
      <c r="AN33" s="235">
        <f ca="1" xml:space="preserve"> Equity!AN$149</f>
        <v>0</v>
      </c>
      <c r="AO33" s="235">
        <f ca="1" xml:space="preserve"> Equity!AO$149</f>
        <v>0</v>
      </c>
      <c r="AP33" s="235">
        <f ca="1" xml:space="preserve"> Equity!AP$149</f>
        <v>0</v>
      </c>
      <c r="AQ33" s="235">
        <f ca="1" xml:space="preserve"> Equity!AQ$149</f>
        <v>0</v>
      </c>
      <c r="AR33" s="235">
        <f ca="1" xml:space="preserve"> Equity!AR$149</f>
        <v>0</v>
      </c>
      <c r="AS33" s="235">
        <f ca="1" xml:space="preserve"> Equity!AS$149</f>
        <v>0</v>
      </c>
      <c r="AT33" s="235">
        <f ca="1" xml:space="preserve"> Equity!AT$149</f>
        <v>0</v>
      </c>
      <c r="AU33" s="235">
        <f ca="1" xml:space="preserve"> Equity!AU$149</f>
        <v>0</v>
      </c>
      <c r="AV33" s="235">
        <f ca="1" xml:space="preserve"> Equity!AV$149</f>
        <v>0</v>
      </c>
      <c r="AW33" s="235">
        <f ca="1" xml:space="preserve"> Equity!AW$149</f>
        <v>0</v>
      </c>
      <c r="AX33" s="235">
        <f ca="1" xml:space="preserve"> Equity!AX$149</f>
        <v>0</v>
      </c>
      <c r="AY33" s="235">
        <f ca="1" xml:space="preserve"> Equity!AY$149</f>
        <v>0</v>
      </c>
      <c r="AZ33" s="235">
        <f ca="1" xml:space="preserve"> Equity!AZ$149</f>
        <v>0</v>
      </c>
      <c r="BA33" s="235">
        <f ca="1" xml:space="preserve"> Equity!BA$149</f>
        <v>0</v>
      </c>
      <c r="BB33" s="235">
        <f ca="1" xml:space="preserve"> Equity!BB$149</f>
        <v>0</v>
      </c>
      <c r="BC33" s="235">
        <f ca="1" xml:space="preserve"> Equity!BC$149</f>
        <v>0</v>
      </c>
      <c r="BD33" s="235">
        <f ca="1" xml:space="preserve"> Equity!BD$149</f>
        <v>0</v>
      </c>
      <c r="BE33" s="235">
        <f ca="1" xml:space="preserve"> Equity!BE$149</f>
        <v>0</v>
      </c>
      <c r="BF33" s="235">
        <f ca="1" xml:space="preserve"> Equity!BF$149</f>
        <v>0</v>
      </c>
      <c r="BG33" s="235">
        <f ca="1" xml:space="preserve"> Equity!BG$149</f>
        <v>0</v>
      </c>
      <c r="BH33" s="235">
        <f ca="1" xml:space="preserve"> Equity!BH$149</f>
        <v>0</v>
      </c>
      <c r="BI33" s="235">
        <f ca="1" xml:space="preserve"> Equity!BI$149</f>
        <v>0</v>
      </c>
      <c r="BJ33" s="235">
        <f ca="1" xml:space="preserve"> Equity!BJ$149</f>
        <v>0</v>
      </c>
      <c r="BK33" s="235">
        <f ca="1" xml:space="preserve"> Equity!BK$149</f>
        <v>0</v>
      </c>
      <c r="BL33" s="235">
        <f ca="1" xml:space="preserve"> Equity!BL$149</f>
        <v>0</v>
      </c>
      <c r="BM33" s="235">
        <f ca="1" xml:space="preserve"> Equity!BM$149</f>
        <v>0</v>
      </c>
      <c r="BN33" s="235">
        <f ca="1" xml:space="preserve"> Equity!BN$149</f>
        <v>0</v>
      </c>
      <c r="BO33" s="235">
        <f ca="1" xml:space="preserve"> Equity!BO$149</f>
        <v>0</v>
      </c>
      <c r="BP33" s="235">
        <f ca="1" xml:space="preserve"> Equity!BP$149</f>
        <v>0</v>
      </c>
      <c r="BQ33" s="235">
        <f ca="1" xml:space="preserve"> Equity!BQ$149</f>
        <v>0</v>
      </c>
      <c r="BR33" s="235">
        <f ca="1" xml:space="preserve"> Equity!BR$149</f>
        <v>0</v>
      </c>
      <c r="BS33" s="235">
        <f ca="1" xml:space="preserve"> Equity!BS$149</f>
        <v>0</v>
      </c>
      <c r="BT33" s="235">
        <f ca="1" xml:space="preserve"> Equity!BT$149</f>
        <v>0</v>
      </c>
      <c r="BU33" s="235">
        <f ca="1" xml:space="preserve"> Equity!BU$149</f>
        <v>0</v>
      </c>
      <c r="BV33" s="235">
        <f ca="1" xml:space="preserve"> Equity!BV$149</f>
        <v>0</v>
      </c>
      <c r="BW33" s="235">
        <f ca="1" xml:space="preserve"> Equity!BW$149</f>
        <v>0</v>
      </c>
      <c r="BX33" s="235">
        <f ca="1" xml:space="preserve"> Equity!BX$149</f>
        <v>0</v>
      </c>
      <c r="BY33" s="235">
        <f ca="1" xml:space="preserve"> Equity!BY$149</f>
        <v>0</v>
      </c>
      <c r="BZ33" s="235">
        <f ca="1" xml:space="preserve"> Equity!BZ$149</f>
        <v>0</v>
      </c>
      <c r="CA33" s="235">
        <f ca="1" xml:space="preserve"> Equity!CA$149</f>
        <v>0</v>
      </c>
      <c r="CB33" s="235">
        <f ca="1" xml:space="preserve"> Equity!CB$149</f>
        <v>0</v>
      </c>
      <c r="CC33" s="235">
        <f ca="1" xml:space="preserve"> Equity!CC$149</f>
        <v>0</v>
      </c>
      <c r="CD33" s="235">
        <f ca="1" xml:space="preserve"> Equity!CD$149</f>
        <v>0</v>
      </c>
      <c r="CE33" s="235">
        <f ca="1" xml:space="preserve"> Equity!CE$149</f>
        <v>0</v>
      </c>
      <c r="CF33" s="235">
        <f ca="1" xml:space="preserve"> Equity!CF$149</f>
        <v>0</v>
      </c>
      <c r="CG33" s="235">
        <f ca="1" xml:space="preserve"> Equity!CG$149</f>
        <v>0</v>
      </c>
      <c r="CH33" s="235">
        <f ca="1" xml:space="preserve"> Equity!CH$149</f>
        <v>0</v>
      </c>
      <c r="CI33" s="235">
        <f ca="1" xml:space="preserve"> Equity!CI$149</f>
        <v>0</v>
      </c>
      <c r="CJ33" s="235">
        <f ca="1" xml:space="preserve"> Equity!CJ$149</f>
        <v>0</v>
      </c>
      <c r="CK33" s="235">
        <f ca="1" xml:space="preserve"> Equity!CK$149</f>
        <v>0</v>
      </c>
      <c r="CL33" s="235">
        <f ca="1" xml:space="preserve"> Equity!CL$149</f>
        <v>0</v>
      </c>
      <c r="CM33" s="235">
        <f ca="1" xml:space="preserve"> Equity!CM$149</f>
        <v>0</v>
      </c>
      <c r="CN33" s="235">
        <f ca="1" xml:space="preserve"> Equity!CN$149</f>
        <v>0</v>
      </c>
      <c r="CO33" s="235">
        <f ca="1" xml:space="preserve"> Equity!CO$149</f>
        <v>0</v>
      </c>
      <c r="CP33" s="235">
        <f ca="1" xml:space="preserve"> Equity!CP$149</f>
        <v>0</v>
      </c>
      <c r="CQ33" s="235">
        <f ca="1" xml:space="preserve"> Equity!CQ$149</f>
        <v>0</v>
      </c>
      <c r="CR33" s="235">
        <f ca="1" xml:space="preserve"> Equity!CR$149</f>
        <v>0</v>
      </c>
      <c r="CS33" s="235">
        <f ca="1" xml:space="preserve"> Equity!CS$149</f>
        <v>0</v>
      </c>
      <c r="CT33" s="235">
        <f ca="1" xml:space="preserve"> Equity!CT$149</f>
        <v>0</v>
      </c>
      <c r="CU33" s="235">
        <f ca="1" xml:space="preserve"> Equity!CU$149</f>
        <v>0</v>
      </c>
      <c r="CV33" s="235">
        <f ca="1" xml:space="preserve"> Equity!CV$149</f>
        <v>0</v>
      </c>
    </row>
    <row r="34" spans="1:192" outlineLevel="1" x14ac:dyDescent="0.2">
      <c r="D34" s="209"/>
      <c r="E34" s="232" t="s">
        <v>1151</v>
      </c>
      <c r="F34" s="232"/>
      <c r="G34" s="232" t="str">
        <f>SMU</f>
        <v>$ 000s</v>
      </c>
      <c r="H34" s="232">
        <f ca="1" xml:space="preserve"> SUM(J34:CV34)</f>
        <v>-698470.02400454751</v>
      </c>
      <c r="I34" s="232"/>
      <c r="J34" s="232">
        <f ca="1" xml:space="preserve"> J31 + J33</f>
        <v>0</v>
      </c>
      <c r="K34" s="232">
        <f t="shared" ref="K34:BV34" ca="1" si="14" xml:space="preserve"> K31 + K33</f>
        <v>0</v>
      </c>
      <c r="L34" s="232">
        <f t="shared" ca="1" si="14"/>
        <v>0</v>
      </c>
      <c r="M34" s="232">
        <f t="shared" ca="1" si="14"/>
        <v>0</v>
      </c>
      <c r="N34" s="232">
        <f t="shared" ca="1" si="14"/>
        <v>0</v>
      </c>
      <c r="O34" s="232">
        <f t="shared" ca="1" si="14"/>
        <v>-11718.704761512705</v>
      </c>
      <c r="P34" s="232">
        <f t="shared" ca="1" si="14"/>
        <v>-11059.161396171088</v>
      </c>
      <c r="Q34" s="232">
        <f t="shared" ca="1" si="14"/>
        <v>-10827.63220291072</v>
      </c>
      <c r="R34" s="232">
        <f t="shared" ca="1" si="14"/>
        <v>-10383.132071349282</v>
      </c>
      <c r="S34" s="232">
        <f t="shared" ca="1" si="14"/>
        <v>-10289.765647051134</v>
      </c>
      <c r="T34" s="232">
        <f t="shared" ca="1" si="14"/>
        <v>-9981.7543197283558</v>
      </c>
      <c r="U34" s="232">
        <f t="shared" ca="1" si="14"/>
        <v>-10010.398954232942</v>
      </c>
      <c r="V34" s="232">
        <f t="shared" ca="1" si="14"/>
        <v>-9850.0209883218358</v>
      </c>
      <c r="W34" s="232">
        <f t="shared" ca="1" si="14"/>
        <v>-9962.7624387207034</v>
      </c>
      <c r="X34" s="232">
        <f t="shared" ca="1" si="14"/>
        <v>-9890.6765272444882</v>
      </c>
      <c r="Y34" s="232">
        <f t="shared" ca="1" si="14"/>
        <v>-10321.882716167993</v>
      </c>
      <c r="Z34" s="232">
        <f t="shared" ca="1" si="14"/>
        <v>-10349.948896783746</v>
      </c>
      <c r="AA34" s="232">
        <f t="shared" ca="1" si="14"/>
        <v>-10685.5867724749</v>
      </c>
      <c r="AB34" s="232">
        <f t="shared" ca="1" si="14"/>
        <v>-10816.34072317471</v>
      </c>
      <c r="AC34" s="232">
        <f t="shared" ca="1" si="14"/>
        <v>-11245.908169672737</v>
      </c>
      <c r="AD34" s="232">
        <f t="shared" ca="1" si="14"/>
        <v>-11498.235219895862</v>
      </c>
      <c r="AE34" s="232">
        <f t="shared" ca="1" si="14"/>
        <v>-12001.880617555913</v>
      </c>
      <c r="AF34" s="232">
        <f t="shared" ca="1" si="14"/>
        <v>-12339.538364419468</v>
      </c>
      <c r="AG34" s="232">
        <f t="shared" ca="1" si="14"/>
        <v>-12959.108396289894</v>
      </c>
      <c r="AH34" s="232">
        <f t="shared" ca="1" si="14"/>
        <v>-13404.073134334971</v>
      </c>
      <c r="AI34" s="232">
        <f t="shared" ca="1" si="14"/>
        <v>-14270.81072993343</v>
      </c>
      <c r="AJ34" s="232">
        <f t="shared" ca="1" si="14"/>
        <v>-14821.508667442464</v>
      </c>
      <c r="AK34" s="232">
        <f t="shared" ca="1" si="14"/>
        <v>-15646.845080508658</v>
      </c>
      <c r="AL34" s="232">
        <f t="shared" ca="1" si="14"/>
        <v>-16332.344675027472</v>
      </c>
      <c r="AM34" s="232">
        <f t="shared" ca="1" si="14"/>
        <v>-17261.472071769062</v>
      </c>
      <c r="AN34" s="232">
        <f t="shared" ca="1" si="14"/>
        <v>-18068.324017764884</v>
      </c>
      <c r="AO34" s="232">
        <f t="shared" ca="1" si="14"/>
        <v>-19137.757230355088</v>
      </c>
      <c r="AP34" s="232">
        <f t="shared" ca="1" si="14"/>
        <v>-20089.511520646316</v>
      </c>
      <c r="AQ34" s="232">
        <f t="shared" ca="1" si="14"/>
        <v>-21300.175768132372</v>
      </c>
      <c r="AR34" s="232">
        <f t="shared" ca="1" si="14"/>
        <v>-22412.641569571191</v>
      </c>
      <c r="AS34" s="232">
        <f t="shared" ca="1" si="14"/>
        <v>-23780.687453757491</v>
      </c>
      <c r="AT34" s="232">
        <f t="shared" ca="1" si="14"/>
        <v>-25090.583617343691</v>
      </c>
      <c r="AU34" s="232">
        <f t="shared" ca="1" si="14"/>
        <v>-26647.236356001478</v>
      </c>
      <c r="AV34" s="232">
        <f t="shared" ca="1" si="14"/>
        <v>-27862.25613876585</v>
      </c>
      <c r="AW34" s="232">
        <f t="shared" ca="1" si="14"/>
        <v>-28742.04855752649</v>
      </c>
      <c r="AX34" s="232">
        <f t="shared" ca="1" si="14"/>
        <v>-30079.119209711989</v>
      </c>
      <c r="AY34" s="232">
        <f t="shared" ca="1" si="14"/>
        <v>-31648.369501256802</v>
      </c>
      <c r="AZ34" s="232">
        <f t="shared" ca="1" si="14"/>
        <v>-33165.228704933863</v>
      </c>
      <c r="BA34" s="232">
        <f t="shared" ca="1" si="14"/>
        <v>-34926.737806224024</v>
      </c>
      <c r="BB34" s="232">
        <f t="shared" ca="1" si="14"/>
        <v>-37589.853009861275</v>
      </c>
      <c r="BC34" s="232">
        <f t="shared" ca="1" si="14"/>
        <v>0</v>
      </c>
      <c r="BD34" s="232">
        <f t="shared" ca="1" si="14"/>
        <v>0</v>
      </c>
      <c r="BE34" s="232">
        <f t="shared" ca="1" si="14"/>
        <v>0</v>
      </c>
      <c r="BF34" s="232">
        <f t="shared" ca="1" si="14"/>
        <v>0</v>
      </c>
      <c r="BG34" s="232">
        <f t="shared" ca="1" si="14"/>
        <v>0</v>
      </c>
      <c r="BH34" s="232">
        <f t="shared" ca="1" si="14"/>
        <v>0</v>
      </c>
      <c r="BI34" s="232">
        <f t="shared" ca="1" si="14"/>
        <v>0</v>
      </c>
      <c r="BJ34" s="232">
        <f t="shared" ca="1" si="14"/>
        <v>0</v>
      </c>
      <c r="BK34" s="232">
        <f t="shared" ca="1" si="14"/>
        <v>0</v>
      </c>
      <c r="BL34" s="232">
        <f t="shared" ca="1" si="14"/>
        <v>0</v>
      </c>
      <c r="BM34" s="232">
        <f t="shared" ca="1" si="14"/>
        <v>0</v>
      </c>
      <c r="BN34" s="232">
        <f t="shared" ca="1" si="14"/>
        <v>0</v>
      </c>
      <c r="BO34" s="232">
        <f t="shared" ca="1" si="14"/>
        <v>0</v>
      </c>
      <c r="BP34" s="232">
        <f t="shared" ca="1" si="14"/>
        <v>0</v>
      </c>
      <c r="BQ34" s="232">
        <f t="shared" ca="1" si="14"/>
        <v>0</v>
      </c>
      <c r="BR34" s="232">
        <f t="shared" ca="1" si="14"/>
        <v>0</v>
      </c>
      <c r="BS34" s="232">
        <f t="shared" ca="1" si="14"/>
        <v>0</v>
      </c>
      <c r="BT34" s="232">
        <f t="shared" ca="1" si="14"/>
        <v>0</v>
      </c>
      <c r="BU34" s="232">
        <f t="shared" ca="1" si="14"/>
        <v>0</v>
      </c>
      <c r="BV34" s="232">
        <f t="shared" ca="1" si="14"/>
        <v>0</v>
      </c>
      <c r="BW34" s="232">
        <f t="shared" ref="BW34:CV34" ca="1" si="15" xml:space="preserve"> BW31 + BW33</f>
        <v>0</v>
      </c>
      <c r="BX34" s="232">
        <f t="shared" ca="1" si="15"/>
        <v>0</v>
      </c>
      <c r="BY34" s="232">
        <f t="shared" ca="1" si="15"/>
        <v>0</v>
      </c>
      <c r="BZ34" s="232">
        <f t="shared" ca="1" si="15"/>
        <v>0</v>
      </c>
      <c r="CA34" s="232">
        <f t="shared" ca="1" si="15"/>
        <v>0</v>
      </c>
      <c r="CB34" s="232">
        <f t="shared" ca="1" si="15"/>
        <v>0</v>
      </c>
      <c r="CC34" s="232">
        <f t="shared" ca="1" si="15"/>
        <v>0</v>
      </c>
      <c r="CD34" s="232">
        <f t="shared" ca="1" si="15"/>
        <v>0</v>
      </c>
      <c r="CE34" s="232">
        <f t="shared" ca="1" si="15"/>
        <v>0</v>
      </c>
      <c r="CF34" s="232">
        <f t="shared" ca="1" si="15"/>
        <v>0</v>
      </c>
      <c r="CG34" s="232">
        <f t="shared" ca="1" si="15"/>
        <v>0</v>
      </c>
      <c r="CH34" s="232">
        <f t="shared" ca="1" si="15"/>
        <v>0</v>
      </c>
      <c r="CI34" s="232">
        <f t="shared" ca="1" si="15"/>
        <v>0</v>
      </c>
      <c r="CJ34" s="232">
        <f t="shared" ca="1" si="15"/>
        <v>0</v>
      </c>
      <c r="CK34" s="232">
        <f t="shared" ca="1" si="15"/>
        <v>0</v>
      </c>
      <c r="CL34" s="232">
        <f t="shared" ca="1" si="15"/>
        <v>0</v>
      </c>
      <c r="CM34" s="232">
        <f t="shared" ca="1" si="15"/>
        <v>0</v>
      </c>
      <c r="CN34" s="232">
        <f t="shared" ca="1" si="15"/>
        <v>0</v>
      </c>
      <c r="CO34" s="232">
        <f t="shared" ca="1" si="15"/>
        <v>0</v>
      </c>
      <c r="CP34" s="232">
        <f t="shared" ca="1" si="15"/>
        <v>0</v>
      </c>
      <c r="CQ34" s="232">
        <f t="shared" ca="1" si="15"/>
        <v>0</v>
      </c>
      <c r="CR34" s="232">
        <f t="shared" ca="1" si="15"/>
        <v>0</v>
      </c>
      <c r="CS34" s="232">
        <f t="shared" ca="1" si="15"/>
        <v>0</v>
      </c>
      <c r="CT34" s="232">
        <f t="shared" ca="1" si="15"/>
        <v>0</v>
      </c>
      <c r="CU34" s="232">
        <f t="shared" ca="1" si="15"/>
        <v>0</v>
      </c>
      <c r="CV34" s="232">
        <f t="shared" ca="1" si="15"/>
        <v>0</v>
      </c>
    </row>
    <row r="35" spans="1:192" outlineLevel="1" x14ac:dyDescent="0.2">
      <c r="D35" s="209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92" x14ac:dyDescent="0.2">
      <c r="D36" s="209"/>
      <c r="E36" s="235"/>
      <c r="F36" s="235"/>
      <c r="G36" s="235"/>
      <c r="H36" s="235"/>
      <c r="I36" s="235"/>
      <c r="J36" s="235"/>
      <c r="K36" s="31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92" x14ac:dyDescent="0.2">
      <c r="A37" s="205" t="s">
        <v>54</v>
      </c>
      <c r="D37" s="209"/>
      <c r="E37" s="235"/>
      <c r="F37" s="235"/>
      <c r="G37" s="235"/>
      <c r="H37" s="235"/>
      <c r="I37" s="235"/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  <c r="AG37" s="235"/>
      <c r="AH37" s="235"/>
      <c r="AI37" s="235"/>
      <c r="AJ37" s="235"/>
      <c r="AK37" s="235"/>
      <c r="AL37" s="235"/>
      <c r="AM37" s="235"/>
      <c r="AN37" s="235"/>
      <c r="AO37" s="235"/>
      <c r="AP37" s="235"/>
      <c r="AQ37" s="235"/>
      <c r="AR37" s="235"/>
      <c r="AS37" s="235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  <c r="BG37" s="235"/>
      <c r="BH37" s="235"/>
      <c r="BI37" s="235"/>
      <c r="BJ37" s="235"/>
      <c r="BK37" s="235"/>
      <c r="BL37" s="235"/>
      <c r="BM37" s="235"/>
      <c r="BN37" s="235"/>
      <c r="BO37" s="235"/>
      <c r="BP37" s="235"/>
      <c r="BQ37" s="235"/>
      <c r="BR37" s="235"/>
      <c r="BS37" s="235"/>
      <c r="BT37" s="235"/>
      <c r="BU37" s="235"/>
      <c r="BV37" s="235"/>
      <c r="BW37" s="235"/>
      <c r="BX37" s="235"/>
      <c r="BY37" s="235"/>
      <c r="BZ37" s="235"/>
      <c r="CA37" s="235"/>
      <c r="CB37" s="235"/>
      <c r="CC37" s="235"/>
      <c r="CD37" s="235"/>
      <c r="CE37" s="235"/>
      <c r="CF37" s="235"/>
      <c r="CG37" s="235"/>
      <c r="CH37" s="235"/>
      <c r="CI37" s="235"/>
      <c r="CJ37" s="235"/>
      <c r="CK37" s="235"/>
      <c r="CL37" s="235"/>
      <c r="CM37" s="235"/>
      <c r="CN37" s="235"/>
      <c r="CO37" s="235"/>
      <c r="CP37" s="235"/>
      <c r="CQ37" s="235"/>
      <c r="CR37" s="235"/>
      <c r="CS37" s="235"/>
      <c r="CT37" s="235"/>
      <c r="CU37" s="235"/>
      <c r="CV37" s="235"/>
    </row>
    <row r="38" spans="1:192" outlineLevel="1" x14ac:dyDescent="0.2">
      <c r="D38" s="209"/>
      <c r="E38" s="235"/>
      <c r="F38" s="235"/>
      <c r="G38" s="235"/>
      <c r="H38" s="235"/>
      <c r="I38" s="235"/>
      <c r="J38" s="235"/>
      <c r="K38" s="235"/>
      <c r="L38" s="315"/>
      <c r="M38" s="235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5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5"/>
      <c r="BX38" s="235"/>
      <c r="BY38" s="235"/>
      <c r="BZ38" s="235"/>
      <c r="CA38" s="235"/>
      <c r="CB38" s="235"/>
      <c r="CC38" s="235"/>
      <c r="CD38" s="235"/>
      <c r="CE38" s="235"/>
      <c r="CF38" s="235"/>
      <c r="CG38" s="235"/>
      <c r="CH38" s="235"/>
      <c r="CI38" s="235"/>
      <c r="CJ38" s="235"/>
      <c r="CK38" s="235"/>
      <c r="CL38" s="235"/>
      <c r="CM38" s="235"/>
      <c r="CN38" s="235"/>
      <c r="CO38" s="235"/>
      <c r="CP38" s="235"/>
      <c r="CQ38" s="235"/>
      <c r="CR38" s="235"/>
      <c r="CS38" s="235"/>
      <c r="CT38" s="235"/>
      <c r="CU38" s="235"/>
      <c r="CV38" s="235"/>
    </row>
    <row r="39" spans="1:192" outlineLevel="1" x14ac:dyDescent="0.2">
      <c r="D39" s="209"/>
      <c r="E39" s="235" t="str">
        <f xml:space="preserve"> Ops!E$194</f>
        <v>Cash received from invoices - P99</v>
      </c>
      <c r="F39" s="235">
        <f xml:space="preserve"> Ops!F$194</f>
        <v>0</v>
      </c>
      <c r="G39" s="235" t="str">
        <f xml:space="preserve"> Ops!G$194</f>
        <v>$ 000s</v>
      </c>
      <c r="H39" s="235">
        <f xml:space="preserve"> Ops!H$194</f>
        <v>644768.81716164469</v>
      </c>
      <c r="I39" s="235">
        <f xml:space="preserve"> Ops!I$194</f>
        <v>0</v>
      </c>
      <c r="J39" s="235">
        <f xml:space="preserve"> Ops!J$194</f>
        <v>0</v>
      </c>
      <c r="K39" s="235">
        <f xml:space="preserve"> Ops!K$194</f>
        <v>0</v>
      </c>
      <c r="L39" s="235">
        <f xml:space="preserve"> Ops!L$194</f>
        <v>0</v>
      </c>
      <c r="M39" s="235">
        <f xml:space="preserve"> Ops!M$194</f>
        <v>0</v>
      </c>
      <c r="N39" s="235">
        <f xml:space="preserve"> Ops!N$194</f>
        <v>0</v>
      </c>
      <c r="O39" s="235">
        <f xml:space="preserve"> Ops!O$194</f>
        <v>12358.989822331205</v>
      </c>
      <c r="P39" s="235">
        <f xml:space="preserve"> Ops!P$194</f>
        <v>16293.784864935164</v>
      </c>
      <c r="Q39" s="235">
        <f xml:space="preserve"> Ops!Q$194</f>
        <v>16406.480305625562</v>
      </c>
      <c r="R39" s="235">
        <f xml:space="preserve"> Ops!R$194</f>
        <v>16267.498969578723</v>
      </c>
      <c r="S39" s="235">
        <f xml:space="preserve"> Ops!S$194</f>
        <v>16380.10521605006</v>
      </c>
      <c r="T39" s="235">
        <f xml:space="preserve"> Ops!T$194</f>
        <v>16241.377576336608</v>
      </c>
      <c r="U39" s="235">
        <f xml:space="preserve"> Ops!U$194</f>
        <v>16353.897245186161</v>
      </c>
      <c r="V39" s="235">
        <f xml:space="preserve"> Ops!V$194</f>
        <v>16237.663396395928</v>
      </c>
      <c r="W39" s="235">
        <f xml:space="preserve"> Ops!W$194</f>
        <v>16305.61708895431</v>
      </c>
      <c r="X39" s="235">
        <f xml:space="preserve"> Ops!X$194</f>
        <v>16189.635066035691</v>
      </c>
      <c r="Y39" s="235">
        <f xml:space="preserve"> Ops!Y$194</f>
        <v>16301.989584478726</v>
      </c>
      <c r="Z39" s="235">
        <f xml:space="preserve"> Ops!Z$194</f>
        <v>16164.017416463272</v>
      </c>
      <c r="AA39" s="235">
        <f xml:space="preserve"> Ops!AA$194</f>
        <v>16276.293441431684</v>
      </c>
      <c r="AB39" s="235">
        <f xml:space="preserve"> Ops!AB$194</f>
        <v>16138.571205156466</v>
      </c>
      <c r="AC39" s="235">
        <f xml:space="preserve"> Ops!AC$194</f>
        <v>16250.771511893454</v>
      </c>
      <c r="AD39" s="235">
        <f xml:space="preserve"> Ops!AD$194</f>
        <v>16135.399204871665</v>
      </c>
      <c r="AE39" s="235">
        <f xml:space="preserve"> Ops!AE$194</f>
        <v>16203.324702567816</v>
      </c>
      <c r="AF39" s="235">
        <f xml:space="preserve"> Ops!AF$194</f>
        <v>16088.20040845123</v>
      </c>
      <c r="AG39" s="235">
        <f xml:space="preserve"> Ops!AG$194</f>
        <v>16200.257771220247</v>
      </c>
      <c r="AH39" s="235">
        <f xml:space="preserve"> Ops!AH$194</f>
        <v>16063.279567217622</v>
      </c>
      <c r="AI39" s="235">
        <f xml:space="preserve"> Ops!AI$194</f>
        <v>16175.269789551869</v>
      </c>
      <c r="AJ39" s="235">
        <f xml:space="preserve"> Ops!AJ$194</f>
        <v>16038.537653844911</v>
      </c>
      <c r="AK39" s="235">
        <f xml:space="preserve"> Ops!AK$194</f>
        <v>16150.463681618712</v>
      </c>
      <c r="AL39" s="235">
        <f xml:space="preserve"> Ops!AL$194</f>
        <v>16035.941356420153</v>
      </c>
      <c r="AM39" s="235">
        <f xml:space="preserve"> Ops!AM$194</f>
        <v>16103.876731084378</v>
      </c>
      <c r="AN39" s="235">
        <f xml:space="preserve"> Ops!AN$194</f>
        <v>15989.598502688459</v>
      </c>
      <c r="AO39" s="235">
        <f xml:space="preserve"> Ops!AO$194</f>
        <v>16101.405158312662</v>
      </c>
      <c r="AP39" s="235">
        <f xml:space="preserve"> Ops!AP$194</f>
        <v>15965.405306006292</v>
      </c>
      <c r="AQ39" s="235">
        <f xml:space="preserve"> Ops!AQ$194</f>
        <v>16077.15687577596</v>
      </c>
      <c r="AR39" s="235">
        <f xml:space="preserve"> Ops!AR$194</f>
        <v>15941.399120747275</v>
      </c>
      <c r="AS39" s="235">
        <f xml:space="preserve"> Ops!AS$194</f>
        <v>16053.09873403557</v>
      </c>
      <c r="AT39" s="235">
        <f xml:space="preserve"> Ops!AT$194</f>
        <v>15939.414575656778</v>
      </c>
      <c r="AU39" s="235">
        <f xml:space="preserve"> Ops!AU$194</f>
        <v>16007.4003897983</v>
      </c>
      <c r="AV39" s="235">
        <f xml:space="preserve"> Ops!AV$194</f>
        <v>15893.956299950896</v>
      </c>
      <c r="AW39" s="235">
        <f xml:space="preserve"> Ops!AW$194</f>
        <v>16005.561581253967</v>
      </c>
      <c r="AX39" s="235">
        <f xml:space="preserve"> Ops!AX$194</f>
        <v>15870.524024206821</v>
      </c>
      <c r="AY39" s="235">
        <f xml:space="preserve"> Ops!AY$194</f>
        <v>15982.087028647262</v>
      </c>
      <c r="AZ39" s="235">
        <f xml:space="preserve"> Ops!AZ$194</f>
        <v>15847.287480932011</v>
      </c>
      <c r="BA39" s="235">
        <f xml:space="preserve"> Ops!BA$194</f>
        <v>15958.811535197226</v>
      </c>
      <c r="BB39" s="235">
        <f xml:space="preserve"> Ops!BB$194</f>
        <v>19774.466970733549</v>
      </c>
      <c r="BC39" s="235">
        <f xml:space="preserve"> Ops!BC$194</f>
        <v>0</v>
      </c>
      <c r="BD39" s="235">
        <f xml:space="preserve"> Ops!BD$194</f>
        <v>0</v>
      </c>
      <c r="BE39" s="235">
        <f xml:space="preserve"> Ops!BE$194</f>
        <v>0</v>
      </c>
      <c r="BF39" s="235">
        <f xml:space="preserve"> Ops!BF$194</f>
        <v>0</v>
      </c>
      <c r="BG39" s="235">
        <f xml:space="preserve"> Ops!BG$194</f>
        <v>0</v>
      </c>
      <c r="BH39" s="235">
        <f xml:space="preserve"> Ops!BH$194</f>
        <v>0</v>
      </c>
      <c r="BI39" s="235">
        <f xml:space="preserve"> Ops!BI$194</f>
        <v>0</v>
      </c>
      <c r="BJ39" s="235">
        <f xml:space="preserve"> Ops!BJ$194</f>
        <v>0</v>
      </c>
      <c r="BK39" s="235">
        <f xml:space="preserve"> Ops!BK$194</f>
        <v>0</v>
      </c>
      <c r="BL39" s="235">
        <f xml:space="preserve"> Ops!BL$194</f>
        <v>0</v>
      </c>
      <c r="BM39" s="235">
        <f xml:space="preserve"> Ops!BM$194</f>
        <v>0</v>
      </c>
      <c r="BN39" s="235">
        <f xml:space="preserve"> Ops!BN$194</f>
        <v>0</v>
      </c>
      <c r="BO39" s="235">
        <f xml:space="preserve"> Ops!BO$194</f>
        <v>0</v>
      </c>
      <c r="BP39" s="235">
        <f xml:space="preserve"> Ops!BP$194</f>
        <v>0</v>
      </c>
      <c r="BQ39" s="235">
        <f xml:space="preserve"> Ops!BQ$194</f>
        <v>0</v>
      </c>
      <c r="BR39" s="235">
        <f xml:space="preserve"> Ops!BR$194</f>
        <v>0</v>
      </c>
      <c r="BS39" s="235">
        <f xml:space="preserve"> Ops!BS$194</f>
        <v>0</v>
      </c>
      <c r="BT39" s="235">
        <f xml:space="preserve"> Ops!BT$194</f>
        <v>0</v>
      </c>
      <c r="BU39" s="235">
        <f xml:space="preserve"> Ops!BU$194</f>
        <v>0</v>
      </c>
      <c r="BV39" s="235">
        <f xml:space="preserve"> Ops!BV$194</f>
        <v>0</v>
      </c>
      <c r="BW39" s="235">
        <f xml:space="preserve"> Ops!BW$194</f>
        <v>0</v>
      </c>
      <c r="BX39" s="235">
        <f xml:space="preserve"> Ops!BX$194</f>
        <v>0</v>
      </c>
      <c r="BY39" s="235">
        <f xml:space="preserve"> Ops!BY$194</f>
        <v>0</v>
      </c>
      <c r="BZ39" s="235">
        <f xml:space="preserve"> Ops!BZ$194</f>
        <v>0</v>
      </c>
      <c r="CA39" s="235">
        <f xml:space="preserve"> Ops!CA$194</f>
        <v>0</v>
      </c>
      <c r="CB39" s="235">
        <f xml:space="preserve"> Ops!CB$194</f>
        <v>0</v>
      </c>
      <c r="CC39" s="235">
        <f xml:space="preserve"> Ops!CC$194</f>
        <v>0</v>
      </c>
      <c r="CD39" s="235">
        <f xml:space="preserve"> Ops!CD$194</f>
        <v>0</v>
      </c>
      <c r="CE39" s="235">
        <f xml:space="preserve"> Ops!CE$194</f>
        <v>0</v>
      </c>
      <c r="CF39" s="235">
        <f xml:space="preserve"> Ops!CF$194</f>
        <v>0</v>
      </c>
      <c r="CG39" s="235">
        <f xml:space="preserve"> Ops!CG$194</f>
        <v>0</v>
      </c>
      <c r="CH39" s="235">
        <f xml:space="preserve"> Ops!CH$194</f>
        <v>0</v>
      </c>
      <c r="CI39" s="235">
        <f xml:space="preserve"> Ops!CI$194</f>
        <v>0</v>
      </c>
      <c r="CJ39" s="235">
        <f xml:space="preserve"> Ops!CJ$194</f>
        <v>0</v>
      </c>
      <c r="CK39" s="235">
        <f xml:space="preserve"> Ops!CK$194</f>
        <v>0</v>
      </c>
      <c r="CL39" s="235">
        <f xml:space="preserve"> Ops!CL$194</f>
        <v>0</v>
      </c>
      <c r="CM39" s="235">
        <f xml:space="preserve"> Ops!CM$194</f>
        <v>0</v>
      </c>
      <c r="CN39" s="235">
        <f xml:space="preserve"> Ops!CN$194</f>
        <v>0</v>
      </c>
      <c r="CO39" s="235">
        <f xml:space="preserve"> Ops!CO$194</f>
        <v>0</v>
      </c>
      <c r="CP39" s="235">
        <f xml:space="preserve"> Ops!CP$194</f>
        <v>0</v>
      </c>
      <c r="CQ39" s="235">
        <f xml:space="preserve"> Ops!CQ$194</f>
        <v>0</v>
      </c>
      <c r="CR39" s="235">
        <f xml:space="preserve"> Ops!CR$194</f>
        <v>0</v>
      </c>
      <c r="CS39" s="235">
        <f xml:space="preserve"> Ops!CS$194</f>
        <v>0</v>
      </c>
      <c r="CT39" s="235">
        <f xml:space="preserve"> Ops!CT$194</f>
        <v>0</v>
      </c>
      <c r="CU39" s="235">
        <f xml:space="preserve"> Ops!CU$194</f>
        <v>0</v>
      </c>
      <c r="CV39" s="235">
        <f xml:space="preserve"> Ops!CV$194</f>
        <v>0</v>
      </c>
    </row>
    <row r="40" spans="1:192" s="191" customFormat="1" outlineLevel="1" x14ac:dyDescent="0.2">
      <c r="A40" s="205"/>
      <c r="B40" s="205"/>
      <c r="C40" s="206"/>
      <c r="D40" s="209"/>
      <c r="E40" s="281" t="str">
        <f xml:space="preserve"> ConCost!E$259</f>
        <v>Early generation revenue received</v>
      </c>
      <c r="F40" s="281">
        <f xml:space="preserve"> ConCost!F$259</f>
        <v>0</v>
      </c>
      <c r="G40" s="281" t="str">
        <f xml:space="preserve"> ConCost!G$259</f>
        <v>$ 000s</v>
      </c>
      <c r="H40" s="281">
        <f xml:space="preserve"> ConCost!H$259</f>
        <v>13930</v>
      </c>
      <c r="I40" s="281">
        <f xml:space="preserve"> ConCost!I$259</f>
        <v>0</v>
      </c>
      <c r="J40" s="281">
        <f xml:space="preserve"> ConCost!J$259</f>
        <v>0</v>
      </c>
      <c r="K40" s="281">
        <f xml:space="preserve"> ConCost!K$259</f>
        <v>0</v>
      </c>
      <c r="L40" s="281">
        <f xml:space="preserve"> ConCost!L$259</f>
        <v>0</v>
      </c>
      <c r="M40" s="281">
        <f xml:space="preserve"> ConCost!M$259</f>
        <v>0</v>
      </c>
      <c r="N40" s="281">
        <f xml:space="preserve"> ConCost!N$259</f>
        <v>11940</v>
      </c>
      <c r="O40" s="281">
        <f xml:space="preserve"> ConCost!O$259</f>
        <v>1990</v>
      </c>
      <c r="P40" s="281">
        <f xml:space="preserve"> ConCost!P$259</f>
        <v>0</v>
      </c>
      <c r="Q40" s="281">
        <f xml:space="preserve"> ConCost!Q$259</f>
        <v>0</v>
      </c>
      <c r="R40" s="281">
        <f xml:space="preserve"> ConCost!R$259</f>
        <v>0</v>
      </c>
      <c r="S40" s="281">
        <f xml:space="preserve"> ConCost!S$259</f>
        <v>0</v>
      </c>
      <c r="T40" s="281">
        <f xml:space="preserve"> ConCost!T$259</f>
        <v>0</v>
      </c>
      <c r="U40" s="281">
        <f xml:space="preserve"> ConCost!U$259</f>
        <v>0</v>
      </c>
      <c r="V40" s="281">
        <f xml:space="preserve"> ConCost!V$259</f>
        <v>0</v>
      </c>
      <c r="W40" s="281">
        <f xml:space="preserve"> ConCost!W$259</f>
        <v>0</v>
      </c>
      <c r="X40" s="281">
        <f xml:space="preserve"> ConCost!X$259</f>
        <v>0</v>
      </c>
      <c r="Y40" s="281">
        <f xml:space="preserve"> ConCost!Y$259</f>
        <v>0</v>
      </c>
      <c r="Z40" s="281">
        <f xml:space="preserve"> ConCost!Z$259</f>
        <v>0</v>
      </c>
      <c r="AA40" s="281">
        <f xml:space="preserve"> ConCost!AA$259</f>
        <v>0</v>
      </c>
      <c r="AB40" s="281">
        <f xml:space="preserve"> ConCost!AB$259</f>
        <v>0</v>
      </c>
      <c r="AC40" s="281">
        <f xml:space="preserve"> ConCost!AC$259</f>
        <v>0</v>
      </c>
      <c r="AD40" s="281">
        <f xml:space="preserve"> ConCost!AD$259</f>
        <v>0</v>
      </c>
      <c r="AE40" s="281">
        <f xml:space="preserve"> ConCost!AE$259</f>
        <v>0</v>
      </c>
      <c r="AF40" s="281">
        <f xml:space="preserve"> ConCost!AF$259</f>
        <v>0</v>
      </c>
      <c r="AG40" s="281">
        <f xml:space="preserve"> ConCost!AG$259</f>
        <v>0</v>
      </c>
      <c r="AH40" s="281">
        <f xml:space="preserve"> ConCost!AH$259</f>
        <v>0</v>
      </c>
      <c r="AI40" s="281">
        <f xml:space="preserve"> ConCost!AI$259</f>
        <v>0</v>
      </c>
      <c r="AJ40" s="281">
        <f xml:space="preserve"> ConCost!AJ$259</f>
        <v>0</v>
      </c>
      <c r="AK40" s="281">
        <f xml:space="preserve"> ConCost!AK$259</f>
        <v>0</v>
      </c>
      <c r="AL40" s="281">
        <f xml:space="preserve"> ConCost!AL$259</f>
        <v>0</v>
      </c>
      <c r="AM40" s="281">
        <f xml:space="preserve"> ConCost!AM$259</f>
        <v>0</v>
      </c>
      <c r="AN40" s="281">
        <f xml:space="preserve"> ConCost!AN$259</f>
        <v>0</v>
      </c>
      <c r="AO40" s="281">
        <f xml:space="preserve"> ConCost!AO$259</f>
        <v>0</v>
      </c>
      <c r="AP40" s="281">
        <f xml:space="preserve"> ConCost!AP$259</f>
        <v>0</v>
      </c>
      <c r="AQ40" s="281">
        <f xml:space="preserve"> ConCost!AQ$259</f>
        <v>0</v>
      </c>
      <c r="AR40" s="281">
        <f xml:space="preserve"> ConCost!AR$259</f>
        <v>0</v>
      </c>
      <c r="AS40" s="281">
        <f xml:space="preserve"> ConCost!AS$259</f>
        <v>0</v>
      </c>
      <c r="AT40" s="281">
        <f xml:space="preserve"> ConCost!AT$259</f>
        <v>0</v>
      </c>
      <c r="AU40" s="281">
        <f xml:space="preserve"> ConCost!AU$259</f>
        <v>0</v>
      </c>
      <c r="AV40" s="281">
        <f xml:space="preserve"> ConCost!AV$259</f>
        <v>0</v>
      </c>
      <c r="AW40" s="281">
        <f xml:space="preserve"> ConCost!AW$259</f>
        <v>0</v>
      </c>
      <c r="AX40" s="281">
        <f xml:space="preserve"> ConCost!AX$259</f>
        <v>0</v>
      </c>
      <c r="AY40" s="281">
        <f xml:space="preserve"> ConCost!AY$259</f>
        <v>0</v>
      </c>
      <c r="AZ40" s="281">
        <f xml:space="preserve"> ConCost!AZ$259</f>
        <v>0</v>
      </c>
      <c r="BA40" s="281">
        <f xml:space="preserve"> ConCost!BA$259</f>
        <v>0</v>
      </c>
      <c r="BB40" s="281">
        <f xml:space="preserve"> ConCost!BB$259</f>
        <v>0</v>
      </c>
      <c r="BC40" s="281">
        <f xml:space="preserve"> ConCost!BC$259</f>
        <v>0</v>
      </c>
      <c r="BD40" s="281">
        <f xml:space="preserve"> ConCost!BD$259</f>
        <v>0</v>
      </c>
      <c r="BE40" s="281">
        <f xml:space="preserve"> ConCost!BE$259</f>
        <v>0</v>
      </c>
      <c r="BF40" s="281">
        <f xml:space="preserve"> ConCost!BF$259</f>
        <v>0</v>
      </c>
      <c r="BG40" s="281">
        <f xml:space="preserve"> ConCost!BG$259</f>
        <v>0</v>
      </c>
      <c r="BH40" s="281">
        <f xml:space="preserve"> ConCost!BH$259</f>
        <v>0</v>
      </c>
      <c r="BI40" s="281">
        <f xml:space="preserve"> ConCost!BI$259</f>
        <v>0</v>
      </c>
      <c r="BJ40" s="281">
        <f xml:space="preserve"> ConCost!BJ$259</f>
        <v>0</v>
      </c>
      <c r="BK40" s="281">
        <f xml:space="preserve"> ConCost!BK$259</f>
        <v>0</v>
      </c>
      <c r="BL40" s="281">
        <f xml:space="preserve"> ConCost!BL$259</f>
        <v>0</v>
      </c>
      <c r="BM40" s="281">
        <f xml:space="preserve"> ConCost!BM$259</f>
        <v>0</v>
      </c>
      <c r="BN40" s="281">
        <f xml:space="preserve"> ConCost!BN$259</f>
        <v>0</v>
      </c>
      <c r="BO40" s="281">
        <f xml:space="preserve"> ConCost!BO$259</f>
        <v>0</v>
      </c>
      <c r="BP40" s="281">
        <f xml:space="preserve"> ConCost!BP$259</f>
        <v>0</v>
      </c>
      <c r="BQ40" s="281">
        <f xml:space="preserve"> ConCost!BQ$259</f>
        <v>0</v>
      </c>
      <c r="BR40" s="281">
        <f xml:space="preserve"> ConCost!BR$259</f>
        <v>0</v>
      </c>
      <c r="BS40" s="281">
        <f xml:space="preserve"> ConCost!BS$259</f>
        <v>0</v>
      </c>
      <c r="BT40" s="281">
        <f xml:space="preserve"> ConCost!BT$259</f>
        <v>0</v>
      </c>
      <c r="BU40" s="281">
        <f xml:space="preserve"> ConCost!BU$259</f>
        <v>0</v>
      </c>
      <c r="BV40" s="281">
        <f xml:space="preserve"> ConCost!BV$259</f>
        <v>0</v>
      </c>
      <c r="BW40" s="281">
        <f xml:space="preserve"> ConCost!BW$259</f>
        <v>0</v>
      </c>
      <c r="BX40" s="281">
        <f xml:space="preserve"> ConCost!BX$259</f>
        <v>0</v>
      </c>
      <c r="BY40" s="281">
        <f xml:space="preserve"> ConCost!BY$259</f>
        <v>0</v>
      </c>
      <c r="BZ40" s="281">
        <f xml:space="preserve"> ConCost!BZ$259</f>
        <v>0</v>
      </c>
      <c r="CA40" s="281">
        <f xml:space="preserve"> ConCost!CA$259</f>
        <v>0</v>
      </c>
      <c r="CB40" s="281">
        <f xml:space="preserve"> ConCost!CB$259</f>
        <v>0</v>
      </c>
      <c r="CC40" s="281">
        <f xml:space="preserve"> ConCost!CC$259</f>
        <v>0</v>
      </c>
      <c r="CD40" s="281">
        <f xml:space="preserve"> ConCost!CD$259</f>
        <v>0</v>
      </c>
      <c r="CE40" s="281">
        <f xml:space="preserve"> ConCost!CE$259</f>
        <v>0</v>
      </c>
      <c r="CF40" s="281">
        <f xml:space="preserve"> ConCost!CF$259</f>
        <v>0</v>
      </c>
      <c r="CG40" s="281">
        <f xml:space="preserve"> ConCost!CG$259</f>
        <v>0</v>
      </c>
      <c r="CH40" s="281">
        <f xml:space="preserve"> ConCost!CH$259</f>
        <v>0</v>
      </c>
      <c r="CI40" s="281">
        <f xml:space="preserve"> ConCost!CI$259</f>
        <v>0</v>
      </c>
      <c r="CJ40" s="281">
        <f xml:space="preserve"> ConCost!CJ$259</f>
        <v>0</v>
      </c>
      <c r="CK40" s="281">
        <f xml:space="preserve"> ConCost!CK$259</f>
        <v>0</v>
      </c>
      <c r="CL40" s="281">
        <f xml:space="preserve"> ConCost!CL$259</f>
        <v>0</v>
      </c>
      <c r="CM40" s="281">
        <f xml:space="preserve"> ConCost!CM$259</f>
        <v>0</v>
      </c>
      <c r="CN40" s="281">
        <f xml:space="preserve"> ConCost!CN$259</f>
        <v>0</v>
      </c>
      <c r="CO40" s="281">
        <f xml:space="preserve"> ConCost!CO$259</f>
        <v>0</v>
      </c>
      <c r="CP40" s="281">
        <f xml:space="preserve"> ConCost!CP$259</f>
        <v>0</v>
      </c>
      <c r="CQ40" s="281">
        <f xml:space="preserve"> ConCost!CQ$259</f>
        <v>0</v>
      </c>
      <c r="CR40" s="281">
        <f xml:space="preserve"> ConCost!CR$259</f>
        <v>0</v>
      </c>
      <c r="CS40" s="281">
        <f xml:space="preserve"> ConCost!CS$259</f>
        <v>0</v>
      </c>
      <c r="CT40" s="281">
        <f xml:space="preserve"> ConCost!CT$259</f>
        <v>0</v>
      </c>
      <c r="CU40" s="281">
        <f xml:space="preserve"> ConCost!CU$259</f>
        <v>0</v>
      </c>
      <c r="CV40" s="281">
        <f xml:space="preserve"> ConCost!CV$259</f>
        <v>0</v>
      </c>
    </row>
    <row r="41" spans="1:192" outlineLevel="1" x14ac:dyDescent="0.2">
      <c r="D41" s="209"/>
      <c r="E41" s="288" t="str">
        <f xml:space="preserve"> Ops!E$293</f>
        <v>Release of working capital reserve - P99</v>
      </c>
      <c r="F41" s="288">
        <f xml:space="preserve"> Ops!F$293</f>
        <v>0</v>
      </c>
      <c r="G41" s="288" t="str">
        <f xml:space="preserve"> Ops!G$293</f>
        <v>$ 000s</v>
      </c>
      <c r="H41" s="288">
        <f xml:space="preserve"> Ops!H$293</f>
        <v>3857.1209730037863</v>
      </c>
      <c r="I41" s="288">
        <f xml:space="preserve"> Ops!I$293</f>
        <v>0</v>
      </c>
      <c r="J41" s="288">
        <f xml:space="preserve"> Ops!J$293</f>
        <v>0</v>
      </c>
      <c r="K41" s="288">
        <f xml:space="preserve"> Ops!K$293</f>
        <v>0</v>
      </c>
      <c r="L41" s="288">
        <f xml:space="preserve"> Ops!L$293</f>
        <v>0</v>
      </c>
      <c r="M41" s="288">
        <f xml:space="preserve"> Ops!M$293</f>
        <v>0</v>
      </c>
      <c r="N41" s="288">
        <f xml:space="preserve"> Ops!N$293</f>
        <v>0</v>
      </c>
      <c r="O41" s="288">
        <f xml:space="preserve"> Ops!O$293</f>
        <v>2942.2107868979674</v>
      </c>
      <c r="P41" s="288">
        <f xml:space="preserve"> Ops!P$293</f>
        <v>48.765924644716506</v>
      </c>
      <c r="Q41" s="288">
        <f xml:space="preserve"> Ops!Q$293</f>
        <v>0</v>
      </c>
      <c r="R41" s="288">
        <f xml:space="preserve"> Ops!R$293</f>
        <v>48.307922416201109</v>
      </c>
      <c r="S41" s="288">
        <f xml:space="preserve"> Ops!S$293</f>
        <v>0</v>
      </c>
      <c r="T41" s="288">
        <f xml:space="preserve"> Ops!T$293</f>
        <v>47.843569383759132</v>
      </c>
      <c r="U41" s="288">
        <f xml:space="preserve"> Ops!U$293</f>
        <v>0</v>
      </c>
      <c r="V41" s="288">
        <f xml:space="preserve"> Ops!V$293</f>
        <v>31.40829483962716</v>
      </c>
      <c r="W41" s="288">
        <f xml:space="preserve"> Ops!W$293</f>
        <v>0</v>
      </c>
      <c r="X41" s="288">
        <f xml:space="preserve"> Ops!X$293</f>
        <v>46.895274025585422</v>
      </c>
      <c r="Y41" s="288">
        <f xml:space="preserve"> Ops!Y$293</f>
        <v>0</v>
      </c>
      <c r="Z41" s="288">
        <f xml:space="preserve"> Ops!Z$293</f>
        <v>46.411056518652913</v>
      </c>
      <c r="AA41" s="288">
        <f xml:space="preserve"> Ops!AA$293</f>
        <v>0</v>
      </c>
      <c r="AB41" s="288">
        <f xml:space="preserve"> Ops!AB$293</f>
        <v>45.919937736734937</v>
      </c>
      <c r="AC41" s="288">
        <f xml:space="preserve"> Ops!AC$293</f>
        <v>0</v>
      </c>
      <c r="AD41" s="288">
        <f xml:space="preserve"> Ops!AD$293</f>
        <v>30.114801947007436</v>
      </c>
      <c r="AE41" s="288">
        <f xml:space="preserve"> Ops!AE$293</f>
        <v>0</v>
      </c>
      <c r="AF41" s="288">
        <f xml:space="preserve"> Ops!AF$293</f>
        <v>44.916415141821744</v>
      </c>
      <c r="AG41" s="288">
        <f xml:space="preserve"> Ops!AG$293</f>
        <v>0</v>
      </c>
      <c r="AH41" s="288">
        <f xml:space="preserve"> Ops!AH$293</f>
        <v>44.403713426588183</v>
      </c>
      <c r="AI41" s="288">
        <f xml:space="preserve"> Ops!AI$293</f>
        <v>0</v>
      </c>
      <c r="AJ41" s="288">
        <f xml:space="preserve"> Ops!AJ$293</f>
        <v>43.883514514232957</v>
      </c>
      <c r="AK41" s="288">
        <f xml:space="preserve"> Ops!AK$293</f>
        <v>0</v>
      </c>
      <c r="AL41" s="288">
        <f xml:space="preserve"> Ops!AL$293</f>
        <v>28.744962643471808</v>
      </c>
      <c r="AM41" s="288">
        <f xml:space="preserve"> Ops!AM$293</f>
        <v>0</v>
      </c>
      <c r="AN41" s="288">
        <f xml:space="preserve"> Ops!AN$293</f>
        <v>42.819995893350097</v>
      </c>
      <c r="AO41" s="288">
        <f xml:space="preserve"> Ops!AO$293</f>
        <v>0</v>
      </c>
      <c r="AP41" s="288">
        <f xml:space="preserve"> Ops!AP$293</f>
        <v>42.276353678219493</v>
      </c>
      <c r="AQ41" s="288">
        <f xml:space="preserve"> Ops!AQ$293</f>
        <v>0</v>
      </c>
      <c r="AR41" s="288">
        <f xml:space="preserve"> Ops!AR$293</f>
        <v>41.724569125380185</v>
      </c>
      <c r="AS41" s="288">
        <f xml:space="preserve"> Ops!AS$293</f>
        <v>0</v>
      </c>
      <c r="AT41" s="288">
        <f xml:space="preserve"> Ops!AT$293</f>
        <v>27.292196244370643</v>
      </c>
      <c r="AU41" s="288">
        <f xml:space="preserve"> Ops!AU$293</f>
        <v>0</v>
      </c>
      <c r="AV41" s="288">
        <f xml:space="preserve"> Ops!AV$293</f>
        <v>40.595891824711543</v>
      </c>
      <c r="AW41" s="288">
        <f xml:space="preserve"> Ops!AW$293</f>
        <v>0</v>
      </c>
      <c r="AX41" s="288">
        <f xml:space="preserve"> Ops!AX$293</f>
        <v>40.018649926655598</v>
      </c>
      <c r="AY41" s="288">
        <f xml:space="preserve"> Ops!AY$293</f>
        <v>0</v>
      </c>
      <c r="AZ41" s="288">
        <f xml:space="preserve"> Ops!AZ$293</f>
        <v>39.432567252496483</v>
      </c>
      <c r="BA41" s="288">
        <f xml:space="preserve"> Ops!BA$293</f>
        <v>0</v>
      </c>
      <c r="BB41" s="288">
        <f xml:space="preserve"> Ops!BB$293</f>
        <v>133.13457492223552</v>
      </c>
      <c r="BC41" s="288">
        <f xml:space="preserve"> Ops!BC$293</f>
        <v>0</v>
      </c>
      <c r="BD41" s="288">
        <f xml:space="preserve"> Ops!BD$293</f>
        <v>0</v>
      </c>
      <c r="BE41" s="288">
        <f xml:space="preserve"> Ops!BE$293</f>
        <v>0</v>
      </c>
      <c r="BF41" s="288">
        <f xml:space="preserve"> Ops!BF$293</f>
        <v>0</v>
      </c>
      <c r="BG41" s="288">
        <f xml:space="preserve"> Ops!BG$293</f>
        <v>0</v>
      </c>
      <c r="BH41" s="288">
        <f xml:space="preserve"> Ops!BH$293</f>
        <v>0</v>
      </c>
      <c r="BI41" s="288">
        <f xml:space="preserve"> Ops!BI$293</f>
        <v>0</v>
      </c>
      <c r="BJ41" s="288">
        <f xml:space="preserve"> Ops!BJ$293</f>
        <v>0</v>
      </c>
      <c r="BK41" s="288">
        <f xml:space="preserve"> Ops!BK$293</f>
        <v>0</v>
      </c>
      <c r="BL41" s="288">
        <f xml:space="preserve"> Ops!BL$293</f>
        <v>0</v>
      </c>
      <c r="BM41" s="288">
        <f xml:space="preserve"> Ops!BM$293</f>
        <v>0</v>
      </c>
      <c r="BN41" s="288">
        <f xml:space="preserve"> Ops!BN$293</f>
        <v>0</v>
      </c>
      <c r="BO41" s="288">
        <f xml:space="preserve"> Ops!BO$293</f>
        <v>0</v>
      </c>
      <c r="BP41" s="288">
        <f xml:space="preserve"> Ops!BP$293</f>
        <v>0</v>
      </c>
      <c r="BQ41" s="288">
        <f xml:space="preserve"> Ops!BQ$293</f>
        <v>0</v>
      </c>
      <c r="BR41" s="288">
        <f xml:space="preserve"> Ops!BR$293</f>
        <v>0</v>
      </c>
      <c r="BS41" s="288">
        <f xml:space="preserve"> Ops!BS$293</f>
        <v>0</v>
      </c>
      <c r="BT41" s="288">
        <f xml:space="preserve"> Ops!BT$293</f>
        <v>0</v>
      </c>
      <c r="BU41" s="288">
        <f xml:space="preserve"> Ops!BU$293</f>
        <v>0</v>
      </c>
      <c r="BV41" s="288">
        <f xml:space="preserve"> Ops!BV$293</f>
        <v>0</v>
      </c>
      <c r="BW41" s="288">
        <f xml:space="preserve"> Ops!BW$293</f>
        <v>0</v>
      </c>
      <c r="BX41" s="288">
        <f xml:space="preserve"> Ops!BX$293</f>
        <v>0</v>
      </c>
      <c r="BY41" s="288">
        <f xml:space="preserve"> Ops!BY$293</f>
        <v>0</v>
      </c>
      <c r="BZ41" s="288">
        <f xml:space="preserve"> Ops!BZ$293</f>
        <v>0</v>
      </c>
      <c r="CA41" s="288">
        <f xml:space="preserve"> Ops!CA$293</f>
        <v>0</v>
      </c>
      <c r="CB41" s="288">
        <f xml:space="preserve"> Ops!CB$293</f>
        <v>0</v>
      </c>
      <c r="CC41" s="288">
        <f xml:space="preserve"> Ops!CC$293</f>
        <v>0</v>
      </c>
      <c r="CD41" s="288">
        <f xml:space="preserve"> Ops!CD$293</f>
        <v>0</v>
      </c>
      <c r="CE41" s="288">
        <f xml:space="preserve"> Ops!CE$293</f>
        <v>0</v>
      </c>
      <c r="CF41" s="288">
        <f xml:space="preserve"> Ops!CF$293</f>
        <v>0</v>
      </c>
      <c r="CG41" s="288">
        <f xml:space="preserve"> Ops!CG$293</f>
        <v>0</v>
      </c>
      <c r="CH41" s="288">
        <f xml:space="preserve"> Ops!CH$293</f>
        <v>0</v>
      </c>
      <c r="CI41" s="288">
        <f xml:space="preserve"> Ops!CI$293</f>
        <v>0</v>
      </c>
      <c r="CJ41" s="288">
        <f xml:space="preserve"> Ops!CJ$293</f>
        <v>0</v>
      </c>
      <c r="CK41" s="288">
        <f xml:space="preserve"> Ops!CK$293</f>
        <v>0</v>
      </c>
      <c r="CL41" s="288">
        <f xml:space="preserve"> Ops!CL$293</f>
        <v>0</v>
      </c>
      <c r="CM41" s="288">
        <f xml:space="preserve"> Ops!CM$293</f>
        <v>0</v>
      </c>
      <c r="CN41" s="288">
        <f xml:space="preserve"> Ops!CN$293</f>
        <v>0</v>
      </c>
      <c r="CO41" s="288">
        <f xml:space="preserve"> Ops!CO$293</f>
        <v>0</v>
      </c>
      <c r="CP41" s="288">
        <f xml:space="preserve"> Ops!CP$293</f>
        <v>0</v>
      </c>
      <c r="CQ41" s="288">
        <f xml:space="preserve"> Ops!CQ$293</f>
        <v>0</v>
      </c>
      <c r="CR41" s="288">
        <f xml:space="preserve"> Ops!CR$293</f>
        <v>0</v>
      </c>
      <c r="CS41" s="288">
        <f xml:space="preserve"> Ops!CS$293</f>
        <v>0</v>
      </c>
      <c r="CT41" s="288">
        <f xml:space="preserve"> Ops!CT$293</f>
        <v>0</v>
      </c>
      <c r="CU41" s="288">
        <f xml:space="preserve"> Ops!CU$293</f>
        <v>0</v>
      </c>
      <c r="CV41" s="288">
        <f xml:space="preserve"> Ops!CV$293</f>
        <v>0</v>
      </c>
    </row>
    <row r="42" spans="1:192" outlineLevel="1" x14ac:dyDescent="0.2">
      <c r="D42" s="209"/>
      <c r="E42" s="235" t="str">
        <f xml:space="preserve"> Ops!E$220</f>
        <v>Cash paid for O&amp;M costs</v>
      </c>
      <c r="F42" s="235">
        <f xml:space="preserve"> Ops!F$220</f>
        <v>0</v>
      </c>
      <c r="G42" s="235" t="str">
        <f xml:space="preserve"> Ops!G$220</f>
        <v>$ 000s</v>
      </c>
      <c r="H42" s="235">
        <f xml:space="preserve"> Ops!H$220</f>
        <v>-210402.03579009016</v>
      </c>
      <c r="I42" s="235">
        <f xml:space="preserve"> Ops!I$220</f>
        <v>0</v>
      </c>
      <c r="J42" s="235">
        <f xml:space="preserve"> Ops!J$220</f>
        <v>0</v>
      </c>
      <c r="K42" s="235">
        <f xml:space="preserve"> Ops!K$220</f>
        <v>0</v>
      </c>
      <c r="L42" s="235">
        <f xml:space="preserve"> Ops!L$220</f>
        <v>0</v>
      </c>
      <c r="M42" s="235">
        <f xml:space="preserve"> Ops!M$220</f>
        <v>0</v>
      </c>
      <c r="N42" s="235">
        <f xml:space="preserve"> Ops!N$220</f>
        <v>0</v>
      </c>
      <c r="O42" s="235">
        <f xml:space="preserve"> Ops!O$220</f>
        <v>-3270.827613913043</v>
      </c>
      <c r="P42" s="235">
        <f xml:space="preserve"> Ops!P$220</f>
        <v>-4312.1777942637509</v>
      </c>
      <c r="Q42" s="235">
        <f xml:space="preserve"> Ops!Q$220</f>
        <v>-4412.6960380145092</v>
      </c>
      <c r="R42" s="235">
        <f xml:space="preserve"> Ops!R$220</f>
        <v>-4398.4213501490267</v>
      </c>
      <c r="S42" s="235">
        <f xml:space="preserve"> Ops!S$220</f>
        <v>-4500.9499587747996</v>
      </c>
      <c r="T42" s="235">
        <f xml:space="preserve"> Ops!T$220</f>
        <v>-4486.3897771520087</v>
      </c>
      <c r="U42" s="235">
        <f xml:space="preserve"> Ops!U$220</f>
        <v>-4590.9689579502938</v>
      </c>
      <c r="V42" s="235">
        <f xml:space="preserve"> Ops!V$220</f>
        <v>-4582.3941624642439</v>
      </c>
      <c r="W42" s="235">
        <f xml:space="preserve"> Ops!W$220</f>
        <v>-4676.5117473401042</v>
      </c>
      <c r="X42" s="235">
        <f xml:space="preserve"> Ops!X$220</f>
        <v>-4667.639924148948</v>
      </c>
      <c r="Y42" s="235">
        <f xml:space="preserve"> Ops!Y$220</f>
        <v>-4776.4441038514869</v>
      </c>
      <c r="Z42" s="235">
        <f xml:space="preserve"> Ops!Z$220</f>
        <v>-4760.9927226319269</v>
      </c>
      <c r="AA42" s="235">
        <f xml:space="preserve"> Ops!AA$220</f>
        <v>-4871.9729859285162</v>
      </c>
      <c r="AB42" s="235">
        <f xml:space="preserve"> Ops!AB$220</f>
        <v>-4856.212577084566</v>
      </c>
      <c r="AC42" s="235">
        <f xml:space="preserve"> Ops!AC$220</f>
        <v>-4969.4124456470863</v>
      </c>
      <c r="AD42" s="235">
        <f xml:space="preserve"> Ops!AD$220</f>
        <v>-4960.1308112475617</v>
      </c>
      <c r="AE42" s="235">
        <f xml:space="preserve"> Ops!AE$220</f>
        <v>-5062.0067119387222</v>
      </c>
      <c r="AF42" s="235">
        <f xml:space="preserve"> Ops!AF$220</f>
        <v>-5052.4035651987824</v>
      </c>
      <c r="AG42" s="235">
        <f xml:space="preserve"> Ops!AG$220</f>
        <v>-5170.1767084512285</v>
      </c>
      <c r="AH42" s="235">
        <f xml:space="preserve"> Ops!AH$220</f>
        <v>-5153.4516365027575</v>
      </c>
      <c r="AI42" s="235">
        <f xml:space="preserve"> Ops!AI$220</f>
        <v>-5273.5802426202536</v>
      </c>
      <c r="AJ42" s="235">
        <f xml:space="preserve"> Ops!AJ$220</f>
        <v>-5256.5206692328138</v>
      </c>
      <c r="AK42" s="235">
        <f xml:space="preserve"> Ops!AK$220</f>
        <v>-5379.0518474726578</v>
      </c>
      <c r="AL42" s="235">
        <f xml:space="preserve"> Ops!AL$220</f>
        <v>-5369.005107901251</v>
      </c>
      <c r="AM42" s="235">
        <f xml:space="preserve"> Ops!AM$220</f>
        <v>-5479.2788591383296</v>
      </c>
      <c r="AN42" s="235">
        <f xml:space="preserve"> Ops!AN$220</f>
        <v>-5468.8841042698186</v>
      </c>
      <c r="AO42" s="235">
        <f xml:space="preserve"> Ops!AO$220</f>
        <v>-5596.3655421105541</v>
      </c>
      <c r="AP42" s="235">
        <f xml:space="preserve"> Ops!AP$220</f>
        <v>-5578.2617863552159</v>
      </c>
      <c r="AQ42" s="235">
        <f xml:space="preserve"> Ops!AQ$220</f>
        <v>-5708.2928529527653</v>
      </c>
      <c r="AR42" s="235">
        <f xml:space="preserve"> Ops!AR$220</f>
        <v>-5689.8270220823188</v>
      </c>
      <c r="AS42" s="235">
        <f xml:space="preserve"> Ops!AS$220</f>
        <v>-5822.4587100118197</v>
      </c>
      <c r="AT42" s="235">
        <f xml:space="preserve"> Ops!AT$220</f>
        <v>-5811.5837959965847</v>
      </c>
      <c r="AU42" s="235">
        <f xml:space="preserve"> Ops!AU$220</f>
        <v>-5930.9476507394374</v>
      </c>
      <c r="AV42" s="235">
        <f xml:space="preserve"> Ops!AV$220</f>
        <v>-5919.6960337744458</v>
      </c>
      <c r="AW42" s="235">
        <f xml:space="preserve"> Ops!AW$220</f>
        <v>-6057.686041896297</v>
      </c>
      <c r="AX42" s="235">
        <f xml:space="preserve"> Ops!AX$220</f>
        <v>-6038.0899544499343</v>
      </c>
      <c r="AY42" s="235">
        <f xml:space="preserve"> Ops!AY$220</f>
        <v>-6178.8397627342238</v>
      </c>
      <c r="AZ42" s="235">
        <f xml:space="preserve"> Ops!AZ$220</f>
        <v>-6158.8517535389319</v>
      </c>
      <c r="BA42" s="235">
        <f xml:space="preserve"> Ops!BA$220</f>
        <v>-6302.4165579889077</v>
      </c>
      <c r="BB42" s="235">
        <f xml:space="preserve"> Ops!BB$220</f>
        <v>-7850.2159021702164</v>
      </c>
      <c r="BC42" s="235">
        <f xml:space="preserve"> Ops!BC$220</f>
        <v>0</v>
      </c>
      <c r="BD42" s="235">
        <f xml:space="preserve"> Ops!BD$220</f>
        <v>0</v>
      </c>
      <c r="BE42" s="235">
        <f xml:space="preserve"> Ops!BE$220</f>
        <v>0</v>
      </c>
      <c r="BF42" s="235">
        <f xml:space="preserve"> Ops!BF$220</f>
        <v>0</v>
      </c>
      <c r="BG42" s="235">
        <f xml:space="preserve"> Ops!BG$220</f>
        <v>0</v>
      </c>
      <c r="BH42" s="235">
        <f xml:space="preserve"> Ops!BH$220</f>
        <v>0</v>
      </c>
      <c r="BI42" s="235">
        <f xml:space="preserve"> Ops!BI$220</f>
        <v>0</v>
      </c>
      <c r="BJ42" s="235">
        <f xml:space="preserve"> Ops!BJ$220</f>
        <v>0</v>
      </c>
      <c r="BK42" s="235">
        <f xml:space="preserve"> Ops!BK$220</f>
        <v>0</v>
      </c>
      <c r="BL42" s="235">
        <f xml:space="preserve"> Ops!BL$220</f>
        <v>0</v>
      </c>
      <c r="BM42" s="235">
        <f xml:space="preserve"> Ops!BM$220</f>
        <v>0</v>
      </c>
      <c r="BN42" s="235">
        <f xml:space="preserve"> Ops!BN$220</f>
        <v>0</v>
      </c>
      <c r="BO42" s="235">
        <f xml:space="preserve"> Ops!BO$220</f>
        <v>0</v>
      </c>
      <c r="BP42" s="235">
        <f xml:space="preserve"> Ops!BP$220</f>
        <v>0</v>
      </c>
      <c r="BQ42" s="235">
        <f xml:space="preserve"> Ops!BQ$220</f>
        <v>0</v>
      </c>
      <c r="BR42" s="235">
        <f xml:space="preserve"> Ops!BR$220</f>
        <v>0</v>
      </c>
      <c r="BS42" s="235">
        <f xml:space="preserve"> Ops!BS$220</f>
        <v>0</v>
      </c>
      <c r="BT42" s="235">
        <f xml:space="preserve"> Ops!BT$220</f>
        <v>0</v>
      </c>
      <c r="BU42" s="235">
        <f xml:space="preserve"> Ops!BU$220</f>
        <v>0</v>
      </c>
      <c r="BV42" s="235">
        <f xml:space="preserve"> Ops!BV$220</f>
        <v>0</v>
      </c>
      <c r="BW42" s="235">
        <f xml:space="preserve"> Ops!BW$220</f>
        <v>0</v>
      </c>
      <c r="BX42" s="235">
        <f xml:space="preserve"> Ops!BX$220</f>
        <v>0</v>
      </c>
      <c r="BY42" s="235">
        <f xml:space="preserve"> Ops!BY$220</f>
        <v>0</v>
      </c>
      <c r="BZ42" s="235">
        <f xml:space="preserve"> Ops!BZ$220</f>
        <v>0</v>
      </c>
      <c r="CA42" s="235">
        <f xml:space="preserve"> Ops!CA$220</f>
        <v>0</v>
      </c>
      <c r="CB42" s="235">
        <f xml:space="preserve"> Ops!CB$220</f>
        <v>0</v>
      </c>
      <c r="CC42" s="235">
        <f xml:space="preserve"> Ops!CC$220</f>
        <v>0</v>
      </c>
      <c r="CD42" s="235">
        <f xml:space="preserve"> Ops!CD$220</f>
        <v>0</v>
      </c>
      <c r="CE42" s="235">
        <f xml:space="preserve"> Ops!CE$220</f>
        <v>0</v>
      </c>
      <c r="CF42" s="235">
        <f xml:space="preserve"> Ops!CF$220</f>
        <v>0</v>
      </c>
      <c r="CG42" s="235">
        <f xml:space="preserve"> Ops!CG$220</f>
        <v>0</v>
      </c>
      <c r="CH42" s="235">
        <f xml:space="preserve"> Ops!CH$220</f>
        <v>0</v>
      </c>
      <c r="CI42" s="235">
        <f xml:space="preserve"> Ops!CI$220</f>
        <v>0</v>
      </c>
      <c r="CJ42" s="235">
        <f xml:space="preserve"> Ops!CJ$220</f>
        <v>0</v>
      </c>
      <c r="CK42" s="235">
        <f xml:space="preserve"> Ops!CK$220</f>
        <v>0</v>
      </c>
      <c r="CL42" s="235">
        <f xml:space="preserve"> Ops!CL$220</f>
        <v>0</v>
      </c>
      <c r="CM42" s="235">
        <f xml:space="preserve"> Ops!CM$220</f>
        <v>0</v>
      </c>
      <c r="CN42" s="235">
        <f xml:space="preserve"> Ops!CN$220</f>
        <v>0</v>
      </c>
      <c r="CO42" s="235">
        <f xml:space="preserve"> Ops!CO$220</f>
        <v>0</v>
      </c>
      <c r="CP42" s="235">
        <f xml:space="preserve"> Ops!CP$220</f>
        <v>0</v>
      </c>
      <c r="CQ42" s="235">
        <f xml:space="preserve"> Ops!CQ$220</f>
        <v>0</v>
      </c>
      <c r="CR42" s="235">
        <f xml:space="preserve"> Ops!CR$220</f>
        <v>0</v>
      </c>
      <c r="CS42" s="235">
        <f xml:space="preserve"> Ops!CS$220</f>
        <v>0</v>
      </c>
      <c r="CT42" s="235">
        <f xml:space="preserve"> Ops!CT$220</f>
        <v>0</v>
      </c>
      <c r="CU42" s="235">
        <f xml:space="preserve"> Ops!CU$220</f>
        <v>0</v>
      </c>
      <c r="CV42" s="235">
        <f xml:space="preserve"> Ops!CV$220</f>
        <v>0</v>
      </c>
    </row>
    <row r="43" spans="1:192" s="191" customFormat="1" outlineLevel="1" x14ac:dyDescent="0.2">
      <c r="A43" s="205"/>
      <c r="B43" s="205"/>
      <c r="C43" s="206"/>
      <c r="D43" s="209"/>
      <c r="E43" s="235" t="str">
        <f xml:space="preserve"> Ops!E$321</f>
        <v>EGR period costs paid through EGR's</v>
      </c>
      <c r="F43" s="235">
        <f xml:space="preserve"> Ops!F$321</f>
        <v>0</v>
      </c>
      <c r="G43" s="235" t="str">
        <f xml:space="preserve"> Ops!G$321</f>
        <v>$ 000s</v>
      </c>
      <c r="H43" s="235">
        <f xml:space="preserve"> Ops!H$321</f>
        <v>0</v>
      </c>
      <c r="I43" s="235">
        <f xml:space="preserve"> Ops!I$321</f>
        <v>0</v>
      </c>
      <c r="J43" s="235">
        <f xml:space="preserve"> Ops!J$321</f>
        <v>0</v>
      </c>
      <c r="K43" s="235">
        <f xml:space="preserve"> Ops!K$321</f>
        <v>0</v>
      </c>
      <c r="L43" s="235">
        <f xml:space="preserve"> Ops!L$321</f>
        <v>0</v>
      </c>
      <c r="M43" s="235">
        <f xml:space="preserve"> Ops!M$321</f>
        <v>0</v>
      </c>
      <c r="N43" s="235">
        <f xml:space="preserve"> Ops!N$321</f>
        <v>0</v>
      </c>
      <c r="O43" s="235">
        <f xml:space="preserve"> Ops!O$321</f>
        <v>0</v>
      </c>
      <c r="P43" s="235">
        <f xml:space="preserve"> Ops!P$321</f>
        <v>0</v>
      </c>
      <c r="Q43" s="235">
        <f xml:space="preserve"> Ops!Q$321</f>
        <v>0</v>
      </c>
      <c r="R43" s="235">
        <f xml:space="preserve"> Ops!R$321</f>
        <v>0</v>
      </c>
      <c r="S43" s="235">
        <f xml:space="preserve"> Ops!S$321</f>
        <v>0</v>
      </c>
      <c r="T43" s="235">
        <f xml:space="preserve"> Ops!T$321</f>
        <v>0</v>
      </c>
      <c r="U43" s="235">
        <f xml:space="preserve"> Ops!U$321</f>
        <v>0</v>
      </c>
      <c r="V43" s="235">
        <f xml:space="preserve"> Ops!V$321</f>
        <v>0</v>
      </c>
      <c r="W43" s="235">
        <f xml:space="preserve"> Ops!W$321</f>
        <v>0</v>
      </c>
      <c r="X43" s="235">
        <f xml:space="preserve"> Ops!X$321</f>
        <v>0</v>
      </c>
      <c r="Y43" s="235">
        <f xml:space="preserve"> Ops!Y$321</f>
        <v>0</v>
      </c>
      <c r="Z43" s="235">
        <f xml:space="preserve"> Ops!Z$321</f>
        <v>0</v>
      </c>
      <c r="AA43" s="235">
        <f xml:space="preserve"> Ops!AA$321</f>
        <v>0</v>
      </c>
      <c r="AB43" s="235">
        <f xml:space="preserve"> Ops!AB$321</f>
        <v>0</v>
      </c>
      <c r="AC43" s="235">
        <f xml:space="preserve"> Ops!AC$321</f>
        <v>0</v>
      </c>
      <c r="AD43" s="235">
        <f xml:space="preserve"> Ops!AD$321</f>
        <v>0</v>
      </c>
      <c r="AE43" s="235">
        <f xml:space="preserve"> Ops!AE$321</f>
        <v>0</v>
      </c>
      <c r="AF43" s="235">
        <f xml:space="preserve"> Ops!AF$321</f>
        <v>0</v>
      </c>
      <c r="AG43" s="235">
        <f xml:space="preserve"> Ops!AG$321</f>
        <v>0</v>
      </c>
      <c r="AH43" s="235">
        <f xml:space="preserve"> Ops!AH$321</f>
        <v>0</v>
      </c>
      <c r="AI43" s="235">
        <f xml:space="preserve"> Ops!AI$321</f>
        <v>0</v>
      </c>
      <c r="AJ43" s="235">
        <f xml:space="preserve"> Ops!AJ$321</f>
        <v>0</v>
      </c>
      <c r="AK43" s="235">
        <f xml:space="preserve"> Ops!AK$321</f>
        <v>0</v>
      </c>
      <c r="AL43" s="235">
        <f xml:space="preserve"> Ops!AL$321</f>
        <v>0</v>
      </c>
      <c r="AM43" s="235">
        <f xml:space="preserve"> Ops!AM$321</f>
        <v>0</v>
      </c>
      <c r="AN43" s="235">
        <f xml:space="preserve"> Ops!AN$321</f>
        <v>0</v>
      </c>
      <c r="AO43" s="235">
        <f xml:space="preserve"> Ops!AO$321</f>
        <v>0</v>
      </c>
      <c r="AP43" s="235">
        <f xml:space="preserve"> Ops!AP$321</f>
        <v>0</v>
      </c>
      <c r="AQ43" s="235">
        <f xml:space="preserve"> Ops!AQ$321</f>
        <v>0</v>
      </c>
      <c r="AR43" s="235">
        <f xml:space="preserve"> Ops!AR$321</f>
        <v>0</v>
      </c>
      <c r="AS43" s="235">
        <f xml:space="preserve"> Ops!AS$321</f>
        <v>0</v>
      </c>
      <c r="AT43" s="235">
        <f xml:space="preserve"> Ops!AT$321</f>
        <v>0</v>
      </c>
      <c r="AU43" s="235">
        <f xml:space="preserve"> Ops!AU$321</f>
        <v>0</v>
      </c>
      <c r="AV43" s="235">
        <f xml:space="preserve"> Ops!AV$321</f>
        <v>0</v>
      </c>
      <c r="AW43" s="235">
        <f xml:space="preserve"> Ops!AW$321</f>
        <v>0</v>
      </c>
      <c r="AX43" s="235">
        <f xml:space="preserve"> Ops!AX$321</f>
        <v>0</v>
      </c>
      <c r="AY43" s="235">
        <f xml:space="preserve"> Ops!AY$321</f>
        <v>0</v>
      </c>
      <c r="AZ43" s="235">
        <f xml:space="preserve"> Ops!AZ$321</f>
        <v>0</v>
      </c>
      <c r="BA43" s="235">
        <f xml:space="preserve"> Ops!BA$321</f>
        <v>0</v>
      </c>
      <c r="BB43" s="235">
        <f xml:space="preserve"> Ops!BB$321</f>
        <v>0</v>
      </c>
      <c r="BC43" s="235">
        <f xml:space="preserve"> Ops!BC$321</f>
        <v>0</v>
      </c>
      <c r="BD43" s="235">
        <f xml:space="preserve"> Ops!BD$321</f>
        <v>0</v>
      </c>
      <c r="BE43" s="235">
        <f xml:space="preserve"> Ops!BE$321</f>
        <v>0</v>
      </c>
      <c r="BF43" s="235">
        <f xml:space="preserve"> Ops!BF$321</f>
        <v>0</v>
      </c>
      <c r="BG43" s="235">
        <f xml:space="preserve"> Ops!BG$321</f>
        <v>0</v>
      </c>
      <c r="BH43" s="235">
        <f xml:space="preserve"> Ops!BH$321</f>
        <v>0</v>
      </c>
      <c r="BI43" s="235">
        <f xml:space="preserve"> Ops!BI$321</f>
        <v>0</v>
      </c>
      <c r="BJ43" s="235">
        <f xml:space="preserve"> Ops!BJ$321</f>
        <v>0</v>
      </c>
      <c r="BK43" s="235">
        <f xml:space="preserve"> Ops!BK$321</f>
        <v>0</v>
      </c>
      <c r="BL43" s="235">
        <f xml:space="preserve"> Ops!BL$321</f>
        <v>0</v>
      </c>
      <c r="BM43" s="235">
        <f xml:space="preserve"> Ops!BM$321</f>
        <v>0</v>
      </c>
      <c r="BN43" s="235">
        <f xml:space="preserve"> Ops!BN$321</f>
        <v>0</v>
      </c>
      <c r="BO43" s="235">
        <f xml:space="preserve"> Ops!BO$321</f>
        <v>0</v>
      </c>
      <c r="BP43" s="235">
        <f xml:space="preserve"> Ops!BP$321</f>
        <v>0</v>
      </c>
      <c r="BQ43" s="235">
        <f xml:space="preserve"> Ops!BQ$321</f>
        <v>0</v>
      </c>
      <c r="BR43" s="235">
        <f xml:space="preserve"> Ops!BR$321</f>
        <v>0</v>
      </c>
      <c r="BS43" s="235">
        <f xml:space="preserve"> Ops!BS$321</f>
        <v>0</v>
      </c>
      <c r="BT43" s="235">
        <f xml:space="preserve"> Ops!BT$321</f>
        <v>0</v>
      </c>
      <c r="BU43" s="235">
        <f xml:space="preserve"> Ops!BU$321</f>
        <v>0</v>
      </c>
      <c r="BV43" s="235">
        <f xml:space="preserve"> Ops!BV$321</f>
        <v>0</v>
      </c>
      <c r="BW43" s="235">
        <f xml:space="preserve"> Ops!BW$321</f>
        <v>0</v>
      </c>
      <c r="BX43" s="235">
        <f xml:space="preserve"> Ops!BX$321</f>
        <v>0</v>
      </c>
      <c r="BY43" s="235">
        <f xml:space="preserve"> Ops!BY$321</f>
        <v>0</v>
      </c>
      <c r="BZ43" s="235">
        <f xml:space="preserve"> Ops!BZ$321</f>
        <v>0</v>
      </c>
      <c r="CA43" s="235">
        <f xml:space="preserve"> Ops!CA$321</f>
        <v>0</v>
      </c>
      <c r="CB43" s="235">
        <f xml:space="preserve"> Ops!CB$321</f>
        <v>0</v>
      </c>
      <c r="CC43" s="235">
        <f xml:space="preserve"> Ops!CC$321</f>
        <v>0</v>
      </c>
      <c r="CD43" s="235">
        <f xml:space="preserve"> Ops!CD$321</f>
        <v>0</v>
      </c>
      <c r="CE43" s="235">
        <f xml:space="preserve"> Ops!CE$321</f>
        <v>0</v>
      </c>
      <c r="CF43" s="235">
        <f xml:space="preserve"> Ops!CF$321</f>
        <v>0</v>
      </c>
      <c r="CG43" s="235">
        <f xml:space="preserve"> Ops!CG$321</f>
        <v>0</v>
      </c>
      <c r="CH43" s="235">
        <f xml:space="preserve"> Ops!CH$321</f>
        <v>0</v>
      </c>
      <c r="CI43" s="235">
        <f xml:space="preserve"> Ops!CI$321</f>
        <v>0</v>
      </c>
      <c r="CJ43" s="235">
        <f xml:space="preserve"> Ops!CJ$321</f>
        <v>0</v>
      </c>
      <c r="CK43" s="235">
        <f xml:space="preserve"> Ops!CK$321</f>
        <v>0</v>
      </c>
      <c r="CL43" s="235">
        <f xml:space="preserve"> Ops!CL$321</f>
        <v>0</v>
      </c>
      <c r="CM43" s="235">
        <f xml:space="preserve"> Ops!CM$321</f>
        <v>0</v>
      </c>
      <c r="CN43" s="235">
        <f xml:space="preserve"> Ops!CN$321</f>
        <v>0</v>
      </c>
      <c r="CO43" s="235">
        <f xml:space="preserve"> Ops!CO$321</f>
        <v>0</v>
      </c>
      <c r="CP43" s="235">
        <f xml:space="preserve"> Ops!CP$321</f>
        <v>0</v>
      </c>
      <c r="CQ43" s="235">
        <f xml:space="preserve"> Ops!CQ$321</f>
        <v>0</v>
      </c>
      <c r="CR43" s="235">
        <f xml:space="preserve"> Ops!CR$321</f>
        <v>0</v>
      </c>
      <c r="CS43" s="235">
        <f xml:space="preserve"> Ops!CS$321</f>
        <v>0</v>
      </c>
      <c r="CT43" s="235">
        <f xml:space="preserve"> Ops!CT$321</f>
        <v>0</v>
      </c>
      <c r="CU43" s="235">
        <f xml:space="preserve"> Ops!CU$321</f>
        <v>0</v>
      </c>
      <c r="CV43" s="235">
        <f xml:space="preserve"> Ops!CV$321</f>
        <v>0</v>
      </c>
    </row>
    <row r="44" spans="1:192" s="192" customFormat="1" outlineLevel="1" x14ac:dyDescent="0.2">
      <c r="A44" s="205"/>
      <c r="B44" s="205"/>
      <c r="C44" s="206"/>
      <c r="D44" s="209"/>
      <c r="E44" s="235" t="str">
        <f ca="1" xml:space="preserve"> Tax!E$145</f>
        <v>Corporate income tax - P99</v>
      </c>
      <c r="F44" s="235">
        <f ca="1" xml:space="preserve"> Tax!F$145</f>
        <v>0</v>
      </c>
      <c r="G44" s="235" t="str">
        <f ca="1" xml:space="preserve"> Tax!G$145</f>
        <v>$ 000s</v>
      </c>
      <c r="H44" s="235">
        <f ca="1" xml:space="preserve"> Tax!H$145</f>
        <v>0</v>
      </c>
      <c r="I44" s="235">
        <f ca="1" xml:space="preserve"> Tax!I$145</f>
        <v>0</v>
      </c>
      <c r="J44" s="235">
        <f ca="1" xml:space="preserve"> Tax!J$145</f>
        <v>0</v>
      </c>
      <c r="K44" s="235">
        <f ca="1" xml:space="preserve"> Tax!K$145</f>
        <v>0</v>
      </c>
      <c r="L44" s="235">
        <f ca="1" xml:space="preserve"> Tax!L$145</f>
        <v>0</v>
      </c>
      <c r="M44" s="235">
        <f ca="1" xml:space="preserve"> Tax!M$145</f>
        <v>0</v>
      </c>
      <c r="N44" s="235">
        <f ca="1" xml:space="preserve"> Tax!N$145</f>
        <v>0</v>
      </c>
      <c r="O44" s="235">
        <f ca="1" xml:space="preserve"> Tax!O$145</f>
        <v>0</v>
      </c>
      <c r="P44" s="235">
        <f ca="1" xml:space="preserve"> Tax!P$145</f>
        <v>0</v>
      </c>
      <c r="Q44" s="235">
        <f ca="1" xml:space="preserve"> Tax!Q$145</f>
        <v>0</v>
      </c>
      <c r="R44" s="235">
        <f ca="1" xml:space="preserve"> Tax!R$145</f>
        <v>0</v>
      </c>
      <c r="S44" s="235">
        <f ca="1" xml:space="preserve"> Tax!S$145</f>
        <v>0</v>
      </c>
      <c r="T44" s="235">
        <f ca="1" xml:space="preserve"> Tax!T$145</f>
        <v>0</v>
      </c>
      <c r="U44" s="235">
        <f ca="1" xml:space="preserve"> Tax!U$145</f>
        <v>0</v>
      </c>
      <c r="V44" s="235">
        <f ca="1" xml:space="preserve"> Tax!V$145</f>
        <v>0</v>
      </c>
      <c r="W44" s="235">
        <f ca="1" xml:space="preserve"> Tax!W$145</f>
        <v>0</v>
      </c>
      <c r="X44" s="235">
        <f ca="1" xml:space="preserve"> Tax!X$145</f>
        <v>0</v>
      </c>
      <c r="Y44" s="235">
        <f ca="1" xml:space="preserve"> Tax!Y$145</f>
        <v>0</v>
      </c>
      <c r="Z44" s="235">
        <f ca="1" xml:space="preserve"> Tax!Z$145</f>
        <v>0</v>
      </c>
      <c r="AA44" s="235">
        <f ca="1" xml:space="preserve"> Tax!AA$145</f>
        <v>0</v>
      </c>
      <c r="AB44" s="235">
        <f ca="1" xml:space="preserve"> Tax!AB$145</f>
        <v>0</v>
      </c>
      <c r="AC44" s="235">
        <f ca="1" xml:space="preserve"> Tax!AC$145</f>
        <v>0</v>
      </c>
      <c r="AD44" s="235">
        <f ca="1" xml:space="preserve"> Tax!AD$145</f>
        <v>0</v>
      </c>
      <c r="AE44" s="235">
        <f ca="1" xml:space="preserve"> Tax!AE$145</f>
        <v>0</v>
      </c>
      <c r="AF44" s="235">
        <f ca="1" xml:space="preserve"> Tax!AF$145</f>
        <v>0</v>
      </c>
      <c r="AG44" s="235">
        <f ca="1" xml:space="preserve"> Tax!AG$145</f>
        <v>0</v>
      </c>
      <c r="AH44" s="235">
        <f ca="1" xml:space="preserve"> Tax!AH$145</f>
        <v>0</v>
      </c>
      <c r="AI44" s="235">
        <f ca="1" xml:space="preserve"> Tax!AI$145</f>
        <v>0</v>
      </c>
      <c r="AJ44" s="235">
        <f ca="1" xml:space="preserve"> Tax!AJ$145</f>
        <v>0</v>
      </c>
      <c r="AK44" s="235">
        <f ca="1" xml:space="preserve"> Tax!AK$145</f>
        <v>0</v>
      </c>
      <c r="AL44" s="235">
        <f ca="1" xml:space="preserve"> Tax!AL$145</f>
        <v>0</v>
      </c>
      <c r="AM44" s="235">
        <f ca="1" xml:space="preserve"> Tax!AM$145</f>
        <v>0</v>
      </c>
      <c r="AN44" s="235">
        <f ca="1" xml:space="preserve"> Tax!AN$145</f>
        <v>0</v>
      </c>
      <c r="AO44" s="235">
        <f ca="1" xml:space="preserve"> Tax!AO$145</f>
        <v>0</v>
      </c>
      <c r="AP44" s="235">
        <f ca="1" xml:space="preserve"> Tax!AP$145</f>
        <v>0</v>
      </c>
      <c r="AQ44" s="235">
        <f ca="1" xml:space="preserve"> Tax!AQ$145</f>
        <v>0</v>
      </c>
      <c r="AR44" s="235">
        <f ca="1" xml:space="preserve"> Tax!AR$145</f>
        <v>0</v>
      </c>
      <c r="AS44" s="235">
        <f ca="1" xml:space="preserve"> Tax!AS$145</f>
        <v>0</v>
      </c>
      <c r="AT44" s="235">
        <f ca="1" xml:space="preserve"> Tax!AT$145</f>
        <v>0</v>
      </c>
      <c r="AU44" s="235">
        <f ca="1" xml:space="preserve"> Tax!AU$145</f>
        <v>0</v>
      </c>
      <c r="AV44" s="235">
        <f ca="1" xml:space="preserve"> Tax!AV$145</f>
        <v>0</v>
      </c>
      <c r="AW44" s="235">
        <f ca="1" xml:space="preserve"> Tax!AW$145</f>
        <v>0</v>
      </c>
      <c r="AX44" s="235">
        <f ca="1" xml:space="preserve"> Tax!AX$145</f>
        <v>0</v>
      </c>
      <c r="AY44" s="235">
        <f ca="1" xml:space="preserve"> Tax!AY$145</f>
        <v>0</v>
      </c>
      <c r="AZ44" s="235">
        <f ca="1" xml:space="preserve"> Tax!AZ$145</f>
        <v>0</v>
      </c>
      <c r="BA44" s="235">
        <f ca="1" xml:space="preserve"> Tax!BA$145</f>
        <v>0</v>
      </c>
      <c r="BB44" s="235">
        <f ca="1" xml:space="preserve"> Tax!BB$145</f>
        <v>0</v>
      </c>
      <c r="BC44" s="235">
        <f ca="1" xml:space="preserve"> Tax!BC$145</f>
        <v>0</v>
      </c>
      <c r="BD44" s="235">
        <f ca="1" xml:space="preserve"> Tax!BD$145</f>
        <v>0</v>
      </c>
      <c r="BE44" s="235">
        <f ca="1" xml:space="preserve"> Tax!BE$145</f>
        <v>0</v>
      </c>
      <c r="BF44" s="235">
        <f ca="1" xml:space="preserve"> Tax!BF$145</f>
        <v>0</v>
      </c>
      <c r="BG44" s="235">
        <f ca="1" xml:space="preserve"> Tax!BG$145</f>
        <v>0</v>
      </c>
      <c r="BH44" s="235">
        <f ca="1" xml:space="preserve"> Tax!BH$145</f>
        <v>0</v>
      </c>
      <c r="BI44" s="235">
        <f ca="1" xml:space="preserve"> Tax!BI$145</f>
        <v>0</v>
      </c>
      <c r="BJ44" s="235">
        <f ca="1" xml:space="preserve"> Tax!BJ$145</f>
        <v>0</v>
      </c>
      <c r="BK44" s="235">
        <f ca="1" xml:space="preserve"> Tax!BK$145</f>
        <v>0</v>
      </c>
      <c r="BL44" s="235">
        <f ca="1" xml:space="preserve"> Tax!BL$145</f>
        <v>0</v>
      </c>
      <c r="BM44" s="235">
        <f ca="1" xml:space="preserve"> Tax!BM$145</f>
        <v>0</v>
      </c>
      <c r="BN44" s="235">
        <f ca="1" xml:space="preserve"> Tax!BN$145</f>
        <v>0</v>
      </c>
      <c r="BO44" s="235">
        <f ca="1" xml:space="preserve"> Tax!BO$145</f>
        <v>0</v>
      </c>
      <c r="BP44" s="235">
        <f ca="1" xml:space="preserve"> Tax!BP$145</f>
        <v>0</v>
      </c>
      <c r="BQ44" s="235">
        <f ca="1" xml:space="preserve"> Tax!BQ$145</f>
        <v>0</v>
      </c>
      <c r="BR44" s="235">
        <f ca="1" xml:space="preserve"> Tax!BR$145</f>
        <v>0</v>
      </c>
      <c r="BS44" s="235">
        <f ca="1" xml:space="preserve"> Tax!BS$145</f>
        <v>0</v>
      </c>
      <c r="BT44" s="235">
        <f ca="1" xml:space="preserve"> Tax!BT$145</f>
        <v>0</v>
      </c>
      <c r="BU44" s="235">
        <f ca="1" xml:space="preserve"> Tax!BU$145</f>
        <v>0</v>
      </c>
      <c r="BV44" s="235">
        <f ca="1" xml:space="preserve"> Tax!BV$145</f>
        <v>0</v>
      </c>
      <c r="BW44" s="235">
        <f ca="1" xml:space="preserve"> Tax!BW$145</f>
        <v>0</v>
      </c>
      <c r="BX44" s="235">
        <f ca="1" xml:space="preserve"> Tax!BX$145</f>
        <v>0</v>
      </c>
      <c r="BY44" s="235">
        <f ca="1" xml:space="preserve"> Tax!BY$145</f>
        <v>0</v>
      </c>
      <c r="BZ44" s="235">
        <f ca="1" xml:space="preserve"> Tax!BZ$145</f>
        <v>0</v>
      </c>
      <c r="CA44" s="235">
        <f ca="1" xml:space="preserve"> Tax!CA$145</f>
        <v>0</v>
      </c>
      <c r="CB44" s="235">
        <f ca="1" xml:space="preserve"> Tax!CB$145</f>
        <v>0</v>
      </c>
      <c r="CC44" s="235">
        <f ca="1" xml:space="preserve"> Tax!CC$145</f>
        <v>0</v>
      </c>
      <c r="CD44" s="235">
        <f ca="1" xml:space="preserve"> Tax!CD$145</f>
        <v>0</v>
      </c>
      <c r="CE44" s="235">
        <f ca="1" xml:space="preserve"> Tax!CE$145</f>
        <v>0</v>
      </c>
      <c r="CF44" s="235">
        <f ca="1" xml:space="preserve"> Tax!CF$145</f>
        <v>0</v>
      </c>
      <c r="CG44" s="235">
        <f ca="1" xml:space="preserve"> Tax!CG$145</f>
        <v>0</v>
      </c>
      <c r="CH44" s="235">
        <f ca="1" xml:space="preserve"> Tax!CH$145</f>
        <v>0</v>
      </c>
      <c r="CI44" s="235">
        <f ca="1" xml:space="preserve"> Tax!CI$145</f>
        <v>0</v>
      </c>
      <c r="CJ44" s="235">
        <f ca="1" xml:space="preserve"> Tax!CJ$145</f>
        <v>0</v>
      </c>
      <c r="CK44" s="235">
        <f ca="1" xml:space="preserve"> Tax!CK$145</f>
        <v>0</v>
      </c>
      <c r="CL44" s="235">
        <f ca="1" xml:space="preserve"> Tax!CL$145</f>
        <v>0</v>
      </c>
      <c r="CM44" s="235">
        <f ca="1" xml:space="preserve"> Tax!CM$145</f>
        <v>0</v>
      </c>
      <c r="CN44" s="235">
        <f ca="1" xml:space="preserve"> Tax!CN$145</f>
        <v>0</v>
      </c>
      <c r="CO44" s="235">
        <f ca="1" xml:space="preserve"> Tax!CO$145</f>
        <v>0</v>
      </c>
      <c r="CP44" s="235">
        <f ca="1" xml:space="preserve"> Tax!CP$145</f>
        <v>0</v>
      </c>
      <c r="CQ44" s="235">
        <f ca="1" xml:space="preserve"> Tax!CQ$145</f>
        <v>0</v>
      </c>
      <c r="CR44" s="235">
        <f ca="1" xml:space="preserve"> Tax!CR$145</f>
        <v>0</v>
      </c>
      <c r="CS44" s="235">
        <f ca="1" xml:space="preserve"> Tax!CS$145</f>
        <v>0</v>
      </c>
      <c r="CT44" s="235">
        <f ca="1" xml:space="preserve"> Tax!CT$145</f>
        <v>0</v>
      </c>
      <c r="CU44" s="235">
        <f ca="1" xml:space="preserve"> Tax!CU$145</f>
        <v>0</v>
      </c>
      <c r="CV44" s="235">
        <f ca="1" xml:space="preserve"> Tax!CV$145</f>
        <v>0</v>
      </c>
      <c r="CW44" s="235">
        <f ca="1" xml:space="preserve"> Tax!CW$145</f>
        <v>0</v>
      </c>
      <c r="CX44" s="235">
        <f ca="1" xml:space="preserve"> Tax!CX$145</f>
        <v>0</v>
      </c>
      <c r="CY44" s="235">
        <f ca="1" xml:space="preserve"> Tax!CY$145</f>
        <v>0</v>
      </c>
      <c r="CZ44" s="235">
        <f ca="1" xml:space="preserve"> Tax!CZ$145</f>
        <v>0</v>
      </c>
      <c r="DA44" s="235">
        <f ca="1" xml:space="preserve"> Tax!DA$145</f>
        <v>0</v>
      </c>
      <c r="DB44" s="235">
        <f ca="1" xml:space="preserve"> Tax!DB$145</f>
        <v>0</v>
      </c>
      <c r="DC44" s="235">
        <f ca="1" xml:space="preserve"> Tax!DC$145</f>
        <v>0</v>
      </c>
      <c r="DD44" s="235">
        <f ca="1" xml:space="preserve"> Tax!DD$145</f>
        <v>0</v>
      </c>
      <c r="DE44" s="235">
        <f ca="1" xml:space="preserve"> Tax!DE$145</f>
        <v>0</v>
      </c>
      <c r="DF44" s="235">
        <f ca="1" xml:space="preserve"> Tax!DF$145</f>
        <v>0</v>
      </c>
      <c r="DG44" s="235">
        <f ca="1" xml:space="preserve"> Tax!DG$145</f>
        <v>0</v>
      </c>
      <c r="DH44" s="235">
        <f ca="1" xml:space="preserve"> Tax!DH$145</f>
        <v>0</v>
      </c>
      <c r="DI44" s="235">
        <f ca="1" xml:space="preserve"> Tax!DI$145</f>
        <v>0</v>
      </c>
      <c r="DJ44" s="235">
        <f ca="1" xml:space="preserve"> Tax!DJ$145</f>
        <v>0</v>
      </c>
      <c r="DK44" s="235">
        <f ca="1" xml:space="preserve"> Tax!DK$145</f>
        <v>0</v>
      </c>
      <c r="DL44" s="235">
        <f ca="1" xml:space="preserve"> Tax!DL$145</f>
        <v>0</v>
      </c>
      <c r="DM44" s="235">
        <f ca="1" xml:space="preserve"> Tax!DM$145</f>
        <v>0</v>
      </c>
      <c r="DN44" s="235">
        <f ca="1" xml:space="preserve"> Tax!DN$145</f>
        <v>0</v>
      </c>
      <c r="DO44" s="235">
        <f ca="1" xml:space="preserve"> Tax!DO$145</f>
        <v>0</v>
      </c>
      <c r="DP44" s="235">
        <f ca="1" xml:space="preserve"> Tax!DP$145</f>
        <v>0</v>
      </c>
      <c r="DQ44" s="235">
        <f ca="1" xml:space="preserve"> Tax!DQ$145</f>
        <v>0</v>
      </c>
      <c r="DR44" s="235">
        <f ca="1" xml:space="preserve"> Tax!DR$145</f>
        <v>0</v>
      </c>
      <c r="DS44" s="235">
        <f ca="1" xml:space="preserve"> Tax!DS$145</f>
        <v>0</v>
      </c>
      <c r="DT44" s="235">
        <f ca="1" xml:space="preserve"> Tax!DT$145</f>
        <v>0</v>
      </c>
      <c r="DU44" s="235">
        <f ca="1" xml:space="preserve"> Tax!DU$145</f>
        <v>0</v>
      </c>
      <c r="DV44" s="235">
        <f ca="1" xml:space="preserve"> Tax!DV$145</f>
        <v>0</v>
      </c>
      <c r="DW44" s="235">
        <f ca="1" xml:space="preserve"> Tax!DW$145</f>
        <v>0</v>
      </c>
      <c r="DX44" s="235">
        <f ca="1" xml:space="preserve"> Tax!DX$145</f>
        <v>0</v>
      </c>
      <c r="DY44" s="235">
        <f ca="1" xml:space="preserve"> Tax!DY$145</f>
        <v>0</v>
      </c>
      <c r="DZ44" s="235">
        <f ca="1" xml:space="preserve"> Tax!DZ$145</f>
        <v>0</v>
      </c>
      <c r="EA44" s="235">
        <f ca="1" xml:space="preserve"> Tax!EA$145</f>
        <v>0</v>
      </c>
      <c r="EB44" s="235">
        <f ca="1" xml:space="preserve"> Tax!EB$145</f>
        <v>0</v>
      </c>
      <c r="EC44" s="235">
        <f ca="1" xml:space="preserve"> Tax!EC$145</f>
        <v>0</v>
      </c>
      <c r="ED44" s="235">
        <f ca="1" xml:space="preserve"> Tax!ED$145</f>
        <v>0</v>
      </c>
      <c r="EE44" s="235">
        <f ca="1" xml:space="preserve"> Tax!EE$145</f>
        <v>0</v>
      </c>
      <c r="EF44" s="235">
        <f ca="1" xml:space="preserve"> Tax!EF$145</f>
        <v>0</v>
      </c>
      <c r="EG44" s="235">
        <f ca="1" xml:space="preserve"> Tax!EG$145</f>
        <v>0</v>
      </c>
      <c r="EH44" s="235">
        <f ca="1" xml:space="preserve"> Tax!EH$145</f>
        <v>0</v>
      </c>
      <c r="EI44" s="235">
        <f ca="1" xml:space="preserve"> Tax!EI$145</f>
        <v>0</v>
      </c>
      <c r="EJ44" s="235">
        <f ca="1" xml:space="preserve"> Tax!EJ$145</f>
        <v>0</v>
      </c>
      <c r="EK44" s="235">
        <f ca="1" xml:space="preserve"> Tax!EK$145</f>
        <v>0</v>
      </c>
      <c r="EL44" s="235">
        <f ca="1" xml:space="preserve"> Tax!EL$145</f>
        <v>0</v>
      </c>
      <c r="EM44" s="235">
        <f ca="1" xml:space="preserve"> Tax!EM$145</f>
        <v>0</v>
      </c>
      <c r="EN44" s="235">
        <f ca="1" xml:space="preserve"> Tax!EN$145</f>
        <v>0</v>
      </c>
      <c r="EO44" s="235">
        <f ca="1" xml:space="preserve"> Tax!EO$145</f>
        <v>0</v>
      </c>
      <c r="EP44" s="235">
        <f ca="1" xml:space="preserve"> Tax!EP$145</f>
        <v>0</v>
      </c>
      <c r="EQ44" s="235">
        <f ca="1" xml:space="preserve"> Tax!EQ$145</f>
        <v>0</v>
      </c>
      <c r="ER44" s="235">
        <f ca="1" xml:space="preserve"> Tax!ER$145</f>
        <v>0</v>
      </c>
      <c r="ES44" s="235">
        <f ca="1" xml:space="preserve"> Tax!ES$145</f>
        <v>0</v>
      </c>
      <c r="ET44" s="235">
        <f ca="1" xml:space="preserve"> Tax!ET$145</f>
        <v>0</v>
      </c>
      <c r="EU44" s="235">
        <f ca="1" xml:space="preserve"> Tax!EU$145</f>
        <v>0</v>
      </c>
      <c r="EV44" s="235">
        <f ca="1" xml:space="preserve"> Tax!EV$145</f>
        <v>0</v>
      </c>
      <c r="EW44" s="235">
        <f ca="1" xml:space="preserve"> Tax!EW$145</f>
        <v>0</v>
      </c>
      <c r="EX44" s="235">
        <f ca="1" xml:space="preserve"> Tax!EX$145</f>
        <v>0</v>
      </c>
      <c r="EY44" s="235">
        <f ca="1" xml:space="preserve"> Tax!EY$145</f>
        <v>0</v>
      </c>
      <c r="EZ44" s="235">
        <f ca="1" xml:space="preserve"> Tax!EZ$145</f>
        <v>0</v>
      </c>
      <c r="FA44" s="235">
        <f ca="1" xml:space="preserve"> Tax!FA$145</f>
        <v>0</v>
      </c>
      <c r="FB44" s="235">
        <f ca="1" xml:space="preserve"> Tax!FB$145</f>
        <v>0</v>
      </c>
      <c r="FC44" s="235">
        <f ca="1" xml:space="preserve"> Tax!FC$145</f>
        <v>0</v>
      </c>
      <c r="FD44" s="235">
        <f ca="1" xml:space="preserve"> Tax!FD$145</f>
        <v>0</v>
      </c>
      <c r="FE44" s="235">
        <f ca="1" xml:space="preserve"> Tax!FE$145</f>
        <v>0</v>
      </c>
      <c r="FF44" s="235">
        <f ca="1" xml:space="preserve"> Tax!FF$145</f>
        <v>0</v>
      </c>
      <c r="FG44" s="235">
        <f ca="1" xml:space="preserve"> Tax!FG$145</f>
        <v>0</v>
      </c>
      <c r="FH44" s="235">
        <f ca="1" xml:space="preserve"> Tax!FH$145</f>
        <v>0</v>
      </c>
      <c r="FI44" s="235">
        <f ca="1" xml:space="preserve"> Tax!FI$145</f>
        <v>0</v>
      </c>
      <c r="FJ44" s="235">
        <f ca="1" xml:space="preserve"> Tax!FJ$145</f>
        <v>0</v>
      </c>
      <c r="FK44" s="235">
        <f ca="1" xml:space="preserve"> Tax!FK$145</f>
        <v>0</v>
      </c>
      <c r="FL44" s="235">
        <f ca="1" xml:space="preserve"> Tax!FL$145</f>
        <v>0</v>
      </c>
      <c r="FM44" s="235">
        <f ca="1" xml:space="preserve"> Tax!FM$145</f>
        <v>0</v>
      </c>
      <c r="FN44" s="235">
        <f ca="1" xml:space="preserve"> Tax!FN$145</f>
        <v>0</v>
      </c>
      <c r="FO44" s="235">
        <f ca="1" xml:space="preserve"> Tax!FO$145</f>
        <v>0</v>
      </c>
      <c r="FP44" s="235">
        <f ca="1" xml:space="preserve"> Tax!FP$145</f>
        <v>0</v>
      </c>
      <c r="FQ44" s="235">
        <f ca="1" xml:space="preserve"> Tax!FQ$145</f>
        <v>0</v>
      </c>
      <c r="FR44" s="235">
        <f ca="1" xml:space="preserve"> Tax!FR$145</f>
        <v>0</v>
      </c>
      <c r="FS44" s="235">
        <f ca="1" xml:space="preserve"> Tax!FS$145</f>
        <v>0</v>
      </c>
      <c r="FT44" s="235">
        <f ca="1" xml:space="preserve"> Tax!FT$145</f>
        <v>0</v>
      </c>
      <c r="FU44" s="235">
        <f ca="1" xml:space="preserve"> Tax!FU$145</f>
        <v>0</v>
      </c>
      <c r="FV44" s="235">
        <f ca="1" xml:space="preserve"> Tax!FV$145</f>
        <v>0</v>
      </c>
      <c r="FW44" s="235">
        <f ca="1" xml:space="preserve"> Tax!FW$145</f>
        <v>0</v>
      </c>
      <c r="FX44" s="235">
        <f ca="1" xml:space="preserve"> Tax!FX$145</f>
        <v>0</v>
      </c>
      <c r="FY44" s="235">
        <f ca="1" xml:space="preserve"> Tax!FY$145</f>
        <v>0</v>
      </c>
      <c r="FZ44" s="235">
        <f ca="1" xml:space="preserve"> Tax!FZ$145</f>
        <v>0</v>
      </c>
      <c r="GA44" s="235">
        <f ca="1" xml:space="preserve"> Tax!GA$145</f>
        <v>0</v>
      </c>
      <c r="GB44" s="235">
        <f ca="1" xml:space="preserve"> Tax!GB$145</f>
        <v>0</v>
      </c>
      <c r="GC44" s="235">
        <f ca="1" xml:space="preserve"> Tax!GC$145</f>
        <v>0</v>
      </c>
      <c r="GD44" s="235">
        <f ca="1" xml:space="preserve"> Tax!GD$145</f>
        <v>0</v>
      </c>
      <c r="GE44" s="235">
        <f ca="1" xml:space="preserve"> Tax!GE$145</f>
        <v>0</v>
      </c>
      <c r="GF44" s="235">
        <f ca="1" xml:space="preserve"> Tax!GF$145</f>
        <v>0</v>
      </c>
      <c r="GG44" s="235">
        <f ca="1" xml:space="preserve"> Tax!GG$145</f>
        <v>0</v>
      </c>
      <c r="GH44" s="235">
        <f ca="1" xml:space="preserve"> Tax!GH$145</f>
        <v>0</v>
      </c>
      <c r="GI44" s="235">
        <f ca="1" xml:space="preserve"> Tax!GI$145</f>
        <v>0</v>
      </c>
      <c r="GJ44" s="235">
        <f ca="1" xml:space="preserve"> Tax!GJ$145</f>
        <v>0</v>
      </c>
    </row>
    <row r="45" spans="1:192" outlineLevel="1" x14ac:dyDescent="0.2">
      <c r="D45" s="209"/>
      <c r="E45" s="232" t="s">
        <v>1152</v>
      </c>
      <c r="F45" s="232"/>
      <c r="G45" s="232" t="str">
        <f>SMU</f>
        <v>$ 000s</v>
      </c>
      <c r="H45" s="232">
        <f ca="1" xml:space="preserve"> SUM(J45:CV45)</f>
        <v>452153.90234455839</v>
      </c>
      <c r="I45" s="232"/>
      <c r="J45" s="232">
        <f t="shared" ref="J45:AO45" ca="1" si="16">SUM(J39:J44)</f>
        <v>0</v>
      </c>
      <c r="K45" s="232">
        <f t="shared" ca="1" si="16"/>
        <v>0</v>
      </c>
      <c r="L45" s="232">
        <f t="shared" ca="1" si="16"/>
        <v>0</v>
      </c>
      <c r="M45" s="232">
        <f t="shared" ca="1" si="16"/>
        <v>0</v>
      </c>
      <c r="N45" s="232">
        <f t="shared" ca="1" si="16"/>
        <v>11940</v>
      </c>
      <c r="O45" s="232">
        <f t="shared" ca="1" si="16"/>
        <v>14020.372995316127</v>
      </c>
      <c r="P45" s="232">
        <f t="shared" ca="1" si="16"/>
        <v>12030.372995316129</v>
      </c>
      <c r="Q45" s="232">
        <f t="shared" ca="1" si="16"/>
        <v>11993.784267611052</v>
      </c>
      <c r="R45" s="232">
        <f t="shared" ca="1" si="16"/>
        <v>11917.385541845897</v>
      </c>
      <c r="S45" s="232">
        <f t="shared" ca="1" si="16"/>
        <v>11879.155257275261</v>
      </c>
      <c r="T45" s="232">
        <f t="shared" ca="1" si="16"/>
        <v>11802.831368568357</v>
      </c>
      <c r="U45" s="232">
        <f t="shared" ca="1" si="16"/>
        <v>11762.928287235867</v>
      </c>
      <c r="V45" s="232">
        <f t="shared" ca="1" si="16"/>
        <v>11686.677528771314</v>
      </c>
      <c r="W45" s="232">
        <f t="shared" ca="1" si="16"/>
        <v>11629.105341614206</v>
      </c>
      <c r="X45" s="232">
        <f t="shared" ca="1" si="16"/>
        <v>11568.890415912327</v>
      </c>
      <c r="Y45" s="232">
        <f t="shared" ca="1" si="16"/>
        <v>11525.545480627239</v>
      </c>
      <c r="Z45" s="232">
        <f t="shared" ca="1" si="16"/>
        <v>11449.435750349998</v>
      </c>
      <c r="AA45" s="232">
        <f t="shared" ca="1" si="16"/>
        <v>11404.320455503168</v>
      </c>
      <c r="AB45" s="232">
        <f t="shared" ca="1" si="16"/>
        <v>11328.278565808636</v>
      </c>
      <c r="AC45" s="232">
        <f t="shared" ca="1" si="16"/>
        <v>11281.359066246368</v>
      </c>
      <c r="AD45" s="232">
        <f t="shared" ca="1" si="16"/>
        <v>11205.38319557111</v>
      </c>
      <c r="AE45" s="232">
        <f t="shared" ca="1" si="16"/>
        <v>11141.317990629093</v>
      </c>
      <c r="AF45" s="232">
        <f t="shared" ca="1" si="16"/>
        <v>11080.713258394269</v>
      </c>
      <c r="AG45" s="232">
        <f t="shared" ca="1" si="16"/>
        <v>11030.081062769019</v>
      </c>
      <c r="AH45" s="232">
        <f t="shared" ca="1" si="16"/>
        <v>10954.231644141453</v>
      </c>
      <c r="AI45" s="232">
        <f t="shared" ca="1" si="16"/>
        <v>10901.689546931615</v>
      </c>
      <c r="AJ45" s="232">
        <f t="shared" ca="1" si="16"/>
        <v>10825.90049912633</v>
      </c>
      <c r="AK45" s="232">
        <f t="shared" ca="1" si="16"/>
        <v>10771.411834146054</v>
      </c>
      <c r="AL45" s="232">
        <f t="shared" ca="1" si="16"/>
        <v>10695.681211162373</v>
      </c>
      <c r="AM45" s="232">
        <f t="shared" ca="1" si="16"/>
        <v>10624.597871946047</v>
      </c>
      <c r="AN45" s="232">
        <f t="shared" ca="1" si="16"/>
        <v>10563.534394311991</v>
      </c>
      <c r="AO45" s="232">
        <f t="shared" ca="1" si="16"/>
        <v>10505.039616202108</v>
      </c>
      <c r="AP45" s="232">
        <f t="shared" ref="AP45:CV45" ca="1" si="17">SUM(AP39:AP44)</f>
        <v>10429.419873329298</v>
      </c>
      <c r="AQ45" s="232">
        <f t="shared" ca="1" si="17"/>
        <v>10368.864022823194</v>
      </c>
      <c r="AR45" s="232">
        <f t="shared" ca="1" si="17"/>
        <v>10293.296667790339</v>
      </c>
      <c r="AS45" s="232">
        <f t="shared" ca="1" si="17"/>
        <v>10230.640024023749</v>
      </c>
      <c r="AT45" s="232">
        <f t="shared" ca="1" si="17"/>
        <v>10155.122975904564</v>
      </c>
      <c r="AU45" s="232">
        <f t="shared" ca="1" si="17"/>
        <v>10076.452739058863</v>
      </c>
      <c r="AV45" s="232">
        <f t="shared" ca="1" si="17"/>
        <v>10014.856158001163</v>
      </c>
      <c r="AW45" s="232">
        <f t="shared" ca="1" si="17"/>
        <v>9947.8755393576703</v>
      </c>
      <c r="AX45" s="232">
        <f t="shared" ca="1" si="17"/>
        <v>9872.4527196835443</v>
      </c>
      <c r="AY45" s="232">
        <f t="shared" ca="1" si="17"/>
        <v>9803.2472659130381</v>
      </c>
      <c r="AZ45" s="232">
        <f t="shared" ca="1" si="17"/>
        <v>9727.8682946455738</v>
      </c>
      <c r="BA45" s="232">
        <f t="shared" ca="1" si="17"/>
        <v>9656.3949772083179</v>
      </c>
      <c r="BB45" s="232">
        <f t="shared" ca="1" si="17"/>
        <v>12057.385643485566</v>
      </c>
      <c r="BC45" s="232">
        <f t="shared" ca="1" si="17"/>
        <v>0</v>
      </c>
      <c r="BD45" s="232">
        <f t="shared" ca="1" si="17"/>
        <v>0</v>
      </c>
      <c r="BE45" s="232">
        <f t="shared" ca="1" si="17"/>
        <v>0</v>
      </c>
      <c r="BF45" s="232">
        <f t="shared" ca="1" si="17"/>
        <v>0</v>
      </c>
      <c r="BG45" s="232">
        <f t="shared" ca="1" si="17"/>
        <v>0</v>
      </c>
      <c r="BH45" s="232">
        <f t="shared" ca="1" si="17"/>
        <v>0</v>
      </c>
      <c r="BI45" s="232">
        <f t="shared" ca="1" si="17"/>
        <v>0</v>
      </c>
      <c r="BJ45" s="232">
        <f t="shared" ca="1" si="17"/>
        <v>0</v>
      </c>
      <c r="BK45" s="232">
        <f t="shared" ca="1" si="17"/>
        <v>0</v>
      </c>
      <c r="BL45" s="232">
        <f t="shared" ca="1" si="17"/>
        <v>0</v>
      </c>
      <c r="BM45" s="232">
        <f t="shared" ca="1" si="17"/>
        <v>0</v>
      </c>
      <c r="BN45" s="232">
        <f t="shared" ca="1" si="17"/>
        <v>0</v>
      </c>
      <c r="BO45" s="232">
        <f t="shared" ca="1" si="17"/>
        <v>0</v>
      </c>
      <c r="BP45" s="232">
        <f t="shared" ca="1" si="17"/>
        <v>0</v>
      </c>
      <c r="BQ45" s="232">
        <f t="shared" ca="1" si="17"/>
        <v>0</v>
      </c>
      <c r="BR45" s="232">
        <f t="shared" ca="1" si="17"/>
        <v>0</v>
      </c>
      <c r="BS45" s="232">
        <f t="shared" ca="1" si="17"/>
        <v>0</v>
      </c>
      <c r="BT45" s="232">
        <f t="shared" ca="1" si="17"/>
        <v>0</v>
      </c>
      <c r="BU45" s="232">
        <f t="shared" ca="1" si="17"/>
        <v>0</v>
      </c>
      <c r="BV45" s="232">
        <f t="shared" ca="1" si="17"/>
        <v>0</v>
      </c>
      <c r="BW45" s="232">
        <f t="shared" ca="1" si="17"/>
        <v>0</v>
      </c>
      <c r="BX45" s="232">
        <f t="shared" ca="1" si="17"/>
        <v>0</v>
      </c>
      <c r="BY45" s="232">
        <f t="shared" ca="1" si="17"/>
        <v>0</v>
      </c>
      <c r="BZ45" s="232">
        <f t="shared" ca="1" si="17"/>
        <v>0</v>
      </c>
      <c r="CA45" s="232">
        <f t="shared" ca="1" si="17"/>
        <v>0</v>
      </c>
      <c r="CB45" s="232">
        <f t="shared" ca="1" si="17"/>
        <v>0</v>
      </c>
      <c r="CC45" s="232">
        <f t="shared" ca="1" si="17"/>
        <v>0</v>
      </c>
      <c r="CD45" s="232">
        <f t="shared" ca="1" si="17"/>
        <v>0</v>
      </c>
      <c r="CE45" s="232">
        <f t="shared" ca="1" si="17"/>
        <v>0</v>
      </c>
      <c r="CF45" s="232">
        <f t="shared" ca="1" si="17"/>
        <v>0</v>
      </c>
      <c r="CG45" s="232">
        <f t="shared" ca="1" si="17"/>
        <v>0</v>
      </c>
      <c r="CH45" s="232">
        <f t="shared" ca="1" si="17"/>
        <v>0</v>
      </c>
      <c r="CI45" s="232">
        <f t="shared" ca="1" si="17"/>
        <v>0</v>
      </c>
      <c r="CJ45" s="232">
        <f t="shared" ca="1" si="17"/>
        <v>0</v>
      </c>
      <c r="CK45" s="232">
        <f t="shared" ca="1" si="17"/>
        <v>0</v>
      </c>
      <c r="CL45" s="232">
        <f t="shared" ca="1" si="17"/>
        <v>0</v>
      </c>
      <c r="CM45" s="232">
        <f t="shared" ca="1" si="17"/>
        <v>0</v>
      </c>
      <c r="CN45" s="232">
        <f t="shared" ca="1" si="17"/>
        <v>0</v>
      </c>
      <c r="CO45" s="232">
        <f t="shared" ca="1" si="17"/>
        <v>0</v>
      </c>
      <c r="CP45" s="232">
        <f t="shared" ca="1" si="17"/>
        <v>0</v>
      </c>
      <c r="CQ45" s="232">
        <f t="shared" ca="1" si="17"/>
        <v>0</v>
      </c>
      <c r="CR45" s="232">
        <f t="shared" ca="1" si="17"/>
        <v>0</v>
      </c>
      <c r="CS45" s="232">
        <f t="shared" ca="1" si="17"/>
        <v>0</v>
      </c>
      <c r="CT45" s="232">
        <f t="shared" ca="1" si="17"/>
        <v>0</v>
      </c>
      <c r="CU45" s="232">
        <f t="shared" ca="1" si="17"/>
        <v>0</v>
      </c>
      <c r="CV45" s="232">
        <f t="shared" ca="1" si="17"/>
        <v>0</v>
      </c>
    </row>
    <row r="46" spans="1:192" outlineLevel="1" x14ac:dyDescent="0.2">
      <c r="D46" s="209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235"/>
      <c r="W46" s="235"/>
      <c r="X46" s="235"/>
      <c r="Y46" s="235"/>
      <c r="Z46" s="235"/>
      <c r="AA46" s="235"/>
      <c r="AB46" s="235"/>
      <c r="AC46" s="235"/>
      <c r="AD46" s="235"/>
      <c r="AE46" s="235"/>
      <c r="AF46" s="235"/>
      <c r="AG46" s="235"/>
      <c r="AH46" s="235"/>
      <c r="AI46" s="235"/>
      <c r="AJ46" s="235"/>
      <c r="AK46" s="235"/>
      <c r="AL46" s="235"/>
      <c r="AM46" s="235"/>
      <c r="AN46" s="235"/>
      <c r="AO46" s="235"/>
      <c r="AP46" s="235"/>
      <c r="AQ46" s="235"/>
      <c r="AR46" s="235"/>
      <c r="AS46" s="235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5"/>
      <c r="BW46" s="235"/>
      <c r="BX46" s="235"/>
      <c r="BY46" s="235"/>
      <c r="BZ46" s="235"/>
      <c r="CA46" s="235"/>
      <c r="CB46" s="235"/>
      <c r="CC46" s="235"/>
      <c r="CD46" s="235"/>
      <c r="CE46" s="235"/>
      <c r="CF46" s="235"/>
      <c r="CG46" s="235"/>
      <c r="CH46" s="235"/>
      <c r="CI46" s="235"/>
      <c r="CJ46" s="235"/>
      <c r="CK46" s="235"/>
      <c r="CL46" s="235"/>
      <c r="CM46" s="235"/>
      <c r="CN46" s="235"/>
      <c r="CO46" s="235"/>
      <c r="CP46" s="235"/>
      <c r="CQ46" s="235"/>
      <c r="CR46" s="235"/>
      <c r="CS46" s="235"/>
      <c r="CT46" s="235"/>
      <c r="CU46" s="235"/>
      <c r="CV46" s="235"/>
    </row>
    <row r="47" spans="1:192" outlineLevel="1" x14ac:dyDescent="0.2">
      <c r="D47" s="209"/>
      <c r="E47" s="235" t="str">
        <f xml:space="preserve"> ConCost!E$237</f>
        <v>Construction costs</v>
      </c>
      <c r="F47" s="235">
        <f xml:space="preserve"> ConCost!F$237</f>
        <v>0</v>
      </c>
      <c r="G47" s="235" t="str">
        <f xml:space="preserve"> ConCost!G$237</f>
        <v>$ 000s</v>
      </c>
      <c r="H47" s="235">
        <f xml:space="preserve"> ConCost!H$237</f>
        <v>-309322.30772000004</v>
      </c>
      <c r="I47" s="235">
        <f xml:space="preserve"> ConCost!I$237</f>
        <v>0</v>
      </c>
      <c r="J47" s="235">
        <f xml:space="preserve"> ConCost!J$237</f>
        <v>-31455.562132307692</v>
      </c>
      <c r="K47" s="235">
        <f xml:space="preserve"> ConCost!K$237</f>
        <v>-69466.686396923076</v>
      </c>
      <c r="L47" s="235">
        <f xml:space="preserve"> ConCost!L$237</f>
        <v>-69466.686396923076</v>
      </c>
      <c r="M47" s="235">
        <f xml:space="preserve"> ConCost!M$237</f>
        <v>-69466.686396923076</v>
      </c>
      <c r="N47" s="235">
        <f xml:space="preserve"> ConCost!N$237</f>
        <v>-69466.686396923076</v>
      </c>
      <c r="O47" s="235">
        <f xml:space="preserve"> ConCost!O$237</f>
        <v>0</v>
      </c>
      <c r="P47" s="235">
        <f xml:space="preserve"> ConCost!P$237</f>
        <v>0</v>
      </c>
      <c r="Q47" s="235">
        <f xml:space="preserve"> ConCost!Q$237</f>
        <v>0</v>
      </c>
      <c r="R47" s="235">
        <f xml:space="preserve"> ConCost!R$237</f>
        <v>0</v>
      </c>
      <c r="S47" s="235">
        <f xml:space="preserve"> ConCost!S$237</f>
        <v>0</v>
      </c>
      <c r="T47" s="235">
        <f xml:space="preserve"> ConCost!T$237</f>
        <v>0</v>
      </c>
      <c r="U47" s="235">
        <f xml:space="preserve"> ConCost!U$237</f>
        <v>0</v>
      </c>
      <c r="V47" s="235">
        <f xml:space="preserve"> ConCost!V$237</f>
        <v>0</v>
      </c>
      <c r="W47" s="235">
        <f xml:space="preserve"> ConCost!W$237</f>
        <v>0</v>
      </c>
      <c r="X47" s="235">
        <f xml:space="preserve"> ConCost!X$237</f>
        <v>0</v>
      </c>
      <c r="Y47" s="235">
        <f xml:space="preserve"> ConCost!Y$237</f>
        <v>0</v>
      </c>
      <c r="Z47" s="235">
        <f xml:space="preserve"> ConCost!Z$237</f>
        <v>0</v>
      </c>
      <c r="AA47" s="235">
        <f xml:space="preserve"> ConCost!AA$237</f>
        <v>0</v>
      </c>
      <c r="AB47" s="235">
        <f xml:space="preserve"> ConCost!AB$237</f>
        <v>0</v>
      </c>
      <c r="AC47" s="235">
        <f xml:space="preserve"> ConCost!AC$237</f>
        <v>0</v>
      </c>
      <c r="AD47" s="235">
        <f xml:space="preserve"> ConCost!AD$237</f>
        <v>0</v>
      </c>
      <c r="AE47" s="235">
        <f xml:space="preserve"> ConCost!AE$237</f>
        <v>0</v>
      </c>
      <c r="AF47" s="235">
        <f xml:space="preserve"> ConCost!AF$237</f>
        <v>0</v>
      </c>
      <c r="AG47" s="235">
        <f xml:space="preserve"> ConCost!AG$237</f>
        <v>0</v>
      </c>
      <c r="AH47" s="235">
        <f xml:space="preserve"> ConCost!AH$237</f>
        <v>0</v>
      </c>
      <c r="AI47" s="235">
        <f xml:space="preserve"> ConCost!AI$237</f>
        <v>0</v>
      </c>
      <c r="AJ47" s="235">
        <f xml:space="preserve"> ConCost!AJ$237</f>
        <v>0</v>
      </c>
      <c r="AK47" s="235">
        <f xml:space="preserve"> ConCost!AK$237</f>
        <v>0</v>
      </c>
      <c r="AL47" s="235">
        <f xml:space="preserve"> ConCost!AL$237</f>
        <v>0</v>
      </c>
      <c r="AM47" s="235">
        <f xml:space="preserve"> ConCost!AM$237</f>
        <v>0</v>
      </c>
      <c r="AN47" s="235">
        <f xml:space="preserve"> ConCost!AN$237</f>
        <v>0</v>
      </c>
      <c r="AO47" s="235">
        <f xml:space="preserve"> ConCost!AO$237</f>
        <v>0</v>
      </c>
      <c r="AP47" s="235">
        <f xml:space="preserve"> ConCost!AP$237</f>
        <v>0</v>
      </c>
      <c r="AQ47" s="235">
        <f xml:space="preserve"> ConCost!AQ$237</f>
        <v>0</v>
      </c>
      <c r="AR47" s="235">
        <f xml:space="preserve"> ConCost!AR$237</f>
        <v>0</v>
      </c>
      <c r="AS47" s="235">
        <f xml:space="preserve"> ConCost!AS$237</f>
        <v>0</v>
      </c>
      <c r="AT47" s="235">
        <f xml:space="preserve"> ConCost!AT$237</f>
        <v>0</v>
      </c>
      <c r="AU47" s="235">
        <f xml:space="preserve"> ConCost!AU$237</f>
        <v>0</v>
      </c>
      <c r="AV47" s="235">
        <f xml:space="preserve"> ConCost!AV$237</f>
        <v>0</v>
      </c>
      <c r="AW47" s="235">
        <f xml:space="preserve"> ConCost!AW$237</f>
        <v>0</v>
      </c>
      <c r="AX47" s="235">
        <f xml:space="preserve"> ConCost!AX$237</f>
        <v>0</v>
      </c>
      <c r="AY47" s="235">
        <f xml:space="preserve"> ConCost!AY$237</f>
        <v>0</v>
      </c>
      <c r="AZ47" s="235">
        <f xml:space="preserve"> ConCost!AZ$237</f>
        <v>0</v>
      </c>
      <c r="BA47" s="235">
        <f xml:space="preserve"> ConCost!BA$237</f>
        <v>0</v>
      </c>
      <c r="BB47" s="235">
        <f xml:space="preserve"> ConCost!BB$237</f>
        <v>0</v>
      </c>
      <c r="BC47" s="235">
        <f xml:space="preserve"> ConCost!BC$237</f>
        <v>0</v>
      </c>
      <c r="BD47" s="235">
        <f xml:space="preserve"> ConCost!BD$237</f>
        <v>0</v>
      </c>
      <c r="BE47" s="235">
        <f xml:space="preserve"> ConCost!BE$237</f>
        <v>0</v>
      </c>
      <c r="BF47" s="235">
        <f xml:space="preserve"> ConCost!BF$237</f>
        <v>0</v>
      </c>
      <c r="BG47" s="235">
        <f xml:space="preserve"> ConCost!BG$237</f>
        <v>0</v>
      </c>
      <c r="BH47" s="235">
        <f xml:space="preserve"> ConCost!BH$237</f>
        <v>0</v>
      </c>
      <c r="BI47" s="235">
        <f xml:space="preserve"> ConCost!BI$237</f>
        <v>0</v>
      </c>
      <c r="BJ47" s="235">
        <f xml:space="preserve"> ConCost!BJ$237</f>
        <v>0</v>
      </c>
      <c r="BK47" s="235">
        <f xml:space="preserve"> ConCost!BK$237</f>
        <v>0</v>
      </c>
      <c r="BL47" s="235">
        <f xml:space="preserve"> ConCost!BL$237</f>
        <v>0</v>
      </c>
      <c r="BM47" s="235">
        <f xml:space="preserve"> ConCost!BM$237</f>
        <v>0</v>
      </c>
      <c r="BN47" s="235">
        <f xml:space="preserve"> ConCost!BN$237</f>
        <v>0</v>
      </c>
      <c r="BO47" s="235">
        <f xml:space="preserve"> ConCost!BO$237</f>
        <v>0</v>
      </c>
      <c r="BP47" s="235">
        <f xml:space="preserve"> ConCost!BP$237</f>
        <v>0</v>
      </c>
      <c r="BQ47" s="235">
        <f xml:space="preserve"> ConCost!BQ$237</f>
        <v>0</v>
      </c>
      <c r="BR47" s="235">
        <f xml:space="preserve"> ConCost!BR$237</f>
        <v>0</v>
      </c>
      <c r="BS47" s="235">
        <f xml:space="preserve"> ConCost!BS$237</f>
        <v>0</v>
      </c>
      <c r="BT47" s="235">
        <f xml:space="preserve"> ConCost!BT$237</f>
        <v>0</v>
      </c>
      <c r="BU47" s="235">
        <f xml:space="preserve"> ConCost!BU$237</f>
        <v>0</v>
      </c>
      <c r="BV47" s="235">
        <f xml:space="preserve"> ConCost!BV$237</f>
        <v>0</v>
      </c>
      <c r="BW47" s="235">
        <f xml:space="preserve"> ConCost!BW$237</f>
        <v>0</v>
      </c>
      <c r="BX47" s="235">
        <f xml:space="preserve"> ConCost!BX$237</f>
        <v>0</v>
      </c>
      <c r="BY47" s="235">
        <f xml:space="preserve"> ConCost!BY$237</f>
        <v>0</v>
      </c>
      <c r="BZ47" s="235">
        <f xml:space="preserve"> ConCost!BZ$237</f>
        <v>0</v>
      </c>
      <c r="CA47" s="235">
        <f xml:space="preserve"> ConCost!CA$237</f>
        <v>0</v>
      </c>
      <c r="CB47" s="235">
        <f xml:space="preserve"> ConCost!CB$237</f>
        <v>0</v>
      </c>
      <c r="CC47" s="235">
        <f xml:space="preserve"> ConCost!CC$237</f>
        <v>0</v>
      </c>
      <c r="CD47" s="235">
        <f xml:space="preserve"> ConCost!CD$237</f>
        <v>0</v>
      </c>
      <c r="CE47" s="235">
        <f xml:space="preserve"> ConCost!CE$237</f>
        <v>0</v>
      </c>
      <c r="CF47" s="235">
        <f xml:space="preserve"> ConCost!CF$237</f>
        <v>0</v>
      </c>
      <c r="CG47" s="235">
        <f xml:space="preserve"> ConCost!CG$237</f>
        <v>0</v>
      </c>
      <c r="CH47" s="235">
        <f xml:space="preserve"> ConCost!CH$237</f>
        <v>0</v>
      </c>
      <c r="CI47" s="235">
        <f xml:space="preserve"> ConCost!CI$237</f>
        <v>0</v>
      </c>
      <c r="CJ47" s="235">
        <f xml:space="preserve"> ConCost!CJ$237</f>
        <v>0</v>
      </c>
      <c r="CK47" s="235">
        <f xml:space="preserve"> ConCost!CK$237</f>
        <v>0</v>
      </c>
      <c r="CL47" s="235">
        <f xml:space="preserve"> ConCost!CL$237</f>
        <v>0</v>
      </c>
      <c r="CM47" s="235">
        <f xml:space="preserve"> ConCost!CM$237</f>
        <v>0</v>
      </c>
      <c r="CN47" s="235">
        <f xml:space="preserve"> ConCost!CN$237</f>
        <v>0</v>
      </c>
      <c r="CO47" s="235">
        <f xml:space="preserve"> ConCost!CO$237</f>
        <v>0</v>
      </c>
      <c r="CP47" s="235">
        <f xml:space="preserve"> ConCost!CP$237</f>
        <v>0</v>
      </c>
      <c r="CQ47" s="235">
        <f xml:space="preserve"> ConCost!CQ$237</f>
        <v>0</v>
      </c>
      <c r="CR47" s="235">
        <f xml:space="preserve"> ConCost!CR$237</f>
        <v>0</v>
      </c>
      <c r="CS47" s="235">
        <f xml:space="preserve"> ConCost!CS$237</f>
        <v>0</v>
      </c>
      <c r="CT47" s="235">
        <f xml:space="preserve"> ConCost!CT$237</f>
        <v>0</v>
      </c>
      <c r="CU47" s="235">
        <f xml:space="preserve"> ConCost!CU$237</f>
        <v>0</v>
      </c>
      <c r="CV47" s="235">
        <f xml:space="preserve"> ConCost!CV$237</f>
        <v>0</v>
      </c>
    </row>
    <row r="48" spans="1:192" outlineLevel="1" x14ac:dyDescent="0.2">
      <c r="D48" s="209"/>
      <c r="E48" s="235" t="str">
        <f xml:space="preserve"> ConFin!E$611</f>
        <v>Financing fees</v>
      </c>
      <c r="F48" s="235">
        <f xml:space="preserve"> ConFin!F$611</f>
        <v>0</v>
      </c>
      <c r="G48" s="235" t="str">
        <f xml:space="preserve"> ConFin!G$611</f>
        <v>$ 000s</v>
      </c>
      <c r="H48" s="235">
        <f xml:space="preserve"> ConFin!H$611</f>
        <v>-24335.550022039701</v>
      </c>
      <c r="I48" s="235">
        <f xml:space="preserve"> ConFin!I$611</f>
        <v>0</v>
      </c>
      <c r="J48" s="235">
        <f xml:space="preserve"> ConFin!J$611</f>
        <v>-7199.4501905899378</v>
      </c>
      <c r="K48" s="235">
        <f xml:space="preserve"> ConFin!K$611</f>
        <v>-2465.058188343467</v>
      </c>
      <c r="L48" s="235">
        <f xml:space="preserve"> ConFin!L$611</f>
        <v>-3646.9820080425716</v>
      </c>
      <c r="M48" s="235">
        <f xml:space="preserve"> ConFin!M$611</f>
        <v>-4947.2012865003635</v>
      </c>
      <c r="N48" s="235">
        <f xml:space="preserve"> ConFin!N$611</f>
        <v>-6076.858348563359</v>
      </c>
      <c r="O48" s="235">
        <f xml:space="preserve"> ConFin!O$611</f>
        <v>0</v>
      </c>
      <c r="P48" s="235">
        <f xml:space="preserve"> ConFin!P$611</f>
        <v>0</v>
      </c>
      <c r="Q48" s="235">
        <f xml:space="preserve"> ConFin!Q$611</f>
        <v>0</v>
      </c>
      <c r="R48" s="235">
        <f xml:space="preserve"> ConFin!R$611</f>
        <v>0</v>
      </c>
      <c r="S48" s="235">
        <f xml:space="preserve"> ConFin!S$611</f>
        <v>0</v>
      </c>
      <c r="T48" s="235">
        <f xml:space="preserve"> ConFin!T$611</f>
        <v>0</v>
      </c>
      <c r="U48" s="235">
        <f xml:space="preserve"> ConFin!U$611</f>
        <v>0</v>
      </c>
      <c r="V48" s="235">
        <f xml:space="preserve"> ConFin!V$611</f>
        <v>0</v>
      </c>
      <c r="W48" s="235">
        <f xml:space="preserve"> ConFin!W$611</f>
        <v>0</v>
      </c>
      <c r="X48" s="235">
        <f xml:space="preserve"> ConFin!X$611</f>
        <v>0</v>
      </c>
      <c r="Y48" s="235">
        <f xml:space="preserve"> ConFin!Y$611</f>
        <v>0</v>
      </c>
      <c r="Z48" s="235">
        <f xml:space="preserve"> ConFin!Z$611</f>
        <v>0</v>
      </c>
      <c r="AA48" s="235">
        <f xml:space="preserve"> ConFin!AA$611</f>
        <v>0</v>
      </c>
      <c r="AB48" s="235">
        <f xml:space="preserve"> ConFin!AB$611</f>
        <v>0</v>
      </c>
      <c r="AC48" s="235">
        <f xml:space="preserve"> ConFin!AC$611</f>
        <v>0</v>
      </c>
      <c r="AD48" s="235">
        <f xml:space="preserve"> ConFin!AD$611</f>
        <v>0</v>
      </c>
      <c r="AE48" s="235">
        <f xml:space="preserve"> ConFin!AE$611</f>
        <v>0</v>
      </c>
      <c r="AF48" s="235">
        <f xml:space="preserve"> ConFin!AF$611</f>
        <v>0</v>
      </c>
      <c r="AG48" s="235">
        <f xml:space="preserve"> ConFin!AG$611</f>
        <v>0</v>
      </c>
      <c r="AH48" s="235">
        <f xml:space="preserve"> ConFin!AH$611</f>
        <v>0</v>
      </c>
      <c r="AI48" s="235">
        <f xml:space="preserve"> ConFin!AI$611</f>
        <v>0</v>
      </c>
      <c r="AJ48" s="235">
        <f xml:space="preserve"> ConFin!AJ$611</f>
        <v>0</v>
      </c>
      <c r="AK48" s="235">
        <f xml:space="preserve"> ConFin!AK$611</f>
        <v>0</v>
      </c>
      <c r="AL48" s="235">
        <f xml:space="preserve"> ConFin!AL$611</f>
        <v>0</v>
      </c>
      <c r="AM48" s="235">
        <f xml:space="preserve"> ConFin!AM$611</f>
        <v>0</v>
      </c>
      <c r="AN48" s="235">
        <f xml:space="preserve"> ConFin!AN$611</f>
        <v>0</v>
      </c>
      <c r="AO48" s="235">
        <f xml:space="preserve"> ConFin!AO$611</f>
        <v>0</v>
      </c>
      <c r="AP48" s="235">
        <f xml:space="preserve"> ConFin!AP$611</f>
        <v>0</v>
      </c>
      <c r="AQ48" s="235">
        <f xml:space="preserve"> ConFin!AQ$611</f>
        <v>0</v>
      </c>
      <c r="AR48" s="235">
        <f xml:space="preserve"> ConFin!AR$611</f>
        <v>0</v>
      </c>
      <c r="AS48" s="235">
        <f xml:space="preserve"> ConFin!AS$611</f>
        <v>0</v>
      </c>
      <c r="AT48" s="235">
        <f xml:space="preserve"> ConFin!AT$611</f>
        <v>0</v>
      </c>
      <c r="AU48" s="235">
        <f xml:space="preserve"> ConFin!AU$611</f>
        <v>0</v>
      </c>
      <c r="AV48" s="235">
        <f xml:space="preserve"> ConFin!AV$611</f>
        <v>0</v>
      </c>
      <c r="AW48" s="235">
        <f xml:space="preserve"> ConFin!AW$611</f>
        <v>0</v>
      </c>
      <c r="AX48" s="235">
        <f xml:space="preserve"> ConFin!AX$611</f>
        <v>0</v>
      </c>
      <c r="AY48" s="235">
        <f xml:space="preserve"> ConFin!AY$611</f>
        <v>0</v>
      </c>
      <c r="AZ48" s="235">
        <f xml:space="preserve"> ConFin!AZ$611</f>
        <v>0</v>
      </c>
      <c r="BA48" s="235">
        <f xml:space="preserve"> ConFin!BA$611</f>
        <v>0</v>
      </c>
      <c r="BB48" s="235">
        <f xml:space="preserve"> ConFin!BB$611</f>
        <v>0</v>
      </c>
      <c r="BC48" s="235">
        <f xml:space="preserve"> ConFin!BC$611</f>
        <v>0</v>
      </c>
      <c r="BD48" s="235">
        <f xml:space="preserve"> ConFin!BD$611</f>
        <v>0</v>
      </c>
      <c r="BE48" s="235">
        <f xml:space="preserve"> ConFin!BE$611</f>
        <v>0</v>
      </c>
      <c r="BF48" s="235">
        <f xml:space="preserve"> ConFin!BF$611</f>
        <v>0</v>
      </c>
      <c r="BG48" s="235">
        <f xml:space="preserve"> ConFin!BG$611</f>
        <v>0</v>
      </c>
      <c r="BH48" s="235">
        <f xml:space="preserve"> ConFin!BH$611</f>
        <v>0</v>
      </c>
      <c r="BI48" s="235">
        <f xml:space="preserve"> ConFin!BI$611</f>
        <v>0</v>
      </c>
      <c r="BJ48" s="235">
        <f xml:space="preserve"> ConFin!BJ$611</f>
        <v>0</v>
      </c>
      <c r="BK48" s="235">
        <f xml:space="preserve"> ConFin!BK$611</f>
        <v>0</v>
      </c>
      <c r="BL48" s="235">
        <f xml:space="preserve"> ConFin!BL$611</f>
        <v>0</v>
      </c>
      <c r="BM48" s="235">
        <f xml:space="preserve"> ConFin!BM$611</f>
        <v>0</v>
      </c>
      <c r="BN48" s="235">
        <f xml:space="preserve"> ConFin!BN$611</f>
        <v>0</v>
      </c>
      <c r="BO48" s="235">
        <f xml:space="preserve"> ConFin!BO$611</f>
        <v>0</v>
      </c>
      <c r="BP48" s="235">
        <f xml:space="preserve"> ConFin!BP$611</f>
        <v>0</v>
      </c>
      <c r="BQ48" s="235">
        <f xml:space="preserve"> ConFin!BQ$611</f>
        <v>0</v>
      </c>
      <c r="BR48" s="235">
        <f xml:space="preserve"> ConFin!BR$611</f>
        <v>0</v>
      </c>
      <c r="BS48" s="235">
        <f xml:space="preserve"> ConFin!BS$611</f>
        <v>0</v>
      </c>
      <c r="BT48" s="235">
        <f xml:space="preserve"> ConFin!BT$611</f>
        <v>0</v>
      </c>
      <c r="BU48" s="235">
        <f xml:space="preserve"> ConFin!BU$611</f>
        <v>0</v>
      </c>
      <c r="BV48" s="235">
        <f xml:space="preserve"> ConFin!BV$611</f>
        <v>0</v>
      </c>
      <c r="BW48" s="235">
        <f xml:space="preserve"> ConFin!BW$611</f>
        <v>0</v>
      </c>
      <c r="BX48" s="235">
        <f xml:space="preserve"> ConFin!BX$611</f>
        <v>0</v>
      </c>
      <c r="BY48" s="235">
        <f xml:space="preserve"> ConFin!BY$611</f>
        <v>0</v>
      </c>
      <c r="BZ48" s="235">
        <f xml:space="preserve"> ConFin!BZ$611</f>
        <v>0</v>
      </c>
      <c r="CA48" s="235">
        <f xml:space="preserve"> ConFin!CA$611</f>
        <v>0</v>
      </c>
      <c r="CB48" s="235">
        <f xml:space="preserve"> ConFin!CB$611</f>
        <v>0</v>
      </c>
      <c r="CC48" s="235">
        <f xml:space="preserve"> ConFin!CC$611</f>
        <v>0</v>
      </c>
      <c r="CD48" s="235">
        <f xml:space="preserve"> ConFin!CD$611</f>
        <v>0</v>
      </c>
      <c r="CE48" s="235">
        <f xml:space="preserve"> ConFin!CE$611</f>
        <v>0</v>
      </c>
      <c r="CF48" s="235">
        <f xml:space="preserve"> ConFin!CF$611</f>
        <v>0</v>
      </c>
      <c r="CG48" s="235">
        <f xml:space="preserve"> ConFin!CG$611</f>
        <v>0</v>
      </c>
      <c r="CH48" s="235">
        <f xml:space="preserve"> ConFin!CH$611</f>
        <v>0</v>
      </c>
      <c r="CI48" s="235">
        <f xml:space="preserve"> ConFin!CI$611</f>
        <v>0</v>
      </c>
      <c r="CJ48" s="235">
        <f xml:space="preserve"> ConFin!CJ$611</f>
        <v>0</v>
      </c>
      <c r="CK48" s="235">
        <f xml:space="preserve"> ConFin!CK$611</f>
        <v>0</v>
      </c>
      <c r="CL48" s="235">
        <f xml:space="preserve"> ConFin!CL$611</f>
        <v>0</v>
      </c>
      <c r="CM48" s="235">
        <f xml:space="preserve"> ConFin!CM$611</f>
        <v>0</v>
      </c>
      <c r="CN48" s="235">
        <f xml:space="preserve"> ConFin!CN$611</f>
        <v>0</v>
      </c>
      <c r="CO48" s="235">
        <f xml:space="preserve"> ConFin!CO$611</f>
        <v>0</v>
      </c>
      <c r="CP48" s="235">
        <f xml:space="preserve"> ConFin!CP$611</f>
        <v>0</v>
      </c>
      <c r="CQ48" s="235">
        <f xml:space="preserve"> ConFin!CQ$611</f>
        <v>0</v>
      </c>
      <c r="CR48" s="235">
        <f xml:space="preserve"> ConFin!CR$611</f>
        <v>0</v>
      </c>
      <c r="CS48" s="235">
        <f xml:space="preserve"> ConFin!CS$611</f>
        <v>0</v>
      </c>
      <c r="CT48" s="235">
        <f xml:space="preserve"> ConFin!CT$611</f>
        <v>0</v>
      </c>
      <c r="CU48" s="235">
        <f xml:space="preserve"> ConFin!CU$611</f>
        <v>0</v>
      </c>
      <c r="CV48" s="235">
        <f xml:space="preserve"> ConFin!CV$611</f>
        <v>0</v>
      </c>
    </row>
    <row r="49" spans="1:100" outlineLevel="1" x14ac:dyDescent="0.2">
      <c r="D49" s="209"/>
      <c r="E49" s="235" t="str">
        <f xml:space="preserve"> ConCost!E$243</f>
        <v>Pre-funding of working capital</v>
      </c>
      <c r="F49" s="235">
        <f xml:space="preserve"> ConCost!F$243</f>
        <v>0</v>
      </c>
      <c r="G49" s="235" t="str">
        <f xml:space="preserve"> ConCost!G$243</f>
        <v>$ 000s</v>
      </c>
      <c r="H49" s="235">
        <f xml:space="preserve"> ConCost!H$243</f>
        <v>-3857.1209730037863</v>
      </c>
      <c r="I49" s="235">
        <f xml:space="preserve"> ConCost!I$243</f>
        <v>0</v>
      </c>
      <c r="J49" s="235">
        <f xml:space="preserve"> ConCost!J$243</f>
        <v>0</v>
      </c>
      <c r="K49" s="235">
        <f xml:space="preserve"> ConCost!K$243</f>
        <v>0</v>
      </c>
      <c r="L49" s="235">
        <f xml:space="preserve"> ConCost!L$243</f>
        <v>0</v>
      </c>
      <c r="M49" s="235">
        <f xml:space="preserve"> ConCost!M$243</f>
        <v>0</v>
      </c>
      <c r="N49" s="235">
        <f xml:space="preserve"> ConCost!N$243</f>
        <v>-3857.1209730037863</v>
      </c>
      <c r="O49" s="235">
        <f xml:space="preserve"> ConCost!O$243</f>
        <v>0</v>
      </c>
      <c r="P49" s="235">
        <f xml:space="preserve"> ConCost!P$243</f>
        <v>0</v>
      </c>
      <c r="Q49" s="235">
        <f xml:space="preserve"> ConCost!Q$243</f>
        <v>0</v>
      </c>
      <c r="R49" s="235">
        <f xml:space="preserve"> ConCost!R$243</f>
        <v>0</v>
      </c>
      <c r="S49" s="235">
        <f xml:space="preserve"> ConCost!S$243</f>
        <v>0</v>
      </c>
      <c r="T49" s="235">
        <f xml:space="preserve"> ConCost!T$243</f>
        <v>0</v>
      </c>
      <c r="U49" s="235">
        <f xml:space="preserve"> ConCost!U$243</f>
        <v>0</v>
      </c>
      <c r="V49" s="235">
        <f xml:space="preserve"> ConCost!V$243</f>
        <v>0</v>
      </c>
      <c r="W49" s="235">
        <f xml:space="preserve"> ConCost!W$243</f>
        <v>0</v>
      </c>
      <c r="X49" s="235">
        <f xml:space="preserve"> ConCost!X$243</f>
        <v>0</v>
      </c>
      <c r="Y49" s="235">
        <f xml:space="preserve"> ConCost!Y$243</f>
        <v>0</v>
      </c>
      <c r="Z49" s="235">
        <f xml:space="preserve"> ConCost!Z$243</f>
        <v>0</v>
      </c>
      <c r="AA49" s="235">
        <f xml:space="preserve"> ConCost!AA$243</f>
        <v>0</v>
      </c>
      <c r="AB49" s="235">
        <f xml:space="preserve"> ConCost!AB$243</f>
        <v>0</v>
      </c>
      <c r="AC49" s="235">
        <f xml:space="preserve"> ConCost!AC$243</f>
        <v>0</v>
      </c>
      <c r="AD49" s="235">
        <f xml:space="preserve"> ConCost!AD$243</f>
        <v>0</v>
      </c>
      <c r="AE49" s="235">
        <f xml:space="preserve"> ConCost!AE$243</f>
        <v>0</v>
      </c>
      <c r="AF49" s="235">
        <f xml:space="preserve"> ConCost!AF$243</f>
        <v>0</v>
      </c>
      <c r="AG49" s="235">
        <f xml:space="preserve"> ConCost!AG$243</f>
        <v>0</v>
      </c>
      <c r="AH49" s="235">
        <f xml:space="preserve"> ConCost!AH$243</f>
        <v>0</v>
      </c>
      <c r="AI49" s="235">
        <f xml:space="preserve"> ConCost!AI$243</f>
        <v>0</v>
      </c>
      <c r="AJ49" s="235">
        <f xml:space="preserve"> ConCost!AJ$243</f>
        <v>0</v>
      </c>
      <c r="AK49" s="235">
        <f xml:space="preserve"> ConCost!AK$243</f>
        <v>0</v>
      </c>
      <c r="AL49" s="235">
        <f xml:space="preserve"> ConCost!AL$243</f>
        <v>0</v>
      </c>
      <c r="AM49" s="235">
        <f xml:space="preserve"> ConCost!AM$243</f>
        <v>0</v>
      </c>
      <c r="AN49" s="235">
        <f xml:space="preserve"> ConCost!AN$243</f>
        <v>0</v>
      </c>
      <c r="AO49" s="235">
        <f xml:space="preserve"> ConCost!AO$243</f>
        <v>0</v>
      </c>
      <c r="AP49" s="235">
        <f xml:space="preserve"> ConCost!AP$243</f>
        <v>0</v>
      </c>
      <c r="AQ49" s="235">
        <f xml:space="preserve"> ConCost!AQ$243</f>
        <v>0</v>
      </c>
      <c r="AR49" s="235">
        <f xml:space="preserve"> ConCost!AR$243</f>
        <v>0</v>
      </c>
      <c r="AS49" s="235">
        <f xml:space="preserve"> ConCost!AS$243</f>
        <v>0</v>
      </c>
      <c r="AT49" s="235">
        <f xml:space="preserve"> ConCost!AT$243</f>
        <v>0</v>
      </c>
      <c r="AU49" s="235">
        <f xml:space="preserve"> ConCost!AU$243</f>
        <v>0</v>
      </c>
      <c r="AV49" s="235">
        <f xml:space="preserve"> ConCost!AV$243</f>
        <v>0</v>
      </c>
      <c r="AW49" s="235">
        <f xml:space="preserve"> ConCost!AW$243</f>
        <v>0</v>
      </c>
      <c r="AX49" s="235">
        <f xml:space="preserve"> ConCost!AX$243</f>
        <v>0</v>
      </c>
      <c r="AY49" s="235">
        <f xml:space="preserve"> ConCost!AY$243</f>
        <v>0</v>
      </c>
      <c r="AZ49" s="235">
        <f xml:space="preserve"> ConCost!AZ$243</f>
        <v>0</v>
      </c>
      <c r="BA49" s="235">
        <f xml:space="preserve"> ConCost!BA$243</f>
        <v>0</v>
      </c>
      <c r="BB49" s="235">
        <f xml:space="preserve"> ConCost!BB$243</f>
        <v>0</v>
      </c>
      <c r="BC49" s="235">
        <f xml:space="preserve"> ConCost!BC$243</f>
        <v>0</v>
      </c>
      <c r="BD49" s="235">
        <f xml:space="preserve"> ConCost!BD$243</f>
        <v>0</v>
      </c>
      <c r="BE49" s="235">
        <f xml:space="preserve"> ConCost!BE$243</f>
        <v>0</v>
      </c>
      <c r="BF49" s="235">
        <f xml:space="preserve"> ConCost!BF$243</f>
        <v>0</v>
      </c>
      <c r="BG49" s="235">
        <f xml:space="preserve"> ConCost!BG$243</f>
        <v>0</v>
      </c>
      <c r="BH49" s="235">
        <f xml:space="preserve"> ConCost!BH$243</f>
        <v>0</v>
      </c>
      <c r="BI49" s="235">
        <f xml:space="preserve"> ConCost!BI$243</f>
        <v>0</v>
      </c>
      <c r="BJ49" s="235">
        <f xml:space="preserve"> ConCost!BJ$243</f>
        <v>0</v>
      </c>
      <c r="BK49" s="235">
        <f xml:space="preserve"> ConCost!BK$243</f>
        <v>0</v>
      </c>
      <c r="BL49" s="235">
        <f xml:space="preserve"> ConCost!BL$243</f>
        <v>0</v>
      </c>
      <c r="BM49" s="235">
        <f xml:space="preserve"> ConCost!BM$243</f>
        <v>0</v>
      </c>
      <c r="BN49" s="235">
        <f xml:space="preserve"> ConCost!BN$243</f>
        <v>0</v>
      </c>
      <c r="BO49" s="235">
        <f xml:space="preserve"> ConCost!BO$243</f>
        <v>0</v>
      </c>
      <c r="BP49" s="235">
        <f xml:space="preserve"> ConCost!BP$243</f>
        <v>0</v>
      </c>
      <c r="BQ49" s="235">
        <f xml:space="preserve"> ConCost!BQ$243</f>
        <v>0</v>
      </c>
      <c r="BR49" s="235">
        <f xml:space="preserve"> ConCost!BR$243</f>
        <v>0</v>
      </c>
      <c r="BS49" s="235">
        <f xml:space="preserve"> ConCost!BS$243</f>
        <v>0</v>
      </c>
      <c r="BT49" s="235">
        <f xml:space="preserve"> ConCost!BT$243</f>
        <v>0</v>
      </c>
      <c r="BU49" s="235">
        <f xml:space="preserve"> ConCost!BU$243</f>
        <v>0</v>
      </c>
      <c r="BV49" s="235">
        <f xml:space="preserve"> ConCost!BV$243</f>
        <v>0</v>
      </c>
      <c r="BW49" s="235">
        <f xml:space="preserve"> ConCost!BW$243</f>
        <v>0</v>
      </c>
      <c r="BX49" s="235">
        <f xml:space="preserve"> ConCost!BX$243</f>
        <v>0</v>
      </c>
      <c r="BY49" s="235">
        <f xml:space="preserve"> ConCost!BY$243</f>
        <v>0</v>
      </c>
      <c r="BZ49" s="235">
        <f xml:space="preserve"> ConCost!BZ$243</f>
        <v>0</v>
      </c>
      <c r="CA49" s="235">
        <f xml:space="preserve"> ConCost!CA$243</f>
        <v>0</v>
      </c>
      <c r="CB49" s="235">
        <f xml:space="preserve"> ConCost!CB$243</f>
        <v>0</v>
      </c>
      <c r="CC49" s="235">
        <f xml:space="preserve"> ConCost!CC$243</f>
        <v>0</v>
      </c>
      <c r="CD49" s="235">
        <f xml:space="preserve"> ConCost!CD$243</f>
        <v>0</v>
      </c>
      <c r="CE49" s="235">
        <f xml:space="preserve"> ConCost!CE$243</f>
        <v>0</v>
      </c>
      <c r="CF49" s="235">
        <f xml:space="preserve"> ConCost!CF$243</f>
        <v>0</v>
      </c>
      <c r="CG49" s="235">
        <f xml:space="preserve"> ConCost!CG$243</f>
        <v>0</v>
      </c>
      <c r="CH49" s="235">
        <f xml:space="preserve"> ConCost!CH$243</f>
        <v>0</v>
      </c>
      <c r="CI49" s="235">
        <f xml:space="preserve"> ConCost!CI$243</f>
        <v>0</v>
      </c>
      <c r="CJ49" s="235">
        <f xml:space="preserve"> ConCost!CJ$243</f>
        <v>0</v>
      </c>
      <c r="CK49" s="235">
        <f xml:space="preserve"> ConCost!CK$243</f>
        <v>0</v>
      </c>
      <c r="CL49" s="235">
        <f xml:space="preserve"> ConCost!CL$243</f>
        <v>0</v>
      </c>
      <c r="CM49" s="235">
        <f xml:space="preserve"> ConCost!CM$243</f>
        <v>0</v>
      </c>
      <c r="CN49" s="235">
        <f xml:space="preserve"> ConCost!CN$243</f>
        <v>0</v>
      </c>
      <c r="CO49" s="235">
        <f xml:space="preserve"> ConCost!CO$243</f>
        <v>0</v>
      </c>
      <c r="CP49" s="235">
        <f xml:space="preserve"> ConCost!CP$243</f>
        <v>0</v>
      </c>
      <c r="CQ49" s="235">
        <f xml:space="preserve"> ConCost!CQ$243</f>
        <v>0</v>
      </c>
      <c r="CR49" s="235">
        <f xml:space="preserve"> ConCost!CR$243</f>
        <v>0</v>
      </c>
      <c r="CS49" s="235">
        <f xml:space="preserve"> ConCost!CS$243</f>
        <v>0</v>
      </c>
      <c r="CT49" s="235">
        <f xml:space="preserve"> ConCost!CT$243</f>
        <v>0</v>
      </c>
      <c r="CU49" s="235">
        <f xml:space="preserve"> ConCost!CU$243</f>
        <v>0</v>
      </c>
      <c r="CV49" s="235">
        <f xml:space="preserve"> ConCost!CV$243</f>
        <v>0</v>
      </c>
    </row>
    <row r="50" spans="1:100" s="191" customFormat="1" outlineLevel="1" x14ac:dyDescent="0.2">
      <c r="A50" s="205"/>
      <c r="B50" s="205"/>
      <c r="C50" s="206"/>
      <c r="D50" s="209"/>
      <c r="E50" s="235" t="str">
        <f xml:space="preserve"> ConCost!E$249</f>
        <v>Pre-funding of DSRA</v>
      </c>
      <c r="F50" s="235">
        <f xml:space="preserve"> ConCost!F$249</f>
        <v>0</v>
      </c>
      <c r="G50" s="235" t="str">
        <f xml:space="preserve"> ConCost!G$249</f>
        <v>$ 000s</v>
      </c>
      <c r="H50" s="235">
        <f xml:space="preserve"> ConCost!H$249</f>
        <v>-11233.130669939161</v>
      </c>
      <c r="I50" s="235">
        <f xml:space="preserve"> ConCost!I$249</f>
        <v>0</v>
      </c>
      <c r="J50" s="235">
        <f xml:space="preserve"> ConCost!J$249</f>
        <v>0</v>
      </c>
      <c r="K50" s="235">
        <f xml:space="preserve"> ConCost!K$249</f>
        <v>0</v>
      </c>
      <c r="L50" s="235">
        <f xml:space="preserve"> ConCost!L$249</f>
        <v>0</v>
      </c>
      <c r="M50" s="235">
        <f xml:space="preserve"> ConCost!M$249</f>
        <v>0</v>
      </c>
      <c r="N50" s="235">
        <f xml:space="preserve"> ConCost!N$249</f>
        <v>-11233.130669939161</v>
      </c>
      <c r="O50" s="235">
        <f xml:space="preserve"> ConCost!O$249</f>
        <v>0</v>
      </c>
      <c r="P50" s="235">
        <f xml:space="preserve"> ConCost!P$249</f>
        <v>0</v>
      </c>
      <c r="Q50" s="235">
        <f xml:space="preserve"> ConCost!Q$249</f>
        <v>0</v>
      </c>
      <c r="R50" s="235">
        <f xml:space="preserve"> ConCost!R$249</f>
        <v>0</v>
      </c>
      <c r="S50" s="235">
        <f xml:space="preserve"> ConCost!S$249</f>
        <v>0</v>
      </c>
      <c r="T50" s="235">
        <f xml:space="preserve"> ConCost!T$249</f>
        <v>0</v>
      </c>
      <c r="U50" s="235">
        <f xml:space="preserve"> ConCost!U$249</f>
        <v>0</v>
      </c>
      <c r="V50" s="235">
        <f xml:space="preserve"> ConCost!V$249</f>
        <v>0</v>
      </c>
      <c r="W50" s="235">
        <f xml:space="preserve"> ConCost!W$249</f>
        <v>0</v>
      </c>
      <c r="X50" s="235">
        <f xml:space="preserve"> ConCost!X$249</f>
        <v>0</v>
      </c>
      <c r="Y50" s="235">
        <f xml:space="preserve"> ConCost!Y$249</f>
        <v>0</v>
      </c>
      <c r="Z50" s="235">
        <f xml:space="preserve"> ConCost!Z$249</f>
        <v>0</v>
      </c>
      <c r="AA50" s="235">
        <f xml:space="preserve"> ConCost!AA$249</f>
        <v>0</v>
      </c>
      <c r="AB50" s="235">
        <f xml:space="preserve"> ConCost!AB$249</f>
        <v>0</v>
      </c>
      <c r="AC50" s="235">
        <f xml:space="preserve"> ConCost!AC$249</f>
        <v>0</v>
      </c>
      <c r="AD50" s="235">
        <f xml:space="preserve"> ConCost!AD$249</f>
        <v>0</v>
      </c>
      <c r="AE50" s="235">
        <f xml:space="preserve"> ConCost!AE$249</f>
        <v>0</v>
      </c>
      <c r="AF50" s="235">
        <f xml:space="preserve"> ConCost!AF$249</f>
        <v>0</v>
      </c>
      <c r="AG50" s="235">
        <f xml:space="preserve"> ConCost!AG$249</f>
        <v>0</v>
      </c>
      <c r="AH50" s="235">
        <f xml:space="preserve"> ConCost!AH$249</f>
        <v>0</v>
      </c>
      <c r="AI50" s="235">
        <f xml:space="preserve"> ConCost!AI$249</f>
        <v>0</v>
      </c>
      <c r="AJ50" s="235">
        <f xml:space="preserve"> ConCost!AJ$249</f>
        <v>0</v>
      </c>
      <c r="AK50" s="235">
        <f xml:space="preserve"> ConCost!AK$249</f>
        <v>0</v>
      </c>
      <c r="AL50" s="235">
        <f xml:space="preserve"> ConCost!AL$249</f>
        <v>0</v>
      </c>
      <c r="AM50" s="235">
        <f xml:space="preserve"> ConCost!AM$249</f>
        <v>0</v>
      </c>
      <c r="AN50" s="235">
        <f xml:space="preserve"> ConCost!AN$249</f>
        <v>0</v>
      </c>
      <c r="AO50" s="235">
        <f xml:space="preserve"> ConCost!AO$249</f>
        <v>0</v>
      </c>
      <c r="AP50" s="235">
        <f xml:space="preserve"> ConCost!AP$249</f>
        <v>0</v>
      </c>
      <c r="AQ50" s="235">
        <f xml:space="preserve"> ConCost!AQ$249</f>
        <v>0</v>
      </c>
      <c r="AR50" s="235">
        <f xml:space="preserve"> ConCost!AR$249</f>
        <v>0</v>
      </c>
      <c r="AS50" s="235">
        <f xml:space="preserve"> ConCost!AS$249</f>
        <v>0</v>
      </c>
      <c r="AT50" s="235">
        <f xml:space="preserve"> ConCost!AT$249</f>
        <v>0</v>
      </c>
      <c r="AU50" s="235">
        <f xml:space="preserve"> ConCost!AU$249</f>
        <v>0</v>
      </c>
      <c r="AV50" s="235">
        <f xml:space="preserve"> ConCost!AV$249</f>
        <v>0</v>
      </c>
      <c r="AW50" s="235">
        <f xml:space="preserve"> ConCost!AW$249</f>
        <v>0</v>
      </c>
      <c r="AX50" s="235">
        <f xml:space="preserve"> ConCost!AX$249</f>
        <v>0</v>
      </c>
      <c r="AY50" s="235">
        <f xml:space="preserve"> ConCost!AY$249</f>
        <v>0</v>
      </c>
      <c r="AZ50" s="235">
        <f xml:space="preserve"> ConCost!AZ$249</f>
        <v>0</v>
      </c>
      <c r="BA50" s="235">
        <f xml:space="preserve"> ConCost!BA$249</f>
        <v>0</v>
      </c>
      <c r="BB50" s="235">
        <f xml:space="preserve"> ConCost!BB$249</f>
        <v>0</v>
      </c>
      <c r="BC50" s="235">
        <f xml:space="preserve"> ConCost!BC$249</f>
        <v>0</v>
      </c>
      <c r="BD50" s="235">
        <f xml:space="preserve"> ConCost!BD$249</f>
        <v>0</v>
      </c>
      <c r="BE50" s="235">
        <f xml:space="preserve"> ConCost!BE$249</f>
        <v>0</v>
      </c>
      <c r="BF50" s="235">
        <f xml:space="preserve"> ConCost!BF$249</f>
        <v>0</v>
      </c>
      <c r="BG50" s="235">
        <f xml:space="preserve"> ConCost!BG$249</f>
        <v>0</v>
      </c>
      <c r="BH50" s="235">
        <f xml:space="preserve"> ConCost!BH$249</f>
        <v>0</v>
      </c>
      <c r="BI50" s="235">
        <f xml:space="preserve"> ConCost!BI$249</f>
        <v>0</v>
      </c>
      <c r="BJ50" s="235">
        <f xml:space="preserve"> ConCost!BJ$249</f>
        <v>0</v>
      </c>
      <c r="BK50" s="235">
        <f xml:space="preserve"> ConCost!BK$249</f>
        <v>0</v>
      </c>
      <c r="BL50" s="235">
        <f xml:space="preserve"> ConCost!BL$249</f>
        <v>0</v>
      </c>
      <c r="BM50" s="235">
        <f xml:space="preserve"> ConCost!BM$249</f>
        <v>0</v>
      </c>
      <c r="BN50" s="235">
        <f xml:space="preserve"> ConCost!BN$249</f>
        <v>0</v>
      </c>
      <c r="BO50" s="235">
        <f xml:space="preserve"> ConCost!BO$249</f>
        <v>0</v>
      </c>
      <c r="BP50" s="235">
        <f xml:space="preserve"> ConCost!BP$249</f>
        <v>0</v>
      </c>
      <c r="BQ50" s="235">
        <f xml:space="preserve"> ConCost!BQ$249</f>
        <v>0</v>
      </c>
      <c r="BR50" s="235">
        <f xml:space="preserve"> ConCost!BR$249</f>
        <v>0</v>
      </c>
      <c r="BS50" s="235">
        <f xml:space="preserve"> ConCost!BS$249</f>
        <v>0</v>
      </c>
      <c r="BT50" s="235">
        <f xml:space="preserve"> ConCost!BT$249</f>
        <v>0</v>
      </c>
      <c r="BU50" s="235">
        <f xml:space="preserve"> ConCost!BU$249</f>
        <v>0</v>
      </c>
      <c r="BV50" s="235">
        <f xml:space="preserve"> ConCost!BV$249</f>
        <v>0</v>
      </c>
      <c r="BW50" s="235">
        <f xml:space="preserve"> ConCost!BW$249</f>
        <v>0</v>
      </c>
      <c r="BX50" s="235">
        <f xml:space="preserve"> ConCost!BX$249</f>
        <v>0</v>
      </c>
      <c r="BY50" s="235">
        <f xml:space="preserve"> ConCost!BY$249</f>
        <v>0</v>
      </c>
      <c r="BZ50" s="235">
        <f xml:space="preserve"> ConCost!BZ$249</f>
        <v>0</v>
      </c>
      <c r="CA50" s="235">
        <f xml:space="preserve"> ConCost!CA$249</f>
        <v>0</v>
      </c>
      <c r="CB50" s="235">
        <f xml:space="preserve"> ConCost!CB$249</f>
        <v>0</v>
      </c>
      <c r="CC50" s="235">
        <f xml:space="preserve"> ConCost!CC$249</f>
        <v>0</v>
      </c>
      <c r="CD50" s="235">
        <f xml:space="preserve"> ConCost!CD$249</f>
        <v>0</v>
      </c>
      <c r="CE50" s="235">
        <f xml:space="preserve"> ConCost!CE$249</f>
        <v>0</v>
      </c>
      <c r="CF50" s="235">
        <f xml:space="preserve"> ConCost!CF$249</f>
        <v>0</v>
      </c>
      <c r="CG50" s="235">
        <f xml:space="preserve"> ConCost!CG$249</f>
        <v>0</v>
      </c>
      <c r="CH50" s="235">
        <f xml:space="preserve"> ConCost!CH$249</f>
        <v>0</v>
      </c>
      <c r="CI50" s="235">
        <f xml:space="preserve"> ConCost!CI$249</f>
        <v>0</v>
      </c>
      <c r="CJ50" s="235">
        <f xml:space="preserve"> ConCost!CJ$249</f>
        <v>0</v>
      </c>
      <c r="CK50" s="235">
        <f xml:space="preserve"> ConCost!CK$249</f>
        <v>0</v>
      </c>
      <c r="CL50" s="235">
        <f xml:space="preserve"> ConCost!CL$249</f>
        <v>0</v>
      </c>
      <c r="CM50" s="235">
        <f xml:space="preserve"> ConCost!CM$249</f>
        <v>0</v>
      </c>
      <c r="CN50" s="235">
        <f xml:space="preserve"> ConCost!CN$249</f>
        <v>0</v>
      </c>
      <c r="CO50" s="235">
        <f xml:space="preserve"> ConCost!CO$249</f>
        <v>0</v>
      </c>
      <c r="CP50" s="235">
        <f xml:space="preserve"> ConCost!CP$249</f>
        <v>0</v>
      </c>
      <c r="CQ50" s="235">
        <f xml:space="preserve"> ConCost!CQ$249</f>
        <v>0</v>
      </c>
      <c r="CR50" s="235">
        <f xml:space="preserve"> ConCost!CR$249</f>
        <v>0</v>
      </c>
      <c r="CS50" s="235">
        <f xml:space="preserve"> ConCost!CS$249</f>
        <v>0</v>
      </c>
      <c r="CT50" s="235">
        <f xml:space="preserve"> ConCost!CT$249</f>
        <v>0</v>
      </c>
      <c r="CU50" s="235">
        <f xml:space="preserve"> ConCost!CU$249</f>
        <v>0</v>
      </c>
      <c r="CV50" s="235">
        <f xml:space="preserve"> ConCost!CV$249</f>
        <v>0</v>
      </c>
    </row>
    <row r="51" spans="1:100" s="331" customFormat="1" outlineLevel="1" x14ac:dyDescent="0.2">
      <c r="A51" s="752"/>
      <c r="B51" s="752"/>
      <c r="C51" s="753"/>
      <c r="D51" s="754"/>
      <c r="E51" s="722" t="str">
        <f xml:space="preserve"> Debt!E$681</f>
        <v>Equity bridge repayment</v>
      </c>
      <c r="F51" s="722">
        <f xml:space="preserve"> Debt!F$681</f>
        <v>0</v>
      </c>
      <c r="G51" s="722" t="str">
        <f xml:space="preserve"> Debt!G$681</f>
        <v>$ 000s</v>
      </c>
      <c r="H51" s="722">
        <f xml:space="preserve"> Debt!H$681</f>
        <v>-86318.253106861201</v>
      </c>
      <c r="I51" s="722">
        <f xml:space="preserve"> Debt!I$681</f>
        <v>0</v>
      </c>
      <c r="J51" s="722">
        <f xml:space="preserve"> Debt!J$681</f>
        <v>0</v>
      </c>
      <c r="K51" s="722">
        <f xml:space="preserve"> Debt!K$681</f>
        <v>0</v>
      </c>
      <c r="L51" s="722">
        <f xml:space="preserve"> Debt!L$681</f>
        <v>0</v>
      </c>
      <c r="M51" s="722">
        <f xml:space="preserve"> Debt!M$681</f>
        <v>0</v>
      </c>
      <c r="N51" s="722">
        <f xml:space="preserve"> Debt!N$681</f>
        <v>-86318.253106861201</v>
      </c>
      <c r="O51" s="722">
        <f xml:space="preserve"> Debt!O$681</f>
        <v>0</v>
      </c>
      <c r="P51" s="722">
        <f xml:space="preserve"> Debt!P$681</f>
        <v>0</v>
      </c>
      <c r="Q51" s="722">
        <f xml:space="preserve"> Debt!Q$681</f>
        <v>0</v>
      </c>
      <c r="R51" s="722">
        <f xml:space="preserve"> Debt!R$681</f>
        <v>0</v>
      </c>
      <c r="S51" s="722">
        <f xml:space="preserve"> Debt!S$681</f>
        <v>0</v>
      </c>
      <c r="T51" s="722">
        <f xml:space="preserve"> Debt!T$681</f>
        <v>0</v>
      </c>
      <c r="U51" s="722">
        <f xml:space="preserve"> Debt!U$681</f>
        <v>0</v>
      </c>
      <c r="V51" s="722">
        <f xml:space="preserve"> Debt!V$681</f>
        <v>0</v>
      </c>
      <c r="W51" s="722">
        <f xml:space="preserve"> Debt!W$681</f>
        <v>0</v>
      </c>
      <c r="X51" s="722">
        <f xml:space="preserve"> Debt!X$681</f>
        <v>0</v>
      </c>
      <c r="Y51" s="722">
        <f xml:space="preserve"> Debt!Y$681</f>
        <v>0</v>
      </c>
      <c r="Z51" s="722">
        <f xml:space="preserve"> Debt!Z$681</f>
        <v>0</v>
      </c>
      <c r="AA51" s="722">
        <f xml:space="preserve"> Debt!AA$681</f>
        <v>0</v>
      </c>
      <c r="AB51" s="722">
        <f xml:space="preserve"> Debt!AB$681</f>
        <v>0</v>
      </c>
      <c r="AC51" s="722">
        <f xml:space="preserve"> Debt!AC$681</f>
        <v>0</v>
      </c>
      <c r="AD51" s="722">
        <f xml:space="preserve"> Debt!AD$681</f>
        <v>0</v>
      </c>
      <c r="AE51" s="722">
        <f xml:space="preserve"> Debt!AE$681</f>
        <v>0</v>
      </c>
      <c r="AF51" s="722">
        <f xml:space="preserve"> Debt!AF$681</f>
        <v>0</v>
      </c>
      <c r="AG51" s="722">
        <f xml:space="preserve"> Debt!AG$681</f>
        <v>0</v>
      </c>
      <c r="AH51" s="722">
        <f xml:space="preserve"> Debt!AH$681</f>
        <v>0</v>
      </c>
      <c r="AI51" s="722">
        <f xml:space="preserve"> Debt!AI$681</f>
        <v>0</v>
      </c>
      <c r="AJ51" s="722">
        <f xml:space="preserve"> Debt!AJ$681</f>
        <v>0</v>
      </c>
      <c r="AK51" s="722">
        <f xml:space="preserve"> Debt!AK$681</f>
        <v>0</v>
      </c>
      <c r="AL51" s="722">
        <f xml:space="preserve"> Debt!AL$681</f>
        <v>0</v>
      </c>
      <c r="AM51" s="722">
        <f xml:space="preserve"> Debt!AM$681</f>
        <v>0</v>
      </c>
      <c r="AN51" s="722">
        <f xml:space="preserve"> Debt!AN$681</f>
        <v>0</v>
      </c>
      <c r="AO51" s="722">
        <f xml:space="preserve"> Debt!AO$681</f>
        <v>0</v>
      </c>
      <c r="AP51" s="722">
        <f xml:space="preserve"> Debt!AP$681</f>
        <v>0</v>
      </c>
      <c r="AQ51" s="722">
        <f xml:space="preserve"> Debt!AQ$681</f>
        <v>0</v>
      </c>
      <c r="AR51" s="722">
        <f xml:space="preserve"> Debt!AR$681</f>
        <v>0</v>
      </c>
      <c r="AS51" s="722">
        <f xml:space="preserve"> Debt!AS$681</f>
        <v>0</v>
      </c>
      <c r="AT51" s="722">
        <f xml:space="preserve"> Debt!AT$681</f>
        <v>0</v>
      </c>
      <c r="AU51" s="722">
        <f xml:space="preserve"> Debt!AU$681</f>
        <v>0</v>
      </c>
      <c r="AV51" s="722">
        <f xml:space="preserve"> Debt!AV$681</f>
        <v>0</v>
      </c>
      <c r="AW51" s="722">
        <f xml:space="preserve"> Debt!AW$681</f>
        <v>0</v>
      </c>
      <c r="AX51" s="722">
        <f xml:space="preserve"> Debt!AX$681</f>
        <v>0</v>
      </c>
      <c r="AY51" s="722">
        <f xml:space="preserve"> Debt!AY$681</f>
        <v>0</v>
      </c>
      <c r="AZ51" s="722">
        <f xml:space="preserve"> Debt!AZ$681</f>
        <v>0</v>
      </c>
      <c r="BA51" s="722">
        <f xml:space="preserve"> Debt!BA$681</f>
        <v>0</v>
      </c>
      <c r="BB51" s="722">
        <f xml:space="preserve"> Debt!BB$681</f>
        <v>0</v>
      </c>
      <c r="BC51" s="722">
        <f xml:space="preserve"> Debt!BC$681</f>
        <v>0</v>
      </c>
      <c r="BD51" s="722">
        <f xml:space="preserve"> Debt!BD$681</f>
        <v>0</v>
      </c>
      <c r="BE51" s="722">
        <f xml:space="preserve"> Debt!BE$681</f>
        <v>0</v>
      </c>
      <c r="BF51" s="722">
        <f xml:space="preserve"> Debt!BF$681</f>
        <v>0</v>
      </c>
      <c r="BG51" s="722">
        <f xml:space="preserve"> Debt!BG$681</f>
        <v>0</v>
      </c>
      <c r="BH51" s="722">
        <f xml:space="preserve"> Debt!BH$681</f>
        <v>0</v>
      </c>
      <c r="BI51" s="722">
        <f xml:space="preserve"> Debt!BI$681</f>
        <v>0</v>
      </c>
      <c r="BJ51" s="722">
        <f xml:space="preserve"> Debt!BJ$681</f>
        <v>0</v>
      </c>
      <c r="BK51" s="722">
        <f xml:space="preserve"> Debt!BK$681</f>
        <v>0</v>
      </c>
      <c r="BL51" s="722">
        <f xml:space="preserve"> Debt!BL$681</f>
        <v>0</v>
      </c>
      <c r="BM51" s="722">
        <f xml:space="preserve"> Debt!BM$681</f>
        <v>0</v>
      </c>
      <c r="BN51" s="722">
        <f xml:space="preserve"> Debt!BN$681</f>
        <v>0</v>
      </c>
      <c r="BO51" s="722">
        <f xml:space="preserve"> Debt!BO$681</f>
        <v>0</v>
      </c>
      <c r="BP51" s="722">
        <f xml:space="preserve"> Debt!BP$681</f>
        <v>0</v>
      </c>
      <c r="BQ51" s="722">
        <f xml:space="preserve"> Debt!BQ$681</f>
        <v>0</v>
      </c>
      <c r="BR51" s="722">
        <f xml:space="preserve"> Debt!BR$681</f>
        <v>0</v>
      </c>
      <c r="BS51" s="722">
        <f xml:space="preserve"> Debt!BS$681</f>
        <v>0</v>
      </c>
      <c r="BT51" s="722">
        <f xml:space="preserve"> Debt!BT$681</f>
        <v>0</v>
      </c>
      <c r="BU51" s="722">
        <f xml:space="preserve"> Debt!BU$681</f>
        <v>0</v>
      </c>
      <c r="BV51" s="722">
        <f xml:space="preserve"> Debt!BV$681</f>
        <v>0</v>
      </c>
      <c r="BW51" s="722">
        <f xml:space="preserve"> Debt!BW$681</f>
        <v>0</v>
      </c>
      <c r="BX51" s="722">
        <f xml:space="preserve"> Debt!BX$681</f>
        <v>0</v>
      </c>
      <c r="BY51" s="722">
        <f xml:space="preserve"> Debt!BY$681</f>
        <v>0</v>
      </c>
      <c r="BZ51" s="722">
        <f xml:space="preserve"> Debt!BZ$681</f>
        <v>0</v>
      </c>
      <c r="CA51" s="722">
        <f xml:space="preserve"> Debt!CA$681</f>
        <v>0</v>
      </c>
      <c r="CB51" s="722">
        <f xml:space="preserve"> Debt!CB$681</f>
        <v>0</v>
      </c>
      <c r="CC51" s="722">
        <f xml:space="preserve"> Debt!CC$681</f>
        <v>0</v>
      </c>
      <c r="CD51" s="722">
        <f xml:space="preserve"> Debt!CD$681</f>
        <v>0</v>
      </c>
      <c r="CE51" s="722">
        <f xml:space="preserve"> Debt!CE$681</f>
        <v>0</v>
      </c>
      <c r="CF51" s="722">
        <f xml:space="preserve"> Debt!CF$681</f>
        <v>0</v>
      </c>
      <c r="CG51" s="722">
        <f xml:space="preserve"> Debt!CG$681</f>
        <v>0</v>
      </c>
      <c r="CH51" s="722">
        <f xml:space="preserve"> Debt!CH$681</f>
        <v>0</v>
      </c>
      <c r="CI51" s="722">
        <f xml:space="preserve"> Debt!CI$681</f>
        <v>0</v>
      </c>
      <c r="CJ51" s="722">
        <f xml:space="preserve"> Debt!CJ$681</f>
        <v>0</v>
      </c>
      <c r="CK51" s="722">
        <f xml:space="preserve"> Debt!CK$681</f>
        <v>0</v>
      </c>
      <c r="CL51" s="722">
        <f xml:space="preserve"> Debt!CL$681</f>
        <v>0</v>
      </c>
      <c r="CM51" s="722">
        <f xml:space="preserve"> Debt!CM$681</f>
        <v>0</v>
      </c>
      <c r="CN51" s="722">
        <f xml:space="preserve"> Debt!CN$681</f>
        <v>0</v>
      </c>
      <c r="CO51" s="722">
        <f xml:space="preserve"> Debt!CO$681</f>
        <v>0</v>
      </c>
      <c r="CP51" s="722">
        <f xml:space="preserve"> Debt!CP$681</f>
        <v>0</v>
      </c>
      <c r="CQ51" s="722">
        <f xml:space="preserve"> Debt!CQ$681</f>
        <v>0</v>
      </c>
      <c r="CR51" s="722">
        <f xml:space="preserve"> Debt!CR$681</f>
        <v>0</v>
      </c>
      <c r="CS51" s="722">
        <f xml:space="preserve"> Debt!CS$681</f>
        <v>0</v>
      </c>
      <c r="CT51" s="722">
        <f xml:space="preserve"> Debt!CT$681</f>
        <v>0</v>
      </c>
      <c r="CU51" s="722">
        <f xml:space="preserve"> Debt!CU$681</f>
        <v>0</v>
      </c>
      <c r="CV51" s="722">
        <f xml:space="preserve"> Debt!CV$681</f>
        <v>0</v>
      </c>
    </row>
    <row r="52" spans="1:100" outlineLevel="1" x14ac:dyDescent="0.2">
      <c r="D52" s="209"/>
      <c r="E52" s="235" t="str">
        <f xml:space="preserve"> ConFin!E$621</f>
        <v>Share capital drawdown</v>
      </c>
      <c r="F52" s="235">
        <f xml:space="preserve"> ConFin!F$621</f>
        <v>0</v>
      </c>
      <c r="G52" s="235" t="str">
        <f xml:space="preserve"> ConFin!G$621</f>
        <v>$ 000s</v>
      </c>
      <c r="H52" s="235">
        <f xml:space="preserve"> ConFin!H$621</f>
        <v>100</v>
      </c>
      <c r="I52" s="235">
        <f xml:space="preserve"> ConFin!I$621</f>
        <v>0</v>
      </c>
      <c r="J52" s="235">
        <f xml:space="preserve"> ConFin!J$621</f>
        <v>100</v>
      </c>
      <c r="K52" s="235">
        <f xml:space="preserve"> ConFin!K$621</f>
        <v>0</v>
      </c>
      <c r="L52" s="235">
        <f xml:space="preserve"> ConFin!L$621</f>
        <v>0</v>
      </c>
      <c r="M52" s="235">
        <f xml:space="preserve"> ConFin!M$621</f>
        <v>0</v>
      </c>
      <c r="N52" s="235">
        <f xml:space="preserve"> ConFin!N$621</f>
        <v>0</v>
      </c>
      <c r="O52" s="235">
        <f xml:space="preserve"> ConFin!O$621</f>
        <v>0</v>
      </c>
      <c r="P52" s="235">
        <f xml:space="preserve"> ConFin!P$621</f>
        <v>0</v>
      </c>
      <c r="Q52" s="235">
        <f xml:space="preserve"> ConFin!Q$621</f>
        <v>0</v>
      </c>
      <c r="R52" s="235">
        <f xml:space="preserve"> ConFin!R$621</f>
        <v>0</v>
      </c>
      <c r="S52" s="235">
        <f xml:space="preserve"> ConFin!S$621</f>
        <v>0</v>
      </c>
      <c r="T52" s="235">
        <f xml:space="preserve"> ConFin!T$621</f>
        <v>0</v>
      </c>
      <c r="U52" s="235">
        <f xml:space="preserve"> ConFin!U$621</f>
        <v>0</v>
      </c>
      <c r="V52" s="235">
        <f xml:space="preserve"> ConFin!V$621</f>
        <v>0</v>
      </c>
      <c r="W52" s="235">
        <f xml:space="preserve"> ConFin!W$621</f>
        <v>0</v>
      </c>
      <c r="X52" s="235">
        <f xml:space="preserve"> ConFin!X$621</f>
        <v>0</v>
      </c>
      <c r="Y52" s="235">
        <f xml:space="preserve"> ConFin!Y$621</f>
        <v>0</v>
      </c>
      <c r="Z52" s="235">
        <f xml:space="preserve"> ConFin!Z$621</f>
        <v>0</v>
      </c>
      <c r="AA52" s="235">
        <f xml:space="preserve"> ConFin!AA$621</f>
        <v>0</v>
      </c>
      <c r="AB52" s="235">
        <f xml:space="preserve"> ConFin!AB$621</f>
        <v>0</v>
      </c>
      <c r="AC52" s="235">
        <f xml:space="preserve"> ConFin!AC$621</f>
        <v>0</v>
      </c>
      <c r="AD52" s="235">
        <f xml:space="preserve"> ConFin!AD$621</f>
        <v>0</v>
      </c>
      <c r="AE52" s="235">
        <f xml:space="preserve"> ConFin!AE$621</f>
        <v>0</v>
      </c>
      <c r="AF52" s="235">
        <f xml:space="preserve"> ConFin!AF$621</f>
        <v>0</v>
      </c>
      <c r="AG52" s="235">
        <f xml:space="preserve"> ConFin!AG$621</f>
        <v>0</v>
      </c>
      <c r="AH52" s="235">
        <f xml:space="preserve"> ConFin!AH$621</f>
        <v>0</v>
      </c>
      <c r="AI52" s="235">
        <f xml:space="preserve"> ConFin!AI$621</f>
        <v>0</v>
      </c>
      <c r="AJ52" s="235">
        <f xml:space="preserve"> ConFin!AJ$621</f>
        <v>0</v>
      </c>
      <c r="AK52" s="235">
        <f xml:space="preserve"> ConFin!AK$621</f>
        <v>0</v>
      </c>
      <c r="AL52" s="235">
        <f xml:space="preserve"> ConFin!AL$621</f>
        <v>0</v>
      </c>
      <c r="AM52" s="235">
        <f xml:space="preserve"> ConFin!AM$621</f>
        <v>0</v>
      </c>
      <c r="AN52" s="235">
        <f xml:space="preserve"> ConFin!AN$621</f>
        <v>0</v>
      </c>
      <c r="AO52" s="235">
        <f xml:space="preserve"> ConFin!AO$621</f>
        <v>0</v>
      </c>
      <c r="AP52" s="235">
        <f xml:space="preserve"> ConFin!AP$621</f>
        <v>0</v>
      </c>
      <c r="AQ52" s="235">
        <f xml:space="preserve"> ConFin!AQ$621</f>
        <v>0</v>
      </c>
      <c r="AR52" s="235">
        <f xml:space="preserve"> ConFin!AR$621</f>
        <v>0</v>
      </c>
      <c r="AS52" s="235">
        <f xml:space="preserve"> ConFin!AS$621</f>
        <v>0</v>
      </c>
      <c r="AT52" s="235">
        <f xml:space="preserve"> ConFin!AT$621</f>
        <v>0</v>
      </c>
      <c r="AU52" s="235">
        <f xml:space="preserve"> ConFin!AU$621</f>
        <v>0</v>
      </c>
      <c r="AV52" s="235">
        <f xml:space="preserve"> ConFin!AV$621</f>
        <v>0</v>
      </c>
      <c r="AW52" s="235">
        <f xml:space="preserve"> ConFin!AW$621</f>
        <v>0</v>
      </c>
      <c r="AX52" s="235">
        <f xml:space="preserve"> ConFin!AX$621</f>
        <v>0</v>
      </c>
      <c r="AY52" s="235">
        <f xml:space="preserve"> ConFin!AY$621</f>
        <v>0</v>
      </c>
      <c r="AZ52" s="235">
        <f xml:space="preserve"> ConFin!AZ$621</f>
        <v>0</v>
      </c>
      <c r="BA52" s="235">
        <f xml:space="preserve"> ConFin!BA$621</f>
        <v>0</v>
      </c>
      <c r="BB52" s="235">
        <f xml:space="preserve"> ConFin!BB$621</f>
        <v>0</v>
      </c>
      <c r="BC52" s="235">
        <f xml:space="preserve"> ConFin!BC$621</f>
        <v>0</v>
      </c>
      <c r="BD52" s="235">
        <f xml:space="preserve"> ConFin!BD$621</f>
        <v>0</v>
      </c>
      <c r="BE52" s="235">
        <f xml:space="preserve"> ConFin!BE$621</f>
        <v>0</v>
      </c>
      <c r="BF52" s="235">
        <f xml:space="preserve"> ConFin!BF$621</f>
        <v>0</v>
      </c>
      <c r="BG52" s="235">
        <f xml:space="preserve"> ConFin!BG$621</f>
        <v>0</v>
      </c>
      <c r="BH52" s="235">
        <f xml:space="preserve"> ConFin!BH$621</f>
        <v>0</v>
      </c>
      <c r="BI52" s="235">
        <f xml:space="preserve"> ConFin!BI$621</f>
        <v>0</v>
      </c>
      <c r="BJ52" s="235">
        <f xml:space="preserve"> ConFin!BJ$621</f>
        <v>0</v>
      </c>
      <c r="BK52" s="235">
        <f xml:space="preserve"> ConFin!BK$621</f>
        <v>0</v>
      </c>
      <c r="BL52" s="235">
        <f xml:space="preserve"> ConFin!BL$621</f>
        <v>0</v>
      </c>
      <c r="BM52" s="235">
        <f xml:space="preserve"> ConFin!BM$621</f>
        <v>0</v>
      </c>
      <c r="BN52" s="235">
        <f xml:space="preserve"> ConFin!BN$621</f>
        <v>0</v>
      </c>
      <c r="BO52" s="235">
        <f xml:space="preserve"> ConFin!BO$621</f>
        <v>0</v>
      </c>
      <c r="BP52" s="235">
        <f xml:space="preserve"> ConFin!BP$621</f>
        <v>0</v>
      </c>
      <c r="BQ52" s="235">
        <f xml:space="preserve"> ConFin!BQ$621</f>
        <v>0</v>
      </c>
      <c r="BR52" s="235">
        <f xml:space="preserve"> ConFin!BR$621</f>
        <v>0</v>
      </c>
      <c r="BS52" s="235">
        <f xml:space="preserve"> ConFin!BS$621</f>
        <v>0</v>
      </c>
      <c r="BT52" s="235">
        <f xml:space="preserve"> ConFin!BT$621</f>
        <v>0</v>
      </c>
      <c r="BU52" s="235">
        <f xml:space="preserve"> ConFin!BU$621</f>
        <v>0</v>
      </c>
      <c r="BV52" s="235">
        <f xml:space="preserve"> ConFin!BV$621</f>
        <v>0</v>
      </c>
      <c r="BW52" s="235">
        <f xml:space="preserve"> ConFin!BW$621</f>
        <v>0</v>
      </c>
      <c r="BX52" s="235">
        <f xml:space="preserve"> ConFin!BX$621</f>
        <v>0</v>
      </c>
      <c r="BY52" s="235">
        <f xml:space="preserve"> ConFin!BY$621</f>
        <v>0</v>
      </c>
      <c r="BZ52" s="235">
        <f xml:space="preserve"> ConFin!BZ$621</f>
        <v>0</v>
      </c>
      <c r="CA52" s="235">
        <f xml:space="preserve"> ConFin!CA$621</f>
        <v>0</v>
      </c>
      <c r="CB52" s="235">
        <f xml:space="preserve"> ConFin!CB$621</f>
        <v>0</v>
      </c>
      <c r="CC52" s="235">
        <f xml:space="preserve"> ConFin!CC$621</f>
        <v>0</v>
      </c>
      <c r="CD52" s="235">
        <f xml:space="preserve"> ConFin!CD$621</f>
        <v>0</v>
      </c>
      <c r="CE52" s="235">
        <f xml:space="preserve"> ConFin!CE$621</f>
        <v>0</v>
      </c>
      <c r="CF52" s="235">
        <f xml:space="preserve"> ConFin!CF$621</f>
        <v>0</v>
      </c>
      <c r="CG52" s="235">
        <f xml:space="preserve"> ConFin!CG$621</f>
        <v>0</v>
      </c>
      <c r="CH52" s="235">
        <f xml:space="preserve"> ConFin!CH$621</f>
        <v>0</v>
      </c>
      <c r="CI52" s="235">
        <f xml:space="preserve"> ConFin!CI$621</f>
        <v>0</v>
      </c>
      <c r="CJ52" s="235">
        <f xml:space="preserve"> ConFin!CJ$621</f>
        <v>0</v>
      </c>
      <c r="CK52" s="235">
        <f xml:space="preserve"> ConFin!CK$621</f>
        <v>0</v>
      </c>
      <c r="CL52" s="235">
        <f xml:space="preserve"> ConFin!CL$621</f>
        <v>0</v>
      </c>
      <c r="CM52" s="235">
        <f xml:space="preserve"> ConFin!CM$621</f>
        <v>0</v>
      </c>
      <c r="CN52" s="235">
        <f xml:space="preserve"> ConFin!CN$621</f>
        <v>0</v>
      </c>
      <c r="CO52" s="235">
        <f xml:space="preserve"> ConFin!CO$621</f>
        <v>0</v>
      </c>
      <c r="CP52" s="235">
        <f xml:space="preserve"> ConFin!CP$621</f>
        <v>0</v>
      </c>
      <c r="CQ52" s="235">
        <f xml:space="preserve"> ConFin!CQ$621</f>
        <v>0</v>
      </c>
      <c r="CR52" s="235">
        <f xml:space="preserve"> ConFin!CR$621</f>
        <v>0</v>
      </c>
      <c r="CS52" s="235">
        <f xml:space="preserve"> ConFin!CS$621</f>
        <v>0</v>
      </c>
      <c r="CT52" s="235">
        <f xml:space="preserve"> ConFin!CT$621</f>
        <v>0</v>
      </c>
      <c r="CU52" s="235">
        <f xml:space="preserve"> ConFin!CU$621</f>
        <v>0</v>
      </c>
      <c r="CV52" s="235">
        <f xml:space="preserve"> ConFin!CV$621</f>
        <v>0</v>
      </c>
    </row>
    <row r="53" spans="1:100" s="114" customFormat="1" outlineLevel="1" x14ac:dyDescent="0.2">
      <c r="A53" s="752"/>
      <c r="B53" s="752"/>
      <c r="C53" s="753"/>
      <c r="D53" s="754"/>
      <c r="E53" s="703" t="str">
        <f xml:space="preserve"> ConFin!E$229</f>
        <v>Equity bridge drawdown - m</v>
      </c>
      <c r="F53" s="703">
        <f xml:space="preserve"> ConFin!F$229</f>
        <v>0</v>
      </c>
      <c r="G53" s="703" t="str">
        <f xml:space="preserve"> ConFin!G$229</f>
        <v>$ 000s</v>
      </c>
      <c r="H53" s="703">
        <f xml:space="preserve"> ConFin!H$229</f>
        <v>86318.253106861201</v>
      </c>
      <c r="I53" s="703">
        <f xml:space="preserve"> ConFin!I$229</f>
        <v>0</v>
      </c>
      <c r="J53" s="703">
        <f xml:space="preserve"> ConFin!J$229</f>
        <v>38555.01232134179</v>
      </c>
      <c r="K53" s="703">
        <f xml:space="preserve"> ConFin!K$229</f>
        <v>47763.240785519411</v>
      </c>
      <c r="L53" s="703">
        <f xml:space="preserve"> ConFin!L$229</f>
        <v>0</v>
      </c>
      <c r="M53" s="703">
        <f xml:space="preserve"> ConFin!M$229</f>
        <v>0</v>
      </c>
      <c r="N53" s="703">
        <f xml:space="preserve"> ConFin!N$229</f>
        <v>0</v>
      </c>
      <c r="O53" s="703">
        <f xml:space="preserve"> ConFin!O$229</f>
        <v>0</v>
      </c>
      <c r="P53" s="703">
        <f xml:space="preserve"> ConFin!P$229</f>
        <v>0</v>
      </c>
      <c r="Q53" s="703">
        <f xml:space="preserve"> ConFin!Q$229</f>
        <v>0</v>
      </c>
      <c r="R53" s="703">
        <f xml:space="preserve"> ConFin!R$229</f>
        <v>0</v>
      </c>
      <c r="S53" s="703">
        <f xml:space="preserve"> ConFin!S$229</f>
        <v>0</v>
      </c>
      <c r="T53" s="703">
        <f xml:space="preserve"> ConFin!T$229</f>
        <v>0</v>
      </c>
      <c r="U53" s="703">
        <f xml:space="preserve"> ConFin!U$229</f>
        <v>0</v>
      </c>
      <c r="V53" s="703">
        <f xml:space="preserve"> ConFin!V$229</f>
        <v>0</v>
      </c>
      <c r="W53" s="703">
        <f xml:space="preserve"> ConFin!W$229</f>
        <v>0</v>
      </c>
      <c r="X53" s="703">
        <f xml:space="preserve"> ConFin!X$229</f>
        <v>0</v>
      </c>
      <c r="Y53" s="703">
        <f xml:space="preserve"> ConFin!Y$229</f>
        <v>0</v>
      </c>
      <c r="Z53" s="703">
        <f xml:space="preserve"> ConFin!Z$229</f>
        <v>0</v>
      </c>
      <c r="AA53" s="703">
        <f xml:space="preserve"> ConFin!AA$229</f>
        <v>0</v>
      </c>
      <c r="AB53" s="703">
        <f xml:space="preserve"> ConFin!AB$229</f>
        <v>0</v>
      </c>
      <c r="AC53" s="703">
        <f xml:space="preserve"> ConFin!AC$229</f>
        <v>0</v>
      </c>
      <c r="AD53" s="703">
        <f xml:space="preserve"> ConFin!AD$229</f>
        <v>0</v>
      </c>
      <c r="AE53" s="703">
        <f xml:space="preserve"> ConFin!AE$229</f>
        <v>0</v>
      </c>
      <c r="AF53" s="703">
        <f xml:space="preserve"> ConFin!AF$229</f>
        <v>0</v>
      </c>
      <c r="AG53" s="703">
        <f xml:space="preserve"> ConFin!AG$229</f>
        <v>0</v>
      </c>
      <c r="AH53" s="703">
        <f xml:space="preserve"> ConFin!AH$229</f>
        <v>0</v>
      </c>
      <c r="AI53" s="703">
        <f xml:space="preserve"> ConFin!AI$229</f>
        <v>0</v>
      </c>
      <c r="AJ53" s="703">
        <f xml:space="preserve"> ConFin!AJ$229</f>
        <v>0</v>
      </c>
      <c r="AK53" s="703">
        <f xml:space="preserve"> ConFin!AK$229</f>
        <v>0</v>
      </c>
      <c r="AL53" s="703">
        <f xml:space="preserve"> ConFin!AL$229</f>
        <v>0</v>
      </c>
      <c r="AM53" s="703">
        <f xml:space="preserve"> ConFin!AM$229</f>
        <v>0</v>
      </c>
      <c r="AN53" s="703">
        <f xml:space="preserve"> ConFin!AN$229</f>
        <v>0</v>
      </c>
      <c r="AO53" s="703">
        <f xml:space="preserve"> ConFin!AO$229</f>
        <v>0</v>
      </c>
      <c r="AP53" s="703">
        <f xml:space="preserve"> ConFin!AP$229</f>
        <v>0</v>
      </c>
      <c r="AQ53" s="703">
        <f xml:space="preserve"> ConFin!AQ$229</f>
        <v>0</v>
      </c>
      <c r="AR53" s="703">
        <f xml:space="preserve"> ConFin!AR$229</f>
        <v>0</v>
      </c>
      <c r="AS53" s="703">
        <f xml:space="preserve"> ConFin!AS$229</f>
        <v>0</v>
      </c>
      <c r="AT53" s="703">
        <f xml:space="preserve"> ConFin!AT$229</f>
        <v>0</v>
      </c>
      <c r="AU53" s="703">
        <f xml:space="preserve"> ConFin!AU$229</f>
        <v>0</v>
      </c>
      <c r="AV53" s="703">
        <f xml:space="preserve"> ConFin!AV$229</f>
        <v>0</v>
      </c>
      <c r="AW53" s="703">
        <f xml:space="preserve"> ConFin!AW$229</f>
        <v>0</v>
      </c>
      <c r="AX53" s="703">
        <f xml:space="preserve"> ConFin!AX$229</f>
        <v>0</v>
      </c>
      <c r="AY53" s="703">
        <f xml:space="preserve"> ConFin!AY$229</f>
        <v>0</v>
      </c>
      <c r="AZ53" s="703">
        <f xml:space="preserve"> ConFin!AZ$229</f>
        <v>0</v>
      </c>
      <c r="BA53" s="703">
        <f xml:space="preserve"> ConFin!BA$229</f>
        <v>0</v>
      </c>
      <c r="BB53" s="703">
        <f xml:space="preserve"> ConFin!BB$229</f>
        <v>0</v>
      </c>
      <c r="BC53" s="703">
        <f xml:space="preserve"> ConFin!BC$229</f>
        <v>0</v>
      </c>
      <c r="BD53" s="703">
        <f xml:space="preserve"> ConFin!BD$229</f>
        <v>0</v>
      </c>
      <c r="BE53" s="703">
        <f xml:space="preserve"> ConFin!BE$229</f>
        <v>0</v>
      </c>
      <c r="BF53" s="703">
        <f xml:space="preserve"> ConFin!BF$229</f>
        <v>0</v>
      </c>
      <c r="BG53" s="703">
        <f xml:space="preserve"> ConFin!BG$229</f>
        <v>0</v>
      </c>
      <c r="BH53" s="703">
        <f xml:space="preserve"> ConFin!BH$229</f>
        <v>0</v>
      </c>
      <c r="BI53" s="703">
        <f xml:space="preserve"> ConFin!BI$229</f>
        <v>0</v>
      </c>
      <c r="BJ53" s="703">
        <f xml:space="preserve"> ConFin!BJ$229</f>
        <v>0</v>
      </c>
      <c r="BK53" s="703">
        <f xml:space="preserve"> ConFin!BK$229</f>
        <v>0</v>
      </c>
      <c r="BL53" s="703">
        <f xml:space="preserve"> ConFin!BL$229</f>
        <v>0</v>
      </c>
      <c r="BM53" s="703">
        <f xml:space="preserve"> ConFin!BM$229</f>
        <v>0</v>
      </c>
      <c r="BN53" s="703">
        <f xml:space="preserve"> ConFin!BN$229</f>
        <v>0</v>
      </c>
      <c r="BO53" s="703">
        <f xml:space="preserve"> ConFin!BO$229</f>
        <v>0</v>
      </c>
      <c r="BP53" s="703">
        <f xml:space="preserve"> ConFin!BP$229</f>
        <v>0</v>
      </c>
      <c r="BQ53" s="703">
        <f xml:space="preserve"> ConFin!BQ$229</f>
        <v>0</v>
      </c>
      <c r="BR53" s="703">
        <f xml:space="preserve"> ConFin!BR$229</f>
        <v>0</v>
      </c>
      <c r="BS53" s="703">
        <f xml:space="preserve"> ConFin!BS$229</f>
        <v>0</v>
      </c>
      <c r="BT53" s="703">
        <f xml:space="preserve"> ConFin!BT$229</f>
        <v>0</v>
      </c>
      <c r="BU53" s="703">
        <f xml:space="preserve"> ConFin!BU$229</f>
        <v>0</v>
      </c>
      <c r="BV53" s="703">
        <f xml:space="preserve"> ConFin!BV$229</f>
        <v>0</v>
      </c>
      <c r="BW53" s="703">
        <f xml:space="preserve"> ConFin!BW$229</f>
        <v>0</v>
      </c>
      <c r="BX53" s="703">
        <f xml:space="preserve"> ConFin!BX$229</f>
        <v>0</v>
      </c>
      <c r="BY53" s="703">
        <f xml:space="preserve"> ConFin!BY$229</f>
        <v>0</v>
      </c>
      <c r="BZ53" s="703">
        <f xml:space="preserve"> ConFin!BZ$229</f>
        <v>0</v>
      </c>
      <c r="CA53" s="703">
        <f xml:space="preserve"> ConFin!CA$229</f>
        <v>0</v>
      </c>
      <c r="CB53" s="703">
        <f xml:space="preserve"> ConFin!CB$229</f>
        <v>0</v>
      </c>
      <c r="CC53" s="703">
        <f xml:space="preserve"> ConFin!CC$229</f>
        <v>0</v>
      </c>
      <c r="CD53" s="703">
        <f xml:space="preserve"> ConFin!CD$229</f>
        <v>0</v>
      </c>
      <c r="CE53" s="703">
        <f xml:space="preserve"> ConFin!CE$229</f>
        <v>0</v>
      </c>
      <c r="CF53" s="703">
        <f xml:space="preserve"> ConFin!CF$229</f>
        <v>0</v>
      </c>
      <c r="CG53" s="703">
        <f xml:space="preserve"> ConFin!CG$229</f>
        <v>0</v>
      </c>
      <c r="CH53" s="703">
        <f xml:space="preserve"> ConFin!CH$229</f>
        <v>0</v>
      </c>
      <c r="CI53" s="703">
        <f xml:space="preserve"> ConFin!CI$229</f>
        <v>0</v>
      </c>
      <c r="CJ53" s="703">
        <f xml:space="preserve"> ConFin!CJ$229</f>
        <v>0</v>
      </c>
      <c r="CK53" s="703">
        <f xml:space="preserve"> ConFin!CK$229</f>
        <v>0</v>
      </c>
      <c r="CL53" s="703">
        <f xml:space="preserve"> ConFin!CL$229</f>
        <v>0</v>
      </c>
      <c r="CM53" s="703">
        <f xml:space="preserve"> ConFin!CM$229</f>
        <v>0</v>
      </c>
      <c r="CN53" s="703">
        <f xml:space="preserve"> ConFin!CN$229</f>
        <v>0</v>
      </c>
      <c r="CO53" s="703">
        <f xml:space="preserve"> ConFin!CO$229</f>
        <v>0</v>
      </c>
      <c r="CP53" s="703">
        <f xml:space="preserve"> ConFin!CP$229</f>
        <v>0</v>
      </c>
      <c r="CQ53" s="703">
        <f xml:space="preserve"> ConFin!CQ$229</f>
        <v>0</v>
      </c>
      <c r="CR53" s="703">
        <f xml:space="preserve"> ConFin!CR$229</f>
        <v>0</v>
      </c>
      <c r="CS53" s="703">
        <f xml:space="preserve"> ConFin!CS$229</f>
        <v>0</v>
      </c>
      <c r="CT53" s="703">
        <f xml:space="preserve"> ConFin!CT$229</f>
        <v>0</v>
      </c>
      <c r="CU53" s="703">
        <f xml:space="preserve"> ConFin!CU$229</f>
        <v>0</v>
      </c>
      <c r="CV53" s="703">
        <f xml:space="preserve"> ConFin!CV$229</f>
        <v>0</v>
      </c>
    </row>
    <row r="54" spans="1:100" outlineLevel="1" x14ac:dyDescent="0.2">
      <c r="D54" s="209"/>
      <c r="E54" s="235" t="str">
        <f xml:space="preserve"> Debt!E$447</f>
        <v>Shareholder loan drawdown</v>
      </c>
      <c r="F54" s="235">
        <f xml:space="preserve"> Debt!F$447</f>
        <v>0</v>
      </c>
      <c r="G54" s="235" t="str">
        <f xml:space="preserve"> Debt!G$447</f>
        <v>$ 000s</v>
      </c>
      <c r="H54" s="235">
        <f xml:space="preserve"> Debt!H$447</f>
        <v>86318.253106861201</v>
      </c>
      <c r="I54" s="235">
        <f xml:space="preserve"> Debt!I$447</f>
        <v>0</v>
      </c>
      <c r="J54" s="235">
        <f xml:space="preserve"> Debt!J$447</f>
        <v>0</v>
      </c>
      <c r="K54" s="235">
        <f xml:space="preserve"> Debt!K$447</f>
        <v>0</v>
      </c>
      <c r="L54" s="235">
        <f xml:space="preserve"> Debt!L$447</f>
        <v>0</v>
      </c>
      <c r="M54" s="235">
        <f xml:space="preserve"> Debt!M$447</f>
        <v>0</v>
      </c>
      <c r="N54" s="235">
        <f xml:space="preserve"> Debt!N$447</f>
        <v>86318.253106861201</v>
      </c>
      <c r="O54" s="235">
        <f xml:space="preserve"> Debt!O$447</f>
        <v>0</v>
      </c>
      <c r="P54" s="235">
        <f xml:space="preserve"> Debt!P$447</f>
        <v>0</v>
      </c>
      <c r="Q54" s="235">
        <f xml:space="preserve"> Debt!Q$447</f>
        <v>0</v>
      </c>
      <c r="R54" s="235">
        <f xml:space="preserve"> Debt!R$447</f>
        <v>0</v>
      </c>
      <c r="S54" s="235">
        <f xml:space="preserve"> Debt!S$447</f>
        <v>0</v>
      </c>
      <c r="T54" s="235">
        <f xml:space="preserve"> Debt!T$447</f>
        <v>0</v>
      </c>
      <c r="U54" s="235">
        <f xml:space="preserve"> Debt!U$447</f>
        <v>0</v>
      </c>
      <c r="V54" s="235">
        <f xml:space="preserve"> Debt!V$447</f>
        <v>0</v>
      </c>
      <c r="W54" s="235">
        <f xml:space="preserve"> Debt!W$447</f>
        <v>0</v>
      </c>
      <c r="X54" s="235">
        <f xml:space="preserve"> Debt!X$447</f>
        <v>0</v>
      </c>
      <c r="Y54" s="235">
        <f xml:space="preserve"> Debt!Y$447</f>
        <v>0</v>
      </c>
      <c r="Z54" s="235">
        <f xml:space="preserve"> Debt!Z$447</f>
        <v>0</v>
      </c>
      <c r="AA54" s="235">
        <f xml:space="preserve"> Debt!AA$447</f>
        <v>0</v>
      </c>
      <c r="AB54" s="235">
        <f xml:space="preserve"> Debt!AB$447</f>
        <v>0</v>
      </c>
      <c r="AC54" s="235">
        <f xml:space="preserve"> Debt!AC$447</f>
        <v>0</v>
      </c>
      <c r="AD54" s="235">
        <f xml:space="preserve"> Debt!AD$447</f>
        <v>0</v>
      </c>
      <c r="AE54" s="235">
        <f xml:space="preserve"> Debt!AE$447</f>
        <v>0</v>
      </c>
      <c r="AF54" s="235">
        <f xml:space="preserve"> Debt!AF$447</f>
        <v>0</v>
      </c>
      <c r="AG54" s="235">
        <f xml:space="preserve"> Debt!AG$447</f>
        <v>0</v>
      </c>
      <c r="AH54" s="235">
        <f xml:space="preserve"> Debt!AH$447</f>
        <v>0</v>
      </c>
      <c r="AI54" s="235">
        <f xml:space="preserve"> Debt!AI$447</f>
        <v>0</v>
      </c>
      <c r="AJ54" s="235">
        <f xml:space="preserve"> Debt!AJ$447</f>
        <v>0</v>
      </c>
      <c r="AK54" s="235">
        <f xml:space="preserve"> Debt!AK$447</f>
        <v>0</v>
      </c>
      <c r="AL54" s="235">
        <f xml:space="preserve"> Debt!AL$447</f>
        <v>0</v>
      </c>
      <c r="AM54" s="235">
        <f xml:space="preserve"> Debt!AM$447</f>
        <v>0</v>
      </c>
      <c r="AN54" s="235">
        <f xml:space="preserve"> Debt!AN$447</f>
        <v>0</v>
      </c>
      <c r="AO54" s="235">
        <f xml:space="preserve"> Debt!AO$447</f>
        <v>0</v>
      </c>
      <c r="AP54" s="235">
        <f xml:space="preserve"> Debt!AP$447</f>
        <v>0</v>
      </c>
      <c r="AQ54" s="235">
        <f xml:space="preserve"> Debt!AQ$447</f>
        <v>0</v>
      </c>
      <c r="AR54" s="235">
        <f xml:space="preserve"> Debt!AR$447</f>
        <v>0</v>
      </c>
      <c r="AS54" s="235">
        <f xml:space="preserve"> Debt!AS$447</f>
        <v>0</v>
      </c>
      <c r="AT54" s="235">
        <f xml:space="preserve"> Debt!AT$447</f>
        <v>0</v>
      </c>
      <c r="AU54" s="235">
        <f xml:space="preserve"> Debt!AU$447</f>
        <v>0</v>
      </c>
      <c r="AV54" s="235">
        <f xml:space="preserve"> Debt!AV$447</f>
        <v>0</v>
      </c>
      <c r="AW54" s="235">
        <f xml:space="preserve"> Debt!AW$447</f>
        <v>0</v>
      </c>
      <c r="AX54" s="235">
        <f xml:space="preserve"> Debt!AX$447</f>
        <v>0</v>
      </c>
      <c r="AY54" s="235">
        <f xml:space="preserve"> Debt!AY$447</f>
        <v>0</v>
      </c>
      <c r="AZ54" s="235">
        <f xml:space="preserve"> Debt!AZ$447</f>
        <v>0</v>
      </c>
      <c r="BA54" s="235">
        <f xml:space="preserve"> Debt!BA$447</f>
        <v>0</v>
      </c>
      <c r="BB54" s="235">
        <f xml:space="preserve"> Debt!BB$447</f>
        <v>0</v>
      </c>
      <c r="BC54" s="235">
        <f xml:space="preserve"> Debt!BC$447</f>
        <v>0</v>
      </c>
      <c r="BD54" s="235">
        <f xml:space="preserve"> Debt!BD$447</f>
        <v>0</v>
      </c>
      <c r="BE54" s="235">
        <f xml:space="preserve"> Debt!BE$447</f>
        <v>0</v>
      </c>
      <c r="BF54" s="235">
        <f xml:space="preserve"> Debt!BF$447</f>
        <v>0</v>
      </c>
      <c r="BG54" s="235">
        <f xml:space="preserve"> Debt!BG$447</f>
        <v>0</v>
      </c>
      <c r="BH54" s="235">
        <f xml:space="preserve"> Debt!BH$447</f>
        <v>0</v>
      </c>
      <c r="BI54" s="235">
        <f xml:space="preserve"> Debt!BI$447</f>
        <v>0</v>
      </c>
      <c r="BJ54" s="235">
        <f xml:space="preserve"> Debt!BJ$447</f>
        <v>0</v>
      </c>
      <c r="BK54" s="235">
        <f xml:space="preserve"> Debt!BK$447</f>
        <v>0</v>
      </c>
      <c r="BL54" s="235">
        <f xml:space="preserve"> Debt!BL$447</f>
        <v>0</v>
      </c>
      <c r="BM54" s="235">
        <f xml:space="preserve"> Debt!BM$447</f>
        <v>0</v>
      </c>
      <c r="BN54" s="235">
        <f xml:space="preserve"> Debt!BN$447</f>
        <v>0</v>
      </c>
      <c r="BO54" s="235">
        <f xml:space="preserve"> Debt!BO$447</f>
        <v>0</v>
      </c>
      <c r="BP54" s="235">
        <f xml:space="preserve"> Debt!BP$447</f>
        <v>0</v>
      </c>
      <c r="BQ54" s="235">
        <f xml:space="preserve"> Debt!BQ$447</f>
        <v>0</v>
      </c>
      <c r="BR54" s="235">
        <f xml:space="preserve"> Debt!BR$447</f>
        <v>0</v>
      </c>
      <c r="BS54" s="235">
        <f xml:space="preserve"> Debt!BS$447</f>
        <v>0</v>
      </c>
      <c r="BT54" s="235">
        <f xml:space="preserve"> Debt!BT$447</f>
        <v>0</v>
      </c>
      <c r="BU54" s="235">
        <f xml:space="preserve"> Debt!BU$447</f>
        <v>0</v>
      </c>
      <c r="BV54" s="235">
        <f xml:space="preserve"> Debt!BV$447</f>
        <v>0</v>
      </c>
      <c r="BW54" s="235">
        <f xml:space="preserve"> Debt!BW$447</f>
        <v>0</v>
      </c>
      <c r="BX54" s="235">
        <f xml:space="preserve"> Debt!BX$447</f>
        <v>0</v>
      </c>
      <c r="BY54" s="235">
        <f xml:space="preserve"> Debt!BY$447</f>
        <v>0</v>
      </c>
      <c r="BZ54" s="235">
        <f xml:space="preserve"> Debt!BZ$447</f>
        <v>0</v>
      </c>
      <c r="CA54" s="235">
        <f xml:space="preserve"> Debt!CA$447</f>
        <v>0</v>
      </c>
      <c r="CB54" s="235">
        <f xml:space="preserve"> Debt!CB$447</f>
        <v>0</v>
      </c>
      <c r="CC54" s="235">
        <f xml:space="preserve"> Debt!CC$447</f>
        <v>0</v>
      </c>
      <c r="CD54" s="235">
        <f xml:space="preserve"> Debt!CD$447</f>
        <v>0</v>
      </c>
      <c r="CE54" s="235">
        <f xml:space="preserve"> Debt!CE$447</f>
        <v>0</v>
      </c>
      <c r="CF54" s="235">
        <f xml:space="preserve"> Debt!CF$447</f>
        <v>0</v>
      </c>
      <c r="CG54" s="235">
        <f xml:space="preserve"> Debt!CG$447</f>
        <v>0</v>
      </c>
      <c r="CH54" s="235">
        <f xml:space="preserve"> Debt!CH$447</f>
        <v>0</v>
      </c>
      <c r="CI54" s="235">
        <f xml:space="preserve"> Debt!CI$447</f>
        <v>0</v>
      </c>
      <c r="CJ54" s="235">
        <f xml:space="preserve"> Debt!CJ$447</f>
        <v>0</v>
      </c>
      <c r="CK54" s="235">
        <f xml:space="preserve"> Debt!CK$447</f>
        <v>0</v>
      </c>
      <c r="CL54" s="235">
        <f xml:space="preserve"> Debt!CL$447</f>
        <v>0</v>
      </c>
      <c r="CM54" s="235">
        <f xml:space="preserve"> Debt!CM$447</f>
        <v>0</v>
      </c>
      <c r="CN54" s="235">
        <f xml:space="preserve"> Debt!CN$447</f>
        <v>0</v>
      </c>
      <c r="CO54" s="235">
        <f xml:space="preserve"> Debt!CO$447</f>
        <v>0</v>
      </c>
      <c r="CP54" s="235">
        <f xml:space="preserve"> Debt!CP$447</f>
        <v>0</v>
      </c>
      <c r="CQ54" s="235">
        <f xml:space="preserve"> Debt!CQ$447</f>
        <v>0</v>
      </c>
      <c r="CR54" s="235">
        <f xml:space="preserve"> Debt!CR$447</f>
        <v>0</v>
      </c>
      <c r="CS54" s="235">
        <f xml:space="preserve"> Debt!CS$447</f>
        <v>0</v>
      </c>
      <c r="CT54" s="235">
        <f xml:space="preserve"> Debt!CT$447</f>
        <v>0</v>
      </c>
      <c r="CU54" s="235">
        <f xml:space="preserve"> Debt!CU$447</f>
        <v>0</v>
      </c>
      <c r="CV54" s="235">
        <f xml:space="preserve"> Debt!CV$447</f>
        <v>0</v>
      </c>
    </row>
    <row r="55" spans="1:100" outlineLevel="1" x14ac:dyDescent="0.2">
      <c r="D55" s="209"/>
      <c r="E55" s="235" t="str">
        <f xml:space="preserve"> ConFin!E$631</f>
        <v>Construction debt drawdown</v>
      </c>
      <c r="F55" s="235">
        <f xml:space="preserve"> ConFin!F$631</f>
        <v>0</v>
      </c>
      <c r="G55" s="235" t="str">
        <f xml:space="preserve"> ConFin!G$631</f>
        <v>$ 000s</v>
      </c>
      <c r="H55" s="235">
        <f xml:space="preserve"> ConFin!H$631</f>
        <v>250389.85226030689</v>
      </c>
      <c r="I55" s="235">
        <f xml:space="preserve"> ConFin!I$631</f>
        <v>0</v>
      </c>
      <c r="J55" s="235">
        <f xml:space="preserve"> ConFin!J$631</f>
        <v>0</v>
      </c>
      <c r="K55" s="235">
        <f xml:space="preserve"> ConFin!K$631</f>
        <v>24168.503787280471</v>
      </c>
      <c r="L55" s="235">
        <f xml:space="preserve"> ConFin!L$631</f>
        <v>73113.668388211285</v>
      </c>
      <c r="M55" s="235">
        <f xml:space="preserve"> ConFin!M$631</f>
        <v>74413.887664000751</v>
      </c>
      <c r="N55" s="235">
        <f xml:space="preserve"> ConFin!N$631</f>
        <v>78693.792420814396</v>
      </c>
      <c r="O55" s="235">
        <f xml:space="preserve"> ConFin!O$631</f>
        <v>0</v>
      </c>
      <c r="P55" s="235">
        <f xml:space="preserve"> ConFin!P$631</f>
        <v>0</v>
      </c>
      <c r="Q55" s="235">
        <f xml:space="preserve"> ConFin!Q$631</f>
        <v>0</v>
      </c>
      <c r="R55" s="235">
        <f xml:space="preserve"> ConFin!R$631</f>
        <v>0</v>
      </c>
      <c r="S55" s="235">
        <f xml:space="preserve"> ConFin!S$631</f>
        <v>0</v>
      </c>
      <c r="T55" s="235">
        <f xml:space="preserve"> ConFin!T$631</f>
        <v>0</v>
      </c>
      <c r="U55" s="235">
        <f xml:space="preserve"> ConFin!U$631</f>
        <v>0</v>
      </c>
      <c r="V55" s="235">
        <f xml:space="preserve"> ConFin!V$631</f>
        <v>0</v>
      </c>
      <c r="W55" s="235">
        <f xml:space="preserve"> ConFin!W$631</f>
        <v>0</v>
      </c>
      <c r="X55" s="235">
        <f xml:space="preserve"> ConFin!X$631</f>
        <v>0</v>
      </c>
      <c r="Y55" s="235">
        <f xml:space="preserve"> ConFin!Y$631</f>
        <v>0</v>
      </c>
      <c r="Z55" s="235">
        <f xml:space="preserve"> ConFin!Z$631</f>
        <v>0</v>
      </c>
      <c r="AA55" s="235">
        <f xml:space="preserve"> ConFin!AA$631</f>
        <v>0</v>
      </c>
      <c r="AB55" s="235">
        <f xml:space="preserve"> ConFin!AB$631</f>
        <v>0</v>
      </c>
      <c r="AC55" s="235">
        <f xml:space="preserve"> ConFin!AC$631</f>
        <v>0</v>
      </c>
      <c r="AD55" s="235">
        <f xml:space="preserve"> ConFin!AD$631</f>
        <v>0</v>
      </c>
      <c r="AE55" s="235">
        <f xml:space="preserve"> ConFin!AE$631</f>
        <v>0</v>
      </c>
      <c r="AF55" s="235">
        <f xml:space="preserve"> ConFin!AF$631</f>
        <v>0</v>
      </c>
      <c r="AG55" s="235">
        <f xml:space="preserve"> ConFin!AG$631</f>
        <v>0</v>
      </c>
      <c r="AH55" s="235">
        <f xml:space="preserve"> ConFin!AH$631</f>
        <v>0</v>
      </c>
      <c r="AI55" s="235">
        <f xml:space="preserve"> ConFin!AI$631</f>
        <v>0</v>
      </c>
      <c r="AJ55" s="235">
        <f xml:space="preserve"> ConFin!AJ$631</f>
        <v>0</v>
      </c>
      <c r="AK55" s="235">
        <f xml:space="preserve"> ConFin!AK$631</f>
        <v>0</v>
      </c>
      <c r="AL55" s="235">
        <f xml:space="preserve"> ConFin!AL$631</f>
        <v>0</v>
      </c>
      <c r="AM55" s="235">
        <f xml:space="preserve"> ConFin!AM$631</f>
        <v>0</v>
      </c>
      <c r="AN55" s="235">
        <f xml:space="preserve"> ConFin!AN$631</f>
        <v>0</v>
      </c>
      <c r="AO55" s="235">
        <f xml:space="preserve"> ConFin!AO$631</f>
        <v>0</v>
      </c>
      <c r="AP55" s="235">
        <f xml:space="preserve"> ConFin!AP$631</f>
        <v>0</v>
      </c>
      <c r="AQ55" s="235">
        <f xml:space="preserve"> ConFin!AQ$631</f>
        <v>0</v>
      </c>
      <c r="AR55" s="235">
        <f xml:space="preserve"> ConFin!AR$631</f>
        <v>0</v>
      </c>
      <c r="AS55" s="235">
        <f xml:space="preserve"> ConFin!AS$631</f>
        <v>0</v>
      </c>
      <c r="AT55" s="235">
        <f xml:space="preserve"> ConFin!AT$631</f>
        <v>0</v>
      </c>
      <c r="AU55" s="235">
        <f xml:space="preserve"> ConFin!AU$631</f>
        <v>0</v>
      </c>
      <c r="AV55" s="235">
        <f xml:space="preserve"> ConFin!AV$631</f>
        <v>0</v>
      </c>
      <c r="AW55" s="235">
        <f xml:space="preserve"> ConFin!AW$631</f>
        <v>0</v>
      </c>
      <c r="AX55" s="235">
        <f xml:space="preserve"> ConFin!AX$631</f>
        <v>0</v>
      </c>
      <c r="AY55" s="235">
        <f xml:space="preserve"> ConFin!AY$631</f>
        <v>0</v>
      </c>
      <c r="AZ55" s="235">
        <f xml:space="preserve"> ConFin!AZ$631</f>
        <v>0</v>
      </c>
      <c r="BA55" s="235">
        <f xml:space="preserve"> ConFin!BA$631</f>
        <v>0</v>
      </c>
      <c r="BB55" s="235">
        <f xml:space="preserve"> ConFin!BB$631</f>
        <v>0</v>
      </c>
      <c r="BC55" s="235">
        <f xml:space="preserve"> ConFin!BC$631</f>
        <v>0</v>
      </c>
      <c r="BD55" s="235">
        <f xml:space="preserve"> ConFin!BD$631</f>
        <v>0</v>
      </c>
      <c r="BE55" s="235">
        <f xml:space="preserve"> ConFin!BE$631</f>
        <v>0</v>
      </c>
      <c r="BF55" s="235">
        <f xml:space="preserve"> ConFin!BF$631</f>
        <v>0</v>
      </c>
      <c r="BG55" s="235">
        <f xml:space="preserve"> ConFin!BG$631</f>
        <v>0</v>
      </c>
      <c r="BH55" s="235">
        <f xml:space="preserve"> ConFin!BH$631</f>
        <v>0</v>
      </c>
      <c r="BI55" s="235">
        <f xml:space="preserve"> ConFin!BI$631</f>
        <v>0</v>
      </c>
      <c r="BJ55" s="235">
        <f xml:space="preserve"> ConFin!BJ$631</f>
        <v>0</v>
      </c>
      <c r="BK55" s="235">
        <f xml:space="preserve"> ConFin!BK$631</f>
        <v>0</v>
      </c>
      <c r="BL55" s="235">
        <f xml:space="preserve"> ConFin!BL$631</f>
        <v>0</v>
      </c>
      <c r="BM55" s="235">
        <f xml:space="preserve"> ConFin!BM$631</f>
        <v>0</v>
      </c>
      <c r="BN55" s="235">
        <f xml:space="preserve"> ConFin!BN$631</f>
        <v>0</v>
      </c>
      <c r="BO55" s="235">
        <f xml:space="preserve"> ConFin!BO$631</f>
        <v>0</v>
      </c>
      <c r="BP55" s="235">
        <f xml:space="preserve"> ConFin!BP$631</f>
        <v>0</v>
      </c>
      <c r="BQ55" s="235">
        <f xml:space="preserve"> ConFin!BQ$631</f>
        <v>0</v>
      </c>
      <c r="BR55" s="235">
        <f xml:space="preserve"> ConFin!BR$631</f>
        <v>0</v>
      </c>
      <c r="BS55" s="235">
        <f xml:space="preserve"> ConFin!BS$631</f>
        <v>0</v>
      </c>
      <c r="BT55" s="235">
        <f xml:space="preserve"> ConFin!BT$631</f>
        <v>0</v>
      </c>
      <c r="BU55" s="235">
        <f xml:space="preserve"> ConFin!BU$631</f>
        <v>0</v>
      </c>
      <c r="BV55" s="235">
        <f xml:space="preserve"> ConFin!BV$631</f>
        <v>0</v>
      </c>
      <c r="BW55" s="235">
        <f xml:space="preserve"> ConFin!BW$631</f>
        <v>0</v>
      </c>
      <c r="BX55" s="235">
        <f xml:space="preserve"> ConFin!BX$631</f>
        <v>0</v>
      </c>
      <c r="BY55" s="235">
        <f xml:space="preserve"> ConFin!BY$631</f>
        <v>0</v>
      </c>
      <c r="BZ55" s="235">
        <f xml:space="preserve"> ConFin!BZ$631</f>
        <v>0</v>
      </c>
      <c r="CA55" s="235">
        <f xml:space="preserve"> ConFin!CA$631</f>
        <v>0</v>
      </c>
      <c r="CB55" s="235">
        <f xml:space="preserve"> ConFin!CB$631</f>
        <v>0</v>
      </c>
      <c r="CC55" s="235">
        <f xml:space="preserve"> ConFin!CC$631</f>
        <v>0</v>
      </c>
      <c r="CD55" s="235">
        <f xml:space="preserve"> ConFin!CD$631</f>
        <v>0</v>
      </c>
      <c r="CE55" s="235">
        <f xml:space="preserve"> ConFin!CE$631</f>
        <v>0</v>
      </c>
      <c r="CF55" s="235">
        <f xml:space="preserve"> ConFin!CF$631</f>
        <v>0</v>
      </c>
      <c r="CG55" s="235">
        <f xml:space="preserve"> ConFin!CG$631</f>
        <v>0</v>
      </c>
      <c r="CH55" s="235">
        <f xml:space="preserve"> ConFin!CH$631</f>
        <v>0</v>
      </c>
      <c r="CI55" s="235">
        <f xml:space="preserve"> ConFin!CI$631</f>
        <v>0</v>
      </c>
      <c r="CJ55" s="235">
        <f xml:space="preserve"> ConFin!CJ$631</f>
        <v>0</v>
      </c>
      <c r="CK55" s="235">
        <f xml:space="preserve"> ConFin!CK$631</f>
        <v>0</v>
      </c>
      <c r="CL55" s="235">
        <f xml:space="preserve"> ConFin!CL$631</f>
        <v>0</v>
      </c>
      <c r="CM55" s="235">
        <f xml:space="preserve"> ConFin!CM$631</f>
        <v>0</v>
      </c>
      <c r="CN55" s="235">
        <f xml:space="preserve"> ConFin!CN$631</f>
        <v>0</v>
      </c>
      <c r="CO55" s="235">
        <f xml:space="preserve"> ConFin!CO$631</f>
        <v>0</v>
      </c>
      <c r="CP55" s="235">
        <f xml:space="preserve"> ConFin!CP$631</f>
        <v>0</v>
      </c>
      <c r="CQ55" s="235">
        <f xml:space="preserve"> ConFin!CQ$631</f>
        <v>0</v>
      </c>
      <c r="CR55" s="235">
        <f xml:space="preserve"> ConFin!CR$631</f>
        <v>0</v>
      </c>
      <c r="CS55" s="235">
        <f xml:space="preserve"> ConFin!CS$631</f>
        <v>0</v>
      </c>
      <c r="CT55" s="235">
        <f xml:space="preserve"> ConFin!CT$631</f>
        <v>0</v>
      </c>
      <c r="CU55" s="235">
        <f xml:space="preserve"> ConFin!CU$631</f>
        <v>0</v>
      </c>
      <c r="CV55" s="235">
        <f xml:space="preserve"> ConFin!CV$631</f>
        <v>0</v>
      </c>
    </row>
    <row r="56" spans="1:100" outlineLevel="1" x14ac:dyDescent="0.2">
      <c r="D56" s="209"/>
      <c r="E56" s="235" t="str">
        <f xml:space="preserve"> ConFin!E$651</f>
        <v>Standby debt drawdown</v>
      </c>
      <c r="F56" s="235">
        <f xml:space="preserve"> ConFin!F$651</f>
        <v>0</v>
      </c>
      <c r="G56" s="235" t="str">
        <f xml:space="preserve"> ConFin!G$651</f>
        <v>$ 000s</v>
      </c>
      <c r="H56" s="235">
        <f xml:space="preserve"> ConFin!H$651</f>
        <v>0</v>
      </c>
      <c r="I56" s="235">
        <f xml:space="preserve"> ConFin!I$651</f>
        <v>0</v>
      </c>
      <c r="J56" s="235">
        <f xml:space="preserve"> ConFin!J$651</f>
        <v>0</v>
      </c>
      <c r="K56" s="235">
        <f xml:space="preserve"> ConFin!K$651</f>
        <v>0</v>
      </c>
      <c r="L56" s="235">
        <f xml:space="preserve"> ConFin!L$651</f>
        <v>0</v>
      </c>
      <c r="M56" s="235">
        <f xml:space="preserve"> ConFin!M$651</f>
        <v>0</v>
      </c>
      <c r="N56" s="235">
        <f xml:space="preserve"> ConFin!N$651</f>
        <v>0</v>
      </c>
      <c r="O56" s="235">
        <f xml:space="preserve"> ConFin!O$651</f>
        <v>0</v>
      </c>
      <c r="P56" s="235">
        <f xml:space="preserve"> ConFin!P$651</f>
        <v>0</v>
      </c>
      <c r="Q56" s="235">
        <f xml:space="preserve"> ConFin!Q$651</f>
        <v>0</v>
      </c>
      <c r="R56" s="235">
        <f xml:space="preserve"> ConFin!R$651</f>
        <v>0</v>
      </c>
      <c r="S56" s="235">
        <f xml:space="preserve"> ConFin!S$651</f>
        <v>0</v>
      </c>
      <c r="T56" s="235">
        <f xml:space="preserve"> ConFin!T$651</f>
        <v>0</v>
      </c>
      <c r="U56" s="235">
        <f xml:space="preserve"> ConFin!U$651</f>
        <v>0</v>
      </c>
      <c r="V56" s="235">
        <f xml:space="preserve"> ConFin!V$651</f>
        <v>0</v>
      </c>
      <c r="W56" s="235">
        <f xml:space="preserve"> ConFin!W$651</f>
        <v>0</v>
      </c>
      <c r="X56" s="235">
        <f xml:space="preserve"> ConFin!X$651</f>
        <v>0</v>
      </c>
      <c r="Y56" s="235">
        <f xml:space="preserve"> ConFin!Y$651</f>
        <v>0</v>
      </c>
      <c r="Z56" s="235">
        <f xml:space="preserve"> ConFin!Z$651</f>
        <v>0</v>
      </c>
      <c r="AA56" s="235">
        <f xml:space="preserve"> ConFin!AA$651</f>
        <v>0</v>
      </c>
      <c r="AB56" s="235">
        <f xml:space="preserve"> ConFin!AB$651</f>
        <v>0</v>
      </c>
      <c r="AC56" s="235">
        <f xml:space="preserve"> ConFin!AC$651</f>
        <v>0</v>
      </c>
      <c r="AD56" s="235">
        <f xml:space="preserve"> ConFin!AD$651</f>
        <v>0</v>
      </c>
      <c r="AE56" s="235">
        <f xml:space="preserve"> ConFin!AE$651</f>
        <v>0</v>
      </c>
      <c r="AF56" s="235">
        <f xml:space="preserve"> ConFin!AF$651</f>
        <v>0</v>
      </c>
      <c r="AG56" s="235">
        <f xml:space="preserve"> ConFin!AG$651</f>
        <v>0</v>
      </c>
      <c r="AH56" s="235">
        <f xml:space="preserve"> ConFin!AH$651</f>
        <v>0</v>
      </c>
      <c r="AI56" s="235">
        <f xml:space="preserve"> ConFin!AI$651</f>
        <v>0</v>
      </c>
      <c r="AJ56" s="235">
        <f xml:space="preserve"> ConFin!AJ$651</f>
        <v>0</v>
      </c>
      <c r="AK56" s="235">
        <f xml:space="preserve"> ConFin!AK$651</f>
        <v>0</v>
      </c>
      <c r="AL56" s="235">
        <f xml:space="preserve"> ConFin!AL$651</f>
        <v>0</v>
      </c>
      <c r="AM56" s="235">
        <f xml:space="preserve"> ConFin!AM$651</f>
        <v>0</v>
      </c>
      <c r="AN56" s="235">
        <f xml:space="preserve"> ConFin!AN$651</f>
        <v>0</v>
      </c>
      <c r="AO56" s="235">
        <f xml:space="preserve"> ConFin!AO$651</f>
        <v>0</v>
      </c>
      <c r="AP56" s="235">
        <f xml:space="preserve"> ConFin!AP$651</f>
        <v>0</v>
      </c>
      <c r="AQ56" s="235">
        <f xml:space="preserve"> ConFin!AQ$651</f>
        <v>0</v>
      </c>
      <c r="AR56" s="235">
        <f xml:space="preserve"> ConFin!AR$651</f>
        <v>0</v>
      </c>
      <c r="AS56" s="235">
        <f xml:space="preserve"> ConFin!AS$651</f>
        <v>0</v>
      </c>
      <c r="AT56" s="235">
        <f xml:space="preserve"> ConFin!AT$651</f>
        <v>0</v>
      </c>
      <c r="AU56" s="235">
        <f xml:space="preserve"> ConFin!AU$651</f>
        <v>0</v>
      </c>
      <c r="AV56" s="235">
        <f xml:space="preserve"> ConFin!AV$651</f>
        <v>0</v>
      </c>
      <c r="AW56" s="235">
        <f xml:space="preserve"> ConFin!AW$651</f>
        <v>0</v>
      </c>
      <c r="AX56" s="235">
        <f xml:space="preserve"> ConFin!AX$651</f>
        <v>0</v>
      </c>
      <c r="AY56" s="235">
        <f xml:space="preserve"> ConFin!AY$651</f>
        <v>0</v>
      </c>
      <c r="AZ56" s="235">
        <f xml:space="preserve"> ConFin!AZ$651</f>
        <v>0</v>
      </c>
      <c r="BA56" s="235">
        <f xml:space="preserve"> ConFin!BA$651</f>
        <v>0</v>
      </c>
      <c r="BB56" s="235">
        <f xml:space="preserve"> ConFin!BB$651</f>
        <v>0</v>
      </c>
      <c r="BC56" s="235">
        <f xml:space="preserve"> ConFin!BC$651</f>
        <v>0</v>
      </c>
      <c r="BD56" s="235">
        <f xml:space="preserve"> ConFin!BD$651</f>
        <v>0</v>
      </c>
      <c r="BE56" s="235">
        <f xml:space="preserve"> ConFin!BE$651</f>
        <v>0</v>
      </c>
      <c r="BF56" s="235">
        <f xml:space="preserve"> ConFin!BF$651</f>
        <v>0</v>
      </c>
      <c r="BG56" s="235">
        <f xml:space="preserve"> ConFin!BG$651</f>
        <v>0</v>
      </c>
      <c r="BH56" s="235">
        <f xml:space="preserve"> ConFin!BH$651</f>
        <v>0</v>
      </c>
      <c r="BI56" s="235">
        <f xml:space="preserve"> ConFin!BI$651</f>
        <v>0</v>
      </c>
      <c r="BJ56" s="235">
        <f xml:space="preserve"> ConFin!BJ$651</f>
        <v>0</v>
      </c>
      <c r="BK56" s="235">
        <f xml:space="preserve"> ConFin!BK$651</f>
        <v>0</v>
      </c>
      <c r="BL56" s="235">
        <f xml:space="preserve"> ConFin!BL$651</f>
        <v>0</v>
      </c>
      <c r="BM56" s="235">
        <f xml:space="preserve"> ConFin!BM$651</f>
        <v>0</v>
      </c>
      <c r="BN56" s="235">
        <f xml:space="preserve"> ConFin!BN$651</f>
        <v>0</v>
      </c>
      <c r="BO56" s="235">
        <f xml:space="preserve"> ConFin!BO$651</f>
        <v>0</v>
      </c>
      <c r="BP56" s="235">
        <f xml:space="preserve"> ConFin!BP$651</f>
        <v>0</v>
      </c>
      <c r="BQ56" s="235">
        <f xml:space="preserve"> ConFin!BQ$651</f>
        <v>0</v>
      </c>
      <c r="BR56" s="235">
        <f xml:space="preserve"> ConFin!BR$651</f>
        <v>0</v>
      </c>
      <c r="BS56" s="235">
        <f xml:space="preserve"> ConFin!BS$651</f>
        <v>0</v>
      </c>
      <c r="BT56" s="235">
        <f xml:space="preserve"> ConFin!BT$651</f>
        <v>0</v>
      </c>
      <c r="BU56" s="235">
        <f xml:space="preserve"> ConFin!BU$651</f>
        <v>0</v>
      </c>
      <c r="BV56" s="235">
        <f xml:space="preserve"> ConFin!BV$651</f>
        <v>0</v>
      </c>
      <c r="BW56" s="235">
        <f xml:space="preserve"> ConFin!BW$651</f>
        <v>0</v>
      </c>
      <c r="BX56" s="235">
        <f xml:space="preserve"> ConFin!BX$651</f>
        <v>0</v>
      </c>
      <c r="BY56" s="235">
        <f xml:space="preserve"> ConFin!BY$651</f>
        <v>0</v>
      </c>
      <c r="BZ56" s="235">
        <f xml:space="preserve"> ConFin!BZ$651</f>
        <v>0</v>
      </c>
      <c r="CA56" s="235">
        <f xml:space="preserve"> ConFin!CA$651</f>
        <v>0</v>
      </c>
      <c r="CB56" s="235">
        <f xml:space="preserve"> ConFin!CB$651</f>
        <v>0</v>
      </c>
      <c r="CC56" s="235">
        <f xml:space="preserve"> ConFin!CC$651</f>
        <v>0</v>
      </c>
      <c r="CD56" s="235">
        <f xml:space="preserve"> ConFin!CD$651</f>
        <v>0</v>
      </c>
      <c r="CE56" s="235">
        <f xml:space="preserve"> ConFin!CE$651</f>
        <v>0</v>
      </c>
      <c r="CF56" s="235">
        <f xml:space="preserve"> ConFin!CF$651</f>
        <v>0</v>
      </c>
      <c r="CG56" s="235">
        <f xml:space="preserve"> ConFin!CG$651</f>
        <v>0</v>
      </c>
      <c r="CH56" s="235">
        <f xml:space="preserve"> ConFin!CH$651</f>
        <v>0</v>
      </c>
      <c r="CI56" s="235">
        <f xml:space="preserve"> ConFin!CI$651</f>
        <v>0</v>
      </c>
      <c r="CJ56" s="235">
        <f xml:space="preserve"> ConFin!CJ$651</f>
        <v>0</v>
      </c>
      <c r="CK56" s="235">
        <f xml:space="preserve"> ConFin!CK$651</f>
        <v>0</v>
      </c>
      <c r="CL56" s="235">
        <f xml:space="preserve"> ConFin!CL$651</f>
        <v>0</v>
      </c>
      <c r="CM56" s="235">
        <f xml:space="preserve"> ConFin!CM$651</f>
        <v>0</v>
      </c>
      <c r="CN56" s="235">
        <f xml:space="preserve"> ConFin!CN$651</f>
        <v>0</v>
      </c>
      <c r="CO56" s="235">
        <f xml:space="preserve"> ConFin!CO$651</f>
        <v>0</v>
      </c>
      <c r="CP56" s="235">
        <f xml:space="preserve"> ConFin!CP$651</f>
        <v>0</v>
      </c>
      <c r="CQ56" s="235">
        <f xml:space="preserve"> ConFin!CQ$651</f>
        <v>0</v>
      </c>
      <c r="CR56" s="235">
        <f xml:space="preserve"> ConFin!CR$651</f>
        <v>0</v>
      </c>
      <c r="CS56" s="235">
        <f xml:space="preserve"> ConFin!CS$651</f>
        <v>0</v>
      </c>
      <c r="CT56" s="235">
        <f xml:space="preserve"> ConFin!CT$651</f>
        <v>0</v>
      </c>
      <c r="CU56" s="235">
        <f xml:space="preserve"> ConFin!CU$651</f>
        <v>0</v>
      </c>
      <c r="CV56" s="235">
        <f xml:space="preserve"> ConFin!CV$651</f>
        <v>0</v>
      </c>
    </row>
    <row r="57" spans="1:100" outlineLevel="1" x14ac:dyDescent="0.2">
      <c r="D57" s="209"/>
      <c r="E57" s="235" t="str">
        <f xml:space="preserve"> ConFin!E$646</f>
        <v>Standby equity drawdown</v>
      </c>
      <c r="F57" s="235">
        <f xml:space="preserve"> ConFin!F$646</f>
        <v>0</v>
      </c>
      <c r="G57" s="235" t="str">
        <f xml:space="preserve"> ConFin!G$646</f>
        <v>$ 000s</v>
      </c>
      <c r="H57" s="235">
        <f xml:space="preserve"> ConFin!H$646</f>
        <v>0</v>
      </c>
      <c r="I57" s="235">
        <f xml:space="preserve"> ConFin!I$646</f>
        <v>0</v>
      </c>
      <c r="J57" s="235">
        <f xml:space="preserve"> ConFin!J$646</f>
        <v>0</v>
      </c>
      <c r="K57" s="235">
        <f xml:space="preserve"> ConFin!K$646</f>
        <v>0</v>
      </c>
      <c r="L57" s="235">
        <f xml:space="preserve"> ConFin!L$646</f>
        <v>0</v>
      </c>
      <c r="M57" s="235">
        <f xml:space="preserve"> ConFin!M$646</f>
        <v>0</v>
      </c>
      <c r="N57" s="235">
        <f xml:space="preserve"> ConFin!N$646</f>
        <v>0</v>
      </c>
      <c r="O57" s="235">
        <f xml:space="preserve"> ConFin!O$646</f>
        <v>0</v>
      </c>
      <c r="P57" s="235">
        <f xml:space="preserve"> ConFin!P$646</f>
        <v>0</v>
      </c>
      <c r="Q57" s="235">
        <f xml:space="preserve"> ConFin!Q$646</f>
        <v>0</v>
      </c>
      <c r="R57" s="235">
        <f xml:space="preserve"> ConFin!R$646</f>
        <v>0</v>
      </c>
      <c r="S57" s="235">
        <f xml:space="preserve"> ConFin!S$646</f>
        <v>0</v>
      </c>
      <c r="T57" s="235">
        <f xml:space="preserve"> ConFin!T$646</f>
        <v>0</v>
      </c>
      <c r="U57" s="235">
        <f xml:space="preserve"> ConFin!U$646</f>
        <v>0</v>
      </c>
      <c r="V57" s="235">
        <f xml:space="preserve"> ConFin!V$646</f>
        <v>0</v>
      </c>
      <c r="W57" s="235">
        <f xml:space="preserve"> ConFin!W$646</f>
        <v>0</v>
      </c>
      <c r="X57" s="235">
        <f xml:space="preserve"> ConFin!X$646</f>
        <v>0</v>
      </c>
      <c r="Y57" s="235">
        <f xml:space="preserve"> ConFin!Y$646</f>
        <v>0</v>
      </c>
      <c r="Z57" s="235">
        <f xml:space="preserve"> ConFin!Z$646</f>
        <v>0</v>
      </c>
      <c r="AA57" s="235">
        <f xml:space="preserve"> ConFin!AA$646</f>
        <v>0</v>
      </c>
      <c r="AB57" s="235">
        <f xml:space="preserve"> ConFin!AB$646</f>
        <v>0</v>
      </c>
      <c r="AC57" s="235">
        <f xml:space="preserve"> ConFin!AC$646</f>
        <v>0</v>
      </c>
      <c r="AD57" s="235">
        <f xml:space="preserve"> ConFin!AD$646</f>
        <v>0</v>
      </c>
      <c r="AE57" s="235">
        <f xml:space="preserve"> ConFin!AE$646</f>
        <v>0</v>
      </c>
      <c r="AF57" s="235">
        <f xml:space="preserve"> ConFin!AF$646</f>
        <v>0</v>
      </c>
      <c r="AG57" s="235">
        <f xml:space="preserve"> ConFin!AG$646</f>
        <v>0</v>
      </c>
      <c r="AH57" s="235">
        <f xml:space="preserve"> ConFin!AH$646</f>
        <v>0</v>
      </c>
      <c r="AI57" s="235">
        <f xml:space="preserve"> ConFin!AI$646</f>
        <v>0</v>
      </c>
      <c r="AJ57" s="235">
        <f xml:space="preserve"> ConFin!AJ$646</f>
        <v>0</v>
      </c>
      <c r="AK57" s="235">
        <f xml:space="preserve"> ConFin!AK$646</f>
        <v>0</v>
      </c>
      <c r="AL57" s="235">
        <f xml:space="preserve"> ConFin!AL$646</f>
        <v>0</v>
      </c>
      <c r="AM57" s="235">
        <f xml:space="preserve"> ConFin!AM$646</f>
        <v>0</v>
      </c>
      <c r="AN57" s="235">
        <f xml:space="preserve"> ConFin!AN$646</f>
        <v>0</v>
      </c>
      <c r="AO57" s="235">
        <f xml:space="preserve"> ConFin!AO$646</f>
        <v>0</v>
      </c>
      <c r="AP57" s="235">
        <f xml:space="preserve"> ConFin!AP$646</f>
        <v>0</v>
      </c>
      <c r="AQ57" s="235">
        <f xml:space="preserve"> ConFin!AQ$646</f>
        <v>0</v>
      </c>
      <c r="AR57" s="235">
        <f xml:space="preserve"> ConFin!AR$646</f>
        <v>0</v>
      </c>
      <c r="AS57" s="235">
        <f xml:space="preserve"> ConFin!AS$646</f>
        <v>0</v>
      </c>
      <c r="AT57" s="235">
        <f xml:space="preserve"> ConFin!AT$646</f>
        <v>0</v>
      </c>
      <c r="AU57" s="235">
        <f xml:space="preserve"> ConFin!AU$646</f>
        <v>0</v>
      </c>
      <c r="AV57" s="235">
        <f xml:space="preserve"> ConFin!AV$646</f>
        <v>0</v>
      </c>
      <c r="AW57" s="235">
        <f xml:space="preserve"> ConFin!AW$646</f>
        <v>0</v>
      </c>
      <c r="AX57" s="235">
        <f xml:space="preserve"> ConFin!AX$646</f>
        <v>0</v>
      </c>
      <c r="AY57" s="235">
        <f xml:space="preserve"> ConFin!AY$646</f>
        <v>0</v>
      </c>
      <c r="AZ57" s="235">
        <f xml:space="preserve"> ConFin!AZ$646</f>
        <v>0</v>
      </c>
      <c r="BA57" s="235">
        <f xml:space="preserve"> ConFin!BA$646</f>
        <v>0</v>
      </c>
      <c r="BB57" s="235">
        <f xml:space="preserve"> ConFin!BB$646</f>
        <v>0</v>
      </c>
      <c r="BC57" s="235">
        <f xml:space="preserve"> ConFin!BC$646</f>
        <v>0</v>
      </c>
      <c r="BD57" s="235">
        <f xml:space="preserve"> ConFin!BD$646</f>
        <v>0</v>
      </c>
      <c r="BE57" s="235">
        <f xml:space="preserve"> ConFin!BE$646</f>
        <v>0</v>
      </c>
      <c r="BF57" s="235">
        <f xml:space="preserve"> ConFin!BF$646</f>
        <v>0</v>
      </c>
      <c r="BG57" s="235">
        <f xml:space="preserve"> ConFin!BG$646</f>
        <v>0</v>
      </c>
      <c r="BH57" s="235">
        <f xml:space="preserve"> ConFin!BH$646</f>
        <v>0</v>
      </c>
      <c r="BI57" s="235">
        <f xml:space="preserve"> ConFin!BI$646</f>
        <v>0</v>
      </c>
      <c r="BJ57" s="235">
        <f xml:space="preserve"> ConFin!BJ$646</f>
        <v>0</v>
      </c>
      <c r="BK57" s="235">
        <f xml:space="preserve"> ConFin!BK$646</f>
        <v>0</v>
      </c>
      <c r="BL57" s="235">
        <f xml:space="preserve"> ConFin!BL$646</f>
        <v>0</v>
      </c>
      <c r="BM57" s="235">
        <f xml:space="preserve"> ConFin!BM$646</f>
        <v>0</v>
      </c>
      <c r="BN57" s="235">
        <f xml:space="preserve"> ConFin!BN$646</f>
        <v>0</v>
      </c>
      <c r="BO57" s="235">
        <f xml:space="preserve"> ConFin!BO$646</f>
        <v>0</v>
      </c>
      <c r="BP57" s="235">
        <f xml:space="preserve"> ConFin!BP$646</f>
        <v>0</v>
      </c>
      <c r="BQ57" s="235">
        <f xml:space="preserve"> ConFin!BQ$646</f>
        <v>0</v>
      </c>
      <c r="BR57" s="235">
        <f xml:space="preserve"> ConFin!BR$646</f>
        <v>0</v>
      </c>
      <c r="BS57" s="235">
        <f xml:space="preserve"> ConFin!BS$646</f>
        <v>0</v>
      </c>
      <c r="BT57" s="235">
        <f xml:space="preserve"> ConFin!BT$646</f>
        <v>0</v>
      </c>
      <c r="BU57" s="235">
        <f xml:space="preserve"> ConFin!BU$646</f>
        <v>0</v>
      </c>
      <c r="BV57" s="235">
        <f xml:space="preserve"> ConFin!BV$646</f>
        <v>0</v>
      </c>
      <c r="BW57" s="235">
        <f xml:space="preserve"> ConFin!BW$646</f>
        <v>0</v>
      </c>
      <c r="BX57" s="235">
        <f xml:space="preserve"> ConFin!BX$646</f>
        <v>0</v>
      </c>
      <c r="BY57" s="235">
        <f xml:space="preserve"> ConFin!BY$646</f>
        <v>0</v>
      </c>
      <c r="BZ57" s="235">
        <f xml:space="preserve"> ConFin!BZ$646</f>
        <v>0</v>
      </c>
      <c r="CA57" s="235">
        <f xml:space="preserve"> ConFin!CA$646</f>
        <v>0</v>
      </c>
      <c r="CB57" s="235">
        <f xml:space="preserve"> ConFin!CB$646</f>
        <v>0</v>
      </c>
      <c r="CC57" s="235">
        <f xml:space="preserve"> ConFin!CC$646</f>
        <v>0</v>
      </c>
      <c r="CD57" s="235">
        <f xml:space="preserve"> ConFin!CD$646</f>
        <v>0</v>
      </c>
      <c r="CE57" s="235">
        <f xml:space="preserve"> ConFin!CE$646</f>
        <v>0</v>
      </c>
      <c r="CF57" s="235">
        <f xml:space="preserve"> ConFin!CF$646</f>
        <v>0</v>
      </c>
      <c r="CG57" s="235">
        <f xml:space="preserve"> ConFin!CG$646</f>
        <v>0</v>
      </c>
      <c r="CH57" s="235">
        <f xml:space="preserve"> ConFin!CH$646</f>
        <v>0</v>
      </c>
      <c r="CI57" s="235">
        <f xml:space="preserve"> ConFin!CI$646</f>
        <v>0</v>
      </c>
      <c r="CJ57" s="235">
        <f xml:space="preserve"> ConFin!CJ$646</f>
        <v>0</v>
      </c>
      <c r="CK57" s="235">
        <f xml:space="preserve"> ConFin!CK$646</f>
        <v>0</v>
      </c>
      <c r="CL57" s="235">
        <f xml:space="preserve"> ConFin!CL$646</f>
        <v>0</v>
      </c>
      <c r="CM57" s="235">
        <f xml:space="preserve"> ConFin!CM$646</f>
        <v>0</v>
      </c>
      <c r="CN57" s="235">
        <f xml:space="preserve"> ConFin!CN$646</f>
        <v>0</v>
      </c>
      <c r="CO57" s="235">
        <f xml:space="preserve"> ConFin!CO$646</f>
        <v>0</v>
      </c>
      <c r="CP57" s="235">
        <f xml:space="preserve"> ConFin!CP$646</f>
        <v>0</v>
      </c>
      <c r="CQ57" s="235">
        <f xml:space="preserve"> ConFin!CQ$646</f>
        <v>0</v>
      </c>
      <c r="CR57" s="235">
        <f xml:space="preserve"> ConFin!CR$646</f>
        <v>0</v>
      </c>
      <c r="CS57" s="235">
        <f xml:space="preserve"> ConFin!CS$646</f>
        <v>0</v>
      </c>
      <c r="CT57" s="235">
        <f xml:space="preserve"> ConFin!CT$646</f>
        <v>0</v>
      </c>
      <c r="CU57" s="235">
        <f xml:space="preserve"> ConFin!CU$646</f>
        <v>0</v>
      </c>
      <c r="CV57" s="235">
        <f xml:space="preserve"> ConFin!CV$646</f>
        <v>0</v>
      </c>
    </row>
    <row r="58" spans="1:100" outlineLevel="1" x14ac:dyDescent="0.2">
      <c r="D58" s="209"/>
      <c r="E58" s="235" t="str">
        <f xml:space="preserve"> Debt!E$654</f>
        <v>WCF commitment fee - P99</v>
      </c>
      <c r="F58" s="235">
        <f xml:space="preserve"> Debt!F$654</f>
        <v>0</v>
      </c>
      <c r="G58" s="235" t="str">
        <f xml:space="preserve"> Debt!G$654</f>
        <v>$ 000s</v>
      </c>
      <c r="H58" s="235">
        <f xml:space="preserve"> Debt!H$654</f>
        <v>0</v>
      </c>
      <c r="I58" s="235">
        <f xml:space="preserve"> Debt!I$654</f>
        <v>0</v>
      </c>
      <c r="J58" s="235">
        <f xml:space="preserve"> Debt!J$654</f>
        <v>0</v>
      </c>
      <c r="K58" s="235">
        <f xml:space="preserve"> Debt!K$654</f>
        <v>0</v>
      </c>
      <c r="L58" s="235">
        <f xml:space="preserve"> Debt!L$654</f>
        <v>0</v>
      </c>
      <c r="M58" s="235">
        <f xml:space="preserve"> Debt!M$654</f>
        <v>0</v>
      </c>
      <c r="N58" s="235">
        <f xml:space="preserve"> Debt!N$654</f>
        <v>0</v>
      </c>
      <c r="O58" s="235">
        <f xml:space="preserve"> Debt!O$654</f>
        <v>0</v>
      </c>
      <c r="P58" s="235">
        <f xml:space="preserve"> Debt!P$654</f>
        <v>0</v>
      </c>
      <c r="Q58" s="235">
        <f xml:space="preserve"> Debt!Q$654</f>
        <v>0</v>
      </c>
      <c r="R58" s="235">
        <f xml:space="preserve"> Debt!R$654</f>
        <v>0</v>
      </c>
      <c r="S58" s="235">
        <f xml:space="preserve"> Debt!S$654</f>
        <v>0</v>
      </c>
      <c r="T58" s="235">
        <f xml:space="preserve"> Debt!T$654</f>
        <v>0</v>
      </c>
      <c r="U58" s="235">
        <f xml:space="preserve"> Debt!U$654</f>
        <v>0</v>
      </c>
      <c r="V58" s="235">
        <f xml:space="preserve"> Debt!V$654</f>
        <v>0</v>
      </c>
      <c r="W58" s="235">
        <f xml:space="preserve"> Debt!W$654</f>
        <v>0</v>
      </c>
      <c r="X58" s="235">
        <f xml:space="preserve"> Debt!X$654</f>
        <v>0</v>
      </c>
      <c r="Y58" s="235">
        <f xml:space="preserve"> Debt!Y$654</f>
        <v>0</v>
      </c>
      <c r="Z58" s="235">
        <f xml:space="preserve"> Debt!Z$654</f>
        <v>0</v>
      </c>
      <c r="AA58" s="235">
        <f xml:space="preserve"> Debt!AA$654</f>
        <v>0</v>
      </c>
      <c r="AB58" s="235">
        <f xml:space="preserve"> Debt!AB$654</f>
        <v>0</v>
      </c>
      <c r="AC58" s="235">
        <f xml:space="preserve"> Debt!AC$654</f>
        <v>0</v>
      </c>
      <c r="AD58" s="235">
        <f xml:space="preserve"> Debt!AD$654</f>
        <v>0</v>
      </c>
      <c r="AE58" s="235">
        <f xml:space="preserve"> Debt!AE$654</f>
        <v>0</v>
      </c>
      <c r="AF58" s="235">
        <f xml:space="preserve"> Debt!AF$654</f>
        <v>0</v>
      </c>
      <c r="AG58" s="235">
        <f xml:space="preserve"> Debt!AG$654</f>
        <v>0</v>
      </c>
      <c r="AH58" s="235">
        <f xml:space="preserve"> Debt!AH$654</f>
        <v>0</v>
      </c>
      <c r="AI58" s="235">
        <f xml:space="preserve"> Debt!AI$654</f>
        <v>0</v>
      </c>
      <c r="AJ58" s="235">
        <f xml:space="preserve"> Debt!AJ$654</f>
        <v>0</v>
      </c>
      <c r="AK58" s="235">
        <f xml:space="preserve"> Debt!AK$654</f>
        <v>0</v>
      </c>
      <c r="AL58" s="235">
        <f xml:space="preserve"> Debt!AL$654</f>
        <v>0</v>
      </c>
      <c r="AM58" s="235">
        <f xml:space="preserve"> Debt!AM$654</f>
        <v>0</v>
      </c>
      <c r="AN58" s="235">
        <f xml:space="preserve"> Debt!AN$654</f>
        <v>0</v>
      </c>
      <c r="AO58" s="235">
        <f xml:space="preserve"> Debt!AO$654</f>
        <v>0</v>
      </c>
      <c r="AP58" s="235">
        <f xml:space="preserve"> Debt!AP$654</f>
        <v>0</v>
      </c>
      <c r="AQ58" s="235">
        <f xml:space="preserve"> Debt!AQ$654</f>
        <v>0</v>
      </c>
      <c r="AR58" s="235">
        <f xml:space="preserve"> Debt!AR$654</f>
        <v>0</v>
      </c>
      <c r="AS58" s="235">
        <f xml:space="preserve"> Debt!AS$654</f>
        <v>0</v>
      </c>
      <c r="AT58" s="235">
        <f xml:space="preserve"> Debt!AT$654</f>
        <v>0</v>
      </c>
      <c r="AU58" s="235">
        <f xml:space="preserve"> Debt!AU$654</f>
        <v>0</v>
      </c>
      <c r="AV58" s="235">
        <f xml:space="preserve"> Debt!AV$654</f>
        <v>0</v>
      </c>
      <c r="AW58" s="235">
        <f xml:space="preserve"> Debt!AW$654</f>
        <v>0</v>
      </c>
      <c r="AX58" s="235">
        <f xml:space="preserve"> Debt!AX$654</f>
        <v>0</v>
      </c>
      <c r="AY58" s="235">
        <f xml:space="preserve"> Debt!AY$654</f>
        <v>0</v>
      </c>
      <c r="AZ58" s="235">
        <f xml:space="preserve"> Debt!AZ$654</f>
        <v>0</v>
      </c>
      <c r="BA58" s="235">
        <f xml:space="preserve"> Debt!BA$654</f>
        <v>0</v>
      </c>
      <c r="BB58" s="235">
        <f xml:space="preserve"> Debt!BB$654</f>
        <v>0</v>
      </c>
      <c r="BC58" s="235">
        <f xml:space="preserve"> Debt!BC$654</f>
        <v>0</v>
      </c>
      <c r="BD58" s="235">
        <f xml:space="preserve"> Debt!BD$654</f>
        <v>0</v>
      </c>
      <c r="BE58" s="235">
        <f xml:space="preserve"> Debt!BE$654</f>
        <v>0</v>
      </c>
      <c r="BF58" s="235">
        <f xml:space="preserve"> Debt!BF$654</f>
        <v>0</v>
      </c>
      <c r="BG58" s="235">
        <f xml:space="preserve"> Debt!BG$654</f>
        <v>0</v>
      </c>
      <c r="BH58" s="235">
        <f xml:space="preserve"> Debt!BH$654</f>
        <v>0</v>
      </c>
      <c r="BI58" s="235">
        <f xml:space="preserve"> Debt!BI$654</f>
        <v>0</v>
      </c>
      <c r="BJ58" s="235">
        <f xml:space="preserve"> Debt!BJ$654</f>
        <v>0</v>
      </c>
      <c r="BK58" s="235">
        <f xml:space="preserve"> Debt!BK$654</f>
        <v>0</v>
      </c>
      <c r="BL58" s="235">
        <f xml:space="preserve"> Debt!BL$654</f>
        <v>0</v>
      </c>
      <c r="BM58" s="235">
        <f xml:space="preserve"> Debt!BM$654</f>
        <v>0</v>
      </c>
      <c r="BN58" s="235">
        <f xml:space="preserve"> Debt!BN$654</f>
        <v>0</v>
      </c>
      <c r="BO58" s="235">
        <f xml:space="preserve"> Debt!BO$654</f>
        <v>0</v>
      </c>
      <c r="BP58" s="235">
        <f xml:space="preserve"> Debt!BP$654</f>
        <v>0</v>
      </c>
      <c r="BQ58" s="235">
        <f xml:space="preserve"> Debt!BQ$654</f>
        <v>0</v>
      </c>
      <c r="BR58" s="235">
        <f xml:space="preserve"> Debt!BR$654</f>
        <v>0</v>
      </c>
      <c r="BS58" s="235">
        <f xml:space="preserve"> Debt!BS$654</f>
        <v>0</v>
      </c>
      <c r="BT58" s="235">
        <f xml:space="preserve"> Debt!BT$654</f>
        <v>0</v>
      </c>
      <c r="BU58" s="235">
        <f xml:space="preserve"> Debt!BU$654</f>
        <v>0</v>
      </c>
      <c r="BV58" s="235">
        <f xml:space="preserve"> Debt!BV$654</f>
        <v>0</v>
      </c>
      <c r="BW58" s="235">
        <f xml:space="preserve"> Debt!BW$654</f>
        <v>0</v>
      </c>
      <c r="BX58" s="235">
        <f xml:space="preserve"> Debt!BX$654</f>
        <v>0</v>
      </c>
      <c r="BY58" s="235">
        <f xml:space="preserve"> Debt!BY$654</f>
        <v>0</v>
      </c>
      <c r="BZ58" s="235">
        <f xml:space="preserve"> Debt!BZ$654</f>
        <v>0</v>
      </c>
      <c r="CA58" s="235">
        <f xml:space="preserve"> Debt!CA$654</f>
        <v>0</v>
      </c>
      <c r="CB58" s="235">
        <f xml:space="preserve"> Debt!CB$654</f>
        <v>0</v>
      </c>
      <c r="CC58" s="235">
        <f xml:space="preserve"> Debt!CC$654</f>
        <v>0</v>
      </c>
      <c r="CD58" s="235">
        <f xml:space="preserve"> Debt!CD$654</f>
        <v>0</v>
      </c>
      <c r="CE58" s="235">
        <f xml:space="preserve"> Debt!CE$654</f>
        <v>0</v>
      </c>
      <c r="CF58" s="235">
        <f xml:space="preserve"> Debt!CF$654</f>
        <v>0</v>
      </c>
      <c r="CG58" s="235">
        <f xml:space="preserve"> Debt!CG$654</f>
        <v>0</v>
      </c>
      <c r="CH58" s="235">
        <f xml:space="preserve"> Debt!CH$654</f>
        <v>0</v>
      </c>
      <c r="CI58" s="235">
        <f xml:space="preserve"> Debt!CI$654</f>
        <v>0</v>
      </c>
      <c r="CJ58" s="235">
        <f xml:space="preserve"> Debt!CJ$654</f>
        <v>0</v>
      </c>
      <c r="CK58" s="235">
        <f xml:space="preserve"> Debt!CK$654</f>
        <v>0</v>
      </c>
      <c r="CL58" s="235">
        <f xml:space="preserve"> Debt!CL$654</f>
        <v>0</v>
      </c>
      <c r="CM58" s="235">
        <f xml:space="preserve"> Debt!CM$654</f>
        <v>0</v>
      </c>
      <c r="CN58" s="235">
        <f xml:space="preserve"> Debt!CN$654</f>
        <v>0</v>
      </c>
      <c r="CO58" s="235">
        <f xml:space="preserve"> Debt!CO$654</f>
        <v>0</v>
      </c>
      <c r="CP58" s="235">
        <f xml:space="preserve"> Debt!CP$654</f>
        <v>0</v>
      </c>
      <c r="CQ58" s="235">
        <f xml:space="preserve"> Debt!CQ$654</f>
        <v>0</v>
      </c>
      <c r="CR58" s="235">
        <f xml:space="preserve"> Debt!CR$654</f>
        <v>0</v>
      </c>
      <c r="CS58" s="235">
        <f xml:space="preserve"> Debt!CS$654</f>
        <v>0</v>
      </c>
      <c r="CT58" s="235">
        <f xml:space="preserve"> Debt!CT$654</f>
        <v>0</v>
      </c>
      <c r="CU58" s="235">
        <f xml:space="preserve"> Debt!CU$654</f>
        <v>0</v>
      </c>
      <c r="CV58" s="235">
        <f xml:space="preserve"> Debt!CV$654</f>
        <v>0</v>
      </c>
    </row>
    <row r="59" spans="1:100" outlineLevel="1" x14ac:dyDescent="0.2">
      <c r="D59" s="209"/>
      <c r="E59" s="235" t="str">
        <f xml:space="preserve"> Debt!E$591</f>
        <v>WCF upfront fee</v>
      </c>
      <c r="F59" s="235">
        <f xml:space="preserve"> Debt!F$591</f>
        <v>0</v>
      </c>
      <c r="G59" s="235" t="str">
        <f xml:space="preserve"> Debt!G$591</f>
        <v>$ 000s</v>
      </c>
      <c r="H59" s="235">
        <f xml:space="preserve"> Debt!H$591</f>
        <v>0</v>
      </c>
      <c r="I59" s="235">
        <f xml:space="preserve"> Debt!I$591</f>
        <v>0</v>
      </c>
      <c r="J59" s="235">
        <f xml:space="preserve"> Debt!J$591</f>
        <v>0</v>
      </c>
      <c r="K59" s="235">
        <f xml:space="preserve"> Debt!K$591</f>
        <v>0</v>
      </c>
      <c r="L59" s="235">
        <f xml:space="preserve"> Debt!L$591</f>
        <v>0</v>
      </c>
      <c r="M59" s="235">
        <f xml:space="preserve"> Debt!M$591</f>
        <v>0</v>
      </c>
      <c r="N59" s="235">
        <f xml:space="preserve"> Debt!N$591</f>
        <v>0</v>
      </c>
      <c r="O59" s="235">
        <f xml:space="preserve"> Debt!O$591</f>
        <v>0</v>
      </c>
      <c r="P59" s="235">
        <f xml:space="preserve"> Debt!P$591</f>
        <v>0</v>
      </c>
      <c r="Q59" s="235">
        <f xml:space="preserve"> Debt!Q$591</f>
        <v>0</v>
      </c>
      <c r="R59" s="235">
        <f xml:space="preserve"> Debt!R$591</f>
        <v>0</v>
      </c>
      <c r="S59" s="235">
        <f xml:space="preserve"> Debt!S$591</f>
        <v>0</v>
      </c>
      <c r="T59" s="235">
        <f xml:space="preserve"> Debt!T$591</f>
        <v>0</v>
      </c>
      <c r="U59" s="235">
        <f xml:space="preserve"> Debt!U$591</f>
        <v>0</v>
      </c>
      <c r="V59" s="235">
        <f xml:space="preserve"> Debt!V$591</f>
        <v>0</v>
      </c>
      <c r="W59" s="235">
        <f xml:space="preserve"> Debt!W$591</f>
        <v>0</v>
      </c>
      <c r="X59" s="235">
        <f xml:space="preserve"> Debt!X$591</f>
        <v>0</v>
      </c>
      <c r="Y59" s="235">
        <f xml:space="preserve"> Debt!Y$591</f>
        <v>0</v>
      </c>
      <c r="Z59" s="235">
        <f xml:space="preserve"> Debt!Z$591</f>
        <v>0</v>
      </c>
      <c r="AA59" s="235">
        <f xml:space="preserve"> Debt!AA$591</f>
        <v>0</v>
      </c>
      <c r="AB59" s="235">
        <f xml:space="preserve"> Debt!AB$591</f>
        <v>0</v>
      </c>
      <c r="AC59" s="235">
        <f xml:space="preserve"> Debt!AC$591</f>
        <v>0</v>
      </c>
      <c r="AD59" s="235">
        <f xml:space="preserve"> Debt!AD$591</f>
        <v>0</v>
      </c>
      <c r="AE59" s="235">
        <f xml:space="preserve"> Debt!AE$591</f>
        <v>0</v>
      </c>
      <c r="AF59" s="235">
        <f xml:space="preserve"> Debt!AF$591</f>
        <v>0</v>
      </c>
      <c r="AG59" s="235">
        <f xml:space="preserve"> Debt!AG$591</f>
        <v>0</v>
      </c>
      <c r="AH59" s="235">
        <f xml:space="preserve"> Debt!AH$591</f>
        <v>0</v>
      </c>
      <c r="AI59" s="235">
        <f xml:space="preserve"> Debt!AI$591</f>
        <v>0</v>
      </c>
      <c r="AJ59" s="235">
        <f xml:space="preserve"> Debt!AJ$591</f>
        <v>0</v>
      </c>
      <c r="AK59" s="235">
        <f xml:space="preserve"> Debt!AK$591</f>
        <v>0</v>
      </c>
      <c r="AL59" s="235">
        <f xml:space="preserve"> Debt!AL$591</f>
        <v>0</v>
      </c>
      <c r="AM59" s="235">
        <f xml:space="preserve"> Debt!AM$591</f>
        <v>0</v>
      </c>
      <c r="AN59" s="235">
        <f xml:space="preserve"> Debt!AN$591</f>
        <v>0</v>
      </c>
      <c r="AO59" s="235">
        <f xml:space="preserve"> Debt!AO$591</f>
        <v>0</v>
      </c>
      <c r="AP59" s="235">
        <f xml:space="preserve"> Debt!AP$591</f>
        <v>0</v>
      </c>
      <c r="AQ59" s="235">
        <f xml:space="preserve"> Debt!AQ$591</f>
        <v>0</v>
      </c>
      <c r="AR59" s="235">
        <f xml:space="preserve"> Debt!AR$591</f>
        <v>0</v>
      </c>
      <c r="AS59" s="235">
        <f xml:space="preserve"> Debt!AS$591</f>
        <v>0</v>
      </c>
      <c r="AT59" s="235">
        <f xml:space="preserve"> Debt!AT$591</f>
        <v>0</v>
      </c>
      <c r="AU59" s="235">
        <f xml:space="preserve"> Debt!AU$591</f>
        <v>0</v>
      </c>
      <c r="AV59" s="235">
        <f xml:space="preserve"> Debt!AV$591</f>
        <v>0</v>
      </c>
      <c r="AW59" s="235">
        <f xml:space="preserve"> Debt!AW$591</f>
        <v>0</v>
      </c>
      <c r="AX59" s="235">
        <f xml:space="preserve"> Debt!AX$591</f>
        <v>0</v>
      </c>
      <c r="AY59" s="235">
        <f xml:space="preserve"> Debt!AY$591</f>
        <v>0</v>
      </c>
      <c r="AZ59" s="235">
        <f xml:space="preserve"> Debt!AZ$591</f>
        <v>0</v>
      </c>
      <c r="BA59" s="235">
        <f xml:space="preserve"> Debt!BA$591</f>
        <v>0</v>
      </c>
      <c r="BB59" s="235">
        <f xml:space="preserve"> Debt!BB$591</f>
        <v>0</v>
      </c>
      <c r="BC59" s="235">
        <f xml:space="preserve"> Debt!BC$591</f>
        <v>0</v>
      </c>
      <c r="BD59" s="235">
        <f xml:space="preserve"> Debt!BD$591</f>
        <v>0</v>
      </c>
      <c r="BE59" s="235">
        <f xml:space="preserve"> Debt!BE$591</f>
        <v>0</v>
      </c>
      <c r="BF59" s="235">
        <f xml:space="preserve"> Debt!BF$591</f>
        <v>0</v>
      </c>
      <c r="BG59" s="235">
        <f xml:space="preserve"> Debt!BG$591</f>
        <v>0</v>
      </c>
      <c r="BH59" s="235">
        <f xml:space="preserve"> Debt!BH$591</f>
        <v>0</v>
      </c>
      <c r="BI59" s="235">
        <f xml:space="preserve"> Debt!BI$591</f>
        <v>0</v>
      </c>
      <c r="BJ59" s="235">
        <f xml:space="preserve"> Debt!BJ$591</f>
        <v>0</v>
      </c>
      <c r="BK59" s="235">
        <f xml:space="preserve"> Debt!BK$591</f>
        <v>0</v>
      </c>
      <c r="BL59" s="235">
        <f xml:space="preserve"> Debt!BL$591</f>
        <v>0</v>
      </c>
      <c r="BM59" s="235">
        <f xml:space="preserve"> Debt!BM$591</f>
        <v>0</v>
      </c>
      <c r="BN59" s="235">
        <f xml:space="preserve"> Debt!BN$591</f>
        <v>0</v>
      </c>
      <c r="BO59" s="235">
        <f xml:space="preserve"> Debt!BO$591</f>
        <v>0</v>
      </c>
      <c r="BP59" s="235">
        <f xml:space="preserve"> Debt!BP$591</f>
        <v>0</v>
      </c>
      <c r="BQ59" s="235">
        <f xml:space="preserve"> Debt!BQ$591</f>
        <v>0</v>
      </c>
      <c r="BR59" s="235">
        <f xml:space="preserve"> Debt!BR$591</f>
        <v>0</v>
      </c>
      <c r="BS59" s="235">
        <f xml:space="preserve"> Debt!BS$591</f>
        <v>0</v>
      </c>
      <c r="BT59" s="235">
        <f xml:space="preserve"> Debt!BT$591</f>
        <v>0</v>
      </c>
      <c r="BU59" s="235">
        <f xml:space="preserve"> Debt!BU$591</f>
        <v>0</v>
      </c>
      <c r="BV59" s="235">
        <f xml:space="preserve"> Debt!BV$591</f>
        <v>0</v>
      </c>
      <c r="BW59" s="235">
        <f xml:space="preserve"> Debt!BW$591</f>
        <v>0</v>
      </c>
      <c r="BX59" s="235">
        <f xml:space="preserve"> Debt!BX$591</f>
        <v>0</v>
      </c>
      <c r="BY59" s="235">
        <f xml:space="preserve"> Debt!BY$591</f>
        <v>0</v>
      </c>
      <c r="BZ59" s="235">
        <f xml:space="preserve"> Debt!BZ$591</f>
        <v>0</v>
      </c>
      <c r="CA59" s="235">
        <f xml:space="preserve"> Debt!CA$591</f>
        <v>0</v>
      </c>
      <c r="CB59" s="235">
        <f xml:space="preserve"> Debt!CB$591</f>
        <v>0</v>
      </c>
      <c r="CC59" s="235">
        <f xml:space="preserve"> Debt!CC$591</f>
        <v>0</v>
      </c>
      <c r="CD59" s="235">
        <f xml:space="preserve"> Debt!CD$591</f>
        <v>0</v>
      </c>
      <c r="CE59" s="235">
        <f xml:space="preserve"> Debt!CE$591</f>
        <v>0</v>
      </c>
      <c r="CF59" s="235">
        <f xml:space="preserve"> Debt!CF$591</f>
        <v>0</v>
      </c>
      <c r="CG59" s="235">
        <f xml:space="preserve"> Debt!CG$591</f>
        <v>0</v>
      </c>
      <c r="CH59" s="235">
        <f xml:space="preserve"> Debt!CH$591</f>
        <v>0</v>
      </c>
      <c r="CI59" s="235">
        <f xml:space="preserve"> Debt!CI$591</f>
        <v>0</v>
      </c>
      <c r="CJ59" s="235">
        <f xml:space="preserve"> Debt!CJ$591</f>
        <v>0</v>
      </c>
      <c r="CK59" s="235">
        <f xml:space="preserve"> Debt!CK$591</f>
        <v>0</v>
      </c>
      <c r="CL59" s="235">
        <f xml:space="preserve"> Debt!CL$591</f>
        <v>0</v>
      </c>
      <c r="CM59" s="235">
        <f xml:space="preserve"> Debt!CM$591</f>
        <v>0</v>
      </c>
      <c r="CN59" s="235">
        <f xml:space="preserve"> Debt!CN$591</f>
        <v>0</v>
      </c>
      <c r="CO59" s="235">
        <f xml:space="preserve"> Debt!CO$591</f>
        <v>0</v>
      </c>
      <c r="CP59" s="235">
        <f xml:space="preserve"> Debt!CP$591</f>
        <v>0</v>
      </c>
      <c r="CQ59" s="235">
        <f xml:space="preserve"> Debt!CQ$591</f>
        <v>0</v>
      </c>
      <c r="CR59" s="235">
        <f xml:space="preserve"> Debt!CR$591</f>
        <v>0</v>
      </c>
      <c r="CS59" s="235">
        <f xml:space="preserve"> Debt!CS$591</f>
        <v>0</v>
      </c>
      <c r="CT59" s="235">
        <f xml:space="preserve"> Debt!CT$591</f>
        <v>0</v>
      </c>
      <c r="CU59" s="235">
        <f xml:space="preserve"> Debt!CU$591</f>
        <v>0</v>
      </c>
      <c r="CV59" s="235">
        <f xml:space="preserve"> Debt!CV$591</f>
        <v>0</v>
      </c>
    </row>
    <row r="60" spans="1:100" outlineLevel="1" x14ac:dyDescent="0.2">
      <c r="D60" s="209"/>
      <c r="E60" s="235" t="str">
        <f xml:space="preserve"> Debt!E$661</f>
        <v>WCF interest accrued and paid - P99</v>
      </c>
      <c r="F60" s="235">
        <f xml:space="preserve"> Debt!F$661</f>
        <v>0</v>
      </c>
      <c r="G60" s="235" t="str">
        <f xml:space="preserve"> Debt!G$661</f>
        <v>$ 000s</v>
      </c>
      <c r="H60" s="235">
        <f xml:space="preserve"> Debt!H$661</f>
        <v>0</v>
      </c>
      <c r="I60" s="235">
        <f xml:space="preserve"> Debt!I$661</f>
        <v>0</v>
      </c>
      <c r="J60" s="235">
        <f xml:space="preserve"> Debt!J$661</f>
        <v>0</v>
      </c>
      <c r="K60" s="235">
        <f xml:space="preserve"> Debt!K$661</f>
        <v>0</v>
      </c>
      <c r="L60" s="235">
        <f xml:space="preserve"> Debt!L$661</f>
        <v>0</v>
      </c>
      <c r="M60" s="235">
        <f xml:space="preserve"> Debt!M$661</f>
        <v>0</v>
      </c>
      <c r="N60" s="235">
        <f xml:space="preserve"> Debt!N$661</f>
        <v>0</v>
      </c>
      <c r="O60" s="235">
        <f xml:space="preserve"> Debt!O$661</f>
        <v>0</v>
      </c>
      <c r="P60" s="235">
        <f xml:space="preserve"> Debt!P$661</f>
        <v>0</v>
      </c>
      <c r="Q60" s="235">
        <f xml:space="preserve"> Debt!Q$661</f>
        <v>0</v>
      </c>
      <c r="R60" s="235">
        <f xml:space="preserve"> Debt!R$661</f>
        <v>0</v>
      </c>
      <c r="S60" s="235">
        <f xml:space="preserve"> Debt!S$661</f>
        <v>0</v>
      </c>
      <c r="T60" s="235">
        <f xml:space="preserve"> Debt!T$661</f>
        <v>0</v>
      </c>
      <c r="U60" s="235">
        <f xml:space="preserve"> Debt!U$661</f>
        <v>0</v>
      </c>
      <c r="V60" s="235">
        <f xml:space="preserve"> Debt!V$661</f>
        <v>0</v>
      </c>
      <c r="W60" s="235">
        <f xml:space="preserve"> Debt!W$661</f>
        <v>0</v>
      </c>
      <c r="X60" s="235">
        <f xml:space="preserve"> Debt!X$661</f>
        <v>0</v>
      </c>
      <c r="Y60" s="235">
        <f xml:space="preserve"> Debt!Y$661</f>
        <v>0</v>
      </c>
      <c r="Z60" s="235">
        <f xml:space="preserve"> Debt!Z$661</f>
        <v>0</v>
      </c>
      <c r="AA60" s="235">
        <f xml:space="preserve"> Debt!AA$661</f>
        <v>0</v>
      </c>
      <c r="AB60" s="235">
        <f xml:space="preserve"> Debt!AB$661</f>
        <v>0</v>
      </c>
      <c r="AC60" s="235">
        <f xml:space="preserve"> Debt!AC$661</f>
        <v>0</v>
      </c>
      <c r="AD60" s="235">
        <f xml:space="preserve"> Debt!AD$661</f>
        <v>0</v>
      </c>
      <c r="AE60" s="235">
        <f xml:space="preserve"> Debt!AE$661</f>
        <v>0</v>
      </c>
      <c r="AF60" s="235">
        <f xml:space="preserve"> Debt!AF$661</f>
        <v>0</v>
      </c>
      <c r="AG60" s="235">
        <f xml:space="preserve"> Debt!AG$661</f>
        <v>0</v>
      </c>
      <c r="AH60" s="235">
        <f xml:space="preserve"> Debt!AH$661</f>
        <v>0</v>
      </c>
      <c r="AI60" s="235">
        <f xml:space="preserve"> Debt!AI$661</f>
        <v>0</v>
      </c>
      <c r="AJ60" s="235">
        <f xml:space="preserve"> Debt!AJ$661</f>
        <v>0</v>
      </c>
      <c r="AK60" s="235">
        <f xml:space="preserve"> Debt!AK$661</f>
        <v>0</v>
      </c>
      <c r="AL60" s="235">
        <f xml:space="preserve"> Debt!AL$661</f>
        <v>0</v>
      </c>
      <c r="AM60" s="235">
        <f xml:space="preserve"> Debt!AM$661</f>
        <v>0</v>
      </c>
      <c r="AN60" s="235">
        <f xml:space="preserve"> Debt!AN$661</f>
        <v>0</v>
      </c>
      <c r="AO60" s="235">
        <f xml:space="preserve"> Debt!AO$661</f>
        <v>0</v>
      </c>
      <c r="AP60" s="235">
        <f xml:space="preserve"> Debt!AP$661</f>
        <v>0</v>
      </c>
      <c r="AQ60" s="235">
        <f xml:space="preserve"> Debt!AQ$661</f>
        <v>0</v>
      </c>
      <c r="AR60" s="235">
        <f xml:space="preserve"> Debt!AR$661</f>
        <v>0</v>
      </c>
      <c r="AS60" s="235">
        <f xml:space="preserve"> Debt!AS$661</f>
        <v>0</v>
      </c>
      <c r="AT60" s="235">
        <f xml:space="preserve"> Debt!AT$661</f>
        <v>0</v>
      </c>
      <c r="AU60" s="235">
        <f xml:space="preserve"> Debt!AU$661</f>
        <v>0</v>
      </c>
      <c r="AV60" s="235">
        <f xml:space="preserve"> Debt!AV$661</f>
        <v>0</v>
      </c>
      <c r="AW60" s="235">
        <f xml:space="preserve"> Debt!AW$661</f>
        <v>0</v>
      </c>
      <c r="AX60" s="235">
        <f xml:space="preserve"> Debt!AX$661</f>
        <v>0</v>
      </c>
      <c r="AY60" s="235">
        <f xml:space="preserve"> Debt!AY$661</f>
        <v>0</v>
      </c>
      <c r="AZ60" s="235">
        <f xml:space="preserve"> Debt!AZ$661</f>
        <v>0</v>
      </c>
      <c r="BA60" s="235">
        <f xml:space="preserve"> Debt!BA$661</f>
        <v>0</v>
      </c>
      <c r="BB60" s="235">
        <f xml:space="preserve"> Debt!BB$661</f>
        <v>0</v>
      </c>
      <c r="BC60" s="235">
        <f xml:space="preserve"> Debt!BC$661</f>
        <v>0</v>
      </c>
      <c r="BD60" s="235">
        <f xml:space="preserve"> Debt!BD$661</f>
        <v>0</v>
      </c>
      <c r="BE60" s="235">
        <f xml:space="preserve"> Debt!BE$661</f>
        <v>0</v>
      </c>
      <c r="BF60" s="235">
        <f xml:space="preserve"> Debt!BF$661</f>
        <v>0</v>
      </c>
      <c r="BG60" s="235">
        <f xml:space="preserve"> Debt!BG$661</f>
        <v>0</v>
      </c>
      <c r="BH60" s="235">
        <f xml:space="preserve"> Debt!BH$661</f>
        <v>0</v>
      </c>
      <c r="BI60" s="235">
        <f xml:space="preserve"> Debt!BI$661</f>
        <v>0</v>
      </c>
      <c r="BJ60" s="235">
        <f xml:space="preserve"> Debt!BJ$661</f>
        <v>0</v>
      </c>
      <c r="BK60" s="235">
        <f xml:space="preserve"> Debt!BK$661</f>
        <v>0</v>
      </c>
      <c r="BL60" s="235">
        <f xml:space="preserve"> Debt!BL$661</f>
        <v>0</v>
      </c>
      <c r="BM60" s="235">
        <f xml:space="preserve"> Debt!BM$661</f>
        <v>0</v>
      </c>
      <c r="BN60" s="235">
        <f xml:space="preserve"> Debt!BN$661</f>
        <v>0</v>
      </c>
      <c r="BO60" s="235">
        <f xml:space="preserve"> Debt!BO$661</f>
        <v>0</v>
      </c>
      <c r="BP60" s="235">
        <f xml:space="preserve"> Debt!BP$661</f>
        <v>0</v>
      </c>
      <c r="BQ60" s="235">
        <f xml:space="preserve"> Debt!BQ$661</f>
        <v>0</v>
      </c>
      <c r="BR60" s="235">
        <f xml:space="preserve"> Debt!BR$661</f>
        <v>0</v>
      </c>
      <c r="BS60" s="235">
        <f xml:space="preserve"> Debt!BS$661</f>
        <v>0</v>
      </c>
      <c r="BT60" s="235">
        <f xml:space="preserve"> Debt!BT$661</f>
        <v>0</v>
      </c>
      <c r="BU60" s="235">
        <f xml:space="preserve"> Debt!BU$661</f>
        <v>0</v>
      </c>
      <c r="BV60" s="235">
        <f xml:space="preserve"> Debt!BV$661</f>
        <v>0</v>
      </c>
      <c r="BW60" s="235">
        <f xml:space="preserve"> Debt!BW$661</f>
        <v>0</v>
      </c>
      <c r="BX60" s="235">
        <f xml:space="preserve"> Debt!BX$661</f>
        <v>0</v>
      </c>
      <c r="BY60" s="235">
        <f xml:space="preserve"> Debt!BY$661</f>
        <v>0</v>
      </c>
      <c r="BZ60" s="235">
        <f xml:space="preserve"> Debt!BZ$661</f>
        <v>0</v>
      </c>
      <c r="CA60" s="235">
        <f xml:space="preserve"> Debt!CA$661</f>
        <v>0</v>
      </c>
      <c r="CB60" s="235">
        <f xml:space="preserve"> Debt!CB$661</f>
        <v>0</v>
      </c>
      <c r="CC60" s="235">
        <f xml:space="preserve"> Debt!CC$661</f>
        <v>0</v>
      </c>
      <c r="CD60" s="235">
        <f xml:space="preserve"> Debt!CD$661</f>
        <v>0</v>
      </c>
      <c r="CE60" s="235">
        <f xml:space="preserve"> Debt!CE$661</f>
        <v>0</v>
      </c>
      <c r="CF60" s="235">
        <f xml:space="preserve"> Debt!CF$661</f>
        <v>0</v>
      </c>
      <c r="CG60" s="235">
        <f xml:space="preserve"> Debt!CG$661</f>
        <v>0</v>
      </c>
      <c r="CH60" s="235">
        <f xml:space="preserve"> Debt!CH$661</f>
        <v>0</v>
      </c>
      <c r="CI60" s="235">
        <f xml:space="preserve"> Debt!CI$661</f>
        <v>0</v>
      </c>
      <c r="CJ60" s="235">
        <f xml:space="preserve"> Debt!CJ$661</f>
        <v>0</v>
      </c>
      <c r="CK60" s="235">
        <f xml:space="preserve"> Debt!CK$661</f>
        <v>0</v>
      </c>
      <c r="CL60" s="235">
        <f xml:space="preserve"> Debt!CL$661</f>
        <v>0</v>
      </c>
      <c r="CM60" s="235">
        <f xml:space="preserve"> Debt!CM$661</f>
        <v>0</v>
      </c>
      <c r="CN60" s="235">
        <f xml:space="preserve"> Debt!CN$661</f>
        <v>0</v>
      </c>
      <c r="CO60" s="235">
        <f xml:space="preserve"> Debt!CO$661</f>
        <v>0</v>
      </c>
      <c r="CP60" s="235">
        <f xml:space="preserve"> Debt!CP$661</f>
        <v>0</v>
      </c>
      <c r="CQ60" s="235">
        <f xml:space="preserve"> Debt!CQ$661</f>
        <v>0</v>
      </c>
      <c r="CR60" s="235">
        <f xml:space="preserve"> Debt!CR$661</f>
        <v>0</v>
      </c>
      <c r="CS60" s="235">
        <f xml:space="preserve"> Debt!CS$661</f>
        <v>0</v>
      </c>
      <c r="CT60" s="235">
        <f xml:space="preserve"> Debt!CT$661</f>
        <v>0</v>
      </c>
      <c r="CU60" s="235">
        <f xml:space="preserve"> Debt!CU$661</f>
        <v>0</v>
      </c>
      <c r="CV60" s="235">
        <f xml:space="preserve"> Debt!CV$661</f>
        <v>0</v>
      </c>
    </row>
    <row r="61" spans="1:100" outlineLevel="1" x14ac:dyDescent="0.2">
      <c r="D61" s="209"/>
      <c r="E61" s="235" t="str">
        <f xml:space="preserve"> Debt!E$628</f>
        <v>WCF drawdown - P99</v>
      </c>
      <c r="F61" s="235">
        <f xml:space="preserve"> Debt!F$628</f>
        <v>0</v>
      </c>
      <c r="G61" s="235" t="str">
        <f xml:space="preserve"> Debt!G$628</f>
        <v>$ 000s</v>
      </c>
      <c r="H61" s="235">
        <f xml:space="preserve"> Debt!H$628</f>
        <v>0</v>
      </c>
      <c r="I61" s="235">
        <f xml:space="preserve"> Debt!I$628</f>
        <v>0</v>
      </c>
      <c r="J61" s="235">
        <f xml:space="preserve"> Debt!J$628</f>
        <v>0</v>
      </c>
      <c r="K61" s="235">
        <f xml:space="preserve"> Debt!K$628</f>
        <v>0</v>
      </c>
      <c r="L61" s="235">
        <f xml:space="preserve"> Debt!L$628</f>
        <v>0</v>
      </c>
      <c r="M61" s="235">
        <f xml:space="preserve"> Debt!M$628</f>
        <v>0</v>
      </c>
      <c r="N61" s="235">
        <f xml:space="preserve"> Debt!N$628</f>
        <v>0</v>
      </c>
      <c r="O61" s="235">
        <f xml:space="preserve"> Debt!O$628</f>
        <v>0</v>
      </c>
      <c r="P61" s="235">
        <f xml:space="preserve"> Debt!P$628</f>
        <v>0</v>
      </c>
      <c r="Q61" s="235">
        <f xml:space="preserve"> Debt!Q$628</f>
        <v>0</v>
      </c>
      <c r="R61" s="235">
        <f xml:space="preserve"> Debt!R$628</f>
        <v>0</v>
      </c>
      <c r="S61" s="235">
        <f xml:space="preserve"> Debt!S$628</f>
        <v>0</v>
      </c>
      <c r="T61" s="235">
        <f xml:space="preserve"> Debt!T$628</f>
        <v>0</v>
      </c>
      <c r="U61" s="235">
        <f xml:space="preserve"> Debt!U$628</f>
        <v>0</v>
      </c>
      <c r="V61" s="235">
        <f xml:space="preserve"> Debt!V$628</f>
        <v>0</v>
      </c>
      <c r="W61" s="235">
        <f xml:space="preserve"> Debt!W$628</f>
        <v>0</v>
      </c>
      <c r="X61" s="235">
        <f xml:space="preserve"> Debt!X$628</f>
        <v>0</v>
      </c>
      <c r="Y61" s="235">
        <f xml:space="preserve"> Debt!Y$628</f>
        <v>0</v>
      </c>
      <c r="Z61" s="235">
        <f xml:space="preserve"> Debt!Z$628</f>
        <v>0</v>
      </c>
      <c r="AA61" s="235">
        <f xml:space="preserve"> Debt!AA$628</f>
        <v>0</v>
      </c>
      <c r="AB61" s="235">
        <f xml:space="preserve"> Debt!AB$628</f>
        <v>0</v>
      </c>
      <c r="AC61" s="235">
        <f xml:space="preserve"> Debt!AC$628</f>
        <v>0</v>
      </c>
      <c r="AD61" s="235">
        <f xml:space="preserve"> Debt!AD$628</f>
        <v>0</v>
      </c>
      <c r="AE61" s="235">
        <f xml:space="preserve"> Debt!AE$628</f>
        <v>0</v>
      </c>
      <c r="AF61" s="235">
        <f xml:space="preserve"> Debt!AF$628</f>
        <v>0</v>
      </c>
      <c r="AG61" s="235">
        <f xml:space="preserve"> Debt!AG$628</f>
        <v>0</v>
      </c>
      <c r="AH61" s="235">
        <f xml:space="preserve"> Debt!AH$628</f>
        <v>0</v>
      </c>
      <c r="AI61" s="235">
        <f xml:space="preserve"> Debt!AI$628</f>
        <v>0</v>
      </c>
      <c r="AJ61" s="235">
        <f xml:space="preserve"> Debt!AJ$628</f>
        <v>0</v>
      </c>
      <c r="AK61" s="235">
        <f xml:space="preserve"> Debt!AK$628</f>
        <v>0</v>
      </c>
      <c r="AL61" s="235">
        <f xml:space="preserve"> Debt!AL$628</f>
        <v>0</v>
      </c>
      <c r="AM61" s="235">
        <f xml:space="preserve"> Debt!AM$628</f>
        <v>0</v>
      </c>
      <c r="AN61" s="235">
        <f xml:space="preserve"> Debt!AN$628</f>
        <v>0</v>
      </c>
      <c r="AO61" s="235">
        <f xml:space="preserve"> Debt!AO$628</f>
        <v>0</v>
      </c>
      <c r="AP61" s="235">
        <f xml:space="preserve"> Debt!AP$628</f>
        <v>0</v>
      </c>
      <c r="AQ61" s="235">
        <f xml:space="preserve"> Debt!AQ$628</f>
        <v>0</v>
      </c>
      <c r="AR61" s="235">
        <f xml:space="preserve"> Debt!AR$628</f>
        <v>0</v>
      </c>
      <c r="AS61" s="235">
        <f xml:space="preserve"> Debt!AS$628</f>
        <v>0</v>
      </c>
      <c r="AT61" s="235">
        <f xml:space="preserve"> Debt!AT$628</f>
        <v>0</v>
      </c>
      <c r="AU61" s="235">
        <f xml:space="preserve"> Debt!AU$628</f>
        <v>0</v>
      </c>
      <c r="AV61" s="235">
        <f xml:space="preserve"> Debt!AV$628</f>
        <v>0</v>
      </c>
      <c r="AW61" s="235">
        <f xml:space="preserve"> Debt!AW$628</f>
        <v>0</v>
      </c>
      <c r="AX61" s="235">
        <f xml:space="preserve"> Debt!AX$628</f>
        <v>0</v>
      </c>
      <c r="AY61" s="235">
        <f xml:space="preserve"> Debt!AY$628</f>
        <v>0</v>
      </c>
      <c r="AZ61" s="235">
        <f xml:space="preserve"> Debt!AZ$628</f>
        <v>0</v>
      </c>
      <c r="BA61" s="235">
        <f xml:space="preserve"> Debt!BA$628</f>
        <v>0</v>
      </c>
      <c r="BB61" s="235">
        <f xml:space="preserve"> Debt!BB$628</f>
        <v>0</v>
      </c>
      <c r="BC61" s="235">
        <f xml:space="preserve"> Debt!BC$628</f>
        <v>0</v>
      </c>
      <c r="BD61" s="235">
        <f xml:space="preserve"> Debt!BD$628</f>
        <v>0</v>
      </c>
      <c r="BE61" s="235">
        <f xml:space="preserve"> Debt!BE$628</f>
        <v>0</v>
      </c>
      <c r="BF61" s="235">
        <f xml:space="preserve"> Debt!BF$628</f>
        <v>0</v>
      </c>
      <c r="BG61" s="235">
        <f xml:space="preserve"> Debt!BG$628</f>
        <v>0</v>
      </c>
      <c r="BH61" s="235">
        <f xml:space="preserve"> Debt!BH$628</f>
        <v>0</v>
      </c>
      <c r="BI61" s="235">
        <f xml:space="preserve"> Debt!BI$628</f>
        <v>0</v>
      </c>
      <c r="BJ61" s="235">
        <f xml:space="preserve"> Debt!BJ$628</f>
        <v>0</v>
      </c>
      <c r="BK61" s="235">
        <f xml:space="preserve"> Debt!BK$628</f>
        <v>0</v>
      </c>
      <c r="BL61" s="235">
        <f xml:space="preserve"> Debt!BL$628</f>
        <v>0</v>
      </c>
      <c r="BM61" s="235">
        <f xml:space="preserve"> Debt!BM$628</f>
        <v>0</v>
      </c>
      <c r="BN61" s="235">
        <f xml:space="preserve"> Debt!BN$628</f>
        <v>0</v>
      </c>
      <c r="BO61" s="235">
        <f xml:space="preserve"> Debt!BO$628</f>
        <v>0</v>
      </c>
      <c r="BP61" s="235">
        <f xml:space="preserve"> Debt!BP$628</f>
        <v>0</v>
      </c>
      <c r="BQ61" s="235">
        <f xml:space="preserve"> Debt!BQ$628</f>
        <v>0</v>
      </c>
      <c r="BR61" s="235">
        <f xml:space="preserve"> Debt!BR$628</f>
        <v>0</v>
      </c>
      <c r="BS61" s="235">
        <f xml:space="preserve"> Debt!BS$628</f>
        <v>0</v>
      </c>
      <c r="BT61" s="235">
        <f xml:space="preserve"> Debt!BT$628</f>
        <v>0</v>
      </c>
      <c r="BU61" s="235">
        <f xml:space="preserve"> Debt!BU$628</f>
        <v>0</v>
      </c>
      <c r="BV61" s="235">
        <f xml:space="preserve"> Debt!BV$628</f>
        <v>0</v>
      </c>
      <c r="BW61" s="235">
        <f xml:space="preserve"> Debt!BW$628</f>
        <v>0</v>
      </c>
      <c r="BX61" s="235">
        <f xml:space="preserve"> Debt!BX$628</f>
        <v>0</v>
      </c>
      <c r="BY61" s="235">
        <f xml:space="preserve"> Debt!BY$628</f>
        <v>0</v>
      </c>
      <c r="BZ61" s="235">
        <f xml:space="preserve"> Debt!BZ$628</f>
        <v>0</v>
      </c>
      <c r="CA61" s="235">
        <f xml:space="preserve"> Debt!CA$628</f>
        <v>0</v>
      </c>
      <c r="CB61" s="235">
        <f xml:space="preserve"> Debt!CB$628</f>
        <v>0</v>
      </c>
      <c r="CC61" s="235">
        <f xml:space="preserve"> Debt!CC$628</f>
        <v>0</v>
      </c>
      <c r="CD61" s="235">
        <f xml:space="preserve"> Debt!CD$628</f>
        <v>0</v>
      </c>
      <c r="CE61" s="235">
        <f xml:space="preserve"> Debt!CE$628</f>
        <v>0</v>
      </c>
      <c r="CF61" s="235">
        <f xml:space="preserve"> Debt!CF$628</f>
        <v>0</v>
      </c>
      <c r="CG61" s="235">
        <f xml:space="preserve"> Debt!CG$628</f>
        <v>0</v>
      </c>
      <c r="CH61" s="235">
        <f xml:space="preserve"> Debt!CH$628</f>
        <v>0</v>
      </c>
      <c r="CI61" s="235">
        <f xml:space="preserve"> Debt!CI$628</f>
        <v>0</v>
      </c>
      <c r="CJ61" s="235">
        <f xml:space="preserve"> Debt!CJ$628</f>
        <v>0</v>
      </c>
      <c r="CK61" s="235">
        <f xml:space="preserve"> Debt!CK$628</f>
        <v>0</v>
      </c>
      <c r="CL61" s="235">
        <f xml:space="preserve"> Debt!CL$628</f>
        <v>0</v>
      </c>
      <c r="CM61" s="235">
        <f xml:space="preserve"> Debt!CM$628</f>
        <v>0</v>
      </c>
      <c r="CN61" s="235">
        <f xml:space="preserve"> Debt!CN$628</f>
        <v>0</v>
      </c>
      <c r="CO61" s="235">
        <f xml:space="preserve"> Debt!CO$628</f>
        <v>0</v>
      </c>
      <c r="CP61" s="235">
        <f xml:space="preserve"> Debt!CP$628</f>
        <v>0</v>
      </c>
      <c r="CQ61" s="235">
        <f xml:space="preserve"> Debt!CQ$628</f>
        <v>0</v>
      </c>
      <c r="CR61" s="235">
        <f xml:space="preserve"> Debt!CR$628</f>
        <v>0</v>
      </c>
      <c r="CS61" s="235">
        <f xml:space="preserve"> Debt!CS$628</f>
        <v>0</v>
      </c>
      <c r="CT61" s="235">
        <f xml:space="preserve"> Debt!CT$628</f>
        <v>0</v>
      </c>
      <c r="CU61" s="235">
        <f xml:space="preserve"> Debt!CU$628</f>
        <v>0</v>
      </c>
      <c r="CV61" s="235">
        <f xml:space="preserve"> Debt!CV$628</f>
        <v>0</v>
      </c>
    </row>
    <row r="62" spans="1:100" outlineLevel="1" x14ac:dyDescent="0.2">
      <c r="D62" s="209"/>
      <c r="E62" s="235" t="str">
        <f xml:space="preserve"> Debt!E$639</f>
        <v>WCF repayment - P99</v>
      </c>
      <c r="F62" s="235">
        <f xml:space="preserve"> Debt!F$639</f>
        <v>0</v>
      </c>
      <c r="G62" s="235" t="str">
        <f xml:space="preserve"> Debt!G$639</f>
        <v>$ 000s</v>
      </c>
      <c r="H62" s="235">
        <f xml:space="preserve"> Debt!H$639</f>
        <v>0</v>
      </c>
      <c r="I62" s="235">
        <f xml:space="preserve"> Debt!I$639</f>
        <v>0</v>
      </c>
      <c r="J62" s="235">
        <f xml:space="preserve"> Debt!J$639</f>
        <v>0</v>
      </c>
      <c r="K62" s="235">
        <f xml:space="preserve"> Debt!K$639</f>
        <v>0</v>
      </c>
      <c r="L62" s="235">
        <f xml:space="preserve"> Debt!L$639</f>
        <v>0</v>
      </c>
      <c r="M62" s="235">
        <f xml:space="preserve"> Debt!M$639</f>
        <v>0</v>
      </c>
      <c r="N62" s="235">
        <f xml:space="preserve"> Debt!N$639</f>
        <v>0</v>
      </c>
      <c r="O62" s="235">
        <f xml:space="preserve"> Debt!O$639</f>
        <v>0</v>
      </c>
      <c r="P62" s="235">
        <f xml:space="preserve"> Debt!P$639</f>
        <v>0</v>
      </c>
      <c r="Q62" s="235">
        <f xml:space="preserve"> Debt!Q$639</f>
        <v>0</v>
      </c>
      <c r="R62" s="235">
        <f xml:space="preserve"> Debt!R$639</f>
        <v>0</v>
      </c>
      <c r="S62" s="235">
        <f xml:space="preserve"> Debt!S$639</f>
        <v>0</v>
      </c>
      <c r="T62" s="235">
        <f xml:space="preserve"> Debt!T$639</f>
        <v>0</v>
      </c>
      <c r="U62" s="235">
        <f xml:space="preserve"> Debt!U$639</f>
        <v>0</v>
      </c>
      <c r="V62" s="235">
        <f xml:space="preserve"> Debt!V$639</f>
        <v>0</v>
      </c>
      <c r="W62" s="235">
        <f xml:space="preserve"> Debt!W$639</f>
        <v>0</v>
      </c>
      <c r="X62" s="235">
        <f xml:space="preserve"> Debt!X$639</f>
        <v>0</v>
      </c>
      <c r="Y62" s="235">
        <f xml:space="preserve"> Debt!Y$639</f>
        <v>0</v>
      </c>
      <c r="Z62" s="235">
        <f xml:space="preserve"> Debt!Z$639</f>
        <v>0</v>
      </c>
      <c r="AA62" s="235">
        <f xml:space="preserve"> Debt!AA$639</f>
        <v>0</v>
      </c>
      <c r="AB62" s="235">
        <f xml:space="preserve"> Debt!AB$639</f>
        <v>0</v>
      </c>
      <c r="AC62" s="235">
        <f xml:space="preserve"> Debt!AC$639</f>
        <v>0</v>
      </c>
      <c r="AD62" s="235">
        <f xml:space="preserve"> Debt!AD$639</f>
        <v>0</v>
      </c>
      <c r="AE62" s="235">
        <f xml:space="preserve"> Debt!AE$639</f>
        <v>0</v>
      </c>
      <c r="AF62" s="235">
        <f xml:space="preserve"> Debt!AF$639</f>
        <v>0</v>
      </c>
      <c r="AG62" s="235">
        <f xml:space="preserve"> Debt!AG$639</f>
        <v>0</v>
      </c>
      <c r="AH62" s="235">
        <f xml:space="preserve"> Debt!AH$639</f>
        <v>0</v>
      </c>
      <c r="AI62" s="235">
        <f xml:space="preserve"> Debt!AI$639</f>
        <v>0</v>
      </c>
      <c r="AJ62" s="235">
        <f xml:space="preserve"> Debt!AJ$639</f>
        <v>0</v>
      </c>
      <c r="AK62" s="235">
        <f xml:space="preserve"> Debt!AK$639</f>
        <v>0</v>
      </c>
      <c r="AL62" s="235">
        <f xml:space="preserve"> Debt!AL$639</f>
        <v>0</v>
      </c>
      <c r="AM62" s="235">
        <f xml:space="preserve"> Debt!AM$639</f>
        <v>0</v>
      </c>
      <c r="AN62" s="235">
        <f xml:space="preserve"> Debt!AN$639</f>
        <v>0</v>
      </c>
      <c r="AO62" s="235">
        <f xml:space="preserve"> Debt!AO$639</f>
        <v>0</v>
      </c>
      <c r="AP62" s="235">
        <f xml:space="preserve"> Debt!AP$639</f>
        <v>0</v>
      </c>
      <c r="AQ62" s="235">
        <f xml:space="preserve"> Debt!AQ$639</f>
        <v>0</v>
      </c>
      <c r="AR62" s="235">
        <f xml:space="preserve"> Debt!AR$639</f>
        <v>0</v>
      </c>
      <c r="AS62" s="235">
        <f xml:space="preserve"> Debt!AS$639</f>
        <v>0</v>
      </c>
      <c r="AT62" s="235">
        <f xml:space="preserve"> Debt!AT$639</f>
        <v>0</v>
      </c>
      <c r="AU62" s="235">
        <f xml:space="preserve"> Debt!AU$639</f>
        <v>0</v>
      </c>
      <c r="AV62" s="235">
        <f xml:space="preserve"> Debt!AV$639</f>
        <v>0</v>
      </c>
      <c r="AW62" s="235">
        <f xml:space="preserve"> Debt!AW$639</f>
        <v>0</v>
      </c>
      <c r="AX62" s="235">
        <f xml:space="preserve"> Debt!AX$639</f>
        <v>0</v>
      </c>
      <c r="AY62" s="235">
        <f xml:space="preserve"> Debt!AY$639</f>
        <v>0</v>
      </c>
      <c r="AZ62" s="235">
        <f xml:space="preserve"> Debt!AZ$639</f>
        <v>0</v>
      </c>
      <c r="BA62" s="235">
        <f xml:space="preserve"> Debt!BA$639</f>
        <v>0</v>
      </c>
      <c r="BB62" s="235">
        <f xml:space="preserve"> Debt!BB$639</f>
        <v>0</v>
      </c>
      <c r="BC62" s="235">
        <f xml:space="preserve"> Debt!BC$639</f>
        <v>0</v>
      </c>
      <c r="BD62" s="235">
        <f xml:space="preserve"> Debt!BD$639</f>
        <v>0</v>
      </c>
      <c r="BE62" s="235">
        <f xml:space="preserve"> Debt!BE$639</f>
        <v>0</v>
      </c>
      <c r="BF62" s="235">
        <f xml:space="preserve"> Debt!BF$639</f>
        <v>0</v>
      </c>
      <c r="BG62" s="235">
        <f xml:space="preserve"> Debt!BG$639</f>
        <v>0</v>
      </c>
      <c r="BH62" s="235">
        <f xml:space="preserve"> Debt!BH$639</f>
        <v>0</v>
      </c>
      <c r="BI62" s="235">
        <f xml:space="preserve"> Debt!BI$639</f>
        <v>0</v>
      </c>
      <c r="BJ62" s="235">
        <f xml:space="preserve"> Debt!BJ$639</f>
        <v>0</v>
      </c>
      <c r="BK62" s="235">
        <f xml:space="preserve"> Debt!BK$639</f>
        <v>0</v>
      </c>
      <c r="BL62" s="235">
        <f xml:space="preserve"> Debt!BL$639</f>
        <v>0</v>
      </c>
      <c r="BM62" s="235">
        <f xml:space="preserve"> Debt!BM$639</f>
        <v>0</v>
      </c>
      <c r="BN62" s="235">
        <f xml:space="preserve"> Debt!BN$639</f>
        <v>0</v>
      </c>
      <c r="BO62" s="235">
        <f xml:space="preserve"> Debt!BO$639</f>
        <v>0</v>
      </c>
      <c r="BP62" s="235">
        <f xml:space="preserve"> Debt!BP$639</f>
        <v>0</v>
      </c>
      <c r="BQ62" s="235">
        <f xml:space="preserve"> Debt!BQ$639</f>
        <v>0</v>
      </c>
      <c r="BR62" s="235">
        <f xml:space="preserve"> Debt!BR$639</f>
        <v>0</v>
      </c>
      <c r="BS62" s="235">
        <f xml:space="preserve"> Debt!BS$639</f>
        <v>0</v>
      </c>
      <c r="BT62" s="235">
        <f xml:space="preserve"> Debt!BT$639</f>
        <v>0</v>
      </c>
      <c r="BU62" s="235">
        <f xml:space="preserve"> Debt!BU$639</f>
        <v>0</v>
      </c>
      <c r="BV62" s="235">
        <f xml:space="preserve"> Debt!BV$639</f>
        <v>0</v>
      </c>
      <c r="BW62" s="235">
        <f xml:space="preserve"> Debt!BW$639</f>
        <v>0</v>
      </c>
      <c r="BX62" s="235">
        <f xml:space="preserve"> Debt!BX$639</f>
        <v>0</v>
      </c>
      <c r="BY62" s="235">
        <f xml:space="preserve"> Debt!BY$639</f>
        <v>0</v>
      </c>
      <c r="BZ62" s="235">
        <f xml:space="preserve"> Debt!BZ$639</f>
        <v>0</v>
      </c>
      <c r="CA62" s="235">
        <f xml:space="preserve"> Debt!CA$639</f>
        <v>0</v>
      </c>
      <c r="CB62" s="235">
        <f xml:space="preserve"> Debt!CB$639</f>
        <v>0</v>
      </c>
      <c r="CC62" s="235">
        <f xml:space="preserve"> Debt!CC$639</f>
        <v>0</v>
      </c>
      <c r="CD62" s="235">
        <f xml:space="preserve"> Debt!CD$639</f>
        <v>0</v>
      </c>
      <c r="CE62" s="235">
        <f xml:space="preserve"> Debt!CE$639</f>
        <v>0</v>
      </c>
      <c r="CF62" s="235">
        <f xml:space="preserve"> Debt!CF$639</f>
        <v>0</v>
      </c>
      <c r="CG62" s="235">
        <f xml:space="preserve"> Debt!CG$639</f>
        <v>0</v>
      </c>
      <c r="CH62" s="235">
        <f xml:space="preserve"> Debt!CH$639</f>
        <v>0</v>
      </c>
      <c r="CI62" s="235">
        <f xml:space="preserve"> Debt!CI$639</f>
        <v>0</v>
      </c>
      <c r="CJ62" s="235">
        <f xml:space="preserve"> Debt!CJ$639</f>
        <v>0</v>
      </c>
      <c r="CK62" s="235">
        <f xml:space="preserve"> Debt!CK$639</f>
        <v>0</v>
      </c>
      <c r="CL62" s="235">
        <f xml:space="preserve"> Debt!CL$639</f>
        <v>0</v>
      </c>
      <c r="CM62" s="235">
        <f xml:space="preserve"> Debt!CM$639</f>
        <v>0</v>
      </c>
      <c r="CN62" s="235">
        <f xml:space="preserve"> Debt!CN$639</f>
        <v>0</v>
      </c>
      <c r="CO62" s="235">
        <f xml:space="preserve"> Debt!CO$639</f>
        <v>0</v>
      </c>
      <c r="CP62" s="235">
        <f xml:space="preserve"> Debt!CP$639</f>
        <v>0</v>
      </c>
      <c r="CQ62" s="235">
        <f xml:space="preserve"> Debt!CQ$639</f>
        <v>0</v>
      </c>
      <c r="CR62" s="235">
        <f xml:space="preserve"> Debt!CR$639</f>
        <v>0</v>
      </c>
      <c r="CS62" s="235">
        <f xml:space="preserve"> Debt!CS$639</f>
        <v>0</v>
      </c>
      <c r="CT62" s="235">
        <f xml:space="preserve"> Debt!CT$639</f>
        <v>0</v>
      </c>
      <c r="CU62" s="235">
        <f xml:space="preserve"> Debt!CU$639</f>
        <v>0</v>
      </c>
      <c r="CV62" s="235">
        <f xml:space="preserve"> Debt!CV$639</f>
        <v>0</v>
      </c>
    </row>
    <row r="63" spans="1:100" s="192" customFormat="1" outlineLevel="1" x14ac:dyDescent="0.2">
      <c r="A63" s="205"/>
      <c r="B63" s="205"/>
      <c r="C63" s="206"/>
      <c r="D63" s="209"/>
      <c r="E63" s="232" t="s">
        <v>1153</v>
      </c>
      <c r="F63" s="232"/>
      <c r="G63" s="232" t="str">
        <f xml:space="preserve"> SMU</f>
        <v>$ 000s</v>
      </c>
      <c r="H63" s="232">
        <f ca="1" xml:space="preserve"> SUM(J63:CV63)</f>
        <v>440213.89832674386</v>
      </c>
      <c r="I63" s="232"/>
      <c r="J63" s="232">
        <f t="shared" ref="J63:AO63" ca="1" si="18" xml:space="preserve"> J45 + SUM(J47:J62)</f>
        <v>-1.5558398445136845E-6</v>
      </c>
      <c r="K63" s="232">
        <f t="shared" ca="1" si="18"/>
        <v>-1.2466658517951146E-5</v>
      </c>
      <c r="L63" s="232">
        <f t="shared" ca="1" si="18"/>
        <v>-1.6754362150095403E-5</v>
      </c>
      <c r="M63" s="232">
        <f t="shared" ca="1" si="18"/>
        <v>-1.9422688637860119E-5</v>
      </c>
      <c r="N63" s="232">
        <f t="shared" ca="1" si="18"/>
        <v>-3.9676149608567357E-3</v>
      </c>
      <c r="O63" s="232">
        <f t="shared" ca="1" si="18"/>
        <v>14020.372995316127</v>
      </c>
      <c r="P63" s="232">
        <f t="shared" ca="1" si="18"/>
        <v>12030.372995316129</v>
      </c>
      <c r="Q63" s="232">
        <f t="shared" ca="1" si="18"/>
        <v>11993.784267611052</v>
      </c>
      <c r="R63" s="232">
        <f t="shared" ca="1" si="18"/>
        <v>11917.385541845897</v>
      </c>
      <c r="S63" s="232">
        <f t="shared" ca="1" si="18"/>
        <v>11879.155257275261</v>
      </c>
      <c r="T63" s="232">
        <f t="shared" ca="1" si="18"/>
        <v>11802.831368568357</v>
      </c>
      <c r="U63" s="232">
        <f t="shared" ca="1" si="18"/>
        <v>11762.928287235867</v>
      </c>
      <c r="V63" s="232">
        <f t="shared" ca="1" si="18"/>
        <v>11686.677528771314</v>
      </c>
      <c r="W63" s="232">
        <f t="shared" ca="1" si="18"/>
        <v>11629.105341614206</v>
      </c>
      <c r="X63" s="232">
        <f t="shared" ca="1" si="18"/>
        <v>11568.890415912327</v>
      </c>
      <c r="Y63" s="232">
        <f t="shared" ca="1" si="18"/>
        <v>11525.545480627239</v>
      </c>
      <c r="Z63" s="232">
        <f t="shared" ca="1" si="18"/>
        <v>11449.435750349998</v>
      </c>
      <c r="AA63" s="232">
        <f t="shared" ca="1" si="18"/>
        <v>11404.320455503168</v>
      </c>
      <c r="AB63" s="232">
        <f t="shared" ca="1" si="18"/>
        <v>11328.278565808636</v>
      </c>
      <c r="AC63" s="232">
        <f t="shared" ca="1" si="18"/>
        <v>11281.359066246368</v>
      </c>
      <c r="AD63" s="232">
        <f t="shared" ca="1" si="18"/>
        <v>11205.38319557111</v>
      </c>
      <c r="AE63" s="232">
        <f t="shared" ca="1" si="18"/>
        <v>11141.317990629093</v>
      </c>
      <c r="AF63" s="232">
        <f t="shared" ca="1" si="18"/>
        <v>11080.713258394269</v>
      </c>
      <c r="AG63" s="232">
        <f t="shared" ca="1" si="18"/>
        <v>11030.081062769019</v>
      </c>
      <c r="AH63" s="232">
        <f t="shared" ca="1" si="18"/>
        <v>10954.231644141453</v>
      </c>
      <c r="AI63" s="232">
        <f t="shared" ca="1" si="18"/>
        <v>10901.689546931615</v>
      </c>
      <c r="AJ63" s="232">
        <f t="shared" ca="1" si="18"/>
        <v>10825.90049912633</v>
      </c>
      <c r="AK63" s="232">
        <f t="shared" ca="1" si="18"/>
        <v>10771.411834146054</v>
      </c>
      <c r="AL63" s="232">
        <f t="shared" ca="1" si="18"/>
        <v>10695.681211162373</v>
      </c>
      <c r="AM63" s="232">
        <f t="shared" ca="1" si="18"/>
        <v>10624.597871946047</v>
      </c>
      <c r="AN63" s="232">
        <f t="shared" ca="1" si="18"/>
        <v>10563.534394311991</v>
      </c>
      <c r="AO63" s="232">
        <f t="shared" ca="1" si="18"/>
        <v>10505.039616202108</v>
      </c>
      <c r="AP63" s="232">
        <f t="shared" ref="AP63:BU63" ca="1" si="19" xml:space="preserve"> AP45 + SUM(AP47:AP62)</f>
        <v>10429.419873329298</v>
      </c>
      <c r="AQ63" s="232">
        <f t="shared" ca="1" si="19"/>
        <v>10368.864022823194</v>
      </c>
      <c r="AR63" s="232">
        <f t="shared" ca="1" si="19"/>
        <v>10293.296667790339</v>
      </c>
      <c r="AS63" s="232">
        <f t="shared" ca="1" si="19"/>
        <v>10230.640024023749</v>
      </c>
      <c r="AT63" s="232">
        <f t="shared" ca="1" si="19"/>
        <v>10155.122975904564</v>
      </c>
      <c r="AU63" s="232">
        <f t="shared" ca="1" si="19"/>
        <v>10076.452739058863</v>
      </c>
      <c r="AV63" s="232">
        <f t="shared" ca="1" si="19"/>
        <v>10014.856158001163</v>
      </c>
      <c r="AW63" s="232">
        <f t="shared" ca="1" si="19"/>
        <v>9947.8755393576703</v>
      </c>
      <c r="AX63" s="232">
        <f t="shared" ca="1" si="19"/>
        <v>9872.4527196835443</v>
      </c>
      <c r="AY63" s="232">
        <f t="shared" ca="1" si="19"/>
        <v>9803.2472659130381</v>
      </c>
      <c r="AZ63" s="232">
        <f t="shared" ca="1" si="19"/>
        <v>9727.8682946455738</v>
      </c>
      <c r="BA63" s="232">
        <f t="shared" ca="1" si="19"/>
        <v>9656.3949772083179</v>
      </c>
      <c r="BB63" s="232">
        <f t="shared" ca="1" si="19"/>
        <v>12057.385643485566</v>
      </c>
      <c r="BC63" s="232">
        <f t="shared" ca="1" si="19"/>
        <v>0</v>
      </c>
      <c r="BD63" s="232">
        <f t="shared" ca="1" si="19"/>
        <v>0</v>
      </c>
      <c r="BE63" s="232">
        <f t="shared" ca="1" si="19"/>
        <v>0</v>
      </c>
      <c r="BF63" s="232">
        <f t="shared" ca="1" si="19"/>
        <v>0</v>
      </c>
      <c r="BG63" s="232">
        <f t="shared" ca="1" si="19"/>
        <v>0</v>
      </c>
      <c r="BH63" s="232">
        <f t="shared" ca="1" si="19"/>
        <v>0</v>
      </c>
      <c r="BI63" s="232">
        <f t="shared" ca="1" si="19"/>
        <v>0</v>
      </c>
      <c r="BJ63" s="232">
        <f t="shared" ca="1" si="19"/>
        <v>0</v>
      </c>
      <c r="BK63" s="232">
        <f t="shared" ca="1" si="19"/>
        <v>0</v>
      </c>
      <c r="BL63" s="232">
        <f t="shared" ca="1" si="19"/>
        <v>0</v>
      </c>
      <c r="BM63" s="232">
        <f t="shared" ca="1" si="19"/>
        <v>0</v>
      </c>
      <c r="BN63" s="232">
        <f t="shared" ca="1" si="19"/>
        <v>0</v>
      </c>
      <c r="BO63" s="232">
        <f t="shared" ca="1" si="19"/>
        <v>0</v>
      </c>
      <c r="BP63" s="232">
        <f t="shared" ca="1" si="19"/>
        <v>0</v>
      </c>
      <c r="BQ63" s="232">
        <f t="shared" ca="1" si="19"/>
        <v>0</v>
      </c>
      <c r="BR63" s="232">
        <f t="shared" ca="1" si="19"/>
        <v>0</v>
      </c>
      <c r="BS63" s="232">
        <f t="shared" ca="1" si="19"/>
        <v>0</v>
      </c>
      <c r="BT63" s="232">
        <f t="shared" ca="1" si="19"/>
        <v>0</v>
      </c>
      <c r="BU63" s="232">
        <f t="shared" ca="1" si="19"/>
        <v>0</v>
      </c>
      <c r="BV63" s="232">
        <f t="shared" ref="BV63:CV63" ca="1" si="20" xml:space="preserve"> BV45 + SUM(BV47:BV62)</f>
        <v>0</v>
      </c>
      <c r="BW63" s="232">
        <f t="shared" ca="1" si="20"/>
        <v>0</v>
      </c>
      <c r="BX63" s="232">
        <f t="shared" ca="1" si="20"/>
        <v>0</v>
      </c>
      <c r="BY63" s="232">
        <f t="shared" ca="1" si="20"/>
        <v>0</v>
      </c>
      <c r="BZ63" s="232">
        <f t="shared" ca="1" si="20"/>
        <v>0</v>
      </c>
      <c r="CA63" s="232">
        <f t="shared" ca="1" si="20"/>
        <v>0</v>
      </c>
      <c r="CB63" s="232">
        <f t="shared" ca="1" si="20"/>
        <v>0</v>
      </c>
      <c r="CC63" s="232">
        <f t="shared" ca="1" si="20"/>
        <v>0</v>
      </c>
      <c r="CD63" s="232">
        <f t="shared" ca="1" si="20"/>
        <v>0</v>
      </c>
      <c r="CE63" s="232">
        <f t="shared" ca="1" si="20"/>
        <v>0</v>
      </c>
      <c r="CF63" s="232">
        <f t="shared" ca="1" si="20"/>
        <v>0</v>
      </c>
      <c r="CG63" s="232">
        <f t="shared" ca="1" si="20"/>
        <v>0</v>
      </c>
      <c r="CH63" s="232">
        <f t="shared" ca="1" si="20"/>
        <v>0</v>
      </c>
      <c r="CI63" s="232">
        <f t="shared" ca="1" si="20"/>
        <v>0</v>
      </c>
      <c r="CJ63" s="232">
        <f t="shared" ca="1" si="20"/>
        <v>0</v>
      </c>
      <c r="CK63" s="232">
        <f t="shared" ca="1" si="20"/>
        <v>0</v>
      </c>
      <c r="CL63" s="232">
        <f t="shared" ca="1" si="20"/>
        <v>0</v>
      </c>
      <c r="CM63" s="232">
        <f t="shared" ca="1" si="20"/>
        <v>0</v>
      </c>
      <c r="CN63" s="232">
        <f t="shared" ca="1" si="20"/>
        <v>0</v>
      </c>
      <c r="CO63" s="232">
        <f t="shared" ca="1" si="20"/>
        <v>0</v>
      </c>
      <c r="CP63" s="232">
        <f t="shared" ca="1" si="20"/>
        <v>0</v>
      </c>
      <c r="CQ63" s="232">
        <f t="shared" ca="1" si="20"/>
        <v>0</v>
      </c>
      <c r="CR63" s="232">
        <f t="shared" ca="1" si="20"/>
        <v>0</v>
      </c>
      <c r="CS63" s="232">
        <f t="shared" ca="1" si="20"/>
        <v>0</v>
      </c>
      <c r="CT63" s="232">
        <f t="shared" ca="1" si="20"/>
        <v>0</v>
      </c>
      <c r="CU63" s="232">
        <f t="shared" ca="1" si="20"/>
        <v>0</v>
      </c>
      <c r="CV63" s="232">
        <f t="shared" ca="1" si="20"/>
        <v>0</v>
      </c>
    </row>
    <row r="64" spans="1:100" outlineLevel="1" x14ac:dyDescent="0.2">
      <c r="D64" s="209"/>
      <c r="E64" s="235"/>
      <c r="F64" s="235"/>
      <c r="G64" s="235"/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35"/>
      <c r="U64" s="235"/>
      <c r="V64" s="235"/>
      <c r="W64" s="235"/>
      <c r="X64" s="235"/>
      <c r="Y64" s="235"/>
      <c r="Z64" s="235"/>
      <c r="AA64" s="235"/>
      <c r="AB64" s="235"/>
      <c r="AC64" s="235"/>
      <c r="AD64" s="235"/>
      <c r="AE64" s="235"/>
      <c r="AF64" s="235"/>
      <c r="AG64" s="235"/>
      <c r="AH64" s="235"/>
      <c r="AI64" s="235"/>
      <c r="AJ64" s="235"/>
      <c r="AK64" s="235"/>
      <c r="AL64" s="235"/>
      <c r="AM64" s="235"/>
      <c r="AN64" s="235"/>
      <c r="AO64" s="235"/>
      <c r="AP64" s="235"/>
      <c r="AQ64" s="235"/>
      <c r="AR64" s="235"/>
      <c r="AS64" s="235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  <c r="BG64" s="235"/>
      <c r="BH64" s="235"/>
      <c r="BI64" s="235"/>
      <c r="BJ64" s="235"/>
      <c r="BK64" s="235"/>
      <c r="BL64" s="235"/>
      <c r="BM64" s="235"/>
      <c r="BN64" s="235"/>
      <c r="BO64" s="235"/>
      <c r="BP64" s="235"/>
      <c r="BQ64" s="235"/>
      <c r="BR64" s="235"/>
      <c r="BS64" s="235"/>
      <c r="BT64" s="235"/>
      <c r="BU64" s="235"/>
      <c r="BV64" s="235"/>
      <c r="BW64" s="235"/>
      <c r="BX64" s="235"/>
      <c r="BY64" s="235"/>
      <c r="BZ64" s="235"/>
      <c r="CA64" s="235"/>
      <c r="CB64" s="235"/>
      <c r="CC64" s="235"/>
      <c r="CD64" s="235"/>
      <c r="CE64" s="235"/>
      <c r="CF64" s="235"/>
      <c r="CG64" s="235"/>
      <c r="CH64" s="235"/>
      <c r="CI64" s="235"/>
      <c r="CJ64" s="235"/>
      <c r="CK64" s="235"/>
      <c r="CL64" s="235"/>
      <c r="CM64" s="235"/>
      <c r="CN64" s="235"/>
      <c r="CO64" s="235"/>
      <c r="CP64" s="235"/>
      <c r="CQ64" s="235"/>
      <c r="CR64" s="235"/>
      <c r="CS64" s="235"/>
      <c r="CT64" s="235"/>
      <c r="CU64" s="235"/>
      <c r="CV64" s="235"/>
    </row>
    <row r="65" spans="1:100" s="192" customFormat="1" outlineLevel="1" x14ac:dyDescent="0.2">
      <c r="A65" s="205"/>
      <c r="B65" s="205"/>
      <c r="C65" s="206"/>
      <c r="D65" s="209"/>
      <c r="E65" s="235" t="str">
        <f xml:space="preserve"> Debt!E$238</f>
        <v>Senior debt interest - T1</v>
      </c>
      <c r="F65" s="235">
        <f xml:space="preserve"> Debt!F$238</f>
        <v>0</v>
      </c>
      <c r="G65" s="235" t="str">
        <f xml:space="preserve"> Debt!G$238</f>
        <v>$ 000s</v>
      </c>
      <c r="H65" s="235">
        <f xml:space="preserve"> Debt!H$238</f>
        <v>-58932.622085008683</v>
      </c>
      <c r="I65" s="235">
        <f xml:space="preserve"> Debt!I$238</f>
        <v>0</v>
      </c>
      <c r="J65" s="235">
        <f xml:space="preserve"> Debt!J$238</f>
        <v>0</v>
      </c>
      <c r="K65" s="235">
        <f xml:space="preserve"> Debt!K$238</f>
        <v>0</v>
      </c>
      <c r="L65" s="235">
        <f xml:space="preserve"> Debt!L$238</f>
        <v>0</v>
      </c>
      <c r="M65" s="235">
        <f xml:space="preserve"> Debt!M$238</f>
        <v>0</v>
      </c>
      <c r="N65" s="235">
        <f xml:space="preserve"> Debt!N$238</f>
        <v>0</v>
      </c>
      <c r="O65" s="235">
        <f xml:space="preserve"> Debt!O$238</f>
        <v>-2687.5177475939608</v>
      </c>
      <c r="P65" s="235">
        <f xml:space="preserve"> Debt!P$238</f>
        <v>-2582.7239566536373</v>
      </c>
      <c r="Q65" s="235">
        <f xml:space="preserve"> Debt!Q$238</f>
        <v>-2574.328504175005</v>
      </c>
      <c r="R65" s="235">
        <f xml:space="preserve"> Debt!R$238</f>
        <v>-2481.3813281599528</v>
      </c>
      <c r="S65" s="235">
        <f xml:space="preserve"> Debt!S$238</f>
        <v>-2469.7293209345407</v>
      </c>
      <c r="T65" s="235">
        <f xml:space="preserve"> Debt!T$238</f>
        <v>-2376.876065985799</v>
      </c>
      <c r="U65" s="235">
        <f xml:space="preserve"> Debt!U$238</f>
        <v>-2361.8520922003349</v>
      </c>
      <c r="V65" s="235">
        <f xml:space="preserve"> Debt!V$238</f>
        <v>-2281.6182261919198</v>
      </c>
      <c r="W65" s="235">
        <f xml:space="preserve"> Debt!W$238</f>
        <v>-2250.6592852748454</v>
      </c>
      <c r="X65" s="235">
        <f xml:space="preserve"> Debt!X$238</f>
        <v>-2158.0922847899237</v>
      </c>
      <c r="Y65" s="235">
        <f xml:space="preserve"> Debt!Y$238</f>
        <v>-2237.6804315095601</v>
      </c>
      <c r="Z65" s="235">
        <f xml:space="preserve"> Debt!Z$238</f>
        <v>-2142.3886900549105</v>
      </c>
      <c r="AA65" s="235">
        <f xml:space="preserve"> Debt!AA$238</f>
        <v>-2117.0515797327043</v>
      </c>
      <c r="AB65" s="235">
        <f xml:space="preserve"> Debt!AB$238</f>
        <v>-2021.7094910691326</v>
      </c>
      <c r="AC65" s="235">
        <f xml:space="preserve"> Debt!AC$238</f>
        <v>-1992.3163229370118</v>
      </c>
      <c r="AD65" s="235">
        <f xml:space="preserve"> Debt!AD$238</f>
        <v>-1907.3851466300987</v>
      </c>
      <c r="AE65" s="235">
        <f xml:space="preserve"> Debt!AE$238</f>
        <v>-1863.349317892918</v>
      </c>
      <c r="AF65" s="235">
        <f xml:space="preserve"> Debt!AF$238</f>
        <v>-1767.9820934948079</v>
      </c>
      <c r="AG65" s="235">
        <f xml:space="preserve"> Debt!AG$238</f>
        <v>-1730.0089819557033</v>
      </c>
      <c r="AH65" s="235">
        <f xml:space="preserve"> Debt!AH$238</f>
        <v>-1634.3997473361794</v>
      </c>
      <c r="AI65" s="235">
        <f xml:space="preserve"> Debt!AI$238</f>
        <v>-1664.2398160286421</v>
      </c>
      <c r="AJ65" s="235">
        <f xml:space="preserve"> Debt!AJ$238</f>
        <v>-1565.5385581725184</v>
      </c>
      <c r="AK65" s="235">
        <f xml:space="preserve"> Debt!AK$238</f>
        <v>-1517.504166079535</v>
      </c>
      <c r="AL65" s="235">
        <f xml:space="preserve"> Debt!AL$238</f>
        <v>-1426.3062182693025</v>
      </c>
      <c r="AM65" s="235">
        <f xml:space="preserve"> Debt!AM$238</f>
        <v>-1365.2015310096476</v>
      </c>
      <c r="AN65" s="235">
        <f xml:space="preserve"> Debt!AN$238</f>
        <v>-1265.9321561833478</v>
      </c>
      <c r="AO65" s="235">
        <f xml:space="preserve"> Debt!AO$238</f>
        <v>-1207.2384434234541</v>
      </c>
      <c r="AP65" s="235">
        <f xml:space="preserve"> Debt!AP$238</f>
        <v>-1107.4310609472375</v>
      </c>
      <c r="AQ65" s="235">
        <f xml:space="preserve"> Debt!AQ$238</f>
        <v>-1043.0631804876928</v>
      </c>
      <c r="AR65" s="235">
        <f xml:space="preserve"> Debt!AR$238</f>
        <v>-942.81174989072917</v>
      </c>
      <c r="AS65" s="235">
        <f xml:space="preserve"> Debt!AS$238</f>
        <v>-872.52701382584769</v>
      </c>
      <c r="AT65" s="235">
        <f xml:space="preserve"> Debt!AT$238</f>
        <v>-652.41628467561759</v>
      </c>
      <c r="AU65" s="235">
        <f xml:space="preserve"> Debt!AU$238</f>
        <v>-443.63241738550107</v>
      </c>
      <c r="AV65" s="235">
        <f xml:space="preserve"> Debt!AV$238</f>
        <v>-219.7301918317994</v>
      </c>
      <c r="AW65" s="235">
        <f xml:space="preserve"> Debt!AW$238</f>
        <v>2.2123232123425019E-4</v>
      </c>
      <c r="AX65" s="235">
        <f xml:space="preserve"> Debt!AX$238</f>
        <v>2.1762527251847438E-4</v>
      </c>
      <c r="AY65" s="235">
        <f xml:space="preserve"> Debt!AY$238</f>
        <v>2.2123232123425019E-4</v>
      </c>
      <c r="AZ65" s="235">
        <f xml:space="preserve"> Debt!AZ$238</f>
        <v>2.1762527251847438E-4</v>
      </c>
      <c r="BA65" s="235">
        <f xml:space="preserve"> Debt!BA$238</f>
        <v>2.2123232123425019E-4</v>
      </c>
      <c r="BB65" s="235">
        <f xml:space="preserve"> Debt!BB$238</f>
        <v>2.1882762209039967E-4</v>
      </c>
      <c r="BC65" s="235">
        <f xml:space="preserve"> Debt!BC$238</f>
        <v>0</v>
      </c>
      <c r="BD65" s="235">
        <f xml:space="preserve"> Debt!BD$238</f>
        <v>0</v>
      </c>
      <c r="BE65" s="235">
        <f xml:space="preserve"> Debt!BE$238</f>
        <v>0</v>
      </c>
      <c r="BF65" s="235">
        <f xml:space="preserve"> Debt!BF$238</f>
        <v>0</v>
      </c>
      <c r="BG65" s="235">
        <f xml:space="preserve"> Debt!BG$238</f>
        <v>0</v>
      </c>
      <c r="BH65" s="235">
        <f xml:space="preserve"> Debt!BH$238</f>
        <v>0</v>
      </c>
      <c r="BI65" s="235">
        <f xml:space="preserve"> Debt!BI$238</f>
        <v>0</v>
      </c>
      <c r="BJ65" s="235">
        <f xml:space="preserve"> Debt!BJ$238</f>
        <v>0</v>
      </c>
      <c r="BK65" s="235">
        <f xml:space="preserve"> Debt!BK$238</f>
        <v>0</v>
      </c>
      <c r="BL65" s="235">
        <f xml:space="preserve"> Debt!BL$238</f>
        <v>0</v>
      </c>
      <c r="BM65" s="235">
        <f xml:space="preserve"> Debt!BM$238</f>
        <v>0</v>
      </c>
      <c r="BN65" s="235">
        <f xml:space="preserve"> Debt!BN$238</f>
        <v>0</v>
      </c>
      <c r="BO65" s="235">
        <f xml:space="preserve"> Debt!BO$238</f>
        <v>0</v>
      </c>
      <c r="BP65" s="235">
        <f xml:space="preserve"> Debt!BP$238</f>
        <v>0</v>
      </c>
      <c r="BQ65" s="235">
        <f xml:space="preserve"> Debt!BQ$238</f>
        <v>0</v>
      </c>
      <c r="BR65" s="235">
        <f xml:space="preserve"> Debt!BR$238</f>
        <v>0</v>
      </c>
      <c r="BS65" s="235">
        <f xml:space="preserve"> Debt!BS$238</f>
        <v>0</v>
      </c>
      <c r="BT65" s="235">
        <f xml:space="preserve"> Debt!BT$238</f>
        <v>0</v>
      </c>
      <c r="BU65" s="235">
        <f xml:space="preserve"> Debt!BU$238</f>
        <v>0</v>
      </c>
      <c r="BV65" s="235">
        <f xml:space="preserve"> Debt!BV$238</f>
        <v>0</v>
      </c>
      <c r="BW65" s="235">
        <f xml:space="preserve"> Debt!BW$238</f>
        <v>0</v>
      </c>
      <c r="BX65" s="235">
        <f xml:space="preserve"> Debt!BX$238</f>
        <v>0</v>
      </c>
      <c r="BY65" s="235">
        <f xml:space="preserve"> Debt!BY$238</f>
        <v>0</v>
      </c>
      <c r="BZ65" s="235">
        <f xml:space="preserve"> Debt!BZ$238</f>
        <v>0</v>
      </c>
      <c r="CA65" s="235">
        <f xml:space="preserve"> Debt!CA$238</f>
        <v>0</v>
      </c>
      <c r="CB65" s="235">
        <f xml:space="preserve"> Debt!CB$238</f>
        <v>0</v>
      </c>
      <c r="CC65" s="235">
        <f xml:space="preserve"> Debt!CC$238</f>
        <v>0</v>
      </c>
      <c r="CD65" s="235">
        <f xml:space="preserve"> Debt!CD$238</f>
        <v>0</v>
      </c>
      <c r="CE65" s="235">
        <f xml:space="preserve"> Debt!CE$238</f>
        <v>0</v>
      </c>
      <c r="CF65" s="235">
        <f xml:space="preserve"> Debt!CF$238</f>
        <v>0</v>
      </c>
      <c r="CG65" s="235">
        <f xml:space="preserve"> Debt!CG$238</f>
        <v>0</v>
      </c>
      <c r="CH65" s="235">
        <f xml:space="preserve"> Debt!CH$238</f>
        <v>0</v>
      </c>
      <c r="CI65" s="235">
        <f xml:space="preserve"> Debt!CI$238</f>
        <v>0</v>
      </c>
      <c r="CJ65" s="235">
        <f xml:space="preserve"> Debt!CJ$238</f>
        <v>0</v>
      </c>
      <c r="CK65" s="235">
        <f xml:space="preserve"> Debt!CK$238</f>
        <v>0</v>
      </c>
      <c r="CL65" s="235">
        <f xml:space="preserve"> Debt!CL$238</f>
        <v>0</v>
      </c>
      <c r="CM65" s="235">
        <f xml:space="preserve"> Debt!CM$238</f>
        <v>0</v>
      </c>
      <c r="CN65" s="235">
        <f xml:space="preserve"> Debt!CN$238</f>
        <v>0</v>
      </c>
      <c r="CO65" s="235">
        <f xml:space="preserve"> Debt!CO$238</f>
        <v>0</v>
      </c>
      <c r="CP65" s="235">
        <f xml:space="preserve"> Debt!CP$238</f>
        <v>0</v>
      </c>
      <c r="CQ65" s="235">
        <f xml:space="preserve"> Debt!CQ$238</f>
        <v>0</v>
      </c>
      <c r="CR65" s="235">
        <f xml:space="preserve"> Debt!CR$238</f>
        <v>0</v>
      </c>
      <c r="CS65" s="235">
        <f xml:space="preserve"> Debt!CS$238</f>
        <v>0</v>
      </c>
      <c r="CT65" s="235">
        <f xml:space="preserve"> Debt!CT$238</f>
        <v>0</v>
      </c>
      <c r="CU65" s="235">
        <f xml:space="preserve"> Debt!CU$238</f>
        <v>0</v>
      </c>
      <c r="CV65" s="235">
        <f xml:space="preserve"> Debt!CV$238</f>
        <v>0</v>
      </c>
    </row>
    <row r="66" spans="1:100" s="192" customFormat="1" outlineLevel="1" x14ac:dyDescent="0.2">
      <c r="A66" s="205"/>
      <c r="B66" s="205"/>
      <c r="C66" s="206"/>
      <c r="D66" s="209"/>
      <c r="E66" s="235" t="str">
        <f xml:space="preserve"> Debt!E$350</f>
        <v>Senior debt interest - T2</v>
      </c>
      <c r="F66" s="235">
        <f xml:space="preserve"> Debt!F$350</f>
        <v>0</v>
      </c>
      <c r="G66" s="235" t="str">
        <f xml:space="preserve"> Debt!G$350</f>
        <v>$ 000s</v>
      </c>
      <c r="H66" s="235">
        <f xml:space="preserve"> Debt!H$350</f>
        <v>-50719.400835431705</v>
      </c>
      <c r="I66" s="235">
        <f xml:space="preserve"> Debt!I$350</f>
        <v>0</v>
      </c>
      <c r="J66" s="235">
        <f xml:space="preserve"> Debt!J$350</f>
        <v>0</v>
      </c>
      <c r="K66" s="235">
        <f xml:space="preserve"> Debt!K$350</f>
        <v>0</v>
      </c>
      <c r="L66" s="235">
        <f xml:space="preserve"> Debt!L$350</f>
        <v>0</v>
      </c>
      <c r="M66" s="235">
        <f xml:space="preserve"> Debt!M$350</f>
        <v>0</v>
      </c>
      <c r="N66" s="235">
        <f xml:space="preserve"> Debt!N$350</f>
        <v>0</v>
      </c>
      <c r="O66" s="235">
        <f xml:space="preserve"> Debt!O$350</f>
        <v>-3007.4603365932417</v>
      </c>
      <c r="P66" s="235">
        <f xml:space="preserve"> Debt!P$350</f>
        <v>-2861.4426237247226</v>
      </c>
      <c r="Q66" s="235">
        <f xml:space="preserve"> Debt!Q$350</f>
        <v>-2827.4302563544802</v>
      </c>
      <c r="R66" s="235">
        <f xml:space="preserve"> Debt!R$350</f>
        <v>-2700.2548554507134</v>
      </c>
      <c r="S66" s="235">
        <f xml:space="preserve"> Debt!S$350</f>
        <v>-2661.0628632799539</v>
      </c>
      <c r="T66" s="235">
        <f xml:space="preserve"> Debt!T$350</f>
        <v>-2534.0368459800811</v>
      </c>
      <c r="U66" s="235">
        <f xml:space="preserve"> Debt!U$350</f>
        <v>-2489.4816638803841</v>
      </c>
      <c r="V66" s="235">
        <f xml:space="preserve"> Debt!V$350</f>
        <v>-2375.6406705547574</v>
      </c>
      <c r="W66" s="235">
        <f xml:space="preserve"> Debt!W$350</f>
        <v>-2312.626961541976</v>
      </c>
      <c r="X66" s="235">
        <f xml:space="preserve"> Debt!X$350</f>
        <v>-2186.0562385133053</v>
      </c>
      <c r="Y66" s="235">
        <f xml:space="preserve"> Debt!Y$350</f>
        <v>-2220.854468947296</v>
      </c>
      <c r="Z66" s="235">
        <f xml:space="preserve"> Debt!Z$350</f>
        <v>-2091.5619982100643</v>
      </c>
      <c r="AA66" s="235">
        <f xml:space="preserve"> Debt!AA$350</f>
        <v>-2029.9192920142364</v>
      </c>
      <c r="AB66" s="235">
        <f xml:space="preserve"> Debt!AB$350</f>
        <v>-1900.5471301160426</v>
      </c>
      <c r="AC66" s="235">
        <f xml:space="preserve"> Debt!AC$350</f>
        <v>-1832.4843668262508</v>
      </c>
      <c r="AD66" s="235">
        <f xml:space="preserve"> Debt!AD$350</f>
        <v>-1712.4114864363401</v>
      </c>
      <c r="AE66" s="235">
        <f xml:space="preserve"> Debt!AE$350</f>
        <v>-1628.351296139547</v>
      </c>
      <c r="AF66" s="235">
        <f xml:space="preserve"> Debt!AF$350</f>
        <v>-1498.9393486025879</v>
      </c>
      <c r="AG66" s="235">
        <f xml:space="preserve"> Debt!AG$350</f>
        <v>-1417.2959784483739</v>
      </c>
      <c r="AH66" s="235">
        <f xml:space="preserve"> Debt!AH$350</f>
        <v>-1287.5009694483854</v>
      </c>
      <c r="AI66" s="235">
        <f xml:space="preserve"> Debt!AI$350</f>
        <v>-1272.051076082276</v>
      </c>
      <c r="AJ66" s="235">
        <f xml:space="preserve"> Debt!AJ$350</f>
        <v>-1136.3240059796112</v>
      </c>
      <c r="AK66" s="235">
        <f xml:space="preserve"> Debt!AK$350</f>
        <v>-1036.2897842601778</v>
      </c>
      <c r="AL66" s="235">
        <f xml:space="preserve"> Debt!AL$350</f>
        <v>-904.99934106523745</v>
      </c>
      <c r="AM66" s="235">
        <f xml:space="preserve"> Debt!AM$350</f>
        <v>-791.5839748373146</v>
      </c>
      <c r="AN66" s="235">
        <f xml:space="preserve"> Debt!AN$350</f>
        <v>-654.9441068505555</v>
      </c>
      <c r="AO66" s="235">
        <f xml:space="preserve"> Debt!AO$350</f>
        <v>-537.78347303393627</v>
      </c>
      <c r="AP66" s="235">
        <f xml:space="preserve"> Debt!AP$350</f>
        <v>-400.27918403838652</v>
      </c>
      <c r="AQ66" s="235">
        <f xml:space="preserve"> Debt!AQ$350</f>
        <v>-274.00182155120319</v>
      </c>
      <c r="AR66" s="235">
        <f xml:space="preserve"> Debt!AR$350</f>
        <v>-135.78407704150388</v>
      </c>
      <c r="AS66" s="235">
        <f xml:space="preserve"> Debt!AS$350</f>
        <v>-5.7368266412878361E-5</v>
      </c>
      <c r="AT66" s="235">
        <f xml:space="preserve"> Debt!AT$350</f>
        <v>-5.6744698299694907E-5</v>
      </c>
      <c r="AU66" s="235">
        <f xml:space="preserve"> Debt!AU$350</f>
        <v>-5.7368266412878361E-5</v>
      </c>
      <c r="AV66" s="235">
        <f xml:space="preserve"> Debt!AV$350</f>
        <v>-5.6432914243103177E-5</v>
      </c>
      <c r="AW66" s="235">
        <f xml:space="preserve"> Debt!AW$350</f>
        <v>-1.8755010173441004E-5</v>
      </c>
      <c r="AX66" s="235">
        <f xml:space="preserve"> Debt!AX$350</f>
        <v>-1.8449221964091424E-5</v>
      </c>
      <c r="AY66" s="235">
        <f xml:space="preserve"> Debt!AY$350</f>
        <v>-1.8755010173441004E-5</v>
      </c>
      <c r="AZ66" s="235">
        <f xml:space="preserve"> Debt!AZ$350</f>
        <v>-1.8449221964091424E-5</v>
      </c>
      <c r="BA66" s="235">
        <f xml:space="preserve"> Debt!BA$350</f>
        <v>-1.8755010173441004E-5</v>
      </c>
      <c r="BB66" s="235">
        <f xml:space="preserve"> Debt!BB$350</f>
        <v>-1.8551151367207951E-5</v>
      </c>
      <c r="BC66" s="235">
        <f xml:space="preserve"> Debt!BC$350</f>
        <v>0</v>
      </c>
      <c r="BD66" s="235">
        <f xml:space="preserve"> Debt!BD$350</f>
        <v>0</v>
      </c>
      <c r="BE66" s="235">
        <f xml:space="preserve"> Debt!BE$350</f>
        <v>0</v>
      </c>
      <c r="BF66" s="235">
        <f xml:space="preserve"> Debt!BF$350</f>
        <v>0</v>
      </c>
      <c r="BG66" s="235">
        <f xml:space="preserve"> Debt!BG$350</f>
        <v>0</v>
      </c>
      <c r="BH66" s="235">
        <f xml:space="preserve"> Debt!BH$350</f>
        <v>0</v>
      </c>
      <c r="BI66" s="235">
        <f xml:space="preserve"> Debt!BI$350</f>
        <v>0</v>
      </c>
      <c r="BJ66" s="235">
        <f xml:space="preserve"> Debt!BJ$350</f>
        <v>0</v>
      </c>
      <c r="BK66" s="235">
        <f xml:space="preserve"> Debt!BK$350</f>
        <v>0</v>
      </c>
      <c r="BL66" s="235">
        <f xml:space="preserve"> Debt!BL$350</f>
        <v>0</v>
      </c>
      <c r="BM66" s="235">
        <f xml:space="preserve"> Debt!BM$350</f>
        <v>0</v>
      </c>
      <c r="BN66" s="235">
        <f xml:space="preserve"> Debt!BN$350</f>
        <v>0</v>
      </c>
      <c r="BO66" s="235">
        <f xml:space="preserve"> Debt!BO$350</f>
        <v>0</v>
      </c>
      <c r="BP66" s="235">
        <f xml:space="preserve"> Debt!BP$350</f>
        <v>0</v>
      </c>
      <c r="BQ66" s="235">
        <f xml:space="preserve"> Debt!BQ$350</f>
        <v>0</v>
      </c>
      <c r="BR66" s="235">
        <f xml:space="preserve"> Debt!BR$350</f>
        <v>0</v>
      </c>
      <c r="BS66" s="235">
        <f xml:space="preserve"> Debt!BS$350</f>
        <v>0</v>
      </c>
      <c r="BT66" s="235">
        <f xml:space="preserve"> Debt!BT$350</f>
        <v>0</v>
      </c>
      <c r="BU66" s="235">
        <f xml:space="preserve"> Debt!BU$350</f>
        <v>0</v>
      </c>
      <c r="BV66" s="235">
        <f xml:space="preserve"> Debt!BV$350</f>
        <v>0</v>
      </c>
      <c r="BW66" s="235">
        <f xml:space="preserve"> Debt!BW$350</f>
        <v>0</v>
      </c>
      <c r="BX66" s="235">
        <f xml:space="preserve"> Debt!BX$350</f>
        <v>0</v>
      </c>
      <c r="BY66" s="235">
        <f xml:space="preserve"> Debt!BY$350</f>
        <v>0</v>
      </c>
      <c r="BZ66" s="235">
        <f xml:space="preserve"> Debt!BZ$350</f>
        <v>0</v>
      </c>
      <c r="CA66" s="235">
        <f xml:space="preserve"> Debt!CA$350</f>
        <v>0</v>
      </c>
      <c r="CB66" s="235">
        <f xml:space="preserve"> Debt!CB$350</f>
        <v>0</v>
      </c>
      <c r="CC66" s="235">
        <f xml:space="preserve"> Debt!CC$350</f>
        <v>0</v>
      </c>
      <c r="CD66" s="235">
        <f xml:space="preserve"> Debt!CD$350</f>
        <v>0</v>
      </c>
      <c r="CE66" s="235">
        <f xml:space="preserve"> Debt!CE$350</f>
        <v>0</v>
      </c>
      <c r="CF66" s="235">
        <f xml:space="preserve"> Debt!CF$350</f>
        <v>0</v>
      </c>
      <c r="CG66" s="235">
        <f xml:space="preserve"> Debt!CG$350</f>
        <v>0</v>
      </c>
      <c r="CH66" s="235">
        <f xml:space="preserve"> Debt!CH$350</f>
        <v>0</v>
      </c>
      <c r="CI66" s="235">
        <f xml:space="preserve"> Debt!CI$350</f>
        <v>0</v>
      </c>
      <c r="CJ66" s="235">
        <f xml:space="preserve"> Debt!CJ$350</f>
        <v>0</v>
      </c>
      <c r="CK66" s="235">
        <f xml:space="preserve"> Debt!CK$350</f>
        <v>0</v>
      </c>
      <c r="CL66" s="235">
        <f xml:space="preserve"> Debt!CL$350</f>
        <v>0</v>
      </c>
      <c r="CM66" s="235">
        <f xml:space="preserve"> Debt!CM$350</f>
        <v>0</v>
      </c>
      <c r="CN66" s="235">
        <f xml:space="preserve"> Debt!CN$350</f>
        <v>0</v>
      </c>
      <c r="CO66" s="235">
        <f xml:space="preserve"> Debt!CO$350</f>
        <v>0</v>
      </c>
      <c r="CP66" s="235">
        <f xml:space="preserve"> Debt!CP$350</f>
        <v>0</v>
      </c>
      <c r="CQ66" s="235">
        <f xml:space="preserve"> Debt!CQ$350</f>
        <v>0</v>
      </c>
      <c r="CR66" s="235">
        <f xml:space="preserve"> Debt!CR$350</f>
        <v>0</v>
      </c>
      <c r="CS66" s="235">
        <f xml:space="preserve"> Debt!CS$350</f>
        <v>0</v>
      </c>
      <c r="CT66" s="235">
        <f xml:space="preserve"> Debt!CT$350</f>
        <v>0</v>
      </c>
      <c r="CU66" s="235">
        <f xml:space="preserve"> Debt!CU$350</f>
        <v>0</v>
      </c>
      <c r="CV66" s="235">
        <f xml:space="preserve"> Debt!CV$350</f>
        <v>0</v>
      </c>
    </row>
    <row r="67" spans="1:100" s="192" customFormat="1" outlineLevel="1" x14ac:dyDescent="0.2">
      <c r="A67" s="205"/>
      <c r="B67" s="205"/>
      <c r="C67" s="206"/>
      <c r="D67" s="209"/>
      <c r="E67" s="235" t="str">
        <f xml:space="preserve"> Debt!E$398</f>
        <v>Standby debt interest - T1</v>
      </c>
      <c r="F67" s="235">
        <f xml:space="preserve"> Debt!F$398</f>
        <v>0</v>
      </c>
      <c r="G67" s="235" t="str">
        <f xml:space="preserve"> Debt!G$398</f>
        <v>$ 000s</v>
      </c>
      <c r="H67" s="235">
        <f xml:space="preserve"> Debt!H$398</f>
        <v>0</v>
      </c>
      <c r="I67" s="235">
        <f xml:space="preserve"> Debt!I$398</f>
        <v>0</v>
      </c>
      <c r="J67" s="235">
        <f xml:space="preserve"> Debt!J$398</f>
        <v>0</v>
      </c>
      <c r="K67" s="235">
        <f xml:space="preserve"> Debt!K$398</f>
        <v>0</v>
      </c>
      <c r="L67" s="235">
        <f xml:space="preserve"> Debt!L$398</f>
        <v>0</v>
      </c>
      <c r="M67" s="235">
        <f xml:space="preserve"> Debt!M$398</f>
        <v>0</v>
      </c>
      <c r="N67" s="235">
        <f xml:space="preserve"> Debt!N$398</f>
        <v>0</v>
      </c>
      <c r="O67" s="235">
        <f xml:space="preserve"> Debt!O$398</f>
        <v>0</v>
      </c>
      <c r="P67" s="235">
        <f xml:space="preserve"> Debt!P$398</f>
        <v>0</v>
      </c>
      <c r="Q67" s="235">
        <f xml:space="preserve"> Debt!Q$398</f>
        <v>0</v>
      </c>
      <c r="R67" s="235">
        <f xml:space="preserve"> Debt!R$398</f>
        <v>0</v>
      </c>
      <c r="S67" s="235">
        <f xml:space="preserve"> Debt!S$398</f>
        <v>0</v>
      </c>
      <c r="T67" s="235">
        <f xml:space="preserve"> Debt!T$398</f>
        <v>0</v>
      </c>
      <c r="U67" s="235">
        <f xml:space="preserve"> Debt!U$398</f>
        <v>0</v>
      </c>
      <c r="V67" s="235">
        <f xml:space="preserve"> Debt!V$398</f>
        <v>0</v>
      </c>
      <c r="W67" s="235">
        <f xml:space="preserve"> Debt!W$398</f>
        <v>0</v>
      </c>
      <c r="X67" s="235">
        <f xml:space="preserve"> Debt!X$398</f>
        <v>0</v>
      </c>
      <c r="Y67" s="235">
        <f xml:space="preserve"> Debt!Y$398</f>
        <v>0</v>
      </c>
      <c r="Z67" s="235">
        <f xml:space="preserve"> Debt!Z$398</f>
        <v>0</v>
      </c>
      <c r="AA67" s="235">
        <f xml:space="preserve"> Debt!AA$398</f>
        <v>0</v>
      </c>
      <c r="AB67" s="235">
        <f xml:space="preserve"> Debt!AB$398</f>
        <v>0</v>
      </c>
      <c r="AC67" s="235">
        <f xml:space="preserve"> Debt!AC$398</f>
        <v>0</v>
      </c>
      <c r="AD67" s="235">
        <f xml:space="preserve"> Debt!AD$398</f>
        <v>0</v>
      </c>
      <c r="AE67" s="235">
        <f xml:space="preserve"> Debt!AE$398</f>
        <v>0</v>
      </c>
      <c r="AF67" s="235">
        <f xml:space="preserve"> Debt!AF$398</f>
        <v>0</v>
      </c>
      <c r="AG67" s="235">
        <f xml:space="preserve"> Debt!AG$398</f>
        <v>0</v>
      </c>
      <c r="AH67" s="235">
        <f xml:space="preserve"> Debt!AH$398</f>
        <v>0</v>
      </c>
      <c r="AI67" s="235">
        <f xml:space="preserve"> Debt!AI$398</f>
        <v>0</v>
      </c>
      <c r="AJ67" s="235">
        <f xml:space="preserve"> Debt!AJ$398</f>
        <v>0</v>
      </c>
      <c r="AK67" s="235">
        <f xml:space="preserve"> Debt!AK$398</f>
        <v>0</v>
      </c>
      <c r="AL67" s="235">
        <f xml:space="preserve"> Debt!AL$398</f>
        <v>0</v>
      </c>
      <c r="AM67" s="235">
        <f xml:space="preserve"> Debt!AM$398</f>
        <v>0</v>
      </c>
      <c r="AN67" s="235">
        <f xml:space="preserve"> Debt!AN$398</f>
        <v>0</v>
      </c>
      <c r="AO67" s="235">
        <f xml:space="preserve"> Debt!AO$398</f>
        <v>0</v>
      </c>
      <c r="AP67" s="235">
        <f xml:space="preserve"> Debt!AP$398</f>
        <v>0</v>
      </c>
      <c r="AQ67" s="235">
        <f xml:space="preserve"> Debt!AQ$398</f>
        <v>0</v>
      </c>
      <c r="AR67" s="235">
        <f xml:space="preserve"> Debt!AR$398</f>
        <v>0</v>
      </c>
      <c r="AS67" s="235">
        <f xml:space="preserve"> Debt!AS$398</f>
        <v>0</v>
      </c>
      <c r="AT67" s="235">
        <f xml:space="preserve"> Debt!AT$398</f>
        <v>0</v>
      </c>
      <c r="AU67" s="235">
        <f xml:space="preserve"> Debt!AU$398</f>
        <v>0</v>
      </c>
      <c r="AV67" s="235">
        <f xml:space="preserve"> Debt!AV$398</f>
        <v>0</v>
      </c>
      <c r="AW67" s="235">
        <f xml:space="preserve"> Debt!AW$398</f>
        <v>0</v>
      </c>
      <c r="AX67" s="235">
        <f xml:space="preserve"> Debt!AX$398</f>
        <v>0</v>
      </c>
      <c r="AY67" s="235">
        <f xml:space="preserve"> Debt!AY$398</f>
        <v>0</v>
      </c>
      <c r="AZ67" s="235">
        <f xml:space="preserve"> Debt!AZ$398</f>
        <v>0</v>
      </c>
      <c r="BA67" s="235">
        <f xml:space="preserve"> Debt!BA$398</f>
        <v>0</v>
      </c>
      <c r="BB67" s="235">
        <f xml:space="preserve"> Debt!BB$398</f>
        <v>0</v>
      </c>
      <c r="BC67" s="235">
        <f xml:space="preserve"> Debt!BC$398</f>
        <v>0</v>
      </c>
      <c r="BD67" s="235">
        <f xml:space="preserve"> Debt!BD$398</f>
        <v>0</v>
      </c>
      <c r="BE67" s="235">
        <f xml:space="preserve"> Debt!BE$398</f>
        <v>0</v>
      </c>
      <c r="BF67" s="235">
        <f xml:space="preserve"> Debt!BF$398</f>
        <v>0</v>
      </c>
      <c r="BG67" s="235">
        <f xml:space="preserve"> Debt!BG$398</f>
        <v>0</v>
      </c>
      <c r="BH67" s="235">
        <f xml:space="preserve"> Debt!BH$398</f>
        <v>0</v>
      </c>
      <c r="BI67" s="235">
        <f xml:space="preserve"> Debt!BI$398</f>
        <v>0</v>
      </c>
      <c r="BJ67" s="235">
        <f xml:space="preserve"> Debt!BJ$398</f>
        <v>0</v>
      </c>
      <c r="BK67" s="235">
        <f xml:space="preserve"> Debt!BK$398</f>
        <v>0</v>
      </c>
      <c r="BL67" s="235">
        <f xml:space="preserve"> Debt!BL$398</f>
        <v>0</v>
      </c>
      <c r="BM67" s="235">
        <f xml:space="preserve"> Debt!BM$398</f>
        <v>0</v>
      </c>
      <c r="BN67" s="235">
        <f xml:space="preserve"> Debt!BN$398</f>
        <v>0</v>
      </c>
      <c r="BO67" s="235">
        <f xml:space="preserve"> Debt!BO$398</f>
        <v>0</v>
      </c>
      <c r="BP67" s="235">
        <f xml:space="preserve"> Debt!BP$398</f>
        <v>0</v>
      </c>
      <c r="BQ67" s="235">
        <f xml:space="preserve"> Debt!BQ$398</f>
        <v>0</v>
      </c>
      <c r="BR67" s="235">
        <f xml:space="preserve"> Debt!BR$398</f>
        <v>0</v>
      </c>
      <c r="BS67" s="235">
        <f xml:space="preserve"> Debt!BS$398</f>
        <v>0</v>
      </c>
      <c r="BT67" s="235">
        <f xml:space="preserve"> Debt!BT$398</f>
        <v>0</v>
      </c>
      <c r="BU67" s="235">
        <f xml:space="preserve"> Debt!BU$398</f>
        <v>0</v>
      </c>
      <c r="BV67" s="235">
        <f xml:space="preserve"> Debt!BV$398</f>
        <v>0</v>
      </c>
      <c r="BW67" s="235">
        <f xml:space="preserve"> Debt!BW$398</f>
        <v>0</v>
      </c>
      <c r="BX67" s="235">
        <f xml:space="preserve"> Debt!BX$398</f>
        <v>0</v>
      </c>
      <c r="BY67" s="235">
        <f xml:space="preserve"> Debt!BY$398</f>
        <v>0</v>
      </c>
      <c r="BZ67" s="235">
        <f xml:space="preserve"> Debt!BZ$398</f>
        <v>0</v>
      </c>
      <c r="CA67" s="235">
        <f xml:space="preserve"> Debt!CA$398</f>
        <v>0</v>
      </c>
      <c r="CB67" s="235">
        <f xml:space="preserve"> Debt!CB$398</f>
        <v>0</v>
      </c>
      <c r="CC67" s="235">
        <f xml:space="preserve"> Debt!CC$398</f>
        <v>0</v>
      </c>
      <c r="CD67" s="235">
        <f xml:space="preserve"> Debt!CD$398</f>
        <v>0</v>
      </c>
      <c r="CE67" s="235">
        <f xml:space="preserve"> Debt!CE$398</f>
        <v>0</v>
      </c>
      <c r="CF67" s="235">
        <f xml:space="preserve"> Debt!CF$398</f>
        <v>0</v>
      </c>
      <c r="CG67" s="235">
        <f xml:space="preserve"> Debt!CG$398</f>
        <v>0</v>
      </c>
      <c r="CH67" s="235">
        <f xml:space="preserve"> Debt!CH$398</f>
        <v>0</v>
      </c>
      <c r="CI67" s="235">
        <f xml:space="preserve"> Debt!CI$398</f>
        <v>0</v>
      </c>
      <c r="CJ67" s="235">
        <f xml:space="preserve"> Debt!CJ$398</f>
        <v>0</v>
      </c>
      <c r="CK67" s="235">
        <f xml:space="preserve"> Debt!CK$398</f>
        <v>0</v>
      </c>
      <c r="CL67" s="235">
        <f xml:space="preserve"> Debt!CL$398</f>
        <v>0</v>
      </c>
      <c r="CM67" s="235">
        <f xml:space="preserve"> Debt!CM$398</f>
        <v>0</v>
      </c>
      <c r="CN67" s="235">
        <f xml:space="preserve"> Debt!CN$398</f>
        <v>0</v>
      </c>
      <c r="CO67" s="235">
        <f xml:space="preserve"> Debt!CO$398</f>
        <v>0</v>
      </c>
      <c r="CP67" s="235">
        <f xml:space="preserve"> Debt!CP$398</f>
        <v>0</v>
      </c>
      <c r="CQ67" s="235">
        <f xml:space="preserve"> Debt!CQ$398</f>
        <v>0</v>
      </c>
      <c r="CR67" s="235">
        <f xml:space="preserve"> Debt!CR$398</f>
        <v>0</v>
      </c>
      <c r="CS67" s="235">
        <f xml:space="preserve"> Debt!CS$398</f>
        <v>0</v>
      </c>
      <c r="CT67" s="235">
        <f xml:space="preserve"> Debt!CT$398</f>
        <v>0</v>
      </c>
      <c r="CU67" s="235">
        <f xml:space="preserve"> Debt!CU$398</f>
        <v>0</v>
      </c>
      <c r="CV67" s="235">
        <f xml:space="preserve"> Debt!CV$398</f>
        <v>0</v>
      </c>
    </row>
    <row r="68" spans="1:100" s="192" customFormat="1" outlineLevel="1" x14ac:dyDescent="0.2">
      <c r="A68" s="205"/>
      <c r="B68" s="205"/>
      <c r="C68" s="206"/>
      <c r="D68" s="209"/>
      <c r="E68" s="235" t="str">
        <f xml:space="preserve"> Debt!E$430</f>
        <v>Standby debt interest - T2</v>
      </c>
      <c r="F68" s="235">
        <f xml:space="preserve"> Debt!F$430</f>
        <v>0</v>
      </c>
      <c r="G68" s="235" t="str">
        <f xml:space="preserve"> Debt!G$430</f>
        <v>$ 000s</v>
      </c>
      <c r="H68" s="235">
        <f xml:space="preserve"> Debt!H$430</f>
        <v>0</v>
      </c>
      <c r="I68" s="235">
        <f xml:space="preserve"> Debt!I$430</f>
        <v>0</v>
      </c>
      <c r="J68" s="235">
        <f xml:space="preserve"> Debt!J$430</f>
        <v>0</v>
      </c>
      <c r="K68" s="235">
        <f xml:space="preserve"> Debt!K$430</f>
        <v>0</v>
      </c>
      <c r="L68" s="235">
        <f xml:space="preserve"> Debt!L$430</f>
        <v>0</v>
      </c>
      <c r="M68" s="235">
        <f xml:space="preserve"> Debt!M$430</f>
        <v>0</v>
      </c>
      <c r="N68" s="235">
        <f xml:space="preserve"> Debt!N$430</f>
        <v>0</v>
      </c>
      <c r="O68" s="235">
        <f xml:space="preserve"> Debt!O$430</f>
        <v>0</v>
      </c>
      <c r="P68" s="235">
        <f xml:space="preserve"> Debt!P$430</f>
        <v>0</v>
      </c>
      <c r="Q68" s="235">
        <f xml:space="preserve"> Debt!Q$430</f>
        <v>0</v>
      </c>
      <c r="R68" s="235">
        <f xml:space="preserve"> Debt!R$430</f>
        <v>0</v>
      </c>
      <c r="S68" s="235">
        <f xml:space="preserve"> Debt!S$430</f>
        <v>0</v>
      </c>
      <c r="T68" s="235">
        <f xml:space="preserve"> Debt!T$430</f>
        <v>0</v>
      </c>
      <c r="U68" s="235">
        <f xml:space="preserve"> Debt!U$430</f>
        <v>0</v>
      </c>
      <c r="V68" s="235">
        <f xml:space="preserve"> Debt!V$430</f>
        <v>0</v>
      </c>
      <c r="W68" s="235">
        <f xml:space="preserve"> Debt!W$430</f>
        <v>0</v>
      </c>
      <c r="X68" s="235">
        <f xml:space="preserve"> Debt!X$430</f>
        <v>0</v>
      </c>
      <c r="Y68" s="235">
        <f xml:space="preserve"> Debt!Y$430</f>
        <v>0</v>
      </c>
      <c r="Z68" s="235">
        <f xml:space="preserve"> Debt!Z$430</f>
        <v>0</v>
      </c>
      <c r="AA68" s="235">
        <f xml:space="preserve"> Debt!AA$430</f>
        <v>0</v>
      </c>
      <c r="AB68" s="235">
        <f xml:space="preserve"> Debt!AB$430</f>
        <v>0</v>
      </c>
      <c r="AC68" s="235">
        <f xml:space="preserve"> Debt!AC$430</f>
        <v>0</v>
      </c>
      <c r="AD68" s="235">
        <f xml:space="preserve"> Debt!AD$430</f>
        <v>0</v>
      </c>
      <c r="AE68" s="235">
        <f xml:space="preserve"> Debt!AE$430</f>
        <v>0</v>
      </c>
      <c r="AF68" s="235">
        <f xml:space="preserve"> Debt!AF$430</f>
        <v>0</v>
      </c>
      <c r="AG68" s="235">
        <f xml:space="preserve"> Debt!AG$430</f>
        <v>0</v>
      </c>
      <c r="AH68" s="235">
        <f xml:space="preserve"> Debt!AH$430</f>
        <v>0</v>
      </c>
      <c r="AI68" s="235">
        <f xml:space="preserve"> Debt!AI$430</f>
        <v>0</v>
      </c>
      <c r="AJ68" s="235">
        <f xml:space="preserve"> Debt!AJ$430</f>
        <v>0</v>
      </c>
      <c r="AK68" s="235">
        <f xml:space="preserve"> Debt!AK$430</f>
        <v>0</v>
      </c>
      <c r="AL68" s="235">
        <f xml:space="preserve"> Debt!AL$430</f>
        <v>0</v>
      </c>
      <c r="AM68" s="235">
        <f xml:space="preserve"> Debt!AM$430</f>
        <v>0</v>
      </c>
      <c r="AN68" s="235">
        <f xml:space="preserve"> Debt!AN$430</f>
        <v>0</v>
      </c>
      <c r="AO68" s="235">
        <f xml:space="preserve"> Debt!AO$430</f>
        <v>0</v>
      </c>
      <c r="AP68" s="235">
        <f xml:space="preserve"> Debt!AP$430</f>
        <v>0</v>
      </c>
      <c r="AQ68" s="235">
        <f xml:space="preserve"> Debt!AQ$430</f>
        <v>0</v>
      </c>
      <c r="AR68" s="235">
        <f xml:space="preserve"> Debt!AR$430</f>
        <v>0</v>
      </c>
      <c r="AS68" s="235">
        <f xml:space="preserve"> Debt!AS$430</f>
        <v>0</v>
      </c>
      <c r="AT68" s="235">
        <f xml:space="preserve"> Debt!AT$430</f>
        <v>0</v>
      </c>
      <c r="AU68" s="235">
        <f xml:space="preserve"> Debt!AU$430</f>
        <v>0</v>
      </c>
      <c r="AV68" s="235">
        <f xml:space="preserve"> Debt!AV$430</f>
        <v>0</v>
      </c>
      <c r="AW68" s="235">
        <f xml:space="preserve"> Debt!AW$430</f>
        <v>0</v>
      </c>
      <c r="AX68" s="235">
        <f xml:space="preserve"> Debt!AX$430</f>
        <v>0</v>
      </c>
      <c r="AY68" s="235">
        <f xml:space="preserve"> Debt!AY$430</f>
        <v>0</v>
      </c>
      <c r="AZ68" s="235">
        <f xml:space="preserve"> Debt!AZ$430</f>
        <v>0</v>
      </c>
      <c r="BA68" s="235">
        <f xml:space="preserve"> Debt!BA$430</f>
        <v>0</v>
      </c>
      <c r="BB68" s="235">
        <f xml:space="preserve"> Debt!BB$430</f>
        <v>0</v>
      </c>
      <c r="BC68" s="235">
        <f xml:space="preserve"> Debt!BC$430</f>
        <v>0</v>
      </c>
      <c r="BD68" s="235">
        <f xml:space="preserve"> Debt!BD$430</f>
        <v>0</v>
      </c>
      <c r="BE68" s="235">
        <f xml:space="preserve"> Debt!BE$430</f>
        <v>0</v>
      </c>
      <c r="BF68" s="235">
        <f xml:space="preserve"> Debt!BF$430</f>
        <v>0</v>
      </c>
      <c r="BG68" s="235">
        <f xml:space="preserve"> Debt!BG$430</f>
        <v>0</v>
      </c>
      <c r="BH68" s="235">
        <f xml:space="preserve"> Debt!BH$430</f>
        <v>0</v>
      </c>
      <c r="BI68" s="235">
        <f xml:space="preserve"> Debt!BI$430</f>
        <v>0</v>
      </c>
      <c r="BJ68" s="235">
        <f xml:space="preserve"> Debt!BJ$430</f>
        <v>0</v>
      </c>
      <c r="BK68" s="235">
        <f xml:space="preserve"> Debt!BK$430</f>
        <v>0</v>
      </c>
      <c r="BL68" s="235">
        <f xml:space="preserve"> Debt!BL$430</f>
        <v>0</v>
      </c>
      <c r="BM68" s="235">
        <f xml:space="preserve"> Debt!BM$430</f>
        <v>0</v>
      </c>
      <c r="BN68" s="235">
        <f xml:space="preserve"> Debt!BN$430</f>
        <v>0</v>
      </c>
      <c r="BO68" s="235">
        <f xml:space="preserve"> Debt!BO$430</f>
        <v>0</v>
      </c>
      <c r="BP68" s="235">
        <f xml:space="preserve"> Debt!BP$430</f>
        <v>0</v>
      </c>
      <c r="BQ68" s="235">
        <f xml:space="preserve"> Debt!BQ$430</f>
        <v>0</v>
      </c>
      <c r="BR68" s="235">
        <f xml:space="preserve"> Debt!BR$430</f>
        <v>0</v>
      </c>
      <c r="BS68" s="235">
        <f xml:space="preserve"> Debt!BS$430</f>
        <v>0</v>
      </c>
      <c r="BT68" s="235">
        <f xml:space="preserve"> Debt!BT$430</f>
        <v>0</v>
      </c>
      <c r="BU68" s="235">
        <f xml:space="preserve"> Debt!BU$430</f>
        <v>0</v>
      </c>
      <c r="BV68" s="235">
        <f xml:space="preserve"> Debt!BV$430</f>
        <v>0</v>
      </c>
      <c r="BW68" s="235">
        <f xml:space="preserve"> Debt!BW$430</f>
        <v>0</v>
      </c>
      <c r="BX68" s="235">
        <f xml:space="preserve"> Debt!BX$430</f>
        <v>0</v>
      </c>
      <c r="BY68" s="235">
        <f xml:space="preserve"> Debt!BY$430</f>
        <v>0</v>
      </c>
      <c r="BZ68" s="235">
        <f xml:space="preserve"> Debt!BZ$430</f>
        <v>0</v>
      </c>
      <c r="CA68" s="235">
        <f xml:space="preserve"> Debt!CA$430</f>
        <v>0</v>
      </c>
      <c r="CB68" s="235">
        <f xml:space="preserve"> Debt!CB$430</f>
        <v>0</v>
      </c>
      <c r="CC68" s="235">
        <f xml:space="preserve"> Debt!CC$430</f>
        <v>0</v>
      </c>
      <c r="CD68" s="235">
        <f xml:space="preserve"> Debt!CD$430</f>
        <v>0</v>
      </c>
      <c r="CE68" s="235">
        <f xml:space="preserve"> Debt!CE$430</f>
        <v>0</v>
      </c>
      <c r="CF68" s="235">
        <f xml:space="preserve"> Debt!CF$430</f>
        <v>0</v>
      </c>
      <c r="CG68" s="235">
        <f xml:space="preserve"> Debt!CG$430</f>
        <v>0</v>
      </c>
      <c r="CH68" s="235">
        <f xml:space="preserve"> Debt!CH$430</f>
        <v>0</v>
      </c>
      <c r="CI68" s="235">
        <f xml:space="preserve"> Debt!CI$430</f>
        <v>0</v>
      </c>
      <c r="CJ68" s="235">
        <f xml:space="preserve"> Debt!CJ$430</f>
        <v>0</v>
      </c>
      <c r="CK68" s="235">
        <f xml:space="preserve"> Debt!CK$430</f>
        <v>0</v>
      </c>
      <c r="CL68" s="235">
        <f xml:space="preserve"> Debt!CL$430</f>
        <v>0</v>
      </c>
      <c r="CM68" s="235">
        <f xml:space="preserve"> Debt!CM$430</f>
        <v>0</v>
      </c>
      <c r="CN68" s="235">
        <f xml:space="preserve"> Debt!CN$430</f>
        <v>0</v>
      </c>
      <c r="CO68" s="235">
        <f xml:space="preserve"> Debt!CO$430</f>
        <v>0</v>
      </c>
      <c r="CP68" s="235">
        <f xml:space="preserve"> Debt!CP$430</f>
        <v>0</v>
      </c>
      <c r="CQ68" s="235">
        <f xml:space="preserve"> Debt!CQ$430</f>
        <v>0</v>
      </c>
      <c r="CR68" s="235">
        <f xml:space="preserve"> Debt!CR$430</f>
        <v>0</v>
      </c>
      <c r="CS68" s="235">
        <f xml:space="preserve"> Debt!CS$430</f>
        <v>0</v>
      </c>
      <c r="CT68" s="235">
        <f xml:space="preserve"> Debt!CT$430</f>
        <v>0</v>
      </c>
      <c r="CU68" s="235">
        <f xml:space="preserve"> Debt!CU$430</f>
        <v>0</v>
      </c>
      <c r="CV68" s="235">
        <f xml:space="preserve"> Debt!CV$430</f>
        <v>0</v>
      </c>
    </row>
    <row r="69" spans="1:100" s="192" customFormat="1" outlineLevel="1" x14ac:dyDescent="0.2">
      <c r="A69" s="205"/>
      <c r="B69" s="205"/>
      <c r="C69" s="206"/>
      <c r="D69" s="209"/>
      <c r="E69" s="235" t="str">
        <f xml:space="preserve"> Debt!E$184</f>
        <v>Senior debt principal repayment - T1</v>
      </c>
      <c r="F69" s="235">
        <f xml:space="preserve"> Debt!F$184</f>
        <v>0</v>
      </c>
      <c r="G69" s="235" t="str">
        <f xml:space="preserve"> Debt!G$184</f>
        <v>$ 000s</v>
      </c>
      <c r="H69" s="235">
        <f xml:space="preserve"> Debt!H$184</f>
        <v>-125194.95159167382</v>
      </c>
      <c r="I69" s="235">
        <f xml:space="preserve"> Debt!I$184</f>
        <v>0</v>
      </c>
      <c r="J69" s="235">
        <f xml:space="preserve"> Debt!J$184</f>
        <v>0</v>
      </c>
      <c r="K69" s="235">
        <f xml:space="preserve"> Debt!K$184</f>
        <v>0</v>
      </c>
      <c r="L69" s="235">
        <f xml:space="preserve"> Debt!L$184</f>
        <v>0</v>
      </c>
      <c r="M69" s="235">
        <f xml:space="preserve"> Debt!M$184</f>
        <v>0</v>
      </c>
      <c r="N69" s="235">
        <f xml:space="preserve"> Debt!N$184</f>
        <v>0</v>
      </c>
      <c r="O69" s="235">
        <f xml:space="preserve"> Debt!O$184</f>
        <v>-2887.5564385842031</v>
      </c>
      <c r="P69" s="235">
        <f xml:space="preserve"> Debt!P$184</f>
        <v>-2385.234403913732</v>
      </c>
      <c r="Q69" s="235">
        <f xml:space="preserve"> Debt!Q$184</f>
        <v>-2413.9429517461499</v>
      </c>
      <c r="R69" s="235">
        <f xml:space="preserve"> Debt!R$184</f>
        <v>-2458.6898079027978</v>
      </c>
      <c r="S69" s="235">
        <f xml:space="preserve"> Debt!S$184</f>
        <v>-2490.2570985291154</v>
      </c>
      <c r="T69" s="235">
        <f xml:space="preserve"> Debt!T$184</f>
        <v>-2535.0796437475524</v>
      </c>
      <c r="U69" s="235">
        <f xml:space="preserve"> Debt!U$184</f>
        <v>-2569.6182413694601</v>
      </c>
      <c r="V69" s="235">
        <f xml:space="preserve"> Debt!V$184</f>
        <v>-2610.1709011222924</v>
      </c>
      <c r="W69" s="235">
        <f xml:space="preserve"> Debt!W$184</f>
        <v>-2645.8469767855477</v>
      </c>
      <c r="X69" s="235">
        <f xml:space="preserve"> Debt!X$184</f>
        <v>-2696.9294511065236</v>
      </c>
      <c r="Y69" s="235">
        <f xml:space="preserve"> Debt!Y$184</f>
        <v>-2658.3143766007292</v>
      </c>
      <c r="Z69" s="235">
        <f xml:space="preserve"> Debt!Z$184</f>
        <v>-2705.6167794847602</v>
      </c>
      <c r="AA69" s="235">
        <f xml:space="preserve"> Debt!AA$184</f>
        <v>-2749.4951786870188</v>
      </c>
      <c r="AB69" s="235">
        <f xml:space="preserve"> Debt!AB$184</f>
        <v>-2797.0330385127395</v>
      </c>
      <c r="AC69" s="235">
        <f xml:space="preserve"> Debt!AC$184</f>
        <v>-2844.5558287196923</v>
      </c>
      <c r="AD69" s="235">
        <f xml:space="preserve"> Debt!AD$184</f>
        <v>-2890.1430121738081</v>
      </c>
      <c r="AE69" s="235">
        <f xml:space="preserve"> Debt!AE$184</f>
        <v>-2937.6130636822691</v>
      </c>
      <c r="AF69" s="235">
        <f xml:space="preserve"> Debt!AF$184</f>
        <v>-2991.5520718658245</v>
      </c>
      <c r="AG69" s="235">
        <f xml:space="preserve"> Debt!AG$184</f>
        <v>-3046.8262075297375</v>
      </c>
      <c r="AH69" s="235">
        <f xml:space="preserve"> Debt!AH$184</f>
        <v>-3095.2032844704854</v>
      </c>
      <c r="AI69" s="235">
        <f xml:space="preserve"> Debt!AI$184</f>
        <v>-3094.413726957142</v>
      </c>
      <c r="AJ69" s="235">
        <f xml:space="preserve"> Debt!AJ$184</f>
        <v>-3146.705599800724</v>
      </c>
      <c r="AK69" s="235">
        <f xml:space="preserve"> Debt!AK$184</f>
        <v>-3212.2791962939004</v>
      </c>
      <c r="AL69" s="235">
        <f xml:space="preserve"> Debt!AL$184</f>
        <v>-3265.6211611209619</v>
      </c>
      <c r="AM69" s="235">
        <f xml:space="preserve"> Debt!AM$184</f>
        <v>-3329.7904775791908</v>
      </c>
      <c r="AN69" s="235">
        <f xml:space="preserve"> Debt!AN$184</f>
        <v>-3388.8663668241315</v>
      </c>
      <c r="AO69" s="235">
        <f xml:space="preserve"> Debt!AO$184</f>
        <v>-3464.411832190975</v>
      </c>
      <c r="AP69" s="235">
        <f xml:space="preserve"> Debt!AP$184</f>
        <v>-3518.4679713149394</v>
      </c>
      <c r="AQ69" s="235">
        <f xml:space="preserve"> Debt!AQ$184</f>
        <v>-3599.3499460935395</v>
      </c>
      <c r="AR69" s="235">
        <f xml:space="preserve"> Debt!AR$184</f>
        <v>-3654.0786926427813</v>
      </c>
      <c r="AS69" s="235">
        <f xml:space="preserve"> Debt!AS$184</f>
        <v>-9057.0504482829947</v>
      </c>
      <c r="AT69" s="235">
        <f xml:space="preserve"> Debt!AT$184</f>
        <v>-9185.158285002075</v>
      </c>
      <c r="AU69" s="235">
        <f xml:space="preserve"> Debt!AU$184</f>
        <v>-9368.3487620633514</v>
      </c>
      <c r="AV69" s="235">
        <f xml:space="preserve"> Debt!AV$184</f>
        <v>-9500.7303689726396</v>
      </c>
      <c r="AW69" s="235">
        <f xml:space="preserve"> Debt!AW$184</f>
        <v>0</v>
      </c>
      <c r="AX69" s="235">
        <f xml:space="preserve"> Debt!AX$184</f>
        <v>0</v>
      </c>
      <c r="AY69" s="235">
        <f xml:space="preserve"> Debt!AY$184</f>
        <v>0</v>
      </c>
      <c r="AZ69" s="235">
        <f xml:space="preserve"> Debt!AZ$184</f>
        <v>0</v>
      </c>
      <c r="BA69" s="235">
        <f xml:space="preserve"> Debt!BA$184</f>
        <v>0</v>
      </c>
      <c r="BB69" s="235">
        <f xml:space="preserve"> Debt!BB$184</f>
        <v>0</v>
      </c>
      <c r="BC69" s="235">
        <f xml:space="preserve"> Debt!BC$184</f>
        <v>0</v>
      </c>
      <c r="BD69" s="235">
        <f xml:space="preserve"> Debt!BD$184</f>
        <v>0</v>
      </c>
      <c r="BE69" s="235">
        <f xml:space="preserve"> Debt!BE$184</f>
        <v>0</v>
      </c>
      <c r="BF69" s="235">
        <f xml:space="preserve"> Debt!BF$184</f>
        <v>0</v>
      </c>
      <c r="BG69" s="235">
        <f xml:space="preserve"> Debt!BG$184</f>
        <v>0</v>
      </c>
      <c r="BH69" s="235">
        <f xml:space="preserve"> Debt!BH$184</f>
        <v>0</v>
      </c>
      <c r="BI69" s="235">
        <f xml:space="preserve"> Debt!BI$184</f>
        <v>0</v>
      </c>
      <c r="BJ69" s="235">
        <f xml:space="preserve"> Debt!BJ$184</f>
        <v>0</v>
      </c>
      <c r="BK69" s="235">
        <f xml:space="preserve"> Debt!BK$184</f>
        <v>0</v>
      </c>
      <c r="BL69" s="235">
        <f xml:space="preserve"> Debt!BL$184</f>
        <v>0</v>
      </c>
      <c r="BM69" s="235">
        <f xml:space="preserve"> Debt!BM$184</f>
        <v>0</v>
      </c>
      <c r="BN69" s="235">
        <f xml:space="preserve"> Debt!BN$184</f>
        <v>0</v>
      </c>
      <c r="BO69" s="235">
        <f xml:space="preserve"> Debt!BO$184</f>
        <v>0</v>
      </c>
      <c r="BP69" s="235">
        <f xml:space="preserve"> Debt!BP$184</f>
        <v>0</v>
      </c>
      <c r="BQ69" s="235">
        <f xml:space="preserve"> Debt!BQ$184</f>
        <v>0</v>
      </c>
      <c r="BR69" s="235">
        <f xml:space="preserve"> Debt!BR$184</f>
        <v>0</v>
      </c>
      <c r="BS69" s="235">
        <f xml:space="preserve"> Debt!BS$184</f>
        <v>0</v>
      </c>
      <c r="BT69" s="235">
        <f xml:space="preserve"> Debt!BT$184</f>
        <v>0</v>
      </c>
      <c r="BU69" s="235">
        <f xml:space="preserve"> Debt!BU$184</f>
        <v>0</v>
      </c>
      <c r="BV69" s="235">
        <f xml:space="preserve"> Debt!BV$184</f>
        <v>0</v>
      </c>
      <c r="BW69" s="235">
        <f xml:space="preserve"> Debt!BW$184</f>
        <v>0</v>
      </c>
      <c r="BX69" s="235">
        <f xml:space="preserve"> Debt!BX$184</f>
        <v>0</v>
      </c>
      <c r="BY69" s="235">
        <f xml:space="preserve"> Debt!BY$184</f>
        <v>0</v>
      </c>
      <c r="BZ69" s="235">
        <f xml:space="preserve"> Debt!BZ$184</f>
        <v>0</v>
      </c>
      <c r="CA69" s="235">
        <f xml:space="preserve"> Debt!CA$184</f>
        <v>0</v>
      </c>
      <c r="CB69" s="235">
        <f xml:space="preserve"> Debt!CB$184</f>
        <v>0</v>
      </c>
      <c r="CC69" s="235">
        <f xml:space="preserve"> Debt!CC$184</f>
        <v>0</v>
      </c>
      <c r="CD69" s="235">
        <f xml:space="preserve"> Debt!CD$184</f>
        <v>0</v>
      </c>
      <c r="CE69" s="235">
        <f xml:space="preserve"> Debt!CE$184</f>
        <v>0</v>
      </c>
      <c r="CF69" s="235">
        <f xml:space="preserve"> Debt!CF$184</f>
        <v>0</v>
      </c>
      <c r="CG69" s="235">
        <f xml:space="preserve"> Debt!CG$184</f>
        <v>0</v>
      </c>
      <c r="CH69" s="235">
        <f xml:space="preserve"> Debt!CH$184</f>
        <v>0</v>
      </c>
      <c r="CI69" s="235">
        <f xml:space="preserve"> Debt!CI$184</f>
        <v>0</v>
      </c>
      <c r="CJ69" s="235">
        <f xml:space="preserve"> Debt!CJ$184</f>
        <v>0</v>
      </c>
      <c r="CK69" s="235">
        <f xml:space="preserve"> Debt!CK$184</f>
        <v>0</v>
      </c>
      <c r="CL69" s="235">
        <f xml:space="preserve"> Debt!CL$184</f>
        <v>0</v>
      </c>
      <c r="CM69" s="235">
        <f xml:space="preserve"> Debt!CM$184</f>
        <v>0</v>
      </c>
      <c r="CN69" s="235">
        <f xml:space="preserve"> Debt!CN$184</f>
        <v>0</v>
      </c>
      <c r="CO69" s="235">
        <f xml:space="preserve"> Debt!CO$184</f>
        <v>0</v>
      </c>
      <c r="CP69" s="235">
        <f xml:space="preserve"> Debt!CP$184</f>
        <v>0</v>
      </c>
      <c r="CQ69" s="235">
        <f xml:space="preserve"> Debt!CQ$184</f>
        <v>0</v>
      </c>
      <c r="CR69" s="235">
        <f xml:space="preserve"> Debt!CR$184</f>
        <v>0</v>
      </c>
      <c r="CS69" s="235">
        <f xml:space="preserve"> Debt!CS$184</f>
        <v>0</v>
      </c>
      <c r="CT69" s="235">
        <f xml:space="preserve"> Debt!CT$184</f>
        <v>0</v>
      </c>
      <c r="CU69" s="235">
        <f xml:space="preserve"> Debt!CU$184</f>
        <v>0</v>
      </c>
      <c r="CV69" s="235">
        <f xml:space="preserve"> Debt!CV$184</f>
        <v>0</v>
      </c>
    </row>
    <row r="70" spans="1:100" s="192" customFormat="1" outlineLevel="1" x14ac:dyDescent="0.2">
      <c r="A70" s="205"/>
      <c r="B70" s="205"/>
      <c r="C70" s="206"/>
      <c r="D70" s="209"/>
      <c r="E70" s="235" t="str">
        <f xml:space="preserve"> Debt!E$296</f>
        <v>Senior debt principal repayment - T2</v>
      </c>
      <c r="F70" s="235">
        <f xml:space="preserve"> Debt!F$296</f>
        <v>0</v>
      </c>
      <c r="G70" s="235" t="str">
        <f xml:space="preserve"> Debt!G$296</f>
        <v>$ 000s</v>
      </c>
      <c r="H70" s="235">
        <f xml:space="preserve"> Debt!H$296</f>
        <v>-125194.92397164847</v>
      </c>
      <c r="I70" s="235">
        <f xml:space="preserve"> Debt!I$296</f>
        <v>0</v>
      </c>
      <c r="J70" s="235">
        <f xml:space="preserve"> Debt!J$296</f>
        <v>0</v>
      </c>
      <c r="K70" s="235">
        <f xml:space="preserve"> Debt!K$296</f>
        <v>0</v>
      </c>
      <c r="L70" s="235">
        <f xml:space="preserve"> Debt!L$296</f>
        <v>0</v>
      </c>
      <c r="M70" s="235">
        <f xml:space="preserve"> Debt!M$296</f>
        <v>0</v>
      </c>
      <c r="N70" s="235">
        <f xml:space="preserve"> Debt!N$296</f>
        <v>0</v>
      </c>
      <c r="O70" s="235">
        <f xml:space="preserve"> Debt!O$296</f>
        <v>-4104.1368341736443</v>
      </c>
      <c r="P70" s="235">
        <f xml:space="preserve"> Debt!P$296</f>
        <v>-3390.1773293270649</v>
      </c>
      <c r="Q70" s="235">
        <f xml:space="preserve"> Debt!Q$296</f>
        <v>-3430.9813139835283</v>
      </c>
      <c r="R70" s="235">
        <f xml:space="preserve"> Debt!R$296</f>
        <v>-3494.5808399051803</v>
      </c>
      <c r="S70" s="235">
        <f xml:space="preserve"> Debt!S$296</f>
        <v>-3539.4480080350804</v>
      </c>
      <c r="T70" s="235">
        <f xml:space="preserve"> Debt!T$296</f>
        <v>-3603.1551122060368</v>
      </c>
      <c r="U70" s="235">
        <f xml:space="preserve"> Debt!U$296</f>
        <v>-3652.2454533701657</v>
      </c>
      <c r="V70" s="235">
        <f xml:space="preserve"> Debt!V$296</f>
        <v>-3709.8836911519061</v>
      </c>
      <c r="W70" s="235">
        <f xml:space="preserve"> Debt!W$296</f>
        <v>-3760.5907506821859</v>
      </c>
      <c r="X70" s="235">
        <f xml:space="preserve"> Debt!X$296</f>
        <v>-3833.1952066990661</v>
      </c>
      <c r="Y70" s="235">
        <f xml:space="preserve"> Debt!Y$296</f>
        <v>-3778.310894304017</v>
      </c>
      <c r="Z70" s="235">
        <f xml:space="preserve"> Debt!Z$296</f>
        <v>-3845.5426655785759</v>
      </c>
      <c r="AA70" s="235">
        <f xml:space="preserve"> Debt!AA$296</f>
        <v>-3907.9078377304527</v>
      </c>
      <c r="AB70" s="235">
        <f xml:space="preserve"> Debt!AB$296</f>
        <v>-3975.4742682671963</v>
      </c>
      <c r="AC70" s="235">
        <f xml:space="preserve"> Debt!AC$296</f>
        <v>-4043.019280078875</v>
      </c>
      <c r="AD70" s="235">
        <f xml:space="preserve"> Debt!AD$296</f>
        <v>-4107.813178573896</v>
      </c>
      <c r="AE70" s="235">
        <f xml:space="preserve"> Debt!AE$296</f>
        <v>-4175.2832319078207</v>
      </c>
      <c r="AF70" s="235">
        <f xml:space="preserve"> Debt!AF$296</f>
        <v>-4251.9477318036097</v>
      </c>
      <c r="AG70" s="235">
        <f xml:space="preserve"> Debt!AG$296</f>
        <v>-4330.5098728319617</v>
      </c>
      <c r="AH70" s="235">
        <f xml:space="preserve"> Debt!AH$296</f>
        <v>-4399.2690980194438</v>
      </c>
      <c r="AI70" s="235">
        <f xml:space="preserve"> Debt!AI$296</f>
        <v>-4398.1468854697905</v>
      </c>
      <c r="AJ70" s="235">
        <f xml:space="preserve"> Debt!AJ$296</f>
        <v>-4472.4702817496218</v>
      </c>
      <c r="AK70" s="235">
        <f xml:space="preserve"> Debt!AK$296</f>
        <v>-4565.6712350265161</v>
      </c>
      <c r="AL70" s="235">
        <f xml:space="preserve"> Debt!AL$296</f>
        <v>-4641.4871462685069</v>
      </c>
      <c r="AM70" s="235">
        <f xml:space="preserve"> Debt!AM$296</f>
        <v>-4732.6921706208932</v>
      </c>
      <c r="AN70" s="235">
        <f xml:space="preserve"> Debt!AN$296</f>
        <v>-4816.6578136199269</v>
      </c>
      <c r="AO70" s="235">
        <f xml:space="preserve"> Debt!AO$296</f>
        <v>-4924.0319667010262</v>
      </c>
      <c r="AP70" s="235">
        <f xml:space="preserve"> Debt!AP$296</f>
        <v>-5000.8629469469588</v>
      </c>
      <c r="AQ70" s="235">
        <f xml:space="preserve"> Debt!AQ$296</f>
        <v>-5115.8219785606616</v>
      </c>
      <c r="AR70" s="235">
        <f xml:space="preserve"> Debt!AR$296</f>
        <v>-5193.6089480548508</v>
      </c>
      <c r="AS70" s="235">
        <f xml:space="preserve"> Debt!AS$296</f>
        <v>0</v>
      </c>
      <c r="AT70" s="235">
        <f xml:space="preserve"> Debt!AT$296</f>
        <v>0</v>
      </c>
      <c r="AU70" s="235">
        <f xml:space="preserve"> Debt!AU$296</f>
        <v>0</v>
      </c>
      <c r="AV70" s="235">
        <f xml:space="preserve"> Debt!AV$296</f>
        <v>0</v>
      </c>
      <c r="AW70" s="235">
        <f xml:space="preserve"> Debt!AW$296</f>
        <v>0</v>
      </c>
      <c r="AX70" s="235">
        <f xml:space="preserve"> Debt!AX$296</f>
        <v>0</v>
      </c>
      <c r="AY70" s="235">
        <f xml:space="preserve"> Debt!AY$296</f>
        <v>0</v>
      </c>
      <c r="AZ70" s="235">
        <f xml:space="preserve"> Debt!AZ$296</f>
        <v>0</v>
      </c>
      <c r="BA70" s="235">
        <f xml:space="preserve"> Debt!BA$296</f>
        <v>0</v>
      </c>
      <c r="BB70" s="235">
        <f xml:space="preserve"> Debt!BB$296</f>
        <v>0</v>
      </c>
      <c r="BC70" s="235">
        <f xml:space="preserve"> Debt!BC$296</f>
        <v>0</v>
      </c>
      <c r="BD70" s="235">
        <f xml:space="preserve"> Debt!BD$296</f>
        <v>0</v>
      </c>
      <c r="BE70" s="235">
        <f xml:space="preserve"> Debt!BE$296</f>
        <v>0</v>
      </c>
      <c r="BF70" s="235">
        <f xml:space="preserve"> Debt!BF$296</f>
        <v>0</v>
      </c>
      <c r="BG70" s="235">
        <f xml:space="preserve"> Debt!BG$296</f>
        <v>0</v>
      </c>
      <c r="BH70" s="235">
        <f xml:space="preserve"> Debt!BH$296</f>
        <v>0</v>
      </c>
      <c r="BI70" s="235">
        <f xml:space="preserve"> Debt!BI$296</f>
        <v>0</v>
      </c>
      <c r="BJ70" s="235">
        <f xml:space="preserve"> Debt!BJ$296</f>
        <v>0</v>
      </c>
      <c r="BK70" s="235">
        <f xml:space="preserve"> Debt!BK$296</f>
        <v>0</v>
      </c>
      <c r="BL70" s="235">
        <f xml:space="preserve"> Debt!BL$296</f>
        <v>0</v>
      </c>
      <c r="BM70" s="235">
        <f xml:space="preserve"> Debt!BM$296</f>
        <v>0</v>
      </c>
      <c r="BN70" s="235">
        <f xml:space="preserve"> Debt!BN$296</f>
        <v>0</v>
      </c>
      <c r="BO70" s="235">
        <f xml:space="preserve"> Debt!BO$296</f>
        <v>0</v>
      </c>
      <c r="BP70" s="235">
        <f xml:space="preserve"> Debt!BP$296</f>
        <v>0</v>
      </c>
      <c r="BQ70" s="235">
        <f xml:space="preserve"> Debt!BQ$296</f>
        <v>0</v>
      </c>
      <c r="BR70" s="235">
        <f xml:space="preserve"> Debt!BR$296</f>
        <v>0</v>
      </c>
      <c r="BS70" s="235">
        <f xml:space="preserve"> Debt!BS$296</f>
        <v>0</v>
      </c>
      <c r="BT70" s="235">
        <f xml:space="preserve"> Debt!BT$296</f>
        <v>0</v>
      </c>
      <c r="BU70" s="235">
        <f xml:space="preserve"> Debt!BU$296</f>
        <v>0</v>
      </c>
      <c r="BV70" s="235">
        <f xml:space="preserve"> Debt!BV$296</f>
        <v>0</v>
      </c>
      <c r="BW70" s="235">
        <f xml:space="preserve"> Debt!BW$296</f>
        <v>0</v>
      </c>
      <c r="BX70" s="235">
        <f xml:space="preserve"> Debt!BX$296</f>
        <v>0</v>
      </c>
      <c r="BY70" s="235">
        <f xml:space="preserve"> Debt!BY$296</f>
        <v>0</v>
      </c>
      <c r="BZ70" s="235">
        <f xml:space="preserve"> Debt!BZ$296</f>
        <v>0</v>
      </c>
      <c r="CA70" s="235">
        <f xml:space="preserve"> Debt!CA$296</f>
        <v>0</v>
      </c>
      <c r="CB70" s="235">
        <f xml:space="preserve"> Debt!CB$296</f>
        <v>0</v>
      </c>
      <c r="CC70" s="235">
        <f xml:space="preserve"> Debt!CC$296</f>
        <v>0</v>
      </c>
      <c r="CD70" s="235">
        <f xml:space="preserve"> Debt!CD$296</f>
        <v>0</v>
      </c>
      <c r="CE70" s="235">
        <f xml:space="preserve"> Debt!CE$296</f>
        <v>0</v>
      </c>
      <c r="CF70" s="235">
        <f xml:space="preserve"> Debt!CF$296</f>
        <v>0</v>
      </c>
      <c r="CG70" s="235">
        <f xml:space="preserve"> Debt!CG$296</f>
        <v>0</v>
      </c>
      <c r="CH70" s="235">
        <f xml:space="preserve"> Debt!CH$296</f>
        <v>0</v>
      </c>
      <c r="CI70" s="235">
        <f xml:space="preserve"> Debt!CI$296</f>
        <v>0</v>
      </c>
      <c r="CJ70" s="235">
        <f xml:space="preserve"> Debt!CJ$296</f>
        <v>0</v>
      </c>
      <c r="CK70" s="235">
        <f xml:space="preserve"> Debt!CK$296</f>
        <v>0</v>
      </c>
      <c r="CL70" s="235">
        <f xml:space="preserve"> Debt!CL$296</f>
        <v>0</v>
      </c>
      <c r="CM70" s="235">
        <f xml:space="preserve"> Debt!CM$296</f>
        <v>0</v>
      </c>
      <c r="CN70" s="235">
        <f xml:space="preserve"> Debt!CN$296</f>
        <v>0</v>
      </c>
      <c r="CO70" s="235">
        <f xml:space="preserve"> Debt!CO$296</f>
        <v>0</v>
      </c>
      <c r="CP70" s="235">
        <f xml:space="preserve"> Debt!CP$296</f>
        <v>0</v>
      </c>
      <c r="CQ70" s="235">
        <f xml:space="preserve"> Debt!CQ$296</f>
        <v>0</v>
      </c>
      <c r="CR70" s="235">
        <f xml:space="preserve"> Debt!CR$296</f>
        <v>0</v>
      </c>
      <c r="CS70" s="235">
        <f xml:space="preserve"> Debt!CS$296</f>
        <v>0</v>
      </c>
      <c r="CT70" s="235">
        <f xml:space="preserve"> Debt!CT$296</f>
        <v>0</v>
      </c>
      <c r="CU70" s="235">
        <f xml:space="preserve"> Debt!CU$296</f>
        <v>0</v>
      </c>
      <c r="CV70" s="235">
        <f xml:space="preserve"> Debt!CV$296</f>
        <v>0</v>
      </c>
    </row>
    <row r="71" spans="1:100" outlineLevel="1" x14ac:dyDescent="0.2">
      <c r="D71" s="209"/>
      <c r="E71" s="288" t="str">
        <f xml:space="preserve"> Debt!E$382</f>
        <v>Standby debt principal repayment - T1</v>
      </c>
      <c r="F71" s="288">
        <f xml:space="preserve"> Debt!F$382</f>
        <v>0</v>
      </c>
      <c r="G71" s="288" t="str">
        <f xml:space="preserve"> Debt!G$382</f>
        <v>$ 000s</v>
      </c>
      <c r="H71" s="288">
        <f xml:space="preserve"> Debt!H$382</f>
        <v>0</v>
      </c>
      <c r="I71" s="288">
        <f xml:space="preserve"> Debt!I$382</f>
        <v>0</v>
      </c>
      <c r="J71" s="288">
        <f xml:space="preserve"> Debt!J$382</f>
        <v>0</v>
      </c>
      <c r="K71" s="288">
        <f xml:space="preserve"> Debt!K$382</f>
        <v>0</v>
      </c>
      <c r="L71" s="288">
        <f xml:space="preserve"> Debt!L$382</f>
        <v>0</v>
      </c>
      <c r="M71" s="288">
        <f xml:space="preserve"> Debt!M$382</f>
        <v>0</v>
      </c>
      <c r="N71" s="288">
        <f xml:space="preserve"> Debt!N$382</f>
        <v>0</v>
      </c>
      <c r="O71" s="288">
        <f xml:space="preserve"> Debt!O$382</f>
        <v>0</v>
      </c>
      <c r="P71" s="288">
        <f xml:space="preserve"> Debt!P$382</f>
        <v>0</v>
      </c>
      <c r="Q71" s="288">
        <f xml:space="preserve"> Debt!Q$382</f>
        <v>0</v>
      </c>
      <c r="R71" s="288">
        <f xml:space="preserve"> Debt!R$382</f>
        <v>0</v>
      </c>
      <c r="S71" s="288">
        <f xml:space="preserve"> Debt!S$382</f>
        <v>0</v>
      </c>
      <c r="T71" s="288">
        <f xml:space="preserve"> Debt!T$382</f>
        <v>0</v>
      </c>
      <c r="U71" s="288">
        <f xml:space="preserve"> Debt!U$382</f>
        <v>0</v>
      </c>
      <c r="V71" s="288">
        <f xml:space="preserve"> Debt!V$382</f>
        <v>0</v>
      </c>
      <c r="W71" s="288">
        <f xml:space="preserve"> Debt!W$382</f>
        <v>0</v>
      </c>
      <c r="X71" s="288">
        <f xml:space="preserve"> Debt!X$382</f>
        <v>0</v>
      </c>
      <c r="Y71" s="288">
        <f xml:space="preserve"> Debt!Y$382</f>
        <v>0</v>
      </c>
      <c r="Z71" s="288">
        <f xml:space="preserve"> Debt!Z$382</f>
        <v>0</v>
      </c>
      <c r="AA71" s="288">
        <f xml:space="preserve"> Debt!AA$382</f>
        <v>0</v>
      </c>
      <c r="AB71" s="288">
        <f xml:space="preserve"> Debt!AB$382</f>
        <v>0</v>
      </c>
      <c r="AC71" s="288">
        <f xml:space="preserve"> Debt!AC$382</f>
        <v>0</v>
      </c>
      <c r="AD71" s="288">
        <f xml:space="preserve"> Debt!AD$382</f>
        <v>0</v>
      </c>
      <c r="AE71" s="288">
        <f xml:space="preserve"> Debt!AE$382</f>
        <v>0</v>
      </c>
      <c r="AF71" s="288">
        <f xml:space="preserve"> Debt!AF$382</f>
        <v>0</v>
      </c>
      <c r="AG71" s="288">
        <f xml:space="preserve"> Debt!AG$382</f>
        <v>0</v>
      </c>
      <c r="AH71" s="288">
        <f xml:space="preserve"> Debt!AH$382</f>
        <v>0</v>
      </c>
      <c r="AI71" s="288">
        <f xml:space="preserve"> Debt!AI$382</f>
        <v>0</v>
      </c>
      <c r="AJ71" s="288">
        <f xml:space="preserve"> Debt!AJ$382</f>
        <v>0</v>
      </c>
      <c r="AK71" s="288">
        <f xml:space="preserve"> Debt!AK$382</f>
        <v>0</v>
      </c>
      <c r="AL71" s="288">
        <f xml:space="preserve"> Debt!AL$382</f>
        <v>0</v>
      </c>
      <c r="AM71" s="288">
        <f xml:space="preserve"> Debt!AM$382</f>
        <v>0</v>
      </c>
      <c r="AN71" s="288">
        <f xml:space="preserve"> Debt!AN$382</f>
        <v>0</v>
      </c>
      <c r="AO71" s="288">
        <f xml:space="preserve"> Debt!AO$382</f>
        <v>0</v>
      </c>
      <c r="AP71" s="288">
        <f xml:space="preserve"> Debt!AP$382</f>
        <v>0</v>
      </c>
      <c r="AQ71" s="288">
        <f xml:space="preserve"> Debt!AQ$382</f>
        <v>0</v>
      </c>
      <c r="AR71" s="288">
        <f xml:space="preserve"> Debt!AR$382</f>
        <v>0</v>
      </c>
      <c r="AS71" s="288">
        <f xml:space="preserve"> Debt!AS$382</f>
        <v>0</v>
      </c>
      <c r="AT71" s="288">
        <f xml:space="preserve"> Debt!AT$382</f>
        <v>0</v>
      </c>
      <c r="AU71" s="288">
        <f xml:space="preserve"> Debt!AU$382</f>
        <v>0</v>
      </c>
      <c r="AV71" s="288">
        <f xml:space="preserve"> Debt!AV$382</f>
        <v>0</v>
      </c>
      <c r="AW71" s="288">
        <f xml:space="preserve"> Debt!AW$382</f>
        <v>0</v>
      </c>
      <c r="AX71" s="288">
        <f xml:space="preserve"> Debt!AX$382</f>
        <v>0</v>
      </c>
      <c r="AY71" s="288">
        <f xml:space="preserve"> Debt!AY$382</f>
        <v>0</v>
      </c>
      <c r="AZ71" s="288">
        <f xml:space="preserve"> Debt!AZ$382</f>
        <v>0</v>
      </c>
      <c r="BA71" s="288">
        <f xml:space="preserve"> Debt!BA$382</f>
        <v>0</v>
      </c>
      <c r="BB71" s="288">
        <f xml:space="preserve"> Debt!BB$382</f>
        <v>0</v>
      </c>
      <c r="BC71" s="288">
        <f xml:space="preserve"> Debt!BC$382</f>
        <v>0</v>
      </c>
      <c r="BD71" s="288">
        <f xml:space="preserve"> Debt!BD$382</f>
        <v>0</v>
      </c>
      <c r="BE71" s="288">
        <f xml:space="preserve"> Debt!BE$382</f>
        <v>0</v>
      </c>
      <c r="BF71" s="288">
        <f xml:space="preserve"> Debt!BF$382</f>
        <v>0</v>
      </c>
      <c r="BG71" s="288">
        <f xml:space="preserve"> Debt!BG$382</f>
        <v>0</v>
      </c>
      <c r="BH71" s="288">
        <f xml:space="preserve"> Debt!BH$382</f>
        <v>0</v>
      </c>
      <c r="BI71" s="288">
        <f xml:space="preserve"> Debt!BI$382</f>
        <v>0</v>
      </c>
      <c r="BJ71" s="288">
        <f xml:space="preserve"> Debt!BJ$382</f>
        <v>0</v>
      </c>
      <c r="BK71" s="288">
        <f xml:space="preserve"> Debt!BK$382</f>
        <v>0</v>
      </c>
      <c r="BL71" s="288">
        <f xml:space="preserve"> Debt!BL$382</f>
        <v>0</v>
      </c>
      <c r="BM71" s="288">
        <f xml:space="preserve"> Debt!BM$382</f>
        <v>0</v>
      </c>
      <c r="BN71" s="288">
        <f xml:space="preserve"> Debt!BN$382</f>
        <v>0</v>
      </c>
      <c r="BO71" s="288">
        <f xml:space="preserve"> Debt!BO$382</f>
        <v>0</v>
      </c>
      <c r="BP71" s="288">
        <f xml:space="preserve"> Debt!BP$382</f>
        <v>0</v>
      </c>
      <c r="BQ71" s="288">
        <f xml:space="preserve"> Debt!BQ$382</f>
        <v>0</v>
      </c>
      <c r="BR71" s="288">
        <f xml:space="preserve"> Debt!BR$382</f>
        <v>0</v>
      </c>
      <c r="BS71" s="288">
        <f xml:space="preserve"> Debt!BS$382</f>
        <v>0</v>
      </c>
      <c r="BT71" s="288">
        <f xml:space="preserve"> Debt!BT$382</f>
        <v>0</v>
      </c>
      <c r="BU71" s="288">
        <f xml:space="preserve"> Debt!BU$382</f>
        <v>0</v>
      </c>
      <c r="BV71" s="288">
        <f xml:space="preserve"> Debt!BV$382</f>
        <v>0</v>
      </c>
      <c r="BW71" s="288">
        <f xml:space="preserve"> Debt!BW$382</f>
        <v>0</v>
      </c>
      <c r="BX71" s="288">
        <f xml:space="preserve"> Debt!BX$382</f>
        <v>0</v>
      </c>
      <c r="BY71" s="288">
        <f xml:space="preserve"> Debt!BY$382</f>
        <v>0</v>
      </c>
      <c r="BZ71" s="288">
        <f xml:space="preserve"> Debt!BZ$382</f>
        <v>0</v>
      </c>
      <c r="CA71" s="288">
        <f xml:space="preserve"> Debt!CA$382</f>
        <v>0</v>
      </c>
      <c r="CB71" s="288">
        <f xml:space="preserve"> Debt!CB$382</f>
        <v>0</v>
      </c>
      <c r="CC71" s="288">
        <f xml:space="preserve"> Debt!CC$382</f>
        <v>0</v>
      </c>
      <c r="CD71" s="288">
        <f xml:space="preserve"> Debt!CD$382</f>
        <v>0</v>
      </c>
      <c r="CE71" s="288">
        <f xml:space="preserve"> Debt!CE$382</f>
        <v>0</v>
      </c>
      <c r="CF71" s="288">
        <f xml:space="preserve"> Debt!CF$382</f>
        <v>0</v>
      </c>
      <c r="CG71" s="288">
        <f xml:space="preserve"> Debt!CG$382</f>
        <v>0</v>
      </c>
      <c r="CH71" s="288">
        <f xml:space="preserve"> Debt!CH$382</f>
        <v>0</v>
      </c>
      <c r="CI71" s="288">
        <f xml:space="preserve"> Debt!CI$382</f>
        <v>0</v>
      </c>
      <c r="CJ71" s="288">
        <f xml:space="preserve"> Debt!CJ$382</f>
        <v>0</v>
      </c>
      <c r="CK71" s="288">
        <f xml:space="preserve"> Debt!CK$382</f>
        <v>0</v>
      </c>
      <c r="CL71" s="288">
        <f xml:space="preserve"> Debt!CL$382</f>
        <v>0</v>
      </c>
      <c r="CM71" s="288">
        <f xml:space="preserve"> Debt!CM$382</f>
        <v>0</v>
      </c>
      <c r="CN71" s="288">
        <f xml:space="preserve"> Debt!CN$382</f>
        <v>0</v>
      </c>
      <c r="CO71" s="288">
        <f xml:space="preserve"> Debt!CO$382</f>
        <v>0</v>
      </c>
      <c r="CP71" s="288">
        <f xml:space="preserve"> Debt!CP$382</f>
        <v>0</v>
      </c>
      <c r="CQ71" s="288">
        <f xml:space="preserve"> Debt!CQ$382</f>
        <v>0</v>
      </c>
      <c r="CR71" s="288">
        <f xml:space="preserve"> Debt!CR$382</f>
        <v>0</v>
      </c>
      <c r="CS71" s="288">
        <f xml:space="preserve"> Debt!CS$382</f>
        <v>0</v>
      </c>
      <c r="CT71" s="288">
        <f xml:space="preserve"> Debt!CT$382</f>
        <v>0</v>
      </c>
      <c r="CU71" s="288">
        <f xml:space="preserve"> Debt!CU$382</f>
        <v>0</v>
      </c>
      <c r="CV71" s="288">
        <f xml:space="preserve"> Debt!CV$382</f>
        <v>0</v>
      </c>
    </row>
    <row r="72" spans="1:100" outlineLevel="1" x14ac:dyDescent="0.2">
      <c r="D72" s="209"/>
      <c r="E72" s="288" t="str">
        <f xml:space="preserve"> Debt!E$414</f>
        <v>Standby debt principal repayment - T2</v>
      </c>
      <c r="F72" s="288">
        <f xml:space="preserve"> Debt!F$414</f>
        <v>0</v>
      </c>
      <c r="G72" s="288" t="str">
        <f xml:space="preserve"> Debt!G$414</f>
        <v>$ 000s</v>
      </c>
      <c r="H72" s="288">
        <f xml:space="preserve"> Debt!H$414</f>
        <v>0</v>
      </c>
      <c r="I72" s="288">
        <f xml:space="preserve"> Debt!I$414</f>
        <v>0</v>
      </c>
      <c r="J72" s="288">
        <f xml:space="preserve"> Debt!J$414</f>
        <v>0</v>
      </c>
      <c r="K72" s="288">
        <f xml:space="preserve"> Debt!K$414</f>
        <v>0</v>
      </c>
      <c r="L72" s="288">
        <f xml:space="preserve"> Debt!L$414</f>
        <v>0</v>
      </c>
      <c r="M72" s="288">
        <f xml:space="preserve"> Debt!M$414</f>
        <v>0</v>
      </c>
      <c r="N72" s="288">
        <f xml:space="preserve"> Debt!N$414</f>
        <v>0</v>
      </c>
      <c r="O72" s="288">
        <f xml:space="preserve"> Debt!O$414</f>
        <v>0</v>
      </c>
      <c r="P72" s="288">
        <f xml:space="preserve"> Debt!P$414</f>
        <v>0</v>
      </c>
      <c r="Q72" s="288">
        <f xml:space="preserve"> Debt!Q$414</f>
        <v>0</v>
      </c>
      <c r="R72" s="288">
        <f xml:space="preserve"> Debt!R$414</f>
        <v>0</v>
      </c>
      <c r="S72" s="288">
        <f xml:space="preserve"> Debt!S$414</f>
        <v>0</v>
      </c>
      <c r="T72" s="288">
        <f xml:space="preserve"> Debt!T$414</f>
        <v>0</v>
      </c>
      <c r="U72" s="288">
        <f xml:space="preserve"> Debt!U$414</f>
        <v>0</v>
      </c>
      <c r="V72" s="288">
        <f xml:space="preserve"> Debt!V$414</f>
        <v>0</v>
      </c>
      <c r="W72" s="288">
        <f xml:space="preserve"> Debt!W$414</f>
        <v>0</v>
      </c>
      <c r="X72" s="288">
        <f xml:space="preserve"> Debt!X$414</f>
        <v>0</v>
      </c>
      <c r="Y72" s="288">
        <f xml:space="preserve"> Debt!Y$414</f>
        <v>0</v>
      </c>
      <c r="Z72" s="288">
        <f xml:space="preserve"> Debt!Z$414</f>
        <v>0</v>
      </c>
      <c r="AA72" s="288">
        <f xml:space="preserve"> Debt!AA$414</f>
        <v>0</v>
      </c>
      <c r="AB72" s="288">
        <f xml:space="preserve"> Debt!AB$414</f>
        <v>0</v>
      </c>
      <c r="AC72" s="288">
        <f xml:space="preserve"> Debt!AC$414</f>
        <v>0</v>
      </c>
      <c r="AD72" s="288">
        <f xml:space="preserve"> Debt!AD$414</f>
        <v>0</v>
      </c>
      <c r="AE72" s="288">
        <f xml:space="preserve"> Debt!AE$414</f>
        <v>0</v>
      </c>
      <c r="AF72" s="288">
        <f xml:space="preserve"> Debt!AF$414</f>
        <v>0</v>
      </c>
      <c r="AG72" s="288">
        <f xml:space="preserve"> Debt!AG$414</f>
        <v>0</v>
      </c>
      <c r="AH72" s="288">
        <f xml:space="preserve"> Debt!AH$414</f>
        <v>0</v>
      </c>
      <c r="AI72" s="288">
        <f xml:space="preserve"> Debt!AI$414</f>
        <v>0</v>
      </c>
      <c r="AJ72" s="288">
        <f xml:space="preserve"> Debt!AJ$414</f>
        <v>0</v>
      </c>
      <c r="AK72" s="288">
        <f xml:space="preserve"> Debt!AK$414</f>
        <v>0</v>
      </c>
      <c r="AL72" s="288">
        <f xml:space="preserve"> Debt!AL$414</f>
        <v>0</v>
      </c>
      <c r="AM72" s="288">
        <f xml:space="preserve"> Debt!AM$414</f>
        <v>0</v>
      </c>
      <c r="AN72" s="288">
        <f xml:space="preserve"> Debt!AN$414</f>
        <v>0</v>
      </c>
      <c r="AO72" s="288">
        <f xml:space="preserve"> Debt!AO$414</f>
        <v>0</v>
      </c>
      <c r="AP72" s="288">
        <f xml:space="preserve"> Debt!AP$414</f>
        <v>0</v>
      </c>
      <c r="AQ72" s="288">
        <f xml:space="preserve"> Debt!AQ$414</f>
        <v>0</v>
      </c>
      <c r="AR72" s="288">
        <f xml:space="preserve"> Debt!AR$414</f>
        <v>0</v>
      </c>
      <c r="AS72" s="288">
        <f xml:space="preserve"> Debt!AS$414</f>
        <v>0</v>
      </c>
      <c r="AT72" s="288">
        <f xml:space="preserve"> Debt!AT$414</f>
        <v>0</v>
      </c>
      <c r="AU72" s="288">
        <f xml:space="preserve"> Debt!AU$414</f>
        <v>0</v>
      </c>
      <c r="AV72" s="288">
        <f xml:space="preserve"> Debt!AV$414</f>
        <v>0</v>
      </c>
      <c r="AW72" s="288">
        <f xml:space="preserve"> Debt!AW$414</f>
        <v>0</v>
      </c>
      <c r="AX72" s="288">
        <f xml:space="preserve"> Debt!AX$414</f>
        <v>0</v>
      </c>
      <c r="AY72" s="288">
        <f xml:space="preserve"> Debt!AY$414</f>
        <v>0</v>
      </c>
      <c r="AZ72" s="288">
        <f xml:space="preserve"> Debt!AZ$414</f>
        <v>0</v>
      </c>
      <c r="BA72" s="288">
        <f xml:space="preserve"> Debt!BA$414</f>
        <v>0</v>
      </c>
      <c r="BB72" s="288">
        <f xml:space="preserve"> Debt!BB$414</f>
        <v>0</v>
      </c>
      <c r="BC72" s="288">
        <f xml:space="preserve"> Debt!BC$414</f>
        <v>0</v>
      </c>
      <c r="BD72" s="288">
        <f xml:space="preserve"> Debt!BD$414</f>
        <v>0</v>
      </c>
      <c r="BE72" s="288">
        <f xml:space="preserve"> Debt!BE$414</f>
        <v>0</v>
      </c>
      <c r="BF72" s="288">
        <f xml:space="preserve"> Debt!BF$414</f>
        <v>0</v>
      </c>
      <c r="BG72" s="288">
        <f xml:space="preserve"> Debt!BG$414</f>
        <v>0</v>
      </c>
      <c r="BH72" s="288">
        <f xml:space="preserve"> Debt!BH$414</f>
        <v>0</v>
      </c>
      <c r="BI72" s="288">
        <f xml:space="preserve"> Debt!BI$414</f>
        <v>0</v>
      </c>
      <c r="BJ72" s="288">
        <f xml:space="preserve"> Debt!BJ$414</f>
        <v>0</v>
      </c>
      <c r="BK72" s="288">
        <f xml:space="preserve"> Debt!BK$414</f>
        <v>0</v>
      </c>
      <c r="BL72" s="288">
        <f xml:space="preserve"> Debt!BL$414</f>
        <v>0</v>
      </c>
      <c r="BM72" s="288">
        <f xml:space="preserve"> Debt!BM$414</f>
        <v>0</v>
      </c>
      <c r="BN72" s="288">
        <f xml:space="preserve"> Debt!BN$414</f>
        <v>0</v>
      </c>
      <c r="BO72" s="288">
        <f xml:space="preserve"> Debt!BO$414</f>
        <v>0</v>
      </c>
      <c r="BP72" s="288">
        <f xml:space="preserve"> Debt!BP$414</f>
        <v>0</v>
      </c>
      <c r="BQ72" s="288">
        <f xml:space="preserve"> Debt!BQ$414</f>
        <v>0</v>
      </c>
      <c r="BR72" s="288">
        <f xml:space="preserve"> Debt!BR$414</f>
        <v>0</v>
      </c>
      <c r="BS72" s="288">
        <f xml:space="preserve"> Debt!BS$414</f>
        <v>0</v>
      </c>
      <c r="BT72" s="288">
        <f xml:space="preserve"> Debt!BT$414</f>
        <v>0</v>
      </c>
      <c r="BU72" s="288">
        <f xml:space="preserve"> Debt!BU$414</f>
        <v>0</v>
      </c>
      <c r="BV72" s="288">
        <f xml:space="preserve"> Debt!BV$414</f>
        <v>0</v>
      </c>
      <c r="BW72" s="288">
        <f xml:space="preserve"> Debt!BW$414</f>
        <v>0</v>
      </c>
      <c r="BX72" s="288">
        <f xml:space="preserve"> Debt!BX$414</f>
        <v>0</v>
      </c>
      <c r="BY72" s="288">
        <f xml:space="preserve"> Debt!BY$414</f>
        <v>0</v>
      </c>
      <c r="BZ72" s="288">
        <f xml:space="preserve"> Debt!BZ$414</f>
        <v>0</v>
      </c>
      <c r="CA72" s="288">
        <f xml:space="preserve"> Debt!CA$414</f>
        <v>0</v>
      </c>
      <c r="CB72" s="288">
        <f xml:space="preserve"> Debt!CB$414</f>
        <v>0</v>
      </c>
      <c r="CC72" s="288">
        <f xml:space="preserve"> Debt!CC$414</f>
        <v>0</v>
      </c>
      <c r="CD72" s="288">
        <f xml:space="preserve"> Debt!CD$414</f>
        <v>0</v>
      </c>
      <c r="CE72" s="288">
        <f xml:space="preserve"> Debt!CE$414</f>
        <v>0</v>
      </c>
      <c r="CF72" s="288">
        <f xml:space="preserve"> Debt!CF$414</f>
        <v>0</v>
      </c>
      <c r="CG72" s="288">
        <f xml:space="preserve"> Debt!CG$414</f>
        <v>0</v>
      </c>
      <c r="CH72" s="288">
        <f xml:space="preserve"> Debt!CH$414</f>
        <v>0</v>
      </c>
      <c r="CI72" s="288">
        <f xml:space="preserve"> Debt!CI$414</f>
        <v>0</v>
      </c>
      <c r="CJ72" s="288">
        <f xml:space="preserve"> Debt!CJ$414</f>
        <v>0</v>
      </c>
      <c r="CK72" s="288">
        <f xml:space="preserve"> Debt!CK$414</f>
        <v>0</v>
      </c>
      <c r="CL72" s="288">
        <f xml:space="preserve"> Debt!CL$414</f>
        <v>0</v>
      </c>
      <c r="CM72" s="288">
        <f xml:space="preserve"> Debt!CM$414</f>
        <v>0</v>
      </c>
      <c r="CN72" s="288">
        <f xml:space="preserve"> Debt!CN$414</f>
        <v>0</v>
      </c>
      <c r="CO72" s="288">
        <f xml:space="preserve"> Debt!CO$414</f>
        <v>0</v>
      </c>
      <c r="CP72" s="288">
        <f xml:space="preserve"> Debt!CP$414</f>
        <v>0</v>
      </c>
      <c r="CQ72" s="288">
        <f xml:space="preserve"> Debt!CQ$414</f>
        <v>0</v>
      </c>
      <c r="CR72" s="288">
        <f xml:space="preserve"> Debt!CR$414</f>
        <v>0</v>
      </c>
      <c r="CS72" s="288">
        <f xml:space="preserve"> Debt!CS$414</f>
        <v>0</v>
      </c>
      <c r="CT72" s="288">
        <f xml:space="preserve"> Debt!CT$414</f>
        <v>0</v>
      </c>
      <c r="CU72" s="288">
        <f xml:space="preserve"> Debt!CU$414</f>
        <v>0</v>
      </c>
      <c r="CV72" s="288">
        <f xml:space="preserve"> Debt!CV$414</f>
        <v>0</v>
      </c>
    </row>
    <row r="73" spans="1:100" s="191" customFormat="1" outlineLevel="1" x14ac:dyDescent="0.2">
      <c r="A73" s="205"/>
      <c r="B73" s="205"/>
      <c r="C73" s="206"/>
      <c r="D73" s="209"/>
      <c r="E73" s="232" t="s">
        <v>1154</v>
      </c>
      <c r="F73" s="232"/>
      <c r="G73" s="232" t="str">
        <f>SMU</f>
        <v>$ 000s</v>
      </c>
      <c r="H73" s="232">
        <f ca="1" xml:space="preserve"> SUM(J73:CV73)</f>
        <v>80171.999842981124</v>
      </c>
      <c r="I73" s="232"/>
      <c r="J73" s="232">
        <f t="shared" ref="J73:AO73" ca="1" si="21" xml:space="preserve"> J63+ SUM(J65:J72)</f>
        <v>-1.5558398445136845E-6</v>
      </c>
      <c r="K73" s="232">
        <f t="shared" ca="1" si="21"/>
        <v>-1.2466658517951146E-5</v>
      </c>
      <c r="L73" s="232">
        <f t="shared" ca="1" si="21"/>
        <v>-1.6754362150095403E-5</v>
      </c>
      <c r="M73" s="232">
        <f t="shared" ca="1" si="21"/>
        <v>-1.9422688637860119E-5</v>
      </c>
      <c r="N73" s="232">
        <f t="shared" ca="1" si="21"/>
        <v>-3.9676149608567357E-3</v>
      </c>
      <c r="O73" s="232">
        <f t="shared" ca="1" si="21"/>
        <v>1333.7016383710761</v>
      </c>
      <c r="P73" s="232">
        <f t="shared" ca="1" si="21"/>
        <v>810.79468169697248</v>
      </c>
      <c r="Q73" s="232">
        <f t="shared" ca="1" si="21"/>
        <v>747.10124135188926</v>
      </c>
      <c r="R73" s="232">
        <f t="shared" ca="1" si="21"/>
        <v>782.47871042725274</v>
      </c>
      <c r="S73" s="232">
        <f t="shared" ca="1" si="21"/>
        <v>718.65796649657022</v>
      </c>
      <c r="T73" s="232">
        <f t="shared" ca="1" si="21"/>
        <v>753.68370064888768</v>
      </c>
      <c r="U73" s="232">
        <f t="shared" ca="1" si="21"/>
        <v>689.73083641552148</v>
      </c>
      <c r="V73" s="232">
        <f t="shared" ca="1" si="21"/>
        <v>709.36403975043686</v>
      </c>
      <c r="W73" s="232">
        <f t="shared" ca="1" si="21"/>
        <v>659.38136732964995</v>
      </c>
      <c r="X73" s="232">
        <f t="shared" ca="1" si="21"/>
        <v>694.61723480350702</v>
      </c>
      <c r="Y73" s="232">
        <f t="shared" ca="1" si="21"/>
        <v>630.38530926563726</v>
      </c>
      <c r="Z73" s="232">
        <f t="shared" ca="1" si="21"/>
        <v>664.32561702168641</v>
      </c>
      <c r="AA73" s="232">
        <f t="shared" ca="1" si="21"/>
        <v>599.94656733875672</v>
      </c>
      <c r="AB73" s="232">
        <f t="shared" ca="1" si="21"/>
        <v>633.51463784352381</v>
      </c>
      <c r="AC73" s="232">
        <f t="shared" ca="1" si="21"/>
        <v>568.98326768453808</v>
      </c>
      <c r="AD73" s="232">
        <f t="shared" ca="1" si="21"/>
        <v>587.63037175696809</v>
      </c>
      <c r="AE73" s="232">
        <f t="shared" ca="1" si="21"/>
        <v>536.72108100653895</v>
      </c>
      <c r="AF73" s="232">
        <f t="shared" ca="1" si="21"/>
        <v>570.29201262744027</v>
      </c>
      <c r="AG73" s="232">
        <f t="shared" ca="1" si="21"/>
        <v>505.44002200324394</v>
      </c>
      <c r="AH73" s="232">
        <f t="shared" ca="1" si="21"/>
        <v>537.85854486696007</v>
      </c>
      <c r="AI73" s="232">
        <f t="shared" ca="1" si="21"/>
        <v>472.83804239376332</v>
      </c>
      <c r="AJ73" s="232">
        <f t="shared" ca="1" si="21"/>
        <v>504.86205342385438</v>
      </c>
      <c r="AK73" s="232">
        <f t="shared" ca="1" si="21"/>
        <v>439.66745248592451</v>
      </c>
      <c r="AL73" s="232">
        <f t="shared" ca="1" si="21"/>
        <v>457.2673444383654</v>
      </c>
      <c r="AM73" s="232">
        <f t="shared" ca="1" si="21"/>
        <v>405.32971789899966</v>
      </c>
      <c r="AN73" s="232">
        <f t="shared" ca="1" si="21"/>
        <v>437.13395083402975</v>
      </c>
      <c r="AO73" s="232">
        <f t="shared" ca="1" si="21"/>
        <v>371.57390085271618</v>
      </c>
      <c r="AP73" s="232">
        <f t="shared" ref="AP73:BU73" ca="1" si="22" xml:space="preserve"> AP63+ SUM(AP65:AP72)</f>
        <v>402.37871008177535</v>
      </c>
      <c r="AQ73" s="232">
        <f t="shared" ca="1" si="22"/>
        <v>336.62709613009611</v>
      </c>
      <c r="AR73" s="232">
        <f t="shared" ca="1" si="22"/>
        <v>367.01320016047248</v>
      </c>
      <c r="AS73" s="232">
        <f t="shared" ca="1" si="22"/>
        <v>301.06250454664041</v>
      </c>
      <c r="AT73" s="232">
        <f t="shared" ca="1" si="22"/>
        <v>317.54834948217285</v>
      </c>
      <c r="AU73" s="232">
        <f t="shared" ca="1" si="22"/>
        <v>264.47150224174402</v>
      </c>
      <c r="AV73" s="232">
        <f t="shared" ca="1" si="22"/>
        <v>294.39554076380955</v>
      </c>
      <c r="AW73" s="232">
        <f t="shared" ca="1" si="22"/>
        <v>9947.8757418349815</v>
      </c>
      <c r="AX73" s="232">
        <f t="shared" ca="1" si="22"/>
        <v>9872.4529188595952</v>
      </c>
      <c r="AY73" s="232">
        <f t="shared" ca="1" si="22"/>
        <v>9803.2474683903492</v>
      </c>
      <c r="AZ73" s="232">
        <f t="shared" ca="1" si="22"/>
        <v>9727.8684938216247</v>
      </c>
      <c r="BA73" s="232">
        <f t="shared" ca="1" si="22"/>
        <v>9656.395179685629</v>
      </c>
      <c r="BB73" s="232">
        <f t="shared" ca="1" si="22"/>
        <v>12057.385843762037</v>
      </c>
      <c r="BC73" s="232">
        <f t="shared" ca="1" si="22"/>
        <v>0</v>
      </c>
      <c r="BD73" s="232">
        <f t="shared" ca="1" si="22"/>
        <v>0</v>
      </c>
      <c r="BE73" s="232">
        <f t="shared" ca="1" si="22"/>
        <v>0</v>
      </c>
      <c r="BF73" s="232">
        <f t="shared" ca="1" si="22"/>
        <v>0</v>
      </c>
      <c r="BG73" s="232">
        <f t="shared" ca="1" si="22"/>
        <v>0</v>
      </c>
      <c r="BH73" s="232">
        <f t="shared" ca="1" si="22"/>
        <v>0</v>
      </c>
      <c r="BI73" s="232">
        <f t="shared" ca="1" si="22"/>
        <v>0</v>
      </c>
      <c r="BJ73" s="232">
        <f t="shared" ca="1" si="22"/>
        <v>0</v>
      </c>
      <c r="BK73" s="232">
        <f t="shared" ca="1" si="22"/>
        <v>0</v>
      </c>
      <c r="BL73" s="232">
        <f t="shared" ca="1" si="22"/>
        <v>0</v>
      </c>
      <c r="BM73" s="232">
        <f t="shared" ca="1" si="22"/>
        <v>0</v>
      </c>
      <c r="BN73" s="232">
        <f t="shared" ca="1" si="22"/>
        <v>0</v>
      </c>
      <c r="BO73" s="232">
        <f t="shared" ca="1" si="22"/>
        <v>0</v>
      </c>
      <c r="BP73" s="232">
        <f t="shared" ca="1" si="22"/>
        <v>0</v>
      </c>
      <c r="BQ73" s="232">
        <f t="shared" ca="1" si="22"/>
        <v>0</v>
      </c>
      <c r="BR73" s="232">
        <f t="shared" ca="1" si="22"/>
        <v>0</v>
      </c>
      <c r="BS73" s="232">
        <f t="shared" ca="1" si="22"/>
        <v>0</v>
      </c>
      <c r="BT73" s="232">
        <f t="shared" ca="1" si="22"/>
        <v>0</v>
      </c>
      <c r="BU73" s="232">
        <f t="shared" ca="1" si="22"/>
        <v>0</v>
      </c>
      <c r="BV73" s="232">
        <f t="shared" ref="BV73:CV73" ca="1" si="23" xml:space="preserve"> BV63+ SUM(BV65:BV72)</f>
        <v>0</v>
      </c>
      <c r="BW73" s="232">
        <f t="shared" ca="1" si="23"/>
        <v>0</v>
      </c>
      <c r="BX73" s="232">
        <f t="shared" ca="1" si="23"/>
        <v>0</v>
      </c>
      <c r="BY73" s="232">
        <f t="shared" ca="1" si="23"/>
        <v>0</v>
      </c>
      <c r="BZ73" s="232">
        <f t="shared" ca="1" si="23"/>
        <v>0</v>
      </c>
      <c r="CA73" s="232">
        <f t="shared" ca="1" si="23"/>
        <v>0</v>
      </c>
      <c r="CB73" s="232">
        <f t="shared" ca="1" si="23"/>
        <v>0</v>
      </c>
      <c r="CC73" s="232">
        <f t="shared" ca="1" si="23"/>
        <v>0</v>
      </c>
      <c r="CD73" s="232">
        <f t="shared" ca="1" si="23"/>
        <v>0</v>
      </c>
      <c r="CE73" s="232">
        <f t="shared" ca="1" si="23"/>
        <v>0</v>
      </c>
      <c r="CF73" s="232">
        <f t="shared" ca="1" si="23"/>
        <v>0</v>
      </c>
      <c r="CG73" s="232">
        <f t="shared" ca="1" si="23"/>
        <v>0</v>
      </c>
      <c r="CH73" s="232">
        <f t="shared" ca="1" si="23"/>
        <v>0</v>
      </c>
      <c r="CI73" s="232">
        <f t="shared" ca="1" si="23"/>
        <v>0</v>
      </c>
      <c r="CJ73" s="232">
        <f t="shared" ca="1" si="23"/>
        <v>0</v>
      </c>
      <c r="CK73" s="232">
        <f t="shared" ca="1" si="23"/>
        <v>0</v>
      </c>
      <c r="CL73" s="232">
        <f t="shared" ca="1" si="23"/>
        <v>0</v>
      </c>
      <c r="CM73" s="232">
        <f t="shared" ca="1" si="23"/>
        <v>0</v>
      </c>
      <c r="CN73" s="232">
        <f t="shared" ca="1" si="23"/>
        <v>0</v>
      </c>
      <c r="CO73" s="232">
        <f t="shared" ca="1" si="23"/>
        <v>0</v>
      </c>
      <c r="CP73" s="232">
        <f t="shared" ca="1" si="23"/>
        <v>0</v>
      </c>
      <c r="CQ73" s="232">
        <f t="shared" ca="1" si="23"/>
        <v>0</v>
      </c>
      <c r="CR73" s="232">
        <f t="shared" ca="1" si="23"/>
        <v>0</v>
      </c>
      <c r="CS73" s="232">
        <f t="shared" ca="1" si="23"/>
        <v>0</v>
      </c>
      <c r="CT73" s="232">
        <f t="shared" ca="1" si="23"/>
        <v>0</v>
      </c>
      <c r="CU73" s="232">
        <f t="shared" ca="1" si="23"/>
        <v>0</v>
      </c>
      <c r="CV73" s="232">
        <f t="shared" ca="1" si="23"/>
        <v>0</v>
      </c>
    </row>
    <row r="74" spans="1:100" outlineLevel="1" x14ac:dyDescent="0.2">
      <c r="D74" s="209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</row>
    <row r="75" spans="1:100" s="192" customFormat="1" outlineLevel="1" x14ac:dyDescent="0.2">
      <c r="A75" s="205"/>
      <c r="B75" s="205"/>
      <c r="C75" s="206"/>
      <c r="D75" s="209"/>
      <c r="E75" s="235" t="str">
        <f xml:space="preserve"> DSRA!E$146</f>
        <v>DSRA deposit - P99</v>
      </c>
      <c r="F75" s="235">
        <f xml:space="preserve"> DSRA!F$146</f>
        <v>0</v>
      </c>
      <c r="G75" s="235" t="str">
        <f xml:space="preserve"> DSRA!G$146</f>
        <v>$ 000s</v>
      </c>
      <c r="H75" s="235">
        <f ca="1" xml:space="preserve"> DSRA!H$146</f>
        <v>0</v>
      </c>
      <c r="I75" s="235">
        <f xml:space="preserve"> DSRA!I$146</f>
        <v>0</v>
      </c>
      <c r="J75" s="235">
        <f ca="1" xml:space="preserve"> DSRA!J$146</f>
        <v>0</v>
      </c>
      <c r="K75" s="235">
        <f ca="1" xml:space="preserve"> DSRA!K$146</f>
        <v>0</v>
      </c>
      <c r="L75" s="235">
        <f ca="1" xml:space="preserve"> DSRA!L$146</f>
        <v>0</v>
      </c>
      <c r="M75" s="235">
        <f ca="1" xml:space="preserve"> DSRA!M$146</f>
        <v>0</v>
      </c>
      <c r="N75" s="235">
        <f ca="1" xml:space="preserve"> DSRA!N$146</f>
        <v>0</v>
      </c>
      <c r="O75" s="235">
        <f ca="1" xml:space="preserve"> DSRA!O$146</f>
        <v>0</v>
      </c>
      <c r="P75" s="235">
        <f ca="1" xml:space="preserve"> DSRA!P$146</f>
        <v>0</v>
      </c>
      <c r="Q75" s="235">
        <f ca="1" xml:space="preserve"> DSRA!Q$146</f>
        <v>0</v>
      </c>
      <c r="R75" s="235">
        <f ca="1" xml:space="preserve"> DSRA!R$146</f>
        <v>0</v>
      </c>
      <c r="S75" s="235">
        <f ca="1" xml:space="preserve"> DSRA!S$146</f>
        <v>0</v>
      </c>
      <c r="T75" s="235">
        <f ca="1" xml:space="preserve"> DSRA!T$146</f>
        <v>0</v>
      </c>
      <c r="U75" s="235">
        <f ca="1" xml:space="preserve"> DSRA!U$146</f>
        <v>0</v>
      </c>
      <c r="V75" s="235">
        <f ca="1" xml:space="preserve"> DSRA!V$146</f>
        <v>0</v>
      </c>
      <c r="W75" s="235">
        <f ca="1" xml:space="preserve"> DSRA!W$146</f>
        <v>0</v>
      </c>
      <c r="X75" s="235">
        <f ca="1" xml:space="preserve"> DSRA!X$146</f>
        <v>0</v>
      </c>
      <c r="Y75" s="235">
        <f ca="1" xml:space="preserve"> DSRA!Y$146</f>
        <v>0</v>
      </c>
      <c r="Z75" s="235">
        <f ca="1" xml:space="preserve"> DSRA!Z$146</f>
        <v>0</v>
      </c>
      <c r="AA75" s="235">
        <f ca="1" xml:space="preserve"> DSRA!AA$146</f>
        <v>0</v>
      </c>
      <c r="AB75" s="235">
        <f ca="1" xml:space="preserve"> DSRA!AB$146</f>
        <v>0</v>
      </c>
      <c r="AC75" s="235">
        <f ca="1" xml:space="preserve"> DSRA!AC$146</f>
        <v>0</v>
      </c>
      <c r="AD75" s="235">
        <f ca="1" xml:space="preserve"> DSRA!AD$146</f>
        <v>0</v>
      </c>
      <c r="AE75" s="235">
        <f ca="1" xml:space="preserve"> DSRA!AE$146</f>
        <v>0</v>
      </c>
      <c r="AF75" s="235">
        <f ca="1" xml:space="preserve"> DSRA!AF$146</f>
        <v>0</v>
      </c>
      <c r="AG75" s="235">
        <f ca="1" xml:space="preserve"> DSRA!AG$146</f>
        <v>0</v>
      </c>
      <c r="AH75" s="235">
        <f ca="1" xml:space="preserve"> DSRA!AH$146</f>
        <v>0</v>
      </c>
      <c r="AI75" s="235">
        <f ca="1" xml:space="preserve"> DSRA!AI$146</f>
        <v>0</v>
      </c>
      <c r="AJ75" s="235">
        <f ca="1" xml:space="preserve"> DSRA!AJ$146</f>
        <v>0</v>
      </c>
      <c r="AK75" s="235">
        <f ca="1" xml:space="preserve"> DSRA!AK$146</f>
        <v>0</v>
      </c>
      <c r="AL75" s="235">
        <f ca="1" xml:space="preserve"> DSRA!AL$146</f>
        <v>0</v>
      </c>
      <c r="AM75" s="235">
        <f ca="1" xml:space="preserve"> DSRA!AM$146</f>
        <v>0</v>
      </c>
      <c r="AN75" s="235">
        <f ca="1" xml:space="preserve"> DSRA!AN$146</f>
        <v>0</v>
      </c>
      <c r="AO75" s="235">
        <f ca="1" xml:space="preserve"> DSRA!AO$146</f>
        <v>0</v>
      </c>
      <c r="AP75" s="235">
        <f ca="1" xml:space="preserve"> DSRA!AP$146</f>
        <v>0</v>
      </c>
      <c r="AQ75" s="235">
        <f ca="1" xml:space="preserve"> DSRA!AQ$146</f>
        <v>0</v>
      </c>
      <c r="AR75" s="235">
        <f ca="1" xml:space="preserve"> DSRA!AR$146</f>
        <v>0</v>
      </c>
      <c r="AS75" s="235">
        <f ca="1" xml:space="preserve"> DSRA!AS$146</f>
        <v>0</v>
      </c>
      <c r="AT75" s="235">
        <f ca="1" xml:space="preserve"> DSRA!AT$146</f>
        <v>0</v>
      </c>
      <c r="AU75" s="235">
        <f ca="1" xml:space="preserve"> DSRA!AU$146</f>
        <v>0</v>
      </c>
      <c r="AV75" s="235">
        <f ca="1" xml:space="preserve"> DSRA!AV$146</f>
        <v>0</v>
      </c>
      <c r="AW75" s="235">
        <f ca="1" xml:space="preserve"> DSRA!AW$146</f>
        <v>0</v>
      </c>
      <c r="AX75" s="235">
        <f ca="1" xml:space="preserve"> DSRA!AX$146</f>
        <v>0</v>
      </c>
      <c r="AY75" s="235">
        <f ca="1" xml:space="preserve"> DSRA!AY$146</f>
        <v>0</v>
      </c>
      <c r="AZ75" s="235">
        <f ca="1" xml:space="preserve"> DSRA!AZ$146</f>
        <v>0</v>
      </c>
      <c r="BA75" s="235">
        <f ca="1" xml:space="preserve"> DSRA!BA$146</f>
        <v>0</v>
      </c>
      <c r="BB75" s="235">
        <f ca="1" xml:space="preserve"> DSRA!BB$146</f>
        <v>0</v>
      </c>
      <c r="BC75" s="235">
        <f ca="1" xml:space="preserve"> DSRA!BC$146</f>
        <v>0</v>
      </c>
      <c r="BD75" s="235">
        <f ca="1" xml:space="preserve"> DSRA!BD$146</f>
        <v>0</v>
      </c>
      <c r="BE75" s="235">
        <f ca="1" xml:space="preserve"> DSRA!BE$146</f>
        <v>0</v>
      </c>
      <c r="BF75" s="235">
        <f ca="1" xml:space="preserve"> DSRA!BF$146</f>
        <v>0</v>
      </c>
      <c r="BG75" s="235">
        <f ca="1" xml:space="preserve"> DSRA!BG$146</f>
        <v>0</v>
      </c>
      <c r="BH75" s="235">
        <f ca="1" xml:space="preserve"> DSRA!BH$146</f>
        <v>0</v>
      </c>
      <c r="BI75" s="235">
        <f ca="1" xml:space="preserve"> DSRA!BI$146</f>
        <v>0</v>
      </c>
      <c r="BJ75" s="235">
        <f ca="1" xml:space="preserve"> DSRA!BJ$146</f>
        <v>0</v>
      </c>
      <c r="BK75" s="235">
        <f ca="1" xml:space="preserve"> DSRA!BK$146</f>
        <v>0</v>
      </c>
      <c r="BL75" s="235">
        <f ca="1" xml:space="preserve"> DSRA!BL$146</f>
        <v>0</v>
      </c>
      <c r="BM75" s="235">
        <f ca="1" xml:space="preserve"> DSRA!BM$146</f>
        <v>0</v>
      </c>
      <c r="BN75" s="235">
        <f ca="1" xml:space="preserve"> DSRA!BN$146</f>
        <v>0</v>
      </c>
      <c r="BO75" s="235">
        <f ca="1" xml:space="preserve"> DSRA!BO$146</f>
        <v>0</v>
      </c>
      <c r="BP75" s="235">
        <f ca="1" xml:space="preserve"> DSRA!BP$146</f>
        <v>0</v>
      </c>
      <c r="BQ75" s="235">
        <f ca="1" xml:space="preserve"> DSRA!BQ$146</f>
        <v>0</v>
      </c>
      <c r="BR75" s="235">
        <f ca="1" xml:space="preserve"> DSRA!BR$146</f>
        <v>0</v>
      </c>
      <c r="BS75" s="235">
        <f ca="1" xml:space="preserve"> DSRA!BS$146</f>
        <v>0</v>
      </c>
      <c r="BT75" s="235">
        <f ca="1" xml:space="preserve"> DSRA!BT$146</f>
        <v>0</v>
      </c>
      <c r="BU75" s="235">
        <f ca="1" xml:space="preserve"> DSRA!BU$146</f>
        <v>0</v>
      </c>
      <c r="BV75" s="235">
        <f ca="1" xml:space="preserve"> DSRA!BV$146</f>
        <v>0</v>
      </c>
      <c r="BW75" s="235">
        <f ca="1" xml:space="preserve"> DSRA!BW$146</f>
        <v>0</v>
      </c>
      <c r="BX75" s="235">
        <f ca="1" xml:space="preserve"> DSRA!BX$146</f>
        <v>0</v>
      </c>
      <c r="BY75" s="235">
        <f ca="1" xml:space="preserve"> DSRA!BY$146</f>
        <v>0</v>
      </c>
      <c r="BZ75" s="235">
        <f ca="1" xml:space="preserve"> DSRA!BZ$146</f>
        <v>0</v>
      </c>
      <c r="CA75" s="235">
        <f ca="1" xml:space="preserve"> DSRA!CA$146</f>
        <v>0</v>
      </c>
      <c r="CB75" s="235">
        <f ca="1" xml:space="preserve"> DSRA!CB$146</f>
        <v>0</v>
      </c>
      <c r="CC75" s="235">
        <f ca="1" xml:space="preserve"> DSRA!CC$146</f>
        <v>0</v>
      </c>
      <c r="CD75" s="235">
        <f ca="1" xml:space="preserve"> DSRA!CD$146</f>
        <v>0</v>
      </c>
      <c r="CE75" s="235">
        <f ca="1" xml:space="preserve"> DSRA!CE$146</f>
        <v>0</v>
      </c>
      <c r="CF75" s="235">
        <f ca="1" xml:space="preserve"> DSRA!CF$146</f>
        <v>0</v>
      </c>
      <c r="CG75" s="235">
        <f ca="1" xml:space="preserve"> DSRA!CG$146</f>
        <v>0</v>
      </c>
      <c r="CH75" s="235">
        <f ca="1" xml:space="preserve"> DSRA!CH$146</f>
        <v>0</v>
      </c>
      <c r="CI75" s="235">
        <f ca="1" xml:space="preserve"> DSRA!CI$146</f>
        <v>0</v>
      </c>
      <c r="CJ75" s="235">
        <f ca="1" xml:space="preserve"> DSRA!CJ$146</f>
        <v>0</v>
      </c>
      <c r="CK75" s="235">
        <f ca="1" xml:space="preserve"> DSRA!CK$146</f>
        <v>0</v>
      </c>
      <c r="CL75" s="235">
        <f ca="1" xml:space="preserve"> DSRA!CL$146</f>
        <v>0</v>
      </c>
      <c r="CM75" s="235">
        <f ca="1" xml:space="preserve"> DSRA!CM$146</f>
        <v>0</v>
      </c>
      <c r="CN75" s="235">
        <f ca="1" xml:space="preserve"> DSRA!CN$146</f>
        <v>0</v>
      </c>
      <c r="CO75" s="235">
        <f ca="1" xml:space="preserve"> DSRA!CO$146</f>
        <v>0</v>
      </c>
      <c r="CP75" s="235">
        <f ca="1" xml:space="preserve"> DSRA!CP$146</f>
        <v>0</v>
      </c>
      <c r="CQ75" s="235">
        <f ca="1" xml:space="preserve"> DSRA!CQ$146</f>
        <v>0</v>
      </c>
      <c r="CR75" s="235">
        <f ca="1" xml:space="preserve"> DSRA!CR$146</f>
        <v>0</v>
      </c>
      <c r="CS75" s="235">
        <f ca="1" xml:space="preserve"> DSRA!CS$146</f>
        <v>0</v>
      </c>
      <c r="CT75" s="235">
        <f ca="1" xml:space="preserve"> DSRA!CT$146</f>
        <v>0</v>
      </c>
      <c r="CU75" s="235">
        <f ca="1" xml:space="preserve"> DSRA!CU$146</f>
        <v>0</v>
      </c>
      <c r="CV75" s="235">
        <f ca="1" xml:space="preserve"> DSRA!CV$146</f>
        <v>0</v>
      </c>
    </row>
    <row r="76" spans="1:100" s="192" customFormat="1" outlineLevel="1" x14ac:dyDescent="0.2">
      <c r="A76" s="205"/>
      <c r="B76" s="205"/>
      <c r="C76" s="206"/>
      <c r="D76" s="209"/>
      <c r="E76" s="288" t="str">
        <f xml:space="preserve"> DSRA!E$154</f>
        <v>DSRA withdrawal - P99</v>
      </c>
      <c r="F76" s="288">
        <f xml:space="preserve"> DSRA!F$154</f>
        <v>0</v>
      </c>
      <c r="G76" s="288" t="str">
        <f xml:space="preserve"> DSRA!G$154</f>
        <v>$ 000s</v>
      </c>
      <c r="H76" s="288">
        <f ca="1" xml:space="preserve"> DSRA!H$154</f>
        <v>11233.130870765843</v>
      </c>
      <c r="I76" s="288">
        <f xml:space="preserve"> DSRA!I$154</f>
        <v>0</v>
      </c>
      <c r="J76" s="288">
        <f ca="1" xml:space="preserve"> DSRA!J$154</f>
        <v>0</v>
      </c>
      <c r="K76" s="288">
        <f ca="1" xml:space="preserve"> DSRA!K$154</f>
        <v>0</v>
      </c>
      <c r="L76" s="288">
        <f ca="1" xml:space="preserve"> DSRA!L$154</f>
        <v>0</v>
      </c>
      <c r="M76" s="288">
        <f ca="1" xml:space="preserve"> DSRA!M$154</f>
        <v>0</v>
      </c>
      <c r="N76" s="288">
        <f ca="1" xml:space="preserve"> DSRA!N$154</f>
        <v>0</v>
      </c>
      <c r="O76" s="288">
        <f ca="1" xml:space="preserve"> DSRA!O$154</f>
        <v>0</v>
      </c>
      <c r="P76" s="288">
        <f ca="1" xml:space="preserve"> DSRA!P$154</f>
        <v>42.335741100258019</v>
      </c>
      <c r="Q76" s="288">
        <f ca="1" xml:space="preserve"> DSRA!Q$154</f>
        <v>43.092867740235306</v>
      </c>
      <c r="R76" s="288">
        <f ca="1" xml:space="preserve"> DSRA!R$154</f>
        <v>42.879581749586578</v>
      </c>
      <c r="S76" s="288">
        <f ca="1" xml:space="preserve"> DSRA!S$154</f>
        <v>43.64991997917241</v>
      </c>
      <c r="T76" s="288">
        <f ca="1" xml:space="preserve"> DSRA!T$154</f>
        <v>35.917089449296327</v>
      </c>
      <c r="U76" s="288">
        <f ca="1" xml:space="preserve"> DSRA!U$154</f>
        <v>51.736738267896726</v>
      </c>
      <c r="V76" s="288">
        <f ca="1" xml:space="preserve"> DSRA!V$154</f>
        <v>51.520153956027571</v>
      </c>
      <c r="W76" s="288">
        <f ca="1" xml:space="preserve"> DSRA!W$154</f>
        <v>37.281901461477901</v>
      </c>
      <c r="X76" s="288">
        <f ca="1" xml:space="preserve"> DSRA!X$154</f>
        <v>44.581523890254175</v>
      </c>
      <c r="Y76" s="288">
        <f ca="1" xml:space="preserve"> DSRA!Y$154</f>
        <v>45.393141598593502</v>
      </c>
      <c r="Z76" s="288">
        <f ca="1" xml:space="preserve"> DSRA!Z$154</f>
        <v>45.173102681601449</v>
      </c>
      <c r="AA76" s="288">
        <f ca="1" xml:space="preserve"> DSRA!AA$154</f>
        <v>45.999044801290438</v>
      </c>
      <c r="AB76" s="288">
        <f ca="1" xml:space="preserve"> DSRA!AB$154</f>
        <v>38.505552075483138</v>
      </c>
      <c r="AC76" s="288">
        <f ca="1" xml:space="preserve"> DSRA!AC$154</f>
        <v>53.889444469637965</v>
      </c>
      <c r="AD76" s="288">
        <f ca="1" xml:space="preserve"> DSRA!AD$154</f>
        <v>53.665789023656544</v>
      </c>
      <c r="AE76" s="288">
        <f ca="1" xml:space="preserve"> DSRA!AE$154</f>
        <v>39.977934428390654</v>
      </c>
      <c r="AF76" s="288">
        <f ca="1" xml:space="preserve"> DSRA!AF$154</f>
        <v>47.024073246167973</v>
      </c>
      <c r="AG76" s="288">
        <f ca="1" xml:space="preserve"> DSRA!AG$154</f>
        <v>47.894768113961618</v>
      </c>
      <c r="AH76" s="288">
        <f ca="1" xml:space="preserve"> DSRA!AH$154</f>
        <v>47.667326786007834</v>
      </c>
      <c r="AI76" s="288">
        <f ca="1" xml:space="preserve"> DSRA!AI$154</f>
        <v>48.553561438860925</v>
      </c>
      <c r="AJ76" s="288">
        <f ca="1" xml:space="preserve"> DSRA!AJ$154</f>
        <v>41.312289489233081</v>
      </c>
      <c r="AK76" s="288">
        <f ca="1" xml:space="preserve"> DSRA!AK$154</f>
        <v>56.23811380654297</v>
      </c>
      <c r="AL76" s="288">
        <f ca="1" xml:space="preserve"> DSRA!AL$154</f>
        <v>56.006711623023875</v>
      </c>
      <c r="AM76" s="288">
        <f ca="1" xml:space="preserve"> DSRA!AM$154</f>
        <v>42.901219348826999</v>
      </c>
      <c r="AN76" s="288">
        <f ca="1" xml:space="preserve"> DSRA!AN$154</f>
        <v>49.679640115220536</v>
      </c>
      <c r="AO76" s="288">
        <f ca="1" xml:space="preserve"> DSRA!AO$154</f>
        <v>50.614394328145863</v>
      </c>
      <c r="AP76" s="288">
        <f ca="1" xml:space="preserve"> DSRA!AP$154</f>
        <v>50.378847808828141</v>
      </c>
      <c r="AQ76" s="288">
        <f ca="1" xml:space="preserve"> DSRA!AQ$154</f>
        <v>51.329703607994816</v>
      </c>
      <c r="AR76" s="288">
        <f ca="1" xml:space="preserve"> DSRA!AR$154</f>
        <v>44.354420603738618</v>
      </c>
      <c r="AS76" s="288">
        <f ca="1" xml:space="preserve"> DSRA!AS$154</f>
        <v>58.798141329993086</v>
      </c>
      <c r="AT76" s="288">
        <f ca="1" xml:space="preserve"> DSRA!AT$154</f>
        <v>58.557004592519661</v>
      </c>
      <c r="AU76" s="288">
        <f ca="1" xml:space="preserve"> DSRA!AU$154</f>
        <v>4905.990719647215</v>
      </c>
      <c r="AV76" s="288">
        <f ca="1" xml:space="preserve"> DSRA!AV$154</f>
        <v>4860.2304082067021</v>
      </c>
      <c r="AW76" s="288">
        <f ca="1" xml:space="preserve"> DSRA!AW$154</f>
        <v>0</v>
      </c>
      <c r="AX76" s="288">
        <f ca="1" xml:space="preserve"> DSRA!AX$154</f>
        <v>0</v>
      </c>
      <c r="AY76" s="288">
        <f ca="1" xml:space="preserve"> DSRA!AY$154</f>
        <v>0</v>
      </c>
      <c r="AZ76" s="288">
        <f ca="1" xml:space="preserve"> DSRA!AZ$154</f>
        <v>0</v>
      </c>
      <c r="BA76" s="288">
        <f ca="1" xml:space="preserve"> DSRA!BA$154</f>
        <v>0</v>
      </c>
      <c r="BB76" s="288">
        <f ca="1" xml:space="preserve"> DSRA!BB$154</f>
        <v>0</v>
      </c>
      <c r="BC76" s="288">
        <f ca="1" xml:space="preserve"> DSRA!BC$154</f>
        <v>0</v>
      </c>
      <c r="BD76" s="288">
        <f ca="1" xml:space="preserve"> DSRA!BD$154</f>
        <v>0</v>
      </c>
      <c r="BE76" s="288">
        <f ca="1" xml:space="preserve"> DSRA!BE$154</f>
        <v>0</v>
      </c>
      <c r="BF76" s="288">
        <f ca="1" xml:space="preserve"> DSRA!BF$154</f>
        <v>0</v>
      </c>
      <c r="BG76" s="288">
        <f ca="1" xml:space="preserve"> DSRA!BG$154</f>
        <v>0</v>
      </c>
      <c r="BH76" s="288">
        <f ca="1" xml:space="preserve"> DSRA!BH$154</f>
        <v>0</v>
      </c>
      <c r="BI76" s="288">
        <f ca="1" xml:space="preserve"> DSRA!BI$154</f>
        <v>0</v>
      </c>
      <c r="BJ76" s="288">
        <f ca="1" xml:space="preserve"> DSRA!BJ$154</f>
        <v>0</v>
      </c>
      <c r="BK76" s="288">
        <f ca="1" xml:space="preserve"> DSRA!BK$154</f>
        <v>0</v>
      </c>
      <c r="BL76" s="288">
        <f ca="1" xml:space="preserve"> DSRA!BL$154</f>
        <v>0</v>
      </c>
      <c r="BM76" s="288">
        <f ca="1" xml:space="preserve"> DSRA!BM$154</f>
        <v>0</v>
      </c>
      <c r="BN76" s="288">
        <f ca="1" xml:space="preserve"> DSRA!BN$154</f>
        <v>0</v>
      </c>
      <c r="BO76" s="288">
        <f ca="1" xml:space="preserve"> DSRA!BO$154</f>
        <v>0</v>
      </c>
      <c r="BP76" s="288">
        <f ca="1" xml:space="preserve"> DSRA!BP$154</f>
        <v>0</v>
      </c>
      <c r="BQ76" s="288">
        <f ca="1" xml:space="preserve"> DSRA!BQ$154</f>
        <v>0</v>
      </c>
      <c r="BR76" s="288">
        <f ca="1" xml:space="preserve"> DSRA!BR$154</f>
        <v>0</v>
      </c>
      <c r="BS76" s="288">
        <f ca="1" xml:space="preserve"> DSRA!BS$154</f>
        <v>0</v>
      </c>
      <c r="BT76" s="288">
        <f ca="1" xml:space="preserve"> DSRA!BT$154</f>
        <v>0</v>
      </c>
      <c r="BU76" s="288">
        <f ca="1" xml:space="preserve"> DSRA!BU$154</f>
        <v>0</v>
      </c>
      <c r="BV76" s="288">
        <f ca="1" xml:space="preserve"> DSRA!BV$154</f>
        <v>0</v>
      </c>
      <c r="BW76" s="288">
        <f ca="1" xml:space="preserve"> DSRA!BW$154</f>
        <v>0</v>
      </c>
      <c r="BX76" s="288">
        <f ca="1" xml:space="preserve"> DSRA!BX$154</f>
        <v>0</v>
      </c>
      <c r="BY76" s="288">
        <f ca="1" xml:space="preserve"> DSRA!BY$154</f>
        <v>0</v>
      </c>
      <c r="BZ76" s="288">
        <f ca="1" xml:space="preserve"> DSRA!BZ$154</f>
        <v>0</v>
      </c>
      <c r="CA76" s="288">
        <f ca="1" xml:space="preserve"> DSRA!CA$154</f>
        <v>0</v>
      </c>
      <c r="CB76" s="288">
        <f ca="1" xml:space="preserve"> DSRA!CB$154</f>
        <v>0</v>
      </c>
      <c r="CC76" s="288">
        <f ca="1" xml:space="preserve"> DSRA!CC$154</f>
        <v>0</v>
      </c>
      <c r="CD76" s="288">
        <f ca="1" xml:space="preserve"> DSRA!CD$154</f>
        <v>0</v>
      </c>
      <c r="CE76" s="288">
        <f ca="1" xml:space="preserve"> DSRA!CE$154</f>
        <v>0</v>
      </c>
      <c r="CF76" s="288">
        <f ca="1" xml:space="preserve"> DSRA!CF$154</f>
        <v>0</v>
      </c>
      <c r="CG76" s="288">
        <f ca="1" xml:space="preserve"> DSRA!CG$154</f>
        <v>0</v>
      </c>
      <c r="CH76" s="288">
        <f ca="1" xml:space="preserve"> DSRA!CH$154</f>
        <v>0</v>
      </c>
      <c r="CI76" s="288">
        <f ca="1" xml:space="preserve"> DSRA!CI$154</f>
        <v>0</v>
      </c>
      <c r="CJ76" s="288">
        <f ca="1" xml:space="preserve"> DSRA!CJ$154</f>
        <v>0</v>
      </c>
      <c r="CK76" s="288">
        <f ca="1" xml:space="preserve"> DSRA!CK$154</f>
        <v>0</v>
      </c>
      <c r="CL76" s="288">
        <f ca="1" xml:space="preserve"> DSRA!CL$154</f>
        <v>0</v>
      </c>
      <c r="CM76" s="288">
        <f ca="1" xml:space="preserve"> DSRA!CM$154</f>
        <v>0</v>
      </c>
      <c r="CN76" s="288">
        <f ca="1" xml:space="preserve"> DSRA!CN$154</f>
        <v>0</v>
      </c>
      <c r="CO76" s="288">
        <f ca="1" xml:space="preserve"> DSRA!CO$154</f>
        <v>0</v>
      </c>
      <c r="CP76" s="288">
        <f ca="1" xml:space="preserve"> DSRA!CP$154</f>
        <v>0</v>
      </c>
      <c r="CQ76" s="288">
        <f ca="1" xml:space="preserve"> DSRA!CQ$154</f>
        <v>0</v>
      </c>
      <c r="CR76" s="288">
        <f ca="1" xml:space="preserve"> DSRA!CR$154</f>
        <v>0</v>
      </c>
      <c r="CS76" s="288">
        <f ca="1" xml:space="preserve"> DSRA!CS$154</f>
        <v>0</v>
      </c>
      <c r="CT76" s="288">
        <f ca="1" xml:space="preserve"> DSRA!CT$154</f>
        <v>0</v>
      </c>
      <c r="CU76" s="288">
        <f ca="1" xml:space="preserve"> DSRA!CU$154</f>
        <v>0</v>
      </c>
      <c r="CV76" s="288">
        <f ca="1" xml:space="preserve"> DSRA!CV$154</f>
        <v>0</v>
      </c>
    </row>
    <row r="77" spans="1:100" s="192" customFormat="1" outlineLevel="1" x14ac:dyDescent="0.2">
      <c r="A77" s="205"/>
      <c r="B77" s="205"/>
      <c r="C77" s="206"/>
      <c r="D77" s="209"/>
      <c r="E77" s="235" t="str">
        <f xml:space="preserve"> DSRA!E$174</f>
        <v>DSRA LC fee accrued and paid</v>
      </c>
      <c r="F77" s="235">
        <f xml:space="preserve"> DSRA!F$174</f>
        <v>0</v>
      </c>
      <c r="G77" s="235" t="str">
        <f xml:space="preserve"> DSRA!G$174</f>
        <v>$ 000s</v>
      </c>
      <c r="H77" s="235">
        <f xml:space="preserve"> DSRA!H$174</f>
        <v>0</v>
      </c>
      <c r="I77" s="235">
        <f xml:space="preserve"> DSRA!I$174</f>
        <v>0</v>
      </c>
      <c r="J77" s="235">
        <f xml:space="preserve"> DSRA!J$174</f>
        <v>0</v>
      </c>
      <c r="K77" s="235">
        <f xml:space="preserve"> DSRA!K$174</f>
        <v>0</v>
      </c>
      <c r="L77" s="235">
        <f xml:space="preserve"> DSRA!L$174</f>
        <v>0</v>
      </c>
      <c r="M77" s="235">
        <f xml:space="preserve"> DSRA!M$174</f>
        <v>0</v>
      </c>
      <c r="N77" s="235">
        <f xml:space="preserve"> DSRA!N$174</f>
        <v>0</v>
      </c>
      <c r="O77" s="235">
        <f xml:space="preserve"> DSRA!O$174</f>
        <v>0</v>
      </c>
      <c r="P77" s="235">
        <f xml:space="preserve"> DSRA!P$174</f>
        <v>0</v>
      </c>
      <c r="Q77" s="235">
        <f xml:space="preserve"> DSRA!Q$174</f>
        <v>0</v>
      </c>
      <c r="R77" s="235">
        <f xml:space="preserve"> DSRA!R$174</f>
        <v>0</v>
      </c>
      <c r="S77" s="235">
        <f xml:space="preserve"> DSRA!S$174</f>
        <v>0</v>
      </c>
      <c r="T77" s="235">
        <f xml:space="preserve"> DSRA!T$174</f>
        <v>0</v>
      </c>
      <c r="U77" s="235">
        <f xml:space="preserve"> DSRA!U$174</f>
        <v>0</v>
      </c>
      <c r="V77" s="235">
        <f xml:space="preserve"> DSRA!V$174</f>
        <v>0</v>
      </c>
      <c r="W77" s="235">
        <f xml:space="preserve"> DSRA!W$174</f>
        <v>0</v>
      </c>
      <c r="X77" s="235">
        <f xml:space="preserve"> DSRA!X$174</f>
        <v>0</v>
      </c>
      <c r="Y77" s="235">
        <f xml:space="preserve"> DSRA!Y$174</f>
        <v>0</v>
      </c>
      <c r="Z77" s="235">
        <f xml:space="preserve"> DSRA!Z$174</f>
        <v>0</v>
      </c>
      <c r="AA77" s="235">
        <f xml:space="preserve"> DSRA!AA$174</f>
        <v>0</v>
      </c>
      <c r="AB77" s="235">
        <f xml:space="preserve"> DSRA!AB$174</f>
        <v>0</v>
      </c>
      <c r="AC77" s="235">
        <f xml:space="preserve"> DSRA!AC$174</f>
        <v>0</v>
      </c>
      <c r="AD77" s="235">
        <f xml:space="preserve"> DSRA!AD$174</f>
        <v>0</v>
      </c>
      <c r="AE77" s="235">
        <f xml:space="preserve"> DSRA!AE$174</f>
        <v>0</v>
      </c>
      <c r="AF77" s="235">
        <f xml:space="preserve"> DSRA!AF$174</f>
        <v>0</v>
      </c>
      <c r="AG77" s="235">
        <f xml:space="preserve"> DSRA!AG$174</f>
        <v>0</v>
      </c>
      <c r="AH77" s="235">
        <f xml:space="preserve"> DSRA!AH$174</f>
        <v>0</v>
      </c>
      <c r="AI77" s="235">
        <f xml:space="preserve"> DSRA!AI$174</f>
        <v>0</v>
      </c>
      <c r="AJ77" s="235">
        <f xml:space="preserve"> DSRA!AJ$174</f>
        <v>0</v>
      </c>
      <c r="AK77" s="235">
        <f xml:space="preserve"> DSRA!AK$174</f>
        <v>0</v>
      </c>
      <c r="AL77" s="235">
        <f xml:space="preserve"> DSRA!AL$174</f>
        <v>0</v>
      </c>
      <c r="AM77" s="235">
        <f xml:space="preserve"> DSRA!AM$174</f>
        <v>0</v>
      </c>
      <c r="AN77" s="235">
        <f xml:space="preserve"> DSRA!AN$174</f>
        <v>0</v>
      </c>
      <c r="AO77" s="235">
        <f xml:space="preserve"> DSRA!AO$174</f>
        <v>0</v>
      </c>
      <c r="AP77" s="235">
        <f xml:space="preserve"> DSRA!AP$174</f>
        <v>0</v>
      </c>
      <c r="AQ77" s="235">
        <f xml:space="preserve"> DSRA!AQ$174</f>
        <v>0</v>
      </c>
      <c r="AR77" s="235">
        <f xml:space="preserve"> DSRA!AR$174</f>
        <v>0</v>
      </c>
      <c r="AS77" s="235">
        <f xml:space="preserve"> DSRA!AS$174</f>
        <v>0</v>
      </c>
      <c r="AT77" s="235">
        <f xml:space="preserve"> DSRA!AT$174</f>
        <v>0</v>
      </c>
      <c r="AU77" s="235">
        <f xml:space="preserve"> DSRA!AU$174</f>
        <v>0</v>
      </c>
      <c r="AV77" s="235">
        <f xml:space="preserve"> DSRA!AV$174</f>
        <v>0</v>
      </c>
      <c r="AW77" s="235">
        <f xml:space="preserve"> DSRA!AW$174</f>
        <v>0</v>
      </c>
      <c r="AX77" s="235">
        <f xml:space="preserve"> DSRA!AX$174</f>
        <v>0</v>
      </c>
      <c r="AY77" s="235">
        <f xml:space="preserve"> DSRA!AY$174</f>
        <v>0</v>
      </c>
      <c r="AZ77" s="235">
        <f xml:space="preserve"> DSRA!AZ$174</f>
        <v>0</v>
      </c>
      <c r="BA77" s="235">
        <f xml:space="preserve"> DSRA!BA$174</f>
        <v>0</v>
      </c>
      <c r="BB77" s="235">
        <f xml:space="preserve"> DSRA!BB$174</f>
        <v>0</v>
      </c>
      <c r="BC77" s="235">
        <f xml:space="preserve"> DSRA!BC$174</f>
        <v>0</v>
      </c>
      <c r="BD77" s="235">
        <f xml:space="preserve"> DSRA!BD$174</f>
        <v>0</v>
      </c>
      <c r="BE77" s="235">
        <f xml:space="preserve"> DSRA!BE$174</f>
        <v>0</v>
      </c>
      <c r="BF77" s="235">
        <f xml:space="preserve"> DSRA!BF$174</f>
        <v>0</v>
      </c>
      <c r="BG77" s="235">
        <f xml:space="preserve"> DSRA!BG$174</f>
        <v>0</v>
      </c>
      <c r="BH77" s="235">
        <f xml:space="preserve"> DSRA!BH$174</f>
        <v>0</v>
      </c>
      <c r="BI77" s="235">
        <f xml:space="preserve"> DSRA!BI$174</f>
        <v>0</v>
      </c>
      <c r="BJ77" s="235">
        <f xml:space="preserve"> DSRA!BJ$174</f>
        <v>0</v>
      </c>
      <c r="BK77" s="235">
        <f xml:space="preserve"> DSRA!BK$174</f>
        <v>0</v>
      </c>
      <c r="BL77" s="235">
        <f xml:space="preserve"> DSRA!BL$174</f>
        <v>0</v>
      </c>
      <c r="BM77" s="235">
        <f xml:space="preserve"> DSRA!BM$174</f>
        <v>0</v>
      </c>
      <c r="BN77" s="235">
        <f xml:space="preserve"> DSRA!BN$174</f>
        <v>0</v>
      </c>
      <c r="BO77" s="235">
        <f xml:space="preserve"> DSRA!BO$174</f>
        <v>0</v>
      </c>
      <c r="BP77" s="235">
        <f xml:space="preserve"> DSRA!BP$174</f>
        <v>0</v>
      </c>
      <c r="BQ77" s="235">
        <f xml:space="preserve"> DSRA!BQ$174</f>
        <v>0</v>
      </c>
      <c r="BR77" s="235">
        <f xml:space="preserve"> DSRA!BR$174</f>
        <v>0</v>
      </c>
      <c r="BS77" s="235">
        <f xml:space="preserve"> DSRA!BS$174</f>
        <v>0</v>
      </c>
      <c r="BT77" s="235">
        <f xml:space="preserve"> DSRA!BT$174</f>
        <v>0</v>
      </c>
      <c r="BU77" s="235">
        <f xml:space="preserve"> DSRA!BU$174</f>
        <v>0</v>
      </c>
      <c r="BV77" s="235">
        <f xml:space="preserve"> DSRA!BV$174</f>
        <v>0</v>
      </c>
      <c r="BW77" s="235">
        <f xml:space="preserve"> DSRA!BW$174</f>
        <v>0</v>
      </c>
      <c r="BX77" s="235">
        <f xml:space="preserve"> DSRA!BX$174</f>
        <v>0</v>
      </c>
      <c r="BY77" s="235">
        <f xml:space="preserve"> DSRA!BY$174</f>
        <v>0</v>
      </c>
      <c r="BZ77" s="235">
        <f xml:space="preserve"> DSRA!BZ$174</f>
        <v>0</v>
      </c>
      <c r="CA77" s="235">
        <f xml:space="preserve"> DSRA!CA$174</f>
        <v>0</v>
      </c>
      <c r="CB77" s="235">
        <f xml:space="preserve"> DSRA!CB$174</f>
        <v>0</v>
      </c>
      <c r="CC77" s="235">
        <f xml:space="preserve"> DSRA!CC$174</f>
        <v>0</v>
      </c>
      <c r="CD77" s="235">
        <f xml:space="preserve"> DSRA!CD$174</f>
        <v>0</v>
      </c>
      <c r="CE77" s="235">
        <f xml:space="preserve"> DSRA!CE$174</f>
        <v>0</v>
      </c>
      <c r="CF77" s="235">
        <f xml:space="preserve"> DSRA!CF$174</f>
        <v>0</v>
      </c>
      <c r="CG77" s="235">
        <f xml:space="preserve"> DSRA!CG$174</f>
        <v>0</v>
      </c>
      <c r="CH77" s="235">
        <f xml:space="preserve"> DSRA!CH$174</f>
        <v>0</v>
      </c>
      <c r="CI77" s="235">
        <f xml:space="preserve"> DSRA!CI$174</f>
        <v>0</v>
      </c>
      <c r="CJ77" s="235">
        <f xml:space="preserve"> DSRA!CJ$174</f>
        <v>0</v>
      </c>
      <c r="CK77" s="235">
        <f xml:space="preserve"> DSRA!CK$174</f>
        <v>0</v>
      </c>
      <c r="CL77" s="235">
        <f xml:space="preserve"> DSRA!CL$174</f>
        <v>0</v>
      </c>
      <c r="CM77" s="235">
        <f xml:space="preserve"> DSRA!CM$174</f>
        <v>0</v>
      </c>
      <c r="CN77" s="235">
        <f xml:space="preserve"> DSRA!CN$174</f>
        <v>0</v>
      </c>
      <c r="CO77" s="235">
        <f xml:space="preserve"> DSRA!CO$174</f>
        <v>0</v>
      </c>
      <c r="CP77" s="235">
        <f xml:space="preserve"> DSRA!CP$174</f>
        <v>0</v>
      </c>
      <c r="CQ77" s="235">
        <f xml:space="preserve"> DSRA!CQ$174</f>
        <v>0</v>
      </c>
      <c r="CR77" s="235">
        <f xml:space="preserve"> DSRA!CR$174</f>
        <v>0</v>
      </c>
      <c r="CS77" s="235">
        <f xml:space="preserve"> DSRA!CS$174</f>
        <v>0</v>
      </c>
      <c r="CT77" s="235">
        <f xml:space="preserve"> DSRA!CT$174</f>
        <v>0</v>
      </c>
      <c r="CU77" s="235">
        <f xml:space="preserve"> DSRA!CU$174</f>
        <v>0</v>
      </c>
      <c r="CV77" s="235">
        <f xml:space="preserve"> DSRA!CV$174</f>
        <v>0</v>
      </c>
    </row>
    <row r="78" spans="1:100" s="191" customFormat="1" outlineLevel="1" x14ac:dyDescent="0.2">
      <c r="A78" s="205"/>
      <c r="B78" s="205"/>
      <c r="C78" s="206"/>
      <c r="D78" s="209"/>
      <c r="E78" s="232" t="s">
        <v>851</v>
      </c>
      <c r="F78" s="232"/>
      <c r="G78" s="232" t="str">
        <f>SMU</f>
        <v>$ 000s</v>
      </c>
      <c r="H78" s="232">
        <f ca="1" xml:space="preserve"> SUM(J78:CV78)</f>
        <v>91405.13071374697</v>
      </c>
      <c r="I78" s="232"/>
      <c r="J78" s="232">
        <f t="shared" ref="J78:AO78" ca="1" si="24" xml:space="preserve"> J73 + SUM(J75:J77)</f>
        <v>-1.5558398445136845E-6</v>
      </c>
      <c r="K78" s="232">
        <f t="shared" ca="1" si="24"/>
        <v>-1.2466658517951146E-5</v>
      </c>
      <c r="L78" s="232">
        <f t="shared" ca="1" si="24"/>
        <v>-1.6754362150095403E-5</v>
      </c>
      <c r="M78" s="232">
        <f t="shared" ca="1" si="24"/>
        <v>-1.9422688637860119E-5</v>
      </c>
      <c r="N78" s="232">
        <f t="shared" ca="1" si="24"/>
        <v>-3.9676149608567357E-3</v>
      </c>
      <c r="O78" s="232">
        <f t="shared" ca="1" si="24"/>
        <v>1333.7016383710761</v>
      </c>
      <c r="P78" s="232">
        <f t="shared" ca="1" si="24"/>
        <v>853.13042279723049</v>
      </c>
      <c r="Q78" s="232">
        <f t="shared" ca="1" si="24"/>
        <v>790.19410909212456</v>
      </c>
      <c r="R78" s="232">
        <f t="shared" ca="1" si="24"/>
        <v>825.35829217683931</v>
      </c>
      <c r="S78" s="232">
        <f t="shared" ca="1" si="24"/>
        <v>762.30788647574263</v>
      </c>
      <c r="T78" s="232">
        <f t="shared" ca="1" si="24"/>
        <v>789.60079009818401</v>
      </c>
      <c r="U78" s="232">
        <f t="shared" ca="1" si="24"/>
        <v>741.46757468341821</v>
      </c>
      <c r="V78" s="232">
        <f t="shared" ca="1" si="24"/>
        <v>760.88419370646443</v>
      </c>
      <c r="W78" s="232">
        <f t="shared" ca="1" si="24"/>
        <v>696.66326879112785</v>
      </c>
      <c r="X78" s="232">
        <f t="shared" ca="1" si="24"/>
        <v>739.19875869376119</v>
      </c>
      <c r="Y78" s="232">
        <f t="shared" ca="1" si="24"/>
        <v>675.77845086423076</v>
      </c>
      <c r="Z78" s="232">
        <f t="shared" ca="1" si="24"/>
        <v>709.49871970328786</v>
      </c>
      <c r="AA78" s="232">
        <f t="shared" ca="1" si="24"/>
        <v>645.94561214004716</v>
      </c>
      <c r="AB78" s="232">
        <f t="shared" ca="1" si="24"/>
        <v>672.02018991900695</v>
      </c>
      <c r="AC78" s="232">
        <f t="shared" ca="1" si="24"/>
        <v>622.87271215417604</v>
      </c>
      <c r="AD78" s="232">
        <f t="shared" ca="1" si="24"/>
        <v>641.29616078062463</v>
      </c>
      <c r="AE78" s="232">
        <f t="shared" ca="1" si="24"/>
        <v>576.69901543492961</v>
      </c>
      <c r="AF78" s="232">
        <f t="shared" ca="1" si="24"/>
        <v>617.31608587360824</v>
      </c>
      <c r="AG78" s="232">
        <f t="shared" ca="1" si="24"/>
        <v>553.33479011720556</v>
      </c>
      <c r="AH78" s="232">
        <f t="shared" ca="1" si="24"/>
        <v>585.52587165296791</v>
      </c>
      <c r="AI78" s="232">
        <f t="shared" ca="1" si="24"/>
        <v>521.39160383262424</v>
      </c>
      <c r="AJ78" s="232">
        <f t="shared" ca="1" si="24"/>
        <v>546.17434291308746</v>
      </c>
      <c r="AK78" s="232">
        <f t="shared" ca="1" si="24"/>
        <v>495.90556629246748</v>
      </c>
      <c r="AL78" s="232">
        <f t="shared" ca="1" si="24"/>
        <v>513.27405606138927</v>
      </c>
      <c r="AM78" s="232">
        <f t="shared" ca="1" si="24"/>
        <v>448.23093724782666</v>
      </c>
      <c r="AN78" s="232">
        <f t="shared" ca="1" si="24"/>
        <v>486.81359094925028</v>
      </c>
      <c r="AO78" s="232">
        <f t="shared" ca="1" si="24"/>
        <v>422.18829518086204</v>
      </c>
      <c r="AP78" s="232">
        <f t="shared" ref="AP78:BU78" ca="1" si="25" xml:space="preserve"> AP73 + SUM(AP75:AP77)</f>
        <v>452.75755789060349</v>
      </c>
      <c r="AQ78" s="232">
        <f t="shared" ca="1" si="25"/>
        <v>387.95679973809092</v>
      </c>
      <c r="AR78" s="232">
        <f t="shared" ca="1" si="25"/>
        <v>411.3676207642111</v>
      </c>
      <c r="AS78" s="232">
        <f t="shared" ca="1" si="25"/>
        <v>359.8606458766335</v>
      </c>
      <c r="AT78" s="232">
        <f t="shared" ca="1" si="25"/>
        <v>376.10535407469251</v>
      </c>
      <c r="AU78" s="232">
        <f t="shared" ca="1" si="25"/>
        <v>5170.462221888959</v>
      </c>
      <c r="AV78" s="232">
        <f t="shared" ca="1" si="25"/>
        <v>5154.6259489705117</v>
      </c>
      <c r="AW78" s="232">
        <f t="shared" ca="1" si="25"/>
        <v>9947.8757418349815</v>
      </c>
      <c r="AX78" s="232">
        <f t="shared" ca="1" si="25"/>
        <v>9872.4529188595952</v>
      </c>
      <c r="AY78" s="232">
        <f t="shared" ca="1" si="25"/>
        <v>9803.2474683903492</v>
      </c>
      <c r="AZ78" s="232">
        <f t="shared" ca="1" si="25"/>
        <v>9727.8684938216247</v>
      </c>
      <c r="BA78" s="232">
        <f t="shared" ca="1" si="25"/>
        <v>9656.395179685629</v>
      </c>
      <c r="BB78" s="232">
        <f t="shared" ca="1" si="25"/>
        <v>12057.385843762037</v>
      </c>
      <c r="BC78" s="232">
        <f t="shared" ca="1" si="25"/>
        <v>0</v>
      </c>
      <c r="BD78" s="232">
        <f t="shared" ca="1" si="25"/>
        <v>0</v>
      </c>
      <c r="BE78" s="232">
        <f t="shared" ca="1" si="25"/>
        <v>0</v>
      </c>
      <c r="BF78" s="232">
        <f t="shared" ca="1" si="25"/>
        <v>0</v>
      </c>
      <c r="BG78" s="232">
        <f t="shared" ca="1" si="25"/>
        <v>0</v>
      </c>
      <c r="BH78" s="232">
        <f t="shared" ca="1" si="25"/>
        <v>0</v>
      </c>
      <c r="BI78" s="232">
        <f t="shared" ca="1" si="25"/>
        <v>0</v>
      </c>
      <c r="BJ78" s="232">
        <f t="shared" ca="1" si="25"/>
        <v>0</v>
      </c>
      <c r="BK78" s="232">
        <f t="shared" ca="1" si="25"/>
        <v>0</v>
      </c>
      <c r="BL78" s="232">
        <f t="shared" ca="1" si="25"/>
        <v>0</v>
      </c>
      <c r="BM78" s="232">
        <f t="shared" ca="1" si="25"/>
        <v>0</v>
      </c>
      <c r="BN78" s="232">
        <f t="shared" ca="1" si="25"/>
        <v>0</v>
      </c>
      <c r="BO78" s="232">
        <f t="shared" ca="1" si="25"/>
        <v>0</v>
      </c>
      <c r="BP78" s="232">
        <f t="shared" ca="1" si="25"/>
        <v>0</v>
      </c>
      <c r="BQ78" s="232">
        <f t="shared" ca="1" si="25"/>
        <v>0</v>
      </c>
      <c r="BR78" s="232">
        <f t="shared" ca="1" si="25"/>
        <v>0</v>
      </c>
      <c r="BS78" s="232">
        <f t="shared" ca="1" si="25"/>
        <v>0</v>
      </c>
      <c r="BT78" s="232">
        <f t="shared" ca="1" si="25"/>
        <v>0</v>
      </c>
      <c r="BU78" s="232">
        <f t="shared" ca="1" si="25"/>
        <v>0</v>
      </c>
      <c r="BV78" s="232">
        <f t="shared" ref="BV78:CV78" ca="1" si="26" xml:space="preserve"> BV73 + SUM(BV75:BV77)</f>
        <v>0</v>
      </c>
      <c r="BW78" s="232">
        <f t="shared" ca="1" si="26"/>
        <v>0</v>
      </c>
      <c r="BX78" s="232">
        <f t="shared" ca="1" si="26"/>
        <v>0</v>
      </c>
      <c r="BY78" s="232">
        <f t="shared" ca="1" si="26"/>
        <v>0</v>
      </c>
      <c r="BZ78" s="232">
        <f t="shared" ca="1" si="26"/>
        <v>0</v>
      </c>
      <c r="CA78" s="232">
        <f t="shared" ca="1" si="26"/>
        <v>0</v>
      </c>
      <c r="CB78" s="232">
        <f t="shared" ca="1" si="26"/>
        <v>0</v>
      </c>
      <c r="CC78" s="232">
        <f t="shared" ca="1" si="26"/>
        <v>0</v>
      </c>
      <c r="CD78" s="232">
        <f t="shared" ca="1" si="26"/>
        <v>0</v>
      </c>
      <c r="CE78" s="232">
        <f t="shared" ca="1" si="26"/>
        <v>0</v>
      </c>
      <c r="CF78" s="232">
        <f t="shared" ca="1" si="26"/>
        <v>0</v>
      </c>
      <c r="CG78" s="232">
        <f t="shared" ca="1" si="26"/>
        <v>0</v>
      </c>
      <c r="CH78" s="232">
        <f t="shared" ca="1" si="26"/>
        <v>0</v>
      </c>
      <c r="CI78" s="232">
        <f t="shared" ca="1" si="26"/>
        <v>0</v>
      </c>
      <c r="CJ78" s="232">
        <f t="shared" ca="1" si="26"/>
        <v>0</v>
      </c>
      <c r="CK78" s="232">
        <f t="shared" ca="1" si="26"/>
        <v>0</v>
      </c>
      <c r="CL78" s="232">
        <f t="shared" ca="1" si="26"/>
        <v>0</v>
      </c>
      <c r="CM78" s="232">
        <f t="shared" ca="1" si="26"/>
        <v>0</v>
      </c>
      <c r="CN78" s="232">
        <f t="shared" ca="1" si="26"/>
        <v>0</v>
      </c>
      <c r="CO78" s="232">
        <f t="shared" ca="1" si="26"/>
        <v>0</v>
      </c>
      <c r="CP78" s="232">
        <f t="shared" ca="1" si="26"/>
        <v>0</v>
      </c>
      <c r="CQ78" s="232">
        <f t="shared" ca="1" si="26"/>
        <v>0</v>
      </c>
      <c r="CR78" s="232">
        <f t="shared" ca="1" si="26"/>
        <v>0</v>
      </c>
      <c r="CS78" s="232">
        <f t="shared" ca="1" si="26"/>
        <v>0</v>
      </c>
      <c r="CT78" s="232">
        <f t="shared" ca="1" si="26"/>
        <v>0</v>
      </c>
      <c r="CU78" s="232">
        <f t="shared" ca="1" si="26"/>
        <v>0</v>
      </c>
      <c r="CV78" s="232">
        <f t="shared" ca="1" si="26"/>
        <v>0</v>
      </c>
    </row>
    <row r="79" spans="1:100" outlineLevel="1" x14ac:dyDescent="0.2">
      <c r="D79" s="209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  <c r="BG79" s="235"/>
      <c r="BH79" s="235"/>
      <c r="BI79" s="235"/>
      <c r="BJ79" s="235"/>
      <c r="BK79" s="235"/>
      <c r="BL79" s="235"/>
      <c r="BM79" s="235"/>
      <c r="BN79" s="235"/>
      <c r="BO79" s="235"/>
      <c r="BP79" s="235"/>
      <c r="BQ79" s="235"/>
      <c r="BR79" s="235"/>
      <c r="BS79" s="235"/>
      <c r="BT79" s="235"/>
      <c r="BU79" s="235"/>
      <c r="BV79" s="235"/>
      <c r="BW79" s="235"/>
      <c r="BX79" s="235"/>
      <c r="BY79" s="235"/>
      <c r="BZ79" s="235"/>
      <c r="CA79" s="235"/>
      <c r="CB79" s="235"/>
      <c r="CC79" s="235"/>
      <c r="CD79" s="235"/>
      <c r="CE79" s="235"/>
      <c r="CF79" s="235"/>
      <c r="CG79" s="235"/>
      <c r="CH79" s="235"/>
      <c r="CI79" s="235"/>
      <c r="CJ79" s="235"/>
      <c r="CK79" s="235"/>
      <c r="CL79" s="235"/>
      <c r="CM79" s="235"/>
      <c r="CN79" s="235"/>
      <c r="CO79" s="235"/>
      <c r="CP79" s="235"/>
      <c r="CQ79" s="235"/>
      <c r="CR79" s="235"/>
      <c r="CS79" s="235"/>
      <c r="CT79" s="235"/>
      <c r="CU79" s="235"/>
      <c r="CV79" s="235"/>
    </row>
    <row r="80" spans="1:100" s="331" customFormat="1" outlineLevel="1" x14ac:dyDescent="0.2">
      <c r="A80" s="752"/>
      <c r="B80" s="752"/>
      <c r="C80" s="753"/>
      <c r="D80" s="754"/>
      <c r="E80" s="722" t="str">
        <f xml:space="preserve"> Debt!E$715</f>
        <v>Equity bridge interest</v>
      </c>
      <c r="F80" s="722">
        <f xml:space="preserve"> Debt!F$715</f>
        <v>0</v>
      </c>
      <c r="G80" s="722" t="str">
        <f xml:space="preserve"> Debt!G$715</f>
        <v>$ 000s</v>
      </c>
      <c r="H80" s="722">
        <f xml:space="preserve"> Debt!H$715</f>
        <v>0</v>
      </c>
      <c r="I80" s="722">
        <f xml:space="preserve"> Debt!I$715</f>
        <v>0</v>
      </c>
      <c r="J80" s="722">
        <f xml:space="preserve"> Debt!J$715</f>
        <v>0</v>
      </c>
      <c r="K80" s="722">
        <f xml:space="preserve"> Debt!K$715</f>
        <v>0</v>
      </c>
      <c r="L80" s="722">
        <f xml:space="preserve"> Debt!L$715</f>
        <v>0</v>
      </c>
      <c r="M80" s="722">
        <f xml:space="preserve"> Debt!M$715</f>
        <v>0</v>
      </c>
      <c r="N80" s="722">
        <f xml:space="preserve"> Debt!N$715</f>
        <v>0</v>
      </c>
      <c r="O80" s="722">
        <f xml:space="preserve"> Debt!O$715</f>
        <v>0</v>
      </c>
      <c r="P80" s="722">
        <f xml:space="preserve"> Debt!P$715</f>
        <v>0</v>
      </c>
      <c r="Q80" s="722">
        <f xml:space="preserve"> Debt!Q$715</f>
        <v>0</v>
      </c>
      <c r="R80" s="722">
        <f xml:space="preserve"> Debt!R$715</f>
        <v>0</v>
      </c>
      <c r="S80" s="722">
        <f xml:space="preserve"> Debt!S$715</f>
        <v>0</v>
      </c>
      <c r="T80" s="722">
        <f xml:space="preserve"> Debt!T$715</f>
        <v>0</v>
      </c>
      <c r="U80" s="722">
        <f xml:space="preserve"> Debt!U$715</f>
        <v>0</v>
      </c>
      <c r="V80" s="722">
        <f xml:space="preserve"> Debt!V$715</f>
        <v>0</v>
      </c>
      <c r="W80" s="722">
        <f xml:space="preserve"> Debt!W$715</f>
        <v>0</v>
      </c>
      <c r="X80" s="722">
        <f xml:space="preserve"> Debt!X$715</f>
        <v>0</v>
      </c>
      <c r="Y80" s="722">
        <f xml:space="preserve"> Debt!Y$715</f>
        <v>0</v>
      </c>
      <c r="Z80" s="722">
        <f xml:space="preserve"> Debt!Z$715</f>
        <v>0</v>
      </c>
      <c r="AA80" s="722">
        <f xml:space="preserve"> Debt!AA$715</f>
        <v>0</v>
      </c>
      <c r="AB80" s="722">
        <f xml:space="preserve"> Debt!AB$715</f>
        <v>0</v>
      </c>
      <c r="AC80" s="722">
        <f xml:space="preserve"> Debt!AC$715</f>
        <v>0</v>
      </c>
      <c r="AD80" s="722">
        <f xml:space="preserve"> Debt!AD$715</f>
        <v>0</v>
      </c>
      <c r="AE80" s="722">
        <f xml:space="preserve"> Debt!AE$715</f>
        <v>0</v>
      </c>
      <c r="AF80" s="722">
        <f xml:space="preserve"> Debt!AF$715</f>
        <v>0</v>
      </c>
      <c r="AG80" s="722">
        <f xml:space="preserve"> Debt!AG$715</f>
        <v>0</v>
      </c>
      <c r="AH80" s="722">
        <f xml:space="preserve"> Debt!AH$715</f>
        <v>0</v>
      </c>
      <c r="AI80" s="722">
        <f xml:space="preserve"> Debt!AI$715</f>
        <v>0</v>
      </c>
      <c r="AJ80" s="722">
        <f xml:space="preserve"> Debt!AJ$715</f>
        <v>0</v>
      </c>
      <c r="AK80" s="722">
        <f xml:space="preserve"> Debt!AK$715</f>
        <v>0</v>
      </c>
      <c r="AL80" s="722">
        <f xml:space="preserve"> Debt!AL$715</f>
        <v>0</v>
      </c>
      <c r="AM80" s="722">
        <f xml:space="preserve"> Debt!AM$715</f>
        <v>0</v>
      </c>
      <c r="AN80" s="722">
        <f xml:space="preserve"> Debt!AN$715</f>
        <v>0</v>
      </c>
      <c r="AO80" s="722">
        <f xml:space="preserve"> Debt!AO$715</f>
        <v>0</v>
      </c>
      <c r="AP80" s="722">
        <f xml:space="preserve"> Debt!AP$715</f>
        <v>0</v>
      </c>
      <c r="AQ80" s="722">
        <f xml:space="preserve"> Debt!AQ$715</f>
        <v>0</v>
      </c>
      <c r="AR80" s="722">
        <f xml:space="preserve"> Debt!AR$715</f>
        <v>0</v>
      </c>
      <c r="AS80" s="722">
        <f xml:space="preserve"> Debt!AS$715</f>
        <v>0</v>
      </c>
      <c r="AT80" s="722">
        <f xml:space="preserve"> Debt!AT$715</f>
        <v>0</v>
      </c>
      <c r="AU80" s="722">
        <f xml:space="preserve"> Debt!AU$715</f>
        <v>0</v>
      </c>
      <c r="AV80" s="722">
        <f xml:space="preserve"> Debt!AV$715</f>
        <v>0</v>
      </c>
      <c r="AW80" s="722">
        <f xml:space="preserve"> Debt!AW$715</f>
        <v>0</v>
      </c>
      <c r="AX80" s="722">
        <f xml:space="preserve"> Debt!AX$715</f>
        <v>0</v>
      </c>
      <c r="AY80" s="722">
        <f xml:space="preserve"> Debt!AY$715</f>
        <v>0</v>
      </c>
      <c r="AZ80" s="722">
        <f xml:space="preserve"> Debt!AZ$715</f>
        <v>0</v>
      </c>
      <c r="BA80" s="722">
        <f xml:space="preserve"> Debt!BA$715</f>
        <v>0</v>
      </c>
      <c r="BB80" s="722">
        <f xml:space="preserve"> Debt!BB$715</f>
        <v>0</v>
      </c>
      <c r="BC80" s="722">
        <f xml:space="preserve"> Debt!BC$715</f>
        <v>0</v>
      </c>
      <c r="BD80" s="722">
        <f xml:space="preserve"> Debt!BD$715</f>
        <v>0</v>
      </c>
      <c r="BE80" s="722">
        <f xml:space="preserve"> Debt!BE$715</f>
        <v>0</v>
      </c>
      <c r="BF80" s="722">
        <f xml:space="preserve"> Debt!BF$715</f>
        <v>0</v>
      </c>
      <c r="BG80" s="722">
        <f xml:space="preserve"> Debt!BG$715</f>
        <v>0</v>
      </c>
      <c r="BH80" s="722">
        <f xml:space="preserve"> Debt!BH$715</f>
        <v>0</v>
      </c>
      <c r="BI80" s="722">
        <f xml:space="preserve"> Debt!BI$715</f>
        <v>0</v>
      </c>
      <c r="BJ80" s="722">
        <f xml:space="preserve"> Debt!BJ$715</f>
        <v>0</v>
      </c>
      <c r="BK80" s="722">
        <f xml:space="preserve"> Debt!BK$715</f>
        <v>0</v>
      </c>
      <c r="BL80" s="722">
        <f xml:space="preserve"> Debt!BL$715</f>
        <v>0</v>
      </c>
      <c r="BM80" s="722">
        <f xml:space="preserve"> Debt!BM$715</f>
        <v>0</v>
      </c>
      <c r="BN80" s="722">
        <f xml:space="preserve"> Debt!BN$715</f>
        <v>0</v>
      </c>
      <c r="BO80" s="722">
        <f xml:space="preserve"> Debt!BO$715</f>
        <v>0</v>
      </c>
      <c r="BP80" s="722">
        <f xml:space="preserve"> Debt!BP$715</f>
        <v>0</v>
      </c>
      <c r="BQ80" s="722">
        <f xml:space="preserve"> Debt!BQ$715</f>
        <v>0</v>
      </c>
      <c r="BR80" s="722">
        <f xml:space="preserve"> Debt!BR$715</f>
        <v>0</v>
      </c>
      <c r="BS80" s="722">
        <f xml:space="preserve"> Debt!BS$715</f>
        <v>0</v>
      </c>
      <c r="BT80" s="722">
        <f xml:space="preserve"> Debt!BT$715</f>
        <v>0</v>
      </c>
      <c r="BU80" s="722">
        <f xml:space="preserve"> Debt!BU$715</f>
        <v>0</v>
      </c>
      <c r="BV80" s="722">
        <f xml:space="preserve"> Debt!BV$715</f>
        <v>0</v>
      </c>
      <c r="BW80" s="722">
        <f xml:space="preserve"> Debt!BW$715</f>
        <v>0</v>
      </c>
      <c r="BX80" s="722">
        <f xml:space="preserve"> Debt!BX$715</f>
        <v>0</v>
      </c>
      <c r="BY80" s="722">
        <f xml:space="preserve"> Debt!BY$715</f>
        <v>0</v>
      </c>
      <c r="BZ80" s="722">
        <f xml:space="preserve"> Debt!BZ$715</f>
        <v>0</v>
      </c>
      <c r="CA80" s="722">
        <f xml:space="preserve"> Debt!CA$715</f>
        <v>0</v>
      </c>
      <c r="CB80" s="722">
        <f xml:space="preserve"> Debt!CB$715</f>
        <v>0</v>
      </c>
      <c r="CC80" s="722">
        <f xml:space="preserve"> Debt!CC$715</f>
        <v>0</v>
      </c>
      <c r="CD80" s="722">
        <f xml:space="preserve"> Debt!CD$715</f>
        <v>0</v>
      </c>
      <c r="CE80" s="722">
        <f xml:space="preserve"> Debt!CE$715</f>
        <v>0</v>
      </c>
      <c r="CF80" s="722">
        <f xml:space="preserve"> Debt!CF$715</f>
        <v>0</v>
      </c>
      <c r="CG80" s="722">
        <f xml:space="preserve"> Debt!CG$715</f>
        <v>0</v>
      </c>
      <c r="CH80" s="722">
        <f xml:space="preserve"> Debt!CH$715</f>
        <v>0</v>
      </c>
      <c r="CI80" s="722">
        <f xml:space="preserve"> Debt!CI$715</f>
        <v>0</v>
      </c>
      <c r="CJ80" s="722">
        <f xml:space="preserve"> Debt!CJ$715</f>
        <v>0</v>
      </c>
      <c r="CK80" s="722">
        <f xml:space="preserve"> Debt!CK$715</f>
        <v>0</v>
      </c>
      <c r="CL80" s="722">
        <f xml:space="preserve"> Debt!CL$715</f>
        <v>0</v>
      </c>
      <c r="CM80" s="722">
        <f xml:space="preserve"> Debt!CM$715</f>
        <v>0</v>
      </c>
      <c r="CN80" s="722">
        <f xml:space="preserve"> Debt!CN$715</f>
        <v>0</v>
      </c>
      <c r="CO80" s="722">
        <f xml:space="preserve"> Debt!CO$715</f>
        <v>0</v>
      </c>
      <c r="CP80" s="722">
        <f xml:space="preserve"> Debt!CP$715</f>
        <v>0</v>
      </c>
      <c r="CQ80" s="722">
        <f xml:space="preserve"> Debt!CQ$715</f>
        <v>0</v>
      </c>
      <c r="CR80" s="722">
        <f xml:space="preserve"> Debt!CR$715</f>
        <v>0</v>
      </c>
      <c r="CS80" s="722">
        <f xml:space="preserve"> Debt!CS$715</f>
        <v>0</v>
      </c>
      <c r="CT80" s="722">
        <f xml:space="preserve"> Debt!CT$715</f>
        <v>0</v>
      </c>
      <c r="CU80" s="722">
        <f xml:space="preserve"> Debt!CU$715</f>
        <v>0</v>
      </c>
      <c r="CV80" s="722">
        <f xml:space="preserve"> Debt!CV$715</f>
        <v>0</v>
      </c>
    </row>
    <row r="81" spans="1:100" s="732" customFormat="1" outlineLevel="1" x14ac:dyDescent="0.2">
      <c r="A81" s="752"/>
      <c r="B81" s="752"/>
      <c r="C81" s="753"/>
      <c r="D81" s="754"/>
      <c r="E81" s="817" t="s">
        <v>1155</v>
      </c>
      <c r="F81" s="817"/>
      <c r="G81" s="817" t="str">
        <f xml:space="preserve"> SMU</f>
        <v>$ 000s</v>
      </c>
      <c r="H81" s="817">
        <f ca="1" xml:space="preserve"> SUM(J81:CV81)</f>
        <v>91405.13071374697</v>
      </c>
      <c r="I81" s="817"/>
      <c r="J81" s="817">
        <f t="shared" ref="J81:AO81" ca="1" si="27" xml:space="preserve"> J78 + SUM(J80:J80)</f>
        <v>-1.5558398445136845E-6</v>
      </c>
      <c r="K81" s="817">
        <f t="shared" ca="1" si="27"/>
        <v>-1.2466658517951146E-5</v>
      </c>
      <c r="L81" s="817">
        <f t="shared" ca="1" si="27"/>
        <v>-1.6754362150095403E-5</v>
      </c>
      <c r="M81" s="817">
        <f t="shared" ca="1" si="27"/>
        <v>-1.9422688637860119E-5</v>
      </c>
      <c r="N81" s="817">
        <f t="shared" ca="1" si="27"/>
        <v>-3.9676149608567357E-3</v>
      </c>
      <c r="O81" s="817">
        <f t="shared" ca="1" si="27"/>
        <v>1333.7016383710761</v>
      </c>
      <c r="P81" s="817">
        <f t="shared" ca="1" si="27"/>
        <v>853.13042279723049</v>
      </c>
      <c r="Q81" s="817">
        <f t="shared" ca="1" si="27"/>
        <v>790.19410909212456</v>
      </c>
      <c r="R81" s="817">
        <f t="shared" ca="1" si="27"/>
        <v>825.35829217683931</v>
      </c>
      <c r="S81" s="817">
        <f t="shared" ca="1" si="27"/>
        <v>762.30788647574263</v>
      </c>
      <c r="T81" s="817">
        <f t="shared" ca="1" si="27"/>
        <v>789.60079009818401</v>
      </c>
      <c r="U81" s="817">
        <f t="shared" ca="1" si="27"/>
        <v>741.46757468341821</v>
      </c>
      <c r="V81" s="817">
        <f t="shared" ca="1" si="27"/>
        <v>760.88419370646443</v>
      </c>
      <c r="W81" s="817">
        <f t="shared" ca="1" si="27"/>
        <v>696.66326879112785</v>
      </c>
      <c r="X81" s="817">
        <f t="shared" ca="1" si="27"/>
        <v>739.19875869376119</v>
      </c>
      <c r="Y81" s="817">
        <f t="shared" ca="1" si="27"/>
        <v>675.77845086423076</v>
      </c>
      <c r="Z81" s="817">
        <f t="shared" ca="1" si="27"/>
        <v>709.49871970328786</v>
      </c>
      <c r="AA81" s="817">
        <f t="shared" ca="1" si="27"/>
        <v>645.94561214004716</v>
      </c>
      <c r="AB81" s="817">
        <f t="shared" ca="1" si="27"/>
        <v>672.02018991900695</v>
      </c>
      <c r="AC81" s="817">
        <f t="shared" ca="1" si="27"/>
        <v>622.87271215417604</v>
      </c>
      <c r="AD81" s="817">
        <f t="shared" ca="1" si="27"/>
        <v>641.29616078062463</v>
      </c>
      <c r="AE81" s="817">
        <f t="shared" ca="1" si="27"/>
        <v>576.69901543492961</v>
      </c>
      <c r="AF81" s="817">
        <f t="shared" ca="1" si="27"/>
        <v>617.31608587360824</v>
      </c>
      <c r="AG81" s="817">
        <f t="shared" ca="1" si="27"/>
        <v>553.33479011720556</v>
      </c>
      <c r="AH81" s="817">
        <f t="shared" ca="1" si="27"/>
        <v>585.52587165296791</v>
      </c>
      <c r="AI81" s="817">
        <f t="shared" ca="1" si="27"/>
        <v>521.39160383262424</v>
      </c>
      <c r="AJ81" s="817">
        <f t="shared" ca="1" si="27"/>
        <v>546.17434291308746</v>
      </c>
      <c r="AK81" s="817">
        <f t="shared" ca="1" si="27"/>
        <v>495.90556629246748</v>
      </c>
      <c r="AL81" s="817">
        <f t="shared" ca="1" si="27"/>
        <v>513.27405606138927</v>
      </c>
      <c r="AM81" s="817">
        <f t="shared" ca="1" si="27"/>
        <v>448.23093724782666</v>
      </c>
      <c r="AN81" s="817">
        <f t="shared" ca="1" si="27"/>
        <v>486.81359094925028</v>
      </c>
      <c r="AO81" s="817">
        <f t="shared" ca="1" si="27"/>
        <v>422.18829518086204</v>
      </c>
      <c r="AP81" s="817">
        <f t="shared" ref="AP81:BU81" ca="1" si="28" xml:space="preserve"> AP78 + SUM(AP80:AP80)</f>
        <v>452.75755789060349</v>
      </c>
      <c r="AQ81" s="817">
        <f t="shared" ca="1" si="28"/>
        <v>387.95679973809092</v>
      </c>
      <c r="AR81" s="817">
        <f t="shared" ca="1" si="28"/>
        <v>411.3676207642111</v>
      </c>
      <c r="AS81" s="817">
        <f t="shared" ca="1" si="28"/>
        <v>359.8606458766335</v>
      </c>
      <c r="AT81" s="817">
        <f t="shared" ca="1" si="28"/>
        <v>376.10535407469251</v>
      </c>
      <c r="AU81" s="817">
        <f t="shared" ca="1" si="28"/>
        <v>5170.462221888959</v>
      </c>
      <c r="AV81" s="817">
        <f t="shared" ca="1" si="28"/>
        <v>5154.6259489705117</v>
      </c>
      <c r="AW81" s="817">
        <f t="shared" ca="1" si="28"/>
        <v>9947.8757418349815</v>
      </c>
      <c r="AX81" s="817">
        <f t="shared" ca="1" si="28"/>
        <v>9872.4529188595952</v>
      </c>
      <c r="AY81" s="817">
        <f t="shared" ca="1" si="28"/>
        <v>9803.2474683903492</v>
      </c>
      <c r="AZ81" s="817">
        <f t="shared" ca="1" si="28"/>
        <v>9727.8684938216247</v>
      </c>
      <c r="BA81" s="817">
        <f t="shared" ca="1" si="28"/>
        <v>9656.395179685629</v>
      </c>
      <c r="BB81" s="817">
        <f t="shared" ca="1" si="28"/>
        <v>12057.385843762037</v>
      </c>
      <c r="BC81" s="817">
        <f t="shared" ca="1" si="28"/>
        <v>0</v>
      </c>
      <c r="BD81" s="817">
        <f t="shared" ca="1" si="28"/>
        <v>0</v>
      </c>
      <c r="BE81" s="817">
        <f t="shared" ca="1" si="28"/>
        <v>0</v>
      </c>
      <c r="BF81" s="817">
        <f t="shared" ca="1" si="28"/>
        <v>0</v>
      </c>
      <c r="BG81" s="817">
        <f t="shared" ca="1" si="28"/>
        <v>0</v>
      </c>
      <c r="BH81" s="817">
        <f t="shared" ca="1" si="28"/>
        <v>0</v>
      </c>
      <c r="BI81" s="817">
        <f t="shared" ca="1" si="28"/>
        <v>0</v>
      </c>
      <c r="BJ81" s="817">
        <f t="shared" ca="1" si="28"/>
        <v>0</v>
      </c>
      <c r="BK81" s="817">
        <f t="shared" ca="1" si="28"/>
        <v>0</v>
      </c>
      <c r="BL81" s="817">
        <f t="shared" ca="1" si="28"/>
        <v>0</v>
      </c>
      <c r="BM81" s="817">
        <f t="shared" ca="1" si="28"/>
        <v>0</v>
      </c>
      <c r="BN81" s="817">
        <f t="shared" ca="1" si="28"/>
        <v>0</v>
      </c>
      <c r="BO81" s="817">
        <f t="shared" ca="1" si="28"/>
        <v>0</v>
      </c>
      <c r="BP81" s="817">
        <f t="shared" ca="1" si="28"/>
        <v>0</v>
      </c>
      <c r="BQ81" s="817">
        <f t="shared" ca="1" si="28"/>
        <v>0</v>
      </c>
      <c r="BR81" s="817">
        <f t="shared" ca="1" si="28"/>
        <v>0</v>
      </c>
      <c r="BS81" s="817">
        <f t="shared" ca="1" si="28"/>
        <v>0</v>
      </c>
      <c r="BT81" s="817">
        <f t="shared" ca="1" si="28"/>
        <v>0</v>
      </c>
      <c r="BU81" s="817">
        <f t="shared" ca="1" si="28"/>
        <v>0</v>
      </c>
      <c r="BV81" s="817">
        <f t="shared" ref="BV81:CV81" ca="1" si="29" xml:space="preserve"> BV78 + SUM(BV80:BV80)</f>
        <v>0</v>
      </c>
      <c r="BW81" s="817">
        <f t="shared" ca="1" si="29"/>
        <v>0</v>
      </c>
      <c r="BX81" s="817">
        <f t="shared" ca="1" si="29"/>
        <v>0</v>
      </c>
      <c r="BY81" s="817">
        <f t="shared" ca="1" si="29"/>
        <v>0</v>
      </c>
      <c r="BZ81" s="817">
        <f t="shared" ca="1" si="29"/>
        <v>0</v>
      </c>
      <c r="CA81" s="817">
        <f t="shared" ca="1" si="29"/>
        <v>0</v>
      </c>
      <c r="CB81" s="817">
        <f t="shared" ca="1" si="29"/>
        <v>0</v>
      </c>
      <c r="CC81" s="817">
        <f t="shared" ca="1" si="29"/>
        <v>0</v>
      </c>
      <c r="CD81" s="817">
        <f t="shared" ca="1" si="29"/>
        <v>0</v>
      </c>
      <c r="CE81" s="817">
        <f t="shared" ca="1" si="29"/>
        <v>0</v>
      </c>
      <c r="CF81" s="817">
        <f t="shared" ca="1" si="29"/>
        <v>0</v>
      </c>
      <c r="CG81" s="817">
        <f t="shared" ca="1" si="29"/>
        <v>0</v>
      </c>
      <c r="CH81" s="817">
        <f t="shared" ca="1" si="29"/>
        <v>0</v>
      </c>
      <c r="CI81" s="817">
        <f t="shared" ca="1" si="29"/>
        <v>0</v>
      </c>
      <c r="CJ81" s="817">
        <f t="shared" ca="1" si="29"/>
        <v>0</v>
      </c>
      <c r="CK81" s="817">
        <f t="shared" ca="1" si="29"/>
        <v>0</v>
      </c>
      <c r="CL81" s="817">
        <f t="shared" ca="1" si="29"/>
        <v>0</v>
      </c>
      <c r="CM81" s="817">
        <f t="shared" ca="1" si="29"/>
        <v>0</v>
      </c>
      <c r="CN81" s="817">
        <f t="shared" ca="1" si="29"/>
        <v>0</v>
      </c>
      <c r="CO81" s="817">
        <f t="shared" ca="1" si="29"/>
        <v>0</v>
      </c>
      <c r="CP81" s="817">
        <f t="shared" ca="1" si="29"/>
        <v>0</v>
      </c>
      <c r="CQ81" s="817">
        <f t="shared" ca="1" si="29"/>
        <v>0</v>
      </c>
      <c r="CR81" s="817">
        <f t="shared" ca="1" si="29"/>
        <v>0</v>
      </c>
      <c r="CS81" s="817">
        <f t="shared" ca="1" si="29"/>
        <v>0</v>
      </c>
      <c r="CT81" s="817">
        <f t="shared" ca="1" si="29"/>
        <v>0</v>
      </c>
      <c r="CU81" s="817">
        <f t="shared" ca="1" si="29"/>
        <v>0</v>
      </c>
      <c r="CV81" s="817">
        <f t="shared" ca="1" si="29"/>
        <v>0</v>
      </c>
    </row>
    <row r="82" spans="1:100" outlineLevel="1" x14ac:dyDescent="0.2">
      <c r="D82" s="209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s="192" customFormat="1" outlineLevel="1" x14ac:dyDescent="0.2">
      <c r="A83" s="205"/>
      <c r="B83" s="205"/>
      <c r="C83" s="206"/>
      <c r="D83" s="209"/>
      <c r="E83" s="235" t="str">
        <f xml:space="preserve"> Debt!E$509</f>
        <v>Shareholder loan interest paid - P99</v>
      </c>
      <c r="F83" s="235">
        <f xml:space="preserve"> Debt!F$509</f>
        <v>0</v>
      </c>
      <c r="G83" s="235" t="str">
        <f xml:space="preserve"> Debt!G$509</f>
        <v>$ 000s</v>
      </c>
      <c r="H83" s="235">
        <f ca="1" xml:space="preserve"> Debt!H$509</f>
        <v>-91405.13071374697</v>
      </c>
      <c r="I83" s="235">
        <f xml:space="preserve"> Debt!I$509</f>
        <v>0</v>
      </c>
      <c r="J83" s="235">
        <f ca="1" xml:space="preserve"> Debt!J$509</f>
        <v>0</v>
      </c>
      <c r="K83" s="235">
        <f ca="1" xml:space="preserve"> Debt!K$509</f>
        <v>0</v>
      </c>
      <c r="L83" s="235">
        <f ca="1" xml:space="preserve"> Debt!L$509</f>
        <v>0</v>
      </c>
      <c r="M83" s="235">
        <f ca="1" xml:space="preserve"> Debt!M$509</f>
        <v>0</v>
      </c>
      <c r="N83" s="235">
        <f ca="1" xml:space="preserve"> Debt!N$509</f>
        <v>0</v>
      </c>
      <c r="O83" s="235">
        <f ca="1" xml:space="preserve"> Debt!O$509</f>
        <v>-1333.6976205565661</v>
      </c>
      <c r="P83" s="235">
        <f ca="1" xml:space="preserve"> Debt!P$509</f>
        <v>-853.13042279723049</v>
      </c>
      <c r="Q83" s="235">
        <f ca="1" xml:space="preserve"> Debt!Q$509</f>
        <v>-790.19410909212456</v>
      </c>
      <c r="R83" s="235">
        <f ca="1" xml:space="preserve"> Debt!R$509</f>
        <v>-825.35829217683931</v>
      </c>
      <c r="S83" s="235">
        <f ca="1" xml:space="preserve"> Debt!S$509</f>
        <v>-762.30788647574263</v>
      </c>
      <c r="T83" s="235">
        <f ca="1" xml:space="preserve"> Debt!T$509</f>
        <v>-789.60079009818401</v>
      </c>
      <c r="U83" s="235">
        <f ca="1" xml:space="preserve"> Debt!U$509</f>
        <v>-741.46757468341821</v>
      </c>
      <c r="V83" s="235">
        <f ca="1" xml:space="preserve"> Debt!V$509</f>
        <v>-760.88419370646443</v>
      </c>
      <c r="W83" s="235">
        <f ca="1" xml:space="preserve"> Debt!W$509</f>
        <v>-696.66326879112785</v>
      </c>
      <c r="X83" s="235">
        <f ca="1" xml:space="preserve"> Debt!X$509</f>
        <v>-739.19875869376119</v>
      </c>
      <c r="Y83" s="235">
        <f ca="1" xml:space="preserve"> Debt!Y$509</f>
        <v>-675.77845086423076</v>
      </c>
      <c r="Z83" s="235">
        <f ca="1" xml:space="preserve"> Debt!Z$509</f>
        <v>-709.49871970328786</v>
      </c>
      <c r="AA83" s="235">
        <f ca="1" xml:space="preserve"> Debt!AA$509</f>
        <v>-645.94561214004716</v>
      </c>
      <c r="AB83" s="235">
        <f ca="1" xml:space="preserve"> Debt!AB$509</f>
        <v>-672.02018991900695</v>
      </c>
      <c r="AC83" s="235">
        <f ca="1" xml:space="preserve"> Debt!AC$509</f>
        <v>-622.87271215417604</v>
      </c>
      <c r="AD83" s="235">
        <f ca="1" xml:space="preserve"> Debt!AD$509</f>
        <v>-641.29616078062463</v>
      </c>
      <c r="AE83" s="235">
        <f ca="1" xml:space="preserve"> Debt!AE$509</f>
        <v>-576.69901543492961</v>
      </c>
      <c r="AF83" s="235">
        <f ca="1" xml:space="preserve"> Debt!AF$509</f>
        <v>-617.31608587360824</v>
      </c>
      <c r="AG83" s="235">
        <f ca="1" xml:space="preserve"> Debt!AG$509</f>
        <v>-553.33479011720556</v>
      </c>
      <c r="AH83" s="235">
        <f ca="1" xml:space="preserve"> Debt!AH$509</f>
        <v>-585.52587165296791</v>
      </c>
      <c r="AI83" s="235">
        <f ca="1" xml:space="preserve"> Debt!AI$509</f>
        <v>-521.39160383262424</v>
      </c>
      <c r="AJ83" s="235">
        <f ca="1" xml:space="preserve"> Debt!AJ$509</f>
        <v>-546.17434291308746</v>
      </c>
      <c r="AK83" s="235">
        <f ca="1" xml:space="preserve"> Debt!AK$509</f>
        <v>-495.90556629246748</v>
      </c>
      <c r="AL83" s="235">
        <f ca="1" xml:space="preserve"> Debt!AL$509</f>
        <v>-513.27405606138927</v>
      </c>
      <c r="AM83" s="235">
        <f ca="1" xml:space="preserve"> Debt!AM$509</f>
        <v>-448.23093724782666</v>
      </c>
      <c r="AN83" s="235">
        <f ca="1" xml:space="preserve"> Debt!AN$509</f>
        <v>-486.81359094925028</v>
      </c>
      <c r="AO83" s="235">
        <f ca="1" xml:space="preserve"> Debt!AO$509</f>
        <v>-422.18829518086204</v>
      </c>
      <c r="AP83" s="235">
        <f ca="1" xml:space="preserve"> Debt!AP$509</f>
        <v>-452.75755789060349</v>
      </c>
      <c r="AQ83" s="235">
        <f ca="1" xml:space="preserve"> Debt!AQ$509</f>
        <v>-387.95679973809092</v>
      </c>
      <c r="AR83" s="235">
        <f ca="1" xml:space="preserve"> Debt!AR$509</f>
        <v>-411.3676207642111</v>
      </c>
      <c r="AS83" s="235">
        <f ca="1" xml:space="preserve"> Debt!AS$509</f>
        <v>-359.8606458766335</v>
      </c>
      <c r="AT83" s="235">
        <f ca="1" xml:space="preserve"> Debt!AT$509</f>
        <v>-376.10535407469251</v>
      </c>
      <c r="AU83" s="235">
        <f ca="1" xml:space="preserve"> Debt!AU$509</f>
        <v>-5170.462221888959</v>
      </c>
      <c r="AV83" s="235">
        <f ca="1" xml:space="preserve"> Debt!AV$509</f>
        <v>-5154.6259489705117</v>
      </c>
      <c r="AW83" s="235">
        <f ca="1" xml:space="preserve"> Debt!AW$509</f>
        <v>-9947.8757418349815</v>
      </c>
      <c r="AX83" s="235">
        <f ca="1" xml:space="preserve"> Debt!AX$509</f>
        <v>-9872.4529188595952</v>
      </c>
      <c r="AY83" s="235">
        <f ca="1" xml:space="preserve"> Debt!AY$509</f>
        <v>-9803.2474683903492</v>
      </c>
      <c r="AZ83" s="235">
        <f ca="1" xml:space="preserve"> Debt!AZ$509</f>
        <v>-9727.8684938216247</v>
      </c>
      <c r="BA83" s="235">
        <f ca="1" xml:space="preserve"> Debt!BA$509</f>
        <v>-9656.395179685629</v>
      </c>
      <c r="BB83" s="235">
        <f ca="1" xml:space="preserve"> Debt!BB$509</f>
        <v>-12057.385843762037</v>
      </c>
      <c r="BC83" s="235">
        <f ca="1" xml:space="preserve"> Debt!BC$509</f>
        <v>0</v>
      </c>
      <c r="BD83" s="235">
        <f ca="1" xml:space="preserve"> Debt!BD$509</f>
        <v>0</v>
      </c>
      <c r="BE83" s="235">
        <f ca="1" xml:space="preserve"> Debt!BE$509</f>
        <v>0</v>
      </c>
      <c r="BF83" s="235">
        <f ca="1" xml:space="preserve"> Debt!BF$509</f>
        <v>0</v>
      </c>
      <c r="BG83" s="235">
        <f ca="1" xml:space="preserve"> Debt!BG$509</f>
        <v>0</v>
      </c>
      <c r="BH83" s="235">
        <f ca="1" xml:space="preserve"> Debt!BH$509</f>
        <v>0</v>
      </c>
      <c r="BI83" s="235">
        <f ca="1" xml:space="preserve"> Debt!BI$509</f>
        <v>0</v>
      </c>
      <c r="BJ83" s="235">
        <f ca="1" xml:space="preserve"> Debt!BJ$509</f>
        <v>0</v>
      </c>
      <c r="BK83" s="235">
        <f ca="1" xml:space="preserve"> Debt!BK$509</f>
        <v>0</v>
      </c>
      <c r="BL83" s="235">
        <f ca="1" xml:space="preserve"> Debt!BL$509</f>
        <v>0</v>
      </c>
      <c r="BM83" s="235">
        <f ca="1" xml:space="preserve"> Debt!BM$509</f>
        <v>0</v>
      </c>
      <c r="BN83" s="235">
        <f ca="1" xml:space="preserve"> Debt!BN$509</f>
        <v>0</v>
      </c>
      <c r="BO83" s="235">
        <f ca="1" xml:space="preserve"> Debt!BO$509</f>
        <v>0</v>
      </c>
      <c r="BP83" s="235">
        <f ca="1" xml:space="preserve"> Debt!BP$509</f>
        <v>0</v>
      </c>
      <c r="BQ83" s="235">
        <f ca="1" xml:space="preserve"> Debt!BQ$509</f>
        <v>0</v>
      </c>
      <c r="BR83" s="235">
        <f ca="1" xml:space="preserve"> Debt!BR$509</f>
        <v>0</v>
      </c>
      <c r="BS83" s="235">
        <f ca="1" xml:space="preserve"> Debt!BS$509</f>
        <v>0</v>
      </c>
      <c r="BT83" s="235">
        <f ca="1" xml:space="preserve"> Debt!BT$509</f>
        <v>0</v>
      </c>
      <c r="BU83" s="235">
        <f ca="1" xml:space="preserve"> Debt!BU$509</f>
        <v>0</v>
      </c>
      <c r="BV83" s="235">
        <f ca="1" xml:space="preserve"> Debt!BV$509</f>
        <v>0</v>
      </c>
      <c r="BW83" s="235">
        <f ca="1" xml:space="preserve"> Debt!BW$509</f>
        <v>0</v>
      </c>
      <c r="BX83" s="235">
        <f ca="1" xml:space="preserve"> Debt!BX$509</f>
        <v>0</v>
      </c>
      <c r="BY83" s="235">
        <f ca="1" xml:space="preserve"> Debt!BY$509</f>
        <v>0</v>
      </c>
      <c r="BZ83" s="235">
        <f ca="1" xml:space="preserve"> Debt!BZ$509</f>
        <v>0</v>
      </c>
      <c r="CA83" s="235">
        <f ca="1" xml:space="preserve"> Debt!CA$509</f>
        <v>0</v>
      </c>
      <c r="CB83" s="235">
        <f ca="1" xml:space="preserve"> Debt!CB$509</f>
        <v>0</v>
      </c>
      <c r="CC83" s="235">
        <f ca="1" xml:space="preserve"> Debt!CC$509</f>
        <v>0</v>
      </c>
      <c r="CD83" s="235">
        <f ca="1" xml:space="preserve"> Debt!CD$509</f>
        <v>0</v>
      </c>
      <c r="CE83" s="235">
        <f ca="1" xml:space="preserve"> Debt!CE$509</f>
        <v>0</v>
      </c>
      <c r="CF83" s="235">
        <f ca="1" xml:space="preserve"> Debt!CF$509</f>
        <v>0</v>
      </c>
      <c r="CG83" s="235">
        <f ca="1" xml:space="preserve"> Debt!CG$509</f>
        <v>0</v>
      </c>
      <c r="CH83" s="235">
        <f ca="1" xml:space="preserve"> Debt!CH$509</f>
        <v>0</v>
      </c>
      <c r="CI83" s="235">
        <f ca="1" xml:space="preserve"> Debt!CI$509</f>
        <v>0</v>
      </c>
      <c r="CJ83" s="235">
        <f ca="1" xml:space="preserve"> Debt!CJ$509</f>
        <v>0</v>
      </c>
      <c r="CK83" s="235">
        <f ca="1" xml:space="preserve"> Debt!CK$509</f>
        <v>0</v>
      </c>
      <c r="CL83" s="235">
        <f ca="1" xml:space="preserve"> Debt!CL$509</f>
        <v>0</v>
      </c>
      <c r="CM83" s="235">
        <f ca="1" xml:space="preserve"> Debt!CM$509</f>
        <v>0</v>
      </c>
      <c r="CN83" s="235">
        <f ca="1" xml:space="preserve"> Debt!CN$509</f>
        <v>0</v>
      </c>
      <c r="CO83" s="235">
        <f ca="1" xml:space="preserve"> Debt!CO$509</f>
        <v>0</v>
      </c>
      <c r="CP83" s="235">
        <f ca="1" xml:space="preserve"> Debt!CP$509</f>
        <v>0</v>
      </c>
      <c r="CQ83" s="235">
        <f ca="1" xml:space="preserve"> Debt!CQ$509</f>
        <v>0</v>
      </c>
      <c r="CR83" s="235">
        <f ca="1" xml:space="preserve"> Debt!CR$509</f>
        <v>0</v>
      </c>
      <c r="CS83" s="235">
        <f ca="1" xml:space="preserve"> Debt!CS$509</f>
        <v>0</v>
      </c>
      <c r="CT83" s="235">
        <f ca="1" xml:space="preserve"> Debt!CT$509</f>
        <v>0</v>
      </c>
      <c r="CU83" s="235">
        <f ca="1" xml:space="preserve"> Debt!CU$509</f>
        <v>0</v>
      </c>
      <c r="CV83" s="235">
        <f ca="1" xml:space="preserve"> Debt!CV$509</f>
        <v>0</v>
      </c>
    </row>
    <row r="84" spans="1:100" s="192" customFormat="1" outlineLevel="1" x14ac:dyDescent="0.2">
      <c r="A84" s="205"/>
      <c r="B84" s="205"/>
      <c r="C84" s="206"/>
      <c r="D84" s="209"/>
      <c r="E84" s="235" t="str">
        <f xml:space="preserve"> Debt!E$524</f>
        <v>Shareholder loan principal repayment - P99</v>
      </c>
      <c r="F84" s="235">
        <f xml:space="preserve"> Debt!F$524</f>
        <v>0</v>
      </c>
      <c r="G84" s="235" t="str">
        <f xml:space="preserve"> Debt!G$524</f>
        <v>$ 000s</v>
      </c>
      <c r="H84" s="235">
        <f ca="1" xml:space="preserve"> Debt!H$524</f>
        <v>0</v>
      </c>
      <c r="I84" s="235">
        <f xml:space="preserve"> Debt!I$524</f>
        <v>0</v>
      </c>
      <c r="J84" s="235">
        <f ca="1" xml:space="preserve"> Debt!J$524</f>
        <v>0</v>
      </c>
      <c r="K84" s="235">
        <f ca="1" xml:space="preserve"> Debt!K$524</f>
        <v>0</v>
      </c>
      <c r="L84" s="235">
        <f ca="1" xml:space="preserve"> Debt!L$524</f>
        <v>0</v>
      </c>
      <c r="M84" s="235">
        <f ca="1" xml:space="preserve"> Debt!M$524</f>
        <v>0</v>
      </c>
      <c r="N84" s="235">
        <f ca="1" xml:space="preserve"> Debt!N$524</f>
        <v>0</v>
      </c>
      <c r="O84" s="235">
        <f ca="1" xml:space="preserve"> Debt!O$524</f>
        <v>0</v>
      </c>
      <c r="P84" s="235">
        <f ca="1" xml:space="preserve"> Debt!P$524</f>
        <v>0</v>
      </c>
      <c r="Q84" s="235">
        <f ca="1" xml:space="preserve"> Debt!Q$524</f>
        <v>0</v>
      </c>
      <c r="R84" s="235">
        <f ca="1" xml:space="preserve"> Debt!R$524</f>
        <v>0</v>
      </c>
      <c r="S84" s="235">
        <f ca="1" xml:space="preserve"> Debt!S$524</f>
        <v>0</v>
      </c>
      <c r="T84" s="235">
        <f ca="1" xml:space="preserve"> Debt!T$524</f>
        <v>0</v>
      </c>
      <c r="U84" s="235">
        <f ca="1" xml:space="preserve"> Debt!U$524</f>
        <v>0</v>
      </c>
      <c r="V84" s="235">
        <f ca="1" xml:space="preserve"> Debt!V$524</f>
        <v>0</v>
      </c>
      <c r="W84" s="235">
        <f ca="1" xml:space="preserve"> Debt!W$524</f>
        <v>0</v>
      </c>
      <c r="X84" s="235">
        <f ca="1" xml:space="preserve"> Debt!X$524</f>
        <v>0</v>
      </c>
      <c r="Y84" s="235">
        <f ca="1" xml:space="preserve"> Debt!Y$524</f>
        <v>0</v>
      </c>
      <c r="Z84" s="235">
        <f ca="1" xml:space="preserve"> Debt!Z$524</f>
        <v>0</v>
      </c>
      <c r="AA84" s="235">
        <f ca="1" xml:space="preserve"> Debt!AA$524</f>
        <v>0</v>
      </c>
      <c r="AB84" s="235">
        <f ca="1" xml:space="preserve"> Debt!AB$524</f>
        <v>0</v>
      </c>
      <c r="AC84" s="235">
        <f ca="1" xml:space="preserve"> Debt!AC$524</f>
        <v>0</v>
      </c>
      <c r="AD84" s="235">
        <f ca="1" xml:space="preserve"> Debt!AD$524</f>
        <v>0</v>
      </c>
      <c r="AE84" s="235">
        <f ca="1" xml:space="preserve"> Debt!AE$524</f>
        <v>0</v>
      </c>
      <c r="AF84" s="235">
        <f ca="1" xml:space="preserve"> Debt!AF$524</f>
        <v>0</v>
      </c>
      <c r="AG84" s="235">
        <f ca="1" xml:space="preserve"> Debt!AG$524</f>
        <v>0</v>
      </c>
      <c r="AH84" s="235">
        <f ca="1" xml:space="preserve"> Debt!AH$524</f>
        <v>0</v>
      </c>
      <c r="AI84" s="235">
        <f ca="1" xml:space="preserve"> Debt!AI$524</f>
        <v>0</v>
      </c>
      <c r="AJ84" s="235">
        <f ca="1" xml:space="preserve"> Debt!AJ$524</f>
        <v>0</v>
      </c>
      <c r="AK84" s="235">
        <f ca="1" xml:space="preserve"> Debt!AK$524</f>
        <v>0</v>
      </c>
      <c r="AL84" s="235">
        <f ca="1" xml:space="preserve"> Debt!AL$524</f>
        <v>0</v>
      </c>
      <c r="AM84" s="235">
        <f ca="1" xml:space="preserve"> Debt!AM$524</f>
        <v>0</v>
      </c>
      <c r="AN84" s="235">
        <f ca="1" xml:space="preserve"> Debt!AN$524</f>
        <v>0</v>
      </c>
      <c r="AO84" s="235">
        <f ca="1" xml:space="preserve"> Debt!AO$524</f>
        <v>0</v>
      </c>
      <c r="AP84" s="235">
        <f ca="1" xml:space="preserve"> Debt!AP$524</f>
        <v>0</v>
      </c>
      <c r="AQ84" s="235">
        <f ca="1" xml:space="preserve"> Debt!AQ$524</f>
        <v>0</v>
      </c>
      <c r="AR84" s="235">
        <f ca="1" xml:space="preserve"> Debt!AR$524</f>
        <v>0</v>
      </c>
      <c r="AS84" s="235">
        <f ca="1" xml:space="preserve"> Debt!AS$524</f>
        <v>0</v>
      </c>
      <c r="AT84" s="235">
        <f ca="1" xml:space="preserve"> Debt!AT$524</f>
        <v>0</v>
      </c>
      <c r="AU84" s="235">
        <f ca="1" xml:space="preserve"> Debt!AU$524</f>
        <v>0</v>
      </c>
      <c r="AV84" s="235">
        <f ca="1" xml:space="preserve"> Debt!AV$524</f>
        <v>0</v>
      </c>
      <c r="AW84" s="235">
        <f ca="1" xml:space="preserve"> Debt!AW$524</f>
        <v>0</v>
      </c>
      <c r="AX84" s="235">
        <f ca="1" xml:space="preserve"> Debt!AX$524</f>
        <v>0</v>
      </c>
      <c r="AY84" s="235">
        <f ca="1" xml:space="preserve"> Debt!AY$524</f>
        <v>0</v>
      </c>
      <c r="AZ84" s="235">
        <f ca="1" xml:space="preserve"> Debt!AZ$524</f>
        <v>0</v>
      </c>
      <c r="BA84" s="235">
        <f ca="1" xml:space="preserve"> Debt!BA$524</f>
        <v>0</v>
      </c>
      <c r="BB84" s="235">
        <f ca="1" xml:space="preserve"> Debt!BB$524</f>
        <v>0</v>
      </c>
      <c r="BC84" s="235">
        <f ca="1" xml:space="preserve"> Debt!BC$524</f>
        <v>0</v>
      </c>
      <c r="BD84" s="235">
        <f ca="1" xml:space="preserve"> Debt!BD$524</f>
        <v>0</v>
      </c>
      <c r="BE84" s="235">
        <f ca="1" xml:space="preserve"> Debt!BE$524</f>
        <v>0</v>
      </c>
      <c r="BF84" s="235">
        <f ca="1" xml:space="preserve"> Debt!BF$524</f>
        <v>0</v>
      </c>
      <c r="BG84" s="235">
        <f ca="1" xml:space="preserve"> Debt!BG$524</f>
        <v>0</v>
      </c>
      <c r="BH84" s="235">
        <f ca="1" xml:space="preserve"> Debt!BH$524</f>
        <v>0</v>
      </c>
      <c r="BI84" s="235">
        <f ca="1" xml:space="preserve"> Debt!BI$524</f>
        <v>0</v>
      </c>
      <c r="BJ84" s="235">
        <f ca="1" xml:space="preserve"> Debt!BJ$524</f>
        <v>0</v>
      </c>
      <c r="BK84" s="235">
        <f ca="1" xml:space="preserve"> Debt!BK$524</f>
        <v>0</v>
      </c>
      <c r="BL84" s="235">
        <f ca="1" xml:space="preserve"> Debt!BL$524</f>
        <v>0</v>
      </c>
      <c r="BM84" s="235">
        <f ca="1" xml:space="preserve"> Debt!BM$524</f>
        <v>0</v>
      </c>
      <c r="BN84" s="235">
        <f ca="1" xml:space="preserve"> Debt!BN$524</f>
        <v>0</v>
      </c>
      <c r="BO84" s="235">
        <f ca="1" xml:space="preserve"> Debt!BO$524</f>
        <v>0</v>
      </c>
      <c r="BP84" s="235">
        <f ca="1" xml:space="preserve"> Debt!BP$524</f>
        <v>0</v>
      </c>
      <c r="BQ84" s="235">
        <f ca="1" xml:space="preserve"> Debt!BQ$524</f>
        <v>0</v>
      </c>
      <c r="BR84" s="235">
        <f ca="1" xml:space="preserve"> Debt!BR$524</f>
        <v>0</v>
      </c>
      <c r="BS84" s="235">
        <f ca="1" xml:space="preserve"> Debt!BS$524</f>
        <v>0</v>
      </c>
      <c r="BT84" s="235">
        <f ca="1" xml:space="preserve"> Debt!BT$524</f>
        <v>0</v>
      </c>
      <c r="BU84" s="235">
        <f ca="1" xml:space="preserve"> Debt!BU$524</f>
        <v>0</v>
      </c>
      <c r="BV84" s="235">
        <f ca="1" xml:space="preserve"> Debt!BV$524</f>
        <v>0</v>
      </c>
      <c r="BW84" s="235">
        <f ca="1" xml:space="preserve"> Debt!BW$524</f>
        <v>0</v>
      </c>
      <c r="BX84" s="235">
        <f ca="1" xml:space="preserve"> Debt!BX$524</f>
        <v>0</v>
      </c>
      <c r="BY84" s="235">
        <f ca="1" xml:space="preserve"> Debt!BY$524</f>
        <v>0</v>
      </c>
      <c r="BZ84" s="235">
        <f ca="1" xml:space="preserve"> Debt!BZ$524</f>
        <v>0</v>
      </c>
      <c r="CA84" s="235">
        <f ca="1" xml:space="preserve"> Debt!CA$524</f>
        <v>0</v>
      </c>
      <c r="CB84" s="235">
        <f ca="1" xml:space="preserve"> Debt!CB$524</f>
        <v>0</v>
      </c>
      <c r="CC84" s="235">
        <f ca="1" xml:space="preserve"> Debt!CC$524</f>
        <v>0</v>
      </c>
      <c r="CD84" s="235">
        <f ca="1" xml:space="preserve"> Debt!CD$524</f>
        <v>0</v>
      </c>
      <c r="CE84" s="235">
        <f ca="1" xml:space="preserve"> Debt!CE$524</f>
        <v>0</v>
      </c>
      <c r="CF84" s="235">
        <f ca="1" xml:space="preserve"> Debt!CF$524</f>
        <v>0</v>
      </c>
      <c r="CG84" s="235">
        <f ca="1" xml:space="preserve"> Debt!CG$524</f>
        <v>0</v>
      </c>
      <c r="CH84" s="235">
        <f ca="1" xml:space="preserve"> Debt!CH$524</f>
        <v>0</v>
      </c>
      <c r="CI84" s="235">
        <f ca="1" xml:space="preserve"> Debt!CI$524</f>
        <v>0</v>
      </c>
      <c r="CJ84" s="235">
        <f ca="1" xml:space="preserve"> Debt!CJ$524</f>
        <v>0</v>
      </c>
      <c r="CK84" s="235">
        <f ca="1" xml:space="preserve"> Debt!CK$524</f>
        <v>0</v>
      </c>
      <c r="CL84" s="235">
        <f ca="1" xml:space="preserve"> Debt!CL$524</f>
        <v>0</v>
      </c>
      <c r="CM84" s="235">
        <f ca="1" xml:space="preserve"> Debt!CM$524</f>
        <v>0</v>
      </c>
      <c r="CN84" s="235">
        <f ca="1" xml:space="preserve"> Debt!CN$524</f>
        <v>0</v>
      </c>
      <c r="CO84" s="235">
        <f ca="1" xml:space="preserve"> Debt!CO$524</f>
        <v>0</v>
      </c>
      <c r="CP84" s="235">
        <f ca="1" xml:space="preserve"> Debt!CP$524</f>
        <v>0</v>
      </c>
      <c r="CQ84" s="235">
        <f ca="1" xml:space="preserve"> Debt!CQ$524</f>
        <v>0</v>
      </c>
      <c r="CR84" s="235">
        <f ca="1" xml:space="preserve"> Debt!CR$524</f>
        <v>0</v>
      </c>
      <c r="CS84" s="235">
        <f ca="1" xml:space="preserve"> Debt!CS$524</f>
        <v>0</v>
      </c>
      <c r="CT84" s="235">
        <f ca="1" xml:space="preserve"> Debt!CT$524</f>
        <v>0</v>
      </c>
      <c r="CU84" s="235">
        <f ca="1" xml:space="preserve"> Debt!CU$524</f>
        <v>0</v>
      </c>
      <c r="CV84" s="235">
        <f ca="1" xml:space="preserve"> Debt!CV$524</f>
        <v>0</v>
      </c>
    </row>
    <row r="85" spans="1:100" outlineLevel="1" x14ac:dyDescent="0.2">
      <c r="D85" s="209"/>
      <c r="E85" s="232" t="s">
        <v>1156</v>
      </c>
      <c r="F85" s="232"/>
      <c r="G85" s="232" t="str">
        <f xml:space="preserve"> SMU</f>
        <v>$ 000s</v>
      </c>
      <c r="H85" s="232">
        <f ca="1" xml:space="preserve"> SUM(J85:CV85)</f>
        <v>0</v>
      </c>
      <c r="I85" s="232"/>
      <c r="J85" s="232">
        <f ca="1" xml:space="preserve"> J81 + SUM(J83:J84)</f>
        <v>-1.5558398445136845E-6</v>
      </c>
      <c r="K85" s="232">
        <f t="shared" ref="K85:BV85" ca="1" si="30" xml:space="preserve"> K81 + SUM(K83:K84)</f>
        <v>-1.2466658517951146E-5</v>
      </c>
      <c r="L85" s="232">
        <f t="shared" ca="1" si="30"/>
        <v>-1.6754362150095403E-5</v>
      </c>
      <c r="M85" s="232">
        <f t="shared" ca="1" si="30"/>
        <v>-1.9422688637860119E-5</v>
      </c>
      <c r="N85" s="232">
        <f t="shared" ca="1" si="30"/>
        <v>-3.9676149608567357E-3</v>
      </c>
      <c r="O85" s="232">
        <f t="shared" ca="1" si="30"/>
        <v>4.0178145100071561E-3</v>
      </c>
      <c r="P85" s="232">
        <f t="shared" ca="1" si="30"/>
        <v>0</v>
      </c>
      <c r="Q85" s="232">
        <f t="shared" ca="1" si="30"/>
        <v>0</v>
      </c>
      <c r="R85" s="232">
        <f t="shared" ca="1" si="30"/>
        <v>0</v>
      </c>
      <c r="S85" s="232">
        <f t="shared" ca="1" si="30"/>
        <v>0</v>
      </c>
      <c r="T85" s="232">
        <f t="shared" ca="1" si="30"/>
        <v>0</v>
      </c>
      <c r="U85" s="232">
        <f t="shared" ca="1" si="30"/>
        <v>0</v>
      </c>
      <c r="V85" s="232">
        <f t="shared" ca="1" si="30"/>
        <v>0</v>
      </c>
      <c r="W85" s="232">
        <f t="shared" ca="1" si="30"/>
        <v>0</v>
      </c>
      <c r="X85" s="232">
        <f t="shared" ca="1" si="30"/>
        <v>0</v>
      </c>
      <c r="Y85" s="232">
        <f t="shared" ca="1" si="30"/>
        <v>0</v>
      </c>
      <c r="Z85" s="232">
        <f t="shared" ca="1" si="30"/>
        <v>0</v>
      </c>
      <c r="AA85" s="232">
        <f t="shared" ca="1" si="30"/>
        <v>0</v>
      </c>
      <c r="AB85" s="232">
        <f t="shared" ca="1" si="30"/>
        <v>0</v>
      </c>
      <c r="AC85" s="232">
        <f t="shared" ca="1" si="30"/>
        <v>0</v>
      </c>
      <c r="AD85" s="232">
        <f t="shared" ca="1" si="30"/>
        <v>0</v>
      </c>
      <c r="AE85" s="232">
        <f t="shared" ca="1" si="30"/>
        <v>0</v>
      </c>
      <c r="AF85" s="232">
        <f t="shared" ca="1" si="30"/>
        <v>0</v>
      </c>
      <c r="AG85" s="232">
        <f t="shared" ca="1" si="30"/>
        <v>0</v>
      </c>
      <c r="AH85" s="232">
        <f t="shared" ca="1" si="30"/>
        <v>0</v>
      </c>
      <c r="AI85" s="232">
        <f t="shared" ca="1" si="30"/>
        <v>0</v>
      </c>
      <c r="AJ85" s="232">
        <f t="shared" ca="1" si="30"/>
        <v>0</v>
      </c>
      <c r="AK85" s="232">
        <f t="shared" ca="1" si="30"/>
        <v>0</v>
      </c>
      <c r="AL85" s="232">
        <f t="shared" ca="1" si="30"/>
        <v>0</v>
      </c>
      <c r="AM85" s="232">
        <f t="shared" ca="1" si="30"/>
        <v>0</v>
      </c>
      <c r="AN85" s="232">
        <f t="shared" ca="1" si="30"/>
        <v>0</v>
      </c>
      <c r="AO85" s="232">
        <f t="shared" ca="1" si="30"/>
        <v>0</v>
      </c>
      <c r="AP85" s="232">
        <f t="shared" ca="1" si="30"/>
        <v>0</v>
      </c>
      <c r="AQ85" s="232">
        <f t="shared" ca="1" si="30"/>
        <v>0</v>
      </c>
      <c r="AR85" s="232">
        <f t="shared" ca="1" si="30"/>
        <v>0</v>
      </c>
      <c r="AS85" s="232">
        <f t="shared" ca="1" si="30"/>
        <v>0</v>
      </c>
      <c r="AT85" s="232">
        <f t="shared" ca="1" si="30"/>
        <v>0</v>
      </c>
      <c r="AU85" s="232">
        <f t="shared" ca="1" si="30"/>
        <v>0</v>
      </c>
      <c r="AV85" s="232">
        <f t="shared" ca="1" si="30"/>
        <v>0</v>
      </c>
      <c r="AW85" s="232">
        <f t="shared" ca="1" si="30"/>
        <v>0</v>
      </c>
      <c r="AX85" s="232">
        <f t="shared" ca="1" si="30"/>
        <v>0</v>
      </c>
      <c r="AY85" s="232">
        <f t="shared" ca="1" si="30"/>
        <v>0</v>
      </c>
      <c r="AZ85" s="232">
        <f t="shared" ca="1" si="30"/>
        <v>0</v>
      </c>
      <c r="BA85" s="232">
        <f t="shared" ca="1" si="30"/>
        <v>0</v>
      </c>
      <c r="BB85" s="232">
        <f t="shared" ca="1" si="30"/>
        <v>0</v>
      </c>
      <c r="BC85" s="232">
        <f t="shared" ca="1" si="30"/>
        <v>0</v>
      </c>
      <c r="BD85" s="232">
        <f t="shared" ca="1" si="30"/>
        <v>0</v>
      </c>
      <c r="BE85" s="232">
        <f t="shared" ca="1" si="30"/>
        <v>0</v>
      </c>
      <c r="BF85" s="232">
        <f t="shared" ca="1" si="30"/>
        <v>0</v>
      </c>
      <c r="BG85" s="232">
        <f t="shared" ca="1" si="30"/>
        <v>0</v>
      </c>
      <c r="BH85" s="232">
        <f t="shared" ca="1" si="30"/>
        <v>0</v>
      </c>
      <c r="BI85" s="232">
        <f t="shared" ca="1" si="30"/>
        <v>0</v>
      </c>
      <c r="BJ85" s="232">
        <f t="shared" ca="1" si="30"/>
        <v>0</v>
      </c>
      <c r="BK85" s="232">
        <f t="shared" ca="1" si="30"/>
        <v>0</v>
      </c>
      <c r="BL85" s="232">
        <f t="shared" ca="1" si="30"/>
        <v>0</v>
      </c>
      <c r="BM85" s="232">
        <f t="shared" ca="1" si="30"/>
        <v>0</v>
      </c>
      <c r="BN85" s="232">
        <f t="shared" ca="1" si="30"/>
        <v>0</v>
      </c>
      <c r="BO85" s="232">
        <f t="shared" ca="1" si="30"/>
        <v>0</v>
      </c>
      <c r="BP85" s="232">
        <f t="shared" ca="1" si="30"/>
        <v>0</v>
      </c>
      <c r="BQ85" s="232">
        <f t="shared" ca="1" si="30"/>
        <v>0</v>
      </c>
      <c r="BR85" s="232">
        <f t="shared" ca="1" si="30"/>
        <v>0</v>
      </c>
      <c r="BS85" s="232">
        <f t="shared" ca="1" si="30"/>
        <v>0</v>
      </c>
      <c r="BT85" s="232">
        <f t="shared" ca="1" si="30"/>
        <v>0</v>
      </c>
      <c r="BU85" s="232">
        <f t="shared" ca="1" si="30"/>
        <v>0</v>
      </c>
      <c r="BV85" s="232">
        <f t="shared" ca="1" si="30"/>
        <v>0</v>
      </c>
      <c r="BW85" s="232">
        <f t="shared" ref="BW85:CV85" ca="1" si="31" xml:space="preserve"> BW81 + SUM(BW83:BW84)</f>
        <v>0</v>
      </c>
      <c r="BX85" s="232">
        <f t="shared" ca="1" si="31"/>
        <v>0</v>
      </c>
      <c r="BY85" s="232">
        <f t="shared" ca="1" si="31"/>
        <v>0</v>
      </c>
      <c r="BZ85" s="232">
        <f t="shared" ca="1" si="31"/>
        <v>0</v>
      </c>
      <c r="CA85" s="232">
        <f t="shared" ca="1" si="31"/>
        <v>0</v>
      </c>
      <c r="CB85" s="232">
        <f t="shared" ca="1" si="31"/>
        <v>0</v>
      </c>
      <c r="CC85" s="232">
        <f t="shared" ca="1" si="31"/>
        <v>0</v>
      </c>
      <c r="CD85" s="232">
        <f t="shared" ca="1" si="31"/>
        <v>0</v>
      </c>
      <c r="CE85" s="232">
        <f t="shared" ca="1" si="31"/>
        <v>0</v>
      </c>
      <c r="CF85" s="232">
        <f t="shared" ca="1" si="31"/>
        <v>0</v>
      </c>
      <c r="CG85" s="232">
        <f t="shared" ca="1" si="31"/>
        <v>0</v>
      </c>
      <c r="CH85" s="232">
        <f t="shared" ca="1" si="31"/>
        <v>0</v>
      </c>
      <c r="CI85" s="232">
        <f t="shared" ca="1" si="31"/>
        <v>0</v>
      </c>
      <c r="CJ85" s="232">
        <f t="shared" ca="1" si="31"/>
        <v>0</v>
      </c>
      <c r="CK85" s="232">
        <f t="shared" ca="1" si="31"/>
        <v>0</v>
      </c>
      <c r="CL85" s="232">
        <f t="shared" ca="1" si="31"/>
        <v>0</v>
      </c>
      <c r="CM85" s="232">
        <f t="shared" ca="1" si="31"/>
        <v>0</v>
      </c>
      <c r="CN85" s="232">
        <f t="shared" ca="1" si="31"/>
        <v>0</v>
      </c>
      <c r="CO85" s="232">
        <f t="shared" ca="1" si="31"/>
        <v>0</v>
      </c>
      <c r="CP85" s="232">
        <f t="shared" ca="1" si="31"/>
        <v>0</v>
      </c>
      <c r="CQ85" s="232">
        <f t="shared" ca="1" si="31"/>
        <v>0</v>
      </c>
      <c r="CR85" s="232">
        <f t="shared" ca="1" si="31"/>
        <v>0</v>
      </c>
      <c r="CS85" s="232">
        <f t="shared" ca="1" si="31"/>
        <v>0</v>
      </c>
      <c r="CT85" s="232">
        <f t="shared" ca="1" si="31"/>
        <v>0</v>
      </c>
      <c r="CU85" s="232">
        <f t="shared" ca="1" si="31"/>
        <v>0</v>
      </c>
      <c r="CV85" s="232">
        <f t="shared" ca="1" si="31"/>
        <v>0</v>
      </c>
    </row>
    <row r="86" spans="1:100" outlineLevel="1" x14ac:dyDescent="0.2">
      <c r="D86" s="209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  <c r="AG86" s="235"/>
      <c r="AH86" s="235"/>
      <c r="AI86" s="235"/>
      <c r="AJ86" s="235"/>
      <c r="AK86" s="235"/>
      <c r="AL86" s="235"/>
      <c r="AM86" s="235"/>
      <c r="AN86" s="235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  <c r="BG86" s="235"/>
      <c r="BH86" s="235"/>
      <c r="BI86" s="235"/>
      <c r="BJ86" s="235"/>
      <c r="BK86" s="235"/>
      <c r="BL86" s="235"/>
      <c r="BM86" s="235"/>
      <c r="BN86" s="235"/>
      <c r="BO86" s="235"/>
      <c r="BP86" s="235"/>
      <c r="BQ86" s="235"/>
      <c r="BR86" s="235"/>
      <c r="BS86" s="235"/>
      <c r="BT86" s="235"/>
      <c r="BU86" s="235"/>
      <c r="BV86" s="235"/>
      <c r="BW86" s="235"/>
      <c r="BX86" s="235"/>
      <c r="BY86" s="235"/>
      <c r="BZ86" s="235"/>
      <c r="CA86" s="235"/>
      <c r="CB86" s="235"/>
      <c r="CC86" s="235"/>
      <c r="CD86" s="235"/>
      <c r="CE86" s="235"/>
      <c r="CF86" s="235"/>
      <c r="CG86" s="235"/>
      <c r="CH86" s="235"/>
      <c r="CI86" s="235"/>
      <c r="CJ86" s="235"/>
      <c r="CK86" s="235"/>
      <c r="CL86" s="235"/>
      <c r="CM86" s="235"/>
      <c r="CN86" s="235"/>
      <c r="CO86" s="235"/>
      <c r="CP86" s="235"/>
      <c r="CQ86" s="235"/>
      <c r="CR86" s="235"/>
      <c r="CS86" s="235"/>
      <c r="CT86" s="235"/>
      <c r="CU86" s="235"/>
      <c r="CV86" s="235"/>
    </row>
    <row r="87" spans="1:100" outlineLevel="1" x14ac:dyDescent="0.2">
      <c r="D87" s="209"/>
      <c r="E87" s="288" t="str">
        <f xml:space="preserve"> Equity!E$94</f>
        <v>Share capital redemption - P99</v>
      </c>
      <c r="F87" s="288">
        <f xml:space="preserve"> Equity!F$94</f>
        <v>0</v>
      </c>
      <c r="G87" s="288" t="str">
        <f xml:space="preserve"> Equity!G$94</f>
        <v>$ 000s</v>
      </c>
      <c r="H87" s="288">
        <f ca="1" xml:space="preserve"> Equity!H$94</f>
        <v>0</v>
      </c>
      <c r="I87" s="288">
        <f xml:space="preserve"> Equity!I$94</f>
        <v>0</v>
      </c>
      <c r="J87" s="288">
        <f ca="1" xml:space="preserve"> Equity!J$94</f>
        <v>0</v>
      </c>
      <c r="K87" s="288">
        <f ca="1" xml:space="preserve"> Equity!K$94</f>
        <v>0</v>
      </c>
      <c r="L87" s="288">
        <f ca="1" xml:space="preserve"> Equity!L$94</f>
        <v>0</v>
      </c>
      <c r="M87" s="288">
        <f ca="1" xml:space="preserve"> Equity!M$94</f>
        <v>0</v>
      </c>
      <c r="N87" s="288">
        <f ca="1" xml:space="preserve"> Equity!N$94</f>
        <v>0</v>
      </c>
      <c r="O87" s="288">
        <f ca="1" xml:space="preserve"> Equity!O$94</f>
        <v>0</v>
      </c>
      <c r="P87" s="288">
        <f ca="1" xml:space="preserve"> Equity!P$94</f>
        <v>0</v>
      </c>
      <c r="Q87" s="288">
        <f ca="1" xml:space="preserve"> Equity!Q$94</f>
        <v>0</v>
      </c>
      <c r="R87" s="288">
        <f ca="1" xml:space="preserve"> Equity!R$94</f>
        <v>0</v>
      </c>
      <c r="S87" s="288">
        <f ca="1" xml:space="preserve"> Equity!S$94</f>
        <v>0</v>
      </c>
      <c r="T87" s="288">
        <f ca="1" xml:space="preserve"> Equity!T$94</f>
        <v>0</v>
      </c>
      <c r="U87" s="288">
        <f ca="1" xml:space="preserve"> Equity!U$94</f>
        <v>0</v>
      </c>
      <c r="V87" s="288">
        <f ca="1" xml:space="preserve"> Equity!V$94</f>
        <v>0</v>
      </c>
      <c r="W87" s="288">
        <f ca="1" xml:space="preserve"> Equity!W$94</f>
        <v>0</v>
      </c>
      <c r="X87" s="288">
        <f ca="1" xml:space="preserve"> Equity!X$94</f>
        <v>0</v>
      </c>
      <c r="Y87" s="288">
        <f ca="1" xml:space="preserve"> Equity!Y$94</f>
        <v>0</v>
      </c>
      <c r="Z87" s="288">
        <f ca="1" xml:space="preserve"> Equity!Z$94</f>
        <v>0</v>
      </c>
      <c r="AA87" s="288">
        <f ca="1" xml:space="preserve"> Equity!AA$94</f>
        <v>0</v>
      </c>
      <c r="AB87" s="288">
        <f ca="1" xml:space="preserve"> Equity!AB$94</f>
        <v>0</v>
      </c>
      <c r="AC87" s="288">
        <f ca="1" xml:space="preserve"> Equity!AC$94</f>
        <v>0</v>
      </c>
      <c r="AD87" s="288">
        <f ca="1" xml:space="preserve"> Equity!AD$94</f>
        <v>0</v>
      </c>
      <c r="AE87" s="288">
        <f ca="1" xml:space="preserve"> Equity!AE$94</f>
        <v>0</v>
      </c>
      <c r="AF87" s="288">
        <f ca="1" xml:space="preserve"> Equity!AF$94</f>
        <v>0</v>
      </c>
      <c r="AG87" s="288">
        <f ca="1" xml:space="preserve"> Equity!AG$94</f>
        <v>0</v>
      </c>
      <c r="AH87" s="288">
        <f ca="1" xml:space="preserve"> Equity!AH$94</f>
        <v>0</v>
      </c>
      <c r="AI87" s="288">
        <f ca="1" xml:space="preserve"> Equity!AI$94</f>
        <v>0</v>
      </c>
      <c r="AJ87" s="288">
        <f ca="1" xml:space="preserve"> Equity!AJ$94</f>
        <v>0</v>
      </c>
      <c r="AK87" s="288">
        <f ca="1" xml:space="preserve"> Equity!AK$94</f>
        <v>0</v>
      </c>
      <c r="AL87" s="288">
        <f ca="1" xml:space="preserve"> Equity!AL$94</f>
        <v>0</v>
      </c>
      <c r="AM87" s="288">
        <f ca="1" xml:space="preserve"> Equity!AM$94</f>
        <v>0</v>
      </c>
      <c r="AN87" s="288">
        <f ca="1" xml:space="preserve"> Equity!AN$94</f>
        <v>0</v>
      </c>
      <c r="AO87" s="288">
        <f ca="1" xml:space="preserve"> Equity!AO$94</f>
        <v>0</v>
      </c>
      <c r="AP87" s="288">
        <f ca="1" xml:space="preserve"> Equity!AP$94</f>
        <v>0</v>
      </c>
      <c r="AQ87" s="288">
        <f ca="1" xml:space="preserve"> Equity!AQ$94</f>
        <v>0</v>
      </c>
      <c r="AR87" s="288">
        <f ca="1" xml:space="preserve"> Equity!AR$94</f>
        <v>0</v>
      </c>
      <c r="AS87" s="288">
        <f ca="1" xml:space="preserve"> Equity!AS$94</f>
        <v>0</v>
      </c>
      <c r="AT87" s="288">
        <f ca="1" xml:space="preserve"> Equity!AT$94</f>
        <v>0</v>
      </c>
      <c r="AU87" s="288">
        <f ca="1" xml:space="preserve"> Equity!AU$94</f>
        <v>0</v>
      </c>
      <c r="AV87" s="288">
        <f ca="1" xml:space="preserve"> Equity!AV$94</f>
        <v>0</v>
      </c>
      <c r="AW87" s="288">
        <f ca="1" xml:space="preserve"> Equity!AW$94</f>
        <v>0</v>
      </c>
      <c r="AX87" s="288">
        <f ca="1" xml:space="preserve"> Equity!AX$94</f>
        <v>0</v>
      </c>
      <c r="AY87" s="288">
        <f ca="1" xml:space="preserve"> Equity!AY$94</f>
        <v>0</v>
      </c>
      <c r="AZ87" s="288">
        <f ca="1" xml:space="preserve"> Equity!AZ$94</f>
        <v>0</v>
      </c>
      <c r="BA87" s="288">
        <f ca="1" xml:space="preserve"> Equity!BA$94</f>
        <v>0</v>
      </c>
      <c r="BB87" s="288">
        <f ca="1" xml:space="preserve"> Equity!BB$94</f>
        <v>0</v>
      </c>
      <c r="BC87" s="288">
        <f ca="1" xml:space="preserve"> Equity!BC$94</f>
        <v>0</v>
      </c>
      <c r="BD87" s="288">
        <f ca="1" xml:space="preserve"> Equity!BD$94</f>
        <v>0</v>
      </c>
      <c r="BE87" s="288">
        <f ca="1" xml:space="preserve"> Equity!BE$94</f>
        <v>0</v>
      </c>
      <c r="BF87" s="288">
        <f ca="1" xml:space="preserve"> Equity!BF$94</f>
        <v>0</v>
      </c>
      <c r="BG87" s="288">
        <f ca="1" xml:space="preserve"> Equity!BG$94</f>
        <v>0</v>
      </c>
      <c r="BH87" s="288">
        <f ca="1" xml:space="preserve"> Equity!BH$94</f>
        <v>0</v>
      </c>
      <c r="BI87" s="288">
        <f ca="1" xml:space="preserve"> Equity!BI$94</f>
        <v>0</v>
      </c>
      <c r="BJ87" s="288">
        <f ca="1" xml:space="preserve"> Equity!BJ$94</f>
        <v>0</v>
      </c>
      <c r="BK87" s="288">
        <f ca="1" xml:space="preserve"> Equity!BK$94</f>
        <v>0</v>
      </c>
      <c r="BL87" s="288">
        <f ca="1" xml:space="preserve"> Equity!BL$94</f>
        <v>0</v>
      </c>
      <c r="BM87" s="288">
        <f ca="1" xml:space="preserve"> Equity!BM$94</f>
        <v>0</v>
      </c>
      <c r="BN87" s="288">
        <f ca="1" xml:space="preserve"> Equity!BN$94</f>
        <v>0</v>
      </c>
      <c r="BO87" s="288">
        <f ca="1" xml:space="preserve"> Equity!BO$94</f>
        <v>0</v>
      </c>
      <c r="BP87" s="288">
        <f ca="1" xml:space="preserve"> Equity!BP$94</f>
        <v>0</v>
      </c>
      <c r="BQ87" s="288">
        <f ca="1" xml:space="preserve"> Equity!BQ$94</f>
        <v>0</v>
      </c>
      <c r="BR87" s="288">
        <f ca="1" xml:space="preserve"> Equity!BR$94</f>
        <v>0</v>
      </c>
      <c r="BS87" s="288">
        <f ca="1" xml:space="preserve"> Equity!BS$94</f>
        <v>0</v>
      </c>
      <c r="BT87" s="288">
        <f ca="1" xml:space="preserve"> Equity!BT$94</f>
        <v>0</v>
      </c>
      <c r="BU87" s="288">
        <f ca="1" xml:space="preserve"> Equity!BU$94</f>
        <v>0</v>
      </c>
      <c r="BV87" s="288">
        <f ca="1" xml:space="preserve"> Equity!BV$94</f>
        <v>0</v>
      </c>
      <c r="BW87" s="288">
        <f ca="1" xml:space="preserve"> Equity!BW$94</f>
        <v>0</v>
      </c>
      <c r="BX87" s="288">
        <f ca="1" xml:space="preserve"> Equity!BX$94</f>
        <v>0</v>
      </c>
      <c r="BY87" s="288">
        <f ca="1" xml:space="preserve"> Equity!BY$94</f>
        <v>0</v>
      </c>
      <c r="BZ87" s="288">
        <f ca="1" xml:space="preserve"> Equity!BZ$94</f>
        <v>0</v>
      </c>
      <c r="CA87" s="288">
        <f ca="1" xml:space="preserve"> Equity!CA$94</f>
        <v>0</v>
      </c>
      <c r="CB87" s="288">
        <f ca="1" xml:space="preserve"> Equity!CB$94</f>
        <v>0</v>
      </c>
      <c r="CC87" s="288">
        <f ca="1" xml:space="preserve"> Equity!CC$94</f>
        <v>0</v>
      </c>
      <c r="CD87" s="288">
        <f ca="1" xml:space="preserve"> Equity!CD$94</f>
        <v>0</v>
      </c>
      <c r="CE87" s="288">
        <f ca="1" xml:space="preserve"> Equity!CE$94</f>
        <v>0</v>
      </c>
      <c r="CF87" s="288">
        <f ca="1" xml:space="preserve"> Equity!CF$94</f>
        <v>0</v>
      </c>
      <c r="CG87" s="288">
        <f ca="1" xml:space="preserve"> Equity!CG$94</f>
        <v>0</v>
      </c>
      <c r="CH87" s="288">
        <f ca="1" xml:space="preserve"> Equity!CH$94</f>
        <v>0</v>
      </c>
      <c r="CI87" s="288">
        <f ca="1" xml:space="preserve"> Equity!CI$94</f>
        <v>0</v>
      </c>
      <c r="CJ87" s="288">
        <f ca="1" xml:space="preserve"> Equity!CJ$94</f>
        <v>0</v>
      </c>
      <c r="CK87" s="288">
        <f ca="1" xml:space="preserve"> Equity!CK$94</f>
        <v>0</v>
      </c>
      <c r="CL87" s="288">
        <f ca="1" xml:space="preserve"> Equity!CL$94</f>
        <v>0</v>
      </c>
      <c r="CM87" s="288">
        <f ca="1" xml:space="preserve"> Equity!CM$94</f>
        <v>0</v>
      </c>
      <c r="CN87" s="288">
        <f ca="1" xml:space="preserve"> Equity!CN$94</f>
        <v>0</v>
      </c>
      <c r="CO87" s="288">
        <f ca="1" xml:space="preserve"> Equity!CO$94</f>
        <v>0</v>
      </c>
      <c r="CP87" s="288">
        <f ca="1" xml:space="preserve"> Equity!CP$94</f>
        <v>0</v>
      </c>
      <c r="CQ87" s="288">
        <f ca="1" xml:space="preserve"> Equity!CQ$94</f>
        <v>0</v>
      </c>
      <c r="CR87" s="288">
        <f ca="1" xml:space="preserve"> Equity!CR$94</f>
        <v>0</v>
      </c>
      <c r="CS87" s="288">
        <f ca="1" xml:space="preserve"> Equity!CS$94</f>
        <v>0</v>
      </c>
      <c r="CT87" s="288">
        <f ca="1" xml:space="preserve"> Equity!CT$94</f>
        <v>0</v>
      </c>
      <c r="CU87" s="288">
        <f ca="1" xml:space="preserve"> Equity!CU$94</f>
        <v>0</v>
      </c>
      <c r="CV87" s="288">
        <f ca="1" xml:space="preserve"> Equity!CV$94</f>
        <v>0</v>
      </c>
    </row>
    <row r="88" spans="1:100" outlineLevel="1" x14ac:dyDescent="0.2">
      <c r="D88" s="209"/>
      <c r="E88" s="288" t="str">
        <f xml:space="preserve"> Equity!E$112</f>
        <v>Standby equity redemption - P99</v>
      </c>
      <c r="F88" s="288">
        <f xml:space="preserve"> Equity!F$112</f>
        <v>0</v>
      </c>
      <c r="G88" s="288" t="str">
        <f xml:space="preserve"> Equity!G$112</f>
        <v>$ 000s</v>
      </c>
      <c r="H88" s="288">
        <f ca="1" xml:space="preserve"> Equity!H$112</f>
        <v>0</v>
      </c>
      <c r="I88" s="288">
        <f xml:space="preserve"> Equity!I$112</f>
        <v>0</v>
      </c>
      <c r="J88" s="288">
        <f ca="1" xml:space="preserve"> Equity!J$112</f>
        <v>0</v>
      </c>
      <c r="K88" s="288">
        <f ca="1" xml:space="preserve"> Equity!K$112</f>
        <v>0</v>
      </c>
      <c r="L88" s="288">
        <f ca="1" xml:space="preserve"> Equity!L$112</f>
        <v>0</v>
      </c>
      <c r="M88" s="288">
        <f ca="1" xml:space="preserve"> Equity!M$112</f>
        <v>0</v>
      </c>
      <c r="N88" s="288">
        <f ca="1" xml:space="preserve"> Equity!N$112</f>
        <v>0</v>
      </c>
      <c r="O88" s="288">
        <f ca="1" xml:space="preserve"> Equity!O$112</f>
        <v>0</v>
      </c>
      <c r="P88" s="288">
        <f ca="1" xml:space="preserve"> Equity!P$112</f>
        <v>0</v>
      </c>
      <c r="Q88" s="288">
        <f ca="1" xml:space="preserve"> Equity!Q$112</f>
        <v>0</v>
      </c>
      <c r="R88" s="288">
        <f ca="1" xml:space="preserve"> Equity!R$112</f>
        <v>0</v>
      </c>
      <c r="S88" s="288">
        <f ca="1" xml:space="preserve"> Equity!S$112</f>
        <v>0</v>
      </c>
      <c r="T88" s="288">
        <f ca="1" xml:space="preserve"> Equity!T$112</f>
        <v>0</v>
      </c>
      <c r="U88" s="288">
        <f ca="1" xml:space="preserve"> Equity!U$112</f>
        <v>0</v>
      </c>
      <c r="V88" s="288">
        <f ca="1" xml:space="preserve"> Equity!V$112</f>
        <v>0</v>
      </c>
      <c r="W88" s="288">
        <f ca="1" xml:space="preserve"> Equity!W$112</f>
        <v>0</v>
      </c>
      <c r="X88" s="288">
        <f ca="1" xml:space="preserve"> Equity!X$112</f>
        <v>0</v>
      </c>
      <c r="Y88" s="288">
        <f ca="1" xml:space="preserve"> Equity!Y$112</f>
        <v>0</v>
      </c>
      <c r="Z88" s="288">
        <f ca="1" xml:space="preserve"> Equity!Z$112</f>
        <v>0</v>
      </c>
      <c r="AA88" s="288">
        <f ca="1" xml:space="preserve"> Equity!AA$112</f>
        <v>0</v>
      </c>
      <c r="AB88" s="288">
        <f ca="1" xml:space="preserve"> Equity!AB$112</f>
        <v>0</v>
      </c>
      <c r="AC88" s="288">
        <f ca="1" xml:space="preserve"> Equity!AC$112</f>
        <v>0</v>
      </c>
      <c r="AD88" s="288">
        <f ca="1" xml:space="preserve"> Equity!AD$112</f>
        <v>0</v>
      </c>
      <c r="AE88" s="288">
        <f ca="1" xml:space="preserve"> Equity!AE$112</f>
        <v>0</v>
      </c>
      <c r="AF88" s="288">
        <f ca="1" xml:space="preserve"> Equity!AF$112</f>
        <v>0</v>
      </c>
      <c r="AG88" s="288">
        <f ca="1" xml:space="preserve"> Equity!AG$112</f>
        <v>0</v>
      </c>
      <c r="AH88" s="288">
        <f ca="1" xml:space="preserve"> Equity!AH$112</f>
        <v>0</v>
      </c>
      <c r="AI88" s="288">
        <f ca="1" xml:space="preserve"> Equity!AI$112</f>
        <v>0</v>
      </c>
      <c r="AJ88" s="288">
        <f ca="1" xml:space="preserve"> Equity!AJ$112</f>
        <v>0</v>
      </c>
      <c r="AK88" s="288">
        <f ca="1" xml:space="preserve"> Equity!AK$112</f>
        <v>0</v>
      </c>
      <c r="AL88" s="288">
        <f ca="1" xml:space="preserve"> Equity!AL$112</f>
        <v>0</v>
      </c>
      <c r="AM88" s="288">
        <f ca="1" xml:space="preserve"> Equity!AM$112</f>
        <v>0</v>
      </c>
      <c r="AN88" s="288">
        <f ca="1" xml:space="preserve"> Equity!AN$112</f>
        <v>0</v>
      </c>
      <c r="AO88" s="288">
        <f ca="1" xml:space="preserve"> Equity!AO$112</f>
        <v>0</v>
      </c>
      <c r="AP88" s="288">
        <f ca="1" xml:space="preserve"> Equity!AP$112</f>
        <v>0</v>
      </c>
      <c r="AQ88" s="288">
        <f ca="1" xml:space="preserve"> Equity!AQ$112</f>
        <v>0</v>
      </c>
      <c r="AR88" s="288">
        <f ca="1" xml:space="preserve"> Equity!AR$112</f>
        <v>0</v>
      </c>
      <c r="AS88" s="288">
        <f ca="1" xml:space="preserve"> Equity!AS$112</f>
        <v>0</v>
      </c>
      <c r="AT88" s="288">
        <f ca="1" xml:space="preserve"> Equity!AT$112</f>
        <v>0</v>
      </c>
      <c r="AU88" s="288">
        <f ca="1" xml:space="preserve"> Equity!AU$112</f>
        <v>0</v>
      </c>
      <c r="AV88" s="288">
        <f ca="1" xml:space="preserve"> Equity!AV$112</f>
        <v>0</v>
      </c>
      <c r="AW88" s="288">
        <f ca="1" xml:space="preserve"> Equity!AW$112</f>
        <v>0</v>
      </c>
      <c r="AX88" s="288">
        <f ca="1" xml:space="preserve"> Equity!AX$112</f>
        <v>0</v>
      </c>
      <c r="AY88" s="288">
        <f ca="1" xml:space="preserve"> Equity!AY$112</f>
        <v>0</v>
      </c>
      <c r="AZ88" s="288">
        <f ca="1" xml:space="preserve"> Equity!AZ$112</f>
        <v>0</v>
      </c>
      <c r="BA88" s="288">
        <f ca="1" xml:space="preserve"> Equity!BA$112</f>
        <v>0</v>
      </c>
      <c r="BB88" s="288">
        <f ca="1" xml:space="preserve"> Equity!BB$112</f>
        <v>0</v>
      </c>
      <c r="BC88" s="288">
        <f ca="1" xml:space="preserve"> Equity!BC$112</f>
        <v>0</v>
      </c>
      <c r="BD88" s="288">
        <f ca="1" xml:space="preserve"> Equity!BD$112</f>
        <v>0</v>
      </c>
      <c r="BE88" s="288">
        <f ca="1" xml:space="preserve"> Equity!BE$112</f>
        <v>0</v>
      </c>
      <c r="BF88" s="288">
        <f ca="1" xml:space="preserve"> Equity!BF$112</f>
        <v>0</v>
      </c>
      <c r="BG88" s="288">
        <f ca="1" xml:space="preserve"> Equity!BG$112</f>
        <v>0</v>
      </c>
      <c r="BH88" s="288">
        <f ca="1" xml:space="preserve"> Equity!BH$112</f>
        <v>0</v>
      </c>
      <c r="BI88" s="288">
        <f ca="1" xml:space="preserve"> Equity!BI$112</f>
        <v>0</v>
      </c>
      <c r="BJ88" s="288">
        <f ca="1" xml:space="preserve"> Equity!BJ$112</f>
        <v>0</v>
      </c>
      <c r="BK88" s="288">
        <f ca="1" xml:space="preserve"> Equity!BK$112</f>
        <v>0</v>
      </c>
      <c r="BL88" s="288">
        <f ca="1" xml:space="preserve"> Equity!BL$112</f>
        <v>0</v>
      </c>
      <c r="BM88" s="288">
        <f ca="1" xml:space="preserve"> Equity!BM$112</f>
        <v>0</v>
      </c>
      <c r="BN88" s="288">
        <f ca="1" xml:space="preserve"> Equity!BN$112</f>
        <v>0</v>
      </c>
      <c r="BO88" s="288">
        <f ca="1" xml:space="preserve"> Equity!BO$112</f>
        <v>0</v>
      </c>
      <c r="BP88" s="288">
        <f ca="1" xml:space="preserve"> Equity!BP$112</f>
        <v>0</v>
      </c>
      <c r="BQ88" s="288">
        <f ca="1" xml:space="preserve"> Equity!BQ$112</f>
        <v>0</v>
      </c>
      <c r="BR88" s="288">
        <f ca="1" xml:space="preserve"> Equity!BR$112</f>
        <v>0</v>
      </c>
      <c r="BS88" s="288">
        <f ca="1" xml:space="preserve"> Equity!BS$112</f>
        <v>0</v>
      </c>
      <c r="BT88" s="288">
        <f ca="1" xml:space="preserve"> Equity!BT$112</f>
        <v>0</v>
      </c>
      <c r="BU88" s="288">
        <f ca="1" xml:space="preserve"> Equity!BU$112</f>
        <v>0</v>
      </c>
      <c r="BV88" s="288">
        <f ca="1" xml:space="preserve"> Equity!BV$112</f>
        <v>0</v>
      </c>
      <c r="BW88" s="288">
        <f ca="1" xml:space="preserve"> Equity!BW$112</f>
        <v>0</v>
      </c>
      <c r="BX88" s="288">
        <f ca="1" xml:space="preserve"> Equity!BX$112</f>
        <v>0</v>
      </c>
      <c r="BY88" s="288">
        <f ca="1" xml:space="preserve"> Equity!BY$112</f>
        <v>0</v>
      </c>
      <c r="BZ88" s="288">
        <f ca="1" xml:space="preserve"> Equity!BZ$112</f>
        <v>0</v>
      </c>
      <c r="CA88" s="288">
        <f ca="1" xml:space="preserve"> Equity!CA$112</f>
        <v>0</v>
      </c>
      <c r="CB88" s="288">
        <f ca="1" xml:space="preserve"> Equity!CB$112</f>
        <v>0</v>
      </c>
      <c r="CC88" s="288">
        <f ca="1" xml:space="preserve"> Equity!CC$112</f>
        <v>0</v>
      </c>
      <c r="CD88" s="288">
        <f ca="1" xml:space="preserve"> Equity!CD$112</f>
        <v>0</v>
      </c>
      <c r="CE88" s="288">
        <f ca="1" xml:space="preserve"> Equity!CE$112</f>
        <v>0</v>
      </c>
      <c r="CF88" s="288">
        <f ca="1" xml:space="preserve"> Equity!CF$112</f>
        <v>0</v>
      </c>
      <c r="CG88" s="288">
        <f ca="1" xml:space="preserve"> Equity!CG$112</f>
        <v>0</v>
      </c>
      <c r="CH88" s="288">
        <f ca="1" xml:space="preserve"> Equity!CH$112</f>
        <v>0</v>
      </c>
      <c r="CI88" s="288">
        <f ca="1" xml:space="preserve"> Equity!CI$112</f>
        <v>0</v>
      </c>
      <c r="CJ88" s="288">
        <f ca="1" xml:space="preserve"> Equity!CJ$112</f>
        <v>0</v>
      </c>
      <c r="CK88" s="288">
        <f ca="1" xml:space="preserve"> Equity!CK$112</f>
        <v>0</v>
      </c>
      <c r="CL88" s="288">
        <f ca="1" xml:space="preserve"> Equity!CL$112</f>
        <v>0</v>
      </c>
      <c r="CM88" s="288">
        <f ca="1" xml:space="preserve"> Equity!CM$112</f>
        <v>0</v>
      </c>
      <c r="CN88" s="288">
        <f ca="1" xml:space="preserve"> Equity!CN$112</f>
        <v>0</v>
      </c>
      <c r="CO88" s="288">
        <f ca="1" xml:space="preserve"> Equity!CO$112</f>
        <v>0</v>
      </c>
      <c r="CP88" s="288">
        <f ca="1" xml:space="preserve"> Equity!CP$112</f>
        <v>0</v>
      </c>
      <c r="CQ88" s="288">
        <f ca="1" xml:space="preserve"> Equity!CQ$112</f>
        <v>0</v>
      </c>
      <c r="CR88" s="288">
        <f ca="1" xml:space="preserve"> Equity!CR$112</f>
        <v>0</v>
      </c>
      <c r="CS88" s="288">
        <f ca="1" xml:space="preserve"> Equity!CS$112</f>
        <v>0</v>
      </c>
      <c r="CT88" s="288">
        <f ca="1" xml:space="preserve"> Equity!CT$112</f>
        <v>0</v>
      </c>
      <c r="CU88" s="288">
        <f ca="1" xml:space="preserve"> Equity!CU$112</f>
        <v>0</v>
      </c>
      <c r="CV88" s="288">
        <f ca="1" xml:space="preserve"> Equity!CV$112</f>
        <v>0</v>
      </c>
    </row>
    <row r="89" spans="1:100" s="191" customFormat="1" outlineLevel="1" x14ac:dyDescent="0.2">
      <c r="A89" s="205"/>
      <c r="B89" s="205"/>
      <c r="C89" s="206"/>
      <c r="D89" s="209"/>
      <c r="E89" s="232" t="s">
        <v>1157</v>
      </c>
      <c r="F89" s="232"/>
      <c r="G89" s="232" t="str">
        <f>SMU</f>
        <v>$ 000s</v>
      </c>
      <c r="H89" s="232">
        <f ca="1" xml:space="preserve"> SUM(J89:CV89)</f>
        <v>0</v>
      </c>
      <c r="I89" s="232"/>
      <c r="J89" s="232">
        <f t="shared" ref="J89:AO89" ca="1" si="32" xml:space="preserve"> J85 + SUM(J87:J88)</f>
        <v>-1.5558398445136845E-6</v>
      </c>
      <c r="K89" s="232">
        <f t="shared" ca="1" si="32"/>
        <v>-1.2466658517951146E-5</v>
      </c>
      <c r="L89" s="232">
        <f t="shared" ca="1" si="32"/>
        <v>-1.6754362150095403E-5</v>
      </c>
      <c r="M89" s="232">
        <f t="shared" ca="1" si="32"/>
        <v>-1.9422688637860119E-5</v>
      </c>
      <c r="N89" s="232">
        <f t="shared" ca="1" si="32"/>
        <v>-3.9676149608567357E-3</v>
      </c>
      <c r="O89" s="232">
        <f t="shared" ca="1" si="32"/>
        <v>4.0178145100071561E-3</v>
      </c>
      <c r="P89" s="232">
        <f t="shared" ca="1" si="32"/>
        <v>0</v>
      </c>
      <c r="Q89" s="232">
        <f t="shared" ca="1" si="32"/>
        <v>0</v>
      </c>
      <c r="R89" s="232">
        <f t="shared" ca="1" si="32"/>
        <v>0</v>
      </c>
      <c r="S89" s="232">
        <f t="shared" ca="1" si="32"/>
        <v>0</v>
      </c>
      <c r="T89" s="232">
        <f t="shared" ca="1" si="32"/>
        <v>0</v>
      </c>
      <c r="U89" s="232">
        <f t="shared" ca="1" si="32"/>
        <v>0</v>
      </c>
      <c r="V89" s="232">
        <f t="shared" ca="1" si="32"/>
        <v>0</v>
      </c>
      <c r="W89" s="232">
        <f t="shared" ca="1" si="32"/>
        <v>0</v>
      </c>
      <c r="X89" s="232">
        <f t="shared" ca="1" si="32"/>
        <v>0</v>
      </c>
      <c r="Y89" s="232">
        <f t="shared" ca="1" si="32"/>
        <v>0</v>
      </c>
      <c r="Z89" s="232">
        <f t="shared" ca="1" si="32"/>
        <v>0</v>
      </c>
      <c r="AA89" s="232">
        <f t="shared" ca="1" si="32"/>
        <v>0</v>
      </c>
      <c r="AB89" s="232">
        <f t="shared" ca="1" si="32"/>
        <v>0</v>
      </c>
      <c r="AC89" s="232">
        <f t="shared" ca="1" si="32"/>
        <v>0</v>
      </c>
      <c r="AD89" s="232">
        <f t="shared" ca="1" si="32"/>
        <v>0</v>
      </c>
      <c r="AE89" s="232">
        <f t="shared" ca="1" si="32"/>
        <v>0</v>
      </c>
      <c r="AF89" s="232">
        <f t="shared" ca="1" si="32"/>
        <v>0</v>
      </c>
      <c r="AG89" s="232">
        <f t="shared" ca="1" si="32"/>
        <v>0</v>
      </c>
      <c r="AH89" s="232">
        <f t="shared" ca="1" si="32"/>
        <v>0</v>
      </c>
      <c r="AI89" s="232">
        <f t="shared" ca="1" si="32"/>
        <v>0</v>
      </c>
      <c r="AJ89" s="232">
        <f t="shared" ca="1" si="32"/>
        <v>0</v>
      </c>
      <c r="AK89" s="232">
        <f t="shared" ca="1" si="32"/>
        <v>0</v>
      </c>
      <c r="AL89" s="232">
        <f t="shared" ca="1" si="32"/>
        <v>0</v>
      </c>
      <c r="AM89" s="232">
        <f t="shared" ca="1" si="32"/>
        <v>0</v>
      </c>
      <c r="AN89" s="232">
        <f t="shared" ca="1" si="32"/>
        <v>0</v>
      </c>
      <c r="AO89" s="232">
        <f t="shared" ca="1" si="32"/>
        <v>0</v>
      </c>
      <c r="AP89" s="232">
        <f t="shared" ref="AP89:BU89" ca="1" si="33" xml:space="preserve"> AP85 + SUM(AP87:AP88)</f>
        <v>0</v>
      </c>
      <c r="AQ89" s="232">
        <f t="shared" ca="1" si="33"/>
        <v>0</v>
      </c>
      <c r="AR89" s="232">
        <f t="shared" ca="1" si="33"/>
        <v>0</v>
      </c>
      <c r="AS89" s="232">
        <f t="shared" ca="1" si="33"/>
        <v>0</v>
      </c>
      <c r="AT89" s="232">
        <f t="shared" ca="1" si="33"/>
        <v>0</v>
      </c>
      <c r="AU89" s="232">
        <f t="shared" ca="1" si="33"/>
        <v>0</v>
      </c>
      <c r="AV89" s="232">
        <f t="shared" ca="1" si="33"/>
        <v>0</v>
      </c>
      <c r="AW89" s="232">
        <f t="shared" ca="1" si="33"/>
        <v>0</v>
      </c>
      <c r="AX89" s="232">
        <f t="shared" ca="1" si="33"/>
        <v>0</v>
      </c>
      <c r="AY89" s="232">
        <f t="shared" ca="1" si="33"/>
        <v>0</v>
      </c>
      <c r="AZ89" s="232">
        <f t="shared" ca="1" si="33"/>
        <v>0</v>
      </c>
      <c r="BA89" s="232">
        <f t="shared" ca="1" si="33"/>
        <v>0</v>
      </c>
      <c r="BB89" s="232">
        <f t="shared" ca="1" si="33"/>
        <v>0</v>
      </c>
      <c r="BC89" s="232">
        <f t="shared" ca="1" si="33"/>
        <v>0</v>
      </c>
      <c r="BD89" s="232">
        <f t="shared" ca="1" si="33"/>
        <v>0</v>
      </c>
      <c r="BE89" s="232">
        <f t="shared" ca="1" si="33"/>
        <v>0</v>
      </c>
      <c r="BF89" s="232">
        <f t="shared" ca="1" si="33"/>
        <v>0</v>
      </c>
      <c r="BG89" s="232">
        <f t="shared" ca="1" si="33"/>
        <v>0</v>
      </c>
      <c r="BH89" s="232">
        <f t="shared" ca="1" si="33"/>
        <v>0</v>
      </c>
      <c r="BI89" s="232">
        <f t="shared" ca="1" si="33"/>
        <v>0</v>
      </c>
      <c r="BJ89" s="232">
        <f t="shared" ca="1" si="33"/>
        <v>0</v>
      </c>
      <c r="BK89" s="232">
        <f t="shared" ca="1" si="33"/>
        <v>0</v>
      </c>
      <c r="BL89" s="232">
        <f t="shared" ca="1" si="33"/>
        <v>0</v>
      </c>
      <c r="BM89" s="232">
        <f t="shared" ca="1" si="33"/>
        <v>0</v>
      </c>
      <c r="BN89" s="232">
        <f t="shared" ca="1" si="33"/>
        <v>0</v>
      </c>
      <c r="BO89" s="232">
        <f t="shared" ca="1" si="33"/>
        <v>0</v>
      </c>
      <c r="BP89" s="232">
        <f t="shared" ca="1" si="33"/>
        <v>0</v>
      </c>
      <c r="BQ89" s="232">
        <f t="shared" ca="1" si="33"/>
        <v>0</v>
      </c>
      <c r="BR89" s="232">
        <f t="shared" ca="1" si="33"/>
        <v>0</v>
      </c>
      <c r="BS89" s="232">
        <f t="shared" ca="1" si="33"/>
        <v>0</v>
      </c>
      <c r="BT89" s="232">
        <f t="shared" ca="1" si="33"/>
        <v>0</v>
      </c>
      <c r="BU89" s="232">
        <f t="shared" ca="1" si="33"/>
        <v>0</v>
      </c>
      <c r="BV89" s="232">
        <f t="shared" ref="BV89:CV89" ca="1" si="34" xml:space="preserve"> BV85 + SUM(BV87:BV88)</f>
        <v>0</v>
      </c>
      <c r="BW89" s="232">
        <f t="shared" ca="1" si="34"/>
        <v>0</v>
      </c>
      <c r="BX89" s="232">
        <f t="shared" ca="1" si="34"/>
        <v>0</v>
      </c>
      <c r="BY89" s="232">
        <f t="shared" ca="1" si="34"/>
        <v>0</v>
      </c>
      <c r="BZ89" s="232">
        <f t="shared" ca="1" si="34"/>
        <v>0</v>
      </c>
      <c r="CA89" s="232">
        <f t="shared" ca="1" si="34"/>
        <v>0</v>
      </c>
      <c r="CB89" s="232">
        <f t="shared" ca="1" si="34"/>
        <v>0</v>
      </c>
      <c r="CC89" s="232">
        <f t="shared" ca="1" si="34"/>
        <v>0</v>
      </c>
      <c r="CD89" s="232">
        <f t="shared" ca="1" si="34"/>
        <v>0</v>
      </c>
      <c r="CE89" s="232">
        <f t="shared" ca="1" si="34"/>
        <v>0</v>
      </c>
      <c r="CF89" s="232">
        <f t="shared" ca="1" si="34"/>
        <v>0</v>
      </c>
      <c r="CG89" s="232">
        <f t="shared" ca="1" si="34"/>
        <v>0</v>
      </c>
      <c r="CH89" s="232">
        <f t="shared" ca="1" si="34"/>
        <v>0</v>
      </c>
      <c r="CI89" s="232">
        <f t="shared" ca="1" si="34"/>
        <v>0</v>
      </c>
      <c r="CJ89" s="232">
        <f t="shared" ca="1" si="34"/>
        <v>0</v>
      </c>
      <c r="CK89" s="232">
        <f t="shared" ca="1" si="34"/>
        <v>0</v>
      </c>
      <c r="CL89" s="232">
        <f t="shared" ca="1" si="34"/>
        <v>0</v>
      </c>
      <c r="CM89" s="232">
        <f t="shared" ca="1" si="34"/>
        <v>0</v>
      </c>
      <c r="CN89" s="232">
        <f t="shared" ca="1" si="34"/>
        <v>0</v>
      </c>
      <c r="CO89" s="232">
        <f t="shared" ca="1" si="34"/>
        <v>0</v>
      </c>
      <c r="CP89" s="232">
        <f t="shared" ca="1" si="34"/>
        <v>0</v>
      </c>
      <c r="CQ89" s="232">
        <f t="shared" ca="1" si="34"/>
        <v>0</v>
      </c>
      <c r="CR89" s="232">
        <f t="shared" ca="1" si="34"/>
        <v>0</v>
      </c>
      <c r="CS89" s="232">
        <f t="shared" ca="1" si="34"/>
        <v>0</v>
      </c>
      <c r="CT89" s="232">
        <f t="shared" ca="1" si="34"/>
        <v>0</v>
      </c>
      <c r="CU89" s="232">
        <f t="shared" ca="1" si="34"/>
        <v>0</v>
      </c>
      <c r="CV89" s="232">
        <f t="shared" ca="1" si="34"/>
        <v>0</v>
      </c>
    </row>
    <row r="90" spans="1:100" outlineLevel="1" x14ac:dyDescent="0.2">
      <c r="D90" s="209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  <c r="AG90" s="235"/>
      <c r="AH90" s="235"/>
      <c r="AI90" s="235"/>
      <c r="AJ90" s="235"/>
      <c r="AK90" s="235"/>
      <c r="AL90" s="235"/>
      <c r="AM90" s="235"/>
      <c r="AN90" s="235"/>
      <c r="AO90" s="235"/>
      <c r="AP90" s="235"/>
      <c r="AQ90" s="235"/>
      <c r="AR90" s="235"/>
      <c r="AS90" s="235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  <c r="BG90" s="235"/>
      <c r="BH90" s="235"/>
      <c r="BI90" s="235"/>
      <c r="BJ90" s="235"/>
      <c r="BK90" s="235"/>
      <c r="BL90" s="235"/>
      <c r="BM90" s="235"/>
      <c r="BN90" s="235"/>
      <c r="BO90" s="235"/>
      <c r="BP90" s="235"/>
      <c r="BQ90" s="235"/>
      <c r="BR90" s="235"/>
      <c r="BS90" s="235"/>
      <c r="BT90" s="235"/>
      <c r="BU90" s="235"/>
      <c r="BV90" s="235"/>
      <c r="BW90" s="235"/>
      <c r="BX90" s="235"/>
      <c r="BY90" s="235"/>
      <c r="BZ90" s="235"/>
      <c r="CA90" s="235"/>
      <c r="CB90" s="235"/>
      <c r="CC90" s="235"/>
      <c r="CD90" s="235"/>
      <c r="CE90" s="235"/>
      <c r="CF90" s="235"/>
      <c r="CG90" s="235"/>
      <c r="CH90" s="235"/>
      <c r="CI90" s="235"/>
      <c r="CJ90" s="235"/>
      <c r="CK90" s="235"/>
      <c r="CL90" s="235"/>
      <c r="CM90" s="235"/>
      <c r="CN90" s="235"/>
      <c r="CO90" s="235"/>
      <c r="CP90" s="235"/>
      <c r="CQ90" s="235"/>
      <c r="CR90" s="235"/>
      <c r="CS90" s="235"/>
      <c r="CT90" s="235"/>
      <c r="CU90" s="235"/>
      <c r="CV90" s="235"/>
    </row>
    <row r="91" spans="1:100" s="192" customFormat="1" outlineLevel="1" x14ac:dyDescent="0.2">
      <c r="A91" s="205"/>
      <c r="B91" s="205"/>
      <c r="C91" s="206"/>
      <c r="D91" s="209"/>
      <c r="E91" s="235" t="str">
        <f xml:space="preserve"> Equity!E$149</f>
        <v>Dividends paid - P99</v>
      </c>
      <c r="F91" s="235">
        <f xml:space="preserve"> Equity!F$149</f>
        <v>0</v>
      </c>
      <c r="G91" s="235" t="str">
        <f xml:space="preserve"> Equity!G$149</f>
        <v>$ 000s</v>
      </c>
      <c r="H91" s="235">
        <f ca="1" xml:space="preserve"> Equity!H$149</f>
        <v>0</v>
      </c>
      <c r="I91" s="235">
        <f xml:space="preserve"> Equity!I$149</f>
        <v>0</v>
      </c>
      <c r="J91" s="235">
        <f ca="1" xml:space="preserve"> Equity!J$149</f>
        <v>0</v>
      </c>
      <c r="K91" s="235">
        <f ca="1" xml:space="preserve"> Equity!K$149</f>
        <v>0</v>
      </c>
      <c r="L91" s="235">
        <f ca="1" xml:space="preserve"> Equity!L$149</f>
        <v>0</v>
      </c>
      <c r="M91" s="235">
        <f ca="1" xml:space="preserve"> Equity!M$149</f>
        <v>0</v>
      </c>
      <c r="N91" s="235">
        <f ca="1" xml:space="preserve"> Equity!N$149</f>
        <v>0</v>
      </c>
      <c r="O91" s="235">
        <f ca="1" xml:space="preserve"> Equity!O$149</f>
        <v>0</v>
      </c>
      <c r="P91" s="235">
        <f ca="1" xml:space="preserve"> Equity!P$149</f>
        <v>0</v>
      </c>
      <c r="Q91" s="235">
        <f ca="1" xml:space="preserve"> Equity!Q$149</f>
        <v>0</v>
      </c>
      <c r="R91" s="235">
        <f ca="1" xml:space="preserve"> Equity!R$149</f>
        <v>0</v>
      </c>
      <c r="S91" s="235">
        <f ca="1" xml:space="preserve"> Equity!S$149</f>
        <v>0</v>
      </c>
      <c r="T91" s="235">
        <f ca="1" xml:space="preserve"> Equity!T$149</f>
        <v>0</v>
      </c>
      <c r="U91" s="235">
        <f ca="1" xml:space="preserve"> Equity!U$149</f>
        <v>0</v>
      </c>
      <c r="V91" s="235">
        <f ca="1" xml:space="preserve"> Equity!V$149</f>
        <v>0</v>
      </c>
      <c r="W91" s="235">
        <f ca="1" xml:space="preserve"> Equity!W$149</f>
        <v>0</v>
      </c>
      <c r="X91" s="235">
        <f ca="1" xml:space="preserve"> Equity!X$149</f>
        <v>0</v>
      </c>
      <c r="Y91" s="235">
        <f ca="1" xml:space="preserve"> Equity!Y$149</f>
        <v>0</v>
      </c>
      <c r="Z91" s="235">
        <f ca="1" xml:space="preserve"> Equity!Z$149</f>
        <v>0</v>
      </c>
      <c r="AA91" s="235">
        <f ca="1" xml:space="preserve"> Equity!AA$149</f>
        <v>0</v>
      </c>
      <c r="AB91" s="235">
        <f ca="1" xml:space="preserve"> Equity!AB$149</f>
        <v>0</v>
      </c>
      <c r="AC91" s="235">
        <f ca="1" xml:space="preserve"> Equity!AC$149</f>
        <v>0</v>
      </c>
      <c r="AD91" s="235">
        <f ca="1" xml:space="preserve"> Equity!AD$149</f>
        <v>0</v>
      </c>
      <c r="AE91" s="235">
        <f ca="1" xml:space="preserve"> Equity!AE$149</f>
        <v>0</v>
      </c>
      <c r="AF91" s="235">
        <f ca="1" xml:space="preserve"> Equity!AF$149</f>
        <v>0</v>
      </c>
      <c r="AG91" s="235">
        <f ca="1" xml:space="preserve"> Equity!AG$149</f>
        <v>0</v>
      </c>
      <c r="AH91" s="235">
        <f ca="1" xml:space="preserve"> Equity!AH$149</f>
        <v>0</v>
      </c>
      <c r="AI91" s="235">
        <f ca="1" xml:space="preserve"> Equity!AI$149</f>
        <v>0</v>
      </c>
      <c r="AJ91" s="235">
        <f ca="1" xml:space="preserve"> Equity!AJ$149</f>
        <v>0</v>
      </c>
      <c r="AK91" s="235">
        <f ca="1" xml:space="preserve"> Equity!AK$149</f>
        <v>0</v>
      </c>
      <c r="AL91" s="235">
        <f ca="1" xml:space="preserve"> Equity!AL$149</f>
        <v>0</v>
      </c>
      <c r="AM91" s="235">
        <f ca="1" xml:space="preserve"> Equity!AM$149</f>
        <v>0</v>
      </c>
      <c r="AN91" s="235">
        <f ca="1" xml:space="preserve"> Equity!AN$149</f>
        <v>0</v>
      </c>
      <c r="AO91" s="235">
        <f ca="1" xml:space="preserve"> Equity!AO$149</f>
        <v>0</v>
      </c>
      <c r="AP91" s="235">
        <f ca="1" xml:space="preserve"> Equity!AP$149</f>
        <v>0</v>
      </c>
      <c r="AQ91" s="235">
        <f ca="1" xml:space="preserve"> Equity!AQ$149</f>
        <v>0</v>
      </c>
      <c r="AR91" s="235">
        <f ca="1" xml:space="preserve"> Equity!AR$149</f>
        <v>0</v>
      </c>
      <c r="AS91" s="235">
        <f ca="1" xml:space="preserve"> Equity!AS$149</f>
        <v>0</v>
      </c>
      <c r="AT91" s="235">
        <f ca="1" xml:space="preserve"> Equity!AT$149</f>
        <v>0</v>
      </c>
      <c r="AU91" s="235">
        <f ca="1" xml:space="preserve"> Equity!AU$149</f>
        <v>0</v>
      </c>
      <c r="AV91" s="235">
        <f ca="1" xml:space="preserve"> Equity!AV$149</f>
        <v>0</v>
      </c>
      <c r="AW91" s="235">
        <f ca="1" xml:space="preserve"> Equity!AW$149</f>
        <v>0</v>
      </c>
      <c r="AX91" s="235">
        <f ca="1" xml:space="preserve"> Equity!AX$149</f>
        <v>0</v>
      </c>
      <c r="AY91" s="235">
        <f ca="1" xml:space="preserve"> Equity!AY$149</f>
        <v>0</v>
      </c>
      <c r="AZ91" s="235">
        <f ca="1" xml:space="preserve"> Equity!AZ$149</f>
        <v>0</v>
      </c>
      <c r="BA91" s="235">
        <f ca="1" xml:space="preserve"> Equity!BA$149</f>
        <v>0</v>
      </c>
      <c r="BB91" s="235">
        <f ca="1" xml:space="preserve"> Equity!BB$149</f>
        <v>0</v>
      </c>
      <c r="BC91" s="235">
        <f ca="1" xml:space="preserve"> Equity!BC$149</f>
        <v>0</v>
      </c>
      <c r="BD91" s="235">
        <f ca="1" xml:space="preserve"> Equity!BD$149</f>
        <v>0</v>
      </c>
      <c r="BE91" s="235">
        <f ca="1" xml:space="preserve"> Equity!BE$149</f>
        <v>0</v>
      </c>
      <c r="BF91" s="235">
        <f ca="1" xml:space="preserve"> Equity!BF$149</f>
        <v>0</v>
      </c>
      <c r="BG91" s="235">
        <f ca="1" xml:space="preserve"> Equity!BG$149</f>
        <v>0</v>
      </c>
      <c r="BH91" s="235">
        <f ca="1" xml:space="preserve"> Equity!BH$149</f>
        <v>0</v>
      </c>
      <c r="BI91" s="235">
        <f ca="1" xml:space="preserve"> Equity!BI$149</f>
        <v>0</v>
      </c>
      <c r="BJ91" s="235">
        <f ca="1" xml:space="preserve"> Equity!BJ$149</f>
        <v>0</v>
      </c>
      <c r="BK91" s="235">
        <f ca="1" xml:space="preserve"> Equity!BK$149</f>
        <v>0</v>
      </c>
      <c r="BL91" s="235">
        <f ca="1" xml:space="preserve"> Equity!BL$149</f>
        <v>0</v>
      </c>
      <c r="BM91" s="235">
        <f ca="1" xml:space="preserve"> Equity!BM$149</f>
        <v>0</v>
      </c>
      <c r="BN91" s="235">
        <f ca="1" xml:space="preserve"> Equity!BN$149</f>
        <v>0</v>
      </c>
      <c r="BO91" s="235">
        <f ca="1" xml:space="preserve"> Equity!BO$149</f>
        <v>0</v>
      </c>
      <c r="BP91" s="235">
        <f ca="1" xml:space="preserve"> Equity!BP$149</f>
        <v>0</v>
      </c>
      <c r="BQ91" s="235">
        <f ca="1" xml:space="preserve"> Equity!BQ$149</f>
        <v>0</v>
      </c>
      <c r="BR91" s="235">
        <f ca="1" xml:space="preserve"> Equity!BR$149</f>
        <v>0</v>
      </c>
      <c r="BS91" s="235">
        <f ca="1" xml:space="preserve"> Equity!BS$149</f>
        <v>0</v>
      </c>
      <c r="BT91" s="235">
        <f ca="1" xml:space="preserve"> Equity!BT$149</f>
        <v>0</v>
      </c>
      <c r="BU91" s="235">
        <f ca="1" xml:space="preserve"> Equity!BU$149</f>
        <v>0</v>
      </c>
      <c r="BV91" s="235">
        <f ca="1" xml:space="preserve"> Equity!BV$149</f>
        <v>0</v>
      </c>
      <c r="BW91" s="235">
        <f ca="1" xml:space="preserve"> Equity!BW$149</f>
        <v>0</v>
      </c>
      <c r="BX91" s="235">
        <f ca="1" xml:space="preserve"> Equity!BX$149</f>
        <v>0</v>
      </c>
      <c r="BY91" s="235">
        <f ca="1" xml:space="preserve"> Equity!BY$149</f>
        <v>0</v>
      </c>
      <c r="BZ91" s="235">
        <f ca="1" xml:space="preserve"> Equity!BZ$149</f>
        <v>0</v>
      </c>
      <c r="CA91" s="235">
        <f ca="1" xml:space="preserve"> Equity!CA$149</f>
        <v>0</v>
      </c>
      <c r="CB91" s="235">
        <f ca="1" xml:space="preserve"> Equity!CB$149</f>
        <v>0</v>
      </c>
      <c r="CC91" s="235">
        <f ca="1" xml:space="preserve"> Equity!CC$149</f>
        <v>0</v>
      </c>
      <c r="CD91" s="235">
        <f ca="1" xml:space="preserve"> Equity!CD$149</f>
        <v>0</v>
      </c>
      <c r="CE91" s="235">
        <f ca="1" xml:space="preserve"> Equity!CE$149</f>
        <v>0</v>
      </c>
      <c r="CF91" s="235">
        <f ca="1" xml:space="preserve"> Equity!CF$149</f>
        <v>0</v>
      </c>
      <c r="CG91" s="235">
        <f ca="1" xml:space="preserve"> Equity!CG$149</f>
        <v>0</v>
      </c>
      <c r="CH91" s="235">
        <f ca="1" xml:space="preserve"> Equity!CH$149</f>
        <v>0</v>
      </c>
      <c r="CI91" s="235">
        <f ca="1" xml:space="preserve"> Equity!CI$149</f>
        <v>0</v>
      </c>
      <c r="CJ91" s="235">
        <f ca="1" xml:space="preserve"> Equity!CJ$149</f>
        <v>0</v>
      </c>
      <c r="CK91" s="235">
        <f ca="1" xml:space="preserve"> Equity!CK$149</f>
        <v>0</v>
      </c>
      <c r="CL91" s="235">
        <f ca="1" xml:space="preserve"> Equity!CL$149</f>
        <v>0</v>
      </c>
      <c r="CM91" s="235">
        <f ca="1" xml:space="preserve"> Equity!CM$149</f>
        <v>0</v>
      </c>
      <c r="CN91" s="235">
        <f ca="1" xml:space="preserve"> Equity!CN$149</f>
        <v>0</v>
      </c>
      <c r="CO91" s="235">
        <f ca="1" xml:space="preserve"> Equity!CO$149</f>
        <v>0</v>
      </c>
      <c r="CP91" s="235">
        <f ca="1" xml:space="preserve"> Equity!CP$149</f>
        <v>0</v>
      </c>
      <c r="CQ91" s="235">
        <f ca="1" xml:space="preserve"> Equity!CQ$149</f>
        <v>0</v>
      </c>
      <c r="CR91" s="235">
        <f ca="1" xml:space="preserve"> Equity!CR$149</f>
        <v>0</v>
      </c>
      <c r="CS91" s="235">
        <f ca="1" xml:space="preserve"> Equity!CS$149</f>
        <v>0</v>
      </c>
      <c r="CT91" s="235">
        <f ca="1" xml:space="preserve"> Equity!CT$149</f>
        <v>0</v>
      </c>
      <c r="CU91" s="235">
        <f ca="1" xml:space="preserve"> Equity!CU$149</f>
        <v>0</v>
      </c>
      <c r="CV91" s="235">
        <f ca="1" xml:space="preserve"> Equity!CV$149</f>
        <v>0</v>
      </c>
    </row>
    <row r="92" spans="1:100" outlineLevel="1" x14ac:dyDescent="0.2">
      <c r="D92" s="209"/>
      <c r="E92" s="232" t="s">
        <v>1158</v>
      </c>
      <c r="F92" s="232"/>
      <c r="G92" s="232" t="str">
        <f>SMU</f>
        <v>$ 000s</v>
      </c>
      <c r="H92" s="232">
        <f ca="1" xml:space="preserve"> SUM(J92:CV92)</f>
        <v>0</v>
      </c>
      <c r="I92" s="232"/>
      <c r="J92" s="232">
        <f ca="1" xml:space="preserve"> J89 + J91</f>
        <v>-1.5558398445136845E-6</v>
      </c>
      <c r="K92" s="232">
        <f t="shared" ref="K92:BV92" ca="1" si="35" xml:space="preserve"> K89 + K91</f>
        <v>-1.2466658517951146E-5</v>
      </c>
      <c r="L92" s="232">
        <f t="shared" ca="1" si="35"/>
        <v>-1.6754362150095403E-5</v>
      </c>
      <c r="M92" s="232">
        <f t="shared" ca="1" si="35"/>
        <v>-1.9422688637860119E-5</v>
      </c>
      <c r="N92" s="232">
        <f t="shared" ca="1" si="35"/>
        <v>-3.9676149608567357E-3</v>
      </c>
      <c r="O92" s="232">
        <f t="shared" ca="1" si="35"/>
        <v>4.0178145100071561E-3</v>
      </c>
      <c r="P92" s="232">
        <f t="shared" ca="1" si="35"/>
        <v>0</v>
      </c>
      <c r="Q92" s="232">
        <f t="shared" ca="1" si="35"/>
        <v>0</v>
      </c>
      <c r="R92" s="232">
        <f t="shared" ca="1" si="35"/>
        <v>0</v>
      </c>
      <c r="S92" s="232">
        <f t="shared" ca="1" si="35"/>
        <v>0</v>
      </c>
      <c r="T92" s="232">
        <f t="shared" ca="1" si="35"/>
        <v>0</v>
      </c>
      <c r="U92" s="232">
        <f t="shared" ca="1" si="35"/>
        <v>0</v>
      </c>
      <c r="V92" s="232">
        <f t="shared" ca="1" si="35"/>
        <v>0</v>
      </c>
      <c r="W92" s="232">
        <f t="shared" ca="1" si="35"/>
        <v>0</v>
      </c>
      <c r="X92" s="232">
        <f t="shared" ca="1" si="35"/>
        <v>0</v>
      </c>
      <c r="Y92" s="232">
        <f t="shared" ca="1" si="35"/>
        <v>0</v>
      </c>
      <c r="Z92" s="232">
        <f t="shared" ca="1" si="35"/>
        <v>0</v>
      </c>
      <c r="AA92" s="232">
        <f t="shared" ca="1" si="35"/>
        <v>0</v>
      </c>
      <c r="AB92" s="232">
        <f t="shared" ca="1" si="35"/>
        <v>0</v>
      </c>
      <c r="AC92" s="232">
        <f t="shared" ca="1" si="35"/>
        <v>0</v>
      </c>
      <c r="AD92" s="232">
        <f t="shared" ca="1" si="35"/>
        <v>0</v>
      </c>
      <c r="AE92" s="232">
        <f t="shared" ca="1" si="35"/>
        <v>0</v>
      </c>
      <c r="AF92" s="232">
        <f t="shared" ca="1" si="35"/>
        <v>0</v>
      </c>
      <c r="AG92" s="232">
        <f t="shared" ca="1" si="35"/>
        <v>0</v>
      </c>
      <c r="AH92" s="232">
        <f t="shared" ca="1" si="35"/>
        <v>0</v>
      </c>
      <c r="AI92" s="232">
        <f t="shared" ca="1" si="35"/>
        <v>0</v>
      </c>
      <c r="AJ92" s="232">
        <f t="shared" ca="1" si="35"/>
        <v>0</v>
      </c>
      <c r="AK92" s="232">
        <f t="shared" ca="1" si="35"/>
        <v>0</v>
      </c>
      <c r="AL92" s="232">
        <f t="shared" ca="1" si="35"/>
        <v>0</v>
      </c>
      <c r="AM92" s="232">
        <f t="shared" ca="1" si="35"/>
        <v>0</v>
      </c>
      <c r="AN92" s="232">
        <f t="shared" ca="1" si="35"/>
        <v>0</v>
      </c>
      <c r="AO92" s="232">
        <f t="shared" ca="1" si="35"/>
        <v>0</v>
      </c>
      <c r="AP92" s="232">
        <f t="shared" ca="1" si="35"/>
        <v>0</v>
      </c>
      <c r="AQ92" s="232">
        <f t="shared" ca="1" si="35"/>
        <v>0</v>
      </c>
      <c r="AR92" s="232">
        <f t="shared" ca="1" si="35"/>
        <v>0</v>
      </c>
      <c r="AS92" s="232">
        <f t="shared" ca="1" si="35"/>
        <v>0</v>
      </c>
      <c r="AT92" s="232">
        <f t="shared" ca="1" si="35"/>
        <v>0</v>
      </c>
      <c r="AU92" s="232">
        <f t="shared" ca="1" si="35"/>
        <v>0</v>
      </c>
      <c r="AV92" s="232">
        <f t="shared" ca="1" si="35"/>
        <v>0</v>
      </c>
      <c r="AW92" s="232">
        <f t="shared" ca="1" si="35"/>
        <v>0</v>
      </c>
      <c r="AX92" s="232">
        <f t="shared" ca="1" si="35"/>
        <v>0</v>
      </c>
      <c r="AY92" s="232">
        <f t="shared" ca="1" si="35"/>
        <v>0</v>
      </c>
      <c r="AZ92" s="232">
        <f t="shared" ca="1" si="35"/>
        <v>0</v>
      </c>
      <c r="BA92" s="232">
        <f t="shared" ca="1" si="35"/>
        <v>0</v>
      </c>
      <c r="BB92" s="232">
        <f t="shared" ca="1" si="35"/>
        <v>0</v>
      </c>
      <c r="BC92" s="232">
        <f t="shared" ca="1" si="35"/>
        <v>0</v>
      </c>
      <c r="BD92" s="232">
        <f t="shared" ca="1" si="35"/>
        <v>0</v>
      </c>
      <c r="BE92" s="232">
        <f t="shared" ca="1" si="35"/>
        <v>0</v>
      </c>
      <c r="BF92" s="232">
        <f t="shared" ca="1" si="35"/>
        <v>0</v>
      </c>
      <c r="BG92" s="232">
        <f t="shared" ca="1" si="35"/>
        <v>0</v>
      </c>
      <c r="BH92" s="232">
        <f t="shared" ca="1" si="35"/>
        <v>0</v>
      </c>
      <c r="BI92" s="232">
        <f t="shared" ca="1" si="35"/>
        <v>0</v>
      </c>
      <c r="BJ92" s="232">
        <f t="shared" ca="1" si="35"/>
        <v>0</v>
      </c>
      <c r="BK92" s="232">
        <f t="shared" ca="1" si="35"/>
        <v>0</v>
      </c>
      <c r="BL92" s="232">
        <f t="shared" ca="1" si="35"/>
        <v>0</v>
      </c>
      <c r="BM92" s="232">
        <f t="shared" ca="1" si="35"/>
        <v>0</v>
      </c>
      <c r="BN92" s="232">
        <f t="shared" ca="1" si="35"/>
        <v>0</v>
      </c>
      <c r="BO92" s="232">
        <f t="shared" ca="1" si="35"/>
        <v>0</v>
      </c>
      <c r="BP92" s="232">
        <f t="shared" ca="1" si="35"/>
        <v>0</v>
      </c>
      <c r="BQ92" s="232">
        <f t="shared" ca="1" si="35"/>
        <v>0</v>
      </c>
      <c r="BR92" s="232">
        <f t="shared" ca="1" si="35"/>
        <v>0</v>
      </c>
      <c r="BS92" s="232">
        <f t="shared" ca="1" si="35"/>
        <v>0</v>
      </c>
      <c r="BT92" s="232">
        <f t="shared" ca="1" si="35"/>
        <v>0</v>
      </c>
      <c r="BU92" s="232">
        <f t="shared" ca="1" si="35"/>
        <v>0</v>
      </c>
      <c r="BV92" s="232">
        <f t="shared" ca="1" si="35"/>
        <v>0</v>
      </c>
      <c r="BW92" s="232">
        <f t="shared" ref="BW92:CV92" ca="1" si="36" xml:space="preserve"> BW89 + BW91</f>
        <v>0</v>
      </c>
      <c r="BX92" s="232">
        <f t="shared" ca="1" si="36"/>
        <v>0</v>
      </c>
      <c r="BY92" s="232">
        <f t="shared" ca="1" si="36"/>
        <v>0</v>
      </c>
      <c r="BZ92" s="232">
        <f t="shared" ca="1" si="36"/>
        <v>0</v>
      </c>
      <c r="CA92" s="232">
        <f t="shared" ca="1" si="36"/>
        <v>0</v>
      </c>
      <c r="CB92" s="232">
        <f t="shared" ca="1" si="36"/>
        <v>0</v>
      </c>
      <c r="CC92" s="232">
        <f t="shared" ca="1" si="36"/>
        <v>0</v>
      </c>
      <c r="CD92" s="232">
        <f t="shared" ca="1" si="36"/>
        <v>0</v>
      </c>
      <c r="CE92" s="232">
        <f t="shared" ca="1" si="36"/>
        <v>0</v>
      </c>
      <c r="CF92" s="232">
        <f t="shared" ca="1" si="36"/>
        <v>0</v>
      </c>
      <c r="CG92" s="232">
        <f t="shared" ca="1" si="36"/>
        <v>0</v>
      </c>
      <c r="CH92" s="232">
        <f t="shared" ca="1" si="36"/>
        <v>0</v>
      </c>
      <c r="CI92" s="232">
        <f t="shared" ca="1" si="36"/>
        <v>0</v>
      </c>
      <c r="CJ92" s="232">
        <f t="shared" ca="1" si="36"/>
        <v>0</v>
      </c>
      <c r="CK92" s="232">
        <f t="shared" ca="1" si="36"/>
        <v>0</v>
      </c>
      <c r="CL92" s="232">
        <f t="shared" ca="1" si="36"/>
        <v>0</v>
      </c>
      <c r="CM92" s="232">
        <f t="shared" ca="1" si="36"/>
        <v>0</v>
      </c>
      <c r="CN92" s="232">
        <f t="shared" ca="1" si="36"/>
        <v>0</v>
      </c>
      <c r="CO92" s="232">
        <f t="shared" ca="1" si="36"/>
        <v>0</v>
      </c>
      <c r="CP92" s="232">
        <f t="shared" ca="1" si="36"/>
        <v>0</v>
      </c>
      <c r="CQ92" s="232">
        <f t="shared" ca="1" si="36"/>
        <v>0</v>
      </c>
      <c r="CR92" s="232">
        <f t="shared" ca="1" si="36"/>
        <v>0</v>
      </c>
      <c r="CS92" s="232">
        <f t="shared" ca="1" si="36"/>
        <v>0</v>
      </c>
      <c r="CT92" s="232">
        <f t="shared" ca="1" si="36"/>
        <v>0</v>
      </c>
      <c r="CU92" s="232">
        <f t="shared" ca="1" si="36"/>
        <v>0</v>
      </c>
      <c r="CV92" s="232">
        <f t="shared" ca="1" si="36"/>
        <v>0</v>
      </c>
    </row>
    <row r="93" spans="1:100" outlineLevel="1" x14ac:dyDescent="0.2">
      <c r="D93" s="209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  <c r="AG93" s="235"/>
      <c r="AH93" s="235"/>
      <c r="AI93" s="235"/>
      <c r="AJ93" s="235"/>
      <c r="AK93" s="235"/>
      <c r="AL93" s="235"/>
      <c r="AM93" s="235"/>
      <c r="AN93" s="235"/>
      <c r="AO93" s="235"/>
      <c r="AP93" s="235"/>
      <c r="AQ93" s="235"/>
      <c r="AR93" s="235"/>
      <c r="AS93" s="235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  <c r="BG93" s="235"/>
      <c r="BH93" s="235"/>
      <c r="BI93" s="235"/>
      <c r="BJ93" s="235"/>
      <c r="BK93" s="235"/>
      <c r="BL93" s="235"/>
      <c r="BM93" s="235"/>
      <c r="BN93" s="235"/>
      <c r="BO93" s="235"/>
      <c r="BP93" s="235"/>
      <c r="BQ93" s="235"/>
      <c r="BR93" s="235"/>
      <c r="BS93" s="235"/>
      <c r="BT93" s="235"/>
      <c r="BU93" s="235"/>
      <c r="BV93" s="235"/>
      <c r="BW93" s="235"/>
      <c r="BX93" s="235"/>
      <c r="BY93" s="235"/>
      <c r="BZ93" s="235"/>
      <c r="CA93" s="235"/>
      <c r="CB93" s="235"/>
      <c r="CC93" s="235"/>
      <c r="CD93" s="235"/>
      <c r="CE93" s="235"/>
      <c r="CF93" s="235"/>
      <c r="CG93" s="235"/>
      <c r="CH93" s="235"/>
      <c r="CI93" s="235"/>
      <c r="CJ93" s="235"/>
      <c r="CK93" s="235"/>
      <c r="CL93" s="235"/>
      <c r="CM93" s="235"/>
      <c r="CN93" s="235"/>
      <c r="CO93" s="235"/>
      <c r="CP93" s="235"/>
      <c r="CQ93" s="235"/>
      <c r="CR93" s="235"/>
      <c r="CS93" s="235"/>
      <c r="CT93" s="235"/>
      <c r="CU93" s="235"/>
      <c r="CV93" s="235"/>
    </row>
    <row r="94" spans="1:100" x14ac:dyDescent="0.2">
      <c r="D94" s="209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5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  <c r="BG94" s="235"/>
      <c r="BH94" s="235"/>
      <c r="BI94" s="235"/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5"/>
      <c r="BW94" s="235"/>
      <c r="BX94" s="235"/>
      <c r="BY94" s="235"/>
      <c r="BZ94" s="235"/>
      <c r="CA94" s="235"/>
      <c r="CB94" s="235"/>
      <c r="CC94" s="235"/>
      <c r="CD94" s="235"/>
      <c r="CE94" s="235"/>
      <c r="CF94" s="235"/>
      <c r="CG94" s="235"/>
      <c r="CH94" s="235"/>
      <c r="CI94" s="235"/>
      <c r="CJ94" s="235"/>
      <c r="CK94" s="235"/>
      <c r="CL94" s="235"/>
      <c r="CM94" s="235"/>
      <c r="CN94" s="235"/>
      <c r="CO94" s="235"/>
      <c r="CP94" s="235"/>
      <c r="CQ94" s="235"/>
      <c r="CR94" s="235"/>
      <c r="CS94" s="235"/>
      <c r="CT94" s="235"/>
      <c r="CU94" s="235"/>
      <c r="CV94" s="235"/>
    </row>
    <row r="95" spans="1:100" x14ac:dyDescent="0.2">
      <c r="A95" s="205" t="s">
        <v>60</v>
      </c>
      <c r="D95" s="209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5"/>
      <c r="P95" s="235"/>
      <c r="Q95" s="235"/>
      <c r="R95" s="235"/>
      <c r="S95" s="235"/>
      <c r="T95" s="235"/>
      <c r="U95" s="235"/>
      <c r="V95" s="235"/>
      <c r="W95" s="235"/>
      <c r="X95" s="235"/>
      <c r="Y95" s="235"/>
      <c r="Z95" s="235"/>
      <c r="AA95" s="235"/>
      <c r="AB95" s="235"/>
      <c r="AC95" s="235"/>
      <c r="AD95" s="235"/>
      <c r="AE95" s="235"/>
      <c r="AF95" s="235"/>
      <c r="AG95" s="235"/>
      <c r="AH95" s="235"/>
      <c r="AI95" s="235"/>
      <c r="AJ95" s="235"/>
      <c r="AK95" s="235"/>
      <c r="AL95" s="235"/>
      <c r="AM95" s="235"/>
      <c r="AN95" s="235"/>
      <c r="AO95" s="235"/>
      <c r="AP95" s="235"/>
      <c r="AQ95" s="235"/>
      <c r="AR95" s="235"/>
      <c r="AS95" s="235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5"/>
      <c r="BI95" s="235"/>
      <c r="BJ95" s="235"/>
      <c r="BK95" s="235"/>
      <c r="BL95" s="235"/>
      <c r="BM95" s="235"/>
      <c r="BN95" s="235"/>
      <c r="BO95" s="235"/>
      <c r="BP95" s="235"/>
      <c r="BQ95" s="235"/>
      <c r="BR95" s="235"/>
      <c r="BS95" s="235"/>
      <c r="BT95" s="235"/>
      <c r="BU95" s="235"/>
      <c r="BV95" s="235"/>
      <c r="BW95" s="235"/>
      <c r="BX95" s="235"/>
      <c r="BY95" s="235"/>
      <c r="BZ95" s="235"/>
      <c r="CA95" s="235"/>
      <c r="CB95" s="235"/>
      <c r="CC95" s="235"/>
      <c r="CD95" s="235"/>
      <c r="CE95" s="235"/>
      <c r="CF95" s="235"/>
      <c r="CG95" s="235"/>
      <c r="CH95" s="235"/>
      <c r="CI95" s="235"/>
      <c r="CJ95" s="235"/>
      <c r="CK95" s="235"/>
      <c r="CL95" s="235"/>
      <c r="CM95" s="235"/>
      <c r="CN95" s="235"/>
      <c r="CO95" s="235"/>
      <c r="CP95" s="235"/>
      <c r="CQ95" s="235"/>
      <c r="CR95" s="235"/>
      <c r="CS95" s="235"/>
      <c r="CT95" s="235"/>
      <c r="CU95" s="235"/>
      <c r="CV95" s="235"/>
    </row>
    <row r="96" spans="1:100" outlineLevel="1" x14ac:dyDescent="0.2">
      <c r="D96" s="209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</row>
    <row r="97" spans="1:100" outlineLevel="1" x14ac:dyDescent="0.2">
      <c r="B97" s="205" t="s">
        <v>61</v>
      </c>
      <c r="D97" s="209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outlineLevel="2" x14ac:dyDescent="0.2">
      <c r="D98" s="209"/>
      <c r="E98" s="288" t="str">
        <f xml:space="preserve"> Acct!E$27</f>
        <v>Fixed asset balance</v>
      </c>
      <c r="F98" s="288">
        <f xml:space="preserve"> Acct!F$27</f>
        <v>0</v>
      </c>
      <c r="G98" s="288" t="str">
        <f xml:space="preserve"> Acct!G$27</f>
        <v>$ 000s</v>
      </c>
      <c r="H98" s="288">
        <f xml:space="preserve"> Acct!H$27</f>
        <v>0</v>
      </c>
      <c r="I98" s="288">
        <f xml:space="preserve"> Acct!I$27</f>
        <v>0</v>
      </c>
      <c r="J98" s="288">
        <f xml:space="preserve"> Acct!J$27</f>
        <v>31455.562132307692</v>
      </c>
      <c r="K98" s="288">
        <f xml:space="preserve"> Acct!K$27</f>
        <v>100922.24852923077</v>
      </c>
      <c r="L98" s="288">
        <f xml:space="preserve"> Acct!L$27</f>
        <v>170388.93492615386</v>
      </c>
      <c r="M98" s="288">
        <f xml:space="preserve"> Acct!M$27</f>
        <v>237865.62132307695</v>
      </c>
      <c r="N98" s="288">
        <f xml:space="preserve"> Acct!N$27</f>
        <v>295392.30772000004</v>
      </c>
      <c r="O98" s="288">
        <f xml:space="preserve"> Acct!O$27</f>
        <v>288007.50002700003</v>
      </c>
      <c r="P98" s="288">
        <f xml:space="preserve"> Acct!P$27</f>
        <v>280622.69233400002</v>
      </c>
      <c r="Q98" s="288">
        <f xml:space="preserve"> Acct!Q$27</f>
        <v>273237.88464100001</v>
      </c>
      <c r="R98" s="288">
        <f xml:space="preserve"> Acct!R$27</f>
        <v>265853.076948</v>
      </c>
      <c r="S98" s="288">
        <f xml:space="preserve"> Acct!S$27</f>
        <v>258468.26925499999</v>
      </c>
      <c r="T98" s="288">
        <f xml:space="preserve"> Acct!T$27</f>
        <v>251083.46156199998</v>
      </c>
      <c r="U98" s="288">
        <f xml:space="preserve"> Acct!U$27</f>
        <v>243698.65386899997</v>
      </c>
      <c r="V98" s="288">
        <f xml:space="preserve"> Acct!V$27</f>
        <v>236313.84617599996</v>
      </c>
      <c r="W98" s="288">
        <f xml:space="preserve"> Acct!W$27</f>
        <v>228929.03848299995</v>
      </c>
      <c r="X98" s="288">
        <f xml:space="preserve"> Acct!X$27</f>
        <v>221544.23078999994</v>
      </c>
      <c r="Y98" s="288">
        <f xml:space="preserve"> Acct!Y$27</f>
        <v>214159.42309699993</v>
      </c>
      <c r="Z98" s="288">
        <f xml:space="preserve"> Acct!Z$27</f>
        <v>206774.61540399992</v>
      </c>
      <c r="AA98" s="288">
        <f xml:space="preserve"> Acct!AA$27</f>
        <v>199389.80771099991</v>
      </c>
      <c r="AB98" s="288">
        <f xml:space="preserve"> Acct!AB$27</f>
        <v>192005.0000179999</v>
      </c>
      <c r="AC98" s="288">
        <f xml:space="preserve"> Acct!AC$27</f>
        <v>184620.19232499989</v>
      </c>
      <c r="AD98" s="288">
        <f xml:space="preserve"> Acct!AD$27</f>
        <v>177235.38463199988</v>
      </c>
      <c r="AE98" s="288">
        <f xml:space="preserve"> Acct!AE$27</f>
        <v>169850.57693899987</v>
      </c>
      <c r="AF98" s="288">
        <f xml:space="preserve"> Acct!AF$27</f>
        <v>162465.76924599987</v>
      </c>
      <c r="AG98" s="288">
        <f xml:space="preserve"> Acct!AG$27</f>
        <v>155080.96155299986</v>
      </c>
      <c r="AH98" s="288">
        <f xml:space="preserve"> Acct!AH$27</f>
        <v>147696.15385999985</v>
      </c>
      <c r="AI98" s="288">
        <f xml:space="preserve"> Acct!AI$27</f>
        <v>140311.34616699984</v>
      </c>
      <c r="AJ98" s="288">
        <f xml:space="preserve"> Acct!AJ$27</f>
        <v>132926.53847399983</v>
      </c>
      <c r="AK98" s="288">
        <f xml:space="preserve"> Acct!AK$27</f>
        <v>125541.73078099983</v>
      </c>
      <c r="AL98" s="288">
        <f xml:space="preserve"> Acct!AL$27</f>
        <v>118156.92308799984</v>
      </c>
      <c r="AM98" s="288">
        <f xml:space="preserve"> Acct!AM$27</f>
        <v>110772.11539499984</v>
      </c>
      <c r="AN98" s="288">
        <f xml:space="preserve"> Acct!AN$27</f>
        <v>103387.30770199985</v>
      </c>
      <c r="AO98" s="288">
        <f xml:space="preserve"> Acct!AO$27</f>
        <v>96002.50000899985</v>
      </c>
      <c r="AP98" s="288">
        <f xml:space="preserve"> Acct!AP$27</f>
        <v>88617.692315999855</v>
      </c>
      <c r="AQ98" s="288">
        <f xml:space="preserve"> Acct!AQ$27</f>
        <v>81232.88462299986</v>
      </c>
      <c r="AR98" s="288">
        <f xml:space="preserve"> Acct!AR$27</f>
        <v>73848.076929999865</v>
      </c>
      <c r="AS98" s="288">
        <f xml:space="preserve"> Acct!AS$27</f>
        <v>66463.269236999869</v>
      </c>
      <c r="AT98" s="288">
        <f xml:space="preserve"> Acct!AT$27</f>
        <v>59078.461543999874</v>
      </c>
      <c r="AU98" s="288">
        <f xml:space="preserve"> Acct!AU$27</f>
        <v>51693.653850999879</v>
      </c>
      <c r="AV98" s="288">
        <f xml:space="preserve"> Acct!AV$27</f>
        <v>44308.846157999884</v>
      </c>
      <c r="AW98" s="288">
        <f xml:space="preserve"> Acct!AW$27</f>
        <v>36924.038464999889</v>
      </c>
      <c r="AX98" s="288">
        <f xml:space="preserve"> Acct!AX$27</f>
        <v>29539.230771999893</v>
      </c>
      <c r="AY98" s="288">
        <f xml:space="preserve"> Acct!AY$27</f>
        <v>22154.423078999898</v>
      </c>
      <c r="AZ98" s="288">
        <f xml:space="preserve"> Acct!AZ$27</f>
        <v>14769.615385999901</v>
      </c>
      <c r="BA98" s="288">
        <f xml:space="preserve"> Acct!BA$27</f>
        <v>7384.8076929999042</v>
      </c>
      <c r="BB98" s="288">
        <f xml:space="preserve"> Acct!BB$27</f>
        <v>-9.276845958083868E-11</v>
      </c>
      <c r="BC98" s="288">
        <f xml:space="preserve"> Acct!BC$27</f>
        <v>-9.276845958083868E-11</v>
      </c>
      <c r="BD98" s="288">
        <f xml:space="preserve"> Acct!BD$27</f>
        <v>-9.276845958083868E-11</v>
      </c>
      <c r="BE98" s="288">
        <f xml:space="preserve"> Acct!BE$27</f>
        <v>-9.276845958083868E-11</v>
      </c>
      <c r="BF98" s="288">
        <f xml:space="preserve"> Acct!BF$27</f>
        <v>-9.276845958083868E-11</v>
      </c>
      <c r="BG98" s="288">
        <f xml:space="preserve"> Acct!BG$27</f>
        <v>-9.276845958083868E-11</v>
      </c>
      <c r="BH98" s="288">
        <f xml:space="preserve"> Acct!BH$27</f>
        <v>-9.276845958083868E-11</v>
      </c>
      <c r="BI98" s="288">
        <f xml:space="preserve"> Acct!BI$27</f>
        <v>-9.276845958083868E-11</v>
      </c>
      <c r="BJ98" s="288">
        <f xml:space="preserve"> Acct!BJ$27</f>
        <v>-9.276845958083868E-11</v>
      </c>
      <c r="BK98" s="288">
        <f xml:space="preserve"> Acct!BK$27</f>
        <v>-9.276845958083868E-11</v>
      </c>
      <c r="BL98" s="288">
        <f xml:space="preserve"> Acct!BL$27</f>
        <v>-9.276845958083868E-11</v>
      </c>
      <c r="BM98" s="288">
        <f xml:space="preserve"> Acct!BM$27</f>
        <v>-9.276845958083868E-11</v>
      </c>
      <c r="BN98" s="288">
        <f xml:space="preserve"> Acct!BN$27</f>
        <v>-9.276845958083868E-11</v>
      </c>
      <c r="BO98" s="288">
        <f xml:space="preserve"> Acct!BO$27</f>
        <v>-9.276845958083868E-11</v>
      </c>
      <c r="BP98" s="288">
        <f xml:space="preserve"> Acct!BP$27</f>
        <v>-9.276845958083868E-11</v>
      </c>
      <c r="BQ98" s="288">
        <f xml:space="preserve"> Acct!BQ$27</f>
        <v>-9.276845958083868E-11</v>
      </c>
      <c r="BR98" s="288">
        <f xml:space="preserve"> Acct!BR$27</f>
        <v>-9.276845958083868E-11</v>
      </c>
      <c r="BS98" s="288">
        <f xml:space="preserve"> Acct!BS$27</f>
        <v>-9.276845958083868E-11</v>
      </c>
      <c r="BT98" s="288">
        <f xml:space="preserve"> Acct!BT$27</f>
        <v>-9.276845958083868E-11</v>
      </c>
      <c r="BU98" s="288">
        <f xml:space="preserve"> Acct!BU$27</f>
        <v>-9.276845958083868E-11</v>
      </c>
      <c r="BV98" s="288">
        <f xml:space="preserve"> Acct!BV$27</f>
        <v>-9.276845958083868E-11</v>
      </c>
      <c r="BW98" s="288">
        <f xml:space="preserve"> Acct!BW$27</f>
        <v>-9.276845958083868E-11</v>
      </c>
      <c r="BX98" s="288">
        <f xml:space="preserve"> Acct!BX$27</f>
        <v>-9.276845958083868E-11</v>
      </c>
      <c r="BY98" s="288">
        <f xml:space="preserve"> Acct!BY$27</f>
        <v>-9.276845958083868E-11</v>
      </c>
      <c r="BZ98" s="288">
        <f xml:space="preserve"> Acct!BZ$27</f>
        <v>-9.276845958083868E-11</v>
      </c>
      <c r="CA98" s="288">
        <f xml:space="preserve"> Acct!CA$27</f>
        <v>-9.276845958083868E-11</v>
      </c>
      <c r="CB98" s="288">
        <f xml:space="preserve"> Acct!CB$27</f>
        <v>-9.276845958083868E-11</v>
      </c>
      <c r="CC98" s="288">
        <f xml:space="preserve"> Acct!CC$27</f>
        <v>-9.276845958083868E-11</v>
      </c>
      <c r="CD98" s="288">
        <f xml:space="preserve"> Acct!CD$27</f>
        <v>-9.276845958083868E-11</v>
      </c>
      <c r="CE98" s="288">
        <f xml:space="preserve"> Acct!CE$27</f>
        <v>-9.276845958083868E-11</v>
      </c>
      <c r="CF98" s="288">
        <f xml:space="preserve"> Acct!CF$27</f>
        <v>-9.276845958083868E-11</v>
      </c>
      <c r="CG98" s="288">
        <f xml:space="preserve"> Acct!CG$27</f>
        <v>-9.276845958083868E-11</v>
      </c>
      <c r="CH98" s="288">
        <f xml:space="preserve"> Acct!CH$27</f>
        <v>-9.276845958083868E-11</v>
      </c>
      <c r="CI98" s="288">
        <f xml:space="preserve"> Acct!CI$27</f>
        <v>-9.276845958083868E-11</v>
      </c>
      <c r="CJ98" s="288">
        <f xml:space="preserve"> Acct!CJ$27</f>
        <v>-9.276845958083868E-11</v>
      </c>
      <c r="CK98" s="288">
        <f xml:space="preserve"> Acct!CK$27</f>
        <v>-9.276845958083868E-11</v>
      </c>
      <c r="CL98" s="288">
        <f xml:space="preserve"> Acct!CL$27</f>
        <v>-9.276845958083868E-11</v>
      </c>
      <c r="CM98" s="288">
        <f xml:space="preserve"> Acct!CM$27</f>
        <v>-9.276845958083868E-11</v>
      </c>
      <c r="CN98" s="288">
        <f xml:space="preserve"> Acct!CN$27</f>
        <v>-9.276845958083868E-11</v>
      </c>
      <c r="CO98" s="288">
        <f xml:space="preserve"> Acct!CO$27</f>
        <v>-9.276845958083868E-11</v>
      </c>
      <c r="CP98" s="288">
        <f xml:space="preserve"> Acct!CP$27</f>
        <v>-9.276845958083868E-11</v>
      </c>
      <c r="CQ98" s="288">
        <f xml:space="preserve"> Acct!CQ$27</f>
        <v>-9.276845958083868E-11</v>
      </c>
      <c r="CR98" s="288">
        <f xml:space="preserve"> Acct!CR$27</f>
        <v>-9.276845958083868E-11</v>
      </c>
      <c r="CS98" s="288">
        <f xml:space="preserve"> Acct!CS$27</f>
        <v>-9.276845958083868E-11</v>
      </c>
      <c r="CT98" s="288">
        <f xml:space="preserve"> Acct!CT$27</f>
        <v>-9.276845958083868E-11</v>
      </c>
      <c r="CU98" s="288">
        <f xml:space="preserve"> Acct!CU$27</f>
        <v>-9.276845958083868E-11</v>
      </c>
      <c r="CV98" s="288">
        <f xml:space="preserve"> Acct!CV$27</f>
        <v>-9.276845958083868E-11</v>
      </c>
    </row>
    <row r="99" spans="1:100" outlineLevel="2" x14ac:dyDescent="0.2">
      <c r="D99" s="209"/>
      <c r="E99" s="235" t="str">
        <f xml:space="preserve"> Acct!E$43</f>
        <v>Capitalised finance costs balance</v>
      </c>
      <c r="F99" s="235">
        <f xml:space="preserve"> Acct!F$43</f>
        <v>0</v>
      </c>
      <c r="G99" s="235" t="str">
        <f xml:space="preserve"> Acct!G$43</f>
        <v>$ 000s</v>
      </c>
      <c r="H99" s="235">
        <f xml:space="preserve"> Acct!H$43</f>
        <v>0</v>
      </c>
      <c r="I99" s="235">
        <f xml:space="preserve"> Acct!I$43</f>
        <v>0</v>
      </c>
      <c r="J99" s="235">
        <f xml:space="preserve"> Acct!J$43</f>
        <v>7199.4501905899378</v>
      </c>
      <c r="K99" s="235">
        <f xml:space="preserve"> Acct!K$43</f>
        <v>9664.5083789334058</v>
      </c>
      <c r="L99" s="235">
        <f xml:space="preserve"> Acct!L$43</f>
        <v>13311.490386975976</v>
      </c>
      <c r="M99" s="235">
        <f xml:space="preserve"> Acct!M$43</f>
        <v>18258.69167347634</v>
      </c>
      <c r="N99" s="235">
        <f xml:space="preserve"> Acct!N$43</f>
        <v>24335.550022039701</v>
      </c>
      <c r="O99" s="235">
        <f xml:space="preserve"> Acct!O$43</f>
        <v>23619.79855080324</v>
      </c>
      <c r="P99" s="235">
        <f xml:space="preserve"> Acct!P$43</f>
        <v>22904.047079566779</v>
      </c>
      <c r="Q99" s="235">
        <f xml:space="preserve"> Acct!Q$43</f>
        <v>22188.295608330318</v>
      </c>
      <c r="R99" s="235">
        <f xml:space="preserve"> Acct!R$43</f>
        <v>21472.544137093857</v>
      </c>
      <c r="S99" s="235">
        <f xml:space="preserve"> Acct!S$43</f>
        <v>20756.792665857396</v>
      </c>
      <c r="T99" s="235">
        <f xml:space="preserve"> Acct!T$43</f>
        <v>20041.041194620935</v>
      </c>
      <c r="U99" s="235">
        <f xml:space="preserve"> Acct!U$43</f>
        <v>19325.289723384474</v>
      </c>
      <c r="V99" s="235">
        <f xml:space="preserve"> Acct!V$43</f>
        <v>18609.538252148013</v>
      </c>
      <c r="W99" s="235">
        <f xml:space="preserve"> Acct!W$43</f>
        <v>17893.786780911552</v>
      </c>
      <c r="X99" s="235">
        <f xml:space="preserve"> Acct!X$43</f>
        <v>17178.035309675091</v>
      </c>
      <c r="Y99" s="235">
        <f xml:space="preserve"> Acct!Y$43</f>
        <v>16462.28383843863</v>
      </c>
      <c r="Z99" s="235">
        <f xml:space="preserve"> Acct!Z$43</f>
        <v>15746.53236720217</v>
      </c>
      <c r="AA99" s="235">
        <f xml:space="preserve"> Acct!AA$43</f>
        <v>15030.780895965709</v>
      </c>
      <c r="AB99" s="235">
        <f xml:space="preserve"> Acct!AB$43</f>
        <v>14315.029424729248</v>
      </c>
      <c r="AC99" s="235">
        <f xml:space="preserve"> Acct!AC$43</f>
        <v>13599.277953492787</v>
      </c>
      <c r="AD99" s="235">
        <f xml:space="preserve"> Acct!AD$43</f>
        <v>12883.526482256326</v>
      </c>
      <c r="AE99" s="235">
        <f xml:space="preserve"> Acct!AE$43</f>
        <v>12167.775011019865</v>
      </c>
      <c r="AF99" s="235">
        <f xml:space="preserve"> Acct!AF$43</f>
        <v>11452.023539783404</v>
      </c>
      <c r="AG99" s="235">
        <f xml:space="preserve"> Acct!AG$43</f>
        <v>10736.272068546943</v>
      </c>
      <c r="AH99" s="235">
        <f xml:space="preserve"> Acct!AH$43</f>
        <v>10020.520597310482</v>
      </c>
      <c r="AI99" s="235">
        <f xml:space="preserve"> Acct!AI$43</f>
        <v>9304.7691260740212</v>
      </c>
      <c r="AJ99" s="235">
        <f xml:space="preserve"> Acct!AJ$43</f>
        <v>8589.0176548375603</v>
      </c>
      <c r="AK99" s="235">
        <f xml:space="preserve"> Acct!AK$43</f>
        <v>7873.2661836010984</v>
      </c>
      <c r="AL99" s="235">
        <f xml:space="preserve"> Acct!AL$43</f>
        <v>7157.5147123646366</v>
      </c>
      <c r="AM99" s="235">
        <f xml:space="preserve"> Acct!AM$43</f>
        <v>6441.7632411281747</v>
      </c>
      <c r="AN99" s="235">
        <f xml:space="preserve"> Acct!AN$43</f>
        <v>5726.0117698917129</v>
      </c>
      <c r="AO99" s="235">
        <f xml:space="preserve"> Acct!AO$43</f>
        <v>5010.2602986552511</v>
      </c>
      <c r="AP99" s="235">
        <f xml:space="preserve"> Acct!AP$43</f>
        <v>4294.5088274187892</v>
      </c>
      <c r="AQ99" s="235">
        <f xml:space="preserve"> Acct!AQ$43</f>
        <v>3578.7573561823274</v>
      </c>
      <c r="AR99" s="235">
        <f xml:space="preserve"> Acct!AR$43</f>
        <v>2863.0058849458655</v>
      </c>
      <c r="AS99" s="235">
        <f xml:space="preserve"> Acct!AS$43</f>
        <v>2147.2544137094037</v>
      </c>
      <c r="AT99" s="235">
        <f xml:space="preserve"> Acct!AT$43</f>
        <v>1431.5029424729419</v>
      </c>
      <c r="AU99" s="235">
        <f xml:space="preserve"> Acct!AU$43</f>
        <v>715.75147123648003</v>
      </c>
      <c r="AV99" s="235">
        <f xml:space="preserve"> Acct!AV$43</f>
        <v>1.8189894035458565E-11</v>
      </c>
      <c r="AW99" s="235">
        <f xml:space="preserve"> Acct!AW$43</f>
        <v>1.8189894035458565E-11</v>
      </c>
      <c r="AX99" s="235">
        <f xml:space="preserve"> Acct!AX$43</f>
        <v>1.8189894035458565E-11</v>
      </c>
      <c r="AY99" s="235">
        <f xml:space="preserve"> Acct!AY$43</f>
        <v>1.8189894035458565E-11</v>
      </c>
      <c r="AZ99" s="235">
        <f xml:space="preserve"> Acct!AZ$43</f>
        <v>1.8189894035458565E-11</v>
      </c>
      <c r="BA99" s="235">
        <f xml:space="preserve"> Acct!BA$43</f>
        <v>1.8189894035458565E-11</v>
      </c>
      <c r="BB99" s="235">
        <f xml:space="preserve"> Acct!BB$43</f>
        <v>1.8189894035458565E-11</v>
      </c>
      <c r="BC99" s="235">
        <f xml:space="preserve"> Acct!BC$43</f>
        <v>1.8189894035458565E-11</v>
      </c>
      <c r="BD99" s="235">
        <f xml:space="preserve"> Acct!BD$43</f>
        <v>1.8189894035458565E-11</v>
      </c>
      <c r="BE99" s="235">
        <f xml:space="preserve"> Acct!BE$43</f>
        <v>1.8189894035458565E-11</v>
      </c>
      <c r="BF99" s="235">
        <f xml:space="preserve"> Acct!BF$43</f>
        <v>1.8189894035458565E-11</v>
      </c>
      <c r="BG99" s="235">
        <f xml:space="preserve"> Acct!BG$43</f>
        <v>1.8189894035458565E-11</v>
      </c>
      <c r="BH99" s="235">
        <f xml:space="preserve"> Acct!BH$43</f>
        <v>1.8189894035458565E-11</v>
      </c>
      <c r="BI99" s="235">
        <f xml:space="preserve"> Acct!BI$43</f>
        <v>1.8189894035458565E-11</v>
      </c>
      <c r="BJ99" s="235">
        <f xml:space="preserve"> Acct!BJ$43</f>
        <v>1.8189894035458565E-11</v>
      </c>
      <c r="BK99" s="235">
        <f xml:space="preserve"> Acct!BK$43</f>
        <v>1.8189894035458565E-11</v>
      </c>
      <c r="BL99" s="235">
        <f xml:space="preserve"> Acct!BL$43</f>
        <v>1.8189894035458565E-11</v>
      </c>
      <c r="BM99" s="235">
        <f xml:space="preserve"> Acct!BM$43</f>
        <v>1.8189894035458565E-11</v>
      </c>
      <c r="BN99" s="235">
        <f xml:space="preserve"> Acct!BN$43</f>
        <v>1.8189894035458565E-11</v>
      </c>
      <c r="BO99" s="235">
        <f xml:space="preserve"> Acct!BO$43</f>
        <v>1.8189894035458565E-11</v>
      </c>
      <c r="BP99" s="235">
        <f xml:space="preserve"> Acct!BP$43</f>
        <v>1.8189894035458565E-11</v>
      </c>
      <c r="BQ99" s="235">
        <f xml:space="preserve"> Acct!BQ$43</f>
        <v>1.8189894035458565E-11</v>
      </c>
      <c r="BR99" s="235">
        <f xml:space="preserve"> Acct!BR$43</f>
        <v>1.8189894035458565E-11</v>
      </c>
      <c r="BS99" s="235">
        <f xml:space="preserve"> Acct!BS$43</f>
        <v>1.8189894035458565E-11</v>
      </c>
      <c r="BT99" s="235">
        <f xml:space="preserve"> Acct!BT$43</f>
        <v>1.8189894035458565E-11</v>
      </c>
      <c r="BU99" s="235">
        <f xml:space="preserve"> Acct!BU$43</f>
        <v>1.8189894035458565E-11</v>
      </c>
      <c r="BV99" s="235">
        <f xml:space="preserve"> Acct!BV$43</f>
        <v>1.8189894035458565E-11</v>
      </c>
      <c r="BW99" s="235">
        <f xml:space="preserve"> Acct!BW$43</f>
        <v>1.8189894035458565E-11</v>
      </c>
      <c r="BX99" s="235">
        <f xml:space="preserve"> Acct!BX$43</f>
        <v>1.8189894035458565E-11</v>
      </c>
      <c r="BY99" s="235">
        <f xml:space="preserve"> Acct!BY$43</f>
        <v>1.8189894035458565E-11</v>
      </c>
      <c r="BZ99" s="235">
        <f xml:space="preserve"> Acct!BZ$43</f>
        <v>1.8189894035458565E-11</v>
      </c>
      <c r="CA99" s="235">
        <f xml:space="preserve"> Acct!CA$43</f>
        <v>1.8189894035458565E-11</v>
      </c>
      <c r="CB99" s="235">
        <f xml:space="preserve"> Acct!CB$43</f>
        <v>1.8189894035458565E-11</v>
      </c>
      <c r="CC99" s="235">
        <f xml:space="preserve"> Acct!CC$43</f>
        <v>1.8189894035458565E-11</v>
      </c>
      <c r="CD99" s="235">
        <f xml:space="preserve"> Acct!CD$43</f>
        <v>1.8189894035458565E-11</v>
      </c>
      <c r="CE99" s="235">
        <f xml:space="preserve"> Acct!CE$43</f>
        <v>1.8189894035458565E-11</v>
      </c>
      <c r="CF99" s="235">
        <f xml:space="preserve"> Acct!CF$43</f>
        <v>1.8189894035458565E-11</v>
      </c>
      <c r="CG99" s="235">
        <f xml:space="preserve"> Acct!CG$43</f>
        <v>1.8189894035458565E-11</v>
      </c>
      <c r="CH99" s="235">
        <f xml:space="preserve"> Acct!CH$43</f>
        <v>1.8189894035458565E-11</v>
      </c>
      <c r="CI99" s="235">
        <f xml:space="preserve"> Acct!CI$43</f>
        <v>1.8189894035458565E-11</v>
      </c>
      <c r="CJ99" s="235">
        <f xml:space="preserve"> Acct!CJ$43</f>
        <v>1.8189894035458565E-11</v>
      </c>
      <c r="CK99" s="235">
        <f xml:space="preserve"> Acct!CK$43</f>
        <v>1.8189894035458565E-11</v>
      </c>
      <c r="CL99" s="235">
        <f xml:space="preserve"> Acct!CL$43</f>
        <v>1.8189894035458565E-11</v>
      </c>
      <c r="CM99" s="235">
        <f xml:space="preserve"> Acct!CM$43</f>
        <v>1.8189894035458565E-11</v>
      </c>
      <c r="CN99" s="235">
        <f xml:space="preserve"> Acct!CN$43</f>
        <v>1.8189894035458565E-11</v>
      </c>
      <c r="CO99" s="235">
        <f xml:space="preserve"> Acct!CO$43</f>
        <v>1.8189894035458565E-11</v>
      </c>
      <c r="CP99" s="235">
        <f xml:space="preserve"> Acct!CP$43</f>
        <v>1.8189894035458565E-11</v>
      </c>
      <c r="CQ99" s="235">
        <f xml:space="preserve"> Acct!CQ$43</f>
        <v>1.8189894035458565E-11</v>
      </c>
      <c r="CR99" s="235">
        <f xml:space="preserve"> Acct!CR$43</f>
        <v>1.8189894035458565E-11</v>
      </c>
      <c r="CS99" s="235">
        <f xml:space="preserve"> Acct!CS$43</f>
        <v>1.8189894035458565E-11</v>
      </c>
      <c r="CT99" s="235">
        <f xml:space="preserve"> Acct!CT$43</f>
        <v>1.8189894035458565E-11</v>
      </c>
      <c r="CU99" s="235">
        <f xml:space="preserve"> Acct!CU$43</f>
        <v>1.8189894035458565E-11</v>
      </c>
      <c r="CV99" s="235">
        <f xml:space="preserve"> Acct!CV$43</f>
        <v>1.8189894035458565E-11</v>
      </c>
    </row>
    <row r="100" spans="1:100" outlineLevel="2" x14ac:dyDescent="0.2">
      <c r="D100" s="209"/>
      <c r="E100" s="232" t="s">
        <v>1159</v>
      </c>
      <c r="F100" s="232"/>
      <c r="G100" s="232" t="str">
        <f>SMU</f>
        <v>$ 000s</v>
      </c>
      <c r="H100" s="232"/>
      <c r="I100" s="232"/>
      <c r="J100" s="232">
        <f t="shared" ref="J100:BU100" si="37">SUM(J98:J99)</f>
        <v>38655.01232289763</v>
      </c>
      <c r="K100" s="232">
        <f t="shared" si="37"/>
        <v>110586.75690816417</v>
      </c>
      <c r="L100" s="232">
        <f t="shared" si="37"/>
        <v>183700.42531312985</v>
      </c>
      <c r="M100" s="232">
        <f t="shared" si="37"/>
        <v>256124.31299655329</v>
      </c>
      <c r="N100" s="232">
        <f t="shared" si="37"/>
        <v>319727.85774203972</v>
      </c>
      <c r="O100" s="232">
        <f t="shared" si="37"/>
        <v>311627.29857780325</v>
      </c>
      <c r="P100" s="232">
        <f t="shared" si="37"/>
        <v>303526.73941356677</v>
      </c>
      <c r="Q100" s="232">
        <f t="shared" si="37"/>
        <v>295426.18024933035</v>
      </c>
      <c r="R100" s="232">
        <f t="shared" si="37"/>
        <v>287325.62108509388</v>
      </c>
      <c r="S100" s="232">
        <f t="shared" si="37"/>
        <v>279225.06192085741</v>
      </c>
      <c r="T100" s="232">
        <f t="shared" si="37"/>
        <v>271124.50275662093</v>
      </c>
      <c r="U100" s="232">
        <f t="shared" si="37"/>
        <v>263023.94359238446</v>
      </c>
      <c r="V100" s="232">
        <f t="shared" si="37"/>
        <v>254923.38442814798</v>
      </c>
      <c r="W100" s="232">
        <f t="shared" si="37"/>
        <v>246822.82526391151</v>
      </c>
      <c r="X100" s="232">
        <f t="shared" si="37"/>
        <v>238722.26609967503</v>
      </c>
      <c r="Y100" s="232">
        <f t="shared" si="37"/>
        <v>230621.70693543856</v>
      </c>
      <c r="Z100" s="232">
        <f t="shared" si="37"/>
        <v>222521.14777120209</v>
      </c>
      <c r="AA100" s="232">
        <f t="shared" si="37"/>
        <v>214420.58860696561</v>
      </c>
      <c r="AB100" s="232">
        <f t="shared" si="37"/>
        <v>206320.02944272914</v>
      </c>
      <c r="AC100" s="232">
        <f t="shared" si="37"/>
        <v>198219.47027849269</v>
      </c>
      <c r="AD100" s="232">
        <f t="shared" si="37"/>
        <v>190118.91111425622</v>
      </c>
      <c r="AE100" s="232">
        <f t="shared" si="37"/>
        <v>182018.35195001974</v>
      </c>
      <c r="AF100" s="232">
        <f t="shared" si="37"/>
        <v>173917.79278578327</v>
      </c>
      <c r="AG100" s="232">
        <f t="shared" si="37"/>
        <v>165817.23362154679</v>
      </c>
      <c r="AH100" s="232">
        <f t="shared" si="37"/>
        <v>157716.67445731032</v>
      </c>
      <c r="AI100" s="232">
        <f t="shared" si="37"/>
        <v>149616.11529307385</v>
      </c>
      <c r="AJ100" s="232">
        <f t="shared" si="37"/>
        <v>141515.5561288374</v>
      </c>
      <c r="AK100" s="232">
        <f t="shared" si="37"/>
        <v>133414.99696460093</v>
      </c>
      <c r="AL100" s="232">
        <f t="shared" si="37"/>
        <v>125314.43780036447</v>
      </c>
      <c r="AM100" s="232">
        <f t="shared" si="37"/>
        <v>117213.87863612802</v>
      </c>
      <c r="AN100" s="232">
        <f t="shared" si="37"/>
        <v>109113.31947189156</v>
      </c>
      <c r="AO100" s="232">
        <f t="shared" si="37"/>
        <v>101012.7603076551</v>
      </c>
      <c r="AP100" s="232">
        <f t="shared" si="37"/>
        <v>92912.201143418642</v>
      </c>
      <c r="AQ100" s="232">
        <f t="shared" si="37"/>
        <v>84811.641979182183</v>
      </c>
      <c r="AR100" s="232">
        <f t="shared" si="37"/>
        <v>76711.082814945723</v>
      </c>
      <c r="AS100" s="232">
        <f t="shared" si="37"/>
        <v>68610.523650709278</v>
      </c>
      <c r="AT100" s="232">
        <f t="shared" si="37"/>
        <v>60509.964486472818</v>
      </c>
      <c r="AU100" s="232">
        <f t="shared" si="37"/>
        <v>52409.405322236358</v>
      </c>
      <c r="AV100" s="232">
        <f t="shared" si="37"/>
        <v>44308.846157999898</v>
      </c>
      <c r="AW100" s="232">
        <f t="shared" si="37"/>
        <v>36924.038464999903</v>
      </c>
      <c r="AX100" s="232">
        <f t="shared" si="37"/>
        <v>29539.230771999912</v>
      </c>
      <c r="AY100" s="232">
        <f t="shared" si="37"/>
        <v>22154.423078999916</v>
      </c>
      <c r="AZ100" s="232">
        <f t="shared" si="37"/>
        <v>14769.615385999919</v>
      </c>
      <c r="BA100" s="232">
        <f t="shared" si="37"/>
        <v>7384.8076929999224</v>
      </c>
      <c r="BB100" s="232">
        <f t="shared" si="37"/>
        <v>-7.4578565545380116E-11</v>
      </c>
      <c r="BC100" s="232">
        <f t="shared" si="37"/>
        <v>-7.4578565545380116E-11</v>
      </c>
      <c r="BD100" s="232">
        <f t="shared" si="37"/>
        <v>-7.4578565545380116E-11</v>
      </c>
      <c r="BE100" s="232">
        <f t="shared" si="37"/>
        <v>-7.4578565545380116E-11</v>
      </c>
      <c r="BF100" s="232">
        <f t="shared" si="37"/>
        <v>-7.4578565545380116E-11</v>
      </c>
      <c r="BG100" s="232">
        <f t="shared" si="37"/>
        <v>-7.4578565545380116E-11</v>
      </c>
      <c r="BH100" s="232">
        <f t="shared" si="37"/>
        <v>-7.4578565545380116E-11</v>
      </c>
      <c r="BI100" s="232">
        <f t="shared" si="37"/>
        <v>-7.4578565545380116E-11</v>
      </c>
      <c r="BJ100" s="232">
        <f t="shared" si="37"/>
        <v>-7.4578565545380116E-11</v>
      </c>
      <c r="BK100" s="232">
        <f t="shared" si="37"/>
        <v>-7.4578565545380116E-11</v>
      </c>
      <c r="BL100" s="232">
        <f t="shared" si="37"/>
        <v>-7.4578565545380116E-11</v>
      </c>
      <c r="BM100" s="232">
        <f t="shared" si="37"/>
        <v>-7.4578565545380116E-11</v>
      </c>
      <c r="BN100" s="232">
        <f t="shared" si="37"/>
        <v>-7.4578565545380116E-11</v>
      </c>
      <c r="BO100" s="232">
        <f t="shared" si="37"/>
        <v>-7.4578565545380116E-11</v>
      </c>
      <c r="BP100" s="232">
        <f t="shared" si="37"/>
        <v>-7.4578565545380116E-11</v>
      </c>
      <c r="BQ100" s="232">
        <f t="shared" si="37"/>
        <v>-7.4578565545380116E-11</v>
      </c>
      <c r="BR100" s="232">
        <f t="shared" si="37"/>
        <v>-7.4578565545380116E-11</v>
      </c>
      <c r="BS100" s="232">
        <f t="shared" si="37"/>
        <v>-7.4578565545380116E-11</v>
      </c>
      <c r="BT100" s="232">
        <f t="shared" si="37"/>
        <v>-7.4578565545380116E-11</v>
      </c>
      <c r="BU100" s="232">
        <f t="shared" si="37"/>
        <v>-7.4578565545380116E-11</v>
      </c>
      <c r="BV100" s="232">
        <f t="shared" ref="BV100:CV100" si="38">SUM(BV98:BV99)</f>
        <v>-7.4578565545380116E-11</v>
      </c>
      <c r="BW100" s="232">
        <f t="shared" si="38"/>
        <v>-7.4578565545380116E-11</v>
      </c>
      <c r="BX100" s="232">
        <f t="shared" si="38"/>
        <v>-7.4578565545380116E-11</v>
      </c>
      <c r="BY100" s="232">
        <f t="shared" si="38"/>
        <v>-7.4578565545380116E-11</v>
      </c>
      <c r="BZ100" s="232">
        <f t="shared" si="38"/>
        <v>-7.4578565545380116E-11</v>
      </c>
      <c r="CA100" s="232">
        <f t="shared" si="38"/>
        <v>-7.4578565545380116E-11</v>
      </c>
      <c r="CB100" s="232">
        <f t="shared" si="38"/>
        <v>-7.4578565545380116E-11</v>
      </c>
      <c r="CC100" s="232">
        <f t="shared" si="38"/>
        <v>-7.4578565545380116E-11</v>
      </c>
      <c r="CD100" s="232">
        <f t="shared" si="38"/>
        <v>-7.4578565545380116E-11</v>
      </c>
      <c r="CE100" s="232">
        <f t="shared" si="38"/>
        <v>-7.4578565545380116E-11</v>
      </c>
      <c r="CF100" s="232">
        <f t="shared" si="38"/>
        <v>-7.4578565545380116E-11</v>
      </c>
      <c r="CG100" s="232">
        <f t="shared" si="38"/>
        <v>-7.4578565545380116E-11</v>
      </c>
      <c r="CH100" s="232">
        <f t="shared" si="38"/>
        <v>-7.4578565545380116E-11</v>
      </c>
      <c r="CI100" s="232">
        <f t="shared" si="38"/>
        <v>-7.4578565545380116E-11</v>
      </c>
      <c r="CJ100" s="232">
        <f t="shared" si="38"/>
        <v>-7.4578565545380116E-11</v>
      </c>
      <c r="CK100" s="232">
        <f t="shared" si="38"/>
        <v>-7.4578565545380116E-11</v>
      </c>
      <c r="CL100" s="232">
        <f t="shared" si="38"/>
        <v>-7.4578565545380116E-11</v>
      </c>
      <c r="CM100" s="232">
        <f t="shared" si="38"/>
        <v>-7.4578565545380116E-11</v>
      </c>
      <c r="CN100" s="232">
        <f t="shared" si="38"/>
        <v>-7.4578565545380116E-11</v>
      </c>
      <c r="CO100" s="232">
        <f t="shared" si="38"/>
        <v>-7.4578565545380116E-11</v>
      </c>
      <c r="CP100" s="232">
        <f t="shared" si="38"/>
        <v>-7.4578565545380116E-11</v>
      </c>
      <c r="CQ100" s="232">
        <f t="shared" si="38"/>
        <v>-7.4578565545380116E-11</v>
      </c>
      <c r="CR100" s="232">
        <f t="shared" si="38"/>
        <v>-7.4578565545380116E-11</v>
      </c>
      <c r="CS100" s="232">
        <f t="shared" si="38"/>
        <v>-7.4578565545380116E-11</v>
      </c>
      <c r="CT100" s="232">
        <f t="shared" si="38"/>
        <v>-7.4578565545380116E-11</v>
      </c>
      <c r="CU100" s="232">
        <f t="shared" si="38"/>
        <v>-7.4578565545380116E-11</v>
      </c>
      <c r="CV100" s="232">
        <f t="shared" si="38"/>
        <v>-7.4578565545380116E-11</v>
      </c>
    </row>
    <row r="101" spans="1:100" outlineLevel="1" x14ac:dyDescent="0.2">
      <c r="D101" s="209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  <c r="AG101" s="235"/>
      <c r="AH101" s="235"/>
      <c r="AI101" s="235"/>
      <c r="AJ101" s="235"/>
      <c r="AK101" s="235"/>
      <c r="AL101" s="235"/>
      <c r="AM101" s="235"/>
      <c r="AN101" s="235"/>
      <c r="AO101" s="235"/>
      <c r="AP101" s="235"/>
      <c r="AQ101" s="235"/>
      <c r="AR101" s="235"/>
      <c r="AS101" s="235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  <c r="BG101" s="235"/>
      <c r="BH101" s="235"/>
      <c r="BI101" s="235"/>
      <c r="BJ101" s="235"/>
      <c r="BK101" s="235"/>
      <c r="BL101" s="235"/>
      <c r="BM101" s="235"/>
      <c r="BN101" s="235"/>
      <c r="BO101" s="235"/>
      <c r="BP101" s="235"/>
      <c r="BQ101" s="235"/>
      <c r="BR101" s="235"/>
      <c r="BS101" s="235"/>
      <c r="BT101" s="235"/>
      <c r="BU101" s="235"/>
      <c r="BV101" s="235"/>
      <c r="BW101" s="235"/>
      <c r="BX101" s="235"/>
      <c r="BY101" s="235"/>
      <c r="BZ101" s="235"/>
      <c r="CA101" s="235"/>
      <c r="CB101" s="235"/>
      <c r="CC101" s="235"/>
      <c r="CD101" s="235"/>
      <c r="CE101" s="235"/>
      <c r="CF101" s="235"/>
      <c r="CG101" s="235"/>
      <c r="CH101" s="235"/>
      <c r="CI101" s="235"/>
      <c r="CJ101" s="235"/>
      <c r="CK101" s="235"/>
      <c r="CL101" s="235"/>
      <c r="CM101" s="235"/>
      <c r="CN101" s="235"/>
      <c r="CO101" s="235"/>
      <c r="CP101" s="235"/>
      <c r="CQ101" s="235"/>
      <c r="CR101" s="235"/>
      <c r="CS101" s="235"/>
      <c r="CT101" s="235"/>
      <c r="CU101" s="235"/>
      <c r="CV101" s="235"/>
    </row>
    <row r="102" spans="1:100" outlineLevel="1" x14ac:dyDescent="0.2">
      <c r="B102" s="205" t="s">
        <v>57</v>
      </c>
      <c r="D102" s="209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  <c r="AG102" s="235"/>
      <c r="AH102" s="235"/>
      <c r="AI102" s="235"/>
      <c r="AJ102" s="235"/>
      <c r="AK102" s="235"/>
      <c r="AL102" s="235"/>
      <c r="AM102" s="235"/>
      <c r="AN102" s="235"/>
      <c r="AO102" s="235"/>
      <c r="AP102" s="235"/>
      <c r="AQ102" s="235"/>
      <c r="AR102" s="235"/>
      <c r="AS102" s="235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  <c r="BG102" s="235"/>
      <c r="BH102" s="235"/>
      <c r="BI102" s="235"/>
      <c r="BJ102" s="235"/>
      <c r="BK102" s="235"/>
      <c r="BL102" s="235"/>
      <c r="BM102" s="235"/>
      <c r="BN102" s="235"/>
      <c r="BO102" s="235"/>
      <c r="BP102" s="235"/>
      <c r="BQ102" s="235"/>
      <c r="BR102" s="235"/>
      <c r="BS102" s="235"/>
      <c r="BT102" s="235"/>
      <c r="BU102" s="235"/>
      <c r="BV102" s="235"/>
      <c r="BW102" s="235"/>
      <c r="BX102" s="235"/>
      <c r="BY102" s="235"/>
      <c r="BZ102" s="235"/>
      <c r="CA102" s="235"/>
      <c r="CB102" s="235"/>
      <c r="CC102" s="235"/>
      <c r="CD102" s="235"/>
      <c r="CE102" s="235"/>
      <c r="CF102" s="235"/>
      <c r="CG102" s="235"/>
      <c r="CH102" s="235"/>
      <c r="CI102" s="235"/>
      <c r="CJ102" s="235"/>
      <c r="CK102" s="235"/>
      <c r="CL102" s="235"/>
      <c r="CM102" s="235"/>
      <c r="CN102" s="235"/>
      <c r="CO102" s="235"/>
      <c r="CP102" s="235"/>
      <c r="CQ102" s="235"/>
      <c r="CR102" s="235"/>
      <c r="CS102" s="235"/>
      <c r="CT102" s="235"/>
      <c r="CU102" s="235"/>
      <c r="CV102" s="235"/>
    </row>
    <row r="103" spans="1:100" s="191" customFormat="1" outlineLevel="2" x14ac:dyDescent="0.2">
      <c r="A103" s="205"/>
      <c r="B103" s="205"/>
      <c r="C103" s="206"/>
      <c r="D103" s="209"/>
      <c r="E103" s="235" t="str">
        <f xml:space="preserve"> Equity!E$133</f>
        <v>Retained cash balance - P99</v>
      </c>
      <c r="F103" s="235">
        <f xml:space="preserve"> Equity!F$133</f>
        <v>0</v>
      </c>
      <c r="G103" s="235" t="str">
        <f xml:space="preserve"> Equity!G$133</f>
        <v>$ 000s</v>
      </c>
      <c r="H103" s="235">
        <f xml:space="preserve"> Equity!H$133</f>
        <v>0</v>
      </c>
      <c r="I103" s="235">
        <f xml:space="preserve"> Equity!I$133</f>
        <v>0</v>
      </c>
      <c r="J103" s="235">
        <f ca="1" xml:space="preserve"> Equity!J$133</f>
        <v>-1.5558398445136845E-6</v>
      </c>
      <c r="K103" s="235">
        <f ca="1" xml:space="preserve"> Equity!K$133</f>
        <v>-1.402249836246483E-5</v>
      </c>
      <c r="L103" s="235">
        <f ca="1" xml:space="preserve"> Equity!L$133</f>
        <v>-3.0776860512560233E-5</v>
      </c>
      <c r="M103" s="235">
        <f ca="1" xml:space="preserve"> Equity!M$133</f>
        <v>-5.0199549150420353E-5</v>
      </c>
      <c r="N103" s="235">
        <f ca="1" xml:space="preserve"> Equity!N$133</f>
        <v>-4.0178145100071561E-3</v>
      </c>
      <c r="O103" s="235">
        <f ca="1" xml:space="preserve"> Equity!O$133</f>
        <v>0</v>
      </c>
      <c r="P103" s="235">
        <f ca="1" xml:space="preserve"> Equity!P$133</f>
        <v>0</v>
      </c>
      <c r="Q103" s="235">
        <f ca="1" xml:space="preserve"> Equity!Q$133</f>
        <v>0</v>
      </c>
      <c r="R103" s="235">
        <f ca="1" xml:space="preserve"> Equity!R$133</f>
        <v>0</v>
      </c>
      <c r="S103" s="235">
        <f ca="1" xml:space="preserve"> Equity!S$133</f>
        <v>0</v>
      </c>
      <c r="T103" s="235">
        <f ca="1" xml:space="preserve"> Equity!T$133</f>
        <v>0</v>
      </c>
      <c r="U103" s="235">
        <f ca="1" xml:space="preserve"> Equity!U$133</f>
        <v>0</v>
      </c>
      <c r="V103" s="235">
        <f ca="1" xml:space="preserve"> Equity!V$133</f>
        <v>0</v>
      </c>
      <c r="W103" s="235">
        <f ca="1" xml:space="preserve"> Equity!W$133</f>
        <v>0</v>
      </c>
      <c r="X103" s="235">
        <f ca="1" xml:space="preserve"> Equity!X$133</f>
        <v>0</v>
      </c>
      <c r="Y103" s="235">
        <f ca="1" xml:space="preserve"> Equity!Y$133</f>
        <v>0</v>
      </c>
      <c r="Z103" s="235">
        <f ca="1" xml:space="preserve"> Equity!Z$133</f>
        <v>0</v>
      </c>
      <c r="AA103" s="235">
        <f ca="1" xml:space="preserve"> Equity!AA$133</f>
        <v>0</v>
      </c>
      <c r="AB103" s="235">
        <f ca="1" xml:space="preserve"> Equity!AB$133</f>
        <v>0</v>
      </c>
      <c r="AC103" s="235">
        <f ca="1" xml:space="preserve"> Equity!AC$133</f>
        <v>0</v>
      </c>
      <c r="AD103" s="235">
        <f ca="1" xml:space="preserve"> Equity!AD$133</f>
        <v>0</v>
      </c>
      <c r="AE103" s="235">
        <f ca="1" xml:space="preserve"> Equity!AE$133</f>
        <v>0</v>
      </c>
      <c r="AF103" s="235">
        <f ca="1" xml:space="preserve"> Equity!AF$133</f>
        <v>0</v>
      </c>
      <c r="AG103" s="235">
        <f ca="1" xml:space="preserve"> Equity!AG$133</f>
        <v>0</v>
      </c>
      <c r="AH103" s="235">
        <f ca="1" xml:space="preserve"> Equity!AH$133</f>
        <v>0</v>
      </c>
      <c r="AI103" s="235">
        <f ca="1" xml:space="preserve"> Equity!AI$133</f>
        <v>0</v>
      </c>
      <c r="AJ103" s="235">
        <f ca="1" xml:space="preserve"> Equity!AJ$133</f>
        <v>0</v>
      </c>
      <c r="AK103" s="235">
        <f ca="1" xml:space="preserve"> Equity!AK$133</f>
        <v>0</v>
      </c>
      <c r="AL103" s="235">
        <f ca="1" xml:space="preserve"> Equity!AL$133</f>
        <v>0</v>
      </c>
      <c r="AM103" s="235">
        <f ca="1" xml:space="preserve"> Equity!AM$133</f>
        <v>0</v>
      </c>
      <c r="AN103" s="235">
        <f ca="1" xml:space="preserve"> Equity!AN$133</f>
        <v>0</v>
      </c>
      <c r="AO103" s="235">
        <f ca="1" xml:space="preserve"> Equity!AO$133</f>
        <v>0</v>
      </c>
      <c r="AP103" s="235">
        <f ca="1" xml:space="preserve"> Equity!AP$133</f>
        <v>0</v>
      </c>
      <c r="AQ103" s="235">
        <f ca="1" xml:space="preserve"> Equity!AQ$133</f>
        <v>0</v>
      </c>
      <c r="AR103" s="235">
        <f ca="1" xml:space="preserve"> Equity!AR$133</f>
        <v>0</v>
      </c>
      <c r="AS103" s="235">
        <f ca="1" xml:space="preserve"> Equity!AS$133</f>
        <v>0</v>
      </c>
      <c r="AT103" s="235">
        <f ca="1" xml:space="preserve"> Equity!AT$133</f>
        <v>0</v>
      </c>
      <c r="AU103" s="235">
        <f ca="1" xml:space="preserve"> Equity!AU$133</f>
        <v>0</v>
      </c>
      <c r="AV103" s="235">
        <f ca="1" xml:space="preserve"> Equity!AV$133</f>
        <v>0</v>
      </c>
      <c r="AW103" s="235">
        <f ca="1" xml:space="preserve"> Equity!AW$133</f>
        <v>0</v>
      </c>
      <c r="AX103" s="235">
        <f ca="1" xml:space="preserve"> Equity!AX$133</f>
        <v>0</v>
      </c>
      <c r="AY103" s="235">
        <f ca="1" xml:space="preserve"> Equity!AY$133</f>
        <v>0</v>
      </c>
      <c r="AZ103" s="235">
        <f ca="1" xml:space="preserve"> Equity!AZ$133</f>
        <v>0</v>
      </c>
      <c r="BA103" s="235">
        <f ca="1" xml:space="preserve"> Equity!BA$133</f>
        <v>0</v>
      </c>
      <c r="BB103" s="235">
        <f ca="1" xml:space="preserve"> Equity!BB$133</f>
        <v>0</v>
      </c>
      <c r="BC103" s="235">
        <f ca="1" xml:space="preserve"> Equity!BC$133</f>
        <v>0</v>
      </c>
      <c r="BD103" s="235">
        <f ca="1" xml:space="preserve"> Equity!BD$133</f>
        <v>0</v>
      </c>
      <c r="BE103" s="235">
        <f ca="1" xml:space="preserve"> Equity!BE$133</f>
        <v>0</v>
      </c>
      <c r="BF103" s="235">
        <f ca="1" xml:space="preserve"> Equity!BF$133</f>
        <v>0</v>
      </c>
      <c r="BG103" s="235">
        <f ca="1" xml:space="preserve"> Equity!BG$133</f>
        <v>0</v>
      </c>
      <c r="BH103" s="235">
        <f ca="1" xml:space="preserve"> Equity!BH$133</f>
        <v>0</v>
      </c>
      <c r="BI103" s="235">
        <f ca="1" xml:space="preserve"> Equity!BI$133</f>
        <v>0</v>
      </c>
      <c r="BJ103" s="235">
        <f ca="1" xml:space="preserve"> Equity!BJ$133</f>
        <v>0</v>
      </c>
      <c r="BK103" s="235">
        <f ca="1" xml:space="preserve"> Equity!BK$133</f>
        <v>0</v>
      </c>
      <c r="BL103" s="235">
        <f ca="1" xml:space="preserve"> Equity!BL$133</f>
        <v>0</v>
      </c>
      <c r="BM103" s="235">
        <f ca="1" xml:space="preserve"> Equity!BM$133</f>
        <v>0</v>
      </c>
      <c r="BN103" s="235">
        <f ca="1" xml:space="preserve"> Equity!BN$133</f>
        <v>0</v>
      </c>
      <c r="BO103" s="235">
        <f ca="1" xml:space="preserve"> Equity!BO$133</f>
        <v>0</v>
      </c>
      <c r="BP103" s="235">
        <f ca="1" xml:space="preserve"> Equity!BP$133</f>
        <v>0</v>
      </c>
      <c r="BQ103" s="235">
        <f ca="1" xml:space="preserve"> Equity!BQ$133</f>
        <v>0</v>
      </c>
      <c r="BR103" s="235">
        <f ca="1" xml:space="preserve"> Equity!BR$133</f>
        <v>0</v>
      </c>
      <c r="BS103" s="235">
        <f ca="1" xml:space="preserve"> Equity!BS$133</f>
        <v>0</v>
      </c>
      <c r="BT103" s="235">
        <f ca="1" xml:space="preserve"> Equity!BT$133</f>
        <v>0</v>
      </c>
      <c r="BU103" s="235">
        <f ca="1" xml:space="preserve"> Equity!BU$133</f>
        <v>0</v>
      </c>
      <c r="BV103" s="235">
        <f ca="1" xml:space="preserve"> Equity!BV$133</f>
        <v>0</v>
      </c>
      <c r="BW103" s="235">
        <f ca="1" xml:space="preserve"> Equity!BW$133</f>
        <v>0</v>
      </c>
      <c r="BX103" s="235">
        <f ca="1" xml:space="preserve"> Equity!BX$133</f>
        <v>0</v>
      </c>
      <c r="BY103" s="235">
        <f ca="1" xml:space="preserve"> Equity!BY$133</f>
        <v>0</v>
      </c>
      <c r="BZ103" s="235">
        <f ca="1" xml:space="preserve"> Equity!BZ$133</f>
        <v>0</v>
      </c>
      <c r="CA103" s="235">
        <f ca="1" xml:space="preserve"> Equity!CA$133</f>
        <v>0</v>
      </c>
      <c r="CB103" s="235">
        <f ca="1" xml:space="preserve"> Equity!CB$133</f>
        <v>0</v>
      </c>
      <c r="CC103" s="235">
        <f ca="1" xml:space="preserve"> Equity!CC$133</f>
        <v>0</v>
      </c>
      <c r="CD103" s="235">
        <f ca="1" xml:space="preserve"> Equity!CD$133</f>
        <v>0</v>
      </c>
      <c r="CE103" s="235">
        <f ca="1" xml:space="preserve"> Equity!CE$133</f>
        <v>0</v>
      </c>
      <c r="CF103" s="235">
        <f ca="1" xml:space="preserve"> Equity!CF$133</f>
        <v>0</v>
      </c>
      <c r="CG103" s="235">
        <f ca="1" xml:space="preserve"> Equity!CG$133</f>
        <v>0</v>
      </c>
      <c r="CH103" s="235">
        <f ca="1" xml:space="preserve"> Equity!CH$133</f>
        <v>0</v>
      </c>
      <c r="CI103" s="235">
        <f ca="1" xml:space="preserve"> Equity!CI$133</f>
        <v>0</v>
      </c>
      <c r="CJ103" s="235">
        <f ca="1" xml:space="preserve"> Equity!CJ$133</f>
        <v>0</v>
      </c>
      <c r="CK103" s="235">
        <f ca="1" xml:space="preserve"> Equity!CK$133</f>
        <v>0</v>
      </c>
      <c r="CL103" s="235">
        <f ca="1" xml:space="preserve"> Equity!CL$133</f>
        <v>0</v>
      </c>
      <c r="CM103" s="235">
        <f ca="1" xml:space="preserve"> Equity!CM$133</f>
        <v>0</v>
      </c>
      <c r="CN103" s="235">
        <f ca="1" xml:space="preserve"> Equity!CN$133</f>
        <v>0</v>
      </c>
      <c r="CO103" s="235">
        <f ca="1" xml:space="preserve"> Equity!CO$133</f>
        <v>0</v>
      </c>
      <c r="CP103" s="235">
        <f ca="1" xml:space="preserve"> Equity!CP$133</f>
        <v>0</v>
      </c>
      <c r="CQ103" s="235">
        <f ca="1" xml:space="preserve"> Equity!CQ$133</f>
        <v>0</v>
      </c>
      <c r="CR103" s="235">
        <f ca="1" xml:space="preserve"> Equity!CR$133</f>
        <v>0</v>
      </c>
      <c r="CS103" s="235">
        <f ca="1" xml:space="preserve"> Equity!CS$133</f>
        <v>0</v>
      </c>
      <c r="CT103" s="235">
        <f ca="1" xml:space="preserve"> Equity!CT$133</f>
        <v>0</v>
      </c>
      <c r="CU103" s="235">
        <f ca="1" xml:space="preserve"> Equity!CU$133</f>
        <v>0</v>
      </c>
      <c r="CV103" s="235">
        <f ca="1" xml:space="preserve"> Equity!CV$133</f>
        <v>0</v>
      </c>
    </row>
    <row r="104" spans="1:100" outlineLevel="2" x14ac:dyDescent="0.2">
      <c r="D104" s="209"/>
      <c r="E104" s="235" t="str">
        <f xml:space="preserve"> Ops!E$300</f>
        <v>Working capital reserve account balance - P99</v>
      </c>
      <c r="F104" s="235">
        <f xml:space="preserve"> Ops!F$300</f>
        <v>0</v>
      </c>
      <c r="G104" s="235" t="str">
        <f xml:space="preserve"> Ops!G$300</f>
        <v>$ 000s</v>
      </c>
      <c r="H104" s="235">
        <f xml:space="preserve"> Ops!H$300</f>
        <v>0</v>
      </c>
      <c r="I104" s="235">
        <f xml:space="preserve"> Ops!I$300</f>
        <v>0</v>
      </c>
      <c r="J104" s="235">
        <f xml:space="preserve"> Ops!J$300</f>
        <v>0</v>
      </c>
      <c r="K104" s="235">
        <f xml:space="preserve"> Ops!K$300</f>
        <v>0</v>
      </c>
      <c r="L104" s="235">
        <f xml:space="preserve"> Ops!L$300</f>
        <v>0</v>
      </c>
      <c r="M104" s="235">
        <f xml:space="preserve"> Ops!M$300</f>
        <v>0</v>
      </c>
      <c r="N104" s="235">
        <f xml:space="preserve"> Ops!N$300</f>
        <v>3857.1209730037863</v>
      </c>
      <c r="O104" s="235">
        <f xml:space="preserve"> Ops!O$300</f>
        <v>914.91018610581887</v>
      </c>
      <c r="P104" s="235">
        <f xml:space="preserve"> Ops!P$300</f>
        <v>866.14426146110236</v>
      </c>
      <c r="Q104" s="235">
        <f xml:space="preserve"> Ops!Q$300</f>
        <v>866.14426146110236</v>
      </c>
      <c r="R104" s="235">
        <f xml:space="preserve"> Ops!R$300</f>
        <v>817.83633904490125</v>
      </c>
      <c r="S104" s="235">
        <f xml:space="preserve"> Ops!S$300</f>
        <v>817.83633904490125</v>
      </c>
      <c r="T104" s="235">
        <f xml:space="preserve"> Ops!T$300</f>
        <v>769.99276966114212</v>
      </c>
      <c r="U104" s="235">
        <f xml:space="preserve"> Ops!U$300</f>
        <v>769.99276966114212</v>
      </c>
      <c r="V104" s="235">
        <f xml:space="preserve"> Ops!V$300</f>
        <v>738.58447482151496</v>
      </c>
      <c r="W104" s="235">
        <f xml:space="preserve"> Ops!W$300</f>
        <v>738.58447482151496</v>
      </c>
      <c r="X104" s="235">
        <f xml:space="preserve"> Ops!X$300</f>
        <v>691.68920079592954</v>
      </c>
      <c r="Y104" s="235">
        <f xml:space="preserve"> Ops!Y$300</f>
        <v>691.68920079592954</v>
      </c>
      <c r="Z104" s="235">
        <f xml:space="preserve"> Ops!Z$300</f>
        <v>645.27814427727662</v>
      </c>
      <c r="AA104" s="235">
        <f xml:space="preserve"> Ops!AA$300</f>
        <v>645.27814427727662</v>
      </c>
      <c r="AB104" s="235">
        <f xml:space="preserve"> Ops!AB$300</f>
        <v>599.35820654054169</v>
      </c>
      <c r="AC104" s="235">
        <f xml:space="preserve"> Ops!AC$300</f>
        <v>599.35820654054169</v>
      </c>
      <c r="AD104" s="235">
        <f xml:space="preserve"> Ops!AD$300</f>
        <v>569.24340459353425</v>
      </c>
      <c r="AE104" s="235">
        <f xml:space="preserve"> Ops!AE$300</f>
        <v>569.24340459353425</v>
      </c>
      <c r="AF104" s="235">
        <f xml:space="preserve"> Ops!AF$300</f>
        <v>524.32698945171251</v>
      </c>
      <c r="AG104" s="235">
        <f xml:space="preserve"> Ops!AG$300</f>
        <v>524.32698945171251</v>
      </c>
      <c r="AH104" s="235">
        <f xml:space="preserve"> Ops!AH$300</f>
        <v>479.92327602512432</v>
      </c>
      <c r="AI104" s="235">
        <f xml:space="preserve"> Ops!AI$300</f>
        <v>479.92327602512432</v>
      </c>
      <c r="AJ104" s="235">
        <f xml:space="preserve"> Ops!AJ$300</f>
        <v>436.03976151089137</v>
      </c>
      <c r="AK104" s="235">
        <f xml:space="preserve"> Ops!AK$300</f>
        <v>436.03976151089137</v>
      </c>
      <c r="AL104" s="235">
        <f xml:space="preserve"> Ops!AL$300</f>
        <v>407.29479886741956</v>
      </c>
      <c r="AM104" s="235">
        <f xml:space="preserve"> Ops!AM$300</f>
        <v>407.29479886741956</v>
      </c>
      <c r="AN104" s="235">
        <f xml:space="preserve"> Ops!AN$300</f>
        <v>364.47480297406946</v>
      </c>
      <c r="AO104" s="235">
        <f xml:space="preserve"> Ops!AO$300</f>
        <v>364.47480297406946</v>
      </c>
      <c r="AP104" s="235">
        <f xml:space="preserve"> Ops!AP$300</f>
        <v>322.19844929584997</v>
      </c>
      <c r="AQ104" s="235">
        <f xml:space="preserve"> Ops!AQ$300</f>
        <v>322.19844929584997</v>
      </c>
      <c r="AR104" s="235">
        <f xml:space="preserve"> Ops!AR$300</f>
        <v>280.47388017046978</v>
      </c>
      <c r="AS104" s="235">
        <f xml:space="preserve"> Ops!AS$300</f>
        <v>280.47388017046978</v>
      </c>
      <c r="AT104" s="235">
        <f xml:space="preserve"> Ops!AT$300</f>
        <v>253.18168392609914</v>
      </c>
      <c r="AU104" s="235">
        <f xml:space="preserve"> Ops!AU$300</f>
        <v>253.18168392609914</v>
      </c>
      <c r="AV104" s="235">
        <f xml:space="preserve"> Ops!AV$300</f>
        <v>212.5857921013876</v>
      </c>
      <c r="AW104" s="235">
        <f xml:space="preserve"> Ops!AW$300</f>
        <v>212.5857921013876</v>
      </c>
      <c r="AX104" s="235">
        <f xml:space="preserve"> Ops!AX$300</f>
        <v>172.567142174732</v>
      </c>
      <c r="AY104" s="235">
        <f xml:space="preserve"> Ops!AY$300</f>
        <v>172.567142174732</v>
      </c>
      <c r="AZ104" s="235">
        <f xml:space="preserve"> Ops!AZ$300</f>
        <v>133.13457492223552</v>
      </c>
      <c r="BA104" s="235">
        <f xml:space="preserve"> Ops!BA$300</f>
        <v>133.13457492223552</v>
      </c>
      <c r="BB104" s="235">
        <f xml:space="preserve"> Ops!BB$300</f>
        <v>0</v>
      </c>
      <c r="BC104" s="235">
        <f xml:space="preserve"> Ops!BC$300</f>
        <v>0</v>
      </c>
      <c r="BD104" s="235">
        <f xml:space="preserve"> Ops!BD$300</f>
        <v>0</v>
      </c>
      <c r="BE104" s="235">
        <f xml:space="preserve"> Ops!BE$300</f>
        <v>0</v>
      </c>
      <c r="BF104" s="235">
        <f xml:space="preserve"> Ops!BF$300</f>
        <v>0</v>
      </c>
      <c r="BG104" s="235">
        <f xml:space="preserve"> Ops!BG$300</f>
        <v>0</v>
      </c>
      <c r="BH104" s="235">
        <f xml:space="preserve"> Ops!BH$300</f>
        <v>0</v>
      </c>
      <c r="BI104" s="235">
        <f xml:space="preserve"> Ops!BI$300</f>
        <v>0</v>
      </c>
      <c r="BJ104" s="235">
        <f xml:space="preserve"> Ops!BJ$300</f>
        <v>0</v>
      </c>
      <c r="BK104" s="235">
        <f xml:space="preserve"> Ops!BK$300</f>
        <v>0</v>
      </c>
      <c r="BL104" s="235">
        <f xml:space="preserve"> Ops!BL$300</f>
        <v>0</v>
      </c>
      <c r="BM104" s="235">
        <f xml:space="preserve"> Ops!BM$300</f>
        <v>0</v>
      </c>
      <c r="BN104" s="235">
        <f xml:space="preserve"> Ops!BN$300</f>
        <v>0</v>
      </c>
      <c r="BO104" s="235">
        <f xml:space="preserve"> Ops!BO$300</f>
        <v>0</v>
      </c>
      <c r="BP104" s="235">
        <f xml:space="preserve"> Ops!BP$300</f>
        <v>0</v>
      </c>
      <c r="BQ104" s="235">
        <f xml:space="preserve"> Ops!BQ$300</f>
        <v>0</v>
      </c>
      <c r="BR104" s="235">
        <f xml:space="preserve"> Ops!BR$300</f>
        <v>0</v>
      </c>
      <c r="BS104" s="235">
        <f xml:space="preserve"> Ops!BS$300</f>
        <v>0</v>
      </c>
      <c r="BT104" s="235">
        <f xml:space="preserve"> Ops!BT$300</f>
        <v>0</v>
      </c>
      <c r="BU104" s="235">
        <f xml:space="preserve"> Ops!BU$300</f>
        <v>0</v>
      </c>
      <c r="BV104" s="235">
        <f xml:space="preserve"> Ops!BV$300</f>
        <v>0</v>
      </c>
      <c r="BW104" s="235">
        <f xml:space="preserve"> Ops!BW$300</f>
        <v>0</v>
      </c>
      <c r="BX104" s="235">
        <f xml:space="preserve"> Ops!BX$300</f>
        <v>0</v>
      </c>
      <c r="BY104" s="235">
        <f xml:space="preserve"> Ops!BY$300</f>
        <v>0</v>
      </c>
      <c r="BZ104" s="235">
        <f xml:space="preserve"> Ops!BZ$300</f>
        <v>0</v>
      </c>
      <c r="CA104" s="235">
        <f xml:space="preserve"> Ops!CA$300</f>
        <v>0</v>
      </c>
      <c r="CB104" s="235">
        <f xml:space="preserve"> Ops!CB$300</f>
        <v>0</v>
      </c>
      <c r="CC104" s="235">
        <f xml:space="preserve"> Ops!CC$300</f>
        <v>0</v>
      </c>
      <c r="CD104" s="235">
        <f xml:space="preserve"> Ops!CD$300</f>
        <v>0</v>
      </c>
      <c r="CE104" s="235">
        <f xml:space="preserve"> Ops!CE$300</f>
        <v>0</v>
      </c>
      <c r="CF104" s="235">
        <f xml:space="preserve"> Ops!CF$300</f>
        <v>0</v>
      </c>
      <c r="CG104" s="235">
        <f xml:space="preserve"> Ops!CG$300</f>
        <v>0</v>
      </c>
      <c r="CH104" s="235">
        <f xml:space="preserve"> Ops!CH$300</f>
        <v>0</v>
      </c>
      <c r="CI104" s="235">
        <f xml:space="preserve"> Ops!CI$300</f>
        <v>0</v>
      </c>
      <c r="CJ104" s="235">
        <f xml:space="preserve"> Ops!CJ$300</f>
        <v>0</v>
      </c>
      <c r="CK104" s="235">
        <f xml:space="preserve"> Ops!CK$300</f>
        <v>0</v>
      </c>
      <c r="CL104" s="235">
        <f xml:space="preserve"> Ops!CL$300</f>
        <v>0</v>
      </c>
      <c r="CM104" s="235">
        <f xml:space="preserve"> Ops!CM$300</f>
        <v>0</v>
      </c>
      <c r="CN104" s="235">
        <f xml:space="preserve"> Ops!CN$300</f>
        <v>0</v>
      </c>
      <c r="CO104" s="235">
        <f xml:space="preserve"> Ops!CO$300</f>
        <v>0</v>
      </c>
      <c r="CP104" s="235">
        <f xml:space="preserve"> Ops!CP$300</f>
        <v>0</v>
      </c>
      <c r="CQ104" s="235">
        <f xml:space="preserve"> Ops!CQ$300</f>
        <v>0</v>
      </c>
      <c r="CR104" s="235">
        <f xml:space="preserve"> Ops!CR$300</f>
        <v>0</v>
      </c>
      <c r="CS104" s="235">
        <f xml:space="preserve"> Ops!CS$300</f>
        <v>0</v>
      </c>
      <c r="CT104" s="235">
        <f xml:space="preserve"> Ops!CT$300</f>
        <v>0</v>
      </c>
      <c r="CU104" s="235">
        <f xml:space="preserve"> Ops!CU$300</f>
        <v>0</v>
      </c>
      <c r="CV104" s="235">
        <f xml:space="preserve"> Ops!CV$300</f>
        <v>0</v>
      </c>
    </row>
    <row r="105" spans="1:100" outlineLevel="2" x14ac:dyDescent="0.2">
      <c r="D105" s="209"/>
      <c r="E105" s="235" t="str">
        <f xml:space="preserve"> Ops!E$199</f>
        <v>Accounts receivable balance - P99</v>
      </c>
      <c r="F105" s="235">
        <f xml:space="preserve"> Ops!F$199</f>
        <v>0</v>
      </c>
      <c r="G105" s="235" t="str">
        <f xml:space="preserve"> Ops!G$199</f>
        <v>$ 000s</v>
      </c>
      <c r="H105" s="235">
        <f xml:space="preserve"> Ops!H$199</f>
        <v>0</v>
      </c>
      <c r="I105" s="235">
        <f xml:space="preserve"> Ops!I$199</f>
        <v>0</v>
      </c>
      <c r="J105" s="235">
        <f xml:space="preserve"> Ops!J$199</f>
        <v>0</v>
      </c>
      <c r="K105" s="235">
        <f xml:space="preserve"> Ops!K$199</f>
        <v>0</v>
      </c>
      <c r="L105" s="235">
        <f xml:space="preserve"> Ops!L$199</f>
        <v>0</v>
      </c>
      <c r="M105" s="235">
        <f xml:space="preserve"> Ops!M$199</f>
        <v>0</v>
      </c>
      <c r="N105" s="235">
        <f xml:space="preserve"> Ops!N$199</f>
        <v>0</v>
      </c>
      <c r="O105" s="235">
        <f xml:space="preserve"> Ops!O$199</f>
        <v>4001.1118129849237</v>
      </c>
      <c r="P105" s="235">
        <f xml:space="preserve"> Ops!P$199</f>
        <v>4067.4285833658887</v>
      </c>
      <c r="Q105" s="235">
        <f xml:space="preserve"> Ops!Q$199</f>
        <v>3994.6570323862252</v>
      </c>
      <c r="R105" s="235">
        <f xml:space="preserve"> Ops!R$199</f>
        <v>4060.8668174533996</v>
      </c>
      <c r="S105" s="235">
        <f xml:space="preserve"> Ops!S$199</f>
        <v>3988.2426470276969</v>
      </c>
      <c r="T105" s="235">
        <f xml:space="preserve"> Ops!T$199</f>
        <v>4054.3461163154479</v>
      </c>
      <c r="U105" s="235">
        <f xml:space="preserve"> Ops!U$199</f>
        <v>3981.8690704977143</v>
      </c>
      <c r="V105" s="235">
        <f xml:space="preserve"> Ops!V$199</f>
        <v>4025.6258734702169</v>
      </c>
      <c r="W105" s="235">
        <f xml:space="preserve"> Ops!W$199</f>
        <v>3975.5367244372974</v>
      </c>
      <c r="X105" s="235">
        <f xml:space="preserve"> Ops!X$199</f>
        <v>4041.4295983229968</v>
      </c>
      <c r="Y105" s="235">
        <f xml:space="preserve"> Ops!Y$199</f>
        <v>3969.2460386835101</v>
      </c>
      <c r="Z105" s="235">
        <f xml:space="preserve"> Ops!Z$199</f>
        <v>4035.0346470594795</v>
      </c>
      <c r="AA105" s="235">
        <f xml:space="preserve"> Ops!AA$199</f>
        <v>3962.9974514154601</v>
      </c>
      <c r="AB105" s="235">
        <f xml:space="preserve"> Ops!AB$199</f>
        <v>4028.682492046657</v>
      </c>
      <c r="AC105" s="235">
        <f xml:space="preserve"> Ops!AC$199</f>
        <v>3956.7914093029212</v>
      </c>
      <c r="AD105" s="235">
        <f xml:space="preserve"> Ops!AD$199</f>
        <v>4000.2726335809748</v>
      </c>
      <c r="AE105" s="235">
        <f xml:space="preserve"> Ops!AE$199</f>
        <v>3950.6283676576113</v>
      </c>
      <c r="AF105" s="235">
        <f xml:space="preserve"> Ops!AF$199</f>
        <v>4016.1083958508316</v>
      </c>
      <c r="AG105" s="235">
        <f xml:space="preserve"> Ops!AG$199</f>
        <v>3944.5087905872206</v>
      </c>
      <c r="AH105" s="235">
        <f xml:space="preserve"> Ops!AH$199</f>
        <v>4009.8873893262353</v>
      </c>
      <c r="AI105" s="235">
        <f xml:space="preserve"> Ops!AI$199</f>
        <v>3938.433151152185</v>
      </c>
      <c r="AJ105" s="235">
        <f xml:space="preserve"> Ops!AJ$199</f>
        <v>4003.7110486850925</v>
      </c>
      <c r="AK105" s="235">
        <f xml:space="preserve"> Ops!AK$199</f>
        <v>3932.4019315252735</v>
      </c>
      <c r="AL105" s="235">
        <f xml:space="preserve"> Ops!AL$199</f>
        <v>3975.6151395640118</v>
      </c>
      <c r="AM105" s="235">
        <f xml:space="preserve"> Ops!AM$199</f>
        <v>3926.4156231540746</v>
      </c>
      <c r="AN105" s="235">
        <f xml:space="preserve"> Ops!AN$199</f>
        <v>3991.4943351400543</v>
      </c>
      <c r="AO105" s="235">
        <f xml:space="preserve"> Ops!AO$199</f>
        <v>3920.4747269263844</v>
      </c>
      <c r="AP105" s="235">
        <f xml:space="preserve"> Ops!AP$199</f>
        <v>3985.4549710190859</v>
      </c>
      <c r="AQ105" s="235">
        <f xml:space="preserve"> Ops!AQ$199</f>
        <v>3914.5797533385557</v>
      </c>
      <c r="AR105" s="235">
        <f xml:space="preserve"> Ops!AR$199</f>
        <v>3979.462290686708</v>
      </c>
      <c r="AS105" s="235">
        <f xml:space="preserve"> Ops!AS$199</f>
        <v>3908.7312226668964</v>
      </c>
      <c r="AT105" s="235">
        <f xml:space="preserve"> Ops!AT$199</f>
        <v>3951.6843130258749</v>
      </c>
      <c r="AU105" s="235">
        <f xml:space="preserve"> Ops!AU$199</f>
        <v>3902.9296651421519</v>
      </c>
      <c r="AV105" s="235">
        <f xml:space="preserve"> Ops!AV$199</f>
        <v>3967.6191071058347</v>
      </c>
      <c r="AW105" s="235">
        <f xml:space="preserve"> Ops!AW$199</f>
        <v>3897.1756211270931</v>
      </c>
      <c r="AX105" s="235">
        <f xml:space="preserve"> Ops!AX$199</f>
        <v>3961.7696921954994</v>
      </c>
      <c r="AY105" s="235">
        <f xml:space="preserve"> Ops!AY$199</f>
        <v>3891.4696412973335</v>
      </c>
      <c r="AZ105" s="235">
        <f xml:space="preserve"> Ops!AZ$199</f>
        <v>3955.9691381144166</v>
      </c>
      <c r="BA105" s="235">
        <f xml:space="preserve"> Ops!BA$199</f>
        <v>3885.8122868253704</v>
      </c>
      <c r="BB105" s="235">
        <f xml:space="preserve"> Ops!BB$199</f>
        <v>0</v>
      </c>
      <c r="BC105" s="235">
        <f xml:space="preserve"> Ops!BC$199</f>
        <v>0</v>
      </c>
      <c r="BD105" s="235">
        <f xml:space="preserve"> Ops!BD$199</f>
        <v>0</v>
      </c>
      <c r="BE105" s="235">
        <f xml:space="preserve"> Ops!BE$199</f>
        <v>0</v>
      </c>
      <c r="BF105" s="235">
        <f xml:space="preserve"> Ops!BF$199</f>
        <v>0</v>
      </c>
      <c r="BG105" s="235">
        <f xml:space="preserve"> Ops!BG$199</f>
        <v>0</v>
      </c>
      <c r="BH105" s="235">
        <f xml:space="preserve"> Ops!BH$199</f>
        <v>0</v>
      </c>
      <c r="BI105" s="235">
        <f xml:space="preserve"> Ops!BI$199</f>
        <v>0</v>
      </c>
      <c r="BJ105" s="235">
        <f xml:space="preserve"> Ops!BJ$199</f>
        <v>0</v>
      </c>
      <c r="BK105" s="235">
        <f xml:space="preserve"> Ops!BK$199</f>
        <v>0</v>
      </c>
      <c r="BL105" s="235">
        <f xml:space="preserve"> Ops!BL$199</f>
        <v>0</v>
      </c>
      <c r="BM105" s="235">
        <f xml:space="preserve"> Ops!BM$199</f>
        <v>0</v>
      </c>
      <c r="BN105" s="235">
        <f xml:space="preserve"> Ops!BN$199</f>
        <v>0</v>
      </c>
      <c r="BO105" s="235">
        <f xml:space="preserve"> Ops!BO$199</f>
        <v>0</v>
      </c>
      <c r="BP105" s="235">
        <f xml:space="preserve"> Ops!BP$199</f>
        <v>0</v>
      </c>
      <c r="BQ105" s="235">
        <f xml:space="preserve"> Ops!BQ$199</f>
        <v>0</v>
      </c>
      <c r="BR105" s="235">
        <f xml:space="preserve"> Ops!BR$199</f>
        <v>0</v>
      </c>
      <c r="BS105" s="235">
        <f xml:space="preserve"> Ops!BS$199</f>
        <v>0</v>
      </c>
      <c r="BT105" s="235">
        <f xml:space="preserve"> Ops!BT$199</f>
        <v>0</v>
      </c>
      <c r="BU105" s="235">
        <f xml:space="preserve"> Ops!BU$199</f>
        <v>0</v>
      </c>
      <c r="BV105" s="235">
        <f xml:space="preserve"> Ops!BV$199</f>
        <v>0</v>
      </c>
      <c r="BW105" s="235">
        <f xml:space="preserve"> Ops!BW$199</f>
        <v>0</v>
      </c>
      <c r="BX105" s="235">
        <f xml:space="preserve"> Ops!BX$199</f>
        <v>0</v>
      </c>
      <c r="BY105" s="235">
        <f xml:space="preserve"> Ops!BY$199</f>
        <v>0</v>
      </c>
      <c r="BZ105" s="235">
        <f xml:space="preserve"> Ops!BZ$199</f>
        <v>0</v>
      </c>
      <c r="CA105" s="235">
        <f xml:space="preserve"> Ops!CA$199</f>
        <v>0</v>
      </c>
      <c r="CB105" s="235">
        <f xml:space="preserve"> Ops!CB$199</f>
        <v>0</v>
      </c>
      <c r="CC105" s="235">
        <f xml:space="preserve"> Ops!CC$199</f>
        <v>0</v>
      </c>
      <c r="CD105" s="235">
        <f xml:space="preserve"> Ops!CD$199</f>
        <v>0</v>
      </c>
      <c r="CE105" s="235">
        <f xml:space="preserve"> Ops!CE$199</f>
        <v>0</v>
      </c>
      <c r="CF105" s="235">
        <f xml:space="preserve"> Ops!CF$199</f>
        <v>0</v>
      </c>
      <c r="CG105" s="235">
        <f xml:space="preserve"> Ops!CG$199</f>
        <v>0</v>
      </c>
      <c r="CH105" s="235">
        <f xml:space="preserve"> Ops!CH$199</f>
        <v>0</v>
      </c>
      <c r="CI105" s="235">
        <f xml:space="preserve"> Ops!CI$199</f>
        <v>0</v>
      </c>
      <c r="CJ105" s="235">
        <f xml:space="preserve"> Ops!CJ$199</f>
        <v>0</v>
      </c>
      <c r="CK105" s="235">
        <f xml:space="preserve"> Ops!CK$199</f>
        <v>0</v>
      </c>
      <c r="CL105" s="235">
        <f xml:space="preserve"> Ops!CL$199</f>
        <v>0</v>
      </c>
      <c r="CM105" s="235">
        <f xml:space="preserve"> Ops!CM$199</f>
        <v>0</v>
      </c>
      <c r="CN105" s="235">
        <f xml:space="preserve"> Ops!CN$199</f>
        <v>0</v>
      </c>
      <c r="CO105" s="235">
        <f xml:space="preserve"> Ops!CO$199</f>
        <v>0</v>
      </c>
      <c r="CP105" s="235">
        <f xml:space="preserve"> Ops!CP$199</f>
        <v>0</v>
      </c>
      <c r="CQ105" s="235">
        <f xml:space="preserve"> Ops!CQ$199</f>
        <v>0</v>
      </c>
      <c r="CR105" s="235">
        <f xml:space="preserve"> Ops!CR$199</f>
        <v>0</v>
      </c>
      <c r="CS105" s="235">
        <f xml:space="preserve"> Ops!CS$199</f>
        <v>0</v>
      </c>
      <c r="CT105" s="235">
        <f xml:space="preserve"> Ops!CT$199</f>
        <v>0</v>
      </c>
      <c r="CU105" s="235">
        <f xml:space="preserve"> Ops!CU$199</f>
        <v>0</v>
      </c>
      <c r="CV105" s="235">
        <f xml:space="preserve"> Ops!CV$199</f>
        <v>0</v>
      </c>
    </row>
    <row r="106" spans="1:100" s="191" customFormat="1" outlineLevel="2" x14ac:dyDescent="0.2">
      <c r="A106" s="205"/>
      <c r="B106" s="205"/>
      <c r="C106" s="206"/>
      <c r="D106" s="209"/>
      <c r="E106" s="235" t="str">
        <f xml:space="preserve"> Ops!E$312</f>
        <v>EGR receivables balance</v>
      </c>
      <c r="F106" s="235">
        <f xml:space="preserve"> Ops!F$312</f>
        <v>0</v>
      </c>
      <c r="G106" s="235" t="str">
        <f xml:space="preserve"> Ops!G$312</f>
        <v>$ 000s</v>
      </c>
      <c r="H106" s="235">
        <f xml:space="preserve"> Ops!H$312</f>
        <v>0</v>
      </c>
      <c r="I106" s="235">
        <f xml:space="preserve"> Ops!I$312</f>
        <v>0</v>
      </c>
      <c r="J106" s="235">
        <f xml:space="preserve"> Ops!J$312</f>
        <v>0</v>
      </c>
      <c r="K106" s="235">
        <f xml:space="preserve"> Ops!K$312</f>
        <v>0</v>
      </c>
      <c r="L106" s="235">
        <f xml:space="preserve"> Ops!L$312</f>
        <v>0</v>
      </c>
      <c r="M106" s="235">
        <f xml:space="preserve"> Ops!M$312</f>
        <v>1990</v>
      </c>
      <c r="N106" s="235">
        <f xml:space="preserve"> Ops!N$312</f>
        <v>1990</v>
      </c>
      <c r="O106" s="235">
        <f xml:space="preserve"> Ops!O$312</f>
        <v>0</v>
      </c>
      <c r="P106" s="235">
        <f xml:space="preserve"> Ops!P$312</f>
        <v>0</v>
      </c>
      <c r="Q106" s="235">
        <f xml:space="preserve"> Ops!Q$312</f>
        <v>0</v>
      </c>
      <c r="R106" s="235">
        <f xml:space="preserve"> Ops!R$312</f>
        <v>0</v>
      </c>
      <c r="S106" s="235">
        <f xml:space="preserve"> Ops!S$312</f>
        <v>0</v>
      </c>
      <c r="T106" s="235">
        <f xml:space="preserve"> Ops!T$312</f>
        <v>0</v>
      </c>
      <c r="U106" s="235">
        <f xml:space="preserve"> Ops!U$312</f>
        <v>0</v>
      </c>
      <c r="V106" s="235">
        <f xml:space="preserve"> Ops!V$312</f>
        <v>0</v>
      </c>
      <c r="W106" s="235">
        <f xml:space="preserve"> Ops!W$312</f>
        <v>0</v>
      </c>
      <c r="X106" s="235">
        <f xml:space="preserve"> Ops!X$312</f>
        <v>0</v>
      </c>
      <c r="Y106" s="235">
        <f xml:space="preserve"> Ops!Y$312</f>
        <v>0</v>
      </c>
      <c r="Z106" s="235">
        <f xml:space="preserve"> Ops!Z$312</f>
        <v>0</v>
      </c>
      <c r="AA106" s="235">
        <f xml:space="preserve"> Ops!AA$312</f>
        <v>0</v>
      </c>
      <c r="AB106" s="235">
        <f xml:space="preserve"> Ops!AB$312</f>
        <v>0</v>
      </c>
      <c r="AC106" s="235">
        <f xml:space="preserve"> Ops!AC$312</f>
        <v>0</v>
      </c>
      <c r="AD106" s="235">
        <f xml:space="preserve"> Ops!AD$312</f>
        <v>0</v>
      </c>
      <c r="AE106" s="235">
        <f xml:space="preserve"> Ops!AE$312</f>
        <v>0</v>
      </c>
      <c r="AF106" s="235">
        <f xml:space="preserve"> Ops!AF$312</f>
        <v>0</v>
      </c>
      <c r="AG106" s="235">
        <f xml:space="preserve"> Ops!AG$312</f>
        <v>0</v>
      </c>
      <c r="AH106" s="235">
        <f xml:space="preserve"> Ops!AH$312</f>
        <v>0</v>
      </c>
      <c r="AI106" s="235">
        <f xml:space="preserve"> Ops!AI$312</f>
        <v>0</v>
      </c>
      <c r="AJ106" s="235">
        <f xml:space="preserve"> Ops!AJ$312</f>
        <v>0</v>
      </c>
      <c r="AK106" s="235">
        <f xml:space="preserve"> Ops!AK$312</f>
        <v>0</v>
      </c>
      <c r="AL106" s="235">
        <f xml:space="preserve"> Ops!AL$312</f>
        <v>0</v>
      </c>
      <c r="AM106" s="235">
        <f xml:space="preserve"> Ops!AM$312</f>
        <v>0</v>
      </c>
      <c r="AN106" s="235">
        <f xml:space="preserve"> Ops!AN$312</f>
        <v>0</v>
      </c>
      <c r="AO106" s="235">
        <f xml:space="preserve"> Ops!AO$312</f>
        <v>0</v>
      </c>
      <c r="AP106" s="235">
        <f xml:space="preserve"> Ops!AP$312</f>
        <v>0</v>
      </c>
      <c r="AQ106" s="235">
        <f xml:space="preserve"> Ops!AQ$312</f>
        <v>0</v>
      </c>
      <c r="AR106" s="235">
        <f xml:space="preserve"> Ops!AR$312</f>
        <v>0</v>
      </c>
      <c r="AS106" s="235">
        <f xml:space="preserve"> Ops!AS$312</f>
        <v>0</v>
      </c>
      <c r="AT106" s="235">
        <f xml:space="preserve"> Ops!AT$312</f>
        <v>0</v>
      </c>
      <c r="AU106" s="235">
        <f xml:space="preserve"> Ops!AU$312</f>
        <v>0</v>
      </c>
      <c r="AV106" s="235">
        <f xml:space="preserve"> Ops!AV$312</f>
        <v>0</v>
      </c>
      <c r="AW106" s="235">
        <f xml:space="preserve"> Ops!AW$312</f>
        <v>0</v>
      </c>
      <c r="AX106" s="235">
        <f xml:space="preserve"> Ops!AX$312</f>
        <v>0</v>
      </c>
      <c r="AY106" s="235">
        <f xml:space="preserve"> Ops!AY$312</f>
        <v>0</v>
      </c>
      <c r="AZ106" s="235">
        <f xml:space="preserve"> Ops!AZ$312</f>
        <v>0</v>
      </c>
      <c r="BA106" s="235">
        <f xml:space="preserve"> Ops!BA$312</f>
        <v>0</v>
      </c>
      <c r="BB106" s="235">
        <f xml:space="preserve"> Ops!BB$312</f>
        <v>0</v>
      </c>
      <c r="BC106" s="235">
        <f xml:space="preserve"> Ops!BC$312</f>
        <v>0</v>
      </c>
      <c r="BD106" s="235">
        <f xml:space="preserve"> Ops!BD$312</f>
        <v>0</v>
      </c>
      <c r="BE106" s="235">
        <f xml:space="preserve"> Ops!BE$312</f>
        <v>0</v>
      </c>
      <c r="BF106" s="235">
        <f xml:space="preserve"> Ops!BF$312</f>
        <v>0</v>
      </c>
      <c r="BG106" s="235">
        <f xml:space="preserve"> Ops!BG$312</f>
        <v>0</v>
      </c>
      <c r="BH106" s="235">
        <f xml:space="preserve"> Ops!BH$312</f>
        <v>0</v>
      </c>
      <c r="BI106" s="235">
        <f xml:space="preserve"> Ops!BI$312</f>
        <v>0</v>
      </c>
      <c r="BJ106" s="235">
        <f xml:space="preserve"> Ops!BJ$312</f>
        <v>0</v>
      </c>
      <c r="BK106" s="235">
        <f xml:space="preserve"> Ops!BK$312</f>
        <v>0</v>
      </c>
      <c r="BL106" s="235">
        <f xml:space="preserve"> Ops!BL$312</f>
        <v>0</v>
      </c>
      <c r="BM106" s="235">
        <f xml:space="preserve"> Ops!BM$312</f>
        <v>0</v>
      </c>
      <c r="BN106" s="235">
        <f xml:space="preserve"> Ops!BN$312</f>
        <v>0</v>
      </c>
      <c r="BO106" s="235">
        <f xml:space="preserve"> Ops!BO$312</f>
        <v>0</v>
      </c>
      <c r="BP106" s="235">
        <f xml:space="preserve"> Ops!BP$312</f>
        <v>0</v>
      </c>
      <c r="BQ106" s="235">
        <f xml:space="preserve"> Ops!BQ$312</f>
        <v>0</v>
      </c>
      <c r="BR106" s="235">
        <f xml:space="preserve"> Ops!BR$312</f>
        <v>0</v>
      </c>
      <c r="BS106" s="235">
        <f xml:space="preserve"> Ops!BS$312</f>
        <v>0</v>
      </c>
      <c r="BT106" s="235">
        <f xml:space="preserve"> Ops!BT$312</f>
        <v>0</v>
      </c>
      <c r="BU106" s="235">
        <f xml:space="preserve"> Ops!BU$312</f>
        <v>0</v>
      </c>
      <c r="BV106" s="235">
        <f xml:space="preserve"> Ops!BV$312</f>
        <v>0</v>
      </c>
      <c r="BW106" s="235">
        <f xml:space="preserve"> Ops!BW$312</f>
        <v>0</v>
      </c>
      <c r="BX106" s="235">
        <f xml:space="preserve"> Ops!BX$312</f>
        <v>0</v>
      </c>
      <c r="BY106" s="235">
        <f xml:space="preserve"> Ops!BY$312</f>
        <v>0</v>
      </c>
      <c r="BZ106" s="235">
        <f xml:space="preserve"> Ops!BZ$312</f>
        <v>0</v>
      </c>
      <c r="CA106" s="235">
        <f xml:space="preserve"> Ops!CA$312</f>
        <v>0</v>
      </c>
      <c r="CB106" s="235">
        <f xml:space="preserve"> Ops!CB$312</f>
        <v>0</v>
      </c>
      <c r="CC106" s="235">
        <f xml:space="preserve"> Ops!CC$312</f>
        <v>0</v>
      </c>
      <c r="CD106" s="235">
        <f xml:space="preserve"> Ops!CD$312</f>
        <v>0</v>
      </c>
      <c r="CE106" s="235">
        <f xml:space="preserve"> Ops!CE$312</f>
        <v>0</v>
      </c>
      <c r="CF106" s="235">
        <f xml:space="preserve"> Ops!CF$312</f>
        <v>0</v>
      </c>
      <c r="CG106" s="235">
        <f xml:space="preserve"> Ops!CG$312</f>
        <v>0</v>
      </c>
      <c r="CH106" s="235">
        <f xml:space="preserve"> Ops!CH$312</f>
        <v>0</v>
      </c>
      <c r="CI106" s="235">
        <f xml:space="preserve"> Ops!CI$312</f>
        <v>0</v>
      </c>
      <c r="CJ106" s="235">
        <f xml:space="preserve"> Ops!CJ$312</f>
        <v>0</v>
      </c>
      <c r="CK106" s="235">
        <f xml:space="preserve"> Ops!CK$312</f>
        <v>0</v>
      </c>
      <c r="CL106" s="235">
        <f xml:space="preserve"> Ops!CL$312</f>
        <v>0</v>
      </c>
      <c r="CM106" s="235">
        <f xml:space="preserve"> Ops!CM$312</f>
        <v>0</v>
      </c>
      <c r="CN106" s="235">
        <f xml:space="preserve"> Ops!CN$312</f>
        <v>0</v>
      </c>
      <c r="CO106" s="235">
        <f xml:space="preserve"> Ops!CO$312</f>
        <v>0</v>
      </c>
      <c r="CP106" s="235">
        <f xml:space="preserve"> Ops!CP$312</f>
        <v>0</v>
      </c>
      <c r="CQ106" s="235">
        <f xml:space="preserve"> Ops!CQ$312</f>
        <v>0</v>
      </c>
      <c r="CR106" s="235">
        <f xml:space="preserve"> Ops!CR$312</f>
        <v>0</v>
      </c>
      <c r="CS106" s="235">
        <f xml:space="preserve"> Ops!CS$312</f>
        <v>0</v>
      </c>
      <c r="CT106" s="235">
        <f xml:space="preserve"> Ops!CT$312</f>
        <v>0</v>
      </c>
      <c r="CU106" s="235">
        <f xml:space="preserve"> Ops!CU$312</f>
        <v>0</v>
      </c>
      <c r="CV106" s="235">
        <f xml:space="preserve"> Ops!CV$312</f>
        <v>0</v>
      </c>
    </row>
    <row r="107" spans="1:100" s="192" customFormat="1" outlineLevel="2" x14ac:dyDescent="0.2">
      <c r="A107" s="205"/>
      <c r="B107" s="205"/>
      <c r="C107" s="206"/>
      <c r="D107" s="209"/>
      <c r="E107" s="288" t="str">
        <f xml:space="preserve"> DSRA!E$163</f>
        <v>DSRA balance - P99</v>
      </c>
      <c r="F107" s="288">
        <f xml:space="preserve"> DSRA!F$163</f>
        <v>0</v>
      </c>
      <c r="G107" s="288" t="str">
        <f xml:space="preserve"> DSRA!G$163</f>
        <v>$ 000s</v>
      </c>
      <c r="H107" s="288">
        <f xml:space="preserve"> DSRA!H$163</f>
        <v>0</v>
      </c>
      <c r="I107" s="288">
        <f xml:space="preserve"> DSRA!I$163</f>
        <v>0</v>
      </c>
      <c r="J107" s="288">
        <f ca="1" xml:space="preserve"> DSRA!J$163</f>
        <v>0</v>
      </c>
      <c r="K107" s="288">
        <f ca="1" xml:space="preserve"> DSRA!K$163</f>
        <v>0</v>
      </c>
      <c r="L107" s="288">
        <f ca="1" xml:space="preserve"> DSRA!L$163</f>
        <v>0</v>
      </c>
      <c r="M107" s="288">
        <f ca="1" xml:space="preserve"> DSRA!M$163</f>
        <v>0</v>
      </c>
      <c r="N107" s="288">
        <f ca="1" xml:space="preserve"> DSRA!N$163</f>
        <v>11233.130669939161</v>
      </c>
      <c r="O107" s="288">
        <f ca="1" xml:space="preserve"> DSRA!O$163</f>
        <v>11233.130669939161</v>
      </c>
      <c r="P107" s="288">
        <f ca="1" xml:space="preserve"> DSRA!P$163</f>
        <v>11190.794928838903</v>
      </c>
      <c r="Q107" s="288">
        <f ca="1" xml:space="preserve"> DSRA!Q$163</f>
        <v>11147.702061098667</v>
      </c>
      <c r="R107" s="288">
        <f ca="1" xml:space="preserve"> DSRA!R$163</f>
        <v>11104.822479349081</v>
      </c>
      <c r="S107" s="288">
        <f ca="1" xml:space="preserve"> DSRA!S$163</f>
        <v>11061.172559369908</v>
      </c>
      <c r="T107" s="288">
        <f ca="1" xml:space="preserve"> DSRA!T$163</f>
        <v>11025.255469920612</v>
      </c>
      <c r="U107" s="288">
        <f ca="1" xml:space="preserve"> DSRA!U$163</f>
        <v>10973.518731652715</v>
      </c>
      <c r="V107" s="288">
        <f ca="1" xml:space="preserve"> DSRA!V$163</f>
        <v>10921.998577696688</v>
      </c>
      <c r="W107" s="288">
        <f ca="1" xml:space="preserve"> DSRA!W$163</f>
        <v>10884.71667623521</v>
      </c>
      <c r="X107" s="288">
        <f ca="1" xml:space="preserve"> DSRA!X$163</f>
        <v>10840.135152344956</v>
      </c>
      <c r="Y107" s="288">
        <f ca="1" xml:space="preserve"> DSRA!Y$163</f>
        <v>10794.742010746362</v>
      </c>
      <c r="Z107" s="288">
        <f ca="1" xml:space="preserve"> DSRA!Z$163</f>
        <v>10749.568908064761</v>
      </c>
      <c r="AA107" s="288">
        <f ca="1" xml:space="preserve"> DSRA!AA$163</f>
        <v>10703.56986326347</v>
      </c>
      <c r="AB107" s="288">
        <f ca="1" xml:space="preserve"> DSRA!AB$163</f>
        <v>10665.064311187987</v>
      </c>
      <c r="AC107" s="288">
        <f ca="1" xml:space="preserve"> DSRA!AC$163</f>
        <v>10611.174866718349</v>
      </c>
      <c r="AD107" s="288">
        <f ca="1" xml:space="preserve"> DSRA!AD$163</f>
        <v>10557.509077694693</v>
      </c>
      <c r="AE107" s="288">
        <f ca="1" xml:space="preserve"> DSRA!AE$163</f>
        <v>10517.531143266302</v>
      </c>
      <c r="AF107" s="288">
        <f ca="1" xml:space="preserve"> DSRA!AF$163</f>
        <v>10470.507070020134</v>
      </c>
      <c r="AG107" s="288">
        <f ca="1" xml:space="preserve"> DSRA!AG$163</f>
        <v>10422.612301906172</v>
      </c>
      <c r="AH107" s="288">
        <f ca="1" xml:space="preserve"> DSRA!AH$163</f>
        <v>10374.944975120165</v>
      </c>
      <c r="AI107" s="288">
        <f ca="1" xml:space="preserve"> DSRA!AI$163</f>
        <v>10326.391413681304</v>
      </c>
      <c r="AJ107" s="288">
        <f ca="1" xml:space="preserve"> DSRA!AJ$163</f>
        <v>10285.079124192071</v>
      </c>
      <c r="AK107" s="288">
        <f ca="1" xml:space="preserve"> DSRA!AK$163</f>
        <v>10228.841010385528</v>
      </c>
      <c r="AL107" s="288">
        <f ca="1" xml:space="preserve"> DSRA!AL$163</f>
        <v>10172.834298762504</v>
      </c>
      <c r="AM107" s="288">
        <f ca="1" xml:space="preserve"> DSRA!AM$163</f>
        <v>10129.933079413677</v>
      </c>
      <c r="AN107" s="288">
        <f ca="1" xml:space="preserve"> DSRA!AN$163</f>
        <v>10080.253439298456</v>
      </c>
      <c r="AO107" s="288">
        <f ca="1" xml:space="preserve"> DSRA!AO$163</f>
        <v>10029.63904497031</v>
      </c>
      <c r="AP107" s="288">
        <f ca="1" xml:space="preserve"> DSRA!AP$163</f>
        <v>9979.2601971614822</v>
      </c>
      <c r="AQ107" s="288">
        <f ca="1" xml:space="preserve"> DSRA!AQ$163</f>
        <v>9927.9304935534874</v>
      </c>
      <c r="AR107" s="288">
        <f ca="1" xml:space="preserve"> DSRA!AR$163</f>
        <v>9883.5760729497488</v>
      </c>
      <c r="AS107" s="288">
        <f ca="1" xml:space="preserve"> DSRA!AS$163</f>
        <v>9824.7779316197557</v>
      </c>
      <c r="AT107" s="288">
        <f ca="1" xml:space="preserve"> DSRA!AT$163</f>
        <v>9766.220927027236</v>
      </c>
      <c r="AU107" s="288">
        <f ca="1" xml:space="preserve"> DSRA!AU$163</f>
        <v>4860.2302073800211</v>
      </c>
      <c r="AV107" s="288">
        <f ca="1" xml:space="preserve"> DSRA!AV$163</f>
        <v>-2.0082668106624624E-4</v>
      </c>
      <c r="AW107" s="288">
        <f ca="1" xml:space="preserve"> DSRA!AW$163</f>
        <v>-2.0082668106624624E-4</v>
      </c>
      <c r="AX107" s="288">
        <f ca="1" xml:space="preserve"> DSRA!AX$163</f>
        <v>-2.0082668106624624E-4</v>
      </c>
      <c r="AY107" s="288">
        <f ca="1" xml:space="preserve"> DSRA!AY$163</f>
        <v>-2.0082668106624624E-4</v>
      </c>
      <c r="AZ107" s="288">
        <f ca="1" xml:space="preserve"> DSRA!AZ$163</f>
        <v>-2.0082668106624624E-4</v>
      </c>
      <c r="BA107" s="288">
        <f ca="1" xml:space="preserve"> DSRA!BA$163</f>
        <v>-2.0082668106624624E-4</v>
      </c>
      <c r="BB107" s="288">
        <f ca="1" xml:space="preserve"> DSRA!BB$163</f>
        <v>-2.0082668106624624E-4</v>
      </c>
      <c r="BC107" s="288">
        <f ca="1" xml:space="preserve"> DSRA!BC$163</f>
        <v>-2.0082668106624624E-4</v>
      </c>
      <c r="BD107" s="288">
        <f ca="1" xml:space="preserve"> DSRA!BD$163</f>
        <v>-2.0082668106624624E-4</v>
      </c>
      <c r="BE107" s="288">
        <f ca="1" xml:space="preserve"> DSRA!BE$163</f>
        <v>-2.0082668106624624E-4</v>
      </c>
      <c r="BF107" s="288">
        <f ca="1" xml:space="preserve"> DSRA!BF$163</f>
        <v>-2.0082668106624624E-4</v>
      </c>
      <c r="BG107" s="288">
        <f ca="1" xml:space="preserve"> DSRA!BG$163</f>
        <v>-2.0082668106624624E-4</v>
      </c>
      <c r="BH107" s="288">
        <f ca="1" xml:space="preserve"> DSRA!BH$163</f>
        <v>-2.0082668106624624E-4</v>
      </c>
      <c r="BI107" s="288">
        <f ca="1" xml:space="preserve"> DSRA!BI$163</f>
        <v>-2.0082668106624624E-4</v>
      </c>
      <c r="BJ107" s="288">
        <f ca="1" xml:space="preserve"> DSRA!BJ$163</f>
        <v>-2.0082668106624624E-4</v>
      </c>
      <c r="BK107" s="288">
        <f ca="1" xml:space="preserve"> DSRA!BK$163</f>
        <v>-2.0082668106624624E-4</v>
      </c>
      <c r="BL107" s="288">
        <f ca="1" xml:space="preserve"> DSRA!BL$163</f>
        <v>-2.0082668106624624E-4</v>
      </c>
      <c r="BM107" s="288">
        <f ca="1" xml:space="preserve"> DSRA!BM$163</f>
        <v>-2.0082668106624624E-4</v>
      </c>
      <c r="BN107" s="288">
        <f ca="1" xml:space="preserve"> DSRA!BN$163</f>
        <v>-2.0082668106624624E-4</v>
      </c>
      <c r="BO107" s="288">
        <f ca="1" xml:space="preserve"> DSRA!BO$163</f>
        <v>-2.0082668106624624E-4</v>
      </c>
      <c r="BP107" s="288">
        <f ca="1" xml:space="preserve"> DSRA!BP$163</f>
        <v>-2.0082668106624624E-4</v>
      </c>
      <c r="BQ107" s="288">
        <f ca="1" xml:space="preserve"> DSRA!BQ$163</f>
        <v>-2.0082668106624624E-4</v>
      </c>
      <c r="BR107" s="288">
        <f ca="1" xml:space="preserve"> DSRA!BR$163</f>
        <v>-2.0082668106624624E-4</v>
      </c>
      <c r="BS107" s="288">
        <f ca="1" xml:space="preserve"> DSRA!BS$163</f>
        <v>-2.0082668106624624E-4</v>
      </c>
      <c r="BT107" s="288">
        <f ca="1" xml:space="preserve"> DSRA!BT$163</f>
        <v>-2.0082668106624624E-4</v>
      </c>
      <c r="BU107" s="288">
        <f ca="1" xml:space="preserve"> DSRA!BU$163</f>
        <v>-2.0082668106624624E-4</v>
      </c>
      <c r="BV107" s="288">
        <f ca="1" xml:space="preserve"> DSRA!BV$163</f>
        <v>-2.0082668106624624E-4</v>
      </c>
      <c r="BW107" s="288">
        <f ca="1" xml:space="preserve"> DSRA!BW$163</f>
        <v>-2.0082668106624624E-4</v>
      </c>
      <c r="BX107" s="288">
        <f ca="1" xml:space="preserve"> DSRA!BX$163</f>
        <v>-2.0082668106624624E-4</v>
      </c>
      <c r="BY107" s="288">
        <f ca="1" xml:space="preserve"> DSRA!BY$163</f>
        <v>-2.0082668106624624E-4</v>
      </c>
      <c r="BZ107" s="288">
        <f ca="1" xml:space="preserve"> DSRA!BZ$163</f>
        <v>-2.0082668106624624E-4</v>
      </c>
      <c r="CA107" s="288">
        <f ca="1" xml:space="preserve"> DSRA!CA$163</f>
        <v>-2.0082668106624624E-4</v>
      </c>
      <c r="CB107" s="288">
        <f ca="1" xml:space="preserve"> DSRA!CB$163</f>
        <v>-2.0082668106624624E-4</v>
      </c>
      <c r="CC107" s="288">
        <f ca="1" xml:space="preserve"> DSRA!CC$163</f>
        <v>-2.0082668106624624E-4</v>
      </c>
      <c r="CD107" s="288">
        <f ca="1" xml:space="preserve"> DSRA!CD$163</f>
        <v>-2.0082668106624624E-4</v>
      </c>
      <c r="CE107" s="288">
        <f ca="1" xml:space="preserve"> DSRA!CE$163</f>
        <v>-2.0082668106624624E-4</v>
      </c>
      <c r="CF107" s="288">
        <f ca="1" xml:space="preserve"> DSRA!CF$163</f>
        <v>-2.0082668106624624E-4</v>
      </c>
      <c r="CG107" s="288">
        <f ca="1" xml:space="preserve"> DSRA!CG$163</f>
        <v>-2.0082668106624624E-4</v>
      </c>
      <c r="CH107" s="288">
        <f ca="1" xml:space="preserve"> DSRA!CH$163</f>
        <v>-2.0082668106624624E-4</v>
      </c>
      <c r="CI107" s="288">
        <f ca="1" xml:space="preserve"> DSRA!CI$163</f>
        <v>-2.0082668106624624E-4</v>
      </c>
      <c r="CJ107" s="288">
        <f ca="1" xml:space="preserve"> DSRA!CJ$163</f>
        <v>-2.0082668106624624E-4</v>
      </c>
      <c r="CK107" s="288">
        <f ca="1" xml:space="preserve"> DSRA!CK$163</f>
        <v>-2.0082668106624624E-4</v>
      </c>
      <c r="CL107" s="288">
        <f ca="1" xml:space="preserve"> DSRA!CL$163</f>
        <v>-2.0082668106624624E-4</v>
      </c>
      <c r="CM107" s="288">
        <f ca="1" xml:space="preserve"> DSRA!CM$163</f>
        <v>-2.0082668106624624E-4</v>
      </c>
      <c r="CN107" s="288">
        <f ca="1" xml:space="preserve"> DSRA!CN$163</f>
        <v>-2.0082668106624624E-4</v>
      </c>
      <c r="CO107" s="288">
        <f ca="1" xml:space="preserve"> DSRA!CO$163</f>
        <v>-2.0082668106624624E-4</v>
      </c>
      <c r="CP107" s="288">
        <f ca="1" xml:space="preserve"> DSRA!CP$163</f>
        <v>-2.0082668106624624E-4</v>
      </c>
      <c r="CQ107" s="288">
        <f ca="1" xml:space="preserve"> DSRA!CQ$163</f>
        <v>-2.0082668106624624E-4</v>
      </c>
      <c r="CR107" s="288">
        <f ca="1" xml:space="preserve"> DSRA!CR$163</f>
        <v>-2.0082668106624624E-4</v>
      </c>
      <c r="CS107" s="288">
        <f ca="1" xml:space="preserve"> DSRA!CS$163</f>
        <v>-2.0082668106624624E-4</v>
      </c>
      <c r="CT107" s="288">
        <f ca="1" xml:space="preserve"> DSRA!CT$163</f>
        <v>-2.0082668106624624E-4</v>
      </c>
      <c r="CU107" s="288">
        <f ca="1" xml:space="preserve"> DSRA!CU$163</f>
        <v>-2.0082668106624624E-4</v>
      </c>
      <c r="CV107" s="288">
        <f ca="1" xml:space="preserve"> DSRA!CV$163</f>
        <v>-2.0082668106624624E-4</v>
      </c>
    </row>
    <row r="108" spans="1:100" outlineLevel="2" x14ac:dyDescent="0.2">
      <c r="D108" s="209"/>
      <c r="E108" s="232" t="s">
        <v>1160</v>
      </c>
      <c r="F108" s="232"/>
      <c r="G108" s="232" t="str">
        <f>SMU</f>
        <v>$ 000s</v>
      </c>
      <c r="H108" s="232"/>
      <c r="I108" s="232"/>
      <c r="J108" s="232">
        <f t="shared" ref="J108:BU108" ca="1" si="39">SUM(J103:J107)</f>
        <v>-1.5558398445136845E-6</v>
      </c>
      <c r="K108" s="232">
        <f t="shared" ca="1" si="39"/>
        <v>-1.402249836246483E-5</v>
      </c>
      <c r="L108" s="232">
        <f t="shared" ca="1" si="39"/>
        <v>-3.0776860512560233E-5</v>
      </c>
      <c r="M108" s="232">
        <f t="shared" ca="1" si="39"/>
        <v>1989.9999498004508</v>
      </c>
      <c r="N108" s="232">
        <f t="shared" ca="1" si="39"/>
        <v>17080.247625128439</v>
      </c>
      <c r="O108" s="232">
        <f t="shared" ca="1" si="39"/>
        <v>16149.152669029903</v>
      </c>
      <c r="P108" s="232">
        <f t="shared" ca="1" si="39"/>
        <v>16124.367773665894</v>
      </c>
      <c r="Q108" s="232">
        <f t="shared" ca="1" si="39"/>
        <v>16008.503354945995</v>
      </c>
      <c r="R108" s="232">
        <f t="shared" ca="1" si="39"/>
        <v>15983.525635847382</v>
      </c>
      <c r="S108" s="232">
        <f t="shared" ca="1" si="39"/>
        <v>15867.251545442507</v>
      </c>
      <c r="T108" s="232">
        <f t="shared" ca="1" si="39"/>
        <v>15849.594355897203</v>
      </c>
      <c r="U108" s="232">
        <f t="shared" ca="1" si="39"/>
        <v>15725.380571811573</v>
      </c>
      <c r="V108" s="232">
        <f t="shared" ca="1" si="39"/>
        <v>15686.20892598842</v>
      </c>
      <c r="W108" s="232">
        <f t="shared" ca="1" si="39"/>
        <v>15598.837875494022</v>
      </c>
      <c r="X108" s="232">
        <f t="shared" ca="1" si="39"/>
        <v>15573.253951463881</v>
      </c>
      <c r="Y108" s="232">
        <f t="shared" ca="1" si="39"/>
        <v>15455.677250225803</v>
      </c>
      <c r="Z108" s="232">
        <f t="shared" ca="1" si="39"/>
        <v>15429.881699401518</v>
      </c>
      <c r="AA108" s="232">
        <f t="shared" ca="1" si="39"/>
        <v>15311.845458956206</v>
      </c>
      <c r="AB108" s="232">
        <f t="shared" ca="1" si="39"/>
        <v>15293.105009775187</v>
      </c>
      <c r="AC108" s="232">
        <f t="shared" ca="1" si="39"/>
        <v>15167.324482561813</v>
      </c>
      <c r="AD108" s="232">
        <f t="shared" ca="1" si="39"/>
        <v>15127.025115869201</v>
      </c>
      <c r="AE108" s="232">
        <f t="shared" ca="1" si="39"/>
        <v>15037.402915517447</v>
      </c>
      <c r="AF108" s="232">
        <f t="shared" ca="1" si="39"/>
        <v>15010.942455322678</v>
      </c>
      <c r="AG108" s="232">
        <f t="shared" ca="1" si="39"/>
        <v>14891.448081945106</v>
      </c>
      <c r="AH108" s="232">
        <f t="shared" ca="1" si="39"/>
        <v>14864.755640471525</v>
      </c>
      <c r="AI108" s="232">
        <f t="shared" ca="1" si="39"/>
        <v>14744.747840858614</v>
      </c>
      <c r="AJ108" s="232">
        <f t="shared" ca="1" si="39"/>
        <v>14724.829934388054</v>
      </c>
      <c r="AK108" s="232">
        <f t="shared" ca="1" si="39"/>
        <v>14597.282703421693</v>
      </c>
      <c r="AL108" s="232">
        <f t="shared" ca="1" si="39"/>
        <v>14555.744237193936</v>
      </c>
      <c r="AM108" s="232">
        <f t="shared" ca="1" si="39"/>
        <v>14463.64350143517</v>
      </c>
      <c r="AN108" s="232">
        <f t="shared" ca="1" si="39"/>
        <v>14436.22257741258</v>
      </c>
      <c r="AO108" s="232">
        <f t="shared" ca="1" si="39"/>
        <v>14314.588574870764</v>
      </c>
      <c r="AP108" s="232">
        <f t="shared" ca="1" si="39"/>
        <v>14286.913617476417</v>
      </c>
      <c r="AQ108" s="232">
        <f t="shared" ca="1" si="39"/>
        <v>14164.708696187892</v>
      </c>
      <c r="AR108" s="232">
        <f t="shared" ca="1" si="39"/>
        <v>14143.512243806927</v>
      </c>
      <c r="AS108" s="232">
        <f t="shared" ca="1" si="39"/>
        <v>14013.983034457122</v>
      </c>
      <c r="AT108" s="232">
        <f t="shared" ca="1" si="39"/>
        <v>13971.08692397921</v>
      </c>
      <c r="AU108" s="232">
        <f t="shared" ca="1" si="39"/>
        <v>9016.3415564482711</v>
      </c>
      <c r="AV108" s="232">
        <f t="shared" ca="1" si="39"/>
        <v>4180.2046983805412</v>
      </c>
      <c r="AW108" s="232">
        <f t="shared" ca="1" si="39"/>
        <v>4109.7612124017996</v>
      </c>
      <c r="AX108" s="232">
        <f t="shared" ca="1" si="39"/>
        <v>4134.3366335435503</v>
      </c>
      <c r="AY108" s="232">
        <f t="shared" ca="1" si="39"/>
        <v>4064.0365826453844</v>
      </c>
      <c r="AZ108" s="232">
        <f t="shared" ca="1" si="39"/>
        <v>4089.1035122099711</v>
      </c>
      <c r="BA108" s="232">
        <f t="shared" ca="1" si="39"/>
        <v>4018.9466609209248</v>
      </c>
      <c r="BB108" s="232">
        <f t="shared" ca="1" si="39"/>
        <v>-2.0082668106624624E-4</v>
      </c>
      <c r="BC108" s="232">
        <f t="shared" ca="1" si="39"/>
        <v>-2.0082668106624624E-4</v>
      </c>
      <c r="BD108" s="232">
        <f t="shared" ca="1" si="39"/>
        <v>-2.0082668106624624E-4</v>
      </c>
      <c r="BE108" s="232">
        <f t="shared" ca="1" si="39"/>
        <v>-2.0082668106624624E-4</v>
      </c>
      <c r="BF108" s="232">
        <f t="shared" ca="1" si="39"/>
        <v>-2.0082668106624624E-4</v>
      </c>
      <c r="BG108" s="232">
        <f t="shared" ca="1" si="39"/>
        <v>-2.0082668106624624E-4</v>
      </c>
      <c r="BH108" s="232">
        <f t="shared" ca="1" si="39"/>
        <v>-2.0082668106624624E-4</v>
      </c>
      <c r="BI108" s="232">
        <f t="shared" ca="1" si="39"/>
        <v>-2.0082668106624624E-4</v>
      </c>
      <c r="BJ108" s="232">
        <f t="shared" ca="1" si="39"/>
        <v>-2.0082668106624624E-4</v>
      </c>
      <c r="BK108" s="232">
        <f t="shared" ca="1" si="39"/>
        <v>-2.0082668106624624E-4</v>
      </c>
      <c r="BL108" s="232">
        <f t="shared" ca="1" si="39"/>
        <v>-2.0082668106624624E-4</v>
      </c>
      <c r="BM108" s="232">
        <f t="shared" ca="1" si="39"/>
        <v>-2.0082668106624624E-4</v>
      </c>
      <c r="BN108" s="232">
        <f t="shared" ca="1" si="39"/>
        <v>-2.0082668106624624E-4</v>
      </c>
      <c r="BO108" s="232">
        <f t="shared" ca="1" si="39"/>
        <v>-2.0082668106624624E-4</v>
      </c>
      <c r="BP108" s="232">
        <f t="shared" ca="1" si="39"/>
        <v>-2.0082668106624624E-4</v>
      </c>
      <c r="BQ108" s="232">
        <f t="shared" ca="1" si="39"/>
        <v>-2.0082668106624624E-4</v>
      </c>
      <c r="BR108" s="232">
        <f t="shared" ca="1" si="39"/>
        <v>-2.0082668106624624E-4</v>
      </c>
      <c r="BS108" s="232">
        <f t="shared" ca="1" si="39"/>
        <v>-2.0082668106624624E-4</v>
      </c>
      <c r="BT108" s="232">
        <f t="shared" ca="1" si="39"/>
        <v>-2.0082668106624624E-4</v>
      </c>
      <c r="BU108" s="232">
        <f t="shared" ca="1" si="39"/>
        <v>-2.0082668106624624E-4</v>
      </c>
      <c r="BV108" s="232">
        <f t="shared" ref="BV108:CV108" ca="1" si="40">SUM(BV103:BV107)</f>
        <v>-2.0082668106624624E-4</v>
      </c>
      <c r="BW108" s="232">
        <f t="shared" ca="1" si="40"/>
        <v>-2.0082668106624624E-4</v>
      </c>
      <c r="BX108" s="232">
        <f t="shared" ca="1" si="40"/>
        <v>-2.0082668106624624E-4</v>
      </c>
      <c r="BY108" s="232">
        <f t="shared" ca="1" si="40"/>
        <v>-2.0082668106624624E-4</v>
      </c>
      <c r="BZ108" s="232">
        <f t="shared" ca="1" si="40"/>
        <v>-2.0082668106624624E-4</v>
      </c>
      <c r="CA108" s="232">
        <f t="shared" ca="1" si="40"/>
        <v>-2.0082668106624624E-4</v>
      </c>
      <c r="CB108" s="232">
        <f t="shared" ca="1" si="40"/>
        <v>-2.0082668106624624E-4</v>
      </c>
      <c r="CC108" s="232">
        <f t="shared" ca="1" si="40"/>
        <v>-2.0082668106624624E-4</v>
      </c>
      <c r="CD108" s="232">
        <f t="shared" ca="1" si="40"/>
        <v>-2.0082668106624624E-4</v>
      </c>
      <c r="CE108" s="232">
        <f t="shared" ca="1" si="40"/>
        <v>-2.0082668106624624E-4</v>
      </c>
      <c r="CF108" s="232">
        <f t="shared" ca="1" si="40"/>
        <v>-2.0082668106624624E-4</v>
      </c>
      <c r="CG108" s="232">
        <f t="shared" ca="1" si="40"/>
        <v>-2.0082668106624624E-4</v>
      </c>
      <c r="CH108" s="232">
        <f t="shared" ca="1" si="40"/>
        <v>-2.0082668106624624E-4</v>
      </c>
      <c r="CI108" s="232">
        <f t="shared" ca="1" si="40"/>
        <v>-2.0082668106624624E-4</v>
      </c>
      <c r="CJ108" s="232">
        <f t="shared" ca="1" si="40"/>
        <v>-2.0082668106624624E-4</v>
      </c>
      <c r="CK108" s="232">
        <f t="shared" ca="1" si="40"/>
        <v>-2.0082668106624624E-4</v>
      </c>
      <c r="CL108" s="232">
        <f t="shared" ca="1" si="40"/>
        <v>-2.0082668106624624E-4</v>
      </c>
      <c r="CM108" s="232">
        <f t="shared" ca="1" si="40"/>
        <v>-2.0082668106624624E-4</v>
      </c>
      <c r="CN108" s="232">
        <f t="shared" ca="1" si="40"/>
        <v>-2.0082668106624624E-4</v>
      </c>
      <c r="CO108" s="232">
        <f t="shared" ca="1" si="40"/>
        <v>-2.0082668106624624E-4</v>
      </c>
      <c r="CP108" s="232">
        <f t="shared" ca="1" si="40"/>
        <v>-2.0082668106624624E-4</v>
      </c>
      <c r="CQ108" s="232">
        <f t="shared" ca="1" si="40"/>
        <v>-2.0082668106624624E-4</v>
      </c>
      <c r="CR108" s="232">
        <f t="shared" ca="1" si="40"/>
        <v>-2.0082668106624624E-4</v>
      </c>
      <c r="CS108" s="232">
        <f t="shared" ca="1" si="40"/>
        <v>-2.0082668106624624E-4</v>
      </c>
      <c r="CT108" s="232">
        <f t="shared" ca="1" si="40"/>
        <v>-2.0082668106624624E-4</v>
      </c>
      <c r="CU108" s="232">
        <f t="shared" ca="1" si="40"/>
        <v>-2.0082668106624624E-4</v>
      </c>
      <c r="CV108" s="232">
        <f t="shared" ca="1" si="40"/>
        <v>-2.0082668106624624E-4</v>
      </c>
    </row>
    <row r="109" spans="1:100" outlineLevel="2" x14ac:dyDescent="0.2">
      <c r="D109" s="209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235"/>
      <c r="CA109" s="235"/>
      <c r="CB109" s="235"/>
      <c r="CC109" s="235"/>
      <c r="CD109" s="235"/>
      <c r="CE109" s="235"/>
      <c r="CF109" s="235"/>
      <c r="CG109" s="235"/>
      <c r="CH109" s="235"/>
      <c r="CI109" s="235"/>
      <c r="CJ109" s="235"/>
      <c r="CK109" s="235"/>
      <c r="CL109" s="235"/>
      <c r="CM109" s="235"/>
      <c r="CN109" s="235"/>
      <c r="CO109" s="235"/>
      <c r="CP109" s="235"/>
      <c r="CQ109" s="235"/>
      <c r="CR109" s="235"/>
      <c r="CS109" s="235"/>
      <c r="CT109" s="235"/>
      <c r="CU109" s="235"/>
      <c r="CV109" s="235"/>
    </row>
    <row r="110" spans="1:100" outlineLevel="2" x14ac:dyDescent="0.2">
      <c r="D110" s="209"/>
      <c r="E110" s="232" t="s">
        <v>1161</v>
      </c>
      <c r="F110" s="232"/>
      <c r="G110" s="232" t="str">
        <f>SMU</f>
        <v>$ 000s</v>
      </c>
      <c r="H110" s="232"/>
      <c r="I110" s="232"/>
      <c r="J110" s="232">
        <f t="shared" ref="J110:BU110" ca="1" si="41" xml:space="preserve"> J108 + J100</f>
        <v>38655.01232134179</v>
      </c>
      <c r="K110" s="232">
        <f t="shared" ca="1" si="41"/>
        <v>110586.75689414167</v>
      </c>
      <c r="L110" s="232">
        <f t="shared" ca="1" si="41"/>
        <v>183700.42528235298</v>
      </c>
      <c r="M110" s="232">
        <f t="shared" ca="1" si="41"/>
        <v>258114.31294635375</v>
      </c>
      <c r="N110" s="232">
        <f t="shared" ca="1" si="41"/>
        <v>336808.10536716814</v>
      </c>
      <c r="O110" s="232">
        <f t="shared" ca="1" si="41"/>
        <v>327776.45124683314</v>
      </c>
      <c r="P110" s="232">
        <f t="shared" ca="1" si="41"/>
        <v>319651.10718723264</v>
      </c>
      <c r="Q110" s="232">
        <f t="shared" ca="1" si="41"/>
        <v>311434.68360427633</v>
      </c>
      <c r="R110" s="232">
        <f t="shared" ca="1" si="41"/>
        <v>303309.14672094124</v>
      </c>
      <c r="S110" s="232">
        <f t="shared" ca="1" si="41"/>
        <v>295092.31346629991</v>
      </c>
      <c r="T110" s="232">
        <f t="shared" ca="1" si="41"/>
        <v>286974.09711251815</v>
      </c>
      <c r="U110" s="232">
        <f t="shared" ca="1" si="41"/>
        <v>278749.32416419603</v>
      </c>
      <c r="V110" s="232">
        <f t="shared" ca="1" si="41"/>
        <v>270609.59335413639</v>
      </c>
      <c r="W110" s="232">
        <f t="shared" ca="1" si="41"/>
        <v>262421.66313940554</v>
      </c>
      <c r="X110" s="232">
        <f t="shared" ca="1" si="41"/>
        <v>254295.52005113891</v>
      </c>
      <c r="Y110" s="232">
        <f t="shared" ca="1" si="41"/>
        <v>246077.38418566436</v>
      </c>
      <c r="Z110" s="232">
        <f t="shared" ca="1" si="41"/>
        <v>237951.02947060359</v>
      </c>
      <c r="AA110" s="232">
        <f t="shared" ca="1" si="41"/>
        <v>229732.43406592181</v>
      </c>
      <c r="AB110" s="232">
        <f t="shared" ca="1" si="41"/>
        <v>221613.13445250434</v>
      </c>
      <c r="AC110" s="232">
        <f t="shared" ca="1" si="41"/>
        <v>213386.79476105451</v>
      </c>
      <c r="AD110" s="232">
        <f t="shared" ca="1" si="41"/>
        <v>205245.93623012543</v>
      </c>
      <c r="AE110" s="232">
        <f t="shared" ca="1" si="41"/>
        <v>197055.75486553719</v>
      </c>
      <c r="AF110" s="232">
        <f t="shared" ca="1" si="41"/>
        <v>188928.73524110595</v>
      </c>
      <c r="AG110" s="232">
        <f t="shared" ca="1" si="41"/>
        <v>180708.68170349189</v>
      </c>
      <c r="AH110" s="232">
        <f t="shared" ca="1" si="41"/>
        <v>172581.43009778185</v>
      </c>
      <c r="AI110" s="232">
        <f t="shared" ca="1" si="41"/>
        <v>164360.86313393246</v>
      </c>
      <c r="AJ110" s="232">
        <f t="shared" ca="1" si="41"/>
        <v>156240.38606322545</v>
      </c>
      <c r="AK110" s="232">
        <f t="shared" ca="1" si="41"/>
        <v>148012.27966802262</v>
      </c>
      <c r="AL110" s="232">
        <f t="shared" ca="1" si="41"/>
        <v>139870.18203755841</v>
      </c>
      <c r="AM110" s="232">
        <f t="shared" ca="1" si="41"/>
        <v>131677.52213756318</v>
      </c>
      <c r="AN110" s="232">
        <f t="shared" ca="1" si="41"/>
        <v>123549.54204930415</v>
      </c>
      <c r="AO110" s="232">
        <f t="shared" ca="1" si="41"/>
        <v>115327.34888252587</v>
      </c>
      <c r="AP110" s="232">
        <f t="shared" ca="1" si="41"/>
        <v>107199.11476089506</v>
      </c>
      <c r="AQ110" s="232">
        <f t="shared" ca="1" si="41"/>
        <v>98976.350675370079</v>
      </c>
      <c r="AR110" s="232">
        <f t="shared" ca="1" si="41"/>
        <v>90854.595058752646</v>
      </c>
      <c r="AS110" s="232">
        <f t="shared" ca="1" si="41"/>
        <v>82624.506685166401</v>
      </c>
      <c r="AT110" s="232">
        <f t="shared" ca="1" si="41"/>
        <v>74481.051410452026</v>
      </c>
      <c r="AU110" s="232">
        <f t="shared" ca="1" si="41"/>
        <v>61425.746878684629</v>
      </c>
      <c r="AV110" s="232">
        <f t="shared" ca="1" si="41"/>
        <v>48489.05085638044</v>
      </c>
      <c r="AW110" s="232">
        <f t="shared" ca="1" si="41"/>
        <v>41033.799677401701</v>
      </c>
      <c r="AX110" s="232">
        <f t="shared" ca="1" si="41"/>
        <v>33673.567405543465</v>
      </c>
      <c r="AY110" s="232">
        <f t="shared" ca="1" si="41"/>
        <v>26218.459661645302</v>
      </c>
      <c r="AZ110" s="232">
        <f t="shared" ca="1" si="41"/>
        <v>18858.718898209889</v>
      </c>
      <c r="BA110" s="232">
        <f t="shared" ca="1" si="41"/>
        <v>11403.754353920847</v>
      </c>
      <c r="BB110" s="232">
        <f t="shared" ca="1" si="41"/>
        <v>-2.0082675564481178E-4</v>
      </c>
      <c r="BC110" s="232">
        <f t="shared" ca="1" si="41"/>
        <v>-2.0082675564481178E-4</v>
      </c>
      <c r="BD110" s="232">
        <f t="shared" ca="1" si="41"/>
        <v>-2.0082675564481178E-4</v>
      </c>
      <c r="BE110" s="232">
        <f t="shared" ca="1" si="41"/>
        <v>-2.0082675564481178E-4</v>
      </c>
      <c r="BF110" s="232">
        <f t="shared" ca="1" si="41"/>
        <v>-2.0082675564481178E-4</v>
      </c>
      <c r="BG110" s="232">
        <f t="shared" ca="1" si="41"/>
        <v>-2.0082675564481178E-4</v>
      </c>
      <c r="BH110" s="232">
        <f t="shared" ca="1" si="41"/>
        <v>-2.0082675564481178E-4</v>
      </c>
      <c r="BI110" s="232">
        <f t="shared" ca="1" si="41"/>
        <v>-2.0082675564481178E-4</v>
      </c>
      <c r="BJ110" s="232">
        <f t="shared" ca="1" si="41"/>
        <v>-2.0082675564481178E-4</v>
      </c>
      <c r="BK110" s="232">
        <f t="shared" ca="1" si="41"/>
        <v>-2.0082675564481178E-4</v>
      </c>
      <c r="BL110" s="232">
        <f t="shared" ca="1" si="41"/>
        <v>-2.0082675564481178E-4</v>
      </c>
      <c r="BM110" s="232">
        <f t="shared" ca="1" si="41"/>
        <v>-2.0082675564481178E-4</v>
      </c>
      <c r="BN110" s="232">
        <f t="shared" ca="1" si="41"/>
        <v>-2.0082675564481178E-4</v>
      </c>
      <c r="BO110" s="232">
        <f t="shared" ca="1" si="41"/>
        <v>-2.0082675564481178E-4</v>
      </c>
      <c r="BP110" s="232">
        <f t="shared" ca="1" si="41"/>
        <v>-2.0082675564481178E-4</v>
      </c>
      <c r="BQ110" s="232">
        <f t="shared" ca="1" si="41"/>
        <v>-2.0082675564481178E-4</v>
      </c>
      <c r="BR110" s="232">
        <f t="shared" ca="1" si="41"/>
        <v>-2.0082675564481178E-4</v>
      </c>
      <c r="BS110" s="232">
        <f t="shared" ca="1" si="41"/>
        <v>-2.0082675564481178E-4</v>
      </c>
      <c r="BT110" s="232">
        <f t="shared" ca="1" si="41"/>
        <v>-2.0082675564481178E-4</v>
      </c>
      <c r="BU110" s="232">
        <f t="shared" ca="1" si="41"/>
        <v>-2.0082675564481178E-4</v>
      </c>
      <c r="BV110" s="232">
        <f t="shared" ref="BV110:CV110" ca="1" si="42" xml:space="preserve"> BV108 + BV100</f>
        <v>-2.0082675564481178E-4</v>
      </c>
      <c r="BW110" s="232">
        <f t="shared" ca="1" si="42"/>
        <v>-2.0082675564481178E-4</v>
      </c>
      <c r="BX110" s="232">
        <f t="shared" ca="1" si="42"/>
        <v>-2.0082675564481178E-4</v>
      </c>
      <c r="BY110" s="232">
        <f t="shared" ca="1" si="42"/>
        <v>-2.0082675564481178E-4</v>
      </c>
      <c r="BZ110" s="232">
        <f t="shared" ca="1" si="42"/>
        <v>-2.0082675564481178E-4</v>
      </c>
      <c r="CA110" s="232">
        <f t="shared" ca="1" si="42"/>
        <v>-2.0082675564481178E-4</v>
      </c>
      <c r="CB110" s="232">
        <f t="shared" ca="1" si="42"/>
        <v>-2.0082675564481178E-4</v>
      </c>
      <c r="CC110" s="232">
        <f t="shared" ca="1" si="42"/>
        <v>-2.0082675564481178E-4</v>
      </c>
      <c r="CD110" s="232">
        <f t="shared" ca="1" si="42"/>
        <v>-2.0082675564481178E-4</v>
      </c>
      <c r="CE110" s="232">
        <f t="shared" ca="1" si="42"/>
        <v>-2.0082675564481178E-4</v>
      </c>
      <c r="CF110" s="232">
        <f t="shared" ca="1" si="42"/>
        <v>-2.0082675564481178E-4</v>
      </c>
      <c r="CG110" s="232">
        <f t="shared" ca="1" si="42"/>
        <v>-2.0082675564481178E-4</v>
      </c>
      <c r="CH110" s="232">
        <f t="shared" ca="1" si="42"/>
        <v>-2.0082675564481178E-4</v>
      </c>
      <c r="CI110" s="232">
        <f t="shared" ca="1" si="42"/>
        <v>-2.0082675564481178E-4</v>
      </c>
      <c r="CJ110" s="232">
        <f t="shared" ca="1" si="42"/>
        <v>-2.0082675564481178E-4</v>
      </c>
      <c r="CK110" s="232">
        <f t="shared" ca="1" si="42"/>
        <v>-2.0082675564481178E-4</v>
      </c>
      <c r="CL110" s="232">
        <f t="shared" ca="1" si="42"/>
        <v>-2.0082675564481178E-4</v>
      </c>
      <c r="CM110" s="232">
        <f t="shared" ca="1" si="42"/>
        <v>-2.0082675564481178E-4</v>
      </c>
      <c r="CN110" s="232">
        <f t="shared" ca="1" si="42"/>
        <v>-2.0082675564481178E-4</v>
      </c>
      <c r="CO110" s="232">
        <f t="shared" ca="1" si="42"/>
        <v>-2.0082675564481178E-4</v>
      </c>
      <c r="CP110" s="232">
        <f t="shared" ca="1" si="42"/>
        <v>-2.0082675564481178E-4</v>
      </c>
      <c r="CQ110" s="232">
        <f t="shared" ca="1" si="42"/>
        <v>-2.0082675564481178E-4</v>
      </c>
      <c r="CR110" s="232">
        <f t="shared" ca="1" si="42"/>
        <v>-2.0082675564481178E-4</v>
      </c>
      <c r="CS110" s="232">
        <f t="shared" ca="1" si="42"/>
        <v>-2.0082675564481178E-4</v>
      </c>
      <c r="CT110" s="232">
        <f t="shared" ca="1" si="42"/>
        <v>-2.0082675564481178E-4</v>
      </c>
      <c r="CU110" s="232">
        <f t="shared" ca="1" si="42"/>
        <v>-2.0082675564481178E-4</v>
      </c>
      <c r="CV110" s="232">
        <f t="shared" ca="1" si="42"/>
        <v>-2.0082675564481178E-4</v>
      </c>
    </row>
    <row r="111" spans="1:100" outlineLevel="2" x14ac:dyDescent="0.2">
      <c r="D111" s="209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  <c r="AG111" s="235"/>
      <c r="AH111" s="235"/>
      <c r="AI111" s="235"/>
      <c r="AJ111" s="235"/>
      <c r="AK111" s="235"/>
      <c r="AL111" s="235"/>
      <c r="AM111" s="235"/>
      <c r="AN111" s="235"/>
      <c r="AO111" s="235"/>
      <c r="AP111" s="235"/>
      <c r="AQ111" s="235"/>
      <c r="AR111" s="235"/>
      <c r="AS111" s="235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  <c r="BG111" s="235"/>
      <c r="BH111" s="235"/>
      <c r="BI111" s="235"/>
      <c r="BJ111" s="235"/>
      <c r="BK111" s="235"/>
      <c r="BL111" s="235"/>
      <c r="BM111" s="235"/>
      <c r="BN111" s="235"/>
      <c r="BO111" s="235"/>
      <c r="BP111" s="235"/>
      <c r="BQ111" s="235"/>
      <c r="BR111" s="235"/>
      <c r="BS111" s="235"/>
      <c r="BT111" s="235"/>
      <c r="BU111" s="235"/>
      <c r="BV111" s="235"/>
      <c r="BW111" s="235"/>
      <c r="BX111" s="235"/>
      <c r="BY111" s="235"/>
      <c r="BZ111" s="235"/>
      <c r="CA111" s="235"/>
      <c r="CB111" s="235"/>
      <c r="CC111" s="235"/>
      <c r="CD111" s="235"/>
      <c r="CE111" s="235"/>
      <c r="CF111" s="235"/>
      <c r="CG111" s="235"/>
      <c r="CH111" s="235"/>
      <c r="CI111" s="235"/>
      <c r="CJ111" s="235"/>
      <c r="CK111" s="235"/>
      <c r="CL111" s="235"/>
      <c r="CM111" s="235"/>
      <c r="CN111" s="235"/>
      <c r="CO111" s="235"/>
      <c r="CP111" s="235"/>
      <c r="CQ111" s="235"/>
      <c r="CR111" s="235"/>
      <c r="CS111" s="235"/>
      <c r="CT111" s="235"/>
      <c r="CU111" s="235"/>
      <c r="CV111" s="235"/>
    </row>
    <row r="112" spans="1:100" outlineLevel="2" x14ac:dyDescent="0.2">
      <c r="D112" s="209"/>
      <c r="E112" s="235" t="str">
        <f xml:space="preserve"> Ops!E$225</f>
        <v>Accounts payable balance</v>
      </c>
      <c r="F112" s="235">
        <f xml:space="preserve"> Ops!F$225</f>
        <v>0</v>
      </c>
      <c r="G112" s="235" t="str">
        <f xml:space="preserve"> Ops!G$225</f>
        <v>$ 000s</v>
      </c>
      <c r="H112" s="235">
        <f xml:space="preserve"> Ops!H$225</f>
        <v>0</v>
      </c>
      <c r="I112" s="235">
        <f xml:space="preserve"> Ops!I$225</f>
        <v>0</v>
      </c>
      <c r="J112" s="235">
        <f xml:space="preserve"> Ops!J$225</f>
        <v>0</v>
      </c>
      <c r="K112" s="235">
        <f xml:space="preserve"> Ops!K$225</f>
        <v>0</v>
      </c>
      <c r="L112" s="235">
        <f xml:space="preserve"> Ops!L$225</f>
        <v>0</v>
      </c>
      <c r="M112" s="235">
        <f xml:space="preserve"> Ops!M$225</f>
        <v>0</v>
      </c>
      <c r="N112" s="235">
        <f xml:space="preserve"> Ops!N$225</f>
        <v>0</v>
      </c>
      <c r="O112" s="235">
        <f xml:space="preserve"> Ops!O$225</f>
        <v>1058.9010260869563</v>
      </c>
      <c r="P112" s="235">
        <f xml:space="preserve"> Ops!P$225</f>
        <v>1076.4518718232048</v>
      </c>
      <c r="Q112" s="235">
        <f xml:space="preserve"> Ops!Q$225</f>
        <v>1080.0790466086955</v>
      </c>
      <c r="R112" s="235">
        <f xml:space="preserve"> Ops!R$225</f>
        <v>1097.9809092596688</v>
      </c>
      <c r="S112" s="235">
        <f xml:space="preserve"> Ops!S$225</f>
        <v>1101.6806275408699</v>
      </c>
      <c r="T112" s="235">
        <f xml:space="preserve"> Ops!T$225</f>
        <v>1119.9405274448618</v>
      </c>
      <c r="U112" s="235">
        <f xml:space="preserve"> Ops!U$225</f>
        <v>1123.7142400916873</v>
      </c>
      <c r="V112" s="235">
        <f xml:space="preserve"> Ops!V$225</f>
        <v>1136.0627482245627</v>
      </c>
      <c r="W112" s="235">
        <f xml:space="preserve"> Ops!W$225</f>
        <v>1146.1885248935205</v>
      </c>
      <c r="X112" s="235">
        <f xml:space="preserve"> Ops!X$225</f>
        <v>1165.1861247536344</v>
      </c>
      <c r="Y112" s="235">
        <f xml:space="preserve"> Ops!Y$225</f>
        <v>1169.1122953913909</v>
      </c>
      <c r="Z112" s="235">
        <f xml:space="preserve"> Ops!Z$225</f>
        <v>1188.4898472487075</v>
      </c>
      <c r="AA112" s="235">
        <f xml:space="preserve"> Ops!AA$225</f>
        <v>1192.4945412992192</v>
      </c>
      <c r="AB112" s="235">
        <f xml:space="preserve"> Ops!AB$225</f>
        <v>1212.2596441936812</v>
      </c>
      <c r="AC112" s="235">
        <f xml:space="preserve"> Ops!AC$225</f>
        <v>1216.3444321252027</v>
      </c>
      <c r="AD112" s="235">
        <f xml:space="preserve"> Ops!AD$225</f>
        <v>1229.7108544562489</v>
      </c>
      <c r="AE112" s="235">
        <f xml:space="preserve"> Ops!AE$225</f>
        <v>1240.6713207677076</v>
      </c>
      <c r="AF112" s="235">
        <f xml:space="preserve"> Ops!AF$225</f>
        <v>1261.2349338191061</v>
      </c>
      <c r="AG112" s="235">
        <f xml:space="preserve"> Ops!AG$225</f>
        <v>1265.4847471830617</v>
      </c>
      <c r="AH112" s="235">
        <f xml:space="preserve"> Ops!AH$225</f>
        <v>1286.4596324954882</v>
      </c>
      <c r="AI112" s="235">
        <f xml:space="preserve"> Ops!AI$225</f>
        <v>1290.794442126723</v>
      </c>
      <c r="AJ112" s="235">
        <f xml:space="preserve"> Ops!AJ$225</f>
        <v>1312.1888251453975</v>
      </c>
      <c r="AK112" s="235">
        <f xml:space="preserve"> Ops!AK$225</f>
        <v>1316.6103309692571</v>
      </c>
      <c r="AL112" s="235">
        <f xml:space="preserve"> Ops!AL$225</f>
        <v>1331.0785763645235</v>
      </c>
      <c r="AM112" s="235">
        <f xml:space="preserve"> Ops!AM$225</f>
        <v>1342.9425375886422</v>
      </c>
      <c r="AN112" s="235">
        <f xml:space="preserve"> Ops!AN$225</f>
        <v>1365.2012536812717</v>
      </c>
      <c r="AO112" s="235">
        <f xml:space="preserve"> Ops!AO$225</f>
        <v>1369.8013883404155</v>
      </c>
      <c r="AP112" s="235">
        <f xml:space="preserve"> Ops!AP$225</f>
        <v>1392.5052787548975</v>
      </c>
      <c r="AQ112" s="235">
        <f xml:space="preserve"> Ops!AQ$225</f>
        <v>1397.197416107223</v>
      </c>
      <c r="AR112" s="235">
        <f xml:space="preserve"> Ops!AR$225</f>
        <v>1420.3553843299951</v>
      </c>
      <c r="AS112" s="235">
        <f xml:space="preserve"> Ops!AS$225</f>
        <v>1425.141364429368</v>
      </c>
      <c r="AT112" s="235">
        <f xml:space="preserve"> Ops!AT$225</f>
        <v>1440.8022585439758</v>
      </c>
      <c r="AU112" s="235">
        <f xml:space="preserve"> Ops!AU$225</f>
        <v>1453.6441917179554</v>
      </c>
      <c r="AV112" s="235">
        <f xml:space="preserve"> Ops!AV$225</f>
        <v>1477.7377418569267</v>
      </c>
      <c r="AW112" s="235">
        <f xml:space="preserve"> Ops!AW$225</f>
        <v>1482.7170755523148</v>
      </c>
      <c r="AX112" s="235">
        <f xml:space="preserve"> Ops!AX$225</f>
        <v>1507.2924966940654</v>
      </c>
      <c r="AY112" s="235">
        <f xml:space="preserve"> Ops!AY$225</f>
        <v>1512.3714170633602</v>
      </c>
      <c r="AZ112" s="235">
        <f xml:space="preserve"> Ops!AZ$225</f>
        <v>1537.4383466279469</v>
      </c>
      <c r="BA112" s="235">
        <f xml:space="preserve"> Ops!BA$225</f>
        <v>1542.6188454046278</v>
      </c>
      <c r="BB112" s="235">
        <f xml:space="preserve"> Ops!BB$225</f>
        <v>0</v>
      </c>
      <c r="BC112" s="235">
        <f xml:space="preserve"> Ops!BC$225</f>
        <v>0</v>
      </c>
      <c r="BD112" s="235">
        <f xml:space="preserve"> Ops!BD$225</f>
        <v>0</v>
      </c>
      <c r="BE112" s="235">
        <f xml:space="preserve"> Ops!BE$225</f>
        <v>0</v>
      </c>
      <c r="BF112" s="235">
        <f xml:space="preserve"> Ops!BF$225</f>
        <v>0</v>
      </c>
      <c r="BG112" s="235">
        <f xml:space="preserve"> Ops!BG$225</f>
        <v>0</v>
      </c>
      <c r="BH112" s="235">
        <f xml:space="preserve"> Ops!BH$225</f>
        <v>0</v>
      </c>
      <c r="BI112" s="235">
        <f xml:space="preserve"> Ops!BI$225</f>
        <v>0</v>
      </c>
      <c r="BJ112" s="235">
        <f xml:space="preserve"> Ops!BJ$225</f>
        <v>0</v>
      </c>
      <c r="BK112" s="235">
        <f xml:space="preserve"> Ops!BK$225</f>
        <v>0</v>
      </c>
      <c r="BL112" s="235">
        <f xml:space="preserve"> Ops!BL$225</f>
        <v>0</v>
      </c>
      <c r="BM112" s="235">
        <f xml:space="preserve"> Ops!BM$225</f>
        <v>0</v>
      </c>
      <c r="BN112" s="235">
        <f xml:space="preserve"> Ops!BN$225</f>
        <v>0</v>
      </c>
      <c r="BO112" s="235">
        <f xml:space="preserve"> Ops!BO$225</f>
        <v>0</v>
      </c>
      <c r="BP112" s="235">
        <f xml:space="preserve"> Ops!BP$225</f>
        <v>0</v>
      </c>
      <c r="BQ112" s="235">
        <f xml:space="preserve"> Ops!BQ$225</f>
        <v>0</v>
      </c>
      <c r="BR112" s="235">
        <f xml:space="preserve"> Ops!BR$225</f>
        <v>0</v>
      </c>
      <c r="BS112" s="235">
        <f xml:space="preserve"> Ops!BS$225</f>
        <v>0</v>
      </c>
      <c r="BT112" s="235">
        <f xml:space="preserve"> Ops!BT$225</f>
        <v>0</v>
      </c>
      <c r="BU112" s="235">
        <f xml:space="preserve"> Ops!BU$225</f>
        <v>0</v>
      </c>
      <c r="BV112" s="235">
        <f xml:space="preserve"> Ops!BV$225</f>
        <v>0</v>
      </c>
      <c r="BW112" s="235">
        <f xml:space="preserve"> Ops!BW$225</f>
        <v>0</v>
      </c>
      <c r="BX112" s="235">
        <f xml:space="preserve"> Ops!BX$225</f>
        <v>0</v>
      </c>
      <c r="BY112" s="235">
        <f xml:space="preserve"> Ops!BY$225</f>
        <v>0</v>
      </c>
      <c r="BZ112" s="235">
        <f xml:space="preserve"> Ops!BZ$225</f>
        <v>0</v>
      </c>
      <c r="CA112" s="235">
        <f xml:space="preserve"> Ops!CA$225</f>
        <v>0</v>
      </c>
      <c r="CB112" s="235">
        <f xml:space="preserve"> Ops!CB$225</f>
        <v>0</v>
      </c>
      <c r="CC112" s="235">
        <f xml:space="preserve"> Ops!CC$225</f>
        <v>0</v>
      </c>
      <c r="CD112" s="235">
        <f xml:space="preserve"> Ops!CD$225</f>
        <v>0</v>
      </c>
      <c r="CE112" s="235">
        <f xml:space="preserve"> Ops!CE$225</f>
        <v>0</v>
      </c>
      <c r="CF112" s="235">
        <f xml:space="preserve"> Ops!CF$225</f>
        <v>0</v>
      </c>
      <c r="CG112" s="235">
        <f xml:space="preserve"> Ops!CG$225</f>
        <v>0</v>
      </c>
      <c r="CH112" s="235">
        <f xml:space="preserve"> Ops!CH$225</f>
        <v>0</v>
      </c>
      <c r="CI112" s="235">
        <f xml:space="preserve"> Ops!CI$225</f>
        <v>0</v>
      </c>
      <c r="CJ112" s="235">
        <f xml:space="preserve"> Ops!CJ$225</f>
        <v>0</v>
      </c>
      <c r="CK112" s="235">
        <f xml:space="preserve"> Ops!CK$225</f>
        <v>0</v>
      </c>
      <c r="CL112" s="235">
        <f xml:space="preserve"> Ops!CL$225</f>
        <v>0</v>
      </c>
      <c r="CM112" s="235">
        <f xml:space="preserve"> Ops!CM$225</f>
        <v>0</v>
      </c>
      <c r="CN112" s="235">
        <f xml:space="preserve"> Ops!CN$225</f>
        <v>0</v>
      </c>
      <c r="CO112" s="235">
        <f xml:space="preserve"> Ops!CO$225</f>
        <v>0</v>
      </c>
      <c r="CP112" s="235">
        <f xml:space="preserve"> Ops!CP$225</f>
        <v>0</v>
      </c>
      <c r="CQ112" s="235">
        <f xml:space="preserve"> Ops!CQ$225</f>
        <v>0</v>
      </c>
      <c r="CR112" s="235">
        <f xml:space="preserve"> Ops!CR$225</f>
        <v>0</v>
      </c>
      <c r="CS112" s="235">
        <f xml:space="preserve"> Ops!CS$225</f>
        <v>0</v>
      </c>
      <c r="CT112" s="235">
        <f xml:space="preserve"> Ops!CT$225</f>
        <v>0</v>
      </c>
      <c r="CU112" s="235">
        <f xml:space="preserve"> Ops!CU$225</f>
        <v>0</v>
      </c>
      <c r="CV112" s="235">
        <f xml:space="preserve"> Ops!CV$225</f>
        <v>0</v>
      </c>
    </row>
    <row r="113" spans="1:192" s="191" customFormat="1" outlineLevel="2" x14ac:dyDescent="0.2">
      <c r="A113" s="205"/>
      <c r="B113" s="205"/>
      <c r="C113" s="206"/>
      <c r="D113" s="209"/>
      <c r="E113" s="235" t="str">
        <f xml:space="preserve"> Ops!E$326</f>
        <v>EGR period cost payable balance</v>
      </c>
      <c r="F113" s="235">
        <f xml:space="preserve"> Ops!F$326</f>
        <v>0</v>
      </c>
      <c r="G113" s="235" t="str">
        <f xml:space="preserve"> Ops!G$326</f>
        <v>$ 000s</v>
      </c>
      <c r="H113" s="235">
        <f xml:space="preserve"> Ops!H$326</f>
        <v>0</v>
      </c>
      <c r="I113" s="235">
        <f xml:space="preserve"> Ops!I$326</f>
        <v>0</v>
      </c>
      <c r="J113" s="235">
        <f xml:space="preserve"> Ops!J$326</f>
        <v>0</v>
      </c>
      <c r="K113" s="235">
        <f xml:space="preserve"> Ops!K$326</f>
        <v>0</v>
      </c>
      <c r="L113" s="235">
        <f xml:space="preserve"> Ops!L$326</f>
        <v>0</v>
      </c>
      <c r="M113" s="235">
        <f xml:space="preserve"> Ops!M$326</f>
        <v>0</v>
      </c>
      <c r="N113" s="235">
        <f xml:space="preserve"> Ops!N$326</f>
        <v>0</v>
      </c>
      <c r="O113" s="235">
        <f xml:space="preserve"> Ops!O$326</f>
        <v>0</v>
      </c>
      <c r="P113" s="235">
        <f xml:space="preserve"> Ops!P$326</f>
        <v>0</v>
      </c>
      <c r="Q113" s="235">
        <f xml:space="preserve"> Ops!Q$326</f>
        <v>0</v>
      </c>
      <c r="R113" s="235">
        <f xml:space="preserve"> Ops!R$326</f>
        <v>0</v>
      </c>
      <c r="S113" s="235">
        <f xml:space="preserve"> Ops!S$326</f>
        <v>0</v>
      </c>
      <c r="T113" s="235">
        <f xml:space="preserve"> Ops!T$326</f>
        <v>0</v>
      </c>
      <c r="U113" s="235">
        <f xml:space="preserve"> Ops!U$326</f>
        <v>0</v>
      </c>
      <c r="V113" s="235">
        <f xml:space="preserve"> Ops!V$326</f>
        <v>0</v>
      </c>
      <c r="W113" s="235">
        <f xml:space="preserve"> Ops!W$326</f>
        <v>0</v>
      </c>
      <c r="X113" s="235">
        <f xml:space="preserve"> Ops!X$326</f>
        <v>0</v>
      </c>
      <c r="Y113" s="235">
        <f xml:space="preserve"> Ops!Y$326</f>
        <v>0</v>
      </c>
      <c r="Z113" s="235">
        <f xml:space="preserve"> Ops!Z$326</f>
        <v>0</v>
      </c>
      <c r="AA113" s="235">
        <f xml:space="preserve"> Ops!AA$326</f>
        <v>0</v>
      </c>
      <c r="AB113" s="235">
        <f xml:space="preserve"> Ops!AB$326</f>
        <v>0</v>
      </c>
      <c r="AC113" s="235">
        <f xml:space="preserve"> Ops!AC$326</f>
        <v>0</v>
      </c>
      <c r="AD113" s="235">
        <f xml:space="preserve"> Ops!AD$326</f>
        <v>0</v>
      </c>
      <c r="AE113" s="235">
        <f xml:space="preserve"> Ops!AE$326</f>
        <v>0</v>
      </c>
      <c r="AF113" s="235">
        <f xml:space="preserve"> Ops!AF$326</f>
        <v>0</v>
      </c>
      <c r="AG113" s="235">
        <f xml:space="preserve"> Ops!AG$326</f>
        <v>0</v>
      </c>
      <c r="AH113" s="235">
        <f xml:space="preserve"> Ops!AH$326</f>
        <v>0</v>
      </c>
      <c r="AI113" s="235">
        <f xml:space="preserve"> Ops!AI$326</f>
        <v>0</v>
      </c>
      <c r="AJ113" s="235">
        <f xml:space="preserve"> Ops!AJ$326</f>
        <v>0</v>
      </c>
      <c r="AK113" s="235">
        <f xml:space="preserve"> Ops!AK$326</f>
        <v>0</v>
      </c>
      <c r="AL113" s="235">
        <f xml:space="preserve"> Ops!AL$326</f>
        <v>0</v>
      </c>
      <c r="AM113" s="235">
        <f xml:space="preserve"> Ops!AM$326</f>
        <v>0</v>
      </c>
      <c r="AN113" s="235">
        <f xml:space="preserve"> Ops!AN$326</f>
        <v>0</v>
      </c>
      <c r="AO113" s="235">
        <f xml:space="preserve"> Ops!AO$326</f>
        <v>0</v>
      </c>
      <c r="AP113" s="235">
        <f xml:space="preserve"> Ops!AP$326</f>
        <v>0</v>
      </c>
      <c r="AQ113" s="235">
        <f xml:space="preserve"> Ops!AQ$326</f>
        <v>0</v>
      </c>
      <c r="AR113" s="235">
        <f xml:space="preserve"> Ops!AR$326</f>
        <v>0</v>
      </c>
      <c r="AS113" s="235">
        <f xml:space="preserve"> Ops!AS$326</f>
        <v>0</v>
      </c>
      <c r="AT113" s="235">
        <f xml:space="preserve"> Ops!AT$326</f>
        <v>0</v>
      </c>
      <c r="AU113" s="235">
        <f xml:space="preserve"> Ops!AU$326</f>
        <v>0</v>
      </c>
      <c r="AV113" s="235">
        <f xml:space="preserve"> Ops!AV$326</f>
        <v>0</v>
      </c>
      <c r="AW113" s="235">
        <f xml:space="preserve"> Ops!AW$326</f>
        <v>0</v>
      </c>
      <c r="AX113" s="235">
        <f xml:space="preserve"> Ops!AX$326</f>
        <v>0</v>
      </c>
      <c r="AY113" s="235">
        <f xml:space="preserve"> Ops!AY$326</f>
        <v>0</v>
      </c>
      <c r="AZ113" s="235">
        <f xml:space="preserve"> Ops!AZ$326</f>
        <v>0</v>
      </c>
      <c r="BA113" s="235">
        <f xml:space="preserve"> Ops!BA$326</f>
        <v>0</v>
      </c>
      <c r="BB113" s="235">
        <f xml:space="preserve"> Ops!BB$326</f>
        <v>0</v>
      </c>
      <c r="BC113" s="235">
        <f xml:space="preserve"> Ops!BC$326</f>
        <v>0</v>
      </c>
      <c r="BD113" s="235">
        <f xml:space="preserve"> Ops!BD$326</f>
        <v>0</v>
      </c>
      <c r="BE113" s="235">
        <f xml:space="preserve"> Ops!BE$326</f>
        <v>0</v>
      </c>
      <c r="BF113" s="235">
        <f xml:space="preserve"> Ops!BF$326</f>
        <v>0</v>
      </c>
      <c r="BG113" s="235">
        <f xml:space="preserve"> Ops!BG$326</f>
        <v>0</v>
      </c>
      <c r="BH113" s="235">
        <f xml:space="preserve"> Ops!BH$326</f>
        <v>0</v>
      </c>
      <c r="BI113" s="235">
        <f xml:space="preserve"> Ops!BI$326</f>
        <v>0</v>
      </c>
      <c r="BJ113" s="235">
        <f xml:space="preserve"> Ops!BJ$326</f>
        <v>0</v>
      </c>
      <c r="BK113" s="235">
        <f xml:space="preserve"> Ops!BK$326</f>
        <v>0</v>
      </c>
      <c r="BL113" s="235">
        <f xml:space="preserve"> Ops!BL$326</f>
        <v>0</v>
      </c>
      <c r="BM113" s="235">
        <f xml:space="preserve"> Ops!BM$326</f>
        <v>0</v>
      </c>
      <c r="BN113" s="235">
        <f xml:space="preserve"> Ops!BN$326</f>
        <v>0</v>
      </c>
      <c r="BO113" s="235">
        <f xml:space="preserve"> Ops!BO$326</f>
        <v>0</v>
      </c>
      <c r="BP113" s="235">
        <f xml:space="preserve"> Ops!BP$326</f>
        <v>0</v>
      </c>
      <c r="BQ113" s="235">
        <f xml:space="preserve"> Ops!BQ$326</f>
        <v>0</v>
      </c>
      <c r="BR113" s="235">
        <f xml:space="preserve"> Ops!BR$326</f>
        <v>0</v>
      </c>
      <c r="BS113" s="235">
        <f xml:space="preserve"> Ops!BS$326</f>
        <v>0</v>
      </c>
      <c r="BT113" s="235">
        <f xml:space="preserve"> Ops!BT$326</f>
        <v>0</v>
      </c>
      <c r="BU113" s="235">
        <f xml:space="preserve"> Ops!BU$326</f>
        <v>0</v>
      </c>
      <c r="BV113" s="235">
        <f xml:space="preserve"> Ops!BV$326</f>
        <v>0</v>
      </c>
      <c r="BW113" s="235">
        <f xml:space="preserve"> Ops!BW$326</f>
        <v>0</v>
      </c>
      <c r="BX113" s="235">
        <f xml:space="preserve"> Ops!BX$326</f>
        <v>0</v>
      </c>
      <c r="BY113" s="235">
        <f xml:space="preserve"> Ops!BY$326</f>
        <v>0</v>
      </c>
      <c r="BZ113" s="235">
        <f xml:space="preserve"> Ops!BZ$326</f>
        <v>0</v>
      </c>
      <c r="CA113" s="235">
        <f xml:space="preserve"> Ops!CA$326</f>
        <v>0</v>
      </c>
      <c r="CB113" s="235">
        <f xml:space="preserve"> Ops!CB$326</f>
        <v>0</v>
      </c>
      <c r="CC113" s="235">
        <f xml:space="preserve"> Ops!CC$326</f>
        <v>0</v>
      </c>
      <c r="CD113" s="235">
        <f xml:space="preserve"> Ops!CD$326</f>
        <v>0</v>
      </c>
      <c r="CE113" s="235">
        <f xml:space="preserve"> Ops!CE$326</f>
        <v>0</v>
      </c>
      <c r="CF113" s="235">
        <f xml:space="preserve"> Ops!CF$326</f>
        <v>0</v>
      </c>
      <c r="CG113" s="235">
        <f xml:space="preserve"> Ops!CG$326</f>
        <v>0</v>
      </c>
      <c r="CH113" s="235">
        <f xml:space="preserve"> Ops!CH$326</f>
        <v>0</v>
      </c>
      <c r="CI113" s="235">
        <f xml:space="preserve"> Ops!CI$326</f>
        <v>0</v>
      </c>
      <c r="CJ113" s="235">
        <f xml:space="preserve"> Ops!CJ$326</f>
        <v>0</v>
      </c>
      <c r="CK113" s="235">
        <f xml:space="preserve"> Ops!CK$326</f>
        <v>0</v>
      </c>
      <c r="CL113" s="235">
        <f xml:space="preserve"> Ops!CL$326</f>
        <v>0</v>
      </c>
      <c r="CM113" s="235">
        <f xml:space="preserve"> Ops!CM$326</f>
        <v>0</v>
      </c>
      <c r="CN113" s="235">
        <f xml:space="preserve"> Ops!CN$326</f>
        <v>0</v>
      </c>
      <c r="CO113" s="235">
        <f xml:space="preserve"> Ops!CO$326</f>
        <v>0</v>
      </c>
      <c r="CP113" s="235">
        <f xml:space="preserve"> Ops!CP$326</f>
        <v>0</v>
      </c>
      <c r="CQ113" s="235">
        <f xml:space="preserve"> Ops!CQ$326</f>
        <v>0</v>
      </c>
      <c r="CR113" s="235">
        <f xml:space="preserve"> Ops!CR$326</f>
        <v>0</v>
      </c>
      <c r="CS113" s="235">
        <f xml:space="preserve"> Ops!CS$326</f>
        <v>0</v>
      </c>
      <c r="CT113" s="235">
        <f xml:space="preserve"> Ops!CT$326</f>
        <v>0</v>
      </c>
      <c r="CU113" s="235">
        <f xml:space="preserve"> Ops!CU$326</f>
        <v>0</v>
      </c>
      <c r="CV113" s="235">
        <f xml:space="preserve"> Ops!CV$326</f>
        <v>0</v>
      </c>
    </row>
    <row r="114" spans="1:192" outlineLevel="2" x14ac:dyDescent="0.2">
      <c r="D114" s="209"/>
      <c r="E114" s="235" t="str">
        <f xml:space="preserve"> Debt!E$667</f>
        <v>WCF balance P99</v>
      </c>
      <c r="F114" s="235">
        <f xml:space="preserve"> Debt!F$667</f>
        <v>0</v>
      </c>
      <c r="G114" s="235" t="str">
        <f xml:space="preserve"> Debt!G$667</f>
        <v>$ 000s</v>
      </c>
      <c r="H114" s="235">
        <f xml:space="preserve"> Debt!H$667</f>
        <v>0</v>
      </c>
      <c r="I114" s="235">
        <f xml:space="preserve"> Debt!I$667</f>
        <v>0</v>
      </c>
      <c r="J114" s="235">
        <f xml:space="preserve"> Debt!J$667</f>
        <v>0</v>
      </c>
      <c r="K114" s="235">
        <f xml:space="preserve"> Debt!K$667</f>
        <v>0</v>
      </c>
      <c r="L114" s="235">
        <f xml:space="preserve"> Debt!L$667</f>
        <v>0</v>
      </c>
      <c r="M114" s="235">
        <f xml:space="preserve"> Debt!M$667</f>
        <v>0</v>
      </c>
      <c r="N114" s="235">
        <f xml:space="preserve"> Debt!N$667</f>
        <v>0</v>
      </c>
      <c r="O114" s="235">
        <f xml:space="preserve"> Debt!O$667</f>
        <v>0</v>
      </c>
      <c r="P114" s="235">
        <f xml:space="preserve"> Debt!P$667</f>
        <v>0</v>
      </c>
      <c r="Q114" s="235">
        <f xml:space="preserve"> Debt!Q$667</f>
        <v>0</v>
      </c>
      <c r="R114" s="235">
        <f xml:space="preserve"> Debt!R$667</f>
        <v>0</v>
      </c>
      <c r="S114" s="235">
        <f xml:space="preserve"> Debt!S$667</f>
        <v>0</v>
      </c>
      <c r="T114" s="235">
        <f xml:space="preserve"> Debt!T$667</f>
        <v>0</v>
      </c>
      <c r="U114" s="235">
        <f xml:space="preserve"> Debt!U$667</f>
        <v>0</v>
      </c>
      <c r="V114" s="235">
        <f xml:space="preserve"> Debt!V$667</f>
        <v>0</v>
      </c>
      <c r="W114" s="235">
        <f xml:space="preserve"> Debt!W$667</f>
        <v>0</v>
      </c>
      <c r="X114" s="235">
        <f xml:space="preserve"> Debt!X$667</f>
        <v>0</v>
      </c>
      <c r="Y114" s="235">
        <f xml:space="preserve"> Debt!Y$667</f>
        <v>0</v>
      </c>
      <c r="Z114" s="235">
        <f xml:space="preserve"> Debt!Z$667</f>
        <v>0</v>
      </c>
      <c r="AA114" s="235">
        <f xml:space="preserve"> Debt!AA$667</f>
        <v>0</v>
      </c>
      <c r="AB114" s="235">
        <f xml:space="preserve"> Debt!AB$667</f>
        <v>0</v>
      </c>
      <c r="AC114" s="235">
        <f xml:space="preserve"> Debt!AC$667</f>
        <v>0</v>
      </c>
      <c r="AD114" s="235">
        <f xml:space="preserve"> Debt!AD$667</f>
        <v>0</v>
      </c>
      <c r="AE114" s="235">
        <f xml:space="preserve"> Debt!AE$667</f>
        <v>0</v>
      </c>
      <c r="AF114" s="235">
        <f xml:space="preserve"> Debt!AF$667</f>
        <v>0</v>
      </c>
      <c r="AG114" s="235">
        <f xml:space="preserve"> Debt!AG$667</f>
        <v>0</v>
      </c>
      <c r="AH114" s="235">
        <f xml:space="preserve"> Debt!AH$667</f>
        <v>0</v>
      </c>
      <c r="AI114" s="235">
        <f xml:space="preserve"> Debt!AI$667</f>
        <v>0</v>
      </c>
      <c r="AJ114" s="235">
        <f xml:space="preserve"> Debt!AJ$667</f>
        <v>0</v>
      </c>
      <c r="AK114" s="235">
        <f xml:space="preserve"> Debt!AK$667</f>
        <v>0</v>
      </c>
      <c r="AL114" s="235">
        <f xml:space="preserve"> Debt!AL$667</f>
        <v>0</v>
      </c>
      <c r="AM114" s="235">
        <f xml:space="preserve"> Debt!AM$667</f>
        <v>0</v>
      </c>
      <c r="AN114" s="235">
        <f xml:space="preserve"> Debt!AN$667</f>
        <v>0</v>
      </c>
      <c r="AO114" s="235">
        <f xml:space="preserve"> Debt!AO$667</f>
        <v>0</v>
      </c>
      <c r="AP114" s="235">
        <f xml:space="preserve"> Debt!AP$667</f>
        <v>0</v>
      </c>
      <c r="AQ114" s="235">
        <f xml:space="preserve"> Debt!AQ$667</f>
        <v>0</v>
      </c>
      <c r="AR114" s="235">
        <f xml:space="preserve"> Debt!AR$667</f>
        <v>0</v>
      </c>
      <c r="AS114" s="235">
        <f xml:space="preserve"> Debt!AS$667</f>
        <v>0</v>
      </c>
      <c r="AT114" s="235">
        <f xml:space="preserve"> Debt!AT$667</f>
        <v>0</v>
      </c>
      <c r="AU114" s="235">
        <f xml:space="preserve"> Debt!AU$667</f>
        <v>0</v>
      </c>
      <c r="AV114" s="235">
        <f xml:space="preserve"> Debt!AV$667</f>
        <v>0</v>
      </c>
      <c r="AW114" s="235">
        <f xml:space="preserve"> Debt!AW$667</f>
        <v>0</v>
      </c>
      <c r="AX114" s="235">
        <f xml:space="preserve"> Debt!AX$667</f>
        <v>0</v>
      </c>
      <c r="AY114" s="235">
        <f xml:space="preserve"> Debt!AY$667</f>
        <v>0</v>
      </c>
      <c r="AZ114" s="235">
        <f xml:space="preserve"> Debt!AZ$667</f>
        <v>0</v>
      </c>
      <c r="BA114" s="235">
        <f xml:space="preserve"> Debt!BA$667</f>
        <v>0</v>
      </c>
      <c r="BB114" s="235">
        <f xml:space="preserve"> Debt!BB$667</f>
        <v>0</v>
      </c>
      <c r="BC114" s="235">
        <f xml:space="preserve"> Debt!BC$667</f>
        <v>0</v>
      </c>
      <c r="BD114" s="235">
        <f xml:space="preserve"> Debt!BD$667</f>
        <v>0</v>
      </c>
      <c r="BE114" s="235">
        <f xml:space="preserve"> Debt!BE$667</f>
        <v>0</v>
      </c>
      <c r="BF114" s="235">
        <f xml:space="preserve"> Debt!BF$667</f>
        <v>0</v>
      </c>
      <c r="BG114" s="235">
        <f xml:space="preserve"> Debt!BG$667</f>
        <v>0</v>
      </c>
      <c r="BH114" s="235">
        <f xml:space="preserve"> Debt!BH$667</f>
        <v>0</v>
      </c>
      <c r="BI114" s="235">
        <f xml:space="preserve"> Debt!BI$667</f>
        <v>0</v>
      </c>
      <c r="BJ114" s="235">
        <f xml:space="preserve"> Debt!BJ$667</f>
        <v>0</v>
      </c>
      <c r="BK114" s="235">
        <f xml:space="preserve"> Debt!BK$667</f>
        <v>0</v>
      </c>
      <c r="BL114" s="235">
        <f xml:space="preserve"> Debt!BL$667</f>
        <v>0</v>
      </c>
      <c r="BM114" s="235">
        <f xml:space="preserve"> Debt!BM$667</f>
        <v>0</v>
      </c>
      <c r="BN114" s="235">
        <f xml:space="preserve"> Debt!BN$667</f>
        <v>0</v>
      </c>
      <c r="BO114" s="235">
        <f xml:space="preserve"> Debt!BO$667</f>
        <v>0</v>
      </c>
      <c r="BP114" s="235">
        <f xml:space="preserve"> Debt!BP$667</f>
        <v>0</v>
      </c>
      <c r="BQ114" s="235">
        <f xml:space="preserve"> Debt!BQ$667</f>
        <v>0</v>
      </c>
      <c r="BR114" s="235">
        <f xml:space="preserve"> Debt!BR$667</f>
        <v>0</v>
      </c>
      <c r="BS114" s="235">
        <f xml:space="preserve"> Debt!BS$667</f>
        <v>0</v>
      </c>
      <c r="BT114" s="235">
        <f xml:space="preserve"> Debt!BT$667</f>
        <v>0</v>
      </c>
      <c r="BU114" s="235">
        <f xml:space="preserve"> Debt!BU$667</f>
        <v>0</v>
      </c>
      <c r="BV114" s="235">
        <f xml:space="preserve"> Debt!BV$667</f>
        <v>0</v>
      </c>
      <c r="BW114" s="235">
        <f xml:space="preserve"> Debt!BW$667</f>
        <v>0</v>
      </c>
      <c r="BX114" s="235">
        <f xml:space="preserve"> Debt!BX$667</f>
        <v>0</v>
      </c>
      <c r="BY114" s="235">
        <f xml:space="preserve"> Debt!BY$667</f>
        <v>0</v>
      </c>
      <c r="BZ114" s="235">
        <f xml:space="preserve"> Debt!BZ$667</f>
        <v>0</v>
      </c>
      <c r="CA114" s="235">
        <f xml:space="preserve"> Debt!CA$667</f>
        <v>0</v>
      </c>
      <c r="CB114" s="235">
        <f xml:space="preserve"> Debt!CB$667</f>
        <v>0</v>
      </c>
      <c r="CC114" s="235">
        <f xml:space="preserve"> Debt!CC$667</f>
        <v>0</v>
      </c>
      <c r="CD114" s="235">
        <f xml:space="preserve"> Debt!CD$667</f>
        <v>0</v>
      </c>
      <c r="CE114" s="235">
        <f xml:space="preserve"> Debt!CE$667</f>
        <v>0</v>
      </c>
      <c r="CF114" s="235">
        <f xml:space="preserve"> Debt!CF$667</f>
        <v>0</v>
      </c>
      <c r="CG114" s="235">
        <f xml:space="preserve"> Debt!CG$667</f>
        <v>0</v>
      </c>
      <c r="CH114" s="235">
        <f xml:space="preserve"> Debt!CH$667</f>
        <v>0</v>
      </c>
      <c r="CI114" s="235">
        <f xml:space="preserve"> Debt!CI$667</f>
        <v>0</v>
      </c>
      <c r="CJ114" s="235">
        <f xml:space="preserve"> Debt!CJ$667</f>
        <v>0</v>
      </c>
      <c r="CK114" s="235">
        <f xml:space="preserve"> Debt!CK$667</f>
        <v>0</v>
      </c>
      <c r="CL114" s="235">
        <f xml:space="preserve"> Debt!CL$667</f>
        <v>0</v>
      </c>
      <c r="CM114" s="235">
        <f xml:space="preserve"> Debt!CM$667</f>
        <v>0</v>
      </c>
      <c r="CN114" s="235">
        <f xml:space="preserve"> Debt!CN$667</f>
        <v>0</v>
      </c>
      <c r="CO114" s="235">
        <f xml:space="preserve"> Debt!CO$667</f>
        <v>0</v>
      </c>
      <c r="CP114" s="235">
        <f xml:space="preserve"> Debt!CP$667</f>
        <v>0</v>
      </c>
      <c r="CQ114" s="235">
        <f xml:space="preserve"> Debt!CQ$667</f>
        <v>0</v>
      </c>
      <c r="CR114" s="235">
        <f xml:space="preserve"> Debt!CR$667</f>
        <v>0</v>
      </c>
      <c r="CS114" s="235">
        <f xml:space="preserve"> Debt!CS$667</f>
        <v>0</v>
      </c>
      <c r="CT114" s="235">
        <f xml:space="preserve"> Debt!CT$667</f>
        <v>0</v>
      </c>
      <c r="CU114" s="235">
        <f xml:space="preserve"> Debt!CU$667</f>
        <v>0</v>
      </c>
      <c r="CV114" s="235">
        <f xml:space="preserve"> Debt!CV$667</f>
        <v>0</v>
      </c>
    </row>
    <row r="115" spans="1:192" s="191" customFormat="1" outlineLevel="2" x14ac:dyDescent="0.2">
      <c r="A115" s="205"/>
      <c r="B115" s="205"/>
      <c r="C115" s="206"/>
      <c r="D115" s="209"/>
      <c r="E115" s="235" t="str">
        <f xml:space="preserve"> Debt!E$190</f>
        <v>Senior debt balance - T1</v>
      </c>
      <c r="F115" s="235">
        <f xml:space="preserve"> Debt!F$190</f>
        <v>0</v>
      </c>
      <c r="G115" s="235" t="str">
        <f xml:space="preserve"> Debt!G$190</f>
        <v>$ 000s</v>
      </c>
      <c r="H115" s="235">
        <f xml:space="preserve"> Debt!H$190</f>
        <v>0</v>
      </c>
      <c r="I115" s="235">
        <f xml:space="preserve"> Debt!I$190</f>
        <v>0</v>
      </c>
      <c r="J115" s="235">
        <f xml:space="preserve"> Debt!J$190</f>
        <v>0</v>
      </c>
      <c r="K115" s="235">
        <f xml:space="preserve"> Debt!K$190</f>
        <v>12084.251893640236</v>
      </c>
      <c r="L115" s="235">
        <f xml:space="preserve"> Debt!L$190</f>
        <v>48641.086087745876</v>
      </c>
      <c r="M115" s="235">
        <f xml:space="preserve"> Debt!M$190</f>
        <v>85848.029919746245</v>
      </c>
      <c r="N115" s="235">
        <f xml:space="preserve"> Debt!N$190</f>
        <v>125194.92613015344</v>
      </c>
      <c r="O115" s="235">
        <f xml:space="preserve"> Debt!O$190</f>
        <v>122307.36969156924</v>
      </c>
      <c r="P115" s="235">
        <f xml:space="preserve"> Debt!P$190</f>
        <v>119922.1352876555</v>
      </c>
      <c r="Q115" s="235">
        <f xml:space="preserve"> Debt!Q$190</f>
        <v>117508.19233590935</v>
      </c>
      <c r="R115" s="235">
        <f xml:space="preserve"> Debt!R$190</f>
        <v>115049.50252800655</v>
      </c>
      <c r="S115" s="235">
        <f xml:space="preserve"> Debt!S$190</f>
        <v>112559.24542947744</v>
      </c>
      <c r="T115" s="235">
        <f xml:space="preserve"> Debt!T$190</f>
        <v>110024.16578572989</v>
      </c>
      <c r="U115" s="235">
        <f xml:space="preserve"> Debt!U$190</f>
        <v>107454.54754436042</v>
      </c>
      <c r="V115" s="235">
        <f xml:space="preserve"> Debt!V$190</f>
        <v>104844.37664323812</v>
      </c>
      <c r="W115" s="235">
        <f xml:space="preserve"> Debt!W$190</f>
        <v>102198.52966645258</v>
      </c>
      <c r="X115" s="235">
        <f xml:space="preserve"> Debt!X$190</f>
        <v>99501.600215346058</v>
      </c>
      <c r="Y115" s="235">
        <f xml:space="preserve"> Debt!Y$190</f>
        <v>96843.285838745331</v>
      </c>
      <c r="Z115" s="235">
        <f xml:space="preserve"> Debt!Z$190</f>
        <v>94137.669059260574</v>
      </c>
      <c r="AA115" s="235">
        <f xml:space="preserve"> Debt!AA$190</f>
        <v>91388.173880573551</v>
      </c>
      <c r="AB115" s="235">
        <f xml:space="preserve"> Debt!AB$190</f>
        <v>88591.140842060806</v>
      </c>
      <c r="AC115" s="235">
        <f xml:space="preserve"> Debt!AC$190</f>
        <v>85746.585013341115</v>
      </c>
      <c r="AD115" s="235">
        <f xml:space="preserve"> Debt!AD$190</f>
        <v>82856.442001167306</v>
      </c>
      <c r="AE115" s="235">
        <f xml:space="preserve"> Debt!AE$190</f>
        <v>79918.828937485043</v>
      </c>
      <c r="AF115" s="235">
        <f xml:space="preserve"> Debt!AF$190</f>
        <v>76927.27686561922</v>
      </c>
      <c r="AG115" s="235">
        <f xml:space="preserve"> Debt!AG$190</f>
        <v>73880.450658089481</v>
      </c>
      <c r="AH115" s="235">
        <f xml:space="preserve"> Debt!AH$190</f>
        <v>70785.247373619</v>
      </c>
      <c r="AI115" s="235">
        <f xml:space="preserve"> Debt!AI$190</f>
        <v>67690.833646661864</v>
      </c>
      <c r="AJ115" s="235">
        <f xml:space="preserve"> Debt!AJ$190</f>
        <v>64544.128046861137</v>
      </c>
      <c r="AK115" s="235">
        <f xml:space="preserve"> Debt!AK$190</f>
        <v>61331.848850567236</v>
      </c>
      <c r="AL115" s="235">
        <f xml:space="preserve"> Debt!AL$190</f>
        <v>58066.22768944627</v>
      </c>
      <c r="AM115" s="235">
        <f xml:space="preserve"> Debt!AM$190</f>
        <v>54736.43721186708</v>
      </c>
      <c r="AN115" s="235">
        <f xml:space="preserve"> Debt!AN$190</f>
        <v>51347.570845042952</v>
      </c>
      <c r="AO115" s="235">
        <f xml:space="preserve"> Debt!AO$190</f>
        <v>47883.159012851975</v>
      </c>
      <c r="AP115" s="235">
        <f xml:space="preserve"> Debt!AP$190</f>
        <v>44364.691041537037</v>
      </c>
      <c r="AQ115" s="235">
        <f xml:space="preserve"> Debt!AQ$190</f>
        <v>40765.341095443495</v>
      </c>
      <c r="AR115" s="235">
        <f xml:space="preserve"> Debt!AR$190</f>
        <v>37111.262402800712</v>
      </c>
      <c r="AS115" s="235">
        <f xml:space="preserve"> Debt!AS$190</f>
        <v>28054.211954517719</v>
      </c>
      <c r="AT115" s="235">
        <f xml:space="preserve"> Debt!AT$190</f>
        <v>18869.053669515644</v>
      </c>
      <c r="AU115" s="235">
        <f xml:space="preserve"> Debt!AU$190</f>
        <v>9500.7049074522929</v>
      </c>
      <c r="AV115" s="235">
        <f xml:space="preserve"> Debt!AV$190</f>
        <v>-2.5461520346652833E-2</v>
      </c>
      <c r="AW115" s="235">
        <f xml:space="preserve"> Debt!AW$190</f>
        <v>-2.5461520346652833E-2</v>
      </c>
      <c r="AX115" s="235">
        <f xml:space="preserve"> Debt!AX$190</f>
        <v>-2.5461520346652833E-2</v>
      </c>
      <c r="AY115" s="235">
        <f xml:space="preserve"> Debt!AY$190</f>
        <v>-2.5461520346652833E-2</v>
      </c>
      <c r="AZ115" s="235">
        <f xml:space="preserve"> Debt!AZ$190</f>
        <v>-2.5461520346652833E-2</v>
      </c>
      <c r="BA115" s="235">
        <f xml:space="preserve"> Debt!BA$190</f>
        <v>-2.5461520346652833E-2</v>
      </c>
      <c r="BB115" s="235">
        <f xml:space="preserve"> Debt!BB$190</f>
        <v>-2.5461520346652833E-2</v>
      </c>
      <c r="BC115" s="235">
        <f xml:space="preserve"> Debt!BC$190</f>
        <v>-2.5461520346652833E-2</v>
      </c>
      <c r="BD115" s="235">
        <f xml:space="preserve"> Debt!BD$190</f>
        <v>-2.5461520346652833E-2</v>
      </c>
      <c r="BE115" s="235">
        <f xml:space="preserve"> Debt!BE$190</f>
        <v>-2.5461520346652833E-2</v>
      </c>
      <c r="BF115" s="235">
        <f xml:space="preserve"> Debt!BF$190</f>
        <v>-2.5461520346652833E-2</v>
      </c>
      <c r="BG115" s="235">
        <f xml:space="preserve"> Debt!BG$190</f>
        <v>-2.5461520346652833E-2</v>
      </c>
      <c r="BH115" s="235">
        <f xml:space="preserve"> Debt!BH$190</f>
        <v>-2.5461520346652833E-2</v>
      </c>
      <c r="BI115" s="235">
        <f xml:space="preserve"> Debt!BI$190</f>
        <v>-2.5461520346652833E-2</v>
      </c>
      <c r="BJ115" s="235">
        <f xml:space="preserve"> Debt!BJ$190</f>
        <v>-2.5461520346652833E-2</v>
      </c>
      <c r="BK115" s="235">
        <f xml:space="preserve"> Debt!BK$190</f>
        <v>-2.5461520346652833E-2</v>
      </c>
      <c r="BL115" s="235">
        <f xml:space="preserve"> Debt!BL$190</f>
        <v>-2.5461520346652833E-2</v>
      </c>
      <c r="BM115" s="235">
        <f xml:space="preserve"> Debt!BM$190</f>
        <v>-2.5461520346652833E-2</v>
      </c>
      <c r="BN115" s="235">
        <f xml:space="preserve"> Debt!BN$190</f>
        <v>-2.5461520346652833E-2</v>
      </c>
      <c r="BO115" s="235">
        <f xml:space="preserve"> Debt!BO$190</f>
        <v>-2.5461520346652833E-2</v>
      </c>
      <c r="BP115" s="235">
        <f xml:space="preserve"> Debt!BP$190</f>
        <v>-2.5461520346652833E-2</v>
      </c>
      <c r="BQ115" s="235">
        <f xml:space="preserve"> Debt!BQ$190</f>
        <v>-2.5461520346652833E-2</v>
      </c>
      <c r="BR115" s="235">
        <f xml:space="preserve"> Debt!BR$190</f>
        <v>-2.5461520346652833E-2</v>
      </c>
      <c r="BS115" s="235">
        <f xml:space="preserve"> Debt!BS$190</f>
        <v>-2.5461520346652833E-2</v>
      </c>
      <c r="BT115" s="235">
        <f xml:space="preserve"> Debt!BT$190</f>
        <v>-2.5461520346652833E-2</v>
      </c>
      <c r="BU115" s="235">
        <f xml:space="preserve"> Debt!BU$190</f>
        <v>-2.5461520346652833E-2</v>
      </c>
      <c r="BV115" s="235">
        <f xml:space="preserve"> Debt!BV$190</f>
        <v>-2.5461520346652833E-2</v>
      </c>
      <c r="BW115" s="235">
        <f xml:space="preserve"> Debt!BW$190</f>
        <v>-2.5461520346652833E-2</v>
      </c>
      <c r="BX115" s="235">
        <f xml:space="preserve"> Debt!BX$190</f>
        <v>-2.5461520346652833E-2</v>
      </c>
      <c r="BY115" s="235">
        <f xml:space="preserve"> Debt!BY$190</f>
        <v>-2.5461520346652833E-2</v>
      </c>
      <c r="BZ115" s="235">
        <f xml:space="preserve"> Debt!BZ$190</f>
        <v>-2.5461520346652833E-2</v>
      </c>
      <c r="CA115" s="235">
        <f xml:space="preserve"> Debt!CA$190</f>
        <v>-2.5461520346652833E-2</v>
      </c>
      <c r="CB115" s="235">
        <f xml:space="preserve"> Debt!CB$190</f>
        <v>-2.5461520346652833E-2</v>
      </c>
      <c r="CC115" s="235">
        <f xml:space="preserve"> Debt!CC$190</f>
        <v>-2.5461520346652833E-2</v>
      </c>
      <c r="CD115" s="235">
        <f xml:space="preserve"> Debt!CD$190</f>
        <v>-2.5461520346652833E-2</v>
      </c>
      <c r="CE115" s="235">
        <f xml:space="preserve"> Debt!CE$190</f>
        <v>-2.5461520346652833E-2</v>
      </c>
      <c r="CF115" s="235">
        <f xml:space="preserve"> Debt!CF$190</f>
        <v>-2.5461520346652833E-2</v>
      </c>
      <c r="CG115" s="235">
        <f xml:space="preserve"> Debt!CG$190</f>
        <v>-2.5461520346652833E-2</v>
      </c>
      <c r="CH115" s="235">
        <f xml:space="preserve"> Debt!CH$190</f>
        <v>-2.5461520346652833E-2</v>
      </c>
      <c r="CI115" s="235">
        <f xml:space="preserve"> Debt!CI$190</f>
        <v>-2.5461520346652833E-2</v>
      </c>
      <c r="CJ115" s="235">
        <f xml:space="preserve"> Debt!CJ$190</f>
        <v>-2.5461520346652833E-2</v>
      </c>
      <c r="CK115" s="235">
        <f xml:space="preserve"> Debt!CK$190</f>
        <v>-2.5461520346652833E-2</v>
      </c>
      <c r="CL115" s="235">
        <f xml:space="preserve"> Debt!CL$190</f>
        <v>-2.5461520346652833E-2</v>
      </c>
      <c r="CM115" s="235">
        <f xml:space="preserve"> Debt!CM$190</f>
        <v>-2.5461520346652833E-2</v>
      </c>
      <c r="CN115" s="235">
        <f xml:space="preserve"> Debt!CN$190</f>
        <v>-2.5461520346652833E-2</v>
      </c>
      <c r="CO115" s="235">
        <f xml:space="preserve"> Debt!CO$190</f>
        <v>-2.5461520346652833E-2</v>
      </c>
      <c r="CP115" s="235">
        <f xml:space="preserve"> Debt!CP$190</f>
        <v>-2.5461520346652833E-2</v>
      </c>
      <c r="CQ115" s="235">
        <f xml:space="preserve"> Debt!CQ$190</f>
        <v>-2.5461520346652833E-2</v>
      </c>
      <c r="CR115" s="235">
        <f xml:space="preserve"> Debt!CR$190</f>
        <v>-2.5461520346652833E-2</v>
      </c>
      <c r="CS115" s="235">
        <f xml:space="preserve"> Debt!CS$190</f>
        <v>-2.5461520346652833E-2</v>
      </c>
      <c r="CT115" s="235">
        <f xml:space="preserve"> Debt!CT$190</f>
        <v>-2.5461520346652833E-2</v>
      </c>
      <c r="CU115" s="235">
        <f xml:space="preserve"> Debt!CU$190</f>
        <v>-2.5461520346652833E-2</v>
      </c>
      <c r="CV115" s="235">
        <f xml:space="preserve"> Debt!CV$190</f>
        <v>-2.5461520346652833E-2</v>
      </c>
    </row>
    <row r="116" spans="1:192" s="191" customFormat="1" outlineLevel="2" x14ac:dyDescent="0.2">
      <c r="A116" s="205"/>
      <c r="B116" s="205"/>
      <c r="C116" s="206"/>
      <c r="D116" s="209"/>
      <c r="E116" s="235" t="str">
        <f xml:space="preserve"> Debt!E$302</f>
        <v>Senior debt balance - T2</v>
      </c>
      <c r="F116" s="235">
        <f xml:space="preserve"> Debt!F$302</f>
        <v>0</v>
      </c>
      <c r="G116" s="235" t="str">
        <f xml:space="preserve"> Debt!G$302</f>
        <v>$ 000s</v>
      </c>
      <c r="H116" s="235">
        <f xml:space="preserve"> Debt!H$302</f>
        <v>0</v>
      </c>
      <c r="I116" s="235">
        <f xml:space="preserve"> Debt!I$302</f>
        <v>0</v>
      </c>
      <c r="J116" s="235">
        <f xml:space="preserve"> Debt!J$302</f>
        <v>0</v>
      </c>
      <c r="K116" s="235">
        <f xml:space="preserve"> Debt!K$302</f>
        <v>12084.251893640236</v>
      </c>
      <c r="L116" s="235">
        <f xml:space="preserve"> Debt!L$302</f>
        <v>48641.086087745876</v>
      </c>
      <c r="M116" s="235">
        <f xml:space="preserve"> Debt!M$302</f>
        <v>85848.029919746245</v>
      </c>
      <c r="N116" s="235">
        <f xml:space="preserve"> Debt!N$302</f>
        <v>125194.92613015344</v>
      </c>
      <c r="O116" s="235">
        <f xml:space="preserve"> Debt!O$302</f>
        <v>121090.7892959798</v>
      </c>
      <c r="P116" s="235">
        <f xml:space="preserve"> Debt!P$302</f>
        <v>117700.61196665274</v>
      </c>
      <c r="Q116" s="235">
        <f xml:space="preserve"> Debt!Q$302</f>
        <v>114269.63065266921</v>
      </c>
      <c r="R116" s="235">
        <f xml:space="preserve"> Debt!R$302</f>
        <v>110775.04981276403</v>
      </c>
      <c r="S116" s="235">
        <f xml:space="preserve"> Debt!S$302</f>
        <v>107235.60180472895</v>
      </c>
      <c r="T116" s="235">
        <f xml:space="preserve"> Debt!T$302</f>
        <v>103632.44669252292</v>
      </c>
      <c r="U116" s="235">
        <f xml:space="preserve"> Debt!U$302</f>
        <v>99980.201239152753</v>
      </c>
      <c r="V116" s="235">
        <f xml:space="preserve"> Debt!V$302</f>
        <v>96270.31754800085</v>
      </c>
      <c r="W116" s="235">
        <f xml:space="preserve"> Debt!W$302</f>
        <v>92509.726797318668</v>
      </c>
      <c r="X116" s="235">
        <f xml:space="preserve"> Debt!X$302</f>
        <v>88676.531590619605</v>
      </c>
      <c r="Y116" s="235">
        <f xml:space="preserve"> Debt!Y$302</f>
        <v>84898.220696315591</v>
      </c>
      <c r="Z116" s="235">
        <f xml:space="preserve"> Debt!Z$302</f>
        <v>81052.678030737021</v>
      </c>
      <c r="AA116" s="235">
        <f xml:space="preserve"> Debt!AA$302</f>
        <v>77144.770193006567</v>
      </c>
      <c r="AB116" s="235">
        <f xml:space="preserve"> Debt!AB$302</f>
        <v>73169.295924739374</v>
      </c>
      <c r="AC116" s="235">
        <f xml:space="preserve"> Debt!AC$302</f>
        <v>69126.276644660495</v>
      </c>
      <c r="AD116" s="235">
        <f xml:space="preserve"> Debt!AD$302</f>
        <v>65018.4634660866</v>
      </c>
      <c r="AE116" s="235">
        <f xml:space="preserve"> Debt!AE$302</f>
        <v>60843.180234178777</v>
      </c>
      <c r="AF116" s="235">
        <f xml:space="preserve"> Debt!AF$302</f>
        <v>56591.232502375169</v>
      </c>
      <c r="AG116" s="235">
        <f xml:space="preserve"> Debt!AG$302</f>
        <v>52260.722629543205</v>
      </c>
      <c r="AH116" s="235">
        <f xml:space="preserve"> Debt!AH$302</f>
        <v>47861.453531523759</v>
      </c>
      <c r="AI116" s="235">
        <f xml:space="preserve"> Debt!AI$302</f>
        <v>43463.30664605397</v>
      </c>
      <c r="AJ116" s="235">
        <f xml:space="preserve"> Debt!AJ$302</f>
        <v>38990.836364304349</v>
      </c>
      <c r="AK116" s="235">
        <f xml:space="preserve"> Debt!AK$302</f>
        <v>34425.165129277833</v>
      </c>
      <c r="AL116" s="235">
        <f xml:space="preserve"> Debt!AL$302</f>
        <v>29783.677983009326</v>
      </c>
      <c r="AM116" s="235">
        <f xml:space="preserve"> Debt!AM$302</f>
        <v>25050.985812388433</v>
      </c>
      <c r="AN116" s="235">
        <f xml:space="preserve"> Debt!AN$302</f>
        <v>20234.327998768505</v>
      </c>
      <c r="AO116" s="235">
        <f xml:space="preserve"> Debt!AO$302</f>
        <v>15310.296032067479</v>
      </c>
      <c r="AP116" s="235">
        <f xml:space="preserve"> Debt!AP$302</f>
        <v>10309.43308512052</v>
      </c>
      <c r="AQ116" s="235">
        <f xml:space="preserve"> Debt!AQ$302</f>
        <v>5193.6111065598579</v>
      </c>
      <c r="AR116" s="235">
        <f xml:space="preserve"> Debt!AR$302</f>
        <v>2.1585050071735168E-3</v>
      </c>
      <c r="AS116" s="235">
        <f xml:space="preserve"> Debt!AS$302</f>
        <v>2.1585050071735168E-3</v>
      </c>
      <c r="AT116" s="235">
        <f xml:space="preserve"> Debt!AT$302</f>
        <v>2.1585050071735168E-3</v>
      </c>
      <c r="AU116" s="235">
        <f xml:space="preserve"> Debt!AU$302</f>
        <v>2.1585050071735168E-3</v>
      </c>
      <c r="AV116" s="235">
        <f xml:space="preserve"> Debt!AV$302</f>
        <v>2.1585050071735168E-3</v>
      </c>
      <c r="AW116" s="235">
        <f xml:space="preserve"> Debt!AW$302</f>
        <v>2.1585050071735168E-3</v>
      </c>
      <c r="AX116" s="235">
        <f xml:space="preserve"> Debt!AX$302</f>
        <v>2.1585050071735168E-3</v>
      </c>
      <c r="AY116" s="235">
        <f xml:space="preserve"> Debt!AY$302</f>
        <v>2.1585050071735168E-3</v>
      </c>
      <c r="AZ116" s="235">
        <f xml:space="preserve"> Debt!AZ$302</f>
        <v>2.1585050071735168E-3</v>
      </c>
      <c r="BA116" s="235">
        <f xml:space="preserve"> Debt!BA$302</f>
        <v>2.1585050071735168E-3</v>
      </c>
      <c r="BB116" s="235">
        <f xml:space="preserve"> Debt!BB$302</f>
        <v>2.1585050071735168E-3</v>
      </c>
      <c r="BC116" s="235">
        <f xml:space="preserve"> Debt!BC$302</f>
        <v>2.1585050071735168E-3</v>
      </c>
      <c r="BD116" s="235">
        <f xml:space="preserve"> Debt!BD$302</f>
        <v>2.1585050071735168E-3</v>
      </c>
      <c r="BE116" s="235">
        <f xml:space="preserve"> Debt!BE$302</f>
        <v>2.1585050071735168E-3</v>
      </c>
      <c r="BF116" s="235">
        <f xml:space="preserve"> Debt!BF$302</f>
        <v>2.1585050071735168E-3</v>
      </c>
      <c r="BG116" s="235">
        <f xml:space="preserve"> Debt!BG$302</f>
        <v>2.1585050071735168E-3</v>
      </c>
      <c r="BH116" s="235">
        <f xml:space="preserve"> Debt!BH$302</f>
        <v>2.1585050071735168E-3</v>
      </c>
      <c r="BI116" s="235">
        <f xml:space="preserve"> Debt!BI$302</f>
        <v>2.1585050071735168E-3</v>
      </c>
      <c r="BJ116" s="235">
        <f xml:space="preserve"> Debt!BJ$302</f>
        <v>2.1585050071735168E-3</v>
      </c>
      <c r="BK116" s="235">
        <f xml:space="preserve"> Debt!BK$302</f>
        <v>2.1585050071735168E-3</v>
      </c>
      <c r="BL116" s="235">
        <f xml:space="preserve"> Debt!BL$302</f>
        <v>2.1585050071735168E-3</v>
      </c>
      <c r="BM116" s="235">
        <f xml:space="preserve"> Debt!BM$302</f>
        <v>2.1585050071735168E-3</v>
      </c>
      <c r="BN116" s="235">
        <f xml:space="preserve"> Debt!BN$302</f>
        <v>2.1585050071735168E-3</v>
      </c>
      <c r="BO116" s="235">
        <f xml:space="preserve"> Debt!BO$302</f>
        <v>2.1585050071735168E-3</v>
      </c>
      <c r="BP116" s="235">
        <f xml:space="preserve"> Debt!BP$302</f>
        <v>2.1585050071735168E-3</v>
      </c>
      <c r="BQ116" s="235">
        <f xml:space="preserve"> Debt!BQ$302</f>
        <v>2.1585050071735168E-3</v>
      </c>
      <c r="BR116" s="235">
        <f xml:space="preserve"> Debt!BR$302</f>
        <v>2.1585050071735168E-3</v>
      </c>
      <c r="BS116" s="235">
        <f xml:space="preserve"> Debt!BS$302</f>
        <v>2.1585050071735168E-3</v>
      </c>
      <c r="BT116" s="235">
        <f xml:space="preserve"> Debt!BT$302</f>
        <v>2.1585050071735168E-3</v>
      </c>
      <c r="BU116" s="235">
        <f xml:space="preserve"> Debt!BU$302</f>
        <v>2.1585050071735168E-3</v>
      </c>
      <c r="BV116" s="235">
        <f xml:space="preserve"> Debt!BV$302</f>
        <v>2.1585050071735168E-3</v>
      </c>
      <c r="BW116" s="235">
        <f xml:space="preserve"> Debt!BW$302</f>
        <v>2.1585050071735168E-3</v>
      </c>
      <c r="BX116" s="235">
        <f xml:space="preserve"> Debt!BX$302</f>
        <v>2.1585050071735168E-3</v>
      </c>
      <c r="BY116" s="235">
        <f xml:space="preserve"> Debt!BY$302</f>
        <v>2.1585050071735168E-3</v>
      </c>
      <c r="BZ116" s="235">
        <f xml:space="preserve"> Debt!BZ$302</f>
        <v>2.1585050071735168E-3</v>
      </c>
      <c r="CA116" s="235">
        <f xml:space="preserve"> Debt!CA$302</f>
        <v>2.1585050071735168E-3</v>
      </c>
      <c r="CB116" s="235">
        <f xml:space="preserve"> Debt!CB$302</f>
        <v>2.1585050071735168E-3</v>
      </c>
      <c r="CC116" s="235">
        <f xml:space="preserve"> Debt!CC$302</f>
        <v>2.1585050071735168E-3</v>
      </c>
      <c r="CD116" s="235">
        <f xml:space="preserve"> Debt!CD$302</f>
        <v>2.1585050071735168E-3</v>
      </c>
      <c r="CE116" s="235">
        <f xml:space="preserve"> Debt!CE$302</f>
        <v>2.1585050071735168E-3</v>
      </c>
      <c r="CF116" s="235">
        <f xml:space="preserve"> Debt!CF$302</f>
        <v>2.1585050071735168E-3</v>
      </c>
      <c r="CG116" s="235">
        <f xml:space="preserve"> Debt!CG$302</f>
        <v>2.1585050071735168E-3</v>
      </c>
      <c r="CH116" s="235">
        <f xml:space="preserve"> Debt!CH$302</f>
        <v>2.1585050071735168E-3</v>
      </c>
      <c r="CI116" s="235">
        <f xml:space="preserve"> Debt!CI$302</f>
        <v>2.1585050071735168E-3</v>
      </c>
      <c r="CJ116" s="235">
        <f xml:space="preserve"> Debt!CJ$302</f>
        <v>2.1585050071735168E-3</v>
      </c>
      <c r="CK116" s="235">
        <f xml:space="preserve"> Debt!CK$302</f>
        <v>2.1585050071735168E-3</v>
      </c>
      <c r="CL116" s="235">
        <f xml:space="preserve"> Debt!CL$302</f>
        <v>2.1585050071735168E-3</v>
      </c>
      <c r="CM116" s="235">
        <f xml:space="preserve"> Debt!CM$302</f>
        <v>2.1585050071735168E-3</v>
      </c>
      <c r="CN116" s="235">
        <f xml:space="preserve"> Debt!CN$302</f>
        <v>2.1585050071735168E-3</v>
      </c>
      <c r="CO116" s="235">
        <f xml:space="preserve"> Debt!CO$302</f>
        <v>2.1585050071735168E-3</v>
      </c>
      <c r="CP116" s="235">
        <f xml:space="preserve"> Debt!CP$302</f>
        <v>2.1585050071735168E-3</v>
      </c>
      <c r="CQ116" s="235">
        <f xml:space="preserve"> Debt!CQ$302</f>
        <v>2.1585050071735168E-3</v>
      </c>
      <c r="CR116" s="235">
        <f xml:space="preserve"> Debt!CR$302</f>
        <v>2.1585050071735168E-3</v>
      </c>
      <c r="CS116" s="235">
        <f xml:space="preserve"> Debt!CS$302</f>
        <v>2.1585050071735168E-3</v>
      </c>
      <c r="CT116" s="235">
        <f xml:space="preserve"> Debt!CT$302</f>
        <v>2.1585050071735168E-3</v>
      </c>
      <c r="CU116" s="235">
        <f xml:space="preserve"> Debt!CU$302</f>
        <v>2.1585050071735168E-3</v>
      </c>
      <c r="CV116" s="235">
        <f xml:space="preserve"> Debt!CV$302</f>
        <v>2.1585050071735168E-3</v>
      </c>
    </row>
    <row r="117" spans="1:192" outlineLevel="2" x14ac:dyDescent="0.2">
      <c r="D117" s="209"/>
      <c r="E117" s="235" t="str">
        <f xml:space="preserve"> Debt!E$404</f>
        <v>Standby debt - T1 balance</v>
      </c>
      <c r="F117" s="235">
        <f xml:space="preserve"> Debt!F$404</f>
        <v>0</v>
      </c>
      <c r="G117" s="235" t="str">
        <f xml:space="preserve"> Debt!G$404</f>
        <v>$ 000s</v>
      </c>
      <c r="H117" s="235">
        <f xml:space="preserve"> Debt!H$404</f>
        <v>0</v>
      </c>
      <c r="I117" s="235">
        <f xml:space="preserve"> Debt!I$404</f>
        <v>0</v>
      </c>
      <c r="J117" s="235">
        <f xml:space="preserve"> Debt!J$404</f>
        <v>0</v>
      </c>
      <c r="K117" s="235">
        <f xml:space="preserve"> Debt!K$404</f>
        <v>0</v>
      </c>
      <c r="L117" s="235">
        <f xml:space="preserve"> Debt!L$404</f>
        <v>0</v>
      </c>
      <c r="M117" s="235">
        <f xml:space="preserve"> Debt!M$404</f>
        <v>0</v>
      </c>
      <c r="N117" s="235">
        <f xml:space="preserve"> Debt!N$404</f>
        <v>0</v>
      </c>
      <c r="O117" s="235">
        <f xml:space="preserve"> Debt!O$404</f>
        <v>0</v>
      </c>
      <c r="P117" s="235">
        <f xml:space="preserve"> Debt!P$404</f>
        <v>0</v>
      </c>
      <c r="Q117" s="235">
        <f xml:space="preserve"> Debt!Q$404</f>
        <v>0</v>
      </c>
      <c r="R117" s="235">
        <f xml:space="preserve"> Debt!R$404</f>
        <v>0</v>
      </c>
      <c r="S117" s="235">
        <f xml:space="preserve"> Debt!S$404</f>
        <v>0</v>
      </c>
      <c r="T117" s="235">
        <f xml:space="preserve"> Debt!T$404</f>
        <v>0</v>
      </c>
      <c r="U117" s="235">
        <f xml:space="preserve"> Debt!U$404</f>
        <v>0</v>
      </c>
      <c r="V117" s="235">
        <f xml:space="preserve"> Debt!V$404</f>
        <v>0</v>
      </c>
      <c r="W117" s="235">
        <f xml:space="preserve"> Debt!W$404</f>
        <v>0</v>
      </c>
      <c r="X117" s="235">
        <f xml:space="preserve"> Debt!X$404</f>
        <v>0</v>
      </c>
      <c r="Y117" s="235">
        <f xml:space="preserve"> Debt!Y$404</f>
        <v>0</v>
      </c>
      <c r="Z117" s="235">
        <f xml:space="preserve"> Debt!Z$404</f>
        <v>0</v>
      </c>
      <c r="AA117" s="235">
        <f xml:space="preserve"> Debt!AA$404</f>
        <v>0</v>
      </c>
      <c r="AB117" s="235">
        <f xml:space="preserve"> Debt!AB$404</f>
        <v>0</v>
      </c>
      <c r="AC117" s="235">
        <f xml:space="preserve"> Debt!AC$404</f>
        <v>0</v>
      </c>
      <c r="AD117" s="235">
        <f xml:space="preserve"> Debt!AD$404</f>
        <v>0</v>
      </c>
      <c r="AE117" s="235">
        <f xml:space="preserve"> Debt!AE$404</f>
        <v>0</v>
      </c>
      <c r="AF117" s="235">
        <f xml:space="preserve"> Debt!AF$404</f>
        <v>0</v>
      </c>
      <c r="AG117" s="235">
        <f xml:space="preserve"> Debt!AG$404</f>
        <v>0</v>
      </c>
      <c r="AH117" s="235">
        <f xml:space="preserve"> Debt!AH$404</f>
        <v>0</v>
      </c>
      <c r="AI117" s="235">
        <f xml:space="preserve"> Debt!AI$404</f>
        <v>0</v>
      </c>
      <c r="AJ117" s="235">
        <f xml:space="preserve"> Debt!AJ$404</f>
        <v>0</v>
      </c>
      <c r="AK117" s="235">
        <f xml:space="preserve"> Debt!AK$404</f>
        <v>0</v>
      </c>
      <c r="AL117" s="235">
        <f xml:space="preserve"> Debt!AL$404</f>
        <v>0</v>
      </c>
      <c r="AM117" s="235">
        <f xml:space="preserve"> Debt!AM$404</f>
        <v>0</v>
      </c>
      <c r="AN117" s="235">
        <f xml:space="preserve"> Debt!AN$404</f>
        <v>0</v>
      </c>
      <c r="AO117" s="235">
        <f xml:space="preserve"> Debt!AO$404</f>
        <v>0</v>
      </c>
      <c r="AP117" s="235">
        <f xml:space="preserve"> Debt!AP$404</f>
        <v>0</v>
      </c>
      <c r="AQ117" s="235">
        <f xml:space="preserve"> Debt!AQ$404</f>
        <v>0</v>
      </c>
      <c r="AR117" s="235">
        <f xml:space="preserve"> Debt!AR$404</f>
        <v>0</v>
      </c>
      <c r="AS117" s="235">
        <f xml:space="preserve"> Debt!AS$404</f>
        <v>0</v>
      </c>
      <c r="AT117" s="235">
        <f xml:space="preserve"> Debt!AT$404</f>
        <v>0</v>
      </c>
      <c r="AU117" s="235">
        <f xml:space="preserve"> Debt!AU$404</f>
        <v>0</v>
      </c>
      <c r="AV117" s="235">
        <f xml:space="preserve"> Debt!AV$404</f>
        <v>0</v>
      </c>
      <c r="AW117" s="235">
        <f xml:space="preserve"> Debt!AW$404</f>
        <v>0</v>
      </c>
      <c r="AX117" s="235">
        <f xml:space="preserve"> Debt!AX$404</f>
        <v>0</v>
      </c>
      <c r="AY117" s="235">
        <f xml:space="preserve"> Debt!AY$404</f>
        <v>0</v>
      </c>
      <c r="AZ117" s="235">
        <f xml:space="preserve"> Debt!AZ$404</f>
        <v>0</v>
      </c>
      <c r="BA117" s="235">
        <f xml:space="preserve"> Debt!BA$404</f>
        <v>0</v>
      </c>
      <c r="BB117" s="235">
        <f xml:space="preserve"> Debt!BB$404</f>
        <v>0</v>
      </c>
      <c r="BC117" s="235">
        <f xml:space="preserve"> Debt!BC$404</f>
        <v>0</v>
      </c>
      <c r="BD117" s="235">
        <f xml:space="preserve"> Debt!BD$404</f>
        <v>0</v>
      </c>
      <c r="BE117" s="235">
        <f xml:space="preserve"> Debt!BE$404</f>
        <v>0</v>
      </c>
      <c r="BF117" s="235">
        <f xml:space="preserve"> Debt!BF$404</f>
        <v>0</v>
      </c>
      <c r="BG117" s="235">
        <f xml:space="preserve"> Debt!BG$404</f>
        <v>0</v>
      </c>
      <c r="BH117" s="235">
        <f xml:space="preserve"> Debt!BH$404</f>
        <v>0</v>
      </c>
      <c r="BI117" s="235">
        <f xml:space="preserve"> Debt!BI$404</f>
        <v>0</v>
      </c>
      <c r="BJ117" s="235">
        <f xml:space="preserve"> Debt!BJ$404</f>
        <v>0</v>
      </c>
      <c r="BK117" s="235">
        <f xml:space="preserve"> Debt!BK$404</f>
        <v>0</v>
      </c>
      <c r="BL117" s="235">
        <f xml:space="preserve"> Debt!BL$404</f>
        <v>0</v>
      </c>
      <c r="BM117" s="235">
        <f xml:space="preserve"> Debt!BM$404</f>
        <v>0</v>
      </c>
      <c r="BN117" s="235">
        <f xml:space="preserve"> Debt!BN$404</f>
        <v>0</v>
      </c>
      <c r="BO117" s="235">
        <f xml:space="preserve"> Debt!BO$404</f>
        <v>0</v>
      </c>
      <c r="BP117" s="235">
        <f xml:space="preserve"> Debt!BP$404</f>
        <v>0</v>
      </c>
      <c r="BQ117" s="235">
        <f xml:space="preserve"> Debt!BQ$404</f>
        <v>0</v>
      </c>
      <c r="BR117" s="235">
        <f xml:space="preserve"> Debt!BR$404</f>
        <v>0</v>
      </c>
      <c r="BS117" s="235">
        <f xml:space="preserve"> Debt!BS$404</f>
        <v>0</v>
      </c>
      <c r="BT117" s="235">
        <f xml:space="preserve"> Debt!BT$404</f>
        <v>0</v>
      </c>
      <c r="BU117" s="235">
        <f xml:space="preserve"> Debt!BU$404</f>
        <v>0</v>
      </c>
      <c r="BV117" s="235">
        <f xml:space="preserve"> Debt!BV$404</f>
        <v>0</v>
      </c>
      <c r="BW117" s="235">
        <f xml:space="preserve"> Debt!BW$404</f>
        <v>0</v>
      </c>
      <c r="BX117" s="235">
        <f xml:space="preserve"> Debt!BX$404</f>
        <v>0</v>
      </c>
      <c r="BY117" s="235">
        <f xml:space="preserve"> Debt!BY$404</f>
        <v>0</v>
      </c>
      <c r="BZ117" s="235">
        <f xml:space="preserve"> Debt!BZ$404</f>
        <v>0</v>
      </c>
      <c r="CA117" s="235">
        <f xml:space="preserve"> Debt!CA$404</f>
        <v>0</v>
      </c>
      <c r="CB117" s="235">
        <f xml:space="preserve"> Debt!CB$404</f>
        <v>0</v>
      </c>
      <c r="CC117" s="235">
        <f xml:space="preserve"> Debt!CC$404</f>
        <v>0</v>
      </c>
      <c r="CD117" s="235">
        <f xml:space="preserve"> Debt!CD$404</f>
        <v>0</v>
      </c>
      <c r="CE117" s="235">
        <f xml:space="preserve"> Debt!CE$404</f>
        <v>0</v>
      </c>
      <c r="CF117" s="235">
        <f xml:space="preserve"> Debt!CF$404</f>
        <v>0</v>
      </c>
      <c r="CG117" s="235">
        <f xml:space="preserve"> Debt!CG$404</f>
        <v>0</v>
      </c>
      <c r="CH117" s="235">
        <f xml:space="preserve"> Debt!CH$404</f>
        <v>0</v>
      </c>
      <c r="CI117" s="235">
        <f xml:space="preserve"> Debt!CI$404</f>
        <v>0</v>
      </c>
      <c r="CJ117" s="235">
        <f xml:space="preserve"> Debt!CJ$404</f>
        <v>0</v>
      </c>
      <c r="CK117" s="235">
        <f xml:space="preserve"> Debt!CK$404</f>
        <v>0</v>
      </c>
      <c r="CL117" s="235">
        <f xml:space="preserve"> Debt!CL$404</f>
        <v>0</v>
      </c>
      <c r="CM117" s="235">
        <f xml:space="preserve"> Debt!CM$404</f>
        <v>0</v>
      </c>
      <c r="CN117" s="235">
        <f xml:space="preserve"> Debt!CN$404</f>
        <v>0</v>
      </c>
      <c r="CO117" s="235">
        <f xml:space="preserve"> Debt!CO$404</f>
        <v>0</v>
      </c>
      <c r="CP117" s="235">
        <f xml:space="preserve"> Debt!CP$404</f>
        <v>0</v>
      </c>
      <c r="CQ117" s="235">
        <f xml:space="preserve"> Debt!CQ$404</f>
        <v>0</v>
      </c>
      <c r="CR117" s="235">
        <f xml:space="preserve"> Debt!CR$404</f>
        <v>0</v>
      </c>
      <c r="CS117" s="235">
        <f xml:space="preserve"> Debt!CS$404</f>
        <v>0</v>
      </c>
      <c r="CT117" s="235">
        <f xml:space="preserve"> Debt!CT$404</f>
        <v>0</v>
      </c>
      <c r="CU117" s="235">
        <f xml:space="preserve"> Debt!CU$404</f>
        <v>0</v>
      </c>
      <c r="CV117" s="235">
        <f xml:space="preserve"> Debt!CV$404</f>
        <v>0</v>
      </c>
    </row>
    <row r="118" spans="1:192" outlineLevel="2" x14ac:dyDescent="0.2">
      <c r="D118" s="209"/>
      <c r="E118" s="235" t="str">
        <f xml:space="preserve"> Debt!E$436</f>
        <v>Standby debt - T2 balance</v>
      </c>
      <c r="F118" s="235">
        <f xml:space="preserve"> Debt!F$436</f>
        <v>0</v>
      </c>
      <c r="G118" s="235" t="str">
        <f xml:space="preserve"> Debt!G$436</f>
        <v>$ 000s</v>
      </c>
      <c r="H118" s="235">
        <f xml:space="preserve"> Debt!H$436</f>
        <v>0</v>
      </c>
      <c r="I118" s="235">
        <f xml:space="preserve"> Debt!I$436</f>
        <v>0</v>
      </c>
      <c r="J118" s="235">
        <f xml:space="preserve"> Debt!J$436</f>
        <v>0</v>
      </c>
      <c r="K118" s="235">
        <f xml:space="preserve"> Debt!K$436</f>
        <v>0</v>
      </c>
      <c r="L118" s="235">
        <f xml:space="preserve"> Debt!L$436</f>
        <v>0</v>
      </c>
      <c r="M118" s="235">
        <f xml:space="preserve"> Debt!M$436</f>
        <v>0</v>
      </c>
      <c r="N118" s="235">
        <f xml:space="preserve"> Debt!N$436</f>
        <v>0</v>
      </c>
      <c r="O118" s="235">
        <f xml:space="preserve"> Debt!O$436</f>
        <v>0</v>
      </c>
      <c r="P118" s="235">
        <f xml:space="preserve"> Debt!P$436</f>
        <v>0</v>
      </c>
      <c r="Q118" s="235">
        <f xml:space="preserve"> Debt!Q$436</f>
        <v>0</v>
      </c>
      <c r="R118" s="235">
        <f xml:space="preserve"> Debt!R$436</f>
        <v>0</v>
      </c>
      <c r="S118" s="235">
        <f xml:space="preserve"> Debt!S$436</f>
        <v>0</v>
      </c>
      <c r="T118" s="235">
        <f xml:space="preserve"> Debt!T$436</f>
        <v>0</v>
      </c>
      <c r="U118" s="235">
        <f xml:space="preserve"> Debt!U$436</f>
        <v>0</v>
      </c>
      <c r="V118" s="235">
        <f xml:space="preserve"> Debt!V$436</f>
        <v>0</v>
      </c>
      <c r="W118" s="235">
        <f xml:space="preserve"> Debt!W$436</f>
        <v>0</v>
      </c>
      <c r="X118" s="235">
        <f xml:space="preserve"> Debt!X$436</f>
        <v>0</v>
      </c>
      <c r="Y118" s="235">
        <f xml:space="preserve"> Debt!Y$436</f>
        <v>0</v>
      </c>
      <c r="Z118" s="235">
        <f xml:space="preserve"> Debt!Z$436</f>
        <v>0</v>
      </c>
      <c r="AA118" s="235">
        <f xml:space="preserve"> Debt!AA$436</f>
        <v>0</v>
      </c>
      <c r="AB118" s="235">
        <f xml:space="preserve"> Debt!AB$436</f>
        <v>0</v>
      </c>
      <c r="AC118" s="235">
        <f xml:space="preserve"> Debt!AC$436</f>
        <v>0</v>
      </c>
      <c r="AD118" s="235">
        <f xml:space="preserve"> Debt!AD$436</f>
        <v>0</v>
      </c>
      <c r="AE118" s="235">
        <f xml:space="preserve"> Debt!AE$436</f>
        <v>0</v>
      </c>
      <c r="AF118" s="235">
        <f xml:space="preserve"> Debt!AF$436</f>
        <v>0</v>
      </c>
      <c r="AG118" s="235">
        <f xml:space="preserve"> Debt!AG$436</f>
        <v>0</v>
      </c>
      <c r="AH118" s="235">
        <f xml:space="preserve"> Debt!AH$436</f>
        <v>0</v>
      </c>
      <c r="AI118" s="235">
        <f xml:space="preserve"> Debt!AI$436</f>
        <v>0</v>
      </c>
      <c r="AJ118" s="235">
        <f xml:space="preserve"> Debt!AJ$436</f>
        <v>0</v>
      </c>
      <c r="AK118" s="235">
        <f xml:space="preserve"> Debt!AK$436</f>
        <v>0</v>
      </c>
      <c r="AL118" s="235">
        <f xml:space="preserve"> Debt!AL$436</f>
        <v>0</v>
      </c>
      <c r="AM118" s="235">
        <f xml:space="preserve"> Debt!AM$436</f>
        <v>0</v>
      </c>
      <c r="AN118" s="235">
        <f xml:space="preserve"> Debt!AN$436</f>
        <v>0</v>
      </c>
      <c r="AO118" s="235">
        <f xml:space="preserve"> Debt!AO$436</f>
        <v>0</v>
      </c>
      <c r="AP118" s="235">
        <f xml:space="preserve"> Debt!AP$436</f>
        <v>0</v>
      </c>
      <c r="AQ118" s="235">
        <f xml:space="preserve"> Debt!AQ$436</f>
        <v>0</v>
      </c>
      <c r="AR118" s="235">
        <f xml:space="preserve"> Debt!AR$436</f>
        <v>0</v>
      </c>
      <c r="AS118" s="235">
        <f xml:space="preserve"> Debt!AS$436</f>
        <v>0</v>
      </c>
      <c r="AT118" s="235">
        <f xml:space="preserve"> Debt!AT$436</f>
        <v>0</v>
      </c>
      <c r="AU118" s="235">
        <f xml:space="preserve"> Debt!AU$436</f>
        <v>0</v>
      </c>
      <c r="AV118" s="235">
        <f xml:space="preserve"> Debt!AV$436</f>
        <v>0</v>
      </c>
      <c r="AW118" s="235">
        <f xml:space="preserve"> Debt!AW$436</f>
        <v>0</v>
      </c>
      <c r="AX118" s="235">
        <f xml:space="preserve"> Debt!AX$436</f>
        <v>0</v>
      </c>
      <c r="AY118" s="235">
        <f xml:space="preserve"> Debt!AY$436</f>
        <v>0</v>
      </c>
      <c r="AZ118" s="235">
        <f xml:space="preserve"> Debt!AZ$436</f>
        <v>0</v>
      </c>
      <c r="BA118" s="235">
        <f xml:space="preserve"> Debt!BA$436</f>
        <v>0</v>
      </c>
      <c r="BB118" s="235">
        <f xml:space="preserve"> Debt!BB$436</f>
        <v>0</v>
      </c>
      <c r="BC118" s="235">
        <f xml:space="preserve"> Debt!BC$436</f>
        <v>0</v>
      </c>
      <c r="BD118" s="235">
        <f xml:space="preserve"> Debt!BD$436</f>
        <v>0</v>
      </c>
      <c r="BE118" s="235">
        <f xml:space="preserve"> Debt!BE$436</f>
        <v>0</v>
      </c>
      <c r="BF118" s="235">
        <f xml:space="preserve"> Debt!BF$436</f>
        <v>0</v>
      </c>
      <c r="BG118" s="235">
        <f xml:space="preserve"> Debt!BG$436</f>
        <v>0</v>
      </c>
      <c r="BH118" s="235">
        <f xml:space="preserve"> Debt!BH$436</f>
        <v>0</v>
      </c>
      <c r="BI118" s="235">
        <f xml:space="preserve"> Debt!BI$436</f>
        <v>0</v>
      </c>
      <c r="BJ118" s="235">
        <f xml:space="preserve"> Debt!BJ$436</f>
        <v>0</v>
      </c>
      <c r="BK118" s="235">
        <f xml:space="preserve"> Debt!BK$436</f>
        <v>0</v>
      </c>
      <c r="BL118" s="235">
        <f xml:space="preserve"> Debt!BL$436</f>
        <v>0</v>
      </c>
      <c r="BM118" s="235">
        <f xml:space="preserve"> Debt!BM$436</f>
        <v>0</v>
      </c>
      <c r="BN118" s="235">
        <f xml:space="preserve"> Debt!BN$436</f>
        <v>0</v>
      </c>
      <c r="BO118" s="235">
        <f xml:space="preserve"> Debt!BO$436</f>
        <v>0</v>
      </c>
      <c r="BP118" s="235">
        <f xml:space="preserve"> Debt!BP$436</f>
        <v>0</v>
      </c>
      <c r="BQ118" s="235">
        <f xml:space="preserve"> Debt!BQ$436</f>
        <v>0</v>
      </c>
      <c r="BR118" s="235">
        <f xml:space="preserve"> Debt!BR$436</f>
        <v>0</v>
      </c>
      <c r="BS118" s="235">
        <f xml:space="preserve"> Debt!BS$436</f>
        <v>0</v>
      </c>
      <c r="BT118" s="235">
        <f xml:space="preserve"> Debt!BT$436</f>
        <v>0</v>
      </c>
      <c r="BU118" s="235">
        <f xml:space="preserve"> Debt!BU$436</f>
        <v>0</v>
      </c>
      <c r="BV118" s="235">
        <f xml:space="preserve"> Debt!BV$436</f>
        <v>0</v>
      </c>
      <c r="BW118" s="235">
        <f xml:space="preserve"> Debt!BW$436</f>
        <v>0</v>
      </c>
      <c r="BX118" s="235">
        <f xml:space="preserve"> Debt!BX$436</f>
        <v>0</v>
      </c>
      <c r="BY118" s="235">
        <f xml:space="preserve"> Debt!BY$436</f>
        <v>0</v>
      </c>
      <c r="BZ118" s="235">
        <f xml:space="preserve"> Debt!BZ$436</f>
        <v>0</v>
      </c>
      <c r="CA118" s="235">
        <f xml:space="preserve"> Debt!CA$436</f>
        <v>0</v>
      </c>
      <c r="CB118" s="235">
        <f xml:space="preserve"> Debt!CB$436</f>
        <v>0</v>
      </c>
      <c r="CC118" s="235">
        <f xml:space="preserve"> Debt!CC$436</f>
        <v>0</v>
      </c>
      <c r="CD118" s="235">
        <f xml:space="preserve"> Debt!CD$436</f>
        <v>0</v>
      </c>
      <c r="CE118" s="235">
        <f xml:space="preserve"> Debt!CE$436</f>
        <v>0</v>
      </c>
      <c r="CF118" s="235">
        <f xml:space="preserve"> Debt!CF$436</f>
        <v>0</v>
      </c>
      <c r="CG118" s="235">
        <f xml:space="preserve"> Debt!CG$436</f>
        <v>0</v>
      </c>
      <c r="CH118" s="235">
        <f xml:space="preserve"> Debt!CH$436</f>
        <v>0</v>
      </c>
      <c r="CI118" s="235">
        <f xml:space="preserve"> Debt!CI$436</f>
        <v>0</v>
      </c>
      <c r="CJ118" s="235">
        <f xml:space="preserve"> Debt!CJ$436</f>
        <v>0</v>
      </c>
      <c r="CK118" s="235">
        <f xml:space="preserve"> Debt!CK$436</f>
        <v>0</v>
      </c>
      <c r="CL118" s="235">
        <f xml:space="preserve"> Debt!CL$436</f>
        <v>0</v>
      </c>
      <c r="CM118" s="235">
        <f xml:space="preserve"> Debt!CM$436</f>
        <v>0</v>
      </c>
      <c r="CN118" s="235">
        <f xml:space="preserve"> Debt!CN$436</f>
        <v>0</v>
      </c>
      <c r="CO118" s="235">
        <f xml:space="preserve"> Debt!CO$436</f>
        <v>0</v>
      </c>
      <c r="CP118" s="235">
        <f xml:space="preserve"> Debt!CP$436</f>
        <v>0</v>
      </c>
      <c r="CQ118" s="235">
        <f xml:space="preserve"> Debt!CQ$436</f>
        <v>0</v>
      </c>
      <c r="CR118" s="235">
        <f xml:space="preserve"> Debt!CR$436</f>
        <v>0</v>
      </c>
      <c r="CS118" s="235">
        <f xml:space="preserve"> Debt!CS$436</f>
        <v>0</v>
      </c>
      <c r="CT118" s="235">
        <f xml:space="preserve"> Debt!CT$436</f>
        <v>0</v>
      </c>
      <c r="CU118" s="235">
        <f xml:space="preserve"> Debt!CU$436</f>
        <v>0</v>
      </c>
      <c r="CV118" s="235">
        <f xml:space="preserve"> Debt!CV$436</f>
        <v>0</v>
      </c>
    </row>
    <row r="119" spans="1:192" s="331" customFormat="1" outlineLevel="2" x14ac:dyDescent="0.2">
      <c r="A119" s="752"/>
      <c r="B119" s="752"/>
      <c r="C119" s="753"/>
      <c r="D119" s="754"/>
      <c r="E119" s="722" t="str">
        <f xml:space="preserve"> Debt!E$688</f>
        <v>Equity bridge balance</v>
      </c>
      <c r="F119" s="722">
        <f xml:space="preserve"> Debt!F$688</f>
        <v>0</v>
      </c>
      <c r="G119" s="722" t="str">
        <f xml:space="preserve"> Debt!G$688</f>
        <v>$ 000s</v>
      </c>
      <c r="H119" s="722">
        <f xml:space="preserve"> Debt!H$688</f>
        <v>0</v>
      </c>
      <c r="I119" s="722">
        <f xml:space="preserve"> Debt!I$688</f>
        <v>0</v>
      </c>
      <c r="J119" s="722">
        <f xml:space="preserve"> Debt!J$688</f>
        <v>38555.01232134179</v>
      </c>
      <c r="K119" s="722">
        <f xml:space="preserve"> Debt!K$688</f>
        <v>86318.253106861201</v>
      </c>
      <c r="L119" s="722">
        <f xml:space="preserve"> Debt!L$688</f>
        <v>86318.253106861201</v>
      </c>
      <c r="M119" s="722">
        <f xml:space="preserve"> Debt!M$688</f>
        <v>86318.253106861201</v>
      </c>
      <c r="N119" s="722">
        <f xml:space="preserve"> Debt!N$688</f>
        <v>0</v>
      </c>
      <c r="O119" s="722">
        <f xml:space="preserve"> Debt!O$688</f>
        <v>0</v>
      </c>
      <c r="P119" s="722">
        <f xml:space="preserve"> Debt!P$688</f>
        <v>0</v>
      </c>
      <c r="Q119" s="722">
        <f xml:space="preserve"> Debt!Q$688</f>
        <v>0</v>
      </c>
      <c r="R119" s="722">
        <f xml:space="preserve"> Debt!R$688</f>
        <v>0</v>
      </c>
      <c r="S119" s="722">
        <f xml:space="preserve"> Debt!S$688</f>
        <v>0</v>
      </c>
      <c r="T119" s="722">
        <f xml:space="preserve"> Debt!T$688</f>
        <v>0</v>
      </c>
      <c r="U119" s="722">
        <f xml:space="preserve"> Debt!U$688</f>
        <v>0</v>
      </c>
      <c r="V119" s="722">
        <f xml:space="preserve"> Debt!V$688</f>
        <v>0</v>
      </c>
      <c r="W119" s="722">
        <f xml:space="preserve"> Debt!W$688</f>
        <v>0</v>
      </c>
      <c r="X119" s="722">
        <f xml:space="preserve"> Debt!X$688</f>
        <v>0</v>
      </c>
      <c r="Y119" s="722">
        <f xml:space="preserve"> Debt!Y$688</f>
        <v>0</v>
      </c>
      <c r="Z119" s="722">
        <f xml:space="preserve"> Debt!Z$688</f>
        <v>0</v>
      </c>
      <c r="AA119" s="722">
        <f xml:space="preserve"> Debt!AA$688</f>
        <v>0</v>
      </c>
      <c r="AB119" s="722">
        <f xml:space="preserve"> Debt!AB$688</f>
        <v>0</v>
      </c>
      <c r="AC119" s="722">
        <f xml:space="preserve"> Debt!AC$688</f>
        <v>0</v>
      </c>
      <c r="AD119" s="722">
        <f xml:space="preserve"> Debt!AD$688</f>
        <v>0</v>
      </c>
      <c r="AE119" s="722">
        <f xml:space="preserve"> Debt!AE$688</f>
        <v>0</v>
      </c>
      <c r="AF119" s="722">
        <f xml:space="preserve"> Debt!AF$688</f>
        <v>0</v>
      </c>
      <c r="AG119" s="722">
        <f xml:space="preserve"> Debt!AG$688</f>
        <v>0</v>
      </c>
      <c r="AH119" s="722">
        <f xml:space="preserve"> Debt!AH$688</f>
        <v>0</v>
      </c>
      <c r="AI119" s="722">
        <f xml:space="preserve"> Debt!AI$688</f>
        <v>0</v>
      </c>
      <c r="AJ119" s="722">
        <f xml:space="preserve"> Debt!AJ$688</f>
        <v>0</v>
      </c>
      <c r="AK119" s="722">
        <f xml:space="preserve"> Debt!AK$688</f>
        <v>0</v>
      </c>
      <c r="AL119" s="722">
        <f xml:space="preserve"> Debt!AL$688</f>
        <v>0</v>
      </c>
      <c r="AM119" s="722">
        <f xml:space="preserve"> Debt!AM$688</f>
        <v>0</v>
      </c>
      <c r="AN119" s="722">
        <f xml:space="preserve"> Debt!AN$688</f>
        <v>0</v>
      </c>
      <c r="AO119" s="722">
        <f xml:space="preserve"> Debt!AO$688</f>
        <v>0</v>
      </c>
      <c r="AP119" s="722">
        <f xml:space="preserve"> Debt!AP$688</f>
        <v>0</v>
      </c>
      <c r="AQ119" s="722">
        <f xml:space="preserve"> Debt!AQ$688</f>
        <v>0</v>
      </c>
      <c r="AR119" s="722">
        <f xml:space="preserve"> Debt!AR$688</f>
        <v>0</v>
      </c>
      <c r="AS119" s="722">
        <f xml:space="preserve"> Debt!AS$688</f>
        <v>0</v>
      </c>
      <c r="AT119" s="722">
        <f xml:space="preserve"> Debt!AT$688</f>
        <v>0</v>
      </c>
      <c r="AU119" s="722">
        <f xml:space="preserve"> Debt!AU$688</f>
        <v>0</v>
      </c>
      <c r="AV119" s="722">
        <f xml:space="preserve"> Debt!AV$688</f>
        <v>0</v>
      </c>
      <c r="AW119" s="722">
        <f xml:space="preserve"> Debt!AW$688</f>
        <v>0</v>
      </c>
      <c r="AX119" s="722">
        <f xml:space="preserve"> Debt!AX$688</f>
        <v>0</v>
      </c>
      <c r="AY119" s="722">
        <f xml:space="preserve"> Debt!AY$688</f>
        <v>0</v>
      </c>
      <c r="AZ119" s="722">
        <f xml:space="preserve"> Debt!AZ$688</f>
        <v>0</v>
      </c>
      <c r="BA119" s="722">
        <f xml:space="preserve"> Debt!BA$688</f>
        <v>0</v>
      </c>
      <c r="BB119" s="722">
        <f xml:space="preserve"> Debt!BB$688</f>
        <v>0</v>
      </c>
      <c r="BC119" s="722">
        <f xml:space="preserve"> Debt!BC$688</f>
        <v>0</v>
      </c>
      <c r="BD119" s="722">
        <f xml:space="preserve"> Debt!BD$688</f>
        <v>0</v>
      </c>
      <c r="BE119" s="722">
        <f xml:space="preserve"> Debt!BE$688</f>
        <v>0</v>
      </c>
      <c r="BF119" s="722">
        <f xml:space="preserve"> Debt!BF$688</f>
        <v>0</v>
      </c>
      <c r="BG119" s="722">
        <f xml:space="preserve"> Debt!BG$688</f>
        <v>0</v>
      </c>
      <c r="BH119" s="722">
        <f xml:space="preserve"> Debt!BH$688</f>
        <v>0</v>
      </c>
      <c r="BI119" s="722">
        <f xml:space="preserve"> Debt!BI$688</f>
        <v>0</v>
      </c>
      <c r="BJ119" s="722">
        <f xml:space="preserve"> Debt!BJ$688</f>
        <v>0</v>
      </c>
      <c r="BK119" s="722">
        <f xml:space="preserve"> Debt!BK$688</f>
        <v>0</v>
      </c>
      <c r="BL119" s="722">
        <f xml:space="preserve"> Debt!BL$688</f>
        <v>0</v>
      </c>
      <c r="BM119" s="722">
        <f xml:space="preserve"> Debt!BM$688</f>
        <v>0</v>
      </c>
      <c r="BN119" s="722">
        <f xml:space="preserve"> Debt!BN$688</f>
        <v>0</v>
      </c>
      <c r="BO119" s="722">
        <f xml:space="preserve"> Debt!BO$688</f>
        <v>0</v>
      </c>
      <c r="BP119" s="722">
        <f xml:space="preserve"> Debt!BP$688</f>
        <v>0</v>
      </c>
      <c r="BQ119" s="722">
        <f xml:space="preserve"> Debt!BQ$688</f>
        <v>0</v>
      </c>
      <c r="BR119" s="722">
        <f xml:space="preserve"> Debt!BR$688</f>
        <v>0</v>
      </c>
      <c r="BS119" s="722">
        <f xml:space="preserve"> Debt!BS$688</f>
        <v>0</v>
      </c>
      <c r="BT119" s="722">
        <f xml:space="preserve"> Debt!BT$688</f>
        <v>0</v>
      </c>
      <c r="BU119" s="722">
        <f xml:space="preserve"> Debt!BU$688</f>
        <v>0</v>
      </c>
      <c r="BV119" s="722">
        <f xml:space="preserve"> Debt!BV$688</f>
        <v>0</v>
      </c>
      <c r="BW119" s="722">
        <f xml:space="preserve"> Debt!BW$688</f>
        <v>0</v>
      </c>
      <c r="BX119" s="722">
        <f xml:space="preserve"> Debt!BX$688</f>
        <v>0</v>
      </c>
      <c r="BY119" s="722">
        <f xml:space="preserve"> Debt!BY$688</f>
        <v>0</v>
      </c>
      <c r="BZ119" s="722">
        <f xml:space="preserve"> Debt!BZ$688</f>
        <v>0</v>
      </c>
      <c r="CA119" s="722">
        <f xml:space="preserve"> Debt!CA$688</f>
        <v>0</v>
      </c>
      <c r="CB119" s="722">
        <f xml:space="preserve"> Debt!CB$688</f>
        <v>0</v>
      </c>
      <c r="CC119" s="722">
        <f xml:space="preserve"> Debt!CC$688</f>
        <v>0</v>
      </c>
      <c r="CD119" s="722">
        <f xml:space="preserve"> Debt!CD$688</f>
        <v>0</v>
      </c>
      <c r="CE119" s="722">
        <f xml:space="preserve"> Debt!CE$688</f>
        <v>0</v>
      </c>
      <c r="CF119" s="722">
        <f xml:space="preserve"> Debt!CF$688</f>
        <v>0</v>
      </c>
      <c r="CG119" s="722">
        <f xml:space="preserve"> Debt!CG$688</f>
        <v>0</v>
      </c>
      <c r="CH119" s="722">
        <f xml:space="preserve"> Debt!CH$688</f>
        <v>0</v>
      </c>
      <c r="CI119" s="722">
        <f xml:space="preserve"> Debt!CI$688</f>
        <v>0</v>
      </c>
      <c r="CJ119" s="722">
        <f xml:space="preserve"> Debt!CJ$688</f>
        <v>0</v>
      </c>
      <c r="CK119" s="722">
        <f xml:space="preserve"> Debt!CK$688</f>
        <v>0</v>
      </c>
      <c r="CL119" s="722">
        <f xml:space="preserve"> Debt!CL$688</f>
        <v>0</v>
      </c>
      <c r="CM119" s="722">
        <f xml:space="preserve"> Debt!CM$688</f>
        <v>0</v>
      </c>
      <c r="CN119" s="722">
        <f xml:space="preserve"> Debt!CN$688</f>
        <v>0</v>
      </c>
      <c r="CO119" s="722">
        <f xml:space="preserve"> Debt!CO$688</f>
        <v>0</v>
      </c>
      <c r="CP119" s="722">
        <f xml:space="preserve"> Debt!CP$688</f>
        <v>0</v>
      </c>
      <c r="CQ119" s="722">
        <f xml:space="preserve"> Debt!CQ$688</f>
        <v>0</v>
      </c>
      <c r="CR119" s="722">
        <f xml:space="preserve"> Debt!CR$688</f>
        <v>0</v>
      </c>
      <c r="CS119" s="722">
        <f xml:space="preserve"> Debt!CS$688</f>
        <v>0</v>
      </c>
      <c r="CT119" s="722">
        <f xml:space="preserve"> Debt!CT$688</f>
        <v>0</v>
      </c>
      <c r="CU119" s="722">
        <f xml:space="preserve"> Debt!CU$688</f>
        <v>0</v>
      </c>
      <c r="CV119" s="722">
        <f xml:space="preserve"> Debt!CV$688</f>
        <v>0</v>
      </c>
    </row>
    <row r="120" spans="1:192" s="192" customFormat="1" outlineLevel="2" x14ac:dyDescent="0.2">
      <c r="A120" s="205"/>
      <c r="B120" s="205"/>
      <c r="C120" s="206"/>
      <c r="D120" s="209"/>
      <c r="E120" s="235" t="str">
        <f xml:space="preserve"> Debt!E$532</f>
        <v>Shareholder loan balance - P99</v>
      </c>
      <c r="F120" s="235">
        <f xml:space="preserve"> Debt!F$532</f>
        <v>0</v>
      </c>
      <c r="G120" s="235" t="str">
        <f xml:space="preserve"> Debt!G$532</f>
        <v>$ 000s</v>
      </c>
      <c r="H120" s="235">
        <f xml:space="preserve"> Debt!H$532</f>
        <v>0</v>
      </c>
      <c r="I120" s="235">
        <f xml:space="preserve"> Debt!I$532</f>
        <v>0</v>
      </c>
      <c r="J120" s="235">
        <f ca="1" xml:space="preserve"> Debt!J$532</f>
        <v>0</v>
      </c>
      <c r="K120" s="235">
        <f ca="1" xml:space="preserve"> Debt!K$532</f>
        <v>0</v>
      </c>
      <c r="L120" s="235">
        <f ca="1" xml:space="preserve"> Debt!L$532</f>
        <v>0</v>
      </c>
      <c r="M120" s="235">
        <f ca="1" xml:space="preserve"> Debt!M$532</f>
        <v>0</v>
      </c>
      <c r="N120" s="235">
        <f ca="1" xml:space="preserve"> Debt!N$532</f>
        <v>86318.253106861201</v>
      </c>
      <c r="O120" s="235">
        <f ca="1" xml:space="preserve"> Debt!O$532</f>
        <v>90163.650672716307</v>
      </c>
      <c r="P120" s="235">
        <f ca="1" xml:space="preserve"> Debt!P$532</f>
        <v>94720.339290282049</v>
      </c>
      <c r="Q120" s="235">
        <f ca="1" xml:space="preserve"> Debt!Q$532</f>
        <v>99613.365538606842</v>
      </c>
      <c r="R120" s="235">
        <f ca="1" xml:space="preserve"> Debt!R$532</f>
        <v>104764.80917874641</v>
      </c>
      <c r="S120" s="235">
        <f ca="1" xml:space="preserve"> Debt!S$532</f>
        <v>110288.38984299544</v>
      </c>
      <c r="T120" s="235">
        <f ca="1" xml:space="preserve"> Debt!T$532</f>
        <v>116116.09244347698</v>
      </c>
      <c r="U120" s="235">
        <f ca="1" xml:space="preserve"> Debt!U$532</f>
        <v>122341.59041540218</v>
      </c>
      <c r="V120" s="235">
        <f ca="1" xml:space="preserve"> Debt!V$532</f>
        <v>128921.20164661985</v>
      </c>
      <c r="W120" s="235">
        <f ca="1" xml:space="preserve"> Debt!W$532</f>
        <v>135959.81047662592</v>
      </c>
      <c r="X120" s="235">
        <f ca="1" xml:space="preserve"> Debt!X$532</f>
        <v>143378.20034652972</v>
      </c>
      <c r="Y120" s="235">
        <f ca="1" xml:space="preserve"> Debt!Y$532</f>
        <v>151305.11391645728</v>
      </c>
      <c r="Z120" s="235">
        <f ca="1" xml:space="preserve"> Debt!Z$532</f>
        <v>159673.92203174141</v>
      </c>
      <c r="AA120" s="235">
        <f ca="1" xml:space="preserve"> Debt!AA$532</f>
        <v>168608.41174150584</v>
      </c>
      <c r="AB120" s="235">
        <f ca="1" xml:space="preserve"> Debt!AB$532</f>
        <v>178052.89625607719</v>
      </c>
      <c r="AC120" s="235">
        <f ca="1" xml:space="preserve"> Debt!AC$532</f>
        <v>188113.19731928763</v>
      </c>
      <c r="AD120" s="235">
        <f ca="1" xml:space="preserve"> Debt!AD$532</f>
        <v>198758.69299766427</v>
      </c>
      <c r="AE120" s="235">
        <f ca="1" xml:space="preserve"> Debt!AE$532</f>
        <v>210107.51556208919</v>
      </c>
      <c r="AF120" s="235">
        <f ca="1" xml:space="preserve"> Debt!AF$532</f>
        <v>222096.65040994092</v>
      </c>
      <c r="AG120" s="235">
        <f ca="1" xml:space="preserve"> Debt!AG$532</f>
        <v>234869.11464442016</v>
      </c>
      <c r="AH120" s="235">
        <f ca="1" xml:space="preserve"> Debt!AH$532</f>
        <v>248375.73565143239</v>
      </c>
      <c r="AI120" s="235">
        <f ca="1" xml:space="preserve"> Debt!AI$532</f>
        <v>262756.88818668568</v>
      </c>
      <c r="AJ120" s="235">
        <f ca="1" xml:space="preserve"> Debt!AJ$532</f>
        <v>277976.12713497377</v>
      </c>
      <c r="AK120" s="235">
        <f ca="1" xml:space="preserve"> Debt!AK$532</f>
        <v>294158.78919677972</v>
      </c>
      <c r="AL120" s="235">
        <f ca="1" xml:space="preserve"> Debt!AL$532</f>
        <v>311295.04249252513</v>
      </c>
      <c r="AM120" s="235">
        <f ca="1" xml:space="preserve"> Debt!AM$532</f>
        <v>329524.51410482882</v>
      </c>
      <c r="AN120" s="235">
        <f ca="1" xml:space="preserve"> Debt!AN$532</f>
        <v>348809.1713601693</v>
      </c>
      <c r="AO120" s="235">
        <f ca="1" xml:space="preserve"> Debt!AO$532</f>
        <v>369315.53334659862</v>
      </c>
      <c r="AP120" s="235">
        <f ca="1" xml:space="preserve"> Debt!AP$532</f>
        <v>391021.70778950391</v>
      </c>
      <c r="AQ120" s="235">
        <f ca="1" xml:space="preserve"> Debt!AQ$532</f>
        <v>414095.05345713603</v>
      </c>
      <c r="AR120" s="235">
        <f ca="1" xml:space="preserve"> Debt!AR$532</f>
        <v>438529.38904379995</v>
      </c>
      <c r="AS120" s="235">
        <f ca="1" xml:space="preserve"> Debt!AS$532</f>
        <v>464481.2917405513</v>
      </c>
      <c r="AT120" s="235">
        <f ca="1" xml:space="preserve"> Debt!AT$532</f>
        <v>491974.06389090966</v>
      </c>
      <c r="AU120" s="235">
        <f ca="1" xml:space="preserve"> Debt!AU$532</f>
        <v>516322.04550247529</v>
      </c>
      <c r="AV120" s="235">
        <f ca="1" xml:space="preserve"> Debt!AV$532</f>
        <v>542146.74228365324</v>
      </c>
      <c r="AW120" s="235">
        <f ca="1" xml:space="preserve"> Debt!AW$532</f>
        <v>564727.67107883748</v>
      </c>
      <c r="AX120" s="235">
        <f ca="1" xml:space="preserve"> Debt!AX$532</f>
        <v>588738.87842470815</v>
      </c>
      <c r="AY120" s="235">
        <f ca="1" xml:space="preserve"> Debt!AY$532</f>
        <v>614259.96366180026</v>
      </c>
      <c r="AZ120" s="235">
        <f ca="1" xml:space="preserve"> Debt!AZ$532</f>
        <v>641387.69298768661</v>
      </c>
      <c r="BA120" s="235">
        <f ca="1" xml:space="preserve"> Debt!BA$532</f>
        <v>670214.55938726221</v>
      </c>
      <c r="BB120" s="235">
        <f ca="1" xml:space="preserve"> Debt!BB$532</f>
        <v>698370.04710673587</v>
      </c>
      <c r="BC120" s="235">
        <f ca="1" xml:space="preserve"> Debt!BC$532</f>
        <v>698370.04710673587</v>
      </c>
      <c r="BD120" s="235">
        <f ca="1" xml:space="preserve"> Debt!BD$532</f>
        <v>698370.04710673587</v>
      </c>
      <c r="BE120" s="235">
        <f ca="1" xml:space="preserve"> Debt!BE$532</f>
        <v>698370.04710673587</v>
      </c>
      <c r="BF120" s="235">
        <f ca="1" xml:space="preserve"> Debt!BF$532</f>
        <v>698370.04710673587</v>
      </c>
      <c r="BG120" s="235">
        <f ca="1" xml:space="preserve"> Debt!BG$532</f>
        <v>698370.04710673587</v>
      </c>
      <c r="BH120" s="235">
        <f ca="1" xml:space="preserve"> Debt!BH$532</f>
        <v>698370.04710673587</v>
      </c>
      <c r="BI120" s="235">
        <f ca="1" xml:space="preserve"> Debt!BI$532</f>
        <v>698370.04710673587</v>
      </c>
      <c r="BJ120" s="235">
        <f ca="1" xml:space="preserve"> Debt!BJ$532</f>
        <v>698370.04710673587</v>
      </c>
      <c r="BK120" s="235">
        <f ca="1" xml:space="preserve"> Debt!BK$532</f>
        <v>698370.04710673587</v>
      </c>
      <c r="BL120" s="235">
        <f ca="1" xml:space="preserve"> Debt!BL$532</f>
        <v>698370.04710673587</v>
      </c>
      <c r="BM120" s="235">
        <f ca="1" xml:space="preserve"> Debt!BM$532</f>
        <v>698370.04710673587</v>
      </c>
      <c r="BN120" s="235">
        <f ca="1" xml:space="preserve"> Debt!BN$532</f>
        <v>698370.04710673587</v>
      </c>
      <c r="BO120" s="235">
        <f ca="1" xml:space="preserve"> Debt!BO$532</f>
        <v>698370.04710673587</v>
      </c>
      <c r="BP120" s="235">
        <f ca="1" xml:space="preserve"> Debt!BP$532</f>
        <v>698370.04710673587</v>
      </c>
      <c r="BQ120" s="235">
        <f ca="1" xml:space="preserve"> Debt!BQ$532</f>
        <v>698370.04710673587</v>
      </c>
      <c r="BR120" s="235">
        <f ca="1" xml:space="preserve"> Debt!BR$532</f>
        <v>698370.04710673587</v>
      </c>
      <c r="BS120" s="235">
        <f ca="1" xml:space="preserve"> Debt!BS$532</f>
        <v>698370.04710673587</v>
      </c>
      <c r="BT120" s="235">
        <f ca="1" xml:space="preserve"> Debt!BT$532</f>
        <v>698370.04710673587</v>
      </c>
      <c r="BU120" s="235">
        <f ca="1" xml:space="preserve"> Debt!BU$532</f>
        <v>698370.04710673587</v>
      </c>
      <c r="BV120" s="235">
        <f ca="1" xml:space="preserve"> Debt!BV$532</f>
        <v>698370.04710673587</v>
      </c>
      <c r="BW120" s="235">
        <f ca="1" xml:space="preserve"> Debt!BW$532</f>
        <v>698370.04710673587</v>
      </c>
      <c r="BX120" s="235">
        <f ca="1" xml:space="preserve"> Debt!BX$532</f>
        <v>698370.04710673587</v>
      </c>
      <c r="BY120" s="235">
        <f ca="1" xml:space="preserve"> Debt!BY$532</f>
        <v>698370.04710673587</v>
      </c>
      <c r="BZ120" s="235">
        <f ca="1" xml:space="preserve"> Debt!BZ$532</f>
        <v>698370.04710673587</v>
      </c>
      <c r="CA120" s="235">
        <f ca="1" xml:space="preserve"> Debt!CA$532</f>
        <v>698370.04710673587</v>
      </c>
      <c r="CB120" s="235">
        <f ca="1" xml:space="preserve"> Debt!CB$532</f>
        <v>698370.04710673587</v>
      </c>
      <c r="CC120" s="235">
        <f ca="1" xml:space="preserve"> Debt!CC$532</f>
        <v>698370.04710673587</v>
      </c>
      <c r="CD120" s="235">
        <f ca="1" xml:space="preserve"> Debt!CD$532</f>
        <v>698370.04710673587</v>
      </c>
      <c r="CE120" s="235">
        <f ca="1" xml:space="preserve"> Debt!CE$532</f>
        <v>698370.04710673587</v>
      </c>
      <c r="CF120" s="235">
        <f ca="1" xml:space="preserve"> Debt!CF$532</f>
        <v>698370.04710673587</v>
      </c>
      <c r="CG120" s="235">
        <f ca="1" xml:space="preserve"> Debt!CG$532</f>
        <v>698370.04710673587</v>
      </c>
      <c r="CH120" s="235">
        <f ca="1" xml:space="preserve"> Debt!CH$532</f>
        <v>698370.04710673587</v>
      </c>
      <c r="CI120" s="235">
        <f ca="1" xml:space="preserve"> Debt!CI$532</f>
        <v>698370.04710673587</v>
      </c>
      <c r="CJ120" s="235">
        <f ca="1" xml:space="preserve"> Debt!CJ$532</f>
        <v>698370.04710673587</v>
      </c>
      <c r="CK120" s="235">
        <f ca="1" xml:space="preserve"> Debt!CK$532</f>
        <v>698370.04710673587</v>
      </c>
      <c r="CL120" s="235">
        <f ca="1" xml:space="preserve"> Debt!CL$532</f>
        <v>698370.04710673587</v>
      </c>
      <c r="CM120" s="235">
        <f ca="1" xml:space="preserve"> Debt!CM$532</f>
        <v>698370.04710673587</v>
      </c>
      <c r="CN120" s="235">
        <f ca="1" xml:space="preserve"> Debt!CN$532</f>
        <v>698370.04710673587</v>
      </c>
      <c r="CO120" s="235">
        <f ca="1" xml:space="preserve"> Debt!CO$532</f>
        <v>698370.04710673587</v>
      </c>
      <c r="CP120" s="235">
        <f ca="1" xml:space="preserve"> Debt!CP$532</f>
        <v>698370.04710673587</v>
      </c>
      <c r="CQ120" s="235">
        <f ca="1" xml:space="preserve"> Debt!CQ$532</f>
        <v>698370.04710673587</v>
      </c>
      <c r="CR120" s="235">
        <f ca="1" xml:space="preserve"> Debt!CR$532</f>
        <v>698370.04710673587</v>
      </c>
      <c r="CS120" s="235">
        <f ca="1" xml:space="preserve"> Debt!CS$532</f>
        <v>698370.04710673587</v>
      </c>
      <c r="CT120" s="235">
        <f ca="1" xml:space="preserve"> Debt!CT$532</f>
        <v>698370.04710673587</v>
      </c>
      <c r="CU120" s="235">
        <f ca="1" xml:space="preserve"> Debt!CU$532</f>
        <v>698370.04710673587</v>
      </c>
      <c r="CV120" s="235">
        <f ca="1" xml:space="preserve"> Debt!CV$532</f>
        <v>698370.04710673587</v>
      </c>
    </row>
    <row r="121" spans="1:192" s="192" customFormat="1" outlineLevel="2" x14ac:dyDescent="0.2">
      <c r="A121" s="205"/>
      <c r="B121" s="205"/>
      <c r="C121" s="206"/>
      <c r="D121" s="209"/>
      <c r="E121" s="235" t="str">
        <f ca="1" xml:space="preserve"> Tax!E$162</f>
        <v>Deferred tax liability balance - P99 BEG</v>
      </c>
      <c r="F121" s="235">
        <f ca="1" xml:space="preserve"> Tax!F$162</f>
        <v>0</v>
      </c>
      <c r="G121" s="235" t="str">
        <f ca="1" xml:space="preserve"> Tax!G$162</f>
        <v>$ 000s</v>
      </c>
      <c r="H121" s="235">
        <f ca="1" xml:space="preserve"> Tax!H$162</f>
        <v>0</v>
      </c>
      <c r="I121" s="235">
        <f ca="1" xml:space="preserve"> Tax!I$162</f>
        <v>0</v>
      </c>
      <c r="J121" s="235">
        <f ca="1" xml:space="preserve"> Tax!J$162</f>
        <v>0</v>
      </c>
      <c r="K121" s="235">
        <f ca="1" xml:space="preserve"> Tax!K$162</f>
        <v>0</v>
      </c>
      <c r="L121" s="235">
        <f ca="1" xml:space="preserve"> Tax!L$162</f>
        <v>0</v>
      </c>
      <c r="M121" s="235">
        <f ca="1" xml:space="preserve"> Tax!M$162</f>
        <v>0</v>
      </c>
      <c r="N121" s="235">
        <f ca="1" xml:space="preserve"> Tax!N$162</f>
        <v>0</v>
      </c>
      <c r="O121" s="235">
        <f ca="1" xml:space="preserve"> Tax!O$162</f>
        <v>4774.4453219935003</v>
      </c>
      <c r="P121" s="235">
        <f ca="1" xml:space="preserve"> Tax!P$162</f>
        <v>8909.4349285029202</v>
      </c>
      <c r="Q121" s="235">
        <f ca="1" xml:space="preserve"> Tax!Q$162</f>
        <v>12468.914391076669</v>
      </c>
      <c r="R121" s="235">
        <f ca="1" xml:space="preserve"> Tax!R$162</f>
        <v>15510.434724108314</v>
      </c>
      <c r="S121" s="235">
        <f ca="1" xml:space="preserve"> Tax!S$162</f>
        <v>18085.791840552065</v>
      </c>
      <c r="T121" s="235">
        <f ca="1" xml:space="preserve"> Tax!T$162</f>
        <v>20241.602062066711</v>
      </c>
      <c r="U121" s="235">
        <f ca="1" xml:space="preserve"> Tax!U$162</f>
        <v>22019.820078145163</v>
      </c>
      <c r="V121" s="235">
        <f ca="1" xml:space="preserve"> Tax!V$162</f>
        <v>23458.205109331044</v>
      </c>
      <c r="W121" s="235">
        <f ca="1" xml:space="preserve"> Tax!W$162</f>
        <v>24590.740454113606</v>
      </c>
      <c r="X121" s="235">
        <f ca="1" xml:space="preserve"> Tax!X$162</f>
        <v>25448.011081133183</v>
      </c>
      <c r="Y121" s="235">
        <f ca="1" xml:space="preserve"> Tax!Y$162</f>
        <v>26057.543462166072</v>
      </c>
      <c r="Z121" s="235">
        <f ca="1" xml:space="preserve"> Tax!Z$162</f>
        <v>26444.111421810943</v>
      </c>
      <c r="AA121" s="235">
        <f ca="1" xml:space="preserve"> Tax!AA$162</f>
        <v>26630.011402206597</v>
      </c>
      <c r="AB121" s="235">
        <f ca="1" xml:space="preserve"> Tax!AB$162</f>
        <v>26635.310201277956</v>
      </c>
      <c r="AC121" s="235">
        <f ca="1" xml:space="preserve"> Tax!AC$162</f>
        <v>26478.067937157452</v>
      </c>
      <c r="AD121" s="235">
        <f ca="1" xml:space="preserve"> Tax!AD$162</f>
        <v>26174.538716164268</v>
      </c>
      <c r="AE121" s="235">
        <f ca="1" xml:space="preserve"> Tax!AE$162</f>
        <v>25739.351233985675</v>
      </c>
      <c r="AF121" s="235">
        <f ca="1" xml:space="preserve"> Tax!AF$162</f>
        <v>25185.671316740212</v>
      </c>
      <c r="AG121" s="235">
        <f ca="1" xml:space="preserve"> Tax!AG$162</f>
        <v>24525.348207934567</v>
      </c>
      <c r="AH121" s="235">
        <f ca="1" xml:space="preserve"> Tax!AH$162</f>
        <v>23769.046226724757</v>
      </c>
      <c r="AI121" s="235">
        <f ca="1" xml:space="preserve"> Tax!AI$162</f>
        <v>22926.363260351198</v>
      </c>
      <c r="AJ121" s="235">
        <f ca="1" xml:space="preserve"> Tax!AJ$162</f>
        <v>22005.937407330264</v>
      </c>
      <c r="AK121" s="235">
        <f ca="1" xml:space="preserve"> Tax!AK$162</f>
        <v>21015.542956326695</v>
      </c>
      <c r="AL121" s="235">
        <f ca="1" xml:space="preserve"> Tax!AL$162</f>
        <v>19962.176767138753</v>
      </c>
      <c r="AM121" s="235">
        <f ca="1" xml:space="preserve"> Tax!AM$162</f>
        <v>18852.136013584877</v>
      </c>
      <c r="AN121" s="235">
        <f ca="1" xml:space="preserve"> Tax!AN$162</f>
        <v>17691.08815210166</v>
      </c>
      <c r="AO121" s="235">
        <f ca="1" xml:space="preserve"> Tax!AO$162</f>
        <v>16484.133893482034</v>
      </c>
      <c r="AP121" s="235">
        <f ca="1" xml:space="preserve"> Tax!AP$162</f>
        <v>15235.863877439642</v>
      </c>
      <c r="AQ121" s="235">
        <f ca="1" xml:space="preserve"> Tax!AQ$162</f>
        <v>13950.40967971676</v>
      </c>
      <c r="AR121" s="235">
        <f ca="1" xml:space="preserve"> Tax!AR$162</f>
        <v>12631.489718481438</v>
      </c>
      <c r="AS121" s="235">
        <f ca="1" xml:space="preserve"> Tax!AS$162</f>
        <v>11282.450570084919</v>
      </c>
      <c r="AT121" s="235">
        <f ca="1" xml:space="preserve"> Tax!AT$162</f>
        <v>9906.3041532433217</v>
      </c>
      <c r="AU121" s="235">
        <f ca="1" xml:space="preserve"> Tax!AU$162</f>
        <v>8505.7611948011545</v>
      </c>
      <c r="AV121" s="235">
        <f ca="1" xml:space="preserve"> Tax!AV$162</f>
        <v>7083.2613489184751</v>
      </c>
      <c r="AW121" s="235">
        <f ca="1" xml:space="preserve"> Tax!AW$162</f>
        <v>5784.150598586627</v>
      </c>
      <c r="AX121" s="235">
        <f ca="1" xml:space="preserve"> Tax!AX$162</f>
        <v>4467.2547694279638</v>
      </c>
      <c r="AY121" s="235">
        <f ca="1" xml:space="preserve"> Tax!AY$162</f>
        <v>3134.3523693251673</v>
      </c>
      <c r="AZ121" s="235">
        <f ca="1" xml:space="preserve"> Tax!AZ$162</f>
        <v>1787.0440553726503</v>
      </c>
      <c r="BA121" s="235">
        <f ca="1" xml:space="preserve"> Tax!BA$162</f>
        <v>426.77041895538514</v>
      </c>
      <c r="BB121" s="235">
        <f ca="1" xml:space="preserve"> Tax!BB$162</f>
        <v>-5.6843418860808015E-12</v>
      </c>
      <c r="BC121" s="235">
        <f ca="1" xml:space="preserve"> Tax!BC$162</f>
        <v>-5.6843418860808015E-12</v>
      </c>
      <c r="BD121" s="235">
        <f ca="1" xml:space="preserve"> Tax!BD$162</f>
        <v>-5.6843418860808015E-12</v>
      </c>
      <c r="BE121" s="235">
        <f ca="1" xml:space="preserve"> Tax!BE$162</f>
        <v>-5.6843418860808015E-12</v>
      </c>
      <c r="BF121" s="235">
        <f ca="1" xml:space="preserve"> Tax!BF$162</f>
        <v>-5.6843418860808015E-12</v>
      </c>
      <c r="BG121" s="235">
        <f ca="1" xml:space="preserve"> Tax!BG$162</f>
        <v>-5.6843418860808015E-12</v>
      </c>
      <c r="BH121" s="235">
        <f ca="1" xml:space="preserve"> Tax!BH$162</f>
        <v>-5.6843418860808015E-12</v>
      </c>
      <c r="BI121" s="235">
        <f ca="1" xml:space="preserve"> Tax!BI$162</f>
        <v>-5.6843418860808015E-12</v>
      </c>
      <c r="BJ121" s="235">
        <f ca="1" xml:space="preserve"> Tax!BJ$162</f>
        <v>-5.6843418860808015E-12</v>
      </c>
      <c r="BK121" s="235">
        <f ca="1" xml:space="preserve"> Tax!BK$162</f>
        <v>-5.6843418860808015E-12</v>
      </c>
      <c r="BL121" s="235">
        <f ca="1" xml:space="preserve"> Tax!BL$162</f>
        <v>-5.6843418860808015E-12</v>
      </c>
      <c r="BM121" s="235">
        <f ca="1" xml:space="preserve"> Tax!BM$162</f>
        <v>-5.6843418860808015E-12</v>
      </c>
      <c r="BN121" s="235">
        <f ca="1" xml:space="preserve"> Tax!BN$162</f>
        <v>-5.6843418860808015E-12</v>
      </c>
      <c r="BO121" s="235">
        <f ca="1" xml:space="preserve"> Tax!BO$162</f>
        <v>-5.6843418860808015E-12</v>
      </c>
      <c r="BP121" s="235">
        <f ca="1" xml:space="preserve"> Tax!BP$162</f>
        <v>-5.6843418860808015E-12</v>
      </c>
      <c r="BQ121" s="235">
        <f ca="1" xml:space="preserve"> Tax!BQ$162</f>
        <v>-5.6843418860808015E-12</v>
      </c>
      <c r="BR121" s="235">
        <f ca="1" xml:space="preserve"> Tax!BR$162</f>
        <v>-5.6843418860808015E-12</v>
      </c>
      <c r="BS121" s="235">
        <f ca="1" xml:space="preserve"> Tax!BS$162</f>
        <v>-5.6843418860808015E-12</v>
      </c>
      <c r="BT121" s="235">
        <f ca="1" xml:space="preserve"> Tax!BT$162</f>
        <v>-5.6843418860808015E-12</v>
      </c>
      <c r="BU121" s="235">
        <f ca="1" xml:space="preserve"> Tax!BU$162</f>
        <v>-5.6843418860808015E-12</v>
      </c>
      <c r="BV121" s="235">
        <f ca="1" xml:space="preserve"> Tax!BV$162</f>
        <v>-5.6843418860808015E-12</v>
      </c>
      <c r="BW121" s="235">
        <f ca="1" xml:space="preserve"> Tax!BW$162</f>
        <v>-5.6843418860808015E-12</v>
      </c>
      <c r="BX121" s="235">
        <f ca="1" xml:space="preserve"> Tax!BX$162</f>
        <v>-5.6843418860808015E-12</v>
      </c>
      <c r="BY121" s="235">
        <f ca="1" xml:space="preserve"> Tax!BY$162</f>
        <v>-5.6843418860808015E-12</v>
      </c>
      <c r="BZ121" s="235">
        <f ca="1" xml:space="preserve"> Tax!BZ$162</f>
        <v>-5.6843418860808015E-12</v>
      </c>
      <c r="CA121" s="235">
        <f ca="1" xml:space="preserve"> Tax!CA$162</f>
        <v>-5.6843418860808015E-12</v>
      </c>
      <c r="CB121" s="235">
        <f ca="1" xml:space="preserve"> Tax!CB$162</f>
        <v>-5.6843418860808015E-12</v>
      </c>
      <c r="CC121" s="235">
        <f ca="1" xml:space="preserve"> Tax!CC$162</f>
        <v>-5.6843418860808015E-12</v>
      </c>
      <c r="CD121" s="235">
        <f ca="1" xml:space="preserve"> Tax!CD$162</f>
        <v>-5.6843418860808015E-12</v>
      </c>
      <c r="CE121" s="235">
        <f ca="1" xml:space="preserve"> Tax!CE$162</f>
        <v>-5.6843418860808015E-12</v>
      </c>
      <c r="CF121" s="235">
        <f ca="1" xml:space="preserve"> Tax!CF$162</f>
        <v>-5.6843418860808015E-12</v>
      </c>
      <c r="CG121" s="235">
        <f ca="1" xml:space="preserve"> Tax!CG$162</f>
        <v>-5.6843418860808015E-12</v>
      </c>
      <c r="CH121" s="235">
        <f ca="1" xml:space="preserve"> Tax!CH$162</f>
        <v>-5.6843418860808015E-12</v>
      </c>
      <c r="CI121" s="235">
        <f ca="1" xml:space="preserve"> Tax!CI$162</f>
        <v>-5.6843418860808015E-12</v>
      </c>
      <c r="CJ121" s="235">
        <f ca="1" xml:space="preserve"> Tax!CJ$162</f>
        <v>-5.6843418860808015E-12</v>
      </c>
      <c r="CK121" s="235">
        <f ca="1" xml:space="preserve"> Tax!CK$162</f>
        <v>-5.6843418860808015E-12</v>
      </c>
      <c r="CL121" s="235">
        <f ca="1" xml:space="preserve"> Tax!CL$162</f>
        <v>-5.6843418860808015E-12</v>
      </c>
      <c r="CM121" s="235">
        <f ca="1" xml:space="preserve"> Tax!CM$162</f>
        <v>-5.6843418860808015E-12</v>
      </c>
      <c r="CN121" s="235">
        <f ca="1" xml:space="preserve"> Tax!CN$162</f>
        <v>-5.6843418860808015E-12</v>
      </c>
      <c r="CO121" s="235">
        <f ca="1" xml:space="preserve"> Tax!CO$162</f>
        <v>-5.6843418860808015E-12</v>
      </c>
      <c r="CP121" s="235">
        <f ca="1" xml:space="preserve"> Tax!CP$162</f>
        <v>-5.6843418860808015E-12</v>
      </c>
      <c r="CQ121" s="235">
        <f ca="1" xml:space="preserve"> Tax!CQ$162</f>
        <v>-5.6843418860808015E-12</v>
      </c>
      <c r="CR121" s="235">
        <f ca="1" xml:space="preserve"> Tax!CR$162</f>
        <v>-5.6843418860808015E-12</v>
      </c>
      <c r="CS121" s="235">
        <f ca="1" xml:space="preserve"> Tax!CS$162</f>
        <v>-5.6843418860808015E-12</v>
      </c>
      <c r="CT121" s="235">
        <f ca="1" xml:space="preserve"> Tax!CT$162</f>
        <v>-5.6843418860808015E-12</v>
      </c>
      <c r="CU121" s="235">
        <f ca="1" xml:space="preserve"> Tax!CU$162</f>
        <v>-5.6843418860808015E-12</v>
      </c>
      <c r="CV121" s="235">
        <f ca="1" xml:space="preserve"> Tax!CV$162</f>
        <v>-5.6843418860808015E-12</v>
      </c>
      <c r="CW121" s="235">
        <f ca="1" xml:space="preserve"> Tax!CW$162</f>
        <v>-5.6843418860808015E-12</v>
      </c>
      <c r="CX121" s="235">
        <f ca="1" xml:space="preserve"> Tax!CX$162</f>
        <v>-5.6843418860808015E-12</v>
      </c>
      <c r="CY121" s="235">
        <f ca="1" xml:space="preserve"> Tax!CY$162</f>
        <v>-5.6843418860808015E-12</v>
      </c>
      <c r="CZ121" s="235">
        <f ca="1" xml:space="preserve"> Tax!CZ$162</f>
        <v>-5.6843418860808015E-12</v>
      </c>
      <c r="DA121" s="235">
        <f ca="1" xml:space="preserve"> Tax!DA$162</f>
        <v>-5.6843418860808015E-12</v>
      </c>
      <c r="DB121" s="235">
        <f ca="1" xml:space="preserve"> Tax!DB$162</f>
        <v>-5.6843418860808015E-12</v>
      </c>
      <c r="DC121" s="235">
        <f ca="1" xml:space="preserve"> Tax!DC$162</f>
        <v>-5.6843418860808015E-12</v>
      </c>
      <c r="DD121" s="235">
        <f ca="1" xml:space="preserve"> Tax!DD$162</f>
        <v>-5.6843418860808015E-12</v>
      </c>
      <c r="DE121" s="235">
        <f ca="1" xml:space="preserve"> Tax!DE$162</f>
        <v>-5.6843418860808015E-12</v>
      </c>
      <c r="DF121" s="235">
        <f ca="1" xml:space="preserve"> Tax!DF$162</f>
        <v>-5.6843418860808015E-12</v>
      </c>
      <c r="DG121" s="235">
        <f ca="1" xml:space="preserve"> Tax!DG$162</f>
        <v>-5.6843418860808015E-12</v>
      </c>
      <c r="DH121" s="235">
        <f ca="1" xml:space="preserve"> Tax!DH$162</f>
        <v>-5.6843418860808015E-12</v>
      </c>
      <c r="DI121" s="235">
        <f ca="1" xml:space="preserve"> Tax!DI$162</f>
        <v>-5.6843418860808015E-12</v>
      </c>
      <c r="DJ121" s="235">
        <f ca="1" xml:space="preserve"> Tax!DJ$162</f>
        <v>-5.6843418860808015E-12</v>
      </c>
      <c r="DK121" s="235">
        <f ca="1" xml:space="preserve"> Tax!DK$162</f>
        <v>-5.6843418860808015E-12</v>
      </c>
      <c r="DL121" s="235">
        <f ca="1" xml:space="preserve"> Tax!DL$162</f>
        <v>-5.6843418860808015E-12</v>
      </c>
      <c r="DM121" s="235">
        <f ca="1" xml:space="preserve"> Tax!DM$162</f>
        <v>-5.6843418860808015E-12</v>
      </c>
      <c r="DN121" s="235">
        <f ca="1" xml:space="preserve"> Tax!DN$162</f>
        <v>-5.6843418860808015E-12</v>
      </c>
      <c r="DO121" s="235">
        <f ca="1" xml:space="preserve"> Tax!DO$162</f>
        <v>-5.6843418860808015E-12</v>
      </c>
      <c r="DP121" s="235">
        <f ca="1" xml:space="preserve"> Tax!DP$162</f>
        <v>-5.6843418860808015E-12</v>
      </c>
      <c r="DQ121" s="235">
        <f ca="1" xml:space="preserve"> Tax!DQ$162</f>
        <v>-5.6843418860808015E-12</v>
      </c>
      <c r="DR121" s="235">
        <f ca="1" xml:space="preserve"> Tax!DR$162</f>
        <v>-5.6843418860808015E-12</v>
      </c>
      <c r="DS121" s="235">
        <f ca="1" xml:space="preserve"> Tax!DS$162</f>
        <v>-5.6843418860808015E-12</v>
      </c>
      <c r="DT121" s="235">
        <f ca="1" xml:space="preserve"> Tax!DT$162</f>
        <v>-5.6843418860808015E-12</v>
      </c>
      <c r="DU121" s="235">
        <f ca="1" xml:space="preserve"> Tax!DU$162</f>
        <v>-5.6843418860808015E-12</v>
      </c>
      <c r="DV121" s="235">
        <f ca="1" xml:space="preserve"> Tax!DV$162</f>
        <v>-5.6843418860808015E-12</v>
      </c>
      <c r="DW121" s="235">
        <f ca="1" xml:space="preserve"> Tax!DW$162</f>
        <v>-5.6843418860808015E-12</v>
      </c>
      <c r="DX121" s="235">
        <f ca="1" xml:space="preserve"> Tax!DX$162</f>
        <v>-5.6843418860808015E-12</v>
      </c>
      <c r="DY121" s="235">
        <f ca="1" xml:space="preserve"> Tax!DY$162</f>
        <v>-5.6843418860808015E-12</v>
      </c>
      <c r="DZ121" s="235">
        <f ca="1" xml:space="preserve"> Tax!DZ$162</f>
        <v>-5.6843418860808015E-12</v>
      </c>
      <c r="EA121" s="235">
        <f ca="1" xml:space="preserve"> Tax!EA$162</f>
        <v>-5.6843418860808015E-12</v>
      </c>
      <c r="EB121" s="235">
        <f ca="1" xml:space="preserve"> Tax!EB$162</f>
        <v>-5.6843418860808015E-12</v>
      </c>
      <c r="EC121" s="235">
        <f ca="1" xml:space="preserve"> Tax!EC$162</f>
        <v>-5.6843418860808015E-12</v>
      </c>
      <c r="ED121" s="235">
        <f ca="1" xml:space="preserve"> Tax!ED$162</f>
        <v>-5.6843418860808015E-12</v>
      </c>
      <c r="EE121" s="235">
        <f ca="1" xml:space="preserve"> Tax!EE$162</f>
        <v>-5.6843418860808015E-12</v>
      </c>
      <c r="EF121" s="235">
        <f ca="1" xml:space="preserve"> Tax!EF$162</f>
        <v>-5.6843418860808015E-12</v>
      </c>
      <c r="EG121" s="235">
        <f ca="1" xml:space="preserve"> Tax!EG$162</f>
        <v>-5.6843418860808015E-12</v>
      </c>
      <c r="EH121" s="235">
        <f ca="1" xml:space="preserve"> Tax!EH$162</f>
        <v>-5.6843418860808015E-12</v>
      </c>
      <c r="EI121" s="235">
        <f ca="1" xml:space="preserve"> Tax!EI$162</f>
        <v>-5.6843418860808015E-12</v>
      </c>
      <c r="EJ121" s="235">
        <f ca="1" xml:space="preserve"> Tax!EJ$162</f>
        <v>-5.6843418860808015E-12</v>
      </c>
      <c r="EK121" s="235">
        <f ca="1" xml:space="preserve"> Tax!EK$162</f>
        <v>-5.6843418860808015E-12</v>
      </c>
      <c r="EL121" s="235">
        <f ca="1" xml:space="preserve"> Tax!EL$162</f>
        <v>-5.6843418860808015E-12</v>
      </c>
      <c r="EM121" s="235">
        <f ca="1" xml:space="preserve"> Tax!EM$162</f>
        <v>-5.6843418860808015E-12</v>
      </c>
      <c r="EN121" s="235">
        <f ca="1" xml:space="preserve"> Tax!EN$162</f>
        <v>-5.6843418860808015E-12</v>
      </c>
      <c r="EO121" s="235">
        <f ca="1" xml:space="preserve"> Tax!EO$162</f>
        <v>-5.6843418860808015E-12</v>
      </c>
      <c r="EP121" s="235">
        <f ca="1" xml:space="preserve"> Tax!EP$162</f>
        <v>-5.6843418860808015E-12</v>
      </c>
      <c r="EQ121" s="235">
        <f ca="1" xml:space="preserve"> Tax!EQ$162</f>
        <v>-5.6843418860808015E-12</v>
      </c>
      <c r="ER121" s="235">
        <f ca="1" xml:space="preserve"> Tax!ER$162</f>
        <v>-5.6843418860808015E-12</v>
      </c>
      <c r="ES121" s="235">
        <f ca="1" xml:space="preserve"> Tax!ES$162</f>
        <v>-5.6843418860808015E-12</v>
      </c>
      <c r="ET121" s="235">
        <f ca="1" xml:space="preserve"> Tax!ET$162</f>
        <v>-5.6843418860808015E-12</v>
      </c>
      <c r="EU121" s="235">
        <f ca="1" xml:space="preserve"> Tax!EU$162</f>
        <v>-5.6843418860808015E-12</v>
      </c>
      <c r="EV121" s="235">
        <f ca="1" xml:space="preserve"> Tax!EV$162</f>
        <v>-5.6843418860808015E-12</v>
      </c>
      <c r="EW121" s="235">
        <f ca="1" xml:space="preserve"> Tax!EW$162</f>
        <v>-5.6843418860808015E-12</v>
      </c>
      <c r="EX121" s="235">
        <f ca="1" xml:space="preserve"> Tax!EX$162</f>
        <v>-5.6843418860808015E-12</v>
      </c>
      <c r="EY121" s="235">
        <f ca="1" xml:space="preserve"> Tax!EY$162</f>
        <v>-5.6843418860808015E-12</v>
      </c>
      <c r="EZ121" s="235">
        <f ca="1" xml:space="preserve"> Tax!EZ$162</f>
        <v>-5.6843418860808015E-12</v>
      </c>
      <c r="FA121" s="235">
        <f ca="1" xml:space="preserve"> Tax!FA$162</f>
        <v>-5.6843418860808015E-12</v>
      </c>
      <c r="FB121" s="235">
        <f ca="1" xml:space="preserve"> Tax!FB$162</f>
        <v>-5.6843418860808015E-12</v>
      </c>
      <c r="FC121" s="235">
        <f ca="1" xml:space="preserve"> Tax!FC$162</f>
        <v>-5.6843418860808015E-12</v>
      </c>
      <c r="FD121" s="235">
        <f ca="1" xml:space="preserve"> Tax!FD$162</f>
        <v>-5.6843418860808015E-12</v>
      </c>
      <c r="FE121" s="235">
        <f ca="1" xml:space="preserve"> Tax!FE$162</f>
        <v>-5.6843418860808015E-12</v>
      </c>
      <c r="FF121" s="235">
        <f ca="1" xml:space="preserve"> Tax!FF$162</f>
        <v>-5.6843418860808015E-12</v>
      </c>
      <c r="FG121" s="235">
        <f ca="1" xml:space="preserve"> Tax!FG$162</f>
        <v>-5.6843418860808015E-12</v>
      </c>
      <c r="FH121" s="235">
        <f ca="1" xml:space="preserve"> Tax!FH$162</f>
        <v>-5.6843418860808015E-12</v>
      </c>
      <c r="FI121" s="235">
        <f ca="1" xml:space="preserve"> Tax!FI$162</f>
        <v>-5.6843418860808015E-12</v>
      </c>
      <c r="FJ121" s="235">
        <f ca="1" xml:space="preserve"> Tax!FJ$162</f>
        <v>-5.6843418860808015E-12</v>
      </c>
      <c r="FK121" s="235">
        <f ca="1" xml:space="preserve"> Tax!FK$162</f>
        <v>-5.6843418860808015E-12</v>
      </c>
      <c r="FL121" s="235">
        <f ca="1" xml:space="preserve"> Tax!FL$162</f>
        <v>-5.6843418860808015E-12</v>
      </c>
      <c r="FM121" s="235">
        <f ca="1" xml:space="preserve"> Tax!FM$162</f>
        <v>-5.6843418860808015E-12</v>
      </c>
      <c r="FN121" s="235">
        <f ca="1" xml:space="preserve"> Tax!FN$162</f>
        <v>-5.6843418860808015E-12</v>
      </c>
      <c r="FO121" s="235">
        <f ca="1" xml:space="preserve"> Tax!FO$162</f>
        <v>-5.6843418860808015E-12</v>
      </c>
      <c r="FP121" s="235">
        <f ca="1" xml:space="preserve"> Tax!FP$162</f>
        <v>-5.6843418860808015E-12</v>
      </c>
      <c r="FQ121" s="235">
        <f ca="1" xml:space="preserve"> Tax!FQ$162</f>
        <v>-5.6843418860808015E-12</v>
      </c>
      <c r="FR121" s="235">
        <f ca="1" xml:space="preserve"> Tax!FR$162</f>
        <v>-5.6843418860808015E-12</v>
      </c>
      <c r="FS121" s="235">
        <f ca="1" xml:space="preserve"> Tax!FS$162</f>
        <v>-5.6843418860808015E-12</v>
      </c>
      <c r="FT121" s="235">
        <f ca="1" xml:space="preserve"> Tax!FT$162</f>
        <v>-5.6843418860808015E-12</v>
      </c>
      <c r="FU121" s="235">
        <f ca="1" xml:space="preserve"> Tax!FU$162</f>
        <v>-5.6843418860808015E-12</v>
      </c>
      <c r="FV121" s="235">
        <f ca="1" xml:space="preserve"> Tax!FV$162</f>
        <v>-5.6843418860808015E-12</v>
      </c>
      <c r="FW121" s="235">
        <f ca="1" xml:space="preserve"> Tax!FW$162</f>
        <v>-5.6843418860808015E-12</v>
      </c>
      <c r="FX121" s="235">
        <f ca="1" xml:space="preserve"> Tax!FX$162</f>
        <v>-5.6843418860808015E-12</v>
      </c>
      <c r="FY121" s="235">
        <f ca="1" xml:space="preserve"> Tax!FY$162</f>
        <v>-5.6843418860808015E-12</v>
      </c>
      <c r="FZ121" s="235">
        <f ca="1" xml:space="preserve"> Tax!FZ$162</f>
        <v>-5.6843418860808015E-12</v>
      </c>
      <c r="GA121" s="235">
        <f ca="1" xml:space="preserve"> Tax!GA$162</f>
        <v>-5.6843418860808015E-12</v>
      </c>
      <c r="GB121" s="235">
        <f ca="1" xml:space="preserve"> Tax!GB$162</f>
        <v>-5.6843418860808015E-12</v>
      </c>
      <c r="GC121" s="235">
        <f ca="1" xml:space="preserve"> Tax!GC$162</f>
        <v>-5.6843418860808015E-12</v>
      </c>
      <c r="GD121" s="235">
        <f ca="1" xml:space="preserve"> Tax!GD$162</f>
        <v>-5.6843418860808015E-12</v>
      </c>
      <c r="GE121" s="235">
        <f ca="1" xml:space="preserve"> Tax!GE$162</f>
        <v>-5.6843418860808015E-12</v>
      </c>
      <c r="GF121" s="235">
        <f ca="1" xml:space="preserve"> Tax!GF$162</f>
        <v>-5.6843418860808015E-12</v>
      </c>
      <c r="GG121" s="235">
        <f ca="1" xml:space="preserve"> Tax!GG$162</f>
        <v>-5.6843418860808015E-12</v>
      </c>
      <c r="GH121" s="235">
        <f ca="1" xml:space="preserve"> Tax!GH$162</f>
        <v>-5.6843418860808015E-12</v>
      </c>
      <c r="GI121" s="235">
        <f ca="1" xml:space="preserve"> Tax!GI$162</f>
        <v>-5.6843418860808015E-12</v>
      </c>
      <c r="GJ121" s="235">
        <f ca="1" xml:space="preserve"> Tax!GJ$162</f>
        <v>-5.6843418860808015E-12</v>
      </c>
    </row>
    <row r="122" spans="1:192" s="191" customFormat="1" outlineLevel="2" x14ac:dyDescent="0.2">
      <c r="A122" s="205"/>
      <c r="B122" s="205"/>
      <c r="C122" s="206"/>
      <c r="D122" s="209"/>
      <c r="E122" s="235" t="str">
        <f xml:space="preserve"> Equity!E$99</f>
        <v>Share capital balance - P99</v>
      </c>
      <c r="F122" s="235">
        <f xml:space="preserve"> Equity!F$99</f>
        <v>0</v>
      </c>
      <c r="G122" s="235" t="str">
        <f xml:space="preserve"> Equity!G$99</f>
        <v>$ 000s</v>
      </c>
      <c r="H122" s="235">
        <f xml:space="preserve"> Equity!H$99</f>
        <v>0</v>
      </c>
      <c r="I122" s="235">
        <f xml:space="preserve"> Equity!I$99</f>
        <v>0</v>
      </c>
      <c r="J122" s="235">
        <f ca="1" xml:space="preserve"> Equity!J$99</f>
        <v>100</v>
      </c>
      <c r="K122" s="235">
        <f ca="1" xml:space="preserve"> Equity!K$99</f>
        <v>100</v>
      </c>
      <c r="L122" s="235">
        <f ca="1" xml:space="preserve"> Equity!L$99</f>
        <v>100</v>
      </c>
      <c r="M122" s="235">
        <f ca="1" xml:space="preserve"> Equity!M$99</f>
        <v>100</v>
      </c>
      <c r="N122" s="235">
        <f ca="1" xml:space="preserve"> Equity!N$99</f>
        <v>100</v>
      </c>
      <c r="O122" s="235">
        <f ca="1" xml:space="preserve"> Equity!O$99</f>
        <v>100</v>
      </c>
      <c r="P122" s="235">
        <f ca="1" xml:space="preserve"> Equity!P$99</f>
        <v>100</v>
      </c>
      <c r="Q122" s="235">
        <f ca="1" xml:space="preserve"> Equity!Q$99</f>
        <v>100</v>
      </c>
      <c r="R122" s="235">
        <f ca="1" xml:space="preserve"> Equity!R$99</f>
        <v>100</v>
      </c>
      <c r="S122" s="235">
        <f ca="1" xml:space="preserve"> Equity!S$99</f>
        <v>100</v>
      </c>
      <c r="T122" s="235">
        <f ca="1" xml:space="preserve"> Equity!T$99</f>
        <v>100</v>
      </c>
      <c r="U122" s="235">
        <f ca="1" xml:space="preserve"> Equity!U$99</f>
        <v>100</v>
      </c>
      <c r="V122" s="235">
        <f ca="1" xml:space="preserve"> Equity!V$99</f>
        <v>100</v>
      </c>
      <c r="W122" s="235">
        <f ca="1" xml:space="preserve"> Equity!W$99</f>
        <v>100</v>
      </c>
      <c r="X122" s="235">
        <f ca="1" xml:space="preserve"> Equity!X$99</f>
        <v>100</v>
      </c>
      <c r="Y122" s="235">
        <f ca="1" xml:space="preserve"> Equity!Y$99</f>
        <v>100</v>
      </c>
      <c r="Z122" s="235">
        <f ca="1" xml:space="preserve"> Equity!Z$99</f>
        <v>100</v>
      </c>
      <c r="AA122" s="235">
        <f ca="1" xml:space="preserve"> Equity!AA$99</f>
        <v>100</v>
      </c>
      <c r="AB122" s="235">
        <f ca="1" xml:space="preserve"> Equity!AB$99</f>
        <v>100</v>
      </c>
      <c r="AC122" s="235">
        <f ca="1" xml:space="preserve"> Equity!AC$99</f>
        <v>100</v>
      </c>
      <c r="AD122" s="235">
        <f ca="1" xml:space="preserve"> Equity!AD$99</f>
        <v>100</v>
      </c>
      <c r="AE122" s="235">
        <f ca="1" xml:space="preserve"> Equity!AE$99</f>
        <v>100</v>
      </c>
      <c r="AF122" s="235">
        <f ca="1" xml:space="preserve"> Equity!AF$99</f>
        <v>100</v>
      </c>
      <c r="AG122" s="235">
        <f ca="1" xml:space="preserve"> Equity!AG$99</f>
        <v>100</v>
      </c>
      <c r="AH122" s="235">
        <f ca="1" xml:space="preserve"> Equity!AH$99</f>
        <v>100</v>
      </c>
      <c r="AI122" s="235">
        <f ca="1" xml:space="preserve"> Equity!AI$99</f>
        <v>100</v>
      </c>
      <c r="AJ122" s="235">
        <f ca="1" xml:space="preserve"> Equity!AJ$99</f>
        <v>100</v>
      </c>
      <c r="AK122" s="235">
        <f ca="1" xml:space="preserve"> Equity!AK$99</f>
        <v>100</v>
      </c>
      <c r="AL122" s="235">
        <f ca="1" xml:space="preserve"> Equity!AL$99</f>
        <v>100</v>
      </c>
      <c r="AM122" s="235">
        <f ca="1" xml:space="preserve"> Equity!AM$99</f>
        <v>100</v>
      </c>
      <c r="AN122" s="235">
        <f ca="1" xml:space="preserve"> Equity!AN$99</f>
        <v>100</v>
      </c>
      <c r="AO122" s="235">
        <f ca="1" xml:space="preserve"> Equity!AO$99</f>
        <v>100</v>
      </c>
      <c r="AP122" s="235">
        <f ca="1" xml:space="preserve"> Equity!AP$99</f>
        <v>100</v>
      </c>
      <c r="AQ122" s="235">
        <f ca="1" xml:space="preserve"> Equity!AQ$99</f>
        <v>100</v>
      </c>
      <c r="AR122" s="235">
        <f ca="1" xml:space="preserve"> Equity!AR$99</f>
        <v>100</v>
      </c>
      <c r="AS122" s="235">
        <f ca="1" xml:space="preserve"> Equity!AS$99</f>
        <v>100</v>
      </c>
      <c r="AT122" s="235">
        <f ca="1" xml:space="preserve"> Equity!AT$99</f>
        <v>100</v>
      </c>
      <c r="AU122" s="235">
        <f ca="1" xml:space="preserve"> Equity!AU$99</f>
        <v>100</v>
      </c>
      <c r="AV122" s="235">
        <f ca="1" xml:space="preserve"> Equity!AV$99</f>
        <v>100</v>
      </c>
      <c r="AW122" s="235">
        <f ca="1" xml:space="preserve"> Equity!AW$99</f>
        <v>100</v>
      </c>
      <c r="AX122" s="235">
        <f ca="1" xml:space="preserve"> Equity!AX$99</f>
        <v>100</v>
      </c>
      <c r="AY122" s="235">
        <f ca="1" xml:space="preserve"> Equity!AY$99</f>
        <v>100</v>
      </c>
      <c r="AZ122" s="235">
        <f ca="1" xml:space="preserve"> Equity!AZ$99</f>
        <v>100</v>
      </c>
      <c r="BA122" s="235">
        <f ca="1" xml:space="preserve"> Equity!BA$99</f>
        <v>100</v>
      </c>
      <c r="BB122" s="235">
        <f ca="1" xml:space="preserve"> Equity!BB$99</f>
        <v>100</v>
      </c>
      <c r="BC122" s="235">
        <f ca="1" xml:space="preserve"> Equity!BC$99</f>
        <v>100</v>
      </c>
      <c r="BD122" s="235">
        <f ca="1" xml:space="preserve"> Equity!BD$99</f>
        <v>100</v>
      </c>
      <c r="BE122" s="235">
        <f ca="1" xml:space="preserve"> Equity!BE$99</f>
        <v>100</v>
      </c>
      <c r="BF122" s="235">
        <f ca="1" xml:space="preserve"> Equity!BF$99</f>
        <v>100</v>
      </c>
      <c r="BG122" s="235">
        <f ca="1" xml:space="preserve"> Equity!BG$99</f>
        <v>100</v>
      </c>
      <c r="BH122" s="235">
        <f ca="1" xml:space="preserve"> Equity!BH$99</f>
        <v>100</v>
      </c>
      <c r="BI122" s="235">
        <f ca="1" xml:space="preserve"> Equity!BI$99</f>
        <v>100</v>
      </c>
      <c r="BJ122" s="235">
        <f ca="1" xml:space="preserve"> Equity!BJ$99</f>
        <v>100</v>
      </c>
      <c r="BK122" s="235">
        <f ca="1" xml:space="preserve"> Equity!BK$99</f>
        <v>100</v>
      </c>
      <c r="BL122" s="235">
        <f ca="1" xml:space="preserve"> Equity!BL$99</f>
        <v>100</v>
      </c>
      <c r="BM122" s="235">
        <f ca="1" xml:space="preserve"> Equity!BM$99</f>
        <v>100</v>
      </c>
      <c r="BN122" s="235">
        <f ca="1" xml:space="preserve"> Equity!BN$99</f>
        <v>100</v>
      </c>
      <c r="BO122" s="235">
        <f ca="1" xml:space="preserve"> Equity!BO$99</f>
        <v>100</v>
      </c>
      <c r="BP122" s="235">
        <f ca="1" xml:space="preserve"> Equity!BP$99</f>
        <v>100</v>
      </c>
      <c r="BQ122" s="235">
        <f ca="1" xml:space="preserve"> Equity!BQ$99</f>
        <v>100</v>
      </c>
      <c r="BR122" s="235">
        <f ca="1" xml:space="preserve"> Equity!BR$99</f>
        <v>100</v>
      </c>
      <c r="BS122" s="235">
        <f ca="1" xml:space="preserve"> Equity!BS$99</f>
        <v>100</v>
      </c>
      <c r="BT122" s="235">
        <f ca="1" xml:space="preserve"> Equity!BT$99</f>
        <v>100</v>
      </c>
      <c r="BU122" s="235">
        <f ca="1" xml:space="preserve"> Equity!BU$99</f>
        <v>100</v>
      </c>
      <c r="BV122" s="235">
        <f ca="1" xml:space="preserve"> Equity!BV$99</f>
        <v>100</v>
      </c>
      <c r="BW122" s="235">
        <f ca="1" xml:space="preserve"> Equity!BW$99</f>
        <v>100</v>
      </c>
      <c r="BX122" s="235">
        <f ca="1" xml:space="preserve"> Equity!BX$99</f>
        <v>100</v>
      </c>
      <c r="BY122" s="235">
        <f ca="1" xml:space="preserve"> Equity!BY$99</f>
        <v>100</v>
      </c>
      <c r="BZ122" s="235">
        <f ca="1" xml:space="preserve"> Equity!BZ$99</f>
        <v>100</v>
      </c>
      <c r="CA122" s="235">
        <f ca="1" xml:space="preserve"> Equity!CA$99</f>
        <v>100</v>
      </c>
      <c r="CB122" s="235">
        <f ca="1" xml:space="preserve"> Equity!CB$99</f>
        <v>100</v>
      </c>
      <c r="CC122" s="235">
        <f ca="1" xml:space="preserve"> Equity!CC$99</f>
        <v>100</v>
      </c>
      <c r="CD122" s="235">
        <f ca="1" xml:space="preserve"> Equity!CD$99</f>
        <v>100</v>
      </c>
      <c r="CE122" s="235">
        <f ca="1" xml:space="preserve"> Equity!CE$99</f>
        <v>100</v>
      </c>
      <c r="CF122" s="235">
        <f ca="1" xml:space="preserve"> Equity!CF$99</f>
        <v>100</v>
      </c>
      <c r="CG122" s="235">
        <f ca="1" xml:space="preserve"> Equity!CG$99</f>
        <v>100</v>
      </c>
      <c r="CH122" s="235">
        <f ca="1" xml:space="preserve"> Equity!CH$99</f>
        <v>100</v>
      </c>
      <c r="CI122" s="235">
        <f ca="1" xml:space="preserve"> Equity!CI$99</f>
        <v>100</v>
      </c>
      <c r="CJ122" s="235">
        <f ca="1" xml:space="preserve"> Equity!CJ$99</f>
        <v>100</v>
      </c>
      <c r="CK122" s="235">
        <f ca="1" xml:space="preserve"> Equity!CK$99</f>
        <v>100</v>
      </c>
      <c r="CL122" s="235">
        <f ca="1" xml:space="preserve"> Equity!CL$99</f>
        <v>100</v>
      </c>
      <c r="CM122" s="235">
        <f ca="1" xml:space="preserve"> Equity!CM$99</f>
        <v>100</v>
      </c>
      <c r="CN122" s="235">
        <f ca="1" xml:space="preserve"> Equity!CN$99</f>
        <v>100</v>
      </c>
      <c r="CO122" s="235">
        <f ca="1" xml:space="preserve"> Equity!CO$99</f>
        <v>100</v>
      </c>
      <c r="CP122" s="235">
        <f ca="1" xml:space="preserve"> Equity!CP$99</f>
        <v>100</v>
      </c>
      <c r="CQ122" s="235">
        <f ca="1" xml:space="preserve"> Equity!CQ$99</f>
        <v>100</v>
      </c>
      <c r="CR122" s="235">
        <f ca="1" xml:space="preserve"> Equity!CR$99</f>
        <v>100</v>
      </c>
      <c r="CS122" s="235">
        <f ca="1" xml:space="preserve"> Equity!CS$99</f>
        <v>100</v>
      </c>
      <c r="CT122" s="235">
        <f ca="1" xml:space="preserve"> Equity!CT$99</f>
        <v>100</v>
      </c>
      <c r="CU122" s="235">
        <f ca="1" xml:space="preserve"> Equity!CU$99</f>
        <v>100</v>
      </c>
      <c r="CV122" s="235">
        <f ca="1" xml:space="preserve"> Equity!CV$99</f>
        <v>100</v>
      </c>
    </row>
    <row r="123" spans="1:192" outlineLevel="2" x14ac:dyDescent="0.2">
      <c r="D123" s="209"/>
      <c r="E123" s="288" t="str">
        <f xml:space="preserve"> Equity!E$117</f>
        <v>Standby equity balance - P99</v>
      </c>
      <c r="F123" s="288">
        <f xml:space="preserve"> Equity!F$117</f>
        <v>0</v>
      </c>
      <c r="G123" s="288" t="str">
        <f xml:space="preserve"> Equity!G$117</f>
        <v>$ 000s</v>
      </c>
      <c r="H123" s="288">
        <f xml:space="preserve"> Equity!H$117</f>
        <v>0</v>
      </c>
      <c r="I123" s="288">
        <f xml:space="preserve"> Equity!I$117</f>
        <v>0</v>
      </c>
      <c r="J123" s="288">
        <f ca="1" xml:space="preserve"> Equity!J$117</f>
        <v>0</v>
      </c>
      <c r="K123" s="288">
        <f ca="1" xml:space="preserve"> Equity!K$117</f>
        <v>0</v>
      </c>
      <c r="L123" s="288">
        <f ca="1" xml:space="preserve"> Equity!L$117</f>
        <v>0</v>
      </c>
      <c r="M123" s="288">
        <f ca="1" xml:space="preserve"> Equity!M$117</f>
        <v>0</v>
      </c>
      <c r="N123" s="288">
        <f ca="1" xml:space="preserve"> Equity!N$117</f>
        <v>0</v>
      </c>
      <c r="O123" s="288">
        <f ca="1" xml:space="preserve"> Equity!O$117</f>
        <v>0</v>
      </c>
      <c r="P123" s="288">
        <f ca="1" xml:space="preserve"> Equity!P$117</f>
        <v>0</v>
      </c>
      <c r="Q123" s="288">
        <f ca="1" xml:space="preserve"> Equity!Q$117</f>
        <v>0</v>
      </c>
      <c r="R123" s="288">
        <f ca="1" xml:space="preserve"> Equity!R$117</f>
        <v>0</v>
      </c>
      <c r="S123" s="288">
        <f ca="1" xml:space="preserve"> Equity!S$117</f>
        <v>0</v>
      </c>
      <c r="T123" s="288">
        <f ca="1" xml:space="preserve"> Equity!T$117</f>
        <v>0</v>
      </c>
      <c r="U123" s="288">
        <f ca="1" xml:space="preserve"> Equity!U$117</f>
        <v>0</v>
      </c>
      <c r="V123" s="288">
        <f ca="1" xml:space="preserve"> Equity!V$117</f>
        <v>0</v>
      </c>
      <c r="W123" s="288">
        <f ca="1" xml:space="preserve"> Equity!W$117</f>
        <v>0</v>
      </c>
      <c r="X123" s="288">
        <f ca="1" xml:space="preserve"> Equity!X$117</f>
        <v>0</v>
      </c>
      <c r="Y123" s="288">
        <f ca="1" xml:space="preserve"> Equity!Y$117</f>
        <v>0</v>
      </c>
      <c r="Z123" s="288">
        <f ca="1" xml:space="preserve"> Equity!Z$117</f>
        <v>0</v>
      </c>
      <c r="AA123" s="288">
        <f ca="1" xml:space="preserve"> Equity!AA$117</f>
        <v>0</v>
      </c>
      <c r="AB123" s="288">
        <f ca="1" xml:space="preserve"> Equity!AB$117</f>
        <v>0</v>
      </c>
      <c r="AC123" s="288">
        <f ca="1" xml:space="preserve"> Equity!AC$117</f>
        <v>0</v>
      </c>
      <c r="AD123" s="288">
        <f ca="1" xml:space="preserve"> Equity!AD$117</f>
        <v>0</v>
      </c>
      <c r="AE123" s="288">
        <f ca="1" xml:space="preserve"> Equity!AE$117</f>
        <v>0</v>
      </c>
      <c r="AF123" s="288">
        <f ca="1" xml:space="preserve"> Equity!AF$117</f>
        <v>0</v>
      </c>
      <c r="AG123" s="288">
        <f ca="1" xml:space="preserve"> Equity!AG$117</f>
        <v>0</v>
      </c>
      <c r="AH123" s="288">
        <f ca="1" xml:space="preserve"> Equity!AH$117</f>
        <v>0</v>
      </c>
      <c r="AI123" s="288">
        <f ca="1" xml:space="preserve"> Equity!AI$117</f>
        <v>0</v>
      </c>
      <c r="AJ123" s="288">
        <f ca="1" xml:space="preserve"> Equity!AJ$117</f>
        <v>0</v>
      </c>
      <c r="AK123" s="288">
        <f ca="1" xml:space="preserve"> Equity!AK$117</f>
        <v>0</v>
      </c>
      <c r="AL123" s="288">
        <f ca="1" xml:space="preserve"> Equity!AL$117</f>
        <v>0</v>
      </c>
      <c r="AM123" s="288">
        <f ca="1" xml:space="preserve"> Equity!AM$117</f>
        <v>0</v>
      </c>
      <c r="AN123" s="288">
        <f ca="1" xml:space="preserve"> Equity!AN$117</f>
        <v>0</v>
      </c>
      <c r="AO123" s="288">
        <f ca="1" xml:space="preserve"> Equity!AO$117</f>
        <v>0</v>
      </c>
      <c r="AP123" s="288">
        <f ca="1" xml:space="preserve"> Equity!AP$117</f>
        <v>0</v>
      </c>
      <c r="AQ123" s="288">
        <f ca="1" xml:space="preserve"> Equity!AQ$117</f>
        <v>0</v>
      </c>
      <c r="AR123" s="288">
        <f ca="1" xml:space="preserve"> Equity!AR$117</f>
        <v>0</v>
      </c>
      <c r="AS123" s="288">
        <f ca="1" xml:space="preserve"> Equity!AS$117</f>
        <v>0</v>
      </c>
      <c r="AT123" s="288">
        <f ca="1" xml:space="preserve"> Equity!AT$117</f>
        <v>0</v>
      </c>
      <c r="AU123" s="288">
        <f ca="1" xml:space="preserve"> Equity!AU$117</f>
        <v>0</v>
      </c>
      <c r="AV123" s="288">
        <f ca="1" xml:space="preserve"> Equity!AV$117</f>
        <v>0</v>
      </c>
      <c r="AW123" s="288">
        <f ca="1" xml:space="preserve"> Equity!AW$117</f>
        <v>0</v>
      </c>
      <c r="AX123" s="288">
        <f ca="1" xml:space="preserve"> Equity!AX$117</f>
        <v>0</v>
      </c>
      <c r="AY123" s="288">
        <f ca="1" xml:space="preserve"> Equity!AY$117</f>
        <v>0</v>
      </c>
      <c r="AZ123" s="288">
        <f ca="1" xml:space="preserve"> Equity!AZ$117</f>
        <v>0</v>
      </c>
      <c r="BA123" s="288">
        <f ca="1" xml:space="preserve"> Equity!BA$117</f>
        <v>0</v>
      </c>
      <c r="BB123" s="288">
        <f ca="1" xml:space="preserve"> Equity!BB$117</f>
        <v>0</v>
      </c>
      <c r="BC123" s="288">
        <f ca="1" xml:space="preserve"> Equity!BC$117</f>
        <v>0</v>
      </c>
      <c r="BD123" s="288">
        <f ca="1" xml:space="preserve"> Equity!BD$117</f>
        <v>0</v>
      </c>
      <c r="BE123" s="288">
        <f ca="1" xml:space="preserve"> Equity!BE$117</f>
        <v>0</v>
      </c>
      <c r="BF123" s="288">
        <f ca="1" xml:space="preserve"> Equity!BF$117</f>
        <v>0</v>
      </c>
      <c r="BG123" s="288">
        <f ca="1" xml:space="preserve"> Equity!BG$117</f>
        <v>0</v>
      </c>
      <c r="BH123" s="288">
        <f ca="1" xml:space="preserve"> Equity!BH$117</f>
        <v>0</v>
      </c>
      <c r="BI123" s="288">
        <f ca="1" xml:space="preserve"> Equity!BI$117</f>
        <v>0</v>
      </c>
      <c r="BJ123" s="288">
        <f ca="1" xml:space="preserve"> Equity!BJ$117</f>
        <v>0</v>
      </c>
      <c r="BK123" s="288">
        <f ca="1" xml:space="preserve"> Equity!BK$117</f>
        <v>0</v>
      </c>
      <c r="BL123" s="288">
        <f ca="1" xml:space="preserve"> Equity!BL$117</f>
        <v>0</v>
      </c>
      <c r="BM123" s="288">
        <f ca="1" xml:space="preserve"> Equity!BM$117</f>
        <v>0</v>
      </c>
      <c r="BN123" s="288">
        <f ca="1" xml:space="preserve"> Equity!BN$117</f>
        <v>0</v>
      </c>
      <c r="BO123" s="288">
        <f ca="1" xml:space="preserve"> Equity!BO$117</f>
        <v>0</v>
      </c>
      <c r="BP123" s="288">
        <f ca="1" xml:space="preserve"> Equity!BP$117</f>
        <v>0</v>
      </c>
      <c r="BQ123" s="288">
        <f ca="1" xml:space="preserve"> Equity!BQ$117</f>
        <v>0</v>
      </c>
      <c r="BR123" s="288">
        <f ca="1" xml:space="preserve"> Equity!BR$117</f>
        <v>0</v>
      </c>
      <c r="BS123" s="288">
        <f ca="1" xml:space="preserve"> Equity!BS$117</f>
        <v>0</v>
      </c>
      <c r="BT123" s="288">
        <f ca="1" xml:space="preserve"> Equity!BT$117</f>
        <v>0</v>
      </c>
      <c r="BU123" s="288">
        <f ca="1" xml:space="preserve"> Equity!BU$117</f>
        <v>0</v>
      </c>
      <c r="BV123" s="288">
        <f ca="1" xml:space="preserve"> Equity!BV$117</f>
        <v>0</v>
      </c>
      <c r="BW123" s="288">
        <f ca="1" xml:space="preserve"> Equity!BW$117</f>
        <v>0</v>
      </c>
      <c r="BX123" s="288">
        <f ca="1" xml:space="preserve"> Equity!BX$117</f>
        <v>0</v>
      </c>
      <c r="BY123" s="288">
        <f ca="1" xml:space="preserve"> Equity!BY$117</f>
        <v>0</v>
      </c>
      <c r="BZ123" s="288">
        <f ca="1" xml:space="preserve"> Equity!BZ$117</f>
        <v>0</v>
      </c>
      <c r="CA123" s="288">
        <f ca="1" xml:space="preserve"> Equity!CA$117</f>
        <v>0</v>
      </c>
      <c r="CB123" s="288">
        <f ca="1" xml:space="preserve"> Equity!CB$117</f>
        <v>0</v>
      </c>
      <c r="CC123" s="288">
        <f ca="1" xml:space="preserve"> Equity!CC$117</f>
        <v>0</v>
      </c>
      <c r="CD123" s="288">
        <f ca="1" xml:space="preserve"> Equity!CD$117</f>
        <v>0</v>
      </c>
      <c r="CE123" s="288">
        <f ca="1" xml:space="preserve"> Equity!CE$117</f>
        <v>0</v>
      </c>
      <c r="CF123" s="288">
        <f ca="1" xml:space="preserve"> Equity!CF$117</f>
        <v>0</v>
      </c>
      <c r="CG123" s="288">
        <f ca="1" xml:space="preserve"> Equity!CG$117</f>
        <v>0</v>
      </c>
      <c r="CH123" s="288">
        <f ca="1" xml:space="preserve"> Equity!CH$117</f>
        <v>0</v>
      </c>
      <c r="CI123" s="288">
        <f ca="1" xml:space="preserve"> Equity!CI$117</f>
        <v>0</v>
      </c>
      <c r="CJ123" s="288">
        <f ca="1" xml:space="preserve"> Equity!CJ$117</f>
        <v>0</v>
      </c>
      <c r="CK123" s="288">
        <f ca="1" xml:space="preserve"> Equity!CK$117</f>
        <v>0</v>
      </c>
      <c r="CL123" s="288">
        <f ca="1" xml:space="preserve"> Equity!CL$117</f>
        <v>0</v>
      </c>
      <c r="CM123" s="288">
        <f ca="1" xml:space="preserve"> Equity!CM$117</f>
        <v>0</v>
      </c>
      <c r="CN123" s="288">
        <f ca="1" xml:space="preserve"> Equity!CN$117</f>
        <v>0</v>
      </c>
      <c r="CO123" s="288">
        <f ca="1" xml:space="preserve"> Equity!CO$117</f>
        <v>0</v>
      </c>
      <c r="CP123" s="288">
        <f ca="1" xml:space="preserve"> Equity!CP$117</f>
        <v>0</v>
      </c>
      <c r="CQ123" s="288">
        <f ca="1" xml:space="preserve"> Equity!CQ$117</f>
        <v>0</v>
      </c>
      <c r="CR123" s="288">
        <f ca="1" xml:space="preserve"> Equity!CR$117</f>
        <v>0</v>
      </c>
      <c r="CS123" s="288">
        <f ca="1" xml:space="preserve"> Equity!CS$117</f>
        <v>0</v>
      </c>
      <c r="CT123" s="288">
        <f ca="1" xml:space="preserve"> Equity!CT$117</f>
        <v>0</v>
      </c>
      <c r="CU123" s="288">
        <f ca="1" xml:space="preserve"> Equity!CU$117</f>
        <v>0</v>
      </c>
      <c r="CV123" s="288">
        <f ca="1" xml:space="preserve"> Equity!CV$117</f>
        <v>0</v>
      </c>
    </row>
    <row r="124" spans="1:192" s="191" customFormat="1" outlineLevel="2" x14ac:dyDescent="0.2">
      <c r="A124" s="205"/>
      <c r="B124" s="205"/>
      <c r="C124" s="206"/>
      <c r="D124" s="209"/>
      <c r="E124" s="235" t="str">
        <f xml:space="preserve"> Equity!E$125</f>
        <v>Retained earnings balance - P99</v>
      </c>
      <c r="F124" s="235">
        <f xml:space="preserve"> Equity!F$125</f>
        <v>0</v>
      </c>
      <c r="G124" s="235" t="str">
        <f xml:space="preserve"> Equity!G$125</f>
        <v>$ 000s</v>
      </c>
      <c r="H124" s="235">
        <f xml:space="preserve"> Equity!H$125</f>
        <v>0</v>
      </c>
      <c r="I124" s="235">
        <f xml:space="preserve"> Equity!I$125</f>
        <v>0</v>
      </c>
      <c r="J124" s="235">
        <f ca="1" xml:space="preserve"> Equity!J$125</f>
        <v>0</v>
      </c>
      <c r="K124" s="235">
        <f ca="1" xml:space="preserve"> Equity!K$125</f>
        <v>0</v>
      </c>
      <c r="L124" s="235">
        <f ca="1" xml:space="preserve"> Equity!L$125</f>
        <v>0</v>
      </c>
      <c r="M124" s="235">
        <f ca="1" xml:space="preserve"> Equity!M$125</f>
        <v>0</v>
      </c>
      <c r="N124" s="235">
        <f ca="1" xml:space="preserve"> Equity!N$125</f>
        <v>0</v>
      </c>
      <c r="O124" s="235">
        <f ca="1" xml:space="preserve"> Equity!O$125</f>
        <v>-11718.704761512705</v>
      </c>
      <c r="P124" s="235">
        <f ca="1" xml:space="preserve"> Equity!P$125</f>
        <v>-22777.866157683791</v>
      </c>
      <c r="Q124" s="235">
        <f ca="1" xml:space="preserve"> Equity!Q$125</f>
        <v>-33605.498360594509</v>
      </c>
      <c r="R124" s="235">
        <f ca="1" xml:space="preserve"> Equity!R$125</f>
        <v>-43988.630431943791</v>
      </c>
      <c r="S124" s="235">
        <f ca="1" xml:space="preserve"> Equity!S$125</f>
        <v>-54278.396078994927</v>
      </c>
      <c r="T124" s="235">
        <f ca="1" xml:space="preserve"> Equity!T$125</f>
        <v>-64260.150398723286</v>
      </c>
      <c r="U124" s="235">
        <f ca="1" xml:space="preserve"> Equity!U$125</f>
        <v>-74270.549352956223</v>
      </c>
      <c r="V124" s="235">
        <f ca="1" xml:space="preserve"> Equity!V$125</f>
        <v>-84120.570341278057</v>
      </c>
      <c r="W124" s="235">
        <f ca="1" xml:space="preserve"> Equity!W$125</f>
        <v>-94083.33277999876</v>
      </c>
      <c r="X124" s="235">
        <f ca="1" xml:space="preserve"> Equity!X$125</f>
        <v>-103974.00930724325</v>
      </c>
      <c r="Y124" s="235">
        <f ca="1" xml:space="preserve"> Equity!Y$125</f>
        <v>-114295.89202341124</v>
      </c>
      <c r="Z124" s="235">
        <f ca="1" xml:space="preserve"> Equity!Z$125</f>
        <v>-124645.84092019498</v>
      </c>
      <c r="AA124" s="235">
        <f ca="1" xml:space="preserve"> Equity!AA$125</f>
        <v>-135331.42769266988</v>
      </c>
      <c r="AB124" s="235">
        <f ca="1" xml:space="preserve"> Equity!AB$125</f>
        <v>-146147.76841584459</v>
      </c>
      <c r="AC124" s="235">
        <f ca="1" xml:space="preserve"> Equity!AC$125</f>
        <v>-157393.67658551733</v>
      </c>
      <c r="AD124" s="235">
        <f ca="1" xml:space="preserve"> Equity!AD$125</f>
        <v>-168891.9118054132</v>
      </c>
      <c r="AE124" s="235">
        <f ca="1" xml:space="preserve"> Equity!AE$125</f>
        <v>-180893.7924229691</v>
      </c>
      <c r="AF124" s="235">
        <f ca="1" xml:space="preserve"> Equity!AF$125</f>
        <v>-193233.33078738858</v>
      </c>
      <c r="AG124" s="235">
        <f ca="1" xml:space="preserve"> Equity!AG$125</f>
        <v>-206192.43918367848</v>
      </c>
      <c r="AH124" s="235">
        <f ca="1" xml:space="preserve"> Equity!AH$125</f>
        <v>-219596.51231801344</v>
      </c>
      <c r="AI124" s="235">
        <f ca="1" xml:space="preserve"> Equity!AI$125</f>
        <v>-233867.32304794688</v>
      </c>
      <c r="AJ124" s="235">
        <f ca="1" xml:space="preserve"> Equity!AJ$125</f>
        <v>-248688.83171538933</v>
      </c>
      <c r="AK124" s="235">
        <f ca="1" xml:space="preserve"> Equity!AK$125</f>
        <v>-264335.67679589801</v>
      </c>
      <c r="AL124" s="235">
        <f ca="1" xml:space="preserve"> Equity!AL$125</f>
        <v>-280668.02147092548</v>
      </c>
      <c r="AM124" s="235">
        <f ca="1" xml:space="preserve"> Equity!AM$125</f>
        <v>-297929.49354269454</v>
      </c>
      <c r="AN124" s="235">
        <f ca="1" xml:space="preserve"> Equity!AN$125</f>
        <v>-315997.81756045943</v>
      </c>
      <c r="AO124" s="235">
        <f ca="1" xml:space="preserve"> Equity!AO$125</f>
        <v>-335135.57479081454</v>
      </c>
      <c r="AP124" s="235">
        <f ca="1" xml:space="preserve"> Equity!AP$125</f>
        <v>-355225.08631146088</v>
      </c>
      <c r="AQ124" s="235">
        <f ca="1" xml:space="preserve"> Equity!AQ$125</f>
        <v>-376525.26207959326</v>
      </c>
      <c r="AR124" s="235">
        <f ca="1" xml:space="preserve"> Equity!AR$125</f>
        <v>-398937.90364916448</v>
      </c>
      <c r="AS124" s="235">
        <f ca="1" xml:space="preserve"> Equity!AS$125</f>
        <v>-422718.59110292199</v>
      </c>
      <c r="AT124" s="235">
        <f ca="1" xml:space="preserve"> Equity!AT$125</f>
        <v>-447809.17472026567</v>
      </c>
      <c r="AU124" s="235">
        <f ca="1" xml:space="preserve"> Equity!AU$125</f>
        <v>-474456.41107626713</v>
      </c>
      <c r="AV124" s="235">
        <f ca="1" xml:space="preserve"> Equity!AV$125</f>
        <v>-502318.66721503297</v>
      </c>
      <c r="AW124" s="235">
        <f ca="1" xml:space="preserve"> Equity!AW$125</f>
        <v>-531060.7157725594</v>
      </c>
      <c r="AX124" s="235">
        <f ca="1" xml:space="preserve"> Equity!AX$125</f>
        <v>-561139.83498227142</v>
      </c>
      <c r="AY124" s="235">
        <f ca="1" xml:space="preserve"> Equity!AY$125</f>
        <v>-592788.20448352827</v>
      </c>
      <c r="AZ124" s="235">
        <f ca="1" xml:space="preserve"> Equity!AZ$125</f>
        <v>-625953.43318846216</v>
      </c>
      <c r="BA124" s="235">
        <f ca="1" xml:space="preserve"> Equity!BA$125</f>
        <v>-660880.1709946862</v>
      </c>
      <c r="BB124" s="235">
        <f ca="1" xml:space="preserve"> Equity!BB$125</f>
        <v>-698470.02400454751</v>
      </c>
      <c r="BC124" s="235">
        <f ca="1" xml:space="preserve"> Equity!BC$125</f>
        <v>-698470.02400454751</v>
      </c>
      <c r="BD124" s="235">
        <f ca="1" xml:space="preserve"> Equity!BD$125</f>
        <v>-698470.02400454751</v>
      </c>
      <c r="BE124" s="235">
        <f ca="1" xml:space="preserve"> Equity!BE$125</f>
        <v>-698470.02400454751</v>
      </c>
      <c r="BF124" s="235">
        <f ca="1" xml:space="preserve"> Equity!BF$125</f>
        <v>-698470.02400454751</v>
      </c>
      <c r="BG124" s="235">
        <f ca="1" xml:space="preserve"> Equity!BG$125</f>
        <v>-698470.02400454751</v>
      </c>
      <c r="BH124" s="235">
        <f ca="1" xml:space="preserve"> Equity!BH$125</f>
        <v>-698470.02400454751</v>
      </c>
      <c r="BI124" s="235">
        <f ca="1" xml:space="preserve"> Equity!BI$125</f>
        <v>-698470.02400454751</v>
      </c>
      <c r="BJ124" s="235">
        <f ca="1" xml:space="preserve"> Equity!BJ$125</f>
        <v>-698470.02400454751</v>
      </c>
      <c r="BK124" s="235">
        <f ca="1" xml:space="preserve"> Equity!BK$125</f>
        <v>-698470.02400454751</v>
      </c>
      <c r="BL124" s="235">
        <f ca="1" xml:space="preserve"> Equity!BL$125</f>
        <v>-698470.02400454751</v>
      </c>
      <c r="BM124" s="235">
        <f ca="1" xml:space="preserve"> Equity!BM$125</f>
        <v>-698470.02400454751</v>
      </c>
      <c r="BN124" s="235">
        <f ca="1" xml:space="preserve"> Equity!BN$125</f>
        <v>-698470.02400454751</v>
      </c>
      <c r="BO124" s="235">
        <f ca="1" xml:space="preserve"> Equity!BO$125</f>
        <v>-698470.02400454751</v>
      </c>
      <c r="BP124" s="235">
        <f ca="1" xml:space="preserve"> Equity!BP$125</f>
        <v>-698470.02400454751</v>
      </c>
      <c r="BQ124" s="235">
        <f ca="1" xml:space="preserve"> Equity!BQ$125</f>
        <v>-698470.02400454751</v>
      </c>
      <c r="BR124" s="235">
        <f ca="1" xml:space="preserve"> Equity!BR$125</f>
        <v>-698470.02400454751</v>
      </c>
      <c r="BS124" s="235">
        <f ca="1" xml:space="preserve"> Equity!BS$125</f>
        <v>-698470.02400454751</v>
      </c>
      <c r="BT124" s="235">
        <f ca="1" xml:space="preserve"> Equity!BT$125</f>
        <v>-698470.02400454751</v>
      </c>
      <c r="BU124" s="235">
        <f ca="1" xml:space="preserve"> Equity!BU$125</f>
        <v>-698470.02400454751</v>
      </c>
      <c r="BV124" s="235">
        <f ca="1" xml:space="preserve"> Equity!BV$125</f>
        <v>-698470.02400454751</v>
      </c>
      <c r="BW124" s="235">
        <f ca="1" xml:space="preserve"> Equity!BW$125</f>
        <v>-698470.02400454751</v>
      </c>
      <c r="BX124" s="235">
        <f ca="1" xml:space="preserve"> Equity!BX$125</f>
        <v>-698470.02400454751</v>
      </c>
      <c r="BY124" s="235">
        <f ca="1" xml:space="preserve"> Equity!BY$125</f>
        <v>-698470.02400454751</v>
      </c>
      <c r="BZ124" s="235">
        <f ca="1" xml:space="preserve"> Equity!BZ$125</f>
        <v>-698470.02400454751</v>
      </c>
      <c r="CA124" s="235">
        <f ca="1" xml:space="preserve"> Equity!CA$125</f>
        <v>-698470.02400454751</v>
      </c>
      <c r="CB124" s="235">
        <f ca="1" xml:space="preserve"> Equity!CB$125</f>
        <v>-698470.02400454751</v>
      </c>
      <c r="CC124" s="235">
        <f ca="1" xml:space="preserve"> Equity!CC$125</f>
        <v>-698470.02400454751</v>
      </c>
      <c r="CD124" s="235">
        <f ca="1" xml:space="preserve"> Equity!CD$125</f>
        <v>-698470.02400454751</v>
      </c>
      <c r="CE124" s="235">
        <f ca="1" xml:space="preserve"> Equity!CE$125</f>
        <v>-698470.02400454751</v>
      </c>
      <c r="CF124" s="235">
        <f ca="1" xml:space="preserve"> Equity!CF$125</f>
        <v>-698470.02400454751</v>
      </c>
      <c r="CG124" s="235">
        <f ca="1" xml:space="preserve"> Equity!CG$125</f>
        <v>-698470.02400454751</v>
      </c>
      <c r="CH124" s="235">
        <f ca="1" xml:space="preserve"> Equity!CH$125</f>
        <v>-698470.02400454751</v>
      </c>
      <c r="CI124" s="235">
        <f ca="1" xml:space="preserve"> Equity!CI$125</f>
        <v>-698470.02400454751</v>
      </c>
      <c r="CJ124" s="235">
        <f ca="1" xml:space="preserve"> Equity!CJ$125</f>
        <v>-698470.02400454751</v>
      </c>
      <c r="CK124" s="235">
        <f ca="1" xml:space="preserve"> Equity!CK$125</f>
        <v>-698470.02400454751</v>
      </c>
      <c r="CL124" s="235">
        <f ca="1" xml:space="preserve"> Equity!CL$125</f>
        <v>-698470.02400454751</v>
      </c>
      <c r="CM124" s="235">
        <f ca="1" xml:space="preserve"> Equity!CM$125</f>
        <v>-698470.02400454751</v>
      </c>
      <c r="CN124" s="235">
        <f ca="1" xml:space="preserve"> Equity!CN$125</f>
        <v>-698470.02400454751</v>
      </c>
      <c r="CO124" s="235">
        <f ca="1" xml:space="preserve"> Equity!CO$125</f>
        <v>-698470.02400454751</v>
      </c>
      <c r="CP124" s="235">
        <f ca="1" xml:space="preserve"> Equity!CP$125</f>
        <v>-698470.02400454751</v>
      </c>
      <c r="CQ124" s="235">
        <f ca="1" xml:space="preserve"> Equity!CQ$125</f>
        <v>-698470.02400454751</v>
      </c>
      <c r="CR124" s="235">
        <f ca="1" xml:space="preserve"> Equity!CR$125</f>
        <v>-698470.02400454751</v>
      </c>
      <c r="CS124" s="235">
        <f ca="1" xml:space="preserve"> Equity!CS$125</f>
        <v>-698470.02400454751</v>
      </c>
      <c r="CT124" s="235">
        <f ca="1" xml:space="preserve"> Equity!CT$125</f>
        <v>-698470.02400454751</v>
      </c>
      <c r="CU124" s="235">
        <f ca="1" xml:space="preserve"> Equity!CU$125</f>
        <v>-698470.02400454751</v>
      </c>
      <c r="CV124" s="235">
        <f ca="1" xml:space="preserve"> Equity!CV$125</f>
        <v>-698470.02400454751</v>
      </c>
    </row>
    <row r="125" spans="1:192" outlineLevel="2" x14ac:dyDescent="0.2">
      <c r="D125" s="209"/>
      <c r="E125" s="232" t="s">
        <v>1162</v>
      </c>
      <c r="F125" s="232"/>
      <c r="G125" s="232" t="str">
        <f>SMU</f>
        <v>$ 000s</v>
      </c>
      <c r="H125" s="232"/>
      <c r="I125" s="232"/>
      <c r="J125" s="232">
        <f t="shared" ref="J125:AO125" ca="1" si="43" xml:space="preserve"> SUM(J112:J124)</f>
        <v>38655.01232134179</v>
      </c>
      <c r="K125" s="232">
        <f t="shared" ca="1" si="43"/>
        <v>110586.75689414167</v>
      </c>
      <c r="L125" s="232">
        <f t="shared" ca="1" si="43"/>
        <v>183700.42528235295</v>
      </c>
      <c r="M125" s="232">
        <f t="shared" ca="1" si="43"/>
        <v>258114.31294635369</v>
      </c>
      <c r="N125" s="232">
        <f t="shared" ca="1" si="43"/>
        <v>336808.10536716809</v>
      </c>
      <c r="O125" s="232">
        <f t="shared" ca="1" si="43"/>
        <v>327776.45124683314</v>
      </c>
      <c r="P125" s="232">
        <f t="shared" ca="1" si="43"/>
        <v>319651.10718723264</v>
      </c>
      <c r="Q125" s="232">
        <f t="shared" ca="1" si="43"/>
        <v>311434.68360427622</v>
      </c>
      <c r="R125" s="232">
        <f t="shared" ca="1" si="43"/>
        <v>303309.14672094118</v>
      </c>
      <c r="S125" s="232">
        <f t="shared" ca="1" si="43"/>
        <v>295092.31346629985</v>
      </c>
      <c r="T125" s="232">
        <f t="shared" ca="1" si="43"/>
        <v>286974.09711251815</v>
      </c>
      <c r="U125" s="232">
        <f t="shared" ca="1" si="43"/>
        <v>278749.32416419603</v>
      </c>
      <c r="V125" s="232">
        <f t="shared" ca="1" si="43"/>
        <v>270609.59335413639</v>
      </c>
      <c r="W125" s="232">
        <f t="shared" ca="1" si="43"/>
        <v>262421.66313940554</v>
      </c>
      <c r="X125" s="232">
        <f t="shared" ca="1" si="43"/>
        <v>254295.52005113897</v>
      </c>
      <c r="Y125" s="232">
        <f t="shared" ca="1" si="43"/>
        <v>246077.38418566447</v>
      </c>
      <c r="Z125" s="232">
        <f t="shared" ca="1" si="43"/>
        <v>237951.02947060368</v>
      </c>
      <c r="AA125" s="232">
        <f t="shared" ca="1" si="43"/>
        <v>229732.4340659219</v>
      </c>
      <c r="AB125" s="232">
        <f t="shared" ca="1" si="43"/>
        <v>221613.1344525044</v>
      </c>
      <c r="AC125" s="232">
        <f t="shared" ca="1" si="43"/>
        <v>213386.7947610546</v>
      </c>
      <c r="AD125" s="232">
        <f t="shared" ca="1" si="43"/>
        <v>205245.93623012549</v>
      </c>
      <c r="AE125" s="232">
        <f t="shared" ca="1" si="43"/>
        <v>197055.75486553731</v>
      </c>
      <c r="AF125" s="232">
        <f t="shared" ca="1" si="43"/>
        <v>188928.73524110604</v>
      </c>
      <c r="AG125" s="232">
        <f t="shared" ca="1" si="43"/>
        <v>180708.68170349201</v>
      </c>
      <c r="AH125" s="232">
        <f t="shared" ca="1" si="43"/>
        <v>172581.43009778197</v>
      </c>
      <c r="AI125" s="232">
        <f t="shared" ca="1" si="43"/>
        <v>164360.86313393255</v>
      </c>
      <c r="AJ125" s="232">
        <f t="shared" ca="1" si="43"/>
        <v>156240.38606322557</v>
      </c>
      <c r="AK125" s="232">
        <f t="shared" ca="1" si="43"/>
        <v>148012.2796680227</v>
      </c>
      <c r="AL125" s="232">
        <f t="shared" ca="1" si="43"/>
        <v>139870.18203755852</v>
      </c>
      <c r="AM125" s="232">
        <f t="shared" ca="1" si="43"/>
        <v>131677.52213756327</v>
      </c>
      <c r="AN125" s="232">
        <f t="shared" ca="1" si="43"/>
        <v>123549.54204930429</v>
      </c>
      <c r="AO125" s="232">
        <f t="shared" ca="1" si="43"/>
        <v>115327.34888252598</v>
      </c>
      <c r="AP125" s="232">
        <f t="shared" ref="AP125:BU125" ca="1" si="44" xml:space="preserve"> SUM(AP112:AP124)</f>
        <v>107199.11476089514</v>
      </c>
      <c r="AQ125" s="232">
        <f t="shared" ca="1" si="44"/>
        <v>98976.350675370079</v>
      </c>
      <c r="AR125" s="232">
        <f t="shared" ca="1" si="44"/>
        <v>90854.595058752631</v>
      </c>
      <c r="AS125" s="232">
        <f t="shared" ca="1" si="44"/>
        <v>82624.506685166329</v>
      </c>
      <c r="AT125" s="232">
        <f t="shared" ca="1" si="44"/>
        <v>74481.051410451939</v>
      </c>
      <c r="AU125" s="232">
        <f t="shared" ca="1" si="44"/>
        <v>61425.746878684615</v>
      </c>
      <c r="AV125" s="232">
        <f t="shared" ca="1" si="44"/>
        <v>48489.050856380258</v>
      </c>
      <c r="AW125" s="232">
        <f t="shared" ca="1" si="44"/>
        <v>41033.799677401665</v>
      </c>
      <c r="AX125" s="232">
        <f t="shared" ca="1" si="44"/>
        <v>33673.567405543406</v>
      </c>
      <c r="AY125" s="232">
        <f t="shared" ca="1" si="44"/>
        <v>26218.459661645116</v>
      </c>
      <c r="AZ125" s="232">
        <f t="shared" ca="1" si="44"/>
        <v>18858.718898209627</v>
      </c>
      <c r="BA125" s="232">
        <f t="shared" ca="1" si="44"/>
        <v>11403.754353920696</v>
      </c>
      <c r="BB125" s="232">
        <f t="shared" ca="1" si="44"/>
        <v>-2.0082702394574881E-4</v>
      </c>
      <c r="BC125" s="232">
        <f t="shared" ca="1" si="44"/>
        <v>-2.0082702394574881E-4</v>
      </c>
      <c r="BD125" s="232">
        <f t="shared" ca="1" si="44"/>
        <v>-2.0082702394574881E-4</v>
      </c>
      <c r="BE125" s="232">
        <f t="shared" ca="1" si="44"/>
        <v>-2.0082702394574881E-4</v>
      </c>
      <c r="BF125" s="232">
        <f t="shared" ca="1" si="44"/>
        <v>-2.0082702394574881E-4</v>
      </c>
      <c r="BG125" s="232">
        <f t="shared" ca="1" si="44"/>
        <v>-2.0082702394574881E-4</v>
      </c>
      <c r="BH125" s="232">
        <f t="shared" ca="1" si="44"/>
        <v>-2.0082702394574881E-4</v>
      </c>
      <c r="BI125" s="232">
        <f t="shared" ca="1" si="44"/>
        <v>-2.0082702394574881E-4</v>
      </c>
      <c r="BJ125" s="232">
        <f t="shared" ca="1" si="44"/>
        <v>-2.0082702394574881E-4</v>
      </c>
      <c r="BK125" s="232">
        <f t="shared" ca="1" si="44"/>
        <v>-2.0082702394574881E-4</v>
      </c>
      <c r="BL125" s="232">
        <f t="shared" ca="1" si="44"/>
        <v>-2.0082702394574881E-4</v>
      </c>
      <c r="BM125" s="232">
        <f t="shared" ca="1" si="44"/>
        <v>-2.0082702394574881E-4</v>
      </c>
      <c r="BN125" s="232">
        <f t="shared" ca="1" si="44"/>
        <v>-2.0082702394574881E-4</v>
      </c>
      <c r="BO125" s="232">
        <f t="shared" ca="1" si="44"/>
        <v>-2.0082702394574881E-4</v>
      </c>
      <c r="BP125" s="232">
        <f t="shared" ca="1" si="44"/>
        <v>-2.0082702394574881E-4</v>
      </c>
      <c r="BQ125" s="232">
        <f t="shared" ca="1" si="44"/>
        <v>-2.0082702394574881E-4</v>
      </c>
      <c r="BR125" s="232">
        <f t="shared" ca="1" si="44"/>
        <v>-2.0082702394574881E-4</v>
      </c>
      <c r="BS125" s="232">
        <f t="shared" ca="1" si="44"/>
        <v>-2.0082702394574881E-4</v>
      </c>
      <c r="BT125" s="232">
        <f t="shared" ca="1" si="44"/>
        <v>-2.0082702394574881E-4</v>
      </c>
      <c r="BU125" s="232">
        <f t="shared" ca="1" si="44"/>
        <v>-2.0082702394574881E-4</v>
      </c>
      <c r="BV125" s="232">
        <f t="shared" ref="BV125:CV125" ca="1" si="45" xml:space="preserve"> SUM(BV112:BV124)</f>
        <v>-2.0082702394574881E-4</v>
      </c>
      <c r="BW125" s="232">
        <f t="shared" ca="1" si="45"/>
        <v>-2.0082702394574881E-4</v>
      </c>
      <c r="BX125" s="232">
        <f t="shared" ca="1" si="45"/>
        <v>-2.0082702394574881E-4</v>
      </c>
      <c r="BY125" s="232">
        <f t="shared" ca="1" si="45"/>
        <v>-2.0082702394574881E-4</v>
      </c>
      <c r="BZ125" s="232">
        <f t="shared" ca="1" si="45"/>
        <v>-2.0082702394574881E-4</v>
      </c>
      <c r="CA125" s="232">
        <f t="shared" ca="1" si="45"/>
        <v>-2.0082702394574881E-4</v>
      </c>
      <c r="CB125" s="232">
        <f t="shared" ca="1" si="45"/>
        <v>-2.0082702394574881E-4</v>
      </c>
      <c r="CC125" s="232">
        <f t="shared" ca="1" si="45"/>
        <v>-2.0082702394574881E-4</v>
      </c>
      <c r="CD125" s="232">
        <f t="shared" ca="1" si="45"/>
        <v>-2.0082702394574881E-4</v>
      </c>
      <c r="CE125" s="232">
        <f t="shared" ca="1" si="45"/>
        <v>-2.0082702394574881E-4</v>
      </c>
      <c r="CF125" s="232">
        <f t="shared" ca="1" si="45"/>
        <v>-2.0082702394574881E-4</v>
      </c>
      <c r="CG125" s="232">
        <f t="shared" ca="1" si="45"/>
        <v>-2.0082702394574881E-4</v>
      </c>
      <c r="CH125" s="232">
        <f t="shared" ca="1" si="45"/>
        <v>-2.0082702394574881E-4</v>
      </c>
      <c r="CI125" s="232">
        <f t="shared" ca="1" si="45"/>
        <v>-2.0082702394574881E-4</v>
      </c>
      <c r="CJ125" s="232">
        <f t="shared" ca="1" si="45"/>
        <v>-2.0082702394574881E-4</v>
      </c>
      <c r="CK125" s="232">
        <f t="shared" ca="1" si="45"/>
        <v>-2.0082702394574881E-4</v>
      </c>
      <c r="CL125" s="232">
        <f t="shared" ca="1" si="45"/>
        <v>-2.0082702394574881E-4</v>
      </c>
      <c r="CM125" s="232">
        <f t="shared" ca="1" si="45"/>
        <v>-2.0082702394574881E-4</v>
      </c>
      <c r="CN125" s="232">
        <f t="shared" ca="1" si="45"/>
        <v>-2.0082702394574881E-4</v>
      </c>
      <c r="CO125" s="232">
        <f t="shared" ca="1" si="45"/>
        <v>-2.0082702394574881E-4</v>
      </c>
      <c r="CP125" s="232">
        <f t="shared" ca="1" si="45"/>
        <v>-2.0082702394574881E-4</v>
      </c>
      <c r="CQ125" s="232">
        <f t="shared" ca="1" si="45"/>
        <v>-2.0082702394574881E-4</v>
      </c>
      <c r="CR125" s="232">
        <f t="shared" ca="1" si="45"/>
        <v>-2.0082702394574881E-4</v>
      </c>
      <c r="CS125" s="232">
        <f t="shared" ca="1" si="45"/>
        <v>-2.0082702394574881E-4</v>
      </c>
      <c r="CT125" s="232">
        <f t="shared" ca="1" si="45"/>
        <v>-2.0082702394574881E-4</v>
      </c>
      <c r="CU125" s="232">
        <f t="shared" ca="1" si="45"/>
        <v>-2.0082702394574881E-4</v>
      </c>
      <c r="CV125" s="232">
        <f t="shared" ca="1" si="45"/>
        <v>-2.0082702394574881E-4</v>
      </c>
    </row>
    <row r="126" spans="1:192" outlineLevel="2" x14ac:dyDescent="0.2">
      <c r="D126" s="209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92" x14ac:dyDescent="0.2">
      <c r="D127" s="209"/>
      <c r="E127" s="235"/>
      <c r="F127" s="235"/>
      <c r="G127" s="235"/>
      <c r="H127" s="235"/>
      <c r="I127" s="235"/>
      <c r="J127" s="235"/>
      <c r="K127" s="235"/>
      <c r="L127" s="235"/>
      <c r="M127" s="235"/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/>
      <c r="AC127" s="235"/>
      <c r="AD127" s="235"/>
      <c r="AE127" s="235"/>
      <c r="AF127" s="235"/>
      <c r="AG127" s="235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35"/>
      <c r="BZ127" s="235"/>
      <c r="CA127" s="235"/>
      <c r="CB127" s="235"/>
      <c r="CC127" s="235"/>
      <c r="CD127" s="235"/>
      <c r="CE127" s="235"/>
      <c r="CF127" s="235"/>
      <c r="CG127" s="235"/>
      <c r="CH127" s="235"/>
      <c r="CI127" s="235"/>
      <c r="CJ127" s="235"/>
      <c r="CK127" s="235"/>
      <c r="CL127" s="235"/>
      <c r="CM127" s="235"/>
      <c r="CN127" s="235"/>
      <c r="CO127" s="235"/>
      <c r="CP127" s="235"/>
      <c r="CQ127" s="235"/>
      <c r="CR127" s="235"/>
      <c r="CS127" s="235"/>
      <c r="CT127" s="235"/>
      <c r="CU127" s="235"/>
      <c r="CV127" s="235"/>
    </row>
    <row r="128" spans="1:192" x14ac:dyDescent="0.2">
      <c r="A128" s="205" t="s">
        <v>73</v>
      </c>
      <c r="D128" s="209"/>
      <c r="E128" s="235"/>
      <c r="F128" s="235"/>
      <c r="G128" s="235"/>
      <c r="H128" s="235"/>
      <c r="I128" s="235"/>
      <c r="J128" s="235"/>
      <c r="K128" s="235"/>
      <c r="L128" s="235"/>
      <c r="M128" s="235"/>
      <c r="N128" s="235"/>
      <c r="O128" s="235"/>
      <c r="P128" s="235"/>
      <c r="Q128" s="235"/>
      <c r="R128" s="235"/>
      <c r="S128" s="235"/>
      <c r="T128" s="235"/>
      <c r="U128" s="235"/>
      <c r="V128" s="235"/>
      <c r="W128" s="235"/>
      <c r="X128" s="235"/>
      <c r="Y128" s="235"/>
      <c r="Z128" s="235"/>
      <c r="AA128" s="235"/>
      <c r="AB128" s="235"/>
      <c r="AC128" s="235"/>
      <c r="AD128" s="235"/>
      <c r="AE128" s="235"/>
      <c r="AF128" s="235"/>
      <c r="AG128" s="235"/>
      <c r="AH128" s="235"/>
      <c r="AI128" s="235"/>
      <c r="AJ128" s="235"/>
      <c r="AK128" s="235"/>
      <c r="AL128" s="235"/>
      <c r="AM128" s="235"/>
      <c r="AN128" s="235"/>
      <c r="AO128" s="235"/>
      <c r="AP128" s="235"/>
      <c r="AQ128" s="235"/>
      <c r="AR128" s="235"/>
      <c r="AS128" s="235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  <c r="BG128" s="235"/>
      <c r="BH128" s="235"/>
      <c r="BI128" s="235"/>
      <c r="BJ128" s="235"/>
      <c r="BK128" s="235"/>
      <c r="BL128" s="235"/>
      <c r="BM128" s="235"/>
      <c r="BN128" s="235"/>
      <c r="BO128" s="235"/>
      <c r="BP128" s="235"/>
      <c r="BQ128" s="235"/>
      <c r="BR128" s="235"/>
      <c r="BS128" s="235"/>
      <c r="BT128" s="235"/>
      <c r="BU128" s="235"/>
      <c r="BV128" s="235"/>
      <c r="BW128" s="235"/>
      <c r="BX128" s="235"/>
      <c r="BY128" s="235"/>
      <c r="BZ128" s="235"/>
      <c r="CA128" s="235"/>
      <c r="CB128" s="235"/>
      <c r="CC128" s="235"/>
      <c r="CD128" s="235"/>
      <c r="CE128" s="235"/>
      <c r="CF128" s="235"/>
      <c r="CG128" s="235"/>
      <c r="CH128" s="235"/>
      <c r="CI128" s="235"/>
      <c r="CJ128" s="235"/>
      <c r="CK128" s="235"/>
      <c r="CL128" s="235"/>
      <c r="CM128" s="235"/>
      <c r="CN128" s="235"/>
      <c r="CO128" s="235"/>
      <c r="CP128" s="235"/>
      <c r="CQ128" s="235"/>
      <c r="CR128" s="235"/>
      <c r="CS128" s="235"/>
      <c r="CT128" s="235"/>
      <c r="CU128" s="235"/>
      <c r="CV128" s="235"/>
    </row>
    <row r="129" spans="1:100" outlineLevel="1" x14ac:dyDescent="0.2">
      <c r="D129" s="209"/>
      <c r="E129" s="235"/>
      <c r="F129" s="235"/>
      <c r="G129" s="235"/>
      <c r="H129" s="235"/>
      <c r="I129" s="235"/>
      <c r="J129" s="235"/>
      <c r="K129" s="235"/>
      <c r="L129" s="235"/>
      <c r="M129" s="235"/>
      <c r="N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  <c r="BG129" s="235"/>
      <c r="BH129" s="235"/>
      <c r="BI129" s="235"/>
      <c r="BJ129" s="235"/>
      <c r="BK129" s="235"/>
      <c r="BL129" s="235"/>
      <c r="BM129" s="235"/>
      <c r="BN129" s="235"/>
      <c r="BO129" s="235"/>
      <c r="BP129" s="235"/>
      <c r="BQ129" s="235"/>
      <c r="BR129" s="235"/>
      <c r="BS129" s="235"/>
      <c r="BT129" s="235"/>
      <c r="BU129" s="235"/>
      <c r="BV129" s="235"/>
      <c r="BW129" s="235"/>
      <c r="BX129" s="235"/>
      <c r="BY129" s="235"/>
      <c r="BZ129" s="235"/>
      <c r="CA129" s="235"/>
      <c r="CB129" s="235"/>
      <c r="CC129" s="235"/>
      <c r="CD129" s="235"/>
      <c r="CE129" s="235"/>
      <c r="CF129" s="235"/>
      <c r="CG129" s="235"/>
      <c r="CH129" s="235"/>
      <c r="CI129" s="235"/>
      <c r="CJ129" s="235"/>
      <c r="CK129" s="235"/>
      <c r="CL129" s="235"/>
      <c r="CM129" s="235"/>
      <c r="CN129" s="235"/>
      <c r="CO129" s="235"/>
      <c r="CP129" s="235"/>
      <c r="CQ129" s="235"/>
      <c r="CR129" s="235"/>
      <c r="CS129" s="235"/>
      <c r="CT129" s="235"/>
      <c r="CU129" s="235"/>
      <c r="CV129" s="235"/>
    </row>
    <row r="130" spans="1:100" outlineLevel="1" x14ac:dyDescent="0.2">
      <c r="D130" s="209"/>
      <c r="E130" s="235" t="str">
        <f xml:space="preserve"> E$110</f>
        <v>Total assets - P99</v>
      </c>
      <c r="F130" s="235">
        <f t="shared" ref="F130:BQ130" si="46" xml:space="preserve"> F$110</f>
        <v>0</v>
      </c>
      <c r="G130" s="235" t="str">
        <f t="shared" si="46"/>
        <v>$ 000s</v>
      </c>
      <c r="H130" s="235">
        <f t="shared" si="46"/>
        <v>0</v>
      </c>
      <c r="I130" s="235">
        <f t="shared" si="46"/>
        <v>0</v>
      </c>
      <c r="J130" s="235">
        <f t="shared" ca="1" si="46"/>
        <v>38655.01232134179</v>
      </c>
      <c r="K130" s="235">
        <f t="shared" ca="1" si="46"/>
        <v>110586.75689414167</v>
      </c>
      <c r="L130" s="235">
        <f t="shared" ca="1" si="46"/>
        <v>183700.42528235298</v>
      </c>
      <c r="M130" s="235">
        <f t="shared" ca="1" si="46"/>
        <v>258114.31294635375</v>
      </c>
      <c r="N130" s="235">
        <f t="shared" ca="1" si="46"/>
        <v>336808.10536716814</v>
      </c>
      <c r="O130" s="235">
        <f t="shared" ca="1" si="46"/>
        <v>327776.45124683314</v>
      </c>
      <c r="P130" s="235">
        <f t="shared" ca="1" si="46"/>
        <v>319651.10718723264</v>
      </c>
      <c r="Q130" s="235">
        <f t="shared" ca="1" si="46"/>
        <v>311434.68360427633</v>
      </c>
      <c r="R130" s="235">
        <f t="shared" ca="1" si="46"/>
        <v>303309.14672094124</v>
      </c>
      <c r="S130" s="235">
        <f t="shared" ca="1" si="46"/>
        <v>295092.31346629991</v>
      </c>
      <c r="T130" s="235">
        <f t="shared" ca="1" si="46"/>
        <v>286974.09711251815</v>
      </c>
      <c r="U130" s="235">
        <f t="shared" ca="1" si="46"/>
        <v>278749.32416419603</v>
      </c>
      <c r="V130" s="235">
        <f t="shared" ca="1" si="46"/>
        <v>270609.59335413639</v>
      </c>
      <c r="W130" s="235">
        <f t="shared" ca="1" si="46"/>
        <v>262421.66313940554</v>
      </c>
      <c r="X130" s="235">
        <f t="shared" ca="1" si="46"/>
        <v>254295.52005113891</v>
      </c>
      <c r="Y130" s="235">
        <f t="shared" ca="1" si="46"/>
        <v>246077.38418566436</v>
      </c>
      <c r="Z130" s="235">
        <f t="shared" ca="1" si="46"/>
        <v>237951.02947060359</v>
      </c>
      <c r="AA130" s="235">
        <f t="shared" ca="1" si="46"/>
        <v>229732.43406592181</v>
      </c>
      <c r="AB130" s="235">
        <f t="shared" ca="1" si="46"/>
        <v>221613.13445250434</v>
      </c>
      <c r="AC130" s="235">
        <f t="shared" ca="1" si="46"/>
        <v>213386.79476105451</v>
      </c>
      <c r="AD130" s="235">
        <f t="shared" ca="1" si="46"/>
        <v>205245.93623012543</v>
      </c>
      <c r="AE130" s="235">
        <f t="shared" ca="1" si="46"/>
        <v>197055.75486553719</v>
      </c>
      <c r="AF130" s="235">
        <f t="shared" ca="1" si="46"/>
        <v>188928.73524110595</v>
      </c>
      <c r="AG130" s="235">
        <f t="shared" ca="1" si="46"/>
        <v>180708.68170349189</v>
      </c>
      <c r="AH130" s="235">
        <f t="shared" ca="1" si="46"/>
        <v>172581.43009778185</v>
      </c>
      <c r="AI130" s="235">
        <f t="shared" ca="1" si="46"/>
        <v>164360.86313393246</v>
      </c>
      <c r="AJ130" s="235">
        <f t="shared" ca="1" si="46"/>
        <v>156240.38606322545</v>
      </c>
      <c r="AK130" s="235">
        <f t="shared" ca="1" si="46"/>
        <v>148012.27966802262</v>
      </c>
      <c r="AL130" s="235">
        <f t="shared" ca="1" si="46"/>
        <v>139870.18203755841</v>
      </c>
      <c r="AM130" s="235">
        <f t="shared" ca="1" si="46"/>
        <v>131677.52213756318</v>
      </c>
      <c r="AN130" s="235">
        <f t="shared" ca="1" si="46"/>
        <v>123549.54204930415</v>
      </c>
      <c r="AO130" s="235">
        <f t="shared" ca="1" si="46"/>
        <v>115327.34888252587</v>
      </c>
      <c r="AP130" s="235">
        <f t="shared" ca="1" si="46"/>
        <v>107199.11476089506</v>
      </c>
      <c r="AQ130" s="235">
        <f t="shared" ca="1" si="46"/>
        <v>98976.350675370079</v>
      </c>
      <c r="AR130" s="235">
        <f t="shared" ca="1" si="46"/>
        <v>90854.595058752646</v>
      </c>
      <c r="AS130" s="235">
        <f t="shared" ca="1" si="46"/>
        <v>82624.506685166401</v>
      </c>
      <c r="AT130" s="235">
        <f t="shared" ca="1" si="46"/>
        <v>74481.051410452026</v>
      </c>
      <c r="AU130" s="235">
        <f t="shared" ca="1" si="46"/>
        <v>61425.746878684629</v>
      </c>
      <c r="AV130" s="235">
        <f t="shared" ca="1" si="46"/>
        <v>48489.05085638044</v>
      </c>
      <c r="AW130" s="235">
        <f t="shared" ca="1" si="46"/>
        <v>41033.799677401701</v>
      </c>
      <c r="AX130" s="235">
        <f t="shared" ca="1" si="46"/>
        <v>33673.567405543465</v>
      </c>
      <c r="AY130" s="235">
        <f t="shared" ca="1" si="46"/>
        <v>26218.459661645302</v>
      </c>
      <c r="AZ130" s="235">
        <f t="shared" ca="1" si="46"/>
        <v>18858.718898209889</v>
      </c>
      <c r="BA130" s="235">
        <f t="shared" ca="1" si="46"/>
        <v>11403.754353920847</v>
      </c>
      <c r="BB130" s="235">
        <f t="shared" ca="1" si="46"/>
        <v>-2.0082675564481178E-4</v>
      </c>
      <c r="BC130" s="235">
        <f t="shared" ca="1" si="46"/>
        <v>-2.0082675564481178E-4</v>
      </c>
      <c r="BD130" s="235">
        <f t="shared" ca="1" si="46"/>
        <v>-2.0082675564481178E-4</v>
      </c>
      <c r="BE130" s="235">
        <f t="shared" ca="1" si="46"/>
        <v>-2.0082675564481178E-4</v>
      </c>
      <c r="BF130" s="235">
        <f t="shared" ca="1" si="46"/>
        <v>-2.0082675564481178E-4</v>
      </c>
      <c r="BG130" s="235">
        <f t="shared" ca="1" si="46"/>
        <v>-2.0082675564481178E-4</v>
      </c>
      <c r="BH130" s="235">
        <f t="shared" ca="1" si="46"/>
        <v>-2.0082675564481178E-4</v>
      </c>
      <c r="BI130" s="235">
        <f t="shared" ca="1" si="46"/>
        <v>-2.0082675564481178E-4</v>
      </c>
      <c r="BJ130" s="235">
        <f t="shared" ca="1" si="46"/>
        <v>-2.0082675564481178E-4</v>
      </c>
      <c r="BK130" s="235">
        <f t="shared" ca="1" si="46"/>
        <v>-2.0082675564481178E-4</v>
      </c>
      <c r="BL130" s="235">
        <f t="shared" ca="1" si="46"/>
        <v>-2.0082675564481178E-4</v>
      </c>
      <c r="BM130" s="235">
        <f t="shared" ca="1" si="46"/>
        <v>-2.0082675564481178E-4</v>
      </c>
      <c r="BN130" s="235">
        <f t="shared" ca="1" si="46"/>
        <v>-2.0082675564481178E-4</v>
      </c>
      <c r="BO130" s="235">
        <f t="shared" ca="1" si="46"/>
        <v>-2.0082675564481178E-4</v>
      </c>
      <c r="BP130" s="235">
        <f t="shared" ca="1" si="46"/>
        <v>-2.0082675564481178E-4</v>
      </c>
      <c r="BQ130" s="235">
        <f t="shared" ca="1" si="46"/>
        <v>-2.0082675564481178E-4</v>
      </c>
      <c r="BR130" s="235">
        <f t="shared" ref="BR130:CV130" ca="1" si="47" xml:space="preserve"> BR$110</f>
        <v>-2.0082675564481178E-4</v>
      </c>
      <c r="BS130" s="235">
        <f t="shared" ca="1" si="47"/>
        <v>-2.0082675564481178E-4</v>
      </c>
      <c r="BT130" s="235">
        <f t="shared" ca="1" si="47"/>
        <v>-2.0082675564481178E-4</v>
      </c>
      <c r="BU130" s="235">
        <f t="shared" ca="1" si="47"/>
        <v>-2.0082675564481178E-4</v>
      </c>
      <c r="BV130" s="235">
        <f t="shared" ca="1" si="47"/>
        <v>-2.0082675564481178E-4</v>
      </c>
      <c r="BW130" s="235">
        <f t="shared" ca="1" si="47"/>
        <v>-2.0082675564481178E-4</v>
      </c>
      <c r="BX130" s="235">
        <f t="shared" ca="1" si="47"/>
        <v>-2.0082675564481178E-4</v>
      </c>
      <c r="BY130" s="235">
        <f t="shared" ca="1" si="47"/>
        <v>-2.0082675564481178E-4</v>
      </c>
      <c r="BZ130" s="235">
        <f t="shared" ca="1" si="47"/>
        <v>-2.0082675564481178E-4</v>
      </c>
      <c r="CA130" s="235">
        <f t="shared" ca="1" si="47"/>
        <v>-2.0082675564481178E-4</v>
      </c>
      <c r="CB130" s="235">
        <f t="shared" ca="1" si="47"/>
        <v>-2.0082675564481178E-4</v>
      </c>
      <c r="CC130" s="235">
        <f t="shared" ca="1" si="47"/>
        <v>-2.0082675564481178E-4</v>
      </c>
      <c r="CD130" s="235">
        <f t="shared" ca="1" si="47"/>
        <v>-2.0082675564481178E-4</v>
      </c>
      <c r="CE130" s="235">
        <f t="shared" ca="1" si="47"/>
        <v>-2.0082675564481178E-4</v>
      </c>
      <c r="CF130" s="235">
        <f t="shared" ca="1" si="47"/>
        <v>-2.0082675564481178E-4</v>
      </c>
      <c r="CG130" s="235">
        <f t="shared" ca="1" si="47"/>
        <v>-2.0082675564481178E-4</v>
      </c>
      <c r="CH130" s="235">
        <f t="shared" ca="1" si="47"/>
        <v>-2.0082675564481178E-4</v>
      </c>
      <c r="CI130" s="235">
        <f t="shared" ca="1" si="47"/>
        <v>-2.0082675564481178E-4</v>
      </c>
      <c r="CJ130" s="235">
        <f t="shared" ca="1" si="47"/>
        <v>-2.0082675564481178E-4</v>
      </c>
      <c r="CK130" s="235">
        <f t="shared" ca="1" si="47"/>
        <v>-2.0082675564481178E-4</v>
      </c>
      <c r="CL130" s="235">
        <f t="shared" ca="1" si="47"/>
        <v>-2.0082675564481178E-4</v>
      </c>
      <c r="CM130" s="235">
        <f t="shared" ca="1" si="47"/>
        <v>-2.0082675564481178E-4</v>
      </c>
      <c r="CN130" s="235">
        <f t="shared" ca="1" si="47"/>
        <v>-2.0082675564481178E-4</v>
      </c>
      <c r="CO130" s="235">
        <f t="shared" ca="1" si="47"/>
        <v>-2.0082675564481178E-4</v>
      </c>
      <c r="CP130" s="235">
        <f t="shared" ca="1" si="47"/>
        <v>-2.0082675564481178E-4</v>
      </c>
      <c r="CQ130" s="235">
        <f t="shared" ca="1" si="47"/>
        <v>-2.0082675564481178E-4</v>
      </c>
      <c r="CR130" s="235">
        <f t="shared" ca="1" si="47"/>
        <v>-2.0082675564481178E-4</v>
      </c>
      <c r="CS130" s="235">
        <f t="shared" ca="1" si="47"/>
        <v>-2.0082675564481178E-4</v>
      </c>
      <c r="CT130" s="235">
        <f t="shared" ca="1" si="47"/>
        <v>-2.0082675564481178E-4</v>
      </c>
      <c r="CU130" s="235">
        <f t="shared" ca="1" si="47"/>
        <v>-2.0082675564481178E-4</v>
      </c>
      <c r="CV130" s="235">
        <f t="shared" ca="1" si="47"/>
        <v>-2.0082675564481178E-4</v>
      </c>
    </row>
    <row r="131" spans="1:100" outlineLevel="1" x14ac:dyDescent="0.2">
      <c r="D131" s="209"/>
      <c r="E131" s="235" t="str">
        <f xml:space="preserve"> E$125</f>
        <v>Total liabilities - P99</v>
      </c>
      <c r="F131" s="235">
        <f t="shared" ref="F131:BQ131" si="48" xml:space="preserve"> F$125</f>
        <v>0</v>
      </c>
      <c r="G131" s="235" t="str">
        <f t="shared" si="48"/>
        <v>$ 000s</v>
      </c>
      <c r="H131" s="235">
        <f t="shared" si="48"/>
        <v>0</v>
      </c>
      <c r="I131" s="235">
        <f t="shared" si="48"/>
        <v>0</v>
      </c>
      <c r="J131" s="235">
        <f t="shared" ca="1" si="48"/>
        <v>38655.01232134179</v>
      </c>
      <c r="K131" s="235">
        <f t="shared" ca="1" si="48"/>
        <v>110586.75689414167</v>
      </c>
      <c r="L131" s="235">
        <f t="shared" ca="1" si="48"/>
        <v>183700.42528235295</v>
      </c>
      <c r="M131" s="235">
        <f t="shared" ca="1" si="48"/>
        <v>258114.31294635369</v>
      </c>
      <c r="N131" s="235">
        <f t="shared" ca="1" si="48"/>
        <v>336808.10536716809</v>
      </c>
      <c r="O131" s="235">
        <f t="shared" ca="1" si="48"/>
        <v>327776.45124683314</v>
      </c>
      <c r="P131" s="235">
        <f t="shared" ca="1" si="48"/>
        <v>319651.10718723264</v>
      </c>
      <c r="Q131" s="235">
        <f t="shared" ca="1" si="48"/>
        <v>311434.68360427622</v>
      </c>
      <c r="R131" s="235">
        <f t="shared" ca="1" si="48"/>
        <v>303309.14672094118</v>
      </c>
      <c r="S131" s="235">
        <f t="shared" ca="1" si="48"/>
        <v>295092.31346629985</v>
      </c>
      <c r="T131" s="235">
        <f t="shared" ca="1" si="48"/>
        <v>286974.09711251815</v>
      </c>
      <c r="U131" s="235">
        <f t="shared" ca="1" si="48"/>
        <v>278749.32416419603</v>
      </c>
      <c r="V131" s="235">
        <f t="shared" ca="1" si="48"/>
        <v>270609.59335413639</v>
      </c>
      <c r="W131" s="235">
        <f t="shared" ca="1" si="48"/>
        <v>262421.66313940554</v>
      </c>
      <c r="X131" s="235">
        <f t="shared" ca="1" si="48"/>
        <v>254295.52005113897</v>
      </c>
      <c r="Y131" s="235">
        <f t="shared" ca="1" si="48"/>
        <v>246077.38418566447</v>
      </c>
      <c r="Z131" s="235">
        <f t="shared" ca="1" si="48"/>
        <v>237951.02947060368</v>
      </c>
      <c r="AA131" s="235">
        <f t="shared" ca="1" si="48"/>
        <v>229732.4340659219</v>
      </c>
      <c r="AB131" s="235">
        <f t="shared" ca="1" si="48"/>
        <v>221613.1344525044</v>
      </c>
      <c r="AC131" s="235">
        <f t="shared" ca="1" si="48"/>
        <v>213386.7947610546</v>
      </c>
      <c r="AD131" s="235">
        <f t="shared" ca="1" si="48"/>
        <v>205245.93623012549</v>
      </c>
      <c r="AE131" s="235">
        <f t="shared" ca="1" si="48"/>
        <v>197055.75486553731</v>
      </c>
      <c r="AF131" s="235">
        <f t="shared" ca="1" si="48"/>
        <v>188928.73524110604</v>
      </c>
      <c r="AG131" s="235">
        <f t="shared" ca="1" si="48"/>
        <v>180708.68170349201</v>
      </c>
      <c r="AH131" s="235">
        <f t="shared" ca="1" si="48"/>
        <v>172581.43009778197</v>
      </c>
      <c r="AI131" s="235">
        <f t="shared" ca="1" si="48"/>
        <v>164360.86313393255</v>
      </c>
      <c r="AJ131" s="235">
        <f t="shared" ca="1" si="48"/>
        <v>156240.38606322557</v>
      </c>
      <c r="AK131" s="235">
        <f t="shared" ca="1" si="48"/>
        <v>148012.2796680227</v>
      </c>
      <c r="AL131" s="235">
        <f t="shared" ca="1" si="48"/>
        <v>139870.18203755852</v>
      </c>
      <c r="AM131" s="235">
        <f t="shared" ca="1" si="48"/>
        <v>131677.52213756327</v>
      </c>
      <c r="AN131" s="235">
        <f t="shared" ca="1" si="48"/>
        <v>123549.54204930429</v>
      </c>
      <c r="AO131" s="235">
        <f t="shared" ca="1" si="48"/>
        <v>115327.34888252598</v>
      </c>
      <c r="AP131" s="235">
        <f t="shared" ca="1" si="48"/>
        <v>107199.11476089514</v>
      </c>
      <c r="AQ131" s="235">
        <f t="shared" ca="1" si="48"/>
        <v>98976.350675370079</v>
      </c>
      <c r="AR131" s="235">
        <f t="shared" ca="1" si="48"/>
        <v>90854.595058752631</v>
      </c>
      <c r="AS131" s="235">
        <f t="shared" ca="1" si="48"/>
        <v>82624.506685166329</v>
      </c>
      <c r="AT131" s="235">
        <f t="shared" ca="1" si="48"/>
        <v>74481.051410451939</v>
      </c>
      <c r="AU131" s="235">
        <f t="shared" ca="1" si="48"/>
        <v>61425.746878684615</v>
      </c>
      <c r="AV131" s="235">
        <f t="shared" ca="1" si="48"/>
        <v>48489.050856380258</v>
      </c>
      <c r="AW131" s="235">
        <f t="shared" ca="1" si="48"/>
        <v>41033.799677401665</v>
      </c>
      <c r="AX131" s="235">
        <f t="shared" ca="1" si="48"/>
        <v>33673.567405543406</v>
      </c>
      <c r="AY131" s="235">
        <f t="shared" ca="1" si="48"/>
        <v>26218.459661645116</v>
      </c>
      <c r="AZ131" s="235">
        <f t="shared" ca="1" si="48"/>
        <v>18858.718898209627</v>
      </c>
      <c r="BA131" s="235">
        <f t="shared" ca="1" si="48"/>
        <v>11403.754353920696</v>
      </c>
      <c r="BB131" s="235">
        <f t="shared" ca="1" si="48"/>
        <v>-2.0082702394574881E-4</v>
      </c>
      <c r="BC131" s="235">
        <f t="shared" ca="1" si="48"/>
        <v>-2.0082702394574881E-4</v>
      </c>
      <c r="BD131" s="235">
        <f t="shared" ca="1" si="48"/>
        <v>-2.0082702394574881E-4</v>
      </c>
      <c r="BE131" s="235">
        <f t="shared" ca="1" si="48"/>
        <v>-2.0082702394574881E-4</v>
      </c>
      <c r="BF131" s="235">
        <f t="shared" ca="1" si="48"/>
        <v>-2.0082702394574881E-4</v>
      </c>
      <c r="BG131" s="235">
        <f t="shared" ca="1" si="48"/>
        <v>-2.0082702394574881E-4</v>
      </c>
      <c r="BH131" s="235">
        <f t="shared" ca="1" si="48"/>
        <v>-2.0082702394574881E-4</v>
      </c>
      <c r="BI131" s="235">
        <f t="shared" ca="1" si="48"/>
        <v>-2.0082702394574881E-4</v>
      </c>
      <c r="BJ131" s="235">
        <f t="shared" ca="1" si="48"/>
        <v>-2.0082702394574881E-4</v>
      </c>
      <c r="BK131" s="235">
        <f t="shared" ca="1" si="48"/>
        <v>-2.0082702394574881E-4</v>
      </c>
      <c r="BL131" s="235">
        <f t="shared" ca="1" si="48"/>
        <v>-2.0082702394574881E-4</v>
      </c>
      <c r="BM131" s="235">
        <f t="shared" ca="1" si="48"/>
        <v>-2.0082702394574881E-4</v>
      </c>
      <c r="BN131" s="235">
        <f t="shared" ca="1" si="48"/>
        <v>-2.0082702394574881E-4</v>
      </c>
      <c r="BO131" s="235">
        <f t="shared" ca="1" si="48"/>
        <v>-2.0082702394574881E-4</v>
      </c>
      <c r="BP131" s="235">
        <f t="shared" ca="1" si="48"/>
        <v>-2.0082702394574881E-4</v>
      </c>
      <c r="BQ131" s="235">
        <f t="shared" ca="1" si="48"/>
        <v>-2.0082702394574881E-4</v>
      </c>
      <c r="BR131" s="235">
        <f t="shared" ref="BR131:CV131" ca="1" si="49" xml:space="preserve"> BR$125</f>
        <v>-2.0082702394574881E-4</v>
      </c>
      <c r="BS131" s="235">
        <f t="shared" ca="1" si="49"/>
        <v>-2.0082702394574881E-4</v>
      </c>
      <c r="BT131" s="235">
        <f t="shared" ca="1" si="49"/>
        <v>-2.0082702394574881E-4</v>
      </c>
      <c r="BU131" s="235">
        <f t="shared" ca="1" si="49"/>
        <v>-2.0082702394574881E-4</v>
      </c>
      <c r="BV131" s="235">
        <f t="shared" ca="1" si="49"/>
        <v>-2.0082702394574881E-4</v>
      </c>
      <c r="BW131" s="235">
        <f t="shared" ca="1" si="49"/>
        <v>-2.0082702394574881E-4</v>
      </c>
      <c r="BX131" s="235">
        <f t="shared" ca="1" si="49"/>
        <v>-2.0082702394574881E-4</v>
      </c>
      <c r="BY131" s="235">
        <f t="shared" ca="1" si="49"/>
        <v>-2.0082702394574881E-4</v>
      </c>
      <c r="BZ131" s="235">
        <f t="shared" ca="1" si="49"/>
        <v>-2.0082702394574881E-4</v>
      </c>
      <c r="CA131" s="235">
        <f t="shared" ca="1" si="49"/>
        <v>-2.0082702394574881E-4</v>
      </c>
      <c r="CB131" s="235">
        <f t="shared" ca="1" si="49"/>
        <v>-2.0082702394574881E-4</v>
      </c>
      <c r="CC131" s="235">
        <f t="shared" ca="1" si="49"/>
        <v>-2.0082702394574881E-4</v>
      </c>
      <c r="CD131" s="235">
        <f t="shared" ca="1" si="49"/>
        <v>-2.0082702394574881E-4</v>
      </c>
      <c r="CE131" s="235">
        <f t="shared" ca="1" si="49"/>
        <v>-2.0082702394574881E-4</v>
      </c>
      <c r="CF131" s="235">
        <f t="shared" ca="1" si="49"/>
        <v>-2.0082702394574881E-4</v>
      </c>
      <c r="CG131" s="235">
        <f t="shared" ca="1" si="49"/>
        <v>-2.0082702394574881E-4</v>
      </c>
      <c r="CH131" s="235">
        <f t="shared" ca="1" si="49"/>
        <v>-2.0082702394574881E-4</v>
      </c>
      <c r="CI131" s="235">
        <f t="shared" ca="1" si="49"/>
        <v>-2.0082702394574881E-4</v>
      </c>
      <c r="CJ131" s="235">
        <f t="shared" ca="1" si="49"/>
        <v>-2.0082702394574881E-4</v>
      </c>
      <c r="CK131" s="235">
        <f t="shared" ca="1" si="49"/>
        <v>-2.0082702394574881E-4</v>
      </c>
      <c r="CL131" s="235">
        <f t="shared" ca="1" si="49"/>
        <v>-2.0082702394574881E-4</v>
      </c>
      <c r="CM131" s="235">
        <f t="shared" ca="1" si="49"/>
        <v>-2.0082702394574881E-4</v>
      </c>
      <c r="CN131" s="235">
        <f t="shared" ca="1" si="49"/>
        <v>-2.0082702394574881E-4</v>
      </c>
      <c r="CO131" s="235">
        <f t="shared" ca="1" si="49"/>
        <v>-2.0082702394574881E-4</v>
      </c>
      <c r="CP131" s="235">
        <f t="shared" ca="1" si="49"/>
        <v>-2.0082702394574881E-4</v>
      </c>
      <c r="CQ131" s="235">
        <f t="shared" ca="1" si="49"/>
        <v>-2.0082702394574881E-4</v>
      </c>
      <c r="CR131" s="235">
        <f t="shared" ca="1" si="49"/>
        <v>-2.0082702394574881E-4</v>
      </c>
      <c r="CS131" s="235">
        <f t="shared" ca="1" si="49"/>
        <v>-2.0082702394574881E-4</v>
      </c>
      <c r="CT131" s="235">
        <f t="shared" ca="1" si="49"/>
        <v>-2.0082702394574881E-4</v>
      </c>
      <c r="CU131" s="235">
        <f t="shared" ca="1" si="49"/>
        <v>-2.0082702394574881E-4</v>
      </c>
      <c r="CV131" s="235">
        <f t="shared" ca="1" si="49"/>
        <v>-2.0082702394574881E-4</v>
      </c>
    </row>
    <row r="132" spans="1:100" s="191" customFormat="1" outlineLevel="1" x14ac:dyDescent="0.2">
      <c r="A132" s="205"/>
      <c r="B132" s="205"/>
      <c r="C132" s="206"/>
      <c r="D132" s="209"/>
      <c r="E132" s="192" t="s">
        <v>1163</v>
      </c>
      <c r="F132" s="478">
        <f ca="1" xml:space="preserve"> IF(SUM(J132:CV132) &lt;&gt; 0, 1, 0)</f>
        <v>0</v>
      </c>
      <c r="G132" s="192" t="s">
        <v>20</v>
      </c>
      <c r="H132" s="192"/>
      <c r="I132" s="192"/>
      <c r="J132" s="478">
        <f t="shared" ref="J132:BU132" ca="1" si="50" xml:space="preserve"> IF(ABS(J130 - J131) &gt; CHK_TOL, 1, 0)</f>
        <v>0</v>
      </c>
      <c r="K132" s="478">
        <f t="shared" ca="1" si="50"/>
        <v>0</v>
      </c>
      <c r="L132" s="478">
        <f t="shared" ca="1" si="50"/>
        <v>0</v>
      </c>
      <c r="M132" s="478">
        <f t="shared" ca="1" si="50"/>
        <v>0</v>
      </c>
      <c r="N132" s="478">
        <f t="shared" ca="1" si="50"/>
        <v>0</v>
      </c>
      <c r="O132" s="478">
        <f t="shared" ca="1" si="50"/>
        <v>0</v>
      </c>
      <c r="P132" s="478">
        <f t="shared" ca="1" si="50"/>
        <v>0</v>
      </c>
      <c r="Q132" s="478">
        <f t="shared" ca="1" si="50"/>
        <v>0</v>
      </c>
      <c r="R132" s="478">
        <f t="shared" ca="1" si="50"/>
        <v>0</v>
      </c>
      <c r="S132" s="478">
        <f t="shared" ca="1" si="50"/>
        <v>0</v>
      </c>
      <c r="T132" s="478">
        <f t="shared" ca="1" si="50"/>
        <v>0</v>
      </c>
      <c r="U132" s="478">
        <f t="shared" ca="1" si="50"/>
        <v>0</v>
      </c>
      <c r="V132" s="478">
        <f t="shared" ca="1" si="50"/>
        <v>0</v>
      </c>
      <c r="W132" s="478">
        <f t="shared" ca="1" si="50"/>
        <v>0</v>
      </c>
      <c r="X132" s="478">
        <f t="shared" ca="1" si="50"/>
        <v>0</v>
      </c>
      <c r="Y132" s="478">
        <f t="shared" ca="1" si="50"/>
        <v>0</v>
      </c>
      <c r="Z132" s="478">
        <f t="shared" ca="1" si="50"/>
        <v>0</v>
      </c>
      <c r="AA132" s="478">
        <f t="shared" ca="1" si="50"/>
        <v>0</v>
      </c>
      <c r="AB132" s="478">
        <f t="shared" ca="1" si="50"/>
        <v>0</v>
      </c>
      <c r="AC132" s="478">
        <f t="shared" ca="1" si="50"/>
        <v>0</v>
      </c>
      <c r="AD132" s="478">
        <f t="shared" ca="1" si="50"/>
        <v>0</v>
      </c>
      <c r="AE132" s="478">
        <f t="shared" ca="1" si="50"/>
        <v>0</v>
      </c>
      <c r="AF132" s="478">
        <f t="shared" ca="1" si="50"/>
        <v>0</v>
      </c>
      <c r="AG132" s="478">
        <f t="shared" ca="1" si="50"/>
        <v>0</v>
      </c>
      <c r="AH132" s="478">
        <f t="shared" ca="1" si="50"/>
        <v>0</v>
      </c>
      <c r="AI132" s="478">
        <f t="shared" ca="1" si="50"/>
        <v>0</v>
      </c>
      <c r="AJ132" s="478">
        <f t="shared" ca="1" si="50"/>
        <v>0</v>
      </c>
      <c r="AK132" s="478">
        <f t="shared" ca="1" si="50"/>
        <v>0</v>
      </c>
      <c r="AL132" s="478">
        <f t="shared" ca="1" si="50"/>
        <v>0</v>
      </c>
      <c r="AM132" s="478">
        <f t="shared" ca="1" si="50"/>
        <v>0</v>
      </c>
      <c r="AN132" s="478">
        <f t="shared" ca="1" si="50"/>
        <v>0</v>
      </c>
      <c r="AO132" s="478">
        <f t="shared" ca="1" si="50"/>
        <v>0</v>
      </c>
      <c r="AP132" s="478">
        <f t="shared" ca="1" si="50"/>
        <v>0</v>
      </c>
      <c r="AQ132" s="478">
        <f t="shared" ca="1" si="50"/>
        <v>0</v>
      </c>
      <c r="AR132" s="478">
        <f t="shared" ca="1" si="50"/>
        <v>0</v>
      </c>
      <c r="AS132" s="478">
        <f t="shared" ca="1" si="50"/>
        <v>0</v>
      </c>
      <c r="AT132" s="478">
        <f t="shared" ca="1" si="50"/>
        <v>0</v>
      </c>
      <c r="AU132" s="478">
        <f t="shared" ca="1" si="50"/>
        <v>0</v>
      </c>
      <c r="AV132" s="478">
        <f t="shared" ca="1" si="50"/>
        <v>0</v>
      </c>
      <c r="AW132" s="478">
        <f t="shared" ca="1" si="50"/>
        <v>0</v>
      </c>
      <c r="AX132" s="478">
        <f t="shared" ca="1" si="50"/>
        <v>0</v>
      </c>
      <c r="AY132" s="478">
        <f t="shared" ca="1" si="50"/>
        <v>0</v>
      </c>
      <c r="AZ132" s="478">
        <f t="shared" ca="1" si="50"/>
        <v>0</v>
      </c>
      <c r="BA132" s="478">
        <f t="shared" ca="1" si="50"/>
        <v>0</v>
      </c>
      <c r="BB132" s="478">
        <f t="shared" ca="1" si="50"/>
        <v>0</v>
      </c>
      <c r="BC132" s="478">
        <f t="shared" ca="1" si="50"/>
        <v>0</v>
      </c>
      <c r="BD132" s="478">
        <f t="shared" ca="1" si="50"/>
        <v>0</v>
      </c>
      <c r="BE132" s="478">
        <f t="shared" ca="1" si="50"/>
        <v>0</v>
      </c>
      <c r="BF132" s="478">
        <f t="shared" ca="1" si="50"/>
        <v>0</v>
      </c>
      <c r="BG132" s="478">
        <f t="shared" ca="1" si="50"/>
        <v>0</v>
      </c>
      <c r="BH132" s="478">
        <f t="shared" ca="1" si="50"/>
        <v>0</v>
      </c>
      <c r="BI132" s="478">
        <f t="shared" ca="1" si="50"/>
        <v>0</v>
      </c>
      <c r="BJ132" s="478">
        <f t="shared" ca="1" si="50"/>
        <v>0</v>
      </c>
      <c r="BK132" s="478">
        <f t="shared" ca="1" si="50"/>
        <v>0</v>
      </c>
      <c r="BL132" s="478">
        <f t="shared" ca="1" si="50"/>
        <v>0</v>
      </c>
      <c r="BM132" s="478">
        <f t="shared" ca="1" si="50"/>
        <v>0</v>
      </c>
      <c r="BN132" s="478">
        <f t="shared" ca="1" si="50"/>
        <v>0</v>
      </c>
      <c r="BO132" s="478">
        <f t="shared" ca="1" si="50"/>
        <v>0</v>
      </c>
      <c r="BP132" s="478">
        <f t="shared" ca="1" si="50"/>
        <v>0</v>
      </c>
      <c r="BQ132" s="478">
        <f t="shared" ca="1" si="50"/>
        <v>0</v>
      </c>
      <c r="BR132" s="478">
        <f t="shared" ca="1" si="50"/>
        <v>0</v>
      </c>
      <c r="BS132" s="478">
        <f t="shared" ca="1" si="50"/>
        <v>0</v>
      </c>
      <c r="BT132" s="478">
        <f t="shared" ca="1" si="50"/>
        <v>0</v>
      </c>
      <c r="BU132" s="478">
        <f t="shared" ca="1" si="50"/>
        <v>0</v>
      </c>
      <c r="BV132" s="478">
        <f t="shared" ref="BV132:CV132" ca="1" si="51" xml:space="preserve"> IF(ABS(BV130 - BV131) &gt; CHK_TOL, 1, 0)</f>
        <v>0</v>
      </c>
      <c r="BW132" s="478">
        <f t="shared" ca="1" si="51"/>
        <v>0</v>
      </c>
      <c r="BX132" s="478">
        <f t="shared" ca="1" si="51"/>
        <v>0</v>
      </c>
      <c r="BY132" s="478">
        <f t="shared" ca="1" si="51"/>
        <v>0</v>
      </c>
      <c r="BZ132" s="478">
        <f t="shared" ca="1" si="51"/>
        <v>0</v>
      </c>
      <c r="CA132" s="478">
        <f t="shared" ca="1" si="51"/>
        <v>0</v>
      </c>
      <c r="CB132" s="478">
        <f t="shared" ca="1" si="51"/>
        <v>0</v>
      </c>
      <c r="CC132" s="478">
        <f t="shared" ca="1" si="51"/>
        <v>0</v>
      </c>
      <c r="CD132" s="478">
        <f t="shared" ca="1" si="51"/>
        <v>0</v>
      </c>
      <c r="CE132" s="478">
        <f t="shared" ca="1" si="51"/>
        <v>0</v>
      </c>
      <c r="CF132" s="478">
        <f t="shared" ca="1" si="51"/>
        <v>0</v>
      </c>
      <c r="CG132" s="478">
        <f t="shared" ca="1" si="51"/>
        <v>0</v>
      </c>
      <c r="CH132" s="478">
        <f t="shared" ca="1" si="51"/>
        <v>0</v>
      </c>
      <c r="CI132" s="478">
        <f t="shared" ca="1" si="51"/>
        <v>0</v>
      </c>
      <c r="CJ132" s="478">
        <f t="shared" ca="1" si="51"/>
        <v>0</v>
      </c>
      <c r="CK132" s="478">
        <f t="shared" ca="1" si="51"/>
        <v>0</v>
      </c>
      <c r="CL132" s="478">
        <f t="shared" ca="1" si="51"/>
        <v>0</v>
      </c>
      <c r="CM132" s="478">
        <f t="shared" ca="1" si="51"/>
        <v>0</v>
      </c>
      <c r="CN132" s="478">
        <f t="shared" ca="1" si="51"/>
        <v>0</v>
      </c>
      <c r="CO132" s="478">
        <f t="shared" ca="1" si="51"/>
        <v>0</v>
      </c>
      <c r="CP132" s="478">
        <f t="shared" ca="1" si="51"/>
        <v>0</v>
      </c>
      <c r="CQ132" s="478">
        <f t="shared" ca="1" si="51"/>
        <v>0</v>
      </c>
      <c r="CR132" s="478">
        <f t="shared" ca="1" si="51"/>
        <v>0</v>
      </c>
      <c r="CS132" s="478">
        <f t="shared" ca="1" si="51"/>
        <v>0</v>
      </c>
      <c r="CT132" s="478">
        <f t="shared" ca="1" si="51"/>
        <v>0</v>
      </c>
      <c r="CU132" s="478">
        <f t="shared" ca="1" si="51"/>
        <v>0</v>
      </c>
      <c r="CV132" s="478">
        <f t="shared" ca="1" si="51"/>
        <v>0</v>
      </c>
    </row>
    <row r="133" spans="1:100" outlineLevel="1" x14ac:dyDescent="0.2">
      <c r="D133" s="209"/>
      <c r="E133" s="192" t="s">
        <v>1164</v>
      </c>
      <c r="F133" s="192"/>
      <c r="G133" s="192" t="str">
        <f xml:space="preserve"> SMU</f>
        <v>$ 000s</v>
      </c>
      <c r="H133" s="192">
        <f ca="1" xml:space="preserve"> SUM(J133:CV133)</f>
        <v>1.3186763681005687E-8</v>
      </c>
      <c r="I133" s="192"/>
      <c r="J133" s="192">
        <f ca="1" xml:space="preserve"> J130 - J131</f>
        <v>0</v>
      </c>
      <c r="K133" s="192">
        <f t="shared" ref="K133:BV133" ca="1" si="52" xml:space="preserve"> K130 - K131</f>
        <v>0</v>
      </c>
      <c r="L133" s="192">
        <f t="shared" ca="1" si="52"/>
        <v>0</v>
      </c>
      <c r="M133" s="192">
        <f t="shared" ca="1" si="52"/>
        <v>0</v>
      </c>
      <c r="N133" s="192">
        <f t="shared" ca="1" si="52"/>
        <v>0</v>
      </c>
      <c r="O133" s="192">
        <f t="shared" ca="1" si="52"/>
        <v>0</v>
      </c>
      <c r="P133" s="192">
        <f t="shared" ca="1" si="52"/>
        <v>0</v>
      </c>
      <c r="Q133" s="192">
        <f t="shared" ca="1" si="52"/>
        <v>0</v>
      </c>
      <c r="R133" s="386">
        <f t="shared" ca="1" si="52"/>
        <v>0</v>
      </c>
      <c r="S133" s="192">
        <f t="shared" ca="1" si="52"/>
        <v>0</v>
      </c>
      <c r="T133" s="192">
        <f t="shared" ca="1" si="52"/>
        <v>0</v>
      </c>
      <c r="U133" s="192">
        <f t="shared" ca="1" si="52"/>
        <v>0</v>
      </c>
      <c r="V133" s="192">
        <f t="shared" ca="1" si="52"/>
        <v>0</v>
      </c>
      <c r="W133" s="192">
        <f t="shared" ca="1" si="52"/>
        <v>0</v>
      </c>
      <c r="X133" s="192">
        <f t="shared" ca="1" si="52"/>
        <v>0</v>
      </c>
      <c r="Y133" s="192">
        <f t="shared" ca="1" si="52"/>
        <v>0</v>
      </c>
      <c r="Z133" s="192">
        <f t="shared" ca="1" si="52"/>
        <v>0</v>
      </c>
      <c r="AA133" s="192">
        <f t="shared" ca="1" si="52"/>
        <v>0</v>
      </c>
      <c r="AB133" s="192">
        <f t="shared" ca="1" si="52"/>
        <v>0</v>
      </c>
      <c r="AC133" s="192">
        <f t="shared" ca="1" si="52"/>
        <v>0</v>
      </c>
      <c r="AD133" s="192">
        <f t="shared" ca="1" si="52"/>
        <v>0</v>
      </c>
      <c r="AE133" s="192">
        <f t="shared" ca="1" si="52"/>
        <v>0</v>
      </c>
      <c r="AF133" s="192">
        <f t="shared" ca="1" si="52"/>
        <v>0</v>
      </c>
      <c r="AG133" s="192">
        <f t="shared" ca="1" si="52"/>
        <v>0</v>
      </c>
      <c r="AH133" s="192">
        <f t="shared" ca="1" si="52"/>
        <v>0</v>
      </c>
      <c r="AI133" s="192">
        <f t="shared" ca="1" si="52"/>
        <v>0</v>
      </c>
      <c r="AJ133" s="192">
        <f t="shared" ca="1" si="52"/>
        <v>0</v>
      </c>
      <c r="AK133" s="192">
        <f t="shared" ca="1" si="52"/>
        <v>0</v>
      </c>
      <c r="AL133" s="192">
        <f t="shared" ca="1" si="52"/>
        <v>0</v>
      </c>
      <c r="AM133" s="192">
        <f t="shared" ca="1" si="52"/>
        <v>0</v>
      </c>
      <c r="AN133" s="192">
        <f t="shared" ca="1" si="52"/>
        <v>-1.4551915228366852E-10</v>
      </c>
      <c r="AO133" s="192">
        <f t="shared" ca="1" si="52"/>
        <v>-1.1641532182693481E-10</v>
      </c>
      <c r="AP133" s="192">
        <f t="shared" ca="1" si="52"/>
        <v>0</v>
      </c>
      <c r="AQ133" s="192">
        <f t="shared" ca="1" si="52"/>
        <v>0</v>
      </c>
      <c r="AR133" s="192">
        <f t="shared" ca="1" si="52"/>
        <v>0</v>
      </c>
      <c r="AS133" s="192">
        <f t="shared" ca="1" si="52"/>
        <v>0</v>
      </c>
      <c r="AT133" s="192">
        <f t="shared" ca="1" si="52"/>
        <v>0</v>
      </c>
      <c r="AU133" s="192">
        <f t="shared" ca="1" si="52"/>
        <v>0</v>
      </c>
      <c r="AV133" s="192">
        <f t="shared" ca="1" si="52"/>
        <v>1.8189894035458565E-10</v>
      </c>
      <c r="AW133" s="192">
        <f t="shared" ca="1" si="52"/>
        <v>0</v>
      </c>
      <c r="AX133" s="192">
        <f t="shared" ca="1" si="52"/>
        <v>5.8207660913467407E-11</v>
      </c>
      <c r="AY133" s="192">
        <f t="shared" ca="1" si="52"/>
        <v>1.8553691916167736E-10</v>
      </c>
      <c r="AZ133" s="192">
        <f t="shared" ca="1" si="52"/>
        <v>2.6193447411060333E-10</v>
      </c>
      <c r="BA133" s="192">
        <f t="shared" ca="1" si="52"/>
        <v>1.5097612049430609E-10</v>
      </c>
      <c r="BB133" s="192">
        <f t="shared" ca="1" si="52"/>
        <v>2.6830093702301383E-10</v>
      </c>
      <c r="BC133" s="192">
        <f t="shared" ca="1" si="52"/>
        <v>2.6830093702301383E-10</v>
      </c>
      <c r="BD133" s="192">
        <f t="shared" ca="1" si="52"/>
        <v>2.6830093702301383E-10</v>
      </c>
      <c r="BE133" s="192">
        <f t="shared" ca="1" si="52"/>
        <v>2.6830093702301383E-10</v>
      </c>
      <c r="BF133" s="192">
        <f t="shared" ca="1" si="52"/>
        <v>2.6830093702301383E-10</v>
      </c>
      <c r="BG133" s="192">
        <f t="shared" ca="1" si="52"/>
        <v>2.6830093702301383E-10</v>
      </c>
      <c r="BH133" s="192">
        <f t="shared" ca="1" si="52"/>
        <v>2.6830093702301383E-10</v>
      </c>
      <c r="BI133" s="192">
        <f t="shared" ca="1" si="52"/>
        <v>2.6830093702301383E-10</v>
      </c>
      <c r="BJ133" s="192">
        <f t="shared" ca="1" si="52"/>
        <v>2.6830093702301383E-10</v>
      </c>
      <c r="BK133" s="192">
        <f t="shared" ca="1" si="52"/>
        <v>2.6830093702301383E-10</v>
      </c>
      <c r="BL133" s="192">
        <f t="shared" ca="1" si="52"/>
        <v>2.6830093702301383E-10</v>
      </c>
      <c r="BM133" s="192">
        <f t="shared" ca="1" si="52"/>
        <v>2.6830093702301383E-10</v>
      </c>
      <c r="BN133" s="192">
        <f t="shared" ca="1" si="52"/>
        <v>2.6830093702301383E-10</v>
      </c>
      <c r="BO133" s="192">
        <f t="shared" ca="1" si="52"/>
        <v>2.6830093702301383E-10</v>
      </c>
      <c r="BP133" s="192">
        <f t="shared" ca="1" si="52"/>
        <v>2.6830093702301383E-10</v>
      </c>
      <c r="BQ133" s="192">
        <f t="shared" ca="1" si="52"/>
        <v>2.6830093702301383E-10</v>
      </c>
      <c r="BR133" s="192">
        <f t="shared" ca="1" si="52"/>
        <v>2.6830093702301383E-10</v>
      </c>
      <c r="BS133" s="192">
        <f t="shared" ca="1" si="52"/>
        <v>2.6830093702301383E-10</v>
      </c>
      <c r="BT133" s="192">
        <f t="shared" ca="1" si="52"/>
        <v>2.6830093702301383E-10</v>
      </c>
      <c r="BU133" s="192">
        <f t="shared" ca="1" si="52"/>
        <v>2.6830093702301383E-10</v>
      </c>
      <c r="BV133" s="192">
        <f t="shared" ca="1" si="52"/>
        <v>2.6830093702301383E-10</v>
      </c>
      <c r="BW133" s="192">
        <f t="shared" ref="BW133:CV133" ca="1" si="53" xml:space="preserve"> BW130 - BW131</f>
        <v>2.6830093702301383E-10</v>
      </c>
      <c r="BX133" s="192">
        <f t="shared" ca="1" si="53"/>
        <v>2.6830093702301383E-10</v>
      </c>
      <c r="BY133" s="192">
        <f t="shared" ca="1" si="53"/>
        <v>2.6830093702301383E-10</v>
      </c>
      <c r="BZ133" s="192">
        <f t="shared" ca="1" si="53"/>
        <v>2.6830093702301383E-10</v>
      </c>
      <c r="CA133" s="192">
        <f t="shared" ca="1" si="53"/>
        <v>2.6830093702301383E-10</v>
      </c>
      <c r="CB133" s="192">
        <f t="shared" ca="1" si="53"/>
        <v>2.6830093702301383E-10</v>
      </c>
      <c r="CC133" s="192">
        <f t="shared" ca="1" si="53"/>
        <v>2.6830093702301383E-10</v>
      </c>
      <c r="CD133" s="192">
        <f t="shared" ca="1" si="53"/>
        <v>2.6830093702301383E-10</v>
      </c>
      <c r="CE133" s="192">
        <f t="shared" ca="1" si="53"/>
        <v>2.6830093702301383E-10</v>
      </c>
      <c r="CF133" s="192">
        <f t="shared" ca="1" si="53"/>
        <v>2.6830093702301383E-10</v>
      </c>
      <c r="CG133" s="192">
        <f t="shared" ca="1" si="53"/>
        <v>2.6830093702301383E-10</v>
      </c>
      <c r="CH133" s="192">
        <f t="shared" ca="1" si="53"/>
        <v>2.6830093702301383E-10</v>
      </c>
      <c r="CI133" s="192">
        <f t="shared" ca="1" si="53"/>
        <v>2.6830093702301383E-10</v>
      </c>
      <c r="CJ133" s="192">
        <f t="shared" ca="1" si="53"/>
        <v>2.6830093702301383E-10</v>
      </c>
      <c r="CK133" s="192">
        <f t="shared" ca="1" si="53"/>
        <v>2.6830093702301383E-10</v>
      </c>
      <c r="CL133" s="192">
        <f t="shared" ca="1" si="53"/>
        <v>2.6830093702301383E-10</v>
      </c>
      <c r="CM133" s="192">
        <f t="shared" ca="1" si="53"/>
        <v>2.6830093702301383E-10</v>
      </c>
      <c r="CN133" s="192">
        <f t="shared" ca="1" si="53"/>
        <v>2.6830093702301383E-10</v>
      </c>
      <c r="CO133" s="192">
        <f t="shared" ca="1" si="53"/>
        <v>2.6830093702301383E-10</v>
      </c>
      <c r="CP133" s="192">
        <f t="shared" ca="1" si="53"/>
        <v>2.6830093702301383E-10</v>
      </c>
      <c r="CQ133" s="192">
        <f t="shared" ca="1" si="53"/>
        <v>2.6830093702301383E-10</v>
      </c>
      <c r="CR133" s="192">
        <f t="shared" ca="1" si="53"/>
        <v>2.6830093702301383E-10</v>
      </c>
      <c r="CS133" s="192">
        <f t="shared" ca="1" si="53"/>
        <v>2.6830093702301383E-10</v>
      </c>
      <c r="CT133" s="192">
        <f t="shared" ca="1" si="53"/>
        <v>2.6830093702301383E-10</v>
      </c>
      <c r="CU133" s="192">
        <f t="shared" ca="1" si="53"/>
        <v>2.6830093702301383E-10</v>
      </c>
      <c r="CV133" s="192">
        <f t="shared" ca="1" si="53"/>
        <v>2.6830093702301383E-10</v>
      </c>
    </row>
    <row r="134" spans="1:100" outlineLevel="1" x14ac:dyDescent="0.2">
      <c r="D134" s="209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">
      <c r="D135" s="209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235"/>
      <c r="CC135" s="235"/>
      <c r="CD135" s="235"/>
      <c r="CE135" s="235"/>
      <c r="CF135" s="235"/>
      <c r="CG135" s="235"/>
      <c r="CH135" s="235"/>
      <c r="CI135" s="235"/>
      <c r="CJ135" s="235"/>
      <c r="CK135" s="235"/>
      <c r="CL135" s="235"/>
      <c r="CM135" s="235"/>
      <c r="CN135" s="235"/>
      <c r="CO135" s="235"/>
      <c r="CP135" s="235"/>
      <c r="CQ135" s="235"/>
      <c r="CR135" s="235"/>
      <c r="CS135" s="235"/>
      <c r="CT135" s="235"/>
      <c r="CU135" s="235"/>
      <c r="CV135" s="235"/>
    </row>
    <row r="136" spans="1:100" x14ac:dyDescent="0.2">
      <c r="A136" s="205" t="s">
        <v>62</v>
      </c>
      <c r="D136" s="209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235"/>
      <c r="CC136" s="235"/>
      <c r="CD136" s="235"/>
      <c r="CE136" s="235"/>
      <c r="CF136" s="235"/>
      <c r="CG136" s="235"/>
      <c r="CH136" s="235"/>
      <c r="CI136" s="235"/>
      <c r="CJ136" s="235"/>
      <c r="CK136" s="235"/>
      <c r="CL136" s="235"/>
      <c r="CM136" s="235"/>
      <c r="CN136" s="235"/>
      <c r="CO136" s="235"/>
      <c r="CP136" s="235"/>
      <c r="CQ136" s="235"/>
      <c r="CR136" s="235"/>
      <c r="CS136" s="235"/>
      <c r="CT136" s="235"/>
      <c r="CU136" s="235"/>
      <c r="CV136" s="235"/>
    </row>
    <row r="137" spans="1:100" hidden="1" x14ac:dyDescent="0.2">
      <c r="Z137" s="235"/>
    </row>
    <row r="138" spans="1:100" hidden="1" x14ac:dyDescent="0.2">
      <c r="Z138" s="235"/>
    </row>
    <row r="139" spans="1:100" hidden="1" x14ac:dyDescent="0.2">
      <c r="Z139" s="235"/>
    </row>
    <row r="140" spans="1:100" hidden="1" x14ac:dyDescent="0.2">
      <c r="Z140" s="235"/>
    </row>
    <row r="141" spans="1:100" hidden="1" x14ac:dyDescent="0.2">
      <c r="Z141" s="235"/>
    </row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</sheetData>
  <conditionalFormatting sqref="J132:CV132">
    <cfRule type="cellIs" dxfId="1041" priority="10" stopIfTrue="1" operator="notEqual">
      <formula>0</formula>
    </cfRule>
    <cfRule type="cellIs" dxfId="1040" priority="11" stopIfTrue="1" operator="equal">
      <formula>""</formula>
    </cfRule>
  </conditionalFormatting>
  <conditionalFormatting sqref="J132:CV132">
    <cfRule type="cellIs" dxfId="1039" priority="12" stopIfTrue="1" operator="notEqual">
      <formula>0</formula>
    </cfRule>
    <cfRule type="cellIs" dxfId="1038" priority="13" stopIfTrue="1" operator="equal">
      <formula>""</formula>
    </cfRule>
  </conditionalFormatting>
  <conditionalFormatting sqref="F132">
    <cfRule type="cellIs" dxfId="1037" priority="14" stopIfTrue="1" operator="notEqual">
      <formula>0</formula>
    </cfRule>
    <cfRule type="cellIs" dxfId="1036" priority="15" stopIfTrue="1" operator="equal">
      <formula>""</formula>
    </cfRule>
  </conditionalFormatting>
  <conditionalFormatting sqref="F132">
    <cfRule type="cellIs" dxfId="1035" priority="16" stopIfTrue="1" operator="notEqual">
      <formula>0</formula>
    </cfRule>
    <cfRule type="cellIs" dxfId="1034" priority="17" stopIfTrue="1" operator="equal">
      <formula>""</formula>
    </cfRule>
  </conditionalFormatting>
  <conditionalFormatting sqref="J3:CV3">
    <cfRule type="cellIs" dxfId="1033" priority="8" stopIfTrue="1" operator="equal">
      <formula>"Construction"</formula>
    </cfRule>
    <cfRule type="cellIs" dxfId="1032" priority="9" stopIfTrue="1" operator="equal">
      <formula>"Operations"</formula>
    </cfRule>
  </conditionalFormatting>
  <conditionalFormatting sqref="J3:CV3">
    <cfRule type="cellIs" dxfId="1031" priority="7" operator="equal">
      <formula>"Fin Close"</formula>
    </cfRule>
  </conditionalFormatting>
  <conditionalFormatting sqref="J3:CV3">
    <cfRule type="cellIs" dxfId="1030" priority="5" operator="equal">
      <formula>"PPA ext."</formula>
    </cfRule>
    <cfRule type="cellIs" dxfId="1029" priority="6" operator="equal">
      <formula>"Delay"</formula>
    </cfRule>
  </conditionalFormatting>
  <conditionalFormatting sqref="F2:F4">
    <cfRule type="cellIs" dxfId="1028" priority="1" stopIfTrue="1" operator="notEqual">
      <formula>0</formula>
    </cfRule>
    <cfRule type="cellIs" dxfId="1027" priority="2" stopIfTrue="1" operator="equal">
      <formula>""</formula>
    </cfRule>
  </conditionalFormatting>
  <conditionalFormatting sqref="F2:F4">
    <cfRule type="cellIs" dxfId="1026" priority="3" stopIfTrue="1" operator="notEqual">
      <formula>0</formula>
    </cfRule>
    <cfRule type="cellIs" dxfId="1025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157"/>
  <sheetViews>
    <sheetView showFormulas="1" showGridLines="0" tabSelected="1" defaultGridColor="0" colorId="22" zoomScale="80" zoomScaleNormal="80" workbookViewId="0">
      <pane xSplit="9" ySplit="5" topLeftCell="J135" activePane="bottomRight" state="frozen"/>
      <selection activeCell="N7" sqref="N7"/>
      <selection pane="topRight" activeCell="N7" sqref="N7"/>
      <selection pane="bottomLeft" activeCell="N7" sqref="N7"/>
      <selection pane="bottomRight" activeCell="E48" sqref="E48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7" width="11.5703125" style="32" customWidth="1"/>
    <col min="8" max="8" width="11.5703125" style="12" customWidth="1"/>
    <col min="9" max="9" width="2.5703125" style="9" customWidth="1"/>
    <col min="10" max="54" width="11.5703125" style="12" customWidth="1"/>
    <col min="55" max="56" width="0" hidden="1" customWidth="1"/>
    <col min="57" max="67" width="11.5703125" hidden="1" customWidth="1"/>
    <col min="68" max="16384" width="11.5703125" hidden="1"/>
  </cols>
  <sheetData>
    <row r="1" spans="1:54" ht="26.25" x14ac:dyDescent="0.2">
      <c r="A1" s="24" t="str">
        <f ca="1" xml:space="preserve"> RIGHT(CELL("filename", A1), LEN(CELL("filename", A1)) - SEARCH("]", CELL("filename", A1))) &amp; " - " &amp; InpC!F3</f>
        <v>FS Ann - Base case 1</v>
      </c>
    </row>
    <row r="2" spans="1:54" x14ac:dyDescent="0.2">
      <c r="A2" s="49"/>
      <c r="B2" s="49"/>
      <c r="C2" s="50"/>
      <c r="D2" s="51"/>
      <c r="E2" s="194" t="str">
        <f xml:space="preserve"> Time!E$45</f>
        <v>Model period ending - annual</v>
      </c>
      <c r="F2" s="271">
        <f ca="1" xml:space="preserve"> Check!$F$9</f>
        <v>1</v>
      </c>
      <c r="G2" s="80" t="s">
        <v>23</v>
      </c>
      <c r="H2" s="25"/>
      <c r="I2" s="132"/>
      <c r="J2" s="195">
        <f xml:space="preserve"> Time!J$45</f>
        <v>44742</v>
      </c>
      <c r="K2" s="195">
        <f xml:space="preserve"> Time!K$45</f>
        <v>45107</v>
      </c>
      <c r="L2" s="195">
        <f xml:space="preserve"> Time!L$45</f>
        <v>45473</v>
      </c>
      <c r="M2" s="195">
        <f xml:space="preserve"> Time!M$45</f>
        <v>45838</v>
      </c>
      <c r="N2" s="195">
        <f xml:space="preserve"> Time!N$45</f>
        <v>46203</v>
      </c>
      <c r="O2" s="195">
        <f xml:space="preserve"> Time!O$45</f>
        <v>46568</v>
      </c>
      <c r="P2" s="195">
        <f xml:space="preserve"> Time!P$45</f>
        <v>46934</v>
      </c>
      <c r="Q2" s="195">
        <f xml:space="preserve"> Time!Q$45</f>
        <v>47299</v>
      </c>
      <c r="R2" s="195">
        <f xml:space="preserve"> Time!R$45</f>
        <v>47664</v>
      </c>
      <c r="S2" s="195">
        <f xml:space="preserve"> Time!S$45</f>
        <v>48029</v>
      </c>
      <c r="T2" s="195">
        <f xml:space="preserve"> Time!T$45</f>
        <v>48395</v>
      </c>
      <c r="U2" s="195">
        <f xml:space="preserve"> Time!U$45</f>
        <v>48760</v>
      </c>
      <c r="V2" s="195">
        <f xml:space="preserve"> Time!V$45</f>
        <v>49125</v>
      </c>
      <c r="W2" s="195">
        <f xml:space="preserve"> Time!W$45</f>
        <v>49490</v>
      </c>
      <c r="X2" s="195">
        <f xml:space="preserve"> Time!X$45</f>
        <v>49856</v>
      </c>
      <c r="Y2" s="195">
        <f xml:space="preserve"> Time!Y$45</f>
        <v>50221</v>
      </c>
      <c r="Z2" s="195">
        <f xml:space="preserve"> Time!Z$45</f>
        <v>50586</v>
      </c>
      <c r="AA2" s="195">
        <f xml:space="preserve"> Time!AA$45</f>
        <v>50951</v>
      </c>
      <c r="AB2" s="195">
        <f xml:space="preserve"> Time!AB$45</f>
        <v>51317</v>
      </c>
      <c r="AC2" s="195">
        <f xml:space="preserve"> Time!AC$45</f>
        <v>51682</v>
      </c>
      <c r="AD2" s="195">
        <f xml:space="preserve"> Time!AD$45</f>
        <v>52047</v>
      </c>
      <c r="AE2" s="195">
        <f xml:space="preserve"> Time!AE$45</f>
        <v>52412</v>
      </c>
      <c r="AF2" s="195">
        <f xml:space="preserve"> Time!AF$45</f>
        <v>52778</v>
      </c>
      <c r="AG2" s="195">
        <f xml:space="preserve"> Time!AG$45</f>
        <v>53143</v>
      </c>
      <c r="AH2" s="195">
        <f xml:space="preserve"> Time!AH$45</f>
        <v>53508</v>
      </c>
      <c r="AI2" s="195">
        <f xml:space="preserve"> Time!AI$45</f>
        <v>53873</v>
      </c>
      <c r="AJ2" s="195">
        <f xml:space="preserve"> Time!AJ$45</f>
        <v>54239</v>
      </c>
      <c r="AK2" s="195">
        <f xml:space="preserve"> Time!AK$45</f>
        <v>54604</v>
      </c>
      <c r="AL2" s="195">
        <f xml:space="preserve"> Time!AL$45</f>
        <v>54969</v>
      </c>
      <c r="AM2" s="195">
        <f xml:space="preserve"> Time!AM$45</f>
        <v>55334</v>
      </c>
      <c r="AN2" s="195">
        <f xml:space="preserve"> Time!AN$45</f>
        <v>55700</v>
      </c>
      <c r="AO2" s="195">
        <f xml:space="preserve"> Time!AO$45</f>
        <v>56065</v>
      </c>
      <c r="AP2" s="195">
        <f xml:space="preserve"> Time!AP$45</f>
        <v>56430</v>
      </c>
      <c r="AQ2" s="195">
        <f xml:space="preserve"> Time!AQ$45</f>
        <v>56795</v>
      </c>
      <c r="AR2" s="195">
        <f xml:space="preserve"> Time!AR$45</f>
        <v>57161</v>
      </c>
      <c r="AS2" s="195">
        <f xml:space="preserve"> Time!AS$45</f>
        <v>57526</v>
      </c>
      <c r="AT2" s="195">
        <f xml:space="preserve"> Time!AT$45</f>
        <v>57891</v>
      </c>
      <c r="AU2" s="195">
        <f xml:space="preserve"> Time!AU$45</f>
        <v>58256</v>
      </c>
      <c r="AV2" s="195">
        <f xml:space="preserve"> Time!AV$45</f>
        <v>58622</v>
      </c>
      <c r="AW2" s="195">
        <f xml:space="preserve"> Time!AW$45</f>
        <v>58987</v>
      </c>
      <c r="AX2" s="195">
        <f xml:space="preserve"> Time!AX$45</f>
        <v>59352</v>
      </c>
      <c r="AY2" s="195">
        <f xml:space="preserve"> Time!AY$45</f>
        <v>59717</v>
      </c>
      <c r="AZ2" s="195">
        <f xml:space="preserve"> Time!AZ$45</f>
        <v>60083</v>
      </c>
      <c r="BA2" s="195">
        <f xml:space="preserve"> Time!BA$45</f>
        <v>60448</v>
      </c>
      <c r="BB2" s="195">
        <f xml:space="preserve"> Time!BB$45</f>
        <v>60813</v>
      </c>
    </row>
    <row r="3" spans="1:54" x14ac:dyDescent="0.2">
      <c r="E3" s="234" t="str">
        <f xml:space="preserve"> Time!E$50</f>
        <v>Timeline label - annual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Time!J$50</f>
        <v>Fin Close</v>
      </c>
      <c r="K3" s="43" t="str">
        <f xml:space="preserve"> Time!K$50</f>
        <v>Construction</v>
      </c>
      <c r="L3" s="43" t="str">
        <f xml:space="preserve"> Time!L$50</f>
        <v>Construction</v>
      </c>
      <c r="M3" s="43" t="str">
        <f xml:space="preserve"> Time!M$50</f>
        <v>Operations</v>
      </c>
      <c r="N3" s="43" t="str">
        <f xml:space="preserve"> Time!N$50</f>
        <v>Operations</v>
      </c>
      <c r="O3" s="43" t="str">
        <f xml:space="preserve"> Time!O$50</f>
        <v>Operations</v>
      </c>
      <c r="P3" s="43" t="str">
        <f xml:space="preserve"> Time!P$50</f>
        <v>Operations</v>
      </c>
      <c r="Q3" s="43" t="str">
        <f xml:space="preserve"> Time!Q$50</f>
        <v>Operations</v>
      </c>
      <c r="R3" s="43" t="str">
        <f xml:space="preserve"> Time!R$50</f>
        <v>Operations</v>
      </c>
      <c r="S3" s="43" t="str">
        <f xml:space="preserve"> Time!S$50</f>
        <v>Operations</v>
      </c>
      <c r="T3" s="43" t="str">
        <f xml:space="preserve"> Time!T$50</f>
        <v>Operations</v>
      </c>
      <c r="U3" s="43" t="str">
        <f xml:space="preserve"> Time!U$50</f>
        <v>Operations</v>
      </c>
      <c r="V3" s="43" t="str">
        <f xml:space="preserve"> Time!V$50</f>
        <v>Operations</v>
      </c>
      <c r="W3" s="43" t="str">
        <f xml:space="preserve"> Time!W$50</f>
        <v>Operations</v>
      </c>
      <c r="X3" s="43" t="str">
        <f xml:space="preserve"> Time!X$50</f>
        <v>Operations</v>
      </c>
      <c r="Y3" s="43" t="str">
        <f xml:space="preserve"> Time!Y$50</f>
        <v>Operations</v>
      </c>
      <c r="Z3" s="43" t="str">
        <f xml:space="preserve"> Time!Z$50</f>
        <v>Operations</v>
      </c>
      <c r="AA3" s="43" t="str">
        <f xml:space="preserve"> Time!AA$50</f>
        <v>Operations</v>
      </c>
      <c r="AB3" s="43" t="str">
        <f xml:space="preserve"> Time!AB$50</f>
        <v>Operations</v>
      </c>
      <c r="AC3" s="43" t="str">
        <f xml:space="preserve"> Time!AC$50</f>
        <v>Operations</v>
      </c>
      <c r="AD3" s="43" t="str">
        <f xml:space="preserve"> Time!AD$50</f>
        <v>Operations</v>
      </c>
      <c r="AE3" s="43" t="str">
        <f xml:space="preserve"> Time!AE$50</f>
        <v>Operations</v>
      </c>
      <c r="AF3" s="43" t="str">
        <f xml:space="preserve"> Time!AF$50</f>
        <v>Operations</v>
      </c>
      <c r="AG3" s="43" t="str">
        <f xml:space="preserve"> Time!AG$50</f>
        <v>Post ops</v>
      </c>
      <c r="AH3" s="43" t="str">
        <f xml:space="preserve"> Time!AH$50</f>
        <v>Post ops</v>
      </c>
      <c r="AI3" s="43" t="str">
        <f xml:space="preserve"> Time!AI$50</f>
        <v>Post ops</v>
      </c>
      <c r="AJ3" s="43" t="str">
        <f xml:space="preserve"> Time!AJ$50</f>
        <v>Post ops</v>
      </c>
      <c r="AK3" s="43" t="str">
        <f xml:space="preserve"> Time!AK$50</f>
        <v>Post ops</v>
      </c>
      <c r="AL3" s="43" t="str">
        <f xml:space="preserve"> Time!AL$50</f>
        <v>Post ops</v>
      </c>
      <c r="AM3" s="43" t="str">
        <f xml:space="preserve"> Time!AM$50</f>
        <v>Post ops</v>
      </c>
      <c r="AN3" s="43" t="str">
        <f xml:space="preserve"> Time!AN$50</f>
        <v>Post ops</v>
      </c>
      <c r="AO3" s="43" t="str">
        <f xml:space="preserve"> Time!AO$50</f>
        <v>Post ops</v>
      </c>
      <c r="AP3" s="43" t="str">
        <f xml:space="preserve"> Time!AP$50</f>
        <v>Post ops</v>
      </c>
      <c r="AQ3" s="43" t="str">
        <f xml:space="preserve"> Time!AQ$50</f>
        <v>Post ops</v>
      </c>
      <c r="AR3" s="43" t="str">
        <f xml:space="preserve"> Time!AR$50</f>
        <v>Post ops</v>
      </c>
      <c r="AS3" s="43" t="str">
        <f xml:space="preserve"> Time!AS$50</f>
        <v>Post ops</v>
      </c>
      <c r="AT3" s="43" t="str">
        <f xml:space="preserve"> Time!AT$50</f>
        <v>Post ops</v>
      </c>
      <c r="AU3" s="43" t="str">
        <f xml:space="preserve"> Time!AU$50</f>
        <v>Post ops</v>
      </c>
      <c r="AV3" s="43" t="str">
        <f xml:space="preserve"> Time!AV$50</f>
        <v>Post ops</v>
      </c>
      <c r="AW3" s="43" t="str">
        <f xml:space="preserve"> Time!AW$50</f>
        <v>Post ops</v>
      </c>
      <c r="AX3" s="43" t="str">
        <f xml:space="preserve"> Time!AX$50</f>
        <v>Post ops</v>
      </c>
      <c r="AY3" s="43" t="str">
        <f xml:space="preserve"> Time!AY$50</f>
        <v>Post ops</v>
      </c>
      <c r="AZ3" s="43" t="str">
        <f xml:space="preserve"> Time!AZ$50</f>
        <v>Post ops</v>
      </c>
      <c r="BA3" s="43" t="str">
        <f xml:space="preserve"> Time!BA$50</f>
        <v>Post ops</v>
      </c>
      <c r="BB3" s="43" t="str">
        <f xml:space="preserve"> Time!BB$50</f>
        <v>Post ops</v>
      </c>
    </row>
    <row r="4" spans="1:54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t="shared" ref="J4:BB4" si="0" xml:space="preserve"> YEAR(J2)</f>
        <v>2022</v>
      </c>
      <c r="K4" s="196">
        <f t="shared" si="0"/>
        <v>2023</v>
      </c>
      <c r="L4" s="196">
        <f t="shared" si="0"/>
        <v>2024</v>
      </c>
      <c r="M4" s="196">
        <f t="shared" si="0"/>
        <v>2025</v>
      </c>
      <c r="N4" s="196">
        <f t="shared" si="0"/>
        <v>2026</v>
      </c>
      <c r="O4" s="196">
        <f t="shared" si="0"/>
        <v>2027</v>
      </c>
      <c r="P4" s="196">
        <f t="shared" si="0"/>
        <v>2028</v>
      </c>
      <c r="Q4" s="196">
        <f t="shared" si="0"/>
        <v>2029</v>
      </c>
      <c r="R4" s="196">
        <f t="shared" si="0"/>
        <v>2030</v>
      </c>
      <c r="S4" s="196">
        <f t="shared" si="0"/>
        <v>2031</v>
      </c>
      <c r="T4" s="196">
        <f t="shared" si="0"/>
        <v>2032</v>
      </c>
      <c r="U4" s="196">
        <f t="shared" si="0"/>
        <v>2033</v>
      </c>
      <c r="V4" s="196">
        <f t="shared" si="0"/>
        <v>2034</v>
      </c>
      <c r="W4" s="196">
        <f t="shared" si="0"/>
        <v>2035</v>
      </c>
      <c r="X4" s="196">
        <f t="shared" si="0"/>
        <v>2036</v>
      </c>
      <c r="Y4" s="196">
        <f t="shared" si="0"/>
        <v>2037</v>
      </c>
      <c r="Z4" s="196">
        <f t="shared" si="0"/>
        <v>2038</v>
      </c>
      <c r="AA4" s="196">
        <f t="shared" si="0"/>
        <v>2039</v>
      </c>
      <c r="AB4" s="196">
        <f t="shared" si="0"/>
        <v>2040</v>
      </c>
      <c r="AC4" s="196">
        <f t="shared" si="0"/>
        <v>2041</v>
      </c>
      <c r="AD4" s="196">
        <f t="shared" si="0"/>
        <v>2042</v>
      </c>
      <c r="AE4" s="196">
        <f t="shared" si="0"/>
        <v>2043</v>
      </c>
      <c r="AF4" s="196">
        <f t="shared" si="0"/>
        <v>2044</v>
      </c>
      <c r="AG4" s="196">
        <f t="shared" si="0"/>
        <v>2045</v>
      </c>
      <c r="AH4" s="196">
        <f t="shared" si="0"/>
        <v>2046</v>
      </c>
      <c r="AI4" s="196">
        <f t="shared" si="0"/>
        <v>2047</v>
      </c>
      <c r="AJ4" s="196">
        <f t="shared" si="0"/>
        <v>2048</v>
      </c>
      <c r="AK4" s="196">
        <f t="shared" si="0"/>
        <v>2049</v>
      </c>
      <c r="AL4" s="196">
        <f t="shared" si="0"/>
        <v>2050</v>
      </c>
      <c r="AM4" s="196">
        <f t="shared" si="0"/>
        <v>2051</v>
      </c>
      <c r="AN4" s="196">
        <f t="shared" si="0"/>
        <v>2052</v>
      </c>
      <c r="AO4" s="196">
        <f t="shared" si="0"/>
        <v>2053</v>
      </c>
      <c r="AP4" s="196">
        <f t="shared" si="0"/>
        <v>2054</v>
      </c>
      <c r="AQ4" s="196">
        <f t="shared" si="0"/>
        <v>2055</v>
      </c>
      <c r="AR4" s="196">
        <f t="shared" si="0"/>
        <v>2056</v>
      </c>
      <c r="AS4" s="196">
        <f t="shared" si="0"/>
        <v>2057</v>
      </c>
      <c r="AT4" s="196">
        <f t="shared" si="0"/>
        <v>2058</v>
      </c>
      <c r="AU4" s="196">
        <f t="shared" si="0"/>
        <v>2059</v>
      </c>
      <c r="AV4" s="196">
        <f t="shared" si="0"/>
        <v>2060</v>
      </c>
      <c r="AW4" s="196">
        <f t="shared" si="0"/>
        <v>2061</v>
      </c>
      <c r="AX4" s="196">
        <f t="shared" si="0"/>
        <v>2062</v>
      </c>
      <c r="AY4" s="196">
        <f t="shared" si="0"/>
        <v>2063</v>
      </c>
      <c r="AZ4" s="196">
        <f t="shared" si="0"/>
        <v>2064</v>
      </c>
      <c r="BA4" s="196">
        <f t="shared" si="0"/>
        <v>2065</v>
      </c>
      <c r="BB4" s="196">
        <f t="shared" si="0"/>
        <v>2066</v>
      </c>
    </row>
    <row r="5" spans="1:54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</row>
    <row r="6" spans="1:54" x14ac:dyDescent="0.2"/>
    <row r="7" spans="1:54" x14ac:dyDescent="0.2">
      <c r="A7" s="1" t="s">
        <v>50</v>
      </c>
      <c r="B7" s="1"/>
      <c r="C7" s="19"/>
      <c r="D7" s="83"/>
      <c r="E7" s="16"/>
      <c r="F7" s="16"/>
      <c r="G7" s="381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</row>
    <row r="8" spans="1:54" outlineLevel="1" x14ac:dyDescent="0.2">
      <c r="A8" s="1"/>
      <c r="B8" s="1"/>
      <c r="C8" s="19"/>
      <c r="D8" s="83"/>
      <c r="E8" s="16"/>
      <c r="F8" s="16"/>
      <c r="G8" s="381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outlineLevel="1" x14ac:dyDescent="0.2">
      <c r="A9" s="1"/>
      <c r="B9" s="1"/>
      <c r="C9" s="19"/>
      <c r="D9" s="83"/>
      <c r="E9" s="16" t="str">
        <f xml:space="preserve"> 'FS Semi'!E9</f>
        <v>Electricity payments (EPn) - P50</v>
      </c>
      <c r="F9" s="16">
        <f xml:space="preserve"> 'FS Semi'!F9</f>
        <v>0</v>
      </c>
      <c r="G9" s="381" t="str">
        <f xml:space="preserve"> 'FS Semi'!G9</f>
        <v>$ 000s</v>
      </c>
      <c r="H9" s="16">
        <f xml:space="preserve"> SUM(J9:BB9)</f>
        <v>792204.22663711908</v>
      </c>
      <c r="I9" s="16"/>
      <c r="J9" s="16">
        <f xml:space="preserve"> SUMIFS('FS Semi'!$J9:$CV9, 'FS Semi'!$J$4:$CV$4, 'FS Ann'!J$4)</f>
        <v>0</v>
      </c>
      <c r="K9" s="16">
        <f xml:space="preserve"> SUMIFS('FS Semi'!$J9:$CV9, 'FS Semi'!$J$4:$CV$4, 'FS Ann'!K$4)</f>
        <v>0</v>
      </c>
      <c r="L9" s="16">
        <f xml:space="preserve"> SUMIFS('FS Semi'!$J9:$CV9, 'FS Semi'!$J$4:$CV$4, 'FS Ann'!L$4)</f>
        <v>0</v>
      </c>
      <c r="M9" s="16">
        <f xml:space="preserve"> SUMIFS('FS Semi'!$J9:$CV9, 'FS Semi'!$J$4:$CV$4, 'FS Ann'!M$4)</f>
        <v>40202.135459230951</v>
      </c>
      <c r="N9" s="16">
        <f xml:space="preserve"> SUMIFS('FS Semi'!$J9:$CV9, 'FS Semi'!$J$4:$CV$4, 'FS Ann'!N$4)</f>
        <v>40137.279495159593</v>
      </c>
      <c r="O9" s="16">
        <f xml:space="preserve"> SUMIFS('FS Semi'!$J9:$CV9, 'FS Semi'!$J$4:$CV$4, 'FS Ann'!O$4)</f>
        <v>40072.829412001607</v>
      </c>
      <c r="P9" s="16">
        <f xml:space="preserve"> SUMIFS('FS Semi'!$J9:$CV9, 'FS Semi'!$J$4:$CV$4, 'FS Ann'!P$4)</f>
        <v>40008.789365385921</v>
      </c>
      <c r="Q9" s="16">
        <f xml:space="preserve"> SUMIFS('FS Semi'!$J9:$CV9, 'FS Semi'!$J$4:$CV$4, 'FS Ann'!Q$4)</f>
        <v>39945.16359185231</v>
      </c>
      <c r="R9" s="16">
        <f xml:space="preserve"> SUMIFS('FS Semi'!$J9:$CV9, 'FS Semi'!$J$4:$CV$4, 'FS Ann'!R$4)</f>
        <v>39881.95641029231</v>
      </c>
      <c r="S9" s="16">
        <f xml:space="preserve"> SUMIFS('FS Semi'!$J9:$CV9, 'FS Semi'!$J$4:$CV$4, 'FS Ann'!S$4)</f>
        <v>39819.172223416143</v>
      </c>
      <c r="T9" s="16">
        <f xml:space="preserve"> SUMIFS('FS Semi'!$J9:$CV9, 'FS Semi'!$J$4:$CV$4, 'FS Ann'!T$4)</f>
        <v>39756.815519245974</v>
      </c>
      <c r="U9" s="16">
        <f xml:space="preserve"> SUMIFS('FS Semi'!$J9:$CV9, 'FS Semi'!$J$4:$CV$4, 'FS Ann'!U$4)</f>
        <v>39694.890872636126</v>
      </c>
      <c r="V9" s="16">
        <f xml:space="preserve"> SUMIFS('FS Semi'!$J9:$CV9, 'FS Semi'!$J$4:$CV$4, 'FS Ann'!V$4)</f>
        <v>39633.402946820446</v>
      </c>
      <c r="W9" s="16">
        <f xml:space="preserve"> SUMIFS('FS Semi'!$J9:$CV9, 'FS Semi'!$J$4:$CV$4, 'FS Ann'!W$4)</f>
        <v>39572.356494987704</v>
      </c>
      <c r="X9" s="16">
        <f xml:space="preserve"> SUMIFS('FS Semi'!$J9:$CV9, 'FS Semi'!$J$4:$CV$4, 'FS Ann'!X$4)</f>
        <v>39511.756361885055</v>
      </c>
      <c r="Y9" s="16">
        <f xml:space="preserve"> SUMIFS('FS Semi'!$J9:$CV9, 'FS Semi'!$J$4:$CV$4, 'FS Ann'!Y$4)</f>
        <v>39451.607485450615</v>
      </c>
      <c r="Z9" s="16">
        <f xml:space="preserve"> SUMIFS('FS Semi'!$J9:$CV9, 'FS Semi'!$J$4:$CV$4, 'FS Ann'!Z$4)</f>
        <v>39391.914898475232</v>
      </c>
      <c r="AA9" s="16">
        <f xml:space="preserve"> SUMIFS('FS Semi'!$J9:$CV9, 'FS Semi'!$J$4:$CV$4, 'FS Ann'!AA$4)</f>
        <v>39332.683730294084</v>
      </c>
      <c r="AB9" s="16">
        <f xml:space="preserve"> SUMIFS('FS Semi'!$J9:$CV9, 'FS Semi'!$J$4:$CV$4, 'FS Ann'!AB$4)</f>
        <v>39273.919208508807</v>
      </c>
      <c r="AC9" s="16">
        <f xml:space="preserve"> SUMIFS('FS Semi'!$J9:$CV9, 'FS Semi'!$J$4:$CV$4, 'FS Ann'!AC$4)</f>
        <v>39215.626660740607</v>
      </c>
      <c r="AD9" s="16">
        <f xml:space="preserve"> SUMIFS('FS Semi'!$J9:$CV9, 'FS Semi'!$J$4:$CV$4, 'FS Ann'!AD$4)</f>
        <v>39157.811516414724</v>
      </c>
      <c r="AE9" s="16">
        <f xml:space="preserve"> SUMIFS('FS Semi'!$J9:$CV9, 'FS Semi'!$J$4:$CV$4, 'FS Ann'!AE$4)</f>
        <v>39100.479308577087</v>
      </c>
      <c r="AF9" s="16">
        <f xml:space="preserve"> SUMIFS('FS Semi'!$J9:$CV9, 'FS Semi'!$J$4:$CV$4, 'FS Ann'!AF$4)</f>
        <v>39043.635675743673</v>
      </c>
      <c r="AG9" s="16">
        <f xml:space="preserve"> SUMIFS('FS Semi'!$J9:$CV9, 'FS Semi'!$J$4:$CV$4, 'FS Ann'!AG$4)</f>
        <v>0</v>
      </c>
      <c r="AH9" s="16">
        <f xml:space="preserve"> SUMIFS('FS Semi'!$J9:$CV9, 'FS Semi'!$J$4:$CV$4, 'FS Ann'!AH$4)</f>
        <v>0</v>
      </c>
      <c r="AI9" s="16">
        <f xml:space="preserve"> SUMIFS('FS Semi'!$J9:$CV9, 'FS Semi'!$J$4:$CV$4, 'FS Ann'!AI$4)</f>
        <v>0</v>
      </c>
      <c r="AJ9" s="16">
        <f xml:space="preserve"> SUMIFS('FS Semi'!$J9:$CV9, 'FS Semi'!$J$4:$CV$4, 'FS Ann'!AJ$4)</f>
        <v>0</v>
      </c>
      <c r="AK9" s="16">
        <f xml:space="preserve"> SUMIFS('FS Semi'!$J9:$CV9, 'FS Semi'!$J$4:$CV$4, 'FS Ann'!AK$4)</f>
        <v>0</v>
      </c>
      <c r="AL9" s="16">
        <f xml:space="preserve"> SUMIFS('FS Semi'!$J9:$CV9, 'FS Semi'!$J$4:$CV$4, 'FS Ann'!AL$4)</f>
        <v>0</v>
      </c>
      <c r="AM9" s="16">
        <f xml:space="preserve"> SUMIFS('FS Semi'!$J9:$CV9, 'FS Semi'!$J$4:$CV$4, 'FS Ann'!AM$4)</f>
        <v>0</v>
      </c>
      <c r="AN9" s="16">
        <f xml:space="preserve"> SUMIFS('FS Semi'!$J9:$CV9, 'FS Semi'!$J$4:$CV$4, 'FS Ann'!AN$4)</f>
        <v>0</v>
      </c>
      <c r="AO9" s="16">
        <f xml:space="preserve"> SUMIFS('FS Semi'!$J9:$CV9, 'FS Semi'!$J$4:$CV$4, 'FS Ann'!AO$4)</f>
        <v>0</v>
      </c>
      <c r="AP9" s="16">
        <f xml:space="preserve"> SUMIFS('FS Semi'!$J9:$CV9, 'FS Semi'!$J$4:$CV$4, 'FS Ann'!AP$4)</f>
        <v>0</v>
      </c>
      <c r="AQ9" s="16">
        <f xml:space="preserve"> SUMIFS('FS Semi'!$J9:$CV9, 'FS Semi'!$J$4:$CV$4, 'FS Ann'!AQ$4)</f>
        <v>0</v>
      </c>
      <c r="AR9" s="16">
        <f xml:space="preserve"> SUMIFS('FS Semi'!$J9:$CV9, 'FS Semi'!$J$4:$CV$4, 'FS Ann'!AR$4)</f>
        <v>0</v>
      </c>
      <c r="AS9" s="16">
        <f xml:space="preserve"> SUMIFS('FS Semi'!$J9:$CV9, 'FS Semi'!$J$4:$CV$4, 'FS Ann'!AS$4)</f>
        <v>0</v>
      </c>
      <c r="AT9" s="16">
        <f xml:space="preserve"> SUMIFS('FS Semi'!$J9:$CV9, 'FS Semi'!$J$4:$CV$4, 'FS Ann'!AT$4)</f>
        <v>0</v>
      </c>
      <c r="AU9" s="16">
        <f xml:space="preserve"> SUMIFS('FS Semi'!$J9:$CV9, 'FS Semi'!$J$4:$CV$4, 'FS Ann'!AU$4)</f>
        <v>0</v>
      </c>
      <c r="AV9" s="16">
        <f xml:space="preserve"> SUMIFS('FS Semi'!$J9:$CV9, 'FS Semi'!$J$4:$CV$4, 'FS Ann'!AV$4)</f>
        <v>0</v>
      </c>
      <c r="AW9" s="16">
        <f xml:space="preserve"> SUMIFS('FS Semi'!$J9:$CV9, 'FS Semi'!$J$4:$CV$4, 'FS Ann'!AW$4)</f>
        <v>0</v>
      </c>
      <c r="AX9" s="16">
        <f xml:space="preserve"> SUMIFS('FS Semi'!$J9:$CV9, 'FS Semi'!$J$4:$CV$4, 'FS Ann'!AX$4)</f>
        <v>0</v>
      </c>
      <c r="AY9" s="16">
        <f xml:space="preserve"> SUMIFS('FS Semi'!$J9:$CV9, 'FS Semi'!$J$4:$CV$4, 'FS Ann'!AY$4)</f>
        <v>0</v>
      </c>
      <c r="AZ9" s="16">
        <f xml:space="preserve"> SUMIFS('FS Semi'!$J9:$CV9, 'FS Semi'!$J$4:$CV$4, 'FS Ann'!AZ$4)</f>
        <v>0</v>
      </c>
      <c r="BA9" s="16">
        <f xml:space="preserve"> SUMIFS('FS Semi'!$J9:$CV9, 'FS Semi'!$J$4:$CV$4, 'FS Ann'!BA$4)</f>
        <v>0</v>
      </c>
      <c r="BB9" s="16">
        <f xml:space="preserve"> SUMIFS('FS Semi'!$J9:$CV9, 'FS Semi'!$J$4:$CV$4, 'FS Ann'!BB$4)</f>
        <v>0</v>
      </c>
    </row>
    <row r="10" spans="1:54" outlineLevel="1" x14ac:dyDescent="0.2">
      <c r="A10" s="1"/>
      <c r="B10" s="1"/>
      <c r="C10" s="19"/>
      <c r="D10" s="83"/>
      <c r="E10" s="16" t="str">
        <f xml:space="preserve"> 'FS Semi'!E10</f>
        <v>O&amp;M expense</v>
      </c>
      <c r="F10" s="16">
        <f xml:space="preserve"> 'FS Semi'!F10</f>
        <v>0</v>
      </c>
      <c r="G10" s="381" t="str">
        <f xml:space="preserve"> 'FS Semi'!G10</f>
        <v>$ 000s</v>
      </c>
      <c r="H10" s="16">
        <f t="shared" ref="H10:H36" si="1" xml:space="preserve"> SUM(J10:BB10)</f>
        <v>-210402.03579009013</v>
      </c>
      <c r="I10" s="16"/>
      <c r="J10" s="16">
        <f xml:space="preserve"> SUMIFS('FS Semi'!$J10:$CV10, 'FS Semi'!$J$4:$CV$4, 'FS Ann'!J$4)</f>
        <v>0</v>
      </c>
      <c r="K10" s="16">
        <f xml:space="preserve"> SUMIFS('FS Semi'!$J10:$CV10, 'FS Semi'!$J$4:$CV$4, 'FS Ann'!K$4)</f>
        <v>0</v>
      </c>
      <c r="L10" s="16">
        <f xml:space="preserve"> SUMIFS('FS Semi'!$J10:$CV10, 'FS Semi'!$J$4:$CV$4, 'FS Ann'!L$4)</f>
        <v>0</v>
      </c>
      <c r="M10" s="16">
        <f xml:space="preserve"> SUMIFS('FS Semi'!$J10:$CV10, 'FS Semi'!$J$4:$CV$4, 'FS Ann'!M$4)</f>
        <v>-8659.4572799999987</v>
      </c>
      <c r="N10" s="16">
        <f xml:space="preserve"> SUMIFS('FS Semi'!$J10:$CV10, 'FS Semi'!$J$4:$CV$4, 'FS Ann'!N$4)</f>
        <v>-8832.6464255999999</v>
      </c>
      <c r="O10" s="16">
        <f xml:space="preserve"> SUMIFS('FS Semi'!$J10:$CV10, 'FS Semi'!$J$4:$CV$4, 'FS Ann'!O$4)</f>
        <v>-9009.2993541120013</v>
      </c>
      <c r="P10" s="16">
        <f xml:space="preserve"> SUMIFS('FS Semi'!$J10:$CV10, 'FS Semi'!$J$4:$CV$4, 'FS Ann'!P$4)</f>
        <v>-9189.4853411942386</v>
      </c>
      <c r="Q10" s="16">
        <f xml:space="preserve"> SUMIFS('FS Semi'!$J10:$CV10, 'FS Semi'!$J$4:$CV$4, 'FS Ann'!Q$4)</f>
        <v>-9373.2750480181239</v>
      </c>
      <c r="R10" s="16">
        <f xml:space="preserve"> SUMIFS('FS Semi'!$J10:$CV10, 'FS Semi'!$J$4:$CV$4, 'FS Ann'!R$4)</f>
        <v>-9560.7405489784869</v>
      </c>
      <c r="S10" s="16">
        <f xml:space="preserve"> SUMIFS('FS Semi'!$J10:$CV10, 'FS Semi'!$J$4:$CV$4, 'FS Ann'!S$4)</f>
        <v>-9751.9553599580559</v>
      </c>
      <c r="T10" s="16">
        <f xml:space="preserve"> SUMIFS('FS Semi'!$J10:$CV10, 'FS Semi'!$J$4:$CV$4, 'FS Ann'!T$4)</f>
        <v>-9946.9944671572157</v>
      </c>
      <c r="U10" s="16">
        <f xml:space="preserve"> SUMIFS('FS Semi'!$J10:$CV10, 'FS Semi'!$J$4:$CV$4, 'FS Ann'!U$4)</f>
        <v>-10145.934356500362</v>
      </c>
      <c r="V10" s="16">
        <f xml:space="preserve"> SUMIFS('FS Semi'!$J10:$CV10, 'FS Semi'!$J$4:$CV$4, 'FS Ann'!V$4)</f>
        <v>-10348.853043630368</v>
      </c>
      <c r="W10" s="16">
        <f xml:space="preserve"> SUMIFS('FS Semi'!$J10:$CV10, 'FS Semi'!$J$4:$CV$4, 'FS Ann'!W$4)</f>
        <v>-10555.830104502977</v>
      </c>
      <c r="X10" s="16">
        <f xml:space="preserve"> SUMIFS('FS Semi'!$J10:$CV10, 'FS Semi'!$J$4:$CV$4, 'FS Ann'!X$4)</f>
        <v>-10766.946706593035</v>
      </c>
      <c r="Y10" s="16">
        <f xml:space="preserve"> SUMIFS('FS Semi'!$J10:$CV10, 'FS Semi'!$J$4:$CV$4, 'FS Ann'!Y$4)</f>
        <v>-10982.285640724896</v>
      </c>
      <c r="Z10" s="16">
        <f xml:space="preserve"> SUMIFS('FS Semi'!$J10:$CV10, 'FS Semi'!$J$4:$CV$4, 'FS Ann'!Z$4)</f>
        <v>-11201.931353539396</v>
      </c>
      <c r="AA10" s="16">
        <f xml:space="preserve"> SUMIFS('FS Semi'!$J10:$CV10, 'FS Semi'!$J$4:$CV$4, 'FS Ann'!AA$4)</f>
        <v>-11425.969980610182</v>
      </c>
      <c r="AB10" s="16">
        <f xml:space="preserve"> SUMIFS('FS Semi'!$J10:$CV10, 'FS Semi'!$J$4:$CV$4, 'FS Ann'!AB$4)</f>
        <v>-11654.489380222385</v>
      </c>
      <c r="AC10" s="16">
        <f xml:space="preserve"> SUMIFS('FS Semi'!$J10:$CV10, 'FS Semi'!$J$4:$CV$4, 'FS Ann'!AC$4)</f>
        <v>-11887.579167826834</v>
      </c>
      <c r="AD10" s="16">
        <f xml:space="preserve"> SUMIFS('FS Semi'!$J10:$CV10, 'FS Semi'!$J$4:$CV$4, 'FS Ann'!AD$4)</f>
        <v>-12125.33075118337</v>
      </c>
      <c r="AE10" s="16">
        <f xml:space="preserve"> SUMIFS('FS Semi'!$J10:$CV10, 'FS Semi'!$J$4:$CV$4, 'FS Ann'!AE$4)</f>
        <v>-12367.837366207037</v>
      </c>
      <c r="AF10" s="16">
        <f xml:space="preserve"> SUMIFS('FS Semi'!$J10:$CV10, 'FS Semi'!$J$4:$CV$4, 'FS Ann'!AF$4)</f>
        <v>-12615.194113531177</v>
      </c>
      <c r="AG10" s="16">
        <f xml:space="preserve"> SUMIFS('FS Semi'!$J10:$CV10, 'FS Semi'!$J$4:$CV$4, 'FS Ann'!AG$4)</f>
        <v>0</v>
      </c>
      <c r="AH10" s="16">
        <f xml:space="preserve"> SUMIFS('FS Semi'!$J10:$CV10, 'FS Semi'!$J$4:$CV$4, 'FS Ann'!AH$4)</f>
        <v>0</v>
      </c>
      <c r="AI10" s="16">
        <f xml:space="preserve"> SUMIFS('FS Semi'!$J10:$CV10, 'FS Semi'!$J$4:$CV$4, 'FS Ann'!AI$4)</f>
        <v>0</v>
      </c>
      <c r="AJ10" s="16">
        <f xml:space="preserve"> SUMIFS('FS Semi'!$J10:$CV10, 'FS Semi'!$J$4:$CV$4, 'FS Ann'!AJ$4)</f>
        <v>0</v>
      </c>
      <c r="AK10" s="16">
        <f xml:space="preserve"> SUMIFS('FS Semi'!$J10:$CV10, 'FS Semi'!$J$4:$CV$4, 'FS Ann'!AK$4)</f>
        <v>0</v>
      </c>
      <c r="AL10" s="16">
        <f xml:space="preserve"> SUMIFS('FS Semi'!$J10:$CV10, 'FS Semi'!$J$4:$CV$4, 'FS Ann'!AL$4)</f>
        <v>0</v>
      </c>
      <c r="AM10" s="16">
        <f xml:space="preserve"> SUMIFS('FS Semi'!$J10:$CV10, 'FS Semi'!$J$4:$CV$4, 'FS Ann'!AM$4)</f>
        <v>0</v>
      </c>
      <c r="AN10" s="16">
        <f xml:space="preserve"> SUMIFS('FS Semi'!$J10:$CV10, 'FS Semi'!$J$4:$CV$4, 'FS Ann'!AN$4)</f>
        <v>0</v>
      </c>
      <c r="AO10" s="16">
        <f xml:space="preserve"> SUMIFS('FS Semi'!$J10:$CV10, 'FS Semi'!$J$4:$CV$4, 'FS Ann'!AO$4)</f>
        <v>0</v>
      </c>
      <c r="AP10" s="16">
        <f xml:space="preserve"> SUMIFS('FS Semi'!$J10:$CV10, 'FS Semi'!$J$4:$CV$4, 'FS Ann'!AP$4)</f>
        <v>0</v>
      </c>
      <c r="AQ10" s="16">
        <f xml:space="preserve"> SUMIFS('FS Semi'!$J10:$CV10, 'FS Semi'!$J$4:$CV$4, 'FS Ann'!AQ$4)</f>
        <v>0</v>
      </c>
      <c r="AR10" s="16">
        <f xml:space="preserve"> SUMIFS('FS Semi'!$J10:$CV10, 'FS Semi'!$J$4:$CV$4, 'FS Ann'!AR$4)</f>
        <v>0</v>
      </c>
      <c r="AS10" s="16">
        <f xml:space="preserve"> SUMIFS('FS Semi'!$J10:$CV10, 'FS Semi'!$J$4:$CV$4, 'FS Ann'!AS$4)</f>
        <v>0</v>
      </c>
      <c r="AT10" s="16">
        <f xml:space="preserve"> SUMIFS('FS Semi'!$J10:$CV10, 'FS Semi'!$J$4:$CV$4, 'FS Ann'!AT$4)</f>
        <v>0</v>
      </c>
      <c r="AU10" s="16">
        <f xml:space="preserve"> SUMIFS('FS Semi'!$J10:$CV10, 'FS Semi'!$J$4:$CV$4, 'FS Ann'!AU$4)</f>
        <v>0</v>
      </c>
      <c r="AV10" s="16">
        <f xml:space="preserve"> SUMIFS('FS Semi'!$J10:$CV10, 'FS Semi'!$J$4:$CV$4, 'FS Ann'!AV$4)</f>
        <v>0</v>
      </c>
      <c r="AW10" s="16">
        <f xml:space="preserve"> SUMIFS('FS Semi'!$J10:$CV10, 'FS Semi'!$J$4:$CV$4, 'FS Ann'!AW$4)</f>
        <v>0</v>
      </c>
      <c r="AX10" s="16">
        <f xml:space="preserve"> SUMIFS('FS Semi'!$J10:$CV10, 'FS Semi'!$J$4:$CV$4, 'FS Ann'!AX$4)</f>
        <v>0</v>
      </c>
      <c r="AY10" s="16">
        <f xml:space="preserve"> SUMIFS('FS Semi'!$J10:$CV10, 'FS Semi'!$J$4:$CV$4, 'FS Ann'!AY$4)</f>
        <v>0</v>
      </c>
      <c r="AZ10" s="16">
        <f xml:space="preserve"> SUMIFS('FS Semi'!$J10:$CV10, 'FS Semi'!$J$4:$CV$4, 'FS Ann'!AZ$4)</f>
        <v>0</v>
      </c>
      <c r="BA10" s="16">
        <f xml:space="preserve"> SUMIFS('FS Semi'!$J10:$CV10, 'FS Semi'!$J$4:$CV$4, 'FS Ann'!BA$4)</f>
        <v>0</v>
      </c>
      <c r="BB10" s="16">
        <f xml:space="preserve"> SUMIFS('FS Semi'!$J10:$CV10, 'FS Semi'!$J$4:$CV$4, 'FS Ann'!BB$4)</f>
        <v>0</v>
      </c>
    </row>
    <row r="11" spans="1:54" outlineLevel="1" x14ac:dyDescent="0.2">
      <c r="A11" s="1"/>
      <c r="B11" s="1"/>
      <c r="C11" s="19"/>
      <c r="D11" s="83"/>
      <c r="E11" s="84" t="s">
        <v>51</v>
      </c>
      <c r="F11" s="84"/>
      <c r="G11" s="324" t="str">
        <f>SMU</f>
        <v>$ 000s</v>
      </c>
      <c r="H11" s="84">
        <f t="shared" si="1"/>
        <v>581802.19084702886</v>
      </c>
      <c r="I11" s="84"/>
      <c r="J11" s="84">
        <f t="shared" ref="J11:BB11" si="2">SUM(J9:J10)</f>
        <v>0</v>
      </c>
      <c r="K11" s="84">
        <f t="shared" si="2"/>
        <v>0</v>
      </c>
      <c r="L11" s="84">
        <f t="shared" si="2"/>
        <v>0</v>
      </c>
      <c r="M11" s="84">
        <f t="shared" si="2"/>
        <v>31542.678179230952</v>
      </c>
      <c r="N11" s="84">
        <f t="shared" si="2"/>
        <v>31304.633069559593</v>
      </c>
      <c r="O11" s="84">
        <f t="shared" si="2"/>
        <v>31063.530057889606</v>
      </c>
      <c r="P11" s="84">
        <f t="shared" si="2"/>
        <v>30819.304024191682</v>
      </c>
      <c r="Q11" s="84">
        <f t="shared" si="2"/>
        <v>30571.888543834186</v>
      </c>
      <c r="R11" s="84">
        <f t="shared" si="2"/>
        <v>30321.215861313824</v>
      </c>
      <c r="S11" s="84">
        <f t="shared" si="2"/>
        <v>30067.216863458088</v>
      </c>
      <c r="T11" s="84">
        <f t="shared" si="2"/>
        <v>29809.821052088759</v>
      </c>
      <c r="U11" s="84">
        <f t="shared" si="2"/>
        <v>29548.956516135764</v>
      </c>
      <c r="V11" s="84">
        <f t="shared" si="2"/>
        <v>29284.549903190076</v>
      </c>
      <c r="W11" s="84">
        <f t="shared" si="2"/>
        <v>29016.526390484727</v>
      </c>
      <c r="X11" s="84">
        <f t="shared" si="2"/>
        <v>28744.809655292018</v>
      </c>
      <c r="Y11" s="84">
        <f t="shared" si="2"/>
        <v>28469.321844725717</v>
      </c>
      <c r="Z11" s="84">
        <f t="shared" si="2"/>
        <v>28189.983544935836</v>
      </c>
      <c r="AA11" s="84">
        <f t="shared" si="2"/>
        <v>27906.713749683902</v>
      </c>
      <c r="AB11" s="84">
        <f t="shared" si="2"/>
        <v>27619.429828286422</v>
      </c>
      <c r="AC11" s="84">
        <f t="shared" si="2"/>
        <v>27328.047492913771</v>
      </c>
      <c r="AD11" s="84">
        <f t="shared" si="2"/>
        <v>27032.480765231354</v>
      </c>
      <c r="AE11" s="84">
        <f t="shared" si="2"/>
        <v>26732.64194237005</v>
      </c>
      <c r="AF11" s="84">
        <f t="shared" si="2"/>
        <v>26428.441562212494</v>
      </c>
      <c r="AG11" s="84">
        <f t="shared" si="2"/>
        <v>0</v>
      </c>
      <c r="AH11" s="84">
        <f t="shared" si="2"/>
        <v>0</v>
      </c>
      <c r="AI11" s="84">
        <f t="shared" si="2"/>
        <v>0</v>
      </c>
      <c r="AJ11" s="84">
        <f t="shared" si="2"/>
        <v>0</v>
      </c>
      <c r="AK11" s="84">
        <f t="shared" si="2"/>
        <v>0</v>
      </c>
      <c r="AL11" s="84">
        <f t="shared" si="2"/>
        <v>0</v>
      </c>
      <c r="AM11" s="84">
        <f t="shared" si="2"/>
        <v>0</v>
      </c>
      <c r="AN11" s="84">
        <f t="shared" si="2"/>
        <v>0</v>
      </c>
      <c r="AO11" s="84">
        <f t="shared" si="2"/>
        <v>0</v>
      </c>
      <c r="AP11" s="84">
        <f t="shared" si="2"/>
        <v>0</v>
      </c>
      <c r="AQ11" s="84">
        <f t="shared" si="2"/>
        <v>0</v>
      </c>
      <c r="AR11" s="84">
        <f t="shared" si="2"/>
        <v>0</v>
      </c>
      <c r="AS11" s="84">
        <f t="shared" si="2"/>
        <v>0</v>
      </c>
      <c r="AT11" s="84">
        <f t="shared" si="2"/>
        <v>0</v>
      </c>
      <c r="AU11" s="84">
        <f t="shared" si="2"/>
        <v>0</v>
      </c>
      <c r="AV11" s="84">
        <f t="shared" si="2"/>
        <v>0</v>
      </c>
      <c r="AW11" s="84">
        <f t="shared" si="2"/>
        <v>0</v>
      </c>
      <c r="AX11" s="84">
        <f t="shared" si="2"/>
        <v>0</v>
      </c>
      <c r="AY11" s="84">
        <f t="shared" si="2"/>
        <v>0</v>
      </c>
      <c r="AZ11" s="84">
        <f t="shared" si="2"/>
        <v>0</v>
      </c>
      <c r="BA11" s="84">
        <f t="shared" si="2"/>
        <v>0</v>
      </c>
      <c r="BB11" s="84">
        <f t="shared" si="2"/>
        <v>0</v>
      </c>
    </row>
    <row r="12" spans="1:54" outlineLevel="1" x14ac:dyDescent="0.2">
      <c r="A12" s="1"/>
      <c r="B12" s="1"/>
      <c r="C12" s="19"/>
      <c r="D12" s="83"/>
      <c r="E12" s="16"/>
      <c r="F12" s="16"/>
      <c r="G12" s="381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outlineLevel="1" x14ac:dyDescent="0.2">
      <c r="A13" s="1"/>
      <c r="B13" s="1"/>
      <c r="C13" s="19"/>
      <c r="D13" s="83"/>
      <c r="E13" s="16" t="str">
        <f xml:space="preserve"> 'FS Semi'!E13</f>
        <v>Fixed asset depreciation</v>
      </c>
      <c r="F13" s="16">
        <f xml:space="preserve"> 'FS Semi'!F13</f>
        <v>0</v>
      </c>
      <c r="G13" s="381" t="str">
        <f xml:space="preserve"> 'FS Semi'!G13</f>
        <v>$ 000s</v>
      </c>
      <c r="H13" s="16">
        <f t="shared" si="1"/>
        <v>-295392.30771999992</v>
      </c>
      <c r="I13" s="16"/>
      <c r="J13" s="16">
        <f xml:space="preserve"> SUMIFS('FS Semi'!$J13:$CV13, 'FS Semi'!$J$4:$CV$4, 'FS Ann'!J$4)</f>
        <v>0</v>
      </c>
      <c r="K13" s="16">
        <f xml:space="preserve"> SUMIFS('FS Semi'!$J13:$CV13, 'FS Semi'!$J$4:$CV$4, 'FS Ann'!K$4)</f>
        <v>0</v>
      </c>
      <c r="L13" s="16">
        <f xml:space="preserve"> SUMIFS('FS Semi'!$J13:$CV13, 'FS Semi'!$J$4:$CV$4, 'FS Ann'!L$4)</f>
        <v>0</v>
      </c>
      <c r="M13" s="16">
        <f xml:space="preserve"> SUMIFS('FS Semi'!$J13:$CV13, 'FS Semi'!$J$4:$CV$4, 'FS Ann'!M$4)</f>
        <v>-14769.615385999994</v>
      </c>
      <c r="N13" s="16">
        <f xml:space="preserve"> SUMIFS('FS Semi'!$J13:$CV13, 'FS Semi'!$J$4:$CV$4, 'FS Ann'!N$4)</f>
        <v>-14769.615385999994</v>
      </c>
      <c r="O13" s="16">
        <f xml:space="preserve"> SUMIFS('FS Semi'!$J13:$CV13, 'FS Semi'!$J$4:$CV$4, 'FS Ann'!O$4)</f>
        <v>-14769.615385999994</v>
      </c>
      <c r="P13" s="16">
        <f xml:space="preserve"> SUMIFS('FS Semi'!$J13:$CV13, 'FS Semi'!$J$4:$CV$4, 'FS Ann'!P$4)</f>
        <v>-14769.615385999994</v>
      </c>
      <c r="Q13" s="16">
        <f xml:space="preserve"> SUMIFS('FS Semi'!$J13:$CV13, 'FS Semi'!$J$4:$CV$4, 'FS Ann'!Q$4)</f>
        <v>-14769.615385999994</v>
      </c>
      <c r="R13" s="16">
        <f xml:space="preserve"> SUMIFS('FS Semi'!$J13:$CV13, 'FS Semi'!$J$4:$CV$4, 'FS Ann'!R$4)</f>
        <v>-14769.615385999994</v>
      </c>
      <c r="S13" s="16">
        <f xml:space="preserve"> SUMIFS('FS Semi'!$J13:$CV13, 'FS Semi'!$J$4:$CV$4, 'FS Ann'!S$4)</f>
        <v>-14769.615385999994</v>
      </c>
      <c r="T13" s="16">
        <f xml:space="preserve"> SUMIFS('FS Semi'!$J13:$CV13, 'FS Semi'!$J$4:$CV$4, 'FS Ann'!T$4)</f>
        <v>-14769.615385999994</v>
      </c>
      <c r="U13" s="16">
        <f xml:space="preserve"> SUMIFS('FS Semi'!$J13:$CV13, 'FS Semi'!$J$4:$CV$4, 'FS Ann'!U$4)</f>
        <v>-14769.615385999994</v>
      </c>
      <c r="V13" s="16">
        <f xml:space="preserve"> SUMIFS('FS Semi'!$J13:$CV13, 'FS Semi'!$J$4:$CV$4, 'FS Ann'!V$4)</f>
        <v>-14769.615385999994</v>
      </c>
      <c r="W13" s="16">
        <f xml:space="preserve"> SUMIFS('FS Semi'!$J13:$CV13, 'FS Semi'!$J$4:$CV$4, 'FS Ann'!W$4)</f>
        <v>-14769.615385999994</v>
      </c>
      <c r="X13" s="16">
        <f xml:space="preserve"> SUMIFS('FS Semi'!$J13:$CV13, 'FS Semi'!$J$4:$CV$4, 'FS Ann'!X$4)</f>
        <v>-14769.615385999994</v>
      </c>
      <c r="Y13" s="16">
        <f xml:space="preserve"> SUMIFS('FS Semi'!$J13:$CV13, 'FS Semi'!$J$4:$CV$4, 'FS Ann'!Y$4)</f>
        <v>-14769.615385999994</v>
      </c>
      <c r="Z13" s="16">
        <f xml:space="preserve"> SUMIFS('FS Semi'!$J13:$CV13, 'FS Semi'!$J$4:$CV$4, 'FS Ann'!Z$4)</f>
        <v>-14769.615385999994</v>
      </c>
      <c r="AA13" s="16">
        <f xml:space="preserve"> SUMIFS('FS Semi'!$J13:$CV13, 'FS Semi'!$J$4:$CV$4, 'FS Ann'!AA$4)</f>
        <v>-14769.615385999994</v>
      </c>
      <c r="AB13" s="16">
        <f xml:space="preserve"> SUMIFS('FS Semi'!$J13:$CV13, 'FS Semi'!$J$4:$CV$4, 'FS Ann'!AB$4)</f>
        <v>-14769.615385999994</v>
      </c>
      <c r="AC13" s="16">
        <f xml:space="preserve"> SUMIFS('FS Semi'!$J13:$CV13, 'FS Semi'!$J$4:$CV$4, 'FS Ann'!AC$4)</f>
        <v>-14769.615385999994</v>
      </c>
      <c r="AD13" s="16">
        <f xml:space="preserve"> SUMIFS('FS Semi'!$J13:$CV13, 'FS Semi'!$J$4:$CV$4, 'FS Ann'!AD$4)</f>
        <v>-14769.615385999994</v>
      </c>
      <c r="AE13" s="16">
        <f xml:space="preserve"> SUMIFS('FS Semi'!$J13:$CV13, 'FS Semi'!$J$4:$CV$4, 'FS Ann'!AE$4)</f>
        <v>-14769.615385999994</v>
      </c>
      <c r="AF13" s="16">
        <f xml:space="preserve"> SUMIFS('FS Semi'!$J13:$CV13, 'FS Semi'!$J$4:$CV$4, 'FS Ann'!AF$4)</f>
        <v>-14769.615385999994</v>
      </c>
      <c r="AG13" s="16">
        <f xml:space="preserve"> SUMIFS('FS Semi'!$J13:$CV13, 'FS Semi'!$J$4:$CV$4, 'FS Ann'!AG$4)</f>
        <v>0</v>
      </c>
      <c r="AH13" s="16">
        <f xml:space="preserve"> SUMIFS('FS Semi'!$J13:$CV13, 'FS Semi'!$J$4:$CV$4, 'FS Ann'!AH$4)</f>
        <v>0</v>
      </c>
      <c r="AI13" s="16">
        <f xml:space="preserve"> SUMIFS('FS Semi'!$J13:$CV13, 'FS Semi'!$J$4:$CV$4, 'FS Ann'!AI$4)</f>
        <v>0</v>
      </c>
      <c r="AJ13" s="16">
        <f xml:space="preserve"> SUMIFS('FS Semi'!$J13:$CV13, 'FS Semi'!$J$4:$CV$4, 'FS Ann'!AJ$4)</f>
        <v>0</v>
      </c>
      <c r="AK13" s="16">
        <f xml:space="preserve"> SUMIFS('FS Semi'!$J13:$CV13, 'FS Semi'!$J$4:$CV$4, 'FS Ann'!AK$4)</f>
        <v>0</v>
      </c>
      <c r="AL13" s="16">
        <f xml:space="preserve"> SUMIFS('FS Semi'!$J13:$CV13, 'FS Semi'!$J$4:$CV$4, 'FS Ann'!AL$4)</f>
        <v>0</v>
      </c>
      <c r="AM13" s="16">
        <f xml:space="preserve"> SUMIFS('FS Semi'!$J13:$CV13, 'FS Semi'!$J$4:$CV$4, 'FS Ann'!AM$4)</f>
        <v>0</v>
      </c>
      <c r="AN13" s="16">
        <f xml:space="preserve"> SUMIFS('FS Semi'!$J13:$CV13, 'FS Semi'!$J$4:$CV$4, 'FS Ann'!AN$4)</f>
        <v>0</v>
      </c>
      <c r="AO13" s="16">
        <f xml:space="preserve"> SUMIFS('FS Semi'!$J13:$CV13, 'FS Semi'!$J$4:$CV$4, 'FS Ann'!AO$4)</f>
        <v>0</v>
      </c>
      <c r="AP13" s="16">
        <f xml:space="preserve"> SUMIFS('FS Semi'!$J13:$CV13, 'FS Semi'!$J$4:$CV$4, 'FS Ann'!AP$4)</f>
        <v>0</v>
      </c>
      <c r="AQ13" s="16">
        <f xml:space="preserve"> SUMIFS('FS Semi'!$J13:$CV13, 'FS Semi'!$J$4:$CV$4, 'FS Ann'!AQ$4)</f>
        <v>0</v>
      </c>
      <c r="AR13" s="16">
        <f xml:space="preserve"> SUMIFS('FS Semi'!$J13:$CV13, 'FS Semi'!$J$4:$CV$4, 'FS Ann'!AR$4)</f>
        <v>0</v>
      </c>
      <c r="AS13" s="16">
        <f xml:space="preserve"> SUMIFS('FS Semi'!$J13:$CV13, 'FS Semi'!$J$4:$CV$4, 'FS Ann'!AS$4)</f>
        <v>0</v>
      </c>
      <c r="AT13" s="16">
        <f xml:space="preserve"> SUMIFS('FS Semi'!$J13:$CV13, 'FS Semi'!$J$4:$CV$4, 'FS Ann'!AT$4)</f>
        <v>0</v>
      </c>
      <c r="AU13" s="16">
        <f xml:space="preserve"> SUMIFS('FS Semi'!$J13:$CV13, 'FS Semi'!$J$4:$CV$4, 'FS Ann'!AU$4)</f>
        <v>0</v>
      </c>
      <c r="AV13" s="16">
        <f xml:space="preserve"> SUMIFS('FS Semi'!$J13:$CV13, 'FS Semi'!$J$4:$CV$4, 'FS Ann'!AV$4)</f>
        <v>0</v>
      </c>
      <c r="AW13" s="16">
        <f xml:space="preserve"> SUMIFS('FS Semi'!$J13:$CV13, 'FS Semi'!$J$4:$CV$4, 'FS Ann'!AW$4)</f>
        <v>0</v>
      </c>
      <c r="AX13" s="16">
        <f xml:space="preserve"> SUMIFS('FS Semi'!$J13:$CV13, 'FS Semi'!$J$4:$CV$4, 'FS Ann'!AX$4)</f>
        <v>0</v>
      </c>
      <c r="AY13" s="16">
        <f xml:space="preserve"> SUMIFS('FS Semi'!$J13:$CV13, 'FS Semi'!$J$4:$CV$4, 'FS Ann'!AY$4)</f>
        <v>0</v>
      </c>
      <c r="AZ13" s="16">
        <f xml:space="preserve"> SUMIFS('FS Semi'!$J13:$CV13, 'FS Semi'!$J$4:$CV$4, 'FS Ann'!AZ$4)</f>
        <v>0</v>
      </c>
      <c r="BA13" s="16">
        <f xml:space="preserve"> SUMIFS('FS Semi'!$J13:$CV13, 'FS Semi'!$J$4:$CV$4, 'FS Ann'!BA$4)</f>
        <v>0</v>
      </c>
      <c r="BB13" s="16">
        <f xml:space="preserve"> SUMIFS('FS Semi'!$J13:$CV13, 'FS Semi'!$J$4:$CV$4, 'FS Ann'!BB$4)</f>
        <v>0</v>
      </c>
    </row>
    <row r="14" spans="1:54" outlineLevel="1" x14ac:dyDescent="0.2">
      <c r="A14" s="1"/>
      <c r="B14" s="1"/>
      <c r="C14" s="19"/>
      <c r="D14" s="83"/>
      <c r="E14" s="16" t="str">
        <f xml:space="preserve"> 'FS Semi'!E14</f>
        <v>Amortisation of capitalised finance costs</v>
      </c>
      <c r="F14" s="16">
        <f xml:space="preserve"> 'FS Semi'!F14</f>
        <v>0</v>
      </c>
      <c r="G14" s="381" t="str">
        <f xml:space="preserve"> 'FS Semi'!G14</f>
        <v>$ 000s</v>
      </c>
      <c r="H14" s="16">
        <f t="shared" si="1"/>
        <v>-24335.550022039693</v>
      </c>
      <c r="I14" s="16"/>
      <c r="J14" s="16">
        <f xml:space="preserve"> SUMIFS('FS Semi'!$J14:$CV14, 'FS Semi'!$J$4:$CV$4, 'FS Ann'!J$4)</f>
        <v>0</v>
      </c>
      <c r="K14" s="16">
        <f xml:space="preserve"> SUMIFS('FS Semi'!$J14:$CV14, 'FS Semi'!$J$4:$CV$4, 'FS Ann'!K$4)</f>
        <v>0</v>
      </c>
      <c r="L14" s="16">
        <f xml:space="preserve"> SUMIFS('FS Semi'!$J14:$CV14, 'FS Semi'!$J$4:$CV$4, 'FS Ann'!L$4)</f>
        <v>0</v>
      </c>
      <c r="M14" s="16">
        <f xml:space="preserve"> SUMIFS('FS Semi'!$J14:$CV14, 'FS Semi'!$J$4:$CV$4, 'FS Ann'!M$4)</f>
        <v>-1431.5029424729237</v>
      </c>
      <c r="N14" s="16">
        <f xml:space="preserve"> SUMIFS('FS Semi'!$J14:$CV14, 'FS Semi'!$J$4:$CV$4, 'FS Ann'!N$4)</f>
        <v>-1431.5029424729237</v>
      </c>
      <c r="O14" s="16">
        <f xml:space="preserve"> SUMIFS('FS Semi'!$J14:$CV14, 'FS Semi'!$J$4:$CV$4, 'FS Ann'!O$4)</f>
        <v>-1431.5029424729237</v>
      </c>
      <c r="P14" s="16">
        <f xml:space="preserve"> SUMIFS('FS Semi'!$J14:$CV14, 'FS Semi'!$J$4:$CV$4, 'FS Ann'!P$4)</f>
        <v>-1431.5029424729237</v>
      </c>
      <c r="Q14" s="16">
        <f xml:space="preserve"> SUMIFS('FS Semi'!$J14:$CV14, 'FS Semi'!$J$4:$CV$4, 'FS Ann'!Q$4)</f>
        <v>-1431.5029424729237</v>
      </c>
      <c r="R14" s="16">
        <f xml:space="preserve"> SUMIFS('FS Semi'!$J14:$CV14, 'FS Semi'!$J$4:$CV$4, 'FS Ann'!R$4)</f>
        <v>-1431.5029424729237</v>
      </c>
      <c r="S14" s="16">
        <f xml:space="preserve"> SUMIFS('FS Semi'!$J14:$CV14, 'FS Semi'!$J$4:$CV$4, 'FS Ann'!S$4)</f>
        <v>-1431.5029424729237</v>
      </c>
      <c r="T14" s="16">
        <f xml:space="preserve"> SUMIFS('FS Semi'!$J14:$CV14, 'FS Semi'!$J$4:$CV$4, 'FS Ann'!T$4)</f>
        <v>-1431.5029424729237</v>
      </c>
      <c r="U14" s="16">
        <f xml:space="preserve"> SUMIFS('FS Semi'!$J14:$CV14, 'FS Semi'!$J$4:$CV$4, 'FS Ann'!U$4)</f>
        <v>-1431.5029424729237</v>
      </c>
      <c r="V14" s="16">
        <f xml:space="preserve"> SUMIFS('FS Semi'!$J14:$CV14, 'FS Semi'!$J$4:$CV$4, 'FS Ann'!V$4)</f>
        <v>-1431.5029424729237</v>
      </c>
      <c r="W14" s="16">
        <f xml:space="preserve"> SUMIFS('FS Semi'!$J14:$CV14, 'FS Semi'!$J$4:$CV$4, 'FS Ann'!W$4)</f>
        <v>-1431.5029424729237</v>
      </c>
      <c r="X14" s="16">
        <f xml:space="preserve"> SUMIFS('FS Semi'!$J14:$CV14, 'FS Semi'!$J$4:$CV$4, 'FS Ann'!X$4)</f>
        <v>-1431.5029424729237</v>
      </c>
      <c r="Y14" s="16">
        <f xml:space="preserve"> SUMIFS('FS Semi'!$J14:$CV14, 'FS Semi'!$J$4:$CV$4, 'FS Ann'!Y$4)</f>
        <v>-1431.5029424729237</v>
      </c>
      <c r="Z14" s="16">
        <f xml:space="preserve"> SUMIFS('FS Semi'!$J14:$CV14, 'FS Semi'!$J$4:$CV$4, 'FS Ann'!Z$4)</f>
        <v>-1431.5029424729237</v>
      </c>
      <c r="AA14" s="16">
        <f xml:space="preserve"> SUMIFS('FS Semi'!$J14:$CV14, 'FS Semi'!$J$4:$CV$4, 'FS Ann'!AA$4)</f>
        <v>-1431.5029424729237</v>
      </c>
      <c r="AB14" s="16">
        <f xml:space="preserve"> SUMIFS('FS Semi'!$J14:$CV14, 'FS Semi'!$J$4:$CV$4, 'FS Ann'!AB$4)</f>
        <v>-1431.5029424729237</v>
      </c>
      <c r="AC14" s="16">
        <f xml:space="preserve"> SUMIFS('FS Semi'!$J14:$CV14, 'FS Semi'!$J$4:$CV$4, 'FS Ann'!AC$4)</f>
        <v>-1431.5029424729237</v>
      </c>
      <c r="AD14" s="16">
        <f xml:space="preserve"> SUMIFS('FS Semi'!$J14:$CV14, 'FS Semi'!$J$4:$CV$4, 'FS Ann'!AD$4)</f>
        <v>0</v>
      </c>
      <c r="AE14" s="16">
        <f xml:space="preserve"> SUMIFS('FS Semi'!$J14:$CV14, 'FS Semi'!$J$4:$CV$4, 'FS Ann'!AE$4)</f>
        <v>0</v>
      </c>
      <c r="AF14" s="16">
        <f xml:space="preserve"> SUMIFS('FS Semi'!$J14:$CV14, 'FS Semi'!$J$4:$CV$4, 'FS Ann'!AF$4)</f>
        <v>0</v>
      </c>
      <c r="AG14" s="16">
        <f xml:space="preserve"> SUMIFS('FS Semi'!$J14:$CV14, 'FS Semi'!$J$4:$CV$4, 'FS Ann'!AG$4)</f>
        <v>0</v>
      </c>
      <c r="AH14" s="16">
        <f xml:space="preserve"> SUMIFS('FS Semi'!$J14:$CV14, 'FS Semi'!$J$4:$CV$4, 'FS Ann'!AH$4)</f>
        <v>0</v>
      </c>
      <c r="AI14" s="16">
        <f xml:space="preserve"> SUMIFS('FS Semi'!$J14:$CV14, 'FS Semi'!$J$4:$CV$4, 'FS Ann'!AI$4)</f>
        <v>0</v>
      </c>
      <c r="AJ14" s="16">
        <f xml:space="preserve"> SUMIFS('FS Semi'!$J14:$CV14, 'FS Semi'!$J$4:$CV$4, 'FS Ann'!AJ$4)</f>
        <v>0</v>
      </c>
      <c r="AK14" s="16">
        <f xml:space="preserve"> SUMIFS('FS Semi'!$J14:$CV14, 'FS Semi'!$J$4:$CV$4, 'FS Ann'!AK$4)</f>
        <v>0</v>
      </c>
      <c r="AL14" s="16">
        <f xml:space="preserve"> SUMIFS('FS Semi'!$J14:$CV14, 'FS Semi'!$J$4:$CV$4, 'FS Ann'!AL$4)</f>
        <v>0</v>
      </c>
      <c r="AM14" s="16">
        <f xml:space="preserve"> SUMIFS('FS Semi'!$J14:$CV14, 'FS Semi'!$J$4:$CV$4, 'FS Ann'!AM$4)</f>
        <v>0</v>
      </c>
      <c r="AN14" s="16">
        <f xml:space="preserve"> SUMIFS('FS Semi'!$J14:$CV14, 'FS Semi'!$J$4:$CV$4, 'FS Ann'!AN$4)</f>
        <v>0</v>
      </c>
      <c r="AO14" s="16">
        <f xml:space="preserve"> SUMIFS('FS Semi'!$J14:$CV14, 'FS Semi'!$J$4:$CV$4, 'FS Ann'!AO$4)</f>
        <v>0</v>
      </c>
      <c r="AP14" s="16">
        <f xml:space="preserve"> SUMIFS('FS Semi'!$J14:$CV14, 'FS Semi'!$J$4:$CV$4, 'FS Ann'!AP$4)</f>
        <v>0</v>
      </c>
      <c r="AQ14" s="16">
        <f xml:space="preserve"> SUMIFS('FS Semi'!$J14:$CV14, 'FS Semi'!$J$4:$CV$4, 'FS Ann'!AQ$4)</f>
        <v>0</v>
      </c>
      <c r="AR14" s="16">
        <f xml:space="preserve"> SUMIFS('FS Semi'!$J14:$CV14, 'FS Semi'!$J$4:$CV$4, 'FS Ann'!AR$4)</f>
        <v>0</v>
      </c>
      <c r="AS14" s="16">
        <f xml:space="preserve"> SUMIFS('FS Semi'!$J14:$CV14, 'FS Semi'!$J$4:$CV$4, 'FS Ann'!AS$4)</f>
        <v>0</v>
      </c>
      <c r="AT14" s="16">
        <f xml:space="preserve"> SUMIFS('FS Semi'!$J14:$CV14, 'FS Semi'!$J$4:$CV$4, 'FS Ann'!AT$4)</f>
        <v>0</v>
      </c>
      <c r="AU14" s="16">
        <f xml:space="preserve"> SUMIFS('FS Semi'!$J14:$CV14, 'FS Semi'!$J$4:$CV$4, 'FS Ann'!AU$4)</f>
        <v>0</v>
      </c>
      <c r="AV14" s="16">
        <f xml:space="preserve"> SUMIFS('FS Semi'!$J14:$CV14, 'FS Semi'!$J$4:$CV$4, 'FS Ann'!AV$4)</f>
        <v>0</v>
      </c>
      <c r="AW14" s="16">
        <f xml:space="preserve"> SUMIFS('FS Semi'!$J14:$CV14, 'FS Semi'!$J$4:$CV$4, 'FS Ann'!AW$4)</f>
        <v>0</v>
      </c>
      <c r="AX14" s="16">
        <f xml:space="preserve"> SUMIFS('FS Semi'!$J14:$CV14, 'FS Semi'!$J$4:$CV$4, 'FS Ann'!AX$4)</f>
        <v>0</v>
      </c>
      <c r="AY14" s="16">
        <f xml:space="preserve"> SUMIFS('FS Semi'!$J14:$CV14, 'FS Semi'!$J$4:$CV$4, 'FS Ann'!AY$4)</f>
        <v>0</v>
      </c>
      <c r="AZ14" s="16">
        <f xml:space="preserve"> SUMIFS('FS Semi'!$J14:$CV14, 'FS Semi'!$J$4:$CV$4, 'FS Ann'!AZ$4)</f>
        <v>0</v>
      </c>
      <c r="BA14" s="16">
        <f xml:space="preserve"> SUMIFS('FS Semi'!$J14:$CV14, 'FS Semi'!$J$4:$CV$4, 'FS Ann'!BA$4)</f>
        <v>0</v>
      </c>
      <c r="BB14" s="16">
        <f xml:space="preserve"> SUMIFS('FS Semi'!$J14:$CV14, 'FS Semi'!$J$4:$CV$4, 'FS Ann'!BB$4)</f>
        <v>0</v>
      </c>
    </row>
    <row r="15" spans="1:54" outlineLevel="1" x14ac:dyDescent="0.2">
      <c r="A15" s="1"/>
      <c r="B15" s="1"/>
      <c r="C15" s="19"/>
      <c r="D15" s="83"/>
      <c r="E15" s="84" t="s">
        <v>52</v>
      </c>
      <c r="F15" s="84"/>
      <c r="G15" s="382" t="str">
        <f xml:space="preserve"> SMU</f>
        <v>$ 000s</v>
      </c>
      <c r="H15" s="84">
        <f t="shared" si="1"/>
        <v>262074.33310498929</v>
      </c>
      <c r="I15" s="84"/>
      <c r="J15" s="84">
        <f t="shared" ref="J15:BB15" si="3" xml:space="preserve"> J11 + SUM(J13:J14)</f>
        <v>0</v>
      </c>
      <c r="K15" s="84">
        <f t="shared" si="3"/>
        <v>0</v>
      </c>
      <c r="L15" s="84">
        <f t="shared" si="3"/>
        <v>0</v>
      </c>
      <c r="M15" s="84">
        <f t="shared" si="3"/>
        <v>15341.559850758034</v>
      </c>
      <c r="N15" s="84">
        <f t="shared" si="3"/>
        <v>15103.514741086676</v>
      </c>
      <c r="O15" s="84">
        <f t="shared" si="3"/>
        <v>14862.411729416688</v>
      </c>
      <c r="P15" s="84">
        <f t="shared" si="3"/>
        <v>14618.185695718765</v>
      </c>
      <c r="Q15" s="84">
        <f t="shared" si="3"/>
        <v>14370.770215361268</v>
      </c>
      <c r="R15" s="84">
        <f t="shared" si="3"/>
        <v>14120.097532840906</v>
      </c>
      <c r="S15" s="84">
        <f t="shared" si="3"/>
        <v>13866.098534985171</v>
      </c>
      <c r="T15" s="84">
        <f t="shared" si="3"/>
        <v>13608.702723615841</v>
      </c>
      <c r="U15" s="84">
        <f t="shared" si="3"/>
        <v>13347.838187662846</v>
      </c>
      <c r="V15" s="84">
        <f t="shared" si="3"/>
        <v>13083.431574717159</v>
      </c>
      <c r="W15" s="84">
        <f t="shared" si="3"/>
        <v>12815.408062011809</v>
      </c>
      <c r="X15" s="84">
        <f t="shared" si="3"/>
        <v>12543.6913268191</v>
      </c>
      <c r="Y15" s="84">
        <f t="shared" si="3"/>
        <v>12268.203516252799</v>
      </c>
      <c r="Z15" s="84">
        <f t="shared" si="3"/>
        <v>11988.865216462918</v>
      </c>
      <c r="AA15" s="84">
        <f t="shared" si="3"/>
        <v>11705.595421210985</v>
      </c>
      <c r="AB15" s="84">
        <f t="shared" si="3"/>
        <v>11418.311499813504</v>
      </c>
      <c r="AC15" s="84">
        <f t="shared" si="3"/>
        <v>11126.929164440853</v>
      </c>
      <c r="AD15" s="84">
        <f t="shared" si="3"/>
        <v>12262.86537923136</v>
      </c>
      <c r="AE15" s="84">
        <f t="shared" si="3"/>
        <v>11963.026556370056</v>
      </c>
      <c r="AF15" s="84">
        <f t="shared" si="3"/>
        <v>11658.8261762125</v>
      </c>
      <c r="AG15" s="84">
        <f t="shared" si="3"/>
        <v>0</v>
      </c>
      <c r="AH15" s="84">
        <f t="shared" si="3"/>
        <v>0</v>
      </c>
      <c r="AI15" s="84">
        <f t="shared" si="3"/>
        <v>0</v>
      </c>
      <c r="AJ15" s="84">
        <f t="shared" si="3"/>
        <v>0</v>
      </c>
      <c r="AK15" s="84">
        <f t="shared" si="3"/>
        <v>0</v>
      </c>
      <c r="AL15" s="84">
        <f t="shared" si="3"/>
        <v>0</v>
      </c>
      <c r="AM15" s="84">
        <f t="shared" si="3"/>
        <v>0</v>
      </c>
      <c r="AN15" s="84">
        <f t="shared" si="3"/>
        <v>0</v>
      </c>
      <c r="AO15" s="84">
        <f t="shared" si="3"/>
        <v>0</v>
      </c>
      <c r="AP15" s="84">
        <f t="shared" si="3"/>
        <v>0</v>
      </c>
      <c r="AQ15" s="84">
        <f t="shared" si="3"/>
        <v>0</v>
      </c>
      <c r="AR15" s="84">
        <f t="shared" si="3"/>
        <v>0</v>
      </c>
      <c r="AS15" s="84">
        <f t="shared" si="3"/>
        <v>0</v>
      </c>
      <c r="AT15" s="84">
        <f t="shared" si="3"/>
        <v>0</v>
      </c>
      <c r="AU15" s="84">
        <f t="shared" si="3"/>
        <v>0</v>
      </c>
      <c r="AV15" s="84">
        <f t="shared" si="3"/>
        <v>0</v>
      </c>
      <c r="AW15" s="84">
        <f t="shared" si="3"/>
        <v>0</v>
      </c>
      <c r="AX15" s="84">
        <f t="shared" si="3"/>
        <v>0</v>
      </c>
      <c r="AY15" s="84">
        <f t="shared" si="3"/>
        <v>0</v>
      </c>
      <c r="AZ15" s="84">
        <f t="shared" si="3"/>
        <v>0</v>
      </c>
      <c r="BA15" s="84">
        <f t="shared" si="3"/>
        <v>0</v>
      </c>
      <c r="BB15" s="84">
        <f t="shared" si="3"/>
        <v>0</v>
      </c>
    </row>
    <row r="16" spans="1:54" outlineLevel="1" x14ac:dyDescent="0.2">
      <c r="A16" s="1"/>
      <c r="B16" s="1"/>
      <c r="C16" s="19"/>
      <c r="D16" s="83"/>
      <c r="E16" s="16"/>
      <c r="F16" s="16"/>
      <c r="G16" s="381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6" outlineLevel="1" x14ac:dyDescent="0.2">
      <c r="A17" s="1"/>
      <c r="B17" s="1"/>
      <c r="C17" s="19"/>
      <c r="D17" s="83"/>
      <c r="E17" s="16" t="str">
        <f xml:space="preserve"> 'FS Semi'!E17</f>
        <v>Senior debt interest - T1</v>
      </c>
      <c r="F17" s="16">
        <f xml:space="preserve"> 'FS Semi'!F17</f>
        <v>0</v>
      </c>
      <c r="G17" s="381" t="str">
        <f xml:space="preserve"> 'FS Semi'!G17</f>
        <v>$ 000s</v>
      </c>
      <c r="H17" s="16">
        <f t="shared" si="1"/>
        <v>-58932.622085008697</v>
      </c>
      <c r="I17" s="16"/>
      <c r="J17" s="16">
        <f xml:space="preserve"> SUMIFS('FS Semi'!$J17:$CV17, 'FS Semi'!$J$4:$CV$4, 'FS Ann'!J$4)</f>
        <v>0</v>
      </c>
      <c r="K17" s="16">
        <f xml:space="preserve"> SUMIFS('FS Semi'!$J17:$CV17, 'FS Semi'!$J$4:$CV$4, 'FS Ann'!K$4)</f>
        <v>0</v>
      </c>
      <c r="L17" s="16">
        <f xml:space="preserve"> SUMIFS('FS Semi'!$J17:$CV17, 'FS Semi'!$J$4:$CV$4, 'FS Ann'!L$4)</f>
        <v>0</v>
      </c>
      <c r="M17" s="16">
        <f xml:space="preserve"> SUMIFS('FS Semi'!$J17:$CV17, 'FS Semi'!$J$4:$CV$4, 'FS Ann'!M$4)</f>
        <v>-5270.2417042475981</v>
      </c>
      <c r="N17" s="16">
        <f xml:space="preserve"> SUMIFS('FS Semi'!$J17:$CV17, 'FS Semi'!$J$4:$CV$4, 'FS Ann'!N$4)</f>
        <v>-5055.7098323349583</v>
      </c>
      <c r="O17" s="16">
        <f xml:space="preserve"> SUMIFS('FS Semi'!$J17:$CV17, 'FS Semi'!$J$4:$CV$4, 'FS Ann'!O$4)</f>
        <v>-4846.6053869203397</v>
      </c>
      <c r="P17" s="16">
        <f xml:space="preserve"> SUMIFS('FS Semi'!$J17:$CV17, 'FS Semi'!$J$4:$CV$4, 'FS Ann'!P$4)</f>
        <v>-4643.4703183922547</v>
      </c>
      <c r="Q17" s="16">
        <f xml:space="preserve"> SUMIFS('FS Semi'!$J17:$CV17, 'FS Semi'!$J$4:$CV$4, 'FS Ann'!Q$4)</f>
        <v>-4408.7515700647691</v>
      </c>
      <c r="R17" s="16">
        <f xml:space="preserve"> SUMIFS('FS Semi'!$J17:$CV17, 'FS Semi'!$J$4:$CV$4, 'FS Ann'!R$4)</f>
        <v>-4380.0691215644711</v>
      </c>
      <c r="S17" s="16">
        <f xml:space="preserve"> SUMIFS('FS Semi'!$J17:$CV17, 'FS Semi'!$J$4:$CV$4, 'FS Ann'!S$4)</f>
        <v>-4138.7610708018365</v>
      </c>
      <c r="T17" s="16">
        <f xml:space="preserve"> SUMIFS('FS Semi'!$J17:$CV17, 'FS Semi'!$J$4:$CV$4, 'FS Ann'!T$4)</f>
        <v>-3899.7014695671105</v>
      </c>
      <c r="U17" s="16">
        <f xml:space="preserve"> SUMIFS('FS Semi'!$J17:$CV17, 'FS Semi'!$J$4:$CV$4, 'FS Ann'!U$4)</f>
        <v>-3631.3314113877259</v>
      </c>
      <c r="V17" s="16">
        <f xml:space="preserve"> SUMIFS('FS Semi'!$J17:$CV17, 'FS Semi'!$J$4:$CV$4, 'FS Ann'!V$4)</f>
        <v>-3364.408729291883</v>
      </c>
      <c r="W17" s="16">
        <f xml:space="preserve"> SUMIFS('FS Semi'!$J17:$CV17, 'FS Semi'!$J$4:$CV$4, 'FS Ann'!W$4)</f>
        <v>-3229.7783742011607</v>
      </c>
      <c r="X17" s="16">
        <f xml:space="preserve"> SUMIFS('FS Semi'!$J17:$CV17, 'FS Semi'!$J$4:$CV$4, 'FS Ann'!X$4)</f>
        <v>-2943.8103843488375</v>
      </c>
      <c r="Y17" s="16">
        <f xml:space="preserve"> SUMIFS('FS Semi'!$J17:$CV17, 'FS Semi'!$J$4:$CV$4, 'FS Ann'!Y$4)</f>
        <v>-2631.1336871929952</v>
      </c>
      <c r="Z17" s="16">
        <f xml:space="preserve"> SUMIFS('FS Semi'!$J17:$CV17, 'FS Semi'!$J$4:$CV$4, 'FS Ann'!Z$4)</f>
        <v>-2314.6695043706914</v>
      </c>
      <c r="AA17" s="16">
        <f xml:space="preserve"> SUMIFS('FS Semi'!$J17:$CV17, 'FS Semi'!$J$4:$CV$4, 'FS Ann'!AA$4)</f>
        <v>-1985.8749303784221</v>
      </c>
      <c r="AB17" s="16">
        <f xml:space="preserve"> SUMIFS('FS Semi'!$J17:$CV17, 'FS Semi'!$J$4:$CV$4, 'FS Ann'!AB$4)</f>
        <v>-1524.9432985014653</v>
      </c>
      <c r="AC17" s="16">
        <f xml:space="preserve"> SUMIFS('FS Semi'!$J17:$CV17, 'FS Semi'!$J$4:$CV$4, 'FS Ann'!AC$4)</f>
        <v>-663.36260921730047</v>
      </c>
      <c r="AD17" s="16">
        <f xml:space="preserve"> SUMIFS('FS Semi'!$J17:$CV17, 'FS Semi'!$J$4:$CV$4, 'FS Ann'!AD$4)</f>
        <v>4.3885759375272458E-4</v>
      </c>
      <c r="AE17" s="16">
        <f xml:space="preserve"> SUMIFS('FS Semi'!$J17:$CV17, 'FS Semi'!$J$4:$CV$4, 'FS Ann'!AE$4)</f>
        <v>4.3885759375272458E-4</v>
      </c>
      <c r="AF17" s="16">
        <f xml:space="preserve"> SUMIFS('FS Semi'!$J17:$CV17, 'FS Semi'!$J$4:$CV$4, 'FS Ann'!AF$4)</f>
        <v>4.4005994332464986E-4</v>
      </c>
      <c r="AG17" s="16">
        <f xml:space="preserve"> SUMIFS('FS Semi'!$J17:$CV17, 'FS Semi'!$J$4:$CV$4, 'FS Ann'!AG$4)</f>
        <v>0</v>
      </c>
      <c r="AH17" s="16">
        <f xml:space="preserve"> SUMIFS('FS Semi'!$J17:$CV17, 'FS Semi'!$J$4:$CV$4, 'FS Ann'!AH$4)</f>
        <v>0</v>
      </c>
      <c r="AI17" s="16">
        <f xml:space="preserve"> SUMIFS('FS Semi'!$J17:$CV17, 'FS Semi'!$J$4:$CV$4, 'FS Ann'!AI$4)</f>
        <v>0</v>
      </c>
      <c r="AJ17" s="16">
        <f xml:space="preserve"> SUMIFS('FS Semi'!$J17:$CV17, 'FS Semi'!$J$4:$CV$4, 'FS Ann'!AJ$4)</f>
        <v>0</v>
      </c>
      <c r="AK17" s="16">
        <f xml:space="preserve"> SUMIFS('FS Semi'!$J17:$CV17, 'FS Semi'!$J$4:$CV$4, 'FS Ann'!AK$4)</f>
        <v>0</v>
      </c>
      <c r="AL17" s="16">
        <f xml:space="preserve"> SUMIFS('FS Semi'!$J17:$CV17, 'FS Semi'!$J$4:$CV$4, 'FS Ann'!AL$4)</f>
        <v>0</v>
      </c>
      <c r="AM17" s="16">
        <f xml:space="preserve"> SUMIFS('FS Semi'!$J17:$CV17, 'FS Semi'!$J$4:$CV$4, 'FS Ann'!AM$4)</f>
        <v>0</v>
      </c>
      <c r="AN17" s="16">
        <f xml:space="preserve"> SUMIFS('FS Semi'!$J17:$CV17, 'FS Semi'!$J$4:$CV$4, 'FS Ann'!AN$4)</f>
        <v>0</v>
      </c>
      <c r="AO17" s="16">
        <f xml:space="preserve"> SUMIFS('FS Semi'!$J17:$CV17, 'FS Semi'!$J$4:$CV$4, 'FS Ann'!AO$4)</f>
        <v>0</v>
      </c>
      <c r="AP17" s="16">
        <f xml:space="preserve"> SUMIFS('FS Semi'!$J17:$CV17, 'FS Semi'!$J$4:$CV$4, 'FS Ann'!AP$4)</f>
        <v>0</v>
      </c>
      <c r="AQ17" s="16">
        <f xml:space="preserve"> SUMIFS('FS Semi'!$J17:$CV17, 'FS Semi'!$J$4:$CV$4, 'FS Ann'!AQ$4)</f>
        <v>0</v>
      </c>
      <c r="AR17" s="16">
        <f xml:space="preserve"> SUMIFS('FS Semi'!$J17:$CV17, 'FS Semi'!$J$4:$CV$4, 'FS Ann'!AR$4)</f>
        <v>0</v>
      </c>
      <c r="AS17" s="16">
        <f xml:space="preserve"> SUMIFS('FS Semi'!$J17:$CV17, 'FS Semi'!$J$4:$CV$4, 'FS Ann'!AS$4)</f>
        <v>0</v>
      </c>
      <c r="AT17" s="16">
        <f xml:space="preserve"> SUMIFS('FS Semi'!$J17:$CV17, 'FS Semi'!$J$4:$CV$4, 'FS Ann'!AT$4)</f>
        <v>0</v>
      </c>
      <c r="AU17" s="16">
        <f xml:space="preserve"> SUMIFS('FS Semi'!$J17:$CV17, 'FS Semi'!$J$4:$CV$4, 'FS Ann'!AU$4)</f>
        <v>0</v>
      </c>
      <c r="AV17" s="16">
        <f xml:space="preserve"> SUMIFS('FS Semi'!$J17:$CV17, 'FS Semi'!$J$4:$CV$4, 'FS Ann'!AV$4)</f>
        <v>0</v>
      </c>
      <c r="AW17" s="16">
        <f xml:space="preserve"> SUMIFS('FS Semi'!$J17:$CV17, 'FS Semi'!$J$4:$CV$4, 'FS Ann'!AW$4)</f>
        <v>0</v>
      </c>
      <c r="AX17" s="16">
        <f xml:space="preserve"> SUMIFS('FS Semi'!$J17:$CV17, 'FS Semi'!$J$4:$CV$4, 'FS Ann'!AX$4)</f>
        <v>0</v>
      </c>
      <c r="AY17" s="16">
        <f xml:space="preserve"> SUMIFS('FS Semi'!$J17:$CV17, 'FS Semi'!$J$4:$CV$4, 'FS Ann'!AY$4)</f>
        <v>0</v>
      </c>
      <c r="AZ17" s="16">
        <f xml:space="preserve"> SUMIFS('FS Semi'!$J17:$CV17, 'FS Semi'!$J$4:$CV$4, 'FS Ann'!AZ$4)</f>
        <v>0</v>
      </c>
      <c r="BA17" s="16">
        <f xml:space="preserve"> SUMIFS('FS Semi'!$J17:$CV17, 'FS Semi'!$J$4:$CV$4, 'FS Ann'!BA$4)</f>
        <v>0</v>
      </c>
      <c r="BB17" s="16">
        <f xml:space="preserve"> SUMIFS('FS Semi'!$J17:$CV17, 'FS Semi'!$J$4:$CV$4, 'FS Ann'!BB$4)</f>
        <v>0</v>
      </c>
    </row>
    <row r="18" spans="1:56" s="32" customFormat="1" outlineLevel="1" x14ac:dyDescent="0.2">
      <c r="A18" s="1"/>
      <c r="B18" s="1"/>
      <c r="C18" s="19"/>
      <c r="D18" s="20"/>
      <c r="E18" s="9" t="str">
        <f xml:space="preserve"> Debt!E$245</f>
        <v>Withholding tax on Senior Debt Interest T1</v>
      </c>
      <c r="F18" s="9">
        <f xml:space="preserve"> Debt!F$245</f>
        <v>0</v>
      </c>
      <c r="G18" s="9" t="str">
        <f xml:space="preserve"> Debt!G$245</f>
        <v>$ 000s</v>
      </c>
      <c r="H18" s="16">
        <f xml:space="preserve"> SUM(J18:BB18)</f>
        <v>-1202.7065731634439</v>
      </c>
      <c r="I18" s="9">
        <f xml:space="preserve"> Debt!I$245</f>
        <v>0</v>
      </c>
      <c r="J18" s="16">
        <f xml:space="preserve"> SUMIFS('FS Semi'!$J18:$CV18, 'FS Semi'!$J$4:$CV$4, 'FS Ann'!J$4)</f>
        <v>0</v>
      </c>
      <c r="K18" s="16">
        <f xml:space="preserve"> SUMIFS('FS Semi'!$J18:$CV18, 'FS Semi'!$J$4:$CV$4, 'FS Ann'!K$4)</f>
        <v>0</v>
      </c>
      <c r="L18" s="16">
        <f xml:space="preserve"> SUMIFS('FS Semi'!$J18:$CV18, 'FS Semi'!$J$4:$CV$4, 'FS Ann'!L$4)</f>
        <v>0</v>
      </c>
      <c r="M18" s="16">
        <f xml:space="preserve"> SUMIFS('FS Semi'!$J18:$CV18, 'FS Semi'!$J$4:$CV$4, 'FS Ann'!M$4)</f>
        <v>-107.55595314791026</v>
      </c>
      <c r="N18" s="16">
        <f xml:space="preserve"> SUMIFS('FS Semi'!$J18:$CV18, 'FS Semi'!$J$4:$CV$4, 'FS Ann'!N$4)</f>
        <v>-103.17775168030539</v>
      </c>
      <c r="O18" s="16">
        <f xml:space="preserve"> SUMIFS('FS Semi'!$J18:$CV18, 'FS Semi'!$J$4:$CV$4, 'FS Ann'!O$4)</f>
        <v>-98.910314018782628</v>
      </c>
      <c r="P18" s="16">
        <f xml:space="preserve"> SUMIFS('FS Semi'!$J18:$CV18, 'FS Semi'!$J$4:$CV$4, 'FS Ann'!P$4)</f>
        <v>-94.764700375352277</v>
      </c>
      <c r="Q18" s="16">
        <f xml:space="preserve"> SUMIFS('FS Semi'!$J18:$CV18, 'FS Semi'!$J$4:$CV$4, 'FS Ann'!Q$4)</f>
        <v>-89.974521838056717</v>
      </c>
      <c r="R18" s="16">
        <f xml:space="preserve"> SUMIFS('FS Semi'!$J18:$CV18, 'FS Semi'!$J$4:$CV$4, 'FS Ann'!R$4)</f>
        <v>-89.389165746213621</v>
      </c>
      <c r="S18" s="16">
        <f xml:space="preserve"> SUMIFS('FS Semi'!$J18:$CV18, 'FS Semi'!$J$4:$CV$4, 'FS Ann'!S$4)</f>
        <v>-84.464511649016913</v>
      </c>
      <c r="T18" s="16">
        <f xml:space="preserve"> SUMIFS('FS Semi'!$J18:$CV18, 'FS Semi'!$J$4:$CV$4, 'FS Ann'!T$4)</f>
        <v>-79.58574427687995</v>
      </c>
      <c r="U18" s="16">
        <f xml:space="preserve"> SUMIFS('FS Semi'!$J18:$CV18, 'FS Semi'!$J$4:$CV$4, 'FS Ann'!U$4)</f>
        <v>-74.108804314035297</v>
      </c>
      <c r="V18" s="16">
        <f xml:space="preserve"> SUMIFS('FS Semi'!$J18:$CV18, 'FS Semi'!$J$4:$CV$4, 'FS Ann'!V$4)</f>
        <v>-68.661402638609843</v>
      </c>
      <c r="W18" s="16">
        <f xml:space="preserve"> SUMIFS('FS Semi'!$J18:$CV18, 'FS Semi'!$J$4:$CV$4, 'FS Ann'!W$4)</f>
        <v>-65.913844371452342</v>
      </c>
      <c r="X18" s="16">
        <f xml:space="preserve"> SUMIFS('FS Semi'!$J18:$CV18, 'FS Semi'!$J$4:$CV$4, 'FS Ann'!X$4)</f>
        <v>-60.077762945894847</v>
      </c>
      <c r="Y18" s="16">
        <f xml:space="preserve"> SUMIFS('FS Semi'!$J18:$CV18, 'FS Semi'!$J$4:$CV$4, 'FS Ann'!Y$4)</f>
        <v>-53.696605861081707</v>
      </c>
      <c r="Z18" s="16">
        <f xml:space="preserve"> SUMIFS('FS Semi'!$J18:$CV18, 'FS Semi'!$J$4:$CV$4, 'FS Ann'!Z$4)</f>
        <v>-47.238153150422477</v>
      </c>
      <c r="AA18" s="16">
        <f xml:space="preserve"> SUMIFS('FS Semi'!$J18:$CV18, 'FS Semi'!$J$4:$CV$4, 'FS Ann'!AA$4)</f>
        <v>-40.52805980364144</v>
      </c>
      <c r="AB18" s="16">
        <f xml:space="preserve"> SUMIFS('FS Semi'!$J18:$CV18, 'FS Semi'!$J$4:$CV$4, 'FS Ann'!AB$4)</f>
        <v>-31.121291806152385</v>
      </c>
      <c r="AC18" s="16">
        <f xml:space="preserve"> SUMIFS('FS Semi'!$J18:$CV18, 'FS Semi'!$J$4:$CV$4, 'FS Ann'!AC$4)</f>
        <v>-13.538012433006116</v>
      </c>
      <c r="AD18" s="16">
        <f xml:space="preserve"> SUMIFS('FS Semi'!$J18:$CV18, 'FS Semi'!$J$4:$CV$4, 'FS Ann'!AD$4)</f>
        <v>8.9562774235250029E-6</v>
      </c>
      <c r="AE18" s="16">
        <f xml:space="preserve"> SUMIFS('FS Semi'!$J18:$CV18, 'FS Semi'!$J$4:$CV$4, 'FS Ann'!AE$4)</f>
        <v>8.9562774235250029E-6</v>
      </c>
      <c r="AF18" s="16">
        <f xml:space="preserve"> SUMIFS('FS Semi'!$J18:$CV18, 'FS Semi'!$J$4:$CV$4, 'FS Ann'!AF$4)</f>
        <v>8.9808151698908296E-6</v>
      </c>
      <c r="AG18" s="16">
        <f xml:space="preserve"> SUMIFS('FS Semi'!$J18:$CV18, 'FS Semi'!$J$4:$CV$4, 'FS Ann'!AG$4)</f>
        <v>0</v>
      </c>
      <c r="AH18" s="16">
        <f xml:space="preserve"> SUMIFS('FS Semi'!$J18:$CV18, 'FS Semi'!$J$4:$CV$4, 'FS Ann'!AH$4)</f>
        <v>0</v>
      </c>
      <c r="AI18" s="16">
        <f xml:space="preserve"> SUMIFS('FS Semi'!$J18:$CV18, 'FS Semi'!$J$4:$CV$4, 'FS Ann'!AI$4)</f>
        <v>0</v>
      </c>
      <c r="AJ18" s="16">
        <f xml:space="preserve"> SUMIFS('FS Semi'!$J18:$CV18, 'FS Semi'!$J$4:$CV$4, 'FS Ann'!AJ$4)</f>
        <v>0</v>
      </c>
      <c r="AK18" s="16">
        <f xml:space="preserve"> SUMIFS('FS Semi'!$J18:$CV18, 'FS Semi'!$J$4:$CV$4, 'FS Ann'!AK$4)</f>
        <v>0</v>
      </c>
      <c r="AL18" s="16">
        <f xml:space="preserve"> SUMIFS('FS Semi'!$J18:$CV18, 'FS Semi'!$J$4:$CV$4, 'FS Ann'!AL$4)</f>
        <v>0</v>
      </c>
      <c r="AM18" s="16">
        <f xml:space="preserve"> SUMIFS('FS Semi'!$J18:$CV18, 'FS Semi'!$J$4:$CV$4, 'FS Ann'!AM$4)</f>
        <v>0</v>
      </c>
      <c r="AN18" s="16">
        <f xml:space="preserve"> SUMIFS('FS Semi'!$J18:$CV18, 'FS Semi'!$J$4:$CV$4, 'FS Ann'!AN$4)</f>
        <v>0</v>
      </c>
      <c r="AO18" s="16">
        <f xml:space="preserve"> SUMIFS('FS Semi'!$J18:$CV18, 'FS Semi'!$J$4:$CV$4, 'FS Ann'!AO$4)</f>
        <v>0</v>
      </c>
      <c r="AP18" s="16">
        <f xml:space="preserve"> SUMIFS('FS Semi'!$J18:$CV18, 'FS Semi'!$J$4:$CV$4, 'FS Ann'!AP$4)</f>
        <v>0</v>
      </c>
      <c r="AQ18" s="16">
        <f xml:space="preserve"> SUMIFS('FS Semi'!$J18:$CV18, 'FS Semi'!$J$4:$CV$4, 'FS Ann'!AQ$4)</f>
        <v>0</v>
      </c>
      <c r="AR18" s="16">
        <f xml:space="preserve"> SUMIFS('FS Semi'!$J18:$CV18, 'FS Semi'!$J$4:$CV$4, 'FS Ann'!AR$4)</f>
        <v>0</v>
      </c>
      <c r="AS18" s="16">
        <f xml:space="preserve"> SUMIFS('FS Semi'!$J18:$CV18, 'FS Semi'!$J$4:$CV$4, 'FS Ann'!AS$4)</f>
        <v>0</v>
      </c>
      <c r="AT18" s="16">
        <f xml:space="preserve"> SUMIFS('FS Semi'!$J18:$CV18, 'FS Semi'!$J$4:$CV$4, 'FS Ann'!AT$4)</f>
        <v>0</v>
      </c>
      <c r="AU18" s="16">
        <f xml:space="preserve"> SUMIFS('FS Semi'!$J18:$CV18, 'FS Semi'!$J$4:$CV$4, 'FS Ann'!AU$4)</f>
        <v>0</v>
      </c>
      <c r="AV18" s="16">
        <f xml:space="preserve"> SUMIFS('FS Semi'!$J18:$CV18, 'FS Semi'!$J$4:$CV$4, 'FS Ann'!AV$4)</f>
        <v>0</v>
      </c>
      <c r="AW18" s="16">
        <f xml:space="preserve"> SUMIFS('FS Semi'!$J18:$CV18, 'FS Semi'!$J$4:$CV$4, 'FS Ann'!AW$4)</f>
        <v>0</v>
      </c>
      <c r="AX18" s="16">
        <f xml:space="preserve"> SUMIFS('FS Semi'!$J18:$CV18, 'FS Semi'!$J$4:$CV$4, 'FS Ann'!AX$4)</f>
        <v>0</v>
      </c>
      <c r="AY18" s="16">
        <f xml:space="preserve"> SUMIFS('FS Semi'!$J18:$CV18, 'FS Semi'!$J$4:$CV$4, 'FS Ann'!AY$4)</f>
        <v>0</v>
      </c>
      <c r="AZ18" s="16">
        <f xml:space="preserve"> SUMIFS('FS Semi'!$J18:$CV18, 'FS Semi'!$J$4:$CV$4, 'FS Ann'!AZ$4)</f>
        <v>0</v>
      </c>
      <c r="BA18" s="16">
        <f xml:space="preserve"> SUMIFS('FS Semi'!$J18:$CV18, 'FS Semi'!$J$4:$CV$4, 'FS Ann'!BA$4)</f>
        <v>0</v>
      </c>
      <c r="BB18" s="16">
        <f xml:space="preserve"> SUMIFS('FS Semi'!$J18:$CV18, 'FS Semi'!$J$4:$CV$4, 'FS Ann'!BB$4)</f>
        <v>0</v>
      </c>
      <c r="BC18" s="16">
        <f xml:space="preserve"> SUMIFS('FS Semi'!$J18:$CV18, 'FS Semi'!$J$4:$CV$4, 'FS Ann'!BC$4)</f>
        <v>0</v>
      </c>
      <c r="BD18" s="16">
        <f xml:space="preserve"> SUMIFS('FS Semi'!$J18:$CV18, 'FS Semi'!$J$4:$CV$4, 'FS Ann'!BD$4)</f>
        <v>0</v>
      </c>
    </row>
    <row r="19" spans="1:56" outlineLevel="1" x14ac:dyDescent="0.2">
      <c r="A19" s="1"/>
      <c r="B19" s="1"/>
      <c r="C19" s="19"/>
      <c r="D19" s="83"/>
      <c r="E19" s="16" t="str">
        <f xml:space="preserve"> 'FS Semi'!E19</f>
        <v>Senior debt interest - T2</v>
      </c>
      <c r="F19" s="16">
        <f xml:space="preserve"> 'FS Semi'!F19</f>
        <v>0</v>
      </c>
      <c r="G19" s="381" t="str">
        <f xml:space="preserve"> 'FS Semi'!G19</f>
        <v>$ 000s</v>
      </c>
      <c r="H19" s="16">
        <f t="shared" ref="H19" si="4" xml:space="preserve"> SUM(J19:BB19)</f>
        <v>-50719.400835431719</v>
      </c>
      <c r="I19" s="16"/>
      <c r="J19" s="16">
        <f xml:space="preserve"> SUMIFS('FS Semi'!$J19:$CV19, 'FS Semi'!$J$4:$CV$4, 'FS Ann'!J$4)</f>
        <v>0</v>
      </c>
      <c r="K19" s="16">
        <f xml:space="preserve"> SUMIFS('FS Semi'!$J19:$CV19, 'FS Semi'!$J$4:$CV$4, 'FS Ann'!K$4)</f>
        <v>0</v>
      </c>
      <c r="L19" s="16">
        <f xml:space="preserve"> SUMIFS('FS Semi'!$J19:$CV19, 'FS Semi'!$J$4:$CV$4, 'FS Ann'!L$4)</f>
        <v>0</v>
      </c>
      <c r="M19" s="16">
        <f xml:space="preserve"> SUMIFS('FS Semi'!$J19:$CV19, 'FS Semi'!$J$4:$CV$4, 'FS Ann'!M$4)</f>
        <v>-5868.9029603179642</v>
      </c>
      <c r="N19" s="16">
        <f xml:space="preserve"> SUMIFS('FS Semi'!$J19:$CV19, 'FS Semi'!$J$4:$CV$4, 'FS Ann'!N$4)</f>
        <v>-5527.6851118051936</v>
      </c>
      <c r="O19" s="16">
        <f xml:space="preserve"> SUMIFS('FS Semi'!$J19:$CV19, 'FS Semi'!$J$4:$CV$4, 'FS Ann'!O$4)</f>
        <v>-5195.0997092600355</v>
      </c>
      <c r="P19" s="16">
        <f xml:space="preserve"> SUMIFS('FS Semi'!$J19:$CV19, 'FS Semi'!$J$4:$CV$4, 'FS Ann'!P$4)</f>
        <v>-4865.122334435142</v>
      </c>
      <c r="Q19" s="16">
        <f xml:space="preserve"> SUMIFS('FS Semi'!$J19:$CV19, 'FS Semi'!$J$4:$CV$4, 'FS Ann'!Q$4)</f>
        <v>-4498.6832000552813</v>
      </c>
      <c r="R19" s="16">
        <f xml:space="preserve"> SUMIFS('FS Semi'!$J19:$CV19, 'FS Semi'!$J$4:$CV$4, 'FS Ann'!R$4)</f>
        <v>-4312.4164671573599</v>
      </c>
      <c r="S19" s="16">
        <f xml:space="preserve"> SUMIFS('FS Semi'!$J19:$CV19, 'FS Semi'!$J$4:$CV$4, 'FS Ann'!S$4)</f>
        <v>-3930.4664221302792</v>
      </c>
      <c r="T19" s="16">
        <f xml:space="preserve"> SUMIFS('FS Semi'!$J19:$CV19, 'FS Semi'!$J$4:$CV$4, 'FS Ann'!T$4)</f>
        <v>-3544.8958532625911</v>
      </c>
      <c r="U19" s="16">
        <f xml:space="preserve"> SUMIFS('FS Semi'!$J19:$CV19, 'FS Semi'!$J$4:$CV$4, 'FS Ann'!U$4)</f>
        <v>-3127.2906447421346</v>
      </c>
      <c r="V19" s="16">
        <f xml:space="preserve"> SUMIFS('FS Semi'!$J19:$CV19, 'FS Semi'!$J$4:$CV$4, 'FS Ann'!V$4)</f>
        <v>-2704.7969478967593</v>
      </c>
      <c r="W19" s="16">
        <f xml:space="preserve"> SUMIFS('FS Semi'!$J19:$CV19, 'FS Semi'!$J$4:$CV$4, 'FS Ann'!W$4)</f>
        <v>-2408.375082061887</v>
      </c>
      <c r="X19" s="16">
        <f xml:space="preserve"> SUMIFS('FS Semi'!$J19:$CV19, 'FS Semi'!$J$4:$CV$4, 'FS Ann'!X$4)</f>
        <v>-1941.2891253254152</v>
      </c>
      <c r="Y19" s="16">
        <f xml:space="preserve"> SUMIFS('FS Semi'!$J19:$CV19, 'FS Semi'!$J$4:$CV$4, 'FS Ann'!Y$4)</f>
        <v>-1446.5280816878701</v>
      </c>
      <c r="Z19" s="16">
        <f xml:space="preserve"> SUMIFS('FS Semi'!$J19:$CV19, 'FS Semi'!$J$4:$CV$4, 'FS Ann'!Z$4)</f>
        <v>-938.06265707232274</v>
      </c>
      <c r="AA19" s="16">
        <f xml:space="preserve"> SUMIFS('FS Semi'!$J19:$CV19, 'FS Semi'!$J$4:$CV$4, 'FS Ann'!AA$4)</f>
        <v>-409.7858985927071</v>
      </c>
      <c r="AB19" s="16">
        <f xml:space="preserve"> SUMIFS('FS Semi'!$J19:$CV19, 'FS Semi'!$J$4:$CV$4, 'FS Ann'!AB$4)</f>
        <v>-1.1411296471257326E-4</v>
      </c>
      <c r="AC19" s="16">
        <f xml:space="preserve"> SUMIFS('FS Semi'!$J19:$CV19, 'FS Semi'!$J$4:$CV$4, 'FS Ann'!AC$4)</f>
        <v>-1.1380118065598154E-4</v>
      </c>
      <c r="AD19" s="16">
        <f xml:space="preserve"> SUMIFS('FS Semi'!$J19:$CV19, 'FS Semi'!$J$4:$CV$4, 'FS Ann'!AD$4)</f>
        <v>-3.7204232137532427E-5</v>
      </c>
      <c r="AE19" s="16">
        <f xml:space="preserve"> SUMIFS('FS Semi'!$J19:$CV19, 'FS Semi'!$J$4:$CV$4, 'FS Ann'!AE$4)</f>
        <v>-3.7204232137532427E-5</v>
      </c>
      <c r="AF19" s="16">
        <f xml:space="preserve"> SUMIFS('FS Semi'!$J19:$CV19, 'FS Semi'!$J$4:$CV$4, 'FS Ann'!AF$4)</f>
        <v>-3.7306161540648952E-5</v>
      </c>
      <c r="AG19" s="16">
        <f xml:space="preserve"> SUMIFS('FS Semi'!$J19:$CV19, 'FS Semi'!$J$4:$CV$4, 'FS Ann'!AG$4)</f>
        <v>0</v>
      </c>
      <c r="AH19" s="16">
        <f xml:space="preserve"> SUMIFS('FS Semi'!$J19:$CV19, 'FS Semi'!$J$4:$CV$4, 'FS Ann'!AH$4)</f>
        <v>0</v>
      </c>
      <c r="AI19" s="16">
        <f xml:space="preserve"> SUMIFS('FS Semi'!$J19:$CV19, 'FS Semi'!$J$4:$CV$4, 'FS Ann'!AI$4)</f>
        <v>0</v>
      </c>
      <c r="AJ19" s="16">
        <f xml:space="preserve"> SUMIFS('FS Semi'!$J19:$CV19, 'FS Semi'!$J$4:$CV$4, 'FS Ann'!AJ$4)</f>
        <v>0</v>
      </c>
      <c r="AK19" s="16">
        <f xml:space="preserve"> SUMIFS('FS Semi'!$J19:$CV19, 'FS Semi'!$J$4:$CV$4, 'FS Ann'!AK$4)</f>
        <v>0</v>
      </c>
      <c r="AL19" s="16">
        <f xml:space="preserve"> SUMIFS('FS Semi'!$J19:$CV19, 'FS Semi'!$J$4:$CV$4, 'FS Ann'!AL$4)</f>
        <v>0</v>
      </c>
      <c r="AM19" s="16">
        <f xml:space="preserve"> SUMIFS('FS Semi'!$J19:$CV19, 'FS Semi'!$J$4:$CV$4, 'FS Ann'!AM$4)</f>
        <v>0</v>
      </c>
      <c r="AN19" s="16">
        <f xml:space="preserve"> SUMIFS('FS Semi'!$J19:$CV19, 'FS Semi'!$J$4:$CV$4, 'FS Ann'!AN$4)</f>
        <v>0</v>
      </c>
      <c r="AO19" s="16">
        <f xml:space="preserve"> SUMIFS('FS Semi'!$J19:$CV19, 'FS Semi'!$J$4:$CV$4, 'FS Ann'!AO$4)</f>
        <v>0</v>
      </c>
      <c r="AP19" s="16">
        <f xml:space="preserve"> SUMIFS('FS Semi'!$J19:$CV19, 'FS Semi'!$J$4:$CV$4, 'FS Ann'!AP$4)</f>
        <v>0</v>
      </c>
      <c r="AQ19" s="16">
        <f xml:space="preserve"> SUMIFS('FS Semi'!$J19:$CV19, 'FS Semi'!$J$4:$CV$4, 'FS Ann'!AQ$4)</f>
        <v>0</v>
      </c>
      <c r="AR19" s="16">
        <f xml:space="preserve"> SUMIFS('FS Semi'!$J19:$CV19, 'FS Semi'!$J$4:$CV$4, 'FS Ann'!AR$4)</f>
        <v>0</v>
      </c>
      <c r="AS19" s="16">
        <f xml:space="preserve"> SUMIFS('FS Semi'!$J19:$CV19, 'FS Semi'!$J$4:$CV$4, 'FS Ann'!AS$4)</f>
        <v>0</v>
      </c>
      <c r="AT19" s="16">
        <f xml:space="preserve"> SUMIFS('FS Semi'!$J19:$CV19, 'FS Semi'!$J$4:$CV$4, 'FS Ann'!AT$4)</f>
        <v>0</v>
      </c>
      <c r="AU19" s="16">
        <f xml:space="preserve"> SUMIFS('FS Semi'!$J19:$CV19, 'FS Semi'!$J$4:$CV$4, 'FS Ann'!AU$4)</f>
        <v>0</v>
      </c>
      <c r="AV19" s="16">
        <f xml:space="preserve"> SUMIFS('FS Semi'!$J19:$CV19, 'FS Semi'!$J$4:$CV$4, 'FS Ann'!AV$4)</f>
        <v>0</v>
      </c>
      <c r="AW19" s="16">
        <f xml:space="preserve"> SUMIFS('FS Semi'!$J19:$CV19, 'FS Semi'!$J$4:$CV$4, 'FS Ann'!AW$4)</f>
        <v>0</v>
      </c>
      <c r="AX19" s="16">
        <f xml:space="preserve"> SUMIFS('FS Semi'!$J19:$CV19, 'FS Semi'!$J$4:$CV$4, 'FS Ann'!AX$4)</f>
        <v>0</v>
      </c>
      <c r="AY19" s="16">
        <f xml:space="preserve"> SUMIFS('FS Semi'!$J19:$CV19, 'FS Semi'!$J$4:$CV$4, 'FS Ann'!AY$4)</f>
        <v>0</v>
      </c>
      <c r="AZ19" s="16">
        <f xml:space="preserve"> SUMIFS('FS Semi'!$J19:$CV19, 'FS Semi'!$J$4:$CV$4, 'FS Ann'!AZ$4)</f>
        <v>0</v>
      </c>
      <c r="BA19" s="16">
        <f xml:space="preserve"> SUMIFS('FS Semi'!$J19:$CV19, 'FS Semi'!$J$4:$CV$4, 'FS Ann'!BA$4)</f>
        <v>0</v>
      </c>
      <c r="BB19" s="16">
        <f xml:space="preserve"> SUMIFS('FS Semi'!$J19:$CV19, 'FS Semi'!$J$4:$CV$4, 'FS Ann'!BB$4)</f>
        <v>0</v>
      </c>
    </row>
    <row r="20" spans="1:56" s="32" customFormat="1" outlineLevel="1" x14ac:dyDescent="0.2">
      <c r="A20" s="1"/>
      <c r="B20" s="1"/>
      <c r="C20" s="19"/>
      <c r="D20" s="20"/>
      <c r="E20" s="9" t="str">
        <f xml:space="preserve"> Debt!E$357</f>
        <v>Withholding tax on Senior Debt Interest T2</v>
      </c>
      <c r="F20" s="9">
        <f xml:space="preserve"> Debt!F$357</f>
        <v>0</v>
      </c>
      <c r="G20" s="9" t="str">
        <f xml:space="preserve"> Debt!G$357</f>
        <v>$ 000s</v>
      </c>
      <c r="H20" s="16">
        <f xml:space="preserve"> SUM(J20:BB20)</f>
        <v>-1035.0898129679947</v>
      </c>
      <c r="I20" s="9">
        <f xml:space="preserve"> Debt!I$357</f>
        <v>0</v>
      </c>
      <c r="J20" s="16">
        <f xml:space="preserve"> SUMIFS('FS Semi'!$J20:$CV20, 'FS Semi'!$J$4:$CV$4, 'FS Ann'!J$4)</f>
        <v>0</v>
      </c>
      <c r="K20" s="16">
        <f xml:space="preserve"> SUMIFS('FS Semi'!$J20:$CV20, 'FS Semi'!$J$4:$CV$4, 'FS Ann'!K$4)</f>
        <v>0</v>
      </c>
      <c r="L20" s="16">
        <f xml:space="preserve"> SUMIFS('FS Semi'!$J20:$CV20, 'FS Semi'!$J$4:$CV$4, 'FS Ann'!L$4)</f>
        <v>0</v>
      </c>
      <c r="M20" s="16">
        <f xml:space="preserve"> SUMIFS('FS Semi'!$J20:$CV20, 'FS Semi'!$J$4:$CV$4, 'FS Ann'!M$4)</f>
        <v>-119.77352980240721</v>
      </c>
      <c r="N20" s="16">
        <f xml:space="preserve"> SUMIFS('FS Semi'!$J20:$CV20, 'FS Semi'!$J$4:$CV$4, 'FS Ann'!N$4)</f>
        <v>-112.80990024092262</v>
      </c>
      <c r="O20" s="16">
        <f xml:space="preserve"> SUMIFS('FS Semi'!$J20:$CV20, 'FS Semi'!$J$4:$CV$4, 'FS Ann'!O$4)</f>
        <v>-106.02244304612304</v>
      </c>
      <c r="P20" s="16">
        <f xml:space="preserve"> SUMIFS('FS Semi'!$J20:$CV20, 'FS Semi'!$J$4:$CV$4, 'FS Ann'!P$4)</f>
        <v>-99.288210906839595</v>
      </c>
      <c r="Q20" s="16">
        <f xml:space="preserve"> SUMIFS('FS Semi'!$J20:$CV20, 'FS Semi'!$J$4:$CV$4, 'FS Ann'!Q$4)</f>
        <v>-91.809861225618079</v>
      </c>
      <c r="R20" s="16">
        <f xml:space="preserve"> SUMIFS('FS Semi'!$J20:$CV20, 'FS Semi'!$J$4:$CV$4, 'FS Ann'!R$4)</f>
        <v>-88.008499329742335</v>
      </c>
      <c r="S20" s="16">
        <f xml:space="preserve"> SUMIFS('FS Semi'!$J20:$CV20, 'FS Semi'!$J$4:$CV$4, 'FS Ann'!S$4)</f>
        <v>-80.213600451638513</v>
      </c>
      <c r="T20" s="16">
        <f xml:space="preserve"> SUMIFS('FS Semi'!$J20:$CV20, 'FS Semi'!$J$4:$CV$4, 'FS Ann'!T$4)</f>
        <v>-72.344813331889782</v>
      </c>
      <c r="U20" s="16">
        <f xml:space="preserve"> SUMIFS('FS Semi'!$J20:$CV20, 'FS Semi'!$J$4:$CV$4, 'FS Ann'!U$4)</f>
        <v>-63.822258055961811</v>
      </c>
      <c r="V20" s="16">
        <f xml:space="preserve"> SUMIFS('FS Semi'!$J20:$CV20, 'FS Semi'!$J$4:$CV$4, 'FS Ann'!V$4)</f>
        <v>-55.19993771217878</v>
      </c>
      <c r="W20" s="16">
        <f xml:space="preserve"> SUMIFS('FS Semi'!$J20:$CV20, 'FS Semi'!$J$4:$CV$4, 'FS Ann'!W$4)</f>
        <v>-49.150511878814086</v>
      </c>
      <c r="X20" s="16">
        <f xml:space="preserve"> SUMIFS('FS Semi'!$J20:$CV20, 'FS Semi'!$J$4:$CV$4, 'FS Ann'!X$4)</f>
        <v>-39.618145414804303</v>
      </c>
      <c r="Y20" s="16">
        <f xml:space="preserve"> SUMIFS('FS Semi'!$J20:$CV20, 'FS Semi'!$J$4:$CV$4, 'FS Ann'!Y$4)</f>
        <v>-29.520981258936104</v>
      </c>
      <c r="Z20" s="16">
        <f xml:space="preserve"> SUMIFS('FS Semi'!$J20:$CV20, 'FS Semi'!$J$4:$CV$4, 'FS Ann'!Z$4)</f>
        <v>-19.144135858618824</v>
      </c>
      <c r="AA20" s="16">
        <f xml:space="preserve"> SUMIFS('FS Semi'!$J20:$CV20, 'FS Semi'!$J$4:$CV$4, 'FS Ann'!AA$4)</f>
        <v>-8.3629775223001559</v>
      </c>
      <c r="AB20" s="16">
        <f xml:space="preserve"> SUMIFS('FS Semi'!$J20:$CV20, 'FS Semi'!$J$4:$CV$4, 'FS Ann'!AB$4)</f>
        <v>-2.3288360145423112E-6</v>
      </c>
      <c r="AC20" s="16">
        <f xml:space="preserve"> SUMIFS('FS Semi'!$J20:$CV20, 'FS Semi'!$J$4:$CV$4, 'FS Ann'!AC$4)</f>
        <v>-2.3224730746118692E-6</v>
      </c>
      <c r="AD20" s="16">
        <f xml:space="preserve"> SUMIFS('FS Semi'!$J20:$CV20, 'FS Semi'!$J$4:$CV$4, 'FS Ann'!AD$4)</f>
        <v>-7.5927004362311083E-7</v>
      </c>
      <c r="AE20" s="16">
        <f xml:space="preserve"> SUMIFS('FS Semi'!$J20:$CV20, 'FS Semi'!$J$4:$CV$4, 'FS Ann'!AE$4)</f>
        <v>-7.5927004362311083E-7</v>
      </c>
      <c r="AF20" s="16">
        <f xml:space="preserve"> SUMIFS('FS Semi'!$J20:$CV20, 'FS Semi'!$J$4:$CV$4, 'FS Ann'!AF$4)</f>
        <v>-7.6135023552344945E-7</v>
      </c>
      <c r="AG20" s="16">
        <f xml:space="preserve"> SUMIFS('FS Semi'!$J20:$CV20, 'FS Semi'!$J$4:$CV$4, 'FS Ann'!AG$4)</f>
        <v>0</v>
      </c>
      <c r="AH20" s="16">
        <f xml:space="preserve"> SUMIFS('FS Semi'!$J20:$CV20, 'FS Semi'!$J$4:$CV$4, 'FS Ann'!AH$4)</f>
        <v>0</v>
      </c>
      <c r="AI20" s="16">
        <f xml:space="preserve"> SUMIFS('FS Semi'!$J20:$CV20, 'FS Semi'!$J$4:$CV$4, 'FS Ann'!AI$4)</f>
        <v>0</v>
      </c>
      <c r="AJ20" s="16">
        <f xml:space="preserve"> SUMIFS('FS Semi'!$J20:$CV20, 'FS Semi'!$J$4:$CV$4, 'FS Ann'!AJ$4)</f>
        <v>0</v>
      </c>
      <c r="AK20" s="16">
        <f xml:space="preserve"> SUMIFS('FS Semi'!$J20:$CV20, 'FS Semi'!$J$4:$CV$4, 'FS Ann'!AK$4)</f>
        <v>0</v>
      </c>
      <c r="AL20" s="16">
        <f xml:space="preserve"> SUMIFS('FS Semi'!$J20:$CV20, 'FS Semi'!$J$4:$CV$4, 'FS Ann'!AL$4)</f>
        <v>0</v>
      </c>
      <c r="AM20" s="16">
        <f xml:space="preserve"> SUMIFS('FS Semi'!$J20:$CV20, 'FS Semi'!$J$4:$CV$4, 'FS Ann'!AM$4)</f>
        <v>0</v>
      </c>
      <c r="AN20" s="16">
        <f xml:space="preserve"> SUMIFS('FS Semi'!$J20:$CV20, 'FS Semi'!$J$4:$CV$4, 'FS Ann'!AN$4)</f>
        <v>0</v>
      </c>
      <c r="AO20" s="16">
        <f xml:space="preserve"> SUMIFS('FS Semi'!$J20:$CV20, 'FS Semi'!$J$4:$CV$4, 'FS Ann'!AO$4)</f>
        <v>0</v>
      </c>
      <c r="AP20" s="16">
        <f xml:space="preserve"> SUMIFS('FS Semi'!$J20:$CV20, 'FS Semi'!$J$4:$CV$4, 'FS Ann'!AP$4)</f>
        <v>0</v>
      </c>
      <c r="AQ20" s="16">
        <f xml:space="preserve"> SUMIFS('FS Semi'!$J20:$CV20, 'FS Semi'!$J$4:$CV$4, 'FS Ann'!AQ$4)</f>
        <v>0</v>
      </c>
      <c r="AR20" s="16">
        <f xml:space="preserve"> SUMIFS('FS Semi'!$J20:$CV20, 'FS Semi'!$J$4:$CV$4, 'FS Ann'!AR$4)</f>
        <v>0</v>
      </c>
      <c r="AS20" s="16">
        <f xml:space="preserve"> SUMIFS('FS Semi'!$J20:$CV20, 'FS Semi'!$J$4:$CV$4, 'FS Ann'!AS$4)</f>
        <v>0</v>
      </c>
      <c r="AT20" s="16">
        <f xml:space="preserve"> SUMIFS('FS Semi'!$J20:$CV20, 'FS Semi'!$J$4:$CV$4, 'FS Ann'!AT$4)</f>
        <v>0</v>
      </c>
      <c r="AU20" s="16">
        <f xml:space="preserve"> SUMIFS('FS Semi'!$J20:$CV20, 'FS Semi'!$J$4:$CV$4, 'FS Ann'!AU$4)</f>
        <v>0</v>
      </c>
      <c r="AV20" s="16">
        <f xml:space="preserve"> SUMIFS('FS Semi'!$J20:$CV20, 'FS Semi'!$J$4:$CV$4, 'FS Ann'!AV$4)</f>
        <v>0</v>
      </c>
      <c r="AW20" s="16">
        <f xml:space="preserve"> SUMIFS('FS Semi'!$J20:$CV20, 'FS Semi'!$J$4:$CV$4, 'FS Ann'!AW$4)</f>
        <v>0</v>
      </c>
      <c r="AX20" s="16">
        <f xml:space="preserve"> SUMIFS('FS Semi'!$J20:$CV20, 'FS Semi'!$J$4:$CV$4, 'FS Ann'!AX$4)</f>
        <v>0</v>
      </c>
      <c r="AY20" s="16">
        <f xml:space="preserve"> SUMIFS('FS Semi'!$J20:$CV20, 'FS Semi'!$J$4:$CV$4, 'FS Ann'!AY$4)</f>
        <v>0</v>
      </c>
      <c r="AZ20" s="16">
        <f xml:space="preserve"> SUMIFS('FS Semi'!$J20:$CV20, 'FS Semi'!$J$4:$CV$4, 'FS Ann'!AZ$4)</f>
        <v>0</v>
      </c>
      <c r="BA20" s="16">
        <f xml:space="preserve"> SUMIFS('FS Semi'!$J20:$CV20, 'FS Semi'!$J$4:$CV$4, 'FS Ann'!BA$4)</f>
        <v>0</v>
      </c>
      <c r="BB20" s="16">
        <f xml:space="preserve"> SUMIFS('FS Semi'!$J20:$CV20, 'FS Semi'!$J$4:$CV$4, 'FS Ann'!BB$4)</f>
        <v>0</v>
      </c>
      <c r="BC20" s="16">
        <f xml:space="preserve"> SUMIFS('FS Semi'!$J20:$CV20, 'FS Semi'!$J$4:$CV$4, 'FS Ann'!BC$4)</f>
        <v>0</v>
      </c>
      <c r="BD20" s="16">
        <f xml:space="preserve"> SUMIFS('FS Semi'!$J20:$CV20, 'FS Semi'!$J$4:$CV$4, 'FS Ann'!BD$4)</f>
        <v>0</v>
      </c>
    </row>
    <row r="21" spans="1:56" outlineLevel="1" x14ac:dyDescent="0.2">
      <c r="A21" s="1"/>
      <c r="B21" s="1"/>
      <c r="C21" s="19"/>
      <c r="D21" s="83"/>
      <c r="E21" s="16" t="str">
        <f xml:space="preserve"> 'FS Semi'!E21</f>
        <v>Standby debt interest - T1</v>
      </c>
      <c r="F21" s="16">
        <f xml:space="preserve"> 'FS Semi'!F21</f>
        <v>0</v>
      </c>
      <c r="G21" s="381" t="str">
        <f xml:space="preserve"> 'FS Semi'!G21</f>
        <v>$ 000s</v>
      </c>
      <c r="H21" s="16">
        <f t="shared" ref="H21" si="5" xml:space="preserve"> SUM(J21:BB21)</f>
        <v>0</v>
      </c>
      <c r="I21" s="16"/>
      <c r="J21" s="16">
        <f xml:space="preserve"> SUMIFS('FS Semi'!$J21:$CV21, 'FS Semi'!$J$4:$CV$4, 'FS Ann'!J$4)</f>
        <v>0</v>
      </c>
      <c r="K21" s="16">
        <f xml:space="preserve"> SUMIFS('FS Semi'!$J21:$CV21, 'FS Semi'!$J$4:$CV$4, 'FS Ann'!K$4)</f>
        <v>0</v>
      </c>
      <c r="L21" s="16">
        <f xml:space="preserve"> SUMIFS('FS Semi'!$J21:$CV21, 'FS Semi'!$J$4:$CV$4, 'FS Ann'!L$4)</f>
        <v>0</v>
      </c>
      <c r="M21" s="16">
        <f xml:space="preserve"> SUMIFS('FS Semi'!$J21:$CV21, 'FS Semi'!$J$4:$CV$4, 'FS Ann'!M$4)</f>
        <v>0</v>
      </c>
      <c r="N21" s="16">
        <f xml:space="preserve"> SUMIFS('FS Semi'!$J21:$CV21, 'FS Semi'!$J$4:$CV$4, 'FS Ann'!N$4)</f>
        <v>0</v>
      </c>
      <c r="O21" s="16">
        <f xml:space="preserve"> SUMIFS('FS Semi'!$J21:$CV21, 'FS Semi'!$J$4:$CV$4, 'FS Ann'!O$4)</f>
        <v>0</v>
      </c>
      <c r="P21" s="16">
        <f xml:space="preserve"> SUMIFS('FS Semi'!$J21:$CV21, 'FS Semi'!$J$4:$CV$4, 'FS Ann'!P$4)</f>
        <v>0</v>
      </c>
      <c r="Q21" s="16">
        <f xml:space="preserve"> SUMIFS('FS Semi'!$J21:$CV21, 'FS Semi'!$J$4:$CV$4, 'FS Ann'!Q$4)</f>
        <v>0</v>
      </c>
      <c r="R21" s="16">
        <f xml:space="preserve"> SUMIFS('FS Semi'!$J21:$CV21, 'FS Semi'!$J$4:$CV$4, 'FS Ann'!R$4)</f>
        <v>0</v>
      </c>
      <c r="S21" s="16">
        <f xml:space="preserve"> SUMIFS('FS Semi'!$J21:$CV21, 'FS Semi'!$J$4:$CV$4, 'FS Ann'!S$4)</f>
        <v>0</v>
      </c>
      <c r="T21" s="16">
        <f xml:space="preserve"> SUMIFS('FS Semi'!$J21:$CV21, 'FS Semi'!$J$4:$CV$4, 'FS Ann'!T$4)</f>
        <v>0</v>
      </c>
      <c r="U21" s="16">
        <f xml:space="preserve"> SUMIFS('FS Semi'!$J21:$CV21, 'FS Semi'!$J$4:$CV$4, 'FS Ann'!U$4)</f>
        <v>0</v>
      </c>
      <c r="V21" s="16">
        <f xml:space="preserve"> SUMIFS('FS Semi'!$J21:$CV21, 'FS Semi'!$J$4:$CV$4, 'FS Ann'!V$4)</f>
        <v>0</v>
      </c>
      <c r="W21" s="16">
        <f xml:space="preserve"> SUMIFS('FS Semi'!$J21:$CV21, 'FS Semi'!$J$4:$CV$4, 'FS Ann'!W$4)</f>
        <v>0</v>
      </c>
      <c r="X21" s="16">
        <f xml:space="preserve"> SUMIFS('FS Semi'!$J21:$CV21, 'FS Semi'!$J$4:$CV$4, 'FS Ann'!X$4)</f>
        <v>0</v>
      </c>
      <c r="Y21" s="16">
        <f xml:space="preserve"> SUMIFS('FS Semi'!$J21:$CV21, 'FS Semi'!$J$4:$CV$4, 'FS Ann'!Y$4)</f>
        <v>0</v>
      </c>
      <c r="Z21" s="16">
        <f xml:space="preserve"> SUMIFS('FS Semi'!$J21:$CV21, 'FS Semi'!$J$4:$CV$4, 'FS Ann'!Z$4)</f>
        <v>0</v>
      </c>
      <c r="AA21" s="16">
        <f xml:space="preserve"> SUMIFS('FS Semi'!$J21:$CV21, 'FS Semi'!$J$4:$CV$4, 'FS Ann'!AA$4)</f>
        <v>0</v>
      </c>
      <c r="AB21" s="16">
        <f xml:space="preserve"> SUMIFS('FS Semi'!$J21:$CV21, 'FS Semi'!$J$4:$CV$4, 'FS Ann'!AB$4)</f>
        <v>0</v>
      </c>
      <c r="AC21" s="16">
        <f xml:space="preserve"> SUMIFS('FS Semi'!$J21:$CV21, 'FS Semi'!$J$4:$CV$4, 'FS Ann'!AC$4)</f>
        <v>0</v>
      </c>
      <c r="AD21" s="16">
        <f xml:space="preserve"> SUMIFS('FS Semi'!$J21:$CV21, 'FS Semi'!$J$4:$CV$4, 'FS Ann'!AD$4)</f>
        <v>0</v>
      </c>
      <c r="AE21" s="16">
        <f xml:space="preserve"> SUMIFS('FS Semi'!$J21:$CV21, 'FS Semi'!$J$4:$CV$4, 'FS Ann'!AE$4)</f>
        <v>0</v>
      </c>
      <c r="AF21" s="16">
        <f xml:space="preserve"> SUMIFS('FS Semi'!$J21:$CV21, 'FS Semi'!$J$4:$CV$4, 'FS Ann'!AF$4)</f>
        <v>0</v>
      </c>
      <c r="AG21" s="16">
        <f xml:space="preserve"> SUMIFS('FS Semi'!$J21:$CV21, 'FS Semi'!$J$4:$CV$4, 'FS Ann'!AG$4)</f>
        <v>0</v>
      </c>
      <c r="AH21" s="16">
        <f xml:space="preserve"> SUMIFS('FS Semi'!$J21:$CV21, 'FS Semi'!$J$4:$CV$4, 'FS Ann'!AH$4)</f>
        <v>0</v>
      </c>
      <c r="AI21" s="16">
        <f xml:space="preserve"> SUMIFS('FS Semi'!$J21:$CV21, 'FS Semi'!$J$4:$CV$4, 'FS Ann'!AI$4)</f>
        <v>0</v>
      </c>
      <c r="AJ21" s="16">
        <f xml:space="preserve"> SUMIFS('FS Semi'!$J21:$CV21, 'FS Semi'!$J$4:$CV$4, 'FS Ann'!AJ$4)</f>
        <v>0</v>
      </c>
      <c r="AK21" s="16">
        <f xml:space="preserve"> SUMIFS('FS Semi'!$J21:$CV21, 'FS Semi'!$J$4:$CV$4, 'FS Ann'!AK$4)</f>
        <v>0</v>
      </c>
      <c r="AL21" s="16">
        <f xml:space="preserve"> SUMIFS('FS Semi'!$J21:$CV21, 'FS Semi'!$J$4:$CV$4, 'FS Ann'!AL$4)</f>
        <v>0</v>
      </c>
      <c r="AM21" s="16">
        <f xml:space="preserve"> SUMIFS('FS Semi'!$J21:$CV21, 'FS Semi'!$J$4:$CV$4, 'FS Ann'!AM$4)</f>
        <v>0</v>
      </c>
      <c r="AN21" s="16">
        <f xml:space="preserve"> SUMIFS('FS Semi'!$J21:$CV21, 'FS Semi'!$J$4:$CV$4, 'FS Ann'!AN$4)</f>
        <v>0</v>
      </c>
      <c r="AO21" s="16">
        <f xml:space="preserve"> SUMIFS('FS Semi'!$J21:$CV21, 'FS Semi'!$J$4:$CV$4, 'FS Ann'!AO$4)</f>
        <v>0</v>
      </c>
      <c r="AP21" s="16">
        <f xml:space="preserve"> SUMIFS('FS Semi'!$J21:$CV21, 'FS Semi'!$J$4:$CV$4, 'FS Ann'!AP$4)</f>
        <v>0</v>
      </c>
      <c r="AQ21" s="16">
        <f xml:space="preserve"> SUMIFS('FS Semi'!$J21:$CV21, 'FS Semi'!$J$4:$CV$4, 'FS Ann'!AQ$4)</f>
        <v>0</v>
      </c>
      <c r="AR21" s="16">
        <f xml:space="preserve"> SUMIFS('FS Semi'!$J21:$CV21, 'FS Semi'!$J$4:$CV$4, 'FS Ann'!AR$4)</f>
        <v>0</v>
      </c>
      <c r="AS21" s="16">
        <f xml:space="preserve"> SUMIFS('FS Semi'!$J21:$CV21, 'FS Semi'!$J$4:$CV$4, 'FS Ann'!AS$4)</f>
        <v>0</v>
      </c>
      <c r="AT21" s="16">
        <f xml:space="preserve"> SUMIFS('FS Semi'!$J21:$CV21, 'FS Semi'!$J$4:$CV$4, 'FS Ann'!AT$4)</f>
        <v>0</v>
      </c>
      <c r="AU21" s="16">
        <f xml:space="preserve"> SUMIFS('FS Semi'!$J21:$CV21, 'FS Semi'!$J$4:$CV$4, 'FS Ann'!AU$4)</f>
        <v>0</v>
      </c>
      <c r="AV21" s="16">
        <f xml:space="preserve"> SUMIFS('FS Semi'!$J21:$CV21, 'FS Semi'!$J$4:$CV$4, 'FS Ann'!AV$4)</f>
        <v>0</v>
      </c>
      <c r="AW21" s="16">
        <f xml:space="preserve"> SUMIFS('FS Semi'!$J21:$CV21, 'FS Semi'!$J$4:$CV$4, 'FS Ann'!AW$4)</f>
        <v>0</v>
      </c>
      <c r="AX21" s="16">
        <f xml:space="preserve"> SUMIFS('FS Semi'!$J21:$CV21, 'FS Semi'!$J$4:$CV$4, 'FS Ann'!AX$4)</f>
        <v>0</v>
      </c>
      <c r="AY21" s="16">
        <f xml:space="preserve"> SUMIFS('FS Semi'!$J21:$CV21, 'FS Semi'!$J$4:$CV$4, 'FS Ann'!AY$4)</f>
        <v>0</v>
      </c>
      <c r="AZ21" s="16">
        <f xml:space="preserve"> SUMIFS('FS Semi'!$J21:$CV21, 'FS Semi'!$J$4:$CV$4, 'FS Ann'!AZ$4)</f>
        <v>0</v>
      </c>
      <c r="BA21" s="16">
        <f xml:space="preserve"> SUMIFS('FS Semi'!$J21:$CV21, 'FS Semi'!$J$4:$CV$4, 'FS Ann'!BA$4)</f>
        <v>0</v>
      </c>
      <c r="BB21" s="16">
        <f xml:space="preserve"> SUMIFS('FS Semi'!$J21:$CV21, 'FS Semi'!$J$4:$CV$4, 'FS Ann'!BB$4)</f>
        <v>0</v>
      </c>
    </row>
    <row r="22" spans="1:56" outlineLevel="1" x14ac:dyDescent="0.2">
      <c r="A22" s="1"/>
      <c r="B22" s="1"/>
      <c r="C22" s="19"/>
      <c r="D22" s="83"/>
      <c r="E22" s="16" t="str">
        <f xml:space="preserve"> 'FS Semi'!E22</f>
        <v>Standby debt interest - T2</v>
      </c>
      <c r="F22" s="16">
        <f xml:space="preserve"> 'FS Semi'!F22</f>
        <v>0</v>
      </c>
      <c r="G22" s="381" t="str">
        <f xml:space="preserve"> 'FS Semi'!G22</f>
        <v>$ 000s</v>
      </c>
      <c r="H22" s="16">
        <f t="shared" ref="H22" si="6" xml:space="preserve"> SUM(J22:BB22)</f>
        <v>0</v>
      </c>
      <c r="I22" s="16"/>
      <c r="J22" s="16">
        <f xml:space="preserve"> SUMIFS('FS Semi'!$J22:$CV22, 'FS Semi'!$J$4:$CV$4, 'FS Ann'!J$4)</f>
        <v>0</v>
      </c>
      <c r="K22" s="16">
        <f xml:space="preserve"> SUMIFS('FS Semi'!$J22:$CV22, 'FS Semi'!$J$4:$CV$4, 'FS Ann'!K$4)</f>
        <v>0</v>
      </c>
      <c r="L22" s="16">
        <f xml:space="preserve"> SUMIFS('FS Semi'!$J22:$CV22, 'FS Semi'!$J$4:$CV$4, 'FS Ann'!L$4)</f>
        <v>0</v>
      </c>
      <c r="M22" s="16">
        <f xml:space="preserve"> SUMIFS('FS Semi'!$J22:$CV22, 'FS Semi'!$J$4:$CV$4, 'FS Ann'!M$4)</f>
        <v>0</v>
      </c>
      <c r="N22" s="16">
        <f xml:space="preserve"> SUMIFS('FS Semi'!$J22:$CV22, 'FS Semi'!$J$4:$CV$4, 'FS Ann'!N$4)</f>
        <v>0</v>
      </c>
      <c r="O22" s="16">
        <f xml:space="preserve"> SUMIFS('FS Semi'!$J22:$CV22, 'FS Semi'!$J$4:$CV$4, 'FS Ann'!O$4)</f>
        <v>0</v>
      </c>
      <c r="P22" s="16">
        <f xml:space="preserve"> SUMIFS('FS Semi'!$J22:$CV22, 'FS Semi'!$J$4:$CV$4, 'FS Ann'!P$4)</f>
        <v>0</v>
      </c>
      <c r="Q22" s="16">
        <f xml:space="preserve"> SUMIFS('FS Semi'!$J22:$CV22, 'FS Semi'!$J$4:$CV$4, 'FS Ann'!Q$4)</f>
        <v>0</v>
      </c>
      <c r="R22" s="16">
        <f xml:space="preserve"> SUMIFS('FS Semi'!$J22:$CV22, 'FS Semi'!$J$4:$CV$4, 'FS Ann'!R$4)</f>
        <v>0</v>
      </c>
      <c r="S22" s="16">
        <f xml:space="preserve"> SUMIFS('FS Semi'!$J22:$CV22, 'FS Semi'!$J$4:$CV$4, 'FS Ann'!S$4)</f>
        <v>0</v>
      </c>
      <c r="T22" s="16">
        <f xml:space="preserve"> SUMIFS('FS Semi'!$J22:$CV22, 'FS Semi'!$J$4:$CV$4, 'FS Ann'!T$4)</f>
        <v>0</v>
      </c>
      <c r="U22" s="16">
        <f xml:space="preserve"> SUMIFS('FS Semi'!$J22:$CV22, 'FS Semi'!$J$4:$CV$4, 'FS Ann'!U$4)</f>
        <v>0</v>
      </c>
      <c r="V22" s="16">
        <f xml:space="preserve"> SUMIFS('FS Semi'!$J22:$CV22, 'FS Semi'!$J$4:$CV$4, 'FS Ann'!V$4)</f>
        <v>0</v>
      </c>
      <c r="W22" s="16">
        <f xml:space="preserve"> SUMIFS('FS Semi'!$J22:$CV22, 'FS Semi'!$J$4:$CV$4, 'FS Ann'!W$4)</f>
        <v>0</v>
      </c>
      <c r="X22" s="16">
        <f xml:space="preserve"> SUMIFS('FS Semi'!$J22:$CV22, 'FS Semi'!$J$4:$CV$4, 'FS Ann'!X$4)</f>
        <v>0</v>
      </c>
      <c r="Y22" s="16">
        <f xml:space="preserve"> SUMIFS('FS Semi'!$J22:$CV22, 'FS Semi'!$J$4:$CV$4, 'FS Ann'!Y$4)</f>
        <v>0</v>
      </c>
      <c r="Z22" s="16">
        <f xml:space="preserve"> SUMIFS('FS Semi'!$J22:$CV22, 'FS Semi'!$J$4:$CV$4, 'FS Ann'!Z$4)</f>
        <v>0</v>
      </c>
      <c r="AA22" s="16">
        <f xml:space="preserve"> SUMIFS('FS Semi'!$J22:$CV22, 'FS Semi'!$J$4:$CV$4, 'FS Ann'!AA$4)</f>
        <v>0</v>
      </c>
      <c r="AB22" s="16">
        <f xml:space="preserve"> SUMIFS('FS Semi'!$J22:$CV22, 'FS Semi'!$J$4:$CV$4, 'FS Ann'!AB$4)</f>
        <v>0</v>
      </c>
      <c r="AC22" s="16">
        <f xml:space="preserve"> SUMIFS('FS Semi'!$J22:$CV22, 'FS Semi'!$J$4:$CV$4, 'FS Ann'!AC$4)</f>
        <v>0</v>
      </c>
      <c r="AD22" s="16">
        <f xml:space="preserve"> SUMIFS('FS Semi'!$J22:$CV22, 'FS Semi'!$J$4:$CV$4, 'FS Ann'!AD$4)</f>
        <v>0</v>
      </c>
      <c r="AE22" s="16">
        <f xml:space="preserve"> SUMIFS('FS Semi'!$J22:$CV22, 'FS Semi'!$J$4:$CV$4, 'FS Ann'!AE$4)</f>
        <v>0</v>
      </c>
      <c r="AF22" s="16">
        <f xml:space="preserve"> SUMIFS('FS Semi'!$J22:$CV22, 'FS Semi'!$J$4:$CV$4, 'FS Ann'!AF$4)</f>
        <v>0</v>
      </c>
      <c r="AG22" s="16">
        <f xml:space="preserve"> SUMIFS('FS Semi'!$J22:$CV22, 'FS Semi'!$J$4:$CV$4, 'FS Ann'!AG$4)</f>
        <v>0</v>
      </c>
      <c r="AH22" s="16">
        <f xml:space="preserve"> SUMIFS('FS Semi'!$J22:$CV22, 'FS Semi'!$J$4:$CV$4, 'FS Ann'!AH$4)</f>
        <v>0</v>
      </c>
      <c r="AI22" s="16">
        <f xml:space="preserve"> SUMIFS('FS Semi'!$J22:$CV22, 'FS Semi'!$J$4:$CV$4, 'FS Ann'!AI$4)</f>
        <v>0</v>
      </c>
      <c r="AJ22" s="16">
        <f xml:space="preserve"> SUMIFS('FS Semi'!$J22:$CV22, 'FS Semi'!$J$4:$CV$4, 'FS Ann'!AJ$4)</f>
        <v>0</v>
      </c>
      <c r="AK22" s="16">
        <f xml:space="preserve"> SUMIFS('FS Semi'!$J22:$CV22, 'FS Semi'!$J$4:$CV$4, 'FS Ann'!AK$4)</f>
        <v>0</v>
      </c>
      <c r="AL22" s="16">
        <f xml:space="preserve"> SUMIFS('FS Semi'!$J22:$CV22, 'FS Semi'!$J$4:$CV$4, 'FS Ann'!AL$4)</f>
        <v>0</v>
      </c>
      <c r="AM22" s="16">
        <f xml:space="preserve"> SUMIFS('FS Semi'!$J22:$CV22, 'FS Semi'!$J$4:$CV$4, 'FS Ann'!AM$4)</f>
        <v>0</v>
      </c>
      <c r="AN22" s="16">
        <f xml:space="preserve"> SUMIFS('FS Semi'!$J22:$CV22, 'FS Semi'!$J$4:$CV$4, 'FS Ann'!AN$4)</f>
        <v>0</v>
      </c>
      <c r="AO22" s="16">
        <f xml:space="preserve"> SUMIFS('FS Semi'!$J22:$CV22, 'FS Semi'!$J$4:$CV$4, 'FS Ann'!AO$4)</f>
        <v>0</v>
      </c>
      <c r="AP22" s="16">
        <f xml:space="preserve"> SUMIFS('FS Semi'!$J22:$CV22, 'FS Semi'!$J$4:$CV$4, 'FS Ann'!AP$4)</f>
        <v>0</v>
      </c>
      <c r="AQ22" s="16">
        <f xml:space="preserve"> SUMIFS('FS Semi'!$J22:$CV22, 'FS Semi'!$J$4:$CV$4, 'FS Ann'!AQ$4)</f>
        <v>0</v>
      </c>
      <c r="AR22" s="16">
        <f xml:space="preserve"> SUMIFS('FS Semi'!$J22:$CV22, 'FS Semi'!$J$4:$CV$4, 'FS Ann'!AR$4)</f>
        <v>0</v>
      </c>
      <c r="AS22" s="16">
        <f xml:space="preserve"> SUMIFS('FS Semi'!$J22:$CV22, 'FS Semi'!$J$4:$CV$4, 'FS Ann'!AS$4)</f>
        <v>0</v>
      </c>
      <c r="AT22" s="16">
        <f xml:space="preserve"> SUMIFS('FS Semi'!$J22:$CV22, 'FS Semi'!$J$4:$CV$4, 'FS Ann'!AT$4)</f>
        <v>0</v>
      </c>
      <c r="AU22" s="16">
        <f xml:space="preserve"> SUMIFS('FS Semi'!$J22:$CV22, 'FS Semi'!$J$4:$CV$4, 'FS Ann'!AU$4)</f>
        <v>0</v>
      </c>
      <c r="AV22" s="16">
        <f xml:space="preserve"> SUMIFS('FS Semi'!$J22:$CV22, 'FS Semi'!$J$4:$CV$4, 'FS Ann'!AV$4)</f>
        <v>0</v>
      </c>
      <c r="AW22" s="16">
        <f xml:space="preserve"> SUMIFS('FS Semi'!$J22:$CV22, 'FS Semi'!$J$4:$CV$4, 'FS Ann'!AW$4)</f>
        <v>0</v>
      </c>
      <c r="AX22" s="16">
        <f xml:space="preserve"> SUMIFS('FS Semi'!$J22:$CV22, 'FS Semi'!$J$4:$CV$4, 'FS Ann'!AX$4)</f>
        <v>0</v>
      </c>
      <c r="AY22" s="16">
        <f xml:space="preserve"> SUMIFS('FS Semi'!$J22:$CV22, 'FS Semi'!$J$4:$CV$4, 'FS Ann'!AY$4)</f>
        <v>0</v>
      </c>
      <c r="AZ22" s="16">
        <f xml:space="preserve"> SUMIFS('FS Semi'!$J22:$CV22, 'FS Semi'!$J$4:$CV$4, 'FS Ann'!AZ$4)</f>
        <v>0</v>
      </c>
      <c r="BA22" s="16">
        <f xml:space="preserve"> SUMIFS('FS Semi'!$J22:$CV22, 'FS Semi'!$J$4:$CV$4, 'FS Ann'!BA$4)</f>
        <v>0</v>
      </c>
      <c r="BB22" s="16">
        <f xml:space="preserve"> SUMIFS('FS Semi'!$J22:$CV22, 'FS Semi'!$J$4:$CV$4, 'FS Ann'!BB$4)</f>
        <v>0</v>
      </c>
    </row>
    <row r="23" spans="1:56" outlineLevel="1" x14ac:dyDescent="0.2">
      <c r="A23" s="1"/>
      <c r="B23" s="1"/>
      <c r="C23" s="19"/>
      <c r="D23" s="83"/>
      <c r="E23" s="16" t="str">
        <f xml:space="preserve"> 'FS Semi'!E23</f>
        <v>WCF commitment fee</v>
      </c>
      <c r="F23" s="16">
        <f xml:space="preserve"> 'FS Semi'!F23</f>
        <v>0</v>
      </c>
      <c r="G23" s="381" t="str">
        <f xml:space="preserve"> 'FS Semi'!G23</f>
        <v>$ 000s</v>
      </c>
      <c r="H23" s="16">
        <f t="shared" ref="H23:H25" si="7" xml:space="preserve"> SUM(J23:BB23)</f>
        <v>0</v>
      </c>
      <c r="I23" s="16"/>
      <c r="J23" s="16">
        <f xml:space="preserve"> SUMIFS('FS Semi'!$J23:$CV23, 'FS Semi'!$J$4:$CV$4, 'FS Ann'!J$4)</f>
        <v>0</v>
      </c>
      <c r="K23" s="16">
        <f xml:space="preserve"> SUMIFS('FS Semi'!$J23:$CV23, 'FS Semi'!$J$4:$CV$4, 'FS Ann'!K$4)</f>
        <v>0</v>
      </c>
      <c r="L23" s="16">
        <f xml:space="preserve"> SUMIFS('FS Semi'!$J23:$CV23, 'FS Semi'!$J$4:$CV$4, 'FS Ann'!L$4)</f>
        <v>0</v>
      </c>
      <c r="M23" s="16">
        <f xml:space="preserve"> SUMIFS('FS Semi'!$J23:$CV23, 'FS Semi'!$J$4:$CV$4, 'FS Ann'!M$4)</f>
        <v>0</v>
      </c>
      <c r="N23" s="16">
        <f xml:space="preserve"> SUMIFS('FS Semi'!$J23:$CV23, 'FS Semi'!$J$4:$CV$4, 'FS Ann'!N$4)</f>
        <v>0</v>
      </c>
      <c r="O23" s="16">
        <f xml:space="preserve"> SUMIFS('FS Semi'!$J23:$CV23, 'FS Semi'!$J$4:$CV$4, 'FS Ann'!O$4)</f>
        <v>0</v>
      </c>
      <c r="P23" s="16">
        <f xml:space="preserve"> SUMIFS('FS Semi'!$J23:$CV23, 'FS Semi'!$J$4:$CV$4, 'FS Ann'!P$4)</f>
        <v>0</v>
      </c>
      <c r="Q23" s="16">
        <f xml:space="preserve"> SUMIFS('FS Semi'!$J23:$CV23, 'FS Semi'!$J$4:$CV$4, 'FS Ann'!Q$4)</f>
        <v>0</v>
      </c>
      <c r="R23" s="16">
        <f xml:space="preserve"> SUMIFS('FS Semi'!$J23:$CV23, 'FS Semi'!$J$4:$CV$4, 'FS Ann'!R$4)</f>
        <v>0</v>
      </c>
      <c r="S23" s="16">
        <f xml:space="preserve"> SUMIFS('FS Semi'!$J23:$CV23, 'FS Semi'!$J$4:$CV$4, 'FS Ann'!S$4)</f>
        <v>0</v>
      </c>
      <c r="T23" s="16">
        <f xml:space="preserve"> SUMIFS('FS Semi'!$J23:$CV23, 'FS Semi'!$J$4:$CV$4, 'FS Ann'!T$4)</f>
        <v>0</v>
      </c>
      <c r="U23" s="16">
        <f xml:space="preserve"> SUMIFS('FS Semi'!$J23:$CV23, 'FS Semi'!$J$4:$CV$4, 'FS Ann'!U$4)</f>
        <v>0</v>
      </c>
      <c r="V23" s="16">
        <f xml:space="preserve"> SUMIFS('FS Semi'!$J23:$CV23, 'FS Semi'!$J$4:$CV$4, 'FS Ann'!V$4)</f>
        <v>0</v>
      </c>
      <c r="W23" s="16">
        <f xml:space="preserve"> SUMIFS('FS Semi'!$J23:$CV23, 'FS Semi'!$J$4:$CV$4, 'FS Ann'!W$4)</f>
        <v>0</v>
      </c>
      <c r="X23" s="16">
        <f xml:space="preserve"> SUMIFS('FS Semi'!$J23:$CV23, 'FS Semi'!$J$4:$CV$4, 'FS Ann'!X$4)</f>
        <v>0</v>
      </c>
      <c r="Y23" s="16">
        <f xml:space="preserve"> SUMIFS('FS Semi'!$J23:$CV23, 'FS Semi'!$J$4:$CV$4, 'FS Ann'!Y$4)</f>
        <v>0</v>
      </c>
      <c r="Z23" s="16">
        <f xml:space="preserve"> SUMIFS('FS Semi'!$J23:$CV23, 'FS Semi'!$J$4:$CV$4, 'FS Ann'!Z$4)</f>
        <v>0</v>
      </c>
      <c r="AA23" s="16">
        <f xml:space="preserve"> SUMIFS('FS Semi'!$J23:$CV23, 'FS Semi'!$J$4:$CV$4, 'FS Ann'!AA$4)</f>
        <v>0</v>
      </c>
      <c r="AB23" s="16">
        <f xml:space="preserve"> SUMIFS('FS Semi'!$J23:$CV23, 'FS Semi'!$J$4:$CV$4, 'FS Ann'!AB$4)</f>
        <v>0</v>
      </c>
      <c r="AC23" s="16">
        <f xml:space="preserve"> SUMIFS('FS Semi'!$J23:$CV23, 'FS Semi'!$J$4:$CV$4, 'FS Ann'!AC$4)</f>
        <v>0</v>
      </c>
      <c r="AD23" s="16">
        <f xml:space="preserve"> SUMIFS('FS Semi'!$J23:$CV23, 'FS Semi'!$J$4:$CV$4, 'FS Ann'!AD$4)</f>
        <v>0</v>
      </c>
      <c r="AE23" s="16">
        <f xml:space="preserve"> SUMIFS('FS Semi'!$J23:$CV23, 'FS Semi'!$J$4:$CV$4, 'FS Ann'!AE$4)</f>
        <v>0</v>
      </c>
      <c r="AF23" s="16">
        <f xml:space="preserve"> SUMIFS('FS Semi'!$J23:$CV23, 'FS Semi'!$J$4:$CV$4, 'FS Ann'!AF$4)</f>
        <v>0</v>
      </c>
      <c r="AG23" s="16">
        <f xml:space="preserve"> SUMIFS('FS Semi'!$J23:$CV23, 'FS Semi'!$J$4:$CV$4, 'FS Ann'!AG$4)</f>
        <v>0</v>
      </c>
      <c r="AH23" s="16">
        <f xml:space="preserve"> SUMIFS('FS Semi'!$J23:$CV23, 'FS Semi'!$J$4:$CV$4, 'FS Ann'!AH$4)</f>
        <v>0</v>
      </c>
      <c r="AI23" s="16">
        <f xml:space="preserve"> SUMIFS('FS Semi'!$J23:$CV23, 'FS Semi'!$J$4:$CV$4, 'FS Ann'!AI$4)</f>
        <v>0</v>
      </c>
      <c r="AJ23" s="16">
        <f xml:space="preserve"> SUMIFS('FS Semi'!$J23:$CV23, 'FS Semi'!$J$4:$CV$4, 'FS Ann'!AJ$4)</f>
        <v>0</v>
      </c>
      <c r="AK23" s="16">
        <f xml:space="preserve"> SUMIFS('FS Semi'!$J23:$CV23, 'FS Semi'!$J$4:$CV$4, 'FS Ann'!AK$4)</f>
        <v>0</v>
      </c>
      <c r="AL23" s="16">
        <f xml:space="preserve"> SUMIFS('FS Semi'!$J23:$CV23, 'FS Semi'!$J$4:$CV$4, 'FS Ann'!AL$4)</f>
        <v>0</v>
      </c>
      <c r="AM23" s="16">
        <f xml:space="preserve"> SUMIFS('FS Semi'!$J23:$CV23, 'FS Semi'!$J$4:$CV$4, 'FS Ann'!AM$4)</f>
        <v>0</v>
      </c>
      <c r="AN23" s="16">
        <f xml:space="preserve"> SUMIFS('FS Semi'!$J23:$CV23, 'FS Semi'!$J$4:$CV$4, 'FS Ann'!AN$4)</f>
        <v>0</v>
      </c>
      <c r="AO23" s="16">
        <f xml:space="preserve"> SUMIFS('FS Semi'!$J23:$CV23, 'FS Semi'!$J$4:$CV$4, 'FS Ann'!AO$4)</f>
        <v>0</v>
      </c>
      <c r="AP23" s="16">
        <f xml:space="preserve"> SUMIFS('FS Semi'!$J23:$CV23, 'FS Semi'!$J$4:$CV$4, 'FS Ann'!AP$4)</f>
        <v>0</v>
      </c>
      <c r="AQ23" s="16">
        <f xml:space="preserve"> SUMIFS('FS Semi'!$J23:$CV23, 'FS Semi'!$J$4:$CV$4, 'FS Ann'!AQ$4)</f>
        <v>0</v>
      </c>
      <c r="AR23" s="16">
        <f xml:space="preserve"> SUMIFS('FS Semi'!$J23:$CV23, 'FS Semi'!$J$4:$CV$4, 'FS Ann'!AR$4)</f>
        <v>0</v>
      </c>
      <c r="AS23" s="16">
        <f xml:space="preserve"> SUMIFS('FS Semi'!$J23:$CV23, 'FS Semi'!$J$4:$CV$4, 'FS Ann'!AS$4)</f>
        <v>0</v>
      </c>
      <c r="AT23" s="16">
        <f xml:space="preserve"> SUMIFS('FS Semi'!$J23:$CV23, 'FS Semi'!$J$4:$CV$4, 'FS Ann'!AT$4)</f>
        <v>0</v>
      </c>
      <c r="AU23" s="16">
        <f xml:space="preserve"> SUMIFS('FS Semi'!$J23:$CV23, 'FS Semi'!$J$4:$CV$4, 'FS Ann'!AU$4)</f>
        <v>0</v>
      </c>
      <c r="AV23" s="16">
        <f xml:space="preserve"> SUMIFS('FS Semi'!$J23:$CV23, 'FS Semi'!$J$4:$CV$4, 'FS Ann'!AV$4)</f>
        <v>0</v>
      </c>
      <c r="AW23" s="16">
        <f xml:space="preserve"> SUMIFS('FS Semi'!$J23:$CV23, 'FS Semi'!$J$4:$CV$4, 'FS Ann'!AW$4)</f>
        <v>0</v>
      </c>
      <c r="AX23" s="16">
        <f xml:space="preserve"> SUMIFS('FS Semi'!$J23:$CV23, 'FS Semi'!$J$4:$CV$4, 'FS Ann'!AX$4)</f>
        <v>0</v>
      </c>
      <c r="AY23" s="16">
        <f xml:space="preserve"> SUMIFS('FS Semi'!$J23:$CV23, 'FS Semi'!$J$4:$CV$4, 'FS Ann'!AY$4)</f>
        <v>0</v>
      </c>
      <c r="AZ23" s="16">
        <f xml:space="preserve"> SUMIFS('FS Semi'!$J23:$CV23, 'FS Semi'!$J$4:$CV$4, 'FS Ann'!AZ$4)</f>
        <v>0</v>
      </c>
      <c r="BA23" s="16">
        <f xml:space="preserve"> SUMIFS('FS Semi'!$J23:$CV23, 'FS Semi'!$J$4:$CV$4, 'FS Ann'!BA$4)</f>
        <v>0</v>
      </c>
      <c r="BB23" s="16">
        <f xml:space="preserve"> SUMIFS('FS Semi'!$J23:$CV23, 'FS Semi'!$J$4:$CV$4, 'FS Ann'!BB$4)</f>
        <v>0</v>
      </c>
    </row>
    <row r="24" spans="1:56" outlineLevel="1" x14ac:dyDescent="0.2">
      <c r="A24" s="1"/>
      <c r="B24" s="1"/>
      <c r="C24" s="19"/>
      <c r="D24" s="83"/>
      <c r="E24" s="16" t="str">
        <f xml:space="preserve"> 'FS Semi'!E24</f>
        <v>WCF upfront fee</v>
      </c>
      <c r="F24" s="16">
        <f xml:space="preserve"> 'FS Semi'!F24</f>
        <v>0</v>
      </c>
      <c r="G24" s="381" t="str">
        <f xml:space="preserve"> 'FS Semi'!G24</f>
        <v>$ 000s</v>
      </c>
      <c r="H24" s="16">
        <f t="shared" si="7"/>
        <v>0</v>
      </c>
      <c r="I24" s="16"/>
      <c r="J24" s="16">
        <f xml:space="preserve"> SUMIFS('FS Semi'!$J24:$CV24, 'FS Semi'!$J$4:$CV$4, 'FS Ann'!J$4)</f>
        <v>0</v>
      </c>
      <c r="K24" s="16">
        <f xml:space="preserve"> SUMIFS('FS Semi'!$J24:$CV24, 'FS Semi'!$J$4:$CV$4, 'FS Ann'!K$4)</f>
        <v>0</v>
      </c>
      <c r="L24" s="16">
        <f xml:space="preserve"> SUMIFS('FS Semi'!$J24:$CV24, 'FS Semi'!$J$4:$CV$4, 'FS Ann'!L$4)</f>
        <v>0</v>
      </c>
      <c r="M24" s="16">
        <f xml:space="preserve"> SUMIFS('FS Semi'!$J24:$CV24, 'FS Semi'!$J$4:$CV$4, 'FS Ann'!M$4)</f>
        <v>0</v>
      </c>
      <c r="N24" s="16">
        <f xml:space="preserve"> SUMIFS('FS Semi'!$J24:$CV24, 'FS Semi'!$J$4:$CV$4, 'FS Ann'!N$4)</f>
        <v>0</v>
      </c>
      <c r="O24" s="16">
        <f xml:space="preserve"> SUMIFS('FS Semi'!$J24:$CV24, 'FS Semi'!$J$4:$CV$4, 'FS Ann'!O$4)</f>
        <v>0</v>
      </c>
      <c r="P24" s="16">
        <f xml:space="preserve"> SUMIFS('FS Semi'!$J24:$CV24, 'FS Semi'!$J$4:$CV$4, 'FS Ann'!P$4)</f>
        <v>0</v>
      </c>
      <c r="Q24" s="16">
        <f xml:space="preserve"> SUMIFS('FS Semi'!$J24:$CV24, 'FS Semi'!$J$4:$CV$4, 'FS Ann'!Q$4)</f>
        <v>0</v>
      </c>
      <c r="R24" s="16">
        <f xml:space="preserve"> SUMIFS('FS Semi'!$J24:$CV24, 'FS Semi'!$J$4:$CV$4, 'FS Ann'!R$4)</f>
        <v>0</v>
      </c>
      <c r="S24" s="16">
        <f xml:space="preserve"> SUMIFS('FS Semi'!$J24:$CV24, 'FS Semi'!$J$4:$CV$4, 'FS Ann'!S$4)</f>
        <v>0</v>
      </c>
      <c r="T24" s="16">
        <f xml:space="preserve"> SUMIFS('FS Semi'!$J24:$CV24, 'FS Semi'!$J$4:$CV$4, 'FS Ann'!T$4)</f>
        <v>0</v>
      </c>
      <c r="U24" s="16">
        <f xml:space="preserve"> SUMIFS('FS Semi'!$J24:$CV24, 'FS Semi'!$J$4:$CV$4, 'FS Ann'!U$4)</f>
        <v>0</v>
      </c>
      <c r="V24" s="16">
        <f xml:space="preserve"> SUMIFS('FS Semi'!$J24:$CV24, 'FS Semi'!$J$4:$CV$4, 'FS Ann'!V$4)</f>
        <v>0</v>
      </c>
      <c r="W24" s="16">
        <f xml:space="preserve"> SUMIFS('FS Semi'!$J24:$CV24, 'FS Semi'!$J$4:$CV$4, 'FS Ann'!W$4)</f>
        <v>0</v>
      </c>
      <c r="X24" s="16">
        <f xml:space="preserve"> SUMIFS('FS Semi'!$J24:$CV24, 'FS Semi'!$J$4:$CV$4, 'FS Ann'!X$4)</f>
        <v>0</v>
      </c>
      <c r="Y24" s="16">
        <f xml:space="preserve"> SUMIFS('FS Semi'!$J24:$CV24, 'FS Semi'!$J$4:$CV$4, 'FS Ann'!Y$4)</f>
        <v>0</v>
      </c>
      <c r="Z24" s="16">
        <f xml:space="preserve"> SUMIFS('FS Semi'!$J24:$CV24, 'FS Semi'!$J$4:$CV$4, 'FS Ann'!Z$4)</f>
        <v>0</v>
      </c>
      <c r="AA24" s="16">
        <f xml:space="preserve"> SUMIFS('FS Semi'!$J24:$CV24, 'FS Semi'!$J$4:$CV$4, 'FS Ann'!AA$4)</f>
        <v>0</v>
      </c>
      <c r="AB24" s="16">
        <f xml:space="preserve"> SUMIFS('FS Semi'!$J24:$CV24, 'FS Semi'!$J$4:$CV$4, 'FS Ann'!AB$4)</f>
        <v>0</v>
      </c>
      <c r="AC24" s="16">
        <f xml:space="preserve"> SUMIFS('FS Semi'!$J24:$CV24, 'FS Semi'!$J$4:$CV$4, 'FS Ann'!AC$4)</f>
        <v>0</v>
      </c>
      <c r="AD24" s="16">
        <f xml:space="preserve"> SUMIFS('FS Semi'!$J24:$CV24, 'FS Semi'!$J$4:$CV$4, 'FS Ann'!AD$4)</f>
        <v>0</v>
      </c>
      <c r="AE24" s="16">
        <f xml:space="preserve"> SUMIFS('FS Semi'!$J24:$CV24, 'FS Semi'!$J$4:$CV$4, 'FS Ann'!AE$4)</f>
        <v>0</v>
      </c>
      <c r="AF24" s="16">
        <f xml:space="preserve"> SUMIFS('FS Semi'!$J24:$CV24, 'FS Semi'!$J$4:$CV$4, 'FS Ann'!AF$4)</f>
        <v>0</v>
      </c>
      <c r="AG24" s="16">
        <f xml:space="preserve"> SUMIFS('FS Semi'!$J24:$CV24, 'FS Semi'!$J$4:$CV$4, 'FS Ann'!AG$4)</f>
        <v>0</v>
      </c>
      <c r="AH24" s="16">
        <f xml:space="preserve"> SUMIFS('FS Semi'!$J24:$CV24, 'FS Semi'!$J$4:$CV$4, 'FS Ann'!AH$4)</f>
        <v>0</v>
      </c>
      <c r="AI24" s="16">
        <f xml:space="preserve"> SUMIFS('FS Semi'!$J24:$CV24, 'FS Semi'!$J$4:$CV$4, 'FS Ann'!AI$4)</f>
        <v>0</v>
      </c>
      <c r="AJ24" s="16">
        <f xml:space="preserve"> SUMIFS('FS Semi'!$J24:$CV24, 'FS Semi'!$J$4:$CV$4, 'FS Ann'!AJ$4)</f>
        <v>0</v>
      </c>
      <c r="AK24" s="16">
        <f xml:space="preserve"> SUMIFS('FS Semi'!$J24:$CV24, 'FS Semi'!$J$4:$CV$4, 'FS Ann'!AK$4)</f>
        <v>0</v>
      </c>
      <c r="AL24" s="16">
        <f xml:space="preserve"> SUMIFS('FS Semi'!$J24:$CV24, 'FS Semi'!$J$4:$CV$4, 'FS Ann'!AL$4)</f>
        <v>0</v>
      </c>
      <c r="AM24" s="16">
        <f xml:space="preserve"> SUMIFS('FS Semi'!$J24:$CV24, 'FS Semi'!$J$4:$CV$4, 'FS Ann'!AM$4)</f>
        <v>0</v>
      </c>
      <c r="AN24" s="16">
        <f xml:space="preserve"> SUMIFS('FS Semi'!$J24:$CV24, 'FS Semi'!$J$4:$CV$4, 'FS Ann'!AN$4)</f>
        <v>0</v>
      </c>
      <c r="AO24" s="16">
        <f xml:space="preserve"> SUMIFS('FS Semi'!$J24:$CV24, 'FS Semi'!$J$4:$CV$4, 'FS Ann'!AO$4)</f>
        <v>0</v>
      </c>
      <c r="AP24" s="16">
        <f xml:space="preserve"> SUMIFS('FS Semi'!$J24:$CV24, 'FS Semi'!$J$4:$CV$4, 'FS Ann'!AP$4)</f>
        <v>0</v>
      </c>
      <c r="AQ24" s="16">
        <f xml:space="preserve"> SUMIFS('FS Semi'!$J24:$CV24, 'FS Semi'!$J$4:$CV$4, 'FS Ann'!AQ$4)</f>
        <v>0</v>
      </c>
      <c r="AR24" s="16">
        <f xml:space="preserve"> SUMIFS('FS Semi'!$J24:$CV24, 'FS Semi'!$J$4:$CV$4, 'FS Ann'!AR$4)</f>
        <v>0</v>
      </c>
      <c r="AS24" s="16">
        <f xml:space="preserve"> SUMIFS('FS Semi'!$J24:$CV24, 'FS Semi'!$J$4:$CV$4, 'FS Ann'!AS$4)</f>
        <v>0</v>
      </c>
      <c r="AT24" s="16">
        <f xml:space="preserve"> SUMIFS('FS Semi'!$J24:$CV24, 'FS Semi'!$J$4:$CV$4, 'FS Ann'!AT$4)</f>
        <v>0</v>
      </c>
      <c r="AU24" s="16">
        <f xml:space="preserve"> SUMIFS('FS Semi'!$J24:$CV24, 'FS Semi'!$J$4:$CV$4, 'FS Ann'!AU$4)</f>
        <v>0</v>
      </c>
      <c r="AV24" s="16">
        <f xml:space="preserve"> SUMIFS('FS Semi'!$J24:$CV24, 'FS Semi'!$J$4:$CV$4, 'FS Ann'!AV$4)</f>
        <v>0</v>
      </c>
      <c r="AW24" s="16">
        <f xml:space="preserve"> SUMIFS('FS Semi'!$J24:$CV24, 'FS Semi'!$J$4:$CV$4, 'FS Ann'!AW$4)</f>
        <v>0</v>
      </c>
      <c r="AX24" s="16">
        <f xml:space="preserve"> SUMIFS('FS Semi'!$J24:$CV24, 'FS Semi'!$J$4:$CV$4, 'FS Ann'!AX$4)</f>
        <v>0</v>
      </c>
      <c r="AY24" s="16">
        <f xml:space="preserve"> SUMIFS('FS Semi'!$J24:$CV24, 'FS Semi'!$J$4:$CV$4, 'FS Ann'!AY$4)</f>
        <v>0</v>
      </c>
      <c r="AZ24" s="16">
        <f xml:space="preserve"> SUMIFS('FS Semi'!$J24:$CV24, 'FS Semi'!$J$4:$CV$4, 'FS Ann'!AZ$4)</f>
        <v>0</v>
      </c>
      <c r="BA24" s="16">
        <f xml:space="preserve"> SUMIFS('FS Semi'!$J24:$CV24, 'FS Semi'!$J$4:$CV$4, 'FS Ann'!BA$4)</f>
        <v>0</v>
      </c>
      <c r="BB24" s="16">
        <f xml:space="preserve"> SUMIFS('FS Semi'!$J24:$CV24, 'FS Semi'!$J$4:$CV$4, 'FS Ann'!BB$4)</f>
        <v>0</v>
      </c>
    </row>
    <row r="25" spans="1:56" outlineLevel="1" x14ac:dyDescent="0.2">
      <c r="A25" s="1"/>
      <c r="B25" s="1"/>
      <c r="C25" s="19"/>
      <c r="D25" s="83"/>
      <c r="E25" s="16" t="str">
        <f xml:space="preserve"> 'FS Semi'!E25</f>
        <v>WCF interest accrued and paid</v>
      </c>
      <c r="F25" s="16">
        <f xml:space="preserve"> 'FS Semi'!F25</f>
        <v>0</v>
      </c>
      <c r="G25" s="381" t="str">
        <f xml:space="preserve"> 'FS Semi'!G25</f>
        <v>$ 000s</v>
      </c>
      <c r="H25" s="16">
        <f t="shared" si="7"/>
        <v>0</v>
      </c>
      <c r="I25" s="16"/>
      <c r="J25" s="16">
        <f xml:space="preserve"> SUMIFS('FS Semi'!$J25:$CV25, 'FS Semi'!$J$4:$CV$4, 'FS Ann'!J$4)</f>
        <v>0</v>
      </c>
      <c r="K25" s="16">
        <f xml:space="preserve"> SUMIFS('FS Semi'!$J25:$CV25, 'FS Semi'!$J$4:$CV$4, 'FS Ann'!K$4)</f>
        <v>0</v>
      </c>
      <c r="L25" s="16">
        <f xml:space="preserve"> SUMIFS('FS Semi'!$J25:$CV25, 'FS Semi'!$J$4:$CV$4, 'FS Ann'!L$4)</f>
        <v>0</v>
      </c>
      <c r="M25" s="16">
        <f xml:space="preserve"> SUMIFS('FS Semi'!$J25:$CV25, 'FS Semi'!$J$4:$CV$4, 'FS Ann'!M$4)</f>
        <v>0</v>
      </c>
      <c r="N25" s="16">
        <f xml:space="preserve"> SUMIFS('FS Semi'!$J25:$CV25, 'FS Semi'!$J$4:$CV$4, 'FS Ann'!N$4)</f>
        <v>0</v>
      </c>
      <c r="O25" s="16">
        <f xml:space="preserve"> SUMIFS('FS Semi'!$J25:$CV25, 'FS Semi'!$J$4:$CV$4, 'FS Ann'!O$4)</f>
        <v>0</v>
      </c>
      <c r="P25" s="16">
        <f xml:space="preserve"> SUMIFS('FS Semi'!$J25:$CV25, 'FS Semi'!$J$4:$CV$4, 'FS Ann'!P$4)</f>
        <v>0</v>
      </c>
      <c r="Q25" s="16">
        <f xml:space="preserve"> SUMIFS('FS Semi'!$J25:$CV25, 'FS Semi'!$J$4:$CV$4, 'FS Ann'!Q$4)</f>
        <v>0</v>
      </c>
      <c r="R25" s="16">
        <f xml:space="preserve"> SUMIFS('FS Semi'!$J25:$CV25, 'FS Semi'!$J$4:$CV$4, 'FS Ann'!R$4)</f>
        <v>0</v>
      </c>
      <c r="S25" s="16">
        <f xml:space="preserve"> SUMIFS('FS Semi'!$J25:$CV25, 'FS Semi'!$J$4:$CV$4, 'FS Ann'!S$4)</f>
        <v>0</v>
      </c>
      <c r="T25" s="16">
        <f xml:space="preserve"> SUMIFS('FS Semi'!$J25:$CV25, 'FS Semi'!$J$4:$CV$4, 'FS Ann'!T$4)</f>
        <v>0</v>
      </c>
      <c r="U25" s="16">
        <f xml:space="preserve"> SUMIFS('FS Semi'!$J25:$CV25, 'FS Semi'!$J$4:$CV$4, 'FS Ann'!U$4)</f>
        <v>0</v>
      </c>
      <c r="V25" s="16">
        <f xml:space="preserve"> SUMIFS('FS Semi'!$J25:$CV25, 'FS Semi'!$J$4:$CV$4, 'FS Ann'!V$4)</f>
        <v>0</v>
      </c>
      <c r="W25" s="16">
        <f xml:space="preserve"> SUMIFS('FS Semi'!$J25:$CV25, 'FS Semi'!$J$4:$CV$4, 'FS Ann'!W$4)</f>
        <v>0</v>
      </c>
      <c r="X25" s="16">
        <f xml:space="preserve"> SUMIFS('FS Semi'!$J25:$CV25, 'FS Semi'!$J$4:$CV$4, 'FS Ann'!X$4)</f>
        <v>0</v>
      </c>
      <c r="Y25" s="16">
        <f xml:space="preserve"> SUMIFS('FS Semi'!$J25:$CV25, 'FS Semi'!$J$4:$CV$4, 'FS Ann'!Y$4)</f>
        <v>0</v>
      </c>
      <c r="Z25" s="16">
        <f xml:space="preserve"> SUMIFS('FS Semi'!$J25:$CV25, 'FS Semi'!$J$4:$CV$4, 'FS Ann'!Z$4)</f>
        <v>0</v>
      </c>
      <c r="AA25" s="16">
        <f xml:space="preserve"> SUMIFS('FS Semi'!$J25:$CV25, 'FS Semi'!$J$4:$CV$4, 'FS Ann'!AA$4)</f>
        <v>0</v>
      </c>
      <c r="AB25" s="16">
        <f xml:space="preserve"> SUMIFS('FS Semi'!$J25:$CV25, 'FS Semi'!$J$4:$CV$4, 'FS Ann'!AB$4)</f>
        <v>0</v>
      </c>
      <c r="AC25" s="16">
        <f xml:space="preserve"> SUMIFS('FS Semi'!$J25:$CV25, 'FS Semi'!$J$4:$CV$4, 'FS Ann'!AC$4)</f>
        <v>0</v>
      </c>
      <c r="AD25" s="16">
        <f xml:space="preserve"> SUMIFS('FS Semi'!$J25:$CV25, 'FS Semi'!$J$4:$CV$4, 'FS Ann'!AD$4)</f>
        <v>0</v>
      </c>
      <c r="AE25" s="16">
        <f xml:space="preserve"> SUMIFS('FS Semi'!$J25:$CV25, 'FS Semi'!$J$4:$CV$4, 'FS Ann'!AE$4)</f>
        <v>0</v>
      </c>
      <c r="AF25" s="16">
        <f xml:space="preserve"> SUMIFS('FS Semi'!$J25:$CV25, 'FS Semi'!$J$4:$CV$4, 'FS Ann'!AF$4)</f>
        <v>0</v>
      </c>
      <c r="AG25" s="16">
        <f xml:space="preserve"> SUMIFS('FS Semi'!$J25:$CV25, 'FS Semi'!$J$4:$CV$4, 'FS Ann'!AG$4)</f>
        <v>0</v>
      </c>
      <c r="AH25" s="16">
        <f xml:space="preserve"> SUMIFS('FS Semi'!$J25:$CV25, 'FS Semi'!$J$4:$CV$4, 'FS Ann'!AH$4)</f>
        <v>0</v>
      </c>
      <c r="AI25" s="16">
        <f xml:space="preserve"> SUMIFS('FS Semi'!$J25:$CV25, 'FS Semi'!$J$4:$CV$4, 'FS Ann'!AI$4)</f>
        <v>0</v>
      </c>
      <c r="AJ25" s="16">
        <f xml:space="preserve"> SUMIFS('FS Semi'!$J25:$CV25, 'FS Semi'!$J$4:$CV$4, 'FS Ann'!AJ$4)</f>
        <v>0</v>
      </c>
      <c r="AK25" s="16">
        <f xml:space="preserve"> SUMIFS('FS Semi'!$J25:$CV25, 'FS Semi'!$J$4:$CV$4, 'FS Ann'!AK$4)</f>
        <v>0</v>
      </c>
      <c r="AL25" s="16">
        <f xml:space="preserve"> SUMIFS('FS Semi'!$J25:$CV25, 'FS Semi'!$J$4:$CV$4, 'FS Ann'!AL$4)</f>
        <v>0</v>
      </c>
      <c r="AM25" s="16">
        <f xml:space="preserve"> SUMIFS('FS Semi'!$J25:$CV25, 'FS Semi'!$J$4:$CV$4, 'FS Ann'!AM$4)</f>
        <v>0</v>
      </c>
      <c r="AN25" s="16">
        <f xml:space="preserve"> SUMIFS('FS Semi'!$J25:$CV25, 'FS Semi'!$J$4:$CV$4, 'FS Ann'!AN$4)</f>
        <v>0</v>
      </c>
      <c r="AO25" s="16">
        <f xml:space="preserve"> SUMIFS('FS Semi'!$J25:$CV25, 'FS Semi'!$J$4:$CV$4, 'FS Ann'!AO$4)</f>
        <v>0</v>
      </c>
      <c r="AP25" s="16">
        <f xml:space="preserve"> SUMIFS('FS Semi'!$J25:$CV25, 'FS Semi'!$J$4:$CV$4, 'FS Ann'!AP$4)</f>
        <v>0</v>
      </c>
      <c r="AQ25" s="16">
        <f xml:space="preserve"> SUMIFS('FS Semi'!$J25:$CV25, 'FS Semi'!$J$4:$CV$4, 'FS Ann'!AQ$4)</f>
        <v>0</v>
      </c>
      <c r="AR25" s="16">
        <f xml:space="preserve"> SUMIFS('FS Semi'!$J25:$CV25, 'FS Semi'!$J$4:$CV$4, 'FS Ann'!AR$4)</f>
        <v>0</v>
      </c>
      <c r="AS25" s="16">
        <f xml:space="preserve"> SUMIFS('FS Semi'!$J25:$CV25, 'FS Semi'!$J$4:$CV$4, 'FS Ann'!AS$4)</f>
        <v>0</v>
      </c>
      <c r="AT25" s="16">
        <f xml:space="preserve"> SUMIFS('FS Semi'!$J25:$CV25, 'FS Semi'!$J$4:$CV$4, 'FS Ann'!AT$4)</f>
        <v>0</v>
      </c>
      <c r="AU25" s="16">
        <f xml:space="preserve"> SUMIFS('FS Semi'!$J25:$CV25, 'FS Semi'!$J$4:$CV$4, 'FS Ann'!AU$4)</f>
        <v>0</v>
      </c>
      <c r="AV25" s="16">
        <f xml:space="preserve"> SUMIFS('FS Semi'!$J25:$CV25, 'FS Semi'!$J$4:$CV$4, 'FS Ann'!AV$4)</f>
        <v>0</v>
      </c>
      <c r="AW25" s="16">
        <f xml:space="preserve"> SUMIFS('FS Semi'!$J25:$CV25, 'FS Semi'!$J$4:$CV$4, 'FS Ann'!AW$4)</f>
        <v>0</v>
      </c>
      <c r="AX25" s="16">
        <f xml:space="preserve"> SUMIFS('FS Semi'!$J25:$CV25, 'FS Semi'!$J$4:$CV$4, 'FS Ann'!AX$4)</f>
        <v>0</v>
      </c>
      <c r="AY25" s="16">
        <f xml:space="preserve"> SUMIFS('FS Semi'!$J25:$CV25, 'FS Semi'!$J$4:$CV$4, 'FS Ann'!AY$4)</f>
        <v>0</v>
      </c>
      <c r="AZ25" s="16">
        <f xml:space="preserve"> SUMIFS('FS Semi'!$J25:$CV25, 'FS Semi'!$J$4:$CV$4, 'FS Ann'!AZ$4)</f>
        <v>0</v>
      </c>
      <c r="BA25" s="16">
        <f xml:space="preserve"> SUMIFS('FS Semi'!$J25:$CV25, 'FS Semi'!$J$4:$CV$4, 'FS Ann'!BA$4)</f>
        <v>0</v>
      </c>
      <c r="BB25" s="16">
        <f xml:space="preserve"> SUMIFS('FS Semi'!$J25:$CV25, 'FS Semi'!$J$4:$CV$4, 'FS Ann'!BB$4)</f>
        <v>0</v>
      </c>
    </row>
    <row r="26" spans="1:56" outlineLevel="1" x14ac:dyDescent="0.2">
      <c r="A26" s="1"/>
      <c r="B26" s="1"/>
      <c r="C26" s="19"/>
      <c r="D26" s="83"/>
      <c r="E26" s="16" t="str">
        <f xml:space="preserve"> 'FS Semi'!E26</f>
        <v>Equity bridge interest</v>
      </c>
      <c r="F26" s="16">
        <f xml:space="preserve"> 'FS Semi'!F26</f>
        <v>0</v>
      </c>
      <c r="G26" s="381" t="str">
        <f xml:space="preserve"> 'FS Semi'!G26</f>
        <v>$ 000s</v>
      </c>
      <c r="H26" s="16">
        <f t="shared" ref="H26" si="8" xml:space="preserve"> SUM(J26:BB26)</f>
        <v>0</v>
      </c>
      <c r="I26" s="16"/>
      <c r="J26" s="16">
        <f xml:space="preserve"> SUMIFS('FS Semi'!$J26:$CV26, 'FS Semi'!$J$4:$CV$4, 'FS Ann'!J$4)</f>
        <v>0</v>
      </c>
      <c r="K26" s="16">
        <f xml:space="preserve"> SUMIFS('FS Semi'!$J26:$CV26, 'FS Semi'!$J$4:$CV$4, 'FS Ann'!K$4)</f>
        <v>0</v>
      </c>
      <c r="L26" s="16">
        <f xml:space="preserve"> SUMIFS('FS Semi'!$J26:$CV26, 'FS Semi'!$J$4:$CV$4, 'FS Ann'!L$4)</f>
        <v>0</v>
      </c>
      <c r="M26" s="16">
        <f xml:space="preserve"> SUMIFS('FS Semi'!$J26:$CV26, 'FS Semi'!$J$4:$CV$4, 'FS Ann'!M$4)</f>
        <v>0</v>
      </c>
      <c r="N26" s="16">
        <f xml:space="preserve"> SUMIFS('FS Semi'!$J26:$CV26, 'FS Semi'!$J$4:$CV$4, 'FS Ann'!N$4)</f>
        <v>0</v>
      </c>
      <c r="O26" s="16">
        <f xml:space="preserve"> SUMIFS('FS Semi'!$J26:$CV26, 'FS Semi'!$J$4:$CV$4, 'FS Ann'!O$4)</f>
        <v>0</v>
      </c>
      <c r="P26" s="16">
        <f xml:space="preserve"> SUMIFS('FS Semi'!$J26:$CV26, 'FS Semi'!$J$4:$CV$4, 'FS Ann'!P$4)</f>
        <v>0</v>
      </c>
      <c r="Q26" s="16">
        <f xml:space="preserve"> SUMIFS('FS Semi'!$J26:$CV26, 'FS Semi'!$J$4:$CV$4, 'FS Ann'!Q$4)</f>
        <v>0</v>
      </c>
      <c r="R26" s="16">
        <f xml:space="preserve"> SUMIFS('FS Semi'!$J26:$CV26, 'FS Semi'!$J$4:$CV$4, 'FS Ann'!R$4)</f>
        <v>0</v>
      </c>
      <c r="S26" s="16">
        <f xml:space="preserve"> SUMIFS('FS Semi'!$J26:$CV26, 'FS Semi'!$J$4:$CV$4, 'FS Ann'!S$4)</f>
        <v>0</v>
      </c>
      <c r="T26" s="16">
        <f xml:space="preserve"> SUMIFS('FS Semi'!$J26:$CV26, 'FS Semi'!$J$4:$CV$4, 'FS Ann'!T$4)</f>
        <v>0</v>
      </c>
      <c r="U26" s="16">
        <f xml:space="preserve"> SUMIFS('FS Semi'!$J26:$CV26, 'FS Semi'!$J$4:$CV$4, 'FS Ann'!U$4)</f>
        <v>0</v>
      </c>
      <c r="V26" s="16">
        <f xml:space="preserve"> SUMIFS('FS Semi'!$J26:$CV26, 'FS Semi'!$J$4:$CV$4, 'FS Ann'!V$4)</f>
        <v>0</v>
      </c>
      <c r="W26" s="16">
        <f xml:space="preserve"> SUMIFS('FS Semi'!$J26:$CV26, 'FS Semi'!$J$4:$CV$4, 'FS Ann'!W$4)</f>
        <v>0</v>
      </c>
      <c r="X26" s="16">
        <f xml:space="preserve"> SUMIFS('FS Semi'!$J26:$CV26, 'FS Semi'!$J$4:$CV$4, 'FS Ann'!X$4)</f>
        <v>0</v>
      </c>
      <c r="Y26" s="16">
        <f xml:space="preserve"> SUMIFS('FS Semi'!$J26:$CV26, 'FS Semi'!$J$4:$CV$4, 'FS Ann'!Y$4)</f>
        <v>0</v>
      </c>
      <c r="Z26" s="16">
        <f xml:space="preserve"> SUMIFS('FS Semi'!$J26:$CV26, 'FS Semi'!$J$4:$CV$4, 'FS Ann'!Z$4)</f>
        <v>0</v>
      </c>
      <c r="AA26" s="16">
        <f xml:space="preserve"> SUMIFS('FS Semi'!$J26:$CV26, 'FS Semi'!$J$4:$CV$4, 'FS Ann'!AA$4)</f>
        <v>0</v>
      </c>
      <c r="AB26" s="16">
        <f xml:space="preserve"> SUMIFS('FS Semi'!$J26:$CV26, 'FS Semi'!$J$4:$CV$4, 'FS Ann'!AB$4)</f>
        <v>0</v>
      </c>
      <c r="AC26" s="16">
        <f xml:space="preserve"> SUMIFS('FS Semi'!$J26:$CV26, 'FS Semi'!$J$4:$CV$4, 'FS Ann'!AC$4)</f>
        <v>0</v>
      </c>
      <c r="AD26" s="16">
        <f xml:space="preserve"> SUMIFS('FS Semi'!$J26:$CV26, 'FS Semi'!$J$4:$CV$4, 'FS Ann'!AD$4)</f>
        <v>0</v>
      </c>
      <c r="AE26" s="16">
        <f xml:space="preserve"> SUMIFS('FS Semi'!$J26:$CV26, 'FS Semi'!$J$4:$CV$4, 'FS Ann'!AE$4)</f>
        <v>0</v>
      </c>
      <c r="AF26" s="16">
        <f xml:space="preserve"> SUMIFS('FS Semi'!$J26:$CV26, 'FS Semi'!$J$4:$CV$4, 'FS Ann'!AF$4)</f>
        <v>0</v>
      </c>
      <c r="AG26" s="16">
        <f xml:space="preserve"> SUMIFS('FS Semi'!$J26:$CV26, 'FS Semi'!$J$4:$CV$4, 'FS Ann'!AG$4)</f>
        <v>0</v>
      </c>
      <c r="AH26" s="16">
        <f xml:space="preserve"> SUMIFS('FS Semi'!$J26:$CV26, 'FS Semi'!$J$4:$CV$4, 'FS Ann'!AH$4)</f>
        <v>0</v>
      </c>
      <c r="AI26" s="16">
        <f xml:space="preserve"> SUMIFS('FS Semi'!$J26:$CV26, 'FS Semi'!$J$4:$CV$4, 'FS Ann'!AI$4)</f>
        <v>0</v>
      </c>
      <c r="AJ26" s="16">
        <f xml:space="preserve"> SUMIFS('FS Semi'!$J26:$CV26, 'FS Semi'!$J$4:$CV$4, 'FS Ann'!AJ$4)</f>
        <v>0</v>
      </c>
      <c r="AK26" s="16">
        <f xml:space="preserve"> SUMIFS('FS Semi'!$J26:$CV26, 'FS Semi'!$J$4:$CV$4, 'FS Ann'!AK$4)</f>
        <v>0</v>
      </c>
      <c r="AL26" s="16">
        <f xml:space="preserve"> SUMIFS('FS Semi'!$J26:$CV26, 'FS Semi'!$J$4:$CV$4, 'FS Ann'!AL$4)</f>
        <v>0</v>
      </c>
      <c r="AM26" s="16">
        <f xml:space="preserve"> SUMIFS('FS Semi'!$J26:$CV26, 'FS Semi'!$J$4:$CV$4, 'FS Ann'!AM$4)</f>
        <v>0</v>
      </c>
      <c r="AN26" s="16">
        <f xml:space="preserve"> SUMIFS('FS Semi'!$J26:$CV26, 'FS Semi'!$J$4:$CV$4, 'FS Ann'!AN$4)</f>
        <v>0</v>
      </c>
      <c r="AO26" s="16">
        <f xml:space="preserve"> SUMIFS('FS Semi'!$J26:$CV26, 'FS Semi'!$J$4:$CV$4, 'FS Ann'!AO$4)</f>
        <v>0</v>
      </c>
      <c r="AP26" s="16">
        <f xml:space="preserve"> SUMIFS('FS Semi'!$J26:$CV26, 'FS Semi'!$J$4:$CV$4, 'FS Ann'!AP$4)</f>
        <v>0</v>
      </c>
      <c r="AQ26" s="16">
        <f xml:space="preserve"> SUMIFS('FS Semi'!$J26:$CV26, 'FS Semi'!$J$4:$CV$4, 'FS Ann'!AQ$4)</f>
        <v>0</v>
      </c>
      <c r="AR26" s="16">
        <f xml:space="preserve"> SUMIFS('FS Semi'!$J26:$CV26, 'FS Semi'!$J$4:$CV$4, 'FS Ann'!AR$4)</f>
        <v>0</v>
      </c>
      <c r="AS26" s="16">
        <f xml:space="preserve"> SUMIFS('FS Semi'!$J26:$CV26, 'FS Semi'!$J$4:$CV$4, 'FS Ann'!AS$4)</f>
        <v>0</v>
      </c>
      <c r="AT26" s="16">
        <f xml:space="preserve"> SUMIFS('FS Semi'!$J26:$CV26, 'FS Semi'!$J$4:$CV$4, 'FS Ann'!AT$4)</f>
        <v>0</v>
      </c>
      <c r="AU26" s="16">
        <f xml:space="preserve"> SUMIFS('FS Semi'!$J26:$CV26, 'FS Semi'!$J$4:$CV$4, 'FS Ann'!AU$4)</f>
        <v>0</v>
      </c>
      <c r="AV26" s="16">
        <f xml:space="preserve"> SUMIFS('FS Semi'!$J26:$CV26, 'FS Semi'!$J$4:$CV$4, 'FS Ann'!AV$4)</f>
        <v>0</v>
      </c>
      <c r="AW26" s="16">
        <f xml:space="preserve"> SUMIFS('FS Semi'!$J26:$CV26, 'FS Semi'!$J$4:$CV$4, 'FS Ann'!AW$4)</f>
        <v>0</v>
      </c>
      <c r="AX26" s="16">
        <f xml:space="preserve"> SUMIFS('FS Semi'!$J26:$CV26, 'FS Semi'!$J$4:$CV$4, 'FS Ann'!AX$4)</f>
        <v>0</v>
      </c>
      <c r="AY26" s="16">
        <f xml:space="preserve"> SUMIFS('FS Semi'!$J26:$CV26, 'FS Semi'!$J$4:$CV$4, 'FS Ann'!AY$4)</f>
        <v>0</v>
      </c>
      <c r="AZ26" s="16">
        <f xml:space="preserve"> SUMIFS('FS Semi'!$J26:$CV26, 'FS Semi'!$J$4:$CV$4, 'FS Ann'!AZ$4)</f>
        <v>0</v>
      </c>
      <c r="BA26" s="16">
        <f xml:space="preserve"> SUMIFS('FS Semi'!$J26:$CV26, 'FS Semi'!$J$4:$CV$4, 'FS Ann'!BA$4)</f>
        <v>0</v>
      </c>
      <c r="BB26" s="16">
        <f xml:space="preserve"> SUMIFS('FS Semi'!$J26:$CV26, 'FS Semi'!$J$4:$CV$4, 'FS Ann'!BB$4)</f>
        <v>0</v>
      </c>
    </row>
    <row r="27" spans="1:56" outlineLevel="1" x14ac:dyDescent="0.2">
      <c r="A27" s="1"/>
      <c r="B27" s="1"/>
      <c r="C27" s="19"/>
      <c r="D27" s="83"/>
      <c r="E27" s="16" t="str">
        <f xml:space="preserve"> 'FS Semi'!E27</f>
        <v>Shareholder loan interest expense</v>
      </c>
      <c r="F27" s="16">
        <f xml:space="preserve"> 'FS Semi'!F27</f>
        <v>0</v>
      </c>
      <c r="G27" s="381" t="str">
        <f xml:space="preserve"> 'FS Semi'!G27</f>
        <v>$ 000s</v>
      </c>
      <c r="H27" s="16">
        <f t="shared" si="1"/>
        <v>-289672.52637153125</v>
      </c>
      <c r="I27" s="16"/>
      <c r="J27" s="16">
        <f xml:space="preserve"> SUMIFS('FS Semi'!$J27:$CV27, 'FS Semi'!$J$4:$CV$4, 'FS Ann'!J$4)</f>
        <v>0</v>
      </c>
      <c r="K27" s="16">
        <f xml:space="preserve"> SUMIFS('FS Semi'!$J27:$CV27, 'FS Semi'!$J$4:$CV$4, 'FS Ann'!K$4)</f>
        <v>0</v>
      </c>
      <c r="L27" s="16">
        <f xml:space="preserve"> SUMIFS('FS Semi'!$J27:$CV27, 'FS Semi'!$J$4:$CV$4, 'FS Ann'!L$4)</f>
        <v>0</v>
      </c>
      <c r="M27" s="16">
        <f xml:space="preserve"> SUMIFS('FS Semi'!$J27:$CV27, 'FS Semi'!$J$4:$CV$4, 'FS Ann'!M$4)</f>
        <v>-10371.429703668755</v>
      </c>
      <c r="N27" s="16">
        <f xml:space="preserve"> SUMIFS('FS Semi'!$J27:$CV27, 'FS Semi'!$J$4:$CV$4, 'FS Ann'!N$4)</f>
        <v>-10525.894203658714</v>
      </c>
      <c r="O27" s="16">
        <f xml:space="preserve"> SUMIFS('FS Semi'!$J27:$CV27, 'FS Semi'!$J$4:$CV$4, 'FS Ann'!O$4)</f>
        <v>-10738.122227178792</v>
      </c>
      <c r="P27" s="16">
        <f xml:space="preserve"> SUMIFS('FS Semi'!$J27:$CV27, 'FS Semi'!$J$4:$CV$4, 'FS Ann'!P$4)</f>
        <v>-10984.072475278539</v>
      </c>
      <c r="Q27" s="16">
        <f xml:space="preserve"> SUMIFS('FS Semi'!$J27:$CV27, 'FS Semi'!$J$4:$CV$4, 'FS Ann'!Q$4)</f>
        <v>-11265.747094091224</v>
      </c>
      <c r="R27" s="16">
        <f xml:space="preserve"> SUMIFS('FS Semi'!$J27:$CV27, 'FS Semi'!$J$4:$CV$4, 'FS Ann'!R$4)</f>
        <v>-11591.751230240177</v>
      </c>
      <c r="S27" s="16">
        <f xml:space="preserve"> SUMIFS('FS Semi'!$J27:$CV27, 'FS Semi'!$J$4:$CV$4, 'FS Ann'!S$4)</f>
        <v>-11965.112689666366</v>
      </c>
      <c r="T27" s="16">
        <f xml:space="preserve"> SUMIFS('FS Semi'!$J27:$CV27, 'FS Semi'!$J$4:$CV$4, 'FS Ann'!T$4)</f>
        <v>-12392.332927625155</v>
      </c>
      <c r="U27" s="16">
        <f xml:space="preserve"> SUMIFS('FS Semi'!$J27:$CV27, 'FS Semi'!$J$4:$CV$4, 'FS Ann'!U$4)</f>
        <v>-12877.962217784505</v>
      </c>
      <c r="V27" s="16">
        <f xml:space="preserve"> SUMIFS('FS Semi'!$J27:$CV27, 'FS Semi'!$J$4:$CV$4, 'FS Ann'!V$4)</f>
        <v>-13433.069108117264</v>
      </c>
      <c r="W27" s="16">
        <f xml:space="preserve"> SUMIFS('FS Semi'!$J27:$CV27, 'FS Semi'!$J$4:$CV$4, 'FS Ann'!W$4)</f>
        <v>-14063.571741334723</v>
      </c>
      <c r="X27" s="16">
        <f xml:space="preserve"> SUMIFS('FS Semi'!$J27:$CV27, 'FS Semi'!$J$4:$CV$4, 'FS Ann'!X$4)</f>
        <v>-14780.470529251306</v>
      </c>
      <c r="Y27" s="16">
        <f xml:space="preserve"> SUMIFS('FS Semi'!$J27:$CV27, 'FS Semi'!$J$4:$CV$4, 'FS Ann'!Y$4)</f>
        <v>-15591.810738435561</v>
      </c>
      <c r="Z27" s="16">
        <f xml:space="preserve"> SUMIFS('FS Semi'!$J27:$CV27, 'FS Semi'!$J$4:$CV$4, 'FS Ann'!Z$4)</f>
        <v>-16513.003868963388</v>
      </c>
      <c r="AA27" s="16">
        <f xml:space="preserve"> SUMIFS('FS Semi'!$J27:$CV27, 'FS Semi'!$J$4:$CV$4, 'FS Ann'!AA$4)</f>
        <v>-17554.860528131649</v>
      </c>
      <c r="AB27" s="16">
        <f xml:space="preserve"> SUMIFS('FS Semi'!$J27:$CV27, 'FS Semi'!$J$4:$CV$4, 'FS Ann'!AB$4)</f>
        <v>-18733.58013738013</v>
      </c>
      <c r="AC27" s="16">
        <f xml:space="preserve"> SUMIFS('FS Semi'!$J27:$CV27, 'FS Semi'!$J$4:$CV$4, 'FS Ann'!AC$4)</f>
        <v>-19772.570642023482</v>
      </c>
      <c r="AD27" s="16">
        <f xml:space="preserve"> SUMIFS('FS Semi'!$J27:$CV27, 'FS Semi'!$J$4:$CV$4, 'FS Ann'!AD$4)</f>
        <v>-19758.183754718546</v>
      </c>
      <c r="AE27" s="16">
        <f xml:space="preserve"> SUMIFS('FS Semi'!$J27:$CV27, 'FS Semi'!$J$4:$CV$4, 'FS Ann'!AE$4)</f>
        <v>-18863.539080430062</v>
      </c>
      <c r="AF27" s="16">
        <f xml:space="preserve"> SUMIFS('FS Semi'!$J27:$CV27, 'FS Semi'!$J$4:$CV$4, 'FS Ann'!AF$4)</f>
        <v>-17895.441473552892</v>
      </c>
      <c r="AG27" s="16">
        <f xml:space="preserve"> SUMIFS('FS Semi'!$J27:$CV27, 'FS Semi'!$J$4:$CV$4, 'FS Ann'!AG$4)</f>
        <v>0</v>
      </c>
      <c r="AH27" s="16">
        <f xml:space="preserve"> SUMIFS('FS Semi'!$J27:$CV27, 'FS Semi'!$J$4:$CV$4, 'FS Ann'!AH$4)</f>
        <v>0</v>
      </c>
      <c r="AI27" s="16">
        <f xml:space="preserve"> SUMIFS('FS Semi'!$J27:$CV27, 'FS Semi'!$J$4:$CV$4, 'FS Ann'!AI$4)</f>
        <v>0</v>
      </c>
      <c r="AJ27" s="16">
        <f xml:space="preserve"> SUMIFS('FS Semi'!$J27:$CV27, 'FS Semi'!$J$4:$CV$4, 'FS Ann'!AJ$4)</f>
        <v>0</v>
      </c>
      <c r="AK27" s="16">
        <f xml:space="preserve"> SUMIFS('FS Semi'!$J27:$CV27, 'FS Semi'!$J$4:$CV$4, 'FS Ann'!AK$4)</f>
        <v>0</v>
      </c>
      <c r="AL27" s="16">
        <f xml:space="preserve"> SUMIFS('FS Semi'!$J27:$CV27, 'FS Semi'!$J$4:$CV$4, 'FS Ann'!AL$4)</f>
        <v>0</v>
      </c>
      <c r="AM27" s="16">
        <f xml:space="preserve"> SUMIFS('FS Semi'!$J27:$CV27, 'FS Semi'!$J$4:$CV$4, 'FS Ann'!AM$4)</f>
        <v>0</v>
      </c>
      <c r="AN27" s="16">
        <f xml:space="preserve"> SUMIFS('FS Semi'!$J27:$CV27, 'FS Semi'!$J$4:$CV$4, 'FS Ann'!AN$4)</f>
        <v>0</v>
      </c>
      <c r="AO27" s="16">
        <f xml:space="preserve"> SUMIFS('FS Semi'!$J27:$CV27, 'FS Semi'!$J$4:$CV$4, 'FS Ann'!AO$4)</f>
        <v>0</v>
      </c>
      <c r="AP27" s="16">
        <f xml:space="preserve"> SUMIFS('FS Semi'!$J27:$CV27, 'FS Semi'!$J$4:$CV$4, 'FS Ann'!AP$4)</f>
        <v>0</v>
      </c>
      <c r="AQ27" s="16">
        <f xml:space="preserve"> SUMIFS('FS Semi'!$J27:$CV27, 'FS Semi'!$J$4:$CV$4, 'FS Ann'!AQ$4)</f>
        <v>0</v>
      </c>
      <c r="AR27" s="16">
        <f xml:space="preserve"> SUMIFS('FS Semi'!$J27:$CV27, 'FS Semi'!$J$4:$CV$4, 'FS Ann'!AR$4)</f>
        <v>0</v>
      </c>
      <c r="AS27" s="16">
        <f xml:space="preserve"> SUMIFS('FS Semi'!$J27:$CV27, 'FS Semi'!$J$4:$CV$4, 'FS Ann'!AS$4)</f>
        <v>0</v>
      </c>
      <c r="AT27" s="16">
        <f xml:space="preserve"> SUMIFS('FS Semi'!$J27:$CV27, 'FS Semi'!$J$4:$CV$4, 'FS Ann'!AT$4)</f>
        <v>0</v>
      </c>
      <c r="AU27" s="16">
        <f xml:space="preserve"> SUMIFS('FS Semi'!$J27:$CV27, 'FS Semi'!$J$4:$CV$4, 'FS Ann'!AU$4)</f>
        <v>0</v>
      </c>
      <c r="AV27" s="16">
        <f xml:space="preserve"> SUMIFS('FS Semi'!$J27:$CV27, 'FS Semi'!$J$4:$CV$4, 'FS Ann'!AV$4)</f>
        <v>0</v>
      </c>
      <c r="AW27" s="16">
        <f xml:space="preserve"> SUMIFS('FS Semi'!$J27:$CV27, 'FS Semi'!$J$4:$CV$4, 'FS Ann'!AW$4)</f>
        <v>0</v>
      </c>
      <c r="AX27" s="16">
        <f xml:space="preserve"> SUMIFS('FS Semi'!$J27:$CV27, 'FS Semi'!$J$4:$CV$4, 'FS Ann'!AX$4)</f>
        <v>0</v>
      </c>
      <c r="AY27" s="16">
        <f xml:space="preserve"> SUMIFS('FS Semi'!$J27:$CV27, 'FS Semi'!$J$4:$CV$4, 'FS Ann'!AY$4)</f>
        <v>0</v>
      </c>
      <c r="AZ27" s="16">
        <f xml:space="preserve"> SUMIFS('FS Semi'!$J27:$CV27, 'FS Semi'!$J$4:$CV$4, 'FS Ann'!AZ$4)</f>
        <v>0</v>
      </c>
      <c r="BA27" s="16">
        <f xml:space="preserve"> SUMIFS('FS Semi'!$J27:$CV27, 'FS Semi'!$J$4:$CV$4, 'FS Ann'!BA$4)</f>
        <v>0</v>
      </c>
      <c r="BB27" s="16">
        <f xml:space="preserve"> SUMIFS('FS Semi'!$J27:$CV27, 'FS Semi'!$J$4:$CV$4, 'FS Ann'!BB$4)</f>
        <v>0</v>
      </c>
    </row>
    <row r="28" spans="1:56" outlineLevel="1" x14ac:dyDescent="0.2">
      <c r="A28" s="1"/>
      <c r="B28" s="1"/>
      <c r="C28" s="19"/>
      <c r="D28" s="83"/>
      <c r="E28" s="16" t="str">
        <f xml:space="preserve"> 'FS Semi'!E28</f>
        <v>DSRA LC fee accrued and paid</v>
      </c>
      <c r="F28" s="16">
        <f xml:space="preserve"> 'FS Semi'!F28</f>
        <v>0</v>
      </c>
      <c r="G28" s="381" t="str">
        <f xml:space="preserve"> 'FS Semi'!G28</f>
        <v>$ 000s</v>
      </c>
      <c r="H28" s="16">
        <f t="shared" ref="H28" si="9" xml:space="preserve"> SUM(J28:BB28)</f>
        <v>0</v>
      </c>
      <c r="I28" s="16"/>
      <c r="J28" s="16">
        <f xml:space="preserve"> SUMIFS('FS Semi'!$J28:$CV28, 'FS Semi'!$J$4:$CV$4, 'FS Ann'!J$4)</f>
        <v>0</v>
      </c>
      <c r="K28" s="16">
        <f xml:space="preserve"> SUMIFS('FS Semi'!$J28:$CV28, 'FS Semi'!$J$4:$CV$4, 'FS Ann'!K$4)</f>
        <v>0</v>
      </c>
      <c r="L28" s="16">
        <f xml:space="preserve"> SUMIFS('FS Semi'!$J28:$CV28, 'FS Semi'!$J$4:$CV$4, 'FS Ann'!L$4)</f>
        <v>0</v>
      </c>
      <c r="M28" s="16">
        <f xml:space="preserve"> SUMIFS('FS Semi'!$J28:$CV28, 'FS Semi'!$J$4:$CV$4, 'FS Ann'!M$4)</f>
        <v>0</v>
      </c>
      <c r="N28" s="16">
        <f xml:space="preserve"> SUMIFS('FS Semi'!$J28:$CV28, 'FS Semi'!$J$4:$CV$4, 'FS Ann'!N$4)</f>
        <v>0</v>
      </c>
      <c r="O28" s="16">
        <f xml:space="preserve"> SUMIFS('FS Semi'!$J28:$CV28, 'FS Semi'!$J$4:$CV$4, 'FS Ann'!O$4)</f>
        <v>0</v>
      </c>
      <c r="P28" s="16">
        <f xml:space="preserve"> SUMIFS('FS Semi'!$J28:$CV28, 'FS Semi'!$J$4:$CV$4, 'FS Ann'!P$4)</f>
        <v>0</v>
      </c>
      <c r="Q28" s="16">
        <f xml:space="preserve"> SUMIFS('FS Semi'!$J28:$CV28, 'FS Semi'!$J$4:$CV$4, 'FS Ann'!Q$4)</f>
        <v>0</v>
      </c>
      <c r="R28" s="16">
        <f xml:space="preserve"> SUMIFS('FS Semi'!$J28:$CV28, 'FS Semi'!$J$4:$CV$4, 'FS Ann'!R$4)</f>
        <v>0</v>
      </c>
      <c r="S28" s="16">
        <f xml:space="preserve"> SUMIFS('FS Semi'!$J28:$CV28, 'FS Semi'!$J$4:$CV$4, 'FS Ann'!S$4)</f>
        <v>0</v>
      </c>
      <c r="T28" s="16">
        <f xml:space="preserve"> SUMIFS('FS Semi'!$J28:$CV28, 'FS Semi'!$J$4:$CV$4, 'FS Ann'!T$4)</f>
        <v>0</v>
      </c>
      <c r="U28" s="16">
        <f xml:space="preserve"> SUMIFS('FS Semi'!$J28:$CV28, 'FS Semi'!$J$4:$CV$4, 'FS Ann'!U$4)</f>
        <v>0</v>
      </c>
      <c r="V28" s="16">
        <f xml:space="preserve"> SUMIFS('FS Semi'!$J28:$CV28, 'FS Semi'!$J$4:$CV$4, 'FS Ann'!V$4)</f>
        <v>0</v>
      </c>
      <c r="W28" s="16">
        <f xml:space="preserve"> SUMIFS('FS Semi'!$J28:$CV28, 'FS Semi'!$J$4:$CV$4, 'FS Ann'!W$4)</f>
        <v>0</v>
      </c>
      <c r="X28" s="16">
        <f xml:space="preserve"> SUMIFS('FS Semi'!$J28:$CV28, 'FS Semi'!$J$4:$CV$4, 'FS Ann'!X$4)</f>
        <v>0</v>
      </c>
      <c r="Y28" s="16">
        <f xml:space="preserve"> SUMIFS('FS Semi'!$J28:$CV28, 'FS Semi'!$J$4:$CV$4, 'FS Ann'!Y$4)</f>
        <v>0</v>
      </c>
      <c r="Z28" s="16">
        <f xml:space="preserve"> SUMIFS('FS Semi'!$J28:$CV28, 'FS Semi'!$J$4:$CV$4, 'FS Ann'!Z$4)</f>
        <v>0</v>
      </c>
      <c r="AA28" s="16">
        <f xml:space="preserve"> SUMIFS('FS Semi'!$J28:$CV28, 'FS Semi'!$J$4:$CV$4, 'FS Ann'!AA$4)</f>
        <v>0</v>
      </c>
      <c r="AB28" s="16">
        <f xml:space="preserve"> SUMIFS('FS Semi'!$J28:$CV28, 'FS Semi'!$J$4:$CV$4, 'FS Ann'!AB$4)</f>
        <v>0</v>
      </c>
      <c r="AC28" s="16">
        <f xml:space="preserve"> SUMIFS('FS Semi'!$J28:$CV28, 'FS Semi'!$J$4:$CV$4, 'FS Ann'!AC$4)</f>
        <v>0</v>
      </c>
      <c r="AD28" s="16">
        <f xml:space="preserve"> SUMIFS('FS Semi'!$J28:$CV28, 'FS Semi'!$J$4:$CV$4, 'FS Ann'!AD$4)</f>
        <v>0</v>
      </c>
      <c r="AE28" s="16">
        <f xml:space="preserve"> SUMIFS('FS Semi'!$J28:$CV28, 'FS Semi'!$J$4:$CV$4, 'FS Ann'!AE$4)</f>
        <v>0</v>
      </c>
      <c r="AF28" s="16">
        <f xml:space="preserve"> SUMIFS('FS Semi'!$J28:$CV28, 'FS Semi'!$J$4:$CV$4, 'FS Ann'!AF$4)</f>
        <v>0</v>
      </c>
      <c r="AG28" s="16">
        <f xml:space="preserve"> SUMIFS('FS Semi'!$J28:$CV28, 'FS Semi'!$J$4:$CV$4, 'FS Ann'!AG$4)</f>
        <v>0</v>
      </c>
      <c r="AH28" s="16">
        <f xml:space="preserve"> SUMIFS('FS Semi'!$J28:$CV28, 'FS Semi'!$J$4:$CV$4, 'FS Ann'!AH$4)</f>
        <v>0</v>
      </c>
      <c r="AI28" s="16">
        <f xml:space="preserve"> SUMIFS('FS Semi'!$J28:$CV28, 'FS Semi'!$J$4:$CV$4, 'FS Ann'!AI$4)</f>
        <v>0</v>
      </c>
      <c r="AJ28" s="16">
        <f xml:space="preserve"> SUMIFS('FS Semi'!$J28:$CV28, 'FS Semi'!$J$4:$CV$4, 'FS Ann'!AJ$4)</f>
        <v>0</v>
      </c>
      <c r="AK28" s="16">
        <f xml:space="preserve"> SUMIFS('FS Semi'!$J28:$CV28, 'FS Semi'!$J$4:$CV$4, 'FS Ann'!AK$4)</f>
        <v>0</v>
      </c>
      <c r="AL28" s="16">
        <f xml:space="preserve"> SUMIFS('FS Semi'!$J28:$CV28, 'FS Semi'!$J$4:$CV$4, 'FS Ann'!AL$4)</f>
        <v>0</v>
      </c>
      <c r="AM28" s="16">
        <f xml:space="preserve"> SUMIFS('FS Semi'!$J28:$CV28, 'FS Semi'!$J$4:$CV$4, 'FS Ann'!AM$4)</f>
        <v>0</v>
      </c>
      <c r="AN28" s="16">
        <f xml:space="preserve"> SUMIFS('FS Semi'!$J28:$CV28, 'FS Semi'!$J$4:$CV$4, 'FS Ann'!AN$4)</f>
        <v>0</v>
      </c>
      <c r="AO28" s="16">
        <f xml:space="preserve"> SUMIFS('FS Semi'!$J28:$CV28, 'FS Semi'!$J$4:$CV$4, 'FS Ann'!AO$4)</f>
        <v>0</v>
      </c>
      <c r="AP28" s="16">
        <f xml:space="preserve"> SUMIFS('FS Semi'!$J28:$CV28, 'FS Semi'!$J$4:$CV$4, 'FS Ann'!AP$4)</f>
        <v>0</v>
      </c>
      <c r="AQ28" s="16">
        <f xml:space="preserve"> SUMIFS('FS Semi'!$J28:$CV28, 'FS Semi'!$J$4:$CV$4, 'FS Ann'!AQ$4)</f>
        <v>0</v>
      </c>
      <c r="AR28" s="16">
        <f xml:space="preserve"> SUMIFS('FS Semi'!$J28:$CV28, 'FS Semi'!$J$4:$CV$4, 'FS Ann'!AR$4)</f>
        <v>0</v>
      </c>
      <c r="AS28" s="16">
        <f xml:space="preserve"> SUMIFS('FS Semi'!$J28:$CV28, 'FS Semi'!$J$4:$CV$4, 'FS Ann'!AS$4)</f>
        <v>0</v>
      </c>
      <c r="AT28" s="16">
        <f xml:space="preserve"> SUMIFS('FS Semi'!$J28:$CV28, 'FS Semi'!$J$4:$CV$4, 'FS Ann'!AT$4)</f>
        <v>0</v>
      </c>
      <c r="AU28" s="16">
        <f xml:space="preserve"> SUMIFS('FS Semi'!$J28:$CV28, 'FS Semi'!$J$4:$CV$4, 'FS Ann'!AU$4)</f>
        <v>0</v>
      </c>
      <c r="AV28" s="16">
        <f xml:space="preserve"> SUMIFS('FS Semi'!$J28:$CV28, 'FS Semi'!$J$4:$CV$4, 'FS Ann'!AV$4)</f>
        <v>0</v>
      </c>
      <c r="AW28" s="16">
        <f xml:space="preserve"> SUMIFS('FS Semi'!$J28:$CV28, 'FS Semi'!$J$4:$CV$4, 'FS Ann'!AW$4)</f>
        <v>0</v>
      </c>
      <c r="AX28" s="16">
        <f xml:space="preserve"> SUMIFS('FS Semi'!$J28:$CV28, 'FS Semi'!$J$4:$CV$4, 'FS Ann'!AX$4)</f>
        <v>0</v>
      </c>
      <c r="AY28" s="16">
        <f xml:space="preserve"> SUMIFS('FS Semi'!$J28:$CV28, 'FS Semi'!$J$4:$CV$4, 'FS Ann'!AY$4)</f>
        <v>0</v>
      </c>
      <c r="AZ28" s="16">
        <f xml:space="preserve"> SUMIFS('FS Semi'!$J28:$CV28, 'FS Semi'!$J$4:$CV$4, 'FS Ann'!AZ$4)</f>
        <v>0</v>
      </c>
      <c r="BA28" s="16">
        <f xml:space="preserve"> SUMIFS('FS Semi'!$J28:$CV28, 'FS Semi'!$J$4:$CV$4, 'FS Ann'!BA$4)</f>
        <v>0</v>
      </c>
      <c r="BB28" s="16">
        <f xml:space="preserve"> SUMIFS('FS Semi'!$J28:$CV28, 'FS Semi'!$J$4:$CV$4, 'FS Ann'!BB$4)</f>
        <v>0</v>
      </c>
    </row>
    <row r="29" spans="1:56" outlineLevel="1" x14ac:dyDescent="0.2">
      <c r="A29" s="1"/>
      <c r="B29" s="1"/>
      <c r="C29" s="19"/>
      <c r="D29" s="83"/>
      <c r="E29" s="84" t="s">
        <v>109</v>
      </c>
      <c r="F29" s="84"/>
      <c r="G29" s="382" t="str">
        <f xml:space="preserve"> SMU</f>
        <v>$ 000s</v>
      </c>
      <c r="H29" s="84">
        <f t="shared" si="1"/>
        <v>-139488.01257311381</v>
      </c>
      <c r="I29" s="84"/>
      <c r="J29" s="84">
        <f t="shared" ref="J29:BB29" si="10">J15 + SUM(J17:J28)</f>
        <v>0</v>
      </c>
      <c r="K29" s="84">
        <f t="shared" si="10"/>
        <v>0</v>
      </c>
      <c r="L29" s="84">
        <f t="shared" si="10"/>
        <v>0</v>
      </c>
      <c r="M29" s="84">
        <f t="shared" si="10"/>
        <v>-6396.3440004265995</v>
      </c>
      <c r="N29" s="84">
        <f t="shared" si="10"/>
        <v>-6221.7620586334178</v>
      </c>
      <c r="O29" s="84">
        <f t="shared" si="10"/>
        <v>-6122.3483510073838</v>
      </c>
      <c r="P29" s="84">
        <f t="shared" si="10"/>
        <v>-6068.5323436693634</v>
      </c>
      <c r="Q29" s="84">
        <f t="shared" si="10"/>
        <v>-5984.1960319136797</v>
      </c>
      <c r="R29" s="84">
        <f t="shared" si="10"/>
        <v>-6341.5369511970584</v>
      </c>
      <c r="S29" s="84">
        <f t="shared" si="10"/>
        <v>-6332.9197597139664</v>
      </c>
      <c r="T29" s="84">
        <f t="shared" si="10"/>
        <v>-6380.1580844477849</v>
      </c>
      <c r="U29" s="84">
        <f t="shared" si="10"/>
        <v>-6426.6771486215166</v>
      </c>
      <c r="V29" s="84">
        <f t="shared" si="10"/>
        <v>-6542.7045509395375</v>
      </c>
      <c r="W29" s="84">
        <f t="shared" si="10"/>
        <v>-7001.3814918362277</v>
      </c>
      <c r="X29" s="84">
        <f t="shared" si="10"/>
        <v>-7221.5746204671577</v>
      </c>
      <c r="Y29" s="84">
        <f t="shared" si="10"/>
        <v>-7484.486578183647</v>
      </c>
      <c r="Z29" s="84">
        <f t="shared" si="10"/>
        <v>-7843.2531029525253</v>
      </c>
      <c r="AA29" s="84">
        <f t="shared" si="10"/>
        <v>-8293.8169732177357</v>
      </c>
      <c r="AB29" s="84">
        <f t="shared" si="10"/>
        <v>-8871.3333443160427</v>
      </c>
      <c r="AC29" s="84">
        <f t="shared" si="10"/>
        <v>-9322.5422153565905</v>
      </c>
      <c r="AD29" s="84">
        <f t="shared" si="10"/>
        <v>-7495.3179656368156</v>
      </c>
      <c r="AE29" s="84">
        <f t="shared" si="10"/>
        <v>-6900.5121142096359</v>
      </c>
      <c r="AF29" s="84">
        <f t="shared" si="10"/>
        <v>-6236.6148863671442</v>
      </c>
      <c r="AG29" s="84">
        <f t="shared" si="10"/>
        <v>0</v>
      </c>
      <c r="AH29" s="84">
        <f t="shared" si="10"/>
        <v>0</v>
      </c>
      <c r="AI29" s="84">
        <f t="shared" si="10"/>
        <v>0</v>
      </c>
      <c r="AJ29" s="84">
        <f t="shared" si="10"/>
        <v>0</v>
      </c>
      <c r="AK29" s="84">
        <f t="shared" si="10"/>
        <v>0</v>
      </c>
      <c r="AL29" s="84">
        <f t="shared" si="10"/>
        <v>0</v>
      </c>
      <c r="AM29" s="84">
        <f t="shared" si="10"/>
        <v>0</v>
      </c>
      <c r="AN29" s="84">
        <f t="shared" si="10"/>
        <v>0</v>
      </c>
      <c r="AO29" s="84">
        <f t="shared" si="10"/>
        <v>0</v>
      </c>
      <c r="AP29" s="84">
        <f t="shared" si="10"/>
        <v>0</v>
      </c>
      <c r="AQ29" s="84">
        <f t="shared" si="10"/>
        <v>0</v>
      </c>
      <c r="AR29" s="84">
        <f t="shared" si="10"/>
        <v>0</v>
      </c>
      <c r="AS29" s="84">
        <f t="shared" si="10"/>
        <v>0</v>
      </c>
      <c r="AT29" s="84">
        <f t="shared" si="10"/>
        <v>0</v>
      </c>
      <c r="AU29" s="84">
        <f t="shared" si="10"/>
        <v>0</v>
      </c>
      <c r="AV29" s="84">
        <f t="shared" si="10"/>
        <v>0</v>
      </c>
      <c r="AW29" s="84">
        <f t="shared" si="10"/>
        <v>0</v>
      </c>
      <c r="AX29" s="84">
        <f t="shared" si="10"/>
        <v>0</v>
      </c>
      <c r="AY29" s="84">
        <f t="shared" si="10"/>
        <v>0</v>
      </c>
      <c r="AZ29" s="84">
        <f t="shared" si="10"/>
        <v>0</v>
      </c>
      <c r="BA29" s="84">
        <f t="shared" si="10"/>
        <v>0</v>
      </c>
      <c r="BB29" s="84">
        <f t="shared" si="10"/>
        <v>0</v>
      </c>
    </row>
    <row r="30" spans="1:56" outlineLevel="1" x14ac:dyDescent="0.2">
      <c r="A30" s="1"/>
      <c r="B30" s="1"/>
      <c r="C30" s="19"/>
      <c r="D30" s="83"/>
      <c r="E30" s="16"/>
      <c r="F30" s="16"/>
      <c r="G30" s="381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6" outlineLevel="1" x14ac:dyDescent="0.2">
      <c r="A31" s="1"/>
      <c r="B31" s="1"/>
      <c r="C31" s="19"/>
      <c r="D31" s="83"/>
      <c r="E31" s="16" t="str">
        <f xml:space="preserve"> 'FS Semi'!E31</f>
        <v>Corporate income tax</v>
      </c>
      <c r="F31" s="16">
        <f xml:space="preserve"> 'FS Semi'!F31</f>
        <v>0</v>
      </c>
      <c r="G31" s="381" t="str">
        <f xml:space="preserve"> 'FS Semi'!G31</f>
        <v>$ 000s</v>
      </c>
      <c r="H31" s="16">
        <f t="shared" si="1"/>
        <v>0</v>
      </c>
      <c r="I31" s="16"/>
      <c r="J31" s="16">
        <f xml:space="preserve"> SUMIFS('FS Semi'!$J31:$CV31, 'FS Semi'!$J$4:$CV$4, 'FS Ann'!J$4)</f>
        <v>0</v>
      </c>
      <c r="K31" s="16">
        <f xml:space="preserve"> SUMIFS('FS Semi'!$J31:$CV31, 'FS Semi'!$J$4:$CV$4, 'FS Ann'!K$4)</f>
        <v>0</v>
      </c>
      <c r="L31" s="16">
        <f xml:space="preserve"> SUMIFS('FS Semi'!$J31:$CV31, 'FS Semi'!$J$4:$CV$4, 'FS Ann'!L$4)</f>
        <v>0</v>
      </c>
      <c r="M31" s="16">
        <f xml:space="preserve"> SUMIFS('FS Semi'!$J31:$CV31, 'FS Semi'!$J$4:$CV$4, 'FS Ann'!M$4)</f>
        <v>0</v>
      </c>
      <c r="N31" s="16">
        <f xml:space="preserve"> SUMIFS('FS Semi'!$J31:$CV31, 'FS Semi'!$J$4:$CV$4, 'FS Ann'!N$4)</f>
        <v>0</v>
      </c>
      <c r="O31" s="16">
        <f xml:space="preserve"> SUMIFS('FS Semi'!$J31:$CV31, 'FS Semi'!$J$4:$CV$4, 'FS Ann'!O$4)</f>
        <v>0</v>
      </c>
      <c r="P31" s="16">
        <f xml:space="preserve"> SUMIFS('FS Semi'!$J31:$CV31, 'FS Semi'!$J$4:$CV$4, 'FS Ann'!P$4)</f>
        <v>0</v>
      </c>
      <c r="Q31" s="16">
        <f xml:space="preserve"> SUMIFS('FS Semi'!$J31:$CV31, 'FS Semi'!$J$4:$CV$4, 'FS Ann'!Q$4)</f>
        <v>0</v>
      </c>
      <c r="R31" s="16">
        <f xml:space="preserve"> SUMIFS('FS Semi'!$J31:$CV31, 'FS Semi'!$J$4:$CV$4, 'FS Ann'!R$4)</f>
        <v>0</v>
      </c>
      <c r="S31" s="16">
        <f xml:space="preserve"> SUMIFS('FS Semi'!$J31:$CV31, 'FS Semi'!$J$4:$CV$4, 'FS Ann'!S$4)</f>
        <v>0</v>
      </c>
      <c r="T31" s="16">
        <f xml:space="preserve"> SUMIFS('FS Semi'!$J31:$CV31, 'FS Semi'!$J$4:$CV$4, 'FS Ann'!T$4)</f>
        <v>0</v>
      </c>
      <c r="U31" s="16">
        <f xml:space="preserve"> SUMIFS('FS Semi'!$J31:$CV31, 'FS Semi'!$J$4:$CV$4, 'FS Ann'!U$4)</f>
        <v>0</v>
      </c>
      <c r="V31" s="16">
        <f xml:space="preserve"> SUMIFS('FS Semi'!$J31:$CV31, 'FS Semi'!$J$4:$CV$4, 'FS Ann'!V$4)</f>
        <v>0</v>
      </c>
      <c r="W31" s="16">
        <f xml:space="preserve"> SUMIFS('FS Semi'!$J31:$CV31, 'FS Semi'!$J$4:$CV$4, 'FS Ann'!W$4)</f>
        <v>0</v>
      </c>
      <c r="X31" s="16">
        <f xml:space="preserve"> SUMIFS('FS Semi'!$J31:$CV31, 'FS Semi'!$J$4:$CV$4, 'FS Ann'!X$4)</f>
        <v>0</v>
      </c>
      <c r="Y31" s="16">
        <f xml:space="preserve"> SUMIFS('FS Semi'!$J31:$CV31, 'FS Semi'!$J$4:$CV$4, 'FS Ann'!Y$4)</f>
        <v>0</v>
      </c>
      <c r="Z31" s="16">
        <f xml:space="preserve"> SUMIFS('FS Semi'!$J31:$CV31, 'FS Semi'!$J$4:$CV$4, 'FS Ann'!Z$4)</f>
        <v>0</v>
      </c>
      <c r="AA31" s="16">
        <f xml:space="preserve"> SUMIFS('FS Semi'!$J31:$CV31, 'FS Semi'!$J$4:$CV$4, 'FS Ann'!AA$4)</f>
        <v>0</v>
      </c>
      <c r="AB31" s="16">
        <f xml:space="preserve"> SUMIFS('FS Semi'!$J31:$CV31, 'FS Semi'!$J$4:$CV$4, 'FS Ann'!AB$4)</f>
        <v>0</v>
      </c>
      <c r="AC31" s="16">
        <f xml:space="preserve"> SUMIFS('FS Semi'!$J31:$CV31, 'FS Semi'!$J$4:$CV$4, 'FS Ann'!AC$4)</f>
        <v>0</v>
      </c>
      <c r="AD31" s="16">
        <f xml:space="preserve"> SUMIFS('FS Semi'!$J31:$CV31, 'FS Semi'!$J$4:$CV$4, 'FS Ann'!AD$4)</f>
        <v>0</v>
      </c>
      <c r="AE31" s="16">
        <f xml:space="preserve"> SUMIFS('FS Semi'!$J31:$CV31, 'FS Semi'!$J$4:$CV$4, 'FS Ann'!AE$4)</f>
        <v>0</v>
      </c>
      <c r="AF31" s="16">
        <f xml:space="preserve"> SUMIFS('FS Semi'!$J31:$CV31, 'FS Semi'!$J$4:$CV$4, 'FS Ann'!AF$4)</f>
        <v>0</v>
      </c>
      <c r="AG31" s="16">
        <f xml:space="preserve"> SUMIFS('FS Semi'!$J31:$CV31, 'FS Semi'!$J$4:$CV$4, 'FS Ann'!AG$4)</f>
        <v>0</v>
      </c>
      <c r="AH31" s="16">
        <f xml:space="preserve"> SUMIFS('FS Semi'!$J31:$CV31, 'FS Semi'!$J$4:$CV$4, 'FS Ann'!AH$4)</f>
        <v>0</v>
      </c>
      <c r="AI31" s="16">
        <f xml:space="preserve"> SUMIFS('FS Semi'!$J31:$CV31, 'FS Semi'!$J$4:$CV$4, 'FS Ann'!AI$4)</f>
        <v>0</v>
      </c>
      <c r="AJ31" s="16">
        <f xml:space="preserve"> SUMIFS('FS Semi'!$J31:$CV31, 'FS Semi'!$J$4:$CV$4, 'FS Ann'!AJ$4)</f>
        <v>0</v>
      </c>
      <c r="AK31" s="16">
        <f xml:space="preserve"> SUMIFS('FS Semi'!$J31:$CV31, 'FS Semi'!$J$4:$CV$4, 'FS Ann'!AK$4)</f>
        <v>0</v>
      </c>
      <c r="AL31" s="16">
        <f xml:space="preserve"> SUMIFS('FS Semi'!$J31:$CV31, 'FS Semi'!$J$4:$CV$4, 'FS Ann'!AL$4)</f>
        <v>0</v>
      </c>
      <c r="AM31" s="16">
        <f xml:space="preserve"> SUMIFS('FS Semi'!$J31:$CV31, 'FS Semi'!$J$4:$CV$4, 'FS Ann'!AM$4)</f>
        <v>0</v>
      </c>
      <c r="AN31" s="16">
        <f xml:space="preserve"> SUMIFS('FS Semi'!$J31:$CV31, 'FS Semi'!$J$4:$CV$4, 'FS Ann'!AN$4)</f>
        <v>0</v>
      </c>
      <c r="AO31" s="16">
        <f xml:space="preserve"> SUMIFS('FS Semi'!$J31:$CV31, 'FS Semi'!$J$4:$CV$4, 'FS Ann'!AO$4)</f>
        <v>0</v>
      </c>
      <c r="AP31" s="16">
        <f xml:space="preserve"> SUMIFS('FS Semi'!$J31:$CV31, 'FS Semi'!$J$4:$CV$4, 'FS Ann'!AP$4)</f>
        <v>0</v>
      </c>
      <c r="AQ31" s="16">
        <f xml:space="preserve"> SUMIFS('FS Semi'!$J31:$CV31, 'FS Semi'!$J$4:$CV$4, 'FS Ann'!AQ$4)</f>
        <v>0</v>
      </c>
      <c r="AR31" s="16">
        <f xml:space="preserve"> SUMIFS('FS Semi'!$J31:$CV31, 'FS Semi'!$J$4:$CV$4, 'FS Ann'!AR$4)</f>
        <v>0</v>
      </c>
      <c r="AS31" s="16">
        <f xml:space="preserve"> SUMIFS('FS Semi'!$J31:$CV31, 'FS Semi'!$J$4:$CV$4, 'FS Ann'!AS$4)</f>
        <v>0</v>
      </c>
      <c r="AT31" s="16">
        <f xml:space="preserve"> SUMIFS('FS Semi'!$J31:$CV31, 'FS Semi'!$J$4:$CV$4, 'FS Ann'!AT$4)</f>
        <v>0</v>
      </c>
      <c r="AU31" s="16">
        <f xml:space="preserve"> SUMIFS('FS Semi'!$J31:$CV31, 'FS Semi'!$J$4:$CV$4, 'FS Ann'!AU$4)</f>
        <v>0</v>
      </c>
      <c r="AV31" s="16">
        <f xml:space="preserve"> SUMIFS('FS Semi'!$J31:$CV31, 'FS Semi'!$J$4:$CV$4, 'FS Ann'!AV$4)</f>
        <v>0</v>
      </c>
      <c r="AW31" s="16">
        <f xml:space="preserve"> SUMIFS('FS Semi'!$J31:$CV31, 'FS Semi'!$J$4:$CV$4, 'FS Ann'!AW$4)</f>
        <v>0</v>
      </c>
      <c r="AX31" s="16">
        <f xml:space="preserve"> SUMIFS('FS Semi'!$J31:$CV31, 'FS Semi'!$J$4:$CV$4, 'FS Ann'!AX$4)</f>
        <v>0</v>
      </c>
      <c r="AY31" s="16">
        <f xml:space="preserve"> SUMIFS('FS Semi'!$J31:$CV31, 'FS Semi'!$J$4:$CV$4, 'FS Ann'!AY$4)</f>
        <v>0</v>
      </c>
      <c r="AZ31" s="16">
        <f xml:space="preserve"> SUMIFS('FS Semi'!$J31:$CV31, 'FS Semi'!$J$4:$CV$4, 'FS Ann'!AZ$4)</f>
        <v>0</v>
      </c>
      <c r="BA31" s="16">
        <f xml:space="preserve"> SUMIFS('FS Semi'!$J31:$CV31, 'FS Semi'!$J$4:$CV$4, 'FS Ann'!BA$4)</f>
        <v>0</v>
      </c>
      <c r="BB31" s="16">
        <f xml:space="preserve"> SUMIFS('FS Semi'!$J31:$CV31, 'FS Semi'!$J$4:$CV$4, 'FS Ann'!BB$4)</f>
        <v>0</v>
      </c>
    </row>
    <row r="32" spans="1:56" outlineLevel="1" x14ac:dyDescent="0.2">
      <c r="A32" s="1"/>
      <c r="B32" s="1"/>
      <c r="C32" s="19"/>
      <c r="D32" s="83"/>
      <c r="E32" s="16" t="str">
        <f xml:space="preserve"> 'FS Semi'!E32</f>
        <v>Deferred tax</v>
      </c>
      <c r="F32" s="16">
        <f xml:space="preserve"> 'FS Semi'!F32</f>
        <v>0</v>
      </c>
      <c r="G32" s="381" t="str">
        <f xml:space="preserve"> 'FS Semi'!G32</f>
        <v>$ 000s</v>
      </c>
      <c r="H32" s="16">
        <f t="shared" ref="H32" si="11" xml:space="preserve"> SUM(J32:BB32)</f>
        <v>7.503331289626658E-12</v>
      </c>
      <c r="I32" s="16"/>
      <c r="J32" s="16">
        <f xml:space="preserve"> SUMIFS('FS Semi'!$J32:$CV32, 'FS Semi'!$J$4:$CV$4, 'FS Ann'!J$4)</f>
        <v>0</v>
      </c>
      <c r="K32" s="16">
        <f xml:space="preserve"> SUMIFS('FS Semi'!$J32:$CV32, 'FS Semi'!$J$4:$CV$4, 'FS Ann'!K$4)</f>
        <v>0</v>
      </c>
      <c r="L32" s="16">
        <f xml:space="preserve"> SUMIFS('FS Semi'!$J32:$CV32, 'FS Semi'!$J$4:$CV$4, 'FS Ann'!L$4)</f>
        <v>0</v>
      </c>
      <c r="M32" s="16">
        <f xml:space="preserve"> SUMIFS('FS Semi'!$J32:$CV32, 'FS Semi'!$J$4:$CV$4, 'FS Ann'!M$4)</f>
        <v>-8909.4349285029202</v>
      </c>
      <c r="N32" s="16">
        <f xml:space="preserve"> SUMIFS('FS Semi'!$J32:$CV32, 'FS Semi'!$J$4:$CV$4, 'FS Ann'!N$4)</f>
        <v>-6600.9997956053949</v>
      </c>
      <c r="O32" s="16">
        <f xml:space="preserve"> SUMIFS('FS Semi'!$J32:$CV32, 'FS Semi'!$J$4:$CV$4, 'FS Ann'!O$4)</f>
        <v>-4731.1673379583972</v>
      </c>
      <c r="P32" s="16">
        <f xml:space="preserve"> SUMIFS('FS Semi'!$J32:$CV32, 'FS Semi'!$J$4:$CV$4, 'FS Ann'!P$4)</f>
        <v>-3216.6030472643324</v>
      </c>
      <c r="Q32" s="16">
        <f xml:space="preserve"> SUMIFS('FS Semi'!$J32:$CV32, 'FS Semi'!$J$4:$CV$4, 'FS Ann'!Q$4)</f>
        <v>-1989.8059718021382</v>
      </c>
      <c r="R32" s="16">
        <f xml:space="preserve"> SUMIFS('FS Semi'!$J32:$CV32, 'FS Semi'!$J$4:$CV$4, 'FS Ann'!R$4)</f>
        <v>-996.10034067776064</v>
      </c>
      <c r="S32" s="16">
        <f xml:space="preserve"> SUMIFS('FS Semi'!$J32:$CV32, 'FS Semi'!$J$4:$CV$4, 'FS Ann'!S$4)</f>
        <v>-191.19877946701507</v>
      </c>
      <c r="T32" s="16">
        <f xml:space="preserve"> SUMIFS('FS Semi'!$J32:$CV32, 'FS Semi'!$J$4:$CV$4, 'FS Ann'!T$4)</f>
        <v>460.77148511368853</v>
      </c>
      <c r="U32" s="16">
        <f xml:space="preserve"> SUMIFS('FS Semi'!$J32:$CV32, 'FS Semi'!$J$4:$CV$4, 'FS Ann'!U$4)</f>
        <v>988.8673994240587</v>
      </c>
      <c r="V32" s="16">
        <f xml:space="preserve"> SUMIFS('FS Semi'!$J32:$CV32, 'FS Semi'!$J$4:$CV$4, 'FS Ann'!V$4)</f>
        <v>1416.6250900154585</v>
      </c>
      <c r="W32" s="16">
        <f xml:space="preserve"> SUMIFS('FS Semi'!$J32:$CV32, 'FS Semi'!$J$4:$CV$4, 'FS Ann'!W$4)</f>
        <v>1763.108819394492</v>
      </c>
      <c r="X32" s="16">
        <f xml:space="preserve"> SUMIFS('FS Semi'!$J32:$CV32, 'FS Semi'!$J$4:$CV$4, 'FS Ann'!X$4)</f>
        <v>2043.7606401915093</v>
      </c>
      <c r="Y32" s="16">
        <f xml:space="preserve"> SUMIFS('FS Semi'!$J32:$CV32, 'FS Semi'!$J$4:$CV$4, 'FS Ann'!Y$4)</f>
        <v>2271.0886150370934</v>
      </c>
      <c r="Z32" s="16">
        <f xml:space="preserve"> SUMIFS('FS Semi'!$J32:$CV32, 'FS Semi'!$J$4:$CV$4, 'FS Ann'!Z$4)</f>
        <v>2455.2242746620168</v>
      </c>
      <c r="AA32" s="16">
        <f xml:space="preserve"> SUMIFS('FS Semi'!$J32:$CV32, 'FS Semi'!$J$4:$CV$4, 'FS Ann'!AA$4)</f>
        <v>2604.3741589582046</v>
      </c>
      <c r="AB32" s="16">
        <f xml:space="preserve"> SUMIFS('FS Semi'!$J32:$CV32, 'FS Semi'!$J$4:$CV$4, 'FS Ann'!AB$4)</f>
        <v>2725.1855652381164</v>
      </c>
      <c r="AC32" s="16">
        <f xml:space="preserve"> SUMIFS('FS Semi'!$J32:$CV32, 'FS Semi'!$J$4:$CV$4, 'FS Ann'!AC$4)</f>
        <v>2823.0428043248453</v>
      </c>
      <c r="AD32" s="16">
        <f xml:space="preserve"> SUMIFS('FS Semi'!$J32:$CV32, 'FS Semi'!$J$4:$CV$4, 'FS Ann'!AD$4)</f>
        <v>2616.0065794905108</v>
      </c>
      <c r="AE32" s="16">
        <f xml:space="preserve"> SUMIFS('FS Semi'!$J32:$CV32, 'FS Semi'!$J$4:$CV$4, 'FS Ann'!AE$4)</f>
        <v>2680.2107140553135</v>
      </c>
      <c r="AF32" s="16">
        <f xml:space="preserve"> SUMIFS('FS Semi'!$J32:$CV32, 'FS Semi'!$J$4:$CV$4, 'FS Ann'!AF$4)</f>
        <v>1787.044055372656</v>
      </c>
      <c r="AG32" s="16">
        <f xml:space="preserve"> SUMIFS('FS Semi'!$J32:$CV32, 'FS Semi'!$J$4:$CV$4, 'FS Ann'!AG$4)</f>
        <v>0</v>
      </c>
      <c r="AH32" s="16">
        <f xml:space="preserve"> SUMIFS('FS Semi'!$J32:$CV32, 'FS Semi'!$J$4:$CV$4, 'FS Ann'!AH$4)</f>
        <v>0</v>
      </c>
      <c r="AI32" s="16">
        <f xml:space="preserve"> SUMIFS('FS Semi'!$J32:$CV32, 'FS Semi'!$J$4:$CV$4, 'FS Ann'!AI$4)</f>
        <v>0</v>
      </c>
      <c r="AJ32" s="16">
        <f xml:space="preserve"> SUMIFS('FS Semi'!$J32:$CV32, 'FS Semi'!$J$4:$CV$4, 'FS Ann'!AJ$4)</f>
        <v>0</v>
      </c>
      <c r="AK32" s="16">
        <f xml:space="preserve"> SUMIFS('FS Semi'!$J32:$CV32, 'FS Semi'!$J$4:$CV$4, 'FS Ann'!AK$4)</f>
        <v>0</v>
      </c>
      <c r="AL32" s="16">
        <f xml:space="preserve"> SUMIFS('FS Semi'!$J32:$CV32, 'FS Semi'!$J$4:$CV$4, 'FS Ann'!AL$4)</f>
        <v>0</v>
      </c>
      <c r="AM32" s="16">
        <f xml:space="preserve"> SUMIFS('FS Semi'!$J32:$CV32, 'FS Semi'!$J$4:$CV$4, 'FS Ann'!AM$4)</f>
        <v>0</v>
      </c>
      <c r="AN32" s="16">
        <f xml:space="preserve"> SUMIFS('FS Semi'!$J32:$CV32, 'FS Semi'!$J$4:$CV$4, 'FS Ann'!AN$4)</f>
        <v>0</v>
      </c>
      <c r="AO32" s="16">
        <f xml:space="preserve"> SUMIFS('FS Semi'!$J32:$CV32, 'FS Semi'!$J$4:$CV$4, 'FS Ann'!AO$4)</f>
        <v>0</v>
      </c>
      <c r="AP32" s="16">
        <f xml:space="preserve"> SUMIFS('FS Semi'!$J32:$CV32, 'FS Semi'!$J$4:$CV$4, 'FS Ann'!AP$4)</f>
        <v>0</v>
      </c>
      <c r="AQ32" s="16">
        <f xml:space="preserve"> SUMIFS('FS Semi'!$J32:$CV32, 'FS Semi'!$J$4:$CV$4, 'FS Ann'!AQ$4)</f>
        <v>0</v>
      </c>
      <c r="AR32" s="16">
        <f xml:space="preserve"> SUMIFS('FS Semi'!$J32:$CV32, 'FS Semi'!$J$4:$CV$4, 'FS Ann'!AR$4)</f>
        <v>0</v>
      </c>
      <c r="AS32" s="16">
        <f xml:space="preserve"> SUMIFS('FS Semi'!$J32:$CV32, 'FS Semi'!$J$4:$CV$4, 'FS Ann'!AS$4)</f>
        <v>0</v>
      </c>
      <c r="AT32" s="16">
        <f xml:space="preserve"> SUMIFS('FS Semi'!$J32:$CV32, 'FS Semi'!$J$4:$CV$4, 'FS Ann'!AT$4)</f>
        <v>0</v>
      </c>
      <c r="AU32" s="16">
        <f xml:space="preserve"> SUMIFS('FS Semi'!$J32:$CV32, 'FS Semi'!$J$4:$CV$4, 'FS Ann'!AU$4)</f>
        <v>0</v>
      </c>
      <c r="AV32" s="16">
        <f xml:space="preserve"> SUMIFS('FS Semi'!$J32:$CV32, 'FS Semi'!$J$4:$CV$4, 'FS Ann'!AV$4)</f>
        <v>0</v>
      </c>
      <c r="AW32" s="16">
        <f xml:space="preserve"> SUMIFS('FS Semi'!$J32:$CV32, 'FS Semi'!$J$4:$CV$4, 'FS Ann'!AW$4)</f>
        <v>0</v>
      </c>
      <c r="AX32" s="16">
        <f xml:space="preserve"> SUMIFS('FS Semi'!$J32:$CV32, 'FS Semi'!$J$4:$CV$4, 'FS Ann'!AX$4)</f>
        <v>0</v>
      </c>
      <c r="AY32" s="16">
        <f xml:space="preserve"> SUMIFS('FS Semi'!$J32:$CV32, 'FS Semi'!$J$4:$CV$4, 'FS Ann'!AY$4)</f>
        <v>0</v>
      </c>
      <c r="AZ32" s="16">
        <f xml:space="preserve"> SUMIFS('FS Semi'!$J32:$CV32, 'FS Semi'!$J$4:$CV$4, 'FS Ann'!AZ$4)</f>
        <v>0</v>
      </c>
      <c r="BA32" s="16">
        <f xml:space="preserve"> SUMIFS('FS Semi'!$J32:$CV32, 'FS Semi'!$J$4:$CV$4, 'FS Ann'!BA$4)</f>
        <v>0</v>
      </c>
      <c r="BB32" s="16">
        <f xml:space="preserve"> SUMIFS('FS Semi'!$J32:$CV32, 'FS Semi'!$J$4:$CV$4, 'FS Ann'!BB$4)</f>
        <v>0</v>
      </c>
    </row>
    <row r="33" spans="1:56" outlineLevel="1" x14ac:dyDescent="0.2">
      <c r="A33" s="205"/>
      <c r="B33" s="205"/>
      <c r="C33" s="206"/>
      <c r="D33" s="209"/>
      <c r="E33" s="232" t="s">
        <v>110</v>
      </c>
      <c r="F33" s="232"/>
      <c r="G33" s="324" t="str">
        <f>SMU</f>
        <v>$ 000s</v>
      </c>
      <c r="H33" s="232">
        <f t="shared" si="1"/>
        <v>-139488.01257311384</v>
      </c>
      <c r="I33" s="232"/>
      <c r="J33" s="232">
        <f t="shared" ref="J33:BD33" si="12" xml:space="preserve"> J29 + SUM(J31:J32)</f>
        <v>0</v>
      </c>
      <c r="K33" s="232">
        <f t="shared" si="12"/>
        <v>0</v>
      </c>
      <c r="L33" s="232">
        <f t="shared" si="12"/>
        <v>0</v>
      </c>
      <c r="M33" s="232">
        <f xml:space="preserve"> M29 + SUM(M31:M32)</f>
        <v>-15305.77892892952</v>
      </c>
      <c r="N33" s="232">
        <f t="shared" si="12"/>
        <v>-12822.761854238812</v>
      </c>
      <c r="O33" s="232">
        <f t="shared" si="12"/>
        <v>-10853.515688965781</v>
      </c>
      <c r="P33" s="232">
        <f t="shared" si="12"/>
        <v>-9285.1353909336958</v>
      </c>
      <c r="Q33" s="232">
        <f t="shared" si="12"/>
        <v>-7974.0020037158174</v>
      </c>
      <c r="R33" s="232">
        <f t="shared" si="12"/>
        <v>-7337.6372918748193</v>
      </c>
      <c r="S33" s="232">
        <f t="shared" si="12"/>
        <v>-6524.1185391809813</v>
      </c>
      <c r="T33" s="232">
        <f t="shared" si="12"/>
        <v>-5919.386599334096</v>
      </c>
      <c r="U33" s="232">
        <f t="shared" si="12"/>
        <v>-5437.8097491974577</v>
      </c>
      <c r="V33" s="232">
        <f t="shared" si="12"/>
        <v>-5126.0794609240793</v>
      </c>
      <c r="W33" s="232">
        <f t="shared" si="12"/>
        <v>-5238.2726724417353</v>
      </c>
      <c r="X33" s="232">
        <f t="shared" si="12"/>
        <v>-5177.8139802756486</v>
      </c>
      <c r="Y33" s="232">
        <f t="shared" si="12"/>
        <v>-5213.3979631465536</v>
      </c>
      <c r="Z33" s="232">
        <f t="shared" si="12"/>
        <v>-5388.0288282905085</v>
      </c>
      <c r="AA33" s="232">
        <f t="shared" si="12"/>
        <v>-5689.4428142595316</v>
      </c>
      <c r="AB33" s="232">
        <f t="shared" si="12"/>
        <v>-6146.1477790779263</v>
      </c>
      <c r="AC33" s="232">
        <f t="shared" si="12"/>
        <v>-6499.4994110317457</v>
      </c>
      <c r="AD33" s="232">
        <f t="shared" si="12"/>
        <v>-4879.3113861463044</v>
      </c>
      <c r="AE33" s="232">
        <f t="shared" si="12"/>
        <v>-4220.3014001543224</v>
      </c>
      <c r="AF33" s="232">
        <f t="shared" si="12"/>
        <v>-4449.5708309944885</v>
      </c>
      <c r="AG33" s="232">
        <f t="shared" si="12"/>
        <v>0</v>
      </c>
      <c r="AH33" s="232">
        <f t="shared" si="12"/>
        <v>0</v>
      </c>
      <c r="AI33" s="232">
        <f t="shared" si="12"/>
        <v>0</v>
      </c>
      <c r="AJ33" s="232">
        <f t="shared" si="12"/>
        <v>0</v>
      </c>
      <c r="AK33" s="232">
        <f t="shared" si="12"/>
        <v>0</v>
      </c>
      <c r="AL33" s="232">
        <f t="shared" si="12"/>
        <v>0</v>
      </c>
      <c r="AM33" s="232">
        <f t="shared" si="12"/>
        <v>0</v>
      </c>
      <c r="AN33" s="232">
        <f t="shared" si="12"/>
        <v>0</v>
      </c>
      <c r="AO33" s="232">
        <f t="shared" si="12"/>
        <v>0</v>
      </c>
      <c r="AP33" s="232">
        <f t="shared" si="12"/>
        <v>0</v>
      </c>
      <c r="AQ33" s="232">
        <f t="shared" si="12"/>
        <v>0</v>
      </c>
      <c r="AR33" s="232">
        <f t="shared" si="12"/>
        <v>0</v>
      </c>
      <c r="AS33" s="232">
        <f t="shared" si="12"/>
        <v>0</v>
      </c>
      <c r="AT33" s="232">
        <f t="shared" si="12"/>
        <v>0</v>
      </c>
      <c r="AU33" s="232">
        <f t="shared" si="12"/>
        <v>0</v>
      </c>
      <c r="AV33" s="232">
        <f t="shared" si="12"/>
        <v>0</v>
      </c>
      <c r="AW33" s="232">
        <f t="shared" si="12"/>
        <v>0</v>
      </c>
      <c r="AX33" s="232">
        <f t="shared" si="12"/>
        <v>0</v>
      </c>
      <c r="AY33" s="232">
        <f t="shared" si="12"/>
        <v>0</v>
      </c>
      <c r="AZ33" s="232">
        <f t="shared" si="12"/>
        <v>0</v>
      </c>
      <c r="BA33" s="232">
        <f t="shared" si="12"/>
        <v>0</v>
      </c>
      <c r="BB33" s="232">
        <f t="shared" si="12"/>
        <v>0</v>
      </c>
      <c r="BC33" s="232">
        <f t="shared" si="12"/>
        <v>0</v>
      </c>
      <c r="BD33" s="232">
        <f t="shared" si="12"/>
        <v>0</v>
      </c>
    </row>
    <row r="34" spans="1:56" outlineLevel="1" x14ac:dyDescent="0.2">
      <c r="A34" s="1"/>
      <c r="B34" s="1"/>
      <c r="C34" s="19"/>
      <c r="D34" s="83"/>
      <c r="E34" s="16"/>
      <c r="F34" s="16"/>
      <c r="G34" s="381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6" outlineLevel="1" x14ac:dyDescent="0.2">
      <c r="A35" s="1"/>
      <c r="B35" s="1"/>
      <c r="C35" s="19"/>
      <c r="D35" s="83"/>
      <c r="E35" s="16" t="str">
        <f xml:space="preserve"> 'FS Semi'!E35</f>
        <v>Dividends paid</v>
      </c>
      <c r="F35" s="16">
        <f xml:space="preserve"> 'FS Semi'!F35</f>
        <v>0</v>
      </c>
      <c r="G35" s="381" t="str">
        <f xml:space="preserve"> 'FS Semi'!G35</f>
        <v>$ 000s</v>
      </c>
      <c r="H35" s="16">
        <f t="shared" si="1"/>
        <v>0</v>
      </c>
      <c r="I35" s="16"/>
      <c r="J35" s="16">
        <f xml:space="preserve"> SUMIFS('FS Semi'!$J35:$CV35, 'FS Semi'!$J$4:$CV$4, 'FS Ann'!J$4)</f>
        <v>0</v>
      </c>
      <c r="K35" s="16">
        <f xml:space="preserve"> SUMIFS('FS Semi'!$J35:$CV35, 'FS Semi'!$J$4:$CV$4, 'FS Ann'!K$4)</f>
        <v>0</v>
      </c>
      <c r="L35" s="16">
        <f xml:space="preserve"> SUMIFS('FS Semi'!$J35:$CV35, 'FS Semi'!$J$4:$CV$4, 'FS Ann'!L$4)</f>
        <v>0</v>
      </c>
      <c r="M35" s="16">
        <f xml:space="preserve"> SUMIFS('FS Semi'!$J35:$CV35, 'FS Semi'!$J$4:$CV$4, 'FS Ann'!M$4)</f>
        <v>0</v>
      </c>
      <c r="N35" s="16">
        <f xml:space="preserve"> SUMIFS('FS Semi'!$J35:$CV35, 'FS Semi'!$J$4:$CV$4, 'FS Ann'!N$4)</f>
        <v>0</v>
      </c>
      <c r="O35" s="16">
        <f xml:space="preserve"> SUMIFS('FS Semi'!$J35:$CV35, 'FS Semi'!$J$4:$CV$4, 'FS Ann'!O$4)</f>
        <v>0</v>
      </c>
      <c r="P35" s="16">
        <f xml:space="preserve"> SUMIFS('FS Semi'!$J35:$CV35, 'FS Semi'!$J$4:$CV$4, 'FS Ann'!P$4)</f>
        <v>0</v>
      </c>
      <c r="Q35" s="16">
        <f xml:space="preserve"> SUMIFS('FS Semi'!$J35:$CV35, 'FS Semi'!$J$4:$CV$4, 'FS Ann'!Q$4)</f>
        <v>0</v>
      </c>
      <c r="R35" s="16">
        <f xml:space="preserve"> SUMIFS('FS Semi'!$J35:$CV35, 'FS Semi'!$J$4:$CV$4, 'FS Ann'!R$4)</f>
        <v>0</v>
      </c>
      <c r="S35" s="16">
        <f xml:space="preserve"> SUMIFS('FS Semi'!$J35:$CV35, 'FS Semi'!$J$4:$CV$4, 'FS Ann'!S$4)</f>
        <v>0</v>
      </c>
      <c r="T35" s="16">
        <f xml:space="preserve"> SUMIFS('FS Semi'!$J35:$CV35, 'FS Semi'!$J$4:$CV$4, 'FS Ann'!T$4)</f>
        <v>0</v>
      </c>
      <c r="U35" s="16">
        <f xml:space="preserve"> SUMIFS('FS Semi'!$J35:$CV35, 'FS Semi'!$J$4:$CV$4, 'FS Ann'!U$4)</f>
        <v>0</v>
      </c>
      <c r="V35" s="16">
        <f xml:space="preserve"> SUMIFS('FS Semi'!$J35:$CV35, 'FS Semi'!$J$4:$CV$4, 'FS Ann'!V$4)</f>
        <v>0</v>
      </c>
      <c r="W35" s="16">
        <f xml:space="preserve"> SUMIFS('FS Semi'!$J35:$CV35, 'FS Semi'!$J$4:$CV$4, 'FS Ann'!W$4)</f>
        <v>0</v>
      </c>
      <c r="X35" s="16">
        <f xml:space="preserve"> SUMIFS('FS Semi'!$J35:$CV35, 'FS Semi'!$J$4:$CV$4, 'FS Ann'!X$4)</f>
        <v>0</v>
      </c>
      <c r="Y35" s="16">
        <f xml:space="preserve"> SUMIFS('FS Semi'!$J35:$CV35, 'FS Semi'!$J$4:$CV$4, 'FS Ann'!Y$4)</f>
        <v>0</v>
      </c>
      <c r="Z35" s="16">
        <f xml:space="preserve"> SUMIFS('FS Semi'!$J35:$CV35, 'FS Semi'!$J$4:$CV$4, 'FS Ann'!Z$4)</f>
        <v>0</v>
      </c>
      <c r="AA35" s="16">
        <f xml:space="preserve"> SUMIFS('FS Semi'!$J35:$CV35, 'FS Semi'!$J$4:$CV$4, 'FS Ann'!AA$4)</f>
        <v>0</v>
      </c>
      <c r="AB35" s="16">
        <f xml:space="preserve"> SUMIFS('FS Semi'!$J35:$CV35, 'FS Semi'!$J$4:$CV$4, 'FS Ann'!AB$4)</f>
        <v>0</v>
      </c>
      <c r="AC35" s="16">
        <f xml:space="preserve"> SUMIFS('FS Semi'!$J35:$CV35, 'FS Semi'!$J$4:$CV$4, 'FS Ann'!AC$4)</f>
        <v>0</v>
      </c>
      <c r="AD35" s="16">
        <f xml:space="preserve"> SUMIFS('FS Semi'!$J35:$CV35, 'FS Semi'!$J$4:$CV$4, 'FS Ann'!AD$4)</f>
        <v>0</v>
      </c>
      <c r="AE35" s="16">
        <f xml:space="preserve"> SUMIFS('FS Semi'!$J35:$CV35, 'FS Semi'!$J$4:$CV$4, 'FS Ann'!AE$4)</f>
        <v>0</v>
      </c>
      <c r="AF35" s="16">
        <f xml:space="preserve"> SUMIFS('FS Semi'!$J35:$CV35, 'FS Semi'!$J$4:$CV$4, 'FS Ann'!AF$4)</f>
        <v>0</v>
      </c>
      <c r="AG35" s="16">
        <f xml:space="preserve"> SUMIFS('FS Semi'!$J35:$CV35, 'FS Semi'!$J$4:$CV$4, 'FS Ann'!AG$4)</f>
        <v>0</v>
      </c>
      <c r="AH35" s="16">
        <f xml:space="preserve"> SUMIFS('FS Semi'!$J35:$CV35, 'FS Semi'!$J$4:$CV$4, 'FS Ann'!AH$4)</f>
        <v>0</v>
      </c>
      <c r="AI35" s="16">
        <f xml:space="preserve"> SUMIFS('FS Semi'!$J35:$CV35, 'FS Semi'!$J$4:$CV$4, 'FS Ann'!AI$4)</f>
        <v>0</v>
      </c>
      <c r="AJ35" s="16">
        <f xml:space="preserve"> SUMIFS('FS Semi'!$J35:$CV35, 'FS Semi'!$J$4:$CV$4, 'FS Ann'!AJ$4)</f>
        <v>0</v>
      </c>
      <c r="AK35" s="16">
        <f xml:space="preserve"> SUMIFS('FS Semi'!$J35:$CV35, 'FS Semi'!$J$4:$CV$4, 'FS Ann'!AK$4)</f>
        <v>0</v>
      </c>
      <c r="AL35" s="16">
        <f xml:space="preserve"> SUMIFS('FS Semi'!$J35:$CV35, 'FS Semi'!$J$4:$CV$4, 'FS Ann'!AL$4)</f>
        <v>0</v>
      </c>
      <c r="AM35" s="16">
        <f xml:space="preserve"> SUMIFS('FS Semi'!$J35:$CV35, 'FS Semi'!$J$4:$CV$4, 'FS Ann'!AM$4)</f>
        <v>0</v>
      </c>
      <c r="AN35" s="16">
        <f xml:space="preserve"> SUMIFS('FS Semi'!$J35:$CV35, 'FS Semi'!$J$4:$CV$4, 'FS Ann'!AN$4)</f>
        <v>0</v>
      </c>
      <c r="AO35" s="16">
        <f xml:space="preserve"> SUMIFS('FS Semi'!$J35:$CV35, 'FS Semi'!$J$4:$CV$4, 'FS Ann'!AO$4)</f>
        <v>0</v>
      </c>
      <c r="AP35" s="16">
        <f xml:space="preserve"> SUMIFS('FS Semi'!$J35:$CV35, 'FS Semi'!$J$4:$CV$4, 'FS Ann'!AP$4)</f>
        <v>0</v>
      </c>
      <c r="AQ35" s="16">
        <f xml:space="preserve"> SUMIFS('FS Semi'!$J35:$CV35, 'FS Semi'!$J$4:$CV$4, 'FS Ann'!AQ$4)</f>
        <v>0</v>
      </c>
      <c r="AR35" s="16">
        <f xml:space="preserve"> SUMIFS('FS Semi'!$J35:$CV35, 'FS Semi'!$J$4:$CV$4, 'FS Ann'!AR$4)</f>
        <v>0</v>
      </c>
      <c r="AS35" s="16">
        <f xml:space="preserve"> SUMIFS('FS Semi'!$J35:$CV35, 'FS Semi'!$J$4:$CV$4, 'FS Ann'!AS$4)</f>
        <v>0</v>
      </c>
      <c r="AT35" s="16">
        <f xml:space="preserve"> SUMIFS('FS Semi'!$J35:$CV35, 'FS Semi'!$J$4:$CV$4, 'FS Ann'!AT$4)</f>
        <v>0</v>
      </c>
      <c r="AU35" s="16">
        <f xml:space="preserve"> SUMIFS('FS Semi'!$J35:$CV35, 'FS Semi'!$J$4:$CV$4, 'FS Ann'!AU$4)</f>
        <v>0</v>
      </c>
      <c r="AV35" s="16">
        <f xml:space="preserve"> SUMIFS('FS Semi'!$J35:$CV35, 'FS Semi'!$J$4:$CV$4, 'FS Ann'!AV$4)</f>
        <v>0</v>
      </c>
      <c r="AW35" s="16">
        <f xml:space="preserve"> SUMIFS('FS Semi'!$J35:$CV35, 'FS Semi'!$J$4:$CV$4, 'FS Ann'!AW$4)</f>
        <v>0</v>
      </c>
      <c r="AX35" s="16">
        <f xml:space="preserve"> SUMIFS('FS Semi'!$J35:$CV35, 'FS Semi'!$J$4:$CV$4, 'FS Ann'!AX$4)</f>
        <v>0</v>
      </c>
      <c r="AY35" s="16">
        <f xml:space="preserve"> SUMIFS('FS Semi'!$J35:$CV35, 'FS Semi'!$J$4:$CV$4, 'FS Ann'!AY$4)</f>
        <v>0</v>
      </c>
      <c r="AZ35" s="16">
        <f xml:space="preserve"> SUMIFS('FS Semi'!$J35:$CV35, 'FS Semi'!$J$4:$CV$4, 'FS Ann'!AZ$4)</f>
        <v>0</v>
      </c>
      <c r="BA35" s="16">
        <f xml:space="preserve"> SUMIFS('FS Semi'!$J35:$CV35, 'FS Semi'!$J$4:$CV$4, 'FS Ann'!BA$4)</f>
        <v>0</v>
      </c>
      <c r="BB35" s="16">
        <f xml:space="preserve"> SUMIFS('FS Semi'!$J35:$CV35, 'FS Semi'!$J$4:$CV$4, 'FS Ann'!BB$4)</f>
        <v>0</v>
      </c>
    </row>
    <row r="36" spans="1:56" outlineLevel="1" x14ac:dyDescent="0.2">
      <c r="A36" s="1"/>
      <c r="B36" s="1"/>
      <c r="C36" s="19"/>
      <c r="D36" s="83"/>
      <c r="E36" s="84" t="s">
        <v>53</v>
      </c>
      <c r="F36" s="84"/>
      <c r="G36" s="324" t="str">
        <f>SMU</f>
        <v>$ 000s</v>
      </c>
      <c r="H36" s="84">
        <f t="shared" si="1"/>
        <v>-139488.01257311384</v>
      </c>
      <c r="I36" s="84"/>
      <c r="J36" s="84">
        <f t="shared" ref="J36:BB36" si="13" xml:space="preserve"> J33 + J35</f>
        <v>0</v>
      </c>
      <c r="K36" s="84">
        <f t="shared" si="13"/>
        <v>0</v>
      </c>
      <c r="L36" s="84">
        <f t="shared" si="13"/>
        <v>0</v>
      </c>
      <c r="M36" s="84">
        <f xml:space="preserve"> M33 + M35</f>
        <v>-15305.77892892952</v>
      </c>
      <c r="N36" s="84">
        <f t="shared" si="13"/>
        <v>-12822.761854238812</v>
      </c>
      <c r="O36" s="84">
        <f t="shared" si="13"/>
        <v>-10853.515688965781</v>
      </c>
      <c r="P36" s="84">
        <f t="shared" si="13"/>
        <v>-9285.1353909336958</v>
      </c>
      <c r="Q36" s="84">
        <f t="shared" si="13"/>
        <v>-7974.0020037158174</v>
      </c>
      <c r="R36" s="84">
        <f t="shared" si="13"/>
        <v>-7337.6372918748193</v>
      </c>
      <c r="S36" s="84">
        <f t="shared" si="13"/>
        <v>-6524.1185391809813</v>
      </c>
      <c r="T36" s="84">
        <f t="shared" si="13"/>
        <v>-5919.386599334096</v>
      </c>
      <c r="U36" s="84">
        <f t="shared" si="13"/>
        <v>-5437.8097491974577</v>
      </c>
      <c r="V36" s="84">
        <f t="shared" si="13"/>
        <v>-5126.0794609240793</v>
      </c>
      <c r="W36" s="84">
        <f t="shared" si="13"/>
        <v>-5238.2726724417353</v>
      </c>
      <c r="X36" s="84">
        <f t="shared" si="13"/>
        <v>-5177.8139802756486</v>
      </c>
      <c r="Y36" s="84">
        <f t="shared" si="13"/>
        <v>-5213.3979631465536</v>
      </c>
      <c r="Z36" s="84">
        <f t="shared" si="13"/>
        <v>-5388.0288282905085</v>
      </c>
      <c r="AA36" s="84">
        <f t="shared" si="13"/>
        <v>-5689.4428142595316</v>
      </c>
      <c r="AB36" s="84">
        <f t="shared" si="13"/>
        <v>-6146.1477790779263</v>
      </c>
      <c r="AC36" s="84">
        <f t="shared" si="13"/>
        <v>-6499.4994110317457</v>
      </c>
      <c r="AD36" s="84">
        <f t="shared" si="13"/>
        <v>-4879.3113861463044</v>
      </c>
      <c r="AE36" s="84">
        <f t="shared" si="13"/>
        <v>-4220.3014001543224</v>
      </c>
      <c r="AF36" s="84">
        <f t="shared" si="13"/>
        <v>-4449.5708309944885</v>
      </c>
      <c r="AG36" s="84">
        <f t="shared" si="13"/>
        <v>0</v>
      </c>
      <c r="AH36" s="84">
        <f t="shared" si="13"/>
        <v>0</v>
      </c>
      <c r="AI36" s="84">
        <f t="shared" si="13"/>
        <v>0</v>
      </c>
      <c r="AJ36" s="84">
        <f t="shared" si="13"/>
        <v>0</v>
      </c>
      <c r="AK36" s="84">
        <f t="shared" si="13"/>
        <v>0</v>
      </c>
      <c r="AL36" s="84">
        <f t="shared" si="13"/>
        <v>0</v>
      </c>
      <c r="AM36" s="84">
        <f t="shared" si="13"/>
        <v>0</v>
      </c>
      <c r="AN36" s="84">
        <f t="shared" si="13"/>
        <v>0</v>
      </c>
      <c r="AO36" s="84">
        <f t="shared" si="13"/>
        <v>0</v>
      </c>
      <c r="AP36" s="84">
        <f t="shared" si="13"/>
        <v>0</v>
      </c>
      <c r="AQ36" s="84">
        <f t="shared" si="13"/>
        <v>0</v>
      </c>
      <c r="AR36" s="84">
        <f t="shared" si="13"/>
        <v>0</v>
      </c>
      <c r="AS36" s="84">
        <f t="shared" si="13"/>
        <v>0</v>
      </c>
      <c r="AT36" s="84">
        <f t="shared" si="13"/>
        <v>0</v>
      </c>
      <c r="AU36" s="84">
        <f t="shared" si="13"/>
        <v>0</v>
      </c>
      <c r="AV36" s="84">
        <f t="shared" si="13"/>
        <v>0</v>
      </c>
      <c r="AW36" s="84">
        <f t="shared" si="13"/>
        <v>0</v>
      </c>
      <c r="AX36" s="84">
        <f t="shared" si="13"/>
        <v>0</v>
      </c>
      <c r="AY36" s="84">
        <f t="shared" si="13"/>
        <v>0</v>
      </c>
      <c r="AZ36" s="84">
        <f t="shared" si="13"/>
        <v>0</v>
      </c>
      <c r="BA36" s="84">
        <f t="shared" si="13"/>
        <v>0</v>
      </c>
      <c r="BB36" s="84">
        <f t="shared" si="13"/>
        <v>0</v>
      </c>
    </row>
    <row r="37" spans="1:56" outlineLevel="1" x14ac:dyDescent="0.2">
      <c r="A37" s="1"/>
      <c r="B37" s="1"/>
      <c r="C37" s="19"/>
      <c r="D37" s="83"/>
      <c r="E37" s="16"/>
      <c r="F37" s="16"/>
      <c r="G37" s="381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6" x14ac:dyDescent="0.2">
      <c r="A38" s="1"/>
      <c r="B38" s="1"/>
      <c r="C38" s="19"/>
      <c r="D38" s="83"/>
      <c r="E38" s="16"/>
      <c r="F38" s="16"/>
      <c r="G38" s="381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6" x14ac:dyDescent="0.2">
      <c r="A39" s="1" t="s">
        <v>54</v>
      </c>
      <c r="B39" s="1"/>
      <c r="C39" s="19"/>
      <c r="D39" s="83"/>
      <c r="E39" s="16"/>
      <c r="F39" s="16"/>
      <c r="G39" s="381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6" outlineLevel="1" x14ac:dyDescent="0.2">
      <c r="A40" s="1"/>
      <c r="B40" s="1"/>
      <c r="C40" s="19"/>
      <c r="D40" s="83"/>
      <c r="E40" s="16"/>
      <c r="F40" s="16"/>
      <c r="G40" s="381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6" outlineLevel="1" x14ac:dyDescent="0.2">
      <c r="A41" s="1"/>
      <c r="B41" s="1"/>
      <c r="C41" s="19"/>
      <c r="D41" s="83"/>
      <c r="E41" s="16" t="str">
        <f xml:space="preserve"> 'FS Semi'!E41</f>
        <v>Cash received from invoices</v>
      </c>
      <c r="F41" s="16">
        <f xml:space="preserve"> 'FS Semi'!F41</f>
        <v>0</v>
      </c>
      <c r="G41" s="381" t="str">
        <f xml:space="preserve"> 'FS Semi'!G41</f>
        <v>$ 000s</v>
      </c>
      <c r="H41" s="16">
        <f t="shared" ref="H41:H96" si="14" xml:space="preserve"> SUM(J41:BB41)</f>
        <v>792204.22663711885</v>
      </c>
      <c r="I41" s="16"/>
      <c r="J41" s="16">
        <f xml:space="preserve"> SUMIFS('FS Semi'!$J41:$CV41, 'FS Semi'!$J$4:$CV$4, 'FS Ann'!J$4)</f>
        <v>0</v>
      </c>
      <c r="K41" s="16">
        <f xml:space="preserve"> SUMIFS('FS Semi'!$J41:$CV41, 'FS Semi'!$J$4:$CV$4, 'FS Ann'!K$4)</f>
        <v>0</v>
      </c>
      <c r="L41" s="16">
        <f xml:space="preserve"> SUMIFS('FS Semi'!$J41:$CV41, 'FS Semi'!$J$4:$CV$4, 'FS Ann'!L$4)</f>
        <v>0</v>
      </c>
      <c r="M41" s="16">
        <f xml:space="preserve"> SUMIFS('FS Semi'!$J41:$CV41, 'FS Semi'!$J$4:$CV$4, 'FS Ann'!M$4)</f>
        <v>35204.632432530969</v>
      </c>
      <c r="N41" s="16">
        <f xml:space="preserve"> SUMIFS('FS Semi'!$J41:$CV41, 'FS Semi'!$J$4:$CV$4, 'FS Ann'!N$4)</f>
        <v>40145.341700638077</v>
      </c>
      <c r="O41" s="16">
        <f xml:space="preserve"> SUMIFS('FS Semi'!$J41:$CV41, 'FS Semi'!$J$4:$CV$4, 'FS Ann'!O$4)</f>
        <v>40080.841162670418</v>
      </c>
      <c r="P41" s="16">
        <f xml:space="preserve"> SUMIFS('FS Semi'!$J41:$CV41, 'FS Semi'!$J$4:$CV$4, 'FS Ann'!P$4)</f>
        <v>40044.076893514524</v>
      </c>
      <c r="Q41" s="16">
        <f xml:space="preserve"> SUMIFS('FS Semi'!$J41:$CV41, 'FS Semi'!$J$4:$CV$4, 'FS Ann'!Q$4)</f>
        <v>39925.746124239507</v>
      </c>
      <c r="R41" s="16">
        <f xml:space="preserve"> SUMIFS('FS Semi'!$J41:$CV41, 'FS Semi'!$J$4:$CV$4, 'FS Ann'!R$4)</f>
        <v>39889.813656618833</v>
      </c>
      <c r="S41" s="16">
        <f xml:space="preserve"> SUMIFS('FS Semi'!$J41:$CV41, 'FS Semi'!$J$4:$CV$4, 'FS Ann'!S$4)</f>
        <v>39826.976887530589</v>
      </c>
      <c r="T41" s="16">
        <f xml:space="preserve"> SUMIFS('FS Semi'!$J41:$CV41, 'FS Semi'!$J$4:$CV$4, 'FS Ann'!T$4)</f>
        <v>39791.721689264792</v>
      </c>
      <c r="U41" s="16">
        <f xml:space="preserve"> SUMIFS('FS Semi'!$J41:$CV41, 'FS Semi'!$J$4:$CV$4, 'FS Ann'!U$4)</f>
        <v>39675.43404180267</v>
      </c>
      <c r="V41" s="16">
        <f xml:space="preserve"> SUMIFS('FS Semi'!$J41:$CV41, 'FS Semi'!$J$4:$CV$4, 'FS Ann'!V$4)</f>
        <v>39641.046473510243</v>
      </c>
      <c r="W41" s="16">
        <f xml:space="preserve"> SUMIFS('FS Semi'!$J41:$CV41, 'FS Semi'!$J$4:$CV$4, 'FS Ann'!W$4)</f>
        <v>39579.945142314973</v>
      </c>
      <c r="X41" s="16">
        <f xml:space="preserve"> SUMIFS('FS Semi'!$J41:$CV41, 'FS Semi'!$J$4:$CV$4, 'FS Ann'!X$4)</f>
        <v>39546.276793649908</v>
      </c>
      <c r="Y41" s="16">
        <f xml:space="preserve"> SUMIFS('FS Semi'!$J41:$CV41, 'FS Semi'!$J$4:$CV$4, 'FS Ann'!Y$4)</f>
        <v>39432.097289677942</v>
      </c>
      <c r="Z41" s="16">
        <f xml:space="preserve"> SUMIFS('FS Semi'!$J41:$CV41, 'FS Semi'!$J$4:$CV$4, 'FS Ann'!Z$4)</f>
        <v>39399.335247684881</v>
      </c>
      <c r="AA41" s="16">
        <f xml:space="preserve"> SUMIFS('FS Semi'!$J41:$CV41, 'FS Semi'!$J$4:$CV$4, 'FS Ann'!AA$4)</f>
        <v>39340.046720813836</v>
      </c>
      <c r="AB41" s="16">
        <f xml:space="preserve"> SUMIFS('FS Semi'!$J41:$CV41, 'FS Semi'!$J$4:$CV$4, 'FS Ann'!AB$4)</f>
        <v>39308.049009337599</v>
      </c>
      <c r="AC41" s="16">
        <f xml:space="preserve"> SUMIFS('FS Semi'!$J41:$CV41, 'FS Semi'!$J$4:$CV$4, 'FS Ann'!AC$4)</f>
        <v>39196.048153088355</v>
      </c>
      <c r="AD41" s="16">
        <f xml:space="preserve"> SUMIFS('FS Semi'!$J41:$CV41, 'FS Semi'!$J$4:$CV$4, 'FS Ann'!AD$4)</f>
        <v>39164.998481869596</v>
      </c>
      <c r="AE41" s="16">
        <f xml:space="preserve"> SUMIFS('FS Semi'!$J41:$CV41, 'FS Semi'!$J$4:$CV$4, 'FS Ann'!AE$4)</f>
        <v>39107.606240490612</v>
      </c>
      <c r="AF41" s="16">
        <f xml:space="preserve"> SUMIFS('FS Semi'!$J41:$CV41, 'FS Semi'!$J$4:$CV$4, 'FS Ann'!AF$4)</f>
        <v>43904.192495870659</v>
      </c>
      <c r="AG41" s="16">
        <f xml:space="preserve"> SUMIFS('FS Semi'!$J41:$CV41, 'FS Semi'!$J$4:$CV$4, 'FS Ann'!AG$4)</f>
        <v>0</v>
      </c>
      <c r="AH41" s="16">
        <f xml:space="preserve"> SUMIFS('FS Semi'!$J41:$CV41, 'FS Semi'!$J$4:$CV$4, 'FS Ann'!AH$4)</f>
        <v>0</v>
      </c>
      <c r="AI41" s="16">
        <f xml:space="preserve"> SUMIFS('FS Semi'!$J41:$CV41, 'FS Semi'!$J$4:$CV$4, 'FS Ann'!AI$4)</f>
        <v>0</v>
      </c>
      <c r="AJ41" s="16">
        <f xml:space="preserve"> SUMIFS('FS Semi'!$J41:$CV41, 'FS Semi'!$J$4:$CV$4, 'FS Ann'!AJ$4)</f>
        <v>0</v>
      </c>
      <c r="AK41" s="16">
        <f xml:space="preserve"> SUMIFS('FS Semi'!$J41:$CV41, 'FS Semi'!$J$4:$CV$4, 'FS Ann'!AK$4)</f>
        <v>0</v>
      </c>
      <c r="AL41" s="16">
        <f xml:space="preserve"> SUMIFS('FS Semi'!$J41:$CV41, 'FS Semi'!$J$4:$CV$4, 'FS Ann'!AL$4)</f>
        <v>0</v>
      </c>
      <c r="AM41" s="16">
        <f xml:space="preserve"> SUMIFS('FS Semi'!$J41:$CV41, 'FS Semi'!$J$4:$CV$4, 'FS Ann'!AM$4)</f>
        <v>0</v>
      </c>
      <c r="AN41" s="16">
        <f xml:space="preserve"> SUMIFS('FS Semi'!$J41:$CV41, 'FS Semi'!$J$4:$CV$4, 'FS Ann'!AN$4)</f>
        <v>0</v>
      </c>
      <c r="AO41" s="16">
        <f xml:space="preserve"> SUMIFS('FS Semi'!$J41:$CV41, 'FS Semi'!$J$4:$CV$4, 'FS Ann'!AO$4)</f>
        <v>0</v>
      </c>
      <c r="AP41" s="16">
        <f xml:space="preserve"> SUMIFS('FS Semi'!$J41:$CV41, 'FS Semi'!$J$4:$CV$4, 'FS Ann'!AP$4)</f>
        <v>0</v>
      </c>
      <c r="AQ41" s="16">
        <f xml:space="preserve"> SUMIFS('FS Semi'!$J41:$CV41, 'FS Semi'!$J$4:$CV$4, 'FS Ann'!AQ$4)</f>
        <v>0</v>
      </c>
      <c r="AR41" s="16">
        <f xml:space="preserve"> SUMIFS('FS Semi'!$J41:$CV41, 'FS Semi'!$J$4:$CV$4, 'FS Ann'!AR$4)</f>
        <v>0</v>
      </c>
      <c r="AS41" s="16">
        <f xml:space="preserve"> SUMIFS('FS Semi'!$J41:$CV41, 'FS Semi'!$J$4:$CV$4, 'FS Ann'!AS$4)</f>
        <v>0</v>
      </c>
      <c r="AT41" s="16">
        <f xml:space="preserve"> SUMIFS('FS Semi'!$J41:$CV41, 'FS Semi'!$J$4:$CV$4, 'FS Ann'!AT$4)</f>
        <v>0</v>
      </c>
      <c r="AU41" s="16">
        <f xml:space="preserve"> SUMIFS('FS Semi'!$J41:$CV41, 'FS Semi'!$J$4:$CV$4, 'FS Ann'!AU$4)</f>
        <v>0</v>
      </c>
      <c r="AV41" s="16">
        <f xml:space="preserve"> SUMIFS('FS Semi'!$J41:$CV41, 'FS Semi'!$J$4:$CV$4, 'FS Ann'!AV$4)</f>
        <v>0</v>
      </c>
      <c r="AW41" s="16">
        <f xml:space="preserve"> SUMIFS('FS Semi'!$J41:$CV41, 'FS Semi'!$J$4:$CV$4, 'FS Ann'!AW$4)</f>
        <v>0</v>
      </c>
      <c r="AX41" s="16">
        <f xml:space="preserve"> SUMIFS('FS Semi'!$J41:$CV41, 'FS Semi'!$J$4:$CV$4, 'FS Ann'!AX$4)</f>
        <v>0</v>
      </c>
      <c r="AY41" s="16">
        <f xml:space="preserve"> SUMIFS('FS Semi'!$J41:$CV41, 'FS Semi'!$J$4:$CV$4, 'FS Ann'!AY$4)</f>
        <v>0</v>
      </c>
      <c r="AZ41" s="16">
        <f xml:space="preserve"> SUMIFS('FS Semi'!$J41:$CV41, 'FS Semi'!$J$4:$CV$4, 'FS Ann'!AZ$4)</f>
        <v>0</v>
      </c>
      <c r="BA41" s="16">
        <f xml:space="preserve"> SUMIFS('FS Semi'!$J41:$CV41, 'FS Semi'!$J$4:$CV$4, 'FS Ann'!BA$4)</f>
        <v>0</v>
      </c>
      <c r="BB41" s="16">
        <f xml:space="preserve"> SUMIFS('FS Semi'!$J41:$CV41, 'FS Semi'!$J$4:$CV$4, 'FS Ann'!BB$4)</f>
        <v>0</v>
      </c>
    </row>
    <row r="42" spans="1:56" outlineLevel="1" x14ac:dyDescent="0.2">
      <c r="A42" s="1"/>
      <c r="B42" s="1"/>
      <c r="C42" s="19"/>
      <c r="D42" s="83"/>
      <c r="E42" s="16" t="str">
        <f xml:space="preserve"> 'FS Semi'!E42</f>
        <v>Early generation revenue received</v>
      </c>
      <c r="F42" s="16">
        <f xml:space="preserve"> 'FS Semi'!F42</f>
        <v>0</v>
      </c>
      <c r="G42" s="381" t="str">
        <f xml:space="preserve"> 'FS Semi'!G42</f>
        <v>$ 000s</v>
      </c>
      <c r="H42" s="16">
        <f t="shared" ref="H42" si="15" xml:space="preserve"> SUM(J42:BB42)</f>
        <v>13930</v>
      </c>
      <c r="I42" s="16"/>
      <c r="J42" s="16">
        <f xml:space="preserve"> SUMIFS('FS Semi'!$J42:$CV42, 'FS Semi'!$J$4:$CV$4, 'FS Ann'!J$4)</f>
        <v>0</v>
      </c>
      <c r="K42" s="16">
        <f xml:space="preserve"> SUMIFS('FS Semi'!$J42:$CV42, 'FS Semi'!$J$4:$CV$4, 'FS Ann'!K$4)</f>
        <v>0</v>
      </c>
      <c r="L42" s="16">
        <f xml:space="preserve"> SUMIFS('FS Semi'!$J42:$CV42, 'FS Semi'!$J$4:$CV$4, 'FS Ann'!L$4)</f>
        <v>11940</v>
      </c>
      <c r="M42" s="16">
        <f xml:space="preserve"> SUMIFS('FS Semi'!$J42:$CV42, 'FS Semi'!$J$4:$CV$4, 'FS Ann'!M$4)</f>
        <v>1990</v>
      </c>
      <c r="N42" s="16">
        <f xml:space="preserve"> SUMIFS('FS Semi'!$J42:$CV42, 'FS Semi'!$J$4:$CV$4, 'FS Ann'!N$4)</f>
        <v>0</v>
      </c>
      <c r="O42" s="16">
        <f xml:space="preserve"> SUMIFS('FS Semi'!$J42:$CV42, 'FS Semi'!$J$4:$CV$4, 'FS Ann'!O$4)</f>
        <v>0</v>
      </c>
      <c r="P42" s="16">
        <f xml:space="preserve"> SUMIFS('FS Semi'!$J42:$CV42, 'FS Semi'!$J$4:$CV$4, 'FS Ann'!P$4)</f>
        <v>0</v>
      </c>
      <c r="Q42" s="16">
        <f xml:space="preserve"> SUMIFS('FS Semi'!$J42:$CV42, 'FS Semi'!$J$4:$CV$4, 'FS Ann'!Q$4)</f>
        <v>0</v>
      </c>
      <c r="R42" s="16">
        <f xml:space="preserve"> SUMIFS('FS Semi'!$J42:$CV42, 'FS Semi'!$J$4:$CV$4, 'FS Ann'!R$4)</f>
        <v>0</v>
      </c>
      <c r="S42" s="16">
        <f xml:space="preserve"> SUMIFS('FS Semi'!$J42:$CV42, 'FS Semi'!$J$4:$CV$4, 'FS Ann'!S$4)</f>
        <v>0</v>
      </c>
      <c r="T42" s="16">
        <f xml:space="preserve"> SUMIFS('FS Semi'!$J42:$CV42, 'FS Semi'!$J$4:$CV$4, 'FS Ann'!T$4)</f>
        <v>0</v>
      </c>
      <c r="U42" s="16">
        <f xml:space="preserve"> SUMIFS('FS Semi'!$J42:$CV42, 'FS Semi'!$J$4:$CV$4, 'FS Ann'!U$4)</f>
        <v>0</v>
      </c>
      <c r="V42" s="16">
        <f xml:space="preserve"> SUMIFS('FS Semi'!$J42:$CV42, 'FS Semi'!$J$4:$CV$4, 'FS Ann'!V$4)</f>
        <v>0</v>
      </c>
      <c r="W42" s="16">
        <f xml:space="preserve"> SUMIFS('FS Semi'!$J42:$CV42, 'FS Semi'!$J$4:$CV$4, 'FS Ann'!W$4)</f>
        <v>0</v>
      </c>
      <c r="X42" s="16">
        <f xml:space="preserve"> SUMIFS('FS Semi'!$J42:$CV42, 'FS Semi'!$J$4:$CV$4, 'FS Ann'!X$4)</f>
        <v>0</v>
      </c>
      <c r="Y42" s="16">
        <f xml:space="preserve"> SUMIFS('FS Semi'!$J42:$CV42, 'FS Semi'!$J$4:$CV$4, 'FS Ann'!Y$4)</f>
        <v>0</v>
      </c>
      <c r="Z42" s="16">
        <f xml:space="preserve"> SUMIFS('FS Semi'!$J42:$CV42, 'FS Semi'!$J$4:$CV$4, 'FS Ann'!Z$4)</f>
        <v>0</v>
      </c>
      <c r="AA42" s="16">
        <f xml:space="preserve"> SUMIFS('FS Semi'!$J42:$CV42, 'FS Semi'!$J$4:$CV$4, 'FS Ann'!AA$4)</f>
        <v>0</v>
      </c>
      <c r="AB42" s="16">
        <f xml:space="preserve"> SUMIFS('FS Semi'!$J42:$CV42, 'FS Semi'!$J$4:$CV$4, 'FS Ann'!AB$4)</f>
        <v>0</v>
      </c>
      <c r="AC42" s="16">
        <f xml:space="preserve"> SUMIFS('FS Semi'!$J42:$CV42, 'FS Semi'!$J$4:$CV$4, 'FS Ann'!AC$4)</f>
        <v>0</v>
      </c>
      <c r="AD42" s="16">
        <f xml:space="preserve"> SUMIFS('FS Semi'!$J42:$CV42, 'FS Semi'!$J$4:$CV$4, 'FS Ann'!AD$4)</f>
        <v>0</v>
      </c>
      <c r="AE42" s="16">
        <f xml:space="preserve"> SUMIFS('FS Semi'!$J42:$CV42, 'FS Semi'!$J$4:$CV$4, 'FS Ann'!AE$4)</f>
        <v>0</v>
      </c>
      <c r="AF42" s="16">
        <f xml:space="preserve"> SUMIFS('FS Semi'!$J42:$CV42, 'FS Semi'!$J$4:$CV$4, 'FS Ann'!AF$4)</f>
        <v>0</v>
      </c>
      <c r="AG42" s="16">
        <f xml:space="preserve"> SUMIFS('FS Semi'!$J42:$CV42, 'FS Semi'!$J$4:$CV$4, 'FS Ann'!AG$4)</f>
        <v>0</v>
      </c>
      <c r="AH42" s="16">
        <f xml:space="preserve"> SUMIFS('FS Semi'!$J42:$CV42, 'FS Semi'!$J$4:$CV$4, 'FS Ann'!AH$4)</f>
        <v>0</v>
      </c>
      <c r="AI42" s="16">
        <f xml:space="preserve"> SUMIFS('FS Semi'!$J42:$CV42, 'FS Semi'!$J$4:$CV$4, 'FS Ann'!AI$4)</f>
        <v>0</v>
      </c>
      <c r="AJ42" s="16">
        <f xml:space="preserve"> SUMIFS('FS Semi'!$J42:$CV42, 'FS Semi'!$J$4:$CV$4, 'FS Ann'!AJ$4)</f>
        <v>0</v>
      </c>
      <c r="AK42" s="16">
        <f xml:space="preserve"> SUMIFS('FS Semi'!$J42:$CV42, 'FS Semi'!$J$4:$CV$4, 'FS Ann'!AK$4)</f>
        <v>0</v>
      </c>
      <c r="AL42" s="16">
        <f xml:space="preserve"> SUMIFS('FS Semi'!$J42:$CV42, 'FS Semi'!$J$4:$CV$4, 'FS Ann'!AL$4)</f>
        <v>0</v>
      </c>
      <c r="AM42" s="16">
        <f xml:space="preserve"> SUMIFS('FS Semi'!$J42:$CV42, 'FS Semi'!$J$4:$CV$4, 'FS Ann'!AM$4)</f>
        <v>0</v>
      </c>
      <c r="AN42" s="16">
        <f xml:space="preserve"> SUMIFS('FS Semi'!$J42:$CV42, 'FS Semi'!$J$4:$CV$4, 'FS Ann'!AN$4)</f>
        <v>0</v>
      </c>
      <c r="AO42" s="16">
        <f xml:space="preserve"> SUMIFS('FS Semi'!$J42:$CV42, 'FS Semi'!$J$4:$CV$4, 'FS Ann'!AO$4)</f>
        <v>0</v>
      </c>
      <c r="AP42" s="16">
        <f xml:space="preserve"> SUMIFS('FS Semi'!$J42:$CV42, 'FS Semi'!$J$4:$CV$4, 'FS Ann'!AP$4)</f>
        <v>0</v>
      </c>
      <c r="AQ42" s="16">
        <f xml:space="preserve"> SUMIFS('FS Semi'!$J42:$CV42, 'FS Semi'!$J$4:$CV$4, 'FS Ann'!AQ$4)</f>
        <v>0</v>
      </c>
      <c r="AR42" s="16">
        <f xml:space="preserve"> SUMIFS('FS Semi'!$J42:$CV42, 'FS Semi'!$J$4:$CV$4, 'FS Ann'!AR$4)</f>
        <v>0</v>
      </c>
      <c r="AS42" s="16">
        <f xml:space="preserve"> SUMIFS('FS Semi'!$J42:$CV42, 'FS Semi'!$J$4:$CV$4, 'FS Ann'!AS$4)</f>
        <v>0</v>
      </c>
      <c r="AT42" s="16">
        <f xml:space="preserve"> SUMIFS('FS Semi'!$J42:$CV42, 'FS Semi'!$J$4:$CV$4, 'FS Ann'!AT$4)</f>
        <v>0</v>
      </c>
      <c r="AU42" s="16">
        <f xml:space="preserve"> SUMIFS('FS Semi'!$J42:$CV42, 'FS Semi'!$J$4:$CV$4, 'FS Ann'!AU$4)</f>
        <v>0</v>
      </c>
      <c r="AV42" s="16">
        <f xml:space="preserve"> SUMIFS('FS Semi'!$J42:$CV42, 'FS Semi'!$J$4:$CV$4, 'FS Ann'!AV$4)</f>
        <v>0</v>
      </c>
      <c r="AW42" s="16">
        <f xml:space="preserve"> SUMIFS('FS Semi'!$J42:$CV42, 'FS Semi'!$J$4:$CV$4, 'FS Ann'!AW$4)</f>
        <v>0</v>
      </c>
      <c r="AX42" s="16">
        <f xml:space="preserve"> SUMIFS('FS Semi'!$J42:$CV42, 'FS Semi'!$J$4:$CV$4, 'FS Ann'!AX$4)</f>
        <v>0</v>
      </c>
      <c r="AY42" s="16">
        <f xml:space="preserve"> SUMIFS('FS Semi'!$J42:$CV42, 'FS Semi'!$J$4:$CV$4, 'FS Ann'!AY$4)</f>
        <v>0</v>
      </c>
      <c r="AZ42" s="16">
        <f xml:space="preserve"> SUMIFS('FS Semi'!$J42:$CV42, 'FS Semi'!$J$4:$CV$4, 'FS Ann'!AZ$4)</f>
        <v>0</v>
      </c>
      <c r="BA42" s="16">
        <f xml:space="preserve"> SUMIFS('FS Semi'!$J42:$CV42, 'FS Semi'!$J$4:$CV$4, 'FS Ann'!BA$4)</f>
        <v>0</v>
      </c>
      <c r="BB42" s="16">
        <f xml:space="preserve"> SUMIFS('FS Semi'!$J42:$CV42, 'FS Semi'!$J$4:$CV$4, 'FS Ann'!BB$4)</f>
        <v>0</v>
      </c>
    </row>
    <row r="43" spans="1:56" outlineLevel="1" x14ac:dyDescent="0.2">
      <c r="A43" s="1"/>
      <c r="B43" s="1"/>
      <c r="C43" s="19"/>
      <c r="D43" s="83"/>
      <c r="E43" s="16" t="str">
        <f xml:space="preserve"> 'FS Semi'!E43</f>
        <v>Release of working capital reserve</v>
      </c>
      <c r="F43" s="16">
        <f xml:space="preserve"> 'FS Semi'!F43</f>
        <v>0</v>
      </c>
      <c r="G43" s="381" t="str">
        <f xml:space="preserve"> 'FS Semi'!G43</f>
        <v>$ 000s</v>
      </c>
      <c r="H43" s="16">
        <f t="shared" si="14"/>
        <v>3857.1209730037863</v>
      </c>
      <c r="I43" s="16"/>
      <c r="J43" s="16">
        <f xml:space="preserve"> SUMIFS('FS Semi'!$J43:$CV43, 'FS Semi'!$J$4:$CV$4, 'FS Ann'!J$4)</f>
        <v>0</v>
      </c>
      <c r="K43" s="16">
        <f xml:space="preserve"> SUMIFS('FS Semi'!$J43:$CV43, 'FS Semi'!$J$4:$CV$4, 'FS Ann'!K$4)</f>
        <v>0</v>
      </c>
      <c r="L43" s="16">
        <f xml:space="preserve"> SUMIFS('FS Semi'!$J43:$CV43, 'FS Semi'!$J$4:$CV$4, 'FS Ann'!L$4)</f>
        <v>0</v>
      </c>
      <c r="M43" s="16">
        <f xml:space="preserve"> SUMIFS('FS Semi'!$J43:$CV43, 'FS Semi'!$J$4:$CV$4, 'FS Ann'!M$4)</f>
        <v>3857.1209730037863</v>
      </c>
      <c r="N43" s="16">
        <f xml:space="preserve"> SUMIFS('FS Semi'!$J43:$CV43, 'FS Semi'!$J$4:$CV$4, 'FS Ann'!N$4)</f>
        <v>0</v>
      </c>
      <c r="O43" s="16">
        <f xml:space="preserve"> SUMIFS('FS Semi'!$J43:$CV43, 'FS Semi'!$J$4:$CV$4, 'FS Ann'!O$4)</f>
        <v>0</v>
      </c>
      <c r="P43" s="16">
        <f xml:space="preserve"> SUMIFS('FS Semi'!$J43:$CV43, 'FS Semi'!$J$4:$CV$4, 'FS Ann'!P$4)</f>
        <v>0</v>
      </c>
      <c r="Q43" s="16">
        <f xml:space="preserve"> SUMIFS('FS Semi'!$J43:$CV43, 'FS Semi'!$J$4:$CV$4, 'FS Ann'!Q$4)</f>
        <v>0</v>
      </c>
      <c r="R43" s="16">
        <f xml:space="preserve"> SUMIFS('FS Semi'!$J43:$CV43, 'FS Semi'!$J$4:$CV$4, 'FS Ann'!R$4)</f>
        <v>0</v>
      </c>
      <c r="S43" s="16">
        <f xml:space="preserve"> SUMIFS('FS Semi'!$J43:$CV43, 'FS Semi'!$J$4:$CV$4, 'FS Ann'!S$4)</f>
        <v>0</v>
      </c>
      <c r="T43" s="16">
        <f xml:space="preserve"> SUMIFS('FS Semi'!$J43:$CV43, 'FS Semi'!$J$4:$CV$4, 'FS Ann'!T$4)</f>
        <v>0</v>
      </c>
      <c r="U43" s="16">
        <f xml:space="preserve"> SUMIFS('FS Semi'!$J43:$CV43, 'FS Semi'!$J$4:$CV$4, 'FS Ann'!U$4)</f>
        <v>0</v>
      </c>
      <c r="V43" s="16">
        <f xml:space="preserve"> SUMIFS('FS Semi'!$J43:$CV43, 'FS Semi'!$J$4:$CV$4, 'FS Ann'!V$4)</f>
        <v>0</v>
      </c>
      <c r="W43" s="16">
        <f xml:space="preserve"> SUMIFS('FS Semi'!$J43:$CV43, 'FS Semi'!$J$4:$CV$4, 'FS Ann'!W$4)</f>
        <v>0</v>
      </c>
      <c r="X43" s="16">
        <f xml:space="preserve"> SUMIFS('FS Semi'!$J43:$CV43, 'FS Semi'!$J$4:$CV$4, 'FS Ann'!X$4)</f>
        <v>0</v>
      </c>
      <c r="Y43" s="16">
        <f xml:space="preserve"> SUMIFS('FS Semi'!$J43:$CV43, 'FS Semi'!$J$4:$CV$4, 'FS Ann'!Y$4)</f>
        <v>0</v>
      </c>
      <c r="Z43" s="16">
        <f xml:space="preserve"> SUMIFS('FS Semi'!$J43:$CV43, 'FS Semi'!$J$4:$CV$4, 'FS Ann'!Z$4)</f>
        <v>0</v>
      </c>
      <c r="AA43" s="16">
        <f xml:space="preserve"> SUMIFS('FS Semi'!$J43:$CV43, 'FS Semi'!$J$4:$CV$4, 'FS Ann'!AA$4)</f>
        <v>0</v>
      </c>
      <c r="AB43" s="16">
        <f xml:space="preserve"> SUMIFS('FS Semi'!$J43:$CV43, 'FS Semi'!$J$4:$CV$4, 'FS Ann'!AB$4)</f>
        <v>0</v>
      </c>
      <c r="AC43" s="16">
        <f xml:space="preserve"> SUMIFS('FS Semi'!$J43:$CV43, 'FS Semi'!$J$4:$CV$4, 'FS Ann'!AC$4)</f>
        <v>0</v>
      </c>
      <c r="AD43" s="16">
        <f xml:space="preserve"> SUMIFS('FS Semi'!$J43:$CV43, 'FS Semi'!$J$4:$CV$4, 'FS Ann'!AD$4)</f>
        <v>0</v>
      </c>
      <c r="AE43" s="16">
        <f xml:space="preserve"> SUMIFS('FS Semi'!$J43:$CV43, 'FS Semi'!$J$4:$CV$4, 'FS Ann'!AE$4)</f>
        <v>0</v>
      </c>
      <c r="AF43" s="16">
        <f xml:space="preserve"> SUMIFS('FS Semi'!$J43:$CV43, 'FS Semi'!$J$4:$CV$4, 'FS Ann'!AF$4)</f>
        <v>0</v>
      </c>
      <c r="AG43" s="16">
        <f xml:space="preserve"> SUMIFS('FS Semi'!$J43:$CV43, 'FS Semi'!$J$4:$CV$4, 'FS Ann'!AG$4)</f>
        <v>0</v>
      </c>
      <c r="AH43" s="16">
        <f xml:space="preserve"> SUMIFS('FS Semi'!$J43:$CV43, 'FS Semi'!$J$4:$CV$4, 'FS Ann'!AH$4)</f>
        <v>0</v>
      </c>
      <c r="AI43" s="16">
        <f xml:space="preserve"> SUMIFS('FS Semi'!$J43:$CV43, 'FS Semi'!$J$4:$CV$4, 'FS Ann'!AI$4)</f>
        <v>0</v>
      </c>
      <c r="AJ43" s="16">
        <f xml:space="preserve"> SUMIFS('FS Semi'!$J43:$CV43, 'FS Semi'!$J$4:$CV$4, 'FS Ann'!AJ$4)</f>
        <v>0</v>
      </c>
      <c r="AK43" s="16">
        <f xml:space="preserve"> SUMIFS('FS Semi'!$J43:$CV43, 'FS Semi'!$J$4:$CV$4, 'FS Ann'!AK$4)</f>
        <v>0</v>
      </c>
      <c r="AL43" s="16">
        <f xml:space="preserve"> SUMIFS('FS Semi'!$J43:$CV43, 'FS Semi'!$J$4:$CV$4, 'FS Ann'!AL$4)</f>
        <v>0</v>
      </c>
      <c r="AM43" s="16">
        <f xml:space="preserve"> SUMIFS('FS Semi'!$J43:$CV43, 'FS Semi'!$J$4:$CV$4, 'FS Ann'!AM$4)</f>
        <v>0</v>
      </c>
      <c r="AN43" s="16">
        <f xml:space="preserve"> SUMIFS('FS Semi'!$J43:$CV43, 'FS Semi'!$J$4:$CV$4, 'FS Ann'!AN$4)</f>
        <v>0</v>
      </c>
      <c r="AO43" s="16">
        <f xml:space="preserve"> SUMIFS('FS Semi'!$J43:$CV43, 'FS Semi'!$J$4:$CV$4, 'FS Ann'!AO$4)</f>
        <v>0</v>
      </c>
      <c r="AP43" s="16">
        <f xml:space="preserve"> SUMIFS('FS Semi'!$J43:$CV43, 'FS Semi'!$J$4:$CV$4, 'FS Ann'!AP$4)</f>
        <v>0</v>
      </c>
      <c r="AQ43" s="16">
        <f xml:space="preserve"> SUMIFS('FS Semi'!$J43:$CV43, 'FS Semi'!$J$4:$CV$4, 'FS Ann'!AQ$4)</f>
        <v>0</v>
      </c>
      <c r="AR43" s="16">
        <f xml:space="preserve"> SUMIFS('FS Semi'!$J43:$CV43, 'FS Semi'!$J$4:$CV$4, 'FS Ann'!AR$4)</f>
        <v>0</v>
      </c>
      <c r="AS43" s="16">
        <f xml:space="preserve"> SUMIFS('FS Semi'!$J43:$CV43, 'FS Semi'!$J$4:$CV$4, 'FS Ann'!AS$4)</f>
        <v>0</v>
      </c>
      <c r="AT43" s="16">
        <f xml:space="preserve"> SUMIFS('FS Semi'!$J43:$CV43, 'FS Semi'!$J$4:$CV$4, 'FS Ann'!AT$4)</f>
        <v>0</v>
      </c>
      <c r="AU43" s="16">
        <f xml:space="preserve"> SUMIFS('FS Semi'!$J43:$CV43, 'FS Semi'!$J$4:$CV$4, 'FS Ann'!AU$4)</f>
        <v>0</v>
      </c>
      <c r="AV43" s="16">
        <f xml:space="preserve"> SUMIFS('FS Semi'!$J43:$CV43, 'FS Semi'!$J$4:$CV$4, 'FS Ann'!AV$4)</f>
        <v>0</v>
      </c>
      <c r="AW43" s="16">
        <f xml:space="preserve"> SUMIFS('FS Semi'!$J43:$CV43, 'FS Semi'!$J$4:$CV$4, 'FS Ann'!AW$4)</f>
        <v>0</v>
      </c>
      <c r="AX43" s="16">
        <f xml:space="preserve"> SUMIFS('FS Semi'!$J43:$CV43, 'FS Semi'!$J$4:$CV$4, 'FS Ann'!AX$4)</f>
        <v>0</v>
      </c>
      <c r="AY43" s="16">
        <f xml:space="preserve"> SUMIFS('FS Semi'!$J43:$CV43, 'FS Semi'!$J$4:$CV$4, 'FS Ann'!AY$4)</f>
        <v>0</v>
      </c>
      <c r="AZ43" s="16">
        <f xml:space="preserve"> SUMIFS('FS Semi'!$J43:$CV43, 'FS Semi'!$J$4:$CV$4, 'FS Ann'!AZ$4)</f>
        <v>0</v>
      </c>
      <c r="BA43" s="16">
        <f xml:space="preserve"> SUMIFS('FS Semi'!$J43:$CV43, 'FS Semi'!$J$4:$CV$4, 'FS Ann'!BA$4)</f>
        <v>0</v>
      </c>
      <c r="BB43" s="16">
        <f xml:space="preserve"> SUMIFS('FS Semi'!$J43:$CV43, 'FS Semi'!$J$4:$CV$4, 'FS Ann'!BB$4)</f>
        <v>0</v>
      </c>
    </row>
    <row r="44" spans="1:56" outlineLevel="1" x14ac:dyDescent="0.2">
      <c r="A44" s="1"/>
      <c r="B44" s="1"/>
      <c r="C44" s="19"/>
      <c r="D44" s="83"/>
      <c r="E44" s="16" t="str">
        <f xml:space="preserve"> 'FS Semi'!E44</f>
        <v>Cash paid for O&amp;M costs</v>
      </c>
      <c r="F44" s="16">
        <f xml:space="preserve"> 'FS Semi'!F44</f>
        <v>0</v>
      </c>
      <c r="G44" s="381" t="str">
        <f xml:space="preserve"> 'FS Semi'!G44</f>
        <v>$ 000s</v>
      </c>
      <c r="H44" s="16">
        <f t="shared" si="14"/>
        <v>-210402.03579009016</v>
      </c>
      <c r="I44" s="16"/>
      <c r="J44" s="16">
        <f xml:space="preserve"> SUMIFS('FS Semi'!$J44:$CV44, 'FS Semi'!$J$4:$CV$4, 'FS Ann'!J$4)</f>
        <v>0</v>
      </c>
      <c r="K44" s="16">
        <f xml:space="preserve"> SUMIFS('FS Semi'!$J44:$CV44, 'FS Semi'!$J$4:$CV$4, 'FS Ann'!K$4)</f>
        <v>0</v>
      </c>
      <c r="L44" s="16">
        <f xml:space="preserve"> SUMIFS('FS Semi'!$J44:$CV44, 'FS Semi'!$J$4:$CV$4, 'FS Ann'!L$4)</f>
        <v>0</v>
      </c>
      <c r="M44" s="16">
        <f xml:space="preserve"> SUMIFS('FS Semi'!$J44:$CV44, 'FS Semi'!$J$4:$CV$4, 'FS Ann'!M$4)</f>
        <v>-7583.0054081767939</v>
      </c>
      <c r="N44" s="16">
        <f xml:space="preserve"> SUMIFS('FS Semi'!$J44:$CV44, 'FS Semi'!$J$4:$CV$4, 'FS Ann'!N$4)</f>
        <v>-8811.1173881635368</v>
      </c>
      <c r="O44" s="16">
        <f xml:space="preserve"> SUMIFS('FS Semi'!$J44:$CV44, 'FS Semi'!$J$4:$CV$4, 'FS Ann'!O$4)</f>
        <v>-8987.3397359268092</v>
      </c>
      <c r="P44" s="16">
        <f xml:space="preserve"> SUMIFS('FS Semi'!$J44:$CV44, 'FS Semi'!$J$4:$CV$4, 'FS Ann'!P$4)</f>
        <v>-9173.3631204145386</v>
      </c>
      <c r="Q44" s="16">
        <f xml:space="preserve"> SUMIFS('FS Semi'!$J44:$CV44, 'FS Semi'!$J$4:$CV$4, 'FS Ann'!Q$4)</f>
        <v>-9344.1516714890531</v>
      </c>
      <c r="R44" s="16">
        <f xml:space="preserve"> SUMIFS('FS Semi'!$J44:$CV44, 'FS Semi'!$J$4:$CV$4, 'FS Ann'!R$4)</f>
        <v>-9537.4368264834138</v>
      </c>
      <c r="S44" s="16">
        <f xml:space="preserve"> SUMIFS('FS Semi'!$J44:$CV44, 'FS Semi'!$J$4:$CV$4, 'FS Ann'!S$4)</f>
        <v>-9728.1855630130813</v>
      </c>
      <c r="T44" s="16">
        <f xml:space="preserve"> SUMIFS('FS Semi'!$J44:$CV44, 'FS Semi'!$J$4:$CV$4, 'FS Ann'!T$4)</f>
        <v>-9929.5432568946489</v>
      </c>
      <c r="U44" s="16">
        <f xml:space="preserve"> SUMIFS('FS Semi'!$J44:$CV44, 'FS Semi'!$J$4:$CV$4, 'FS Ann'!U$4)</f>
        <v>-10114.410277137504</v>
      </c>
      <c r="V44" s="16">
        <f xml:space="preserve"> SUMIFS('FS Semi'!$J44:$CV44, 'FS Semi'!$J$4:$CV$4, 'FS Ann'!V$4)</f>
        <v>-10323.628344953986</v>
      </c>
      <c r="W44" s="16">
        <f xml:space="preserve"> SUMIFS('FS Semi'!$J44:$CV44, 'FS Semi'!$J$4:$CV$4, 'FS Ann'!W$4)</f>
        <v>-10530.100911853067</v>
      </c>
      <c r="X44" s="16">
        <f xml:space="preserve"> SUMIFS('FS Semi'!$J44:$CV44, 'FS Semi'!$J$4:$CV$4, 'FS Ann'!X$4)</f>
        <v>-10748.056955373908</v>
      </c>
      <c r="Y44" s="16">
        <f xml:space="preserve"> SUMIFS('FS Semi'!$J44:$CV44, 'FS Semi'!$J$4:$CV$4, 'FS Ann'!Y$4)</f>
        <v>-10948.162963408147</v>
      </c>
      <c r="Z44" s="16">
        <f xml:space="preserve"> SUMIFS('FS Semi'!$J44:$CV44, 'FS Semi'!$J$4:$CV$4, 'FS Ann'!Z$4)</f>
        <v>-11174.627328465769</v>
      </c>
      <c r="AA44" s="16">
        <f xml:space="preserve"> SUMIFS('FS Semi'!$J44:$CV44, 'FS Semi'!$J$4:$CV$4, 'FS Ann'!AA$4)</f>
        <v>-11398.119875035085</v>
      </c>
      <c r="AB44" s="16">
        <f xml:space="preserve"> SUMIFS('FS Semi'!$J44:$CV44, 'FS Semi'!$J$4:$CV$4, 'FS Ann'!AB$4)</f>
        <v>-11634.042506008405</v>
      </c>
      <c r="AC44" s="16">
        <f xml:space="preserve"> SUMIFS('FS Semi'!$J44:$CV44, 'FS Semi'!$J$4:$CV$4, 'FS Ann'!AC$4)</f>
        <v>-11850.643684513883</v>
      </c>
      <c r="AD44" s="16">
        <f xml:space="preserve"> SUMIFS('FS Semi'!$J44:$CV44, 'FS Semi'!$J$4:$CV$4, 'FS Ann'!AD$4)</f>
        <v>-12095.77599634623</v>
      </c>
      <c r="AE44" s="16">
        <f xml:space="preserve"> SUMIFS('FS Semi'!$J44:$CV44, 'FS Semi'!$J$4:$CV$4, 'FS Ann'!AE$4)</f>
        <v>-12337.691516273157</v>
      </c>
      <c r="AF44" s="16">
        <f xml:space="preserve"> SUMIFS('FS Semi'!$J44:$CV44, 'FS Semi'!$J$4:$CV$4, 'FS Ann'!AF$4)</f>
        <v>-14152.632460159124</v>
      </c>
      <c r="AG44" s="16">
        <f xml:space="preserve"> SUMIFS('FS Semi'!$J44:$CV44, 'FS Semi'!$J$4:$CV$4, 'FS Ann'!AG$4)</f>
        <v>0</v>
      </c>
      <c r="AH44" s="16">
        <f xml:space="preserve"> SUMIFS('FS Semi'!$J44:$CV44, 'FS Semi'!$J$4:$CV$4, 'FS Ann'!AH$4)</f>
        <v>0</v>
      </c>
      <c r="AI44" s="16">
        <f xml:space="preserve"> SUMIFS('FS Semi'!$J44:$CV44, 'FS Semi'!$J$4:$CV$4, 'FS Ann'!AI$4)</f>
        <v>0</v>
      </c>
      <c r="AJ44" s="16">
        <f xml:space="preserve"> SUMIFS('FS Semi'!$J44:$CV44, 'FS Semi'!$J$4:$CV$4, 'FS Ann'!AJ$4)</f>
        <v>0</v>
      </c>
      <c r="AK44" s="16">
        <f xml:space="preserve"> SUMIFS('FS Semi'!$J44:$CV44, 'FS Semi'!$J$4:$CV$4, 'FS Ann'!AK$4)</f>
        <v>0</v>
      </c>
      <c r="AL44" s="16">
        <f xml:space="preserve"> SUMIFS('FS Semi'!$J44:$CV44, 'FS Semi'!$J$4:$CV$4, 'FS Ann'!AL$4)</f>
        <v>0</v>
      </c>
      <c r="AM44" s="16">
        <f xml:space="preserve"> SUMIFS('FS Semi'!$J44:$CV44, 'FS Semi'!$J$4:$CV$4, 'FS Ann'!AM$4)</f>
        <v>0</v>
      </c>
      <c r="AN44" s="16">
        <f xml:space="preserve"> SUMIFS('FS Semi'!$J44:$CV44, 'FS Semi'!$J$4:$CV$4, 'FS Ann'!AN$4)</f>
        <v>0</v>
      </c>
      <c r="AO44" s="16">
        <f xml:space="preserve"> SUMIFS('FS Semi'!$J44:$CV44, 'FS Semi'!$J$4:$CV$4, 'FS Ann'!AO$4)</f>
        <v>0</v>
      </c>
      <c r="AP44" s="16">
        <f xml:space="preserve"> SUMIFS('FS Semi'!$J44:$CV44, 'FS Semi'!$J$4:$CV$4, 'FS Ann'!AP$4)</f>
        <v>0</v>
      </c>
      <c r="AQ44" s="16">
        <f xml:space="preserve"> SUMIFS('FS Semi'!$J44:$CV44, 'FS Semi'!$J$4:$CV$4, 'FS Ann'!AQ$4)</f>
        <v>0</v>
      </c>
      <c r="AR44" s="16">
        <f xml:space="preserve"> SUMIFS('FS Semi'!$J44:$CV44, 'FS Semi'!$J$4:$CV$4, 'FS Ann'!AR$4)</f>
        <v>0</v>
      </c>
      <c r="AS44" s="16">
        <f xml:space="preserve"> SUMIFS('FS Semi'!$J44:$CV44, 'FS Semi'!$J$4:$CV$4, 'FS Ann'!AS$4)</f>
        <v>0</v>
      </c>
      <c r="AT44" s="16">
        <f xml:space="preserve"> SUMIFS('FS Semi'!$J44:$CV44, 'FS Semi'!$J$4:$CV$4, 'FS Ann'!AT$4)</f>
        <v>0</v>
      </c>
      <c r="AU44" s="16">
        <f xml:space="preserve"> SUMIFS('FS Semi'!$J44:$CV44, 'FS Semi'!$J$4:$CV$4, 'FS Ann'!AU$4)</f>
        <v>0</v>
      </c>
      <c r="AV44" s="16">
        <f xml:space="preserve"> SUMIFS('FS Semi'!$J44:$CV44, 'FS Semi'!$J$4:$CV$4, 'FS Ann'!AV$4)</f>
        <v>0</v>
      </c>
      <c r="AW44" s="16">
        <f xml:space="preserve"> SUMIFS('FS Semi'!$J44:$CV44, 'FS Semi'!$J$4:$CV$4, 'FS Ann'!AW$4)</f>
        <v>0</v>
      </c>
      <c r="AX44" s="16">
        <f xml:space="preserve"> SUMIFS('FS Semi'!$J44:$CV44, 'FS Semi'!$J$4:$CV$4, 'FS Ann'!AX$4)</f>
        <v>0</v>
      </c>
      <c r="AY44" s="16">
        <f xml:space="preserve"> SUMIFS('FS Semi'!$J44:$CV44, 'FS Semi'!$J$4:$CV$4, 'FS Ann'!AY$4)</f>
        <v>0</v>
      </c>
      <c r="AZ44" s="16">
        <f xml:space="preserve"> SUMIFS('FS Semi'!$J44:$CV44, 'FS Semi'!$J$4:$CV$4, 'FS Ann'!AZ$4)</f>
        <v>0</v>
      </c>
      <c r="BA44" s="16">
        <f xml:space="preserve"> SUMIFS('FS Semi'!$J44:$CV44, 'FS Semi'!$J$4:$CV$4, 'FS Ann'!BA$4)</f>
        <v>0</v>
      </c>
      <c r="BB44" s="16">
        <f xml:space="preserve"> SUMIFS('FS Semi'!$J44:$CV44, 'FS Semi'!$J$4:$CV$4, 'FS Ann'!BB$4)</f>
        <v>0</v>
      </c>
    </row>
    <row r="45" spans="1:56" outlineLevel="1" x14ac:dyDescent="0.2">
      <c r="A45" s="1"/>
      <c r="B45" s="1"/>
      <c r="C45" s="19"/>
      <c r="D45" s="83"/>
      <c r="E45" s="16" t="str">
        <f xml:space="preserve"> 'FS Semi'!E45</f>
        <v>EGR period costs paid through EGR's</v>
      </c>
      <c r="F45" s="16">
        <f xml:space="preserve"> 'FS Semi'!F45</f>
        <v>0</v>
      </c>
      <c r="G45" s="381" t="str">
        <f xml:space="preserve"> 'FS Semi'!G45</f>
        <v>$ 000s</v>
      </c>
      <c r="H45" s="16">
        <f t="shared" ref="H45" si="16" xml:space="preserve"> SUM(J45:BB45)</f>
        <v>0</v>
      </c>
      <c r="I45" s="16"/>
      <c r="J45" s="16">
        <f xml:space="preserve"> SUMIFS('FS Semi'!$J45:$CV45, 'FS Semi'!$J$4:$CV$4, 'FS Ann'!J$4)</f>
        <v>0</v>
      </c>
      <c r="K45" s="16">
        <f xml:space="preserve"> SUMIFS('FS Semi'!$J45:$CV45, 'FS Semi'!$J$4:$CV$4, 'FS Ann'!K$4)</f>
        <v>0</v>
      </c>
      <c r="L45" s="16">
        <f xml:space="preserve"> SUMIFS('FS Semi'!$J45:$CV45, 'FS Semi'!$J$4:$CV$4, 'FS Ann'!L$4)</f>
        <v>0</v>
      </c>
      <c r="M45" s="16">
        <f xml:space="preserve"> SUMIFS('FS Semi'!$J45:$CV45, 'FS Semi'!$J$4:$CV$4, 'FS Ann'!M$4)</f>
        <v>0</v>
      </c>
      <c r="N45" s="16">
        <f xml:space="preserve"> SUMIFS('FS Semi'!$J45:$CV45, 'FS Semi'!$J$4:$CV$4, 'FS Ann'!N$4)</f>
        <v>0</v>
      </c>
      <c r="O45" s="16">
        <f xml:space="preserve"> SUMIFS('FS Semi'!$J45:$CV45, 'FS Semi'!$J$4:$CV$4, 'FS Ann'!O$4)</f>
        <v>0</v>
      </c>
      <c r="P45" s="16">
        <f xml:space="preserve"> SUMIFS('FS Semi'!$J45:$CV45, 'FS Semi'!$J$4:$CV$4, 'FS Ann'!P$4)</f>
        <v>0</v>
      </c>
      <c r="Q45" s="16">
        <f xml:space="preserve"> SUMIFS('FS Semi'!$J45:$CV45, 'FS Semi'!$J$4:$CV$4, 'FS Ann'!Q$4)</f>
        <v>0</v>
      </c>
      <c r="R45" s="16">
        <f xml:space="preserve"> SUMIFS('FS Semi'!$J45:$CV45, 'FS Semi'!$J$4:$CV$4, 'FS Ann'!R$4)</f>
        <v>0</v>
      </c>
      <c r="S45" s="16">
        <f xml:space="preserve"> SUMIFS('FS Semi'!$J45:$CV45, 'FS Semi'!$J$4:$CV$4, 'FS Ann'!S$4)</f>
        <v>0</v>
      </c>
      <c r="T45" s="16">
        <f xml:space="preserve"> SUMIFS('FS Semi'!$J45:$CV45, 'FS Semi'!$J$4:$CV$4, 'FS Ann'!T$4)</f>
        <v>0</v>
      </c>
      <c r="U45" s="16">
        <f xml:space="preserve"> SUMIFS('FS Semi'!$J45:$CV45, 'FS Semi'!$J$4:$CV$4, 'FS Ann'!U$4)</f>
        <v>0</v>
      </c>
      <c r="V45" s="16">
        <f xml:space="preserve"> SUMIFS('FS Semi'!$J45:$CV45, 'FS Semi'!$J$4:$CV$4, 'FS Ann'!V$4)</f>
        <v>0</v>
      </c>
      <c r="W45" s="16">
        <f xml:space="preserve"> SUMIFS('FS Semi'!$J45:$CV45, 'FS Semi'!$J$4:$CV$4, 'FS Ann'!W$4)</f>
        <v>0</v>
      </c>
      <c r="X45" s="16">
        <f xml:space="preserve"> SUMIFS('FS Semi'!$J45:$CV45, 'FS Semi'!$J$4:$CV$4, 'FS Ann'!X$4)</f>
        <v>0</v>
      </c>
      <c r="Y45" s="16">
        <f xml:space="preserve"> SUMIFS('FS Semi'!$J45:$CV45, 'FS Semi'!$J$4:$CV$4, 'FS Ann'!Y$4)</f>
        <v>0</v>
      </c>
      <c r="Z45" s="16">
        <f xml:space="preserve"> SUMIFS('FS Semi'!$J45:$CV45, 'FS Semi'!$J$4:$CV$4, 'FS Ann'!Z$4)</f>
        <v>0</v>
      </c>
      <c r="AA45" s="16">
        <f xml:space="preserve"> SUMIFS('FS Semi'!$J45:$CV45, 'FS Semi'!$J$4:$CV$4, 'FS Ann'!AA$4)</f>
        <v>0</v>
      </c>
      <c r="AB45" s="16">
        <f xml:space="preserve"> SUMIFS('FS Semi'!$J45:$CV45, 'FS Semi'!$J$4:$CV$4, 'FS Ann'!AB$4)</f>
        <v>0</v>
      </c>
      <c r="AC45" s="16">
        <f xml:space="preserve"> SUMIFS('FS Semi'!$J45:$CV45, 'FS Semi'!$J$4:$CV$4, 'FS Ann'!AC$4)</f>
        <v>0</v>
      </c>
      <c r="AD45" s="16">
        <f xml:space="preserve"> SUMIFS('FS Semi'!$J45:$CV45, 'FS Semi'!$J$4:$CV$4, 'FS Ann'!AD$4)</f>
        <v>0</v>
      </c>
      <c r="AE45" s="16">
        <f xml:space="preserve"> SUMIFS('FS Semi'!$J45:$CV45, 'FS Semi'!$J$4:$CV$4, 'FS Ann'!AE$4)</f>
        <v>0</v>
      </c>
      <c r="AF45" s="16">
        <f xml:space="preserve"> SUMIFS('FS Semi'!$J45:$CV45, 'FS Semi'!$J$4:$CV$4, 'FS Ann'!AF$4)</f>
        <v>0</v>
      </c>
      <c r="AG45" s="16">
        <f xml:space="preserve"> SUMIFS('FS Semi'!$J45:$CV45, 'FS Semi'!$J$4:$CV$4, 'FS Ann'!AG$4)</f>
        <v>0</v>
      </c>
      <c r="AH45" s="16">
        <f xml:space="preserve"> SUMIFS('FS Semi'!$J45:$CV45, 'FS Semi'!$J$4:$CV$4, 'FS Ann'!AH$4)</f>
        <v>0</v>
      </c>
      <c r="AI45" s="16">
        <f xml:space="preserve"> SUMIFS('FS Semi'!$J45:$CV45, 'FS Semi'!$J$4:$CV$4, 'FS Ann'!AI$4)</f>
        <v>0</v>
      </c>
      <c r="AJ45" s="16">
        <f xml:space="preserve"> SUMIFS('FS Semi'!$J45:$CV45, 'FS Semi'!$J$4:$CV$4, 'FS Ann'!AJ$4)</f>
        <v>0</v>
      </c>
      <c r="AK45" s="16">
        <f xml:space="preserve"> SUMIFS('FS Semi'!$J45:$CV45, 'FS Semi'!$J$4:$CV$4, 'FS Ann'!AK$4)</f>
        <v>0</v>
      </c>
      <c r="AL45" s="16">
        <f xml:space="preserve"> SUMIFS('FS Semi'!$J45:$CV45, 'FS Semi'!$J$4:$CV$4, 'FS Ann'!AL$4)</f>
        <v>0</v>
      </c>
      <c r="AM45" s="16">
        <f xml:space="preserve"> SUMIFS('FS Semi'!$J45:$CV45, 'FS Semi'!$J$4:$CV$4, 'FS Ann'!AM$4)</f>
        <v>0</v>
      </c>
      <c r="AN45" s="16">
        <f xml:space="preserve"> SUMIFS('FS Semi'!$J45:$CV45, 'FS Semi'!$J$4:$CV$4, 'FS Ann'!AN$4)</f>
        <v>0</v>
      </c>
      <c r="AO45" s="16">
        <f xml:space="preserve"> SUMIFS('FS Semi'!$J45:$CV45, 'FS Semi'!$J$4:$CV$4, 'FS Ann'!AO$4)</f>
        <v>0</v>
      </c>
      <c r="AP45" s="16">
        <f xml:space="preserve"> SUMIFS('FS Semi'!$J45:$CV45, 'FS Semi'!$J$4:$CV$4, 'FS Ann'!AP$4)</f>
        <v>0</v>
      </c>
      <c r="AQ45" s="16">
        <f xml:space="preserve"> SUMIFS('FS Semi'!$J45:$CV45, 'FS Semi'!$J$4:$CV$4, 'FS Ann'!AQ$4)</f>
        <v>0</v>
      </c>
      <c r="AR45" s="16">
        <f xml:space="preserve"> SUMIFS('FS Semi'!$J45:$CV45, 'FS Semi'!$J$4:$CV$4, 'FS Ann'!AR$4)</f>
        <v>0</v>
      </c>
      <c r="AS45" s="16">
        <f xml:space="preserve"> SUMIFS('FS Semi'!$J45:$CV45, 'FS Semi'!$J$4:$CV$4, 'FS Ann'!AS$4)</f>
        <v>0</v>
      </c>
      <c r="AT45" s="16">
        <f xml:space="preserve"> SUMIFS('FS Semi'!$J45:$CV45, 'FS Semi'!$J$4:$CV$4, 'FS Ann'!AT$4)</f>
        <v>0</v>
      </c>
      <c r="AU45" s="16">
        <f xml:space="preserve"> SUMIFS('FS Semi'!$J45:$CV45, 'FS Semi'!$J$4:$CV$4, 'FS Ann'!AU$4)</f>
        <v>0</v>
      </c>
      <c r="AV45" s="16">
        <f xml:space="preserve"> SUMIFS('FS Semi'!$J45:$CV45, 'FS Semi'!$J$4:$CV$4, 'FS Ann'!AV$4)</f>
        <v>0</v>
      </c>
      <c r="AW45" s="16">
        <f xml:space="preserve"> SUMIFS('FS Semi'!$J45:$CV45, 'FS Semi'!$J$4:$CV$4, 'FS Ann'!AW$4)</f>
        <v>0</v>
      </c>
      <c r="AX45" s="16">
        <f xml:space="preserve"> SUMIFS('FS Semi'!$J45:$CV45, 'FS Semi'!$J$4:$CV$4, 'FS Ann'!AX$4)</f>
        <v>0</v>
      </c>
      <c r="AY45" s="16">
        <f xml:space="preserve"> SUMIFS('FS Semi'!$J45:$CV45, 'FS Semi'!$J$4:$CV$4, 'FS Ann'!AY$4)</f>
        <v>0</v>
      </c>
      <c r="AZ45" s="16">
        <f xml:space="preserve"> SUMIFS('FS Semi'!$J45:$CV45, 'FS Semi'!$J$4:$CV$4, 'FS Ann'!AZ$4)</f>
        <v>0</v>
      </c>
      <c r="BA45" s="16">
        <f xml:space="preserve"> SUMIFS('FS Semi'!$J45:$CV45, 'FS Semi'!$J$4:$CV$4, 'FS Ann'!BA$4)</f>
        <v>0</v>
      </c>
      <c r="BB45" s="16">
        <f xml:space="preserve"> SUMIFS('FS Semi'!$J45:$CV45, 'FS Semi'!$J$4:$CV$4, 'FS Ann'!BB$4)</f>
        <v>0</v>
      </c>
    </row>
    <row r="46" spans="1:56" outlineLevel="1" x14ac:dyDescent="0.2">
      <c r="A46" s="1"/>
      <c r="B46" s="1"/>
      <c r="C46" s="19"/>
      <c r="D46" s="83"/>
      <c r="E46" s="16" t="str">
        <f xml:space="preserve"> 'FS Semi'!E46</f>
        <v>Corporate income tax</v>
      </c>
      <c r="F46" s="16">
        <f xml:space="preserve"> 'FS Semi'!F46</f>
        <v>0</v>
      </c>
      <c r="G46" s="381" t="str">
        <f xml:space="preserve"> 'FS Semi'!G46</f>
        <v>$ 000s</v>
      </c>
      <c r="H46" s="16">
        <f t="shared" si="14"/>
        <v>0</v>
      </c>
      <c r="I46" s="16"/>
      <c r="J46" s="16">
        <f xml:space="preserve"> SUMIFS('FS Semi'!$J46:$CV46, 'FS Semi'!$J$4:$CV$4, 'FS Ann'!J$4)</f>
        <v>0</v>
      </c>
      <c r="K46" s="16">
        <f xml:space="preserve"> SUMIFS('FS Semi'!$J46:$CV46, 'FS Semi'!$J$4:$CV$4, 'FS Ann'!K$4)</f>
        <v>0</v>
      </c>
      <c r="L46" s="16">
        <f xml:space="preserve"> SUMIFS('FS Semi'!$J46:$CV46, 'FS Semi'!$J$4:$CV$4, 'FS Ann'!L$4)</f>
        <v>0</v>
      </c>
      <c r="M46" s="16">
        <f xml:space="preserve"> SUMIFS('FS Semi'!$J46:$CV46, 'FS Semi'!$J$4:$CV$4, 'FS Ann'!M$4)</f>
        <v>0</v>
      </c>
      <c r="N46" s="16">
        <f xml:space="preserve"> SUMIFS('FS Semi'!$J46:$CV46, 'FS Semi'!$J$4:$CV$4, 'FS Ann'!N$4)</f>
        <v>0</v>
      </c>
      <c r="O46" s="16">
        <f xml:space="preserve"> SUMIFS('FS Semi'!$J46:$CV46, 'FS Semi'!$J$4:$CV$4, 'FS Ann'!O$4)</f>
        <v>0</v>
      </c>
      <c r="P46" s="16">
        <f xml:space="preserve"> SUMIFS('FS Semi'!$J46:$CV46, 'FS Semi'!$J$4:$CV$4, 'FS Ann'!P$4)</f>
        <v>0</v>
      </c>
      <c r="Q46" s="16">
        <f xml:space="preserve"> SUMIFS('FS Semi'!$J46:$CV46, 'FS Semi'!$J$4:$CV$4, 'FS Ann'!Q$4)</f>
        <v>0</v>
      </c>
      <c r="R46" s="16">
        <f xml:space="preserve"> SUMIFS('FS Semi'!$J46:$CV46, 'FS Semi'!$J$4:$CV$4, 'FS Ann'!R$4)</f>
        <v>0</v>
      </c>
      <c r="S46" s="16">
        <f xml:space="preserve"> SUMIFS('FS Semi'!$J46:$CV46, 'FS Semi'!$J$4:$CV$4, 'FS Ann'!S$4)</f>
        <v>0</v>
      </c>
      <c r="T46" s="16">
        <f xml:space="preserve"> SUMIFS('FS Semi'!$J46:$CV46, 'FS Semi'!$J$4:$CV$4, 'FS Ann'!T$4)</f>
        <v>0</v>
      </c>
      <c r="U46" s="16">
        <f xml:space="preserve"> SUMIFS('FS Semi'!$J46:$CV46, 'FS Semi'!$J$4:$CV$4, 'FS Ann'!U$4)</f>
        <v>0</v>
      </c>
      <c r="V46" s="16">
        <f xml:space="preserve"> SUMIFS('FS Semi'!$J46:$CV46, 'FS Semi'!$J$4:$CV$4, 'FS Ann'!V$4)</f>
        <v>0</v>
      </c>
      <c r="W46" s="16">
        <f xml:space="preserve"> SUMIFS('FS Semi'!$J46:$CV46, 'FS Semi'!$J$4:$CV$4, 'FS Ann'!W$4)</f>
        <v>0</v>
      </c>
      <c r="X46" s="16">
        <f xml:space="preserve"> SUMIFS('FS Semi'!$J46:$CV46, 'FS Semi'!$J$4:$CV$4, 'FS Ann'!X$4)</f>
        <v>0</v>
      </c>
      <c r="Y46" s="16">
        <f xml:space="preserve"> SUMIFS('FS Semi'!$J46:$CV46, 'FS Semi'!$J$4:$CV$4, 'FS Ann'!Y$4)</f>
        <v>0</v>
      </c>
      <c r="Z46" s="16">
        <f xml:space="preserve"> SUMIFS('FS Semi'!$J46:$CV46, 'FS Semi'!$J$4:$CV$4, 'FS Ann'!Z$4)</f>
        <v>0</v>
      </c>
      <c r="AA46" s="16">
        <f xml:space="preserve"> SUMIFS('FS Semi'!$J46:$CV46, 'FS Semi'!$J$4:$CV$4, 'FS Ann'!AA$4)</f>
        <v>0</v>
      </c>
      <c r="AB46" s="16">
        <f xml:space="preserve"> SUMIFS('FS Semi'!$J46:$CV46, 'FS Semi'!$J$4:$CV$4, 'FS Ann'!AB$4)</f>
        <v>0</v>
      </c>
      <c r="AC46" s="16">
        <f xml:space="preserve"> SUMIFS('FS Semi'!$J46:$CV46, 'FS Semi'!$J$4:$CV$4, 'FS Ann'!AC$4)</f>
        <v>0</v>
      </c>
      <c r="AD46" s="16">
        <f xml:space="preserve"> SUMIFS('FS Semi'!$J46:$CV46, 'FS Semi'!$J$4:$CV$4, 'FS Ann'!AD$4)</f>
        <v>0</v>
      </c>
      <c r="AE46" s="16">
        <f xml:space="preserve"> SUMIFS('FS Semi'!$J46:$CV46, 'FS Semi'!$J$4:$CV$4, 'FS Ann'!AE$4)</f>
        <v>0</v>
      </c>
      <c r="AF46" s="16">
        <f xml:space="preserve"> SUMIFS('FS Semi'!$J46:$CV46, 'FS Semi'!$J$4:$CV$4, 'FS Ann'!AF$4)</f>
        <v>0</v>
      </c>
      <c r="AG46" s="16">
        <f xml:space="preserve"> SUMIFS('FS Semi'!$J46:$CV46, 'FS Semi'!$J$4:$CV$4, 'FS Ann'!AG$4)</f>
        <v>0</v>
      </c>
      <c r="AH46" s="16">
        <f xml:space="preserve"> SUMIFS('FS Semi'!$J46:$CV46, 'FS Semi'!$J$4:$CV$4, 'FS Ann'!AH$4)</f>
        <v>0</v>
      </c>
      <c r="AI46" s="16">
        <f xml:space="preserve"> SUMIFS('FS Semi'!$J46:$CV46, 'FS Semi'!$J$4:$CV$4, 'FS Ann'!AI$4)</f>
        <v>0</v>
      </c>
      <c r="AJ46" s="16">
        <f xml:space="preserve"> SUMIFS('FS Semi'!$J46:$CV46, 'FS Semi'!$J$4:$CV$4, 'FS Ann'!AJ$4)</f>
        <v>0</v>
      </c>
      <c r="AK46" s="16">
        <f xml:space="preserve"> SUMIFS('FS Semi'!$J46:$CV46, 'FS Semi'!$J$4:$CV$4, 'FS Ann'!AK$4)</f>
        <v>0</v>
      </c>
      <c r="AL46" s="16">
        <f xml:space="preserve"> SUMIFS('FS Semi'!$J46:$CV46, 'FS Semi'!$J$4:$CV$4, 'FS Ann'!AL$4)</f>
        <v>0</v>
      </c>
      <c r="AM46" s="16">
        <f xml:space="preserve"> SUMIFS('FS Semi'!$J46:$CV46, 'FS Semi'!$J$4:$CV$4, 'FS Ann'!AM$4)</f>
        <v>0</v>
      </c>
      <c r="AN46" s="16">
        <f xml:space="preserve"> SUMIFS('FS Semi'!$J46:$CV46, 'FS Semi'!$J$4:$CV$4, 'FS Ann'!AN$4)</f>
        <v>0</v>
      </c>
      <c r="AO46" s="16">
        <f xml:space="preserve"> SUMIFS('FS Semi'!$J46:$CV46, 'FS Semi'!$J$4:$CV$4, 'FS Ann'!AO$4)</f>
        <v>0</v>
      </c>
      <c r="AP46" s="16">
        <f xml:space="preserve"> SUMIFS('FS Semi'!$J46:$CV46, 'FS Semi'!$J$4:$CV$4, 'FS Ann'!AP$4)</f>
        <v>0</v>
      </c>
      <c r="AQ46" s="16">
        <f xml:space="preserve"> SUMIFS('FS Semi'!$J46:$CV46, 'FS Semi'!$J$4:$CV$4, 'FS Ann'!AQ$4)</f>
        <v>0</v>
      </c>
      <c r="AR46" s="16">
        <f xml:space="preserve"> SUMIFS('FS Semi'!$J46:$CV46, 'FS Semi'!$J$4:$CV$4, 'FS Ann'!AR$4)</f>
        <v>0</v>
      </c>
      <c r="AS46" s="16">
        <f xml:space="preserve"> SUMIFS('FS Semi'!$J46:$CV46, 'FS Semi'!$J$4:$CV$4, 'FS Ann'!AS$4)</f>
        <v>0</v>
      </c>
      <c r="AT46" s="16">
        <f xml:space="preserve"> SUMIFS('FS Semi'!$J46:$CV46, 'FS Semi'!$J$4:$CV$4, 'FS Ann'!AT$4)</f>
        <v>0</v>
      </c>
      <c r="AU46" s="16">
        <f xml:space="preserve"> SUMIFS('FS Semi'!$J46:$CV46, 'FS Semi'!$J$4:$CV$4, 'FS Ann'!AU$4)</f>
        <v>0</v>
      </c>
      <c r="AV46" s="16">
        <f xml:space="preserve"> SUMIFS('FS Semi'!$J46:$CV46, 'FS Semi'!$J$4:$CV$4, 'FS Ann'!AV$4)</f>
        <v>0</v>
      </c>
      <c r="AW46" s="16">
        <f xml:space="preserve"> SUMIFS('FS Semi'!$J46:$CV46, 'FS Semi'!$J$4:$CV$4, 'FS Ann'!AW$4)</f>
        <v>0</v>
      </c>
      <c r="AX46" s="16">
        <f xml:space="preserve"> SUMIFS('FS Semi'!$J46:$CV46, 'FS Semi'!$J$4:$CV$4, 'FS Ann'!AX$4)</f>
        <v>0</v>
      </c>
      <c r="AY46" s="16">
        <f xml:space="preserve"> SUMIFS('FS Semi'!$J46:$CV46, 'FS Semi'!$J$4:$CV$4, 'FS Ann'!AY$4)</f>
        <v>0</v>
      </c>
      <c r="AZ46" s="16">
        <f xml:space="preserve"> SUMIFS('FS Semi'!$J46:$CV46, 'FS Semi'!$J$4:$CV$4, 'FS Ann'!AZ$4)</f>
        <v>0</v>
      </c>
      <c r="BA46" s="16">
        <f xml:space="preserve"> SUMIFS('FS Semi'!$J46:$CV46, 'FS Semi'!$J$4:$CV$4, 'FS Ann'!BA$4)</f>
        <v>0</v>
      </c>
      <c r="BB46" s="16">
        <f xml:space="preserve"> SUMIFS('FS Semi'!$J46:$CV46, 'FS Semi'!$J$4:$CV$4, 'FS Ann'!BB$4)</f>
        <v>0</v>
      </c>
    </row>
    <row r="47" spans="1:56" outlineLevel="1" x14ac:dyDescent="0.2">
      <c r="A47" s="1"/>
      <c r="B47" s="1"/>
      <c r="C47" s="19"/>
      <c r="D47" s="83"/>
      <c r="E47" s="84" t="s">
        <v>293</v>
      </c>
      <c r="F47" s="84"/>
      <c r="G47" s="324" t="str">
        <f>SMU</f>
        <v>$ 000s</v>
      </c>
      <c r="H47" s="233">
        <f t="shared" si="14"/>
        <v>599589.31182003266</v>
      </c>
      <c r="I47" s="84"/>
      <c r="J47" s="84">
        <f t="shared" ref="J47:BB47" si="17">SUM(J41:J46)</f>
        <v>0</v>
      </c>
      <c r="K47" s="84">
        <f t="shared" si="17"/>
        <v>0</v>
      </c>
      <c r="L47" s="84">
        <f t="shared" si="17"/>
        <v>11940</v>
      </c>
      <c r="M47" s="84">
        <f t="shared" si="17"/>
        <v>33468.747997357961</v>
      </c>
      <c r="N47" s="84">
        <f t="shared" si="17"/>
        <v>31334.22431247454</v>
      </c>
      <c r="O47" s="84">
        <f t="shared" si="17"/>
        <v>31093.501426743609</v>
      </c>
      <c r="P47" s="84">
        <f t="shared" si="17"/>
        <v>30870.713773099986</v>
      </c>
      <c r="Q47" s="84">
        <f t="shared" si="17"/>
        <v>30581.594452750454</v>
      </c>
      <c r="R47" s="84">
        <f t="shared" si="17"/>
        <v>30352.376830135421</v>
      </c>
      <c r="S47" s="84">
        <f t="shared" si="17"/>
        <v>30098.791324517508</v>
      </c>
      <c r="T47" s="84">
        <f t="shared" si="17"/>
        <v>29862.178432370143</v>
      </c>
      <c r="U47" s="84">
        <f t="shared" si="17"/>
        <v>29561.023764665166</v>
      </c>
      <c r="V47" s="84">
        <f t="shared" si="17"/>
        <v>29317.418128556259</v>
      </c>
      <c r="W47" s="84">
        <f t="shared" si="17"/>
        <v>29049.844230461906</v>
      </c>
      <c r="X47" s="84">
        <f t="shared" si="17"/>
        <v>28798.219838276</v>
      </c>
      <c r="Y47" s="84">
        <f t="shared" si="17"/>
        <v>28483.934326269795</v>
      </c>
      <c r="Z47" s="84">
        <f t="shared" si="17"/>
        <v>28224.707919219112</v>
      </c>
      <c r="AA47" s="84">
        <f t="shared" si="17"/>
        <v>27941.926845778751</v>
      </c>
      <c r="AB47" s="84">
        <f t="shared" si="17"/>
        <v>27674.006503329194</v>
      </c>
      <c r="AC47" s="84">
        <f t="shared" si="17"/>
        <v>27345.404468574474</v>
      </c>
      <c r="AD47" s="84">
        <f t="shared" si="17"/>
        <v>27069.222485523365</v>
      </c>
      <c r="AE47" s="84">
        <f t="shared" si="17"/>
        <v>26769.914724217455</v>
      </c>
      <c r="AF47" s="84">
        <f t="shared" si="17"/>
        <v>29751.560035711533</v>
      </c>
      <c r="AG47" s="84">
        <f t="shared" si="17"/>
        <v>0</v>
      </c>
      <c r="AH47" s="84">
        <f t="shared" si="17"/>
        <v>0</v>
      </c>
      <c r="AI47" s="84">
        <f t="shared" si="17"/>
        <v>0</v>
      </c>
      <c r="AJ47" s="84">
        <f t="shared" si="17"/>
        <v>0</v>
      </c>
      <c r="AK47" s="84">
        <f t="shared" si="17"/>
        <v>0</v>
      </c>
      <c r="AL47" s="84">
        <f t="shared" si="17"/>
        <v>0</v>
      </c>
      <c r="AM47" s="84">
        <f t="shared" si="17"/>
        <v>0</v>
      </c>
      <c r="AN47" s="84">
        <f t="shared" si="17"/>
        <v>0</v>
      </c>
      <c r="AO47" s="84">
        <f t="shared" si="17"/>
        <v>0</v>
      </c>
      <c r="AP47" s="84">
        <f t="shared" si="17"/>
        <v>0</v>
      </c>
      <c r="AQ47" s="84">
        <f t="shared" si="17"/>
        <v>0</v>
      </c>
      <c r="AR47" s="84">
        <f t="shared" si="17"/>
        <v>0</v>
      </c>
      <c r="AS47" s="84">
        <f t="shared" si="17"/>
        <v>0</v>
      </c>
      <c r="AT47" s="84">
        <f t="shared" si="17"/>
        <v>0</v>
      </c>
      <c r="AU47" s="84">
        <f t="shared" si="17"/>
        <v>0</v>
      </c>
      <c r="AV47" s="84">
        <f t="shared" si="17"/>
        <v>0</v>
      </c>
      <c r="AW47" s="84">
        <f t="shared" si="17"/>
        <v>0</v>
      </c>
      <c r="AX47" s="84">
        <f t="shared" si="17"/>
        <v>0</v>
      </c>
      <c r="AY47" s="84">
        <f t="shared" si="17"/>
        <v>0</v>
      </c>
      <c r="AZ47" s="84">
        <f t="shared" si="17"/>
        <v>0</v>
      </c>
      <c r="BA47" s="84">
        <f t="shared" si="17"/>
        <v>0</v>
      </c>
      <c r="BB47" s="84">
        <f t="shared" si="17"/>
        <v>0</v>
      </c>
    </row>
    <row r="48" spans="1:56" outlineLevel="1" x14ac:dyDescent="0.2">
      <c r="A48" s="1"/>
      <c r="B48" s="1"/>
      <c r="C48" s="19"/>
      <c r="D48" s="83"/>
      <c r="E48" s="16"/>
      <c r="F48" s="16"/>
      <c r="G48" s="381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outlineLevel="1" x14ac:dyDescent="0.2">
      <c r="A49" s="1"/>
      <c r="B49" s="1"/>
      <c r="C49" s="19"/>
      <c r="D49" s="83"/>
      <c r="E49" s="16" t="str">
        <f xml:space="preserve"> 'FS Semi'!E49</f>
        <v>Construction costs</v>
      </c>
      <c r="F49" s="16">
        <f xml:space="preserve"> 'FS Semi'!F49</f>
        <v>0</v>
      </c>
      <c r="G49" s="381" t="str">
        <f xml:space="preserve"> 'FS Semi'!G49</f>
        <v>$ 000s</v>
      </c>
      <c r="H49" s="16">
        <f t="shared" si="14"/>
        <v>-309322.30772000004</v>
      </c>
      <c r="I49" s="16"/>
      <c r="J49" s="16">
        <f xml:space="preserve"> SUMIFS('FS Semi'!$J49:$CV49, 'FS Semi'!$J$4:$CV$4, 'FS Ann'!J$4)</f>
        <v>-31455.562132307692</v>
      </c>
      <c r="K49" s="16">
        <f xml:space="preserve"> SUMIFS('FS Semi'!$J49:$CV49, 'FS Semi'!$J$4:$CV$4, 'FS Ann'!K$4)</f>
        <v>-138933.37279384615</v>
      </c>
      <c r="L49" s="16">
        <f xml:space="preserve"> SUMIFS('FS Semi'!$J49:$CV49, 'FS Semi'!$J$4:$CV$4, 'FS Ann'!L$4)</f>
        <v>-138933.37279384615</v>
      </c>
      <c r="M49" s="16">
        <f xml:space="preserve"> SUMIFS('FS Semi'!$J49:$CV49, 'FS Semi'!$J$4:$CV$4, 'FS Ann'!M$4)</f>
        <v>0</v>
      </c>
      <c r="N49" s="16">
        <f xml:space="preserve"> SUMIFS('FS Semi'!$J49:$CV49, 'FS Semi'!$J$4:$CV$4, 'FS Ann'!N$4)</f>
        <v>0</v>
      </c>
      <c r="O49" s="16">
        <f xml:space="preserve"> SUMIFS('FS Semi'!$J49:$CV49, 'FS Semi'!$J$4:$CV$4, 'FS Ann'!O$4)</f>
        <v>0</v>
      </c>
      <c r="P49" s="16">
        <f xml:space="preserve"> SUMIFS('FS Semi'!$J49:$CV49, 'FS Semi'!$J$4:$CV$4, 'FS Ann'!P$4)</f>
        <v>0</v>
      </c>
      <c r="Q49" s="16">
        <f xml:space="preserve"> SUMIFS('FS Semi'!$J49:$CV49, 'FS Semi'!$J$4:$CV$4, 'FS Ann'!Q$4)</f>
        <v>0</v>
      </c>
      <c r="R49" s="16">
        <f xml:space="preserve"> SUMIFS('FS Semi'!$J49:$CV49, 'FS Semi'!$J$4:$CV$4, 'FS Ann'!R$4)</f>
        <v>0</v>
      </c>
      <c r="S49" s="16">
        <f xml:space="preserve"> SUMIFS('FS Semi'!$J49:$CV49, 'FS Semi'!$J$4:$CV$4, 'FS Ann'!S$4)</f>
        <v>0</v>
      </c>
      <c r="T49" s="16">
        <f xml:space="preserve"> SUMIFS('FS Semi'!$J49:$CV49, 'FS Semi'!$J$4:$CV$4, 'FS Ann'!T$4)</f>
        <v>0</v>
      </c>
      <c r="U49" s="16">
        <f xml:space="preserve"> SUMIFS('FS Semi'!$J49:$CV49, 'FS Semi'!$J$4:$CV$4, 'FS Ann'!U$4)</f>
        <v>0</v>
      </c>
      <c r="V49" s="16">
        <f xml:space="preserve"> SUMIFS('FS Semi'!$J49:$CV49, 'FS Semi'!$J$4:$CV$4, 'FS Ann'!V$4)</f>
        <v>0</v>
      </c>
      <c r="W49" s="16">
        <f xml:space="preserve"> SUMIFS('FS Semi'!$J49:$CV49, 'FS Semi'!$J$4:$CV$4, 'FS Ann'!W$4)</f>
        <v>0</v>
      </c>
      <c r="X49" s="16">
        <f xml:space="preserve"> SUMIFS('FS Semi'!$J49:$CV49, 'FS Semi'!$J$4:$CV$4, 'FS Ann'!X$4)</f>
        <v>0</v>
      </c>
      <c r="Y49" s="16">
        <f xml:space="preserve"> SUMIFS('FS Semi'!$J49:$CV49, 'FS Semi'!$J$4:$CV$4, 'FS Ann'!Y$4)</f>
        <v>0</v>
      </c>
      <c r="Z49" s="16">
        <f xml:space="preserve"> SUMIFS('FS Semi'!$J49:$CV49, 'FS Semi'!$J$4:$CV$4, 'FS Ann'!Z$4)</f>
        <v>0</v>
      </c>
      <c r="AA49" s="16">
        <f xml:space="preserve"> SUMIFS('FS Semi'!$J49:$CV49, 'FS Semi'!$J$4:$CV$4, 'FS Ann'!AA$4)</f>
        <v>0</v>
      </c>
      <c r="AB49" s="16">
        <f xml:space="preserve"> SUMIFS('FS Semi'!$J49:$CV49, 'FS Semi'!$J$4:$CV$4, 'FS Ann'!AB$4)</f>
        <v>0</v>
      </c>
      <c r="AC49" s="16">
        <f xml:space="preserve"> SUMIFS('FS Semi'!$J49:$CV49, 'FS Semi'!$J$4:$CV$4, 'FS Ann'!AC$4)</f>
        <v>0</v>
      </c>
      <c r="AD49" s="16">
        <f xml:space="preserve"> SUMIFS('FS Semi'!$J49:$CV49, 'FS Semi'!$J$4:$CV$4, 'FS Ann'!AD$4)</f>
        <v>0</v>
      </c>
      <c r="AE49" s="16">
        <f xml:space="preserve"> SUMIFS('FS Semi'!$J49:$CV49, 'FS Semi'!$J$4:$CV$4, 'FS Ann'!AE$4)</f>
        <v>0</v>
      </c>
      <c r="AF49" s="16">
        <f xml:space="preserve"> SUMIFS('FS Semi'!$J49:$CV49, 'FS Semi'!$J$4:$CV$4, 'FS Ann'!AF$4)</f>
        <v>0</v>
      </c>
      <c r="AG49" s="16">
        <f xml:space="preserve"> SUMIFS('FS Semi'!$J49:$CV49, 'FS Semi'!$J$4:$CV$4, 'FS Ann'!AG$4)</f>
        <v>0</v>
      </c>
      <c r="AH49" s="16">
        <f xml:space="preserve"> SUMIFS('FS Semi'!$J49:$CV49, 'FS Semi'!$J$4:$CV$4, 'FS Ann'!AH$4)</f>
        <v>0</v>
      </c>
      <c r="AI49" s="16">
        <f xml:space="preserve"> SUMIFS('FS Semi'!$J49:$CV49, 'FS Semi'!$J$4:$CV$4, 'FS Ann'!AI$4)</f>
        <v>0</v>
      </c>
      <c r="AJ49" s="16">
        <f xml:space="preserve"> SUMIFS('FS Semi'!$J49:$CV49, 'FS Semi'!$J$4:$CV$4, 'FS Ann'!AJ$4)</f>
        <v>0</v>
      </c>
      <c r="AK49" s="16">
        <f xml:space="preserve"> SUMIFS('FS Semi'!$J49:$CV49, 'FS Semi'!$J$4:$CV$4, 'FS Ann'!AK$4)</f>
        <v>0</v>
      </c>
      <c r="AL49" s="16">
        <f xml:space="preserve"> SUMIFS('FS Semi'!$J49:$CV49, 'FS Semi'!$J$4:$CV$4, 'FS Ann'!AL$4)</f>
        <v>0</v>
      </c>
      <c r="AM49" s="16">
        <f xml:space="preserve"> SUMIFS('FS Semi'!$J49:$CV49, 'FS Semi'!$J$4:$CV$4, 'FS Ann'!AM$4)</f>
        <v>0</v>
      </c>
      <c r="AN49" s="16">
        <f xml:space="preserve"> SUMIFS('FS Semi'!$J49:$CV49, 'FS Semi'!$J$4:$CV$4, 'FS Ann'!AN$4)</f>
        <v>0</v>
      </c>
      <c r="AO49" s="16">
        <f xml:space="preserve"> SUMIFS('FS Semi'!$J49:$CV49, 'FS Semi'!$J$4:$CV$4, 'FS Ann'!AO$4)</f>
        <v>0</v>
      </c>
      <c r="AP49" s="16">
        <f xml:space="preserve"> SUMIFS('FS Semi'!$J49:$CV49, 'FS Semi'!$J$4:$CV$4, 'FS Ann'!AP$4)</f>
        <v>0</v>
      </c>
      <c r="AQ49" s="16">
        <f xml:space="preserve"> SUMIFS('FS Semi'!$J49:$CV49, 'FS Semi'!$J$4:$CV$4, 'FS Ann'!AQ$4)</f>
        <v>0</v>
      </c>
      <c r="AR49" s="16">
        <f xml:space="preserve"> SUMIFS('FS Semi'!$J49:$CV49, 'FS Semi'!$J$4:$CV$4, 'FS Ann'!AR$4)</f>
        <v>0</v>
      </c>
      <c r="AS49" s="16">
        <f xml:space="preserve"> SUMIFS('FS Semi'!$J49:$CV49, 'FS Semi'!$J$4:$CV$4, 'FS Ann'!AS$4)</f>
        <v>0</v>
      </c>
      <c r="AT49" s="16">
        <f xml:space="preserve"> SUMIFS('FS Semi'!$J49:$CV49, 'FS Semi'!$J$4:$CV$4, 'FS Ann'!AT$4)</f>
        <v>0</v>
      </c>
      <c r="AU49" s="16">
        <f xml:space="preserve"> SUMIFS('FS Semi'!$J49:$CV49, 'FS Semi'!$J$4:$CV$4, 'FS Ann'!AU$4)</f>
        <v>0</v>
      </c>
      <c r="AV49" s="16">
        <f xml:space="preserve"> SUMIFS('FS Semi'!$J49:$CV49, 'FS Semi'!$J$4:$CV$4, 'FS Ann'!AV$4)</f>
        <v>0</v>
      </c>
      <c r="AW49" s="16">
        <f xml:space="preserve"> SUMIFS('FS Semi'!$J49:$CV49, 'FS Semi'!$J$4:$CV$4, 'FS Ann'!AW$4)</f>
        <v>0</v>
      </c>
      <c r="AX49" s="16">
        <f xml:space="preserve"> SUMIFS('FS Semi'!$J49:$CV49, 'FS Semi'!$J$4:$CV$4, 'FS Ann'!AX$4)</f>
        <v>0</v>
      </c>
      <c r="AY49" s="16">
        <f xml:space="preserve"> SUMIFS('FS Semi'!$J49:$CV49, 'FS Semi'!$J$4:$CV$4, 'FS Ann'!AY$4)</f>
        <v>0</v>
      </c>
      <c r="AZ49" s="16">
        <f xml:space="preserve"> SUMIFS('FS Semi'!$J49:$CV49, 'FS Semi'!$J$4:$CV$4, 'FS Ann'!AZ$4)</f>
        <v>0</v>
      </c>
      <c r="BA49" s="16">
        <f xml:space="preserve"> SUMIFS('FS Semi'!$J49:$CV49, 'FS Semi'!$J$4:$CV$4, 'FS Ann'!BA$4)</f>
        <v>0</v>
      </c>
      <c r="BB49" s="16">
        <f xml:space="preserve"> SUMIFS('FS Semi'!$J49:$CV49, 'FS Semi'!$J$4:$CV$4, 'FS Ann'!BB$4)</f>
        <v>0</v>
      </c>
    </row>
    <row r="50" spans="1:54" outlineLevel="1" x14ac:dyDescent="0.2">
      <c r="A50" s="1"/>
      <c r="B50" s="1"/>
      <c r="C50" s="19"/>
      <c r="D50" s="83"/>
      <c r="E50" s="16" t="str">
        <f xml:space="preserve"> 'FS Semi'!E50</f>
        <v>Financing fees</v>
      </c>
      <c r="F50" s="16">
        <f xml:space="preserve"> 'FS Semi'!F50</f>
        <v>0</v>
      </c>
      <c r="G50" s="381" t="str">
        <f xml:space="preserve"> 'FS Semi'!G50</f>
        <v>$ 000s</v>
      </c>
      <c r="H50" s="16">
        <f t="shared" si="14"/>
        <v>-24335.550022039701</v>
      </c>
      <c r="I50" s="16"/>
      <c r="J50" s="16">
        <f xml:space="preserve"> SUMIFS('FS Semi'!$J50:$CV50, 'FS Semi'!$J$4:$CV$4, 'FS Ann'!J$4)</f>
        <v>-7199.4501905899378</v>
      </c>
      <c r="K50" s="16">
        <f xml:space="preserve"> SUMIFS('FS Semi'!$J50:$CV50, 'FS Semi'!$J$4:$CV$4, 'FS Ann'!K$4)</f>
        <v>-6112.0401963860386</v>
      </c>
      <c r="L50" s="16">
        <f xml:space="preserve"> SUMIFS('FS Semi'!$J50:$CV50, 'FS Semi'!$J$4:$CV$4, 'FS Ann'!L$4)</f>
        <v>-11024.059635063722</v>
      </c>
      <c r="M50" s="16">
        <f xml:space="preserve"> SUMIFS('FS Semi'!$J50:$CV50, 'FS Semi'!$J$4:$CV$4, 'FS Ann'!M$4)</f>
        <v>0</v>
      </c>
      <c r="N50" s="16">
        <f xml:space="preserve"> SUMIFS('FS Semi'!$J50:$CV50, 'FS Semi'!$J$4:$CV$4, 'FS Ann'!N$4)</f>
        <v>0</v>
      </c>
      <c r="O50" s="16">
        <f xml:space="preserve"> SUMIFS('FS Semi'!$J50:$CV50, 'FS Semi'!$J$4:$CV$4, 'FS Ann'!O$4)</f>
        <v>0</v>
      </c>
      <c r="P50" s="16">
        <f xml:space="preserve"> SUMIFS('FS Semi'!$J50:$CV50, 'FS Semi'!$J$4:$CV$4, 'FS Ann'!P$4)</f>
        <v>0</v>
      </c>
      <c r="Q50" s="16">
        <f xml:space="preserve"> SUMIFS('FS Semi'!$J50:$CV50, 'FS Semi'!$J$4:$CV$4, 'FS Ann'!Q$4)</f>
        <v>0</v>
      </c>
      <c r="R50" s="16">
        <f xml:space="preserve"> SUMIFS('FS Semi'!$J50:$CV50, 'FS Semi'!$J$4:$CV$4, 'FS Ann'!R$4)</f>
        <v>0</v>
      </c>
      <c r="S50" s="16">
        <f xml:space="preserve"> SUMIFS('FS Semi'!$J50:$CV50, 'FS Semi'!$J$4:$CV$4, 'FS Ann'!S$4)</f>
        <v>0</v>
      </c>
      <c r="T50" s="16">
        <f xml:space="preserve"> SUMIFS('FS Semi'!$J50:$CV50, 'FS Semi'!$J$4:$CV$4, 'FS Ann'!T$4)</f>
        <v>0</v>
      </c>
      <c r="U50" s="16">
        <f xml:space="preserve"> SUMIFS('FS Semi'!$J50:$CV50, 'FS Semi'!$J$4:$CV$4, 'FS Ann'!U$4)</f>
        <v>0</v>
      </c>
      <c r="V50" s="16">
        <f xml:space="preserve"> SUMIFS('FS Semi'!$J50:$CV50, 'FS Semi'!$J$4:$CV$4, 'FS Ann'!V$4)</f>
        <v>0</v>
      </c>
      <c r="W50" s="16">
        <f xml:space="preserve"> SUMIFS('FS Semi'!$J50:$CV50, 'FS Semi'!$J$4:$CV$4, 'FS Ann'!W$4)</f>
        <v>0</v>
      </c>
      <c r="X50" s="16">
        <f xml:space="preserve"> SUMIFS('FS Semi'!$J50:$CV50, 'FS Semi'!$J$4:$CV$4, 'FS Ann'!X$4)</f>
        <v>0</v>
      </c>
      <c r="Y50" s="16">
        <f xml:space="preserve"> SUMIFS('FS Semi'!$J50:$CV50, 'FS Semi'!$J$4:$CV$4, 'FS Ann'!Y$4)</f>
        <v>0</v>
      </c>
      <c r="Z50" s="16">
        <f xml:space="preserve"> SUMIFS('FS Semi'!$J50:$CV50, 'FS Semi'!$J$4:$CV$4, 'FS Ann'!Z$4)</f>
        <v>0</v>
      </c>
      <c r="AA50" s="16">
        <f xml:space="preserve"> SUMIFS('FS Semi'!$J50:$CV50, 'FS Semi'!$J$4:$CV$4, 'FS Ann'!AA$4)</f>
        <v>0</v>
      </c>
      <c r="AB50" s="16">
        <f xml:space="preserve"> SUMIFS('FS Semi'!$J50:$CV50, 'FS Semi'!$J$4:$CV$4, 'FS Ann'!AB$4)</f>
        <v>0</v>
      </c>
      <c r="AC50" s="16">
        <f xml:space="preserve"> SUMIFS('FS Semi'!$J50:$CV50, 'FS Semi'!$J$4:$CV$4, 'FS Ann'!AC$4)</f>
        <v>0</v>
      </c>
      <c r="AD50" s="16">
        <f xml:space="preserve"> SUMIFS('FS Semi'!$J50:$CV50, 'FS Semi'!$J$4:$CV$4, 'FS Ann'!AD$4)</f>
        <v>0</v>
      </c>
      <c r="AE50" s="16">
        <f xml:space="preserve"> SUMIFS('FS Semi'!$J50:$CV50, 'FS Semi'!$J$4:$CV$4, 'FS Ann'!AE$4)</f>
        <v>0</v>
      </c>
      <c r="AF50" s="16">
        <f xml:space="preserve"> SUMIFS('FS Semi'!$J50:$CV50, 'FS Semi'!$J$4:$CV$4, 'FS Ann'!AF$4)</f>
        <v>0</v>
      </c>
      <c r="AG50" s="16">
        <f xml:space="preserve"> SUMIFS('FS Semi'!$J50:$CV50, 'FS Semi'!$J$4:$CV$4, 'FS Ann'!AG$4)</f>
        <v>0</v>
      </c>
      <c r="AH50" s="16">
        <f xml:space="preserve"> SUMIFS('FS Semi'!$J50:$CV50, 'FS Semi'!$J$4:$CV$4, 'FS Ann'!AH$4)</f>
        <v>0</v>
      </c>
      <c r="AI50" s="16">
        <f xml:space="preserve"> SUMIFS('FS Semi'!$J50:$CV50, 'FS Semi'!$J$4:$CV$4, 'FS Ann'!AI$4)</f>
        <v>0</v>
      </c>
      <c r="AJ50" s="16">
        <f xml:space="preserve"> SUMIFS('FS Semi'!$J50:$CV50, 'FS Semi'!$J$4:$CV$4, 'FS Ann'!AJ$4)</f>
        <v>0</v>
      </c>
      <c r="AK50" s="16">
        <f xml:space="preserve"> SUMIFS('FS Semi'!$J50:$CV50, 'FS Semi'!$J$4:$CV$4, 'FS Ann'!AK$4)</f>
        <v>0</v>
      </c>
      <c r="AL50" s="16">
        <f xml:space="preserve"> SUMIFS('FS Semi'!$J50:$CV50, 'FS Semi'!$J$4:$CV$4, 'FS Ann'!AL$4)</f>
        <v>0</v>
      </c>
      <c r="AM50" s="16">
        <f xml:space="preserve"> SUMIFS('FS Semi'!$J50:$CV50, 'FS Semi'!$J$4:$CV$4, 'FS Ann'!AM$4)</f>
        <v>0</v>
      </c>
      <c r="AN50" s="16">
        <f xml:space="preserve"> SUMIFS('FS Semi'!$J50:$CV50, 'FS Semi'!$J$4:$CV$4, 'FS Ann'!AN$4)</f>
        <v>0</v>
      </c>
      <c r="AO50" s="16">
        <f xml:space="preserve"> SUMIFS('FS Semi'!$J50:$CV50, 'FS Semi'!$J$4:$CV$4, 'FS Ann'!AO$4)</f>
        <v>0</v>
      </c>
      <c r="AP50" s="16">
        <f xml:space="preserve"> SUMIFS('FS Semi'!$J50:$CV50, 'FS Semi'!$J$4:$CV$4, 'FS Ann'!AP$4)</f>
        <v>0</v>
      </c>
      <c r="AQ50" s="16">
        <f xml:space="preserve"> SUMIFS('FS Semi'!$J50:$CV50, 'FS Semi'!$J$4:$CV$4, 'FS Ann'!AQ$4)</f>
        <v>0</v>
      </c>
      <c r="AR50" s="16">
        <f xml:space="preserve"> SUMIFS('FS Semi'!$J50:$CV50, 'FS Semi'!$J$4:$CV$4, 'FS Ann'!AR$4)</f>
        <v>0</v>
      </c>
      <c r="AS50" s="16">
        <f xml:space="preserve"> SUMIFS('FS Semi'!$J50:$CV50, 'FS Semi'!$J$4:$CV$4, 'FS Ann'!AS$4)</f>
        <v>0</v>
      </c>
      <c r="AT50" s="16">
        <f xml:space="preserve"> SUMIFS('FS Semi'!$J50:$CV50, 'FS Semi'!$J$4:$CV$4, 'FS Ann'!AT$4)</f>
        <v>0</v>
      </c>
      <c r="AU50" s="16">
        <f xml:space="preserve"> SUMIFS('FS Semi'!$J50:$CV50, 'FS Semi'!$J$4:$CV$4, 'FS Ann'!AU$4)</f>
        <v>0</v>
      </c>
      <c r="AV50" s="16">
        <f xml:space="preserve"> SUMIFS('FS Semi'!$J50:$CV50, 'FS Semi'!$J$4:$CV$4, 'FS Ann'!AV$4)</f>
        <v>0</v>
      </c>
      <c r="AW50" s="16">
        <f xml:space="preserve"> SUMIFS('FS Semi'!$J50:$CV50, 'FS Semi'!$J$4:$CV$4, 'FS Ann'!AW$4)</f>
        <v>0</v>
      </c>
      <c r="AX50" s="16">
        <f xml:space="preserve"> SUMIFS('FS Semi'!$J50:$CV50, 'FS Semi'!$J$4:$CV$4, 'FS Ann'!AX$4)</f>
        <v>0</v>
      </c>
      <c r="AY50" s="16">
        <f xml:space="preserve"> SUMIFS('FS Semi'!$J50:$CV50, 'FS Semi'!$J$4:$CV$4, 'FS Ann'!AY$4)</f>
        <v>0</v>
      </c>
      <c r="AZ50" s="16">
        <f xml:space="preserve"> SUMIFS('FS Semi'!$J50:$CV50, 'FS Semi'!$J$4:$CV$4, 'FS Ann'!AZ$4)</f>
        <v>0</v>
      </c>
      <c r="BA50" s="16">
        <f xml:space="preserve"> SUMIFS('FS Semi'!$J50:$CV50, 'FS Semi'!$J$4:$CV$4, 'FS Ann'!BA$4)</f>
        <v>0</v>
      </c>
      <c r="BB50" s="16">
        <f xml:space="preserve"> SUMIFS('FS Semi'!$J50:$CV50, 'FS Semi'!$J$4:$CV$4, 'FS Ann'!BB$4)</f>
        <v>0</v>
      </c>
    </row>
    <row r="51" spans="1:54" outlineLevel="1" x14ac:dyDescent="0.2">
      <c r="A51" s="1"/>
      <c r="B51" s="1"/>
      <c r="C51" s="19"/>
      <c r="D51" s="83"/>
      <c r="E51" s="16" t="str">
        <f xml:space="preserve"> 'FS Semi'!E51</f>
        <v>Pre-funding of working capital</v>
      </c>
      <c r="F51" s="16">
        <f xml:space="preserve"> 'FS Semi'!F51</f>
        <v>0</v>
      </c>
      <c r="G51" s="381" t="str">
        <f xml:space="preserve"> 'FS Semi'!G51</f>
        <v>$ 000s</v>
      </c>
      <c r="H51" s="16">
        <f t="shared" si="14"/>
        <v>-3857.1209730037863</v>
      </c>
      <c r="I51" s="16"/>
      <c r="J51" s="16">
        <f xml:space="preserve"> SUMIFS('FS Semi'!$J51:$CV51, 'FS Semi'!$J$4:$CV$4, 'FS Ann'!J$4)</f>
        <v>0</v>
      </c>
      <c r="K51" s="16">
        <f xml:space="preserve"> SUMIFS('FS Semi'!$J51:$CV51, 'FS Semi'!$J$4:$CV$4, 'FS Ann'!K$4)</f>
        <v>0</v>
      </c>
      <c r="L51" s="16">
        <f xml:space="preserve"> SUMIFS('FS Semi'!$J51:$CV51, 'FS Semi'!$J$4:$CV$4, 'FS Ann'!L$4)</f>
        <v>-3857.1209730037863</v>
      </c>
      <c r="M51" s="16">
        <f xml:space="preserve"> SUMIFS('FS Semi'!$J51:$CV51, 'FS Semi'!$J$4:$CV$4, 'FS Ann'!M$4)</f>
        <v>0</v>
      </c>
      <c r="N51" s="16">
        <f xml:space="preserve"> SUMIFS('FS Semi'!$J51:$CV51, 'FS Semi'!$J$4:$CV$4, 'FS Ann'!N$4)</f>
        <v>0</v>
      </c>
      <c r="O51" s="16">
        <f xml:space="preserve"> SUMIFS('FS Semi'!$J51:$CV51, 'FS Semi'!$J$4:$CV$4, 'FS Ann'!O$4)</f>
        <v>0</v>
      </c>
      <c r="P51" s="16">
        <f xml:space="preserve"> SUMIFS('FS Semi'!$J51:$CV51, 'FS Semi'!$J$4:$CV$4, 'FS Ann'!P$4)</f>
        <v>0</v>
      </c>
      <c r="Q51" s="16">
        <f xml:space="preserve"> SUMIFS('FS Semi'!$J51:$CV51, 'FS Semi'!$J$4:$CV$4, 'FS Ann'!Q$4)</f>
        <v>0</v>
      </c>
      <c r="R51" s="16">
        <f xml:space="preserve"> SUMIFS('FS Semi'!$J51:$CV51, 'FS Semi'!$J$4:$CV$4, 'FS Ann'!R$4)</f>
        <v>0</v>
      </c>
      <c r="S51" s="16">
        <f xml:space="preserve"> SUMIFS('FS Semi'!$J51:$CV51, 'FS Semi'!$J$4:$CV$4, 'FS Ann'!S$4)</f>
        <v>0</v>
      </c>
      <c r="T51" s="16">
        <f xml:space="preserve"> SUMIFS('FS Semi'!$J51:$CV51, 'FS Semi'!$J$4:$CV$4, 'FS Ann'!T$4)</f>
        <v>0</v>
      </c>
      <c r="U51" s="16">
        <f xml:space="preserve"> SUMIFS('FS Semi'!$J51:$CV51, 'FS Semi'!$J$4:$CV$4, 'FS Ann'!U$4)</f>
        <v>0</v>
      </c>
      <c r="V51" s="16">
        <f xml:space="preserve"> SUMIFS('FS Semi'!$J51:$CV51, 'FS Semi'!$J$4:$CV$4, 'FS Ann'!V$4)</f>
        <v>0</v>
      </c>
      <c r="W51" s="16">
        <f xml:space="preserve"> SUMIFS('FS Semi'!$J51:$CV51, 'FS Semi'!$J$4:$CV$4, 'FS Ann'!W$4)</f>
        <v>0</v>
      </c>
      <c r="X51" s="16">
        <f xml:space="preserve"> SUMIFS('FS Semi'!$J51:$CV51, 'FS Semi'!$J$4:$CV$4, 'FS Ann'!X$4)</f>
        <v>0</v>
      </c>
      <c r="Y51" s="16">
        <f xml:space="preserve"> SUMIFS('FS Semi'!$J51:$CV51, 'FS Semi'!$J$4:$CV$4, 'FS Ann'!Y$4)</f>
        <v>0</v>
      </c>
      <c r="Z51" s="16">
        <f xml:space="preserve"> SUMIFS('FS Semi'!$J51:$CV51, 'FS Semi'!$J$4:$CV$4, 'FS Ann'!Z$4)</f>
        <v>0</v>
      </c>
      <c r="AA51" s="16">
        <f xml:space="preserve"> SUMIFS('FS Semi'!$J51:$CV51, 'FS Semi'!$J$4:$CV$4, 'FS Ann'!AA$4)</f>
        <v>0</v>
      </c>
      <c r="AB51" s="16">
        <f xml:space="preserve"> SUMIFS('FS Semi'!$J51:$CV51, 'FS Semi'!$J$4:$CV$4, 'FS Ann'!AB$4)</f>
        <v>0</v>
      </c>
      <c r="AC51" s="16">
        <f xml:space="preserve"> SUMIFS('FS Semi'!$J51:$CV51, 'FS Semi'!$J$4:$CV$4, 'FS Ann'!AC$4)</f>
        <v>0</v>
      </c>
      <c r="AD51" s="16">
        <f xml:space="preserve"> SUMIFS('FS Semi'!$J51:$CV51, 'FS Semi'!$J$4:$CV$4, 'FS Ann'!AD$4)</f>
        <v>0</v>
      </c>
      <c r="AE51" s="16">
        <f xml:space="preserve"> SUMIFS('FS Semi'!$J51:$CV51, 'FS Semi'!$J$4:$CV$4, 'FS Ann'!AE$4)</f>
        <v>0</v>
      </c>
      <c r="AF51" s="16">
        <f xml:space="preserve"> SUMIFS('FS Semi'!$J51:$CV51, 'FS Semi'!$J$4:$CV$4, 'FS Ann'!AF$4)</f>
        <v>0</v>
      </c>
      <c r="AG51" s="16">
        <f xml:space="preserve"> SUMIFS('FS Semi'!$J51:$CV51, 'FS Semi'!$J$4:$CV$4, 'FS Ann'!AG$4)</f>
        <v>0</v>
      </c>
      <c r="AH51" s="16">
        <f xml:space="preserve"> SUMIFS('FS Semi'!$J51:$CV51, 'FS Semi'!$J$4:$CV$4, 'FS Ann'!AH$4)</f>
        <v>0</v>
      </c>
      <c r="AI51" s="16">
        <f xml:space="preserve"> SUMIFS('FS Semi'!$J51:$CV51, 'FS Semi'!$J$4:$CV$4, 'FS Ann'!AI$4)</f>
        <v>0</v>
      </c>
      <c r="AJ51" s="16">
        <f xml:space="preserve"> SUMIFS('FS Semi'!$J51:$CV51, 'FS Semi'!$J$4:$CV$4, 'FS Ann'!AJ$4)</f>
        <v>0</v>
      </c>
      <c r="AK51" s="16">
        <f xml:space="preserve"> SUMIFS('FS Semi'!$J51:$CV51, 'FS Semi'!$J$4:$CV$4, 'FS Ann'!AK$4)</f>
        <v>0</v>
      </c>
      <c r="AL51" s="16">
        <f xml:space="preserve"> SUMIFS('FS Semi'!$J51:$CV51, 'FS Semi'!$J$4:$CV$4, 'FS Ann'!AL$4)</f>
        <v>0</v>
      </c>
      <c r="AM51" s="16">
        <f xml:space="preserve"> SUMIFS('FS Semi'!$J51:$CV51, 'FS Semi'!$J$4:$CV$4, 'FS Ann'!AM$4)</f>
        <v>0</v>
      </c>
      <c r="AN51" s="16">
        <f xml:space="preserve"> SUMIFS('FS Semi'!$J51:$CV51, 'FS Semi'!$J$4:$CV$4, 'FS Ann'!AN$4)</f>
        <v>0</v>
      </c>
      <c r="AO51" s="16">
        <f xml:space="preserve"> SUMIFS('FS Semi'!$J51:$CV51, 'FS Semi'!$J$4:$CV$4, 'FS Ann'!AO$4)</f>
        <v>0</v>
      </c>
      <c r="AP51" s="16">
        <f xml:space="preserve"> SUMIFS('FS Semi'!$J51:$CV51, 'FS Semi'!$J$4:$CV$4, 'FS Ann'!AP$4)</f>
        <v>0</v>
      </c>
      <c r="AQ51" s="16">
        <f xml:space="preserve"> SUMIFS('FS Semi'!$J51:$CV51, 'FS Semi'!$J$4:$CV$4, 'FS Ann'!AQ$4)</f>
        <v>0</v>
      </c>
      <c r="AR51" s="16">
        <f xml:space="preserve"> SUMIFS('FS Semi'!$J51:$CV51, 'FS Semi'!$J$4:$CV$4, 'FS Ann'!AR$4)</f>
        <v>0</v>
      </c>
      <c r="AS51" s="16">
        <f xml:space="preserve"> SUMIFS('FS Semi'!$J51:$CV51, 'FS Semi'!$J$4:$CV$4, 'FS Ann'!AS$4)</f>
        <v>0</v>
      </c>
      <c r="AT51" s="16">
        <f xml:space="preserve"> SUMIFS('FS Semi'!$J51:$CV51, 'FS Semi'!$J$4:$CV$4, 'FS Ann'!AT$4)</f>
        <v>0</v>
      </c>
      <c r="AU51" s="16">
        <f xml:space="preserve"> SUMIFS('FS Semi'!$J51:$CV51, 'FS Semi'!$J$4:$CV$4, 'FS Ann'!AU$4)</f>
        <v>0</v>
      </c>
      <c r="AV51" s="16">
        <f xml:space="preserve"> SUMIFS('FS Semi'!$J51:$CV51, 'FS Semi'!$J$4:$CV$4, 'FS Ann'!AV$4)</f>
        <v>0</v>
      </c>
      <c r="AW51" s="16">
        <f xml:space="preserve"> SUMIFS('FS Semi'!$J51:$CV51, 'FS Semi'!$J$4:$CV$4, 'FS Ann'!AW$4)</f>
        <v>0</v>
      </c>
      <c r="AX51" s="16">
        <f xml:space="preserve"> SUMIFS('FS Semi'!$J51:$CV51, 'FS Semi'!$J$4:$CV$4, 'FS Ann'!AX$4)</f>
        <v>0</v>
      </c>
      <c r="AY51" s="16">
        <f xml:space="preserve"> SUMIFS('FS Semi'!$J51:$CV51, 'FS Semi'!$J$4:$CV$4, 'FS Ann'!AY$4)</f>
        <v>0</v>
      </c>
      <c r="AZ51" s="16">
        <f xml:space="preserve"> SUMIFS('FS Semi'!$J51:$CV51, 'FS Semi'!$J$4:$CV$4, 'FS Ann'!AZ$4)</f>
        <v>0</v>
      </c>
      <c r="BA51" s="16">
        <f xml:space="preserve"> SUMIFS('FS Semi'!$J51:$CV51, 'FS Semi'!$J$4:$CV$4, 'FS Ann'!BA$4)</f>
        <v>0</v>
      </c>
      <c r="BB51" s="16">
        <f xml:space="preserve"> SUMIFS('FS Semi'!$J51:$CV51, 'FS Semi'!$J$4:$CV$4, 'FS Ann'!BB$4)</f>
        <v>0</v>
      </c>
    </row>
    <row r="52" spans="1:54" outlineLevel="1" x14ac:dyDescent="0.2">
      <c r="A52" s="1"/>
      <c r="B52" s="1"/>
      <c r="C52" s="19"/>
      <c r="D52" s="83"/>
      <c r="E52" s="16" t="str">
        <f xml:space="preserve"> 'FS Semi'!E52</f>
        <v>Pre-funding of DSRA</v>
      </c>
      <c r="F52" s="16">
        <f xml:space="preserve"> 'FS Semi'!F52</f>
        <v>0</v>
      </c>
      <c r="G52" s="381" t="str">
        <f xml:space="preserve"> 'FS Semi'!G52</f>
        <v>$ 000s</v>
      </c>
      <c r="H52" s="16">
        <f t="shared" si="14"/>
        <v>-11233.130669939161</v>
      </c>
      <c r="I52" s="16"/>
      <c r="J52" s="16">
        <f xml:space="preserve"> SUMIFS('FS Semi'!$J52:$CV52, 'FS Semi'!$J$4:$CV$4, 'FS Ann'!J$4)</f>
        <v>0</v>
      </c>
      <c r="K52" s="16">
        <f xml:space="preserve"> SUMIFS('FS Semi'!$J52:$CV52, 'FS Semi'!$J$4:$CV$4, 'FS Ann'!K$4)</f>
        <v>0</v>
      </c>
      <c r="L52" s="16">
        <f xml:space="preserve"> SUMIFS('FS Semi'!$J52:$CV52, 'FS Semi'!$J$4:$CV$4, 'FS Ann'!L$4)</f>
        <v>-11233.130669939161</v>
      </c>
      <c r="M52" s="16">
        <f xml:space="preserve"> SUMIFS('FS Semi'!$J52:$CV52, 'FS Semi'!$J$4:$CV$4, 'FS Ann'!M$4)</f>
        <v>0</v>
      </c>
      <c r="N52" s="16">
        <f xml:space="preserve"> SUMIFS('FS Semi'!$J52:$CV52, 'FS Semi'!$J$4:$CV$4, 'FS Ann'!N$4)</f>
        <v>0</v>
      </c>
      <c r="O52" s="16">
        <f xml:space="preserve"> SUMIFS('FS Semi'!$J52:$CV52, 'FS Semi'!$J$4:$CV$4, 'FS Ann'!O$4)</f>
        <v>0</v>
      </c>
      <c r="P52" s="16">
        <f xml:space="preserve"> SUMIFS('FS Semi'!$J52:$CV52, 'FS Semi'!$J$4:$CV$4, 'FS Ann'!P$4)</f>
        <v>0</v>
      </c>
      <c r="Q52" s="16">
        <f xml:space="preserve"> SUMIFS('FS Semi'!$J52:$CV52, 'FS Semi'!$J$4:$CV$4, 'FS Ann'!Q$4)</f>
        <v>0</v>
      </c>
      <c r="R52" s="16">
        <f xml:space="preserve"> SUMIFS('FS Semi'!$J52:$CV52, 'FS Semi'!$J$4:$CV$4, 'FS Ann'!R$4)</f>
        <v>0</v>
      </c>
      <c r="S52" s="16">
        <f xml:space="preserve"> SUMIFS('FS Semi'!$J52:$CV52, 'FS Semi'!$J$4:$CV$4, 'FS Ann'!S$4)</f>
        <v>0</v>
      </c>
      <c r="T52" s="16">
        <f xml:space="preserve"> SUMIFS('FS Semi'!$J52:$CV52, 'FS Semi'!$J$4:$CV$4, 'FS Ann'!T$4)</f>
        <v>0</v>
      </c>
      <c r="U52" s="16">
        <f xml:space="preserve"> SUMIFS('FS Semi'!$J52:$CV52, 'FS Semi'!$J$4:$CV$4, 'FS Ann'!U$4)</f>
        <v>0</v>
      </c>
      <c r="V52" s="16">
        <f xml:space="preserve"> SUMIFS('FS Semi'!$J52:$CV52, 'FS Semi'!$J$4:$CV$4, 'FS Ann'!V$4)</f>
        <v>0</v>
      </c>
      <c r="W52" s="16">
        <f xml:space="preserve"> SUMIFS('FS Semi'!$J52:$CV52, 'FS Semi'!$J$4:$CV$4, 'FS Ann'!W$4)</f>
        <v>0</v>
      </c>
      <c r="X52" s="16">
        <f xml:space="preserve"> SUMIFS('FS Semi'!$J52:$CV52, 'FS Semi'!$J$4:$CV$4, 'FS Ann'!X$4)</f>
        <v>0</v>
      </c>
      <c r="Y52" s="16">
        <f xml:space="preserve"> SUMIFS('FS Semi'!$J52:$CV52, 'FS Semi'!$J$4:$CV$4, 'FS Ann'!Y$4)</f>
        <v>0</v>
      </c>
      <c r="Z52" s="16">
        <f xml:space="preserve"> SUMIFS('FS Semi'!$J52:$CV52, 'FS Semi'!$J$4:$CV$4, 'FS Ann'!Z$4)</f>
        <v>0</v>
      </c>
      <c r="AA52" s="16">
        <f xml:space="preserve"> SUMIFS('FS Semi'!$J52:$CV52, 'FS Semi'!$J$4:$CV$4, 'FS Ann'!AA$4)</f>
        <v>0</v>
      </c>
      <c r="AB52" s="16">
        <f xml:space="preserve"> SUMIFS('FS Semi'!$J52:$CV52, 'FS Semi'!$J$4:$CV$4, 'FS Ann'!AB$4)</f>
        <v>0</v>
      </c>
      <c r="AC52" s="16">
        <f xml:space="preserve"> SUMIFS('FS Semi'!$J52:$CV52, 'FS Semi'!$J$4:$CV$4, 'FS Ann'!AC$4)</f>
        <v>0</v>
      </c>
      <c r="AD52" s="16">
        <f xml:space="preserve"> SUMIFS('FS Semi'!$J52:$CV52, 'FS Semi'!$J$4:$CV$4, 'FS Ann'!AD$4)</f>
        <v>0</v>
      </c>
      <c r="AE52" s="16">
        <f xml:space="preserve"> SUMIFS('FS Semi'!$J52:$CV52, 'FS Semi'!$J$4:$CV$4, 'FS Ann'!AE$4)</f>
        <v>0</v>
      </c>
      <c r="AF52" s="16">
        <f xml:space="preserve"> SUMIFS('FS Semi'!$J52:$CV52, 'FS Semi'!$J$4:$CV$4, 'FS Ann'!AF$4)</f>
        <v>0</v>
      </c>
      <c r="AG52" s="16">
        <f xml:space="preserve"> SUMIFS('FS Semi'!$J52:$CV52, 'FS Semi'!$J$4:$CV$4, 'FS Ann'!AG$4)</f>
        <v>0</v>
      </c>
      <c r="AH52" s="16">
        <f xml:space="preserve"> SUMIFS('FS Semi'!$J52:$CV52, 'FS Semi'!$J$4:$CV$4, 'FS Ann'!AH$4)</f>
        <v>0</v>
      </c>
      <c r="AI52" s="16">
        <f xml:space="preserve"> SUMIFS('FS Semi'!$J52:$CV52, 'FS Semi'!$J$4:$CV$4, 'FS Ann'!AI$4)</f>
        <v>0</v>
      </c>
      <c r="AJ52" s="16">
        <f xml:space="preserve"> SUMIFS('FS Semi'!$J52:$CV52, 'FS Semi'!$J$4:$CV$4, 'FS Ann'!AJ$4)</f>
        <v>0</v>
      </c>
      <c r="AK52" s="16">
        <f xml:space="preserve"> SUMIFS('FS Semi'!$J52:$CV52, 'FS Semi'!$J$4:$CV$4, 'FS Ann'!AK$4)</f>
        <v>0</v>
      </c>
      <c r="AL52" s="16">
        <f xml:space="preserve"> SUMIFS('FS Semi'!$J52:$CV52, 'FS Semi'!$J$4:$CV$4, 'FS Ann'!AL$4)</f>
        <v>0</v>
      </c>
      <c r="AM52" s="16">
        <f xml:space="preserve"> SUMIFS('FS Semi'!$J52:$CV52, 'FS Semi'!$J$4:$CV$4, 'FS Ann'!AM$4)</f>
        <v>0</v>
      </c>
      <c r="AN52" s="16">
        <f xml:space="preserve"> SUMIFS('FS Semi'!$J52:$CV52, 'FS Semi'!$J$4:$CV$4, 'FS Ann'!AN$4)</f>
        <v>0</v>
      </c>
      <c r="AO52" s="16">
        <f xml:space="preserve"> SUMIFS('FS Semi'!$J52:$CV52, 'FS Semi'!$J$4:$CV$4, 'FS Ann'!AO$4)</f>
        <v>0</v>
      </c>
      <c r="AP52" s="16">
        <f xml:space="preserve"> SUMIFS('FS Semi'!$J52:$CV52, 'FS Semi'!$J$4:$CV$4, 'FS Ann'!AP$4)</f>
        <v>0</v>
      </c>
      <c r="AQ52" s="16">
        <f xml:space="preserve"> SUMIFS('FS Semi'!$J52:$CV52, 'FS Semi'!$J$4:$CV$4, 'FS Ann'!AQ$4)</f>
        <v>0</v>
      </c>
      <c r="AR52" s="16">
        <f xml:space="preserve"> SUMIFS('FS Semi'!$J52:$CV52, 'FS Semi'!$J$4:$CV$4, 'FS Ann'!AR$4)</f>
        <v>0</v>
      </c>
      <c r="AS52" s="16">
        <f xml:space="preserve"> SUMIFS('FS Semi'!$J52:$CV52, 'FS Semi'!$J$4:$CV$4, 'FS Ann'!AS$4)</f>
        <v>0</v>
      </c>
      <c r="AT52" s="16">
        <f xml:space="preserve"> SUMIFS('FS Semi'!$J52:$CV52, 'FS Semi'!$J$4:$CV$4, 'FS Ann'!AT$4)</f>
        <v>0</v>
      </c>
      <c r="AU52" s="16">
        <f xml:space="preserve"> SUMIFS('FS Semi'!$J52:$CV52, 'FS Semi'!$J$4:$CV$4, 'FS Ann'!AU$4)</f>
        <v>0</v>
      </c>
      <c r="AV52" s="16">
        <f xml:space="preserve"> SUMIFS('FS Semi'!$J52:$CV52, 'FS Semi'!$J$4:$CV$4, 'FS Ann'!AV$4)</f>
        <v>0</v>
      </c>
      <c r="AW52" s="16">
        <f xml:space="preserve"> SUMIFS('FS Semi'!$J52:$CV52, 'FS Semi'!$J$4:$CV$4, 'FS Ann'!AW$4)</f>
        <v>0</v>
      </c>
      <c r="AX52" s="16">
        <f xml:space="preserve"> SUMIFS('FS Semi'!$J52:$CV52, 'FS Semi'!$J$4:$CV$4, 'FS Ann'!AX$4)</f>
        <v>0</v>
      </c>
      <c r="AY52" s="16">
        <f xml:space="preserve"> SUMIFS('FS Semi'!$J52:$CV52, 'FS Semi'!$J$4:$CV$4, 'FS Ann'!AY$4)</f>
        <v>0</v>
      </c>
      <c r="AZ52" s="16">
        <f xml:space="preserve"> SUMIFS('FS Semi'!$J52:$CV52, 'FS Semi'!$J$4:$CV$4, 'FS Ann'!AZ$4)</f>
        <v>0</v>
      </c>
      <c r="BA52" s="16">
        <f xml:space="preserve"> SUMIFS('FS Semi'!$J52:$CV52, 'FS Semi'!$J$4:$CV$4, 'FS Ann'!BA$4)</f>
        <v>0</v>
      </c>
      <c r="BB52" s="16">
        <f xml:space="preserve"> SUMIFS('FS Semi'!$J52:$CV52, 'FS Semi'!$J$4:$CV$4, 'FS Ann'!BB$4)</f>
        <v>0</v>
      </c>
    </row>
    <row r="53" spans="1:54" outlineLevel="1" x14ac:dyDescent="0.2">
      <c r="A53" s="1"/>
      <c r="B53" s="1"/>
      <c r="C53" s="19"/>
      <c r="D53" s="83"/>
      <c r="E53" s="16" t="str">
        <f xml:space="preserve"> 'FS Semi'!E53</f>
        <v>Equity bridge repayment</v>
      </c>
      <c r="F53" s="16">
        <f xml:space="preserve"> 'FS Semi'!F53</f>
        <v>0</v>
      </c>
      <c r="G53" s="381" t="str">
        <f xml:space="preserve"> 'FS Semi'!G53</f>
        <v>$ 000s</v>
      </c>
      <c r="H53" s="16">
        <f t="shared" ref="H53" si="18" xml:space="preserve"> SUM(J53:BB53)</f>
        <v>-86318.253106861201</v>
      </c>
      <c r="I53" s="16"/>
      <c r="J53" s="16">
        <f xml:space="preserve"> SUMIFS('FS Semi'!$J53:$CV53, 'FS Semi'!$J$4:$CV$4, 'FS Ann'!J$4)</f>
        <v>0</v>
      </c>
      <c r="K53" s="16">
        <f xml:space="preserve"> SUMIFS('FS Semi'!$J53:$CV53, 'FS Semi'!$J$4:$CV$4, 'FS Ann'!K$4)</f>
        <v>0</v>
      </c>
      <c r="L53" s="16">
        <f xml:space="preserve"> SUMIFS('FS Semi'!$J53:$CV53, 'FS Semi'!$J$4:$CV$4, 'FS Ann'!L$4)</f>
        <v>-86318.253106861201</v>
      </c>
      <c r="M53" s="16">
        <f xml:space="preserve"> SUMIFS('FS Semi'!$J53:$CV53, 'FS Semi'!$J$4:$CV$4, 'FS Ann'!M$4)</f>
        <v>0</v>
      </c>
      <c r="N53" s="16">
        <f xml:space="preserve"> SUMIFS('FS Semi'!$J53:$CV53, 'FS Semi'!$J$4:$CV$4, 'FS Ann'!N$4)</f>
        <v>0</v>
      </c>
      <c r="O53" s="16">
        <f xml:space="preserve"> SUMIFS('FS Semi'!$J53:$CV53, 'FS Semi'!$J$4:$CV$4, 'FS Ann'!O$4)</f>
        <v>0</v>
      </c>
      <c r="P53" s="16">
        <f xml:space="preserve"> SUMIFS('FS Semi'!$J53:$CV53, 'FS Semi'!$J$4:$CV$4, 'FS Ann'!P$4)</f>
        <v>0</v>
      </c>
      <c r="Q53" s="16">
        <f xml:space="preserve"> SUMIFS('FS Semi'!$J53:$CV53, 'FS Semi'!$J$4:$CV$4, 'FS Ann'!Q$4)</f>
        <v>0</v>
      </c>
      <c r="R53" s="16">
        <f xml:space="preserve"> SUMIFS('FS Semi'!$J53:$CV53, 'FS Semi'!$J$4:$CV$4, 'FS Ann'!R$4)</f>
        <v>0</v>
      </c>
      <c r="S53" s="16">
        <f xml:space="preserve"> SUMIFS('FS Semi'!$J53:$CV53, 'FS Semi'!$J$4:$CV$4, 'FS Ann'!S$4)</f>
        <v>0</v>
      </c>
      <c r="T53" s="16">
        <f xml:space="preserve"> SUMIFS('FS Semi'!$J53:$CV53, 'FS Semi'!$J$4:$CV$4, 'FS Ann'!T$4)</f>
        <v>0</v>
      </c>
      <c r="U53" s="16">
        <f xml:space="preserve"> SUMIFS('FS Semi'!$J53:$CV53, 'FS Semi'!$J$4:$CV$4, 'FS Ann'!U$4)</f>
        <v>0</v>
      </c>
      <c r="V53" s="16">
        <f xml:space="preserve"> SUMIFS('FS Semi'!$J53:$CV53, 'FS Semi'!$J$4:$CV$4, 'FS Ann'!V$4)</f>
        <v>0</v>
      </c>
      <c r="W53" s="16">
        <f xml:space="preserve"> SUMIFS('FS Semi'!$J53:$CV53, 'FS Semi'!$J$4:$CV$4, 'FS Ann'!W$4)</f>
        <v>0</v>
      </c>
      <c r="X53" s="16">
        <f xml:space="preserve"> SUMIFS('FS Semi'!$J53:$CV53, 'FS Semi'!$J$4:$CV$4, 'FS Ann'!X$4)</f>
        <v>0</v>
      </c>
      <c r="Y53" s="16">
        <f xml:space="preserve"> SUMIFS('FS Semi'!$J53:$CV53, 'FS Semi'!$J$4:$CV$4, 'FS Ann'!Y$4)</f>
        <v>0</v>
      </c>
      <c r="Z53" s="16">
        <f xml:space="preserve"> SUMIFS('FS Semi'!$J53:$CV53, 'FS Semi'!$J$4:$CV$4, 'FS Ann'!Z$4)</f>
        <v>0</v>
      </c>
      <c r="AA53" s="16">
        <f xml:space="preserve"> SUMIFS('FS Semi'!$J53:$CV53, 'FS Semi'!$J$4:$CV$4, 'FS Ann'!AA$4)</f>
        <v>0</v>
      </c>
      <c r="AB53" s="16">
        <f xml:space="preserve"> SUMIFS('FS Semi'!$J53:$CV53, 'FS Semi'!$J$4:$CV$4, 'FS Ann'!AB$4)</f>
        <v>0</v>
      </c>
      <c r="AC53" s="16">
        <f xml:space="preserve"> SUMIFS('FS Semi'!$J53:$CV53, 'FS Semi'!$J$4:$CV$4, 'FS Ann'!AC$4)</f>
        <v>0</v>
      </c>
      <c r="AD53" s="16">
        <f xml:space="preserve"> SUMIFS('FS Semi'!$J53:$CV53, 'FS Semi'!$J$4:$CV$4, 'FS Ann'!AD$4)</f>
        <v>0</v>
      </c>
      <c r="AE53" s="16">
        <f xml:space="preserve"> SUMIFS('FS Semi'!$J53:$CV53, 'FS Semi'!$J$4:$CV$4, 'FS Ann'!AE$4)</f>
        <v>0</v>
      </c>
      <c r="AF53" s="16">
        <f xml:space="preserve"> SUMIFS('FS Semi'!$J53:$CV53, 'FS Semi'!$J$4:$CV$4, 'FS Ann'!AF$4)</f>
        <v>0</v>
      </c>
      <c r="AG53" s="16">
        <f xml:space="preserve"> SUMIFS('FS Semi'!$J53:$CV53, 'FS Semi'!$J$4:$CV$4, 'FS Ann'!AG$4)</f>
        <v>0</v>
      </c>
      <c r="AH53" s="16">
        <f xml:space="preserve"> SUMIFS('FS Semi'!$J53:$CV53, 'FS Semi'!$J$4:$CV$4, 'FS Ann'!AH$4)</f>
        <v>0</v>
      </c>
      <c r="AI53" s="16">
        <f xml:space="preserve"> SUMIFS('FS Semi'!$J53:$CV53, 'FS Semi'!$J$4:$CV$4, 'FS Ann'!AI$4)</f>
        <v>0</v>
      </c>
      <c r="AJ53" s="16">
        <f xml:space="preserve"> SUMIFS('FS Semi'!$J53:$CV53, 'FS Semi'!$J$4:$CV$4, 'FS Ann'!AJ$4)</f>
        <v>0</v>
      </c>
      <c r="AK53" s="16">
        <f xml:space="preserve"> SUMIFS('FS Semi'!$J53:$CV53, 'FS Semi'!$J$4:$CV$4, 'FS Ann'!AK$4)</f>
        <v>0</v>
      </c>
      <c r="AL53" s="16">
        <f xml:space="preserve"> SUMIFS('FS Semi'!$J53:$CV53, 'FS Semi'!$J$4:$CV$4, 'FS Ann'!AL$4)</f>
        <v>0</v>
      </c>
      <c r="AM53" s="16">
        <f xml:space="preserve"> SUMIFS('FS Semi'!$J53:$CV53, 'FS Semi'!$J$4:$CV$4, 'FS Ann'!AM$4)</f>
        <v>0</v>
      </c>
      <c r="AN53" s="16">
        <f xml:space="preserve"> SUMIFS('FS Semi'!$J53:$CV53, 'FS Semi'!$J$4:$CV$4, 'FS Ann'!AN$4)</f>
        <v>0</v>
      </c>
      <c r="AO53" s="16">
        <f xml:space="preserve"> SUMIFS('FS Semi'!$J53:$CV53, 'FS Semi'!$J$4:$CV$4, 'FS Ann'!AO$4)</f>
        <v>0</v>
      </c>
      <c r="AP53" s="16">
        <f xml:space="preserve"> SUMIFS('FS Semi'!$J53:$CV53, 'FS Semi'!$J$4:$CV$4, 'FS Ann'!AP$4)</f>
        <v>0</v>
      </c>
      <c r="AQ53" s="16">
        <f xml:space="preserve"> SUMIFS('FS Semi'!$J53:$CV53, 'FS Semi'!$J$4:$CV$4, 'FS Ann'!AQ$4)</f>
        <v>0</v>
      </c>
      <c r="AR53" s="16">
        <f xml:space="preserve"> SUMIFS('FS Semi'!$J53:$CV53, 'FS Semi'!$J$4:$CV$4, 'FS Ann'!AR$4)</f>
        <v>0</v>
      </c>
      <c r="AS53" s="16">
        <f xml:space="preserve"> SUMIFS('FS Semi'!$J53:$CV53, 'FS Semi'!$J$4:$CV$4, 'FS Ann'!AS$4)</f>
        <v>0</v>
      </c>
      <c r="AT53" s="16">
        <f xml:space="preserve"> SUMIFS('FS Semi'!$J53:$CV53, 'FS Semi'!$J$4:$CV$4, 'FS Ann'!AT$4)</f>
        <v>0</v>
      </c>
      <c r="AU53" s="16">
        <f xml:space="preserve"> SUMIFS('FS Semi'!$J53:$CV53, 'FS Semi'!$J$4:$CV$4, 'FS Ann'!AU$4)</f>
        <v>0</v>
      </c>
      <c r="AV53" s="16">
        <f xml:space="preserve"> SUMIFS('FS Semi'!$J53:$CV53, 'FS Semi'!$J$4:$CV$4, 'FS Ann'!AV$4)</f>
        <v>0</v>
      </c>
      <c r="AW53" s="16">
        <f xml:space="preserve"> SUMIFS('FS Semi'!$J53:$CV53, 'FS Semi'!$J$4:$CV$4, 'FS Ann'!AW$4)</f>
        <v>0</v>
      </c>
      <c r="AX53" s="16">
        <f xml:space="preserve"> SUMIFS('FS Semi'!$J53:$CV53, 'FS Semi'!$J$4:$CV$4, 'FS Ann'!AX$4)</f>
        <v>0</v>
      </c>
      <c r="AY53" s="16">
        <f xml:space="preserve"> SUMIFS('FS Semi'!$J53:$CV53, 'FS Semi'!$J$4:$CV$4, 'FS Ann'!AY$4)</f>
        <v>0</v>
      </c>
      <c r="AZ53" s="16">
        <f xml:space="preserve"> SUMIFS('FS Semi'!$J53:$CV53, 'FS Semi'!$J$4:$CV$4, 'FS Ann'!AZ$4)</f>
        <v>0</v>
      </c>
      <c r="BA53" s="16">
        <f xml:space="preserve"> SUMIFS('FS Semi'!$J53:$CV53, 'FS Semi'!$J$4:$CV$4, 'FS Ann'!BA$4)</f>
        <v>0</v>
      </c>
      <c r="BB53" s="16">
        <f xml:space="preserve"> SUMIFS('FS Semi'!$J53:$CV53, 'FS Semi'!$J$4:$CV$4, 'FS Ann'!BB$4)</f>
        <v>0</v>
      </c>
    </row>
    <row r="54" spans="1:54" outlineLevel="1" x14ac:dyDescent="0.2">
      <c r="A54" s="1"/>
      <c r="B54" s="1"/>
      <c r="C54" s="19"/>
      <c r="D54" s="83"/>
      <c r="E54" s="16" t="str">
        <f xml:space="preserve"> 'FS Semi'!E54</f>
        <v>Share capital drawdown</v>
      </c>
      <c r="F54" s="16">
        <f xml:space="preserve"> 'FS Semi'!F54</f>
        <v>0</v>
      </c>
      <c r="G54" s="381" t="str">
        <f xml:space="preserve"> 'FS Semi'!G54</f>
        <v>$ 000s</v>
      </c>
      <c r="H54" s="16">
        <f t="shared" si="14"/>
        <v>100</v>
      </c>
      <c r="I54" s="16"/>
      <c r="J54" s="16">
        <f xml:space="preserve"> SUMIFS('FS Semi'!$J54:$CV54, 'FS Semi'!$J$4:$CV$4, 'FS Ann'!J$4)</f>
        <v>100</v>
      </c>
      <c r="K54" s="16">
        <f xml:space="preserve"> SUMIFS('FS Semi'!$J54:$CV54, 'FS Semi'!$J$4:$CV$4, 'FS Ann'!K$4)</f>
        <v>0</v>
      </c>
      <c r="L54" s="16">
        <f xml:space="preserve"> SUMIFS('FS Semi'!$J54:$CV54, 'FS Semi'!$J$4:$CV$4, 'FS Ann'!L$4)</f>
        <v>0</v>
      </c>
      <c r="M54" s="16">
        <f xml:space="preserve"> SUMIFS('FS Semi'!$J54:$CV54, 'FS Semi'!$J$4:$CV$4, 'FS Ann'!M$4)</f>
        <v>0</v>
      </c>
      <c r="N54" s="16">
        <f xml:space="preserve"> SUMIFS('FS Semi'!$J54:$CV54, 'FS Semi'!$J$4:$CV$4, 'FS Ann'!N$4)</f>
        <v>0</v>
      </c>
      <c r="O54" s="16">
        <f xml:space="preserve"> SUMIFS('FS Semi'!$J54:$CV54, 'FS Semi'!$J$4:$CV$4, 'FS Ann'!O$4)</f>
        <v>0</v>
      </c>
      <c r="P54" s="16">
        <f xml:space="preserve"> SUMIFS('FS Semi'!$J54:$CV54, 'FS Semi'!$J$4:$CV$4, 'FS Ann'!P$4)</f>
        <v>0</v>
      </c>
      <c r="Q54" s="16">
        <f xml:space="preserve"> SUMIFS('FS Semi'!$J54:$CV54, 'FS Semi'!$J$4:$CV$4, 'FS Ann'!Q$4)</f>
        <v>0</v>
      </c>
      <c r="R54" s="16">
        <f xml:space="preserve"> SUMIFS('FS Semi'!$J54:$CV54, 'FS Semi'!$J$4:$CV$4, 'FS Ann'!R$4)</f>
        <v>0</v>
      </c>
      <c r="S54" s="16">
        <f xml:space="preserve"> SUMIFS('FS Semi'!$J54:$CV54, 'FS Semi'!$J$4:$CV$4, 'FS Ann'!S$4)</f>
        <v>0</v>
      </c>
      <c r="T54" s="16">
        <f xml:space="preserve"> SUMIFS('FS Semi'!$J54:$CV54, 'FS Semi'!$J$4:$CV$4, 'FS Ann'!T$4)</f>
        <v>0</v>
      </c>
      <c r="U54" s="16">
        <f xml:space="preserve"> SUMIFS('FS Semi'!$J54:$CV54, 'FS Semi'!$J$4:$CV$4, 'FS Ann'!U$4)</f>
        <v>0</v>
      </c>
      <c r="V54" s="16">
        <f xml:space="preserve"> SUMIFS('FS Semi'!$J54:$CV54, 'FS Semi'!$J$4:$CV$4, 'FS Ann'!V$4)</f>
        <v>0</v>
      </c>
      <c r="W54" s="16">
        <f xml:space="preserve"> SUMIFS('FS Semi'!$J54:$CV54, 'FS Semi'!$J$4:$CV$4, 'FS Ann'!W$4)</f>
        <v>0</v>
      </c>
      <c r="X54" s="16">
        <f xml:space="preserve"> SUMIFS('FS Semi'!$J54:$CV54, 'FS Semi'!$J$4:$CV$4, 'FS Ann'!X$4)</f>
        <v>0</v>
      </c>
      <c r="Y54" s="16">
        <f xml:space="preserve"> SUMIFS('FS Semi'!$J54:$CV54, 'FS Semi'!$J$4:$CV$4, 'FS Ann'!Y$4)</f>
        <v>0</v>
      </c>
      <c r="Z54" s="16">
        <f xml:space="preserve"> SUMIFS('FS Semi'!$J54:$CV54, 'FS Semi'!$J$4:$CV$4, 'FS Ann'!Z$4)</f>
        <v>0</v>
      </c>
      <c r="AA54" s="16">
        <f xml:space="preserve"> SUMIFS('FS Semi'!$J54:$CV54, 'FS Semi'!$J$4:$CV$4, 'FS Ann'!AA$4)</f>
        <v>0</v>
      </c>
      <c r="AB54" s="16">
        <f xml:space="preserve"> SUMIFS('FS Semi'!$J54:$CV54, 'FS Semi'!$J$4:$CV$4, 'FS Ann'!AB$4)</f>
        <v>0</v>
      </c>
      <c r="AC54" s="16">
        <f xml:space="preserve"> SUMIFS('FS Semi'!$J54:$CV54, 'FS Semi'!$J$4:$CV$4, 'FS Ann'!AC$4)</f>
        <v>0</v>
      </c>
      <c r="AD54" s="16">
        <f xml:space="preserve"> SUMIFS('FS Semi'!$J54:$CV54, 'FS Semi'!$J$4:$CV$4, 'FS Ann'!AD$4)</f>
        <v>0</v>
      </c>
      <c r="AE54" s="16">
        <f xml:space="preserve"> SUMIFS('FS Semi'!$J54:$CV54, 'FS Semi'!$J$4:$CV$4, 'FS Ann'!AE$4)</f>
        <v>0</v>
      </c>
      <c r="AF54" s="16">
        <f xml:space="preserve"> SUMIFS('FS Semi'!$J54:$CV54, 'FS Semi'!$J$4:$CV$4, 'FS Ann'!AF$4)</f>
        <v>0</v>
      </c>
      <c r="AG54" s="16">
        <f xml:space="preserve"> SUMIFS('FS Semi'!$J54:$CV54, 'FS Semi'!$J$4:$CV$4, 'FS Ann'!AG$4)</f>
        <v>0</v>
      </c>
      <c r="AH54" s="16">
        <f xml:space="preserve"> SUMIFS('FS Semi'!$J54:$CV54, 'FS Semi'!$J$4:$CV$4, 'FS Ann'!AH$4)</f>
        <v>0</v>
      </c>
      <c r="AI54" s="16">
        <f xml:space="preserve"> SUMIFS('FS Semi'!$J54:$CV54, 'FS Semi'!$J$4:$CV$4, 'FS Ann'!AI$4)</f>
        <v>0</v>
      </c>
      <c r="AJ54" s="16">
        <f xml:space="preserve"> SUMIFS('FS Semi'!$J54:$CV54, 'FS Semi'!$J$4:$CV$4, 'FS Ann'!AJ$4)</f>
        <v>0</v>
      </c>
      <c r="AK54" s="16">
        <f xml:space="preserve"> SUMIFS('FS Semi'!$J54:$CV54, 'FS Semi'!$J$4:$CV$4, 'FS Ann'!AK$4)</f>
        <v>0</v>
      </c>
      <c r="AL54" s="16">
        <f xml:space="preserve"> SUMIFS('FS Semi'!$J54:$CV54, 'FS Semi'!$J$4:$CV$4, 'FS Ann'!AL$4)</f>
        <v>0</v>
      </c>
      <c r="AM54" s="16">
        <f xml:space="preserve"> SUMIFS('FS Semi'!$J54:$CV54, 'FS Semi'!$J$4:$CV$4, 'FS Ann'!AM$4)</f>
        <v>0</v>
      </c>
      <c r="AN54" s="16">
        <f xml:space="preserve"> SUMIFS('FS Semi'!$J54:$CV54, 'FS Semi'!$J$4:$CV$4, 'FS Ann'!AN$4)</f>
        <v>0</v>
      </c>
      <c r="AO54" s="16">
        <f xml:space="preserve"> SUMIFS('FS Semi'!$J54:$CV54, 'FS Semi'!$J$4:$CV$4, 'FS Ann'!AO$4)</f>
        <v>0</v>
      </c>
      <c r="AP54" s="16">
        <f xml:space="preserve"> SUMIFS('FS Semi'!$J54:$CV54, 'FS Semi'!$J$4:$CV$4, 'FS Ann'!AP$4)</f>
        <v>0</v>
      </c>
      <c r="AQ54" s="16">
        <f xml:space="preserve"> SUMIFS('FS Semi'!$J54:$CV54, 'FS Semi'!$J$4:$CV$4, 'FS Ann'!AQ$4)</f>
        <v>0</v>
      </c>
      <c r="AR54" s="16">
        <f xml:space="preserve"> SUMIFS('FS Semi'!$J54:$CV54, 'FS Semi'!$J$4:$CV$4, 'FS Ann'!AR$4)</f>
        <v>0</v>
      </c>
      <c r="AS54" s="16">
        <f xml:space="preserve"> SUMIFS('FS Semi'!$J54:$CV54, 'FS Semi'!$J$4:$CV$4, 'FS Ann'!AS$4)</f>
        <v>0</v>
      </c>
      <c r="AT54" s="16">
        <f xml:space="preserve"> SUMIFS('FS Semi'!$J54:$CV54, 'FS Semi'!$J$4:$CV$4, 'FS Ann'!AT$4)</f>
        <v>0</v>
      </c>
      <c r="AU54" s="16">
        <f xml:space="preserve"> SUMIFS('FS Semi'!$J54:$CV54, 'FS Semi'!$J$4:$CV$4, 'FS Ann'!AU$4)</f>
        <v>0</v>
      </c>
      <c r="AV54" s="16">
        <f xml:space="preserve"> SUMIFS('FS Semi'!$J54:$CV54, 'FS Semi'!$J$4:$CV$4, 'FS Ann'!AV$4)</f>
        <v>0</v>
      </c>
      <c r="AW54" s="16">
        <f xml:space="preserve"> SUMIFS('FS Semi'!$J54:$CV54, 'FS Semi'!$J$4:$CV$4, 'FS Ann'!AW$4)</f>
        <v>0</v>
      </c>
      <c r="AX54" s="16">
        <f xml:space="preserve"> SUMIFS('FS Semi'!$J54:$CV54, 'FS Semi'!$J$4:$CV$4, 'FS Ann'!AX$4)</f>
        <v>0</v>
      </c>
      <c r="AY54" s="16">
        <f xml:space="preserve"> SUMIFS('FS Semi'!$J54:$CV54, 'FS Semi'!$J$4:$CV$4, 'FS Ann'!AY$4)</f>
        <v>0</v>
      </c>
      <c r="AZ54" s="16">
        <f xml:space="preserve"> SUMIFS('FS Semi'!$J54:$CV54, 'FS Semi'!$J$4:$CV$4, 'FS Ann'!AZ$4)</f>
        <v>0</v>
      </c>
      <c r="BA54" s="16">
        <f xml:space="preserve"> SUMIFS('FS Semi'!$J54:$CV54, 'FS Semi'!$J$4:$CV$4, 'FS Ann'!BA$4)</f>
        <v>0</v>
      </c>
      <c r="BB54" s="16">
        <f xml:space="preserve"> SUMIFS('FS Semi'!$J54:$CV54, 'FS Semi'!$J$4:$CV$4, 'FS Ann'!BB$4)</f>
        <v>0</v>
      </c>
    </row>
    <row r="55" spans="1:54" outlineLevel="1" x14ac:dyDescent="0.2">
      <c r="A55" s="1"/>
      <c r="B55" s="1"/>
      <c r="C55" s="19"/>
      <c r="D55" s="83"/>
      <c r="E55" s="16" t="str">
        <f xml:space="preserve"> 'FS Semi'!E55</f>
        <v>Equity bridge drawdown - m</v>
      </c>
      <c r="F55" s="16">
        <f xml:space="preserve"> 'FS Semi'!F55</f>
        <v>0</v>
      </c>
      <c r="G55" s="381" t="str">
        <f xml:space="preserve"> 'FS Semi'!G55</f>
        <v>$ 000s</v>
      </c>
      <c r="H55" s="16">
        <f t="shared" si="14"/>
        <v>86318.253106861201</v>
      </c>
      <c r="I55" s="16"/>
      <c r="J55" s="16">
        <f xml:space="preserve"> SUMIFS('FS Semi'!$J55:$CV55, 'FS Semi'!$J$4:$CV$4, 'FS Ann'!J$4)</f>
        <v>38555.01232134179</v>
      </c>
      <c r="K55" s="16">
        <f xml:space="preserve"> SUMIFS('FS Semi'!$J55:$CV55, 'FS Semi'!$J$4:$CV$4, 'FS Ann'!K$4)</f>
        <v>47763.240785519411</v>
      </c>
      <c r="L55" s="16">
        <f xml:space="preserve"> SUMIFS('FS Semi'!$J55:$CV55, 'FS Semi'!$J$4:$CV$4, 'FS Ann'!L$4)</f>
        <v>0</v>
      </c>
      <c r="M55" s="16">
        <f xml:space="preserve"> SUMIFS('FS Semi'!$J55:$CV55, 'FS Semi'!$J$4:$CV$4, 'FS Ann'!M$4)</f>
        <v>0</v>
      </c>
      <c r="N55" s="16">
        <f xml:space="preserve"> SUMIFS('FS Semi'!$J55:$CV55, 'FS Semi'!$J$4:$CV$4, 'FS Ann'!N$4)</f>
        <v>0</v>
      </c>
      <c r="O55" s="16">
        <f xml:space="preserve"> SUMIFS('FS Semi'!$J55:$CV55, 'FS Semi'!$J$4:$CV$4, 'FS Ann'!O$4)</f>
        <v>0</v>
      </c>
      <c r="P55" s="16">
        <f xml:space="preserve"> SUMIFS('FS Semi'!$J55:$CV55, 'FS Semi'!$J$4:$CV$4, 'FS Ann'!P$4)</f>
        <v>0</v>
      </c>
      <c r="Q55" s="16">
        <f xml:space="preserve"> SUMIFS('FS Semi'!$J55:$CV55, 'FS Semi'!$J$4:$CV$4, 'FS Ann'!Q$4)</f>
        <v>0</v>
      </c>
      <c r="R55" s="16">
        <f xml:space="preserve"> SUMIFS('FS Semi'!$J55:$CV55, 'FS Semi'!$J$4:$CV$4, 'FS Ann'!R$4)</f>
        <v>0</v>
      </c>
      <c r="S55" s="16">
        <f xml:space="preserve"> SUMIFS('FS Semi'!$J55:$CV55, 'FS Semi'!$J$4:$CV$4, 'FS Ann'!S$4)</f>
        <v>0</v>
      </c>
      <c r="T55" s="16">
        <f xml:space="preserve"> SUMIFS('FS Semi'!$J55:$CV55, 'FS Semi'!$J$4:$CV$4, 'FS Ann'!T$4)</f>
        <v>0</v>
      </c>
      <c r="U55" s="16">
        <f xml:space="preserve"> SUMIFS('FS Semi'!$J55:$CV55, 'FS Semi'!$J$4:$CV$4, 'FS Ann'!U$4)</f>
        <v>0</v>
      </c>
      <c r="V55" s="16">
        <f xml:space="preserve"> SUMIFS('FS Semi'!$J55:$CV55, 'FS Semi'!$J$4:$CV$4, 'FS Ann'!V$4)</f>
        <v>0</v>
      </c>
      <c r="W55" s="16">
        <f xml:space="preserve"> SUMIFS('FS Semi'!$J55:$CV55, 'FS Semi'!$J$4:$CV$4, 'FS Ann'!W$4)</f>
        <v>0</v>
      </c>
      <c r="X55" s="16">
        <f xml:space="preserve"> SUMIFS('FS Semi'!$J55:$CV55, 'FS Semi'!$J$4:$CV$4, 'FS Ann'!X$4)</f>
        <v>0</v>
      </c>
      <c r="Y55" s="16">
        <f xml:space="preserve"> SUMIFS('FS Semi'!$J55:$CV55, 'FS Semi'!$J$4:$CV$4, 'FS Ann'!Y$4)</f>
        <v>0</v>
      </c>
      <c r="Z55" s="16">
        <f xml:space="preserve"> SUMIFS('FS Semi'!$J55:$CV55, 'FS Semi'!$J$4:$CV$4, 'FS Ann'!Z$4)</f>
        <v>0</v>
      </c>
      <c r="AA55" s="16">
        <f xml:space="preserve"> SUMIFS('FS Semi'!$J55:$CV55, 'FS Semi'!$J$4:$CV$4, 'FS Ann'!AA$4)</f>
        <v>0</v>
      </c>
      <c r="AB55" s="16">
        <f xml:space="preserve"> SUMIFS('FS Semi'!$J55:$CV55, 'FS Semi'!$J$4:$CV$4, 'FS Ann'!AB$4)</f>
        <v>0</v>
      </c>
      <c r="AC55" s="16">
        <f xml:space="preserve"> SUMIFS('FS Semi'!$J55:$CV55, 'FS Semi'!$J$4:$CV$4, 'FS Ann'!AC$4)</f>
        <v>0</v>
      </c>
      <c r="AD55" s="16">
        <f xml:space="preserve"> SUMIFS('FS Semi'!$J55:$CV55, 'FS Semi'!$J$4:$CV$4, 'FS Ann'!AD$4)</f>
        <v>0</v>
      </c>
      <c r="AE55" s="16">
        <f xml:space="preserve"> SUMIFS('FS Semi'!$J55:$CV55, 'FS Semi'!$J$4:$CV$4, 'FS Ann'!AE$4)</f>
        <v>0</v>
      </c>
      <c r="AF55" s="16">
        <f xml:space="preserve"> SUMIFS('FS Semi'!$J55:$CV55, 'FS Semi'!$J$4:$CV$4, 'FS Ann'!AF$4)</f>
        <v>0</v>
      </c>
      <c r="AG55" s="16">
        <f xml:space="preserve"> SUMIFS('FS Semi'!$J55:$CV55, 'FS Semi'!$J$4:$CV$4, 'FS Ann'!AG$4)</f>
        <v>0</v>
      </c>
      <c r="AH55" s="16">
        <f xml:space="preserve"> SUMIFS('FS Semi'!$J55:$CV55, 'FS Semi'!$J$4:$CV$4, 'FS Ann'!AH$4)</f>
        <v>0</v>
      </c>
      <c r="AI55" s="16">
        <f xml:space="preserve"> SUMIFS('FS Semi'!$J55:$CV55, 'FS Semi'!$J$4:$CV$4, 'FS Ann'!AI$4)</f>
        <v>0</v>
      </c>
      <c r="AJ55" s="16">
        <f xml:space="preserve"> SUMIFS('FS Semi'!$J55:$CV55, 'FS Semi'!$J$4:$CV$4, 'FS Ann'!AJ$4)</f>
        <v>0</v>
      </c>
      <c r="AK55" s="16">
        <f xml:space="preserve"> SUMIFS('FS Semi'!$J55:$CV55, 'FS Semi'!$J$4:$CV$4, 'FS Ann'!AK$4)</f>
        <v>0</v>
      </c>
      <c r="AL55" s="16">
        <f xml:space="preserve"> SUMIFS('FS Semi'!$J55:$CV55, 'FS Semi'!$J$4:$CV$4, 'FS Ann'!AL$4)</f>
        <v>0</v>
      </c>
      <c r="AM55" s="16">
        <f xml:space="preserve"> SUMIFS('FS Semi'!$J55:$CV55, 'FS Semi'!$J$4:$CV$4, 'FS Ann'!AM$4)</f>
        <v>0</v>
      </c>
      <c r="AN55" s="16">
        <f xml:space="preserve"> SUMIFS('FS Semi'!$J55:$CV55, 'FS Semi'!$J$4:$CV$4, 'FS Ann'!AN$4)</f>
        <v>0</v>
      </c>
      <c r="AO55" s="16">
        <f xml:space="preserve"> SUMIFS('FS Semi'!$J55:$CV55, 'FS Semi'!$J$4:$CV$4, 'FS Ann'!AO$4)</f>
        <v>0</v>
      </c>
      <c r="AP55" s="16">
        <f xml:space="preserve"> SUMIFS('FS Semi'!$J55:$CV55, 'FS Semi'!$J$4:$CV$4, 'FS Ann'!AP$4)</f>
        <v>0</v>
      </c>
      <c r="AQ55" s="16">
        <f xml:space="preserve"> SUMIFS('FS Semi'!$J55:$CV55, 'FS Semi'!$J$4:$CV$4, 'FS Ann'!AQ$4)</f>
        <v>0</v>
      </c>
      <c r="AR55" s="16">
        <f xml:space="preserve"> SUMIFS('FS Semi'!$J55:$CV55, 'FS Semi'!$J$4:$CV$4, 'FS Ann'!AR$4)</f>
        <v>0</v>
      </c>
      <c r="AS55" s="16">
        <f xml:space="preserve"> SUMIFS('FS Semi'!$J55:$CV55, 'FS Semi'!$J$4:$CV$4, 'FS Ann'!AS$4)</f>
        <v>0</v>
      </c>
      <c r="AT55" s="16">
        <f xml:space="preserve"> SUMIFS('FS Semi'!$J55:$CV55, 'FS Semi'!$J$4:$CV$4, 'FS Ann'!AT$4)</f>
        <v>0</v>
      </c>
      <c r="AU55" s="16">
        <f xml:space="preserve"> SUMIFS('FS Semi'!$J55:$CV55, 'FS Semi'!$J$4:$CV$4, 'FS Ann'!AU$4)</f>
        <v>0</v>
      </c>
      <c r="AV55" s="16">
        <f xml:space="preserve"> SUMIFS('FS Semi'!$J55:$CV55, 'FS Semi'!$J$4:$CV$4, 'FS Ann'!AV$4)</f>
        <v>0</v>
      </c>
      <c r="AW55" s="16">
        <f xml:space="preserve"> SUMIFS('FS Semi'!$J55:$CV55, 'FS Semi'!$J$4:$CV$4, 'FS Ann'!AW$4)</f>
        <v>0</v>
      </c>
      <c r="AX55" s="16">
        <f xml:space="preserve"> SUMIFS('FS Semi'!$J55:$CV55, 'FS Semi'!$J$4:$CV$4, 'FS Ann'!AX$4)</f>
        <v>0</v>
      </c>
      <c r="AY55" s="16">
        <f xml:space="preserve"> SUMIFS('FS Semi'!$J55:$CV55, 'FS Semi'!$J$4:$CV$4, 'FS Ann'!AY$4)</f>
        <v>0</v>
      </c>
      <c r="AZ55" s="16">
        <f xml:space="preserve"> SUMIFS('FS Semi'!$J55:$CV55, 'FS Semi'!$J$4:$CV$4, 'FS Ann'!AZ$4)</f>
        <v>0</v>
      </c>
      <c r="BA55" s="16">
        <f xml:space="preserve"> SUMIFS('FS Semi'!$J55:$CV55, 'FS Semi'!$J$4:$CV$4, 'FS Ann'!BA$4)</f>
        <v>0</v>
      </c>
      <c r="BB55" s="16">
        <f xml:space="preserve"> SUMIFS('FS Semi'!$J55:$CV55, 'FS Semi'!$J$4:$CV$4, 'FS Ann'!BB$4)</f>
        <v>0</v>
      </c>
    </row>
    <row r="56" spans="1:54" outlineLevel="1" x14ac:dyDescent="0.2">
      <c r="A56" s="1"/>
      <c r="B56" s="1"/>
      <c r="C56" s="19"/>
      <c r="D56" s="83"/>
      <c r="E56" s="16" t="str">
        <f xml:space="preserve"> 'FS Semi'!E56</f>
        <v>Shareholder loan drawdown</v>
      </c>
      <c r="F56" s="16">
        <f xml:space="preserve"> 'FS Semi'!F56</f>
        <v>0</v>
      </c>
      <c r="G56" s="381" t="str">
        <f xml:space="preserve"> 'FS Semi'!G56</f>
        <v>$ 000s</v>
      </c>
      <c r="H56" s="16">
        <f t="shared" si="14"/>
        <v>86318.253106861201</v>
      </c>
      <c r="I56" s="16"/>
      <c r="J56" s="16">
        <f xml:space="preserve"> SUMIFS('FS Semi'!$J56:$CV56, 'FS Semi'!$J$4:$CV$4, 'FS Ann'!J$4)</f>
        <v>0</v>
      </c>
      <c r="K56" s="16">
        <f xml:space="preserve"> SUMIFS('FS Semi'!$J56:$CV56, 'FS Semi'!$J$4:$CV$4, 'FS Ann'!K$4)</f>
        <v>0</v>
      </c>
      <c r="L56" s="16">
        <f xml:space="preserve"> SUMIFS('FS Semi'!$J56:$CV56, 'FS Semi'!$J$4:$CV$4, 'FS Ann'!L$4)</f>
        <v>86318.253106861201</v>
      </c>
      <c r="M56" s="16">
        <f xml:space="preserve"> SUMIFS('FS Semi'!$J56:$CV56, 'FS Semi'!$J$4:$CV$4, 'FS Ann'!M$4)</f>
        <v>0</v>
      </c>
      <c r="N56" s="16">
        <f xml:space="preserve"> SUMIFS('FS Semi'!$J56:$CV56, 'FS Semi'!$J$4:$CV$4, 'FS Ann'!N$4)</f>
        <v>0</v>
      </c>
      <c r="O56" s="16">
        <f xml:space="preserve"> SUMIFS('FS Semi'!$J56:$CV56, 'FS Semi'!$J$4:$CV$4, 'FS Ann'!O$4)</f>
        <v>0</v>
      </c>
      <c r="P56" s="16">
        <f xml:space="preserve"> SUMIFS('FS Semi'!$J56:$CV56, 'FS Semi'!$J$4:$CV$4, 'FS Ann'!P$4)</f>
        <v>0</v>
      </c>
      <c r="Q56" s="16">
        <f xml:space="preserve"> SUMIFS('FS Semi'!$J56:$CV56, 'FS Semi'!$J$4:$CV$4, 'FS Ann'!Q$4)</f>
        <v>0</v>
      </c>
      <c r="R56" s="16">
        <f xml:space="preserve"> SUMIFS('FS Semi'!$J56:$CV56, 'FS Semi'!$J$4:$CV$4, 'FS Ann'!R$4)</f>
        <v>0</v>
      </c>
      <c r="S56" s="16">
        <f xml:space="preserve"> SUMIFS('FS Semi'!$J56:$CV56, 'FS Semi'!$J$4:$CV$4, 'FS Ann'!S$4)</f>
        <v>0</v>
      </c>
      <c r="T56" s="16">
        <f xml:space="preserve"> SUMIFS('FS Semi'!$J56:$CV56, 'FS Semi'!$J$4:$CV$4, 'FS Ann'!T$4)</f>
        <v>0</v>
      </c>
      <c r="U56" s="16">
        <f xml:space="preserve"> SUMIFS('FS Semi'!$J56:$CV56, 'FS Semi'!$J$4:$CV$4, 'FS Ann'!U$4)</f>
        <v>0</v>
      </c>
      <c r="V56" s="16">
        <f xml:space="preserve"> SUMIFS('FS Semi'!$J56:$CV56, 'FS Semi'!$J$4:$CV$4, 'FS Ann'!V$4)</f>
        <v>0</v>
      </c>
      <c r="W56" s="16">
        <f xml:space="preserve"> SUMIFS('FS Semi'!$J56:$CV56, 'FS Semi'!$J$4:$CV$4, 'FS Ann'!W$4)</f>
        <v>0</v>
      </c>
      <c r="X56" s="16">
        <f xml:space="preserve"> SUMIFS('FS Semi'!$J56:$CV56, 'FS Semi'!$J$4:$CV$4, 'FS Ann'!X$4)</f>
        <v>0</v>
      </c>
      <c r="Y56" s="16">
        <f xml:space="preserve"> SUMIFS('FS Semi'!$J56:$CV56, 'FS Semi'!$J$4:$CV$4, 'FS Ann'!Y$4)</f>
        <v>0</v>
      </c>
      <c r="Z56" s="16">
        <f xml:space="preserve"> SUMIFS('FS Semi'!$J56:$CV56, 'FS Semi'!$J$4:$CV$4, 'FS Ann'!Z$4)</f>
        <v>0</v>
      </c>
      <c r="AA56" s="16">
        <f xml:space="preserve"> SUMIFS('FS Semi'!$J56:$CV56, 'FS Semi'!$J$4:$CV$4, 'FS Ann'!AA$4)</f>
        <v>0</v>
      </c>
      <c r="AB56" s="16">
        <f xml:space="preserve"> SUMIFS('FS Semi'!$J56:$CV56, 'FS Semi'!$J$4:$CV$4, 'FS Ann'!AB$4)</f>
        <v>0</v>
      </c>
      <c r="AC56" s="16">
        <f xml:space="preserve"> SUMIFS('FS Semi'!$J56:$CV56, 'FS Semi'!$J$4:$CV$4, 'FS Ann'!AC$4)</f>
        <v>0</v>
      </c>
      <c r="AD56" s="16">
        <f xml:space="preserve"> SUMIFS('FS Semi'!$J56:$CV56, 'FS Semi'!$J$4:$CV$4, 'FS Ann'!AD$4)</f>
        <v>0</v>
      </c>
      <c r="AE56" s="16">
        <f xml:space="preserve"> SUMIFS('FS Semi'!$J56:$CV56, 'FS Semi'!$J$4:$CV$4, 'FS Ann'!AE$4)</f>
        <v>0</v>
      </c>
      <c r="AF56" s="16">
        <f xml:space="preserve"> SUMIFS('FS Semi'!$J56:$CV56, 'FS Semi'!$J$4:$CV$4, 'FS Ann'!AF$4)</f>
        <v>0</v>
      </c>
      <c r="AG56" s="16">
        <f xml:space="preserve"> SUMIFS('FS Semi'!$J56:$CV56, 'FS Semi'!$J$4:$CV$4, 'FS Ann'!AG$4)</f>
        <v>0</v>
      </c>
      <c r="AH56" s="16">
        <f xml:space="preserve"> SUMIFS('FS Semi'!$J56:$CV56, 'FS Semi'!$J$4:$CV$4, 'FS Ann'!AH$4)</f>
        <v>0</v>
      </c>
      <c r="AI56" s="16">
        <f xml:space="preserve"> SUMIFS('FS Semi'!$J56:$CV56, 'FS Semi'!$J$4:$CV$4, 'FS Ann'!AI$4)</f>
        <v>0</v>
      </c>
      <c r="AJ56" s="16">
        <f xml:space="preserve"> SUMIFS('FS Semi'!$J56:$CV56, 'FS Semi'!$J$4:$CV$4, 'FS Ann'!AJ$4)</f>
        <v>0</v>
      </c>
      <c r="AK56" s="16">
        <f xml:space="preserve"> SUMIFS('FS Semi'!$J56:$CV56, 'FS Semi'!$J$4:$CV$4, 'FS Ann'!AK$4)</f>
        <v>0</v>
      </c>
      <c r="AL56" s="16">
        <f xml:space="preserve"> SUMIFS('FS Semi'!$J56:$CV56, 'FS Semi'!$J$4:$CV$4, 'FS Ann'!AL$4)</f>
        <v>0</v>
      </c>
      <c r="AM56" s="16">
        <f xml:space="preserve"> SUMIFS('FS Semi'!$J56:$CV56, 'FS Semi'!$J$4:$CV$4, 'FS Ann'!AM$4)</f>
        <v>0</v>
      </c>
      <c r="AN56" s="16">
        <f xml:space="preserve"> SUMIFS('FS Semi'!$J56:$CV56, 'FS Semi'!$J$4:$CV$4, 'FS Ann'!AN$4)</f>
        <v>0</v>
      </c>
      <c r="AO56" s="16">
        <f xml:space="preserve"> SUMIFS('FS Semi'!$J56:$CV56, 'FS Semi'!$J$4:$CV$4, 'FS Ann'!AO$4)</f>
        <v>0</v>
      </c>
      <c r="AP56" s="16">
        <f xml:space="preserve"> SUMIFS('FS Semi'!$J56:$CV56, 'FS Semi'!$J$4:$CV$4, 'FS Ann'!AP$4)</f>
        <v>0</v>
      </c>
      <c r="AQ56" s="16">
        <f xml:space="preserve"> SUMIFS('FS Semi'!$J56:$CV56, 'FS Semi'!$J$4:$CV$4, 'FS Ann'!AQ$4)</f>
        <v>0</v>
      </c>
      <c r="AR56" s="16">
        <f xml:space="preserve"> SUMIFS('FS Semi'!$J56:$CV56, 'FS Semi'!$J$4:$CV$4, 'FS Ann'!AR$4)</f>
        <v>0</v>
      </c>
      <c r="AS56" s="16">
        <f xml:space="preserve"> SUMIFS('FS Semi'!$J56:$CV56, 'FS Semi'!$J$4:$CV$4, 'FS Ann'!AS$4)</f>
        <v>0</v>
      </c>
      <c r="AT56" s="16">
        <f xml:space="preserve"> SUMIFS('FS Semi'!$J56:$CV56, 'FS Semi'!$J$4:$CV$4, 'FS Ann'!AT$4)</f>
        <v>0</v>
      </c>
      <c r="AU56" s="16">
        <f xml:space="preserve"> SUMIFS('FS Semi'!$J56:$CV56, 'FS Semi'!$J$4:$CV$4, 'FS Ann'!AU$4)</f>
        <v>0</v>
      </c>
      <c r="AV56" s="16">
        <f xml:space="preserve"> SUMIFS('FS Semi'!$J56:$CV56, 'FS Semi'!$J$4:$CV$4, 'FS Ann'!AV$4)</f>
        <v>0</v>
      </c>
      <c r="AW56" s="16">
        <f xml:space="preserve"> SUMIFS('FS Semi'!$J56:$CV56, 'FS Semi'!$J$4:$CV$4, 'FS Ann'!AW$4)</f>
        <v>0</v>
      </c>
      <c r="AX56" s="16">
        <f xml:space="preserve"> SUMIFS('FS Semi'!$J56:$CV56, 'FS Semi'!$J$4:$CV$4, 'FS Ann'!AX$4)</f>
        <v>0</v>
      </c>
      <c r="AY56" s="16">
        <f xml:space="preserve"> SUMIFS('FS Semi'!$J56:$CV56, 'FS Semi'!$J$4:$CV$4, 'FS Ann'!AY$4)</f>
        <v>0</v>
      </c>
      <c r="AZ56" s="16">
        <f xml:space="preserve"> SUMIFS('FS Semi'!$J56:$CV56, 'FS Semi'!$J$4:$CV$4, 'FS Ann'!AZ$4)</f>
        <v>0</v>
      </c>
      <c r="BA56" s="16">
        <f xml:space="preserve"> SUMIFS('FS Semi'!$J56:$CV56, 'FS Semi'!$J$4:$CV$4, 'FS Ann'!BA$4)</f>
        <v>0</v>
      </c>
      <c r="BB56" s="16">
        <f xml:space="preserve"> SUMIFS('FS Semi'!$J56:$CV56, 'FS Semi'!$J$4:$CV$4, 'FS Ann'!BB$4)</f>
        <v>0</v>
      </c>
    </row>
    <row r="57" spans="1:54" outlineLevel="1" x14ac:dyDescent="0.2">
      <c r="A57" s="1"/>
      <c r="B57" s="1"/>
      <c r="C57" s="19"/>
      <c r="D57" s="83"/>
      <c r="E57" s="16" t="str">
        <f xml:space="preserve"> 'FS Semi'!E57</f>
        <v>Construction debt drawdown</v>
      </c>
      <c r="F57" s="16">
        <f xml:space="preserve"> 'FS Semi'!F57</f>
        <v>0</v>
      </c>
      <c r="G57" s="381" t="str">
        <f xml:space="preserve"> 'FS Semi'!G57</f>
        <v>$ 000s</v>
      </c>
      <c r="H57" s="16">
        <f t="shared" si="14"/>
        <v>250389.85226030689</v>
      </c>
      <c r="I57" s="16"/>
      <c r="J57" s="16">
        <f xml:space="preserve"> SUMIFS('FS Semi'!$J57:$CV57, 'FS Semi'!$J$4:$CV$4, 'FS Ann'!J$4)</f>
        <v>0</v>
      </c>
      <c r="K57" s="16">
        <f xml:space="preserve"> SUMIFS('FS Semi'!$J57:$CV57, 'FS Semi'!$J$4:$CV$4, 'FS Ann'!K$4)</f>
        <v>97282.172175491753</v>
      </c>
      <c r="L57" s="16">
        <f xml:space="preserve"> SUMIFS('FS Semi'!$J57:$CV57, 'FS Semi'!$J$4:$CV$4, 'FS Ann'!L$4)</f>
        <v>153107.68008481513</v>
      </c>
      <c r="M57" s="16">
        <f xml:space="preserve"> SUMIFS('FS Semi'!$J57:$CV57, 'FS Semi'!$J$4:$CV$4, 'FS Ann'!M$4)</f>
        <v>0</v>
      </c>
      <c r="N57" s="16">
        <f xml:space="preserve"> SUMIFS('FS Semi'!$J57:$CV57, 'FS Semi'!$J$4:$CV$4, 'FS Ann'!N$4)</f>
        <v>0</v>
      </c>
      <c r="O57" s="16">
        <f xml:space="preserve"> SUMIFS('FS Semi'!$J57:$CV57, 'FS Semi'!$J$4:$CV$4, 'FS Ann'!O$4)</f>
        <v>0</v>
      </c>
      <c r="P57" s="16">
        <f xml:space="preserve"> SUMIFS('FS Semi'!$J57:$CV57, 'FS Semi'!$J$4:$CV$4, 'FS Ann'!P$4)</f>
        <v>0</v>
      </c>
      <c r="Q57" s="16">
        <f xml:space="preserve"> SUMIFS('FS Semi'!$J57:$CV57, 'FS Semi'!$J$4:$CV$4, 'FS Ann'!Q$4)</f>
        <v>0</v>
      </c>
      <c r="R57" s="16">
        <f xml:space="preserve"> SUMIFS('FS Semi'!$J57:$CV57, 'FS Semi'!$J$4:$CV$4, 'FS Ann'!R$4)</f>
        <v>0</v>
      </c>
      <c r="S57" s="16">
        <f xml:space="preserve"> SUMIFS('FS Semi'!$J57:$CV57, 'FS Semi'!$J$4:$CV$4, 'FS Ann'!S$4)</f>
        <v>0</v>
      </c>
      <c r="T57" s="16">
        <f xml:space="preserve"> SUMIFS('FS Semi'!$J57:$CV57, 'FS Semi'!$J$4:$CV$4, 'FS Ann'!T$4)</f>
        <v>0</v>
      </c>
      <c r="U57" s="16">
        <f xml:space="preserve"> SUMIFS('FS Semi'!$J57:$CV57, 'FS Semi'!$J$4:$CV$4, 'FS Ann'!U$4)</f>
        <v>0</v>
      </c>
      <c r="V57" s="16">
        <f xml:space="preserve"> SUMIFS('FS Semi'!$J57:$CV57, 'FS Semi'!$J$4:$CV$4, 'FS Ann'!V$4)</f>
        <v>0</v>
      </c>
      <c r="W57" s="16">
        <f xml:space="preserve"> SUMIFS('FS Semi'!$J57:$CV57, 'FS Semi'!$J$4:$CV$4, 'FS Ann'!W$4)</f>
        <v>0</v>
      </c>
      <c r="X57" s="16">
        <f xml:space="preserve"> SUMIFS('FS Semi'!$J57:$CV57, 'FS Semi'!$J$4:$CV$4, 'FS Ann'!X$4)</f>
        <v>0</v>
      </c>
      <c r="Y57" s="16">
        <f xml:space="preserve"> SUMIFS('FS Semi'!$J57:$CV57, 'FS Semi'!$J$4:$CV$4, 'FS Ann'!Y$4)</f>
        <v>0</v>
      </c>
      <c r="Z57" s="16">
        <f xml:space="preserve"> SUMIFS('FS Semi'!$J57:$CV57, 'FS Semi'!$J$4:$CV$4, 'FS Ann'!Z$4)</f>
        <v>0</v>
      </c>
      <c r="AA57" s="16">
        <f xml:space="preserve"> SUMIFS('FS Semi'!$J57:$CV57, 'FS Semi'!$J$4:$CV$4, 'FS Ann'!AA$4)</f>
        <v>0</v>
      </c>
      <c r="AB57" s="16">
        <f xml:space="preserve"> SUMIFS('FS Semi'!$J57:$CV57, 'FS Semi'!$J$4:$CV$4, 'FS Ann'!AB$4)</f>
        <v>0</v>
      </c>
      <c r="AC57" s="16">
        <f xml:space="preserve"> SUMIFS('FS Semi'!$J57:$CV57, 'FS Semi'!$J$4:$CV$4, 'FS Ann'!AC$4)</f>
        <v>0</v>
      </c>
      <c r="AD57" s="16">
        <f xml:space="preserve"> SUMIFS('FS Semi'!$J57:$CV57, 'FS Semi'!$J$4:$CV$4, 'FS Ann'!AD$4)</f>
        <v>0</v>
      </c>
      <c r="AE57" s="16">
        <f xml:space="preserve"> SUMIFS('FS Semi'!$J57:$CV57, 'FS Semi'!$J$4:$CV$4, 'FS Ann'!AE$4)</f>
        <v>0</v>
      </c>
      <c r="AF57" s="16">
        <f xml:space="preserve"> SUMIFS('FS Semi'!$J57:$CV57, 'FS Semi'!$J$4:$CV$4, 'FS Ann'!AF$4)</f>
        <v>0</v>
      </c>
      <c r="AG57" s="16">
        <f xml:space="preserve"> SUMIFS('FS Semi'!$J57:$CV57, 'FS Semi'!$J$4:$CV$4, 'FS Ann'!AG$4)</f>
        <v>0</v>
      </c>
      <c r="AH57" s="16">
        <f xml:space="preserve"> SUMIFS('FS Semi'!$J57:$CV57, 'FS Semi'!$J$4:$CV$4, 'FS Ann'!AH$4)</f>
        <v>0</v>
      </c>
      <c r="AI57" s="16">
        <f xml:space="preserve"> SUMIFS('FS Semi'!$J57:$CV57, 'FS Semi'!$J$4:$CV$4, 'FS Ann'!AI$4)</f>
        <v>0</v>
      </c>
      <c r="AJ57" s="16">
        <f xml:space="preserve"> SUMIFS('FS Semi'!$J57:$CV57, 'FS Semi'!$J$4:$CV$4, 'FS Ann'!AJ$4)</f>
        <v>0</v>
      </c>
      <c r="AK57" s="16">
        <f xml:space="preserve"> SUMIFS('FS Semi'!$J57:$CV57, 'FS Semi'!$J$4:$CV$4, 'FS Ann'!AK$4)</f>
        <v>0</v>
      </c>
      <c r="AL57" s="16">
        <f xml:space="preserve"> SUMIFS('FS Semi'!$J57:$CV57, 'FS Semi'!$J$4:$CV$4, 'FS Ann'!AL$4)</f>
        <v>0</v>
      </c>
      <c r="AM57" s="16">
        <f xml:space="preserve"> SUMIFS('FS Semi'!$J57:$CV57, 'FS Semi'!$J$4:$CV$4, 'FS Ann'!AM$4)</f>
        <v>0</v>
      </c>
      <c r="AN57" s="16">
        <f xml:space="preserve"> SUMIFS('FS Semi'!$J57:$CV57, 'FS Semi'!$J$4:$CV$4, 'FS Ann'!AN$4)</f>
        <v>0</v>
      </c>
      <c r="AO57" s="16">
        <f xml:space="preserve"> SUMIFS('FS Semi'!$J57:$CV57, 'FS Semi'!$J$4:$CV$4, 'FS Ann'!AO$4)</f>
        <v>0</v>
      </c>
      <c r="AP57" s="16">
        <f xml:space="preserve"> SUMIFS('FS Semi'!$J57:$CV57, 'FS Semi'!$J$4:$CV$4, 'FS Ann'!AP$4)</f>
        <v>0</v>
      </c>
      <c r="AQ57" s="16">
        <f xml:space="preserve"> SUMIFS('FS Semi'!$J57:$CV57, 'FS Semi'!$J$4:$CV$4, 'FS Ann'!AQ$4)</f>
        <v>0</v>
      </c>
      <c r="AR57" s="16">
        <f xml:space="preserve"> SUMIFS('FS Semi'!$J57:$CV57, 'FS Semi'!$J$4:$CV$4, 'FS Ann'!AR$4)</f>
        <v>0</v>
      </c>
      <c r="AS57" s="16">
        <f xml:space="preserve"> SUMIFS('FS Semi'!$J57:$CV57, 'FS Semi'!$J$4:$CV$4, 'FS Ann'!AS$4)</f>
        <v>0</v>
      </c>
      <c r="AT57" s="16">
        <f xml:space="preserve"> SUMIFS('FS Semi'!$J57:$CV57, 'FS Semi'!$J$4:$CV$4, 'FS Ann'!AT$4)</f>
        <v>0</v>
      </c>
      <c r="AU57" s="16">
        <f xml:space="preserve"> SUMIFS('FS Semi'!$J57:$CV57, 'FS Semi'!$J$4:$CV$4, 'FS Ann'!AU$4)</f>
        <v>0</v>
      </c>
      <c r="AV57" s="16">
        <f xml:space="preserve"> SUMIFS('FS Semi'!$J57:$CV57, 'FS Semi'!$J$4:$CV$4, 'FS Ann'!AV$4)</f>
        <v>0</v>
      </c>
      <c r="AW57" s="16">
        <f xml:space="preserve"> SUMIFS('FS Semi'!$J57:$CV57, 'FS Semi'!$J$4:$CV$4, 'FS Ann'!AW$4)</f>
        <v>0</v>
      </c>
      <c r="AX57" s="16">
        <f xml:space="preserve"> SUMIFS('FS Semi'!$J57:$CV57, 'FS Semi'!$J$4:$CV$4, 'FS Ann'!AX$4)</f>
        <v>0</v>
      </c>
      <c r="AY57" s="16">
        <f xml:space="preserve"> SUMIFS('FS Semi'!$J57:$CV57, 'FS Semi'!$J$4:$CV$4, 'FS Ann'!AY$4)</f>
        <v>0</v>
      </c>
      <c r="AZ57" s="16">
        <f xml:space="preserve"> SUMIFS('FS Semi'!$J57:$CV57, 'FS Semi'!$J$4:$CV$4, 'FS Ann'!AZ$4)</f>
        <v>0</v>
      </c>
      <c r="BA57" s="16">
        <f xml:space="preserve"> SUMIFS('FS Semi'!$J57:$CV57, 'FS Semi'!$J$4:$CV$4, 'FS Ann'!BA$4)</f>
        <v>0</v>
      </c>
      <c r="BB57" s="16">
        <f xml:space="preserve"> SUMIFS('FS Semi'!$J57:$CV57, 'FS Semi'!$J$4:$CV$4, 'FS Ann'!BB$4)</f>
        <v>0</v>
      </c>
    </row>
    <row r="58" spans="1:54" outlineLevel="1" x14ac:dyDescent="0.2">
      <c r="A58" s="1"/>
      <c r="B58" s="1"/>
      <c r="C58" s="19"/>
      <c r="D58" s="83"/>
      <c r="E58" s="16" t="str">
        <f xml:space="preserve"> 'FS Semi'!E58</f>
        <v>Standby debt drawdown</v>
      </c>
      <c r="F58" s="16">
        <f xml:space="preserve"> 'FS Semi'!F58</f>
        <v>0</v>
      </c>
      <c r="G58" s="381" t="str">
        <f xml:space="preserve"> 'FS Semi'!G58</f>
        <v>$ 000s</v>
      </c>
      <c r="H58" s="16">
        <f t="shared" ref="H58:H59" si="19" xml:space="preserve"> SUM(J58:BB58)</f>
        <v>0</v>
      </c>
      <c r="I58" s="16"/>
      <c r="J58" s="16">
        <f xml:space="preserve"> SUMIFS('FS Semi'!$J58:$CV58, 'FS Semi'!$J$4:$CV$4, 'FS Ann'!J$4)</f>
        <v>0</v>
      </c>
      <c r="K58" s="16">
        <f xml:space="preserve"> SUMIFS('FS Semi'!$J58:$CV58, 'FS Semi'!$J$4:$CV$4, 'FS Ann'!K$4)</f>
        <v>0</v>
      </c>
      <c r="L58" s="16">
        <f xml:space="preserve"> SUMIFS('FS Semi'!$J58:$CV58, 'FS Semi'!$J$4:$CV$4, 'FS Ann'!L$4)</f>
        <v>0</v>
      </c>
      <c r="M58" s="16">
        <f xml:space="preserve"> SUMIFS('FS Semi'!$J58:$CV58, 'FS Semi'!$J$4:$CV$4, 'FS Ann'!M$4)</f>
        <v>0</v>
      </c>
      <c r="N58" s="16">
        <f xml:space="preserve"> SUMIFS('FS Semi'!$J58:$CV58, 'FS Semi'!$J$4:$CV$4, 'FS Ann'!N$4)</f>
        <v>0</v>
      </c>
      <c r="O58" s="16">
        <f xml:space="preserve"> SUMIFS('FS Semi'!$J58:$CV58, 'FS Semi'!$J$4:$CV$4, 'FS Ann'!O$4)</f>
        <v>0</v>
      </c>
      <c r="P58" s="16">
        <f xml:space="preserve"> SUMIFS('FS Semi'!$J58:$CV58, 'FS Semi'!$J$4:$CV$4, 'FS Ann'!P$4)</f>
        <v>0</v>
      </c>
      <c r="Q58" s="16">
        <f xml:space="preserve"> SUMIFS('FS Semi'!$J58:$CV58, 'FS Semi'!$J$4:$CV$4, 'FS Ann'!Q$4)</f>
        <v>0</v>
      </c>
      <c r="R58" s="16">
        <f xml:space="preserve"> SUMIFS('FS Semi'!$J58:$CV58, 'FS Semi'!$J$4:$CV$4, 'FS Ann'!R$4)</f>
        <v>0</v>
      </c>
      <c r="S58" s="16">
        <f xml:space="preserve"> SUMIFS('FS Semi'!$J58:$CV58, 'FS Semi'!$J$4:$CV$4, 'FS Ann'!S$4)</f>
        <v>0</v>
      </c>
      <c r="T58" s="16">
        <f xml:space="preserve"> SUMIFS('FS Semi'!$J58:$CV58, 'FS Semi'!$J$4:$CV$4, 'FS Ann'!T$4)</f>
        <v>0</v>
      </c>
      <c r="U58" s="16">
        <f xml:space="preserve"> SUMIFS('FS Semi'!$J58:$CV58, 'FS Semi'!$J$4:$CV$4, 'FS Ann'!U$4)</f>
        <v>0</v>
      </c>
      <c r="V58" s="16">
        <f xml:space="preserve"> SUMIFS('FS Semi'!$J58:$CV58, 'FS Semi'!$J$4:$CV$4, 'FS Ann'!V$4)</f>
        <v>0</v>
      </c>
      <c r="W58" s="16">
        <f xml:space="preserve"> SUMIFS('FS Semi'!$J58:$CV58, 'FS Semi'!$J$4:$CV$4, 'FS Ann'!W$4)</f>
        <v>0</v>
      </c>
      <c r="X58" s="16">
        <f xml:space="preserve"> SUMIFS('FS Semi'!$J58:$CV58, 'FS Semi'!$J$4:$CV$4, 'FS Ann'!X$4)</f>
        <v>0</v>
      </c>
      <c r="Y58" s="16">
        <f xml:space="preserve"> SUMIFS('FS Semi'!$J58:$CV58, 'FS Semi'!$J$4:$CV$4, 'FS Ann'!Y$4)</f>
        <v>0</v>
      </c>
      <c r="Z58" s="16">
        <f xml:space="preserve"> SUMIFS('FS Semi'!$J58:$CV58, 'FS Semi'!$J$4:$CV$4, 'FS Ann'!Z$4)</f>
        <v>0</v>
      </c>
      <c r="AA58" s="16">
        <f xml:space="preserve"> SUMIFS('FS Semi'!$J58:$CV58, 'FS Semi'!$J$4:$CV$4, 'FS Ann'!AA$4)</f>
        <v>0</v>
      </c>
      <c r="AB58" s="16">
        <f xml:space="preserve"> SUMIFS('FS Semi'!$J58:$CV58, 'FS Semi'!$J$4:$CV$4, 'FS Ann'!AB$4)</f>
        <v>0</v>
      </c>
      <c r="AC58" s="16">
        <f xml:space="preserve"> SUMIFS('FS Semi'!$J58:$CV58, 'FS Semi'!$J$4:$CV$4, 'FS Ann'!AC$4)</f>
        <v>0</v>
      </c>
      <c r="AD58" s="16">
        <f xml:space="preserve"> SUMIFS('FS Semi'!$J58:$CV58, 'FS Semi'!$J$4:$CV$4, 'FS Ann'!AD$4)</f>
        <v>0</v>
      </c>
      <c r="AE58" s="16">
        <f xml:space="preserve"> SUMIFS('FS Semi'!$J58:$CV58, 'FS Semi'!$J$4:$CV$4, 'FS Ann'!AE$4)</f>
        <v>0</v>
      </c>
      <c r="AF58" s="16">
        <f xml:space="preserve"> SUMIFS('FS Semi'!$J58:$CV58, 'FS Semi'!$J$4:$CV$4, 'FS Ann'!AF$4)</f>
        <v>0</v>
      </c>
      <c r="AG58" s="16">
        <f xml:space="preserve"> SUMIFS('FS Semi'!$J58:$CV58, 'FS Semi'!$J$4:$CV$4, 'FS Ann'!AG$4)</f>
        <v>0</v>
      </c>
      <c r="AH58" s="16">
        <f xml:space="preserve"> SUMIFS('FS Semi'!$J58:$CV58, 'FS Semi'!$J$4:$CV$4, 'FS Ann'!AH$4)</f>
        <v>0</v>
      </c>
      <c r="AI58" s="16">
        <f xml:space="preserve"> SUMIFS('FS Semi'!$J58:$CV58, 'FS Semi'!$J$4:$CV$4, 'FS Ann'!AI$4)</f>
        <v>0</v>
      </c>
      <c r="AJ58" s="16">
        <f xml:space="preserve"> SUMIFS('FS Semi'!$J58:$CV58, 'FS Semi'!$J$4:$CV$4, 'FS Ann'!AJ$4)</f>
        <v>0</v>
      </c>
      <c r="AK58" s="16">
        <f xml:space="preserve"> SUMIFS('FS Semi'!$J58:$CV58, 'FS Semi'!$J$4:$CV$4, 'FS Ann'!AK$4)</f>
        <v>0</v>
      </c>
      <c r="AL58" s="16">
        <f xml:space="preserve"> SUMIFS('FS Semi'!$J58:$CV58, 'FS Semi'!$J$4:$CV$4, 'FS Ann'!AL$4)</f>
        <v>0</v>
      </c>
      <c r="AM58" s="16">
        <f xml:space="preserve"> SUMIFS('FS Semi'!$J58:$CV58, 'FS Semi'!$J$4:$CV$4, 'FS Ann'!AM$4)</f>
        <v>0</v>
      </c>
      <c r="AN58" s="16">
        <f xml:space="preserve"> SUMIFS('FS Semi'!$J58:$CV58, 'FS Semi'!$J$4:$CV$4, 'FS Ann'!AN$4)</f>
        <v>0</v>
      </c>
      <c r="AO58" s="16">
        <f xml:space="preserve"> SUMIFS('FS Semi'!$J58:$CV58, 'FS Semi'!$J$4:$CV$4, 'FS Ann'!AO$4)</f>
        <v>0</v>
      </c>
      <c r="AP58" s="16">
        <f xml:space="preserve"> SUMIFS('FS Semi'!$J58:$CV58, 'FS Semi'!$J$4:$CV$4, 'FS Ann'!AP$4)</f>
        <v>0</v>
      </c>
      <c r="AQ58" s="16">
        <f xml:space="preserve"> SUMIFS('FS Semi'!$J58:$CV58, 'FS Semi'!$J$4:$CV$4, 'FS Ann'!AQ$4)</f>
        <v>0</v>
      </c>
      <c r="AR58" s="16">
        <f xml:space="preserve"> SUMIFS('FS Semi'!$J58:$CV58, 'FS Semi'!$J$4:$CV$4, 'FS Ann'!AR$4)</f>
        <v>0</v>
      </c>
      <c r="AS58" s="16">
        <f xml:space="preserve"> SUMIFS('FS Semi'!$J58:$CV58, 'FS Semi'!$J$4:$CV$4, 'FS Ann'!AS$4)</f>
        <v>0</v>
      </c>
      <c r="AT58" s="16">
        <f xml:space="preserve"> SUMIFS('FS Semi'!$J58:$CV58, 'FS Semi'!$J$4:$CV$4, 'FS Ann'!AT$4)</f>
        <v>0</v>
      </c>
      <c r="AU58" s="16">
        <f xml:space="preserve"> SUMIFS('FS Semi'!$J58:$CV58, 'FS Semi'!$J$4:$CV$4, 'FS Ann'!AU$4)</f>
        <v>0</v>
      </c>
      <c r="AV58" s="16">
        <f xml:space="preserve"> SUMIFS('FS Semi'!$J58:$CV58, 'FS Semi'!$J$4:$CV$4, 'FS Ann'!AV$4)</f>
        <v>0</v>
      </c>
      <c r="AW58" s="16">
        <f xml:space="preserve"> SUMIFS('FS Semi'!$J58:$CV58, 'FS Semi'!$J$4:$CV$4, 'FS Ann'!AW$4)</f>
        <v>0</v>
      </c>
      <c r="AX58" s="16">
        <f xml:space="preserve"> SUMIFS('FS Semi'!$J58:$CV58, 'FS Semi'!$J$4:$CV$4, 'FS Ann'!AX$4)</f>
        <v>0</v>
      </c>
      <c r="AY58" s="16">
        <f xml:space="preserve"> SUMIFS('FS Semi'!$J58:$CV58, 'FS Semi'!$J$4:$CV$4, 'FS Ann'!AY$4)</f>
        <v>0</v>
      </c>
      <c r="AZ58" s="16">
        <f xml:space="preserve"> SUMIFS('FS Semi'!$J58:$CV58, 'FS Semi'!$J$4:$CV$4, 'FS Ann'!AZ$4)</f>
        <v>0</v>
      </c>
      <c r="BA58" s="16">
        <f xml:space="preserve"> SUMIFS('FS Semi'!$J58:$CV58, 'FS Semi'!$J$4:$CV$4, 'FS Ann'!BA$4)</f>
        <v>0</v>
      </c>
      <c r="BB58" s="16">
        <f xml:space="preserve"> SUMIFS('FS Semi'!$J58:$CV58, 'FS Semi'!$J$4:$CV$4, 'FS Ann'!BB$4)</f>
        <v>0</v>
      </c>
    </row>
    <row r="59" spans="1:54" outlineLevel="1" x14ac:dyDescent="0.2">
      <c r="A59" s="1"/>
      <c r="B59" s="1"/>
      <c r="C59" s="19"/>
      <c r="D59" s="83"/>
      <c r="E59" s="16" t="str">
        <f xml:space="preserve"> 'FS Semi'!E59</f>
        <v>Standby equity drawdown</v>
      </c>
      <c r="F59" s="16">
        <f xml:space="preserve"> 'FS Semi'!F59</f>
        <v>0</v>
      </c>
      <c r="G59" s="381" t="str">
        <f xml:space="preserve"> 'FS Semi'!G59</f>
        <v>$ 000s</v>
      </c>
      <c r="H59" s="16">
        <f t="shared" si="19"/>
        <v>0</v>
      </c>
      <c r="I59" s="16"/>
      <c r="J59" s="16">
        <f xml:space="preserve"> SUMIFS('FS Semi'!$J59:$CV59, 'FS Semi'!$J$4:$CV$4, 'FS Ann'!J$4)</f>
        <v>0</v>
      </c>
      <c r="K59" s="16">
        <f xml:space="preserve"> SUMIFS('FS Semi'!$J59:$CV59, 'FS Semi'!$J$4:$CV$4, 'FS Ann'!K$4)</f>
        <v>0</v>
      </c>
      <c r="L59" s="16">
        <f xml:space="preserve"> SUMIFS('FS Semi'!$J59:$CV59, 'FS Semi'!$J$4:$CV$4, 'FS Ann'!L$4)</f>
        <v>0</v>
      </c>
      <c r="M59" s="16">
        <f xml:space="preserve"> SUMIFS('FS Semi'!$J59:$CV59, 'FS Semi'!$J$4:$CV$4, 'FS Ann'!M$4)</f>
        <v>0</v>
      </c>
      <c r="N59" s="16">
        <f xml:space="preserve"> SUMIFS('FS Semi'!$J59:$CV59, 'FS Semi'!$J$4:$CV$4, 'FS Ann'!N$4)</f>
        <v>0</v>
      </c>
      <c r="O59" s="16">
        <f xml:space="preserve"> SUMIFS('FS Semi'!$J59:$CV59, 'FS Semi'!$J$4:$CV$4, 'FS Ann'!O$4)</f>
        <v>0</v>
      </c>
      <c r="P59" s="16">
        <f xml:space="preserve"> SUMIFS('FS Semi'!$J59:$CV59, 'FS Semi'!$J$4:$CV$4, 'FS Ann'!P$4)</f>
        <v>0</v>
      </c>
      <c r="Q59" s="16">
        <f xml:space="preserve"> SUMIFS('FS Semi'!$J59:$CV59, 'FS Semi'!$J$4:$CV$4, 'FS Ann'!Q$4)</f>
        <v>0</v>
      </c>
      <c r="R59" s="16">
        <f xml:space="preserve"> SUMIFS('FS Semi'!$J59:$CV59, 'FS Semi'!$J$4:$CV$4, 'FS Ann'!R$4)</f>
        <v>0</v>
      </c>
      <c r="S59" s="16">
        <f xml:space="preserve"> SUMIFS('FS Semi'!$J59:$CV59, 'FS Semi'!$J$4:$CV$4, 'FS Ann'!S$4)</f>
        <v>0</v>
      </c>
      <c r="T59" s="16">
        <f xml:space="preserve"> SUMIFS('FS Semi'!$J59:$CV59, 'FS Semi'!$J$4:$CV$4, 'FS Ann'!T$4)</f>
        <v>0</v>
      </c>
      <c r="U59" s="16">
        <f xml:space="preserve"> SUMIFS('FS Semi'!$J59:$CV59, 'FS Semi'!$J$4:$CV$4, 'FS Ann'!U$4)</f>
        <v>0</v>
      </c>
      <c r="V59" s="16">
        <f xml:space="preserve"> SUMIFS('FS Semi'!$J59:$CV59, 'FS Semi'!$J$4:$CV$4, 'FS Ann'!V$4)</f>
        <v>0</v>
      </c>
      <c r="W59" s="16">
        <f xml:space="preserve"> SUMIFS('FS Semi'!$J59:$CV59, 'FS Semi'!$J$4:$CV$4, 'FS Ann'!W$4)</f>
        <v>0</v>
      </c>
      <c r="X59" s="16">
        <f xml:space="preserve"> SUMIFS('FS Semi'!$J59:$CV59, 'FS Semi'!$J$4:$CV$4, 'FS Ann'!X$4)</f>
        <v>0</v>
      </c>
      <c r="Y59" s="16">
        <f xml:space="preserve"> SUMIFS('FS Semi'!$J59:$CV59, 'FS Semi'!$J$4:$CV$4, 'FS Ann'!Y$4)</f>
        <v>0</v>
      </c>
      <c r="Z59" s="16">
        <f xml:space="preserve"> SUMIFS('FS Semi'!$J59:$CV59, 'FS Semi'!$J$4:$CV$4, 'FS Ann'!Z$4)</f>
        <v>0</v>
      </c>
      <c r="AA59" s="16">
        <f xml:space="preserve"> SUMIFS('FS Semi'!$J59:$CV59, 'FS Semi'!$J$4:$CV$4, 'FS Ann'!AA$4)</f>
        <v>0</v>
      </c>
      <c r="AB59" s="16">
        <f xml:space="preserve"> SUMIFS('FS Semi'!$J59:$CV59, 'FS Semi'!$J$4:$CV$4, 'FS Ann'!AB$4)</f>
        <v>0</v>
      </c>
      <c r="AC59" s="16">
        <f xml:space="preserve"> SUMIFS('FS Semi'!$J59:$CV59, 'FS Semi'!$J$4:$CV$4, 'FS Ann'!AC$4)</f>
        <v>0</v>
      </c>
      <c r="AD59" s="16">
        <f xml:space="preserve"> SUMIFS('FS Semi'!$J59:$CV59, 'FS Semi'!$J$4:$CV$4, 'FS Ann'!AD$4)</f>
        <v>0</v>
      </c>
      <c r="AE59" s="16">
        <f xml:space="preserve"> SUMIFS('FS Semi'!$J59:$CV59, 'FS Semi'!$J$4:$CV$4, 'FS Ann'!AE$4)</f>
        <v>0</v>
      </c>
      <c r="AF59" s="16">
        <f xml:space="preserve"> SUMIFS('FS Semi'!$J59:$CV59, 'FS Semi'!$J$4:$CV$4, 'FS Ann'!AF$4)</f>
        <v>0</v>
      </c>
      <c r="AG59" s="16">
        <f xml:space="preserve"> SUMIFS('FS Semi'!$J59:$CV59, 'FS Semi'!$J$4:$CV$4, 'FS Ann'!AG$4)</f>
        <v>0</v>
      </c>
      <c r="AH59" s="16">
        <f xml:space="preserve"> SUMIFS('FS Semi'!$J59:$CV59, 'FS Semi'!$J$4:$CV$4, 'FS Ann'!AH$4)</f>
        <v>0</v>
      </c>
      <c r="AI59" s="16">
        <f xml:space="preserve"> SUMIFS('FS Semi'!$J59:$CV59, 'FS Semi'!$J$4:$CV$4, 'FS Ann'!AI$4)</f>
        <v>0</v>
      </c>
      <c r="AJ59" s="16">
        <f xml:space="preserve"> SUMIFS('FS Semi'!$J59:$CV59, 'FS Semi'!$J$4:$CV$4, 'FS Ann'!AJ$4)</f>
        <v>0</v>
      </c>
      <c r="AK59" s="16">
        <f xml:space="preserve"> SUMIFS('FS Semi'!$J59:$CV59, 'FS Semi'!$J$4:$CV$4, 'FS Ann'!AK$4)</f>
        <v>0</v>
      </c>
      <c r="AL59" s="16">
        <f xml:space="preserve"> SUMIFS('FS Semi'!$J59:$CV59, 'FS Semi'!$J$4:$CV$4, 'FS Ann'!AL$4)</f>
        <v>0</v>
      </c>
      <c r="AM59" s="16">
        <f xml:space="preserve"> SUMIFS('FS Semi'!$J59:$CV59, 'FS Semi'!$J$4:$CV$4, 'FS Ann'!AM$4)</f>
        <v>0</v>
      </c>
      <c r="AN59" s="16">
        <f xml:space="preserve"> SUMIFS('FS Semi'!$J59:$CV59, 'FS Semi'!$J$4:$CV$4, 'FS Ann'!AN$4)</f>
        <v>0</v>
      </c>
      <c r="AO59" s="16">
        <f xml:space="preserve"> SUMIFS('FS Semi'!$J59:$CV59, 'FS Semi'!$J$4:$CV$4, 'FS Ann'!AO$4)</f>
        <v>0</v>
      </c>
      <c r="AP59" s="16">
        <f xml:space="preserve"> SUMIFS('FS Semi'!$J59:$CV59, 'FS Semi'!$J$4:$CV$4, 'FS Ann'!AP$4)</f>
        <v>0</v>
      </c>
      <c r="AQ59" s="16">
        <f xml:space="preserve"> SUMIFS('FS Semi'!$J59:$CV59, 'FS Semi'!$J$4:$CV$4, 'FS Ann'!AQ$4)</f>
        <v>0</v>
      </c>
      <c r="AR59" s="16">
        <f xml:space="preserve"> SUMIFS('FS Semi'!$J59:$CV59, 'FS Semi'!$J$4:$CV$4, 'FS Ann'!AR$4)</f>
        <v>0</v>
      </c>
      <c r="AS59" s="16">
        <f xml:space="preserve"> SUMIFS('FS Semi'!$J59:$CV59, 'FS Semi'!$J$4:$CV$4, 'FS Ann'!AS$4)</f>
        <v>0</v>
      </c>
      <c r="AT59" s="16">
        <f xml:space="preserve"> SUMIFS('FS Semi'!$J59:$CV59, 'FS Semi'!$J$4:$CV$4, 'FS Ann'!AT$4)</f>
        <v>0</v>
      </c>
      <c r="AU59" s="16">
        <f xml:space="preserve"> SUMIFS('FS Semi'!$J59:$CV59, 'FS Semi'!$J$4:$CV$4, 'FS Ann'!AU$4)</f>
        <v>0</v>
      </c>
      <c r="AV59" s="16">
        <f xml:space="preserve"> SUMIFS('FS Semi'!$J59:$CV59, 'FS Semi'!$J$4:$CV$4, 'FS Ann'!AV$4)</f>
        <v>0</v>
      </c>
      <c r="AW59" s="16">
        <f xml:space="preserve"> SUMIFS('FS Semi'!$J59:$CV59, 'FS Semi'!$J$4:$CV$4, 'FS Ann'!AW$4)</f>
        <v>0</v>
      </c>
      <c r="AX59" s="16">
        <f xml:space="preserve"> SUMIFS('FS Semi'!$J59:$CV59, 'FS Semi'!$J$4:$CV$4, 'FS Ann'!AX$4)</f>
        <v>0</v>
      </c>
      <c r="AY59" s="16">
        <f xml:space="preserve"> SUMIFS('FS Semi'!$J59:$CV59, 'FS Semi'!$J$4:$CV$4, 'FS Ann'!AY$4)</f>
        <v>0</v>
      </c>
      <c r="AZ59" s="16">
        <f xml:space="preserve"> SUMIFS('FS Semi'!$J59:$CV59, 'FS Semi'!$J$4:$CV$4, 'FS Ann'!AZ$4)</f>
        <v>0</v>
      </c>
      <c r="BA59" s="16">
        <f xml:space="preserve"> SUMIFS('FS Semi'!$J59:$CV59, 'FS Semi'!$J$4:$CV$4, 'FS Ann'!BA$4)</f>
        <v>0</v>
      </c>
      <c r="BB59" s="16">
        <f xml:space="preserve"> SUMIFS('FS Semi'!$J59:$CV59, 'FS Semi'!$J$4:$CV$4, 'FS Ann'!BB$4)</f>
        <v>0</v>
      </c>
    </row>
    <row r="60" spans="1:54" outlineLevel="1" x14ac:dyDescent="0.2">
      <c r="A60" s="1"/>
      <c r="B60" s="1"/>
      <c r="C60" s="19"/>
      <c r="D60" s="83"/>
      <c r="E60" s="16" t="str">
        <f xml:space="preserve"> 'FS Semi'!E60</f>
        <v>WCF commitment fee</v>
      </c>
      <c r="F60" s="16">
        <f xml:space="preserve"> 'FS Semi'!F60</f>
        <v>0</v>
      </c>
      <c r="G60" s="381" t="str">
        <f xml:space="preserve"> 'FS Semi'!G60</f>
        <v>$ 000s</v>
      </c>
      <c r="H60" s="16">
        <f t="shared" ref="H60:H64" si="20" xml:space="preserve"> SUM(J60:BB60)</f>
        <v>0</v>
      </c>
      <c r="I60" s="16"/>
      <c r="J60" s="16">
        <f xml:space="preserve"> SUMIFS('FS Semi'!$J60:$CV60, 'FS Semi'!$J$4:$CV$4, 'FS Ann'!J$4)</f>
        <v>0</v>
      </c>
      <c r="K60" s="16">
        <f xml:space="preserve"> SUMIFS('FS Semi'!$J60:$CV60, 'FS Semi'!$J$4:$CV$4, 'FS Ann'!K$4)</f>
        <v>0</v>
      </c>
      <c r="L60" s="16">
        <f xml:space="preserve"> SUMIFS('FS Semi'!$J60:$CV60, 'FS Semi'!$J$4:$CV$4, 'FS Ann'!L$4)</f>
        <v>0</v>
      </c>
      <c r="M60" s="16">
        <f xml:space="preserve"> SUMIFS('FS Semi'!$J60:$CV60, 'FS Semi'!$J$4:$CV$4, 'FS Ann'!M$4)</f>
        <v>0</v>
      </c>
      <c r="N60" s="16">
        <f xml:space="preserve"> SUMIFS('FS Semi'!$J60:$CV60, 'FS Semi'!$J$4:$CV$4, 'FS Ann'!N$4)</f>
        <v>0</v>
      </c>
      <c r="O60" s="16">
        <f xml:space="preserve"> SUMIFS('FS Semi'!$J60:$CV60, 'FS Semi'!$J$4:$CV$4, 'FS Ann'!O$4)</f>
        <v>0</v>
      </c>
      <c r="P60" s="16">
        <f xml:space="preserve"> SUMIFS('FS Semi'!$J60:$CV60, 'FS Semi'!$J$4:$CV$4, 'FS Ann'!P$4)</f>
        <v>0</v>
      </c>
      <c r="Q60" s="16">
        <f xml:space="preserve"> SUMIFS('FS Semi'!$J60:$CV60, 'FS Semi'!$J$4:$CV$4, 'FS Ann'!Q$4)</f>
        <v>0</v>
      </c>
      <c r="R60" s="16">
        <f xml:space="preserve"> SUMIFS('FS Semi'!$J60:$CV60, 'FS Semi'!$J$4:$CV$4, 'FS Ann'!R$4)</f>
        <v>0</v>
      </c>
      <c r="S60" s="16">
        <f xml:space="preserve"> SUMIFS('FS Semi'!$J60:$CV60, 'FS Semi'!$J$4:$CV$4, 'FS Ann'!S$4)</f>
        <v>0</v>
      </c>
      <c r="T60" s="16">
        <f xml:space="preserve"> SUMIFS('FS Semi'!$J60:$CV60, 'FS Semi'!$J$4:$CV$4, 'FS Ann'!T$4)</f>
        <v>0</v>
      </c>
      <c r="U60" s="16">
        <f xml:space="preserve"> SUMIFS('FS Semi'!$J60:$CV60, 'FS Semi'!$J$4:$CV$4, 'FS Ann'!U$4)</f>
        <v>0</v>
      </c>
      <c r="V60" s="16">
        <f xml:space="preserve"> SUMIFS('FS Semi'!$J60:$CV60, 'FS Semi'!$J$4:$CV$4, 'FS Ann'!V$4)</f>
        <v>0</v>
      </c>
      <c r="W60" s="16">
        <f xml:space="preserve"> SUMIFS('FS Semi'!$J60:$CV60, 'FS Semi'!$J$4:$CV$4, 'FS Ann'!W$4)</f>
        <v>0</v>
      </c>
      <c r="X60" s="16">
        <f xml:space="preserve"> SUMIFS('FS Semi'!$J60:$CV60, 'FS Semi'!$J$4:$CV$4, 'FS Ann'!X$4)</f>
        <v>0</v>
      </c>
      <c r="Y60" s="16">
        <f xml:space="preserve"> SUMIFS('FS Semi'!$J60:$CV60, 'FS Semi'!$J$4:$CV$4, 'FS Ann'!Y$4)</f>
        <v>0</v>
      </c>
      <c r="Z60" s="16">
        <f xml:space="preserve"> SUMIFS('FS Semi'!$J60:$CV60, 'FS Semi'!$J$4:$CV$4, 'FS Ann'!Z$4)</f>
        <v>0</v>
      </c>
      <c r="AA60" s="16">
        <f xml:space="preserve"> SUMIFS('FS Semi'!$J60:$CV60, 'FS Semi'!$J$4:$CV$4, 'FS Ann'!AA$4)</f>
        <v>0</v>
      </c>
      <c r="AB60" s="16">
        <f xml:space="preserve"> SUMIFS('FS Semi'!$J60:$CV60, 'FS Semi'!$J$4:$CV$4, 'FS Ann'!AB$4)</f>
        <v>0</v>
      </c>
      <c r="AC60" s="16">
        <f xml:space="preserve"> SUMIFS('FS Semi'!$J60:$CV60, 'FS Semi'!$J$4:$CV$4, 'FS Ann'!AC$4)</f>
        <v>0</v>
      </c>
      <c r="AD60" s="16">
        <f xml:space="preserve"> SUMIFS('FS Semi'!$J60:$CV60, 'FS Semi'!$J$4:$CV$4, 'FS Ann'!AD$4)</f>
        <v>0</v>
      </c>
      <c r="AE60" s="16">
        <f xml:space="preserve"> SUMIFS('FS Semi'!$J60:$CV60, 'FS Semi'!$J$4:$CV$4, 'FS Ann'!AE$4)</f>
        <v>0</v>
      </c>
      <c r="AF60" s="16">
        <f xml:space="preserve"> SUMIFS('FS Semi'!$J60:$CV60, 'FS Semi'!$J$4:$CV$4, 'FS Ann'!AF$4)</f>
        <v>0</v>
      </c>
      <c r="AG60" s="16">
        <f xml:space="preserve"> SUMIFS('FS Semi'!$J60:$CV60, 'FS Semi'!$J$4:$CV$4, 'FS Ann'!AG$4)</f>
        <v>0</v>
      </c>
      <c r="AH60" s="16">
        <f xml:space="preserve"> SUMIFS('FS Semi'!$J60:$CV60, 'FS Semi'!$J$4:$CV$4, 'FS Ann'!AH$4)</f>
        <v>0</v>
      </c>
      <c r="AI60" s="16">
        <f xml:space="preserve"> SUMIFS('FS Semi'!$J60:$CV60, 'FS Semi'!$J$4:$CV$4, 'FS Ann'!AI$4)</f>
        <v>0</v>
      </c>
      <c r="AJ60" s="16">
        <f xml:space="preserve"> SUMIFS('FS Semi'!$J60:$CV60, 'FS Semi'!$J$4:$CV$4, 'FS Ann'!AJ$4)</f>
        <v>0</v>
      </c>
      <c r="AK60" s="16">
        <f xml:space="preserve"> SUMIFS('FS Semi'!$J60:$CV60, 'FS Semi'!$J$4:$CV$4, 'FS Ann'!AK$4)</f>
        <v>0</v>
      </c>
      <c r="AL60" s="16">
        <f xml:space="preserve"> SUMIFS('FS Semi'!$J60:$CV60, 'FS Semi'!$J$4:$CV$4, 'FS Ann'!AL$4)</f>
        <v>0</v>
      </c>
      <c r="AM60" s="16">
        <f xml:space="preserve"> SUMIFS('FS Semi'!$J60:$CV60, 'FS Semi'!$J$4:$CV$4, 'FS Ann'!AM$4)</f>
        <v>0</v>
      </c>
      <c r="AN60" s="16">
        <f xml:space="preserve"> SUMIFS('FS Semi'!$J60:$CV60, 'FS Semi'!$J$4:$CV$4, 'FS Ann'!AN$4)</f>
        <v>0</v>
      </c>
      <c r="AO60" s="16">
        <f xml:space="preserve"> SUMIFS('FS Semi'!$J60:$CV60, 'FS Semi'!$J$4:$CV$4, 'FS Ann'!AO$4)</f>
        <v>0</v>
      </c>
      <c r="AP60" s="16">
        <f xml:space="preserve"> SUMIFS('FS Semi'!$J60:$CV60, 'FS Semi'!$J$4:$CV$4, 'FS Ann'!AP$4)</f>
        <v>0</v>
      </c>
      <c r="AQ60" s="16">
        <f xml:space="preserve"> SUMIFS('FS Semi'!$J60:$CV60, 'FS Semi'!$J$4:$CV$4, 'FS Ann'!AQ$4)</f>
        <v>0</v>
      </c>
      <c r="AR60" s="16">
        <f xml:space="preserve"> SUMIFS('FS Semi'!$J60:$CV60, 'FS Semi'!$J$4:$CV$4, 'FS Ann'!AR$4)</f>
        <v>0</v>
      </c>
      <c r="AS60" s="16">
        <f xml:space="preserve"> SUMIFS('FS Semi'!$J60:$CV60, 'FS Semi'!$J$4:$CV$4, 'FS Ann'!AS$4)</f>
        <v>0</v>
      </c>
      <c r="AT60" s="16">
        <f xml:space="preserve"> SUMIFS('FS Semi'!$J60:$CV60, 'FS Semi'!$J$4:$CV$4, 'FS Ann'!AT$4)</f>
        <v>0</v>
      </c>
      <c r="AU60" s="16">
        <f xml:space="preserve"> SUMIFS('FS Semi'!$J60:$CV60, 'FS Semi'!$J$4:$CV$4, 'FS Ann'!AU$4)</f>
        <v>0</v>
      </c>
      <c r="AV60" s="16">
        <f xml:space="preserve"> SUMIFS('FS Semi'!$J60:$CV60, 'FS Semi'!$J$4:$CV$4, 'FS Ann'!AV$4)</f>
        <v>0</v>
      </c>
      <c r="AW60" s="16">
        <f xml:space="preserve"> SUMIFS('FS Semi'!$J60:$CV60, 'FS Semi'!$J$4:$CV$4, 'FS Ann'!AW$4)</f>
        <v>0</v>
      </c>
      <c r="AX60" s="16">
        <f xml:space="preserve"> SUMIFS('FS Semi'!$J60:$CV60, 'FS Semi'!$J$4:$CV$4, 'FS Ann'!AX$4)</f>
        <v>0</v>
      </c>
      <c r="AY60" s="16">
        <f xml:space="preserve"> SUMIFS('FS Semi'!$J60:$CV60, 'FS Semi'!$J$4:$CV$4, 'FS Ann'!AY$4)</f>
        <v>0</v>
      </c>
      <c r="AZ60" s="16">
        <f xml:space="preserve"> SUMIFS('FS Semi'!$J60:$CV60, 'FS Semi'!$J$4:$CV$4, 'FS Ann'!AZ$4)</f>
        <v>0</v>
      </c>
      <c r="BA60" s="16">
        <f xml:space="preserve"> SUMIFS('FS Semi'!$J60:$CV60, 'FS Semi'!$J$4:$CV$4, 'FS Ann'!BA$4)</f>
        <v>0</v>
      </c>
      <c r="BB60" s="16">
        <f xml:space="preserve"> SUMIFS('FS Semi'!$J60:$CV60, 'FS Semi'!$J$4:$CV$4, 'FS Ann'!BB$4)</f>
        <v>0</v>
      </c>
    </row>
    <row r="61" spans="1:54" outlineLevel="1" x14ac:dyDescent="0.2">
      <c r="A61" s="1"/>
      <c r="B61" s="1"/>
      <c r="C61" s="19"/>
      <c r="D61" s="83"/>
      <c r="E61" s="16" t="str">
        <f xml:space="preserve"> 'FS Semi'!E61</f>
        <v>WCF upfront fee</v>
      </c>
      <c r="F61" s="16">
        <f xml:space="preserve"> 'FS Semi'!F61</f>
        <v>0</v>
      </c>
      <c r="G61" s="381" t="str">
        <f xml:space="preserve"> 'FS Semi'!G61</f>
        <v>$ 000s</v>
      </c>
      <c r="H61" s="16">
        <f t="shared" si="20"/>
        <v>0</v>
      </c>
      <c r="I61" s="16"/>
      <c r="J61" s="16">
        <f xml:space="preserve"> SUMIFS('FS Semi'!$J61:$CV61, 'FS Semi'!$J$4:$CV$4, 'FS Ann'!J$4)</f>
        <v>0</v>
      </c>
      <c r="K61" s="16">
        <f xml:space="preserve"> SUMIFS('FS Semi'!$J61:$CV61, 'FS Semi'!$J$4:$CV$4, 'FS Ann'!K$4)</f>
        <v>0</v>
      </c>
      <c r="L61" s="16">
        <f xml:space="preserve"> SUMIFS('FS Semi'!$J61:$CV61, 'FS Semi'!$J$4:$CV$4, 'FS Ann'!L$4)</f>
        <v>0</v>
      </c>
      <c r="M61" s="16">
        <f xml:space="preserve"> SUMIFS('FS Semi'!$J61:$CV61, 'FS Semi'!$J$4:$CV$4, 'FS Ann'!M$4)</f>
        <v>0</v>
      </c>
      <c r="N61" s="16">
        <f xml:space="preserve"> SUMIFS('FS Semi'!$J61:$CV61, 'FS Semi'!$J$4:$CV$4, 'FS Ann'!N$4)</f>
        <v>0</v>
      </c>
      <c r="O61" s="16">
        <f xml:space="preserve"> SUMIFS('FS Semi'!$J61:$CV61, 'FS Semi'!$J$4:$CV$4, 'FS Ann'!O$4)</f>
        <v>0</v>
      </c>
      <c r="P61" s="16">
        <f xml:space="preserve"> SUMIFS('FS Semi'!$J61:$CV61, 'FS Semi'!$J$4:$CV$4, 'FS Ann'!P$4)</f>
        <v>0</v>
      </c>
      <c r="Q61" s="16">
        <f xml:space="preserve"> SUMIFS('FS Semi'!$J61:$CV61, 'FS Semi'!$J$4:$CV$4, 'FS Ann'!Q$4)</f>
        <v>0</v>
      </c>
      <c r="R61" s="16">
        <f xml:space="preserve"> SUMIFS('FS Semi'!$J61:$CV61, 'FS Semi'!$J$4:$CV$4, 'FS Ann'!R$4)</f>
        <v>0</v>
      </c>
      <c r="S61" s="16">
        <f xml:space="preserve"> SUMIFS('FS Semi'!$J61:$CV61, 'FS Semi'!$J$4:$CV$4, 'FS Ann'!S$4)</f>
        <v>0</v>
      </c>
      <c r="T61" s="16">
        <f xml:space="preserve"> SUMIFS('FS Semi'!$J61:$CV61, 'FS Semi'!$J$4:$CV$4, 'FS Ann'!T$4)</f>
        <v>0</v>
      </c>
      <c r="U61" s="16">
        <f xml:space="preserve"> SUMIFS('FS Semi'!$J61:$CV61, 'FS Semi'!$J$4:$CV$4, 'FS Ann'!U$4)</f>
        <v>0</v>
      </c>
      <c r="V61" s="16">
        <f xml:space="preserve"> SUMIFS('FS Semi'!$J61:$CV61, 'FS Semi'!$J$4:$CV$4, 'FS Ann'!V$4)</f>
        <v>0</v>
      </c>
      <c r="W61" s="16">
        <f xml:space="preserve"> SUMIFS('FS Semi'!$J61:$CV61, 'FS Semi'!$J$4:$CV$4, 'FS Ann'!W$4)</f>
        <v>0</v>
      </c>
      <c r="X61" s="16">
        <f xml:space="preserve"> SUMIFS('FS Semi'!$J61:$CV61, 'FS Semi'!$J$4:$CV$4, 'FS Ann'!X$4)</f>
        <v>0</v>
      </c>
      <c r="Y61" s="16">
        <f xml:space="preserve"> SUMIFS('FS Semi'!$J61:$CV61, 'FS Semi'!$J$4:$CV$4, 'FS Ann'!Y$4)</f>
        <v>0</v>
      </c>
      <c r="Z61" s="16">
        <f xml:space="preserve"> SUMIFS('FS Semi'!$J61:$CV61, 'FS Semi'!$J$4:$CV$4, 'FS Ann'!Z$4)</f>
        <v>0</v>
      </c>
      <c r="AA61" s="16">
        <f xml:space="preserve"> SUMIFS('FS Semi'!$J61:$CV61, 'FS Semi'!$J$4:$CV$4, 'FS Ann'!AA$4)</f>
        <v>0</v>
      </c>
      <c r="AB61" s="16">
        <f xml:space="preserve"> SUMIFS('FS Semi'!$J61:$CV61, 'FS Semi'!$J$4:$CV$4, 'FS Ann'!AB$4)</f>
        <v>0</v>
      </c>
      <c r="AC61" s="16">
        <f xml:space="preserve"> SUMIFS('FS Semi'!$J61:$CV61, 'FS Semi'!$J$4:$CV$4, 'FS Ann'!AC$4)</f>
        <v>0</v>
      </c>
      <c r="AD61" s="16">
        <f xml:space="preserve"> SUMIFS('FS Semi'!$J61:$CV61, 'FS Semi'!$J$4:$CV$4, 'FS Ann'!AD$4)</f>
        <v>0</v>
      </c>
      <c r="AE61" s="16">
        <f xml:space="preserve"> SUMIFS('FS Semi'!$J61:$CV61, 'FS Semi'!$J$4:$CV$4, 'FS Ann'!AE$4)</f>
        <v>0</v>
      </c>
      <c r="AF61" s="16">
        <f xml:space="preserve"> SUMIFS('FS Semi'!$J61:$CV61, 'FS Semi'!$J$4:$CV$4, 'FS Ann'!AF$4)</f>
        <v>0</v>
      </c>
      <c r="AG61" s="16">
        <f xml:space="preserve"> SUMIFS('FS Semi'!$J61:$CV61, 'FS Semi'!$J$4:$CV$4, 'FS Ann'!AG$4)</f>
        <v>0</v>
      </c>
      <c r="AH61" s="16">
        <f xml:space="preserve"> SUMIFS('FS Semi'!$J61:$CV61, 'FS Semi'!$J$4:$CV$4, 'FS Ann'!AH$4)</f>
        <v>0</v>
      </c>
      <c r="AI61" s="16">
        <f xml:space="preserve"> SUMIFS('FS Semi'!$J61:$CV61, 'FS Semi'!$J$4:$CV$4, 'FS Ann'!AI$4)</f>
        <v>0</v>
      </c>
      <c r="AJ61" s="16">
        <f xml:space="preserve"> SUMIFS('FS Semi'!$J61:$CV61, 'FS Semi'!$J$4:$CV$4, 'FS Ann'!AJ$4)</f>
        <v>0</v>
      </c>
      <c r="AK61" s="16">
        <f xml:space="preserve"> SUMIFS('FS Semi'!$J61:$CV61, 'FS Semi'!$J$4:$CV$4, 'FS Ann'!AK$4)</f>
        <v>0</v>
      </c>
      <c r="AL61" s="16">
        <f xml:space="preserve"> SUMIFS('FS Semi'!$J61:$CV61, 'FS Semi'!$J$4:$CV$4, 'FS Ann'!AL$4)</f>
        <v>0</v>
      </c>
      <c r="AM61" s="16">
        <f xml:space="preserve"> SUMIFS('FS Semi'!$J61:$CV61, 'FS Semi'!$J$4:$CV$4, 'FS Ann'!AM$4)</f>
        <v>0</v>
      </c>
      <c r="AN61" s="16">
        <f xml:space="preserve"> SUMIFS('FS Semi'!$J61:$CV61, 'FS Semi'!$J$4:$CV$4, 'FS Ann'!AN$4)</f>
        <v>0</v>
      </c>
      <c r="AO61" s="16">
        <f xml:space="preserve"> SUMIFS('FS Semi'!$J61:$CV61, 'FS Semi'!$J$4:$CV$4, 'FS Ann'!AO$4)</f>
        <v>0</v>
      </c>
      <c r="AP61" s="16">
        <f xml:space="preserve"> SUMIFS('FS Semi'!$J61:$CV61, 'FS Semi'!$J$4:$CV$4, 'FS Ann'!AP$4)</f>
        <v>0</v>
      </c>
      <c r="AQ61" s="16">
        <f xml:space="preserve"> SUMIFS('FS Semi'!$J61:$CV61, 'FS Semi'!$J$4:$CV$4, 'FS Ann'!AQ$4)</f>
        <v>0</v>
      </c>
      <c r="AR61" s="16">
        <f xml:space="preserve"> SUMIFS('FS Semi'!$J61:$CV61, 'FS Semi'!$J$4:$CV$4, 'FS Ann'!AR$4)</f>
        <v>0</v>
      </c>
      <c r="AS61" s="16">
        <f xml:space="preserve"> SUMIFS('FS Semi'!$J61:$CV61, 'FS Semi'!$J$4:$CV$4, 'FS Ann'!AS$4)</f>
        <v>0</v>
      </c>
      <c r="AT61" s="16">
        <f xml:space="preserve"> SUMIFS('FS Semi'!$J61:$CV61, 'FS Semi'!$J$4:$CV$4, 'FS Ann'!AT$4)</f>
        <v>0</v>
      </c>
      <c r="AU61" s="16">
        <f xml:space="preserve"> SUMIFS('FS Semi'!$J61:$CV61, 'FS Semi'!$J$4:$CV$4, 'FS Ann'!AU$4)</f>
        <v>0</v>
      </c>
      <c r="AV61" s="16">
        <f xml:space="preserve"> SUMIFS('FS Semi'!$J61:$CV61, 'FS Semi'!$J$4:$CV$4, 'FS Ann'!AV$4)</f>
        <v>0</v>
      </c>
      <c r="AW61" s="16">
        <f xml:space="preserve"> SUMIFS('FS Semi'!$J61:$CV61, 'FS Semi'!$J$4:$CV$4, 'FS Ann'!AW$4)</f>
        <v>0</v>
      </c>
      <c r="AX61" s="16">
        <f xml:space="preserve"> SUMIFS('FS Semi'!$J61:$CV61, 'FS Semi'!$J$4:$CV$4, 'FS Ann'!AX$4)</f>
        <v>0</v>
      </c>
      <c r="AY61" s="16">
        <f xml:space="preserve"> SUMIFS('FS Semi'!$J61:$CV61, 'FS Semi'!$J$4:$CV$4, 'FS Ann'!AY$4)</f>
        <v>0</v>
      </c>
      <c r="AZ61" s="16">
        <f xml:space="preserve"> SUMIFS('FS Semi'!$J61:$CV61, 'FS Semi'!$J$4:$CV$4, 'FS Ann'!AZ$4)</f>
        <v>0</v>
      </c>
      <c r="BA61" s="16">
        <f xml:space="preserve"> SUMIFS('FS Semi'!$J61:$CV61, 'FS Semi'!$J$4:$CV$4, 'FS Ann'!BA$4)</f>
        <v>0</v>
      </c>
      <c r="BB61" s="16">
        <f xml:space="preserve"> SUMIFS('FS Semi'!$J61:$CV61, 'FS Semi'!$J$4:$CV$4, 'FS Ann'!BB$4)</f>
        <v>0</v>
      </c>
    </row>
    <row r="62" spans="1:54" outlineLevel="1" x14ac:dyDescent="0.2">
      <c r="A62" s="1"/>
      <c r="B62" s="1"/>
      <c r="C62" s="19"/>
      <c r="D62" s="83"/>
      <c r="E62" s="16" t="str">
        <f xml:space="preserve"> 'FS Semi'!E62</f>
        <v>WCF interest accrued and paid</v>
      </c>
      <c r="F62" s="16">
        <f xml:space="preserve"> 'FS Semi'!F62</f>
        <v>0</v>
      </c>
      <c r="G62" s="381" t="str">
        <f xml:space="preserve"> 'FS Semi'!G62</f>
        <v>$ 000s</v>
      </c>
      <c r="H62" s="16">
        <f t="shared" si="20"/>
        <v>0</v>
      </c>
      <c r="I62" s="16"/>
      <c r="J62" s="16">
        <f xml:space="preserve"> SUMIFS('FS Semi'!$J62:$CV62, 'FS Semi'!$J$4:$CV$4, 'FS Ann'!J$4)</f>
        <v>0</v>
      </c>
      <c r="K62" s="16">
        <f xml:space="preserve"> SUMIFS('FS Semi'!$J62:$CV62, 'FS Semi'!$J$4:$CV$4, 'FS Ann'!K$4)</f>
        <v>0</v>
      </c>
      <c r="L62" s="16">
        <f xml:space="preserve"> SUMIFS('FS Semi'!$J62:$CV62, 'FS Semi'!$J$4:$CV$4, 'FS Ann'!L$4)</f>
        <v>0</v>
      </c>
      <c r="M62" s="16">
        <f xml:space="preserve"> SUMIFS('FS Semi'!$J62:$CV62, 'FS Semi'!$J$4:$CV$4, 'FS Ann'!M$4)</f>
        <v>0</v>
      </c>
      <c r="N62" s="16">
        <f xml:space="preserve"> SUMIFS('FS Semi'!$J62:$CV62, 'FS Semi'!$J$4:$CV$4, 'FS Ann'!N$4)</f>
        <v>0</v>
      </c>
      <c r="O62" s="16">
        <f xml:space="preserve"> SUMIFS('FS Semi'!$J62:$CV62, 'FS Semi'!$J$4:$CV$4, 'FS Ann'!O$4)</f>
        <v>0</v>
      </c>
      <c r="P62" s="16">
        <f xml:space="preserve"> SUMIFS('FS Semi'!$J62:$CV62, 'FS Semi'!$J$4:$CV$4, 'FS Ann'!P$4)</f>
        <v>0</v>
      </c>
      <c r="Q62" s="16">
        <f xml:space="preserve"> SUMIFS('FS Semi'!$J62:$CV62, 'FS Semi'!$J$4:$CV$4, 'FS Ann'!Q$4)</f>
        <v>0</v>
      </c>
      <c r="R62" s="16">
        <f xml:space="preserve"> SUMIFS('FS Semi'!$J62:$CV62, 'FS Semi'!$J$4:$CV$4, 'FS Ann'!R$4)</f>
        <v>0</v>
      </c>
      <c r="S62" s="16">
        <f xml:space="preserve"> SUMIFS('FS Semi'!$J62:$CV62, 'FS Semi'!$J$4:$CV$4, 'FS Ann'!S$4)</f>
        <v>0</v>
      </c>
      <c r="T62" s="16">
        <f xml:space="preserve"> SUMIFS('FS Semi'!$J62:$CV62, 'FS Semi'!$J$4:$CV$4, 'FS Ann'!T$4)</f>
        <v>0</v>
      </c>
      <c r="U62" s="16">
        <f xml:space="preserve"> SUMIFS('FS Semi'!$J62:$CV62, 'FS Semi'!$J$4:$CV$4, 'FS Ann'!U$4)</f>
        <v>0</v>
      </c>
      <c r="V62" s="16">
        <f xml:space="preserve"> SUMIFS('FS Semi'!$J62:$CV62, 'FS Semi'!$J$4:$CV$4, 'FS Ann'!V$4)</f>
        <v>0</v>
      </c>
      <c r="W62" s="16">
        <f xml:space="preserve"> SUMIFS('FS Semi'!$J62:$CV62, 'FS Semi'!$J$4:$CV$4, 'FS Ann'!W$4)</f>
        <v>0</v>
      </c>
      <c r="X62" s="16">
        <f xml:space="preserve"> SUMIFS('FS Semi'!$J62:$CV62, 'FS Semi'!$J$4:$CV$4, 'FS Ann'!X$4)</f>
        <v>0</v>
      </c>
      <c r="Y62" s="16">
        <f xml:space="preserve"> SUMIFS('FS Semi'!$J62:$CV62, 'FS Semi'!$J$4:$CV$4, 'FS Ann'!Y$4)</f>
        <v>0</v>
      </c>
      <c r="Z62" s="16">
        <f xml:space="preserve"> SUMIFS('FS Semi'!$J62:$CV62, 'FS Semi'!$J$4:$CV$4, 'FS Ann'!Z$4)</f>
        <v>0</v>
      </c>
      <c r="AA62" s="16">
        <f xml:space="preserve"> SUMIFS('FS Semi'!$J62:$CV62, 'FS Semi'!$J$4:$CV$4, 'FS Ann'!AA$4)</f>
        <v>0</v>
      </c>
      <c r="AB62" s="16">
        <f xml:space="preserve"> SUMIFS('FS Semi'!$J62:$CV62, 'FS Semi'!$J$4:$CV$4, 'FS Ann'!AB$4)</f>
        <v>0</v>
      </c>
      <c r="AC62" s="16">
        <f xml:space="preserve"> SUMIFS('FS Semi'!$J62:$CV62, 'FS Semi'!$J$4:$CV$4, 'FS Ann'!AC$4)</f>
        <v>0</v>
      </c>
      <c r="AD62" s="16">
        <f xml:space="preserve"> SUMIFS('FS Semi'!$J62:$CV62, 'FS Semi'!$J$4:$CV$4, 'FS Ann'!AD$4)</f>
        <v>0</v>
      </c>
      <c r="AE62" s="16">
        <f xml:space="preserve"> SUMIFS('FS Semi'!$J62:$CV62, 'FS Semi'!$J$4:$CV$4, 'FS Ann'!AE$4)</f>
        <v>0</v>
      </c>
      <c r="AF62" s="16">
        <f xml:space="preserve"> SUMIFS('FS Semi'!$J62:$CV62, 'FS Semi'!$J$4:$CV$4, 'FS Ann'!AF$4)</f>
        <v>0</v>
      </c>
      <c r="AG62" s="16">
        <f xml:space="preserve"> SUMIFS('FS Semi'!$J62:$CV62, 'FS Semi'!$J$4:$CV$4, 'FS Ann'!AG$4)</f>
        <v>0</v>
      </c>
      <c r="AH62" s="16">
        <f xml:space="preserve"> SUMIFS('FS Semi'!$J62:$CV62, 'FS Semi'!$J$4:$CV$4, 'FS Ann'!AH$4)</f>
        <v>0</v>
      </c>
      <c r="AI62" s="16">
        <f xml:space="preserve"> SUMIFS('FS Semi'!$J62:$CV62, 'FS Semi'!$J$4:$CV$4, 'FS Ann'!AI$4)</f>
        <v>0</v>
      </c>
      <c r="AJ62" s="16">
        <f xml:space="preserve"> SUMIFS('FS Semi'!$J62:$CV62, 'FS Semi'!$J$4:$CV$4, 'FS Ann'!AJ$4)</f>
        <v>0</v>
      </c>
      <c r="AK62" s="16">
        <f xml:space="preserve"> SUMIFS('FS Semi'!$J62:$CV62, 'FS Semi'!$J$4:$CV$4, 'FS Ann'!AK$4)</f>
        <v>0</v>
      </c>
      <c r="AL62" s="16">
        <f xml:space="preserve"> SUMIFS('FS Semi'!$J62:$CV62, 'FS Semi'!$J$4:$CV$4, 'FS Ann'!AL$4)</f>
        <v>0</v>
      </c>
      <c r="AM62" s="16">
        <f xml:space="preserve"> SUMIFS('FS Semi'!$J62:$CV62, 'FS Semi'!$J$4:$CV$4, 'FS Ann'!AM$4)</f>
        <v>0</v>
      </c>
      <c r="AN62" s="16">
        <f xml:space="preserve"> SUMIFS('FS Semi'!$J62:$CV62, 'FS Semi'!$J$4:$CV$4, 'FS Ann'!AN$4)</f>
        <v>0</v>
      </c>
      <c r="AO62" s="16">
        <f xml:space="preserve"> SUMIFS('FS Semi'!$J62:$CV62, 'FS Semi'!$J$4:$CV$4, 'FS Ann'!AO$4)</f>
        <v>0</v>
      </c>
      <c r="AP62" s="16">
        <f xml:space="preserve"> SUMIFS('FS Semi'!$J62:$CV62, 'FS Semi'!$J$4:$CV$4, 'FS Ann'!AP$4)</f>
        <v>0</v>
      </c>
      <c r="AQ62" s="16">
        <f xml:space="preserve"> SUMIFS('FS Semi'!$J62:$CV62, 'FS Semi'!$J$4:$CV$4, 'FS Ann'!AQ$4)</f>
        <v>0</v>
      </c>
      <c r="AR62" s="16">
        <f xml:space="preserve"> SUMIFS('FS Semi'!$J62:$CV62, 'FS Semi'!$J$4:$CV$4, 'FS Ann'!AR$4)</f>
        <v>0</v>
      </c>
      <c r="AS62" s="16">
        <f xml:space="preserve"> SUMIFS('FS Semi'!$J62:$CV62, 'FS Semi'!$J$4:$CV$4, 'FS Ann'!AS$4)</f>
        <v>0</v>
      </c>
      <c r="AT62" s="16">
        <f xml:space="preserve"> SUMIFS('FS Semi'!$J62:$CV62, 'FS Semi'!$J$4:$CV$4, 'FS Ann'!AT$4)</f>
        <v>0</v>
      </c>
      <c r="AU62" s="16">
        <f xml:space="preserve"> SUMIFS('FS Semi'!$J62:$CV62, 'FS Semi'!$J$4:$CV$4, 'FS Ann'!AU$4)</f>
        <v>0</v>
      </c>
      <c r="AV62" s="16">
        <f xml:space="preserve"> SUMIFS('FS Semi'!$J62:$CV62, 'FS Semi'!$J$4:$CV$4, 'FS Ann'!AV$4)</f>
        <v>0</v>
      </c>
      <c r="AW62" s="16">
        <f xml:space="preserve"> SUMIFS('FS Semi'!$J62:$CV62, 'FS Semi'!$J$4:$CV$4, 'FS Ann'!AW$4)</f>
        <v>0</v>
      </c>
      <c r="AX62" s="16">
        <f xml:space="preserve"> SUMIFS('FS Semi'!$J62:$CV62, 'FS Semi'!$J$4:$CV$4, 'FS Ann'!AX$4)</f>
        <v>0</v>
      </c>
      <c r="AY62" s="16">
        <f xml:space="preserve"> SUMIFS('FS Semi'!$J62:$CV62, 'FS Semi'!$J$4:$CV$4, 'FS Ann'!AY$4)</f>
        <v>0</v>
      </c>
      <c r="AZ62" s="16">
        <f xml:space="preserve"> SUMIFS('FS Semi'!$J62:$CV62, 'FS Semi'!$J$4:$CV$4, 'FS Ann'!AZ$4)</f>
        <v>0</v>
      </c>
      <c r="BA62" s="16">
        <f xml:space="preserve"> SUMIFS('FS Semi'!$J62:$CV62, 'FS Semi'!$J$4:$CV$4, 'FS Ann'!BA$4)</f>
        <v>0</v>
      </c>
      <c r="BB62" s="16">
        <f xml:space="preserve"> SUMIFS('FS Semi'!$J62:$CV62, 'FS Semi'!$J$4:$CV$4, 'FS Ann'!BB$4)</f>
        <v>0</v>
      </c>
    </row>
    <row r="63" spans="1:54" outlineLevel="1" x14ac:dyDescent="0.2">
      <c r="A63" s="1"/>
      <c r="B63" s="1"/>
      <c r="C63" s="19"/>
      <c r="D63" s="83"/>
      <c r="E63" s="16" t="str">
        <f xml:space="preserve"> 'FS Semi'!E63</f>
        <v>WCF drawdown</v>
      </c>
      <c r="F63" s="16">
        <f xml:space="preserve"> 'FS Semi'!F63</f>
        <v>0</v>
      </c>
      <c r="G63" s="381" t="str">
        <f xml:space="preserve"> 'FS Semi'!G63</f>
        <v>$ 000s</v>
      </c>
      <c r="H63" s="16">
        <f t="shared" si="20"/>
        <v>0</v>
      </c>
      <c r="I63" s="16"/>
      <c r="J63" s="16">
        <f xml:space="preserve"> SUMIFS('FS Semi'!$J63:$CV63, 'FS Semi'!$J$4:$CV$4, 'FS Ann'!J$4)</f>
        <v>0</v>
      </c>
      <c r="K63" s="16">
        <f xml:space="preserve"> SUMIFS('FS Semi'!$J63:$CV63, 'FS Semi'!$J$4:$CV$4, 'FS Ann'!K$4)</f>
        <v>0</v>
      </c>
      <c r="L63" s="16">
        <f xml:space="preserve"> SUMIFS('FS Semi'!$J63:$CV63, 'FS Semi'!$J$4:$CV$4, 'FS Ann'!L$4)</f>
        <v>0</v>
      </c>
      <c r="M63" s="16">
        <f xml:space="preserve"> SUMIFS('FS Semi'!$J63:$CV63, 'FS Semi'!$J$4:$CV$4, 'FS Ann'!M$4)</f>
        <v>0</v>
      </c>
      <c r="N63" s="16">
        <f xml:space="preserve"> SUMIFS('FS Semi'!$J63:$CV63, 'FS Semi'!$J$4:$CV$4, 'FS Ann'!N$4)</f>
        <v>0</v>
      </c>
      <c r="O63" s="16">
        <f xml:space="preserve"> SUMIFS('FS Semi'!$J63:$CV63, 'FS Semi'!$J$4:$CV$4, 'FS Ann'!O$4)</f>
        <v>0</v>
      </c>
      <c r="P63" s="16">
        <f xml:space="preserve"> SUMIFS('FS Semi'!$J63:$CV63, 'FS Semi'!$J$4:$CV$4, 'FS Ann'!P$4)</f>
        <v>0</v>
      </c>
      <c r="Q63" s="16">
        <f xml:space="preserve"> SUMIFS('FS Semi'!$J63:$CV63, 'FS Semi'!$J$4:$CV$4, 'FS Ann'!Q$4)</f>
        <v>0</v>
      </c>
      <c r="R63" s="16">
        <f xml:space="preserve"> SUMIFS('FS Semi'!$J63:$CV63, 'FS Semi'!$J$4:$CV$4, 'FS Ann'!R$4)</f>
        <v>0</v>
      </c>
      <c r="S63" s="16">
        <f xml:space="preserve"> SUMIFS('FS Semi'!$J63:$CV63, 'FS Semi'!$J$4:$CV$4, 'FS Ann'!S$4)</f>
        <v>0</v>
      </c>
      <c r="T63" s="16">
        <f xml:space="preserve"> SUMIFS('FS Semi'!$J63:$CV63, 'FS Semi'!$J$4:$CV$4, 'FS Ann'!T$4)</f>
        <v>0</v>
      </c>
      <c r="U63" s="16">
        <f xml:space="preserve"> SUMIFS('FS Semi'!$J63:$CV63, 'FS Semi'!$J$4:$CV$4, 'FS Ann'!U$4)</f>
        <v>0</v>
      </c>
      <c r="V63" s="16">
        <f xml:space="preserve"> SUMIFS('FS Semi'!$J63:$CV63, 'FS Semi'!$J$4:$CV$4, 'FS Ann'!V$4)</f>
        <v>0</v>
      </c>
      <c r="W63" s="16">
        <f xml:space="preserve"> SUMIFS('FS Semi'!$J63:$CV63, 'FS Semi'!$J$4:$CV$4, 'FS Ann'!W$4)</f>
        <v>0</v>
      </c>
      <c r="X63" s="16">
        <f xml:space="preserve"> SUMIFS('FS Semi'!$J63:$CV63, 'FS Semi'!$J$4:$CV$4, 'FS Ann'!X$4)</f>
        <v>0</v>
      </c>
      <c r="Y63" s="16">
        <f xml:space="preserve"> SUMIFS('FS Semi'!$J63:$CV63, 'FS Semi'!$J$4:$CV$4, 'FS Ann'!Y$4)</f>
        <v>0</v>
      </c>
      <c r="Z63" s="16">
        <f xml:space="preserve"> SUMIFS('FS Semi'!$J63:$CV63, 'FS Semi'!$J$4:$CV$4, 'FS Ann'!Z$4)</f>
        <v>0</v>
      </c>
      <c r="AA63" s="16">
        <f xml:space="preserve"> SUMIFS('FS Semi'!$J63:$CV63, 'FS Semi'!$J$4:$CV$4, 'FS Ann'!AA$4)</f>
        <v>0</v>
      </c>
      <c r="AB63" s="16">
        <f xml:space="preserve"> SUMIFS('FS Semi'!$J63:$CV63, 'FS Semi'!$J$4:$CV$4, 'FS Ann'!AB$4)</f>
        <v>0</v>
      </c>
      <c r="AC63" s="16">
        <f xml:space="preserve"> SUMIFS('FS Semi'!$J63:$CV63, 'FS Semi'!$J$4:$CV$4, 'FS Ann'!AC$4)</f>
        <v>0</v>
      </c>
      <c r="AD63" s="16">
        <f xml:space="preserve"> SUMIFS('FS Semi'!$J63:$CV63, 'FS Semi'!$J$4:$CV$4, 'FS Ann'!AD$4)</f>
        <v>0</v>
      </c>
      <c r="AE63" s="16">
        <f xml:space="preserve"> SUMIFS('FS Semi'!$J63:$CV63, 'FS Semi'!$J$4:$CV$4, 'FS Ann'!AE$4)</f>
        <v>0</v>
      </c>
      <c r="AF63" s="16">
        <f xml:space="preserve"> SUMIFS('FS Semi'!$J63:$CV63, 'FS Semi'!$J$4:$CV$4, 'FS Ann'!AF$4)</f>
        <v>0</v>
      </c>
      <c r="AG63" s="16">
        <f xml:space="preserve"> SUMIFS('FS Semi'!$J63:$CV63, 'FS Semi'!$J$4:$CV$4, 'FS Ann'!AG$4)</f>
        <v>0</v>
      </c>
      <c r="AH63" s="16">
        <f xml:space="preserve"> SUMIFS('FS Semi'!$J63:$CV63, 'FS Semi'!$J$4:$CV$4, 'FS Ann'!AH$4)</f>
        <v>0</v>
      </c>
      <c r="AI63" s="16">
        <f xml:space="preserve"> SUMIFS('FS Semi'!$J63:$CV63, 'FS Semi'!$J$4:$CV$4, 'FS Ann'!AI$4)</f>
        <v>0</v>
      </c>
      <c r="AJ63" s="16">
        <f xml:space="preserve"> SUMIFS('FS Semi'!$J63:$CV63, 'FS Semi'!$J$4:$CV$4, 'FS Ann'!AJ$4)</f>
        <v>0</v>
      </c>
      <c r="AK63" s="16">
        <f xml:space="preserve"> SUMIFS('FS Semi'!$J63:$CV63, 'FS Semi'!$J$4:$CV$4, 'FS Ann'!AK$4)</f>
        <v>0</v>
      </c>
      <c r="AL63" s="16">
        <f xml:space="preserve"> SUMIFS('FS Semi'!$J63:$CV63, 'FS Semi'!$J$4:$CV$4, 'FS Ann'!AL$4)</f>
        <v>0</v>
      </c>
      <c r="AM63" s="16">
        <f xml:space="preserve"> SUMIFS('FS Semi'!$J63:$CV63, 'FS Semi'!$J$4:$CV$4, 'FS Ann'!AM$4)</f>
        <v>0</v>
      </c>
      <c r="AN63" s="16">
        <f xml:space="preserve"> SUMIFS('FS Semi'!$J63:$CV63, 'FS Semi'!$J$4:$CV$4, 'FS Ann'!AN$4)</f>
        <v>0</v>
      </c>
      <c r="AO63" s="16">
        <f xml:space="preserve"> SUMIFS('FS Semi'!$J63:$CV63, 'FS Semi'!$J$4:$CV$4, 'FS Ann'!AO$4)</f>
        <v>0</v>
      </c>
      <c r="AP63" s="16">
        <f xml:space="preserve"> SUMIFS('FS Semi'!$J63:$CV63, 'FS Semi'!$J$4:$CV$4, 'FS Ann'!AP$4)</f>
        <v>0</v>
      </c>
      <c r="AQ63" s="16">
        <f xml:space="preserve"> SUMIFS('FS Semi'!$J63:$CV63, 'FS Semi'!$J$4:$CV$4, 'FS Ann'!AQ$4)</f>
        <v>0</v>
      </c>
      <c r="AR63" s="16">
        <f xml:space="preserve"> SUMIFS('FS Semi'!$J63:$CV63, 'FS Semi'!$J$4:$CV$4, 'FS Ann'!AR$4)</f>
        <v>0</v>
      </c>
      <c r="AS63" s="16">
        <f xml:space="preserve"> SUMIFS('FS Semi'!$J63:$CV63, 'FS Semi'!$J$4:$CV$4, 'FS Ann'!AS$4)</f>
        <v>0</v>
      </c>
      <c r="AT63" s="16">
        <f xml:space="preserve"> SUMIFS('FS Semi'!$J63:$CV63, 'FS Semi'!$J$4:$CV$4, 'FS Ann'!AT$4)</f>
        <v>0</v>
      </c>
      <c r="AU63" s="16">
        <f xml:space="preserve"> SUMIFS('FS Semi'!$J63:$CV63, 'FS Semi'!$J$4:$CV$4, 'FS Ann'!AU$4)</f>
        <v>0</v>
      </c>
      <c r="AV63" s="16">
        <f xml:space="preserve"> SUMIFS('FS Semi'!$J63:$CV63, 'FS Semi'!$J$4:$CV$4, 'FS Ann'!AV$4)</f>
        <v>0</v>
      </c>
      <c r="AW63" s="16">
        <f xml:space="preserve"> SUMIFS('FS Semi'!$J63:$CV63, 'FS Semi'!$J$4:$CV$4, 'FS Ann'!AW$4)</f>
        <v>0</v>
      </c>
      <c r="AX63" s="16">
        <f xml:space="preserve"> SUMIFS('FS Semi'!$J63:$CV63, 'FS Semi'!$J$4:$CV$4, 'FS Ann'!AX$4)</f>
        <v>0</v>
      </c>
      <c r="AY63" s="16">
        <f xml:space="preserve"> SUMIFS('FS Semi'!$J63:$CV63, 'FS Semi'!$J$4:$CV$4, 'FS Ann'!AY$4)</f>
        <v>0</v>
      </c>
      <c r="AZ63" s="16">
        <f xml:space="preserve"> SUMIFS('FS Semi'!$J63:$CV63, 'FS Semi'!$J$4:$CV$4, 'FS Ann'!AZ$4)</f>
        <v>0</v>
      </c>
      <c r="BA63" s="16">
        <f xml:space="preserve"> SUMIFS('FS Semi'!$J63:$CV63, 'FS Semi'!$J$4:$CV$4, 'FS Ann'!BA$4)</f>
        <v>0</v>
      </c>
      <c r="BB63" s="16">
        <f xml:space="preserve"> SUMIFS('FS Semi'!$J63:$CV63, 'FS Semi'!$J$4:$CV$4, 'FS Ann'!BB$4)</f>
        <v>0</v>
      </c>
    </row>
    <row r="64" spans="1:54" outlineLevel="1" x14ac:dyDescent="0.2">
      <c r="A64" s="1"/>
      <c r="B64" s="1"/>
      <c r="C64" s="19"/>
      <c r="D64" s="83"/>
      <c r="E64" s="16" t="str">
        <f xml:space="preserve"> 'FS Semi'!E64</f>
        <v>WCF repayment</v>
      </c>
      <c r="F64" s="16">
        <f xml:space="preserve"> 'FS Semi'!F64</f>
        <v>0</v>
      </c>
      <c r="G64" s="381" t="str">
        <f xml:space="preserve"> 'FS Semi'!G64</f>
        <v>$ 000s</v>
      </c>
      <c r="H64" s="16">
        <f t="shared" si="20"/>
        <v>0</v>
      </c>
      <c r="I64" s="16"/>
      <c r="J64" s="16">
        <f xml:space="preserve"> SUMIFS('FS Semi'!$J64:$CV64, 'FS Semi'!$J$4:$CV$4, 'FS Ann'!J$4)</f>
        <v>0</v>
      </c>
      <c r="K64" s="16">
        <f xml:space="preserve"> SUMIFS('FS Semi'!$J64:$CV64, 'FS Semi'!$J$4:$CV$4, 'FS Ann'!K$4)</f>
        <v>0</v>
      </c>
      <c r="L64" s="16">
        <f xml:space="preserve"> SUMIFS('FS Semi'!$J64:$CV64, 'FS Semi'!$J$4:$CV$4, 'FS Ann'!L$4)</f>
        <v>0</v>
      </c>
      <c r="M64" s="16">
        <f xml:space="preserve"> SUMIFS('FS Semi'!$J64:$CV64, 'FS Semi'!$J$4:$CV$4, 'FS Ann'!M$4)</f>
        <v>0</v>
      </c>
      <c r="N64" s="16">
        <f xml:space="preserve"> SUMIFS('FS Semi'!$J64:$CV64, 'FS Semi'!$J$4:$CV$4, 'FS Ann'!N$4)</f>
        <v>0</v>
      </c>
      <c r="O64" s="16">
        <f xml:space="preserve"> SUMIFS('FS Semi'!$J64:$CV64, 'FS Semi'!$J$4:$CV$4, 'FS Ann'!O$4)</f>
        <v>0</v>
      </c>
      <c r="P64" s="16">
        <f xml:space="preserve"> SUMIFS('FS Semi'!$J64:$CV64, 'FS Semi'!$J$4:$CV$4, 'FS Ann'!P$4)</f>
        <v>0</v>
      </c>
      <c r="Q64" s="16">
        <f xml:space="preserve"> SUMIFS('FS Semi'!$J64:$CV64, 'FS Semi'!$J$4:$CV$4, 'FS Ann'!Q$4)</f>
        <v>0</v>
      </c>
      <c r="R64" s="16">
        <f xml:space="preserve"> SUMIFS('FS Semi'!$J64:$CV64, 'FS Semi'!$J$4:$CV$4, 'FS Ann'!R$4)</f>
        <v>0</v>
      </c>
      <c r="S64" s="16">
        <f xml:space="preserve"> SUMIFS('FS Semi'!$J64:$CV64, 'FS Semi'!$J$4:$CV$4, 'FS Ann'!S$4)</f>
        <v>0</v>
      </c>
      <c r="T64" s="16">
        <f xml:space="preserve"> SUMIFS('FS Semi'!$J64:$CV64, 'FS Semi'!$J$4:$CV$4, 'FS Ann'!T$4)</f>
        <v>0</v>
      </c>
      <c r="U64" s="16">
        <f xml:space="preserve"> SUMIFS('FS Semi'!$J64:$CV64, 'FS Semi'!$J$4:$CV$4, 'FS Ann'!U$4)</f>
        <v>0</v>
      </c>
      <c r="V64" s="16">
        <f xml:space="preserve"> SUMIFS('FS Semi'!$J64:$CV64, 'FS Semi'!$J$4:$CV$4, 'FS Ann'!V$4)</f>
        <v>0</v>
      </c>
      <c r="W64" s="16">
        <f xml:space="preserve"> SUMIFS('FS Semi'!$J64:$CV64, 'FS Semi'!$J$4:$CV$4, 'FS Ann'!W$4)</f>
        <v>0</v>
      </c>
      <c r="X64" s="16">
        <f xml:space="preserve"> SUMIFS('FS Semi'!$J64:$CV64, 'FS Semi'!$J$4:$CV$4, 'FS Ann'!X$4)</f>
        <v>0</v>
      </c>
      <c r="Y64" s="16">
        <f xml:space="preserve"> SUMIFS('FS Semi'!$J64:$CV64, 'FS Semi'!$J$4:$CV$4, 'FS Ann'!Y$4)</f>
        <v>0</v>
      </c>
      <c r="Z64" s="16">
        <f xml:space="preserve"> SUMIFS('FS Semi'!$J64:$CV64, 'FS Semi'!$J$4:$CV$4, 'FS Ann'!Z$4)</f>
        <v>0</v>
      </c>
      <c r="AA64" s="16">
        <f xml:space="preserve"> SUMIFS('FS Semi'!$J64:$CV64, 'FS Semi'!$J$4:$CV$4, 'FS Ann'!AA$4)</f>
        <v>0</v>
      </c>
      <c r="AB64" s="16">
        <f xml:space="preserve"> SUMIFS('FS Semi'!$J64:$CV64, 'FS Semi'!$J$4:$CV$4, 'FS Ann'!AB$4)</f>
        <v>0</v>
      </c>
      <c r="AC64" s="16">
        <f xml:space="preserve"> SUMIFS('FS Semi'!$J64:$CV64, 'FS Semi'!$J$4:$CV$4, 'FS Ann'!AC$4)</f>
        <v>0</v>
      </c>
      <c r="AD64" s="16">
        <f xml:space="preserve"> SUMIFS('FS Semi'!$J64:$CV64, 'FS Semi'!$J$4:$CV$4, 'FS Ann'!AD$4)</f>
        <v>0</v>
      </c>
      <c r="AE64" s="16">
        <f xml:space="preserve"> SUMIFS('FS Semi'!$J64:$CV64, 'FS Semi'!$J$4:$CV$4, 'FS Ann'!AE$4)</f>
        <v>0</v>
      </c>
      <c r="AF64" s="16">
        <f xml:space="preserve"> SUMIFS('FS Semi'!$J64:$CV64, 'FS Semi'!$J$4:$CV$4, 'FS Ann'!AF$4)</f>
        <v>0</v>
      </c>
      <c r="AG64" s="16">
        <f xml:space="preserve"> SUMIFS('FS Semi'!$J64:$CV64, 'FS Semi'!$J$4:$CV$4, 'FS Ann'!AG$4)</f>
        <v>0</v>
      </c>
      <c r="AH64" s="16">
        <f xml:space="preserve"> SUMIFS('FS Semi'!$J64:$CV64, 'FS Semi'!$J$4:$CV$4, 'FS Ann'!AH$4)</f>
        <v>0</v>
      </c>
      <c r="AI64" s="16">
        <f xml:space="preserve"> SUMIFS('FS Semi'!$J64:$CV64, 'FS Semi'!$J$4:$CV$4, 'FS Ann'!AI$4)</f>
        <v>0</v>
      </c>
      <c r="AJ64" s="16">
        <f xml:space="preserve"> SUMIFS('FS Semi'!$J64:$CV64, 'FS Semi'!$J$4:$CV$4, 'FS Ann'!AJ$4)</f>
        <v>0</v>
      </c>
      <c r="AK64" s="16">
        <f xml:space="preserve"> SUMIFS('FS Semi'!$J64:$CV64, 'FS Semi'!$J$4:$CV$4, 'FS Ann'!AK$4)</f>
        <v>0</v>
      </c>
      <c r="AL64" s="16">
        <f xml:space="preserve"> SUMIFS('FS Semi'!$J64:$CV64, 'FS Semi'!$J$4:$CV$4, 'FS Ann'!AL$4)</f>
        <v>0</v>
      </c>
      <c r="AM64" s="16">
        <f xml:space="preserve"> SUMIFS('FS Semi'!$J64:$CV64, 'FS Semi'!$J$4:$CV$4, 'FS Ann'!AM$4)</f>
        <v>0</v>
      </c>
      <c r="AN64" s="16">
        <f xml:space="preserve"> SUMIFS('FS Semi'!$J64:$CV64, 'FS Semi'!$J$4:$CV$4, 'FS Ann'!AN$4)</f>
        <v>0</v>
      </c>
      <c r="AO64" s="16">
        <f xml:space="preserve"> SUMIFS('FS Semi'!$J64:$CV64, 'FS Semi'!$J$4:$CV$4, 'FS Ann'!AO$4)</f>
        <v>0</v>
      </c>
      <c r="AP64" s="16">
        <f xml:space="preserve"> SUMIFS('FS Semi'!$J64:$CV64, 'FS Semi'!$J$4:$CV$4, 'FS Ann'!AP$4)</f>
        <v>0</v>
      </c>
      <c r="AQ64" s="16">
        <f xml:space="preserve"> SUMIFS('FS Semi'!$J64:$CV64, 'FS Semi'!$J$4:$CV$4, 'FS Ann'!AQ$4)</f>
        <v>0</v>
      </c>
      <c r="AR64" s="16">
        <f xml:space="preserve"> SUMIFS('FS Semi'!$J64:$CV64, 'FS Semi'!$J$4:$CV$4, 'FS Ann'!AR$4)</f>
        <v>0</v>
      </c>
      <c r="AS64" s="16">
        <f xml:space="preserve"> SUMIFS('FS Semi'!$J64:$CV64, 'FS Semi'!$J$4:$CV$4, 'FS Ann'!AS$4)</f>
        <v>0</v>
      </c>
      <c r="AT64" s="16">
        <f xml:space="preserve"> SUMIFS('FS Semi'!$J64:$CV64, 'FS Semi'!$J$4:$CV$4, 'FS Ann'!AT$4)</f>
        <v>0</v>
      </c>
      <c r="AU64" s="16">
        <f xml:space="preserve"> SUMIFS('FS Semi'!$J64:$CV64, 'FS Semi'!$J$4:$CV$4, 'FS Ann'!AU$4)</f>
        <v>0</v>
      </c>
      <c r="AV64" s="16">
        <f xml:space="preserve"> SUMIFS('FS Semi'!$J64:$CV64, 'FS Semi'!$J$4:$CV$4, 'FS Ann'!AV$4)</f>
        <v>0</v>
      </c>
      <c r="AW64" s="16">
        <f xml:space="preserve"> SUMIFS('FS Semi'!$J64:$CV64, 'FS Semi'!$J$4:$CV$4, 'FS Ann'!AW$4)</f>
        <v>0</v>
      </c>
      <c r="AX64" s="16">
        <f xml:space="preserve"> SUMIFS('FS Semi'!$J64:$CV64, 'FS Semi'!$J$4:$CV$4, 'FS Ann'!AX$4)</f>
        <v>0</v>
      </c>
      <c r="AY64" s="16">
        <f xml:space="preserve"> SUMIFS('FS Semi'!$J64:$CV64, 'FS Semi'!$J$4:$CV$4, 'FS Ann'!AY$4)</f>
        <v>0</v>
      </c>
      <c r="AZ64" s="16">
        <f xml:space="preserve"> SUMIFS('FS Semi'!$J64:$CV64, 'FS Semi'!$J$4:$CV$4, 'FS Ann'!AZ$4)</f>
        <v>0</v>
      </c>
      <c r="BA64" s="16">
        <f xml:space="preserve"> SUMIFS('FS Semi'!$J64:$CV64, 'FS Semi'!$J$4:$CV$4, 'FS Ann'!BA$4)</f>
        <v>0</v>
      </c>
      <c r="BB64" s="16">
        <f xml:space="preserve"> SUMIFS('FS Semi'!$J64:$CV64, 'FS Semi'!$J$4:$CV$4, 'FS Ann'!BB$4)</f>
        <v>0</v>
      </c>
    </row>
    <row r="65" spans="1:56" outlineLevel="1" x14ac:dyDescent="0.2">
      <c r="A65" s="1"/>
      <c r="B65" s="1"/>
      <c r="C65" s="19"/>
      <c r="D65" s="83"/>
      <c r="E65" s="84" t="s">
        <v>295</v>
      </c>
      <c r="F65" s="84"/>
      <c r="G65" s="382" t="str">
        <f>SMU</f>
        <v>$ 000s</v>
      </c>
      <c r="H65" s="84">
        <f t="shared" si="14"/>
        <v>587649.30780221801</v>
      </c>
      <c r="I65" s="84"/>
      <c r="J65" s="84">
        <f t="shared" ref="J65:BB65" si="21" xml:space="preserve"> J47 + SUM(J49:J64)</f>
        <v>-1.5558398445136845E-6</v>
      </c>
      <c r="K65" s="84">
        <f t="shared" si="21"/>
        <v>-2.922103158198297E-5</v>
      </c>
      <c r="L65" s="84">
        <f t="shared" si="21"/>
        <v>-3.9870376931503415E-3</v>
      </c>
      <c r="M65" s="84">
        <f t="shared" si="21"/>
        <v>33468.747997357961</v>
      </c>
      <c r="N65" s="84">
        <f t="shared" si="21"/>
        <v>31334.22431247454</v>
      </c>
      <c r="O65" s="84">
        <f t="shared" si="21"/>
        <v>31093.501426743609</v>
      </c>
      <c r="P65" s="84">
        <f t="shared" si="21"/>
        <v>30870.713773099986</v>
      </c>
      <c r="Q65" s="84">
        <f t="shared" si="21"/>
        <v>30581.594452750454</v>
      </c>
      <c r="R65" s="84">
        <f t="shared" si="21"/>
        <v>30352.376830135421</v>
      </c>
      <c r="S65" s="84">
        <f t="shared" si="21"/>
        <v>30098.791324517508</v>
      </c>
      <c r="T65" s="84">
        <f t="shared" si="21"/>
        <v>29862.178432370143</v>
      </c>
      <c r="U65" s="84">
        <f t="shared" si="21"/>
        <v>29561.023764665166</v>
      </c>
      <c r="V65" s="84">
        <f t="shared" si="21"/>
        <v>29317.418128556259</v>
      </c>
      <c r="W65" s="84">
        <f t="shared" si="21"/>
        <v>29049.844230461906</v>
      </c>
      <c r="X65" s="84">
        <f t="shared" si="21"/>
        <v>28798.219838276</v>
      </c>
      <c r="Y65" s="84">
        <f t="shared" si="21"/>
        <v>28483.934326269795</v>
      </c>
      <c r="Z65" s="84">
        <f t="shared" si="21"/>
        <v>28224.707919219112</v>
      </c>
      <c r="AA65" s="84">
        <f t="shared" si="21"/>
        <v>27941.926845778751</v>
      </c>
      <c r="AB65" s="84">
        <f t="shared" si="21"/>
        <v>27674.006503329194</v>
      </c>
      <c r="AC65" s="84">
        <f t="shared" si="21"/>
        <v>27345.404468574474</v>
      </c>
      <c r="AD65" s="84">
        <f t="shared" si="21"/>
        <v>27069.222485523365</v>
      </c>
      <c r="AE65" s="84">
        <f t="shared" si="21"/>
        <v>26769.914724217455</v>
      </c>
      <c r="AF65" s="84">
        <f t="shared" si="21"/>
        <v>29751.560035711533</v>
      </c>
      <c r="AG65" s="84">
        <f t="shared" si="21"/>
        <v>0</v>
      </c>
      <c r="AH65" s="84">
        <f t="shared" si="21"/>
        <v>0</v>
      </c>
      <c r="AI65" s="84">
        <f t="shared" si="21"/>
        <v>0</v>
      </c>
      <c r="AJ65" s="84">
        <f t="shared" si="21"/>
        <v>0</v>
      </c>
      <c r="AK65" s="84">
        <f t="shared" si="21"/>
        <v>0</v>
      </c>
      <c r="AL65" s="84">
        <f t="shared" si="21"/>
        <v>0</v>
      </c>
      <c r="AM65" s="84">
        <f t="shared" si="21"/>
        <v>0</v>
      </c>
      <c r="AN65" s="84">
        <f t="shared" si="21"/>
        <v>0</v>
      </c>
      <c r="AO65" s="84">
        <f t="shared" si="21"/>
        <v>0</v>
      </c>
      <c r="AP65" s="84">
        <f t="shared" si="21"/>
        <v>0</v>
      </c>
      <c r="AQ65" s="84">
        <f t="shared" si="21"/>
        <v>0</v>
      </c>
      <c r="AR65" s="84">
        <f t="shared" si="21"/>
        <v>0</v>
      </c>
      <c r="AS65" s="84">
        <f t="shared" si="21"/>
        <v>0</v>
      </c>
      <c r="AT65" s="84">
        <f t="shared" si="21"/>
        <v>0</v>
      </c>
      <c r="AU65" s="84">
        <f t="shared" si="21"/>
        <v>0</v>
      </c>
      <c r="AV65" s="84">
        <f t="shared" si="21"/>
        <v>0</v>
      </c>
      <c r="AW65" s="84">
        <f t="shared" si="21"/>
        <v>0</v>
      </c>
      <c r="AX65" s="84">
        <f t="shared" si="21"/>
        <v>0</v>
      </c>
      <c r="AY65" s="84">
        <f t="shared" si="21"/>
        <v>0</v>
      </c>
      <c r="AZ65" s="84">
        <f t="shared" si="21"/>
        <v>0</v>
      </c>
      <c r="BA65" s="84">
        <f t="shared" si="21"/>
        <v>0</v>
      </c>
      <c r="BB65" s="84">
        <f t="shared" si="21"/>
        <v>0</v>
      </c>
    </row>
    <row r="66" spans="1:56" outlineLevel="1" x14ac:dyDescent="0.2">
      <c r="A66" s="1"/>
      <c r="B66" s="1"/>
      <c r="C66" s="19"/>
      <c r="D66" s="83"/>
      <c r="E66" s="16"/>
      <c r="F66" s="16"/>
      <c r="G66" s="381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6" outlineLevel="1" x14ac:dyDescent="0.2">
      <c r="A67" s="1"/>
      <c r="B67" s="1"/>
      <c r="C67" s="19"/>
      <c r="D67" s="83"/>
      <c r="E67" s="16" t="str">
        <f xml:space="preserve"> 'FS Semi'!E67</f>
        <v>Senior debt interest - T1</v>
      </c>
      <c r="F67" s="16">
        <f xml:space="preserve"> 'FS Semi'!F67</f>
        <v>0</v>
      </c>
      <c r="G67" s="381" t="str">
        <f xml:space="preserve"> 'FS Semi'!G67</f>
        <v>$ 000s</v>
      </c>
      <c r="H67" s="16">
        <f t="shared" si="14"/>
        <v>-58932.622085008697</v>
      </c>
      <c r="I67" s="16"/>
      <c r="J67" s="16">
        <f xml:space="preserve"> SUMIFS('FS Semi'!$J67:$CV67, 'FS Semi'!$J$4:$CV$4, 'FS Ann'!J$4)</f>
        <v>0</v>
      </c>
      <c r="K67" s="16">
        <f xml:space="preserve"> SUMIFS('FS Semi'!$J67:$CV67, 'FS Semi'!$J$4:$CV$4, 'FS Ann'!K$4)</f>
        <v>0</v>
      </c>
      <c r="L67" s="16">
        <f xml:space="preserve"> SUMIFS('FS Semi'!$J67:$CV67, 'FS Semi'!$J$4:$CV$4, 'FS Ann'!L$4)</f>
        <v>0</v>
      </c>
      <c r="M67" s="16">
        <f xml:space="preserve"> SUMIFS('FS Semi'!$J67:$CV67, 'FS Semi'!$J$4:$CV$4, 'FS Ann'!M$4)</f>
        <v>-5270.2417042475981</v>
      </c>
      <c r="N67" s="16">
        <f xml:space="preserve"> SUMIFS('FS Semi'!$J67:$CV67, 'FS Semi'!$J$4:$CV$4, 'FS Ann'!N$4)</f>
        <v>-5055.7098323349583</v>
      </c>
      <c r="O67" s="16">
        <f xml:space="preserve"> SUMIFS('FS Semi'!$J67:$CV67, 'FS Semi'!$J$4:$CV$4, 'FS Ann'!O$4)</f>
        <v>-4846.6053869203397</v>
      </c>
      <c r="P67" s="16">
        <f xml:space="preserve"> SUMIFS('FS Semi'!$J67:$CV67, 'FS Semi'!$J$4:$CV$4, 'FS Ann'!P$4)</f>
        <v>-4643.4703183922547</v>
      </c>
      <c r="Q67" s="16">
        <f xml:space="preserve"> SUMIFS('FS Semi'!$J67:$CV67, 'FS Semi'!$J$4:$CV$4, 'FS Ann'!Q$4)</f>
        <v>-4408.7515700647691</v>
      </c>
      <c r="R67" s="16">
        <f xml:space="preserve"> SUMIFS('FS Semi'!$J67:$CV67, 'FS Semi'!$J$4:$CV$4, 'FS Ann'!R$4)</f>
        <v>-4380.0691215644711</v>
      </c>
      <c r="S67" s="16">
        <f xml:space="preserve"> SUMIFS('FS Semi'!$J67:$CV67, 'FS Semi'!$J$4:$CV$4, 'FS Ann'!S$4)</f>
        <v>-4138.7610708018365</v>
      </c>
      <c r="T67" s="16">
        <f xml:space="preserve"> SUMIFS('FS Semi'!$J67:$CV67, 'FS Semi'!$J$4:$CV$4, 'FS Ann'!T$4)</f>
        <v>-3899.7014695671105</v>
      </c>
      <c r="U67" s="16">
        <f xml:space="preserve"> SUMIFS('FS Semi'!$J67:$CV67, 'FS Semi'!$J$4:$CV$4, 'FS Ann'!U$4)</f>
        <v>-3631.3314113877259</v>
      </c>
      <c r="V67" s="16">
        <f xml:space="preserve"> SUMIFS('FS Semi'!$J67:$CV67, 'FS Semi'!$J$4:$CV$4, 'FS Ann'!V$4)</f>
        <v>-3364.408729291883</v>
      </c>
      <c r="W67" s="16">
        <f xml:space="preserve"> SUMIFS('FS Semi'!$J67:$CV67, 'FS Semi'!$J$4:$CV$4, 'FS Ann'!W$4)</f>
        <v>-3229.7783742011607</v>
      </c>
      <c r="X67" s="16">
        <f xml:space="preserve"> SUMIFS('FS Semi'!$J67:$CV67, 'FS Semi'!$J$4:$CV$4, 'FS Ann'!X$4)</f>
        <v>-2943.8103843488375</v>
      </c>
      <c r="Y67" s="16">
        <f xml:space="preserve"> SUMIFS('FS Semi'!$J67:$CV67, 'FS Semi'!$J$4:$CV$4, 'FS Ann'!Y$4)</f>
        <v>-2631.1336871929952</v>
      </c>
      <c r="Z67" s="16">
        <f xml:space="preserve"> SUMIFS('FS Semi'!$J67:$CV67, 'FS Semi'!$J$4:$CV$4, 'FS Ann'!Z$4)</f>
        <v>-2314.6695043706914</v>
      </c>
      <c r="AA67" s="16">
        <f xml:space="preserve"> SUMIFS('FS Semi'!$J67:$CV67, 'FS Semi'!$J$4:$CV$4, 'FS Ann'!AA$4)</f>
        <v>-1985.8749303784221</v>
      </c>
      <c r="AB67" s="16">
        <f xml:space="preserve"> SUMIFS('FS Semi'!$J67:$CV67, 'FS Semi'!$J$4:$CV$4, 'FS Ann'!AB$4)</f>
        <v>-1524.9432985014653</v>
      </c>
      <c r="AC67" s="16">
        <f xml:space="preserve"> SUMIFS('FS Semi'!$J67:$CV67, 'FS Semi'!$J$4:$CV$4, 'FS Ann'!AC$4)</f>
        <v>-663.36260921730047</v>
      </c>
      <c r="AD67" s="16">
        <f xml:space="preserve"> SUMIFS('FS Semi'!$J67:$CV67, 'FS Semi'!$J$4:$CV$4, 'FS Ann'!AD$4)</f>
        <v>4.3885759375272458E-4</v>
      </c>
      <c r="AE67" s="16">
        <f xml:space="preserve"> SUMIFS('FS Semi'!$J67:$CV67, 'FS Semi'!$J$4:$CV$4, 'FS Ann'!AE$4)</f>
        <v>4.3885759375272458E-4</v>
      </c>
      <c r="AF67" s="16">
        <f xml:space="preserve"> SUMIFS('FS Semi'!$J67:$CV67, 'FS Semi'!$J$4:$CV$4, 'FS Ann'!AF$4)</f>
        <v>4.4005994332464986E-4</v>
      </c>
      <c r="AG67" s="16">
        <f xml:space="preserve"> SUMIFS('FS Semi'!$J67:$CV67, 'FS Semi'!$J$4:$CV$4, 'FS Ann'!AG$4)</f>
        <v>0</v>
      </c>
      <c r="AH67" s="16">
        <f xml:space="preserve"> SUMIFS('FS Semi'!$J67:$CV67, 'FS Semi'!$J$4:$CV$4, 'FS Ann'!AH$4)</f>
        <v>0</v>
      </c>
      <c r="AI67" s="16">
        <f xml:space="preserve"> SUMIFS('FS Semi'!$J67:$CV67, 'FS Semi'!$J$4:$CV$4, 'FS Ann'!AI$4)</f>
        <v>0</v>
      </c>
      <c r="AJ67" s="16">
        <f xml:space="preserve"> SUMIFS('FS Semi'!$J67:$CV67, 'FS Semi'!$J$4:$CV$4, 'FS Ann'!AJ$4)</f>
        <v>0</v>
      </c>
      <c r="AK67" s="16">
        <f xml:space="preserve"> SUMIFS('FS Semi'!$J67:$CV67, 'FS Semi'!$J$4:$CV$4, 'FS Ann'!AK$4)</f>
        <v>0</v>
      </c>
      <c r="AL67" s="16">
        <f xml:space="preserve"> SUMIFS('FS Semi'!$J67:$CV67, 'FS Semi'!$J$4:$CV$4, 'FS Ann'!AL$4)</f>
        <v>0</v>
      </c>
      <c r="AM67" s="16">
        <f xml:space="preserve"> SUMIFS('FS Semi'!$J67:$CV67, 'FS Semi'!$J$4:$CV$4, 'FS Ann'!AM$4)</f>
        <v>0</v>
      </c>
      <c r="AN67" s="16">
        <f xml:space="preserve"> SUMIFS('FS Semi'!$J67:$CV67, 'FS Semi'!$J$4:$CV$4, 'FS Ann'!AN$4)</f>
        <v>0</v>
      </c>
      <c r="AO67" s="16">
        <f xml:space="preserve"> SUMIFS('FS Semi'!$J67:$CV67, 'FS Semi'!$J$4:$CV$4, 'FS Ann'!AO$4)</f>
        <v>0</v>
      </c>
      <c r="AP67" s="16">
        <f xml:space="preserve"> SUMIFS('FS Semi'!$J67:$CV67, 'FS Semi'!$J$4:$CV$4, 'FS Ann'!AP$4)</f>
        <v>0</v>
      </c>
      <c r="AQ67" s="16">
        <f xml:space="preserve"> SUMIFS('FS Semi'!$J67:$CV67, 'FS Semi'!$J$4:$CV$4, 'FS Ann'!AQ$4)</f>
        <v>0</v>
      </c>
      <c r="AR67" s="16">
        <f xml:space="preserve"> SUMIFS('FS Semi'!$J67:$CV67, 'FS Semi'!$J$4:$CV$4, 'FS Ann'!AR$4)</f>
        <v>0</v>
      </c>
      <c r="AS67" s="16">
        <f xml:space="preserve"> SUMIFS('FS Semi'!$J67:$CV67, 'FS Semi'!$J$4:$CV$4, 'FS Ann'!AS$4)</f>
        <v>0</v>
      </c>
      <c r="AT67" s="16">
        <f xml:space="preserve"> SUMIFS('FS Semi'!$J67:$CV67, 'FS Semi'!$J$4:$CV$4, 'FS Ann'!AT$4)</f>
        <v>0</v>
      </c>
      <c r="AU67" s="16">
        <f xml:space="preserve"> SUMIFS('FS Semi'!$J67:$CV67, 'FS Semi'!$J$4:$CV$4, 'FS Ann'!AU$4)</f>
        <v>0</v>
      </c>
      <c r="AV67" s="16">
        <f xml:space="preserve"> SUMIFS('FS Semi'!$J67:$CV67, 'FS Semi'!$J$4:$CV$4, 'FS Ann'!AV$4)</f>
        <v>0</v>
      </c>
      <c r="AW67" s="16">
        <f xml:space="preserve"> SUMIFS('FS Semi'!$J67:$CV67, 'FS Semi'!$J$4:$CV$4, 'FS Ann'!AW$4)</f>
        <v>0</v>
      </c>
      <c r="AX67" s="16">
        <f xml:space="preserve"> SUMIFS('FS Semi'!$J67:$CV67, 'FS Semi'!$J$4:$CV$4, 'FS Ann'!AX$4)</f>
        <v>0</v>
      </c>
      <c r="AY67" s="16">
        <f xml:space="preserve"> SUMIFS('FS Semi'!$J67:$CV67, 'FS Semi'!$J$4:$CV$4, 'FS Ann'!AY$4)</f>
        <v>0</v>
      </c>
      <c r="AZ67" s="16">
        <f xml:space="preserve"> SUMIFS('FS Semi'!$J67:$CV67, 'FS Semi'!$J$4:$CV$4, 'FS Ann'!AZ$4)</f>
        <v>0</v>
      </c>
      <c r="BA67" s="16">
        <f xml:space="preserve"> SUMIFS('FS Semi'!$J67:$CV67, 'FS Semi'!$J$4:$CV$4, 'FS Ann'!BA$4)</f>
        <v>0</v>
      </c>
      <c r="BB67" s="16">
        <f xml:space="preserve"> SUMIFS('FS Semi'!$J67:$CV67, 'FS Semi'!$J$4:$CV$4, 'FS Ann'!BB$4)</f>
        <v>0</v>
      </c>
    </row>
    <row r="68" spans="1:56" outlineLevel="1" x14ac:dyDescent="0.2">
      <c r="A68" s="1"/>
      <c r="B68" s="1"/>
      <c r="C68" s="19"/>
      <c r="D68" s="83"/>
      <c r="E68" s="9" t="str">
        <f xml:space="preserve"> Debt!E$245</f>
        <v>Withholding tax on Senior Debt Interest T1</v>
      </c>
      <c r="F68" s="68">
        <f xml:space="preserve"> Debt!F$245</f>
        <v>0</v>
      </c>
      <c r="G68" s="9" t="str">
        <f xml:space="preserve"> Debt!G$245</f>
        <v>$ 000s</v>
      </c>
      <c r="H68" s="16">
        <f xml:space="preserve"> SUM(J68:BB68)</f>
        <v>-1202.7065731634439</v>
      </c>
      <c r="I68" s="68">
        <f xml:space="preserve"> Debt!I$245</f>
        <v>0</v>
      </c>
      <c r="J68" s="16">
        <f xml:space="preserve"> SUMIFS('FS Semi'!$J68:$CV68, 'FS Semi'!$J$4:$CV$4, 'FS Ann'!J$4)</f>
        <v>0</v>
      </c>
      <c r="K68" s="16">
        <f xml:space="preserve"> SUMIFS('FS Semi'!$J68:$CV68, 'FS Semi'!$J$4:$CV$4, 'FS Ann'!K$4)</f>
        <v>0</v>
      </c>
      <c r="L68" s="16">
        <f xml:space="preserve"> SUMIFS('FS Semi'!$J68:$CV68, 'FS Semi'!$J$4:$CV$4, 'FS Ann'!L$4)</f>
        <v>0</v>
      </c>
      <c r="M68" s="16">
        <f xml:space="preserve"> SUMIFS('FS Semi'!$J68:$CV68, 'FS Semi'!$J$4:$CV$4, 'FS Ann'!M$4)</f>
        <v>-107.55595314791026</v>
      </c>
      <c r="N68" s="16">
        <f xml:space="preserve"> SUMIFS('FS Semi'!$J68:$CV68, 'FS Semi'!$J$4:$CV$4, 'FS Ann'!N$4)</f>
        <v>-103.17775168030539</v>
      </c>
      <c r="O68" s="16">
        <f xml:space="preserve"> SUMIFS('FS Semi'!$J68:$CV68, 'FS Semi'!$J$4:$CV$4, 'FS Ann'!O$4)</f>
        <v>-98.910314018782628</v>
      </c>
      <c r="P68" s="16">
        <f xml:space="preserve"> SUMIFS('FS Semi'!$J68:$CV68, 'FS Semi'!$J$4:$CV$4, 'FS Ann'!P$4)</f>
        <v>-94.764700375352277</v>
      </c>
      <c r="Q68" s="16">
        <f xml:space="preserve"> SUMIFS('FS Semi'!$J68:$CV68, 'FS Semi'!$J$4:$CV$4, 'FS Ann'!Q$4)</f>
        <v>-89.974521838056717</v>
      </c>
      <c r="R68" s="16">
        <f xml:space="preserve"> SUMIFS('FS Semi'!$J68:$CV68, 'FS Semi'!$J$4:$CV$4, 'FS Ann'!R$4)</f>
        <v>-89.389165746213621</v>
      </c>
      <c r="S68" s="16">
        <f xml:space="preserve"> SUMIFS('FS Semi'!$J68:$CV68, 'FS Semi'!$J$4:$CV$4, 'FS Ann'!S$4)</f>
        <v>-84.464511649016913</v>
      </c>
      <c r="T68" s="16">
        <f xml:space="preserve"> SUMIFS('FS Semi'!$J68:$CV68, 'FS Semi'!$J$4:$CV$4, 'FS Ann'!T$4)</f>
        <v>-79.58574427687995</v>
      </c>
      <c r="U68" s="16">
        <f xml:space="preserve"> SUMIFS('FS Semi'!$J68:$CV68, 'FS Semi'!$J$4:$CV$4, 'FS Ann'!U$4)</f>
        <v>-74.108804314035297</v>
      </c>
      <c r="V68" s="16">
        <f xml:space="preserve"> SUMIFS('FS Semi'!$J68:$CV68, 'FS Semi'!$J$4:$CV$4, 'FS Ann'!V$4)</f>
        <v>-68.661402638609843</v>
      </c>
      <c r="W68" s="16">
        <f xml:space="preserve"> SUMIFS('FS Semi'!$J68:$CV68, 'FS Semi'!$J$4:$CV$4, 'FS Ann'!W$4)</f>
        <v>-65.913844371452342</v>
      </c>
      <c r="X68" s="16">
        <f xml:space="preserve"> SUMIFS('FS Semi'!$J68:$CV68, 'FS Semi'!$J$4:$CV$4, 'FS Ann'!X$4)</f>
        <v>-60.077762945894847</v>
      </c>
      <c r="Y68" s="16">
        <f xml:space="preserve"> SUMIFS('FS Semi'!$J68:$CV68, 'FS Semi'!$J$4:$CV$4, 'FS Ann'!Y$4)</f>
        <v>-53.696605861081707</v>
      </c>
      <c r="Z68" s="16">
        <f xml:space="preserve"> SUMIFS('FS Semi'!$J68:$CV68, 'FS Semi'!$J$4:$CV$4, 'FS Ann'!Z$4)</f>
        <v>-47.238153150422477</v>
      </c>
      <c r="AA68" s="16">
        <f xml:space="preserve"> SUMIFS('FS Semi'!$J68:$CV68, 'FS Semi'!$J$4:$CV$4, 'FS Ann'!AA$4)</f>
        <v>-40.52805980364144</v>
      </c>
      <c r="AB68" s="16">
        <f xml:space="preserve"> SUMIFS('FS Semi'!$J68:$CV68, 'FS Semi'!$J$4:$CV$4, 'FS Ann'!AB$4)</f>
        <v>-31.121291806152385</v>
      </c>
      <c r="AC68" s="16">
        <f xml:space="preserve"> SUMIFS('FS Semi'!$J68:$CV68, 'FS Semi'!$J$4:$CV$4, 'FS Ann'!AC$4)</f>
        <v>-13.538012433006116</v>
      </c>
      <c r="AD68" s="16">
        <f xml:space="preserve"> SUMIFS('FS Semi'!$J68:$CV68, 'FS Semi'!$J$4:$CV$4, 'FS Ann'!AD$4)</f>
        <v>8.9562774235250029E-6</v>
      </c>
      <c r="AE68" s="16">
        <f xml:space="preserve"> SUMIFS('FS Semi'!$J68:$CV68, 'FS Semi'!$J$4:$CV$4, 'FS Ann'!AE$4)</f>
        <v>8.9562774235250029E-6</v>
      </c>
      <c r="AF68" s="16">
        <f xml:space="preserve"> SUMIFS('FS Semi'!$J68:$CV68, 'FS Semi'!$J$4:$CV$4, 'FS Ann'!AF$4)</f>
        <v>8.9808151698908296E-6</v>
      </c>
      <c r="AG68" s="16">
        <f xml:space="preserve"> SUMIFS('FS Semi'!$J68:$CV68, 'FS Semi'!$J$4:$CV$4, 'FS Ann'!AG$4)</f>
        <v>0</v>
      </c>
      <c r="AH68" s="16">
        <f xml:space="preserve"> SUMIFS('FS Semi'!$J68:$CV68, 'FS Semi'!$J$4:$CV$4, 'FS Ann'!AH$4)</f>
        <v>0</v>
      </c>
      <c r="AI68" s="16">
        <f xml:space="preserve"> SUMIFS('FS Semi'!$J68:$CV68, 'FS Semi'!$J$4:$CV$4, 'FS Ann'!AI$4)</f>
        <v>0</v>
      </c>
      <c r="AJ68" s="16">
        <f xml:space="preserve"> SUMIFS('FS Semi'!$J68:$CV68, 'FS Semi'!$J$4:$CV$4, 'FS Ann'!AJ$4)</f>
        <v>0</v>
      </c>
      <c r="AK68" s="16">
        <f xml:space="preserve"> SUMIFS('FS Semi'!$J68:$CV68, 'FS Semi'!$J$4:$CV$4, 'FS Ann'!AK$4)</f>
        <v>0</v>
      </c>
      <c r="AL68" s="16">
        <f xml:space="preserve"> SUMIFS('FS Semi'!$J68:$CV68, 'FS Semi'!$J$4:$CV$4, 'FS Ann'!AL$4)</f>
        <v>0</v>
      </c>
      <c r="AM68" s="16">
        <f xml:space="preserve"> SUMIFS('FS Semi'!$J68:$CV68, 'FS Semi'!$J$4:$CV$4, 'FS Ann'!AM$4)</f>
        <v>0</v>
      </c>
      <c r="AN68" s="16">
        <f xml:space="preserve"> SUMIFS('FS Semi'!$J68:$CV68, 'FS Semi'!$J$4:$CV$4, 'FS Ann'!AN$4)</f>
        <v>0</v>
      </c>
      <c r="AO68" s="16">
        <f xml:space="preserve"> SUMIFS('FS Semi'!$J68:$CV68, 'FS Semi'!$J$4:$CV$4, 'FS Ann'!AO$4)</f>
        <v>0</v>
      </c>
      <c r="AP68" s="16">
        <f xml:space="preserve"> SUMIFS('FS Semi'!$J68:$CV68, 'FS Semi'!$J$4:$CV$4, 'FS Ann'!AP$4)</f>
        <v>0</v>
      </c>
      <c r="AQ68" s="16">
        <f xml:space="preserve"> SUMIFS('FS Semi'!$J68:$CV68, 'FS Semi'!$J$4:$CV$4, 'FS Ann'!AQ$4)</f>
        <v>0</v>
      </c>
      <c r="AR68" s="16">
        <f xml:space="preserve"> SUMIFS('FS Semi'!$J68:$CV68, 'FS Semi'!$J$4:$CV$4, 'FS Ann'!AR$4)</f>
        <v>0</v>
      </c>
      <c r="AS68" s="16">
        <f xml:space="preserve"> SUMIFS('FS Semi'!$J68:$CV68, 'FS Semi'!$J$4:$CV$4, 'FS Ann'!AS$4)</f>
        <v>0</v>
      </c>
      <c r="AT68" s="16">
        <f xml:space="preserve"> SUMIFS('FS Semi'!$J68:$CV68, 'FS Semi'!$J$4:$CV$4, 'FS Ann'!AT$4)</f>
        <v>0</v>
      </c>
      <c r="AU68" s="16">
        <f xml:space="preserve"> SUMIFS('FS Semi'!$J68:$CV68, 'FS Semi'!$J$4:$CV$4, 'FS Ann'!AU$4)</f>
        <v>0</v>
      </c>
      <c r="AV68" s="16">
        <f xml:space="preserve"> SUMIFS('FS Semi'!$J68:$CV68, 'FS Semi'!$J$4:$CV$4, 'FS Ann'!AV$4)</f>
        <v>0</v>
      </c>
      <c r="AW68" s="16">
        <f xml:space="preserve"> SUMIFS('FS Semi'!$J68:$CV68, 'FS Semi'!$J$4:$CV$4, 'FS Ann'!AW$4)</f>
        <v>0</v>
      </c>
      <c r="AX68" s="16">
        <f xml:space="preserve"> SUMIFS('FS Semi'!$J68:$CV68, 'FS Semi'!$J$4:$CV$4, 'FS Ann'!AX$4)</f>
        <v>0</v>
      </c>
      <c r="AY68" s="16">
        <f xml:space="preserve"> SUMIFS('FS Semi'!$J68:$CV68, 'FS Semi'!$J$4:$CV$4, 'FS Ann'!AY$4)</f>
        <v>0</v>
      </c>
      <c r="AZ68" s="16">
        <f xml:space="preserve"> SUMIFS('FS Semi'!$J68:$CV68, 'FS Semi'!$J$4:$CV$4, 'FS Ann'!AZ$4)</f>
        <v>0</v>
      </c>
      <c r="BA68" s="16">
        <f xml:space="preserve"> SUMIFS('FS Semi'!$J68:$CV68, 'FS Semi'!$J$4:$CV$4, 'FS Ann'!BA$4)</f>
        <v>0</v>
      </c>
      <c r="BB68" s="16">
        <f xml:space="preserve"> SUMIFS('FS Semi'!$J68:$CV68, 'FS Semi'!$J$4:$CV$4, 'FS Ann'!BB$4)</f>
        <v>0</v>
      </c>
      <c r="BC68" s="16">
        <f xml:space="preserve"> SUMIFS('FS Semi'!$J68:$CV68, 'FS Semi'!$J$4:$CV$4, 'FS Ann'!BC$4)</f>
        <v>0</v>
      </c>
      <c r="BD68" s="16">
        <f xml:space="preserve"> SUMIFS('FS Semi'!$J68:$CV68, 'FS Semi'!$J$4:$CV$4, 'FS Ann'!BD$4)</f>
        <v>0</v>
      </c>
    </row>
    <row r="69" spans="1:56" outlineLevel="1" x14ac:dyDescent="0.2">
      <c r="A69" s="1"/>
      <c r="B69" s="1"/>
      <c r="C69" s="19"/>
      <c r="D69" s="83"/>
      <c r="E69" s="16" t="str">
        <f xml:space="preserve"> 'FS Semi'!E69</f>
        <v>Senior debt interest - T2</v>
      </c>
      <c r="F69" s="16">
        <f xml:space="preserve"> 'FS Semi'!F69</f>
        <v>0</v>
      </c>
      <c r="G69" s="31" t="str">
        <f xml:space="preserve"> 'FS Semi'!G69</f>
        <v>$ 000s</v>
      </c>
      <c r="H69" s="16">
        <f t="shared" ref="H69" si="22" xml:space="preserve"> SUM(J69:BB69)</f>
        <v>-50719.400835431719</v>
      </c>
      <c r="I69" s="16"/>
      <c r="J69" s="16">
        <f xml:space="preserve"> SUMIFS('FS Semi'!$J69:$CV69, 'FS Semi'!$J$4:$CV$4, 'FS Ann'!J$4)</f>
        <v>0</v>
      </c>
      <c r="K69" s="16">
        <f xml:space="preserve"> SUMIFS('FS Semi'!$J69:$CV69, 'FS Semi'!$J$4:$CV$4, 'FS Ann'!K$4)</f>
        <v>0</v>
      </c>
      <c r="L69" s="16">
        <f xml:space="preserve"> SUMIFS('FS Semi'!$J69:$CV69, 'FS Semi'!$J$4:$CV$4, 'FS Ann'!L$4)</f>
        <v>0</v>
      </c>
      <c r="M69" s="16">
        <f xml:space="preserve"> SUMIFS('FS Semi'!$J69:$CV69, 'FS Semi'!$J$4:$CV$4, 'FS Ann'!M$4)</f>
        <v>-5868.9029603179642</v>
      </c>
      <c r="N69" s="16">
        <f xml:space="preserve"> SUMIFS('FS Semi'!$J69:$CV69, 'FS Semi'!$J$4:$CV$4, 'FS Ann'!N$4)</f>
        <v>-5527.6851118051936</v>
      </c>
      <c r="O69" s="16">
        <f xml:space="preserve"> SUMIFS('FS Semi'!$J69:$CV69, 'FS Semi'!$J$4:$CV$4, 'FS Ann'!O$4)</f>
        <v>-5195.0997092600355</v>
      </c>
      <c r="P69" s="16">
        <f xml:space="preserve"> SUMIFS('FS Semi'!$J69:$CV69, 'FS Semi'!$J$4:$CV$4, 'FS Ann'!P$4)</f>
        <v>-4865.122334435142</v>
      </c>
      <c r="Q69" s="16">
        <f xml:space="preserve"> SUMIFS('FS Semi'!$J69:$CV69, 'FS Semi'!$J$4:$CV$4, 'FS Ann'!Q$4)</f>
        <v>-4498.6832000552813</v>
      </c>
      <c r="R69" s="16">
        <f xml:space="preserve"> SUMIFS('FS Semi'!$J69:$CV69, 'FS Semi'!$J$4:$CV$4, 'FS Ann'!R$4)</f>
        <v>-4312.4164671573599</v>
      </c>
      <c r="S69" s="16">
        <f xml:space="preserve"> SUMIFS('FS Semi'!$J69:$CV69, 'FS Semi'!$J$4:$CV$4, 'FS Ann'!S$4)</f>
        <v>-3930.4664221302792</v>
      </c>
      <c r="T69" s="16">
        <f xml:space="preserve"> SUMIFS('FS Semi'!$J69:$CV69, 'FS Semi'!$J$4:$CV$4, 'FS Ann'!T$4)</f>
        <v>-3544.8958532625911</v>
      </c>
      <c r="U69" s="16">
        <f xml:space="preserve"> SUMIFS('FS Semi'!$J69:$CV69, 'FS Semi'!$J$4:$CV$4, 'FS Ann'!U$4)</f>
        <v>-3127.2906447421346</v>
      </c>
      <c r="V69" s="16">
        <f xml:space="preserve"> SUMIFS('FS Semi'!$J69:$CV69, 'FS Semi'!$J$4:$CV$4, 'FS Ann'!V$4)</f>
        <v>-2704.7969478967593</v>
      </c>
      <c r="W69" s="16">
        <f xml:space="preserve"> SUMIFS('FS Semi'!$J69:$CV69, 'FS Semi'!$J$4:$CV$4, 'FS Ann'!W$4)</f>
        <v>-2408.375082061887</v>
      </c>
      <c r="X69" s="16">
        <f xml:space="preserve"> SUMIFS('FS Semi'!$J69:$CV69, 'FS Semi'!$J$4:$CV$4, 'FS Ann'!X$4)</f>
        <v>-1941.2891253254152</v>
      </c>
      <c r="Y69" s="16">
        <f xml:space="preserve"> SUMIFS('FS Semi'!$J69:$CV69, 'FS Semi'!$J$4:$CV$4, 'FS Ann'!Y$4)</f>
        <v>-1446.5280816878701</v>
      </c>
      <c r="Z69" s="16">
        <f xml:space="preserve"> SUMIFS('FS Semi'!$J69:$CV69, 'FS Semi'!$J$4:$CV$4, 'FS Ann'!Z$4)</f>
        <v>-938.06265707232274</v>
      </c>
      <c r="AA69" s="16">
        <f xml:space="preserve"> SUMIFS('FS Semi'!$J69:$CV69, 'FS Semi'!$J$4:$CV$4, 'FS Ann'!AA$4)</f>
        <v>-409.7858985927071</v>
      </c>
      <c r="AB69" s="16">
        <f xml:space="preserve"> SUMIFS('FS Semi'!$J69:$CV69, 'FS Semi'!$J$4:$CV$4, 'FS Ann'!AB$4)</f>
        <v>-1.1411296471257326E-4</v>
      </c>
      <c r="AC69" s="16">
        <f xml:space="preserve"> SUMIFS('FS Semi'!$J69:$CV69, 'FS Semi'!$J$4:$CV$4, 'FS Ann'!AC$4)</f>
        <v>-1.1380118065598154E-4</v>
      </c>
      <c r="AD69" s="16">
        <f xml:space="preserve"> SUMIFS('FS Semi'!$J69:$CV69, 'FS Semi'!$J$4:$CV$4, 'FS Ann'!AD$4)</f>
        <v>-3.7204232137532427E-5</v>
      </c>
      <c r="AE69" s="16">
        <f xml:space="preserve"> SUMIFS('FS Semi'!$J69:$CV69, 'FS Semi'!$J$4:$CV$4, 'FS Ann'!AE$4)</f>
        <v>-3.7204232137532427E-5</v>
      </c>
      <c r="AF69" s="16">
        <f xml:space="preserve"> SUMIFS('FS Semi'!$J69:$CV69, 'FS Semi'!$J$4:$CV$4, 'FS Ann'!AF$4)</f>
        <v>-3.7306161540648952E-5</v>
      </c>
      <c r="AG69" s="16">
        <f xml:space="preserve"> SUMIFS('FS Semi'!$J69:$CV69, 'FS Semi'!$J$4:$CV$4, 'FS Ann'!AG$4)</f>
        <v>0</v>
      </c>
      <c r="AH69" s="16">
        <f xml:space="preserve"> SUMIFS('FS Semi'!$J69:$CV69, 'FS Semi'!$J$4:$CV$4, 'FS Ann'!AH$4)</f>
        <v>0</v>
      </c>
      <c r="AI69" s="16">
        <f xml:space="preserve"> SUMIFS('FS Semi'!$J69:$CV69, 'FS Semi'!$J$4:$CV$4, 'FS Ann'!AI$4)</f>
        <v>0</v>
      </c>
      <c r="AJ69" s="16">
        <f xml:space="preserve"> SUMIFS('FS Semi'!$J69:$CV69, 'FS Semi'!$J$4:$CV$4, 'FS Ann'!AJ$4)</f>
        <v>0</v>
      </c>
      <c r="AK69" s="16">
        <f xml:space="preserve"> SUMIFS('FS Semi'!$J69:$CV69, 'FS Semi'!$J$4:$CV$4, 'FS Ann'!AK$4)</f>
        <v>0</v>
      </c>
      <c r="AL69" s="16">
        <f xml:space="preserve"> SUMIFS('FS Semi'!$J69:$CV69, 'FS Semi'!$J$4:$CV$4, 'FS Ann'!AL$4)</f>
        <v>0</v>
      </c>
      <c r="AM69" s="16">
        <f xml:space="preserve"> SUMIFS('FS Semi'!$J69:$CV69, 'FS Semi'!$J$4:$CV$4, 'FS Ann'!AM$4)</f>
        <v>0</v>
      </c>
      <c r="AN69" s="16">
        <f xml:space="preserve"> SUMIFS('FS Semi'!$J69:$CV69, 'FS Semi'!$J$4:$CV$4, 'FS Ann'!AN$4)</f>
        <v>0</v>
      </c>
      <c r="AO69" s="16">
        <f xml:space="preserve"> SUMIFS('FS Semi'!$J69:$CV69, 'FS Semi'!$J$4:$CV$4, 'FS Ann'!AO$4)</f>
        <v>0</v>
      </c>
      <c r="AP69" s="16">
        <f xml:space="preserve"> SUMIFS('FS Semi'!$J69:$CV69, 'FS Semi'!$J$4:$CV$4, 'FS Ann'!AP$4)</f>
        <v>0</v>
      </c>
      <c r="AQ69" s="16">
        <f xml:space="preserve"> SUMIFS('FS Semi'!$J69:$CV69, 'FS Semi'!$J$4:$CV$4, 'FS Ann'!AQ$4)</f>
        <v>0</v>
      </c>
      <c r="AR69" s="16">
        <f xml:space="preserve"> SUMIFS('FS Semi'!$J69:$CV69, 'FS Semi'!$J$4:$CV$4, 'FS Ann'!AR$4)</f>
        <v>0</v>
      </c>
      <c r="AS69" s="16">
        <f xml:space="preserve"> SUMIFS('FS Semi'!$J69:$CV69, 'FS Semi'!$J$4:$CV$4, 'FS Ann'!AS$4)</f>
        <v>0</v>
      </c>
      <c r="AT69" s="16">
        <f xml:space="preserve"> SUMIFS('FS Semi'!$J69:$CV69, 'FS Semi'!$J$4:$CV$4, 'FS Ann'!AT$4)</f>
        <v>0</v>
      </c>
      <c r="AU69" s="16">
        <f xml:space="preserve"> SUMIFS('FS Semi'!$J69:$CV69, 'FS Semi'!$J$4:$CV$4, 'FS Ann'!AU$4)</f>
        <v>0</v>
      </c>
      <c r="AV69" s="16">
        <f xml:space="preserve"> SUMIFS('FS Semi'!$J69:$CV69, 'FS Semi'!$J$4:$CV$4, 'FS Ann'!AV$4)</f>
        <v>0</v>
      </c>
      <c r="AW69" s="16">
        <f xml:space="preserve"> SUMIFS('FS Semi'!$J69:$CV69, 'FS Semi'!$J$4:$CV$4, 'FS Ann'!AW$4)</f>
        <v>0</v>
      </c>
      <c r="AX69" s="16">
        <f xml:space="preserve"> SUMIFS('FS Semi'!$J69:$CV69, 'FS Semi'!$J$4:$CV$4, 'FS Ann'!AX$4)</f>
        <v>0</v>
      </c>
      <c r="AY69" s="16">
        <f xml:space="preserve"> SUMIFS('FS Semi'!$J69:$CV69, 'FS Semi'!$J$4:$CV$4, 'FS Ann'!AY$4)</f>
        <v>0</v>
      </c>
      <c r="AZ69" s="16">
        <f xml:space="preserve"> SUMIFS('FS Semi'!$J69:$CV69, 'FS Semi'!$J$4:$CV$4, 'FS Ann'!AZ$4)</f>
        <v>0</v>
      </c>
      <c r="BA69" s="16">
        <f xml:space="preserve"> SUMIFS('FS Semi'!$J69:$CV69, 'FS Semi'!$J$4:$CV$4, 'FS Ann'!BA$4)</f>
        <v>0</v>
      </c>
      <c r="BB69" s="16">
        <f xml:space="preserve"> SUMIFS('FS Semi'!$J69:$CV69, 'FS Semi'!$J$4:$CV$4, 'FS Ann'!BB$4)</f>
        <v>0</v>
      </c>
    </row>
    <row r="70" spans="1:56" outlineLevel="1" x14ac:dyDescent="0.2">
      <c r="A70" s="1"/>
      <c r="B70" s="1"/>
      <c r="C70" s="19"/>
      <c r="D70" s="83"/>
      <c r="E70" s="9" t="str">
        <f xml:space="preserve"> Debt!E$357</f>
        <v>Withholding tax on Senior Debt Interest T2</v>
      </c>
      <c r="F70" s="68">
        <f xml:space="preserve"> Debt!F$357</f>
        <v>0</v>
      </c>
      <c r="G70" s="9" t="str">
        <f xml:space="preserve"> Debt!G$357</f>
        <v>$ 000s</v>
      </c>
      <c r="H70" s="16">
        <f xml:space="preserve"> SUM(J70:BB70)</f>
        <v>-1035.0898129679947</v>
      </c>
      <c r="I70" s="68">
        <f xml:space="preserve"> Debt!I$357</f>
        <v>0</v>
      </c>
      <c r="J70" s="16">
        <f xml:space="preserve"> SUMIFS('FS Semi'!$J70:$CV70, 'FS Semi'!$J$4:$CV$4, 'FS Ann'!J$4)</f>
        <v>0</v>
      </c>
      <c r="K70" s="16">
        <f xml:space="preserve"> SUMIFS('FS Semi'!$J70:$CV70, 'FS Semi'!$J$4:$CV$4, 'FS Ann'!K$4)</f>
        <v>0</v>
      </c>
      <c r="L70" s="16">
        <f xml:space="preserve"> SUMIFS('FS Semi'!$J70:$CV70, 'FS Semi'!$J$4:$CV$4, 'FS Ann'!L$4)</f>
        <v>0</v>
      </c>
      <c r="M70" s="16">
        <f xml:space="preserve"> SUMIFS('FS Semi'!$J70:$CV70, 'FS Semi'!$J$4:$CV$4, 'FS Ann'!M$4)</f>
        <v>-119.77352980240721</v>
      </c>
      <c r="N70" s="16">
        <f xml:space="preserve"> SUMIFS('FS Semi'!$J70:$CV70, 'FS Semi'!$J$4:$CV$4, 'FS Ann'!N$4)</f>
        <v>-112.80990024092262</v>
      </c>
      <c r="O70" s="16">
        <f xml:space="preserve"> SUMIFS('FS Semi'!$J70:$CV70, 'FS Semi'!$J$4:$CV$4, 'FS Ann'!O$4)</f>
        <v>-106.02244304612304</v>
      </c>
      <c r="P70" s="16">
        <f xml:space="preserve"> SUMIFS('FS Semi'!$J70:$CV70, 'FS Semi'!$J$4:$CV$4, 'FS Ann'!P$4)</f>
        <v>-99.288210906839595</v>
      </c>
      <c r="Q70" s="16">
        <f xml:space="preserve"> SUMIFS('FS Semi'!$J70:$CV70, 'FS Semi'!$J$4:$CV$4, 'FS Ann'!Q$4)</f>
        <v>-91.809861225618079</v>
      </c>
      <c r="R70" s="16">
        <f xml:space="preserve"> SUMIFS('FS Semi'!$J70:$CV70, 'FS Semi'!$J$4:$CV$4, 'FS Ann'!R$4)</f>
        <v>-88.008499329742335</v>
      </c>
      <c r="S70" s="16">
        <f xml:space="preserve"> SUMIFS('FS Semi'!$J70:$CV70, 'FS Semi'!$J$4:$CV$4, 'FS Ann'!S$4)</f>
        <v>-80.213600451638513</v>
      </c>
      <c r="T70" s="16">
        <f xml:space="preserve"> SUMIFS('FS Semi'!$J70:$CV70, 'FS Semi'!$J$4:$CV$4, 'FS Ann'!T$4)</f>
        <v>-72.344813331889782</v>
      </c>
      <c r="U70" s="16">
        <f xml:space="preserve"> SUMIFS('FS Semi'!$J70:$CV70, 'FS Semi'!$J$4:$CV$4, 'FS Ann'!U$4)</f>
        <v>-63.822258055961811</v>
      </c>
      <c r="V70" s="16">
        <f xml:space="preserve"> SUMIFS('FS Semi'!$J70:$CV70, 'FS Semi'!$J$4:$CV$4, 'FS Ann'!V$4)</f>
        <v>-55.19993771217878</v>
      </c>
      <c r="W70" s="16">
        <f xml:space="preserve"> SUMIFS('FS Semi'!$J70:$CV70, 'FS Semi'!$J$4:$CV$4, 'FS Ann'!W$4)</f>
        <v>-49.150511878814086</v>
      </c>
      <c r="X70" s="16">
        <f xml:space="preserve"> SUMIFS('FS Semi'!$J70:$CV70, 'FS Semi'!$J$4:$CV$4, 'FS Ann'!X$4)</f>
        <v>-39.618145414804303</v>
      </c>
      <c r="Y70" s="16">
        <f xml:space="preserve"> SUMIFS('FS Semi'!$J70:$CV70, 'FS Semi'!$J$4:$CV$4, 'FS Ann'!Y$4)</f>
        <v>-29.520981258936104</v>
      </c>
      <c r="Z70" s="16">
        <f xml:space="preserve"> SUMIFS('FS Semi'!$J70:$CV70, 'FS Semi'!$J$4:$CV$4, 'FS Ann'!Z$4)</f>
        <v>-19.144135858618824</v>
      </c>
      <c r="AA70" s="16">
        <f xml:space="preserve"> SUMIFS('FS Semi'!$J70:$CV70, 'FS Semi'!$J$4:$CV$4, 'FS Ann'!AA$4)</f>
        <v>-8.3629775223001559</v>
      </c>
      <c r="AB70" s="16">
        <f xml:space="preserve"> SUMIFS('FS Semi'!$J70:$CV70, 'FS Semi'!$J$4:$CV$4, 'FS Ann'!AB$4)</f>
        <v>-2.3288360145423112E-6</v>
      </c>
      <c r="AC70" s="16">
        <f xml:space="preserve"> SUMIFS('FS Semi'!$J70:$CV70, 'FS Semi'!$J$4:$CV$4, 'FS Ann'!AC$4)</f>
        <v>-2.3224730746118692E-6</v>
      </c>
      <c r="AD70" s="16">
        <f xml:space="preserve"> SUMIFS('FS Semi'!$J70:$CV70, 'FS Semi'!$J$4:$CV$4, 'FS Ann'!AD$4)</f>
        <v>-7.5927004362311083E-7</v>
      </c>
      <c r="AE70" s="16">
        <f xml:space="preserve"> SUMIFS('FS Semi'!$J70:$CV70, 'FS Semi'!$J$4:$CV$4, 'FS Ann'!AE$4)</f>
        <v>-7.5927004362311083E-7</v>
      </c>
      <c r="AF70" s="16">
        <f xml:space="preserve"> SUMIFS('FS Semi'!$J70:$CV70, 'FS Semi'!$J$4:$CV$4, 'FS Ann'!AF$4)</f>
        <v>-7.6135023552344945E-7</v>
      </c>
      <c r="AG70" s="16">
        <f xml:space="preserve"> SUMIFS('FS Semi'!$J70:$CV70, 'FS Semi'!$J$4:$CV$4, 'FS Ann'!AG$4)</f>
        <v>0</v>
      </c>
      <c r="AH70" s="16">
        <f xml:space="preserve"> SUMIFS('FS Semi'!$J70:$CV70, 'FS Semi'!$J$4:$CV$4, 'FS Ann'!AH$4)</f>
        <v>0</v>
      </c>
      <c r="AI70" s="16">
        <f xml:space="preserve"> SUMIFS('FS Semi'!$J70:$CV70, 'FS Semi'!$J$4:$CV$4, 'FS Ann'!AI$4)</f>
        <v>0</v>
      </c>
      <c r="AJ70" s="16">
        <f xml:space="preserve"> SUMIFS('FS Semi'!$J70:$CV70, 'FS Semi'!$J$4:$CV$4, 'FS Ann'!AJ$4)</f>
        <v>0</v>
      </c>
      <c r="AK70" s="16">
        <f xml:space="preserve"> SUMIFS('FS Semi'!$J70:$CV70, 'FS Semi'!$J$4:$CV$4, 'FS Ann'!AK$4)</f>
        <v>0</v>
      </c>
      <c r="AL70" s="16">
        <f xml:space="preserve"> SUMIFS('FS Semi'!$J70:$CV70, 'FS Semi'!$J$4:$CV$4, 'FS Ann'!AL$4)</f>
        <v>0</v>
      </c>
      <c r="AM70" s="16">
        <f xml:space="preserve"> SUMIFS('FS Semi'!$J70:$CV70, 'FS Semi'!$J$4:$CV$4, 'FS Ann'!AM$4)</f>
        <v>0</v>
      </c>
      <c r="AN70" s="16">
        <f xml:space="preserve"> SUMIFS('FS Semi'!$J70:$CV70, 'FS Semi'!$J$4:$CV$4, 'FS Ann'!AN$4)</f>
        <v>0</v>
      </c>
      <c r="AO70" s="16">
        <f xml:space="preserve"> SUMIFS('FS Semi'!$J70:$CV70, 'FS Semi'!$J$4:$CV$4, 'FS Ann'!AO$4)</f>
        <v>0</v>
      </c>
      <c r="AP70" s="16">
        <f xml:space="preserve"> SUMIFS('FS Semi'!$J70:$CV70, 'FS Semi'!$J$4:$CV$4, 'FS Ann'!AP$4)</f>
        <v>0</v>
      </c>
      <c r="AQ70" s="16">
        <f xml:space="preserve"> SUMIFS('FS Semi'!$J70:$CV70, 'FS Semi'!$J$4:$CV$4, 'FS Ann'!AQ$4)</f>
        <v>0</v>
      </c>
      <c r="AR70" s="16">
        <f xml:space="preserve"> SUMIFS('FS Semi'!$J70:$CV70, 'FS Semi'!$J$4:$CV$4, 'FS Ann'!AR$4)</f>
        <v>0</v>
      </c>
      <c r="AS70" s="16">
        <f xml:space="preserve"> SUMIFS('FS Semi'!$J70:$CV70, 'FS Semi'!$J$4:$CV$4, 'FS Ann'!AS$4)</f>
        <v>0</v>
      </c>
      <c r="AT70" s="16">
        <f xml:space="preserve"> SUMIFS('FS Semi'!$J70:$CV70, 'FS Semi'!$J$4:$CV$4, 'FS Ann'!AT$4)</f>
        <v>0</v>
      </c>
      <c r="AU70" s="16">
        <f xml:space="preserve"> SUMIFS('FS Semi'!$J70:$CV70, 'FS Semi'!$J$4:$CV$4, 'FS Ann'!AU$4)</f>
        <v>0</v>
      </c>
      <c r="AV70" s="16">
        <f xml:space="preserve"> SUMIFS('FS Semi'!$J70:$CV70, 'FS Semi'!$J$4:$CV$4, 'FS Ann'!AV$4)</f>
        <v>0</v>
      </c>
      <c r="AW70" s="16">
        <f xml:space="preserve"> SUMIFS('FS Semi'!$J70:$CV70, 'FS Semi'!$J$4:$CV$4, 'FS Ann'!AW$4)</f>
        <v>0</v>
      </c>
      <c r="AX70" s="16">
        <f xml:space="preserve"> SUMIFS('FS Semi'!$J70:$CV70, 'FS Semi'!$J$4:$CV$4, 'FS Ann'!AX$4)</f>
        <v>0</v>
      </c>
      <c r="AY70" s="16">
        <f xml:space="preserve"> SUMIFS('FS Semi'!$J70:$CV70, 'FS Semi'!$J$4:$CV$4, 'FS Ann'!AY$4)</f>
        <v>0</v>
      </c>
      <c r="AZ70" s="16">
        <f xml:space="preserve"> SUMIFS('FS Semi'!$J70:$CV70, 'FS Semi'!$J$4:$CV$4, 'FS Ann'!AZ$4)</f>
        <v>0</v>
      </c>
      <c r="BA70" s="16">
        <f xml:space="preserve"> SUMIFS('FS Semi'!$J70:$CV70, 'FS Semi'!$J$4:$CV$4, 'FS Ann'!BA$4)</f>
        <v>0</v>
      </c>
      <c r="BB70" s="16">
        <f xml:space="preserve"> SUMIFS('FS Semi'!$J70:$CV70, 'FS Semi'!$J$4:$CV$4, 'FS Ann'!BB$4)</f>
        <v>0</v>
      </c>
      <c r="BC70" s="16">
        <f xml:space="preserve"> SUMIFS('FS Semi'!$J70:$CV70, 'FS Semi'!$J$4:$CV$4, 'FS Ann'!BC$4)</f>
        <v>0</v>
      </c>
      <c r="BD70" s="16">
        <f xml:space="preserve"> SUMIFS('FS Semi'!$J70:$CV70, 'FS Semi'!$J$4:$CV$4, 'FS Ann'!BD$4)</f>
        <v>0</v>
      </c>
    </row>
    <row r="71" spans="1:56" outlineLevel="1" x14ac:dyDescent="0.2">
      <c r="A71" s="1"/>
      <c r="B71" s="1"/>
      <c r="C71" s="19"/>
      <c r="D71" s="83"/>
      <c r="E71" s="16" t="str">
        <f xml:space="preserve"> 'FS Semi'!E71</f>
        <v>Standby debt interest - T1</v>
      </c>
      <c r="F71" s="16">
        <f xml:space="preserve"> 'FS Semi'!F71</f>
        <v>0</v>
      </c>
      <c r="G71" s="381" t="str">
        <f xml:space="preserve"> 'FS Semi'!G71</f>
        <v>$ 000s</v>
      </c>
      <c r="H71" s="16">
        <f t="shared" ref="H71" si="23" xml:space="preserve"> SUM(J71:BB71)</f>
        <v>0</v>
      </c>
      <c r="I71" s="16"/>
      <c r="J71" s="16">
        <f xml:space="preserve"> SUMIFS('FS Semi'!$J71:$CV71, 'FS Semi'!$J$4:$CV$4, 'FS Ann'!J$4)</f>
        <v>0</v>
      </c>
      <c r="K71" s="16">
        <f xml:space="preserve"> SUMIFS('FS Semi'!$J71:$CV71, 'FS Semi'!$J$4:$CV$4, 'FS Ann'!K$4)</f>
        <v>0</v>
      </c>
      <c r="L71" s="16">
        <f xml:space="preserve"> SUMIFS('FS Semi'!$J71:$CV71, 'FS Semi'!$J$4:$CV$4, 'FS Ann'!L$4)</f>
        <v>0</v>
      </c>
      <c r="M71" s="16">
        <f xml:space="preserve"> SUMIFS('FS Semi'!$J71:$CV71, 'FS Semi'!$J$4:$CV$4, 'FS Ann'!M$4)</f>
        <v>0</v>
      </c>
      <c r="N71" s="16">
        <f xml:space="preserve"> SUMIFS('FS Semi'!$J71:$CV71, 'FS Semi'!$J$4:$CV$4, 'FS Ann'!N$4)</f>
        <v>0</v>
      </c>
      <c r="O71" s="16">
        <f xml:space="preserve"> SUMIFS('FS Semi'!$J71:$CV71, 'FS Semi'!$J$4:$CV$4, 'FS Ann'!O$4)</f>
        <v>0</v>
      </c>
      <c r="P71" s="16">
        <f xml:space="preserve"> SUMIFS('FS Semi'!$J71:$CV71, 'FS Semi'!$J$4:$CV$4, 'FS Ann'!P$4)</f>
        <v>0</v>
      </c>
      <c r="Q71" s="16">
        <f xml:space="preserve"> SUMIFS('FS Semi'!$J71:$CV71, 'FS Semi'!$J$4:$CV$4, 'FS Ann'!Q$4)</f>
        <v>0</v>
      </c>
      <c r="R71" s="16">
        <f xml:space="preserve"> SUMIFS('FS Semi'!$J71:$CV71, 'FS Semi'!$J$4:$CV$4, 'FS Ann'!R$4)</f>
        <v>0</v>
      </c>
      <c r="S71" s="16">
        <f xml:space="preserve"> SUMIFS('FS Semi'!$J71:$CV71, 'FS Semi'!$J$4:$CV$4, 'FS Ann'!S$4)</f>
        <v>0</v>
      </c>
      <c r="T71" s="16">
        <f xml:space="preserve"> SUMIFS('FS Semi'!$J71:$CV71, 'FS Semi'!$J$4:$CV$4, 'FS Ann'!T$4)</f>
        <v>0</v>
      </c>
      <c r="U71" s="16">
        <f xml:space="preserve"> SUMIFS('FS Semi'!$J71:$CV71, 'FS Semi'!$J$4:$CV$4, 'FS Ann'!U$4)</f>
        <v>0</v>
      </c>
      <c r="V71" s="16">
        <f xml:space="preserve"> SUMIFS('FS Semi'!$J71:$CV71, 'FS Semi'!$J$4:$CV$4, 'FS Ann'!V$4)</f>
        <v>0</v>
      </c>
      <c r="W71" s="16">
        <f xml:space="preserve"> SUMIFS('FS Semi'!$J71:$CV71, 'FS Semi'!$J$4:$CV$4, 'FS Ann'!W$4)</f>
        <v>0</v>
      </c>
      <c r="X71" s="16">
        <f xml:space="preserve"> SUMIFS('FS Semi'!$J71:$CV71, 'FS Semi'!$J$4:$CV$4, 'FS Ann'!X$4)</f>
        <v>0</v>
      </c>
      <c r="Y71" s="16">
        <f xml:space="preserve"> SUMIFS('FS Semi'!$J71:$CV71, 'FS Semi'!$J$4:$CV$4, 'FS Ann'!Y$4)</f>
        <v>0</v>
      </c>
      <c r="Z71" s="16">
        <f xml:space="preserve"> SUMIFS('FS Semi'!$J71:$CV71, 'FS Semi'!$J$4:$CV$4, 'FS Ann'!Z$4)</f>
        <v>0</v>
      </c>
      <c r="AA71" s="16">
        <f xml:space="preserve"> SUMIFS('FS Semi'!$J71:$CV71, 'FS Semi'!$J$4:$CV$4, 'FS Ann'!AA$4)</f>
        <v>0</v>
      </c>
      <c r="AB71" s="16">
        <f xml:space="preserve"> SUMIFS('FS Semi'!$J71:$CV71, 'FS Semi'!$J$4:$CV$4, 'FS Ann'!AB$4)</f>
        <v>0</v>
      </c>
      <c r="AC71" s="16">
        <f xml:space="preserve"> SUMIFS('FS Semi'!$J71:$CV71, 'FS Semi'!$J$4:$CV$4, 'FS Ann'!AC$4)</f>
        <v>0</v>
      </c>
      <c r="AD71" s="16">
        <f xml:space="preserve"> SUMIFS('FS Semi'!$J71:$CV71, 'FS Semi'!$J$4:$CV$4, 'FS Ann'!AD$4)</f>
        <v>0</v>
      </c>
      <c r="AE71" s="16">
        <f xml:space="preserve"> SUMIFS('FS Semi'!$J71:$CV71, 'FS Semi'!$J$4:$CV$4, 'FS Ann'!AE$4)</f>
        <v>0</v>
      </c>
      <c r="AF71" s="16">
        <f xml:space="preserve"> SUMIFS('FS Semi'!$J71:$CV71, 'FS Semi'!$J$4:$CV$4, 'FS Ann'!AF$4)</f>
        <v>0</v>
      </c>
      <c r="AG71" s="16">
        <f xml:space="preserve"> SUMIFS('FS Semi'!$J71:$CV71, 'FS Semi'!$J$4:$CV$4, 'FS Ann'!AG$4)</f>
        <v>0</v>
      </c>
      <c r="AH71" s="16">
        <f xml:space="preserve"> SUMIFS('FS Semi'!$J71:$CV71, 'FS Semi'!$J$4:$CV$4, 'FS Ann'!AH$4)</f>
        <v>0</v>
      </c>
      <c r="AI71" s="16">
        <f xml:space="preserve"> SUMIFS('FS Semi'!$J71:$CV71, 'FS Semi'!$J$4:$CV$4, 'FS Ann'!AI$4)</f>
        <v>0</v>
      </c>
      <c r="AJ71" s="16">
        <f xml:space="preserve"> SUMIFS('FS Semi'!$J71:$CV71, 'FS Semi'!$J$4:$CV$4, 'FS Ann'!AJ$4)</f>
        <v>0</v>
      </c>
      <c r="AK71" s="16">
        <f xml:space="preserve"> SUMIFS('FS Semi'!$J71:$CV71, 'FS Semi'!$J$4:$CV$4, 'FS Ann'!AK$4)</f>
        <v>0</v>
      </c>
      <c r="AL71" s="16">
        <f xml:space="preserve"> SUMIFS('FS Semi'!$J71:$CV71, 'FS Semi'!$J$4:$CV$4, 'FS Ann'!AL$4)</f>
        <v>0</v>
      </c>
      <c r="AM71" s="16">
        <f xml:space="preserve"> SUMIFS('FS Semi'!$J71:$CV71, 'FS Semi'!$J$4:$CV$4, 'FS Ann'!AM$4)</f>
        <v>0</v>
      </c>
      <c r="AN71" s="16">
        <f xml:space="preserve"> SUMIFS('FS Semi'!$J71:$CV71, 'FS Semi'!$J$4:$CV$4, 'FS Ann'!AN$4)</f>
        <v>0</v>
      </c>
      <c r="AO71" s="16">
        <f xml:space="preserve"> SUMIFS('FS Semi'!$J71:$CV71, 'FS Semi'!$J$4:$CV$4, 'FS Ann'!AO$4)</f>
        <v>0</v>
      </c>
      <c r="AP71" s="16">
        <f xml:space="preserve"> SUMIFS('FS Semi'!$J71:$CV71, 'FS Semi'!$J$4:$CV$4, 'FS Ann'!AP$4)</f>
        <v>0</v>
      </c>
      <c r="AQ71" s="16">
        <f xml:space="preserve"> SUMIFS('FS Semi'!$J71:$CV71, 'FS Semi'!$J$4:$CV$4, 'FS Ann'!AQ$4)</f>
        <v>0</v>
      </c>
      <c r="AR71" s="16">
        <f xml:space="preserve"> SUMIFS('FS Semi'!$J71:$CV71, 'FS Semi'!$J$4:$CV$4, 'FS Ann'!AR$4)</f>
        <v>0</v>
      </c>
      <c r="AS71" s="16">
        <f xml:space="preserve"> SUMIFS('FS Semi'!$J71:$CV71, 'FS Semi'!$J$4:$CV$4, 'FS Ann'!AS$4)</f>
        <v>0</v>
      </c>
      <c r="AT71" s="16">
        <f xml:space="preserve"> SUMIFS('FS Semi'!$J71:$CV71, 'FS Semi'!$J$4:$CV$4, 'FS Ann'!AT$4)</f>
        <v>0</v>
      </c>
      <c r="AU71" s="16">
        <f xml:space="preserve"> SUMIFS('FS Semi'!$J71:$CV71, 'FS Semi'!$J$4:$CV$4, 'FS Ann'!AU$4)</f>
        <v>0</v>
      </c>
      <c r="AV71" s="16">
        <f xml:space="preserve"> SUMIFS('FS Semi'!$J71:$CV71, 'FS Semi'!$J$4:$CV$4, 'FS Ann'!AV$4)</f>
        <v>0</v>
      </c>
      <c r="AW71" s="16">
        <f xml:space="preserve"> SUMIFS('FS Semi'!$J71:$CV71, 'FS Semi'!$J$4:$CV$4, 'FS Ann'!AW$4)</f>
        <v>0</v>
      </c>
      <c r="AX71" s="16">
        <f xml:space="preserve"> SUMIFS('FS Semi'!$J71:$CV71, 'FS Semi'!$J$4:$CV$4, 'FS Ann'!AX$4)</f>
        <v>0</v>
      </c>
      <c r="AY71" s="16">
        <f xml:space="preserve"> SUMIFS('FS Semi'!$J71:$CV71, 'FS Semi'!$J$4:$CV$4, 'FS Ann'!AY$4)</f>
        <v>0</v>
      </c>
      <c r="AZ71" s="16">
        <f xml:space="preserve"> SUMIFS('FS Semi'!$J71:$CV71, 'FS Semi'!$J$4:$CV$4, 'FS Ann'!AZ$4)</f>
        <v>0</v>
      </c>
      <c r="BA71" s="16">
        <f xml:space="preserve"> SUMIFS('FS Semi'!$J71:$CV71, 'FS Semi'!$J$4:$CV$4, 'FS Ann'!BA$4)</f>
        <v>0</v>
      </c>
      <c r="BB71" s="16">
        <f xml:space="preserve"> SUMIFS('FS Semi'!$J71:$CV71, 'FS Semi'!$J$4:$CV$4, 'FS Ann'!BB$4)</f>
        <v>0</v>
      </c>
    </row>
    <row r="72" spans="1:56" outlineLevel="1" x14ac:dyDescent="0.2">
      <c r="A72" s="1"/>
      <c r="B72" s="1"/>
      <c r="C72" s="19"/>
      <c r="D72" s="83"/>
      <c r="E72" s="16" t="str">
        <f xml:space="preserve"> 'FS Semi'!E72</f>
        <v>Standby debt interest - T2</v>
      </c>
      <c r="F72" s="16">
        <f xml:space="preserve"> 'FS Semi'!F72</f>
        <v>0</v>
      </c>
      <c r="G72" s="381" t="str">
        <f xml:space="preserve"> 'FS Semi'!G72</f>
        <v>$ 000s</v>
      </c>
      <c r="H72" s="16">
        <f t="shared" ref="H72" si="24" xml:space="preserve"> SUM(J72:BB72)</f>
        <v>0</v>
      </c>
      <c r="I72" s="16"/>
      <c r="J72" s="16">
        <f xml:space="preserve"> SUMIFS('FS Semi'!$J72:$CV72, 'FS Semi'!$J$4:$CV$4, 'FS Ann'!J$4)</f>
        <v>0</v>
      </c>
      <c r="K72" s="16">
        <f xml:space="preserve"> SUMIFS('FS Semi'!$J72:$CV72, 'FS Semi'!$J$4:$CV$4, 'FS Ann'!K$4)</f>
        <v>0</v>
      </c>
      <c r="L72" s="16">
        <f xml:space="preserve"> SUMIFS('FS Semi'!$J72:$CV72, 'FS Semi'!$J$4:$CV$4, 'FS Ann'!L$4)</f>
        <v>0</v>
      </c>
      <c r="M72" s="16">
        <f xml:space="preserve"> SUMIFS('FS Semi'!$J72:$CV72, 'FS Semi'!$J$4:$CV$4, 'FS Ann'!M$4)</f>
        <v>0</v>
      </c>
      <c r="N72" s="16">
        <f xml:space="preserve"> SUMIFS('FS Semi'!$J72:$CV72, 'FS Semi'!$J$4:$CV$4, 'FS Ann'!N$4)</f>
        <v>0</v>
      </c>
      <c r="O72" s="16">
        <f xml:space="preserve"> SUMIFS('FS Semi'!$J72:$CV72, 'FS Semi'!$J$4:$CV$4, 'FS Ann'!O$4)</f>
        <v>0</v>
      </c>
      <c r="P72" s="16">
        <f xml:space="preserve"> SUMIFS('FS Semi'!$J72:$CV72, 'FS Semi'!$J$4:$CV$4, 'FS Ann'!P$4)</f>
        <v>0</v>
      </c>
      <c r="Q72" s="16">
        <f xml:space="preserve"> SUMIFS('FS Semi'!$J72:$CV72, 'FS Semi'!$J$4:$CV$4, 'FS Ann'!Q$4)</f>
        <v>0</v>
      </c>
      <c r="R72" s="16">
        <f xml:space="preserve"> SUMIFS('FS Semi'!$J72:$CV72, 'FS Semi'!$J$4:$CV$4, 'FS Ann'!R$4)</f>
        <v>0</v>
      </c>
      <c r="S72" s="16">
        <f xml:space="preserve"> SUMIFS('FS Semi'!$J72:$CV72, 'FS Semi'!$J$4:$CV$4, 'FS Ann'!S$4)</f>
        <v>0</v>
      </c>
      <c r="T72" s="16">
        <f xml:space="preserve"> SUMIFS('FS Semi'!$J72:$CV72, 'FS Semi'!$J$4:$CV$4, 'FS Ann'!T$4)</f>
        <v>0</v>
      </c>
      <c r="U72" s="16">
        <f xml:space="preserve"> SUMIFS('FS Semi'!$J72:$CV72, 'FS Semi'!$J$4:$CV$4, 'FS Ann'!U$4)</f>
        <v>0</v>
      </c>
      <c r="V72" s="16">
        <f xml:space="preserve"> SUMIFS('FS Semi'!$J72:$CV72, 'FS Semi'!$J$4:$CV$4, 'FS Ann'!V$4)</f>
        <v>0</v>
      </c>
      <c r="W72" s="16">
        <f xml:space="preserve"> SUMIFS('FS Semi'!$J72:$CV72, 'FS Semi'!$J$4:$CV$4, 'FS Ann'!W$4)</f>
        <v>0</v>
      </c>
      <c r="X72" s="16">
        <f xml:space="preserve"> SUMIFS('FS Semi'!$J72:$CV72, 'FS Semi'!$J$4:$CV$4, 'FS Ann'!X$4)</f>
        <v>0</v>
      </c>
      <c r="Y72" s="16">
        <f xml:space="preserve"> SUMIFS('FS Semi'!$J72:$CV72, 'FS Semi'!$J$4:$CV$4, 'FS Ann'!Y$4)</f>
        <v>0</v>
      </c>
      <c r="Z72" s="16">
        <f xml:space="preserve"> SUMIFS('FS Semi'!$J72:$CV72, 'FS Semi'!$J$4:$CV$4, 'FS Ann'!Z$4)</f>
        <v>0</v>
      </c>
      <c r="AA72" s="16">
        <f xml:space="preserve"> SUMIFS('FS Semi'!$J72:$CV72, 'FS Semi'!$J$4:$CV$4, 'FS Ann'!AA$4)</f>
        <v>0</v>
      </c>
      <c r="AB72" s="16">
        <f xml:space="preserve"> SUMIFS('FS Semi'!$J72:$CV72, 'FS Semi'!$J$4:$CV$4, 'FS Ann'!AB$4)</f>
        <v>0</v>
      </c>
      <c r="AC72" s="16">
        <f xml:space="preserve"> SUMIFS('FS Semi'!$J72:$CV72, 'FS Semi'!$J$4:$CV$4, 'FS Ann'!AC$4)</f>
        <v>0</v>
      </c>
      <c r="AD72" s="16">
        <f xml:space="preserve"> SUMIFS('FS Semi'!$J72:$CV72, 'FS Semi'!$J$4:$CV$4, 'FS Ann'!AD$4)</f>
        <v>0</v>
      </c>
      <c r="AE72" s="16">
        <f xml:space="preserve"> SUMIFS('FS Semi'!$J72:$CV72, 'FS Semi'!$J$4:$CV$4, 'FS Ann'!AE$4)</f>
        <v>0</v>
      </c>
      <c r="AF72" s="16">
        <f xml:space="preserve"> SUMIFS('FS Semi'!$J72:$CV72, 'FS Semi'!$J$4:$CV$4, 'FS Ann'!AF$4)</f>
        <v>0</v>
      </c>
      <c r="AG72" s="16">
        <f xml:space="preserve"> SUMIFS('FS Semi'!$J72:$CV72, 'FS Semi'!$J$4:$CV$4, 'FS Ann'!AG$4)</f>
        <v>0</v>
      </c>
      <c r="AH72" s="16">
        <f xml:space="preserve"> SUMIFS('FS Semi'!$J72:$CV72, 'FS Semi'!$J$4:$CV$4, 'FS Ann'!AH$4)</f>
        <v>0</v>
      </c>
      <c r="AI72" s="16">
        <f xml:space="preserve"> SUMIFS('FS Semi'!$J72:$CV72, 'FS Semi'!$J$4:$CV$4, 'FS Ann'!AI$4)</f>
        <v>0</v>
      </c>
      <c r="AJ72" s="16">
        <f xml:space="preserve"> SUMIFS('FS Semi'!$J72:$CV72, 'FS Semi'!$J$4:$CV$4, 'FS Ann'!AJ$4)</f>
        <v>0</v>
      </c>
      <c r="AK72" s="16">
        <f xml:space="preserve"> SUMIFS('FS Semi'!$J72:$CV72, 'FS Semi'!$J$4:$CV$4, 'FS Ann'!AK$4)</f>
        <v>0</v>
      </c>
      <c r="AL72" s="16">
        <f xml:space="preserve"> SUMIFS('FS Semi'!$J72:$CV72, 'FS Semi'!$J$4:$CV$4, 'FS Ann'!AL$4)</f>
        <v>0</v>
      </c>
      <c r="AM72" s="16">
        <f xml:space="preserve"> SUMIFS('FS Semi'!$J72:$CV72, 'FS Semi'!$J$4:$CV$4, 'FS Ann'!AM$4)</f>
        <v>0</v>
      </c>
      <c r="AN72" s="16">
        <f xml:space="preserve"> SUMIFS('FS Semi'!$J72:$CV72, 'FS Semi'!$J$4:$CV$4, 'FS Ann'!AN$4)</f>
        <v>0</v>
      </c>
      <c r="AO72" s="16">
        <f xml:space="preserve"> SUMIFS('FS Semi'!$J72:$CV72, 'FS Semi'!$J$4:$CV$4, 'FS Ann'!AO$4)</f>
        <v>0</v>
      </c>
      <c r="AP72" s="16">
        <f xml:space="preserve"> SUMIFS('FS Semi'!$J72:$CV72, 'FS Semi'!$J$4:$CV$4, 'FS Ann'!AP$4)</f>
        <v>0</v>
      </c>
      <c r="AQ72" s="16">
        <f xml:space="preserve"> SUMIFS('FS Semi'!$J72:$CV72, 'FS Semi'!$J$4:$CV$4, 'FS Ann'!AQ$4)</f>
        <v>0</v>
      </c>
      <c r="AR72" s="16">
        <f xml:space="preserve"> SUMIFS('FS Semi'!$J72:$CV72, 'FS Semi'!$J$4:$CV$4, 'FS Ann'!AR$4)</f>
        <v>0</v>
      </c>
      <c r="AS72" s="16">
        <f xml:space="preserve"> SUMIFS('FS Semi'!$J72:$CV72, 'FS Semi'!$J$4:$CV$4, 'FS Ann'!AS$4)</f>
        <v>0</v>
      </c>
      <c r="AT72" s="16">
        <f xml:space="preserve"> SUMIFS('FS Semi'!$J72:$CV72, 'FS Semi'!$J$4:$CV$4, 'FS Ann'!AT$4)</f>
        <v>0</v>
      </c>
      <c r="AU72" s="16">
        <f xml:space="preserve"> SUMIFS('FS Semi'!$J72:$CV72, 'FS Semi'!$J$4:$CV$4, 'FS Ann'!AU$4)</f>
        <v>0</v>
      </c>
      <c r="AV72" s="16">
        <f xml:space="preserve"> SUMIFS('FS Semi'!$J72:$CV72, 'FS Semi'!$J$4:$CV$4, 'FS Ann'!AV$4)</f>
        <v>0</v>
      </c>
      <c r="AW72" s="16">
        <f xml:space="preserve"> SUMIFS('FS Semi'!$J72:$CV72, 'FS Semi'!$J$4:$CV$4, 'FS Ann'!AW$4)</f>
        <v>0</v>
      </c>
      <c r="AX72" s="16">
        <f xml:space="preserve"> SUMIFS('FS Semi'!$J72:$CV72, 'FS Semi'!$J$4:$CV$4, 'FS Ann'!AX$4)</f>
        <v>0</v>
      </c>
      <c r="AY72" s="16">
        <f xml:space="preserve"> SUMIFS('FS Semi'!$J72:$CV72, 'FS Semi'!$J$4:$CV$4, 'FS Ann'!AY$4)</f>
        <v>0</v>
      </c>
      <c r="AZ72" s="16">
        <f xml:space="preserve"> SUMIFS('FS Semi'!$J72:$CV72, 'FS Semi'!$J$4:$CV$4, 'FS Ann'!AZ$4)</f>
        <v>0</v>
      </c>
      <c r="BA72" s="16">
        <f xml:space="preserve"> SUMIFS('FS Semi'!$J72:$CV72, 'FS Semi'!$J$4:$CV$4, 'FS Ann'!BA$4)</f>
        <v>0</v>
      </c>
      <c r="BB72" s="16">
        <f xml:space="preserve"> SUMIFS('FS Semi'!$J72:$CV72, 'FS Semi'!$J$4:$CV$4, 'FS Ann'!BB$4)</f>
        <v>0</v>
      </c>
    </row>
    <row r="73" spans="1:56" outlineLevel="1" x14ac:dyDescent="0.2">
      <c r="A73" s="1"/>
      <c r="B73" s="1"/>
      <c r="C73" s="19"/>
      <c r="D73" s="83"/>
      <c r="E73" s="16" t="str">
        <f xml:space="preserve"> 'FS Semi'!E73</f>
        <v>Senior debt principal repayment - T1</v>
      </c>
      <c r="F73" s="16">
        <f xml:space="preserve"> 'FS Semi'!F73</f>
        <v>0</v>
      </c>
      <c r="G73" s="381" t="str">
        <f xml:space="preserve"> 'FS Semi'!G73</f>
        <v>$ 000s</v>
      </c>
      <c r="H73" s="16">
        <f t="shared" ref="H73" si="25" xml:space="preserve"> SUM(J73:BB73)</f>
        <v>-125194.95159167379</v>
      </c>
      <c r="I73" s="16"/>
      <c r="J73" s="16">
        <f xml:space="preserve"> SUMIFS('FS Semi'!$J73:$CV73, 'FS Semi'!$J$4:$CV$4, 'FS Ann'!J$4)</f>
        <v>0</v>
      </c>
      <c r="K73" s="16">
        <f xml:space="preserve"> SUMIFS('FS Semi'!$J73:$CV73, 'FS Semi'!$J$4:$CV$4, 'FS Ann'!K$4)</f>
        <v>0</v>
      </c>
      <c r="L73" s="16">
        <f xml:space="preserve"> SUMIFS('FS Semi'!$J73:$CV73, 'FS Semi'!$J$4:$CV$4, 'FS Ann'!L$4)</f>
        <v>0</v>
      </c>
      <c r="M73" s="16">
        <f xml:space="preserve"> SUMIFS('FS Semi'!$J73:$CV73, 'FS Semi'!$J$4:$CV$4, 'FS Ann'!M$4)</f>
        <v>-5272.790842497935</v>
      </c>
      <c r="N73" s="16">
        <f xml:space="preserve"> SUMIFS('FS Semi'!$J73:$CV73, 'FS Semi'!$J$4:$CV$4, 'FS Ann'!N$4)</f>
        <v>-4872.6327596489482</v>
      </c>
      <c r="O73" s="16">
        <f xml:space="preserve"> SUMIFS('FS Semi'!$J73:$CV73, 'FS Semi'!$J$4:$CV$4, 'FS Ann'!O$4)</f>
        <v>-5025.3367422766678</v>
      </c>
      <c r="P73" s="16">
        <f xml:space="preserve"> SUMIFS('FS Semi'!$J73:$CV73, 'FS Semi'!$J$4:$CV$4, 'FS Ann'!P$4)</f>
        <v>-5179.7891424917525</v>
      </c>
      <c r="Q73" s="16">
        <f xml:space="preserve"> SUMIFS('FS Semi'!$J73:$CV73, 'FS Semi'!$J$4:$CV$4, 'FS Ann'!Q$4)</f>
        <v>-5342.7764278920713</v>
      </c>
      <c r="R73" s="16">
        <f xml:space="preserve"> SUMIFS('FS Semi'!$J73:$CV73, 'FS Semi'!$J$4:$CV$4, 'FS Ann'!R$4)</f>
        <v>-5363.9311560854894</v>
      </c>
      <c r="S73" s="16">
        <f xml:space="preserve"> SUMIFS('FS Semi'!$J73:$CV73, 'FS Semi'!$J$4:$CV$4, 'FS Ann'!S$4)</f>
        <v>-5546.5282171997587</v>
      </c>
      <c r="T73" s="16">
        <f xml:space="preserve"> SUMIFS('FS Semi'!$J73:$CV73, 'FS Semi'!$J$4:$CV$4, 'FS Ann'!T$4)</f>
        <v>-5734.6988408935003</v>
      </c>
      <c r="U73" s="16">
        <f xml:space="preserve"> SUMIFS('FS Semi'!$J73:$CV73, 'FS Semi'!$J$4:$CV$4, 'FS Ann'!U$4)</f>
        <v>-5929.1651355480935</v>
      </c>
      <c r="V73" s="16">
        <f xml:space="preserve"> SUMIFS('FS Semi'!$J73:$CV73, 'FS Semi'!$J$4:$CV$4, 'FS Ann'!V$4)</f>
        <v>-6142.0294920002234</v>
      </c>
      <c r="W73" s="16">
        <f xml:space="preserve"> SUMIFS('FS Semi'!$J73:$CV73, 'FS Semi'!$J$4:$CV$4, 'FS Ann'!W$4)</f>
        <v>-6241.1193267578656</v>
      </c>
      <c r="X73" s="16">
        <f xml:space="preserve"> SUMIFS('FS Semi'!$J73:$CV73, 'FS Semi'!$J$4:$CV$4, 'FS Ann'!X$4)</f>
        <v>-6477.9003574148628</v>
      </c>
      <c r="Y73" s="16">
        <f xml:space="preserve"> SUMIFS('FS Semi'!$J73:$CV73, 'FS Semi'!$J$4:$CV$4, 'FS Ann'!Y$4)</f>
        <v>-6718.6568444033219</v>
      </c>
      <c r="Z73" s="16">
        <f xml:space="preserve"> SUMIFS('FS Semi'!$J73:$CV73, 'FS Semi'!$J$4:$CV$4, 'FS Ann'!Z$4)</f>
        <v>-6982.8798035059144</v>
      </c>
      <c r="AA73" s="16">
        <f xml:space="preserve"> SUMIFS('FS Semi'!$J73:$CV73, 'FS Semi'!$J$4:$CV$4, 'FS Ann'!AA$4)</f>
        <v>-7253.4286387363209</v>
      </c>
      <c r="AB73" s="16">
        <f xml:space="preserve"> SUMIFS('FS Semi'!$J73:$CV73, 'FS Semi'!$J$4:$CV$4, 'FS Ann'!AB$4)</f>
        <v>-18242.208733285072</v>
      </c>
      <c r="AC73" s="16">
        <f xml:space="preserve"> SUMIFS('FS Semi'!$J73:$CV73, 'FS Semi'!$J$4:$CV$4, 'FS Ann'!AC$4)</f>
        <v>-18869.079131035993</v>
      </c>
      <c r="AD73" s="16">
        <f xml:space="preserve"> SUMIFS('FS Semi'!$J73:$CV73, 'FS Semi'!$J$4:$CV$4, 'FS Ann'!AD$4)</f>
        <v>0</v>
      </c>
      <c r="AE73" s="16">
        <f xml:space="preserve"> SUMIFS('FS Semi'!$J73:$CV73, 'FS Semi'!$J$4:$CV$4, 'FS Ann'!AE$4)</f>
        <v>0</v>
      </c>
      <c r="AF73" s="16">
        <f xml:space="preserve"> SUMIFS('FS Semi'!$J73:$CV73, 'FS Semi'!$J$4:$CV$4, 'FS Ann'!AF$4)</f>
        <v>0</v>
      </c>
      <c r="AG73" s="16">
        <f xml:space="preserve"> SUMIFS('FS Semi'!$J73:$CV73, 'FS Semi'!$J$4:$CV$4, 'FS Ann'!AG$4)</f>
        <v>0</v>
      </c>
      <c r="AH73" s="16">
        <f xml:space="preserve"> SUMIFS('FS Semi'!$J73:$CV73, 'FS Semi'!$J$4:$CV$4, 'FS Ann'!AH$4)</f>
        <v>0</v>
      </c>
      <c r="AI73" s="16">
        <f xml:space="preserve"> SUMIFS('FS Semi'!$J73:$CV73, 'FS Semi'!$J$4:$CV$4, 'FS Ann'!AI$4)</f>
        <v>0</v>
      </c>
      <c r="AJ73" s="16">
        <f xml:space="preserve"> SUMIFS('FS Semi'!$J73:$CV73, 'FS Semi'!$J$4:$CV$4, 'FS Ann'!AJ$4)</f>
        <v>0</v>
      </c>
      <c r="AK73" s="16">
        <f xml:space="preserve"> SUMIFS('FS Semi'!$J73:$CV73, 'FS Semi'!$J$4:$CV$4, 'FS Ann'!AK$4)</f>
        <v>0</v>
      </c>
      <c r="AL73" s="16">
        <f xml:space="preserve"> SUMIFS('FS Semi'!$J73:$CV73, 'FS Semi'!$J$4:$CV$4, 'FS Ann'!AL$4)</f>
        <v>0</v>
      </c>
      <c r="AM73" s="16">
        <f xml:space="preserve"> SUMIFS('FS Semi'!$J73:$CV73, 'FS Semi'!$J$4:$CV$4, 'FS Ann'!AM$4)</f>
        <v>0</v>
      </c>
      <c r="AN73" s="16">
        <f xml:space="preserve"> SUMIFS('FS Semi'!$J73:$CV73, 'FS Semi'!$J$4:$CV$4, 'FS Ann'!AN$4)</f>
        <v>0</v>
      </c>
      <c r="AO73" s="16">
        <f xml:space="preserve"> SUMIFS('FS Semi'!$J73:$CV73, 'FS Semi'!$J$4:$CV$4, 'FS Ann'!AO$4)</f>
        <v>0</v>
      </c>
      <c r="AP73" s="16">
        <f xml:space="preserve"> SUMIFS('FS Semi'!$J73:$CV73, 'FS Semi'!$J$4:$CV$4, 'FS Ann'!AP$4)</f>
        <v>0</v>
      </c>
      <c r="AQ73" s="16">
        <f xml:space="preserve"> SUMIFS('FS Semi'!$J73:$CV73, 'FS Semi'!$J$4:$CV$4, 'FS Ann'!AQ$4)</f>
        <v>0</v>
      </c>
      <c r="AR73" s="16">
        <f xml:space="preserve"> SUMIFS('FS Semi'!$J73:$CV73, 'FS Semi'!$J$4:$CV$4, 'FS Ann'!AR$4)</f>
        <v>0</v>
      </c>
      <c r="AS73" s="16">
        <f xml:space="preserve"> SUMIFS('FS Semi'!$J73:$CV73, 'FS Semi'!$J$4:$CV$4, 'FS Ann'!AS$4)</f>
        <v>0</v>
      </c>
      <c r="AT73" s="16">
        <f xml:space="preserve"> SUMIFS('FS Semi'!$J73:$CV73, 'FS Semi'!$J$4:$CV$4, 'FS Ann'!AT$4)</f>
        <v>0</v>
      </c>
      <c r="AU73" s="16">
        <f xml:space="preserve"> SUMIFS('FS Semi'!$J73:$CV73, 'FS Semi'!$J$4:$CV$4, 'FS Ann'!AU$4)</f>
        <v>0</v>
      </c>
      <c r="AV73" s="16">
        <f xml:space="preserve"> SUMIFS('FS Semi'!$J73:$CV73, 'FS Semi'!$J$4:$CV$4, 'FS Ann'!AV$4)</f>
        <v>0</v>
      </c>
      <c r="AW73" s="16">
        <f xml:space="preserve"> SUMIFS('FS Semi'!$J73:$CV73, 'FS Semi'!$J$4:$CV$4, 'FS Ann'!AW$4)</f>
        <v>0</v>
      </c>
      <c r="AX73" s="16">
        <f xml:space="preserve"> SUMIFS('FS Semi'!$J73:$CV73, 'FS Semi'!$J$4:$CV$4, 'FS Ann'!AX$4)</f>
        <v>0</v>
      </c>
      <c r="AY73" s="16">
        <f xml:space="preserve"> SUMIFS('FS Semi'!$J73:$CV73, 'FS Semi'!$J$4:$CV$4, 'FS Ann'!AY$4)</f>
        <v>0</v>
      </c>
      <c r="AZ73" s="16">
        <f xml:space="preserve"> SUMIFS('FS Semi'!$J73:$CV73, 'FS Semi'!$J$4:$CV$4, 'FS Ann'!AZ$4)</f>
        <v>0</v>
      </c>
      <c r="BA73" s="16">
        <f xml:space="preserve"> SUMIFS('FS Semi'!$J73:$CV73, 'FS Semi'!$J$4:$CV$4, 'FS Ann'!BA$4)</f>
        <v>0</v>
      </c>
      <c r="BB73" s="16">
        <f xml:space="preserve"> SUMIFS('FS Semi'!$J73:$CV73, 'FS Semi'!$J$4:$CV$4, 'FS Ann'!BB$4)</f>
        <v>0</v>
      </c>
    </row>
    <row r="74" spans="1:56" outlineLevel="1" x14ac:dyDescent="0.2">
      <c r="A74" s="1"/>
      <c r="B74" s="1"/>
      <c r="C74" s="19"/>
      <c r="D74" s="83"/>
      <c r="E74" s="16" t="str">
        <f xml:space="preserve"> 'FS Semi'!E74</f>
        <v>Senior debt principal repayment - T2</v>
      </c>
      <c r="F74" s="16">
        <f xml:space="preserve"> 'FS Semi'!F74</f>
        <v>0</v>
      </c>
      <c r="G74" s="381" t="str">
        <f xml:space="preserve"> 'FS Semi'!G74</f>
        <v>$ 000s</v>
      </c>
      <c r="H74" s="16">
        <f t="shared" ref="H74" si="26" xml:space="preserve"> SUM(J74:BB74)</f>
        <v>-125194.92397164847</v>
      </c>
      <c r="I74" s="16"/>
      <c r="J74" s="16">
        <f xml:space="preserve"> SUMIFS('FS Semi'!$J74:$CV74, 'FS Semi'!$J$4:$CV$4, 'FS Ann'!J$4)</f>
        <v>0</v>
      </c>
      <c r="K74" s="16">
        <f xml:space="preserve"> SUMIFS('FS Semi'!$J74:$CV74, 'FS Semi'!$J$4:$CV$4, 'FS Ann'!K$4)</f>
        <v>0</v>
      </c>
      <c r="L74" s="16">
        <f xml:space="preserve"> SUMIFS('FS Semi'!$J74:$CV74, 'FS Semi'!$J$4:$CV$4, 'FS Ann'!L$4)</f>
        <v>0</v>
      </c>
      <c r="M74" s="16">
        <f xml:space="preserve"> SUMIFS('FS Semi'!$J74:$CV74, 'FS Semi'!$J$4:$CV$4, 'FS Ann'!M$4)</f>
        <v>-7494.3141635007087</v>
      </c>
      <c r="N74" s="16">
        <f xml:space="preserve"> SUMIFS('FS Semi'!$J74:$CV74, 'FS Semi'!$J$4:$CV$4, 'FS Ann'!N$4)</f>
        <v>-6925.5621538887081</v>
      </c>
      <c r="O74" s="16">
        <f xml:space="preserve"> SUMIFS('FS Semi'!$J74:$CV74, 'FS Semi'!$J$4:$CV$4, 'FS Ann'!O$4)</f>
        <v>-7142.6031202411177</v>
      </c>
      <c r="P74" s="16">
        <f xml:space="preserve"> SUMIFS('FS Semi'!$J74:$CV74, 'FS Semi'!$J$4:$CV$4, 'FS Ann'!P$4)</f>
        <v>-7362.1291445220722</v>
      </c>
      <c r="Q74" s="16">
        <f xml:space="preserve"> SUMIFS('FS Semi'!$J74:$CV74, 'FS Semi'!$J$4:$CV$4, 'FS Ann'!Q$4)</f>
        <v>-7593.785957381252</v>
      </c>
      <c r="R74" s="16">
        <f xml:space="preserve"> SUMIFS('FS Semi'!$J74:$CV74, 'FS Semi'!$J$4:$CV$4, 'FS Ann'!R$4)</f>
        <v>-7623.8535598825929</v>
      </c>
      <c r="S74" s="16">
        <f xml:space="preserve"> SUMIFS('FS Semi'!$J74:$CV74, 'FS Semi'!$J$4:$CV$4, 'FS Ann'!S$4)</f>
        <v>-7883.382105997649</v>
      </c>
      <c r="T74" s="16">
        <f xml:space="preserve"> SUMIFS('FS Semi'!$J74:$CV74, 'FS Semi'!$J$4:$CV$4, 'FS Ann'!T$4)</f>
        <v>-8150.8324586527706</v>
      </c>
      <c r="U74" s="16">
        <f xml:space="preserve"> SUMIFS('FS Semi'!$J74:$CV74, 'FS Semi'!$J$4:$CV$4, 'FS Ann'!U$4)</f>
        <v>-8427.2309637114304</v>
      </c>
      <c r="V74" s="16">
        <f xml:space="preserve"> SUMIFS('FS Semi'!$J74:$CV74, 'FS Semi'!$J$4:$CV$4, 'FS Ann'!V$4)</f>
        <v>-8729.7789708514065</v>
      </c>
      <c r="W74" s="16">
        <f xml:space="preserve"> SUMIFS('FS Semi'!$J74:$CV74, 'FS Semi'!$J$4:$CV$4, 'FS Ann'!W$4)</f>
        <v>-8870.6171672194123</v>
      </c>
      <c r="X74" s="16">
        <f xml:space="preserve"> SUMIFS('FS Semi'!$J74:$CV74, 'FS Semi'!$J$4:$CV$4, 'FS Ann'!X$4)</f>
        <v>-9207.158381295023</v>
      </c>
      <c r="Y74" s="16">
        <f xml:space="preserve"> SUMIFS('FS Semi'!$J74:$CV74, 'FS Semi'!$J$4:$CV$4, 'FS Ann'!Y$4)</f>
        <v>-9549.34998424082</v>
      </c>
      <c r="Z74" s="16">
        <f xml:space="preserve"> SUMIFS('FS Semi'!$J74:$CV74, 'FS Semi'!$J$4:$CV$4, 'FS Ann'!Z$4)</f>
        <v>-9924.894913647986</v>
      </c>
      <c r="AA74" s="16">
        <f xml:space="preserve"> SUMIFS('FS Semi'!$J74:$CV74, 'FS Semi'!$J$4:$CV$4, 'FS Ann'!AA$4)</f>
        <v>-10309.430926615512</v>
      </c>
      <c r="AB74" s="16">
        <f xml:space="preserve"> SUMIFS('FS Semi'!$J74:$CV74, 'FS Semi'!$J$4:$CV$4, 'FS Ann'!AB$4)</f>
        <v>0</v>
      </c>
      <c r="AC74" s="16">
        <f xml:space="preserve"> SUMIFS('FS Semi'!$J74:$CV74, 'FS Semi'!$J$4:$CV$4, 'FS Ann'!AC$4)</f>
        <v>0</v>
      </c>
      <c r="AD74" s="16">
        <f xml:space="preserve"> SUMIFS('FS Semi'!$J74:$CV74, 'FS Semi'!$J$4:$CV$4, 'FS Ann'!AD$4)</f>
        <v>0</v>
      </c>
      <c r="AE74" s="16">
        <f xml:space="preserve"> SUMIFS('FS Semi'!$J74:$CV74, 'FS Semi'!$J$4:$CV$4, 'FS Ann'!AE$4)</f>
        <v>0</v>
      </c>
      <c r="AF74" s="16">
        <f xml:space="preserve"> SUMIFS('FS Semi'!$J74:$CV74, 'FS Semi'!$J$4:$CV$4, 'FS Ann'!AF$4)</f>
        <v>0</v>
      </c>
      <c r="AG74" s="16">
        <f xml:space="preserve"> SUMIFS('FS Semi'!$J74:$CV74, 'FS Semi'!$J$4:$CV$4, 'FS Ann'!AG$4)</f>
        <v>0</v>
      </c>
      <c r="AH74" s="16">
        <f xml:space="preserve"> SUMIFS('FS Semi'!$J74:$CV74, 'FS Semi'!$J$4:$CV$4, 'FS Ann'!AH$4)</f>
        <v>0</v>
      </c>
      <c r="AI74" s="16">
        <f xml:space="preserve"> SUMIFS('FS Semi'!$J74:$CV74, 'FS Semi'!$J$4:$CV$4, 'FS Ann'!AI$4)</f>
        <v>0</v>
      </c>
      <c r="AJ74" s="16">
        <f xml:space="preserve"> SUMIFS('FS Semi'!$J74:$CV74, 'FS Semi'!$J$4:$CV$4, 'FS Ann'!AJ$4)</f>
        <v>0</v>
      </c>
      <c r="AK74" s="16">
        <f xml:space="preserve"> SUMIFS('FS Semi'!$J74:$CV74, 'FS Semi'!$J$4:$CV$4, 'FS Ann'!AK$4)</f>
        <v>0</v>
      </c>
      <c r="AL74" s="16">
        <f xml:space="preserve"> SUMIFS('FS Semi'!$J74:$CV74, 'FS Semi'!$J$4:$CV$4, 'FS Ann'!AL$4)</f>
        <v>0</v>
      </c>
      <c r="AM74" s="16">
        <f xml:space="preserve"> SUMIFS('FS Semi'!$J74:$CV74, 'FS Semi'!$J$4:$CV$4, 'FS Ann'!AM$4)</f>
        <v>0</v>
      </c>
      <c r="AN74" s="16">
        <f xml:space="preserve"> SUMIFS('FS Semi'!$J74:$CV74, 'FS Semi'!$J$4:$CV$4, 'FS Ann'!AN$4)</f>
        <v>0</v>
      </c>
      <c r="AO74" s="16">
        <f xml:space="preserve"> SUMIFS('FS Semi'!$J74:$CV74, 'FS Semi'!$J$4:$CV$4, 'FS Ann'!AO$4)</f>
        <v>0</v>
      </c>
      <c r="AP74" s="16">
        <f xml:space="preserve"> SUMIFS('FS Semi'!$J74:$CV74, 'FS Semi'!$J$4:$CV$4, 'FS Ann'!AP$4)</f>
        <v>0</v>
      </c>
      <c r="AQ74" s="16">
        <f xml:space="preserve"> SUMIFS('FS Semi'!$J74:$CV74, 'FS Semi'!$J$4:$CV$4, 'FS Ann'!AQ$4)</f>
        <v>0</v>
      </c>
      <c r="AR74" s="16">
        <f xml:space="preserve"> SUMIFS('FS Semi'!$J74:$CV74, 'FS Semi'!$J$4:$CV$4, 'FS Ann'!AR$4)</f>
        <v>0</v>
      </c>
      <c r="AS74" s="16">
        <f xml:space="preserve"> SUMIFS('FS Semi'!$J74:$CV74, 'FS Semi'!$J$4:$CV$4, 'FS Ann'!AS$4)</f>
        <v>0</v>
      </c>
      <c r="AT74" s="16">
        <f xml:space="preserve"> SUMIFS('FS Semi'!$J74:$CV74, 'FS Semi'!$J$4:$CV$4, 'FS Ann'!AT$4)</f>
        <v>0</v>
      </c>
      <c r="AU74" s="16">
        <f xml:space="preserve"> SUMIFS('FS Semi'!$J74:$CV74, 'FS Semi'!$J$4:$CV$4, 'FS Ann'!AU$4)</f>
        <v>0</v>
      </c>
      <c r="AV74" s="16">
        <f xml:space="preserve"> SUMIFS('FS Semi'!$J74:$CV74, 'FS Semi'!$J$4:$CV$4, 'FS Ann'!AV$4)</f>
        <v>0</v>
      </c>
      <c r="AW74" s="16">
        <f xml:space="preserve"> SUMIFS('FS Semi'!$J74:$CV74, 'FS Semi'!$J$4:$CV$4, 'FS Ann'!AW$4)</f>
        <v>0</v>
      </c>
      <c r="AX74" s="16">
        <f xml:space="preserve"> SUMIFS('FS Semi'!$J74:$CV74, 'FS Semi'!$J$4:$CV$4, 'FS Ann'!AX$4)</f>
        <v>0</v>
      </c>
      <c r="AY74" s="16">
        <f xml:space="preserve"> SUMIFS('FS Semi'!$J74:$CV74, 'FS Semi'!$J$4:$CV$4, 'FS Ann'!AY$4)</f>
        <v>0</v>
      </c>
      <c r="AZ74" s="16">
        <f xml:space="preserve"> SUMIFS('FS Semi'!$J74:$CV74, 'FS Semi'!$J$4:$CV$4, 'FS Ann'!AZ$4)</f>
        <v>0</v>
      </c>
      <c r="BA74" s="16">
        <f xml:space="preserve"> SUMIFS('FS Semi'!$J74:$CV74, 'FS Semi'!$J$4:$CV$4, 'FS Ann'!BA$4)</f>
        <v>0</v>
      </c>
      <c r="BB74" s="16">
        <f xml:space="preserve"> SUMIFS('FS Semi'!$J74:$CV74, 'FS Semi'!$J$4:$CV$4, 'FS Ann'!BB$4)</f>
        <v>0</v>
      </c>
    </row>
    <row r="75" spans="1:56" outlineLevel="1" x14ac:dyDescent="0.2">
      <c r="A75" s="1"/>
      <c r="B75" s="1"/>
      <c r="C75" s="19"/>
      <c r="D75" s="83"/>
      <c r="E75" s="16" t="str">
        <f xml:space="preserve"> 'FS Semi'!E75</f>
        <v>Standby debt principal repayment - T1</v>
      </c>
      <c r="F75" s="16">
        <f xml:space="preserve"> 'FS Semi'!F75</f>
        <v>0</v>
      </c>
      <c r="G75" s="381" t="str">
        <f xml:space="preserve"> 'FS Semi'!G75</f>
        <v>$ 000s</v>
      </c>
      <c r="H75" s="16">
        <f t="shared" ref="H75" si="27" xml:space="preserve"> SUM(J75:BB75)</f>
        <v>0</v>
      </c>
      <c r="I75" s="16"/>
      <c r="J75" s="16">
        <f xml:space="preserve"> SUMIFS('FS Semi'!$J75:$CV75, 'FS Semi'!$J$4:$CV$4, 'FS Ann'!J$4)</f>
        <v>0</v>
      </c>
      <c r="K75" s="16">
        <f xml:space="preserve"> SUMIFS('FS Semi'!$J75:$CV75, 'FS Semi'!$J$4:$CV$4, 'FS Ann'!K$4)</f>
        <v>0</v>
      </c>
      <c r="L75" s="16">
        <f xml:space="preserve"> SUMIFS('FS Semi'!$J75:$CV75, 'FS Semi'!$J$4:$CV$4, 'FS Ann'!L$4)</f>
        <v>0</v>
      </c>
      <c r="M75" s="16">
        <f xml:space="preserve"> SUMIFS('FS Semi'!$J75:$CV75, 'FS Semi'!$J$4:$CV$4, 'FS Ann'!M$4)</f>
        <v>0</v>
      </c>
      <c r="N75" s="16">
        <f xml:space="preserve"> SUMIFS('FS Semi'!$J75:$CV75, 'FS Semi'!$J$4:$CV$4, 'FS Ann'!N$4)</f>
        <v>0</v>
      </c>
      <c r="O75" s="16">
        <f xml:space="preserve"> SUMIFS('FS Semi'!$J75:$CV75, 'FS Semi'!$J$4:$CV$4, 'FS Ann'!O$4)</f>
        <v>0</v>
      </c>
      <c r="P75" s="16">
        <f xml:space="preserve"> SUMIFS('FS Semi'!$J75:$CV75, 'FS Semi'!$J$4:$CV$4, 'FS Ann'!P$4)</f>
        <v>0</v>
      </c>
      <c r="Q75" s="16">
        <f xml:space="preserve"> SUMIFS('FS Semi'!$J75:$CV75, 'FS Semi'!$J$4:$CV$4, 'FS Ann'!Q$4)</f>
        <v>0</v>
      </c>
      <c r="R75" s="16">
        <f xml:space="preserve"> SUMIFS('FS Semi'!$J75:$CV75, 'FS Semi'!$J$4:$CV$4, 'FS Ann'!R$4)</f>
        <v>0</v>
      </c>
      <c r="S75" s="16">
        <f xml:space="preserve"> SUMIFS('FS Semi'!$J75:$CV75, 'FS Semi'!$J$4:$CV$4, 'FS Ann'!S$4)</f>
        <v>0</v>
      </c>
      <c r="T75" s="16">
        <f xml:space="preserve"> SUMIFS('FS Semi'!$J75:$CV75, 'FS Semi'!$J$4:$CV$4, 'FS Ann'!T$4)</f>
        <v>0</v>
      </c>
      <c r="U75" s="16">
        <f xml:space="preserve"> SUMIFS('FS Semi'!$J75:$CV75, 'FS Semi'!$J$4:$CV$4, 'FS Ann'!U$4)</f>
        <v>0</v>
      </c>
      <c r="V75" s="16">
        <f xml:space="preserve"> SUMIFS('FS Semi'!$J75:$CV75, 'FS Semi'!$J$4:$CV$4, 'FS Ann'!V$4)</f>
        <v>0</v>
      </c>
      <c r="W75" s="16">
        <f xml:space="preserve"> SUMIFS('FS Semi'!$J75:$CV75, 'FS Semi'!$J$4:$CV$4, 'FS Ann'!W$4)</f>
        <v>0</v>
      </c>
      <c r="X75" s="16">
        <f xml:space="preserve"> SUMIFS('FS Semi'!$J75:$CV75, 'FS Semi'!$J$4:$CV$4, 'FS Ann'!X$4)</f>
        <v>0</v>
      </c>
      <c r="Y75" s="16">
        <f xml:space="preserve"> SUMIFS('FS Semi'!$J75:$CV75, 'FS Semi'!$J$4:$CV$4, 'FS Ann'!Y$4)</f>
        <v>0</v>
      </c>
      <c r="Z75" s="16">
        <f xml:space="preserve"> SUMIFS('FS Semi'!$J75:$CV75, 'FS Semi'!$J$4:$CV$4, 'FS Ann'!Z$4)</f>
        <v>0</v>
      </c>
      <c r="AA75" s="16">
        <f xml:space="preserve"> SUMIFS('FS Semi'!$J75:$CV75, 'FS Semi'!$J$4:$CV$4, 'FS Ann'!AA$4)</f>
        <v>0</v>
      </c>
      <c r="AB75" s="16">
        <f xml:space="preserve"> SUMIFS('FS Semi'!$J75:$CV75, 'FS Semi'!$J$4:$CV$4, 'FS Ann'!AB$4)</f>
        <v>0</v>
      </c>
      <c r="AC75" s="16">
        <f xml:space="preserve"> SUMIFS('FS Semi'!$J75:$CV75, 'FS Semi'!$J$4:$CV$4, 'FS Ann'!AC$4)</f>
        <v>0</v>
      </c>
      <c r="AD75" s="16">
        <f xml:space="preserve"> SUMIFS('FS Semi'!$J75:$CV75, 'FS Semi'!$J$4:$CV$4, 'FS Ann'!AD$4)</f>
        <v>0</v>
      </c>
      <c r="AE75" s="16">
        <f xml:space="preserve"> SUMIFS('FS Semi'!$J75:$CV75, 'FS Semi'!$J$4:$CV$4, 'FS Ann'!AE$4)</f>
        <v>0</v>
      </c>
      <c r="AF75" s="16">
        <f xml:space="preserve"> SUMIFS('FS Semi'!$J75:$CV75, 'FS Semi'!$J$4:$CV$4, 'FS Ann'!AF$4)</f>
        <v>0</v>
      </c>
      <c r="AG75" s="16">
        <f xml:space="preserve"> SUMIFS('FS Semi'!$J75:$CV75, 'FS Semi'!$J$4:$CV$4, 'FS Ann'!AG$4)</f>
        <v>0</v>
      </c>
      <c r="AH75" s="16">
        <f xml:space="preserve"> SUMIFS('FS Semi'!$J75:$CV75, 'FS Semi'!$J$4:$CV$4, 'FS Ann'!AH$4)</f>
        <v>0</v>
      </c>
      <c r="AI75" s="16">
        <f xml:space="preserve"> SUMIFS('FS Semi'!$J75:$CV75, 'FS Semi'!$J$4:$CV$4, 'FS Ann'!AI$4)</f>
        <v>0</v>
      </c>
      <c r="AJ75" s="16">
        <f xml:space="preserve"> SUMIFS('FS Semi'!$J75:$CV75, 'FS Semi'!$J$4:$CV$4, 'FS Ann'!AJ$4)</f>
        <v>0</v>
      </c>
      <c r="AK75" s="16">
        <f xml:space="preserve"> SUMIFS('FS Semi'!$J75:$CV75, 'FS Semi'!$J$4:$CV$4, 'FS Ann'!AK$4)</f>
        <v>0</v>
      </c>
      <c r="AL75" s="16">
        <f xml:space="preserve"> SUMIFS('FS Semi'!$J75:$CV75, 'FS Semi'!$J$4:$CV$4, 'FS Ann'!AL$4)</f>
        <v>0</v>
      </c>
      <c r="AM75" s="16">
        <f xml:space="preserve"> SUMIFS('FS Semi'!$J75:$CV75, 'FS Semi'!$J$4:$CV$4, 'FS Ann'!AM$4)</f>
        <v>0</v>
      </c>
      <c r="AN75" s="16">
        <f xml:space="preserve"> SUMIFS('FS Semi'!$J75:$CV75, 'FS Semi'!$J$4:$CV$4, 'FS Ann'!AN$4)</f>
        <v>0</v>
      </c>
      <c r="AO75" s="16">
        <f xml:space="preserve"> SUMIFS('FS Semi'!$J75:$CV75, 'FS Semi'!$J$4:$CV$4, 'FS Ann'!AO$4)</f>
        <v>0</v>
      </c>
      <c r="AP75" s="16">
        <f xml:space="preserve"> SUMIFS('FS Semi'!$J75:$CV75, 'FS Semi'!$J$4:$CV$4, 'FS Ann'!AP$4)</f>
        <v>0</v>
      </c>
      <c r="AQ75" s="16">
        <f xml:space="preserve"> SUMIFS('FS Semi'!$J75:$CV75, 'FS Semi'!$J$4:$CV$4, 'FS Ann'!AQ$4)</f>
        <v>0</v>
      </c>
      <c r="AR75" s="16">
        <f xml:space="preserve"> SUMIFS('FS Semi'!$J75:$CV75, 'FS Semi'!$J$4:$CV$4, 'FS Ann'!AR$4)</f>
        <v>0</v>
      </c>
      <c r="AS75" s="16">
        <f xml:space="preserve"> SUMIFS('FS Semi'!$J75:$CV75, 'FS Semi'!$J$4:$CV$4, 'FS Ann'!AS$4)</f>
        <v>0</v>
      </c>
      <c r="AT75" s="16">
        <f xml:space="preserve"> SUMIFS('FS Semi'!$J75:$CV75, 'FS Semi'!$J$4:$CV$4, 'FS Ann'!AT$4)</f>
        <v>0</v>
      </c>
      <c r="AU75" s="16">
        <f xml:space="preserve"> SUMIFS('FS Semi'!$J75:$CV75, 'FS Semi'!$J$4:$CV$4, 'FS Ann'!AU$4)</f>
        <v>0</v>
      </c>
      <c r="AV75" s="16">
        <f xml:space="preserve"> SUMIFS('FS Semi'!$J75:$CV75, 'FS Semi'!$J$4:$CV$4, 'FS Ann'!AV$4)</f>
        <v>0</v>
      </c>
      <c r="AW75" s="16">
        <f xml:space="preserve"> SUMIFS('FS Semi'!$J75:$CV75, 'FS Semi'!$J$4:$CV$4, 'FS Ann'!AW$4)</f>
        <v>0</v>
      </c>
      <c r="AX75" s="16">
        <f xml:space="preserve"> SUMIFS('FS Semi'!$J75:$CV75, 'FS Semi'!$J$4:$CV$4, 'FS Ann'!AX$4)</f>
        <v>0</v>
      </c>
      <c r="AY75" s="16">
        <f xml:space="preserve"> SUMIFS('FS Semi'!$J75:$CV75, 'FS Semi'!$J$4:$CV$4, 'FS Ann'!AY$4)</f>
        <v>0</v>
      </c>
      <c r="AZ75" s="16">
        <f xml:space="preserve"> SUMIFS('FS Semi'!$J75:$CV75, 'FS Semi'!$J$4:$CV$4, 'FS Ann'!AZ$4)</f>
        <v>0</v>
      </c>
      <c r="BA75" s="16">
        <f xml:space="preserve"> SUMIFS('FS Semi'!$J75:$CV75, 'FS Semi'!$J$4:$CV$4, 'FS Ann'!BA$4)</f>
        <v>0</v>
      </c>
      <c r="BB75" s="16">
        <f xml:space="preserve"> SUMIFS('FS Semi'!$J75:$CV75, 'FS Semi'!$J$4:$CV$4, 'FS Ann'!BB$4)</f>
        <v>0</v>
      </c>
    </row>
    <row r="76" spans="1:56" outlineLevel="1" x14ac:dyDescent="0.2">
      <c r="A76" s="1"/>
      <c r="B76" s="1"/>
      <c r="C76" s="19"/>
      <c r="D76" s="83"/>
      <c r="E76" s="16" t="str">
        <f xml:space="preserve"> 'FS Semi'!E76</f>
        <v>Standby debt principal repayment - T2</v>
      </c>
      <c r="F76" s="16">
        <f xml:space="preserve"> 'FS Semi'!F76</f>
        <v>0</v>
      </c>
      <c r="G76" s="381" t="str">
        <f xml:space="preserve"> 'FS Semi'!G76</f>
        <v>$ 000s</v>
      </c>
      <c r="H76" s="16">
        <f t="shared" ref="H76" si="28" xml:space="preserve"> SUM(J76:BB76)</f>
        <v>0</v>
      </c>
      <c r="I76" s="16"/>
      <c r="J76" s="16">
        <f xml:space="preserve"> SUMIFS('FS Semi'!$J76:$CV76, 'FS Semi'!$J$4:$CV$4, 'FS Ann'!J$4)</f>
        <v>0</v>
      </c>
      <c r="K76" s="16">
        <f xml:space="preserve"> SUMIFS('FS Semi'!$J76:$CV76, 'FS Semi'!$J$4:$CV$4, 'FS Ann'!K$4)</f>
        <v>0</v>
      </c>
      <c r="L76" s="16">
        <f xml:space="preserve"> SUMIFS('FS Semi'!$J76:$CV76, 'FS Semi'!$J$4:$CV$4, 'FS Ann'!L$4)</f>
        <v>0</v>
      </c>
      <c r="M76" s="16">
        <f xml:space="preserve"> SUMIFS('FS Semi'!$J76:$CV76, 'FS Semi'!$J$4:$CV$4, 'FS Ann'!M$4)</f>
        <v>0</v>
      </c>
      <c r="N76" s="16">
        <f xml:space="preserve"> SUMIFS('FS Semi'!$J76:$CV76, 'FS Semi'!$J$4:$CV$4, 'FS Ann'!N$4)</f>
        <v>0</v>
      </c>
      <c r="O76" s="16">
        <f xml:space="preserve"> SUMIFS('FS Semi'!$J76:$CV76, 'FS Semi'!$J$4:$CV$4, 'FS Ann'!O$4)</f>
        <v>0</v>
      </c>
      <c r="P76" s="16">
        <f xml:space="preserve"> SUMIFS('FS Semi'!$J76:$CV76, 'FS Semi'!$J$4:$CV$4, 'FS Ann'!P$4)</f>
        <v>0</v>
      </c>
      <c r="Q76" s="16">
        <f xml:space="preserve"> SUMIFS('FS Semi'!$J76:$CV76, 'FS Semi'!$J$4:$CV$4, 'FS Ann'!Q$4)</f>
        <v>0</v>
      </c>
      <c r="R76" s="16">
        <f xml:space="preserve"> SUMIFS('FS Semi'!$J76:$CV76, 'FS Semi'!$J$4:$CV$4, 'FS Ann'!R$4)</f>
        <v>0</v>
      </c>
      <c r="S76" s="16">
        <f xml:space="preserve"> SUMIFS('FS Semi'!$J76:$CV76, 'FS Semi'!$J$4:$CV$4, 'FS Ann'!S$4)</f>
        <v>0</v>
      </c>
      <c r="T76" s="16">
        <f xml:space="preserve"> SUMIFS('FS Semi'!$J76:$CV76, 'FS Semi'!$J$4:$CV$4, 'FS Ann'!T$4)</f>
        <v>0</v>
      </c>
      <c r="U76" s="16">
        <f xml:space="preserve"> SUMIFS('FS Semi'!$J76:$CV76, 'FS Semi'!$J$4:$CV$4, 'FS Ann'!U$4)</f>
        <v>0</v>
      </c>
      <c r="V76" s="16">
        <f xml:space="preserve"> SUMIFS('FS Semi'!$J76:$CV76, 'FS Semi'!$J$4:$CV$4, 'FS Ann'!V$4)</f>
        <v>0</v>
      </c>
      <c r="W76" s="16">
        <f xml:space="preserve"> SUMIFS('FS Semi'!$J76:$CV76, 'FS Semi'!$J$4:$CV$4, 'FS Ann'!W$4)</f>
        <v>0</v>
      </c>
      <c r="X76" s="16">
        <f xml:space="preserve"> SUMIFS('FS Semi'!$J76:$CV76, 'FS Semi'!$J$4:$CV$4, 'FS Ann'!X$4)</f>
        <v>0</v>
      </c>
      <c r="Y76" s="16">
        <f xml:space="preserve"> SUMIFS('FS Semi'!$J76:$CV76, 'FS Semi'!$J$4:$CV$4, 'FS Ann'!Y$4)</f>
        <v>0</v>
      </c>
      <c r="Z76" s="16">
        <f xml:space="preserve"> SUMIFS('FS Semi'!$J76:$CV76, 'FS Semi'!$J$4:$CV$4, 'FS Ann'!Z$4)</f>
        <v>0</v>
      </c>
      <c r="AA76" s="16">
        <f xml:space="preserve"> SUMIFS('FS Semi'!$J76:$CV76, 'FS Semi'!$J$4:$CV$4, 'FS Ann'!AA$4)</f>
        <v>0</v>
      </c>
      <c r="AB76" s="16">
        <f xml:space="preserve"> SUMIFS('FS Semi'!$J76:$CV76, 'FS Semi'!$J$4:$CV$4, 'FS Ann'!AB$4)</f>
        <v>0</v>
      </c>
      <c r="AC76" s="16">
        <f xml:space="preserve"> SUMIFS('FS Semi'!$J76:$CV76, 'FS Semi'!$J$4:$CV$4, 'FS Ann'!AC$4)</f>
        <v>0</v>
      </c>
      <c r="AD76" s="16">
        <f xml:space="preserve"> SUMIFS('FS Semi'!$J76:$CV76, 'FS Semi'!$J$4:$CV$4, 'FS Ann'!AD$4)</f>
        <v>0</v>
      </c>
      <c r="AE76" s="16">
        <f xml:space="preserve"> SUMIFS('FS Semi'!$J76:$CV76, 'FS Semi'!$J$4:$CV$4, 'FS Ann'!AE$4)</f>
        <v>0</v>
      </c>
      <c r="AF76" s="16">
        <f xml:space="preserve"> SUMIFS('FS Semi'!$J76:$CV76, 'FS Semi'!$J$4:$CV$4, 'FS Ann'!AF$4)</f>
        <v>0</v>
      </c>
      <c r="AG76" s="16">
        <f xml:space="preserve"> SUMIFS('FS Semi'!$J76:$CV76, 'FS Semi'!$J$4:$CV$4, 'FS Ann'!AG$4)</f>
        <v>0</v>
      </c>
      <c r="AH76" s="16">
        <f xml:space="preserve"> SUMIFS('FS Semi'!$J76:$CV76, 'FS Semi'!$J$4:$CV$4, 'FS Ann'!AH$4)</f>
        <v>0</v>
      </c>
      <c r="AI76" s="16">
        <f xml:space="preserve"> SUMIFS('FS Semi'!$J76:$CV76, 'FS Semi'!$J$4:$CV$4, 'FS Ann'!AI$4)</f>
        <v>0</v>
      </c>
      <c r="AJ76" s="16">
        <f xml:space="preserve"> SUMIFS('FS Semi'!$J76:$CV76, 'FS Semi'!$J$4:$CV$4, 'FS Ann'!AJ$4)</f>
        <v>0</v>
      </c>
      <c r="AK76" s="16">
        <f xml:space="preserve"> SUMIFS('FS Semi'!$J76:$CV76, 'FS Semi'!$J$4:$CV$4, 'FS Ann'!AK$4)</f>
        <v>0</v>
      </c>
      <c r="AL76" s="16">
        <f xml:space="preserve"> SUMIFS('FS Semi'!$J76:$CV76, 'FS Semi'!$J$4:$CV$4, 'FS Ann'!AL$4)</f>
        <v>0</v>
      </c>
      <c r="AM76" s="16">
        <f xml:space="preserve"> SUMIFS('FS Semi'!$J76:$CV76, 'FS Semi'!$J$4:$CV$4, 'FS Ann'!AM$4)</f>
        <v>0</v>
      </c>
      <c r="AN76" s="16">
        <f xml:space="preserve"> SUMIFS('FS Semi'!$J76:$CV76, 'FS Semi'!$J$4:$CV$4, 'FS Ann'!AN$4)</f>
        <v>0</v>
      </c>
      <c r="AO76" s="16">
        <f xml:space="preserve"> SUMIFS('FS Semi'!$J76:$CV76, 'FS Semi'!$J$4:$CV$4, 'FS Ann'!AO$4)</f>
        <v>0</v>
      </c>
      <c r="AP76" s="16">
        <f xml:space="preserve"> SUMIFS('FS Semi'!$J76:$CV76, 'FS Semi'!$J$4:$CV$4, 'FS Ann'!AP$4)</f>
        <v>0</v>
      </c>
      <c r="AQ76" s="16">
        <f xml:space="preserve"> SUMIFS('FS Semi'!$J76:$CV76, 'FS Semi'!$J$4:$CV$4, 'FS Ann'!AQ$4)</f>
        <v>0</v>
      </c>
      <c r="AR76" s="16">
        <f xml:space="preserve"> SUMIFS('FS Semi'!$J76:$CV76, 'FS Semi'!$J$4:$CV$4, 'FS Ann'!AR$4)</f>
        <v>0</v>
      </c>
      <c r="AS76" s="16">
        <f xml:space="preserve"> SUMIFS('FS Semi'!$J76:$CV76, 'FS Semi'!$J$4:$CV$4, 'FS Ann'!AS$4)</f>
        <v>0</v>
      </c>
      <c r="AT76" s="16">
        <f xml:space="preserve"> SUMIFS('FS Semi'!$J76:$CV76, 'FS Semi'!$J$4:$CV$4, 'FS Ann'!AT$4)</f>
        <v>0</v>
      </c>
      <c r="AU76" s="16">
        <f xml:space="preserve"> SUMIFS('FS Semi'!$J76:$CV76, 'FS Semi'!$J$4:$CV$4, 'FS Ann'!AU$4)</f>
        <v>0</v>
      </c>
      <c r="AV76" s="16">
        <f xml:space="preserve"> SUMIFS('FS Semi'!$J76:$CV76, 'FS Semi'!$J$4:$CV$4, 'FS Ann'!AV$4)</f>
        <v>0</v>
      </c>
      <c r="AW76" s="16">
        <f xml:space="preserve"> SUMIFS('FS Semi'!$J76:$CV76, 'FS Semi'!$J$4:$CV$4, 'FS Ann'!AW$4)</f>
        <v>0</v>
      </c>
      <c r="AX76" s="16">
        <f xml:space="preserve"> SUMIFS('FS Semi'!$J76:$CV76, 'FS Semi'!$J$4:$CV$4, 'FS Ann'!AX$4)</f>
        <v>0</v>
      </c>
      <c r="AY76" s="16">
        <f xml:space="preserve"> SUMIFS('FS Semi'!$J76:$CV76, 'FS Semi'!$J$4:$CV$4, 'FS Ann'!AY$4)</f>
        <v>0</v>
      </c>
      <c r="AZ76" s="16">
        <f xml:space="preserve"> SUMIFS('FS Semi'!$J76:$CV76, 'FS Semi'!$J$4:$CV$4, 'FS Ann'!AZ$4)</f>
        <v>0</v>
      </c>
      <c r="BA76" s="16">
        <f xml:space="preserve"> SUMIFS('FS Semi'!$J76:$CV76, 'FS Semi'!$J$4:$CV$4, 'FS Ann'!BA$4)</f>
        <v>0</v>
      </c>
      <c r="BB76" s="16">
        <f xml:space="preserve"> SUMIFS('FS Semi'!$J76:$CV76, 'FS Semi'!$J$4:$CV$4, 'FS Ann'!BB$4)</f>
        <v>0</v>
      </c>
    </row>
    <row r="77" spans="1:56" outlineLevel="1" x14ac:dyDescent="0.2">
      <c r="A77" s="1"/>
      <c r="B77" s="1"/>
      <c r="C77" s="19"/>
      <c r="D77" s="83"/>
      <c r="E77" s="208" t="s">
        <v>378</v>
      </c>
      <c r="F77" s="84"/>
      <c r="G77" s="324" t="str">
        <f>SMU</f>
        <v>$ 000s</v>
      </c>
      <c r="H77" s="84">
        <f xml:space="preserve"> SUM(J77:BB77)</f>
        <v>225369.61293232397</v>
      </c>
      <c r="I77" s="84"/>
      <c r="J77" s="84">
        <f t="shared" ref="J77:BB77" si="29" xml:space="preserve"> J65+ SUM(J67:J76)</f>
        <v>-1.5558398445136845E-6</v>
      </c>
      <c r="K77" s="84">
        <f t="shared" si="29"/>
        <v>-2.922103158198297E-5</v>
      </c>
      <c r="L77" s="84">
        <f t="shared" si="29"/>
        <v>-3.9870376931503415E-3</v>
      </c>
      <c r="M77" s="84">
        <f t="shared" si="29"/>
        <v>9335.1688438434394</v>
      </c>
      <c r="N77" s="84">
        <f t="shared" si="29"/>
        <v>8736.6468028755044</v>
      </c>
      <c r="O77" s="84">
        <f t="shared" si="29"/>
        <v>8678.9237109805435</v>
      </c>
      <c r="P77" s="84">
        <f t="shared" si="29"/>
        <v>8626.1499219765719</v>
      </c>
      <c r="Q77" s="84">
        <f t="shared" si="29"/>
        <v>8555.8129142934049</v>
      </c>
      <c r="R77" s="84">
        <f t="shared" si="29"/>
        <v>8494.708860369552</v>
      </c>
      <c r="S77" s="84">
        <f t="shared" si="29"/>
        <v>8434.9753962873292</v>
      </c>
      <c r="T77" s="84">
        <f t="shared" si="29"/>
        <v>8380.1192523854006</v>
      </c>
      <c r="U77" s="84">
        <f t="shared" si="29"/>
        <v>8308.0745469057838</v>
      </c>
      <c r="V77" s="84">
        <f t="shared" si="29"/>
        <v>8252.5426481651957</v>
      </c>
      <c r="W77" s="84">
        <f t="shared" si="29"/>
        <v>8184.8899239713137</v>
      </c>
      <c r="X77" s="84">
        <f t="shared" si="29"/>
        <v>8128.3656815311624</v>
      </c>
      <c r="Y77" s="84">
        <f t="shared" si="29"/>
        <v>8055.0481416247712</v>
      </c>
      <c r="Z77" s="84">
        <f t="shared" si="29"/>
        <v>7997.8187516131547</v>
      </c>
      <c r="AA77" s="84">
        <f t="shared" si="29"/>
        <v>7934.5154141298444</v>
      </c>
      <c r="AB77" s="84">
        <f t="shared" si="29"/>
        <v>7875.7330632947051</v>
      </c>
      <c r="AC77" s="84">
        <f t="shared" si="29"/>
        <v>7799.4245997645194</v>
      </c>
      <c r="AD77" s="84">
        <f t="shared" si="29"/>
        <v>27069.222895373736</v>
      </c>
      <c r="AE77" s="84">
        <f t="shared" si="29"/>
        <v>26769.915134067825</v>
      </c>
      <c r="AF77" s="84">
        <f t="shared" si="29"/>
        <v>29751.56044668478</v>
      </c>
      <c r="AG77" s="84">
        <f t="shared" si="29"/>
        <v>0</v>
      </c>
      <c r="AH77" s="84">
        <f t="shared" si="29"/>
        <v>0</v>
      </c>
      <c r="AI77" s="84">
        <f t="shared" si="29"/>
        <v>0</v>
      </c>
      <c r="AJ77" s="84">
        <f t="shared" si="29"/>
        <v>0</v>
      </c>
      <c r="AK77" s="84">
        <f t="shared" si="29"/>
        <v>0</v>
      </c>
      <c r="AL77" s="84">
        <f t="shared" si="29"/>
        <v>0</v>
      </c>
      <c r="AM77" s="84">
        <f t="shared" si="29"/>
        <v>0</v>
      </c>
      <c r="AN77" s="84">
        <f t="shared" si="29"/>
        <v>0</v>
      </c>
      <c r="AO77" s="84">
        <f t="shared" si="29"/>
        <v>0</v>
      </c>
      <c r="AP77" s="84">
        <f t="shared" si="29"/>
        <v>0</v>
      </c>
      <c r="AQ77" s="84">
        <f t="shared" si="29"/>
        <v>0</v>
      </c>
      <c r="AR77" s="84">
        <f t="shared" si="29"/>
        <v>0</v>
      </c>
      <c r="AS77" s="84">
        <f t="shared" si="29"/>
        <v>0</v>
      </c>
      <c r="AT77" s="84">
        <f t="shared" si="29"/>
        <v>0</v>
      </c>
      <c r="AU77" s="84">
        <f t="shared" si="29"/>
        <v>0</v>
      </c>
      <c r="AV77" s="84">
        <f t="shared" si="29"/>
        <v>0</v>
      </c>
      <c r="AW77" s="84">
        <f t="shared" si="29"/>
        <v>0</v>
      </c>
      <c r="AX77" s="84">
        <f t="shared" si="29"/>
        <v>0</v>
      </c>
      <c r="AY77" s="84">
        <f t="shared" si="29"/>
        <v>0</v>
      </c>
      <c r="AZ77" s="84">
        <f t="shared" si="29"/>
        <v>0</v>
      </c>
      <c r="BA77" s="84">
        <f t="shared" si="29"/>
        <v>0</v>
      </c>
      <c r="BB77" s="84">
        <f t="shared" si="29"/>
        <v>0</v>
      </c>
    </row>
    <row r="78" spans="1:56" outlineLevel="1" x14ac:dyDescent="0.2">
      <c r="A78" s="1"/>
      <c r="B78" s="1"/>
      <c r="C78" s="19"/>
      <c r="D78" s="83"/>
      <c r="E78" s="16"/>
      <c r="F78" s="16"/>
      <c r="G78" s="381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6" outlineLevel="1" x14ac:dyDescent="0.2">
      <c r="A79" s="1"/>
      <c r="B79" s="1"/>
      <c r="C79" s="19"/>
      <c r="D79" s="83"/>
      <c r="E79" s="16" t="str">
        <f xml:space="preserve"> 'FS Semi'!E79</f>
        <v>DSRA deposit</v>
      </c>
      <c r="F79" s="16">
        <f xml:space="preserve"> 'FS Semi'!F79</f>
        <v>0</v>
      </c>
      <c r="G79" s="381" t="str">
        <f xml:space="preserve"> 'FS Semi'!G79</f>
        <v>$ 000s</v>
      </c>
      <c r="H79" s="16">
        <f xml:space="preserve"> SUM(J79:BB79)</f>
        <v>0</v>
      </c>
      <c r="I79" s="16"/>
      <c r="J79" s="16">
        <f xml:space="preserve"> SUMIFS('FS Semi'!$J79:$CV79, 'FS Semi'!$J$4:$CV$4, 'FS Ann'!J$4)</f>
        <v>0</v>
      </c>
      <c r="K79" s="16">
        <f xml:space="preserve"> SUMIFS('FS Semi'!$J79:$CV79, 'FS Semi'!$J$4:$CV$4, 'FS Ann'!K$4)</f>
        <v>0</v>
      </c>
      <c r="L79" s="16">
        <f xml:space="preserve"> SUMIFS('FS Semi'!$J79:$CV79, 'FS Semi'!$J$4:$CV$4, 'FS Ann'!L$4)</f>
        <v>0</v>
      </c>
      <c r="M79" s="16">
        <f xml:space="preserve"> SUMIFS('FS Semi'!$J79:$CV79, 'FS Semi'!$J$4:$CV$4, 'FS Ann'!M$4)</f>
        <v>0</v>
      </c>
      <c r="N79" s="16">
        <f xml:space="preserve"> SUMIFS('FS Semi'!$J79:$CV79, 'FS Semi'!$J$4:$CV$4, 'FS Ann'!N$4)</f>
        <v>0</v>
      </c>
      <c r="O79" s="16">
        <f xml:space="preserve"> SUMIFS('FS Semi'!$J79:$CV79, 'FS Semi'!$J$4:$CV$4, 'FS Ann'!O$4)</f>
        <v>0</v>
      </c>
      <c r="P79" s="16">
        <f xml:space="preserve"> SUMIFS('FS Semi'!$J79:$CV79, 'FS Semi'!$J$4:$CV$4, 'FS Ann'!P$4)</f>
        <v>0</v>
      </c>
      <c r="Q79" s="16">
        <f xml:space="preserve"> SUMIFS('FS Semi'!$J79:$CV79, 'FS Semi'!$J$4:$CV$4, 'FS Ann'!Q$4)</f>
        <v>0</v>
      </c>
      <c r="R79" s="16">
        <f xml:space="preserve"> SUMIFS('FS Semi'!$J79:$CV79, 'FS Semi'!$J$4:$CV$4, 'FS Ann'!R$4)</f>
        <v>0</v>
      </c>
      <c r="S79" s="16">
        <f xml:space="preserve"> SUMIFS('FS Semi'!$J79:$CV79, 'FS Semi'!$J$4:$CV$4, 'FS Ann'!S$4)</f>
        <v>0</v>
      </c>
      <c r="T79" s="16">
        <f xml:space="preserve"> SUMIFS('FS Semi'!$J79:$CV79, 'FS Semi'!$J$4:$CV$4, 'FS Ann'!T$4)</f>
        <v>0</v>
      </c>
      <c r="U79" s="16">
        <f xml:space="preserve"> SUMIFS('FS Semi'!$J79:$CV79, 'FS Semi'!$J$4:$CV$4, 'FS Ann'!U$4)</f>
        <v>0</v>
      </c>
      <c r="V79" s="16">
        <f xml:space="preserve"> SUMIFS('FS Semi'!$J79:$CV79, 'FS Semi'!$J$4:$CV$4, 'FS Ann'!V$4)</f>
        <v>0</v>
      </c>
      <c r="W79" s="16">
        <f xml:space="preserve"> SUMIFS('FS Semi'!$J79:$CV79, 'FS Semi'!$J$4:$CV$4, 'FS Ann'!W$4)</f>
        <v>0</v>
      </c>
      <c r="X79" s="16">
        <f xml:space="preserve"> SUMIFS('FS Semi'!$J79:$CV79, 'FS Semi'!$J$4:$CV$4, 'FS Ann'!X$4)</f>
        <v>0</v>
      </c>
      <c r="Y79" s="16">
        <f xml:space="preserve"> SUMIFS('FS Semi'!$J79:$CV79, 'FS Semi'!$J$4:$CV$4, 'FS Ann'!Y$4)</f>
        <v>0</v>
      </c>
      <c r="Z79" s="16">
        <f xml:space="preserve"> SUMIFS('FS Semi'!$J79:$CV79, 'FS Semi'!$J$4:$CV$4, 'FS Ann'!Z$4)</f>
        <v>0</v>
      </c>
      <c r="AA79" s="16">
        <f xml:space="preserve"> SUMIFS('FS Semi'!$J79:$CV79, 'FS Semi'!$J$4:$CV$4, 'FS Ann'!AA$4)</f>
        <v>0</v>
      </c>
      <c r="AB79" s="16">
        <f xml:space="preserve"> SUMIFS('FS Semi'!$J79:$CV79, 'FS Semi'!$J$4:$CV$4, 'FS Ann'!AB$4)</f>
        <v>0</v>
      </c>
      <c r="AC79" s="16">
        <f xml:space="preserve"> SUMIFS('FS Semi'!$J79:$CV79, 'FS Semi'!$J$4:$CV$4, 'FS Ann'!AC$4)</f>
        <v>0</v>
      </c>
      <c r="AD79" s="16">
        <f xml:space="preserve"> SUMIFS('FS Semi'!$J79:$CV79, 'FS Semi'!$J$4:$CV$4, 'FS Ann'!AD$4)</f>
        <v>0</v>
      </c>
      <c r="AE79" s="16">
        <f xml:space="preserve"> SUMIFS('FS Semi'!$J79:$CV79, 'FS Semi'!$J$4:$CV$4, 'FS Ann'!AE$4)</f>
        <v>0</v>
      </c>
      <c r="AF79" s="16">
        <f xml:space="preserve"> SUMIFS('FS Semi'!$J79:$CV79, 'FS Semi'!$J$4:$CV$4, 'FS Ann'!AF$4)</f>
        <v>0</v>
      </c>
      <c r="AG79" s="16">
        <f xml:space="preserve"> SUMIFS('FS Semi'!$J79:$CV79, 'FS Semi'!$J$4:$CV$4, 'FS Ann'!AG$4)</f>
        <v>0</v>
      </c>
      <c r="AH79" s="16">
        <f xml:space="preserve"> SUMIFS('FS Semi'!$J79:$CV79, 'FS Semi'!$J$4:$CV$4, 'FS Ann'!AH$4)</f>
        <v>0</v>
      </c>
      <c r="AI79" s="16">
        <f xml:space="preserve"> SUMIFS('FS Semi'!$J79:$CV79, 'FS Semi'!$J$4:$CV$4, 'FS Ann'!AI$4)</f>
        <v>0</v>
      </c>
      <c r="AJ79" s="16">
        <f xml:space="preserve"> SUMIFS('FS Semi'!$J79:$CV79, 'FS Semi'!$J$4:$CV$4, 'FS Ann'!AJ$4)</f>
        <v>0</v>
      </c>
      <c r="AK79" s="16">
        <f xml:space="preserve"> SUMIFS('FS Semi'!$J79:$CV79, 'FS Semi'!$J$4:$CV$4, 'FS Ann'!AK$4)</f>
        <v>0</v>
      </c>
      <c r="AL79" s="16">
        <f xml:space="preserve"> SUMIFS('FS Semi'!$J79:$CV79, 'FS Semi'!$J$4:$CV$4, 'FS Ann'!AL$4)</f>
        <v>0</v>
      </c>
      <c r="AM79" s="16">
        <f xml:space="preserve"> SUMIFS('FS Semi'!$J79:$CV79, 'FS Semi'!$J$4:$CV$4, 'FS Ann'!AM$4)</f>
        <v>0</v>
      </c>
      <c r="AN79" s="16">
        <f xml:space="preserve"> SUMIFS('FS Semi'!$J79:$CV79, 'FS Semi'!$J$4:$CV$4, 'FS Ann'!AN$4)</f>
        <v>0</v>
      </c>
      <c r="AO79" s="16">
        <f xml:space="preserve"> SUMIFS('FS Semi'!$J79:$CV79, 'FS Semi'!$J$4:$CV$4, 'FS Ann'!AO$4)</f>
        <v>0</v>
      </c>
      <c r="AP79" s="16">
        <f xml:space="preserve"> SUMIFS('FS Semi'!$J79:$CV79, 'FS Semi'!$J$4:$CV$4, 'FS Ann'!AP$4)</f>
        <v>0</v>
      </c>
      <c r="AQ79" s="16">
        <f xml:space="preserve"> SUMIFS('FS Semi'!$J79:$CV79, 'FS Semi'!$J$4:$CV$4, 'FS Ann'!AQ$4)</f>
        <v>0</v>
      </c>
      <c r="AR79" s="16">
        <f xml:space="preserve"> SUMIFS('FS Semi'!$J79:$CV79, 'FS Semi'!$J$4:$CV$4, 'FS Ann'!AR$4)</f>
        <v>0</v>
      </c>
      <c r="AS79" s="16">
        <f xml:space="preserve"> SUMIFS('FS Semi'!$J79:$CV79, 'FS Semi'!$J$4:$CV$4, 'FS Ann'!AS$4)</f>
        <v>0</v>
      </c>
      <c r="AT79" s="16">
        <f xml:space="preserve"> SUMIFS('FS Semi'!$J79:$CV79, 'FS Semi'!$J$4:$CV$4, 'FS Ann'!AT$4)</f>
        <v>0</v>
      </c>
      <c r="AU79" s="16">
        <f xml:space="preserve"> SUMIFS('FS Semi'!$J79:$CV79, 'FS Semi'!$J$4:$CV$4, 'FS Ann'!AU$4)</f>
        <v>0</v>
      </c>
      <c r="AV79" s="16">
        <f xml:space="preserve"> SUMIFS('FS Semi'!$J79:$CV79, 'FS Semi'!$J$4:$CV$4, 'FS Ann'!AV$4)</f>
        <v>0</v>
      </c>
      <c r="AW79" s="16">
        <f xml:space="preserve"> SUMIFS('FS Semi'!$J79:$CV79, 'FS Semi'!$J$4:$CV$4, 'FS Ann'!AW$4)</f>
        <v>0</v>
      </c>
      <c r="AX79" s="16">
        <f xml:space="preserve"> SUMIFS('FS Semi'!$J79:$CV79, 'FS Semi'!$J$4:$CV$4, 'FS Ann'!AX$4)</f>
        <v>0</v>
      </c>
      <c r="AY79" s="16">
        <f xml:space="preserve"> SUMIFS('FS Semi'!$J79:$CV79, 'FS Semi'!$J$4:$CV$4, 'FS Ann'!AY$4)</f>
        <v>0</v>
      </c>
      <c r="AZ79" s="16">
        <f xml:space="preserve"> SUMIFS('FS Semi'!$J79:$CV79, 'FS Semi'!$J$4:$CV$4, 'FS Ann'!AZ$4)</f>
        <v>0</v>
      </c>
      <c r="BA79" s="16">
        <f xml:space="preserve"> SUMIFS('FS Semi'!$J79:$CV79, 'FS Semi'!$J$4:$CV$4, 'FS Ann'!BA$4)</f>
        <v>0</v>
      </c>
      <c r="BB79" s="16">
        <f xml:space="preserve"> SUMIFS('FS Semi'!$J79:$CV79, 'FS Semi'!$J$4:$CV$4, 'FS Ann'!BB$4)</f>
        <v>0</v>
      </c>
    </row>
    <row r="80" spans="1:56" outlineLevel="1" x14ac:dyDescent="0.2">
      <c r="A80" s="1"/>
      <c r="B80" s="1"/>
      <c r="C80" s="19"/>
      <c r="D80" s="83"/>
      <c r="E80" s="16" t="str">
        <f xml:space="preserve"> 'FS Semi'!E80</f>
        <v>DSRA withdrawal</v>
      </c>
      <c r="F80" s="16">
        <f xml:space="preserve"> 'FS Semi'!F80</f>
        <v>0</v>
      </c>
      <c r="G80" s="381" t="str">
        <f xml:space="preserve"> 'FS Semi'!G80</f>
        <v>$ 000s</v>
      </c>
      <c r="H80" s="16">
        <f xml:space="preserve"> SUM(J80:BB80)</f>
        <v>11233.130870765843</v>
      </c>
      <c r="I80" s="16"/>
      <c r="J80" s="16">
        <f xml:space="preserve"> SUMIFS('FS Semi'!$J80:$CV80, 'FS Semi'!$J$4:$CV$4, 'FS Ann'!J$4)</f>
        <v>0</v>
      </c>
      <c r="K80" s="16">
        <f xml:space="preserve"> SUMIFS('FS Semi'!$J80:$CV80, 'FS Semi'!$J$4:$CV$4, 'FS Ann'!K$4)</f>
        <v>0</v>
      </c>
      <c r="L80" s="16">
        <f xml:space="preserve"> SUMIFS('FS Semi'!$J80:$CV80, 'FS Semi'!$J$4:$CV$4, 'FS Ann'!L$4)</f>
        <v>0</v>
      </c>
      <c r="M80" s="16">
        <f xml:space="preserve"> SUMIFS('FS Semi'!$J80:$CV80, 'FS Semi'!$J$4:$CV$4, 'FS Ann'!M$4)</f>
        <v>42.335741100258019</v>
      </c>
      <c r="N80" s="16">
        <f xml:space="preserve"> SUMIFS('FS Semi'!$J80:$CV80, 'FS Semi'!$J$4:$CV$4, 'FS Ann'!N$4)</f>
        <v>85.972449489821884</v>
      </c>
      <c r="O80" s="16">
        <f xml:space="preserve"> SUMIFS('FS Semi'!$J80:$CV80, 'FS Semi'!$J$4:$CV$4, 'FS Ann'!O$4)</f>
        <v>79.567009428468737</v>
      </c>
      <c r="P80" s="16">
        <f xml:space="preserve"> SUMIFS('FS Semi'!$J80:$CV80, 'FS Semi'!$J$4:$CV$4, 'FS Ann'!P$4)</f>
        <v>103.2568922239243</v>
      </c>
      <c r="Q80" s="16">
        <f xml:space="preserve"> SUMIFS('FS Semi'!$J80:$CV80, 'FS Semi'!$J$4:$CV$4, 'FS Ann'!Q$4)</f>
        <v>81.863425351732076</v>
      </c>
      <c r="R80" s="16">
        <f xml:space="preserve"> SUMIFS('FS Semi'!$J80:$CV80, 'FS Semi'!$J$4:$CV$4, 'FS Ann'!R$4)</f>
        <v>90.566244280194951</v>
      </c>
      <c r="S80" s="16">
        <f xml:space="preserve"> SUMIFS('FS Semi'!$J80:$CV80, 'FS Semi'!$J$4:$CV$4, 'FS Ann'!S$4)</f>
        <v>84.504596876773576</v>
      </c>
      <c r="T80" s="16">
        <f xml:space="preserve"> SUMIFS('FS Semi'!$J80:$CV80, 'FS Semi'!$J$4:$CV$4, 'FS Ann'!T$4)</f>
        <v>107.55523349329451</v>
      </c>
      <c r="U80" s="16">
        <f xml:space="preserve"> SUMIFS('FS Semi'!$J80:$CV80, 'FS Semi'!$J$4:$CV$4, 'FS Ann'!U$4)</f>
        <v>87.002007674558627</v>
      </c>
      <c r="V80" s="16">
        <f xml:space="preserve"> SUMIFS('FS Semi'!$J80:$CV80, 'FS Semi'!$J$4:$CV$4, 'FS Ann'!V$4)</f>
        <v>95.562094899969452</v>
      </c>
      <c r="W80" s="16">
        <f xml:space="preserve"> SUMIFS('FS Semi'!$J80:$CV80, 'FS Semi'!$J$4:$CV$4, 'FS Ann'!W$4)</f>
        <v>89.865850928094005</v>
      </c>
      <c r="X80" s="16">
        <f xml:space="preserve"> SUMIFS('FS Semi'!$J80:$CV80, 'FS Semi'!$J$4:$CV$4, 'FS Ann'!X$4)</f>
        <v>112.24482542956684</v>
      </c>
      <c r="Y80" s="16">
        <f xml:space="preserve"> SUMIFS('FS Semi'!$J80:$CV80, 'FS Semi'!$J$4:$CV$4, 'FS Ann'!Y$4)</f>
        <v>92.580859464047535</v>
      </c>
      <c r="Z80" s="16">
        <f xml:space="preserve"> SUMIFS('FS Semi'!$J80:$CV80, 'FS Semi'!$J$4:$CV$4, 'FS Ann'!Z$4)</f>
        <v>100.993242136974</v>
      </c>
      <c r="AA80" s="16">
        <f xml:space="preserve"> SUMIFS('FS Semi'!$J80:$CV80, 'FS Semi'!$J$4:$CV$4, 'FS Ann'!AA$4)</f>
        <v>95.684124211733433</v>
      </c>
      <c r="AB80" s="16">
        <f xml:space="preserve"> SUMIFS('FS Semi'!$J80:$CV80, 'FS Semi'!$J$4:$CV$4, 'FS Ann'!AB$4)</f>
        <v>117.35514592251275</v>
      </c>
      <c r="AC80" s="16">
        <f xml:space="preserve"> SUMIFS('FS Semi'!$J80:$CV80, 'FS Semi'!$J$4:$CV$4, 'FS Ann'!AC$4)</f>
        <v>9766.221127853918</v>
      </c>
      <c r="AD80" s="16">
        <f xml:space="preserve"> SUMIFS('FS Semi'!$J80:$CV80, 'FS Semi'!$J$4:$CV$4, 'FS Ann'!AD$4)</f>
        <v>0</v>
      </c>
      <c r="AE80" s="16">
        <f xml:space="preserve"> SUMIFS('FS Semi'!$J80:$CV80, 'FS Semi'!$J$4:$CV$4, 'FS Ann'!AE$4)</f>
        <v>0</v>
      </c>
      <c r="AF80" s="16">
        <f xml:space="preserve"> SUMIFS('FS Semi'!$J80:$CV80, 'FS Semi'!$J$4:$CV$4, 'FS Ann'!AF$4)</f>
        <v>0</v>
      </c>
      <c r="AG80" s="16">
        <f xml:space="preserve"> SUMIFS('FS Semi'!$J80:$CV80, 'FS Semi'!$J$4:$CV$4, 'FS Ann'!AG$4)</f>
        <v>0</v>
      </c>
      <c r="AH80" s="16">
        <f xml:space="preserve"> SUMIFS('FS Semi'!$J80:$CV80, 'FS Semi'!$J$4:$CV$4, 'FS Ann'!AH$4)</f>
        <v>0</v>
      </c>
      <c r="AI80" s="16">
        <f xml:space="preserve"> SUMIFS('FS Semi'!$J80:$CV80, 'FS Semi'!$J$4:$CV$4, 'FS Ann'!AI$4)</f>
        <v>0</v>
      </c>
      <c r="AJ80" s="16">
        <f xml:space="preserve"> SUMIFS('FS Semi'!$J80:$CV80, 'FS Semi'!$J$4:$CV$4, 'FS Ann'!AJ$4)</f>
        <v>0</v>
      </c>
      <c r="AK80" s="16">
        <f xml:space="preserve"> SUMIFS('FS Semi'!$J80:$CV80, 'FS Semi'!$J$4:$CV$4, 'FS Ann'!AK$4)</f>
        <v>0</v>
      </c>
      <c r="AL80" s="16">
        <f xml:space="preserve"> SUMIFS('FS Semi'!$J80:$CV80, 'FS Semi'!$J$4:$CV$4, 'FS Ann'!AL$4)</f>
        <v>0</v>
      </c>
      <c r="AM80" s="16">
        <f xml:space="preserve"> SUMIFS('FS Semi'!$J80:$CV80, 'FS Semi'!$J$4:$CV$4, 'FS Ann'!AM$4)</f>
        <v>0</v>
      </c>
      <c r="AN80" s="16">
        <f xml:space="preserve"> SUMIFS('FS Semi'!$J80:$CV80, 'FS Semi'!$J$4:$CV$4, 'FS Ann'!AN$4)</f>
        <v>0</v>
      </c>
      <c r="AO80" s="16">
        <f xml:space="preserve"> SUMIFS('FS Semi'!$J80:$CV80, 'FS Semi'!$J$4:$CV$4, 'FS Ann'!AO$4)</f>
        <v>0</v>
      </c>
      <c r="AP80" s="16">
        <f xml:space="preserve"> SUMIFS('FS Semi'!$J80:$CV80, 'FS Semi'!$J$4:$CV$4, 'FS Ann'!AP$4)</f>
        <v>0</v>
      </c>
      <c r="AQ80" s="16">
        <f xml:space="preserve"> SUMIFS('FS Semi'!$J80:$CV80, 'FS Semi'!$J$4:$CV$4, 'FS Ann'!AQ$4)</f>
        <v>0</v>
      </c>
      <c r="AR80" s="16">
        <f xml:space="preserve"> SUMIFS('FS Semi'!$J80:$CV80, 'FS Semi'!$J$4:$CV$4, 'FS Ann'!AR$4)</f>
        <v>0</v>
      </c>
      <c r="AS80" s="16">
        <f xml:space="preserve"> SUMIFS('FS Semi'!$J80:$CV80, 'FS Semi'!$J$4:$CV$4, 'FS Ann'!AS$4)</f>
        <v>0</v>
      </c>
      <c r="AT80" s="16">
        <f xml:space="preserve"> SUMIFS('FS Semi'!$J80:$CV80, 'FS Semi'!$J$4:$CV$4, 'FS Ann'!AT$4)</f>
        <v>0</v>
      </c>
      <c r="AU80" s="16">
        <f xml:space="preserve"> SUMIFS('FS Semi'!$J80:$CV80, 'FS Semi'!$J$4:$CV$4, 'FS Ann'!AU$4)</f>
        <v>0</v>
      </c>
      <c r="AV80" s="16">
        <f xml:space="preserve"> SUMIFS('FS Semi'!$J80:$CV80, 'FS Semi'!$J$4:$CV$4, 'FS Ann'!AV$4)</f>
        <v>0</v>
      </c>
      <c r="AW80" s="16">
        <f xml:space="preserve"> SUMIFS('FS Semi'!$J80:$CV80, 'FS Semi'!$J$4:$CV$4, 'FS Ann'!AW$4)</f>
        <v>0</v>
      </c>
      <c r="AX80" s="16">
        <f xml:space="preserve"> SUMIFS('FS Semi'!$J80:$CV80, 'FS Semi'!$J$4:$CV$4, 'FS Ann'!AX$4)</f>
        <v>0</v>
      </c>
      <c r="AY80" s="16">
        <f xml:space="preserve"> SUMIFS('FS Semi'!$J80:$CV80, 'FS Semi'!$J$4:$CV$4, 'FS Ann'!AY$4)</f>
        <v>0</v>
      </c>
      <c r="AZ80" s="16">
        <f xml:space="preserve"> SUMIFS('FS Semi'!$J80:$CV80, 'FS Semi'!$J$4:$CV$4, 'FS Ann'!AZ$4)</f>
        <v>0</v>
      </c>
      <c r="BA80" s="16">
        <f xml:space="preserve"> SUMIFS('FS Semi'!$J80:$CV80, 'FS Semi'!$J$4:$CV$4, 'FS Ann'!BA$4)</f>
        <v>0</v>
      </c>
      <c r="BB80" s="16">
        <f xml:space="preserve"> SUMIFS('FS Semi'!$J80:$CV80, 'FS Semi'!$J$4:$CV$4, 'FS Ann'!BB$4)</f>
        <v>0</v>
      </c>
    </row>
    <row r="81" spans="1:54" outlineLevel="1" x14ac:dyDescent="0.2">
      <c r="A81" s="1"/>
      <c r="B81" s="1"/>
      <c r="C81" s="19"/>
      <c r="D81" s="83"/>
      <c r="E81" s="16" t="str">
        <f xml:space="preserve"> 'FS Semi'!E81</f>
        <v>DSRA LC fee accrued and paid</v>
      </c>
      <c r="F81" s="16">
        <f xml:space="preserve"> 'FS Semi'!F81</f>
        <v>0</v>
      </c>
      <c r="G81" s="381" t="str">
        <f xml:space="preserve"> 'FS Semi'!G81</f>
        <v>$ 000s</v>
      </c>
      <c r="H81" s="16">
        <f xml:space="preserve"> SUM(J81:BB81)</f>
        <v>0</v>
      </c>
      <c r="I81" s="16"/>
      <c r="J81" s="16">
        <f xml:space="preserve"> SUMIFS('FS Semi'!$J81:$CV81, 'FS Semi'!$J$4:$CV$4, 'FS Ann'!J$4)</f>
        <v>0</v>
      </c>
      <c r="K81" s="16">
        <f xml:space="preserve"> SUMIFS('FS Semi'!$J81:$CV81, 'FS Semi'!$J$4:$CV$4, 'FS Ann'!K$4)</f>
        <v>0</v>
      </c>
      <c r="L81" s="16">
        <f xml:space="preserve"> SUMIFS('FS Semi'!$J81:$CV81, 'FS Semi'!$J$4:$CV$4, 'FS Ann'!L$4)</f>
        <v>0</v>
      </c>
      <c r="M81" s="16">
        <f xml:space="preserve"> SUMIFS('FS Semi'!$J81:$CV81, 'FS Semi'!$J$4:$CV$4, 'FS Ann'!M$4)</f>
        <v>0</v>
      </c>
      <c r="N81" s="16">
        <f xml:space="preserve"> SUMIFS('FS Semi'!$J81:$CV81, 'FS Semi'!$J$4:$CV$4, 'FS Ann'!N$4)</f>
        <v>0</v>
      </c>
      <c r="O81" s="16">
        <f xml:space="preserve"> SUMIFS('FS Semi'!$J81:$CV81, 'FS Semi'!$J$4:$CV$4, 'FS Ann'!O$4)</f>
        <v>0</v>
      </c>
      <c r="P81" s="16">
        <f xml:space="preserve"> SUMIFS('FS Semi'!$J81:$CV81, 'FS Semi'!$J$4:$CV$4, 'FS Ann'!P$4)</f>
        <v>0</v>
      </c>
      <c r="Q81" s="16">
        <f xml:space="preserve"> SUMIFS('FS Semi'!$J81:$CV81, 'FS Semi'!$J$4:$CV$4, 'FS Ann'!Q$4)</f>
        <v>0</v>
      </c>
      <c r="R81" s="16">
        <f xml:space="preserve"> SUMIFS('FS Semi'!$J81:$CV81, 'FS Semi'!$J$4:$CV$4, 'FS Ann'!R$4)</f>
        <v>0</v>
      </c>
      <c r="S81" s="16">
        <f xml:space="preserve"> SUMIFS('FS Semi'!$J81:$CV81, 'FS Semi'!$J$4:$CV$4, 'FS Ann'!S$4)</f>
        <v>0</v>
      </c>
      <c r="T81" s="16">
        <f xml:space="preserve"> SUMIFS('FS Semi'!$J81:$CV81, 'FS Semi'!$J$4:$CV$4, 'FS Ann'!T$4)</f>
        <v>0</v>
      </c>
      <c r="U81" s="16">
        <f xml:space="preserve"> SUMIFS('FS Semi'!$J81:$CV81, 'FS Semi'!$J$4:$CV$4, 'FS Ann'!U$4)</f>
        <v>0</v>
      </c>
      <c r="V81" s="16">
        <f xml:space="preserve"> SUMIFS('FS Semi'!$J81:$CV81, 'FS Semi'!$J$4:$CV$4, 'FS Ann'!V$4)</f>
        <v>0</v>
      </c>
      <c r="W81" s="16">
        <f xml:space="preserve"> SUMIFS('FS Semi'!$J81:$CV81, 'FS Semi'!$J$4:$CV$4, 'FS Ann'!W$4)</f>
        <v>0</v>
      </c>
      <c r="X81" s="16">
        <f xml:space="preserve"> SUMIFS('FS Semi'!$J81:$CV81, 'FS Semi'!$J$4:$CV$4, 'FS Ann'!X$4)</f>
        <v>0</v>
      </c>
      <c r="Y81" s="16">
        <f xml:space="preserve"> SUMIFS('FS Semi'!$J81:$CV81, 'FS Semi'!$J$4:$CV$4, 'FS Ann'!Y$4)</f>
        <v>0</v>
      </c>
      <c r="Z81" s="16">
        <f xml:space="preserve"> SUMIFS('FS Semi'!$J81:$CV81, 'FS Semi'!$J$4:$CV$4, 'FS Ann'!Z$4)</f>
        <v>0</v>
      </c>
      <c r="AA81" s="16">
        <f xml:space="preserve"> SUMIFS('FS Semi'!$J81:$CV81, 'FS Semi'!$J$4:$CV$4, 'FS Ann'!AA$4)</f>
        <v>0</v>
      </c>
      <c r="AB81" s="16">
        <f xml:space="preserve"> SUMIFS('FS Semi'!$J81:$CV81, 'FS Semi'!$J$4:$CV$4, 'FS Ann'!AB$4)</f>
        <v>0</v>
      </c>
      <c r="AC81" s="16">
        <f xml:space="preserve"> SUMIFS('FS Semi'!$J81:$CV81, 'FS Semi'!$J$4:$CV$4, 'FS Ann'!AC$4)</f>
        <v>0</v>
      </c>
      <c r="AD81" s="16">
        <f xml:space="preserve"> SUMIFS('FS Semi'!$J81:$CV81, 'FS Semi'!$J$4:$CV$4, 'FS Ann'!AD$4)</f>
        <v>0</v>
      </c>
      <c r="AE81" s="16">
        <f xml:space="preserve"> SUMIFS('FS Semi'!$J81:$CV81, 'FS Semi'!$J$4:$CV$4, 'FS Ann'!AE$4)</f>
        <v>0</v>
      </c>
      <c r="AF81" s="16">
        <f xml:space="preserve"> SUMIFS('FS Semi'!$J81:$CV81, 'FS Semi'!$J$4:$CV$4, 'FS Ann'!AF$4)</f>
        <v>0</v>
      </c>
      <c r="AG81" s="16">
        <f xml:space="preserve"> SUMIFS('FS Semi'!$J81:$CV81, 'FS Semi'!$J$4:$CV$4, 'FS Ann'!AG$4)</f>
        <v>0</v>
      </c>
      <c r="AH81" s="16">
        <f xml:space="preserve"> SUMIFS('FS Semi'!$J81:$CV81, 'FS Semi'!$J$4:$CV$4, 'FS Ann'!AH$4)</f>
        <v>0</v>
      </c>
      <c r="AI81" s="16">
        <f xml:space="preserve"> SUMIFS('FS Semi'!$J81:$CV81, 'FS Semi'!$J$4:$CV$4, 'FS Ann'!AI$4)</f>
        <v>0</v>
      </c>
      <c r="AJ81" s="16">
        <f xml:space="preserve"> SUMIFS('FS Semi'!$J81:$CV81, 'FS Semi'!$J$4:$CV$4, 'FS Ann'!AJ$4)</f>
        <v>0</v>
      </c>
      <c r="AK81" s="16">
        <f xml:space="preserve"> SUMIFS('FS Semi'!$J81:$CV81, 'FS Semi'!$J$4:$CV$4, 'FS Ann'!AK$4)</f>
        <v>0</v>
      </c>
      <c r="AL81" s="16">
        <f xml:space="preserve"> SUMIFS('FS Semi'!$J81:$CV81, 'FS Semi'!$J$4:$CV$4, 'FS Ann'!AL$4)</f>
        <v>0</v>
      </c>
      <c r="AM81" s="16">
        <f xml:space="preserve"> SUMIFS('FS Semi'!$J81:$CV81, 'FS Semi'!$J$4:$CV$4, 'FS Ann'!AM$4)</f>
        <v>0</v>
      </c>
      <c r="AN81" s="16">
        <f xml:space="preserve"> SUMIFS('FS Semi'!$J81:$CV81, 'FS Semi'!$J$4:$CV$4, 'FS Ann'!AN$4)</f>
        <v>0</v>
      </c>
      <c r="AO81" s="16">
        <f xml:space="preserve"> SUMIFS('FS Semi'!$J81:$CV81, 'FS Semi'!$J$4:$CV$4, 'FS Ann'!AO$4)</f>
        <v>0</v>
      </c>
      <c r="AP81" s="16">
        <f xml:space="preserve"> SUMIFS('FS Semi'!$J81:$CV81, 'FS Semi'!$J$4:$CV$4, 'FS Ann'!AP$4)</f>
        <v>0</v>
      </c>
      <c r="AQ81" s="16">
        <f xml:space="preserve"> SUMIFS('FS Semi'!$J81:$CV81, 'FS Semi'!$J$4:$CV$4, 'FS Ann'!AQ$4)</f>
        <v>0</v>
      </c>
      <c r="AR81" s="16">
        <f xml:space="preserve"> SUMIFS('FS Semi'!$J81:$CV81, 'FS Semi'!$J$4:$CV$4, 'FS Ann'!AR$4)</f>
        <v>0</v>
      </c>
      <c r="AS81" s="16">
        <f xml:space="preserve"> SUMIFS('FS Semi'!$J81:$CV81, 'FS Semi'!$J$4:$CV$4, 'FS Ann'!AS$4)</f>
        <v>0</v>
      </c>
      <c r="AT81" s="16">
        <f xml:space="preserve"> SUMIFS('FS Semi'!$J81:$CV81, 'FS Semi'!$J$4:$CV$4, 'FS Ann'!AT$4)</f>
        <v>0</v>
      </c>
      <c r="AU81" s="16">
        <f xml:space="preserve"> SUMIFS('FS Semi'!$J81:$CV81, 'FS Semi'!$J$4:$CV$4, 'FS Ann'!AU$4)</f>
        <v>0</v>
      </c>
      <c r="AV81" s="16">
        <f xml:space="preserve"> SUMIFS('FS Semi'!$J81:$CV81, 'FS Semi'!$J$4:$CV$4, 'FS Ann'!AV$4)</f>
        <v>0</v>
      </c>
      <c r="AW81" s="16">
        <f xml:space="preserve"> SUMIFS('FS Semi'!$J81:$CV81, 'FS Semi'!$J$4:$CV$4, 'FS Ann'!AW$4)</f>
        <v>0</v>
      </c>
      <c r="AX81" s="16">
        <f xml:space="preserve"> SUMIFS('FS Semi'!$J81:$CV81, 'FS Semi'!$J$4:$CV$4, 'FS Ann'!AX$4)</f>
        <v>0</v>
      </c>
      <c r="AY81" s="16">
        <f xml:space="preserve"> SUMIFS('FS Semi'!$J81:$CV81, 'FS Semi'!$J$4:$CV$4, 'FS Ann'!AY$4)</f>
        <v>0</v>
      </c>
      <c r="AZ81" s="16">
        <f xml:space="preserve"> SUMIFS('FS Semi'!$J81:$CV81, 'FS Semi'!$J$4:$CV$4, 'FS Ann'!AZ$4)</f>
        <v>0</v>
      </c>
      <c r="BA81" s="16">
        <f xml:space="preserve"> SUMIFS('FS Semi'!$J81:$CV81, 'FS Semi'!$J$4:$CV$4, 'FS Ann'!BA$4)</f>
        <v>0</v>
      </c>
      <c r="BB81" s="16">
        <f xml:space="preserve"> SUMIFS('FS Semi'!$J81:$CV81, 'FS Semi'!$J$4:$CV$4, 'FS Ann'!BB$4)</f>
        <v>0</v>
      </c>
    </row>
    <row r="82" spans="1:54" outlineLevel="1" x14ac:dyDescent="0.2">
      <c r="A82" s="205"/>
      <c r="B82" s="205"/>
      <c r="C82" s="206"/>
      <c r="D82" s="209"/>
      <c r="E82" s="232" t="s">
        <v>851</v>
      </c>
      <c r="F82" s="232"/>
      <c r="G82" s="232" t="str">
        <f>SMU</f>
        <v>$ 000s</v>
      </c>
      <c r="H82" s="232">
        <f xml:space="preserve"> SUM(J82:GJ82)</f>
        <v>236602.7438030898</v>
      </c>
      <c r="I82" s="232"/>
      <c r="J82" s="232">
        <f t="shared" ref="J82:BB82" si="30" xml:space="preserve"> J77 + SUM(J79:J81)</f>
        <v>-1.5558398445136845E-6</v>
      </c>
      <c r="K82" s="232">
        <f t="shared" si="30"/>
        <v>-2.922103158198297E-5</v>
      </c>
      <c r="L82" s="232">
        <f t="shared" si="30"/>
        <v>-3.9870376931503415E-3</v>
      </c>
      <c r="M82" s="232">
        <f t="shared" si="30"/>
        <v>9377.5045849436974</v>
      </c>
      <c r="N82" s="232">
        <f t="shared" si="30"/>
        <v>8822.6192523653262</v>
      </c>
      <c r="O82" s="232">
        <f t="shared" si="30"/>
        <v>8758.4907204090123</v>
      </c>
      <c r="P82" s="232">
        <f t="shared" si="30"/>
        <v>8729.4068142004962</v>
      </c>
      <c r="Q82" s="232">
        <f t="shared" si="30"/>
        <v>8637.676339645137</v>
      </c>
      <c r="R82" s="232">
        <f t="shared" si="30"/>
        <v>8585.2751046497469</v>
      </c>
      <c r="S82" s="232">
        <f t="shared" si="30"/>
        <v>8519.4799931641028</v>
      </c>
      <c r="T82" s="232">
        <f t="shared" si="30"/>
        <v>8487.6744858786951</v>
      </c>
      <c r="U82" s="232">
        <f t="shared" si="30"/>
        <v>8395.0765545803424</v>
      </c>
      <c r="V82" s="232">
        <f t="shared" si="30"/>
        <v>8348.1047430651652</v>
      </c>
      <c r="W82" s="232">
        <f t="shared" si="30"/>
        <v>8274.7557748994077</v>
      </c>
      <c r="X82" s="232">
        <f t="shared" si="30"/>
        <v>8240.6105069607293</v>
      </c>
      <c r="Y82" s="232">
        <f t="shared" si="30"/>
        <v>8147.6290010888188</v>
      </c>
      <c r="Z82" s="232">
        <f t="shared" si="30"/>
        <v>8098.8119937501287</v>
      </c>
      <c r="AA82" s="232">
        <f t="shared" si="30"/>
        <v>8030.1995383415779</v>
      </c>
      <c r="AB82" s="232">
        <f t="shared" si="30"/>
        <v>7993.0882092172178</v>
      </c>
      <c r="AC82" s="232">
        <f t="shared" si="30"/>
        <v>17565.645727618437</v>
      </c>
      <c r="AD82" s="232">
        <f t="shared" si="30"/>
        <v>27069.222895373736</v>
      </c>
      <c r="AE82" s="232">
        <f t="shared" si="30"/>
        <v>26769.915134067825</v>
      </c>
      <c r="AF82" s="232">
        <f t="shared" si="30"/>
        <v>29751.56044668478</v>
      </c>
      <c r="AG82" s="232">
        <f t="shared" si="30"/>
        <v>0</v>
      </c>
      <c r="AH82" s="232">
        <f t="shared" si="30"/>
        <v>0</v>
      </c>
      <c r="AI82" s="232">
        <f t="shared" si="30"/>
        <v>0</v>
      </c>
      <c r="AJ82" s="232">
        <f t="shared" si="30"/>
        <v>0</v>
      </c>
      <c r="AK82" s="232">
        <f t="shared" si="30"/>
        <v>0</v>
      </c>
      <c r="AL82" s="232">
        <f t="shared" si="30"/>
        <v>0</v>
      </c>
      <c r="AM82" s="232">
        <f t="shared" si="30"/>
        <v>0</v>
      </c>
      <c r="AN82" s="232">
        <f t="shared" si="30"/>
        <v>0</v>
      </c>
      <c r="AO82" s="232">
        <f t="shared" si="30"/>
        <v>0</v>
      </c>
      <c r="AP82" s="232">
        <f t="shared" si="30"/>
        <v>0</v>
      </c>
      <c r="AQ82" s="232">
        <f t="shared" si="30"/>
        <v>0</v>
      </c>
      <c r="AR82" s="232">
        <f t="shared" si="30"/>
        <v>0</v>
      </c>
      <c r="AS82" s="232">
        <f t="shared" si="30"/>
        <v>0</v>
      </c>
      <c r="AT82" s="232">
        <f t="shared" si="30"/>
        <v>0</v>
      </c>
      <c r="AU82" s="232">
        <f t="shared" si="30"/>
        <v>0</v>
      </c>
      <c r="AV82" s="232">
        <f t="shared" si="30"/>
        <v>0</v>
      </c>
      <c r="AW82" s="232">
        <f t="shared" si="30"/>
        <v>0</v>
      </c>
      <c r="AX82" s="232">
        <f t="shared" si="30"/>
        <v>0</v>
      </c>
      <c r="AY82" s="232">
        <f t="shared" si="30"/>
        <v>0</v>
      </c>
      <c r="AZ82" s="232">
        <f t="shared" si="30"/>
        <v>0</v>
      </c>
      <c r="BA82" s="232">
        <f t="shared" si="30"/>
        <v>0</v>
      </c>
      <c r="BB82" s="232">
        <f t="shared" si="30"/>
        <v>0</v>
      </c>
    </row>
    <row r="83" spans="1:54" outlineLevel="1" x14ac:dyDescent="0.2">
      <c r="A83" s="1"/>
      <c r="B83" s="1"/>
      <c r="C83" s="19"/>
      <c r="D83" s="83"/>
      <c r="E83" s="16"/>
      <c r="F83" s="16"/>
      <c r="G83" s="381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outlineLevel="1" x14ac:dyDescent="0.2">
      <c r="A84" s="1"/>
      <c r="B84" s="1"/>
      <c r="C84" s="19"/>
      <c r="D84" s="83"/>
      <c r="E84" s="16" t="str">
        <f xml:space="preserve"> 'FS Semi'!E84</f>
        <v>Equity bridge interest</v>
      </c>
      <c r="F84" s="16">
        <f xml:space="preserve"> 'FS Semi'!F84</f>
        <v>0</v>
      </c>
      <c r="G84" s="381" t="str">
        <f xml:space="preserve"> 'FS Semi'!G84</f>
        <v>$ 000s</v>
      </c>
      <c r="H84" s="16">
        <f t="shared" ref="H84:H85" si="31" xml:space="preserve"> SUM(J84:BB84)</f>
        <v>0</v>
      </c>
      <c r="I84" s="16"/>
      <c r="J84" s="16">
        <f xml:space="preserve"> SUMIFS('FS Semi'!$J84:$CV84, 'FS Semi'!$J$4:$CV$4, 'FS Ann'!J$4)</f>
        <v>0</v>
      </c>
      <c r="K84" s="16">
        <f xml:space="preserve"> SUMIFS('FS Semi'!$J84:$CV84, 'FS Semi'!$J$4:$CV$4, 'FS Ann'!K$4)</f>
        <v>0</v>
      </c>
      <c r="L84" s="16">
        <f xml:space="preserve"> SUMIFS('FS Semi'!$J84:$CV84, 'FS Semi'!$J$4:$CV$4, 'FS Ann'!L$4)</f>
        <v>0</v>
      </c>
      <c r="M84" s="16">
        <f xml:space="preserve"> SUMIFS('FS Semi'!$J84:$CV84, 'FS Semi'!$J$4:$CV$4, 'FS Ann'!M$4)</f>
        <v>0</v>
      </c>
      <c r="N84" s="16">
        <f xml:space="preserve"> SUMIFS('FS Semi'!$J84:$CV84, 'FS Semi'!$J$4:$CV$4, 'FS Ann'!N$4)</f>
        <v>0</v>
      </c>
      <c r="O84" s="16">
        <f xml:space="preserve"> SUMIFS('FS Semi'!$J84:$CV84, 'FS Semi'!$J$4:$CV$4, 'FS Ann'!O$4)</f>
        <v>0</v>
      </c>
      <c r="P84" s="16">
        <f xml:space="preserve"> SUMIFS('FS Semi'!$J84:$CV84, 'FS Semi'!$J$4:$CV$4, 'FS Ann'!P$4)</f>
        <v>0</v>
      </c>
      <c r="Q84" s="16">
        <f xml:space="preserve"> SUMIFS('FS Semi'!$J84:$CV84, 'FS Semi'!$J$4:$CV$4, 'FS Ann'!Q$4)</f>
        <v>0</v>
      </c>
      <c r="R84" s="16">
        <f xml:space="preserve"> SUMIFS('FS Semi'!$J84:$CV84, 'FS Semi'!$J$4:$CV$4, 'FS Ann'!R$4)</f>
        <v>0</v>
      </c>
      <c r="S84" s="16">
        <f xml:space="preserve"> SUMIFS('FS Semi'!$J84:$CV84, 'FS Semi'!$J$4:$CV$4, 'FS Ann'!S$4)</f>
        <v>0</v>
      </c>
      <c r="T84" s="16">
        <f xml:space="preserve"> SUMIFS('FS Semi'!$J84:$CV84, 'FS Semi'!$J$4:$CV$4, 'FS Ann'!T$4)</f>
        <v>0</v>
      </c>
      <c r="U84" s="16">
        <f xml:space="preserve"> SUMIFS('FS Semi'!$J84:$CV84, 'FS Semi'!$J$4:$CV$4, 'FS Ann'!U$4)</f>
        <v>0</v>
      </c>
      <c r="V84" s="16">
        <f xml:space="preserve"> SUMIFS('FS Semi'!$J84:$CV84, 'FS Semi'!$J$4:$CV$4, 'FS Ann'!V$4)</f>
        <v>0</v>
      </c>
      <c r="W84" s="16">
        <f xml:space="preserve"> SUMIFS('FS Semi'!$J84:$CV84, 'FS Semi'!$J$4:$CV$4, 'FS Ann'!W$4)</f>
        <v>0</v>
      </c>
      <c r="X84" s="16">
        <f xml:space="preserve"> SUMIFS('FS Semi'!$J84:$CV84, 'FS Semi'!$J$4:$CV$4, 'FS Ann'!X$4)</f>
        <v>0</v>
      </c>
      <c r="Y84" s="16">
        <f xml:space="preserve"> SUMIFS('FS Semi'!$J84:$CV84, 'FS Semi'!$J$4:$CV$4, 'FS Ann'!Y$4)</f>
        <v>0</v>
      </c>
      <c r="Z84" s="16">
        <f xml:space="preserve"> SUMIFS('FS Semi'!$J84:$CV84, 'FS Semi'!$J$4:$CV$4, 'FS Ann'!Z$4)</f>
        <v>0</v>
      </c>
      <c r="AA84" s="16">
        <f xml:space="preserve"> SUMIFS('FS Semi'!$J84:$CV84, 'FS Semi'!$J$4:$CV$4, 'FS Ann'!AA$4)</f>
        <v>0</v>
      </c>
      <c r="AB84" s="16">
        <f xml:space="preserve"> SUMIFS('FS Semi'!$J84:$CV84, 'FS Semi'!$J$4:$CV$4, 'FS Ann'!AB$4)</f>
        <v>0</v>
      </c>
      <c r="AC84" s="16">
        <f xml:space="preserve"> SUMIFS('FS Semi'!$J84:$CV84, 'FS Semi'!$J$4:$CV$4, 'FS Ann'!AC$4)</f>
        <v>0</v>
      </c>
      <c r="AD84" s="16">
        <f xml:space="preserve"> SUMIFS('FS Semi'!$J84:$CV84, 'FS Semi'!$J$4:$CV$4, 'FS Ann'!AD$4)</f>
        <v>0</v>
      </c>
      <c r="AE84" s="16">
        <f xml:space="preserve"> SUMIFS('FS Semi'!$J84:$CV84, 'FS Semi'!$J$4:$CV$4, 'FS Ann'!AE$4)</f>
        <v>0</v>
      </c>
      <c r="AF84" s="16">
        <f xml:space="preserve"> SUMIFS('FS Semi'!$J84:$CV84, 'FS Semi'!$J$4:$CV$4, 'FS Ann'!AF$4)</f>
        <v>0</v>
      </c>
      <c r="AG84" s="16">
        <f xml:space="preserve"> SUMIFS('FS Semi'!$J84:$CV84, 'FS Semi'!$J$4:$CV$4, 'FS Ann'!AG$4)</f>
        <v>0</v>
      </c>
      <c r="AH84" s="16">
        <f xml:space="preserve"> SUMIFS('FS Semi'!$J84:$CV84, 'FS Semi'!$J$4:$CV$4, 'FS Ann'!AH$4)</f>
        <v>0</v>
      </c>
      <c r="AI84" s="16">
        <f xml:space="preserve"> SUMIFS('FS Semi'!$J84:$CV84, 'FS Semi'!$J$4:$CV$4, 'FS Ann'!AI$4)</f>
        <v>0</v>
      </c>
      <c r="AJ84" s="16">
        <f xml:space="preserve"> SUMIFS('FS Semi'!$J84:$CV84, 'FS Semi'!$J$4:$CV$4, 'FS Ann'!AJ$4)</f>
        <v>0</v>
      </c>
      <c r="AK84" s="16">
        <f xml:space="preserve"> SUMIFS('FS Semi'!$J84:$CV84, 'FS Semi'!$J$4:$CV$4, 'FS Ann'!AK$4)</f>
        <v>0</v>
      </c>
      <c r="AL84" s="16">
        <f xml:space="preserve"> SUMIFS('FS Semi'!$J84:$CV84, 'FS Semi'!$J$4:$CV$4, 'FS Ann'!AL$4)</f>
        <v>0</v>
      </c>
      <c r="AM84" s="16">
        <f xml:space="preserve"> SUMIFS('FS Semi'!$J84:$CV84, 'FS Semi'!$J$4:$CV$4, 'FS Ann'!AM$4)</f>
        <v>0</v>
      </c>
      <c r="AN84" s="16">
        <f xml:space="preserve"> SUMIFS('FS Semi'!$J84:$CV84, 'FS Semi'!$J$4:$CV$4, 'FS Ann'!AN$4)</f>
        <v>0</v>
      </c>
      <c r="AO84" s="16">
        <f xml:space="preserve"> SUMIFS('FS Semi'!$J84:$CV84, 'FS Semi'!$J$4:$CV$4, 'FS Ann'!AO$4)</f>
        <v>0</v>
      </c>
      <c r="AP84" s="16">
        <f xml:space="preserve"> SUMIFS('FS Semi'!$J84:$CV84, 'FS Semi'!$J$4:$CV$4, 'FS Ann'!AP$4)</f>
        <v>0</v>
      </c>
      <c r="AQ84" s="16">
        <f xml:space="preserve"> SUMIFS('FS Semi'!$J84:$CV84, 'FS Semi'!$J$4:$CV$4, 'FS Ann'!AQ$4)</f>
        <v>0</v>
      </c>
      <c r="AR84" s="16">
        <f xml:space="preserve"> SUMIFS('FS Semi'!$J84:$CV84, 'FS Semi'!$J$4:$CV$4, 'FS Ann'!AR$4)</f>
        <v>0</v>
      </c>
      <c r="AS84" s="16">
        <f xml:space="preserve"> SUMIFS('FS Semi'!$J84:$CV84, 'FS Semi'!$J$4:$CV$4, 'FS Ann'!AS$4)</f>
        <v>0</v>
      </c>
      <c r="AT84" s="16">
        <f xml:space="preserve"> SUMIFS('FS Semi'!$J84:$CV84, 'FS Semi'!$J$4:$CV$4, 'FS Ann'!AT$4)</f>
        <v>0</v>
      </c>
      <c r="AU84" s="16">
        <f xml:space="preserve"> SUMIFS('FS Semi'!$J84:$CV84, 'FS Semi'!$J$4:$CV$4, 'FS Ann'!AU$4)</f>
        <v>0</v>
      </c>
      <c r="AV84" s="16">
        <f xml:space="preserve"> SUMIFS('FS Semi'!$J84:$CV84, 'FS Semi'!$J$4:$CV$4, 'FS Ann'!AV$4)</f>
        <v>0</v>
      </c>
      <c r="AW84" s="16">
        <f xml:space="preserve"> SUMIFS('FS Semi'!$J84:$CV84, 'FS Semi'!$J$4:$CV$4, 'FS Ann'!AW$4)</f>
        <v>0</v>
      </c>
      <c r="AX84" s="16">
        <f xml:space="preserve"> SUMIFS('FS Semi'!$J84:$CV84, 'FS Semi'!$J$4:$CV$4, 'FS Ann'!AX$4)</f>
        <v>0</v>
      </c>
      <c r="AY84" s="16">
        <f xml:space="preserve"> SUMIFS('FS Semi'!$J84:$CV84, 'FS Semi'!$J$4:$CV$4, 'FS Ann'!AY$4)</f>
        <v>0</v>
      </c>
      <c r="AZ84" s="16">
        <f xml:space="preserve"> SUMIFS('FS Semi'!$J84:$CV84, 'FS Semi'!$J$4:$CV$4, 'FS Ann'!AZ$4)</f>
        <v>0</v>
      </c>
      <c r="BA84" s="16">
        <f xml:space="preserve"> SUMIFS('FS Semi'!$J84:$CV84, 'FS Semi'!$J$4:$CV$4, 'FS Ann'!BA$4)</f>
        <v>0</v>
      </c>
      <c r="BB84" s="16">
        <f xml:space="preserve"> SUMIFS('FS Semi'!$J84:$CV84, 'FS Semi'!$J$4:$CV$4, 'FS Ann'!BB$4)</f>
        <v>0</v>
      </c>
    </row>
    <row r="85" spans="1:54" outlineLevel="1" x14ac:dyDescent="0.2">
      <c r="A85" s="1"/>
      <c r="B85" s="1"/>
      <c r="C85" s="19"/>
      <c r="D85" s="83"/>
      <c r="E85" s="232" t="s">
        <v>347</v>
      </c>
      <c r="F85" s="84"/>
      <c r="G85" s="324" t="str">
        <f>SMU</f>
        <v>$ 000s</v>
      </c>
      <c r="H85" s="84">
        <f t="shared" si="31"/>
        <v>236602.7438030898</v>
      </c>
      <c r="I85" s="84"/>
      <c r="J85" s="84">
        <f t="shared" ref="J85:BB85" si="32" xml:space="preserve"> J82 + J84</f>
        <v>-1.5558398445136845E-6</v>
      </c>
      <c r="K85" s="84">
        <f t="shared" si="32"/>
        <v>-2.922103158198297E-5</v>
      </c>
      <c r="L85" s="84">
        <f t="shared" si="32"/>
        <v>-3.9870376931503415E-3</v>
      </c>
      <c r="M85" s="84">
        <f t="shared" si="32"/>
        <v>9377.5045849436974</v>
      </c>
      <c r="N85" s="84">
        <f t="shared" si="32"/>
        <v>8822.6192523653262</v>
      </c>
      <c r="O85" s="84">
        <f t="shared" si="32"/>
        <v>8758.4907204090123</v>
      </c>
      <c r="P85" s="84">
        <f t="shared" si="32"/>
        <v>8729.4068142004962</v>
      </c>
      <c r="Q85" s="84">
        <f t="shared" si="32"/>
        <v>8637.676339645137</v>
      </c>
      <c r="R85" s="84">
        <f t="shared" si="32"/>
        <v>8585.2751046497469</v>
      </c>
      <c r="S85" s="84">
        <f t="shared" si="32"/>
        <v>8519.4799931641028</v>
      </c>
      <c r="T85" s="84">
        <f t="shared" si="32"/>
        <v>8487.6744858786951</v>
      </c>
      <c r="U85" s="84">
        <f t="shared" si="32"/>
        <v>8395.0765545803424</v>
      </c>
      <c r="V85" s="84">
        <f t="shared" si="32"/>
        <v>8348.1047430651652</v>
      </c>
      <c r="W85" s="84">
        <f t="shared" si="32"/>
        <v>8274.7557748994077</v>
      </c>
      <c r="X85" s="84">
        <f t="shared" si="32"/>
        <v>8240.6105069607293</v>
      </c>
      <c r="Y85" s="84">
        <f t="shared" si="32"/>
        <v>8147.6290010888188</v>
      </c>
      <c r="Z85" s="84">
        <f t="shared" si="32"/>
        <v>8098.8119937501287</v>
      </c>
      <c r="AA85" s="84">
        <f t="shared" si="32"/>
        <v>8030.1995383415779</v>
      </c>
      <c r="AB85" s="84">
        <f t="shared" si="32"/>
        <v>7993.0882092172178</v>
      </c>
      <c r="AC85" s="84">
        <f t="shared" si="32"/>
        <v>17565.645727618437</v>
      </c>
      <c r="AD85" s="84">
        <f t="shared" si="32"/>
        <v>27069.222895373736</v>
      </c>
      <c r="AE85" s="84">
        <f t="shared" si="32"/>
        <v>26769.915134067825</v>
      </c>
      <c r="AF85" s="84">
        <f t="shared" si="32"/>
        <v>29751.56044668478</v>
      </c>
      <c r="AG85" s="84">
        <f t="shared" si="32"/>
        <v>0</v>
      </c>
      <c r="AH85" s="84">
        <f t="shared" si="32"/>
        <v>0</v>
      </c>
      <c r="AI85" s="84">
        <f t="shared" si="32"/>
        <v>0</v>
      </c>
      <c r="AJ85" s="84">
        <f t="shared" si="32"/>
        <v>0</v>
      </c>
      <c r="AK85" s="84">
        <f t="shared" si="32"/>
        <v>0</v>
      </c>
      <c r="AL85" s="84">
        <f t="shared" si="32"/>
        <v>0</v>
      </c>
      <c r="AM85" s="84">
        <f t="shared" si="32"/>
        <v>0</v>
      </c>
      <c r="AN85" s="84">
        <f t="shared" si="32"/>
        <v>0</v>
      </c>
      <c r="AO85" s="84">
        <f t="shared" si="32"/>
        <v>0</v>
      </c>
      <c r="AP85" s="84">
        <f t="shared" si="32"/>
        <v>0</v>
      </c>
      <c r="AQ85" s="84">
        <f t="shared" si="32"/>
        <v>0</v>
      </c>
      <c r="AR85" s="84">
        <f t="shared" si="32"/>
        <v>0</v>
      </c>
      <c r="AS85" s="84">
        <f t="shared" si="32"/>
        <v>0</v>
      </c>
      <c r="AT85" s="84">
        <f t="shared" si="32"/>
        <v>0</v>
      </c>
      <c r="AU85" s="84">
        <f t="shared" si="32"/>
        <v>0</v>
      </c>
      <c r="AV85" s="84">
        <f t="shared" si="32"/>
        <v>0</v>
      </c>
      <c r="AW85" s="84">
        <f t="shared" si="32"/>
        <v>0</v>
      </c>
      <c r="AX85" s="84">
        <f t="shared" si="32"/>
        <v>0</v>
      </c>
      <c r="AY85" s="84">
        <f t="shared" si="32"/>
        <v>0</v>
      </c>
      <c r="AZ85" s="84">
        <f t="shared" si="32"/>
        <v>0</v>
      </c>
      <c r="BA85" s="84">
        <f t="shared" si="32"/>
        <v>0</v>
      </c>
      <c r="BB85" s="84">
        <f t="shared" si="32"/>
        <v>0</v>
      </c>
    </row>
    <row r="86" spans="1:54" outlineLevel="1" x14ac:dyDescent="0.2">
      <c r="A86" s="1"/>
      <c r="B86" s="1"/>
      <c r="C86" s="19"/>
      <c r="D86" s="83"/>
      <c r="E86" s="16"/>
      <c r="F86" s="16"/>
      <c r="G86" s="381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outlineLevel="1" x14ac:dyDescent="0.2">
      <c r="A87" s="1"/>
      <c r="B87" s="1"/>
      <c r="C87" s="19"/>
      <c r="D87" s="83"/>
      <c r="E87" s="16" t="str">
        <f xml:space="preserve"> 'FS Semi'!E87</f>
        <v>Shareholder loan interest paid</v>
      </c>
      <c r="F87" s="16">
        <f xml:space="preserve"> 'FS Semi'!F87</f>
        <v>0</v>
      </c>
      <c r="G87" s="381" t="str">
        <f xml:space="preserve"> 'FS Semi'!G87</f>
        <v>$ 000s</v>
      </c>
      <c r="H87" s="16">
        <f t="shared" si="14"/>
        <v>-209529.20963566503</v>
      </c>
      <c r="I87" s="16"/>
      <c r="J87" s="16">
        <f xml:space="preserve"> SUMIFS('FS Semi'!$J87:$CV87, 'FS Semi'!$J$4:$CV$4, 'FS Ann'!J$4)</f>
        <v>0</v>
      </c>
      <c r="K87" s="16">
        <f xml:space="preserve"> SUMIFS('FS Semi'!$J87:$CV87, 'FS Semi'!$J$4:$CV$4, 'FS Ann'!K$4)</f>
        <v>0</v>
      </c>
      <c r="L87" s="16">
        <f xml:space="preserve"> SUMIFS('FS Semi'!$J87:$CV87, 'FS Semi'!$J$4:$CV$4, 'FS Ann'!L$4)</f>
        <v>0</v>
      </c>
      <c r="M87" s="16">
        <f xml:space="preserve"> SUMIFS('FS Semi'!$J87:$CV87, 'FS Semi'!$J$4:$CV$4, 'FS Ann'!M$4)</f>
        <v>-9377.5005671291856</v>
      </c>
      <c r="N87" s="16">
        <f xml:space="preserve"> SUMIFS('FS Semi'!$J87:$CV87, 'FS Semi'!$J$4:$CV$4, 'FS Ann'!N$4)</f>
        <v>-8822.6192523653299</v>
      </c>
      <c r="O87" s="16">
        <f xml:space="preserve"> SUMIFS('FS Semi'!$J87:$CV87, 'FS Semi'!$J$4:$CV$4, 'FS Ann'!O$4)</f>
        <v>-8758.4907204090086</v>
      </c>
      <c r="P87" s="16">
        <f xml:space="preserve"> SUMIFS('FS Semi'!$J87:$CV87, 'FS Semi'!$J$4:$CV$4, 'FS Ann'!P$4)</f>
        <v>-8729.406814200498</v>
      </c>
      <c r="Q87" s="16">
        <f xml:space="preserve"> SUMIFS('FS Semi'!$J87:$CV87, 'FS Semi'!$J$4:$CV$4, 'FS Ann'!Q$4)</f>
        <v>-8637.6763396451333</v>
      </c>
      <c r="R87" s="16">
        <f xml:space="preserve"> SUMIFS('FS Semi'!$J87:$CV87, 'FS Semi'!$J$4:$CV$4, 'FS Ann'!R$4)</f>
        <v>-8585.2751046497415</v>
      </c>
      <c r="S87" s="16">
        <f xml:space="preserve"> SUMIFS('FS Semi'!$J87:$CV87, 'FS Semi'!$J$4:$CV$4, 'FS Ann'!S$4)</f>
        <v>-8519.4799931640973</v>
      </c>
      <c r="T87" s="16">
        <f xml:space="preserve"> SUMIFS('FS Semi'!$J87:$CV87, 'FS Semi'!$J$4:$CV$4, 'FS Ann'!T$4)</f>
        <v>-8487.6744858786951</v>
      </c>
      <c r="U87" s="16">
        <f xml:space="preserve"> SUMIFS('FS Semi'!$J87:$CV87, 'FS Semi'!$J$4:$CV$4, 'FS Ann'!U$4)</f>
        <v>-8395.076554580337</v>
      </c>
      <c r="V87" s="16">
        <f xml:space="preserve"> SUMIFS('FS Semi'!$J87:$CV87, 'FS Semi'!$J$4:$CV$4, 'FS Ann'!V$4)</f>
        <v>-8348.1047430651688</v>
      </c>
      <c r="W87" s="16">
        <f xml:space="preserve"> SUMIFS('FS Semi'!$J87:$CV87, 'FS Semi'!$J$4:$CV$4, 'FS Ann'!W$4)</f>
        <v>-8274.7557748994113</v>
      </c>
      <c r="X87" s="16">
        <f xml:space="preserve"> SUMIFS('FS Semi'!$J87:$CV87, 'FS Semi'!$J$4:$CV$4, 'FS Ann'!X$4)</f>
        <v>-8240.6105069607274</v>
      </c>
      <c r="Y87" s="16">
        <f xml:space="preserve"> SUMIFS('FS Semi'!$J87:$CV87, 'FS Semi'!$J$4:$CV$4, 'FS Ann'!Y$4)</f>
        <v>-8147.6290010888169</v>
      </c>
      <c r="Z87" s="16">
        <f xml:space="preserve"> SUMIFS('FS Semi'!$J87:$CV87, 'FS Semi'!$J$4:$CV$4, 'FS Ann'!Z$4)</f>
        <v>-8098.8119937501306</v>
      </c>
      <c r="AA87" s="16">
        <f xml:space="preserve"> SUMIFS('FS Semi'!$J87:$CV87, 'FS Semi'!$J$4:$CV$4, 'FS Ann'!AA$4)</f>
        <v>-8030.1995383415833</v>
      </c>
      <c r="AB87" s="16">
        <f xml:space="preserve"> SUMIFS('FS Semi'!$J87:$CV87, 'FS Semi'!$J$4:$CV$4, 'FS Ann'!AB$4)</f>
        <v>-7993.0882092172233</v>
      </c>
      <c r="AC87" s="16">
        <f xml:space="preserve"> SUMIFS('FS Semi'!$J87:$CV87, 'FS Semi'!$J$4:$CV$4, 'FS Ann'!AC$4)</f>
        <v>-17565.645727618437</v>
      </c>
      <c r="AD87" s="16">
        <f xml:space="preserve"> SUMIFS('FS Semi'!$J87:$CV87, 'FS Semi'!$J$4:$CV$4, 'FS Ann'!AD$4)</f>
        <v>-19758.183754718546</v>
      </c>
      <c r="AE87" s="16">
        <f xml:space="preserve"> SUMIFS('FS Semi'!$J87:$CV87, 'FS Semi'!$J$4:$CV$4, 'FS Ann'!AE$4)</f>
        <v>-18863.539080430062</v>
      </c>
      <c r="AF87" s="16">
        <f xml:space="preserve"> SUMIFS('FS Semi'!$J87:$CV87, 'FS Semi'!$J$4:$CV$4, 'FS Ann'!AF$4)</f>
        <v>-17895.441473552892</v>
      </c>
      <c r="AG87" s="16">
        <f xml:space="preserve"> SUMIFS('FS Semi'!$J87:$CV87, 'FS Semi'!$J$4:$CV$4, 'FS Ann'!AG$4)</f>
        <v>0</v>
      </c>
      <c r="AH87" s="16">
        <f xml:space="preserve"> SUMIFS('FS Semi'!$J87:$CV87, 'FS Semi'!$J$4:$CV$4, 'FS Ann'!AH$4)</f>
        <v>0</v>
      </c>
      <c r="AI87" s="16">
        <f xml:space="preserve"> SUMIFS('FS Semi'!$J87:$CV87, 'FS Semi'!$J$4:$CV$4, 'FS Ann'!AI$4)</f>
        <v>0</v>
      </c>
      <c r="AJ87" s="16">
        <f xml:space="preserve"> SUMIFS('FS Semi'!$J87:$CV87, 'FS Semi'!$J$4:$CV$4, 'FS Ann'!AJ$4)</f>
        <v>0</v>
      </c>
      <c r="AK87" s="16">
        <f xml:space="preserve"> SUMIFS('FS Semi'!$J87:$CV87, 'FS Semi'!$J$4:$CV$4, 'FS Ann'!AK$4)</f>
        <v>0</v>
      </c>
      <c r="AL87" s="16">
        <f xml:space="preserve"> SUMIFS('FS Semi'!$J87:$CV87, 'FS Semi'!$J$4:$CV$4, 'FS Ann'!AL$4)</f>
        <v>0</v>
      </c>
      <c r="AM87" s="16">
        <f xml:space="preserve"> SUMIFS('FS Semi'!$J87:$CV87, 'FS Semi'!$J$4:$CV$4, 'FS Ann'!AM$4)</f>
        <v>0</v>
      </c>
      <c r="AN87" s="16">
        <f xml:space="preserve"> SUMIFS('FS Semi'!$J87:$CV87, 'FS Semi'!$J$4:$CV$4, 'FS Ann'!AN$4)</f>
        <v>0</v>
      </c>
      <c r="AO87" s="16">
        <f xml:space="preserve"> SUMIFS('FS Semi'!$J87:$CV87, 'FS Semi'!$J$4:$CV$4, 'FS Ann'!AO$4)</f>
        <v>0</v>
      </c>
      <c r="AP87" s="16">
        <f xml:space="preserve"> SUMIFS('FS Semi'!$J87:$CV87, 'FS Semi'!$J$4:$CV$4, 'FS Ann'!AP$4)</f>
        <v>0</v>
      </c>
      <c r="AQ87" s="16">
        <f xml:space="preserve"> SUMIFS('FS Semi'!$J87:$CV87, 'FS Semi'!$J$4:$CV$4, 'FS Ann'!AQ$4)</f>
        <v>0</v>
      </c>
      <c r="AR87" s="16">
        <f xml:space="preserve"> SUMIFS('FS Semi'!$J87:$CV87, 'FS Semi'!$J$4:$CV$4, 'FS Ann'!AR$4)</f>
        <v>0</v>
      </c>
      <c r="AS87" s="16">
        <f xml:space="preserve"> SUMIFS('FS Semi'!$J87:$CV87, 'FS Semi'!$J$4:$CV$4, 'FS Ann'!AS$4)</f>
        <v>0</v>
      </c>
      <c r="AT87" s="16">
        <f xml:space="preserve"> SUMIFS('FS Semi'!$J87:$CV87, 'FS Semi'!$J$4:$CV$4, 'FS Ann'!AT$4)</f>
        <v>0</v>
      </c>
      <c r="AU87" s="16">
        <f xml:space="preserve"> SUMIFS('FS Semi'!$J87:$CV87, 'FS Semi'!$J$4:$CV$4, 'FS Ann'!AU$4)</f>
        <v>0</v>
      </c>
      <c r="AV87" s="16">
        <f xml:space="preserve"> SUMIFS('FS Semi'!$J87:$CV87, 'FS Semi'!$J$4:$CV$4, 'FS Ann'!AV$4)</f>
        <v>0</v>
      </c>
      <c r="AW87" s="16">
        <f xml:space="preserve"> SUMIFS('FS Semi'!$J87:$CV87, 'FS Semi'!$J$4:$CV$4, 'FS Ann'!AW$4)</f>
        <v>0</v>
      </c>
      <c r="AX87" s="16">
        <f xml:space="preserve"> SUMIFS('FS Semi'!$J87:$CV87, 'FS Semi'!$J$4:$CV$4, 'FS Ann'!AX$4)</f>
        <v>0</v>
      </c>
      <c r="AY87" s="16">
        <f xml:space="preserve"> SUMIFS('FS Semi'!$J87:$CV87, 'FS Semi'!$J$4:$CV$4, 'FS Ann'!AY$4)</f>
        <v>0</v>
      </c>
      <c r="AZ87" s="16">
        <f xml:space="preserve"> SUMIFS('FS Semi'!$J87:$CV87, 'FS Semi'!$J$4:$CV$4, 'FS Ann'!AZ$4)</f>
        <v>0</v>
      </c>
      <c r="BA87" s="16">
        <f xml:space="preserve"> SUMIFS('FS Semi'!$J87:$CV87, 'FS Semi'!$J$4:$CV$4, 'FS Ann'!BA$4)</f>
        <v>0</v>
      </c>
      <c r="BB87" s="16">
        <f xml:space="preserve"> SUMIFS('FS Semi'!$J87:$CV87, 'FS Semi'!$J$4:$CV$4, 'FS Ann'!BB$4)</f>
        <v>0</v>
      </c>
    </row>
    <row r="88" spans="1:54" outlineLevel="1" x14ac:dyDescent="0.2">
      <c r="A88" s="1"/>
      <c r="B88" s="1"/>
      <c r="C88" s="19"/>
      <c r="D88" s="83"/>
      <c r="E88" s="16" t="str">
        <f xml:space="preserve"> 'FS Semi'!E88</f>
        <v>Shareholder loan principal repayment</v>
      </c>
      <c r="F88" s="16">
        <f xml:space="preserve"> 'FS Semi'!F88</f>
        <v>0</v>
      </c>
      <c r="G88" s="381" t="str">
        <f xml:space="preserve"> 'FS Semi'!G88</f>
        <v>$ 000s</v>
      </c>
      <c r="H88" s="16">
        <f t="shared" si="14"/>
        <v>-27073.534167424834</v>
      </c>
      <c r="I88" s="16"/>
      <c r="J88" s="16">
        <f xml:space="preserve"> SUMIFS('FS Semi'!$J88:$CV88, 'FS Semi'!$J$4:$CV$4, 'FS Ann'!J$4)</f>
        <v>0</v>
      </c>
      <c r="K88" s="16">
        <f xml:space="preserve"> SUMIFS('FS Semi'!$J88:$CV88, 'FS Semi'!$J$4:$CV$4, 'FS Ann'!K$4)</f>
        <v>0</v>
      </c>
      <c r="L88" s="16">
        <f xml:space="preserve"> SUMIFS('FS Semi'!$J88:$CV88, 'FS Semi'!$J$4:$CV$4, 'FS Ann'!L$4)</f>
        <v>0</v>
      </c>
      <c r="M88" s="16">
        <f xml:space="preserve"> SUMIFS('FS Semi'!$J88:$CV88, 'FS Semi'!$J$4:$CV$4, 'FS Ann'!M$4)</f>
        <v>0</v>
      </c>
      <c r="N88" s="16">
        <f xml:space="preserve"> SUMIFS('FS Semi'!$J88:$CV88, 'FS Semi'!$J$4:$CV$4, 'FS Ann'!N$4)</f>
        <v>0</v>
      </c>
      <c r="O88" s="16">
        <f xml:space="preserve"> SUMIFS('FS Semi'!$J88:$CV88, 'FS Semi'!$J$4:$CV$4, 'FS Ann'!O$4)</f>
        <v>0</v>
      </c>
      <c r="P88" s="16">
        <f xml:space="preserve"> SUMIFS('FS Semi'!$J88:$CV88, 'FS Semi'!$J$4:$CV$4, 'FS Ann'!P$4)</f>
        <v>0</v>
      </c>
      <c r="Q88" s="16">
        <f xml:space="preserve"> SUMIFS('FS Semi'!$J88:$CV88, 'FS Semi'!$J$4:$CV$4, 'FS Ann'!Q$4)</f>
        <v>0</v>
      </c>
      <c r="R88" s="16">
        <f xml:space="preserve"> SUMIFS('FS Semi'!$J88:$CV88, 'FS Semi'!$J$4:$CV$4, 'FS Ann'!R$4)</f>
        <v>0</v>
      </c>
      <c r="S88" s="16">
        <f xml:space="preserve"> SUMIFS('FS Semi'!$J88:$CV88, 'FS Semi'!$J$4:$CV$4, 'FS Ann'!S$4)</f>
        <v>0</v>
      </c>
      <c r="T88" s="16">
        <f xml:space="preserve"> SUMIFS('FS Semi'!$J88:$CV88, 'FS Semi'!$J$4:$CV$4, 'FS Ann'!T$4)</f>
        <v>0</v>
      </c>
      <c r="U88" s="16">
        <f xml:space="preserve"> SUMIFS('FS Semi'!$J88:$CV88, 'FS Semi'!$J$4:$CV$4, 'FS Ann'!U$4)</f>
        <v>0</v>
      </c>
      <c r="V88" s="16">
        <f xml:space="preserve"> SUMIFS('FS Semi'!$J88:$CV88, 'FS Semi'!$J$4:$CV$4, 'FS Ann'!V$4)</f>
        <v>0</v>
      </c>
      <c r="W88" s="16">
        <f xml:space="preserve"> SUMIFS('FS Semi'!$J88:$CV88, 'FS Semi'!$J$4:$CV$4, 'FS Ann'!W$4)</f>
        <v>0</v>
      </c>
      <c r="X88" s="16">
        <f xml:space="preserve"> SUMIFS('FS Semi'!$J88:$CV88, 'FS Semi'!$J$4:$CV$4, 'FS Ann'!X$4)</f>
        <v>0</v>
      </c>
      <c r="Y88" s="16">
        <f xml:space="preserve"> SUMIFS('FS Semi'!$J88:$CV88, 'FS Semi'!$J$4:$CV$4, 'FS Ann'!Y$4)</f>
        <v>0</v>
      </c>
      <c r="Z88" s="16">
        <f xml:space="preserve"> SUMIFS('FS Semi'!$J88:$CV88, 'FS Semi'!$J$4:$CV$4, 'FS Ann'!Z$4)</f>
        <v>0</v>
      </c>
      <c r="AA88" s="16">
        <f xml:space="preserve"> SUMIFS('FS Semi'!$J88:$CV88, 'FS Semi'!$J$4:$CV$4, 'FS Ann'!AA$4)</f>
        <v>0</v>
      </c>
      <c r="AB88" s="16">
        <f xml:space="preserve"> SUMIFS('FS Semi'!$J88:$CV88, 'FS Semi'!$J$4:$CV$4, 'FS Ann'!AB$4)</f>
        <v>0</v>
      </c>
      <c r="AC88" s="16">
        <f xml:space="preserve"> SUMIFS('FS Semi'!$J88:$CV88, 'FS Semi'!$J$4:$CV$4, 'FS Ann'!AC$4)</f>
        <v>0</v>
      </c>
      <c r="AD88" s="16">
        <f xml:space="preserve"> SUMIFS('FS Semi'!$J88:$CV88, 'FS Semi'!$J$4:$CV$4, 'FS Ann'!AD$4)</f>
        <v>-7311.039140655188</v>
      </c>
      <c r="AE88" s="16">
        <f xml:space="preserve"> SUMIFS('FS Semi'!$J88:$CV88, 'FS Semi'!$J$4:$CV$4, 'FS Ann'!AE$4)</f>
        <v>-7906.3760536377595</v>
      </c>
      <c r="AF88" s="16">
        <f xml:space="preserve"> SUMIFS('FS Semi'!$J88:$CV88, 'FS Semi'!$J$4:$CV$4, 'FS Ann'!AF$4)</f>
        <v>-11856.118973131888</v>
      </c>
      <c r="AG88" s="16">
        <f xml:space="preserve"> SUMIFS('FS Semi'!$J88:$CV88, 'FS Semi'!$J$4:$CV$4, 'FS Ann'!AG$4)</f>
        <v>0</v>
      </c>
      <c r="AH88" s="16">
        <f xml:space="preserve"> SUMIFS('FS Semi'!$J88:$CV88, 'FS Semi'!$J$4:$CV$4, 'FS Ann'!AH$4)</f>
        <v>0</v>
      </c>
      <c r="AI88" s="16">
        <f xml:space="preserve"> SUMIFS('FS Semi'!$J88:$CV88, 'FS Semi'!$J$4:$CV$4, 'FS Ann'!AI$4)</f>
        <v>0</v>
      </c>
      <c r="AJ88" s="16">
        <f xml:space="preserve"> SUMIFS('FS Semi'!$J88:$CV88, 'FS Semi'!$J$4:$CV$4, 'FS Ann'!AJ$4)</f>
        <v>0</v>
      </c>
      <c r="AK88" s="16">
        <f xml:space="preserve"> SUMIFS('FS Semi'!$J88:$CV88, 'FS Semi'!$J$4:$CV$4, 'FS Ann'!AK$4)</f>
        <v>0</v>
      </c>
      <c r="AL88" s="16">
        <f xml:space="preserve"> SUMIFS('FS Semi'!$J88:$CV88, 'FS Semi'!$J$4:$CV$4, 'FS Ann'!AL$4)</f>
        <v>0</v>
      </c>
      <c r="AM88" s="16">
        <f xml:space="preserve"> SUMIFS('FS Semi'!$J88:$CV88, 'FS Semi'!$J$4:$CV$4, 'FS Ann'!AM$4)</f>
        <v>0</v>
      </c>
      <c r="AN88" s="16">
        <f xml:space="preserve"> SUMIFS('FS Semi'!$J88:$CV88, 'FS Semi'!$J$4:$CV$4, 'FS Ann'!AN$4)</f>
        <v>0</v>
      </c>
      <c r="AO88" s="16">
        <f xml:space="preserve"> SUMIFS('FS Semi'!$J88:$CV88, 'FS Semi'!$J$4:$CV$4, 'FS Ann'!AO$4)</f>
        <v>0</v>
      </c>
      <c r="AP88" s="16">
        <f xml:space="preserve"> SUMIFS('FS Semi'!$J88:$CV88, 'FS Semi'!$J$4:$CV$4, 'FS Ann'!AP$4)</f>
        <v>0</v>
      </c>
      <c r="AQ88" s="16">
        <f xml:space="preserve"> SUMIFS('FS Semi'!$J88:$CV88, 'FS Semi'!$J$4:$CV$4, 'FS Ann'!AQ$4)</f>
        <v>0</v>
      </c>
      <c r="AR88" s="16">
        <f xml:space="preserve"> SUMIFS('FS Semi'!$J88:$CV88, 'FS Semi'!$J$4:$CV$4, 'FS Ann'!AR$4)</f>
        <v>0</v>
      </c>
      <c r="AS88" s="16">
        <f xml:space="preserve"> SUMIFS('FS Semi'!$J88:$CV88, 'FS Semi'!$J$4:$CV$4, 'FS Ann'!AS$4)</f>
        <v>0</v>
      </c>
      <c r="AT88" s="16">
        <f xml:space="preserve"> SUMIFS('FS Semi'!$J88:$CV88, 'FS Semi'!$J$4:$CV$4, 'FS Ann'!AT$4)</f>
        <v>0</v>
      </c>
      <c r="AU88" s="16">
        <f xml:space="preserve"> SUMIFS('FS Semi'!$J88:$CV88, 'FS Semi'!$J$4:$CV$4, 'FS Ann'!AU$4)</f>
        <v>0</v>
      </c>
      <c r="AV88" s="16">
        <f xml:space="preserve"> SUMIFS('FS Semi'!$J88:$CV88, 'FS Semi'!$J$4:$CV$4, 'FS Ann'!AV$4)</f>
        <v>0</v>
      </c>
      <c r="AW88" s="16">
        <f xml:space="preserve"> SUMIFS('FS Semi'!$J88:$CV88, 'FS Semi'!$J$4:$CV$4, 'FS Ann'!AW$4)</f>
        <v>0</v>
      </c>
      <c r="AX88" s="16">
        <f xml:space="preserve"> SUMIFS('FS Semi'!$J88:$CV88, 'FS Semi'!$J$4:$CV$4, 'FS Ann'!AX$4)</f>
        <v>0</v>
      </c>
      <c r="AY88" s="16">
        <f xml:space="preserve"> SUMIFS('FS Semi'!$J88:$CV88, 'FS Semi'!$J$4:$CV$4, 'FS Ann'!AY$4)</f>
        <v>0</v>
      </c>
      <c r="AZ88" s="16">
        <f xml:space="preserve"> SUMIFS('FS Semi'!$J88:$CV88, 'FS Semi'!$J$4:$CV$4, 'FS Ann'!AZ$4)</f>
        <v>0</v>
      </c>
      <c r="BA88" s="16">
        <f xml:space="preserve"> SUMIFS('FS Semi'!$J88:$CV88, 'FS Semi'!$J$4:$CV$4, 'FS Ann'!BA$4)</f>
        <v>0</v>
      </c>
      <c r="BB88" s="16">
        <f xml:space="preserve"> SUMIFS('FS Semi'!$J88:$CV88, 'FS Semi'!$J$4:$CV$4, 'FS Ann'!BB$4)</f>
        <v>0</v>
      </c>
    </row>
    <row r="89" spans="1:54" outlineLevel="1" x14ac:dyDescent="0.2">
      <c r="A89" s="1"/>
      <c r="B89" s="1"/>
      <c r="C89" s="19"/>
      <c r="D89" s="83"/>
      <c r="E89" s="84" t="s">
        <v>333</v>
      </c>
      <c r="F89" s="84"/>
      <c r="G89" s="382" t="str">
        <f xml:space="preserve"> SMU</f>
        <v>$ 000s</v>
      </c>
      <c r="H89" s="84">
        <f t="shared" si="14"/>
        <v>-5.2750692702829838E-11</v>
      </c>
      <c r="I89" s="84"/>
      <c r="J89" s="84">
        <f xml:space="preserve"> J85 + SUM(J87:J88)</f>
        <v>-1.5558398445136845E-6</v>
      </c>
      <c r="K89" s="84">
        <f t="shared" ref="K89:BB89" si="33" xml:space="preserve"> K85 + SUM(K87:K88)</f>
        <v>-2.922103158198297E-5</v>
      </c>
      <c r="L89" s="84">
        <f t="shared" si="33"/>
        <v>-3.9870376931503415E-3</v>
      </c>
      <c r="M89" s="84">
        <f t="shared" si="33"/>
        <v>4.0178145118261455E-3</v>
      </c>
      <c r="N89" s="84">
        <f t="shared" si="33"/>
        <v>0</v>
      </c>
      <c r="O89" s="84">
        <f t="shared" si="33"/>
        <v>0</v>
      </c>
      <c r="P89" s="84">
        <f t="shared" si="33"/>
        <v>0</v>
      </c>
      <c r="Q89" s="84">
        <f t="shared" si="33"/>
        <v>0</v>
      </c>
      <c r="R89" s="84">
        <f t="shared" si="33"/>
        <v>0</v>
      </c>
      <c r="S89" s="84">
        <f t="shared" si="33"/>
        <v>0</v>
      </c>
      <c r="T89" s="84">
        <f t="shared" si="33"/>
        <v>0</v>
      </c>
      <c r="U89" s="84">
        <f t="shared" si="33"/>
        <v>0</v>
      </c>
      <c r="V89" s="84">
        <f t="shared" si="33"/>
        <v>0</v>
      </c>
      <c r="W89" s="84">
        <f t="shared" si="33"/>
        <v>0</v>
      </c>
      <c r="X89" s="84">
        <f t="shared" si="33"/>
        <v>0</v>
      </c>
      <c r="Y89" s="84">
        <f t="shared" si="33"/>
        <v>0</v>
      </c>
      <c r="Z89" s="84">
        <f t="shared" si="33"/>
        <v>0</v>
      </c>
      <c r="AA89" s="84">
        <f t="shared" si="33"/>
        <v>0</v>
      </c>
      <c r="AB89" s="84">
        <f t="shared" si="33"/>
        <v>0</v>
      </c>
      <c r="AC89" s="84">
        <f t="shared" si="33"/>
        <v>0</v>
      </c>
      <c r="AD89" s="84">
        <f t="shared" si="33"/>
        <v>0</v>
      </c>
      <c r="AE89" s="84">
        <f t="shared" si="33"/>
        <v>0</v>
      </c>
      <c r="AF89" s="84">
        <f t="shared" si="33"/>
        <v>0</v>
      </c>
      <c r="AG89" s="84">
        <f t="shared" si="33"/>
        <v>0</v>
      </c>
      <c r="AH89" s="84">
        <f t="shared" si="33"/>
        <v>0</v>
      </c>
      <c r="AI89" s="84">
        <f t="shared" si="33"/>
        <v>0</v>
      </c>
      <c r="AJ89" s="84">
        <f t="shared" si="33"/>
        <v>0</v>
      </c>
      <c r="AK89" s="84">
        <f t="shared" si="33"/>
        <v>0</v>
      </c>
      <c r="AL89" s="84">
        <f t="shared" si="33"/>
        <v>0</v>
      </c>
      <c r="AM89" s="84">
        <f t="shared" si="33"/>
        <v>0</v>
      </c>
      <c r="AN89" s="84">
        <f t="shared" si="33"/>
        <v>0</v>
      </c>
      <c r="AO89" s="84">
        <f t="shared" si="33"/>
        <v>0</v>
      </c>
      <c r="AP89" s="84">
        <f t="shared" si="33"/>
        <v>0</v>
      </c>
      <c r="AQ89" s="84">
        <f t="shared" si="33"/>
        <v>0</v>
      </c>
      <c r="AR89" s="84">
        <f t="shared" si="33"/>
        <v>0</v>
      </c>
      <c r="AS89" s="84">
        <f t="shared" si="33"/>
        <v>0</v>
      </c>
      <c r="AT89" s="84">
        <f t="shared" si="33"/>
        <v>0</v>
      </c>
      <c r="AU89" s="84">
        <f t="shared" si="33"/>
        <v>0</v>
      </c>
      <c r="AV89" s="84">
        <f t="shared" si="33"/>
        <v>0</v>
      </c>
      <c r="AW89" s="84">
        <f t="shared" si="33"/>
        <v>0</v>
      </c>
      <c r="AX89" s="84">
        <f t="shared" si="33"/>
        <v>0</v>
      </c>
      <c r="AY89" s="84">
        <f t="shared" si="33"/>
        <v>0</v>
      </c>
      <c r="AZ89" s="84">
        <f t="shared" si="33"/>
        <v>0</v>
      </c>
      <c r="BA89" s="84">
        <f t="shared" si="33"/>
        <v>0</v>
      </c>
      <c r="BB89" s="84">
        <f t="shared" si="33"/>
        <v>0</v>
      </c>
    </row>
    <row r="90" spans="1:54" outlineLevel="1" x14ac:dyDescent="0.2">
      <c r="A90" s="1"/>
      <c r="B90" s="1"/>
      <c r="C90" s="19"/>
      <c r="D90" s="83"/>
      <c r="E90" s="16"/>
      <c r="F90" s="16"/>
      <c r="G90" s="381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outlineLevel="1" x14ac:dyDescent="0.2">
      <c r="A91" s="1"/>
      <c r="B91" s="1"/>
      <c r="C91" s="19"/>
      <c r="D91" s="83"/>
      <c r="E91" s="16" t="str">
        <f xml:space="preserve"> 'FS Semi'!E91</f>
        <v>Share capital redemption</v>
      </c>
      <c r="F91" s="16">
        <f xml:space="preserve"> 'FS Semi'!F91</f>
        <v>0</v>
      </c>
      <c r="G91" s="381" t="str">
        <f xml:space="preserve"> 'FS Semi'!G91</f>
        <v>$ 000s</v>
      </c>
      <c r="H91" s="16">
        <f t="shared" si="14"/>
        <v>0</v>
      </c>
      <c r="I91" s="16"/>
      <c r="J91" s="16">
        <f xml:space="preserve"> SUMIFS('FS Semi'!$J91:$CV91, 'FS Semi'!$J$4:$CV$4, 'FS Ann'!J$4)</f>
        <v>0</v>
      </c>
      <c r="K91" s="16">
        <f xml:space="preserve"> SUMIFS('FS Semi'!$J91:$CV91, 'FS Semi'!$J$4:$CV$4, 'FS Ann'!K$4)</f>
        <v>0</v>
      </c>
      <c r="L91" s="16">
        <f xml:space="preserve"> SUMIFS('FS Semi'!$J91:$CV91, 'FS Semi'!$J$4:$CV$4, 'FS Ann'!L$4)</f>
        <v>0</v>
      </c>
      <c r="M91" s="16">
        <f xml:space="preserve"> SUMIFS('FS Semi'!$J91:$CV91, 'FS Semi'!$J$4:$CV$4, 'FS Ann'!M$4)</f>
        <v>0</v>
      </c>
      <c r="N91" s="16">
        <f xml:space="preserve"> SUMIFS('FS Semi'!$J91:$CV91, 'FS Semi'!$J$4:$CV$4, 'FS Ann'!N$4)</f>
        <v>0</v>
      </c>
      <c r="O91" s="16">
        <f xml:space="preserve"> SUMIFS('FS Semi'!$J91:$CV91, 'FS Semi'!$J$4:$CV$4, 'FS Ann'!O$4)</f>
        <v>0</v>
      </c>
      <c r="P91" s="16">
        <f xml:space="preserve"> SUMIFS('FS Semi'!$J91:$CV91, 'FS Semi'!$J$4:$CV$4, 'FS Ann'!P$4)</f>
        <v>0</v>
      </c>
      <c r="Q91" s="16">
        <f xml:space="preserve"> SUMIFS('FS Semi'!$J91:$CV91, 'FS Semi'!$J$4:$CV$4, 'FS Ann'!Q$4)</f>
        <v>0</v>
      </c>
      <c r="R91" s="16">
        <f xml:space="preserve"> SUMIFS('FS Semi'!$J91:$CV91, 'FS Semi'!$J$4:$CV$4, 'FS Ann'!R$4)</f>
        <v>0</v>
      </c>
      <c r="S91" s="16">
        <f xml:space="preserve"> SUMIFS('FS Semi'!$J91:$CV91, 'FS Semi'!$J$4:$CV$4, 'FS Ann'!S$4)</f>
        <v>0</v>
      </c>
      <c r="T91" s="16">
        <f xml:space="preserve"> SUMIFS('FS Semi'!$J91:$CV91, 'FS Semi'!$J$4:$CV$4, 'FS Ann'!T$4)</f>
        <v>0</v>
      </c>
      <c r="U91" s="16">
        <f xml:space="preserve"> SUMIFS('FS Semi'!$J91:$CV91, 'FS Semi'!$J$4:$CV$4, 'FS Ann'!U$4)</f>
        <v>0</v>
      </c>
      <c r="V91" s="16">
        <f xml:space="preserve"> SUMIFS('FS Semi'!$J91:$CV91, 'FS Semi'!$J$4:$CV$4, 'FS Ann'!V$4)</f>
        <v>0</v>
      </c>
      <c r="W91" s="16">
        <f xml:space="preserve"> SUMIFS('FS Semi'!$J91:$CV91, 'FS Semi'!$J$4:$CV$4, 'FS Ann'!W$4)</f>
        <v>0</v>
      </c>
      <c r="X91" s="16">
        <f xml:space="preserve"> SUMIFS('FS Semi'!$J91:$CV91, 'FS Semi'!$J$4:$CV$4, 'FS Ann'!X$4)</f>
        <v>0</v>
      </c>
      <c r="Y91" s="16">
        <f xml:space="preserve"> SUMIFS('FS Semi'!$J91:$CV91, 'FS Semi'!$J$4:$CV$4, 'FS Ann'!Y$4)</f>
        <v>0</v>
      </c>
      <c r="Z91" s="16">
        <f xml:space="preserve"> SUMIFS('FS Semi'!$J91:$CV91, 'FS Semi'!$J$4:$CV$4, 'FS Ann'!Z$4)</f>
        <v>0</v>
      </c>
      <c r="AA91" s="16">
        <f xml:space="preserve"> SUMIFS('FS Semi'!$J91:$CV91, 'FS Semi'!$J$4:$CV$4, 'FS Ann'!AA$4)</f>
        <v>0</v>
      </c>
      <c r="AB91" s="16">
        <f xml:space="preserve"> SUMIFS('FS Semi'!$J91:$CV91, 'FS Semi'!$J$4:$CV$4, 'FS Ann'!AB$4)</f>
        <v>0</v>
      </c>
      <c r="AC91" s="16">
        <f xml:space="preserve"> SUMIFS('FS Semi'!$J91:$CV91, 'FS Semi'!$J$4:$CV$4, 'FS Ann'!AC$4)</f>
        <v>0</v>
      </c>
      <c r="AD91" s="16">
        <f xml:space="preserve"> SUMIFS('FS Semi'!$J91:$CV91, 'FS Semi'!$J$4:$CV$4, 'FS Ann'!AD$4)</f>
        <v>0</v>
      </c>
      <c r="AE91" s="16">
        <f xml:space="preserve"> SUMIFS('FS Semi'!$J91:$CV91, 'FS Semi'!$J$4:$CV$4, 'FS Ann'!AE$4)</f>
        <v>0</v>
      </c>
      <c r="AF91" s="16">
        <f xml:space="preserve"> SUMIFS('FS Semi'!$J91:$CV91, 'FS Semi'!$J$4:$CV$4, 'FS Ann'!AF$4)</f>
        <v>0</v>
      </c>
      <c r="AG91" s="16">
        <f xml:space="preserve"> SUMIFS('FS Semi'!$J91:$CV91, 'FS Semi'!$J$4:$CV$4, 'FS Ann'!AG$4)</f>
        <v>0</v>
      </c>
      <c r="AH91" s="16">
        <f xml:space="preserve"> SUMIFS('FS Semi'!$J91:$CV91, 'FS Semi'!$J$4:$CV$4, 'FS Ann'!AH$4)</f>
        <v>0</v>
      </c>
      <c r="AI91" s="16">
        <f xml:space="preserve"> SUMIFS('FS Semi'!$J91:$CV91, 'FS Semi'!$J$4:$CV$4, 'FS Ann'!AI$4)</f>
        <v>0</v>
      </c>
      <c r="AJ91" s="16">
        <f xml:space="preserve"> SUMIFS('FS Semi'!$J91:$CV91, 'FS Semi'!$J$4:$CV$4, 'FS Ann'!AJ$4)</f>
        <v>0</v>
      </c>
      <c r="AK91" s="16">
        <f xml:space="preserve"> SUMIFS('FS Semi'!$J91:$CV91, 'FS Semi'!$J$4:$CV$4, 'FS Ann'!AK$4)</f>
        <v>0</v>
      </c>
      <c r="AL91" s="16">
        <f xml:space="preserve"> SUMIFS('FS Semi'!$J91:$CV91, 'FS Semi'!$J$4:$CV$4, 'FS Ann'!AL$4)</f>
        <v>0</v>
      </c>
      <c r="AM91" s="16">
        <f xml:space="preserve"> SUMIFS('FS Semi'!$J91:$CV91, 'FS Semi'!$J$4:$CV$4, 'FS Ann'!AM$4)</f>
        <v>0</v>
      </c>
      <c r="AN91" s="16">
        <f xml:space="preserve"> SUMIFS('FS Semi'!$J91:$CV91, 'FS Semi'!$J$4:$CV$4, 'FS Ann'!AN$4)</f>
        <v>0</v>
      </c>
      <c r="AO91" s="16">
        <f xml:space="preserve"> SUMIFS('FS Semi'!$J91:$CV91, 'FS Semi'!$J$4:$CV$4, 'FS Ann'!AO$4)</f>
        <v>0</v>
      </c>
      <c r="AP91" s="16">
        <f xml:space="preserve"> SUMIFS('FS Semi'!$J91:$CV91, 'FS Semi'!$J$4:$CV$4, 'FS Ann'!AP$4)</f>
        <v>0</v>
      </c>
      <c r="AQ91" s="16">
        <f xml:space="preserve"> SUMIFS('FS Semi'!$J91:$CV91, 'FS Semi'!$J$4:$CV$4, 'FS Ann'!AQ$4)</f>
        <v>0</v>
      </c>
      <c r="AR91" s="16">
        <f xml:space="preserve"> SUMIFS('FS Semi'!$J91:$CV91, 'FS Semi'!$J$4:$CV$4, 'FS Ann'!AR$4)</f>
        <v>0</v>
      </c>
      <c r="AS91" s="16">
        <f xml:space="preserve"> SUMIFS('FS Semi'!$J91:$CV91, 'FS Semi'!$J$4:$CV$4, 'FS Ann'!AS$4)</f>
        <v>0</v>
      </c>
      <c r="AT91" s="16">
        <f xml:space="preserve"> SUMIFS('FS Semi'!$J91:$CV91, 'FS Semi'!$J$4:$CV$4, 'FS Ann'!AT$4)</f>
        <v>0</v>
      </c>
      <c r="AU91" s="16">
        <f xml:space="preserve"> SUMIFS('FS Semi'!$J91:$CV91, 'FS Semi'!$J$4:$CV$4, 'FS Ann'!AU$4)</f>
        <v>0</v>
      </c>
      <c r="AV91" s="16">
        <f xml:space="preserve"> SUMIFS('FS Semi'!$J91:$CV91, 'FS Semi'!$J$4:$CV$4, 'FS Ann'!AV$4)</f>
        <v>0</v>
      </c>
      <c r="AW91" s="16">
        <f xml:space="preserve"> SUMIFS('FS Semi'!$J91:$CV91, 'FS Semi'!$J$4:$CV$4, 'FS Ann'!AW$4)</f>
        <v>0</v>
      </c>
      <c r="AX91" s="16">
        <f xml:space="preserve"> SUMIFS('FS Semi'!$J91:$CV91, 'FS Semi'!$J$4:$CV$4, 'FS Ann'!AX$4)</f>
        <v>0</v>
      </c>
      <c r="AY91" s="16">
        <f xml:space="preserve"> SUMIFS('FS Semi'!$J91:$CV91, 'FS Semi'!$J$4:$CV$4, 'FS Ann'!AY$4)</f>
        <v>0</v>
      </c>
      <c r="AZ91" s="16">
        <f xml:space="preserve"> SUMIFS('FS Semi'!$J91:$CV91, 'FS Semi'!$J$4:$CV$4, 'FS Ann'!AZ$4)</f>
        <v>0</v>
      </c>
      <c r="BA91" s="16">
        <f xml:space="preserve"> SUMIFS('FS Semi'!$J91:$CV91, 'FS Semi'!$J$4:$CV$4, 'FS Ann'!BA$4)</f>
        <v>0</v>
      </c>
      <c r="BB91" s="16">
        <f xml:space="preserve"> SUMIFS('FS Semi'!$J91:$CV91, 'FS Semi'!$J$4:$CV$4, 'FS Ann'!BB$4)</f>
        <v>0</v>
      </c>
    </row>
    <row r="92" spans="1:54" outlineLevel="1" x14ac:dyDescent="0.2">
      <c r="A92" s="1"/>
      <c r="B92" s="1"/>
      <c r="C92" s="19"/>
      <c r="D92" s="83"/>
      <c r="E92" s="16" t="str">
        <f xml:space="preserve"> 'FS Semi'!E92</f>
        <v>Standby equity redemption</v>
      </c>
      <c r="F92" s="16">
        <f xml:space="preserve"> 'FS Semi'!F92</f>
        <v>0</v>
      </c>
      <c r="G92" s="16" t="str">
        <f xml:space="preserve"> 'FS Semi'!G92</f>
        <v>$ 000s</v>
      </c>
      <c r="H92" s="16">
        <f t="shared" si="14"/>
        <v>0</v>
      </c>
      <c r="I92" s="16"/>
      <c r="J92" s="16">
        <f xml:space="preserve"> 'FS Semi'!J92</f>
        <v>0</v>
      </c>
      <c r="K92" s="16">
        <f xml:space="preserve"> 'FS Semi'!K92</f>
        <v>0</v>
      </c>
      <c r="L92" s="16">
        <f xml:space="preserve"> 'FS Semi'!L92</f>
        <v>0</v>
      </c>
      <c r="M92" s="16">
        <f xml:space="preserve"> 'FS Semi'!M92</f>
        <v>0</v>
      </c>
      <c r="N92" s="16">
        <f xml:space="preserve"> 'FS Semi'!N92</f>
        <v>0</v>
      </c>
      <c r="O92" s="16">
        <f xml:space="preserve"> 'FS Semi'!O92</f>
        <v>0</v>
      </c>
      <c r="P92" s="16">
        <f xml:space="preserve"> 'FS Semi'!P92</f>
        <v>0</v>
      </c>
      <c r="Q92" s="16">
        <f xml:space="preserve"> 'FS Semi'!Q92</f>
        <v>0</v>
      </c>
      <c r="R92" s="16">
        <f xml:space="preserve"> 'FS Semi'!R92</f>
        <v>0</v>
      </c>
      <c r="S92" s="16">
        <f xml:space="preserve"> 'FS Semi'!S92</f>
        <v>0</v>
      </c>
      <c r="T92" s="16">
        <f xml:space="preserve"> 'FS Semi'!T92</f>
        <v>0</v>
      </c>
      <c r="U92" s="16">
        <f xml:space="preserve"> 'FS Semi'!U92</f>
        <v>0</v>
      </c>
      <c r="V92" s="16">
        <f xml:space="preserve"> 'FS Semi'!V92</f>
        <v>0</v>
      </c>
      <c r="W92" s="16">
        <f xml:space="preserve"> 'FS Semi'!W92</f>
        <v>0</v>
      </c>
      <c r="X92" s="16">
        <f xml:space="preserve"> 'FS Semi'!X92</f>
        <v>0</v>
      </c>
      <c r="Y92" s="16">
        <f xml:space="preserve"> 'FS Semi'!Y92</f>
        <v>0</v>
      </c>
      <c r="Z92" s="16">
        <f xml:space="preserve"> 'FS Semi'!Z92</f>
        <v>0</v>
      </c>
      <c r="AA92" s="16">
        <f xml:space="preserve"> 'FS Semi'!AA92</f>
        <v>0</v>
      </c>
      <c r="AB92" s="16">
        <f xml:space="preserve"> 'FS Semi'!AB92</f>
        <v>0</v>
      </c>
      <c r="AC92" s="16">
        <f xml:space="preserve"> 'FS Semi'!AC92</f>
        <v>0</v>
      </c>
      <c r="AD92" s="16">
        <f xml:space="preserve"> 'FS Semi'!AD92</f>
        <v>0</v>
      </c>
      <c r="AE92" s="16">
        <f xml:space="preserve"> 'FS Semi'!AE92</f>
        <v>0</v>
      </c>
      <c r="AF92" s="16">
        <f xml:space="preserve"> 'FS Semi'!AF92</f>
        <v>0</v>
      </c>
      <c r="AG92" s="16">
        <f xml:space="preserve"> 'FS Semi'!AG92</f>
        <v>0</v>
      </c>
      <c r="AH92" s="16">
        <f xml:space="preserve"> 'FS Semi'!AH92</f>
        <v>0</v>
      </c>
      <c r="AI92" s="16">
        <f xml:space="preserve"> 'FS Semi'!AI92</f>
        <v>0</v>
      </c>
      <c r="AJ92" s="16">
        <f xml:space="preserve"> 'FS Semi'!AJ92</f>
        <v>0</v>
      </c>
      <c r="AK92" s="16">
        <f xml:space="preserve"> 'FS Semi'!AK92</f>
        <v>0</v>
      </c>
      <c r="AL92" s="16">
        <f xml:space="preserve"> 'FS Semi'!AL92</f>
        <v>0</v>
      </c>
      <c r="AM92" s="16">
        <f xml:space="preserve"> 'FS Semi'!AM92</f>
        <v>0</v>
      </c>
      <c r="AN92" s="16">
        <f xml:space="preserve"> 'FS Semi'!AN92</f>
        <v>0</v>
      </c>
      <c r="AO92" s="16">
        <f xml:space="preserve"> 'FS Semi'!AO92</f>
        <v>0</v>
      </c>
      <c r="AP92" s="16">
        <f xml:space="preserve"> 'FS Semi'!AP92</f>
        <v>0</v>
      </c>
      <c r="AQ92" s="16">
        <f xml:space="preserve"> 'FS Semi'!AQ92</f>
        <v>0</v>
      </c>
      <c r="AR92" s="16">
        <f xml:space="preserve"> 'FS Semi'!AR92</f>
        <v>0</v>
      </c>
      <c r="AS92" s="16">
        <f xml:space="preserve"> 'FS Semi'!AS92</f>
        <v>0</v>
      </c>
      <c r="AT92" s="16">
        <f xml:space="preserve"> 'FS Semi'!AT92</f>
        <v>0</v>
      </c>
      <c r="AU92" s="16">
        <f xml:space="preserve"> 'FS Semi'!AU92</f>
        <v>0</v>
      </c>
      <c r="AV92" s="16">
        <f xml:space="preserve"> 'FS Semi'!AV92</f>
        <v>0</v>
      </c>
      <c r="AW92" s="16">
        <f xml:space="preserve"> 'FS Semi'!AW92</f>
        <v>0</v>
      </c>
      <c r="AX92" s="16">
        <f xml:space="preserve"> 'FS Semi'!AX92</f>
        <v>0</v>
      </c>
      <c r="AY92" s="16">
        <f xml:space="preserve"> 'FS Semi'!AY92</f>
        <v>0</v>
      </c>
      <c r="AZ92" s="16">
        <f xml:space="preserve"> 'FS Semi'!AZ92</f>
        <v>0</v>
      </c>
      <c r="BA92" s="16">
        <f xml:space="preserve"> 'FS Semi'!BA92</f>
        <v>0</v>
      </c>
      <c r="BB92" s="16">
        <f xml:space="preserve"> 'FS Semi'!BB92</f>
        <v>0</v>
      </c>
    </row>
    <row r="93" spans="1:54" outlineLevel="1" x14ac:dyDescent="0.2">
      <c r="A93" s="1"/>
      <c r="B93" s="1"/>
      <c r="C93" s="19"/>
      <c r="D93" s="83"/>
      <c r="E93" s="84" t="s">
        <v>55</v>
      </c>
      <c r="F93" s="84"/>
      <c r="G93" s="324" t="str">
        <f>SMU</f>
        <v>$ 000s</v>
      </c>
      <c r="H93" s="84">
        <f t="shared" si="14"/>
        <v>-5.2750692702829838E-11</v>
      </c>
      <c r="I93" s="84"/>
      <c r="J93" s="84">
        <f t="shared" ref="J93:BB93" si="34" xml:space="preserve"> J89 + SUM(J91:J92)</f>
        <v>-1.5558398445136845E-6</v>
      </c>
      <c r="K93" s="84">
        <f t="shared" si="34"/>
        <v>-2.922103158198297E-5</v>
      </c>
      <c r="L93" s="84">
        <f t="shared" si="34"/>
        <v>-3.9870376931503415E-3</v>
      </c>
      <c r="M93" s="84">
        <f t="shared" si="34"/>
        <v>4.0178145118261455E-3</v>
      </c>
      <c r="N93" s="84">
        <f t="shared" si="34"/>
        <v>0</v>
      </c>
      <c r="O93" s="84">
        <f t="shared" si="34"/>
        <v>0</v>
      </c>
      <c r="P93" s="84">
        <f t="shared" si="34"/>
        <v>0</v>
      </c>
      <c r="Q93" s="84">
        <f t="shared" si="34"/>
        <v>0</v>
      </c>
      <c r="R93" s="84">
        <f t="shared" si="34"/>
        <v>0</v>
      </c>
      <c r="S93" s="84">
        <f t="shared" si="34"/>
        <v>0</v>
      </c>
      <c r="T93" s="84">
        <f t="shared" si="34"/>
        <v>0</v>
      </c>
      <c r="U93" s="84">
        <f t="shared" si="34"/>
        <v>0</v>
      </c>
      <c r="V93" s="84">
        <f t="shared" si="34"/>
        <v>0</v>
      </c>
      <c r="W93" s="84">
        <f t="shared" si="34"/>
        <v>0</v>
      </c>
      <c r="X93" s="84">
        <f t="shared" si="34"/>
        <v>0</v>
      </c>
      <c r="Y93" s="84">
        <f t="shared" si="34"/>
        <v>0</v>
      </c>
      <c r="Z93" s="84">
        <f t="shared" si="34"/>
        <v>0</v>
      </c>
      <c r="AA93" s="84">
        <f t="shared" si="34"/>
        <v>0</v>
      </c>
      <c r="AB93" s="84">
        <f t="shared" si="34"/>
        <v>0</v>
      </c>
      <c r="AC93" s="84">
        <f t="shared" si="34"/>
        <v>0</v>
      </c>
      <c r="AD93" s="84">
        <f t="shared" si="34"/>
        <v>0</v>
      </c>
      <c r="AE93" s="84">
        <f t="shared" si="34"/>
        <v>0</v>
      </c>
      <c r="AF93" s="84">
        <f t="shared" si="34"/>
        <v>0</v>
      </c>
      <c r="AG93" s="84">
        <f t="shared" si="34"/>
        <v>0</v>
      </c>
      <c r="AH93" s="84">
        <f t="shared" si="34"/>
        <v>0</v>
      </c>
      <c r="AI93" s="84">
        <f t="shared" si="34"/>
        <v>0</v>
      </c>
      <c r="AJ93" s="84">
        <f t="shared" si="34"/>
        <v>0</v>
      </c>
      <c r="AK93" s="84">
        <f t="shared" si="34"/>
        <v>0</v>
      </c>
      <c r="AL93" s="84">
        <f t="shared" si="34"/>
        <v>0</v>
      </c>
      <c r="AM93" s="84">
        <f t="shared" si="34"/>
        <v>0</v>
      </c>
      <c r="AN93" s="84">
        <f t="shared" si="34"/>
        <v>0</v>
      </c>
      <c r="AO93" s="84">
        <f t="shared" si="34"/>
        <v>0</v>
      </c>
      <c r="AP93" s="84">
        <f t="shared" si="34"/>
        <v>0</v>
      </c>
      <c r="AQ93" s="84">
        <f t="shared" si="34"/>
        <v>0</v>
      </c>
      <c r="AR93" s="84">
        <f t="shared" si="34"/>
        <v>0</v>
      </c>
      <c r="AS93" s="84">
        <f t="shared" si="34"/>
        <v>0</v>
      </c>
      <c r="AT93" s="84">
        <f t="shared" si="34"/>
        <v>0</v>
      </c>
      <c r="AU93" s="84">
        <f t="shared" si="34"/>
        <v>0</v>
      </c>
      <c r="AV93" s="84">
        <f t="shared" si="34"/>
        <v>0</v>
      </c>
      <c r="AW93" s="84">
        <f t="shared" si="34"/>
        <v>0</v>
      </c>
      <c r="AX93" s="84">
        <f t="shared" si="34"/>
        <v>0</v>
      </c>
      <c r="AY93" s="84">
        <f t="shared" si="34"/>
        <v>0</v>
      </c>
      <c r="AZ93" s="84">
        <f t="shared" si="34"/>
        <v>0</v>
      </c>
      <c r="BA93" s="84">
        <f t="shared" si="34"/>
        <v>0</v>
      </c>
      <c r="BB93" s="84">
        <f t="shared" si="34"/>
        <v>0</v>
      </c>
    </row>
    <row r="94" spans="1:54" outlineLevel="1" x14ac:dyDescent="0.2">
      <c r="A94" s="1"/>
      <c r="B94" s="1"/>
      <c r="C94" s="19"/>
      <c r="D94" s="83"/>
      <c r="E94" s="16"/>
      <c r="F94" s="16"/>
      <c r="G94" s="381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outlineLevel="1" x14ac:dyDescent="0.2">
      <c r="A95" s="1"/>
      <c r="B95" s="1"/>
      <c r="C95" s="19"/>
      <c r="D95" s="83"/>
      <c r="E95" s="16" t="str">
        <f xml:space="preserve"> 'FS Semi'!E95</f>
        <v>Dividends paid</v>
      </c>
      <c r="F95" s="16">
        <f xml:space="preserve"> 'FS Semi'!F95</f>
        <v>0</v>
      </c>
      <c r="G95" s="381" t="str">
        <f xml:space="preserve"> 'FS Semi'!G95</f>
        <v>$ 000s</v>
      </c>
      <c r="H95" s="16">
        <f t="shared" si="14"/>
        <v>0</v>
      </c>
      <c r="I95" s="16"/>
      <c r="J95" s="16">
        <f xml:space="preserve"> SUMIFS('FS Semi'!$J95:$CV95, 'FS Semi'!$J$4:$CV$4, 'FS Ann'!J$4)</f>
        <v>0</v>
      </c>
      <c r="K95" s="16">
        <f xml:space="preserve"> SUMIFS('FS Semi'!$J95:$CV95, 'FS Semi'!$J$4:$CV$4, 'FS Ann'!K$4)</f>
        <v>0</v>
      </c>
      <c r="L95" s="16">
        <f xml:space="preserve"> SUMIFS('FS Semi'!$J95:$CV95, 'FS Semi'!$J$4:$CV$4, 'FS Ann'!L$4)</f>
        <v>0</v>
      </c>
      <c r="M95" s="16">
        <f xml:space="preserve"> SUMIFS('FS Semi'!$J95:$CV95, 'FS Semi'!$J$4:$CV$4, 'FS Ann'!M$4)</f>
        <v>0</v>
      </c>
      <c r="N95" s="16">
        <f xml:space="preserve"> SUMIFS('FS Semi'!$J95:$CV95, 'FS Semi'!$J$4:$CV$4, 'FS Ann'!N$4)</f>
        <v>0</v>
      </c>
      <c r="O95" s="16">
        <f xml:space="preserve"> SUMIFS('FS Semi'!$J95:$CV95, 'FS Semi'!$J$4:$CV$4, 'FS Ann'!O$4)</f>
        <v>0</v>
      </c>
      <c r="P95" s="16">
        <f xml:space="preserve"> SUMIFS('FS Semi'!$J95:$CV95, 'FS Semi'!$J$4:$CV$4, 'FS Ann'!P$4)</f>
        <v>0</v>
      </c>
      <c r="Q95" s="16">
        <f xml:space="preserve"> SUMIFS('FS Semi'!$J95:$CV95, 'FS Semi'!$J$4:$CV$4, 'FS Ann'!Q$4)</f>
        <v>0</v>
      </c>
      <c r="R95" s="16">
        <f xml:space="preserve"> SUMIFS('FS Semi'!$J95:$CV95, 'FS Semi'!$J$4:$CV$4, 'FS Ann'!R$4)</f>
        <v>0</v>
      </c>
      <c r="S95" s="16">
        <f xml:space="preserve"> SUMIFS('FS Semi'!$J95:$CV95, 'FS Semi'!$J$4:$CV$4, 'FS Ann'!S$4)</f>
        <v>0</v>
      </c>
      <c r="T95" s="16">
        <f xml:space="preserve"> SUMIFS('FS Semi'!$J95:$CV95, 'FS Semi'!$J$4:$CV$4, 'FS Ann'!T$4)</f>
        <v>0</v>
      </c>
      <c r="U95" s="16">
        <f xml:space="preserve"> SUMIFS('FS Semi'!$J95:$CV95, 'FS Semi'!$J$4:$CV$4, 'FS Ann'!U$4)</f>
        <v>0</v>
      </c>
      <c r="V95" s="16">
        <f xml:space="preserve"> SUMIFS('FS Semi'!$J95:$CV95, 'FS Semi'!$J$4:$CV$4, 'FS Ann'!V$4)</f>
        <v>0</v>
      </c>
      <c r="W95" s="16">
        <f xml:space="preserve"> SUMIFS('FS Semi'!$J95:$CV95, 'FS Semi'!$J$4:$CV$4, 'FS Ann'!W$4)</f>
        <v>0</v>
      </c>
      <c r="X95" s="16">
        <f xml:space="preserve"> SUMIFS('FS Semi'!$J95:$CV95, 'FS Semi'!$J$4:$CV$4, 'FS Ann'!X$4)</f>
        <v>0</v>
      </c>
      <c r="Y95" s="16">
        <f xml:space="preserve"> SUMIFS('FS Semi'!$J95:$CV95, 'FS Semi'!$J$4:$CV$4, 'FS Ann'!Y$4)</f>
        <v>0</v>
      </c>
      <c r="Z95" s="16">
        <f xml:space="preserve"> SUMIFS('FS Semi'!$J95:$CV95, 'FS Semi'!$J$4:$CV$4, 'FS Ann'!Z$4)</f>
        <v>0</v>
      </c>
      <c r="AA95" s="16">
        <f xml:space="preserve"> SUMIFS('FS Semi'!$J95:$CV95, 'FS Semi'!$J$4:$CV$4, 'FS Ann'!AA$4)</f>
        <v>0</v>
      </c>
      <c r="AB95" s="16">
        <f xml:space="preserve"> SUMIFS('FS Semi'!$J95:$CV95, 'FS Semi'!$J$4:$CV$4, 'FS Ann'!AB$4)</f>
        <v>0</v>
      </c>
      <c r="AC95" s="16">
        <f xml:space="preserve"> SUMIFS('FS Semi'!$J95:$CV95, 'FS Semi'!$J$4:$CV$4, 'FS Ann'!AC$4)</f>
        <v>0</v>
      </c>
      <c r="AD95" s="16">
        <f xml:space="preserve"> SUMIFS('FS Semi'!$J95:$CV95, 'FS Semi'!$J$4:$CV$4, 'FS Ann'!AD$4)</f>
        <v>0</v>
      </c>
      <c r="AE95" s="16">
        <f xml:space="preserve"> SUMIFS('FS Semi'!$J95:$CV95, 'FS Semi'!$J$4:$CV$4, 'FS Ann'!AE$4)</f>
        <v>0</v>
      </c>
      <c r="AF95" s="16">
        <f xml:space="preserve"> SUMIFS('FS Semi'!$J95:$CV95, 'FS Semi'!$J$4:$CV$4, 'FS Ann'!AF$4)</f>
        <v>0</v>
      </c>
      <c r="AG95" s="16">
        <f xml:space="preserve"> SUMIFS('FS Semi'!$J95:$CV95, 'FS Semi'!$J$4:$CV$4, 'FS Ann'!AG$4)</f>
        <v>0</v>
      </c>
      <c r="AH95" s="16">
        <f xml:space="preserve"> SUMIFS('FS Semi'!$J95:$CV95, 'FS Semi'!$J$4:$CV$4, 'FS Ann'!AH$4)</f>
        <v>0</v>
      </c>
      <c r="AI95" s="16">
        <f xml:space="preserve"> SUMIFS('FS Semi'!$J95:$CV95, 'FS Semi'!$J$4:$CV$4, 'FS Ann'!AI$4)</f>
        <v>0</v>
      </c>
      <c r="AJ95" s="16">
        <f xml:space="preserve"> SUMIFS('FS Semi'!$J95:$CV95, 'FS Semi'!$J$4:$CV$4, 'FS Ann'!AJ$4)</f>
        <v>0</v>
      </c>
      <c r="AK95" s="16">
        <f xml:space="preserve"> SUMIFS('FS Semi'!$J95:$CV95, 'FS Semi'!$J$4:$CV$4, 'FS Ann'!AK$4)</f>
        <v>0</v>
      </c>
      <c r="AL95" s="16">
        <f xml:space="preserve"> SUMIFS('FS Semi'!$J95:$CV95, 'FS Semi'!$J$4:$CV$4, 'FS Ann'!AL$4)</f>
        <v>0</v>
      </c>
      <c r="AM95" s="16">
        <f xml:space="preserve"> SUMIFS('FS Semi'!$J95:$CV95, 'FS Semi'!$J$4:$CV$4, 'FS Ann'!AM$4)</f>
        <v>0</v>
      </c>
      <c r="AN95" s="16">
        <f xml:space="preserve"> SUMIFS('FS Semi'!$J95:$CV95, 'FS Semi'!$J$4:$CV$4, 'FS Ann'!AN$4)</f>
        <v>0</v>
      </c>
      <c r="AO95" s="16">
        <f xml:space="preserve"> SUMIFS('FS Semi'!$J95:$CV95, 'FS Semi'!$J$4:$CV$4, 'FS Ann'!AO$4)</f>
        <v>0</v>
      </c>
      <c r="AP95" s="16">
        <f xml:space="preserve"> SUMIFS('FS Semi'!$J95:$CV95, 'FS Semi'!$J$4:$CV$4, 'FS Ann'!AP$4)</f>
        <v>0</v>
      </c>
      <c r="AQ95" s="16">
        <f xml:space="preserve"> SUMIFS('FS Semi'!$J95:$CV95, 'FS Semi'!$J$4:$CV$4, 'FS Ann'!AQ$4)</f>
        <v>0</v>
      </c>
      <c r="AR95" s="16">
        <f xml:space="preserve"> SUMIFS('FS Semi'!$J95:$CV95, 'FS Semi'!$J$4:$CV$4, 'FS Ann'!AR$4)</f>
        <v>0</v>
      </c>
      <c r="AS95" s="16">
        <f xml:space="preserve"> SUMIFS('FS Semi'!$J95:$CV95, 'FS Semi'!$J$4:$CV$4, 'FS Ann'!AS$4)</f>
        <v>0</v>
      </c>
      <c r="AT95" s="16">
        <f xml:space="preserve"> SUMIFS('FS Semi'!$J95:$CV95, 'FS Semi'!$J$4:$CV$4, 'FS Ann'!AT$4)</f>
        <v>0</v>
      </c>
      <c r="AU95" s="16">
        <f xml:space="preserve"> SUMIFS('FS Semi'!$J95:$CV95, 'FS Semi'!$J$4:$CV$4, 'FS Ann'!AU$4)</f>
        <v>0</v>
      </c>
      <c r="AV95" s="16">
        <f xml:space="preserve"> SUMIFS('FS Semi'!$J95:$CV95, 'FS Semi'!$J$4:$CV$4, 'FS Ann'!AV$4)</f>
        <v>0</v>
      </c>
      <c r="AW95" s="16">
        <f xml:space="preserve"> SUMIFS('FS Semi'!$J95:$CV95, 'FS Semi'!$J$4:$CV$4, 'FS Ann'!AW$4)</f>
        <v>0</v>
      </c>
      <c r="AX95" s="16">
        <f xml:space="preserve"> SUMIFS('FS Semi'!$J95:$CV95, 'FS Semi'!$J$4:$CV$4, 'FS Ann'!AX$4)</f>
        <v>0</v>
      </c>
      <c r="AY95" s="16">
        <f xml:space="preserve"> SUMIFS('FS Semi'!$J95:$CV95, 'FS Semi'!$J$4:$CV$4, 'FS Ann'!AY$4)</f>
        <v>0</v>
      </c>
      <c r="AZ95" s="16">
        <f xml:space="preserve"> SUMIFS('FS Semi'!$J95:$CV95, 'FS Semi'!$J$4:$CV$4, 'FS Ann'!AZ$4)</f>
        <v>0</v>
      </c>
      <c r="BA95" s="16">
        <f xml:space="preserve"> SUMIFS('FS Semi'!$J95:$CV95, 'FS Semi'!$J$4:$CV$4, 'FS Ann'!BA$4)</f>
        <v>0</v>
      </c>
      <c r="BB95" s="16">
        <f xml:space="preserve"> SUMIFS('FS Semi'!$J95:$CV95, 'FS Semi'!$J$4:$CV$4, 'FS Ann'!BB$4)</f>
        <v>0</v>
      </c>
    </row>
    <row r="96" spans="1:54" outlineLevel="1" x14ac:dyDescent="0.2">
      <c r="A96" s="1"/>
      <c r="B96" s="1"/>
      <c r="C96" s="19"/>
      <c r="D96" s="83"/>
      <c r="E96" s="84" t="s">
        <v>56</v>
      </c>
      <c r="F96" s="84"/>
      <c r="G96" s="324" t="str">
        <f>SMU</f>
        <v>$ 000s</v>
      </c>
      <c r="H96" s="84">
        <f t="shared" si="14"/>
        <v>-5.2750692702829838E-11</v>
      </c>
      <c r="I96" s="84"/>
      <c r="J96" s="84">
        <f t="shared" ref="J96:BB96" si="35" xml:space="preserve"> J93 + J95</f>
        <v>-1.5558398445136845E-6</v>
      </c>
      <c r="K96" s="84">
        <f t="shared" si="35"/>
        <v>-2.922103158198297E-5</v>
      </c>
      <c r="L96" s="84">
        <f t="shared" si="35"/>
        <v>-3.9870376931503415E-3</v>
      </c>
      <c r="M96" s="84">
        <f t="shared" si="35"/>
        <v>4.0178145118261455E-3</v>
      </c>
      <c r="N96" s="84">
        <f t="shared" si="35"/>
        <v>0</v>
      </c>
      <c r="O96" s="84">
        <f t="shared" si="35"/>
        <v>0</v>
      </c>
      <c r="P96" s="84">
        <f t="shared" si="35"/>
        <v>0</v>
      </c>
      <c r="Q96" s="84">
        <f t="shared" si="35"/>
        <v>0</v>
      </c>
      <c r="R96" s="84">
        <f t="shared" si="35"/>
        <v>0</v>
      </c>
      <c r="S96" s="84">
        <f t="shared" si="35"/>
        <v>0</v>
      </c>
      <c r="T96" s="84">
        <f t="shared" si="35"/>
        <v>0</v>
      </c>
      <c r="U96" s="84">
        <f t="shared" si="35"/>
        <v>0</v>
      </c>
      <c r="V96" s="84">
        <f t="shared" si="35"/>
        <v>0</v>
      </c>
      <c r="W96" s="84">
        <f t="shared" si="35"/>
        <v>0</v>
      </c>
      <c r="X96" s="84">
        <f t="shared" si="35"/>
        <v>0</v>
      </c>
      <c r="Y96" s="84">
        <f t="shared" si="35"/>
        <v>0</v>
      </c>
      <c r="Z96" s="84">
        <f t="shared" si="35"/>
        <v>0</v>
      </c>
      <c r="AA96" s="84">
        <f t="shared" si="35"/>
        <v>0</v>
      </c>
      <c r="AB96" s="84">
        <f t="shared" si="35"/>
        <v>0</v>
      </c>
      <c r="AC96" s="84">
        <f t="shared" si="35"/>
        <v>0</v>
      </c>
      <c r="AD96" s="84">
        <f t="shared" si="35"/>
        <v>0</v>
      </c>
      <c r="AE96" s="84">
        <f t="shared" si="35"/>
        <v>0</v>
      </c>
      <c r="AF96" s="84">
        <f t="shared" si="35"/>
        <v>0</v>
      </c>
      <c r="AG96" s="84">
        <f t="shared" si="35"/>
        <v>0</v>
      </c>
      <c r="AH96" s="84">
        <f t="shared" si="35"/>
        <v>0</v>
      </c>
      <c r="AI96" s="84">
        <f t="shared" si="35"/>
        <v>0</v>
      </c>
      <c r="AJ96" s="84">
        <f t="shared" si="35"/>
        <v>0</v>
      </c>
      <c r="AK96" s="84">
        <f t="shared" si="35"/>
        <v>0</v>
      </c>
      <c r="AL96" s="84">
        <f t="shared" si="35"/>
        <v>0</v>
      </c>
      <c r="AM96" s="84">
        <f t="shared" si="35"/>
        <v>0</v>
      </c>
      <c r="AN96" s="84">
        <f t="shared" si="35"/>
        <v>0</v>
      </c>
      <c r="AO96" s="84">
        <f t="shared" si="35"/>
        <v>0</v>
      </c>
      <c r="AP96" s="84">
        <f t="shared" si="35"/>
        <v>0</v>
      </c>
      <c r="AQ96" s="84">
        <f t="shared" si="35"/>
        <v>0</v>
      </c>
      <c r="AR96" s="84">
        <f t="shared" si="35"/>
        <v>0</v>
      </c>
      <c r="AS96" s="84">
        <f t="shared" si="35"/>
        <v>0</v>
      </c>
      <c r="AT96" s="84">
        <f t="shared" si="35"/>
        <v>0</v>
      </c>
      <c r="AU96" s="84">
        <f t="shared" si="35"/>
        <v>0</v>
      </c>
      <c r="AV96" s="84">
        <f t="shared" si="35"/>
        <v>0</v>
      </c>
      <c r="AW96" s="84">
        <f t="shared" si="35"/>
        <v>0</v>
      </c>
      <c r="AX96" s="84">
        <f t="shared" si="35"/>
        <v>0</v>
      </c>
      <c r="AY96" s="84">
        <f t="shared" si="35"/>
        <v>0</v>
      </c>
      <c r="AZ96" s="84">
        <f t="shared" si="35"/>
        <v>0</v>
      </c>
      <c r="BA96" s="84">
        <f t="shared" si="35"/>
        <v>0</v>
      </c>
      <c r="BB96" s="84">
        <f t="shared" si="35"/>
        <v>0</v>
      </c>
    </row>
    <row r="97" spans="1:54" outlineLevel="1" x14ac:dyDescent="0.2">
      <c r="A97" s="1"/>
      <c r="B97" s="1"/>
      <c r="C97" s="19"/>
      <c r="D97" s="83"/>
      <c r="E97" s="16"/>
      <c r="F97" s="16"/>
      <c r="G97" s="381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x14ac:dyDescent="0.2">
      <c r="A98" s="1"/>
      <c r="B98" s="1"/>
      <c r="C98" s="19"/>
      <c r="D98" s="83"/>
      <c r="E98" s="16"/>
      <c r="F98" s="16"/>
      <c r="G98" s="381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x14ac:dyDescent="0.2">
      <c r="A99" s="1" t="s">
        <v>60</v>
      </c>
      <c r="B99" s="1"/>
      <c r="C99" s="19"/>
      <c r="D99" s="83"/>
      <c r="E99" s="16"/>
      <c r="F99" s="16"/>
      <c r="G99" s="381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outlineLevel="1" x14ac:dyDescent="0.2">
      <c r="A100" s="1"/>
      <c r="B100" s="1"/>
      <c r="C100" s="19"/>
      <c r="D100" s="83"/>
      <c r="E100" s="16"/>
      <c r="F100" s="16"/>
      <c r="G100" s="381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 outlineLevel="1" x14ac:dyDescent="0.2">
      <c r="A101" s="1"/>
      <c r="B101" s="1" t="s">
        <v>61</v>
      </c>
      <c r="C101" s="19"/>
      <c r="D101" s="83"/>
      <c r="E101" s="16"/>
      <c r="F101" s="16"/>
      <c r="G101" s="381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</row>
    <row r="102" spans="1:54" outlineLevel="2" x14ac:dyDescent="0.2">
      <c r="A102" s="1"/>
      <c r="B102" s="1"/>
      <c r="C102" s="19"/>
      <c r="D102" s="83"/>
      <c r="E102" s="16" t="str">
        <f xml:space="preserve"> 'FS Semi'!E102</f>
        <v>Fixed asset balance</v>
      </c>
      <c r="F102" s="16">
        <f xml:space="preserve"> 'FS Semi'!F102</f>
        <v>0</v>
      </c>
      <c r="G102" s="381" t="str">
        <f xml:space="preserve"> 'FS Semi'!G102</f>
        <v>$ 000s</v>
      </c>
      <c r="H102" s="16"/>
      <c r="I102" s="16"/>
      <c r="J102" s="16">
        <f xml:space="preserve"> SUMIFS( 'FS Semi'!$J102:$CV102, 'FS Semi'!$J$2:$CV$2, 'FS Ann'!J$2)</f>
        <v>31455.562132307692</v>
      </c>
      <c r="K102" s="16">
        <f xml:space="preserve"> SUMIFS( 'FS Semi'!$J102:$CV102, 'FS Semi'!$J$2:$CV$2, 'FS Ann'!K$2)</f>
        <v>170388.93492615386</v>
      </c>
      <c r="L102" s="16">
        <f xml:space="preserve"> SUMIFS( 'FS Semi'!$J102:$CV102, 'FS Semi'!$J$2:$CV$2, 'FS Ann'!L$2)</f>
        <v>295392.30772000004</v>
      </c>
      <c r="M102" s="16">
        <f xml:space="preserve"> SUMIFS( 'FS Semi'!$J102:$CV102, 'FS Semi'!$J$2:$CV$2, 'FS Ann'!M$2)</f>
        <v>280622.69233400002</v>
      </c>
      <c r="N102" s="16">
        <f xml:space="preserve"> SUMIFS( 'FS Semi'!$J102:$CV102, 'FS Semi'!$J$2:$CV$2, 'FS Ann'!N$2)</f>
        <v>265853.076948</v>
      </c>
      <c r="O102" s="16">
        <f xml:space="preserve"> SUMIFS( 'FS Semi'!$J102:$CV102, 'FS Semi'!$J$2:$CV$2, 'FS Ann'!O$2)</f>
        <v>251083.46156199998</v>
      </c>
      <c r="P102" s="16">
        <f xml:space="preserve"> SUMIFS( 'FS Semi'!$J102:$CV102, 'FS Semi'!$J$2:$CV$2, 'FS Ann'!P$2)</f>
        <v>236313.84617599996</v>
      </c>
      <c r="Q102" s="16">
        <f xml:space="preserve"> SUMIFS( 'FS Semi'!$J102:$CV102, 'FS Semi'!$J$2:$CV$2, 'FS Ann'!Q$2)</f>
        <v>221544.23078999994</v>
      </c>
      <c r="R102" s="16">
        <f xml:space="preserve"> SUMIFS( 'FS Semi'!$J102:$CV102, 'FS Semi'!$J$2:$CV$2, 'FS Ann'!R$2)</f>
        <v>206774.61540399992</v>
      </c>
      <c r="S102" s="16">
        <f xml:space="preserve"> SUMIFS( 'FS Semi'!$J102:$CV102, 'FS Semi'!$J$2:$CV$2, 'FS Ann'!S$2)</f>
        <v>192005.0000179999</v>
      </c>
      <c r="T102" s="16">
        <f xml:space="preserve"> SUMIFS( 'FS Semi'!$J102:$CV102, 'FS Semi'!$J$2:$CV$2, 'FS Ann'!T$2)</f>
        <v>177235.38463199988</v>
      </c>
      <c r="U102" s="16">
        <f xml:space="preserve"> SUMIFS( 'FS Semi'!$J102:$CV102, 'FS Semi'!$J$2:$CV$2, 'FS Ann'!U$2)</f>
        <v>162465.76924599987</v>
      </c>
      <c r="V102" s="16">
        <f xml:space="preserve"> SUMIFS( 'FS Semi'!$J102:$CV102, 'FS Semi'!$J$2:$CV$2, 'FS Ann'!V$2)</f>
        <v>147696.15385999985</v>
      </c>
      <c r="W102" s="16">
        <f xml:space="preserve"> SUMIFS( 'FS Semi'!$J102:$CV102, 'FS Semi'!$J$2:$CV$2, 'FS Ann'!W$2)</f>
        <v>132926.53847399983</v>
      </c>
      <c r="X102" s="16">
        <f xml:space="preserve"> SUMIFS( 'FS Semi'!$J102:$CV102, 'FS Semi'!$J$2:$CV$2, 'FS Ann'!X$2)</f>
        <v>118156.92308799984</v>
      </c>
      <c r="Y102" s="16">
        <f xml:space="preserve"> SUMIFS( 'FS Semi'!$J102:$CV102, 'FS Semi'!$J$2:$CV$2, 'FS Ann'!Y$2)</f>
        <v>103387.30770199985</v>
      </c>
      <c r="Z102" s="16">
        <f xml:space="preserve"> SUMIFS( 'FS Semi'!$J102:$CV102, 'FS Semi'!$J$2:$CV$2, 'FS Ann'!Z$2)</f>
        <v>88617.692315999855</v>
      </c>
      <c r="AA102" s="16">
        <f xml:space="preserve"> SUMIFS( 'FS Semi'!$J102:$CV102, 'FS Semi'!$J$2:$CV$2, 'FS Ann'!AA$2)</f>
        <v>73848.076929999865</v>
      </c>
      <c r="AB102" s="16">
        <f xml:space="preserve"> SUMIFS( 'FS Semi'!$J102:$CV102, 'FS Semi'!$J$2:$CV$2, 'FS Ann'!AB$2)</f>
        <v>59078.461543999874</v>
      </c>
      <c r="AC102" s="16">
        <f xml:space="preserve"> SUMIFS( 'FS Semi'!$J102:$CV102, 'FS Semi'!$J$2:$CV$2, 'FS Ann'!AC$2)</f>
        <v>44308.846157999884</v>
      </c>
      <c r="AD102" s="16">
        <f xml:space="preserve"> SUMIFS( 'FS Semi'!$J102:$CV102, 'FS Semi'!$J$2:$CV$2, 'FS Ann'!AD$2)</f>
        <v>29539.230771999893</v>
      </c>
      <c r="AE102" s="16">
        <f xml:space="preserve"> SUMIFS( 'FS Semi'!$J102:$CV102, 'FS Semi'!$J$2:$CV$2, 'FS Ann'!AE$2)</f>
        <v>14769.615385999901</v>
      </c>
      <c r="AF102" s="16">
        <f xml:space="preserve"> SUMIFS( 'FS Semi'!$J102:$CV102, 'FS Semi'!$J$2:$CV$2, 'FS Ann'!AF$2)</f>
        <v>-9.276845958083868E-11</v>
      </c>
      <c r="AG102" s="16">
        <f xml:space="preserve"> SUMIFS( 'FS Semi'!$J102:$CV102, 'FS Semi'!$J$2:$CV$2, 'FS Ann'!AG$2)</f>
        <v>-9.276845958083868E-11</v>
      </c>
      <c r="AH102" s="16">
        <f xml:space="preserve"> SUMIFS( 'FS Semi'!$J102:$CV102, 'FS Semi'!$J$2:$CV$2, 'FS Ann'!AH$2)</f>
        <v>-9.276845958083868E-11</v>
      </c>
      <c r="AI102" s="16">
        <f xml:space="preserve"> SUMIFS( 'FS Semi'!$J102:$CV102, 'FS Semi'!$J$2:$CV$2, 'FS Ann'!AI$2)</f>
        <v>-9.276845958083868E-11</v>
      </c>
      <c r="AJ102" s="16">
        <f xml:space="preserve"> SUMIFS( 'FS Semi'!$J102:$CV102, 'FS Semi'!$J$2:$CV$2, 'FS Ann'!AJ$2)</f>
        <v>-9.276845958083868E-11</v>
      </c>
      <c r="AK102" s="16">
        <f xml:space="preserve"> SUMIFS( 'FS Semi'!$J102:$CV102, 'FS Semi'!$J$2:$CV$2, 'FS Ann'!AK$2)</f>
        <v>-9.276845958083868E-11</v>
      </c>
      <c r="AL102" s="16">
        <f xml:space="preserve"> SUMIFS( 'FS Semi'!$J102:$CV102, 'FS Semi'!$J$2:$CV$2, 'FS Ann'!AL$2)</f>
        <v>-9.276845958083868E-11</v>
      </c>
      <c r="AM102" s="16">
        <f xml:space="preserve"> SUMIFS( 'FS Semi'!$J102:$CV102, 'FS Semi'!$J$2:$CV$2, 'FS Ann'!AM$2)</f>
        <v>-9.276845958083868E-11</v>
      </c>
      <c r="AN102" s="16">
        <f xml:space="preserve"> SUMIFS( 'FS Semi'!$J102:$CV102, 'FS Semi'!$J$2:$CV$2, 'FS Ann'!AN$2)</f>
        <v>-9.276845958083868E-11</v>
      </c>
      <c r="AO102" s="16">
        <f xml:space="preserve"> SUMIFS( 'FS Semi'!$J102:$CV102, 'FS Semi'!$J$2:$CV$2, 'FS Ann'!AO$2)</f>
        <v>-9.276845958083868E-11</v>
      </c>
      <c r="AP102" s="16">
        <f xml:space="preserve"> SUMIFS( 'FS Semi'!$J102:$CV102, 'FS Semi'!$J$2:$CV$2, 'FS Ann'!AP$2)</f>
        <v>-9.276845958083868E-11</v>
      </c>
      <c r="AQ102" s="16">
        <f xml:space="preserve"> SUMIFS( 'FS Semi'!$J102:$CV102, 'FS Semi'!$J$2:$CV$2, 'FS Ann'!AQ$2)</f>
        <v>-9.276845958083868E-11</v>
      </c>
      <c r="AR102" s="16">
        <f xml:space="preserve"> SUMIFS( 'FS Semi'!$J102:$CV102, 'FS Semi'!$J$2:$CV$2, 'FS Ann'!AR$2)</f>
        <v>-9.276845958083868E-11</v>
      </c>
      <c r="AS102" s="16">
        <f xml:space="preserve"> SUMIFS( 'FS Semi'!$J102:$CV102, 'FS Semi'!$J$2:$CV$2, 'FS Ann'!AS$2)</f>
        <v>-9.276845958083868E-11</v>
      </c>
      <c r="AT102" s="16">
        <f xml:space="preserve"> SUMIFS( 'FS Semi'!$J102:$CV102, 'FS Semi'!$J$2:$CV$2, 'FS Ann'!AT$2)</f>
        <v>-9.276845958083868E-11</v>
      </c>
      <c r="AU102" s="16">
        <f xml:space="preserve"> SUMIFS( 'FS Semi'!$J102:$CV102, 'FS Semi'!$J$2:$CV$2, 'FS Ann'!AU$2)</f>
        <v>-9.276845958083868E-11</v>
      </c>
      <c r="AV102" s="16">
        <f xml:space="preserve"> SUMIFS( 'FS Semi'!$J102:$CV102, 'FS Semi'!$J$2:$CV$2, 'FS Ann'!AV$2)</f>
        <v>-9.276845958083868E-11</v>
      </c>
      <c r="AW102" s="16">
        <f xml:space="preserve"> SUMIFS( 'FS Semi'!$J102:$CV102, 'FS Semi'!$J$2:$CV$2, 'FS Ann'!AW$2)</f>
        <v>-9.276845958083868E-11</v>
      </c>
      <c r="AX102" s="16">
        <f xml:space="preserve"> SUMIFS( 'FS Semi'!$J102:$CV102, 'FS Semi'!$J$2:$CV$2, 'FS Ann'!AX$2)</f>
        <v>-9.276845958083868E-11</v>
      </c>
      <c r="AY102" s="16">
        <f xml:space="preserve"> SUMIFS( 'FS Semi'!$J102:$CV102, 'FS Semi'!$J$2:$CV$2, 'FS Ann'!AY$2)</f>
        <v>-9.276845958083868E-11</v>
      </c>
      <c r="AZ102" s="16">
        <f xml:space="preserve"> SUMIFS( 'FS Semi'!$J102:$CV102, 'FS Semi'!$J$2:$CV$2, 'FS Ann'!AZ$2)</f>
        <v>-9.276845958083868E-11</v>
      </c>
      <c r="BA102" s="16">
        <f xml:space="preserve"> SUMIFS( 'FS Semi'!$J102:$CV102, 'FS Semi'!$J$2:$CV$2, 'FS Ann'!BA$2)</f>
        <v>-9.276845958083868E-11</v>
      </c>
      <c r="BB102" s="16">
        <f xml:space="preserve"> SUMIFS( 'FS Semi'!$J102:$CV102, 'FS Semi'!$J$2:$CV$2, 'FS Ann'!BB$2)</f>
        <v>-9.276845958083868E-11</v>
      </c>
    </row>
    <row r="103" spans="1:54" outlineLevel="2" x14ac:dyDescent="0.2">
      <c r="A103" s="1"/>
      <c r="B103" s="1"/>
      <c r="C103" s="19"/>
      <c r="D103" s="83"/>
      <c r="E103" s="16" t="str">
        <f xml:space="preserve"> 'FS Semi'!E103</f>
        <v>Capitalised finance costs balance</v>
      </c>
      <c r="F103" s="16">
        <f xml:space="preserve"> 'FS Semi'!F103</f>
        <v>0</v>
      </c>
      <c r="G103" s="381" t="str">
        <f xml:space="preserve"> 'FS Semi'!G103</f>
        <v>$ 000s</v>
      </c>
      <c r="H103" s="16"/>
      <c r="I103" s="16"/>
      <c r="J103" s="16">
        <f xml:space="preserve"> SUMIFS( 'FS Semi'!$J103:$CV103, 'FS Semi'!$J$2:$CV$2, 'FS Ann'!J$2)</f>
        <v>7199.4501905899378</v>
      </c>
      <c r="K103" s="16">
        <f xml:space="preserve"> SUMIFS( 'FS Semi'!$J103:$CV103, 'FS Semi'!$J$2:$CV$2, 'FS Ann'!K$2)</f>
        <v>13311.490386975976</v>
      </c>
      <c r="L103" s="16">
        <f xml:space="preserve"> SUMIFS( 'FS Semi'!$J103:$CV103, 'FS Semi'!$J$2:$CV$2, 'FS Ann'!L$2)</f>
        <v>24335.550022039701</v>
      </c>
      <c r="M103" s="16">
        <f xml:space="preserve"> SUMIFS( 'FS Semi'!$J103:$CV103, 'FS Semi'!$J$2:$CV$2, 'FS Ann'!M$2)</f>
        <v>22904.047079566779</v>
      </c>
      <c r="N103" s="16">
        <f xml:space="preserve"> SUMIFS( 'FS Semi'!$J103:$CV103, 'FS Semi'!$J$2:$CV$2, 'FS Ann'!N$2)</f>
        <v>21472.544137093857</v>
      </c>
      <c r="O103" s="16">
        <f xml:space="preserve"> SUMIFS( 'FS Semi'!$J103:$CV103, 'FS Semi'!$J$2:$CV$2, 'FS Ann'!O$2)</f>
        <v>20041.041194620935</v>
      </c>
      <c r="P103" s="16">
        <f xml:space="preserve"> SUMIFS( 'FS Semi'!$J103:$CV103, 'FS Semi'!$J$2:$CV$2, 'FS Ann'!P$2)</f>
        <v>18609.538252148013</v>
      </c>
      <c r="Q103" s="16">
        <f xml:space="preserve"> SUMIFS( 'FS Semi'!$J103:$CV103, 'FS Semi'!$J$2:$CV$2, 'FS Ann'!Q$2)</f>
        <v>17178.035309675091</v>
      </c>
      <c r="R103" s="16">
        <f xml:space="preserve"> SUMIFS( 'FS Semi'!$J103:$CV103, 'FS Semi'!$J$2:$CV$2, 'FS Ann'!R$2)</f>
        <v>15746.53236720217</v>
      </c>
      <c r="S103" s="16">
        <f xml:space="preserve"> SUMIFS( 'FS Semi'!$J103:$CV103, 'FS Semi'!$J$2:$CV$2, 'FS Ann'!S$2)</f>
        <v>14315.029424729248</v>
      </c>
      <c r="T103" s="16">
        <f xml:space="preserve"> SUMIFS( 'FS Semi'!$J103:$CV103, 'FS Semi'!$J$2:$CV$2, 'FS Ann'!T$2)</f>
        <v>12883.526482256326</v>
      </c>
      <c r="U103" s="16">
        <f xml:space="preserve"> SUMIFS( 'FS Semi'!$J103:$CV103, 'FS Semi'!$J$2:$CV$2, 'FS Ann'!U$2)</f>
        <v>11452.023539783404</v>
      </c>
      <c r="V103" s="16">
        <f xml:space="preserve"> SUMIFS( 'FS Semi'!$J103:$CV103, 'FS Semi'!$J$2:$CV$2, 'FS Ann'!V$2)</f>
        <v>10020.520597310482</v>
      </c>
      <c r="W103" s="16">
        <f xml:space="preserve"> SUMIFS( 'FS Semi'!$J103:$CV103, 'FS Semi'!$J$2:$CV$2, 'FS Ann'!W$2)</f>
        <v>8589.0176548375603</v>
      </c>
      <c r="X103" s="16">
        <f xml:space="preserve"> SUMIFS( 'FS Semi'!$J103:$CV103, 'FS Semi'!$J$2:$CV$2, 'FS Ann'!X$2)</f>
        <v>7157.5147123646366</v>
      </c>
      <c r="Y103" s="16">
        <f xml:space="preserve"> SUMIFS( 'FS Semi'!$J103:$CV103, 'FS Semi'!$J$2:$CV$2, 'FS Ann'!Y$2)</f>
        <v>5726.0117698917129</v>
      </c>
      <c r="Z103" s="16">
        <f xml:space="preserve"> SUMIFS( 'FS Semi'!$J103:$CV103, 'FS Semi'!$J$2:$CV$2, 'FS Ann'!Z$2)</f>
        <v>4294.5088274187892</v>
      </c>
      <c r="AA103" s="16">
        <f xml:space="preserve"> SUMIFS( 'FS Semi'!$J103:$CV103, 'FS Semi'!$J$2:$CV$2, 'FS Ann'!AA$2)</f>
        <v>2863.0058849458655</v>
      </c>
      <c r="AB103" s="16">
        <f xml:space="preserve"> SUMIFS( 'FS Semi'!$J103:$CV103, 'FS Semi'!$J$2:$CV$2, 'FS Ann'!AB$2)</f>
        <v>1431.5029424729419</v>
      </c>
      <c r="AC103" s="16">
        <f xml:space="preserve"> SUMIFS( 'FS Semi'!$J103:$CV103, 'FS Semi'!$J$2:$CV$2, 'FS Ann'!AC$2)</f>
        <v>1.8189894035458565E-11</v>
      </c>
      <c r="AD103" s="16">
        <f xml:space="preserve"> SUMIFS( 'FS Semi'!$J103:$CV103, 'FS Semi'!$J$2:$CV$2, 'FS Ann'!AD$2)</f>
        <v>1.8189894035458565E-11</v>
      </c>
      <c r="AE103" s="16">
        <f xml:space="preserve"> SUMIFS( 'FS Semi'!$J103:$CV103, 'FS Semi'!$J$2:$CV$2, 'FS Ann'!AE$2)</f>
        <v>1.8189894035458565E-11</v>
      </c>
      <c r="AF103" s="16">
        <f xml:space="preserve"> SUMIFS( 'FS Semi'!$J103:$CV103, 'FS Semi'!$J$2:$CV$2, 'FS Ann'!AF$2)</f>
        <v>1.8189894035458565E-11</v>
      </c>
      <c r="AG103" s="16">
        <f xml:space="preserve"> SUMIFS( 'FS Semi'!$J103:$CV103, 'FS Semi'!$J$2:$CV$2, 'FS Ann'!AG$2)</f>
        <v>1.8189894035458565E-11</v>
      </c>
      <c r="AH103" s="16">
        <f xml:space="preserve"> SUMIFS( 'FS Semi'!$J103:$CV103, 'FS Semi'!$J$2:$CV$2, 'FS Ann'!AH$2)</f>
        <v>1.8189894035458565E-11</v>
      </c>
      <c r="AI103" s="16">
        <f xml:space="preserve"> SUMIFS( 'FS Semi'!$J103:$CV103, 'FS Semi'!$J$2:$CV$2, 'FS Ann'!AI$2)</f>
        <v>1.8189894035458565E-11</v>
      </c>
      <c r="AJ103" s="16">
        <f xml:space="preserve"> SUMIFS( 'FS Semi'!$J103:$CV103, 'FS Semi'!$J$2:$CV$2, 'FS Ann'!AJ$2)</f>
        <v>1.8189894035458565E-11</v>
      </c>
      <c r="AK103" s="16">
        <f xml:space="preserve"> SUMIFS( 'FS Semi'!$J103:$CV103, 'FS Semi'!$J$2:$CV$2, 'FS Ann'!AK$2)</f>
        <v>1.8189894035458565E-11</v>
      </c>
      <c r="AL103" s="16">
        <f xml:space="preserve"> SUMIFS( 'FS Semi'!$J103:$CV103, 'FS Semi'!$J$2:$CV$2, 'FS Ann'!AL$2)</f>
        <v>1.8189894035458565E-11</v>
      </c>
      <c r="AM103" s="16">
        <f xml:space="preserve"> SUMIFS( 'FS Semi'!$J103:$CV103, 'FS Semi'!$J$2:$CV$2, 'FS Ann'!AM$2)</f>
        <v>1.8189894035458565E-11</v>
      </c>
      <c r="AN103" s="16">
        <f xml:space="preserve"> SUMIFS( 'FS Semi'!$J103:$CV103, 'FS Semi'!$J$2:$CV$2, 'FS Ann'!AN$2)</f>
        <v>1.8189894035458565E-11</v>
      </c>
      <c r="AO103" s="16">
        <f xml:space="preserve"> SUMIFS( 'FS Semi'!$J103:$CV103, 'FS Semi'!$J$2:$CV$2, 'FS Ann'!AO$2)</f>
        <v>1.8189894035458565E-11</v>
      </c>
      <c r="AP103" s="16">
        <f xml:space="preserve"> SUMIFS( 'FS Semi'!$J103:$CV103, 'FS Semi'!$J$2:$CV$2, 'FS Ann'!AP$2)</f>
        <v>1.8189894035458565E-11</v>
      </c>
      <c r="AQ103" s="16">
        <f xml:space="preserve"> SUMIFS( 'FS Semi'!$J103:$CV103, 'FS Semi'!$J$2:$CV$2, 'FS Ann'!AQ$2)</f>
        <v>1.8189894035458565E-11</v>
      </c>
      <c r="AR103" s="16">
        <f xml:space="preserve"> SUMIFS( 'FS Semi'!$J103:$CV103, 'FS Semi'!$J$2:$CV$2, 'FS Ann'!AR$2)</f>
        <v>1.8189894035458565E-11</v>
      </c>
      <c r="AS103" s="16">
        <f xml:space="preserve"> SUMIFS( 'FS Semi'!$J103:$CV103, 'FS Semi'!$J$2:$CV$2, 'FS Ann'!AS$2)</f>
        <v>1.8189894035458565E-11</v>
      </c>
      <c r="AT103" s="16">
        <f xml:space="preserve"> SUMIFS( 'FS Semi'!$J103:$CV103, 'FS Semi'!$J$2:$CV$2, 'FS Ann'!AT$2)</f>
        <v>1.8189894035458565E-11</v>
      </c>
      <c r="AU103" s="16">
        <f xml:space="preserve"> SUMIFS( 'FS Semi'!$J103:$CV103, 'FS Semi'!$J$2:$CV$2, 'FS Ann'!AU$2)</f>
        <v>1.8189894035458565E-11</v>
      </c>
      <c r="AV103" s="16">
        <f xml:space="preserve"> SUMIFS( 'FS Semi'!$J103:$CV103, 'FS Semi'!$J$2:$CV$2, 'FS Ann'!AV$2)</f>
        <v>1.8189894035458565E-11</v>
      </c>
      <c r="AW103" s="16">
        <f xml:space="preserve"> SUMIFS( 'FS Semi'!$J103:$CV103, 'FS Semi'!$J$2:$CV$2, 'FS Ann'!AW$2)</f>
        <v>1.8189894035458565E-11</v>
      </c>
      <c r="AX103" s="16">
        <f xml:space="preserve"> SUMIFS( 'FS Semi'!$J103:$CV103, 'FS Semi'!$J$2:$CV$2, 'FS Ann'!AX$2)</f>
        <v>1.8189894035458565E-11</v>
      </c>
      <c r="AY103" s="16">
        <f xml:space="preserve"> SUMIFS( 'FS Semi'!$J103:$CV103, 'FS Semi'!$J$2:$CV$2, 'FS Ann'!AY$2)</f>
        <v>1.8189894035458565E-11</v>
      </c>
      <c r="AZ103" s="16">
        <f xml:space="preserve"> SUMIFS( 'FS Semi'!$J103:$CV103, 'FS Semi'!$J$2:$CV$2, 'FS Ann'!AZ$2)</f>
        <v>1.8189894035458565E-11</v>
      </c>
      <c r="BA103" s="16">
        <f xml:space="preserve"> SUMIFS( 'FS Semi'!$J103:$CV103, 'FS Semi'!$J$2:$CV$2, 'FS Ann'!BA$2)</f>
        <v>1.8189894035458565E-11</v>
      </c>
      <c r="BB103" s="16">
        <f xml:space="preserve"> SUMIFS( 'FS Semi'!$J103:$CV103, 'FS Semi'!$J$2:$CV$2, 'FS Ann'!BB$2)</f>
        <v>1.8189894035458565E-11</v>
      </c>
    </row>
    <row r="104" spans="1:54" outlineLevel="2" x14ac:dyDescent="0.2">
      <c r="A104" s="1"/>
      <c r="B104" s="1"/>
      <c r="C104" s="19"/>
      <c r="D104" s="83"/>
      <c r="E104" s="84" t="s">
        <v>61</v>
      </c>
      <c r="F104" s="84"/>
      <c r="G104" s="324" t="str">
        <f>SMU</f>
        <v>$ 000s</v>
      </c>
      <c r="H104" s="84"/>
      <c r="I104" s="84"/>
      <c r="J104" s="84">
        <f t="shared" ref="J104:BB104" si="36">SUM(J102:J103)</f>
        <v>38655.01232289763</v>
      </c>
      <c r="K104" s="84">
        <f t="shared" si="36"/>
        <v>183700.42531312985</v>
      </c>
      <c r="L104" s="84">
        <f t="shared" si="36"/>
        <v>319727.85774203972</v>
      </c>
      <c r="M104" s="84">
        <f t="shared" si="36"/>
        <v>303526.73941356677</v>
      </c>
      <c r="N104" s="84">
        <f t="shared" si="36"/>
        <v>287325.62108509388</v>
      </c>
      <c r="O104" s="84">
        <f t="shared" si="36"/>
        <v>271124.50275662093</v>
      </c>
      <c r="P104" s="84">
        <f t="shared" si="36"/>
        <v>254923.38442814798</v>
      </c>
      <c r="Q104" s="84">
        <f t="shared" si="36"/>
        <v>238722.26609967503</v>
      </c>
      <c r="R104" s="84">
        <f t="shared" si="36"/>
        <v>222521.14777120209</v>
      </c>
      <c r="S104" s="84">
        <f t="shared" si="36"/>
        <v>206320.02944272914</v>
      </c>
      <c r="T104" s="84">
        <f t="shared" si="36"/>
        <v>190118.91111425622</v>
      </c>
      <c r="U104" s="84">
        <f t="shared" si="36"/>
        <v>173917.79278578327</v>
      </c>
      <c r="V104" s="84">
        <f t="shared" si="36"/>
        <v>157716.67445731032</v>
      </c>
      <c r="W104" s="84">
        <f t="shared" si="36"/>
        <v>141515.5561288374</v>
      </c>
      <c r="X104" s="84">
        <f t="shared" si="36"/>
        <v>125314.43780036447</v>
      </c>
      <c r="Y104" s="84">
        <f t="shared" si="36"/>
        <v>109113.31947189156</v>
      </c>
      <c r="Z104" s="84">
        <f t="shared" si="36"/>
        <v>92912.201143418642</v>
      </c>
      <c r="AA104" s="84">
        <f t="shared" si="36"/>
        <v>76711.082814945723</v>
      </c>
      <c r="AB104" s="84">
        <f t="shared" si="36"/>
        <v>60509.964486472818</v>
      </c>
      <c r="AC104" s="84">
        <f t="shared" si="36"/>
        <v>44308.846157999898</v>
      </c>
      <c r="AD104" s="84">
        <f t="shared" si="36"/>
        <v>29539.230771999912</v>
      </c>
      <c r="AE104" s="84">
        <f t="shared" si="36"/>
        <v>14769.615385999919</v>
      </c>
      <c r="AF104" s="84">
        <f t="shared" si="36"/>
        <v>-7.4578565545380116E-11</v>
      </c>
      <c r="AG104" s="84">
        <f t="shared" si="36"/>
        <v>-7.4578565545380116E-11</v>
      </c>
      <c r="AH104" s="84">
        <f t="shared" si="36"/>
        <v>-7.4578565545380116E-11</v>
      </c>
      <c r="AI104" s="84">
        <f t="shared" si="36"/>
        <v>-7.4578565545380116E-11</v>
      </c>
      <c r="AJ104" s="84">
        <f t="shared" si="36"/>
        <v>-7.4578565545380116E-11</v>
      </c>
      <c r="AK104" s="84">
        <f t="shared" si="36"/>
        <v>-7.4578565545380116E-11</v>
      </c>
      <c r="AL104" s="84">
        <f t="shared" si="36"/>
        <v>-7.4578565545380116E-11</v>
      </c>
      <c r="AM104" s="84">
        <f t="shared" si="36"/>
        <v>-7.4578565545380116E-11</v>
      </c>
      <c r="AN104" s="84">
        <f t="shared" si="36"/>
        <v>-7.4578565545380116E-11</v>
      </c>
      <c r="AO104" s="84">
        <f t="shared" si="36"/>
        <v>-7.4578565545380116E-11</v>
      </c>
      <c r="AP104" s="84">
        <f t="shared" si="36"/>
        <v>-7.4578565545380116E-11</v>
      </c>
      <c r="AQ104" s="84">
        <f t="shared" si="36"/>
        <v>-7.4578565545380116E-11</v>
      </c>
      <c r="AR104" s="84">
        <f t="shared" si="36"/>
        <v>-7.4578565545380116E-11</v>
      </c>
      <c r="AS104" s="84">
        <f t="shared" si="36"/>
        <v>-7.4578565545380116E-11</v>
      </c>
      <c r="AT104" s="84">
        <f t="shared" si="36"/>
        <v>-7.4578565545380116E-11</v>
      </c>
      <c r="AU104" s="84">
        <f t="shared" si="36"/>
        <v>-7.4578565545380116E-11</v>
      </c>
      <c r="AV104" s="84">
        <f t="shared" si="36"/>
        <v>-7.4578565545380116E-11</v>
      </c>
      <c r="AW104" s="84">
        <f t="shared" si="36"/>
        <v>-7.4578565545380116E-11</v>
      </c>
      <c r="AX104" s="84">
        <f t="shared" si="36"/>
        <v>-7.4578565545380116E-11</v>
      </c>
      <c r="AY104" s="84">
        <f t="shared" si="36"/>
        <v>-7.4578565545380116E-11</v>
      </c>
      <c r="AZ104" s="84">
        <f t="shared" si="36"/>
        <v>-7.4578565545380116E-11</v>
      </c>
      <c r="BA104" s="84">
        <f t="shared" si="36"/>
        <v>-7.4578565545380116E-11</v>
      </c>
      <c r="BB104" s="84">
        <f t="shared" si="36"/>
        <v>-7.4578565545380116E-11</v>
      </c>
    </row>
    <row r="105" spans="1:54" outlineLevel="1" x14ac:dyDescent="0.2">
      <c r="A105" s="1"/>
      <c r="B105" s="1"/>
      <c r="C105" s="19"/>
      <c r="D105" s="83"/>
      <c r="E105" s="16"/>
      <c r="F105" s="16"/>
      <c r="G105" s="381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</row>
    <row r="106" spans="1:54" outlineLevel="1" x14ac:dyDescent="0.2">
      <c r="A106" s="1"/>
      <c r="B106" s="1" t="s">
        <v>57</v>
      </c>
      <c r="C106" s="19"/>
      <c r="D106" s="83"/>
      <c r="E106" s="16"/>
      <c r="F106" s="16"/>
      <c r="G106" s="381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</row>
    <row r="107" spans="1:54" outlineLevel="2" x14ac:dyDescent="0.2">
      <c r="A107" s="1"/>
      <c r="B107" s="1"/>
      <c r="C107" s="19"/>
      <c r="D107" s="83"/>
      <c r="E107" s="16" t="str">
        <f xml:space="preserve"> 'FS Semi'!E107</f>
        <v>Retained cash balance</v>
      </c>
      <c r="F107" s="16">
        <f xml:space="preserve"> 'FS Semi'!F107</f>
        <v>0</v>
      </c>
      <c r="G107" s="381" t="str">
        <f xml:space="preserve"> 'FS Semi'!G107</f>
        <v>$ 000s</v>
      </c>
      <c r="H107" s="16"/>
      <c r="I107" s="16"/>
      <c r="J107" s="16">
        <f xml:space="preserve"> SUMIFS( 'FS Semi'!$J107:$CV107, 'FS Semi'!$J$2:$CV$2, 'FS Ann'!J$2)</f>
        <v>-1.5558398445136845E-6</v>
      </c>
      <c r="K107" s="16">
        <f xml:space="preserve"> SUMIFS( 'FS Semi'!$J107:$CV107, 'FS Semi'!$J$2:$CV$2, 'FS Ann'!K$2)</f>
        <v>-3.0776860512560233E-5</v>
      </c>
      <c r="L107" s="16">
        <f xml:space="preserve"> SUMIFS( 'FS Semi'!$J107:$CV107, 'FS Semi'!$J$2:$CV$2, 'FS Ann'!L$2)</f>
        <v>-4.0178145100071561E-3</v>
      </c>
      <c r="M107" s="16">
        <f xml:space="preserve"> SUMIFS( 'FS Semi'!$J107:$CV107, 'FS Semi'!$J$2:$CV$2, 'FS Ann'!M$2)</f>
        <v>0</v>
      </c>
      <c r="N107" s="16">
        <f xml:space="preserve"> SUMIFS( 'FS Semi'!$J107:$CV107, 'FS Semi'!$J$2:$CV$2, 'FS Ann'!N$2)</f>
        <v>0</v>
      </c>
      <c r="O107" s="16">
        <f xml:space="preserve"> SUMIFS( 'FS Semi'!$J107:$CV107, 'FS Semi'!$J$2:$CV$2, 'FS Ann'!O$2)</f>
        <v>0</v>
      </c>
      <c r="P107" s="16">
        <f xml:space="preserve"> SUMIFS( 'FS Semi'!$J107:$CV107, 'FS Semi'!$J$2:$CV$2, 'FS Ann'!P$2)</f>
        <v>0</v>
      </c>
      <c r="Q107" s="16">
        <f xml:space="preserve"> SUMIFS( 'FS Semi'!$J107:$CV107, 'FS Semi'!$J$2:$CV$2, 'FS Ann'!Q$2)</f>
        <v>0</v>
      </c>
      <c r="R107" s="16">
        <f xml:space="preserve"> SUMIFS( 'FS Semi'!$J107:$CV107, 'FS Semi'!$J$2:$CV$2, 'FS Ann'!R$2)</f>
        <v>0</v>
      </c>
      <c r="S107" s="16">
        <f xml:space="preserve"> SUMIFS( 'FS Semi'!$J107:$CV107, 'FS Semi'!$J$2:$CV$2, 'FS Ann'!S$2)</f>
        <v>0</v>
      </c>
      <c r="T107" s="16">
        <f xml:space="preserve"> SUMIFS( 'FS Semi'!$J107:$CV107, 'FS Semi'!$J$2:$CV$2, 'FS Ann'!T$2)</f>
        <v>0</v>
      </c>
      <c r="U107" s="16">
        <f xml:space="preserve"> SUMIFS( 'FS Semi'!$J107:$CV107, 'FS Semi'!$J$2:$CV$2, 'FS Ann'!U$2)</f>
        <v>0</v>
      </c>
      <c r="V107" s="16">
        <f xml:space="preserve"> SUMIFS( 'FS Semi'!$J107:$CV107, 'FS Semi'!$J$2:$CV$2, 'FS Ann'!V$2)</f>
        <v>0</v>
      </c>
      <c r="W107" s="16">
        <f xml:space="preserve"> SUMIFS( 'FS Semi'!$J107:$CV107, 'FS Semi'!$J$2:$CV$2, 'FS Ann'!W$2)</f>
        <v>0</v>
      </c>
      <c r="X107" s="16">
        <f xml:space="preserve"> SUMIFS( 'FS Semi'!$J107:$CV107, 'FS Semi'!$J$2:$CV$2, 'FS Ann'!X$2)</f>
        <v>0</v>
      </c>
      <c r="Y107" s="16">
        <f xml:space="preserve"> SUMIFS( 'FS Semi'!$J107:$CV107, 'FS Semi'!$J$2:$CV$2, 'FS Ann'!Y$2)</f>
        <v>0</v>
      </c>
      <c r="Z107" s="16">
        <f xml:space="preserve"> SUMIFS( 'FS Semi'!$J107:$CV107, 'FS Semi'!$J$2:$CV$2, 'FS Ann'!Z$2)</f>
        <v>0</v>
      </c>
      <c r="AA107" s="16">
        <f xml:space="preserve"> SUMIFS( 'FS Semi'!$J107:$CV107, 'FS Semi'!$J$2:$CV$2, 'FS Ann'!AA$2)</f>
        <v>0</v>
      </c>
      <c r="AB107" s="16">
        <f xml:space="preserve"> SUMIFS( 'FS Semi'!$J107:$CV107, 'FS Semi'!$J$2:$CV$2, 'FS Ann'!AB$2)</f>
        <v>0</v>
      </c>
      <c r="AC107" s="16">
        <f xml:space="preserve"> SUMIFS( 'FS Semi'!$J107:$CV107, 'FS Semi'!$J$2:$CV$2, 'FS Ann'!AC$2)</f>
        <v>0</v>
      </c>
      <c r="AD107" s="16">
        <f xml:space="preserve"> SUMIFS( 'FS Semi'!$J107:$CV107, 'FS Semi'!$J$2:$CV$2, 'FS Ann'!AD$2)</f>
        <v>0</v>
      </c>
      <c r="AE107" s="16">
        <f xml:space="preserve"> SUMIFS( 'FS Semi'!$J107:$CV107, 'FS Semi'!$J$2:$CV$2, 'FS Ann'!AE$2)</f>
        <v>0</v>
      </c>
      <c r="AF107" s="16">
        <f xml:space="preserve"> SUMIFS( 'FS Semi'!$J107:$CV107, 'FS Semi'!$J$2:$CV$2, 'FS Ann'!AF$2)</f>
        <v>0</v>
      </c>
      <c r="AG107" s="16">
        <f xml:space="preserve"> SUMIFS( 'FS Semi'!$J107:$CV107, 'FS Semi'!$J$2:$CV$2, 'FS Ann'!AG$2)</f>
        <v>0</v>
      </c>
      <c r="AH107" s="16">
        <f xml:space="preserve"> SUMIFS( 'FS Semi'!$J107:$CV107, 'FS Semi'!$J$2:$CV$2, 'FS Ann'!AH$2)</f>
        <v>0</v>
      </c>
      <c r="AI107" s="16">
        <f xml:space="preserve"> SUMIFS( 'FS Semi'!$J107:$CV107, 'FS Semi'!$J$2:$CV$2, 'FS Ann'!AI$2)</f>
        <v>0</v>
      </c>
      <c r="AJ107" s="16">
        <f xml:space="preserve"> SUMIFS( 'FS Semi'!$J107:$CV107, 'FS Semi'!$J$2:$CV$2, 'FS Ann'!AJ$2)</f>
        <v>0</v>
      </c>
      <c r="AK107" s="16">
        <f xml:space="preserve"> SUMIFS( 'FS Semi'!$J107:$CV107, 'FS Semi'!$J$2:$CV$2, 'FS Ann'!AK$2)</f>
        <v>0</v>
      </c>
      <c r="AL107" s="16">
        <f xml:space="preserve"> SUMIFS( 'FS Semi'!$J107:$CV107, 'FS Semi'!$J$2:$CV$2, 'FS Ann'!AL$2)</f>
        <v>0</v>
      </c>
      <c r="AM107" s="16">
        <f xml:space="preserve"> SUMIFS( 'FS Semi'!$J107:$CV107, 'FS Semi'!$J$2:$CV$2, 'FS Ann'!AM$2)</f>
        <v>0</v>
      </c>
      <c r="AN107" s="16">
        <f xml:space="preserve"> SUMIFS( 'FS Semi'!$J107:$CV107, 'FS Semi'!$J$2:$CV$2, 'FS Ann'!AN$2)</f>
        <v>0</v>
      </c>
      <c r="AO107" s="16">
        <f xml:space="preserve"> SUMIFS( 'FS Semi'!$J107:$CV107, 'FS Semi'!$J$2:$CV$2, 'FS Ann'!AO$2)</f>
        <v>0</v>
      </c>
      <c r="AP107" s="16">
        <f xml:space="preserve"> SUMIFS( 'FS Semi'!$J107:$CV107, 'FS Semi'!$J$2:$CV$2, 'FS Ann'!AP$2)</f>
        <v>0</v>
      </c>
      <c r="AQ107" s="16">
        <f xml:space="preserve"> SUMIFS( 'FS Semi'!$J107:$CV107, 'FS Semi'!$J$2:$CV$2, 'FS Ann'!AQ$2)</f>
        <v>0</v>
      </c>
      <c r="AR107" s="16">
        <f xml:space="preserve"> SUMIFS( 'FS Semi'!$J107:$CV107, 'FS Semi'!$J$2:$CV$2, 'FS Ann'!AR$2)</f>
        <v>0</v>
      </c>
      <c r="AS107" s="16">
        <f xml:space="preserve"> SUMIFS( 'FS Semi'!$J107:$CV107, 'FS Semi'!$J$2:$CV$2, 'FS Ann'!AS$2)</f>
        <v>0</v>
      </c>
      <c r="AT107" s="16">
        <f xml:space="preserve"> SUMIFS( 'FS Semi'!$J107:$CV107, 'FS Semi'!$J$2:$CV$2, 'FS Ann'!AT$2)</f>
        <v>0</v>
      </c>
      <c r="AU107" s="16">
        <f xml:space="preserve"> SUMIFS( 'FS Semi'!$J107:$CV107, 'FS Semi'!$J$2:$CV$2, 'FS Ann'!AU$2)</f>
        <v>0</v>
      </c>
      <c r="AV107" s="16">
        <f xml:space="preserve"> SUMIFS( 'FS Semi'!$J107:$CV107, 'FS Semi'!$J$2:$CV$2, 'FS Ann'!AV$2)</f>
        <v>0</v>
      </c>
      <c r="AW107" s="16">
        <f xml:space="preserve"> SUMIFS( 'FS Semi'!$J107:$CV107, 'FS Semi'!$J$2:$CV$2, 'FS Ann'!AW$2)</f>
        <v>0</v>
      </c>
      <c r="AX107" s="16">
        <f xml:space="preserve"> SUMIFS( 'FS Semi'!$J107:$CV107, 'FS Semi'!$J$2:$CV$2, 'FS Ann'!AX$2)</f>
        <v>0</v>
      </c>
      <c r="AY107" s="16">
        <f xml:space="preserve"> SUMIFS( 'FS Semi'!$J107:$CV107, 'FS Semi'!$J$2:$CV$2, 'FS Ann'!AY$2)</f>
        <v>0</v>
      </c>
      <c r="AZ107" s="16">
        <f xml:space="preserve"> SUMIFS( 'FS Semi'!$J107:$CV107, 'FS Semi'!$J$2:$CV$2, 'FS Ann'!AZ$2)</f>
        <v>0</v>
      </c>
      <c r="BA107" s="16">
        <f xml:space="preserve"> SUMIFS( 'FS Semi'!$J107:$CV107, 'FS Semi'!$J$2:$CV$2, 'FS Ann'!BA$2)</f>
        <v>0</v>
      </c>
      <c r="BB107" s="16">
        <f xml:space="preserve"> SUMIFS( 'FS Semi'!$J107:$CV107, 'FS Semi'!$J$2:$CV$2, 'FS Ann'!BB$2)</f>
        <v>0</v>
      </c>
    </row>
    <row r="108" spans="1:54" outlineLevel="2" x14ac:dyDescent="0.2">
      <c r="A108" s="1"/>
      <c r="B108" s="1"/>
      <c r="C108" s="19"/>
      <c r="D108" s="83"/>
      <c r="E108" s="16" t="str">
        <f xml:space="preserve"> 'FS Semi'!E108</f>
        <v>Working capital reserve account balance</v>
      </c>
      <c r="F108" s="16">
        <f xml:space="preserve"> 'FS Semi'!F108</f>
        <v>0</v>
      </c>
      <c r="G108" s="381" t="str">
        <f xml:space="preserve"> 'FS Semi'!G108</f>
        <v>$ 000s</v>
      </c>
      <c r="H108" s="16"/>
      <c r="I108" s="16"/>
      <c r="J108" s="16">
        <f xml:space="preserve"> SUMIFS( 'FS Semi'!$J108:$CV108, 'FS Semi'!$J$2:$CV$2, 'FS Ann'!J$2)</f>
        <v>0</v>
      </c>
      <c r="K108" s="16">
        <f xml:space="preserve"> SUMIFS( 'FS Semi'!$J108:$CV108, 'FS Semi'!$J$2:$CV$2, 'FS Ann'!K$2)</f>
        <v>0</v>
      </c>
      <c r="L108" s="16">
        <f xml:space="preserve"> SUMIFS( 'FS Semi'!$J108:$CV108, 'FS Semi'!$J$2:$CV$2, 'FS Ann'!L$2)</f>
        <v>3857.1209730037863</v>
      </c>
      <c r="M108" s="16">
        <f xml:space="preserve"> SUMIFS( 'FS Semi'!$J108:$CV108, 'FS Semi'!$J$2:$CV$2, 'FS Ann'!M$2)</f>
        <v>0</v>
      </c>
      <c r="N108" s="16">
        <f xml:space="preserve"> SUMIFS( 'FS Semi'!$J108:$CV108, 'FS Semi'!$J$2:$CV$2, 'FS Ann'!N$2)</f>
        <v>0</v>
      </c>
      <c r="O108" s="16">
        <f xml:space="preserve"> SUMIFS( 'FS Semi'!$J108:$CV108, 'FS Semi'!$J$2:$CV$2, 'FS Ann'!O$2)</f>
        <v>0</v>
      </c>
      <c r="P108" s="16">
        <f xml:space="preserve"> SUMIFS( 'FS Semi'!$J108:$CV108, 'FS Semi'!$J$2:$CV$2, 'FS Ann'!P$2)</f>
        <v>0</v>
      </c>
      <c r="Q108" s="16">
        <f xml:space="preserve"> SUMIFS( 'FS Semi'!$J108:$CV108, 'FS Semi'!$J$2:$CV$2, 'FS Ann'!Q$2)</f>
        <v>0</v>
      </c>
      <c r="R108" s="16">
        <f xml:space="preserve"> SUMIFS( 'FS Semi'!$J108:$CV108, 'FS Semi'!$J$2:$CV$2, 'FS Ann'!R$2)</f>
        <v>0</v>
      </c>
      <c r="S108" s="16">
        <f xml:space="preserve"> SUMIFS( 'FS Semi'!$J108:$CV108, 'FS Semi'!$J$2:$CV$2, 'FS Ann'!S$2)</f>
        <v>0</v>
      </c>
      <c r="T108" s="16">
        <f xml:space="preserve"> SUMIFS( 'FS Semi'!$J108:$CV108, 'FS Semi'!$J$2:$CV$2, 'FS Ann'!T$2)</f>
        <v>0</v>
      </c>
      <c r="U108" s="16">
        <f xml:space="preserve"> SUMIFS( 'FS Semi'!$J108:$CV108, 'FS Semi'!$J$2:$CV$2, 'FS Ann'!U$2)</f>
        <v>0</v>
      </c>
      <c r="V108" s="16">
        <f xml:space="preserve"> SUMIFS( 'FS Semi'!$J108:$CV108, 'FS Semi'!$J$2:$CV$2, 'FS Ann'!V$2)</f>
        <v>0</v>
      </c>
      <c r="W108" s="16">
        <f xml:space="preserve"> SUMIFS( 'FS Semi'!$J108:$CV108, 'FS Semi'!$J$2:$CV$2, 'FS Ann'!W$2)</f>
        <v>0</v>
      </c>
      <c r="X108" s="16">
        <f xml:space="preserve"> SUMIFS( 'FS Semi'!$J108:$CV108, 'FS Semi'!$J$2:$CV$2, 'FS Ann'!X$2)</f>
        <v>0</v>
      </c>
      <c r="Y108" s="16">
        <f xml:space="preserve"> SUMIFS( 'FS Semi'!$J108:$CV108, 'FS Semi'!$J$2:$CV$2, 'FS Ann'!Y$2)</f>
        <v>0</v>
      </c>
      <c r="Z108" s="16">
        <f xml:space="preserve"> SUMIFS( 'FS Semi'!$J108:$CV108, 'FS Semi'!$J$2:$CV$2, 'FS Ann'!Z$2)</f>
        <v>0</v>
      </c>
      <c r="AA108" s="16">
        <f xml:space="preserve"> SUMIFS( 'FS Semi'!$J108:$CV108, 'FS Semi'!$J$2:$CV$2, 'FS Ann'!AA$2)</f>
        <v>0</v>
      </c>
      <c r="AB108" s="16">
        <f xml:space="preserve"> SUMIFS( 'FS Semi'!$J108:$CV108, 'FS Semi'!$J$2:$CV$2, 'FS Ann'!AB$2)</f>
        <v>0</v>
      </c>
      <c r="AC108" s="16">
        <f xml:space="preserve"> SUMIFS( 'FS Semi'!$J108:$CV108, 'FS Semi'!$J$2:$CV$2, 'FS Ann'!AC$2)</f>
        <v>0</v>
      </c>
      <c r="AD108" s="16">
        <f xml:space="preserve"> SUMIFS( 'FS Semi'!$J108:$CV108, 'FS Semi'!$J$2:$CV$2, 'FS Ann'!AD$2)</f>
        <v>0</v>
      </c>
      <c r="AE108" s="16">
        <f xml:space="preserve"> SUMIFS( 'FS Semi'!$J108:$CV108, 'FS Semi'!$J$2:$CV$2, 'FS Ann'!AE$2)</f>
        <v>0</v>
      </c>
      <c r="AF108" s="16">
        <f xml:space="preserve"> SUMIFS( 'FS Semi'!$J108:$CV108, 'FS Semi'!$J$2:$CV$2, 'FS Ann'!AF$2)</f>
        <v>0</v>
      </c>
      <c r="AG108" s="16">
        <f xml:space="preserve"> SUMIFS( 'FS Semi'!$J108:$CV108, 'FS Semi'!$J$2:$CV$2, 'FS Ann'!AG$2)</f>
        <v>0</v>
      </c>
      <c r="AH108" s="16">
        <f xml:space="preserve"> SUMIFS( 'FS Semi'!$J108:$CV108, 'FS Semi'!$J$2:$CV$2, 'FS Ann'!AH$2)</f>
        <v>0</v>
      </c>
      <c r="AI108" s="16">
        <f xml:space="preserve"> SUMIFS( 'FS Semi'!$J108:$CV108, 'FS Semi'!$J$2:$CV$2, 'FS Ann'!AI$2)</f>
        <v>0</v>
      </c>
      <c r="AJ108" s="16">
        <f xml:space="preserve"> SUMIFS( 'FS Semi'!$J108:$CV108, 'FS Semi'!$J$2:$CV$2, 'FS Ann'!AJ$2)</f>
        <v>0</v>
      </c>
      <c r="AK108" s="16">
        <f xml:space="preserve"> SUMIFS( 'FS Semi'!$J108:$CV108, 'FS Semi'!$J$2:$CV$2, 'FS Ann'!AK$2)</f>
        <v>0</v>
      </c>
      <c r="AL108" s="16">
        <f xml:space="preserve"> SUMIFS( 'FS Semi'!$J108:$CV108, 'FS Semi'!$J$2:$CV$2, 'FS Ann'!AL$2)</f>
        <v>0</v>
      </c>
      <c r="AM108" s="16">
        <f xml:space="preserve"> SUMIFS( 'FS Semi'!$J108:$CV108, 'FS Semi'!$J$2:$CV$2, 'FS Ann'!AM$2)</f>
        <v>0</v>
      </c>
      <c r="AN108" s="16">
        <f xml:space="preserve"> SUMIFS( 'FS Semi'!$J108:$CV108, 'FS Semi'!$J$2:$CV$2, 'FS Ann'!AN$2)</f>
        <v>0</v>
      </c>
      <c r="AO108" s="16">
        <f xml:space="preserve"> SUMIFS( 'FS Semi'!$J108:$CV108, 'FS Semi'!$J$2:$CV$2, 'FS Ann'!AO$2)</f>
        <v>0</v>
      </c>
      <c r="AP108" s="16">
        <f xml:space="preserve"> SUMIFS( 'FS Semi'!$J108:$CV108, 'FS Semi'!$J$2:$CV$2, 'FS Ann'!AP$2)</f>
        <v>0</v>
      </c>
      <c r="AQ108" s="16">
        <f xml:space="preserve"> SUMIFS( 'FS Semi'!$J108:$CV108, 'FS Semi'!$J$2:$CV$2, 'FS Ann'!AQ$2)</f>
        <v>0</v>
      </c>
      <c r="AR108" s="16">
        <f xml:space="preserve"> SUMIFS( 'FS Semi'!$J108:$CV108, 'FS Semi'!$J$2:$CV$2, 'FS Ann'!AR$2)</f>
        <v>0</v>
      </c>
      <c r="AS108" s="16">
        <f xml:space="preserve"> SUMIFS( 'FS Semi'!$J108:$CV108, 'FS Semi'!$J$2:$CV$2, 'FS Ann'!AS$2)</f>
        <v>0</v>
      </c>
      <c r="AT108" s="16">
        <f xml:space="preserve"> SUMIFS( 'FS Semi'!$J108:$CV108, 'FS Semi'!$J$2:$CV$2, 'FS Ann'!AT$2)</f>
        <v>0</v>
      </c>
      <c r="AU108" s="16">
        <f xml:space="preserve"> SUMIFS( 'FS Semi'!$J108:$CV108, 'FS Semi'!$J$2:$CV$2, 'FS Ann'!AU$2)</f>
        <v>0</v>
      </c>
      <c r="AV108" s="16">
        <f xml:space="preserve"> SUMIFS( 'FS Semi'!$J108:$CV108, 'FS Semi'!$J$2:$CV$2, 'FS Ann'!AV$2)</f>
        <v>0</v>
      </c>
      <c r="AW108" s="16">
        <f xml:space="preserve"> SUMIFS( 'FS Semi'!$J108:$CV108, 'FS Semi'!$J$2:$CV$2, 'FS Ann'!AW$2)</f>
        <v>0</v>
      </c>
      <c r="AX108" s="16">
        <f xml:space="preserve"> SUMIFS( 'FS Semi'!$J108:$CV108, 'FS Semi'!$J$2:$CV$2, 'FS Ann'!AX$2)</f>
        <v>0</v>
      </c>
      <c r="AY108" s="16">
        <f xml:space="preserve"> SUMIFS( 'FS Semi'!$J108:$CV108, 'FS Semi'!$J$2:$CV$2, 'FS Ann'!AY$2)</f>
        <v>0</v>
      </c>
      <c r="AZ108" s="16">
        <f xml:space="preserve"> SUMIFS( 'FS Semi'!$J108:$CV108, 'FS Semi'!$J$2:$CV$2, 'FS Ann'!AZ$2)</f>
        <v>0</v>
      </c>
      <c r="BA108" s="16">
        <f xml:space="preserve"> SUMIFS( 'FS Semi'!$J108:$CV108, 'FS Semi'!$J$2:$CV$2, 'FS Ann'!BA$2)</f>
        <v>0</v>
      </c>
      <c r="BB108" s="16">
        <f xml:space="preserve"> SUMIFS( 'FS Semi'!$J108:$CV108, 'FS Semi'!$J$2:$CV$2, 'FS Ann'!BB$2)</f>
        <v>0</v>
      </c>
    </row>
    <row r="109" spans="1:54" outlineLevel="2" x14ac:dyDescent="0.2">
      <c r="A109" s="1"/>
      <c r="B109" s="1"/>
      <c r="C109" s="19"/>
      <c r="D109" s="83"/>
      <c r="E109" s="16" t="str">
        <f xml:space="preserve"> 'FS Semi'!E109</f>
        <v>Accounts receivable balance</v>
      </c>
      <c r="F109" s="16">
        <f xml:space="preserve"> 'FS Semi'!F109</f>
        <v>0</v>
      </c>
      <c r="G109" s="381" t="str">
        <f xml:space="preserve"> 'FS Semi'!G109</f>
        <v>$ 000s</v>
      </c>
      <c r="H109" s="16"/>
      <c r="I109" s="16"/>
      <c r="J109" s="16">
        <f xml:space="preserve"> SUMIFS( 'FS Semi'!$J109:$CV109, 'FS Semi'!$J$2:$CV$2, 'FS Ann'!J$2)</f>
        <v>0</v>
      </c>
      <c r="K109" s="16">
        <f xml:space="preserve"> SUMIFS( 'FS Semi'!$J109:$CV109, 'FS Semi'!$J$2:$CV$2, 'FS Ann'!K$2)</f>
        <v>0</v>
      </c>
      <c r="L109" s="16">
        <f xml:space="preserve"> SUMIFS( 'FS Semi'!$J109:$CV109, 'FS Semi'!$J$2:$CV$2, 'FS Ann'!L$2)</f>
        <v>0</v>
      </c>
      <c r="M109" s="16">
        <f xml:space="preserve"> SUMIFS( 'FS Semi'!$J109:$CV109, 'FS Semi'!$J$2:$CV$2, 'FS Ann'!M$2)</f>
        <v>4997.503026699982</v>
      </c>
      <c r="N109" s="16">
        <f xml:space="preserve"> SUMIFS( 'FS Semi'!$J109:$CV109, 'FS Semi'!$J$2:$CV$2, 'FS Ann'!N$2)</f>
        <v>4989.4408212214948</v>
      </c>
      <c r="O109" s="16">
        <f xml:space="preserve"> SUMIFS( 'FS Semi'!$J109:$CV109, 'FS Semi'!$J$2:$CV$2, 'FS Ann'!O$2)</f>
        <v>4981.4290705526873</v>
      </c>
      <c r="P109" s="16">
        <f xml:space="preserve"> SUMIFS( 'FS Semi'!$J109:$CV109, 'FS Semi'!$J$2:$CV$2, 'FS Ann'!P$2)</f>
        <v>4946.141542424084</v>
      </c>
      <c r="Q109" s="16">
        <f xml:space="preserve"> SUMIFS( 'FS Semi'!$J109:$CV109, 'FS Semi'!$J$2:$CV$2, 'FS Ann'!Q$2)</f>
        <v>4965.55901003689</v>
      </c>
      <c r="R109" s="16">
        <f xml:space="preserve"> SUMIFS( 'FS Semi'!$J109:$CV109, 'FS Semi'!$J$2:$CV$2, 'FS Ann'!R$2)</f>
        <v>4957.7017637103709</v>
      </c>
      <c r="S109" s="16">
        <f xml:space="preserve"> SUMIFS( 'FS Semi'!$J109:$CV109, 'FS Semi'!$J$2:$CV$2, 'FS Ann'!S$2)</f>
        <v>4949.897099595928</v>
      </c>
      <c r="T109" s="16">
        <f xml:space="preserve"> SUMIFS( 'FS Semi'!$J109:$CV109, 'FS Semi'!$J$2:$CV$2, 'FS Ann'!T$2)</f>
        <v>4914.9909295771104</v>
      </c>
      <c r="U109" s="16">
        <f xml:space="preserve"> SUMIFS( 'FS Semi'!$J109:$CV109, 'FS Semi'!$J$2:$CV$2, 'FS Ann'!U$2)</f>
        <v>4934.4477604105705</v>
      </c>
      <c r="V109" s="16">
        <f xml:space="preserve"> SUMIFS( 'FS Semi'!$J109:$CV109, 'FS Semi'!$J$2:$CV$2, 'FS Ann'!V$2)</f>
        <v>4926.8042337207735</v>
      </c>
      <c r="W109" s="16">
        <f xml:space="preserve"> SUMIFS( 'FS Semi'!$J109:$CV109, 'FS Semi'!$J$2:$CV$2, 'FS Ann'!W$2)</f>
        <v>4919.2155863935004</v>
      </c>
      <c r="X109" s="16">
        <f xml:space="preserve"> SUMIFS( 'FS Semi'!$J109:$CV109, 'FS Semi'!$J$2:$CV$2, 'FS Ann'!X$2)</f>
        <v>4884.6951546286473</v>
      </c>
      <c r="Y109" s="16">
        <f xml:space="preserve"> SUMIFS( 'FS Semi'!$J109:$CV109, 'FS Semi'!$J$2:$CV$2, 'FS Ann'!Y$2)</f>
        <v>4904.2053504013202</v>
      </c>
      <c r="Z109" s="16">
        <f xml:space="preserve"> SUMIFS( 'FS Semi'!$J109:$CV109, 'FS Semi'!$J$2:$CV$2, 'FS Ann'!Z$2)</f>
        <v>4896.7850011916707</v>
      </c>
      <c r="AA109" s="16">
        <f xml:space="preserve"> SUMIFS( 'FS Semi'!$J109:$CV109, 'FS Semi'!$J$2:$CV$2, 'FS Ann'!AA$2)</f>
        <v>4889.4220106719185</v>
      </c>
      <c r="AB109" s="16">
        <f xml:space="preserve"> SUMIFS( 'FS Semi'!$J109:$CV109, 'FS Semi'!$J$2:$CV$2, 'FS Ann'!AB$2)</f>
        <v>4855.2922098431227</v>
      </c>
      <c r="AC109" s="16">
        <f xml:space="preserve"> SUMIFS( 'FS Semi'!$J109:$CV109, 'FS Semi'!$J$2:$CV$2, 'FS Ann'!AC$2)</f>
        <v>4874.8707174953779</v>
      </c>
      <c r="AD109" s="16">
        <f xml:space="preserve"> SUMIFS( 'FS Semi'!$J109:$CV109, 'FS Semi'!$J$2:$CV$2, 'FS Ann'!AD$2)</f>
        <v>4867.6837520405061</v>
      </c>
      <c r="AE109" s="16">
        <f xml:space="preserve"> SUMIFS( 'FS Semi'!$J109:$CV109, 'FS Semi'!$J$2:$CV$2, 'FS Ann'!AE$2)</f>
        <v>4860.5568201269853</v>
      </c>
      <c r="AF109" s="16">
        <f xml:space="preserve"> SUMIFS( 'FS Semi'!$J109:$CV109, 'FS Semi'!$J$2:$CV$2, 'FS Ann'!AF$2)</f>
        <v>0</v>
      </c>
      <c r="AG109" s="16">
        <f xml:space="preserve"> SUMIFS( 'FS Semi'!$J109:$CV109, 'FS Semi'!$J$2:$CV$2, 'FS Ann'!AG$2)</f>
        <v>0</v>
      </c>
      <c r="AH109" s="16">
        <f xml:space="preserve"> SUMIFS( 'FS Semi'!$J109:$CV109, 'FS Semi'!$J$2:$CV$2, 'FS Ann'!AH$2)</f>
        <v>0</v>
      </c>
      <c r="AI109" s="16">
        <f xml:space="preserve"> SUMIFS( 'FS Semi'!$J109:$CV109, 'FS Semi'!$J$2:$CV$2, 'FS Ann'!AI$2)</f>
        <v>0</v>
      </c>
      <c r="AJ109" s="16">
        <f xml:space="preserve"> SUMIFS( 'FS Semi'!$J109:$CV109, 'FS Semi'!$J$2:$CV$2, 'FS Ann'!AJ$2)</f>
        <v>0</v>
      </c>
      <c r="AK109" s="16">
        <f xml:space="preserve"> SUMIFS( 'FS Semi'!$J109:$CV109, 'FS Semi'!$J$2:$CV$2, 'FS Ann'!AK$2)</f>
        <v>0</v>
      </c>
      <c r="AL109" s="16">
        <f xml:space="preserve"> SUMIFS( 'FS Semi'!$J109:$CV109, 'FS Semi'!$J$2:$CV$2, 'FS Ann'!AL$2)</f>
        <v>0</v>
      </c>
      <c r="AM109" s="16">
        <f xml:space="preserve"> SUMIFS( 'FS Semi'!$J109:$CV109, 'FS Semi'!$J$2:$CV$2, 'FS Ann'!AM$2)</f>
        <v>0</v>
      </c>
      <c r="AN109" s="16">
        <f xml:space="preserve"> SUMIFS( 'FS Semi'!$J109:$CV109, 'FS Semi'!$J$2:$CV$2, 'FS Ann'!AN$2)</f>
        <v>0</v>
      </c>
      <c r="AO109" s="16">
        <f xml:space="preserve"> SUMIFS( 'FS Semi'!$J109:$CV109, 'FS Semi'!$J$2:$CV$2, 'FS Ann'!AO$2)</f>
        <v>0</v>
      </c>
      <c r="AP109" s="16">
        <f xml:space="preserve"> SUMIFS( 'FS Semi'!$J109:$CV109, 'FS Semi'!$J$2:$CV$2, 'FS Ann'!AP$2)</f>
        <v>0</v>
      </c>
      <c r="AQ109" s="16">
        <f xml:space="preserve"> SUMIFS( 'FS Semi'!$J109:$CV109, 'FS Semi'!$J$2:$CV$2, 'FS Ann'!AQ$2)</f>
        <v>0</v>
      </c>
      <c r="AR109" s="16">
        <f xml:space="preserve"> SUMIFS( 'FS Semi'!$J109:$CV109, 'FS Semi'!$J$2:$CV$2, 'FS Ann'!AR$2)</f>
        <v>0</v>
      </c>
      <c r="AS109" s="16">
        <f xml:space="preserve"> SUMIFS( 'FS Semi'!$J109:$CV109, 'FS Semi'!$J$2:$CV$2, 'FS Ann'!AS$2)</f>
        <v>0</v>
      </c>
      <c r="AT109" s="16">
        <f xml:space="preserve"> SUMIFS( 'FS Semi'!$J109:$CV109, 'FS Semi'!$J$2:$CV$2, 'FS Ann'!AT$2)</f>
        <v>0</v>
      </c>
      <c r="AU109" s="16">
        <f xml:space="preserve"> SUMIFS( 'FS Semi'!$J109:$CV109, 'FS Semi'!$J$2:$CV$2, 'FS Ann'!AU$2)</f>
        <v>0</v>
      </c>
      <c r="AV109" s="16">
        <f xml:space="preserve"> SUMIFS( 'FS Semi'!$J109:$CV109, 'FS Semi'!$J$2:$CV$2, 'FS Ann'!AV$2)</f>
        <v>0</v>
      </c>
      <c r="AW109" s="16">
        <f xml:space="preserve"> SUMIFS( 'FS Semi'!$J109:$CV109, 'FS Semi'!$J$2:$CV$2, 'FS Ann'!AW$2)</f>
        <v>0</v>
      </c>
      <c r="AX109" s="16">
        <f xml:space="preserve"> SUMIFS( 'FS Semi'!$J109:$CV109, 'FS Semi'!$J$2:$CV$2, 'FS Ann'!AX$2)</f>
        <v>0</v>
      </c>
      <c r="AY109" s="16">
        <f xml:space="preserve"> SUMIFS( 'FS Semi'!$J109:$CV109, 'FS Semi'!$J$2:$CV$2, 'FS Ann'!AY$2)</f>
        <v>0</v>
      </c>
      <c r="AZ109" s="16">
        <f xml:space="preserve"> SUMIFS( 'FS Semi'!$J109:$CV109, 'FS Semi'!$J$2:$CV$2, 'FS Ann'!AZ$2)</f>
        <v>0</v>
      </c>
      <c r="BA109" s="16">
        <f xml:space="preserve"> SUMIFS( 'FS Semi'!$J109:$CV109, 'FS Semi'!$J$2:$CV$2, 'FS Ann'!BA$2)</f>
        <v>0</v>
      </c>
      <c r="BB109" s="16">
        <f xml:space="preserve"> SUMIFS( 'FS Semi'!$J109:$CV109, 'FS Semi'!$J$2:$CV$2, 'FS Ann'!BB$2)</f>
        <v>0</v>
      </c>
    </row>
    <row r="110" spans="1:54" outlineLevel="2" x14ac:dyDescent="0.2">
      <c r="A110" s="1"/>
      <c r="B110" s="1"/>
      <c r="C110" s="19"/>
      <c r="D110" s="83"/>
      <c r="E110" s="16" t="str">
        <f xml:space="preserve"> 'FS Semi'!E110</f>
        <v>EGR receivables balance</v>
      </c>
      <c r="F110" s="16">
        <f xml:space="preserve"> 'FS Semi'!F110</f>
        <v>0</v>
      </c>
      <c r="G110" s="381" t="str">
        <f xml:space="preserve"> 'FS Semi'!G110</f>
        <v>$ 000s</v>
      </c>
      <c r="H110" s="16"/>
      <c r="I110" s="16"/>
      <c r="J110" s="16">
        <f xml:space="preserve"> SUMIFS( 'FS Semi'!$J110:$CV110, 'FS Semi'!$J$2:$CV$2, 'FS Ann'!J$2)</f>
        <v>0</v>
      </c>
      <c r="K110" s="16">
        <f xml:space="preserve"> SUMIFS( 'FS Semi'!$J110:$CV110, 'FS Semi'!$J$2:$CV$2, 'FS Ann'!K$2)</f>
        <v>0</v>
      </c>
      <c r="L110" s="16">
        <f xml:space="preserve"> SUMIFS( 'FS Semi'!$J110:$CV110, 'FS Semi'!$J$2:$CV$2, 'FS Ann'!L$2)</f>
        <v>1990</v>
      </c>
      <c r="M110" s="16">
        <f xml:space="preserve"> SUMIFS( 'FS Semi'!$J110:$CV110, 'FS Semi'!$J$2:$CV$2, 'FS Ann'!M$2)</f>
        <v>0</v>
      </c>
      <c r="N110" s="16">
        <f xml:space="preserve"> SUMIFS( 'FS Semi'!$J110:$CV110, 'FS Semi'!$J$2:$CV$2, 'FS Ann'!N$2)</f>
        <v>0</v>
      </c>
      <c r="O110" s="16">
        <f xml:space="preserve"> SUMIFS( 'FS Semi'!$J110:$CV110, 'FS Semi'!$J$2:$CV$2, 'FS Ann'!O$2)</f>
        <v>0</v>
      </c>
      <c r="P110" s="16">
        <f xml:space="preserve"> SUMIFS( 'FS Semi'!$J110:$CV110, 'FS Semi'!$J$2:$CV$2, 'FS Ann'!P$2)</f>
        <v>0</v>
      </c>
      <c r="Q110" s="16">
        <f xml:space="preserve"> SUMIFS( 'FS Semi'!$J110:$CV110, 'FS Semi'!$J$2:$CV$2, 'FS Ann'!Q$2)</f>
        <v>0</v>
      </c>
      <c r="R110" s="16">
        <f xml:space="preserve"> SUMIFS( 'FS Semi'!$J110:$CV110, 'FS Semi'!$J$2:$CV$2, 'FS Ann'!R$2)</f>
        <v>0</v>
      </c>
      <c r="S110" s="16">
        <f xml:space="preserve"> SUMIFS( 'FS Semi'!$J110:$CV110, 'FS Semi'!$J$2:$CV$2, 'FS Ann'!S$2)</f>
        <v>0</v>
      </c>
      <c r="T110" s="16">
        <f xml:space="preserve"> SUMIFS( 'FS Semi'!$J110:$CV110, 'FS Semi'!$J$2:$CV$2, 'FS Ann'!T$2)</f>
        <v>0</v>
      </c>
      <c r="U110" s="16">
        <f xml:space="preserve"> SUMIFS( 'FS Semi'!$J110:$CV110, 'FS Semi'!$J$2:$CV$2, 'FS Ann'!U$2)</f>
        <v>0</v>
      </c>
      <c r="V110" s="16">
        <f xml:space="preserve"> SUMIFS( 'FS Semi'!$J110:$CV110, 'FS Semi'!$J$2:$CV$2, 'FS Ann'!V$2)</f>
        <v>0</v>
      </c>
      <c r="W110" s="16">
        <f xml:space="preserve"> SUMIFS( 'FS Semi'!$J110:$CV110, 'FS Semi'!$J$2:$CV$2, 'FS Ann'!W$2)</f>
        <v>0</v>
      </c>
      <c r="X110" s="16">
        <f xml:space="preserve"> SUMIFS( 'FS Semi'!$J110:$CV110, 'FS Semi'!$J$2:$CV$2, 'FS Ann'!X$2)</f>
        <v>0</v>
      </c>
      <c r="Y110" s="16">
        <f xml:space="preserve"> SUMIFS( 'FS Semi'!$J110:$CV110, 'FS Semi'!$J$2:$CV$2, 'FS Ann'!Y$2)</f>
        <v>0</v>
      </c>
      <c r="Z110" s="16">
        <f xml:space="preserve"> SUMIFS( 'FS Semi'!$J110:$CV110, 'FS Semi'!$J$2:$CV$2, 'FS Ann'!Z$2)</f>
        <v>0</v>
      </c>
      <c r="AA110" s="16">
        <f xml:space="preserve"> SUMIFS( 'FS Semi'!$J110:$CV110, 'FS Semi'!$J$2:$CV$2, 'FS Ann'!AA$2)</f>
        <v>0</v>
      </c>
      <c r="AB110" s="16">
        <f xml:space="preserve"> SUMIFS( 'FS Semi'!$J110:$CV110, 'FS Semi'!$J$2:$CV$2, 'FS Ann'!AB$2)</f>
        <v>0</v>
      </c>
      <c r="AC110" s="16">
        <f xml:space="preserve"> SUMIFS( 'FS Semi'!$J110:$CV110, 'FS Semi'!$J$2:$CV$2, 'FS Ann'!AC$2)</f>
        <v>0</v>
      </c>
      <c r="AD110" s="16">
        <f xml:space="preserve"> SUMIFS( 'FS Semi'!$J110:$CV110, 'FS Semi'!$J$2:$CV$2, 'FS Ann'!AD$2)</f>
        <v>0</v>
      </c>
      <c r="AE110" s="16">
        <f xml:space="preserve"> SUMIFS( 'FS Semi'!$J110:$CV110, 'FS Semi'!$J$2:$CV$2, 'FS Ann'!AE$2)</f>
        <v>0</v>
      </c>
      <c r="AF110" s="16">
        <f xml:space="preserve"> SUMIFS( 'FS Semi'!$J110:$CV110, 'FS Semi'!$J$2:$CV$2, 'FS Ann'!AF$2)</f>
        <v>0</v>
      </c>
      <c r="AG110" s="16">
        <f xml:space="preserve"> SUMIFS( 'FS Semi'!$J110:$CV110, 'FS Semi'!$J$2:$CV$2, 'FS Ann'!AG$2)</f>
        <v>0</v>
      </c>
      <c r="AH110" s="16">
        <f xml:space="preserve"> SUMIFS( 'FS Semi'!$J110:$CV110, 'FS Semi'!$J$2:$CV$2, 'FS Ann'!AH$2)</f>
        <v>0</v>
      </c>
      <c r="AI110" s="16">
        <f xml:space="preserve"> SUMIFS( 'FS Semi'!$J110:$CV110, 'FS Semi'!$J$2:$CV$2, 'FS Ann'!AI$2)</f>
        <v>0</v>
      </c>
      <c r="AJ110" s="16">
        <f xml:space="preserve"> SUMIFS( 'FS Semi'!$J110:$CV110, 'FS Semi'!$J$2:$CV$2, 'FS Ann'!AJ$2)</f>
        <v>0</v>
      </c>
      <c r="AK110" s="16">
        <f xml:space="preserve"> SUMIFS( 'FS Semi'!$J110:$CV110, 'FS Semi'!$J$2:$CV$2, 'FS Ann'!AK$2)</f>
        <v>0</v>
      </c>
      <c r="AL110" s="16">
        <f xml:space="preserve"> SUMIFS( 'FS Semi'!$J110:$CV110, 'FS Semi'!$J$2:$CV$2, 'FS Ann'!AL$2)</f>
        <v>0</v>
      </c>
      <c r="AM110" s="16">
        <f xml:space="preserve"> SUMIFS( 'FS Semi'!$J110:$CV110, 'FS Semi'!$J$2:$CV$2, 'FS Ann'!AM$2)</f>
        <v>0</v>
      </c>
      <c r="AN110" s="16">
        <f xml:space="preserve"> SUMIFS( 'FS Semi'!$J110:$CV110, 'FS Semi'!$J$2:$CV$2, 'FS Ann'!AN$2)</f>
        <v>0</v>
      </c>
      <c r="AO110" s="16">
        <f xml:space="preserve"> SUMIFS( 'FS Semi'!$J110:$CV110, 'FS Semi'!$J$2:$CV$2, 'FS Ann'!AO$2)</f>
        <v>0</v>
      </c>
      <c r="AP110" s="16">
        <f xml:space="preserve"> SUMIFS( 'FS Semi'!$J110:$CV110, 'FS Semi'!$J$2:$CV$2, 'FS Ann'!AP$2)</f>
        <v>0</v>
      </c>
      <c r="AQ110" s="16">
        <f xml:space="preserve"> SUMIFS( 'FS Semi'!$J110:$CV110, 'FS Semi'!$J$2:$CV$2, 'FS Ann'!AQ$2)</f>
        <v>0</v>
      </c>
      <c r="AR110" s="16">
        <f xml:space="preserve"> SUMIFS( 'FS Semi'!$J110:$CV110, 'FS Semi'!$J$2:$CV$2, 'FS Ann'!AR$2)</f>
        <v>0</v>
      </c>
      <c r="AS110" s="16">
        <f xml:space="preserve"> SUMIFS( 'FS Semi'!$J110:$CV110, 'FS Semi'!$J$2:$CV$2, 'FS Ann'!AS$2)</f>
        <v>0</v>
      </c>
      <c r="AT110" s="16">
        <f xml:space="preserve"> SUMIFS( 'FS Semi'!$J110:$CV110, 'FS Semi'!$J$2:$CV$2, 'FS Ann'!AT$2)</f>
        <v>0</v>
      </c>
      <c r="AU110" s="16">
        <f xml:space="preserve"> SUMIFS( 'FS Semi'!$J110:$CV110, 'FS Semi'!$J$2:$CV$2, 'FS Ann'!AU$2)</f>
        <v>0</v>
      </c>
      <c r="AV110" s="16">
        <f xml:space="preserve"> SUMIFS( 'FS Semi'!$J110:$CV110, 'FS Semi'!$J$2:$CV$2, 'FS Ann'!AV$2)</f>
        <v>0</v>
      </c>
      <c r="AW110" s="16">
        <f xml:space="preserve"> SUMIFS( 'FS Semi'!$J110:$CV110, 'FS Semi'!$J$2:$CV$2, 'FS Ann'!AW$2)</f>
        <v>0</v>
      </c>
      <c r="AX110" s="16">
        <f xml:space="preserve"> SUMIFS( 'FS Semi'!$J110:$CV110, 'FS Semi'!$J$2:$CV$2, 'FS Ann'!AX$2)</f>
        <v>0</v>
      </c>
      <c r="AY110" s="16">
        <f xml:space="preserve"> SUMIFS( 'FS Semi'!$J110:$CV110, 'FS Semi'!$J$2:$CV$2, 'FS Ann'!AY$2)</f>
        <v>0</v>
      </c>
      <c r="AZ110" s="16">
        <f xml:space="preserve"> SUMIFS( 'FS Semi'!$J110:$CV110, 'FS Semi'!$J$2:$CV$2, 'FS Ann'!AZ$2)</f>
        <v>0</v>
      </c>
      <c r="BA110" s="16">
        <f xml:space="preserve"> SUMIFS( 'FS Semi'!$J110:$CV110, 'FS Semi'!$J$2:$CV$2, 'FS Ann'!BA$2)</f>
        <v>0</v>
      </c>
      <c r="BB110" s="16">
        <f xml:space="preserve"> SUMIFS( 'FS Semi'!$J110:$CV110, 'FS Semi'!$J$2:$CV$2, 'FS Ann'!BB$2)</f>
        <v>0</v>
      </c>
    </row>
    <row r="111" spans="1:54" outlineLevel="2" x14ac:dyDescent="0.2">
      <c r="A111" s="1"/>
      <c r="B111" s="1"/>
      <c r="C111" s="19"/>
      <c r="D111" s="83"/>
      <c r="E111" s="16" t="str">
        <f xml:space="preserve"> 'FS Semi'!E111</f>
        <v>DSRA balance</v>
      </c>
      <c r="F111" s="16">
        <f xml:space="preserve"> 'FS Semi'!F111</f>
        <v>0</v>
      </c>
      <c r="G111" s="381" t="str">
        <f xml:space="preserve"> 'FS Semi'!G111</f>
        <v>$ 000s</v>
      </c>
      <c r="H111" s="16"/>
      <c r="I111" s="16"/>
      <c r="J111" s="16">
        <f xml:space="preserve"> SUMIFS( 'FS Semi'!$J111:$CV111, 'FS Semi'!$J$2:$CV$2, 'FS Ann'!J$2)</f>
        <v>0</v>
      </c>
      <c r="K111" s="16">
        <f xml:space="preserve"> SUMIFS( 'FS Semi'!$J111:$CV111, 'FS Semi'!$J$2:$CV$2, 'FS Ann'!K$2)</f>
        <v>0</v>
      </c>
      <c r="L111" s="16">
        <f xml:space="preserve"> SUMIFS( 'FS Semi'!$J111:$CV111, 'FS Semi'!$J$2:$CV$2, 'FS Ann'!L$2)</f>
        <v>11233.130669939161</v>
      </c>
      <c r="M111" s="16">
        <f xml:space="preserve"> SUMIFS( 'FS Semi'!$J111:$CV111, 'FS Semi'!$J$2:$CV$2, 'FS Ann'!M$2)</f>
        <v>11190.794928838903</v>
      </c>
      <c r="N111" s="16">
        <f xml:space="preserve"> SUMIFS( 'FS Semi'!$J111:$CV111, 'FS Semi'!$J$2:$CV$2, 'FS Ann'!N$2)</f>
        <v>11104.822479349081</v>
      </c>
      <c r="O111" s="16">
        <f xml:space="preserve"> SUMIFS( 'FS Semi'!$J111:$CV111, 'FS Semi'!$J$2:$CV$2, 'FS Ann'!O$2)</f>
        <v>11025.255469920612</v>
      </c>
      <c r="P111" s="16">
        <f xml:space="preserve"> SUMIFS( 'FS Semi'!$J111:$CV111, 'FS Semi'!$J$2:$CV$2, 'FS Ann'!P$2)</f>
        <v>10921.998577696688</v>
      </c>
      <c r="Q111" s="16">
        <f xml:space="preserve"> SUMIFS( 'FS Semi'!$J111:$CV111, 'FS Semi'!$J$2:$CV$2, 'FS Ann'!Q$2)</f>
        <v>10840.135152344956</v>
      </c>
      <c r="R111" s="16">
        <f xml:space="preserve"> SUMIFS( 'FS Semi'!$J111:$CV111, 'FS Semi'!$J$2:$CV$2, 'FS Ann'!R$2)</f>
        <v>10749.568908064761</v>
      </c>
      <c r="S111" s="16">
        <f xml:space="preserve"> SUMIFS( 'FS Semi'!$J111:$CV111, 'FS Semi'!$J$2:$CV$2, 'FS Ann'!S$2)</f>
        <v>10665.064311187987</v>
      </c>
      <c r="T111" s="16">
        <f xml:space="preserve"> SUMIFS( 'FS Semi'!$J111:$CV111, 'FS Semi'!$J$2:$CV$2, 'FS Ann'!T$2)</f>
        <v>10557.509077694693</v>
      </c>
      <c r="U111" s="16">
        <f xml:space="preserve"> SUMIFS( 'FS Semi'!$J111:$CV111, 'FS Semi'!$J$2:$CV$2, 'FS Ann'!U$2)</f>
        <v>10470.507070020134</v>
      </c>
      <c r="V111" s="16">
        <f xml:space="preserve"> SUMIFS( 'FS Semi'!$J111:$CV111, 'FS Semi'!$J$2:$CV$2, 'FS Ann'!V$2)</f>
        <v>10374.944975120165</v>
      </c>
      <c r="W111" s="16">
        <f xml:space="preserve"> SUMIFS( 'FS Semi'!$J111:$CV111, 'FS Semi'!$J$2:$CV$2, 'FS Ann'!W$2)</f>
        <v>10285.079124192071</v>
      </c>
      <c r="X111" s="16">
        <f xml:space="preserve"> SUMIFS( 'FS Semi'!$J111:$CV111, 'FS Semi'!$J$2:$CV$2, 'FS Ann'!X$2)</f>
        <v>10172.834298762504</v>
      </c>
      <c r="Y111" s="16">
        <f xml:space="preserve"> SUMIFS( 'FS Semi'!$J111:$CV111, 'FS Semi'!$J$2:$CV$2, 'FS Ann'!Y$2)</f>
        <v>10080.253439298456</v>
      </c>
      <c r="Z111" s="16">
        <f xml:space="preserve"> SUMIFS( 'FS Semi'!$J111:$CV111, 'FS Semi'!$J$2:$CV$2, 'FS Ann'!Z$2)</f>
        <v>9979.2601971614822</v>
      </c>
      <c r="AA111" s="16">
        <f xml:space="preserve"> SUMIFS( 'FS Semi'!$J111:$CV111, 'FS Semi'!$J$2:$CV$2, 'FS Ann'!AA$2)</f>
        <v>9883.5760729497488</v>
      </c>
      <c r="AB111" s="16">
        <f xml:space="preserve"> SUMIFS( 'FS Semi'!$J111:$CV111, 'FS Semi'!$J$2:$CV$2, 'FS Ann'!AB$2)</f>
        <v>9766.220927027236</v>
      </c>
      <c r="AC111" s="16">
        <f xml:space="preserve"> SUMIFS( 'FS Semi'!$J111:$CV111, 'FS Semi'!$J$2:$CV$2, 'FS Ann'!AC$2)</f>
        <v>-2.0082668106624624E-4</v>
      </c>
      <c r="AD111" s="16">
        <f xml:space="preserve"> SUMIFS( 'FS Semi'!$J111:$CV111, 'FS Semi'!$J$2:$CV$2, 'FS Ann'!AD$2)</f>
        <v>-2.0082668106624624E-4</v>
      </c>
      <c r="AE111" s="16">
        <f xml:space="preserve"> SUMIFS( 'FS Semi'!$J111:$CV111, 'FS Semi'!$J$2:$CV$2, 'FS Ann'!AE$2)</f>
        <v>-2.0082668106624624E-4</v>
      </c>
      <c r="AF111" s="16">
        <f xml:space="preserve"> SUMIFS( 'FS Semi'!$J111:$CV111, 'FS Semi'!$J$2:$CV$2, 'FS Ann'!AF$2)</f>
        <v>-2.0082668106624624E-4</v>
      </c>
      <c r="AG111" s="16">
        <f xml:space="preserve"> SUMIFS( 'FS Semi'!$J111:$CV111, 'FS Semi'!$J$2:$CV$2, 'FS Ann'!AG$2)</f>
        <v>-2.0082668106624624E-4</v>
      </c>
      <c r="AH111" s="16">
        <f xml:space="preserve"> SUMIFS( 'FS Semi'!$J111:$CV111, 'FS Semi'!$J$2:$CV$2, 'FS Ann'!AH$2)</f>
        <v>-2.0082668106624624E-4</v>
      </c>
      <c r="AI111" s="16">
        <f xml:space="preserve"> SUMIFS( 'FS Semi'!$J111:$CV111, 'FS Semi'!$J$2:$CV$2, 'FS Ann'!AI$2)</f>
        <v>-2.0082668106624624E-4</v>
      </c>
      <c r="AJ111" s="16">
        <f xml:space="preserve"> SUMIFS( 'FS Semi'!$J111:$CV111, 'FS Semi'!$J$2:$CV$2, 'FS Ann'!AJ$2)</f>
        <v>-2.0082668106624624E-4</v>
      </c>
      <c r="AK111" s="16">
        <f xml:space="preserve"> SUMIFS( 'FS Semi'!$J111:$CV111, 'FS Semi'!$J$2:$CV$2, 'FS Ann'!AK$2)</f>
        <v>-2.0082668106624624E-4</v>
      </c>
      <c r="AL111" s="16">
        <f xml:space="preserve"> SUMIFS( 'FS Semi'!$J111:$CV111, 'FS Semi'!$J$2:$CV$2, 'FS Ann'!AL$2)</f>
        <v>-2.0082668106624624E-4</v>
      </c>
      <c r="AM111" s="16">
        <f xml:space="preserve"> SUMIFS( 'FS Semi'!$J111:$CV111, 'FS Semi'!$J$2:$CV$2, 'FS Ann'!AM$2)</f>
        <v>-2.0082668106624624E-4</v>
      </c>
      <c r="AN111" s="16">
        <f xml:space="preserve"> SUMIFS( 'FS Semi'!$J111:$CV111, 'FS Semi'!$J$2:$CV$2, 'FS Ann'!AN$2)</f>
        <v>-2.0082668106624624E-4</v>
      </c>
      <c r="AO111" s="16">
        <f xml:space="preserve"> SUMIFS( 'FS Semi'!$J111:$CV111, 'FS Semi'!$J$2:$CV$2, 'FS Ann'!AO$2)</f>
        <v>-2.0082668106624624E-4</v>
      </c>
      <c r="AP111" s="16">
        <f xml:space="preserve"> SUMIFS( 'FS Semi'!$J111:$CV111, 'FS Semi'!$J$2:$CV$2, 'FS Ann'!AP$2)</f>
        <v>-2.0082668106624624E-4</v>
      </c>
      <c r="AQ111" s="16">
        <f xml:space="preserve"> SUMIFS( 'FS Semi'!$J111:$CV111, 'FS Semi'!$J$2:$CV$2, 'FS Ann'!AQ$2)</f>
        <v>-2.0082668106624624E-4</v>
      </c>
      <c r="AR111" s="16">
        <f xml:space="preserve"> SUMIFS( 'FS Semi'!$J111:$CV111, 'FS Semi'!$J$2:$CV$2, 'FS Ann'!AR$2)</f>
        <v>-2.0082668106624624E-4</v>
      </c>
      <c r="AS111" s="16">
        <f xml:space="preserve"> SUMIFS( 'FS Semi'!$J111:$CV111, 'FS Semi'!$J$2:$CV$2, 'FS Ann'!AS$2)</f>
        <v>-2.0082668106624624E-4</v>
      </c>
      <c r="AT111" s="16">
        <f xml:space="preserve"> SUMIFS( 'FS Semi'!$J111:$CV111, 'FS Semi'!$J$2:$CV$2, 'FS Ann'!AT$2)</f>
        <v>-2.0082668106624624E-4</v>
      </c>
      <c r="AU111" s="16">
        <f xml:space="preserve"> SUMIFS( 'FS Semi'!$J111:$CV111, 'FS Semi'!$J$2:$CV$2, 'FS Ann'!AU$2)</f>
        <v>-2.0082668106624624E-4</v>
      </c>
      <c r="AV111" s="16">
        <f xml:space="preserve"> SUMIFS( 'FS Semi'!$J111:$CV111, 'FS Semi'!$J$2:$CV$2, 'FS Ann'!AV$2)</f>
        <v>-2.0082668106624624E-4</v>
      </c>
      <c r="AW111" s="16">
        <f xml:space="preserve"> SUMIFS( 'FS Semi'!$J111:$CV111, 'FS Semi'!$J$2:$CV$2, 'FS Ann'!AW$2)</f>
        <v>-2.0082668106624624E-4</v>
      </c>
      <c r="AX111" s="16">
        <f xml:space="preserve"> SUMIFS( 'FS Semi'!$J111:$CV111, 'FS Semi'!$J$2:$CV$2, 'FS Ann'!AX$2)</f>
        <v>-2.0082668106624624E-4</v>
      </c>
      <c r="AY111" s="16">
        <f xml:space="preserve"> SUMIFS( 'FS Semi'!$J111:$CV111, 'FS Semi'!$J$2:$CV$2, 'FS Ann'!AY$2)</f>
        <v>-2.0082668106624624E-4</v>
      </c>
      <c r="AZ111" s="16">
        <f xml:space="preserve"> SUMIFS( 'FS Semi'!$J111:$CV111, 'FS Semi'!$J$2:$CV$2, 'FS Ann'!AZ$2)</f>
        <v>-2.0082668106624624E-4</v>
      </c>
      <c r="BA111" s="16">
        <f xml:space="preserve"> SUMIFS( 'FS Semi'!$J111:$CV111, 'FS Semi'!$J$2:$CV$2, 'FS Ann'!BA$2)</f>
        <v>-2.0082668106624624E-4</v>
      </c>
      <c r="BB111" s="16">
        <f xml:space="preserve"> SUMIFS( 'FS Semi'!$J111:$CV111, 'FS Semi'!$J$2:$CV$2, 'FS Ann'!BB$2)</f>
        <v>-2.0082668106624624E-4</v>
      </c>
    </row>
    <row r="112" spans="1:54" outlineLevel="2" x14ac:dyDescent="0.2">
      <c r="A112" s="1"/>
      <c r="B112" s="1"/>
      <c r="C112" s="19"/>
      <c r="D112" s="83"/>
      <c r="E112" s="84" t="s">
        <v>57</v>
      </c>
      <c r="F112" s="84"/>
      <c r="G112" s="324" t="str">
        <f>SMU</f>
        <v>$ 000s</v>
      </c>
      <c r="H112" s="84"/>
      <c r="I112" s="84"/>
      <c r="J112" s="84">
        <f t="shared" ref="J112:BB112" si="37">SUM(J107:J111)</f>
        <v>-1.5558398445136845E-6</v>
      </c>
      <c r="K112" s="84">
        <f t="shared" si="37"/>
        <v>-3.0776860512560233E-5</v>
      </c>
      <c r="L112" s="84">
        <f t="shared" si="37"/>
        <v>17080.247625128439</v>
      </c>
      <c r="M112" s="84">
        <f t="shared" si="37"/>
        <v>16188.297955538885</v>
      </c>
      <c r="N112" s="84">
        <f t="shared" si="37"/>
        <v>16094.263300570576</v>
      </c>
      <c r="O112" s="84">
        <f t="shared" si="37"/>
        <v>16006.684540473299</v>
      </c>
      <c r="P112" s="84">
        <f t="shared" si="37"/>
        <v>15868.140120120772</v>
      </c>
      <c r="Q112" s="84">
        <f t="shared" si="37"/>
        <v>15805.694162381846</v>
      </c>
      <c r="R112" s="84">
        <f t="shared" si="37"/>
        <v>15707.270671775132</v>
      </c>
      <c r="S112" s="84">
        <f t="shared" si="37"/>
        <v>15614.961410783915</v>
      </c>
      <c r="T112" s="84">
        <f t="shared" si="37"/>
        <v>15472.500007271803</v>
      </c>
      <c r="U112" s="84">
        <f t="shared" si="37"/>
        <v>15404.954830430705</v>
      </c>
      <c r="V112" s="84">
        <f t="shared" si="37"/>
        <v>15301.749208840938</v>
      </c>
      <c r="W112" s="84">
        <f t="shared" si="37"/>
        <v>15204.294710585571</v>
      </c>
      <c r="X112" s="84">
        <f t="shared" si="37"/>
        <v>15057.529453391151</v>
      </c>
      <c r="Y112" s="84">
        <f t="shared" si="37"/>
        <v>14984.458789699776</v>
      </c>
      <c r="Z112" s="84">
        <f t="shared" si="37"/>
        <v>14876.045198353153</v>
      </c>
      <c r="AA112" s="84">
        <f t="shared" si="37"/>
        <v>14772.998083621667</v>
      </c>
      <c r="AB112" s="84">
        <f t="shared" si="37"/>
        <v>14621.513136870359</v>
      </c>
      <c r="AC112" s="84">
        <f t="shared" si="37"/>
        <v>4874.8705166686968</v>
      </c>
      <c r="AD112" s="84">
        <f t="shared" si="37"/>
        <v>4867.683551213825</v>
      </c>
      <c r="AE112" s="84">
        <f t="shared" si="37"/>
        <v>4860.5566193003042</v>
      </c>
      <c r="AF112" s="84">
        <f t="shared" si="37"/>
        <v>-2.0082668106624624E-4</v>
      </c>
      <c r="AG112" s="84">
        <f t="shared" si="37"/>
        <v>-2.0082668106624624E-4</v>
      </c>
      <c r="AH112" s="84">
        <f t="shared" si="37"/>
        <v>-2.0082668106624624E-4</v>
      </c>
      <c r="AI112" s="84">
        <f t="shared" si="37"/>
        <v>-2.0082668106624624E-4</v>
      </c>
      <c r="AJ112" s="84">
        <f t="shared" si="37"/>
        <v>-2.0082668106624624E-4</v>
      </c>
      <c r="AK112" s="84">
        <f t="shared" si="37"/>
        <v>-2.0082668106624624E-4</v>
      </c>
      <c r="AL112" s="84">
        <f t="shared" si="37"/>
        <v>-2.0082668106624624E-4</v>
      </c>
      <c r="AM112" s="84">
        <f t="shared" si="37"/>
        <v>-2.0082668106624624E-4</v>
      </c>
      <c r="AN112" s="84">
        <f t="shared" si="37"/>
        <v>-2.0082668106624624E-4</v>
      </c>
      <c r="AO112" s="84">
        <f t="shared" si="37"/>
        <v>-2.0082668106624624E-4</v>
      </c>
      <c r="AP112" s="84">
        <f t="shared" si="37"/>
        <v>-2.0082668106624624E-4</v>
      </c>
      <c r="AQ112" s="84">
        <f t="shared" si="37"/>
        <v>-2.0082668106624624E-4</v>
      </c>
      <c r="AR112" s="84">
        <f t="shared" si="37"/>
        <v>-2.0082668106624624E-4</v>
      </c>
      <c r="AS112" s="84">
        <f t="shared" si="37"/>
        <v>-2.0082668106624624E-4</v>
      </c>
      <c r="AT112" s="84">
        <f t="shared" si="37"/>
        <v>-2.0082668106624624E-4</v>
      </c>
      <c r="AU112" s="84">
        <f t="shared" si="37"/>
        <v>-2.0082668106624624E-4</v>
      </c>
      <c r="AV112" s="84">
        <f t="shared" si="37"/>
        <v>-2.0082668106624624E-4</v>
      </c>
      <c r="AW112" s="84">
        <f t="shared" si="37"/>
        <v>-2.0082668106624624E-4</v>
      </c>
      <c r="AX112" s="84">
        <f t="shared" si="37"/>
        <v>-2.0082668106624624E-4</v>
      </c>
      <c r="AY112" s="84">
        <f t="shared" si="37"/>
        <v>-2.0082668106624624E-4</v>
      </c>
      <c r="AZ112" s="84">
        <f t="shared" si="37"/>
        <v>-2.0082668106624624E-4</v>
      </c>
      <c r="BA112" s="84">
        <f t="shared" si="37"/>
        <v>-2.0082668106624624E-4</v>
      </c>
      <c r="BB112" s="84">
        <f t="shared" si="37"/>
        <v>-2.0082668106624624E-4</v>
      </c>
    </row>
    <row r="113" spans="1:54" outlineLevel="2" x14ac:dyDescent="0.2">
      <c r="A113" s="1"/>
      <c r="B113" s="1"/>
      <c r="C113" s="19"/>
      <c r="D113" s="83"/>
      <c r="E113" s="16"/>
      <c r="F113" s="16"/>
      <c r="G113" s="381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</row>
    <row r="114" spans="1:54" outlineLevel="2" x14ac:dyDescent="0.2">
      <c r="A114" s="1"/>
      <c r="B114" s="1"/>
      <c r="C114" s="19"/>
      <c r="D114" s="83"/>
      <c r="E114" s="84" t="s">
        <v>58</v>
      </c>
      <c r="F114" s="84"/>
      <c r="G114" s="324" t="str">
        <f>SMU</f>
        <v>$ 000s</v>
      </c>
      <c r="H114" s="84"/>
      <c r="I114" s="84"/>
      <c r="J114" s="84">
        <f t="shared" ref="J114:BB114" si="38" xml:space="preserve"> J112 + J104</f>
        <v>38655.01232134179</v>
      </c>
      <c r="K114" s="84">
        <f t="shared" si="38"/>
        <v>183700.42528235298</v>
      </c>
      <c r="L114" s="84">
        <f t="shared" si="38"/>
        <v>336808.10536716814</v>
      </c>
      <c r="M114" s="84">
        <f t="shared" si="38"/>
        <v>319715.03736910567</v>
      </c>
      <c r="N114" s="84">
        <f t="shared" si="38"/>
        <v>303419.88438566448</v>
      </c>
      <c r="O114" s="84">
        <f t="shared" si="38"/>
        <v>287131.18729709421</v>
      </c>
      <c r="P114" s="84">
        <f t="shared" si="38"/>
        <v>270791.52454826876</v>
      </c>
      <c r="Q114" s="84">
        <f t="shared" si="38"/>
        <v>254527.96026205688</v>
      </c>
      <c r="R114" s="84">
        <f t="shared" si="38"/>
        <v>238228.41844297721</v>
      </c>
      <c r="S114" s="84">
        <f t="shared" si="38"/>
        <v>221934.99085351307</v>
      </c>
      <c r="T114" s="84">
        <f t="shared" si="38"/>
        <v>205591.41112152801</v>
      </c>
      <c r="U114" s="84">
        <f t="shared" si="38"/>
        <v>189322.74761621398</v>
      </c>
      <c r="V114" s="84">
        <f t="shared" si="38"/>
        <v>173018.42366615127</v>
      </c>
      <c r="W114" s="84">
        <f t="shared" si="38"/>
        <v>156719.85083942296</v>
      </c>
      <c r="X114" s="84">
        <f t="shared" si="38"/>
        <v>140371.9672537556</v>
      </c>
      <c r="Y114" s="84">
        <f t="shared" si="38"/>
        <v>124097.77826159133</v>
      </c>
      <c r="Z114" s="84">
        <f t="shared" si="38"/>
        <v>107788.2463417718</v>
      </c>
      <c r="AA114" s="84">
        <f t="shared" si="38"/>
        <v>91484.080898567394</v>
      </c>
      <c r="AB114" s="84">
        <f t="shared" si="38"/>
        <v>75131.477623343177</v>
      </c>
      <c r="AC114" s="84">
        <f t="shared" si="38"/>
        <v>49183.716674668598</v>
      </c>
      <c r="AD114" s="84">
        <f t="shared" si="38"/>
        <v>34406.914323213736</v>
      </c>
      <c r="AE114" s="84">
        <f t="shared" si="38"/>
        <v>19630.172005300225</v>
      </c>
      <c r="AF114" s="84">
        <f t="shared" si="38"/>
        <v>-2.0082675564481178E-4</v>
      </c>
      <c r="AG114" s="84">
        <f t="shared" si="38"/>
        <v>-2.0082675564481178E-4</v>
      </c>
      <c r="AH114" s="84">
        <f t="shared" si="38"/>
        <v>-2.0082675564481178E-4</v>
      </c>
      <c r="AI114" s="84">
        <f t="shared" si="38"/>
        <v>-2.0082675564481178E-4</v>
      </c>
      <c r="AJ114" s="84">
        <f t="shared" si="38"/>
        <v>-2.0082675564481178E-4</v>
      </c>
      <c r="AK114" s="84">
        <f t="shared" si="38"/>
        <v>-2.0082675564481178E-4</v>
      </c>
      <c r="AL114" s="84">
        <f t="shared" si="38"/>
        <v>-2.0082675564481178E-4</v>
      </c>
      <c r="AM114" s="84">
        <f t="shared" si="38"/>
        <v>-2.0082675564481178E-4</v>
      </c>
      <c r="AN114" s="84">
        <f t="shared" si="38"/>
        <v>-2.0082675564481178E-4</v>
      </c>
      <c r="AO114" s="84">
        <f t="shared" si="38"/>
        <v>-2.0082675564481178E-4</v>
      </c>
      <c r="AP114" s="84">
        <f t="shared" si="38"/>
        <v>-2.0082675564481178E-4</v>
      </c>
      <c r="AQ114" s="84">
        <f t="shared" si="38"/>
        <v>-2.0082675564481178E-4</v>
      </c>
      <c r="AR114" s="84">
        <f t="shared" si="38"/>
        <v>-2.0082675564481178E-4</v>
      </c>
      <c r="AS114" s="84">
        <f t="shared" si="38"/>
        <v>-2.0082675564481178E-4</v>
      </c>
      <c r="AT114" s="84">
        <f t="shared" si="38"/>
        <v>-2.0082675564481178E-4</v>
      </c>
      <c r="AU114" s="84">
        <f t="shared" si="38"/>
        <v>-2.0082675564481178E-4</v>
      </c>
      <c r="AV114" s="84">
        <f t="shared" si="38"/>
        <v>-2.0082675564481178E-4</v>
      </c>
      <c r="AW114" s="84">
        <f t="shared" si="38"/>
        <v>-2.0082675564481178E-4</v>
      </c>
      <c r="AX114" s="84">
        <f t="shared" si="38"/>
        <v>-2.0082675564481178E-4</v>
      </c>
      <c r="AY114" s="84">
        <f t="shared" si="38"/>
        <v>-2.0082675564481178E-4</v>
      </c>
      <c r="AZ114" s="84">
        <f t="shared" si="38"/>
        <v>-2.0082675564481178E-4</v>
      </c>
      <c r="BA114" s="84">
        <f t="shared" si="38"/>
        <v>-2.0082675564481178E-4</v>
      </c>
      <c r="BB114" s="84">
        <f t="shared" si="38"/>
        <v>-2.0082675564481178E-4</v>
      </c>
    </row>
    <row r="115" spans="1:54" outlineLevel="2" x14ac:dyDescent="0.2">
      <c r="A115" s="1"/>
      <c r="B115" s="1"/>
      <c r="C115" s="19"/>
      <c r="D115" s="83"/>
      <c r="E115" s="16"/>
      <c r="F115" s="16"/>
      <c r="G115" s="381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</row>
    <row r="116" spans="1:54" outlineLevel="2" x14ac:dyDescent="0.2">
      <c r="A116" s="1"/>
      <c r="B116" s="1"/>
      <c r="C116" s="19"/>
      <c r="D116" s="83"/>
      <c r="E116" s="16" t="str">
        <f xml:space="preserve"> 'FS Semi'!E116</f>
        <v>Accounts payable balance</v>
      </c>
      <c r="F116" s="16">
        <f xml:space="preserve"> 'FS Semi'!F116</f>
        <v>0</v>
      </c>
      <c r="G116" s="381" t="str">
        <f xml:space="preserve"> 'FS Semi'!G116</f>
        <v>$ 000s</v>
      </c>
      <c r="H116" s="16"/>
      <c r="I116" s="16"/>
      <c r="J116" s="16">
        <f xml:space="preserve"> SUMIFS( 'FS Semi'!$J116:$CV116, 'FS Semi'!$J$2:$CV$2, 'FS Ann'!J$2)</f>
        <v>0</v>
      </c>
      <c r="K116" s="16">
        <f xml:space="preserve"> SUMIFS( 'FS Semi'!$J116:$CV116, 'FS Semi'!$J$2:$CV$2, 'FS Ann'!K$2)</f>
        <v>0</v>
      </c>
      <c r="L116" s="16">
        <f xml:space="preserve"> SUMIFS( 'FS Semi'!$J116:$CV116, 'FS Semi'!$J$2:$CV$2, 'FS Ann'!L$2)</f>
        <v>0</v>
      </c>
      <c r="M116" s="16">
        <f xml:space="preserve"> SUMIFS( 'FS Semi'!$J116:$CV116, 'FS Semi'!$J$2:$CV$2, 'FS Ann'!M$2)</f>
        <v>1076.4518718232048</v>
      </c>
      <c r="N116" s="16">
        <f xml:space="preserve"> SUMIFS( 'FS Semi'!$J116:$CV116, 'FS Semi'!$J$2:$CV$2, 'FS Ann'!N$2)</f>
        <v>1097.9809092596688</v>
      </c>
      <c r="O116" s="16">
        <f xml:space="preserve"> SUMIFS( 'FS Semi'!$J116:$CV116, 'FS Semi'!$J$2:$CV$2, 'FS Ann'!O$2)</f>
        <v>1119.9405274448618</v>
      </c>
      <c r="P116" s="16">
        <f xml:space="preserve"> SUMIFS( 'FS Semi'!$J116:$CV116, 'FS Semi'!$J$2:$CV$2, 'FS Ann'!P$2)</f>
        <v>1136.0627482245627</v>
      </c>
      <c r="Q116" s="16">
        <f xml:space="preserve"> SUMIFS( 'FS Semi'!$J116:$CV116, 'FS Semi'!$J$2:$CV$2, 'FS Ann'!Q$2)</f>
        <v>1165.1861247536344</v>
      </c>
      <c r="R116" s="16">
        <f xml:space="preserve"> SUMIFS( 'FS Semi'!$J116:$CV116, 'FS Semi'!$J$2:$CV$2, 'FS Ann'!R$2)</f>
        <v>1188.4898472487075</v>
      </c>
      <c r="S116" s="16">
        <f xml:space="preserve"> SUMIFS( 'FS Semi'!$J116:$CV116, 'FS Semi'!$J$2:$CV$2, 'FS Ann'!S$2)</f>
        <v>1212.2596441936812</v>
      </c>
      <c r="T116" s="16">
        <f xml:space="preserve"> SUMIFS( 'FS Semi'!$J116:$CV116, 'FS Semi'!$J$2:$CV$2, 'FS Ann'!T$2)</f>
        <v>1229.7108544562489</v>
      </c>
      <c r="U116" s="16">
        <f xml:space="preserve"> SUMIFS( 'FS Semi'!$J116:$CV116, 'FS Semi'!$J$2:$CV$2, 'FS Ann'!U$2)</f>
        <v>1261.2349338191061</v>
      </c>
      <c r="V116" s="16">
        <f xml:space="preserve"> SUMIFS( 'FS Semi'!$J116:$CV116, 'FS Semi'!$J$2:$CV$2, 'FS Ann'!V$2)</f>
        <v>1286.4596324954882</v>
      </c>
      <c r="W116" s="16">
        <f xml:space="preserve"> SUMIFS( 'FS Semi'!$J116:$CV116, 'FS Semi'!$J$2:$CV$2, 'FS Ann'!W$2)</f>
        <v>1312.1888251453975</v>
      </c>
      <c r="X116" s="16">
        <f xml:space="preserve"> SUMIFS( 'FS Semi'!$J116:$CV116, 'FS Semi'!$J$2:$CV$2, 'FS Ann'!X$2)</f>
        <v>1331.0785763645235</v>
      </c>
      <c r="Y116" s="16">
        <f xml:space="preserve"> SUMIFS( 'FS Semi'!$J116:$CV116, 'FS Semi'!$J$2:$CV$2, 'FS Ann'!Y$2)</f>
        <v>1365.2012536812717</v>
      </c>
      <c r="Z116" s="16">
        <f xml:space="preserve"> SUMIFS( 'FS Semi'!$J116:$CV116, 'FS Semi'!$J$2:$CV$2, 'FS Ann'!Z$2)</f>
        <v>1392.5052787548975</v>
      </c>
      <c r="AA116" s="16">
        <f xml:space="preserve"> SUMIFS( 'FS Semi'!$J116:$CV116, 'FS Semi'!$J$2:$CV$2, 'FS Ann'!AA$2)</f>
        <v>1420.3553843299951</v>
      </c>
      <c r="AB116" s="16">
        <f xml:space="preserve"> SUMIFS( 'FS Semi'!$J116:$CV116, 'FS Semi'!$J$2:$CV$2, 'FS Ann'!AB$2)</f>
        <v>1440.8022585439758</v>
      </c>
      <c r="AC116" s="16">
        <f xml:space="preserve"> SUMIFS( 'FS Semi'!$J116:$CV116, 'FS Semi'!$J$2:$CV$2, 'FS Ann'!AC$2)</f>
        <v>1477.7377418569267</v>
      </c>
      <c r="AD116" s="16">
        <f xml:space="preserve"> SUMIFS( 'FS Semi'!$J116:$CV116, 'FS Semi'!$J$2:$CV$2, 'FS Ann'!AD$2)</f>
        <v>1507.2924966940654</v>
      </c>
      <c r="AE116" s="16">
        <f xml:space="preserve"> SUMIFS( 'FS Semi'!$J116:$CV116, 'FS Semi'!$J$2:$CV$2, 'FS Ann'!AE$2)</f>
        <v>1537.4383466279469</v>
      </c>
      <c r="AF116" s="16">
        <f xml:space="preserve"> SUMIFS( 'FS Semi'!$J116:$CV116, 'FS Semi'!$J$2:$CV$2, 'FS Ann'!AF$2)</f>
        <v>0</v>
      </c>
      <c r="AG116" s="16">
        <f xml:space="preserve"> SUMIFS( 'FS Semi'!$J116:$CV116, 'FS Semi'!$J$2:$CV$2, 'FS Ann'!AG$2)</f>
        <v>0</v>
      </c>
      <c r="AH116" s="16">
        <f xml:space="preserve"> SUMIFS( 'FS Semi'!$J116:$CV116, 'FS Semi'!$J$2:$CV$2, 'FS Ann'!AH$2)</f>
        <v>0</v>
      </c>
      <c r="AI116" s="16">
        <f xml:space="preserve"> SUMIFS( 'FS Semi'!$J116:$CV116, 'FS Semi'!$J$2:$CV$2, 'FS Ann'!AI$2)</f>
        <v>0</v>
      </c>
      <c r="AJ116" s="16">
        <f xml:space="preserve"> SUMIFS( 'FS Semi'!$J116:$CV116, 'FS Semi'!$J$2:$CV$2, 'FS Ann'!AJ$2)</f>
        <v>0</v>
      </c>
      <c r="AK116" s="16">
        <f xml:space="preserve"> SUMIFS( 'FS Semi'!$J116:$CV116, 'FS Semi'!$J$2:$CV$2, 'FS Ann'!AK$2)</f>
        <v>0</v>
      </c>
      <c r="AL116" s="16">
        <f xml:space="preserve"> SUMIFS( 'FS Semi'!$J116:$CV116, 'FS Semi'!$J$2:$CV$2, 'FS Ann'!AL$2)</f>
        <v>0</v>
      </c>
      <c r="AM116" s="16">
        <f xml:space="preserve"> SUMIFS( 'FS Semi'!$J116:$CV116, 'FS Semi'!$J$2:$CV$2, 'FS Ann'!AM$2)</f>
        <v>0</v>
      </c>
      <c r="AN116" s="16">
        <f xml:space="preserve"> SUMIFS( 'FS Semi'!$J116:$CV116, 'FS Semi'!$J$2:$CV$2, 'FS Ann'!AN$2)</f>
        <v>0</v>
      </c>
      <c r="AO116" s="16">
        <f xml:space="preserve"> SUMIFS( 'FS Semi'!$J116:$CV116, 'FS Semi'!$J$2:$CV$2, 'FS Ann'!AO$2)</f>
        <v>0</v>
      </c>
      <c r="AP116" s="16">
        <f xml:space="preserve"> SUMIFS( 'FS Semi'!$J116:$CV116, 'FS Semi'!$J$2:$CV$2, 'FS Ann'!AP$2)</f>
        <v>0</v>
      </c>
      <c r="AQ116" s="16">
        <f xml:space="preserve"> SUMIFS( 'FS Semi'!$J116:$CV116, 'FS Semi'!$J$2:$CV$2, 'FS Ann'!AQ$2)</f>
        <v>0</v>
      </c>
      <c r="AR116" s="16">
        <f xml:space="preserve"> SUMIFS( 'FS Semi'!$J116:$CV116, 'FS Semi'!$J$2:$CV$2, 'FS Ann'!AR$2)</f>
        <v>0</v>
      </c>
      <c r="AS116" s="16">
        <f xml:space="preserve"> SUMIFS( 'FS Semi'!$J116:$CV116, 'FS Semi'!$J$2:$CV$2, 'FS Ann'!AS$2)</f>
        <v>0</v>
      </c>
      <c r="AT116" s="16">
        <f xml:space="preserve"> SUMIFS( 'FS Semi'!$J116:$CV116, 'FS Semi'!$J$2:$CV$2, 'FS Ann'!AT$2)</f>
        <v>0</v>
      </c>
      <c r="AU116" s="16">
        <f xml:space="preserve"> SUMIFS( 'FS Semi'!$J116:$CV116, 'FS Semi'!$J$2:$CV$2, 'FS Ann'!AU$2)</f>
        <v>0</v>
      </c>
      <c r="AV116" s="16">
        <f xml:space="preserve"> SUMIFS( 'FS Semi'!$J116:$CV116, 'FS Semi'!$J$2:$CV$2, 'FS Ann'!AV$2)</f>
        <v>0</v>
      </c>
      <c r="AW116" s="16">
        <f xml:space="preserve"> SUMIFS( 'FS Semi'!$J116:$CV116, 'FS Semi'!$J$2:$CV$2, 'FS Ann'!AW$2)</f>
        <v>0</v>
      </c>
      <c r="AX116" s="16">
        <f xml:space="preserve"> SUMIFS( 'FS Semi'!$J116:$CV116, 'FS Semi'!$J$2:$CV$2, 'FS Ann'!AX$2)</f>
        <v>0</v>
      </c>
      <c r="AY116" s="16">
        <f xml:space="preserve"> SUMIFS( 'FS Semi'!$J116:$CV116, 'FS Semi'!$J$2:$CV$2, 'FS Ann'!AY$2)</f>
        <v>0</v>
      </c>
      <c r="AZ116" s="16">
        <f xml:space="preserve"> SUMIFS( 'FS Semi'!$J116:$CV116, 'FS Semi'!$J$2:$CV$2, 'FS Ann'!AZ$2)</f>
        <v>0</v>
      </c>
      <c r="BA116" s="16">
        <f xml:space="preserve"> SUMIFS( 'FS Semi'!$J116:$CV116, 'FS Semi'!$J$2:$CV$2, 'FS Ann'!BA$2)</f>
        <v>0</v>
      </c>
      <c r="BB116" s="16">
        <f xml:space="preserve"> SUMIFS( 'FS Semi'!$J116:$CV116, 'FS Semi'!$J$2:$CV$2, 'FS Ann'!BB$2)</f>
        <v>0</v>
      </c>
    </row>
    <row r="117" spans="1:54" outlineLevel="2" x14ac:dyDescent="0.2">
      <c r="A117" s="1"/>
      <c r="B117" s="1"/>
      <c r="C117" s="19"/>
      <c r="D117" s="83"/>
      <c r="E117" s="16" t="str">
        <f xml:space="preserve"> 'FS Semi'!E117</f>
        <v>EGR period cost payable balance</v>
      </c>
      <c r="F117" s="16">
        <f xml:space="preserve"> 'FS Semi'!F117</f>
        <v>0</v>
      </c>
      <c r="G117" s="381" t="str">
        <f xml:space="preserve"> 'FS Semi'!G117</f>
        <v>$ 000s</v>
      </c>
      <c r="H117" s="16"/>
      <c r="I117" s="16"/>
      <c r="J117" s="16">
        <f xml:space="preserve"> SUMIFS( 'FS Semi'!$J117:$CV117, 'FS Semi'!$J$2:$CV$2, 'FS Ann'!J$2)</f>
        <v>0</v>
      </c>
      <c r="K117" s="16">
        <f xml:space="preserve"> SUMIFS( 'FS Semi'!$J117:$CV117, 'FS Semi'!$J$2:$CV$2, 'FS Ann'!K$2)</f>
        <v>0</v>
      </c>
      <c r="L117" s="16">
        <f xml:space="preserve"> SUMIFS( 'FS Semi'!$J117:$CV117, 'FS Semi'!$J$2:$CV$2, 'FS Ann'!L$2)</f>
        <v>0</v>
      </c>
      <c r="M117" s="16">
        <f xml:space="preserve"> SUMIFS( 'FS Semi'!$J117:$CV117, 'FS Semi'!$J$2:$CV$2, 'FS Ann'!M$2)</f>
        <v>0</v>
      </c>
      <c r="N117" s="16">
        <f xml:space="preserve"> SUMIFS( 'FS Semi'!$J117:$CV117, 'FS Semi'!$J$2:$CV$2, 'FS Ann'!N$2)</f>
        <v>0</v>
      </c>
      <c r="O117" s="16">
        <f xml:space="preserve"> SUMIFS( 'FS Semi'!$J117:$CV117, 'FS Semi'!$J$2:$CV$2, 'FS Ann'!O$2)</f>
        <v>0</v>
      </c>
      <c r="P117" s="16">
        <f xml:space="preserve"> SUMIFS( 'FS Semi'!$J117:$CV117, 'FS Semi'!$J$2:$CV$2, 'FS Ann'!P$2)</f>
        <v>0</v>
      </c>
      <c r="Q117" s="16">
        <f xml:space="preserve"> SUMIFS( 'FS Semi'!$J117:$CV117, 'FS Semi'!$J$2:$CV$2, 'FS Ann'!Q$2)</f>
        <v>0</v>
      </c>
      <c r="R117" s="16">
        <f xml:space="preserve"> SUMIFS( 'FS Semi'!$J117:$CV117, 'FS Semi'!$J$2:$CV$2, 'FS Ann'!R$2)</f>
        <v>0</v>
      </c>
      <c r="S117" s="16">
        <f xml:space="preserve"> SUMIFS( 'FS Semi'!$J117:$CV117, 'FS Semi'!$J$2:$CV$2, 'FS Ann'!S$2)</f>
        <v>0</v>
      </c>
      <c r="T117" s="16">
        <f xml:space="preserve"> SUMIFS( 'FS Semi'!$J117:$CV117, 'FS Semi'!$J$2:$CV$2, 'FS Ann'!T$2)</f>
        <v>0</v>
      </c>
      <c r="U117" s="16">
        <f xml:space="preserve"> SUMIFS( 'FS Semi'!$J117:$CV117, 'FS Semi'!$J$2:$CV$2, 'FS Ann'!U$2)</f>
        <v>0</v>
      </c>
      <c r="V117" s="16">
        <f xml:space="preserve"> SUMIFS( 'FS Semi'!$J117:$CV117, 'FS Semi'!$J$2:$CV$2, 'FS Ann'!V$2)</f>
        <v>0</v>
      </c>
      <c r="W117" s="16">
        <f xml:space="preserve"> SUMIFS( 'FS Semi'!$J117:$CV117, 'FS Semi'!$J$2:$CV$2, 'FS Ann'!W$2)</f>
        <v>0</v>
      </c>
      <c r="X117" s="16">
        <f xml:space="preserve"> SUMIFS( 'FS Semi'!$J117:$CV117, 'FS Semi'!$J$2:$CV$2, 'FS Ann'!X$2)</f>
        <v>0</v>
      </c>
      <c r="Y117" s="16">
        <f xml:space="preserve"> SUMIFS( 'FS Semi'!$J117:$CV117, 'FS Semi'!$J$2:$CV$2, 'FS Ann'!Y$2)</f>
        <v>0</v>
      </c>
      <c r="Z117" s="16">
        <f xml:space="preserve"> SUMIFS( 'FS Semi'!$J117:$CV117, 'FS Semi'!$J$2:$CV$2, 'FS Ann'!Z$2)</f>
        <v>0</v>
      </c>
      <c r="AA117" s="16">
        <f xml:space="preserve"> SUMIFS( 'FS Semi'!$J117:$CV117, 'FS Semi'!$J$2:$CV$2, 'FS Ann'!AA$2)</f>
        <v>0</v>
      </c>
      <c r="AB117" s="16">
        <f xml:space="preserve"> SUMIFS( 'FS Semi'!$J117:$CV117, 'FS Semi'!$J$2:$CV$2, 'FS Ann'!AB$2)</f>
        <v>0</v>
      </c>
      <c r="AC117" s="16">
        <f xml:space="preserve"> SUMIFS( 'FS Semi'!$J117:$CV117, 'FS Semi'!$J$2:$CV$2, 'FS Ann'!AC$2)</f>
        <v>0</v>
      </c>
      <c r="AD117" s="16">
        <f xml:space="preserve"> SUMIFS( 'FS Semi'!$J117:$CV117, 'FS Semi'!$J$2:$CV$2, 'FS Ann'!AD$2)</f>
        <v>0</v>
      </c>
      <c r="AE117" s="16">
        <f xml:space="preserve"> SUMIFS( 'FS Semi'!$J117:$CV117, 'FS Semi'!$J$2:$CV$2, 'FS Ann'!AE$2)</f>
        <v>0</v>
      </c>
      <c r="AF117" s="16">
        <f xml:space="preserve"> SUMIFS( 'FS Semi'!$J117:$CV117, 'FS Semi'!$J$2:$CV$2, 'FS Ann'!AF$2)</f>
        <v>0</v>
      </c>
      <c r="AG117" s="16">
        <f xml:space="preserve"> SUMIFS( 'FS Semi'!$J117:$CV117, 'FS Semi'!$J$2:$CV$2, 'FS Ann'!AG$2)</f>
        <v>0</v>
      </c>
      <c r="AH117" s="16">
        <f xml:space="preserve"> SUMIFS( 'FS Semi'!$J117:$CV117, 'FS Semi'!$J$2:$CV$2, 'FS Ann'!AH$2)</f>
        <v>0</v>
      </c>
      <c r="AI117" s="16">
        <f xml:space="preserve"> SUMIFS( 'FS Semi'!$J117:$CV117, 'FS Semi'!$J$2:$CV$2, 'FS Ann'!AI$2)</f>
        <v>0</v>
      </c>
      <c r="AJ117" s="16">
        <f xml:space="preserve"> SUMIFS( 'FS Semi'!$J117:$CV117, 'FS Semi'!$J$2:$CV$2, 'FS Ann'!AJ$2)</f>
        <v>0</v>
      </c>
      <c r="AK117" s="16">
        <f xml:space="preserve"> SUMIFS( 'FS Semi'!$J117:$CV117, 'FS Semi'!$J$2:$CV$2, 'FS Ann'!AK$2)</f>
        <v>0</v>
      </c>
      <c r="AL117" s="16">
        <f xml:space="preserve"> SUMIFS( 'FS Semi'!$J117:$CV117, 'FS Semi'!$J$2:$CV$2, 'FS Ann'!AL$2)</f>
        <v>0</v>
      </c>
      <c r="AM117" s="16">
        <f xml:space="preserve"> SUMIFS( 'FS Semi'!$J117:$CV117, 'FS Semi'!$J$2:$CV$2, 'FS Ann'!AM$2)</f>
        <v>0</v>
      </c>
      <c r="AN117" s="16">
        <f xml:space="preserve"> SUMIFS( 'FS Semi'!$J117:$CV117, 'FS Semi'!$J$2:$CV$2, 'FS Ann'!AN$2)</f>
        <v>0</v>
      </c>
      <c r="AO117" s="16">
        <f xml:space="preserve"> SUMIFS( 'FS Semi'!$J117:$CV117, 'FS Semi'!$J$2:$CV$2, 'FS Ann'!AO$2)</f>
        <v>0</v>
      </c>
      <c r="AP117" s="16">
        <f xml:space="preserve"> SUMIFS( 'FS Semi'!$J117:$CV117, 'FS Semi'!$J$2:$CV$2, 'FS Ann'!AP$2)</f>
        <v>0</v>
      </c>
      <c r="AQ117" s="16">
        <f xml:space="preserve"> SUMIFS( 'FS Semi'!$J117:$CV117, 'FS Semi'!$J$2:$CV$2, 'FS Ann'!AQ$2)</f>
        <v>0</v>
      </c>
      <c r="AR117" s="16">
        <f xml:space="preserve"> SUMIFS( 'FS Semi'!$J117:$CV117, 'FS Semi'!$J$2:$CV$2, 'FS Ann'!AR$2)</f>
        <v>0</v>
      </c>
      <c r="AS117" s="16">
        <f xml:space="preserve"> SUMIFS( 'FS Semi'!$J117:$CV117, 'FS Semi'!$J$2:$CV$2, 'FS Ann'!AS$2)</f>
        <v>0</v>
      </c>
      <c r="AT117" s="16">
        <f xml:space="preserve"> SUMIFS( 'FS Semi'!$J117:$CV117, 'FS Semi'!$J$2:$CV$2, 'FS Ann'!AT$2)</f>
        <v>0</v>
      </c>
      <c r="AU117" s="16">
        <f xml:space="preserve"> SUMIFS( 'FS Semi'!$J117:$CV117, 'FS Semi'!$J$2:$CV$2, 'FS Ann'!AU$2)</f>
        <v>0</v>
      </c>
      <c r="AV117" s="16">
        <f xml:space="preserve"> SUMIFS( 'FS Semi'!$J117:$CV117, 'FS Semi'!$J$2:$CV$2, 'FS Ann'!AV$2)</f>
        <v>0</v>
      </c>
      <c r="AW117" s="16">
        <f xml:space="preserve"> SUMIFS( 'FS Semi'!$J117:$CV117, 'FS Semi'!$J$2:$CV$2, 'FS Ann'!AW$2)</f>
        <v>0</v>
      </c>
      <c r="AX117" s="16">
        <f xml:space="preserve"> SUMIFS( 'FS Semi'!$J117:$CV117, 'FS Semi'!$J$2:$CV$2, 'FS Ann'!AX$2)</f>
        <v>0</v>
      </c>
      <c r="AY117" s="16">
        <f xml:space="preserve"> SUMIFS( 'FS Semi'!$J117:$CV117, 'FS Semi'!$J$2:$CV$2, 'FS Ann'!AY$2)</f>
        <v>0</v>
      </c>
      <c r="AZ117" s="16">
        <f xml:space="preserve"> SUMIFS( 'FS Semi'!$J117:$CV117, 'FS Semi'!$J$2:$CV$2, 'FS Ann'!AZ$2)</f>
        <v>0</v>
      </c>
      <c r="BA117" s="16">
        <f xml:space="preserve"> SUMIFS( 'FS Semi'!$J117:$CV117, 'FS Semi'!$J$2:$CV$2, 'FS Ann'!BA$2)</f>
        <v>0</v>
      </c>
      <c r="BB117" s="16">
        <f xml:space="preserve"> SUMIFS( 'FS Semi'!$J117:$CV117, 'FS Semi'!$J$2:$CV$2, 'FS Ann'!BB$2)</f>
        <v>0</v>
      </c>
    </row>
    <row r="118" spans="1:54" outlineLevel="2" x14ac:dyDescent="0.2">
      <c r="A118" s="1"/>
      <c r="B118" s="1"/>
      <c r="C118" s="19"/>
      <c r="D118" s="83"/>
      <c r="E118" s="16" t="str">
        <f xml:space="preserve"> 'FS Semi'!E118</f>
        <v>WCF balance</v>
      </c>
      <c r="F118" s="16">
        <f xml:space="preserve"> 'FS Semi'!F118</f>
        <v>0</v>
      </c>
      <c r="G118" s="381" t="str">
        <f xml:space="preserve"> 'FS Semi'!G118</f>
        <v>$ 000s</v>
      </c>
      <c r="H118" s="16"/>
      <c r="I118" s="16"/>
      <c r="J118" s="16">
        <f xml:space="preserve"> SUMIFS( 'FS Semi'!$J118:$CV118, 'FS Semi'!$J$2:$CV$2, 'FS Ann'!J$2)</f>
        <v>0</v>
      </c>
      <c r="K118" s="16">
        <f xml:space="preserve"> SUMIFS( 'FS Semi'!$J118:$CV118, 'FS Semi'!$J$2:$CV$2, 'FS Ann'!K$2)</f>
        <v>0</v>
      </c>
      <c r="L118" s="16">
        <f xml:space="preserve"> SUMIFS( 'FS Semi'!$J118:$CV118, 'FS Semi'!$J$2:$CV$2, 'FS Ann'!L$2)</f>
        <v>0</v>
      </c>
      <c r="M118" s="16">
        <f xml:space="preserve"> SUMIFS( 'FS Semi'!$J118:$CV118, 'FS Semi'!$J$2:$CV$2, 'FS Ann'!M$2)</f>
        <v>0</v>
      </c>
      <c r="N118" s="16">
        <f xml:space="preserve"> SUMIFS( 'FS Semi'!$J118:$CV118, 'FS Semi'!$J$2:$CV$2, 'FS Ann'!N$2)</f>
        <v>0</v>
      </c>
      <c r="O118" s="16">
        <f xml:space="preserve"> SUMIFS( 'FS Semi'!$J118:$CV118, 'FS Semi'!$J$2:$CV$2, 'FS Ann'!O$2)</f>
        <v>0</v>
      </c>
      <c r="P118" s="16">
        <f xml:space="preserve"> SUMIFS( 'FS Semi'!$J118:$CV118, 'FS Semi'!$J$2:$CV$2, 'FS Ann'!P$2)</f>
        <v>0</v>
      </c>
      <c r="Q118" s="16">
        <f xml:space="preserve"> SUMIFS( 'FS Semi'!$J118:$CV118, 'FS Semi'!$J$2:$CV$2, 'FS Ann'!Q$2)</f>
        <v>0</v>
      </c>
      <c r="R118" s="16">
        <f xml:space="preserve"> SUMIFS( 'FS Semi'!$J118:$CV118, 'FS Semi'!$J$2:$CV$2, 'FS Ann'!R$2)</f>
        <v>0</v>
      </c>
      <c r="S118" s="16">
        <f xml:space="preserve"> SUMIFS( 'FS Semi'!$J118:$CV118, 'FS Semi'!$J$2:$CV$2, 'FS Ann'!S$2)</f>
        <v>0</v>
      </c>
      <c r="T118" s="16">
        <f xml:space="preserve"> SUMIFS( 'FS Semi'!$J118:$CV118, 'FS Semi'!$J$2:$CV$2, 'FS Ann'!T$2)</f>
        <v>0</v>
      </c>
      <c r="U118" s="16">
        <f xml:space="preserve"> SUMIFS( 'FS Semi'!$J118:$CV118, 'FS Semi'!$J$2:$CV$2, 'FS Ann'!U$2)</f>
        <v>0</v>
      </c>
      <c r="V118" s="16">
        <f xml:space="preserve"> SUMIFS( 'FS Semi'!$J118:$CV118, 'FS Semi'!$J$2:$CV$2, 'FS Ann'!V$2)</f>
        <v>0</v>
      </c>
      <c r="W118" s="16">
        <f xml:space="preserve"> SUMIFS( 'FS Semi'!$J118:$CV118, 'FS Semi'!$J$2:$CV$2, 'FS Ann'!W$2)</f>
        <v>0</v>
      </c>
      <c r="X118" s="16">
        <f xml:space="preserve"> SUMIFS( 'FS Semi'!$J118:$CV118, 'FS Semi'!$J$2:$CV$2, 'FS Ann'!X$2)</f>
        <v>0</v>
      </c>
      <c r="Y118" s="16">
        <f xml:space="preserve"> SUMIFS( 'FS Semi'!$J118:$CV118, 'FS Semi'!$J$2:$CV$2, 'FS Ann'!Y$2)</f>
        <v>0</v>
      </c>
      <c r="Z118" s="16">
        <f xml:space="preserve"> SUMIFS( 'FS Semi'!$J118:$CV118, 'FS Semi'!$J$2:$CV$2, 'FS Ann'!Z$2)</f>
        <v>0</v>
      </c>
      <c r="AA118" s="16">
        <f xml:space="preserve"> SUMIFS( 'FS Semi'!$J118:$CV118, 'FS Semi'!$J$2:$CV$2, 'FS Ann'!AA$2)</f>
        <v>0</v>
      </c>
      <c r="AB118" s="16">
        <f xml:space="preserve"> SUMIFS( 'FS Semi'!$J118:$CV118, 'FS Semi'!$J$2:$CV$2, 'FS Ann'!AB$2)</f>
        <v>0</v>
      </c>
      <c r="AC118" s="16">
        <f xml:space="preserve"> SUMIFS( 'FS Semi'!$J118:$CV118, 'FS Semi'!$J$2:$CV$2, 'FS Ann'!AC$2)</f>
        <v>0</v>
      </c>
      <c r="AD118" s="16">
        <f xml:space="preserve"> SUMIFS( 'FS Semi'!$J118:$CV118, 'FS Semi'!$J$2:$CV$2, 'FS Ann'!AD$2)</f>
        <v>0</v>
      </c>
      <c r="AE118" s="16">
        <f xml:space="preserve"> SUMIFS( 'FS Semi'!$J118:$CV118, 'FS Semi'!$J$2:$CV$2, 'FS Ann'!AE$2)</f>
        <v>0</v>
      </c>
      <c r="AF118" s="16">
        <f xml:space="preserve"> SUMIFS( 'FS Semi'!$J118:$CV118, 'FS Semi'!$J$2:$CV$2, 'FS Ann'!AF$2)</f>
        <v>0</v>
      </c>
      <c r="AG118" s="16">
        <f xml:space="preserve"> SUMIFS( 'FS Semi'!$J118:$CV118, 'FS Semi'!$J$2:$CV$2, 'FS Ann'!AG$2)</f>
        <v>0</v>
      </c>
      <c r="AH118" s="16">
        <f xml:space="preserve"> SUMIFS( 'FS Semi'!$J118:$CV118, 'FS Semi'!$J$2:$CV$2, 'FS Ann'!AH$2)</f>
        <v>0</v>
      </c>
      <c r="AI118" s="16">
        <f xml:space="preserve"> SUMIFS( 'FS Semi'!$J118:$CV118, 'FS Semi'!$J$2:$CV$2, 'FS Ann'!AI$2)</f>
        <v>0</v>
      </c>
      <c r="AJ118" s="16">
        <f xml:space="preserve"> SUMIFS( 'FS Semi'!$J118:$CV118, 'FS Semi'!$J$2:$CV$2, 'FS Ann'!AJ$2)</f>
        <v>0</v>
      </c>
      <c r="AK118" s="16">
        <f xml:space="preserve"> SUMIFS( 'FS Semi'!$J118:$CV118, 'FS Semi'!$J$2:$CV$2, 'FS Ann'!AK$2)</f>
        <v>0</v>
      </c>
      <c r="AL118" s="16">
        <f xml:space="preserve"> SUMIFS( 'FS Semi'!$J118:$CV118, 'FS Semi'!$J$2:$CV$2, 'FS Ann'!AL$2)</f>
        <v>0</v>
      </c>
      <c r="AM118" s="16">
        <f xml:space="preserve"> SUMIFS( 'FS Semi'!$J118:$CV118, 'FS Semi'!$J$2:$CV$2, 'FS Ann'!AM$2)</f>
        <v>0</v>
      </c>
      <c r="AN118" s="16">
        <f xml:space="preserve"> SUMIFS( 'FS Semi'!$J118:$CV118, 'FS Semi'!$J$2:$CV$2, 'FS Ann'!AN$2)</f>
        <v>0</v>
      </c>
      <c r="AO118" s="16">
        <f xml:space="preserve"> SUMIFS( 'FS Semi'!$J118:$CV118, 'FS Semi'!$J$2:$CV$2, 'FS Ann'!AO$2)</f>
        <v>0</v>
      </c>
      <c r="AP118" s="16">
        <f xml:space="preserve"> SUMIFS( 'FS Semi'!$J118:$CV118, 'FS Semi'!$J$2:$CV$2, 'FS Ann'!AP$2)</f>
        <v>0</v>
      </c>
      <c r="AQ118" s="16">
        <f xml:space="preserve"> SUMIFS( 'FS Semi'!$J118:$CV118, 'FS Semi'!$J$2:$CV$2, 'FS Ann'!AQ$2)</f>
        <v>0</v>
      </c>
      <c r="AR118" s="16">
        <f xml:space="preserve"> SUMIFS( 'FS Semi'!$J118:$CV118, 'FS Semi'!$J$2:$CV$2, 'FS Ann'!AR$2)</f>
        <v>0</v>
      </c>
      <c r="AS118" s="16">
        <f xml:space="preserve"> SUMIFS( 'FS Semi'!$J118:$CV118, 'FS Semi'!$J$2:$CV$2, 'FS Ann'!AS$2)</f>
        <v>0</v>
      </c>
      <c r="AT118" s="16">
        <f xml:space="preserve"> SUMIFS( 'FS Semi'!$J118:$CV118, 'FS Semi'!$J$2:$CV$2, 'FS Ann'!AT$2)</f>
        <v>0</v>
      </c>
      <c r="AU118" s="16">
        <f xml:space="preserve"> SUMIFS( 'FS Semi'!$J118:$CV118, 'FS Semi'!$J$2:$CV$2, 'FS Ann'!AU$2)</f>
        <v>0</v>
      </c>
      <c r="AV118" s="16">
        <f xml:space="preserve"> SUMIFS( 'FS Semi'!$J118:$CV118, 'FS Semi'!$J$2:$CV$2, 'FS Ann'!AV$2)</f>
        <v>0</v>
      </c>
      <c r="AW118" s="16">
        <f xml:space="preserve"> SUMIFS( 'FS Semi'!$J118:$CV118, 'FS Semi'!$J$2:$CV$2, 'FS Ann'!AW$2)</f>
        <v>0</v>
      </c>
      <c r="AX118" s="16">
        <f xml:space="preserve"> SUMIFS( 'FS Semi'!$J118:$CV118, 'FS Semi'!$J$2:$CV$2, 'FS Ann'!AX$2)</f>
        <v>0</v>
      </c>
      <c r="AY118" s="16">
        <f xml:space="preserve"> SUMIFS( 'FS Semi'!$J118:$CV118, 'FS Semi'!$J$2:$CV$2, 'FS Ann'!AY$2)</f>
        <v>0</v>
      </c>
      <c r="AZ118" s="16">
        <f xml:space="preserve"> SUMIFS( 'FS Semi'!$J118:$CV118, 'FS Semi'!$J$2:$CV$2, 'FS Ann'!AZ$2)</f>
        <v>0</v>
      </c>
      <c r="BA118" s="16">
        <f xml:space="preserve"> SUMIFS( 'FS Semi'!$J118:$CV118, 'FS Semi'!$J$2:$CV$2, 'FS Ann'!BA$2)</f>
        <v>0</v>
      </c>
      <c r="BB118" s="16">
        <f xml:space="preserve"> SUMIFS( 'FS Semi'!$J118:$CV118, 'FS Semi'!$J$2:$CV$2, 'FS Ann'!BB$2)</f>
        <v>0</v>
      </c>
    </row>
    <row r="119" spans="1:54" outlineLevel="2" x14ac:dyDescent="0.2">
      <c r="A119" s="1"/>
      <c r="B119" s="1"/>
      <c r="C119" s="19"/>
      <c r="D119" s="83"/>
      <c r="E119" s="16" t="str">
        <f xml:space="preserve"> 'FS Semi'!E119</f>
        <v>Senior debt balance - T1</v>
      </c>
      <c r="F119" s="16">
        <f xml:space="preserve"> 'FS Semi'!F119</f>
        <v>0</v>
      </c>
      <c r="G119" s="381" t="str">
        <f xml:space="preserve"> 'FS Semi'!G119</f>
        <v>$ 000s</v>
      </c>
      <c r="H119" s="16"/>
      <c r="I119" s="16"/>
      <c r="J119" s="16">
        <f xml:space="preserve"> SUMIFS( 'FS Semi'!$J119:$CV119, 'FS Semi'!$J$2:$CV$2, 'FS Ann'!J$2)</f>
        <v>0</v>
      </c>
      <c r="K119" s="16">
        <f xml:space="preserve"> SUMIFS( 'FS Semi'!$J119:$CV119, 'FS Semi'!$J$2:$CV$2, 'FS Ann'!K$2)</f>
        <v>48641.086087745876</v>
      </c>
      <c r="L119" s="16">
        <f xml:space="preserve"> SUMIFS( 'FS Semi'!$J119:$CV119, 'FS Semi'!$J$2:$CV$2, 'FS Ann'!L$2)</f>
        <v>125194.92613015344</v>
      </c>
      <c r="M119" s="16">
        <f xml:space="preserve"> SUMIFS( 'FS Semi'!$J119:$CV119, 'FS Semi'!$J$2:$CV$2, 'FS Ann'!M$2)</f>
        <v>119922.1352876555</v>
      </c>
      <c r="N119" s="16">
        <f xml:space="preserve"> SUMIFS( 'FS Semi'!$J119:$CV119, 'FS Semi'!$J$2:$CV$2, 'FS Ann'!N$2)</f>
        <v>115049.50252800655</v>
      </c>
      <c r="O119" s="16">
        <f xml:space="preserve"> SUMIFS( 'FS Semi'!$J119:$CV119, 'FS Semi'!$J$2:$CV$2, 'FS Ann'!O$2)</f>
        <v>110024.16578572989</v>
      </c>
      <c r="P119" s="16">
        <f xml:space="preserve"> SUMIFS( 'FS Semi'!$J119:$CV119, 'FS Semi'!$J$2:$CV$2, 'FS Ann'!P$2)</f>
        <v>104844.37664323812</v>
      </c>
      <c r="Q119" s="16">
        <f xml:space="preserve"> SUMIFS( 'FS Semi'!$J119:$CV119, 'FS Semi'!$J$2:$CV$2, 'FS Ann'!Q$2)</f>
        <v>99501.600215346058</v>
      </c>
      <c r="R119" s="16">
        <f xml:space="preserve"> SUMIFS( 'FS Semi'!$J119:$CV119, 'FS Semi'!$J$2:$CV$2, 'FS Ann'!R$2)</f>
        <v>94137.669059260574</v>
      </c>
      <c r="S119" s="16">
        <f xml:space="preserve"> SUMIFS( 'FS Semi'!$J119:$CV119, 'FS Semi'!$J$2:$CV$2, 'FS Ann'!S$2)</f>
        <v>88591.140842060806</v>
      </c>
      <c r="T119" s="16">
        <f xml:space="preserve"> SUMIFS( 'FS Semi'!$J119:$CV119, 'FS Semi'!$J$2:$CV$2, 'FS Ann'!T$2)</f>
        <v>82856.442001167306</v>
      </c>
      <c r="U119" s="16">
        <f xml:space="preserve"> SUMIFS( 'FS Semi'!$J119:$CV119, 'FS Semi'!$J$2:$CV$2, 'FS Ann'!U$2)</f>
        <v>76927.27686561922</v>
      </c>
      <c r="V119" s="16">
        <f xml:space="preserve"> SUMIFS( 'FS Semi'!$J119:$CV119, 'FS Semi'!$J$2:$CV$2, 'FS Ann'!V$2)</f>
        <v>70785.247373619</v>
      </c>
      <c r="W119" s="16">
        <f xml:space="preserve"> SUMIFS( 'FS Semi'!$J119:$CV119, 'FS Semi'!$J$2:$CV$2, 'FS Ann'!W$2)</f>
        <v>64544.128046861137</v>
      </c>
      <c r="X119" s="16">
        <f xml:space="preserve"> SUMIFS( 'FS Semi'!$J119:$CV119, 'FS Semi'!$J$2:$CV$2, 'FS Ann'!X$2)</f>
        <v>58066.22768944627</v>
      </c>
      <c r="Y119" s="16">
        <f xml:space="preserve"> SUMIFS( 'FS Semi'!$J119:$CV119, 'FS Semi'!$J$2:$CV$2, 'FS Ann'!Y$2)</f>
        <v>51347.570845042952</v>
      </c>
      <c r="Z119" s="16">
        <f xml:space="preserve"> SUMIFS( 'FS Semi'!$J119:$CV119, 'FS Semi'!$J$2:$CV$2, 'FS Ann'!Z$2)</f>
        <v>44364.691041537037</v>
      </c>
      <c r="AA119" s="16">
        <f xml:space="preserve"> SUMIFS( 'FS Semi'!$J119:$CV119, 'FS Semi'!$J$2:$CV$2, 'FS Ann'!AA$2)</f>
        <v>37111.262402800712</v>
      </c>
      <c r="AB119" s="16">
        <f xml:space="preserve"> SUMIFS( 'FS Semi'!$J119:$CV119, 'FS Semi'!$J$2:$CV$2, 'FS Ann'!AB$2)</f>
        <v>18869.053669515644</v>
      </c>
      <c r="AC119" s="16">
        <f xml:space="preserve"> SUMIFS( 'FS Semi'!$J119:$CV119, 'FS Semi'!$J$2:$CV$2, 'FS Ann'!AC$2)</f>
        <v>-2.5461520346652833E-2</v>
      </c>
      <c r="AD119" s="16">
        <f xml:space="preserve"> SUMIFS( 'FS Semi'!$J119:$CV119, 'FS Semi'!$J$2:$CV$2, 'FS Ann'!AD$2)</f>
        <v>-2.5461520346652833E-2</v>
      </c>
      <c r="AE119" s="16">
        <f xml:space="preserve"> SUMIFS( 'FS Semi'!$J119:$CV119, 'FS Semi'!$J$2:$CV$2, 'FS Ann'!AE$2)</f>
        <v>-2.5461520346652833E-2</v>
      </c>
      <c r="AF119" s="16">
        <f xml:space="preserve"> SUMIFS( 'FS Semi'!$J119:$CV119, 'FS Semi'!$J$2:$CV$2, 'FS Ann'!AF$2)</f>
        <v>-2.5461520346652833E-2</v>
      </c>
      <c r="AG119" s="16">
        <f xml:space="preserve"> SUMIFS( 'FS Semi'!$J119:$CV119, 'FS Semi'!$J$2:$CV$2, 'FS Ann'!AG$2)</f>
        <v>-2.5461520346652833E-2</v>
      </c>
      <c r="AH119" s="16">
        <f xml:space="preserve"> SUMIFS( 'FS Semi'!$J119:$CV119, 'FS Semi'!$J$2:$CV$2, 'FS Ann'!AH$2)</f>
        <v>-2.5461520346652833E-2</v>
      </c>
      <c r="AI119" s="16">
        <f xml:space="preserve"> SUMIFS( 'FS Semi'!$J119:$CV119, 'FS Semi'!$J$2:$CV$2, 'FS Ann'!AI$2)</f>
        <v>-2.5461520346652833E-2</v>
      </c>
      <c r="AJ119" s="16">
        <f xml:space="preserve"> SUMIFS( 'FS Semi'!$J119:$CV119, 'FS Semi'!$J$2:$CV$2, 'FS Ann'!AJ$2)</f>
        <v>-2.5461520346652833E-2</v>
      </c>
      <c r="AK119" s="16">
        <f xml:space="preserve"> SUMIFS( 'FS Semi'!$J119:$CV119, 'FS Semi'!$J$2:$CV$2, 'FS Ann'!AK$2)</f>
        <v>-2.5461520346652833E-2</v>
      </c>
      <c r="AL119" s="16">
        <f xml:space="preserve"> SUMIFS( 'FS Semi'!$J119:$CV119, 'FS Semi'!$J$2:$CV$2, 'FS Ann'!AL$2)</f>
        <v>-2.5461520346652833E-2</v>
      </c>
      <c r="AM119" s="16">
        <f xml:space="preserve"> SUMIFS( 'FS Semi'!$J119:$CV119, 'FS Semi'!$J$2:$CV$2, 'FS Ann'!AM$2)</f>
        <v>-2.5461520346652833E-2</v>
      </c>
      <c r="AN119" s="16">
        <f xml:space="preserve"> SUMIFS( 'FS Semi'!$J119:$CV119, 'FS Semi'!$J$2:$CV$2, 'FS Ann'!AN$2)</f>
        <v>-2.5461520346652833E-2</v>
      </c>
      <c r="AO119" s="16">
        <f xml:space="preserve"> SUMIFS( 'FS Semi'!$J119:$CV119, 'FS Semi'!$J$2:$CV$2, 'FS Ann'!AO$2)</f>
        <v>-2.5461520346652833E-2</v>
      </c>
      <c r="AP119" s="16">
        <f xml:space="preserve"> SUMIFS( 'FS Semi'!$J119:$CV119, 'FS Semi'!$J$2:$CV$2, 'FS Ann'!AP$2)</f>
        <v>-2.5461520346652833E-2</v>
      </c>
      <c r="AQ119" s="16">
        <f xml:space="preserve"> SUMIFS( 'FS Semi'!$J119:$CV119, 'FS Semi'!$J$2:$CV$2, 'FS Ann'!AQ$2)</f>
        <v>-2.5461520346652833E-2</v>
      </c>
      <c r="AR119" s="16">
        <f xml:space="preserve"> SUMIFS( 'FS Semi'!$J119:$CV119, 'FS Semi'!$J$2:$CV$2, 'FS Ann'!AR$2)</f>
        <v>-2.5461520346652833E-2</v>
      </c>
      <c r="AS119" s="16">
        <f xml:space="preserve"> SUMIFS( 'FS Semi'!$J119:$CV119, 'FS Semi'!$J$2:$CV$2, 'FS Ann'!AS$2)</f>
        <v>-2.5461520346652833E-2</v>
      </c>
      <c r="AT119" s="16">
        <f xml:space="preserve"> SUMIFS( 'FS Semi'!$J119:$CV119, 'FS Semi'!$J$2:$CV$2, 'FS Ann'!AT$2)</f>
        <v>-2.5461520346652833E-2</v>
      </c>
      <c r="AU119" s="16">
        <f xml:space="preserve"> SUMIFS( 'FS Semi'!$J119:$CV119, 'FS Semi'!$J$2:$CV$2, 'FS Ann'!AU$2)</f>
        <v>-2.5461520346652833E-2</v>
      </c>
      <c r="AV119" s="16">
        <f xml:space="preserve"> SUMIFS( 'FS Semi'!$J119:$CV119, 'FS Semi'!$J$2:$CV$2, 'FS Ann'!AV$2)</f>
        <v>-2.5461520346652833E-2</v>
      </c>
      <c r="AW119" s="16">
        <f xml:space="preserve"> SUMIFS( 'FS Semi'!$J119:$CV119, 'FS Semi'!$J$2:$CV$2, 'FS Ann'!AW$2)</f>
        <v>-2.5461520346652833E-2</v>
      </c>
      <c r="AX119" s="16">
        <f xml:space="preserve"> SUMIFS( 'FS Semi'!$J119:$CV119, 'FS Semi'!$J$2:$CV$2, 'FS Ann'!AX$2)</f>
        <v>-2.5461520346652833E-2</v>
      </c>
      <c r="AY119" s="16">
        <f xml:space="preserve"> SUMIFS( 'FS Semi'!$J119:$CV119, 'FS Semi'!$J$2:$CV$2, 'FS Ann'!AY$2)</f>
        <v>-2.5461520346652833E-2</v>
      </c>
      <c r="AZ119" s="16">
        <f xml:space="preserve"> SUMIFS( 'FS Semi'!$J119:$CV119, 'FS Semi'!$J$2:$CV$2, 'FS Ann'!AZ$2)</f>
        <v>-2.5461520346652833E-2</v>
      </c>
      <c r="BA119" s="16">
        <f xml:space="preserve"> SUMIFS( 'FS Semi'!$J119:$CV119, 'FS Semi'!$J$2:$CV$2, 'FS Ann'!BA$2)</f>
        <v>-2.5461520346652833E-2</v>
      </c>
      <c r="BB119" s="16">
        <f xml:space="preserve"> SUMIFS( 'FS Semi'!$J119:$CV119, 'FS Semi'!$J$2:$CV$2, 'FS Ann'!BB$2)</f>
        <v>-2.5461520346652833E-2</v>
      </c>
    </row>
    <row r="120" spans="1:54" outlineLevel="2" x14ac:dyDescent="0.2">
      <c r="A120" s="1"/>
      <c r="B120" s="1"/>
      <c r="C120" s="19"/>
      <c r="D120" s="83"/>
      <c r="E120" s="16" t="str">
        <f xml:space="preserve"> 'FS Semi'!E120</f>
        <v>Senior debt balance - T2</v>
      </c>
      <c r="F120" s="16">
        <f xml:space="preserve"> 'FS Semi'!F120</f>
        <v>0</v>
      </c>
      <c r="G120" s="381" t="str">
        <f xml:space="preserve"> 'FS Semi'!G120</f>
        <v>$ 000s</v>
      </c>
      <c r="H120" s="16"/>
      <c r="I120" s="16"/>
      <c r="J120" s="16">
        <f xml:space="preserve"> SUMIFS( 'FS Semi'!$J120:$CV120, 'FS Semi'!$J$2:$CV$2, 'FS Ann'!J$2)</f>
        <v>0</v>
      </c>
      <c r="K120" s="16">
        <f xml:space="preserve"> SUMIFS( 'FS Semi'!$J120:$CV120, 'FS Semi'!$J$2:$CV$2, 'FS Ann'!K$2)</f>
        <v>48641.086087745876</v>
      </c>
      <c r="L120" s="16">
        <f xml:space="preserve"> SUMIFS( 'FS Semi'!$J120:$CV120, 'FS Semi'!$J$2:$CV$2, 'FS Ann'!L$2)</f>
        <v>125194.92613015344</v>
      </c>
      <c r="M120" s="16">
        <f xml:space="preserve"> SUMIFS( 'FS Semi'!$J120:$CV120, 'FS Semi'!$J$2:$CV$2, 'FS Ann'!M$2)</f>
        <v>117700.61196665274</v>
      </c>
      <c r="N120" s="16">
        <f xml:space="preserve"> SUMIFS( 'FS Semi'!$J120:$CV120, 'FS Semi'!$J$2:$CV$2, 'FS Ann'!N$2)</f>
        <v>110775.04981276403</v>
      </c>
      <c r="O120" s="16">
        <f xml:space="preserve"> SUMIFS( 'FS Semi'!$J120:$CV120, 'FS Semi'!$J$2:$CV$2, 'FS Ann'!O$2)</f>
        <v>103632.44669252292</v>
      </c>
      <c r="P120" s="16">
        <f xml:space="preserve"> SUMIFS( 'FS Semi'!$J120:$CV120, 'FS Semi'!$J$2:$CV$2, 'FS Ann'!P$2)</f>
        <v>96270.31754800085</v>
      </c>
      <c r="Q120" s="16">
        <f xml:space="preserve"> SUMIFS( 'FS Semi'!$J120:$CV120, 'FS Semi'!$J$2:$CV$2, 'FS Ann'!Q$2)</f>
        <v>88676.531590619605</v>
      </c>
      <c r="R120" s="16">
        <f xml:space="preserve"> SUMIFS( 'FS Semi'!$J120:$CV120, 'FS Semi'!$J$2:$CV$2, 'FS Ann'!R$2)</f>
        <v>81052.678030737021</v>
      </c>
      <c r="S120" s="16">
        <f xml:space="preserve"> SUMIFS( 'FS Semi'!$J120:$CV120, 'FS Semi'!$J$2:$CV$2, 'FS Ann'!S$2)</f>
        <v>73169.295924739374</v>
      </c>
      <c r="T120" s="16">
        <f xml:space="preserve"> SUMIFS( 'FS Semi'!$J120:$CV120, 'FS Semi'!$J$2:$CV$2, 'FS Ann'!T$2)</f>
        <v>65018.4634660866</v>
      </c>
      <c r="U120" s="16">
        <f xml:space="preserve"> SUMIFS( 'FS Semi'!$J120:$CV120, 'FS Semi'!$J$2:$CV$2, 'FS Ann'!U$2)</f>
        <v>56591.232502375169</v>
      </c>
      <c r="V120" s="16">
        <f xml:space="preserve"> SUMIFS( 'FS Semi'!$J120:$CV120, 'FS Semi'!$J$2:$CV$2, 'FS Ann'!V$2)</f>
        <v>47861.453531523759</v>
      </c>
      <c r="W120" s="16">
        <f xml:space="preserve"> SUMIFS( 'FS Semi'!$J120:$CV120, 'FS Semi'!$J$2:$CV$2, 'FS Ann'!W$2)</f>
        <v>38990.836364304349</v>
      </c>
      <c r="X120" s="16">
        <f xml:space="preserve"> SUMIFS( 'FS Semi'!$J120:$CV120, 'FS Semi'!$J$2:$CV$2, 'FS Ann'!X$2)</f>
        <v>29783.677983009326</v>
      </c>
      <c r="Y120" s="16">
        <f xml:space="preserve"> SUMIFS( 'FS Semi'!$J120:$CV120, 'FS Semi'!$J$2:$CV$2, 'FS Ann'!Y$2)</f>
        <v>20234.327998768505</v>
      </c>
      <c r="Z120" s="16">
        <f xml:space="preserve"> SUMIFS( 'FS Semi'!$J120:$CV120, 'FS Semi'!$J$2:$CV$2, 'FS Ann'!Z$2)</f>
        <v>10309.43308512052</v>
      </c>
      <c r="AA120" s="16">
        <f xml:space="preserve"> SUMIFS( 'FS Semi'!$J120:$CV120, 'FS Semi'!$J$2:$CV$2, 'FS Ann'!AA$2)</f>
        <v>2.1585050071735168E-3</v>
      </c>
      <c r="AB120" s="16">
        <f xml:space="preserve"> SUMIFS( 'FS Semi'!$J120:$CV120, 'FS Semi'!$J$2:$CV$2, 'FS Ann'!AB$2)</f>
        <v>2.1585050071735168E-3</v>
      </c>
      <c r="AC120" s="16">
        <f xml:space="preserve"> SUMIFS( 'FS Semi'!$J120:$CV120, 'FS Semi'!$J$2:$CV$2, 'FS Ann'!AC$2)</f>
        <v>2.1585050071735168E-3</v>
      </c>
      <c r="AD120" s="16">
        <f xml:space="preserve"> SUMIFS( 'FS Semi'!$J120:$CV120, 'FS Semi'!$J$2:$CV$2, 'FS Ann'!AD$2)</f>
        <v>2.1585050071735168E-3</v>
      </c>
      <c r="AE120" s="16">
        <f xml:space="preserve"> SUMIFS( 'FS Semi'!$J120:$CV120, 'FS Semi'!$J$2:$CV$2, 'FS Ann'!AE$2)</f>
        <v>2.1585050071735168E-3</v>
      </c>
      <c r="AF120" s="16">
        <f xml:space="preserve"> SUMIFS( 'FS Semi'!$J120:$CV120, 'FS Semi'!$J$2:$CV$2, 'FS Ann'!AF$2)</f>
        <v>2.1585050071735168E-3</v>
      </c>
      <c r="AG120" s="16">
        <f xml:space="preserve"> SUMIFS( 'FS Semi'!$J120:$CV120, 'FS Semi'!$J$2:$CV$2, 'FS Ann'!AG$2)</f>
        <v>2.1585050071735168E-3</v>
      </c>
      <c r="AH120" s="16">
        <f xml:space="preserve"> SUMIFS( 'FS Semi'!$J120:$CV120, 'FS Semi'!$J$2:$CV$2, 'FS Ann'!AH$2)</f>
        <v>2.1585050071735168E-3</v>
      </c>
      <c r="AI120" s="16">
        <f xml:space="preserve"> SUMIFS( 'FS Semi'!$J120:$CV120, 'FS Semi'!$J$2:$CV$2, 'FS Ann'!AI$2)</f>
        <v>2.1585050071735168E-3</v>
      </c>
      <c r="AJ120" s="16">
        <f xml:space="preserve"> SUMIFS( 'FS Semi'!$J120:$CV120, 'FS Semi'!$J$2:$CV$2, 'FS Ann'!AJ$2)</f>
        <v>2.1585050071735168E-3</v>
      </c>
      <c r="AK120" s="16">
        <f xml:space="preserve"> SUMIFS( 'FS Semi'!$J120:$CV120, 'FS Semi'!$J$2:$CV$2, 'FS Ann'!AK$2)</f>
        <v>2.1585050071735168E-3</v>
      </c>
      <c r="AL120" s="16">
        <f xml:space="preserve"> SUMIFS( 'FS Semi'!$J120:$CV120, 'FS Semi'!$J$2:$CV$2, 'FS Ann'!AL$2)</f>
        <v>2.1585050071735168E-3</v>
      </c>
      <c r="AM120" s="16">
        <f xml:space="preserve"> SUMIFS( 'FS Semi'!$J120:$CV120, 'FS Semi'!$J$2:$CV$2, 'FS Ann'!AM$2)</f>
        <v>2.1585050071735168E-3</v>
      </c>
      <c r="AN120" s="16">
        <f xml:space="preserve"> SUMIFS( 'FS Semi'!$J120:$CV120, 'FS Semi'!$J$2:$CV$2, 'FS Ann'!AN$2)</f>
        <v>2.1585050071735168E-3</v>
      </c>
      <c r="AO120" s="16">
        <f xml:space="preserve"> SUMIFS( 'FS Semi'!$J120:$CV120, 'FS Semi'!$J$2:$CV$2, 'FS Ann'!AO$2)</f>
        <v>2.1585050071735168E-3</v>
      </c>
      <c r="AP120" s="16">
        <f xml:space="preserve"> SUMIFS( 'FS Semi'!$J120:$CV120, 'FS Semi'!$J$2:$CV$2, 'FS Ann'!AP$2)</f>
        <v>2.1585050071735168E-3</v>
      </c>
      <c r="AQ120" s="16">
        <f xml:space="preserve"> SUMIFS( 'FS Semi'!$J120:$CV120, 'FS Semi'!$J$2:$CV$2, 'FS Ann'!AQ$2)</f>
        <v>2.1585050071735168E-3</v>
      </c>
      <c r="AR120" s="16">
        <f xml:space="preserve"> SUMIFS( 'FS Semi'!$J120:$CV120, 'FS Semi'!$J$2:$CV$2, 'FS Ann'!AR$2)</f>
        <v>2.1585050071735168E-3</v>
      </c>
      <c r="AS120" s="16">
        <f xml:space="preserve"> SUMIFS( 'FS Semi'!$J120:$CV120, 'FS Semi'!$J$2:$CV$2, 'FS Ann'!AS$2)</f>
        <v>2.1585050071735168E-3</v>
      </c>
      <c r="AT120" s="16">
        <f xml:space="preserve"> SUMIFS( 'FS Semi'!$J120:$CV120, 'FS Semi'!$J$2:$CV$2, 'FS Ann'!AT$2)</f>
        <v>2.1585050071735168E-3</v>
      </c>
      <c r="AU120" s="16">
        <f xml:space="preserve"> SUMIFS( 'FS Semi'!$J120:$CV120, 'FS Semi'!$J$2:$CV$2, 'FS Ann'!AU$2)</f>
        <v>2.1585050071735168E-3</v>
      </c>
      <c r="AV120" s="16">
        <f xml:space="preserve"> SUMIFS( 'FS Semi'!$J120:$CV120, 'FS Semi'!$J$2:$CV$2, 'FS Ann'!AV$2)</f>
        <v>2.1585050071735168E-3</v>
      </c>
      <c r="AW120" s="16">
        <f xml:space="preserve"> SUMIFS( 'FS Semi'!$J120:$CV120, 'FS Semi'!$J$2:$CV$2, 'FS Ann'!AW$2)</f>
        <v>2.1585050071735168E-3</v>
      </c>
      <c r="AX120" s="16">
        <f xml:space="preserve"> SUMIFS( 'FS Semi'!$J120:$CV120, 'FS Semi'!$J$2:$CV$2, 'FS Ann'!AX$2)</f>
        <v>2.1585050071735168E-3</v>
      </c>
      <c r="AY120" s="16">
        <f xml:space="preserve"> SUMIFS( 'FS Semi'!$J120:$CV120, 'FS Semi'!$J$2:$CV$2, 'FS Ann'!AY$2)</f>
        <v>2.1585050071735168E-3</v>
      </c>
      <c r="AZ120" s="16">
        <f xml:space="preserve"> SUMIFS( 'FS Semi'!$J120:$CV120, 'FS Semi'!$J$2:$CV$2, 'FS Ann'!AZ$2)</f>
        <v>2.1585050071735168E-3</v>
      </c>
      <c r="BA120" s="16">
        <f xml:space="preserve"> SUMIFS( 'FS Semi'!$J120:$CV120, 'FS Semi'!$J$2:$CV$2, 'FS Ann'!BA$2)</f>
        <v>2.1585050071735168E-3</v>
      </c>
      <c r="BB120" s="16">
        <f xml:space="preserve"> SUMIFS( 'FS Semi'!$J120:$CV120, 'FS Semi'!$J$2:$CV$2, 'FS Ann'!BB$2)</f>
        <v>2.1585050071735168E-3</v>
      </c>
    </row>
    <row r="121" spans="1:54" outlineLevel="2" x14ac:dyDescent="0.2">
      <c r="A121" s="1"/>
      <c r="B121" s="1"/>
      <c r="C121" s="19"/>
      <c r="D121" s="83"/>
      <c r="E121" s="16" t="str">
        <f xml:space="preserve"> 'FS Semi'!E121</f>
        <v>Standby debt - T1 balance</v>
      </c>
      <c r="F121" s="16">
        <f xml:space="preserve"> 'FS Semi'!F121</f>
        <v>0</v>
      </c>
      <c r="G121" s="381" t="str">
        <f xml:space="preserve"> 'FS Semi'!G121</f>
        <v>$ 000s</v>
      </c>
      <c r="H121" s="16"/>
      <c r="I121" s="16"/>
      <c r="J121" s="16">
        <f xml:space="preserve"> SUMIFS( 'FS Semi'!$J121:$CV121, 'FS Semi'!$J$2:$CV$2, 'FS Ann'!J$2)</f>
        <v>0</v>
      </c>
      <c r="K121" s="16">
        <f xml:space="preserve"> SUMIFS( 'FS Semi'!$J121:$CV121, 'FS Semi'!$J$2:$CV$2, 'FS Ann'!K$2)</f>
        <v>0</v>
      </c>
      <c r="L121" s="16">
        <f xml:space="preserve"> SUMIFS( 'FS Semi'!$J121:$CV121, 'FS Semi'!$J$2:$CV$2, 'FS Ann'!L$2)</f>
        <v>0</v>
      </c>
      <c r="M121" s="16">
        <f xml:space="preserve"> SUMIFS( 'FS Semi'!$J121:$CV121, 'FS Semi'!$J$2:$CV$2, 'FS Ann'!M$2)</f>
        <v>0</v>
      </c>
      <c r="N121" s="16">
        <f xml:space="preserve"> SUMIFS( 'FS Semi'!$J121:$CV121, 'FS Semi'!$J$2:$CV$2, 'FS Ann'!N$2)</f>
        <v>0</v>
      </c>
      <c r="O121" s="16">
        <f xml:space="preserve"> SUMIFS( 'FS Semi'!$J121:$CV121, 'FS Semi'!$J$2:$CV$2, 'FS Ann'!O$2)</f>
        <v>0</v>
      </c>
      <c r="P121" s="16">
        <f xml:space="preserve"> SUMIFS( 'FS Semi'!$J121:$CV121, 'FS Semi'!$J$2:$CV$2, 'FS Ann'!P$2)</f>
        <v>0</v>
      </c>
      <c r="Q121" s="16">
        <f xml:space="preserve"> SUMIFS( 'FS Semi'!$J121:$CV121, 'FS Semi'!$J$2:$CV$2, 'FS Ann'!Q$2)</f>
        <v>0</v>
      </c>
      <c r="R121" s="16">
        <f xml:space="preserve"> SUMIFS( 'FS Semi'!$J121:$CV121, 'FS Semi'!$J$2:$CV$2, 'FS Ann'!R$2)</f>
        <v>0</v>
      </c>
      <c r="S121" s="16">
        <f xml:space="preserve"> SUMIFS( 'FS Semi'!$J121:$CV121, 'FS Semi'!$J$2:$CV$2, 'FS Ann'!S$2)</f>
        <v>0</v>
      </c>
      <c r="T121" s="16">
        <f xml:space="preserve"> SUMIFS( 'FS Semi'!$J121:$CV121, 'FS Semi'!$J$2:$CV$2, 'FS Ann'!T$2)</f>
        <v>0</v>
      </c>
      <c r="U121" s="16">
        <f xml:space="preserve"> SUMIFS( 'FS Semi'!$J121:$CV121, 'FS Semi'!$J$2:$CV$2, 'FS Ann'!U$2)</f>
        <v>0</v>
      </c>
      <c r="V121" s="16">
        <f xml:space="preserve"> SUMIFS( 'FS Semi'!$J121:$CV121, 'FS Semi'!$J$2:$CV$2, 'FS Ann'!V$2)</f>
        <v>0</v>
      </c>
      <c r="W121" s="16">
        <f xml:space="preserve"> SUMIFS( 'FS Semi'!$J121:$CV121, 'FS Semi'!$J$2:$CV$2, 'FS Ann'!W$2)</f>
        <v>0</v>
      </c>
      <c r="X121" s="16">
        <f xml:space="preserve"> SUMIFS( 'FS Semi'!$J121:$CV121, 'FS Semi'!$J$2:$CV$2, 'FS Ann'!X$2)</f>
        <v>0</v>
      </c>
      <c r="Y121" s="16">
        <f xml:space="preserve"> SUMIFS( 'FS Semi'!$J121:$CV121, 'FS Semi'!$J$2:$CV$2, 'FS Ann'!Y$2)</f>
        <v>0</v>
      </c>
      <c r="Z121" s="16">
        <f xml:space="preserve"> SUMIFS( 'FS Semi'!$J121:$CV121, 'FS Semi'!$J$2:$CV$2, 'FS Ann'!Z$2)</f>
        <v>0</v>
      </c>
      <c r="AA121" s="16">
        <f xml:space="preserve"> SUMIFS( 'FS Semi'!$J121:$CV121, 'FS Semi'!$J$2:$CV$2, 'FS Ann'!AA$2)</f>
        <v>0</v>
      </c>
      <c r="AB121" s="16">
        <f xml:space="preserve"> SUMIFS( 'FS Semi'!$J121:$CV121, 'FS Semi'!$J$2:$CV$2, 'FS Ann'!AB$2)</f>
        <v>0</v>
      </c>
      <c r="AC121" s="16">
        <f xml:space="preserve"> SUMIFS( 'FS Semi'!$J121:$CV121, 'FS Semi'!$J$2:$CV$2, 'FS Ann'!AC$2)</f>
        <v>0</v>
      </c>
      <c r="AD121" s="16">
        <f xml:space="preserve"> SUMIFS( 'FS Semi'!$J121:$CV121, 'FS Semi'!$J$2:$CV$2, 'FS Ann'!AD$2)</f>
        <v>0</v>
      </c>
      <c r="AE121" s="16">
        <f xml:space="preserve"> SUMIFS( 'FS Semi'!$J121:$CV121, 'FS Semi'!$J$2:$CV$2, 'FS Ann'!AE$2)</f>
        <v>0</v>
      </c>
      <c r="AF121" s="16">
        <f xml:space="preserve"> SUMIFS( 'FS Semi'!$J121:$CV121, 'FS Semi'!$J$2:$CV$2, 'FS Ann'!AF$2)</f>
        <v>0</v>
      </c>
      <c r="AG121" s="16">
        <f xml:space="preserve"> SUMIFS( 'FS Semi'!$J121:$CV121, 'FS Semi'!$J$2:$CV$2, 'FS Ann'!AG$2)</f>
        <v>0</v>
      </c>
      <c r="AH121" s="16">
        <f xml:space="preserve"> SUMIFS( 'FS Semi'!$J121:$CV121, 'FS Semi'!$J$2:$CV$2, 'FS Ann'!AH$2)</f>
        <v>0</v>
      </c>
      <c r="AI121" s="16">
        <f xml:space="preserve"> SUMIFS( 'FS Semi'!$J121:$CV121, 'FS Semi'!$J$2:$CV$2, 'FS Ann'!AI$2)</f>
        <v>0</v>
      </c>
      <c r="AJ121" s="16">
        <f xml:space="preserve"> SUMIFS( 'FS Semi'!$J121:$CV121, 'FS Semi'!$J$2:$CV$2, 'FS Ann'!AJ$2)</f>
        <v>0</v>
      </c>
      <c r="AK121" s="16">
        <f xml:space="preserve"> SUMIFS( 'FS Semi'!$J121:$CV121, 'FS Semi'!$J$2:$CV$2, 'FS Ann'!AK$2)</f>
        <v>0</v>
      </c>
      <c r="AL121" s="16">
        <f xml:space="preserve"> SUMIFS( 'FS Semi'!$J121:$CV121, 'FS Semi'!$J$2:$CV$2, 'FS Ann'!AL$2)</f>
        <v>0</v>
      </c>
      <c r="AM121" s="16">
        <f xml:space="preserve"> SUMIFS( 'FS Semi'!$J121:$CV121, 'FS Semi'!$J$2:$CV$2, 'FS Ann'!AM$2)</f>
        <v>0</v>
      </c>
      <c r="AN121" s="16">
        <f xml:space="preserve"> SUMIFS( 'FS Semi'!$J121:$CV121, 'FS Semi'!$J$2:$CV$2, 'FS Ann'!AN$2)</f>
        <v>0</v>
      </c>
      <c r="AO121" s="16">
        <f xml:space="preserve"> SUMIFS( 'FS Semi'!$J121:$CV121, 'FS Semi'!$J$2:$CV$2, 'FS Ann'!AO$2)</f>
        <v>0</v>
      </c>
      <c r="AP121" s="16">
        <f xml:space="preserve"> SUMIFS( 'FS Semi'!$J121:$CV121, 'FS Semi'!$J$2:$CV$2, 'FS Ann'!AP$2)</f>
        <v>0</v>
      </c>
      <c r="AQ121" s="16">
        <f xml:space="preserve"> SUMIFS( 'FS Semi'!$J121:$CV121, 'FS Semi'!$J$2:$CV$2, 'FS Ann'!AQ$2)</f>
        <v>0</v>
      </c>
      <c r="AR121" s="16">
        <f xml:space="preserve"> SUMIFS( 'FS Semi'!$J121:$CV121, 'FS Semi'!$J$2:$CV$2, 'FS Ann'!AR$2)</f>
        <v>0</v>
      </c>
      <c r="AS121" s="16">
        <f xml:space="preserve"> SUMIFS( 'FS Semi'!$J121:$CV121, 'FS Semi'!$J$2:$CV$2, 'FS Ann'!AS$2)</f>
        <v>0</v>
      </c>
      <c r="AT121" s="16">
        <f xml:space="preserve"> SUMIFS( 'FS Semi'!$J121:$CV121, 'FS Semi'!$J$2:$CV$2, 'FS Ann'!AT$2)</f>
        <v>0</v>
      </c>
      <c r="AU121" s="16">
        <f xml:space="preserve"> SUMIFS( 'FS Semi'!$J121:$CV121, 'FS Semi'!$J$2:$CV$2, 'FS Ann'!AU$2)</f>
        <v>0</v>
      </c>
      <c r="AV121" s="16">
        <f xml:space="preserve"> SUMIFS( 'FS Semi'!$J121:$CV121, 'FS Semi'!$J$2:$CV$2, 'FS Ann'!AV$2)</f>
        <v>0</v>
      </c>
      <c r="AW121" s="16">
        <f xml:space="preserve"> SUMIFS( 'FS Semi'!$J121:$CV121, 'FS Semi'!$J$2:$CV$2, 'FS Ann'!AW$2)</f>
        <v>0</v>
      </c>
      <c r="AX121" s="16">
        <f xml:space="preserve"> SUMIFS( 'FS Semi'!$J121:$CV121, 'FS Semi'!$J$2:$CV$2, 'FS Ann'!AX$2)</f>
        <v>0</v>
      </c>
      <c r="AY121" s="16">
        <f xml:space="preserve"> SUMIFS( 'FS Semi'!$J121:$CV121, 'FS Semi'!$J$2:$CV$2, 'FS Ann'!AY$2)</f>
        <v>0</v>
      </c>
      <c r="AZ121" s="16">
        <f xml:space="preserve"> SUMIFS( 'FS Semi'!$J121:$CV121, 'FS Semi'!$J$2:$CV$2, 'FS Ann'!AZ$2)</f>
        <v>0</v>
      </c>
      <c r="BA121" s="16">
        <f xml:space="preserve"> SUMIFS( 'FS Semi'!$J121:$CV121, 'FS Semi'!$J$2:$CV$2, 'FS Ann'!BA$2)</f>
        <v>0</v>
      </c>
      <c r="BB121" s="16">
        <f xml:space="preserve"> SUMIFS( 'FS Semi'!$J121:$CV121, 'FS Semi'!$J$2:$CV$2, 'FS Ann'!BB$2)</f>
        <v>0</v>
      </c>
    </row>
    <row r="122" spans="1:54" outlineLevel="2" x14ac:dyDescent="0.2">
      <c r="A122" s="1"/>
      <c r="B122" s="1"/>
      <c r="C122" s="19"/>
      <c r="D122" s="83"/>
      <c r="E122" s="16" t="str">
        <f xml:space="preserve"> 'FS Semi'!E122</f>
        <v>Standby debt - T2 balance</v>
      </c>
      <c r="F122" s="16">
        <f xml:space="preserve"> 'FS Semi'!F122</f>
        <v>0</v>
      </c>
      <c r="G122" s="381" t="str">
        <f xml:space="preserve"> 'FS Semi'!G122</f>
        <v>$ 000s</v>
      </c>
      <c r="H122" s="16"/>
      <c r="I122" s="16"/>
      <c r="J122" s="16">
        <f xml:space="preserve"> SUMIFS( 'FS Semi'!$J122:$CV122, 'FS Semi'!$J$2:$CV$2, 'FS Ann'!J$2)</f>
        <v>0</v>
      </c>
      <c r="K122" s="16">
        <f xml:space="preserve"> SUMIFS( 'FS Semi'!$J122:$CV122, 'FS Semi'!$J$2:$CV$2, 'FS Ann'!K$2)</f>
        <v>0</v>
      </c>
      <c r="L122" s="16">
        <f xml:space="preserve"> SUMIFS( 'FS Semi'!$J122:$CV122, 'FS Semi'!$J$2:$CV$2, 'FS Ann'!L$2)</f>
        <v>0</v>
      </c>
      <c r="M122" s="16">
        <f xml:space="preserve"> SUMIFS( 'FS Semi'!$J122:$CV122, 'FS Semi'!$J$2:$CV$2, 'FS Ann'!M$2)</f>
        <v>0</v>
      </c>
      <c r="N122" s="16">
        <f xml:space="preserve"> SUMIFS( 'FS Semi'!$J122:$CV122, 'FS Semi'!$J$2:$CV$2, 'FS Ann'!N$2)</f>
        <v>0</v>
      </c>
      <c r="O122" s="16">
        <f xml:space="preserve"> SUMIFS( 'FS Semi'!$J122:$CV122, 'FS Semi'!$J$2:$CV$2, 'FS Ann'!O$2)</f>
        <v>0</v>
      </c>
      <c r="P122" s="16">
        <f xml:space="preserve"> SUMIFS( 'FS Semi'!$J122:$CV122, 'FS Semi'!$J$2:$CV$2, 'FS Ann'!P$2)</f>
        <v>0</v>
      </c>
      <c r="Q122" s="16">
        <f xml:space="preserve"> SUMIFS( 'FS Semi'!$J122:$CV122, 'FS Semi'!$J$2:$CV$2, 'FS Ann'!Q$2)</f>
        <v>0</v>
      </c>
      <c r="R122" s="16">
        <f xml:space="preserve"> SUMIFS( 'FS Semi'!$J122:$CV122, 'FS Semi'!$J$2:$CV$2, 'FS Ann'!R$2)</f>
        <v>0</v>
      </c>
      <c r="S122" s="16">
        <f xml:space="preserve"> SUMIFS( 'FS Semi'!$J122:$CV122, 'FS Semi'!$J$2:$CV$2, 'FS Ann'!S$2)</f>
        <v>0</v>
      </c>
      <c r="T122" s="16">
        <f xml:space="preserve"> SUMIFS( 'FS Semi'!$J122:$CV122, 'FS Semi'!$J$2:$CV$2, 'FS Ann'!T$2)</f>
        <v>0</v>
      </c>
      <c r="U122" s="16">
        <f xml:space="preserve"> SUMIFS( 'FS Semi'!$J122:$CV122, 'FS Semi'!$J$2:$CV$2, 'FS Ann'!U$2)</f>
        <v>0</v>
      </c>
      <c r="V122" s="16">
        <f xml:space="preserve"> SUMIFS( 'FS Semi'!$J122:$CV122, 'FS Semi'!$J$2:$CV$2, 'FS Ann'!V$2)</f>
        <v>0</v>
      </c>
      <c r="W122" s="16">
        <f xml:space="preserve"> SUMIFS( 'FS Semi'!$J122:$CV122, 'FS Semi'!$J$2:$CV$2, 'FS Ann'!W$2)</f>
        <v>0</v>
      </c>
      <c r="X122" s="16">
        <f xml:space="preserve"> SUMIFS( 'FS Semi'!$J122:$CV122, 'FS Semi'!$J$2:$CV$2, 'FS Ann'!X$2)</f>
        <v>0</v>
      </c>
      <c r="Y122" s="16">
        <f xml:space="preserve"> SUMIFS( 'FS Semi'!$J122:$CV122, 'FS Semi'!$J$2:$CV$2, 'FS Ann'!Y$2)</f>
        <v>0</v>
      </c>
      <c r="Z122" s="16">
        <f xml:space="preserve"> SUMIFS( 'FS Semi'!$J122:$CV122, 'FS Semi'!$J$2:$CV$2, 'FS Ann'!Z$2)</f>
        <v>0</v>
      </c>
      <c r="AA122" s="16">
        <f xml:space="preserve"> SUMIFS( 'FS Semi'!$J122:$CV122, 'FS Semi'!$J$2:$CV$2, 'FS Ann'!AA$2)</f>
        <v>0</v>
      </c>
      <c r="AB122" s="16">
        <f xml:space="preserve"> SUMIFS( 'FS Semi'!$J122:$CV122, 'FS Semi'!$J$2:$CV$2, 'FS Ann'!AB$2)</f>
        <v>0</v>
      </c>
      <c r="AC122" s="16">
        <f xml:space="preserve"> SUMIFS( 'FS Semi'!$J122:$CV122, 'FS Semi'!$J$2:$CV$2, 'FS Ann'!AC$2)</f>
        <v>0</v>
      </c>
      <c r="AD122" s="16">
        <f xml:space="preserve"> SUMIFS( 'FS Semi'!$J122:$CV122, 'FS Semi'!$J$2:$CV$2, 'FS Ann'!AD$2)</f>
        <v>0</v>
      </c>
      <c r="AE122" s="16">
        <f xml:space="preserve"> SUMIFS( 'FS Semi'!$J122:$CV122, 'FS Semi'!$J$2:$CV$2, 'FS Ann'!AE$2)</f>
        <v>0</v>
      </c>
      <c r="AF122" s="16">
        <f xml:space="preserve"> SUMIFS( 'FS Semi'!$J122:$CV122, 'FS Semi'!$J$2:$CV$2, 'FS Ann'!AF$2)</f>
        <v>0</v>
      </c>
      <c r="AG122" s="16">
        <f xml:space="preserve"> SUMIFS( 'FS Semi'!$J122:$CV122, 'FS Semi'!$J$2:$CV$2, 'FS Ann'!AG$2)</f>
        <v>0</v>
      </c>
      <c r="AH122" s="16">
        <f xml:space="preserve"> SUMIFS( 'FS Semi'!$J122:$CV122, 'FS Semi'!$J$2:$CV$2, 'FS Ann'!AH$2)</f>
        <v>0</v>
      </c>
      <c r="AI122" s="16">
        <f xml:space="preserve"> SUMIFS( 'FS Semi'!$J122:$CV122, 'FS Semi'!$J$2:$CV$2, 'FS Ann'!AI$2)</f>
        <v>0</v>
      </c>
      <c r="AJ122" s="16">
        <f xml:space="preserve"> SUMIFS( 'FS Semi'!$J122:$CV122, 'FS Semi'!$J$2:$CV$2, 'FS Ann'!AJ$2)</f>
        <v>0</v>
      </c>
      <c r="AK122" s="16">
        <f xml:space="preserve"> SUMIFS( 'FS Semi'!$J122:$CV122, 'FS Semi'!$J$2:$CV$2, 'FS Ann'!AK$2)</f>
        <v>0</v>
      </c>
      <c r="AL122" s="16">
        <f xml:space="preserve"> SUMIFS( 'FS Semi'!$J122:$CV122, 'FS Semi'!$J$2:$CV$2, 'FS Ann'!AL$2)</f>
        <v>0</v>
      </c>
      <c r="AM122" s="16">
        <f xml:space="preserve"> SUMIFS( 'FS Semi'!$J122:$CV122, 'FS Semi'!$J$2:$CV$2, 'FS Ann'!AM$2)</f>
        <v>0</v>
      </c>
      <c r="AN122" s="16">
        <f xml:space="preserve"> SUMIFS( 'FS Semi'!$J122:$CV122, 'FS Semi'!$J$2:$CV$2, 'FS Ann'!AN$2)</f>
        <v>0</v>
      </c>
      <c r="AO122" s="16">
        <f xml:space="preserve"> SUMIFS( 'FS Semi'!$J122:$CV122, 'FS Semi'!$J$2:$CV$2, 'FS Ann'!AO$2)</f>
        <v>0</v>
      </c>
      <c r="AP122" s="16">
        <f xml:space="preserve"> SUMIFS( 'FS Semi'!$J122:$CV122, 'FS Semi'!$J$2:$CV$2, 'FS Ann'!AP$2)</f>
        <v>0</v>
      </c>
      <c r="AQ122" s="16">
        <f xml:space="preserve"> SUMIFS( 'FS Semi'!$J122:$CV122, 'FS Semi'!$J$2:$CV$2, 'FS Ann'!AQ$2)</f>
        <v>0</v>
      </c>
      <c r="AR122" s="16">
        <f xml:space="preserve"> SUMIFS( 'FS Semi'!$J122:$CV122, 'FS Semi'!$J$2:$CV$2, 'FS Ann'!AR$2)</f>
        <v>0</v>
      </c>
      <c r="AS122" s="16">
        <f xml:space="preserve"> SUMIFS( 'FS Semi'!$J122:$CV122, 'FS Semi'!$J$2:$CV$2, 'FS Ann'!AS$2)</f>
        <v>0</v>
      </c>
      <c r="AT122" s="16">
        <f xml:space="preserve"> SUMIFS( 'FS Semi'!$J122:$CV122, 'FS Semi'!$J$2:$CV$2, 'FS Ann'!AT$2)</f>
        <v>0</v>
      </c>
      <c r="AU122" s="16">
        <f xml:space="preserve"> SUMIFS( 'FS Semi'!$J122:$CV122, 'FS Semi'!$J$2:$CV$2, 'FS Ann'!AU$2)</f>
        <v>0</v>
      </c>
      <c r="AV122" s="16">
        <f xml:space="preserve"> SUMIFS( 'FS Semi'!$J122:$CV122, 'FS Semi'!$J$2:$CV$2, 'FS Ann'!AV$2)</f>
        <v>0</v>
      </c>
      <c r="AW122" s="16">
        <f xml:space="preserve"> SUMIFS( 'FS Semi'!$J122:$CV122, 'FS Semi'!$J$2:$CV$2, 'FS Ann'!AW$2)</f>
        <v>0</v>
      </c>
      <c r="AX122" s="16">
        <f xml:space="preserve"> SUMIFS( 'FS Semi'!$J122:$CV122, 'FS Semi'!$J$2:$CV$2, 'FS Ann'!AX$2)</f>
        <v>0</v>
      </c>
      <c r="AY122" s="16">
        <f xml:space="preserve"> SUMIFS( 'FS Semi'!$J122:$CV122, 'FS Semi'!$J$2:$CV$2, 'FS Ann'!AY$2)</f>
        <v>0</v>
      </c>
      <c r="AZ122" s="16">
        <f xml:space="preserve"> SUMIFS( 'FS Semi'!$J122:$CV122, 'FS Semi'!$J$2:$CV$2, 'FS Ann'!AZ$2)</f>
        <v>0</v>
      </c>
      <c r="BA122" s="16">
        <f xml:space="preserve"> SUMIFS( 'FS Semi'!$J122:$CV122, 'FS Semi'!$J$2:$CV$2, 'FS Ann'!BA$2)</f>
        <v>0</v>
      </c>
      <c r="BB122" s="16">
        <f xml:space="preserve"> SUMIFS( 'FS Semi'!$J122:$CV122, 'FS Semi'!$J$2:$CV$2, 'FS Ann'!BB$2)</f>
        <v>0</v>
      </c>
    </row>
    <row r="123" spans="1:54" outlineLevel="2" x14ac:dyDescent="0.2">
      <c r="A123" s="1"/>
      <c r="B123" s="1"/>
      <c r="C123" s="19"/>
      <c r="D123" s="83"/>
      <c r="E123" s="16" t="str">
        <f xml:space="preserve"> 'FS Semi'!E123</f>
        <v>Equity bridge balance</v>
      </c>
      <c r="F123" s="16">
        <f xml:space="preserve"> 'FS Semi'!F123</f>
        <v>0</v>
      </c>
      <c r="G123" s="381" t="str">
        <f xml:space="preserve"> 'FS Semi'!G123</f>
        <v>$ 000s</v>
      </c>
      <c r="H123" s="16"/>
      <c r="I123" s="16"/>
      <c r="J123" s="16">
        <f xml:space="preserve"> SUMIFS( 'FS Semi'!$J123:$CV123, 'FS Semi'!$J$2:$CV$2, 'FS Ann'!J$2)</f>
        <v>38555.01232134179</v>
      </c>
      <c r="K123" s="16">
        <f xml:space="preserve"> SUMIFS( 'FS Semi'!$J123:$CV123, 'FS Semi'!$J$2:$CV$2, 'FS Ann'!K$2)</f>
        <v>86318.253106861201</v>
      </c>
      <c r="L123" s="16">
        <f xml:space="preserve"> SUMIFS( 'FS Semi'!$J123:$CV123, 'FS Semi'!$J$2:$CV$2, 'FS Ann'!L$2)</f>
        <v>0</v>
      </c>
      <c r="M123" s="16">
        <f xml:space="preserve"> SUMIFS( 'FS Semi'!$J123:$CV123, 'FS Semi'!$J$2:$CV$2, 'FS Ann'!M$2)</f>
        <v>0</v>
      </c>
      <c r="N123" s="16">
        <f xml:space="preserve"> SUMIFS( 'FS Semi'!$J123:$CV123, 'FS Semi'!$J$2:$CV$2, 'FS Ann'!N$2)</f>
        <v>0</v>
      </c>
      <c r="O123" s="16">
        <f xml:space="preserve"> SUMIFS( 'FS Semi'!$J123:$CV123, 'FS Semi'!$J$2:$CV$2, 'FS Ann'!O$2)</f>
        <v>0</v>
      </c>
      <c r="P123" s="16">
        <f xml:space="preserve"> SUMIFS( 'FS Semi'!$J123:$CV123, 'FS Semi'!$J$2:$CV$2, 'FS Ann'!P$2)</f>
        <v>0</v>
      </c>
      <c r="Q123" s="16">
        <f xml:space="preserve"> SUMIFS( 'FS Semi'!$J123:$CV123, 'FS Semi'!$J$2:$CV$2, 'FS Ann'!Q$2)</f>
        <v>0</v>
      </c>
      <c r="R123" s="16">
        <f xml:space="preserve"> SUMIFS( 'FS Semi'!$J123:$CV123, 'FS Semi'!$J$2:$CV$2, 'FS Ann'!R$2)</f>
        <v>0</v>
      </c>
      <c r="S123" s="16">
        <f xml:space="preserve"> SUMIFS( 'FS Semi'!$J123:$CV123, 'FS Semi'!$J$2:$CV$2, 'FS Ann'!S$2)</f>
        <v>0</v>
      </c>
      <c r="T123" s="16">
        <f xml:space="preserve"> SUMIFS( 'FS Semi'!$J123:$CV123, 'FS Semi'!$J$2:$CV$2, 'FS Ann'!T$2)</f>
        <v>0</v>
      </c>
      <c r="U123" s="16">
        <f xml:space="preserve"> SUMIFS( 'FS Semi'!$J123:$CV123, 'FS Semi'!$J$2:$CV$2, 'FS Ann'!U$2)</f>
        <v>0</v>
      </c>
      <c r="V123" s="16">
        <f xml:space="preserve"> SUMIFS( 'FS Semi'!$J123:$CV123, 'FS Semi'!$J$2:$CV$2, 'FS Ann'!V$2)</f>
        <v>0</v>
      </c>
      <c r="W123" s="16">
        <f xml:space="preserve"> SUMIFS( 'FS Semi'!$J123:$CV123, 'FS Semi'!$J$2:$CV$2, 'FS Ann'!W$2)</f>
        <v>0</v>
      </c>
      <c r="X123" s="16">
        <f xml:space="preserve"> SUMIFS( 'FS Semi'!$J123:$CV123, 'FS Semi'!$J$2:$CV$2, 'FS Ann'!X$2)</f>
        <v>0</v>
      </c>
      <c r="Y123" s="16">
        <f xml:space="preserve"> SUMIFS( 'FS Semi'!$J123:$CV123, 'FS Semi'!$J$2:$CV$2, 'FS Ann'!Y$2)</f>
        <v>0</v>
      </c>
      <c r="Z123" s="16">
        <f xml:space="preserve"> SUMIFS( 'FS Semi'!$J123:$CV123, 'FS Semi'!$J$2:$CV$2, 'FS Ann'!Z$2)</f>
        <v>0</v>
      </c>
      <c r="AA123" s="16">
        <f xml:space="preserve"> SUMIFS( 'FS Semi'!$J123:$CV123, 'FS Semi'!$J$2:$CV$2, 'FS Ann'!AA$2)</f>
        <v>0</v>
      </c>
      <c r="AB123" s="16">
        <f xml:space="preserve"> SUMIFS( 'FS Semi'!$J123:$CV123, 'FS Semi'!$J$2:$CV$2, 'FS Ann'!AB$2)</f>
        <v>0</v>
      </c>
      <c r="AC123" s="16">
        <f xml:space="preserve"> SUMIFS( 'FS Semi'!$J123:$CV123, 'FS Semi'!$J$2:$CV$2, 'FS Ann'!AC$2)</f>
        <v>0</v>
      </c>
      <c r="AD123" s="16">
        <f xml:space="preserve"> SUMIFS( 'FS Semi'!$J123:$CV123, 'FS Semi'!$J$2:$CV$2, 'FS Ann'!AD$2)</f>
        <v>0</v>
      </c>
      <c r="AE123" s="16">
        <f xml:space="preserve"> SUMIFS( 'FS Semi'!$J123:$CV123, 'FS Semi'!$J$2:$CV$2, 'FS Ann'!AE$2)</f>
        <v>0</v>
      </c>
      <c r="AF123" s="16">
        <f xml:space="preserve"> SUMIFS( 'FS Semi'!$J123:$CV123, 'FS Semi'!$J$2:$CV$2, 'FS Ann'!AF$2)</f>
        <v>0</v>
      </c>
      <c r="AG123" s="16">
        <f xml:space="preserve"> SUMIFS( 'FS Semi'!$J123:$CV123, 'FS Semi'!$J$2:$CV$2, 'FS Ann'!AG$2)</f>
        <v>0</v>
      </c>
      <c r="AH123" s="16">
        <f xml:space="preserve"> SUMIFS( 'FS Semi'!$J123:$CV123, 'FS Semi'!$J$2:$CV$2, 'FS Ann'!AH$2)</f>
        <v>0</v>
      </c>
      <c r="AI123" s="16">
        <f xml:space="preserve"> SUMIFS( 'FS Semi'!$J123:$CV123, 'FS Semi'!$J$2:$CV$2, 'FS Ann'!AI$2)</f>
        <v>0</v>
      </c>
      <c r="AJ123" s="16">
        <f xml:space="preserve"> SUMIFS( 'FS Semi'!$J123:$CV123, 'FS Semi'!$J$2:$CV$2, 'FS Ann'!AJ$2)</f>
        <v>0</v>
      </c>
      <c r="AK123" s="16">
        <f xml:space="preserve"> SUMIFS( 'FS Semi'!$J123:$CV123, 'FS Semi'!$J$2:$CV$2, 'FS Ann'!AK$2)</f>
        <v>0</v>
      </c>
      <c r="AL123" s="16">
        <f xml:space="preserve"> SUMIFS( 'FS Semi'!$J123:$CV123, 'FS Semi'!$J$2:$CV$2, 'FS Ann'!AL$2)</f>
        <v>0</v>
      </c>
      <c r="AM123" s="16">
        <f xml:space="preserve"> SUMIFS( 'FS Semi'!$J123:$CV123, 'FS Semi'!$J$2:$CV$2, 'FS Ann'!AM$2)</f>
        <v>0</v>
      </c>
      <c r="AN123" s="16">
        <f xml:space="preserve"> SUMIFS( 'FS Semi'!$J123:$CV123, 'FS Semi'!$J$2:$CV$2, 'FS Ann'!AN$2)</f>
        <v>0</v>
      </c>
      <c r="AO123" s="16">
        <f xml:space="preserve"> SUMIFS( 'FS Semi'!$J123:$CV123, 'FS Semi'!$J$2:$CV$2, 'FS Ann'!AO$2)</f>
        <v>0</v>
      </c>
      <c r="AP123" s="16">
        <f xml:space="preserve"> SUMIFS( 'FS Semi'!$J123:$CV123, 'FS Semi'!$J$2:$CV$2, 'FS Ann'!AP$2)</f>
        <v>0</v>
      </c>
      <c r="AQ123" s="16">
        <f xml:space="preserve"> SUMIFS( 'FS Semi'!$J123:$CV123, 'FS Semi'!$J$2:$CV$2, 'FS Ann'!AQ$2)</f>
        <v>0</v>
      </c>
      <c r="AR123" s="16">
        <f xml:space="preserve"> SUMIFS( 'FS Semi'!$J123:$CV123, 'FS Semi'!$J$2:$CV$2, 'FS Ann'!AR$2)</f>
        <v>0</v>
      </c>
      <c r="AS123" s="16">
        <f xml:space="preserve"> SUMIFS( 'FS Semi'!$J123:$CV123, 'FS Semi'!$J$2:$CV$2, 'FS Ann'!AS$2)</f>
        <v>0</v>
      </c>
      <c r="AT123" s="16">
        <f xml:space="preserve"> SUMIFS( 'FS Semi'!$J123:$CV123, 'FS Semi'!$J$2:$CV$2, 'FS Ann'!AT$2)</f>
        <v>0</v>
      </c>
      <c r="AU123" s="16">
        <f xml:space="preserve"> SUMIFS( 'FS Semi'!$J123:$CV123, 'FS Semi'!$J$2:$CV$2, 'FS Ann'!AU$2)</f>
        <v>0</v>
      </c>
      <c r="AV123" s="16">
        <f xml:space="preserve"> SUMIFS( 'FS Semi'!$J123:$CV123, 'FS Semi'!$J$2:$CV$2, 'FS Ann'!AV$2)</f>
        <v>0</v>
      </c>
      <c r="AW123" s="16">
        <f xml:space="preserve"> SUMIFS( 'FS Semi'!$J123:$CV123, 'FS Semi'!$J$2:$CV$2, 'FS Ann'!AW$2)</f>
        <v>0</v>
      </c>
      <c r="AX123" s="16">
        <f xml:space="preserve"> SUMIFS( 'FS Semi'!$J123:$CV123, 'FS Semi'!$J$2:$CV$2, 'FS Ann'!AX$2)</f>
        <v>0</v>
      </c>
      <c r="AY123" s="16">
        <f xml:space="preserve"> SUMIFS( 'FS Semi'!$J123:$CV123, 'FS Semi'!$J$2:$CV$2, 'FS Ann'!AY$2)</f>
        <v>0</v>
      </c>
      <c r="AZ123" s="16">
        <f xml:space="preserve"> SUMIFS( 'FS Semi'!$J123:$CV123, 'FS Semi'!$J$2:$CV$2, 'FS Ann'!AZ$2)</f>
        <v>0</v>
      </c>
      <c r="BA123" s="16">
        <f xml:space="preserve"> SUMIFS( 'FS Semi'!$J123:$CV123, 'FS Semi'!$J$2:$CV$2, 'FS Ann'!BA$2)</f>
        <v>0</v>
      </c>
      <c r="BB123" s="16">
        <f xml:space="preserve"> SUMIFS( 'FS Semi'!$J123:$CV123, 'FS Semi'!$J$2:$CV$2, 'FS Ann'!BB$2)</f>
        <v>0</v>
      </c>
    </row>
    <row r="124" spans="1:54" outlineLevel="2" x14ac:dyDescent="0.2">
      <c r="A124" s="1"/>
      <c r="B124" s="1"/>
      <c r="C124" s="19"/>
      <c r="D124" s="83"/>
      <c r="E124" s="16" t="str">
        <f xml:space="preserve"> 'FS Semi'!E124</f>
        <v>Shareholder loan balance</v>
      </c>
      <c r="F124" s="16">
        <f xml:space="preserve"> 'FS Semi'!F124</f>
        <v>0</v>
      </c>
      <c r="G124" s="381" t="str">
        <f xml:space="preserve"> 'FS Semi'!G124</f>
        <v>$ 000s</v>
      </c>
      <c r="H124" s="16"/>
      <c r="I124" s="16"/>
      <c r="J124" s="16">
        <f xml:space="preserve"> SUMIFS( 'FS Semi'!$J124:$CV124, 'FS Semi'!$J$2:$CV$2, 'FS Ann'!J$2)</f>
        <v>0</v>
      </c>
      <c r="K124" s="16">
        <f xml:space="preserve"> SUMIFS( 'FS Semi'!$J124:$CV124, 'FS Semi'!$J$2:$CV$2, 'FS Ann'!K$2)</f>
        <v>0</v>
      </c>
      <c r="L124" s="16">
        <f xml:space="preserve"> SUMIFS( 'FS Semi'!$J124:$CV124, 'FS Semi'!$J$2:$CV$2, 'FS Ann'!L$2)</f>
        <v>86318.253106861201</v>
      </c>
      <c r="M124" s="16">
        <f xml:space="preserve"> SUMIFS( 'FS Semi'!$J124:$CV124, 'FS Semi'!$J$2:$CV$2, 'FS Ann'!M$2)</f>
        <v>87312.182243400777</v>
      </c>
      <c r="N124" s="16">
        <f xml:space="preserve"> SUMIFS( 'FS Semi'!$J124:$CV124, 'FS Semi'!$J$2:$CV$2, 'FS Ann'!N$2)</f>
        <v>89015.457194694158</v>
      </c>
      <c r="O124" s="16">
        <f xml:space="preserve"> SUMIFS( 'FS Semi'!$J124:$CV124, 'FS Semi'!$J$2:$CV$2, 'FS Ann'!O$2)</f>
        <v>90995.088701463945</v>
      </c>
      <c r="P124" s="16">
        <f xml:space="preserve"> SUMIFS( 'FS Semi'!$J124:$CV124, 'FS Semi'!$J$2:$CV$2, 'FS Ann'!P$2)</f>
        <v>93249.754362541978</v>
      </c>
      <c r="Q124" s="16">
        <f xml:space="preserve"> SUMIFS( 'FS Semi'!$J124:$CV124, 'FS Semi'!$J$2:$CV$2, 'FS Ann'!Q$2)</f>
        <v>95877.825116988068</v>
      </c>
      <c r="R124" s="16">
        <f xml:space="preserve"> SUMIFS( 'FS Semi'!$J124:$CV124, 'FS Semi'!$J$2:$CV$2, 'FS Ann'!R$2)</f>
        <v>98884.301242578513</v>
      </c>
      <c r="S124" s="16">
        <f xml:space="preserve"> SUMIFS( 'FS Semi'!$J124:$CV124, 'FS Semi'!$J$2:$CV$2, 'FS Ann'!S$2)</f>
        <v>102329.93393908079</v>
      </c>
      <c r="T124" s="16">
        <f xml:space="preserve"> SUMIFS( 'FS Semi'!$J124:$CV124, 'FS Semi'!$J$2:$CV$2, 'FS Ann'!T$2)</f>
        <v>106234.59238082725</v>
      </c>
      <c r="U124" s="16">
        <f xml:space="preserve"> SUMIFS( 'FS Semi'!$J124:$CV124, 'FS Semi'!$J$2:$CV$2, 'FS Ann'!U$2)</f>
        <v>110717.47804403142</v>
      </c>
      <c r="V124" s="16">
        <f xml:space="preserve"> SUMIFS( 'FS Semi'!$J124:$CV124, 'FS Semi'!$J$2:$CV$2, 'FS Ann'!V$2)</f>
        <v>115802.44240908351</v>
      </c>
      <c r="W124" s="16">
        <f xml:space="preserve"> SUMIFS( 'FS Semi'!$J124:$CV124, 'FS Semi'!$J$2:$CV$2, 'FS Ann'!W$2)</f>
        <v>121591.25837551881</v>
      </c>
      <c r="X124" s="16">
        <f xml:space="preserve"> SUMIFS( 'FS Semi'!$J124:$CV124, 'FS Semi'!$J$2:$CV$2, 'FS Ann'!X$2)</f>
        <v>128131.11839780939</v>
      </c>
      <c r="Y124" s="16">
        <f xml:space="preserve"> SUMIFS( 'FS Semi'!$J124:$CV124, 'FS Semi'!$J$2:$CV$2, 'FS Ann'!Y$2)</f>
        <v>135575.30013515614</v>
      </c>
      <c r="Z124" s="16">
        <f xml:space="preserve"> SUMIFS( 'FS Semi'!$J124:$CV124, 'FS Semi'!$J$2:$CV$2, 'FS Ann'!Z$2)</f>
        <v>143989.4920103694</v>
      </c>
      <c r="AA124" s="16">
        <f xml:space="preserve"> SUMIFS( 'FS Semi'!$J124:$CV124, 'FS Semi'!$J$2:$CV$2, 'FS Ann'!AA$2)</f>
        <v>153514.15300015948</v>
      </c>
      <c r="AB124" s="16">
        <f xml:space="preserve"> SUMIFS( 'FS Semi'!$J124:$CV124, 'FS Semi'!$J$2:$CV$2, 'FS Ann'!AB$2)</f>
        <v>164254.64492832238</v>
      </c>
      <c r="AC124" s="16">
        <f xml:space="preserve"> SUMIFS( 'FS Semi'!$J124:$CV124, 'FS Semi'!$J$2:$CV$2, 'FS Ann'!AC$2)</f>
        <v>166461.56984272745</v>
      </c>
      <c r="AD124" s="16">
        <f xml:space="preserve"> SUMIFS( 'FS Semi'!$J124:$CV124, 'FS Semi'!$J$2:$CV$2, 'FS Ann'!AD$2)</f>
        <v>159150.53070207225</v>
      </c>
      <c r="AE124" s="16">
        <f xml:space="preserve"> SUMIFS( 'FS Semi'!$J124:$CV124, 'FS Semi'!$J$2:$CV$2, 'FS Ann'!AE$2)</f>
        <v>151244.15464843449</v>
      </c>
      <c r="AF124" s="16">
        <f xml:space="preserve"> SUMIFS( 'FS Semi'!$J124:$CV124, 'FS Semi'!$J$2:$CV$2, 'FS Ann'!AF$2)</f>
        <v>139388.03567530261</v>
      </c>
      <c r="AG124" s="16">
        <f xml:space="preserve"> SUMIFS( 'FS Semi'!$J124:$CV124, 'FS Semi'!$J$2:$CV$2, 'FS Ann'!AG$2)</f>
        <v>139388.03567530261</v>
      </c>
      <c r="AH124" s="16">
        <f xml:space="preserve"> SUMIFS( 'FS Semi'!$J124:$CV124, 'FS Semi'!$J$2:$CV$2, 'FS Ann'!AH$2)</f>
        <v>139388.03567530261</v>
      </c>
      <c r="AI124" s="16">
        <f xml:space="preserve"> SUMIFS( 'FS Semi'!$J124:$CV124, 'FS Semi'!$J$2:$CV$2, 'FS Ann'!AI$2)</f>
        <v>139388.03567530261</v>
      </c>
      <c r="AJ124" s="16">
        <f xml:space="preserve"> SUMIFS( 'FS Semi'!$J124:$CV124, 'FS Semi'!$J$2:$CV$2, 'FS Ann'!AJ$2)</f>
        <v>139388.03567530261</v>
      </c>
      <c r="AK124" s="16">
        <f xml:space="preserve"> SUMIFS( 'FS Semi'!$J124:$CV124, 'FS Semi'!$J$2:$CV$2, 'FS Ann'!AK$2)</f>
        <v>139388.03567530261</v>
      </c>
      <c r="AL124" s="16">
        <f xml:space="preserve"> SUMIFS( 'FS Semi'!$J124:$CV124, 'FS Semi'!$J$2:$CV$2, 'FS Ann'!AL$2)</f>
        <v>139388.03567530261</v>
      </c>
      <c r="AM124" s="16">
        <f xml:space="preserve"> SUMIFS( 'FS Semi'!$J124:$CV124, 'FS Semi'!$J$2:$CV$2, 'FS Ann'!AM$2)</f>
        <v>139388.03567530261</v>
      </c>
      <c r="AN124" s="16">
        <f xml:space="preserve"> SUMIFS( 'FS Semi'!$J124:$CV124, 'FS Semi'!$J$2:$CV$2, 'FS Ann'!AN$2)</f>
        <v>139388.03567530261</v>
      </c>
      <c r="AO124" s="16">
        <f xml:space="preserve"> SUMIFS( 'FS Semi'!$J124:$CV124, 'FS Semi'!$J$2:$CV$2, 'FS Ann'!AO$2)</f>
        <v>139388.03567530261</v>
      </c>
      <c r="AP124" s="16">
        <f xml:space="preserve"> SUMIFS( 'FS Semi'!$J124:$CV124, 'FS Semi'!$J$2:$CV$2, 'FS Ann'!AP$2)</f>
        <v>139388.03567530261</v>
      </c>
      <c r="AQ124" s="16">
        <f xml:space="preserve"> SUMIFS( 'FS Semi'!$J124:$CV124, 'FS Semi'!$J$2:$CV$2, 'FS Ann'!AQ$2)</f>
        <v>139388.03567530261</v>
      </c>
      <c r="AR124" s="16">
        <f xml:space="preserve"> SUMIFS( 'FS Semi'!$J124:$CV124, 'FS Semi'!$J$2:$CV$2, 'FS Ann'!AR$2)</f>
        <v>139388.03567530261</v>
      </c>
      <c r="AS124" s="16">
        <f xml:space="preserve"> SUMIFS( 'FS Semi'!$J124:$CV124, 'FS Semi'!$J$2:$CV$2, 'FS Ann'!AS$2)</f>
        <v>139388.03567530261</v>
      </c>
      <c r="AT124" s="16">
        <f xml:space="preserve"> SUMIFS( 'FS Semi'!$J124:$CV124, 'FS Semi'!$J$2:$CV$2, 'FS Ann'!AT$2)</f>
        <v>139388.03567530261</v>
      </c>
      <c r="AU124" s="16">
        <f xml:space="preserve"> SUMIFS( 'FS Semi'!$J124:$CV124, 'FS Semi'!$J$2:$CV$2, 'FS Ann'!AU$2)</f>
        <v>139388.03567530261</v>
      </c>
      <c r="AV124" s="16">
        <f xml:space="preserve"> SUMIFS( 'FS Semi'!$J124:$CV124, 'FS Semi'!$J$2:$CV$2, 'FS Ann'!AV$2)</f>
        <v>139388.03567530261</v>
      </c>
      <c r="AW124" s="16">
        <f xml:space="preserve"> SUMIFS( 'FS Semi'!$J124:$CV124, 'FS Semi'!$J$2:$CV$2, 'FS Ann'!AW$2)</f>
        <v>139388.03567530261</v>
      </c>
      <c r="AX124" s="16">
        <f xml:space="preserve"> SUMIFS( 'FS Semi'!$J124:$CV124, 'FS Semi'!$J$2:$CV$2, 'FS Ann'!AX$2)</f>
        <v>139388.03567530261</v>
      </c>
      <c r="AY124" s="16">
        <f xml:space="preserve"> SUMIFS( 'FS Semi'!$J124:$CV124, 'FS Semi'!$J$2:$CV$2, 'FS Ann'!AY$2)</f>
        <v>139388.03567530261</v>
      </c>
      <c r="AZ124" s="16">
        <f xml:space="preserve"> SUMIFS( 'FS Semi'!$J124:$CV124, 'FS Semi'!$J$2:$CV$2, 'FS Ann'!AZ$2)</f>
        <v>139388.03567530261</v>
      </c>
      <c r="BA124" s="16">
        <f xml:space="preserve"> SUMIFS( 'FS Semi'!$J124:$CV124, 'FS Semi'!$J$2:$CV$2, 'FS Ann'!BA$2)</f>
        <v>139388.03567530261</v>
      </c>
      <c r="BB124" s="16">
        <f xml:space="preserve"> SUMIFS( 'FS Semi'!$J124:$CV124, 'FS Semi'!$J$2:$CV$2, 'FS Ann'!BB$2)</f>
        <v>139388.03567530261</v>
      </c>
    </row>
    <row r="125" spans="1:54" outlineLevel="2" x14ac:dyDescent="0.2">
      <c r="A125" s="1"/>
      <c r="B125" s="1"/>
      <c r="C125" s="19"/>
      <c r="D125" s="83"/>
      <c r="E125" s="16" t="str">
        <f xml:space="preserve"> 'FS Semi'!E125</f>
        <v>Deferred tax liability balance</v>
      </c>
      <c r="F125" s="16">
        <f xml:space="preserve"> 'FS Semi'!F125</f>
        <v>0</v>
      </c>
      <c r="G125" s="381" t="str">
        <f xml:space="preserve"> 'FS Semi'!G125</f>
        <v>$ 000s</v>
      </c>
      <c r="H125" s="16"/>
      <c r="I125" s="16"/>
      <c r="J125" s="16">
        <f xml:space="preserve"> SUMIFS( 'FS Semi'!$J125:$CV125, 'FS Semi'!$J$2:$CV$2, 'FS Ann'!J$2)</f>
        <v>0</v>
      </c>
      <c r="K125" s="16">
        <f xml:space="preserve"> SUMIFS( 'FS Semi'!$J125:$CV125, 'FS Semi'!$J$2:$CV$2, 'FS Ann'!K$2)</f>
        <v>0</v>
      </c>
      <c r="L125" s="16">
        <f xml:space="preserve"> SUMIFS( 'FS Semi'!$J125:$CV125, 'FS Semi'!$J$2:$CV$2, 'FS Ann'!L$2)</f>
        <v>0</v>
      </c>
      <c r="M125" s="16">
        <f xml:space="preserve"> SUMIFS( 'FS Semi'!$J125:$CV125, 'FS Semi'!$J$2:$CV$2, 'FS Ann'!M$2)</f>
        <v>8909.4349285029202</v>
      </c>
      <c r="N125" s="16">
        <f xml:space="preserve"> SUMIFS( 'FS Semi'!$J125:$CV125, 'FS Semi'!$J$2:$CV$2, 'FS Ann'!N$2)</f>
        <v>15510.434724108314</v>
      </c>
      <c r="O125" s="16">
        <f xml:space="preserve"> SUMIFS( 'FS Semi'!$J125:$CV125, 'FS Semi'!$J$2:$CV$2, 'FS Ann'!O$2)</f>
        <v>20241.602062066711</v>
      </c>
      <c r="P125" s="16">
        <f xml:space="preserve"> SUMIFS( 'FS Semi'!$J125:$CV125, 'FS Semi'!$J$2:$CV$2, 'FS Ann'!P$2)</f>
        <v>23458.205109331044</v>
      </c>
      <c r="Q125" s="16">
        <f xml:space="preserve"> SUMIFS( 'FS Semi'!$J125:$CV125, 'FS Semi'!$J$2:$CV$2, 'FS Ann'!Q$2)</f>
        <v>25448.011081133183</v>
      </c>
      <c r="R125" s="16">
        <f xml:space="preserve"> SUMIFS( 'FS Semi'!$J125:$CV125, 'FS Semi'!$J$2:$CV$2, 'FS Ann'!R$2)</f>
        <v>26444.111421810943</v>
      </c>
      <c r="S125" s="16">
        <f xml:space="preserve"> SUMIFS( 'FS Semi'!$J125:$CV125, 'FS Semi'!$J$2:$CV$2, 'FS Ann'!S$2)</f>
        <v>26635.310201277956</v>
      </c>
      <c r="T125" s="16">
        <f xml:space="preserve"> SUMIFS( 'FS Semi'!$J125:$CV125, 'FS Semi'!$J$2:$CV$2, 'FS Ann'!T$2)</f>
        <v>26174.538716164268</v>
      </c>
      <c r="U125" s="16">
        <f xml:space="preserve"> SUMIFS( 'FS Semi'!$J125:$CV125, 'FS Semi'!$J$2:$CV$2, 'FS Ann'!U$2)</f>
        <v>25185.671316740212</v>
      </c>
      <c r="V125" s="16">
        <f xml:space="preserve"> SUMIFS( 'FS Semi'!$J125:$CV125, 'FS Semi'!$J$2:$CV$2, 'FS Ann'!V$2)</f>
        <v>23769.046226724757</v>
      </c>
      <c r="W125" s="16">
        <f xml:space="preserve"> SUMIFS( 'FS Semi'!$J125:$CV125, 'FS Semi'!$J$2:$CV$2, 'FS Ann'!W$2)</f>
        <v>22005.937407330264</v>
      </c>
      <c r="X125" s="16">
        <f xml:space="preserve"> SUMIFS( 'FS Semi'!$J125:$CV125, 'FS Semi'!$J$2:$CV$2, 'FS Ann'!X$2)</f>
        <v>19962.176767138753</v>
      </c>
      <c r="Y125" s="16">
        <f xml:space="preserve"> SUMIFS( 'FS Semi'!$J125:$CV125, 'FS Semi'!$J$2:$CV$2, 'FS Ann'!Y$2)</f>
        <v>17691.08815210166</v>
      </c>
      <c r="Z125" s="16">
        <f xml:space="preserve"> SUMIFS( 'FS Semi'!$J125:$CV125, 'FS Semi'!$J$2:$CV$2, 'FS Ann'!Z$2)</f>
        <v>15235.863877439642</v>
      </c>
      <c r="AA125" s="16">
        <f xml:space="preserve"> SUMIFS( 'FS Semi'!$J125:$CV125, 'FS Semi'!$J$2:$CV$2, 'FS Ann'!AA$2)</f>
        <v>12631.489718481438</v>
      </c>
      <c r="AB125" s="16">
        <f xml:space="preserve"> SUMIFS( 'FS Semi'!$J125:$CV125, 'FS Semi'!$J$2:$CV$2, 'FS Ann'!AB$2)</f>
        <v>9906.3041532433217</v>
      </c>
      <c r="AC125" s="16">
        <f xml:space="preserve"> SUMIFS( 'FS Semi'!$J125:$CV125, 'FS Semi'!$J$2:$CV$2, 'FS Ann'!AC$2)</f>
        <v>7083.2613489184751</v>
      </c>
      <c r="AD125" s="16">
        <f xml:space="preserve"> SUMIFS( 'FS Semi'!$J125:$CV125, 'FS Semi'!$J$2:$CV$2, 'FS Ann'!AD$2)</f>
        <v>4467.2547694279638</v>
      </c>
      <c r="AE125" s="16">
        <f xml:space="preserve"> SUMIFS( 'FS Semi'!$J125:$CV125, 'FS Semi'!$J$2:$CV$2, 'FS Ann'!AE$2)</f>
        <v>1787.0440553726503</v>
      </c>
      <c r="AF125" s="16">
        <f xml:space="preserve"> SUMIFS( 'FS Semi'!$J125:$CV125, 'FS Semi'!$J$2:$CV$2, 'FS Ann'!AF$2)</f>
        <v>-5.6843418860808015E-12</v>
      </c>
      <c r="AG125" s="16">
        <f xml:space="preserve"> SUMIFS( 'FS Semi'!$J125:$CV125, 'FS Semi'!$J$2:$CV$2, 'FS Ann'!AG$2)</f>
        <v>-5.6843418860808015E-12</v>
      </c>
      <c r="AH125" s="16">
        <f xml:space="preserve"> SUMIFS( 'FS Semi'!$J125:$CV125, 'FS Semi'!$J$2:$CV$2, 'FS Ann'!AH$2)</f>
        <v>-5.6843418860808015E-12</v>
      </c>
      <c r="AI125" s="16">
        <f xml:space="preserve"> SUMIFS( 'FS Semi'!$J125:$CV125, 'FS Semi'!$J$2:$CV$2, 'FS Ann'!AI$2)</f>
        <v>-5.6843418860808015E-12</v>
      </c>
      <c r="AJ125" s="16">
        <f xml:space="preserve"> SUMIFS( 'FS Semi'!$J125:$CV125, 'FS Semi'!$J$2:$CV$2, 'FS Ann'!AJ$2)</f>
        <v>-5.6843418860808015E-12</v>
      </c>
      <c r="AK125" s="16">
        <f xml:space="preserve"> SUMIFS( 'FS Semi'!$J125:$CV125, 'FS Semi'!$J$2:$CV$2, 'FS Ann'!AK$2)</f>
        <v>-5.6843418860808015E-12</v>
      </c>
      <c r="AL125" s="16">
        <f xml:space="preserve"> SUMIFS( 'FS Semi'!$J125:$CV125, 'FS Semi'!$J$2:$CV$2, 'FS Ann'!AL$2)</f>
        <v>-5.6843418860808015E-12</v>
      </c>
      <c r="AM125" s="16">
        <f xml:space="preserve"> SUMIFS( 'FS Semi'!$J125:$CV125, 'FS Semi'!$J$2:$CV$2, 'FS Ann'!AM$2)</f>
        <v>-5.6843418860808015E-12</v>
      </c>
      <c r="AN125" s="16">
        <f xml:space="preserve"> SUMIFS( 'FS Semi'!$J125:$CV125, 'FS Semi'!$J$2:$CV$2, 'FS Ann'!AN$2)</f>
        <v>-5.6843418860808015E-12</v>
      </c>
      <c r="AO125" s="16">
        <f xml:space="preserve"> SUMIFS( 'FS Semi'!$J125:$CV125, 'FS Semi'!$J$2:$CV$2, 'FS Ann'!AO$2)</f>
        <v>-5.6843418860808015E-12</v>
      </c>
      <c r="AP125" s="16">
        <f xml:space="preserve"> SUMIFS( 'FS Semi'!$J125:$CV125, 'FS Semi'!$J$2:$CV$2, 'FS Ann'!AP$2)</f>
        <v>-5.6843418860808015E-12</v>
      </c>
      <c r="AQ125" s="16">
        <f xml:space="preserve"> SUMIFS( 'FS Semi'!$J125:$CV125, 'FS Semi'!$J$2:$CV$2, 'FS Ann'!AQ$2)</f>
        <v>-5.6843418860808015E-12</v>
      </c>
      <c r="AR125" s="16">
        <f xml:space="preserve"> SUMIFS( 'FS Semi'!$J125:$CV125, 'FS Semi'!$J$2:$CV$2, 'FS Ann'!AR$2)</f>
        <v>-5.6843418860808015E-12</v>
      </c>
      <c r="AS125" s="16">
        <f xml:space="preserve"> SUMIFS( 'FS Semi'!$J125:$CV125, 'FS Semi'!$J$2:$CV$2, 'FS Ann'!AS$2)</f>
        <v>-5.6843418860808015E-12</v>
      </c>
      <c r="AT125" s="16">
        <f xml:space="preserve"> SUMIFS( 'FS Semi'!$J125:$CV125, 'FS Semi'!$J$2:$CV$2, 'FS Ann'!AT$2)</f>
        <v>-5.6843418860808015E-12</v>
      </c>
      <c r="AU125" s="16">
        <f xml:space="preserve"> SUMIFS( 'FS Semi'!$J125:$CV125, 'FS Semi'!$J$2:$CV$2, 'FS Ann'!AU$2)</f>
        <v>-5.6843418860808015E-12</v>
      </c>
      <c r="AV125" s="16">
        <f xml:space="preserve"> SUMIFS( 'FS Semi'!$J125:$CV125, 'FS Semi'!$J$2:$CV$2, 'FS Ann'!AV$2)</f>
        <v>-5.6843418860808015E-12</v>
      </c>
      <c r="AW125" s="16">
        <f xml:space="preserve"> SUMIFS( 'FS Semi'!$J125:$CV125, 'FS Semi'!$J$2:$CV$2, 'FS Ann'!AW$2)</f>
        <v>-5.6843418860808015E-12</v>
      </c>
      <c r="AX125" s="16">
        <f xml:space="preserve"> SUMIFS( 'FS Semi'!$J125:$CV125, 'FS Semi'!$J$2:$CV$2, 'FS Ann'!AX$2)</f>
        <v>-5.6843418860808015E-12</v>
      </c>
      <c r="AY125" s="16">
        <f xml:space="preserve"> SUMIFS( 'FS Semi'!$J125:$CV125, 'FS Semi'!$J$2:$CV$2, 'FS Ann'!AY$2)</f>
        <v>-5.6843418860808015E-12</v>
      </c>
      <c r="AZ125" s="16">
        <f xml:space="preserve"> SUMIFS( 'FS Semi'!$J125:$CV125, 'FS Semi'!$J$2:$CV$2, 'FS Ann'!AZ$2)</f>
        <v>-5.6843418860808015E-12</v>
      </c>
      <c r="BA125" s="16">
        <f xml:space="preserve"> SUMIFS( 'FS Semi'!$J125:$CV125, 'FS Semi'!$J$2:$CV$2, 'FS Ann'!BA$2)</f>
        <v>-5.6843418860808015E-12</v>
      </c>
      <c r="BB125" s="16">
        <f xml:space="preserve"> SUMIFS( 'FS Semi'!$J125:$CV125, 'FS Semi'!$J$2:$CV$2, 'FS Ann'!BB$2)</f>
        <v>-5.6843418860808015E-12</v>
      </c>
    </row>
    <row r="126" spans="1:54" outlineLevel="2" x14ac:dyDescent="0.2">
      <c r="A126" s="1"/>
      <c r="B126" s="1"/>
      <c r="C126" s="19"/>
      <c r="D126" s="83"/>
      <c r="E126" s="16" t="str">
        <f xml:space="preserve"> 'FS Semi'!E126</f>
        <v>Share capital balance</v>
      </c>
      <c r="F126" s="16">
        <f xml:space="preserve"> 'FS Semi'!F126</f>
        <v>0</v>
      </c>
      <c r="G126" s="381" t="str">
        <f xml:space="preserve"> 'FS Semi'!G126</f>
        <v>$ 000s</v>
      </c>
      <c r="H126" s="16"/>
      <c r="I126" s="16"/>
      <c r="J126" s="16">
        <f xml:space="preserve"> SUMIFS( 'FS Semi'!$J126:$CV126, 'FS Semi'!$J$2:$CV$2, 'FS Ann'!J$2)</f>
        <v>100</v>
      </c>
      <c r="K126" s="16">
        <f xml:space="preserve"> SUMIFS( 'FS Semi'!$J126:$CV126, 'FS Semi'!$J$2:$CV$2, 'FS Ann'!K$2)</f>
        <v>100</v>
      </c>
      <c r="L126" s="16">
        <f xml:space="preserve"> SUMIFS( 'FS Semi'!$J126:$CV126, 'FS Semi'!$J$2:$CV$2, 'FS Ann'!L$2)</f>
        <v>100</v>
      </c>
      <c r="M126" s="16">
        <f xml:space="preserve"> SUMIFS( 'FS Semi'!$J126:$CV126, 'FS Semi'!$J$2:$CV$2, 'FS Ann'!M$2)</f>
        <v>100</v>
      </c>
      <c r="N126" s="16">
        <f xml:space="preserve"> SUMIFS( 'FS Semi'!$J126:$CV126, 'FS Semi'!$J$2:$CV$2, 'FS Ann'!N$2)</f>
        <v>100</v>
      </c>
      <c r="O126" s="16">
        <f xml:space="preserve"> SUMIFS( 'FS Semi'!$J126:$CV126, 'FS Semi'!$J$2:$CV$2, 'FS Ann'!O$2)</f>
        <v>100</v>
      </c>
      <c r="P126" s="16">
        <f xml:space="preserve"> SUMIFS( 'FS Semi'!$J126:$CV126, 'FS Semi'!$J$2:$CV$2, 'FS Ann'!P$2)</f>
        <v>100</v>
      </c>
      <c r="Q126" s="16">
        <f xml:space="preserve"> SUMIFS( 'FS Semi'!$J126:$CV126, 'FS Semi'!$J$2:$CV$2, 'FS Ann'!Q$2)</f>
        <v>100</v>
      </c>
      <c r="R126" s="16">
        <f xml:space="preserve"> SUMIFS( 'FS Semi'!$J126:$CV126, 'FS Semi'!$J$2:$CV$2, 'FS Ann'!R$2)</f>
        <v>100</v>
      </c>
      <c r="S126" s="16">
        <f xml:space="preserve"> SUMIFS( 'FS Semi'!$J126:$CV126, 'FS Semi'!$J$2:$CV$2, 'FS Ann'!S$2)</f>
        <v>100</v>
      </c>
      <c r="T126" s="16">
        <f xml:space="preserve"> SUMIFS( 'FS Semi'!$J126:$CV126, 'FS Semi'!$J$2:$CV$2, 'FS Ann'!T$2)</f>
        <v>100</v>
      </c>
      <c r="U126" s="16">
        <f xml:space="preserve"> SUMIFS( 'FS Semi'!$J126:$CV126, 'FS Semi'!$J$2:$CV$2, 'FS Ann'!U$2)</f>
        <v>100</v>
      </c>
      <c r="V126" s="16">
        <f xml:space="preserve"> SUMIFS( 'FS Semi'!$J126:$CV126, 'FS Semi'!$J$2:$CV$2, 'FS Ann'!V$2)</f>
        <v>100</v>
      </c>
      <c r="W126" s="16">
        <f xml:space="preserve"> SUMIFS( 'FS Semi'!$J126:$CV126, 'FS Semi'!$J$2:$CV$2, 'FS Ann'!W$2)</f>
        <v>100</v>
      </c>
      <c r="X126" s="16">
        <f xml:space="preserve"> SUMIFS( 'FS Semi'!$J126:$CV126, 'FS Semi'!$J$2:$CV$2, 'FS Ann'!X$2)</f>
        <v>100</v>
      </c>
      <c r="Y126" s="16">
        <f xml:space="preserve"> SUMIFS( 'FS Semi'!$J126:$CV126, 'FS Semi'!$J$2:$CV$2, 'FS Ann'!Y$2)</f>
        <v>100</v>
      </c>
      <c r="Z126" s="16">
        <f xml:space="preserve"> SUMIFS( 'FS Semi'!$J126:$CV126, 'FS Semi'!$J$2:$CV$2, 'FS Ann'!Z$2)</f>
        <v>100</v>
      </c>
      <c r="AA126" s="16">
        <f xml:space="preserve"> SUMIFS( 'FS Semi'!$J126:$CV126, 'FS Semi'!$J$2:$CV$2, 'FS Ann'!AA$2)</f>
        <v>100</v>
      </c>
      <c r="AB126" s="16">
        <f xml:space="preserve"> SUMIFS( 'FS Semi'!$J126:$CV126, 'FS Semi'!$J$2:$CV$2, 'FS Ann'!AB$2)</f>
        <v>100</v>
      </c>
      <c r="AC126" s="16">
        <f xml:space="preserve"> SUMIFS( 'FS Semi'!$J126:$CV126, 'FS Semi'!$J$2:$CV$2, 'FS Ann'!AC$2)</f>
        <v>100</v>
      </c>
      <c r="AD126" s="16">
        <f xml:space="preserve"> SUMIFS( 'FS Semi'!$J126:$CV126, 'FS Semi'!$J$2:$CV$2, 'FS Ann'!AD$2)</f>
        <v>100</v>
      </c>
      <c r="AE126" s="16">
        <f xml:space="preserve"> SUMIFS( 'FS Semi'!$J126:$CV126, 'FS Semi'!$J$2:$CV$2, 'FS Ann'!AE$2)</f>
        <v>100</v>
      </c>
      <c r="AF126" s="16">
        <f xml:space="preserve"> SUMIFS( 'FS Semi'!$J126:$CV126, 'FS Semi'!$J$2:$CV$2, 'FS Ann'!AF$2)</f>
        <v>100</v>
      </c>
      <c r="AG126" s="16">
        <f xml:space="preserve"> SUMIFS( 'FS Semi'!$J126:$CV126, 'FS Semi'!$J$2:$CV$2, 'FS Ann'!AG$2)</f>
        <v>100</v>
      </c>
      <c r="AH126" s="16">
        <f xml:space="preserve"> SUMIFS( 'FS Semi'!$J126:$CV126, 'FS Semi'!$J$2:$CV$2, 'FS Ann'!AH$2)</f>
        <v>100</v>
      </c>
      <c r="AI126" s="16">
        <f xml:space="preserve"> SUMIFS( 'FS Semi'!$J126:$CV126, 'FS Semi'!$J$2:$CV$2, 'FS Ann'!AI$2)</f>
        <v>100</v>
      </c>
      <c r="AJ126" s="16">
        <f xml:space="preserve"> SUMIFS( 'FS Semi'!$J126:$CV126, 'FS Semi'!$J$2:$CV$2, 'FS Ann'!AJ$2)</f>
        <v>100</v>
      </c>
      <c r="AK126" s="16">
        <f xml:space="preserve"> SUMIFS( 'FS Semi'!$J126:$CV126, 'FS Semi'!$J$2:$CV$2, 'FS Ann'!AK$2)</f>
        <v>100</v>
      </c>
      <c r="AL126" s="16">
        <f xml:space="preserve"> SUMIFS( 'FS Semi'!$J126:$CV126, 'FS Semi'!$J$2:$CV$2, 'FS Ann'!AL$2)</f>
        <v>100</v>
      </c>
      <c r="AM126" s="16">
        <f xml:space="preserve"> SUMIFS( 'FS Semi'!$J126:$CV126, 'FS Semi'!$J$2:$CV$2, 'FS Ann'!AM$2)</f>
        <v>100</v>
      </c>
      <c r="AN126" s="16">
        <f xml:space="preserve"> SUMIFS( 'FS Semi'!$J126:$CV126, 'FS Semi'!$J$2:$CV$2, 'FS Ann'!AN$2)</f>
        <v>100</v>
      </c>
      <c r="AO126" s="16">
        <f xml:space="preserve"> SUMIFS( 'FS Semi'!$J126:$CV126, 'FS Semi'!$J$2:$CV$2, 'FS Ann'!AO$2)</f>
        <v>100</v>
      </c>
      <c r="AP126" s="16">
        <f xml:space="preserve"> SUMIFS( 'FS Semi'!$J126:$CV126, 'FS Semi'!$J$2:$CV$2, 'FS Ann'!AP$2)</f>
        <v>100</v>
      </c>
      <c r="AQ126" s="16">
        <f xml:space="preserve"> SUMIFS( 'FS Semi'!$J126:$CV126, 'FS Semi'!$J$2:$CV$2, 'FS Ann'!AQ$2)</f>
        <v>100</v>
      </c>
      <c r="AR126" s="16">
        <f xml:space="preserve"> SUMIFS( 'FS Semi'!$J126:$CV126, 'FS Semi'!$J$2:$CV$2, 'FS Ann'!AR$2)</f>
        <v>100</v>
      </c>
      <c r="AS126" s="16">
        <f xml:space="preserve"> SUMIFS( 'FS Semi'!$J126:$CV126, 'FS Semi'!$J$2:$CV$2, 'FS Ann'!AS$2)</f>
        <v>100</v>
      </c>
      <c r="AT126" s="16">
        <f xml:space="preserve"> SUMIFS( 'FS Semi'!$J126:$CV126, 'FS Semi'!$J$2:$CV$2, 'FS Ann'!AT$2)</f>
        <v>100</v>
      </c>
      <c r="AU126" s="16">
        <f xml:space="preserve"> SUMIFS( 'FS Semi'!$J126:$CV126, 'FS Semi'!$J$2:$CV$2, 'FS Ann'!AU$2)</f>
        <v>100</v>
      </c>
      <c r="AV126" s="16">
        <f xml:space="preserve"> SUMIFS( 'FS Semi'!$J126:$CV126, 'FS Semi'!$J$2:$CV$2, 'FS Ann'!AV$2)</f>
        <v>100</v>
      </c>
      <c r="AW126" s="16">
        <f xml:space="preserve"> SUMIFS( 'FS Semi'!$J126:$CV126, 'FS Semi'!$J$2:$CV$2, 'FS Ann'!AW$2)</f>
        <v>100</v>
      </c>
      <c r="AX126" s="16">
        <f xml:space="preserve"> SUMIFS( 'FS Semi'!$J126:$CV126, 'FS Semi'!$J$2:$CV$2, 'FS Ann'!AX$2)</f>
        <v>100</v>
      </c>
      <c r="AY126" s="16">
        <f xml:space="preserve"> SUMIFS( 'FS Semi'!$J126:$CV126, 'FS Semi'!$J$2:$CV$2, 'FS Ann'!AY$2)</f>
        <v>100</v>
      </c>
      <c r="AZ126" s="16">
        <f xml:space="preserve"> SUMIFS( 'FS Semi'!$J126:$CV126, 'FS Semi'!$J$2:$CV$2, 'FS Ann'!AZ$2)</f>
        <v>100</v>
      </c>
      <c r="BA126" s="16">
        <f xml:space="preserve"> SUMIFS( 'FS Semi'!$J126:$CV126, 'FS Semi'!$J$2:$CV$2, 'FS Ann'!BA$2)</f>
        <v>100</v>
      </c>
      <c r="BB126" s="16">
        <f xml:space="preserve"> SUMIFS( 'FS Semi'!$J126:$CV126, 'FS Semi'!$J$2:$CV$2, 'FS Ann'!BB$2)</f>
        <v>100</v>
      </c>
    </row>
    <row r="127" spans="1:54" outlineLevel="2" x14ac:dyDescent="0.2">
      <c r="A127" s="1"/>
      <c r="B127" s="1"/>
      <c r="C127" s="19"/>
      <c r="D127" s="83"/>
      <c r="E127" s="16" t="str">
        <f xml:space="preserve"> 'FS Semi'!E127</f>
        <v>Standby equity balance</v>
      </c>
      <c r="F127" s="16">
        <f xml:space="preserve"> 'FS Semi'!F127</f>
        <v>0</v>
      </c>
      <c r="G127" s="381" t="str">
        <f xml:space="preserve"> 'FS Semi'!G127</f>
        <v>$ 000s</v>
      </c>
      <c r="H127" s="16"/>
      <c r="I127" s="16"/>
      <c r="J127" s="16">
        <f xml:space="preserve"> SUMIFS( 'FS Semi'!$J127:$CV127, 'FS Semi'!$J$2:$CV$2, 'FS Ann'!J$2)</f>
        <v>0</v>
      </c>
      <c r="K127" s="16">
        <f xml:space="preserve"> SUMIFS( 'FS Semi'!$J127:$CV127, 'FS Semi'!$J$2:$CV$2, 'FS Ann'!K$2)</f>
        <v>0</v>
      </c>
      <c r="L127" s="16">
        <f xml:space="preserve"> SUMIFS( 'FS Semi'!$J127:$CV127, 'FS Semi'!$J$2:$CV$2, 'FS Ann'!L$2)</f>
        <v>0</v>
      </c>
      <c r="M127" s="16">
        <f xml:space="preserve"> SUMIFS( 'FS Semi'!$J127:$CV127, 'FS Semi'!$J$2:$CV$2, 'FS Ann'!M$2)</f>
        <v>0</v>
      </c>
      <c r="N127" s="16">
        <f xml:space="preserve"> SUMIFS( 'FS Semi'!$J127:$CV127, 'FS Semi'!$J$2:$CV$2, 'FS Ann'!N$2)</f>
        <v>0</v>
      </c>
      <c r="O127" s="16">
        <f xml:space="preserve"> SUMIFS( 'FS Semi'!$J127:$CV127, 'FS Semi'!$J$2:$CV$2, 'FS Ann'!O$2)</f>
        <v>0</v>
      </c>
      <c r="P127" s="16">
        <f xml:space="preserve"> SUMIFS( 'FS Semi'!$J127:$CV127, 'FS Semi'!$J$2:$CV$2, 'FS Ann'!P$2)</f>
        <v>0</v>
      </c>
      <c r="Q127" s="16">
        <f xml:space="preserve"> SUMIFS( 'FS Semi'!$J127:$CV127, 'FS Semi'!$J$2:$CV$2, 'FS Ann'!Q$2)</f>
        <v>0</v>
      </c>
      <c r="R127" s="16">
        <f xml:space="preserve"> SUMIFS( 'FS Semi'!$J127:$CV127, 'FS Semi'!$J$2:$CV$2, 'FS Ann'!R$2)</f>
        <v>0</v>
      </c>
      <c r="S127" s="16">
        <f xml:space="preserve"> SUMIFS( 'FS Semi'!$J127:$CV127, 'FS Semi'!$J$2:$CV$2, 'FS Ann'!S$2)</f>
        <v>0</v>
      </c>
      <c r="T127" s="16">
        <f xml:space="preserve"> SUMIFS( 'FS Semi'!$J127:$CV127, 'FS Semi'!$J$2:$CV$2, 'FS Ann'!T$2)</f>
        <v>0</v>
      </c>
      <c r="U127" s="16">
        <f xml:space="preserve"> SUMIFS( 'FS Semi'!$J127:$CV127, 'FS Semi'!$J$2:$CV$2, 'FS Ann'!U$2)</f>
        <v>0</v>
      </c>
      <c r="V127" s="16">
        <f xml:space="preserve"> SUMIFS( 'FS Semi'!$J127:$CV127, 'FS Semi'!$J$2:$CV$2, 'FS Ann'!V$2)</f>
        <v>0</v>
      </c>
      <c r="W127" s="16">
        <f xml:space="preserve"> SUMIFS( 'FS Semi'!$J127:$CV127, 'FS Semi'!$J$2:$CV$2, 'FS Ann'!W$2)</f>
        <v>0</v>
      </c>
      <c r="X127" s="16">
        <f xml:space="preserve"> SUMIFS( 'FS Semi'!$J127:$CV127, 'FS Semi'!$J$2:$CV$2, 'FS Ann'!X$2)</f>
        <v>0</v>
      </c>
      <c r="Y127" s="16">
        <f xml:space="preserve"> SUMIFS( 'FS Semi'!$J127:$CV127, 'FS Semi'!$J$2:$CV$2, 'FS Ann'!Y$2)</f>
        <v>0</v>
      </c>
      <c r="Z127" s="16">
        <f xml:space="preserve"> SUMIFS( 'FS Semi'!$J127:$CV127, 'FS Semi'!$J$2:$CV$2, 'FS Ann'!Z$2)</f>
        <v>0</v>
      </c>
      <c r="AA127" s="16">
        <f xml:space="preserve"> SUMIFS( 'FS Semi'!$J127:$CV127, 'FS Semi'!$J$2:$CV$2, 'FS Ann'!AA$2)</f>
        <v>0</v>
      </c>
      <c r="AB127" s="16">
        <f xml:space="preserve"> SUMIFS( 'FS Semi'!$J127:$CV127, 'FS Semi'!$J$2:$CV$2, 'FS Ann'!AB$2)</f>
        <v>0</v>
      </c>
      <c r="AC127" s="16">
        <f xml:space="preserve"> SUMIFS( 'FS Semi'!$J127:$CV127, 'FS Semi'!$J$2:$CV$2, 'FS Ann'!AC$2)</f>
        <v>0</v>
      </c>
      <c r="AD127" s="16">
        <f xml:space="preserve"> SUMIFS( 'FS Semi'!$J127:$CV127, 'FS Semi'!$J$2:$CV$2, 'FS Ann'!AD$2)</f>
        <v>0</v>
      </c>
      <c r="AE127" s="16">
        <f xml:space="preserve"> SUMIFS( 'FS Semi'!$J127:$CV127, 'FS Semi'!$J$2:$CV$2, 'FS Ann'!AE$2)</f>
        <v>0</v>
      </c>
      <c r="AF127" s="16">
        <f xml:space="preserve"> SUMIFS( 'FS Semi'!$J127:$CV127, 'FS Semi'!$J$2:$CV$2, 'FS Ann'!AF$2)</f>
        <v>0</v>
      </c>
      <c r="AG127" s="16">
        <f xml:space="preserve"> SUMIFS( 'FS Semi'!$J127:$CV127, 'FS Semi'!$J$2:$CV$2, 'FS Ann'!AG$2)</f>
        <v>0</v>
      </c>
      <c r="AH127" s="16">
        <f xml:space="preserve"> SUMIFS( 'FS Semi'!$J127:$CV127, 'FS Semi'!$J$2:$CV$2, 'FS Ann'!AH$2)</f>
        <v>0</v>
      </c>
      <c r="AI127" s="16">
        <f xml:space="preserve"> SUMIFS( 'FS Semi'!$J127:$CV127, 'FS Semi'!$J$2:$CV$2, 'FS Ann'!AI$2)</f>
        <v>0</v>
      </c>
      <c r="AJ127" s="16">
        <f xml:space="preserve"> SUMIFS( 'FS Semi'!$J127:$CV127, 'FS Semi'!$J$2:$CV$2, 'FS Ann'!AJ$2)</f>
        <v>0</v>
      </c>
      <c r="AK127" s="16">
        <f xml:space="preserve"> SUMIFS( 'FS Semi'!$J127:$CV127, 'FS Semi'!$J$2:$CV$2, 'FS Ann'!AK$2)</f>
        <v>0</v>
      </c>
      <c r="AL127" s="16">
        <f xml:space="preserve"> SUMIFS( 'FS Semi'!$J127:$CV127, 'FS Semi'!$J$2:$CV$2, 'FS Ann'!AL$2)</f>
        <v>0</v>
      </c>
      <c r="AM127" s="16">
        <f xml:space="preserve"> SUMIFS( 'FS Semi'!$J127:$CV127, 'FS Semi'!$J$2:$CV$2, 'FS Ann'!AM$2)</f>
        <v>0</v>
      </c>
      <c r="AN127" s="16">
        <f xml:space="preserve"> SUMIFS( 'FS Semi'!$J127:$CV127, 'FS Semi'!$J$2:$CV$2, 'FS Ann'!AN$2)</f>
        <v>0</v>
      </c>
      <c r="AO127" s="16">
        <f xml:space="preserve"> SUMIFS( 'FS Semi'!$J127:$CV127, 'FS Semi'!$J$2:$CV$2, 'FS Ann'!AO$2)</f>
        <v>0</v>
      </c>
      <c r="AP127" s="16">
        <f xml:space="preserve"> SUMIFS( 'FS Semi'!$J127:$CV127, 'FS Semi'!$J$2:$CV$2, 'FS Ann'!AP$2)</f>
        <v>0</v>
      </c>
      <c r="AQ127" s="16">
        <f xml:space="preserve"> SUMIFS( 'FS Semi'!$J127:$CV127, 'FS Semi'!$J$2:$CV$2, 'FS Ann'!AQ$2)</f>
        <v>0</v>
      </c>
      <c r="AR127" s="16">
        <f xml:space="preserve"> SUMIFS( 'FS Semi'!$J127:$CV127, 'FS Semi'!$J$2:$CV$2, 'FS Ann'!AR$2)</f>
        <v>0</v>
      </c>
      <c r="AS127" s="16">
        <f xml:space="preserve"> SUMIFS( 'FS Semi'!$J127:$CV127, 'FS Semi'!$J$2:$CV$2, 'FS Ann'!AS$2)</f>
        <v>0</v>
      </c>
      <c r="AT127" s="16">
        <f xml:space="preserve"> SUMIFS( 'FS Semi'!$J127:$CV127, 'FS Semi'!$J$2:$CV$2, 'FS Ann'!AT$2)</f>
        <v>0</v>
      </c>
      <c r="AU127" s="16">
        <f xml:space="preserve"> SUMIFS( 'FS Semi'!$J127:$CV127, 'FS Semi'!$J$2:$CV$2, 'FS Ann'!AU$2)</f>
        <v>0</v>
      </c>
      <c r="AV127" s="16">
        <f xml:space="preserve"> SUMIFS( 'FS Semi'!$J127:$CV127, 'FS Semi'!$J$2:$CV$2, 'FS Ann'!AV$2)</f>
        <v>0</v>
      </c>
      <c r="AW127" s="16">
        <f xml:space="preserve"> SUMIFS( 'FS Semi'!$J127:$CV127, 'FS Semi'!$J$2:$CV$2, 'FS Ann'!AW$2)</f>
        <v>0</v>
      </c>
      <c r="AX127" s="16">
        <f xml:space="preserve"> SUMIFS( 'FS Semi'!$J127:$CV127, 'FS Semi'!$J$2:$CV$2, 'FS Ann'!AX$2)</f>
        <v>0</v>
      </c>
      <c r="AY127" s="16">
        <f xml:space="preserve"> SUMIFS( 'FS Semi'!$J127:$CV127, 'FS Semi'!$J$2:$CV$2, 'FS Ann'!AY$2)</f>
        <v>0</v>
      </c>
      <c r="AZ127" s="16">
        <f xml:space="preserve"> SUMIFS( 'FS Semi'!$J127:$CV127, 'FS Semi'!$J$2:$CV$2, 'FS Ann'!AZ$2)</f>
        <v>0</v>
      </c>
      <c r="BA127" s="16">
        <f xml:space="preserve"> SUMIFS( 'FS Semi'!$J127:$CV127, 'FS Semi'!$J$2:$CV$2, 'FS Ann'!BA$2)</f>
        <v>0</v>
      </c>
      <c r="BB127" s="16">
        <f xml:space="preserve"> SUMIFS( 'FS Semi'!$J127:$CV127, 'FS Semi'!$J$2:$CV$2, 'FS Ann'!BB$2)</f>
        <v>0</v>
      </c>
    </row>
    <row r="128" spans="1:54" outlineLevel="2" x14ac:dyDescent="0.2">
      <c r="A128" s="205"/>
      <c r="B128" s="205"/>
      <c r="C128" s="206"/>
      <c r="D128" s="209"/>
      <c r="E128" s="16" t="str">
        <f xml:space="preserve"> 'FS Semi'!E128</f>
        <v>Retained earnings balance</v>
      </c>
      <c r="F128" s="16">
        <f xml:space="preserve"> 'FS Semi'!F128</f>
        <v>0</v>
      </c>
      <c r="G128" s="381" t="str">
        <f xml:space="preserve"> 'FS Semi'!G128</f>
        <v>$ 000s</v>
      </c>
      <c r="H128" s="16"/>
      <c r="I128" s="16"/>
      <c r="J128" s="16">
        <f xml:space="preserve"> SUMIFS( 'FS Semi'!$J128:$CV128, 'FS Semi'!$J$2:$CV$2, 'FS Ann'!J$2)</f>
        <v>0</v>
      </c>
      <c r="K128" s="16">
        <f xml:space="preserve"> SUMIFS( 'FS Semi'!$J128:$CV128, 'FS Semi'!$J$2:$CV$2, 'FS Ann'!K$2)</f>
        <v>0</v>
      </c>
      <c r="L128" s="16">
        <f xml:space="preserve"> SUMIFS( 'FS Semi'!$J128:$CV128, 'FS Semi'!$J$2:$CV$2, 'FS Ann'!L$2)</f>
        <v>0</v>
      </c>
      <c r="M128" s="16">
        <f xml:space="preserve"> SUMIFS( 'FS Semi'!$J128:$CV128, 'FS Semi'!$J$2:$CV$2, 'FS Ann'!M$2)</f>
        <v>-15305.778928929521</v>
      </c>
      <c r="N128" s="16">
        <f xml:space="preserve"> SUMIFS( 'FS Semi'!$J128:$CV128, 'FS Semi'!$J$2:$CV$2, 'FS Ann'!N$2)</f>
        <v>-28128.540783168333</v>
      </c>
      <c r="O128" s="16">
        <f xml:space="preserve"> SUMIFS( 'FS Semi'!$J128:$CV128, 'FS Semi'!$J$2:$CV$2, 'FS Ann'!O$2)</f>
        <v>-38982.056472134114</v>
      </c>
      <c r="P128" s="16">
        <f xml:space="preserve"> SUMIFS( 'FS Semi'!$J128:$CV128, 'FS Semi'!$J$2:$CV$2, 'FS Ann'!P$2)</f>
        <v>-48267.191863067812</v>
      </c>
      <c r="Q128" s="16">
        <f xml:space="preserve"> SUMIFS( 'FS Semi'!$J128:$CV128, 'FS Semi'!$J$2:$CV$2, 'FS Ann'!Q$2)</f>
        <v>-56241.193866783629</v>
      </c>
      <c r="R128" s="16">
        <f xml:space="preserve"> SUMIFS( 'FS Semi'!$J128:$CV128, 'FS Semi'!$J$2:$CV$2, 'FS Ann'!R$2)</f>
        <v>-63578.831158658453</v>
      </c>
      <c r="S128" s="16">
        <f xml:space="preserve"> SUMIFS( 'FS Semi'!$J128:$CV128, 'FS Semi'!$J$2:$CV$2, 'FS Ann'!S$2)</f>
        <v>-70102.949697839431</v>
      </c>
      <c r="T128" s="16">
        <f xml:space="preserve"> SUMIFS( 'FS Semi'!$J128:$CV128, 'FS Semi'!$J$2:$CV$2, 'FS Ann'!T$2)</f>
        <v>-76022.336297173519</v>
      </c>
      <c r="U128" s="16">
        <f xml:space="preserve"> SUMIFS( 'FS Semi'!$J128:$CV128, 'FS Semi'!$J$2:$CV$2, 'FS Ann'!U$2)</f>
        <v>-81460.146046370981</v>
      </c>
      <c r="V128" s="16">
        <f xml:space="preserve"> SUMIFS( 'FS Semi'!$J128:$CV128, 'FS Semi'!$J$2:$CV$2, 'FS Ann'!V$2)</f>
        <v>-86586.22550729505</v>
      </c>
      <c r="W128" s="16">
        <f xml:space="preserve"> SUMIFS( 'FS Semi'!$J128:$CV128, 'FS Semi'!$J$2:$CV$2, 'FS Ann'!W$2)</f>
        <v>-91824.49817973678</v>
      </c>
      <c r="X128" s="16">
        <f xml:space="preserve"> SUMIFS( 'FS Semi'!$J128:$CV128, 'FS Semi'!$J$2:$CV$2, 'FS Ann'!X$2)</f>
        <v>-97002.312160012429</v>
      </c>
      <c r="Y128" s="16">
        <f xml:space="preserve"> SUMIFS( 'FS Semi'!$J128:$CV128, 'FS Semi'!$J$2:$CV$2, 'FS Ann'!Y$2)</f>
        <v>-102215.71012315898</v>
      </c>
      <c r="Z128" s="16">
        <f xml:space="preserve"> SUMIFS( 'FS Semi'!$J128:$CV128, 'FS Semi'!$J$2:$CV$2, 'FS Ann'!Z$2)</f>
        <v>-107603.73895144949</v>
      </c>
      <c r="AA128" s="16">
        <f xml:space="preserve"> SUMIFS( 'FS Semi'!$J128:$CV128, 'FS Semi'!$J$2:$CV$2, 'FS Ann'!AA$2)</f>
        <v>-113293.18176570901</v>
      </c>
      <c r="AB128" s="16">
        <f xml:space="preserve"> SUMIFS( 'FS Semi'!$J128:$CV128, 'FS Semi'!$J$2:$CV$2, 'FS Ann'!AB$2)</f>
        <v>-119439.32954478693</v>
      </c>
      <c r="AC128" s="16">
        <f xml:space="preserve"> SUMIFS( 'FS Semi'!$J128:$CV128, 'FS Semi'!$J$2:$CV$2, 'FS Ann'!AC$2)</f>
        <v>-125938.82895581868</v>
      </c>
      <c r="AD128" s="16">
        <f xml:space="preserve"> SUMIFS( 'FS Semi'!$J128:$CV128, 'FS Semi'!$J$2:$CV$2, 'FS Ann'!AD$2)</f>
        <v>-130818.14034196499</v>
      </c>
      <c r="AE128" s="16">
        <f xml:space="preserve"> SUMIFS( 'FS Semi'!$J128:$CV128, 'FS Semi'!$J$2:$CV$2, 'FS Ann'!AE$2)</f>
        <v>-135038.44174211932</v>
      </c>
      <c r="AF128" s="16">
        <f xml:space="preserve"> SUMIFS( 'FS Semi'!$J128:$CV128, 'FS Semi'!$J$2:$CV$2, 'FS Ann'!AF$2)</f>
        <v>-139488.01257311381</v>
      </c>
      <c r="AG128" s="16">
        <f xml:space="preserve"> SUMIFS( 'FS Semi'!$J128:$CV128, 'FS Semi'!$J$2:$CV$2, 'FS Ann'!AG$2)</f>
        <v>-139488.01257311381</v>
      </c>
      <c r="AH128" s="16">
        <f xml:space="preserve"> SUMIFS( 'FS Semi'!$J128:$CV128, 'FS Semi'!$J$2:$CV$2, 'FS Ann'!AH$2)</f>
        <v>-139488.01257311381</v>
      </c>
      <c r="AI128" s="16">
        <f xml:space="preserve"> SUMIFS( 'FS Semi'!$J128:$CV128, 'FS Semi'!$J$2:$CV$2, 'FS Ann'!AI$2)</f>
        <v>-139488.01257311381</v>
      </c>
      <c r="AJ128" s="16">
        <f xml:space="preserve"> SUMIFS( 'FS Semi'!$J128:$CV128, 'FS Semi'!$J$2:$CV$2, 'FS Ann'!AJ$2)</f>
        <v>-139488.01257311381</v>
      </c>
      <c r="AK128" s="16">
        <f xml:space="preserve"> SUMIFS( 'FS Semi'!$J128:$CV128, 'FS Semi'!$J$2:$CV$2, 'FS Ann'!AK$2)</f>
        <v>-139488.01257311381</v>
      </c>
      <c r="AL128" s="16">
        <f xml:space="preserve"> SUMIFS( 'FS Semi'!$J128:$CV128, 'FS Semi'!$J$2:$CV$2, 'FS Ann'!AL$2)</f>
        <v>-139488.01257311381</v>
      </c>
      <c r="AM128" s="16">
        <f xml:space="preserve"> SUMIFS( 'FS Semi'!$J128:$CV128, 'FS Semi'!$J$2:$CV$2, 'FS Ann'!AM$2)</f>
        <v>-139488.01257311381</v>
      </c>
      <c r="AN128" s="16">
        <f xml:space="preserve"> SUMIFS( 'FS Semi'!$J128:$CV128, 'FS Semi'!$J$2:$CV$2, 'FS Ann'!AN$2)</f>
        <v>-139488.01257311381</v>
      </c>
      <c r="AO128" s="16">
        <f xml:space="preserve"> SUMIFS( 'FS Semi'!$J128:$CV128, 'FS Semi'!$J$2:$CV$2, 'FS Ann'!AO$2)</f>
        <v>-139488.01257311381</v>
      </c>
      <c r="AP128" s="16">
        <f xml:space="preserve"> SUMIFS( 'FS Semi'!$J128:$CV128, 'FS Semi'!$J$2:$CV$2, 'FS Ann'!AP$2)</f>
        <v>-139488.01257311381</v>
      </c>
      <c r="AQ128" s="16">
        <f xml:space="preserve"> SUMIFS( 'FS Semi'!$J128:$CV128, 'FS Semi'!$J$2:$CV$2, 'FS Ann'!AQ$2)</f>
        <v>-139488.01257311381</v>
      </c>
      <c r="AR128" s="16">
        <f xml:space="preserve"> SUMIFS( 'FS Semi'!$J128:$CV128, 'FS Semi'!$J$2:$CV$2, 'FS Ann'!AR$2)</f>
        <v>-139488.01257311381</v>
      </c>
      <c r="AS128" s="16">
        <f xml:space="preserve"> SUMIFS( 'FS Semi'!$J128:$CV128, 'FS Semi'!$J$2:$CV$2, 'FS Ann'!AS$2)</f>
        <v>-139488.01257311381</v>
      </c>
      <c r="AT128" s="16">
        <f xml:space="preserve"> SUMIFS( 'FS Semi'!$J128:$CV128, 'FS Semi'!$J$2:$CV$2, 'FS Ann'!AT$2)</f>
        <v>-139488.01257311381</v>
      </c>
      <c r="AU128" s="16">
        <f xml:space="preserve"> SUMIFS( 'FS Semi'!$J128:$CV128, 'FS Semi'!$J$2:$CV$2, 'FS Ann'!AU$2)</f>
        <v>-139488.01257311381</v>
      </c>
      <c r="AV128" s="16">
        <f xml:space="preserve"> SUMIFS( 'FS Semi'!$J128:$CV128, 'FS Semi'!$J$2:$CV$2, 'FS Ann'!AV$2)</f>
        <v>-139488.01257311381</v>
      </c>
      <c r="AW128" s="16">
        <f xml:space="preserve"> SUMIFS( 'FS Semi'!$J128:$CV128, 'FS Semi'!$J$2:$CV$2, 'FS Ann'!AW$2)</f>
        <v>-139488.01257311381</v>
      </c>
      <c r="AX128" s="16">
        <f xml:space="preserve"> SUMIFS( 'FS Semi'!$J128:$CV128, 'FS Semi'!$J$2:$CV$2, 'FS Ann'!AX$2)</f>
        <v>-139488.01257311381</v>
      </c>
      <c r="AY128" s="16">
        <f xml:space="preserve"> SUMIFS( 'FS Semi'!$J128:$CV128, 'FS Semi'!$J$2:$CV$2, 'FS Ann'!AY$2)</f>
        <v>-139488.01257311381</v>
      </c>
      <c r="AZ128" s="16">
        <f xml:space="preserve"> SUMIFS( 'FS Semi'!$J128:$CV128, 'FS Semi'!$J$2:$CV$2, 'FS Ann'!AZ$2)</f>
        <v>-139488.01257311381</v>
      </c>
      <c r="BA128" s="16">
        <f xml:space="preserve"> SUMIFS( 'FS Semi'!$J128:$CV128, 'FS Semi'!$J$2:$CV$2, 'FS Ann'!BA$2)</f>
        <v>-139488.01257311381</v>
      </c>
      <c r="BB128" s="16">
        <f xml:space="preserve"> SUMIFS( 'FS Semi'!$J128:$CV128, 'FS Semi'!$J$2:$CV$2, 'FS Ann'!BB$2)</f>
        <v>-139488.01257311381</v>
      </c>
    </row>
    <row r="129" spans="1:54" outlineLevel="2" x14ac:dyDescent="0.2">
      <c r="A129" s="1"/>
      <c r="B129" s="1"/>
      <c r="C129" s="19"/>
      <c r="D129" s="83"/>
      <c r="E129" s="84" t="s">
        <v>59</v>
      </c>
      <c r="F129" s="84"/>
      <c r="G129" s="324" t="str">
        <f>SMU</f>
        <v>$ 000s</v>
      </c>
      <c r="H129" s="84"/>
      <c r="I129" s="84"/>
      <c r="J129" s="84">
        <f t="shared" ref="J129:BB129" si="39" xml:space="preserve"> SUM(J116:J128)</f>
        <v>38655.01232134179</v>
      </c>
      <c r="K129" s="84">
        <f t="shared" si="39"/>
        <v>183700.42528235295</v>
      </c>
      <c r="L129" s="84">
        <f t="shared" si="39"/>
        <v>336808.10536716809</v>
      </c>
      <c r="M129" s="84">
        <f t="shared" si="39"/>
        <v>319715.03736910562</v>
      </c>
      <c r="N129" s="84">
        <f t="shared" si="39"/>
        <v>303419.88438566437</v>
      </c>
      <c r="O129" s="84">
        <f t="shared" si="39"/>
        <v>287131.18729709421</v>
      </c>
      <c r="P129" s="84">
        <f t="shared" si="39"/>
        <v>270791.52454826876</v>
      </c>
      <c r="Q129" s="84">
        <f t="shared" si="39"/>
        <v>254527.96026205691</v>
      </c>
      <c r="R129" s="84">
        <f t="shared" si="39"/>
        <v>238228.41844297727</v>
      </c>
      <c r="S129" s="84">
        <f t="shared" si="39"/>
        <v>221934.99085351318</v>
      </c>
      <c r="T129" s="84">
        <f t="shared" si="39"/>
        <v>205591.41112152813</v>
      </c>
      <c r="U129" s="84">
        <f t="shared" si="39"/>
        <v>189322.74761621415</v>
      </c>
      <c r="V129" s="84">
        <f t="shared" si="39"/>
        <v>173018.42366615147</v>
      </c>
      <c r="W129" s="84">
        <f t="shared" si="39"/>
        <v>156719.85083942316</v>
      </c>
      <c r="X129" s="84">
        <f t="shared" si="39"/>
        <v>140371.96725375584</v>
      </c>
      <c r="Y129" s="84">
        <f t="shared" si="39"/>
        <v>124097.77826159158</v>
      </c>
      <c r="Z129" s="84">
        <f t="shared" si="39"/>
        <v>107788.246341772</v>
      </c>
      <c r="AA129" s="84">
        <f t="shared" si="39"/>
        <v>91484.080898567627</v>
      </c>
      <c r="AB129" s="84">
        <f t="shared" si="39"/>
        <v>75131.477623343395</v>
      </c>
      <c r="AC129" s="84">
        <f t="shared" si="39"/>
        <v>49183.716674668845</v>
      </c>
      <c r="AD129" s="84">
        <f t="shared" si="39"/>
        <v>34406.914323213947</v>
      </c>
      <c r="AE129" s="84">
        <f t="shared" si="39"/>
        <v>19630.17200530041</v>
      </c>
      <c r="AF129" s="84">
        <f t="shared" si="39"/>
        <v>-2.0082652918063104E-4</v>
      </c>
      <c r="AG129" s="84">
        <f t="shared" si="39"/>
        <v>-2.0082652918063104E-4</v>
      </c>
      <c r="AH129" s="84">
        <f t="shared" si="39"/>
        <v>-2.0082652918063104E-4</v>
      </c>
      <c r="AI129" s="84">
        <f t="shared" si="39"/>
        <v>-2.0082652918063104E-4</v>
      </c>
      <c r="AJ129" s="84">
        <f t="shared" si="39"/>
        <v>-2.0082652918063104E-4</v>
      </c>
      <c r="AK129" s="84">
        <f t="shared" si="39"/>
        <v>-2.0082652918063104E-4</v>
      </c>
      <c r="AL129" s="84">
        <f t="shared" si="39"/>
        <v>-2.0082652918063104E-4</v>
      </c>
      <c r="AM129" s="84">
        <f t="shared" si="39"/>
        <v>-2.0082652918063104E-4</v>
      </c>
      <c r="AN129" s="84">
        <f t="shared" si="39"/>
        <v>-2.0082652918063104E-4</v>
      </c>
      <c r="AO129" s="84">
        <f t="shared" si="39"/>
        <v>-2.0082652918063104E-4</v>
      </c>
      <c r="AP129" s="84">
        <f t="shared" si="39"/>
        <v>-2.0082652918063104E-4</v>
      </c>
      <c r="AQ129" s="84">
        <f t="shared" si="39"/>
        <v>-2.0082652918063104E-4</v>
      </c>
      <c r="AR129" s="84">
        <f t="shared" si="39"/>
        <v>-2.0082652918063104E-4</v>
      </c>
      <c r="AS129" s="84">
        <f t="shared" si="39"/>
        <v>-2.0082652918063104E-4</v>
      </c>
      <c r="AT129" s="84">
        <f t="shared" si="39"/>
        <v>-2.0082652918063104E-4</v>
      </c>
      <c r="AU129" s="84">
        <f t="shared" si="39"/>
        <v>-2.0082652918063104E-4</v>
      </c>
      <c r="AV129" s="84">
        <f t="shared" si="39"/>
        <v>-2.0082652918063104E-4</v>
      </c>
      <c r="AW129" s="84">
        <f t="shared" si="39"/>
        <v>-2.0082652918063104E-4</v>
      </c>
      <c r="AX129" s="84">
        <f t="shared" si="39"/>
        <v>-2.0082652918063104E-4</v>
      </c>
      <c r="AY129" s="84">
        <f t="shared" si="39"/>
        <v>-2.0082652918063104E-4</v>
      </c>
      <c r="AZ129" s="84">
        <f t="shared" si="39"/>
        <v>-2.0082652918063104E-4</v>
      </c>
      <c r="BA129" s="84">
        <f t="shared" si="39"/>
        <v>-2.0082652918063104E-4</v>
      </c>
      <c r="BB129" s="84">
        <f t="shared" si="39"/>
        <v>-2.0082652918063104E-4</v>
      </c>
    </row>
    <row r="130" spans="1:54" outlineLevel="2" x14ac:dyDescent="0.2">
      <c r="A130" s="1"/>
      <c r="B130" s="1"/>
      <c r="C130" s="19"/>
      <c r="D130" s="83"/>
      <c r="E130" s="16"/>
      <c r="F130" s="16"/>
      <c r="G130" s="381"/>
      <c r="H130" s="16"/>
      <c r="I130" s="16"/>
      <c r="J130" s="16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</row>
    <row r="131" spans="1:54" x14ac:dyDescent="0.2">
      <c r="A131" s="1"/>
      <c r="B131" s="1"/>
      <c r="C131" s="19"/>
      <c r="D131" s="83"/>
      <c r="E131" s="16"/>
      <c r="F131" s="16"/>
      <c r="G131" s="381"/>
      <c r="H131" s="16"/>
      <c r="I131" s="16"/>
      <c r="J131" s="16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</row>
    <row r="132" spans="1:54" x14ac:dyDescent="0.2">
      <c r="A132" s="1" t="s">
        <v>73</v>
      </c>
      <c r="B132" s="1"/>
      <c r="C132" s="19"/>
      <c r="D132" s="83"/>
      <c r="E132" s="16"/>
      <c r="F132" s="16"/>
      <c r="G132" s="381"/>
      <c r="H132" s="16"/>
      <c r="I132" s="16"/>
      <c r="J132" s="16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</row>
    <row r="133" spans="1:54" outlineLevel="1" x14ac:dyDescent="0.2">
      <c r="A133" s="1"/>
      <c r="B133" s="1"/>
      <c r="C133" s="19"/>
      <c r="D133" s="83"/>
      <c r="E133" s="16"/>
      <c r="F133" s="16"/>
      <c r="G133" s="381"/>
      <c r="H133" s="16"/>
      <c r="I133" s="16"/>
      <c r="J133" s="16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</row>
    <row r="134" spans="1:54" outlineLevel="1" x14ac:dyDescent="0.2">
      <c r="A134" s="1"/>
      <c r="B134" s="1"/>
      <c r="C134" s="19"/>
      <c r="D134" s="83"/>
      <c r="E134" s="151" t="str">
        <f t="shared" ref="E134:AJ134" si="40" xml:space="preserve"> E$114</f>
        <v>Total assets</v>
      </c>
      <c r="F134" s="151">
        <f t="shared" si="40"/>
        <v>0</v>
      </c>
      <c r="G134" s="31" t="str">
        <f t="shared" si="40"/>
        <v>$ 000s</v>
      </c>
      <c r="H134" s="151">
        <f t="shared" si="40"/>
        <v>0</v>
      </c>
      <c r="I134" s="151">
        <f t="shared" si="40"/>
        <v>0</v>
      </c>
      <c r="J134" s="151">
        <f t="shared" si="40"/>
        <v>38655.01232134179</v>
      </c>
      <c r="K134" s="151">
        <f t="shared" si="40"/>
        <v>183700.42528235298</v>
      </c>
      <c r="L134" s="151">
        <f t="shared" si="40"/>
        <v>336808.10536716814</v>
      </c>
      <c r="M134" s="151">
        <f t="shared" si="40"/>
        <v>319715.03736910567</v>
      </c>
      <c r="N134" s="151">
        <f t="shared" si="40"/>
        <v>303419.88438566448</v>
      </c>
      <c r="O134" s="151">
        <f t="shared" si="40"/>
        <v>287131.18729709421</v>
      </c>
      <c r="P134" s="151">
        <f t="shared" si="40"/>
        <v>270791.52454826876</v>
      </c>
      <c r="Q134" s="151">
        <f t="shared" si="40"/>
        <v>254527.96026205688</v>
      </c>
      <c r="R134" s="151">
        <f t="shared" si="40"/>
        <v>238228.41844297721</v>
      </c>
      <c r="S134" s="151">
        <f t="shared" si="40"/>
        <v>221934.99085351307</v>
      </c>
      <c r="T134" s="151">
        <f t="shared" si="40"/>
        <v>205591.41112152801</v>
      </c>
      <c r="U134" s="151">
        <f t="shared" si="40"/>
        <v>189322.74761621398</v>
      </c>
      <c r="V134" s="151">
        <f t="shared" si="40"/>
        <v>173018.42366615127</v>
      </c>
      <c r="W134" s="151">
        <f t="shared" si="40"/>
        <v>156719.85083942296</v>
      </c>
      <c r="X134" s="151">
        <f t="shared" si="40"/>
        <v>140371.9672537556</v>
      </c>
      <c r="Y134" s="151">
        <f t="shared" si="40"/>
        <v>124097.77826159133</v>
      </c>
      <c r="Z134" s="151">
        <f t="shared" si="40"/>
        <v>107788.2463417718</v>
      </c>
      <c r="AA134" s="151">
        <f t="shared" si="40"/>
        <v>91484.080898567394</v>
      </c>
      <c r="AB134" s="151">
        <f t="shared" si="40"/>
        <v>75131.477623343177</v>
      </c>
      <c r="AC134" s="151">
        <f t="shared" si="40"/>
        <v>49183.716674668598</v>
      </c>
      <c r="AD134" s="151">
        <f t="shared" si="40"/>
        <v>34406.914323213736</v>
      </c>
      <c r="AE134" s="151">
        <f t="shared" si="40"/>
        <v>19630.172005300225</v>
      </c>
      <c r="AF134" s="151">
        <f t="shared" si="40"/>
        <v>-2.0082675564481178E-4</v>
      </c>
      <c r="AG134" s="151">
        <f t="shared" si="40"/>
        <v>-2.0082675564481178E-4</v>
      </c>
      <c r="AH134" s="151">
        <f t="shared" si="40"/>
        <v>-2.0082675564481178E-4</v>
      </c>
      <c r="AI134" s="151">
        <f t="shared" si="40"/>
        <v>-2.0082675564481178E-4</v>
      </c>
      <c r="AJ134" s="151">
        <f t="shared" si="40"/>
        <v>-2.0082675564481178E-4</v>
      </c>
      <c r="AK134" s="151">
        <f t="shared" ref="AK134:BB134" si="41" xml:space="preserve"> AK$114</f>
        <v>-2.0082675564481178E-4</v>
      </c>
      <c r="AL134" s="151">
        <f t="shared" si="41"/>
        <v>-2.0082675564481178E-4</v>
      </c>
      <c r="AM134" s="151">
        <f t="shared" si="41"/>
        <v>-2.0082675564481178E-4</v>
      </c>
      <c r="AN134" s="151">
        <f t="shared" si="41"/>
        <v>-2.0082675564481178E-4</v>
      </c>
      <c r="AO134" s="151">
        <f t="shared" si="41"/>
        <v>-2.0082675564481178E-4</v>
      </c>
      <c r="AP134" s="151">
        <f t="shared" si="41"/>
        <v>-2.0082675564481178E-4</v>
      </c>
      <c r="AQ134" s="151">
        <f t="shared" si="41"/>
        <v>-2.0082675564481178E-4</v>
      </c>
      <c r="AR134" s="151">
        <f t="shared" si="41"/>
        <v>-2.0082675564481178E-4</v>
      </c>
      <c r="AS134" s="151">
        <f t="shared" si="41"/>
        <v>-2.0082675564481178E-4</v>
      </c>
      <c r="AT134" s="151">
        <f t="shared" si="41"/>
        <v>-2.0082675564481178E-4</v>
      </c>
      <c r="AU134" s="151">
        <f t="shared" si="41"/>
        <v>-2.0082675564481178E-4</v>
      </c>
      <c r="AV134" s="151">
        <f t="shared" si="41"/>
        <v>-2.0082675564481178E-4</v>
      </c>
      <c r="AW134" s="151">
        <f t="shared" si="41"/>
        <v>-2.0082675564481178E-4</v>
      </c>
      <c r="AX134" s="151">
        <f t="shared" si="41"/>
        <v>-2.0082675564481178E-4</v>
      </c>
      <c r="AY134" s="151">
        <f t="shared" si="41"/>
        <v>-2.0082675564481178E-4</v>
      </c>
      <c r="AZ134" s="151">
        <f t="shared" si="41"/>
        <v>-2.0082675564481178E-4</v>
      </c>
      <c r="BA134" s="151">
        <f t="shared" si="41"/>
        <v>-2.0082675564481178E-4</v>
      </c>
      <c r="BB134" s="151">
        <f t="shared" si="41"/>
        <v>-2.0082675564481178E-4</v>
      </c>
    </row>
    <row r="135" spans="1:54" outlineLevel="1" x14ac:dyDescent="0.2">
      <c r="A135" s="1"/>
      <c r="B135" s="1"/>
      <c r="C135" s="19"/>
      <c r="D135" s="83"/>
      <c r="E135" s="151" t="str">
        <f t="shared" ref="E135:AJ135" si="42" xml:space="preserve"> E$129</f>
        <v>Total liabilities</v>
      </c>
      <c r="F135" s="151">
        <f t="shared" si="42"/>
        <v>0</v>
      </c>
      <c r="G135" s="31" t="str">
        <f t="shared" si="42"/>
        <v>$ 000s</v>
      </c>
      <c r="H135" s="151">
        <f t="shared" si="42"/>
        <v>0</v>
      </c>
      <c r="I135" s="151">
        <f t="shared" si="42"/>
        <v>0</v>
      </c>
      <c r="J135" s="151">
        <f t="shared" si="42"/>
        <v>38655.01232134179</v>
      </c>
      <c r="K135" s="151">
        <f t="shared" si="42"/>
        <v>183700.42528235295</v>
      </c>
      <c r="L135" s="151">
        <f t="shared" si="42"/>
        <v>336808.10536716809</v>
      </c>
      <c r="M135" s="151">
        <f t="shared" si="42"/>
        <v>319715.03736910562</v>
      </c>
      <c r="N135" s="151">
        <f t="shared" si="42"/>
        <v>303419.88438566437</v>
      </c>
      <c r="O135" s="151">
        <f t="shared" si="42"/>
        <v>287131.18729709421</v>
      </c>
      <c r="P135" s="151">
        <f t="shared" si="42"/>
        <v>270791.52454826876</v>
      </c>
      <c r="Q135" s="151">
        <f t="shared" si="42"/>
        <v>254527.96026205691</v>
      </c>
      <c r="R135" s="151">
        <f t="shared" si="42"/>
        <v>238228.41844297727</v>
      </c>
      <c r="S135" s="151">
        <f t="shared" si="42"/>
        <v>221934.99085351318</v>
      </c>
      <c r="T135" s="151">
        <f t="shared" si="42"/>
        <v>205591.41112152813</v>
      </c>
      <c r="U135" s="151">
        <f t="shared" si="42"/>
        <v>189322.74761621415</v>
      </c>
      <c r="V135" s="151">
        <f t="shared" si="42"/>
        <v>173018.42366615147</v>
      </c>
      <c r="W135" s="151">
        <f t="shared" si="42"/>
        <v>156719.85083942316</v>
      </c>
      <c r="X135" s="151">
        <f t="shared" si="42"/>
        <v>140371.96725375584</v>
      </c>
      <c r="Y135" s="151">
        <f t="shared" si="42"/>
        <v>124097.77826159158</v>
      </c>
      <c r="Z135" s="151">
        <f t="shared" si="42"/>
        <v>107788.246341772</v>
      </c>
      <c r="AA135" s="151">
        <f t="shared" si="42"/>
        <v>91484.080898567627</v>
      </c>
      <c r="AB135" s="151">
        <f t="shared" si="42"/>
        <v>75131.477623343395</v>
      </c>
      <c r="AC135" s="151">
        <f t="shared" si="42"/>
        <v>49183.716674668845</v>
      </c>
      <c r="AD135" s="151">
        <f t="shared" si="42"/>
        <v>34406.914323213947</v>
      </c>
      <c r="AE135" s="151">
        <f t="shared" si="42"/>
        <v>19630.17200530041</v>
      </c>
      <c r="AF135" s="151">
        <f t="shared" si="42"/>
        <v>-2.0082652918063104E-4</v>
      </c>
      <c r="AG135" s="151">
        <f t="shared" si="42"/>
        <v>-2.0082652918063104E-4</v>
      </c>
      <c r="AH135" s="151">
        <f t="shared" si="42"/>
        <v>-2.0082652918063104E-4</v>
      </c>
      <c r="AI135" s="151">
        <f t="shared" si="42"/>
        <v>-2.0082652918063104E-4</v>
      </c>
      <c r="AJ135" s="151">
        <f t="shared" si="42"/>
        <v>-2.0082652918063104E-4</v>
      </c>
      <c r="AK135" s="151">
        <f t="shared" ref="AK135:BB135" si="43" xml:space="preserve"> AK$129</f>
        <v>-2.0082652918063104E-4</v>
      </c>
      <c r="AL135" s="151">
        <f t="shared" si="43"/>
        <v>-2.0082652918063104E-4</v>
      </c>
      <c r="AM135" s="151">
        <f t="shared" si="43"/>
        <v>-2.0082652918063104E-4</v>
      </c>
      <c r="AN135" s="151">
        <f t="shared" si="43"/>
        <v>-2.0082652918063104E-4</v>
      </c>
      <c r="AO135" s="151">
        <f t="shared" si="43"/>
        <v>-2.0082652918063104E-4</v>
      </c>
      <c r="AP135" s="151">
        <f t="shared" si="43"/>
        <v>-2.0082652918063104E-4</v>
      </c>
      <c r="AQ135" s="151">
        <f t="shared" si="43"/>
        <v>-2.0082652918063104E-4</v>
      </c>
      <c r="AR135" s="151">
        <f t="shared" si="43"/>
        <v>-2.0082652918063104E-4</v>
      </c>
      <c r="AS135" s="151">
        <f t="shared" si="43"/>
        <v>-2.0082652918063104E-4</v>
      </c>
      <c r="AT135" s="151">
        <f t="shared" si="43"/>
        <v>-2.0082652918063104E-4</v>
      </c>
      <c r="AU135" s="151">
        <f t="shared" si="43"/>
        <v>-2.0082652918063104E-4</v>
      </c>
      <c r="AV135" s="151">
        <f t="shared" si="43"/>
        <v>-2.0082652918063104E-4</v>
      </c>
      <c r="AW135" s="151">
        <f t="shared" si="43"/>
        <v>-2.0082652918063104E-4</v>
      </c>
      <c r="AX135" s="151">
        <f t="shared" si="43"/>
        <v>-2.0082652918063104E-4</v>
      </c>
      <c r="AY135" s="151">
        <f t="shared" si="43"/>
        <v>-2.0082652918063104E-4</v>
      </c>
      <c r="AZ135" s="151">
        <f t="shared" si="43"/>
        <v>-2.0082652918063104E-4</v>
      </c>
      <c r="BA135" s="151">
        <f t="shared" si="43"/>
        <v>-2.0082652918063104E-4</v>
      </c>
      <c r="BB135" s="151">
        <f t="shared" si="43"/>
        <v>-2.0082652918063104E-4</v>
      </c>
    </row>
    <row r="136" spans="1:54" outlineLevel="1" x14ac:dyDescent="0.2">
      <c r="A136" s="1"/>
      <c r="B136" s="1"/>
      <c r="C136" s="19"/>
      <c r="D136" s="83"/>
      <c r="E136" s="31" t="s">
        <v>94</v>
      </c>
      <c r="F136" s="271">
        <f xml:space="preserve"> IF(SUM(J136:BB136) &lt;&gt; 0, 1, 0)</f>
        <v>0</v>
      </c>
      <c r="G136" s="31" t="s">
        <v>20</v>
      </c>
      <c r="H136" s="31"/>
      <c r="I136" s="31"/>
      <c r="J136" s="271">
        <f t="shared" ref="J136:BB136" si="44" xml:space="preserve"> IF(ABS(J134 - J135) &gt; CHK_TOL, 1, 0)</f>
        <v>0</v>
      </c>
      <c r="K136" s="271">
        <f t="shared" si="44"/>
        <v>0</v>
      </c>
      <c r="L136" s="271">
        <f t="shared" si="44"/>
        <v>0</v>
      </c>
      <c r="M136" s="271">
        <f t="shared" si="44"/>
        <v>0</v>
      </c>
      <c r="N136" s="271">
        <f t="shared" si="44"/>
        <v>0</v>
      </c>
      <c r="O136" s="271">
        <f t="shared" si="44"/>
        <v>0</v>
      </c>
      <c r="P136" s="271">
        <f t="shared" si="44"/>
        <v>0</v>
      </c>
      <c r="Q136" s="271">
        <f t="shared" si="44"/>
        <v>0</v>
      </c>
      <c r="R136" s="271">
        <f t="shared" si="44"/>
        <v>0</v>
      </c>
      <c r="S136" s="271">
        <f t="shared" si="44"/>
        <v>0</v>
      </c>
      <c r="T136" s="271">
        <f t="shared" si="44"/>
        <v>0</v>
      </c>
      <c r="U136" s="271">
        <f t="shared" si="44"/>
        <v>0</v>
      </c>
      <c r="V136" s="271">
        <f t="shared" si="44"/>
        <v>0</v>
      </c>
      <c r="W136" s="271">
        <f t="shared" si="44"/>
        <v>0</v>
      </c>
      <c r="X136" s="271">
        <f t="shared" si="44"/>
        <v>0</v>
      </c>
      <c r="Y136" s="271">
        <f t="shared" si="44"/>
        <v>0</v>
      </c>
      <c r="Z136" s="271">
        <f t="shared" si="44"/>
        <v>0</v>
      </c>
      <c r="AA136" s="271">
        <f t="shared" si="44"/>
        <v>0</v>
      </c>
      <c r="AB136" s="271">
        <f t="shared" si="44"/>
        <v>0</v>
      </c>
      <c r="AC136" s="271">
        <f t="shared" si="44"/>
        <v>0</v>
      </c>
      <c r="AD136" s="271">
        <f t="shared" si="44"/>
        <v>0</v>
      </c>
      <c r="AE136" s="271">
        <f t="shared" si="44"/>
        <v>0</v>
      </c>
      <c r="AF136" s="271">
        <f t="shared" si="44"/>
        <v>0</v>
      </c>
      <c r="AG136" s="271">
        <f t="shared" si="44"/>
        <v>0</v>
      </c>
      <c r="AH136" s="271">
        <f t="shared" si="44"/>
        <v>0</v>
      </c>
      <c r="AI136" s="271">
        <f t="shared" si="44"/>
        <v>0</v>
      </c>
      <c r="AJ136" s="271">
        <f t="shared" si="44"/>
        <v>0</v>
      </c>
      <c r="AK136" s="271">
        <f t="shared" si="44"/>
        <v>0</v>
      </c>
      <c r="AL136" s="271">
        <f t="shared" si="44"/>
        <v>0</v>
      </c>
      <c r="AM136" s="271">
        <f t="shared" si="44"/>
        <v>0</v>
      </c>
      <c r="AN136" s="271">
        <f t="shared" si="44"/>
        <v>0</v>
      </c>
      <c r="AO136" s="271">
        <f t="shared" si="44"/>
        <v>0</v>
      </c>
      <c r="AP136" s="271">
        <f t="shared" si="44"/>
        <v>0</v>
      </c>
      <c r="AQ136" s="271">
        <f t="shared" si="44"/>
        <v>0</v>
      </c>
      <c r="AR136" s="271">
        <f t="shared" si="44"/>
        <v>0</v>
      </c>
      <c r="AS136" s="271">
        <f t="shared" si="44"/>
        <v>0</v>
      </c>
      <c r="AT136" s="271">
        <f t="shared" si="44"/>
        <v>0</v>
      </c>
      <c r="AU136" s="271">
        <f t="shared" si="44"/>
        <v>0</v>
      </c>
      <c r="AV136" s="271">
        <f t="shared" si="44"/>
        <v>0</v>
      </c>
      <c r="AW136" s="271">
        <f t="shared" si="44"/>
        <v>0</v>
      </c>
      <c r="AX136" s="271">
        <f t="shared" si="44"/>
        <v>0</v>
      </c>
      <c r="AY136" s="271">
        <f t="shared" si="44"/>
        <v>0</v>
      </c>
      <c r="AZ136" s="271">
        <f t="shared" si="44"/>
        <v>0</v>
      </c>
      <c r="BA136" s="271">
        <f t="shared" si="44"/>
        <v>0</v>
      </c>
      <c r="BB136" s="271">
        <f t="shared" si="44"/>
        <v>0</v>
      </c>
    </row>
    <row r="137" spans="1:54" outlineLevel="1" x14ac:dyDescent="0.2">
      <c r="A137" s="1"/>
      <c r="B137" s="1"/>
      <c r="C137" s="19"/>
      <c r="D137" s="83"/>
      <c r="E137" s="31" t="s">
        <v>95</v>
      </c>
      <c r="F137" s="31"/>
      <c r="G137" s="31" t="str">
        <f xml:space="preserve"> SMU</f>
        <v>$ 000s</v>
      </c>
      <c r="H137" s="31">
        <f xml:space="preserve"> SUM(J137:BB137)</f>
        <v>-6.9876477937214077E-9</v>
      </c>
      <c r="I137" s="31"/>
      <c r="J137" s="31">
        <f t="shared" ref="J137:BB137" si="45" xml:space="preserve"> J134 - J135</f>
        <v>0</v>
      </c>
      <c r="K137" s="31">
        <f t="shared" si="45"/>
        <v>0</v>
      </c>
      <c r="L137" s="31">
        <f t="shared" si="45"/>
        <v>0</v>
      </c>
      <c r="M137" s="31">
        <f t="shared" si="45"/>
        <v>0</v>
      </c>
      <c r="N137" s="31">
        <f t="shared" si="45"/>
        <v>0</v>
      </c>
      <c r="O137" s="31">
        <f t="shared" si="45"/>
        <v>0</v>
      </c>
      <c r="P137" s="31">
        <f t="shared" si="45"/>
        <v>0</v>
      </c>
      <c r="Q137" s="31">
        <f t="shared" si="45"/>
        <v>0</v>
      </c>
      <c r="R137" s="31">
        <f t="shared" si="45"/>
        <v>0</v>
      </c>
      <c r="S137" s="31">
        <f t="shared" si="45"/>
        <v>0</v>
      </c>
      <c r="T137" s="31">
        <f t="shared" si="45"/>
        <v>0</v>
      </c>
      <c r="U137" s="31">
        <f t="shared" si="45"/>
        <v>0</v>
      </c>
      <c r="V137" s="31">
        <f t="shared" si="45"/>
        <v>0</v>
      </c>
      <c r="W137" s="31">
        <f t="shared" si="45"/>
        <v>0</v>
      </c>
      <c r="X137" s="31">
        <f t="shared" si="45"/>
        <v>-2.3283064365386963E-10</v>
      </c>
      <c r="Y137" s="31">
        <f t="shared" si="45"/>
        <v>-2.4738255888223648E-10</v>
      </c>
      <c r="Z137" s="31">
        <f t="shared" si="45"/>
        <v>-2.0372681319713593E-10</v>
      </c>
      <c r="AA137" s="31">
        <f t="shared" si="45"/>
        <v>-2.3283064365386963E-10</v>
      </c>
      <c r="AB137" s="31">
        <f t="shared" si="45"/>
        <v>-2.1827872842550278E-10</v>
      </c>
      <c r="AC137" s="31">
        <f t="shared" si="45"/>
        <v>-2.4738255888223648E-10</v>
      </c>
      <c r="AD137" s="31">
        <f t="shared" si="45"/>
        <v>-2.1100277081131935E-10</v>
      </c>
      <c r="AE137" s="31">
        <f t="shared" si="45"/>
        <v>-1.8553691916167736E-10</v>
      </c>
      <c r="AF137" s="31">
        <f t="shared" si="45"/>
        <v>-2.2646418074145913E-10</v>
      </c>
      <c r="AG137" s="31">
        <f t="shared" si="45"/>
        <v>-2.2646418074145913E-10</v>
      </c>
      <c r="AH137" s="31">
        <f t="shared" si="45"/>
        <v>-2.2646418074145913E-10</v>
      </c>
      <c r="AI137" s="31">
        <f t="shared" si="45"/>
        <v>-2.2646418074145913E-10</v>
      </c>
      <c r="AJ137" s="31">
        <f t="shared" si="45"/>
        <v>-2.2646418074145913E-10</v>
      </c>
      <c r="AK137" s="31">
        <f t="shared" si="45"/>
        <v>-2.2646418074145913E-10</v>
      </c>
      <c r="AL137" s="31">
        <f t="shared" si="45"/>
        <v>-2.2646418074145913E-10</v>
      </c>
      <c r="AM137" s="31">
        <f t="shared" si="45"/>
        <v>-2.2646418074145913E-10</v>
      </c>
      <c r="AN137" s="31">
        <f t="shared" si="45"/>
        <v>-2.2646418074145913E-10</v>
      </c>
      <c r="AO137" s="31">
        <f t="shared" si="45"/>
        <v>-2.2646418074145913E-10</v>
      </c>
      <c r="AP137" s="31">
        <f t="shared" si="45"/>
        <v>-2.2646418074145913E-10</v>
      </c>
      <c r="AQ137" s="31">
        <f t="shared" si="45"/>
        <v>-2.2646418074145913E-10</v>
      </c>
      <c r="AR137" s="31">
        <f t="shared" si="45"/>
        <v>-2.2646418074145913E-10</v>
      </c>
      <c r="AS137" s="31">
        <f t="shared" si="45"/>
        <v>-2.2646418074145913E-10</v>
      </c>
      <c r="AT137" s="31">
        <f t="shared" si="45"/>
        <v>-2.2646418074145913E-10</v>
      </c>
      <c r="AU137" s="31">
        <f t="shared" si="45"/>
        <v>-2.2646418074145913E-10</v>
      </c>
      <c r="AV137" s="31">
        <f t="shared" si="45"/>
        <v>-2.2646418074145913E-10</v>
      </c>
      <c r="AW137" s="31">
        <f t="shared" si="45"/>
        <v>-2.2646418074145913E-10</v>
      </c>
      <c r="AX137" s="31">
        <f t="shared" si="45"/>
        <v>-2.2646418074145913E-10</v>
      </c>
      <c r="AY137" s="31">
        <f t="shared" si="45"/>
        <v>-2.2646418074145913E-10</v>
      </c>
      <c r="AZ137" s="31">
        <f t="shared" si="45"/>
        <v>-2.2646418074145913E-10</v>
      </c>
      <c r="BA137" s="31">
        <f t="shared" si="45"/>
        <v>-2.2646418074145913E-10</v>
      </c>
      <c r="BB137" s="31">
        <f t="shared" si="45"/>
        <v>-2.2646418074145913E-10</v>
      </c>
    </row>
    <row r="138" spans="1:54" outlineLevel="1" x14ac:dyDescent="0.2">
      <c r="E138" s="9"/>
      <c r="F138" s="9"/>
      <c r="G138" s="31"/>
      <c r="H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</row>
    <row r="139" spans="1:54" x14ac:dyDescent="0.2">
      <c r="E139" s="9"/>
      <c r="F139" s="9"/>
      <c r="G139" s="31"/>
      <c r="H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</row>
    <row r="140" spans="1:54" x14ac:dyDescent="0.2">
      <c r="A140" s="1" t="s">
        <v>601</v>
      </c>
      <c r="E140" s="9"/>
      <c r="F140" s="9"/>
      <c r="G140" s="31"/>
      <c r="H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</row>
    <row r="141" spans="1:54" outlineLevel="1" x14ac:dyDescent="0.2">
      <c r="E141" s="9"/>
      <c r="F141" s="9"/>
      <c r="G141" s="31"/>
      <c r="H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</row>
    <row r="142" spans="1:54" outlineLevel="1" x14ac:dyDescent="0.2">
      <c r="E142" s="68" t="str">
        <f xml:space="preserve"> InpC!E$419</f>
        <v>Units in a thousand</v>
      </c>
      <c r="F142" s="68">
        <f xml:space="preserve"> InpC!F$419</f>
        <v>1000</v>
      </c>
      <c r="G142" s="68" t="str">
        <f xml:space="preserve"> InpC!G$419</f>
        <v>units</v>
      </c>
      <c r="H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</row>
    <row r="143" spans="1:54" outlineLevel="1" x14ac:dyDescent="0.2">
      <c r="E143" s="531" t="s">
        <v>602</v>
      </c>
      <c r="F143" s="531"/>
      <c r="G143" s="230" t="s">
        <v>603</v>
      </c>
      <c r="H143" s="531">
        <f xml:space="preserve"> SUM(J143:BB143)</f>
        <v>20217473.920645203</v>
      </c>
      <c r="I143" s="531"/>
      <c r="J143" s="531">
        <f xml:space="preserve"> SUMIF(Time!$J$239:$CV$239, J5, Ops!$J$34:$CV$34) * $F142</f>
        <v>1030175.9999999999</v>
      </c>
      <c r="K143" s="531">
        <f xml:space="preserve"> SUMIF(Time!$J$239:$CV$239, K5, Ops!$J$34:$CV$34) * $F142</f>
        <v>1028119.7604790418</v>
      </c>
      <c r="L143" s="531">
        <f xml:space="preserve"> SUMIF(Time!$J$239:$CV$239, L5, Ops!$J$34:$CV$34) * $F142</f>
        <v>1026067.6252285847</v>
      </c>
      <c r="M143" s="531">
        <f xml:space="preserve"> SUMIF(Time!$J$239:$CV$239, M5, Ops!$J$34:$CV$34) * $F142</f>
        <v>1024019.5860564718</v>
      </c>
      <c r="N143" s="531">
        <f xml:space="preserve"> SUMIF(Time!$J$239:$CV$239, N5, Ops!$J$34:$CV$34) * $F142</f>
        <v>1021975.634786898</v>
      </c>
      <c r="O143" s="531">
        <f xml:space="preserve"> SUMIF(Time!$J$239:$CV$239, O5, Ops!$J$34:$CV$34) * $F142</f>
        <v>1019935.7632603771</v>
      </c>
      <c r="P143" s="531">
        <f xml:space="preserve"> SUMIF(Time!$J$239:$CV$239, P5, Ops!$J$34:$CV$34) * $F142</f>
        <v>1017899.9633337101</v>
      </c>
      <c r="Q143" s="531">
        <f xml:space="preserve"> SUMIF(Time!$J$239:$CV$239, Q5, Ops!$J$34:$CV$34) * $F142</f>
        <v>1015868.2268799501</v>
      </c>
      <c r="R143" s="531">
        <f xml:space="preserve"> SUMIF(Time!$J$239:$CV$239, R5, Ops!$J$34:$CV$34) * $F142</f>
        <v>1013840.5457883732</v>
      </c>
      <c r="S143" s="531">
        <f xml:space="preserve"> SUMIF(Time!$J$239:$CV$239, S5, Ops!$J$34:$CV$34) * $F142</f>
        <v>1011816.9119644443</v>
      </c>
      <c r="T143" s="531">
        <f xml:space="preserve"> SUMIF(Time!$J$239:$CV$239, T5, Ops!$J$34:$CV$34) * $F142</f>
        <v>1009797.317329785</v>
      </c>
      <c r="U143" s="531">
        <f xml:space="preserve"> SUMIF(Time!$J$239:$CV$239, U5, Ops!$J$34:$CV$34) * $F142</f>
        <v>1007781.7538221406</v>
      </c>
      <c r="V143" s="531">
        <f xml:space="preserve"> SUMIF(Time!$J$239:$CV$239, V5, Ops!$J$34:$CV$34) * $F142</f>
        <v>1005770.2133953499</v>
      </c>
      <c r="W143" s="531">
        <f xml:space="preserve"> SUMIF(Time!$J$239:$CV$239, W5, Ops!$J$34:$CV$34) * $F142</f>
        <v>1003762.6880193112</v>
      </c>
      <c r="X143" s="531">
        <f xml:space="preserve"> SUMIF(Time!$J$239:$CV$239, X5, Ops!$J$34:$CV$34) * $F142</f>
        <v>1001759.1696799517</v>
      </c>
      <c r="Y143" s="531">
        <f xml:space="preserve"> SUMIF(Time!$J$239:$CV$239, Y5, Ops!$J$34:$CV$34) * $F142</f>
        <v>999759.65037919302</v>
      </c>
      <c r="Z143" s="531">
        <f xml:space="preserve"> SUMIF(Time!$J$239:$CV$239, Z5, Ops!$J$34:$CV$34) * $F142</f>
        <v>997764.12213492324</v>
      </c>
      <c r="AA143" s="531">
        <f xml:space="preserve"> SUMIF(Time!$J$239:$CV$239, AA5, Ops!$J$34:$CV$34) * $F142</f>
        <v>995772.57698096125</v>
      </c>
      <c r="AB143" s="531">
        <f xml:space="preserve"> SUMIF(Time!$J$239:$CV$239, AB5, Ops!$J$34:$CV$34) * $F142</f>
        <v>993785.00696702732</v>
      </c>
      <c r="AC143" s="531">
        <f xml:space="preserve"> SUMIF(Time!$J$239:$CV$239, AC5, Ops!$J$34:$CV$34) * $F142</f>
        <v>991801.40415870992</v>
      </c>
      <c r="AD143" s="531">
        <f xml:space="preserve"> SUMIF(Time!$J$239:$CV$239, AD5, Ops!$J$34:$CV$34) * $F142</f>
        <v>0</v>
      </c>
      <c r="AE143" s="531">
        <f xml:space="preserve"> SUMIF(Time!$J$239:$CV$239, AE5, Ops!$J$34:$CV$34) * $F142</f>
        <v>0</v>
      </c>
      <c r="AF143" s="531">
        <f xml:space="preserve"> SUMIF(Time!$J$239:$CV$239, AF5, Ops!$J$34:$CV$34) * $F142</f>
        <v>0</v>
      </c>
      <c r="AG143" s="531">
        <f xml:space="preserve"> SUMIF(Time!$J$239:$CV$239, AG5, Ops!$J$34:$CV$34) * $F142</f>
        <v>0</v>
      </c>
      <c r="AH143" s="531">
        <f xml:space="preserve"> SUMIF(Time!$J$239:$CV$239, AH5, Ops!$J$34:$CV$34) * $F142</f>
        <v>0</v>
      </c>
      <c r="AI143" s="531">
        <f xml:space="preserve"> SUMIF(Time!$J$239:$CV$239, AI5, Ops!$J$34:$CV$34) * $F142</f>
        <v>0</v>
      </c>
      <c r="AJ143" s="531">
        <f xml:space="preserve"> SUMIF(Time!$J$239:$CV$239, AJ5, Ops!$J$34:$CV$34) * $F142</f>
        <v>0</v>
      </c>
      <c r="AK143" s="531">
        <f xml:space="preserve"> SUMIF(Time!$J$239:$CV$239, AK5, Ops!$J$34:$CV$34) * $F142</f>
        <v>0</v>
      </c>
      <c r="AL143" s="531">
        <f xml:space="preserve"> SUMIF(Time!$J$239:$CV$239, AL5, Ops!$J$34:$CV$34) * $F142</f>
        <v>0</v>
      </c>
      <c r="AM143" s="531">
        <f xml:space="preserve"> SUMIF(Time!$J$239:$CV$239, AM5, Ops!$J$34:$CV$34) * $F142</f>
        <v>0</v>
      </c>
      <c r="AN143" s="531">
        <f xml:space="preserve"> SUMIF(Time!$J$239:$CV$239, AN5, Ops!$J$34:$CV$34) * $F142</f>
        <v>0</v>
      </c>
      <c r="AO143" s="531">
        <f xml:space="preserve"> SUMIF(Time!$J$239:$CV$239, AO5, Ops!$J$34:$CV$34) * $F142</f>
        <v>0</v>
      </c>
      <c r="AP143" s="531">
        <f xml:space="preserve"> SUMIF(Time!$J$239:$CV$239, AP5, Ops!$J$34:$CV$34) * $F142</f>
        <v>0</v>
      </c>
      <c r="AQ143" s="531">
        <f xml:space="preserve"> SUMIF(Time!$J$239:$CV$239, AQ5, Ops!$J$34:$CV$34) * $F142</f>
        <v>0</v>
      </c>
      <c r="AR143" s="531">
        <f xml:space="preserve"> SUMIF(Time!$J$239:$CV$239, AR5, Ops!$J$34:$CV$34) * $F142</f>
        <v>0</v>
      </c>
      <c r="AS143" s="531">
        <f xml:space="preserve"> SUMIF(Time!$J$239:$CV$239, AS5, Ops!$J$34:$CV$34) * $F142</f>
        <v>0</v>
      </c>
      <c r="AT143" s="531">
        <f xml:space="preserve"> SUMIF(Time!$J$239:$CV$239, AT5, Ops!$J$34:$CV$34) * $F142</f>
        <v>0</v>
      </c>
      <c r="AU143" s="531">
        <f xml:space="preserve"> SUMIF(Time!$J$239:$CV$239, AU5, Ops!$J$34:$CV$34) * $F142</f>
        <v>0</v>
      </c>
      <c r="AV143" s="531">
        <f xml:space="preserve"> SUMIF(Time!$J$239:$CV$239, AV5, Ops!$J$34:$CV$34) * $F142</f>
        <v>0</v>
      </c>
      <c r="AW143" s="531">
        <f xml:space="preserve"> SUMIF(Time!$J$239:$CV$239, AW5, Ops!$J$34:$CV$34) * $F142</f>
        <v>0</v>
      </c>
      <c r="AX143" s="531">
        <f xml:space="preserve"> SUMIF(Time!$J$239:$CV$239, AX5, Ops!$J$34:$CV$34) * $F142</f>
        <v>0</v>
      </c>
      <c r="AY143" s="531">
        <f xml:space="preserve"> SUMIF(Time!$J$239:$CV$239, AY5, Ops!$J$34:$CV$34) * $F142</f>
        <v>0</v>
      </c>
      <c r="AZ143" s="531">
        <f xml:space="preserve"> SUMIF(Time!$J$239:$CV$239, AZ5, Ops!$J$34:$CV$34) * $F142</f>
        <v>0</v>
      </c>
      <c r="BA143" s="531">
        <f xml:space="preserve"> SUMIF(Time!$J$239:$CV$239, BA5, Ops!$J$34:$CV$34) * $F142</f>
        <v>0</v>
      </c>
      <c r="BB143" s="531">
        <f xml:space="preserve"> SUMIF(Time!$J$239:$CV$239, BB5, Ops!$J$34:$CV$34) * $F142</f>
        <v>0</v>
      </c>
    </row>
    <row r="144" spans="1:54" outlineLevel="1" x14ac:dyDescent="0.2">
      <c r="E144" s="9"/>
      <c r="F144" s="9"/>
      <c r="G144" s="31"/>
      <c r="H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</row>
    <row r="145" spans="1:54" x14ac:dyDescent="0.2">
      <c r="E145" s="9"/>
      <c r="F145" s="9"/>
      <c r="G145" s="31"/>
      <c r="H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</row>
    <row r="146" spans="1:54" x14ac:dyDescent="0.2">
      <c r="A146" s="15" t="s">
        <v>62</v>
      </c>
    </row>
    <row r="147" spans="1:54" x14ac:dyDescent="0.2"/>
    <row r="148" spans="1:54" x14ac:dyDescent="0.2"/>
    <row r="149" spans="1:54" x14ac:dyDescent="0.2"/>
    <row r="150" spans="1:54" x14ac:dyDescent="0.2"/>
    <row r="151" spans="1:54" x14ac:dyDescent="0.2"/>
    <row r="152" spans="1:54" x14ac:dyDescent="0.2"/>
    <row r="153" spans="1:54" x14ac:dyDescent="0.2"/>
    <row r="154" spans="1:54" x14ac:dyDescent="0.2"/>
    <row r="155" spans="1:54" x14ac:dyDescent="0.2"/>
    <row r="156" spans="1:54" x14ac:dyDescent="0.2"/>
    <row r="157" spans="1:54" x14ac:dyDescent="0.2"/>
  </sheetData>
  <conditionalFormatting sqref="J3:BB3">
    <cfRule type="cellIs" dxfId="1024" priority="40" stopIfTrue="1" operator="equal">
      <formula>"Construction"</formula>
    </cfRule>
    <cfRule type="cellIs" dxfId="1023" priority="41" stopIfTrue="1" operator="equal">
      <formula>"Operations"</formula>
    </cfRule>
  </conditionalFormatting>
  <conditionalFormatting sqref="J3:BB3">
    <cfRule type="cellIs" dxfId="1022" priority="39" operator="equal">
      <formula>"Fin Close"</formula>
    </cfRule>
  </conditionalFormatting>
  <conditionalFormatting sqref="J3:BB3">
    <cfRule type="cellIs" dxfId="1021" priority="33" operator="equal">
      <formula>"PPA ext."</formula>
    </cfRule>
    <cfRule type="cellIs" dxfId="1020" priority="34" operator="equal">
      <formula>"Delay"</formula>
    </cfRule>
  </conditionalFormatting>
  <conditionalFormatting sqref="K136:BB136">
    <cfRule type="cellIs" dxfId="1019" priority="13" stopIfTrue="1" operator="notEqual">
      <formula>0</formula>
    </cfRule>
    <cfRule type="cellIs" dxfId="1018" priority="14" stopIfTrue="1" operator="equal">
      <formula>""</formula>
    </cfRule>
  </conditionalFormatting>
  <conditionalFormatting sqref="K136:BB136">
    <cfRule type="cellIs" dxfId="1017" priority="15" stopIfTrue="1" operator="notEqual">
      <formula>0</formula>
    </cfRule>
    <cfRule type="cellIs" dxfId="1016" priority="16" stopIfTrue="1" operator="equal">
      <formula>""</formula>
    </cfRule>
  </conditionalFormatting>
  <conditionalFormatting sqref="J136:BB136">
    <cfRule type="cellIs" dxfId="1015" priority="9" stopIfTrue="1" operator="notEqual">
      <formula>0</formula>
    </cfRule>
    <cfRule type="cellIs" dxfId="1014" priority="10" stopIfTrue="1" operator="equal">
      <formula>""</formula>
    </cfRule>
  </conditionalFormatting>
  <conditionalFormatting sqref="J136:BB136">
    <cfRule type="cellIs" dxfId="1013" priority="11" stopIfTrue="1" operator="notEqual">
      <formula>0</formula>
    </cfRule>
    <cfRule type="cellIs" dxfId="1012" priority="12" stopIfTrue="1" operator="equal">
      <formula>""</formula>
    </cfRule>
  </conditionalFormatting>
  <conditionalFormatting sqref="F136">
    <cfRule type="cellIs" dxfId="1011" priority="5" stopIfTrue="1" operator="notEqual">
      <formula>0</formula>
    </cfRule>
    <cfRule type="cellIs" dxfId="1010" priority="6" stopIfTrue="1" operator="equal">
      <formula>""</formula>
    </cfRule>
  </conditionalFormatting>
  <conditionalFormatting sqref="F136">
    <cfRule type="cellIs" dxfId="1009" priority="7" stopIfTrue="1" operator="notEqual">
      <formula>0</formula>
    </cfRule>
    <cfRule type="cellIs" dxfId="1008" priority="8" stopIfTrue="1" operator="equal">
      <formula>""</formula>
    </cfRule>
  </conditionalFormatting>
  <conditionalFormatting sqref="F2:F4">
    <cfRule type="cellIs" dxfId="1007" priority="1" stopIfTrue="1" operator="notEqual">
      <formula>0</formula>
    </cfRule>
    <cfRule type="cellIs" dxfId="1006" priority="2" stopIfTrue="1" operator="equal">
      <formula>""</formula>
    </cfRule>
  </conditionalFormatting>
  <conditionalFormatting sqref="F2:F4">
    <cfRule type="cellIs" dxfId="1005" priority="3" stopIfTrue="1" operator="notEqual">
      <formula>0</formula>
    </cfRule>
    <cfRule type="cellIs" dxfId="100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CJ181"/>
  <sheetViews>
    <sheetView showFormulas="1" showGridLines="0" defaultGridColor="0" colorId="22" zoomScale="75" zoomScaleNormal="75" zoomScalePageLayoutView="120" workbookViewId="0">
      <pane xSplit="13" ySplit="6" topLeftCell="O168" activePane="bottomRight" state="frozen"/>
      <selection activeCell="N7" sqref="N7"/>
      <selection pane="topRight" activeCell="N7" sqref="N7"/>
      <selection pane="bottomLeft" activeCell="N7" sqref="N7"/>
      <selection pane="bottomRight" activeCell="O172" sqref="O172"/>
    </sheetView>
  </sheetViews>
  <sheetFormatPr defaultColWidth="0" defaultRowHeight="12.75" outlineLevelRow="1" x14ac:dyDescent="0.2"/>
  <cols>
    <col min="1" max="1" width="1.28515625" style="96" customWidth="1"/>
    <col min="2" max="2" width="1.28515625" style="124" customWidth="1"/>
    <col min="3" max="3" width="1.28515625" style="103" customWidth="1"/>
    <col min="4" max="4" width="1.28515625" style="98" customWidth="1"/>
    <col min="5" max="5" width="40.5703125" style="114" customWidth="1"/>
    <col min="6" max="6" width="12.5703125" style="114" customWidth="1"/>
    <col min="7" max="7" width="11.5703125" style="114" customWidth="1"/>
    <col min="8" max="8" width="12.5703125" style="114" customWidth="1"/>
    <col min="9" max="9" width="2.5703125" style="100" customWidth="1"/>
    <col min="10" max="10" width="4.42578125" style="355" customWidth="1"/>
    <col min="11" max="11" width="11.5703125" style="32" customWidth="1"/>
    <col min="12" max="12" width="11.5703125" style="282" customWidth="1"/>
    <col min="13" max="13" width="0.42578125" style="152" customWidth="1"/>
    <col min="14" max="14" width="12.5703125" style="101" customWidth="1"/>
    <col min="15" max="15" width="0.42578125" style="152" customWidth="1"/>
    <col min="16" max="88" width="0" hidden="1" customWidth="1"/>
    <col min="89" max="16384" width="9" hidden="1"/>
  </cols>
  <sheetData>
    <row r="1" spans="1:15" ht="26.25" x14ac:dyDescent="0.2">
      <c r="A1" s="24" t="str">
        <f ca="1" xml:space="preserve"> RIGHT(CELL("filename", A1), LEN(CELL("filename", A1)) - SEARCH("]", CELL("filename", A1))) &amp; " - " &amp; InpC!F3</f>
        <v>Output - Base case 1</v>
      </c>
      <c r="B1" s="88"/>
      <c r="C1" s="89"/>
      <c r="D1" s="90"/>
      <c r="E1" s="91"/>
      <c r="F1" s="92"/>
      <c r="G1" s="91"/>
      <c r="H1" s="91"/>
      <c r="I1" s="93"/>
      <c r="J1" s="350"/>
      <c r="K1" s="298"/>
      <c r="L1" s="296"/>
      <c r="N1" s="94"/>
    </row>
    <row r="2" spans="1:15" x14ac:dyDescent="0.2">
      <c r="A2" s="95"/>
      <c r="B2" s="96"/>
      <c r="C2" s="97"/>
      <c r="E2" s="99"/>
      <c r="F2"/>
      <c r="G2" t="s">
        <v>69</v>
      </c>
      <c r="H2" s="245">
        <f ca="1" xml:space="preserve"> TODAY()</f>
        <v>45415</v>
      </c>
      <c r="J2" s="272">
        <f ca="1" xml:space="preserve"> COUNTIF(J6:J180, "tu")</f>
        <v>82</v>
      </c>
      <c r="N2" s="264">
        <v>44967</v>
      </c>
    </row>
    <row r="3" spans="1:15" x14ac:dyDescent="0.2">
      <c r="A3" s="106"/>
      <c r="B3" s="106"/>
      <c r="C3" s="97"/>
      <c r="E3" s="99"/>
      <c r="F3" s="32"/>
      <c r="G3" s="32" t="s">
        <v>96</v>
      </c>
      <c r="H3" s="246" t="str">
        <f xml:space="preserve"> InpC!F3</f>
        <v>Base case 1</v>
      </c>
      <c r="I3" s="97"/>
      <c r="J3" s="351"/>
      <c r="K3" s="299"/>
      <c r="L3" s="297"/>
      <c r="M3" s="179"/>
      <c r="N3" s="263" t="s">
        <v>82</v>
      </c>
      <c r="O3" s="179"/>
    </row>
    <row r="4" spans="1:15" x14ac:dyDescent="0.2">
      <c r="B4" s="96"/>
      <c r="C4" s="97"/>
      <c r="E4" s="104"/>
      <c r="F4"/>
      <c r="G4"/>
      <c r="H4" s="105"/>
      <c r="I4" s="97"/>
      <c r="J4" s="351"/>
      <c r="M4" s="153"/>
      <c r="N4" s="104"/>
      <c r="O4" s="153"/>
    </row>
    <row r="5" spans="1:15" x14ac:dyDescent="0.2">
      <c r="B5" s="96"/>
      <c r="C5" s="97"/>
      <c r="D5" s="104"/>
      <c r="E5" s="106" t="s">
        <v>63</v>
      </c>
      <c r="F5" s="107"/>
      <c r="G5" s="108" t="s">
        <v>17</v>
      </c>
      <c r="H5" s="266">
        <v>1</v>
      </c>
      <c r="I5" s="106"/>
      <c r="J5" s="352">
        <f xml:space="preserve"> MATCH($H$5, M5:O5, 0)</f>
        <v>2</v>
      </c>
      <c r="K5" s="299" t="s">
        <v>64</v>
      </c>
      <c r="L5" s="297" t="s">
        <v>65</v>
      </c>
      <c r="M5" s="154"/>
      <c r="N5" s="265">
        <v>1</v>
      </c>
      <c r="O5" s="154"/>
    </row>
    <row r="6" spans="1:15" x14ac:dyDescent="0.2">
      <c r="B6" s="180"/>
      <c r="C6" s="181"/>
      <c r="D6" s="182"/>
      <c r="E6" s="183" t="s">
        <v>66</v>
      </c>
      <c r="F6" s="184"/>
      <c r="G6" s="177"/>
      <c r="H6" s="177"/>
      <c r="I6" s="177"/>
      <c r="J6" s="353"/>
      <c r="K6" s="156"/>
      <c r="L6" s="178"/>
      <c r="M6" s="154"/>
      <c r="N6" s="177"/>
      <c r="O6" s="154"/>
    </row>
    <row r="7" spans="1:15" x14ac:dyDescent="0.2">
      <c r="B7" s="96"/>
      <c r="C7" s="97"/>
      <c r="D7" s="107"/>
      <c r="E7" s="123"/>
      <c r="F7" s="117"/>
      <c r="G7" s="100"/>
      <c r="H7" s="100"/>
      <c r="J7" s="352"/>
      <c r="K7" s="31"/>
      <c r="L7" s="112"/>
      <c r="M7" s="154"/>
      <c r="N7" s="100"/>
      <c r="O7" s="154"/>
    </row>
    <row r="8" spans="1:15" x14ac:dyDescent="0.2">
      <c r="A8" s="96" t="s">
        <v>68</v>
      </c>
      <c r="B8" s="96"/>
      <c r="C8" s="97"/>
      <c r="D8" s="107"/>
      <c r="E8" s="100"/>
      <c r="F8" s="117"/>
      <c r="G8" s="100"/>
      <c r="H8" s="100"/>
      <c r="J8" s="354"/>
      <c r="K8" s="35"/>
      <c r="L8" s="115"/>
      <c r="M8" s="154"/>
      <c r="N8" s="106"/>
      <c r="O8" s="154"/>
    </row>
    <row r="9" spans="1:15" outlineLevel="1" x14ac:dyDescent="0.2">
      <c r="B9" s="96"/>
      <c r="C9" s="97"/>
      <c r="D9" s="107"/>
      <c r="K9" s="44"/>
      <c r="L9" s="283"/>
      <c r="N9" s="113"/>
    </row>
    <row r="10" spans="1:15" outlineLevel="1" x14ac:dyDescent="0.2">
      <c r="A10" s="278"/>
      <c r="B10" s="278"/>
      <c r="C10" s="410"/>
      <c r="D10" s="279"/>
      <c r="E10" s="550" t="str">
        <f xml:space="preserve"> Solve!E$48</f>
        <v>Power tariff (fixed)</v>
      </c>
      <c r="F10" s="550"/>
      <c r="G10" s="550" t="str">
        <f xml:space="preserve"> Solve!G$48</f>
        <v>WID Cents / kWh</v>
      </c>
      <c r="H10" s="550">
        <f xml:space="preserve"> Solve!F$48</f>
        <v>19.483770556130601</v>
      </c>
      <c r="I10" s="455"/>
      <c r="J10" s="354" t="str">
        <f t="shared" ref="J10:J43" si="0" xml:space="preserve"> IF(ABS(K10) &gt; TRK_TOL, "tu", "vw")</f>
        <v>tu</v>
      </c>
      <c r="K10" s="413">
        <f xml:space="preserve"> H10 - INDEX(M10:O10, $J$5)</f>
        <v>2.9889426687504894</v>
      </c>
      <c r="L10" s="313">
        <f xml:space="preserve"> IF(ABS(K10) &gt; TRK_TOL, IF(INDEX(M10:O10, $J$5) = 0, 0, H10 / INDEX(M10:O10, $J$5) - 1), 0)</f>
        <v>0.18120484124828451</v>
      </c>
      <c r="M10" s="551"/>
      <c r="N10" s="552">
        <v>16.494827887380112</v>
      </c>
      <c r="O10" s="551"/>
    </row>
    <row r="11" spans="1:15" outlineLevel="1" x14ac:dyDescent="0.2">
      <c r="A11" s="278"/>
      <c r="B11" s="278"/>
      <c r="C11" s="410"/>
      <c r="D11" s="279"/>
      <c r="E11" s="1140" t="s">
        <v>1299</v>
      </c>
      <c r="F11" s="550"/>
      <c r="G11" s="868"/>
      <c r="H11" s="415"/>
      <c r="I11" s="455"/>
      <c r="J11" s="354"/>
      <c r="K11" s="413"/>
      <c r="L11" s="313"/>
      <c r="M11" s="551"/>
      <c r="N11" s="552"/>
      <c r="O11" s="551"/>
    </row>
    <row r="12" spans="1:15" outlineLevel="1" x14ac:dyDescent="0.2">
      <c r="B12" s="96"/>
      <c r="C12" s="97"/>
      <c r="D12" s="107"/>
      <c r="K12" s="44"/>
      <c r="L12" s="283"/>
      <c r="N12" s="113"/>
    </row>
    <row r="13" spans="1:15" outlineLevel="1" x14ac:dyDescent="0.2">
      <c r="B13" s="96"/>
      <c r="C13" s="97"/>
      <c r="D13" s="107"/>
      <c r="E13" s="403" t="str">
        <f xml:space="preserve"> Metrics!E$35</f>
        <v>Project IRR</v>
      </c>
      <c r="G13" s="403" t="str">
        <f xml:space="preserve"> Metrics!G$35</f>
        <v>%</v>
      </c>
      <c r="H13" s="315">
        <f xml:space="preserve"> Metrics!F$35</f>
        <v>7.0641347765922555E-2</v>
      </c>
      <c r="J13" s="354" t="str">
        <f t="shared" ref="J13" si="1" xml:space="preserve"> IF(ABS(K13) &gt; TRK_TOL, "tu", "vw")</f>
        <v>vw</v>
      </c>
      <c r="K13" s="313">
        <f xml:space="preserve"> H13 - INDEX(M13:O13, $J$5)</f>
        <v>-7.0291697978973611E-3</v>
      </c>
      <c r="L13" s="313">
        <f xml:space="preserve"> IF(ABS(K13) &gt; TRK_TOL, IF(INDEX(M13:O13, $J$5) = 0, 0, H13 / INDEX(M13:O13, $J$5) - 1), 0)</f>
        <v>0</v>
      </c>
      <c r="M13" s="178"/>
      <c r="N13" s="559">
        <v>7.7670517563819916E-2</v>
      </c>
    </row>
    <row r="14" spans="1:15" outlineLevel="1" x14ac:dyDescent="0.2">
      <c r="B14" s="96"/>
      <c r="C14" s="97"/>
      <c r="D14" s="107"/>
      <c r="E14" s="403" t="str">
        <f xml:space="preserve"> Metrics!E$185</f>
        <v>Project IRR - P99</v>
      </c>
      <c r="G14" s="403" t="str">
        <f xml:space="preserve"> Metrics!G$185</f>
        <v>%</v>
      </c>
      <c r="H14" s="315">
        <f ca="1" xml:space="preserve"> Metrics!F$185</f>
        <v>3.8544139266014105E-2</v>
      </c>
      <c r="J14" s="354" t="str">
        <f t="shared" ref="J14" ca="1" si="2" xml:space="preserve"> IF(ABS(K14) &gt; TRK_TOL, "tu", "vw")</f>
        <v>tu</v>
      </c>
      <c r="K14" s="313">
        <f ca="1" xml:space="preserve"> H14 - INDEX(M14:O14, $J$5)</f>
        <v>-1.1469405889511106E-2</v>
      </c>
      <c r="L14" s="313">
        <f ca="1" xml:space="preserve"> IF(ABS(K14) &gt; TRK_TOL, IF(INDEX(M14:O14, $J$5) = 0, 0, H14 / INDEX(M14:O14, $J$5) - 1), 0)</f>
        <v>-0.22932599266548959</v>
      </c>
      <c r="M14" s="178"/>
      <c r="N14" s="559">
        <v>5.001354515552521E-2</v>
      </c>
    </row>
    <row r="15" spans="1:15" outlineLevel="1" x14ac:dyDescent="0.2">
      <c r="B15" s="96"/>
      <c r="C15" s="97"/>
      <c r="D15" s="107"/>
      <c r="K15" s="44"/>
      <c r="L15" s="283"/>
      <c r="N15" s="113"/>
    </row>
    <row r="16" spans="1:15" outlineLevel="1" x14ac:dyDescent="0.2">
      <c r="A16" s="311"/>
      <c r="B16" s="311"/>
      <c r="C16" s="313"/>
      <c r="D16" s="313"/>
      <c r="E16" s="403" t="str">
        <f xml:space="preserve"> Metrics!E$60</f>
        <v>Blended equity IRR</v>
      </c>
      <c r="F16" s="315"/>
      <c r="G16" s="403" t="str">
        <f xml:space="preserve"> Metrics!G$60</f>
        <v>%</v>
      </c>
      <c r="H16" s="315">
        <f xml:space="preserve"> Metrics!F$60</f>
        <v>9.9999994039535522E-2</v>
      </c>
      <c r="I16" s="315"/>
      <c r="J16" s="354" t="str">
        <f t="shared" si="0"/>
        <v>vw</v>
      </c>
      <c r="K16" s="313">
        <f xml:space="preserve"> H16 - INDEX(M16:O16, $J$5)</f>
        <v>0</v>
      </c>
      <c r="L16" s="313">
        <f xml:space="preserve"> IF(ABS(K16) &gt; TRK_TOL, IF(INDEX(M16:O16, $J$5) = 0, 0, H16 / INDEX(M16:O16, $J$5) - 1), 0)</f>
        <v>0</v>
      </c>
      <c r="M16" s="348"/>
      <c r="N16" s="449">
        <v>9.9999994039535522E-2</v>
      </c>
      <c r="O16" s="348"/>
    </row>
    <row r="17" spans="1:15" outlineLevel="1" x14ac:dyDescent="0.2">
      <c r="A17" s="311"/>
      <c r="B17" s="311"/>
      <c r="C17" s="313"/>
      <c r="D17" s="313"/>
      <c r="E17" s="403" t="str">
        <f xml:space="preserve"> Metrics!E$210</f>
        <v>Blended equity IRR - P99</v>
      </c>
      <c r="F17" s="315"/>
      <c r="G17" s="403" t="str">
        <f xml:space="preserve"> Metrics!G$210</f>
        <v>%</v>
      </c>
      <c r="H17" s="315">
        <f ca="1" xml:space="preserve"> Metrics!F$210</f>
        <v>3.0456453561782835E-3</v>
      </c>
      <c r="I17" s="315"/>
      <c r="J17" s="354" t="str">
        <f t="shared" ref="J17" ca="1" si="3" xml:space="preserve"> IF(ABS(K17) &gt; TRK_TOL, "tu", "vw")</f>
        <v>tu</v>
      </c>
      <c r="K17" s="313">
        <f ca="1" xml:space="preserve"> H17 - INDEX(M17:O17, $J$5)</f>
        <v>-3.6715167760849002E-2</v>
      </c>
      <c r="L17" s="313">
        <f ca="1" xml:space="preserve"> IF(ABS(K17) &gt; TRK_TOL, IF(INDEX(M17:O17, $J$5) = 0, 0, H17 / INDEX(M17:O17, $J$5) - 1), 0)</f>
        <v>-0.92340082816681612</v>
      </c>
      <c r="M17" s="348"/>
      <c r="N17" s="449">
        <v>3.9760813117027283E-2</v>
      </c>
      <c r="O17" s="348"/>
    </row>
    <row r="18" spans="1:15" outlineLevel="1" x14ac:dyDescent="0.2">
      <c r="B18" s="96"/>
      <c r="C18" s="97"/>
      <c r="D18" s="107"/>
      <c r="K18" s="44"/>
      <c r="L18" s="283"/>
      <c r="N18" s="113"/>
    </row>
    <row r="19" spans="1:15" outlineLevel="1" x14ac:dyDescent="0.2">
      <c r="A19" s="412"/>
      <c r="B19" s="412"/>
      <c r="C19" s="413"/>
      <c r="D19" s="413"/>
      <c r="E19" s="414" t="str">
        <f xml:space="preserve"> Metrics!E$95</f>
        <v>Min ADSCR</v>
      </c>
      <c r="F19" s="415"/>
      <c r="G19" s="414" t="str">
        <f xml:space="preserve"> Metrics!G$95</f>
        <v>ratio</v>
      </c>
      <c r="H19" s="416">
        <f xml:space="preserve"> Metrics!F$95</f>
        <v>1.3999992767365237</v>
      </c>
      <c r="I19" s="416"/>
      <c r="J19" s="354" t="str">
        <f t="shared" ref="J19:J20" si="4" xml:space="preserve"> IF(ABS(K19) &gt; TRK_TOL, "tu", "vw")</f>
        <v>vw</v>
      </c>
      <c r="K19" s="413">
        <f xml:space="preserve"> H19 - INDEX(M19:O19, $J$5)</f>
        <v>-5.5558348255324574E-7</v>
      </c>
      <c r="L19" s="313">
        <f xml:space="preserve"> IF(ABS(K19) &gt; TRK_TOL, IF(INDEX(M19:O19, $J$5) = 0, 0, H19 / INDEX(M19:O19, $J$5) - 1), 0)</f>
        <v>0</v>
      </c>
      <c r="M19" s="417"/>
      <c r="N19" s="418">
        <v>1.3999998323200062</v>
      </c>
      <c r="O19" s="417"/>
    </row>
    <row r="20" spans="1:15" outlineLevel="1" x14ac:dyDescent="0.2">
      <c r="A20" s="412"/>
      <c r="B20" s="412"/>
      <c r="C20" s="413"/>
      <c r="D20" s="413"/>
      <c r="E20" s="414" t="str">
        <f xml:space="preserve"> Metrics!E$96</f>
        <v>Avg ADSCR</v>
      </c>
      <c r="F20" s="415"/>
      <c r="G20" s="414" t="str">
        <f xml:space="preserve"> Metrics!G$96</f>
        <v>ratio</v>
      </c>
      <c r="H20" s="416">
        <f xml:space="preserve"> Metrics!F$96</f>
        <v>1.3999998745014544</v>
      </c>
      <c r="I20" s="416"/>
      <c r="J20" s="354" t="str">
        <f t="shared" si="4"/>
        <v>vw</v>
      </c>
      <c r="K20" s="413">
        <f xml:space="preserve"> H20 - INDEX(M20:O20, $J$5)</f>
        <v>-5.0083207137063823E-8</v>
      </c>
      <c r="L20" s="313">
        <f xml:space="preserve"> IF(ABS(K20) &gt; TRK_TOL, IF(INDEX(M20:O20, $J$5) = 0, 0, H20 / INDEX(M20:O20, $J$5) - 1), 0)</f>
        <v>0</v>
      </c>
      <c r="M20" s="417"/>
      <c r="N20" s="418">
        <v>1.3999999245846615</v>
      </c>
      <c r="O20" s="417"/>
    </row>
    <row r="21" spans="1:15" outlineLevel="1" x14ac:dyDescent="0.2">
      <c r="B21" s="96"/>
      <c r="C21" s="97"/>
      <c r="D21" s="107"/>
      <c r="K21" s="44"/>
      <c r="L21" s="283"/>
      <c r="N21" s="113"/>
    </row>
    <row r="22" spans="1:15" outlineLevel="1" x14ac:dyDescent="0.2">
      <c r="A22" s="412"/>
      <c r="B22" s="412"/>
      <c r="C22" s="413"/>
      <c r="D22" s="413"/>
      <c r="E22" s="414" t="str">
        <f xml:space="preserve"> Metrics!E$245</f>
        <v>Min ADSCR - P99</v>
      </c>
      <c r="F22" s="415"/>
      <c r="G22" s="414" t="str">
        <f xml:space="preserve"> Metrics!G$245</f>
        <v>ratio</v>
      </c>
      <c r="H22" s="416">
        <f ca="1" xml:space="preserve"> Metrics!F$245</f>
        <v>1.0286122465988319</v>
      </c>
      <c r="I22" s="416"/>
      <c r="J22" s="354" t="str">
        <f t="shared" ref="J22:J23" ca="1" si="5" xml:space="preserve"> IF(ABS(K22) &gt; TRK_TOL, "tu", "vw")</f>
        <v>tu</v>
      </c>
      <c r="K22" s="413">
        <f ca="1" xml:space="preserve"> H22 - INDEX(M22:O22, $J$5)</f>
        <v>-6.1500974458518431E-2</v>
      </c>
      <c r="L22" s="313">
        <f ca="1" xml:space="preserve"> IF(ABS(K22) &gt; TRK_TOL, IF(INDEX(M22:O22, $J$5) = 0, 0, H22 / INDEX(M22:O22, $J$5) - 1), 0)</f>
        <v>-5.641705216533921E-2</v>
      </c>
      <c r="M22" s="417"/>
      <c r="N22" s="418">
        <v>1.0901132210573503</v>
      </c>
      <c r="O22" s="417"/>
    </row>
    <row r="23" spans="1:15" outlineLevel="1" x14ac:dyDescent="0.2">
      <c r="A23" s="412"/>
      <c r="B23" s="412"/>
      <c r="C23" s="413"/>
      <c r="D23" s="413"/>
      <c r="E23" s="414" t="str">
        <f xml:space="preserve"> Metrics!E$246</f>
        <v>Avg ADSCR - P99</v>
      </c>
      <c r="F23" s="415"/>
      <c r="G23" s="414" t="str">
        <f xml:space="preserve"> Metrics!G$246</f>
        <v>ratio</v>
      </c>
      <c r="H23" s="416">
        <f ca="1" xml:space="preserve"> Metrics!F$246</f>
        <v>1.0533692865333464</v>
      </c>
      <c r="I23" s="416"/>
      <c r="J23" s="354" t="str">
        <f t="shared" ca="1" si="5"/>
        <v>tu</v>
      </c>
      <c r="K23" s="413">
        <f ca="1" xml:space="preserve"> H23 - INDEX(M23:O23, $J$5)</f>
        <v>-4.3674924067553134E-2</v>
      </c>
      <c r="L23" s="313">
        <f ca="1" xml:space="preserve"> IF(ABS(K23) &gt; TRK_TOL, IF(INDEX(M23:O23, $J$5) = 0, 0, H23 / INDEX(M23:O23, $J$5) - 1), 0)</f>
        <v>-3.9811453034905853E-2</v>
      </c>
      <c r="M23" s="417"/>
      <c r="N23" s="418">
        <v>1.0970442106008995</v>
      </c>
      <c r="O23" s="417"/>
    </row>
    <row r="24" spans="1:15" outlineLevel="1" x14ac:dyDescent="0.2">
      <c r="B24" s="96"/>
      <c r="C24" s="97"/>
      <c r="D24" s="107"/>
      <c r="K24" s="44"/>
      <c r="L24" s="283"/>
      <c r="N24" s="113"/>
    </row>
    <row r="25" spans="1:15" outlineLevel="1" x14ac:dyDescent="0.2">
      <c r="A25" s="412"/>
      <c r="B25" s="412"/>
      <c r="C25" s="413"/>
      <c r="D25" s="413"/>
      <c r="E25" s="414" t="str">
        <f xml:space="preserve"> Metrics!E$71</f>
        <v>Min DSCR - P50</v>
      </c>
      <c r="F25" s="415"/>
      <c r="G25" s="414" t="str">
        <f xml:space="preserve"> Metrics!G$71</f>
        <v>ratio</v>
      </c>
      <c r="H25" s="416">
        <f xml:space="preserve"> Metrics!F$71</f>
        <v>1.3999990581391102</v>
      </c>
      <c r="I25" s="416"/>
      <c r="J25" s="354" t="str">
        <f t="shared" ref="J25:J26" si="6" xml:space="preserve"> IF(ABS(K25) &gt; TRK_TOL, "tu", "vw")</f>
        <v>vw</v>
      </c>
      <c r="K25" s="413">
        <f xml:space="preserve"> H25 - INDEX(M25:O25, $J$5)</f>
        <v>-8.6301889168360901E-7</v>
      </c>
      <c r="L25" s="313">
        <f xml:space="preserve"> IF(ABS(K25) &gt; TRK_TOL, IF(INDEX(M25:O25, $J$5) = 0, 0, H25 / INDEX(M25:O25, $J$5) - 1), 0)</f>
        <v>0</v>
      </c>
      <c r="M25" s="417"/>
      <c r="N25" s="418">
        <v>1.3999999211580019</v>
      </c>
      <c r="O25" s="417"/>
    </row>
    <row r="26" spans="1:15" outlineLevel="1" x14ac:dyDescent="0.2">
      <c r="A26" s="412"/>
      <c r="B26" s="412"/>
      <c r="C26" s="413"/>
      <c r="D26" s="413"/>
      <c r="E26" s="414" t="str">
        <f xml:space="preserve"> Metrics!E$72</f>
        <v>Avg DSCR - P50</v>
      </c>
      <c r="F26" s="415"/>
      <c r="G26" s="414" t="str">
        <f xml:space="preserve"> Metrics!G$72</f>
        <v>ratio</v>
      </c>
      <c r="H26" s="416">
        <f xml:space="preserve"> Metrics!F$72</f>
        <v>1.3999998707491461</v>
      </c>
      <c r="I26" s="416"/>
      <c r="J26" s="354" t="str">
        <f t="shared" si="6"/>
        <v>vw</v>
      </c>
      <c r="K26" s="413">
        <f xml:space="preserve"> H26 - INDEX(M26:O26, $J$5)</f>
        <v>-5.7144526000030282E-8</v>
      </c>
      <c r="L26" s="313">
        <f xml:space="preserve"> IF(ABS(K26) &gt; TRK_TOL, IF(INDEX(M26:O26, $J$5) = 0, 0, H26 / INDEX(M26:O26, $J$5) - 1), 0)</f>
        <v>0</v>
      </c>
      <c r="M26" s="417"/>
      <c r="N26" s="418">
        <v>1.3999999278936721</v>
      </c>
      <c r="O26" s="417"/>
    </row>
    <row r="27" spans="1:15" outlineLevel="1" x14ac:dyDescent="0.2">
      <c r="B27" s="96"/>
      <c r="C27" s="97"/>
      <c r="D27" s="107"/>
      <c r="K27" s="44"/>
      <c r="L27" s="283"/>
      <c r="N27" s="113"/>
    </row>
    <row r="28" spans="1:15" outlineLevel="1" x14ac:dyDescent="0.2">
      <c r="A28" s="412"/>
      <c r="B28" s="412"/>
      <c r="C28" s="413"/>
      <c r="D28" s="413"/>
      <c r="E28" s="414" t="str">
        <f xml:space="preserve"> Metrics!E$221</f>
        <v>Min DSCR - P99</v>
      </c>
      <c r="F28" s="415"/>
      <c r="G28" s="414" t="str">
        <f xml:space="preserve"> Metrics!G$221</f>
        <v>ratio</v>
      </c>
      <c r="H28" s="416">
        <f ca="1" xml:space="preserve"> Metrics!F$221</f>
        <v>1.0269539347720498</v>
      </c>
      <c r="I28" s="416"/>
      <c r="J28" s="354" t="str">
        <f t="shared" ref="J28:J29" ca="1" si="7" xml:space="preserve"> IF(ABS(K28) &gt; TRK_TOL, "tu", "vw")</f>
        <v>tu</v>
      </c>
      <c r="K28" s="413">
        <f ca="1" xml:space="preserve"> H28 - INDEX(M28:O28, $J$5)</f>
        <v>-6.1943918352137306E-2</v>
      </c>
      <c r="L28" s="313">
        <f ca="1" xml:space="preserve"> IF(ABS(K28) &gt; TRK_TOL, IF(INDEX(M28:O28, $J$5) = 0, 0, H28 / INDEX(M28:O28, $J$5) - 1), 0)</f>
        <v>-5.688680363765275E-2</v>
      </c>
      <c r="M28" s="417"/>
      <c r="N28" s="418">
        <v>1.0888978531241871</v>
      </c>
      <c r="O28" s="417"/>
    </row>
    <row r="29" spans="1:15" outlineLevel="1" x14ac:dyDescent="0.2">
      <c r="A29" s="412"/>
      <c r="B29" s="412"/>
      <c r="C29" s="413"/>
      <c r="D29" s="413"/>
      <c r="E29" s="414" t="str">
        <f xml:space="preserve"> Metrics!E$222</f>
        <v>Avg DSCR - P99</v>
      </c>
      <c r="F29" s="415"/>
      <c r="G29" s="414" t="str">
        <f xml:space="preserve"> Metrics!G$222</f>
        <v>ratio</v>
      </c>
      <c r="H29" s="416">
        <f ca="1" xml:space="preserve"> Metrics!F$222</f>
        <v>1.0522433110088147</v>
      </c>
      <c r="I29" s="416"/>
      <c r="J29" s="354" t="str">
        <f t="shared" ca="1" si="7"/>
        <v>tu</v>
      </c>
      <c r="K29" s="413">
        <f ca="1" xml:space="preserve"> H29 - INDEX(M29:O29, $J$5)</f>
        <v>-4.4623954895940843E-2</v>
      </c>
      <c r="L29" s="313">
        <f ca="1" xml:space="preserve"> IF(ABS(K29) &gt; TRK_TOL, IF(INDEX(M29:O29, $J$5) = 0, 0, H29 / INDEX(M29:O29, $J$5) - 1), 0)</f>
        <v>-4.0683094739938808E-2</v>
      </c>
      <c r="M29" s="417"/>
      <c r="N29" s="418">
        <v>1.0968672659047556</v>
      </c>
      <c r="O29" s="417"/>
    </row>
    <row r="30" spans="1:15" outlineLevel="1" x14ac:dyDescent="0.2">
      <c r="B30" s="96"/>
      <c r="C30" s="97"/>
      <c r="D30" s="107"/>
      <c r="K30" s="44"/>
      <c r="L30" s="283"/>
      <c r="N30" s="113"/>
    </row>
    <row r="31" spans="1:15" outlineLevel="1" x14ac:dyDescent="0.2">
      <c r="A31" s="412"/>
      <c r="B31" s="412"/>
      <c r="C31" s="413"/>
      <c r="D31" s="413"/>
      <c r="E31" s="414" t="str">
        <f xml:space="preserve"> Metrics!E$126</f>
        <v>Min LLCR</v>
      </c>
      <c r="F31" s="415"/>
      <c r="G31" s="414" t="str">
        <f xml:space="preserve"> Metrics!G$126</f>
        <v>ratio</v>
      </c>
      <c r="H31" s="416">
        <f xml:space="preserve"> Metrics!F$126</f>
        <v>1.3999999518334354</v>
      </c>
      <c r="I31" s="416"/>
      <c r="J31" s="354" t="str">
        <f t="shared" ref="J31:J32" si="8" xml:space="preserve"> IF(ABS(K31) &gt; TRK_TOL, "tu", "vw")</f>
        <v>vw</v>
      </c>
      <c r="K31" s="413">
        <f xml:space="preserve"> H31 - INDEX(M31:O31, $J$5)</f>
        <v>-2.9908215237739455E-8</v>
      </c>
      <c r="L31" s="313">
        <f xml:space="preserve"> IF(ABS(K31) &gt; TRK_TOL, IF(INDEX(M31:O31, $J$5) = 0, 0, H31 / INDEX(M31:O31, $J$5) - 1), 0)</f>
        <v>0</v>
      </c>
      <c r="M31" s="417"/>
      <c r="N31" s="418">
        <v>1.3999999817416506</v>
      </c>
      <c r="O31" s="417"/>
    </row>
    <row r="32" spans="1:15" outlineLevel="1" x14ac:dyDescent="0.2">
      <c r="A32" s="412"/>
      <c r="B32" s="412"/>
      <c r="C32" s="413"/>
      <c r="D32" s="413"/>
      <c r="E32" s="414" t="str">
        <f xml:space="preserve"> Metrics!E$127</f>
        <v>Avg LLCR</v>
      </c>
      <c r="F32" s="415"/>
      <c r="G32" s="414" t="str">
        <f xml:space="preserve"> Metrics!G$127</f>
        <v>ratio</v>
      </c>
      <c r="H32" s="416">
        <f xml:space="preserve"> Metrics!F$127</f>
        <v>1.400000124542319</v>
      </c>
      <c r="I32" s="416"/>
      <c r="J32" s="354" t="str">
        <f t="shared" si="8"/>
        <v>vw</v>
      </c>
      <c r="K32" s="413">
        <f xml:space="preserve"> H32 - INDEX(M32:O32, $J$5)</f>
        <v>-1.0867893096566661E-7</v>
      </c>
      <c r="L32" s="313">
        <f xml:space="preserve"> IF(ABS(K32) &gt; TRK_TOL, IF(INDEX(M32:O32, $J$5) = 0, 0, H32 / INDEX(M32:O32, $J$5) - 1), 0)</f>
        <v>0</v>
      </c>
      <c r="M32" s="417"/>
      <c r="N32" s="418">
        <v>1.40000023322125</v>
      </c>
      <c r="O32" s="417"/>
    </row>
    <row r="33" spans="1:15" outlineLevel="1" x14ac:dyDescent="0.2">
      <c r="B33" s="96"/>
      <c r="C33" s="97"/>
      <c r="D33" s="107"/>
      <c r="K33" s="44"/>
      <c r="L33" s="283"/>
      <c r="N33" s="113"/>
    </row>
    <row r="34" spans="1:15" outlineLevel="1" x14ac:dyDescent="0.2">
      <c r="A34" s="412"/>
      <c r="B34" s="412"/>
      <c r="C34" s="413"/>
      <c r="D34" s="413"/>
      <c r="E34" s="414" t="str">
        <f xml:space="preserve"> Metrics!E$276</f>
        <v>Min LLCR - P99</v>
      </c>
      <c r="F34" s="415"/>
      <c r="G34" s="414" t="str">
        <f xml:space="preserve"> Metrics!G$276</f>
        <v>ratio</v>
      </c>
      <c r="H34" s="416">
        <f ca="1" xml:space="preserve"> Metrics!F$276</f>
        <v>1.0285944145416099</v>
      </c>
      <c r="I34" s="416"/>
      <c r="J34" s="354" t="str">
        <f t="shared" ref="J34:J35" ca="1" si="9" xml:space="preserve"> IF(ABS(K34) &gt; TRK_TOL, "tu", "vw")</f>
        <v>tu</v>
      </c>
      <c r="K34" s="413">
        <f ca="1" xml:space="preserve"> H34 - INDEX(M34:O34, $J$5)</f>
        <v>-6.1505201494244321E-2</v>
      </c>
      <c r="L34" s="313">
        <f ca="1" xml:space="preserve"> IF(ABS(K34) &gt; TRK_TOL, IF(INDEX(M34:O34, $J$5) = 0, 0, H34 / INDEX(M34:O34, $J$5) - 1), 0)</f>
        <v>-5.6421633940123672E-2</v>
      </c>
      <c r="M34" s="417"/>
      <c r="N34" s="418">
        <v>1.0900996160358543</v>
      </c>
      <c r="O34" s="417"/>
    </row>
    <row r="35" spans="1:15" outlineLevel="1" x14ac:dyDescent="0.2">
      <c r="A35" s="412"/>
      <c r="B35" s="412"/>
      <c r="C35" s="413"/>
      <c r="D35" s="413"/>
      <c r="E35" s="414" t="str">
        <f xml:space="preserve"> Metrics!E$277</f>
        <v>Avg LLCR - P99</v>
      </c>
      <c r="F35" s="415"/>
      <c r="G35" s="414" t="str">
        <f xml:space="preserve"> Metrics!G$277</f>
        <v>ratio</v>
      </c>
      <c r="H35" s="416">
        <f ca="1" xml:space="preserve"> Metrics!F$277</f>
        <v>1.0415978045589489</v>
      </c>
      <c r="I35" s="416"/>
      <c r="J35" s="354" t="str">
        <f t="shared" ca="1" si="9"/>
        <v>tu</v>
      </c>
      <c r="K35" s="413">
        <f ca="1" xml:space="preserve"> H35 - INDEX(M35:O35, $J$5)</f>
        <v>-5.2343003013352041E-2</v>
      </c>
      <c r="L35" s="313">
        <f ca="1" xml:space="preserve"> IF(ABS(K35) &gt; TRK_TOL, IF(INDEX(M35:O35, $J$5) = 0, 0, H35 / INDEX(M35:O35, $J$5) - 1), 0)</f>
        <v>-4.7848112668465892E-2</v>
      </c>
      <c r="M35" s="417"/>
      <c r="N35" s="418">
        <v>1.0939408075723009</v>
      </c>
      <c r="O35" s="417"/>
    </row>
    <row r="36" spans="1:15" outlineLevel="1" x14ac:dyDescent="0.2">
      <c r="B36" s="96"/>
      <c r="C36" s="97"/>
      <c r="D36" s="107"/>
      <c r="K36" s="44"/>
      <c r="L36" s="283"/>
      <c r="N36" s="113"/>
    </row>
    <row r="37" spans="1:15" outlineLevel="1" x14ac:dyDescent="0.2">
      <c r="A37" s="311"/>
      <c r="B37" s="311"/>
      <c r="C37" s="313"/>
      <c r="D37" s="313"/>
      <c r="E37" s="403" t="str">
        <f xml:space="preserve"> Metrics!E$149</f>
        <v>Average cost of debt</v>
      </c>
      <c r="F37" s="315"/>
      <c r="G37" s="403" t="str">
        <f xml:space="preserve"> Metrics!G$149</f>
        <v>% p.a.</v>
      </c>
      <c r="H37" s="315">
        <f xml:space="preserve"> Metrics!F$149</f>
        <v>5.0889906287193296E-2</v>
      </c>
      <c r="I37" s="315"/>
      <c r="J37" s="354" t="str">
        <f t="shared" ref="J37" si="10" xml:space="preserve"> IF(ABS(K37) &gt; TRK_TOL, "tu", "vw")</f>
        <v>vw</v>
      </c>
      <c r="K37" s="313">
        <f xml:space="preserve"> H37 - INDEX(M37:O37, $J$5)</f>
        <v>-2.7477562427520863E-3</v>
      </c>
      <c r="L37" s="313">
        <f xml:space="preserve"> IF(ABS(K37) &gt; TRK_TOL, IF(INDEX(M37:O37, $J$5) = 0, 0, H37 / INDEX(M37:O37, $J$5) - 1), 0)</f>
        <v>0</v>
      </c>
      <c r="M37" s="348"/>
      <c r="N37" s="449">
        <v>5.3637662529945382E-2</v>
      </c>
      <c r="O37" s="348"/>
    </row>
    <row r="38" spans="1:15" outlineLevel="1" x14ac:dyDescent="0.2">
      <c r="B38" s="96"/>
      <c r="C38" s="97"/>
      <c r="D38" s="107"/>
      <c r="K38" s="44"/>
      <c r="L38" s="283"/>
      <c r="N38" s="113"/>
    </row>
    <row r="39" spans="1:15" outlineLevel="1" x14ac:dyDescent="0.2">
      <c r="B39" s="96"/>
      <c r="C39" s="97"/>
      <c r="D39" s="107"/>
      <c r="E39" s="593" t="str">
        <f xml:space="preserve"> Metrics!E$172</f>
        <v>Weighted average life of loan</v>
      </c>
      <c r="G39" s="593" t="str">
        <f xml:space="preserve"> Metrics!G$172</f>
        <v>years</v>
      </c>
      <c r="H39" s="593">
        <f xml:space="preserve"> Metrics!F$172</f>
        <v>11.611877382799589</v>
      </c>
      <c r="J39" s="354" t="str">
        <f t="shared" ref="J39" si="11" xml:space="preserve"> IF(ABS(K39) &gt; TRK_TOL, "tu", "vw")</f>
        <v>tu</v>
      </c>
      <c r="K39" s="594">
        <f xml:space="preserve"> H39 - INDEX(M39:O39, $J$5)</f>
        <v>0.83269609561863689</v>
      </c>
      <c r="L39" s="313">
        <f xml:space="preserve"> IF(ABS(K39) &gt; TRK_TOL, IF(INDEX(M39:O39, $J$5) = 0, 0, H39 / INDEX(M39:O39, $J$5) - 1), 0)</f>
        <v>7.7250402737814028E-2</v>
      </c>
      <c r="N39" s="595">
        <v>10.779181287180952</v>
      </c>
      <c r="O39" s="596"/>
    </row>
    <row r="40" spans="1:15" outlineLevel="1" x14ac:dyDescent="0.2">
      <c r="B40" s="96"/>
      <c r="C40" s="97"/>
      <c r="D40" s="107"/>
      <c r="K40" s="44"/>
      <c r="L40" s="283"/>
      <c r="N40" s="113"/>
    </row>
    <row r="41" spans="1:15" outlineLevel="1" x14ac:dyDescent="0.2">
      <c r="B41" s="96"/>
      <c r="C41" s="106"/>
      <c r="D41" s="107"/>
      <c r="E41" s="102" t="str">
        <f xml:space="preserve"> Equity!E$59</f>
        <v>Max cash balance</v>
      </c>
      <c r="G41" s="102" t="str">
        <f xml:space="preserve"> Equity!G$59</f>
        <v>$ 000s</v>
      </c>
      <c r="H41" s="102">
        <f xml:space="preserve"> Equity!F$59</f>
        <v>0</v>
      </c>
      <c r="I41" s="118"/>
      <c r="J41" s="354" t="str">
        <f t="shared" si="0"/>
        <v>vw</v>
      </c>
      <c r="K41" s="190">
        <f xml:space="preserve"> H41 - INDEX(M41:O41, $J$5)</f>
        <v>0</v>
      </c>
      <c r="L41" s="313">
        <f xml:space="preserve"> IF(ABS(K41) &gt; TRK_TOL, IF(INDEX(M41:O41, $J$5) = 0, 0, H41 / INDEX(M41:O41, $J$5) - 1), 0)</f>
        <v>0</v>
      </c>
      <c r="M41" s="175"/>
      <c r="N41" s="555">
        <v>0</v>
      </c>
      <c r="O41" s="173"/>
    </row>
    <row r="42" spans="1:15" outlineLevel="1" x14ac:dyDescent="0.2">
      <c r="A42" s="109"/>
      <c r="B42" s="109"/>
      <c r="C42" s="116"/>
      <c r="D42" s="110"/>
      <c r="E42" s="102" t="str">
        <f xml:space="preserve"> Equity!E$65</f>
        <v>Average cash balance</v>
      </c>
      <c r="G42" s="102" t="str">
        <f xml:space="preserve"> Equity!G$65</f>
        <v>$ 000s</v>
      </c>
      <c r="H42" s="102">
        <f xml:space="preserve"> Equity!F$65</f>
        <v>0</v>
      </c>
      <c r="I42" s="106"/>
      <c r="J42" s="354" t="str">
        <f t="shared" si="0"/>
        <v>vw</v>
      </c>
      <c r="K42" s="190">
        <f xml:space="preserve"> H42 - INDEX(M42:O42, $J$5)</f>
        <v>0</v>
      </c>
      <c r="L42" s="313">
        <f xml:space="preserve"> IF(ABS(K42) &gt; TRK_TOL, IF(INDEX(M42:O42, $J$5) = 0, 0, H42 / INDEX(M42:O42, $J$5) - 1), 0)</f>
        <v>0</v>
      </c>
      <c r="M42" s="170"/>
      <c r="N42" s="113">
        <v>0</v>
      </c>
      <c r="O42" s="170"/>
    </row>
    <row r="43" spans="1:15" outlineLevel="1" x14ac:dyDescent="0.2">
      <c r="A43" s="556"/>
      <c r="B43" s="556"/>
      <c r="C43" s="557"/>
      <c r="D43" s="115"/>
      <c r="E43" s="112" t="str">
        <f xml:space="preserve"> Debt!E$67</f>
        <v>Leverage</v>
      </c>
      <c r="F43" s="558"/>
      <c r="G43" s="112" t="str">
        <f xml:space="preserve"> Debt!G$67</f>
        <v>%</v>
      </c>
      <c r="H43" s="112">
        <f xml:space="preserve"> Debt!F$67</f>
        <v>0.71796762690416871</v>
      </c>
      <c r="I43" s="115"/>
      <c r="J43" s="354" t="str">
        <f t="shared" si="0"/>
        <v>tu</v>
      </c>
      <c r="K43" s="313">
        <f xml:space="preserve"> H43 - INDEX(M43:O43, $J$5)</f>
        <v>-2.1534113374931496E-2</v>
      </c>
      <c r="L43" s="313">
        <f xml:space="preserve"> IF(ABS(K43) &gt; TRK_TOL, IF(INDEX(M43:O43, $J$5) = 0, 0, H43 / INDEX(M43:O43, $J$5) - 1), 0)</f>
        <v>-2.9119760241272941E-2</v>
      </c>
      <c r="M43" s="178"/>
      <c r="N43" s="559">
        <v>0.73950174027910021</v>
      </c>
      <c r="O43" s="178"/>
    </row>
    <row r="44" spans="1:15" outlineLevel="1" x14ac:dyDescent="0.2">
      <c r="A44" s="109"/>
      <c r="B44" s="109"/>
      <c r="C44" s="116"/>
      <c r="D44" s="110"/>
      <c r="E44" s="102"/>
      <c r="G44" s="102"/>
      <c r="H44" s="102"/>
      <c r="I44" s="106"/>
      <c r="J44" s="354"/>
      <c r="K44" s="190"/>
      <c r="L44" s="313"/>
      <c r="M44" s="170"/>
      <c r="N44" s="113"/>
      <c r="O44" s="170"/>
    </row>
    <row r="45" spans="1:15" collapsed="1" x14ac:dyDescent="0.2">
      <c r="A45" s="109"/>
      <c r="B45" s="109"/>
      <c r="C45" s="116"/>
      <c r="D45" s="110"/>
      <c r="E45" s="102"/>
      <c r="F45" s="102"/>
      <c r="G45" s="102"/>
      <c r="H45" s="119"/>
      <c r="I45" s="106"/>
      <c r="K45" s="44"/>
      <c r="L45" s="283"/>
      <c r="M45" s="170"/>
      <c r="N45" s="113"/>
      <c r="O45" s="170"/>
    </row>
    <row r="46" spans="1:15" collapsed="1" x14ac:dyDescent="0.2">
      <c r="A46" s="109" t="s">
        <v>557</v>
      </c>
      <c r="B46" s="109"/>
      <c r="C46" s="116"/>
      <c r="D46" s="110"/>
      <c r="E46" s="102"/>
      <c r="F46" s="102"/>
      <c r="G46" s="102"/>
      <c r="H46" s="119"/>
      <c r="I46" s="106"/>
      <c r="K46" s="44"/>
      <c r="L46" s="283"/>
      <c r="M46" s="170"/>
      <c r="N46" s="113"/>
      <c r="O46" s="170"/>
    </row>
    <row r="47" spans="1:15" hidden="1" outlineLevel="1" x14ac:dyDescent="0.2">
      <c r="A47" s="109"/>
      <c r="B47" s="109"/>
      <c r="C47" s="116"/>
      <c r="D47" s="110"/>
      <c r="E47" s="102"/>
      <c r="F47" s="102"/>
      <c r="G47" s="102"/>
      <c r="H47" s="119"/>
      <c r="I47" s="106"/>
      <c r="K47" s="44"/>
      <c r="L47" s="283"/>
      <c r="M47" s="170"/>
      <c r="N47" s="113"/>
      <c r="O47" s="170"/>
    </row>
    <row r="48" spans="1:15" hidden="1" outlineLevel="1" x14ac:dyDescent="0.2">
      <c r="A48" s="109"/>
      <c r="B48" s="109" t="s">
        <v>558</v>
      </c>
      <c r="C48" s="116"/>
      <c r="D48" s="110"/>
      <c r="E48" s="102"/>
      <c r="F48" s="102"/>
      <c r="G48" s="102"/>
      <c r="H48" s="119"/>
      <c r="I48" s="106"/>
      <c r="K48" s="44"/>
      <c r="L48" s="283"/>
      <c r="M48" s="170"/>
      <c r="N48" s="113"/>
      <c r="O48" s="170"/>
    </row>
    <row r="49" spans="1:15" hidden="1" outlineLevel="1" x14ac:dyDescent="0.2">
      <c r="A49" s="109"/>
      <c r="B49" s="109"/>
      <c r="C49" s="116"/>
      <c r="D49" s="110"/>
      <c r="E49" s="102" t="str">
        <f>'S&amp;U'!E9</f>
        <v>Share capital drawdown - m</v>
      </c>
      <c r="F49" s="102"/>
      <c r="G49" s="102" t="str">
        <f>'S&amp;U'!G9</f>
        <v>$ 000s</v>
      </c>
      <c r="H49" s="318">
        <f>'S&amp;U'!H9</f>
        <v>100</v>
      </c>
      <c r="I49" s="318"/>
      <c r="J49" s="354" t="str">
        <f t="shared" ref="J49:J56" si="12" xml:space="preserve"> IF(ABS(K49) &gt; TRK_TOL, "tu", "vw")</f>
        <v>vw</v>
      </c>
      <c r="K49" s="190">
        <f t="shared" ref="K49:K56" si="13" xml:space="preserve"> H49 - INDEX(M49:O49, $J$5)</f>
        <v>0</v>
      </c>
      <c r="L49" s="313">
        <f t="shared" ref="L49:L56" si="14" xml:space="preserve"> IF(ABS(K49) &gt; TRK_TOL, IF(INDEX(M49:O49, $J$5) = 0, 0, H49 / INDEX(M49:O49, $J$5) - 1), 0)</f>
        <v>0</v>
      </c>
      <c r="M49" s="170"/>
      <c r="N49" s="113">
        <v>100</v>
      </c>
      <c r="O49" s="170"/>
    </row>
    <row r="50" spans="1:15" hidden="1" outlineLevel="1" x14ac:dyDescent="0.2">
      <c r="A50" s="109"/>
      <c r="B50" s="109"/>
      <c r="C50" s="116"/>
      <c r="D50" s="110"/>
      <c r="E50" s="102" t="str">
        <f>'S&amp;U'!E10</f>
        <v>Shareholder drawdown - m</v>
      </c>
      <c r="F50" s="102"/>
      <c r="G50" s="102" t="str">
        <f>'S&amp;U'!G10</f>
        <v>$ 000s</v>
      </c>
      <c r="H50" s="318">
        <f>'S&amp;U'!H10</f>
        <v>86318.253106861201</v>
      </c>
      <c r="I50" s="318"/>
      <c r="J50" s="354" t="str">
        <f t="shared" si="12"/>
        <v>tu</v>
      </c>
      <c r="K50" s="190">
        <f t="shared" si="13"/>
        <v>-4185.4870417569473</v>
      </c>
      <c r="L50" s="313">
        <f t="shared" si="14"/>
        <v>-4.6246564339593843E-2</v>
      </c>
      <c r="M50" s="170"/>
      <c r="N50" s="113">
        <v>90503.740148618148</v>
      </c>
      <c r="O50" s="170"/>
    </row>
    <row r="51" spans="1:15" hidden="1" outlineLevel="1" x14ac:dyDescent="0.2">
      <c r="A51" s="109"/>
      <c r="B51" s="109"/>
      <c r="C51" s="116"/>
      <c r="D51" s="110"/>
      <c r="E51" s="102" t="str">
        <f>'S&amp;U'!E11</f>
        <v>Equity bridge drawdown - m</v>
      </c>
      <c r="F51" s="102"/>
      <c r="G51" s="102" t="str">
        <f>'S&amp;U'!G11</f>
        <v>$ 000s</v>
      </c>
      <c r="H51" s="318">
        <f>'S&amp;U'!H11</f>
        <v>86318.253106861201</v>
      </c>
      <c r="I51" s="318"/>
      <c r="J51" s="354" t="str">
        <f t="shared" si="12"/>
        <v>tu</v>
      </c>
      <c r="K51" s="190">
        <f t="shared" si="13"/>
        <v>86318.253106861201</v>
      </c>
      <c r="L51" s="313">
        <f t="shared" si="14"/>
        <v>0</v>
      </c>
      <c r="M51" s="170"/>
      <c r="N51" s="113">
        <v>0</v>
      </c>
      <c r="O51" s="170"/>
    </row>
    <row r="52" spans="1:15" hidden="1" outlineLevel="1" x14ac:dyDescent="0.2">
      <c r="A52" s="109"/>
      <c r="B52" s="109"/>
      <c r="C52" s="116"/>
      <c r="D52" s="110"/>
      <c r="E52" s="102" t="str">
        <f>'S&amp;U'!E12</f>
        <v>Standby equity drawdown - m</v>
      </c>
      <c r="F52" s="102"/>
      <c r="G52" s="102" t="str">
        <f>'S&amp;U'!G12</f>
        <v>$ 000s</v>
      </c>
      <c r="H52" s="318">
        <f>'S&amp;U'!H12</f>
        <v>0</v>
      </c>
      <c r="I52" s="318"/>
      <c r="J52" s="354" t="str">
        <f t="shared" si="12"/>
        <v>vw</v>
      </c>
      <c r="K52" s="190">
        <f t="shared" si="13"/>
        <v>1.8189894035458565E-12</v>
      </c>
      <c r="L52" s="313">
        <f t="shared" si="14"/>
        <v>0</v>
      </c>
      <c r="M52" s="170"/>
      <c r="N52" s="113">
        <v>-1.8189894035458565E-12</v>
      </c>
      <c r="O52" s="170"/>
    </row>
    <row r="53" spans="1:15" hidden="1" outlineLevel="1" x14ac:dyDescent="0.2">
      <c r="A53" s="109"/>
      <c r="B53" s="109"/>
      <c r="C53" s="116"/>
      <c r="D53" s="110"/>
      <c r="E53" s="102" t="str">
        <f>'S&amp;U'!E13</f>
        <v>Construction debt drawdown - m</v>
      </c>
      <c r="F53" s="102"/>
      <c r="G53" s="102" t="str">
        <f>'S&amp;U'!G13</f>
        <v>$ 000s</v>
      </c>
      <c r="H53" s="318">
        <f>'S&amp;U'!H13</f>
        <v>250389.85226030689</v>
      </c>
      <c r="I53" s="318"/>
      <c r="J53" s="354" t="str">
        <f t="shared" si="12"/>
        <v>tu</v>
      </c>
      <c r="K53" s="190">
        <f t="shared" si="13"/>
        <v>-6815.7750166375481</v>
      </c>
      <c r="L53" s="313">
        <f t="shared" si="14"/>
        <v>-2.6499323085566462E-2</v>
      </c>
      <c r="M53" s="170"/>
      <c r="N53" s="113">
        <v>257205.62727694443</v>
      </c>
      <c r="O53" s="170"/>
    </row>
    <row r="54" spans="1:15" hidden="1" outlineLevel="1" x14ac:dyDescent="0.2">
      <c r="A54" s="109"/>
      <c r="B54" s="109"/>
      <c r="C54" s="116"/>
      <c r="D54" s="110"/>
      <c r="E54" s="102" t="str">
        <f>'S&amp;U'!E14</f>
        <v>Standby debt drawdown</v>
      </c>
      <c r="F54" s="102"/>
      <c r="G54" s="102" t="str">
        <f>'S&amp;U'!G14</f>
        <v>$ 000s</v>
      </c>
      <c r="H54" s="318">
        <f>'S&amp;U'!H14</f>
        <v>0</v>
      </c>
      <c r="I54" s="318"/>
      <c r="J54" s="354" t="str">
        <f t="shared" si="12"/>
        <v>vw</v>
      </c>
      <c r="K54" s="190">
        <f t="shared" si="13"/>
        <v>0</v>
      </c>
      <c r="L54" s="313">
        <f t="shared" si="14"/>
        <v>0</v>
      </c>
      <c r="M54" s="170"/>
      <c r="N54" s="113">
        <v>0</v>
      </c>
      <c r="O54" s="170"/>
    </row>
    <row r="55" spans="1:15" hidden="1" outlineLevel="1" x14ac:dyDescent="0.2">
      <c r="A55" s="109"/>
      <c r="B55" s="109"/>
      <c r="C55" s="116"/>
      <c r="D55" s="110"/>
      <c r="E55" s="102" t="str">
        <f>'S&amp;U'!E15</f>
        <v>Net cash during EGR period</v>
      </c>
      <c r="F55" s="102"/>
      <c r="G55" s="102" t="str">
        <f>'S&amp;U'!G15</f>
        <v>$ 000s</v>
      </c>
      <c r="H55" s="318">
        <f>'S&amp;U'!H15</f>
        <v>11940</v>
      </c>
      <c r="I55" s="318"/>
      <c r="J55" s="354" t="str">
        <f t="shared" ref="J55" si="15" xml:space="preserve"> IF(ABS(K55) &gt; TRK_TOL, "tu", "vw")</f>
        <v>tu</v>
      </c>
      <c r="K55" s="190">
        <f t="shared" si="13"/>
        <v>11940</v>
      </c>
      <c r="L55" s="313">
        <f t="shared" si="14"/>
        <v>0</v>
      </c>
      <c r="M55" s="170"/>
      <c r="N55" s="113">
        <v>0</v>
      </c>
      <c r="O55" s="170"/>
    </row>
    <row r="56" spans="1:15" hidden="1" outlineLevel="1" x14ac:dyDescent="0.2">
      <c r="A56" s="821"/>
      <c r="B56" s="821"/>
      <c r="C56" s="822"/>
      <c r="D56" s="823"/>
      <c r="E56" s="824" t="str">
        <f>'S&amp;U'!E16</f>
        <v>Sources of cash</v>
      </c>
      <c r="F56" s="824"/>
      <c r="G56" s="824" t="str">
        <f>'S&amp;U'!G16</f>
        <v>$ 000s</v>
      </c>
      <c r="H56" s="323">
        <f>'S&amp;U'!H16</f>
        <v>435066.35847402923</v>
      </c>
      <c r="I56" s="323"/>
      <c r="J56" s="356" t="str">
        <f t="shared" si="12"/>
        <v>tu</v>
      </c>
      <c r="K56" s="324">
        <f t="shared" si="13"/>
        <v>87256.991048466705</v>
      </c>
      <c r="L56" s="325">
        <f t="shared" si="14"/>
        <v>0.25087590853096065</v>
      </c>
      <c r="M56" s="825"/>
      <c r="N56" s="826">
        <v>347809.36742556252</v>
      </c>
      <c r="O56" s="825"/>
    </row>
    <row r="57" spans="1:15" hidden="1" outlineLevel="1" x14ac:dyDescent="0.2">
      <c r="A57" s="109"/>
      <c r="B57" s="109"/>
      <c r="C57" s="116"/>
      <c r="D57" s="110"/>
      <c r="E57" s="102"/>
      <c r="F57" s="102"/>
      <c r="G57" s="102"/>
      <c r="H57" s="119"/>
      <c r="I57" s="106"/>
      <c r="K57" s="44"/>
      <c r="L57" s="283"/>
      <c r="M57" s="170"/>
      <c r="N57" s="113"/>
      <c r="O57" s="170"/>
    </row>
    <row r="58" spans="1:15" hidden="1" outlineLevel="1" x14ac:dyDescent="0.2">
      <c r="A58" s="109"/>
      <c r="B58" s="109" t="s">
        <v>559</v>
      </c>
      <c r="C58" s="116"/>
      <c r="D58" s="110"/>
      <c r="E58" s="102"/>
      <c r="F58" s="102"/>
      <c r="G58" s="102"/>
      <c r="H58" s="119"/>
      <c r="I58" s="106"/>
      <c r="K58" s="44"/>
      <c r="L58" s="283"/>
      <c r="M58" s="170"/>
      <c r="N58" s="113"/>
      <c r="O58" s="170"/>
    </row>
    <row r="59" spans="1:15" hidden="1" outlineLevel="1" x14ac:dyDescent="0.2">
      <c r="A59" s="109"/>
      <c r="B59" s="109"/>
      <c r="C59" s="116"/>
      <c r="D59" s="110"/>
      <c r="E59" s="102" t="str">
        <f>'S&amp;U'!E21</f>
        <v>EPC base cost including overrun</v>
      </c>
      <c r="F59" s="102"/>
      <c r="G59" s="102" t="str">
        <f>'S&amp;U'!G21</f>
        <v>$ 000s</v>
      </c>
      <c r="H59" s="318">
        <f>'S&amp;U'!H21</f>
        <v>300000</v>
      </c>
      <c r="I59" s="318"/>
      <c r="J59" s="354" t="str">
        <f t="shared" ref="J59:J83" si="16" xml:space="preserve"> IF(ABS(K59) &gt; TRK_TOL, "tu", "vw")</f>
        <v>vw</v>
      </c>
      <c r="K59" s="190">
        <f t="shared" ref="K59:K83" si="17" xml:space="preserve"> H59 - INDEX(M59:O59, $J$5)</f>
        <v>0</v>
      </c>
      <c r="L59" s="313">
        <f t="shared" ref="L59:L83" si="18" xml:space="preserve"> IF(ABS(K59) &gt; TRK_TOL, IF(INDEX(M59:O59, $J$5) = 0, 0, H59 / INDEX(M59:O59, $J$5) - 1), 0)</f>
        <v>0</v>
      </c>
      <c r="M59" s="170"/>
      <c r="N59" s="113">
        <v>300000</v>
      </c>
      <c r="O59" s="170"/>
    </row>
    <row r="60" spans="1:15" hidden="1" outlineLevel="1" x14ac:dyDescent="0.2">
      <c r="A60" s="109"/>
      <c r="B60" s="109"/>
      <c r="C60" s="116"/>
      <c r="D60" s="110"/>
      <c r="E60" s="102" t="str">
        <f>'S&amp;U'!E22</f>
        <v>EPC contingency</v>
      </c>
      <c r="F60" s="102"/>
      <c r="G60" s="102" t="str">
        <f>'S&amp;U'!G22</f>
        <v>$ 000s</v>
      </c>
      <c r="H60" s="318">
        <f>'S&amp;U'!H22</f>
        <v>0</v>
      </c>
      <c r="I60" s="318"/>
      <c r="J60" s="354" t="str">
        <f t="shared" si="16"/>
        <v>vw</v>
      </c>
      <c r="K60" s="190">
        <f t="shared" si="17"/>
        <v>0</v>
      </c>
      <c r="L60" s="313">
        <f t="shared" si="18"/>
        <v>0</v>
      </c>
      <c r="M60" s="170"/>
      <c r="N60" s="113">
        <v>0</v>
      </c>
      <c r="O60" s="170"/>
    </row>
    <row r="61" spans="1:15" hidden="1" outlineLevel="1" x14ac:dyDescent="0.2">
      <c r="A61" s="109"/>
      <c r="B61" s="109"/>
      <c r="C61" s="116"/>
      <c r="D61" s="110"/>
      <c r="E61" s="102" t="str">
        <f>'S&amp;U'!E23</f>
        <v>Customs duties</v>
      </c>
      <c r="F61" s="102"/>
      <c r="G61" s="102" t="str">
        <f>'S&amp;U'!G23</f>
        <v>$ 000s</v>
      </c>
      <c r="H61" s="318">
        <f>'S&amp;U'!H23</f>
        <v>0</v>
      </c>
      <c r="I61" s="318"/>
      <c r="J61" s="354" t="str">
        <f t="shared" ref="J61" si="19" xml:space="preserve"> IF(ABS(K61) &gt; TRK_TOL, "tu", "vw")</f>
        <v>tu</v>
      </c>
      <c r="K61" s="190">
        <f t="shared" si="17"/>
        <v>-4800.0000000000027</v>
      </c>
      <c r="L61" s="313">
        <f t="shared" si="18"/>
        <v>-1</v>
      </c>
      <c r="M61" s="170"/>
      <c r="N61" s="113">
        <v>4800.0000000000027</v>
      </c>
      <c r="O61" s="170"/>
    </row>
    <row r="62" spans="1:15" hidden="1" outlineLevel="1" x14ac:dyDescent="0.2">
      <c r="A62" s="109"/>
      <c r="B62" s="109"/>
      <c r="C62" s="116"/>
      <c r="D62" s="110"/>
      <c r="E62" s="102" t="str">
        <f>'S&amp;U'!E24</f>
        <v>SPV costs during construction</v>
      </c>
      <c r="F62" s="102"/>
      <c r="G62" s="102" t="str">
        <f>'S&amp;U'!G24</f>
        <v>$ 000s</v>
      </c>
      <c r="H62" s="318">
        <f>'S&amp;U'!H24</f>
        <v>697.30772000000013</v>
      </c>
      <c r="I62" s="318"/>
      <c r="J62" s="354" t="str">
        <f t="shared" si="16"/>
        <v>tu</v>
      </c>
      <c r="K62" s="190">
        <f t="shared" si="17"/>
        <v>-6802.6922799999975</v>
      </c>
      <c r="L62" s="313">
        <f t="shared" si="18"/>
        <v>-0.9070256373333333</v>
      </c>
      <c r="M62" s="170"/>
      <c r="N62" s="113">
        <v>7499.9999999999973</v>
      </c>
      <c r="O62" s="170"/>
    </row>
    <row r="63" spans="1:15" hidden="1" outlineLevel="1" x14ac:dyDescent="0.2">
      <c r="A63" s="109"/>
      <c r="B63" s="109"/>
      <c r="C63" s="116"/>
      <c r="D63" s="110"/>
      <c r="E63" s="102" t="str">
        <f>'S&amp;U'!E25</f>
        <v>Construction insurance cost</v>
      </c>
      <c r="F63" s="102"/>
      <c r="G63" s="102" t="str">
        <f>'S&amp;U'!G25</f>
        <v>$ 000s</v>
      </c>
      <c r="H63" s="318">
        <f>'S&amp;U'!H25</f>
        <v>1300</v>
      </c>
      <c r="I63" s="318"/>
      <c r="J63" s="354" t="str">
        <f t="shared" si="16"/>
        <v>vw</v>
      </c>
      <c r="K63" s="190">
        <f t="shared" si="17"/>
        <v>0</v>
      </c>
      <c r="L63" s="313">
        <f t="shared" si="18"/>
        <v>0</v>
      </c>
      <c r="M63" s="170"/>
      <c r="N63" s="113">
        <v>1300</v>
      </c>
      <c r="O63" s="170"/>
    </row>
    <row r="64" spans="1:15" hidden="1" outlineLevel="1" x14ac:dyDescent="0.2">
      <c r="A64" s="109"/>
      <c r="B64" s="109"/>
      <c r="C64" s="116"/>
      <c r="D64" s="110"/>
      <c r="E64" s="102" t="str">
        <f>'S&amp;U'!E26</f>
        <v>Development costs</v>
      </c>
      <c r="F64" s="102"/>
      <c r="G64" s="102" t="str">
        <f>'S&amp;U'!G26</f>
        <v>$ 000s</v>
      </c>
      <c r="H64" s="318">
        <f>'S&amp;U'!H26</f>
        <v>5000</v>
      </c>
      <c r="I64" s="318"/>
      <c r="J64" s="354" t="str">
        <f t="shared" si="16"/>
        <v>tu</v>
      </c>
      <c r="K64" s="190">
        <f t="shared" si="17"/>
        <v>-2000</v>
      </c>
      <c r="L64" s="313">
        <f t="shared" si="18"/>
        <v>-0.2857142857142857</v>
      </c>
      <c r="M64" s="170"/>
      <c r="N64" s="113">
        <v>7000</v>
      </c>
      <c r="O64" s="170"/>
    </row>
    <row r="65" spans="1:15" hidden="1" outlineLevel="1" x14ac:dyDescent="0.2">
      <c r="A65" s="109"/>
      <c r="B65" s="109"/>
      <c r="C65" s="116"/>
      <c r="D65" s="110"/>
      <c r="E65" s="102" t="str">
        <f>'S&amp;U'!E27</f>
        <v>Success fee</v>
      </c>
      <c r="F65" s="102"/>
      <c r="G65" s="102" t="str">
        <f>'S&amp;U'!G27</f>
        <v>$ 000s</v>
      </c>
      <c r="H65" s="318">
        <f>'S&amp;U'!H27</f>
        <v>2000</v>
      </c>
      <c r="I65" s="318"/>
      <c r="J65" s="354" t="str">
        <f t="shared" si="16"/>
        <v>tu</v>
      </c>
      <c r="K65" s="190">
        <f t="shared" si="17"/>
        <v>2000</v>
      </c>
      <c r="L65" s="313">
        <f t="shared" si="18"/>
        <v>0</v>
      </c>
      <c r="M65" s="170"/>
      <c r="N65" s="113">
        <v>0</v>
      </c>
      <c r="O65" s="170"/>
    </row>
    <row r="66" spans="1:15" hidden="1" outlineLevel="1" x14ac:dyDescent="0.2">
      <c r="A66" s="109"/>
      <c r="B66" s="109"/>
      <c r="C66" s="116"/>
      <c r="D66" s="110"/>
      <c r="E66" s="102" t="str">
        <f>'S&amp;U'!E28</f>
        <v>O&amp;M mobilisation</v>
      </c>
      <c r="F66" s="102"/>
      <c r="G66" s="102" t="str">
        <f>'S&amp;U'!G28</f>
        <v>$ 000s</v>
      </c>
      <c r="H66" s="318">
        <f>'S&amp;U'!H28</f>
        <v>0</v>
      </c>
      <c r="I66" s="318"/>
      <c r="J66" s="354" t="str">
        <f t="shared" si="16"/>
        <v>vw</v>
      </c>
      <c r="K66" s="190">
        <f t="shared" si="17"/>
        <v>0</v>
      </c>
      <c r="L66" s="313">
        <f t="shared" si="18"/>
        <v>0</v>
      </c>
      <c r="M66" s="170"/>
      <c r="N66" s="113">
        <v>0</v>
      </c>
      <c r="O66" s="170"/>
    </row>
    <row r="67" spans="1:15" hidden="1" outlineLevel="1" x14ac:dyDescent="0.2">
      <c r="A67" s="109"/>
      <c r="B67" s="109"/>
      <c r="C67" s="116"/>
      <c r="D67" s="110"/>
      <c r="E67" s="102" t="str">
        <f>'S&amp;U'!E29</f>
        <v>Development security LC fee</v>
      </c>
      <c r="F67" s="102"/>
      <c r="G67" s="102" t="str">
        <f>'S&amp;U'!G29</f>
        <v>$ 000s</v>
      </c>
      <c r="H67" s="318">
        <f>'S&amp;U'!H29</f>
        <v>325</v>
      </c>
      <c r="I67" s="318"/>
      <c r="J67" s="354" t="str">
        <f t="shared" ref="J67" si="20" xml:space="preserve"> IF(ABS(K67) &gt; TRK_TOL, "tu", "vw")</f>
        <v>vw</v>
      </c>
      <c r="K67" s="190">
        <f t="shared" si="17"/>
        <v>0</v>
      </c>
      <c r="L67" s="313">
        <f t="shared" si="18"/>
        <v>0</v>
      </c>
      <c r="M67" s="170"/>
      <c r="N67" s="113">
        <v>325</v>
      </c>
      <c r="O67" s="170"/>
    </row>
    <row r="68" spans="1:15" hidden="1" outlineLevel="1" x14ac:dyDescent="0.2">
      <c r="A68" s="109"/>
      <c r="B68" s="109"/>
      <c r="C68" s="116"/>
      <c r="D68" s="110"/>
      <c r="E68" s="102" t="str">
        <f>'S&amp;U'!E30</f>
        <v>Early generation costs shortfall to be funded - m</v>
      </c>
      <c r="F68" s="102"/>
      <c r="G68" s="102" t="str">
        <f>'S&amp;U'!G30</f>
        <v>$ 000s</v>
      </c>
      <c r="H68" s="318">
        <f>'S&amp;U'!H30</f>
        <v>0</v>
      </c>
      <c r="I68" s="318"/>
      <c r="J68" s="354" t="str">
        <f t="shared" ref="J68" si="21" xml:space="preserve"> IF(ABS(K68) &gt; TRK_TOL, "tu", "vw")</f>
        <v>vw</v>
      </c>
      <c r="K68" s="190">
        <f t="shared" si="17"/>
        <v>0</v>
      </c>
      <c r="L68" s="313">
        <f t="shared" si="18"/>
        <v>0</v>
      </c>
      <c r="M68" s="170"/>
      <c r="N68" s="113">
        <v>0</v>
      </c>
      <c r="O68" s="170"/>
    </row>
    <row r="69" spans="1:15" hidden="1" outlineLevel="1" x14ac:dyDescent="0.2">
      <c r="A69" s="109"/>
      <c r="B69" s="109"/>
      <c r="C69" s="116"/>
      <c r="D69" s="110"/>
      <c r="E69" s="102" t="str">
        <f>'S&amp;U'!E31</f>
        <v>Equity bridge upfront fee - paid</v>
      </c>
      <c r="F69" s="102"/>
      <c r="G69" s="102" t="str">
        <f>'S&amp;U'!G31</f>
        <v>$ 000s</v>
      </c>
      <c r="H69" s="318">
        <f>'S&amp;U'!H31</f>
        <v>1294.7739489543146</v>
      </c>
      <c r="I69" s="318"/>
      <c r="J69" s="354" t="str">
        <f t="shared" si="16"/>
        <v>tu</v>
      </c>
      <c r="K69" s="190">
        <f t="shared" si="17"/>
        <v>1294.7739489543146</v>
      </c>
      <c r="L69" s="313">
        <f t="shared" si="18"/>
        <v>0</v>
      </c>
      <c r="M69" s="170"/>
      <c r="N69" s="113">
        <v>0</v>
      </c>
      <c r="O69" s="170"/>
    </row>
    <row r="70" spans="1:15" hidden="1" outlineLevel="1" x14ac:dyDescent="0.2">
      <c r="A70" s="109"/>
      <c r="B70" s="109"/>
      <c r="C70" s="116"/>
      <c r="D70" s="110"/>
      <c r="E70" s="102" t="str">
        <f>'S&amp;U'!E32</f>
        <v>Equity bridge commitment fee - paid</v>
      </c>
      <c r="F70" s="102"/>
      <c r="G70" s="102" t="str">
        <f>'S&amp;U'!G32</f>
        <v>$ 000s</v>
      </c>
      <c r="H70" s="318">
        <f>'S&amp;U'!H32</f>
        <v>160.09844613595186</v>
      </c>
      <c r="I70" s="318"/>
      <c r="J70" s="354" t="str">
        <f t="shared" si="16"/>
        <v>tu</v>
      </c>
      <c r="K70" s="190">
        <f t="shared" si="17"/>
        <v>160.09844613595186</v>
      </c>
      <c r="L70" s="313">
        <f t="shared" si="18"/>
        <v>0</v>
      </c>
      <c r="M70" s="170"/>
      <c r="N70" s="113">
        <v>0</v>
      </c>
      <c r="O70" s="170"/>
    </row>
    <row r="71" spans="1:15" hidden="1" outlineLevel="1" x14ac:dyDescent="0.2">
      <c r="A71" s="109"/>
      <c r="B71" s="109"/>
      <c r="C71" s="116"/>
      <c r="D71" s="110"/>
      <c r="E71" s="102" t="str">
        <f>'S&amp;U'!E33</f>
        <v>Equity bridge interest - paid</v>
      </c>
      <c r="F71" s="102"/>
      <c r="G71" s="102" t="str">
        <f>'S&amp;U'!G33</f>
        <v>$ 000s</v>
      </c>
      <c r="H71" s="318">
        <f>'S&amp;U'!H33</f>
        <v>6742.148787806902</v>
      </c>
      <c r="I71" s="318"/>
      <c r="J71" s="354" t="str">
        <f t="shared" si="16"/>
        <v>tu</v>
      </c>
      <c r="K71" s="190">
        <f t="shared" si="17"/>
        <v>6742.148787806902</v>
      </c>
      <c r="L71" s="313">
        <f t="shared" si="18"/>
        <v>0</v>
      </c>
      <c r="M71" s="170"/>
      <c r="N71" s="113">
        <v>0</v>
      </c>
      <c r="O71" s="170"/>
    </row>
    <row r="72" spans="1:15" hidden="1" outlineLevel="1" x14ac:dyDescent="0.2">
      <c r="A72" s="109"/>
      <c r="B72" s="109"/>
      <c r="C72" s="116"/>
      <c r="D72" s="110"/>
      <c r="E72" s="102" t="str">
        <f>'S&amp;U'!E34</f>
        <v>Repayment of equity bridge POS</v>
      </c>
      <c r="F72" s="102"/>
      <c r="G72" s="102" t="str">
        <f>'S&amp;U'!G34</f>
        <v>$ 000s</v>
      </c>
      <c r="H72" s="318">
        <f>'S&amp;U'!H34</f>
        <v>86318.253106861201</v>
      </c>
      <c r="I72" s="318"/>
      <c r="J72" s="354" t="str">
        <f t="shared" si="16"/>
        <v>tu</v>
      </c>
      <c r="K72" s="190">
        <f t="shared" si="17"/>
        <v>86318.253106861201</v>
      </c>
      <c r="L72" s="313">
        <f t="shared" si="18"/>
        <v>0</v>
      </c>
      <c r="M72" s="170"/>
      <c r="N72" s="113">
        <v>0</v>
      </c>
      <c r="O72" s="170"/>
    </row>
    <row r="73" spans="1:15" hidden="1" outlineLevel="1" x14ac:dyDescent="0.2">
      <c r="A73" s="109"/>
      <c r="B73" s="109"/>
      <c r="C73" s="116"/>
      <c r="D73" s="110"/>
      <c r="E73" s="102" t="str">
        <f>'S&amp;U'!E35</f>
        <v>Construction debt upfront fee</v>
      </c>
      <c r="F73" s="102"/>
      <c r="G73" s="102" t="str">
        <f>'S&amp;U'!G35</f>
        <v>$ 000s</v>
      </c>
      <c r="H73" s="318">
        <f>'S&amp;U'!H35</f>
        <v>5258.1868974664449</v>
      </c>
      <c r="I73" s="318"/>
      <c r="J73" s="354" t="str">
        <f t="shared" si="16"/>
        <v>tu</v>
      </c>
      <c r="K73" s="190">
        <f t="shared" si="17"/>
        <v>1400.1024100177983</v>
      </c>
      <c r="L73" s="313">
        <f t="shared" si="18"/>
        <v>0.36290092002202035</v>
      </c>
      <c r="M73" s="170"/>
      <c r="N73" s="113">
        <v>3858.0844874486465</v>
      </c>
      <c r="O73" s="170"/>
    </row>
    <row r="74" spans="1:15" hidden="1" outlineLevel="1" x14ac:dyDescent="0.2">
      <c r="A74" s="109"/>
      <c r="B74" s="109"/>
      <c r="C74" s="116"/>
      <c r="D74" s="110"/>
      <c r="E74" s="102" t="str">
        <f>'S&amp;U'!E36</f>
        <v>Construction debt commitment fee</v>
      </c>
      <c r="F74" s="102"/>
      <c r="G74" s="102" t="str">
        <f>'S&amp;U'!G36</f>
        <v>$ 000s</v>
      </c>
      <c r="H74" s="318">
        <f>'S&amp;U'!H36</f>
        <v>2738.4570389187838</v>
      </c>
      <c r="I74" s="318"/>
      <c r="J74" s="354" t="str">
        <f t="shared" si="16"/>
        <v>tu</v>
      </c>
      <c r="K74" s="190">
        <f t="shared" si="17"/>
        <v>151.70186396627105</v>
      </c>
      <c r="L74" s="313">
        <f t="shared" si="18"/>
        <v>5.8645621137708215E-2</v>
      </c>
      <c r="M74" s="170"/>
      <c r="N74" s="113">
        <v>2586.7551749525128</v>
      </c>
      <c r="O74" s="170"/>
    </row>
    <row r="75" spans="1:15" hidden="1" outlineLevel="1" x14ac:dyDescent="0.2">
      <c r="A75" s="109"/>
      <c r="B75" s="109"/>
      <c r="C75" s="116"/>
      <c r="D75" s="110"/>
      <c r="E75" s="102" t="str">
        <f>'S&amp;U'!E37</f>
        <v>Construction debt interest</v>
      </c>
      <c r="F75" s="102"/>
      <c r="G75" s="102" t="str">
        <f>'S&amp;U'!G37</f>
        <v>$ 000s</v>
      </c>
      <c r="H75" s="318">
        <f>'S&amp;U'!H37</f>
        <v>7960.286958552726</v>
      </c>
      <c r="I75" s="318"/>
      <c r="J75" s="354" t="str">
        <f t="shared" si="16"/>
        <v>tu</v>
      </c>
      <c r="K75" s="190">
        <f t="shared" si="17"/>
        <v>343.87700498666345</v>
      </c>
      <c r="L75" s="313">
        <f t="shared" si="18"/>
        <v>4.5149487367819319E-2</v>
      </c>
      <c r="M75" s="170"/>
      <c r="N75" s="113">
        <v>7616.4099535660625</v>
      </c>
      <c r="O75" s="170"/>
    </row>
    <row r="76" spans="1:15" hidden="1" outlineLevel="1" x14ac:dyDescent="0.2">
      <c r="A76" s="109"/>
      <c r="B76" s="109"/>
      <c r="C76" s="116"/>
      <c r="D76" s="110"/>
      <c r="E76" s="102" t="str">
        <f>'S&amp;U'!E38</f>
        <v xml:space="preserve">Standby debt upfront fee </v>
      </c>
      <c r="F76" s="102"/>
      <c r="G76" s="102" t="str">
        <f>'S&amp;U'!G38</f>
        <v>$ 000s</v>
      </c>
      <c r="H76" s="318">
        <f>'S&amp;U'!H38</f>
        <v>90.463922227688386</v>
      </c>
      <c r="I76" s="318"/>
      <c r="J76" s="354" t="str">
        <f t="shared" si="16"/>
        <v>tu</v>
      </c>
      <c r="K76" s="190">
        <f t="shared" si="17"/>
        <v>-75.923965883006218</v>
      </c>
      <c r="L76" s="313">
        <f t="shared" si="18"/>
        <v>-0.45630704701591918</v>
      </c>
      <c r="M76" s="170"/>
      <c r="N76" s="113">
        <v>166.3878881106946</v>
      </c>
      <c r="O76" s="170"/>
    </row>
    <row r="77" spans="1:15" hidden="1" outlineLevel="1" x14ac:dyDescent="0.2">
      <c r="A77" s="109"/>
      <c r="B77" s="109"/>
      <c r="C77" s="116"/>
      <c r="D77" s="110"/>
      <c r="E77" s="102" t="str">
        <f>'S&amp;U'!E39</f>
        <v>Standby debt commitment fee</v>
      </c>
      <c r="F77" s="102"/>
      <c r="G77" s="102" t="str">
        <f>'S&amp;U'!G39</f>
        <v>$ 000s</v>
      </c>
      <c r="H77" s="318">
        <f>'S&amp;U'!H39</f>
        <v>72.801918364187358</v>
      </c>
      <c r="I77" s="318"/>
      <c r="J77" s="354" t="str">
        <f t="shared" si="16"/>
        <v>tu</v>
      </c>
      <c r="K77" s="190">
        <f t="shared" si="17"/>
        <v>-95.434724058848289</v>
      </c>
      <c r="L77" s="313">
        <f t="shared" si="18"/>
        <v>-0.56726479252287421</v>
      </c>
      <c r="M77" s="170"/>
      <c r="N77" s="113">
        <v>168.23664242303565</v>
      </c>
      <c r="O77" s="170"/>
    </row>
    <row r="78" spans="1:15" hidden="1" outlineLevel="1" x14ac:dyDescent="0.2">
      <c r="A78" s="109"/>
      <c r="B78" s="109"/>
      <c r="C78" s="116"/>
      <c r="D78" s="110"/>
      <c r="E78" s="102" t="str">
        <f>'S&amp;U'!E40</f>
        <v>Standby debt interest</v>
      </c>
      <c r="F78" s="102"/>
      <c r="G78" s="102" t="str">
        <f>'S&amp;U'!G40</f>
        <v>$ 000s</v>
      </c>
      <c r="H78" s="318">
        <f>'S&amp;U'!H40</f>
        <v>0</v>
      </c>
      <c r="I78" s="318"/>
      <c r="J78" s="354" t="str">
        <f t="shared" si="16"/>
        <v>vw</v>
      </c>
      <c r="K78" s="190">
        <f t="shared" si="17"/>
        <v>0</v>
      </c>
      <c r="L78" s="313">
        <f t="shared" si="18"/>
        <v>0</v>
      </c>
      <c r="M78" s="170"/>
      <c r="N78" s="113">
        <v>0</v>
      </c>
      <c r="O78" s="170"/>
    </row>
    <row r="79" spans="1:15" hidden="1" outlineLevel="1" x14ac:dyDescent="0.2">
      <c r="A79" s="109"/>
      <c r="B79" s="109"/>
      <c r="C79" s="116"/>
      <c r="D79" s="110"/>
      <c r="E79" s="102" t="str">
        <f>'S&amp;U'!E41</f>
        <v>Pre-funding of working capital - m</v>
      </c>
      <c r="F79" s="102"/>
      <c r="G79" s="102" t="str">
        <f>'S&amp;U'!G41</f>
        <v>$ 000s</v>
      </c>
      <c r="H79" s="318">
        <f>'S&amp;U'!H41</f>
        <v>3857.1209730037863</v>
      </c>
      <c r="I79" s="318"/>
      <c r="J79" s="354" t="str">
        <f t="shared" si="16"/>
        <v>tu</v>
      </c>
      <c r="K79" s="190">
        <f t="shared" si="17"/>
        <v>3857.1209730037863</v>
      </c>
      <c r="L79" s="313">
        <f t="shared" si="18"/>
        <v>0</v>
      </c>
      <c r="M79" s="170"/>
      <c r="N79" s="113">
        <v>0</v>
      </c>
      <c r="O79" s="170"/>
    </row>
    <row r="80" spans="1:15" hidden="1" outlineLevel="1" x14ac:dyDescent="0.2">
      <c r="A80" s="109"/>
      <c r="B80" s="109"/>
      <c r="C80" s="116"/>
      <c r="D80" s="110"/>
      <c r="E80" s="102" t="str">
        <f>'S&amp;U'!E42</f>
        <v>Pre-funding of DSRA - m</v>
      </c>
      <c r="F80" s="102"/>
      <c r="G80" s="102" t="str">
        <f>'S&amp;U'!G42</f>
        <v>$ 000s</v>
      </c>
      <c r="H80" s="318">
        <f>'S&amp;U'!H42</f>
        <v>11233.130669939161</v>
      </c>
      <c r="I80" s="318"/>
      <c r="J80" s="354" t="str">
        <f t="shared" si="16"/>
        <v>tu</v>
      </c>
      <c r="K80" s="190">
        <f t="shared" si="17"/>
        <v>-1213.0334557244951</v>
      </c>
      <c r="L80" s="313">
        <f t="shared" si="18"/>
        <v>-9.7462434488008509E-2</v>
      </c>
      <c r="M80" s="170"/>
      <c r="N80" s="113">
        <v>12446.164125663656</v>
      </c>
      <c r="O80" s="170"/>
    </row>
    <row r="81" spans="1:15" hidden="1" outlineLevel="1" x14ac:dyDescent="0.2">
      <c r="A81" s="109"/>
      <c r="B81" s="109"/>
      <c r="C81" s="116"/>
      <c r="D81" s="110"/>
      <c r="E81" s="102" t="str">
        <f>'S&amp;U'!E43</f>
        <v>Standby equity LC fee</v>
      </c>
      <c r="F81" s="102"/>
      <c r="G81" s="102" t="str">
        <f>'S&amp;U'!G43</f>
        <v>$ 000s</v>
      </c>
      <c r="H81" s="318">
        <f>'S&amp;U'!H43</f>
        <v>18.33210361270044</v>
      </c>
      <c r="I81" s="318"/>
      <c r="J81" s="354" t="str">
        <f t="shared" ref="J81" si="22" xml:space="preserve"> IF(ABS(K81) &gt; TRK_TOL, "tu", "vw")</f>
        <v>tu</v>
      </c>
      <c r="K81" s="190">
        <f t="shared" si="17"/>
        <v>-23.998866085131201</v>
      </c>
      <c r="L81" s="313">
        <f t="shared" si="18"/>
        <v>-0.56693400260945404</v>
      </c>
      <c r="M81" s="170"/>
      <c r="N81" s="113">
        <v>42.330969697831641</v>
      </c>
      <c r="O81" s="170"/>
    </row>
    <row r="82" spans="1:15" hidden="1" outlineLevel="1" x14ac:dyDescent="0.2">
      <c r="A82" s="109"/>
      <c r="B82" s="109"/>
      <c r="C82" s="116"/>
      <c r="D82" s="110"/>
      <c r="E82" s="102" t="str">
        <f>'S&amp;U'!E44</f>
        <v>[financing fees / other]</v>
      </c>
      <c r="F82" s="102"/>
      <c r="G82" s="102">
        <f>'S&amp;U'!G44</f>
        <v>0</v>
      </c>
      <c r="H82" s="318">
        <f>'S&amp;U'!H44</f>
        <v>0</v>
      </c>
      <c r="I82" s="318"/>
      <c r="J82" s="354" t="str">
        <f t="shared" si="16"/>
        <v>vw</v>
      </c>
      <c r="K82" s="190">
        <f t="shared" si="17"/>
        <v>0</v>
      </c>
      <c r="L82" s="313">
        <f t="shared" si="18"/>
        <v>0</v>
      </c>
      <c r="M82" s="170"/>
      <c r="N82" s="113">
        <v>0</v>
      </c>
      <c r="O82" s="170"/>
    </row>
    <row r="83" spans="1:15" hidden="1" outlineLevel="1" x14ac:dyDescent="0.2">
      <c r="A83" s="821"/>
      <c r="B83" s="821"/>
      <c r="C83" s="822"/>
      <c r="D83" s="823"/>
      <c r="E83" s="824" t="str">
        <f>'S&amp;U'!E45</f>
        <v>Uses of cash</v>
      </c>
      <c r="F83" s="824"/>
      <c r="G83" s="824" t="str">
        <f>'S&amp;U'!G45</f>
        <v>$ 000s</v>
      </c>
      <c r="H83" s="323">
        <f>'S&amp;U'!H45</f>
        <v>435066.36249184381</v>
      </c>
      <c r="I83" s="323"/>
      <c r="J83" s="356" t="str">
        <f t="shared" si="16"/>
        <v>tu</v>
      </c>
      <c r="K83" s="324">
        <f t="shared" si="17"/>
        <v>87256.993249981315</v>
      </c>
      <c r="L83" s="325">
        <f t="shared" si="18"/>
        <v>0.25087591355051697</v>
      </c>
      <c r="M83" s="825"/>
      <c r="N83" s="826">
        <v>347809.3692418625</v>
      </c>
      <c r="O83" s="825"/>
    </row>
    <row r="84" spans="1:15" hidden="1" outlineLevel="1" x14ac:dyDescent="0.2">
      <c r="A84" s="109"/>
      <c r="B84" s="109"/>
      <c r="C84" s="116"/>
      <c r="D84" s="110"/>
      <c r="E84" s="102"/>
      <c r="F84" s="102"/>
      <c r="G84" s="102"/>
      <c r="H84" s="119"/>
      <c r="I84" s="106"/>
      <c r="K84" s="44"/>
      <c r="L84" s="283"/>
      <c r="M84" s="170"/>
      <c r="N84" s="113"/>
      <c r="O84" s="170"/>
    </row>
    <row r="85" spans="1:15" x14ac:dyDescent="0.2">
      <c r="A85" s="109"/>
      <c r="B85" s="109"/>
      <c r="C85" s="116"/>
      <c r="D85" s="110"/>
      <c r="E85" s="102"/>
      <c r="F85" s="102"/>
      <c r="G85" s="102"/>
      <c r="H85" s="119"/>
      <c r="I85" s="106"/>
      <c r="K85" s="44"/>
      <c r="L85" s="283"/>
      <c r="M85" s="170"/>
      <c r="N85" s="113"/>
      <c r="O85" s="170"/>
    </row>
    <row r="86" spans="1:15" collapsed="1" x14ac:dyDescent="0.2">
      <c r="A86" s="96" t="s">
        <v>80</v>
      </c>
      <c r="B86" s="96"/>
      <c r="C86" s="97"/>
      <c r="D86" s="107"/>
      <c r="E86" s="100"/>
      <c r="F86" s="117"/>
      <c r="G86" s="100"/>
      <c r="H86" s="100"/>
      <c r="K86" s="44"/>
      <c r="L86" s="283"/>
      <c r="M86" s="170"/>
      <c r="N86" s="113"/>
      <c r="O86" s="170"/>
    </row>
    <row r="87" spans="1:15" hidden="1" outlineLevel="1" x14ac:dyDescent="0.2">
      <c r="A87" s="107"/>
      <c r="B87" s="109"/>
      <c r="C87" s="110"/>
      <c r="D87" s="106"/>
      <c r="E87" s="111"/>
      <c r="F87" s="111"/>
      <c r="G87" s="111"/>
      <c r="H87" s="111"/>
      <c r="I87" s="106"/>
      <c r="K87" s="44"/>
      <c r="L87" s="283"/>
      <c r="N87" s="113"/>
    </row>
    <row r="88" spans="1:15" hidden="1" outlineLevel="1" x14ac:dyDescent="0.2">
      <c r="A88" s="360"/>
      <c r="B88" s="361"/>
      <c r="C88" s="362"/>
      <c r="D88" s="318"/>
      <c r="E88" s="318" t="str">
        <f xml:space="preserve"> 'FS Semi'!E9</f>
        <v>Electricity payments (EPn) - P50</v>
      </c>
      <c r="F88" s="318">
        <f xml:space="preserve"> 'FS Semi'!F9</f>
        <v>0</v>
      </c>
      <c r="G88" s="318" t="str">
        <f xml:space="preserve"> 'FS Semi'!G9</f>
        <v>$ 000s</v>
      </c>
      <c r="H88" s="318">
        <f xml:space="preserve"> 'FS Semi'!H9</f>
        <v>792204.22663711873</v>
      </c>
      <c r="I88" s="318"/>
      <c r="J88" s="354" t="str">
        <f xml:space="preserve"> IF(ABS(K88) &gt; TRK_TOL, "tu", "vw")</f>
        <v>tu</v>
      </c>
      <c r="K88" s="190">
        <f xml:space="preserve"> H88 - INDEX(M88:O88, $J$5)</f>
        <v>-11967.037341404241</v>
      </c>
      <c r="L88" s="313">
        <f xml:space="preserve"> IF(ABS(K88) &gt; TRK_TOL, IF(INDEX(M88:O88, $J$5) = 0, 0, H88 / INDEX(M88:O88, $J$5) - 1), 0)</f>
        <v>-1.4881204884391153E-2</v>
      </c>
      <c r="M88" s="319"/>
      <c r="N88" s="320">
        <v>804171.26397852297</v>
      </c>
      <c r="O88" s="319"/>
    </row>
    <row r="89" spans="1:15" hidden="1" outlineLevel="1" x14ac:dyDescent="0.2">
      <c r="A89" s="360"/>
      <c r="B89" s="361"/>
      <c r="C89" s="362"/>
      <c r="D89" s="318"/>
      <c r="E89" s="318" t="str">
        <f xml:space="preserve"> 'FS Semi'!E10</f>
        <v>O&amp;M expense</v>
      </c>
      <c r="F89" s="318">
        <f xml:space="preserve"> 'FS Semi'!F10</f>
        <v>0</v>
      </c>
      <c r="G89" s="318" t="str">
        <f xml:space="preserve"> 'FS Semi'!G10</f>
        <v>$ 000s</v>
      </c>
      <c r="H89" s="318">
        <f xml:space="preserve"> 'FS Semi'!H10</f>
        <v>-210402.03579009019</v>
      </c>
      <c r="I89" s="318"/>
      <c r="J89" s="354" t="str">
        <f xml:space="preserve"> IF(ABS(K89) &gt; TRK_TOL, "tu", "vw")</f>
        <v>tu</v>
      </c>
      <c r="K89" s="190">
        <f xml:space="preserve"> H89 - INDEX(M89:O89, $J$5)</f>
        <v>-92050.890658164484</v>
      </c>
      <c r="L89" s="313">
        <f xml:space="preserve"> IF(ABS(K89) &gt; TRK_TOL, IF(INDEX(M89:O89, $J$5) = 0, 0, H89 / INDEX(M89:O89, $J$5) - 1), 0)</f>
        <v>0.77777777777777812</v>
      </c>
      <c r="M89" s="321"/>
      <c r="N89" s="320">
        <v>-118351.1451319257</v>
      </c>
      <c r="O89" s="321"/>
    </row>
    <row r="90" spans="1:15" hidden="1" outlineLevel="1" x14ac:dyDescent="0.2">
      <c r="A90" s="360"/>
      <c r="B90" s="361"/>
      <c r="C90" s="318"/>
      <c r="D90" s="318"/>
      <c r="E90" s="322" t="str">
        <f xml:space="preserve"> 'FS Semi'!E11</f>
        <v>EBITDA</v>
      </c>
      <c r="F90" s="322">
        <f xml:space="preserve"> 'FS Semi'!F11</f>
        <v>0</v>
      </c>
      <c r="G90" s="322" t="str">
        <f xml:space="preserve"> 'FS Semi'!G11</f>
        <v>$ 000s</v>
      </c>
      <c r="H90" s="322">
        <f xml:space="preserve"> 'FS Semi'!H11</f>
        <v>581802.19084702886</v>
      </c>
      <c r="I90" s="323"/>
      <c r="J90" s="356" t="str">
        <f xml:space="preserve"> IF(ABS(K90) &gt; TRK_TOL, "tu", "vw")</f>
        <v>tu</v>
      </c>
      <c r="K90" s="324">
        <f xml:space="preserve"> H90 - INDEX(M90:O90, $J$5)</f>
        <v>-104017.9279995684</v>
      </c>
      <c r="L90" s="325">
        <f xml:space="preserve"> IF(ABS(K90) &gt; TRK_TOL, IF(INDEX(M90:O90, $J$5) = 0, 0, H90 / INDEX(M90:O90, $J$5) - 1), 0)</f>
        <v>-0.15166940301270881</v>
      </c>
      <c r="M90" s="326"/>
      <c r="N90" s="327">
        <v>685820.11884659727</v>
      </c>
      <c r="O90" s="326"/>
    </row>
    <row r="91" spans="1:15" hidden="1" outlineLevel="1" x14ac:dyDescent="0.2">
      <c r="A91" s="360"/>
      <c r="B91" s="361"/>
      <c r="C91" s="318"/>
      <c r="D91" s="318"/>
      <c r="E91" s="191"/>
      <c r="F91" s="191"/>
      <c r="G91" s="191"/>
      <c r="H91" s="191"/>
      <c r="I91" s="191"/>
      <c r="J91" s="354"/>
      <c r="K91" s="191"/>
      <c r="L91" s="314"/>
      <c r="M91" s="319"/>
      <c r="N91" s="320"/>
      <c r="O91" s="319"/>
    </row>
    <row r="92" spans="1:15" hidden="1" outlineLevel="1" x14ac:dyDescent="0.2">
      <c r="A92" s="360"/>
      <c r="B92" s="361"/>
      <c r="C92" s="318"/>
      <c r="D92" s="318"/>
      <c r="E92" s="318" t="str">
        <f xml:space="preserve"> 'FS Semi'!E13</f>
        <v>Fixed asset depreciation</v>
      </c>
      <c r="F92" s="318">
        <f xml:space="preserve"> 'FS Semi'!F13</f>
        <v>0</v>
      </c>
      <c r="G92" s="318" t="str">
        <f xml:space="preserve"> 'FS Semi'!G13</f>
        <v>$ 000s</v>
      </c>
      <c r="H92" s="318">
        <f xml:space="preserve"> 'FS Semi'!H13</f>
        <v>-295392.30772000016</v>
      </c>
      <c r="I92" s="318"/>
      <c r="J92" s="354" t="str">
        <f xml:space="preserve"> IF(ABS(K92) &gt; TRK_TOL, "tu", "vw")</f>
        <v>tu</v>
      </c>
      <c r="K92" s="190">
        <f xml:space="preserve"> H92 - INDEX(M92:O92, $J$5)</f>
        <v>25532.692279999843</v>
      </c>
      <c r="L92" s="313">
        <f xml:space="preserve"> IF(ABS(K92) &gt; TRK_TOL, IF(INDEX(M92:O92, $J$5) = 0, 0, H92 / INDEX(M92:O92, $J$5) - 1), 0)</f>
        <v>-7.9559686157201326E-2</v>
      </c>
      <c r="M92" s="319"/>
      <c r="N92" s="320">
        <v>-320925</v>
      </c>
      <c r="O92" s="319"/>
    </row>
    <row r="93" spans="1:15" hidden="1" outlineLevel="1" x14ac:dyDescent="0.2">
      <c r="A93" s="360"/>
      <c r="B93" s="361"/>
      <c r="C93" s="318"/>
      <c r="D93" s="318"/>
      <c r="E93" s="318" t="str">
        <f xml:space="preserve"> 'FS Semi'!E14</f>
        <v>Amortisation of capitalised finance costs</v>
      </c>
      <c r="F93" s="318">
        <f xml:space="preserve"> 'FS Semi'!F14</f>
        <v>0</v>
      </c>
      <c r="G93" s="318" t="str">
        <f xml:space="preserve"> 'FS Semi'!G14</f>
        <v>$ 000s</v>
      </c>
      <c r="H93" s="318">
        <f xml:space="preserve"> 'FS Semi'!H14</f>
        <v>-24335.550022039683</v>
      </c>
      <c r="I93" s="318"/>
      <c r="J93" s="354" t="str">
        <f xml:space="preserve"> IF(ABS(K93) &gt; TRK_TOL, "tu", "vw")</f>
        <v>tu</v>
      </c>
      <c r="K93" s="190">
        <f xml:space="preserve"> H93 - INDEX(M93:O93, $J$5)</f>
        <v>-9897.3449058408914</v>
      </c>
      <c r="L93" s="313">
        <f xml:space="preserve"> IF(ABS(K93) &gt; TRK_TOL, IF(INDEX(M93:O93, $J$5) = 0, 0, H93 / INDEX(M93:O93, $J$5) - 1), 0)</f>
        <v>0.68549690395634211</v>
      </c>
      <c r="M93" s="319"/>
      <c r="N93" s="320">
        <v>-14438.205116198791</v>
      </c>
      <c r="O93" s="319"/>
    </row>
    <row r="94" spans="1:15" hidden="1" outlineLevel="1" x14ac:dyDescent="0.2">
      <c r="A94" s="360"/>
      <c r="B94" s="361"/>
      <c r="C94" s="318"/>
      <c r="D94" s="318"/>
      <c r="E94" s="322" t="str">
        <f xml:space="preserve"> 'FS Semi'!E15</f>
        <v>EBIT</v>
      </c>
      <c r="F94" s="322">
        <f xml:space="preserve"> 'FS Semi'!F15</f>
        <v>0</v>
      </c>
      <c r="G94" s="322" t="str">
        <f xml:space="preserve"> 'FS Semi'!G15</f>
        <v>$ 000s</v>
      </c>
      <c r="H94" s="322">
        <f xml:space="preserve"> 'FS Semi'!H15</f>
        <v>262074.33310498932</v>
      </c>
      <c r="I94" s="323"/>
      <c r="J94" s="356" t="str">
        <f xml:space="preserve"> IF(ABS(K94) &gt; TRK_TOL, "tu", "vw")</f>
        <v>tu</v>
      </c>
      <c r="K94" s="324">
        <f xml:space="preserve"> H94 - INDEX(M94:O94, $J$5)</f>
        <v>-88382.580625409435</v>
      </c>
      <c r="L94" s="325">
        <f xml:space="preserve"> IF(ABS(K94) &gt; TRK_TOL, IF(INDEX(M94:O94, $J$5) = 0, 0, H94 / INDEX(M94:O94, $J$5) - 1), 0)</f>
        <v>-0.25219242983290335</v>
      </c>
      <c r="M94" s="328"/>
      <c r="N94" s="327">
        <v>350456.91373039875</v>
      </c>
      <c r="O94" s="328"/>
    </row>
    <row r="95" spans="1:15" hidden="1" outlineLevel="1" x14ac:dyDescent="0.2">
      <c r="A95" s="360"/>
      <c r="B95" s="361"/>
      <c r="C95" s="318"/>
      <c r="D95" s="318"/>
      <c r="E95" s="317"/>
      <c r="F95" s="317"/>
      <c r="G95" s="317"/>
      <c r="H95" s="317"/>
      <c r="I95" s="191"/>
      <c r="J95" s="354"/>
      <c r="K95" s="191"/>
      <c r="L95" s="314"/>
      <c r="M95" s="319"/>
      <c r="N95" s="320"/>
      <c r="O95" s="319"/>
    </row>
    <row r="96" spans="1:15" hidden="1" outlineLevel="1" x14ac:dyDescent="0.2">
      <c r="A96" s="360"/>
      <c r="B96" s="361"/>
      <c r="C96" s="318"/>
      <c r="D96" s="318"/>
      <c r="E96" s="318" t="str">
        <f xml:space="preserve"> 'FS Semi'!E17</f>
        <v>Senior debt interest - T1</v>
      </c>
      <c r="F96" s="318">
        <f xml:space="preserve"> 'FS Semi'!F17</f>
        <v>0</v>
      </c>
      <c r="G96" s="318" t="str">
        <f xml:space="preserve"> 'FS Semi'!G17</f>
        <v>$ 000s</v>
      </c>
      <c r="H96" s="318">
        <f xml:space="preserve"> 'FS Semi'!H17</f>
        <v>-58932.622085008683</v>
      </c>
      <c r="I96" s="318"/>
      <c r="J96" s="354" t="str">
        <f t="shared" ref="J96:J106" si="23" xml:space="preserve"> IF(ABS(K96) &gt; TRK_TOL, "tu", "vw")</f>
        <v>tu</v>
      </c>
      <c r="K96" s="190">
        <f t="shared" ref="K96:K106" si="24" xml:space="preserve"> H96 - INDEX(M96:O96, $J$5)</f>
        <v>12930.653112192595</v>
      </c>
      <c r="L96" s="313">
        <f t="shared" ref="L96:L106" si="25" xml:space="preserve"> IF(ABS(K96) &gt; TRK_TOL, IF(INDEX(M96:O96, $J$5) = 0, 0, H96 / INDEX(M96:O96, $J$5) - 1), 0)</f>
        <v>-0.17993409118509229</v>
      </c>
      <c r="M96" s="329"/>
      <c r="N96" s="320">
        <v>-71863.275197201277</v>
      </c>
      <c r="O96" s="329"/>
    </row>
    <row r="97" spans="1:15" hidden="1" outlineLevel="1" x14ac:dyDescent="0.2">
      <c r="A97" s="360"/>
      <c r="B97" s="361"/>
      <c r="C97" s="318"/>
      <c r="D97" s="318"/>
      <c r="E97" s="318" t="str">
        <f xml:space="preserve"> 'FS Semi'!E19</f>
        <v>Senior debt interest - T2</v>
      </c>
      <c r="F97" s="318">
        <f xml:space="preserve"> 'FS Semi'!F19</f>
        <v>0</v>
      </c>
      <c r="G97" s="318" t="str">
        <f xml:space="preserve"> 'FS Semi'!G19</f>
        <v>$ 000s</v>
      </c>
      <c r="H97" s="318">
        <f xml:space="preserve"> 'FS Semi'!H19</f>
        <v>-50719.400835431705</v>
      </c>
      <c r="I97" s="318"/>
      <c r="J97" s="354" t="str">
        <f t="shared" si="23"/>
        <v>tu</v>
      </c>
      <c r="K97" s="190">
        <f t="shared" si="24"/>
        <v>-12023.791113861793</v>
      </c>
      <c r="L97" s="313">
        <f t="shared" si="25"/>
        <v>0.31072752698245831</v>
      </c>
      <c r="M97" s="329"/>
      <c r="N97" s="320">
        <v>-38695.609721569912</v>
      </c>
      <c r="O97" s="329"/>
    </row>
    <row r="98" spans="1:15" hidden="1" outlineLevel="1" x14ac:dyDescent="0.2">
      <c r="A98" s="360"/>
      <c r="B98" s="361"/>
      <c r="C98" s="318"/>
      <c r="D98" s="318"/>
      <c r="E98" s="318" t="str">
        <f xml:space="preserve"> 'FS Semi'!E21</f>
        <v>Standby debt interest - T1</v>
      </c>
      <c r="F98" s="318">
        <f xml:space="preserve"> 'FS Semi'!F21</f>
        <v>0</v>
      </c>
      <c r="G98" s="318" t="str">
        <f xml:space="preserve"> 'FS Semi'!G21</f>
        <v>$ 000s</v>
      </c>
      <c r="H98" s="318">
        <f xml:space="preserve"> 'FS Semi'!H21</f>
        <v>0</v>
      </c>
      <c r="I98" s="318"/>
      <c r="J98" s="354" t="str">
        <f t="shared" si="23"/>
        <v>vw</v>
      </c>
      <c r="K98" s="190">
        <f t="shared" si="24"/>
        <v>0</v>
      </c>
      <c r="L98" s="313">
        <f t="shared" si="25"/>
        <v>0</v>
      </c>
      <c r="M98" s="329"/>
      <c r="N98" s="320">
        <v>0</v>
      </c>
      <c r="O98" s="329"/>
    </row>
    <row r="99" spans="1:15" hidden="1" outlineLevel="1" x14ac:dyDescent="0.2">
      <c r="A99" s="360"/>
      <c r="B99" s="361"/>
      <c r="C99" s="318"/>
      <c r="D99" s="318"/>
      <c r="E99" s="318" t="str">
        <f xml:space="preserve"> 'FS Semi'!E22</f>
        <v>Standby debt interest - T2</v>
      </c>
      <c r="F99" s="318">
        <f xml:space="preserve"> 'FS Semi'!F22</f>
        <v>0</v>
      </c>
      <c r="G99" s="318" t="str">
        <f xml:space="preserve"> 'FS Semi'!G22</f>
        <v>$ 000s</v>
      </c>
      <c r="H99" s="318">
        <f xml:space="preserve"> 'FS Semi'!H22</f>
        <v>0</v>
      </c>
      <c r="I99" s="318"/>
      <c r="J99" s="354" t="str">
        <f t="shared" si="23"/>
        <v>vw</v>
      </c>
      <c r="K99" s="190">
        <f t="shared" si="24"/>
        <v>0</v>
      </c>
      <c r="L99" s="313">
        <f t="shared" si="25"/>
        <v>0</v>
      </c>
      <c r="M99" s="329"/>
      <c r="N99" s="320">
        <v>0</v>
      </c>
      <c r="O99" s="329"/>
    </row>
    <row r="100" spans="1:15" hidden="1" outlineLevel="1" x14ac:dyDescent="0.2">
      <c r="A100" s="360"/>
      <c r="B100" s="361"/>
      <c r="C100" s="318"/>
      <c r="D100" s="318"/>
      <c r="E100" s="318" t="str">
        <f xml:space="preserve"> 'FS Semi'!E23</f>
        <v>WCF commitment fee</v>
      </c>
      <c r="F100" s="318">
        <f xml:space="preserve"> 'FS Semi'!F23</f>
        <v>0</v>
      </c>
      <c r="G100" s="318" t="str">
        <f xml:space="preserve"> 'FS Semi'!G23</f>
        <v>$ 000s</v>
      </c>
      <c r="H100" s="318">
        <f xml:space="preserve"> 'FS Semi'!H23</f>
        <v>0</v>
      </c>
      <c r="I100" s="318"/>
      <c r="J100" s="354" t="str">
        <f t="shared" si="23"/>
        <v>vw</v>
      </c>
      <c r="K100" s="190">
        <f t="shared" si="24"/>
        <v>0</v>
      </c>
      <c r="L100" s="313">
        <f t="shared" si="25"/>
        <v>0</v>
      </c>
      <c r="M100" s="329"/>
      <c r="N100" s="320">
        <v>0</v>
      </c>
      <c r="O100" s="329"/>
    </row>
    <row r="101" spans="1:15" hidden="1" outlineLevel="1" x14ac:dyDescent="0.2">
      <c r="A101" s="360"/>
      <c r="B101" s="361"/>
      <c r="C101" s="318"/>
      <c r="D101" s="318"/>
      <c r="E101" s="318" t="str">
        <f xml:space="preserve"> 'FS Semi'!E24</f>
        <v>WCF upfront fee</v>
      </c>
      <c r="F101" s="318">
        <f xml:space="preserve"> 'FS Semi'!F24</f>
        <v>0</v>
      </c>
      <c r="G101" s="318" t="str">
        <f xml:space="preserve"> 'FS Semi'!G24</f>
        <v>$ 000s</v>
      </c>
      <c r="H101" s="318">
        <f xml:space="preserve"> 'FS Semi'!H24</f>
        <v>0</v>
      </c>
      <c r="I101" s="318"/>
      <c r="J101" s="354" t="str">
        <f t="shared" si="23"/>
        <v>tu</v>
      </c>
      <c r="K101" s="190">
        <f t="shared" si="24"/>
        <v>130</v>
      </c>
      <c r="L101" s="313">
        <f t="shared" si="25"/>
        <v>-1</v>
      </c>
      <c r="M101" s="329"/>
      <c r="N101" s="320">
        <v>-130</v>
      </c>
      <c r="O101" s="329"/>
    </row>
    <row r="102" spans="1:15" hidden="1" outlineLevel="1" x14ac:dyDescent="0.2">
      <c r="A102" s="360"/>
      <c r="B102" s="361"/>
      <c r="C102" s="318"/>
      <c r="D102" s="318"/>
      <c r="E102" s="318" t="str">
        <f xml:space="preserve"> 'FS Semi'!E25</f>
        <v>WCF interest accrued and paid</v>
      </c>
      <c r="F102" s="318">
        <f xml:space="preserve"> 'FS Semi'!F25</f>
        <v>0</v>
      </c>
      <c r="G102" s="318" t="str">
        <f xml:space="preserve"> 'FS Semi'!G25</f>
        <v>$ 000s</v>
      </c>
      <c r="H102" s="318">
        <f xml:space="preserve"> 'FS Semi'!H25</f>
        <v>0</v>
      </c>
      <c r="I102" s="318"/>
      <c r="J102" s="354" t="str">
        <f t="shared" si="23"/>
        <v>tu</v>
      </c>
      <c r="K102" s="190">
        <f t="shared" si="24"/>
        <v>2868.6646829214578</v>
      </c>
      <c r="L102" s="313">
        <f t="shared" si="25"/>
        <v>-1</v>
      </c>
      <c r="M102" s="329"/>
      <c r="N102" s="320">
        <v>-2868.6646829214578</v>
      </c>
      <c r="O102" s="329"/>
    </row>
    <row r="103" spans="1:15" hidden="1" outlineLevel="1" x14ac:dyDescent="0.2">
      <c r="A103" s="360"/>
      <c r="B103" s="361"/>
      <c r="C103" s="318"/>
      <c r="D103" s="318"/>
      <c r="E103" s="318" t="str">
        <f xml:space="preserve"> 'FS Semi'!E26</f>
        <v>Equity bridge interest</v>
      </c>
      <c r="F103" s="318">
        <f xml:space="preserve"> 'FS Semi'!F26</f>
        <v>0</v>
      </c>
      <c r="G103" s="318" t="str">
        <f xml:space="preserve"> 'FS Semi'!G26</f>
        <v>$ 000s</v>
      </c>
      <c r="H103" s="318">
        <f xml:space="preserve"> 'FS Semi'!H26</f>
        <v>0</v>
      </c>
      <c r="I103" s="318"/>
      <c r="J103" s="354" t="str">
        <f t="shared" si="23"/>
        <v>vw</v>
      </c>
      <c r="K103" s="190">
        <f t="shared" si="24"/>
        <v>0</v>
      </c>
      <c r="L103" s="313">
        <f t="shared" si="25"/>
        <v>0</v>
      </c>
      <c r="M103" s="329"/>
      <c r="N103" s="320">
        <v>0</v>
      </c>
      <c r="O103" s="329"/>
    </row>
    <row r="104" spans="1:15" hidden="1" outlineLevel="1" x14ac:dyDescent="0.2">
      <c r="A104" s="360"/>
      <c r="B104" s="361"/>
      <c r="C104" s="318"/>
      <c r="D104" s="318"/>
      <c r="E104" s="318" t="str">
        <f xml:space="preserve"> 'FS Semi'!E27</f>
        <v>Shareholder loan interest expense</v>
      </c>
      <c r="F104" s="318">
        <f xml:space="preserve"> 'FS Semi'!F27</f>
        <v>0</v>
      </c>
      <c r="G104" s="318" t="str">
        <f xml:space="preserve"> 'FS Semi'!G27</f>
        <v>$ 000s</v>
      </c>
      <c r="H104" s="318">
        <f xml:space="preserve"> 'FS Semi'!H27</f>
        <v>-289672.52637153119</v>
      </c>
      <c r="I104" s="318"/>
      <c r="J104" s="354" t="str">
        <f t="shared" si="23"/>
        <v>tu</v>
      </c>
      <c r="K104" s="190">
        <f t="shared" si="24"/>
        <v>-233231.19653481143</v>
      </c>
      <c r="L104" s="313">
        <f t="shared" si="25"/>
        <v>4.1322767767791895</v>
      </c>
      <c r="M104" s="329"/>
      <c r="N104" s="320">
        <v>-56441.329836719757</v>
      </c>
      <c r="O104" s="329"/>
    </row>
    <row r="105" spans="1:15" hidden="1" outlineLevel="1" x14ac:dyDescent="0.2">
      <c r="A105" s="360"/>
      <c r="B105" s="361"/>
      <c r="C105" s="318"/>
      <c r="D105" s="318"/>
      <c r="E105" s="318" t="str">
        <f xml:space="preserve"> 'FS Semi'!E28</f>
        <v>DSRA LC fee accrued and paid</v>
      </c>
      <c r="F105" s="318">
        <f xml:space="preserve"> 'FS Semi'!F28</f>
        <v>0</v>
      </c>
      <c r="G105" s="318" t="str">
        <f xml:space="preserve"> 'FS Semi'!G28</f>
        <v>$ 000s</v>
      </c>
      <c r="H105" s="318">
        <f xml:space="preserve"> 'FS Semi'!H28</f>
        <v>0</v>
      </c>
      <c r="I105" s="318"/>
      <c r="J105" s="354" t="str">
        <f t="shared" si="23"/>
        <v>vw</v>
      </c>
      <c r="K105" s="190">
        <f t="shared" si="24"/>
        <v>0</v>
      </c>
      <c r="L105" s="313">
        <f t="shared" si="25"/>
        <v>0</v>
      </c>
      <c r="M105" s="329"/>
      <c r="N105" s="320">
        <v>0</v>
      </c>
      <c r="O105" s="329"/>
    </row>
    <row r="106" spans="1:15" hidden="1" outlineLevel="1" x14ac:dyDescent="0.2">
      <c r="A106" s="190"/>
      <c r="B106" s="332"/>
      <c r="C106" s="332"/>
      <c r="D106" s="332"/>
      <c r="E106" s="359" t="str">
        <f xml:space="preserve"> 'FS Semi'!E29</f>
        <v>Profit before tax</v>
      </c>
      <c r="F106" s="359">
        <f xml:space="preserve"> 'FS Semi'!F29</f>
        <v>0</v>
      </c>
      <c r="G106" s="359" t="str">
        <f xml:space="preserve"> 'FS Semi'!G29</f>
        <v>$ 000s</v>
      </c>
      <c r="H106" s="359">
        <f xml:space="preserve"> 'FS Semi'!H29</f>
        <v>-139488.01257311381</v>
      </c>
      <c r="I106" s="359"/>
      <c r="J106" s="356" t="str">
        <f t="shared" si="23"/>
        <v>tu</v>
      </c>
      <c r="K106" s="324">
        <f t="shared" si="24"/>
        <v>-319946.04686509998</v>
      </c>
      <c r="L106" s="325">
        <f t="shared" si="25"/>
        <v>-1.7729664856451794</v>
      </c>
      <c r="M106" s="326"/>
      <c r="N106" s="327">
        <v>180458.03429198617</v>
      </c>
      <c r="O106" s="326"/>
    </row>
    <row r="107" spans="1:15" hidden="1" outlineLevel="1" x14ac:dyDescent="0.2">
      <c r="A107" s="190"/>
      <c r="B107" s="363"/>
      <c r="C107" s="364"/>
      <c r="D107" s="360"/>
      <c r="E107" s="317"/>
      <c r="F107" s="317"/>
      <c r="G107" s="317"/>
      <c r="H107" s="317"/>
      <c r="I107" s="318"/>
      <c r="J107" s="357"/>
      <c r="K107" s="190"/>
      <c r="L107" s="313"/>
      <c r="M107" s="330"/>
      <c r="N107" s="320"/>
      <c r="O107" s="330"/>
    </row>
    <row r="108" spans="1:15" hidden="1" outlineLevel="1" x14ac:dyDescent="0.2">
      <c r="A108" s="360"/>
      <c r="B108" s="361"/>
      <c r="C108" s="365"/>
      <c r="D108" s="318"/>
      <c r="E108" s="318" t="str">
        <f xml:space="preserve"> 'FS Semi'!E31</f>
        <v>Corporate income tax</v>
      </c>
      <c r="F108" s="318">
        <f xml:space="preserve"> 'FS Semi'!F31</f>
        <v>0</v>
      </c>
      <c r="G108" s="318" t="str">
        <f xml:space="preserve"> 'FS Semi'!G31</f>
        <v>$ 000s</v>
      </c>
      <c r="H108" s="318">
        <f xml:space="preserve"> 'FS Semi'!H31</f>
        <v>0</v>
      </c>
      <c r="I108" s="318"/>
      <c r="J108" s="357" t="str">
        <f xml:space="preserve"> IF(ABS(K108) &gt; TRK_TOL, "tu", "vw")</f>
        <v>tu</v>
      </c>
      <c r="K108" s="190">
        <f xml:space="preserve"> H108 - INDEX(M108:O108, $J$5)</f>
        <v>2091.8309707147596</v>
      </c>
      <c r="L108" s="313">
        <f xml:space="preserve"> IF(ABS(K108) &gt; TRK_TOL, IF(INDEX(M108:O108, $J$5) = 0, 0, H108 / INDEX(M108:O108, $J$5) - 1), 0)</f>
        <v>-1</v>
      </c>
      <c r="M108" s="330"/>
      <c r="N108" s="320">
        <v>-2091.8309707147596</v>
      </c>
      <c r="O108" s="330"/>
    </row>
    <row r="109" spans="1:15" hidden="1" outlineLevel="1" x14ac:dyDescent="0.2">
      <c r="A109" s="360"/>
      <c r="B109" s="361"/>
      <c r="C109" s="365"/>
      <c r="D109" s="318"/>
      <c r="E109" s="318" t="str">
        <f xml:space="preserve"> 'FS Semi'!E32</f>
        <v>Deferred tax</v>
      </c>
      <c r="F109" s="318">
        <f xml:space="preserve"> 'FS Semi'!F32</f>
        <v>0</v>
      </c>
      <c r="G109" s="318" t="str">
        <f xml:space="preserve"> 'FS Semi'!G32</f>
        <v>$ 000s</v>
      </c>
      <c r="H109" s="318">
        <f xml:space="preserve"> 'FS Semi'!H32</f>
        <v>5.6843418860808015E-12</v>
      </c>
      <c r="I109" s="318"/>
      <c r="J109" s="357" t="str">
        <f xml:space="preserve"> IF(ABS(K109) &gt; TRK_TOL, "tu", "vw")</f>
        <v>vw</v>
      </c>
      <c r="K109" s="190">
        <f xml:space="preserve"> H109 - INDEX(M109:O109, $J$5)</f>
        <v>2.1259438653942198E-11</v>
      </c>
      <c r="L109" s="313">
        <f xml:space="preserve"> IF(ABS(K109) &gt; TRK_TOL, IF(INDEX(M109:O109, $J$5) = 0, 0, H109 / INDEX(M109:O109, $J$5) - 1), 0)</f>
        <v>0</v>
      </c>
      <c r="M109" s="330"/>
      <c r="N109" s="320">
        <v>-1.5575096767861396E-11</v>
      </c>
      <c r="O109" s="330"/>
    </row>
    <row r="110" spans="1:15" hidden="1" outlineLevel="1" x14ac:dyDescent="0.2">
      <c r="A110" s="360"/>
      <c r="B110" s="361"/>
      <c r="C110" s="366"/>
      <c r="D110" s="318"/>
      <c r="E110" s="322" t="str">
        <f xml:space="preserve"> 'FS Semi'!E33</f>
        <v>Profit after tax</v>
      </c>
      <c r="F110" s="322">
        <f xml:space="preserve"> 'FS Semi'!F33</f>
        <v>0</v>
      </c>
      <c r="G110" s="322" t="str">
        <f xml:space="preserve"> 'FS Semi'!G33</f>
        <v>$ 000s</v>
      </c>
      <c r="H110" s="322">
        <f xml:space="preserve"> 'FS Semi'!H33</f>
        <v>-139488.01257311381</v>
      </c>
      <c r="I110" s="359"/>
      <c r="J110" s="356" t="str">
        <f xml:space="preserve"> IF(ABS(K110) &gt; TRK_TOL, "tu", "vw")</f>
        <v>tu</v>
      </c>
      <c r="K110" s="324">
        <f xml:space="preserve"> H110 - INDEX(M110:O110, $J$5)</f>
        <v>-317854.21589438524</v>
      </c>
      <c r="L110" s="325">
        <f xml:space="preserve"> IF(ABS(K110) &gt; TRK_TOL, IF(INDEX(M110:O110, $J$5) = 0, 0, H110 / INDEX(M110:O110, $J$5) - 1), 0)</f>
        <v>-1.7820316291751155</v>
      </c>
      <c r="M110" s="326"/>
      <c r="N110" s="327">
        <v>178366.20332127146</v>
      </c>
      <c r="O110" s="326"/>
    </row>
    <row r="111" spans="1:15" hidden="1" outlineLevel="1" x14ac:dyDescent="0.2">
      <c r="A111" s="360"/>
      <c r="B111" s="361"/>
      <c r="C111" s="366"/>
      <c r="D111" s="318"/>
      <c r="E111" s="317"/>
      <c r="F111" s="317"/>
      <c r="G111" s="317"/>
      <c r="H111" s="317"/>
      <c r="I111" s="318"/>
      <c r="J111" s="357"/>
      <c r="K111" s="190"/>
      <c r="L111" s="313"/>
      <c r="M111" s="330"/>
      <c r="N111" s="320"/>
      <c r="O111" s="330"/>
    </row>
    <row r="112" spans="1:15" hidden="1" outlineLevel="1" x14ac:dyDescent="0.2">
      <c r="A112" s="360"/>
      <c r="B112" s="361"/>
      <c r="C112" s="366"/>
      <c r="D112" s="318"/>
      <c r="E112" s="318" t="str">
        <f xml:space="preserve"> 'FS Semi'!E35</f>
        <v>Dividends paid</v>
      </c>
      <c r="F112" s="318">
        <f xml:space="preserve"> 'FS Semi'!F35</f>
        <v>0</v>
      </c>
      <c r="G112" s="318" t="str">
        <f xml:space="preserve"> 'FS Semi'!G35</f>
        <v>$ 000s</v>
      </c>
      <c r="H112" s="318">
        <f xml:space="preserve"> 'FS Semi'!H35</f>
        <v>0</v>
      </c>
      <c r="I112" s="318"/>
      <c r="J112" s="357" t="str">
        <f xml:space="preserve"> IF(ABS(K112) &gt; TRK_TOL, "tu", "vw")</f>
        <v>tu</v>
      </c>
      <c r="K112" s="190">
        <f xml:space="preserve"> H112 - INDEX(M112:O112, $J$5)</f>
        <v>178366.18234286967</v>
      </c>
      <c r="L112" s="313">
        <f xml:space="preserve"> IF(ABS(K112) &gt; TRK_TOL, IF(INDEX(M112:O112, $J$5) = 0, 0, H112 / INDEX(M112:O112, $J$5) - 1), 0)</f>
        <v>-1</v>
      </c>
      <c r="M112" s="330"/>
      <c r="N112" s="320">
        <v>-178366.18234286967</v>
      </c>
      <c r="O112" s="330"/>
    </row>
    <row r="113" spans="1:15" hidden="1" outlineLevel="1" x14ac:dyDescent="0.2">
      <c r="A113" s="107"/>
      <c r="B113" s="109"/>
      <c r="C113" s="116"/>
      <c r="D113" s="106"/>
      <c r="E113" s="322" t="str">
        <f xml:space="preserve"> 'FS Semi'!E36</f>
        <v>Net income</v>
      </c>
      <c r="F113" s="322">
        <f xml:space="preserve"> 'FS Semi'!F36</f>
        <v>0</v>
      </c>
      <c r="G113" s="322" t="str">
        <f xml:space="preserve"> 'FS Semi'!G36</f>
        <v>$ 000s</v>
      </c>
      <c r="H113" s="322">
        <f xml:space="preserve"> 'FS Semi'!H36</f>
        <v>-139488.01257311381</v>
      </c>
      <c r="I113" s="323"/>
      <c r="J113" s="356" t="str">
        <f xml:space="preserve"> IF(ABS(K113) &gt; TRK_TOL, "tu", "vw")</f>
        <v>tu</v>
      </c>
      <c r="K113" s="324">
        <f xml:space="preserve"> H113 - INDEX(M113:O113, $J$5)</f>
        <v>-139488.0335515156</v>
      </c>
      <c r="L113" s="425">
        <f xml:space="preserve"> IF(ABS(K113) &gt; TRK_TOL, IF(INDEX(M113:O113, $J$5) = 0, 0, H113 / INDEX(M113:O113, $J$5) - 1), 0)</f>
        <v>-6649125.8467403864</v>
      </c>
      <c r="M113" s="328"/>
      <c r="N113" s="659">
        <v>2.0978401787942857E-2</v>
      </c>
      <c r="O113" s="328"/>
    </row>
    <row r="114" spans="1:15" hidden="1" outlineLevel="1" x14ac:dyDescent="0.2">
      <c r="A114" s="107"/>
      <c r="B114" s="109"/>
      <c r="C114" s="116"/>
      <c r="D114" s="106"/>
      <c r="E114" s="317"/>
      <c r="F114" s="318"/>
      <c r="G114" s="318"/>
      <c r="H114" s="318"/>
      <c r="I114" s="318"/>
      <c r="K114" s="191"/>
      <c r="L114" s="314"/>
      <c r="M114" s="319"/>
      <c r="N114" s="660"/>
      <c r="O114" s="319"/>
    </row>
    <row r="115" spans="1:15" collapsed="1" x14ac:dyDescent="0.2">
      <c r="A115" s="107"/>
      <c r="B115" s="109"/>
      <c r="C115" s="116"/>
      <c r="D115" s="106"/>
      <c r="E115" s="318"/>
      <c r="F115" s="318"/>
      <c r="G115" s="318"/>
      <c r="H115" s="318"/>
      <c r="I115" s="318"/>
      <c r="K115" s="191"/>
      <c r="L115" s="314"/>
      <c r="M115" s="319"/>
      <c r="N115" s="660"/>
      <c r="O115" s="319"/>
    </row>
    <row r="116" spans="1:15" x14ac:dyDescent="0.2">
      <c r="A116" s="96" t="s">
        <v>67</v>
      </c>
      <c r="B116" s="109"/>
      <c r="C116" s="116"/>
      <c r="D116" s="106"/>
      <c r="E116" s="318"/>
      <c r="F116" s="318"/>
      <c r="G116" s="318"/>
      <c r="H116" s="318"/>
      <c r="I116" s="318"/>
      <c r="K116" s="191"/>
      <c r="L116" s="314"/>
      <c r="M116" s="319"/>
      <c r="N116" s="660"/>
      <c r="O116" s="319"/>
    </row>
    <row r="117" spans="1:15" outlineLevel="1" x14ac:dyDescent="0.2">
      <c r="A117" s="107"/>
      <c r="B117" s="109"/>
      <c r="C117" s="97"/>
      <c r="D117" s="106"/>
      <c r="E117" s="318"/>
      <c r="F117" s="318"/>
      <c r="G117" s="318"/>
      <c r="H117" s="318"/>
      <c r="I117" s="318"/>
      <c r="K117" s="191"/>
      <c r="L117" s="314"/>
      <c r="M117" s="319"/>
      <c r="N117" s="660"/>
      <c r="O117" s="319"/>
    </row>
    <row r="118" spans="1:15" outlineLevel="1" x14ac:dyDescent="0.2">
      <c r="A118" s="107"/>
      <c r="B118" s="109"/>
      <c r="C118" s="97"/>
      <c r="D118" s="106"/>
      <c r="E118" s="310" t="str">
        <f xml:space="preserve"> 'FS Semi'!E41</f>
        <v>Cash received from invoices</v>
      </c>
      <c r="F118" s="310">
        <f xml:space="preserve"> 'FS Semi'!F$41</f>
        <v>0</v>
      </c>
      <c r="G118" s="310" t="str">
        <f xml:space="preserve"> 'FS Semi'!G41</f>
        <v>$ 000s</v>
      </c>
      <c r="H118" s="310">
        <f xml:space="preserve"> 'FS Semi'!H41</f>
        <v>792204.22663711908</v>
      </c>
      <c r="I118" s="318"/>
      <c r="J118" s="354" t="str">
        <f t="shared" ref="J118:J124" si="26" xml:space="preserve"> IF(ABS(K118) &gt; TRK_TOL, "tu", "vw")</f>
        <v>tu</v>
      </c>
      <c r="K118" s="190">
        <f t="shared" ref="K118:K124" si="27" xml:space="preserve"> H118 - INDEX(M118:O118, $J$5)</f>
        <v>-11967.037341403891</v>
      </c>
      <c r="L118" s="313">
        <f t="shared" ref="L118:L124" si="28" xml:space="preserve"> IF(ABS(K118) &gt; TRK_TOL, IF(INDEX(M118:O118, $J$5) = 0, 0, H118 / INDEX(M118:O118, $J$5) - 1), 0)</f>
        <v>-1.488120488439082E-2</v>
      </c>
      <c r="M118" s="329"/>
      <c r="N118" s="320">
        <v>804171.26397852297</v>
      </c>
      <c r="O118" s="329"/>
    </row>
    <row r="119" spans="1:15" outlineLevel="1" x14ac:dyDescent="0.2">
      <c r="A119" s="107"/>
      <c r="B119" s="109"/>
      <c r="C119" s="97"/>
      <c r="D119" s="106"/>
      <c r="E119" s="310" t="str">
        <f xml:space="preserve"> 'FS Semi'!E42</f>
        <v>Early generation revenue received</v>
      </c>
      <c r="F119" s="310">
        <f xml:space="preserve"> 'FS Semi'!F$41</f>
        <v>0</v>
      </c>
      <c r="G119" s="310" t="str">
        <f xml:space="preserve"> 'FS Semi'!G42</f>
        <v>$ 000s</v>
      </c>
      <c r="H119" s="310">
        <f xml:space="preserve"> 'FS Semi'!H42</f>
        <v>13930</v>
      </c>
      <c r="I119" s="318"/>
      <c r="J119" s="354" t="str">
        <f t="shared" si="26"/>
        <v>tu</v>
      </c>
      <c r="K119" s="190">
        <f t="shared" si="27"/>
        <v>13930</v>
      </c>
      <c r="L119" s="313">
        <f t="shared" si="28"/>
        <v>0</v>
      </c>
      <c r="M119" s="329"/>
      <c r="N119" s="320">
        <v>0</v>
      </c>
      <c r="O119" s="329"/>
    </row>
    <row r="120" spans="1:15" outlineLevel="1" x14ac:dyDescent="0.2">
      <c r="A120" s="107"/>
      <c r="B120" s="109"/>
      <c r="C120" s="97"/>
      <c r="D120" s="106"/>
      <c r="E120" s="310" t="str">
        <f xml:space="preserve"> 'FS Semi'!E43</f>
        <v>Release of working capital reserve</v>
      </c>
      <c r="F120" s="310">
        <f xml:space="preserve"> 'FS Semi'!F43</f>
        <v>0</v>
      </c>
      <c r="G120" s="310" t="str">
        <f xml:space="preserve"> 'FS Semi'!G43</f>
        <v>$ 000s</v>
      </c>
      <c r="H120" s="310">
        <f xml:space="preserve"> 'FS Semi'!H43</f>
        <v>3857.1209730037863</v>
      </c>
      <c r="I120" s="318"/>
      <c r="J120" s="354" t="str">
        <f t="shared" si="26"/>
        <v>tu</v>
      </c>
      <c r="K120" s="190">
        <f t="shared" si="27"/>
        <v>3857.1209730037863</v>
      </c>
      <c r="L120" s="313">
        <f t="shared" si="28"/>
        <v>0</v>
      </c>
      <c r="M120" s="329"/>
      <c r="N120" s="320">
        <v>0</v>
      </c>
      <c r="O120" s="329"/>
    </row>
    <row r="121" spans="1:15" outlineLevel="1" x14ac:dyDescent="0.2">
      <c r="A121" s="107"/>
      <c r="B121" s="109"/>
      <c r="C121" s="97"/>
      <c r="D121" s="106"/>
      <c r="E121" s="288" t="str">
        <f xml:space="preserve"> 'FS Semi'!E44</f>
        <v>Cash paid for O&amp;M costs</v>
      </c>
      <c r="F121" s="288">
        <f xml:space="preserve"> 'FS Semi'!F$44</f>
        <v>0</v>
      </c>
      <c r="G121" s="288" t="str">
        <f xml:space="preserve"> 'FS Semi'!G44</f>
        <v>$ 000s</v>
      </c>
      <c r="H121" s="288">
        <f xml:space="preserve"> 'FS Semi'!H44</f>
        <v>-210402.03579009016</v>
      </c>
      <c r="I121" s="318"/>
      <c r="J121" s="354" t="str">
        <f t="shared" si="26"/>
        <v>tu</v>
      </c>
      <c r="K121" s="190">
        <f t="shared" si="27"/>
        <v>-92050.89065816447</v>
      </c>
      <c r="L121" s="313">
        <f t="shared" si="28"/>
        <v>0.77777777777777812</v>
      </c>
      <c r="M121" s="329"/>
      <c r="N121" s="320">
        <v>-118351.14513192569</v>
      </c>
      <c r="O121" s="329"/>
    </row>
    <row r="122" spans="1:15" outlineLevel="1" x14ac:dyDescent="0.2">
      <c r="A122" s="107"/>
      <c r="B122" s="109"/>
      <c r="C122" s="97"/>
      <c r="D122" s="106"/>
      <c r="E122" s="310" t="str">
        <f xml:space="preserve"> 'FS Semi'!E45</f>
        <v>EGR period costs paid through EGR's</v>
      </c>
      <c r="F122" s="310">
        <f xml:space="preserve"> 'FS Semi'!F$41</f>
        <v>0</v>
      </c>
      <c r="G122" s="310" t="str">
        <f xml:space="preserve"> 'FS Semi'!G45</f>
        <v>$ 000s</v>
      </c>
      <c r="H122" s="310">
        <f xml:space="preserve"> 'FS Semi'!H45</f>
        <v>0</v>
      </c>
      <c r="I122" s="318"/>
      <c r="J122" s="354" t="str">
        <f t="shared" si="26"/>
        <v>vw</v>
      </c>
      <c r="K122" s="190">
        <f t="shared" si="27"/>
        <v>0</v>
      </c>
      <c r="L122" s="313">
        <f t="shared" si="28"/>
        <v>0</v>
      </c>
      <c r="M122" s="329"/>
      <c r="N122" s="320">
        <v>0</v>
      </c>
      <c r="O122" s="329"/>
    </row>
    <row r="123" spans="1:15" outlineLevel="1" x14ac:dyDescent="0.2">
      <c r="A123" s="107"/>
      <c r="B123" s="109"/>
      <c r="C123" s="97"/>
      <c r="D123" s="106"/>
      <c r="E123" s="288" t="str">
        <f xml:space="preserve"> 'FS Semi'!E46</f>
        <v>Corporate income tax</v>
      </c>
      <c r="F123" s="288">
        <f xml:space="preserve"> 'FS Semi'!F$46</f>
        <v>0</v>
      </c>
      <c r="G123" s="288" t="str">
        <f xml:space="preserve"> 'FS Semi'!G46</f>
        <v>$ 000s</v>
      </c>
      <c r="H123" s="288">
        <f xml:space="preserve"> 'FS Semi'!H46</f>
        <v>0</v>
      </c>
      <c r="I123" s="318"/>
      <c r="J123" s="354" t="str">
        <f t="shared" si="26"/>
        <v>tu</v>
      </c>
      <c r="K123" s="190">
        <f t="shared" si="27"/>
        <v>2091.8309707147596</v>
      </c>
      <c r="L123" s="313">
        <f t="shared" si="28"/>
        <v>-1</v>
      </c>
      <c r="M123" s="329"/>
      <c r="N123" s="320">
        <v>-2091.8309707147596</v>
      </c>
      <c r="O123" s="329"/>
    </row>
    <row r="124" spans="1:15" outlineLevel="1" x14ac:dyDescent="0.2">
      <c r="A124" s="107"/>
      <c r="B124" s="109"/>
      <c r="C124" s="97"/>
      <c r="D124" s="106"/>
      <c r="E124" s="208" t="str">
        <f xml:space="preserve"> 'FS Semi'!E47</f>
        <v>Operating cashflow</v>
      </c>
      <c r="F124" s="208">
        <f xml:space="preserve"> 'FS Semi'!F$47</f>
        <v>0</v>
      </c>
      <c r="G124" s="208" t="str">
        <f xml:space="preserve"> 'FS Semi'!G47</f>
        <v>$ 000s</v>
      </c>
      <c r="H124" s="208">
        <f xml:space="preserve"> 'FS Semi'!H47</f>
        <v>599589.31182003266</v>
      </c>
      <c r="I124" s="323"/>
      <c r="J124" s="356" t="str">
        <f t="shared" si="26"/>
        <v>tu</v>
      </c>
      <c r="K124" s="324">
        <f t="shared" si="27"/>
        <v>-84138.976055849926</v>
      </c>
      <c r="L124" s="325">
        <f t="shared" si="28"/>
        <v>-0.12305908289569512</v>
      </c>
      <c r="M124" s="326"/>
      <c r="N124" s="327">
        <v>683728.28787588258</v>
      </c>
      <c r="O124" s="326"/>
    </row>
    <row r="125" spans="1:15" outlineLevel="1" x14ac:dyDescent="0.2">
      <c r="A125" s="107"/>
      <c r="B125" s="109"/>
      <c r="C125" s="97"/>
      <c r="D125" s="106"/>
      <c r="E125" s="234"/>
      <c r="F125" s="234"/>
      <c r="G125" s="234"/>
      <c r="H125" s="234"/>
      <c r="I125" s="191"/>
      <c r="J125" s="354"/>
      <c r="K125" s="191"/>
      <c r="L125" s="314"/>
      <c r="M125" s="329"/>
      <c r="N125" s="320"/>
      <c r="O125" s="329"/>
    </row>
    <row r="126" spans="1:15" outlineLevel="1" x14ac:dyDescent="0.2">
      <c r="A126" s="107"/>
      <c r="B126" s="109"/>
      <c r="C126" s="97"/>
      <c r="D126" s="106"/>
      <c r="E126" s="288" t="str">
        <f xml:space="preserve"> 'FS Semi'!E49</f>
        <v>Construction costs</v>
      </c>
      <c r="F126" s="288">
        <f xml:space="preserve"> 'FS Semi'!F49</f>
        <v>0</v>
      </c>
      <c r="G126" s="288" t="str">
        <f xml:space="preserve"> 'FS Semi'!G49</f>
        <v>$ 000s</v>
      </c>
      <c r="H126" s="288">
        <f xml:space="preserve"> 'FS Semi'!H49</f>
        <v>-309322.30772000004</v>
      </c>
      <c r="I126" s="191"/>
      <c r="J126" s="354" t="str">
        <f t="shared" ref="J126:J142" si="29" xml:space="preserve"> IF(ABS(K126) &gt; TRK_TOL, "tu", "vw")</f>
        <v>tu</v>
      </c>
      <c r="K126" s="190">
        <f t="shared" ref="K126:K142" si="30" xml:space="preserve"> H126 - INDEX(M126:O126, $J$5)</f>
        <v>11602.692280000017</v>
      </c>
      <c r="L126" s="313">
        <f t="shared" ref="L126:L142" si="31" xml:space="preserve"> IF(ABS(K126) &gt; TRK_TOL, IF(INDEX(M126:O126, $J$5) = 0, 0, H126 / INDEX(M126:O126, $J$5) - 1), 0)</f>
        <v>-3.6153905990496282E-2</v>
      </c>
      <c r="M126" s="329"/>
      <c r="N126" s="320">
        <v>-320925.00000000006</v>
      </c>
      <c r="O126" s="329"/>
    </row>
    <row r="127" spans="1:15" outlineLevel="1" x14ac:dyDescent="0.2">
      <c r="A127" s="107"/>
      <c r="B127" s="109"/>
      <c r="C127" s="97"/>
      <c r="D127" s="106"/>
      <c r="E127" s="288" t="str">
        <f xml:space="preserve"> 'FS Semi'!E50</f>
        <v>Financing fees</v>
      </c>
      <c r="F127" s="288">
        <f xml:space="preserve"> 'FS Semi'!F50</f>
        <v>0</v>
      </c>
      <c r="G127" s="288" t="str">
        <f xml:space="preserve"> 'FS Semi'!G50</f>
        <v>$ 000s</v>
      </c>
      <c r="H127" s="288">
        <f xml:space="preserve"> 'FS Semi'!H50</f>
        <v>-24335.550022039701</v>
      </c>
      <c r="I127" s="191"/>
      <c r="J127" s="354" t="str">
        <f t="shared" si="29"/>
        <v>tu</v>
      </c>
      <c r="K127" s="190">
        <f t="shared" si="30"/>
        <v>-9897.3449058409169</v>
      </c>
      <c r="L127" s="313">
        <f t="shared" si="31"/>
        <v>0.68549690395634433</v>
      </c>
      <c r="M127" s="329"/>
      <c r="N127" s="320">
        <v>-14438.205116198784</v>
      </c>
      <c r="O127" s="329"/>
    </row>
    <row r="128" spans="1:15" outlineLevel="1" x14ac:dyDescent="0.2">
      <c r="A128" s="107"/>
      <c r="B128" s="109"/>
      <c r="C128" s="97"/>
      <c r="D128" s="106"/>
      <c r="E128" s="288" t="str">
        <f xml:space="preserve"> 'FS Semi'!E51</f>
        <v>Pre-funding of working capital</v>
      </c>
      <c r="F128" s="288">
        <f xml:space="preserve"> 'FS Semi'!F51</f>
        <v>0</v>
      </c>
      <c r="G128" s="288" t="str">
        <f xml:space="preserve"> 'FS Semi'!G51</f>
        <v>$ 000s</v>
      </c>
      <c r="H128" s="288">
        <f xml:space="preserve"> 'FS Semi'!H51</f>
        <v>-3857.1209730037863</v>
      </c>
      <c r="I128" s="191"/>
      <c r="J128" s="354" t="str">
        <f t="shared" si="29"/>
        <v>tu</v>
      </c>
      <c r="K128" s="190">
        <f t="shared" si="30"/>
        <v>-3857.1209730037863</v>
      </c>
      <c r="L128" s="313">
        <f t="shared" si="31"/>
        <v>0</v>
      </c>
      <c r="M128" s="329"/>
      <c r="N128" s="320">
        <v>0</v>
      </c>
      <c r="O128" s="329"/>
    </row>
    <row r="129" spans="1:15" outlineLevel="1" x14ac:dyDescent="0.2">
      <c r="A129" s="107"/>
      <c r="B129" s="109"/>
      <c r="C129" s="97"/>
      <c r="D129" s="106"/>
      <c r="E129" s="288" t="str">
        <f xml:space="preserve"> 'FS Semi'!E52</f>
        <v>Pre-funding of DSRA</v>
      </c>
      <c r="F129" s="288">
        <f xml:space="preserve"> 'FS Semi'!F52</f>
        <v>0</v>
      </c>
      <c r="G129" s="288" t="str">
        <f xml:space="preserve"> 'FS Semi'!G52</f>
        <v>$ 000s</v>
      </c>
      <c r="H129" s="288">
        <f xml:space="preserve"> 'FS Semi'!H52</f>
        <v>-11233.130669939161</v>
      </c>
      <c r="I129" s="191"/>
      <c r="J129" s="354" t="str">
        <f t="shared" si="29"/>
        <v>tu</v>
      </c>
      <c r="K129" s="190">
        <f t="shared" si="30"/>
        <v>1213.0334557244951</v>
      </c>
      <c r="L129" s="313">
        <f t="shared" si="31"/>
        <v>-9.7462434488008509E-2</v>
      </c>
      <c r="M129" s="329"/>
      <c r="N129" s="320">
        <v>-12446.164125663656</v>
      </c>
      <c r="O129" s="329"/>
    </row>
    <row r="130" spans="1:15" outlineLevel="1" x14ac:dyDescent="0.2">
      <c r="A130" s="107"/>
      <c r="B130" s="109"/>
      <c r="C130" s="97"/>
      <c r="D130" s="106"/>
      <c r="E130" s="288" t="str">
        <f xml:space="preserve"> 'FS Semi'!E53</f>
        <v>Equity bridge repayment</v>
      </c>
      <c r="F130" s="288">
        <f xml:space="preserve"> 'FS Semi'!F53</f>
        <v>0</v>
      </c>
      <c r="G130" s="288" t="str">
        <f xml:space="preserve"> 'FS Semi'!G53</f>
        <v>$ 000s</v>
      </c>
      <c r="H130" s="288">
        <f xml:space="preserve"> 'FS Semi'!H53</f>
        <v>-86318.253106861201</v>
      </c>
      <c r="I130" s="191"/>
      <c r="J130" s="354" t="str">
        <f t="shared" si="29"/>
        <v>tu</v>
      </c>
      <c r="K130" s="190">
        <f t="shared" si="30"/>
        <v>-86318.253106861201</v>
      </c>
      <c r="L130" s="313">
        <f t="shared" si="31"/>
        <v>0</v>
      </c>
      <c r="M130" s="329"/>
      <c r="N130" s="320">
        <v>0</v>
      </c>
      <c r="O130" s="329"/>
    </row>
    <row r="131" spans="1:15" outlineLevel="1" x14ac:dyDescent="0.2">
      <c r="A131" s="107"/>
      <c r="B131" s="109"/>
      <c r="C131" s="97"/>
      <c r="D131" s="106"/>
      <c r="E131" s="288" t="str">
        <f xml:space="preserve"> 'FS Semi'!E54</f>
        <v>Share capital drawdown</v>
      </c>
      <c r="F131" s="288">
        <f xml:space="preserve"> 'FS Semi'!F54</f>
        <v>0</v>
      </c>
      <c r="G131" s="288" t="str">
        <f xml:space="preserve"> 'FS Semi'!G54</f>
        <v>$ 000s</v>
      </c>
      <c r="H131" s="288">
        <f xml:space="preserve"> 'FS Semi'!H54</f>
        <v>100</v>
      </c>
      <c r="I131" s="191"/>
      <c r="J131" s="354" t="str">
        <f t="shared" si="29"/>
        <v>vw</v>
      </c>
      <c r="K131" s="190">
        <f t="shared" si="30"/>
        <v>0</v>
      </c>
      <c r="L131" s="313">
        <f t="shared" si="31"/>
        <v>0</v>
      </c>
      <c r="M131" s="329"/>
      <c r="N131" s="320">
        <v>100</v>
      </c>
      <c r="O131" s="329"/>
    </row>
    <row r="132" spans="1:15" outlineLevel="1" x14ac:dyDescent="0.2">
      <c r="A132" s="107"/>
      <c r="B132" s="109"/>
      <c r="C132" s="97"/>
      <c r="D132" s="106"/>
      <c r="E132" s="288" t="str">
        <f xml:space="preserve"> 'FS Semi'!E55</f>
        <v>Equity bridge drawdown - m</v>
      </c>
      <c r="F132" s="288">
        <f xml:space="preserve"> 'FS Semi'!F55</f>
        <v>0</v>
      </c>
      <c r="G132" s="288" t="str">
        <f xml:space="preserve"> 'FS Semi'!G55</f>
        <v>$ 000s</v>
      </c>
      <c r="H132" s="288">
        <f xml:space="preserve"> 'FS Semi'!H55</f>
        <v>86318.253106861201</v>
      </c>
      <c r="I132" s="191"/>
      <c r="J132" s="354" t="str">
        <f t="shared" si="29"/>
        <v>tu</v>
      </c>
      <c r="K132" s="190">
        <f t="shared" si="30"/>
        <v>86318.253106861201</v>
      </c>
      <c r="L132" s="313">
        <f t="shared" si="31"/>
        <v>0</v>
      </c>
      <c r="M132" s="329"/>
      <c r="N132" s="320">
        <v>0</v>
      </c>
      <c r="O132" s="329"/>
    </row>
    <row r="133" spans="1:15" outlineLevel="1" x14ac:dyDescent="0.2">
      <c r="A133" s="107"/>
      <c r="B133" s="109"/>
      <c r="C133" s="97"/>
      <c r="D133" s="106"/>
      <c r="E133" s="288" t="str">
        <f xml:space="preserve"> 'FS Semi'!E56</f>
        <v>Shareholder loan drawdown</v>
      </c>
      <c r="F133" s="288">
        <f xml:space="preserve"> 'FS Semi'!F56</f>
        <v>0</v>
      </c>
      <c r="G133" s="288" t="str">
        <f xml:space="preserve"> 'FS Semi'!G56</f>
        <v>$ 000s</v>
      </c>
      <c r="H133" s="288">
        <f xml:space="preserve"> 'FS Semi'!H56</f>
        <v>86318.253106861201</v>
      </c>
      <c r="I133" s="191"/>
      <c r="J133" s="354" t="str">
        <f t="shared" si="29"/>
        <v>tu</v>
      </c>
      <c r="K133" s="190">
        <f t="shared" si="30"/>
        <v>-4185.4870417569473</v>
      </c>
      <c r="L133" s="313">
        <f t="shared" si="31"/>
        <v>-4.6246564339593843E-2</v>
      </c>
      <c r="M133" s="329"/>
      <c r="N133" s="320">
        <v>90503.740148618148</v>
      </c>
      <c r="O133" s="329"/>
    </row>
    <row r="134" spans="1:15" outlineLevel="1" x14ac:dyDescent="0.2">
      <c r="A134" s="107"/>
      <c r="B134" s="109"/>
      <c r="C134" s="97"/>
      <c r="D134" s="106"/>
      <c r="E134" s="288" t="str">
        <f xml:space="preserve"> 'FS Semi'!E57</f>
        <v>Construction debt drawdown</v>
      </c>
      <c r="F134" s="288">
        <f xml:space="preserve"> 'FS Semi'!F57</f>
        <v>0</v>
      </c>
      <c r="G134" s="288" t="str">
        <f xml:space="preserve"> 'FS Semi'!G57</f>
        <v>$ 000s</v>
      </c>
      <c r="H134" s="288">
        <f xml:space="preserve"> 'FS Semi'!H57</f>
        <v>250389.85226030689</v>
      </c>
      <c r="I134" s="191"/>
      <c r="J134" s="354" t="str">
        <f t="shared" si="29"/>
        <v>tu</v>
      </c>
      <c r="K134" s="190">
        <f t="shared" si="30"/>
        <v>-6815.7750166375481</v>
      </c>
      <c r="L134" s="313">
        <f t="shared" si="31"/>
        <v>-2.6499323085566462E-2</v>
      </c>
      <c r="M134" s="329"/>
      <c r="N134" s="320">
        <v>257205.62727694443</v>
      </c>
      <c r="O134" s="329"/>
    </row>
    <row r="135" spans="1:15" outlineLevel="1" x14ac:dyDescent="0.2">
      <c r="A135" s="107"/>
      <c r="B135" s="109"/>
      <c r="C135" s="97"/>
      <c r="D135" s="106"/>
      <c r="E135" s="288" t="str">
        <f xml:space="preserve"> 'FS Semi'!E58</f>
        <v>Standby debt drawdown</v>
      </c>
      <c r="F135" s="288">
        <f xml:space="preserve"> 'FS Semi'!F58</f>
        <v>0</v>
      </c>
      <c r="G135" s="288" t="str">
        <f xml:space="preserve"> 'FS Semi'!G58</f>
        <v>$ 000s</v>
      </c>
      <c r="H135" s="288">
        <f xml:space="preserve"> 'FS Semi'!H58</f>
        <v>0</v>
      </c>
      <c r="I135" s="191"/>
      <c r="J135" s="354" t="str">
        <f t="shared" si="29"/>
        <v>vw</v>
      </c>
      <c r="K135" s="190">
        <f t="shared" si="30"/>
        <v>0</v>
      </c>
      <c r="L135" s="313">
        <f t="shared" si="31"/>
        <v>0</v>
      </c>
      <c r="M135" s="329"/>
      <c r="N135" s="320">
        <v>0</v>
      </c>
      <c r="O135" s="329"/>
    </row>
    <row r="136" spans="1:15" outlineLevel="1" x14ac:dyDescent="0.2">
      <c r="A136" s="107"/>
      <c r="B136" s="109"/>
      <c r="C136" s="97"/>
      <c r="D136" s="106"/>
      <c r="E136" s="288" t="str">
        <f xml:space="preserve"> 'FS Semi'!E59</f>
        <v>Standby equity drawdown</v>
      </c>
      <c r="F136" s="288">
        <f xml:space="preserve"> 'FS Semi'!F59</f>
        <v>0</v>
      </c>
      <c r="G136" s="288" t="str">
        <f xml:space="preserve"> 'FS Semi'!G59</f>
        <v>$ 000s</v>
      </c>
      <c r="H136" s="288">
        <f xml:space="preserve"> 'FS Semi'!H59</f>
        <v>0</v>
      </c>
      <c r="I136" s="191"/>
      <c r="J136" s="354" t="str">
        <f t="shared" si="29"/>
        <v>vw</v>
      </c>
      <c r="K136" s="190">
        <f t="shared" si="30"/>
        <v>1.8189894035458565E-12</v>
      </c>
      <c r="L136" s="313">
        <f t="shared" si="31"/>
        <v>0</v>
      </c>
      <c r="M136" s="329"/>
      <c r="N136" s="320">
        <v>-1.8189894035458565E-12</v>
      </c>
      <c r="O136" s="329"/>
    </row>
    <row r="137" spans="1:15" outlineLevel="1" x14ac:dyDescent="0.2">
      <c r="A137" s="107"/>
      <c r="B137" s="109"/>
      <c r="C137" s="97"/>
      <c r="D137" s="106"/>
      <c r="E137" s="288" t="str">
        <f xml:space="preserve"> 'FS Semi'!E60</f>
        <v>WCF commitment fee</v>
      </c>
      <c r="F137" s="288">
        <f xml:space="preserve"> 'FS Semi'!F60</f>
        <v>0</v>
      </c>
      <c r="G137" s="288" t="str">
        <f xml:space="preserve"> 'FS Semi'!G60</f>
        <v>$ 000s</v>
      </c>
      <c r="H137" s="288">
        <f xml:space="preserve"> 'FS Semi'!H60</f>
        <v>0</v>
      </c>
      <c r="I137" s="191"/>
      <c r="J137" s="354" t="str">
        <f t="shared" si="29"/>
        <v>vw</v>
      </c>
      <c r="K137" s="190">
        <f t="shared" si="30"/>
        <v>0</v>
      </c>
      <c r="L137" s="313">
        <f t="shared" si="31"/>
        <v>0</v>
      </c>
      <c r="M137" s="329"/>
      <c r="N137" s="320">
        <v>0</v>
      </c>
      <c r="O137" s="329"/>
    </row>
    <row r="138" spans="1:15" outlineLevel="1" x14ac:dyDescent="0.2">
      <c r="A138" s="107"/>
      <c r="B138" s="109"/>
      <c r="C138" s="97"/>
      <c r="D138" s="106"/>
      <c r="E138" s="288" t="str">
        <f xml:space="preserve"> 'FS Semi'!E61</f>
        <v>WCF upfront fee</v>
      </c>
      <c r="F138" s="288">
        <f xml:space="preserve"> 'FS Semi'!F61</f>
        <v>0</v>
      </c>
      <c r="G138" s="288" t="str">
        <f xml:space="preserve"> 'FS Semi'!G61</f>
        <v>$ 000s</v>
      </c>
      <c r="H138" s="288">
        <f xml:space="preserve"> 'FS Semi'!H61</f>
        <v>0</v>
      </c>
      <c r="I138" s="191"/>
      <c r="J138" s="354" t="str">
        <f t="shared" si="29"/>
        <v>tu</v>
      </c>
      <c r="K138" s="190">
        <f t="shared" si="30"/>
        <v>130</v>
      </c>
      <c r="L138" s="313">
        <f t="shared" si="31"/>
        <v>-1</v>
      </c>
      <c r="M138" s="329"/>
      <c r="N138" s="320">
        <v>-130</v>
      </c>
      <c r="O138" s="329"/>
    </row>
    <row r="139" spans="1:15" outlineLevel="1" x14ac:dyDescent="0.2">
      <c r="A139" s="107"/>
      <c r="B139" s="109"/>
      <c r="C139" s="97"/>
      <c r="D139" s="106"/>
      <c r="E139" s="288" t="str">
        <f xml:space="preserve"> 'FS Semi'!E62</f>
        <v>WCF interest accrued and paid</v>
      </c>
      <c r="F139" s="288">
        <f xml:space="preserve"> 'FS Semi'!F62</f>
        <v>0</v>
      </c>
      <c r="G139" s="288" t="str">
        <f xml:space="preserve"> 'FS Semi'!G62</f>
        <v>$ 000s</v>
      </c>
      <c r="H139" s="288">
        <f xml:space="preserve"> 'FS Semi'!H62</f>
        <v>0</v>
      </c>
      <c r="I139" s="191"/>
      <c r="J139" s="354" t="str">
        <f t="shared" si="29"/>
        <v>tu</v>
      </c>
      <c r="K139" s="190">
        <f t="shared" si="30"/>
        <v>2868.6646829214578</v>
      </c>
      <c r="L139" s="313">
        <f t="shared" si="31"/>
        <v>-1</v>
      </c>
      <c r="M139" s="329"/>
      <c r="N139" s="320">
        <v>-2868.6646829214578</v>
      </c>
      <c r="O139" s="329"/>
    </row>
    <row r="140" spans="1:15" outlineLevel="1" x14ac:dyDescent="0.2">
      <c r="A140" s="107"/>
      <c r="B140" s="109"/>
      <c r="C140" s="97"/>
      <c r="D140" s="106"/>
      <c r="E140" s="288" t="str">
        <f xml:space="preserve"> 'FS Semi'!E63</f>
        <v>WCF drawdown</v>
      </c>
      <c r="F140" s="288">
        <f xml:space="preserve"> 'FS Semi'!F63</f>
        <v>0</v>
      </c>
      <c r="G140" s="288" t="str">
        <f xml:space="preserve"> 'FS Semi'!G63</f>
        <v>$ 000s</v>
      </c>
      <c r="H140" s="288">
        <f xml:space="preserve"> 'FS Semi'!H63</f>
        <v>0</v>
      </c>
      <c r="I140" s="191"/>
      <c r="J140" s="354" t="str">
        <f t="shared" si="29"/>
        <v>tu</v>
      </c>
      <c r="K140" s="190">
        <f t="shared" si="30"/>
        <v>-6118.9189274099563</v>
      </c>
      <c r="L140" s="313">
        <f t="shared" si="31"/>
        <v>-1</v>
      </c>
      <c r="M140" s="329"/>
      <c r="N140" s="320">
        <v>6118.9189274099563</v>
      </c>
      <c r="O140" s="329"/>
    </row>
    <row r="141" spans="1:15" outlineLevel="1" x14ac:dyDescent="0.2">
      <c r="A141" s="107"/>
      <c r="B141" s="109"/>
      <c r="C141" s="97"/>
      <c r="D141" s="106"/>
      <c r="E141" s="288" t="str">
        <f xml:space="preserve"> 'FS Semi'!E64</f>
        <v>WCF repayment</v>
      </c>
      <c r="F141" s="288">
        <f xml:space="preserve"> 'FS Semi'!F64</f>
        <v>0</v>
      </c>
      <c r="G141" s="288" t="str">
        <f xml:space="preserve"> 'FS Semi'!G64</f>
        <v>$ 000s</v>
      </c>
      <c r="H141" s="288">
        <f xml:space="preserve"> 'FS Semi'!H64</f>
        <v>0</v>
      </c>
      <c r="I141" s="191"/>
      <c r="J141" s="354" t="str">
        <f t="shared" si="29"/>
        <v>tu</v>
      </c>
      <c r="K141" s="190">
        <f t="shared" si="30"/>
        <v>6118.9189274099535</v>
      </c>
      <c r="L141" s="313">
        <f t="shared" si="31"/>
        <v>-1</v>
      </c>
      <c r="M141" s="329"/>
      <c r="N141" s="320">
        <v>-6118.9189274099535</v>
      </c>
      <c r="O141" s="329"/>
    </row>
    <row r="142" spans="1:15" outlineLevel="1" x14ac:dyDescent="0.2">
      <c r="A142" s="107"/>
      <c r="B142" s="109"/>
      <c r="C142" s="97"/>
      <c r="D142" s="106"/>
      <c r="E142" s="521" t="str">
        <f xml:space="preserve"> 'FS Semi'!E65</f>
        <v>Cashflow available for senior debt</v>
      </c>
      <c r="F142" s="521">
        <f xml:space="preserve"> 'FS Semi'!F65</f>
        <v>0</v>
      </c>
      <c r="G142" s="521" t="str">
        <f xml:space="preserve"> 'FS Semi'!G65</f>
        <v>$ 000s</v>
      </c>
      <c r="H142" s="521">
        <f xml:space="preserve"> 'FS Semi'!H65</f>
        <v>587649.30780221813</v>
      </c>
      <c r="I142" s="359"/>
      <c r="J142" s="356" t="str">
        <f t="shared" si="29"/>
        <v>tu</v>
      </c>
      <c r="K142" s="324">
        <f t="shared" si="30"/>
        <v>-93080.313574443106</v>
      </c>
      <c r="L142" s="325">
        <f t="shared" si="31"/>
        <v>-0.13673609998960201</v>
      </c>
      <c r="M142" s="326"/>
      <c r="N142" s="327">
        <v>680729.62137666123</v>
      </c>
      <c r="O142" s="326"/>
    </row>
    <row r="143" spans="1:15" outlineLevel="1" x14ac:dyDescent="0.2">
      <c r="A143" s="107"/>
      <c r="B143" s="109"/>
      <c r="C143" s="97"/>
      <c r="D143" s="106"/>
      <c r="E143" s="234"/>
      <c r="F143" s="234"/>
      <c r="G143" s="234"/>
      <c r="H143" s="234"/>
      <c r="I143" s="191"/>
      <c r="J143" s="354"/>
      <c r="K143" s="191"/>
      <c r="L143" s="314"/>
      <c r="M143" s="329"/>
      <c r="N143" s="320"/>
      <c r="O143" s="329"/>
    </row>
    <row r="144" spans="1:15" outlineLevel="1" x14ac:dyDescent="0.2">
      <c r="A144" s="107"/>
      <c r="B144" s="109"/>
      <c r="C144" s="97"/>
      <c r="D144" s="106"/>
      <c r="E144" s="288" t="str">
        <f xml:space="preserve"> 'FS Semi'!E67</f>
        <v>Senior debt interest - T1</v>
      </c>
      <c r="F144" s="288">
        <f xml:space="preserve"> 'FS Semi'!F$67</f>
        <v>0</v>
      </c>
      <c r="G144" s="288" t="str">
        <f xml:space="preserve"> 'FS Semi'!G67</f>
        <v>$ 000s</v>
      </c>
      <c r="H144" s="288">
        <f xml:space="preserve"> 'FS Semi'!H67</f>
        <v>-58932.622085008683</v>
      </c>
      <c r="I144" s="318"/>
      <c r="J144" s="354" t="str">
        <f t="shared" ref="J144:J152" si="32" xml:space="preserve"> IF(ABS(K144) &gt; TRK_TOL, "tu", "vw")</f>
        <v>tu</v>
      </c>
      <c r="K144" s="190">
        <f t="shared" ref="K144:K152" si="33" xml:space="preserve"> H144 - INDEX(M144:O144, $J$5)</f>
        <v>12930.653112192595</v>
      </c>
      <c r="L144" s="313">
        <f t="shared" ref="L144:L152" si="34" xml:space="preserve"> IF(ABS(K144) &gt; TRK_TOL, IF(INDEX(M144:O144, $J$5) = 0, 0, H144 / INDEX(M144:O144, $J$5) - 1), 0)</f>
        <v>-0.17993409118509229</v>
      </c>
      <c r="M144" s="329"/>
      <c r="N144" s="320">
        <v>-71863.275197201277</v>
      </c>
      <c r="O144" s="329"/>
    </row>
    <row r="145" spans="1:15" outlineLevel="1" x14ac:dyDescent="0.2">
      <c r="A145" s="107"/>
      <c r="B145" s="109"/>
      <c r="C145" s="97"/>
      <c r="D145" s="106"/>
      <c r="E145" s="288" t="str">
        <f xml:space="preserve"> 'FS Semi'!E69</f>
        <v>Senior debt interest - T2</v>
      </c>
      <c r="F145" s="288">
        <f xml:space="preserve"> 'FS Semi'!F$67</f>
        <v>0</v>
      </c>
      <c r="G145" s="288" t="str">
        <f xml:space="preserve"> 'FS Semi'!G69</f>
        <v>$ 000s</v>
      </c>
      <c r="H145" s="288">
        <f xml:space="preserve"> 'FS Semi'!H69</f>
        <v>-50719.400835431705</v>
      </c>
      <c r="I145" s="318"/>
      <c r="J145" s="354" t="str">
        <f t="shared" si="32"/>
        <v>tu</v>
      </c>
      <c r="K145" s="190">
        <f t="shared" si="33"/>
        <v>-12023.791113861793</v>
      </c>
      <c r="L145" s="313">
        <f t="shared" si="34"/>
        <v>0.31072752698245831</v>
      </c>
      <c r="M145" s="329"/>
      <c r="N145" s="320">
        <v>-38695.609721569912</v>
      </c>
      <c r="O145" s="329"/>
    </row>
    <row r="146" spans="1:15" outlineLevel="1" x14ac:dyDescent="0.2">
      <c r="A146" s="107"/>
      <c r="B146" s="109"/>
      <c r="C146" s="97"/>
      <c r="D146" s="106"/>
      <c r="E146" s="288" t="str">
        <f xml:space="preserve"> 'FS Semi'!E71</f>
        <v>Standby debt interest - T1</v>
      </c>
      <c r="F146" s="288">
        <f xml:space="preserve"> 'FS Semi'!F$71</f>
        <v>0</v>
      </c>
      <c r="G146" s="288" t="str">
        <f xml:space="preserve"> 'FS Semi'!G71</f>
        <v>$ 000s</v>
      </c>
      <c r="H146" s="288">
        <f xml:space="preserve"> 'FS Semi'!H71</f>
        <v>0</v>
      </c>
      <c r="I146" s="318"/>
      <c r="J146" s="354" t="str">
        <f t="shared" si="32"/>
        <v>vw</v>
      </c>
      <c r="K146" s="190">
        <f t="shared" si="33"/>
        <v>0</v>
      </c>
      <c r="L146" s="313">
        <f t="shared" si="34"/>
        <v>0</v>
      </c>
      <c r="M146" s="329"/>
      <c r="N146" s="320">
        <v>0</v>
      </c>
      <c r="O146" s="329"/>
    </row>
    <row r="147" spans="1:15" outlineLevel="1" x14ac:dyDescent="0.2">
      <c r="A147" s="107"/>
      <c r="B147" s="109"/>
      <c r="C147" s="97"/>
      <c r="D147" s="106"/>
      <c r="E147" s="288" t="str">
        <f xml:space="preserve"> 'FS Semi'!E72</f>
        <v>Standby debt interest - T2</v>
      </c>
      <c r="F147" s="288">
        <f xml:space="preserve"> 'FS Semi'!F$71</f>
        <v>0</v>
      </c>
      <c r="G147" s="288" t="str">
        <f xml:space="preserve"> 'FS Semi'!G72</f>
        <v>$ 000s</v>
      </c>
      <c r="H147" s="288">
        <f xml:space="preserve"> 'FS Semi'!H72</f>
        <v>0</v>
      </c>
      <c r="I147" s="318"/>
      <c r="J147" s="354" t="str">
        <f t="shared" si="32"/>
        <v>vw</v>
      </c>
      <c r="K147" s="190">
        <f t="shared" si="33"/>
        <v>0</v>
      </c>
      <c r="L147" s="313">
        <f t="shared" si="34"/>
        <v>0</v>
      </c>
      <c r="M147" s="329"/>
      <c r="N147" s="320">
        <v>0</v>
      </c>
      <c r="O147" s="329"/>
    </row>
    <row r="148" spans="1:15" outlineLevel="1" x14ac:dyDescent="0.2">
      <c r="A148" s="107"/>
      <c r="B148" s="109"/>
      <c r="C148" s="97"/>
      <c r="D148" s="106"/>
      <c r="E148" s="288" t="str">
        <f xml:space="preserve"> 'FS Semi'!E73</f>
        <v>Senior debt principal repayment - T1</v>
      </c>
      <c r="F148" s="288">
        <f xml:space="preserve"> 'FS Semi'!F$73</f>
        <v>0</v>
      </c>
      <c r="G148" s="288" t="str">
        <f xml:space="preserve"> 'FS Semi'!G73</f>
        <v>$ 000s</v>
      </c>
      <c r="H148" s="288">
        <f xml:space="preserve"> 'FS Semi'!H73</f>
        <v>-125194.95159167382</v>
      </c>
      <c r="I148" s="318"/>
      <c r="J148" s="354" t="str">
        <f t="shared" si="32"/>
        <v>tu</v>
      </c>
      <c r="K148" s="190">
        <f t="shared" si="33"/>
        <v>41988.719945648962</v>
      </c>
      <c r="L148" s="313">
        <f t="shared" si="34"/>
        <v>-0.25115323499923992</v>
      </c>
      <c r="M148" s="329"/>
      <c r="N148" s="320">
        <v>-167183.67153732278</v>
      </c>
      <c r="O148" s="329"/>
    </row>
    <row r="149" spans="1:15" outlineLevel="1" x14ac:dyDescent="0.2">
      <c r="A149" s="107"/>
      <c r="B149" s="109"/>
      <c r="C149" s="97"/>
      <c r="D149" s="106"/>
      <c r="E149" s="288" t="str">
        <f xml:space="preserve"> 'FS Semi'!E74</f>
        <v>Senior debt principal repayment - T2</v>
      </c>
      <c r="F149" s="288">
        <f xml:space="preserve"> 'FS Semi'!F$73</f>
        <v>0</v>
      </c>
      <c r="G149" s="288" t="str">
        <f xml:space="preserve"> 'FS Semi'!G74</f>
        <v>$ 000s</v>
      </c>
      <c r="H149" s="288">
        <f xml:space="preserve"> 'FS Semi'!H74</f>
        <v>-125194.92397164847</v>
      </c>
      <c r="I149" s="318"/>
      <c r="J149" s="354" t="str">
        <f t="shared" si="32"/>
        <v>tu</v>
      </c>
      <c r="K149" s="190">
        <f t="shared" si="33"/>
        <v>-35172.946990013152</v>
      </c>
      <c r="L149" s="313">
        <f t="shared" si="34"/>
        <v>0.39071511390144775</v>
      </c>
      <c r="M149" s="329"/>
      <c r="N149" s="320">
        <v>-90021.976981635322</v>
      </c>
      <c r="O149" s="329"/>
    </row>
    <row r="150" spans="1:15" outlineLevel="1" x14ac:dyDescent="0.2">
      <c r="A150" s="107"/>
      <c r="B150" s="109"/>
      <c r="C150" s="97"/>
      <c r="D150" s="106"/>
      <c r="E150" s="288" t="str">
        <f xml:space="preserve"> 'FS Semi'!E75</f>
        <v>Standby debt principal repayment - T1</v>
      </c>
      <c r="F150" s="288">
        <f xml:space="preserve"> 'FS Semi'!F$75</f>
        <v>0</v>
      </c>
      <c r="G150" s="288" t="str">
        <f xml:space="preserve"> 'FS Semi'!G75</f>
        <v>$ 000s</v>
      </c>
      <c r="H150" s="288">
        <f xml:space="preserve"> 'FS Semi'!H75</f>
        <v>0</v>
      </c>
      <c r="I150" s="318"/>
      <c r="J150" s="354" t="str">
        <f t="shared" si="32"/>
        <v>vw</v>
      </c>
      <c r="K150" s="190">
        <f t="shared" si="33"/>
        <v>0</v>
      </c>
      <c r="L150" s="313">
        <f t="shared" si="34"/>
        <v>0</v>
      </c>
      <c r="M150" s="329"/>
      <c r="N150" s="320">
        <v>0</v>
      </c>
      <c r="O150" s="329"/>
    </row>
    <row r="151" spans="1:15" outlineLevel="1" x14ac:dyDescent="0.2">
      <c r="A151" s="107"/>
      <c r="B151" s="109"/>
      <c r="C151" s="97"/>
      <c r="D151" s="106"/>
      <c r="E151" s="288" t="str">
        <f xml:space="preserve"> 'FS Semi'!E76</f>
        <v>Standby debt principal repayment - T2</v>
      </c>
      <c r="F151" s="288">
        <f xml:space="preserve"> 'FS Semi'!F$75</f>
        <v>0</v>
      </c>
      <c r="G151" s="288" t="str">
        <f xml:space="preserve"> 'FS Semi'!G76</f>
        <v>$ 000s</v>
      </c>
      <c r="H151" s="288">
        <f xml:space="preserve"> 'FS Semi'!H76</f>
        <v>0</v>
      </c>
      <c r="I151" s="318"/>
      <c r="J151" s="354" t="str">
        <f t="shared" si="32"/>
        <v>vw</v>
      </c>
      <c r="K151" s="190">
        <f t="shared" si="33"/>
        <v>0</v>
      </c>
      <c r="L151" s="313">
        <f t="shared" si="34"/>
        <v>0</v>
      </c>
      <c r="M151" s="329"/>
      <c r="N151" s="320">
        <v>0</v>
      </c>
      <c r="O151" s="329"/>
    </row>
    <row r="152" spans="1:15" outlineLevel="1" x14ac:dyDescent="0.2">
      <c r="A152" s="107"/>
      <c r="B152" s="109"/>
      <c r="C152" s="97"/>
      <c r="D152" s="106"/>
      <c r="E152" s="208" t="str">
        <f xml:space="preserve"> 'FS Semi'!E77</f>
        <v>Cashflow available for DSRA</v>
      </c>
      <c r="F152" s="208">
        <f xml:space="preserve"> 'FS Semi'!F$77</f>
        <v>0</v>
      </c>
      <c r="G152" s="208" t="str">
        <f xml:space="preserve"> 'FS Semi'!G77</f>
        <v>$ 000s</v>
      </c>
      <c r="H152" s="208">
        <f xml:space="preserve"> 'FS Semi'!H77</f>
        <v>225369.61293232403</v>
      </c>
      <c r="I152" s="359"/>
      <c r="J152" s="356" t="str">
        <f t="shared" si="32"/>
        <v>tu</v>
      </c>
      <c r="K152" s="324">
        <f t="shared" si="33"/>
        <v>-87595.475006607972</v>
      </c>
      <c r="L152" s="325">
        <f t="shared" si="34"/>
        <v>-0.27988896647699002</v>
      </c>
      <c r="M152" s="326"/>
      <c r="N152" s="327">
        <v>312965.087938932</v>
      </c>
      <c r="O152" s="326"/>
    </row>
    <row r="153" spans="1:15" outlineLevel="1" x14ac:dyDescent="0.2">
      <c r="A153" s="107"/>
      <c r="B153" s="109"/>
      <c r="C153" s="97"/>
      <c r="D153" s="106"/>
      <c r="E153" s="234"/>
      <c r="F153" s="234"/>
      <c r="G153" s="234"/>
      <c r="H153" s="234"/>
      <c r="I153" s="318"/>
      <c r="J153" s="354"/>
      <c r="K153" s="190"/>
      <c r="L153" s="313"/>
      <c r="M153" s="329"/>
      <c r="N153" s="320"/>
      <c r="O153" s="329"/>
    </row>
    <row r="154" spans="1:15" outlineLevel="1" x14ac:dyDescent="0.2">
      <c r="A154" s="107"/>
      <c r="B154" s="109"/>
      <c r="C154" s="97"/>
      <c r="D154" s="106"/>
      <c r="E154" s="288" t="str">
        <f xml:space="preserve"> 'FS Semi'!E79</f>
        <v>DSRA deposit</v>
      </c>
      <c r="F154" s="288">
        <f xml:space="preserve"> 'FS Semi'!F79</f>
        <v>0</v>
      </c>
      <c r="G154" s="288" t="str">
        <f xml:space="preserve"> 'FS Semi'!G79</f>
        <v>$ 000s</v>
      </c>
      <c r="H154" s="288">
        <f xml:space="preserve"> 'FS Semi'!H79</f>
        <v>0</v>
      </c>
      <c r="I154" s="318"/>
      <c r="J154" s="354" t="str">
        <f xml:space="preserve"> IF(ABS(K154) &gt; TRK_TOL, "tu", "vw")</f>
        <v>vw</v>
      </c>
      <c r="K154" s="190">
        <f xml:space="preserve"> H154 - INDEX(M154:O154, $J$5)</f>
        <v>0</v>
      </c>
      <c r="L154" s="313">
        <f xml:space="preserve"> IF(ABS(K154) &gt; TRK_TOL, IF(INDEX(M154:O154, $J$5) = 0, 0, H154 / INDEX(M154:O154, $J$5) - 1), 0)</f>
        <v>0</v>
      </c>
      <c r="M154" s="329"/>
      <c r="N154" s="320">
        <v>0</v>
      </c>
      <c r="O154" s="329"/>
    </row>
    <row r="155" spans="1:15" outlineLevel="1" x14ac:dyDescent="0.2">
      <c r="A155" s="107"/>
      <c r="B155" s="109"/>
      <c r="C155" s="97"/>
      <c r="D155" s="106"/>
      <c r="E155" s="288" t="str">
        <f xml:space="preserve"> 'FS Semi'!E80</f>
        <v>DSRA withdrawal</v>
      </c>
      <c r="F155" s="288">
        <f xml:space="preserve"> 'FS Semi'!F80</f>
        <v>0</v>
      </c>
      <c r="G155" s="288" t="str">
        <f xml:space="preserve"> 'FS Semi'!G80</f>
        <v>$ 000s</v>
      </c>
      <c r="H155" s="288">
        <f xml:space="preserve"> 'FS Semi'!H80</f>
        <v>11233.130870765843</v>
      </c>
      <c r="I155" s="318"/>
      <c r="J155" s="354" t="str">
        <f xml:space="preserve"> IF(ABS(K155) &gt; TRK_TOL, "tu", "vw")</f>
        <v>tu</v>
      </c>
      <c r="K155" s="190">
        <f xml:space="preserve"> H155 - INDEX(M155:O155, $J$5)</f>
        <v>-1213.033518509681</v>
      </c>
      <c r="L155" s="313">
        <f xml:space="preserve"> IF(ABS(K155) &gt; TRK_TOL, IF(INDEX(M155:O155, $J$5) = 0, 0, H155 / INDEX(M155:O155, $J$5) - 1), 0)</f>
        <v>-9.746243746827854E-2</v>
      </c>
      <c r="M155" s="329"/>
      <c r="N155" s="320">
        <v>12446.164389275524</v>
      </c>
      <c r="O155" s="329"/>
    </row>
    <row r="156" spans="1:15" outlineLevel="1" x14ac:dyDescent="0.2">
      <c r="A156" s="107"/>
      <c r="B156" s="109"/>
      <c r="C156" s="97"/>
      <c r="D156" s="106"/>
      <c r="E156" s="288" t="str">
        <f xml:space="preserve"> 'FS Semi'!E81</f>
        <v>DSRA LC fee accrued and paid</v>
      </c>
      <c r="F156" s="288">
        <f xml:space="preserve"> 'FS Semi'!F81</f>
        <v>0</v>
      </c>
      <c r="G156" s="288" t="str">
        <f xml:space="preserve"> 'FS Semi'!G81</f>
        <v>$ 000s</v>
      </c>
      <c r="H156" s="288">
        <f xml:space="preserve"> 'FS Semi'!H81</f>
        <v>0</v>
      </c>
      <c r="I156" s="318"/>
      <c r="J156" s="354" t="str">
        <f xml:space="preserve"> IF(ABS(K156) &gt; TRK_TOL, "tu", "vw")</f>
        <v>vw</v>
      </c>
      <c r="K156" s="190">
        <f xml:space="preserve"> H156 - INDEX(M156:O156, $J$5)</f>
        <v>0</v>
      </c>
      <c r="L156" s="313">
        <f xml:space="preserve"> IF(ABS(K156) &gt; TRK_TOL, IF(INDEX(M156:O156, $J$5) = 0, 0, H156 / INDEX(M156:O156, $J$5) - 1), 0)</f>
        <v>0</v>
      </c>
      <c r="M156" s="329"/>
      <c r="N156" s="320">
        <v>0</v>
      </c>
      <c r="O156" s="329"/>
    </row>
    <row r="157" spans="1:15" outlineLevel="1" x14ac:dyDescent="0.2">
      <c r="A157" s="107"/>
      <c r="B157" s="109"/>
      <c r="C157" s="97"/>
      <c r="D157" s="106"/>
      <c r="E157" s="208" t="str">
        <f xml:space="preserve"> 'FS Semi'!E82</f>
        <v>Cashflow available for equity bridge loan</v>
      </c>
      <c r="F157" s="208">
        <f xml:space="preserve"> 'FS Semi'!F$82</f>
        <v>0</v>
      </c>
      <c r="G157" s="208" t="str">
        <f xml:space="preserve"> 'FS Semi'!G82</f>
        <v>$ 000s</v>
      </c>
      <c r="H157" s="208">
        <f xml:space="preserve"> 'FS Semi'!H82</f>
        <v>236602.74380308986</v>
      </c>
      <c r="I157" s="359"/>
      <c r="J157" s="356" t="str">
        <f xml:space="preserve"> IF(ABS(K157) &gt; TRK_TOL, "tu", "vw")</f>
        <v>tu</v>
      </c>
      <c r="K157" s="324">
        <f xml:space="preserve"> H157 - INDEX(M157:O157, $J$5)</f>
        <v>-88808.508525117737</v>
      </c>
      <c r="L157" s="325">
        <f xml:space="preserve"> IF(ABS(K157) &gt; TRK_TOL, IF(INDEX(M157:O157, $J$5) = 0, 0, H157 / INDEX(M157:O157, $J$5) - 1), 0)</f>
        <v>-0.27291160920135016</v>
      </c>
      <c r="M157" s="326"/>
      <c r="N157" s="327">
        <v>325411.2523282076</v>
      </c>
      <c r="O157" s="326"/>
    </row>
    <row r="158" spans="1:15" outlineLevel="1" x14ac:dyDescent="0.2">
      <c r="A158" s="107"/>
      <c r="B158" s="109"/>
      <c r="C158" s="97"/>
      <c r="D158" s="106"/>
      <c r="E158" s="288"/>
      <c r="F158" s="288"/>
      <c r="G158" s="288"/>
      <c r="H158" s="288"/>
      <c r="I158" s="318"/>
      <c r="J158" s="354"/>
      <c r="K158" s="190"/>
      <c r="L158" s="313"/>
      <c r="M158" s="329"/>
      <c r="N158" s="320"/>
      <c r="O158" s="329"/>
    </row>
    <row r="159" spans="1:15" outlineLevel="1" x14ac:dyDescent="0.2">
      <c r="A159" s="107"/>
      <c r="B159" s="109"/>
      <c r="C159" s="97"/>
      <c r="D159" s="106"/>
      <c r="E159" s="288" t="str">
        <f xml:space="preserve"> 'FS Semi'!E84</f>
        <v>Equity bridge interest</v>
      </c>
      <c r="F159" s="288">
        <f xml:space="preserve"> 'FS Semi'!F84</f>
        <v>0</v>
      </c>
      <c r="G159" s="288" t="str">
        <f xml:space="preserve"> 'FS Semi'!G84</f>
        <v>$ 000s</v>
      </c>
      <c r="H159" s="288">
        <f xml:space="preserve"> 'FS Semi'!H84</f>
        <v>0</v>
      </c>
      <c r="I159" s="318"/>
      <c r="J159" s="354" t="str">
        <f xml:space="preserve"> IF(ABS(K159) &gt; TRK_TOL, "tu", "vw")</f>
        <v>vw</v>
      </c>
      <c r="K159" s="190">
        <f xml:space="preserve"> H159 - INDEX(M159:O159, $J$5)</f>
        <v>0</v>
      </c>
      <c r="L159" s="313">
        <f xml:space="preserve"> IF(ABS(K159) &gt; TRK_TOL, IF(INDEX(M159:O159, $J$5) = 0, 0, H159 / INDEX(M159:O159, $J$5) - 1), 0)</f>
        <v>0</v>
      </c>
      <c r="M159" s="329"/>
      <c r="N159" s="320">
        <v>0</v>
      </c>
      <c r="O159" s="329"/>
    </row>
    <row r="160" spans="1:15" outlineLevel="1" x14ac:dyDescent="0.2">
      <c r="A160" s="107"/>
      <c r="B160" s="109"/>
      <c r="C160" s="97"/>
      <c r="D160" s="106"/>
      <c r="E160" s="521" t="str">
        <f xml:space="preserve"> 'FS Semi'!E85</f>
        <v>Cashflow available for shareholder loan</v>
      </c>
      <c r="F160" s="521">
        <f xml:space="preserve"> 'FS Semi'!F85</f>
        <v>0</v>
      </c>
      <c r="G160" s="521" t="str">
        <f xml:space="preserve"> 'FS Semi'!G85</f>
        <v>$ 000s</v>
      </c>
      <c r="H160" s="521">
        <f xml:space="preserve"> 'FS Semi'!H85</f>
        <v>236602.74380308986</v>
      </c>
      <c r="I160" s="323"/>
      <c r="J160" s="356" t="str">
        <f xml:space="preserve"> IF(ABS(K160) &gt; TRK_TOL, "tu", "vw")</f>
        <v>tu</v>
      </c>
      <c r="K160" s="324">
        <f xml:space="preserve"> H160 - INDEX(M160:O160, $J$5)</f>
        <v>-88808.508525117737</v>
      </c>
      <c r="L160" s="325">
        <f xml:space="preserve"> IF(ABS(K160) &gt; TRK_TOL, IF(INDEX(M160:O160, $J$5) = 0, 0, H160 / INDEX(M160:O160, $J$5) - 1), 0)</f>
        <v>-0.27291160920135016</v>
      </c>
      <c r="M160" s="326"/>
      <c r="N160" s="327">
        <v>325411.2523282076</v>
      </c>
      <c r="O160" s="326"/>
    </row>
    <row r="161" spans="1:15" outlineLevel="1" x14ac:dyDescent="0.2">
      <c r="A161" s="107"/>
      <c r="B161" s="109"/>
      <c r="C161" s="97"/>
      <c r="D161" s="106"/>
      <c r="E161" s="234"/>
      <c r="F161" s="234"/>
      <c r="G161" s="234"/>
      <c r="H161" s="234"/>
      <c r="I161" s="318"/>
      <c r="J161" s="354"/>
      <c r="K161" s="190"/>
      <c r="L161" s="313"/>
      <c r="M161" s="329"/>
      <c r="N161" s="320"/>
      <c r="O161" s="329"/>
    </row>
    <row r="162" spans="1:15" outlineLevel="1" x14ac:dyDescent="0.2">
      <c r="A162" s="107"/>
      <c r="B162" s="109"/>
      <c r="C162" s="97"/>
      <c r="D162" s="106"/>
      <c r="E162" s="288" t="str">
        <f xml:space="preserve"> 'FS Semi'!E87</f>
        <v>Shareholder loan interest paid</v>
      </c>
      <c r="F162" s="288">
        <f xml:space="preserve"> 'FS Semi'!F87</f>
        <v>0</v>
      </c>
      <c r="G162" s="288" t="str">
        <f xml:space="preserve"> 'FS Semi'!G87</f>
        <v>$ 000s</v>
      </c>
      <c r="H162" s="288">
        <f xml:space="preserve"> 'FS Semi'!H87</f>
        <v>-209529.209635665</v>
      </c>
      <c r="I162" s="318"/>
      <c r="J162" s="354" t="str">
        <f xml:space="preserve"> IF(ABS(K162) &gt; TRK_TOL, "tu", "vw")</f>
        <v>tu</v>
      </c>
      <c r="K162" s="190">
        <f xml:space="preserve"> H162 - INDEX(M162:O162, $J$5)</f>
        <v>-153087.87979894524</v>
      </c>
      <c r="L162" s="313">
        <f xml:space="preserve"> IF(ABS(K162) &gt; TRK_TOL, IF(INDEX(M162:O162, $J$5) = 0, 0, H162 / INDEX(M162:O162, $J$5) - 1), 0)</f>
        <v>2.7123365137181601</v>
      </c>
      <c r="M162" s="329"/>
      <c r="N162" s="320">
        <v>-56441.329836719757</v>
      </c>
      <c r="O162" s="329"/>
    </row>
    <row r="163" spans="1:15" outlineLevel="1" x14ac:dyDescent="0.2">
      <c r="A163" s="107"/>
      <c r="B163" s="109"/>
      <c r="C163" s="97"/>
      <c r="D163" s="106"/>
      <c r="E163" s="288" t="str">
        <f xml:space="preserve"> 'FS Semi'!E88</f>
        <v>Shareholder loan principal repayment</v>
      </c>
      <c r="F163" s="288">
        <f xml:space="preserve"> 'FS Semi'!F88</f>
        <v>0</v>
      </c>
      <c r="G163" s="288" t="str">
        <f xml:space="preserve"> 'FS Semi'!G88</f>
        <v>$ 000s</v>
      </c>
      <c r="H163" s="288">
        <f xml:space="preserve"> 'FS Semi'!H88</f>
        <v>-27073.534167424834</v>
      </c>
      <c r="I163" s="318"/>
      <c r="J163" s="354" t="str">
        <f xml:space="preserve"> IF(ABS(K163) &gt; TRK_TOL, "tu", "vw")</f>
        <v>tu</v>
      </c>
      <c r="K163" s="190">
        <f xml:space="preserve"> H163 - INDEX(M163:O163, $J$5)</f>
        <v>63430.205981193314</v>
      </c>
      <c r="L163" s="313">
        <f xml:space="preserve"> IF(ABS(K163) &gt; TRK_TOL, IF(INDEX(M163:O163, $J$5) = 0, 0, H163 / INDEX(M163:O163, $J$5) - 1), 0)</f>
        <v>-0.7008572891797975</v>
      </c>
      <c r="M163" s="329"/>
      <c r="N163" s="320">
        <v>-90503.740148618148</v>
      </c>
      <c r="O163" s="329"/>
    </row>
    <row r="164" spans="1:15" outlineLevel="1" x14ac:dyDescent="0.2">
      <c r="A164" s="107"/>
      <c r="B164" s="109"/>
      <c r="C164" s="97"/>
      <c r="D164" s="106"/>
      <c r="E164" s="521" t="str">
        <f xml:space="preserve"> 'FS Semi'!E89</f>
        <v>Cashflow available for share capital redemption</v>
      </c>
      <c r="F164" s="521">
        <f xml:space="preserve"> 'FS Semi'!F89</f>
        <v>0</v>
      </c>
      <c r="G164" s="521" t="str">
        <f xml:space="preserve"> 'FS Semi'!G89</f>
        <v>$ 000s</v>
      </c>
      <c r="H164" s="521">
        <f xml:space="preserve"> 'FS Semi'!H89</f>
        <v>0</v>
      </c>
      <c r="I164" s="323"/>
      <c r="J164" s="356" t="str">
        <f xml:space="preserve"> IF(ABS(K164) &gt; TRK_TOL, "tu", "vw")</f>
        <v>tu</v>
      </c>
      <c r="K164" s="324">
        <f xml:space="preserve"> H164 - INDEX(M164:O164, $J$5)</f>
        <v>-178466.18234286967</v>
      </c>
      <c r="L164" s="325">
        <f xml:space="preserve"> IF(ABS(K164) &gt; TRK_TOL, IF(INDEX(M164:O164, $J$5) = 0, 0, H164 / INDEX(M164:O164, $J$5) - 1), 0)</f>
        <v>-1</v>
      </c>
      <c r="M164" s="326"/>
      <c r="N164" s="327">
        <v>178466.18234286967</v>
      </c>
      <c r="O164" s="326"/>
    </row>
    <row r="165" spans="1:15" outlineLevel="1" x14ac:dyDescent="0.2">
      <c r="A165" s="107"/>
      <c r="B165" s="109"/>
      <c r="C165" s="97"/>
      <c r="D165" s="106"/>
      <c r="E165" s="234"/>
      <c r="F165" s="234"/>
      <c r="G165" s="234"/>
      <c r="H165" s="234"/>
      <c r="I165" s="318"/>
      <c r="J165" s="354"/>
      <c r="K165" s="190"/>
      <c r="L165" s="313"/>
      <c r="M165" s="329"/>
      <c r="N165" s="320"/>
      <c r="O165" s="329"/>
    </row>
    <row r="166" spans="1:15" outlineLevel="1" x14ac:dyDescent="0.2">
      <c r="A166" s="107"/>
      <c r="B166" s="109"/>
      <c r="C166" s="116"/>
      <c r="D166" s="106"/>
      <c r="E166" s="288" t="str">
        <f xml:space="preserve"> 'FS Semi'!E91</f>
        <v>Share capital redemption</v>
      </c>
      <c r="F166" s="288">
        <f xml:space="preserve"> 'FS Semi'!F$91</f>
        <v>0</v>
      </c>
      <c r="G166" s="288" t="str">
        <f xml:space="preserve"> 'FS Semi'!G91</f>
        <v>$ 000s</v>
      </c>
      <c r="H166" s="288">
        <f xml:space="preserve"> 'FS Semi'!H91</f>
        <v>0</v>
      </c>
      <c r="I166" s="318"/>
      <c r="J166" s="357" t="str">
        <f xml:space="preserve"> IF(ABS(K166) &gt; TRK_TOL, "tu", "vw")</f>
        <v>tu</v>
      </c>
      <c r="K166" s="190">
        <f xml:space="preserve"> H166 - INDEX(M166:O166, $J$5)</f>
        <v>100</v>
      </c>
      <c r="L166" s="313">
        <f xml:space="preserve"> IF(ABS(K166) &gt; TRK_TOL, IF(INDEX(M166:O166, $J$5) = 0, 0, H166 / INDEX(M166:O166, $J$5) - 1), 0)</f>
        <v>-1</v>
      </c>
      <c r="M166" s="330"/>
      <c r="N166" s="320">
        <v>-100</v>
      </c>
      <c r="O166" s="330"/>
    </row>
    <row r="167" spans="1:15" outlineLevel="1" x14ac:dyDescent="0.2">
      <c r="A167" s="107"/>
      <c r="B167" s="109"/>
      <c r="C167" s="116"/>
      <c r="D167" s="106"/>
      <c r="E167" s="288" t="str">
        <f xml:space="preserve"> 'FS Semi'!E92</f>
        <v>Standby equity redemption</v>
      </c>
      <c r="F167" s="288">
        <f xml:space="preserve"> 'FS Semi'!F$92</f>
        <v>0</v>
      </c>
      <c r="G167" s="288" t="str">
        <f xml:space="preserve"> 'FS Semi'!G92</f>
        <v>$ 000s</v>
      </c>
      <c r="H167" s="288">
        <f xml:space="preserve"> 'FS Semi'!H92</f>
        <v>0</v>
      </c>
      <c r="I167" s="318"/>
      <c r="J167" s="357" t="str">
        <f xml:space="preserve"> IF(ABS(K167) &gt; TRK_TOL, "tu", "vw")</f>
        <v>vw</v>
      </c>
      <c r="K167" s="190">
        <f xml:space="preserve"> H167 - INDEX(M167:O167, $J$5)</f>
        <v>-1.8189894035458565E-12</v>
      </c>
      <c r="L167" s="313">
        <f xml:space="preserve"> IF(ABS(K167) &gt; TRK_TOL, IF(INDEX(M167:O167, $J$5) = 0, 0, H167 / INDEX(M167:O167, $J$5) - 1), 0)</f>
        <v>0</v>
      </c>
      <c r="M167" s="330"/>
      <c r="N167" s="320">
        <v>1.8189894035458565E-12</v>
      </c>
      <c r="O167" s="330"/>
    </row>
    <row r="168" spans="1:15" outlineLevel="1" x14ac:dyDescent="0.2">
      <c r="A168" s="107"/>
      <c r="B168" s="109"/>
      <c r="C168" s="116"/>
      <c r="D168" s="106"/>
      <c r="E168" s="208" t="str">
        <f xml:space="preserve"> 'FS Semi'!E93</f>
        <v>Cash flow available for dividends</v>
      </c>
      <c r="F168" s="208">
        <f xml:space="preserve"> 'FS Semi'!F$93</f>
        <v>0</v>
      </c>
      <c r="G168" s="208" t="str">
        <f xml:space="preserve"> 'FS Semi'!G93</f>
        <v>$ 000s</v>
      </c>
      <c r="H168" s="208">
        <f xml:space="preserve"> 'FS Semi'!H93</f>
        <v>0</v>
      </c>
      <c r="I168" s="359"/>
      <c r="J168" s="356" t="str">
        <f xml:space="preserve"> IF(ABS(K168) &gt; TRK_TOL, "tu", "vw")</f>
        <v>tu</v>
      </c>
      <c r="K168" s="324">
        <f xml:space="preserve"> H168 - INDEX(M168:O168, $J$5)</f>
        <v>-178366.18234286967</v>
      </c>
      <c r="L168" s="325">
        <f xml:space="preserve"> IF(ABS(K168) &gt; TRK_TOL, IF(INDEX(M168:O168, $J$5) = 0, 0, H168 / INDEX(M168:O168, $J$5) - 1), 0)</f>
        <v>-1</v>
      </c>
      <c r="M168" s="326"/>
      <c r="N168" s="327">
        <v>178366.18234286967</v>
      </c>
      <c r="O168" s="326"/>
    </row>
    <row r="169" spans="1:15" outlineLevel="1" x14ac:dyDescent="0.2">
      <c r="A169" s="107"/>
      <c r="B169" s="109"/>
      <c r="C169" s="116"/>
      <c r="D169" s="106"/>
      <c r="E169" s="234"/>
      <c r="F169" s="234"/>
      <c r="G169" s="234"/>
      <c r="H169" s="234"/>
      <c r="I169" s="318"/>
      <c r="J169" s="357"/>
      <c r="K169" s="190"/>
      <c r="L169" s="313"/>
      <c r="M169" s="330"/>
      <c r="N169" s="320"/>
      <c r="O169" s="330"/>
    </row>
    <row r="170" spans="1:15" outlineLevel="1" x14ac:dyDescent="0.2">
      <c r="A170" s="107"/>
      <c r="B170" s="109"/>
      <c r="C170" s="116"/>
      <c r="D170" s="106"/>
      <c r="E170" s="288" t="str">
        <f xml:space="preserve"> 'FS Semi'!E95</f>
        <v>Dividends paid</v>
      </c>
      <c r="F170" s="288">
        <f xml:space="preserve"> 'FS Semi'!F$95</f>
        <v>0</v>
      </c>
      <c r="G170" s="288" t="str">
        <f xml:space="preserve"> 'FS Semi'!G95</f>
        <v>$ 000s</v>
      </c>
      <c r="H170" s="288">
        <f xml:space="preserve"> 'FS Semi'!H95</f>
        <v>0</v>
      </c>
      <c r="I170" s="318"/>
      <c r="J170" s="357" t="str">
        <f xml:space="preserve"> IF(ABS(K170) &gt; TRK_TOL, "tu", "vw")</f>
        <v>tu</v>
      </c>
      <c r="K170" s="190">
        <f xml:space="preserve"> H170 - INDEX(M170:O170, $J$5)</f>
        <v>178366.18234286967</v>
      </c>
      <c r="L170" s="313">
        <f xml:space="preserve"> IF(ABS(K170) &gt; TRK_TOL, IF(INDEX(M170:O170, $J$5) = 0, 0, H170 / INDEX(M170:O170, $J$5) - 1), 0)</f>
        <v>-1</v>
      </c>
      <c r="M170" s="330"/>
      <c r="N170" s="320">
        <v>-178366.18234286967</v>
      </c>
      <c r="O170" s="330"/>
    </row>
    <row r="171" spans="1:15" outlineLevel="1" x14ac:dyDescent="0.2">
      <c r="A171" s="107"/>
      <c r="B171" s="109"/>
      <c r="C171" s="116"/>
      <c r="D171" s="106"/>
      <c r="E171" s="208" t="str">
        <f xml:space="preserve"> 'FS Semi'!E96</f>
        <v>Net cash flow</v>
      </c>
      <c r="F171" s="208">
        <f xml:space="preserve"> 'FS Semi'!F$96</f>
        <v>0</v>
      </c>
      <c r="G171" s="208" t="str">
        <f xml:space="preserve"> 'FS Semi'!G96</f>
        <v>$ 000s</v>
      </c>
      <c r="H171" s="208">
        <f xml:space="preserve"> 'FS Semi'!H96</f>
        <v>0</v>
      </c>
      <c r="I171" s="323"/>
      <c r="J171" s="356" t="str">
        <f xml:space="preserve"> IF(ABS(K171) &gt; TRK_TOL, "tu", "vw")</f>
        <v>vw</v>
      </c>
      <c r="K171" s="324">
        <f xml:space="preserve"> H171 - INDEX(M171:O171, $J$5)</f>
        <v>0</v>
      </c>
      <c r="L171" s="325">
        <f xml:space="preserve"> IF(ABS(K171) &gt; TRK_TOL, IF(INDEX(M171:O171, $J$5) = 0, 0, H171 / INDEX(M171:O171, $J$5) - 1), 0)</f>
        <v>0</v>
      </c>
      <c r="M171" s="326"/>
      <c r="N171" s="327">
        <v>0</v>
      </c>
      <c r="O171" s="326"/>
    </row>
    <row r="172" spans="1:15" outlineLevel="1" x14ac:dyDescent="0.2">
      <c r="A172" s="107"/>
      <c r="B172" s="109"/>
      <c r="C172" s="106"/>
      <c r="D172" s="106"/>
      <c r="E172" s="318"/>
      <c r="F172" s="318"/>
      <c r="G172" s="318"/>
      <c r="H172" s="318"/>
      <c r="I172" s="318"/>
      <c r="J172" s="358"/>
      <c r="K172" s="332"/>
      <c r="L172" s="333"/>
      <c r="M172" s="330"/>
      <c r="N172" s="320"/>
      <c r="O172" s="330"/>
    </row>
    <row r="173" spans="1:15" collapsed="1" x14ac:dyDescent="0.2">
      <c r="A173" s="107"/>
      <c r="B173" s="109"/>
      <c r="C173" s="106"/>
      <c r="D173" s="106"/>
      <c r="E173" s="318"/>
      <c r="F173" s="318"/>
      <c r="G173" s="318"/>
      <c r="H173" s="318"/>
      <c r="I173" s="318"/>
      <c r="K173" s="191"/>
      <c r="L173" s="314"/>
      <c r="M173" s="329"/>
      <c r="N173" s="320"/>
      <c r="O173" s="329"/>
    </row>
    <row r="174" spans="1:15" x14ac:dyDescent="0.2">
      <c r="A174" s="96" t="s">
        <v>100</v>
      </c>
      <c r="B174" s="106"/>
      <c r="C174" s="106"/>
      <c r="D174" s="106"/>
      <c r="E174" s="331"/>
      <c r="F174" s="334"/>
      <c r="G174" s="331"/>
      <c r="H174" s="331"/>
      <c r="I174" s="331"/>
      <c r="J174" s="352"/>
      <c r="K174" s="192"/>
      <c r="L174" s="315"/>
      <c r="M174" s="329"/>
      <c r="N174" s="335"/>
      <c r="O174" s="329"/>
    </row>
    <row r="175" spans="1:15" outlineLevel="1" x14ac:dyDescent="0.2">
      <c r="A175" s="107"/>
      <c r="B175" s="109"/>
      <c r="C175" s="106"/>
      <c r="D175" s="106"/>
      <c r="E175" s="318"/>
      <c r="F175" s="318"/>
      <c r="G175" s="318"/>
      <c r="H175" s="318"/>
      <c r="I175" s="318"/>
      <c r="K175" s="191"/>
      <c r="L175" s="314"/>
      <c r="M175" s="329"/>
      <c r="N175" s="320"/>
      <c r="O175" s="329"/>
    </row>
    <row r="176" spans="1:15" outlineLevel="1" x14ac:dyDescent="0.2">
      <c r="A176" s="120"/>
      <c r="B176" s="120"/>
      <c r="C176" s="121"/>
      <c r="D176" s="122"/>
      <c r="E176" s="194" t="s">
        <v>70</v>
      </c>
      <c r="F176" s="336"/>
      <c r="G176" s="337"/>
      <c r="H176" s="338">
        <f ca="1" xml:space="preserve"> NOW()</f>
        <v>45415.466118171295</v>
      </c>
      <c r="I176" s="331"/>
      <c r="K176" s="192"/>
      <c r="L176" s="315"/>
      <c r="M176" s="329"/>
      <c r="N176" s="339">
        <v>44967.370036921297</v>
      </c>
      <c r="O176" s="329"/>
    </row>
    <row r="177" spans="1:15" outlineLevel="1" x14ac:dyDescent="0.2">
      <c r="B177" s="96"/>
      <c r="C177" s="97"/>
      <c r="D177" s="106"/>
      <c r="E177" s="340" t="s">
        <v>101</v>
      </c>
      <c r="F177" s="336"/>
      <c r="G177" s="340"/>
      <c r="H177" s="341" t="str">
        <f ca="1" xml:space="preserve"> MID(CELL("filename",$A$1), SEARCH("[", CELL("filename",$A$1)) + 1, SEARCH("]", CELL("filename",$A$1)) - SEARCH("[", CELL("filename",$A$1)) - 1)</f>
        <v>Prima Wind Model.xlsm</v>
      </c>
      <c r="I177" s="331"/>
      <c r="K177" s="192"/>
      <c r="L177" s="315"/>
      <c r="M177" s="329"/>
      <c r="N177" s="342" t="s">
        <v>1300</v>
      </c>
      <c r="O177" s="329"/>
    </row>
    <row r="178" spans="1:15" outlineLevel="1" x14ac:dyDescent="0.2">
      <c r="B178" s="96"/>
      <c r="C178" s="97"/>
      <c r="D178" s="107"/>
      <c r="E178" s="343"/>
      <c r="F178" s="334"/>
      <c r="G178" s="331"/>
      <c r="H178" s="331"/>
      <c r="I178" s="331"/>
      <c r="J178" s="352"/>
      <c r="K178" s="192"/>
      <c r="L178" s="315"/>
      <c r="M178" s="329"/>
      <c r="N178" s="331"/>
      <c r="O178" s="329"/>
    </row>
    <row r="179" spans="1:15" collapsed="1" x14ac:dyDescent="0.2">
      <c r="B179" s="96"/>
      <c r="C179" s="97"/>
      <c r="D179" s="107"/>
      <c r="E179" s="343"/>
      <c r="F179" s="334"/>
      <c r="G179" s="331"/>
      <c r="H179" s="331"/>
      <c r="I179" s="331"/>
      <c r="J179" s="352"/>
      <c r="K179" s="192"/>
      <c r="L179" s="315"/>
      <c r="M179" s="329"/>
      <c r="N179" s="331"/>
      <c r="O179" s="329"/>
    </row>
    <row r="180" spans="1:15" x14ac:dyDescent="0.2">
      <c r="A180" s="109"/>
      <c r="B180" s="260"/>
      <c r="C180" s="261"/>
      <c r="D180" s="262"/>
      <c r="E180" s="344" t="s">
        <v>66</v>
      </c>
      <c r="F180" s="345"/>
      <c r="G180" s="346"/>
      <c r="H180" s="346"/>
      <c r="I180" s="347"/>
      <c r="J180" s="353" t="s">
        <v>71</v>
      </c>
      <c r="K180" s="319"/>
      <c r="L180" s="348"/>
      <c r="M180" s="329"/>
      <c r="N180" s="349"/>
      <c r="O180" s="329"/>
    </row>
    <row r="181" spans="1:15" x14ac:dyDescent="0.2">
      <c r="E181" s="340"/>
      <c r="F181" s="340"/>
      <c r="G181" s="340"/>
      <c r="H181" s="340"/>
      <c r="I181" s="331"/>
      <c r="K181" s="191"/>
      <c r="L181" s="314"/>
      <c r="M181" s="329"/>
      <c r="N181" s="340"/>
      <c r="O181" s="329"/>
    </row>
  </sheetData>
  <conditionalFormatting sqref="J8 J88:J92 J166 J169:J170 J94:J96">
    <cfRule type="cellIs" dxfId="1003" priority="93" operator="equal">
      <formula>"tu"</formula>
    </cfRule>
  </conditionalFormatting>
  <conditionalFormatting sqref="J16">
    <cfRule type="cellIs" dxfId="1002" priority="92" operator="equal">
      <formula>"tu"</formula>
    </cfRule>
  </conditionalFormatting>
  <conditionalFormatting sqref="J111:J112 J107:J109">
    <cfRule type="cellIs" dxfId="1001" priority="91" operator="equal">
      <formula>"tu"</formula>
    </cfRule>
  </conditionalFormatting>
  <conditionalFormatting sqref="J118 J153 J121 J165 J143:J144 J161 J123:J125">
    <cfRule type="cellIs" dxfId="1000" priority="86" operator="equal">
      <formula>"tu"</formula>
    </cfRule>
  </conditionalFormatting>
  <conditionalFormatting sqref="J148 J158 J152:J155">
    <cfRule type="cellIs" dxfId="999" priority="80" operator="equal">
      <formula>"tu"</formula>
    </cfRule>
  </conditionalFormatting>
  <conditionalFormatting sqref="J106">
    <cfRule type="cellIs" dxfId="998" priority="78" operator="equal">
      <formula>"tu"</formula>
    </cfRule>
  </conditionalFormatting>
  <conditionalFormatting sqref="J110">
    <cfRule type="cellIs" dxfId="997" priority="77" operator="equal">
      <formula>"tu"</formula>
    </cfRule>
  </conditionalFormatting>
  <conditionalFormatting sqref="J113">
    <cfRule type="cellIs" dxfId="996" priority="76" operator="equal">
      <formula>"tu"</formula>
    </cfRule>
  </conditionalFormatting>
  <conditionalFormatting sqref="J93">
    <cfRule type="cellIs" dxfId="995" priority="75" operator="equal">
      <formula>"tu"</formula>
    </cfRule>
  </conditionalFormatting>
  <conditionalFormatting sqref="J126:J127 J131 J134:J141">
    <cfRule type="cellIs" dxfId="994" priority="74" operator="equal">
      <formula>"tu"</formula>
    </cfRule>
  </conditionalFormatting>
  <conditionalFormatting sqref="J142">
    <cfRule type="cellIs" dxfId="993" priority="73" operator="equal">
      <formula>"tu"</formula>
    </cfRule>
  </conditionalFormatting>
  <conditionalFormatting sqref="J120">
    <cfRule type="cellIs" dxfId="992" priority="72" operator="equal">
      <formula>"tu"</formula>
    </cfRule>
  </conditionalFormatting>
  <conditionalFormatting sqref="J128">
    <cfRule type="cellIs" dxfId="991" priority="71" operator="equal">
      <formula>"tu"</formula>
    </cfRule>
  </conditionalFormatting>
  <conditionalFormatting sqref="J10">
    <cfRule type="cellIs" dxfId="990" priority="69" operator="equal">
      <formula>"tu"</formula>
    </cfRule>
  </conditionalFormatting>
  <conditionalFormatting sqref="J41">
    <cfRule type="cellIs" dxfId="989" priority="68" operator="equal">
      <formula>"tu"</formula>
    </cfRule>
  </conditionalFormatting>
  <conditionalFormatting sqref="J42 J44">
    <cfRule type="cellIs" dxfId="988" priority="67" operator="equal">
      <formula>"tu"</formula>
    </cfRule>
  </conditionalFormatting>
  <conditionalFormatting sqref="J43">
    <cfRule type="cellIs" dxfId="987" priority="65" operator="equal">
      <formula>"tu"</formula>
    </cfRule>
  </conditionalFormatting>
  <conditionalFormatting sqref="J104">
    <cfRule type="cellIs" dxfId="986" priority="64" operator="equal">
      <formula>"tu"</formula>
    </cfRule>
  </conditionalFormatting>
  <conditionalFormatting sqref="J162">
    <cfRule type="cellIs" dxfId="985" priority="63" operator="equal">
      <formula>"tu"</formula>
    </cfRule>
  </conditionalFormatting>
  <conditionalFormatting sqref="J163">
    <cfRule type="cellIs" dxfId="984" priority="62" operator="equal">
      <formula>"tu"</formula>
    </cfRule>
  </conditionalFormatting>
  <conditionalFormatting sqref="J133">
    <cfRule type="cellIs" dxfId="983" priority="61" operator="equal">
      <formula>"tu"</formula>
    </cfRule>
  </conditionalFormatting>
  <conditionalFormatting sqref="J152">
    <cfRule type="cellIs" dxfId="982" priority="60" operator="equal">
      <formula>"tu"</formula>
    </cfRule>
  </conditionalFormatting>
  <conditionalFormatting sqref="J164">
    <cfRule type="cellIs" dxfId="981" priority="59" operator="equal">
      <formula>"tu"</formula>
    </cfRule>
  </conditionalFormatting>
  <conditionalFormatting sqref="J168">
    <cfRule type="cellIs" dxfId="980" priority="58" operator="equal">
      <formula>"tu"</formula>
    </cfRule>
  </conditionalFormatting>
  <conditionalFormatting sqref="J171">
    <cfRule type="cellIs" dxfId="979" priority="57" operator="equal">
      <formula>"tu"</formula>
    </cfRule>
  </conditionalFormatting>
  <conditionalFormatting sqref="J154">
    <cfRule type="cellIs" dxfId="978" priority="56" operator="equal">
      <formula>"tu"</formula>
    </cfRule>
  </conditionalFormatting>
  <conditionalFormatting sqref="J155">
    <cfRule type="cellIs" dxfId="977" priority="55" operator="equal">
      <formula>"tu"</formula>
    </cfRule>
  </conditionalFormatting>
  <conditionalFormatting sqref="J129">
    <cfRule type="cellIs" dxfId="976" priority="53" operator="equal">
      <formula>"tu"</formula>
    </cfRule>
  </conditionalFormatting>
  <conditionalFormatting sqref="J19:J20">
    <cfRule type="cellIs" dxfId="975" priority="52" operator="equal">
      <formula>"tu"</formula>
    </cfRule>
  </conditionalFormatting>
  <conditionalFormatting sqref="J39">
    <cfRule type="cellIs" dxfId="974" priority="50" operator="equal">
      <formula>"tu"</formula>
    </cfRule>
  </conditionalFormatting>
  <conditionalFormatting sqref="J37">
    <cfRule type="cellIs" dxfId="973" priority="49" operator="equal">
      <formula>"tu"</formula>
    </cfRule>
  </conditionalFormatting>
  <conditionalFormatting sqref="J31:J32">
    <cfRule type="cellIs" dxfId="972" priority="48" operator="equal">
      <formula>"tu"</formula>
    </cfRule>
  </conditionalFormatting>
  <conditionalFormatting sqref="J157">
    <cfRule type="cellIs" dxfId="971" priority="47" operator="equal">
      <formula>"tu"</formula>
    </cfRule>
  </conditionalFormatting>
  <conditionalFormatting sqref="J98 J100:J102">
    <cfRule type="cellIs" dxfId="970" priority="46" operator="equal">
      <formula>"tu"</formula>
    </cfRule>
  </conditionalFormatting>
  <conditionalFormatting sqref="J146">
    <cfRule type="cellIs" dxfId="969" priority="45" operator="equal">
      <formula>"tu"</formula>
    </cfRule>
  </conditionalFormatting>
  <conditionalFormatting sqref="J150">
    <cfRule type="cellIs" dxfId="968" priority="44" operator="equal">
      <formula>"tu"</formula>
    </cfRule>
  </conditionalFormatting>
  <conditionalFormatting sqref="J167">
    <cfRule type="cellIs" dxfId="967" priority="43" operator="equal">
      <formula>"tu"</formula>
    </cfRule>
  </conditionalFormatting>
  <conditionalFormatting sqref="J105">
    <cfRule type="cellIs" dxfId="966" priority="42" operator="equal">
      <formula>"tu"</formula>
    </cfRule>
  </conditionalFormatting>
  <conditionalFormatting sqref="J156">
    <cfRule type="cellIs" dxfId="965" priority="41" operator="equal">
      <formula>"tu"</formula>
    </cfRule>
  </conditionalFormatting>
  <conditionalFormatting sqref="J156">
    <cfRule type="cellIs" dxfId="964" priority="40" operator="equal">
      <formula>"tu"</formula>
    </cfRule>
  </conditionalFormatting>
  <conditionalFormatting sqref="J130">
    <cfRule type="cellIs" dxfId="963" priority="28" operator="equal">
      <formula>"tu"</formula>
    </cfRule>
  </conditionalFormatting>
  <conditionalFormatting sqref="J132">
    <cfRule type="cellIs" dxfId="962" priority="27" operator="equal">
      <formula>"tu"</formula>
    </cfRule>
  </conditionalFormatting>
  <conditionalFormatting sqref="J103">
    <cfRule type="cellIs" dxfId="961" priority="26" operator="equal">
      <formula>"tu"</formula>
    </cfRule>
  </conditionalFormatting>
  <conditionalFormatting sqref="J160">
    <cfRule type="cellIs" dxfId="960" priority="31" operator="equal">
      <formula>"tu"</formula>
    </cfRule>
  </conditionalFormatting>
  <conditionalFormatting sqref="J159">
    <cfRule type="cellIs" dxfId="959" priority="30" operator="equal">
      <formula>"tu"</formula>
    </cfRule>
  </conditionalFormatting>
  <conditionalFormatting sqref="J159">
    <cfRule type="cellIs" dxfId="958" priority="29" operator="equal">
      <formula>"tu"</formula>
    </cfRule>
  </conditionalFormatting>
  <conditionalFormatting sqref="J49:J54 J56">
    <cfRule type="cellIs" dxfId="957" priority="25" operator="equal">
      <formula>"tu"</formula>
    </cfRule>
  </conditionalFormatting>
  <conditionalFormatting sqref="J59:J60 J69:J80 J62:J66 J82:J83">
    <cfRule type="cellIs" dxfId="956" priority="24" operator="equal">
      <formula>"tu"</formula>
    </cfRule>
  </conditionalFormatting>
  <conditionalFormatting sqref="J17">
    <cfRule type="cellIs" dxfId="955" priority="23" operator="equal">
      <formula>"tu"</formula>
    </cfRule>
  </conditionalFormatting>
  <conditionalFormatting sqref="J28:J29">
    <cfRule type="cellIs" dxfId="954" priority="22" operator="equal">
      <formula>"tu"</formula>
    </cfRule>
  </conditionalFormatting>
  <conditionalFormatting sqref="J34:J35">
    <cfRule type="cellIs" dxfId="953" priority="21" operator="equal">
      <formula>"tu"</formula>
    </cfRule>
  </conditionalFormatting>
  <conditionalFormatting sqref="J22:J23">
    <cfRule type="cellIs" dxfId="952" priority="19" operator="equal">
      <formula>"tu"</formula>
    </cfRule>
  </conditionalFormatting>
  <conditionalFormatting sqref="J25:J26">
    <cfRule type="cellIs" dxfId="951" priority="18" operator="equal">
      <formula>"tu"</formula>
    </cfRule>
  </conditionalFormatting>
  <conditionalFormatting sqref="J13">
    <cfRule type="cellIs" dxfId="950" priority="17" operator="equal">
      <formula>"tu"</formula>
    </cfRule>
  </conditionalFormatting>
  <conditionalFormatting sqref="J14">
    <cfRule type="cellIs" dxfId="949" priority="16" operator="equal">
      <formula>"tu"</formula>
    </cfRule>
  </conditionalFormatting>
  <conditionalFormatting sqref="J11">
    <cfRule type="cellIs" dxfId="948" priority="15" operator="equal">
      <formula>"tu"</formula>
    </cfRule>
  </conditionalFormatting>
  <conditionalFormatting sqref="J119">
    <cfRule type="cellIs" dxfId="947" priority="13" operator="equal">
      <formula>"tu"</formula>
    </cfRule>
  </conditionalFormatting>
  <conditionalFormatting sqref="J122">
    <cfRule type="cellIs" dxfId="946" priority="12" operator="equal">
      <formula>"tu"</formula>
    </cfRule>
  </conditionalFormatting>
  <conditionalFormatting sqref="J55">
    <cfRule type="cellIs" dxfId="945" priority="11" operator="equal">
      <formula>"tu"</formula>
    </cfRule>
  </conditionalFormatting>
  <conditionalFormatting sqref="J67">
    <cfRule type="cellIs" dxfId="944" priority="10" operator="equal">
      <formula>"tu"</formula>
    </cfRule>
  </conditionalFormatting>
  <conditionalFormatting sqref="J68">
    <cfRule type="cellIs" dxfId="943" priority="9" operator="equal">
      <formula>"tu"</formula>
    </cfRule>
  </conditionalFormatting>
  <conditionalFormatting sqref="J97">
    <cfRule type="cellIs" dxfId="942" priority="8" operator="equal">
      <formula>"tu"</formula>
    </cfRule>
  </conditionalFormatting>
  <conditionalFormatting sqref="J145">
    <cfRule type="cellIs" dxfId="941" priority="7" operator="equal">
      <formula>"tu"</formula>
    </cfRule>
  </conditionalFormatting>
  <conditionalFormatting sqref="J149">
    <cfRule type="cellIs" dxfId="940" priority="6" operator="equal">
      <formula>"tu"</formula>
    </cfRule>
  </conditionalFormatting>
  <conditionalFormatting sqref="J99">
    <cfRule type="cellIs" dxfId="939" priority="5" operator="equal">
      <formula>"tu"</formula>
    </cfRule>
  </conditionalFormatting>
  <conditionalFormatting sqref="J147">
    <cfRule type="cellIs" dxfId="938" priority="4" operator="equal">
      <formula>"tu"</formula>
    </cfRule>
  </conditionalFormatting>
  <conditionalFormatting sqref="J151">
    <cfRule type="cellIs" dxfId="937" priority="3" operator="equal">
      <formula>"tu"</formula>
    </cfRule>
  </conditionalFormatting>
  <conditionalFormatting sqref="J61">
    <cfRule type="cellIs" dxfId="936" priority="2" operator="equal">
      <formula>"tu"</formula>
    </cfRule>
  </conditionalFormatting>
  <conditionalFormatting sqref="J81">
    <cfRule type="cellIs" dxfId="935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4" name="Button 3">
              <controlPr defaultSize="0" print="0" autoFill="0" autoPict="0" macro="[0]!StoreTrack">
                <anchor moveWithCells="1" sizeWithCells="1">
                  <from>
                    <xdr:col>4</xdr:col>
                    <xdr:colOff>2095500</xdr:colOff>
                    <xdr:row>1</xdr:row>
                    <xdr:rowOff>47625</xdr:rowOff>
                  </from>
                  <to>
                    <xdr:col>5</xdr:col>
                    <xdr:colOff>742950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E980-354A-4526-B050-0B5632887D41}">
  <sheetPr codeName="Sheet24">
    <tabColor theme="4"/>
    <outlinePr summaryBelow="0" summaryRight="0"/>
  </sheetPr>
  <dimension ref="A1:KT74"/>
  <sheetViews>
    <sheetView defaultGridColor="0" colorId="8" zoomScale="80" zoomScaleNormal="80" workbookViewId="0">
      <pane xSplit="9" ySplit="5" topLeftCell="J30" activePane="bottomRight" state="frozen"/>
      <selection activeCell="F117" sqref="F117"/>
      <selection pane="topRight" activeCell="F117" sqref="F117"/>
      <selection pane="bottomLeft" activeCell="F117" sqref="F117"/>
      <selection pane="bottomRight" activeCell="E42" sqref="E42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57" width="11.5703125" style="12" customWidth="1"/>
    <col min="58" max="120" width="11.5703125" hidden="1" customWidth="1"/>
    <col min="121" max="16384" width="11.5703125" hidden="1"/>
  </cols>
  <sheetData>
    <row r="1" spans="1:306" s="38" customFormat="1" ht="26.25" x14ac:dyDescent="0.2">
      <c r="A1" s="24" t="str">
        <f ca="1" xml:space="preserve"> RIGHT(CELL("filename", A1), LEN(CELL("filename", A1)) - SEARCH("]", CELL("filename", A1))) &amp; " - " &amp; InpC!F3</f>
        <v>S&amp;U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7" customFormat="1" x14ac:dyDescent="0.2">
      <c r="C2" s="292"/>
      <c r="D2" s="293"/>
      <c r="E2" s="194" t="str">
        <f xml:space="preserve"> ConTime!E$23</f>
        <v>Model period ending - m</v>
      </c>
      <c r="F2" s="478">
        <f ca="1" xml:space="preserve"> Check!$F$9</f>
        <v>1</v>
      </c>
      <c r="G2" s="479" t="s">
        <v>23</v>
      </c>
      <c r="H2" s="194"/>
      <c r="I2" s="442"/>
      <c r="J2" s="195">
        <f xml:space="preserve"> ConTime!J$23</f>
        <v>44592</v>
      </c>
      <c r="K2" s="195">
        <f xml:space="preserve"> ConTime!K$23</f>
        <v>44620</v>
      </c>
      <c r="L2" s="195">
        <f xml:space="preserve"> ConTime!L$23</f>
        <v>44651</v>
      </c>
      <c r="M2" s="195">
        <f xml:space="preserve"> ConTime!M$23</f>
        <v>44681</v>
      </c>
      <c r="N2" s="195">
        <f xml:space="preserve"> ConTime!N$23</f>
        <v>44712</v>
      </c>
      <c r="O2" s="195">
        <f xml:space="preserve"> ConTime!O$23</f>
        <v>44742</v>
      </c>
      <c r="P2" s="195">
        <f xml:space="preserve"> ConTime!P$23</f>
        <v>44773</v>
      </c>
      <c r="Q2" s="195">
        <f xml:space="preserve"> ConTime!Q$23</f>
        <v>44804</v>
      </c>
      <c r="R2" s="195">
        <f xml:space="preserve"> ConTime!R$23</f>
        <v>44834</v>
      </c>
      <c r="S2" s="195">
        <f xml:space="preserve"> ConTime!S$23</f>
        <v>44865</v>
      </c>
      <c r="T2" s="195">
        <f xml:space="preserve"> ConTime!T$23</f>
        <v>44895</v>
      </c>
      <c r="U2" s="195">
        <f xml:space="preserve"> ConTime!U$23</f>
        <v>44926</v>
      </c>
      <c r="V2" s="195">
        <f xml:space="preserve"> ConTime!V$23</f>
        <v>44957</v>
      </c>
      <c r="W2" s="195">
        <f xml:space="preserve"> ConTime!W$23</f>
        <v>44985</v>
      </c>
      <c r="X2" s="195">
        <f xml:space="preserve"> ConTime!X$23</f>
        <v>45016</v>
      </c>
      <c r="Y2" s="195">
        <f xml:space="preserve"> ConTime!Y$23</f>
        <v>45046</v>
      </c>
      <c r="Z2" s="195">
        <f xml:space="preserve"> ConTime!Z$23</f>
        <v>45077</v>
      </c>
      <c r="AA2" s="195">
        <f xml:space="preserve"> ConTime!AA$23</f>
        <v>45107</v>
      </c>
      <c r="AB2" s="195">
        <f xml:space="preserve"> ConTime!AB$23</f>
        <v>45138</v>
      </c>
      <c r="AC2" s="195">
        <f xml:space="preserve"> ConTime!AC$23</f>
        <v>45169</v>
      </c>
      <c r="AD2" s="195">
        <f xml:space="preserve"> ConTime!AD$23</f>
        <v>45199</v>
      </c>
      <c r="AE2" s="195">
        <f xml:space="preserve"> ConTime!AE$23</f>
        <v>45230</v>
      </c>
      <c r="AF2" s="195">
        <f xml:space="preserve"> ConTime!AF$23</f>
        <v>45260</v>
      </c>
      <c r="AG2" s="195">
        <f xml:space="preserve"> ConTime!AG$23</f>
        <v>45291</v>
      </c>
      <c r="AH2" s="195">
        <f xml:space="preserve"> ConTime!AH$23</f>
        <v>45322</v>
      </c>
      <c r="AI2" s="195">
        <f xml:space="preserve"> ConTime!AI$23</f>
        <v>45351</v>
      </c>
      <c r="AJ2" s="195">
        <f xml:space="preserve"> ConTime!AJ$23</f>
        <v>45382</v>
      </c>
      <c r="AK2" s="195">
        <f xml:space="preserve"> ConTime!AK$23</f>
        <v>45412</v>
      </c>
      <c r="AL2" s="195">
        <f xml:space="preserve"> ConTime!AL$23</f>
        <v>45443</v>
      </c>
      <c r="AM2" s="195">
        <f xml:space="preserve"> ConTime!AM$23</f>
        <v>45473</v>
      </c>
      <c r="AN2" s="195">
        <f xml:space="preserve"> ConTime!AN$23</f>
        <v>45504</v>
      </c>
      <c r="AO2" s="195">
        <f xml:space="preserve"> ConTime!AO$23</f>
        <v>45535</v>
      </c>
      <c r="AP2" s="195">
        <f xml:space="preserve"> ConTime!AP$23</f>
        <v>45565</v>
      </c>
      <c r="AQ2" s="195">
        <f xml:space="preserve"> ConTime!AQ$23</f>
        <v>45596</v>
      </c>
      <c r="AR2" s="195">
        <f xml:space="preserve"> ConTime!AR$23</f>
        <v>45626</v>
      </c>
      <c r="AS2" s="195">
        <f xml:space="preserve"> ConTime!AS$23</f>
        <v>45657</v>
      </c>
      <c r="AT2" s="195">
        <f xml:space="preserve"> ConTime!AT$23</f>
        <v>45688</v>
      </c>
      <c r="AU2" s="195">
        <f xml:space="preserve"> ConTime!AU$23</f>
        <v>45716</v>
      </c>
      <c r="AV2" s="195">
        <f xml:space="preserve"> ConTime!AV$23</f>
        <v>45747</v>
      </c>
      <c r="AW2" s="195">
        <f xml:space="preserve"> ConTime!AW$23</f>
        <v>45777</v>
      </c>
      <c r="AX2" s="195">
        <f xml:space="preserve"> ConTime!AX$23</f>
        <v>45808</v>
      </c>
      <c r="AY2" s="195">
        <f xml:space="preserve"> ConTime!AY$23</f>
        <v>45838</v>
      </c>
      <c r="AZ2" s="195">
        <f xml:space="preserve"> ConTime!AZ$23</f>
        <v>45869</v>
      </c>
      <c r="BA2" s="195">
        <f xml:space="preserve"> ConTime!BA$23</f>
        <v>45900</v>
      </c>
      <c r="BB2" s="195">
        <f xml:space="preserve"> ConTime!BB$23</f>
        <v>45930</v>
      </c>
      <c r="BC2" s="195">
        <f xml:space="preserve"> ConTime!BC$23</f>
        <v>45961</v>
      </c>
      <c r="BD2" s="195">
        <f xml:space="preserve"> ConTime!BD$23</f>
        <v>45991</v>
      </c>
      <c r="BE2" s="195">
        <f xml:space="preserve"> ConTime!BE$23</f>
        <v>46022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  <c r="FP2" s="191"/>
      <c r="FQ2" s="191"/>
      <c r="FR2" s="191"/>
      <c r="FS2" s="191"/>
      <c r="FT2" s="191"/>
      <c r="FU2" s="191"/>
      <c r="FV2" s="191"/>
      <c r="FW2" s="191"/>
      <c r="FX2" s="191"/>
      <c r="FY2" s="191"/>
      <c r="FZ2" s="191"/>
      <c r="GA2" s="191"/>
      <c r="GB2" s="191"/>
      <c r="GC2" s="191"/>
      <c r="GD2" s="191"/>
      <c r="GE2" s="191"/>
      <c r="GF2" s="191"/>
      <c r="GG2" s="191"/>
      <c r="GH2" s="191"/>
      <c r="GI2" s="191"/>
      <c r="GJ2" s="191"/>
      <c r="GK2" s="191"/>
      <c r="GL2" s="191"/>
      <c r="GM2" s="191"/>
      <c r="GN2" s="191"/>
      <c r="GO2" s="191"/>
      <c r="GP2" s="191"/>
      <c r="GQ2" s="191"/>
      <c r="GR2" s="191"/>
      <c r="GS2" s="191"/>
      <c r="GT2" s="191"/>
      <c r="GU2" s="191"/>
      <c r="GV2" s="191"/>
      <c r="GW2" s="191"/>
      <c r="GX2" s="191"/>
      <c r="GY2" s="191"/>
      <c r="GZ2" s="191"/>
      <c r="HA2" s="191"/>
      <c r="HB2" s="191"/>
      <c r="HC2" s="191"/>
      <c r="HD2" s="191"/>
      <c r="HE2" s="191"/>
      <c r="HF2" s="191"/>
      <c r="HG2" s="191"/>
      <c r="HH2" s="191"/>
      <c r="HI2" s="191"/>
      <c r="HJ2" s="191"/>
      <c r="HK2" s="191"/>
      <c r="HL2" s="191"/>
      <c r="HM2" s="191"/>
      <c r="HN2" s="191"/>
      <c r="HO2" s="191"/>
      <c r="HP2" s="191"/>
      <c r="HQ2" s="191"/>
      <c r="HR2" s="191"/>
      <c r="HS2" s="191"/>
      <c r="HT2" s="191"/>
      <c r="HU2" s="191"/>
      <c r="HV2" s="191"/>
      <c r="HW2" s="191"/>
      <c r="HX2" s="191"/>
      <c r="HY2" s="191"/>
      <c r="HZ2" s="191"/>
      <c r="IA2" s="191"/>
      <c r="IB2" s="191"/>
      <c r="IC2" s="191"/>
      <c r="ID2" s="191"/>
      <c r="IE2" s="191"/>
      <c r="IF2" s="191"/>
      <c r="IG2" s="191"/>
      <c r="IH2" s="191"/>
      <c r="II2" s="191"/>
      <c r="IJ2" s="191"/>
      <c r="IK2" s="191"/>
      <c r="IL2" s="191"/>
      <c r="IM2" s="191"/>
      <c r="IN2" s="191"/>
      <c r="IO2" s="191"/>
      <c r="IP2" s="191"/>
      <c r="IQ2" s="191"/>
      <c r="IR2" s="191"/>
      <c r="IS2" s="191"/>
      <c r="IT2" s="191"/>
      <c r="IU2" s="191"/>
      <c r="IV2" s="191"/>
      <c r="IW2" s="191"/>
      <c r="IX2" s="191"/>
      <c r="IY2" s="191"/>
      <c r="IZ2" s="191"/>
      <c r="JA2" s="191"/>
      <c r="JB2" s="191"/>
      <c r="JC2" s="191"/>
      <c r="JD2" s="191"/>
      <c r="JE2" s="191"/>
      <c r="JF2" s="191"/>
      <c r="JG2" s="191"/>
      <c r="JH2" s="191"/>
      <c r="JI2" s="191"/>
      <c r="JJ2" s="191"/>
      <c r="JK2" s="191"/>
      <c r="JL2" s="191"/>
      <c r="JM2" s="191"/>
      <c r="JN2" s="191"/>
      <c r="JO2" s="191"/>
      <c r="JP2" s="191"/>
      <c r="JQ2" s="191"/>
      <c r="JR2" s="191"/>
      <c r="JS2" s="191"/>
      <c r="JT2" s="191"/>
      <c r="JU2" s="191"/>
      <c r="JV2" s="191"/>
      <c r="JW2" s="191"/>
      <c r="JX2" s="191"/>
      <c r="JY2" s="191"/>
      <c r="JZ2" s="191"/>
      <c r="KA2" s="191"/>
      <c r="KB2" s="191"/>
      <c r="KC2" s="191"/>
      <c r="KD2" s="191"/>
      <c r="KE2" s="191"/>
      <c r="KF2" s="191"/>
      <c r="KG2" s="191"/>
      <c r="KH2" s="191"/>
      <c r="KI2" s="191"/>
      <c r="KJ2" s="191"/>
      <c r="KK2" s="191"/>
      <c r="KL2" s="191"/>
      <c r="KM2" s="191"/>
      <c r="KN2" s="191"/>
      <c r="KO2" s="191"/>
      <c r="KP2" s="191"/>
      <c r="KQ2" s="191"/>
      <c r="KR2" s="191"/>
      <c r="KS2" s="191"/>
      <c r="KT2" s="191"/>
    </row>
    <row r="3" spans="1:306" s="281" customFormat="1" x14ac:dyDescent="0.2">
      <c r="A3" s="236"/>
      <c r="B3" s="236"/>
      <c r="C3" s="237"/>
      <c r="D3" s="238"/>
      <c r="E3" s="486" t="str">
        <f xml:space="preserve"> ConTime!E$50</f>
        <v>Timeline label - m</v>
      </c>
      <c r="F3" s="478">
        <f ca="1" xml:space="preserve"> Output!J2</f>
        <v>82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</row>
    <row r="4" spans="1:306" s="281" customFormat="1" x14ac:dyDescent="0.2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2022</v>
      </c>
      <c r="K4" s="488">
        <f xml:space="preserve"> Time!K$39</f>
        <v>2023</v>
      </c>
      <c r="L4" s="488">
        <f xml:space="preserve"> Time!L$39</f>
        <v>2023</v>
      </c>
      <c r="M4" s="488">
        <f xml:space="preserve"> Time!M$39</f>
        <v>2024</v>
      </c>
      <c r="N4" s="488">
        <f xml:space="preserve"> Time!N$39</f>
        <v>2024</v>
      </c>
      <c r="O4" s="488">
        <f xml:space="preserve"> Time!O$39</f>
        <v>2025</v>
      </c>
      <c r="P4" s="488">
        <f xml:space="preserve"> Time!P$39</f>
        <v>2025</v>
      </c>
      <c r="Q4" s="488">
        <f xml:space="preserve"> Time!Q$39</f>
        <v>2026</v>
      </c>
      <c r="R4" s="488">
        <f xml:space="preserve"> Time!R$39</f>
        <v>2026</v>
      </c>
      <c r="S4" s="488">
        <f xml:space="preserve"> Time!S$39</f>
        <v>2027</v>
      </c>
      <c r="T4" s="488">
        <f xml:space="preserve"> Time!T$39</f>
        <v>2027</v>
      </c>
      <c r="U4" s="488">
        <f xml:space="preserve"> Time!U$39</f>
        <v>2028</v>
      </c>
      <c r="V4" s="488">
        <f xml:space="preserve"> Time!V$39</f>
        <v>2028</v>
      </c>
      <c r="W4" s="488">
        <f xml:space="preserve"> Time!W$39</f>
        <v>2029</v>
      </c>
      <c r="X4" s="488">
        <f xml:space="preserve"> Time!X$39</f>
        <v>2029</v>
      </c>
      <c r="Y4" s="488">
        <f xml:space="preserve"> Time!Y$39</f>
        <v>2030</v>
      </c>
      <c r="Z4" s="488">
        <f xml:space="preserve"> Time!Z$39</f>
        <v>2030</v>
      </c>
      <c r="AA4" s="488">
        <f xml:space="preserve"> Time!AA$39</f>
        <v>2031</v>
      </c>
      <c r="AB4" s="488">
        <f xml:space="preserve"> Time!AB$39</f>
        <v>2031</v>
      </c>
      <c r="AC4" s="488">
        <f xml:space="preserve"> Time!AC$39</f>
        <v>2032</v>
      </c>
      <c r="AD4" s="488">
        <f xml:space="preserve"> Time!AD$39</f>
        <v>2032</v>
      </c>
      <c r="AE4" s="488">
        <f xml:space="preserve"> Time!AE$39</f>
        <v>2033</v>
      </c>
      <c r="AF4" s="488">
        <f xml:space="preserve"> Time!AF$39</f>
        <v>2033</v>
      </c>
      <c r="AG4" s="488">
        <f xml:space="preserve"> Time!AG$39</f>
        <v>2034</v>
      </c>
      <c r="AH4" s="488">
        <f xml:space="preserve"> Time!AH$39</f>
        <v>2034</v>
      </c>
      <c r="AI4" s="488">
        <f xml:space="preserve"> Time!AI$39</f>
        <v>2035</v>
      </c>
      <c r="AJ4" s="488">
        <f xml:space="preserve"> Time!AJ$39</f>
        <v>2035</v>
      </c>
      <c r="AK4" s="488">
        <f xml:space="preserve"> Time!AK$39</f>
        <v>2036</v>
      </c>
      <c r="AL4" s="488">
        <f xml:space="preserve"> Time!AL$39</f>
        <v>2036</v>
      </c>
      <c r="AM4" s="488">
        <f xml:space="preserve"> Time!AM$39</f>
        <v>2037</v>
      </c>
      <c r="AN4" s="488">
        <f xml:space="preserve"> Time!AN$39</f>
        <v>2037</v>
      </c>
      <c r="AO4" s="488">
        <f xml:space="preserve"> Time!AO$39</f>
        <v>2038</v>
      </c>
      <c r="AP4" s="488">
        <f xml:space="preserve"> Time!AP$39</f>
        <v>2038</v>
      </c>
      <c r="AQ4" s="488">
        <f xml:space="preserve"> Time!AQ$39</f>
        <v>2039</v>
      </c>
      <c r="AR4" s="488">
        <f xml:space="preserve"> Time!AR$39</f>
        <v>2039</v>
      </c>
      <c r="AS4" s="488">
        <f xml:space="preserve"> Time!AS$39</f>
        <v>2040</v>
      </c>
      <c r="AT4" s="488">
        <f xml:space="preserve"> Time!AT$39</f>
        <v>2040</v>
      </c>
      <c r="AU4" s="488">
        <f xml:space="preserve"> Time!AU$39</f>
        <v>2041</v>
      </c>
      <c r="AV4" s="488">
        <f xml:space="preserve"> Time!AV$39</f>
        <v>2041</v>
      </c>
      <c r="AW4" s="488">
        <f xml:space="preserve"> Time!AW$39</f>
        <v>2042</v>
      </c>
      <c r="AX4" s="488">
        <f xml:space="preserve"> Time!AX$39</f>
        <v>2042</v>
      </c>
      <c r="AY4" s="488">
        <f xml:space="preserve"> Time!AY$39</f>
        <v>2043</v>
      </c>
      <c r="AZ4" s="488">
        <f xml:space="preserve"> Time!AZ$39</f>
        <v>2043</v>
      </c>
      <c r="BA4" s="488">
        <f xml:space="preserve"> Time!BA$39</f>
        <v>2044</v>
      </c>
      <c r="BB4" s="488">
        <f xml:space="preserve"> Time!BB$39</f>
        <v>2044</v>
      </c>
      <c r="BC4" s="488">
        <f xml:space="preserve"> Time!BC$39</f>
        <v>2045</v>
      </c>
      <c r="BD4" s="488">
        <f xml:space="preserve"> Time!BD$39</f>
        <v>2045</v>
      </c>
      <c r="BE4" s="488">
        <f xml:space="preserve"> Time!BE$39</f>
        <v>2046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  <c r="FP4" s="191"/>
      <c r="FQ4" s="191"/>
      <c r="FR4" s="191"/>
      <c r="FS4" s="191"/>
      <c r="FT4" s="191"/>
      <c r="FU4" s="191"/>
      <c r="FV4" s="191"/>
      <c r="FW4" s="191"/>
      <c r="FX4" s="191"/>
      <c r="FY4" s="191"/>
      <c r="FZ4" s="191"/>
      <c r="GA4" s="191"/>
      <c r="GB4" s="191"/>
      <c r="GC4" s="191"/>
      <c r="GD4" s="191"/>
      <c r="GE4" s="191"/>
      <c r="GF4" s="191"/>
      <c r="GG4" s="191"/>
      <c r="GH4" s="191"/>
      <c r="GI4" s="191"/>
      <c r="GJ4" s="191"/>
      <c r="GK4" s="191"/>
      <c r="GL4" s="191"/>
      <c r="GM4" s="191"/>
      <c r="GN4" s="191"/>
      <c r="GO4" s="191"/>
      <c r="GP4" s="191"/>
      <c r="GQ4" s="191"/>
      <c r="GR4" s="191"/>
      <c r="GS4" s="191"/>
      <c r="GT4" s="191"/>
      <c r="GU4" s="191"/>
      <c r="GV4" s="191"/>
      <c r="GW4" s="191"/>
      <c r="GX4" s="191"/>
      <c r="GY4" s="191"/>
      <c r="GZ4" s="191"/>
      <c r="HA4" s="191"/>
      <c r="HB4" s="191"/>
      <c r="HC4" s="191"/>
      <c r="HD4" s="191"/>
      <c r="HE4" s="191"/>
      <c r="HF4" s="191"/>
      <c r="HG4" s="191"/>
      <c r="HH4" s="191"/>
      <c r="HI4" s="191"/>
      <c r="HJ4" s="191"/>
      <c r="HK4" s="191"/>
      <c r="HL4" s="191"/>
      <c r="HM4" s="191"/>
      <c r="HN4" s="191"/>
      <c r="HO4" s="191"/>
      <c r="HP4" s="191"/>
      <c r="HQ4" s="191"/>
      <c r="HR4" s="191"/>
      <c r="HS4" s="191"/>
      <c r="HT4" s="191"/>
      <c r="HU4" s="191"/>
      <c r="HV4" s="191"/>
      <c r="HW4" s="191"/>
      <c r="HX4" s="191"/>
      <c r="HY4" s="191"/>
      <c r="HZ4" s="191"/>
      <c r="IA4" s="191"/>
      <c r="IB4" s="191"/>
      <c r="IC4" s="191"/>
      <c r="ID4" s="191"/>
      <c r="IE4" s="191"/>
      <c r="IF4" s="191"/>
      <c r="IG4" s="191"/>
      <c r="IH4" s="191"/>
      <c r="II4" s="191"/>
      <c r="IJ4" s="191"/>
      <c r="IK4" s="191"/>
      <c r="IL4" s="191"/>
      <c r="IM4" s="191"/>
      <c r="IN4" s="191"/>
      <c r="IO4" s="191"/>
      <c r="IP4" s="191"/>
      <c r="IQ4" s="191"/>
      <c r="IR4" s="191"/>
      <c r="IS4" s="191"/>
      <c r="IT4" s="191"/>
      <c r="IU4" s="191"/>
      <c r="IV4" s="191"/>
      <c r="IW4" s="191"/>
      <c r="IX4" s="191"/>
      <c r="IY4" s="191"/>
      <c r="IZ4" s="191"/>
      <c r="JA4" s="191"/>
      <c r="JB4" s="191"/>
      <c r="JC4" s="191"/>
      <c r="JD4" s="191"/>
      <c r="JE4" s="191"/>
      <c r="JF4" s="191"/>
      <c r="JG4" s="191"/>
      <c r="JH4" s="191"/>
      <c r="JI4" s="191"/>
      <c r="JJ4" s="191"/>
      <c r="JK4" s="191"/>
      <c r="JL4" s="191"/>
      <c r="JM4" s="191"/>
      <c r="JN4" s="191"/>
      <c r="JO4" s="191"/>
      <c r="JP4" s="191"/>
      <c r="JQ4" s="191"/>
      <c r="JR4" s="191"/>
      <c r="JS4" s="191"/>
      <c r="JT4" s="191"/>
      <c r="JU4" s="191"/>
      <c r="JV4" s="191"/>
      <c r="JW4" s="191"/>
      <c r="JX4" s="191"/>
      <c r="JY4" s="191"/>
      <c r="JZ4" s="191"/>
      <c r="KA4" s="191"/>
      <c r="KB4" s="191"/>
      <c r="KC4" s="191"/>
      <c r="KD4" s="191"/>
      <c r="KE4" s="191"/>
      <c r="KF4" s="191"/>
      <c r="KG4" s="191"/>
      <c r="KH4" s="191"/>
      <c r="KI4" s="191"/>
      <c r="KJ4" s="191"/>
      <c r="KK4" s="191"/>
      <c r="KL4" s="191"/>
      <c r="KM4" s="191"/>
      <c r="KN4" s="191"/>
      <c r="KO4" s="191"/>
      <c r="KP4" s="191"/>
      <c r="KQ4" s="191"/>
      <c r="KR4" s="191"/>
      <c r="KS4" s="191"/>
      <c r="KT4" s="191"/>
    </row>
    <row r="5" spans="1:306" s="10" customFormat="1" x14ac:dyDescent="0.2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">
      <c r="A7" s="15" t="s">
        <v>412</v>
      </c>
    </row>
    <row r="8" spans="1:306" s="38" customFormat="1" outlineLevel="1" x14ac:dyDescent="0.2">
      <c r="A8" s="15"/>
      <c r="B8" s="15"/>
      <c r="C8" s="21"/>
      <c r="D8" s="48"/>
      <c r="E8" s="12"/>
      <c r="F8" s="12"/>
      <c r="G8" s="12"/>
      <c r="H8" s="12"/>
      <c r="I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</row>
    <row r="9" spans="1:306" s="191" customFormat="1" outlineLevel="1" x14ac:dyDescent="0.2">
      <c r="A9" s="236"/>
      <c r="B9" s="236"/>
      <c r="C9" s="237"/>
      <c r="D9" s="238"/>
      <c r="E9" s="68" t="str">
        <f xml:space="preserve"> ConFin!E$51</f>
        <v>Share capital drawdown - m</v>
      </c>
      <c r="F9" s="68">
        <f xml:space="preserve"> ConFin!F$51</f>
        <v>0</v>
      </c>
      <c r="G9" s="68" t="str">
        <f xml:space="preserve"> ConFin!G$51</f>
        <v>$ 000s</v>
      </c>
      <c r="H9" s="68">
        <f xml:space="preserve"> ConFin!H$51</f>
        <v>100</v>
      </c>
      <c r="I9" s="68">
        <f xml:space="preserve"> ConFin!I$51</f>
        <v>0</v>
      </c>
      <c r="J9" s="68">
        <f xml:space="preserve"> ConFin!J$51</f>
        <v>0</v>
      </c>
      <c r="K9" s="68">
        <f xml:space="preserve"> ConFin!K$51</f>
        <v>0</v>
      </c>
      <c r="L9" s="68">
        <f xml:space="preserve"> ConFin!L$51</f>
        <v>0</v>
      </c>
      <c r="M9" s="68">
        <f xml:space="preserve"> ConFin!M$51</f>
        <v>100</v>
      </c>
      <c r="N9" s="68">
        <f xml:space="preserve"> ConFin!N$51</f>
        <v>0</v>
      </c>
      <c r="O9" s="68">
        <f xml:space="preserve"> ConFin!O$51</f>
        <v>0</v>
      </c>
      <c r="P9" s="68">
        <f xml:space="preserve"> ConFin!P$51</f>
        <v>0</v>
      </c>
      <c r="Q9" s="68">
        <f xml:space="preserve"> ConFin!Q$51</f>
        <v>0</v>
      </c>
      <c r="R9" s="68">
        <f xml:space="preserve"> ConFin!R$51</f>
        <v>0</v>
      </c>
      <c r="S9" s="68">
        <f xml:space="preserve"> ConFin!S$51</f>
        <v>0</v>
      </c>
      <c r="T9" s="68">
        <f xml:space="preserve"> ConFin!T$51</f>
        <v>0</v>
      </c>
      <c r="U9" s="68">
        <f xml:space="preserve"> ConFin!U$51</f>
        <v>0</v>
      </c>
      <c r="V9" s="68">
        <f xml:space="preserve"> ConFin!V$51</f>
        <v>0</v>
      </c>
      <c r="W9" s="68">
        <f xml:space="preserve"> ConFin!W$51</f>
        <v>0</v>
      </c>
      <c r="X9" s="68">
        <f xml:space="preserve"> ConFin!X$51</f>
        <v>0</v>
      </c>
      <c r="Y9" s="68">
        <f xml:space="preserve"> ConFin!Y$51</f>
        <v>0</v>
      </c>
      <c r="Z9" s="68">
        <f xml:space="preserve"> ConFin!Z$51</f>
        <v>0</v>
      </c>
      <c r="AA9" s="68">
        <f xml:space="preserve"> ConFin!AA$51</f>
        <v>0</v>
      </c>
      <c r="AB9" s="68">
        <f xml:space="preserve"> ConFin!AB$51</f>
        <v>0</v>
      </c>
      <c r="AC9" s="68">
        <f xml:space="preserve"> ConFin!AC$51</f>
        <v>0</v>
      </c>
      <c r="AD9" s="68">
        <f xml:space="preserve"> ConFin!AD$51</f>
        <v>0</v>
      </c>
      <c r="AE9" s="68">
        <f xml:space="preserve"> ConFin!AE$51</f>
        <v>0</v>
      </c>
      <c r="AF9" s="68">
        <f xml:space="preserve"> ConFin!AF$51</f>
        <v>0</v>
      </c>
      <c r="AG9" s="68">
        <f xml:space="preserve"> ConFin!AG$51</f>
        <v>0</v>
      </c>
      <c r="AH9" s="68">
        <f xml:space="preserve"> ConFin!AH$51</f>
        <v>0</v>
      </c>
      <c r="AI9" s="68">
        <f xml:space="preserve"> ConFin!AI$51</f>
        <v>0</v>
      </c>
      <c r="AJ9" s="68">
        <f xml:space="preserve"> ConFin!AJ$51</f>
        <v>0</v>
      </c>
      <c r="AK9" s="68">
        <f xml:space="preserve"> ConFin!AK$51</f>
        <v>0</v>
      </c>
      <c r="AL9" s="68">
        <f xml:space="preserve"> ConFin!AL$51</f>
        <v>0</v>
      </c>
      <c r="AM9" s="68">
        <f xml:space="preserve"> ConFin!AM$51</f>
        <v>0</v>
      </c>
      <c r="AN9" s="68">
        <f xml:space="preserve"> ConFin!AN$51</f>
        <v>0</v>
      </c>
      <c r="AO9" s="68">
        <f xml:space="preserve"> ConFin!AO$51</f>
        <v>0</v>
      </c>
      <c r="AP9" s="68">
        <f xml:space="preserve"> ConFin!AP$51</f>
        <v>0</v>
      </c>
      <c r="AQ9" s="68">
        <f xml:space="preserve"> ConFin!AQ$51</f>
        <v>0</v>
      </c>
      <c r="AR9" s="68">
        <f xml:space="preserve"> ConFin!AR$51</f>
        <v>0</v>
      </c>
      <c r="AS9" s="68">
        <f xml:space="preserve"> ConFin!AS$51</f>
        <v>0</v>
      </c>
      <c r="AT9" s="68">
        <f xml:space="preserve"> ConFin!AT$51</f>
        <v>0</v>
      </c>
      <c r="AU9" s="68">
        <f xml:space="preserve"> ConFin!AU$51</f>
        <v>0</v>
      </c>
      <c r="AV9" s="68">
        <f xml:space="preserve"> ConFin!AV$51</f>
        <v>0</v>
      </c>
      <c r="AW9" s="68">
        <f xml:space="preserve"> ConFin!AW$51</f>
        <v>0</v>
      </c>
      <c r="AX9" s="68">
        <f xml:space="preserve"> ConFin!AX$51</f>
        <v>0</v>
      </c>
      <c r="AY9" s="68">
        <f xml:space="preserve"> ConFin!AY$51</f>
        <v>0</v>
      </c>
      <c r="AZ9" s="68">
        <f xml:space="preserve"> ConFin!AZ$51</f>
        <v>0</v>
      </c>
      <c r="BA9" s="68">
        <f xml:space="preserve"> ConFin!BA$51</f>
        <v>0</v>
      </c>
      <c r="BB9" s="68">
        <f xml:space="preserve"> ConFin!BB$51</f>
        <v>0</v>
      </c>
      <c r="BC9" s="68">
        <f xml:space="preserve"> ConFin!BC$51</f>
        <v>0</v>
      </c>
      <c r="BD9" s="68">
        <f xml:space="preserve"> ConFin!BD$51</f>
        <v>0</v>
      </c>
      <c r="BE9" s="68">
        <f xml:space="preserve"> ConFin!BE$51</f>
        <v>0</v>
      </c>
    </row>
    <row r="10" spans="1:306" s="192" customFormat="1" outlineLevel="1" x14ac:dyDescent="0.2">
      <c r="A10" s="236"/>
      <c r="B10" s="236"/>
      <c r="C10" s="237"/>
      <c r="D10" s="238"/>
      <c r="E10" s="68" t="str">
        <f xml:space="preserve"> ConFin!E$86</f>
        <v>Shareholder drawdown - m</v>
      </c>
      <c r="F10" s="68">
        <f xml:space="preserve"> ConFin!F$86</f>
        <v>0</v>
      </c>
      <c r="G10" s="68" t="str">
        <f xml:space="preserve"> ConFin!G$86</f>
        <v>$ 000s</v>
      </c>
      <c r="H10" s="68">
        <f xml:space="preserve"> ConFin!H$86</f>
        <v>86318.253106861201</v>
      </c>
      <c r="I10" s="68">
        <f xml:space="preserve"> ConFin!I$86</f>
        <v>0</v>
      </c>
      <c r="J10" s="68">
        <f xml:space="preserve"> ConFin!J$86</f>
        <v>0</v>
      </c>
      <c r="K10" s="68">
        <f xml:space="preserve"> ConFin!K$86</f>
        <v>0</v>
      </c>
      <c r="L10" s="68">
        <f xml:space="preserve"> ConFin!L$86</f>
        <v>0</v>
      </c>
      <c r="M10" s="68">
        <f xml:space="preserve"> ConFin!M$86</f>
        <v>0</v>
      </c>
      <c r="N10" s="68">
        <f xml:space="preserve"> ConFin!N$86</f>
        <v>0</v>
      </c>
      <c r="O10" s="68">
        <f xml:space="preserve"> ConFin!O$86</f>
        <v>0</v>
      </c>
      <c r="P10" s="68">
        <f xml:space="preserve"> ConFin!P$86</f>
        <v>0</v>
      </c>
      <c r="Q10" s="68">
        <f xml:space="preserve"> ConFin!Q$86</f>
        <v>0</v>
      </c>
      <c r="R10" s="68">
        <f xml:space="preserve"> ConFin!R$86</f>
        <v>0</v>
      </c>
      <c r="S10" s="68">
        <f xml:space="preserve"> ConFin!S$86</f>
        <v>0</v>
      </c>
      <c r="T10" s="68">
        <f xml:space="preserve"> ConFin!T$86</f>
        <v>0</v>
      </c>
      <c r="U10" s="68">
        <f xml:space="preserve"> ConFin!U$86</f>
        <v>0</v>
      </c>
      <c r="V10" s="68">
        <f xml:space="preserve"> ConFin!V$86</f>
        <v>0</v>
      </c>
      <c r="W10" s="68">
        <f xml:space="preserve"> ConFin!W$86</f>
        <v>0</v>
      </c>
      <c r="X10" s="68">
        <f xml:space="preserve"> ConFin!X$86</f>
        <v>0</v>
      </c>
      <c r="Y10" s="68">
        <f xml:space="preserve"> ConFin!Y$86</f>
        <v>0</v>
      </c>
      <c r="Z10" s="68">
        <f xml:space="preserve"> ConFin!Z$86</f>
        <v>0</v>
      </c>
      <c r="AA10" s="68">
        <f xml:space="preserve"> ConFin!AA$86</f>
        <v>0</v>
      </c>
      <c r="AB10" s="68">
        <f xml:space="preserve"> ConFin!AB$86</f>
        <v>0</v>
      </c>
      <c r="AC10" s="68">
        <f xml:space="preserve"> ConFin!AC$86</f>
        <v>0</v>
      </c>
      <c r="AD10" s="68">
        <f xml:space="preserve"> ConFin!AD$86</f>
        <v>0</v>
      </c>
      <c r="AE10" s="68">
        <f xml:space="preserve"> ConFin!AE$86</f>
        <v>0</v>
      </c>
      <c r="AF10" s="68">
        <f xml:space="preserve"> ConFin!AF$86</f>
        <v>0</v>
      </c>
      <c r="AG10" s="68">
        <f xml:space="preserve"> ConFin!AG$86</f>
        <v>0</v>
      </c>
      <c r="AH10" s="68">
        <f xml:space="preserve"> ConFin!AH$86</f>
        <v>0</v>
      </c>
      <c r="AI10" s="68">
        <f xml:space="preserve"> ConFin!AI$86</f>
        <v>0</v>
      </c>
      <c r="AJ10" s="68">
        <f xml:space="preserve"> ConFin!AJ$86</f>
        <v>0</v>
      </c>
      <c r="AK10" s="68">
        <f xml:space="preserve"> ConFin!AK$86</f>
        <v>0</v>
      </c>
      <c r="AL10" s="68">
        <f xml:space="preserve"> ConFin!AL$86</f>
        <v>0</v>
      </c>
      <c r="AM10" s="68">
        <f xml:space="preserve"> ConFin!AM$86</f>
        <v>86318.253106861201</v>
      </c>
      <c r="AN10" s="68">
        <f xml:space="preserve"> ConFin!AN$86</f>
        <v>0</v>
      </c>
      <c r="AO10" s="68">
        <f xml:space="preserve"> ConFin!AO$86</f>
        <v>0</v>
      </c>
      <c r="AP10" s="68">
        <f xml:space="preserve"> ConFin!AP$86</f>
        <v>0</v>
      </c>
      <c r="AQ10" s="68">
        <f xml:space="preserve"> ConFin!AQ$86</f>
        <v>0</v>
      </c>
      <c r="AR10" s="68">
        <f xml:space="preserve"> ConFin!AR$86</f>
        <v>0</v>
      </c>
      <c r="AS10" s="68">
        <f xml:space="preserve"> ConFin!AS$86</f>
        <v>0</v>
      </c>
      <c r="AT10" s="68">
        <f xml:space="preserve"> ConFin!AT$86</f>
        <v>0</v>
      </c>
      <c r="AU10" s="68">
        <f xml:space="preserve"> ConFin!AU$86</f>
        <v>0</v>
      </c>
      <c r="AV10" s="68">
        <f xml:space="preserve"> ConFin!AV$86</f>
        <v>0</v>
      </c>
      <c r="AW10" s="68">
        <f xml:space="preserve"> ConFin!AW$86</f>
        <v>0</v>
      </c>
      <c r="AX10" s="68">
        <f xml:space="preserve"> ConFin!AX$86</f>
        <v>0</v>
      </c>
      <c r="AY10" s="68">
        <f xml:space="preserve"> ConFin!AY$86</f>
        <v>0</v>
      </c>
      <c r="AZ10" s="68">
        <f xml:space="preserve"> ConFin!AZ$86</f>
        <v>0</v>
      </c>
      <c r="BA10" s="68">
        <f xml:space="preserve"> ConFin!BA$86</f>
        <v>0</v>
      </c>
      <c r="BB10" s="68">
        <f xml:space="preserve"> ConFin!BB$86</f>
        <v>0</v>
      </c>
      <c r="BC10" s="68">
        <f xml:space="preserve"> ConFin!BC$86</f>
        <v>0</v>
      </c>
      <c r="BD10" s="68">
        <f xml:space="preserve"> ConFin!BD$86</f>
        <v>0</v>
      </c>
      <c r="BE10" s="68">
        <f xml:space="preserve"> ConFin!BE$86</f>
        <v>0</v>
      </c>
    </row>
    <row r="11" spans="1:306" s="577" customFormat="1" outlineLevel="1" x14ac:dyDescent="0.2">
      <c r="A11" s="818"/>
      <c r="B11" s="818"/>
      <c r="C11" s="819"/>
      <c r="D11" s="820"/>
      <c r="E11" s="760" t="str">
        <f xml:space="preserve"> ConFin!E$116</f>
        <v>Equity bridge drawdown - m</v>
      </c>
      <c r="F11" s="760">
        <f xml:space="preserve"> ConFin!F$116</f>
        <v>0</v>
      </c>
      <c r="G11" s="760" t="str">
        <f xml:space="preserve"> ConFin!G$116</f>
        <v>$ 000s</v>
      </c>
      <c r="H11" s="760">
        <f xml:space="preserve"> ConFin!H$116</f>
        <v>86318.253106861201</v>
      </c>
      <c r="I11" s="760">
        <f xml:space="preserve"> ConFin!I$116</f>
        <v>0</v>
      </c>
      <c r="J11" s="760">
        <f xml:space="preserve"> ConFin!J$116</f>
        <v>0</v>
      </c>
      <c r="K11" s="760">
        <f xml:space="preserve"> ConFin!K$116</f>
        <v>0</v>
      </c>
      <c r="L11" s="760">
        <f xml:space="preserve"> ConFin!L$116</f>
        <v>0</v>
      </c>
      <c r="M11" s="760">
        <f xml:space="preserve"> ConFin!M$116</f>
        <v>14843.424770244494</v>
      </c>
      <c r="N11" s="760">
        <f xml:space="preserve"> ConFin!N$116</f>
        <v>11841.327808384644</v>
      </c>
      <c r="O11" s="760">
        <f xml:space="preserve"> ConFin!O$116</f>
        <v>11870.259742712651</v>
      </c>
      <c r="P11" s="760">
        <f xml:space="preserve"> ConFin!P$116</f>
        <v>11907.687320687248</v>
      </c>
      <c r="Q11" s="760">
        <f xml:space="preserve"> ConFin!Q$116</f>
        <v>11941.012306690816</v>
      </c>
      <c r="R11" s="760">
        <f xml:space="preserve"> ConFin!R$116</f>
        <v>11966.998590891828</v>
      </c>
      <c r="S11" s="760">
        <f xml:space="preserve"> ConFin!S$116</f>
        <v>11947.542567249518</v>
      </c>
      <c r="T11" s="760">
        <f xml:space="preserve"> ConFin!T$116</f>
        <v>0</v>
      </c>
      <c r="U11" s="760">
        <f xml:space="preserve"> ConFin!U$116</f>
        <v>0</v>
      </c>
      <c r="V11" s="760">
        <f xml:space="preserve"> ConFin!V$116</f>
        <v>0</v>
      </c>
      <c r="W11" s="760">
        <f xml:space="preserve"> ConFin!W$116</f>
        <v>0</v>
      </c>
      <c r="X11" s="760">
        <f xml:space="preserve"> ConFin!X$116</f>
        <v>0</v>
      </c>
      <c r="Y11" s="760">
        <f xml:space="preserve"> ConFin!Y$116</f>
        <v>0</v>
      </c>
      <c r="Z11" s="760">
        <f xml:space="preserve"> ConFin!Z$116</f>
        <v>0</v>
      </c>
      <c r="AA11" s="760">
        <f xml:space="preserve"> ConFin!AA$116</f>
        <v>0</v>
      </c>
      <c r="AB11" s="760">
        <f xml:space="preserve"> ConFin!AB$116</f>
        <v>0</v>
      </c>
      <c r="AC11" s="760">
        <f xml:space="preserve"> ConFin!AC$116</f>
        <v>0</v>
      </c>
      <c r="AD11" s="760">
        <f xml:space="preserve"> ConFin!AD$116</f>
        <v>0</v>
      </c>
      <c r="AE11" s="760">
        <f xml:space="preserve"> ConFin!AE$116</f>
        <v>0</v>
      </c>
      <c r="AF11" s="760">
        <f xml:space="preserve"> ConFin!AF$116</f>
        <v>0</v>
      </c>
      <c r="AG11" s="760">
        <f xml:space="preserve"> ConFin!AG$116</f>
        <v>0</v>
      </c>
      <c r="AH11" s="760">
        <f xml:space="preserve"> ConFin!AH$116</f>
        <v>0</v>
      </c>
      <c r="AI11" s="760">
        <f xml:space="preserve"> ConFin!AI$116</f>
        <v>0</v>
      </c>
      <c r="AJ11" s="760">
        <f xml:space="preserve"> ConFin!AJ$116</f>
        <v>0</v>
      </c>
      <c r="AK11" s="760">
        <f xml:space="preserve"> ConFin!AK$116</f>
        <v>0</v>
      </c>
      <c r="AL11" s="760">
        <f xml:space="preserve"> ConFin!AL$116</f>
        <v>0</v>
      </c>
      <c r="AM11" s="760">
        <f xml:space="preserve"> ConFin!AM$116</f>
        <v>0</v>
      </c>
      <c r="AN11" s="760">
        <f xml:space="preserve"> ConFin!AN$116</f>
        <v>0</v>
      </c>
      <c r="AO11" s="760">
        <f xml:space="preserve"> ConFin!AO$116</f>
        <v>0</v>
      </c>
      <c r="AP11" s="760">
        <f xml:space="preserve"> ConFin!AP$116</f>
        <v>0</v>
      </c>
      <c r="AQ11" s="760">
        <f xml:space="preserve"> ConFin!AQ$116</f>
        <v>0</v>
      </c>
      <c r="AR11" s="760">
        <f xml:space="preserve"> ConFin!AR$116</f>
        <v>0</v>
      </c>
      <c r="AS11" s="760">
        <f xml:space="preserve"> ConFin!AS$116</f>
        <v>0</v>
      </c>
      <c r="AT11" s="760">
        <f xml:space="preserve"> ConFin!AT$116</f>
        <v>0</v>
      </c>
      <c r="AU11" s="760">
        <f xml:space="preserve"> ConFin!AU$116</f>
        <v>0</v>
      </c>
      <c r="AV11" s="760">
        <f xml:space="preserve"> ConFin!AV$116</f>
        <v>0</v>
      </c>
      <c r="AW11" s="760">
        <f xml:space="preserve"> ConFin!AW$116</f>
        <v>0</v>
      </c>
      <c r="AX11" s="760">
        <f xml:space="preserve"> ConFin!AX$116</f>
        <v>0</v>
      </c>
      <c r="AY11" s="760">
        <f xml:space="preserve"> ConFin!AY$116</f>
        <v>0</v>
      </c>
      <c r="AZ11" s="760">
        <f xml:space="preserve"> ConFin!AZ$116</f>
        <v>0</v>
      </c>
      <c r="BA11" s="760">
        <f xml:space="preserve"> ConFin!BA$116</f>
        <v>0</v>
      </c>
      <c r="BB11" s="760">
        <f xml:space="preserve"> ConFin!BB$116</f>
        <v>0</v>
      </c>
      <c r="BC11" s="760">
        <f xml:space="preserve"> ConFin!BC$116</f>
        <v>0</v>
      </c>
      <c r="BD11" s="760">
        <f xml:space="preserve"> ConFin!BD$116</f>
        <v>0</v>
      </c>
      <c r="BE11" s="760">
        <f xml:space="preserve"> ConFin!BE$116</f>
        <v>0</v>
      </c>
    </row>
    <row r="12" spans="1:306" s="191" customFormat="1" outlineLevel="1" x14ac:dyDescent="0.2">
      <c r="A12" s="236"/>
      <c r="B12" s="236"/>
      <c r="C12" s="237"/>
      <c r="D12" s="238"/>
      <c r="E12" s="68" t="str">
        <f xml:space="preserve"> ConFin!E$255</f>
        <v>Standby equity drawdown - m</v>
      </c>
      <c r="F12" s="68">
        <f xml:space="preserve"> ConFin!F$255</f>
        <v>0</v>
      </c>
      <c r="G12" s="68" t="str">
        <f xml:space="preserve"> ConFin!G$255</f>
        <v>$ 000s</v>
      </c>
      <c r="H12" s="68">
        <f xml:space="preserve"> ConFin!H$255</f>
        <v>0</v>
      </c>
      <c r="I12" s="68">
        <f xml:space="preserve"> ConFin!I$255</f>
        <v>0</v>
      </c>
      <c r="J12" s="68">
        <f xml:space="preserve"> ConFin!J$255</f>
        <v>0</v>
      </c>
      <c r="K12" s="68">
        <f xml:space="preserve"> ConFin!K$255</f>
        <v>0</v>
      </c>
      <c r="L12" s="68">
        <f xml:space="preserve"> ConFin!L$255</f>
        <v>0</v>
      </c>
      <c r="M12" s="68">
        <f xml:space="preserve"> ConFin!M$255</f>
        <v>0</v>
      </c>
      <c r="N12" s="68">
        <f xml:space="preserve"> ConFin!N$255</f>
        <v>0</v>
      </c>
      <c r="O12" s="68">
        <f xml:space="preserve"> ConFin!O$255</f>
        <v>0</v>
      </c>
      <c r="P12" s="68">
        <f xml:space="preserve"> ConFin!P$255</f>
        <v>0</v>
      </c>
      <c r="Q12" s="68">
        <f xml:space="preserve"> ConFin!Q$255</f>
        <v>0</v>
      </c>
      <c r="R12" s="68">
        <f xml:space="preserve"> ConFin!R$255</f>
        <v>0</v>
      </c>
      <c r="S12" s="68">
        <f xml:space="preserve"> ConFin!S$255</f>
        <v>0</v>
      </c>
      <c r="T12" s="68">
        <f xml:space="preserve"> ConFin!T$255</f>
        <v>0</v>
      </c>
      <c r="U12" s="68">
        <f xml:space="preserve"> ConFin!U$255</f>
        <v>0</v>
      </c>
      <c r="V12" s="68">
        <f xml:space="preserve"> ConFin!V$255</f>
        <v>0</v>
      </c>
      <c r="W12" s="68">
        <f xml:space="preserve"> ConFin!W$255</f>
        <v>0</v>
      </c>
      <c r="X12" s="68">
        <f xml:space="preserve"> ConFin!X$255</f>
        <v>0</v>
      </c>
      <c r="Y12" s="68">
        <f xml:space="preserve"> ConFin!Y$255</f>
        <v>0</v>
      </c>
      <c r="Z12" s="68">
        <f xml:space="preserve"> ConFin!Z$255</f>
        <v>0</v>
      </c>
      <c r="AA12" s="68">
        <f xml:space="preserve"> ConFin!AA$255</f>
        <v>0</v>
      </c>
      <c r="AB12" s="68">
        <f xml:space="preserve"> ConFin!AB$255</f>
        <v>0</v>
      </c>
      <c r="AC12" s="68">
        <f xml:space="preserve"> ConFin!AC$255</f>
        <v>0</v>
      </c>
      <c r="AD12" s="68">
        <f xml:space="preserve"> ConFin!AD$255</f>
        <v>0</v>
      </c>
      <c r="AE12" s="68">
        <f xml:space="preserve"> ConFin!AE$255</f>
        <v>0</v>
      </c>
      <c r="AF12" s="68">
        <f xml:space="preserve"> ConFin!AF$255</f>
        <v>0</v>
      </c>
      <c r="AG12" s="68">
        <f xml:space="preserve"> ConFin!AG$255</f>
        <v>0</v>
      </c>
      <c r="AH12" s="68">
        <f xml:space="preserve"> ConFin!AH$255</f>
        <v>0</v>
      </c>
      <c r="AI12" s="68">
        <f xml:space="preserve"> ConFin!AI$255</f>
        <v>0</v>
      </c>
      <c r="AJ12" s="68">
        <f xml:space="preserve"> ConFin!AJ$255</f>
        <v>0</v>
      </c>
      <c r="AK12" s="68">
        <f xml:space="preserve"> ConFin!AK$255</f>
        <v>0</v>
      </c>
      <c r="AL12" s="68">
        <f xml:space="preserve"> ConFin!AL$255</f>
        <v>0</v>
      </c>
      <c r="AM12" s="68">
        <f xml:space="preserve"> ConFin!AM$255</f>
        <v>0</v>
      </c>
      <c r="AN12" s="68">
        <f xml:space="preserve"> ConFin!AN$255</f>
        <v>0</v>
      </c>
      <c r="AO12" s="68">
        <f xml:space="preserve"> ConFin!AO$255</f>
        <v>0</v>
      </c>
      <c r="AP12" s="68">
        <f xml:space="preserve"> ConFin!AP$255</f>
        <v>0</v>
      </c>
      <c r="AQ12" s="68">
        <f xml:space="preserve"> ConFin!AQ$255</f>
        <v>0</v>
      </c>
      <c r="AR12" s="68">
        <f xml:space="preserve"> ConFin!AR$255</f>
        <v>0</v>
      </c>
      <c r="AS12" s="68">
        <f xml:space="preserve"> ConFin!AS$255</f>
        <v>0</v>
      </c>
      <c r="AT12" s="68">
        <f xml:space="preserve"> ConFin!AT$255</f>
        <v>0</v>
      </c>
      <c r="AU12" s="68">
        <f xml:space="preserve"> ConFin!AU$255</f>
        <v>0</v>
      </c>
      <c r="AV12" s="68">
        <f xml:space="preserve"> ConFin!AV$255</f>
        <v>0</v>
      </c>
      <c r="AW12" s="68">
        <f xml:space="preserve"> ConFin!AW$255</f>
        <v>0</v>
      </c>
      <c r="AX12" s="68">
        <f xml:space="preserve"> ConFin!AX$255</f>
        <v>0</v>
      </c>
      <c r="AY12" s="68">
        <f xml:space="preserve"> ConFin!AY$255</f>
        <v>0</v>
      </c>
      <c r="AZ12" s="68">
        <f xml:space="preserve"> ConFin!AZ$255</f>
        <v>0</v>
      </c>
      <c r="BA12" s="68">
        <f xml:space="preserve"> ConFin!BA$255</f>
        <v>0</v>
      </c>
      <c r="BB12" s="68">
        <f xml:space="preserve"> ConFin!BB$255</f>
        <v>0</v>
      </c>
      <c r="BC12" s="68">
        <f xml:space="preserve"> ConFin!BC$255</f>
        <v>0</v>
      </c>
      <c r="BD12" s="68">
        <f xml:space="preserve"> ConFin!BD$255</f>
        <v>0</v>
      </c>
      <c r="BE12" s="68">
        <f xml:space="preserve"> ConFin!BE$255</f>
        <v>0</v>
      </c>
    </row>
    <row r="13" spans="1:306" outlineLevel="1" x14ac:dyDescent="0.2">
      <c r="E13" s="68" t="str">
        <f xml:space="preserve"> ConFin!E$343</f>
        <v>Construction debt drawdown - m</v>
      </c>
      <c r="F13" s="68">
        <f xml:space="preserve"> ConFin!F$343</f>
        <v>0</v>
      </c>
      <c r="G13" s="68" t="str">
        <f xml:space="preserve"> ConFin!G$343</f>
        <v>$ 000s</v>
      </c>
      <c r="H13" s="68">
        <f xml:space="preserve"> ConFin!H$343</f>
        <v>250389.85226030689</v>
      </c>
      <c r="I13" s="68">
        <f xml:space="preserve"> ConFin!I$343</f>
        <v>0</v>
      </c>
      <c r="J13" s="68">
        <f xml:space="preserve"> ConFin!J$343</f>
        <v>0</v>
      </c>
      <c r="K13" s="68">
        <f xml:space="preserve"> ConFin!K$343</f>
        <v>0</v>
      </c>
      <c r="L13" s="68">
        <f xml:space="preserve"> ConFin!L$343</f>
        <v>0</v>
      </c>
      <c r="M13" s="68">
        <f xml:space="preserve"> ConFin!M$343</f>
        <v>0</v>
      </c>
      <c r="N13" s="68">
        <f xml:space="preserve"> ConFin!N$343</f>
        <v>0</v>
      </c>
      <c r="O13" s="68">
        <f xml:space="preserve"> ConFin!O$343</f>
        <v>0</v>
      </c>
      <c r="P13" s="68">
        <f xml:space="preserve"> ConFin!P$343</f>
        <v>0</v>
      </c>
      <c r="Q13" s="68">
        <f xml:space="preserve"> ConFin!Q$343</f>
        <v>0</v>
      </c>
      <c r="R13" s="68">
        <f xml:space="preserve"> ConFin!R$343</f>
        <v>0</v>
      </c>
      <c r="S13" s="68">
        <f xml:space="preserve"> ConFin!S$343</f>
        <v>60.378964305980844</v>
      </c>
      <c r="T13" s="68">
        <f xml:space="preserve"> ConFin!T$343</f>
        <v>12031.934187437519</v>
      </c>
      <c r="U13" s="68">
        <f xml:space="preserve"> ConFin!U$343</f>
        <v>12076.190635536972</v>
      </c>
      <c r="V13" s="68">
        <f xml:space="preserve"> ConFin!V$343</f>
        <v>12110.976773522409</v>
      </c>
      <c r="W13" s="68">
        <f xml:space="preserve"> ConFin!W$343</f>
        <v>12104.694875399815</v>
      </c>
      <c r="X13" s="68">
        <f xml:space="preserve"> ConFin!X$343</f>
        <v>12180.731360946033</v>
      </c>
      <c r="Y13" s="68">
        <f xml:space="preserve"> ConFin!Y$343</f>
        <v>12199.330047588888</v>
      </c>
      <c r="Z13" s="68">
        <f xml:space="preserve"> ConFin!Z$343</f>
        <v>12250.959482205111</v>
      </c>
      <c r="AA13" s="68">
        <f xml:space="preserve"> ConFin!AA$343</f>
        <v>12266.975848549024</v>
      </c>
      <c r="AB13" s="68">
        <f xml:space="preserve"> ConFin!AB$343</f>
        <v>12321.584756958357</v>
      </c>
      <c r="AC13" s="68">
        <f xml:space="preserve"> ConFin!AC$343</f>
        <v>12357.077766346292</v>
      </c>
      <c r="AD13" s="68">
        <f xml:space="preserve"> ConFin!AD$343</f>
        <v>12369.192114605235</v>
      </c>
      <c r="AE13" s="68">
        <f xml:space="preserve"> ConFin!AE$343</f>
        <v>12428.303160347879</v>
      </c>
      <c r="AF13" s="68">
        <f xml:space="preserve"> ConFin!AF$343</f>
        <v>12437.798518130739</v>
      </c>
      <c r="AG13" s="68">
        <f xml:space="preserve"> ConFin!AG$343</f>
        <v>12499.931347612244</v>
      </c>
      <c r="AH13" s="68">
        <f xml:space="preserve"> ConFin!AH$343</f>
        <v>10545.938094264708</v>
      </c>
      <c r="AI13" s="68">
        <f xml:space="preserve"> ConFin!AI$343</f>
        <v>10515.623743976959</v>
      </c>
      <c r="AJ13" s="68">
        <f xml:space="preserve"> ConFin!AJ$343</f>
        <v>10606.607093158804</v>
      </c>
      <c r="AK13" s="68">
        <f xml:space="preserve"> ConFin!AK$343</f>
        <v>10604.408171304991</v>
      </c>
      <c r="AL13" s="68">
        <f xml:space="preserve"> ConFin!AL$343</f>
        <v>10667.706600951156</v>
      </c>
      <c r="AM13" s="68">
        <f xml:space="preserve"> ConFin!AM$343</f>
        <v>25753.508717157791</v>
      </c>
      <c r="AN13" s="68">
        <f xml:space="preserve"> ConFin!AN$343</f>
        <v>0</v>
      </c>
      <c r="AO13" s="68">
        <f xml:space="preserve"> ConFin!AO$343</f>
        <v>0</v>
      </c>
      <c r="AP13" s="68">
        <f xml:space="preserve"> ConFin!AP$343</f>
        <v>0</v>
      </c>
      <c r="AQ13" s="68">
        <f xml:space="preserve"> ConFin!AQ$343</f>
        <v>0</v>
      </c>
      <c r="AR13" s="68">
        <f xml:space="preserve"> ConFin!AR$343</f>
        <v>0</v>
      </c>
      <c r="AS13" s="68">
        <f xml:space="preserve"> ConFin!AS$343</f>
        <v>0</v>
      </c>
      <c r="AT13" s="68">
        <f xml:space="preserve"> ConFin!AT$343</f>
        <v>0</v>
      </c>
      <c r="AU13" s="68">
        <f xml:space="preserve"> ConFin!AU$343</f>
        <v>0</v>
      </c>
      <c r="AV13" s="68">
        <f xml:space="preserve"> ConFin!AV$343</f>
        <v>0</v>
      </c>
      <c r="AW13" s="68">
        <f xml:space="preserve"> ConFin!AW$343</f>
        <v>0</v>
      </c>
      <c r="AX13" s="68">
        <f xml:space="preserve"> ConFin!AX$343</f>
        <v>0</v>
      </c>
      <c r="AY13" s="68">
        <f xml:space="preserve"> ConFin!AY$343</f>
        <v>0</v>
      </c>
      <c r="AZ13" s="68">
        <f xml:space="preserve"> ConFin!AZ$343</f>
        <v>0</v>
      </c>
      <c r="BA13" s="68">
        <f xml:space="preserve"> ConFin!BA$343</f>
        <v>0</v>
      </c>
      <c r="BB13" s="68">
        <f xml:space="preserve"> ConFin!BB$343</f>
        <v>0</v>
      </c>
      <c r="BC13" s="68">
        <f xml:space="preserve"> ConFin!BC$343</f>
        <v>0</v>
      </c>
      <c r="BD13" s="68">
        <f xml:space="preserve"> ConFin!BD$343</f>
        <v>0</v>
      </c>
      <c r="BE13" s="68">
        <f xml:space="preserve"> ConFin!BE$343</f>
        <v>0</v>
      </c>
    </row>
    <row r="14" spans="1:306" outlineLevel="1" x14ac:dyDescent="0.2">
      <c r="E14" s="68" t="str">
        <f xml:space="preserve"> ConFin!E$500</f>
        <v>Standby debt drawdown</v>
      </c>
      <c r="F14" s="68">
        <f xml:space="preserve"> ConFin!F$500</f>
        <v>0</v>
      </c>
      <c r="G14" s="68" t="str">
        <f xml:space="preserve"> ConFin!G$500</f>
        <v>$ 000s</v>
      </c>
      <c r="H14" s="68">
        <f xml:space="preserve"> ConFin!H$500</f>
        <v>0</v>
      </c>
      <c r="I14" s="68">
        <f xml:space="preserve"> ConFin!I$500</f>
        <v>0</v>
      </c>
      <c r="J14" s="68">
        <f xml:space="preserve"> ConFin!J$500</f>
        <v>0</v>
      </c>
      <c r="K14" s="68">
        <f xml:space="preserve"> ConFin!K$500</f>
        <v>0</v>
      </c>
      <c r="L14" s="68">
        <f xml:space="preserve"> ConFin!L$500</f>
        <v>0</v>
      </c>
      <c r="M14" s="68">
        <f xml:space="preserve"> ConFin!M$500</f>
        <v>0</v>
      </c>
      <c r="N14" s="68">
        <f xml:space="preserve"> ConFin!N$500</f>
        <v>0</v>
      </c>
      <c r="O14" s="68">
        <f xml:space="preserve"> ConFin!O$500</f>
        <v>0</v>
      </c>
      <c r="P14" s="68">
        <f xml:space="preserve"> ConFin!P$500</f>
        <v>0</v>
      </c>
      <c r="Q14" s="68">
        <f xml:space="preserve"> ConFin!Q$500</f>
        <v>0</v>
      </c>
      <c r="R14" s="68">
        <f xml:space="preserve"> ConFin!R$500</f>
        <v>0</v>
      </c>
      <c r="S14" s="68">
        <f xml:space="preserve"> ConFin!S$500</f>
        <v>0</v>
      </c>
      <c r="T14" s="68">
        <f xml:space="preserve"> ConFin!T$500</f>
        <v>0</v>
      </c>
      <c r="U14" s="68">
        <f xml:space="preserve"> ConFin!U$500</f>
        <v>0</v>
      </c>
      <c r="V14" s="68">
        <f xml:space="preserve"> ConFin!V$500</f>
        <v>0</v>
      </c>
      <c r="W14" s="68">
        <f xml:space="preserve"> ConFin!W$500</f>
        <v>0</v>
      </c>
      <c r="X14" s="68">
        <f xml:space="preserve"> ConFin!X$500</f>
        <v>0</v>
      </c>
      <c r="Y14" s="68">
        <f xml:space="preserve"> ConFin!Y$500</f>
        <v>0</v>
      </c>
      <c r="Z14" s="68">
        <f xml:space="preserve"> ConFin!Z$500</f>
        <v>0</v>
      </c>
      <c r="AA14" s="68">
        <f xml:space="preserve"> ConFin!AA$500</f>
        <v>0</v>
      </c>
      <c r="AB14" s="68">
        <f xml:space="preserve"> ConFin!AB$500</f>
        <v>0</v>
      </c>
      <c r="AC14" s="68">
        <f xml:space="preserve"> ConFin!AC$500</f>
        <v>0</v>
      </c>
      <c r="AD14" s="68">
        <f xml:space="preserve"> ConFin!AD$500</f>
        <v>0</v>
      </c>
      <c r="AE14" s="68">
        <f xml:space="preserve"> ConFin!AE$500</f>
        <v>0</v>
      </c>
      <c r="AF14" s="68">
        <f xml:space="preserve"> ConFin!AF$500</f>
        <v>0</v>
      </c>
      <c r="AG14" s="68">
        <f xml:space="preserve"> ConFin!AG$500</f>
        <v>0</v>
      </c>
      <c r="AH14" s="68">
        <f xml:space="preserve"> ConFin!AH$500</f>
        <v>0</v>
      </c>
      <c r="AI14" s="68">
        <f xml:space="preserve"> ConFin!AI$500</f>
        <v>0</v>
      </c>
      <c r="AJ14" s="68">
        <f xml:space="preserve"> ConFin!AJ$500</f>
        <v>0</v>
      </c>
      <c r="AK14" s="68">
        <f xml:space="preserve"> ConFin!AK$500</f>
        <v>0</v>
      </c>
      <c r="AL14" s="68">
        <f xml:space="preserve"> ConFin!AL$500</f>
        <v>0</v>
      </c>
      <c r="AM14" s="68">
        <f xml:space="preserve"> ConFin!AM$500</f>
        <v>0</v>
      </c>
      <c r="AN14" s="68">
        <f xml:space="preserve"> ConFin!AN$500</f>
        <v>0</v>
      </c>
      <c r="AO14" s="68">
        <f xml:space="preserve"> ConFin!AO$500</f>
        <v>0</v>
      </c>
      <c r="AP14" s="68">
        <f xml:space="preserve"> ConFin!AP$500</f>
        <v>0</v>
      </c>
      <c r="AQ14" s="68">
        <f xml:space="preserve"> ConFin!AQ$500</f>
        <v>0</v>
      </c>
      <c r="AR14" s="68">
        <f xml:space="preserve"> ConFin!AR$500</f>
        <v>0</v>
      </c>
      <c r="AS14" s="68">
        <f xml:space="preserve"> ConFin!AS$500</f>
        <v>0</v>
      </c>
      <c r="AT14" s="68">
        <f xml:space="preserve"> ConFin!AT$500</f>
        <v>0</v>
      </c>
      <c r="AU14" s="68">
        <f xml:space="preserve"> ConFin!AU$500</f>
        <v>0</v>
      </c>
      <c r="AV14" s="68">
        <f xml:space="preserve"> ConFin!AV$500</f>
        <v>0</v>
      </c>
      <c r="AW14" s="68">
        <f xml:space="preserve"> ConFin!AW$500</f>
        <v>0</v>
      </c>
      <c r="AX14" s="68">
        <f xml:space="preserve"> ConFin!AX$500</f>
        <v>0</v>
      </c>
      <c r="AY14" s="68">
        <f xml:space="preserve"> ConFin!AY$500</f>
        <v>0</v>
      </c>
      <c r="AZ14" s="68">
        <f xml:space="preserve"> ConFin!AZ$500</f>
        <v>0</v>
      </c>
      <c r="BA14" s="68">
        <f xml:space="preserve"> ConFin!BA$500</f>
        <v>0</v>
      </c>
      <c r="BB14" s="68">
        <f xml:space="preserve"> ConFin!BB$500</f>
        <v>0</v>
      </c>
      <c r="BC14" s="68">
        <f xml:space="preserve"> ConFin!BC$500</f>
        <v>0</v>
      </c>
      <c r="BD14" s="68">
        <f xml:space="preserve"> ConFin!BD$500</f>
        <v>0</v>
      </c>
      <c r="BE14" s="68">
        <f xml:space="preserve"> ConFin!BE$500</f>
        <v>0</v>
      </c>
    </row>
    <row r="15" spans="1:306" outlineLevel="1" x14ac:dyDescent="0.2">
      <c r="E15" s="68" t="str">
        <f xml:space="preserve"> ConCost!E$218</f>
        <v>Net cash during EGR period</v>
      </c>
      <c r="F15" s="68">
        <f xml:space="preserve"> ConCost!F$218</f>
        <v>0</v>
      </c>
      <c r="G15" s="68" t="str">
        <f xml:space="preserve"> ConCost!G$218</f>
        <v>$ 000s</v>
      </c>
      <c r="H15" s="68">
        <f xml:space="preserve"> ConCost!H$218</f>
        <v>11940</v>
      </c>
      <c r="I15" s="68">
        <f xml:space="preserve"> ConCost!I$218</f>
        <v>0</v>
      </c>
      <c r="J15" s="68">
        <f xml:space="preserve"> ConCost!J$218</f>
        <v>0</v>
      </c>
      <c r="K15" s="68">
        <f xml:space="preserve"> ConCost!K$218</f>
        <v>0</v>
      </c>
      <c r="L15" s="68">
        <f xml:space="preserve"> ConCost!L$218</f>
        <v>0</v>
      </c>
      <c r="M15" s="68">
        <f xml:space="preserve"> ConCost!M$218</f>
        <v>0</v>
      </c>
      <c r="N15" s="68">
        <f xml:space="preserve"> ConCost!N$218</f>
        <v>0</v>
      </c>
      <c r="O15" s="68">
        <f xml:space="preserve"> ConCost!O$218</f>
        <v>0</v>
      </c>
      <c r="P15" s="68">
        <f xml:space="preserve"> ConCost!P$218</f>
        <v>0</v>
      </c>
      <c r="Q15" s="68">
        <f xml:space="preserve"> ConCost!Q$218</f>
        <v>0</v>
      </c>
      <c r="R15" s="68">
        <f xml:space="preserve"> ConCost!R$218</f>
        <v>0</v>
      </c>
      <c r="S15" s="68">
        <f xml:space="preserve"> ConCost!S$218</f>
        <v>0</v>
      </c>
      <c r="T15" s="68">
        <f xml:space="preserve"> ConCost!T$218</f>
        <v>0</v>
      </c>
      <c r="U15" s="68">
        <f xml:space="preserve"> ConCost!U$218</f>
        <v>0</v>
      </c>
      <c r="V15" s="68">
        <f xml:space="preserve"> ConCost!V$218</f>
        <v>0</v>
      </c>
      <c r="W15" s="68">
        <f xml:space="preserve"> ConCost!W$218</f>
        <v>0</v>
      </c>
      <c r="X15" s="68">
        <f xml:space="preserve"> ConCost!X$218</f>
        <v>0</v>
      </c>
      <c r="Y15" s="68">
        <f xml:space="preserve"> ConCost!Y$218</f>
        <v>0</v>
      </c>
      <c r="Z15" s="68">
        <f xml:space="preserve"> ConCost!Z$218</f>
        <v>0</v>
      </c>
      <c r="AA15" s="68">
        <f xml:space="preserve"> ConCost!AA$218</f>
        <v>0</v>
      </c>
      <c r="AB15" s="68">
        <f xml:space="preserve"> ConCost!AB$218</f>
        <v>0</v>
      </c>
      <c r="AC15" s="68">
        <f xml:space="preserve"> ConCost!AC$218</f>
        <v>0</v>
      </c>
      <c r="AD15" s="68">
        <f xml:space="preserve"> ConCost!AD$218</f>
        <v>0</v>
      </c>
      <c r="AE15" s="68">
        <f xml:space="preserve"> ConCost!AE$218</f>
        <v>0</v>
      </c>
      <c r="AF15" s="68">
        <f xml:space="preserve"> ConCost!AF$218</f>
        <v>0</v>
      </c>
      <c r="AG15" s="68">
        <f xml:space="preserve"> ConCost!AG$218</f>
        <v>0</v>
      </c>
      <c r="AH15" s="68">
        <f xml:space="preserve"> ConCost!AH$218</f>
        <v>1990</v>
      </c>
      <c r="AI15" s="68">
        <f xml:space="preserve"> ConCost!AI$218</f>
        <v>1990</v>
      </c>
      <c r="AJ15" s="68">
        <f xml:space="preserve"> ConCost!AJ$218</f>
        <v>1990</v>
      </c>
      <c r="AK15" s="68">
        <f xml:space="preserve"> ConCost!AK$218</f>
        <v>1990</v>
      </c>
      <c r="AL15" s="68">
        <f xml:space="preserve"> ConCost!AL$218</f>
        <v>1990</v>
      </c>
      <c r="AM15" s="68">
        <f xml:space="preserve"> ConCost!AM$218</f>
        <v>1990</v>
      </c>
      <c r="AN15" s="68">
        <f xml:space="preserve"> ConCost!AN$218</f>
        <v>0</v>
      </c>
      <c r="AO15" s="68">
        <f xml:space="preserve"> ConCost!AO$218</f>
        <v>0</v>
      </c>
      <c r="AP15" s="68">
        <f xml:space="preserve"> ConCost!AP$218</f>
        <v>0</v>
      </c>
      <c r="AQ15" s="68">
        <f xml:space="preserve"> ConCost!AQ$218</f>
        <v>0</v>
      </c>
      <c r="AR15" s="68">
        <f xml:space="preserve"> ConCost!AR$218</f>
        <v>0</v>
      </c>
      <c r="AS15" s="68">
        <f xml:space="preserve"> ConCost!AS$218</f>
        <v>0</v>
      </c>
      <c r="AT15" s="68">
        <f xml:space="preserve"> ConCost!AT$218</f>
        <v>0</v>
      </c>
      <c r="AU15" s="68">
        <f xml:space="preserve"> ConCost!AU$218</f>
        <v>0</v>
      </c>
      <c r="AV15" s="68">
        <f xml:space="preserve"> ConCost!AV$218</f>
        <v>0</v>
      </c>
      <c r="AW15" s="68">
        <f xml:space="preserve"> ConCost!AW$218</f>
        <v>0</v>
      </c>
      <c r="AX15" s="68">
        <f xml:space="preserve"> ConCost!AX$218</f>
        <v>0</v>
      </c>
      <c r="AY15" s="68">
        <f xml:space="preserve"> ConCost!AY$218</f>
        <v>0</v>
      </c>
      <c r="AZ15" s="68">
        <f xml:space="preserve"> ConCost!AZ$218</f>
        <v>0</v>
      </c>
      <c r="BA15" s="68">
        <f xml:space="preserve"> ConCost!BA$218</f>
        <v>0</v>
      </c>
      <c r="BB15" s="68">
        <f xml:space="preserve"> ConCost!BB$218</f>
        <v>0</v>
      </c>
      <c r="BC15" s="68">
        <f xml:space="preserve"> ConCost!BC$218</f>
        <v>0</v>
      </c>
      <c r="BD15" s="68">
        <f xml:space="preserve"> ConCost!BD$218</f>
        <v>0</v>
      </c>
      <c r="BE15" s="68">
        <f xml:space="preserve"> ConCost!BE$218</f>
        <v>0</v>
      </c>
    </row>
    <row r="16" spans="1:306" outlineLevel="1" x14ac:dyDescent="0.2">
      <c r="E16" s="491" t="s">
        <v>250</v>
      </c>
      <c r="F16" s="491"/>
      <c r="G16" s="491" t="str">
        <f xml:space="preserve"> SMU</f>
        <v>$ 000s</v>
      </c>
      <c r="H16" s="491">
        <f xml:space="preserve"> SUM(J16:BE16)</f>
        <v>435066.35847402923</v>
      </c>
      <c r="I16" s="233"/>
      <c r="J16" s="491">
        <f t="shared" ref="J16:BE16" si="0">SUM(J9:J15)</f>
        <v>0</v>
      </c>
      <c r="K16" s="491">
        <f t="shared" si="0"/>
        <v>0</v>
      </c>
      <c r="L16" s="491">
        <f t="shared" si="0"/>
        <v>0</v>
      </c>
      <c r="M16" s="491">
        <f t="shared" si="0"/>
        <v>14943.424770244494</v>
      </c>
      <c r="N16" s="491">
        <f t="shared" si="0"/>
        <v>11841.327808384644</v>
      </c>
      <c r="O16" s="491">
        <f t="shared" si="0"/>
        <v>11870.259742712651</v>
      </c>
      <c r="P16" s="491">
        <f t="shared" si="0"/>
        <v>11907.687320687248</v>
      </c>
      <c r="Q16" s="491">
        <f t="shared" si="0"/>
        <v>11941.012306690816</v>
      </c>
      <c r="R16" s="491">
        <f t="shared" si="0"/>
        <v>11966.998590891828</v>
      </c>
      <c r="S16" s="491">
        <f t="shared" si="0"/>
        <v>12007.921531555499</v>
      </c>
      <c r="T16" s="491">
        <f t="shared" si="0"/>
        <v>12031.934187437519</v>
      </c>
      <c r="U16" s="491">
        <f t="shared" si="0"/>
        <v>12076.190635536972</v>
      </c>
      <c r="V16" s="491">
        <f t="shared" si="0"/>
        <v>12110.976773522409</v>
      </c>
      <c r="W16" s="491">
        <f t="shared" si="0"/>
        <v>12104.694875399815</v>
      </c>
      <c r="X16" s="491">
        <f t="shared" si="0"/>
        <v>12180.731360946033</v>
      </c>
      <c r="Y16" s="491">
        <f t="shared" si="0"/>
        <v>12199.330047588888</v>
      </c>
      <c r="Z16" s="491">
        <f t="shared" si="0"/>
        <v>12250.959482205111</v>
      </c>
      <c r="AA16" s="491">
        <f t="shared" si="0"/>
        <v>12266.975848549024</v>
      </c>
      <c r="AB16" s="491">
        <f t="shared" si="0"/>
        <v>12321.584756958357</v>
      </c>
      <c r="AC16" s="491">
        <f t="shared" si="0"/>
        <v>12357.077766346292</v>
      </c>
      <c r="AD16" s="491">
        <f t="shared" si="0"/>
        <v>12369.192114605235</v>
      </c>
      <c r="AE16" s="491">
        <f t="shared" si="0"/>
        <v>12428.303160347879</v>
      </c>
      <c r="AF16" s="491">
        <f t="shared" si="0"/>
        <v>12437.798518130739</v>
      </c>
      <c r="AG16" s="491">
        <f t="shared" si="0"/>
        <v>12499.931347612244</v>
      </c>
      <c r="AH16" s="491">
        <f t="shared" si="0"/>
        <v>12535.938094264708</v>
      </c>
      <c r="AI16" s="491">
        <f t="shared" si="0"/>
        <v>12505.623743976959</v>
      </c>
      <c r="AJ16" s="491">
        <f t="shared" si="0"/>
        <v>12596.607093158804</v>
      </c>
      <c r="AK16" s="491">
        <f t="shared" si="0"/>
        <v>12594.408171304991</v>
      </c>
      <c r="AL16" s="491">
        <f t="shared" si="0"/>
        <v>12657.706600951156</v>
      </c>
      <c r="AM16" s="491">
        <f t="shared" si="0"/>
        <v>114061.76182401899</v>
      </c>
      <c r="AN16" s="491">
        <f t="shared" si="0"/>
        <v>0</v>
      </c>
      <c r="AO16" s="491">
        <f t="shared" si="0"/>
        <v>0</v>
      </c>
      <c r="AP16" s="491">
        <f t="shared" si="0"/>
        <v>0</v>
      </c>
      <c r="AQ16" s="491">
        <f t="shared" si="0"/>
        <v>0</v>
      </c>
      <c r="AR16" s="491">
        <f t="shared" si="0"/>
        <v>0</v>
      </c>
      <c r="AS16" s="491">
        <f t="shared" si="0"/>
        <v>0</v>
      </c>
      <c r="AT16" s="491">
        <f t="shared" si="0"/>
        <v>0</v>
      </c>
      <c r="AU16" s="491">
        <f t="shared" si="0"/>
        <v>0</v>
      </c>
      <c r="AV16" s="491">
        <f t="shared" si="0"/>
        <v>0</v>
      </c>
      <c r="AW16" s="491">
        <f t="shared" si="0"/>
        <v>0</v>
      </c>
      <c r="AX16" s="491">
        <f t="shared" si="0"/>
        <v>0</v>
      </c>
      <c r="AY16" s="491">
        <f t="shared" si="0"/>
        <v>0</v>
      </c>
      <c r="AZ16" s="491">
        <f t="shared" si="0"/>
        <v>0</v>
      </c>
      <c r="BA16" s="491">
        <f t="shared" si="0"/>
        <v>0</v>
      </c>
      <c r="BB16" s="491">
        <f t="shared" si="0"/>
        <v>0</v>
      </c>
      <c r="BC16" s="491">
        <f t="shared" si="0"/>
        <v>0</v>
      </c>
      <c r="BD16" s="491">
        <f t="shared" si="0"/>
        <v>0</v>
      </c>
      <c r="BE16" s="491">
        <f t="shared" si="0"/>
        <v>0</v>
      </c>
    </row>
    <row r="17" spans="1:306" outlineLevel="1" x14ac:dyDescent="0.2"/>
    <row r="18" spans="1:306" x14ac:dyDescent="0.2"/>
    <row r="19" spans="1:306" x14ac:dyDescent="0.2">
      <c r="A19" s="15" t="s">
        <v>249</v>
      </c>
    </row>
    <row r="20" spans="1:306" s="38" customFormat="1" outlineLevel="1" x14ac:dyDescent="0.2">
      <c r="A20" s="15"/>
      <c r="B20" s="15"/>
      <c r="C20" s="21"/>
      <c r="D20" s="48"/>
      <c r="E20" s="12"/>
      <c r="F20" s="12"/>
      <c r="G20" s="12"/>
      <c r="H20" s="12"/>
      <c r="I20" s="9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</row>
    <row r="21" spans="1:306" s="495" customFormat="1" outlineLevel="1" x14ac:dyDescent="0.2">
      <c r="A21" s="15"/>
      <c r="B21" s="15"/>
      <c r="C21" s="21"/>
      <c r="D21" s="48"/>
      <c r="E21" s="68" t="str">
        <f xml:space="preserve"> ConCost!E$17</f>
        <v>EPC base cost including overrun</v>
      </c>
      <c r="F21" s="68">
        <f xml:space="preserve"> ConCost!F$17</f>
        <v>0</v>
      </c>
      <c r="G21" s="68" t="str">
        <f xml:space="preserve"> ConCost!G$17</f>
        <v>$ 000s</v>
      </c>
      <c r="H21" s="68">
        <f xml:space="preserve"> ConCost!H$17</f>
        <v>300000</v>
      </c>
      <c r="I21" s="68">
        <f xml:space="preserve"> ConCost!I$17</f>
        <v>0</v>
      </c>
      <c r="J21" s="68">
        <f xml:space="preserve"> ConCost!J$17</f>
        <v>0</v>
      </c>
      <c r="K21" s="68">
        <f xml:space="preserve"> ConCost!K$17</f>
        <v>0</v>
      </c>
      <c r="L21" s="68">
        <f xml:space="preserve"> ConCost!L$17</f>
        <v>0</v>
      </c>
      <c r="M21" s="68">
        <f xml:space="preserve"> ConCost!M$17</f>
        <v>0</v>
      </c>
      <c r="N21" s="68">
        <f xml:space="preserve"> ConCost!N$17</f>
        <v>11538.461538461539</v>
      </c>
      <c r="O21" s="68">
        <f xml:space="preserve"> ConCost!O$17</f>
        <v>11538.461538461539</v>
      </c>
      <c r="P21" s="68">
        <f xml:space="preserve"> ConCost!P$17</f>
        <v>11538.461538461539</v>
      </c>
      <c r="Q21" s="68">
        <f xml:space="preserve"> ConCost!Q$17</f>
        <v>11538.461538461539</v>
      </c>
      <c r="R21" s="68">
        <f xml:space="preserve"> ConCost!R$17</f>
        <v>11538.461538461539</v>
      </c>
      <c r="S21" s="68">
        <f xml:space="preserve"> ConCost!S$17</f>
        <v>11538.461538461539</v>
      </c>
      <c r="T21" s="68">
        <f xml:space="preserve"> ConCost!T$17</f>
        <v>11538.461538461539</v>
      </c>
      <c r="U21" s="68">
        <f xml:space="preserve"> ConCost!U$17</f>
        <v>11538.461538461539</v>
      </c>
      <c r="V21" s="68">
        <f xml:space="preserve"> ConCost!V$17</f>
        <v>11538.461538461539</v>
      </c>
      <c r="W21" s="68">
        <f xml:space="preserve"> ConCost!W$17</f>
        <v>11538.461538461539</v>
      </c>
      <c r="X21" s="68">
        <f xml:space="preserve"> ConCost!X$17</f>
        <v>11538.461538461539</v>
      </c>
      <c r="Y21" s="68">
        <f xml:space="preserve"> ConCost!Y$17</f>
        <v>11538.461538461539</v>
      </c>
      <c r="Z21" s="68">
        <f xml:space="preserve"> ConCost!Z$17</f>
        <v>11538.461538461539</v>
      </c>
      <c r="AA21" s="68">
        <f xml:space="preserve"> ConCost!AA$17</f>
        <v>11538.461538461539</v>
      </c>
      <c r="AB21" s="68">
        <f xml:space="preserve"> ConCost!AB$17</f>
        <v>11538.461538461539</v>
      </c>
      <c r="AC21" s="68">
        <f xml:space="preserve"> ConCost!AC$17</f>
        <v>11538.461538461539</v>
      </c>
      <c r="AD21" s="68">
        <f xml:space="preserve"> ConCost!AD$17</f>
        <v>11538.461538461539</v>
      </c>
      <c r="AE21" s="68">
        <f xml:space="preserve"> ConCost!AE$17</f>
        <v>11538.461538461539</v>
      </c>
      <c r="AF21" s="68">
        <f xml:space="preserve"> ConCost!AF$17</f>
        <v>11538.461538461539</v>
      </c>
      <c r="AG21" s="68">
        <f xml:space="preserve"> ConCost!AG$17</f>
        <v>11538.461538461539</v>
      </c>
      <c r="AH21" s="68">
        <f xml:space="preserve"> ConCost!AH$17</f>
        <v>11538.461538461539</v>
      </c>
      <c r="AI21" s="68">
        <f xml:space="preserve"> ConCost!AI$17</f>
        <v>11538.461538461539</v>
      </c>
      <c r="AJ21" s="68">
        <f xml:space="preserve"> ConCost!AJ$17</f>
        <v>11538.461538461539</v>
      </c>
      <c r="AK21" s="68">
        <f xml:space="preserve"> ConCost!AK$17</f>
        <v>11538.461538461539</v>
      </c>
      <c r="AL21" s="68">
        <f xml:space="preserve"> ConCost!AL$17</f>
        <v>11538.461538461539</v>
      </c>
      <c r="AM21" s="68">
        <f xml:space="preserve"> ConCost!AM$17</f>
        <v>11538.461538461539</v>
      </c>
      <c r="AN21" s="68">
        <f xml:space="preserve"> ConCost!AN$17</f>
        <v>0</v>
      </c>
      <c r="AO21" s="68">
        <f xml:space="preserve"> ConCost!AO$17</f>
        <v>0</v>
      </c>
      <c r="AP21" s="68">
        <f xml:space="preserve"> ConCost!AP$17</f>
        <v>0</v>
      </c>
      <c r="AQ21" s="68">
        <f xml:space="preserve"> ConCost!AQ$17</f>
        <v>0</v>
      </c>
      <c r="AR21" s="68">
        <f xml:space="preserve"> ConCost!AR$17</f>
        <v>0</v>
      </c>
      <c r="AS21" s="68">
        <f xml:space="preserve"> ConCost!AS$17</f>
        <v>0</v>
      </c>
      <c r="AT21" s="68">
        <f xml:space="preserve"> ConCost!AT$17</f>
        <v>0</v>
      </c>
      <c r="AU21" s="68">
        <f xml:space="preserve"> ConCost!AU$17</f>
        <v>0</v>
      </c>
      <c r="AV21" s="68">
        <f xml:space="preserve"> ConCost!AV$17</f>
        <v>0</v>
      </c>
      <c r="AW21" s="68">
        <f xml:space="preserve"> ConCost!AW$17</f>
        <v>0</v>
      </c>
      <c r="AX21" s="68">
        <f xml:space="preserve"> ConCost!AX$17</f>
        <v>0</v>
      </c>
      <c r="AY21" s="68">
        <f xml:space="preserve"> ConCost!AY$17</f>
        <v>0</v>
      </c>
      <c r="AZ21" s="68">
        <f xml:space="preserve"> ConCost!AZ$17</f>
        <v>0</v>
      </c>
      <c r="BA21" s="68">
        <f xml:space="preserve"> ConCost!BA$17</f>
        <v>0</v>
      </c>
      <c r="BB21" s="68">
        <f xml:space="preserve"> ConCost!BB$17</f>
        <v>0</v>
      </c>
      <c r="BC21" s="68">
        <f xml:space="preserve"> ConCost!BC$17</f>
        <v>0</v>
      </c>
      <c r="BD21" s="68">
        <f xml:space="preserve"> ConCost!BD$17</f>
        <v>0</v>
      </c>
      <c r="BE21" s="68">
        <f xml:space="preserve"> ConCost!BE$17</f>
        <v>0</v>
      </c>
    </row>
    <row r="22" spans="1:306" s="495" customFormat="1" outlineLevel="1" x14ac:dyDescent="0.2">
      <c r="A22" s="15"/>
      <c r="B22" s="15"/>
      <c r="C22" s="21"/>
      <c r="D22" s="48"/>
      <c r="E22" s="68" t="str">
        <f xml:space="preserve"> ConCost!E$23</f>
        <v>EPC contingency</v>
      </c>
      <c r="F22" s="68">
        <f xml:space="preserve"> ConCost!F$23</f>
        <v>0</v>
      </c>
      <c r="G22" s="68" t="str">
        <f xml:space="preserve"> ConCost!G$23</f>
        <v>$ 000s</v>
      </c>
      <c r="H22" s="68">
        <f xml:space="preserve"> ConCost!H$23</f>
        <v>0</v>
      </c>
      <c r="I22" s="68">
        <f xml:space="preserve"> ConCost!I$23</f>
        <v>0</v>
      </c>
      <c r="J22" s="68">
        <f xml:space="preserve"> ConCost!J$23</f>
        <v>0</v>
      </c>
      <c r="K22" s="68">
        <f xml:space="preserve"> ConCost!K$23</f>
        <v>0</v>
      </c>
      <c r="L22" s="68">
        <f xml:space="preserve"> ConCost!L$23</f>
        <v>0</v>
      </c>
      <c r="M22" s="68">
        <f xml:space="preserve"> ConCost!M$23</f>
        <v>0</v>
      </c>
      <c r="N22" s="68">
        <f xml:space="preserve"> ConCost!N$23</f>
        <v>0</v>
      </c>
      <c r="O22" s="68">
        <f xml:space="preserve"> ConCost!O$23</f>
        <v>0</v>
      </c>
      <c r="P22" s="68">
        <f xml:space="preserve"> ConCost!P$23</f>
        <v>0</v>
      </c>
      <c r="Q22" s="68">
        <f xml:space="preserve"> ConCost!Q$23</f>
        <v>0</v>
      </c>
      <c r="R22" s="68">
        <f xml:space="preserve"> ConCost!R$23</f>
        <v>0</v>
      </c>
      <c r="S22" s="68">
        <f xml:space="preserve"> ConCost!S$23</f>
        <v>0</v>
      </c>
      <c r="T22" s="68">
        <f xml:space="preserve"> ConCost!T$23</f>
        <v>0</v>
      </c>
      <c r="U22" s="68">
        <f xml:space="preserve"> ConCost!U$23</f>
        <v>0</v>
      </c>
      <c r="V22" s="68">
        <f xml:space="preserve"> ConCost!V$23</f>
        <v>0</v>
      </c>
      <c r="W22" s="68">
        <f xml:space="preserve"> ConCost!W$23</f>
        <v>0</v>
      </c>
      <c r="X22" s="68">
        <f xml:space="preserve"> ConCost!X$23</f>
        <v>0</v>
      </c>
      <c r="Y22" s="68">
        <f xml:space="preserve"> ConCost!Y$23</f>
        <v>0</v>
      </c>
      <c r="Z22" s="68">
        <f xml:space="preserve"> ConCost!Z$23</f>
        <v>0</v>
      </c>
      <c r="AA22" s="68">
        <f xml:space="preserve"> ConCost!AA$23</f>
        <v>0</v>
      </c>
      <c r="AB22" s="68">
        <f xml:space="preserve"> ConCost!AB$23</f>
        <v>0</v>
      </c>
      <c r="AC22" s="68">
        <f xml:space="preserve"> ConCost!AC$23</f>
        <v>0</v>
      </c>
      <c r="AD22" s="68">
        <f xml:space="preserve"> ConCost!AD$23</f>
        <v>0</v>
      </c>
      <c r="AE22" s="68">
        <f xml:space="preserve"> ConCost!AE$23</f>
        <v>0</v>
      </c>
      <c r="AF22" s="68">
        <f xml:space="preserve"> ConCost!AF$23</f>
        <v>0</v>
      </c>
      <c r="AG22" s="68">
        <f xml:space="preserve"> ConCost!AG$23</f>
        <v>0</v>
      </c>
      <c r="AH22" s="68">
        <f xml:space="preserve"> ConCost!AH$23</f>
        <v>0</v>
      </c>
      <c r="AI22" s="68">
        <f xml:space="preserve"> ConCost!AI$23</f>
        <v>0</v>
      </c>
      <c r="AJ22" s="68">
        <f xml:space="preserve"> ConCost!AJ$23</f>
        <v>0</v>
      </c>
      <c r="AK22" s="68">
        <f xml:space="preserve"> ConCost!AK$23</f>
        <v>0</v>
      </c>
      <c r="AL22" s="68">
        <f xml:space="preserve"> ConCost!AL$23</f>
        <v>0</v>
      </c>
      <c r="AM22" s="68">
        <f xml:space="preserve"> ConCost!AM$23</f>
        <v>0</v>
      </c>
      <c r="AN22" s="68">
        <f xml:space="preserve"> ConCost!AN$23</f>
        <v>0</v>
      </c>
      <c r="AO22" s="68">
        <f xml:space="preserve"> ConCost!AO$23</f>
        <v>0</v>
      </c>
      <c r="AP22" s="68">
        <f xml:space="preserve"> ConCost!AP$23</f>
        <v>0</v>
      </c>
      <c r="AQ22" s="68">
        <f xml:space="preserve"> ConCost!AQ$23</f>
        <v>0</v>
      </c>
      <c r="AR22" s="68">
        <f xml:space="preserve"> ConCost!AR$23</f>
        <v>0</v>
      </c>
      <c r="AS22" s="68">
        <f xml:space="preserve"> ConCost!AS$23</f>
        <v>0</v>
      </c>
      <c r="AT22" s="68">
        <f xml:space="preserve"> ConCost!AT$23</f>
        <v>0</v>
      </c>
      <c r="AU22" s="68">
        <f xml:space="preserve"> ConCost!AU$23</f>
        <v>0</v>
      </c>
      <c r="AV22" s="68">
        <f xml:space="preserve"> ConCost!AV$23</f>
        <v>0</v>
      </c>
      <c r="AW22" s="68">
        <f xml:space="preserve"> ConCost!AW$23</f>
        <v>0</v>
      </c>
      <c r="AX22" s="68">
        <f xml:space="preserve"> ConCost!AX$23</f>
        <v>0</v>
      </c>
      <c r="AY22" s="68">
        <f xml:space="preserve"> ConCost!AY$23</f>
        <v>0</v>
      </c>
      <c r="AZ22" s="68">
        <f xml:space="preserve"> ConCost!AZ$23</f>
        <v>0</v>
      </c>
      <c r="BA22" s="68">
        <f xml:space="preserve"> ConCost!BA$23</f>
        <v>0</v>
      </c>
      <c r="BB22" s="68">
        <f xml:space="preserve"> ConCost!BB$23</f>
        <v>0</v>
      </c>
      <c r="BC22" s="68">
        <f xml:space="preserve"> ConCost!BC$23</f>
        <v>0</v>
      </c>
      <c r="BD22" s="68">
        <f xml:space="preserve"> ConCost!BD$23</f>
        <v>0</v>
      </c>
      <c r="BE22" s="68">
        <f xml:space="preserve"> ConCost!BE$23</f>
        <v>0</v>
      </c>
    </row>
    <row r="23" spans="1:306" s="495" customFormat="1" outlineLevel="1" x14ac:dyDescent="0.2">
      <c r="A23" s="15"/>
      <c r="B23" s="15"/>
      <c r="C23" s="21"/>
      <c r="D23" s="48"/>
      <c r="E23" s="68" t="str">
        <f xml:space="preserve"> ConCost!E$63</f>
        <v>Customs duties</v>
      </c>
      <c r="F23" s="68">
        <f xml:space="preserve"> ConCost!F$63</f>
        <v>0</v>
      </c>
      <c r="G23" s="68" t="str">
        <f xml:space="preserve"> ConCost!G$63</f>
        <v>$ 000s</v>
      </c>
      <c r="H23" s="68">
        <f xml:space="preserve"> ConCost!H$63</f>
        <v>0</v>
      </c>
      <c r="I23" s="68">
        <f xml:space="preserve"> ConCost!I$63</f>
        <v>0</v>
      </c>
      <c r="J23" s="68">
        <f xml:space="preserve"> ConCost!J$63</f>
        <v>0</v>
      </c>
      <c r="K23" s="68">
        <f xml:space="preserve"> ConCost!K$63</f>
        <v>0</v>
      </c>
      <c r="L23" s="68">
        <f xml:space="preserve"> ConCost!L$63</f>
        <v>0</v>
      </c>
      <c r="M23" s="68">
        <f xml:space="preserve"> ConCost!M$63</f>
        <v>0</v>
      </c>
      <c r="N23" s="68">
        <f xml:space="preserve"> ConCost!N$63</f>
        <v>0</v>
      </c>
      <c r="O23" s="68">
        <f xml:space="preserve"> ConCost!O$63</f>
        <v>0</v>
      </c>
      <c r="P23" s="68">
        <f xml:space="preserve"> ConCost!P$63</f>
        <v>0</v>
      </c>
      <c r="Q23" s="68">
        <f xml:space="preserve"> ConCost!Q$63</f>
        <v>0</v>
      </c>
      <c r="R23" s="68">
        <f xml:space="preserve"> ConCost!R$63</f>
        <v>0</v>
      </c>
      <c r="S23" s="68">
        <f xml:space="preserve"> ConCost!S$63</f>
        <v>0</v>
      </c>
      <c r="T23" s="68">
        <f xml:space="preserve"> ConCost!T$63</f>
        <v>0</v>
      </c>
      <c r="U23" s="68">
        <f xml:space="preserve"> ConCost!U$63</f>
        <v>0</v>
      </c>
      <c r="V23" s="68">
        <f xml:space="preserve"> ConCost!V$63</f>
        <v>0</v>
      </c>
      <c r="W23" s="68">
        <f xml:space="preserve"> ConCost!W$63</f>
        <v>0</v>
      </c>
      <c r="X23" s="68">
        <f xml:space="preserve"> ConCost!X$63</f>
        <v>0</v>
      </c>
      <c r="Y23" s="68">
        <f xml:space="preserve"> ConCost!Y$63</f>
        <v>0</v>
      </c>
      <c r="Z23" s="68">
        <f xml:space="preserve"> ConCost!Z$63</f>
        <v>0</v>
      </c>
      <c r="AA23" s="68">
        <f xml:space="preserve"> ConCost!AA$63</f>
        <v>0</v>
      </c>
      <c r="AB23" s="68">
        <f xml:space="preserve"> ConCost!AB$63</f>
        <v>0</v>
      </c>
      <c r="AC23" s="68">
        <f xml:space="preserve"> ConCost!AC$63</f>
        <v>0</v>
      </c>
      <c r="AD23" s="68">
        <f xml:space="preserve"> ConCost!AD$63</f>
        <v>0</v>
      </c>
      <c r="AE23" s="68">
        <f xml:space="preserve"> ConCost!AE$63</f>
        <v>0</v>
      </c>
      <c r="AF23" s="68">
        <f xml:space="preserve"> ConCost!AF$63</f>
        <v>0</v>
      </c>
      <c r="AG23" s="68">
        <f xml:space="preserve"> ConCost!AG$63</f>
        <v>0</v>
      </c>
      <c r="AH23" s="68">
        <f xml:space="preserve"> ConCost!AH$63</f>
        <v>0</v>
      </c>
      <c r="AI23" s="68">
        <f xml:space="preserve"> ConCost!AI$63</f>
        <v>0</v>
      </c>
      <c r="AJ23" s="68">
        <f xml:space="preserve"> ConCost!AJ$63</f>
        <v>0</v>
      </c>
      <c r="AK23" s="68">
        <f xml:space="preserve"> ConCost!AK$63</f>
        <v>0</v>
      </c>
      <c r="AL23" s="68">
        <f xml:space="preserve"> ConCost!AL$63</f>
        <v>0</v>
      </c>
      <c r="AM23" s="68">
        <f xml:space="preserve"> ConCost!AM$63</f>
        <v>0</v>
      </c>
      <c r="AN23" s="68">
        <f xml:space="preserve"> ConCost!AN$63</f>
        <v>0</v>
      </c>
      <c r="AO23" s="68">
        <f xml:space="preserve"> ConCost!AO$63</f>
        <v>0</v>
      </c>
      <c r="AP23" s="68">
        <f xml:space="preserve"> ConCost!AP$63</f>
        <v>0</v>
      </c>
      <c r="AQ23" s="68">
        <f xml:space="preserve"> ConCost!AQ$63</f>
        <v>0</v>
      </c>
      <c r="AR23" s="68">
        <f xml:space="preserve"> ConCost!AR$63</f>
        <v>0</v>
      </c>
      <c r="AS23" s="68">
        <f xml:space="preserve"> ConCost!AS$63</f>
        <v>0</v>
      </c>
      <c r="AT23" s="68">
        <f xml:space="preserve"> ConCost!AT$63</f>
        <v>0</v>
      </c>
      <c r="AU23" s="68">
        <f xml:space="preserve"> ConCost!AU$63</f>
        <v>0</v>
      </c>
      <c r="AV23" s="68">
        <f xml:space="preserve"> ConCost!AV$63</f>
        <v>0</v>
      </c>
      <c r="AW23" s="68">
        <f xml:space="preserve"> ConCost!AW$63</f>
        <v>0</v>
      </c>
      <c r="AX23" s="68">
        <f xml:space="preserve"> ConCost!AX$63</f>
        <v>0</v>
      </c>
      <c r="AY23" s="68">
        <f xml:space="preserve"> ConCost!AY$63</f>
        <v>0</v>
      </c>
      <c r="AZ23" s="68">
        <f xml:space="preserve"> ConCost!AZ$63</f>
        <v>0</v>
      </c>
      <c r="BA23" s="68">
        <f xml:space="preserve"> ConCost!BA$63</f>
        <v>0</v>
      </c>
      <c r="BB23" s="68">
        <f xml:space="preserve"> ConCost!BB$63</f>
        <v>0</v>
      </c>
      <c r="BC23" s="68">
        <f xml:space="preserve"> ConCost!BC$63</f>
        <v>0</v>
      </c>
      <c r="BD23" s="68">
        <f xml:space="preserve"> ConCost!BD$63</f>
        <v>0</v>
      </c>
      <c r="BE23" s="68">
        <f xml:space="preserve"> ConCost!BE$63</f>
        <v>0</v>
      </c>
    </row>
    <row r="24" spans="1:306" s="495" customFormat="1" outlineLevel="1" x14ac:dyDescent="0.2">
      <c r="A24" s="15"/>
      <c r="B24" s="15"/>
      <c r="C24" s="21"/>
      <c r="D24" s="48"/>
      <c r="E24" s="68" t="str">
        <f xml:space="preserve"> ConCost!E$36</f>
        <v>SPV costs during construction</v>
      </c>
      <c r="F24" s="68">
        <f xml:space="preserve"> ConCost!F$36</f>
        <v>0</v>
      </c>
      <c r="G24" s="68" t="str">
        <f xml:space="preserve"> ConCost!G$36</f>
        <v>$ 000s</v>
      </c>
      <c r="H24" s="68">
        <f xml:space="preserve"> ConCost!H$36</f>
        <v>697.30772000000013</v>
      </c>
      <c r="I24" s="68">
        <f xml:space="preserve"> ConCost!I$36</f>
        <v>0</v>
      </c>
      <c r="J24" s="68">
        <f xml:space="preserve"> ConCost!J$36</f>
        <v>0</v>
      </c>
      <c r="K24" s="68">
        <f xml:space="preserve"> ConCost!K$36</f>
        <v>0</v>
      </c>
      <c r="L24" s="68">
        <f xml:space="preserve"> ConCost!L$36</f>
        <v>0</v>
      </c>
      <c r="M24" s="68">
        <f xml:space="preserve"> ConCost!M$36</f>
        <v>0</v>
      </c>
      <c r="N24" s="68">
        <f xml:space="preserve"> ConCost!N$36</f>
        <v>26.819527692307695</v>
      </c>
      <c r="O24" s="68">
        <f xml:space="preserve"> ConCost!O$36</f>
        <v>26.819527692307695</v>
      </c>
      <c r="P24" s="68">
        <f xml:space="preserve"> ConCost!P$36</f>
        <v>26.819527692307695</v>
      </c>
      <c r="Q24" s="68">
        <f xml:space="preserve"> ConCost!Q$36</f>
        <v>26.819527692307695</v>
      </c>
      <c r="R24" s="68">
        <f xml:space="preserve"> ConCost!R$36</f>
        <v>26.819527692307695</v>
      </c>
      <c r="S24" s="68">
        <f xml:space="preserve"> ConCost!S$36</f>
        <v>26.819527692307695</v>
      </c>
      <c r="T24" s="68">
        <f xml:space="preserve"> ConCost!T$36</f>
        <v>26.819527692307695</v>
      </c>
      <c r="U24" s="68">
        <f xml:space="preserve"> ConCost!U$36</f>
        <v>26.819527692307695</v>
      </c>
      <c r="V24" s="68">
        <f xml:space="preserve"> ConCost!V$36</f>
        <v>26.819527692307695</v>
      </c>
      <c r="W24" s="68">
        <f xml:space="preserve"> ConCost!W$36</f>
        <v>26.819527692307695</v>
      </c>
      <c r="X24" s="68">
        <f xml:space="preserve"> ConCost!X$36</f>
        <v>26.819527692307695</v>
      </c>
      <c r="Y24" s="68">
        <f xml:space="preserve"> ConCost!Y$36</f>
        <v>26.819527692307695</v>
      </c>
      <c r="Z24" s="68">
        <f xml:space="preserve"> ConCost!Z$36</f>
        <v>26.819527692307695</v>
      </c>
      <c r="AA24" s="68">
        <f xml:space="preserve"> ConCost!AA$36</f>
        <v>26.819527692307695</v>
      </c>
      <c r="AB24" s="68">
        <f xml:space="preserve"> ConCost!AB$36</f>
        <v>26.819527692307695</v>
      </c>
      <c r="AC24" s="68">
        <f xml:space="preserve"> ConCost!AC$36</f>
        <v>26.819527692307695</v>
      </c>
      <c r="AD24" s="68">
        <f xml:space="preserve"> ConCost!AD$36</f>
        <v>26.819527692307695</v>
      </c>
      <c r="AE24" s="68">
        <f xml:space="preserve"> ConCost!AE$36</f>
        <v>26.819527692307695</v>
      </c>
      <c r="AF24" s="68">
        <f xml:space="preserve"> ConCost!AF$36</f>
        <v>26.819527692307695</v>
      </c>
      <c r="AG24" s="68">
        <f xml:space="preserve"> ConCost!AG$36</f>
        <v>26.819527692307695</v>
      </c>
      <c r="AH24" s="68">
        <f xml:space="preserve"> ConCost!AH$36</f>
        <v>26.819527692307695</v>
      </c>
      <c r="AI24" s="68">
        <f xml:space="preserve"> ConCost!AI$36</f>
        <v>26.819527692307695</v>
      </c>
      <c r="AJ24" s="68">
        <f xml:space="preserve"> ConCost!AJ$36</f>
        <v>26.819527692307695</v>
      </c>
      <c r="AK24" s="68">
        <f xml:space="preserve"> ConCost!AK$36</f>
        <v>26.819527692307695</v>
      </c>
      <c r="AL24" s="68">
        <f xml:space="preserve"> ConCost!AL$36</f>
        <v>26.819527692307695</v>
      </c>
      <c r="AM24" s="68">
        <f xml:space="preserve"> ConCost!AM$36</f>
        <v>26.819527692307695</v>
      </c>
      <c r="AN24" s="68">
        <f xml:space="preserve"> ConCost!AN$36</f>
        <v>0</v>
      </c>
      <c r="AO24" s="68">
        <f xml:space="preserve"> ConCost!AO$36</f>
        <v>0</v>
      </c>
      <c r="AP24" s="68">
        <f xml:space="preserve"> ConCost!AP$36</f>
        <v>0</v>
      </c>
      <c r="AQ24" s="68">
        <f xml:space="preserve"> ConCost!AQ$36</f>
        <v>0</v>
      </c>
      <c r="AR24" s="68">
        <f xml:space="preserve"> ConCost!AR$36</f>
        <v>0</v>
      </c>
      <c r="AS24" s="68">
        <f xml:space="preserve"> ConCost!AS$36</f>
        <v>0</v>
      </c>
      <c r="AT24" s="68">
        <f xml:space="preserve"> ConCost!AT$36</f>
        <v>0</v>
      </c>
      <c r="AU24" s="68">
        <f xml:space="preserve"> ConCost!AU$36</f>
        <v>0</v>
      </c>
      <c r="AV24" s="68">
        <f xml:space="preserve"> ConCost!AV$36</f>
        <v>0</v>
      </c>
      <c r="AW24" s="68">
        <f xml:space="preserve"> ConCost!AW$36</f>
        <v>0</v>
      </c>
      <c r="AX24" s="68">
        <f xml:space="preserve"> ConCost!AX$36</f>
        <v>0</v>
      </c>
      <c r="AY24" s="68">
        <f xml:space="preserve"> ConCost!AY$36</f>
        <v>0</v>
      </c>
      <c r="AZ24" s="68">
        <f xml:space="preserve"> ConCost!AZ$36</f>
        <v>0</v>
      </c>
      <c r="BA24" s="68">
        <f xml:space="preserve"> ConCost!BA$36</f>
        <v>0</v>
      </c>
      <c r="BB24" s="68">
        <f xml:space="preserve"> ConCost!BB$36</f>
        <v>0</v>
      </c>
      <c r="BC24" s="68">
        <f xml:space="preserve"> ConCost!BC$36</f>
        <v>0</v>
      </c>
      <c r="BD24" s="68">
        <f xml:space="preserve"> ConCost!BD$36</f>
        <v>0</v>
      </c>
      <c r="BE24" s="68">
        <f xml:space="preserve"> ConCost!BE$36</f>
        <v>0</v>
      </c>
    </row>
    <row r="25" spans="1:306" s="495" customFormat="1" outlineLevel="1" x14ac:dyDescent="0.2">
      <c r="A25" s="15"/>
      <c r="B25" s="15"/>
      <c r="C25" s="21"/>
      <c r="D25" s="48"/>
      <c r="E25" s="68" t="str">
        <f xml:space="preserve"> ConCost!E$41</f>
        <v>Construction insurance cost</v>
      </c>
      <c r="F25" s="68">
        <f xml:space="preserve"> ConCost!F$41</f>
        <v>0</v>
      </c>
      <c r="G25" s="68" t="str">
        <f xml:space="preserve"> ConCost!G$41</f>
        <v>$ 000s</v>
      </c>
      <c r="H25" s="68">
        <f xml:space="preserve"> ConCost!H$41</f>
        <v>1300</v>
      </c>
      <c r="I25" s="68">
        <f xml:space="preserve"> ConCost!I$41</f>
        <v>0</v>
      </c>
      <c r="J25" s="68">
        <f xml:space="preserve"> ConCost!J$41</f>
        <v>0</v>
      </c>
      <c r="K25" s="68">
        <f xml:space="preserve"> ConCost!K$41</f>
        <v>0</v>
      </c>
      <c r="L25" s="68">
        <f xml:space="preserve"> ConCost!L$41</f>
        <v>0</v>
      </c>
      <c r="M25" s="68">
        <f xml:space="preserve"> ConCost!M$41</f>
        <v>1300</v>
      </c>
      <c r="N25" s="68">
        <f xml:space="preserve"> ConCost!N$41</f>
        <v>0</v>
      </c>
      <c r="O25" s="68">
        <f xml:space="preserve"> ConCost!O$41</f>
        <v>0</v>
      </c>
      <c r="P25" s="68">
        <f xml:space="preserve"> ConCost!P$41</f>
        <v>0</v>
      </c>
      <c r="Q25" s="68">
        <f xml:space="preserve"> ConCost!Q$41</f>
        <v>0</v>
      </c>
      <c r="R25" s="68">
        <f xml:space="preserve"> ConCost!R$41</f>
        <v>0</v>
      </c>
      <c r="S25" s="68">
        <f xml:space="preserve"> ConCost!S$41</f>
        <v>0</v>
      </c>
      <c r="T25" s="68">
        <f xml:space="preserve"> ConCost!T$41</f>
        <v>0</v>
      </c>
      <c r="U25" s="68">
        <f xml:space="preserve"> ConCost!U$41</f>
        <v>0</v>
      </c>
      <c r="V25" s="68">
        <f xml:space="preserve"> ConCost!V$41</f>
        <v>0</v>
      </c>
      <c r="W25" s="68">
        <f xml:space="preserve"> ConCost!W$41</f>
        <v>0</v>
      </c>
      <c r="X25" s="68">
        <f xml:space="preserve"> ConCost!X$41</f>
        <v>0</v>
      </c>
      <c r="Y25" s="68">
        <f xml:space="preserve"> ConCost!Y$41</f>
        <v>0</v>
      </c>
      <c r="Z25" s="68">
        <f xml:space="preserve"> ConCost!Z$41</f>
        <v>0</v>
      </c>
      <c r="AA25" s="68">
        <f xml:space="preserve"> ConCost!AA$41</f>
        <v>0</v>
      </c>
      <c r="AB25" s="68">
        <f xml:space="preserve"> ConCost!AB$41</f>
        <v>0</v>
      </c>
      <c r="AC25" s="68">
        <f xml:space="preserve"> ConCost!AC$41</f>
        <v>0</v>
      </c>
      <c r="AD25" s="68">
        <f xml:space="preserve"> ConCost!AD$41</f>
        <v>0</v>
      </c>
      <c r="AE25" s="68">
        <f xml:space="preserve"> ConCost!AE$41</f>
        <v>0</v>
      </c>
      <c r="AF25" s="68">
        <f xml:space="preserve"> ConCost!AF$41</f>
        <v>0</v>
      </c>
      <c r="AG25" s="68">
        <f xml:space="preserve"> ConCost!AG$41</f>
        <v>0</v>
      </c>
      <c r="AH25" s="68">
        <f xml:space="preserve"> ConCost!AH$41</f>
        <v>0</v>
      </c>
      <c r="AI25" s="68">
        <f xml:space="preserve"> ConCost!AI$41</f>
        <v>0</v>
      </c>
      <c r="AJ25" s="68">
        <f xml:space="preserve"> ConCost!AJ$41</f>
        <v>0</v>
      </c>
      <c r="AK25" s="68">
        <f xml:space="preserve"> ConCost!AK$41</f>
        <v>0</v>
      </c>
      <c r="AL25" s="68">
        <f xml:space="preserve"> ConCost!AL$41</f>
        <v>0</v>
      </c>
      <c r="AM25" s="68">
        <f xml:space="preserve"> ConCost!AM$41</f>
        <v>0</v>
      </c>
      <c r="AN25" s="68">
        <f xml:space="preserve"> ConCost!AN$41</f>
        <v>0</v>
      </c>
      <c r="AO25" s="68">
        <f xml:space="preserve"> ConCost!AO$41</f>
        <v>0</v>
      </c>
      <c r="AP25" s="68">
        <f xml:space="preserve"> ConCost!AP$41</f>
        <v>0</v>
      </c>
      <c r="AQ25" s="68">
        <f xml:space="preserve"> ConCost!AQ$41</f>
        <v>0</v>
      </c>
      <c r="AR25" s="68">
        <f xml:space="preserve"> ConCost!AR$41</f>
        <v>0</v>
      </c>
      <c r="AS25" s="68">
        <f xml:space="preserve"> ConCost!AS$41</f>
        <v>0</v>
      </c>
      <c r="AT25" s="68">
        <f xml:space="preserve"> ConCost!AT$41</f>
        <v>0</v>
      </c>
      <c r="AU25" s="68">
        <f xml:space="preserve"> ConCost!AU$41</f>
        <v>0</v>
      </c>
      <c r="AV25" s="68">
        <f xml:space="preserve"> ConCost!AV$41</f>
        <v>0</v>
      </c>
      <c r="AW25" s="68">
        <f xml:space="preserve"> ConCost!AW$41</f>
        <v>0</v>
      </c>
      <c r="AX25" s="68">
        <f xml:space="preserve"> ConCost!AX$41</f>
        <v>0</v>
      </c>
      <c r="AY25" s="68">
        <f xml:space="preserve"> ConCost!AY$41</f>
        <v>0</v>
      </c>
      <c r="AZ25" s="68">
        <f xml:space="preserve"> ConCost!AZ$41</f>
        <v>0</v>
      </c>
      <c r="BA25" s="68">
        <f xml:space="preserve"> ConCost!BA$41</f>
        <v>0</v>
      </c>
      <c r="BB25" s="68">
        <f xml:space="preserve"> ConCost!BB$41</f>
        <v>0</v>
      </c>
      <c r="BC25" s="68">
        <f xml:space="preserve"> ConCost!BC$41</f>
        <v>0</v>
      </c>
      <c r="BD25" s="68">
        <f xml:space="preserve"> ConCost!BD$41</f>
        <v>0</v>
      </c>
      <c r="BE25" s="68">
        <f xml:space="preserve"> ConCost!BE$41</f>
        <v>0</v>
      </c>
    </row>
    <row r="26" spans="1:306" s="495" customFormat="1" outlineLevel="1" x14ac:dyDescent="0.2">
      <c r="A26" s="15"/>
      <c r="B26" s="15"/>
      <c r="C26" s="21"/>
      <c r="D26" s="48"/>
      <c r="E26" s="68" t="str">
        <f xml:space="preserve"> ConCost!E$46</f>
        <v>Development costs</v>
      </c>
      <c r="F26" s="68">
        <f xml:space="preserve"> ConCost!F$46</f>
        <v>0</v>
      </c>
      <c r="G26" s="68" t="str">
        <f xml:space="preserve"> ConCost!G$46</f>
        <v>$ 000s</v>
      </c>
      <c r="H26" s="68">
        <f xml:space="preserve"> ConCost!H$46</f>
        <v>5000</v>
      </c>
      <c r="I26" s="68">
        <f xml:space="preserve"> ConCost!I$46</f>
        <v>0</v>
      </c>
      <c r="J26" s="68">
        <f xml:space="preserve"> ConCost!J$46</f>
        <v>0</v>
      </c>
      <c r="K26" s="68">
        <f xml:space="preserve"> ConCost!K$46</f>
        <v>0</v>
      </c>
      <c r="L26" s="68">
        <f xml:space="preserve"> ConCost!L$46</f>
        <v>0</v>
      </c>
      <c r="M26" s="68">
        <f xml:space="preserve"> ConCost!M$46</f>
        <v>5000</v>
      </c>
      <c r="N26" s="68">
        <f xml:space="preserve"> ConCost!N$46</f>
        <v>0</v>
      </c>
      <c r="O26" s="68">
        <f xml:space="preserve"> ConCost!O$46</f>
        <v>0</v>
      </c>
      <c r="P26" s="68">
        <f xml:space="preserve"> ConCost!P$46</f>
        <v>0</v>
      </c>
      <c r="Q26" s="68">
        <f xml:space="preserve"> ConCost!Q$46</f>
        <v>0</v>
      </c>
      <c r="R26" s="68">
        <f xml:space="preserve"> ConCost!R$46</f>
        <v>0</v>
      </c>
      <c r="S26" s="68">
        <f xml:space="preserve"> ConCost!S$46</f>
        <v>0</v>
      </c>
      <c r="T26" s="68">
        <f xml:space="preserve"> ConCost!T$46</f>
        <v>0</v>
      </c>
      <c r="U26" s="68">
        <f xml:space="preserve"> ConCost!U$46</f>
        <v>0</v>
      </c>
      <c r="V26" s="68">
        <f xml:space="preserve"> ConCost!V$46</f>
        <v>0</v>
      </c>
      <c r="W26" s="68">
        <f xml:space="preserve"> ConCost!W$46</f>
        <v>0</v>
      </c>
      <c r="X26" s="68">
        <f xml:space="preserve"> ConCost!X$46</f>
        <v>0</v>
      </c>
      <c r="Y26" s="68">
        <f xml:space="preserve"> ConCost!Y$46</f>
        <v>0</v>
      </c>
      <c r="Z26" s="68">
        <f xml:space="preserve"> ConCost!Z$46</f>
        <v>0</v>
      </c>
      <c r="AA26" s="68">
        <f xml:space="preserve"> ConCost!AA$46</f>
        <v>0</v>
      </c>
      <c r="AB26" s="68">
        <f xml:space="preserve"> ConCost!AB$46</f>
        <v>0</v>
      </c>
      <c r="AC26" s="68">
        <f xml:space="preserve"> ConCost!AC$46</f>
        <v>0</v>
      </c>
      <c r="AD26" s="68">
        <f xml:space="preserve"> ConCost!AD$46</f>
        <v>0</v>
      </c>
      <c r="AE26" s="68">
        <f xml:space="preserve"> ConCost!AE$46</f>
        <v>0</v>
      </c>
      <c r="AF26" s="68">
        <f xml:space="preserve"> ConCost!AF$46</f>
        <v>0</v>
      </c>
      <c r="AG26" s="68">
        <f xml:space="preserve"> ConCost!AG$46</f>
        <v>0</v>
      </c>
      <c r="AH26" s="68">
        <f xml:space="preserve"> ConCost!AH$46</f>
        <v>0</v>
      </c>
      <c r="AI26" s="68">
        <f xml:space="preserve"> ConCost!AI$46</f>
        <v>0</v>
      </c>
      <c r="AJ26" s="68">
        <f xml:space="preserve"> ConCost!AJ$46</f>
        <v>0</v>
      </c>
      <c r="AK26" s="68">
        <f xml:space="preserve"> ConCost!AK$46</f>
        <v>0</v>
      </c>
      <c r="AL26" s="68">
        <f xml:space="preserve"> ConCost!AL$46</f>
        <v>0</v>
      </c>
      <c r="AM26" s="68">
        <f xml:space="preserve"> ConCost!AM$46</f>
        <v>0</v>
      </c>
      <c r="AN26" s="68">
        <f xml:space="preserve"> ConCost!AN$46</f>
        <v>0</v>
      </c>
      <c r="AO26" s="68">
        <f xml:space="preserve"> ConCost!AO$46</f>
        <v>0</v>
      </c>
      <c r="AP26" s="68">
        <f xml:space="preserve"> ConCost!AP$46</f>
        <v>0</v>
      </c>
      <c r="AQ26" s="68">
        <f xml:space="preserve"> ConCost!AQ$46</f>
        <v>0</v>
      </c>
      <c r="AR26" s="68">
        <f xml:space="preserve"> ConCost!AR$46</f>
        <v>0</v>
      </c>
      <c r="AS26" s="68">
        <f xml:space="preserve"> ConCost!AS$46</f>
        <v>0</v>
      </c>
      <c r="AT26" s="68">
        <f xml:space="preserve"> ConCost!AT$46</f>
        <v>0</v>
      </c>
      <c r="AU26" s="68">
        <f xml:space="preserve"> ConCost!AU$46</f>
        <v>0</v>
      </c>
      <c r="AV26" s="68">
        <f xml:space="preserve"> ConCost!AV$46</f>
        <v>0</v>
      </c>
      <c r="AW26" s="68">
        <f xml:space="preserve"> ConCost!AW$46</f>
        <v>0</v>
      </c>
      <c r="AX26" s="68">
        <f xml:space="preserve"> ConCost!AX$46</f>
        <v>0</v>
      </c>
      <c r="AY26" s="68">
        <f xml:space="preserve"> ConCost!AY$46</f>
        <v>0</v>
      </c>
      <c r="AZ26" s="68">
        <f xml:space="preserve"> ConCost!AZ$46</f>
        <v>0</v>
      </c>
      <c r="BA26" s="68">
        <f xml:space="preserve"> ConCost!BA$46</f>
        <v>0</v>
      </c>
      <c r="BB26" s="68">
        <f xml:space="preserve"> ConCost!BB$46</f>
        <v>0</v>
      </c>
      <c r="BC26" s="68">
        <f xml:space="preserve"> ConCost!BC$46</f>
        <v>0</v>
      </c>
      <c r="BD26" s="68">
        <f xml:space="preserve"> ConCost!BD$46</f>
        <v>0</v>
      </c>
      <c r="BE26" s="68">
        <f xml:space="preserve"> ConCost!BE$46</f>
        <v>0</v>
      </c>
    </row>
    <row r="27" spans="1:306" s="495" customFormat="1" outlineLevel="1" x14ac:dyDescent="0.2">
      <c r="A27" s="15"/>
      <c r="B27" s="15"/>
      <c r="C27" s="21"/>
      <c r="D27" s="48"/>
      <c r="E27" s="68" t="str">
        <f xml:space="preserve"> ConCost!E$53</f>
        <v>Success fee</v>
      </c>
      <c r="F27" s="68">
        <f xml:space="preserve"> ConCost!F$53</f>
        <v>0</v>
      </c>
      <c r="G27" s="68" t="str">
        <f xml:space="preserve"> ConCost!G$53</f>
        <v>$ 000s</v>
      </c>
      <c r="H27" s="68">
        <f xml:space="preserve"> ConCost!H$53</f>
        <v>2000</v>
      </c>
      <c r="I27" s="68">
        <f xml:space="preserve"> ConCost!I$53</f>
        <v>0</v>
      </c>
      <c r="J27" s="68">
        <f xml:space="preserve"> ConCost!J$53</f>
        <v>0</v>
      </c>
      <c r="K27" s="68">
        <f xml:space="preserve"> ConCost!K$53</f>
        <v>0</v>
      </c>
      <c r="L27" s="68">
        <f xml:space="preserve"> ConCost!L$53</f>
        <v>0</v>
      </c>
      <c r="M27" s="68">
        <f xml:space="preserve"> ConCost!M$53</f>
        <v>2000</v>
      </c>
      <c r="N27" s="68">
        <f xml:space="preserve"> ConCost!N$53</f>
        <v>0</v>
      </c>
      <c r="O27" s="68">
        <f xml:space="preserve"> ConCost!O$53</f>
        <v>0</v>
      </c>
      <c r="P27" s="68">
        <f xml:space="preserve"> ConCost!P$53</f>
        <v>0</v>
      </c>
      <c r="Q27" s="68">
        <f xml:space="preserve"> ConCost!Q$53</f>
        <v>0</v>
      </c>
      <c r="R27" s="68">
        <f xml:space="preserve"> ConCost!R$53</f>
        <v>0</v>
      </c>
      <c r="S27" s="68">
        <f xml:space="preserve"> ConCost!S$53</f>
        <v>0</v>
      </c>
      <c r="T27" s="68">
        <f xml:space="preserve"> ConCost!T$53</f>
        <v>0</v>
      </c>
      <c r="U27" s="68">
        <f xml:space="preserve"> ConCost!U$53</f>
        <v>0</v>
      </c>
      <c r="V27" s="68">
        <f xml:space="preserve"> ConCost!V$53</f>
        <v>0</v>
      </c>
      <c r="W27" s="68">
        <f xml:space="preserve"> ConCost!W$53</f>
        <v>0</v>
      </c>
      <c r="X27" s="68">
        <f xml:space="preserve"> ConCost!X$53</f>
        <v>0</v>
      </c>
      <c r="Y27" s="68">
        <f xml:space="preserve"> ConCost!Y$53</f>
        <v>0</v>
      </c>
      <c r="Z27" s="68">
        <f xml:space="preserve"> ConCost!Z$53</f>
        <v>0</v>
      </c>
      <c r="AA27" s="68">
        <f xml:space="preserve"> ConCost!AA$53</f>
        <v>0</v>
      </c>
      <c r="AB27" s="68">
        <f xml:space="preserve"> ConCost!AB$53</f>
        <v>0</v>
      </c>
      <c r="AC27" s="68">
        <f xml:space="preserve"> ConCost!AC$53</f>
        <v>0</v>
      </c>
      <c r="AD27" s="68">
        <f xml:space="preserve"> ConCost!AD$53</f>
        <v>0</v>
      </c>
      <c r="AE27" s="68">
        <f xml:space="preserve"> ConCost!AE$53</f>
        <v>0</v>
      </c>
      <c r="AF27" s="68">
        <f xml:space="preserve"> ConCost!AF$53</f>
        <v>0</v>
      </c>
      <c r="AG27" s="68">
        <f xml:space="preserve"> ConCost!AG$53</f>
        <v>0</v>
      </c>
      <c r="AH27" s="68">
        <f xml:space="preserve"> ConCost!AH$53</f>
        <v>0</v>
      </c>
      <c r="AI27" s="68">
        <f xml:space="preserve"> ConCost!AI$53</f>
        <v>0</v>
      </c>
      <c r="AJ27" s="68">
        <f xml:space="preserve"> ConCost!AJ$53</f>
        <v>0</v>
      </c>
      <c r="AK27" s="68">
        <f xml:space="preserve"> ConCost!AK$53</f>
        <v>0</v>
      </c>
      <c r="AL27" s="68">
        <f xml:space="preserve"> ConCost!AL$53</f>
        <v>0</v>
      </c>
      <c r="AM27" s="68">
        <f xml:space="preserve"> ConCost!AM$53</f>
        <v>0</v>
      </c>
      <c r="AN27" s="68">
        <f xml:space="preserve"> ConCost!AN$53</f>
        <v>0</v>
      </c>
      <c r="AO27" s="68">
        <f xml:space="preserve"> ConCost!AO$53</f>
        <v>0</v>
      </c>
      <c r="AP27" s="68">
        <f xml:space="preserve"> ConCost!AP$53</f>
        <v>0</v>
      </c>
      <c r="AQ27" s="68">
        <f xml:space="preserve"> ConCost!AQ$53</f>
        <v>0</v>
      </c>
      <c r="AR27" s="68">
        <f xml:space="preserve"> ConCost!AR$53</f>
        <v>0</v>
      </c>
      <c r="AS27" s="68">
        <f xml:space="preserve"> ConCost!AS$53</f>
        <v>0</v>
      </c>
      <c r="AT27" s="68">
        <f xml:space="preserve"> ConCost!AT$53</f>
        <v>0</v>
      </c>
      <c r="AU27" s="68">
        <f xml:space="preserve"> ConCost!AU$53</f>
        <v>0</v>
      </c>
      <c r="AV27" s="68">
        <f xml:space="preserve"> ConCost!AV$53</f>
        <v>0</v>
      </c>
      <c r="AW27" s="68">
        <f xml:space="preserve"> ConCost!AW$53</f>
        <v>0</v>
      </c>
      <c r="AX27" s="68">
        <f xml:space="preserve"> ConCost!AX$53</f>
        <v>0</v>
      </c>
      <c r="AY27" s="68">
        <f xml:space="preserve"> ConCost!AY$53</f>
        <v>0</v>
      </c>
      <c r="AZ27" s="68">
        <f xml:space="preserve"> ConCost!AZ$53</f>
        <v>0</v>
      </c>
      <c r="BA27" s="68">
        <f xml:space="preserve"> ConCost!BA$53</f>
        <v>0</v>
      </c>
      <c r="BB27" s="68">
        <f xml:space="preserve"> ConCost!BB$53</f>
        <v>0</v>
      </c>
      <c r="BC27" s="68">
        <f xml:space="preserve"> ConCost!BC$53</f>
        <v>0</v>
      </c>
      <c r="BD27" s="68">
        <f xml:space="preserve"> ConCost!BD$53</f>
        <v>0</v>
      </c>
      <c r="BE27" s="68">
        <f xml:space="preserve"> ConCost!BE$53</f>
        <v>0</v>
      </c>
    </row>
    <row r="28" spans="1:306" outlineLevel="1" x14ac:dyDescent="0.2">
      <c r="E28" s="68" t="str">
        <f xml:space="preserve"> ConCost!E$58</f>
        <v>O&amp;M mobilisation</v>
      </c>
      <c r="F28" s="68">
        <f xml:space="preserve"> ConCost!F$58</f>
        <v>0</v>
      </c>
      <c r="G28" s="68" t="str">
        <f xml:space="preserve"> ConCost!G$58</f>
        <v>$ 000s</v>
      </c>
      <c r="H28" s="68">
        <f xml:space="preserve"> ConCost!H$58</f>
        <v>0</v>
      </c>
      <c r="I28" s="68">
        <f xml:space="preserve"> ConCost!I$58</f>
        <v>0</v>
      </c>
      <c r="J28" s="68">
        <f xml:space="preserve"> ConCost!J$58</f>
        <v>0</v>
      </c>
      <c r="K28" s="68">
        <f xml:space="preserve"> ConCost!K$58</f>
        <v>0</v>
      </c>
      <c r="L28" s="68">
        <f xml:space="preserve"> ConCost!L$58</f>
        <v>0</v>
      </c>
      <c r="M28" s="68">
        <f xml:space="preserve"> ConCost!M$58</f>
        <v>0</v>
      </c>
      <c r="N28" s="68">
        <f xml:space="preserve"> ConCost!N$58</f>
        <v>0</v>
      </c>
      <c r="O28" s="68">
        <f xml:space="preserve"> ConCost!O$58</f>
        <v>0</v>
      </c>
      <c r="P28" s="68">
        <f xml:space="preserve"> ConCost!P$58</f>
        <v>0</v>
      </c>
      <c r="Q28" s="68">
        <f xml:space="preserve"> ConCost!Q$58</f>
        <v>0</v>
      </c>
      <c r="R28" s="68">
        <f xml:space="preserve"> ConCost!R$58</f>
        <v>0</v>
      </c>
      <c r="S28" s="68">
        <f xml:space="preserve"> ConCost!S$58</f>
        <v>0</v>
      </c>
      <c r="T28" s="68">
        <f xml:space="preserve"> ConCost!T$58</f>
        <v>0</v>
      </c>
      <c r="U28" s="68">
        <f xml:space="preserve"> ConCost!U$58</f>
        <v>0</v>
      </c>
      <c r="V28" s="68">
        <f xml:space="preserve"> ConCost!V$58</f>
        <v>0</v>
      </c>
      <c r="W28" s="68">
        <f xml:space="preserve"> ConCost!W$58</f>
        <v>0</v>
      </c>
      <c r="X28" s="68">
        <f xml:space="preserve"> ConCost!X$58</f>
        <v>0</v>
      </c>
      <c r="Y28" s="68">
        <f xml:space="preserve"> ConCost!Y$58</f>
        <v>0</v>
      </c>
      <c r="Z28" s="68">
        <f xml:space="preserve"> ConCost!Z$58</f>
        <v>0</v>
      </c>
      <c r="AA28" s="68">
        <f xml:space="preserve"> ConCost!AA$58</f>
        <v>0</v>
      </c>
      <c r="AB28" s="68">
        <f xml:space="preserve"> ConCost!AB$58</f>
        <v>0</v>
      </c>
      <c r="AC28" s="68">
        <f xml:space="preserve"> ConCost!AC$58</f>
        <v>0</v>
      </c>
      <c r="AD28" s="68">
        <f xml:space="preserve"> ConCost!AD$58</f>
        <v>0</v>
      </c>
      <c r="AE28" s="68">
        <f xml:space="preserve"> ConCost!AE$58</f>
        <v>0</v>
      </c>
      <c r="AF28" s="68">
        <f xml:space="preserve"> ConCost!AF$58</f>
        <v>0</v>
      </c>
      <c r="AG28" s="68">
        <f xml:space="preserve"> ConCost!AG$58</f>
        <v>0</v>
      </c>
      <c r="AH28" s="68">
        <f xml:space="preserve"> ConCost!AH$58</f>
        <v>0</v>
      </c>
      <c r="AI28" s="68">
        <f xml:space="preserve"> ConCost!AI$58</f>
        <v>0</v>
      </c>
      <c r="AJ28" s="68">
        <f xml:space="preserve"> ConCost!AJ$58</f>
        <v>0</v>
      </c>
      <c r="AK28" s="68">
        <f xml:space="preserve"> ConCost!AK$58</f>
        <v>0</v>
      </c>
      <c r="AL28" s="68">
        <f xml:space="preserve"> ConCost!AL$58</f>
        <v>0</v>
      </c>
      <c r="AM28" s="68">
        <f xml:space="preserve"> ConCost!AM$58</f>
        <v>0</v>
      </c>
      <c r="AN28" s="68">
        <f xml:space="preserve"> ConCost!AN$58</f>
        <v>0</v>
      </c>
      <c r="AO28" s="68">
        <f xml:space="preserve"> ConCost!AO$58</f>
        <v>0</v>
      </c>
      <c r="AP28" s="68">
        <f xml:space="preserve"> ConCost!AP$58</f>
        <v>0</v>
      </c>
      <c r="AQ28" s="68">
        <f xml:space="preserve"> ConCost!AQ$58</f>
        <v>0</v>
      </c>
      <c r="AR28" s="68">
        <f xml:space="preserve"> ConCost!AR$58</f>
        <v>0</v>
      </c>
      <c r="AS28" s="68">
        <f xml:space="preserve"> ConCost!AS$58</f>
        <v>0</v>
      </c>
      <c r="AT28" s="68">
        <f xml:space="preserve"> ConCost!AT$58</f>
        <v>0</v>
      </c>
      <c r="AU28" s="68">
        <f xml:space="preserve"> ConCost!AU$58</f>
        <v>0</v>
      </c>
      <c r="AV28" s="68">
        <f xml:space="preserve"> ConCost!AV$58</f>
        <v>0</v>
      </c>
      <c r="AW28" s="68">
        <f xml:space="preserve"> ConCost!AW$58</f>
        <v>0</v>
      </c>
      <c r="AX28" s="68">
        <f xml:space="preserve"> ConCost!AX$58</f>
        <v>0</v>
      </c>
      <c r="AY28" s="68">
        <f xml:space="preserve"> ConCost!AY$58</f>
        <v>0</v>
      </c>
      <c r="AZ28" s="68">
        <f xml:space="preserve"> ConCost!AZ$58</f>
        <v>0</v>
      </c>
      <c r="BA28" s="68">
        <f xml:space="preserve"> ConCost!BA$58</f>
        <v>0</v>
      </c>
      <c r="BB28" s="68">
        <f xml:space="preserve"> ConCost!BB$58</f>
        <v>0</v>
      </c>
      <c r="BC28" s="68">
        <f xml:space="preserve"> ConCost!BC$58</f>
        <v>0</v>
      </c>
      <c r="BD28" s="68">
        <f xml:space="preserve"> ConCost!BD$58</f>
        <v>0</v>
      </c>
      <c r="BE28" s="68">
        <f xml:space="preserve"> ConCost!BE$58</f>
        <v>0</v>
      </c>
    </row>
    <row r="29" spans="1:306" outlineLevel="1" x14ac:dyDescent="0.2">
      <c r="E29" s="68" t="str">
        <f xml:space="preserve"> ConCost!E$74</f>
        <v>Development security LC fee</v>
      </c>
      <c r="F29" s="68">
        <f xml:space="preserve"> ConCost!F$74</f>
        <v>0</v>
      </c>
      <c r="G29" s="68" t="str">
        <f xml:space="preserve"> ConCost!G$74</f>
        <v>$ 000s</v>
      </c>
      <c r="H29" s="68">
        <f xml:space="preserve"> ConCost!H$74</f>
        <v>325</v>
      </c>
      <c r="I29" s="68">
        <f xml:space="preserve"> ConCost!I$74</f>
        <v>0</v>
      </c>
      <c r="J29" s="68">
        <f xml:space="preserve"> ConCost!J$74</f>
        <v>0</v>
      </c>
      <c r="K29" s="68">
        <f xml:space="preserve"> ConCost!K$74</f>
        <v>0</v>
      </c>
      <c r="L29" s="68">
        <f xml:space="preserve"> ConCost!L$74</f>
        <v>0</v>
      </c>
      <c r="M29" s="68">
        <f xml:space="preserve"> ConCost!M$74</f>
        <v>0</v>
      </c>
      <c r="N29" s="68">
        <f xml:space="preserve"> ConCost!N$74</f>
        <v>12.5</v>
      </c>
      <c r="O29" s="68">
        <f xml:space="preserve"> ConCost!O$74</f>
        <v>12.5</v>
      </c>
      <c r="P29" s="68">
        <f xml:space="preserve"> ConCost!P$74</f>
        <v>12.5</v>
      </c>
      <c r="Q29" s="68">
        <f xml:space="preserve"> ConCost!Q$74</f>
        <v>12.5</v>
      </c>
      <c r="R29" s="68">
        <f xml:space="preserve"> ConCost!R$74</f>
        <v>12.5</v>
      </c>
      <c r="S29" s="68">
        <f xml:space="preserve"> ConCost!S$74</f>
        <v>12.5</v>
      </c>
      <c r="T29" s="68">
        <f xml:space="preserve"> ConCost!T$74</f>
        <v>12.5</v>
      </c>
      <c r="U29" s="68">
        <f xml:space="preserve"> ConCost!U$74</f>
        <v>12.5</v>
      </c>
      <c r="V29" s="68">
        <f xml:space="preserve"> ConCost!V$74</f>
        <v>12.5</v>
      </c>
      <c r="W29" s="68">
        <f xml:space="preserve"> ConCost!W$74</f>
        <v>12.5</v>
      </c>
      <c r="X29" s="68">
        <f xml:space="preserve"> ConCost!X$74</f>
        <v>12.5</v>
      </c>
      <c r="Y29" s="68">
        <f xml:space="preserve"> ConCost!Y$74</f>
        <v>12.5</v>
      </c>
      <c r="Z29" s="68">
        <f xml:space="preserve"> ConCost!Z$74</f>
        <v>12.5</v>
      </c>
      <c r="AA29" s="68">
        <f xml:space="preserve"> ConCost!AA$74</f>
        <v>12.5</v>
      </c>
      <c r="AB29" s="68">
        <f xml:space="preserve"> ConCost!AB$74</f>
        <v>12.5</v>
      </c>
      <c r="AC29" s="68">
        <f xml:space="preserve"> ConCost!AC$74</f>
        <v>12.5</v>
      </c>
      <c r="AD29" s="68">
        <f xml:space="preserve"> ConCost!AD$74</f>
        <v>12.5</v>
      </c>
      <c r="AE29" s="68">
        <f xml:space="preserve"> ConCost!AE$74</f>
        <v>12.5</v>
      </c>
      <c r="AF29" s="68">
        <f xml:space="preserve"> ConCost!AF$74</f>
        <v>12.5</v>
      </c>
      <c r="AG29" s="68">
        <f xml:space="preserve"> ConCost!AG$74</f>
        <v>12.5</v>
      </c>
      <c r="AH29" s="68">
        <f xml:space="preserve"> ConCost!AH$74</f>
        <v>12.5</v>
      </c>
      <c r="AI29" s="68">
        <f xml:space="preserve"> ConCost!AI$74</f>
        <v>12.5</v>
      </c>
      <c r="AJ29" s="68">
        <f xml:space="preserve"> ConCost!AJ$74</f>
        <v>12.5</v>
      </c>
      <c r="AK29" s="68">
        <f xml:space="preserve"> ConCost!AK$74</f>
        <v>12.5</v>
      </c>
      <c r="AL29" s="68">
        <f xml:space="preserve"> ConCost!AL$74</f>
        <v>12.5</v>
      </c>
      <c r="AM29" s="68">
        <f xml:space="preserve"> ConCost!AM$74</f>
        <v>12.5</v>
      </c>
      <c r="AN29" s="68">
        <f xml:space="preserve"> ConCost!AN$74</f>
        <v>0</v>
      </c>
      <c r="AO29" s="68">
        <f xml:space="preserve"> ConCost!AO$74</f>
        <v>0</v>
      </c>
      <c r="AP29" s="68">
        <f xml:space="preserve"> ConCost!AP$74</f>
        <v>0</v>
      </c>
      <c r="AQ29" s="68">
        <f xml:space="preserve"> ConCost!AQ$74</f>
        <v>0</v>
      </c>
      <c r="AR29" s="68">
        <f xml:space="preserve"> ConCost!AR$74</f>
        <v>0</v>
      </c>
      <c r="AS29" s="68">
        <f xml:space="preserve"> ConCost!AS$74</f>
        <v>0</v>
      </c>
      <c r="AT29" s="68">
        <f xml:space="preserve"> ConCost!AT$74</f>
        <v>0</v>
      </c>
      <c r="AU29" s="68">
        <f xml:space="preserve"> ConCost!AU$74</f>
        <v>0</v>
      </c>
      <c r="AV29" s="68">
        <f xml:space="preserve"> ConCost!AV$74</f>
        <v>0</v>
      </c>
      <c r="AW29" s="68">
        <f xml:space="preserve"> ConCost!AW$74</f>
        <v>0</v>
      </c>
      <c r="AX29" s="68">
        <f xml:space="preserve"> ConCost!AX$74</f>
        <v>0</v>
      </c>
      <c r="AY29" s="68">
        <f xml:space="preserve"> ConCost!AY$74</f>
        <v>0</v>
      </c>
      <c r="AZ29" s="68">
        <f xml:space="preserve"> ConCost!AZ$74</f>
        <v>0</v>
      </c>
      <c r="BA29" s="68">
        <f xml:space="preserve"> ConCost!BA$74</f>
        <v>0</v>
      </c>
      <c r="BB29" s="68">
        <f xml:space="preserve"> ConCost!BB$74</f>
        <v>0</v>
      </c>
      <c r="BC29" s="68">
        <f xml:space="preserve"> ConCost!BC$74</f>
        <v>0</v>
      </c>
      <c r="BD29" s="68">
        <f xml:space="preserve"> ConCost!BD$74</f>
        <v>0</v>
      </c>
      <c r="BE29" s="68">
        <f xml:space="preserve"> ConCost!BE$74</f>
        <v>0</v>
      </c>
    </row>
    <row r="30" spans="1:306" outlineLevel="1" x14ac:dyDescent="0.2">
      <c r="E30" s="68" t="str">
        <f xml:space="preserve"> ConCost!E$207</f>
        <v>Early generation costs shortfall to be funded - m</v>
      </c>
      <c r="F30" s="68">
        <f xml:space="preserve"> ConCost!F$207</f>
        <v>0</v>
      </c>
      <c r="G30" s="68" t="str">
        <f xml:space="preserve"> ConCost!G$207</f>
        <v>$ 000s</v>
      </c>
      <c r="H30" s="68">
        <f xml:space="preserve"> ConCost!H$207</f>
        <v>0</v>
      </c>
      <c r="I30" s="68">
        <f xml:space="preserve"> ConCost!I$207</f>
        <v>0</v>
      </c>
      <c r="J30" s="68">
        <f xml:space="preserve"> ConCost!J$207</f>
        <v>0</v>
      </c>
      <c r="K30" s="68">
        <f xml:space="preserve"> ConCost!K$207</f>
        <v>0</v>
      </c>
      <c r="L30" s="68">
        <f xml:space="preserve"> ConCost!L$207</f>
        <v>0</v>
      </c>
      <c r="M30" s="68">
        <f xml:space="preserve"> ConCost!M$207</f>
        <v>0</v>
      </c>
      <c r="N30" s="68">
        <f xml:space="preserve"> ConCost!N$207</f>
        <v>0</v>
      </c>
      <c r="O30" s="68">
        <f xml:space="preserve"> ConCost!O$207</f>
        <v>0</v>
      </c>
      <c r="P30" s="68">
        <f xml:space="preserve"> ConCost!P$207</f>
        <v>0</v>
      </c>
      <c r="Q30" s="68">
        <f xml:space="preserve"> ConCost!Q$207</f>
        <v>0</v>
      </c>
      <c r="R30" s="68">
        <f xml:space="preserve"> ConCost!R$207</f>
        <v>0</v>
      </c>
      <c r="S30" s="68">
        <f xml:space="preserve"> ConCost!S$207</f>
        <v>0</v>
      </c>
      <c r="T30" s="68">
        <f xml:space="preserve"> ConCost!T$207</f>
        <v>0</v>
      </c>
      <c r="U30" s="68">
        <f xml:space="preserve"> ConCost!U$207</f>
        <v>0</v>
      </c>
      <c r="V30" s="68">
        <f xml:space="preserve"> ConCost!V$207</f>
        <v>0</v>
      </c>
      <c r="W30" s="68">
        <f xml:space="preserve"> ConCost!W$207</f>
        <v>0</v>
      </c>
      <c r="X30" s="68">
        <f xml:space="preserve"> ConCost!X$207</f>
        <v>0</v>
      </c>
      <c r="Y30" s="68">
        <f xml:space="preserve"> ConCost!Y$207</f>
        <v>0</v>
      </c>
      <c r="Z30" s="68">
        <f xml:space="preserve"> ConCost!Z$207</f>
        <v>0</v>
      </c>
      <c r="AA30" s="68">
        <f xml:space="preserve"> ConCost!AA$207</f>
        <v>0</v>
      </c>
      <c r="AB30" s="68">
        <f xml:space="preserve"> ConCost!AB$207</f>
        <v>0</v>
      </c>
      <c r="AC30" s="68">
        <f xml:space="preserve"> ConCost!AC$207</f>
        <v>0</v>
      </c>
      <c r="AD30" s="68">
        <f xml:space="preserve"> ConCost!AD$207</f>
        <v>0</v>
      </c>
      <c r="AE30" s="68">
        <f xml:space="preserve"> ConCost!AE$207</f>
        <v>0</v>
      </c>
      <c r="AF30" s="68">
        <f xml:space="preserve"> ConCost!AF$207</f>
        <v>0</v>
      </c>
      <c r="AG30" s="68">
        <f xml:space="preserve"> ConCost!AG$207</f>
        <v>0</v>
      </c>
      <c r="AH30" s="68">
        <f xml:space="preserve"> ConCost!AH$207</f>
        <v>0</v>
      </c>
      <c r="AI30" s="68">
        <f xml:space="preserve"> ConCost!AI$207</f>
        <v>0</v>
      </c>
      <c r="AJ30" s="68">
        <f xml:space="preserve"> ConCost!AJ$207</f>
        <v>0</v>
      </c>
      <c r="AK30" s="68">
        <f xml:space="preserve"> ConCost!AK$207</f>
        <v>0</v>
      </c>
      <c r="AL30" s="68">
        <f xml:space="preserve"> ConCost!AL$207</f>
        <v>0</v>
      </c>
      <c r="AM30" s="68">
        <f xml:space="preserve"> ConCost!AM$207</f>
        <v>0</v>
      </c>
      <c r="AN30" s="68">
        <f xml:space="preserve"> ConCost!AN$207</f>
        <v>0</v>
      </c>
      <c r="AO30" s="68">
        <f xml:space="preserve"> ConCost!AO$207</f>
        <v>0</v>
      </c>
      <c r="AP30" s="68">
        <f xml:space="preserve"> ConCost!AP$207</f>
        <v>0</v>
      </c>
      <c r="AQ30" s="68">
        <f xml:space="preserve"> ConCost!AQ$207</f>
        <v>0</v>
      </c>
      <c r="AR30" s="68">
        <f xml:space="preserve"> ConCost!AR$207</f>
        <v>0</v>
      </c>
      <c r="AS30" s="68">
        <f xml:space="preserve"> ConCost!AS$207</f>
        <v>0</v>
      </c>
      <c r="AT30" s="68">
        <f xml:space="preserve"> ConCost!AT$207</f>
        <v>0</v>
      </c>
      <c r="AU30" s="68">
        <f xml:space="preserve"> ConCost!AU$207</f>
        <v>0</v>
      </c>
      <c r="AV30" s="68">
        <f xml:space="preserve"> ConCost!AV$207</f>
        <v>0</v>
      </c>
      <c r="AW30" s="68">
        <f xml:space="preserve"> ConCost!AW$207</f>
        <v>0</v>
      </c>
      <c r="AX30" s="68">
        <f xml:space="preserve"> ConCost!AX$207</f>
        <v>0</v>
      </c>
      <c r="AY30" s="68">
        <f xml:space="preserve"> ConCost!AY$207</f>
        <v>0</v>
      </c>
      <c r="AZ30" s="68">
        <f xml:space="preserve"> ConCost!AZ$207</f>
        <v>0</v>
      </c>
      <c r="BA30" s="68">
        <f xml:space="preserve"> ConCost!BA$207</f>
        <v>0</v>
      </c>
      <c r="BB30" s="68">
        <f xml:space="preserve"> ConCost!BB$207</f>
        <v>0</v>
      </c>
      <c r="BC30" s="68">
        <f xml:space="preserve"> ConCost!BC$207</f>
        <v>0</v>
      </c>
      <c r="BD30" s="68">
        <f xml:space="preserve"> ConCost!BD$207</f>
        <v>0</v>
      </c>
      <c r="BE30" s="68">
        <f xml:space="preserve"> ConCost!BE$207</f>
        <v>0</v>
      </c>
    </row>
    <row r="31" spans="1:306" s="732" customFormat="1" outlineLevel="1" x14ac:dyDescent="0.2">
      <c r="A31" s="522"/>
      <c r="B31" s="522"/>
      <c r="C31" s="523"/>
      <c r="D31" s="524"/>
      <c r="E31" s="760" t="str">
        <f xml:space="preserve"> ConFin!E$168</f>
        <v>Equity bridge upfront fee - paid</v>
      </c>
      <c r="F31" s="760">
        <f xml:space="preserve"> ConFin!F$168</f>
        <v>0</v>
      </c>
      <c r="G31" s="760" t="str">
        <f xml:space="preserve"> ConFin!G$168</f>
        <v>$ 000s</v>
      </c>
      <c r="H31" s="760">
        <f xml:space="preserve"> ConFin!H$168</f>
        <v>1294.7739489543146</v>
      </c>
      <c r="I31" s="760">
        <f xml:space="preserve"> ConFin!I$168</f>
        <v>0</v>
      </c>
      <c r="J31" s="760">
        <f xml:space="preserve"> ConFin!J$168</f>
        <v>0</v>
      </c>
      <c r="K31" s="760">
        <f xml:space="preserve"> ConFin!K$168</f>
        <v>0</v>
      </c>
      <c r="L31" s="760">
        <f xml:space="preserve"> ConFin!L$168</f>
        <v>0</v>
      </c>
      <c r="M31" s="760">
        <f xml:space="preserve"> ConFin!M$168</f>
        <v>1294.7739489543146</v>
      </c>
      <c r="N31" s="760">
        <f xml:space="preserve"> ConFin!N$168</f>
        <v>0</v>
      </c>
      <c r="O31" s="760">
        <f xml:space="preserve"> ConFin!O$168</f>
        <v>0</v>
      </c>
      <c r="P31" s="760">
        <f xml:space="preserve"> ConFin!P$168</f>
        <v>0</v>
      </c>
      <c r="Q31" s="760">
        <f xml:space="preserve"> ConFin!Q$168</f>
        <v>0</v>
      </c>
      <c r="R31" s="760">
        <f xml:space="preserve"> ConFin!R$168</f>
        <v>0</v>
      </c>
      <c r="S31" s="760">
        <f xml:space="preserve"> ConFin!S$168</f>
        <v>0</v>
      </c>
      <c r="T31" s="760">
        <f xml:space="preserve"> ConFin!T$168</f>
        <v>0</v>
      </c>
      <c r="U31" s="760">
        <f xml:space="preserve"> ConFin!U$168</f>
        <v>0</v>
      </c>
      <c r="V31" s="760">
        <f xml:space="preserve"> ConFin!V$168</f>
        <v>0</v>
      </c>
      <c r="W31" s="760">
        <f xml:space="preserve"> ConFin!W$168</f>
        <v>0</v>
      </c>
      <c r="X31" s="760">
        <f xml:space="preserve"> ConFin!X$168</f>
        <v>0</v>
      </c>
      <c r="Y31" s="760">
        <f xml:space="preserve"> ConFin!Y$168</f>
        <v>0</v>
      </c>
      <c r="Z31" s="760">
        <f xml:space="preserve"> ConFin!Z$168</f>
        <v>0</v>
      </c>
      <c r="AA31" s="760">
        <f xml:space="preserve"> ConFin!AA$168</f>
        <v>0</v>
      </c>
      <c r="AB31" s="760">
        <f xml:space="preserve"> ConFin!AB$168</f>
        <v>0</v>
      </c>
      <c r="AC31" s="760">
        <f xml:space="preserve"> ConFin!AC$168</f>
        <v>0</v>
      </c>
      <c r="AD31" s="760">
        <f xml:space="preserve"> ConFin!AD$168</f>
        <v>0</v>
      </c>
      <c r="AE31" s="760">
        <f xml:space="preserve"> ConFin!AE$168</f>
        <v>0</v>
      </c>
      <c r="AF31" s="760">
        <f xml:space="preserve"> ConFin!AF$168</f>
        <v>0</v>
      </c>
      <c r="AG31" s="760">
        <f xml:space="preserve"> ConFin!AG$168</f>
        <v>0</v>
      </c>
      <c r="AH31" s="760">
        <f xml:space="preserve"> ConFin!AH$168</f>
        <v>0</v>
      </c>
      <c r="AI31" s="760">
        <f xml:space="preserve"> ConFin!AI$168</f>
        <v>0</v>
      </c>
      <c r="AJ31" s="760">
        <f xml:space="preserve"> ConFin!AJ$168</f>
        <v>0</v>
      </c>
      <c r="AK31" s="760">
        <f xml:space="preserve"> ConFin!AK$168</f>
        <v>0</v>
      </c>
      <c r="AL31" s="760">
        <f xml:space="preserve"> ConFin!AL$168</f>
        <v>0</v>
      </c>
      <c r="AM31" s="760">
        <f xml:space="preserve"> ConFin!AM$168</f>
        <v>0</v>
      </c>
      <c r="AN31" s="760">
        <f xml:space="preserve"> ConFin!AN$168</f>
        <v>0</v>
      </c>
      <c r="AO31" s="760">
        <f xml:space="preserve"> ConFin!AO$168</f>
        <v>0</v>
      </c>
      <c r="AP31" s="760">
        <f xml:space="preserve"> ConFin!AP$168</f>
        <v>0</v>
      </c>
      <c r="AQ31" s="760">
        <f xml:space="preserve"> ConFin!AQ$168</f>
        <v>0</v>
      </c>
      <c r="AR31" s="760">
        <f xml:space="preserve"> ConFin!AR$168</f>
        <v>0</v>
      </c>
      <c r="AS31" s="760">
        <f xml:space="preserve"> ConFin!AS$168</f>
        <v>0</v>
      </c>
      <c r="AT31" s="760">
        <f xml:space="preserve"> ConFin!AT$168</f>
        <v>0</v>
      </c>
      <c r="AU31" s="760">
        <f xml:space="preserve"> ConFin!AU$168</f>
        <v>0</v>
      </c>
      <c r="AV31" s="760">
        <f xml:space="preserve"> ConFin!AV$168</f>
        <v>0</v>
      </c>
      <c r="AW31" s="760">
        <f xml:space="preserve"> ConFin!AW$168</f>
        <v>0</v>
      </c>
      <c r="AX31" s="760">
        <f xml:space="preserve"> ConFin!AX$168</f>
        <v>0</v>
      </c>
      <c r="AY31" s="760">
        <f xml:space="preserve"> ConFin!AY$168</f>
        <v>0</v>
      </c>
      <c r="AZ31" s="760">
        <f xml:space="preserve"> ConFin!AZ$168</f>
        <v>0</v>
      </c>
      <c r="BA31" s="760">
        <f xml:space="preserve"> ConFin!BA$168</f>
        <v>0</v>
      </c>
      <c r="BB31" s="760">
        <f xml:space="preserve"> ConFin!BB$168</f>
        <v>0</v>
      </c>
      <c r="BC31" s="760">
        <f xml:space="preserve"> ConFin!BC$168</f>
        <v>0</v>
      </c>
      <c r="BD31" s="760">
        <f xml:space="preserve"> ConFin!BD$168</f>
        <v>0</v>
      </c>
      <c r="BE31" s="760">
        <f xml:space="preserve"> ConFin!BE$168</f>
        <v>0</v>
      </c>
    </row>
    <row r="32" spans="1:306" s="732" customFormat="1" outlineLevel="1" x14ac:dyDescent="0.2">
      <c r="A32" s="522"/>
      <c r="B32" s="522"/>
      <c r="C32" s="523"/>
      <c r="D32" s="524"/>
      <c r="E32" s="760" t="str">
        <f xml:space="preserve"> ConFin!E$191</f>
        <v>Equity bridge commitment fee - paid</v>
      </c>
      <c r="F32" s="760">
        <f xml:space="preserve"> ConFin!F$191</f>
        <v>0</v>
      </c>
      <c r="G32" s="760" t="str">
        <f xml:space="preserve"> ConFin!G$191</f>
        <v>$ 000s</v>
      </c>
      <c r="H32" s="760">
        <f xml:space="preserve"> ConFin!H$191</f>
        <v>160.09844613595186</v>
      </c>
      <c r="I32" s="760">
        <f xml:space="preserve"> ConFin!I$191</f>
        <v>0</v>
      </c>
      <c r="J32" s="760">
        <f xml:space="preserve"> ConFin!J$191</f>
        <v>0</v>
      </c>
      <c r="K32" s="760">
        <f xml:space="preserve"> ConFin!K$191</f>
        <v>0</v>
      </c>
      <c r="L32" s="760">
        <f xml:space="preserve"> ConFin!L$191</f>
        <v>0</v>
      </c>
      <c r="M32" s="760">
        <f xml:space="preserve"> ConFin!M$191</f>
        <v>0</v>
      </c>
      <c r="N32" s="760">
        <f xml:space="preserve"> ConFin!N$191</f>
        <v>46.160833193638979</v>
      </c>
      <c r="O32" s="760">
        <f xml:space="preserve"> ConFin!O$191</f>
        <v>37.270944178119898</v>
      </c>
      <c r="P32" s="760">
        <f xml:space="preserve"> ConFin!P$191</f>
        <v>30.847099566888641</v>
      </c>
      <c r="Q32" s="760">
        <f xml:space="preserve"> ConFin!Q$191</f>
        <v>23.156718172278122</v>
      </c>
      <c r="R32" s="760">
        <f xml:space="preserve"> ConFin!R$191</f>
        <v>14.946594571813201</v>
      </c>
      <c r="S32" s="760">
        <f xml:space="preserve"> ConFin!S$191</f>
        <v>7.716127800922667</v>
      </c>
      <c r="T32" s="760">
        <f xml:space="preserve"> ConFin!T$191</f>
        <v>6.3479748587269577E-6</v>
      </c>
      <c r="U32" s="760">
        <f xml:space="preserve"> ConFin!U$191</f>
        <v>6.5595740206845229E-6</v>
      </c>
      <c r="V32" s="760">
        <f xml:space="preserve"> ConFin!V$191</f>
        <v>6.5595740206845229E-6</v>
      </c>
      <c r="W32" s="760">
        <f xml:space="preserve"> ConFin!W$191</f>
        <v>5.9247765348118271E-6</v>
      </c>
      <c r="X32" s="760">
        <f xml:space="preserve"> ConFin!X$191</f>
        <v>6.5595740206845229E-6</v>
      </c>
      <c r="Y32" s="760">
        <f xml:space="preserve"> ConFin!Y$191</f>
        <v>6.3479748587269577E-6</v>
      </c>
      <c r="Z32" s="760">
        <f xml:space="preserve"> ConFin!Z$191</f>
        <v>6.5595740206845229E-6</v>
      </c>
      <c r="AA32" s="760">
        <f xml:space="preserve"> ConFin!AA$191</f>
        <v>6.3479748587269577E-6</v>
      </c>
      <c r="AB32" s="760">
        <f xml:space="preserve"> ConFin!AB$191</f>
        <v>6.5595740206845229E-6</v>
      </c>
      <c r="AC32" s="760">
        <f xml:space="preserve"> ConFin!AC$191</f>
        <v>6.5595740206845229E-6</v>
      </c>
      <c r="AD32" s="760">
        <f xml:space="preserve"> ConFin!AD$191</f>
        <v>6.3479748587269577E-6</v>
      </c>
      <c r="AE32" s="760">
        <f xml:space="preserve"> ConFin!AE$191</f>
        <v>6.5595740206845229E-6</v>
      </c>
      <c r="AF32" s="760">
        <f xml:space="preserve"> ConFin!AF$191</f>
        <v>6.3479748587269577E-6</v>
      </c>
      <c r="AG32" s="760">
        <f xml:space="preserve"> ConFin!AG$191</f>
        <v>6.5595740206845229E-6</v>
      </c>
      <c r="AH32" s="760">
        <f xml:space="preserve"> ConFin!AH$191</f>
        <v>6.5595740206845229E-6</v>
      </c>
      <c r="AI32" s="760">
        <f xml:space="preserve"> ConFin!AI$191</f>
        <v>6.1363756967693924E-6</v>
      </c>
      <c r="AJ32" s="760">
        <f xml:space="preserve"> ConFin!AJ$191</f>
        <v>6.5595740206845229E-6</v>
      </c>
      <c r="AK32" s="760">
        <f xml:space="preserve"> ConFin!AK$191</f>
        <v>6.3479748587269577E-6</v>
      </c>
      <c r="AL32" s="760">
        <f xml:space="preserve"> ConFin!AL$191</f>
        <v>6.5595740206845229E-6</v>
      </c>
      <c r="AM32" s="760">
        <f xml:space="preserve"> ConFin!AM$191</f>
        <v>6.3479748587269577E-6</v>
      </c>
      <c r="AN32" s="760">
        <f xml:space="preserve"> ConFin!AN$191</f>
        <v>0</v>
      </c>
      <c r="AO32" s="760">
        <f xml:space="preserve"> ConFin!AO$191</f>
        <v>0</v>
      </c>
      <c r="AP32" s="760">
        <f xml:space="preserve"> ConFin!AP$191</f>
        <v>0</v>
      </c>
      <c r="AQ32" s="760">
        <f xml:space="preserve"> ConFin!AQ$191</f>
        <v>0</v>
      </c>
      <c r="AR32" s="760">
        <f xml:space="preserve"> ConFin!AR$191</f>
        <v>0</v>
      </c>
      <c r="AS32" s="760">
        <f xml:space="preserve"> ConFin!AS$191</f>
        <v>0</v>
      </c>
      <c r="AT32" s="760">
        <f xml:space="preserve"> ConFin!AT$191</f>
        <v>0</v>
      </c>
      <c r="AU32" s="760">
        <f xml:space="preserve"> ConFin!AU$191</f>
        <v>0</v>
      </c>
      <c r="AV32" s="760">
        <f xml:space="preserve"> ConFin!AV$191</f>
        <v>0</v>
      </c>
      <c r="AW32" s="760">
        <f xml:space="preserve"> ConFin!AW$191</f>
        <v>0</v>
      </c>
      <c r="AX32" s="760">
        <f xml:space="preserve"> ConFin!AX$191</f>
        <v>0</v>
      </c>
      <c r="AY32" s="760">
        <f xml:space="preserve"> ConFin!AY$191</f>
        <v>0</v>
      </c>
      <c r="AZ32" s="760">
        <f xml:space="preserve"> ConFin!AZ$191</f>
        <v>0</v>
      </c>
      <c r="BA32" s="760">
        <f xml:space="preserve"> ConFin!BA$191</f>
        <v>0</v>
      </c>
      <c r="BB32" s="760">
        <f xml:space="preserve"> ConFin!BB$191</f>
        <v>0</v>
      </c>
      <c r="BC32" s="760">
        <f xml:space="preserve"> ConFin!BC$191</f>
        <v>0</v>
      </c>
      <c r="BD32" s="760">
        <f xml:space="preserve"> ConFin!BD$191</f>
        <v>0</v>
      </c>
      <c r="BE32" s="760">
        <f xml:space="preserve"> ConFin!BE$191</f>
        <v>0</v>
      </c>
    </row>
    <row r="33" spans="1:57" s="732" customFormat="1" outlineLevel="1" x14ac:dyDescent="0.2">
      <c r="A33" s="522"/>
      <c r="B33" s="522"/>
      <c r="C33" s="523"/>
      <c r="D33" s="524"/>
      <c r="E33" s="760" t="str">
        <f xml:space="preserve"> ConFin!E$154</f>
        <v>Equity bridge interest - paid</v>
      </c>
      <c r="F33" s="760">
        <f xml:space="preserve"> ConFin!F$154</f>
        <v>0</v>
      </c>
      <c r="G33" s="760" t="str">
        <f xml:space="preserve"> ConFin!G$154</f>
        <v>$ 000s</v>
      </c>
      <c r="H33" s="760">
        <f xml:space="preserve"> ConFin!H$154</f>
        <v>6742.148787806902</v>
      </c>
      <c r="I33" s="760">
        <f xml:space="preserve"> ConFin!I$154</f>
        <v>0</v>
      </c>
      <c r="J33" s="760">
        <f xml:space="preserve"> ConFin!J$154</f>
        <v>0</v>
      </c>
      <c r="K33" s="760">
        <f xml:space="preserve"> ConFin!K$154</f>
        <v>0</v>
      </c>
      <c r="L33" s="760">
        <f xml:space="preserve"> ConFin!L$154</f>
        <v>0</v>
      </c>
      <c r="M33" s="760">
        <f xml:space="preserve"> ConFin!M$154</f>
        <v>0</v>
      </c>
      <c r="N33" s="760">
        <f xml:space="preserve"> ConFin!N$154</f>
        <v>51.127351986397699</v>
      </c>
      <c r="O33" s="760">
        <f xml:space="preserve"> ConFin!O$154</f>
        <v>88.949175262097128</v>
      </c>
      <c r="P33" s="760">
        <f xml:space="preserve"> ConFin!P$154</f>
        <v>132.80059799573283</v>
      </c>
      <c r="Q33" s="760">
        <f xml:space="preserve"> ConFin!Q$154</f>
        <v>173.81596543365558</v>
      </c>
      <c r="R33" s="760">
        <f xml:space="preserve"> ConFin!R$154</f>
        <v>208.01237316239951</v>
      </c>
      <c r="S33" s="760">
        <f xml:space="preserve"> ConFin!S$154</f>
        <v>256.16578074755137</v>
      </c>
      <c r="T33" s="760">
        <f xml:space="preserve"> ConFin!T$154</f>
        <v>287.72751035620399</v>
      </c>
      <c r="U33" s="760">
        <f xml:space="preserve"> ConFin!U$154</f>
        <v>297.31842736807749</v>
      </c>
      <c r="V33" s="760">
        <f xml:space="preserve"> ConFin!V$154</f>
        <v>297.31842736807749</v>
      </c>
      <c r="W33" s="760">
        <f xml:space="preserve"> ConFin!W$154</f>
        <v>268.54567633245711</v>
      </c>
      <c r="X33" s="760">
        <f xml:space="preserve"> ConFin!X$154</f>
        <v>297.31842736807749</v>
      </c>
      <c r="Y33" s="760">
        <f xml:space="preserve"> ConFin!Y$154</f>
        <v>287.72751035620399</v>
      </c>
      <c r="Z33" s="760">
        <f xml:space="preserve"> ConFin!Z$154</f>
        <v>297.31842736807749</v>
      </c>
      <c r="AA33" s="760">
        <f xml:space="preserve"> ConFin!AA$154</f>
        <v>287.72751035620399</v>
      </c>
      <c r="AB33" s="760">
        <f xml:space="preserve"> ConFin!AB$154</f>
        <v>297.31842736807749</v>
      </c>
      <c r="AC33" s="760">
        <f xml:space="preserve"> ConFin!AC$154</f>
        <v>297.31842736807749</v>
      </c>
      <c r="AD33" s="760">
        <f xml:space="preserve"> ConFin!AD$154</f>
        <v>287.72751035620399</v>
      </c>
      <c r="AE33" s="760">
        <f xml:space="preserve"> ConFin!AE$154</f>
        <v>297.31842736807749</v>
      </c>
      <c r="AF33" s="760">
        <f xml:space="preserve"> ConFin!AF$154</f>
        <v>287.72751035620399</v>
      </c>
      <c r="AG33" s="760">
        <f xml:space="preserve"> ConFin!AG$154</f>
        <v>297.31842736807749</v>
      </c>
      <c r="AH33" s="760">
        <f xml:space="preserve"> ConFin!AH$154</f>
        <v>297.31842736807749</v>
      </c>
      <c r="AI33" s="760">
        <f xml:space="preserve"> ConFin!AI$154</f>
        <v>278.13659334433055</v>
      </c>
      <c r="AJ33" s="760">
        <f xml:space="preserve"> ConFin!AJ$154</f>
        <v>297.31842736807749</v>
      </c>
      <c r="AK33" s="760">
        <f xml:space="preserve"> ConFin!AK$154</f>
        <v>287.72751035620399</v>
      </c>
      <c r="AL33" s="760">
        <f xml:space="preserve"> ConFin!AL$154</f>
        <v>297.31842736807749</v>
      </c>
      <c r="AM33" s="760">
        <f xml:space="preserve"> ConFin!AM$154</f>
        <v>287.72751035620399</v>
      </c>
      <c r="AN33" s="760">
        <f xml:space="preserve"> ConFin!AN$154</f>
        <v>0</v>
      </c>
      <c r="AO33" s="760">
        <f xml:space="preserve"> ConFin!AO$154</f>
        <v>0</v>
      </c>
      <c r="AP33" s="760">
        <f xml:space="preserve"> ConFin!AP$154</f>
        <v>0</v>
      </c>
      <c r="AQ33" s="760">
        <f xml:space="preserve"> ConFin!AQ$154</f>
        <v>0</v>
      </c>
      <c r="AR33" s="760">
        <f xml:space="preserve"> ConFin!AR$154</f>
        <v>0</v>
      </c>
      <c r="AS33" s="760">
        <f xml:space="preserve"> ConFin!AS$154</f>
        <v>0</v>
      </c>
      <c r="AT33" s="760">
        <f xml:space="preserve"> ConFin!AT$154</f>
        <v>0</v>
      </c>
      <c r="AU33" s="760">
        <f xml:space="preserve"> ConFin!AU$154</f>
        <v>0</v>
      </c>
      <c r="AV33" s="760">
        <f xml:space="preserve"> ConFin!AV$154</f>
        <v>0</v>
      </c>
      <c r="AW33" s="760">
        <f xml:space="preserve"> ConFin!AW$154</f>
        <v>0</v>
      </c>
      <c r="AX33" s="760">
        <f xml:space="preserve"> ConFin!AX$154</f>
        <v>0</v>
      </c>
      <c r="AY33" s="760">
        <f xml:space="preserve"> ConFin!AY$154</f>
        <v>0</v>
      </c>
      <c r="AZ33" s="760">
        <f xml:space="preserve"> ConFin!AZ$154</f>
        <v>0</v>
      </c>
      <c r="BA33" s="760">
        <f xml:space="preserve"> ConFin!BA$154</f>
        <v>0</v>
      </c>
      <c r="BB33" s="760">
        <f xml:space="preserve"> ConFin!BB$154</f>
        <v>0</v>
      </c>
      <c r="BC33" s="760">
        <f xml:space="preserve"> ConFin!BC$154</f>
        <v>0</v>
      </c>
      <c r="BD33" s="760">
        <f xml:space="preserve"> ConFin!BD$154</f>
        <v>0</v>
      </c>
      <c r="BE33" s="760">
        <f xml:space="preserve"> ConFin!BE$154</f>
        <v>0</v>
      </c>
    </row>
    <row r="34" spans="1:57" s="732" customFormat="1" outlineLevel="1" x14ac:dyDescent="0.2">
      <c r="A34" s="522"/>
      <c r="B34" s="522"/>
      <c r="C34" s="523"/>
      <c r="D34" s="524"/>
      <c r="E34" s="760" t="str">
        <f xml:space="preserve"> ConFin!E$217</f>
        <v>Repayment of equity bridge POS</v>
      </c>
      <c r="F34" s="760">
        <f xml:space="preserve"> ConFin!F$217</f>
        <v>0</v>
      </c>
      <c r="G34" s="760" t="str">
        <f xml:space="preserve"> ConFin!G$217</f>
        <v>$ 000s</v>
      </c>
      <c r="H34" s="760">
        <f xml:space="preserve"> ConFin!H$217</f>
        <v>86318.253106861201</v>
      </c>
      <c r="I34" s="760">
        <f xml:space="preserve"> ConFin!I$217</f>
        <v>0</v>
      </c>
      <c r="J34" s="760">
        <f xml:space="preserve"> ConFin!J$217</f>
        <v>0</v>
      </c>
      <c r="K34" s="760">
        <f xml:space="preserve"> ConFin!K$217</f>
        <v>0</v>
      </c>
      <c r="L34" s="760">
        <f xml:space="preserve"> ConFin!L$217</f>
        <v>0</v>
      </c>
      <c r="M34" s="760">
        <f xml:space="preserve"> ConFin!M$217</f>
        <v>0</v>
      </c>
      <c r="N34" s="760">
        <f xml:space="preserve"> ConFin!N$217</f>
        <v>0</v>
      </c>
      <c r="O34" s="760">
        <f xml:space="preserve"> ConFin!O$217</f>
        <v>0</v>
      </c>
      <c r="P34" s="760">
        <f xml:space="preserve"> ConFin!P$217</f>
        <v>0</v>
      </c>
      <c r="Q34" s="760">
        <f xml:space="preserve"> ConFin!Q$217</f>
        <v>0</v>
      </c>
      <c r="R34" s="760">
        <f xml:space="preserve"> ConFin!R$217</f>
        <v>0</v>
      </c>
      <c r="S34" s="760">
        <f xml:space="preserve"> ConFin!S$217</f>
        <v>0</v>
      </c>
      <c r="T34" s="760">
        <f xml:space="preserve"> ConFin!T$217</f>
        <v>0</v>
      </c>
      <c r="U34" s="760">
        <f xml:space="preserve"> ConFin!U$217</f>
        <v>0</v>
      </c>
      <c r="V34" s="760">
        <f xml:space="preserve"> ConFin!V$217</f>
        <v>0</v>
      </c>
      <c r="W34" s="760">
        <f xml:space="preserve"> ConFin!W$217</f>
        <v>0</v>
      </c>
      <c r="X34" s="760">
        <f xml:space="preserve"> ConFin!X$217</f>
        <v>0</v>
      </c>
      <c r="Y34" s="760">
        <f xml:space="preserve"> ConFin!Y$217</f>
        <v>0</v>
      </c>
      <c r="Z34" s="760">
        <f xml:space="preserve"> ConFin!Z$217</f>
        <v>0</v>
      </c>
      <c r="AA34" s="760">
        <f xml:space="preserve"> ConFin!AA$217</f>
        <v>0</v>
      </c>
      <c r="AB34" s="760">
        <f xml:space="preserve"> ConFin!AB$217</f>
        <v>0</v>
      </c>
      <c r="AC34" s="760">
        <f xml:space="preserve"> ConFin!AC$217</f>
        <v>0</v>
      </c>
      <c r="AD34" s="760">
        <f xml:space="preserve"> ConFin!AD$217</f>
        <v>0</v>
      </c>
      <c r="AE34" s="760">
        <f xml:space="preserve"> ConFin!AE$217</f>
        <v>0</v>
      </c>
      <c r="AF34" s="760">
        <f xml:space="preserve"> ConFin!AF$217</f>
        <v>0</v>
      </c>
      <c r="AG34" s="760">
        <f xml:space="preserve"> ConFin!AG$217</f>
        <v>0</v>
      </c>
      <c r="AH34" s="760">
        <f xml:space="preserve"> ConFin!AH$217</f>
        <v>0</v>
      </c>
      <c r="AI34" s="760">
        <f xml:space="preserve"> ConFin!AI$217</f>
        <v>0</v>
      </c>
      <c r="AJ34" s="760">
        <f xml:space="preserve"> ConFin!AJ$217</f>
        <v>0</v>
      </c>
      <c r="AK34" s="760">
        <f xml:space="preserve"> ConFin!AK$217</f>
        <v>0</v>
      </c>
      <c r="AL34" s="760">
        <f xml:space="preserve"> ConFin!AL$217</f>
        <v>0</v>
      </c>
      <c r="AM34" s="760">
        <f xml:space="preserve"> ConFin!AM$217</f>
        <v>86318.253106861201</v>
      </c>
      <c r="AN34" s="760">
        <f xml:space="preserve"> ConFin!AN$217</f>
        <v>0</v>
      </c>
      <c r="AO34" s="760">
        <f xml:space="preserve"> ConFin!AO$217</f>
        <v>0</v>
      </c>
      <c r="AP34" s="760">
        <f xml:space="preserve"> ConFin!AP$217</f>
        <v>0</v>
      </c>
      <c r="AQ34" s="760">
        <f xml:space="preserve"> ConFin!AQ$217</f>
        <v>0</v>
      </c>
      <c r="AR34" s="760">
        <f xml:space="preserve"> ConFin!AR$217</f>
        <v>0</v>
      </c>
      <c r="AS34" s="760">
        <f xml:space="preserve"> ConFin!AS$217</f>
        <v>0</v>
      </c>
      <c r="AT34" s="760">
        <f xml:space="preserve"> ConFin!AT$217</f>
        <v>0</v>
      </c>
      <c r="AU34" s="760">
        <f xml:space="preserve"> ConFin!AU$217</f>
        <v>0</v>
      </c>
      <c r="AV34" s="760">
        <f xml:space="preserve"> ConFin!AV$217</f>
        <v>0</v>
      </c>
      <c r="AW34" s="760">
        <f xml:space="preserve"> ConFin!AW$217</f>
        <v>0</v>
      </c>
      <c r="AX34" s="760">
        <f xml:space="preserve"> ConFin!AX$217</f>
        <v>0</v>
      </c>
      <c r="AY34" s="760">
        <f xml:space="preserve"> ConFin!AY$217</f>
        <v>0</v>
      </c>
      <c r="AZ34" s="760">
        <f xml:space="preserve"> ConFin!AZ$217</f>
        <v>0</v>
      </c>
      <c r="BA34" s="760">
        <f xml:space="preserve"> ConFin!BA$217</f>
        <v>0</v>
      </c>
      <c r="BB34" s="760">
        <f xml:space="preserve"> ConFin!BB$217</f>
        <v>0</v>
      </c>
      <c r="BC34" s="760">
        <f xml:space="preserve"> ConFin!BC$217</f>
        <v>0</v>
      </c>
      <c r="BD34" s="760">
        <f xml:space="preserve"> ConFin!BD$217</f>
        <v>0</v>
      </c>
      <c r="BE34" s="760">
        <f xml:space="preserve"> ConFin!BE$217</f>
        <v>0</v>
      </c>
    </row>
    <row r="35" spans="1:57" s="191" customFormat="1" outlineLevel="1" x14ac:dyDescent="0.2">
      <c r="A35" s="236"/>
      <c r="B35" s="236"/>
      <c r="C35" s="237"/>
      <c r="D35" s="238"/>
      <c r="E35" s="68" t="str">
        <f xml:space="preserve"> ConFin!E$372</f>
        <v>Construction debt upfront fee</v>
      </c>
      <c r="F35" s="68">
        <f xml:space="preserve"> ConFin!F$372</f>
        <v>0</v>
      </c>
      <c r="G35" s="68" t="str">
        <f xml:space="preserve"> ConFin!G$372</f>
        <v>$ 000s</v>
      </c>
      <c r="H35" s="68">
        <f xml:space="preserve"> ConFin!H$372</f>
        <v>5258.1868974664449</v>
      </c>
      <c r="I35" s="68">
        <f xml:space="preserve"> ConFin!I$372</f>
        <v>0</v>
      </c>
      <c r="J35" s="68">
        <f xml:space="preserve"> ConFin!J$372</f>
        <v>0</v>
      </c>
      <c r="K35" s="68">
        <f xml:space="preserve"> ConFin!K$372</f>
        <v>0</v>
      </c>
      <c r="L35" s="68">
        <f xml:space="preserve"> ConFin!L$372</f>
        <v>0</v>
      </c>
      <c r="M35" s="68">
        <f xml:space="preserve"> ConFin!M$372</f>
        <v>5258.1868974664449</v>
      </c>
      <c r="N35" s="68">
        <f xml:space="preserve"> ConFin!N$372</f>
        <v>0</v>
      </c>
      <c r="O35" s="68">
        <f xml:space="preserve"> ConFin!O$372</f>
        <v>0</v>
      </c>
      <c r="P35" s="68">
        <f xml:space="preserve"> ConFin!P$372</f>
        <v>0</v>
      </c>
      <c r="Q35" s="68">
        <f xml:space="preserve"> ConFin!Q$372</f>
        <v>0</v>
      </c>
      <c r="R35" s="68">
        <f xml:space="preserve"> ConFin!R$372</f>
        <v>0</v>
      </c>
      <c r="S35" s="68">
        <f xml:space="preserve"> ConFin!S$372</f>
        <v>0</v>
      </c>
      <c r="T35" s="68">
        <f xml:space="preserve"> ConFin!T$372</f>
        <v>0</v>
      </c>
      <c r="U35" s="68">
        <f xml:space="preserve"> ConFin!U$372</f>
        <v>0</v>
      </c>
      <c r="V35" s="68">
        <f xml:space="preserve"> ConFin!V$372</f>
        <v>0</v>
      </c>
      <c r="W35" s="68">
        <f xml:space="preserve"> ConFin!W$372</f>
        <v>0</v>
      </c>
      <c r="X35" s="68">
        <f xml:space="preserve"> ConFin!X$372</f>
        <v>0</v>
      </c>
      <c r="Y35" s="68">
        <f xml:space="preserve"> ConFin!Y$372</f>
        <v>0</v>
      </c>
      <c r="Z35" s="68">
        <f xml:space="preserve"> ConFin!Z$372</f>
        <v>0</v>
      </c>
      <c r="AA35" s="68">
        <f xml:space="preserve"> ConFin!AA$372</f>
        <v>0</v>
      </c>
      <c r="AB35" s="68">
        <f xml:space="preserve"> ConFin!AB$372</f>
        <v>0</v>
      </c>
      <c r="AC35" s="68">
        <f xml:space="preserve"> ConFin!AC$372</f>
        <v>0</v>
      </c>
      <c r="AD35" s="68">
        <f xml:space="preserve"> ConFin!AD$372</f>
        <v>0</v>
      </c>
      <c r="AE35" s="68">
        <f xml:space="preserve"> ConFin!AE$372</f>
        <v>0</v>
      </c>
      <c r="AF35" s="68">
        <f xml:space="preserve"> ConFin!AF$372</f>
        <v>0</v>
      </c>
      <c r="AG35" s="68">
        <f xml:space="preserve"> ConFin!AG$372</f>
        <v>0</v>
      </c>
      <c r="AH35" s="68">
        <f xml:space="preserve"> ConFin!AH$372</f>
        <v>0</v>
      </c>
      <c r="AI35" s="68">
        <f xml:space="preserve"> ConFin!AI$372</f>
        <v>0</v>
      </c>
      <c r="AJ35" s="68">
        <f xml:space="preserve"> ConFin!AJ$372</f>
        <v>0</v>
      </c>
      <c r="AK35" s="68">
        <f xml:space="preserve"> ConFin!AK$372</f>
        <v>0</v>
      </c>
      <c r="AL35" s="68">
        <f xml:space="preserve"> ConFin!AL$372</f>
        <v>0</v>
      </c>
      <c r="AM35" s="68">
        <f xml:space="preserve"> ConFin!AM$372</f>
        <v>0</v>
      </c>
      <c r="AN35" s="68">
        <f xml:space="preserve"> ConFin!AN$372</f>
        <v>0</v>
      </c>
      <c r="AO35" s="68">
        <f xml:space="preserve"> ConFin!AO$372</f>
        <v>0</v>
      </c>
      <c r="AP35" s="68">
        <f xml:space="preserve"> ConFin!AP$372</f>
        <v>0</v>
      </c>
      <c r="AQ35" s="68">
        <f xml:space="preserve"> ConFin!AQ$372</f>
        <v>0</v>
      </c>
      <c r="AR35" s="68">
        <f xml:space="preserve"> ConFin!AR$372</f>
        <v>0</v>
      </c>
      <c r="AS35" s="68">
        <f xml:space="preserve"> ConFin!AS$372</f>
        <v>0</v>
      </c>
      <c r="AT35" s="68">
        <f xml:space="preserve"> ConFin!AT$372</f>
        <v>0</v>
      </c>
      <c r="AU35" s="68">
        <f xml:space="preserve"> ConFin!AU$372</f>
        <v>0</v>
      </c>
      <c r="AV35" s="68">
        <f xml:space="preserve"> ConFin!AV$372</f>
        <v>0</v>
      </c>
      <c r="AW35" s="68">
        <f xml:space="preserve"> ConFin!AW$372</f>
        <v>0</v>
      </c>
      <c r="AX35" s="68">
        <f xml:space="preserve"> ConFin!AX$372</f>
        <v>0</v>
      </c>
      <c r="AY35" s="68">
        <f xml:space="preserve"> ConFin!AY$372</f>
        <v>0</v>
      </c>
      <c r="AZ35" s="68">
        <f xml:space="preserve"> ConFin!AZ$372</f>
        <v>0</v>
      </c>
      <c r="BA35" s="68">
        <f xml:space="preserve"> ConFin!BA$372</f>
        <v>0</v>
      </c>
      <c r="BB35" s="68">
        <f xml:space="preserve"> ConFin!BB$372</f>
        <v>0</v>
      </c>
      <c r="BC35" s="68">
        <f xml:space="preserve"> ConFin!BC$372</f>
        <v>0</v>
      </c>
      <c r="BD35" s="68">
        <f xml:space="preserve"> ConFin!BD$372</f>
        <v>0</v>
      </c>
      <c r="BE35" s="68">
        <f xml:space="preserve"> ConFin!BE$372</f>
        <v>0</v>
      </c>
    </row>
    <row r="36" spans="1:57" s="191" customFormat="1" outlineLevel="1" x14ac:dyDescent="0.2">
      <c r="A36" s="236"/>
      <c r="B36" s="236"/>
      <c r="C36" s="237"/>
      <c r="D36" s="238"/>
      <c r="E36" s="68" t="str">
        <f xml:space="preserve"> ConFin!E$402</f>
        <v>Construction debt commitment fee</v>
      </c>
      <c r="F36" s="68">
        <f xml:space="preserve"> ConFin!F$402</f>
        <v>0</v>
      </c>
      <c r="G36" s="68" t="str">
        <f xml:space="preserve"> ConFin!G$402</f>
        <v>$ 000s</v>
      </c>
      <c r="H36" s="68">
        <f xml:space="preserve"> ConFin!H$402</f>
        <v>2738.4570389187838</v>
      </c>
      <c r="I36" s="68">
        <f xml:space="preserve"> ConFin!I$402</f>
        <v>0</v>
      </c>
      <c r="J36" s="68">
        <f xml:space="preserve"> ConFin!J$402</f>
        <v>0</v>
      </c>
      <c r="K36" s="68">
        <f xml:space="preserve"> ConFin!K$402</f>
        <v>0</v>
      </c>
      <c r="L36" s="68">
        <f xml:space="preserve"> ConFin!L$402</f>
        <v>0</v>
      </c>
      <c r="M36" s="68">
        <f xml:space="preserve"> ConFin!M$402</f>
        <v>0</v>
      </c>
      <c r="N36" s="68">
        <f xml:space="preserve"> ConFin!N$402</f>
        <v>162.75340396919947</v>
      </c>
      <c r="O36" s="68">
        <f xml:space="preserve"> ConFin!O$402</f>
        <v>162.75340396919947</v>
      </c>
      <c r="P36" s="68">
        <f xml:space="preserve"> ConFin!P$402</f>
        <v>162.75340396919947</v>
      </c>
      <c r="Q36" s="68">
        <f xml:space="preserve"> ConFin!Q$402</f>
        <v>162.75340396919947</v>
      </c>
      <c r="R36" s="68">
        <f xml:space="preserve"> ConFin!R$402</f>
        <v>162.75340396919947</v>
      </c>
      <c r="S36" s="68">
        <f xml:space="preserve"> ConFin!S$402</f>
        <v>162.75340396919947</v>
      </c>
      <c r="T36" s="68">
        <f xml:space="preserve"> ConFin!T$402</f>
        <v>162.71415764240061</v>
      </c>
      <c r="U36" s="68">
        <f xml:space="preserve"> ConFin!U$402</f>
        <v>154.89340042056619</v>
      </c>
      <c r="V36" s="68">
        <f xml:space="preserve"> ConFin!V$402</f>
        <v>147.04387650746716</v>
      </c>
      <c r="W36" s="68">
        <f xml:space="preserve"> ConFin!W$402</f>
        <v>139.17174160467761</v>
      </c>
      <c r="X36" s="68">
        <f xml:space="preserve"> ConFin!X$402</f>
        <v>131.30368993566771</v>
      </c>
      <c r="Y36" s="68">
        <f xml:space="preserve"> ConFin!Y$402</f>
        <v>123.3862145510528</v>
      </c>
      <c r="Z36" s="68">
        <f xml:space="preserve"> ConFin!Z$402</f>
        <v>115.45665002012004</v>
      </c>
      <c r="AA36" s="68">
        <f xml:space="preserve"> ConFin!AA$402</f>
        <v>107.49352635668669</v>
      </c>
      <c r="AB36" s="68">
        <f xml:space="preserve"> ConFin!AB$402</f>
        <v>99.519992055129833</v>
      </c>
      <c r="AC36" s="68">
        <f xml:space="preserve"> ConFin!AC$402</f>
        <v>91.510961963106894</v>
      </c>
      <c r="AD36" s="68">
        <f xml:space="preserve"> ConFin!AD$402</f>
        <v>83.478861414981807</v>
      </c>
      <c r="AE36" s="68">
        <f xml:space="preserve"> ConFin!AE$402</f>
        <v>75.438886540488411</v>
      </c>
      <c r="AF36" s="68">
        <f xml:space="preserve"> ConFin!AF$402</f>
        <v>67.360489486262281</v>
      </c>
      <c r="AG36" s="68">
        <f xml:space="preserve"> ConFin!AG$402</f>
        <v>59.275920449477304</v>
      </c>
      <c r="AH36" s="68">
        <f xml:space="preserve"> ConFin!AH$402</f>
        <v>51.150965073529349</v>
      </c>
      <c r="AI36" s="68">
        <f xml:space="preserve"> ConFin!AI$402</f>
        <v>44.296105312257296</v>
      </c>
      <c r="AJ36" s="68">
        <f xml:space="preserve"> ConFin!AJ$402</f>
        <v>37.460949878672267</v>
      </c>
      <c r="AK36" s="68">
        <f xml:space="preserve"> ConFin!AK$402</f>
        <v>30.566655268119057</v>
      </c>
      <c r="AL36" s="68">
        <f xml:space="preserve"> ConFin!AL$402</f>
        <v>23.673789956770808</v>
      </c>
      <c r="AM36" s="68">
        <f xml:space="preserve"> ConFin!AM$402</f>
        <v>16.739780666152562</v>
      </c>
      <c r="AN36" s="68">
        <f xml:space="preserve"> ConFin!AN$402</f>
        <v>0</v>
      </c>
      <c r="AO36" s="68">
        <f xml:space="preserve"> ConFin!AO$402</f>
        <v>0</v>
      </c>
      <c r="AP36" s="68">
        <f xml:space="preserve"> ConFin!AP$402</f>
        <v>0</v>
      </c>
      <c r="AQ36" s="68">
        <f xml:space="preserve"> ConFin!AQ$402</f>
        <v>0</v>
      </c>
      <c r="AR36" s="68">
        <f xml:space="preserve"> ConFin!AR$402</f>
        <v>0</v>
      </c>
      <c r="AS36" s="68">
        <f xml:space="preserve"> ConFin!AS$402</f>
        <v>0</v>
      </c>
      <c r="AT36" s="68">
        <f xml:space="preserve"> ConFin!AT$402</f>
        <v>0</v>
      </c>
      <c r="AU36" s="68">
        <f xml:space="preserve"> ConFin!AU$402</f>
        <v>0</v>
      </c>
      <c r="AV36" s="68">
        <f xml:space="preserve"> ConFin!AV$402</f>
        <v>0</v>
      </c>
      <c r="AW36" s="68">
        <f xml:space="preserve"> ConFin!AW$402</f>
        <v>0</v>
      </c>
      <c r="AX36" s="68">
        <f xml:space="preserve"> ConFin!AX$402</f>
        <v>0</v>
      </c>
      <c r="AY36" s="68">
        <f xml:space="preserve"> ConFin!AY$402</f>
        <v>0</v>
      </c>
      <c r="AZ36" s="68">
        <f xml:space="preserve"> ConFin!AZ$402</f>
        <v>0</v>
      </c>
      <c r="BA36" s="68">
        <f xml:space="preserve"> ConFin!BA$402</f>
        <v>0</v>
      </c>
      <c r="BB36" s="68">
        <f xml:space="preserve"> ConFin!BB$402</f>
        <v>0</v>
      </c>
      <c r="BC36" s="68">
        <f xml:space="preserve"> ConFin!BC$402</f>
        <v>0</v>
      </c>
      <c r="BD36" s="68">
        <f xml:space="preserve"> ConFin!BD$402</f>
        <v>0</v>
      </c>
      <c r="BE36" s="68">
        <f xml:space="preserve"> ConFin!BE$402</f>
        <v>0</v>
      </c>
    </row>
    <row r="37" spans="1:57" outlineLevel="1" x14ac:dyDescent="0.2">
      <c r="E37" s="68" t="str">
        <f xml:space="preserve"> ConFin!E$434</f>
        <v>Construction debt interest</v>
      </c>
      <c r="F37" s="68">
        <f xml:space="preserve"> ConFin!F$434</f>
        <v>0</v>
      </c>
      <c r="G37" s="68" t="str">
        <f xml:space="preserve"> ConFin!G$434</f>
        <v>$ 000s</v>
      </c>
      <c r="H37" s="68">
        <f xml:space="preserve"> ConFin!H$434</f>
        <v>7960.286958552726</v>
      </c>
      <c r="I37" s="68">
        <f xml:space="preserve"> ConFin!I$434</f>
        <v>0</v>
      </c>
      <c r="J37" s="68">
        <f xml:space="preserve"> ConFin!J$434</f>
        <v>0</v>
      </c>
      <c r="K37" s="68">
        <f xml:space="preserve"> ConFin!K$434</f>
        <v>0</v>
      </c>
      <c r="L37" s="68">
        <f xml:space="preserve"> ConFin!L$434</f>
        <v>0</v>
      </c>
      <c r="M37" s="68">
        <f xml:space="preserve"> ConFin!M$434</f>
        <v>0</v>
      </c>
      <c r="N37" s="68">
        <f xml:space="preserve"> ConFin!N$434</f>
        <v>0</v>
      </c>
      <c r="O37" s="68">
        <f xml:space="preserve"> ConFin!O$434</f>
        <v>0</v>
      </c>
      <c r="P37" s="68">
        <f xml:space="preserve"> ConFin!P$434</f>
        <v>0</v>
      </c>
      <c r="Q37" s="68">
        <f xml:space="preserve"> ConFin!Q$434</f>
        <v>0</v>
      </c>
      <c r="R37" s="68">
        <f xml:space="preserve"> ConFin!R$434</f>
        <v>0</v>
      </c>
      <c r="S37" s="68">
        <f xml:space="preserve"> ConFin!S$434</f>
        <v>0</v>
      </c>
      <c r="T37" s="68">
        <f xml:space="preserve"> ConFin!T$434</f>
        <v>0.20629479471210121</v>
      </c>
      <c r="U37" s="68">
        <f xml:space="preserve"> ConFin!U$434</f>
        <v>42.692583377405512</v>
      </c>
      <c r="V37" s="68">
        <f xml:space="preserve"> ConFin!V$434</f>
        <v>85.328245315648545</v>
      </c>
      <c r="W37" s="68">
        <f xml:space="preserve"> ConFin!W$434</f>
        <v>115.69123245500475</v>
      </c>
      <c r="X37" s="68">
        <f xml:space="preserve"> ConFin!X$434</f>
        <v>170.82301938726005</v>
      </c>
      <c r="Y37" s="68">
        <f xml:space="preserve"> ConFin!Y$434</f>
        <v>206.9300982235915</v>
      </c>
      <c r="Z37" s="68">
        <f xml:space="preserve"> ConFin!Z$434</f>
        <v>256.89818063794866</v>
      </c>
      <c r="AA37" s="68">
        <f xml:space="preserve"> ConFin!AA$434</f>
        <v>290.46858745038764</v>
      </c>
      <c r="AB37" s="68">
        <f xml:space="preserve"> ConFin!AB$434</f>
        <v>343.46011343069443</v>
      </c>
      <c r="AC37" s="68">
        <f xml:space="preserve"> ConFin!AC$434</f>
        <v>386.96215294762249</v>
      </c>
      <c r="AD37" s="68">
        <f xml:space="preserve"> ConFin!AD$434</f>
        <v>416.69951855422107</v>
      </c>
      <c r="AE37" s="68">
        <f xml:space="preserve"> ConFin!AE$434</f>
        <v>474.25962244398181</v>
      </c>
      <c r="AF37" s="68">
        <f xml:space="preserve"> ConFin!AF$434</f>
        <v>501.4242940769775</v>
      </c>
      <c r="AG37" s="68">
        <f xml:space="preserve"> ConFin!AG$434</f>
        <v>562.05077586994389</v>
      </c>
      <c r="AH37" s="68">
        <f xml:space="preserve"> ConFin!AH$434</f>
        <v>606.18247793331921</v>
      </c>
      <c r="AI37" s="68">
        <f xml:space="preserve"> ConFin!AI$434</f>
        <v>601.90482095343691</v>
      </c>
      <c r="AJ37" s="68">
        <f xml:space="preserve"> ConFin!AJ$434</f>
        <v>680.54149209000025</v>
      </c>
      <c r="AK37" s="68">
        <f xml:space="preserve"> ConFin!AK$434</f>
        <v>694.82778163388423</v>
      </c>
      <c r="AL37" s="68">
        <f xml:space="preserve"> ConFin!AL$434</f>
        <v>755.42815987092661</v>
      </c>
      <c r="AM37" s="68">
        <f xml:space="preserve"> ConFin!AM$434</f>
        <v>767.50750710575937</v>
      </c>
      <c r="AN37" s="68">
        <f xml:space="preserve"> ConFin!AN$434</f>
        <v>0</v>
      </c>
      <c r="AO37" s="68">
        <f xml:space="preserve"> ConFin!AO$434</f>
        <v>0</v>
      </c>
      <c r="AP37" s="68">
        <f xml:space="preserve"> ConFin!AP$434</f>
        <v>0</v>
      </c>
      <c r="AQ37" s="68">
        <f xml:space="preserve"> ConFin!AQ$434</f>
        <v>0</v>
      </c>
      <c r="AR37" s="68">
        <f xml:space="preserve"> ConFin!AR$434</f>
        <v>0</v>
      </c>
      <c r="AS37" s="68">
        <f xml:space="preserve"> ConFin!AS$434</f>
        <v>0</v>
      </c>
      <c r="AT37" s="68">
        <f xml:space="preserve"> ConFin!AT$434</f>
        <v>0</v>
      </c>
      <c r="AU37" s="68">
        <f xml:space="preserve"> ConFin!AU$434</f>
        <v>0</v>
      </c>
      <c r="AV37" s="68">
        <f xml:space="preserve"> ConFin!AV$434</f>
        <v>0</v>
      </c>
      <c r="AW37" s="68">
        <f xml:space="preserve"> ConFin!AW$434</f>
        <v>0</v>
      </c>
      <c r="AX37" s="68">
        <f xml:space="preserve"> ConFin!AX$434</f>
        <v>0</v>
      </c>
      <c r="AY37" s="68">
        <f xml:space="preserve"> ConFin!AY$434</f>
        <v>0</v>
      </c>
      <c r="AZ37" s="68">
        <f xml:space="preserve"> ConFin!AZ$434</f>
        <v>0</v>
      </c>
      <c r="BA37" s="68">
        <f xml:space="preserve"> ConFin!BA$434</f>
        <v>0</v>
      </c>
      <c r="BB37" s="68">
        <f xml:space="preserve"> ConFin!BB$434</f>
        <v>0</v>
      </c>
      <c r="BC37" s="68">
        <f xml:space="preserve"> ConFin!BC$434</f>
        <v>0</v>
      </c>
      <c r="BD37" s="68">
        <f xml:space="preserve"> ConFin!BD$434</f>
        <v>0</v>
      </c>
      <c r="BE37" s="68">
        <f xml:space="preserve"> ConFin!BE$434</f>
        <v>0</v>
      </c>
    </row>
    <row r="38" spans="1:57" outlineLevel="1" x14ac:dyDescent="0.2">
      <c r="E38" s="68" t="str">
        <f xml:space="preserve"> ConFin!E$518</f>
        <v xml:space="preserve">Standby debt upfront fee </v>
      </c>
      <c r="F38" s="68">
        <f xml:space="preserve"> ConFin!F$518</f>
        <v>0</v>
      </c>
      <c r="G38" s="68" t="str">
        <f xml:space="preserve"> ConFin!G$518</f>
        <v>$ 000s</v>
      </c>
      <c r="H38" s="68">
        <f xml:space="preserve"> ConFin!H$518</f>
        <v>90.463922227688386</v>
      </c>
      <c r="I38" s="68">
        <f xml:space="preserve"> ConFin!I$518</f>
        <v>0</v>
      </c>
      <c r="J38" s="68">
        <f xml:space="preserve"> ConFin!J$518</f>
        <v>0</v>
      </c>
      <c r="K38" s="68">
        <f xml:space="preserve"> ConFin!K$518</f>
        <v>0</v>
      </c>
      <c r="L38" s="68">
        <f xml:space="preserve"> ConFin!L$518</f>
        <v>0</v>
      </c>
      <c r="M38" s="68">
        <f xml:space="preserve"> ConFin!M$518</f>
        <v>90.463922227688386</v>
      </c>
      <c r="N38" s="68">
        <f xml:space="preserve"> ConFin!N$518</f>
        <v>0</v>
      </c>
      <c r="O38" s="68">
        <f xml:space="preserve"> ConFin!O$518</f>
        <v>0</v>
      </c>
      <c r="P38" s="68">
        <f xml:space="preserve"> ConFin!P$518</f>
        <v>0</v>
      </c>
      <c r="Q38" s="68">
        <f xml:space="preserve"> ConFin!Q$518</f>
        <v>0</v>
      </c>
      <c r="R38" s="68">
        <f xml:space="preserve"> ConFin!R$518</f>
        <v>0</v>
      </c>
      <c r="S38" s="68">
        <f xml:space="preserve"> ConFin!S$518</f>
        <v>0</v>
      </c>
      <c r="T38" s="68">
        <f xml:space="preserve"> ConFin!T$518</f>
        <v>0</v>
      </c>
      <c r="U38" s="68">
        <f xml:space="preserve"> ConFin!U$518</f>
        <v>0</v>
      </c>
      <c r="V38" s="68">
        <f xml:space="preserve"> ConFin!V$518</f>
        <v>0</v>
      </c>
      <c r="W38" s="68">
        <f xml:space="preserve"> ConFin!W$518</f>
        <v>0</v>
      </c>
      <c r="X38" s="68">
        <f xml:space="preserve"> ConFin!X$518</f>
        <v>0</v>
      </c>
      <c r="Y38" s="68">
        <f xml:space="preserve"> ConFin!Y$518</f>
        <v>0</v>
      </c>
      <c r="Z38" s="68">
        <f xml:space="preserve"> ConFin!Z$518</f>
        <v>0</v>
      </c>
      <c r="AA38" s="68">
        <f xml:space="preserve"> ConFin!AA$518</f>
        <v>0</v>
      </c>
      <c r="AB38" s="68">
        <f xml:space="preserve"> ConFin!AB$518</f>
        <v>0</v>
      </c>
      <c r="AC38" s="68">
        <f xml:space="preserve"> ConFin!AC$518</f>
        <v>0</v>
      </c>
      <c r="AD38" s="68">
        <f xml:space="preserve"> ConFin!AD$518</f>
        <v>0</v>
      </c>
      <c r="AE38" s="68">
        <f xml:space="preserve"> ConFin!AE$518</f>
        <v>0</v>
      </c>
      <c r="AF38" s="68">
        <f xml:space="preserve"> ConFin!AF$518</f>
        <v>0</v>
      </c>
      <c r="AG38" s="68">
        <f xml:space="preserve"> ConFin!AG$518</f>
        <v>0</v>
      </c>
      <c r="AH38" s="68">
        <f xml:space="preserve"> ConFin!AH$518</f>
        <v>0</v>
      </c>
      <c r="AI38" s="68">
        <f xml:space="preserve"> ConFin!AI$518</f>
        <v>0</v>
      </c>
      <c r="AJ38" s="68">
        <f xml:space="preserve"> ConFin!AJ$518</f>
        <v>0</v>
      </c>
      <c r="AK38" s="68">
        <f xml:space="preserve"> ConFin!AK$518</f>
        <v>0</v>
      </c>
      <c r="AL38" s="68">
        <f xml:space="preserve"> ConFin!AL$518</f>
        <v>0</v>
      </c>
      <c r="AM38" s="68">
        <f xml:space="preserve"> ConFin!AM$518</f>
        <v>0</v>
      </c>
      <c r="AN38" s="68">
        <f xml:space="preserve"> ConFin!AN$518</f>
        <v>0</v>
      </c>
      <c r="AO38" s="68">
        <f xml:space="preserve"> ConFin!AO$518</f>
        <v>0</v>
      </c>
      <c r="AP38" s="68">
        <f xml:space="preserve"> ConFin!AP$518</f>
        <v>0</v>
      </c>
      <c r="AQ38" s="68">
        <f xml:space="preserve"> ConFin!AQ$518</f>
        <v>0</v>
      </c>
      <c r="AR38" s="68">
        <f xml:space="preserve"> ConFin!AR$518</f>
        <v>0</v>
      </c>
      <c r="AS38" s="68">
        <f xml:space="preserve"> ConFin!AS$518</f>
        <v>0</v>
      </c>
      <c r="AT38" s="68">
        <f xml:space="preserve"> ConFin!AT$518</f>
        <v>0</v>
      </c>
      <c r="AU38" s="68">
        <f xml:space="preserve"> ConFin!AU$518</f>
        <v>0</v>
      </c>
      <c r="AV38" s="68">
        <f xml:space="preserve"> ConFin!AV$518</f>
        <v>0</v>
      </c>
      <c r="AW38" s="68">
        <f xml:space="preserve"> ConFin!AW$518</f>
        <v>0</v>
      </c>
      <c r="AX38" s="68">
        <f xml:space="preserve"> ConFin!AX$518</f>
        <v>0</v>
      </c>
      <c r="AY38" s="68">
        <f xml:space="preserve"> ConFin!AY$518</f>
        <v>0</v>
      </c>
      <c r="AZ38" s="68">
        <f xml:space="preserve"> ConFin!AZ$518</f>
        <v>0</v>
      </c>
      <c r="BA38" s="68">
        <f xml:space="preserve"> ConFin!BA$518</f>
        <v>0</v>
      </c>
      <c r="BB38" s="68">
        <f xml:space="preserve"> ConFin!BB$518</f>
        <v>0</v>
      </c>
      <c r="BC38" s="68">
        <f xml:space="preserve"> ConFin!BC$518</f>
        <v>0</v>
      </c>
      <c r="BD38" s="68">
        <f xml:space="preserve"> ConFin!BD$518</f>
        <v>0</v>
      </c>
      <c r="BE38" s="68">
        <f xml:space="preserve"> ConFin!BE$518</f>
        <v>0</v>
      </c>
    </row>
    <row r="39" spans="1:57" outlineLevel="1" x14ac:dyDescent="0.2">
      <c r="E39" s="68" t="str">
        <f xml:space="preserve"> ConFin!E$546</f>
        <v>Standby debt commitment fee</v>
      </c>
      <c r="F39" s="68">
        <f xml:space="preserve"> ConFin!F$546</f>
        <v>0</v>
      </c>
      <c r="G39" s="68" t="str">
        <f xml:space="preserve"> ConFin!G$546</f>
        <v>$ 000s</v>
      </c>
      <c r="H39" s="68">
        <f xml:space="preserve"> ConFin!H$546</f>
        <v>72.801918364187358</v>
      </c>
      <c r="I39" s="68">
        <f xml:space="preserve"> ConFin!I$546</f>
        <v>0</v>
      </c>
      <c r="J39" s="68">
        <f xml:space="preserve"> ConFin!J$546</f>
        <v>0</v>
      </c>
      <c r="K39" s="68">
        <f xml:space="preserve"> ConFin!K$546</f>
        <v>0</v>
      </c>
      <c r="L39" s="68">
        <f xml:space="preserve"> ConFin!L$546</f>
        <v>0</v>
      </c>
      <c r="M39" s="68">
        <f xml:space="preserve"> ConFin!M$546</f>
        <v>0</v>
      </c>
      <c r="N39" s="68">
        <f xml:space="preserve"> ConFin!N$546</f>
        <v>2.8000737832379743</v>
      </c>
      <c r="O39" s="68">
        <f xml:space="preserve"> ConFin!O$546</f>
        <v>2.8000737832379743</v>
      </c>
      <c r="P39" s="68">
        <f xml:space="preserve"> ConFin!P$546</f>
        <v>2.8000737832379743</v>
      </c>
      <c r="Q39" s="68">
        <f xml:space="preserve"> ConFin!Q$546</f>
        <v>2.8000737832379743</v>
      </c>
      <c r="R39" s="68">
        <f xml:space="preserve"> ConFin!R$546</f>
        <v>2.8000737832379743</v>
      </c>
      <c r="S39" s="68">
        <f xml:space="preserve"> ConFin!S$546</f>
        <v>2.8000737832379743</v>
      </c>
      <c r="T39" s="68">
        <f xml:space="preserve"> ConFin!T$546</f>
        <v>2.8000737832379743</v>
      </c>
      <c r="U39" s="68">
        <f xml:space="preserve"> ConFin!U$546</f>
        <v>2.8000737832379743</v>
      </c>
      <c r="V39" s="68">
        <f xml:space="preserve"> ConFin!V$546</f>
        <v>2.8000737832379743</v>
      </c>
      <c r="W39" s="68">
        <f xml:space="preserve"> ConFin!W$546</f>
        <v>2.8000737832379743</v>
      </c>
      <c r="X39" s="68">
        <f xml:space="preserve"> ConFin!X$546</f>
        <v>2.8000737832379743</v>
      </c>
      <c r="Y39" s="68">
        <f xml:space="preserve"> ConFin!Y$546</f>
        <v>2.8000737832379743</v>
      </c>
      <c r="Z39" s="68">
        <f xml:space="preserve"> ConFin!Z$546</f>
        <v>2.8000737832379743</v>
      </c>
      <c r="AA39" s="68">
        <f xml:space="preserve"> ConFin!AA$546</f>
        <v>2.8000737832379743</v>
      </c>
      <c r="AB39" s="68">
        <f xml:space="preserve"> ConFin!AB$546</f>
        <v>2.8000737832379743</v>
      </c>
      <c r="AC39" s="68">
        <f xml:space="preserve"> ConFin!AC$546</f>
        <v>2.8000737832379743</v>
      </c>
      <c r="AD39" s="68">
        <f xml:space="preserve"> ConFin!AD$546</f>
        <v>2.8000737832379743</v>
      </c>
      <c r="AE39" s="68">
        <f xml:space="preserve"> ConFin!AE$546</f>
        <v>2.8000737832379743</v>
      </c>
      <c r="AF39" s="68">
        <f xml:space="preserve"> ConFin!AF$546</f>
        <v>2.8000737832379743</v>
      </c>
      <c r="AG39" s="68">
        <f xml:space="preserve"> ConFin!AG$546</f>
        <v>2.8000737832379743</v>
      </c>
      <c r="AH39" s="68">
        <f xml:space="preserve"> ConFin!AH$546</f>
        <v>2.8000737832379743</v>
      </c>
      <c r="AI39" s="68">
        <f xml:space="preserve"> ConFin!AI$546</f>
        <v>2.8000737832379743</v>
      </c>
      <c r="AJ39" s="68">
        <f xml:space="preserve"> ConFin!AJ$546</f>
        <v>2.8000737832379743</v>
      </c>
      <c r="AK39" s="68">
        <f xml:space="preserve"> ConFin!AK$546</f>
        <v>2.8000737832379743</v>
      </c>
      <c r="AL39" s="68">
        <f xml:space="preserve"> ConFin!AL$546</f>
        <v>2.8000737832379743</v>
      </c>
      <c r="AM39" s="68">
        <f xml:space="preserve"> ConFin!AM$546</f>
        <v>2.8000737832379743</v>
      </c>
      <c r="AN39" s="68">
        <f xml:space="preserve"> ConFin!AN$546</f>
        <v>0</v>
      </c>
      <c r="AO39" s="68">
        <f xml:space="preserve"> ConFin!AO$546</f>
        <v>0</v>
      </c>
      <c r="AP39" s="68">
        <f xml:space="preserve"> ConFin!AP$546</f>
        <v>0</v>
      </c>
      <c r="AQ39" s="68">
        <f xml:space="preserve"> ConFin!AQ$546</f>
        <v>0</v>
      </c>
      <c r="AR39" s="68">
        <f xml:space="preserve"> ConFin!AR$546</f>
        <v>0</v>
      </c>
      <c r="AS39" s="68">
        <f xml:space="preserve"> ConFin!AS$546</f>
        <v>0</v>
      </c>
      <c r="AT39" s="68">
        <f xml:space="preserve"> ConFin!AT$546</f>
        <v>0</v>
      </c>
      <c r="AU39" s="68">
        <f xml:space="preserve"> ConFin!AU$546</f>
        <v>0</v>
      </c>
      <c r="AV39" s="68">
        <f xml:space="preserve"> ConFin!AV$546</f>
        <v>0</v>
      </c>
      <c r="AW39" s="68">
        <f xml:space="preserve"> ConFin!AW$546</f>
        <v>0</v>
      </c>
      <c r="AX39" s="68">
        <f xml:space="preserve"> ConFin!AX$546</f>
        <v>0</v>
      </c>
      <c r="AY39" s="68">
        <f xml:space="preserve"> ConFin!AY$546</f>
        <v>0</v>
      </c>
      <c r="AZ39" s="68">
        <f xml:space="preserve"> ConFin!AZ$546</f>
        <v>0</v>
      </c>
      <c r="BA39" s="68">
        <f xml:space="preserve"> ConFin!BA$546</f>
        <v>0</v>
      </c>
      <c r="BB39" s="68">
        <f xml:space="preserve"> ConFin!BB$546</f>
        <v>0</v>
      </c>
      <c r="BC39" s="68">
        <f xml:space="preserve"> ConFin!BC$546</f>
        <v>0</v>
      </c>
      <c r="BD39" s="68">
        <f xml:space="preserve"> ConFin!BD$546</f>
        <v>0</v>
      </c>
      <c r="BE39" s="68">
        <f xml:space="preserve"> ConFin!BE$546</f>
        <v>0</v>
      </c>
    </row>
    <row r="40" spans="1:57" outlineLevel="1" x14ac:dyDescent="0.2">
      <c r="E40" s="68" t="str">
        <f xml:space="preserve"> ConFin!E$578</f>
        <v>Standby debt interest</v>
      </c>
      <c r="F40" s="68">
        <f xml:space="preserve"> ConFin!F$578</f>
        <v>0</v>
      </c>
      <c r="G40" s="68" t="str">
        <f xml:space="preserve"> ConFin!G$578</f>
        <v>$ 000s</v>
      </c>
      <c r="H40" s="68">
        <f xml:space="preserve"> ConFin!H$578</f>
        <v>0</v>
      </c>
      <c r="I40" s="68">
        <f xml:space="preserve"> ConFin!I$578</f>
        <v>0</v>
      </c>
      <c r="J40" s="68">
        <f xml:space="preserve"> ConFin!J$578</f>
        <v>0</v>
      </c>
      <c r="K40" s="68">
        <f xml:space="preserve"> ConFin!K$578</f>
        <v>0</v>
      </c>
      <c r="L40" s="68">
        <f xml:space="preserve"> ConFin!L$578</f>
        <v>0</v>
      </c>
      <c r="M40" s="68">
        <f xml:space="preserve"> ConFin!M$578</f>
        <v>0</v>
      </c>
      <c r="N40" s="68">
        <f xml:space="preserve"> ConFin!N$578</f>
        <v>0</v>
      </c>
      <c r="O40" s="68">
        <f xml:space="preserve"> ConFin!O$578</f>
        <v>0</v>
      </c>
      <c r="P40" s="68">
        <f xml:space="preserve"> ConFin!P$578</f>
        <v>0</v>
      </c>
      <c r="Q40" s="68">
        <f xml:space="preserve"> ConFin!Q$578</f>
        <v>0</v>
      </c>
      <c r="R40" s="68">
        <f xml:space="preserve"> ConFin!R$578</f>
        <v>0</v>
      </c>
      <c r="S40" s="68">
        <f xml:space="preserve"> ConFin!S$578</f>
        <v>0</v>
      </c>
      <c r="T40" s="68">
        <f xml:space="preserve"> ConFin!T$578</f>
        <v>0</v>
      </c>
      <c r="U40" s="68">
        <f xml:space="preserve"> ConFin!U$578</f>
        <v>0</v>
      </c>
      <c r="V40" s="68">
        <f xml:space="preserve"> ConFin!V$578</f>
        <v>0</v>
      </c>
      <c r="W40" s="68">
        <f xml:space="preserve"> ConFin!W$578</f>
        <v>0</v>
      </c>
      <c r="X40" s="68">
        <f xml:space="preserve"> ConFin!X$578</f>
        <v>0</v>
      </c>
      <c r="Y40" s="68">
        <f xml:space="preserve"> ConFin!Y$578</f>
        <v>0</v>
      </c>
      <c r="Z40" s="68">
        <f xml:space="preserve"> ConFin!Z$578</f>
        <v>0</v>
      </c>
      <c r="AA40" s="68">
        <f xml:space="preserve"> ConFin!AA$578</f>
        <v>0</v>
      </c>
      <c r="AB40" s="68">
        <f xml:space="preserve"> ConFin!AB$578</f>
        <v>0</v>
      </c>
      <c r="AC40" s="68">
        <f xml:space="preserve"> ConFin!AC$578</f>
        <v>0</v>
      </c>
      <c r="AD40" s="68">
        <f xml:space="preserve"> ConFin!AD$578</f>
        <v>0</v>
      </c>
      <c r="AE40" s="68">
        <f xml:space="preserve"> ConFin!AE$578</f>
        <v>0</v>
      </c>
      <c r="AF40" s="68">
        <f xml:space="preserve"> ConFin!AF$578</f>
        <v>0</v>
      </c>
      <c r="AG40" s="68">
        <f xml:space="preserve"> ConFin!AG$578</f>
        <v>0</v>
      </c>
      <c r="AH40" s="68">
        <f xml:space="preserve"> ConFin!AH$578</f>
        <v>0</v>
      </c>
      <c r="AI40" s="68">
        <f xml:space="preserve"> ConFin!AI$578</f>
        <v>0</v>
      </c>
      <c r="AJ40" s="68">
        <f xml:space="preserve"> ConFin!AJ$578</f>
        <v>0</v>
      </c>
      <c r="AK40" s="68">
        <f xml:space="preserve"> ConFin!AK$578</f>
        <v>0</v>
      </c>
      <c r="AL40" s="68">
        <f xml:space="preserve"> ConFin!AL$578</f>
        <v>0</v>
      </c>
      <c r="AM40" s="68">
        <f xml:space="preserve"> ConFin!AM$578</f>
        <v>0</v>
      </c>
      <c r="AN40" s="68">
        <f xml:space="preserve"> ConFin!AN$578</f>
        <v>0</v>
      </c>
      <c r="AO40" s="68">
        <f xml:space="preserve"> ConFin!AO$578</f>
        <v>0</v>
      </c>
      <c r="AP40" s="68">
        <f xml:space="preserve"> ConFin!AP$578</f>
        <v>0</v>
      </c>
      <c r="AQ40" s="68">
        <f xml:space="preserve"> ConFin!AQ$578</f>
        <v>0</v>
      </c>
      <c r="AR40" s="68">
        <f xml:space="preserve"> ConFin!AR$578</f>
        <v>0</v>
      </c>
      <c r="AS40" s="68">
        <f xml:space="preserve"> ConFin!AS$578</f>
        <v>0</v>
      </c>
      <c r="AT40" s="68">
        <f xml:space="preserve"> ConFin!AT$578</f>
        <v>0</v>
      </c>
      <c r="AU40" s="68">
        <f xml:space="preserve"> ConFin!AU$578</f>
        <v>0</v>
      </c>
      <c r="AV40" s="68">
        <f xml:space="preserve"> ConFin!AV$578</f>
        <v>0</v>
      </c>
      <c r="AW40" s="68">
        <f xml:space="preserve"> ConFin!AW$578</f>
        <v>0</v>
      </c>
      <c r="AX40" s="68">
        <f xml:space="preserve"> ConFin!AX$578</f>
        <v>0</v>
      </c>
      <c r="AY40" s="68">
        <f xml:space="preserve"> ConFin!AY$578</f>
        <v>0</v>
      </c>
      <c r="AZ40" s="68">
        <f xml:space="preserve"> ConFin!AZ$578</f>
        <v>0</v>
      </c>
      <c r="BA40" s="68">
        <f xml:space="preserve"> ConFin!BA$578</f>
        <v>0</v>
      </c>
      <c r="BB40" s="68">
        <f xml:space="preserve"> ConFin!BB$578</f>
        <v>0</v>
      </c>
      <c r="BC40" s="68">
        <f xml:space="preserve"> ConFin!BC$578</f>
        <v>0</v>
      </c>
      <c r="BD40" s="68">
        <f xml:space="preserve"> ConFin!BD$578</f>
        <v>0</v>
      </c>
      <c r="BE40" s="68">
        <f xml:space="preserve"> ConFin!BE$578</f>
        <v>0</v>
      </c>
    </row>
    <row r="41" spans="1:57" s="191" customFormat="1" outlineLevel="1" x14ac:dyDescent="0.2">
      <c r="A41" s="236"/>
      <c r="B41" s="236"/>
      <c r="C41" s="237"/>
      <c r="D41" s="238"/>
      <c r="E41" s="68" t="str">
        <f xml:space="preserve"> ConCost!E$101</f>
        <v>Pre-funding of working capital - m</v>
      </c>
      <c r="F41" s="68">
        <f xml:space="preserve"> ConCost!F$101</f>
        <v>0</v>
      </c>
      <c r="G41" s="68" t="str">
        <f xml:space="preserve"> ConCost!G$101</f>
        <v>$ 000s</v>
      </c>
      <c r="H41" s="68">
        <f xml:space="preserve"> ConCost!H$101</f>
        <v>3857.1209730037863</v>
      </c>
      <c r="I41" s="68">
        <f xml:space="preserve"> ConCost!I$101</f>
        <v>0</v>
      </c>
      <c r="J41" s="68">
        <f xml:space="preserve"> ConCost!J$101</f>
        <v>0</v>
      </c>
      <c r="K41" s="68">
        <f xml:space="preserve"> ConCost!K$101</f>
        <v>0</v>
      </c>
      <c r="L41" s="68">
        <f xml:space="preserve"> ConCost!L$101</f>
        <v>0</v>
      </c>
      <c r="M41" s="68">
        <f xml:space="preserve"> ConCost!M$101</f>
        <v>0</v>
      </c>
      <c r="N41" s="68">
        <f xml:space="preserve"> ConCost!N$101</f>
        <v>0</v>
      </c>
      <c r="O41" s="68">
        <f xml:space="preserve"> ConCost!O$101</f>
        <v>0</v>
      </c>
      <c r="P41" s="68">
        <f xml:space="preserve"> ConCost!P$101</f>
        <v>0</v>
      </c>
      <c r="Q41" s="68">
        <f xml:space="preserve"> ConCost!Q$101</f>
        <v>0</v>
      </c>
      <c r="R41" s="68">
        <f xml:space="preserve"> ConCost!R$101</f>
        <v>0</v>
      </c>
      <c r="S41" s="68">
        <f xml:space="preserve"> ConCost!S$101</f>
        <v>0</v>
      </c>
      <c r="T41" s="68">
        <f xml:space="preserve"> ConCost!T$101</f>
        <v>0</v>
      </c>
      <c r="U41" s="68">
        <f xml:space="preserve"> ConCost!U$101</f>
        <v>0</v>
      </c>
      <c r="V41" s="68">
        <f xml:space="preserve"> ConCost!V$101</f>
        <v>0</v>
      </c>
      <c r="W41" s="68">
        <f xml:space="preserve"> ConCost!W$101</f>
        <v>0</v>
      </c>
      <c r="X41" s="68">
        <f xml:space="preserve"> ConCost!X$101</f>
        <v>0</v>
      </c>
      <c r="Y41" s="68">
        <f xml:space="preserve"> ConCost!Y$101</f>
        <v>0</v>
      </c>
      <c r="Z41" s="68">
        <f xml:space="preserve"> ConCost!Z$101</f>
        <v>0</v>
      </c>
      <c r="AA41" s="68">
        <f xml:space="preserve"> ConCost!AA$101</f>
        <v>0</v>
      </c>
      <c r="AB41" s="68">
        <f xml:space="preserve"> ConCost!AB$101</f>
        <v>0</v>
      </c>
      <c r="AC41" s="68">
        <f xml:space="preserve"> ConCost!AC$101</f>
        <v>0</v>
      </c>
      <c r="AD41" s="68">
        <f xml:space="preserve"> ConCost!AD$101</f>
        <v>0</v>
      </c>
      <c r="AE41" s="68">
        <f xml:space="preserve"> ConCost!AE$101</f>
        <v>0</v>
      </c>
      <c r="AF41" s="68">
        <f xml:space="preserve"> ConCost!AF$101</f>
        <v>0</v>
      </c>
      <c r="AG41" s="68">
        <f xml:space="preserve"> ConCost!AG$101</f>
        <v>0</v>
      </c>
      <c r="AH41" s="68">
        <f xml:space="preserve"> ConCost!AH$101</f>
        <v>0</v>
      </c>
      <c r="AI41" s="68">
        <f xml:space="preserve"> ConCost!AI$101</f>
        <v>0</v>
      </c>
      <c r="AJ41" s="68">
        <f xml:space="preserve"> ConCost!AJ$101</f>
        <v>0</v>
      </c>
      <c r="AK41" s="68">
        <f xml:space="preserve"> ConCost!AK$101</f>
        <v>0</v>
      </c>
      <c r="AL41" s="68">
        <f xml:space="preserve"> ConCost!AL$101</f>
        <v>0</v>
      </c>
      <c r="AM41" s="68">
        <f xml:space="preserve"> ConCost!AM$101</f>
        <v>3857.1209730037863</v>
      </c>
      <c r="AN41" s="68">
        <f xml:space="preserve"> ConCost!AN$101</f>
        <v>0</v>
      </c>
      <c r="AO41" s="68">
        <f xml:space="preserve"> ConCost!AO$101</f>
        <v>0</v>
      </c>
      <c r="AP41" s="68">
        <f xml:space="preserve"> ConCost!AP$101</f>
        <v>0</v>
      </c>
      <c r="AQ41" s="68">
        <f xml:space="preserve"> ConCost!AQ$101</f>
        <v>0</v>
      </c>
      <c r="AR41" s="68">
        <f xml:space="preserve"> ConCost!AR$101</f>
        <v>0</v>
      </c>
      <c r="AS41" s="68">
        <f xml:space="preserve"> ConCost!AS$101</f>
        <v>0</v>
      </c>
      <c r="AT41" s="68">
        <f xml:space="preserve"> ConCost!AT$101</f>
        <v>0</v>
      </c>
      <c r="AU41" s="68">
        <f xml:space="preserve"> ConCost!AU$101</f>
        <v>0</v>
      </c>
      <c r="AV41" s="68">
        <f xml:space="preserve"> ConCost!AV$101</f>
        <v>0</v>
      </c>
      <c r="AW41" s="68">
        <f xml:space="preserve"> ConCost!AW$101</f>
        <v>0</v>
      </c>
      <c r="AX41" s="68">
        <f xml:space="preserve"> ConCost!AX$101</f>
        <v>0</v>
      </c>
      <c r="AY41" s="68">
        <f xml:space="preserve"> ConCost!AY$101</f>
        <v>0</v>
      </c>
      <c r="AZ41" s="68">
        <f xml:space="preserve"> ConCost!AZ$101</f>
        <v>0</v>
      </c>
      <c r="BA41" s="68">
        <f xml:space="preserve"> ConCost!BA$101</f>
        <v>0</v>
      </c>
      <c r="BB41" s="68">
        <f xml:space="preserve"> ConCost!BB$101</f>
        <v>0</v>
      </c>
      <c r="BC41" s="68">
        <f xml:space="preserve"> ConCost!BC$101</f>
        <v>0</v>
      </c>
      <c r="BD41" s="68">
        <f xml:space="preserve"> ConCost!BD$101</f>
        <v>0</v>
      </c>
      <c r="BE41" s="68">
        <f xml:space="preserve"> ConCost!BE$101</f>
        <v>0</v>
      </c>
    </row>
    <row r="42" spans="1:57" s="191" customFormat="1" outlineLevel="1" x14ac:dyDescent="0.2">
      <c r="A42" s="236"/>
      <c r="B42" s="236"/>
      <c r="C42" s="237"/>
      <c r="D42" s="238"/>
      <c r="E42" s="68" t="str">
        <f xml:space="preserve"> ConCost!E$106</f>
        <v>Pre-funding of DSRA - m</v>
      </c>
      <c r="F42" s="68">
        <f xml:space="preserve"> ConCost!F$106</f>
        <v>0</v>
      </c>
      <c r="G42" s="68" t="str">
        <f xml:space="preserve"> ConCost!G$106</f>
        <v>$ 000s</v>
      </c>
      <c r="H42" s="68">
        <f xml:space="preserve"> ConCost!H$106</f>
        <v>11233.130669939161</v>
      </c>
      <c r="I42" s="68">
        <f xml:space="preserve"> ConCost!I$106</f>
        <v>0</v>
      </c>
      <c r="J42" s="68">
        <f xml:space="preserve"> ConCost!J$106</f>
        <v>0</v>
      </c>
      <c r="K42" s="68">
        <f xml:space="preserve"> ConCost!K$106</f>
        <v>0</v>
      </c>
      <c r="L42" s="68">
        <f xml:space="preserve"> ConCost!L$106</f>
        <v>0</v>
      </c>
      <c r="M42" s="68">
        <f xml:space="preserve"> ConCost!M$106</f>
        <v>0</v>
      </c>
      <c r="N42" s="68">
        <f xml:space="preserve"> ConCost!N$106</f>
        <v>0</v>
      </c>
      <c r="O42" s="68">
        <f xml:space="preserve"> ConCost!O$106</f>
        <v>0</v>
      </c>
      <c r="P42" s="68">
        <f xml:space="preserve"> ConCost!P$106</f>
        <v>0</v>
      </c>
      <c r="Q42" s="68">
        <f xml:space="preserve"> ConCost!Q$106</f>
        <v>0</v>
      </c>
      <c r="R42" s="68">
        <f xml:space="preserve"> ConCost!R$106</f>
        <v>0</v>
      </c>
      <c r="S42" s="68">
        <f xml:space="preserve"> ConCost!S$106</f>
        <v>0</v>
      </c>
      <c r="T42" s="68">
        <f xml:space="preserve"> ConCost!T$106</f>
        <v>0</v>
      </c>
      <c r="U42" s="68">
        <f xml:space="preserve"> ConCost!U$106</f>
        <v>0</v>
      </c>
      <c r="V42" s="68">
        <f xml:space="preserve"> ConCost!V$106</f>
        <v>0</v>
      </c>
      <c r="W42" s="68">
        <f xml:space="preserve"> ConCost!W$106</f>
        <v>0</v>
      </c>
      <c r="X42" s="68">
        <f xml:space="preserve"> ConCost!X$106</f>
        <v>0</v>
      </c>
      <c r="Y42" s="68">
        <f xml:space="preserve"> ConCost!Y$106</f>
        <v>0</v>
      </c>
      <c r="Z42" s="68">
        <f xml:space="preserve"> ConCost!Z$106</f>
        <v>0</v>
      </c>
      <c r="AA42" s="68">
        <f xml:space="preserve"> ConCost!AA$106</f>
        <v>0</v>
      </c>
      <c r="AB42" s="68">
        <f xml:space="preserve"> ConCost!AB$106</f>
        <v>0</v>
      </c>
      <c r="AC42" s="68">
        <f xml:space="preserve"> ConCost!AC$106</f>
        <v>0</v>
      </c>
      <c r="AD42" s="68">
        <f xml:space="preserve"> ConCost!AD$106</f>
        <v>0</v>
      </c>
      <c r="AE42" s="68">
        <f xml:space="preserve"> ConCost!AE$106</f>
        <v>0</v>
      </c>
      <c r="AF42" s="68">
        <f xml:space="preserve"> ConCost!AF$106</f>
        <v>0</v>
      </c>
      <c r="AG42" s="68">
        <f xml:space="preserve"> ConCost!AG$106</f>
        <v>0</v>
      </c>
      <c r="AH42" s="68">
        <f xml:space="preserve"> ConCost!AH$106</f>
        <v>0</v>
      </c>
      <c r="AI42" s="68">
        <f xml:space="preserve"> ConCost!AI$106</f>
        <v>0</v>
      </c>
      <c r="AJ42" s="68">
        <f xml:space="preserve"> ConCost!AJ$106</f>
        <v>0</v>
      </c>
      <c r="AK42" s="68">
        <f xml:space="preserve"> ConCost!AK$106</f>
        <v>0</v>
      </c>
      <c r="AL42" s="68">
        <f xml:space="preserve"> ConCost!AL$106</f>
        <v>0</v>
      </c>
      <c r="AM42" s="68">
        <f xml:space="preserve"> ConCost!AM$106</f>
        <v>11233.130669939161</v>
      </c>
      <c r="AN42" s="68">
        <f xml:space="preserve"> ConCost!AN$106</f>
        <v>0</v>
      </c>
      <c r="AO42" s="68">
        <f xml:space="preserve"> ConCost!AO$106</f>
        <v>0</v>
      </c>
      <c r="AP42" s="68">
        <f xml:space="preserve"> ConCost!AP$106</f>
        <v>0</v>
      </c>
      <c r="AQ42" s="68">
        <f xml:space="preserve"> ConCost!AQ$106</f>
        <v>0</v>
      </c>
      <c r="AR42" s="68">
        <f xml:space="preserve"> ConCost!AR$106</f>
        <v>0</v>
      </c>
      <c r="AS42" s="68">
        <f xml:space="preserve"> ConCost!AS$106</f>
        <v>0</v>
      </c>
      <c r="AT42" s="68">
        <f xml:space="preserve"> ConCost!AT$106</f>
        <v>0</v>
      </c>
      <c r="AU42" s="68">
        <f xml:space="preserve"> ConCost!AU$106</f>
        <v>0</v>
      </c>
      <c r="AV42" s="68">
        <f xml:space="preserve"> ConCost!AV$106</f>
        <v>0</v>
      </c>
      <c r="AW42" s="68">
        <f xml:space="preserve"> ConCost!AW$106</f>
        <v>0</v>
      </c>
      <c r="AX42" s="68">
        <f xml:space="preserve"> ConCost!AX$106</f>
        <v>0</v>
      </c>
      <c r="AY42" s="68">
        <f xml:space="preserve"> ConCost!AY$106</f>
        <v>0</v>
      </c>
      <c r="AZ42" s="68">
        <f xml:space="preserve"> ConCost!AZ$106</f>
        <v>0</v>
      </c>
      <c r="BA42" s="68">
        <f xml:space="preserve"> ConCost!BA$106</f>
        <v>0</v>
      </c>
      <c r="BB42" s="68">
        <f xml:space="preserve"> ConCost!BB$106</f>
        <v>0</v>
      </c>
      <c r="BC42" s="68">
        <f xml:space="preserve"> ConCost!BC$106</f>
        <v>0</v>
      </c>
      <c r="BD42" s="68">
        <f xml:space="preserve"> ConCost!BD$106</f>
        <v>0</v>
      </c>
      <c r="BE42" s="68">
        <f xml:space="preserve"> ConCost!BE$106</f>
        <v>0</v>
      </c>
    </row>
    <row r="43" spans="1:57" s="191" customFormat="1" outlineLevel="1" x14ac:dyDescent="0.2">
      <c r="A43" s="236"/>
      <c r="B43" s="236"/>
      <c r="C43" s="237"/>
      <c r="D43" s="238"/>
      <c r="E43" s="68" t="str">
        <f xml:space="preserve"> ConFin!E$271</f>
        <v>Standby equity LC fee</v>
      </c>
      <c r="F43" s="68">
        <f xml:space="preserve"> ConFin!F$271</f>
        <v>0</v>
      </c>
      <c r="G43" s="68" t="str">
        <f xml:space="preserve"> ConFin!G$271</f>
        <v>$ 000s</v>
      </c>
      <c r="H43" s="68">
        <f xml:space="preserve"> ConFin!H$271</f>
        <v>18.33210361270044</v>
      </c>
      <c r="I43" s="68">
        <f xml:space="preserve"> ConFin!I$271</f>
        <v>0</v>
      </c>
      <c r="J43" s="68">
        <f xml:space="preserve"> ConFin!J$271</f>
        <v>0</v>
      </c>
      <c r="K43" s="68">
        <f xml:space="preserve"> ConFin!K$271</f>
        <v>0</v>
      </c>
      <c r="L43" s="68">
        <f xml:space="preserve"> ConFin!L$271</f>
        <v>0</v>
      </c>
      <c r="M43" s="68">
        <f xml:space="preserve"> ConFin!M$271</f>
        <v>0</v>
      </c>
      <c r="N43" s="68">
        <f xml:space="preserve"> ConFin!N$271</f>
        <v>0.70508090818078595</v>
      </c>
      <c r="O43" s="68">
        <f xml:space="preserve"> ConFin!O$271</f>
        <v>0.70508090818078595</v>
      </c>
      <c r="P43" s="68">
        <f xml:space="preserve"> ConFin!P$271</f>
        <v>0.70508090818078595</v>
      </c>
      <c r="Q43" s="68">
        <f xml:space="preserve"> ConFin!Q$271</f>
        <v>0.70508090818078595</v>
      </c>
      <c r="R43" s="68">
        <f xml:space="preserve"> ConFin!R$271</f>
        <v>0.70508090818078595</v>
      </c>
      <c r="S43" s="68">
        <f xml:space="preserve"> ConFin!S$271</f>
        <v>0.70508090818078595</v>
      </c>
      <c r="T43" s="68">
        <f xml:space="preserve"> ConFin!T$271</f>
        <v>0.70508090818078595</v>
      </c>
      <c r="U43" s="68">
        <f xml:space="preserve"> ConFin!U$271</f>
        <v>0.70508090818078595</v>
      </c>
      <c r="V43" s="68">
        <f xml:space="preserve"> ConFin!V$271</f>
        <v>0.70508090818078595</v>
      </c>
      <c r="W43" s="68">
        <f xml:space="preserve"> ConFin!W$271</f>
        <v>0.70508090818078595</v>
      </c>
      <c r="X43" s="68">
        <f xml:space="preserve"> ConFin!X$271</f>
        <v>0.70508090818078595</v>
      </c>
      <c r="Y43" s="68">
        <f xml:space="preserve"> ConFin!Y$271</f>
        <v>0.70508090818078595</v>
      </c>
      <c r="Z43" s="68">
        <f xml:space="preserve"> ConFin!Z$271</f>
        <v>0.70508090818078595</v>
      </c>
      <c r="AA43" s="68">
        <f xml:space="preserve"> ConFin!AA$271</f>
        <v>0.70508090818078595</v>
      </c>
      <c r="AB43" s="68">
        <f xml:space="preserve"> ConFin!AB$271</f>
        <v>0.70508090818078595</v>
      </c>
      <c r="AC43" s="68">
        <f xml:space="preserve"> ConFin!AC$271</f>
        <v>0.70508090818078595</v>
      </c>
      <c r="AD43" s="68">
        <f xml:space="preserve"> ConFin!AD$271</f>
        <v>0.70508090818078595</v>
      </c>
      <c r="AE43" s="68">
        <f xml:space="preserve"> ConFin!AE$271</f>
        <v>0.70508090818078595</v>
      </c>
      <c r="AF43" s="68">
        <f xml:space="preserve"> ConFin!AF$271</f>
        <v>0.70508090818078595</v>
      </c>
      <c r="AG43" s="68">
        <f xml:space="preserve"> ConFin!AG$271</f>
        <v>0.70508090818078595</v>
      </c>
      <c r="AH43" s="68">
        <f xml:space="preserve"> ConFin!AH$271</f>
        <v>0.70508090818078595</v>
      </c>
      <c r="AI43" s="68">
        <f xml:space="preserve"> ConFin!AI$271</f>
        <v>0.70508090818078595</v>
      </c>
      <c r="AJ43" s="68">
        <f xml:space="preserve"> ConFin!AJ$271</f>
        <v>0.70508090818078595</v>
      </c>
      <c r="AK43" s="68">
        <f xml:space="preserve"> ConFin!AK$271</f>
        <v>0.70508090818078595</v>
      </c>
      <c r="AL43" s="68">
        <f xml:space="preserve"> ConFin!AL$271</f>
        <v>0.70508090818078595</v>
      </c>
      <c r="AM43" s="68">
        <f xml:space="preserve"> ConFin!AM$271</f>
        <v>0.70508090818078595</v>
      </c>
      <c r="AN43" s="68">
        <f xml:space="preserve"> ConFin!AN$271</f>
        <v>0</v>
      </c>
      <c r="AO43" s="68">
        <f xml:space="preserve"> ConFin!AO$271</f>
        <v>0</v>
      </c>
      <c r="AP43" s="68">
        <f xml:space="preserve"> ConFin!AP$271</f>
        <v>0</v>
      </c>
      <c r="AQ43" s="68">
        <f xml:space="preserve"> ConFin!AQ$271</f>
        <v>0</v>
      </c>
      <c r="AR43" s="68">
        <f xml:space="preserve"> ConFin!AR$271</f>
        <v>0</v>
      </c>
      <c r="AS43" s="68">
        <f xml:space="preserve"> ConFin!AS$271</f>
        <v>0</v>
      </c>
      <c r="AT43" s="68">
        <f xml:space="preserve"> ConFin!AT$271</f>
        <v>0</v>
      </c>
      <c r="AU43" s="68">
        <f xml:space="preserve"> ConFin!AU$271</f>
        <v>0</v>
      </c>
      <c r="AV43" s="68">
        <f xml:space="preserve"> ConFin!AV$271</f>
        <v>0</v>
      </c>
      <c r="AW43" s="68">
        <f xml:space="preserve"> ConFin!AW$271</f>
        <v>0</v>
      </c>
      <c r="AX43" s="68">
        <f xml:space="preserve"> ConFin!AX$271</f>
        <v>0</v>
      </c>
      <c r="AY43" s="68">
        <f xml:space="preserve"> ConFin!AY$271</f>
        <v>0</v>
      </c>
      <c r="AZ43" s="68">
        <f xml:space="preserve"> ConFin!AZ$271</f>
        <v>0</v>
      </c>
      <c r="BA43" s="68">
        <f xml:space="preserve"> ConFin!BA$271</f>
        <v>0</v>
      </c>
      <c r="BB43" s="68">
        <f xml:space="preserve"> ConFin!BB$271</f>
        <v>0</v>
      </c>
      <c r="BC43" s="68">
        <f xml:space="preserve"> ConFin!BC$271</f>
        <v>0</v>
      </c>
      <c r="BD43" s="68">
        <f xml:space="preserve"> ConFin!BD$271</f>
        <v>0</v>
      </c>
      <c r="BE43" s="68">
        <f xml:space="preserve"> ConFin!BE$271</f>
        <v>0</v>
      </c>
    </row>
    <row r="44" spans="1:57" outlineLevel="1" x14ac:dyDescent="0.2">
      <c r="E44" s="419" t="s">
        <v>278</v>
      </c>
      <c r="F44" s="419"/>
      <c r="G44" s="419"/>
      <c r="H44" s="419"/>
      <c r="I44" s="419"/>
      <c r="J44" s="419"/>
      <c r="K44" s="419"/>
      <c r="L44" s="419"/>
      <c r="M44" s="419"/>
      <c r="N44" s="419"/>
      <c r="O44" s="419"/>
      <c r="P44" s="419"/>
      <c r="Q44" s="419"/>
      <c r="R44" s="419"/>
      <c r="S44" s="419"/>
      <c r="T44" s="419"/>
      <c r="U44" s="419"/>
      <c r="V44" s="419"/>
      <c r="W44" s="419"/>
      <c r="X44" s="419"/>
      <c r="Y44" s="419"/>
      <c r="Z44" s="419"/>
      <c r="AA44" s="419"/>
      <c r="AB44" s="419"/>
      <c r="AC44" s="419"/>
      <c r="AD44" s="419"/>
      <c r="AE44" s="419"/>
      <c r="AF44" s="419"/>
      <c r="AG44" s="419"/>
      <c r="AH44" s="419"/>
      <c r="AI44" s="419"/>
      <c r="AJ44" s="419"/>
      <c r="AK44" s="419"/>
      <c r="AL44" s="419"/>
      <c r="AM44" s="419"/>
      <c r="AN44" s="419"/>
      <c r="AO44" s="419"/>
      <c r="AP44" s="419"/>
      <c r="AQ44" s="419"/>
      <c r="AR44" s="419"/>
      <c r="AS44" s="419"/>
      <c r="AT44" s="419"/>
      <c r="AU44" s="419"/>
      <c r="AV44" s="419"/>
      <c r="AW44" s="419"/>
      <c r="AX44" s="419"/>
      <c r="AY44" s="419"/>
      <c r="AZ44" s="419"/>
      <c r="BA44" s="419"/>
      <c r="BB44" s="419"/>
      <c r="BC44" s="419"/>
      <c r="BD44" s="419"/>
      <c r="BE44" s="419"/>
    </row>
    <row r="45" spans="1:57" outlineLevel="1" x14ac:dyDescent="0.2">
      <c r="E45" s="491" t="s">
        <v>251</v>
      </c>
      <c r="F45" s="491"/>
      <c r="G45" s="491" t="str">
        <f xml:space="preserve"> SMU</f>
        <v>$ 000s</v>
      </c>
      <c r="H45" s="491">
        <f xml:space="preserve"> SUM(J45:BE45)</f>
        <v>435066.36249184381</v>
      </c>
      <c r="I45" s="233"/>
      <c r="J45" s="491">
        <f t="shared" ref="J45:BE45" si="1">SUM(J21:J44)</f>
        <v>0</v>
      </c>
      <c r="K45" s="491">
        <f t="shared" si="1"/>
        <v>0</v>
      </c>
      <c r="L45" s="491">
        <f t="shared" si="1"/>
        <v>0</v>
      </c>
      <c r="M45" s="491">
        <f t="shared" si="1"/>
        <v>14943.424768648449</v>
      </c>
      <c r="N45" s="491">
        <f t="shared" si="1"/>
        <v>11841.3278099945</v>
      </c>
      <c r="O45" s="491">
        <f t="shared" si="1"/>
        <v>11870.259744254683</v>
      </c>
      <c r="P45" s="491">
        <f t="shared" si="1"/>
        <v>11907.687322377085</v>
      </c>
      <c r="Q45" s="491">
        <f t="shared" si="1"/>
        <v>11941.012308420399</v>
      </c>
      <c r="R45" s="491">
        <f t="shared" si="1"/>
        <v>11966.998592548676</v>
      </c>
      <c r="S45" s="491">
        <f t="shared" si="1"/>
        <v>12007.921533362938</v>
      </c>
      <c r="T45" s="491">
        <f t="shared" si="1"/>
        <v>12031.934189986556</v>
      </c>
      <c r="U45" s="491">
        <f t="shared" si="1"/>
        <v>12076.190638570888</v>
      </c>
      <c r="V45" s="491">
        <f t="shared" si="1"/>
        <v>12110.976776596031</v>
      </c>
      <c r="W45" s="491">
        <f t="shared" si="1"/>
        <v>12104.694877162179</v>
      </c>
      <c r="X45" s="491">
        <f t="shared" si="1"/>
        <v>12180.731364095845</v>
      </c>
      <c r="Y45" s="491">
        <f t="shared" si="1"/>
        <v>12199.330050324086</v>
      </c>
      <c r="Z45" s="491">
        <f t="shared" si="1"/>
        <v>12250.959485430985</v>
      </c>
      <c r="AA45" s="491">
        <f t="shared" si="1"/>
        <v>12266.975851356518</v>
      </c>
      <c r="AB45" s="491">
        <f t="shared" si="1"/>
        <v>12321.58476025874</v>
      </c>
      <c r="AC45" s="491">
        <f t="shared" si="1"/>
        <v>12357.077769683647</v>
      </c>
      <c r="AD45" s="491">
        <f t="shared" si="1"/>
        <v>12369.192117518647</v>
      </c>
      <c r="AE45" s="491">
        <f t="shared" si="1"/>
        <v>12428.303163757388</v>
      </c>
      <c r="AF45" s="491">
        <f t="shared" si="1"/>
        <v>12437.798521112683</v>
      </c>
      <c r="AG45" s="491">
        <f t="shared" si="1"/>
        <v>12499.931351092338</v>
      </c>
      <c r="AH45" s="491">
        <f t="shared" si="1"/>
        <v>12535.938097779766</v>
      </c>
      <c r="AI45" s="491">
        <f t="shared" si="1"/>
        <v>12505.623746591666</v>
      </c>
      <c r="AJ45" s="491">
        <f t="shared" si="1"/>
        <v>12596.607096741589</v>
      </c>
      <c r="AK45" s="491">
        <f t="shared" si="1"/>
        <v>12594.408174451448</v>
      </c>
      <c r="AL45" s="491">
        <f t="shared" si="1"/>
        <v>12657.706604600613</v>
      </c>
      <c r="AM45" s="491">
        <f t="shared" si="1"/>
        <v>114061.76577512549</v>
      </c>
      <c r="AN45" s="491">
        <f t="shared" si="1"/>
        <v>0</v>
      </c>
      <c r="AO45" s="491">
        <f t="shared" si="1"/>
        <v>0</v>
      </c>
      <c r="AP45" s="491">
        <f t="shared" si="1"/>
        <v>0</v>
      </c>
      <c r="AQ45" s="491">
        <f t="shared" si="1"/>
        <v>0</v>
      </c>
      <c r="AR45" s="491">
        <f t="shared" si="1"/>
        <v>0</v>
      </c>
      <c r="AS45" s="491">
        <f t="shared" si="1"/>
        <v>0</v>
      </c>
      <c r="AT45" s="491">
        <f t="shared" si="1"/>
        <v>0</v>
      </c>
      <c r="AU45" s="491">
        <f t="shared" si="1"/>
        <v>0</v>
      </c>
      <c r="AV45" s="491">
        <f t="shared" si="1"/>
        <v>0</v>
      </c>
      <c r="AW45" s="491">
        <f t="shared" si="1"/>
        <v>0</v>
      </c>
      <c r="AX45" s="491">
        <f t="shared" si="1"/>
        <v>0</v>
      </c>
      <c r="AY45" s="491">
        <f t="shared" si="1"/>
        <v>0</v>
      </c>
      <c r="AZ45" s="491">
        <f t="shared" si="1"/>
        <v>0</v>
      </c>
      <c r="BA45" s="491">
        <f t="shared" si="1"/>
        <v>0</v>
      </c>
      <c r="BB45" s="491">
        <f t="shared" si="1"/>
        <v>0</v>
      </c>
      <c r="BC45" s="491">
        <f t="shared" si="1"/>
        <v>0</v>
      </c>
      <c r="BD45" s="491">
        <f t="shared" si="1"/>
        <v>0</v>
      </c>
      <c r="BE45" s="491">
        <f t="shared" si="1"/>
        <v>0</v>
      </c>
    </row>
    <row r="46" spans="1:57" outlineLevel="1" x14ac:dyDescent="0.2"/>
    <row r="47" spans="1:57" outlineLevel="1" x14ac:dyDescent="0.2">
      <c r="E47" s="9" t="str">
        <f t="shared" ref="E47:BE47" si="2" xml:space="preserve"> E$16</f>
        <v>Sources of cash</v>
      </c>
      <c r="F47" s="9">
        <f t="shared" si="2"/>
        <v>0</v>
      </c>
      <c r="G47" s="9" t="str">
        <f t="shared" si="2"/>
        <v>$ 000s</v>
      </c>
      <c r="H47" s="9">
        <f t="shared" si="2"/>
        <v>435066.35847402923</v>
      </c>
      <c r="I47" s="9">
        <f t="shared" si="2"/>
        <v>0</v>
      </c>
      <c r="J47" s="9">
        <f t="shared" si="2"/>
        <v>0</v>
      </c>
      <c r="K47" s="9">
        <f t="shared" si="2"/>
        <v>0</v>
      </c>
      <c r="L47" s="9">
        <f t="shared" si="2"/>
        <v>0</v>
      </c>
      <c r="M47" s="9">
        <f t="shared" si="2"/>
        <v>14943.424770244494</v>
      </c>
      <c r="N47" s="9">
        <f t="shared" si="2"/>
        <v>11841.327808384644</v>
      </c>
      <c r="O47" s="9">
        <f t="shared" si="2"/>
        <v>11870.259742712651</v>
      </c>
      <c r="P47" s="9">
        <f t="shared" si="2"/>
        <v>11907.687320687248</v>
      </c>
      <c r="Q47" s="9">
        <f t="shared" si="2"/>
        <v>11941.012306690816</v>
      </c>
      <c r="R47" s="9">
        <f t="shared" si="2"/>
        <v>11966.998590891828</v>
      </c>
      <c r="S47" s="9">
        <f t="shared" si="2"/>
        <v>12007.921531555499</v>
      </c>
      <c r="T47" s="9">
        <f t="shared" si="2"/>
        <v>12031.934187437519</v>
      </c>
      <c r="U47" s="9">
        <f t="shared" si="2"/>
        <v>12076.190635536972</v>
      </c>
      <c r="V47" s="9">
        <f t="shared" si="2"/>
        <v>12110.976773522409</v>
      </c>
      <c r="W47" s="9">
        <f t="shared" si="2"/>
        <v>12104.694875399815</v>
      </c>
      <c r="X47" s="9">
        <f t="shared" si="2"/>
        <v>12180.731360946033</v>
      </c>
      <c r="Y47" s="9">
        <f t="shared" si="2"/>
        <v>12199.330047588888</v>
      </c>
      <c r="Z47" s="9">
        <f t="shared" si="2"/>
        <v>12250.959482205111</v>
      </c>
      <c r="AA47" s="9">
        <f t="shared" si="2"/>
        <v>12266.975848549024</v>
      </c>
      <c r="AB47" s="9">
        <f t="shared" si="2"/>
        <v>12321.584756958357</v>
      </c>
      <c r="AC47" s="9">
        <f t="shared" si="2"/>
        <v>12357.077766346292</v>
      </c>
      <c r="AD47" s="9">
        <f t="shared" si="2"/>
        <v>12369.192114605235</v>
      </c>
      <c r="AE47" s="9">
        <f t="shared" si="2"/>
        <v>12428.303160347879</v>
      </c>
      <c r="AF47" s="9">
        <f t="shared" si="2"/>
        <v>12437.798518130739</v>
      </c>
      <c r="AG47" s="9">
        <f t="shared" si="2"/>
        <v>12499.931347612244</v>
      </c>
      <c r="AH47" s="9">
        <f t="shared" si="2"/>
        <v>12535.938094264708</v>
      </c>
      <c r="AI47" s="9">
        <f t="shared" si="2"/>
        <v>12505.623743976959</v>
      </c>
      <c r="AJ47" s="9">
        <f t="shared" si="2"/>
        <v>12596.607093158804</v>
      </c>
      <c r="AK47" s="9">
        <f t="shared" si="2"/>
        <v>12594.408171304991</v>
      </c>
      <c r="AL47" s="9">
        <f t="shared" si="2"/>
        <v>12657.706600951156</v>
      </c>
      <c r="AM47" s="9">
        <f t="shared" si="2"/>
        <v>114061.76182401899</v>
      </c>
      <c r="AN47" s="9">
        <f t="shared" si="2"/>
        <v>0</v>
      </c>
      <c r="AO47" s="9">
        <f t="shared" si="2"/>
        <v>0</v>
      </c>
      <c r="AP47" s="9">
        <f t="shared" si="2"/>
        <v>0</v>
      </c>
      <c r="AQ47" s="9">
        <f t="shared" si="2"/>
        <v>0</v>
      </c>
      <c r="AR47" s="9">
        <f t="shared" si="2"/>
        <v>0</v>
      </c>
      <c r="AS47" s="9">
        <f t="shared" si="2"/>
        <v>0</v>
      </c>
      <c r="AT47" s="9">
        <f t="shared" si="2"/>
        <v>0</v>
      </c>
      <c r="AU47" s="9">
        <f t="shared" si="2"/>
        <v>0</v>
      </c>
      <c r="AV47" s="9">
        <f t="shared" si="2"/>
        <v>0</v>
      </c>
      <c r="AW47" s="9">
        <f t="shared" si="2"/>
        <v>0</v>
      </c>
      <c r="AX47" s="9">
        <f t="shared" si="2"/>
        <v>0</v>
      </c>
      <c r="AY47" s="9">
        <f t="shared" si="2"/>
        <v>0</v>
      </c>
      <c r="AZ47" s="9">
        <f t="shared" si="2"/>
        <v>0</v>
      </c>
      <c r="BA47" s="9">
        <f t="shared" si="2"/>
        <v>0</v>
      </c>
      <c r="BB47" s="9">
        <f t="shared" si="2"/>
        <v>0</v>
      </c>
      <c r="BC47" s="9">
        <f t="shared" si="2"/>
        <v>0</v>
      </c>
      <c r="BD47" s="9">
        <f t="shared" si="2"/>
        <v>0</v>
      </c>
      <c r="BE47" s="9">
        <f t="shared" si="2"/>
        <v>0</v>
      </c>
    </row>
    <row r="48" spans="1:57" s="495" customFormat="1" outlineLevel="1" x14ac:dyDescent="0.2">
      <c r="A48" s="15"/>
      <c r="B48" s="15"/>
      <c r="C48" s="21"/>
      <c r="D48" s="48"/>
      <c r="E48" s="913" t="str">
        <f t="shared" ref="E48:AJ48" si="3" xml:space="preserve"> E$65</f>
        <v>Cash balance utilised</v>
      </c>
      <c r="F48" s="913">
        <f t="shared" si="3"/>
        <v>0</v>
      </c>
      <c r="G48" s="913" t="str">
        <f t="shared" si="3"/>
        <v>$ 000s</v>
      </c>
      <c r="H48" s="913">
        <f t="shared" si="3"/>
        <v>0</v>
      </c>
      <c r="I48" s="913">
        <f t="shared" si="3"/>
        <v>0</v>
      </c>
      <c r="J48" s="913">
        <f t="shared" si="3"/>
        <v>0</v>
      </c>
      <c r="K48" s="913">
        <f t="shared" si="3"/>
        <v>0</v>
      </c>
      <c r="L48" s="913">
        <f t="shared" si="3"/>
        <v>0</v>
      </c>
      <c r="M48" s="913">
        <f t="shared" si="3"/>
        <v>0</v>
      </c>
      <c r="N48" s="913">
        <f t="shared" si="3"/>
        <v>0</v>
      </c>
      <c r="O48" s="913">
        <f t="shared" si="3"/>
        <v>0</v>
      </c>
      <c r="P48" s="913">
        <f t="shared" si="3"/>
        <v>0</v>
      </c>
      <c r="Q48" s="913">
        <f t="shared" si="3"/>
        <v>0</v>
      </c>
      <c r="R48" s="913">
        <f t="shared" si="3"/>
        <v>0</v>
      </c>
      <c r="S48" s="913">
        <f t="shared" si="3"/>
        <v>0</v>
      </c>
      <c r="T48" s="913">
        <f t="shared" si="3"/>
        <v>0</v>
      </c>
      <c r="U48" s="913">
        <f t="shared" si="3"/>
        <v>0</v>
      </c>
      <c r="V48" s="913">
        <f t="shared" si="3"/>
        <v>0</v>
      </c>
      <c r="W48" s="913">
        <f t="shared" si="3"/>
        <v>0</v>
      </c>
      <c r="X48" s="913">
        <f t="shared" si="3"/>
        <v>0</v>
      </c>
      <c r="Y48" s="913">
        <f t="shared" si="3"/>
        <v>0</v>
      </c>
      <c r="Z48" s="913">
        <f t="shared" si="3"/>
        <v>0</v>
      </c>
      <c r="AA48" s="913">
        <f t="shared" si="3"/>
        <v>0</v>
      </c>
      <c r="AB48" s="913">
        <f t="shared" si="3"/>
        <v>0</v>
      </c>
      <c r="AC48" s="913">
        <f t="shared" si="3"/>
        <v>0</v>
      </c>
      <c r="AD48" s="913">
        <f t="shared" si="3"/>
        <v>0</v>
      </c>
      <c r="AE48" s="913">
        <f t="shared" si="3"/>
        <v>0</v>
      </c>
      <c r="AF48" s="913">
        <f t="shared" si="3"/>
        <v>0</v>
      </c>
      <c r="AG48" s="913">
        <f t="shared" si="3"/>
        <v>0</v>
      </c>
      <c r="AH48" s="913">
        <f t="shared" si="3"/>
        <v>0</v>
      </c>
      <c r="AI48" s="913">
        <f t="shared" si="3"/>
        <v>0</v>
      </c>
      <c r="AJ48" s="913">
        <f t="shared" si="3"/>
        <v>0</v>
      </c>
      <c r="AK48" s="913">
        <f t="shared" ref="AK48:BE48" si="4" xml:space="preserve"> AK$65</f>
        <v>0</v>
      </c>
      <c r="AL48" s="913">
        <f t="shared" si="4"/>
        <v>0</v>
      </c>
      <c r="AM48" s="913">
        <f t="shared" si="4"/>
        <v>0</v>
      </c>
      <c r="AN48" s="913">
        <f t="shared" si="4"/>
        <v>0</v>
      </c>
      <c r="AO48" s="913">
        <f t="shared" si="4"/>
        <v>0</v>
      </c>
      <c r="AP48" s="913">
        <f t="shared" si="4"/>
        <v>0</v>
      </c>
      <c r="AQ48" s="913">
        <f t="shared" si="4"/>
        <v>0</v>
      </c>
      <c r="AR48" s="913">
        <f t="shared" si="4"/>
        <v>0</v>
      </c>
      <c r="AS48" s="913">
        <f t="shared" si="4"/>
        <v>0</v>
      </c>
      <c r="AT48" s="913">
        <f t="shared" si="4"/>
        <v>0</v>
      </c>
      <c r="AU48" s="913">
        <f t="shared" si="4"/>
        <v>0</v>
      </c>
      <c r="AV48" s="913">
        <f t="shared" si="4"/>
        <v>0</v>
      </c>
      <c r="AW48" s="913">
        <f t="shared" si="4"/>
        <v>0</v>
      </c>
      <c r="AX48" s="913">
        <f t="shared" si="4"/>
        <v>0</v>
      </c>
      <c r="AY48" s="913">
        <f t="shared" si="4"/>
        <v>0</v>
      </c>
      <c r="AZ48" s="913">
        <f t="shared" si="4"/>
        <v>0</v>
      </c>
      <c r="BA48" s="913">
        <f t="shared" si="4"/>
        <v>0</v>
      </c>
      <c r="BB48" s="913">
        <f t="shared" si="4"/>
        <v>0</v>
      </c>
      <c r="BC48" s="913">
        <f t="shared" si="4"/>
        <v>0</v>
      </c>
      <c r="BD48" s="913">
        <f t="shared" si="4"/>
        <v>0</v>
      </c>
      <c r="BE48" s="913">
        <f t="shared" si="4"/>
        <v>0</v>
      </c>
    </row>
    <row r="49" spans="1:57" outlineLevel="1" x14ac:dyDescent="0.2">
      <c r="E49" s="9" t="str">
        <f t="shared" ref="E49:BE49" si="5" xml:space="preserve"> E$45</f>
        <v>Uses of cash</v>
      </c>
      <c r="F49" s="9">
        <f t="shared" si="5"/>
        <v>0</v>
      </c>
      <c r="G49" s="9" t="str">
        <f t="shared" si="5"/>
        <v>$ 000s</v>
      </c>
      <c r="H49" s="9">
        <f t="shared" si="5"/>
        <v>435066.36249184381</v>
      </c>
      <c r="I49" s="9">
        <f t="shared" si="5"/>
        <v>0</v>
      </c>
      <c r="J49" s="9">
        <f t="shared" si="5"/>
        <v>0</v>
      </c>
      <c r="K49" s="9">
        <f t="shared" si="5"/>
        <v>0</v>
      </c>
      <c r="L49" s="9">
        <f t="shared" si="5"/>
        <v>0</v>
      </c>
      <c r="M49" s="9">
        <f t="shared" si="5"/>
        <v>14943.424768648449</v>
      </c>
      <c r="N49" s="9">
        <f t="shared" si="5"/>
        <v>11841.3278099945</v>
      </c>
      <c r="O49" s="9">
        <f t="shared" si="5"/>
        <v>11870.259744254683</v>
      </c>
      <c r="P49" s="9">
        <f t="shared" si="5"/>
        <v>11907.687322377085</v>
      </c>
      <c r="Q49" s="9">
        <f t="shared" si="5"/>
        <v>11941.012308420399</v>
      </c>
      <c r="R49" s="9">
        <f t="shared" si="5"/>
        <v>11966.998592548676</v>
      </c>
      <c r="S49" s="9">
        <f t="shared" si="5"/>
        <v>12007.921533362938</v>
      </c>
      <c r="T49" s="9">
        <f t="shared" si="5"/>
        <v>12031.934189986556</v>
      </c>
      <c r="U49" s="9">
        <f t="shared" si="5"/>
        <v>12076.190638570888</v>
      </c>
      <c r="V49" s="9">
        <f t="shared" si="5"/>
        <v>12110.976776596031</v>
      </c>
      <c r="W49" s="9">
        <f t="shared" si="5"/>
        <v>12104.694877162179</v>
      </c>
      <c r="X49" s="9">
        <f t="shared" si="5"/>
        <v>12180.731364095845</v>
      </c>
      <c r="Y49" s="9">
        <f t="shared" si="5"/>
        <v>12199.330050324086</v>
      </c>
      <c r="Z49" s="9">
        <f t="shared" si="5"/>
        <v>12250.959485430985</v>
      </c>
      <c r="AA49" s="9">
        <f t="shared" si="5"/>
        <v>12266.975851356518</v>
      </c>
      <c r="AB49" s="9">
        <f t="shared" si="5"/>
        <v>12321.58476025874</v>
      </c>
      <c r="AC49" s="9">
        <f t="shared" si="5"/>
        <v>12357.077769683647</v>
      </c>
      <c r="AD49" s="9">
        <f t="shared" si="5"/>
        <v>12369.192117518647</v>
      </c>
      <c r="AE49" s="9">
        <f t="shared" si="5"/>
        <v>12428.303163757388</v>
      </c>
      <c r="AF49" s="9">
        <f t="shared" si="5"/>
        <v>12437.798521112683</v>
      </c>
      <c r="AG49" s="9">
        <f t="shared" si="5"/>
        <v>12499.931351092338</v>
      </c>
      <c r="AH49" s="9">
        <f t="shared" si="5"/>
        <v>12535.938097779766</v>
      </c>
      <c r="AI49" s="9">
        <f t="shared" si="5"/>
        <v>12505.623746591666</v>
      </c>
      <c r="AJ49" s="9">
        <f t="shared" si="5"/>
        <v>12596.607096741589</v>
      </c>
      <c r="AK49" s="9">
        <f t="shared" si="5"/>
        <v>12594.408174451448</v>
      </c>
      <c r="AL49" s="9">
        <f t="shared" si="5"/>
        <v>12657.706604600613</v>
      </c>
      <c r="AM49" s="9">
        <f t="shared" si="5"/>
        <v>114061.76577512549</v>
      </c>
      <c r="AN49" s="9">
        <f t="shared" si="5"/>
        <v>0</v>
      </c>
      <c r="AO49" s="9">
        <f t="shared" si="5"/>
        <v>0</v>
      </c>
      <c r="AP49" s="9">
        <f t="shared" si="5"/>
        <v>0</v>
      </c>
      <c r="AQ49" s="9">
        <f t="shared" si="5"/>
        <v>0</v>
      </c>
      <c r="AR49" s="9">
        <f t="shared" si="5"/>
        <v>0</v>
      </c>
      <c r="AS49" s="9">
        <f t="shared" si="5"/>
        <v>0</v>
      </c>
      <c r="AT49" s="9">
        <f t="shared" si="5"/>
        <v>0</v>
      </c>
      <c r="AU49" s="9">
        <f t="shared" si="5"/>
        <v>0</v>
      </c>
      <c r="AV49" s="9">
        <f t="shared" si="5"/>
        <v>0</v>
      </c>
      <c r="AW49" s="9">
        <f t="shared" si="5"/>
        <v>0</v>
      </c>
      <c r="AX49" s="9">
        <f t="shared" si="5"/>
        <v>0</v>
      </c>
      <c r="AY49" s="9">
        <f t="shared" si="5"/>
        <v>0</v>
      </c>
      <c r="AZ49" s="9">
        <f t="shared" si="5"/>
        <v>0</v>
      </c>
      <c r="BA49" s="9">
        <f t="shared" si="5"/>
        <v>0</v>
      </c>
      <c r="BB49" s="9">
        <f t="shared" si="5"/>
        <v>0</v>
      </c>
      <c r="BC49" s="9">
        <f t="shared" si="5"/>
        <v>0</v>
      </c>
      <c r="BD49" s="9">
        <f t="shared" si="5"/>
        <v>0</v>
      </c>
      <c r="BE49" s="9">
        <f t="shared" si="5"/>
        <v>0</v>
      </c>
    </row>
    <row r="50" spans="1:57" s="495" customFormat="1" outlineLevel="1" x14ac:dyDescent="0.2">
      <c r="A50" s="15"/>
      <c r="B50" s="15"/>
      <c r="C50" s="21"/>
      <c r="D50" s="48"/>
      <c r="E50" s="913" t="str">
        <f t="shared" ref="E50:AJ50" si="6" xml:space="preserve"> E$60</f>
        <v>Cash transferred to cash balance</v>
      </c>
      <c r="F50" s="913">
        <f t="shared" si="6"/>
        <v>0</v>
      </c>
      <c r="G50" s="913" t="str">
        <f t="shared" si="6"/>
        <v>$ 000s</v>
      </c>
      <c r="H50" s="913">
        <f t="shared" si="6"/>
        <v>0</v>
      </c>
      <c r="I50" s="913">
        <f t="shared" si="6"/>
        <v>0</v>
      </c>
      <c r="J50" s="913">
        <f t="shared" si="6"/>
        <v>0</v>
      </c>
      <c r="K50" s="913">
        <f t="shared" si="6"/>
        <v>0</v>
      </c>
      <c r="L50" s="913">
        <f t="shared" si="6"/>
        <v>0</v>
      </c>
      <c r="M50" s="913">
        <f t="shared" si="6"/>
        <v>0</v>
      </c>
      <c r="N50" s="913">
        <f t="shared" si="6"/>
        <v>0</v>
      </c>
      <c r="O50" s="913">
        <f t="shared" si="6"/>
        <v>0</v>
      </c>
      <c r="P50" s="913">
        <f t="shared" si="6"/>
        <v>0</v>
      </c>
      <c r="Q50" s="913">
        <f t="shared" si="6"/>
        <v>0</v>
      </c>
      <c r="R50" s="913">
        <f t="shared" si="6"/>
        <v>0</v>
      </c>
      <c r="S50" s="913">
        <f t="shared" si="6"/>
        <v>0</v>
      </c>
      <c r="T50" s="913">
        <f t="shared" si="6"/>
        <v>0</v>
      </c>
      <c r="U50" s="913">
        <f t="shared" si="6"/>
        <v>0</v>
      </c>
      <c r="V50" s="913">
        <f t="shared" si="6"/>
        <v>0</v>
      </c>
      <c r="W50" s="913">
        <f t="shared" si="6"/>
        <v>0</v>
      </c>
      <c r="X50" s="913">
        <f t="shared" si="6"/>
        <v>0</v>
      </c>
      <c r="Y50" s="913">
        <f t="shared" si="6"/>
        <v>0</v>
      </c>
      <c r="Z50" s="913">
        <f t="shared" si="6"/>
        <v>0</v>
      </c>
      <c r="AA50" s="913">
        <f t="shared" si="6"/>
        <v>0</v>
      </c>
      <c r="AB50" s="913">
        <f t="shared" si="6"/>
        <v>0</v>
      </c>
      <c r="AC50" s="913">
        <f t="shared" si="6"/>
        <v>0</v>
      </c>
      <c r="AD50" s="913">
        <f t="shared" si="6"/>
        <v>0</v>
      </c>
      <c r="AE50" s="913">
        <f t="shared" si="6"/>
        <v>0</v>
      </c>
      <c r="AF50" s="913">
        <f t="shared" si="6"/>
        <v>0</v>
      </c>
      <c r="AG50" s="913">
        <f t="shared" si="6"/>
        <v>0</v>
      </c>
      <c r="AH50" s="913">
        <f t="shared" si="6"/>
        <v>0</v>
      </c>
      <c r="AI50" s="913">
        <f t="shared" si="6"/>
        <v>0</v>
      </c>
      <c r="AJ50" s="913">
        <f t="shared" si="6"/>
        <v>0</v>
      </c>
      <c r="AK50" s="913">
        <f t="shared" ref="AK50:BE50" si="7" xml:space="preserve"> AK$60</f>
        <v>0</v>
      </c>
      <c r="AL50" s="913">
        <f t="shared" si="7"/>
        <v>0</v>
      </c>
      <c r="AM50" s="913">
        <f t="shared" si="7"/>
        <v>0</v>
      </c>
      <c r="AN50" s="913">
        <f t="shared" si="7"/>
        <v>0</v>
      </c>
      <c r="AO50" s="913">
        <f t="shared" si="7"/>
        <v>0</v>
      </c>
      <c r="AP50" s="913">
        <f t="shared" si="7"/>
        <v>0</v>
      </c>
      <c r="AQ50" s="913">
        <f t="shared" si="7"/>
        <v>0</v>
      </c>
      <c r="AR50" s="913">
        <f t="shared" si="7"/>
        <v>0</v>
      </c>
      <c r="AS50" s="913">
        <f t="shared" si="7"/>
        <v>0</v>
      </c>
      <c r="AT50" s="913">
        <f t="shared" si="7"/>
        <v>0</v>
      </c>
      <c r="AU50" s="913">
        <f t="shared" si="7"/>
        <v>0</v>
      </c>
      <c r="AV50" s="913">
        <f t="shared" si="7"/>
        <v>0</v>
      </c>
      <c r="AW50" s="913">
        <f t="shared" si="7"/>
        <v>0</v>
      </c>
      <c r="AX50" s="913">
        <f t="shared" si="7"/>
        <v>0</v>
      </c>
      <c r="AY50" s="913">
        <f t="shared" si="7"/>
        <v>0</v>
      </c>
      <c r="AZ50" s="913">
        <f t="shared" si="7"/>
        <v>0</v>
      </c>
      <c r="BA50" s="913">
        <f t="shared" si="7"/>
        <v>0</v>
      </c>
      <c r="BB50" s="913">
        <f t="shared" si="7"/>
        <v>0</v>
      </c>
      <c r="BC50" s="913">
        <f t="shared" si="7"/>
        <v>0</v>
      </c>
      <c r="BD50" s="913">
        <f t="shared" si="7"/>
        <v>0</v>
      </c>
      <c r="BE50" s="913">
        <f t="shared" si="7"/>
        <v>0</v>
      </c>
    </row>
    <row r="51" spans="1:57" outlineLevel="1" x14ac:dyDescent="0.2">
      <c r="E51" s="192" t="s">
        <v>253</v>
      </c>
      <c r="F51" s="192"/>
      <c r="G51" s="192" t="str">
        <f xml:space="preserve"> SMU</f>
        <v>$ 000s</v>
      </c>
      <c r="H51" s="192">
        <f xml:space="preserve"> SUM(J51:BE51)</f>
        <v>-4.0178145263780607E-3</v>
      </c>
      <c r="I51" s="192"/>
      <c r="J51" s="192">
        <f t="shared" ref="J51:BE51" si="8" xml:space="preserve"> SUM(J47:J48) - SUM(J49:J50)</f>
        <v>0</v>
      </c>
      <c r="K51" s="192">
        <f t="shared" si="8"/>
        <v>0</v>
      </c>
      <c r="L51" s="192">
        <f t="shared" si="8"/>
        <v>0</v>
      </c>
      <c r="M51" s="192">
        <f t="shared" si="8"/>
        <v>1.5960449673002586E-6</v>
      </c>
      <c r="N51" s="192">
        <f t="shared" si="8"/>
        <v>-1.6098565538413823E-6</v>
      </c>
      <c r="O51" s="192">
        <f t="shared" si="8"/>
        <v>-1.5420318959513679E-6</v>
      </c>
      <c r="P51" s="192">
        <f t="shared" si="8"/>
        <v>-1.6898375179152936E-6</v>
      </c>
      <c r="Q51" s="192">
        <f t="shared" si="8"/>
        <v>-1.7295824363827705E-6</v>
      </c>
      <c r="R51" s="192">
        <f t="shared" si="8"/>
        <v>-1.6568483260925859E-6</v>
      </c>
      <c r="S51" s="192">
        <f t="shared" si="8"/>
        <v>-1.8074388208333403E-6</v>
      </c>
      <c r="T51" s="192">
        <f t="shared" si="8"/>
        <v>-2.5490371626801789E-6</v>
      </c>
      <c r="U51" s="192">
        <f t="shared" si="8"/>
        <v>-3.0339160730363801E-6</v>
      </c>
      <c r="V51" s="192">
        <f t="shared" si="8"/>
        <v>-3.0736227927263826E-6</v>
      </c>
      <c r="W51" s="192">
        <f t="shared" si="8"/>
        <v>-1.762364263413474E-6</v>
      </c>
      <c r="X51" s="192">
        <f t="shared" si="8"/>
        <v>-3.1498129828833044E-6</v>
      </c>
      <c r="Y51" s="192">
        <f t="shared" si="8"/>
        <v>-2.7351979952072725E-6</v>
      </c>
      <c r="Z51" s="192">
        <f t="shared" si="8"/>
        <v>-3.2258740247925743E-6</v>
      </c>
      <c r="AA51" s="192">
        <f t="shared" si="8"/>
        <v>-2.8074937290512025E-6</v>
      </c>
      <c r="AB51" s="192">
        <f t="shared" si="8"/>
        <v>-3.3003834687406197E-6</v>
      </c>
      <c r="AC51" s="192">
        <f t="shared" si="8"/>
        <v>-3.3373544283676893E-6</v>
      </c>
      <c r="AD51" s="192">
        <f t="shared" si="8"/>
        <v>-2.9134116630302742E-6</v>
      </c>
      <c r="AE51" s="192">
        <f t="shared" si="8"/>
        <v>-3.4095082810381427E-6</v>
      </c>
      <c r="AF51" s="192">
        <f t="shared" si="8"/>
        <v>-2.9819439077982679E-6</v>
      </c>
      <c r="AG51" s="192">
        <f t="shared" si="8"/>
        <v>-3.4800941648427397E-6</v>
      </c>
      <c r="AH51" s="192">
        <f t="shared" si="8"/>
        <v>-3.5150587791576982E-6</v>
      </c>
      <c r="AI51" s="192">
        <f t="shared" si="8"/>
        <v>-2.6147063181269914E-6</v>
      </c>
      <c r="AJ51" s="192">
        <f t="shared" si="8"/>
        <v>-3.582785211619921E-6</v>
      </c>
      <c r="AK51" s="192">
        <f t="shared" si="8"/>
        <v>-3.1464569474337623E-6</v>
      </c>
      <c r="AL51" s="192">
        <f t="shared" si="8"/>
        <v>-3.6494566302280873E-6</v>
      </c>
      <c r="AM51" s="192">
        <f t="shared" si="8"/>
        <v>-3.9511064969701692E-3</v>
      </c>
      <c r="AN51" s="192">
        <f t="shared" si="8"/>
        <v>0</v>
      </c>
      <c r="AO51" s="192">
        <f t="shared" si="8"/>
        <v>0</v>
      </c>
      <c r="AP51" s="192">
        <f t="shared" si="8"/>
        <v>0</v>
      </c>
      <c r="AQ51" s="192">
        <f t="shared" si="8"/>
        <v>0</v>
      </c>
      <c r="AR51" s="192">
        <f t="shared" si="8"/>
        <v>0</v>
      </c>
      <c r="AS51" s="192">
        <f t="shared" si="8"/>
        <v>0</v>
      </c>
      <c r="AT51" s="192">
        <f t="shared" si="8"/>
        <v>0</v>
      </c>
      <c r="AU51" s="192">
        <f t="shared" si="8"/>
        <v>0</v>
      </c>
      <c r="AV51" s="192">
        <f t="shared" si="8"/>
        <v>0</v>
      </c>
      <c r="AW51" s="192">
        <f t="shared" si="8"/>
        <v>0</v>
      </c>
      <c r="AX51" s="192">
        <f t="shared" si="8"/>
        <v>0</v>
      </c>
      <c r="AY51" s="192">
        <f t="shared" si="8"/>
        <v>0</v>
      </c>
      <c r="AZ51" s="192">
        <f t="shared" si="8"/>
        <v>0</v>
      </c>
      <c r="BA51" s="192">
        <f t="shared" si="8"/>
        <v>0</v>
      </c>
      <c r="BB51" s="192">
        <f t="shared" si="8"/>
        <v>0</v>
      </c>
      <c r="BC51" s="192">
        <f t="shared" si="8"/>
        <v>0</v>
      </c>
      <c r="BD51" s="192">
        <f t="shared" si="8"/>
        <v>0</v>
      </c>
      <c r="BE51" s="192">
        <f t="shared" si="8"/>
        <v>0</v>
      </c>
    </row>
    <row r="52" spans="1:57" outlineLevel="1" x14ac:dyDescent="0.2">
      <c r="E52" s="235"/>
      <c r="F52" s="235"/>
      <c r="G52" s="235"/>
      <c r="H52" s="235"/>
      <c r="I52" s="235"/>
      <c r="J52" s="235"/>
    </row>
    <row r="53" spans="1:57" outlineLevel="1" x14ac:dyDescent="0.2">
      <c r="E53" s="151" t="str">
        <f t="shared" ref="E53:AJ53" si="9" xml:space="preserve"> E$51</f>
        <v>Sources and uses difference</v>
      </c>
      <c r="F53" s="151">
        <f t="shared" si="9"/>
        <v>0</v>
      </c>
      <c r="G53" s="151" t="str">
        <f t="shared" si="9"/>
        <v>$ 000s</v>
      </c>
      <c r="H53" s="151">
        <f t="shared" si="9"/>
        <v>-4.0178145263780607E-3</v>
      </c>
      <c r="I53" s="151">
        <f t="shared" si="9"/>
        <v>0</v>
      </c>
      <c r="J53" s="151">
        <f t="shared" si="9"/>
        <v>0</v>
      </c>
      <c r="K53" s="151">
        <f t="shared" si="9"/>
        <v>0</v>
      </c>
      <c r="L53" s="151">
        <f t="shared" si="9"/>
        <v>0</v>
      </c>
      <c r="M53" s="151">
        <f t="shared" si="9"/>
        <v>1.5960449673002586E-6</v>
      </c>
      <c r="N53" s="151">
        <f t="shared" si="9"/>
        <v>-1.6098565538413823E-6</v>
      </c>
      <c r="O53" s="151">
        <f t="shared" si="9"/>
        <v>-1.5420318959513679E-6</v>
      </c>
      <c r="P53" s="151">
        <f t="shared" si="9"/>
        <v>-1.6898375179152936E-6</v>
      </c>
      <c r="Q53" s="151">
        <f t="shared" si="9"/>
        <v>-1.7295824363827705E-6</v>
      </c>
      <c r="R53" s="151">
        <f t="shared" si="9"/>
        <v>-1.6568483260925859E-6</v>
      </c>
      <c r="S53" s="151">
        <f t="shared" si="9"/>
        <v>-1.8074388208333403E-6</v>
      </c>
      <c r="T53" s="151">
        <f t="shared" si="9"/>
        <v>-2.5490371626801789E-6</v>
      </c>
      <c r="U53" s="151">
        <f t="shared" si="9"/>
        <v>-3.0339160730363801E-6</v>
      </c>
      <c r="V53" s="151">
        <f t="shared" si="9"/>
        <v>-3.0736227927263826E-6</v>
      </c>
      <c r="W53" s="151">
        <f t="shared" si="9"/>
        <v>-1.762364263413474E-6</v>
      </c>
      <c r="X53" s="151">
        <f t="shared" si="9"/>
        <v>-3.1498129828833044E-6</v>
      </c>
      <c r="Y53" s="151">
        <f t="shared" si="9"/>
        <v>-2.7351979952072725E-6</v>
      </c>
      <c r="Z53" s="151">
        <f t="shared" si="9"/>
        <v>-3.2258740247925743E-6</v>
      </c>
      <c r="AA53" s="151">
        <f t="shared" si="9"/>
        <v>-2.8074937290512025E-6</v>
      </c>
      <c r="AB53" s="151">
        <f t="shared" si="9"/>
        <v>-3.3003834687406197E-6</v>
      </c>
      <c r="AC53" s="151">
        <f t="shared" si="9"/>
        <v>-3.3373544283676893E-6</v>
      </c>
      <c r="AD53" s="151">
        <f t="shared" si="9"/>
        <v>-2.9134116630302742E-6</v>
      </c>
      <c r="AE53" s="151">
        <f t="shared" si="9"/>
        <v>-3.4095082810381427E-6</v>
      </c>
      <c r="AF53" s="151">
        <f t="shared" si="9"/>
        <v>-2.9819439077982679E-6</v>
      </c>
      <c r="AG53" s="151">
        <f t="shared" si="9"/>
        <v>-3.4800941648427397E-6</v>
      </c>
      <c r="AH53" s="151">
        <f t="shared" si="9"/>
        <v>-3.5150587791576982E-6</v>
      </c>
      <c r="AI53" s="151">
        <f t="shared" si="9"/>
        <v>-2.6147063181269914E-6</v>
      </c>
      <c r="AJ53" s="151">
        <f t="shared" si="9"/>
        <v>-3.582785211619921E-6</v>
      </c>
      <c r="AK53" s="151">
        <f t="shared" ref="AK53:BE53" si="10" xml:space="preserve"> AK$51</f>
        <v>-3.1464569474337623E-6</v>
      </c>
      <c r="AL53" s="151">
        <f t="shared" si="10"/>
        <v>-3.6494566302280873E-6</v>
      </c>
      <c r="AM53" s="151">
        <f t="shared" si="10"/>
        <v>-3.9511064969701692E-3</v>
      </c>
      <c r="AN53" s="151">
        <f t="shared" si="10"/>
        <v>0</v>
      </c>
      <c r="AO53" s="151">
        <f t="shared" si="10"/>
        <v>0</v>
      </c>
      <c r="AP53" s="151">
        <f t="shared" si="10"/>
        <v>0</v>
      </c>
      <c r="AQ53" s="151">
        <f t="shared" si="10"/>
        <v>0</v>
      </c>
      <c r="AR53" s="151">
        <f t="shared" si="10"/>
        <v>0</v>
      </c>
      <c r="AS53" s="151">
        <f t="shared" si="10"/>
        <v>0</v>
      </c>
      <c r="AT53" s="151">
        <f t="shared" si="10"/>
        <v>0</v>
      </c>
      <c r="AU53" s="151">
        <f t="shared" si="10"/>
        <v>0</v>
      </c>
      <c r="AV53" s="151">
        <f t="shared" si="10"/>
        <v>0</v>
      </c>
      <c r="AW53" s="151">
        <f t="shared" si="10"/>
        <v>0</v>
      </c>
      <c r="AX53" s="151">
        <f t="shared" si="10"/>
        <v>0</v>
      </c>
      <c r="AY53" s="151">
        <f t="shared" si="10"/>
        <v>0</v>
      </c>
      <c r="AZ53" s="151">
        <f t="shared" si="10"/>
        <v>0</v>
      </c>
      <c r="BA53" s="151">
        <f t="shared" si="10"/>
        <v>0</v>
      </c>
      <c r="BB53" s="151">
        <f t="shared" si="10"/>
        <v>0</v>
      </c>
      <c r="BC53" s="151">
        <f t="shared" si="10"/>
        <v>0</v>
      </c>
      <c r="BD53" s="151">
        <f t="shared" si="10"/>
        <v>0</v>
      </c>
      <c r="BE53" s="151">
        <f t="shared" si="10"/>
        <v>0</v>
      </c>
    </row>
    <row r="54" spans="1:57" s="191" customFormat="1" outlineLevel="1" x14ac:dyDescent="0.2">
      <c r="A54" s="236"/>
      <c r="B54" s="236"/>
      <c r="C54" s="237"/>
      <c r="D54" s="238"/>
      <c r="E54" s="192" t="s">
        <v>252</v>
      </c>
      <c r="G54" s="192" t="s">
        <v>20</v>
      </c>
      <c r="H54" s="192"/>
      <c r="I54" s="192"/>
      <c r="J54" s="478">
        <f t="shared" ref="J54:BE54" si="11" xml:space="preserve"> IF(ABS(J53) &gt; CHK_TOL, 1, 0)</f>
        <v>0</v>
      </c>
      <c r="K54" s="478">
        <f t="shared" si="11"/>
        <v>0</v>
      </c>
      <c r="L54" s="478">
        <f t="shared" si="11"/>
        <v>0</v>
      </c>
      <c r="M54" s="478">
        <f t="shared" si="11"/>
        <v>0</v>
      </c>
      <c r="N54" s="478">
        <f t="shared" si="11"/>
        <v>0</v>
      </c>
      <c r="O54" s="478">
        <f t="shared" si="11"/>
        <v>0</v>
      </c>
      <c r="P54" s="478">
        <f t="shared" si="11"/>
        <v>0</v>
      </c>
      <c r="Q54" s="478">
        <f t="shared" si="11"/>
        <v>0</v>
      </c>
      <c r="R54" s="478">
        <f t="shared" si="11"/>
        <v>0</v>
      </c>
      <c r="S54" s="478">
        <f t="shared" si="11"/>
        <v>0</v>
      </c>
      <c r="T54" s="478">
        <f t="shared" si="11"/>
        <v>0</v>
      </c>
      <c r="U54" s="478">
        <f t="shared" si="11"/>
        <v>0</v>
      </c>
      <c r="V54" s="478">
        <f t="shared" si="11"/>
        <v>0</v>
      </c>
      <c r="W54" s="478">
        <f t="shared" si="11"/>
        <v>0</v>
      </c>
      <c r="X54" s="478">
        <f t="shared" si="11"/>
        <v>0</v>
      </c>
      <c r="Y54" s="478">
        <f t="shared" si="11"/>
        <v>0</v>
      </c>
      <c r="Z54" s="478">
        <f t="shared" si="11"/>
        <v>0</v>
      </c>
      <c r="AA54" s="478">
        <f t="shared" si="11"/>
        <v>0</v>
      </c>
      <c r="AB54" s="478">
        <f t="shared" si="11"/>
        <v>0</v>
      </c>
      <c r="AC54" s="478">
        <f t="shared" si="11"/>
        <v>0</v>
      </c>
      <c r="AD54" s="478">
        <f t="shared" si="11"/>
        <v>0</v>
      </c>
      <c r="AE54" s="478">
        <f t="shared" si="11"/>
        <v>0</v>
      </c>
      <c r="AF54" s="478">
        <f t="shared" si="11"/>
        <v>0</v>
      </c>
      <c r="AG54" s="478">
        <f t="shared" si="11"/>
        <v>0</v>
      </c>
      <c r="AH54" s="478">
        <f t="shared" si="11"/>
        <v>0</v>
      </c>
      <c r="AI54" s="478">
        <f t="shared" si="11"/>
        <v>0</v>
      </c>
      <c r="AJ54" s="478">
        <f t="shared" si="11"/>
        <v>0</v>
      </c>
      <c r="AK54" s="478">
        <f t="shared" si="11"/>
        <v>0</v>
      </c>
      <c r="AL54" s="478">
        <f t="shared" si="11"/>
        <v>0</v>
      </c>
      <c r="AM54" s="478">
        <f t="shared" si="11"/>
        <v>0</v>
      </c>
      <c r="AN54" s="478">
        <f t="shared" si="11"/>
        <v>0</v>
      </c>
      <c r="AO54" s="478">
        <f t="shared" si="11"/>
        <v>0</v>
      </c>
      <c r="AP54" s="478">
        <f t="shared" si="11"/>
        <v>0</v>
      </c>
      <c r="AQ54" s="478">
        <f t="shared" si="11"/>
        <v>0</v>
      </c>
      <c r="AR54" s="478">
        <f t="shared" si="11"/>
        <v>0</v>
      </c>
      <c r="AS54" s="478">
        <f t="shared" si="11"/>
        <v>0</v>
      </c>
      <c r="AT54" s="478">
        <f t="shared" si="11"/>
        <v>0</v>
      </c>
      <c r="AU54" s="478">
        <f t="shared" si="11"/>
        <v>0</v>
      </c>
      <c r="AV54" s="478">
        <f t="shared" si="11"/>
        <v>0</v>
      </c>
      <c r="AW54" s="478">
        <f t="shared" si="11"/>
        <v>0</v>
      </c>
      <c r="AX54" s="478">
        <f t="shared" si="11"/>
        <v>0</v>
      </c>
      <c r="AY54" s="478">
        <f t="shared" si="11"/>
        <v>0</v>
      </c>
      <c r="AZ54" s="478">
        <f t="shared" si="11"/>
        <v>0</v>
      </c>
      <c r="BA54" s="478">
        <f t="shared" si="11"/>
        <v>0</v>
      </c>
      <c r="BB54" s="478">
        <f t="shared" si="11"/>
        <v>0</v>
      </c>
      <c r="BC54" s="478">
        <f t="shared" si="11"/>
        <v>0</v>
      </c>
      <c r="BD54" s="478">
        <f t="shared" si="11"/>
        <v>0</v>
      </c>
      <c r="BE54" s="478">
        <f t="shared" si="11"/>
        <v>0</v>
      </c>
    </row>
    <row r="55" spans="1:57" s="191" customFormat="1" outlineLevel="1" x14ac:dyDescent="0.2">
      <c r="A55" s="236"/>
      <c r="B55" s="236"/>
      <c r="C55" s="237"/>
      <c r="D55" s="238"/>
      <c r="E55" s="192" t="s">
        <v>420</v>
      </c>
      <c r="F55" s="478">
        <f xml:space="preserve"> IF(SUM(J54:BE54) &lt;&gt; 0, 1, 0)</f>
        <v>0</v>
      </c>
      <c r="G55" s="192" t="s">
        <v>20</v>
      </c>
      <c r="H55" s="192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</row>
    <row r="56" spans="1:57" outlineLevel="1" x14ac:dyDescent="0.2">
      <c r="E56" s="235"/>
      <c r="F56" s="235"/>
      <c r="G56" s="235"/>
      <c r="H56" s="235"/>
      <c r="I56" s="235"/>
      <c r="J56" s="235"/>
    </row>
    <row r="57" spans="1:57" outlineLevel="1" x14ac:dyDescent="0.2">
      <c r="B57" s="79" t="s">
        <v>135</v>
      </c>
      <c r="C57" s="561"/>
      <c r="D57" s="60"/>
      <c r="E57" s="588"/>
      <c r="F57" s="32"/>
      <c r="G57" s="32"/>
      <c r="H57" s="32"/>
      <c r="I57" s="32"/>
      <c r="J57" s="32"/>
      <c r="K57" s="32"/>
      <c r="L57" s="32"/>
      <c r="M57" s="32"/>
      <c r="N57" s="32"/>
      <c r="O57" s="32"/>
    </row>
    <row r="58" spans="1:57" outlineLevel="2" x14ac:dyDescent="0.2">
      <c r="E58" s="9" t="str">
        <f t="shared" ref="E58:BE58" si="12" xml:space="preserve"> E$16</f>
        <v>Sources of cash</v>
      </c>
      <c r="F58" s="9">
        <f t="shared" si="12"/>
        <v>0</v>
      </c>
      <c r="G58" s="9" t="str">
        <f t="shared" si="12"/>
        <v>$ 000s</v>
      </c>
      <c r="H58" s="9">
        <f t="shared" si="12"/>
        <v>435066.35847402923</v>
      </c>
      <c r="I58" s="9">
        <f t="shared" si="12"/>
        <v>0</v>
      </c>
      <c r="J58" s="9">
        <f t="shared" si="12"/>
        <v>0</v>
      </c>
      <c r="K58" s="9">
        <f t="shared" si="12"/>
        <v>0</v>
      </c>
      <c r="L58" s="9">
        <f t="shared" si="12"/>
        <v>0</v>
      </c>
      <c r="M58" s="9">
        <f t="shared" si="12"/>
        <v>14943.424770244494</v>
      </c>
      <c r="N58" s="9">
        <f t="shared" si="12"/>
        <v>11841.327808384644</v>
      </c>
      <c r="O58" s="9">
        <f t="shared" si="12"/>
        <v>11870.259742712651</v>
      </c>
      <c r="P58" s="9">
        <f t="shared" si="12"/>
        <v>11907.687320687248</v>
      </c>
      <c r="Q58" s="9">
        <f t="shared" si="12"/>
        <v>11941.012306690816</v>
      </c>
      <c r="R58" s="9">
        <f t="shared" si="12"/>
        <v>11966.998590891828</v>
      </c>
      <c r="S58" s="9">
        <f t="shared" si="12"/>
        <v>12007.921531555499</v>
      </c>
      <c r="T58" s="9">
        <f t="shared" si="12"/>
        <v>12031.934187437519</v>
      </c>
      <c r="U58" s="9">
        <f t="shared" si="12"/>
        <v>12076.190635536972</v>
      </c>
      <c r="V58" s="9">
        <f t="shared" si="12"/>
        <v>12110.976773522409</v>
      </c>
      <c r="W58" s="9">
        <f t="shared" si="12"/>
        <v>12104.694875399815</v>
      </c>
      <c r="X58" s="9">
        <f t="shared" si="12"/>
        <v>12180.731360946033</v>
      </c>
      <c r="Y58" s="9">
        <f t="shared" si="12"/>
        <v>12199.330047588888</v>
      </c>
      <c r="Z58" s="9">
        <f t="shared" si="12"/>
        <v>12250.959482205111</v>
      </c>
      <c r="AA58" s="9">
        <f t="shared" si="12"/>
        <v>12266.975848549024</v>
      </c>
      <c r="AB58" s="9">
        <f t="shared" si="12"/>
        <v>12321.584756958357</v>
      </c>
      <c r="AC58" s="9">
        <f t="shared" si="12"/>
        <v>12357.077766346292</v>
      </c>
      <c r="AD58" s="9">
        <f t="shared" si="12"/>
        <v>12369.192114605235</v>
      </c>
      <c r="AE58" s="9">
        <f t="shared" si="12"/>
        <v>12428.303160347879</v>
      </c>
      <c r="AF58" s="9">
        <f t="shared" si="12"/>
        <v>12437.798518130739</v>
      </c>
      <c r="AG58" s="9">
        <f t="shared" si="12"/>
        <v>12499.931347612244</v>
      </c>
      <c r="AH58" s="9">
        <f t="shared" si="12"/>
        <v>12535.938094264708</v>
      </c>
      <c r="AI58" s="9">
        <f t="shared" si="12"/>
        <v>12505.623743976959</v>
      </c>
      <c r="AJ58" s="9">
        <f t="shared" si="12"/>
        <v>12596.607093158804</v>
      </c>
      <c r="AK58" s="9">
        <f t="shared" si="12"/>
        <v>12594.408171304991</v>
      </c>
      <c r="AL58" s="9">
        <f t="shared" si="12"/>
        <v>12657.706600951156</v>
      </c>
      <c r="AM58" s="9">
        <f t="shared" si="12"/>
        <v>114061.76182401899</v>
      </c>
      <c r="AN58" s="9">
        <f t="shared" si="12"/>
        <v>0</v>
      </c>
      <c r="AO58" s="9">
        <f t="shared" si="12"/>
        <v>0</v>
      </c>
      <c r="AP58" s="9">
        <f t="shared" si="12"/>
        <v>0</v>
      </c>
      <c r="AQ58" s="9">
        <f t="shared" si="12"/>
        <v>0</v>
      </c>
      <c r="AR58" s="9">
        <f t="shared" si="12"/>
        <v>0</v>
      </c>
      <c r="AS58" s="9">
        <f t="shared" si="12"/>
        <v>0</v>
      </c>
      <c r="AT58" s="9">
        <f t="shared" si="12"/>
        <v>0</v>
      </c>
      <c r="AU58" s="9">
        <f t="shared" si="12"/>
        <v>0</v>
      </c>
      <c r="AV58" s="9">
        <f t="shared" si="12"/>
        <v>0</v>
      </c>
      <c r="AW58" s="9">
        <f t="shared" si="12"/>
        <v>0</v>
      </c>
      <c r="AX58" s="9">
        <f t="shared" si="12"/>
        <v>0</v>
      </c>
      <c r="AY58" s="9">
        <f t="shared" si="12"/>
        <v>0</v>
      </c>
      <c r="AZ58" s="9">
        <f t="shared" si="12"/>
        <v>0</v>
      </c>
      <c r="BA58" s="9">
        <f t="shared" si="12"/>
        <v>0</v>
      </c>
      <c r="BB58" s="9">
        <f t="shared" si="12"/>
        <v>0</v>
      </c>
      <c r="BC58" s="9">
        <f t="shared" si="12"/>
        <v>0</v>
      </c>
      <c r="BD58" s="9">
        <f t="shared" si="12"/>
        <v>0</v>
      </c>
      <c r="BE58" s="9">
        <f t="shared" si="12"/>
        <v>0</v>
      </c>
    </row>
    <row r="59" spans="1:57" outlineLevel="2" x14ac:dyDescent="0.2">
      <c r="E59" s="9" t="str">
        <f t="shared" ref="E59:BE59" si="13" xml:space="preserve"> E$45</f>
        <v>Uses of cash</v>
      </c>
      <c r="F59" s="9">
        <f t="shared" si="13"/>
        <v>0</v>
      </c>
      <c r="G59" s="9" t="str">
        <f t="shared" si="13"/>
        <v>$ 000s</v>
      </c>
      <c r="H59" s="9">
        <f t="shared" si="13"/>
        <v>435066.36249184381</v>
      </c>
      <c r="I59" s="9">
        <f t="shared" si="13"/>
        <v>0</v>
      </c>
      <c r="J59" s="9">
        <f t="shared" si="13"/>
        <v>0</v>
      </c>
      <c r="K59" s="9">
        <f t="shared" si="13"/>
        <v>0</v>
      </c>
      <c r="L59" s="9">
        <f t="shared" si="13"/>
        <v>0</v>
      </c>
      <c r="M59" s="9">
        <f t="shared" si="13"/>
        <v>14943.424768648449</v>
      </c>
      <c r="N59" s="9">
        <f t="shared" si="13"/>
        <v>11841.3278099945</v>
      </c>
      <c r="O59" s="9">
        <f t="shared" si="13"/>
        <v>11870.259744254683</v>
      </c>
      <c r="P59" s="9">
        <f t="shared" si="13"/>
        <v>11907.687322377085</v>
      </c>
      <c r="Q59" s="9">
        <f t="shared" si="13"/>
        <v>11941.012308420399</v>
      </c>
      <c r="R59" s="9">
        <f t="shared" si="13"/>
        <v>11966.998592548676</v>
      </c>
      <c r="S59" s="9">
        <f t="shared" si="13"/>
        <v>12007.921533362938</v>
      </c>
      <c r="T59" s="9">
        <f t="shared" si="13"/>
        <v>12031.934189986556</v>
      </c>
      <c r="U59" s="9">
        <f t="shared" si="13"/>
        <v>12076.190638570888</v>
      </c>
      <c r="V59" s="9">
        <f t="shared" si="13"/>
        <v>12110.976776596031</v>
      </c>
      <c r="W59" s="9">
        <f t="shared" si="13"/>
        <v>12104.694877162179</v>
      </c>
      <c r="X59" s="9">
        <f t="shared" si="13"/>
        <v>12180.731364095845</v>
      </c>
      <c r="Y59" s="9">
        <f t="shared" si="13"/>
        <v>12199.330050324086</v>
      </c>
      <c r="Z59" s="9">
        <f t="shared" si="13"/>
        <v>12250.959485430985</v>
      </c>
      <c r="AA59" s="9">
        <f t="shared" si="13"/>
        <v>12266.975851356518</v>
      </c>
      <c r="AB59" s="9">
        <f t="shared" si="13"/>
        <v>12321.58476025874</v>
      </c>
      <c r="AC59" s="9">
        <f t="shared" si="13"/>
        <v>12357.077769683647</v>
      </c>
      <c r="AD59" s="9">
        <f t="shared" si="13"/>
        <v>12369.192117518647</v>
      </c>
      <c r="AE59" s="9">
        <f t="shared" si="13"/>
        <v>12428.303163757388</v>
      </c>
      <c r="AF59" s="9">
        <f t="shared" si="13"/>
        <v>12437.798521112683</v>
      </c>
      <c r="AG59" s="9">
        <f t="shared" si="13"/>
        <v>12499.931351092338</v>
      </c>
      <c r="AH59" s="9">
        <f t="shared" si="13"/>
        <v>12535.938097779766</v>
      </c>
      <c r="AI59" s="9">
        <f t="shared" si="13"/>
        <v>12505.623746591666</v>
      </c>
      <c r="AJ59" s="9">
        <f t="shared" si="13"/>
        <v>12596.607096741589</v>
      </c>
      <c r="AK59" s="9">
        <f t="shared" si="13"/>
        <v>12594.408174451448</v>
      </c>
      <c r="AL59" s="9">
        <f t="shared" si="13"/>
        <v>12657.706604600613</v>
      </c>
      <c r="AM59" s="9">
        <f t="shared" si="13"/>
        <v>114061.76577512549</v>
      </c>
      <c r="AN59" s="9">
        <f t="shared" si="13"/>
        <v>0</v>
      </c>
      <c r="AO59" s="9">
        <f t="shared" si="13"/>
        <v>0</v>
      </c>
      <c r="AP59" s="9">
        <f t="shared" si="13"/>
        <v>0</v>
      </c>
      <c r="AQ59" s="9">
        <f t="shared" si="13"/>
        <v>0</v>
      </c>
      <c r="AR59" s="9">
        <f t="shared" si="13"/>
        <v>0</v>
      </c>
      <c r="AS59" s="9">
        <f t="shared" si="13"/>
        <v>0</v>
      </c>
      <c r="AT59" s="9">
        <f t="shared" si="13"/>
        <v>0</v>
      </c>
      <c r="AU59" s="9">
        <f t="shared" si="13"/>
        <v>0</v>
      </c>
      <c r="AV59" s="9">
        <f t="shared" si="13"/>
        <v>0</v>
      </c>
      <c r="AW59" s="9">
        <f t="shared" si="13"/>
        <v>0</v>
      </c>
      <c r="AX59" s="9">
        <f t="shared" si="13"/>
        <v>0</v>
      </c>
      <c r="AY59" s="9">
        <f t="shared" si="13"/>
        <v>0</v>
      </c>
      <c r="AZ59" s="9">
        <f t="shared" si="13"/>
        <v>0</v>
      </c>
      <c r="BA59" s="9">
        <f t="shared" si="13"/>
        <v>0</v>
      </c>
      <c r="BB59" s="9">
        <f t="shared" si="13"/>
        <v>0</v>
      </c>
      <c r="BC59" s="9">
        <f t="shared" si="13"/>
        <v>0</v>
      </c>
      <c r="BD59" s="9">
        <f t="shared" si="13"/>
        <v>0</v>
      </c>
      <c r="BE59" s="9">
        <f t="shared" si="13"/>
        <v>0</v>
      </c>
    </row>
    <row r="60" spans="1:57" outlineLevel="2" x14ac:dyDescent="0.2">
      <c r="B60" s="79"/>
      <c r="C60" s="561"/>
      <c r="D60" s="60"/>
      <c r="E60" s="588" t="s">
        <v>765</v>
      </c>
      <c r="F60" s="32"/>
      <c r="G60" s="32" t="str">
        <f xml:space="preserve"> SMU</f>
        <v>$ 000s</v>
      </c>
      <c r="H60" s="32">
        <f xml:space="preserve"> SUM(J60:BE60)</f>
        <v>0</v>
      </c>
      <c r="I60" s="32"/>
      <c r="J60" s="32">
        <f t="shared" ref="J60:BE60" si="14" xml:space="preserve"> IF(J58 - J59 &gt; CHK_TOL, MAX(0, J58 - J59), 0)</f>
        <v>0</v>
      </c>
      <c r="K60" s="32">
        <f t="shared" si="14"/>
        <v>0</v>
      </c>
      <c r="L60" s="32">
        <f t="shared" si="14"/>
        <v>0</v>
      </c>
      <c r="M60" s="32">
        <f t="shared" si="14"/>
        <v>0</v>
      </c>
      <c r="N60" s="32">
        <f t="shared" si="14"/>
        <v>0</v>
      </c>
      <c r="O60" s="32">
        <f t="shared" si="14"/>
        <v>0</v>
      </c>
      <c r="P60" s="32">
        <f t="shared" si="14"/>
        <v>0</v>
      </c>
      <c r="Q60" s="32">
        <f t="shared" si="14"/>
        <v>0</v>
      </c>
      <c r="R60" s="32">
        <f t="shared" si="14"/>
        <v>0</v>
      </c>
      <c r="S60" s="32">
        <f t="shared" si="14"/>
        <v>0</v>
      </c>
      <c r="T60" s="32">
        <f t="shared" si="14"/>
        <v>0</v>
      </c>
      <c r="U60" s="32">
        <f t="shared" si="14"/>
        <v>0</v>
      </c>
      <c r="V60" s="32">
        <f t="shared" si="14"/>
        <v>0</v>
      </c>
      <c r="W60" s="32">
        <f t="shared" si="14"/>
        <v>0</v>
      </c>
      <c r="X60" s="32">
        <f t="shared" si="14"/>
        <v>0</v>
      </c>
      <c r="Y60" s="32">
        <f t="shared" si="14"/>
        <v>0</v>
      </c>
      <c r="Z60" s="32">
        <f t="shared" si="14"/>
        <v>0</v>
      </c>
      <c r="AA60" s="32">
        <f t="shared" si="14"/>
        <v>0</v>
      </c>
      <c r="AB60" s="32">
        <f t="shared" si="14"/>
        <v>0</v>
      </c>
      <c r="AC60" s="32">
        <f t="shared" si="14"/>
        <v>0</v>
      </c>
      <c r="AD60" s="32">
        <f t="shared" si="14"/>
        <v>0</v>
      </c>
      <c r="AE60" s="32">
        <f t="shared" si="14"/>
        <v>0</v>
      </c>
      <c r="AF60" s="32">
        <f t="shared" si="14"/>
        <v>0</v>
      </c>
      <c r="AG60" s="32">
        <f t="shared" si="14"/>
        <v>0</v>
      </c>
      <c r="AH60" s="32">
        <f t="shared" si="14"/>
        <v>0</v>
      </c>
      <c r="AI60" s="32">
        <f t="shared" si="14"/>
        <v>0</v>
      </c>
      <c r="AJ60" s="32">
        <f t="shared" si="14"/>
        <v>0</v>
      </c>
      <c r="AK60" s="32">
        <f t="shared" si="14"/>
        <v>0</v>
      </c>
      <c r="AL60" s="32">
        <f t="shared" si="14"/>
        <v>0</v>
      </c>
      <c r="AM60" s="32">
        <f t="shared" si="14"/>
        <v>0</v>
      </c>
      <c r="AN60" s="32">
        <f t="shared" si="14"/>
        <v>0</v>
      </c>
      <c r="AO60" s="32">
        <f t="shared" si="14"/>
        <v>0</v>
      </c>
      <c r="AP60" s="32">
        <f t="shared" si="14"/>
        <v>0</v>
      </c>
      <c r="AQ60" s="32">
        <f t="shared" si="14"/>
        <v>0</v>
      </c>
      <c r="AR60" s="32">
        <f t="shared" si="14"/>
        <v>0</v>
      </c>
      <c r="AS60" s="32">
        <f t="shared" si="14"/>
        <v>0</v>
      </c>
      <c r="AT60" s="32">
        <f t="shared" si="14"/>
        <v>0</v>
      </c>
      <c r="AU60" s="32">
        <f t="shared" si="14"/>
        <v>0</v>
      </c>
      <c r="AV60" s="32">
        <f t="shared" si="14"/>
        <v>0</v>
      </c>
      <c r="AW60" s="32">
        <f t="shared" si="14"/>
        <v>0</v>
      </c>
      <c r="AX60" s="32">
        <f t="shared" si="14"/>
        <v>0</v>
      </c>
      <c r="AY60" s="32">
        <f t="shared" si="14"/>
        <v>0</v>
      </c>
      <c r="AZ60" s="32">
        <f t="shared" si="14"/>
        <v>0</v>
      </c>
      <c r="BA60" s="32">
        <f t="shared" si="14"/>
        <v>0</v>
      </c>
      <c r="BB60" s="32">
        <f t="shared" si="14"/>
        <v>0</v>
      </c>
      <c r="BC60" s="32">
        <f t="shared" si="14"/>
        <v>0</v>
      </c>
      <c r="BD60" s="32">
        <f t="shared" si="14"/>
        <v>0</v>
      </c>
      <c r="BE60" s="32">
        <f t="shared" si="14"/>
        <v>0</v>
      </c>
    </row>
    <row r="61" spans="1:57" outlineLevel="2" x14ac:dyDescent="0.2">
      <c r="B61" s="79"/>
      <c r="C61" s="561"/>
      <c r="D61" s="60"/>
      <c r="E61" s="588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</row>
    <row r="62" spans="1:57" s="192" customFormat="1" outlineLevel="2" x14ac:dyDescent="0.2">
      <c r="A62" s="236"/>
      <c r="B62" s="405"/>
      <c r="C62" s="406"/>
      <c r="D62" s="575"/>
      <c r="E62" s="31" t="str">
        <f t="shared" ref="E62:AJ62" si="15" xml:space="preserve"> E$68</f>
        <v>Retained cash balance BEG</v>
      </c>
      <c r="F62" s="31">
        <f t="shared" si="15"/>
        <v>0</v>
      </c>
      <c r="G62" s="31" t="str">
        <f t="shared" si="15"/>
        <v>$ 000s</v>
      </c>
      <c r="H62" s="31">
        <f t="shared" si="15"/>
        <v>0</v>
      </c>
      <c r="I62" s="31">
        <f t="shared" si="15"/>
        <v>0</v>
      </c>
      <c r="J62" s="31">
        <f t="shared" si="15"/>
        <v>0</v>
      </c>
      <c r="K62" s="31">
        <f t="shared" si="15"/>
        <v>0</v>
      </c>
      <c r="L62" s="31">
        <f t="shared" si="15"/>
        <v>0</v>
      </c>
      <c r="M62" s="31">
        <f t="shared" si="15"/>
        <v>0</v>
      </c>
      <c r="N62" s="31">
        <f t="shared" si="15"/>
        <v>0</v>
      </c>
      <c r="O62" s="31">
        <f t="shared" si="15"/>
        <v>0</v>
      </c>
      <c r="P62" s="31">
        <f t="shared" si="15"/>
        <v>0</v>
      </c>
      <c r="Q62" s="31">
        <f t="shared" si="15"/>
        <v>0</v>
      </c>
      <c r="R62" s="31">
        <f t="shared" si="15"/>
        <v>0</v>
      </c>
      <c r="S62" s="31">
        <f t="shared" si="15"/>
        <v>0</v>
      </c>
      <c r="T62" s="31">
        <f t="shared" si="15"/>
        <v>0</v>
      </c>
      <c r="U62" s="31">
        <f t="shared" si="15"/>
        <v>0</v>
      </c>
      <c r="V62" s="31">
        <f t="shared" si="15"/>
        <v>0</v>
      </c>
      <c r="W62" s="31">
        <f t="shared" si="15"/>
        <v>0</v>
      </c>
      <c r="X62" s="31">
        <f t="shared" si="15"/>
        <v>0</v>
      </c>
      <c r="Y62" s="31">
        <f t="shared" si="15"/>
        <v>0</v>
      </c>
      <c r="Z62" s="31">
        <f t="shared" si="15"/>
        <v>0</v>
      </c>
      <c r="AA62" s="31">
        <f t="shared" si="15"/>
        <v>0</v>
      </c>
      <c r="AB62" s="31">
        <f t="shared" si="15"/>
        <v>0</v>
      </c>
      <c r="AC62" s="31">
        <f t="shared" si="15"/>
        <v>0</v>
      </c>
      <c r="AD62" s="31">
        <f t="shared" si="15"/>
        <v>0</v>
      </c>
      <c r="AE62" s="31">
        <f t="shared" si="15"/>
        <v>0</v>
      </c>
      <c r="AF62" s="31">
        <f t="shared" si="15"/>
        <v>0</v>
      </c>
      <c r="AG62" s="31">
        <f t="shared" si="15"/>
        <v>0</v>
      </c>
      <c r="AH62" s="31">
        <f t="shared" si="15"/>
        <v>0</v>
      </c>
      <c r="AI62" s="31">
        <f t="shared" si="15"/>
        <v>0</v>
      </c>
      <c r="AJ62" s="31">
        <f t="shared" si="15"/>
        <v>0</v>
      </c>
      <c r="AK62" s="31">
        <f t="shared" ref="AK62:BE62" si="16" xml:space="preserve"> AK$68</f>
        <v>0</v>
      </c>
      <c r="AL62" s="31">
        <f t="shared" si="16"/>
        <v>0</v>
      </c>
      <c r="AM62" s="31">
        <f t="shared" si="16"/>
        <v>0</v>
      </c>
      <c r="AN62" s="31">
        <f t="shared" si="16"/>
        <v>0</v>
      </c>
      <c r="AO62" s="31">
        <f t="shared" si="16"/>
        <v>0</v>
      </c>
      <c r="AP62" s="31">
        <f t="shared" si="16"/>
        <v>0</v>
      </c>
      <c r="AQ62" s="31">
        <f t="shared" si="16"/>
        <v>0</v>
      </c>
      <c r="AR62" s="31">
        <f t="shared" si="16"/>
        <v>0</v>
      </c>
      <c r="AS62" s="31">
        <f t="shared" si="16"/>
        <v>0</v>
      </c>
      <c r="AT62" s="31">
        <f t="shared" si="16"/>
        <v>0</v>
      </c>
      <c r="AU62" s="31">
        <f t="shared" si="16"/>
        <v>0</v>
      </c>
      <c r="AV62" s="31">
        <f t="shared" si="16"/>
        <v>0</v>
      </c>
      <c r="AW62" s="31">
        <f t="shared" si="16"/>
        <v>0</v>
      </c>
      <c r="AX62" s="31">
        <f t="shared" si="16"/>
        <v>0</v>
      </c>
      <c r="AY62" s="31">
        <f t="shared" si="16"/>
        <v>0</v>
      </c>
      <c r="AZ62" s="31">
        <f t="shared" si="16"/>
        <v>0</v>
      </c>
      <c r="BA62" s="31">
        <f t="shared" si="16"/>
        <v>0</v>
      </c>
      <c r="BB62" s="31">
        <f t="shared" si="16"/>
        <v>0</v>
      </c>
      <c r="BC62" s="31">
        <f t="shared" si="16"/>
        <v>0</v>
      </c>
      <c r="BD62" s="31">
        <f t="shared" si="16"/>
        <v>0</v>
      </c>
      <c r="BE62" s="31">
        <f t="shared" si="16"/>
        <v>0</v>
      </c>
    </row>
    <row r="63" spans="1:57" outlineLevel="2" x14ac:dyDescent="0.2">
      <c r="E63" s="9" t="str">
        <f t="shared" ref="E63:BE63" si="17" xml:space="preserve"> E$16</f>
        <v>Sources of cash</v>
      </c>
      <c r="F63" s="9">
        <f t="shared" si="17"/>
        <v>0</v>
      </c>
      <c r="G63" s="9" t="str">
        <f t="shared" si="17"/>
        <v>$ 000s</v>
      </c>
      <c r="H63" s="9">
        <f t="shared" si="17"/>
        <v>435066.35847402923</v>
      </c>
      <c r="I63" s="9">
        <f t="shared" si="17"/>
        <v>0</v>
      </c>
      <c r="J63" s="9">
        <f t="shared" si="17"/>
        <v>0</v>
      </c>
      <c r="K63" s="9">
        <f t="shared" si="17"/>
        <v>0</v>
      </c>
      <c r="L63" s="9">
        <f t="shared" si="17"/>
        <v>0</v>
      </c>
      <c r="M63" s="9">
        <f t="shared" si="17"/>
        <v>14943.424770244494</v>
      </c>
      <c r="N63" s="9">
        <f t="shared" si="17"/>
        <v>11841.327808384644</v>
      </c>
      <c r="O63" s="9">
        <f t="shared" si="17"/>
        <v>11870.259742712651</v>
      </c>
      <c r="P63" s="9">
        <f t="shared" si="17"/>
        <v>11907.687320687248</v>
      </c>
      <c r="Q63" s="9">
        <f t="shared" si="17"/>
        <v>11941.012306690816</v>
      </c>
      <c r="R63" s="9">
        <f t="shared" si="17"/>
        <v>11966.998590891828</v>
      </c>
      <c r="S63" s="9">
        <f t="shared" si="17"/>
        <v>12007.921531555499</v>
      </c>
      <c r="T63" s="9">
        <f t="shared" si="17"/>
        <v>12031.934187437519</v>
      </c>
      <c r="U63" s="9">
        <f t="shared" si="17"/>
        <v>12076.190635536972</v>
      </c>
      <c r="V63" s="9">
        <f t="shared" si="17"/>
        <v>12110.976773522409</v>
      </c>
      <c r="W63" s="9">
        <f t="shared" si="17"/>
        <v>12104.694875399815</v>
      </c>
      <c r="X63" s="9">
        <f t="shared" si="17"/>
        <v>12180.731360946033</v>
      </c>
      <c r="Y63" s="9">
        <f t="shared" si="17"/>
        <v>12199.330047588888</v>
      </c>
      <c r="Z63" s="9">
        <f t="shared" si="17"/>
        <v>12250.959482205111</v>
      </c>
      <c r="AA63" s="9">
        <f t="shared" si="17"/>
        <v>12266.975848549024</v>
      </c>
      <c r="AB63" s="9">
        <f t="shared" si="17"/>
        <v>12321.584756958357</v>
      </c>
      <c r="AC63" s="9">
        <f t="shared" si="17"/>
        <v>12357.077766346292</v>
      </c>
      <c r="AD63" s="9">
        <f t="shared" si="17"/>
        <v>12369.192114605235</v>
      </c>
      <c r="AE63" s="9">
        <f t="shared" si="17"/>
        <v>12428.303160347879</v>
      </c>
      <c r="AF63" s="9">
        <f t="shared" si="17"/>
        <v>12437.798518130739</v>
      </c>
      <c r="AG63" s="9">
        <f t="shared" si="17"/>
        <v>12499.931347612244</v>
      </c>
      <c r="AH63" s="9">
        <f t="shared" si="17"/>
        <v>12535.938094264708</v>
      </c>
      <c r="AI63" s="9">
        <f t="shared" si="17"/>
        <v>12505.623743976959</v>
      </c>
      <c r="AJ63" s="9">
        <f t="shared" si="17"/>
        <v>12596.607093158804</v>
      </c>
      <c r="AK63" s="9">
        <f t="shared" si="17"/>
        <v>12594.408171304991</v>
      </c>
      <c r="AL63" s="9">
        <f t="shared" si="17"/>
        <v>12657.706600951156</v>
      </c>
      <c r="AM63" s="9">
        <f t="shared" si="17"/>
        <v>114061.76182401899</v>
      </c>
      <c r="AN63" s="9">
        <f t="shared" si="17"/>
        <v>0</v>
      </c>
      <c r="AO63" s="9">
        <f t="shared" si="17"/>
        <v>0</v>
      </c>
      <c r="AP63" s="9">
        <f t="shared" si="17"/>
        <v>0</v>
      </c>
      <c r="AQ63" s="9">
        <f t="shared" si="17"/>
        <v>0</v>
      </c>
      <c r="AR63" s="9">
        <f t="shared" si="17"/>
        <v>0</v>
      </c>
      <c r="AS63" s="9">
        <f t="shared" si="17"/>
        <v>0</v>
      </c>
      <c r="AT63" s="9">
        <f t="shared" si="17"/>
        <v>0</v>
      </c>
      <c r="AU63" s="9">
        <f t="shared" si="17"/>
        <v>0</v>
      </c>
      <c r="AV63" s="9">
        <f t="shared" si="17"/>
        <v>0</v>
      </c>
      <c r="AW63" s="9">
        <f t="shared" si="17"/>
        <v>0</v>
      </c>
      <c r="AX63" s="9">
        <f t="shared" si="17"/>
        <v>0</v>
      </c>
      <c r="AY63" s="9">
        <f t="shared" si="17"/>
        <v>0</v>
      </c>
      <c r="AZ63" s="9">
        <f t="shared" si="17"/>
        <v>0</v>
      </c>
      <c r="BA63" s="9">
        <f t="shared" si="17"/>
        <v>0</v>
      </c>
      <c r="BB63" s="9">
        <f t="shared" si="17"/>
        <v>0</v>
      </c>
      <c r="BC63" s="9">
        <f t="shared" si="17"/>
        <v>0</v>
      </c>
      <c r="BD63" s="9">
        <f t="shared" si="17"/>
        <v>0</v>
      </c>
      <c r="BE63" s="9">
        <f t="shared" si="17"/>
        <v>0</v>
      </c>
    </row>
    <row r="64" spans="1:57" outlineLevel="2" x14ac:dyDescent="0.2">
      <c r="E64" s="9" t="str">
        <f t="shared" ref="E64:BE64" si="18" xml:space="preserve"> E$45</f>
        <v>Uses of cash</v>
      </c>
      <c r="F64" s="9">
        <f t="shared" si="18"/>
        <v>0</v>
      </c>
      <c r="G64" s="9" t="str">
        <f t="shared" si="18"/>
        <v>$ 000s</v>
      </c>
      <c r="H64" s="9">
        <f t="shared" si="18"/>
        <v>435066.36249184381</v>
      </c>
      <c r="I64" s="9">
        <f t="shared" si="18"/>
        <v>0</v>
      </c>
      <c r="J64" s="9">
        <f t="shared" si="18"/>
        <v>0</v>
      </c>
      <c r="K64" s="9">
        <f t="shared" si="18"/>
        <v>0</v>
      </c>
      <c r="L64" s="9">
        <f t="shared" si="18"/>
        <v>0</v>
      </c>
      <c r="M64" s="9">
        <f t="shared" si="18"/>
        <v>14943.424768648449</v>
      </c>
      <c r="N64" s="9">
        <f t="shared" si="18"/>
        <v>11841.3278099945</v>
      </c>
      <c r="O64" s="9">
        <f t="shared" si="18"/>
        <v>11870.259744254683</v>
      </c>
      <c r="P64" s="9">
        <f t="shared" si="18"/>
        <v>11907.687322377085</v>
      </c>
      <c r="Q64" s="9">
        <f t="shared" si="18"/>
        <v>11941.012308420399</v>
      </c>
      <c r="R64" s="9">
        <f t="shared" si="18"/>
        <v>11966.998592548676</v>
      </c>
      <c r="S64" s="9">
        <f t="shared" si="18"/>
        <v>12007.921533362938</v>
      </c>
      <c r="T64" s="9">
        <f t="shared" si="18"/>
        <v>12031.934189986556</v>
      </c>
      <c r="U64" s="9">
        <f t="shared" si="18"/>
        <v>12076.190638570888</v>
      </c>
      <c r="V64" s="9">
        <f t="shared" si="18"/>
        <v>12110.976776596031</v>
      </c>
      <c r="W64" s="9">
        <f t="shared" si="18"/>
        <v>12104.694877162179</v>
      </c>
      <c r="X64" s="9">
        <f t="shared" si="18"/>
        <v>12180.731364095845</v>
      </c>
      <c r="Y64" s="9">
        <f t="shared" si="18"/>
        <v>12199.330050324086</v>
      </c>
      <c r="Z64" s="9">
        <f t="shared" si="18"/>
        <v>12250.959485430985</v>
      </c>
      <c r="AA64" s="9">
        <f t="shared" si="18"/>
        <v>12266.975851356518</v>
      </c>
      <c r="AB64" s="9">
        <f t="shared" si="18"/>
        <v>12321.58476025874</v>
      </c>
      <c r="AC64" s="9">
        <f t="shared" si="18"/>
        <v>12357.077769683647</v>
      </c>
      <c r="AD64" s="9">
        <f t="shared" si="18"/>
        <v>12369.192117518647</v>
      </c>
      <c r="AE64" s="9">
        <f t="shared" si="18"/>
        <v>12428.303163757388</v>
      </c>
      <c r="AF64" s="9">
        <f t="shared" si="18"/>
        <v>12437.798521112683</v>
      </c>
      <c r="AG64" s="9">
        <f t="shared" si="18"/>
        <v>12499.931351092338</v>
      </c>
      <c r="AH64" s="9">
        <f t="shared" si="18"/>
        <v>12535.938097779766</v>
      </c>
      <c r="AI64" s="9">
        <f t="shared" si="18"/>
        <v>12505.623746591666</v>
      </c>
      <c r="AJ64" s="9">
        <f t="shared" si="18"/>
        <v>12596.607096741589</v>
      </c>
      <c r="AK64" s="9">
        <f t="shared" si="18"/>
        <v>12594.408174451448</v>
      </c>
      <c r="AL64" s="9">
        <f t="shared" si="18"/>
        <v>12657.706604600613</v>
      </c>
      <c r="AM64" s="9">
        <f t="shared" si="18"/>
        <v>114061.76577512549</v>
      </c>
      <c r="AN64" s="9">
        <f t="shared" si="18"/>
        <v>0</v>
      </c>
      <c r="AO64" s="9">
        <f t="shared" si="18"/>
        <v>0</v>
      </c>
      <c r="AP64" s="9">
        <f t="shared" si="18"/>
        <v>0</v>
      </c>
      <c r="AQ64" s="9">
        <f t="shared" si="18"/>
        <v>0</v>
      </c>
      <c r="AR64" s="9">
        <f t="shared" si="18"/>
        <v>0</v>
      </c>
      <c r="AS64" s="9">
        <f t="shared" si="18"/>
        <v>0</v>
      </c>
      <c r="AT64" s="9">
        <f t="shared" si="18"/>
        <v>0</v>
      </c>
      <c r="AU64" s="9">
        <f t="shared" si="18"/>
        <v>0</v>
      </c>
      <c r="AV64" s="9">
        <f t="shared" si="18"/>
        <v>0</v>
      </c>
      <c r="AW64" s="9">
        <f t="shared" si="18"/>
        <v>0</v>
      </c>
      <c r="AX64" s="9">
        <f t="shared" si="18"/>
        <v>0</v>
      </c>
      <c r="AY64" s="9">
        <f t="shared" si="18"/>
        <v>0</v>
      </c>
      <c r="AZ64" s="9">
        <f t="shared" si="18"/>
        <v>0</v>
      </c>
      <c r="BA64" s="9">
        <f t="shared" si="18"/>
        <v>0</v>
      </c>
      <c r="BB64" s="9">
        <f t="shared" si="18"/>
        <v>0</v>
      </c>
      <c r="BC64" s="9">
        <f t="shared" si="18"/>
        <v>0</v>
      </c>
      <c r="BD64" s="9">
        <f t="shared" si="18"/>
        <v>0</v>
      </c>
      <c r="BE64" s="9">
        <f t="shared" si="18"/>
        <v>0</v>
      </c>
    </row>
    <row r="65" spans="1:57" outlineLevel="2" x14ac:dyDescent="0.2">
      <c r="B65" s="79"/>
      <c r="C65" s="561"/>
      <c r="D65" s="60"/>
      <c r="E65" s="588" t="s">
        <v>764</v>
      </c>
      <c r="F65" s="32"/>
      <c r="G65" s="32" t="str">
        <f xml:space="preserve"> SMU</f>
        <v>$ 000s</v>
      </c>
      <c r="H65" s="32">
        <f xml:space="preserve"> SUM(J65:BE65)</f>
        <v>0</v>
      </c>
      <c r="I65" s="32"/>
      <c r="J65" s="32">
        <f t="shared" ref="J65:N65" si="19" xml:space="preserve"> MIN(J62, MAX(0, J64 - J63))</f>
        <v>0</v>
      </c>
      <c r="K65" s="32">
        <f t="shared" si="19"/>
        <v>0</v>
      </c>
      <c r="L65" s="32">
        <f t="shared" si="19"/>
        <v>0</v>
      </c>
      <c r="M65" s="32">
        <f t="shared" si="19"/>
        <v>0</v>
      </c>
      <c r="N65" s="32">
        <f t="shared" si="19"/>
        <v>0</v>
      </c>
      <c r="O65" s="32">
        <f t="shared" ref="O65:BE65" si="20" xml:space="preserve"> MIN(O62, MAX(0, O64 - O63))</f>
        <v>0</v>
      </c>
      <c r="P65" s="32">
        <f t="shared" si="20"/>
        <v>0</v>
      </c>
      <c r="Q65" s="32">
        <f t="shared" si="20"/>
        <v>0</v>
      </c>
      <c r="R65" s="32">
        <f t="shared" si="20"/>
        <v>0</v>
      </c>
      <c r="S65" s="32">
        <f t="shared" si="20"/>
        <v>0</v>
      </c>
      <c r="T65" s="32">
        <f t="shared" si="20"/>
        <v>0</v>
      </c>
      <c r="U65" s="32">
        <f t="shared" si="20"/>
        <v>0</v>
      </c>
      <c r="V65" s="32">
        <f t="shared" si="20"/>
        <v>0</v>
      </c>
      <c r="W65" s="32">
        <f t="shared" si="20"/>
        <v>0</v>
      </c>
      <c r="X65" s="32">
        <f t="shared" si="20"/>
        <v>0</v>
      </c>
      <c r="Y65" s="32">
        <f t="shared" si="20"/>
        <v>0</v>
      </c>
      <c r="Z65" s="32">
        <f t="shared" si="20"/>
        <v>0</v>
      </c>
      <c r="AA65" s="32">
        <f t="shared" si="20"/>
        <v>0</v>
      </c>
      <c r="AB65" s="32">
        <f t="shared" si="20"/>
        <v>0</v>
      </c>
      <c r="AC65" s="32">
        <f t="shared" si="20"/>
        <v>0</v>
      </c>
      <c r="AD65" s="32">
        <f t="shared" si="20"/>
        <v>0</v>
      </c>
      <c r="AE65" s="32">
        <f t="shared" si="20"/>
        <v>0</v>
      </c>
      <c r="AF65" s="32">
        <f t="shared" si="20"/>
        <v>0</v>
      </c>
      <c r="AG65" s="32">
        <f t="shared" si="20"/>
        <v>0</v>
      </c>
      <c r="AH65" s="32">
        <f t="shared" si="20"/>
        <v>0</v>
      </c>
      <c r="AI65" s="32">
        <f t="shared" si="20"/>
        <v>0</v>
      </c>
      <c r="AJ65" s="32">
        <f t="shared" si="20"/>
        <v>0</v>
      </c>
      <c r="AK65" s="32">
        <f t="shared" si="20"/>
        <v>0</v>
      </c>
      <c r="AL65" s="32">
        <f t="shared" si="20"/>
        <v>0</v>
      </c>
      <c r="AM65" s="32">
        <f t="shared" si="20"/>
        <v>0</v>
      </c>
      <c r="AN65" s="32">
        <f t="shared" si="20"/>
        <v>0</v>
      </c>
      <c r="AO65" s="32">
        <f t="shared" si="20"/>
        <v>0</v>
      </c>
      <c r="AP65" s="32">
        <f t="shared" si="20"/>
        <v>0</v>
      </c>
      <c r="AQ65" s="32">
        <f t="shared" si="20"/>
        <v>0</v>
      </c>
      <c r="AR65" s="32">
        <f t="shared" si="20"/>
        <v>0</v>
      </c>
      <c r="AS65" s="32">
        <f t="shared" si="20"/>
        <v>0</v>
      </c>
      <c r="AT65" s="32">
        <f t="shared" si="20"/>
        <v>0</v>
      </c>
      <c r="AU65" s="32">
        <f t="shared" si="20"/>
        <v>0</v>
      </c>
      <c r="AV65" s="32">
        <f t="shared" si="20"/>
        <v>0</v>
      </c>
      <c r="AW65" s="32">
        <f t="shared" si="20"/>
        <v>0</v>
      </c>
      <c r="AX65" s="32">
        <f t="shared" si="20"/>
        <v>0</v>
      </c>
      <c r="AY65" s="32">
        <f t="shared" si="20"/>
        <v>0</v>
      </c>
      <c r="AZ65" s="32">
        <f t="shared" si="20"/>
        <v>0</v>
      </c>
      <c r="BA65" s="32">
        <f t="shared" si="20"/>
        <v>0</v>
      </c>
      <c r="BB65" s="32">
        <f t="shared" si="20"/>
        <v>0</v>
      </c>
      <c r="BC65" s="32">
        <f t="shared" si="20"/>
        <v>0</v>
      </c>
      <c r="BD65" s="32">
        <f t="shared" si="20"/>
        <v>0</v>
      </c>
      <c r="BE65" s="32">
        <f t="shared" si="20"/>
        <v>0</v>
      </c>
    </row>
    <row r="66" spans="1:57" outlineLevel="2" x14ac:dyDescent="0.2">
      <c r="B66" s="79"/>
      <c r="C66" s="561"/>
      <c r="D66" s="60"/>
      <c r="E66" s="588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</row>
    <row r="67" spans="1:57" outlineLevel="2" x14ac:dyDescent="0.2">
      <c r="B67" s="79"/>
      <c r="C67" s="561" t="s">
        <v>135</v>
      </c>
      <c r="D67" s="60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</row>
    <row r="68" spans="1:57" outlineLevel="2" x14ac:dyDescent="0.2">
      <c r="B68" s="568"/>
      <c r="C68" s="569"/>
      <c r="D68" s="570"/>
      <c r="E68" s="571" t="s">
        <v>134</v>
      </c>
      <c r="F68" s="571"/>
      <c r="G68" s="571" t="str">
        <f xml:space="preserve"> SMU</f>
        <v>$ 000s</v>
      </c>
      <c r="H68" s="571"/>
      <c r="I68" s="571"/>
      <c r="J68" s="571">
        <f t="shared" ref="J68:N68" si="21">I71</f>
        <v>0</v>
      </c>
      <c r="K68" s="571">
        <f t="shared" si="21"/>
        <v>0</v>
      </c>
      <c r="L68" s="571">
        <f t="shared" si="21"/>
        <v>0</v>
      </c>
      <c r="M68" s="571">
        <f t="shared" si="21"/>
        <v>0</v>
      </c>
      <c r="N68" s="571">
        <f t="shared" si="21"/>
        <v>0</v>
      </c>
      <c r="O68" s="571">
        <f t="shared" ref="O68:BE68" si="22">N71</f>
        <v>0</v>
      </c>
      <c r="P68" s="571">
        <f t="shared" si="22"/>
        <v>0</v>
      </c>
      <c r="Q68" s="571">
        <f t="shared" si="22"/>
        <v>0</v>
      </c>
      <c r="R68" s="571">
        <f t="shared" si="22"/>
        <v>0</v>
      </c>
      <c r="S68" s="571">
        <f t="shared" si="22"/>
        <v>0</v>
      </c>
      <c r="T68" s="571">
        <f t="shared" si="22"/>
        <v>0</v>
      </c>
      <c r="U68" s="571">
        <f t="shared" si="22"/>
        <v>0</v>
      </c>
      <c r="V68" s="571">
        <f t="shared" si="22"/>
        <v>0</v>
      </c>
      <c r="W68" s="571">
        <f t="shared" si="22"/>
        <v>0</v>
      </c>
      <c r="X68" s="571">
        <f t="shared" si="22"/>
        <v>0</v>
      </c>
      <c r="Y68" s="571">
        <f t="shared" si="22"/>
        <v>0</v>
      </c>
      <c r="Z68" s="571">
        <f t="shared" si="22"/>
        <v>0</v>
      </c>
      <c r="AA68" s="571">
        <f t="shared" si="22"/>
        <v>0</v>
      </c>
      <c r="AB68" s="571">
        <f t="shared" si="22"/>
        <v>0</v>
      </c>
      <c r="AC68" s="571">
        <f t="shared" si="22"/>
        <v>0</v>
      </c>
      <c r="AD68" s="571">
        <f t="shared" si="22"/>
        <v>0</v>
      </c>
      <c r="AE68" s="571">
        <f t="shared" si="22"/>
        <v>0</v>
      </c>
      <c r="AF68" s="571">
        <f t="shared" si="22"/>
        <v>0</v>
      </c>
      <c r="AG68" s="571">
        <f t="shared" si="22"/>
        <v>0</v>
      </c>
      <c r="AH68" s="571">
        <f t="shared" si="22"/>
        <v>0</v>
      </c>
      <c r="AI68" s="571">
        <f t="shared" si="22"/>
        <v>0</v>
      </c>
      <c r="AJ68" s="571">
        <f t="shared" si="22"/>
        <v>0</v>
      </c>
      <c r="AK68" s="571">
        <f t="shared" si="22"/>
        <v>0</v>
      </c>
      <c r="AL68" s="571">
        <f t="shared" si="22"/>
        <v>0</v>
      </c>
      <c r="AM68" s="571">
        <f t="shared" si="22"/>
        <v>0</v>
      </c>
      <c r="AN68" s="571">
        <f t="shared" si="22"/>
        <v>0</v>
      </c>
      <c r="AO68" s="571">
        <f t="shared" si="22"/>
        <v>0</v>
      </c>
      <c r="AP68" s="571">
        <f t="shared" si="22"/>
        <v>0</v>
      </c>
      <c r="AQ68" s="571">
        <f t="shared" si="22"/>
        <v>0</v>
      </c>
      <c r="AR68" s="571">
        <f t="shared" si="22"/>
        <v>0</v>
      </c>
      <c r="AS68" s="571">
        <f t="shared" si="22"/>
        <v>0</v>
      </c>
      <c r="AT68" s="571">
        <f t="shared" si="22"/>
        <v>0</v>
      </c>
      <c r="AU68" s="571">
        <f t="shared" si="22"/>
        <v>0</v>
      </c>
      <c r="AV68" s="571">
        <f t="shared" si="22"/>
        <v>0</v>
      </c>
      <c r="AW68" s="571">
        <f t="shared" si="22"/>
        <v>0</v>
      </c>
      <c r="AX68" s="571">
        <f t="shared" si="22"/>
        <v>0</v>
      </c>
      <c r="AY68" s="571">
        <f t="shared" si="22"/>
        <v>0</v>
      </c>
      <c r="AZ68" s="571">
        <f t="shared" si="22"/>
        <v>0</v>
      </c>
      <c r="BA68" s="571">
        <f t="shared" si="22"/>
        <v>0</v>
      </c>
      <c r="BB68" s="571">
        <f t="shared" si="22"/>
        <v>0</v>
      </c>
      <c r="BC68" s="571">
        <f t="shared" si="22"/>
        <v>0</v>
      </c>
      <c r="BD68" s="571">
        <f t="shared" si="22"/>
        <v>0</v>
      </c>
      <c r="BE68" s="571">
        <f t="shared" si="22"/>
        <v>0</v>
      </c>
    </row>
    <row r="69" spans="1:57" s="44" customFormat="1" outlineLevel="2" x14ac:dyDescent="0.2">
      <c r="A69" s="52"/>
      <c r="B69" s="79"/>
      <c r="C69" s="561"/>
      <c r="D69" s="32"/>
      <c r="E69" s="32" t="str">
        <f t="shared" ref="E69:AJ69" si="23" xml:space="preserve"> E$60</f>
        <v>Cash transferred to cash balance</v>
      </c>
      <c r="F69" s="32">
        <f t="shared" si="23"/>
        <v>0</v>
      </c>
      <c r="G69" s="32" t="str">
        <f t="shared" si="23"/>
        <v>$ 000s</v>
      </c>
      <c r="H69" s="32">
        <f t="shared" si="23"/>
        <v>0</v>
      </c>
      <c r="I69" s="32">
        <f t="shared" si="23"/>
        <v>0</v>
      </c>
      <c r="J69" s="32">
        <f t="shared" si="23"/>
        <v>0</v>
      </c>
      <c r="K69" s="32">
        <f t="shared" si="23"/>
        <v>0</v>
      </c>
      <c r="L69" s="32">
        <f t="shared" si="23"/>
        <v>0</v>
      </c>
      <c r="M69" s="32">
        <f t="shared" si="23"/>
        <v>0</v>
      </c>
      <c r="N69" s="32">
        <f t="shared" si="23"/>
        <v>0</v>
      </c>
      <c r="O69" s="32">
        <f t="shared" si="23"/>
        <v>0</v>
      </c>
      <c r="P69" s="32">
        <f t="shared" si="23"/>
        <v>0</v>
      </c>
      <c r="Q69" s="32">
        <f t="shared" si="23"/>
        <v>0</v>
      </c>
      <c r="R69" s="32">
        <f t="shared" si="23"/>
        <v>0</v>
      </c>
      <c r="S69" s="32">
        <f t="shared" si="23"/>
        <v>0</v>
      </c>
      <c r="T69" s="32">
        <f t="shared" si="23"/>
        <v>0</v>
      </c>
      <c r="U69" s="32">
        <f t="shared" si="23"/>
        <v>0</v>
      </c>
      <c r="V69" s="32">
        <f t="shared" si="23"/>
        <v>0</v>
      </c>
      <c r="W69" s="32">
        <f t="shared" si="23"/>
        <v>0</v>
      </c>
      <c r="X69" s="32">
        <f t="shared" si="23"/>
        <v>0</v>
      </c>
      <c r="Y69" s="32">
        <f t="shared" si="23"/>
        <v>0</v>
      </c>
      <c r="Z69" s="32">
        <f t="shared" si="23"/>
        <v>0</v>
      </c>
      <c r="AA69" s="32">
        <f t="shared" si="23"/>
        <v>0</v>
      </c>
      <c r="AB69" s="32">
        <f t="shared" si="23"/>
        <v>0</v>
      </c>
      <c r="AC69" s="32">
        <f t="shared" si="23"/>
        <v>0</v>
      </c>
      <c r="AD69" s="32">
        <f t="shared" si="23"/>
        <v>0</v>
      </c>
      <c r="AE69" s="32">
        <f t="shared" si="23"/>
        <v>0</v>
      </c>
      <c r="AF69" s="32">
        <f t="shared" si="23"/>
        <v>0</v>
      </c>
      <c r="AG69" s="32">
        <f t="shared" si="23"/>
        <v>0</v>
      </c>
      <c r="AH69" s="32">
        <f t="shared" si="23"/>
        <v>0</v>
      </c>
      <c r="AI69" s="32">
        <f t="shared" si="23"/>
        <v>0</v>
      </c>
      <c r="AJ69" s="32">
        <f t="shared" si="23"/>
        <v>0</v>
      </c>
      <c r="AK69" s="32">
        <f t="shared" ref="AK69:BE69" si="24" xml:space="preserve"> AK$60</f>
        <v>0</v>
      </c>
      <c r="AL69" s="32">
        <f t="shared" si="24"/>
        <v>0</v>
      </c>
      <c r="AM69" s="32">
        <f t="shared" si="24"/>
        <v>0</v>
      </c>
      <c r="AN69" s="32">
        <f t="shared" si="24"/>
        <v>0</v>
      </c>
      <c r="AO69" s="32">
        <f t="shared" si="24"/>
        <v>0</v>
      </c>
      <c r="AP69" s="32">
        <f t="shared" si="24"/>
        <v>0</v>
      </c>
      <c r="AQ69" s="32">
        <f t="shared" si="24"/>
        <v>0</v>
      </c>
      <c r="AR69" s="32">
        <f t="shared" si="24"/>
        <v>0</v>
      </c>
      <c r="AS69" s="32">
        <f t="shared" si="24"/>
        <v>0</v>
      </c>
      <c r="AT69" s="32">
        <f t="shared" si="24"/>
        <v>0</v>
      </c>
      <c r="AU69" s="32">
        <f t="shared" si="24"/>
        <v>0</v>
      </c>
      <c r="AV69" s="32">
        <f t="shared" si="24"/>
        <v>0</v>
      </c>
      <c r="AW69" s="32">
        <f t="shared" si="24"/>
        <v>0</v>
      </c>
      <c r="AX69" s="32">
        <f t="shared" si="24"/>
        <v>0</v>
      </c>
      <c r="AY69" s="32">
        <f t="shared" si="24"/>
        <v>0</v>
      </c>
      <c r="AZ69" s="32">
        <f t="shared" si="24"/>
        <v>0</v>
      </c>
      <c r="BA69" s="32">
        <f t="shared" si="24"/>
        <v>0</v>
      </c>
      <c r="BB69" s="32">
        <f t="shared" si="24"/>
        <v>0</v>
      </c>
      <c r="BC69" s="32">
        <f t="shared" si="24"/>
        <v>0</v>
      </c>
      <c r="BD69" s="32">
        <f t="shared" si="24"/>
        <v>0</v>
      </c>
      <c r="BE69" s="32">
        <f t="shared" si="24"/>
        <v>0</v>
      </c>
    </row>
    <row r="70" spans="1:57" s="44" customFormat="1" outlineLevel="2" x14ac:dyDescent="0.2">
      <c r="A70" s="52"/>
      <c r="B70" s="79"/>
      <c r="C70" s="561"/>
      <c r="D70" s="32"/>
      <c r="E70" s="32" t="str">
        <f t="shared" ref="E70:AJ70" si="25" xml:space="preserve"> E$65</f>
        <v>Cash balance utilised</v>
      </c>
      <c r="F70" s="32">
        <f t="shared" si="25"/>
        <v>0</v>
      </c>
      <c r="G70" s="32" t="str">
        <f t="shared" si="25"/>
        <v>$ 000s</v>
      </c>
      <c r="H70" s="32">
        <f t="shared" si="25"/>
        <v>0</v>
      </c>
      <c r="I70" s="32">
        <f t="shared" si="25"/>
        <v>0</v>
      </c>
      <c r="J70" s="32">
        <f t="shared" si="25"/>
        <v>0</v>
      </c>
      <c r="K70" s="32">
        <f t="shared" si="25"/>
        <v>0</v>
      </c>
      <c r="L70" s="32">
        <f t="shared" si="25"/>
        <v>0</v>
      </c>
      <c r="M70" s="32">
        <f t="shared" si="25"/>
        <v>0</v>
      </c>
      <c r="N70" s="32">
        <f t="shared" si="25"/>
        <v>0</v>
      </c>
      <c r="O70" s="32">
        <f t="shared" si="25"/>
        <v>0</v>
      </c>
      <c r="P70" s="32">
        <f t="shared" si="25"/>
        <v>0</v>
      </c>
      <c r="Q70" s="32">
        <f t="shared" si="25"/>
        <v>0</v>
      </c>
      <c r="R70" s="32">
        <f t="shared" si="25"/>
        <v>0</v>
      </c>
      <c r="S70" s="32">
        <f t="shared" si="25"/>
        <v>0</v>
      </c>
      <c r="T70" s="32">
        <f t="shared" si="25"/>
        <v>0</v>
      </c>
      <c r="U70" s="32">
        <f t="shared" si="25"/>
        <v>0</v>
      </c>
      <c r="V70" s="32">
        <f t="shared" si="25"/>
        <v>0</v>
      </c>
      <c r="W70" s="32">
        <f t="shared" si="25"/>
        <v>0</v>
      </c>
      <c r="X70" s="32">
        <f t="shared" si="25"/>
        <v>0</v>
      </c>
      <c r="Y70" s="32">
        <f t="shared" si="25"/>
        <v>0</v>
      </c>
      <c r="Z70" s="32">
        <f t="shared" si="25"/>
        <v>0</v>
      </c>
      <c r="AA70" s="32">
        <f t="shared" si="25"/>
        <v>0</v>
      </c>
      <c r="AB70" s="32">
        <f t="shared" si="25"/>
        <v>0</v>
      </c>
      <c r="AC70" s="32">
        <f t="shared" si="25"/>
        <v>0</v>
      </c>
      <c r="AD70" s="32">
        <f t="shared" si="25"/>
        <v>0</v>
      </c>
      <c r="AE70" s="32">
        <f t="shared" si="25"/>
        <v>0</v>
      </c>
      <c r="AF70" s="32">
        <f t="shared" si="25"/>
        <v>0</v>
      </c>
      <c r="AG70" s="32">
        <f t="shared" si="25"/>
        <v>0</v>
      </c>
      <c r="AH70" s="32">
        <f t="shared" si="25"/>
        <v>0</v>
      </c>
      <c r="AI70" s="32">
        <f t="shared" si="25"/>
        <v>0</v>
      </c>
      <c r="AJ70" s="32">
        <f t="shared" si="25"/>
        <v>0</v>
      </c>
      <c r="AK70" s="32">
        <f t="shared" ref="AK70:BE70" si="26" xml:space="preserve"> AK$65</f>
        <v>0</v>
      </c>
      <c r="AL70" s="32">
        <f t="shared" si="26"/>
        <v>0</v>
      </c>
      <c r="AM70" s="32">
        <f t="shared" si="26"/>
        <v>0</v>
      </c>
      <c r="AN70" s="32">
        <f t="shared" si="26"/>
        <v>0</v>
      </c>
      <c r="AO70" s="32">
        <f t="shared" si="26"/>
        <v>0</v>
      </c>
      <c r="AP70" s="32">
        <f t="shared" si="26"/>
        <v>0</v>
      </c>
      <c r="AQ70" s="32">
        <f t="shared" si="26"/>
        <v>0</v>
      </c>
      <c r="AR70" s="32">
        <f t="shared" si="26"/>
        <v>0</v>
      </c>
      <c r="AS70" s="32">
        <f t="shared" si="26"/>
        <v>0</v>
      </c>
      <c r="AT70" s="32">
        <f t="shared" si="26"/>
        <v>0</v>
      </c>
      <c r="AU70" s="32">
        <f t="shared" si="26"/>
        <v>0</v>
      </c>
      <c r="AV70" s="32">
        <f t="shared" si="26"/>
        <v>0</v>
      </c>
      <c r="AW70" s="32">
        <f t="shared" si="26"/>
        <v>0</v>
      </c>
      <c r="AX70" s="32">
        <f t="shared" si="26"/>
        <v>0</v>
      </c>
      <c r="AY70" s="32">
        <f t="shared" si="26"/>
        <v>0</v>
      </c>
      <c r="AZ70" s="32">
        <f t="shared" si="26"/>
        <v>0</v>
      </c>
      <c r="BA70" s="32">
        <f t="shared" si="26"/>
        <v>0</v>
      </c>
      <c r="BB70" s="32">
        <f t="shared" si="26"/>
        <v>0</v>
      </c>
      <c r="BC70" s="32">
        <f t="shared" si="26"/>
        <v>0</v>
      </c>
      <c r="BD70" s="32">
        <f t="shared" si="26"/>
        <v>0</v>
      </c>
      <c r="BE70" s="32">
        <f t="shared" si="26"/>
        <v>0</v>
      </c>
    </row>
    <row r="71" spans="1:57" outlineLevel="2" x14ac:dyDescent="0.2">
      <c r="B71" s="910"/>
      <c r="C71" s="911"/>
      <c r="D71" s="912"/>
      <c r="E71" s="517" t="s">
        <v>135</v>
      </c>
      <c r="F71" s="517"/>
      <c r="G71" s="517" t="str">
        <f xml:space="preserve"> SMU</f>
        <v>$ 000s</v>
      </c>
      <c r="H71" s="517"/>
      <c r="I71" s="517"/>
      <c r="J71" s="517">
        <f t="shared" ref="J71:N71" si="27" xml:space="preserve"> J68 + J69 - J70</f>
        <v>0</v>
      </c>
      <c r="K71" s="517">
        <f t="shared" si="27"/>
        <v>0</v>
      </c>
      <c r="L71" s="517">
        <f t="shared" si="27"/>
        <v>0</v>
      </c>
      <c r="M71" s="517">
        <f t="shared" si="27"/>
        <v>0</v>
      </c>
      <c r="N71" s="517">
        <f t="shared" si="27"/>
        <v>0</v>
      </c>
      <c r="O71" s="517">
        <f t="shared" ref="O71:BE71" si="28" xml:space="preserve"> O68 + O69 - O70</f>
        <v>0</v>
      </c>
      <c r="P71" s="517">
        <f t="shared" si="28"/>
        <v>0</v>
      </c>
      <c r="Q71" s="517">
        <f t="shared" si="28"/>
        <v>0</v>
      </c>
      <c r="R71" s="517">
        <f t="shared" si="28"/>
        <v>0</v>
      </c>
      <c r="S71" s="517">
        <f t="shared" si="28"/>
        <v>0</v>
      </c>
      <c r="T71" s="517">
        <f t="shared" si="28"/>
        <v>0</v>
      </c>
      <c r="U71" s="517">
        <f t="shared" si="28"/>
        <v>0</v>
      </c>
      <c r="V71" s="517">
        <f t="shared" si="28"/>
        <v>0</v>
      </c>
      <c r="W71" s="517">
        <f t="shared" si="28"/>
        <v>0</v>
      </c>
      <c r="X71" s="517">
        <f t="shared" si="28"/>
        <v>0</v>
      </c>
      <c r="Y71" s="517">
        <f t="shared" si="28"/>
        <v>0</v>
      </c>
      <c r="Z71" s="517">
        <f t="shared" si="28"/>
        <v>0</v>
      </c>
      <c r="AA71" s="517">
        <f t="shared" si="28"/>
        <v>0</v>
      </c>
      <c r="AB71" s="517">
        <f t="shared" si="28"/>
        <v>0</v>
      </c>
      <c r="AC71" s="517">
        <f t="shared" si="28"/>
        <v>0</v>
      </c>
      <c r="AD71" s="517">
        <f t="shared" si="28"/>
        <v>0</v>
      </c>
      <c r="AE71" s="517">
        <f t="shared" si="28"/>
        <v>0</v>
      </c>
      <c r="AF71" s="517">
        <f t="shared" si="28"/>
        <v>0</v>
      </c>
      <c r="AG71" s="517">
        <f t="shared" si="28"/>
        <v>0</v>
      </c>
      <c r="AH71" s="517">
        <f t="shared" si="28"/>
        <v>0</v>
      </c>
      <c r="AI71" s="517">
        <f t="shared" si="28"/>
        <v>0</v>
      </c>
      <c r="AJ71" s="517">
        <f t="shared" si="28"/>
        <v>0</v>
      </c>
      <c r="AK71" s="517">
        <f t="shared" si="28"/>
        <v>0</v>
      </c>
      <c r="AL71" s="517">
        <f t="shared" si="28"/>
        <v>0</v>
      </c>
      <c r="AM71" s="517">
        <f t="shared" si="28"/>
        <v>0</v>
      </c>
      <c r="AN71" s="517">
        <f t="shared" si="28"/>
        <v>0</v>
      </c>
      <c r="AO71" s="517">
        <f t="shared" si="28"/>
        <v>0</v>
      </c>
      <c r="AP71" s="517">
        <f t="shared" si="28"/>
        <v>0</v>
      </c>
      <c r="AQ71" s="517">
        <f t="shared" si="28"/>
        <v>0</v>
      </c>
      <c r="AR71" s="517">
        <f t="shared" si="28"/>
        <v>0</v>
      </c>
      <c r="AS71" s="517">
        <f t="shared" si="28"/>
        <v>0</v>
      </c>
      <c r="AT71" s="517">
        <f t="shared" si="28"/>
        <v>0</v>
      </c>
      <c r="AU71" s="517">
        <f t="shared" si="28"/>
        <v>0</v>
      </c>
      <c r="AV71" s="517">
        <f t="shared" si="28"/>
        <v>0</v>
      </c>
      <c r="AW71" s="517">
        <f t="shared" si="28"/>
        <v>0</v>
      </c>
      <c r="AX71" s="517">
        <f t="shared" si="28"/>
        <v>0</v>
      </c>
      <c r="AY71" s="517">
        <f t="shared" si="28"/>
        <v>0</v>
      </c>
      <c r="AZ71" s="517">
        <f t="shared" si="28"/>
        <v>0</v>
      </c>
      <c r="BA71" s="517">
        <f t="shared" si="28"/>
        <v>0</v>
      </c>
      <c r="BB71" s="517">
        <f t="shared" si="28"/>
        <v>0</v>
      </c>
      <c r="BC71" s="517">
        <f t="shared" si="28"/>
        <v>0</v>
      </c>
      <c r="BD71" s="517">
        <f t="shared" si="28"/>
        <v>0</v>
      </c>
      <c r="BE71" s="517">
        <f t="shared" si="28"/>
        <v>0</v>
      </c>
    </row>
    <row r="72" spans="1:57" outlineLevel="2" x14ac:dyDescent="0.2">
      <c r="B72" s="79"/>
      <c r="C72" s="561"/>
      <c r="D72" s="60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</row>
    <row r="73" spans="1:57" x14ac:dyDescent="0.2"/>
    <row r="74" spans="1:57" x14ac:dyDescent="0.2">
      <c r="A74" s="15" t="s">
        <v>62</v>
      </c>
    </row>
  </sheetData>
  <conditionalFormatting sqref="J3:BE3">
    <cfRule type="cellIs" dxfId="934" priority="32" stopIfTrue="1" operator="equal">
      <formula>"Construction"</formula>
    </cfRule>
    <cfRule type="cellIs" dxfId="933" priority="33" stopIfTrue="1" operator="equal">
      <formula>"Operations"</formula>
    </cfRule>
  </conditionalFormatting>
  <conditionalFormatting sqref="J3:BE3">
    <cfRule type="cellIs" dxfId="932" priority="31" operator="equal">
      <formula>"Fin Close"</formula>
    </cfRule>
  </conditionalFormatting>
  <conditionalFormatting sqref="J3:BE3">
    <cfRule type="cellIs" dxfId="931" priority="29" operator="equal">
      <formula>"PPA ext."</formula>
    </cfRule>
    <cfRule type="cellIs" dxfId="930" priority="30" operator="equal">
      <formula>"Delay"</formula>
    </cfRule>
  </conditionalFormatting>
  <conditionalFormatting sqref="F2:F4">
    <cfRule type="cellIs" dxfId="929" priority="25" stopIfTrue="1" operator="notEqual">
      <formula>0</formula>
    </cfRule>
    <cfRule type="cellIs" dxfId="928" priority="26" stopIfTrue="1" operator="equal">
      <formula>""</formula>
    </cfRule>
  </conditionalFormatting>
  <conditionalFormatting sqref="F2:F4">
    <cfRule type="cellIs" dxfId="927" priority="27" stopIfTrue="1" operator="notEqual">
      <formula>0</formula>
    </cfRule>
    <cfRule type="cellIs" dxfId="926" priority="28" stopIfTrue="1" operator="equal">
      <formula>""</formula>
    </cfRule>
  </conditionalFormatting>
  <conditionalFormatting sqref="J54:BE54">
    <cfRule type="cellIs" dxfId="925" priority="9" stopIfTrue="1" operator="notEqual">
      <formula>0</formula>
    </cfRule>
    <cfRule type="cellIs" dxfId="924" priority="10" stopIfTrue="1" operator="equal">
      <formula>""</formula>
    </cfRule>
  </conditionalFormatting>
  <conditionalFormatting sqref="J54:BE54">
    <cfRule type="cellIs" dxfId="923" priority="11" stopIfTrue="1" operator="notEqual">
      <formula>0</formula>
    </cfRule>
    <cfRule type="cellIs" dxfId="922" priority="12" stopIfTrue="1" operator="equal">
      <formula>""</formula>
    </cfRule>
  </conditionalFormatting>
  <conditionalFormatting sqref="F55">
    <cfRule type="cellIs" dxfId="921" priority="13" stopIfTrue="1" operator="notEqual">
      <formula>0</formula>
    </cfRule>
    <cfRule type="cellIs" dxfId="920" priority="14" stopIfTrue="1" operator="equal">
      <formula>""</formula>
    </cfRule>
  </conditionalFormatting>
  <conditionalFormatting sqref="F55">
    <cfRule type="cellIs" dxfId="919" priority="15" stopIfTrue="1" operator="notEqual">
      <formula>0</formula>
    </cfRule>
    <cfRule type="cellIs" dxfId="918" priority="16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A433"/>
  <sheetViews>
    <sheetView showGridLines="0" defaultGridColor="0" colorId="22" zoomScale="75" zoomScaleNormal="75" workbookViewId="0">
      <pane xSplit="10" ySplit="9" topLeftCell="K263" activePane="bottomRight" state="frozen"/>
      <selection pane="topRight" activeCell="K1" sqref="K1"/>
      <selection pane="bottomLeft" activeCell="A10" sqref="A10"/>
      <selection pane="bottomRight" activeCell="F248" sqref="F248"/>
    </sheetView>
  </sheetViews>
  <sheetFormatPr defaultColWidth="9" defaultRowHeight="12.75" outlineLevelRow="2" x14ac:dyDescent="0.2"/>
  <cols>
    <col min="1" max="2" width="1.28515625" style="1" customWidth="1"/>
    <col min="3" max="3" width="1.28515625" style="19" customWidth="1"/>
    <col min="4" max="4" width="1.28515625" style="20" customWidth="1"/>
    <col min="5" max="5" width="40.5703125" style="12" customWidth="1"/>
    <col min="6" max="6" width="12.5703125" style="12" customWidth="1"/>
    <col min="7" max="7" width="11.5703125" style="12" customWidth="1"/>
    <col min="8" max="8" width="22.5703125" style="12" customWidth="1"/>
    <col min="9" max="9" width="5" style="370" customWidth="1"/>
    <col min="10" max="10" width="0.42578125" style="152" customWidth="1"/>
    <col min="11" max="13" width="12.5703125" style="12" customWidth="1"/>
    <col min="14" max="14" width="0.42578125" style="152" customWidth="1"/>
    <col min="15" max="19" width="12.5703125" style="12" customWidth="1"/>
    <col min="20" max="20" width="0.42578125" style="152" customWidth="1"/>
    <col min="21" max="22" width="12.5703125" customWidth="1"/>
  </cols>
  <sheetData>
    <row r="1" spans="1:20" ht="26.25" x14ac:dyDescent="0.2">
      <c r="A1" s="24" t="str">
        <f ca="1" xml:space="preserve"> RIGHT(CELL("filename", A1), LEN(CELL("filename", A1)) - SEARCH("]", CELL("filename", A1))) &amp; " - " &amp; $F$3</f>
        <v>InpC - Base case 1</v>
      </c>
      <c r="K1" s="38"/>
      <c r="L1" s="38"/>
      <c r="M1" s="38"/>
      <c r="O1" s="38"/>
      <c r="P1" s="38"/>
      <c r="Q1" s="38"/>
      <c r="R1" s="38"/>
      <c r="S1" s="38"/>
    </row>
    <row r="2" spans="1:20" ht="39.75" customHeight="1" x14ac:dyDescent="0.2">
      <c r="A2" s="273"/>
      <c r="B2" s="273"/>
      <c r="C2" s="274"/>
      <c r="D2" s="275"/>
      <c r="E2" s="276"/>
      <c r="F2" s="276"/>
      <c r="G2" s="276"/>
      <c r="H2" s="276"/>
      <c r="I2" s="371"/>
      <c r="J2" s="277"/>
      <c r="K2" s="162" t="str">
        <f xml:space="preserve"> IF(K4 = $F4, "q", "")</f>
        <v>q</v>
      </c>
      <c r="L2" s="162" t="str">
        <f xml:space="preserve"> IF(L4 = $F4, "q", "")</f>
        <v/>
      </c>
      <c r="M2" s="162" t="str">
        <f xml:space="preserve"> IF(M4 = $F4, "q", "")</f>
        <v/>
      </c>
      <c r="N2" s="277"/>
      <c r="O2" s="162" t="str">
        <f xml:space="preserve"> IF(O4 = $F4, "q", "")</f>
        <v/>
      </c>
      <c r="P2" s="162" t="str">
        <f xml:space="preserve"> IF(P4 = $F4, "q", "")</f>
        <v/>
      </c>
      <c r="Q2" s="162" t="str">
        <f xml:space="preserve"> IF(Q4 = $F4, "q", "")</f>
        <v/>
      </c>
      <c r="R2" s="162" t="str">
        <f xml:space="preserve"> IF(R4 = $F4, "q", "")</f>
        <v/>
      </c>
      <c r="S2" s="162" t="str">
        <f xml:space="preserve"> IF(S4 = $F4, "q", "")</f>
        <v/>
      </c>
      <c r="T2" s="277"/>
    </row>
    <row r="3" spans="1:20" ht="30.75" customHeight="1" x14ac:dyDescent="0.2">
      <c r="A3" s="23"/>
      <c r="B3" s="23"/>
      <c r="C3" s="210"/>
      <c r="D3" s="211"/>
      <c r="E3" s="22"/>
      <c r="F3" s="252" t="str">
        <f>INDEX(J3:T3,MATCH(F4,J4:T4))</f>
        <v>Base case 1</v>
      </c>
      <c r="G3" s="5"/>
      <c r="H3" s="22"/>
      <c r="I3" s="372"/>
      <c r="J3" s="212"/>
      <c r="K3" s="213" t="s">
        <v>82</v>
      </c>
      <c r="L3" s="213" t="s">
        <v>1338</v>
      </c>
      <c r="M3" s="213" t="s">
        <v>129</v>
      </c>
      <c r="N3" s="212"/>
      <c r="O3" s="213" t="s">
        <v>1128</v>
      </c>
      <c r="P3" s="213" t="s">
        <v>1129</v>
      </c>
      <c r="Q3" s="213" t="s">
        <v>1130</v>
      </c>
      <c r="R3" s="213" t="s">
        <v>1131</v>
      </c>
      <c r="S3" s="213" t="s">
        <v>1132</v>
      </c>
      <c r="T3" s="212"/>
    </row>
    <row r="4" spans="1:20" ht="13.35" customHeight="1" x14ac:dyDescent="0.2">
      <c r="E4" s="17" t="s">
        <v>81</v>
      </c>
      <c r="F4" s="253">
        <v>1</v>
      </c>
      <c r="G4" s="271">
        <f ca="1" xml:space="preserve"> Check!$F$9</f>
        <v>1</v>
      </c>
      <c r="H4" s="37" t="s">
        <v>23</v>
      </c>
      <c r="I4" s="373">
        <f xml:space="preserve"> MATCH(F4, $J$4:$T$4)</f>
        <v>2</v>
      </c>
      <c r="J4" s="153"/>
      <c r="K4" s="308">
        <v>1</v>
      </c>
      <c r="L4" s="308">
        <v>2</v>
      </c>
      <c r="M4" s="308">
        <v>3</v>
      </c>
      <c r="N4" s="153"/>
      <c r="O4" s="157">
        <v>4</v>
      </c>
      <c r="P4" s="157">
        <v>5</v>
      </c>
      <c r="Q4" s="157">
        <v>6</v>
      </c>
      <c r="R4" s="157">
        <v>7</v>
      </c>
      <c r="S4" s="157">
        <v>8</v>
      </c>
      <c r="T4" s="153"/>
    </row>
    <row r="5" spans="1:20" x14ac:dyDescent="0.2">
      <c r="E5" s="2" t="s">
        <v>98</v>
      </c>
      <c r="F5" s="161">
        <v>2</v>
      </c>
      <c r="G5" s="271">
        <f xml:space="preserve"> Output!K4</f>
        <v>0</v>
      </c>
      <c r="H5" s="80" t="s">
        <v>25</v>
      </c>
      <c r="I5" s="373">
        <f xml:space="preserve"> MATCH(F5, $J$4:$T$4)</f>
        <v>3</v>
      </c>
      <c r="J5" s="154"/>
      <c r="K5" s="2"/>
      <c r="L5" s="2"/>
      <c r="M5" s="2"/>
      <c r="N5" s="154"/>
      <c r="O5" s="2"/>
      <c r="P5" s="2"/>
      <c r="Q5" s="2"/>
      <c r="R5" s="2"/>
      <c r="S5" s="2"/>
      <c r="T5" s="154"/>
    </row>
    <row r="6" spans="1:20" x14ac:dyDescent="0.2">
      <c r="E6" s="2" t="s">
        <v>83</v>
      </c>
      <c r="F6" s="259">
        <f>INDEX(J6:T6,MATCH(F4,J4:T4,0))</f>
        <v>1</v>
      </c>
      <c r="G6" s="271">
        <f xml:space="preserve"> Check!$F$28</f>
        <v>0</v>
      </c>
      <c r="H6" s="80" t="s">
        <v>24</v>
      </c>
      <c r="I6" s="373">
        <f xml:space="preserve"> MATCH(F6, $J$4:$T$4)</f>
        <v>2</v>
      </c>
      <c r="J6" s="154"/>
      <c r="K6" s="160">
        <v>1</v>
      </c>
      <c r="L6" s="160">
        <v>2</v>
      </c>
      <c r="M6" s="160">
        <v>3</v>
      </c>
      <c r="N6" s="154"/>
      <c r="O6" s="160">
        <v>1</v>
      </c>
      <c r="P6" s="160">
        <v>1</v>
      </c>
      <c r="Q6" s="160">
        <v>1</v>
      </c>
      <c r="R6" s="160">
        <v>1</v>
      </c>
      <c r="S6" s="160">
        <v>1</v>
      </c>
      <c r="T6" s="154"/>
    </row>
    <row r="7" spans="1:20" x14ac:dyDescent="0.2">
      <c r="E7" s="2" t="s">
        <v>99</v>
      </c>
      <c r="F7" s="1145">
        <f xml:space="preserve"> COUNTIF(I10:I406, "tu")</f>
        <v>94</v>
      </c>
      <c r="H7" s="2"/>
      <c r="I7" s="374"/>
      <c r="J7" s="154"/>
      <c r="K7" s="309" t="str">
        <f xml:space="preserve"> IF(K6 = $F$6, "Base case", "")</f>
        <v>Base case</v>
      </c>
      <c r="L7" s="309" t="str">
        <f xml:space="preserve"> IF(L6 = $F$6, "Base case", "")</f>
        <v/>
      </c>
      <c r="M7" s="309" t="str">
        <f xml:space="preserve"> IF(M6 = $F$6, "Base case", "")</f>
        <v/>
      </c>
      <c r="N7" s="154"/>
      <c r="O7" s="2"/>
      <c r="P7" s="2"/>
      <c r="Q7" s="2"/>
      <c r="R7" s="2"/>
      <c r="S7" s="2"/>
      <c r="T7" s="154"/>
    </row>
    <row r="8" spans="1:20" x14ac:dyDescent="0.2">
      <c r="E8" s="2"/>
      <c r="F8" s="267"/>
      <c r="H8" s="2"/>
      <c r="I8" s="374"/>
      <c r="J8" s="154"/>
      <c r="K8" s="251"/>
      <c r="L8" s="251"/>
      <c r="M8" s="251"/>
      <c r="N8" s="154"/>
      <c r="O8" s="2"/>
      <c r="P8" s="2"/>
      <c r="Q8" s="2"/>
      <c r="R8" s="2"/>
      <c r="S8" s="2"/>
      <c r="T8" s="154"/>
    </row>
    <row r="9" spans="1:20" x14ac:dyDescent="0.2">
      <c r="A9" s="15"/>
      <c r="B9" s="15"/>
      <c r="C9" s="21"/>
      <c r="D9" s="48"/>
      <c r="E9" s="247"/>
      <c r="F9" s="248" t="s">
        <v>19</v>
      </c>
      <c r="G9" s="249" t="s">
        <v>17</v>
      </c>
      <c r="H9" s="3" t="s">
        <v>97</v>
      </c>
      <c r="I9" s="375"/>
      <c r="J9" s="250"/>
      <c r="K9" s="4"/>
      <c r="L9" s="4"/>
      <c r="M9" s="4"/>
      <c r="N9" s="250"/>
      <c r="O9" s="4"/>
      <c r="P9" s="4"/>
      <c r="Q9" s="4"/>
      <c r="R9" s="4"/>
      <c r="S9" s="4"/>
      <c r="T9" s="250"/>
    </row>
    <row r="11" spans="1:20" x14ac:dyDescent="0.2">
      <c r="A11" s="1" t="s">
        <v>4</v>
      </c>
    </row>
    <row r="12" spans="1:20" outlineLevel="1" x14ac:dyDescent="0.2"/>
    <row r="13" spans="1:20" outlineLevel="1" x14ac:dyDescent="0.2">
      <c r="A13" s="72"/>
      <c r="B13" s="72"/>
      <c r="C13" s="73"/>
      <c r="D13" s="26"/>
      <c r="E13" s="174" t="s">
        <v>112</v>
      </c>
      <c r="F13" s="163">
        <f xml:space="preserve"> IF( INDEX(J13:T13, $I$4) = "", INDEX(J13:S13, $I$6), INDEX(J13:T13, $I$4))</f>
        <v>44562</v>
      </c>
      <c r="G13" s="174" t="s">
        <v>6</v>
      </c>
      <c r="H13" s="174"/>
      <c r="I13" s="376" t="str">
        <f t="array" ref="I13" xml:space="preserve"> IF( INDEX(J13:T13, I$5) = "", IF( INDEX(J13:T13, I$6) = F13, "vw", "tu"), IF(INDEX(J13:T13, I$5) = F13, "vw", "tu"))</f>
        <v>vw</v>
      </c>
      <c r="J13" s="254"/>
      <c r="K13" s="158">
        <v>44562</v>
      </c>
      <c r="L13" s="158">
        <v>44562</v>
      </c>
      <c r="M13" s="158">
        <v>44562</v>
      </c>
      <c r="N13" s="175"/>
      <c r="O13" s="158"/>
      <c r="P13" s="158"/>
      <c r="Q13" s="158"/>
      <c r="R13" s="158"/>
      <c r="S13" s="158"/>
      <c r="T13" s="175"/>
    </row>
    <row r="14" spans="1:20" outlineLevel="1" x14ac:dyDescent="0.2">
      <c r="A14" s="199"/>
      <c r="B14" s="199"/>
      <c r="C14" s="200"/>
      <c r="D14" s="201"/>
      <c r="E14" s="26" t="s">
        <v>240</v>
      </c>
      <c r="F14" s="163">
        <f xml:space="preserve"> IF( INDEX(J14:T14, $I$4) = "", INDEX(J14:S14, $I$6), INDEX(J14:T14, $I$4))</f>
        <v>44742</v>
      </c>
      <c r="G14" s="26" t="s">
        <v>6</v>
      </c>
      <c r="H14" s="26"/>
      <c r="I14" s="376" t="str">
        <f t="array" ref="I14" xml:space="preserve"> IF( INDEX(J14:T14, I$5) = "", IF( INDEX(J14:T14, I$6) = F14, "vw", "tu"), IF(INDEX(J14:T14, I$5) = F14, "vw", "tu"))</f>
        <v>vw</v>
      </c>
      <c r="J14" s="255"/>
      <c r="K14" s="202">
        <v>44742</v>
      </c>
      <c r="L14" s="202">
        <v>44742</v>
      </c>
      <c r="M14" s="202">
        <v>44742</v>
      </c>
      <c r="N14" s="203"/>
      <c r="O14" s="158"/>
      <c r="P14" s="158"/>
      <c r="Q14" s="158"/>
      <c r="R14" s="158"/>
      <c r="S14" s="158"/>
      <c r="T14" s="203"/>
    </row>
    <row r="15" spans="1:20" outlineLevel="1" x14ac:dyDescent="0.2">
      <c r="A15" s="33"/>
      <c r="B15" s="33"/>
      <c r="C15" s="30"/>
      <c r="D15" s="31"/>
      <c r="E15" s="172" t="s">
        <v>12</v>
      </c>
      <c r="F15" s="176">
        <f xml:space="preserve"> IF( INDEX(J15:T15, $I$4) = "", INDEX(J15:S15, $I$6), INDEX(J15:T15, $I$4))</f>
        <v>6</v>
      </c>
      <c r="G15" s="172" t="s">
        <v>13</v>
      </c>
      <c r="H15" s="32"/>
      <c r="I15" s="376" t="str">
        <f t="array" ref="I15" xml:space="preserve"> IF( INDEX(J15:T15, I$5) = "", IF( INDEX(J15:T15, I$6) = F15, "vw", "tu"), IF(INDEX(J15:T15, I$5) = F15, "vw", "tu"))</f>
        <v>vw</v>
      </c>
      <c r="J15" s="256"/>
      <c r="K15" s="165">
        <v>6</v>
      </c>
      <c r="L15" s="165">
        <v>6</v>
      </c>
      <c r="M15" s="165">
        <v>6</v>
      </c>
      <c r="N15" s="156"/>
      <c r="O15" s="165"/>
      <c r="P15" s="165"/>
      <c r="Q15" s="165"/>
      <c r="R15" s="165"/>
      <c r="S15" s="165"/>
      <c r="T15" s="156"/>
    </row>
    <row r="16" spans="1:20" outlineLevel="1" x14ac:dyDescent="0.2">
      <c r="A16" s="33"/>
      <c r="B16" s="33"/>
      <c r="C16" s="30"/>
      <c r="D16" s="31"/>
      <c r="E16" s="172" t="s">
        <v>86</v>
      </c>
      <c r="F16" s="176">
        <f xml:space="preserve"> IF( INDEX(J16:T16, $I$4) = "", INDEX(J16:S16, $I$6), INDEX(J16:T16, $I$4))</f>
        <v>6</v>
      </c>
      <c r="G16" s="172" t="s">
        <v>10</v>
      </c>
      <c r="H16" s="32"/>
      <c r="I16" s="376" t="str">
        <f t="array" ref="I16" xml:space="preserve"> IF( INDEX(J16:T16, I$5) = "", IF( INDEX(J16:T16, I$6) = F16, "vw", "tu"), IF(INDEX(J16:T16, I$5) = F16, "vw", "tu"))</f>
        <v>vw</v>
      </c>
      <c r="J16" s="256"/>
      <c r="K16" s="165">
        <v>6</v>
      </c>
      <c r="L16" s="165">
        <v>6</v>
      </c>
      <c r="M16" s="165">
        <v>6</v>
      </c>
      <c r="N16" s="156"/>
      <c r="O16" s="165"/>
      <c r="P16" s="165"/>
      <c r="Q16" s="165"/>
      <c r="R16" s="165"/>
      <c r="S16" s="165"/>
      <c r="T16" s="156"/>
    </row>
    <row r="17" spans="1:20" outlineLevel="1" x14ac:dyDescent="0.2">
      <c r="F17" s="9"/>
      <c r="I17" s="377"/>
      <c r="J17" s="257"/>
      <c r="K17" s="9"/>
      <c r="L17" s="9"/>
      <c r="M17" s="9"/>
    </row>
    <row r="18" spans="1:20" outlineLevel="1" x14ac:dyDescent="0.2">
      <c r="A18" s="72"/>
      <c r="B18" s="72"/>
      <c r="C18" s="73"/>
      <c r="D18" s="26"/>
      <c r="E18" s="174" t="s">
        <v>220</v>
      </c>
      <c r="F18" s="163">
        <f xml:space="preserve"> IF( INDEX(J18:T18, $I$4) = "", INDEX(J18:S18, $I$6), INDEX(J18:T18, $I$4))</f>
        <v>44681</v>
      </c>
      <c r="G18" s="174" t="s">
        <v>6</v>
      </c>
      <c r="H18" s="174"/>
      <c r="I18" s="376" t="str">
        <f t="array" ref="I18" xml:space="preserve"> IF( INDEX(J18:T18, I$5) = "", IF( INDEX(J18:T18, I$6) = F18, "vw", "tu"), IF(INDEX(J18:T18, I$5) = F18, "vw", "tu"))</f>
        <v>vw</v>
      </c>
      <c r="J18" s="254"/>
      <c r="K18" s="202">
        <v>44681</v>
      </c>
      <c r="L18" s="202">
        <v>44681</v>
      </c>
      <c r="M18" s="202">
        <v>44681</v>
      </c>
      <c r="N18" s="175"/>
      <c r="O18" s="158"/>
      <c r="P18" s="158"/>
      <c r="Q18" s="158"/>
      <c r="R18" s="158"/>
      <c r="S18" s="158"/>
      <c r="T18" s="175"/>
    </row>
    <row r="19" spans="1:20" outlineLevel="1" x14ac:dyDescent="0.2">
      <c r="A19" s="33"/>
      <c r="B19" s="33"/>
      <c r="C19" s="30"/>
      <c r="D19" s="31"/>
      <c r="E19" s="31" t="s">
        <v>238</v>
      </c>
      <c r="F19" s="164">
        <f xml:space="preserve"> IF( INDEX(J19:T19, $I$4) = "", INDEX(J19:S19, $I$6), INDEX(J19:T19, $I$4))</f>
        <v>26</v>
      </c>
      <c r="G19" s="31" t="s">
        <v>10</v>
      </c>
      <c r="H19" s="172"/>
      <c r="I19" s="376" t="str">
        <f t="array" ref="I19" xml:space="preserve"> IF( INDEX(J19:T19, I$5) = "", IF( INDEX(J19:T19, I$6) = F19, "vw", "tu"), IF(INDEX(J19:T19, I$5) = F19, "vw", "tu"))</f>
        <v>vw</v>
      </c>
      <c r="J19" s="256"/>
      <c r="K19" s="159">
        <v>26</v>
      </c>
      <c r="L19" s="159">
        <v>26</v>
      </c>
      <c r="M19" s="159">
        <v>26</v>
      </c>
      <c r="N19" s="173"/>
      <c r="O19" s="165"/>
      <c r="P19" s="165"/>
      <c r="Q19" s="165"/>
      <c r="R19" s="165"/>
      <c r="S19" s="165"/>
      <c r="T19" s="173"/>
    </row>
    <row r="20" spans="1:20" outlineLevel="1" x14ac:dyDescent="0.2">
      <c r="E20" s="6"/>
      <c r="F20"/>
      <c r="G20" s="6"/>
      <c r="I20" s="377"/>
      <c r="J20" s="257"/>
    </row>
    <row r="21" spans="1:20" outlineLevel="1" x14ac:dyDescent="0.2">
      <c r="A21" s="33"/>
      <c r="B21" s="33"/>
      <c r="C21" s="30"/>
      <c r="D21" s="31"/>
      <c r="E21" s="31" t="s">
        <v>157</v>
      </c>
      <c r="F21" s="164">
        <f xml:space="preserve"> IF( INDEX(J21:T21, $I$4) = "", INDEX(J21:S21, $I$6), INDEX(J21:T21, $I$4))</f>
        <v>20</v>
      </c>
      <c r="G21" s="31" t="s">
        <v>29</v>
      </c>
      <c r="H21" s="172"/>
      <c r="I21" s="376" t="str">
        <f t="array" ref="I21" xml:space="preserve"> IF( INDEX(J21:T21, I$5) = "", IF( INDEX(J21:T21, I$6) = F21, "vw", "tu"), IF(INDEX(J21:T21, I$5) = F21, "vw", "tu"))</f>
        <v>vw</v>
      </c>
      <c r="J21" s="256"/>
      <c r="K21" s="159">
        <v>20</v>
      </c>
      <c r="L21" s="159">
        <v>20</v>
      </c>
      <c r="M21" s="159">
        <v>20</v>
      </c>
      <c r="N21" s="173"/>
      <c r="O21" s="165"/>
      <c r="P21" s="165"/>
      <c r="Q21" s="165"/>
      <c r="R21" s="165"/>
      <c r="S21" s="165"/>
      <c r="T21" s="173"/>
    </row>
    <row r="22" spans="1:20" outlineLevel="1" x14ac:dyDescent="0.2">
      <c r="A22" s="384"/>
      <c r="B22" s="384"/>
      <c r="C22" s="385"/>
      <c r="D22" s="386"/>
      <c r="E22" s="386" t="s">
        <v>84</v>
      </c>
      <c r="F22" s="387">
        <f xml:space="preserve"> IF( INDEX(J22:T22, $I$4) = "", INDEX(J22:S22, $I$6), INDEX(J22:T22, $I$4))</f>
        <v>0</v>
      </c>
      <c r="G22" s="386" t="s">
        <v>29</v>
      </c>
      <c r="H22" s="388"/>
      <c r="I22" s="376" t="str">
        <f t="array" ref="I22" xml:space="preserve"> IF( INDEX(J22:T22, I$5) = "", IF( INDEX(J22:T22, I$6) = F22, "vw", "tu"), IF(INDEX(J22:T22, I$5) = F22, "vw", "tu"))</f>
        <v>vw</v>
      </c>
      <c r="J22" s="321"/>
      <c r="K22" s="389">
        <v>0</v>
      </c>
      <c r="L22" s="389">
        <v>0</v>
      </c>
      <c r="M22" s="389">
        <v>0</v>
      </c>
      <c r="N22" s="321"/>
      <c r="O22" s="389"/>
      <c r="P22" s="389"/>
      <c r="Q22" s="389"/>
      <c r="R22" s="389"/>
      <c r="S22" s="389"/>
      <c r="T22" s="321"/>
    </row>
    <row r="23" spans="1:20" outlineLevel="1" x14ac:dyDescent="0.2">
      <c r="A23" s="166"/>
      <c r="B23" s="166"/>
      <c r="C23" s="167"/>
      <c r="D23" s="168"/>
      <c r="E23" s="168"/>
      <c r="F23" s="268"/>
      <c r="G23" s="168"/>
      <c r="H23" s="269"/>
      <c r="I23" s="378"/>
      <c r="J23" s="258"/>
      <c r="K23" s="268"/>
      <c r="L23" s="268"/>
      <c r="M23" s="268"/>
      <c r="N23" s="171"/>
      <c r="O23" s="270"/>
      <c r="P23" s="270"/>
      <c r="Q23" s="270"/>
      <c r="R23" s="270"/>
      <c r="S23" s="270"/>
      <c r="T23" s="171"/>
    </row>
    <row r="24" spans="1:20" x14ac:dyDescent="0.2">
      <c r="A24" s="166"/>
      <c r="B24" s="166"/>
      <c r="C24" s="167"/>
      <c r="D24" s="168"/>
      <c r="E24" s="168"/>
      <c r="F24" s="268"/>
      <c r="G24" s="168"/>
      <c r="H24" s="269"/>
      <c r="I24" s="378"/>
      <c r="J24" s="258"/>
      <c r="K24" s="268"/>
      <c r="L24" s="268"/>
      <c r="M24" s="268"/>
      <c r="N24" s="171"/>
      <c r="O24" s="270"/>
      <c r="P24" s="270"/>
      <c r="Q24" s="270"/>
      <c r="R24" s="270"/>
      <c r="S24" s="270"/>
      <c r="T24" s="171"/>
    </row>
    <row r="25" spans="1:20" x14ac:dyDescent="0.2">
      <c r="A25" s="166" t="s">
        <v>407</v>
      </c>
      <c r="B25" s="166"/>
      <c r="C25" s="167"/>
      <c r="D25" s="168"/>
      <c r="E25" s="168"/>
      <c r="F25" s="268"/>
      <c r="G25" s="168"/>
      <c r="H25" s="269"/>
      <c r="I25" s="378"/>
      <c r="J25" s="258"/>
      <c r="K25" s="268"/>
      <c r="L25" s="268"/>
      <c r="M25" s="268"/>
      <c r="N25" s="171"/>
      <c r="O25" s="270"/>
      <c r="P25" s="270"/>
      <c r="Q25" s="270"/>
      <c r="R25" s="270"/>
      <c r="S25" s="270"/>
      <c r="T25" s="171"/>
    </row>
    <row r="26" spans="1:20" outlineLevel="1" x14ac:dyDescent="0.2">
      <c r="A26" s="166"/>
      <c r="B26" s="166"/>
      <c r="C26" s="167"/>
      <c r="D26" s="168"/>
      <c r="E26" s="168"/>
      <c r="F26" s="268"/>
      <c r="G26" s="168"/>
      <c r="H26" s="269"/>
      <c r="I26" s="378"/>
      <c r="J26" s="258"/>
      <c r="K26" s="268"/>
      <c r="L26" s="268"/>
      <c r="M26" s="268"/>
      <c r="N26" s="171"/>
      <c r="O26" s="270"/>
      <c r="P26" s="270"/>
      <c r="Q26" s="270"/>
      <c r="R26" s="270"/>
      <c r="S26" s="270"/>
      <c r="T26" s="171"/>
    </row>
    <row r="27" spans="1:20" outlineLevel="1" x14ac:dyDescent="0.2">
      <c r="A27" s="166"/>
      <c r="B27" s="166"/>
      <c r="C27" s="167"/>
      <c r="D27" s="168"/>
      <c r="E27" s="12" t="s">
        <v>323</v>
      </c>
      <c r="F27" s="387">
        <f xml:space="preserve"> IF( INDEX(J27:T27, $I$4) = "", INDEX(J27:S27, $I$6), INDEX(J27:T27, $I$4))</f>
        <v>1</v>
      </c>
      <c r="G27" s="12" t="s">
        <v>324</v>
      </c>
      <c r="I27" s="376" t="str">
        <f t="array" ref="I27" xml:space="preserve"> IF( INDEX(J27:T27, I$5) = "", IF( INDEX(J27:T27, I$6) = F27, "vw", "tu"), IF(INDEX(J27:T27, I$5) = F27, "vw", "tu"))</f>
        <v>vw</v>
      </c>
      <c r="J27" s="321"/>
      <c r="K27" s="389">
        <v>1</v>
      </c>
      <c r="L27" s="389">
        <v>1</v>
      </c>
      <c r="M27" s="389">
        <v>1</v>
      </c>
      <c r="N27" s="321"/>
      <c r="O27" s="389"/>
      <c r="P27" s="389"/>
      <c r="Q27" s="389"/>
      <c r="R27" s="389"/>
      <c r="S27" s="389"/>
      <c r="T27" s="321"/>
    </row>
    <row r="28" spans="1:20" outlineLevel="1" x14ac:dyDescent="0.2">
      <c r="A28" s="166"/>
      <c r="B28" s="166"/>
      <c r="C28" s="167"/>
      <c r="D28" s="168"/>
      <c r="E28" s="12" t="s">
        <v>322</v>
      </c>
      <c r="F28" s="302">
        <f xml:space="preserve"> IF( INDEX(J28:T28, $I$4) = "", INDEX(J28:S28, $I$6), INDEX(J28:T28, $I$4))</f>
        <v>0.1</v>
      </c>
      <c r="G28" s="12" t="s">
        <v>103</v>
      </c>
      <c r="H28" s="269"/>
      <c r="I28" s="376" t="str">
        <f t="array" ref="I28" xml:space="preserve"> IF( INDEX(J28:T28, I$5) = "", IF( INDEX(J28:T28, I$6) = F28, "vw", "tu"), IF(INDEX(J28:T28, I$5) = F28, "vw", "tu"))</f>
        <v>vw</v>
      </c>
      <c r="J28" s="303"/>
      <c r="K28" s="658">
        <v>0.1</v>
      </c>
      <c r="L28" s="658">
        <v>0.1</v>
      </c>
      <c r="M28" s="658">
        <v>0.1</v>
      </c>
      <c r="N28" s="305"/>
      <c r="O28" s="306"/>
      <c r="P28" s="306"/>
      <c r="Q28" s="306"/>
      <c r="R28" s="306"/>
      <c r="S28" s="306"/>
      <c r="T28" s="305"/>
    </row>
    <row r="29" spans="1:20" outlineLevel="1" x14ac:dyDescent="0.2">
      <c r="A29" s="166"/>
      <c r="B29" s="166"/>
      <c r="C29" s="167"/>
      <c r="D29" s="168"/>
      <c r="E29" s="168"/>
      <c r="F29" s="268"/>
      <c r="G29" s="168"/>
      <c r="H29" s="269"/>
      <c r="I29" s="378"/>
      <c r="J29" s="258"/>
      <c r="K29" s="268"/>
      <c r="L29" s="268"/>
      <c r="M29" s="268"/>
      <c r="N29" s="171"/>
      <c r="O29" s="270"/>
      <c r="P29" s="270"/>
      <c r="Q29" s="270"/>
      <c r="R29" s="270"/>
      <c r="S29" s="270"/>
      <c r="T29" s="171"/>
    </row>
    <row r="30" spans="1:20" outlineLevel="1" x14ac:dyDescent="0.2">
      <c r="A30" s="166"/>
      <c r="B30" s="166"/>
      <c r="C30" s="167"/>
      <c r="D30" s="168"/>
      <c r="E30" s="895" t="str">
        <f xml:space="preserve"> Sensitivity!E$11</f>
        <v>Post FC/Post bid switch</v>
      </c>
      <c r="F30" s="874">
        <f xml:space="preserve"> Sensitivity!F$11</f>
        <v>0</v>
      </c>
      <c r="G30" s="895" t="str">
        <f xml:space="preserve"> Sensitivity!G$11</f>
        <v>0= Off, 1=On</v>
      </c>
      <c r="H30" s="146"/>
      <c r="I30" s="891"/>
      <c r="J30" s="256"/>
      <c r="K30" s="268"/>
      <c r="L30" s="268"/>
      <c r="M30" s="268"/>
      <c r="N30" s="171"/>
      <c r="O30" s="270"/>
      <c r="P30" s="270"/>
      <c r="Q30" s="270"/>
      <c r="R30" s="270"/>
      <c r="S30" s="270"/>
      <c r="T30" s="173"/>
    </row>
    <row r="31" spans="1:20" outlineLevel="1" x14ac:dyDescent="0.2">
      <c r="A31" s="284"/>
      <c r="B31" s="284"/>
      <c r="C31" s="285"/>
      <c r="D31" s="286"/>
      <c r="E31" s="301"/>
      <c r="F31" s="837"/>
      <c r="G31" s="301"/>
      <c r="H31" s="301"/>
      <c r="I31" s="404"/>
      <c r="J31" s="303"/>
      <c r="K31" s="268"/>
      <c r="L31" s="268"/>
      <c r="M31" s="268"/>
      <c r="N31" s="305"/>
      <c r="O31" s="838"/>
      <c r="P31" s="838"/>
      <c r="Q31" s="838"/>
      <c r="R31" s="838"/>
      <c r="S31" s="838"/>
      <c r="T31" s="305"/>
    </row>
    <row r="32" spans="1:20" x14ac:dyDescent="0.2">
      <c r="A32" s="166"/>
      <c r="B32" s="166"/>
      <c r="C32" s="167"/>
      <c r="D32" s="168"/>
      <c r="E32" s="168"/>
      <c r="F32" s="268"/>
      <c r="G32" s="168"/>
      <c r="H32" s="269"/>
      <c r="I32" s="378"/>
      <c r="J32" s="258"/>
      <c r="K32" s="268"/>
      <c r="L32" s="268"/>
      <c r="M32" s="268"/>
      <c r="N32" s="171"/>
      <c r="O32" s="270"/>
      <c r="P32" s="270"/>
      <c r="Q32" s="270"/>
      <c r="R32" s="270"/>
      <c r="S32" s="270"/>
      <c r="T32" s="171"/>
    </row>
    <row r="33" spans="1:20" x14ac:dyDescent="0.2">
      <c r="A33" s="1" t="s">
        <v>121</v>
      </c>
      <c r="I33" s="376"/>
    </row>
    <row r="34" spans="1:20" outlineLevel="1" x14ac:dyDescent="0.2">
      <c r="A34" s="166"/>
      <c r="B34" s="166"/>
      <c r="C34" s="167"/>
      <c r="D34" s="168"/>
      <c r="E34" s="168"/>
      <c r="F34" s="268"/>
      <c r="G34" s="168"/>
      <c r="H34" s="269"/>
      <c r="I34" s="378"/>
      <c r="J34" s="258"/>
      <c r="K34" s="268"/>
      <c r="L34" s="268"/>
      <c r="M34" s="268"/>
      <c r="N34" s="171"/>
      <c r="O34" s="270"/>
      <c r="P34" s="270"/>
      <c r="Q34" s="270"/>
      <c r="R34" s="270"/>
      <c r="S34" s="270"/>
      <c r="T34" s="171"/>
    </row>
    <row r="35" spans="1:20" outlineLevel="1" x14ac:dyDescent="0.2">
      <c r="A35" s="166"/>
      <c r="B35" s="1" t="s">
        <v>575</v>
      </c>
      <c r="C35" s="167"/>
      <c r="D35" s="168"/>
      <c r="E35" s="168"/>
      <c r="F35" s="268"/>
      <c r="G35" s="168"/>
      <c r="H35" s="269"/>
      <c r="I35" s="378"/>
      <c r="J35" s="258"/>
      <c r="K35" s="268"/>
      <c r="L35" s="268"/>
      <c r="M35" s="268"/>
      <c r="N35" s="171"/>
      <c r="O35" s="270"/>
      <c r="P35" s="270"/>
      <c r="Q35" s="270"/>
      <c r="R35" s="270"/>
      <c r="S35" s="270"/>
      <c r="T35" s="171"/>
    </row>
    <row r="36" spans="1:20" outlineLevel="2" x14ac:dyDescent="0.2">
      <c r="A36" s="166"/>
      <c r="B36" s="166"/>
      <c r="C36" s="167"/>
      <c r="D36" s="168"/>
      <c r="E36" s="168" t="s">
        <v>576</v>
      </c>
      <c r="F36" s="164">
        <f xml:space="preserve"> IF( INDEX(J36:T36, $I$4) = "", INDEX(J36:S36, $I$6), INDEX(J36:T36, $I$4))</f>
        <v>300</v>
      </c>
      <c r="G36" s="6" t="s">
        <v>577</v>
      </c>
      <c r="H36" s="6"/>
      <c r="I36" s="376" t="str">
        <f t="array" ref="I36" xml:space="preserve"> IF( INDEX(J36:T36, I$5) = "", IF( INDEX(J36:T36, I$6) = F36, "vw", "tu"), IF(INDEX(J36:T36, I$5) = F36, "vw", "tu"))</f>
        <v>tu</v>
      </c>
      <c r="J36" s="256"/>
      <c r="K36" s="289">
        <v>300</v>
      </c>
      <c r="L36" s="289">
        <v>310</v>
      </c>
      <c r="M36" s="289">
        <v>310</v>
      </c>
      <c r="N36" s="173"/>
      <c r="O36" s="307"/>
      <c r="P36" s="307"/>
      <c r="Q36" s="307"/>
      <c r="R36" s="307"/>
      <c r="S36" s="307"/>
      <c r="T36" s="173"/>
    </row>
    <row r="37" spans="1:20" outlineLevel="2" x14ac:dyDescent="0.2">
      <c r="A37" s="166"/>
      <c r="B37" s="166"/>
      <c r="C37" s="167"/>
      <c r="D37" s="168"/>
      <c r="E37" s="168" t="s">
        <v>578</v>
      </c>
      <c r="F37" s="302">
        <f xml:space="preserve"> IF( INDEX(J37:T37, $I$4) = "", INDEX(J37:S37, $I$6), INDEX(J37:T37, $I$4))</f>
        <v>0.4</v>
      </c>
      <c r="G37" s="301" t="s">
        <v>103</v>
      </c>
      <c r="H37" s="301"/>
      <c r="I37" s="376" t="str">
        <f t="array" ref="I37" xml:space="preserve"> IF( INDEX(J37:T37, I$5) = "", IF( INDEX(J37:T37, I$6) = F37, "vw", "tu"), IF(INDEX(J37:T37, I$5) = F37, "vw", "tu"))</f>
        <v>tu</v>
      </c>
      <c r="J37" s="303"/>
      <c r="K37" s="676">
        <v>0.4</v>
      </c>
      <c r="L37" s="676">
        <v>0.45</v>
      </c>
      <c r="M37" s="676">
        <v>0.45</v>
      </c>
      <c r="N37" s="171"/>
      <c r="O37" s="306"/>
      <c r="P37" s="306"/>
      <c r="Q37" s="306"/>
      <c r="R37" s="306"/>
      <c r="S37" s="306"/>
      <c r="T37" s="305"/>
    </row>
    <row r="38" spans="1:20" outlineLevel="2" x14ac:dyDescent="0.2">
      <c r="A38" s="166"/>
      <c r="B38" s="166"/>
      <c r="C38" s="167"/>
      <c r="D38" s="168"/>
      <c r="E38" s="168"/>
      <c r="F38" s="268"/>
      <c r="G38" s="168"/>
      <c r="H38" s="269"/>
      <c r="I38" s="378"/>
      <c r="J38" s="258"/>
      <c r="K38" s="268"/>
      <c r="L38" s="268"/>
      <c r="M38" s="268"/>
      <c r="N38" s="171"/>
      <c r="O38" s="270"/>
      <c r="P38" s="270"/>
      <c r="Q38" s="270"/>
      <c r="R38" s="270"/>
      <c r="S38" s="270"/>
      <c r="T38" s="171"/>
    </row>
    <row r="39" spans="1:20" s="283" customFormat="1" ht="15" customHeight="1" outlineLevel="2" x14ac:dyDescent="0.2">
      <c r="A39" s="653"/>
      <c r="B39" s="653"/>
      <c r="C39" s="922"/>
      <c r="D39" s="112"/>
      <c r="E39" s="283" t="s">
        <v>1326</v>
      </c>
      <c r="F39" s="749">
        <f t="shared" ref="F39:F40" si="0" xml:space="preserve"> IF( INDEX(J39:T39, $I$4) = "", INDEX(J39:S39, $I$6), INDEX(J39:T39, $I$4))</f>
        <v>0.08</v>
      </c>
      <c r="G39" s="283" t="s">
        <v>103</v>
      </c>
      <c r="I39" s="376" t="str">
        <f t="array" ref="I39" xml:space="preserve"> IF( INDEX(J39:T39, I$5) = "", IF( INDEX(J39:T39, I$6) = F39, "vw", "tu"), IF(INDEX(J39:T39, I$5) = F39, "vw", "tu"))</f>
        <v>vw</v>
      </c>
      <c r="J39" s="1142"/>
      <c r="K39" s="717">
        <v>0.08</v>
      </c>
      <c r="L39" s="717">
        <v>0.08</v>
      </c>
      <c r="M39" s="717">
        <v>0.08</v>
      </c>
      <c r="N39" s="1143"/>
      <c r="O39" s="1144"/>
      <c r="P39" s="1144"/>
      <c r="Q39" s="1144"/>
      <c r="R39" s="1144"/>
      <c r="S39" s="1144"/>
      <c r="T39" s="1143"/>
    </row>
    <row r="40" spans="1:20" s="283" customFormat="1" ht="15" customHeight="1" outlineLevel="2" x14ac:dyDescent="0.2">
      <c r="A40" s="653"/>
      <c r="B40" s="653"/>
      <c r="C40" s="922"/>
      <c r="D40" s="112"/>
      <c r="E40" s="283" t="s">
        <v>1325</v>
      </c>
      <c r="F40" s="749">
        <f t="shared" si="0"/>
        <v>0.01</v>
      </c>
      <c r="G40" s="283" t="s">
        <v>103</v>
      </c>
      <c r="I40" s="376" t="str">
        <f t="array" ref="I40" xml:space="preserve"> IF( INDEX(J40:T40, I$5) = "", IF( INDEX(J40:T40, I$6) = F40, "vw", "tu"), IF(INDEX(J40:T40, I$5) = F40, "vw", "tu"))</f>
        <v>vw</v>
      </c>
      <c r="J40" s="1142"/>
      <c r="K40" s="717">
        <v>0.01</v>
      </c>
      <c r="L40" s="717">
        <v>0.01</v>
      </c>
      <c r="M40" s="717">
        <v>0.01</v>
      </c>
      <c r="N40" s="1143"/>
      <c r="O40" s="1144"/>
      <c r="P40" s="1144"/>
      <c r="Q40" s="1144"/>
      <c r="R40" s="1144"/>
      <c r="S40" s="1144"/>
      <c r="T40" s="1143"/>
    </row>
    <row r="41" spans="1:20" outlineLevel="1" x14ac:dyDescent="0.2">
      <c r="E41" s="6"/>
      <c r="F41" s="35"/>
      <c r="G41" s="6"/>
      <c r="H41" s="6"/>
      <c r="I41" s="376"/>
      <c r="J41" s="256"/>
      <c r="K41" s="46"/>
      <c r="L41" s="46"/>
      <c r="M41" s="46"/>
      <c r="N41" s="173"/>
      <c r="O41" s="428"/>
      <c r="P41" s="428"/>
      <c r="Q41" s="428"/>
      <c r="R41" s="428"/>
      <c r="S41" s="428"/>
      <c r="T41" s="173"/>
    </row>
    <row r="42" spans="1:20" outlineLevel="1" x14ac:dyDescent="0.2">
      <c r="B42" s="1" t="s">
        <v>669</v>
      </c>
      <c r="E42" s="6"/>
      <c r="F42" s="35"/>
      <c r="G42" s="6"/>
      <c r="H42" s="6"/>
      <c r="I42" s="376"/>
      <c r="J42" s="256"/>
      <c r="K42" s="46"/>
      <c r="L42" s="46"/>
      <c r="M42" s="46"/>
      <c r="N42" s="173"/>
      <c r="O42" s="428"/>
      <c r="P42" s="428"/>
      <c r="Q42" s="428"/>
      <c r="R42" s="428"/>
      <c r="S42" s="428"/>
      <c r="T42" s="173"/>
    </row>
    <row r="43" spans="1:20" outlineLevel="2" x14ac:dyDescent="0.2">
      <c r="A43" s="166"/>
      <c r="B43" s="166"/>
      <c r="C43" s="167"/>
      <c r="D43" s="168"/>
      <c r="E43" s="12" t="s">
        <v>696</v>
      </c>
      <c r="F43" s="387">
        <f xml:space="preserve"> IF( INDEX(J43:T43, $I$4) = "", INDEX(J43:S43, $I$6), INDEX(J43:T43, $I$4))</f>
        <v>1</v>
      </c>
      <c r="G43" s="12" t="s">
        <v>79</v>
      </c>
      <c r="I43" s="376" t="str">
        <f t="array" ref="I43" xml:space="preserve"> IF( INDEX(J43:T43, I$5) = "", IF( INDEX(J43:T43, I$6) = F43, "vw", "tu"), IF(INDEX(J43:T43, I$5) = F43, "vw", "tu"))</f>
        <v>tu</v>
      </c>
      <c r="J43" s="321"/>
      <c r="K43" s="909">
        <v>1</v>
      </c>
      <c r="L43" s="909">
        <v>0</v>
      </c>
      <c r="M43" s="909">
        <v>0</v>
      </c>
      <c r="N43" s="321"/>
      <c r="O43" s="389"/>
      <c r="P43" s="389"/>
      <c r="Q43" s="389"/>
      <c r="R43" s="389"/>
      <c r="S43" s="389"/>
      <c r="T43" s="321"/>
    </row>
    <row r="44" spans="1:20" outlineLevel="2" x14ac:dyDescent="0.2">
      <c r="E44" s="6" t="s">
        <v>741</v>
      </c>
      <c r="F44" s="387">
        <f xml:space="preserve"> IF( INDEX(J44:T44, $I$4) = "", INDEX(J44:S44, $I$6), INDEX(J44:T44, $I$4))</f>
        <v>2</v>
      </c>
      <c r="G44" s="6" t="s">
        <v>742</v>
      </c>
      <c r="H44" s="6"/>
      <c r="I44" s="376" t="str">
        <f t="array" ref="I44" xml:space="preserve"> IF( INDEX(J44:T44, I$5) = "", IF( INDEX(J44:T44, I$6) = F44, "vw", "tu"), IF(INDEX(J44:T44, I$5) = F44, "vw", "tu"))</f>
        <v>vw</v>
      </c>
      <c r="J44" s="321"/>
      <c r="K44" s="389">
        <v>2</v>
      </c>
      <c r="L44" s="389">
        <v>2</v>
      </c>
      <c r="M44" s="389">
        <v>2</v>
      </c>
      <c r="N44" s="321"/>
      <c r="O44" s="389"/>
      <c r="P44" s="389"/>
      <c r="Q44" s="389"/>
      <c r="R44" s="389"/>
      <c r="S44" s="389"/>
      <c r="T44" s="321"/>
    </row>
    <row r="45" spans="1:20" outlineLevel="2" x14ac:dyDescent="0.2">
      <c r="E45" s="6"/>
      <c r="F45" s="35"/>
      <c r="G45" s="6"/>
      <c r="H45" s="6"/>
      <c r="I45" s="376"/>
      <c r="J45" s="256"/>
      <c r="K45" s="46"/>
      <c r="L45" s="46"/>
      <c r="M45" s="46"/>
      <c r="N45" s="173"/>
      <c r="O45" s="428"/>
      <c r="P45" s="428"/>
      <c r="Q45" s="428"/>
      <c r="R45" s="428"/>
      <c r="S45" s="428"/>
      <c r="T45" s="173"/>
    </row>
    <row r="46" spans="1:20" outlineLevel="2" x14ac:dyDescent="0.2">
      <c r="A46" s="166"/>
      <c r="B46" s="166"/>
      <c r="C46" s="167"/>
      <c r="D46" s="168"/>
      <c r="E46" s="12" t="s">
        <v>699</v>
      </c>
      <c r="F46" s="900">
        <f xml:space="preserve"> IF( INDEX(J46:T46, $I$4) = "", INDEX(J46:S46, $I$6), INDEX(J46:T46, $I$4))</f>
        <v>1.99</v>
      </c>
      <c r="G46" s="12" t="s">
        <v>700</v>
      </c>
      <c r="I46" s="376" t="str">
        <f t="array" ref="I46" xml:space="preserve"> IF( INDEX(J46:T46, I$5) = "", IF( INDEX(J46:T46, I$6) = F46, "vw", "tu"), IF(INDEX(J46:T46, I$5) = F46, "vw", "tu"))</f>
        <v>vw</v>
      </c>
      <c r="J46" s="321"/>
      <c r="K46" s="899">
        <v>1.99</v>
      </c>
      <c r="L46" s="899">
        <v>1.99</v>
      </c>
      <c r="M46" s="899">
        <v>1.99</v>
      </c>
      <c r="N46" s="321"/>
      <c r="O46" s="389"/>
      <c r="P46" s="389"/>
      <c r="Q46" s="389"/>
      <c r="R46" s="389"/>
      <c r="S46" s="389"/>
      <c r="T46" s="321"/>
    </row>
    <row r="47" spans="1:20" outlineLevel="2" x14ac:dyDescent="0.2">
      <c r="E47" s="6"/>
      <c r="F47" s="35"/>
      <c r="G47" s="6"/>
      <c r="H47" s="6"/>
      <c r="I47" s="376"/>
      <c r="J47" s="256"/>
      <c r="K47" s="46"/>
      <c r="L47" s="46"/>
      <c r="M47" s="46"/>
      <c r="N47" s="173"/>
      <c r="O47" s="428"/>
      <c r="P47" s="428"/>
      <c r="Q47" s="428"/>
      <c r="R47" s="428"/>
      <c r="S47" s="428"/>
      <c r="T47" s="173"/>
    </row>
    <row r="48" spans="1:20" outlineLevel="2" x14ac:dyDescent="0.2">
      <c r="E48" s="6" t="s">
        <v>670</v>
      </c>
      <c r="F48" s="164">
        <f t="shared" ref="F48:F65" si="1" xml:space="preserve"> IF( INDEX(J48:T48, $I$4) = "", INDEX(J48:S48, $I$6), INDEX(J48:T48, $I$4))</f>
        <v>0</v>
      </c>
      <c r="G48" s="6" t="s">
        <v>118</v>
      </c>
      <c r="H48" s="6"/>
      <c r="I48" s="376" t="str">
        <f t="array" ref="I48" xml:space="preserve"> IF( INDEX(J48:T48, I$5) = "", IF( INDEX(J48:T48, I$6) = F48, "vw", "tu"), IF(INDEX(J48:T48, I$5) = F48, "vw", "tu"))</f>
        <v>vw</v>
      </c>
      <c r="J48" s="256"/>
      <c r="K48" s="289">
        <v>0</v>
      </c>
      <c r="L48" s="289">
        <v>0</v>
      </c>
      <c r="M48" s="289">
        <v>0</v>
      </c>
      <c r="N48" s="173"/>
      <c r="O48" s="307"/>
      <c r="P48" s="307"/>
      <c r="Q48" s="307"/>
      <c r="R48" s="307"/>
      <c r="S48" s="307"/>
      <c r="T48" s="173"/>
    </row>
    <row r="49" spans="5:20" outlineLevel="2" x14ac:dyDescent="0.2">
      <c r="E49" s="6" t="s">
        <v>671</v>
      </c>
      <c r="F49" s="164">
        <f t="shared" si="1"/>
        <v>0</v>
      </c>
      <c r="G49" s="6" t="s">
        <v>118</v>
      </c>
      <c r="H49" s="6"/>
      <c r="I49" s="376" t="str">
        <f t="array" ref="I49" xml:space="preserve"> IF( INDEX(J49:T49, I$5) = "", IF( INDEX(J49:T49, I$6) = F49, "vw", "tu"), IF(INDEX(J49:T49, I$5) = F49, "vw", "tu"))</f>
        <v>vw</v>
      </c>
      <c r="J49" s="256"/>
      <c r="K49" s="289">
        <v>0</v>
      </c>
      <c r="L49" s="289">
        <v>0</v>
      </c>
      <c r="M49" s="289">
        <v>0</v>
      </c>
      <c r="N49" s="173"/>
      <c r="O49" s="307"/>
      <c r="P49" s="307"/>
      <c r="Q49" s="307"/>
      <c r="R49" s="307"/>
      <c r="S49" s="307"/>
      <c r="T49" s="173"/>
    </row>
    <row r="50" spans="5:20" outlineLevel="2" x14ac:dyDescent="0.2">
      <c r="E50" s="6" t="s">
        <v>672</v>
      </c>
      <c r="F50" s="164">
        <f t="shared" si="1"/>
        <v>0</v>
      </c>
      <c r="G50" s="6" t="s">
        <v>118</v>
      </c>
      <c r="H50" s="6"/>
      <c r="I50" s="376" t="str">
        <f t="array" ref="I50" xml:space="preserve"> IF( INDEX(J50:T50, I$5) = "", IF( INDEX(J50:T50, I$6) = F50, "vw", "tu"), IF(INDEX(J50:T50, I$5) = F50, "vw", "tu"))</f>
        <v>vw</v>
      </c>
      <c r="J50" s="256"/>
      <c r="K50" s="289">
        <v>0</v>
      </c>
      <c r="L50" s="289">
        <v>0</v>
      </c>
      <c r="M50" s="289">
        <v>0</v>
      </c>
      <c r="N50" s="173"/>
      <c r="O50" s="307"/>
      <c r="P50" s="307"/>
      <c r="Q50" s="307"/>
      <c r="R50" s="307"/>
      <c r="S50" s="307"/>
      <c r="T50" s="173"/>
    </row>
    <row r="51" spans="5:20" outlineLevel="2" x14ac:dyDescent="0.2">
      <c r="E51" s="6" t="s">
        <v>673</v>
      </c>
      <c r="F51" s="164">
        <f t="shared" si="1"/>
        <v>0</v>
      </c>
      <c r="G51" s="6" t="s">
        <v>118</v>
      </c>
      <c r="H51" s="6"/>
      <c r="I51" s="376" t="str">
        <f t="array" ref="I51" xml:space="preserve"> IF( INDEX(J51:T51, I$5) = "", IF( INDEX(J51:T51, I$6) = F51, "vw", "tu"), IF(INDEX(J51:T51, I$5) = F51, "vw", "tu"))</f>
        <v>vw</v>
      </c>
      <c r="J51" s="256"/>
      <c r="K51" s="289">
        <v>0</v>
      </c>
      <c r="L51" s="289">
        <v>0</v>
      </c>
      <c r="M51" s="289">
        <v>0</v>
      </c>
      <c r="N51" s="173"/>
      <c r="O51" s="307"/>
      <c r="P51" s="307"/>
      <c r="Q51" s="307"/>
      <c r="R51" s="307"/>
      <c r="S51" s="307"/>
      <c r="T51" s="173"/>
    </row>
    <row r="52" spans="5:20" outlineLevel="2" x14ac:dyDescent="0.2">
      <c r="E52" s="6" t="s">
        <v>674</v>
      </c>
      <c r="F52" s="164">
        <f t="shared" si="1"/>
        <v>0</v>
      </c>
      <c r="G52" s="6" t="s">
        <v>118</v>
      </c>
      <c r="H52" s="6"/>
      <c r="I52" s="376" t="str">
        <f t="array" ref="I52" xml:space="preserve"> IF( INDEX(J52:T52, I$5) = "", IF( INDEX(J52:T52, I$6) = F52, "vw", "tu"), IF(INDEX(J52:T52, I$5) = F52, "vw", "tu"))</f>
        <v>vw</v>
      </c>
      <c r="J52" s="256"/>
      <c r="K52" s="289">
        <v>0</v>
      </c>
      <c r="L52" s="289">
        <v>0</v>
      </c>
      <c r="M52" s="289">
        <v>0</v>
      </c>
      <c r="N52" s="173"/>
      <c r="O52" s="307"/>
      <c r="P52" s="307"/>
      <c r="Q52" s="307"/>
      <c r="R52" s="307"/>
      <c r="S52" s="307"/>
      <c r="T52" s="173"/>
    </row>
    <row r="53" spans="5:20" outlineLevel="2" x14ac:dyDescent="0.2">
      <c r="E53" s="6" t="s">
        <v>675</v>
      </c>
      <c r="F53" s="164">
        <f t="shared" si="1"/>
        <v>0</v>
      </c>
      <c r="G53" s="6" t="s">
        <v>118</v>
      </c>
      <c r="H53" s="6"/>
      <c r="I53" s="376" t="str">
        <f t="array" ref="I53" xml:space="preserve"> IF( INDEX(J53:T53, I$5) = "", IF( INDEX(J53:T53, I$6) = F53, "vw", "tu"), IF(INDEX(J53:T53, I$5) = F53, "vw", "tu"))</f>
        <v>vw</v>
      </c>
      <c r="J53" s="256"/>
      <c r="K53" s="289">
        <v>0</v>
      </c>
      <c r="L53" s="289">
        <v>0</v>
      </c>
      <c r="M53" s="289">
        <v>0</v>
      </c>
      <c r="N53" s="173"/>
      <c r="O53" s="307"/>
      <c r="P53" s="307"/>
      <c r="Q53" s="307"/>
      <c r="R53" s="307"/>
      <c r="S53" s="307"/>
      <c r="T53" s="173"/>
    </row>
    <row r="54" spans="5:20" outlineLevel="2" x14ac:dyDescent="0.2">
      <c r="E54" s="6" t="s">
        <v>676</v>
      </c>
      <c r="F54" s="164">
        <f t="shared" si="1"/>
        <v>0</v>
      </c>
      <c r="G54" s="6" t="s">
        <v>118</v>
      </c>
      <c r="H54" s="6"/>
      <c r="I54" s="376" t="str">
        <f t="array" ref="I54" xml:space="preserve"> IF( INDEX(J54:T54, I$5) = "", IF( INDEX(J54:T54, I$6) = F54, "vw", "tu"), IF(INDEX(J54:T54, I$5) = F54, "vw", "tu"))</f>
        <v>vw</v>
      </c>
      <c r="J54" s="256"/>
      <c r="K54" s="289">
        <v>0</v>
      </c>
      <c r="L54" s="289">
        <v>0</v>
      </c>
      <c r="M54" s="289">
        <v>0</v>
      </c>
      <c r="N54" s="173"/>
      <c r="O54" s="307"/>
      <c r="P54" s="307"/>
      <c r="Q54" s="307"/>
      <c r="R54" s="307"/>
      <c r="S54" s="307"/>
      <c r="T54" s="173"/>
    </row>
    <row r="55" spans="5:20" outlineLevel="2" x14ac:dyDescent="0.2">
      <c r="E55" s="6" t="s">
        <v>677</v>
      </c>
      <c r="F55" s="164">
        <f t="shared" si="1"/>
        <v>0</v>
      </c>
      <c r="G55" s="6" t="s">
        <v>118</v>
      </c>
      <c r="H55" s="6"/>
      <c r="I55" s="376" t="str">
        <f t="array" ref="I55" xml:space="preserve"> IF( INDEX(J55:T55, I$5) = "", IF( INDEX(J55:T55, I$6) = F55, "vw", "tu"), IF(INDEX(J55:T55, I$5) = F55, "vw", "tu"))</f>
        <v>vw</v>
      </c>
      <c r="J55" s="256"/>
      <c r="K55" s="289">
        <v>0</v>
      </c>
      <c r="L55" s="289">
        <v>0</v>
      </c>
      <c r="M55" s="289">
        <v>0</v>
      </c>
      <c r="N55" s="173"/>
      <c r="O55" s="307"/>
      <c r="P55" s="307"/>
      <c r="Q55" s="307"/>
      <c r="R55" s="307"/>
      <c r="S55" s="307"/>
      <c r="T55" s="173"/>
    </row>
    <row r="56" spans="5:20" outlineLevel="2" x14ac:dyDescent="0.2">
      <c r="E56" s="6" t="s">
        <v>678</v>
      </c>
      <c r="F56" s="164">
        <f t="shared" si="1"/>
        <v>0</v>
      </c>
      <c r="G56" s="6" t="s">
        <v>118</v>
      </c>
      <c r="H56" s="6"/>
      <c r="I56" s="376" t="str">
        <f t="array" ref="I56" xml:space="preserve"> IF( INDEX(J56:T56, I$5) = "", IF( INDEX(J56:T56, I$6) = F56, "vw", "tu"), IF(INDEX(J56:T56, I$5) = F56, "vw", "tu"))</f>
        <v>vw</v>
      </c>
      <c r="J56" s="256"/>
      <c r="K56" s="289">
        <v>0</v>
      </c>
      <c r="L56" s="289">
        <v>0</v>
      </c>
      <c r="M56" s="289">
        <v>0</v>
      </c>
      <c r="N56" s="173"/>
      <c r="O56" s="307"/>
      <c r="P56" s="307"/>
      <c r="Q56" s="307"/>
      <c r="R56" s="307"/>
      <c r="S56" s="307"/>
      <c r="T56" s="173"/>
    </row>
    <row r="57" spans="5:20" outlineLevel="2" x14ac:dyDescent="0.2">
      <c r="E57" s="6" t="s">
        <v>679</v>
      </c>
      <c r="F57" s="164">
        <f t="shared" si="1"/>
        <v>0</v>
      </c>
      <c r="G57" s="6" t="s">
        <v>118</v>
      </c>
      <c r="H57" s="6"/>
      <c r="I57" s="376" t="str">
        <f t="array" ref="I57" xml:space="preserve"> IF( INDEX(J57:T57, I$5) = "", IF( INDEX(J57:T57, I$6) = F57, "vw", "tu"), IF(INDEX(J57:T57, I$5) = F57, "vw", "tu"))</f>
        <v>vw</v>
      </c>
      <c r="J57" s="256"/>
      <c r="K57" s="289">
        <v>0</v>
      </c>
      <c r="L57" s="289">
        <v>0</v>
      </c>
      <c r="M57" s="289">
        <v>0</v>
      </c>
      <c r="N57" s="173"/>
      <c r="O57" s="307"/>
      <c r="P57" s="307"/>
      <c r="Q57" s="307"/>
      <c r="R57" s="307"/>
      <c r="S57" s="307"/>
      <c r="T57" s="173"/>
    </row>
    <row r="58" spans="5:20" outlineLevel="2" x14ac:dyDescent="0.2">
      <c r="E58" s="6" t="s">
        <v>680</v>
      </c>
      <c r="F58" s="164">
        <f t="shared" si="1"/>
        <v>0</v>
      </c>
      <c r="G58" s="6" t="s">
        <v>118</v>
      </c>
      <c r="H58" s="6"/>
      <c r="I58" s="376" t="str">
        <f t="array" ref="I58" xml:space="preserve"> IF( INDEX(J58:T58, I$5) = "", IF( INDEX(J58:T58, I$6) = F58, "vw", "tu"), IF(INDEX(J58:T58, I$5) = F58, "vw", "tu"))</f>
        <v>vw</v>
      </c>
      <c r="J58" s="256"/>
      <c r="K58" s="289">
        <v>0</v>
      </c>
      <c r="L58" s="289">
        <v>0</v>
      </c>
      <c r="M58" s="289">
        <v>0</v>
      </c>
      <c r="N58" s="173"/>
      <c r="O58" s="307"/>
      <c r="P58" s="307"/>
      <c r="Q58" s="307"/>
      <c r="R58" s="307"/>
      <c r="S58" s="307"/>
      <c r="T58" s="173"/>
    </row>
    <row r="59" spans="5:20" outlineLevel="2" x14ac:dyDescent="0.2">
      <c r="E59" s="6" t="s">
        <v>682</v>
      </c>
      <c r="F59" s="164">
        <f t="shared" si="1"/>
        <v>0</v>
      </c>
      <c r="G59" s="6" t="s">
        <v>118</v>
      </c>
      <c r="H59" s="6"/>
      <c r="I59" s="376" t="str">
        <f t="array" ref="I59" xml:space="preserve"> IF( INDEX(J59:T59, I$5) = "", IF( INDEX(J59:T59, I$6) = F59, "vw", "tu"), IF(INDEX(J59:T59, I$5) = F59, "vw", "tu"))</f>
        <v>vw</v>
      </c>
      <c r="J59" s="256"/>
      <c r="K59" s="289">
        <v>0</v>
      </c>
      <c r="L59" s="289">
        <v>0</v>
      </c>
      <c r="M59" s="289">
        <v>0</v>
      </c>
      <c r="N59" s="173"/>
      <c r="O59" s="307"/>
      <c r="P59" s="307"/>
      <c r="Q59" s="307"/>
      <c r="R59" s="307"/>
      <c r="S59" s="307"/>
      <c r="T59" s="173"/>
    </row>
    <row r="60" spans="5:20" outlineLevel="2" x14ac:dyDescent="0.2">
      <c r="E60" s="6" t="s">
        <v>681</v>
      </c>
      <c r="F60" s="164">
        <f t="shared" si="1"/>
        <v>0</v>
      </c>
      <c r="G60" s="6" t="s">
        <v>118</v>
      </c>
      <c r="H60" s="6"/>
      <c r="I60" s="376" t="str">
        <f t="array" ref="I60" xml:space="preserve"> IF( INDEX(J60:T60, I$5) = "", IF( INDEX(J60:T60, I$6) = F60, "vw", "tu"), IF(INDEX(J60:T60, I$5) = F60, "vw", "tu"))</f>
        <v>vw</v>
      </c>
      <c r="J60" s="256"/>
      <c r="K60" s="289">
        <v>0</v>
      </c>
      <c r="L60" s="289">
        <v>0</v>
      </c>
      <c r="M60" s="289">
        <v>0</v>
      </c>
      <c r="N60" s="173"/>
      <c r="O60" s="307"/>
      <c r="P60" s="307"/>
      <c r="Q60" s="307"/>
      <c r="R60" s="307"/>
      <c r="S60" s="307"/>
      <c r="T60" s="173"/>
    </row>
    <row r="61" spans="5:20" outlineLevel="2" x14ac:dyDescent="0.2">
      <c r="E61" s="6" t="s">
        <v>683</v>
      </c>
      <c r="F61" s="164">
        <f t="shared" si="1"/>
        <v>0</v>
      </c>
      <c r="G61" s="6" t="s">
        <v>118</v>
      </c>
      <c r="H61" s="6"/>
      <c r="I61" s="376" t="str">
        <f t="array" ref="I61" xml:space="preserve"> IF( INDEX(J61:T61, I$5) = "", IF( INDEX(J61:T61, I$6) = F61, "vw", "tu"), IF(INDEX(J61:T61, I$5) = F61, "vw", "tu"))</f>
        <v>vw</v>
      </c>
      <c r="J61" s="256"/>
      <c r="K61" s="289">
        <v>0</v>
      </c>
      <c r="L61" s="289">
        <v>0</v>
      </c>
      <c r="M61" s="289">
        <v>0</v>
      </c>
      <c r="N61" s="173"/>
      <c r="O61" s="307"/>
      <c r="P61" s="307"/>
      <c r="Q61" s="307"/>
      <c r="R61" s="307"/>
      <c r="S61" s="307"/>
      <c r="T61" s="173"/>
    </row>
    <row r="62" spans="5:20" outlineLevel="2" x14ac:dyDescent="0.2">
      <c r="E62" s="6" t="s">
        <v>684</v>
      </c>
      <c r="F62" s="164">
        <f t="shared" si="1"/>
        <v>0</v>
      </c>
      <c r="G62" s="6" t="s">
        <v>118</v>
      </c>
      <c r="H62" s="6"/>
      <c r="I62" s="376" t="str">
        <f t="array" ref="I62" xml:space="preserve"> IF( INDEX(J62:T62, I$5) = "", IF( INDEX(J62:T62, I$6) = F62, "vw", "tu"), IF(INDEX(J62:T62, I$5) = F62, "vw", "tu"))</f>
        <v>vw</v>
      </c>
      <c r="J62" s="256"/>
      <c r="K62" s="289">
        <v>0</v>
      </c>
      <c r="L62" s="289">
        <v>0</v>
      </c>
      <c r="M62" s="289">
        <v>0</v>
      </c>
      <c r="N62" s="173"/>
      <c r="O62" s="307"/>
      <c r="P62" s="307"/>
      <c r="Q62" s="307"/>
      <c r="R62" s="307"/>
      <c r="S62" s="307"/>
      <c r="T62" s="173"/>
    </row>
    <row r="63" spans="5:20" outlineLevel="2" x14ac:dyDescent="0.2">
      <c r="E63" s="6" t="s">
        <v>685</v>
      </c>
      <c r="F63" s="164">
        <f t="shared" si="1"/>
        <v>0</v>
      </c>
      <c r="G63" s="6" t="s">
        <v>118</v>
      </c>
      <c r="H63" s="6"/>
      <c r="I63" s="376" t="str">
        <f t="array" ref="I63" xml:space="preserve"> IF( INDEX(J63:T63, I$5) = "", IF( INDEX(J63:T63, I$6) = F63, "vw", "tu"), IF(INDEX(J63:T63, I$5) = F63, "vw", "tu"))</f>
        <v>vw</v>
      </c>
      <c r="J63" s="256"/>
      <c r="K63" s="289">
        <v>0</v>
      </c>
      <c r="L63" s="289">
        <v>0</v>
      </c>
      <c r="M63" s="289">
        <v>0</v>
      </c>
      <c r="N63" s="173"/>
      <c r="O63" s="307"/>
      <c r="P63" s="307"/>
      <c r="Q63" s="307"/>
      <c r="R63" s="307"/>
      <c r="S63" s="307"/>
      <c r="T63" s="173"/>
    </row>
    <row r="64" spans="5:20" outlineLevel="2" x14ac:dyDescent="0.2">
      <c r="E64" s="6" t="s">
        <v>686</v>
      </c>
      <c r="F64" s="164">
        <f t="shared" si="1"/>
        <v>0</v>
      </c>
      <c r="G64" s="6" t="s">
        <v>118</v>
      </c>
      <c r="H64" s="6"/>
      <c r="I64" s="376" t="str">
        <f t="array" ref="I64" xml:space="preserve"> IF( INDEX(J64:T64, I$5) = "", IF( INDEX(J64:T64, I$6) = F64, "vw", "tu"), IF(INDEX(J64:T64, I$5) = F64, "vw", "tu"))</f>
        <v>vw</v>
      </c>
      <c r="J64" s="256"/>
      <c r="K64" s="289">
        <v>0</v>
      </c>
      <c r="L64" s="289">
        <v>0</v>
      </c>
      <c r="M64" s="289">
        <v>0</v>
      </c>
      <c r="N64" s="173"/>
      <c r="O64" s="307"/>
      <c r="P64" s="307"/>
      <c r="Q64" s="307"/>
      <c r="R64" s="307"/>
      <c r="S64" s="307"/>
      <c r="T64" s="173"/>
    </row>
    <row r="65" spans="1:20" outlineLevel="2" x14ac:dyDescent="0.2">
      <c r="E65" s="6" t="s">
        <v>687</v>
      </c>
      <c r="F65" s="164">
        <f t="shared" si="1"/>
        <v>0</v>
      </c>
      <c r="G65" s="6" t="s">
        <v>118</v>
      </c>
      <c r="H65" s="6"/>
      <c r="I65" s="376" t="str">
        <f t="array" ref="I65" xml:space="preserve"> IF( INDEX(J65:T65, I$5) = "", IF( INDEX(J65:T65, I$6) = F65, "vw", "tu"), IF(INDEX(J65:T65, I$5) = F65, "vw", "tu"))</f>
        <v>vw</v>
      </c>
      <c r="J65" s="256"/>
      <c r="K65" s="289">
        <v>0</v>
      </c>
      <c r="L65" s="289">
        <v>0</v>
      </c>
      <c r="M65" s="289">
        <v>0</v>
      </c>
      <c r="N65" s="173"/>
      <c r="O65" s="307"/>
      <c r="P65" s="307"/>
      <c r="Q65" s="307"/>
      <c r="R65" s="307"/>
      <c r="S65" s="307"/>
      <c r="T65" s="173"/>
    </row>
    <row r="66" spans="1:20" outlineLevel="2" x14ac:dyDescent="0.2">
      <c r="E66" s="6" t="s">
        <v>688</v>
      </c>
      <c r="F66" s="164">
        <f t="shared" ref="F66:F73" si="2" xml:space="preserve"> IF( INDEX(J66:T66, $I$4) = "", INDEX(J66:S66, $I$6), INDEX(J66:T66, $I$4))</f>
        <v>0</v>
      </c>
      <c r="G66" s="6" t="s">
        <v>118</v>
      </c>
      <c r="H66" s="6"/>
      <c r="I66" s="376" t="str">
        <f t="array" ref="I66" xml:space="preserve"> IF( INDEX(J66:T66, I$5) = "", IF( INDEX(J66:T66, I$6) = F66, "vw", "tu"), IF(INDEX(J66:T66, I$5) = F66, "vw", "tu"))</f>
        <v>vw</v>
      </c>
      <c r="J66" s="256"/>
      <c r="K66" s="289">
        <v>0</v>
      </c>
      <c r="L66" s="289">
        <v>0</v>
      </c>
      <c r="M66" s="289">
        <v>0</v>
      </c>
      <c r="N66" s="173"/>
      <c r="O66" s="307"/>
      <c r="P66" s="307"/>
      <c r="Q66" s="307"/>
      <c r="R66" s="307"/>
      <c r="S66" s="307"/>
      <c r="T66" s="173"/>
    </row>
    <row r="67" spans="1:20" outlineLevel="2" x14ac:dyDescent="0.2">
      <c r="E67" s="6" t="s">
        <v>689</v>
      </c>
      <c r="F67" s="164">
        <f t="shared" si="2"/>
        <v>100</v>
      </c>
      <c r="G67" s="6" t="s">
        <v>118</v>
      </c>
      <c r="H67" s="6"/>
      <c r="I67" s="376" t="str">
        <f t="array" ref="I67" xml:space="preserve"> IF( INDEX(J67:T67, I$5) = "", IF( INDEX(J67:T67, I$6) = F67, "vw", "tu"), IF(INDEX(J67:T67, I$5) = F67, "vw", "tu"))</f>
        <v>tu</v>
      </c>
      <c r="J67" s="256"/>
      <c r="K67" s="289">
        <v>100</v>
      </c>
      <c r="L67" s="289">
        <v>0</v>
      </c>
      <c r="M67" s="289">
        <v>0</v>
      </c>
      <c r="N67" s="173"/>
      <c r="O67" s="307"/>
      <c r="P67" s="307"/>
      <c r="Q67" s="307"/>
      <c r="R67" s="307"/>
      <c r="S67" s="307"/>
      <c r="T67" s="173"/>
    </row>
    <row r="68" spans="1:20" outlineLevel="2" x14ac:dyDescent="0.2">
      <c r="E68" s="6" t="s">
        <v>690</v>
      </c>
      <c r="F68" s="164">
        <f t="shared" si="2"/>
        <v>100</v>
      </c>
      <c r="G68" s="6" t="s">
        <v>118</v>
      </c>
      <c r="H68" s="6"/>
      <c r="I68" s="376" t="str">
        <f t="array" ref="I68" xml:space="preserve"> IF( INDEX(J68:T68, I$5) = "", IF( INDEX(J68:T68, I$6) = F68, "vw", "tu"), IF(INDEX(J68:T68, I$5) = F68, "vw", "tu"))</f>
        <v>tu</v>
      </c>
      <c r="J68" s="256"/>
      <c r="K68" s="289">
        <v>100</v>
      </c>
      <c r="L68" s="289">
        <v>0</v>
      </c>
      <c r="M68" s="289">
        <v>0</v>
      </c>
      <c r="N68" s="173"/>
      <c r="O68" s="307"/>
      <c r="P68" s="307"/>
      <c r="Q68" s="307"/>
      <c r="R68" s="307"/>
      <c r="S68" s="307"/>
      <c r="T68" s="173"/>
    </row>
    <row r="69" spans="1:20" outlineLevel="2" x14ac:dyDescent="0.2">
      <c r="E69" s="6" t="s">
        <v>691</v>
      </c>
      <c r="F69" s="164">
        <f t="shared" si="2"/>
        <v>100</v>
      </c>
      <c r="G69" s="6" t="s">
        <v>118</v>
      </c>
      <c r="H69" s="6"/>
      <c r="I69" s="376" t="str">
        <f t="array" ref="I69" xml:space="preserve"> IF( INDEX(J69:T69, I$5) = "", IF( INDEX(J69:T69, I$6) = F69, "vw", "tu"), IF(INDEX(J69:T69, I$5) = F69, "vw", "tu"))</f>
        <v>tu</v>
      </c>
      <c r="J69" s="256"/>
      <c r="K69" s="289">
        <v>100</v>
      </c>
      <c r="L69" s="289">
        <v>0</v>
      </c>
      <c r="M69" s="289">
        <v>0</v>
      </c>
      <c r="N69" s="173"/>
      <c r="O69" s="307"/>
      <c r="P69" s="307"/>
      <c r="Q69" s="307"/>
      <c r="R69" s="307"/>
      <c r="S69" s="307"/>
      <c r="T69" s="173"/>
    </row>
    <row r="70" spans="1:20" outlineLevel="2" x14ac:dyDescent="0.2">
      <c r="E70" s="6" t="s">
        <v>692</v>
      </c>
      <c r="F70" s="164">
        <f t="shared" si="2"/>
        <v>100</v>
      </c>
      <c r="G70" s="6" t="s">
        <v>118</v>
      </c>
      <c r="H70" s="6"/>
      <c r="I70" s="376" t="str">
        <f t="array" ref="I70" xml:space="preserve"> IF( INDEX(J70:T70, I$5) = "", IF( INDEX(J70:T70, I$6) = F70, "vw", "tu"), IF(INDEX(J70:T70, I$5) = F70, "vw", "tu"))</f>
        <v>tu</v>
      </c>
      <c r="J70" s="256"/>
      <c r="K70" s="289">
        <v>100</v>
      </c>
      <c r="L70" s="289">
        <v>0</v>
      </c>
      <c r="M70" s="289">
        <v>0</v>
      </c>
      <c r="N70" s="173"/>
      <c r="O70" s="307"/>
      <c r="P70" s="307"/>
      <c r="Q70" s="307"/>
      <c r="R70" s="307"/>
      <c r="S70" s="307"/>
      <c r="T70" s="173"/>
    </row>
    <row r="71" spans="1:20" outlineLevel="2" x14ac:dyDescent="0.2">
      <c r="E71" s="6" t="s">
        <v>693</v>
      </c>
      <c r="F71" s="164">
        <f t="shared" si="2"/>
        <v>100</v>
      </c>
      <c r="G71" s="6" t="s">
        <v>118</v>
      </c>
      <c r="H71" s="6"/>
      <c r="I71" s="376" t="str">
        <f t="array" ref="I71" xml:space="preserve"> IF( INDEX(J71:T71, I$5) = "", IF( INDEX(J71:T71, I$6) = F71, "vw", "tu"), IF(INDEX(J71:T71, I$5) = F71, "vw", "tu"))</f>
        <v>tu</v>
      </c>
      <c r="J71" s="256"/>
      <c r="K71" s="289">
        <v>100</v>
      </c>
      <c r="L71" s="289">
        <v>0</v>
      </c>
      <c r="M71" s="289">
        <v>0</v>
      </c>
      <c r="N71" s="173"/>
      <c r="O71" s="307"/>
      <c r="P71" s="307"/>
      <c r="Q71" s="307"/>
      <c r="R71" s="307"/>
      <c r="S71" s="307"/>
      <c r="T71" s="173"/>
    </row>
    <row r="72" spans="1:20" outlineLevel="2" x14ac:dyDescent="0.2">
      <c r="E72" s="6" t="s">
        <v>694</v>
      </c>
      <c r="F72" s="164">
        <f t="shared" si="2"/>
        <v>100</v>
      </c>
      <c r="G72" s="6" t="s">
        <v>118</v>
      </c>
      <c r="H72" s="6"/>
      <c r="I72" s="376" t="str">
        <f t="array" ref="I72" xml:space="preserve"> IF( INDEX(J72:T72, I$5) = "", IF( INDEX(J72:T72, I$6) = F72, "vw", "tu"), IF(INDEX(J72:T72, I$5) = F72, "vw", "tu"))</f>
        <v>tu</v>
      </c>
      <c r="J72" s="256"/>
      <c r="K72" s="289">
        <v>100</v>
      </c>
      <c r="L72" s="289">
        <v>0</v>
      </c>
      <c r="M72" s="289">
        <v>0</v>
      </c>
      <c r="N72" s="173"/>
      <c r="O72" s="307"/>
      <c r="P72" s="307"/>
      <c r="Q72" s="307"/>
      <c r="R72" s="307"/>
      <c r="S72" s="307"/>
      <c r="T72" s="173"/>
    </row>
    <row r="73" spans="1:20" outlineLevel="2" x14ac:dyDescent="0.2">
      <c r="E73" s="6" t="s">
        <v>695</v>
      </c>
      <c r="F73" s="164">
        <f t="shared" si="2"/>
        <v>100</v>
      </c>
      <c r="G73" s="6" t="s">
        <v>118</v>
      </c>
      <c r="H73" s="6"/>
      <c r="I73" s="376" t="str">
        <f t="array" ref="I73" xml:space="preserve"> IF( INDEX(J73:T73, I$5) = "", IF( INDEX(J73:T73, I$6) = F73, "vw", "tu"), IF(INDEX(J73:T73, I$5) = F73, "vw", "tu"))</f>
        <v>tu</v>
      </c>
      <c r="J73" s="256"/>
      <c r="K73" s="289">
        <v>100</v>
      </c>
      <c r="L73" s="289">
        <v>0</v>
      </c>
      <c r="M73" s="289">
        <v>0</v>
      </c>
      <c r="N73" s="173"/>
      <c r="O73" s="307"/>
      <c r="P73" s="307"/>
      <c r="Q73" s="307"/>
      <c r="R73" s="307"/>
      <c r="S73" s="307"/>
      <c r="T73" s="173"/>
    </row>
    <row r="74" spans="1:20" outlineLevel="1" x14ac:dyDescent="0.2">
      <c r="E74" s="6"/>
      <c r="F74" s="35"/>
      <c r="G74" s="6"/>
      <c r="H74" s="6"/>
      <c r="I74" s="376"/>
      <c r="J74" s="256"/>
      <c r="K74" s="46"/>
      <c r="L74" s="46"/>
      <c r="M74" s="46"/>
      <c r="N74" s="173"/>
      <c r="O74" s="428"/>
      <c r="P74" s="428"/>
      <c r="Q74" s="428"/>
      <c r="R74" s="428"/>
      <c r="S74" s="428"/>
      <c r="T74" s="173"/>
    </row>
    <row r="75" spans="1:20" outlineLevel="1" x14ac:dyDescent="0.2">
      <c r="B75" s="1" t="s">
        <v>137</v>
      </c>
      <c r="I75" s="376"/>
    </row>
    <row r="76" spans="1:20" outlineLevel="2" x14ac:dyDescent="0.2">
      <c r="A76" s="284"/>
      <c r="B76" s="284"/>
      <c r="C76" s="285"/>
      <c r="D76" s="286"/>
      <c r="E76" s="301" t="s">
        <v>1272</v>
      </c>
      <c r="F76" s="302">
        <f xml:space="preserve"> IF( INDEX(J76:T76, $I$4) = "", INDEX(J76:S76, $I$6), INDEX(J76:T76, $I$4))</f>
        <v>0.5</v>
      </c>
      <c r="G76" s="301" t="s">
        <v>125</v>
      </c>
      <c r="H76" s="301"/>
      <c r="I76" s="376" t="str">
        <f t="array" ref="I76" xml:space="preserve"> IF( INDEX(J76:T76, I$5) = "", IF( INDEX(J76:T76, I$6) = F76, "vw", "tu"), IF(INDEX(J76:T76, I$5) = F76, "vw", "tu"))</f>
        <v>tu</v>
      </c>
      <c r="J76" s="303"/>
      <c r="K76" s="1163">
        <v>0.5</v>
      </c>
      <c r="L76" s="304">
        <v>0.49</v>
      </c>
      <c r="M76" s="304">
        <v>0.49</v>
      </c>
      <c r="N76" s="305"/>
      <c r="O76" s="306"/>
      <c r="P76" s="306"/>
      <c r="Q76" s="306"/>
      <c r="R76" s="306"/>
      <c r="S76" s="306"/>
      <c r="T76" s="305"/>
    </row>
    <row r="77" spans="1:20" outlineLevel="2" x14ac:dyDescent="0.2">
      <c r="E77" s="301" t="s">
        <v>1273</v>
      </c>
      <c r="F77" s="302">
        <f xml:space="preserve"> IF( INDEX(J77:T77, $I$4) = "", INDEX(J77:S77, $I$6), INDEX(J77:T77, $I$4))</f>
        <v>0.5</v>
      </c>
      <c r="G77" s="301" t="s">
        <v>125</v>
      </c>
      <c r="H77" s="301"/>
      <c r="I77" s="376" t="str">
        <f t="array" ref="I77" xml:space="preserve"> IF( INDEX(J77:T77, I$5) = "", IF( INDEX(J77:T77, I$6) = F77, "vw", "tu"), IF(INDEX(J77:T77, I$5) = F77, "vw", "tu"))</f>
        <v>tu</v>
      </c>
      <c r="J77" s="303"/>
      <c r="K77" s="1163">
        <v>0.5</v>
      </c>
      <c r="L77" s="304">
        <v>0.51</v>
      </c>
      <c r="M77" s="304">
        <v>0.51</v>
      </c>
      <c r="N77" s="305"/>
      <c r="O77" s="306"/>
      <c r="P77" s="306"/>
      <c r="Q77" s="306"/>
      <c r="R77" s="306"/>
      <c r="S77" s="306"/>
      <c r="T77" s="305"/>
    </row>
    <row r="78" spans="1:20" outlineLevel="2" x14ac:dyDescent="0.2">
      <c r="E78" s="12" t="s">
        <v>405</v>
      </c>
      <c r="F78" s="603">
        <f xml:space="preserve"> IF(SUM(F76:F77) &lt;&gt; 1, 1, 0)</f>
        <v>0</v>
      </c>
      <c r="G78" s="12" t="s">
        <v>20</v>
      </c>
    </row>
    <row r="79" spans="1:20" outlineLevel="2" x14ac:dyDescent="0.2"/>
    <row r="80" spans="1:20" outlineLevel="2" x14ac:dyDescent="0.2">
      <c r="A80" s="284"/>
      <c r="B80" s="284"/>
      <c r="C80" s="285"/>
      <c r="D80" s="286"/>
      <c r="E80" s="287" t="s">
        <v>212</v>
      </c>
      <c r="F80" s="302">
        <f xml:space="preserve"> IF( INDEX(J80:T80, $I$4) = "", INDEX(J80:S80, $I$6), INDEX(J80:T80, $I$4))</f>
        <v>2E-3</v>
      </c>
      <c r="G80" s="301" t="s">
        <v>116</v>
      </c>
      <c r="H80" s="301"/>
      <c r="I80" s="376" t="str">
        <f t="array" ref="I80" xml:space="preserve"> IF( INDEX(J80:T80, I$5) = "", IF( INDEX(J80:T80, I$6) = F80, "vw", "tu"), IF(INDEX(J80:T80, I$5) = F80, "vw", "tu"))</f>
        <v>tu</v>
      </c>
      <c r="J80" s="303"/>
      <c r="K80" s="304">
        <v>2E-3</v>
      </c>
      <c r="L80" s="304">
        <v>5.0000000000000001E-3</v>
      </c>
      <c r="M80" s="304">
        <v>5.0000000000000001E-3</v>
      </c>
      <c r="N80" s="305"/>
      <c r="O80" s="306"/>
      <c r="P80" s="306"/>
      <c r="Q80" s="306"/>
      <c r="R80" s="306"/>
      <c r="S80" s="306"/>
      <c r="T80" s="305"/>
    </row>
    <row r="81" spans="1:20" outlineLevel="2" x14ac:dyDescent="0.2">
      <c r="E81" s="301" t="s">
        <v>119</v>
      </c>
      <c r="F81" s="302">
        <f xml:space="preserve"> IF( INDEX(J81:T81, $I$4) = "", INDEX(J81:S81, $I$6), INDEX(J81:T81, $I$4))</f>
        <v>0.98</v>
      </c>
      <c r="G81" s="301" t="s">
        <v>103</v>
      </c>
      <c r="H81" s="301"/>
      <c r="I81" s="400" t="str">
        <f t="array" ref="I81" xml:space="preserve"> IF( INDEX(J81:T81, I$5) = "", IF( INDEX(J81:T81, I$6) = F81, "vw", "tu"), IF(INDEX(J81:T81, I$5) = F81, "vw", "tu"))</f>
        <v>tu</v>
      </c>
      <c r="J81" s="303"/>
      <c r="K81" s="658">
        <v>0.98</v>
      </c>
      <c r="L81" s="658">
        <v>0.97</v>
      </c>
      <c r="M81" s="658">
        <v>0.97</v>
      </c>
      <c r="N81" s="305"/>
      <c r="O81" s="306"/>
      <c r="P81" s="306"/>
      <c r="Q81" s="306"/>
      <c r="R81" s="306"/>
      <c r="S81" s="306"/>
      <c r="T81" s="305"/>
    </row>
    <row r="82" spans="1:20" outlineLevel="2" x14ac:dyDescent="0.2">
      <c r="A82" s="367"/>
      <c r="B82" s="367"/>
      <c r="C82" s="368"/>
      <c r="D82" s="369"/>
      <c r="E82" s="399"/>
      <c r="F82" s="398"/>
      <c r="G82" s="399"/>
      <c r="H82" s="399"/>
      <c r="I82" s="400"/>
    </row>
    <row r="83" spans="1:20" outlineLevel="2" x14ac:dyDescent="0.2">
      <c r="A83" s="367"/>
      <c r="B83" s="367"/>
      <c r="C83" s="368"/>
      <c r="D83" s="369"/>
      <c r="E83" s="685" t="s">
        <v>618</v>
      </c>
      <c r="F83" s="302" t="str">
        <f xml:space="preserve"> IF( INDEX(J83:T83, $I$4) = "", INDEX(J83:S83, $I$6), INDEX(J83:T83, $I$4))</f>
        <v>-</v>
      </c>
      <c r="G83" s="685" t="s">
        <v>103</v>
      </c>
      <c r="H83" s="399"/>
      <c r="I83" s="376" t="str">
        <f t="array" ref="I83" xml:space="preserve"> IF( INDEX(J83:T83, I$5) = "", IF( INDEX(J83:T83, I$6) = F83, "vw", "tu"), IF(INDEX(J83:T83, I$5) = F83, "vw", "tu"))</f>
        <v>tu</v>
      </c>
      <c r="K83" s="1163" t="s">
        <v>1337</v>
      </c>
      <c r="L83" s="304">
        <v>0.25</v>
      </c>
      <c r="M83" s="304">
        <v>0.25</v>
      </c>
      <c r="O83" s="306"/>
      <c r="P83" s="306"/>
      <c r="Q83" s="306"/>
      <c r="R83" s="306"/>
      <c r="S83" s="306"/>
      <c r="T83" s="305"/>
    </row>
    <row r="84" spans="1:20" outlineLevel="1" x14ac:dyDescent="0.2">
      <c r="A84" s="367"/>
      <c r="B84" s="367"/>
      <c r="C84" s="368"/>
      <c r="D84" s="369"/>
      <c r="E84" s="399"/>
      <c r="F84" s="398"/>
      <c r="G84" s="399"/>
      <c r="H84" s="399"/>
      <c r="I84" s="400"/>
    </row>
    <row r="85" spans="1:20" outlineLevel="1" x14ac:dyDescent="0.2">
      <c r="B85" s="1" t="s">
        <v>702</v>
      </c>
      <c r="E85" s="6"/>
      <c r="F85" s="35"/>
      <c r="G85" s="6"/>
      <c r="H85" s="6"/>
      <c r="I85" s="376"/>
      <c r="J85" s="256"/>
      <c r="K85" s="46"/>
      <c r="L85" s="46"/>
      <c r="M85" s="46"/>
      <c r="N85" s="173"/>
      <c r="O85" s="428"/>
      <c r="P85" s="428"/>
      <c r="Q85" s="428"/>
      <c r="R85" s="428"/>
      <c r="S85" s="428"/>
      <c r="T85" s="173"/>
    </row>
    <row r="86" spans="1:20" outlineLevel="2" x14ac:dyDescent="0.2">
      <c r="E86" s="6" t="s">
        <v>703</v>
      </c>
      <c r="F86" s="164">
        <f t="shared" ref="F86:F111" si="3" xml:space="preserve"> IF( INDEX(J86:T86, $I$4) = "", INDEX(J86:S86, $I$6), INDEX(J86:T86, $I$4))</f>
        <v>0</v>
      </c>
      <c r="G86" s="6" t="str">
        <f t="shared" ref="G86:G111" si="4" xml:space="preserve"> SMU</f>
        <v>$ 000s</v>
      </c>
      <c r="H86" s="6"/>
      <c r="I86" s="376" t="str">
        <f t="array" ref="I86" xml:space="preserve"> IF( INDEX(J86:T86, I$5) = "", IF( INDEX(J86:T86, I$6) = F86, "vw", "tu"), IF(INDEX(J86:T86, I$5) = F86, "vw", "tu"))</f>
        <v>vw</v>
      </c>
      <c r="J86" s="256"/>
      <c r="K86" s="289">
        <v>0</v>
      </c>
      <c r="L86" s="289">
        <v>0</v>
      </c>
      <c r="M86" s="289">
        <v>0</v>
      </c>
      <c r="N86" s="173"/>
      <c r="O86" s="307"/>
      <c r="P86" s="307"/>
      <c r="Q86" s="307"/>
      <c r="R86" s="307"/>
      <c r="S86" s="307"/>
      <c r="T86" s="173"/>
    </row>
    <row r="87" spans="1:20" outlineLevel="2" x14ac:dyDescent="0.2">
      <c r="E87" s="6" t="s">
        <v>704</v>
      </c>
      <c r="F87" s="164">
        <f t="shared" si="3"/>
        <v>0</v>
      </c>
      <c r="G87" s="6" t="str">
        <f t="shared" si="4"/>
        <v>$ 000s</v>
      </c>
      <c r="H87" s="6"/>
      <c r="I87" s="376" t="str">
        <f t="array" ref="I87" xml:space="preserve"> IF( INDEX(J87:T87, I$5) = "", IF( INDEX(J87:T87, I$6) = F87, "vw", "tu"), IF(INDEX(J87:T87, I$5) = F87, "vw", "tu"))</f>
        <v>vw</v>
      </c>
      <c r="J87" s="256"/>
      <c r="K87" s="289">
        <v>0</v>
      </c>
      <c r="L87" s="289">
        <v>0</v>
      </c>
      <c r="M87" s="289">
        <v>0</v>
      </c>
      <c r="N87" s="173"/>
      <c r="O87" s="307"/>
      <c r="P87" s="307"/>
      <c r="Q87" s="307"/>
      <c r="R87" s="307"/>
      <c r="S87" s="307"/>
      <c r="T87" s="173"/>
    </row>
    <row r="88" spans="1:20" outlineLevel="2" x14ac:dyDescent="0.2">
      <c r="E88" s="6" t="s">
        <v>705</v>
      </c>
      <c r="F88" s="164">
        <f t="shared" si="3"/>
        <v>0</v>
      </c>
      <c r="G88" s="6" t="str">
        <f t="shared" si="4"/>
        <v>$ 000s</v>
      </c>
      <c r="H88" s="6"/>
      <c r="I88" s="376" t="str">
        <f t="array" ref="I88" xml:space="preserve"> IF( INDEX(J88:T88, I$5) = "", IF( INDEX(J88:T88, I$6) = F88, "vw", "tu"), IF(INDEX(J88:T88, I$5) = F88, "vw", "tu"))</f>
        <v>vw</v>
      </c>
      <c r="J88" s="256"/>
      <c r="K88" s="289">
        <v>0</v>
      </c>
      <c r="L88" s="289">
        <v>0</v>
      </c>
      <c r="M88" s="289">
        <v>0</v>
      </c>
      <c r="N88" s="173"/>
      <c r="O88" s="307"/>
      <c r="P88" s="307"/>
      <c r="Q88" s="307"/>
      <c r="R88" s="307"/>
      <c r="S88" s="307"/>
      <c r="T88" s="173"/>
    </row>
    <row r="89" spans="1:20" outlineLevel="2" x14ac:dyDescent="0.2">
      <c r="E89" s="6" t="s">
        <v>706</v>
      </c>
      <c r="F89" s="164">
        <f t="shared" si="3"/>
        <v>0</v>
      </c>
      <c r="G89" s="6" t="str">
        <f t="shared" si="4"/>
        <v>$ 000s</v>
      </c>
      <c r="H89" s="6"/>
      <c r="I89" s="376" t="str">
        <f t="array" ref="I89" xml:space="preserve"> IF( INDEX(J89:T89, I$5) = "", IF( INDEX(J89:T89, I$6) = F89, "vw", "tu"), IF(INDEX(J89:T89, I$5) = F89, "vw", "tu"))</f>
        <v>vw</v>
      </c>
      <c r="J89" s="256"/>
      <c r="K89" s="289">
        <v>0</v>
      </c>
      <c r="L89" s="289">
        <v>0</v>
      </c>
      <c r="M89" s="289">
        <v>0</v>
      </c>
      <c r="N89" s="173"/>
      <c r="O89" s="307"/>
      <c r="P89" s="307"/>
      <c r="Q89" s="307"/>
      <c r="R89" s="307"/>
      <c r="S89" s="307"/>
      <c r="T89" s="173"/>
    </row>
    <row r="90" spans="1:20" outlineLevel="2" x14ac:dyDescent="0.2">
      <c r="E90" s="6" t="s">
        <v>707</v>
      </c>
      <c r="F90" s="164">
        <f t="shared" si="3"/>
        <v>0</v>
      </c>
      <c r="G90" s="6" t="str">
        <f t="shared" si="4"/>
        <v>$ 000s</v>
      </c>
      <c r="H90" s="6"/>
      <c r="I90" s="376" t="str">
        <f t="array" ref="I90" xml:space="preserve"> IF( INDEX(J90:T90, I$5) = "", IF( INDEX(J90:T90, I$6) = F90, "vw", "tu"), IF(INDEX(J90:T90, I$5) = F90, "vw", "tu"))</f>
        <v>vw</v>
      </c>
      <c r="J90" s="256"/>
      <c r="K90" s="289">
        <v>0</v>
      </c>
      <c r="L90" s="289">
        <v>0</v>
      </c>
      <c r="M90" s="289">
        <v>0</v>
      </c>
      <c r="N90" s="173"/>
      <c r="O90" s="307"/>
      <c r="P90" s="307"/>
      <c r="Q90" s="307"/>
      <c r="R90" s="307"/>
      <c r="S90" s="307"/>
      <c r="T90" s="173"/>
    </row>
    <row r="91" spans="1:20" outlineLevel="2" x14ac:dyDescent="0.2">
      <c r="E91" s="6" t="s">
        <v>708</v>
      </c>
      <c r="F91" s="164">
        <f t="shared" si="3"/>
        <v>0</v>
      </c>
      <c r="G91" s="6" t="str">
        <f t="shared" si="4"/>
        <v>$ 000s</v>
      </c>
      <c r="H91" s="6"/>
      <c r="I91" s="376" t="str">
        <f t="array" ref="I91" xml:space="preserve"> IF( INDEX(J91:T91, I$5) = "", IF( INDEX(J91:T91, I$6) = F91, "vw", "tu"), IF(INDEX(J91:T91, I$5) = F91, "vw", "tu"))</f>
        <v>vw</v>
      </c>
      <c r="J91" s="256"/>
      <c r="K91" s="289">
        <v>0</v>
      </c>
      <c r="L91" s="289">
        <v>0</v>
      </c>
      <c r="M91" s="289">
        <v>0</v>
      </c>
      <c r="N91" s="173"/>
      <c r="O91" s="307"/>
      <c r="P91" s="307"/>
      <c r="Q91" s="307"/>
      <c r="R91" s="307"/>
      <c r="S91" s="307"/>
      <c r="T91" s="173"/>
    </row>
    <row r="92" spans="1:20" outlineLevel="2" x14ac:dyDescent="0.2">
      <c r="E92" s="6" t="s">
        <v>709</v>
      </c>
      <c r="F92" s="164">
        <f t="shared" si="3"/>
        <v>0</v>
      </c>
      <c r="G92" s="6" t="str">
        <f t="shared" si="4"/>
        <v>$ 000s</v>
      </c>
      <c r="H92" s="6"/>
      <c r="I92" s="376" t="str">
        <f t="array" ref="I92" xml:space="preserve"> IF( INDEX(J92:T92, I$5) = "", IF( INDEX(J92:T92, I$6) = F92, "vw", "tu"), IF(INDEX(J92:T92, I$5) = F92, "vw", "tu"))</f>
        <v>vw</v>
      </c>
      <c r="J92" s="256"/>
      <c r="K92" s="289">
        <v>0</v>
      </c>
      <c r="L92" s="289">
        <v>0</v>
      </c>
      <c r="M92" s="289">
        <v>0</v>
      </c>
      <c r="N92" s="173"/>
      <c r="O92" s="307"/>
      <c r="P92" s="307"/>
      <c r="Q92" s="307"/>
      <c r="R92" s="307"/>
      <c r="S92" s="307"/>
      <c r="T92" s="173"/>
    </row>
    <row r="93" spans="1:20" outlineLevel="2" x14ac:dyDescent="0.2">
      <c r="E93" s="6" t="s">
        <v>710</v>
      </c>
      <c r="F93" s="164">
        <f t="shared" si="3"/>
        <v>0</v>
      </c>
      <c r="G93" s="6" t="str">
        <f t="shared" si="4"/>
        <v>$ 000s</v>
      </c>
      <c r="H93" s="6"/>
      <c r="I93" s="376" t="str">
        <f t="array" ref="I93" xml:space="preserve"> IF( INDEX(J93:T93, I$5) = "", IF( INDEX(J93:T93, I$6) = F93, "vw", "tu"), IF(INDEX(J93:T93, I$5) = F93, "vw", "tu"))</f>
        <v>vw</v>
      </c>
      <c r="J93" s="256"/>
      <c r="K93" s="289">
        <v>0</v>
      </c>
      <c r="L93" s="289">
        <v>0</v>
      </c>
      <c r="M93" s="289">
        <v>0</v>
      </c>
      <c r="N93" s="173"/>
      <c r="O93" s="307"/>
      <c r="P93" s="307"/>
      <c r="Q93" s="307"/>
      <c r="R93" s="307"/>
      <c r="S93" s="307"/>
      <c r="T93" s="173"/>
    </row>
    <row r="94" spans="1:20" outlineLevel="2" x14ac:dyDescent="0.2">
      <c r="E94" s="6" t="s">
        <v>711</v>
      </c>
      <c r="F94" s="164">
        <f t="shared" si="3"/>
        <v>0</v>
      </c>
      <c r="G94" s="6" t="str">
        <f t="shared" si="4"/>
        <v>$ 000s</v>
      </c>
      <c r="H94" s="6"/>
      <c r="I94" s="376" t="str">
        <f t="array" ref="I94" xml:space="preserve"> IF( INDEX(J94:T94, I$5) = "", IF( INDEX(J94:T94, I$6) = F94, "vw", "tu"), IF(INDEX(J94:T94, I$5) = F94, "vw", "tu"))</f>
        <v>vw</v>
      </c>
      <c r="J94" s="256"/>
      <c r="K94" s="289">
        <v>0</v>
      </c>
      <c r="L94" s="289">
        <v>0</v>
      </c>
      <c r="M94" s="289">
        <v>0</v>
      </c>
      <c r="N94" s="173"/>
      <c r="O94" s="307"/>
      <c r="P94" s="307"/>
      <c r="Q94" s="307"/>
      <c r="R94" s="307"/>
      <c r="S94" s="307"/>
      <c r="T94" s="173"/>
    </row>
    <row r="95" spans="1:20" outlineLevel="2" x14ac:dyDescent="0.2">
      <c r="E95" s="6" t="s">
        <v>712</v>
      </c>
      <c r="F95" s="164">
        <f t="shared" si="3"/>
        <v>0</v>
      </c>
      <c r="G95" s="6" t="str">
        <f t="shared" si="4"/>
        <v>$ 000s</v>
      </c>
      <c r="H95" s="6"/>
      <c r="I95" s="376" t="str">
        <f t="array" ref="I95" xml:space="preserve"> IF( INDEX(J95:T95, I$5) = "", IF( INDEX(J95:T95, I$6) = F95, "vw", "tu"), IF(INDEX(J95:T95, I$5) = F95, "vw", "tu"))</f>
        <v>vw</v>
      </c>
      <c r="J95" s="256"/>
      <c r="K95" s="289">
        <v>0</v>
      </c>
      <c r="L95" s="289">
        <v>0</v>
      </c>
      <c r="M95" s="289">
        <v>0</v>
      </c>
      <c r="N95" s="173"/>
      <c r="O95" s="307"/>
      <c r="P95" s="307"/>
      <c r="Q95" s="307"/>
      <c r="R95" s="307"/>
      <c r="S95" s="307"/>
      <c r="T95" s="173"/>
    </row>
    <row r="96" spans="1:20" outlineLevel="2" x14ac:dyDescent="0.2">
      <c r="E96" s="6" t="s">
        <v>713</v>
      </c>
      <c r="F96" s="164">
        <f t="shared" si="3"/>
        <v>0</v>
      </c>
      <c r="G96" s="6" t="str">
        <f t="shared" si="4"/>
        <v>$ 000s</v>
      </c>
      <c r="H96" s="6"/>
      <c r="I96" s="376" t="str">
        <f t="array" ref="I96" xml:space="preserve"> IF( INDEX(J96:T96, I$5) = "", IF( INDEX(J96:T96, I$6) = F96, "vw", "tu"), IF(INDEX(J96:T96, I$5) = F96, "vw", "tu"))</f>
        <v>vw</v>
      </c>
      <c r="J96" s="256"/>
      <c r="K96" s="289">
        <v>0</v>
      </c>
      <c r="L96" s="289">
        <v>0</v>
      </c>
      <c r="M96" s="289">
        <v>0</v>
      </c>
      <c r="N96" s="173"/>
      <c r="O96" s="307"/>
      <c r="P96" s="307"/>
      <c r="Q96" s="307"/>
      <c r="R96" s="307"/>
      <c r="S96" s="307"/>
      <c r="T96" s="173"/>
    </row>
    <row r="97" spans="5:20" outlineLevel="2" x14ac:dyDescent="0.2">
      <c r="E97" s="6" t="s">
        <v>714</v>
      </c>
      <c r="F97" s="164">
        <f t="shared" si="3"/>
        <v>0</v>
      </c>
      <c r="G97" s="6" t="str">
        <f t="shared" si="4"/>
        <v>$ 000s</v>
      </c>
      <c r="H97" s="6"/>
      <c r="I97" s="376" t="str">
        <f t="array" ref="I97" xml:space="preserve"> IF( INDEX(J97:T97, I$5) = "", IF( INDEX(J97:T97, I$6) = F97, "vw", "tu"), IF(INDEX(J97:T97, I$5) = F97, "vw", "tu"))</f>
        <v>vw</v>
      </c>
      <c r="J97" s="256"/>
      <c r="K97" s="289">
        <v>0</v>
      </c>
      <c r="L97" s="289">
        <v>0</v>
      </c>
      <c r="M97" s="289">
        <v>0</v>
      </c>
      <c r="N97" s="173"/>
      <c r="O97" s="307"/>
      <c r="P97" s="307"/>
      <c r="Q97" s="307"/>
      <c r="R97" s="307"/>
      <c r="S97" s="307"/>
      <c r="T97" s="173"/>
    </row>
    <row r="98" spans="5:20" outlineLevel="2" x14ac:dyDescent="0.2">
      <c r="E98" s="6" t="s">
        <v>715</v>
      </c>
      <c r="F98" s="164">
        <f t="shared" si="3"/>
        <v>0</v>
      </c>
      <c r="G98" s="6" t="str">
        <f t="shared" si="4"/>
        <v>$ 000s</v>
      </c>
      <c r="H98" s="6"/>
      <c r="I98" s="376" t="str">
        <f t="array" ref="I98" xml:space="preserve"> IF( INDEX(J98:T98, I$5) = "", IF( INDEX(J98:T98, I$6) = F98, "vw", "tu"), IF(INDEX(J98:T98, I$5) = F98, "vw", "tu"))</f>
        <v>vw</v>
      </c>
      <c r="J98" s="256"/>
      <c r="K98" s="289">
        <v>0</v>
      </c>
      <c r="L98" s="289">
        <v>0</v>
      </c>
      <c r="M98" s="289">
        <v>0</v>
      </c>
      <c r="N98" s="173"/>
      <c r="O98" s="307"/>
      <c r="P98" s="307"/>
      <c r="Q98" s="307"/>
      <c r="R98" s="307"/>
      <c r="S98" s="307"/>
      <c r="T98" s="173"/>
    </row>
    <row r="99" spans="5:20" outlineLevel="2" x14ac:dyDescent="0.2">
      <c r="E99" s="6" t="s">
        <v>716</v>
      </c>
      <c r="F99" s="164">
        <f t="shared" si="3"/>
        <v>0</v>
      </c>
      <c r="G99" s="6" t="str">
        <f t="shared" si="4"/>
        <v>$ 000s</v>
      </c>
      <c r="H99" s="6"/>
      <c r="I99" s="376" t="str">
        <f t="array" ref="I99" xml:space="preserve"> IF( INDEX(J99:T99, I$5) = "", IF( INDEX(J99:T99, I$6) = F99, "vw", "tu"), IF(INDEX(J99:T99, I$5) = F99, "vw", "tu"))</f>
        <v>vw</v>
      </c>
      <c r="J99" s="256"/>
      <c r="K99" s="289">
        <v>0</v>
      </c>
      <c r="L99" s="289">
        <v>0</v>
      </c>
      <c r="M99" s="289">
        <v>0</v>
      </c>
      <c r="N99" s="173"/>
      <c r="O99" s="307"/>
      <c r="P99" s="307"/>
      <c r="Q99" s="307"/>
      <c r="R99" s="307"/>
      <c r="S99" s="307"/>
      <c r="T99" s="173"/>
    </row>
    <row r="100" spans="5:20" outlineLevel="2" x14ac:dyDescent="0.2">
      <c r="E100" s="6" t="s">
        <v>717</v>
      </c>
      <c r="F100" s="164">
        <f t="shared" si="3"/>
        <v>0</v>
      </c>
      <c r="G100" s="6" t="str">
        <f t="shared" si="4"/>
        <v>$ 000s</v>
      </c>
      <c r="H100" s="6"/>
      <c r="I100" s="376" t="str">
        <f t="array" ref="I100" xml:space="preserve"> IF( INDEX(J100:T100, I$5) = "", IF( INDEX(J100:T100, I$6) = F100, "vw", "tu"), IF(INDEX(J100:T100, I$5) = F100, "vw", "tu"))</f>
        <v>vw</v>
      </c>
      <c r="J100" s="256"/>
      <c r="K100" s="289">
        <v>0</v>
      </c>
      <c r="L100" s="289">
        <v>0</v>
      </c>
      <c r="M100" s="289">
        <v>0</v>
      </c>
      <c r="N100" s="173"/>
      <c r="O100" s="307"/>
      <c r="P100" s="307"/>
      <c r="Q100" s="307"/>
      <c r="R100" s="307"/>
      <c r="S100" s="307"/>
      <c r="T100" s="173"/>
    </row>
    <row r="101" spans="5:20" outlineLevel="2" x14ac:dyDescent="0.2">
      <c r="E101" s="6" t="s">
        <v>718</v>
      </c>
      <c r="F101" s="164">
        <f t="shared" si="3"/>
        <v>0</v>
      </c>
      <c r="G101" s="6" t="str">
        <f t="shared" si="4"/>
        <v>$ 000s</v>
      </c>
      <c r="H101" s="6"/>
      <c r="I101" s="376" t="str">
        <f t="array" ref="I101" xml:space="preserve"> IF( INDEX(J101:T101, I$5) = "", IF( INDEX(J101:T101, I$6) = F101, "vw", "tu"), IF(INDEX(J101:T101, I$5) = F101, "vw", "tu"))</f>
        <v>vw</v>
      </c>
      <c r="J101" s="256"/>
      <c r="K101" s="289">
        <v>0</v>
      </c>
      <c r="L101" s="289">
        <v>0</v>
      </c>
      <c r="M101" s="289">
        <v>0</v>
      </c>
      <c r="N101" s="173"/>
      <c r="O101" s="307"/>
      <c r="P101" s="307"/>
      <c r="Q101" s="307"/>
      <c r="R101" s="307"/>
      <c r="S101" s="307"/>
      <c r="T101" s="173"/>
    </row>
    <row r="102" spans="5:20" outlineLevel="2" x14ac:dyDescent="0.2">
      <c r="E102" s="6" t="s">
        <v>719</v>
      </c>
      <c r="F102" s="164">
        <f t="shared" si="3"/>
        <v>0</v>
      </c>
      <c r="G102" s="6" t="str">
        <f t="shared" si="4"/>
        <v>$ 000s</v>
      </c>
      <c r="H102" s="6"/>
      <c r="I102" s="376" t="str">
        <f t="array" ref="I102" xml:space="preserve"> IF( INDEX(J102:T102, I$5) = "", IF( INDEX(J102:T102, I$6) = F102, "vw", "tu"), IF(INDEX(J102:T102, I$5) = F102, "vw", "tu"))</f>
        <v>vw</v>
      </c>
      <c r="J102" s="256"/>
      <c r="K102" s="289">
        <v>0</v>
      </c>
      <c r="L102" s="289">
        <v>0</v>
      </c>
      <c r="M102" s="289">
        <v>0</v>
      </c>
      <c r="N102" s="173"/>
      <c r="O102" s="307"/>
      <c r="P102" s="307"/>
      <c r="Q102" s="307"/>
      <c r="R102" s="307"/>
      <c r="S102" s="307"/>
      <c r="T102" s="173"/>
    </row>
    <row r="103" spans="5:20" outlineLevel="2" x14ac:dyDescent="0.2">
      <c r="E103" s="6" t="s">
        <v>720</v>
      </c>
      <c r="F103" s="164">
        <f t="shared" si="3"/>
        <v>0</v>
      </c>
      <c r="G103" s="6" t="str">
        <f t="shared" si="4"/>
        <v>$ 000s</v>
      </c>
      <c r="H103" s="6"/>
      <c r="I103" s="376" t="str">
        <f t="array" ref="I103" xml:space="preserve"> IF( INDEX(J103:T103, I$5) = "", IF( INDEX(J103:T103, I$6) = F103, "vw", "tu"), IF(INDEX(J103:T103, I$5) = F103, "vw", "tu"))</f>
        <v>vw</v>
      </c>
      <c r="J103" s="256"/>
      <c r="K103" s="289">
        <v>0</v>
      </c>
      <c r="L103" s="289">
        <v>0</v>
      </c>
      <c r="M103" s="289">
        <v>0</v>
      </c>
      <c r="N103" s="173"/>
      <c r="O103" s="307"/>
      <c r="P103" s="307"/>
      <c r="Q103" s="307"/>
      <c r="R103" s="307"/>
      <c r="S103" s="307"/>
      <c r="T103" s="173"/>
    </row>
    <row r="104" spans="5:20" outlineLevel="2" x14ac:dyDescent="0.2">
      <c r="E104" s="6" t="s">
        <v>721</v>
      </c>
      <c r="F104" s="164">
        <f t="shared" si="3"/>
        <v>0</v>
      </c>
      <c r="G104" s="6" t="str">
        <f t="shared" si="4"/>
        <v>$ 000s</v>
      </c>
      <c r="H104" s="6"/>
      <c r="I104" s="376" t="str">
        <f t="array" ref="I104" xml:space="preserve"> IF( INDEX(J104:T104, I$5) = "", IF( INDEX(J104:T104, I$6) = F104, "vw", "tu"), IF(INDEX(J104:T104, I$5) = F104, "vw", "tu"))</f>
        <v>vw</v>
      </c>
      <c r="J104" s="256"/>
      <c r="K104" s="289">
        <v>0</v>
      </c>
      <c r="L104" s="289">
        <v>0</v>
      </c>
      <c r="M104" s="289">
        <v>0</v>
      </c>
      <c r="N104" s="173"/>
      <c r="O104" s="307"/>
      <c r="P104" s="307"/>
      <c r="Q104" s="307"/>
      <c r="R104" s="307"/>
      <c r="S104" s="307"/>
      <c r="T104" s="173"/>
    </row>
    <row r="105" spans="5:20" outlineLevel="2" x14ac:dyDescent="0.2">
      <c r="E105" s="6" t="s">
        <v>722</v>
      </c>
      <c r="F105" s="164">
        <f t="shared" si="3"/>
        <v>0</v>
      </c>
      <c r="G105" s="6" t="str">
        <f t="shared" si="4"/>
        <v>$ 000s</v>
      </c>
      <c r="H105" s="6"/>
      <c r="I105" s="376" t="str">
        <f t="array" ref="I105" xml:space="preserve"> IF( INDEX(J105:T105, I$5) = "", IF( INDEX(J105:T105, I$6) = F105, "vw", "tu"), IF(INDEX(J105:T105, I$5) = F105, "vw", "tu"))</f>
        <v>vw</v>
      </c>
      <c r="J105" s="256"/>
      <c r="K105" s="289">
        <v>0</v>
      </c>
      <c r="L105" s="289">
        <v>0</v>
      </c>
      <c r="M105" s="289">
        <v>0</v>
      </c>
      <c r="N105" s="173"/>
      <c r="O105" s="307"/>
      <c r="P105" s="307"/>
      <c r="Q105" s="307"/>
      <c r="R105" s="307"/>
      <c r="S105" s="307"/>
      <c r="T105" s="173"/>
    </row>
    <row r="106" spans="5:20" outlineLevel="2" x14ac:dyDescent="0.2">
      <c r="E106" s="6" t="s">
        <v>723</v>
      </c>
      <c r="F106" s="164">
        <f t="shared" si="3"/>
        <v>0</v>
      </c>
      <c r="G106" s="6" t="str">
        <f t="shared" si="4"/>
        <v>$ 000s</v>
      </c>
      <c r="H106" s="6"/>
      <c r="I106" s="376" t="str">
        <f t="array" ref="I106" xml:space="preserve"> IF( INDEX(J106:T106, I$5) = "", IF( INDEX(J106:T106, I$6) = F106, "vw", "tu"), IF(INDEX(J106:T106, I$5) = F106, "vw", "tu"))</f>
        <v>vw</v>
      </c>
      <c r="J106" s="256"/>
      <c r="K106" s="289">
        <v>0</v>
      </c>
      <c r="L106" s="289">
        <v>0</v>
      </c>
      <c r="M106" s="289">
        <v>0</v>
      </c>
      <c r="N106" s="173"/>
      <c r="O106" s="307"/>
      <c r="P106" s="307"/>
      <c r="Q106" s="307"/>
      <c r="R106" s="307"/>
      <c r="S106" s="307"/>
      <c r="T106" s="173"/>
    </row>
    <row r="107" spans="5:20" outlineLevel="2" x14ac:dyDescent="0.2">
      <c r="E107" s="6" t="s">
        <v>724</v>
      </c>
      <c r="F107" s="164">
        <f t="shared" si="3"/>
        <v>0</v>
      </c>
      <c r="G107" s="6" t="str">
        <f t="shared" si="4"/>
        <v>$ 000s</v>
      </c>
      <c r="H107" s="6"/>
      <c r="I107" s="376" t="str">
        <f t="array" ref="I107" xml:space="preserve"> IF( INDEX(J107:T107, I$5) = "", IF( INDEX(J107:T107, I$6) = F107, "vw", "tu"), IF(INDEX(J107:T107, I$5) = F107, "vw", "tu"))</f>
        <v>vw</v>
      </c>
      <c r="J107" s="256"/>
      <c r="K107" s="289">
        <v>0</v>
      </c>
      <c r="L107" s="289">
        <v>0</v>
      </c>
      <c r="M107" s="289">
        <v>0</v>
      </c>
      <c r="N107" s="173"/>
      <c r="O107" s="307"/>
      <c r="P107" s="307"/>
      <c r="Q107" s="307"/>
      <c r="R107" s="307"/>
      <c r="S107" s="307"/>
      <c r="T107" s="173"/>
    </row>
    <row r="108" spans="5:20" outlineLevel="2" x14ac:dyDescent="0.2">
      <c r="E108" s="6" t="s">
        <v>725</v>
      </c>
      <c r="F108" s="164">
        <f t="shared" si="3"/>
        <v>0</v>
      </c>
      <c r="G108" s="6" t="str">
        <f t="shared" si="4"/>
        <v>$ 000s</v>
      </c>
      <c r="H108" s="6"/>
      <c r="I108" s="376" t="str">
        <f t="array" ref="I108" xml:space="preserve"> IF( INDEX(J108:T108, I$5) = "", IF( INDEX(J108:T108, I$6) = F108, "vw", "tu"), IF(INDEX(J108:T108, I$5) = F108, "vw", "tu"))</f>
        <v>vw</v>
      </c>
      <c r="J108" s="256"/>
      <c r="K108" s="289">
        <v>0</v>
      </c>
      <c r="L108" s="289">
        <v>0</v>
      </c>
      <c r="M108" s="289">
        <v>0</v>
      </c>
      <c r="N108" s="173"/>
      <c r="O108" s="307"/>
      <c r="P108" s="307"/>
      <c r="Q108" s="307"/>
      <c r="R108" s="307"/>
      <c r="S108" s="307"/>
      <c r="T108" s="173"/>
    </row>
    <row r="109" spans="5:20" outlineLevel="2" x14ac:dyDescent="0.2">
      <c r="E109" s="6" t="s">
        <v>726</v>
      </c>
      <c r="F109" s="164">
        <f t="shared" si="3"/>
        <v>0</v>
      </c>
      <c r="G109" s="6" t="str">
        <f t="shared" si="4"/>
        <v>$ 000s</v>
      </c>
      <c r="H109" s="6"/>
      <c r="I109" s="376" t="str">
        <f t="array" ref="I109" xml:space="preserve"> IF( INDEX(J109:T109, I$5) = "", IF( INDEX(J109:T109, I$6) = F109, "vw", "tu"), IF(INDEX(J109:T109, I$5) = F109, "vw", "tu"))</f>
        <v>vw</v>
      </c>
      <c r="J109" s="256"/>
      <c r="K109" s="289">
        <v>0</v>
      </c>
      <c r="L109" s="289">
        <v>0</v>
      </c>
      <c r="M109" s="289">
        <v>0</v>
      </c>
      <c r="N109" s="173"/>
      <c r="O109" s="307"/>
      <c r="P109" s="307"/>
      <c r="Q109" s="307"/>
      <c r="R109" s="307"/>
      <c r="S109" s="307"/>
      <c r="T109" s="173"/>
    </row>
    <row r="110" spans="5:20" outlineLevel="2" x14ac:dyDescent="0.2">
      <c r="E110" s="6" t="s">
        <v>727</v>
      </c>
      <c r="F110" s="164">
        <f t="shared" si="3"/>
        <v>0</v>
      </c>
      <c r="G110" s="6" t="str">
        <f t="shared" si="4"/>
        <v>$ 000s</v>
      </c>
      <c r="H110" s="6"/>
      <c r="I110" s="376" t="str">
        <f t="array" ref="I110" xml:space="preserve"> IF( INDEX(J110:T110, I$5) = "", IF( INDEX(J110:T110, I$6) = F110, "vw", "tu"), IF(INDEX(J110:T110, I$5) = F110, "vw", "tu"))</f>
        <v>vw</v>
      </c>
      <c r="J110" s="256"/>
      <c r="K110" s="289">
        <v>0</v>
      </c>
      <c r="L110" s="289">
        <v>0</v>
      </c>
      <c r="M110" s="289">
        <v>0</v>
      </c>
      <c r="N110" s="173"/>
      <c r="O110" s="307"/>
      <c r="P110" s="307"/>
      <c r="Q110" s="307"/>
      <c r="R110" s="307"/>
      <c r="S110" s="307"/>
      <c r="T110" s="173"/>
    </row>
    <row r="111" spans="5:20" outlineLevel="2" x14ac:dyDescent="0.2">
      <c r="E111" s="6" t="s">
        <v>728</v>
      </c>
      <c r="F111" s="164">
        <f t="shared" si="3"/>
        <v>0</v>
      </c>
      <c r="G111" s="6" t="str">
        <f t="shared" si="4"/>
        <v>$ 000s</v>
      </c>
      <c r="H111" s="6"/>
      <c r="I111" s="376" t="str">
        <f t="array" ref="I111" xml:space="preserve"> IF( INDEX(J111:T111, I$5) = "", IF( INDEX(J111:T111, I$6) = F111, "vw", "tu"), IF(INDEX(J111:T111, I$5) = F111, "vw", "tu"))</f>
        <v>vw</v>
      </c>
      <c r="J111" s="256"/>
      <c r="K111" s="289">
        <v>0</v>
      </c>
      <c r="L111" s="289">
        <v>0</v>
      </c>
      <c r="M111" s="289">
        <v>0</v>
      </c>
      <c r="N111" s="173"/>
      <c r="O111" s="307"/>
      <c r="P111" s="307"/>
      <c r="Q111" s="307"/>
      <c r="R111" s="307"/>
      <c r="S111" s="307"/>
      <c r="T111" s="173"/>
    </row>
    <row r="112" spans="5:20" outlineLevel="1" x14ac:dyDescent="0.2">
      <c r="E112" s="6"/>
      <c r="F112" s="35"/>
      <c r="G112" s="6"/>
      <c r="H112" s="6"/>
      <c r="I112" s="376"/>
      <c r="J112" s="256"/>
      <c r="K112" s="46"/>
      <c r="L112" s="46"/>
      <c r="M112" s="46"/>
      <c r="N112" s="173"/>
      <c r="O112" s="428"/>
      <c r="P112" s="428"/>
      <c r="Q112" s="428"/>
      <c r="R112" s="428"/>
      <c r="S112" s="428"/>
      <c r="T112" s="173"/>
    </row>
    <row r="113" spans="1:20" outlineLevel="1" x14ac:dyDescent="0.2">
      <c r="A113" s="367"/>
      <c r="B113" s="367" t="s">
        <v>138</v>
      </c>
      <c r="C113" s="368"/>
      <c r="D113" s="369"/>
      <c r="E113" s="399"/>
      <c r="F113" s="398"/>
      <c r="G113" s="399"/>
      <c r="H113" s="399"/>
      <c r="I113" s="400"/>
    </row>
    <row r="114" spans="1:20" outlineLevel="2" x14ac:dyDescent="0.2">
      <c r="E114" s="1164" t="s">
        <v>566</v>
      </c>
      <c r="F114" s="164">
        <f xml:space="preserve"> IF( INDEX(J114:T114, $I$4) = "", INDEX(J114:S114, $I$6), INDEX(J114:T114, $I$4))</f>
        <v>7500</v>
      </c>
      <c r="G114" s="6" t="s">
        <v>406</v>
      </c>
      <c r="H114" s="6"/>
      <c r="I114" s="376" t="str">
        <f t="array" ref="I114" xml:space="preserve"> IF( INDEX(J114:T114, I$5) = "", IF( INDEX(J114:T114, I$6) = F114, "vw", "tu"), IF(INDEX(J114:T114, I$5) = F114, "vw", "tu"))</f>
        <v>tu</v>
      </c>
      <c r="J114" s="256"/>
      <c r="K114" s="289">
        <v>7500</v>
      </c>
      <c r="L114" s="289">
        <v>4000</v>
      </c>
      <c r="M114" s="289">
        <v>4000</v>
      </c>
      <c r="N114" s="173"/>
      <c r="O114" s="307"/>
      <c r="P114" s="307"/>
      <c r="Q114" s="307"/>
      <c r="R114" s="307"/>
      <c r="S114" s="307"/>
      <c r="T114" s="173"/>
    </row>
    <row r="115" spans="1:20" outlineLevel="2" x14ac:dyDescent="0.2">
      <c r="E115" s="6" t="s">
        <v>567</v>
      </c>
      <c r="F115" s="164">
        <f xml:space="preserve"> IF( INDEX(J115:T115, $I$4) = "", INDEX(J115:S115, $I$6), INDEX(J115:T115, $I$4))</f>
        <v>500</v>
      </c>
      <c r="G115" s="6" t="s">
        <v>406</v>
      </c>
      <c r="H115" s="6"/>
      <c r="I115" s="376" t="str">
        <f t="array" ref="I115" xml:space="preserve"> IF( INDEX(J115:T115, I$5) = "", IF( INDEX(J115:T115, I$6) = F115, "vw", "tu"), IF(INDEX(J115:T115, I$5) = F115, "vw", "tu"))</f>
        <v>vw</v>
      </c>
      <c r="J115" s="256"/>
      <c r="K115" s="289">
        <v>500</v>
      </c>
      <c r="L115" s="289">
        <v>500</v>
      </c>
      <c r="M115" s="289">
        <v>500</v>
      </c>
      <c r="N115" s="173"/>
      <c r="O115" s="307"/>
      <c r="P115" s="307"/>
      <c r="Q115" s="307"/>
      <c r="R115" s="307"/>
      <c r="S115" s="307"/>
      <c r="T115" s="173"/>
    </row>
    <row r="116" spans="1:20" outlineLevel="1" x14ac:dyDescent="0.2">
      <c r="A116" s="367"/>
      <c r="B116" s="367"/>
      <c r="C116" s="368"/>
      <c r="D116" s="369"/>
      <c r="E116" s="399"/>
      <c r="F116" s="398"/>
      <c r="G116" s="399"/>
      <c r="H116" s="399"/>
      <c r="I116" s="400"/>
    </row>
    <row r="117" spans="1:20" outlineLevel="1" x14ac:dyDescent="0.2">
      <c r="A117" s="367"/>
      <c r="B117" s="367" t="s">
        <v>583</v>
      </c>
      <c r="C117" s="368"/>
      <c r="D117" s="369"/>
      <c r="E117" s="399"/>
      <c r="F117" s="398"/>
      <c r="G117" s="399"/>
      <c r="H117" s="399"/>
      <c r="I117" s="400"/>
    </row>
    <row r="118" spans="1:20" s="283" customFormat="1" outlineLevel="2" x14ac:dyDescent="0.2">
      <c r="A118" s="653"/>
      <c r="B118" s="653"/>
      <c r="C118" s="922"/>
      <c r="D118" s="112"/>
      <c r="E118" s="453" t="str">
        <f xml:space="preserve"> Sensitivity!E$17</f>
        <v>Exchange rate - sensitivity</v>
      </c>
      <c r="F118" s="923">
        <f xml:space="preserve"> Sensitivity!F$17</f>
        <v>0</v>
      </c>
      <c r="G118" s="453" t="str">
        <f xml:space="preserve"> Sensitivity!G$17</f>
        <v>%</v>
      </c>
      <c r="H118" s="924"/>
      <c r="I118" s="925"/>
      <c r="J118" s="178"/>
      <c r="K118" s="282"/>
      <c r="L118" s="282"/>
      <c r="M118" s="282"/>
      <c r="N118" s="178"/>
      <c r="O118" s="282"/>
      <c r="P118" s="282"/>
      <c r="Q118" s="282"/>
      <c r="R118" s="282"/>
      <c r="S118" s="282"/>
      <c r="T118" s="178"/>
    </row>
    <row r="119" spans="1:20" outlineLevel="2" x14ac:dyDescent="0.2">
      <c r="A119" s="367"/>
      <c r="B119" s="367"/>
      <c r="C119" s="368"/>
      <c r="D119" s="369"/>
      <c r="E119" s="664" t="s">
        <v>584</v>
      </c>
      <c r="F119" s="833">
        <f xml:space="preserve"> IF( INDEX(J119:T119, $I$4) = "", INDEX(J119:S119, $I$6), INDEX(J119:T119, $I$4))</f>
        <v>5</v>
      </c>
      <c r="G119" s="664" t="s">
        <v>585</v>
      </c>
      <c r="H119" s="664"/>
      <c r="I119" s="727" t="str">
        <f t="array" ref="I119" xml:space="preserve"> IF( INDEX(J119:T119, I$5) = "", IF( INDEX(J119:T119, I$6) = F119, "vw", "tu"), IF(INDEX(J119:T119, I$5) = F119, "vw", "tu"))</f>
        <v>vw</v>
      </c>
      <c r="J119" s="256"/>
      <c r="K119" s="834">
        <v>5</v>
      </c>
      <c r="L119" s="834">
        <v>5</v>
      </c>
      <c r="M119" s="834">
        <v>5</v>
      </c>
      <c r="O119" s="306"/>
      <c r="P119" s="306"/>
      <c r="Q119" s="306"/>
      <c r="R119" s="306"/>
      <c r="S119" s="306"/>
      <c r="T119" s="305"/>
    </row>
    <row r="120" spans="1:20" outlineLevel="2" x14ac:dyDescent="0.2">
      <c r="A120" s="367"/>
      <c r="B120" s="367"/>
      <c r="C120" s="368"/>
      <c r="D120" s="369"/>
      <c r="E120" s="685" t="s">
        <v>586</v>
      </c>
      <c r="F120" s="833">
        <f xml:space="preserve"> F119 * (1 + F118)</f>
        <v>5</v>
      </c>
      <c r="G120" s="664" t="s">
        <v>585</v>
      </c>
      <c r="H120" s="835"/>
      <c r="I120" s="836"/>
      <c r="J120" s="675"/>
      <c r="K120" s="82"/>
      <c r="L120" s="82"/>
      <c r="M120" s="82"/>
    </row>
    <row r="121" spans="1:20" outlineLevel="1" x14ac:dyDescent="0.2">
      <c r="A121" s="367"/>
      <c r="B121" s="367"/>
      <c r="C121" s="368"/>
      <c r="D121" s="369"/>
      <c r="E121" s="399"/>
      <c r="F121" s="398"/>
      <c r="G121" s="399"/>
      <c r="H121" s="399"/>
      <c r="I121" s="400"/>
    </row>
    <row r="122" spans="1:20" outlineLevel="1" x14ac:dyDescent="0.2">
      <c r="B122" s="1" t="s">
        <v>206</v>
      </c>
      <c r="E122" s="399"/>
      <c r="F122" s="398"/>
      <c r="G122" s="399"/>
      <c r="H122" s="399"/>
      <c r="I122" s="400"/>
    </row>
    <row r="123" spans="1:20" outlineLevel="2" x14ac:dyDescent="0.2">
      <c r="E123" s="191" t="s">
        <v>605</v>
      </c>
      <c r="F123" s="605">
        <f xml:space="preserve"> IF( INDEX(J123:T123, $I$4) = "", INDEX(J123:S123, $I$6), INDEX(J123:T123, $I$4))</f>
        <v>1</v>
      </c>
      <c r="G123" s="191" t="s">
        <v>85</v>
      </c>
      <c r="H123" s="6"/>
      <c r="I123" s="376" t="str">
        <f t="array" ref="I123" xml:space="preserve"> IF( INDEX(J123:T123, I$5) = "", IF( INDEX(J123:T123, I$6) = F123, "vw", "tu"), IF(INDEX(J123:T123, I$5) = F123, "vw", "tu"))</f>
        <v>vw</v>
      </c>
      <c r="J123" s="256"/>
      <c r="K123" s="408">
        <v>1</v>
      </c>
      <c r="L123" s="408">
        <v>1</v>
      </c>
      <c r="M123" s="408">
        <v>1</v>
      </c>
      <c r="N123" s="173"/>
      <c r="O123" s="433"/>
      <c r="P123" s="433"/>
      <c r="Q123" s="433"/>
      <c r="R123" s="433"/>
      <c r="S123" s="433"/>
      <c r="T123" s="432"/>
    </row>
    <row r="124" spans="1:20" outlineLevel="2" x14ac:dyDescent="0.2">
      <c r="A124" s="367"/>
      <c r="B124" s="367"/>
      <c r="C124" s="368"/>
      <c r="D124" s="369"/>
      <c r="E124" s="399"/>
      <c r="F124" s="398"/>
      <c r="G124" s="399"/>
      <c r="H124" s="399"/>
      <c r="I124" s="400"/>
    </row>
    <row r="125" spans="1:20" outlineLevel="2" x14ac:dyDescent="0.2">
      <c r="A125" s="284"/>
      <c r="B125" s="284"/>
      <c r="C125" s="285"/>
      <c r="D125" s="286"/>
      <c r="E125" s="301" t="s">
        <v>589</v>
      </c>
      <c r="F125" s="302">
        <f xml:space="preserve"> IF( INDEX(J125:T125, $I$4) = "", INDEX(J125:S125, $I$6), INDEX(J125:T125, $I$4))</f>
        <v>0.02</v>
      </c>
      <c r="G125" s="301" t="s">
        <v>116</v>
      </c>
      <c r="H125" s="301"/>
      <c r="I125" s="376" t="str">
        <f t="array" ref="I125" xml:space="preserve"> IF( INDEX(J125:T125, I$5) = "", IF( INDEX(J125:T125, I$6) = F125, "vw", "tu"), IF(INDEX(J125:T125, I$5) = F125, "vw", "tu"))</f>
        <v>vw</v>
      </c>
      <c r="J125" s="303"/>
      <c r="K125" s="304">
        <v>0.02</v>
      </c>
      <c r="L125" s="304">
        <v>0.02</v>
      </c>
      <c r="M125" s="304">
        <v>0.02</v>
      </c>
      <c r="N125" s="305"/>
      <c r="O125" s="306"/>
      <c r="P125" s="306"/>
      <c r="Q125" s="306"/>
      <c r="R125" s="306"/>
      <c r="S125" s="306"/>
      <c r="T125" s="305"/>
    </row>
    <row r="126" spans="1:20" outlineLevel="2" x14ac:dyDescent="0.2">
      <c r="E126" s="45" t="s">
        <v>610</v>
      </c>
      <c r="F126" s="839">
        <f xml:space="preserve"> IF( INDEX(J126:T126, $I$4) = "", INDEX(J126:S126, $I$6), INDEX(J126:T126, $I$4))</f>
        <v>43831</v>
      </c>
      <c r="G126" s="45" t="s">
        <v>6</v>
      </c>
      <c r="H126" s="45"/>
      <c r="I126" s="727" t="str">
        <f t="array" ref="I126" xml:space="preserve"> IF( INDEX(J126:T126, I$5) = "", IF( INDEX(J126:T126, I$6) = F126, "vw", "tu"), IF(INDEX(J126:T126, I$5) = F126, "vw", "tu"))</f>
        <v>vw</v>
      </c>
      <c r="J126" s="254"/>
      <c r="K126" s="202">
        <v>43831</v>
      </c>
      <c r="L126" s="202">
        <v>43831</v>
      </c>
      <c r="M126" s="202">
        <v>43831</v>
      </c>
      <c r="N126" s="840"/>
      <c r="O126" s="306"/>
      <c r="P126" s="306"/>
      <c r="Q126" s="306"/>
      <c r="R126" s="306"/>
      <c r="S126" s="306"/>
      <c r="T126" s="305"/>
    </row>
    <row r="127" spans="1:20" outlineLevel="2" x14ac:dyDescent="0.2">
      <c r="A127" s="284"/>
      <c r="B127" s="284"/>
      <c r="C127" s="285"/>
      <c r="D127" s="286"/>
      <c r="E127" s="301"/>
      <c r="F127" s="837"/>
      <c r="G127" s="301"/>
      <c r="H127" s="301"/>
      <c r="I127" s="376"/>
      <c r="J127" s="303"/>
      <c r="N127" s="305"/>
      <c r="O127" s="838"/>
      <c r="P127" s="838"/>
      <c r="Q127" s="838"/>
      <c r="R127" s="838"/>
      <c r="S127" s="838"/>
      <c r="T127" s="305"/>
    </row>
    <row r="128" spans="1:20" outlineLevel="2" x14ac:dyDescent="0.2">
      <c r="A128" s="284"/>
      <c r="B128" s="284"/>
      <c r="C128" s="285"/>
      <c r="D128" s="286"/>
      <c r="E128" s="685" t="s">
        <v>587</v>
      </c>
      <c r="F128" s="302">
        <f xml:space="preserve"> IF( INDEX(J128:T128, $I$4) = "", INDEX(J128:S128, $I$6), INDEX(J128:T128, $I$4))</f>
        <v>0.02</v>
      </c>
      <c r="G128" s="685" t="s">
        <v>116</v>
      </c>
      <c r="H128" s="685"/>
      <c r="I128" s="727" t="str">
        <f t="array" ref="I128" xml:space="preserve"> IF( INDEX(J128:T128, I$5) = "", IF( INDEX(J128:T128, I$6) = F128, "vw", "tu"), IF(INDEX(J128:T128, I$5) = F128, "vw", "tu"))</f>
        <v>vw</v>
      </c>
      <c r="J128" s="303"/>
      <c r="K128" s="841">
        <v>0.02</v>
      </c>
      <c r="L128" s="841">
        <v>0.02</v>
      </c>
      <c r="M128" s="841">
        <v>0.02</v>
      </c>
      <c r="N128" s="677"/>
      <c r="O128" s="306"/>
      <c r="P128" s="306"/>
      <c r="Q128" s="306"/>
      <c r="R128" s="306"/>
      <c r="S128" s="306"/>
      <c r="T128" s="305"/>
    </row>
    <row r="129" spans="1:20" outlineLevel="2" x14ac:dyDescent="0.2">
      <c r="E129" s="45" t="s">
        <v>588</v>
      </c>
      <c r="F129" s="839">
        <f xml:space="preserve"> IF( INDEX(J129:T129, $I$4) = "", INDEX(J129:S129, $I$6), INDEX(J129:T129, $I$4))</f>
        <v>43831</v>
      </c>
      <c r="G129" s="45" t="s">
        <v>6</v>
      </c>
      <c r="H129" s="45"/>
      <c r="I129" s="727" t="str">
        <f t="array" ref="I129" xml:space="preserve"> IF( INDEX(J129:T129, I$5) = "", IF( INDEX(J129:T129, I$6) = F129, "vw", "tu"), IF(INDEX(J129:T129, I$5) = F129, "vw", "tu"))</f>
        <v>vw</v>
      </c>
      <c r="J129" s="254"/>
      <c r="K129" s="202">
        <v>43831</v>
      </c>
      <c r="L129" s="202">
        <v>43831</v>
      </c>
      <c r="M129" s="202">
        <v>43831</v>
      </c>
      <c r="N129" s="840"/>
      <c r="O129" s="306"/>
      <c r="P129" s="306"/>
      <c r="Q129" s="306"/>
      <c r="R129" s="306"/>
      <c r="S129" s="306"/>
      <c r="T129" s="305"/>
    </row>
    <row r="130" spans="1:20" outlineLevel="2" x14ac:dyDescent="0.2">
      <c r="E130" s="45"/>
      <c r="F130" s="69"/>
      <c r="G130" s="45"/>
      <c r="H130" s="45"/>
      <c r="I130" s="727"/>
      <c r="J130" s="254"/>
      <c r="K130" s="69"/>
      <c r="L130" s="69"/>
      <c r="M130" s="69"/>
      <c r="N130" s="840"/>
    </row>
    <row r="131" spans="1:20" outlineLevel="2" x14ac:dyDescent="0.2">
      <c r="E131" s="45" t="s">
        <v>604</v>
      </c>
      <c r="F131" s="839">
        <f xml:space="preserve"> IF( INDEX(J131:T131, $I$4) = "", INDEX(J131:S131, $I$6), INDEX(J131:T131, $I$4))</f>
        <v>43831</v>
      </c>
      <c r="G131" s="45" t="s">
        <v>6</v>
      </c>
      <c r="H131" s="45"/>
      <c r="I131" s="727"/>
      <c r="J131" s="254"/>
      <c r="K131" s="202">
        <v>43831</v>
      </c>
      <c r="L131" s="202">
        <v>43831</v>
      </c>
      <c r="M131" s="202">
        <v>43831</v>
      </c>
      <c r="N131" s="840"/>
      <c r="O131" s="306"/>
      <c r="P131" s="306"/>
      <c r="Q131" s="306"/>
      <c r="R131" s="306"/>
      <c r="S131" s="306"/>
      <c r="T131" s="305"/>
    </row>
    <row r="132" spans="1:20" outlineLevel="2" x14ac:dyDescent="0.2"/>
    <row r="134" spans="1:20" x14ac:dyDescent="0.2">
      <c r="A134" s="1" t="s">
        <v>262</v>
      </c>
    </row>
    <row r="135" spans="1:20" outlineLevel="1" x14ac:dyDescent="0.2">
      <c r="A135" s="166"/>
      <c r="B135" s="166"/>
      <c r="C135" s="167"/>
      <c r="D135" s="168"/>
      <c r="E135" s="168"/>
      <c r="F135" s="268"/>
      <c r="G135" s="168"/>
      <c r="H135" s="269"/>
      <c r="I135" s="378"/>
      <c r="J135" s="258"/>
      <c r="K135" s="268"/>
      <c r="L135" s="268"/>
      <c r="M135" s="268"/>
      <c r="N135" s="171"/>
      <c r="O135" s="270"/>
      <c r="P135" s="270"/>
      <c r="Q135" s="270"/>
      <c r="R135" s="270"/>
      <c r="S135" s="270"/>
      <c r="T135" s="171"/>
    </row>
    <row r="136" spans="1:20" outlineLevel="1" x14ac:dyDescent="0.2">
      <c r="E136" s="6" t="s">
        <v>255</v>
      </c>
      <c r="F136" s="164">
        <f t="shared" ref="F136:F144" si="5" xml:space="preserve"> IF( INDEX(J136:T136, $I$4) = "", INDEX(J136:S136, $I$6), INDEX(J136:T136, $I$4))</f>
        <v>300000</v>
      </c>
      <c r="G136" s="6" t="str">
        <f xml:space="preserve"> SMU</f>
        <v>$ 000s</v>
      </c>
      <c r="H136" s="6"/>
      <c r="I136" s="400" t="str">
        <f t="array" ref="I136" xml:space="preserve"> IF( INDEX(J136:T136, I$5) = "", IF( INDEX(J136:T136, I$6) = F136, "vw", "tu"), IF(INDEX(J136:T136, I$5) = F136, "vw", "tu"))</f>
        <v>vw</v>
      </c>
      <c r="J136" s="256"/>
      <c r="K136" s="289">
        <v>300000</v>
      </c>
      <c r="L136" s="289">
        <v>300000</v>
      </c>
      <c r="M136" s="289">
        <v>300000</v>
      </c>
      <c r="N136" s="173"/>
      <c r="O136" s="307"/>
      <c r="P136" s="307"/>
      <c r="Q136" s="307"/>
      <c r="R136" s="307"/>
      <c r="S136" s="307"/>
      <c r="T136" s="173"/>
    </row>
    <row r="137" spans="1:20" outlineLevel="1" x14ac:dyDescent="0.2">
      <c r="E137" s="6" t="s">
        <v>432</v>
      </c>
      <c r="F137" s="164">
        <f t="shared" ref="F137" si="6" xml:space="preserve"> IF( INDEX(J137:T137, $I$4) = "", INDEX(J137:S137, $I$6), INDEX(J137:T137, $I$4))</f>
        <v>0</v>
      </c>
      <c r="G137" s="6" t="str">
        <f xml:space="preserve"> SMU</f>
        <v>$ 000s</v>
      </c>
      <c r="H137" s="6"/>
      <c r="I137" s="376" t="str">
        <f t="array" ref="I137" xml:space="preserve"> IF( INDEX(J137:T137, I$5) = "", IF( INDEX(J137:T137, I$6) = F137, "vw", "tu"), IF(INDEX(J137:T137, I$5) = F137, "vw", "tu"))</f>
        <v>vw</v>
      </c>
      <c r="J137" s="256"/>
      <c r="K137" s="289">
        <v>0</v>
      </c>
      <c r="L137" s="289">
        <v>0</v>
      </c>
      <c r="M137" s="289">
        <v>0</v>
      </c>
      <c r="N137" s="173"/>
      <c r="O137" s="307"/>
      <c r="P137" s="307"/>
      <c r="Q137" s="307"/>
      <c r="R137" s="307"/>
      <c r="S137" s="307"/>
      <c r="T137" s="173"/>
    </row>
    <row r="138" spans="1:20" s="494" customFormat="1" outlineLevel="1" x14ac:dyDescent="0.2">
      <c r="A138" s="284"/>
      <c r="B138" s="284"/>
      <c r="C138" s="285"/>
      <c r="D138" s="286"/>
      <c r="E138" s="301" t="s">
        <v>244</v>
      </c>
      <c r="F138" s="302">
        <f t="shared" si="5"/>
        <v>0</v>
      </c>
      <c r="G138" s="301" t="s">
        <v>103</v>
      </c>
      <c r="H138" s="301"/>
      <c r="I138" s="376" t="str">
        <f t="array" ref="I138" xml:space="preserve"> IF( INDEX(J138:T138, I$5) = "", IF( INDEX(J138:T138, I$6) = F138, "vw", "tu"), IF(INDEX(J138:T138, I$5) = F138, "vw", "tu"))</f>
        <v>vw</v>
      </c>
      <c r="J138" s="303"/>
      <c r="K138" s="304">
        <v>0</v>
      </c>
      <c r="L138" s="304">
        <v>0</v>
      </c>
      <c r="M138" s="304">
        <v>0</v>
      </c>
      <c r="N138" s="305"/>
      <c r="O138" s="306"/>
      <c r="P138" s="306"/>
      <c r="Q138" s="306"/>
      <c r="R138" s="306"/>
      <c r="S138" s="306"/>
      <c r="T138" s="305"/>
    </row>
    <row r="139" spans="1:20" outlineLevel="1" x14ac:dyDescent="0.2">
      <c r="E139" s="6" t="s">
        <v>635</v>
      </c>
      <c r="F139" s="164">
        <f t="shared" si="5"/>
        <v>697.30772000000002</v>
      </c>
      <c r="G139" s="6" t="s">
        <v>406</v>
      </c>
      <c r="H139" s="6"/>
      <c r="I139" s="376" t="str">
        <f t="array" ref="I139" xml:space="preserve"> IF( INDEX(J139:T139, I$5) = "", IF( INDEX(J139:T139, I$6) = F139, "vw", "tu"), IF(INDEX(J139:T139, I$5) = F139, "vw", "tu"))</f>
        <v>tu</v>
      </c>
      <c r="J139" s="256"/>
      <c r="K139" s="289">
        <v>697.30772000000002</v>
      </c>
      <c r="L139" s="289">
        <v>7500</v>
      </c>
      <c r="M139" s="289">
        <v>7500</v>
      </c>
      <c r="N139" s="173"/>
      <c r="O139" s="307"/>
      <c r="P139" s="307"/>
      <c r="Q139" s="307"/>
      <c r="R139" s="307"/>
      <c r="S139" s="307"/>
      <c r="T139" s="173"/>
    </row>
    <row r="140" spans="1:20" outlineLevel="1" x14ac:dyDescent="0.2">
      <c r="E140" s="6" t="s">
        <v>258</v>
      </c>
      <c r="F140" s="164">
        <f t="shared" si="5"/>
        <v>1300</v>
      </c>
      <c r="G140" s="6" t="str">
        <f xml:space="preserve"> SMU</f>
        <v>$ 000s</v>
      </c>
      <c r="H140" s="6"/>
      <c r="I140" s="376" t="str">
        <f t="array" ref="I140" xml:space="preserve"> IF( INDEX(J140:T140, I$5) = "", IF( INDEX(J140:T140, I$6) = F140, "vw", "tu"), IF(INDEX(J140:T140, I$5) = F140, "vw", "tu"))</f>
        <v>vw</v>
      </c>
      <c r="J140" s="256"/>
      <c r="K140" s="289">
        <v>1300</v>
      </c>
      <c r="L140" s="289">
        <v>1300</v>
      </c>
      <c r="M140" s="289">
        <v>1300</v>
      </c>
      <c r="N140" s="173"/>
      <c r="O140" s="307"/>
      <c r="P140" s="307"/>
      <c r="Q140" s="307"/>
      <c r="R140" s="307"/>
      <c r="S140" s="307"/>
      <c r="T140" s="173"/>
    </row>
    <row r="141" spans="1:20" outlineLevel="1" x14ac:dyDescent="0.2">
      <c r="E141" s="6" t="s">
        <v>260</v>
      </c>
      <c r="F141" s="164">
        <f t="shared" si="5"/>
        <v>5000</v>
      </c>
      <c r="G141" s="6" t="str">
        <f xml:space="preserve"> SMU</f>
        <v>$ 000s</v>
      </c>
      <c r="H141" s="6"/>
      <c r="I141" s="376" t="str">
        <f t="array" ref="I141" xml:space="preserve"> IF( INDEX(J141:T141, I$5) = "", IF( INDEX(J141:T141, I$6) = F141, "vw", "tu"), IF(INDEX(J141:T141, I$5) = F141, "vw", "tu"))</f>
        <v>tu</v>
      </c>
      <c r="J141" s="256"/>
      <c r="K141" s="289">
        <v>5000</v>
      </c>
      <c r="L141" s="289">
        <v>7000</v>
      </c>
      <c r="M141" s="289">
        <v>7000</v>
      </c>
      <c r="N141" s="173"/>
      <c r="O141" s="307"/>
      <c r="P141" s="307"/>
      <c r="Q141" s="307"/>
      <c r="R141" s="307"/>
      <c r="S141" s="307"/>
      <c r="T141" s="173"/>
    </row>
    <row r="142" spans="1:20" outlineLevel="1" x14ac:dyDescent="0.2">
      <c r="E142" s="6" t="s">
        <v>1125</v>
      </c>
      <c r="F142" s="164">
        <f t="shared" si="5"/>
        <v>2000</v>
      </c>
      <c r="G142" s="6" t="str">
        <f xml:space="preserve"> SMU</f>
        <v>$ 000s</v>
      </c>
      <c r="H142" s="6"/>
      <c r="I142" s="376" t="str">
        <f t="array" ref="I142" xml:space="preserve"> IF( INDEX(J142:T142, I$5) = "", IF( INDEX(J142:T142, I$6) = F142, "vw", "tu"), IF(INDEX(J142:T142, I$5) = F142, "vw", "tu"))</f>
        <v>tu</v>
      </c>
      <c r="J142" s="256"/>
      <c r="K142" s="289">
        <v>2000</v>
      </c>
      <c r="L142" s="289">
        <v>0</v>
      </c>
      <c r="M142" s="289">
        <v>0</v>
      </c>
      <c r="N142" s="173"/>
      <c r="O142" s="307"/>
      <c r="P142" s="307"/>
      <c r="Q142" s="307"/>
      <c r="R142" s="307"/>
      <c r="S142" s="307"/>
      <c r="T142" s="173"/>
    </row>
    <row r="143" spans="1:20" outlineLevel="1" x14ac:dyDescent="0.2">
      <c r="E143" s="6" t="s">
        <v>1126</v>
      </c>
      <c r="F143" s="164">
        <f t="shared" ref="F143" si="7" xml:space="preserve"> IF( INDEX(J143:T143, $I$4) = "", INDEX(J143:S143, $I$6), INDEX(J143:T143, $I$4))</f>
        <v>0</v>
      </c>
      <c r="G143" s="6" t="str">
        <f xml:space="preserve"> SMU</f>
        <v>$ 000s</v>
      </c>
      <c r="H143" s="6"/>
      <c r="I143" s="376" t="str">
        <f t="array" ref="I143" xml:space="preserve"> IF( INDEX(J143:T143, I$5) = "", IF( INDEX(J143:T143, I$6) = F143, "vw", "tu"), IF(INDEX(J143:T143, I$5) = F143, "vw", "tu"))</f>
        <v>vw</v>
      </c>
      <c r="J143" s="256"/>
      <c r="K143" s="289">
        <v>0</v>
      </c>
      <c r="L143" s="289">
        <v>0</v>
      </c>
      <c r="M143" s="289">
        <v>0</v>
      </c>
      <c r="N143" s="173"/>
      <c r="O143" s="307"/>
      <c r="P143" s="307"/>
      <c r="Q143" s="307"/>
      <c r="R143" s="307"/>
      <c r="S143" s="307"/>
      <c r="T143" s="173"/>
    </row>
    <row r="144" spans="1:20" outlineLevel="1" x14ac:dyDescent="0.2">
      <c r="E144" s="6" t="s">
        <v>261</v>
      </c>
      <c r="F144" s="164">
        <f t="shared" si="5"/>
        <v>0</v>
      </c>
      <c r="G144" s="6" t="str">
        <f xml:space="preserve"> SMU</f>
        <v>$ 000s</v>
      </c>
      <c r="H144" s="6"/>
      <c r="I144" s="376" t="str">
        <f t="array" ref="I144" xml:space="preserve"> IF( INDEX(J144:T144, I$5) = "", IF( INDEX(J144:T144, I$6) = F144, "vw", "tu"), IF(INDEX(J144:T144, I$5) = F144, "vw", "tu"))</f>
        <v>vw</v>
      </c>
      <c r="J144" s="256"/>
      <c r="K144" s="289">
        <v>0</v>
      </c>
      <c r="L144" s="289">
        <v>0</v>
      </c>
      <c r="M144" s="289">
        <v>0</v>
      </c>
      <c r="N144" s="173"/>
      <c r="O144" s="306"/>
      <c r="P144" s="306"/>
      <c r="Q144" s="306"/>
      <c r="R144" s="306"/>
      <c r="S144" s="306"/>
      <c r="T144" s="305"/>
    </row>
    <row r="145" spans="1:27" outlineLevel="1" x14ac:dyDescent="0.2"/>
    <row r="146" spans="1:27" outlineLevel="1" x14ac:dyDescent="0.2">
      <c r="E146" s="685" t="s">
        <v>579</v>
      </c>
      <c r="F146" s="302">
        <f t="shared" ref="F146:F147" si="8" xml:space="preserve"> IF( INDEX(J146:T146, $I$4) = "", INDEX(J146:S146, $I$6), INDEX(J146:T146, $I$4))</f>
        <v>0.1</v>
      </c>
      <c r="G146" s="685" t="s">
        <v>116</v>
      </c>
      <c r="I146" s="376" t="str">
        <f t="array" ref="I146" xml:space="preserve"> IF( INDEX(J146:T146, I$5) = "", IF( INDEX(J146:T146, I$6) = F146, "vw", "tu"), IF(INDEX(J146:T146, I$5) = F146, "vw", "tu"))</f>
        <v>vw</v>
      </c>
      <c r="K146" s="750">
        <v>0.1</v>
      </c>
      <c r="L146" s="750">
        <v>0.1</v>
      </c>
      <c r="M146" s="750">
        <v>0.1</v>
      </c>
      <c r="O146" s="306"/>
      <c r="P146" s="306"/>
      <c r="Q146" s="306"/>
      <c r="R146" s="306"/>
      <c r="S146" s="306"/>
      <c r="T146" s="305"/>
    </row>
    <row r="147" spans="1:27" outlineLevel="1" x14ac:dyDescent="0.2">
      <c r="E147" s="685" t="s">
        <v>580</v>
      </c>
      <c r="F147" s="302">
        <f t="shared" si="8"/>
        <v>5.0000000000000001E-3</v>
      </c>
      <c r="G147" s="685" t="s">
        <v>116</v>
      </c>
      <c r="I147" s="376" t="str">
        <f t="array" ref="I147" xml:space="preserve"> IF( INDEX(J147:T147, I$5) = "", IF( INDEX(J147:T147, I$6) = F147, "vw", "tu"), IF(INDEX(J147:T147, I$5) = F147, "vw", "tu"))</f>
        <v>vw</v>
      </c>
      <c r="K147" s="750">
        <v>5.0000000000000001E-3</v>
      </c>
      <c r="L147" s="750">
        <v>5.0000000000000001E-3</v>
      </c>
      <c r="M147" s="750">
        <v>5.0000000000000001E-3</v>
      </c>
      <c r="O147" s="306"/>
      <c r="P147" s="306"/>
      <c r="Q147" s="306"/>
      <c r="R147" s="306"/>
      <c r="S147" s="306"/>
      <c r="T147" s="305"/>
    </row>
    <row r="148" spans="1:27" outlineLevel="1" x14ac:dyDescent="0.2">
      <c r="E148" s="685"/>
      <c r="F148" s="837"/>
      <c r="G148" s="685"/>
      <c r="I148" s="376"/>
      <c r="K148" s="115"/>
      <c r="L148" s="115"/>
      <c r="M148" s="115"/>
    </row>
    <row r="150" spans="1:27" x14ac:dyDescent="0.2">
      <c r="A150" s="1" t="s">
        <v>159</v>
      </c>
      <c r="I150" s="376"/>
    </row>
    <row r="151" spans="1:27" outlineLevel="1" x14ac:dyDescent="0.2">
      <c r="I151" s="376"/>
    </row>
    <row r="152" spans="1:27" s="734" customFormat="1" outlineLevel="1" x14ac:dyDescent="0.2">
      <c r="A152" s="732"/>
      <c r="B152" s="672" t="s">
        <v>496</v>
      </c>
      <c r="C152" s="733"/>
      <c r="D152" s="732"/>
      <c r="E152" s="114"/>
      <c r="F152" s="114"/>
      <c r="G152" s="114"/>
      <c r="I152" s="114"/>
      <c r="J152" s="735"/>
      <c r="K152" s="114"/>
      <c r="L152" s="114"/>
      <c r="M152" s="114"/>
      <c r="N152" s="736"/>
      <c r="O152" s="114"/>
      <c r="P152" s="114"/>
      <c r="Q152" s="114"/>
      <c r="R152" s="114"/>
      <c r="S152" s="114"/>
      <c r="T152" s="675"/>
      <c r="U152" s="114"/>
      <c r="V152" s="114"/>
      <c r="W152" s="114"/>
      <c r="X152" s="114"/>
      <c r="Y152" s="114"/>
      <c r="Z152" s="114"/>
      <c r="AA152" s="114"/>
    </row>
    <row r="153" spans="1:27" s="734" customFormat="1" outlineLevel="2" x14ac:dyDescent="0.2">
      <c r="A153" s="732"/>
      <c r="B153" s="672"/>
      <c r="C153" s="733"/>
      <c r="D153" s="732"/>
      <c r="E153" s="732" t="s">
        <v>497</v>
      </c>
      <c r="F153" s="728">
        <f xml:space="preserve"> IF( INDEX(J153:T153, InpC!$I$4) = "", INDEX(J153:S153, InpC!$I$6), INDEX(J153:T153, InpC!$I$4))</f>
        <v>1</v>
      </c>
      <c r="G153" s="664" t="s">
        <v>498</v>
      </c>
      <c r="I153" s="737" t="str">
        <f t="array" ref="I153" xml:space="preserve"> IF( INDEX(J153:T153, InpC!I$5) = "", IF( INDEX(J153:T153, InpC!I$6) = F153, "vw", "tu"), IF(INDEX(J153:T153, InpC!I$5) = F153, "vw", "tu"))</f>
        <v>tu</v>
      </c>
      <c r="J153" s="729"/>
      <c r="K153" s="686">
        <v>1</v>
      </c>
      <c r="L153" s="686">
        <v>0</v>
      </c>
      <c r="M153" s="686">
        <v>0</v>
      </c>
      <c r="N153" s="730"/>
      <c r="O153" s="731"/>
      <c r="P153" s="731"/>
      <c r="Q153" s="731"/>
      <c r="R153" s="731"/>
      <c r="S153" s="731"/>
      <c r="T153" s="730">
        <v>1</v>
      </c>
      <c r="U153" s="114"/>
      <c r="V153" s="114"/>
      <c r="W153" s="114"/>
      <c r="X153" s="114"/>
      <c r="Y153" s="114"/>
      <c r="Z153" s="114"/>
      <c r="AA153" s="114"/>
    </row>
    <row r="154" spans="1:27" s="114" customFormat="1" outlineLevel="2" x14ac:dyDescent="0.2">
      <c r="A154" s="672"/>
      <c r="B154" s="672"/>
      <c r="C154" s="673"/>
      <c r="D154" s="674"/>
      <c r="E154" s="525"/>
      <c r="F154" s="525"/>
      <c r="G154" s="525"/>
      <c r="H154" s="525"/>
      <c r="I154" s="727"/>
      <c r="J154" s="675"/>
      <c r="K154" s="525"/>
      <c r="L154" s="525"/>
      <c r="M154" s="525"/>
      <c r="N154" s="675"/>
      <c r="O154" s="525"/>
      <c r="P154" s="525"/>
      <c r="Q154" s="525"/>
      <c r="R154" s="525"/>
      <c r="S154" s="525"/>
      <c r="T154" s="675"/>
    </row>
    <row r="155" spans="1:27" s="734" customFormat="1" outlineLevel="2" x14ac:dyDescent="0.2">
      <c r="A155" s="732"/>
      <c r="B155" s="732"/>
      <c r="C155" s="732"/>
      <c r="D155" s="732"/>
      <c r="E155" s="738" t="s">
        <v>499</v>
      </c>
      <c r="F155" s="739">
        <f xml:space="preserve"> IF( INDEX(J155:T155, InpC!$I$4) = "", INDEX(J155:S155, InpC!$I$6), INDEX(J155:T155, InpC!$I$4))</f>
        <v>0</v>
      </c>
      <c r="G155" s="740" t="s">
        <v>500</v>
      </c>
      <c r="I155" s="737" t="str">
        <f t="array" ref="I155" xml:space="preserve"> IF( INDEX(J155:T155, InpC!I$5) = "", IF( INDEX(J155:T155, InpC!I$6) = F155, "vw", "tu"), IF(INDEX(J155:T155, InpC!I$5) = F155, "vw", "tu"))</f>
        <v>vw</v>
      </c>
      <c r="J155" s="735"/>
      <c r="K155" s="741">
        <v>0</v>
      </c>
      <c r="L155" s="741">
        <v>0</v>
      </c>
      <c r="M155" s="741">
        <v>0</v>
      </c>
      <c r="N155" s="736"/>
      <c r="O155" s="741"/>
      <c r="P155" s="741"/>
      <c r="Q155" s="741"/>
      <c r="R155" s="741"/>
      <c r="S155" s="741"/>
      <c r="T155" s="675">
        <v>0</v>
      </c>
      <c r="U155" s="114"/>
      <c r="V155" s="114"/>
      <c r="W155" s="114"/>
      <c r="X155" s="114"/>
      <c r="Y155" s="114"/>
      <c r="Z155" s="114"/>
      <c r="AA155" s="114"/>
    </row>
    <row r="156" spans="1:27" s="734" customFormat="1" outlineLevel="2" x14ac:dyDescent="0.2">
      <c r="A156" s="732"/>
      <c r="B156" s="732"/>
      <c r="C156" s="732"/>
      <c r="D156" s="732"/>
      <c r="E156" s="114"/>
      <c r="F156" s="114"/>
      <c r="G156" s="114"/>
      <c r="I156" s="114"/>
      <c r="J156" s="735"/>
      <c r="K156" s="114"/>
      <c r="L156" s="114"/>
      <c r="M156" s="114"/>
      <c r="N156" s="736"/>
      <c r="O156" s="114"/>
      <c r="P156" s="114"/>
      <c r="Q156" s="114"/>
      <c r="R156" s="114"/>
      <c r="S156" s="114"/>
      <c r="T156" s="675"/>
      <c r="U156" s="114"/>
      <c r="V156" s="114"/>
      <c r="W156" s="114"/>
      <c r="X156" s="114"/>
      <c r="Y156" s="114"/>
      <c r="Z156" s="114"/>
      <c r="AA156" s="114"/>
    </row>
    <row r="157" spans="1:27" s="734" customFormat="1" outlineLevel="2" x14ac:dyDescent="0.2">
      <c r="A157" s="732"/>
      <c r="B157" s="732"/>
      <c r="C157" s="732"/>
      <c r="D157" s="732"/>
      <c r="E157" s="742" t="s">
        <v>501</v>
      </c>
      <c r="F157" s="739">
        <f xml:space="preserve"> IF( INDEX(J157:T157, InpC!$I$4) = "", INDEX(J157:S157, InpC!$I$6), INDEX(J157:T157, InpC!$I$4))</f>
        <v>360</v>
      </c>
      <c r="G157" s="742" t="s">
        <v>161</v>
      </c>
      <c r="I157" s="737" t="str">
        <f t="array" ref="I157" xml:space="preserve"> IF( INDEX(J157:T157, InpC!I$5) = "", IF( INDEX(J157:T157, InpC!I$6) = F157, "vw", "tu"), IF(INDEX(J157:T157, InpC!I$5) = F157, "vw", "tu"))</f>
        <v>vw</v>
      </c>
      <c r="J157" s="735"/>
      <c r="K157" s="743">
        <v>360</v>
      </c>
      <c r="L157" s="743">
        <v>360</v>
      </c>
      <c r="M157" s="743">
        <v>360</v>
      </c>
      <c r="N157" s="736"/>
      <c r="O157" s="743"/>
      <c r="P157" s="743"/>
      <c r="Q157" s="743"/>
      <c r="R157" s="743"/>
      <c r="S157" s="743"/>
      <c r="T157" s="675"/>
      <c r="U157" s="114"/>
      <c r="V157" s="114"/>
      <c r="W157" s="114"/>
      <c r="X157" s="114"/>
      <c r="Y157" s="114"/>
      <c r="Z157" s="114"/>
      <c r="AA157" s="114"/>
    </row>
    <row r="158" spans="1:27" s="734" customFormat="1" outlineLevel="2" x14ac:dyDescent="0.2">
      <c r="A158" s="732"/>
      <c r="B158" s="732"/>
      <c r="C158" s="732"/>
      <c r="D158" s="732"/>
      <c r="E158" s="114"/>
      <c r="F158" s="114"/>
      <c r="G158" s="114"/>
      <c r="I158" s="114"/>
      <c r="J158" s="735"/>
      <c r="K158" s="114"/>
      <c r="L158" s="114"/>
      <c r="M158" s="114"/>
      <c r="N158" s="736"/>
      <c r="O158" s="114"/>
      <c r="P158" s="114"/>
      <c r="Q158" s="114"/>
      <c r="R158" s="114"/>
      <c r="S158" s="114"/>
      <c r="T158" s="675"/>
      <c r="U158" s="114"/>
      <c r="V158" s="114"/>
      <c r="W158" s="114"/>
      <c r="X158" s="114"/>
      <c r="Y158" s="114"/>
      <c r="Z158" s="114"/>
      <c r="AA158" s="114"/>
    </row>
    <row r="159" spans="1:27" s="734" customFormat="1" outlineLevel="2" x14ac:dyDescent="0.2">
      <c r="A159" s="732"/>
      <c r="B159" s="732"/>
      <c r="C159" s="732"/>
      <c r="D159" s="732"/>
      <c r="E159" s="740" t="s">
        <v>502</v>
      </c>
      <c r="F159" s="739">
        <f xml:space="preserve"> IF( INDEX(J159:T159, InpC!$I$4) = "", INDEX(J159:S159, InpC!$I$6), INDEX(J159:T159, InpC!$I$4))</f>
        <v>1</v>
      </c>
      <c r="G159" s="744" t="s">
        <v>79</v>
      </c>
      <c r="I159" s="737" t="str">
        <f t="array" ref="I159" xml:space="preserve"> IF( INDEX(J159:T159, InpC!I$5) = "", IF( INDEX(J159:T159, InpC!I$6) = F159, "vw", "tu"), IF(INDEX(J159:T159, InpC!I$5) = F159, "vw", "tu"))</f>
        <v>vw</v>
      </c>
      <c r="J159" s="735"/>
      <c r="K159" s="745">
        <v>1</v>
      </c>
      <c r="L159" s="745">
        <v>1</v>
      </c>
      <c r="M159" s="745">
        <v>1</v>
      </c>
      <c r="N159" s="736"/>
      <c r="O159" s="745"/>
      <c r="P159" s="745"/>
      <c r="Q159" s="745"/>
      <c r="R159" s="745"/>
      <c r="S159" s="745"/>
      <c r="T159" s="675"/>
      <c r="U159" s="114"/>
      <c r="V159" s="114"/>
      <c r="W159" s="114"/>
      <c r="X159" s="114"/>
      <c r="Y159" s="114"/>
      <c r="Z159" s="114"/>
      <c r="AA159" s="114"/>
    </row>
    <row r="160" spans="1:27" s="734" customFormat="1" outlineLevel="2" x14ac:dyDescent="0.2">
      <c r="A160" s="732"/>
      <c r="B160" s="732"/>
      <c r="C160" s="732"/>
      <c r="D160" s="732"/>
      <c r="E160" s="740" t="s">
        <v>503</v>
      </c>
      <c r="F160" s="739">
        <f xml:space="preserve"> IF( INDEX(J160:T160, InpC!$I$4) = "", INDEX(J160:S160, InpC!$I$6), INDEX(J160:T160, InpC!$I$4))</f>
        <v>0</v>
      </c>
      <c r="G160" s="744" t="s">
        <v>29</v>
      </c>
      <c r="I160" s="737" t="str">
        <f t="array" ref="I160" xml:space="preserve"> IF( INDEX(J160:T160, InpC!I$5) = "", IF( INDEX(J160:T160, InpC!I$6) = F160, "vw", "tu"), IF(INDEX(J160:T160, InpC!I$5) = F160, "vw", "tu"))</f>
        <v>vw</v>
      </c>
      <c r="J160" s="735"/>
      <c r="K160" s="832">
        <v>0</v>
      </c>
      <c r="L160" s="832">
        <v>0</v>
      </c>
      <c r="M160" s="832">
        <v>0</v>
      </c>
      <c r="N160" s="736"/>
      <c r="O160" s="745"/>
      <c r="P160" s="745"/>
      <c r="Q160" s="745"/>
      <c r="R160" s="745"/>
      <c r="S160" s="745"/>
      <c r="T160" s="675"/>
      <c r="U160" s="114"/>
      <c r="V160" s="114"/>
      <c r="W160" s="114"/>
      <c r="X160" s="114"/>
      <c r="Y160" s="114"/>
      <c r="Z160" s="114"/>
      <c r="AA160" s="114"/>
    </row>
    <row r="161" spans="1:27" s="734" customFormat="1" outlineLevel="2" x14ac:dyDescent="0.2">
      <c r="A161" s="732"/>
      <c r="B161" s="732"/>
      <c r="C161" s="732"/>
      <c r="D161" s="732"/>
      <c r="E161" s="114"/>
      <c r="F161" s="114"/>
      <c r="G161" s="114"/>
      <c r="I161" s="114"/>
      <c r="J161" s="735"/>
      <c r="K161" s="114"/>
      <c r="L161" s="114"/>
      <c r="M161" s="114"/>
      <c r="N161" s="736"/>
      <c r="O161" s="114"/>
      <c r="P161" s="114"/>
      <c r="Q161" s="114"/>
      <c r="R161" s="114"/>
      <c r="S161" s="114"/>
      <c r="T161" s="675"/>
      <c r="U161" s="114"/>
      <c r="V161" s="114"/>
      <c r="W161" s="114"/>
      <c r="X161" s="114"/>
      <c r="Y161" s="114"/>
      <c r="Z161" s="114"/>
      <c r="AA161" s="114"/>
    </row>
    <row r="162" spans="1:27" s="734" customFormat="1" outlineLevel="2" x14ac:dyDescent="0.2">
      <c r="A162" s="732"/>
      <c r="B162" s="732"/>
      <c r="C162" s="732"/>
      <c r="D162" s="732"/>
      <c r="E162" s="746" t="s">
        <v>504</v>
      </c>
      <c r="F162" s="747">
        <f xml:space="preserve"> IF( INDEX(J162:T162, InpC!$I$4) = "", INDEX(J162:S162, InpC!$I$6), INDEX(J162:T162, InpC!$I$4))</f>
        <v>1</v>
      </c>
      <c r="G162" s="748" t="s">
        <v>103</v>
      </c>
      <c r="I162" s="737" t="str">
        <f t="array" ref="I162" xml:space="preserve"> IF( INDEX(J162:T162, InpC!I$5) = "", IF( INDEX(J162:T162, InpC!I$6) = F162, "vw", "tu"), IF(INDEX(J162:T162, InpC!I$5) = F162, "vw", "tu"))</f>
        <v>vw</v>
      </c>
      <c r="J162" s="735"/>
      <c r="K162" s="492">
        <v>1</v>
      </c>
      <c r="L162" s="492">
        <v>1</v>
      </c>
      <c r="M162" s="492">
        <v>1</v>
      </c>
      <c r="N162" s="736"/>
      <c r="O162" s="492"/>
      <c r="P162" s="492"/>
      <c r="Q162" s="492"/>
      <c r="R162" s="492"/>
      <c r="S162" s="492"/>
      <c r="T162" s="675"/>
      <c r="U162" s="114"/>
      <c r="V162" s="114"/>
      <c r="W162" s="114"/>
      <c r="X162" s="114"/>
      <c r="Y162" s="114"/>
      <c r="Z162" s="114"/>
      <c r="AA162" s="114"/>
    </row>
    <row r="163" spans="1:27" s="734" customFormat="1" outlineLevel="2" x14ac:dyDescent="0.2">
      <c r="A163" s="732"/>
      <c r="B163" s="732"/>
      <c r="C163" s="732"/>
      <c r="D163" s="732"/>
      <c r="E163" s="282" t="s">
        <v>505</v>
      </c>
      <c r="F163" s="749">
        <f xml:space="preserve"> IF( INDEX(J163:T163, InpC!$I$4) = "", INDEX(J163:S163, InpC!$I$6), INDEX(J163:T163, InpC!$I$4))</f>
        <v>1.4999999999999999E-2</v>
      </c>
      <c r="G163" s="282" t="s">
        <v>116</v>
      </c>
      <c r="I163" s="737" t="str">
        <f t="array" ref="I163" xml:space="preserve"> IF( INDEX(J163:T163, InpC!I$5) = "", IF( INDEX(J163:T163, InpC!I$6) = F163, "vw", "tu"), IF(INDEX(J163:T163, InpC!I$5) = F163, "vw", "tu"))</f>
        <v>tu</v>
      </c>
      <c r="J163" s="735"/>
      <c r="K163" s="750">
        <v>1.4999999999999999E-2</v>
      </c>
      <c r="L163" s="750">
        <v>0.01</v>
      </c>
      <c r="M163" s="750">
        <v>0.01</v>
      </c>
      <c r="N163" s="736"/>
      <c r="O163" s="750"/>
      <c r="P163" s="750"/>
      <c r="Q163" s="750"/>
      <c r="R163" s="750"/>
      <c r="S163" s="750"/>
      <c r="T163" s="675"/>
      <c r="U163" s="114"/>
      <c r="V163" s="114"/>
      <c r="W163" s="114"/>
      <c r="X163" s="114"/>
      <c r="Y163" s="114"/>
      <c r="Z163" s="114"/>
      <c r="AA163" s="114"/>
    </row>
    <row r="164" spans="1:27" s="734" customFormat="1" outlineLevel="2" x14ac:dyDescent="0.2">
      <c r="A164" s="732"/>
      <c r="B164" s="732"/>
      <c r="C164" s="732"/>
      <c r="D164" s="732"/>
      <c r="E164" s="114"/>
      <c r="F164" s="114"/>
      <c r="G164" s="114"/>
      <c r="I164" s="114"/>
      <c r="J164" s="735"/>
      <c r="K164" s="114"/>
      <c r="L164" s="114"/>
      <c r="M164" s="114"/>
      <c r="N164" s="736"/>
      <c r="O164" s="114"/>
      <c r="P164" s="114"/>
      <c r="Q164" s="114"/>
      <c r="R164" s="114"/>
      <c r="S164" s="114"/>
      <c r="T164" s="675"/>
      <c r="U164" s="114"/>
      <c r="V164" s="114"/>
      <c r="W164" s="114"/>
      <c r="X164" s="114"/>
      <c r="Y164" s="114"/>
      <c r="Z164" s="114"/>
      <c r="AA164" s="114"/>
    </row>
    <row r="165" spans="1:27" s="734" customFormat="1" outlineLevel="2" x14ac:dyDescent="0.2">
      <c r="A165" s="732"/>
      <c r="B165" s="732"/>
      <c r="C165" s="732"/>
      <c r="D165" s="732"/>
      <c r="E165" s="748" t="s">
        <v>506</v>
      </c>
      <c r="F165" s="747">
        <f xml:space="preserve"> IF( INDEX(J165:T165, InpC!$I$4) = "", INDEX(J165:S165, InpC!$I$6), INDEX(J165:T165, InpC!$I$4))</f>
        <v>2.5000000000000001E-2</v>
      </c>
      <c r="G165" s="748" t="s">
        <v>116</v>
      </c>
      <c r="I165" s="737" t="str">
        <f t="array" ref="I165" xml:space="preserve"> IF( INDEX(J165:T165, InpC!I$5) = "", IF( INDEX(J165:T165, InpC!I$6) = F165, "vw", "tu"), IF(INDEX(J165:T165, InpC!I$5) = F165, "vw", "tu"))</f>
        <v>tu</v>
      </c>
      <c r="J165" s="735"/>
      <c r="K165" s="492">
        <v>2.5000000000000001E-2</v>
      </c>
      <c r="L165" s="492">
        <v>1.4999999999999999E-2</v>
      </c>
      <c r="M165" s="492">
        <v>1.4999999999999999E-2</v>
      </c>
      <c r="N165" s="736"/>
      <c r="O165" s="492"/>
      <c r="P165" s="492"/>
      <c r="Q165" s="492"/>
      <c r="R165" s="492"/>
      <c r="S165" s="492"/>
      <c r="T165" s="675"/>
      <c r="U165" s="114"/>
      <c r="V165" s="114"/>
      <c r="W165" s="114"/>
      <c r="X165" s="114"/>
      <c r="Y165" s="114"/>
      <c r="Z165" s="114"/>
      <c r="AA165" s="114"/>
    </row>
    <row r="166" spans="1:27" s="734" customFormat="1" outlineLevel="2" x14ac:dyDescent="0.2">
      <c r="A166" s="732"/>
      <c r="B166" s="732"/>
      <c r="C166" s="732"/>
      <c r="D166" s="732"/>
      <c r="E166" s="748" t="s">
        <v>507</v>
      </c>
      <c r="F166" s="747">
        <f xml:space="preserve"> IF( INDEX(J166:T166, InpC!$I$4) = "", INDEX(J166:S166, InpC!$I$6), INDEX(J166:T166, InpC!$I$4))</f>
        <v>2.5000000000000001E-2</v>
      </c>
      <c r="G166" s="748" t="s">
        <v>116</v>
      </c>
      <c r="I166" s="737" t="str">
        <f t="array" ref="I166" xml:space="preserve"> IF( INDEX(J166:T166, InpC!I$5) = "", IF( INDEX(J166:T166, InpC!I$6) = F166, "vw", "tu"), IF(INDEX(J166:T166, InpC!I$5) = F166, "vw", "tu"))</f>
        <v>tu</v>
      </c>
      <c r="J166" s="735"/>
      <c r="K166" s="492">
        <v>2.5000000000000001E-2</v>
      </c>
      <c r="L166" s="492">
        <v>1.4999999999999999E-2</v>
      </c>
      <c r="M166" s="492">
        <v>1.4999999999999999E-2</v>
      </c>
      <c r="N166" s="736"/>
      <c r="O166" s="492"/>
      <c r="P166" s="492"/>
      <c r="Q166" s="492"/>
      <c r="R166" s="492"/>
      <c r="S166" s="492"/>
      <c r="T166" s="675"/>
      <c r="U166" s="114"/>
      <c r="V166" s="114"/>
      <c r="W166" s="114"/>
      <c r="X166" s="114"/>
      <c r="Y166" s="114"/>
      <c r="Z166" s="114"/>
      <c r="AA166" s="114"/>
    </row>
    <row r="167" spans="1:27" s="734" customFormat="1" outlineLevel="2" x14ac:dyDescent="0.2">
      <c r="A167" s="732"/>
      <c r="B167" s="732"/>
      <c r="C167" s="732"/>
      <c r="D167" s="732"/>
      <c r="E167" s="748" t="s">
        <v>845</v>
      </c>
      <c r="F167" s="747">
        <f xml:space="preserve"> IF( INDEX(J167:T167, InpC!$I$4) = "", INDEX(J167:S167, InpC!$I$6), INDEX(J167:T167, InpC!$I$4))</f>
        <v>1.4999999999999999E-2</v>
      </c>
      <c r="G167" s="748" t="s">
        <v>103</v>
      </c>
      <c r="I167" s="737" t="str">
        <f t="array" ref="I167" xml:space="preserve"> IF( INDEX(J167:T167, InpC!I$5) = "", IF( INDEX(J167:T167, InpC!I$6) = F167, "vw", "tu"), IF(INDEX(J167:T167, InpC!I$5) = F167, "vw", "tu"))</f>
        <v>vw</v>
      </c>
      <c r="J167" s="735"/>
      <c r="K167" s="492">
        <v>1.4999999999999999E-2</v>
      </c>
      <c r="L167" s="492">
        <v>1.4999999999999999E-2</v>
      </c>
      <c r="M167" s="492">
        <v>1.4999999999999999E-2</v>
      </c>
      <c r="N167" s="736"/>
      <c r="O167" s="492"/>
      <c r="P167" s="492"/>
      <c r="Q167" s="492"/>
      <c r="R167" s="492"/>
      <c r="S167" s="492"/>
      <c r="T167" s="675"/>
      <c r="U167" s="114"/>
      <c r="V167" s="114"/>
      <c r="W167" s="114"/>
      <c r="X167" s="114"/>
      <c r="Y167" s="114"/>
      <c r="Z167" s="114"/>
      <c r="AA167" s="114"/>
    </row>
    <row r="168" spans="1:27" s="734" customFormat="1" outlineLevel="2" x14ac:dyDescent="0.2">
      <c r="A168" s="732"/>
      <c r="B168" s="732"/>
      <c r="C168" s="732"/>
      <c r="D168" s="732"/>
      <c r="E168" s="748" t="s">
        <v>846</v>
      </c>
      <c r="F168" s="747">
        <f xml:space="preserve"> IF( INDEX(J168:T168, InpC!$I$4) = "", INDEX(J168:S168, InpC!$I$6), INDEX(J168:T168, InpC!$I$4))</f>
        <v>0.3</v>
      </c>
      <c r="G168" s="748" t="s">
        <v>510</v>
      </c>
      <c r="I168" s="737" t="str">
        <f t="array" ref="I168" xml:space="preserve"> IF( INDEX(J168:T168, InpC!I$5) = "", IF( INDEX(J168:T168, InpC!I$6) = F168, "vw", "tu"), IF(INDEX(J168:T168, InpC!I$5) = F168, "vw", "tu"))</f>
        <v>vw</v>
      </c>
      <c r="J168" s="735"/>
      <c r="K168" s="492">
        <v>0.3</v>
      </c>
      <c r="L168" s="492">
        <v>0.3</v>
      </c>
      <c r="M168" s="492">
        <v>0.3</v>
      </c>
      <c r="N168" s="736"/>
      <c r="O168" s="492"/>
      <c r="P168" s="492"/>
      <c r="Q168" s="492"/>
      <c r="R168" s="492"/>
      <c r="S168" s="492"/>
      <c r="T168" s="675"/>
      <c r="U168" s="114"/>
      <c r="V168" s="114"/>
      <c r="W168" s="114"/>
      <c r="X168" s="114"/>
      <c r="Y168" s="114"/>
      <c r="Z168" s="114"/>
      <c r="AA168" s="114"/>
    </row>
    <row r="169" spans="1:27" outlineLevel="1" x14ac:dyDescent="0.2">
      <c r="I169" s="376"/>
    </row>
    <row r="170" spans="1:27" outlineLevel="1" x14ac:dyDescent="0.2">
      <c r="B170" s="1" t="s">
        <v>284</v>
      </c>
      <c r="I170" s="376"/>
    </row>
    <row r="171" spans="1:27" outlineLevel="2" x14ac:dyDescent="0.2">
      <c r="E171" s="685" t="s">
        <v>903</v>
      </c>
      <c r="F171" s="302">
        <f xml:space="preserve"> IF( INDEX(J171:T171, $I$4) = "", INDEX(J171:S171, $I$6), INDEX(J171:T171, $I$4))</f>
        <v>0.5</v>
      </c>
      <c r="G171" s="685" t="s">
        <v>103</v>
      </c>
      <c r="H171" s="685"/>
      <c r="I171" s="843" t="str">
        <f t="array" ref="I171" xml:space="preserve"> IF( INDEX(J171:T171, I$5) = "", IF( INDEX(J171:T171, I$6) = F171, "vw", "tu"), IF(INDEX(J171:T171, I$5) = F171, "vw", "tu"))</f>
        <v>tu</v>
      </c>
      <c r="J171" s="303"/>
      <c r="K171" s="676">
        <v>0.5</v>
      </c>
      <c r="L171" s="676">
        <v>0.65</v>
      </c>
      <c r="M171" s="676">
        <v>0.65</v>
      </c>
      <c r="N171" s="677"/>
      <c r="O171" s="1101"/>
      <c r="P171" s="1101"/>
      <c r="Q171" s="1101"/>
      <c r="R171" s="1101"/>
      <c r="S171" s="1101"/>
      <c r="T171" s="677">
        <v>0.5</v>
      </c>
    </row>
    <row r="172" spans="1:27" outlineLevel="2" x14ac:dyDescent="0.2">
      <c r="E172" s="685" t="s">
        <v>904</v>
      </c>
      <c r="F172" s="302">
        <f xml:space="preserve"> 1 - F171</f>
        <v>0.5</v>
      </c>
      <c r="G172" s="685" t="s">
        <v>103</v>
      </c>
      <c r="H172" s="685"/>
      <c r="I172" s="727"/>
      <c r="J172" s="675"/>
      <c r="K172" s="525"/>
      <c r="L172" s="525"/>
      <c r="M172" s="525"/>
      <c r="N172" s="675"/>
      <c r="O172" s="525"/>
      <c r="P172" s="525"/>
      <c r="Q172" s="525"/>
      <c r="R172" s="525"/>
      <c r="S172" s="525"/>
      <c r="T172" s="675"/>
    </row>
    <row r="173" spans="1:27" outlineLevel="2" x14ac:dyDescent="0.2">
      <c r="E173" s="685" t="s">
        <v>1035</v>
      </c>
      <c r="F173" s="478">
        <f xml:space="preserve"> IF(SUM(F171:F172) &lt;&gt; 1, 1, 0)</f>
        <v>0</v>
      </c>
      <c r="G173" s="685" t="s">
        <v>20</v>
      </c>
      <c r="H173" s="685"/>
      <c r="I173" s="727"/>
      <c r="J173" s="675"/>
      <c r="K173" s="525"/>
      <c r="L173" s="525"/>
      <c r="M173" s="525"/>
      <c r="N173" s="675"/>
      <c r="O173" s="525"/>
      <c r="P173" s="525"/>
      <c r="Q173" s="525"/>
      <c r="R173" s="525"/>
      <c r="S173" s="525"/>
      <c r="T173" s="675"/>
    </row>
    <row r="174" spans="1:27" outlineLevel="2" x14ac:dyDescent="0.2">
      <c r="I174" s="376"/>
    </row>
    <row r="175" spans="1:27" outlineLevel="2" x14ac:dyDescent="0.2">
      <c r="C175" s="19" t="s">
        <v>891</v>
      </c>
      <c r="I175" s="376"/>
    </row>
    <row r="176" spans="1:27" s="494" customFormat="1" outlineLevel="2" x14ac:dyDescent="0.2">
      <c r="A176" s="284"/>
      <c r="B176" s="284"/>
      <c r="C176" s="285"/>
      <c r="D176" s="286"/>
      <c r="E176" s="301" t="s">
        <v>893</v>
      </c>
      <c r="F176" s="302">
        <f xml:space="preserve"> IF( INDEX(J176:T176, $I$4) = "", INDEX(J176:S176, $I$6), INDEX(J176:T176, $I$4))</f>
        <v>0.02</v>
      </c>
      <c r="G176" s="301" t="s">
        <v>103</v>
      </c>
      <c r="H176" s="301"/>
      <c r="I176" s="404" t="str">
        <f t="array" ref="I176" xml:space="preserve"> IF( INDEX(J176:T176, I$5) = "", IF( INDEX(J176:T176, I$6) = F176, "vw", "tu"), IF(INDEX(J176:T176, I$5) = F176, "vw", "tu"))</f>
        <v>tu</v>
      </c>
      <c r="J176" s="303"/>
      <c r="K176" s="304">
        <v>0.02</v>
      </c>
      <c r="L176" s="304">
        <v>1.4999999999999999E-2</v>
      </c>
      <c r="M176" s="304">
        <v>1.4999999999999999E-2</v>
      </c>
      <c r="N176" s="305"/>
      <c r="O176" s="306"/>
      <c r="P176" s="306"/>
      <c r="Q176" s="306"/>
      <c r="R176" s="306"/>
      <c r="S176" s="306"/>
      <c r="T176" s="305"/>
    </row>
    <row r="177" spans="1:20" outlineLevel="2" x14ac:dyDescent="0.2">
      <c r="E177" s="6"/>
      <c r="F177" s="6"/>
      <c r="G177" s="6"/>
      <c r="H177" s="6"/>
      <c r="I177" s="426"/>
      <c r="J177" s="256"/>
    </row>
    <row r="178" spans="1:20" s="494" customFormat="1" outlineLevel="2" x14ac:dyDescent="0.2">
      <c r="A178" s="284"/>
      <c r="B178" s="284"/>
      <c r="C178" s="285"/>
      <c r="D178" s="286"/>
      <c r="E178" s="301" t="s">
        <v>894</v>
      </c>
      <c r="F178" s="302">
        <f xml:space="preserve"> IF( INDEX(J178:T178, $I$4) = "", INDEX(J178:S178, $I$6), INDEX(J178:T178, $I$4))</f>
        <v>1.4999999999999999E-2</v>
      </c>
      <c r="G178" s="301" t="s">
        <v>116</v>
      </c>
      <c r="H178" s="301"/>
      <c r="I178" s="404" t="str">
        <f t="array" ref="I178" xml:space="preserve"> IF( INDEX(J178:T178, I$5) = "", IF( INDEX(J178:T178, I$6) = F178, "vw", "tu"), IF(INDEX(J178:T178, I$5) = F178, "vw", "tu"))</f>
        <v>tu</v>
      </c>
      <c r="J178" s="303"/>
      <c r="K178" s="304">
        <v>1.4999999999999999E-2</v>
      </c>
      <c r="L178" s="304">
        <v>0.02</v>
      </c>
      <c r="M178" s="304">
        <v>0.02</v>
      </c>
      <c r="N178" s="305"/>
      <c r="O178" s="306"/>
      <c r="P178" s="306"/>
      <c r="Q178" s="306"/>
      <c r="R178" s="306"/>
      <c r="S178" s="306"/>
      <c r="T178" s="305"/>
    </row>
    <row r="179" spans="1:20" outlineLevel="2" x14ac:dyDescent="0.2">
      <c r="E179" s="301" t="s">
        <v>895</v>
      </c>
      <c r="F179" s="302">
        <f xml:space="preserve"> IF( INDEX(J179:T179, $I$4) = "", INDEX(J179:S179, $I$6), INDEX(J179:T179, $I$4))</f>
        <v>2.5000000000000001E-2</v>
      </c>
      <c r="G179" s="301" t="s">
        <v>116</v>
      </c>
      <c r="H179" s="301"/>
      <c r="I179" s="404" t="str">
        <f t="array" ref="I179" xml:space="preserve"> IF( INDEX(J179:T179, I$5) = "", IF( INDEX(J179:T179, I$6) = F179, "vw", "tu"), IF(INDEX(J179:T179, I$5) = F179, "vw", "tu"))</f>
        <v>tu</v>
      </c>
      <c r="J179" s="303"/>
      <c r="K179" s="304">
        <v>2.5000000000000001E-2</v>
      </c>
      <c r="L179" s="304">
        <v>0.02</v>
      </c>
      <c r="M179" s="304">
        <v>0.02</v>
      </c>
      <c r="N179" s="305"/>
      <c r="O179" s="306"/>
      <c r="P179" s="306"/>
      <c r="Q179" s="306"/>
      <c r="R179" s="306"/>
      <c r="S179" s="306"/>
      <c r="T179" s="305"/>
    </row>
    <row r="180" spans="1:20" outlineLevel="2" x14ac:dyDescent="0.2">
      <c r="E180" s="301"/>
      <c r="F180" s="6"/>
      <c r="G180" s="301"/>
      <c r="H180" s="301"/>
      <c r="I180" s="404"/>
      <c r="J180" s="303"/>
    </row>
    <row r="181" spans="1:20" s="494" customFormat="1" outlineLevel="2" x14ac:dyDescent="0.2">
      <c r="A181" s="284"/>
      <c r="B181" s="284"/>
      <c r="C181" s="285"/>
      <c r="D181" s="286"/>
      <c r="E181" s="301" t="s">
        <v>896</v>
      </c>
      <c r="F181" s="302">
        <f xml:space="preserve"> IF( INDEX(J181:T181, $I$4) = "", INDEX(J181:S181, $I$6), INDEX(J181:T181, $I$4))</f>
        <v>0.3</v>
      </c>
      <c r="G181" s="301" t="s">
        <v>510</v>
      </c>
      <c r="H181" s="301"/>
      <c r="I181" s="404" t="str">
        <f t="array" ref="I181" xml:space="preserve"> IF( INDEX(J181:T181, I$5) = "", IF( INDEX(J181:T181, I$6) = F181, "vw", "tu"), IF(INDEX(J181:T181, I$5) = F181, "vw", "tu"))</f>
        <v>tu</v>
      </c>
      <c r="J181" s="303"/>
      <c r="K181" s="304">
        <v>0.3</v>
      </c>
      <c r="L181" s="304">
        <v>0.35</v>
      </c>
      <c r="M181" s="304">
        <v>0.35</v>
      </c>
      <c r="N181" s="305"/>
      <c r="O181" s="306"/>
      <c r="P181" s="306"/>
      <c r="Q181" s="306"/>
      <c r="R181" s="306"/>
      <c r="S181" s="306"/>
      <c r="T181" s="305"/>
    </row>
    <row r="182" spans="1:20" s="494" customFormat="1" outlineLevel="2" x14ac:dyDescent="0.2">
      <c r="A182" s="284"/>
      <c r="B182" s="284"/>
      <c r="C182" s="285"/>
      <c r="D182" s="286"/>
      <c r="E182" s="842" t="s">
        <v>897</v>
      </c>
      <c r="F182" s="302">
        <f xml:space="preserve"> F179 * F181</f>
        <v>7.4999999999999997E-3</v>
      </c>
      <c r="G182" s="301" t="s">
        <v>116</v>
      </c>
      <c r="H182" s="301"/>
      <c r="I182" s="404"/>
      <c r="J182" s="303"/>
      <c r="K182" s="12"/>
      <c r="L182" s="12"/>
      <c r="M182" s="12"/>
      <c r="N182" s="305"/>
      <c r="O182" s="12"/>
      <c r="P182" s="12"/>
      <c r="Q182" s="12"/>
      <c r="R182" s="12"/>
      <c r="S182" s="12"/>
      <c r="T182" s="152"/>
    </row>
    <row r="183" spans="1:20" outlineLevel="2" x14ac:dyDescent="0.2"/>
    <row r="184" spans="1:20" outlineLevel="2" x14ac:dyDescent="0.2">
      <c r="C184" s="19" t="s">
        <v>892</v>
      </c>
      <c r="I184" s="376"/>
    </row>
    <row r="185" spans="1:20" s="494" customFormat="1" outlineLevel="2" x14ac:dyDescent="0.2">
      <c r="A185" s="284"/>
      <c r="B185" s="284"/>
      <c r="C185" s="285"/>
      <c r="D185" s="286"/>
      <c r="E185" s="301" t="s">
        <v>898</v>
      </c>
      <c r="F185" s="302">
        <f xml:space="preserve"> IF( INDEX(J185:T185, $I$4) = "", INDEX(J185:S185, $I$6), INDEX(J185:T185, $I$4))</f>
        <v>2.1999999999999999E-2</v>
      </c>
      <c r="G185" s="301" t="s">
        <v>103</v>
      </c>
      <c r="H185" s="301"/>
      <c r="I185" s="404" t="str">
        <f t="array" ref="I185" xml:space="preserve"> IF( INDEX(J185:T185, I$5) = "", IF( INDEX(J185:T185, I$6) = F185, "vw", "tu"), IF(INDEX(J185:T185, I$5) = F185, "vw", "tu"))</f>
        <v>tu</v>
      </c>
      <c r="J185" s="303"/>
      <c r="K185" s="304">
        <v>2.1999999999999999E-2</v>
      </c>
      <c r="L185" s="304">
        <v>1.4999999999999999E-2</v>
      </c>
      <c r="M185" s="304">
        <v>1.4999999999999999E-2</v>
      </c>
      <c r="N185" s="305"/>
      <c r="O185" s="306"/>
      <c r="P185" s="306"/>
      <c r="Q185" s="306"/>
      <c r="R185" s="306"/>
      <c r="S185" s="306"/>
      <c r="T185" s="305"/>
    </row>
    <row r="186" spans="1:20" outlineLevel="2" x14ac:dyDescent="0.2">
      <c r="E186" s="6"/>
      <c r="F186" s="6"/>
      <c r="G186" s="6"/>
      <c r="H186" s="6"/>
      <c r="I186" s="426"/>
      <c r="J186" s="256"/>
    </row>
    <row r="187" spans="1:20" s="494" customFormat="1" outlineLevel="2" x14ac:dyDescent="0.2">
      <c r="A187" s="284"/>
      <c r="B187" s="284"/>
      <c r="C187" s="285"/>
      <c r="D187" s="286"/>
      <c r="E187" s="301" t="s">
        <v>899</v>
      </c>
      <c r="F187" s="302">
        <f xml:space="preserve"> IF( INDEX(J187:T187, $I$4) = "", INDEX(J187:S187, $I$6), INDEX(J187:T187, $I$4))</f>
        <v>1.4999999999999999E-2</v>
      </c>
      <c r="G187" s="301" t="s">
        <v>116</v>
      </c>
      <c r="H187" s="301"/>
      <c r="I187" s="404" t="str">
        <f t="array" ref="I187" xml:space="preserve"> IF( INDEX(J187:T187, I$5) = "", IF( INDEX(J187:T187, I$6) = F187, "vw", "tu"), IF(INDEX(J187:T187, I$5) = F187, "vw", "tu"))</f>
        <v>tu</v>
      </c>
      <c r="J187" s="303"/>
      <c r="K187" s="304">
        <v>1.4999999999999999E-2</v>
      </c>
      <c r="L187" s="304">
        <v>0.02</v>
      </c>
      <c r="M187" s="304">
        <v>0.02</v>
      </c>
      <c r="N187" s="305"/>
      <c r="O187" s="306"/>
      <c r="P187" s="306"/>
      <c r="Q187" s="306"/>
      <c r="R187" s="306"/>
      <c r="S187" s="306"/>
      <c r="T187" s="305"/>
    </row>
    <row r="188" spans="1:20" outlineLevel="2" x14ac:dyDescent="0.2">
      <c r="E188" s="301" t="s">
        <v>900</v>
      </c>
      <c r="F188" s="302">
        <f xml:space="preserve"> IF( INDEX(J188:T188, $I$4) = "", INDEX(J188:S188, $I$6), INDEX(J188:T188, $I$4))</f>
        <v>2.7E-2</v>
      </c>
      <c r="G188" s="301" t="s">
        <v>116</v>
      </c>
      <c r="H188" s="301"/>
      <c r="I188" s="404" t="str">
        <f t="array" ref="I188" xml:space="preserve"> IF( INDEX(J188:T188, I$5) = "", IF( INDEX(J188:T188, I$6) = F188, "vw", "tu"), IF(INDEX(J188:T188, I$5) = F188, "vw", "tu"))</f>
        <v>tu</v>
      </c>
      <c r="J188" s="303"/>
      <c r="K188" s="304">
        <v>2.7E-2</v>
      </c>
      <c r="L188" s="304">
        <v>0.02</v>
      </c>
      <c r="M188" s="304">
        <v>0.02</v>
      </c>
      <c r="N188" s="305"/>
      <c r="O188" s="306"/>
      <c r="P188" s="306"/>
      <c r="Q188" s="306"/>
      <c r="R188" s="306"/>
      <c r="S188" s="306"/>
      <c r="T188" s="305"/>
    </row>
    <row r="189" spans="1:20" outlineLevel="2" x14ac:dyDescent="0.2">
      <c r="E189" s="301"/>
      <c r="F189" s="6"/>
      <c r="G189" s="301"/>
      <c r="H189" s="301"/>
      <c r="I189" s="404"/>
      <c r="J189" s="303"/>
    </row>
    <row r="190" spans="1:20" s="494" customFormat="1" outlineLevel="2" x14ac:dyDescent="0.2">
      <c r="A190" s="284"/>
      <c r="B190" s="284"/>
      <c r="C190" s="285"/>
      <c r="D190" s="286"/>
      <c r="E190" s="301" t="s">
        <v>901</v>
      </c>
      <c r="F190" s="302">
        <f xml:space="preserve"> IF( INDEX(J190:T190, $I$4) = "", INDEX(J190:S190, $I$6), INDEX(J190:T190, $I$4))</f>
        <v>0.3</v>
      </c>
      <c r="G190" s="301" t="s">
        <v>510</v>
      </c>
      <c r="H190" s="301"/>
      <c r="I190" s="404" t="str">
        <f t="array" ref="I190" xml:space="preserve"> IF( INDEX(J190:T190, I$5) = "", IF( INDEX(J190:T190, I$6) = F190, "vw", "tu"), IF(INDEX(J190:T190, I$5) = F190, "vw", "tu"))</f>
        <v>tu</v>
      </c>
      <c r="J190" s="303"/>
      <c r="K190" s="304">
        <v>0.3</v>
      </c>
      <c r="L190" s="304">
        <v>0.35</v>
      </c>
      <c r="M190" s="304">
        <v>0.35</v>
      </c>
      <c r="N190" s="305"/>
      <c r="O190" s="306"/>
      <c r="P190" s="306"/>
      <c r="Q190" s="306"/>
      <c r="R190" s="306"/>
      <c r="S190" s="306"/>
      <c r="T190" s="305"/>
    </row>
    <row r="191" spans="1:20" s="494" customFormat="1" outlineLevel="2" x14ac:dyDescent="0.2">
      <c r="A191" s="284"/>
      <c r="B191" s="284"/>
      <c r="C191" s="285"/>
      <c r="D191" s="286"/>
      <c r="E191" s="842" t="s">
        <v>902</v>
      </c>
      <c r="F191" s="302">
        <f xml:space="preserve"> F188 * F190</f>
        <v>8.0999999999999996E-3</v>
      </c>
      <c r="G191" s="301" t="s">
        <v>116</v>
      </c>
      <c r="H191" s="301"/>
      <c r="I191" s="404"/>
      <c r="J191" s="303"/>
      <c r="K191" s="12"/>
      <c r="L191" s="12"/>
      <c r="M191" s="12"/>
      <c r="N191" s="305"/>
      <c r="O191" s="12"/>
      <c r="P191" s="12"/>
      <c r="Q191" s="12"/>
      <c r="R191" s="12"/>
      <c r="S191" s="12"/>
      <c r="T191" s="152"/>
    </row>
    <row r="192" spans="1:20" outlineLevel="1" x14ac:dyDescent="0.2"/>
    <row r="193" spans="1:20" outlineLevel="1" x14ac:dyDescent="0.2">
      <c r="B193" s="1" t="s">
        <v>854</v>
      </c>
      <c r="I193" s="376"/>
    </row>
    <row r="194" spans="1:20" outlineLevel="2" x14ac:dyDescent="0.2">
      <c r="A194" s="284"/>
      <c r="B194" s="284"/>
      <c r="C194" s="285"/>
      <c r="D194" s="286"/>
      <c r="E194" s="301" t="s">
        <v>855</v>
      </c>
      <c r="F194" s="302">
        <f xml:space="preserve"> IF( INDEX(J194:T194, $I$4) = "", INDEX(J194:S194, $I$6), INDEX(J194:T194, $I$4))</f>
        <v>0.8</v>
      </c>
      <c r="G194" s="301" t="s">
        <v>103</v>
      </c>
      <c r="H194" s="301"/>
      <c r="I194" s="404" t="str">
        <f t="array" ref="I194" xml:space="preserve"> IF( INDEX(J194:T194, I$5) = "", IF( INDEX(J194:T194, I$6) = F194, "vw", "tu"), IF(INDEX(J194:T194, I$5) = F194, "vw", "tu"))</f>
        <v>tu</v>
      </c>
      <c r="J194" s="303"/>
      <c r="K194" s="304">
        <v>0.8</v>
      </c>
      <c r="L194" s="304">
        <v>0.6</v>
      </c>
      <c r="M194" s="304">
        <v>0.6</v>
      </c>
      <c r="N194" s="305"/>
      <c r="O194" s="306"/>
      <c r="P194" s="306"/>
      <c r="Q194" s="306"/>
      <c r="R194" s="306"/>
      <c r="S194" s="306"/>
      <c r="T194" s="305"/>
    </row>
    <row r="195" spans="1:20" outlineLevel="2" x14ac:dyDescent="0.2"/>
    <row r="196" spans="1:20" outlineLevel="2" x14ac:dyDescent="0.2">
      <c r="E196" s="6" t="s">
        <v>856</v>
      </c>
      <c r="F196" s="164">
        <f xml:space="preserve"> IF( INDEX(J196:T196, $I$4) = "", INDEX(J196:S196, $I$6), INDEX(J196:T196, $I$4))</f>
        <v>2</v>
      </c>
      <c r="G196" s="6" t="s">
        <v>188</v>
      </c>
      <c r="H196" s="6"/>
      <c r="I196" s="427" t="str">
        <f t="array" ref="I196" xml:space="preserve"> IF( INDEX(J196:T196, I$5) = "", IF( INDEX(J196:T196, I$6) = F196, "vw", "tu"), IF(INDEX(J196:T196, I$5) = F196, "vw", "tu"))</f>
        <v>vw</v>
      </c>
      <c r="J196" s="256"/>
      <c r="K196" s="289">
        <v>2</v>
      </c>
      <c r="L196" s="289">
        <v>2</v>
      </c>
      <c r="M196" s="289">
        <v>2</v>
      </c>
      <c r="N196" s="173"/>
      <c r="O196" s="307"/>
      <c r="P196" s="307"/>
      <c r="Q196" s="307"/>
      <c r="R196" s="307"/>
      <c r="S196" s="307"/>
      <c r="T196" s="173"/>
    </row>
    <row r="197" spans="1:20" outlineLevel="2" x14ac:dyDescent="0.2">
      <c r="A197" s="284"/>
      <c r="B197" s="284"/>
      <c r="C197" s="285"/>
      <c r="D197" s="286"/>
      <c r="E197" s="301" t="s">
        <v>857</v>
      </c>
      <c r="F197" s="302">
        <f xml:space="preserve"> IF( INDEX(J197:T197, $I$4) = "", INDEX(J197:S197, $I$6), INDEX(J197:T197, $I$4))</f>
        <v>1</v>
      </c>
      <c r="G197" s="301" t="s">
        <v>103</v>
      </c>
      <c r="H197" s="301"/>
      <c r="I197" s="404" t="str">
        <f t="array" ref="I197" xml:space="preserve"> IF( INDEX(J197:T197, I$5) = "", IF( INDEX(J197:T197, I$6) = F197, "vw", "tu"), IF(INDEX(J197:T197, I$5) = F197, "vw", "tu"))</f>
        <v>tu</v>
      </c>
      <c r="J197" s="303"/>
      <c r="K197" s="304">
        <v>1</v>
      </c>
      <c r="L197" s="304">
        <v>0.8</v>
      </c>
      <c r="M197" s="304">
        <v>0.8</v>
      </c>
      <c r="N197" s="305"/>
      <c r="O197" s="306"/>
      <c r="P197" s="306"/>
      <c r="Q197" s="306"/>
      <c r="R197" s="306"/>
      <c r="S197" s="306"/>
      <c r="T197" s="305"/>
    </row>
    <row r="198" spans="1:20" outlineLevel="2" x14ac:dyDescent="0.2">
      <c r="E198" s="6" t="s">
        <v>563</v>
      </c>
      <c r="F198" s="164">
        <f xml:space="preserve"> IF( INDEX(J198:T198, $I$4) = "", INDEX(J198:S198, $I$6), INDEX(J198:T198, $I$4))</f>
        <v>1</v>
      </c>
      <c r="G198" s="6" t="s">
        <v>215</v>
      </c>
      <c r="H198" s="6"/>
      <c r="I198" s="426" t="str">
        <f t="array" ref="I198" xml:space="preserve"> IF( INDEX(J198:T198, I$5) = "", IF( INDEX(J198:T198, I$6) = F198, "vw", "tu"), IF(INDEX(J198:T198, I$5) = F198, "vw", "tu"))</f>
        <v>vw</v>
      </c>
      <c r="J198" s="256"/>
      <c r="K198" s="289">
        <v>1</v>
      </c>
      <c r="L198" s="289">
        <v>1</v>
      </c>
      <c r="M198" s="289">
        <v>1</v>
      </c>
      <c r="N198" s="173"/>
      <c r="O198" s="307"/>
      <c r="P198" s="307"/>
      <c r="Q198" s="307"/>
      <c r="R198" s="307"/>
      <c r="S198" s="307"/>
      <c r="T198" s="173"/>
    </row>
    <row r="199" spans="1:20" outlineLevel="2" x14ac:dyDescent="0.2"/>
    <row r="200" spans="1:20" outlineLevel="2" x14ac:dyDescent="0.2">
      <c r="C200" s="19" t="s">
        <v>213</v>
      </c>
    </row>
    <row r="201" spans="1:20" outlineLevel="2" x14ac:dyDescent="0.2">
      <c r="A201" s="456"/>
      <c r="B201" s="456"/>
      <c r="C201" s="457"/>
      <c r="D201" s="458"/>
      <c r="E201" s="234" t="s">
        <v>858</v>
      </c>
      <c r="F201" s="462">
        <f t="shared" ref="F201:F225" si="9" xml:space="preserve"> IF( INDEX(J201:T201, $I$4) = "", INDEX(J201:S201, $I$6), INDEX(J201:T201, $I$4))</f>
        <v>1.4</v>
      </c>
      <c r="G201" s="463" t="s">
        <v>164</v>
      </c>
      <c r="H201" s="459"/>
      <c r="I201" s="437" t="str">
        <f t="array" ref="I201" xml:space="preserve"> IF( INDEX(J201:T201, I$5) = "", IF( INDEX(J201:T201, I$6) = F201, "vw", "tu"), IF(INDEX(J201:T201, I$5) = F201, "vw", "tu"))</f>
        <v>vw</v>
      </c>
      <c r="J201" s="460"/>
      <c r="K201" s="464">
        <v>1.4</v>
      </c>
      <c r="L201" s="464">
        <v>1.4</v>
      </c>
      <c r="M201" s="464">
        <v>1.4</v>
      </c>
      <c r="N201" s="465"/>
      <c r="O201" s="1121"/>
      <c r="P201" s="1121"/>
      <c r="Q201" s="1121"/>
      <c r="R201" s="1121"/>
      <c r="S201" s="1121"/>
      <c r="T201" s="460"/>
    </row>
    <row r="202" spans="1:20" outlineLevel="2" x14ac:dyDescent="0.2">
      <c r="A202" s="456"/>
      <c r="B202" s="456"/>
      <c r="C202" s="457"/>
      <c r="D202" s="458"/>
      <c r="E202" s="234" t="s">
        <v>859</v>
      </c>
      <c r="F202" s="462">
        <f t="shared" si="9"/>
        <v>1.4</v>
      </c>
      <c r="G202" s="463" t="s">
        <v>164</v>
      </c>
      <c r="H202" s="459"/>
      <c r="I202" s="437" t="str">
        <f t="array" ref="I202" xml:space="preserve"> IF( INDEX(J202:T202, I$5) = "", IF( INDEX(J202:T202, I$6) = F202, "vw", "tu"), IF(INDEX(J202:T202, I$5) = F202, "vw", "tu"))</f>
        <v>vw</v>
      </c>
      <c r="J202" s="460"/>
      <c r="K202" s="464">
        <v>1.4</v>
      </c>
      <c r="L202" s="464">
        <v>1.4</v>
      </c>
      <c r="M202" s="464">
        <v>1.4</v>
      </c>
      <c r="N202" s="465"/>
      <c r="O202" s="1121"/>
      <c r="P202" s="1121"/>
      <c r="Q202" s="1121"/>
      <c r="R202" s="1121"/>
      <c r="S202" s="1121"/>
      <c r="T202" s="460"/>
    </row>
    <row r="203" spans="1:20" outlineLevel="2" x14ac:dyDescent="0.2">
      <c r="A203" s="456"/>
      <c r="B203" s="456"/>
      <c r="C203" s="457"/>
      <c r="D203" s="458"/>
      <c r="E203" s="234" t="s">
        <v>860</v>
      </c>
      <c r="F203" s="462">
        <f t="shared" si="9"/>
        <v>1.4</v>
      </c>
      <c r="G203" s="463" t="s">
        <v>164</v>
      </c>
      <c r="H203" s="459"/>
      <c r="I203" s="437" t="str">
        <f t="array" ref="I203" xml:space="preserve"> IF( INDEX(J203:T203, I$5) = "", IF( INDEX(J203:T203, I$6) = F203, "vw", "tu"), IF(INDEX(J203:T203, I$5) = F203, "vw", "tu"))</f>
        <v>vw</v>
      </c>
      <c r="J203" s="460"/>
      <c r="K203" s="464">
        <v>1.4</v>
      </c>
      <c r="L203" s="464">
        <v>1.4</v>
      </c>
      <c r="M203" s="464">
        <v>1.4</v>
      </c>
      <c r="N203" s="465"/>
      <c r="O203" s="1121"/>
      <c r="P203" s="1121"/>
      <c r="Q203" s="1121"/>
      <c r="R203" s="1121"/>
      <c r="S203" s="1121"/>
      <c r="T203" s="460"/>
    </row>
    <row r="204" spans="1:20" outlineLevel="2" x14ac:dyDescent="0.2">
      <c r="A204" s="456"/>
      <c r="B204" s="456"/>
      <c r="C204" s="457"/>
      <c r="D204" s="458"/>
      <c r="E204" s="234" t="s">
        <v>861</v>
      </c>
      <c r="F204" s="462">
        <f t="shared" si="9"/>
        <v>1.4</v>
      </c>
      <c r="G204" s="463" t="s">
        <v>164</v>
      </c>
      <c r="H204" s="459"/>
      <c r="I204" s="437" t="str">
        <f t="array" ref="I204" xml:space="preserve"> IF( INDEX(J204:T204, I$5) = "", IF( INDEX(J204:T204, I$6) = F204, "vw", "tu"), IF(INDEX(J204:T204, I$5) = F204, "vw", "tu"))</f>
        <v>vw</v>
      </c>
      <c r="J204" s="460"/>
      <c r="K204" s="464">
        <v>1.4</v>
      </c>
      <c r="L204" s="464">
        <v>1.4</v>
      </c>
      <c r="M204" s="464">
        <v>1.4</v>
      </c>
      <c r="N204" s="465"/>
      <c r="O204" s="1121"/>
      <c r="P204" s="1121"/>
      <c r="Q204" s="1121"/>
      <c r="R204" s="1121"/>
      <c r="S204" s="1121"/>
      <c r="T204" s="460"/>
    </row>
    <row r="205" spans="1:20" outlineLevel="2" x14ac:dyDescent="0.2">
      <c r="A205" s="456"/>
      <c r="B205" s="456"/>
      <c r="C205" s="457"/>
      <c r="D205" s="458"/>
      <c r="E205" s="234" t="s">
        <v>862</v>
      </c>
      <c r="F205" s="462">
        <f t="shared" si="9"/>
        <v>1.4</v>
      </c>
      <c r="G205" s="463" t="s">
        <v>164</v>
      </c>
      <c r="H205" s="459"/>
      <c r="I205" s="437" t="str">
        <f t="array" ref="I205" xml:space="preserve"> IF( INDEX(J205:T205, I$5) = "", IF( INDEX(J205:T205, I$6) = F205, "vw", "tu"), IF(INDEX(J205:T205, I$5) = F205, "vw", "tu"))</f>
        <v>vw</v>
      </c>
      <c r="J205" s="460"/>
      <c r="K205" s="464">
        <v>1.4</v>
      </c>
      <c r="L205" s="464">
        <v>1.4</v>
      </c>
      <c r="M205" s="464">
        <v>1.4</v>
      </c>
      <c r="N205" s="465"/>
      <c r="O205" s="1121"/>
      <c r="P205" s="1121"/>
      <c r="Q205" s="1121"/>
      <c r="R205" s="1121"/>
      <c r="S205" s="1121"/>
      <c r="T205" s="460"/>
    </row>
    <row r="206" spans="1:20" outlineLevel="2" x14ac:dyDescent="0.2">
      <c r="A206" s="456"/>
      <c r="B206" s="456"/>
      <c r="C206" s="457"/>
      <c r="D206" s="458"/>
      <c r="E206" s="234" t="s">
        <v>863</v>
      </c>
      <c r="F206" s="462">
        <f t="shared" si="9"/>
        <v>1.4</v>
      </c>
      <c r="G206" s="463" t="s">
        <v>164</v>
      </c>
      <c r="H206" s="459"/>
      <c r="I206" s="437" t="str">
        <f t="array" ref="I206" xml:space="preserve"> IF( INDEX(J206:T206, I$5) = "", IF( INDEX(J206:T206, I$6) = F206, "vw", "tu"), IF(INDEX(J206:T206, I$5) = F206, "vw", "tu"))</f>
        <v>vw</v>
      </c>
      <c r="J206" s="460"/>
      <c r="K206" s="464">
        <v>1.4</v>
      </c>
      <c r="L206" s="464">
        <v>1.4</v>
      </c>
      <c r="M206" s="464">
        <v>1.4</v>
      </c>
      <c r="N206" s="465"/>
      <c r="O206" s="1121"/>
      <c r="P206" s="1121"/>
      <c r="Q206" s="1121"/>
      <c r="R206" s="1121"/>
      <c r="S206" s="1121"/>
      <c r="T206" s="460"/>
    </row>
    <row r="207" spans="1:20" outlineLevel="2" x14ac:dyDescent="0.2">
      <c r="A207" s="456"/>
      <c r="B207" s="456"/>
      <c r="C207" s="457"/>
      <c r="D207" s="458"/>
      <c r="E207" s="234" t="s">
        <v>864</v>
      </c>
      <c r="F207" s="462">
        <f t="shared" si="9"/>
        <v>1.4</v>
      </c>
      <c r="G207" s="463" t="s">
        <v>164</v>
      </c>
      <c r="H207" s="459"/>
      <c r="I207" s="437" t="str">
        <f t="array" ref="I207" xml:space="preserve"> IF( INDEX(J207:T207, I$5) = "", IF( INDEX(J207:T207, I$6) = F207, "vw", "tu"), IF(INDEX(J207:T207, I$5) = F207, "vw", "tu"))</f>
        <v>vw</v>
      </c>
      <c r="J207" s="460"/>
      <c r="K207" s="464">
        <v>1.4</v>
      </c>
      <c r="L207" s="464">
        <v>1.4</v>
      </c>
      <c r="M207" s="464">
        <v>1.4</v>
      </c>
      <c r="N207" s="465"/>
      <c r="O207" s="1121"/>
      <c r="P207" s="1121"/>
      <c r="Q207" s="1121"/>
      <c r="R207" s="1121"/>
      <c r="S207" s="1121"/>
      <c r="T207" s="460"/>
    </row>
    <row r="208" spans="1:20" outlineLevel="2" x14ac:dyDescent="0.2">
      <c r="A208" s="456"/>
      <c r="B208" s="456"/>
      <c r="C208" s="457"/>
      <c r="D208" s="458"/>
      <c r="E208" s="234" t="s">
        <v>865</v>
      </c>
      <c r="F208" s="462">
        <f t="shared" si="9"/>
        <v>1.4</v>
      </c>
      <c r="G208" s="463" t="s">
        <v>164</v>
      </c>
      <c r="H208" s="459"/>
      <c r="I208" s="437" t="str">
        <f t="array" ref="I208" xml:space="preserve"> IF( INDEX(J208:T208, I$5) = "", IF( INDEX(J208:T208, I$6) = F208, "vw", "tu"), IF(INDEX(J208:T208, I$5) = F208, "vw", "tu"))</f>
        <v>vw</v>
      </c>
      <c r="J208" s="460"/>
      <c r="K208" s="464">
        <v>1.4</v>
      </c>
      <c r="L208" s="464">
        <v>1.4</v>
      </c>
      <c r="M208" s="464">
        <v>1.4</v>
      </c>
      <c r="N208" s="465"/>
      <c r="O208" s="1121"/>
      <c r="P208" s="1121"/>
      <c r="Q208" s="1121"/>
      <c r="R208" s="1121"/>
      <c r="S208" s="1121"/>
      <c r="T208" s="460"/>
    </row>
    <row r="209" spans="1:20" outlineLevel="2" x14ac:dyDescent="0.2">
      <c r="A209" s="456"/>
      <c r="B209" s="456"/>
      <c r="C209" s="457"/>
      <c r="D209" s="458"/>
      <c r="E209" s="234" t="s">
        <v>866</v>
      </c>
      <c r="F209" s="462">
        <f t="shared" si="9"/>
        <v>1.4</v>
      </c>
      <c r="G209" s="463" t="s">
        <v>164</v>
      </c>
      <c r="H209" s="459"/>
      <c r="I209" s="437" t="str">
        <f t="array" ref="I209" xml:space="preserve"> IF( INDEX(J209:T209, I$5) = "", IF( INDEX(J209:T209, I$6) = F209, "vw", "tu"), IF(INDEX(J209:T209, I$5) = F209, "vw", "tu"))</f>
        <v>vw</v>
      </c>
      <c r="J209" s="460"/>
      <c r="K209" s="464">
        <v>1.4</v>
      </c>
      <c r="L209" s="464">
        <v>1.4</v>
      </c>
      <c r="M209" s="464">
        <v>1.4</v>
      </c>
      <c r="N209" s="465"/>
      <c r="O209" s="1121"/>
      <c r="P209" s="1121"/>
      <c r="Q209" s="1121"/>
      <c r="R209" s="1121"/>
      <c r="S209" s="1121"/>
      <c r="T209" s="460"/>
    </row>
    <row r="210" spans="1:20" outlineLevel="2" x14ac:dyDescent="0.2">
      <c r="A210" s="456"/>
      <c r="B210" s="456"/>
      <c r="C210" s="457"/>
      <c r="D210" s="458"/>
      <c r="E210" s="234" t="s">
        <v>867</v>
      </c>
      <c r="F210" s="462">
        <f t="shared" si="9"/>
        <v>1.4</v>
      </c>
      <c r="G210" s="463" t="s">
        <v>164</v>
      </c>
      <c r="H210" s="459"/>
      <c r="I210" s="437" t="str">
        <f t="array" ref="I210" xml:space="preserve"> IF( INDEX(J210:T210, I$5) = "", IF( INDEX(J210:T210, I$6) = F210, "vw", "tu"), IF(INDEX(J210:T210, I$5) = F210, "vw", "tu"))</f>
        <v>vw</v>
      </c>
      <c r="J210" s="460"/>
      <c r="K210" s="464">
        <v>1.4</v>
      </c>
      <c r="L210" s="464">
        <v>1.4</v>
      </c>
      <c r="M210" s="464">
        <v>1.4</v>
      </c>
      <c r="N210" s="465"/>
      <c r="O210" s="1121"/>
      <c r="P210" s="1121"/>
      <c r="Q210" s="1121"/>
      <c r="R210" s="1121"/>
      <c r="S210" s="1121"/>
      <c r="T210" s="460"/>
    </row>
    <row r="211" spans="1:20" outlineLevel="2" x14ac:dyDescent="0.2">
      <c r="A211" s="456"/>
      <c r="B211" s="456"/>
      <c r="C211" s="457"/>
      <c r="D211" s="458"/>
      <c r="E211" s="234" t="s">
        <v>868</v>
      </c>
      <c r="F211" s="462">
        <f t="shared" si="9"/>
        <v>1.4</v>
      </c>
      <c r="G211" s="463" t="s">
        <v>164</v>
      </c>
      <c r="H211" s="459"/>
      <c r="I211" s="437" t="str">
        <f t="array" ref="I211" xml:space="preserve"> IF( INDEX(J211:T211, I$5) = "", IF( INDEX(J211:T211, I$6) = F211, "vw", "tu"), IF(INDEX(J211:T211, I$5) = F211, "vw", "tu"))</f>
        <v>vw</v>
      </c>
      <c r="J211" s="460"/>
      <c r="K211" s="464">
        <v>1.4</v>
      </c>
      <c r="L211" s="464">
        <v>1.4</v>
      </c>
      <c r="M211" s="464">
        <v>1.4</v>
      </c>
      <c r="N211" s="465"/>
      <c r="O211" s="1121"/>
      <c r="P211" s="1121"/>
      <c r="Q211" s="1121"/>
      <c r="R211" s="1121"/>
      <c r="S211" s="1121"/>
      <c r="T211" s="460"/>
    </row>
    <row r="212" spans="1:20" outlineLevel="2" x14ac:dyDescent="0.2">
      <c r="A212" s="456"/>
      <c r="B212" s="456"/>
      <c r="C212" s="457"/>
      <c r="D212" s="458"/>
      <c r="E212" s="234" t="s">
        <v>869</v>
      </c>
      <c r="F212" s="462">
        <f t="shared" si="9"/>
        <v>1.4</v>
      </c>
      <c r="G212" s="463" t="s">
        <v>164</v>
      </c>
      <c r="H212" s="459"/>
      <c r="I212" s="437" t="str">
        <f t="array" ref="I212" xml:space="preserve"> IF( INDEX(J212:T212, I$5) = "", IF( INDEX(J212:T212, I$6) = F212, "vw", "tu"), IF(INDEX(J212:T212, I$5) = F212, "vw", "tu"))</f>
        <v>vw</v>
      </c>
      <c r="J212" s="460"/>
      <c r="K212" s="464">
        <v>1.4</v>
      </c>
      <c r="L212" s="464">
        <v>1.4</v>
      </c>
      <c r="M212" s="464">
        <v>1.4</v>
      </c>
      <c r="N212" s="465"/>
      <c r="O212" s="1121"/>
      <c r="P212" s="1121"/>
      <c r="Q212" s="1121"/>
      <c r="R212" s="1121"/>
      <c r="S212" s="1121"/>
      <c r="T212" s="460"/>
    </row>
    <row r="213" spans="1:20" outlineLevel="2" x14ac:dyDescent="0.2">
      <c r="A213" s="456"/>
      <c r="B213" s="456"/>
      <c r="C213" s="457"/>
      <c r="D213" s="458"/>
      <c r="E213" s="234" t="s">
        <v>870</v>
      </c>
      <c r="F213" s="462">
        <f t="shared" si="9"/>
        <v>1.4</v>
      </c>
      <c r="G213" s="463" t="s">
        <v>164</v>
      </c>
      <c r="H213" s="459"/>
      <c r="I213" s="437" t="str">
        <f t="array" ref="I213" xml:space="preserve"> IF( INDEX(J213:T213, I$5) = "", IF( INDEX(J213:T213, I$6) = F213, "vw", "tu"), IF(INDEX(J213:T213, I$5) = F213, "vw", "tu"))</f>
        <v>vw</v>
      </c>
      <c r="J213" s="460"/>
      <c r="K213" s="464">
        <v>1.4</v>
      </c>
      <c r="L213" s="464">
        <v>1.4</v>
      </c>
      <c r="M213" s="464">
        <v>1.4</v>
      </c>
      <c r="N213" s="465"/>
      <c r="O213" s="1121"/>
      <c r="P213" s="1121"/>
      <c r="Q213" s="1121"/>
      <c r="R213" s="1121"/>
      <c r="S213" s="1121"/>
      <c r="T213" s="460"/>
    </row>
    <row r="214" spans="1:20" outlineLevel="2" x14ac:dyDescent="0.2">
      <c r="A214" s="456"/>
      <c r="B214" s="456"/>
      <c r="C214" s="457"/>
      <c r="D214" s="458"/>
      <c r="E214" s="234" t="s">
        <v>871</v>
      </c>
      <c r="F214" s="462">
        <f t="shared" si="9"/>
        <v>1.4</v>
      </c>
      <c r="G214" s="463" t="s">
        <v>164</v>
      </c>
      <c r="H214" s="459"/>
      <c r="I214" s="437" t="str">
        <f t="array" ref="I214" xml:space="preserve"> IF( INDEX(J214:T214, I$5) = "", IF( INDEX(J214:T214, I$6) = F214, "vw", "tu"), IF(INDEX(J214:T214, I$5) = F214, "vw", "tu"))</f>
        <v>vw</v>
      </c>
      <c r="J214" s="460"/>
      <c r="K214" s="464">
        <v>1.4</v>
      </c>
      <c r="L214" s="464">
        <v>1.4</v>
      </c>
      <c r="M214" s="464">
        <v>1.4</v>
      </c>
      <c r="N214" s="465"/>
      <c r="O214" s="1121"/>
      <c r="P214" s="1121"/>
      <c r="Q214" s="1121"/>
      <c r="R214" s="1121"/>
      <c r="S214" s="1121"/>
      <c r="T214" s="460"/>
    </row>
    <row r="215" spans="1:20" outlineLevel="2" x14ac:dyDescent="0.2">
      <c r="A215" s="456"/>
      <c r="B215" s="456"/>
      <c r="C215" s="457"/>
      <c r="D215" s="458"/>
      <c r="E215" s="234" t="s">
        <v>872</v>
      </c>
      <c r="F215" s="462">
        <f t="shared" si="9"/>
        <v>1.4</v>
      </c>
      <c r="G215" s="463" t="s">
        <v>164</v>
      </c>
      <c r="H215" s="459"/>
      <c r="I215" s="437" t="str">
        <f t="array" ref="I215" xml:space="preserve"> IF( INDEX(J215:T215, I$5) = "", IF( INDEX(J215:T215, I$6) = F215, "vw", "tu"), IF(INDEX(J215:T215, I$5) = F215, "vw", "tu"))</f>
        <v>vw</v>
      </c>
      <c r="J215" s="460"/>
      <c r="K215" s="464">
        <v>1.4</v>
      </c>
      <c r="L215" s="464">
        <v>1.4</v>
      </c>
      <c r="M215" s="464">
        <v>1.4</v>
      </c>
      <c r="N215" s="465"/>
      <c r="O215" s="1121"/>
      <c r="P215" s="1121"/>
      <c r="Q215" s="1121"/>
      <c r="R215" s="1121"/>
      <c r="S215" s="1121"/>
      <c r="T215" s="460"/>
    </row>
    <row r="216" spans="1:20" outlineLevel="2" x14ac:dyDescent="0.2">
      <c r="A216" s="456"/>
      <c r="B216" s="456"/>
      <c r="C216" s="457"/>
      <c r="D216" s="458"/>
      <c r="E216" s="234" t="s">
        <v>873</v>
      </c>
      <c r="F216" s="462">
        <f t="shared" si="9"/>
        <v>1.4</v>
      </c>
      <c r="G216" s="463" t="s">
        <v>164</v>
      </c>
      <c r="H216" s="459"/>
      <c r="I216" s="437" t="str">
        <f t="array" ref="I216" xml:space="preserve"> IF( INDEX(J216:T216, I$5) = "", IF( INDEX(J216:T216, I$6) = F216, "vw", "tu"), IF(INDEX(J216:T216, I$5) = F216, "vw", "tu"))</f>
        <v>vw</v>
      </c>
      <c r="J216" s="460"/>
      <c r="K216" s="464">
        <v>1.4</v>
      </c>
      <c r="L216" s="464">
        <v>1.4</v>
      </c>
      <c r="M216" s="464">
        <v>1.4</v>
      </c>
      <c r="N216" s="465"/>
      <c r="O216" s="1121"/>
      <c r="P216" s="1121"/>
      <c r="Q216" s="1121"/>
      <c r="R216" s="1121"/>
      <c r="S216" s="1121"/>
      <c r="T216" s="460"/>
    </row>
    <row r="217" spans="1:20" outlineLevel="2" x14ac:dyDescent="0.2">
      <c r="A217" s="456"/>
      <c r="B217" s="456"/>
      <c r="C217" s="457"/>
      <c r="D217" s="458"/>
      <c r="E217" s="234" t="s">
        <v>874</v>
      </c>
      <c r="F217" s="462">
        <f t="shared" si="9"/>
        <v>1.4</v>
      </c>
      <c r="G217" s="463" t="s">
        <v>164</v>
      </c>
      <c r="H217" s="459"/>
      <c r="I217" s="437" t="str">
        <f t="array" ref="I217" xml:space="preserve"> IF( INDEX(J217:T217, I$5) = "", IF( INDEX(J217:T217, I$6) = F217, "vw", "tu"), IF(INDEX(J217:T217, I$5) = F217, "vw", "tu"))</f>
        <v>vw</v>
      </c>
      <c r="J217" s="460"/>
      <c r="K217" s="464">
        <v>1.4</v>
      </c>
      <c r="L217" s="464">
        <v>1.4</v>
      </c>
      <c r="M217" s="464">
        <v>1.4</v>
      </c>
      <c r="N217" s="465"/>
      <c r="O217" s="1121"/>
      <c r="P217" s="1121"/>
      <c r="Q217" s="1121"/>
      <c r="R217" s="1121"/>
      <c r="S217" s="1121"/>
      <c r="T217" s="460"/>
    </row>
    <row r="218" spans="1:20" outlineLevel="2" x14ac:dyDescent="0.2">
      <c r="A218" s="456"/>
      <c r="B218" s="456"/>
      <c r="C218" s="457"/>
      <c r="D218" s="458"/>
      <c r="E218" s="234" t="s">
        <v>875</v>
      </c>
      <c r="F218" s="462">
        <f t="shared" si="9"/>
        <v>1.4</v>
      </c>
      <c r="G218" s="463" t="s">
        <v>164</v>
      </c>
      <c r="H218" s="459"/>
      <c r="I218" s="437" t="str">
        <f t="array" ref="I218" xml:space="preserve"> IF( INDEX(J218:T218, I$5) = "", IF( INDEX(J218:T218, I$6) = F218, "vw", "tu"), IF(INDEX(J218:T218, I$5) = F218, "vw", "tu"))</f>
        <v>vw</v>
      </c>
      <c r="J218" s="460"/>
      <c r="K218" s="464">
        <v>1.4</v>
      </c>
      <c r="L218" s="464">
        <v>1.4</v>
      </c>
      <c r="M218" s="464">
        <v>1.4</v>
      </c>
      <c r="N218" s="465"/>
      <c r="O218" s="1121"/>
      <c r="P218" s="1121"/>
      <c r="Q218" s="1121"/>
      <c r="R218" s="1121"/>
      <c r="S218" s="1121"/>
      <c r="T218" s="460"/>
    </row>
    <row r="219" spans="1:20" outlineLevel="2" x14ac:dyDescent="0.2">
      <c r="A219" s="456"/>
      <c r="B219" s="456"/>
      <c r="C219" s="457"/>
      <c r="D219" s="458"/>
      <c r="E219" s="234" t="s">
        <v>876</v>
      </c>
      <c r="F219" s="462">
        <f t="shared" si="9"/>
        <v>1.4</v>
      </c>
      <c r="G219" s="463" t="s">
        <v>164</v>
      </c>
      <c r="H219" s="459"/>
      <c r="I219" s="437" t="str">
        <f t="array" ref="I219" xml:space="preserve"> IF( INDEX(J219:T219, I$5) = "", IF( INDEX(J219:T219, I$6) = F219, "vw", "tu"), IF(INDEX(J219:T219, I$5) = F219, "vw", "tu"))</f>
        <v>vw</v>
      </c>
      <c r="J219" s="460"/>
      <c r="K219" s="464">
        <v>1.4</v>
      </c>
      <c r="L219" s="464">
        <v>1.4</v>
      </c>
      <c r="M219" s="464">
        <v>1.4</v>
      </c>
      <c r="N219" s="465"/>
      <c r="O219" s="1121"/>
      <c r="P219" s="1121"/>
      <c r="Q219" s="1121"/>
      <c r="R219" s="1121"/>
      <c r="S219" s="1121"/>
      <c r="T219" s="460"/>
    </row>
    <row r="220" spans="1:20" outlineLevel="2" x14ac:dyDescent="0.2">
      <c r="A220" s="456"/>
      <c r="B220" s="456"/>
      <c r="C220" s="457"/>
      <c r="D220" s="458"/>
      <c r="E220" s="234" t="s">
        <v>877</v>
      </c>
      <c r="F220" s="462">
        <f t="shared" si="9"/>
        <v>1.4</v>
      </c>
      <c r="G220" s="463" t="s">
        <v>164</v>
      </c>
      <c r="H220" s="459"/>
      <c r="I220" s="437" t="str">
        <f t="array" ref="I220" xml:space="preserve"> IF( INDEX(J220:T220, I$5) = "", IF( INDEX(J220:T220, I$6) = F220, "vw", "tu"), IF(INDEX(J220:T220, I$5) = F220, "vw", "tu"))</f>
        <v>vw</v>
      </c>
      <c r="J220" s="460"/>
      <c r="K220" s="464">
        <v>1.4</v>
      </c>
      <c r="L220" s="464">
        <v>1.4</v>
      </c>
      <c r="M220" s="464">
        <v>1.4</v>
      </c>
      <c r="N220" s="465"/>
      <c r="O220" s="1121"/>
      <c r="P220" s="1121"/>
      <c r="Q220" s="1121"/>
      <c r="R220" s="1121"/>
      <c r="S220" s="1121"/>
      <c r="T220" s="460"/>
    </row>
    <row r="221" spans="1:20" outlineLevel="2" x14ac:dyDescent="0.2">
      <c r="A221" s="456"/>
      <c r="B221" s="456"/>
      <c r="C221" s="457"/>
      <c r="D221" s="458"/>
      <c r="E221" s="234" t="s">
        <v>878</v>
      </c>
      <c r="F221" s="462">
        <f t="shared" si="9"/>
        <v>1.4</v>
      </c>
      <c r="G221" s="463" t="s">
        <v>164</v>
      </c>
      <c r="H221" s="459"/>
      <c r="I221" s="437" t="str">
        <f t="array" ref="I221" xml:space="preserve"> IF( INDEX(J221:T221, I$5) = "", IF( INDEX(J221:T221, I$6) = F221, "vw", "tu"), IF(INDEX(J221:T221, I$5) = F221, "vw", "tu"))</f>
        <v>vw</v>
      </c>
      <c r="J221" s="460"/>
      <c r="K221" s="464">
        <v>1.4</v>
      </c>
      <c r="L221" s="464">
        <v>1.4</v>
      </c>
      <c r="M221" s="464">
        <v>1.4</v>
      </c>
      <c r="N221" s="465"/>
      <c r="O221" s="1121"/>
      <c r="P221" s="1121"/>
      <c r="Q221" s="1121"/>
      <c r="R221" s="1121"/>
      <c r="S221" s="1121"/>
      <c r="T221" s="460"/>
    </row>
    <row r="222" spans="1:20" outlineLevel="2" x14ac:dyDescent="0.2">
      <c r="A222" s="456"/>
      <c r="B222" s="456"/>
      <c r="C222" s="457"/>
      <c r="D222" s="458"/>
      <c r="E222" s="234" t="s">
        <v>879</v>
      </c>
      <c r="F222" s="462">
        <f t="shared" si="9"/>
        <v>1.4</v>
      </c>
      <c r="G222" s="463" t="s">
        <v>164</v>
      </c>
      <c r="H222" s="459"/>
      <c r="I222" s="437" t="str">
        <f t="array" ref="I222" xml:space="preserve"> IF( INDEX(J222:T222, I$5) = "", IF( INDEX(J222:T222, I$6) = F222, "vw", "tu"), IF(INDEX(J222:T222, I$5) = F222, "vw", "tu"))</f>
        <v>vw</v>
      </c>
      <c r="J222" s="460"/>
      <c r="K222" s="464">
        <v>1.4</v>
      </c>
      <c r="L222" s="464">
        <v>1.4</v>
      </c>
      <c r="M222" s="464">
        <v>1.4</v>
      </c>
      <c r="N222" s="465"/>
      <c r="O222" s="1121"/>
      <c r="P222" s="1121"/>
      <c r="Q222" s="1121"/>
      <c r="R222" s="1121"/>
      <c r="S222" s="1121"/>
      <c r="T222" s="460"/>
    </row>
    <row r="223" spans="1:20" outlineLevel="2" x14ac:dyDescent="0.2">
      <c r="A223" s="456"/>
      <c r="B223" s="456"/>
      <c r="C223" s="457"/>
      <c r="D223" s="458"/>
      <c r="E223" s="234" t="s">
        <v>880</v>
      </c>
      <c r="F223" s="462">
        <f t="shared" si="9"/>
        <v>1.4</v>
      </c>
      <c r="G223" s="463" t="s">
        <v>164</v>
      </c>
      <c r="H223" s="459"/>
      <c r="I223" s="437" t="str">
        <f t="array" ref="I223" xml:space="preserve"> IF( INDEX(J223:T223, I$5) = "", IF( INDEX(J223:T223, I$6) = F223, "vw", "tu"), IF(INDEX(J223:T223, I$5) = F223, "vw", "tu"))</f>
        <v>vw</v>
      </c>
      <c r="J223" s="460"/>
      <c r="K223" s="464">
        <v>1.4</v>
      </c>
      <c r="L223" s="464">
        <v>1.4</v>
      </c>
      <c r="M223" s="464">
        <v>1.4</v>
      </c>
      <c r="N223" s="465"/>
      <c r="O223" s="1121"/>
      <c r="P223" s="1121"/>
      <c r="Q223" s="1121"/>
      <c r="R223" s="1121"/>
      <c r="S223" s="1121"/>
      <c r="T223" s="460"/>
    </row>
    <row r="224" spans="1:20" outlineLevel="2" x14ac:dyDescent="0.2">
      <c r="A224" s="456"/>
      <c r="B224" s="456"/>
      <c r="C224" s="457"/>
      <c r="D224" s="458"/>
      <c r="E224" s="234" t="s">
        <v>881</v>
      </c>
      <c r="F224" s="462">
        <f t="shared" si="9"/>
        <v>1.4</v>
      </c>
      <c r="G224" s="463" t="s">
        <v>164</v>
      </c>
      <c r="H224" s="459"/>
      <c r="I224" s="437" t="str">
        <f t="array" ref="I224" xml:space="preserve"> IF( INDEX(J224:T224, I$5) = "", IF( INDEX(J224:T224, I$6) = F224, "vw", "tu"), IF(INDEX(J224:T224, I$5) = F224, "vw", "tu"))</f>
        <v>vw</v>
      </c>
      <c r="J224" s="460"/>
      <c r="K224" s="464">
        <v>1.4</v>
      </c>
      <c r="L224" s="464">
        <v>1.4</v>
      </c>
      <c r="M224" s="464">
        <v>1.4</v>
      </c>
      <c r="N224" s="465"/>
      <c r="O224" s="1121"/>
      <c r="P224" s="1121"/>
      <c r="Q224" s="1121"/>
      <c r="R224" s="1121"/>
      <c r="S224" s="1121"/>
      <c r="T224" s="460"/>
    </row>
    <row r="225" spans="1:20" outlineLevel="2" x14ac:dyDescent="0.2">
      <c r="A225" s="456"/>
      <c r="B225" s="456"/>
      <c r="C225" s="457"/>
      <c r="D225" s="458"/>
      <c r="E225" s="234" t="s">
        <v>882</v>
      </c>
      <c r="F225" s="462">
        <f t="shared" si="9"/>
        <v>1.4</v>
      </c>
      <c r="G225" s="463" t="s">
        <v>164</v>
      </c>
      <c r="H225" s="459"/>
      <c r="I225" s="437" t="str">
        <f t="array" ref="I225" xml:space="preserve"> IF( INDEX(J225:T225, I$5) = "", IF( INDEX(J225:T225, I$6) = F225, "vw", "tu"), IF(INDEX(J225:T225, I$5) = F225, "vw", "tu"))</f>
        <v>vw</v>
      </c>
      <c r="J225" s="460"/>
      <c r="K225" s="464">
        <v>1.4</v>
      </c>
      <c r="L225" s="464">
        <v>1.4</v>
      </c>
      <c r="M225" s="464">
        <v>1.4</v>
      </c>
      <c r="N225" s="465"/>
      <c r="O225" s="1121"/>
      <c r="P225" s="1121"/>
      <c r="Q225" s="1121"/>
      <c r="R225" s="1121"/>
      <c r="S225" s="1121"/>
      <c r="T225" s="460"/>
    </row>
    <row r="226" spans="1:20" outlineLevel="2" x14ac:dyDescent="0.2">
      <c r="A226" s="456"/>
      <c r="B226" s="456"/>
      <c r="C226" s="457"/>
      <c r="D226" s="458"/>
      <c r="E226" s="234"/>
      <c r="F226" s="234"/>
      <c r="G226" s="463"/>
      <c r="H226" s="459"/>
      <c r="I226" s="437"/>
      <c r="J226" s="460"/>
    </row>
    <row r="227" spans="1:20" outlineLevel="2" x14ac:dyDescent="0.2">
      <c r="A227" s="456"/>
      <c r="B227" s="456"/>
      <c r="C227" s="19" t="s">
        <v>891</v>
      </c>
      <c r="D227" s="458"/>
      <c r="E227" s="234"/>
      <c r="F227" s="234"/>
      <c r="G227" s="463"/>
      <c r="H227" s="459"/>
      <c r="I227" s="437"/>
      <c r="J227" s="460"/>
    </row>
    <row r="228" spans="1:20" outlineLevel="2" x14ac:dyDescent="0.2">
      <c r="E228" s="6" t="s">
        <v>905</v>
      </c>
      <c r="F228" s="164">
        <f xml:space="preserve"> IF( INDEX(J228:T228, $I$4) = "", INDEX(J228:S228, $I$6), INDEX(J228:T228, $I$4))</f>
        <v>360</v>
      </c>
      <c r="G228" s="6" t="s">
        <v>161</v>
      </c>
      <c r="H228" s="6"/>
      <c r="I228" s="404" t="str">
        <f t="array" ref="I228" xml:space="preserve"> IF( INDEX(J228:T228, I$5) = "", IF( INDEX(J228:T228, I$6) = F228, "vw", "tu"), IF(INDEX(J228:T228, I$5) = F228, "vw", "tu"))</f>
        <v>vw</v>
      </c>
      <c r="J228" s="256"/>
      <c r="K228" s="289">
        <v>360</v>
      </c>
      <c r="L228" s="289">
        <v>360</v>
      </c>
      <c r="M228" s="289">
        <v>360</v>
      </c>
      <c r="N228" s="173"/>
      <c r="O228" s="307"/>
      <c r="P228" s="307"/>
      <c r="Q228" s="307"/>
      <c r="R228" s="307"/>
      <c r="S228" s="307"/>
      <c r="T228" s="173"/>
    </row>
    <row r="229" spans="1:20" outlineLevel="2" x14ac:dyDescent="0.2">
      <c r="A229" s="284"/>
      <c r="B229" s="284"/>
      <c r="C229" s="285"/>
      <c r="D229" s="286"/>
      <c r="E229" s="301" t="s">
        <v>906</v>
      </c>
      <c r="F229" s="302">
        <f xml:space="preserve"> IF( INDEX(J229:T229, $I$4) = "", INDEX(J229:S229, $I$6), INDEX(J229:T229, $I$4))</f>
        <v>1.7000000000000001E-2</v>
      </c>
      <c r="G229" s="301" t="s">
        <v>116</v>
      </c>
      <c r="H229" s="301"/>
      <c r="I229" s="404" t="str">
        <f t="array" ref="I229" xml:space="preserve"> IF( INDEX(J229:T229, I$5) = "", IF( INDEX(J229:T229, I$6) = F229, "vw", "tu"), IF(INDEX(J229:T229, I$5) = F229, "vw", "tu"))</f>
        <v>tu</v>
      </c>
      <c r="J229" s="303"/>
      <c r="K229" s="304">
        <v>1.7000000000000001E-2</v>
      </c>
      <c r="L229" s="304">
        <v>2.5000000000000001E-2</v>
      </c>
      <c r="M229" s="304">
        <v>2.5000000000000001E-2</v>
      </c>
      <c r="N229" s="305"/>
      <c r="O229" s="306"/>
      <c r="P229" s="306"/>
      <c r="Q229" s="306"/>
      <c r="R229" s="306"/>
      <c r="S229" s="306"/>
      <c r="T229" s="305"/>
    </row>
    <row r="230" spans="1:20" outlineLevel="2" x14ac:dyDescent="0.2"/>
    <row r="231" spans="1:20" outlineLevel="2" x14ac:dyDescent="0.2">
      <c r="A231" s="456"/>
      <c r="B231" s="456"/>
      <c r="C231" s="457"/>
      <c r="D231" s="458"/>
      <c r="E231" s="234" t="s">
        <v>1072</v>
      </c>
      <c r="F231" s="747">
        <f t="shared" ref="F231:F255" si="10" xml:space="preserve"> IF( INDEX(J231:T231, $I$4) = "", INDEX(J231:S231, $I$6), INDEX(J231:T231, $I$4))</f>
        <v>2.5000000000000001E-2</v>
      </c>
      <c r="G231" s="301" t="s">
        <v>116</v>
      </c>
      <c r="H231" s="459"/>
      <c r="I231" s="437" t="str">
        <f t="array" ref="I231" xml:space="preserve"> IF( INDEX(J231:T231, I$5) = "", IF( INDEX(J231:T231, I$6) = F231, "vw", "tu"), IF(INDEX(J231:T231, I$5) = F231, "vw", "tu"))</f>
        <v>vw</v>
      </c>
      <c r="J231" s="460"/>
      <c r="K231" s="492">
        <v>2.5000000000000001E-2</v>
      </c>
      <c r="L231" s="492">
        <v>2.5000000000000001E-2</v>
      </c>
      <c r="M231" s="492">
        <v>2.5000000000000001E-2</v>
      </c>
      <c r="N231" s="465"/>
      <c r="O231" s="306"/>
      <c r="P231" s="306"/>
      <c r="Q231" s="306"/>
      <c r="R231" s="306"/>
      <c r="S231" s="306"/>
      <c r="T231" s="305"/>
    </row>
    <row r="232" spans="1:20" outlineLevel="2" x14ac:dyDescent="0.2">
      <c r="A232" s="456"/>
      <c r="B232" s="456"/>
      <c r="C232" s="457"/>
      <c r="D232" s="458"/>
      <c r="E232" s="234" t="s">
        <v>1073</v>
      </c>
      <c r="F232" s="747">
        <f t="shared" si="10"/>
        <v>2.5000000000000001E-2</v>
      </c>
      <c r="G232" s="301" t="s">
        <v>116</v>
      </c>
      <c r="H232" s="459"/>
      <c r="I232" s="437" t="str">
        <f t="array" ref="I232" xml:space="preserve"> IF( INDEX(J232:T232, I$5) = "", IF( INDEX(J232:T232, I$6) = F232, "vw", "tu"), IF(INDEX(J232:T232, I$5) = F232, "vw", "tu"))</f>
        <v>vw</v>
      </c>
      <c r="J232" s="460"/>
      <c r="K232" s="492">
        <v>2.5000000000000001E-2</v>
      </c>
      <c r="L232" s="492">
        <v>2.5000000000000001E-2</v>
      </c>
      <c r="M232" s="492">
        <v>2.5000000000000001E-2</v>
      </c>
      <c r="N232" s="465"/>
      <c r="O232" s="306"/>
      <c r="P232" s="306"/>
      <c r="Q232" s="306"/>
      <c r="R232" s="306"/>
      <c r="S232" s="306"/>
      <c r="T232" s="460"/>
    </row>
    <row r="233" spans="1:20" outlineLevel="2" x14ac:dyDescent="0.2">
      <c r="A233" s="456"/>
      <c r="B233" s="456"/>
      <c r="C233" s="457"/>
      <c r="D233" s="458"/>
      <c r="E233" s="234" t="s">
        <v>1074</v>
      </c>
      <c r="F233" s="747">
        <f t="shared" si="10"/>
        <v>2.5000000000000001E-2</v>
      </c>
      <c r="G233" s="301" t="s">
        <v>116</v>
      </c>
      <c r="H233" s="459"/>
      <c r="I233" s="437" t="str">
        <f t="array" ref="I233" xml:space="preserve"> IF( INDEX(J233:T233, I$5) = "", IF( INDEX(J233:T233, I$6) = F233, "vw", "tu"), IF(INDEX(J233:T233, I$5) = F233, "vw", "tu"))</f>
        <v>vw</v>
      </c>
      <c r="J233" s="460"/>
      <c r="K233" s="492">
        <v>2.5000000000000001E-2</v>
      </c>
      <c r="L233" s="492">
        <v>2.5000000000000001E-2</v>
      </c>
      <c r="M233" s="492">
        <v>2.5000000000000001E-2</v>
      </c>
      <c r="N233" s="465"/>
      <c r="O233" s="306"/>
      <c r="P233" s="306"/>
      <c r="Q233" s="306"/>
      <c r="R233" s="306"/>
      <c r="S233" s="306"/>
      <c r="T233" s="460"/>
    </row>
    <row r="234" spans="1:20" outlineLevel="2" x14ac:dyDescent="0.2">
      <c r="A234" s="456"/>
      <c r="B234" s="456"/>
      <c r="C234" s="457"/>
      <c r="D234" s="458"/>
      <c r="E234" s="234" t="s">
        <v>1075</v>
      </c>
      <c r="F234" s="747">
        <f t="shared" si="10"/>
        <v>2.5000000000000001E-2</v>
      </c>
      <c r="G234" s="301" t="s">
        <v>116</v>
      </c>
      <c r="H234" s="459"/>
      <c r="I234" s="437" t="str">
        <f t="array" ref="I234" xml:space="preserve"> IF( INDEX(J234:T234, I$5) = "", IF( INDEX(J234:T234, I$6) = F234, "vw", "tu"), IF(INDEX(J234:T234, I$5) = F234, "vw", "tu"))</f>
        <v>vw</v>
      </c>
      <c r="J234" s="460"/>
      <c r="K234" s="492">
        <v>2.5000000000000001E-2</v>
      </c>
      <c r="L234" s="492">
        <v>2.5000000000000001E-2</v>
      </c>
      <c r="M234" s="492">
        <v>2.5000000000000001E-2</v>
      </c>
      <c r="N234" s="465"/>
      <c r="O234" s="306"/>
      <c r="P234" s="306"/>
      <c r="Q234" s="306"/>
      <c r="R234" s="306"/>
      <c r="S234" s="306"/>
      <c r="T234" s="460"/>
    </row>
    <row r="235" spans="1:20" outlineLevel="2" x14ac:dyDescent="0.2">
      <c r="A235" s="456"/>
      <c r="B235" s="456"/>
      <c r="C235" s="457"/>
      <c r="D235" s="458"/>
      <c r="E235" s="234" t="s">
        <v>1076</v>
      </c>
      <c r="F235" s="747">
        <f t="shared" si="10"/>
        <v>2.5000000000000001E-2</v>
      </c>
      <c r="G235" s="301" t="s">
        <v>116</v>
      </c>
      <c r="H235" s="459"/>
      <c r="I235" s="437" t="str">
        <f t="array" ref="I235" xml:space="preserve"> IF( INDEX(J235:T235, I$5) = "", IF( INDEX(J235:T235, I$6) = F235, "vw", "tu"), IF(INDEX(J235:T235, I$5) = F235, "vw", "tu"))</f>
        <v>vw</v>
      </c>
      <c r="J235" s="460"/>
      <c r="K235" s="492">
        <v>2.5000000000000001E-2</v>
      </c>
      <c r="L235" s="492">
        <v>2.5000000000000001E-2</v>
      </c>
      <c r="M235" s="492">
        <v>2.5000000000000001E-2</v>
      </c>
      <c r="N235" s="465"/>
      <c r="O235" s="306"/>
      <c r="P235" s="306"/>
      <c r="Q235" s="306"/>
      <c r="R235" s="306"/>
      <c r="S235" s="306"/>
      <c r="T235" s="460"/>
    </row>
    <row r="236" spans="1:20" outlineLevel="2" x14ac:dyDescent="0.2">
      <c r="A236" s="456"/>
      <c r="B236" s="456"/>
      <c r="C236" s="457"/>
      <c r="D236" s="458"/>
      <c r="E236" s="234" t="s">
        <v>1077</v>
      </c>
      <c r="F236" s="747">
        <f t="shared" si="10"/>
        <v>2.7E-2</v>
      </c>
      <c r="G236" s="301" t="s">
        <v>116</v>
      </c>
      <c r="H236" s="459"/>
      <c r="I236" s="437" t="str">
        <f t="array" ref="I236" xml:space="preserve"> IF( INDEX(J236:T236, I$5) = "", IF( INDEX(J236:T236, I$6) = F236, "vw", "tu"), IF(INDEX(J236:T236, I$5) = F236, "vw", "tu"))</f>
        <v>tu</v>
      </c>
      <c r="J236" s="460"/>
      <c r="K236" s="492">
        <v>2.7E-2</v>
      </c>
      <c r="L236" s="492">
        <v>2.5000000000000001E-2</v>
      </c>
      <c r="M236" s="492">
        <v>2.5000000000000001E-2</v>
      </c>
      <c r="N236" s="465"/>
      <c r="O236" s="306"/>
      <c r="P236" s="306"/>
      <c r="Q236" s="306"/>
      <c r="R236" s="306"/>
      <c r="S236" s="306"/>
      <c r="T236" s="460"/>
    </row>
    <row r="237" spans="1:20" outlineLevel="2" x14ac:dyDescent="0.2">
      <c r="A237" s="456"/>
      <c r="B237" s="456"/>
      <c r="C237" s="457"/>
      <c r="D237" s="458"/>
      <c r="E237" s="234" t="s">
        <v>1078</v>
      </c>
      <c r="F237" s="747">
        <f t="shared" si="10"/>
        <v>2.7E-2</v>
      </c>
      <c r="G237" s="301" t="s">
        <v>116</v>
      </c>
      <c r="H237" s="459"/>
      <c r="I237" s="437" t="str">
        <f t="array" ref="I237" xml:space="preserve"> IF( INDEX(J237:T237, I$5) = "", IF( INDEX(J237:T237, I$6) = F237, "vw", "tu"), IF(INDEX(J237:T237, I$5) = F237, "vw", "tu"))</f>
        <v>tu</v>
      </c>
      <c r="J237" s="460"/>
      <c r="K237" s="492">
        <v>2.7E-2</v>
      </c>
      <c r="L237" s="492">
        <v>2.5000000000000001E-2</v>
      </c>
      <c r="M237" s="492">
        <v>2.5000000000000001E-2</v>
      </c>
      <c r="N237" s="465"/>
      <c r="O237" s="306"/>
      <c r="P237" s="306"/>
      <c r="Q237" s="306"/>
      <c r="R237" s="306"/>
      <c r="S237" s="306"/>
      <c r="T237" s="460"/>
    </row>
    <row r="238" spans="1:20" outlineLevel="2" x14ac:dyDescent="0.2">
      <c r="A238" s="456"/>
      <c r="B238" s="456"/>
      <c r="C238" s="457"/>
      <c r="D238" s="458"/>
      <c r="E238" s="234" t="s">
        <v>1079</v>
      </c>
      <c r="F238" s="747">
        <f t="shared" si="10"/>
        <v>2.7E-2</v>
      </c>
      <c r="G238" s="301" t="s">
        <v>116</v>
      </c>
      <c r="H238" s="459"/>
      <c r="I238" s="437" t="str">
        <f t="array" ref="I238" xml:space="preserve"> IF( INDEX(J238:T238, I$5) = "", IF( INDEX(J238:T238, I$6) = F238, "vw", "tu"), IF(INDEX(J238:T238, I$5) = F238, "vw", "tu"))</f>
        <v>tu</v>
      </c>
      <c r="J238" s="460"/>
      <c r="K238" s="492">
        <v>2.7E-2</v>
      </c>
      <c r="L238" s="492">
        <v>2.5000000000000001E-2</v>
      </c>
      <c r="M238" s="492">
        <v>2.5000000000000001E-2</v>
      </c>
      <c r="N238" s="465"/>
      <c r="O238" s="306"/>
      <c r="P238" s="306"/>
      <c r="Q238" s="306"/>
      <c r="R238" s="306"/>
      <c r="S238" s="306"/>
      <c r="T238" s="460"/>
    </row>
    <row r="239" spans="1:20" outlineLevel="2" x14ac:dyDescent="0.2">
      <c r="A239" s="456"/>
      <c r="B239" s="456"/>
      <c r="C239" s="457"/>
      <c r="D239" s="458"/>
      <c r="E239" s="234" t="s">
        <v>1080</v>
      </c>
      <c r="F239" s="747">
        <f t="shared" si="10"/>
        <v>2.7E-2</v>
      </c>
      <c r="G239" s="301" t="s">
        <v>116</v>
      </c>
      <c r="H239" s="459"/>
      <c r="I239" s="437" t="str">
        <f t="array" ref="I239" xml:space="preserve"> IF( INDEX(J239:T239, I$5) = "", IF( INDEX(J239:T239, I$6) = F239, "vw", "tu"), IF(INDEX(J239:T239, I$5) = F239, "vw", "tu"))</f>
        <v>tu</v>
      </c>
      <c r="J239" s="460"/>
      <c r="K239" s="492">
        <v>2.7E-2</v>
      </c>
      <c r="L239" s="492">
        <v>2.5000000000000001E-2</v>
      </c>
      <c r="M239" s="492">
        <v>2.5000000000000001E-2</v>
      </c>
      <c r="N239" s="465"/>
      <c r="O239" s="306"/>
      <c r="P239" s="306"/>
      <c r="Q239" s="306"/>
      <c r="R239" s="306"/>
      <c r="S239" s="306"/>
      <c r="T239" s="460"/>
    </row>
    <row r="240" spans="1:20" outlineLevel="2" x14ac:dyDescent="0.2">
      <c r="A240" s="456"/>
      <c r="B240" s="456"/>
      <c r="C240" s="457"/>
      <c r="D240" s="458"/>
      <c r="E240" s="234" t="s">
        <v>1081</v>
      </c>
      <c r="F240" s="747">
        <f t="shared" si="10"/>
        <v>2.7E-2</v>
      </c>
      <c r="G240" s="301" t="s">
        <v>116</v>
      </c>
      <c r="H240" s="459"/>
      <c r="I240" s="437" t="str">
        <f t="array" ref="I240" xml:space="preserve"> IF( INDEX(J240:T240, I$5) = "", IF( INDEX(J240:T240, I$6) = F240, "vw", "tu"), IF(INDEX(J240:T240, I$5) = F240, "vw", "tu"))</f>
        <v>tu</v>
      </c>
      <c r="J240" s="460"/>
      <c r="K240" s="492">
        <v>2.7E-2</v>
      </c>
      <c r="L240" s="492">
        <v>2.5000000000000001E-2</v>
      </c>
      <c r="M240" s="492">
        <v>2.5000000000000001E-2</v>
      </c>
      <c r="N240" s="465"/>
      <c r="O240" s="306"/>
      <c r="P240" s="306"/>
      <c r="Q240" s="306"/>
      <c r="R240" s="306"/>
      <c r="S240" s="306"/>
      <c r="T240" s="460"/>
    </row>
    <row r="241" spans="1:20" outlineLevel="2" x14ac:dyDescent="0.2">
      <c r="A241" s="456"/>
      <c r="B241" s="456"/>
      <c r="C241" s="457"/>
      <c r="D241" s="458"/>
      <c r="E241" s="234" t="s">
        <v>1082</v>
      </c>
      <c r="F241" s="747">
        <f t="shared" si="10"/>
        <v>2.9000000000000001E-2</v>
      </c>
      <c r="G241" s="301" t="s">
        <v>116</v>
      </c>
      <c r="H241" s="459"/>
      <c r="I241" s="437" t="str">
        <f t="array" ref="I241" xml:space="preserve"> IF( INDEX(J241:T241, I$5) = "", IF( INDEX(J241:T241, I$6) = F241, "vw", "tu"), IF(INDEX(J241:T241, I$5) = F241, "vw", "tu"))</f>
        <v>tu</v>
      </c>
      <c r="J241" s="460"/>
      <c r="K241" s="492">
        <v>2.9000000000000001E-2</v>
      </c>
      <c r="L241" s="492">
        <v>2.5000000000000001E-2</v>
      </c>
      <c r="M241" s="492">
        <v>2.5000000000000001E-2</v>
      </c>
      <c r="N241" s="465"/>
      <c r="O241" s="306"/>
      <c r="P241" s="306"/>
      <c r="Q241" s="306"/>
      <c r="R241" s="306"/>
      <c r="S241" s="306"/>
      <c r="T241" s="460"/>
    </row>
    <row r="242" spans="1:20" outlineLevel="2" x14ac:dyDescent="0.2">
      <c r="A242" s="456"/>
      <c r="B242" s="456"/>
      <c r="C242" s="457"/>
      <c r="D242" s="458"/>
      <c r="E242" s="234" t="s">
        <v>1083</v>
      </c>
      <c r="F242" s="747">
        <f t="shared" si="10"/>
        <v>2.9000000000000001E-2</v>
      </c>
      <c r="G242" s="301" t="s">
        <v>116</v>
      </c>
      <c r="H242" s="459"/>
      <c r="I242" s="437" t="str">
        <f t="array" ref="I242" xml:space="preserve"> IF( INDEX(J242:T242, I$5) = "", IF( INDEX(J242:T242, I$6) = F242, "vw", "tu"), IF(INDEX(J242:T242, I$5) = F242, "vw", "tu"))</f>
        <v>tu</v>
      </c>
      <c r="J242" s="460"/>
      <c r="K242" s="492">
        <v>2.9000000000000001E-2</v>
      </c>
      <c r="L242" s="492">
        <v>2.5000000000000001E-2</v>
      </c>
      <c r="M242" s="492">
        <v>2.5000000000000001E-2</v>
      </c>
      <c r="N242" s="465"/>
      <c r="O242" s="306"/>
      <c r="P242" s="306"/>
      <c r="Q242" s="306"/>
      <c r="R242" s="306"/>
      <c r="S242" s="306"/>
      <c r="T242" s="460"/>
    </row>
    <row r="243" spans="1:20" outlineLevel="2" x14ac:dyDescent="0.2">
      <c r="A243" s="456"/>
      <c r="B243" s="456"/>
      <c r="C243" s="457"/>
      <c r="D243" s="458"/>
      <c r="E243" s="234" t="s">
        <v>1084</v>
      </c>
      <c r="F243" s="747">
        <f t="shared" si="10"/>
        <v>2.9000000000000001E-2</v>
      </c>
      <c r="G243" s="301" t="s">
        <v>116</v>
      </c>
      <c r="H243" s="459"/>
      <c r="I243" s="437" t="str">
        <f t="array" ref="I243" xml:space="preserve"> IF( INDEX(J243:T243, I$5) = "", IF( INDEX(J243:T243, I$6) = F243, "vw", "tu"), IF(INDEX(J243:T243, I$5) = F243, "vw", "tu"))</f>
        <v>tu</v>
      </c>
      <c r="J243" s="460"/>
      <c r="K243" s="492">
        <v>2.9000000000000001E-2</v>
      </c>
      <c r="L243" s="492">
        <v>2.5000000000000001E-2</v>
      </c>
      <c r="M243" s="492">
        <v>2.5000000000000001E-2</v>
      </c>
      <c r="N243" s="465"/>
      <c r="O243" s="306"/>
      <c r="P243" s="306"/>
      <c r="Q243" s="306"/>
      <c r="R243" s="306"/>
      <c r="S243" s="306"/>
      <c r="T243" s="460"/>
    </row>
    <row r="244" spans="1:20" outlineLevel="2" x14ac:dyDescent="0.2">
      <c r="A244" s="456"/>
      <c r="B244" s="456"/>
      <c r="C244" s="457"/>
      <c r="D244" s="458"/>
      <c r="E244" s="234" t="s">
        <v>1085</v>
      </c>
      <c r="F244" s="747">
        <f t="shared" si="10"/>
        <v>2.9000000000000001E-2</v>
      </c>
      <c r="G244" s="301" t="s">
        <v>116</v>
      </c>
      <c r="H244" s="459"/>
      <c r="I244" s="437" t="str">
        <f t="array" ref="I244" xml:space="preserve"> IF( INDEX(J244:T244, I$5) = "", IF( INDEX(J244:T244, I$6) = F244, "vw", "tu"), IF(INDEX(J244:T244, I$5) = F244, "vw", "tu"))</f>
        <v>tu</v>
      </c>
      <c r="J244" s="460"/>
      <c r="K244" s="492">
        <v>2.9000000000000001E-2</v>
      </c>
      <c r="L244" s="492">
        <v>2.5000000000000001E-2</v>
      </c>
      <c r="M244" s="492">
        <v>2.5000000000000001E-2</v>
      </c>
      <c r="N244" s="465"/>
      <c r="O244" s="306"/>
      <c r="P244" s="306"/>
      <c r="Q244" s="306"/>
      <c r="R244" s="306"/>
      <c r="S244" s="306"/>
      <c r="T244" s="460"/>
    </row>
    <row r="245" spans="1:20" outlineLevel="2" x14ac:dyDescent="0.2">
      <c r="A245" s="456"/>
      <c r="B245" s="456"/>
      <c r="C245" s="457"/>
      <c r="D245" s="458"/>
      <c r="E245" s="234" t="s">
        <v>1086</v>
      </c>
      <c r="F245" s="747">
        <f t="shared" si="10"/>
        <v>2.9000000000000001E-2</v>
      </c>
      <c r="G245" s="301" t="s">
        <v>116</v>
      </c>
      <c r="H245" s="459"/>
      <c r="I245" s="437" t="str">
        <f t="array" ref="I245" xml:space="preserve"> IF( INDEX(J245:T245, I$5) = "", IF( INDEX(J245:T245, I$6) = F245, "vw", "tu"), IF(INDEX(J245:T245, I$5) = F245, "vw", "tu"))</f>
        <v>tu</v>
      </c>
      <c r="J245" s="460"/>
      <c r="K245" s="492">
        <v>2.9000000000000001E-2</v>
      </c>
      <c r="L245" s="492">
        <v>2.5000000000000001E-2</v>
      </c>
      <c r="M245" s="492">
        <v>2.5000000000000001E-2</v>
      </c>
      <c r="N245" s="465"/>
      <c r="O245" s="306"/>
      <c r="P245" s="306"/>
      <c r="Q245" s="306"/>
      <c r="R245" s="306"/>
      <c r="S245" s="306"/>
      <c r="T245" s="460"/>
    </row>
    <row r="246" spans="1:20" outlineLevel="2" x14ac:dyDescent="0.2">
      <c r="A246" s="456"/>
      <c r="B246" s="456"/>
      <c r="C246" s="457"/>
      <c r="D246" s="458"/>
      <c r="E246" s="234" t="s">
        <v>1087</v>
      </c>
      <c r="F246" s="747">
        <f t="shared" si="10"/>
        <v>2.9000000000000001E-2</v>
      </c>
      <c r="G246" s="301" t="s">
        <v>116</v>
      </c>
      <c r="H246" s="459"/>
      <c r="I246" s="437" t="str">
        <f t="array" ref="I246" xml:space="preserve"> IF( INDEX(J246:T246, I$5) = "", IF( INDEX(J246:T246, I$6) = F246, "vw", "tu"), IF(INDEX(J246:T246, I$5) = F246, "vw", "tu"))</f>
        <v>tu</v>
      </c>
      <c r="J246" s="460"/>
      <c r="K246" s="492">
        <v>2.9000000000000001E-2</v>
      </c>
      <c r="L246" s="492">
        <v>2.5000000000000001E-2</v>
      </c>
      <c r="M246" s="492">
        <v>2.5000000000000001E-2</v>
      </c>
      <c r="N246" s="465"/>
      <c r="O246" s="306"/>
      <c r="P246" s="306"/>
      <c r="Q246" s="306"/>
      <c r="R246" s="306"/>
      <c r="S246" s="306"/>
      <c r="T246" s="460"/>
    </row>
    <row r="247" spans="1:20" outlineLevel="2" x14ac:dyDescent="0.2">
      <c r="A247" s="456"/>
      <c r="B247" s="456"/>
      <c r="C247" s="457"/>
      <c r="D247" s="458"/>
      <c r="E247" s="234" t="s">
        <v>1088</v>
      </c>
      <c r="F247" s="747">
        <f t="shared" si="10"/>
        <v>2.9000000000000001E-2</v>
      </c>
      <c r="G247" s="301" t="s">
        <v>116</v>
      </c>
      <c r="H247" s="459"/>
      <c r="I247" s="437" t="str">
        <f t="array" ref="I247" xml:space="preserve"> IF( INDEX(J247:T247, I$5) = "", IF( INDEX(J247:T247, I$6) = F247, "vw", "tu"), IF(INDEX(J247:T247, I$5) = F247, "vw", "tu"))</f>
        <v>tu</v>
      </c>
      <c r="J247" s="460"/>
      <c r="K247" s="492">
        <v>2.9000000000000001E-2</v>
      </c>
      <c r="L247" s="492">
        <v>2.5000000000000001E-2</v>
      </c>
      <c r="M247" s="492">
        <v>2.5000000000000001E-2</v>
      </c>
      <c r="N247" s="465"/>
      <c r="O247" s="306"/>
      <c r="P247" s="306"/>
      <c r="Q247" s="306"/>
      <c r="R247" s="306"/>
      <c r="S247" s="306"/>
      <c r="T247" s="460"/>
    </row>
    <row r="248" spans="1:20" outlineLevel="2" x14ac:dyDescent="0.2">
      <c r="A248" s="456"/>
      <c r="B248" s="456"/>
      <c r="C248" s="457"/>
      <c r="D248" s="458"/>
      <c r="E248" s="234" t="s">
        <v>1089</v>
      </c>
      <c r="F248" s="747">
        <f t="shared" si="10"/>
        <v>2.9000000000000001E-2</v>
      </c>
      <c r="G248" s="301" t="s">
        <v>116</v>
      </c>
      <c r="H248" s="459"/>
      <c r="I248" s="437" t="str">
        <f t="array" ref="I248" xml:space="preserve"> IF( INDEX(J248:T248, I$5) = "", IF( INDEX(J248:T248, I$6) = F248, "vw", "tu"), IF(INDEX(J248:T248, I$5) = F248, "vw", "tu"))</f>
        <v>tu</v>
      </c>
      <c r="J248" s="460"/>
      <c r="K248" s="492">
        <v>2.9000000000000001E-2</v>
      </c>
      <c r="L248" s="492">
        <v>2.5000000000000001E-2</v>
      </c>
      <c r="M248" s="492">
        <v>2.5000000000000001E-2</v>
      </c>
      <c r="N248" s="465"/>
      <c r="O248" s="306"/>
      <c r="P248" s="306"/>
      <c r="Q248" s="306"/>
      <c r="R248" s="306"/>
      <c r="S248" s="306"/>
      <c r="T248" s="460"/>
    </row>
    <row r="249" spans="1:20" outlineLevel="2" x14ac:dyDescent="0.2">
      <c r="A249" s="456"/>
      <c r="B249" s="456"/>
      <c r="C249" s="457"/>
      <c r="D249" s="458"/>
      <c r="E249" s="234" t="s">
        <v>1090</v>
      </c>
      <c r="F249" s="747">
        <f t="shared" si="10"/>
        <v>2.9000000000000001E-2</v>
      </c>
      <c r="G249" s="301" t="s">
        <v>116</v>
      </c>
      <c r="H249" s="459"/>
      <c r="I249" s="437" t="str">
        <f t="array" ref="I249" xml:space="preserve"> IF( INDEX(J249:T249, I$5) = "", IF( INDEX(J249:T249, I$6) = F249, "vw", "tu"), IF(INDEX(J249:T249, I$5) = F249, "vw", "tu"))</f>
        <v>tu</v>
      </c>
      <c r="J249" s="460"/>
      <c r="K249" s="492">
        <v>2.9000000000000001E-2</v>
      </c>
      <c r="L249" s="492">
        <v>2.5000000000000001E-2</v>
      </c>
      <c r="M249" s="492">
        <v>2.5000000000000001E-2</v>
      </c>
      <c r="N249" s="465"/>
      <c r="O249" s="306"/>
      <c r="P249" s="306"/>
      <c r="Q249" s="306"/>
      <c r="R249" s="306"/>
      <c r="S249" s="306"/>
      <c r="T249" s="460"/>
    </row>
    <row r="250" spans="1:20" outlineLevel="2" x14ac:dyDescent="0.2">
      <c r="A250" s="456"/>
      <c r="B250" s="456"/>
      <c r="C250" s="457"/>
      <c r="D250" s="458"/>
      <c r="E250" s="234" t="s">
        <v>1091</v>
      </c>
      <c r="F250" s="747">
        <f t="shared" si="10"/>
        <v>2.9000000000000001E-2</v>
      </c>
      <c r="G250" s="301" t="s">
        <v>116</v>
      </c>
      <c r="H250" s="459"/>
      <c r="I250" s="437" t="str">
        <f t="array" ref="I250" xml:space="preserve"> IF( INDEX(J250:T250, I$5) = "", IF( INDEX(J250:T250, I$6) = F250, "vw", "tu"), IF(INDEX(J250:T250, I$5) = F250, "vw", "tu"))</f>
        <v>tu</v>
      </c>
      <c r="J250" s="460"/>
      <c r="K250" s="492">
        <v>2.9000000000000001E-2</v>
      </c>
      <c r="L250" s="492">
        <v>2.5000000000000001E-2</v>
      </c>
      <c r="M250" s="492">
        <v>2.5000000000000001E-2</v>
      </c>
      <c r="N250" s="465"/>
      <c r="O250" s="306"/>
      <c r="P250" s="306"/>
      <c r="Q250" s="306"/>
      <c r="R250" s="306"/>
      <c r="S250" s="306"/>
      <c r="T250" s="460"/>
    </row>
    <row r="251" spans="1:20" outlineLevel="2" x14ac:dyDescent="0.2">
      <c r="A251" s="456"/>
      <c r="B251" s="456"/>
      <c r="C251" s="457"/>
      <c r="D251" s="458"/>
      <c r="E251" s="234" t="s">
        <v>1092</v>
      </c>
      <c r="F251" s="747">
        <f t="shared" si="10"/>
        <v>2.9000000000000001E-2</v>
      </c>
      <c r="G251" s="301" t="s">
        <v>116</v>
      </c>
      <c r="H251" s="459"/>
      <c r="I251" s="437" t="str">
        <f t="array" ref="I251" xml:space="preserve"> IF( INDEX(J251:T251, I$5) = "", IF( INDEX(J251:T251, I$6) = F251, "vw", "tu"), IF(INDEX(J251:T251, I$5) = F251, "vw", "tu"))</f>
        <v>tu</v>
      </c>
      <c r="J251" s="460"/>
      <c r="K251" s="492">
        <v>2.9000000000000001E-2</v>
      </c>
      <c r="L251" s="492">
        <v>2.5000000000000001E-2</v>
      </c>
      <c r="M251" s="492">
        <v>2.5000000000000001E-2</v>
      </c>
      <c r="N251" s="465"/>
      <c r="O251" s="306"/>
      <c r="P251" s="306"/>
      <c r="Q251" s="306"/>
      <c r="R251" s="306"/>
      <c r="S251" s="306"/>
      <c r="T251" s="460"/>
    </row>
    <row r="252" spans="1:20" outlineLevel="2" x14ac:dyDescent="0.2">
      <c r="A252" s="456"/>
      <c r="B252" s="456"/>
      <c r="C252" s="457"/>
      <c r="D252" s="458"/>
      <c r="E252" s="234" t="s">
        <v>1093</v>
      </c>
      <c r="F252" s="747">
        <f t="shared" si="10"/>
        <v>2.9000000000000001E-2</v>
      </c>
      <c r="G252" s="301" t="s">
        <v>116</v>
      </c>
      <c r="H252" s="459"/>
      <c r="I252" s="437" t="str">
        <f t="array" ref="I252" xml:space="preserve"> IF( INDEX(J252:T252, I$5) = "", IF( INDEX(J252:T252, I$6) = F252, "vw", "tu"), IF(INDEX(J252:T252, I$5) = F252, "vw", "tu"))</f>
        <v>tu</v>
      </c>
      <c r="J252" s="460"/>
      <c r="K252" s="492">
        <v>2.9000000000000001E-2</v>
      </c>
      <c r="L252" s="492">
        <v>2.5000000000000001E-2</v>
      </c>
      <c r="M252" s="492">
        <v>2.5000000000000001E-2</v>
      </c>
      <c r="N252" s="465"/>
      <c r="O252" s="306"/>
      <c r="P252" s="306"/>
      <c r="Q252" s="306"/>
      <c r="R252" s="306"/>
      <c r="S252" s="306"/>
      <c r="T252" s="460"/>
    </row>
    <row r="253" spans="1:20" outlineLevel="2" x14ac:dyDescent="0.2">
      <c r="A253" s="456"/>
      <c r="B253" s="456"/>
      <c r="C253" s="457"/>
      <c r="D253" s="458"/>
      <c r="E253" s="234" t="s">
        <v>1094</v>
      </c>
      <c r="F253" s="747">
        <f t="shared" si="10"/>
        <v>2.9000000000000001E-2</v>
      </c>
      <c r="G253" s="301" t="s">
        <v>116</v>
      </c>
      <c r="H253" s="459"/>
      <c r="I253" s="437" t="str">
        <f t="array" ref="I253" xml:space="preserve"> IF( INDEX(J253:T253, I$5) = "", IF( INDEX(J253:T253, I$6) = F253, "vw", "tu"), IF(INDEX(J253:T253, I$5) = F253, "vw", "tu"))</f>
        <v>tu</v>
      </c>
      <c r="J253" s="460"/>
      <c r="K253" s="492">
        <v>2.9000000000000001E-2</v>
      </c>
      <c r="L253" s="492">
        <v>2.5000000000000001E-2</v>
      </c>
      <c r="M253" s="492">
        <v>2.5000000000000001E-2</v>
      </c>
      <c r="N253" s="465"/>
      <c r="O253" s="306"/>
      <c r="P253" s="306"/>
      <c r="Q253" s="306"/>
      <c r="R253" s="306"/>
      <c r="S253" s="306"/>
      <c r="T253" s="460"/>
    </row>
    <row r="254" spans="1:20" outlineLevel="2" x14ac:dyDescent="0.2">
      <c r="A254" s="456"/>
      <c r="B254" s="456"/>
      <c r="C254" s="457"/>
      <c r="D254" s="458"/>
      <c r="E254" s="234" t="s">
        <v>1095</v>
      </c>
      <c r="F254" s="747">
        <f t="shared" si="10"/>
        <v>2.9000000000000001E-2</v>
      </c>
      <c r="G254" s="301" t="s">
        <v>116</v>
      </c>
      <c r="H254" s="459"/>
      <c r="I254" s="437" t="str">
        <f t="array" ref="I254" xml:space="preserve"> IF( INDEX(J254:T254, I$5) = "", IF( INDEX(J254:T254, I$6) = F254, "vw", "tu"), IF(INDEX(J254:T254, I$5) = F254, "vw", "tu"))</f>
        <v>tu</v>
      </c>
      <c r="J254" s="460"/>
      <c r="K254" s="492">
        <v>2.9000000000000001E-2</v>
      </c>
      <c r="L254" s="492">
        <v>2.5000000000000001E-2</v>
      </c>
      <c r="M254" s="492">
        <v>2.5000000000000001E-2</v>
      </c>
      <c r="N254" s="465"/>
      <c r="O254" s="306"/>
      <c r="P254" s="306"/>
      <c r="Q254" s="306"/>
      <c r="R254" s="306"/>
      <c r="S254" s="306"/>
      <c r="T254" s="460"/>
    </row>
    <row r="255" spans="1:20" outlineLevel="2" x14ac:dyDescent="0.2">
      <c r="A255" s="456"/>
      <c r="B255" s="456"/>
      <c r="C255" s="457"/>
      <c r="D255" s="458"/>
      <c r="E255" s="234" t="s">
        <v>1096</v>
      </c>
      <c r="F255" s="747">
        <f t="shared" si="10"/>
        <v>2.9000000000000001E-2</v>
      </c>
      <c r="G255" s="301" t="s">
        <v>116</v>
      </c>
      <c r="H255" s="459"/>
      <c r="I255" s="437" t="str">
        <f t="array" ref="I255" xml:space="preserve"> IF( INDEX(J255:T255, I$5) = "", IF( INDEX(J255:T255, I$6) = F255, "vw", "tu"), IF(INDEX(J255:T255, I$5) = F255, "vw", "tu"))</f>
        <v>tu</v>
      </c>
      <c r="J255" s="460"/>
      <c r="K255" s="492">
        <v>2.9000000000000001E-2</v>
      </c>
      <c r="L255" s="492">
        <v>2.5000000000000001E-2</v>
      </c>
      <c r="M255" s="492">
        <v>2.5000000000000001E-2</v>
      </c>
      <c r="N255" s="465"/>
      <c r="O255" s="306"/>
      <c r="P255" s="306"/>
      <c r="Q255" s="306"/>
      <c r="R255" s="306"/>
      <c r="S255" s="306"/>
      <c r="T255" s="460"/>
    </row>
    <row r="256" spans="1:20" outlineLevel="2" x14ac:dyDescent="0.2">
      <c r="A256" s="456"/>
      <c r="B256" s="456"/>
      <c r="C256" s="457"/>
      <c r="D256" s="458"/>
      <c r="E256" s="234"/>
      <c r="F256" s="234"/>
      <c r="G256" s="463"/>
      <c r="H256" s="459"/>
      <c r="I256" s="437"/>
      <c r="J256" s="460"/>
    </row>
    <row r="257" spans="1:20" outlineLevel="2" x14ac:dyDescent="0.2">
      <c r="A257" s="405"/>
      <c r="B257" s="405"/>
      <c r="C257" s="406"/>
      <c r="D257" s="192"/>
      <c r="E257" s="192" t="s">
        <v>907</v>
      </c>
      <c r="F257" s="407">
        <f xml:space="preserve"> IF( INDEX(J257:T257, $I$4) = "", INDEX(J257:S257, $I$6), INDEX(J257:T257, $I$4))</f>
        <v>6</v>
      </c>
      <c r="G257" s="192" t="s">
        <v>10</v>
      </c>
      <c r="H257" s="191"/>
      <c r="I257" s="404" t="str">
        <f t="array" ref="I257" xml:space="preserve"> IF( INDEX(J257:T257, I$5) = "", IF( INDEX(J257:T257, I$6) = F257, "vw", "tu"), IF(INDEX(J257:T257, I$5) = F257, "vw", "tu"))</f>
        <v>vw</v>
      </c>
      <c r="J257" s="319"/>
      <c r="K257" s="408">
        <v>6</v>
      </c>
      <c r="L257" s="408">
        <v>6</v>
      </c>
      <c r="M257" s="408">
        <v>6</v>
      </c>
      <c r="N257" s="319"/>
      <c r="O257" s="408"/>
      <c r="P257" s="408"/>
      <c r="Q257" s="408"/>
      <c r="R257" s="408"/>
      <c r="S257" s="408"/>
      <c r="T257" s="319"/>
    </row>
    <row r="258" spans="1:20" outlineLevel="2" x14ac:dyDescent="0.2"/>
    <row r="259" spans="1:20" outlineLevel="2" x14ac:dyDescent="0.2">
      <c r="E259" s="12" t="str">
        <f t="shared" ref="E259:G259" si="11" xml:space="preserve"> E$21</f>
        <v>Length of PPA</v>
      </c>
      <c r="F259" s="407">
        <f t="shared" si="11"/>
        <v>20</v>
      </c>
      <c r="G259" s="12" t="str">
        <f t="shared" si="11"/>
        <v>years</v>
      </c>
    </row>
    <row r="260" spans="1:20" outlineLevel="2" x14ac:dyDescent="0.2">
      <c r="E260" s="192" t="s">
        <v>908</v>
      </c>
      <c r="F260" s="407">
        <f xml:space="preserve"> IF( INDEX(J260:T260, $I$4) = "", INDEX(J260:S260, $I$6), INDEX(J260:T260, $I$4))</f>
        <v>3</v>
      </c>
      <c r="G260" s="192" t="s">
        <v>29</v>
      </c>
      <c r="H260" s="191"/>
      <c r="I260" s="404" t="str">
        <f t="array" ref="I260" xml:space="preserve"> IF( INDEX(J260:T260, I$5) = "", IF( INDEX(J260:T260, I$6) = F260, "vw", "tu"), IF(INDEX(J260:T260, I$5) = F260, "vw", "tu"))</f>
        <v>tu</v>
      </c>
      <c r="J260" s="319"/>
      <c r="K260" s="408">
        <v>3</v>
      </c>
      <c r="L260" s="408">
        <v>5</v>
      </c>
      <c r="M260" s="408">
        <v>5</v>
      </c>
      <c r="O260" s="408"/>
      <c r="P260" s="408"/>
      <c r="Q260" s="408"/>
      <c r="R260" s="408"/>
      <c r="S260" s="408"/>
    </row>
    <row r="261" spans="1:20" outlineLevel="2" x14ac:dyDescent="0.2">
      <c r="A261" s="405"/>
      <c r="B261" s="405"/>
      <c r="C261" s="406"/>
      <c r="D261" s="192"/>
      <c r="E261" s="192" t="s">
        <v>909</v>
      </c>
      <c r="F261" s="407">
        <f xml:space="preserve"> F259 - F260</f>
        <v>17</v>
      </c>
      <c r="G261" s="192" t="s">
        <v>29</v>
      </c>
      <c r="H261" s="191" t="s">
        <v>918</v>
      </c>
      <c r="I261" s="404"/>
      <c r="J261" s="319"/>
      <c r="T261" s="319"/>
    </row>
    <row r="262" spans="1:20" outlineLevel="2" x14ac:dyDescent="0.2"/>
    <row r="263" spans="1:20" outlineLevel="2" x14ac:dyDescent="0.2">
      <c r="A263" s="434"/>
      <c r="B263" s="434"/>
      <c r="C263" s="435"/>
      <c r="D263" s="436"/>
      <c r="E263" s="146" t="s">
        <v>910</v>
      </c>
      <c r="F263" s="164">
        <f xml:space="preserve"> IF( INDEX(J263:T263, $I$4) = "", INDEX(J263:S263, $I$6), INDEX(J263:T263, $I$4))</f>
        <v>2</v>
      </c>
      <c r="G263" s="146" t="s">
        <v>218</v>
      </c>
      <c r="H263" s="146"/>
      <c r="I263" s="437" t="str">
        <f t="array" ref="I263" xml:space="preserve"> IF( INDEX(J263:T263, I$5) = "", IF( INDEX(J263:T263, I$6) = F263, "vw", "tu"), IF(INDEX(J263:T263, I$5) = F263, "vw", "tu"))</f>
        <v>vw</v>
      </c>
      <c r="J263" s="256"/>
      <c r="K263" s="438">
        <v>2</v>
      </c>
      <c r="L263" s="438">
        <v>2</v>
      </c>
      <c r="M263" s="438">
        <v>2</v>
      </c>
      <c r="N263" s="173"/>
      <c r="O263" s="439"/>
      <c r="P263" s="439"/>
      <c r="Q263" s="439"/>
      <c r="R263" s="439"/>
      <c r="S263" s="439"/>
      <c r="T263" s="173"/>
    </row>
    <row r="264" spans="1:20" outlineLevel="2" x14ac:dyDescent="0.2">
      <c r="H264" s="525" t="s">
        <v>917</v>
      </c>
    </row>
    <row r="265" spans="1:20" outlineLevel="2" x14ac:dyDescent="0.2">
      <c r="A265" s="456"/>
      <c r="B265" s="456"/>
      <c r="C265" s="19" t="s">
        <v>892</v>
      </c>
      <c r="D265" s="458"/>
      <c r="E265" s="234"/>
      <c r="F265" s="234"/>
      <c r="G265" s="463"/>
      <c r="H265" s="459"/>
      <c r="I265" s="437"/>
      <c r="J265" s="460"/>
    </row>
    <row r="266" spans="1:20" outlineLevel="2" x14ac:dyDescent="0.2">
      <c r="E266" s="6" t="s">
        <v>911</v>
      </c>
      <c r="F266" s="164">
        <f xml:space="preserve"> IF( INDEX(J266:T266, $I$4) = "", INDEX(J266:S266, $I$6), INDEX(J266:T266, $I$4))</f>
        <v>360</v>
      </c>
      <c r="G266" s="6" t="s">
        <v>161</v>
      </c>
      <c r="H266" s="6"/>
      <c r="I266" s="404" t="str">
        <f t="array" ref="I266" xml:space="preserve"> IF( INDEX(J266:T266, I$5) = "", IF( INDEX(J266:T266, I$6) = F266, "vw", "tu"), IF(INDEX(J266:T266, I$5) = F266, "vw", "tu"))</f>
        <v>vw</v>
      </c>
      <c r="J266" s="256"/>
      <c r="K266" s="289">
        <v>360</v>
      </c>
      <c r="L266" s="289">
        <v>360</v>
      </c>
      <c r="M266" s="289">
        <v>360</v>
      </c>
      <c r="N266" s="173"/>
      <c r="O266" s="307"/>
      <c r="P266" s="307"/>
      <c r="Q266" s="307"/>
      <c r="R266" s="307"/>
      <c r="S266" s="307"/>
      <c r="T266" s="173"/>
    </row>
    <row r="267" spans="1:20" outlineLevel="2" x14ac:dyDescent="0.2">
      <c r="A267" s="284"/>
      <c r="B267" s="284"/>
      <c r="C267" s="285"/>
      <c r="D267" s="286"/>
      <c r="E267" s="301" t="s">
        <v>912</v>
      </c>
      <c r="F267" s="302">
        <f xml:space="preserve"> IF( INDEX(J267:T267, $I$4) = "", INDEX(J267:S267, $I$6), INDEX(J267:T267, $I$4))</f>
        <v>1.7000000000000001E-2</v>
      </c>
      <c r="G267" s="301" t="s">
        <v>116</v>
      </c>
      <c r="H267" s="301"/>
      <c r="I267" s="404" t="str">
        <f t="array" ref="I267" xml:space="preserve"> IF( INDEX(J267:T267, I$5) = "", IF( INDEX(J267:T267, I$6) = F267, "vw", "tu"), IF(INDEX(J267:T267, I$5) = F267, "vw", "tu"))</f>
        <v>tu</v>
      </c>
      <c r="J267" s="303"/>
      <c r="K267" s="304">
        <v>1.7000000000000001E-2</v>
      </c>
      <c r="L267" s="304">
        <v>2.5000000000000001E-2</v>
      </c>
      <c r="M267" s="304">
        <v>2.5000000000000001E-2</v>
      </c>
      <c r="N267" s="305"/>
      <c r="O267" s="306"/>
      <c r="P267" s="306"/>
      <c r="Q267" s="306"/>
      <c r="R267" s="306"/>
      <c r="S267" s="306"/>
      <c r="T267" s="305"/>
    </row>
    <row r="268" spans="1:20" outlineLevel="2" x14ac:dyDescent="0.2"/>
    <row r="269" spans="1:20" outlineLevel="2" x14ac:dyDescent="0.2">
      <c r="A269" s="456"/>
      <c r="B269" s="456"/>
      <c r="C269" s="457"/>
      <c r="D269" s="458"/>
      <c r="E269" s="234" t="s">
        <v>1097</v>
      </c>
      <c r="F269" s="747">
        <f t="shared" ref="F269:F293" si="12" xml:space="preserve"> IF( INDEX(J269:T269, $I$4) = "", INDEX(J269:S269, $I$6), INDEX(J269:T269, $I$4))</f>
        <v>0.03</v>
      </c>
      <c r="G269" s="301" t="s">
        <v>116</v>
      </c>
      <c r="H269" s="459"/>
      <c r="I269" s="437" t="str">
        <f t="array" ref="I269" xml:space="preserve"> IF( INDEX(J269:T269, I$5) = "", IF( INDEX(J269:T269, I$6) = F269, "vw", "tu"), IF(INDEX(J269:T269, I$5) = F269, "vw", "tu"))</f>
        <v>tu</v>
      </c>
      <c r="J269" s="460"/>
      <c r="K269" s="492">
        <v>0.03</v>
      </c>
      <c r="L269" s="492">
        <v>2.5000000000000001E-2</v>
      </c>
      <c r="M269" s="492">
        <v>2.5000000000000001E-2</v>
      </c>
      <c r="N269" s="465"/>
      <c r="O269" s="306"/>
      <c r="P269" s="306"/>
      <c r="Q269" s="306"/>
      <c r="R269" s="306"/>
      <c r="S269" s="306"/>
      <c r="T269" s="305"/>
    </row>
    <row r="270" spans="1:20" outlineLevel="2" x14ac:dyDescent="0.2">
      <c r="A270" s="456"/>
      <c r="B270" s="456"/>
      <c r="C270" s="457"/>
      <c r="D270" s="458"/>
      <c r="E270" s="234" t="s">
        <v>1098</v>
      </c>
      <c r="F270" s="747">
        <f t="shared" si="12"/>
        <v>0.03</v>
      </c>
      <c r="G270" s="301" t="s">
        <v>116</v>
      </c>
      <c r="H270" s="459"/>
      <c r="I270" s="437" t="str">
        <f t="array" ref="I270" xml:space="preserve"> IF( INDEX(J270:T270, I$5) = "", IF( INDEX(J270:T270, I$6) = F270, "vw", "tu"), IF(INDEX(J270:T270, I$5) = F270, "vw", "tu"))</f>
        <v>tu</v>
      </c>
      <c r="J270" s="460"/>
      <c r="K270" s="492">
        <v>0.03</v>
      </c>
      <c r="L270" s="492">
        <v>2.5000000000000001E-2</v>
      </c>
      <c r="M270" s="492">
        <v>2.5000000000000001E-2</v>
      </c>
      <c r="N270" s="465"/>
      <c r="O270" s="306"/>
      <c r="P270" s="306"/>
      <c r="Q270" s="306"/>
      <c r="R270" s="306"/>
      <c r="S270" s="306"/>
      <c r="T270" s="305"/>
    </row>
    <row r="271" spans="1:20" outlineLevel="2" x14ac:dyDescent="0.2">
      <c r="A271" s="456"/>
      <c r="B271" s="456"/>
      <c r="C271" s="457"/>
      <c r="D271" s="458"/>
      <c r="E271" s="234" t="s">
        <v>1099</v>
      </c>
      <c r="F271" s="747">
        <f t="shared" si="12"/>
        <v>0.03</v>
      </c>
      <c r="G271" s="301" t="s">
        <v>116</v>
      </c>
      <c r="H271" s="459"/>
      <c r="I271" s="437" t="str">
        <f t="array" ref="I271" xml:space="preserve"> IF( INDEX(J271:T271, I$5) = "", IF( INDEX(J271:T271, I$6) = F271, "vw", "tu"), IF(INDEX(J271:T271, I$5) = F271, "vw", "tu"))</f>
        <v>tu</v>
      </c>
      <c r="J271" s="460"/>
      <c r="K271" s="492">
        <v>0.03</v>
      </c>
      <c r="L271" s="492">
        <v>2.5000000000000001E-2</v>
      </c>
      <c r="M271" s="492">
        <v>2.5000000000000001E-2</v>
      </c>
      <c r="N271" s="465"/>
      <c r="O271" s="306"/>
      <c r="P271" s="306"/>
      <c r="Q271" s="306"/>
      <c r="R271" s="306"/>
      <c r="S271" s="306"/>
      <c r="T271" s="305"/>
    </row>
    <row r="272" spans="1:20" outlineLevel="2" x14ac:dyDescent="0.2">
      <c r="A272" s="456"/>
      <c r="B272" s="456"/>
      <c r="C272" s="457"/>
      <c r="D272" s="458"/>
      <c r="E272" s="234" t="s">
        <v>1100</v>
      </c>
      <c r="F272" s="747">
        <f t="shared" si="12"/>
        <v>0.03</v>
      </c>
      <c r="G272" s="301" t="s">
        <v>116</v>
      </c>
      <c r="H272" s="459"/>
      <c r="I272" s="437" t="str">
        <f t="array" ref="I272" xml:space="preserve"> IF( INDEX(J272:T272, I$5) = "", IF( INDEX(J272:T272, I$6) = F272, "vw", "tu"), IF(INDEX(J272:T272, I$5) = F272, "vw", "tu"))</f>
        <v>tu</v>
      </c>
      <c r="J272" s="460"/>
      <c r="K272" s="492">
        <v>0.03</v>
      </c>
      <c r="L272" s="492">
        <v>2.5000000000000001E-2</v>
      </c>
      <c r="M272" s="492">
        <v>2.5000000000000001E-2</v>
      </c>
      <c r="N272" s="465"/>
      <c r="O272" s="306"/>
      <c r="P272" s="306"/>
      <c r="Q272" s="306"/>
      <c r="R272" s="306"/>
      <c r="S272" s="306"/>
      <c r="T272" s="305"/>
    </row>
    <row r="273" spans="1:20" outlineLevel="2" x14ac:dyDescent="0.2">
      <c r="A273" s="456"/>
      <c r="B273" s="456"/>
      <c r="C273" s="457"/>
      <c r="D273" s="458"/>
      <c r="E273" s="234" t="s">
        <v>1101</v>
      </c>
      <c r="F273" s="747">
        <f t="shared" si="12"/>
        <v>0.03</v>
      </c>
      <c r="G273" s="301" t="s">
        <v>116</v>
      </c>
      <c r="H273" s="459"/>
      <c r="I273" s="437" t="str">
        <f t="array" ref="I273" xml:space="preserve"> IF( INDEX(J273:T273, I$5) = "", IF( INDEX(J273:T273, I$6) = F273, "vw", "tu"), IF(INDEX(J273:T273, I$5) = F273, "vw", "tu"))</f>
        <v>tu</v>
      </c>
      <c r="J273" s="460"/>
      <c r="K273" s="492">
        <v>0.03</v>
      </c>
      <c r="L273" s="492">
        <v>2.5000000000000001E-2</v>
      </c>
      <c r="M273" s="492">
        <v>2.5000000000000001E-2</v>
      </c>
      <c r="N273" s="465"/>
      <c r="O273" s="306"/>
      <c r="P273" s="306"/>
      <c r="Q273" s="306"/>
      <c r="R273" s="306"/>
      <c r="S273" s="306"/>
      <c r="T273" s="305"/>
    </row>
    <row r="274" spans="1:20" outlineLevel="2" x14ac:dyDescent="0.2">
      <c r="A274" s="456"/>
      <c r="B274" s="456"/>
      <c r="C274" s="457"/>
      <c r="D274" s="458"/>
      <c r="E274" s="234" t="s">
        <v>1102</v>
      </c>
      <c r="F274" s="747">
        <f t="shared" si="12"/>
        <v>3.2000000000000001E-2</v>
      </c>
      <c r="G274" s="301" t="s">
        <v>116</v>
      </c>
      <c r="H274" s="459"/>
      <c r="I274" s="437" t="str">
        <f t="array" ref="I274" xml:space="preserve"> IF( INDEX(J274:T274, I$5) = "", IF( INDEX(J274:T274, I$6) = F274, "vw", "tu"), IF(INDEX(J274:T274, I$5) = F274, "vw", "tu"))</f>
        <v>tu</v>
      </c>
      <c r="J274" s="460"/>
      <c r="K274" s="492">
        <v>3.2000000000000001E-2</v>
      </c>
      <c r="L274" s="492">
        <v>2.5000000000000001E-2</v>
      </c>
      <c r="M274" s="492">
        <v>2.5000000000000001E-2</v>
      </c>
      <c r="N274" s="465"/>
      <c r="O274" s="306"/>
      <c r="P274" s="306"/>
      <c r="Q274" s="306"/>
      <c r="R274" s="306"/>
      <c r="S274" s="306"/>
      <c r="T274" s="305"/>
    </row>
    <row r="275" spans="1:20" outlineLevel="2" x14ac:dyDescent="0.2">
      <c r="A275" s="456"/>
      <c r="B275" s="456"/>
      <c r="C275" s="457"/>
      <c r="D275" s="458"/>
      <c r="E275" s="234" t="s">
        <v>1103</v>
      </c>
      <c r="F275" s="747">
        <f t="shared" si="12"/>
        <v>3.2000000000000001E-2</v>
      </c>
      <c r="G275" s="301" t="s">
        <v>116</v>
      </c>
      <c r="H275" s="459"/>
      <c r="I275" s="437" t="str">
        <f t="array" ref="I275" xml:space="preserve"> IF( INDEX(J275:T275, I$5) = "", IF( INDEX(J275:T275, I$6) = F275, "vw", "tu"), IF(INDEX(J275:T275, I$5) = F275, "vw", "tu"))</f>
        <v>tu</v>
      </c>
      <c r="J275" s="460"/>
      <c r="K275" s="492">
        <v>3.2000000000000001E-2</v>
      </c>
      <c r="L275" s="492">
        <v>2.5000000000000001E-2</v>
      </c>
      <c r="M275" s="492">
        <v>2.5000000000000001E-2</v>
      </c>
      <c r="N275" s="465"/>
      <c r="O275" s="306"/>
      <c r="P275" s="306"/>
      <c r="Q275" s="306"/>
      <c r="R275" s="306"/>
      <c r="S275" s="306"/>
      <c r="T275" s="305"/>
    </row>
    <row r="276" spans="1:20" outlineLevel="2" x14ac:dyDescent="0.2">
      <c r="A276" s="456"/>
      <c r="B276" s="456"/>
      <c r="C276" s="457"/>
      <c r="D276" s="458"/>
      <c r="E276" s="234" t="s">
        <v>1104</v>
      </c>
      <c r="F276" s="747">
        <f t="shared" si="12"/>
        <v>3.2000000000000001E-2</v>
      </c>
      <c r="G276" s="301" t="s">
        <v>116</v>
      </c>
      <c r="H276" s="459"/>
      <c r="I276" s="437" t="str">
        <f t="array" ref="I276" xml:space="preserve"> IF( INDEX(J276:T276, I$5) = "", IF( INDEX(J276:T276, I$6) = F276, "vw", "tu"), IF(INDEX(J276:T276, I$5) = F276, "vw", "tu"))</f>
        <v>tu</v>
      </c>
      <c r="J276" s="460"/>
      <c r="K276" s="492">
        <v>3.2000000000000001E-2</v>
      </c>
      <c r="L276" s="492">
        <v>2.5000000000000001E-2</v>
      </c>
      <c r="M276" s="492">
        <v>2.5000000000000001E-2</v>
      </c>
      <c r="N276" s="465"/>
      <c r="O276" s="306"/>
      <c r="P276" s="306"/>
      <c r="Q276" s="306"/>
      <c r="R276" s="306"/>
      <c r="S276" s="306"/>
      <c r="T276" s="305"/>
    </row>
    <row r="277" spans="1:20" outlineLevel="2" x14ac:dyDescent="0.2">
      <c r="A277" s="456"/>
      <c r="B277" s="456"/>
      <c r="C277" s="457"/>
      <c r="D277" s="458"/>
      <c r="E277" s="234" t="s">
        <v>1105</v>
      </c>
      <c r="F277" s="747">
        <f t="shared" si="12"/>
        <v>3.2000000000000001E-2</v>
      </c>
      <c r="G277" s="301" t="s">
        <v>116</v>
      </c>
      <c r="H277" s="459"/>
      <c r="I277" s="437" t="str">
        <f t="array" ref="I277" xml:space="preserve"> IF( INDEX(J277:T277, I$5) = "", IF( INDEX(J277:T277, I$6) = F277, "vw", "tu"), IF(INDEX(J277:T277, I$5) = F277, "vw", "tu"))</f>
        <v>tu</v>
      </c>
      <c r="J277" s="460"/>
      <c r="K277" s="492">
        <v>3.2000000000000001E-2</v>
      </c>
      <c r="L277" s="492">
        <v>2.5000000000000001E-2</v>
      </c>
      <c r="M277" s="492">
        <v>2.5000000000000001E-2</v>
      </c>
      <c r="N277" s="465"/>
      <c r="O277" s="306"/>
      <c r="P277" s="306"/>
      <c r="Q277" s="306"/>
      <c r="R277" s="306"/>
      <c r="S277" s="306"/>
      <c r="T277" s="305"/>
    </row>
    <row r="278" spans="1:20" outlineLevel="2" x14ac:dyDescent="0.2">
      <c r="A278" s="456"/>
      <c r="B278" s="456"/>
      <c r="C278" s="457"/>
      <c r="D278" s="458"/>
      <c r="E278" s="234" t="s">
        <v>1106</v>
      </c>
      <c r="F278" s="747">
        <f t="shared" si="12"/>
        <v>3.2000000000000001E-2</v>
      </c>
      <c r="G278" s="301" t="s">
        <v>116</v>
      </c>
      <c r="H278" s="459"/>
      <c r="I278" s="437" t="str">
        <f t="array" ref="I278" xml:space="preserve"> IF( INDEX(J278:T278, I$5) = "", IF( INDEX(J278:T278, I$6) = F278, "vw", "tu"), IF(INDEX(J278:T278, I$5) = F278, "vw", "tu"))</f>
        <v>tu</v>
      </c>
      <c r="J278" s="460"/>
      <c r="K278" s="492">
        <v>3.2000000000000001E-2</v>
      </c>
      <c r="L278" s="492">
        <v>2.5000000000000001E-2</v>
      </c>
      <c r="M278" s="492">
        <v>2.5000000000000001E-2</v>
      </c>
      <c r="N278" s="465"/>
      <c r="O278" s="306"/>
      <c r="P278" s="306"/>
      <c r="Q278" s="306"/>
      <c r="R278" s="306"/>
      <c r="S278" s="306"/>
      <c r="T278" s="305"/>
    </row>
    <row r="279" spans="1:20" outlineLevel="2" x14ac:dyDescent="0.2">
      <c r="A279" s="456"/>
      <c r="B279" s="456"/>
      <c r="C279" s="457"/>
      <c r="D279" s="458"/>
      <c r="E279" s="234" t="s">
        <v>1107</v>
      </c>
      <c r="F279" s="747">
        <f t="shared" si="12"/>
        <v>3.5000000000000003E-2</v>
      </c>
      <c r="G279" s="301" t="s">
        <v>116</v>
      </c>
      <c r="H279" s="459"/>
      <c r="I279" s="437" t="str">
        <f t="array" ref="I279" xml:space="preserve"> IF( INDEX(J279:T279, I$5) = "", IF( INDEX(J279:T279, I$6) = F279, "vw", "tu"), IF(INDEX(J279:T279, I$5) = F279, "vw", "tu"))</f>
        <v>tu</v>
      </c>
      <c r="J279" s="460"/>
      <c r="K279" s="492">
        <v>3.5000000000000003E-2</v>
      </c>
      <c r="L279" s="492">
        <v>2.5000000000000001E-2</v>
      </c>
      <c r="M279" s="492">
        <v>2.5000000000000001E-2</v>
      </c>
      <c r="N279" s="465"/>
      <c r="O279" s="306"/>
      <c r="P279" s="306"/>
      <c r="Q279" s="306"/>
      <c r="R279" s="306"/>
      <c r="S279" s="306"/>
      <c r="T279" s="305"/>
    </row>
    <row r="280" spans="1:20" outlineLevel="2" x14ac:dyDescent="0.2">
      <c r="A280" s="456"/>
      <c r="B280" s="456"/>
      <c r="C280" s="457"/>
      <c r="D280" s="458"/>
      <c r="E280" s="234" t="s">
        <v>1108</v>
      </c>
      <c r="F280" s="747">
        <f t="shared" si="12"/>
        <v>3.5000000000000003E-2</v>
      </c>
      <c r="G280" s="301" t="s">
        <v>116</v>
      </c>
      <c r="H280" s="459"/>
      <c r="I280" s="437" t="str">
        <f t="array" ref="I280" xml:space="preserve"> IF( INDEX(J280:T280, I$5) = "", IF( INDEX(J280:T280, I$6) = F280, "vw", "tu"), IF(INDEX(J280:T280, I$5) = F280, "vw", "tu"))</f>
        <v>tu</v>
      </c>
      <c r="J280" s="460"/>
      <c r="K280" s="492">
        <v>3.5000000000000003E-2</v>
      </c>
      <c r="L280" s="492">
        <v>2.5000000000000001E-2</v>
      </c>
      <c r="M280" s="492">
        <v>2.5000000000000001E-2</v>
      </c>
      <c r="N280" s="465"/>
      <c r="O280" s="306"/>
      <c r="P280" s="306"/>
      <c r="Q280" s="306"/>
      <c r="R280" s="306"/>
      <c r="S280" s="306"/>
      <c r="T280" s="305"/>
    </row>
    <row r="281" spans="1:20" outlineLevel="2" x14ac:dyDescent="0.2">
      <c r="A281" s="456"/>
      <c r="B281" s="456"/>
      <c r="C281" s="457"/>
      <c r="D281" s="458"/>
      <c r="E281" s="234" t="s">
        <v>1109</v>
      </c>
      <c r="F281" s="747">
        <f t="shared" si="12"/>
        <v>3.5000000000000003E-2</v>
      </c>
      <c r="G281" s="301" t="s">
        <v>116</v>
      </c>
      <c r="H281" s="459"/>
      <c r="I281" s="437" t="str">
        <f t="array" ref="I281" xml:space="preserve"> IF( INDEX(J281:T281, I$5) = "", IF( INDEX(J281:T281, I$6) = F281, "vw", "tu"), IF(INDEX(J281:T281, I$5) = F281, "vw", "tu"))</f>
        <v>tu</v>
      </c>
      <c r="J281" s="460"/>
      <c r="K281" s="492">
        <v>3.5000000000000003E-2</v>
      </c>
      <c r="L281" s="492">
        <v>2.5000000000000001E-2</v>
      </c>
      <c r="M281" s="492">
        <v>2.5000000000000001E-2</v>
      </c>
      <c r="N281" s="465"/>
      <c r="O281" s="306"/>
      <c r="P281" s="306"/>
      <c r="Q281" s="306"/>
      <c r="R281" s="306"/>
      <c r="S281" s="306"/>
      <c r="T281" s="305"/>
    </row>
    <row r="282" spans="1:20" outlineLevel="2" x14ac:dyDescent="0.2">
      <c r="A282" s="456"/>
      <c r="B282" s="456"/>
      <c r="C282" s="457"/>
      <c r="D282" s="458"/>
      <c r="E282" s="234" t="s">
        <v>1110</v>
      </c>
      <c r="F282" s="747">
        <f t="shared" si="12"/>
        <v>3.5000000000000003E-2</v>
      </c>
      <c r="G282" s="301" t="s">
        <v>116</v>
      </c>
      <c r="H282" s="459"/>
      <c r="I282" s="437" t="str">
        <f t="array" ref="I282" xml:space="preserve"> IF( INDEX(J282:T282, I$5) = "", IF( INDEX(J282:T282, I$6) = F282, "vw", "tu"), IF(INDEX(J282:T282, I$5) = F282, "vw", "tu"))</f>
        <v>tu</v>
      </c>
      <c r="J282" s="460"/>
      <c r="K282" s="492">
        <v>3.5000000000000003E-2</v>
      </c>
      <c r="L282" s="492">
        <v>2.5000000000000001E-2</v>
      </c>
      <c r="M282" s="492">
        <v>2.5000000000000001E-2</v>
      </c>
      <c r="N282" s="465"/>
      <c r="O282" s="306"/>
      <c r="P282" s="306"/>
      <c r="Q282" s="306"/>
      <c r="R282" s="306"/>
      <c r="S282" s="306"/>
      <c r="T282" s="305"/>
    </row>
    <row r="283" spans="1:20" outlineLevel="2" x14ac:dyDescent="0.2">
      <c r="A283" s="456"/>
      <c r="B283" s="456"/>
      <c r="C283" s="457"/>
      <c r="D283" s="458"/>
      <c r="E283" s="234" t="s">
        <v>1111</v>
      </c>
      <c r="F283" s="747">
        <f t="shared" si="12"/>
        <v>3.5000000000000003E-2</v>
      </c>
      <c r="G283" s="301" t="s">
        <v>116</v>
      </c>
      <c r="H283" s="459"/>
      <c r="I283" s="437" t="str">
        <f t="array" ref="I283" xml:space="preserve"> IF( INDEX(J283:T283, I$5) = "", IF( INDEX(J283:T283, I$6) = F283, "vw", "tu"), IF(INDEX(J283:T283, I$5) = F283, "vw", "tu"))</f>
        <v>tu</v>
      </c>
      <c r="J283" s="460"/>
      <c r="K283" s="492">
        <v>3.5000000000000003E-2</v>
      </c>
      <c r="L283" s="492">
        <v>2.5000000000000001E-2</v>
      </c>
      <c r="M283" s="492">
        <v>2.5000000000000001E-2</v>
      </c>
      <c r="N283" s="465"/>
      <c r="O283" s="306"/>
      <c r="P283" s="306"/>
      <c r="Q283" s="306"/>
      <c r="R283" s="306"/>
      <c r="S283" s="306"/>
      <c r="T283" s="305"/>
    </row>
    <row r="284" spans="1:20" outlineLevel="2" x14ac:dyDescent="0.2">
      <c r="A284" s="456"/>
      <c r="B284" s="456"/>
      <c r="C284" s="457"/>
      <c r="D284" s="458"/>
      <c r="E284" s="234" t="s">
        <v>1112</v>
      </c>
      <c r="F284" s="747">
        <f t="shared" si="12"/>
        <v>3.5000000000000003E-2</v>
      </c>
      <c r="G284" s="301" t="s">
        <v>116</v>
      </c>
      <c r="H284" s="459"/>
      <c r="I284" s="437" t="str">
        <f t="array" ref="I284" xml:space="preserve"> IF( INDEX(J284:T284, I$5) = "", IF( INDEX(J284:T284, I$6) = F284, "vw", "tu"), IF(INDEX(J284:T284, I$5) = F284, "vw", "tu"))</f>
        <v>tu</v>
      </c>
      <c r="J284" s="460"/>
      <c r="K284" s="492">
        <v>3.5000000000000003E-2</v>
      </c>
      <c r="L284" s="492">
        <v>2.5000000000000001E-2</v>
      </c>
      <c r="M284" s="492">
        <v>2.5000000000000001E-2</v>
      </c>
      <c r="N284" s="465"/>
      <c r="O284" s="306"/>
      <c r="P284" s="306"/>
      <c r="Q284" s="306"/>
      <c r="R284" s="306"/>
      <c r="S284" s="306"/>
      <c r="T284" s="305"/>
    </row>
    <row r="285" spans="1:20" outlineLevel="2" x14ac:dyDescent="0.2">
      <c r="A285" s="456"/>
      <c r="B285" s="456"/>
      <c r="C285" s="457"/>
      <c r="D285" s="458"/>
      <c r="E285" s="234" t="s">
        <v>1113</v>
      </c>
      <c r="F285" s="747">
        <f t="shared" si="12"/>
        <v>3.5000000000000003E-2</v>
      </c>
      <c r="G285" s="301" t="s">
        <v>116</v>
      </c>
      <c r="H285" s="459"/>
      <c r="I285" s="437" t="str">
        <f t="array" ref="I285" xml:space="preserve"> IF( INDEX(J285:T285, I$5) = "", IF( INDEX(J285:T285, I$6) = F285, "vw", "tu"), IF(INDEX(J285:T285, I$5) = F285, "vw", "tu"))</f>
        <v>tu</v>
      </c>
      <c r="J285" s="460"/>
      <c r="K285" s="492">
        <v>3.5000000000000003E-2</v>
      </c>
      <c r="L285" s="492">
        <v>2.5000000000000001E-2</v>
      </c>
      <c r="M285" s="492">
        <v>2.5000000000000001E-2</v>
      </c>
      <c r="N285" s="465"/>
      <c r="O285" s="306"/>
      <c r="P285" s="306"/>
      <c r="Q285" s="306"/>
      <c r="R285" s="306"/>
      <c r="S285" s="306"/>
      <c r="T285" s="305"/>
    </row>
    <row r="286" spans="1:20" outlineLevel="2" x14ac:dyDescent="0.2">
      <c r="A286" s="456"/>
      <c r="B286" s="456"/>
      <c r="C286" s="457"/>
      <c r="D286" s="458"/>
      <c r="E286" s="234" t="s">
        <v>1114</v>
      </c>
      <c r="F286" s="747">
        <f t="shared" si="12"/>
        <v>3.5000000000000003E-2</v>
      </c>
      <c r="G286" s="301" t="s">
        <v>116</v>
      </c>
      <c r="H286" s="459"/>
      <c r="I286" s="437" t="str">
        <f t="array" ref="I286" xml:space="preserve"> IF( INDEX(J286:T286, I$5) = "", IF( INDEX(J286:T286, I$6) = F286, "vw", "tu"), IF(INDEX(J286:T286, I$5) = F286, "vw", "tu"))</f>
        <v>tu</v>
      </c>
      <c r="J286" s="460"/>
      <c r="K286" s="492">
        <v>3.5000000000000003E-2</v>
      </c>
      <c r="L286" s="492">
        <v>2.5000000000000001E-2</v>
      </c>
      <c r="M286" s="492">
        <v>2.5000000000000001E-2</v>
      </c>
      <c r="N286" s="465"/>
      <c r="O286" s="306"/>
      <c r="P286" s="306"/>
      <c r="Q286" s="306"/>
      <c r="R286" s="306"/>
      <c r="S286" s="306"/>
      <c r="T286" s="305"/>
    </row>
    <row r="287" spans="1:20" outlineLevel="2" x14ac:dyDescent="0.2">
      <c r="A287" s="456"/>
      <c r="B287" s="456"/>
      <c r="C287" s="457"/>
      <c r="D287" s="458"/>
      <c r="E287" s="234" t="s">
        <v>1115</v>
      </c>
      <c r="F287" s="747">
        <f t="shared" si="12"/>
        <v>3.5000000000000003E-2</v>
      </c>
      <c r="G287" s="301" t="s">
        <v>116</v>
      </c>
      <c r="H287" s="459"/>
      <c r="I287" s="437" t="str">
        <f t="array" ref="I287" xml:space="preserve"> IF( INDEX(J287:T287, I$5) = "", IF( INDEX(J287:T287, I$6) = F287, "vw", "tu"), IF(INDEX(J287:T287, I$5) = F287, "vw", "tu"))</f>
        <v>tu</v>
      </c>
      <c r="J287" s="460"/>
      <c r="K287" s="492">
        <v>3.5000000000000003E-2</v>
      </c>
      <c r="L287" s="492">
        <v>2.5000000000000001E-2</v>
      </c>
      <c r="M287" s="492">
        <v>2.5000000000000001E-2</v>
      </c>
      <c r="N287" s="465"/>
      <c r="O287" s="306"/>
      <c r="P287" s="306"/>
      <c r="Q287" s="306"/>
      <c r="R287" s="306"/>
      <c r="S287" s="306"/>
      <c r="T287" s="305"/>
    </row>
    <row r="288" spans="1:20" outlineLevel="2" x14ac:dyDescent="0.2">
      <c r="A288" s="456"/>
      <c r="B288" s="456"/>
      <c r="C288" s="457"/>
      <c r="D288" s="458"/>
      <c r="E288" s="234" t="s">
        <v>1116</v>
      </c>
      <c r="F288" s="747">
        <f t="shared" si="12"/>
        <v>3.5000000000000003E-2</v>
      </c>
      <c r="G288" s="301" t="s">
        <v>116</v>
      </c>
      <c r="H288" s="459"/>
      <c r="I288" s="437" t="str">
        <f t="array" ref="I288" xml:space="preserve"> IF( INDEX(J288:T288, I$5) = "", IF( INDEX(J288:T288, I$6) = F288, "vw", "tu"), IF(INDEX(J288:T288, I$5) = F288, "vw", "tu"))</f>
        <v>tu</v>
      </c>
      <c r="J288" s="460"/>
      <c r="K288" s="492">
        <v>3.5000000000000003E-2</v>
      </c>
      <c r="L288" s="492">
        <v>2.5000000000000001E-2</v>
      </c>
      <c r="M288" s="492">
        <v>2.5000000000000001E-2</v>
      </c>
      <c r="N288" s="465"/>
      <c r="O288" s="306"/>
      <c r="P288" s="306"/>
      <c r="Q288" s="306"/>
      <c r="R288" s="306"/>
      <c r="S288" s="306"/>
      <c r="T288" s="305"/>
    </row>
    <row r="289" spans="1:20" outlineLevel="2" x14ac:dyDescent="0.2">
      <c r="A289" s="456"/>
      <c r="B289" s="456"/>
      <c r="C289" s="457"/>
      <c r="D289" s="458"/>
      <c r="E289" s="234" t="s">
        <v>1117</v>
      </c>
      <c r="F289" s="747">
        <f t="shared" si="12"/>
        <v>3.5000000000000003E-2</v>
      </c>
      <c r="G289" s="301" t="s">
        <v>116</v>
      </c>
      <c r="H289" s="459"/>
      <c r="I289" s="437" t="str">
        <f t="array" ref="I289" xml:space="preserve"> IF( INDEX(J289:T289, I$5) = "", IF( INDEX(J289:T289, I$6) = F289, "vw", "tu"), IF(INDEX(J289:T289, I$5) = F289, "vw", "tu"))</f>
        <v>tu</v>
      </c>
      <c r="J289" s="460"/>
      <c r="K289" s="492">
        <v>3.5000000000000003E-2</v>
      </c>
      <c r="L289" s="492">
        <v>2.5000000000000001E-2</v>
      </c>
      <c r="M289" s="492">
        <v>2.5000000000000001E-2</v>
      </c>
      <c r="N289" s="465"/>
      <c r="O289" s="306"/>
      <c r="P289" s="306"/>
      <c r="Q289" s="306"/>
      <c r="R289" s="306"/>
      <c r="S289" s="306"/>
      <c r="T289" s="305"/>
    </row>
    <row r="290" spans="1:20" outlineLevel="2" x14ac:dyDescent="0.2">
      <c r="A290" s="456"/>
      <c r="B290" s="456"/>
      <c r="C290" s="457"/>
      <c r="D290" s="458"/>
      <c r="E290" s="234" t="s">
        <v>1118</v>
      </c>
      <c r="F290" s="747">
        <f t="shared" si="12"/>
        <v>3.5000000000000003E-2</v>
      </c>
      <c r="G290" s="301" t="s">
        <v>116</v>
      </c>
      <c r="H290" s="459"/>
      <c r="I290" s="437" t="str">
        <f t="array" ref="I290" xml:space="preserve"> IF( INDEX(J290:T290, I$5) = "", IF( INDEX(J290:T290, I$6) = F290, "vw", "tu"), IF(INDEX(J290:T290, I$5) = F290, "vw", "tu"))</f>
        <v>tu</v>
      </c>
      <c r="J290" s="460"/>
      <c r="K290" s="492">
        <v>3.5000000000000003E-2</v>
      </c>
      <c r="L290" s="492">
        <v>2.5000000000000001E-2</v>
      </c>
      <c r="M290" s="492">
        <v>2.5000000000000001E-2</v>
      </c>
      <c r="N290" s="465"/>
      <c r="O290" s="306"/>
      <c r="P290" s="306"/>
      <c r="Q290" s="306"/>
      <c r="R290" s="306"/>
      <c r="S290" s="306"/>
      <c r="T290" s="305"/>
    </row>
    <row r="291" spans="1:20" outlineLevel="2" x14ac:dyDescent="0.2">
      <c r="A291" s="456"/>
      <c r="B291" s="456"/>
      <c r="C291" s="457"/>
      <c r="D291" s="458"/>
      <c r="E291" s="234" t="s">
        <v>1119</v>
      </c>
      <c r="F291" s="747">
        <f t="shared" si="12"/>
        <v>3.5000000000000003E-2</v>
      </c>
      <c r="G291" s="301" t="s">
        <v>116</v>
      </c>
      <c r="H291" s="459"/>
      <c r="I291" s="437" t="str">
        <f t="array" ref="I291" xml:space="preserve"> IF( INDEX(J291:T291, I$5) = "", IF( INDEX(J291:T291, I$6) = F291, "vw", "tu"), IF(INDEX(J291:T291, I$5) = F291, "vw", "tu"))</f>
        <v>tu</v>
      </c>
      <c r="J291" s="460"/>
      <c r="K291" s="492">
        <v>3.5000000000000003E-2</v>
      </c>
      <c r="L291" s="492">
        <v>2.5000000000000001E-2</v>
      </c>
      <c r="M291" s="492">
        <v>2.5000000000000001E-2</v>
      </c>
      <c r="N291" s="465"/>
      <c r="O291" s="306"/>
      <c r="P291" s="306"/>
      <c r="Q291" s="306"/>
      <c r="R291" s="306"/>
      <c r="S291" s="306"/>
      <c r="T291" s="305"/>
    </row>
    <row r="292" spans="1:20" outlineLevel="2" x14ac:dyDescent="0.2">
      <c r="A292" s="456"/>
      <c r="B292" s="456"/>
      <c r="C292" s="457"/>
      <c r="D292" s="458"/>
      <c r="E292" s="234" t="s">
        <v>1120</v>
      </c>
      <c r="F292" s="747">
        <f t="shared" si="12"/>
        <v>3.5000000000000003E-2</v>
      </c>
      <c r="G292" s="301" t="s">
        <v>116</v>
      </c>
      <c r="H292" s="459"/>
      <c r="I292" s="437" t="str">
        <f t="array" ref="I292" xml:space="preserve"> IF( INDEX(J292:T292, I$5) = "", IF( INDEX(J292:T292, I$6) = F292, "vw", "tu"), IF(INDEX(J292:T292, I$5) = F292, "vw", "tu"))</f>
        <v>tu</v>
      </c>
      <c r="J292" s="460"/>
      <c r="K292" s="492">
        <v>3.5000000000000003E-2</v>
      </c>
      <c r="L292" s="492">
        <v>2.5000000000000001E-2</v>
      </c>
      <c r="M292" s="492">
        <v>2.5000000000000001E-2</v>
      </c>
      <c r="N292" s="465"/>
      <c r="O292" s="306"/>
      <c r="P292" s="306"/>
      <c r="Q292" s="306"/>
      <c r="R292" s="306"/>
      <c r="S292" s="306"/>
      <c r="T292" s="305"/>
    </row>
    <row r="293" spans="1:20" outlineLevel="2" x14ac:dyDescent="0.2">
      <c r="A293" s="456"/>
      <c r="B293" s="456"/>
      <c r="C293" s="457"/>
      <c r="D293" s="458"/>
      <c r="E293" s="234" t="s">
        <v>1121</v>
      </c>
      <c r="F293" s="747">
        <f t="shared" si="12"/>
        <v>3.5000000000000003E-2</v>
      </c>
      <c r="G293" s="301" t="s">
        <v>116</v>
      </c>
      <c r="H293" s="459"/>
      <c r="I293" s="437" t="str">
        <f t="array" ref="I293" xml:space="preserve"> IF( INDEX(J293:T293, I$5) = "", IF( INDEX(J293:T293, I$6) = F293, "vw", "tu"), IF(INDEX(J293:T293, I$5) = F293, "vw", "tu"))</f>
        <v>tu</v>
      </c>
      <c r="J293" s="460"/>
      <c r="K293" s="492">
        <v>3.5000000000000003E-2</v>
      </c>
      <c r="L293" s="492">
        <v>2.5000000000000001E-2</v>
      </c>
      <c r="M293" s="492">
        <v>2.5000000000000001E-2</v>
      </c>
      <c r="N293" s="465"/>
      <c r="O293" s="306"/>
      <c r="P293" s="306"/>
      <c r="Q293" s="306"/>
      <c r="R293" s="306"/>
      <c r="S293" s="306"/>
      <c r="T293" s="305"/>
    </row>
    <row r="294" spans="1:20" outlineLevel="2" x14ac:dyDescent="0.2">
      <c r="A294" s="456"/>
      <c r="B294" s="456"/>
      <c r="C294" s="457"/>
      <c r="D294" s="458"/>
      <c r="E294" s="234"/>
      <c r="F294" s="234"/>
      <c r="G294" s="463"/>
      <c r="H294" s="459"/>
      <c r="I294" s="437"/>
      <c r="J294" s="460"/>
    </row>
    <row r="295" spans="1:20" outlineLevel="2" x14ac:dyDescent="0.2">
      <c r="A295" s="405"/>
      <c r="B295" s="405"/>
      <c r="C295" s="406"/>
      <c r="D295" s="192"/>
      <c r="E295" s="192" t="s">
        <v>913</v>
      </c>
      <c r="F295" s="407">
        <f xml:space="preserve"> IF( INDEX(J295:T295, $I$4) = "", INDEX(J295:S295, $I$6), INDEX(J295:T295, $I$4))</f>
        <v>6</v>
      </c>
      <c r="G295" s="192" t="s">
        <v>10</v>
      </c>
      <c r="H295" s="191"/>
      <c r="I295" s="404" t="str">
        <f t="array" ref="I295" xml:space="preserve"> IF( INDEX(J295:T295, I$5) = "", IF( INDEX(J295:T295, I$6) = F295, "vw", "tu"), IF(INDEX(J295:T295, I$5) = F295, "vw", "tu"))</f>
        <v>vw</v>
      </c>
      <c r="J295" s="319"/>
      <c r="K295" s="408">
        <v>6</v>
      </c>
      <c r="L295" s="408">
        <v>6</v>
      </c>
      <c r="M295" s="408">
        <v>6</v>
      </c>
      <c r="N295" s="319"/>
      <c r="O295" s="408"/>
      <c r="P295" s="408"/>
      <c r="Q295" s="408"/>
      <c r="R295" s="408"/>
      <c r="S295" s="408"/>
      <c r="T295" s="319"/>
    </row>
    <row r="296" spans="1:20" outlineLevel="2" x14ac:dyDescent="0.2"/>
    <row r="297" spans="1:20" s="283" customFormat="1" outlineLevel="2" x14ac:dyDescent="0.2">
      <c r="A297" s="653"/>
      <c r="B297" s="653"/>
      <c r="C297" s="922"/>
      <c r="D297" s="112"/>
      <c r="E297" s="282" t="str">
        <f t="shared" ref="E297:G297" si="13" xml:space="preserve"> E$172</f>
        <v>Senior debt - T2 - % of debt</v>
      </c>
      <c r="F297" s="302">
        <f t="shared" si="13"/>
        <v>0.5</v>
      </c>
      <c r="G297" s="282" t="str">
        <f t="shared" si="13"/>
        <v>%</v>
      </c>
      <c r="H297" s="282"/>
      <c r="I297" s="282"/>
      <c r="J297" s="178"/>
      <c r="K297" s="282"/>
      <c r="L297" s="282"/>
      <c r="M297" s="282"/>
      <c r="N297" s="178"/>
      <c r="O297" s="282"/>
      <c r="P297" s="282"/>
      <c r="Q297" s="282"/>
      <c r="R297" s="282"/>
      <c r="S297" s="282"/>
      <c r="T297" s="178"/>
    </row>
    <row r="298" spans="1:20" outlineLevel="2" x14ac:dyDescent="0.2">
      <c r="E298" s="12" t="str">
        <f t="shared" ref="E298:G298" si="14" xml:space="preserve"> E$21</f>
        <v>Length of PPA</v>
      </c>
      <c r="F298" s="407">
        <f t="shared" si="14"/>
        <v>20</v>
      </c>
      <c r="G298" s="12" t="str">
        <f t="shared" si="14"/>
        <v>years</v>
      </c>
    </row>
    <row r="299" spans="1:20" outlineLevel="2" x14ac:dyDescent="0.2">
      <c r="E299" s="192" t="s">
        <v>914</v>
      </c>
      <c r="F299" s="407">
        <f xml:space="preserve"> IF( INDEX(J299:T299, $I$4) = "", INDEX(J299:S299, $I$6), INDEX(J299:T299, $I$4))</f>
        <v>5</v>
      </c>
      <c r="G299" s="192" t="s">
        <v>29</v>
      </c>
      <c r="H299" s="191"/>
      <c r="I299" s="404" t="str">
        <f t="array" ref="I299" xml:space="preserve"> IF( INDEX(J299:T299, I$5) = "", IF( INDEX(J299:T299, I$6) = F299, "vw", "tu"), IF(INDEX(J299:T299, I$5) = F299, "vw", "tu"))</f>
        <v>vw</v>
      </c>
      <c r="J299" s="319"/>
      <c r="K299" s="408">
        <v>5</v>
      </c>
      <c r="L299" s="408">
        <v>5</v>
      </c>
      <c r="M299" s="408">
        <v>5</v>
      </c>
      <c r="O299" s="408"/>
      <c r="P299" s="408"/>
      <c r="Q299" s="408"/>
      <c r="R299" s="408"/>
      <c r="S299" s="408"/>
    </row>
    <row r="300" spans="1:20" outlineLevel="2" x14ac:dyDescent="0.2">
      <c r="A300" s="434"/>
      <c r="B300" s="434"/>
      <c r="C300" s="435"/>
      <c r="D300" s="436"/>
      <c r="E300" s="146" t="str">
        <f t="shared" ref="E300:G300" si="15" xml:space="preserve"> E$261</f>
        <v>Senior debt - T1 repayment term post COD</v>
      </c>
      <c r="F300" s="407">
        <f t="shared" si="15"/>
        <v>17</v>
      </c>
      <c r="G300" s="146" t="str">
        <f t="shared" si="15"/>
        <v>years</v>
      </c>
      <c r="H300" s="525"/>
      <c r="I300" s="437"/>
      <c r="J300" s="256"/>
      <c r="K300" s="1103"/>
      <c r="L300" s="1103"/>
      <c r="M300" s="1103"/>
      <c r="N300" s="173"/>
      <c r="O300" s="1102"/>
      <c r="P300" s="1102"/>
      <c r="Q300" s="1102"/>
      <c r="R300" s="1102"/>
      <c r="S300" s="1102"/>
      <c r="T300" s="173"/>
    </row>
    <row r="301" spans="1:20" outlineLevel="2" x14ac:dyDescent="0.2">
      <c r="A301" s="405"/>
      <c r="B301" s="405"/>
      <c r="C301" s="406"/>
      <c r="D301" s="192"/>
      <c r="E301" s="192" t="s">
        <v>915</v>
      </c>
      <c r="F301" s="407">
        <f xml:space="preserve"> IF(F297 = 0, F300, F298 - F299)</f>
        <v>15</v>
      </c>
      <c r="G301" s="192" t="s">
        <v>29</v>
      </c>
      <c r="H301" s="191" t="s">
        <v>1017</v>
      </c>
      <c r="I301" s="404"/>
      <c r="J301" s="319"/>
      <c r="T301" s="319"/>
    </row>
    <row r="302" spans="1:20" outlineLevel="2" x14ac:dyDescent="0.2"/>
    <row r="303" spans="1:20" outlineLevel="2" x14ac:dyDescent="0.2">
      <c r="A303" s="434"/>
      <c r="B303" s="434"/>
      <c r="C303" s="435"/>
      <c r="D303" s="436"/>
      <c r="E303" s="146" t="s">
        <v>916</v>
      </c>
      <c r="F303" s="164">
        <f xml:space="preserve"> IF( INDEX(J303:T303, $I$4) = "", INDEX(J303:S303, $I$6), INDEX(J303:T303, $I$4))</f>
        <v>2</v>
      </c>
      <c r="G303" s="146" t="s">
        <v>218</v>
      </c>
      <c r="H303" s="146"/>
      <c r="I303" s="437" t="str">
        <f t="array" ref="I303" xml:space="preserve"> IF( INDEX(J303:T303, I$5) = "", IF( INDEX(J303:T303, I$6) = F303, "vw", "tu"), IF(INDEX(J303:T303, I$5) = F303, "vw", "tu"))</f>
        <v>vw</v>
      </c>
      <c r="J303" s="256"/>
      <c r="K303" s="438">
        <v>2</v>
      </c>
      <c r="L303" s="438">
        <v>2</v>
      </c>
      <c r="M303" s="438">
        <v>2</v>
      </c>
      <c r="N303" s="173"/>
      <c r="O303" s="439"/>
      <c r="P303" s="439"/>
      <c r="Q303" s="439"/>
      <c r="R303" s="439"/>
      <c r="S303" s="439"/>
      <c r="T303" s="173"/>
    </row>
    <row r="304" spans="1:20" outlineLevel="2" x14ac:dyDescent="0.2">
      <c r="A304" s="434"/>
      <c r="B304" s="434"/>
      <c r="C304" s="435"/>
      <c r="D304" s="436"/>
      <c r="E304" s="146"/>
      <c r="F304" s="35"/>
      <c r="G304" s="146"/>
      <c r="H304" s="525" t="s">
        <v>917</v>
      </c>
      <c r="I304" s="437"/>
      <c r="J304" s="256"/>
      <c r="K304" s="1103"/>
      <c r="L304" s="1103"/>
      <c r="M304" s="1103"/>
      <c r="N304" s="173"/>
      <c r="O304" s="1102"/>
      <c r="P304" s="1102"/>
      <c r="Q304" s="1102"/>
      <c r="R304" s="1102"/>
      <c r="S304" s="1102"/>
      <c r="T304" s="173"/>
    </row>
    <row r="305" spans="1:20" outlineLevel="2" x14ac:dyDescent="0.2">
      <c r="A305" s="434"/>
      <c r="B305" s="434"/>
      <c r="C305" s="435"/>
      <c r="D305" s="436"/>
      <c r="E305" s="146" t="str">
        <f t="shared" ref="E305:G305" si="16" xml:space="preserve"> E$261</f>
        <v>Senior debt - T1 repayment term post COD</v>
      </c>
      <c r="F305" s="407">
        <f t="shared" si="16"/>
        <v>17</v>
      </c>
      <c r="G305" s="146" t="str">
        <f t="shared" si="16"/>
        <v>years</v>
      </c>
      <c r="H305" s="525"/>
      <c r="I305" s="437"/>
      <c r="J305" s="256"/>
      <c r="K305" s="1103"/>
      <c r="L305" s="1103"/>
      <c r="M305" s="1103"/>
      <c r="N305" s="173"/>
      <c r="O305" s="1102"/>
      <c r="P305" s="1102"/>
      <c r="Q305" s="1102"/>
      <c r="R305" s="1102"/>
      <c r="S305" s="1102"/>
      <c r="T305" s="173"/>
    </row>
    <row r="306" spans="1:20" outlineLevel="2" x14ac:dyDescent="0.2">
      <c r="A306" s="434"/>
      <c r="B306" s="434"/>
      <c r="C306" s="435"/>
      <c r="D306" s="436"/>
      <c r="E306" s="146" t="str">
        <f t="shared" ref="E306:G306" si="17" xml:space="preserve"> E$301</f>
        <v>Senior debt - T2 repayment term post COD</v>
      </c>
      <c r="F306" s="407">
        <f t="shared" si="17"/>
        <v>15</v>
      </c>
      <c r="G306" s="146" t="str">
        <f t="shared" si="17"/>
        <v>years</v>
      </c>
      <c r="H306" s="525"/>
      <c r="I306" s="437"/>
      <c r="J306" s="256"/>
      <c r="K306" s="1103"/>
      <c r="L306" s="1103"/>
      <c r="M306" s="1103"/>
      <c r="N306" s="173"/>
      <c r="O306" s="1102"/>
      <c r="P306" s="1102"/>
      <c r="Q306" s="1102"/>
      <c r="R306" s="1102"/>
      <c r="S306" s="1102"/>
      <c r="T306" s="173"/>
    </row>
    <row r="307" spans="1:20" outlineLevel="2" x14ac:dyDescent="0.2">
      <c r="E307" s="685" t="s">
        <v>1036</v>
      </c>
      <c r="F307" s="478">
        <f xml:space="preserve"> IF(F306 &lt; F305, 1, 0)</f>
        <v>1</v>
      </c>
      <c r="G307" s="685" t="s">
        <v>20</v>
      </c>
      <c r="H307" s="685"/>
      <c r="I307" s="727"/>
      <c r="J307" s="675"/>
      <c r="K307" s="525"/>
      <c r="L307" s="525"/>
      <c r="M307" s="525"/>
      <c r="N307" s="675"/>
      <c r="O307" s="525"/>
      <c r="P307" s="525"/>
      <c r="Q307" s="525"/>
      <c r="R307" s="525"/>
      <c r="S307" s="525"/>
      <c r="T307" s="675"/>
    </row>
    <row r="308" spans="1:20" outlineLevel="1" x14ac:dyDescent="0.2"/>
    <row r="309" spans="1:20" outlineLevel="1" x14ac:dyDescent="0.2">
      <c r="A309" s="672"/>
      <c r="B309" s="672" t="s">
        <v>433</v>
      </c>
      <c r="C309" s="673"/>
      <c r="D309" s="674"/>
      <c r="E309" s="525"/>
      <c r="F309" s="525"/>
      <c r="G309" s="525"/>
      <c r="H309" s="525"/>
      <c r="J309" s="675"/>
      <c r="K309" s="525"/>
      <c r="L309" s="525"/>
      <c r="M309" s="525"/>
      <c r="N309" s="675"/>
      <c r="O309" s="525"/>
      <c r="P309" s="525"/>
      <c r="Q309" s="525"/>
      <c r="R309" s="525"/>
      <c r="S309" s="525"/>
      <c r="T309" s="675"/>
    </row>
    <row r="310" spans="1:20" outlineLevel="2" x14ac:dyDescent="0.2">
      <c r="A310" s="672"/>
      <c r="B310" s="672"/>
      <c r="C310" s="561" t="s">
        <v>434</v>
      </c>
      <c r="D310" s="674"/>
      <c r="E310" s="525"/>
      <c r="F310" s="525"/>
      <c r="G310" s="525"/>
      <c r="H310" s="525"/>
      <c r="J310" s="675"/>
      <c r="K310" s="525"/>
      <c r="L310" s="525"/>
      <c r="M310" s="525"/>
      <c r="N310" s="675"/>
      <c r="O310" s="525"/>
      <c r="P310" s="525"/>
      <c r="Q310" s="525"/>
      <c r="R310" s="525"/>
      <c r="S310" s="525"/>
      <c r="T310" s="675"/>
    </row>
    <row r="311" spans="1:20" outlineLevel="2" x14ac:dyDescent="0.2">
      <c r="A311" s="672"/>
      <c r="B311" s="672"/>
      <c r="C311" s="673"/>
      <c r="D311" s="674"/>
      <c r="E311" s="525" t="str">
        <f xml:space="preserve"> E$136</f>
        <v>EPC base cost</v>
      </c>
      <c r="F311" s="164">
        <f t="shared" ref="F311:G311" si="18" xml:space="preserve"> F$136</f>
        <v>300000</v>
      </c>
      <c r="G311" s="525" t="str">
        <f t="shared" si="18"/>
        <v>$ 000s</v>
      </c>
      <c r="H311" s="525"/>
      <c r="J311" s="675"/>
      <c r="K311" s="525"/>
      <c r="L311" s="525"/>
      <c r="M311" s="525"/>
      <c r="N311" s="675"/>
      <c r="O311" s="525"/>
      <c r="P311" s="525"/>
      <c r="Q311" s="525"/>
      <c r="R311" s="525"/>
      <c r="S311" s="525"/>
      <c r="T311" s="675"/>
    </row>
    <row r="312" spans="1:20" outlineLevel="2" x14ac:dyDescent="0.2">
      <c r="A312" s="672"/>
      <c r="B312" s="672"/>
      <c r="C312" s="673"/>
      <c r="D312" s="674"/>
      <c r="E312" s="525" t="s">
        <v>435</v>
      </c>
      <c r="F312" s="302">
        <f xml:space="preserve"> IF( INDEX(J312:T312, $I$4) = "", INDEX(J312:S312, $I$6), INDEX(J312:T312, $I$4))</f>
        <v>0.02</v>
      </c>
      <c r="G312" s="525" t="s">
        <v>103</v>
      </c>
      <c r="H312" s="525"/>
      <c r="I312" s="404" t="str">
        <f t="array" ref="I312" xml:space="preserve"> IF( INDEX(J312:T312, I$5) = "", IF( INDEX(J312:T312, I$6) = F312, "vw", "tu"), IF(INDEX(J312:T312, I$5) = F312, "vw", "tu"))</f>
        <v>tu</v>
      </c>
      <c r="J312" s="303"/>
      <c r="K312" s="676">
        <v>0.02</v>
      </c>
      <c r="L312" s="676">
        <v>0.05</v>
      </c>
      <c r="M312" s="676">
        <v>0.05</v>
      </c>
      <c r="N312" s="677"/>
      <c r="O312" s="678"/>
      <c r="P312" s="678"/>
      <c r="Q312" s="678"/>
      <c r="R312" s="678"/>
      <c r="S312" s="678"/>
      <c r="T312" s="677"/>
    </row>
    <row r="313" spans="1:20" outlineLevel="2" x14ac:dyDescent="0.2">
      <c r="A313" s="672"/>
      <c r="B313" s="672"/>
      <c r="C313" s="673"/>
      <c r="D313" s="674"/>
      <c r="E313" s="32" t="s">
        <v>436</v>
      </c>
      <c r="F313" s="679">
        <f xml:space="preserve"> $F311 * F312</f>
        <v>6000</v>
      </c>
      <c r="G313" s="680" t="str">
        <f xml:space="preserve"> SMU</f>
        <v>$ 000s</v>
      </c>
      <c r="H313" s="525"/>
      <c r="J313" s="675"/>
      <c r="K313" s="525"/>
      <c r="L313" s="525"/>
      <c r="M313" s="525"/>
      <c r="N313" s="675"/>
      <c r="O313" s="525"/>
      <c r="P313" s="525"/>
      <c r="Q313" s="525"/>
      <c r="R313" s="525"/>
      <c r="S313" s="525"/>
      <c r="T313" s="675"/>
    </row>
    <row r="314" spans="1:20" outlineLevel="2" x14ac:dyDescent="0.2">
      <c r="A314" s="672"/>
      <c r="B314" s="672"/>
      <c r="C314" s="673"/>
      <c r="D314" s="674"/>
      <c r="E314" s="525"/>
      <c r="F314" s="525"/>
      <c r="G314" s="525"/>
      <c r="H314" s="525"/>
      <c r="J314" s="675"/>
      <c r="K314" s="525"/>
      <c r="L314" s="525"/>
      <c r="M314" s="525"/>
      <c r="N314" s="675"/>
      <c r="O314" s="525"/>
      <c r="P314" s="525"/>
      <c r="Q314" s="525"/>
      <c r="R314" s="525"/>
      <c r="S314" s="525"/>
      <c r="T314" s="675"/>
    </row>
    <row r="315" spans="1:20" outlineLevel="2" x14ac:dyDescent="0.2">
      <c r="A315" s="672"/>
      <c r="B315" s="672"/>
      <c r="C315" s="673"/>
      <c r="D315" s="674"/>
      <c r="E315" s="525" t="str">
        <f xml:space="preserve"> E$313</f>
        <v>Standby funding commitment amount</v>
      </c>
      <c r="F315" s="679">
        <f t="shared" ref="F315:G315" si="19" xml:space="preserve"> F$313</f>
        <v>6000</v>
      </c>
      <c r="G315" s="525" t="str">
        <f t="shared" si="19"/>
        <v>$ 000s</v>
      </c>
      <c r="H315" s="525"/>
      <c r="J315" s="675"/>
      <c r="K315" s="525"/>
      <c r="L315" s="525"/>
      <c r="M315" s="525"/>
      <c r="N315" s="675"/>
      <c r="O315" s="525"/>
      <c r="P315" s="525"/>
      <c r="Q315" s="525"/>
      <c r="R315" s="525"/>
      <c r="S315" s="525"/>
      <c r="T315" s="675"/>
    </row>
    <row r="316" spans="1:20" outlineLevel="2" x14ac:dyDescent="0.2">
      <c r="A316" s="672"/>
      <c r="B316" s="672"/>
      <c r="C316" s="673"/>
      <c r="D316" s="674"/>
      <c r="E316" s="756" t="str">
        <f xml:space="preserve"> Solve!E$54</f>
        <v>Gearing for standby funding calculation - Paste</v>
      </c>
      <c r="F316" s="1117">
        <f xml:space="preserve"> Solve!F$54</f>
        <v>0.71796763672768571</v>
      </c>
      <c r="G316" s="756" t="str">
        <f xml:space="preserve"> Solve!G$54</f>
        <v>%</v>
      </c>
      <c r="H316" s="525"/>
      <c r="J316" s="675"/>
      <c r="K316" s="525"/>
      <c r="L316" s="525"/>
      <c r="M316" s="525"/>
      <c r="N316" s="675"/>
      <c r="O316" s="525"/>
      <c r="P316" s="525"/>
      <c r="Q316" s="525"/>
      <c r="R316" s="525"/>
      <c r="S316" s="525"/>
      <c r="T316" s="675"/>
    </row>
    <row r="317" spans="1:20" outlineLevel="2" x14ac:dyDescent="0.2">
      <c r="A317" s="672"/>
      <c r="B317" s="672"/>
      <c r="C317" s="673"/>
      <c r="D317" s="674"/>
      <c r="E317" s="525" t="s">
        <v>437</v>
      </c>
      <c r="F317" s="679">
        <f xml:space="preserve"> F315 * F316</f>
        <v>4307.8058203661139</v>
      </c>
      <c r="G317" s="525" t="str">
        <f xml:space="preserve"> SMU</f>
        <v>$ 000s</v>
      </c>
      <c r="H317" s="525"/>
      <c r="J317" s="675"/>
      <c r="K317" s="525"/>
      <c r="L317" s="525"/>
      <c r="M317" s="525"/>
      <c r="N317" s="675"/>
      <c r="O317" s="525"/>
      <c r="P317" s="525"/>
      <c r="Q317" s="525"/>
      <c r="R317" s="525"/>
      <c r="S317" s="525"/>
      <c r="T317" s="675"/>
    </row>
    <row r="318" spans="1:20" outlineLevel="2" x14ac:dyDescent="0.2">
      <c r="A318" s="672"/>
      <c r="B318" s="672"/>
      <c r="C318" s="673"/>
      <c r="D318" s="674"/>
      <c r="E318" s="525"/>
      <c r="F318" s="525"/>
      <c r="G318" s="525"/>
      <c r="H318" s="525"/>
      <c r="J318" s="675"/>
      <c r="K318" s="525"/>
      <c r="L318" s="525"/>
      <c r="M318" s="525"/>
      <c r="N318" s="675"/>
      <c r="O318" s="525"/>
      <c r="P318" s="525"/>
      <c r="Q318" s="525"/>
      <c r="R318" s="525"/>
      <c r="S318" s="525"/>
      <c r="T318" s="675"/>
    </row>
    <row r="319" spans="1:20" outlineLevel="2" x14ac:dyDescent="0.2">
      <c r="A319" s="672"/>
      <c r="B319" s="672"/>
      <c r="C319" s="673"/>
      <c r="D319" s="674"/>
      <c r="E319" s="525" t="str">
        <f t="shared" ref="E319:G320" si="20" xml:space="preserve"> E171</f>
        <v>Senior debt - T1 - % of debt</v>
      </c>
      <c r="F319" s="302">
        <f t="shared" si="20"/>
        <v>0.5</v>
      </c>
      <c r="G319" s="525" t="str">
        <f t="shared" si="20"/>
        <v>%</v>
      </c>
      <c r="H319" s="525"/>
      <c r="J319" s="675"/>
      <c r="K319" s="525"/>
      <c r="L319" s="525"/>
      <c r="M319" s="525"/>
      <c r="N319" s="675"/>
      <c r="O319" s="525"/>
      <c r="P319" s="525"/>
      <c r="Q319" s="525"/>
      <c r="R319" s="525"/>
      <c r="S319" s="525"/>
      <c r="T319" s="675"/>
    </row>
    <row r="320" spans="1:20" outlineLevel="2" x14ac:dyDescent="0.2">
      <c r="A320" s="672"/>
      <c r="B320" s="672"/>
      <c r="C320" s="673"/>
      <c r="D320" s="674"/>
      <c r="E320" s="525" t="str">
        <f t="shared" si="20"/>
        <v>Senior debt - T2 - % of debt</v>
      </c>
      <c r="F320" s="302">
        <f t="shared" si="20"/>
        <v>0.5</v>
      </c>
      <c r="G320" s="525" t="str">
        <f t="shared" si="20"/>
        <v>%</v>
      </c>
      <c r="H320" s="525"/>
      <c r="J320" s="675"/>
      <c r="K320" s="525"/>
      <c r="L320" s="525"/>
      <c r="M320" s="525"/>
      <c r="N320" s="675"/>
      <c r="O320" s="525"/>
      <c r="P320" s="525"/>
      <c r="Q320" s="525"/>
      <c r="R320" s="525"/>
      <c r="S320" s="525"/>
      <c r="T320" s="675"/>
    </row>
    <row r="321" spans="1:20" outlineLevel="2" x14ac:dyDescent="0.2">
      <c r="A321" s="672"/>
      <c r="B321" s="672"/>
      <c r="C321" s="673"/>
      <c r="D321" s="674"/>
      <c r="E321" s="525"/>
      <c r="F321" s="525"/>
      <c r="G321" s="525"/>
      <c r="H321" s="525"/>
      <c r="J321" s="675"/>
      <c r="K321" s="525"/>
      <c r="L321" s="525"/>
      <c r="M321" s="525"/>
      <c r="N321" s="675"/>
      <c r="O321" s="525"/>
      <c r="P321" s="525"/>
      <c r="Q321" s="525"/>
      <c r="R321" s="525"/>
      <c r="S321" s="525"/>
      <c r="T321" s="675"/>
    </row>
    <row r="322" spans="1:20" outlineLevel="2" x14ac:dyDescent="0.2">
      <c r="A322" s="672"/>
      <c r="B322" s="672"/>
      <c r="C322" s="673"/>
      <c r="D322" s="674"/>
      <c r="E322" s="525" t="s">
        <v>1033</v>
      </c>
      <c r="F322" s="679">
        <f xml:space="preserve"> F$317 * F319</f>
        <v>2153.902910183057</v>
      </c>
      <c r="G322" s="525" t="str">
        <f xml:space="preserve"> SMU</f>
        <v>$ 000s</v>
      </c>
      <c r="H322" s="525"/>
      <c r="J322" s="675"/>
      <c r="K322" s="525"/>
      <c r="L322" s="525"/>
      <c r="M322" s="525"/>
      <c r="N322" s="675"/>
      <c r="O322" s="525"/>
      <c r="P322" s="525"/>
      <c r="Q322" s="525"/>
      <c r="R322" s="525"/>
      <c r="S322" s="525"/>
      <c r="T322" s="675"/>
    </row>
    <row r="323" spans="1:20" outlineLevel="2" x14ac:dyDescent="0.2">
      <c r="A323" s="672"/>
      <c r="B323" s="672"/>
      <c r="C323" s="673"/>
      <c r="D323" s="674"/>
      <c r="E323" s="525" t="s">
        <v>1034</v>
      </c>
      <c r="F323" s="679">
        <f t="shared" ref="F323" si="21" xml:space="preserve"> F$317 * F320</f>
        <v>2153.902910183057</v>
      </c>
      <c r="G323" s="525" t="str">
        <f xml:space="preserve"> SMU</f>
        <v>$ 000s</v>
      </c>
      <c r="H323" s="525"/>
      <c r="J323" s="675"/>
      <c r="K323" s="525"/>
      <c r="L323" s="525"/>
      <c r="M323" s="525"/>
      <c r="N323" s="675"/>
      <c r="O323" s="525"/>
      <c r="P323" s="525"/>
      <c r="Q323" s="525"/>
      <c r="R323" s="525"/>
      <c r="S323" s="525"/>
      <c r="T323" s="675"/>
    </row>
    <row r="324" spans="1:20" outlineLevel="2" x14ac:dyDescent="0.2">
      <c r="A324" s="672"/>
      <c r="B324" s="672"/>
      <c r="C324" s="673"/>
      <c r="D324" s="674"/>
      <c r="E324" s="525"/>
      <c r="F324" s="525"/>
      <c r="G324" s="525"/>
      <c r="H324" s="525"/>
      <c r="J324" s="675"/>
      <c r="K324" s="525"/>
      <c r="L324" s="525"/>
      <c r="M324" s="525"/>
      <c r="N324" s="675"/>
      <c r="O324" s="525"/>
      <c r="P324" s="525"/>
      <c r="Q324" s="525"/>
      <c r="R324" s="525"/>
      <c r="S324" s="525"/>
      <c r="T324" s="675"/>
    </row>
    <row r="325" spans="1:20" outlineLevel="2" x14ac:dyDescent="0.2">
      <c r="A325" s="672"/>
      <c r="B325" s="672"/>
      <c r="C325" s="561" t="s">
        <v>438</v>
      </c>
      <c r="D325" s="674"/>
      <c r="E325" s="525"/>
      <c r="F325" s="525"/>
      <c r="G325" s="525"/>
      <c r="H325" s="525"/>
      <c r="J325" s="675"/>
      <c r="K325" s="525"/>
      <c r="L325" s="525"/>
      <c r="M325" s="525"/>
      <c r="N325" s="675"/>
      <c r="O325" s="525"/>
      <c r="P325" s="525"/>
      <c r="Q325" s="525"/>
      <c r="R325" s="525"/>
      <c r="S325" s="525"/>
      <c r="T325" s="675"/>
    </row>
    <row r="326" spans="1:20" outlineLevel="2" x14ac:dyDescent="0.2">
      <c r="A326" s="672"/>
      <c r="B326" s="672"/>
      <c r="C326" s="561"/>
      <c r="D326" s="561" t="s">
        <v>891</v>
      </c>
      <c r="E326" s="525"/>
      <c r="F326" s="525"/>
      <c r="G326" s="525"/>
      <c r="H326" s="525"/>
      <c r="J326" s="675"/>
      <c r="K326" s="525"/>
      <c r="L326" s="525"/>
      <c r="M326" s="525"/>
      <c r="N326" s="675"/>
      <c r="O326" s="525"/>
      <c r="P326" s="525"/>
      <c r="Q326" s="525"/>
      <c r="R326" s="525"/>
      <c r="S326" s="525"/>
      <c r="T326" s="675"/>
    </row>
    <row r="327" spans="1:20" s="494" customFormat="1" outlineLevel="2" x14ac:dyDescent="0.2">
      <c r="A327" s="682"/>
      <c r="B327" s="682"/>
      <c r="C327" s="683"/>
      <c r="D327" s="684"/>
      <c r="E327" s="685" t="s">
        <v>1023</v>
      </c>
      <c r="F327" s="302">
        <f xml:space="preserve"> IF( INDEX(J327:T327, $I$4) = "", INDEX(J327:S327, $I$6), INDEX(J327:T327, $I$4))</f>
        <v>0.02</v>
      </c>
      <c r="G327" s="685" t="s">
        <v>103</v>
      </c>
      <c r="H327" s="685"/>
      <c r="I327" s="404" t="str">
        <f t="array" ref="I327" xml:space="preserve"> IF( INDEX(J327:T327, I$5) = "", IF( INDEX(J327:T327, I$6) = F327, "vw", "tu"), IF(INDEX(J327:T327, I$5) = F327, "vw", "tu"))</f>
        <v>tu</v>
      </c>
      <c r="J327" s="303"/>
      <c r="K327" s="676">
        <v>0.02</v>
      </c>
      <c r="L327" s="676">
        <v>1.4999999999999999E-2</v>
      </c>
      <c r="M327" s="676">
        <v>1.4999999999999999E-2</v>
      </c>
      <c r="N327" s="677"/>
      <c r="O327" s="306"/>
      <c r="P327" s="306"/>
      <c r="Q327" s="306"/>
      <c r="R327" s="306"/>
      <c r="S327" s="306"/>
      <c r="T327" s="677"/>
    </row>
    <row r="328" spans="1:20" s="494" customFormat="1" outlineLevel="2" x14ac:dyDescent="0.2">
      <c r="A328" s="682"/>
      <c r="B328" s="682"/>
      <c r="C328" s="683"/>
      <c r="D328" s="684"/>
      <c r="E328" s="685"/>
      <c r="F328" s="685"/>
      <c r="G328" s="685"/>
      <c r="H328" s="685"/>
      <c r="I328" s="404"/>
      <c r="J328" s="303"/>
      <c r="K328" s="404"/>
      <c r="L328" s="404"/>
      <c r="M328" s="404"/>
      <c r="N328" s="677"/>
      <c r="O328" s="525"/>
      <c r="P328" s="525"/>
      <c r="Q328" s="525"/>
      <c r="R328" s="525"/>
      <c r="S328" s="525"/>
      <c r="T328" s="677"/>
    </row>
    <row r="329" spans="1:20" outlineLevel="2" x14ac:dyDescent="0.2">
      <c r="A329" s="672"/>
      <c r="B329" s="672"/>
      <c r="C329" s="673"/>
      <c r="D329" s="674"/>
      <c r="E329" s="685" t="s">
        <v>1024</v>
      </c>
      <c r="F329" s="302">
        <f xml:space="preserve"> IF( INDEX(J329:T329, $I$4) = "", INDEX(J329:S329, $I$6), INDEX(J329:T329, $I$4))</f>
        <v>2.5000000000000001E-2</v>
      </c>
      <c r="G329" s="685" t="s">
        <v>116</v>
      </c>
      <c r="H329" s="685"/>
      <c r="I329" s="404" t="str">
        <f t="array" ref="I329" xml:space="preserve"> IF( INDEX(J329:T329, I$5) = "", IF( INDEX(J329:T329, I$6) = F329, "vw", "tu"), IF(INDEX(J329:T329, I$5) = F329, "vw", "tu"))</f>
        <v>tu</v>
      </c>
      <c r="J329" s="303"/>
      <c r="K329" s="676">
        <v>2.5000000000000001E-2</v>
      </c>
      <c r="L329" s="676">
        <v>0.02</v>
      </c>
      <c r="M329" s="676">
        <v>0.02</v>
      </c>
      <c r="N329" s="677"/>
      <c r="O329" s="306"/>
      <c r="P329" s="306"/>
      <c r="Q329" s="306"/>
      <c r="R329" s="306"/>
      <c r="S329" s="306"/>
      <c r="T329" s="677"/>
    </row>
    <row r="330" spans="1:20" s="494" customFormat="1" outlineLevel="2" x14ac:dyDescent="0.2">
      <c r="A330" s="682"/>
      <c r="B330" s="682"/>
      <c r="C330" s="683"/>
      <c r="D330" s="684"/>
      <c r="E330" s="685"/>
      <c r="F330" s="685"/>
      <c r="G330" s="685"/>
      <c r="H330" s="685"/>
      <c r="I330" s="404"/>
      <c r="J330" s="303"/>
      <c r="K330" s="404"/>
      <c r="L330" s="404"/>
      <c r="M330" s="404"/>
      <c r="N330" s="677"/>
      <c r="O330" s="525"/>
      <c r="P330" s="525"/>
      <c r="Q330" s="525"/>
      <c r="R330" s="525"/>
      <c r="S330" s="525"/>
      <c r="T330" s="677"/>
    </row>
    <row r="331" spans="1:20" s="494" customFormat="1" outlineLevel="2" x14ac:dyDescent="0.2">
      <c r="A331" s="682"/>
      <c r="B331" s="682"/>
      <c r="C331" s="683"/>
      <c r="D331" s="684"/>
      <c r="E331" s="301" t="s">
        <v>1025</v>
      </c>
      <c r="F331" s="302">
        <f xml:space="preserve"> IF( INDEX(J331:T331, $I$4) = "", INDEX(J331:S331, $I$6), INDEX(J331:T331, $I$4))</f>
        <v>0.3</v>
      </c>
      <c r="G331" s="301" t="s">
        <v>510</v>
      </c>
      <c r="H331" s="301"/>
      <c r="I331" s="404" t="str">
        <f t="array" ref="I331" xml:space="preserve"> IF( INDEX(J331:T331, I$5) = "", IF( INDEX(J331:T331, I$6) = F331, "vw", "tu"), IF(INDEX(J331:T331, I$5) = F331, "vw", "tu"))</f>
        <v>tu</v>
      </c>
      <c r="J331" s="303"/>
      <c r="K331" s="304">
        <v>0.3</v>
      </c>
      <c r="L331" s="304">
        <v>0.35</v>
      </c>
      <c r="M331" s="304">
        <v>0.35</v>
      </c>
      <c r="N331" s="677"/>
      <c r="O331" s="306"/>
      <c r="P331" s="306"/>
      <c r="Q331" s="306"/>
      <c r="R331" s="306"/>
      <c r="S331" s="306"/>
      <c r="T331" s="677"/>
    </row>
    <row r="332" spans="1:20" s="494" customFormat="1" outlineLevel="2" x14ac:dyDescent="0.2">
      <c r="A332" s="682"/>
      <c r="B332" s="682"/>
      <c r="C332" s="683"/>
      <c r="D332" s="684"/>
      <c r="E332" s="1094" t="s">
        <v>1026</v>
      </c>
      <c r="F332" s="302">
        <f xml:space="preserve"> F331 * F329</f>
        <v>7.4999999999999997E-3</v>
      </c>
      <c r="G332" s="685" t="s">
        <v>116</v>
      </c>
      <c r="H332" s="685"/>
      <c r="I332" s="404"/>
      <c r="J332" s="303"/>
      <c r="K332" s="404"/>
      <c r="L332" s="404"/>
      <c r="M332" s="404"/>
      <c r="N332" s="677"/>
      <c r="O332" s="525"/>
      <c r="P332" s="525"/>
      <c r="Q332" s="525"/>
      <c r="R332" s="525"/>
      <c r="S332" s="525"/>
      <c r="T332" s="677"/>
    </row>
    <row r="333" spans="1:20" s="494" customFormat="1" outlineLevel="2" x14ac:dyDescent="0.2">
      <c r="A333" s="682"/>
      <c r="B333" s="682"/>
      <c r="C333" s="683"/>
      <c r="D333" s="684"/>
      <c r="E333" s="685"/>
      <c r="F333" s="685"/>
      <c r="G333" s="685"/>
      <c r="H333" s="685"/>
      <c r="I333" s="404"/>
      <c r="J333" s="303"/>
      <c r="K333" s="404"/>
      <c r="L333" s="404"/>
      <c r="M333" s="404"/>
      <c r="N333" s="677"/>
      <c r="O333" s="525"/>
      <c r="P333" s="525"/>
      <c r="Q333" s="525"/>
      <c r="R333" s="525"/>
      <c r="S333" s="525"/>
      <c r="T333" s="677"/>
    </row>
    <row r="334" spans="1:20" outlineLevel="2" x14ac:dyDescent="0.2">
      <c r="A334" s="672"/>
      <c r="B334" s="672"/>
      <c r="C334" s="561"/>
      <c r="D334" s="561" t="s">
        <v>892</v>
      </c>
      <c r="E334" s="525"/>
      <c r="F334" s="525"/>
      <c r="G334" s="525"/>
      <c r="H334" s="525"/>
      <c r="J334" s="675"/>
      <c r="K334" s="525"/>
      <c r="L334" s="525"/>
      <c r="M334" s="525"/>
      <c r="N334" s="675"/>
      <c r="O334" s="525"/>
      <c r="P334" s="525"/>
      <c r="Q334" s="525"/>
      <c r="R334" s="525"/>
      <c r="S334" s="525"/>
      <c r="T334" s="675"/>
    </row>
    <row r="335" spans="1:20" s="494" customFormat="1" outlineLevel="2" x14ac:dyDescent="0.2">
      <c r="A335" s="682"/>
      <c r="B335" s="682"/>
      <c r="C335" s="683"/>
      <c r="D335" s="684"/>
      <c r="E335" s="685" t="s">
        <v>1027</v>
      </c>
      <c r="F335" s="302">
        <f xml:space="preserve"> IF( INDEX(J335:T335, $I$4) = "", INDEX(J335:S335, $I$6), INDEX(J335:T335, $I$4))</f>
        <v>2.1999999999999999E-2</v>
      </c>
      <c r="G335" s="685" t="s">
        <v>103</v>
      </c>
      <c r="H335" s="685"/>
      <c r="I335" s="404" t="str">
        <f t="array" ref="I335" xml:space="preserve"> IF( INDEX(J335:T335, I$5) = "", IF( INDEX(J335:T335, I$6) = F335, "vw", "tu"), IF(INDEX(J335:T335, I$5) = F335, "vw", "tu"))</f>
        <v>tu</v>
      </c>
      <c r="J335" s="303"/>
      <c r="K335" s="676">
        <v>2.1999999999999999E-2</v>
      </c>
      <c r="L335" s="676">
        <v>1.4999999999999999E-2</v>
      </c>
      <c r="M335" s="676">
        <v>1.4999999999999999E-2</v>
      </c>
      <c r="N335" s="677"/>
      <c r="O335" s="306"/>
      <c r="P335" s="306"/>
      <c r="Q335" s="306"/>
      <c r="R335" s="306"/>
      <c r="S335" s="306"/>
      <c r="T335" s="677"/>
    </row>
    <row r="336" spans="1:20" s="494" customFormat="1" outlineLevel="2" x14ac:dyDescent="0.2">
      <c r="A336" s="682"/>
      <c r="B336" s="682"/>
      <c r="C336" s="683"/>
      <c r="D336" s="684"/>
      <c r="E336" s="685"/>
      <c r="F336" s="685"/>
      <c r="G336" s="685"/>
      <c r="H336" s="685"/>
      <c r="I336" s="404"/>
      <c r="J336" s="303"/>
      <c r="K336" s="404"/>
      <c r="L336" s="404"/>
      <c r="M336" s="404"/>
      <c r="N336" s="677"/>
      <c r="O336" s="525"/>
      <c r="P336" s="525"/>
      <c r="Q336" s="525"/>
      <c r="R336" s="525"/>
      <c r="S336" s="525"/>
      <c r="T336" s="677"/>
    </row>
    <row r="337" spans="1:20" outlineLevel="2" x14ac:dyDescent="0.2">
      <c r="A337" s="672"/>
      <c r="B337" s="672"/>
      <c r="C337" s="673"/>
      <c r="D337" s="674"/>
      <c r="E337" s="685" t="s">
        <v>1028</v>
      </c>
      <c r="F337" s="302">
        <f xml:space="preserve"> IF( INDEX(J337:T337, $I$4) = "", INDEX(J337:S337, $I$6), INDEX(J337:T337, $I$4))</f>
        <v>2.7E-2</v>
      </c>
      <c r="G337" s="685" t="s">
        <v>116</v>
      </c>
      <c r="H337" s="685"/>
      <c r="I337" s="404" t="str">
        <f t="array" ref="I337" xml:space="preserve"> IF( INDEX(J337:T337, I$5) = "", IF( INDEX(J337:T337, I$6) = F337, "vw", "tu"), IF(INDEX(J337:T337, I$5) = F337, "vw", "tu"))</f>
        <v>tu</v>
      </c>
      <c r="J337" s="303"/>
      <c r="K337" s="676">
        <v>2.7E-2</v>
      </c>
      <c r="L337" s="676">
        <v>0.02</v>
      </c>
      <c r="M337" s="676">
        <v>0.02</v>
      </c>
      <c r="N337" s="677"/>
      <c r="O337" s="306"/>
      <c r="P337" s="306"/>
      <c r="Q337" s="306"/>
      <c r="R337" s="306"/>
      <c r="S337" s="306"/>
      <c r="T337" s="677"/>
    </row>
    <row r="338" spans="1:20" s="494" customFormat="1" outlineLevel="2" x14ac:dyDescent="0.2">
      <c r="A338" s="682"/>
      <c r="B338" s="682"/>
      <c r="C338" s="683"/>
      <c r="D338" s="684"/>
      <c r="E338" s="685"/>
      <c r="F338" s="685"/>
      <c r="G338" s="685"/>
      <c r="H338" s="685"/>
      <c r="I338" s="404"/>
      <c r="J338" s="303"/>
      <c r="K338" s="404"/>
      <c r="L338" s="404"/>
      <c r="M338" s="404"/>
      <c r="N338" s="677"/>
      <c r="O338" s="525"/>
      <c r="P338" s="525"/>
      <c r="Q338" s="525"/>
      <c r="R338" s="525"/>
      <c r="S338" s="525"/>
      <c r="T338" s="677"/>
    </row>
    <row r="339" spans="1:20" s="494" customFormat="1" outlineLevel="2" x14ac:dyDescent="0.2">
      <c r="A339" s="682"/>
      <c r="B339" s="682"/>
      <c r="C339" s="683"/>
      <c r="D339" s="684"/>
      <c r="E339" s="301" t="s">
        <v>1029</v>
      </c>
      <c r="F339" s="302">
        <f xml:space="preserve"> IF( INDEX(J339:T339, $I$4) = "", INDEX(J339:S339, $I$6), INDEX(J339:T339, $I$4))</f>
        <v>0.3</v>
      </c>
      <c r="G339" s="301" t="s">
        <v>510</v>
      </c>
      <c r="H339" s="301"/>
      <c r="I339" s="404" t="str">
        <f t="array" ref="I339" xml:space="preserve"> IF( INDEX(J339:T339, I$5) = "", IF( INDEX(J339:T339, I$6) = F339, "vw", "tu"), IF(INDEX(J339:T339, I$5) = F339, "vw", "tu"))</f>
        <v>tu</v>
      </c>
      <c r="J339" s="303"/>
      <c r="K339" s="304">
        <v>0.3</v>
      </c>
      <c r="L339" s="304">
        <v>0.35</v>
      </c>
      <c r="M339" s="304">
        <v>0.35</v>
      </c>
      <c r="N339" s="677"/>
      <c r="O339" s="306"/>
      <c r="P339" s="306"/>
      <c r="Q339" s="306"/>
      <c r="R339" s="306"/>
      <c r="S339" s="306"/>
      <c r="T339" s="677"/>
    </row>
    <row r="340" spans="1:20" s="494" customFormat="1" outlineLevel="2" x14ac:dyDescent="0.2">
      <c r="A340" s="682"/>
      <c r="B340" s="682"/>
      <c r="C340" s="683"/>
      <c r="D340" s="684"/>
      <c r="E340" s="1094" t="s">
        <v>1030</v>
      </c>
      <c r="F340" s="302">
        <f xml:space="preserve"> F339 * F337</f>
        <v>8.0999999999999996E-3</v>
      </c>
      <c r="G340" s="685" t="s">
        <v>116</v>
      </c>
      <c r="H340" s="685"/>
      <c r="I340" s="404"/>
      <c r="J340" s="303"/>
      <c r="K340" s="404"/>
      <c r="L340" s="404"/>
      <c r="M340" s="404"/>
      <c r="N340" s="677"/>
      <c r="O340" s="525"/>
      <c r="P340" s="525"/>
      <c r="Q340" s="525"/>
      <c r="R340" s="525"/>
      <c r="S340" s="525"/>
      <c r="T340" s="677"/>
    </row>
    <row r="341" spans="1:20" s="494" customFormat="1" outlineLevel="2" x14ac:dyDescent="0.2">
      <c r="A341" s="682"/>
      <c r="B341" s="682"/>
      <c r="C341" s="683"/>
      <c r="D341" s="684"/>
      <c r="E341" s="685"/>
      <c r="F341" s="685"/>
      <c r="G341" s="685"/>
      <c r="H341" s="685"/>
      <c r="I341" s="404"/>
      <c r="J341" s="303"/>
      <c r="K341" s="404"/>
      <c r="L341" s="404"/>
      <c r="M341" s="404"/>
      <c r="N341" s="677"/>
      <c r="O341" s="525"/>
      <c r="P341" s="525"/>
      <c r="Q341" s="525"/>
      <c r="R341" s="525"/>
      <c r="S341" s="525"/>
      <c r="T341" s="677"/>
    </row>
    <row r="342" spans="1:20" outlineLevel="2" x14ac:dyDescent="0.2">
      <c r="A342" s="672"/>
      <c r="B342" s="672"/>
      <c r="C342" s="673" t="s">
        <v>439</v>
      </c>
      <c r="D342" s="674"/>
      <c r="E342" s="525"/>
      <c r="F342" s="525"/>
      <c r="G342" s="525"/>
      <c r="H342" s="525"/>
      <c r="I342" s="376"/>
      <c r="J342" s="675"/>
      <c r="K342" s="525"/>
      <c r="L342" s="525"/>
      <c r="M342" s="525"/>
      <c r="N342" s="675"/>
      <c r="O342" s="525"/>
      <c r="P342" s="525"/>
      <c r="Q342" s="525"/>
      <c r="R342" s="525"/>
      <c r="S342" s="525"/>
      <c r="T342" s="675"/>
    </row>
    <row r="343" spans="1:20" outlineLevel="2" x14ac:dyDescent="0.2">
      <c r="A343" s="672"/>
      <c r="B343" s="672"/>
      <c r="C343" s="673"/>
      <c r="D343" s="673" t="s">
        <v>891</v>
      </c>
      <c r="E343" s="525"/>
      <c r="F343" s="525"/>
      <c r="G343" s="525"/>
      <c r="H343" s="525"/>
      <c r="I343" s="376"/>
      <c r="J343" s="675"/>
      <c r="K343" s="525"/>
      <c r="L343" s="525"/>
      <c r="M343" s="525"/>
      <c r="N343" s="675"/>
      <c r="O343" s="525"/>
      <c r="P343" s="525"/>
      <c r="Q343" s="525"/>
      <c r="R343" s="525"/>
      <c r="S343" s="525"/>
      <c r="T343" s="675"/>
    </row>
    <row r="344" spans="1:20" outlineLevel="2" x14ac:dyDescent="0.2">
      <c r="A344" s="672"/>
      <c r="B344" s="672"/>
      <c r="C344" s="673"/>
      <c r="D344" s="674"/>
      <c r="E344" s="664" t="s">
        <v>1031</v>
      </c>
      <c r="F344" s="164">
        <f xml:space="preserve"> IF( INDEX(J344:T344, $I$4) = "", INDEX(J344:S344, $I$6), INDEX(J344:T344, $I$4))</f>
        <v>360</v>
      </c>
      <c r="G344" s="664" t="s">
        <v>161</v>
      </c>
      <c r="H344" s="664"/>
      <c r="I344" s="404" t="str">
        <f t="array" ref="I344" xml:space="preserve"> IF( INDEX(J344:T344, I$5) = "", IF( INDEX(J344:T344, I$6) = F344, "vw", "tu"), IF(INDEX(J344:T344, I$5) = F344, "vw", "tu"))</f>
        <v>vw</v>
      </c>
      <c r="J344" s="256"/>
      <c r="K344" s="686">
        <v>360</v>
      </c>
      <c r="L344" s="686">
        <v>360</v>
      </c>
      <c r="M344" s="686">
        <v>360</v>
      </c>
      <c r="N344" s="156"/>
      <c r="O344" s="687"/>
      <c r="P344" s="687"/>
      <c r="Q344" s="687"/>
      <c r="R344" s="687"/>
      <c r="S344" s="687"/>
      <c r="T344" s="156"/>
    </row>
    <row r="345" spans="1:20" outlineLevel="2" x14ac:dyDescent="0.2">
      <c r="A345" s="672"/>
      <c r="B345" s="672"/>
      <c r="C345" s="673"/>
      <c r="D345" s="674"/>
      <c r="E345" s="525"/>
      <c r="F345" s="525"/>
      <c r="G345" s="525"/>
      <c r="H345" s="525"/>
      <c r="J345" s="675"/>
      <c r="K345" s="525"/>
      <c r="L345" s="525"/>
      <c r="M345" s="525"/>
      <c r="N345" s="675"/>
      <c r="O345" s="525"/>
      <c r="P345" s="525"/>
      <c r="Q345" s="525"/>
      <c r="R345" s="525"/>
      <c r="S345" s="525"/>
      <c r="T345" s="675"/>
    </row>
    <row r="346" spans="1:20" outlineLevel="2" x14ac:dyDescent="0.2">
      <c r="A346" s="672"/>
      <c r="B346" s="672"/>
      <c r="C346" s="673"/>
      <c r="D346" s="673" t="s">
        <v>892</v>
      </c>
      <c r="E346" s="525"/>
      <c r="F346" s="525"/>
      <c r="G346" s="525"/>
      <c r="H346" s="525"/>
      <c r="I346" s="376"/>
      <c r="J346" s="675"/>
      <c r="K346" s="525"/>
      <c r="L346" s="525"/>
      <c r="M346" s="525"/>
      <c r="N346" s="675"/>
      <c r="O346" s="525"/>
      <c r="P346" s="525"/>
      <c r="Q346" s="525"/>
      <c r="R346" s="525"/>
      <c r="S346" s="525"/>
      <c r="T346" s="675"/>
    </row>
    <row r="347" spans="1:20" outlineLevel="2" x14ac:dyDescent="0.2">
      <c r="A347" s="672"/>
      <c r="B347" s="672"/>
      <c r="C347" s="673"/>
      <c r="D347" s="674"/>
      <c r="E347" s="664" t="s">
        <v>1032</v>
      </c>
      <c r="F347" s="164">
        <f xml:space="preserve"> IF( INDEX(J347:T347, $I$4) = "", INDEX(J347:S347, $I$6), INDEX(J347:T347, $I$4))</f>
        <v>360</v>
      </c>
      <c r="G347" s="664" t="s">
        <v>161</v>
      </c>
      <c r="H347" s="664"/>
      <c r="I347" s="404" t="str">
        <f t="array" ref="I347" xml:space="preserve"> IF( INDEX(J347:T347, I$5) = "", IF( INDEX(J347:T347, I$6) = F347, "vw", "tu"), IF(INDEX(J347:T347, I$5) = F347, "vw", "tu"))</f>
        <v>vw</v>
      </c>
      <c r="J347" s="256"/>
      <c r="K347" s="686">
        <v>360</v>
      </c>
      <c r="L347" s="686">
        <v>360</v>
      </c>
      <c r="M347" s="686">
        <v>360</v>
      </c>
      <c r="N347" s="156"/>
      <c r="O347" s="687"/>
      <c r="P347" s="687"/>
      <c r="Q347" s="687"/>
      <c r="R347" s="687"/>
      <c r="S347" s="687"/>
      <c r="T347" s="156"/>
    </row>
    <row r="348" spans="1:20" outlineLevel="1" x14ac:dyDescent="0.2">
      <c r="A348" s="672"/>
      <c r="B348" s="672"/>
      <c r="C348" s="673"/>
      <c r="D348" s="674"/>
      <c r="E348" s="525"/>
      <c r="F348" s="525"/>
      <c r="G348" s="525"/>
      <c r="H348" s="525"/>
      <c r="J348" s="675"/>
      <c r="K348" s="525"/>
      <c r="L348" s="525"/>
      <c r="M348" s="525"/>
      <c r="N348" s="675"/>
      <c r="O348" s="525"/>
      <c r="P348" s="525"/>
      <c r="Q348" s="525"/>
      <c r="R348" s="525"/>
      <c r="S348" s="525"/>
      <c r="T348" s="675"/>
    </row>
    <row r="349" spans="1:20" outlineLevel="1" x14ac:dyDescent="0.2">
      <c r="B349" s="1" t="s">
        <v>380</v>
      </c>
    </row>
    <row r="350" spans="1:20" outlineLevel="2" x14ac:dyDescent="0.2">
      <c r="E350" s="32" t="s">
        <v>376</v>
      </c>
      <c r="F350" s="164">
        <f xml:space="preserve"> IF( INDEX(J350:T350, $I$4) = "", INDEX(J350:S350, $I$6), INDEX(J350:T350, $I$4))</f>
        <v>1</v>
      </c>
      <c r="G350" s="32" t="s">
        <v>377</v>
      </c>
      <c r="K350" s="289">
        <v>1</v>
      </c>
      <c r="L350" s="289">
        <v>1</v>
      </c>
      <c r="M350" s="289">
        <v>1</v>
      </c>
      <c r="O350" s="306"/>
      <c r="P350" s="306"/>
      <c r="Q350" s="306"/>
      <c r="R350" s="306"/>
      <c r="S350" s="306"/>
      <c r="T350" s="305"/>
    </row>
    <row r="351" spans="1:20" outlineLevel="2" x14ac:dyDescent="0.2">
      <c r="E351" s="314" t="s">
        <v>354</v>
      </c>
      <c r="F351" s="302">
        <f xml:space="preserve"> IF( INDEX(J351:T351, $I$4) = "", INDEX(J351:S351, $I$6), INDEX(J351:T351, $I$4))</f>
        <v>0.5</v>
      </c>
      <c r="G351" s="301" t="s">
        <v>103</v>
      </c>
      <c r="H351" s="301"/>
      <c r="I351" s="404" t="str">
        <f t="array" ref="I351" xml:space="preserve"> IF( INDEX(J351:T351, I$5) = "", IF( INDEX(J351:T351, I$6) = F351, "vw", "tu"), IF(INDEX(J351:T351, I$5) = F351, "vw", "tu"))</f>
        <v>vw</v>
      </c>
      <c r="J351" s="303"/>
      <c r="K351" s="304">
        <v>0.5</v>
      </c>
      <c r="L351" s="304">
        <v>0.5</v>
      </c>
      <c r="M351" s="304">
        <v>0.5</v>
      </c>
      <c r="N351" s="305"/>
      <c r="O351" s="306"/>
      <c r="P351" s="306"/>
      <c r="Q351" s="306"/>
      <c r="R351" s="306"/>
      <c r="S351" s="306"/>
      <c r="T351" s="305"/>
    </row>
    <row r="352" spans="1:20" outlineLevel="2" x14ac:dyDescent="0.2"/>
    <row r="353" spans="1:20" s="498" customFormat="1" outlineLevel="2" x14ac:dyDescent="0.2">
      <c r="A353" s="15"/>
      <c r="B353" s="15"/>
      <c r="C353" s="21"/>
      <c r="D353" s="48"/>
      <c r="E353" s="191" t="s">
        <v>357</v>
      </c>
      <c r="F353" s="164">
        <f xml:space="preserve"> IF( INDEX(J353:T353, $I$4) = "", INDEX(J353:S353, $I$6), INDEX(J353:T353, $I$4))</f>
        <v>1</v>
      </c>
      <c r="G353" s="191" t="s">
        <v>79</v>
      </c>
      <c r="H353" s="214"/>
      <c r="I353" s="583"/>
      <c r="J353" s="584"/>
      <c r="K353" s="289">
        <v>1</v>
      </c>
      <c r="L353" s="289">
        <v>1</v>
      </c>
      <c r="M353" s="289">
        <v>1</v>
      </c>
      <c r="N353" s="584"/>
      <c r="O353" s="687"/>
      <c r="P353" s="687"/>
      <c r="Q353" s="687"/>
      <c r="R353" s="687"/>
      <c r="S353" s="687"/>
      <c r="T353" s="156"/>
    </row>
    <row r="354" spans="1:20" s="498" customFormat="1" outlineLevel="2" x14ac:dyDescent="0.2">
      <c r="A354" s="522"/>
      <c r="B354" s="522"/>
      <c r="C354" s="523"/>
      <c r="D354" s="524"/>
      <c r="E354" s="191" t="s">
        <v>490</v>
      </c>
      <c r="F354" s="164">
        <f t="shared" ref="F354:F355" si="22" xml:space="preserve"> IF( INDEX(J354:T354, $I$4) = "", INDEX(J354:S354, $I$6), INDEX(J354:T354, $I$4))</f>
        <v>0</v>
      </c>
      <c r="G354" s="191" t="s">
        <v>79</v>
      </c>
      <c r="H354" s="706"/>
      <c r="I354" s="404" t="str">
        <f t="array" ref="I354" xml:space="preserve"> IF( INDEX(J354:T354, I$5) = "", IF( INDEX(J354:T354, I$6) = F354, "vw", "tu"), IF(INDEX(J354:T354, I$5) = F354, "vw", "tu"))</f>
        <v>vw</v>
      </c>
      <c r="J354" s="724"/>
      <c r="K354" s="686">
        <v>0</v>
      </c>
      <c r="L354" s="686">
        <v>0</v>
      </c>
      <c r="M354" s="686">
        <v>0</v>
      </c>
      <c r="N354" s="724"/>
      <c r="O354" s="687"/>
      <c r="P354" s="687"/>
      <c r="Q354" s="687"/>
      <c r="R354" s="687"/>
      <c r="S354" s="687"/>
      <c r="T354" s="156"/>
    </row>
    <row r="355" spans="1:20" s="498" customFormat="1" outlineLevel="2" x14ac:dyDescent="0.2">
      <c r="A355" s="522"/>
      <c r="B355" s="522"/>
      <c r="C355" s="523"/>
      <c r="D355" s="524"/>
      <c r="E355" s="191" t="s">
        <v>491</v>
      </c>
      <c r="F355" s="164">
        <f t="shared" si="22"/>
        <v>1</v>
      </c>
      <c r="G355" s="191" t="s">
        <v>492</v>
      </c>
      <c r="H355" s="706"/>
      <c r="I355" s="404" t="str">
        <f t="array" ref="I355" xml:space="preserve"> IF( INDEX(J355:T355, I$5) = "", IF( INDEX(J355:T355, I$6) = F355, "vw", "tu"), IF(INDEX(J355:T355, I$5) = F355, "vw", "tu"))</f>
        <v>vw</v>
      </c>
      <c r="J355" s="724"/>
      <c r="K355" s="686">
        <v>1</v>
      </c>
      <c r="L355" s="686">
        <v>1</v>
      </c>
      <c r="M355" s="686">
        <v>1</v>
      </c>
      <c r="N355" s="724"/>
      <c r="O355" s="687"/>
      <c r="P355" s="687"/>
      <c r="Q355" s="687"/>
      <c r="R355" s="687"/>
      <c r="S355" s="687"/>
      <c r="T355" s="156"/>
    </row>
    <row r="356" spans="1:20" outlineLevel="2" x14ac:dyDescent="0.2">
      <c r="A356" s="672"/>
      <c r="B356" s="672"/>
      <c r="C356" s="673"/>
      <c r="D356" s="674"/>
      <c r="E356" s="525"/>
      <c r="F356" s="525"/>
      <c r="G356" s="525"/>
      <c r="H356" s="525"/>
      <c r="J356" s="675"/>
      <c r="K356" s="525"/>
      <c r="L356" s="525"/>
      <c r="M356" s="525"/>
      <c r="N356" s="675"/>
      <c r="O356" s="525"/>
      <c r="P356" s="525"/>
      <c r="Q356" s="525"/>
      <c r="R356" s="525"/>
      <c r="S356" s="525"/>
      <c r="T356" s="675"/>
    </row>
    <row r="357" spans="1:20" outlineLevel="2" x14ac:dyDescent="0.2">
      <c r="A357" s="682"/>
      <c r="B357" s="682"/>
      <c r="C357" s="683"/>
      <c r="D357" s="684"/>
      <c r="E357" s="685" t="s">
        <v>493</v>
      </c>
      <c r="F357" s="302">
        <f xml:space="preserve"> IF( INDEX(J357:T357, $I$4) = "", INDEX(J357:S357, $I$6), INDEX(J357:T357, $I$4))</f>
        <v>0.01</v>
      </c>
      <c r="G357" s="685" t="s">
        <v>103</v>
      </c>
      <c r="H357" s="685"/>
      <c r="I357" s="404" t="str">
        <f t="array" ref="I357" xml:space="preserve"> IF( INDEX(J357:T357, I$5) = "", IF( INDEX(J357:T357, I$6) = F357, "vw", "tu"), IF(INDEX(J357:T357, I$5) = F357, "vw", "tu"))</f>
        <v>vw</v>
      </c>
      <c r="J357" s="303"/>
      <c r="K357" s="676">
        <v>0.01</v>
      </c>
      <c r="L357" s="676">
        <v>0.01</v>
      </c>
      <c r="M357" s="676">
        <v>0.01</v>
      </c>
      <c r="N357" s="677"/>
      <c r="O357" s="678"/>
      <c r="P357" s="678"/>
      <c r="Q357" s="678"/>
      <c r="R357" s="678"/>
      <c r="S357" s="678"/>
      <c r="T357" s="677"/>
    </row>
    <row r="358" spans="1:20" outlineLevel="1" x14ac:dyDescent="0.2"/>
    <row r="359" spans="1:20" outlineLevel="1" x14ac:dyDescent="0.2">
      <c r="B359" s="1" t="s">
        <v>465</v>
      </c>
    </row>
    <row r="360" spans="1:20" outlineLevel="2" x14ac:dyDescent="0.2">
      <c r="A360" s="672"/>
      <c r="B360" s="672"/>
      <c r="C360" s="673"/>
      <c r="D360" s="674"/>
      <c r="E360" s="525" t="s">
        <v>556</v>
      </c>
      <c r="F360" s="164">
        <f xml:space="preserve"> IF( INDEX(J360:T360, $I$4) = "", INDEX(J360:S360, $I$6), INDEX(J360:T360, $I$4))</f>
        <v>0</v>
      </c>
      <c r="G360" s="525" t="s">
        <v>79</v>
      </c>
      <c r="H360" s="525"/>
      <c r="I360" s="404" t="str">
        <f t="array" ref="I360" xml:space="preserve"> IF( INDEX(J360:T360, I$5) = "", IF( INDEX(J360:T360, I$6) = F360, "vw", "tu"), IF(INDEX(J360:T360, I$5) = F360, "vw", "tu"))</f>
        <v>tu</v>
      </c>
      <c r="J360" s="675"/>
      <c r="K360" s="686">
        <v>0</v>
      </c>
      <c r="L360" s="686">
        <v>1</v>
      </c>
      <c r="M360" s="686">
        <v>1</v>
      </c>
      <c r="N360" s="675"/>
      <c r="O360" s="687"/>
      <c r="P360" s="687"/>
      <c r="Q360" s="687"/>
      <c r="R360" s="687"/>
      <c r="S360" s="687"/>
      <c r="T360" s="156"/>
    </row>
    <row r="361" spans="1:20" outlineLevel="2" x14ac:dyDescent="0.2">
      <c r="A361" s="672"/>
      <c r="B361" s="672"/>
      <c r="C361" s="673"/>
      <c r="D361" s="674"/>
      <c r="E361" s="525"/>
      <c r="F361" s="525"/>
      <c r="G361" s="525"/>
      <c r="H361" s="525"/>
      <c r="J361" s="675"/>
      <c r="K361" s="525"/>
      <c r="L361" s="525"/>
      <c r="M361" s="525"/>
      <c r="N361" s="675"/>
      <c r="O361" s="525"/>
      <c r="P361" s="525"/>
      <c r="Q361" s="525"/>
      <c r="R361" s="525"/>
      <c r="S361" s="525"/>
      <c r="T361" s="675"/>
    </row>
    <row r="362" spans="1:20" outlineLevel="2" x14ac:dyDescent="0.2">
      <c r="A362" s="672"/>
      <c r="B362" s="672"/>
      <c r="C362" s="673"/>
      <c r="D362" s="674"/>
      <c r="E362" s="760" t="str">
        <f xml:space="preserve"> Debt!E$547</f>
        <v>WCF maximum target balance</v>
      </c>
      <c r="F362" s="874">
        <f xml:space="preserve"> Debt!F$547</f>
        <v>0</v>
      </c>
      <c r="G362" s="760" t="str">
        <f xml:space="preserve"> Debt!G$547</f>
        <v>$ 000s</v>
      </c>
      <c r="H362" s="526" t="s">
        <v>409</v>
      </c>
      <c r="J362" s="675"/>
      <c r="K362" s="525"/>
      <c r="L362" s="525"/>
      <c r="M362" s="525"/>
      <c r="N362" s="675"/>
      <c r="O362" s="525"/>
      <c r="P362" s="525"/>
      <c r="Q362" s="525"/>
      <c r="R362" s="525"/>
      <c r="S362" s="525"/>
      <c r="T362" s="675"/>
    </row>
    <row r="363" spans="1:20" outlineLevel="2" x14ac:dyDescent="0.2">
      <c r="A363" s="672"/>
      <c r="B363" s="672"/>
      <c r="C363" s="673"/>
      <c r="D363" s="674"/>
      <c r="E363" s="844" t="s">
        <v>466</v>
      </c>
      <c r="F363" s="164">
        <f xml:space="preserve"> IF( INDEX(J363:T363, $I$4) = "", INDEX(J363:S363, $I$6), INDEX(J363:T363, $I$4))</f>
        <v>6500</v>
      </c>
      <c r="G363" s="525" t="str">
        <f xml:space="preserve"> SMU</f>
        <v>$ 000s</v>
      </c>
      <c r="H363" s="525"/>
      <c r="I363" s="404" t="str">
        <f t="array" ref="I363" xml:space="preserve"> IF( INDEX(J363:T363, I$5) = "", IF( INDEX(J363:T363, I$6) = F363, "vw", "tu"), IF(INDEX(J363:T363, I$5) = F363, "vw", "tu"))</f>
        <v>vw</v>
      </c>
      <c r="J363" s="675"/>
      <c r="K363" s="686">
        <v>6500</v>
      </c>
      <c r="L363" s="686">
        <v>6500</v>
      </c>
      <c r="M363" s="686">
        <v>6500</v>
      </c>
      <c r="N363" s="675"/>
      <c r="O363" s="687"/>
      <c r="P363" s="687"/>
      <c r="Q363" s="687"/>
      <c r="R363" s="687"/>
      <c r="S363" s="687"/>
      <c r="T363" s="156"/>
    </row>
    <row r="364" spans="1:20" outlineLevel="2" x14ac:dyDescent="0.2">
      <c r="A364" s="672"/>
      <c r="B364" s="672"/>
      <c r="C364" s="673"/>
      <c r="D364" s="674"/>
      <c r="E364" s="525"/>
      <c r="F364" s="525"/>
      <c r="G364" s="525"/>
      <c r="H364" s="525"/>
      <c r="J364" s="675"/>
      <c r="K364" s="525"/>
      <c r="L364" s="525"/>
      <c r="M364" s="525"/>
      <c r="N364" s="675"/>
      <c r="O364" s="525"/>
      <c r="P364" s="525"/>
      <c r="Q364" s="525"/>
      <c r="R364" s="525"/>
      <c r="S364" s="525"/>
      <c r="T364" s="675"/>
    </row>
    <row r="365" spans="1:20" outlineLevel="2" x14ac:dyDescent="0.2">
      <c r="A365" s="672"/>
      <c r="B365" s="672"/>
      <c r="C365" s="673"/>
      <c r="D365" s="674"/>
      <c r="E365" s="525" t="s">
        <v>467</v>
      </c>
      <c r="F365" s="164">
        <f xml:space="preserve"> IF( INDEX(J365:T365, $I$4) = "", INDEX(J365:S365, $I$6), INDEX(J365:T365, $I$4))</f>
        <v>360</v>
      </c>
      <c r="G365" s="525" t="s">
        <v>161</v>
      </c>
      <c r="H365" s="525"/>
      <c r="I365" s="404" t="str">
        <f t="array" ref="I365" xml:space="preserve"> IF( INDEX(J365:T365, I$5) = "", IF( INDEX(J365:T365, I$6) = F365, "vw", "tu"), IF(INDEX(J365:T365, I$5) = F365, "vw", "tu"))</f>
        <v>vw</v>
      </c>
      <c r="J365" s="675"/>
      <c r="K365" s="686">
        <v>360</v>
      </c>
      <c r="L365" s="686">
        <v>360</v>
      </c>
      <c r="M365" s="686">
        <v>360</v>
      </c>
      <c r="N365" s="675"/>
      <c r="O365" s="687"/>
      <c r="P365" s="687"/>
      <c r="Q365" s="687"/>
      <c r="R365" s="687"/>
      <c r="S365" s="687"/>
      <c r="T365" s="156"/>
    </row>
    <row r="366" spans="1:20" outlineLevel="2" x14ac:dyDescent="0.2">
      <c r="A366" s="672"/>
      <c r="B366" s="672"/>
      <c r="C366" s="673"/>
      <c r="D366" s="674"/>
      <c r="E366" s="525" t="s">
        <v>468</v>
      </c>
      <c r="F366" s="302">
        <f t="shared" ref="F366:F368" si="23" xml:space="preserve"> IF( INDEX(J366:T366, $I$4) = "", INDEX(J366:S366, $I$6), INDEX(J366:T366, $I$4))</f>
        <v>0</v>
      </c>
      <c r="G366" s="525" t="s">
        <v>116</v>
      </c>
      <c r="H366" s="525"/>
      <c r="I366" s="404" t="str">
        <f t="array" ref="I366" xml:space="preserve"> IF( INDEX(J366:T366, I$5) = "", IF( INDEX(J366:T366, I$6) = F366, "vw", "tu"), IF(INDEX(J366:T366, I$5) = F366, "vw", "tu"))</f>
        <v>vw</v>
      </c>
      <c r="J366" s="675"/>
      <c r="K366" s="717">
        <v>0</v>
      </c>
      <c r="L366" s="717">
        <v>0</v>
      </c>
      <c r="M366" s="717">
        <v>0</v>
      </c>
      <c r="N366" s="178"/>
      <c r="O366" s="678"/>
      <c r="P366" s="678"/>
      <c r="Q366" s="678"/>
      <c r="R366" s="678"/>
      <c r="S366" s="678"/>
      <c r="T366" s="677"/>
    </row>
    <row r="367" spans="1:20" outlineLevel="2" x14ac:dyDescent="0.2">
      <c r="A367" s="672"/>
      <c r="B367" s="672"/>
      <c r="C367" s="673"/>
      <c r="D367" s="674"/>
      <c r="E367" s="525" t="s">
        <v>469</v>
      </c>
      <c r="F367" s="302">
        <f t="shared" si="23"/>
        <v>0.02</v>
      </c>
      <c r="G367" s="525" t="s">
        <v>103</v>
      </c>
      <c r="H367" s="525"/>
      <c r="I367" s="404" t="str">
        <f t="array" ref="I367" xml:space="preserve"> IF( INDEX(J367:T367, I$5) = "", IF( INDEX(J367:T367, I$6) = F367, "vw", "tu"), IF(INDEX(J367:T367, I$5) = F367, "vw", "tu"))</f>
        <v>vw</v>
      </c>
      <c r="J367" s="675"/>
      <c r="K367" s="717">
        <v>0.02</v>
      </c>
      <c r="L367" s="717">
        <v>0.02</v>
      </c>
      <c r="M367" s="717">
        <v>0.02</v>
      </c>
      <c r="N367" s="178"/>
      <c r="O367" s="678"/>
      <c r="P367" s="678"/>
      <c r="Q367" s="678"/>
      <c r="R367" s="678"/>
      <c r="S367" s="678"/>
      <c r="T367" s="677"/>
    </row>
    <row r="368" spans="1:20" outlineLevel="2" x14ac:dyDescent="0.2">
      <c r="A368" s="672"/>
      <c r="B368" s="672"/>
      <c r="C368" s="673"/>
      <c r="D368" s="674"/>
      <c r="E368" s="525" t="s">
        <v>470</v>
      </c>
      <c r="F368" s="302">
        <f t="shared" si="23"/>
        <v>0.03</v>
      </c>
      <c r="G368" s="525" t="s">
        <v>116</v>
      </c>
      <c r="H368" s="525"/>
      <c r="I368" s="404" t="str">
        <f t="array" ref="I368" xml:space="preserve"> IF( INDEX(J368:T368, I$5) = "", IF( INDEX(J368:T368, I$6) = F368, "vw", "tu"), IF(INDEX(J368:T368, I$5) = F368, "vw", "tu"))</f>
        <v>vw</v>
      </c>
      <c r="J368" s="675"/>
      <c r="K368" s="717">
        <v>0.03</v>
      </c>
      <c r="L368" s="717">
        <v>0.03</v>
      </c>
      <c r="M368" s="717">
        <v>0.03</v>
      </c>
      <c r="N368" s="178"/>
      <c r="O368" s="678"/>
      <c r="P368" s="678"/>
      <c r="Q368" s="678"/>
      <c r="R368" s="678"/>
      <c r="S368" s="678"/>
      <c r="T368" s="677"/>
    </row>
    <row r="369" spans="1:20" outlineLevel="1" x14ac:dyDescent="0.2"/>
    <row r="370" spans="1:20" outlineLevel="1" x14ac:dyDescent="0.2">
      <c r="B370" s="1" t="s">
        <v>181</v>
      </c>
    </row>
    <row r="371" spans="1:20" outlineLevel="2" x14ac:dyDescent="0.2">
      <c r="E371" s="6" t="s">
        <v>267</v>
      </c>
      <c r="F371" s="164">
        <f xml:space="preserve"> IF( INDEX(J371:T371, $I$4) = "", INDEX(J371:S371, $I$6), INDEX(J371:T371, $I$4))</f>
        <v>100</v>
      </c>
      <c r="G371" s="6" t="s">
        <v>105</v>
      </c>
      <c r="H371" s="6"/>
      <c r="I371" s="426" t="str">
        <f t="array" ref="I371" xml:space="preserve"> IF( INDEX(J371:T371, I$5) = "", IF( INDEX(J371:T371, I$6) = F371, "vw", "tu"), IF(INDEX(J371:T371, I$5) = F371, "vw", "tu"))</f>
        <v>vw</v>
      </c>
      <c r="J371" s="256"/>
      <c r="K371" s="289">
        <v>100</v>
      </c>
      <c r="L371" s="289">
        <v>100</v>
      </c>
      <c r="M371" s="289">
        <v>100</v>
      </c>
      <c r="N371" s="173"/>
      <c r="O371" s="307"/>
      <c r="P371" s="307"/>
      <c r="Q371" s="307"/>
      <c r="R371" s="307"/>
      <c r="S371" s="307"/>
      <c r="T371" s="173"/>
    </row>
    <row r="372" spans="1:20" outlineLevel="2" x14ac:dyDescent="0.2">
      <c r="E372" s="6" t="s">
        <v>345</v>
      </c>
      <c r="F372" s="302">
        <f xml:space="preserve"> IF( INDEX(J372:T372, $I$4) = "", INDEX(J372:S372, $I$6), INDEX(J372:T372, $I$4))</f>
        <v>0.12</v>
      </c>
      <c r="G372" s="12" t="s">
        <v>116</v>
      </c>
      <c r="I372" s="404" t="str">
        <f t="array" ref="I372" xml:space="preserve"> IF( INDEX(J372:T372, I$5) = "", IF( INDEX(J372:T372, I$6) = F372, "vw", "tu"), IF(INDEX(J372:T372, I$5) = F372, "vw", "tu"))</f>
        <v>tu</v>
      </c>
      <c r="J372" s="303"/>
      <c r="K372" s="304">
        <v>0.12</v>
      </c>
      <c r="L372" s="304">
        <v>7.0000000000000007E-2</v>
      </c>
      <c r="M372" s="304">
        <v>7.0000000000000007E-2</v>
      </c>
      <c r="N372" s="305"/>
      <c r="O372" s="306"/>
      <c r="P372" s="306"/>
      <c r="Q372" s="306"/>
      <c r="R372" s="306"/>
      <c r="S372" s="306"/>
      <c r="T372" s="305"/>
    </row>
    <row r="373" spans="1:20" outlineLevel="2" x14ac:dyDescent="0.2">
      <c r="E373" s="282" t="s">
        <v>590</v>
      </c>
      <c r="F373" s="302">
        <f xml:space="preserve"> IF( INDEX(J373:T373, $I$4) = "", INDEX(J373:S373, $I$6), INDEX(J373:T373, $I$4))</f>
        <v>0</v>
      </c>
      <c r="G373" s="282" t="s">
        <v>103</v>
      </c>
      <c r="H373" s="525"/>
      <c r="I373" s="843" t="str">
        <f t="array" ref="I373" xml:space="preserve"> IF( INDEX(J373:T373, I$5) = "", IF( INDEX(J373:T373, I$6) = F373, "vw", "tu"), IF(INDEX(J373:T373, I$5) = F373, "vw", "tu"))</f>
        <v>vw</v>
      </c>
      <c r="J373" s="303"/>
      <c r="K373" s="676">
        <v>0</v>
      </c>
      <c r="L373" s="676">
        <v>0</v>
      </c>
      <c r="M373" s="676">
        <v>0</v>
      </c>
      <c r="N373" s="305"/>
      <c r="O373" s="838"/>
      <c r="P373" s="838"/>
      <c r="Q373" s="838"/>
      <c r="R373" s="838"/>
      <c r="S373" s="838"/>
      <c r="T373" s="305"/>
    </row>
    <row r="374" spans="1:20" outlineLevel="2" x14ac:dyDescent="0.2"/>
    <row r="375" spans="1:20" outlineLevel="2" x14ac:dyDescent="0.2">
      <c r="E375" s="12" t="str">
        <f t="shared" ref="E375:G375" si="24" xml:space="preserve"> E$313</f>
        <v>Standby funding commitment amount</v>
      </c>
      <c r="F375" s="679">
        <f t="shared" si="24"/>
        <v>6000</v>
      </c>
      <c r="G375" s="12" t="str">
        <f t="shared" si="24"/>
        <v>$ 000s</v>
      </c>
    </row>
    <row r="376" spans="1:20" outlineLevel="2" x14ac:dyDescent="0.2">
      <c r="E376" s="12" t="str">
        <f xml:space="preserve"> E$317</f>
        <v>Standby debt commitment amount</v>
      </c>
      <c r="F376" s="679">
        <f t="shared" ref="F376:G376" si="25" xml:space="preserve"> F$317</f>
        <v>4307.8058203661139</v>
      </c>
      <c r="G376" s="12" t="str">
        <f t="shared" si="25"/>
        <v>$ 000s</v>
      </c>
    </row>
    <row r="377" spans="1:20" outlineLevel="2" x14ac:dyDescent="0.2">
      <c r="E377" s="12" t="s">
        <v>442</v>
      </c>
      <c r="F377" s="679">
        <f xml:space="preserve"> F375 - F376</f>
        <v>1692.1941796338861</v>
      </c>
      <c r="G377" s="12" t="str">
        <f xml:space="preserve"> SMU</f>
        <v>$ 000s</v>
      </c>
    </row>
    <row r="378" spans="1:20" outlineLevel="2" x14ac:dyDescent="0.2"/>
    <row r="379" spans="1:20" outlineLevel="2" x14ac:dyDescent="0.2">
      <c r="E379" s="685" t="s">
        <v>1297</v>
      </c>
      <c r="F379" s="302">
        <f t="shared" ref="F379" si="26" xml:space="preserve"> IF( INDEX(J379:T379, $I$4) = "", INDEX(J379:S379, $I$6), INDEX(J379:T379, $I$4))</f>
        <v>5.0000000000000001E-3</v>
      </c>
      <c r="G379" s="685" t="s">
        <v>116</v>
      </c>
      <c r="I379" s="376" t="str">
        <f t="array" ref="I379" xml:space="preserve"> IF( INDEX(J379:T379, I$5) = "", IF( INDEX(J379:T379, I$6) = F379, "vw", "tu"), IF(INDEX(J379:T379, I$5) = F379, "vw", "tu"))</f>
        <v>vw</v>
      </c>
      <c r="K379" s="750">
        <v>5.0000000000000001E-3</v>
      </c>
      <c r="L379" s="750">
        <v>5.0000000000000001E-3</v>
      </c>
      <c r="M379" s="750">
        <v>5.0000000000000001E-3</v>
      </c>
      <c r="O379" s="307"/>
      <c r="P379" s="307"/>
      <c r="Q379" s="307"/>
      <c r="R379" s="307"/>
      <c r="S379" s="307"/>
    </row>
    <row r="380" spans="1:20" outlineLevel="2" x14ac:dyDescent="0.2"/>
    <row r="382" spans="1:20" x14ac:dyDescent="0.2">
      <c r="A382" s="1" t="s">
        <v>203</v>
      </c>
    </row>
    <row r="383" spans="1:20" outlineLevel="1" x14ac:dyDescent="0.2"/>
    <row r="384" spans="1:20" outlineLevel="1" x14ac:dyDescent="0.2">
      <c r="E384" s="6" t="s">
        <v>732</v>
      </c>
      <c r="F384" s="164">
        <f xml:space="preserve"> IF( INDEX(J384:T384, $I$4) = "", INDEX(J384:S384, $I$6), INDEX(J384:T384, $I$4))</f>
        <v>1</v>
      </c>
      <c r="G384" s="6" t="s">
        <v>10</v>
      </c>
      <c r="H384" s="6"/>
      <c r="I384" s="427" t="str">
        <f t="array" ref="I384" xml:space="preserve"> IF( INDEX(J384:T384, I$5) = "", IF( INDEX(J384:T384, I$6) = F384, "vw", "tu"), IF(INDEX(J384:T384, I$5) = F384, "vw", "tu"))</f>
        <v>vw</v>
      </c>
      <c r="J384" s="256"/>
      <c r="K384" s="1122">
        <v>1</v>
      </c>
      <c r="L384" s="1122">
        <v>1</v>
      </c>
      <c r="M384" s="1122">
        <v>1</v>
      </c>
      <c r="N384" s="173"/>
      <c r="O384" s="307"/>
      <c r="P384" s="307"/>
      <c r="Q384" s="307"/>
      <c r="R384" s="307"/>
      <c r="S384" s="307"/>
      <c r="T384" s="173"/>
    </row>
    <row r="385" spans="1:20" outlineLevel="1" x14ac:dyDescent="0.2">
      <c r="E385" s="6" t="s">
        <v>733</v>
      </c>
      <c r="F385" s="164">
        <f xml:space="preserve"> IF( INDEX(J385:T385, $I$4) = "", INDEX(J385:S385, $I$6), INDEX(J385:T385, $I$4))</f>
        <v>1</v>
      </c>
      <c r="G385" s="6" t="s">
        <v>10</v>
      </c>
      <c r="H385" s="6"/>
      <c r="I385" s="427" t="str">
        <f t="array" ref="I385" xml:space="preserve"> IF( INDEX(J385:T385, I$5) = "", IF( INDEX(J385:T385, I$6) = F385, "vw", "tu"), IF(INDEX(J385:T385, I$5) = F385, "vw", "tu"))</f>
        <v>vw</v>
      </c>
      <c r="J385" s="256"/>
      <c r="K385" s="289">
        <v>1</v>
      </c>
      <c r="L385" s="289">
        <v>1</v>
      </c>
      <c r="M385" s="289">
        <v>1</v>
      </c>
      <c r="N385" s="173"/>
      <c r="O385" s="307"/>
      <c r="P385" s="307"/>
      <c r="Q385" s="307"/>
      <c r="R385" s="307"/>
      <c r="S385" s="307"/>
      <c r="T385" s="173"/>
    </row>
    <row r="386" spans="1:20" outlineLevel="1" x14ac:dyDescent="0.2"/>
    <row r="387" spans="1:20" outlineLevel="1" x14ac:dyDescent="0.2">
      <c r="E387" s="6" t="s">
        <v>192</v>
      </c>
      <c r="F387" s="164">
        <f xml:space="preserve"> IF( INDEX(J387:T387, $I$4) = "", INDEX(J387:S387, $I$6), INDEX(J387:T387, $I$4))</f>
        <v>45</v>
      </c>
      <c r="G387" s="6" t="s">
        <v>161</v>
      </c>
      <c r="H387" s="6"/>
      <c r="I387" s="427" t="str">
        <f t="array" ref="I387" xml:space="preserve"> IF( INDEX(J387:T387, I$5) = "", IF( INDEX(J387:T387, I$6) = F387, "vw", "tu"), IF(INDEX(J387:T387, I$5) = F387, "vw", "tu"))</f>
        <v>tu</v>
      </c>
      <c r="J387" s="256"/>
      <c r="K387" s="289">
        <v>45</v>
      </c>
      <c r="L387" s="289">
        <v>30</v>
      </c>
      <c r="M387" s="289">
        <v>30</v>
      </c>
      <c r="N387" s="173"/>
      <c r="O387" s="307"/>
      <c r="P387" s="307"/>
      <c r="Q387" s="307"/>
      <c r="R387" s="307"/>
      <c r="S387" s="307"/>
      <c r="T387" s="173"/>
    </row>
    <row r="388" spans="1:20" outlineLevel="1" x14ac:dyDescent="0.2">
      <c r="E388" s="6" t="s">
        <v>198</v>
      </c>
      <c r="F388" s="164">
        <f xml:space="preserve"> IF( INDEX(J388:T388, $I$4) = "", INDEX(J388:S388, $I$6), INDEX(J388:T388, $I$4))</f>
        <v>45</v>
      </c>
      <c r="G388" s="6" t="s">
        <v>161</v>
      </c>
      <c r="H388" s="6"/>
      <c r="I388" s="427" t="str">
        <f t="array" ref="I388" xml:space="preserve"> IF( INDEX(J388:T388, I$5) = "", IF( INDEX(J388:T388, I$6) = F388, "vw", "tu"), IF(INDEX(J388:T388, I$5) = F388, "vw", "tu"))</f>
        <v>tu</v>
      </c>
      <c r="J388" s="256"/>
      <c r="K388" s="1123">
        <v>45</v>
      </c>
      <c r="L388" s="1123">
        <v>30</v>
      </c>
      <c r="M388" s="1123">
        <v>30</v>
      </c>
      <c r="N388" s="173"/>
      <c r="O388" s="307"/>
      <c r="P388" s="307"/>
      <c r="Q388" s="307"/>
      <c r="R388" s="307"/>
      <c r="S388" s="307"/>
      <c r="T388" s="173"/>
    </row>
    <row r="389" spans="1:20" outlineLevel="1" x14ac:dyDescent="0.2"/>
    <row r="391" spans="1:20" x14ac:dyDescent="0.2">
      <c r="A391" s="1" t="s">
        <v>182</v>
      </c>
      <c r="I391" s="376"/>
    </row>
    <row r="392" spans="1:20" outlineLevel="1" x14ac:dyDescent="0.2">
      <c r="I392" s="376"/>
    </row>
    <row r="393" spans="1:20" outlineLevel="1" x14ac:dyDescent="0.2">
      <c r="B393" s="1" t="s">
        <v>183</v>
      </c>
      <c r="I393" s="376"/>
    </row>
    <row r="394" spans="1:20" outlineLevel="2" x14ac:dyDescent="0.2">
      <c r="A394" s="33"/>
      <c r="B394" s="33"/>
      <c r="C394" s="30"/>
      <c r="D394" s="31"/>
      <c r="E394" s="31" t="s">
        <v>140</v>
      </c>
      <c r="F394" s="164">
        <f xml:space="preserve"> IF( INDEX(J394:T394, $I$4) = "", INDEX(J394:S394, $I$6), INDEX(J394:T394, $I$4))</f>
        <v>20</v>
      </c>
      <c r="G394" s="31" t="s">
        <v>29</v>
      </c>
      <c r="H394" s="172"/>
      <c r="I394" s="376" t="str">
        <f t="array" ref="I394" xml:space="preserve"> IF( INDEX(J394:T394, I$5) = "", IF( INDEX(J394:T394, I$6) = F394, "vw", "tu"), IF(INDEX(J394:T394, I$5) = F394, "vw", "tu"))</f>
        <v>vw</v>
      </c>
      <c r="J394" s="256"/>
      <c r="K394" s="159">
        <v>20</v>
      </c>
      <c r="L394" s="159">
        <v>20</v>
      </c>
      <c r="M394" s="159">
        <v>20</v>
      </c>
      <c r="N394" s="173"/>
      <c r="O394" s="165"/>
      <c r="P394" s="165"/>
      <c r="Q394" s="165"/>
      <c r="R394" s="165"/>
      <c r="S394" s="165"/>
      <c r="T394" s="173"/>
    </row>
    <row r="395" spans="1:20" outlineLevel="2" x14ac:dyDescent="0.2">
      <c r="A395" s="33"/>
      <c r="B395" s="33"/>
      <c r="C395" s="30"/>
      <c r="D395" s="31"/>
      <c r="E395" s="31"/>
      <c r="F395" s="35"/>
      <c r="G395" s="31"/>
      <c r="H395" s="172"/>
      <c r="I395" s="376"/>
      <c r="J395" s="256"/>
      <c r="K395" s="897"/>
      <c r="L395" s="897"/>
      <c r="M395" s="897"/>
      <c r="N395" s="173"/>
      <c r="O395" s="898"/>
      <c r="P395" s="898"/>
      <c r="Q395" s="898"/>
      <c r="R395" s="898"/>
      <c r="S395" s="898"/>
      <c r="T395" s="173"/>
    </row>
    <row r="396" spans="1:20" x14ac:dyDescent="0.2">
      <c r="I396" s="376"/>
    </row>
    <row r="397" spans="1:20" x14ac:dyDescent="0.2">
      <c r="A397" s="1" t="s">
        <v>184</v>
      </c>
      <c r="I397" s="376"/>
    </row>
    <row r="398" spans="1:20" outlineLevel="1" x14ac:dyDescent="0.2">
      <c r="I398" s="376"/>
    </row>
    <row r="399" spans="1:20" outlineLevel="1" x14ac:dyDescent="0.2">
      <c r="A399" s="284"/>
      <c r="B399" s="284"/>
      <c r="C399" s="285"/>
      <c r="D399" s="286"/>
      <c r="E399" s="301" t="s">
        <v>1293</v>
      </c>
      <c r="F399" s="302">
        <f xml:space="preserve"> IF( INDEX(J399:T399, $I$4) = "", INDEX(J399:S399, $I$6), INDEX(J399:T399, $I$4))</f>
        <v>0</v>
      </c>
      <c r="G399" s="301" t="s">
        <v>103</v>
      </c>
      <c r="H399" s="301"/>
      <c r="I399" s="404" t="str">
        <f t="array" ref="I399" xml:space="preserve"> IF( INDEX(J399:T399, I$5) = "", IF( INDEX(J399:T399, I$6) = F399, "vw", "tu"), IF(INDEX(J399:T399, I$5) = F399, "vw", "tu"))</f>
        <v>tu</v>
      </c>
      <c r="J399" s="303"/>
      <c r="K399" s="304">
        <v>0</v>
      </c>
      <c r="L399" s="304">
        <f>80% * 2%</f>
        <v>1.6E-2</v>
      </c>
      <c r="M399" s="304">
        <f>80% * 2%</f>
        <v>1.6E-2</v>
      </c>
      <c r="N399" s="305"/>
      <c r="O399" s="306"/>
      <c r="P399" s="306"/>
      <c r="Q399" s="306"/>
      <c r="R399" s="306"/>
      <c r="S399" s="306"/>
      <c r="T399" s="305"/>
    </row>
    <row r="400" spans="1:20" outlineLevel="1" x14ac:dyDescent="0.2">
      <c r="A400" s="284"/>
      <c r="B400" s="284"/>
      <c r="C400" s="285"/>
      <c r="D400" s="286"/>
      <c r="E400" s="301" t="s">
        <v>1292</v>
      </c>
      <c r="F400" s="302">
        <f xml:space="preserve"> IF( INDEX(J400:T400, $I$4) = "", INDEX(J400:S400, $I$6), INDEX(J400:T400, $I$4))</f>
        <v>0.03</v>
      </c>
      <c r="G400" s="301" t="s">
        <v>103</v>
      </c>
      <c r="H400" s="301"/>
      <c r="I400" s="404" t="str">
        <f t="array" ref="I400" xml:space="preserve"> IF( INDEX(J400:T400, I$5) = "", IF( INDEX(J400:T400, I$6) = F400, "vw", "tu"), IF(INDEX(J400:T400, I$5) = F400, "vw", "tu"))</f>
        <v>vw</v>
      </c>
      <c r="J400" s="303"/>
      <c r="K400" s="304">
        <v>0.03</v>
      </c>
      <c r="L400" s="304">
        <v>0.03</v>
      </c>
      <c r="M400" s="304">
        <v>0.03</v>
      </c>
      <c r="N400" s="305"/>
      <c r="O400" s="306"/>
      <c r="P400" s="306"/>
      <c r="Q400" s="306"/>
      <c r="R400" s="306"/>
      <c r="S400" s="306"/>
      <c r="T400" s="305"/>
    </row>
    <row r="401" spans="1:20" ht="25.5" outlineLevel="1" x14ac:dyDescent="0.2">
      <c r="A401" s="284"/>
      <c r="B401" s="284"/>
      <c r="C401" s="285"/>
      <c r="D401" s="286"/>
      <c r="E401" s="1165" t="s">
        <v>1339</v>
      </c>
      <c r="F401" s="302">
        <f xml:space="preserve"> IF( INDEX(J401:T401, $I$4) = "", INDEX(J401:S401, $I$6), INDEX(J401:T401, $I$4))</f>
        <v>0.02</v>
      </c>
      <c r="G401" s="301" t="s">
        <v>103</v>
      </c>
      <c r="H401" s="301"/>
      <c r="I401" s="404"/>
      <c r="J401" s="303"/>
      <c r="K401" s="304">
        <v>0.02</v>
      </c>
      <c r="L401" s="304"/>
      <c r="M401" s="304"/>
      <c r="N401" s="305"/>
      <c r="O401" s="306"/>
      <c r="P401" s="306"/>
      <c r="Q401" s="306"/>
      <c r="R401" s="306"/>
      <c r="S401" s="306"/>
      <c r="T401" s="305"/>
    </row>
    <row r="402" spans="1:20" outlineLevel="1" x14ac:dyDescent="0.2">
      <c r="A402" s="284"/>
      <c r="B402" s="284"/>
      <c r="C402" s="285"/>
      <c r="D402" s="286"/>
      <c r="E402" s="301" t="s">
        <v>168</v>
      </c>
      <c r="F402" s="302">
        <f xml:space="preserve"> IF( INDEX(J402:T402, $I$4) = "", INDEX(J402:S402, $I$6), INDEX(J402:T402, $I$4))</f>
        <v>0.2</v>
      </c>
      <c r="G402" s="301" t="s">
        <v>103</v>
      </c>
      <c r="H402" s="301"/>
      <c r="I402" s="404" t="str">
        <f t="array" ref="I402" xml:space="preserve"> IF( INDEX(J402:T402, I$5) = "", IF( INDEX(J402:T402, I$6) = F402, "vw", "tu"), IF(INDEX(J402:T402, I$5) = F402, "vw", "tu"))</f>
        <v>vw</v>
      </c>
      <c r="J402" s="303"/>
      <c r="K402" s="304">
        <v>0.2</v>
      </c>
      <c r="L402" s="304">
        <v>0.2</v>
      </c>
      <c r="M402" s="304">
        <v>0.2</v>
      </c>
      <c r="N402" s="305"/>
      <c r="O402" s="306"/>
      <c r="P402" s="306"/>
      <c r="Q402" s="306"/>
      <c r="R402" s="306"/>
      <c r="S402" s="306"/>
      <c r="T402" s="305"/>
    </row>
    <row r="403" spans="1:20" outlineLevel="1" x14ac:dyDescent="0.2">
      <c r="A403" s="284"/>
      <c r="B403" s="284"/>
      <c r="C403" s="285"/>
      <c r="D403" s="286"/>
      <c r="E403" s="301" t="s">
        <v>173</v>
      </c>
      <c r="F403" s="302">
        <f xml:space="preserve"> IF( INDEX(J403:T403, $I$4) = "", INDEX(J403:S403, $I$6), INDEX(J403:T403, $I$4))</f>
        <v>0.1</v>
      </c>
      <c r="G403" s="301" t="s">
        <v>103</v>
      </c>
      <c r="H403" s="301"/>
      <c r="I403" s="404" t="str">
        <f t="array" ref="I403" xml:space="preserve"> IF( INDEX(J403:T403, I$5) = "", IF( INDEX(J403:T403, I$6) = F403, "vw", "tu"), IF(INDEX(J403:T403, I$5) = F403, "vw", "tu"))</f>
        <v>vw</v>
      </c>
      <c r="J403" s="303"/>
      <c r="K403" s="304">
        <v>0.1</v>
      </c>
      <c r="L403" s="304">
        <v>0.1</v>
      </c>
      <c r="M403" s="304">
        <v>0.1</v>
      </c>
      <c r="N403" s="305"/>
      <c r="O403" s="306"/>
      <c r="P403" s="306"/>
      <c r="Q403" s="306"/>
      <c r="R403" s="306"/>
      <c r="S403" s="306"/>
      <c r="T403" s="305"/>
    </row>
    <row r="404" spans="1:20" outlineLevel="1" x14ac:dyDescent="0.2">
      <c r="I404" s="376"/>
    </row>
    <row r="406" spans="1:20" x14ac:dyDescent="0.2">
      <c r="A406" s="239" t="s">
        <v>90</v>
      </c>
      <c r="B406" s="239"/>
      <c r="C406" s="240"/>
      <c r="D406" s="156"/>
      <c r="E406" s="156"/>
      <c r="F406" s="156"/>
      <c r="G406" s="156"/>
      <c r="H406" s="156"/>
      <c r="I406" s="379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</row>
    <row r="407" spans="1:20" outlineLevel="1" x14ac:dyDescent="0.2">
      <c r="A407" s="33"/>
      <c r="B407" s="33"/>
      <c r="C407" s="30"/>
      <c r="D407" s="81"/>
      <c r="E407" s="32"/>
      <c r="F407" s="31"/>
      <c r="G407" s="32"/>
      <c r="H407" s="32"/>
      <c r="J407" s="156"/>
      <c r="K407" s="32"/>
      <c r="L407" s="32"/>
      <c r="M407" s="32"/>
      <c r="N407" s="156"/>
      <c r="O407" s="32"/>
      <c r="P407" s="32"/>
      <c r="Q407" s="32"/>
      <c r="R407" s="32"/>
      <c r="S407" s="32"/>
      <c r="T407" s="156"/>
    </row>
    <row r="408" spans="1:20" outlineLevel="1" x14ac:dyDescent="0.2">
      <c r="A408" s="33"/>
      <c r="B408" s="33"/>
      <c r="C408" s="30"/>
      <c r="D408" s="81"/>
      <c r="E408" s="82" t="s">
        <v>40</v>
      </c>
      <c r="F408" s="647">
        <v>0.01</v>
      </c>
      <c r="G408" s="82" t="s">
        <v>41</v>
      </c>
      <c r="H408" s="32"/>
      <c r="J408" s="156"/>
      <c r="K408" s="32"/>
      <c r="L408" s="32"/>
      <c r="M408" s="32"/>
      <c r="N408" s="156"/>
      <c r="O408" s="32"/>
      <c r="P408" s="32"/>
      <c r="Q408" s="32"/>
      <c r="R408" s="32"/>
      <c r="S408" s="32"/>
      <c r="T408" s="156"/>
    </row>
    <row r="409" spans="1:20" outlineLevel="1" x14ac:dyDescent="0.2">
      <c r="A409" s="33"/>
      <c r="B409" s="33"/>
      <c r="C409" s="30"/>
      <c r="D409" s="81"/>
      <c r="E409" s="82" t="s">
        <v>72</v>
      </c>
      <c r="F409" s="670">
        <v>0.01</v>
      </c>
      <c r="G409" s="82" t="s">
        <v>41</v>
      </c>
      <c r="H409" s="32"/>
      <c r="J409" s="156"/>
      <c r="K409" s="32"/>
      <c r="L409" s="32"/>
      <c r="M409" s="32"/>
      <c r="N409" s="156"/>
      <c r="O409" s="32"/>
      <c r="P409" s="32"/>
      <c r="Q409" s="32"/>
      <c r="R409" s="32"/>
      <c r="S409" s="32"/>
      <c r="T409" s="156"/>
    </row>
    <row r="410" spans="1:20" outlineLevel="1" x14ac:dyDescent="0.2">
      <c r="A410" s="33"/>
      <c r="B410" s="33"/>
      <c r="C410" s="30"/>
      <c r="D410" s="81"/>
      <c r="E410" s="82" t="s">
        <v>431</v>
      </c>
      <c r="F410" s="669">
        <v>2.0000000000000002E-5</v>
      </c>
      <c r="G410" s="82" t="s">
        <v>41</v>
      </c>
      <c r="H410" s="32"/>
      <c r="J410" s="156"/>
      <c r="K410" s="32"/>
      <c r="L410" s="32"/>
      <c r="M410" s="32"/>
      <c r="N410" s="156"/>
      <c r="O410" s="32"/>
      <c r="P410" s="32"/>
      <c r="Q410" s="32"/>
      <c r="R410" s="32"/>
      <c r="S410" s="32"/>
      <c r="T410" s="156"/>
    </row>
    <row r="411" spans="1:20" outlineLevel="1" x14ac:dyDescent="0.2">
      <c r="A411" s="33"/>
      <c r="B411" s="33"/>
      <c r="C411" s="30"/>
      <c r="D411" s="81"/>
      <c r="E411" s="82" t="s">
        <v>327</v>
      </c>
      <c r="F411" s="671">
        <v>1E-4</v>
      </c>
      <c r="G411" s="82" t="s">
        <v>187</v>
      </c>
      <c r="H411" s="32"/>
      <c r="J411" s="156"/>
      <c r="K411" s="32"/>
      <c r="L411" s="32"/>
      <c r="M411" s="32"/>
      <c r="N411" s="156"/>
      <c r="O411" s="32"/>
      <c r="P411" s="32"/>
      <c r="Q411" s="32"/>
      <c r="R411" s="32"/>
      <c r="S411" s="32"/>
      <c r="T411" s="156"/>
    </row>
    <row r="412" spans="1:20" outlineLevel="1" x14ac:dyDescent="0.2">
      <c r="A412" s="33"/>
      <c r="B412" s="33"/>
      <c r="C412" s="30"/>
      <c r="D412" s="31"/>
      <c r="E412" s="31" t="s">
        <v>43</v>
      </c>
      <c r="F412" s="159">
        <v>12</v>
      </c>
      <c r="G412" s="31" t="s">
        <v>10</v>
      </c>
      <c r="H412" s="31"/>
      <c r="J412" s="156"/>
      <c r="K412" s="31"/>
      <c r="L412" s="31"/>
      <c r="M412" s="31"/>
      <c r="N412" s="156"/>
      <c r="O412" s="31"/>
      <c r="P412" s="31"/>
      <c r="Q412" s="31"/>
      <c r="R412" s="31"/>
      <c r="S412" s="31"/>
      <c r="T412" s="156"/>
    </row>
    <row r="413" spans="1:20" outlineLevel="1" x14ac:dyDescent="0.2">
      <c r="A413" s="205"/>
      <c r="B413" s="205"/>
      <c r="C413" s="206"/>
      <c r="D413" s="209"/>
      <c r="E413" s="234" t="s">
        <v>165</v>
      </c>
      <c r="F413" s="648">
        <v>365</v>
      </c>
      <c r="G413" s="234" t="s">
        <v>161</v>
      </c>
      <c r="H413" s="234"/>
      <c r="I413" s="409"/>
      <c r="J413" s="329"/>
      <c r="K413" s="234"/>
      <c r="L413" s="234"/>
      <c r="M413" s="234"/>
      <c r="N413" s="329"/>
      <c r="O413" s="234"/>
      <c r="P413" s="234"/>
      <c r="Q413" s="234"/>
      <c r="R413" s="234"/>
      <c r="S413" s="234"/>
      <c r="T413" s="329"/>
    </row>
    <row r="414" spans="1:20" outlineLevel="1" x14ac:dyDescent="0.2">
      <c r="A414" s="205"/>
      <c r="B414" s="205"/>
      <c r="C414" s="206"/>
      <c r="D414" s="209"/>
      <c r="E414" s="234" t="s">
        <v>573</v>
      </c>
      <c r="F414" s="648">
        <v>24</v>
      </c>
      <c r="G414" s="234" t="s">
        <v>574</v>
      </c>
      <c r="H414" s="234"/>
      <c r="I414" s="409"/>
      <c r="J414" s="329"/>
      <c r="K414" s="234"/>
      <c r="L414" s="234"/>
      <c r="M414" s="234"/>
      <c r="N414" s="329"/>
      <c r="O414" s="234"/>
      <c r="P414" s="234"/>
      <c r="Q414" s="234"/>
      <c r="R414" s="234"/>
      <c r="S414" s="234"/>
      <c r="T414" s="329"/>
    </row>
    <row r="415" spans="1:20" outlineLevel="1" x14ac:dyDescent="0.2">
      <c r="A415" s="205"/>
      <c r="B415" s="205"/>
      <c r="C415" s="206"/>
      <c r="D415" s="209"/>
      <c r="E415" s="234" t="s">
        <v>102</v>
      </c>
      <c r="F415" s="648">
        <v>2</v>
      </c>
      <c r="G415" s="234" t="s">
        <v>87</v>
      </c>
      <c r="H415" s="234"/>
      <c r="I415" s="409"/>
      <c r="J415" s="329"/>
      <c r="K415" s="234"/>
      <c r="L415" s="234"/>
      <c r="M415" s="234"/>
      <c r="N415" s="329"/>
      <c r="O415" s="234"/>
      <c r="P415" s="234"/>
      <c r="Q415" s="234"/>
      <c r="R415" s="234"/>
      <c r="S415" s="234"/>
      <c r="T415" s="329"/>
    </row>
    <row r="416" spans="1:20" outlineLevel="1" x14ac:dyDescent="0.2">
      <c r="E416" s="12" t="s">
        <v>88</v>
      </c>
      <c r="F416" s="649" t="s">
        <v>105</v>
      </c>
      <c r="G416" s="12" t="s">
        <v>89</v>
      </c>
      <c r="I416" s="380"/>
    </row>
    <row r="417" spans="1:20" outlineLevel="1" x14ac:dyDescent="0.2">
      <c r="E417" s="146" t="s">
        <v>106</v>
      </c>
      <c r="F417" s="438">
        <v>100</v>
      </c>
      <c r="G417" s="146" t="s">
        <v>106</v>
      </c>
      <c r="H417" s="146"/>
    </row>
    <row r="418" spans="1:20" outlineLevel="1" x14ac:dyDescent="0.2">
      <c r="E418" s="146" t="s">
        <v>107</v>
      </c>
      <c r="F418" s="438">
        <v>1000000</v>
      </c>
      <c r="G418" s="146" t="s">
        <v>108</v>
      </c>
      <c r="H418" s="146"/>
    </row>
    <row r="419" spans="1:20" outlineLevel="1" x14ac:dyDescent="0.2">
      <c r="E419" s="198" t="s">
        <v>210</v>
      </c>
      <c r="F419" s="438">
        <v>1000</v>
      </c>
      <c r="G419" s="146" t="s">
        <v>104</v>
      </c>
      <c r="H419" s="146"/>
    </row>
    <row r="420" spans="1:20" outlineLevel="1" x14ac:dyDescent="0.2">
      <c r="E420" s="146" t="s">
        <v>154</v>
      </c>
      <c r="F420" s="438">
        <v>-1.0000000000000001E-9</v>
      </c>
      <c r="G420" s="146" t="str">
        <f xml:space="preserve"> SMU</f>
        <v>$ 000s</v>
      </c>
      <c r="H420" s="146"/>
    </row>
    <row r="421" spans="1:20" outlineLevel="1" x14ac:dyDescent="0.2"/>
    <row r="422" spans="1:20" outlineLevel="1" x14ac:dyDescent="0.2">
      <c r="B422" s="1" t="s">
        <v>27</v>
      </c>
    </row>
    <row r="423" spans="1:20" outlineLevel="2" x14ac:dyDescent="0.2">
      <c r="A423" s="15"/>
      <c r="B423" s="15"/>
      <c r="C423" s="21"/>
      <c r="D423" s="48"/>
      <c r="E423" s="9" t="s">
        <v>30</v>
      </c>
      <c r="F423" s="197" t="s">
        <v>31</v>
      </c>
      <c r="G423" s="9" t="s">
        <v>26</v>
      </c>
      <c r="H423" s="9"/>
      <c r="J423" s="155"/>
      <c r="K423" s="46"/>
      <c r="L423" s="46"/>
      <c r="M423" s="46"/>
      <c r="N423" s="155"/>
      <c r="O423" s="46"/>
      <c r="P423" s="46"/>
      <c r="Q423" s="46"/>
      <c r="R423" s="46"/>
      <c r="S423" s="46"/>
      <c r="T423" s="155"/>
    </row>
    <row r="424" spans="1:20" outlineLevel="2" x14ac:dyDescent="0.2">
      <c r="A424" s="15"/>
      <c r="B424" s="15"/>
      <c r="C424" s="21"/>
      <c r="D424" s="48"/>
      <c r="E424" s="9" t="s">
        <v>46</v>
      </c>
      <c r="F424" s="197" t="s">
        <v>47</v>
      </c>
      <c r="G424" s="9" t="s">
        <v>26</v>
      </c>
      <c r="H424" s="9"/>
      <c r="J424" s="155"/>
      <c r="K424" s="46"/>
      <c r="L424" s="46"/>
      <c r="M424" s="46"/>
      <c r="N424" s="155"/>
      <c r="O424" s="46"/>
      <c r="P424" s="46"/>
      <c r="Q424" s="46"/>
      <c r="R424" s="46"/>
      <c r="S424" s="46"/>
      <c r="T424" s="155"/>
    </row>
    <row r="425" spans="1:20" outlineLevel="2" x14ac:dyDescent="0.2">
      <c r="A425" s="15"/>
      <c r="B425" s="15"/>
      <c r="C425" s="21"/>
      <c r="D425" s="48"/>
      <c r="E425" s="9" t="s">
        <v>232</v>
      </c>
      <c r="F425" s="197" t="s">
        <v>232</v>
      </c>
      <c r="G425" s="9" t="s">
        <v>26</v>
      </c>
      <c r="H425" s="9"/>
      <c r="J425" s="155"/>
      <c r="K425" s="46"/>
      <c r="L425" s="46"/>
      <c r="M425" s="46"/>
      <c r="N425" s="155"/>
      <c r="O425" s="46"/>
      <c r="P425" s="46"/>
      <c r="Q425" s="46"/>
      <c r="R425" s="46"/>
      <c r="S425" s="46"/>
      <c r="T425" s="155"/>
    </row>
    <row r="426" spans="1:20" outlineLevel="2" x14ac:dyDescent="0.2">
      <c r="A426" s="15"/>
      <c r="B426" s="15"/>
      <c r="C426" s="21"/>
      <c r="D426" s="48"/>
      <c r="E426" s="9" t="s">
        <v>48</v>
      </c>
      <c r="F426" s="197" t="s">
        <v>48</v>
      </c>
      <c r="G426" s="9" t="s">
        <v>26</v>
      </c>
      <c r="H426" s="9"/>
      <c r="I426" s="380"/>
      <c r="J426" s="155"/>
      <c r="K426" s="46"/>
      <c r="L426" s="46"/>
      <c r="M426" s="46"/>
      <c r="N426" s="155"/>
      <c r="O426" s="46"/>
      <c r="P426" s="46"/>
      <c r="Q426" s="46"/>
      <c r="R426" s="46"/>
      <c r="S426" s="46"/>
      <c r="T426" s="155"/>
    </row>
    <row r="427" spans="1:20" outlineLevel="2" x14ac:dyDescent="0.2">
      <c r="A427" s="15"/>
      <c r="B427" s="15"/>
      <c r="C427" s="21"/>
      <c r="D427" s="48"/>
      <c r="E427" s="9" t="s">
        <v>49</v>
      </c>
      <c r="F427" s="197" t="s">
        <v>49</v>
      </c>
      <c r="G427" s="9" t="s">
        <v>26</v>
      </c>
      <c r="H427" s="9"/>
      <c r="I427" s="380"/>
      <c r="J427" s="155"/>
      <c r="K427" s="46"/>
      <c r="L427" s="46"/>
      <c r="M427" s="46"/>
      <c r="N427" s="155"/>
      <c r="O427" s="46"/>
      <c r="P427" s="46"/>
      <c r="Q427" s="46"/>
      <c r="R427" s="46"/>
      <c r="S427" s="46"/>
      <c r="T427" s="155"/>
    </row>
    <row r="428" spans="1:20" outlineLevel="2" x14ac:dyDescent="0.2">
      <c r="A428" s="15"/>
      <c r="B428" s="15"/>
      <c r="C428" s="21"/>
      <c r="D428" s="48"/>
      <c r="E428" s="9"/>
      <c r="F428" s="38"/>
      <c r="G428" s="9"/>
      <c r="H428" s="9"/>
      <c r="I428" s="380"/>
      <c r="J428" s="155"/>
      <c r="K428" s="46"/>
      <c r="L428" s="46"/>
      <c r="M428" s="46"/>
      <c r="N428" s="155"/>
      <c r="O428" s="46"/>
      <c r="P428" s="46"/>
      <c r="Q428" s="46"/>
      <c r="R428" s="46"/>
      <c r="S428" s="46"/>
      <c r="T428" s="155"/>
    </row>
    <row r="429" spans="1:20" outlineLevel="2" x14ac:dyDescent="0.2">
      <c r="E429" s="6" t="s">
        <v>113</v>
      </c>
      <c r="F429" s="164">
        <f xml:space="preserve"> IF( INDEX(J429:T429, $I$4) = "", INDEX(J429:S429, $I$6), INDEX(J429:T429, $I$4))</f>
        <v>0</v>
      </c>
      <c r="G429" s="6" t="s">
        <v>114</v>
      </c>
      <c r="H429" s="6"/>
      <c r="I429" s="376" t="str">
        <f t="array" ref="I429" xml:space="preserve"> IF( INDEX(J429:T429, I$5) = "", IF( INDEX(J429:T429, I$6) = F429, "vw", "tu"), IF(INDEX(J429:T429, I$5) = F429, "vw", "tu"))</f>
        <v>vw</v>
      </c>
      <c r="J429" s="256"/>
      <c r="K429" s="289"/>
      <c r="L429" s="289"/>
      <c r="M429" s="289"/>
      <c r="N429" s="173"/>
      <c r="O429" s="307"/>
      <c r="P429" s="307"/>
      <c r="Q429" s="307"/>
      <c r="R429" s="307"/>
      <c r="S429" s="307"/>
      <c r="T429" s="173"/>
    </row>
    <row r="430" spans="1:20" outlineLevel="2" x14ac:dyDescent="0.2">
      <c r="A430" s="15"/>
      <c r="B430" s="15"/>
      <c r="C430" s="21"/>
      <c r="D430" s="48"/>
      <c r="E430" s="9"/>
      <c r="F430" s="38"/>
      <c r="G430" s="9"/>
      <c r="H430" s="9"/>
      <c r="I430" s="376"/>
      <c r="J430" s="155"/>
      <c r="K430" s="46"/>
      <c r="L430" s="46"/>
      <c r="M430" s="46"/>
      <c r="N430" s="155"/>
      <c r="O430" s="46"/>
      <c r="P430" s="46"/>
      <c r="Q430" s="46"/>
      <c r="R430" s="46"/>
      <c r="S430" s="46"/>
      <c r="T430" s="155"/>
    </row>
    <row r="431" spans="1:20" x14ac:dyDescent="0.2">
      <c r="I431" s="376"/>
    </row>
    <row r="432" spans="1:20" ht="15" customHeight="1" x14ac:dyDescent="0.2">
      <c r="A432" s="1" t="s">
        <v>62</v>
      </c>
      <c r="I432" s="376"/>
    </row>
    <row r="433" spans="9:9" ht="15" customHeight="1" x14ac:dyDescent="0.2">
      <c r="I433" s="376"/>
    </row>
  </sheetData>
  <phoneticPr fontId="6" type="noConversion"/>
  <conditionalFormatting sqref="O417:Q419 O415:Q415 O15:Q15 O18:Q18 P13:Q13 O137:Q138 O29:Q29 O257:Q257 O169:Q170 O183:P183 O178:Q178 O125:Q125 O21:Q26 O391:Q398 O47:Q47 O113:Q113 O402:Q404 O31:Q33 O263:Q263 S263 S174:S175 S31:S33 S402:S404 S113 S47 S391:S398 S82 S21:S26 S127 S125 S178 S183 S169:S170 S257 S29 S137:S138 S13 S18 S15 S415 S417:S419 O174:Q176 O193:Q198 S193:S198 O228:S230 O266:S268 S145 O142:P142 O74:S78 O38:S42 S84 O80:Q84 S130 S132:S134 O127:Q134 S148:S151 O144:Q151">
    <cfRule type="cellIs" dxfId="917" priority="1291" operator="equal">
      <formula>""</formula>
    </cfRule>
  </conditionalFormatting>
  <conditionalFormatting sqref="O16:Q16 S16">
    <cfRule type="cellIs" dxfId="916" priority="1288" operator="equal">
      <formula>""</formula>
    </cfRule>
  </conditionalFormatting>
  <conditionalFormatting sqref="O14:Q14 S14">
    <cfRule type="cellIs" dxfId="915" priority="1286" operator="equal">
      <formula>""</formula>
    </cfRule>
  </conditionalFormatting>
  <conditionalFormatting sqref="O417:Q417 S417">
    <cfRule type="cellIs" dxfId="914" priority="1136" operator="equal">
      <formula>""</formula>
    </cfRule>
  </conditionalFormatting>
  <conditionalFormatting sqref="O418:Q418 S418">
    <cfRule type="cellIs" dxfId="913" priority="1134" operator="equal">
      <formula>""</formula>
    </cfRule>
  </conditionalFormatting>
  <conditionalFormatting sqref="O419:Q419 S419">
    <cfRule type="cellIs" dxfId="912" priority="1132" operator="equal">
      <formula>""</formula>
    </cfRule>
  </conditionalFormatting>
  <conditionalFormatting sqref="I419 I421:I422">
    <cfRule type="cellIs" dxfId="911" priority="1089" operator="equal">
      <formula>1</formula>
    </cfRule>
  </conditionalFormatting>
  <conditionalFormatting sqref="I419">
    <cfRule type="cellIs" dxfId="910" priority="1088" operator="equal">
      <formula>1</formula>
    </cfRule>
  </conditionalFormatting>
  <conditionalFormatting sqref="I421">
    <cfRule type="cellIs" dxfId="909" priority="1087" operator="equal">
      <formula>1</formula>
    </cfRule>
  </conditionalFormatting>
  <conditionalFormatting sqref="I422">
    <cfRule type="cellIs" dxfId="908" priority="1086" operator="equal">
      <formula>1</formula>
    </cfRule>
  </conditionalFormatting>
  <conditionalFormatting sqref="I430:I433 I33 I257 I145 I182:I183 I169:I170 I149:I151 I132:I134 I123 I125 I127 I21:I22 I80:I84 I391:I398 I47 I113:I114 I402:I404 I31 I174:I180 I193:I198 I263 I201:I230 I265:I268 I74:I78 I41:I42">
    <cfRule type="cellIs" dxfId="907" priority="1085" operator="equal">
      <formula>"tu"</formula>
    </cfRule>
  </conditionalFormatting>
  <conditionalFormatting sqref="O13">
    <cfRule type="cellIs" dxfId="906" priority="1080" operator="equal">
      <formula>""</formula>
    </cfRule>
  </conditionalFormatting>
  <conditionalFormatting sqref="I80">
    <cfRule type="cellIs" dxfId="905" priority="1051" operator="equal">
      <formula>"tu"</formula>
    </cfRule>
  </conditionalFormatting>
  <conditionalFormatting sqref="O76:Q76 S76">
    <cfRule type="cellIs" dxfId="904" priority="1050" operator="equal">
      <formula>""</formula>
    </cfRule>
  </conditionalFormatting>
  <conditionalFormatting sqref="O77:Q77 S77">
    <cfRule type="cellIs" dxfId="903" priority="1048" operator="equal">
      <formula>""</formula>
    </cfRule>
  </conditionalFormatting>
  <conditionalFormatting sqref="O429:Q429 S429">
    <cfRule type="cellIs" dxfId="902" priority="1004" operator="equal">
      <formula>""</formula>
    </cfRule>
  </conditionalFormatting>
  <conditionalFormatting sqref="I429">
    <cfRule type="cellIs" dxfId="901" priority="1000" operator="equal">
      <formula>"tu"</formula>
    </cfRule>
  </conditionalFormatting>
  <conditionalFormatting sqref="I13">
    <cfRule type="cellIs" dxfId="900" priority="999" operator="equal">
      <formula>"tu"</formula>
    </cfRule>
  </conditionalFormatting>
  <conditionalFormatting sqref="I14">
    <cfRule type="cellIs" dxfId="899" priority="998" operator="equal">
      <formula>"tu"</formula>
    </cfRule>
  </conditionalFormatting>
  <conditionalFormatting sqref="I15">
    <cfRule type="cellIs" dxfId="898" priority="996" operator="equal">
      <formula>"tu"</formula>
    </cfRule>
  </conditionalFormatting>
  <conditionalFormatting sqref="I16">
    <cfRule type="cellIs" dxfId="897" priority="995" operator="equal">
      <formula>"tu"</formula>
    </cfRule>
  </conditionalFormatting>
  <conditionalFormatting sqref="I18">
    <cfRule type="cellIs" dxfId="896" priority="994" operator="equal">
      <formula>"tu"</formula>
    </cfRule>
  </conditionalFormatting>
  <conditionalFormatting sqref="O394:Q395 S394:S395">
    <cfRule type="cellIs" dxfId="895" priority="967" operator="equal">
      <formula>""</formula>
    </cfRule>
  </conditionalFormatting>
  <conditionalFormatting sqref="I394:I395">
    <cfRule type="cellIs" dxfId="894" priority="966" operator="equal">
      <formula>"tu"</formula>
    </cfRule>
  </conditionalFormatting>
  <conditionalFormatting sqref="O420:Q420 S420">
    <cfRule type="cellIs" dxfId="893" priority="963" operator="equal">
      <formula>""</formula>
    </cfRule>
  </conditionalFormatting>
  <conditionalFormatting sqref="O420:Q420 S420">
    <cfRule type="cellIs" dxfId="892" priority="962" operator="equal">
      <formula>""</formula>
    </cfRule>
  </conditionalFormatting>
  <conditionalFormatting sqref="I420">
    <cfRule type="cellIs" dxfId="891" priority="961" operator="equal">
      <formula>1</formula>
    </cfRule>
  </conditionalFormatting>
  <conditionalFormatting sqref="I420">
    <cfRule type="cellIs" dxfId="890" priority="960" operator="equal">
      <formula>1</formula>
    </cfRule>
  </conditionalFormatting>
  <conditionalFormatting sqref="O79:Q79 S79">
    <cfRule type="cellIs" dxfId="889" priority="959" operator="equal">
      <formula>""</formula>
    </cfRule>
  </conditionalFormatting>
  <conditionalFormatting sqref="I79">
    <cfRule type="cellIs" dxfId="888" priority="958" operator="equal">
      <formula>"tu"</formula>
    </cfRule>
  </conditionalFormatting>
  <conditionalFormatting sqref="I79">
    <cfRule type="cellIs" dxfId="887" priority="957" operator="equal">
      <formula>"tu"</formula>
    </cfRule>
  </conditionalFormatting>
  <conditionalFormatting sqref="O194:Q194 S194">
    <cfRule type="cellIs" dxfId="886" priority="936" operator="equal">
      <formula>""</formula>
    </cfRule>
  </conditionalFormatting>
  <conditionalFormatting sqref="I194">
    <cfRule type="cellIs" dxfId="885" priority="935" operator="equal">
      <formula>"tu"</formula>
    </cfRule>
  </conditionalFormatting>
  <conditionalFormatting sqref="O229:Q229 S229">
    <cfRule type="cellIs" dxfId="884" priority="934" operator="equal">
      <formula>""</formula>
    </cfRule>
  </conditionalFormatting>
  <conditionalFormatting sqref="I229">
    <cfRule type="cellIs" dxfId="883" priority="933" operator="equal">
      <formula>"tu"</formula>
    </cfRule>
  </conditionalFormatting>
  <conditionalFormatting sqref="O413:Q414 S413:S414">
    <cfRule type="cellIs" dxfId="882" priority="918" operator="equal">
      <formula>""</formula>
    </cfRule>
  </conditionalFormatting>
  <conditionalFormatting sqref="O402:Q402 S402">
    <cfRule type="cellIs" dxfId="881" priority="917" operator="equal">
      <formula>""</formula>
    </cfRule>
  </conditionalFormatting>
  <conditionalFormatting sqref="I402">
    <cfRule type="cellIs" dxfId="880" priority="916" operator="equal">
      <formula>"tu"</formula>
    </cfRule>
  </conditionalFormatting>
  <conditionalFormatting sqref="O403:Q403 S403">
    <cfRule type="cellIs" dxfId="879" priority="915" operator="equal">
      <formula>""</formula>
    </cfRule>
  </conditionalFormatting>
  <conditionalFormatting sqref="I403">
    <cfRule type="cellIs" dxfId="878" priority="914" operator="equal">
      <formula>"tu"</formula>
    </cfRule>
  </conditionalFormatting>
  <conditionalFormatting sqref="I261">
    <cfRule type="cellIs" dxfId="877" priority="905" operator="equal">
      <formula>"tu"</formula>
    </cfRule>
  </conditionalFormatting>
  <conditionalFormatting sqref="I261">
    <cfRule type="cellIs" dxfId="876" priority="904" operator="equal">
      <formula>"tu"</formula>
    </cfRule>
  </conditionalFormatting>
  <conditionalFormatting sqref="I228">
    <cfRule type="cellIs" dxfId="875" priority="902" operator="equal">
      <formula>"tu"</formula>
    </cfRule>
  </conditionalFormatting>
  <conditionalFormatting sqref="O387:Q387 S387">
    <cfRule type="cellIs" dxfId="874" priority="891" operator="equal">
      <formula>""</formula>
    </cfRule>
  </conditionalFormatting>
  <conditionalFormatting sqref="O388:Q388 S388">
    <cfRule type="cellIs" dxfId="873" priority="887" operator="equal">
      <formula>""</formula>
    </cfRule>
  </conditionalFormatting>
  <conditionalFormatting sqref="I387:I388">
    <cfRule type="cellIs" dxfId="872" priority="877" operator="equal">
      <formula>"tu"</formula>
    </cfRule>
  </conditionalFormatting>
  <conditionalFormatting sqref="O125:Q125 O127:Q127 S127 S125">
    <cfRule type="cellIs" dxfId="871" priority="872" operator="equal">
      <formula>""</formula>
    </cfRule>
  </conditionalFormatting>
  <conditionalFormatting sqref="I125 I127">
    <cfRule type="cellIs" dxfId="870" priority="871" operator="equal">
      <formula>"tu"</formula>
    </cfRule>
  </conditionalFormatting>
  <conditionalFormatting sqref="S257:S263 O257:Q263">
    <cfRule type="cellIs" dxfId="869" priority="859" operator="equal">
      <formula>""</formula>
    </cfRule>
  </conditionalFormatting>
  <conditionalFormatting sqref="I257:I263">
    <cfRule type="cellIs" dxfId="868" priority="856" operator="equal">
      <formula>"tu"</formula>
    </cfRule>
  </conditionalFormatting>
  <conditionalFormatting sqref="I257:I263">
    <cfRule type="cellIs" dxfId="867" priority="857" operator="equal">
      <formula>"tu"</formula>
    </cfRule>
  </conditionalFormatting>
  <conditionalFormatting sqref="O197:Q198 S197:S198">
    <cfRule type="cellIs" dxfId="866" priority="855" operator="equal">
      <formula>""</formula>
    </cfRule>
  </conditionalFormatting>
  <conditionalFormatting sqref="I197:I198">
    <cfRule type="cellIs" dxfId="865" priority="854" operator="equal">
      <formula>"tu"</formula>
    </cfRule>
  </conditionalFormatting>
  <conditionalFormatting sqref="O198:Q198 S198">
    <cfRule type="cellIs" dxfId="864" priority="853" operator="equal">
      <formula>""</formula>
    </cfRule>
  </conditionalFormatting>
  <conditionalFormatting sqref="I198">
    <cfRule type="cellIs" dxfId="863" priority="852" operator="equal">
      <formula>"tu"</formula>
    </cfRule>
  </conditionalFormatting>
  <conditionalFormatting sqref="O19:Q19 S19">
    <cfRule type="cellIs" dxfId="862" priority="851" operator="equal">
      <formula>""</formula>
    </cfRule>
  </conditionalFormatting>
  <conditionalFormatting sqref="I19">
    <cfRule type="cellIs" dxfId="861" priority="850" operator="equal">
      <formula>"tu"</formula>
    </cfRule>
  </conditionalFormatting>
  <conditionalFormatting sqref="O137:Q137 S137">
    <cfRule type="cellIs" dxfId="860" priority="849" operator="equal">
      <formula>""</formula>
    </cfRule>
  </conditionalFormatting>
  <conditionalFormatting sqref="O138:Q138 S138">
    <cfRule type="cellIs" dxfId="859" priority="847" operator="equal">
      <formula>""</formula>
    </cfRule>
  </conditionalFormatting>
  <conditionalFormatting sqref="O142:P142">
    <cfRule type="cellIs" dxfId="858" priority="839" operator="equal">
      <formula>""</formula>
    </cfRule>
  </conditionalFormatting>
  <conditionalFormatting sqref="I176">
    <cfRule type="cellIs" dxfId="857" priority="834" operator="equal">
      <formula>"tu"</formula>
    </cfRule>
  </conditionalFormatting>
  <conditionalFormatting sqref="O176:Q176">
    <cfRule type="cellIs" dxfId="856" priority="835" operator="equal">
      <formula>""</formula>
    </cfRule>
  </conditionalFormatting>
  <conditionalFormatting sqref="I182">
    <cfRule type="cellIs" dxfId="855" priority="830" operator="equal">
      <formula>"tu"</formula>
    </cfRule>
  </conditionalFormatting>
  <conditionalFormatting sqref="O178:Q178 S178">
    <cfRule type="cellIs" dxfId="854" priority="829" operator="equal">
      <formula>""</formula>
    </cfRule>
  </conditionalFormatting>
  <conditionalFormatting sqref="I178">
    <cfRule type="cellIs" dxfId="853" priority="828" operator="equal">
      <formula>"tu"</formula>
    </cfRule>
  </conditionalFormatting>
  <conditionalFormatting sqref="I179:I180">
    <cfRule type="cellIs" dxfId="852" priority="826" operator="equal">
      <formula>"tu"</formula>
    </cfRule>
  </conditionalFormatting>
  <conditionalFormatting sqref="O371:Q371 S371">
    <cfRule type="cellIs" dxfId="851" priority="825" operator="equal">
      <formula>""</formula>
    </cfRule>
  </conditionalFormatting>
  <conditionalFormatting sqref="I371">
    <cfRule type="cellIs" dxfId="850" priority="824" operator="equal">
      <formula>"tu"</formula>
    </cfRule>
  </conditionalFormatting>
  <conditionalFormatting sqref="I351">
    <cfRule type="cellIs" dxfId="849" priority="823" operator="equal">
      <formula>"tu"</formula>
    </cfRule>
  </conditionalFormatting>
  <conditionalFormatting sqref="F78">
    <cfRule type="cellIs" dxfId="848" priority="819" stopIfTrue="1" operator="notEqual">
      <formula>0</formula>
    </cfRule>
    <cfRule type="cellIs" dxfId="847" priority="820" stopIfTrue="1" operator="equal">
      <formula>""</formula>
    </cfRule>
  </conditionalFormatting>
  <conditionalFormatting sqref="F78">
    <cfRule type="cellIs" dxfId="846" priority="821" stopIfTrue="1" operator="notEqual">
      <formula>0</formula>
    </cfRule>
    <cfRule type="cellIs" dxfId="845" priority="822" stopIfTrue="1" operator="equal">
      <formula>""</formula>
    </cfRule>
  </conditionalFormatting>
  <conditionalFormatting sqref="O123:Q123 S123">
    <cfRule type="cellIs" dxfId="844" priority="810" operator="equal">
      <formula>""</formula>
    </cfRule>
  </conditionalFormatting>
  <conditionalFormatting sqref="I122">
    <cfRule type="cellIs" dxfId="843" priority="815" operator="equal">
      <formula>"tu"</formula>
    </cfRule>
  </conditionalFormatting>
  <conditionalFormatting sqref="O116:Q118 S116:S118 S120:S121 O120:Q121">
    <cfRule type="cellIs" dxfId="842" priority="818" operator="equal">
      <formula>""</formula>
    </cfRule>
  </conditionalFormatting>
  <conditionalFormatting sqref="I116:I118 I121">
    <cfRule type="cellIs" dxfId="841" priority="817" operator="equal">
      <formula>"tu"</formula>
    </cfRule>
  </conditionalFormatting>
  <conditionalFormatting sqref="O122:Q122 S122">
    <cfRule type="cellIs" dxfId="840" priority="816" operator="equal">
      <formula>""</formula>
    </cfRule>
  </conditionalFormatting>
  <conditionalFormatting sqref="O372:Q373 S372:S373">
    <cfRule type="cellIs" dxfId="839" priority="814" operator="equal">
      <formula>""</formula>
    </cfRule>
  </conditionalFormatting>
  <conditionalFormatting sqref="I372">
    <cfRule type="cellIs" dxfId="838" priority="813" operator="equal">
      <formula>"tu"</formula>
    </cfRule>
  </conditionalFormatting>
  <conditionalFormatting sqref="I123">
    <cfRule type="cellIs" dxfId="837" priority="812" operator="equal">
      <formula>"tu"</formula>
    </cfRule>
  </conditionalFormatting>
  <conditionalFormatting sqref="O123:Q123 S123">
    <cfRule type="cellIs" dxfId="836" priority="811" operator="equal">
      <formula>""</formula>
    </cfRule>
  </conditionalFormatting>
  <conditionalFormatting sqref="O28:Q28 S28">
    <cfRule type="cellIs" dxfId="835" priority="805" operator="equal">
      <formula>""</formula>
    </cfRule>
  </conditionalFormatting>
  <conditionalFormatting sqref="O27:Q27 S27">
    <cfRule type="cellIs" dxfId="834" priority="809" operator="equal">
      <formula>""</formula>
    </cfRule>
  </conditionalFormatting>
  <conditionalFormatting sqref="I27">
    <cfRule type="cellIs" dxfId="833" priority="808" operator="equal">
      <formula>"tu"</formula>
    </cfRule>
  </conditionalFormatting>
  <conditionalFormatting sqref="O28:Q28 S28">
    <cfRule type="cellIs" dxfId="832" priority="807" operator="equal">
      <formula>""</formula>
    </cfRule>
  </conditionalFormatting>
  <conditionalFormatting sqref="I28">
    <cfRule type="cellIs" dxfId="831" priority="806" operator="equal">
      <formula>"tu"</formula>
    </cfRule>
  </conditionalFormatting>
  <conditionalFormatting sqref="O34:Q35 O74:Q74 O47:Q47 S47 S74 S34:S35">
    <cfRule type="cellIs" dxfId="830" priority="804" operator="equal">
      <formula>""</formula>
    </cfRule>
  </conditionalFormatting>
  <conditionalFormatting sqref="O135:Q135 S135">
    <cfRule type="cellIs" dxfId="829" priority="803" operator="equal">
      <formula>""</formula>
    </cfRule>
  </conditionalFormatting>
  <conditionalFormatting sqref="I30">
    <cfRule type="cellIs" dxfId="828" priority="722" operator="equal">
      <formula>"tu"</formula>
    </cfRule>
  </conditionalFormatting>
  <conditionalFormatting sqref="I257">
    <cfRule type="cellIs" dxfId="827" priority="713" operator="equal">
      <formula>"tu"</formula>
    </cfRule>
  </conditionalFormatting>
  <conditionalFormatting sqref="O257:Q257 S257">
    <cfRule type="cellIs" dxfId="826" priority="715" operator="equal">
      <formula>""</formula>
    </cfRule>
  </conditionalFormatting>
  <conditionalFormatting sqref="I257">
    <cfRule type="cellIs" dxfId="825" priority="714" operator="equal">
      <formula>"tu"</formula>
    </cfRule>
  </conditionalFormatting>
  <conditionalFormatting sqref="I342:I344 I332 I327:I329">
    <cfRule type="cellIs" dxfId="824" priority="709" operator="equal">
      <formula>"tu"</formula>
    </cfRule>
  </conditionalFormatting>
  <conditionalFormatting sqref="O342:Q344 S342:S344">
    <cfRule type="cellIs" dxfId="823" priority="710" operator="equal">
      <formula>""</formula>
    </cfRule>
  </conditionalFormatting>
  <conditionalFormatting sqref="O312:Q312 S312">
    <cfRule type="cellIs" dxfId="822" priority="708" operator="equal">
      <formula>""</formula>
    </cfRule>
  </conditionalFormatting>
  <conditionalFormatting sqref="I312">
    <cfRule type="cellIs" dxfId="821" priority="707" operator="equal">
      <formula>"tu"</formula>
    </cfRule>
  </conditionalFormatting>
  <conditionalFormatting sqref="I327:I329">
    <cfRule type="cellIs" dxfId="820" priority="705" operator="equal">
      <formula>"tu"</formula>
    </cfRule>
  </conditionalFormatting>
  <conditionalFormatting sqref="O153:Q153 S153">
    <cfRule type="cellIs" dxfId="819" priority="683" operator="equal">
      <formula>""</formula>
    </cfRule>
  </conditionalFormatting>
  <conditionalFormatting sqref="I332">
    <cfRule type="cellIs" dxfId="818" priority="703" operator="equal">
      <formula>"tu"</formula>
    </cfRule>
  </conditionalFormatting>
  <conditionalFormatting sqref="O360:Q360 S360">
    <cfRule type="cellIs" dxfId="817" priority="639" operator="equal">
      <formula>""</formula>
    </cfRule>
  </conditionalFormatting>
  <conditionalFormatting sqref="I329">
    <cfRule type="cellIs" dxfId="816" priority="701" operator="equal">
      <formula>"tu"</formula>
    </cfRule>
  </conditionalFormatting>
  <conditionalFormatting sqref="I162:I163">
    <cfRule type="cellIs" dxfId="815" priority="652" operator="equal">
      <formula>"tu"</formula>
    </cfRule>
  </conditionalFormatting>
  <conditionalFormatting sqref="I344">
    <cfRule type="cellIs" dxfId="814" priority="698" operator="equal">
      <formula>"tu"</formula>
    </cfRule>
  </conditionalFormatting>
  <conditionalFormatting sqref="I363">
    <cfRule type="cellIs" dxfId="813" priority="697" operator="equal">
      <formula>"tu"</formula>
    </cfRule>
  </conditionalFormatting>
  <conditionalFormatting sqref="I365:I368">
    <cfRule type="cellIs" dxfId="812" priority="696" operator="equal">
      <formula>"tu"</formula>
    </cfRule>
  </conditionalFormatting>
  <conditionalFormatting sqref="O366:Q368 S366:S368">
    <cfRule type="cellIs" dxfId="811" priority="695" operator="equal">
      <formula>""</formula>
    </cfRule>
  </conditionalFormatting>
  <conditionalFormatting sqref="O363:Q363 S363">
    <cfRule type="cellIs" dxfId="810" priority="694" operator="equal">
      <formula>""</formula>
    </cfRule>
  </conditionalFormatting>
  <conditionalFormatting sqref="O365:Q365 S365">
    <cfRule type="cellIs" dxfId="809" priority="693" operator="equal">
      <formula>""</formula>
    </cfRule>
  </conditionalFormatting>
  <conditionalFormatting sqref="I354:I355">
    <cfRule type="cellIs" dxfId="808" priority="692" operator="equal">
      <formula>"tu"</formula>
    </cfRule>
  </conditionalFormatting>
  <conditionalFormatting sqref="O354:Q355">
    <cfRule type="cellIs" dxfId="807" priority="691" operator="equal">
      <formula>""</formula>
    </cfRule>
  </conditionalFormatting>
  <conditionalFormatting sqref="O357:Q357">
    <cfRule type="cellIs" dxfId="806" priority="690" operator="equal">
      <formula>""</formula>
    </cfRule>
  </conditionalFormatting>
  <conditionalFormatting sqref="I357">
    <cfRule type="cellIs" dxfId="805" priority="689" operator="equal">
      <formula>"tu"</formula>
    </cfRule>
  </conditionalFormatting>
  <conditionalFormatting sqref="O154:Q156 O160:Q164 S160:S164 S154:S156 S158 O158:Q158 O160:S160">
    <cfRule type="cellIs" dxfId="804" priority="688" operator="equal">
      <formula>""</formula>
    </cfRule>
  </conditionalFormatting>
  <conditionalFormatting sqref="I154:I158 I160:I164">
    <cfRule type="cellIs" dxfId="803" priority="687" operator="equal">
      <formula>"tu"</formula>
    </cfRule>
  </conditionalFormatting>
  <conditionalFormatting sqref="O155:Q156 S160:S164 S155:S156 S158 O158:Q158 O160:S160 O160:Q168">
    <cfRule type="cellIs" dxfId="802" priority="686" operator="equal">
      <formula>""</formula>
    </cfRule>
  </conditionalFormatting>
  <conditionalFormatting sqref="O163:Q163 S163">
    <cfRule type="cellIs" dxfId="801" priority="685" operator="equal">
      <formula>""</formula>
    </cfRule>
  </conditionalFormatting>
  <conditionalFormatting sqref="O153:Q153 S153">
    <cfRule type="cellIs" dxfId="800" priority="684" operator="equal">
      <formula>""</formula>
    </cfRule>
  </conditionalFormatting>
  <conditionalFormatting sqref="I155">
    <cfRule type="cellIs" dxfId="799" priority="668" operator="equal">
      <formula>"tu"</formula>
    </cfRule>
  </conditionalFormatting>
  <conditionalFormatting sqref="I155">
    <cfRule type="cellIs" dxfId="798" priority="666" operator="equal">
      <formula>"tu"</formula>
    </cfRule>
  </conditionalFormatting>
  <conditionalFormatting sqref="O153:Q153 S153">
    <cfRule type="cellIs" dxfId="797" priority="682" operator="equal">
      <formula>""</formula>
    </cfRule>
  </conditionalFormatting>
  <conditionalFormatting sqref="I157">
    <cfRule type="cellIs" dxfId="796" priority="664" operator="equal">
      <formula>"tu"</formula>
    </cfRule>
  </conditionalFormatting>
  <conditionalFormatting sqref="O153:Q153 S153">
    <cfRule type="cellIs" dxfId="795" priority="681" operator="equal">
      <formula>""</formula>
    </cfRule>
  </conditionalFormatting>
  <conditionalFormatting sqref="I157">
    <cfRule type="cellIs" dxfId="794" priority="662" operator="equal">
      <formula>"tu"</formula>
    </cfRule>
  </conditionalFormatting>
  <conditionalFormatting sqref="I160">
    <cfRule type="cellIs" dxfId="793" priority="660" operator="equal">
      <formula>"tu"</formula>
    </cfRule>
  </conditionalFormatting>
  <conditionalFormatting sqref="I160">
    <cfRule type="cellIs" dxfId="792" priority="659" operator="equal">
      <formula>"tu"</formula>
    </cfRule>
  </conditionalFormatting>
  <conditionalFormatting sqref="I162:I163">
    <cfRule type="cellIs" dxfId="791" priority="653" operator="equal">
      <formula>"tu"</formula>
    </cfRule>
  </conditionalFormatting>
  <conditionalFormatting sqref="I165:I168">
    <cfRule type="cellIs" dxfId="790" priority="678" operator="equal">
      <formula>"tu"</formula>
    </cfRule>
  </conditionalFormatting>
  <conditionalFormatting sqref="I165:I168">
    <cfRule type="cellIs" dxfId="789" priority="680" operator="equal">
      <formula>"tu"</formula>
    </cfRule>
  </conditionalFormatting>
  <conditionalFormatting sqref="I165:I168">
    <cfRule type="cellIs" dxfId="788" priority="679" operator="equal">
      <formula>"tu"</formula>
    </cfRule>
  </conditionalFormatting>
  <conditionalFormatting sqref="I165:I168">
    <cfRule type="cellIs" dxfId="787" priority="677" operator="equal">
      <formula>"tu"</formula>
    </cfRule>
  </conditionalFormatting>
  <conditionalFormatting sqref="I165:I168">
    <cfRule type="cellIs" dxfId="786" priority="676" operator="equal">
      <formula>"tu"</formula>
    </cfRule>
  </conditionalFormatting>
  <conditionalFormatting sqref="I153">
    <cfRule type="cellIs" dxfId="785" priority="673" operator="equal">
      <formula>"tu"</formula>
    </cfRule>
  </conditionalFormatting>
  <conditionalFormatting sqref="I153">
    <cfRule type="cellIs" dxfId="784" priority="675" operator="equal">
      <formula>"tu"</formula>
    </cfRule>
  </conditionalFormatting>
  <conditionalFormatting sqref="I153">
    <cfRule type="cellIs" dxfId="783" priority="674" operator="equal">
      <formula>"tu"</formula>
    </cfRule>
  </conditionalFormatting>
  <conditionalFormatting sqref="I153">
    <cfRule type="cellIs" dxfId="782" priority="672" operator="equal">
      <formula>"tu"</formula>
    </cfRule>
  </conditionalFormatting>
  <conditionalFormatting sqref="I153">
    <cfRule type="cellIs" dxfId="781" priority="671" operator="equal">
      <formula>"tu"</formula>
    </cfRule>
  </conditionalFormatting>
  <conditionalFormatting sqref="I155">
    <cfRule type="cellIs" dxfId="780" priority="670" operator="equal">
      <formula>"tu"</formula>
    </cfRule>
  </conditionalFormatting>
  <conditionalFormatting sqref="I155">
    <cfRule type="cellIs" dxfId="779" priority="669" operator="equal">
      <formula>"tu"</formula>
    </cfRule>
  </conditionalFormatting>
  <conditionalFormatting sqref="I155">
    <cfRule type="cellIs" dxfId="778" priority="667" operator="equal">
      <formula>"tu"</formula>
    </cfRule>
  </conditionalFormatting>
  <conditionalFormatting sqref="I157">
    <cfRule type="cellIs" dxfId="777" priority="663" operator="equal">
      <formula>"tu"</formula>
    </cfRule>
  </conditionalFormatting>
  <conditionalFormatting sqref="I157">
    <cfRule type="cellIs" dxfId="776" priority="665" operator="equal">
      <formula>"tu"</formula>
    </cfRule>
  </conditionalFormatting>
  <conditionalFormatting sqref="I157">
    <cfRule type="cellIs" dxfId="775" priority="661" operator="equal">
      <formula>"tu"</formula>
    </cfRule>
  </conditionalFormatting>
  <conditionalFormatting sqref="I162:I163">
    <cfRule type="cellIs" dxfId="774" priority="655" operator="equal">
      <formula>"tu"</formula>
    </cfRule>
  </conditionalFormatting>
  <conditionalFormatting sqref="I160">
    <cfRule type="cellIs" dxfId="773" priority="657" operator="equal">
      <formula>"tu"</formula>
    </cfRule>
  </conditionalFormatting>
  <conditionalFormatting sqref="I160">
    <cfRule type="cellIs" dxfId="772" priority="656" operator="equal">
      <formula>"tu"</formula>
    </cfRule>
  </conditionalFormatting>
  <conditionalFormatting sqref="I162:I163">
    <cfRule type="cellIs" dxfId="771" priority="654" operator="equal">
      <formula>"tu"</formula>
    </cfRule>
  </conditionalFormatting>
  <conditionalFormatting sqref="I160">
    <cfRule type="cellIs" dxfId="770" priority="658" operator="equal">
      <formula>"tu"</formula>
    </cfRule>
  </conditionalFormatting>
  <conditionalFormatting sqref="I162:I163">
    <cfRule type="cellIs" dxfId="769" priority="651" operator="equal">
      <formula>"tu"</formula>
    </cfRule>
  </conditionalFormatting>
  <conditionalFormatting sqref="O159:S159">
    <cfRule type="cellIs" dxfId="768" priority="650" operator="equal">
      <formula>""</formula>
    </cfRule>
  </conditionalFormatting>
  <conditionalFormatting sqref="I159">
    <cfRule type="cellIs" dxfId="767" priority="649" operator="equal">
      <formula>"tu"</formula>
    </cfRule>
  </conditionalFormatting>
  <conditionalFormatting sqref="O159:S159">
    <cfRule type="cellIs" dxfId="766" priority="648" operator="equal">
      <formula>""</formula>
    </cfRule>
  </conditionalFormatting>
  <conditionalFormatting sqref="I159">
    <cfRule type="cellIs" dxfId="765" priority="647" operator="equal">
      <formula>"tu"</formula>
    </cfRule>
  </conditionalFormatting>
  <conditionalFormatting sqref="I159">
    <cfRule type="cellIs" dxfId="764" priority="646" operator="equal">
      <formula>"tu"</formula>
    </cfRule>
  </conditionalFormatting>
  <conditionalFormatting sqref="I159">
    <cfRule type="cellIs" dxfId="763" priority="645" operator="equal">
      <formula>"tu"</formula>
    </cfRule>
  </conditionalFormatting>
  <conditionalFormatting sqref="I159">
    <cfRule type="cellIs" dxfId="762" priority="644" operator="equal">
      <formula>"tu"</formula>
    </cfRule>
  </conditionalFormatting>
  <conditionalFormatting sqref="I159">
    <cfRule type="cellIs" dxfId="761" priority="643" operator="equal">
      <formula>"tu"</formula>
    </cfRule>
  </conditionalFormatting>
  <conditionalFormatting sqref="I136:I142 I144">
    <cfRule type="cellIs" dxfId="760" priority="642" operator="equal">
      <formula>"tu"</formula>
    </cfRule>
  </conditionalFormatting>
  <conditionalFormatting sqref="I136:I142 I144">
    <cfRule type="cellIs" dxfId="759" priority="641" operator="equal">
      <formula>"tu"</formula>
    </cfRule>
  </conditionalFormatting>
  <conditionalFormatting sqref="I360">
    <cfRule type="cellIs" dxfId="758" priority="640" operator="equal">
      <formula>"tu"</formula>
    </cfRule>
  </conditionalFormatting>
  <conditionalFormatting sqref="K165:M165">
    <cfRule type="cellIs" dxfId="757" priority="635" operator="equal">
      <formula>""</formula>
    </cfRule>
  </conditionalFormatting>
  <conditionalFormatting sqref="K166:M166">
    <cfRule type="cellIs" dxfId="756" priority="636" operator="equal">
      <formula>""</formula>
    </cfRule>
  </conditionalFormatting>
  <conditionalFormatting sqref="O181:P181">
    <cfRule type="cellIs" dxfId="755" priority="632" operator="equal">
      <formula>""</formula>
    </cfRule>
  </conditionalFormatting>
  <conditionalFormatting sqref="I181">
    <cfRule type="cellIs" dxfId="754" priority="631" operator="equal">
      <formula>"tu"</formula>
    </cfRule>
  </conditionalFormatting>
  <conditionalFormatting sqref="O181:P181">
    <cfRule type="cellIs" dxfId="753" priority="630" operator="equal">
      <formula>""</formula>
    </cfRule>
  </conditionalFormatting>
  <conditionalFormatting sqref="I181">
    <cfRule type="cellIs" dxfId="752" priority="629" operator="equal">
      <formula>"tu"</formula>
    </cfRule>
  </conditionalFormatting>
  <conditionalFormatting sqref="O177:Q177 S177">
    <cfRule type="cellIs" dxfId="751" priority="628" operator="equal">
      <formula>""</formula>
    </cfRule>
  </conditionalFormatting>
  <conditionalFormatting sqref="O180:Q180 S180">
    <cfRule type="cellIs" dxfId="750" priority="627" operator="equal">
      <formula>""</formula>
    </cfRule>
  </conditionalFormatting>
  <conditionalFormatting sqref="I115">
    <cfRule type="cellIs" dxfId="749" priority="625" operator="equal">
      <formula>"tu"</formula>
    </cfRule>
  </conditionalFormatting>
  <conditionalFormatting sqref="O115:Q115 S115">
    <cfRule type="cellIs" dxfId="748" priority="624" operator="equal">
      <formula>""</formula>
    </cfRule>
  </conditionalFormatting>
  <conditionalFormatting sqref="I260">
    <cfRule type="cellIs" dxfId="747" priority="623" operator="equal">
      <formula>"tu"</formula>
    </cfRule>
  </conditionalFormatting>
  <conditionalFormatting sqref="I260">
    <cfRule type="cellIs" dxfId="746" priority="622" operator="equal">
      <formula>"tu"</formula>
    </cfRule>
  </conditionalFormatting>
  <conditionalFormatting sqref="I36">
    <cfRule type="cellIs" dxfId="745" priority="621" operator="equal">
      <formula>"tu"</formula>
    </cfRule>
  </conditionalFormatting>
  <conditionalFormatting sqref="I37">
    <cfRule type="cellIs" dxfId="744" priority="620" operator="equal">
      <formula>"tu"</formula>
    </cfRule>
  </conditionalFormatting>
  <conditionalFormatting sqref="I146:I148">
    <cfRule type="cellIs" dxfId="743" priority="619" operator="equal">
      <formula>"tu"</formula>
    </cfRule>
  </conditionalFormatting>
  <conditionalFormatting sqref="I146:I148">
    <cfRule type="cellIs" dxfId="742" priority="618" operator="equal">
      <formula>"tu"</formula>
    </cfRule>
  </conditionalFormatting>
  <conditionalFormatting sqref="I120">
    <cfRule type="cellIs" dxfId="741" priority="617" operator="equal">
      <formula>"tu"</formula>
    </cfRule>
  </conditionalFormatting>
  <conditionalFormatting sqref="I119">
    <cfRule type="cellIs" dxfId="740" priority="616" operator="equal">
      <formula>"tu"</formula>
    </cfRule>
  </conditionalFormatting>
  <conditionalFormatting sqref="I128">
    <cfRule type="cellIs" dxfId="739" priority="615" operator="equal">
      <formula>"tu"</formula>
    </cfRule>
  </conditionalFormatting>
  <conditionalFormatting sqref="I128">
    <cfRule type="cellIs" dxfId="738" priority="614" operator="equal">
      <formula>"tu"</formula>
    </cfRule>
  </conditionalFormatting>
  <conditionalFormatting sqref="I128">
    <cfRule type="cellIs" dxfId="737" priority="613" operator="equal">
      <formula>"tu"</formula>
    </cfRule>
  </conditionalFormatting>
  <conditionalFormatting sqref="I129:I131">
    <cfRule type="cellIs" dxfId="736" priority="612" operator="equal">
      <formula>"tu"</formula>
    </cfRule>
  </conditionalFormatting>
  <conditionalFormatting sqref="I373">
    <cfRule type="cellIs" dxfId="735" priority="609" operator="equal">
      <formula>"tu"</formula>
    </cfRule>
  </conditionalFormatting>
  <conditionalFormatting sqref="O124:Q124 S124">
    <cfRule type="cellIs" dxfId="734" priority="608" operator="equal">
      <formula>""</formula>
    </cfRule>
  </conditionalFormatting>
  <conditionalFormatting sqref="I124">
    <cfRule type="cellIs" dxfId="733" priority="607" operator="equal">
      <formula>"tu"</formula>
    </cfRule>
  </conditionalFormatting>
  <conditionalFormatting sqref="I126">
    <cfRule type="cellIs" dxfId="732" priority="605" operator="equal">
      <formula>"tu"</formula>
    </cfRule>
  </conditionalFormatting>
  <conditionalFormatting sqref="K328:M329">
    <cfRule type="cellIs" dxfId="731" priority="604" operator="equal">
      <formula>"tu"</formula>
    </cfRule>
  </conditionalFormatting>
  <conditionalFormatting sqref="K328:M329">
    <cfRule type="cellIs" dxfId="730" priority="603" operator="equal">
      <formula>"tu"</formula>
    </cfRule>
  </conditionalFormatting>
  <conditionalFormatting sqref="I331">
    <cfRule type="cellIs" dxfId="729" priority="602" operator="equal">
      <formula>"tu"</formula>
    </cfRule>
  </conditionalFormatting>
  <conditionalFormatting sqref="I331">
    <cfRule type="cellIs" dxfId="728" priority="601" operator="equal">
      <formula>"tu"</formula>
    </cfRule>
  </conditionalFormatting>
  <conditionalFormatting sqref="I333">
    <cfRule type="cellIs" dxfId="727" priority="599" operator="equal">
      <formula>"tu"</formula>
    </cfRule>
  </conditionalFormatting>
  <conditionalFormatting sqref="I333">
    <cfRule type="cellIs" dxfId="726" priority="597" operator="equal">
      <formula>"tu"</formula>
    </cfRule>
  </conditionalFormatting>
  <conditionalFormatting sqref="K333:M333">
    <cfRule type="cellIs" dxfId="725" priority="596" operator="equal">
      <formula>"tu"</formula>
    </cfRule>
  </conditionalFormatting>
  <conditionalFormatting sqref="K333:M333">
    <cfRule type="cellIs" dxfId="724" priority="595" operator="equal">
      <formula>"tu"</formula>
    </cfRule>
  </conditionalFormatting>
  <conditionalFormatting sqref="I330">
    <cfRule type="cellIs" dxfId="723" priority="594" operator="equal">
      <formula>"tu"</formula>
    </cfRule>
  </conditionalFormatting>
  <conditionalFormatting sqref="I330">
    <cfRule type="cellIs" dxfId="722" priority="593" operator="equal">
      <formula>"tu"</formula>
    </cfRule>
  </conditionalFormatting>
  <conditionalFormatting sqref="K330:M330">
    <cfRule type="cellIs" dxfId="721" priority="592" operator="equal">
      <formula>"tu"</formula>
    </cfRule>
  </conditionalFormatting>
  <conditionalFormatting sqref="K330:M330">
    <cfRule type="cellIs" dxfId="720" priority="591" operator="equal">
      <formula>"tu"</formula>
    </cfRule>
  </conditionalFormatting>
  <conditionalFormatting sqref="K332:M332">
    <cfRule type="cellIs" dxfId="719" priority="590" operator="equal">
      <formula>"tu"</formula>
    </cfRule>
  </conditionalFormatting>
  <conditionalFormatting sqref="K332:M332">
    <cfRule type="cellIs" dxfId="718" priority="589" operator="equal">
      <formula>"tu"</formula>
    </cfRule>
  </conditionalFormatting>
  <conditionalFormatting sqref="O260:Q260 S260">
    <cfRule type="cellIs" dxfId="717" priority="588" operator="equal">
      <formula>""</formula>
    </cfRule>
  </conditionalFormatting>
  <conditionalFormatting sqref="O30:Q30 S30">
    <cfRule type="cellIs" dxfId="716" priority="587" operator="equal">
      <formula>""</formula>
    </cfRule>
  </conditionalFormatting>
  <conditionalFormatting sqref="O48:Q65 S48:S65">
    <cfRule type="cellIs" dxfId="715" priority="568" operator="equal">
      <formula>""</formula>
    </cfRule>
  </conditionalFormatting>
  <conditionalFormatting sqref="O36:Q36 S36">
    <cfRule type="cellIs" dxfId="714" priority="584" operator="equal">
      <formula>""</formula>
    </cfRule>
  </conditionalFormatting>
  <conditionalFormatting sqref="O36:Q36 S36">
    <cfRule type="cellIs" dxfId="713" priority="583" operator="equal">
      <formula>""</formula>
    </cfRule>
  </conditionalFormatting>
  <conditionalFormatting sqref="O36:Q36 S36">
    <cfRule type="cellIs" dxfId="712" priority="582" operator="equal">
      <formula>""</formula>
    </cfRule>
  </conditionalFormatting>
  <conditionalFormatting sqref="O36:Q36 S36">
    <cfRule type="cellIs" dxfId="711" priority="581" operator="equal">
      <formula>""</formula>
    </cfRule>
  </conditionalFormatting>
  <conditionalFormatting sqref="O37:Q37">
    <cfRule type="cellIs" dxfId="710" priority="580" operator="equal">
      <formula>""</formula>
    </cfRule>
  </conditionalFormatting>
  <conditionalFormatting sqref="O37:Q37">
    <cfRule type="cellIs" dxfId="709" priority="579" operator="equal">
      <formula>""</formula>
    </cfRule>
  </conditionalFormatting>
  <conditionalFormatting sqref="O37:Q37">
    <cfRule type="cellIs" dxfId="708" priority="578" operator="equal">
      <formula>""</formula>
    </cfRule>
  </conditionalFormatting>
  <conditionalFormatting sqref="O37:Q37">
    <cfRule type="cellIs" dxfId="707" priority="577" operator="equal">
      <formula>""</formula>
    </cfRule>
  </conditionalFormatting>
  <conditionalFormatting sqref="O37:Q37">
    <cfRule type="cellIs" dxfId="706" priority="576" operator="equal">
      <formula>""</formula>
    </cfRule>
  </conditionalFormatting>
  <conditionalFormatting sqref="O86:Q103 S86:S103">
    <cfRule type="cellIs" dxfId="705" priority="549" operator="equal">
      <formula>""</formula>
    </cfRule>
  </conditionalFormatting>
  <conditionalFormatting sqref="O86:Q103 S86:S103">
    <cfRule type="cellIs" dxfId="704" priority="548" operator="equal">
      <formula>""</formula>
    </cfRule>
  </conditionalFormatting>
  <conditionalFormatting sqref="O48:Q65 S48:S65">
    <cfRule type="cellIs" dxfId="703" priority="573" operator="equal">
      <formula>""</formula>
    </cfRule>
  </conditionalFormatting>
  <conditionalFormatting sqref="I48:I65">
    <cfRule type="cellIs" dxfId="702" priority="572" operator="equal">
      <formula>"tu"</formula>
    </cfRule>
  </conditionalFormatting>
  <conditionalFormatting sqref="O48:Q65 S48:S65">
    <cfRule type="cellIs" dxfId="701" priority="571" operator="equal">
      <formula>""</formula>
    </cfRule>
  </conditionalFormatting>
  <conditionalFormatting sqref="O48:Q65 S48:S65">
    <cfRule type="cellIs" dxfId="700" priority="570" operator="equal">
      <formula>""</formula>
    </cfRule>
  </conditionalFormatting>
  <conditionalFormatting sqref="I48:I65">
    <cfRule type="cellIs" dxfId="699" priority="569" operator="equal">
      <formula>"tu"</formula>
    </cfRule>
  </conditionalFormatting>
  <conditionalFormatting sqref="O66:Q73 S66:S73 O68:S73">
    <cfRule type="cellIs" dxfId="698" priority="562" operator="equal">
      <formula>""</formula>
    </cfRule>
  </conditionalFormatting>
  <conditionalFormatting sqref="O66:Q73 S66:S73 O68:S73">
    <cfRule type="cellIs" dxfId="697" priority="567" operator="equal">
      <formula>""</formula>
    </cfRule>
  </conditionalFormatting>
  <conditionalFormatting sqref="I66:I73">
    <cfRule type="cellIs" dxfId="696" priority="566" operator="equal">
      <formula>"tu"</formula>
    </cfRule>
  </conditionalFormatting>
  <conditionalFormatting sqref="O66:Q73 S66:S73 O68:S73">
    <cfRule type="cellIs" dxfId="695" priority="565" operator="equal">
      <formula>""</formula>
    </cfRule>
  </conditionalFormatting>
  <conditionalFormatting sqref="O66:Q73 S66:S73 O68:S73">
    <cfRule type="cellIs" dxfId="694" priority="564" operator="equal">
      <formula>""</formula>
    </cfRule>
  </conditionalFormatting>
  <conditionalFormatting sqref="I66:I73">
    <cfRule type="cellIs" dxfId="693" priority="563" operator="equal">
      <formula>"tu"</formula>
    </cfRule>
  </conditionalFormatting>
  <conditionalFormatting sqref="O43:Q43 S43">
    <cfRule type="cellIs" dxfId="692" priority="561" operator="equal">
      <formula>""</formula>
    </cfRule>
  </conditionalFormatting>
  <conditionalFormatting sqref="I43">
    <cfRule type="cellIs" dxfId="691" priority="560" operator="equal">
      <formula>"tu"</formula>
    </cfRule>
  </conditionalFormatting>
  <conditionalFormatting sqref="O46:Q46 S46">
    <cfRule type="cellIs" dxfId="690" priority="559" operator="equal">
      <formula>""</formula>
    </cfRule>
  </conditionalFormatting>
  <conditionalFormatting sqref="I46">
    <cfRule type="cellIs" dxfId="689" priority="558" operator="equal">
      <formula>"tu"</formula>
    </cfRule>
  </conditionalFormatting>
  <conditionalFormatting sqref="O85:Q85 O112:Q112 S112 S85">
    <cfRule type="cellIs" dxfId="688" priority="554" operator="equal">
      <formula>""</formula>
    </cfRule>
  </conditionalFormatting>
  <conditionalFormatting sqref="I85 I112">
    <cfRule type="cellIs" dxfId="687" priority="553" operator="equal">
      <formula>"tu"</formula>
    </cfRule>
  </conditionalFormatting>
  <conditionalFormatting sqref="O85:Q85 O112:Q112 S112 S85">
    <cfRule type="cellIs" dxfId="686" priority="552" operator="equal">
      <formula>""</formula>
    </cfRule>
  </conditionalFormatting>
  <conditionalFormatting sqref="O86:Q103 S86:S103">
    <cfRule type="cellIs" dxfId="685" priority="546" operator="equal">
      <formula>""</formula>
    </cfRule>
  </conditionalFormatting>
  <conditionalFormatting sqref="O86:Q103 S86:S103">
    <cfRule type="cellIs" dxfId="684" priority="551" operator="equal">
      <formula>""</formula>
    </cfRule>
  </conditionalFormatting>
  <conditionalFormatting sqref="I86:I103">
    <cfRule type="cellIs" dxfId="683" priority="550" operator="equal">
      <formula>"tu"</formula>
    </cfRule>
  </conditionalFormatting>
  <conditionalFormatting sqref="I86:I103">
    <cfRule type="cellIs" dxfId="682" priority="547" operator="equal">
      <formula>"tu"</formula>
    </cfRule>
  </conditionalFormatting>
  <conditionalFormatting sqref="S104:S111 O104:Q111 O106:S111">
    <cfRule type="cellIs" dxfId="681" priority="540" operator="equal">
      <formula>""</formula>
    </cfRule>
  </conditionalFormatting>
  <conditionalFormatting sqref="S104:S111 O104:Q111 O106:S111">
    <cfRule type="cellIs" dxfId="680" priority="545" operator="equal">
      <formula>""</formula>
    </cfRule>
  </conditionalFormatting>
  <conditionalFormatting sqref="I104:I111">
    <cfRule type="cellIs" dxfId="679" priority="544" operator="equal">
      <formula>"tu"</formula>
    </cfRule>
  </conditionalFormatting>
  <conditionalFormatting sqref="S104:S111 O104:Q111 O106:S111">
    <cfRule type="cellIs" dxfId="678" priority="543" operator="equal">
      <formula>""</formula>
    </cfRule>
  </conditionalFormatting>
  <conditionalFormatting sqref="S104:S111 O104:Q111 O106:S111">
    <cfRule type="cellIs" dxfId="677" priority="542" operator="equal">
      <formula>""</formula>
    </cfRule>
  </conditionalFormatting>
  <conditionalFormatting sqref="I104:I111">
    <cfRule type="cellIs" dxfId="676" priority="541" operator="equal">
      <formula>"tu"</formula>
    </cfRule>
  </conditionalFormatting>
  <conditionalFormatting sqref="O384:Q384 S384">
    <cfRule type="cellIs" dxfId="675" priority="532" operator="equal">
      <formula>""</formula>
    </cfRule>
  </conditionalFormatting>
  <conditionalFormatting sqref="O385:Q385 S385">
    <cfRule type="cellIs" dxfId="674" priority="531" operator="equal">
      <formula>""</formula>
    </cfRule>
  </conditionalFormatting>
  <conditionalFormatting sqref="I384:I385">
    <cfRule type="cellIs" dxfId="673" priority="530" operator="equal">
      <formula>"tu"</formula>
    </cfRule>
  </conditionalFormatting>
  <conditionalFormatting sqref="O45:Q45 S45">
    <cfRule type="cellIs" dxfId="672" priority="529" operator="equal">
      <formula>""</formula>
    </cfRule>
  </conditionalFormatting>
  <conditionalFormatting sqref="I45">
    <cfRule type="cellIs" dxfId="671" priority="528" operator="equal">
      <formula>"tu"</formula>
    </cfRule>
  </conditionalFormatting>
  <conditionalFormatting sqref="O45:Q45 S45">
    <cfRule type="cellIs" dxfId="670" priority="527" operator="equal">
      <formula>""</formula>
    </cfRule>
  </conditionalFormatting>
  <conditionalFormatting sqref="O44:Q44 S44">
    <cfRule type="cellIs" dxfId="669" priority="526" operator="equal">
      <formula>""</formula>
    </cfRule>
  </conditionalFormatting>
  <conditionalFormatting sqref="I44">
    <cfRule type="cellIs" dxfId="668" priority="525" operator="equal">
      <formula>"tu"</formula>
    </cfRule>
  </conditionalFormatting>
  <conditionalFormatting sqref="O192:Q192 O187:P187 S187 S192 S184 O184:P185">
    <cfRule type="cellIs" dxfId="667" priority="524" operator="equal">
      <formula>""</formula>
    </cfRule>
  </conditionalFormatting>
  <conditionalFormatting sqref="I191:I192 I184:I189">
    <cfRule type="cellIs" dxfId="666" priority="523" operator="equal">
      <formula>"tu"</formula>
    </cfRule>
  </conditionalFormatting>
  <conditionalFormatting sqref="I185">
    <cfRule type="cellIs" dxfId="665" priority="521" operator="equal">
      <formula>"tu"</formula>
    </cfRule>
  </conditionalFormatting>
  <conditionalFormatting sqref="O185:P185">
    <cfRule type="cellIs" dxfId="664" priority="522" operator="equal">
      <formula>""</formula>
    </cfRule>
  </conditionalFormatting>
  <conditionalFormatting sqref="O265:Q265 S265">
    <cfRule type="cellIs" dxfId="663" priority="482" operator="equal">
      <formula>""</formula>
    </cfRule>
  </conditionalFormatting>
  <conditionalFormatting sqref="I191">
    <cfRule type="cellIs" dxfId="662" priority="519" operator="equal">
      <formula>"tu"</formula>
    </cfRule>
  </conditionalFormatting>
  <conditionalFormatting sqref="O187:P187 S187">
    <cfRule type="cellIs" dxfId="661" priority="518" operator="equal">
      <formula>""</formula>
    </cfRule>
  </conditionalFormatting>
  <conditionalFormatting sqref="I187">
    <cfRule type="cellIs" dxfId="660" priority="517" operator="equal">
      <formula>"tu"</formula>
    </cfRule>
  </conditionalFormatting>
  <conditionalFormatting sqref="I188:I189">
    <cfRule type="cellIs" dxfId="659" priority="515" operator="equal">
      <formula>"tu"</formula>
    </cfRule>
  </conditionalFormatting>
  <conditionalFormatting sqref="O190">
    <cfRule type="cellIs" dxfId="658" priority="514" operator="equal">
      <formula>""</formula>
    </cfRule>
  </conditionalFormatting>
  <conditionalFormatting sqref="I190">
    <cfRule type="cellIs" dxfId="657" priority="513" operator="equal">
      <formula>"tu"</formula>
    </cfRule>
  </conditionalFormatting>
  <conditionalFormatting sqref="O190">
    <cfRule type="cellIs" dxfId="656" priority="512" operator="equal">
      <formula>""</formula>
    </cfRule>
  </conditionalFormatting>
  <conditionalFormatting sqref="I190">
    <cfRule type="cellIs" dxfId="655" priority="511" operator="equal">
      <formula>"tu"</formula>
    </cfRule>
  </conditionalFormatting>
  <conditionalFormatting sqref="O186:P186 S186">
    <cfRule type="cellIs" dxfId="654" priority="510" operator="equal">
      <formula>""</formula>
    </cfRule>
  </conditionalFormatting>
  <conditionalFormatting sqref="O189:P189 S189">
    <cfRule type="cellIs" dxfId="653" priority="509" operator="equal">
      <formula>""</formula>
    </cfRule>
  </conditionalFormatting>
  <conditionalFormatting sqref="I171">
    <cfRule type="cellIs" dxfId="652" priority="505" operator="equal">
      <formula>"tu"</formula>
    </cfRule>
  </conditionalFormatting>
  <conditionalFormatting sqref="O171:Q171 S171">
    <cfRule type="cellIs" dxfId="651" priority="508" operator="equal">
      <formula>""</formula>
    </cfRule>
  </conditionalFormatting>
  <conditionalFormatting sqref="I171">
    <cfRule type="cellIs" dxfId="650" priority="507" operator="equal">
      <formula>"tu"</formula>
    </cfRule>
  </conditionalFormatting>
  <conditionalFormatting sqref="O171:Q171 S171">
    <cfRule type="cellIs" dxfId="649" priority="506" operator="equal">
      <formula>""</formula>
    </cfRule>
  </conditionalFormatting>
  <conditionalFormatting sqref="O172:Q173 S172:S173">
    <cfRule type="cellIs" dxfId="648" priority="504" operator="equal">
      <formula>""</formula>
    </cfRule>
  </conditionalFormatting>
  <conditionalFormatting sqref="I172:I173">
    <cfRule type="cellIs" dxfId="647" priority="503" operator="equal">
      <formula>"tu"</formula>
    </cfRule>
  </conditionalFormatting>
  <conditionalFormatting sqref="O226:Q226 S226">
    <cfRule type="cellIs" dxfId="646" priority="502" operator="equal">
      <formula>""</formula>
    </cfRule>
  </conditionalFormatting>
  <conditionalFormatting sqref="O227:Q227 S227">
    <cfRule type="cellIs" dxfId="645" priority="501" operator="equal">
      <formula>""</formula>
    </cfRule>
  </conditionalFormatting>
  <conditionalFormatting sqref="O266:Q267 O303:Q306 S303:S306 S266:S267">
    <cfRule type="cellIs" dxfId="644" priority="500" operator="equal">
      <formula>""</formula>
    </cfRule>
  </conditionalFormatting>
  <conditionalFormatting sqref="I295 I266:I267 I303:I306">
    <cfRule type="cellIs" dxfId="643" priority="499" operator="equal">
      <formula>"tu"</formula>
    </cfRule>
  </conditionalFormatting>
  <conditionalFormatting sqref="O267:Q267 S267">
    <cfRule type="cellIs" dxfId="642" priority="498" operator="equal">
      <formula>""</formula>
    </cfRule>
  </conditionalFormatting>
  <conditionalFormatting sqref="I267">
    <cfRule type="cellIs" dxfId="641" priority="497" operator="equal">
      <formula>"tu"</formula>
    </cfRule>
  </conditionalFormatting>
  <conditionalFormatting sqref="I301">
    <cfRule type="cellIs" dxfId="640" priority="494" operator="equal">
      <formula>"tu"</formula>
    </cfRule>
  </conditionalFormatting>
  <conditionalFormatting sqref="I301">
    <cfRule type="cellIs" dxfId="639" priority="493" operator="equal">
      <formula>"tu"</formula>
    </cfRule>
  </conditionalFormatting>
  <conditionalFormatting sqref="I266">
    <cfRule type="cellIs" dxfId="638" priority="492" operator="equal">
      <formula>"tu"</formula>
    </cfRule>
  </conditionalFormatting>
  <conditionalFormatting sqref="O301:Q306 S301:S306 S296:S299 O296:Q299">
    <cfRule type="cellIs" dxfId="637" priority="491" operator="equal">
      <formula>""</formula>
    </cfRule>
  </conditionalFormatting>
  <conditionalFormatting sqref="I301:I306 I295:I299">
    <cfRule type="cellIs" dxfId="636" priority="489" operator="equal">
      <formula>"tu"</formula>
    </cfRule>
  </conditionalFormatting>
  <conditionalFormatting sqref="I301:I306 I295:I299">
    <cfRule type="cellIs" dxfId="635" priority="490" operator="equal">
      <formula>"tu"</formula>
    </cfRule>
  </conditionalFormatting>
  <conditionalFormatting sqref="I295">
    <cfRule type="cellIs" dxfId="634" priority="486" operator="equal">
      <formula>"tu"</formula>
    </cfRule>
  </conditionalFormatting>
  <conditionalFormatting sqref="I295">
    <cfRule type="cellIs" dxfId="633" priority="487" operator="equal">
      <formula>"tu"</formula>
    </cfRule>
  </conditionalFormatting>
  <conditionalFormatting sqref="I299">
    <cfRule type="cellIs" dxfId="632" priority="485" operator="equal">
      <formula>"tu"</formula>
    </cfRule>
  </conditionalFormatting>
  <conditionalFormatting sqref="I299">
    <cfRule type="cellIs" dxfId="631" priority="484" operator="equal">
      <formula>"tu"</formula>
    </cfRule>
  </conditionalFormatting>
  <conditionalFormatting sqref="O299:Q299 S299">
    <cfRule type="cellIs" dxfId="630" priority="483" operator="equal">
      <formula>""</formula>
    </cfRule>
  </conditionalFormatting>
  <conditionalFormatting sqref="I340 I335:I337">
    <cfRule type="cellIs" dxfId="629" priority="480" operator="equal">
      <formula>"tu"</formula>
    </cfRule>
  </conditionalFormatting>
  <conditionalFormatting sqref="R263 R193 R228:R229 R174:R175 R31:R33 R402:R404 R113 R47 R391:R398 R82 R21:R26 R127 R125 R178 R183 R169:R170 R257 R29 R137:R138 R13 R18 R15 R415 R417:R419 R195:R198 R145 R84 R130 R132:R134 R148:R151">
    <cfRule type="cellIs" dxfId="628" priority="440" operator="equal">
      <formula>""</formula>
    </cfRule>
  </conditionalFormatting>
  <conditionalFormatting sqref="I335:I337">
    <cfRule type="cellIs" dxfId="627" priority="478" operator="equal">
      <formula>"tu"</formula>
    </cfRule>
  </conditionalFormatting>
  <conditionalFormatting sqref="I340">
    <cfRule type="cellIs" dxfId="626" priority="477" operator="equal">
      <formula>"tu"</formula>
    </cfRule>
  </conditionalFormatting>
  <conditionalFormatting sqref="O307:Q307 S307">
    <cfRule type="cellIs" dxfId="625" priority="451" operator="equal">
      <formula>""</formula>
    </cfRule>
  </conditionalFormatting>
  <conditionalFormatting sqref="I337">
    <cfRule type="cellIs" dxfId="624" priority="475" operator="equal">
      <formula>"tu"</formula>
    </cfRule>
  </conditionalFormatting>
  <conditionalFormatting sqref="K336:M337">
    <cfRule type="cellIs" dxfId="623" priority="474" operator="equal">
      <formula>"tu"</formula>
    </cfRule>
  </conditionalFormatting>
  <conditionalFormatting sqref="K336:M337">
    <cfRule type="cellIs" dxfId="622" priority="473" operator="equal">
      <formula>"tu"</formula>
    </cfRule>
  </conditionalFormatting>
  <conditionalFormatting sqref="I339">
    <cfRule type="cellIs" dxfId="621" priority="472" operator="equal">
      <formula>"tu"</formula>
    </cfRule>
  </conditionalFormatting>
  <conditionalFormatting sqref="I339">
    <cfRule type="cellIs" dxfId="620" priority="471" operator="equal">
      <formula>"tu"</formula>
    </cfRule>
  </conditionalFormatting>
  <conditionalFormatting sqref="I341">
    <cfRule type="cellIs" dxfId="619" priority="470" operator="equal">
      <formula>"tu"</formula>
    </cfRule>
  </conditionalFormatting>
  <conditionalFormatting sqref="I341">
    <cfRule type="cellIs" dxfId="618" priority="469" operator="equal">
      <formula>"tu"</formula>
    </cfRule>
  </conditionalFormatting>
  <conditionalFormatting sqref="K341:M341">
    <cfRule type="cellIs" dxfId="617" priority="468" operator="equal">
      <formula>"tu"</formula>
    </cfRule>
  </conditionalFormatting>
  <conditionalFormatting sqref="K341:M341">
    <cfRule type="cellIs" dxfId="616" priority="467" operator="equal">
      <formula>"tu"</formula>
    </cfRule>
  </conditionalFormatting>
  <conditionalFormatting sqref="I338">
    <cfRule type="cellIs" dxfId="615" priority="466" operator="equal">
      <formula>"tu"</formula>
    </cfRule>
  </conditionalFormatting>
  <conditionalFormatting sqref="I338">
    <cfRule type="cellIs" dxfId="614" priority="465" operator="equal">
      <formula>"tu"</formula>
    </cfRule>
  </conditionalFormatting>
  <conditionalFormatting sqref="K338:M338">
    <cfRule type="cellIs" dxfId="613" priority="464" operator="equal">
      <formula>"tu"</formula>
    </cfRule>
  </conditionalFormatting>
  <conditionalFormatting sqref="K338:M338">
    <cfRule type="cellIs" dxfId="612" priority="463" operator="equal">
      <formula>"tu"</formula>
    </cfRule>
  </conditionalFormatting>
  <conditionalFormatting sqref="K340:M340">
    <cfRule type="cellIs" dxfId="611" priority="462" operator="equal">
      <formula>"tu"</formula>
    </cfRule>
  </conditionalFormatting>
  <conditionalFormatting sqref="K340:M340">
    <cfRule type="cellIs" dxfId="610" priority="461" operator="equal">
      <formula>"tu"</formula>
    </cfRule>
  </conditionalFormatting>
  <conditionalFormatting sqref="I346:I347">
    <cfRule type="cellIs" dxfId="609" priority="459" operator="equal">
      <formula>"tu"</formula>
    </cfRule>
  </conditionalFormatting>
  <conditionalFormatting sqref="O346:Q347 S346:S347">
    <cfRule type="cellIs" dxfId="608" priority="460" operator="equal">
      <formula>""</formula>
    </cfRule>
  </conditionalFormatting>
  <conditionalFormatting sqref="R138">
    <cfRule type="cellIs" dxfId="607" priority="411" operator="equal">
      <formula>""</formula>
    </cfRule>
  </conditionalFormatting>
  <conditionalFormatting sqref="I347">
    <cfRule type="cellIs" dxfId="606" priority="456" operator="equal">
      <formula>"tu"</formula>
    </cfRule>
  </conditionalFormatting>
  <conditionalFormatting sqref="F173">
    <cfRule type="cellIs" dxfId="605" priority="452" stopIfTrue="1" operator="notEqual">
      <formula>0</formula>
    </cfRule>
    <cfRule type="cellIs" dxfId="604" priority="453" stopIfTrue="1" operator="equal">
      <formula>""</formula>
    </cfRule>
  </conditionalFormatting>
  <conditionalFormatting sqref="F173">
    <cfRule type="cellIs" dxfId="603" priority="454" stopIfTrue="1" operator="notEqual">
      <formula>0</formula>
    </cfRule>
    <cfRule type="cellIs" dxfId="602" priority="455" stopIfTrue="1" operator="equal">
      <formula>""</formula>
    </cfRule>
  </conditionalFormatting>
  <conditionalFormatting sqref="R394:R395">
    <cfRule type="cellIs" dxfId="601" priority="429" operator="equal">
      <formula>""</formula>
    </cfRule>
  </conditionalFormatting>
  <conditionalFormatting sqref="I307">
    <cfRule type="cellIs" dxfId="600" priority="450" operator="equal">
      <formula>"tu"</formula>
    </cfRule>
  </conditionalFormatting>
  <conditionalFormatting sqref="F307">
    <cfRule type="cellIs" dxfId="599" priority="446" stopIfTrue="1" operator="notEqual">
      <formula>0</formula>
    </cfRule>
    <cfRule type="cellIs" dxfId="598" priority="447" stopIfTrue="1" operator="equal">
      <formula>""</formula>
    </cfRule>
  </conditionalFormatting>
  <conditionalFormatting sqref="F307">
    <cfRule type="cellIs" dxfId="597" priority="448" stopIfTrue="1" operator="notEqual">
      <formula>0</formula>
    </cfRule>
    <cfRule type="cellIs" dxfId="596" priority="449" stopIfTrue="1" operator="equal">
      <formula>""</formula>
    </cfRule>
  </conditionalFormatting>
  <conditionalFormatting sqref="O300:Q300 S300">
    <cfRule type="cellIs" dxfId="595" priority="445" operator="equal">
      <formula>""</formula>
    </cfRule>
  </conditionalFormatting>
  <conditionalFormatting sqref="I300">
    <cfRule type="cellIs" dxfId="594" priority="444" operator="equal">
      <formula>"tu"</formula>
    </cfRule>
  </conditionalFormatting>
  <conditionalFormatting sqref="O300:Q300 S300">
    <cfRule type="cellIs" dxfId="593" priority="443" operator="equal">
      <formula>""</formula>
    </cfRule>
  </conditionalFormatting>
  <conditionalFormatting sqref="I300">
    <cfRule type="cellIs" dxfId="592" priority="441" operator="equal">
      <formula>"tu"</formula>
    </cfRule>
  </conditionalFormatting>
  <conditionalFormatting sqref="I300">
    <cfRule type="cellIs" dxfId="591" priority="442" operator="equal">
      <formula>"tu"</formula>
    </cfRule>
  </conditionalFormatting>
  <conditionalFormatting sqref="R16">
    <cfRule type="cellIs" dxfId="590" priority="439" operator="equal">
      <formula>""</formula>
    </cfRule>
  </conditionalFormatting>
  <conditionalFormatting sqref="R14">
    <cfRule type="cellIs" dxfId="589" priority="438" operator="equal">
      <formula>""</formula>
    </cfRule>
  </conditionalFormatting>
  <conditionalFormatting sqref="R417">
    <cfRule type="cellIs" dxfId="588" priority="437" operator="equal">
      <formula>""</formula>
    </cfRule>
  </conditionalFormatting>
  <conditionalFormatting sqref="R418">
    <cfRule type="cellIs" dxfId="587" priority="436" operator="equal">
      <formula>""</formula>
    </cfRule>
  </conditionalFormatting>
  <conditionalFormatting sqref="R419">
    <cfRule type="cellIs" dxfId="586" priority="435" operator="equal">
      <formula>""</formula>
    </cfRule>
  </conditionalFormatting>
  <conditionalFormatting sqref="R76">
    <cfRule type="cellIs" dxfId="585" priority="434" operator="equal">
      <formula>""</formula>
    </cfRule>
  </conditionalFormatting>
  <conditionalFormatting sqref="R77">
    <cfRule type="cellIs" dxfId="584" priority="433" operator="equal">
      <formula>""</formula>
    </cfRule>
  </conditionalFormatting>
  <conditionalFormatting sqref="R429">
    <cfRule type="cellIs" dxfId="583" priority="430" operator="equal">
      <formula>""</formula>
    </cfRule>
  </conditionalFormatting>
  <conditionalFormatting sqref="R420">
    <cfRule type="cellIs" dxfId="582" priority="428" operator="equal">
      <formula>""</formula>
    </cfRule>
  </conditionalFormatting>
  <conditionalFormatting sqref="R420">
    <cfRule type="cellIs" dxfId="581" priority="427" operator="equal">
      <formula>""</formula>
    </cfRule>
  </conditionalFormatting>
  <conditionalFormatting sqref="R79">
    <cfRule type="cellIs" dxfId="580" priority="426" operator="equal">
      <formula>""</formula>
    </cfRule>
  </conditionalFormatting>
  <conditionalFormatting sqref="R229">
    <cfRule type="cellIs" dxfId="579" priority="424" operator="equal">
      <formula>""</formula>
    </cfRule>
  </conditionalFormatting>
  <conditionalFormatting sqref="R413:R414">
    <cfRule type="cellIs" dxfId="578" priority="422" operator="equal">
      <formula>""</formula>
    </cfRule>
  </conditionalFormatting>
  <conditionalFormatting sqref="R402">
    <cfRule type="cellIs" dxfId="577" priority="421" operator="equal">
      <formula>""</formula>
    </cfRule>
  </conditionalFormatting>
  <conditionalFormatting sqref="R403">
    <cfRule type="cellIs" dxfId="576" priority="420" operator="equal">
      <formula>""</formula>
    </cfRule>
  </conditionalFormatting>
  <conditionalFormatting sqref="R387">
    <cfRule type="cellIs" dxfId="575" priority="419" operator="equal">
      <formula>""</formula>
    </cfRule>
  </conditionalFormatting>
  <conditionalFormatting sqref="R388">
    <cfRule type="cellIs" dxfId="574" priority="418" operator="equal">
      <formula>""</formula>
    </cfRule>
  </conditionalFormatting>
  <conditionalFormatting sqref="R127 R125">
    <cfRule type="cellIs" dxfId="573" priority="417" operator="equal">
      <formula>""</formula>
    </cfRule>
  </conditionalFormatting>
  <conditionalFormatting sqref="R261:R263 R257:R259">
    <cfRule type="cellIs" dxfId="572" priority="416" operator="equal">
      <formula>""</formula>
    </cfRule>
  </conditionalFormatting>
  <conditionalFormatting sqref="R197:R198">
    <cfRule type="cellIs" dxfId="571" priority="415" operator="equal">
      <formula>""</formula>
    </cfRule>
  </conditionalFormatting>
  <conditionalFormatting sqref="R198">
    <cfRule type="cellIs" dxfId="570" priority="414" operator="equal">
      <formula>""</formula>
    </cfRule>
  </conditionalFormatting>
  <conditionalFormatting sqref="R19">
    <cfRule type="cellIs" dxfId="569" priority="413" operator="equal">
      <formula>""</formula>
    </cfRule>
  </conditionalFormatting>
  <conditionalFormatting sqref="R137">
    <cfRule type="cellIs" dxfId="568" priority="412" operator="equal">
      <formula>""</formula>
    </cfRule>
  </conditionalFormatting>
  <conditionalFormatting sqref="R122">
    <cfRule type="cellIs" dxfId="567" priority="399" operator="equal">
      <formula>""</formula>
    </cfRule>
  </conditionalFormatting>
  <conditionalFormatting sqref="R181">
    <cfRule type="cellIs" dxfId="566" priority="365" operator="equal">
      <formula>""</formula>
    </cfRule>
  </conditionalFormatting>
  <conditionalFormatting sqref="R153">
    <cfRule type="cellIs" dxfId="565" priority="370" operator="equal">
      <formula>""</formula>
    </cfRule>
  </conditionalFormatting>
  <conditionalFormatting sqref="R178">
    <cfRule type="cellIs" dxfId="564" priority="403" operator="equal">
      <formula>""</formula>
    </cfRule>
  </conditionalFormatting>
  <conditionalFormatting sqref="R372:R373">
    <cfRule type="cellIs" dxfId="563" priority="398" operator="equal">
      <formula>""</formula>
    </cfRule>
  </conditionalFormatting>
  <conditionalFormatting sqref="R371">
    <cfRule type="cellIs" dxfId="562" priority="401" operator="equal">
      <formula>""</formula>
    </cfRule>
  </conditionalFormatting>
  <conditionalFormatting sqref="R123">
    <cfRule type="cellIs" dxfId="561" priority="396" operator="equal">
      <formula>""</formula>
    </cfRule>
  </conditionalFormatting>
  <conditionalFormatting sqref="R116:R118 R120:R121">
    <cfRule type="cellIs" dxfId="560" priority="400" operator="equal">
      <formula>""</formula>
    </cfRule>
  </conditionalFormatting>
  <conditionalFormatting sqref="R28">
    <cfRule type="cellIs" dxfId="559" priority="394" operator="equal">
      <formula>""</formula>
    </cfRule>
  </conditionalFormatting>
  <conditionalFormatting sqref="R123">
    <cfRule type="cellIs" dxfId="558" priority="397" operator="equal">
      <formula>""</formula>
    </cfRule>
  </conditionalFormatting>
  <conditionalFormatting sqref="R28">
    <cfRule type="cellIs" dxfId="557" priority="393" operator="equal">
      <formula>""</formula>
    </cfRule>
  </conditionalFormatting>
  <conditionalFormatting sqref="R27">
    <cfRule type="cellIs" dxfId="556" priority="395" operator="equal">
      <formula>""</formula>
    </cfRule>
  </conditionalFormatting>
  <conditionalFormatting sqref="R47 R74 R34:R35">
    <cfRule type="cellIs" dxfId="555" priority="392" operator="equal">
      <formula>""</formula>
    </cfRule>
  </conditionalFormatting>
  <conditionalFormatting sqref="R135">
    <cfRule type="cellIs" dxfId="554" priority="391" operator="equal">
      <formula>""</formula>
    </cfRule>
  </conditionalFormatting>
  <conditionalFormatting sqref="R312">
    <cfRule type="cellIs" dxfId="553" priority="385" operator="equal">
      <formula>""</formula>
    </cfRule>
  </conditionalFormatting>
  <conditionalFormatting sqref="R257">
    <cfRule type="cellIs" dxfId="552" priority="387" operator="equal">
      <formula>""</formula>
    </cfRule>
  </conditionalFormatting>
  <conditionalFormatting sqref="R342:R344">
    <cfRule type="cellIs" dxfId="551" priority="386" operator="equal">
      <formula>""</formula>
    </cfRule>
  </conditionalFormatting>
  <conditionalFormatting sqref="R366:R368">
    <cfRule type="cellIs" dxfId="550" priority="381" operator="equal">
      <formula>""</formula>
    </cfRule>
  </conditionalFormatting>
  <conditionalFormatting sqref="R48:R65">
    <cfRule type="cellIs" dxfId="549" priority="343" operator="equal">
      <formula>""</formula>
    </cfRule>
  </conditionalFormatting>
  <conditionalFormatting sqref="R153">
    <cfRule type="cellIs" dxfId="548" priority="372" operator="equal">
      <formula>""</formula>
    </cfRule>
  </conditionalFormatting>
  <conditionalFormatting sqref="R66:R73">
    <cfRule type="cellIs" dxfId="547" priority="342" operator="equal">
      <formula>""</formula>
    </cfRule>
  </conditionalFormatting>
  <conditionalFormatting sqref="R112 R85">
    <cfRule type="cellIs" dxfId="546" priority="335" operator="equal">
      <formula>""</formula>
    </cfRule>
  </conditionalFormatting>
  <conditionalFormatting sqref="R363">
    <cfRule type="cellIs" dxfId="545" priority="380" operator="equal">
      <formula>""</formula>
    </cfRule>
  </conditionalFormatting>
  <conditionalFormatting sqref="R365">
    <cfRule type="cellIs" dxfId="544" priority="379" operator="equal">
      <formula>""</formula>
    </cfRule>
  </conditionalFormatting>
  <conditionalFormatting sqref="R354:R355">
    <cfRule type="cellIs" dxfId="543" priority="378" operator="equal">
      <formula>""</formula>
    </cfRule>
  </conditionalFormatting>
  <conditionalFormatting sqref="R357">
    <cfRule type="cellIs" dxfId="542" priority="377" operator="equal">
      <formula>""</formula>
    </cfRule>
  </conditionalFormatting>
  <conditionalFormatting sqref="R160:R164 R154:R156 R158">
    <cfRule type="cellIs" dxfId="541" priority="376" operator="equal">
      <formula>""</formula>
    </cfRule>
  </conditionalFormatting>
  <conditionalFormatting sqref="R160:R164 R155:R156 R158">
    <cfRule type="cellIs" dxfId="540" priority="375" operator="equal">
      <formula>""</formula>
    </cfRule>
  </conditionalFormatting>
  <conditionalFormatting sqref="R163">
    <cfRule type="cellIs" dxfId="539" priority="374" operator="equal">
      <formula>""</formula>
    </cfRule>
  </conditionalFormatting>
  <conditionalFormatting sqref="R153">
    <cfRule type="cellIs" dxfId="538" priority="373" operator="equal">
      <formula>""</formula>
    </cfRule>
  </conditionalFormatting>
  <conditionalFormatting sqref="R153">
    <cfRule type="cellIs" dxfId="537" priority="371" operator="equal">
      <formula>""</formula>
    </cfRule>
  </conditionalFormatting>
  <conditionalFormatting sqref="R181">
    <cfRule type="cellIs" dxfId="536" priority="366" operator="equal">
      <formula>""</formula>
    </cfRule>
  </conditionalFormatting>
  <conditionalFormatting sqref="R159">
    <cfRule type="cellIs" dxfId="535" priority="369" operator="equal">
      <formula>""</formula>
    </cfRule>
  </conditionalFormatting>
  <conditionalFormatting sqref="R159">
    <cfRule type="cellIs" dxfId="534" priority="368" operator="equal">
      <formula>""</formula>
    </cfRule>
  </conditionalFormatting>
  <conditionalFormatting sqref="R360">
    <cfRule type="cellIs" dxfId="533" priority="367" operator="equal">
      <formula>""</formula>
    </cfRule>
  </conditionalFormatting>
  <conditionalFormatting sqref="R124">
    <cfRule type="cellIs" dxfId="532" priority="361" operator="equal">
      <formula>""</formula>
    </cfRule>
  </conditionalFormatting>
  <conditionalFormatting sqref="R177">
    <cfRule type="cellIs" dxfId="531" priority="364" operator="equal">
      <formula>""</formula>
    </cfRule>
  </conditionalFormatting>
  <conditionalFormatting sqref="R180">
    <cfRule type="cellIs" dxfId="530" priority="363" operator="equal">
      <formula>""</formula>
    </cfRule>
  </conditionalFormatting>
  <conditionalFormatting sqref="R115">
    <cfRule type="cellIs" dxfId="529" priority="362" operator="equal">
      <formula>""</formula>
    </cfRule>
  </conditionalFormatting>
  <conditionalFormatting sqref="R36">
    <cfRule type="cellIs" dxfId="528" priority="357" operator="equal">
      <formula>""</formula>
    </cfRule>
  </conditionalFormatting>
  <conditionalFormatting sqref="R385">
    <cfRule type="cellIs" dxfId="527" priority="325" operator="equal">
      <formula>""</formula>
    </cfRule>
  </conditionalFormatting>
  <conditionalFormatting sqref="R30">
    <cfRule type="cellIs" dxfId="526" priority="358" operator="equal">
      <formula>""</formula>
    </cfRule>
  </conditionalFormatting>
  <conditionalFormatting sqref="R187 R192 R184">
    <cfRule type="cellIs" dxfId="525" priority="321" operator="equal">
      <formula>""</formula>
    </cfRule>
  </conditionalFormatting>
  <conditionalFormatting sqref="R36">
    <cfRule type="cellIs" dxfId="524" priority="356" operator="equal">
      <formula>""</formula>
    </cfRule>
  </conditionalFormatting>
  <conditionalFormatting sqref="R36">
    <cfRule type="cellIs" dxfId="523" priority="355" operator="equal">
      <formula>""</formula>
    </cfRule>
  </conditionalFormatting>
  <conditionalFormatting sqref="R36">
    <cfRule type="cellIs" dxfId="522" priority="354" operator="equal">
      <formula>""</formula>
    </cfRule>
  </conditionalFormatting>
  <conditionalFormatting sqref="R86:R103">
    <cfRule type="cellIs" dxfId="521" priority="334" operator="equal">
      <formula>""</formula>
    </cfRule>
  </conditionalFormatting>
  <conditionalFormatting sqref="R86:R103">
    <cfRule type="cellIs" dxfId="520" priority="333" operator="equal">
      <formula>""</formula>
    </cfRule>
  </conditionalFormatting>
  <conditionalFormatting sqref="R86:R103">
    <cfRule type="cellIs" dxfId="519" priority="332" operator="equal">
      <formula>""</formula>
    </cfRule>
  </conditionalFormatting>
  <conditionalFormatting sqref="R86:R103">
    <cfRule type="cellIs" dxfId="518" priority="331" operator="equal">
      <formula>""</formula>
    </cfRule>
  </conditionalFormatting>
  <conditionalFormatting sqref="R44">
    <cfRule type="cellIs" dxfId="517" priority="322" operator="equal">
      <formula>""</formula>
    </cfRule>
  </conditionalFormatting>
  <conditionalFormatting sqref="R48:R65">
    <cfRule type="cellIs" dxfId="516" priority="346" operator="equal">
      <formula>""</formula>
    </cfRule>
  </conditionalFormatting>
  <conditionalFormatting sqref="R48:R65">
    <cfRule type="cellIs" dxfId="515" priority="345" operator="equal">
      <formula>""</formula>
    </cfRule>
  </conditionalFormatting>
  <conditionalFormatting sqref="R48:R65">
    <cfRule type="cellIs" dxfId="514" priority="344" operator="equal">
      <formula>""</formula>
    </cfRule>
  </conditionalFormatting>
  <conditionalFormatting sqref="R66:R73">
    <cfRule type="cellIs" dxfId="513" priority="339" operator="equal">
      <formula>""</formula>
    </cfRule>
  </conditionalFormatting>
  <conditionalFormatting sqref="R66:R73">
    <cfRule type="cellIs" dxfId="512" priority="341" operator="equal">
      <formula>""</formula>
    </cfRule>
  </conditionalFormatting>
  <conditionalFormatting sqref="R66:R73">
    <cfRule type="cellIs" dxfId="511" priority="340" operator="equal">
      <formula>""</formula>
    </cfRule>
  </conditionalFormatting>
  <conditionalFormatting sqref="R43">
    <cfRule type="cellIs" dxfId="510" priority="338" operator="equal">
      <formula>""</formula>
    </cfRule>
  </conditionalFormatting>
  <conditionalFormatting sqref="R46">
    <cfRule type="cellIs" dxfId="509" priority="337" operator="equal">
      <formula>""</formula>
    </cfRule>
  </conditionalFormatting>
  <conditionalFormatting sqref="R112 R85">
    <cfRule type="cellIs" dxfId="508" priority="336" operator="equal">
      <formula>""</formula>
    </cfRule>
  </conditionalFormatting>
  <conditionalFormatting sqref="R189">
    <cfRule type="cellIs" dxfId="507" priority="313" operator="equal">
      <formula>""</formula>
    </cfRule>
  </conditionalFormatting>
  <conditionalFormatting sqref="R104:R111">
    <cfRule type="cellIs" dxfId="506" priority="327" operator="equal">
      <formula>""</formula>
    </cfRule>
  </conditionalFormatting>
  <conditionalFormatting sqref="R104:R111">
    <cfRule type="cellIs" dxfId="505" priority="330" operator="equal">
      <formula>""</formula>
    </cfRule>
  </conditionalFormatting>
  <conditionalFormatting sqref="R104:R111">
    <cfRule type="cellIs" dxfId="504" priority="329" operator="equal">
      <formula>""</formula>
    </cfRule>
  </conditionalFormatting>
  <conditionalFormatting sqref="R104:R111">
    <cfRule type="cellIs" dxfId="503" priority="328" operator="equal">
      <formula>""</formula>
    </cfRule>
  </conditionalFormatting>
  <conditionalFormatting sqref="R384">
    <cfRule type="cellIs" dxfId="502" priority="326" operator="equal">
      <formula>""</formula>
    </cfRule>
  </conditionalFormatting>
  <conditionalFormatting sqref="R45">
    <cfRule type="cellIs" dxfId="501" priority="324" operator="equal">
      <formula>""</formula>
    </cfRule>
  </conditionalFormatting>
  <conditionalFormatting sqref="R45">
    <cfRule type="cellIs" dxfId="500" priority="323" operator="equal">
      <formula>""</formula>
    </cfRule>
  </conditionalFormatting>
  <conditionalFormatting sqref="Q181">
    <cfRule type="cellIs" dxfId="499" priority="277" operator="equal">
      <formula>""</formula>
    </cfRule>
  </conditionalFormatting>
  <conditionalFormatting sqref="R171">
    <cfRule type="cellIs" dxfId="498" priority="312" operator="equal">
      <formula>""</formula>
    </cfRule>
  </conditionalFormatting>
  <conditionalFormatting sqref="R194">
    <cfRule type="cellIs" dxfId="497" priority="287" operator="equal">
      <formula>""</formula>
    </cfRule>
  </conditionalFormatting>
  <conditionalFormatting sqref="R187">
    <cfRule type="cellIs" dxfId="496" priority="318" operator="equal">
      <formula>""</formula>
    </cfRule>
  </conditionalFormatting>
  <conditionalFormatting sqref="R190">
    <cfRule type="cellIs" dxfId="495" priority="316" operator="equal">
      <formula>""</formula>
    </cfRule>
  </conditionalFormatting>
  <conditionalFormatting sqref="R190">
    <cfRule type="cellIs" dxfId="494" priority="315" operator="equal">
      <formula>""</formula>
    </cfRule>
  </conditionalFormatting>
  <conditionalFormatting sqref="R186">
    <cfRule type="cellIs" dxfId="493" priority="314" operator="equal">
      <formula>""</formula>
    </cfRule>
  </conditionalFormatting>
  <conditionalFormatting sqref="R227">
    <cfRule type="cellIs" dxfId="492" priority="308" operator="equal">
      <formula>""</formula>
    </cfRule>
  </conditionalFormatting>
  <conditionalFormatting sqref="R171">
    <cfRule type="cellIs" dxfId="491" priority="311" operator="equal">
      <formula>""</formula>
    </cfRule>
  </conditionalFormatting>
  <conditionalFormatting sqref="R172:R173">
    <cfRule type="cellIs" dxfId="490" priority="310" operator="equal">
      <formula>""</formula>
    </cfRule>
  </conditionalFormatting>
  <conditionalFormatting sqref="R226">
    <cfRule type="cellIs" dxfId="489" priority="309" operator="equal">
      <formula>""</formula>
    </cfRule>
  </conditionalFormatting>
  <conditionalFormatting sqref="R301:R306 R296:R299">
    <cfRule type="cellIs" dxfId="488" priority="304" operator="equal">
      <formula>""</formula>
    </cfRule>
  </conditionalFormatting>
  <conditionalFormatting sqref="R303:R306 R266:R267">
    <cfRule type="cellIs" dxfId="487" priority="307" operator="equal">
      <formula>""</formula>
    </cfRule>
  </conditionalFormatting>
  <conditionalFormatting sqref="R267">
    <cfRule type="cellIs" dxfId="486" priority="306" operator="equal">
      <formula>""</formula>
    </cfRule>
  </conditionalFormatting>
  <conditionalFormatting sqref="R346:R347">
    <cfRule type="cellIs" dxfId="485" priority="297" operator="equal">
      <formula>""</formula>
    </cfRule>
  </conditionalFormatting>
  <conditionalFormatting sqref="R299">
    <cfRule type="cellIs" dxfId="484" priority="302" operator="equal">
      <formula>""</formula>
    </cfRule>
  </conditionalFormatting>
  <conditionalFormatting sqref="R265">
    <cfRule type="cellIs" dxfId="483" priority="301" operator="equal">
      <formula>""</formula>
    </cfRule>
  </conditionalFormatting>
  <conditionalFormatting sqref="R191">
    <cfRule type="cellIs" dxfId="482" priority="283" operator="equal">
      <formula>""</formula>
    </cfRule>
  </conditionalFormatting>
  <conditionalFormatting sqref="O182:P182 S182">
    <cfRule type="cellIs" dxfId="481" priority="282" operator="equal">
      <formula>""</formula>
    </cfRule>
  </conditionalFormatting>
  <conditionalFormatting sqref="Q187">
    <cfRule type="cellIs" dxfId="480" priority="273" operator="equal">
      <formula>""</formula>
    </cfRule>
  </conditionalFormatting>
  <conditionalFormatting sqref="R256">
    <cfRule type="cellIs" dxfId="479" priority="249" operator="equal">
      <formula>""</formula>
    </cfRule>
  </conditionalFormatting>
  <conditionalFormatting sqref="R307">
    <cfRule type="cellIs" dxfId="478" priority="295" operator="equal">
      <formula>""</formula>
    </cfRule>
  </conditionalFormatting>
  <conditionalFormatting sqref="R300">
    <cfRule type="cellIs" dxfId="477" priority="294" operator="equal">
      <formula>""</formula>
    </cfRule>
  </conditionalFormatting>
  <conditionalFormatting sqref="R300">
    <cfRule type="cellIs" dxfId="476" priority="293" operator="equal">
      <formula>""</formula>
    </cfRule>
  </conditionalFormatting>
  <conditionalFormatting sqref="R176">
    <cfRule type="cellIs" dxfId="475" priority="292" operator="equal">
      <formula>""</formula>
    </cfRule>
  </conditionalFormatting>
  <conditionalFormatting sqref="R176">
    <cfRule type="cellIs" dxfId="474" priority="291" operator="equal">
      <formula>""</formula>
    </cfRule>
  </conditionalFormatting>
  <conditionalFormatting sqref="S176">
    <cfRule type="cellIs" dxfId="473" priority="290" operator="equal">
      <formula>""</formula>
    </cfRule>
  </conditionalFormatting>
  <conditionalFormatting sqref="S176">
    <cfRule type="cellIs" dxfId="472" priority="289" operator="equal">
      <formula>""</formula>
    </cfRule>
  </conditionalFormatting>
  <conditionalFormatting sqref="R194">
    <cfRule type="cellIs" dxfId="471" priority="288" operator="equal">
      <formula>""</formula>
    </cfRule>
  </conditionalFormatting>
  <conditionalFormatting sqref="Q185">
    <cfRule type="cellIs" dxfId="470" priority="261" operator="equal">
      <formula>""</formula>
    </cfRule>
  </conditionalFormatting>
  <conditionalFormatting sqref="R260">
    <cfRule type="cellIs" dxfId="469" priority="286" operator="equal">
      <formula>""</formula>
    </cfRule>
  </conditionalFormatting>
  <conditionalFormatting sqref="R260">
    <cfRule type="cellIs" dxfId="468" priority="285" operator="equal">
      <formula>""</formula>
    </cfRule>
  </conditionalFormatting>
  <conditionalFormatting sqref="O191:Q191 S191">
    <cfRule type="cellIs" dxfId="467" priority="284" operator="equal">
      <formula>""</formula>
    </cfRule>
  </conditionalFormatting>
  <conditionalFormatting sqref="P190">
    <cfRule type="cellIs" dxfId="466" priority="279" operator="equal">
      <formula>""</formula>
    </cfRule>
  </conditionalFormatting>
  <conditionalFormatting sqref="R185">
    <cfRule type="cellIs" dxfId="465" priority="260" operator="equal">
      <formula>""</formula>
    </cfRule>
  </conditionalFormatting>
  <conditionalFormatting sqref="R182">
    <cfRule type="cellIs" dxfId="464" priority="281" operator="equal">
      <formula>""</formula>
    </cfRule>
  </conditionalFormatting>
  <conditionalFormatting sqref="P190">
    <cfRule type="cellIs" dxfId="463" priority="280" operator="equal">
      <formula>""</formula>
    </cfRule>
  </conditionalFormatting>
  <conditionalFormatting sqref="Q183">
    <cfRule type="cellIs" dxfId="462" priority="278" operator="equal">
      <formula>""</formula>
    </cfRule>
  </conditionalFormatting>
  <conditionalFormatting sqref="Q181">
    <cfRule type="cellIs" dxfId="461" priority="276" operator="equal">
      <formula>""</formula>
    </cfRule>
  </conditionalFormatting>
  <conditionalFormatting sqref="Q184 Q187">
    <cfRule type="cellIs" dxfId="460" priority="275" operator="equal">
      <formula>""</formula>
    </cfRule>
  </conditionalFormatting>
  <conditionalFormatting sqref="S190">
    <cfRule type="cellIs" dxfId="459" priority="264" operator="equal">
      <formula>""</formula>
    </cfRule>
  </conditionalFormatting>
  <conditionalFormatting sqref="Q190">
    <cfRule type="cellIs" dxfId="458" priority="268" operator="equal">
      <formula>""</formula>
    </cfRule>
  </conditionalFormatting>
  <conditionalFormatting sqref="Q186">
    <cfRule type="cellIs" dxfId="457" priority="271" operator="equal">
      <formula>""</formula>
    </cfRule>
  </conditionalFormatting>
  <conditionalFormatting sqref="Q189">
    <cfRule type="cellIs" dxfId="456" priority="270" operator="equal">
      <formula>""</formula>
    </cfRule>
  </conditionalFormatting>
  <conditionalFormatting sqref="Q182">
    <cfRule type="cellIs" dxfId="455" priority="269" operator="equal">
      <formula>""</formula>
    </cfRule>
  </conditionalFormatting>
  <conditionalFormatting sqref="Q190">
    <cfRule type="cellIs" dxfId="454" priority="267" operator="equal">
      <formula>""</formula>
    </cfRule>
  </conditionalFormatting>
  <conditionalFormatting sqref="S181">
    <cfRule type="cellIs" dxfId="453" priority="266" operator="equal">
      <formula>""</formula>
    </cfRule>
  </conditionalFormatting>
  <conditionalFormatting sqref="S181">
    <cfRule type="cellIs" dxfId="452" priority="265" operator="equal">
      <formula>""</formula>
    </cfRule>
  </conditionalFormatting>
  <conditionalFormatting sqref="S190">
    <cfRule type="cellIs" dxfId="451" priority="263" operator="equal">
      <formula>""</formula>
    </cfRule>
  </conditionalFormatting>
  <conditionalFormatting sqref="Q185">
    <cfRule type="cellIs" dxfId="450" priority="262" operator="equal">
      <formula>""</formula>
    </cfRule>
  </conditionalFormatting>
  <conditionalFormatting sqref="R185">
    <cfRule type="cellIs" dxfId="449" priority="259" operator="equal">
      <formula>""</formula>
    </cfRule>
  </conditionalFormatting>
  <conditionalFormatting sqref="S185">
    <cfRule type="cellIs" dxfId="448" priority="258" operator="equal">
      <formula>""</formula>
    </cfRule>
  </conditionalFormatting>
  <conditionalFormatting sqref="S185">
    <cfRule type="cellIs" dxfId="447" priority="257" operator="equal">
      <formula>""</formula>
    </cfRule>
  </conditionalFormatting>
  <conditionalFormatting sqref="O339">
    <cfRule type="cellIs" dxfId="446" priority="214" operator="equal">
      <formula>""</formula>
    </cfRule>
  </conditionalFormatting>
  <conditionalFormatting sqref="O339">
    <cfRule type="cellIs" dxfId="445" priority="213" operator="equal">
      <formula>""</formula>
    </cfRule>
  </conditionalFormatting>
  <conditionalFormatting sqref="I231:I256">
    <cfRule type="cellIs" dxfId="444" priority="251" operator="equal">
      <formula>"tu"</formula>
    </cfRule>
  </conditionalFormatting>
  <conditionalFormatting sqref="I231:I256">
    <cfRule type="cellIs" dxfId="443" priority="252" operator="equal">
      <formula>"tu"</formula>
    </cfRule>
  </conditionalFormatting>
  <conditionalFormatting sqref="O256:Q256 S256">
    <cfRule type="cellIs" dxfId="442" priority="250" operator="equal">
      <formula>""</formula>
    </cfRule>
  </conditionalFormatting>
  <conditionalFormatting sqref="Q335">
    <cfRule type="cellIs" dxfId="441" priority="227" operator="equal">
      <formula>""</formula>
    </cfRule>
  </conditionalFormatting>
  <conditionalFormatting sqref="I269:I294">
    <cfRule type="cellIs" dxfId="440" priority="247" operator="equal">
      <formula>"tu"</formula>
    </cfRule>
  </conditionalFormatting>
  <conditionalFormatting sqref="I269:I294">
    <cfRule type="cellIs" dxfId="439" priority="248" operator="equal">
      <formula>"tu"</formula>
    </cfRule>
  </conditionalFormatting>
  <conditionalFormatting sqref="O294:Q294 S294">
    <cfRule type="cellIs" dxfId="438" priority="246" operator="equal">
      <formula>""</formula>
    </cfRule>
  </conditionalFormatting>
  <conditionalFormatting sqref="R294">
    <cfRule type="cellIs" dxfId="437" priority="245" operator="equal">
      <formula>""</formula>
    </cfRule>
  </conditionalFormatting>
  <conditionalFormatting sqref="O327:Q327">
    <cfRule type="cellIs" dxfId="436" priority="244" operator="equal">
      <formula>""</formula>
    </cfRule>
  </conditionalFormatting>
  <conditionalFormatting sqref="O327:Q327">
    <cfRule type="cellIs" dxfId="435" priority="243" operator="equal">
      <formula>""</formula>
    </cfRule>
  </conditionalFormatting>
  <conditionalFormatting sqref="R327">
    <cfRule type="cellIs" dxfId="434" priority="242" operator="equal">
      <formula>""</formula>
    </cfRule>
  </conditionalFormatting>
  <conditionalFormatting sqref="R327">
    <cfRule type="cellIs" dxfId="433" priority="241" operator="equal">
      <formula>""</formula>
    </cfRule>
  </conditionalFormatting>
  <conditionalFormatting sqref="S327">
    <cfRule type="cellIs" dxfId="432" priority="240" operator="equal">
      <formula>""</formula>
    </cfRule>
  </conditionalFormatting>
  <conditionalFormatting sqref="S327">
    <cfRule type="cellIs" dxfId="431" priority="239" operator="equal">
      <formula>""</formula>
    </cfRule>
  </conditionalFormatting>
  <conditionalFormatting sqref="O331:P331">
    <cfRule type="cellIs" dxfId="430" priority="238" operator="equal">
      <formula>""</formula>
    </cfRule>
  </conditionalFormatting>
  <conditionalFormatting sqref="O331:P331">
    <cfRule type="cellIs" dxfId="429" priority="237" operator="equal">
      <formula>""</formula>
    </cfRule>
  </conditionalFormatting>
  <conditionalFormatting sqref="R331">
    <cfRule type="cellIs" dxfId="428" priority="235" operator="equal">
      <formula>""</formula>
    </cfRule>
  </conditionalFormatting>
  <conditionalFormatting sqref="R331">
    <cfRule type="cellIs" dxfId="427" priority="236" operator="equal">
      <formula>""</formula>
    </cfRule>
  </conditionalFormatting>
  <conditionalFormatting sqref="Q331">
    <cfRule type="cellIs" dxfId="426" priority="234" operator="equal">
      <formula>""</formula>
    </cfRule>
  </conditionalFormatting>
  <conditionalFormatting sqref="Q331">
    <cfRule type="cellIs" dxfId="425" priority="233" operator="equal">
      <formula>""</formula>
    </cfRule>
  </conditionalFormatting>
  <conditionalFormatting sqref="S331">
    <cfRule type="cellIs" dxfId="424" priority="232" operator="equal">
      <formula>""</formula>
    </cfRule>
  </conditionalFormatting>
  <conditionalFormatting sqref="S331">
    <cfRule type="cellIs" dxfId="423" priority="231" operator="equal">
      <formula>""</formula>
    </cfRule>
  </conditionalFormatting>
  <conditionalFormatting sqref="O335:P335">
    <cfRule type="cellIs" dxfId="422" priority="230" operator="equal">
      <formula>""</formula>
    </cfRule>
  </conditionalFormatting>
  <conditionalFormatting sqref="O335:P335">
    <cfRule type="cellIs" dxfId="421" priority="229" operator="equal">
      <formula>""</formula>
    </cfRule>
  </conditionalFormatting>
  <conditionalFormatting sqref="R335">
    <cfRule type="cellIs" dxfId="420" priority="226" operator="equal">
      <formula>""</formula>
    </cfRule>
  </conditionalFormatting>
  <conditionalFormatting sqref="Q335">
    <cfRule type="cellIs" dxfId="419" priority="228" operator="equal">
      <formula>""</formula>
    </cfRule>
  </conditionalFormatting>
  <conditionalFormatting sqref="R335">
    <cfRule type="cellIs" dxfId="418" priority="225" operator="equal">
      <formula>""</formula>
    </cfRule>
  </conditionalFormatting>
  <conditionalFormatting sqref="S335">
    <cfRule type="cellIs" dxfId="417" priority="224" operator="equal">
      <formula>""</formula>
    </cfRule>
  </conditionalFormatting>
  <conditionalFormatting sqref="S335">
    <cfRule type="cellIs" dxfId="416" priority="223" operator="equal">
      <formula>""</formula>
    </cfRule>
  </conditionalFormatting>
  <conditionalFormatting sqref="R339">
    <cfRule type="cellIs" dxfId="415" priority="211" operator="equal">
      <formula>""</formula>
    </cfRule>
  </conditionalFormatting>
  <conditionalFormatting sqref="P339">
    <cfRule type="cellIs" dxfId="414" priority="210" operator="equal">
      <formula>""</formula>
    </cfRule>
  </conditionalFormatting>
  <conditionalFormatting sqref="P339">
    <cfRule type="cellIs" dxfId="413" priority="209" operator="equal">
      <formula>""</formula>
    </cfRule>
  </conditionalFormatting>
  <conditionalFormatting sqref="Q339">
    <cfRule type="cellIs" dxfId="412" priority="208" operator="equal">
      <formula>""</formula>
    </cfRule>
  </conditionalFormatting>
  <conditionalFormatting sqref="Q339">
    <cfRule type="cellIs" dxfId="411" priority="207" operator="equal">
      <formula>""</formula>
    </cfRule>
  </conditionalFormatting>
  <conditionalFormatting sqref="S339">
    <cfRule type="cellIs" dxfId="410" priority="206" operator="equal">
      <formula>""</formula>
    </cfRule>
  </conditionalFormatting>
  <conditionalFormatting sqref="S339">
    <cfRule type="cellIs" dxfId="409" priority="205" operator="equal">
      <formula>""</formula>
    </cfRule>
  </conditionalFormatting>
  <conditionalFormatting sqref="R339">
    <cfRule type="cellIs" dxfId="408" priority="212" operator="equal">
      <formula>""</formula>
    </cfRule>
  </conditionalFormatting>
  <conditionalFormatting sqref="O157:S157">
    <cfRule type="cellIs" dxfId="407" priority="204" operator="equal">
      <formula>""</formula>
    </cfRule>
  </conditionalFormatting>
  <conditionalFormatting sqref="R165:R168">
    <cfRule type="cellIs" dxfId="406" priority="203" operator="equal">
      <formula>""</formula>
    </cfRule>
  </conditionalFormatting>
  <conditionalFormatting sqref="S165:S168">
    <cfRule type="cellIs" dxfId="405" priority="202" operator="equal">
      <formula>""</formula>
    </cfRule>
  </conditionalFormatting>
  <conditionalFormatting sqref="S354:S355">
    <cfRule type="cellIs" dxfId="404" priority="199" operator="equal">
      <formula>""</formula>
    </cfRule>
  </conditionalFormatting>
  <conditionalFormatting sqref="S357">
    <cfRule type="cellIs" dxfId="403" priority="198" operator="equal">
      <formula>""</formula>
    </cfRule>
  </conditionalFormatting>
  <conditionalFormatting sqref="S143">
    <cfRule type="cellIs" dxfId="402" priority="177" operator="equal">
      <formula>""</formula>
    </cfRule>
  </conditionalFormatting>
  <conditionalFormatting sqref="S143">
    <cfRule type="cellIs" dxfId="401" priority="176" operator="equal">
      <formula>""</formula>
    </cfRule>
  </conditionalFormatting>
  <conditionalFormatting sqref="P143">
    <cfRule type="cellIs" dxfId="400" priority="197" operator="equal">
      <formula>""</formula>
    </cfRule>
  </conditionalFormatting>
  <conditionalFormatting sqref="P143">
    <cfRule type="cellIs" dxfId="399" priority="196" operator="equal">
      <formula>""</formula>
    </cfRule>
  </conditionalFormatting>
  <conditionalFormatting sqref="I143">
    <cfRule type="cellIs" dxfId="398" priority="195" operator="equal">
      <formula>"tu"</formula>
    </cfRule>
  </conditionalFormatting>
  <conditionalFormatting sqref="I143">
    <cfRule type="cellIs" dxfId="397" priority="194" operator="equal">
      <formula>"tu"</formula>
    </cfRule>
  </conditionalFormatting>
  <conditionalFormatting sqref="Q143">
    <cfRule type="cellIs" dxfId="396" priority="185" operator="equal">
      <formula>""</formula>
    </cfRule>
  </conditionalFormatting>
  <conditionalFormatting sqref="Q143">
    <cfRule type="cellIs" dxfId="395" priority="184" operator="equal">
      <formula>""</formula>
    </cfRule>
  </conditionalFormatting>
  <conditionalFormatting sqref="O143">
    <cfRule type="cellIs" dxfId="394" priority="189" operator="equal">
      <formula>""</formula>
    </cfRule>
  </conditionalFormatting>
  <conditionalFormatting sqref="O143">
    <cfRule type="cellIs" dxfId="393" priority="188" operator="equal">
      <formula>""</formula>
    </cfRule>
  </conditionalFormatting>
  <conditionalFormatting sqref="Q142">
    <cfRule type="cellIs" dxfId="392" priority="187" operator="equal">
      <formula>""</formula>
    </cfRule>
  </conditionalFormatting>
  <conditionalFormatting sqref="Q142">
    <cfRule type="cellIs" dxfId="391" priority="186" operator="equal">
      <formula>""</formula>
    </cfRule>
  </conditionalFormatting>
  <conditionalFormatting sqref="R142">
    <cfRule type="cellIs" dxfId="390" priority="183" operator="equal">
      <formula>""</formula>
    </cfRule>
  </conditionalFormatting>
  <conditionalFormatting sqref="R142">
    <cfRule type="cellIs" dxfId="389" priority="182" operator="equal">
      <formula>""</formula>
    </cfRule>
  </conditionalFormatting>
  <conditionalFormatting sqref="R143">
    <cfRule type="cellIs" dxfId="388" priority="181" operator="equal">
      <formula>""</formula>
    </cfRule>
  </conditionalFormatting>
  <conditionalFormatting sqref="R143">
    <cfRule type="cellIs" dxfId="387" priority="180" operator="equal">
      <formula>""</formula>
    </cfRule>
  </conditionalFormatting>
  <conditionalFormatting sqref="S142">
    <cfRule type="cellIs" dxfId="386" priority="179" operator="equal">
      <formula>""</formula>
    </cfRule>
  </conditionalFormatting>
  <conditionalFormatting sqref="S142">
    <cfRule type="cellIs" dxfId="385" priority="178" operator="equal">
      <formula>""</formula>
    </cfRule>
  </conditionalFormatting>
  <conditionalFormatting sqref="R37">
    <cfRule type="cellIs" dxfId="384" priority="175" operator="equal">
      <formula>""</formula>
    </cfRule>
  </conditionalFormatting>
  <conditionalFormatting sqref="R37">
    <cfRule type="cellIs" dxfId="383" priority="174" operator="equal">
      <formula>""</formula>
    </cfRule>
  </conditionalFormatting>
  <conditionalFormatting sqref="R37">
    <cfRule type="cellIs" dxfId="382" priority="173" operator="equal">
      <formula>""</formula>
    </cfRule>
  </conditionalFormatting>
  <conditionalFormatting sqref="R37">
    <cfRule type="cellIs" dxfId="381" priority="172" operator="equal">
      <formula>""</formula>
    </cfRule>
  </conditionalFormatting>
  <conditionalFormatting sqref="R37">
    <cfRule type="cellIs" dxfId="380" priority="171" operator="equal">
      <formula>""</formula>
    </cfRule>
  </conditionalFormatting>
  <conditionalFormatting sqref="R80:R81">
    <cfRule type="cellIs" dxfId="379" priority="170" operator="equal">
      <formula>""</formula>
    </cfRule>
  </conditionalFormatting>
  <conditionalFormatting sqref="S37">
    <cfRule type="cellIs" dxfId="378" priority="169" operator="equal">
      <formula>""</formula>
    </cfRule>
  </conditionalFormatting>
  <conditionalFormatting sqref="S37">
    <cfRule type="cellIs" dxfId="377" priority="168" operator="equal">
      <formula>""</formula>
    </cfRule>
  </conditionalFormatting>
  <conditionalFormatting sqref="S37">
    <cfRule type="cellIs" dxfId="376" priority="167" operator="equal">
      <formula>""</formula>
    </cfRule>
  </conditionalFormatting>
  <conditionalFormatting sqref="S37">
    <cfRule type="cellIs" dxfId="375" priority="166" operator="equal">
      <formula>""</formula>
    </cfRule>
  </conditionalFormatting>
  <conditionalFormatting sqref="S37">
    <cfRule type="cellIs" dxfId="374" priority="165" operator="equal">
      <formula>""</formula>
    </cfRule>
  </conditionalFormatting>
  <conditionalFormatting sqref="S80:S81">
    <cfRule type="cellIs" dxfId="373" priority="164" operator="equal">
      <formula>""</formula>
    </cfRule>
  </conditionalFormatting>
  <conditionalFormatting sqref="O295:Q295 S295">
    <cfRule type="cellIs" dxfId="372" priority="163" operator="equal">
      <formula>""</formula>
    </cfRule>
  </conditionalFormatting>
  <conditionalFormatting sqref="S295 O295:Q295">
    <cfRule type="cellIs" dxfId="371" priority="162" operator="equal">
      <formula>""</formula>
    </cfRule>
  </conditionalFormatting>
  <conditionalFormatting sqref="O295:Q295 S295">
    <cfRule type="cellIs" dxfId="370" priority="161" operator="equal">
      <formula>""</formula>
    </cfRule>
  </conditionalFormatting>
  <conditionalFormatting sqref="R295">
    <cfRule type="cellIs" dxfId="369" priority="160" operator="equal">
      <formula>""</formula>
    </cfRule>
  </conditionalFormatting>
  <conditionalFormatting sqref="R295">
    <cfRule type="cellIs" dxfId="368" priority="159" operator="equal">
      <formula>""</formula>
    </cfRule>
  </conditionalFormatting>
  <conditionalFormatting sqref="R295">
    <cfRule type="cellIs" dxfId="367" priority="158" operator="equal">
      <formula>""</formula>
    </cfRule>
  </conditionalFormatting>
  <conditionalFormatting sqref="O179:Q179 S179">
    <cfRule type="cellIs" dxfId="366" priority="157" operator="equal">
      <formula>""</formula>
    </cfRule>
  </conditionalFormatting>
  <conditionalFormatting sqref="O179:Q179 S179">
    <cfRule type="cellIs" dxfId="365" priority="156" operator="equal">
      <formula>""</formula>
    </cfRule>
  </conditionalFormatting>
  <conditionalFormatting sqref="R179">
    <cfRule type="cellIs" dxfId="364" priority="155" operator="equal">
      <formula>""</formula>
    </cfRule>
  </conditionalFormatting>
  <conditionalFormatting sqref="R179">
    <cfRule type="cellIs" dxfId="363" priority="154" operator="equal">
      <formula>""</formula>
    </cfRule>
  </conditionalFormatting>
  <conditionalFormatting sqref="O188:P188 S188">
    <cfRule type="cellIs" dxfId="362" priority="153" operator="equal">
      <formula>""</formula>
    </cfRule>
  </conditionalFormatting>
  <conditionalFormatting sqref="O188:P188 S188">
    <cfRule type="cellIs" dxfId="361" priority="152" operator="equal">
      <formula>""</formula>
    </cfRule>
  </conditionalFormatting>
  <conditionalFormatting sqref="R188">
    <cfRule type="cellIs" dxfId="360" priority="151" operator="equal">
      <formula>""</formula>
    </cfRule>
  </conditionalFormatting>
  <conditionalFormatting sqref="R188">
    <cfRule type="cellIs" dxfId="359" priority="150" operator="equal">
      <formula>""</formula>
    </cfRule>
  </conditionalFormatting>
  <conditionalFormatting sqref="Q188">
    <cfRule type="cellIs" dxfId="358" priority="148" operator="equal">
      <formula>""</formula>
    </cfRule>
  </conditionalFormatting>
  <conditionalFormatting sqref="Q188">
    <cfRule type="cellIs" dxfId="357" priority="149" operator="equal">
      <formula>""</formula>
    </cfRule>
  </conditionalFormatting>
  <conditionalFormatting sqref="O136:Q136 S136">
    <cfRule type="cellIs" dxfId="356" priority="147" operator="equal">
      <formula>""</formula>
    </cfRule>
  </conditionalFormatting>
  <conditionalFormatting sqref="O136:Q136 S136">
    <cfRule type="cellIs" dxfId="355" priority="146" operator="equal">
      <formula>""</formula>
    </cfRule>
  </conditionalFormatting>
  <conditionalFormatting sqref="R136">
    <cfRule type="cellIs" dxfId="354" priority="145" operator="equal">
      <formula>""</formula>
    </cfRule>
  </conditionalFormatting>
  <conditionalFormatting sqref="R136">
    <cfRule type="cellIs" dxfId="353" priority="144" operator="equal">
      <formula>""</formula>
    </cfRule>
  </conditionalFormatting>
  <conditionalFormatting sqref="O139:Q139 S139">
    <cfRule type="cellIs" dxfId="352" priority="143" operator="equal">
      <formula>""</formula>
    </cfRule>
  </conditionalFormatting>
  <conditionalFormatting sqref="O139:Q139 S139">
    <cfRule type="cellIs" dxfId="351" priority="142" operator="equal">
      <formula>""</formula>
    </cfRule>
  </conditionalFormatting>
  <conditionalFormatting sqref="R139">
    <cfRule type="cellIs" dxfId="350" priority="141" operator="equal">
      <formula>""</formula>
    </cfRule>
  </conditionalFormatting>
  <conditionalFormatting sqref="R139">
    <cfRule type="cellIs" dxfId="349" priority="140" operator="equal">
      <formula>""</formula>
    </cfRule>
  </conditionalFormatting>
  <conditionalFormatting sqref="O140:Q141 S140:S141">
    <cfRule type="cellIs" dxfId="348" priority="139" operator="equal">
      <formula>""</formula>
    </cfRule>
  </conditionalFormatting>
  <conditionalFormatting sqref="O140:Q141 S140:S141">
    <cfRule type="cellIs" dxfId="347" priority="138" operator="equal">
      <formula>""</formula>
    </cfRule>
  </conditionalFormatting>
  <conditionalFormatting sqref="R140:R141">
    <cfRule type="cellIs" dxfId="346" priority="137" operator="equal">
      <formula>""</formula>
    </cfRule>
  </conditionalFormatting>
  <conditionalFormatting sqref="R140:R141">
    <cfRule type="cellIs" dxfId="345" priority="136" operator="equal">
      <formula>""</formula>
    </cfRule>
  </conditionalFormatting>
  <conditionalFormatting sqref="O201:S225">
    <cfRule type="cellIs" dxfId="344" priority="135" operator="equal">
      <formula>""</formula>
    </cfRule>
  </conditionalFormatting>
  <conditionalFormatting sqref="O269:S293">
    <cfRule type="cellIs" dxfId="343" priority="134" operator="equal">
      <formula>""</formula>
    </cfRule>
  </conditionalFormatting>
  <conditionalFormatting sqref="O269:Q293 S269:S293">
    <cfRule type="cellIs" dxfId="342" priority="133" operator="equal">
      <formula>""</formula>
    </cfRule>
  </conditionalFormatting>
  <conditionalFormatting sqref="R269:R293">
    <cfRule type="cellIs" dxfId="341" priority="132" operator="equal">
      <formula>""</formula>
    </cfRule>
  </conditionalFormatting>
  <conditionalFormatting sqref="R269:R293">
    <cfRule type="cellIs" dxfId="340" priority="131" operator="equal">
      <formula>""</formula>
    </cfRule>
  </conditionalFormatting>
  <conditionalFormatting sqref="O329:Q329">
    <cfRule type="cellIs" dxfId="339" priority="130" operator="equal">
      <formula>""</formula>
    </cfRule>
  </conditionalFormatting>
  <conditionalFormatting sqref="O329:Q329">
    <cfRule type="cellIs" dxfId="338" priority="129" operator="equal">
      <formula>""</formula>
    </cfRule>
  </conditionalFormatting>
  <conditionalFormatting sqref="R329">
    <cfRule type="cellIs" dxfId="337" priority="128" operator="equal">
      <formula>""</formula>
    </cfRule>
  </conditionalFormatting>
  <conditionalFormatting sqref="R329">
    <cfRule type="cellIs" dxfId="336" priority="127" operator="equal">
      <formula>""</formula>
    </cfRule>
  </conditionalFormatting>
  <conditionalFormatting sqref="S329">
    <cfRule type="cellIs" dxfId="335" priority="126" operator="equal">
      <formula>""</formula>
    </cfRule>
  </conditionalFormatting>
  <conditionalFormatting sqref="S329">
    <cfRule type="cellIs" dxfId="334" priority="125" operator="equal">
      <formula>""</formula>
    </cfRule>
  </conditionalFormatting>
  <conditionalFormatting sqref="Q337">
    <cfRule type="cellIs" dxfId="333" priority="121" operator="equal">
      <formula>""</formula>
    </cfRule>
  </conditionalFormatting>
  <conditionalFormatting sqref="O337:P337">
    <cfRule type="cellIs" dxfId="332" priority="124" operator="equal">
      <formula>""</formula>
    </cfRule>
  </conditionalFormatting>
  <conditionalFormatting sqref="O337:P337">
    <cfRule type="cellIs" dxfId="331" priority="123" operator="equal">
      <formula>""</formula>
    </cfRule>
  </conditionalFormatting>
  <conditionalFormatting sqref="R337">
    <cfRule type="cellIs" dxfId="330" priority="120" operator="equal">
      <formula>""</formula>
    </cfRule>
  </conditionalFormatting>
  <conditionalFormatting sqref="Q337">
    <cfRule type="cellIs" dxfId="329" priority="122" operator="equal">
      <formula>""</formula>
    </cfRule>
  </conditionalFormatting>
  <conditionalFormatting sqref="R337">
    <cfRule type="cellIs" dxfId="328" priority="119" operator="equal">
      <formula>""</formula>
    </cfRule>
  </conditionalFormatting>
  <conditionalFormatting sqref="S337">
    <cfRule type="cellIs" dxfId="327" priority="118" operator="equal">
      <formula>""</formula>
    </cfRule>
  </conditionalFormatting>
  <conditionalFormatting sqref="S337">
    <cfRule type="cellIs" dxfId="326" priority="117" operator="equal">
      <formula>""</formula>
    </cfRule>
  </conditionalFormatting>
  <conditionalFormatting sqref="O353:Q353">
    <cfRule type="cellIs" dxfId="325" priority="116" operator="equal">
      <formula>""</formula>
    </cfRule>
  </conditionalFormatting>
  <conditionalFormatting sqref="R353">
    <cfRule type="cellIs" dxfId="324" priority="115" operator="equal">
      <formula>""</formula>
    </cfRule>
  </conditionalFormatting>
  <conditionalFormatting sqref="S353">
    <cfRule type="cellIs" dxfId="323" priority="114" operator="equal">
      <formula>""</formula>
    </cfRule>
  </conditionalFormatting>
  <conditionalFormatting sqref="O231:S255">
    <cfRule type="cellIs" dxfId="322" priority="113" operator="equal">
      <formula>""</formula>
    </cfRule>
  </conditionalFormatting>
  <conditionalFormatting sqref="O231:Q255 S231:S255">
    <cfRule type="cellIs" dxfId="321" priority="112" operator="equal">
      <formula>""</formula>
    </cfRule>
  </conditionalFormatting>
  <conditionalFormatting sqref="R231:R255">
    <cfRule type="cellIs" dxfId="320" priority="111" operator="equal">
      <formula>""</formula>
    </cfRule>
  </conditionalFormatting>
  <conditionalFormatting sqref="R231:R255">
    <cfRule type="cellIs" dxfId="319" priority="110" operator="equal">
      <formula>""</formula>
    </cfRule>
  </conditionalFormatting>
  <conditionalFormatting sqref="O399:Q399 S399">
    <cfRule type="cellIs" dxfId="318" priority="83" operator="equal">
      <formula>""</formula>
    </cfRule>
  </conditionalFormatting>
  <conditionalFormatting sqref="I399">
    <cfRule type="cellIs" dxfId="317" priority="82" operator="equal">
      <formula>"tu"</formula>
    </cfRule>
  </conditionalFormatting>
  <conditionalFormatting sqref="O399:Q399 S399">
    <cfRule type="cellIs" dxfId="316" priority="81" operator="equal">
      <formula>""</formula>
    </cfRule>
  </conditionalFormatting>
  <conditionalFormatting sqref="I399">
    <cfRule type="cellIs" dxfId="315" priority="80" operator="equal">
      <formula>"tu"</formula>
    </cfRule>
  </conditionalFormatting>
  <conditionalFormatting sqref="R399">
    <cfRule type="cellIs" dxfId="314" priority="79" operator="equal">
      <formula>""</formula>
    </cfRule>
  </conditionalFormatting>
  <conditionalFormatting sqref="R399">
    <cfRule type="cellIs" dxfId="313" priority="78" operator="equal">
      <formula>""</formula>
    </cfRule>
  </conditionalFormatting>
  <conditionalFormatting sqref="O400:Q401 S400:S401">
    <cfRule type="cellIs" dxfId="312" priority="77" operator="equal">
      <formula>""</formula>
    </cfRule>
  </conditionalFormatting>
  <conditionalFormatting sqref="I400:I401">
    <cfRule type="cellIs" dxfId="311" priority="76" operator="equal">
      <formula>"tu"</formula>
    </cfRule>
  </conditionalFormatting>
  <conditionalFormatting sqref="O400:Q401 S400:S401">
    <cfRule type="cellIs" dxfId="310" priority="75" operator="equal">
      <formula>""</formula>
    </cfRule>
  </conditionalFormatting>
  <conditionalFormatting sqref="I400:I401">
    <cfRule type="cellIs" dxfId="309" priority="74" operator="equal">
      <formula>"tu"</formula>
    </cfRule>
  </conditionalFormatting>
  <conditionalFormatting sqref="R400:R401">
    <cfRule type="cellIs" dxfId="308" priority="73" operator="equal">
      <formula>""</formula>
    </cfRule>
  </conditionalFormatting>
  <conditionalFormatting sqref="R400:R401">
    <cfRule type="cellIs" dxfId="307" priority="72" operator="equal">
      <formula>""</formula>
    </cfRule>
  </conditionalFormatting>
  <conditionalFormatting sqref="I379">
    <cfRule type="cellIs" dxfId="306" priority="70" operator="equal">
      <formula>"tu"</formula>
    </cfRule>
  </conditionalFormatting>
  <conditionalFormatting sqref="I379">
    <cfRule type="cellIs" dxfId="305" priority="69" operator="equal">
      <formula>"tu"</formula>
    </cfRule>
  </conditionalFormatting>
  <conditionalFormatting sqref="G4:G6">
    <cfRule type="cellIs" dxfId="304" priority="61" stopIfTrue="1" operator="notEqual">
      <formula>0</formula>
    </cfRule>
    <cfRule type="cellIs" dxfId="303" priority="62" stopIfTrue="1" operator="equal">
      <formula>""</formula>
    </cfRule>
  </conditionalFormatting>
  <conditionalFormatting sqref="G4:G6">
    <cfRule type="cellIs" dxfId="302" priority="63" stopIfTrue="1" operator="notEqual">
      <formula>0</formula>
    </cfRule>
    <cfRule type="cellIs" dxfId="301" priority="64" stopIfTrue="1" operator="equal">
      <formula>""</formula>
    </cfRule>
  </conditionalFormatting>
  <conditionalFormatting sqref="O39:Q39 S39">
    <cfRule type="cellIs" dxfId="300" priority="56" operator="equal">
      <formula>""</formula>
    </cfRule>
  </conditionalFormatting>
  <conditionalFormatting sqref="R39">
    <cfRule type="cellIs" dxfId="299" priority="54" operator="equal">
      <formula>""</formula>
    </cfRule>
  </conditionalFormatting>
  <conditionalFormatting sqref="O40:Q40 S40">
    <cfRule type="cellIs" dxfId="298" priority="53" operator="equal">
      <formula>""</formula>
    </cfRule>
  </conditionalFormatting>
  <conditionalFormatting sqref="R40">
    <cfRule type="cellIs" dxfId="297" priority="51" operator="equal">
      <formula>""</formula>
    </cfRule>
  </conditionalFormatting>
  <conditionalFormatting sqref="I39">
    <cfRule type="cellIs" dxfId="296" priority="50" operator="equal">
      <formula>"tu"</formula>
    </cfRule>
  </conditionalFormatting>
  <conditionalFormatting sqref="I40">
    <cfRule type="cellIs" dxfId="295" priority="49" operator="equal">
      <formula>"tu"</formula>
    </cfRule>
  </conditionalFormatting>
  <conditionalFormatting sqref="F7">
    <cfRule type="cellIs" dxfId="294" priority="45" stopIfTrue="1" operator="notEqual">
      <formula>0</formula>
    </cfRule>
    <cfRule type="cellIs" dxfId="293" priority="46" stopIfTrue="1" operator="equal">
      <formula>""</formula>
    </cfRule>
  </conditionalFormatting>
  <conditionalFormatting sqref="F7">
    <cfRule type="cellIs" dxfId="292" priority="47" stopIfTrue="1" operator="notEqual">
      <formula>0</formula>
    </cfRule>
    <cfRule type="cellIs" dxfId="291" priority="48" stopIfTrue="1" operator="equal">
      <formula>""</formula>
    </cfRule>
  </conditionalFormatting>
  <conditionalFormatting sqref="R83">
    <cfRule type="cellIs" dxfId="290" priority="44" operator="equal">
      <formula>""</formula>
    </cfRule>
  </conditionalFormatting>
  <conditionalFormatting sqref="S83">
    <cfRule type="cellIs" dxfId="289" priority="43" operator="equal">
      <formula>""</formula>
    </cfRule>
  </conditionalFormatting>
  <conditionalFormatting sqref="O119:Q119">
    <cfRule type="cellIs" dxfId="288" priority="42" operator="equal">
      <formula>""</formula>
    </cfRule>
  </conditionalFormatting>
  <conditionalFormatting sqref="R119">
    <cfRule type="cellIs" dxfId="287" priority="41" operator="equal">
      <formula>""</formula>
    </cfRule>
  </conditionalFormatting>
  <conditionalFormatting sqref="S119">
    <cfRule type="cellIs" dxfId="286" priority="40" operator="equal">
      <formula>""</formula>
    </cfRule>
  </conditionalFormatting>
  <conditionalFormatting sqref="O126:Q126">
    <cfRule type="cellIs" dxfId="285" priority="39" operator="equal">
      <formula>""</formula>
    </cfRule>
  </conditionalFormatting>
  <conditionalFormatting sqref="R126">
    <cfRule type="cellIs" dxfId="284" priority="38" operator="equal">
      <formula>""</formula>
    </cfRule>
  </conditionalFormatting>
  <conditionalFormatting sqref="S126">
    <cfRule type="cellIs" dxfId="283" priority="37" operator="equal">
      <formula>""</formula>
    </cfRule>
  </conditionalFormatting>
  <conditionalFormatting sqref="R128">
    <cfRule type="cellIs" dxfId="282" priority="36" operator="equal">
      <formula>""</formula>
    </cfRule>
  </conditionalFormatting>
  <conditionalFormatting sqref="S128">
    <cfRule type="cellIs" dxfId="281" priority="35" operator="equal">
      <formula>""</formula>
    </cfRule>
  </conditionalFormatting>
  <conditionalFormatting sqref="R129">
    <cfRule type="cellIs" dxfId="280" priority="34" operator="equal">
      <formula>""</formula>
    </cfRule>
  </conditionalFormatting>
  <conditionalFormatting sqref="S129">
    <cfRule type="cellIs" dxfId="279" priority="33" operator="equal">
      <formula>""</formula>
    </cfRule>
  </conditionalFormatting>
  <conditionalFormatting sqref="R131">
    <cfRule type="cellIs" dxfId="278" priority="32" operator="equal">
      <formula>""</formula>
    </cfRule>
  </conditionalFormatting>
  <conditionalFormatting sqref="S131">
    <cfRule type="cellIs" dxfId="277" priority="31" operator="equal">
      <formula>""</formula>
    </cfRule>
  </conditionalFormatting>
  <conditionalFormatting sqref="R144">
    <cfRule type="cellIs" dxfId="276" priority="28" operator="equal">
      <formula>""</formula>
    </cfRule>
  </conditionalFormatting>
  <conditionalFormatting sqref="S144">
    <cfRule type="cellIs" dxfId="275" priority="27" operator="equal">
      <formula>""</formula>
    </cfRule>
  </conditionalFormatting>
  <conditionalFormatting sqref="R146">
    <cfRule type="cellIs" dxfId="274" priority="26" operator="equal">
      <formula>""</formula>
    </cfRule>
  </conditionalFormatting>
  <conditionalFormatting sqref="S146">
    <cfRule type="cellIs" dxfId="273" priority="25" operator="equal">
      <formula>""</formula>
    </cfRule>
  </conditionalFormatting>
  <conditionalFormatting sqref="R147">
    <cfRule type="cellIs" dxfId="272" priority="24" operator="equal">
      <formula>""</formula>
    </cfRule>
  </conditionalFormatting>
  <conditionalFormatting sqref="S147">
    <cfRule type="cellIs" dxfId="271" priority="23" operator="equal">
      <formula>""</formula>
    </cfRule>
  </conditionalFormatting>
  <conditionalFormatting sqref="O350:Q350">
    <cfRule type="cellIs" dxfId="270" priority="22" operator="equal">
      <formula>""</formula>
    </cfRule>
  </conditionalFormatting>
  <conditionalFormatting sqref="R350">
    <cfRule type="cellIs" dxfId="269" priority="21" operator="equal">
      <formula>""</formula>
    </cfRule>
  </conditionalFormatting>
  <conditionalFormatting sqref="S350">
    <cfRule type="cellIs" dxfId="268" priority="20" operator="equal">
      <formula>""</formula>
    </cfRule>
  </conditionalFormatting>
  <conditionalFormatting sqref="O351:Q351">
    <cfRule type="cellIs" dxfId="267" priority="19" operator="equal">
      <formula>""</formula>
    </cfRule>
  </conditionalFormatting>
  <conditionalFormatting sqref="R351">
    <cfRule type="cellIs" dxfId="266" priority="18" operator="equal">
      <formula>""</formula>
    </cfRule>
  </conditionalFormatting>
  <conditionalFormatting sqref="S351">
    <cfRule type="cellIs" dxfId="265" priority="17" operator="equal">
      <formula>""</formula>
    </cfRule>
  </conditionalFormatting>
  <conditionalFormatting sqref="O114:S114">
    <cfRule type="cellIs" dxfId="264" priority="13" operator="equal">
      <formula>""</formula>
    </cfRule>
  </conditionalFormatting>
  <conditionalFormatting sqref="O114:S114">
    <cfRule type="cellIs" dxfId="263" priority="16" operator="equal">
      <formula>""</formula>
    </cfRule>
  </conditionalFormatting>
  <conditionalFormatting sqref="O114:S114">
    <cfRule type="cellIs" dxfId="262" priority="15" operator="equal">
      <formula>""</formula>
    </cfRule>
  </conditionalFormatting>
  <conditionalFormatting sqref="O114:S114">
    <cfRule type="cellIs" dxfId="261" priority="14" operator="equal">
      <formula>""</formula>
    </cfRule>
  </conditionalFormatting>
  <conditionalFormatting sqref="R114">
    <cfRule type="cellIs" dxfId="260" priority="9" operator="equal">
      <formula>""</formula>
    </cfRule>
  </conditionalFormatting>
  <conditionalFormatting sqref="R114">
    <cfRule type="cellIs" dxfId="259" priority="12" operator="equal">
      <formula>""</formula>
    </cfRule>
  </conditionalFormatting>
  <conditionalFormatting sqref="R114">
    <cfRule type="cellIs" dxfId="258" priority="11" operator="equal">
      <formula>""</formula>
    </cfRule>
  </conditionalFormatting>
  <conditionalFormatting sqref="R114">
    <cfRule type="cellIs" dxfId="257" priority="10" operator="equal">
      <formula>""</formula>
    </cfRule>
  </conditionalFormatting>
  <conditionalFormatting sqref="O379:S379">
    <cfRule type="cellIs" dxfId="256" priority="5" operator="equal">
      <formula>""</formula>
    </cfRule>
  </conditionalFormatting>
  <conditionalFormatting sqref="O379:S379">
    <cfRule type="cellIs" dxfId="255" priority="8" operator="equal">
      <formula>""</formula>
    </cfRule>
  </conditionalFormatting>
  <conditionalFormatting sqref="O379:S379">
    <cfRule type="cellIs" dxfId="254" priority="7" operator="equal">
      <formula>""</formula>
    </cfRule>
  </conditionalFormatting>
  <conditionalFormatting sqref="O379:S379">
    <cfRule type="cellIs" dxfId="253" priority="6" operator="equal">
      <formula>""</formula>
    </cfRule>
  </conditionalFormatting>
  <conditionalFormatting sqref="R379">
    <cfRule type="cellIs" dxfId="252" priority="1" operator="equal">
      <formula>""</formula>
    </cfRule>
  </conditionalFormatting>
  <conditionalFormatting sqref="R379">
    <cfRule type="cellIs" dxfId="251" priority="4" operator="equal">
      <formula>""</formula>
    </cfRule>
  </conditionalFormatting>
  <conditionalFormatting sqref="R379">
    <cfRule type="cellIs" dxfId="250" priority="3" operator="equal">
      <formula>""</formula>
    </cfRule>
  </conditionalFormatting>
  <conditionalFormatting sqref="R379">
    <cfRule type="cellIs" dxfId="249" priority="2" operator="equal">
      <formula>""</formula>
    </cfRule>
  </conditionalFormatting>
  <dataValidations count="1">
    <dataValidation allowBlank="1" showInputMessage="1" showErrorMessage="1" sqref="F153:G153 E31:H31 E263:H263 E196:H198 E303:H306 E300:H300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1983-45F0-47C7-84A3-8FA5FC2D8690}">
  <sheetPr codeName="Sheet19">
    <tabColor rgb="FFFFFF99"/>
    <outlinePr summaryBelow="0" summaryRight="0"/>
  </sheetPr>
  <dimension ref="A1:GJ21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L13" sqref="L13"/>
    </sheetView>
  </sheetViews>
  <sheetFormatPr defaultColWidth="0" defaultRowHeight="12.75" zeroHeight="1" outlineLevelRow="1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InpS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/>
    <row r="7" spans="1:100" x14ac:dyDescent="0.2">
      <c r="A7" s="15" t="s">
        <v>214</v>
      </c>
    </row>
    <row r="8" spans="1:100" outlineLevel="1" x14ac:dyDescent="0.2"/>
    <row r="9" spans="1:100" outlineLevel="1" x14ac:dyDescent="0.2">
      <c r="E9" s="145" t="str">
        <f xml:space="preserve"> InpC!E$198</f>
        <v>Debt forward curve selection</v>
      </c>
      <c r="F9" s="145">
        <f xml:space="preserve"> InpC!F$198</f>
        <v>1</v>
      </c>
      <c r="G9" s="145" t="str">
        <f xml:space="preserve"> InpC!G$198</f>
        <v>profile</v>
      </c>
      <c r="H9" s="38"/>
    </row>
    <row r="10" spans="1:100" outlineLevel="1" x14ac:dyDescent="0.2">
      <c r="A10" s="311"/>
      <c r="B10" s="311"/>
      <c r="C10" s="312"/>
      <c r="D10" s="313"/>
      <c r="E10" s="314" t="s">
        <v>1274</v>
      </c>
      <c r="F10" s="314"/>
      <c r="G10" s="314" t="s">
        <v>116</v>
      </c>
      <c r="H10" s="314"/>
      <c r="I10" s="315"/>
      <c r="J10" s="466">
        <v>2.0062E-2</v>
      </c>
      <c r="K10" s="466">
        <v>2.0124E-2</v>
      </c>
      <c r="L10" s="466">
        <v>2.0184000000000001E-2</v>
      </c>
      <c r="M10" s="466">
        <v>2.0241000000000002E-2</v>
      </c>
      <c r="N10" s="466">
        <v>2.0308000000000003E-2</v>
      </c>
      <c r="O10" s="466">
        <v>2.0375000000000004E-2</v>
      </c>
      <c r="P10" s="466">
        <v>2.0434000000000004E-2</v>
      </c>
      <c r="Q10" s="466">
        <v>2.0506000000000003E-2</v>
      </c>
      <c r="R10" s="466">
        <v>2.0569000000000004E-2</v>
      </c>
      <c r="S10" s="466">
        <v>2.0620000000000003E-2</v>
      </c>
      <c r="T10" s="466">
        <v>2.0666000000000004E-2</v>
      </c>
      <c r="U10" s="466">
        <v>2.0719000000000005E-2</v>
      </c>
      <c r="V10" s="466">
        <v>2.0757000000000005E-2</v>
      </c>
      <c r="W10" s="466">
        <v>2.0795000000000004E-2</v>
      </c>
      <c r="X10" s="466">
        <v>2.0850000000000004E-2</v>
      </c>
      <c r="Y10" s="466">
        <v>2.0888000000000004E-2</v>
      </c>
      <c r="Z10" s="466">
        <v>2.0954000000000004E-2</v>
      </c>
      <c r="AA10" s="466">
        <v>2.1024000000000004E-2</v>
      </c>
      <c r="AB10" s="466">
        <v>2.1091000000000006E-2</v>
      </c>
      <c r="AC10" s="466">
        <v>2.1134000000000007E-2</v>
      </c>
      <c r="AD10" s="466">
        <v>2.1205000000000009E-2</v>
      </c>
      <c r="AE10" s="466">
        <v>2.127900000000001E-2</v>
      </c>
      <c r="AF10" s="466">
        <v>2.1316000000000009E-2</v>
      </c>
      <c r="AG10" s="466">
        <v>2.1367000000000008E-2</v>
      </c>
      <c r="AH10" s="466">
        <v>2.1421000000000006E-2</v>
      </c>
      <c r="AI10" s="466">
        <v>2.1470000000000006E-2</v>
      </c>
      <c r="AJ10" s="466">
        <v>2.1516000000000007E-2</v>
      </c>
      <c r="AK10" s="466">
        <v>2.1570000000000006E-2</v>
      </c>
      <c r="AL10" s="466">
        <v>2.1639000000000005E-2</v>
      </c>
      <c r="AM10" s="466">
        <v>2.1709000000000006E-2</v>
      </c>
      <c r="AN10" s="466">
        <v>2.1772000000000007E-2</v>
      </c>
      <c r="AO10" s="466">
        <v>2.1813000000000006E-2</v>
      </c>
      <c r="AP10" s="466">
        <v>2.1858000000000006E-2</v>
      </c>
      <c r="AQ10" s="466">
        <v>2.1913000000000005E-2</v>
      </c>
      <c r="AR10" s="466">
        <v>2.1986000000000006E-2</v>
      </c>
      <c r="AS10" s="466">
        <v>2.2041000000000005E-2</v>
      </c>
      <c r="AT10" s="466">
        <v>2.2089000000000004E-2</v>
      </c>
      <c r="AU10" s="466">
        <v>2.2148000000000004E-2</v>
      </c>
      <c r="AV10" s="466">
        <v>2.2216000000000003E-2</v>
      </c>
      <c r="AW10" s="466">
        <v>2.2282000000000003E-2</v>
      </c>
      <c r="AX10" s="466">
        <v>2.2351000000000003E-2</v>
      </c>
      <c r="AY10" s="466">
        <v>2.2409000000000002E-2</v>
      </c>
      <c r="AZ10" s="466">
        <v>2.2445000000000003E-2</v>
      </c>
      <c r="BA10" s="466">
        <v>2.2489000000000002E-2</v>
      </c>
      <c r="BB10" s="466">
        <v>2.2535000000000003E-2</v>
      </c>
      <c r="BC10" s="466">
        <v>2.2607000000000002E-2</v>
      </c>
      <c r="BD10" s="466">
        <v>2.2647E-2</v>
      </c>
      <c r="BE10" s="466">
        <v>2.2683999999999999E-2</v>
      </c>
      <c r="BF10" s="466">
        <v>2.2734000000000001E-2</v>
      </c>
      <c r="BG10" s="466">
        <v>2.2806E-2</v>
      </c>
      <c r="BH10" s="466">
        <v>2.2852000000000001E-2</v>
      </c>
      <c r="BI10" s="466">
        <v>2.2898999999999999E-2</v>
      </c>
      <c r="BJ10" s="466">
        <v>2.2952999999999998E-2</v>
      </c>
      <c r="BK10" s="466">
        <v>2.3027999999999996E-2</v>
      </c>
      <c r="BL10" s="466">
        <v>2.3093999999999996E-2</v>
      </c>
      <c r="BM10" s="466">
        <v>2.3145999999999996E-2</v>
      </c>
      <c r="BN10" s="466">
        <v>2.3211999999999997E-2</v>
      </c>
      <c r="BO10" s="466">
        <v>2.3253999999999997E-2</v>
      </c>
      <c r="BP10" s="466">
        <v>2.3288999999999997E-2</v>
      </c>
      <c r="BQ10" s="466">
        <v>2.3333999999999997E-2</v>
      </c>
      <c r="BR10" s="466">
        <v>2.3372999999999998E-2</v>
      </c>
      <c r="BS10" s="466">
        <v>2.3413999999999997E-2</v>
      </c>
      <c r="BT10" s="466">
        <v>2.3472999999999997E-2</v>
      </c>
      <c r="BU10" s="466">
        <v>2.3519999999999996E-2</v>
      </c>
      <c r="BV10" s="466">
        <v>2.3592999999999996E-2</v>
      </c>
      <c r="BW10" s="466">
        <v>2.3660999999999995E-2</v>
      </c>
      <c r="BX10" s="466">
        <v>2.3728999999999993E-2</v>
      </c>
      <c r="BY10" s="466">
        <v>2.3785999999999995E-2</v>
      </c>
      <c r="BZ10" s="466">
        <v>2.3841999999999995E-2</v>
      </c>
      <c r="CA10" s="466">
        <v>2.3907999999999995E-2</v>
      </c>
      <c r="CB10" s="466">
        <v>2.3961999999999994E-2</v>
      </c>
      <c r="CC10" s="466">
        <v>2.4011999999999995E-2</v>
      </c>
      <c r="CD10" s="466">
        <v>2.4070999999999995E-2</v>
      </c>
      <c r="CE10" s="466">
        <v>2.4119999999999996E-2</v>
      </c>
      <c r="CF10" s="466">
        <v>2.4166999999999994E-2</v>
      </c>
      <c r="CG10" s="466">
        <v>2.4215999999999994E-2</v>
      </c>
      <c r="CH10" s="466">
        <v>2.4263999999999994E-2</v>
      </c>
      <c r="CI10" s="466">
        <v>2.4301999999999994E-2</v>
      </c>
      <c r="CJ10" s="466">
        <v>2.4365999999999995E-2</v>
      </c>
      <c r="CK10" s="466">
        <v>2.4408999999999997E-2</v>
      </c>
      <c r="CL10" s="466">
        <v>2.4462999999999995E-2</v>
      </c>
      <c r="CM10" s="466">
        <v>2.4530999999999994E-2</v>
      </c>
      <c r="CN10" s="466">
        <v>2.4586999999999994E-2</v>
      </c>
      <c r="CO10" s="466">
        <v>2.4622999999999996E-2</v>
      </c>
      <c r="CP10" s="466">
        <v>2.4688999999999996E-2</v>
      </c>
      <c r="CQ10" s="466">
        <v>2.4738999999999997E-2</v>
      </c>
      <c r="CR10" s="466">
        <v>2.4789999999999996E-2</v>
      </c>
      <c r="CS10" s="466">
        <v>2.4834999999999996E-2</v>
      </c>
      <c r="CT10" s="466">
        <v>2.4872999999999996E-2</v>
      </c>
      <c r="CU10" s="466">
        <v>2.4930999999999995E-2</v>
      </c>
      <c r="CV10" s="466">
        <v>2.4983999999999996E-2</v>
      </c>
    </row>
    <row r="11" spans="1:100" outlineLevel="1" x14ac:dyDescent="0.2">
      <c r="A11" s="311"/>
      <c r="B11" s="311"/>
      <c r="C11" s="312"/>
      <c r="D11" s="313"/>
      <c r="E11" s="314" t="s">
        <v>841</v>
      </c>
      <c r="F11" s="314"/>
      <c r="G11" s="314" t="s">
        <v>116</v>
      </c>
      <c r="H11" s="314"/>
      <c r="I11" s="315"/>
      <c r="J11" s="466"/>
      <c r="K11" s="466"/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</row>
    <row r="12" spans="1:100" outlineLevel="1" x14ac:dyDescent="0.2">
      <c r="A12" s="311"/>
      <c r="B12" s="311"/>
      <c r="C12" s="312"/>
      <c r="D12" s="313"/>
      <c r="E12" s="315" t="s">
        <v>842</v>
      </c>
      <c r="F12" s="314"/>
      <c r="G12" s="314" t="s">
        <v>116</v>
      </c>
      <c r="H12" s="314"/>
      <c r="I12" s="315"/>
      <c r="J12" s="466"/>
      <c r="K12" s="466"/>
      <c r="L12" s="466"/>
      <c r="M12" s="466"/>
      <c r="N12" s="466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B12" s="466"/>
      <c r="AC12" s="466"/>
      <c r="AD12" s="466"/>
      <c r="AE12" s="466"/>
      <c r="AF12" s="466"/>
      <c r="AG12" s="466"/>
      <c r="AH12" s="466"/>
      <c r="AI12" s="466"/>
      <c r="AJ12" s="466"/>
      <c r="AK12" s="466"/>
      <c r="AL12" s="466"/>
      <c r="AM12" s="466"/>
      <c r="AN12" s="466"/>
      <c r="AO12" s="466"/>
      <c r="AP12" s="466"/>
      <c r="AQ12" s="466"/>
      <c r="AR12" s="466"/>
      <c r="AS12" s="466"/>
      <c r="AT12" s="466"/>
      <c r="AU12" s="466"/>
      <c r="AV12" s="466"/>
      <c r="AW12" s="466"/>
      <c r="AX12" s="466"/>
      <c r="AY12" s="466"/>
      <c r="AZ12" s="466"/>
      <c r="BA12" s="466"/>
      <c r="BB12" s="466"/>
      <c r="BC12" s="466"/>
      <c r="BD12" s="466"/>
      <c r="BE12" s="466"/>
      <c r="BF12" s="466"/>
      <c r="BG12" s="466"/>
      <c r="BH12" s="466"/>
      <c r="BI12" s="466"/>
      <c r="BJ12" s="466"/>
      <c r="BK12" s="466"/>
      <c r="BL12" s="466"/>
      <c r="BM12" s="466"/>
      <c r="BN12" s="466"/>
      <c r="BO12" s="466"/>
      <c r="BP12" s="466"/>
      <c r="BQ12" s="466"/>
      <c r="BR12" s="466"/>
      <c r="BS12" s="466"/>
      <c r="BT12" s="466"/>
      <c r="BU12" s="466"/>
      <c r="BV12" s="466"/>
      <c r="BW12" s="466"/>
      <c r="BX12" s="466"/>
      <c r="BY12" s="466"/>
      <c r="BZ12" s="466"/>
      <c r="CA12" s="466"/>
      <c r="CB12" s="466"/>
      <c r="CC12" s="466"/>
      <c r="CD12" s="466"/>
      <c r="CE12" s="466"/>
      <c r="CF12" s="466"/>
      <c r="CG12" s="466"/>
      <c r="CH12" s="466"/>
      <c r="CI12" s="466"/>
      <c r="CJ12" s="466"/>
      <c r="CK12" s="466"/>
      <c r="CL12" s="466"/>
      <c r="CM12" s="466"/>
      <c r="CN12" s="466"/>
      <c r="CO12" s="466"/>
      <c r="CP12" s="466"/>
      <c r="CQ12" s="466"/>
      <c r="CR12" s="466"/>
      <c r="CS12" s="466"/>
      <c r="CT12" s="466"/>
      <c r="CU12" s="466"/>
      <c r="CV12" s="466"/>
    </row>
    <row r="13" spans="1:100" s="191" customFormat="1" outlineLevel="1" x14ac:dyDescent="0.2">
      <c r="A13" s="236"/>
      <c r="B13" s="236"/>
      <c r="C13" s="237"/>
      <c r="D13" s="238"/>
      <c r="E13" s="234" t="s">
        <v>564</v>
      </c>
      <c r="F13" s="234"/>
      <c r="G13" s="234" t="s">
        <v>116</v>
      </c>
      <c r="H13" s="234"/>
      <c r="I13" s="235"/>
      <c r="J13" s="926">
        <f t="shared" ref="J13:AO13" si="0" xml:space="preserve"> INDEX(J10:J12, $F9)</f>
        <v>2.0062E-2</v>
      </c>
      <c r="K13" s="926">
        <f t="shared" si="0"/>
        <v>2.0124E-2</v>
      </c>
      <c r="L13" s="926">
        <f t="shared" si="0"/>
        <v>2.0184000000000001E-2</v>
      </c>
      <c r="M13" s="926">
        <f t="shared" si="0"/>
        <v>2.0241000000000002E-2</v>
      </c>
      <c r="N13" s="926">
        <f t="shared" si="0"/>
        <v>2.0308000000000003E-2</v>
      </c>
      <c r="O13" s="926">
        <f t="shared" si="0"/>
        <v>2.0375000000000004E-2</v>
      </c>
      <c r="P13" s="926">
        <f t="shared" si="0"/>
        <v>2.0434000000000004E-2</v>
      </c>
      <c r="Q13" s="926">
        <f t="shared" si="0"/>
        <v>2.0506000000000003E-2</v>
      </c>
      <c r="R13" s="926">
        <f t="shared" si="0"/>
        <v>2.0569000000000004E-2</v>
      </c>
      <c r="S13" s="926">
        <f t="shared" si="0"/>
        <v>2.0620000000000003E-2</v>
      </c>
      <c r="T13" s="926">
        <f t="shared" si="0"/>
        <v>2.0666000000000004E-2</v>
      </c>
      <c r="U13" s="926">
        <f t="shared" si="0"/>
        <v>2.0719000000000005E-2</v>
      </c>
      <c r="V13" s="926">
        <f t="shared" si="0"/>
        <v>2.0757000000000005E-2</v>
      </c>
      <c r="W13" s="926">
        <f t="shared" si="0"/>
        <v>2.0795000000000004E-2</v>
      </c>
      <c r="X13" s="926">
        <f t="shared" si="0"/>
        <v>2.0850000000000004E-2</v>
      </c>
      <c r="Y13" s="926">
        <f t="shared" si="0"/>
        <v>2.0888000000000004E-2</v>
      </c>
      <c r="Z13" s="926">
        <f t="shared" si="0"/>
        <v>2.0954000000000004E-2</v>
      </c>
      <c r="AA13" s="926">
        <f t="shared" si="0"/>
        <v>2.1024000000000004E-2</v>
      </c>
      <c r="AB13" s="926">
        <f t="shared" si="0"/>
        <v>2.1091000000000006E-2</v>
      </c>
      <c r="AC13" s="926">
        <f t="shared" si="0"/>
        <v>2.1134000000000007E-2</v>
      </c>
      <c r="AD13" s="926">
        <f t="shared" si="0"/>
        <v>2.1205000000000009E-2</v>
      </c>
      <c r="AE13" s="926">
        <f t="shared" si="0"/>
        <v>2.127900000000001E-2</v>
      </c>
      <c r="AF13" s="926">
        <f t="shared" si="0"/>
        <v>2.1316000000000009E-2</v>
      </c>
      <c r="AG13" s="926">
        <f t="shared" si="0"/>
        <v>2.1367000000000008E-2</v>
      </c>
      <c r="AH13" s="926">
        <f t="shared" si="0"/>
        <v>2.1421000000000006E-2</v>
      </c>
      <c r="AI13" s="926">
        <f t="shared" si="0"/>
        <v>2.1470000000000006E-2</v>
      </c>
      <c r="AJ13" s="926">
        <f t="shared" si="0"/>
        <v>2.1516000000000007E-2</v>
      </c>
      <c r="AK13" s="926">
        <f t="shared" si="0"/>
        <v>2.1570000000000006E-2</v>
      </c>
      <c r="AL13" s="926">
        <f t="shared" si="0"/>
        <v>2.1639000000000005E-2</v>
      </c>
      <c r="AM13" s="926">
        <f t="shared" si="0"/>
        <v>2.1709000000000006E-2</v>
      </c>
      <c r="AN13" s="926">
        <f t="shared" si="0"/>
        <v>2.1772000000000007E-2</v>
      </c>
      <c r="AO13" s="926">
        <f t="shared" si="0"/>
        <v>2.1813000000000006E-2</v>
      </c>
      <c r="AP13" s="926">
        <f t="shared" ref="AP13:BU13" si="1" xml:space="preserve"> INDEX(AP10:AP12, $F9)</f>
        <v>2.1858000000000006E-2</v>
      </c>
      <c r="AQ13" s="926">
        <f t="shared" si="1"/>
        <v>2.1913000000000005E-2</v>
      </c>
      <c r="AR13" s="926">
        <f t="shared" si="1"/>
        <v>2.1986000000000006E-2</v>
      </c>
      <c r="AS13" s="926">
        <f t="shared" si="1"/>
        <v>2.2041000000000005E-2</v>
      </c>
      <c r="AT13" s="926">
        <f t="shared" si="1"/>
        <v>2.2089000000000004E-2</v>
      </c>
      <c r="AU13" s="926">
        <f t="shared" si="1"/>
        <v>2.2148000000000004E-2</v>
      </c>
      <c r="AV13" s="926">
        <f t="shared" si="1"/>
        <v>2.2216000000000003E-2</v>
      </c>
      <c r="AW13" s="926">
        <f t="shared" si="1"/>
        <v>2.2282000000000003E-2</v>
      </c>
      <c r="AX13" s="926">
        <f t="shared" si="1"/>
        <v>2.2351000000000003E-2</v>
      </c>
      <c r="AY13" s="926">
        <f t="shared" si="1"/>
        <v>2.2409000000000002E-2</v>
      </c>
      <c r="AZ13" s="926">
        <f t="shared" si="1"/>
        <v>2.2445000000000003E-2</v>
      </c>
      <c r="BA13" s="926">
        <f t="shared" si="1"/>
        <v>2.2489000000000002E-2</v>
      </c>
      <c r="BB13" s="926">
        <f t="shared" si="1"/>
        <v>2.2535000000000003E-2</v>
      </c>
      <c r="BC13" s="926">
        <f t="shared" si="1"/>
        <v>2.2607000000000002E-2</v>
      </c>
      <c r="BD13" s="926">
        <f t="shared" si="1"/>
        <v>2.2647E-2</v>
      </c>
      <c r="BE13" s="926">
        <f t="shared" si="1"/>
        <v>2.2683999999999999E-2</v>
      </c>
      <c r="BF13" s="926">
        <f t="shared" si="1"/>
        <v>2.2734000000000001E-2</v>
      </c>
      <c r="BG13" s="926">
        <f t="shared" si="1"/>
        <v>2.2806E-2</v>
      </c>
      <c r="BH13" s="926">
        <f t="shared" si="1"/>
        <v>2.2852000000000001E-2</v>
      </c>
      <c r="BI13" s="926">
        <f t="shared" si="1"/>
        <v>2.2898999999999999E-2</v>
      </c>
      <c r="BJ13" s="926">
        <f t="shared" si="1"/>
        <v>2.2952999999999998E-2</v>
      </c>
      <c r="BK13" s="926">
        <f t="shared" si="1"/>
        <v>2.3027999999999996E-2</v>
      </c>
      <c r="BL13" s="926">
        <f t="shared" si="1"/>
        <v>2.3093999999999996E-2</v>
      </c>
      <c r="BM13" s="926">
        <f t="shared" si="1"/>
        <v>2.3145999999999996E-2</v>
      </c>
      <c r="BN13" s="926">
        <f t="shared" si="1"/>
        <v>2.3211999999999997E-2</v>
      </c>
      <c r="BO13" s="926">
        <f t="shared" si="1"/>
        <v>2.3253999999999997E-2</v>
      </c>
      <c r="BP13" s="926">
        <f t="shared" si="1"/>
        <v>2.3288999999999997E-2</v>
      </c>
      <c r="BQ13" s="926">
        <f t="shared" si="1"/>
        <v>2.3333999999999997E-2</v>
      </c>
      <c r="BR13" s="926">
        <f t="shared" si="1"/>
        <v>2.3372999999999998E-2</v>
      </c>
      <c r="BS13" s="926">
        <f t="shared" si="1"/>
        <v>2.3413999999999997E-2</v>
      </c>
      <c r="BT13" s="926">
        <f t="shared" si="1"/>
        <v>2.3472999999999997E-2</v>
      </c>
      <c r="BU13" s="926">
        <f t="shared" si="1"/>
        <v>2.3519999999999996E-2</v>
      </c>
      <c r="BV13" s="926">
        <f t="shared" ref="BV13:CV13" si="2" xml:space="preserve"> INDEX(BV10:BV12, $F9)</f>
        <v>2.3592999999999996E-2</v>
      </c>
      <c r="BW13" s="926">
        <f t="shared" si="2"/>
        <v>2.3660999999999995E-2</v>
      </c>
      <c r="BX13" s="926">
        <f t="shared" si="2"/>
        <v>2.3728999999999993E-2</v>
      </c>
      <c r="BY13" s="926">
        <f t="shared" si="2"/>
        <v>2.3785999999999995E-2</v>
      </c>
      <c r="BZ13" s="926">
        <f t="shared" si="2"/>
        <v>2.3841999999999995E-2</v>
      </c>
      <c r="CA13" s="926">
        <f t="shared" si="2"/>
        <v>2.3907999999999995E-2</v>
      </c>
      <c r="CB13" s="926">
        <f t="shared" si="2"/>
        <v>2.3961999999999994E-2</v>
      </c>
      <c r="CC13" s="926">
        <f t="shared" si="2"/>
        <v>2.4011999999999995E-2</v>
      </c>
      <c r="CD13" s="926">
        <f t="shared" si="2"/>
        <v>2.4070999999999995E-2</v>
      </c>
      <c r="CE13" s="926">
        <f t="shared" si="2"/>
        <v>2.4119999999999996E-2</v>
      </c>
      <c r="CF13" s="926">
        <f t="shared" si="2"/>
        <v>2.4166999999999994E-2</v>
      </c>
      <c r="CG13" s="926">
        <f t="shared" si="2"/>
        <v>2.4215999999999994E-2</v>
      </c>
      <c r="CH13" s="926">
        <f t="shared" si="2"/>
        <v>2.4263999999999994E-2</v>
      </c>
      <c r="CI13" s="926">
        <f t="shared" si="2"/>
        <v>2.4301999999999994E-2</v>
      </c>
      <c r="CJ13" s="926">
        <f t="shared" si="2"/>
        <v>2.4365999999999995E-2</v>
      </c>
      <c r="CK13" s="926">
        <f t="shared" si="2"/>
        <v>2.4408999999999997E-2</v>
      </c>
      <c r="CL13" s="926">
        <f t="shared" si="2"/>
        <v>2.4462999999999995E-2</v>
      </c>
      <c r="CM13" s="926">
        <f t="shared" si="2"/>
        <v>2.4530999999999994E-2</v>
      </c>
      <c r="CN13" s="926">
        <f t="shared" si="2"/>
        <v>2.4586999999999994E-2</v>
      </c>
      <c r="CO13" s="926">
        <f t="shared" si="2"/>
        <v>2.4622999999999996E-2</v>
      </c>
      <c r="CP13" s="926">
        <f t="shared" si="2"/>
        <v>2.4688999999999996E-2</v>
      </c>
      <c r="CQ13" s="926">
        <f t="shared" si="2"/>
        <v>2.4738999999999997E-2</v>
      </c>
      <c r="CR13" s="926">
        <f t="shared" si="2"/>
        <v>2.4789999999999996E-2</v>
      </c>
      <c r="CS13" s="926">
        <f t="shared" si="2"/>
        <v>2.4834999999999996E-2</v>
      </c>
      <c r="CT13" s="926">
        <f t="shared" si="2"/>
        <v>2.4872999999999996E-2</v>
      </c>
      <c r="CU13" s="926">
        <f t="shared" si="2"/>
        <v>2.4930999999999995E-2</v>
      </c>
      <c r="CV13" s="926">
        <f t="shared" si="2"/>
        <v>2.4983999999999996E-2</v>
      </c>
    </row>
    <row r="14" spans="1:100" outlineLevel="1" x14ac:dyDescent="0.2"/>
    <row r="15" spans="1:100" x14ac:dyDescent="0.2"/>
    <row r="16" spans="1:100" x14ac:dyDescent="0.2">
      <c r="A16" s="79" t="s">
        <v>616</v>
      </c>
      <c r="B16" s="859"/>
      <c r="C16" s="30"/>
      <c r="D16" s="60"/>
      <c r="E16" s="32"/>
      <c r="F16" s="32"/>
      <c r="G16" s="32"/>
      <c r="H16" s="32"/>
      <c r="I16" s="32"/>
      <c r="J16" s="32"/>
      <c r="K16" s="32"/>
      <c r="L16" s="525"/>
      <c r="M16" s="525"/>
      <c r="N16" s="525"/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</row>
    <row r="17" spans="1:100" outlineLevel="1" x14ac:dyDescent="0.2">
      <c r="A17" s="522"/>
      <c r="B17" s="522"/>
      <c r="C17" s="523"/>
      <c r="D17" s="524"/>
      <c r="E17" s="525"/>
      <c r="F17" s="525"/>
      <c r="G17" s="525"/>
      <c r="H17" s="525"/>
      <c r="I17" s="526"/>
      <c r="J17" s="525"/>
      <c r="K17" s="525"/>
      <c r="L17" s="525"/>
      <c r="M17" s="525"/>
      <c r="N17" s="525"/>
      <c r="O17" s="525"/>
      <c r="P17" s="525"/>
      <c r="Q17" s="525"/>
      <c r="R17" s="525"/>
      <c r="S17" s="525"/>
      <c r="T17" s="525"/>
      <c r="U17" s="525"/>
      <c r="V17" s="525"/>
      <c r="W17" s="525"/>
      <c r="X17" s="525"/>
      <c r="Y17" s="525"/>
      <c r="Z17" s="525"/>
      <c r="AA17" s="525"/>
      <c r="AB17" s="525"/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</row>
    <row r="18" spans="1:100" outlineLevel="1" x14ac:dyDescent="0.2">
      <c r="A18" s="79"/>
      <c r="B18" s="33"/>
      <c r="C18" s="30"/>
      <c r="D18" s="60"/>
      <c r="E18" s="282" t="s">
        <v>617</v>
      </c>
      <c r="F18" s="282"/>
      <c r="G18" s="282" t="s">
        <v>103</v>
      </c>
      <c r="H18" s="282"/>
      <c r="I18" s="282"/>
      <c r="J18" s="750">
        <v>0</v>
      </c>
      <c r="K18" s="750">
        <v>0</v>
      </c>
      <c r="L18" s="750">
        <v>0</v>
      </c>
      <c r="M18" s="750">
        <v>0</v>
      </c>
      <c r="N18" s="750">
        <v>0</v>
      </c>
      <c r="O18" s="750">
        <v>0</v>
      </c>
      <c r="P18" s="750">
        <v>0</v>
      </c>
      <c r="Q18" s="750">
        <v>0</v>
      </c>
      <c r="R18" s="750">
        <v>0</v>
      </c>
      <c r="S18" s="750">
        <v>0</v>
      </c>
      <c r="T18" s="750">
        <v>0</v>
      </c>
      <c r="U18" s="750">
        <v>0</v>
      </c>
      <c r="V18" s="750">
        <v>0</v>
      </c>
      <c r="W18" s="750">
        <v>0</v>
      </c>
      <c r="X18" s="750">
        <v>0</v>
      </c>
      <c r="Y18" s="750">
        <v>0</v>
      </c>
      <c r="Z18" s="750">
        <v>0</v>
      </c>
      <c r="AA18" s="750">
        <v>0</v>
      </c>
      <c r="AB18" s="750">
        <v>0</v>
      </c>
      <c r="AC18" s="750">
        <v>0</v>
      </c>
      <c r="AD18" s="750">
        <v>0</v>
      </c>
      <c r="AE18" s="750">
        <v>0</v>
      </c>
      <c r="AF18" s="750">
        <v>0</v>
      </c>
      <c r="AG18" s="750">
        <v>0</v>
      </c>
      <c r="AH18" s="750">
        <v>0</v>
      </c>
      <c r="AI18" s="750">
        <v>0</v>
      </c>
      <c r="AJ18" s="750">
        <v>0</v>
      </c>
      <c r="AK18" s="750">
        <v>0</v>
      </c>
      <c r="AL18" s="750">
        <v>0</v>
      </c>
      <c r="AM18" s="750">
        <v>0</v>
      </c>
      <c r="AN18" s="750">
        <v>0</v>
      </c>
      <c r="AO18" s="750">
        <v>0</v>
      </c>
      <c r="AP18" s="750">
        <v>0</v>
      </c>
      <c r="AQ18" s="750">
        <v>0</v>
      </c>
      <c r="AR18" s="750">
        <v>0</v>
      </c>
      <c r="AS18" s="750">
        <v>0</v>
      </c>
      <c r="AT18" s="750">
        <v>0</v>
      </c>
      <c r="AU18" s="750">
        <v>0</v>
      </c>
      <c r="AV18" s="750">
        <v>0</v>
      </c>
      <c r="AW18" s="750">
        <v>0</v>
      </c>
      <c r="AX18" s="750">
        <v>0</v>
      </c>
      <c r="AY18" s="750">
        <v>0</v>
      </c>
      <c r="AZ18" s="750">
        <v>0</v>
      </c>
      <c r="BA18" s="750">
        <v>0</v>
      </c>
      <c r="BB18" s="750">
        <v>0</v>
      </c>
      <c r="BC18" s="750">
        <v>0</v>
      </c>
      <c r="BD18" s="750">
        <v>0</v>
      </c>
      <c r="BE18" s="750">
        <v>0</v>
      </c>
      <c r="BF18" s="750">
        <v>0</v>
      </c>
      <c r="BG18" s="750">
        <v>0</v>
      </c>
      <c r="BH18" s="750">
        <v>0</v>
      </c>
      <c r="BI18" s="750">
        <v>0</v>
      </c>
      <c r="BJ18" s="750">
        <v>0</v>
      </c>
      <c r="BK18" s="750">
        <v>0</v>
      </c>
      <c r="BL18" s="750">
        <v>0</v>
      </c>
      <c r="BM18" s="750">
        <v>0</v>
      </c>
      <c r="BN18" s="750">
        <v>0</v>
      </c>
      <c r="BO18" s="750">
        <v>0</v>
      </c>
      <c r="BP18" s="750">
        <v>0</v>
      </c>
      <c r="BQ18" s="750">
        <v>0</v>
      </c>
      <c r="BR18" s="750">
        <v>0</v>
      </c>
      <c r="BS18" s="750">
        <v>0</v>
      </c>
      <c r="BT18" s="750">
        <v>0</v>
      </c>
      <c r="BU18" s="750">
        <v>0</v>
      </c>
      <c r="BV18" s="750">
        <v>0</v>
      </c>
      <c r="BW18" s="750">
        <v>0</v>
      </c>
      <c r="BX18" s="750">
        <v>0</v>
      </c>
      <c r="BY18" s="750">
        <v>0</v>
      </c>
      <c r="BZ18" s="750">
        <v>0</v>
      </c>
      <c r="CA18" s="750">
        <v>0</v>
      </c>
      <c r="CB18" s="750">
        <v>0</v>
      </c>
      <c r="CC18" s="750">
        <v>0</v>
      </c>
      <c r="CD18" s="750">
        <v>0</v>
      </c>
      <c r="CE18" s="750">
        <v>0</v>
      </c>
      <c r="CF18" s="750">
        <v>0</v>
      </c>
      <c r="CG18" s="750">
        <v>0</v>
      </c>
      <c r="CH18" s="750">
        <v>0</v>
      </c>
      <c r="CI18" s="750">
        <v>0</v>
      </c>
      <c r="CJ18" s="750">
        <v>0</v>
      </c>
      <c r="CK18" s="750">
        <v>0</v>
      </c>
      <c r="CL18" s="750">
        <v>0</v>
      </c>
      <c r="CM18" s="750">
        <v>0</v>
      </c>
      <c r="CN18" s="750">
        <v>0</v>
      </c>
      <c r="CO18" s="750">
        <v>0</v>
      </c>
      <c r="CP18" s="750">
        <v>0</v>
      </c>
      <c r="CQ18" s="750">
        <v>0</v>
      </c>
      <c r="CR18" s="750">
        <v>0</v>
      </c>
      <c r="CS18" s="750">
        <v>0</v>
      </c>
      <c r="CT18" s="750">
        <v>0</v>
      </c>
      <c r="CU18" s="750">
        <v>0</v>
      </c>
      <c r="CV18" s="750">
        <v>0</v>
      </c>
    </row>
    <row r="19" spans="1:100" outlineLevel="1" x14ac:dyDescent="0.2">
      <c r="A19" s="522"/>
      <c r="B19" s="522"/>
      <c r="C19" s="523"/>
      <c r="D19" s="524"/>
      <c r="E19" s="525"/>
      <c r="F19" s="525"/>
      <c r="G19" s="525"/>
      <c r="H19" s="525"/>
      <c r="I19" s="526"/>
      <c r="J19" s="525"/>
      <c r="K19" s="525"/>
      <c r="L19" s="525"/>
      <c r="M19" s="525"/>
      <c r="N19" s="525"/>
      <c r="O19" s="525"/>
      <c r="P19" s="525"/>
      <c r="Q19" s="525"/>
      <c r="R19" s="525"/>
      <c r="S19" s="525"/>
      <c r="T19" s="525"/>
      <c r="U19" s="525"/>
      <c r="V19" s="525"/>
      <c r="W19" s="525"/>
      <c r="X19" s="525"/>
      <c r="Y19" s="525"/>
      <c r="Z19" s="525"/>
      <c r="AA19" s="525"/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</row>
    <row r="20" spans="1:100" x14ac:dyDescent="0.2">
      <c r="A20" s="522"/>
      <c r="B20" s="522"/>
      <c r="C20" s="523"/>
      <c r="D20" s="524"/>
      <c r="E20" s="525"/>
      <c r="F20" s="525"/>
      <c r="G20" s="525"/>
      <c r="H20" s="525"/>
      <c r="I20" s="526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5"/>
      <c r="V20" s="525"/>
      <c r="W20" s="525"/>
      <c r="X20" s="525"/>
      <c r="Y20" s="525"/>
      <c r="Z20" s="525"/>
      <c r="AA20" s="525"/>
      <c r="AB20" s="525"/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</row>
    <row r="21" spans="1:100" x14ac:dyDescent="0.2">
      <c r="A21" s="15" t="s">
        <v>62</v>
      </c>
    </row>
  </sheetData>
  <conditionalFormatting sqref="J3:CV3">
    <cfRule type="cellIs" dxfId="248" priority="8" stopIfTrue="1" operator="equal">
      <formula>"Construction"</formula>
    </cfRule>
    <cfRule type="cellIs" dxfId="247" priority="9" stopIfTrue="1" operator="equal">
      <formula>"Operations"</formula>
    </cfRule>
  </conditionalFormatting>
  <conditionalFormatting sqref="J3:CV3">
    <cfRule type="cellIs" dxfId="246" priority="7" operator="equal">
      <formula>"Fin Close"</formula>
    </cfRule>
  </conditionalFormatting>
  <conditionalFormatting sqref="J3:CV3">
    <cfRule type="cellIs" dxfId="245" priority="5" operator="equal">
      <formula>"PPA ext."</formula>
    </cfRule>
    <cfRule type="cellIs" dxfId="244" priority="6" operator="equal">
      <formula>"Delay"</formula>
    </cfRule>
  </conditionalFormatting>
  <conditionalFormatting sqref="F2:F4">
    <cfRule type="cellIs" dxfId="243" priority="1" stopIfTrue="1" operator="notEqual">
      <formula>0</formula>
    </cfRule>
    <cfRule type="cellIs" dxfId="242" priority="2" stopIfTrue="1" operator="equal">
      <formula>""</formula>
    </cfRule>
  </conditionalFormatting>
  <conditionalFormatting sqref="F2:F4">
    <cfRule type="cellIs" dxfId="241" priority="3" stopIfTrue="1" operator="notEqual">
      <formula>0</formula>
    </cfRule>
    <cfRule type="cellIs" dxfId="240" priority="4" stopIfTrue="1" operator="equal">
      <formula>""</formula>
    </cfRule>
  </conditionalFormatting>
  <dataValidations disablePrompts="1" count="1">
    <dataValidation allowBlank="1" showInputMessage="1" showErrorMessage="1" sqref="E9:H9" xr:uid="{25D7B221-C55D-4875-A949-BA37C6B42936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CB8CA-361E-4020-9E49-63F37DEB75C0}">
  <sheetPr codeName="Sheet3">
    <tabColor rgb="FFFFFF99"/>
    <outlinePr summaryBelow="0" summaryRight="0"/>
  </sheetPr>
  <dimension ref="A1:AD356"/>
  <sheetViews>
    <sheetView showGridLines="0" defaultGridColor="0" colorId="22" zoomScale="75" zoomScaleNormal="75" workbookViewId="0">
      <pane xSplit="10" ySplit="7" topLeftCell="K8" activePane="bottomRight" state="frozen"/>
      <selection pane="topRight" activeCell="K1" sqref="K1"/>
      <selection pane="bottomLeft" activeCell="A10" sqref="A10"/>
      <selection pane="bottomRight"/>
    </sheetView>
  </sheetViews>
  <sheetFormatPr defaultColWidth="0" defaultRowHeight="12.75" zeroHeight="1" x14ac:dyDescent="0.2"/>
  <cols>
    <col min="1" max="2" width="1.42578125" style="1" customWidth="1"/>
    <col min="3" max="3" width="1.42578125" style="19" customWidth="1"/>
    <col min="4" max="4" width="1.42578125" style="20" customWidth="1"/>
    <col min="5" max="5" width="40.42578125" style="12" customWidth="1"/>
    <col min="6" max="6" width="12.42578125" style="12" customWidth="1"/>
    <col min="7" max="7" width="11.42578125" style="12" customWidth="1"/>
    <col min="8" max="8" width="25.85546875" style="12" customWidth="1"/>
    <col min="9" max="9" width="17.42578125" style="370" customWidth="1"/>
    <col min="10" max="10" width="2.85546875" style="886" customWidth="1"/>
    <col min="11" max="11" width="11.85546875" customWidth="1"/>
    <col min="12" max="19" width="13.42578125" customWidth="1"/>
    <col min="20" max="20" width="2.85546875" style="886" customWidth="1"/>
    <col min="21" max="22" width="12.5703125" hidden="1" customWidth="1"/>
    <col min="23" max="27" width="9" hidden="1" customWidth="1"/>
    <col min="28" max="30" width="12.5703125" hidden="1" customWidth="1"/>
    <col min="31" max="16384" width="9" hidden="1"/>
  </cols>
  <sheetData>
    <row r="1" spans="1:27" ht="26.25" x14ac:dyDescent="0.2">
      <c r="A1" s="24" t="str">
        <f ca="1" xml:space="preserve"> RIGHT(CELL("filename", A1), LEN(CELL("filename", A1)) - SEARCH("]", CELL("filename", A1)))</f>
        <v>Sensitivity</v>
      </c>
      <c r="J1" s="886" t="s">
        <v>643</v>
      </c>
      <c r="K1" s="877"/>
      <c r="L1" s="887"/>
      <c r="M1" s="887"/>
      <c r="N1" s="887"/>
      <c r="O1" s="887"/>
      <c r="P1" s="887"/>
      <c r="Q1" s="887"/>
      <c r="R1" s="887"/>
      <c r="S1" s="887"/>
      <c r="T1" s="878" t="s">
        <v>639</v>
      </c>
    </row>
    <row r="2" spans="1:27" ht="13.15" customHeight="1" x14ac:dyDescent="0.2">
      <c r="A2" s="273"/>
      <c r="B2" s="273"/>
      <c r="C2" s="274"/>
      <c r="D2" s="275"/>
      <c r="E2" s="276"/>
      <c r="F2" s="478">
        <f ca="1" xml:space="preserve"> Check!$F$9</f>
        <v>1</v>
      </c>
      <c r="G2" s="479" t="s">
        <v>23</v>
      </c>
      <c r="H2" s="276"/>
      <c r="I2" s="371"/>
      <c r="J2" s="878"/>
      <c r="K2" s="875"/>
      <c r="L2" s="887"/>
      <c r="M2" s="887"/>
      <c r="N2" s="887"/>
      <c r="O2" s="887"/>
      <c r="P2" s="887"/>
      <c r="Q2" s="887"/>
      <c r="R2" s="887"/>
      <c r="S2" s="887"/>
      <c r="T2" s="878"/>
    </row>
    <row r="3" spans="1:27" ht="13.15" customHeight="1" x14ac:dyDescent="0.2">
      <c r="A3" s="23"/>
      <c r="B3" s="23"/>
      <c r="C3" s="210"/>
      <c r="D3" s="211"/>
      <c r="E3" s="22"/>
      <c r="F3" s="478">
        <f ca="1" xml:space="preserve"> Output!J2</f>
        <v>82</v>
      </c>
      <c r="G3" s="487" t="s">
        <v>25</v>
      </c>
      <c r="H3" s="22"/>
      <c r="I3" s="372"/>
      <c r="J3" s="878"/>
      <c r="K3" s="875"/>
      <c r="L3" s="888"/>
      <c r="M3" s="888"/>
      <c r="N3" s="888"/>
      <c r="O3" s="888"/>
      <c r="P3" s="888"/>
      <c r="Q3" s="888"/>
      <c r="R3" s="888"/>
      <c r="S3" s="888"/>
      <c r="T3" s="878"/>
    </row>
    <row r="4" spans="1:27" ht="13.15" customHeight="1" x14ac:dyDescent="0.2">
      <c r="E4" s="17"/>
      <c r="F4" s="478">
        <f xml:space="preserve"> Check!$F$28</f>
        <v>0</v>
      </c>
      <c r="G4" s="487" t="s">
        <v>24</v>
      </c>
      <c r="H4" s="17"/>
      <c r="I4" s="372"/>
      <c r="J4" s="879"/>
      <c r="K4" s="880"/>
      <c r="L4" s="880"/>
      <c r="M4" s="880"/>
      <c r="N4" s="880"/>
      <c r="O4" s="880"/>
      <c r="P4" s="880"/>
      <c r="Q4" s="880"/>
      <c r="R4" s="880"/>
      <c r="S4" s="880"/>
      <c r="T4" s="879"/>
    </row>
    <row r="5" spans="1:27" x14ac:dyDescent="0.2">
      <c r="E5" s="2"/>
      <c r="F5" s="5"/>
      <c r="G5" s="2"/>
      <c r="H5" s="2"/>
      <c r="I5" s="372"/>
      <c r="J5" s="879"/>
      <c r="K5" s="881" t="s">
        <v>83</v>
      </c>
      <c r="L5" s="881" t="s">
        <v>641</v>
      </c>
      <c r="M5" s="881" t="s">
        <v>647</v>
      </c>
      <c r="N5" s="881" t="s">
        <v>649</v>
      </c>
      <c r="O5" s="881" t="s">
        <v>653</v>
      </c>
      <c r="P5" s="881" t="s">
        <v>656</v>
      </c>
      <c r="Q5" s="881" t="s">
        <v>659</v>
      </c>
      <c r="R5" s="881" t="s">
        <v>661</v>
      </c>
      <c r="S5" s="881" t="s">
        <v>664</v>
      </c>
      <c r="T5" s="879"/>
    </row>
    <row r="6" spans="1:27" ht="38.25" x14ac:dyDescent="0.2">
      <c r="E6" s="2"/>
      <c r="F6" s="893" t="s">
        <v>83</v>
      </c>
      <c r="G6" s="12">
        <f xml:space="preserve"> MATCH(F6, J5:AG5, 0)</f>
        <v>2</v>
      </c>
      <c r="H6" s="2"/>
      <c r="I6" s="372"/>
      <c r="J6" s="882"/>
      <c r="K6" s="883" t="s">
        <v>640</v>
      </c>
      <c r="L6" s="883" t="s">
        <v>642</v>
      </c>
      <c r="M6" s="883" t="s">
        <v>766</v>
      </c>
      <c r="N6" s="883" t="s">
        <v>650</v>
      </c>
      <c r="O6" s="883" t="s">
        <v>654</v>
      </c>
      <c r="P6" s="883" t="s">
        <v>657</v>
      </c>
      <c r="Q6" s="883" t="s">
        <v>660</v>
      </c>
      <c r="R6" s="883" t="s">
        <v>662</v>
      </c>
      <c r="S6" s="883" t="s">
        <v>665</v>
      </c>
      <c r="T6" s="882"/>
    </row>
    <row r="7" spans="1:27" x14ac:dyDescent="0.2">
      <c r="A7" s="15"/>
      <c r="B7" s="15"/>
      <c r="C7" s="21"/>
      <c r="D7" s="48"/>
      <c r="E7" s="247"/>
      <c r="F7" s="876" t="s">
        <v>19</v>
      </c>
      <c r="G7" s="876" t="s">
        <v>17</v>
      </c>
      <c r="H7" s="876" t="s">
        <v>637</v>
      </c>
      <c r="I7" s="876" t="s">
        <v>638</v>
      </c>
      <c r="J7" s="882"/>
      <c r="K7" s="877"/>
      <c r="L7" s="877"/>
      <c r="M7" s="877"/>
      <c r="N7" s="877"/>
      <c r="O7" s="877"/>
      <c r="P7" s="877"/>
      <c r="Q7" s="877"/>
      <c r="R7" s="877"/>
      <c r="S7" s="877"/>
      <c r="T7" s="882"/>
    </row>
    <row r="8" spans="1:27" x14ac:dyDescent="0.2">
      <c r="J8" s="882"/>
      <c r="T8" s="882"/>
    </row>
    <row r="9" spans="1:27" x14ac:dyDescent="0.2">
      <c r="A9" s="1" t="s">
        <v>636</v>
      </c>
      <c r="J9" s="882"/>
      <c r="T9" s="882"/>
    </row>
    <row r="10" spans="1:27" x14ac:dyDescent="0.2">
      <c r="J10" s="882"/>
      <c r="T10" s="882"/>
    </row>
    <row r="11" spans="1:27" x14ac:dyDescent="0.2">
      <c r="E11" s="12" t="s">
        <v>415</v>
      </c>
      <c r="F11" s="892">
        <f xml:space="preserve"> INDEX(J11:AG11, G$6)</f>
        <v>0</v>
      </c>
      <c r="G11" s="12" t="s">
        <v>644</v>
      </c>
      <c r="I11" s="376"/>
      <c r="J11" s="885"/>
      <c r="K11" s="884">
        <v>0</v>
      </c>
      <c r="L11" s="889">
        <v>1</v>
      </c>
      <c r="M11" s="889">
        <v>1</v>
      </c>
      <c r="N11" s="889">
        <v>1</v>
      </c>
      <c r="O11" s="889">
        <v>1</v>
      </c>
      <c r="P11" s="889">
        <v>1</v>
      </c>
      <c r="Q11" s="889">
        <v>1</v>
      </c>
      <c r="R11" s="889">
        <v>1</v>
      </c>
      <c r="S11" s="889">
        <v>1</v>
      </c>
      <c r="T11" s="885"/>
    </row>
    <row r="12" spans="1:27" s="152" customFormat="1" ht="15" customHeight="1" x14ac:dyDescent="0.2">
      <c r="A12" s="1"/>
      <c r="B12" s="1"/>
      <c r="C12" s="19"/>
      <c r="D12" s="20"/>
      <c r="E12" s="12"/>
      <c r="F12" s="12"/>
      <c r="G12" s="12"/>
      <c r="H12" s="12"/>
      <c r="I12" s="376"/>
      <c r="J12" s="885"/>
      <c r="K12" s="877"/>
      <c r="L12" s="877"/>
      <c r="M12" s="877"/>
      <c r="N12" s="877"/>
      <c r="O12" s="877"/>
      <c r="P12" s="877"/>
      <c r="Q12" s="877"/>
      <c r="R12" s="877"/>
      <c r="S12" s="877"/>
      <c r="T12" s="885"/>
      <c r="U12"/>
      <c r="V12"/>
      <c r="W12"/>
      <c r="X12"/>
      <c r="Y12"/>
      <c r="Z12"/>
      <c r="AA12"/>
    </row>
    <row r="13" spans="1:27" s="152" customFormat="1" ht="13.15" customHeight="1" x14ac:dyDescent="0.2">
      <c r="A13" s="1"/>
      <c r="B13" s="1"/>
      <c r="C13" s="19"/>
      <c r="D13" s="20"/>
      <c r="E13" s="282" t="s">
        <v>645</v>
      </c>
      <c r="F13" s="894">
        <f t="shared" ref="F13:F19" si="0" xml:space="preserve"> INDEX(J13:AG13, G$6)</f>
        <v>0</v>
      </c>
      <c r="G13" s="282" t="s">
        <v>103</v>
      </c>
      <c r="H13" s="282" t="s">
        <v>646</v>
      </c>
      <c r="I13" s="370"/>
      <c r="J13" s="885"/>
      <c r="K13" s="884">
        <v>0</v>
      </c>
      <c r="L13" s="890">
        <v>0.03</v>
      </c>
      <c r="M13" s="890">
        <v>0</v>
      </c>
      <c r="N13" s="890">
        <v>0</v>
      </c>
      <c r="O13" s="890">
        <v>0</v>
      </c>
      <c r="P13" s="890">
        <v>0</v>
      </c>
      <c r="Q13" s="890">
        <v>0</v>
      </c>
      <c r="R13" s="890">
        <v>0</v>
      </c>
      <c r="S13" s="890">
        <v>0</v>
      </c>
      <c r="T13" s="885"/>
      <c r="U13"/>
      <c r="V13"/>
      <c r="W13"/>
      <c r="X13"/>
      <c r="Y13"/>
      <c r="Z13"/>
      <c r="AA13"/>
    </row>
    <row r="14" spans="1:27" s="329" customFormat="1" ht="13.15" customHeight="1" x14ac:dyDescent="0.2">
      <c r="A14" s="205"/>
      <c r="B14" s="205"/>
      <c r="C14" s="206"/>
      <c r="D14" s="209"/>
      <c r="E14" s="314" t="s">
        <v>648</v>
      </c>
      <c r="F14" s="914">
        <f t="shared" si="0"/>
        <v>0</v>
      </c>
      <c r="G14" s="314" t="s">
        <v>103</v>
      </c>
      <c r="H14" s="314" t="s">
        <v>646</v>
      </c>
      <c r="I14" s="409"/>
      <c r="J14" s="915"/>
      <c r="K14" s="916">
        <v>0</v>
      </c>
      <c r="L14" s="917">
        <v>0</v>
      </c>
      <c r="M14" s="917">
        <v>0.1</v>
      </c>
      <c r="N14" s="917">
        <v>0</v>
      </c>
      <c r="O14" s="917">
        <v>0</v>
      </c>
      <c r="P14" s="917">
        <v>0</v>
      </c>
      <c r="Q14" s="917">
        <v>0</v>
      </c>
      <c r="R14" s="917">
        <v>0</v>
      </c>
      <c r="S14" s="917">
        <v>0</v>
      </c>
      <c r="T14" s="915"/>
      <c r="U14" s="191"/>
      <c r="V14" s="191"/>
      <c r="W14" s="191"/>
      <c r="X14" s="191"/>
      <c r="Y14" s="191"/>
      <c r="Z14" s="191"/>
      <c r="AA14" s="191"/>
    </row>
    <row r="15" spans="1:27" s="329" customFormat="1" ht="13.15" customHeight="1" x14ac:dyDescent="0.2">
      <c r="A15" s="205"/>
      <c r="B15" s="205"/>
      <c r="C15" s="206"/>
      <c r="D15" s="209"/>
      <c r="E15" s="314" t="s">
        <v>651</v>
      </c>
      <c r="F15" s="914">
        <f t="shared" si="0"/>
        <v>0</v>
      </c>
      <c r="G15" s="314" t="s">
        <v>103</v>
      </c>
      <c r="H15" s="314" t="s">
        <v>652</v>
      </c>
      <c r="I15" s="409"/>
      <c r="J15" s="915"/>
      <c r="K15" s="916">
        <v>0</v>
      </c>
      <c r="L15" s="917">
        <v>0</v>
      </c>
      <c r="M15" s="917">
        <v>0</v>
      </c>
      <c r="N15" s="917">
        <v>-0.05</v>
      </c>
      <c r="O15" s="917">
        <v>0</v>
      </c>
      <c r="P15" s="917">
        <v>0</v>
      </c>
      <c r="Q15" s="917">
        <v>0</v>
      </c>
      <c r="R15" s="917">
        <v>0</v>
      </c>
      <c r="S15" s="917">
        <v>0</v>
      </c>
      <c r="T15" s="915"/>
      <c r="U15" s="191"/>
      <c r="V15" s="191"/>
      <c r="W15" s="191"/>
      <c r="X15" s="191"/>
      <c r="Y15" s="191"/>
      <c r="Z15" s="191"/>
      <c r="AA15" s="191"/>
    </row>
    <row r="16" spans="1:27" s="152" customFormat="1" ht="13.15" customHeight="1" x14ac:dyDescent="0.2">
      <c r="A16" s="1"/>
      <c r="B16" s="1"/>
      <c r="C16" s="19"/>
      <c r="D16" s="20"/>
      <c r="E16" s="282" t="s">
        <v>655</v>
      </c>
      <c r="F16" s="894">
        <f t="shared" si="0"/>
        <v>0</v>
      </c>
      <c r="G16" s="282" t="s">
        <v>116</v>
      </c>
      <c r="H16" s="282" t="s">
        <v>652</v>
      </c>
      <c r="I16" s="370"/>
      <c r="J16" s="885"/>
      <c r="K16" s="884">
        <v>0</v>
      </c>
      <c r="L16" s="890">
        <v>0</v>
      </c>
      <c r="M16" s="890">
        <v>0</v>
      </c>
      <c r="N16" s="890">
        <v>0</v>
      </c>
      <c r="O16" s="890">
        <v>0.01</v>
      </c>
      <c r="P16" s="890">
        <v>0</v>
      </c>
      <c r="Q16" s="890">
        <v>0</v>
      </c>
      <c r="R16" s="890">
        <v>0</v>
      </c>
      <c r="S16" s="890">
        <v>0</v>
      </c>
      <c r="T16" s="885"/>
      <c r="U16"/>
      <c r="V16"/>
      <c r="W16"/>
      <c r="X16"/>
      <c r="Y16"/>
      <c r="Z16"/>
      <c r="AA16"/>
    </row>
    <row r="17" spans="1:27" s="152" customFormat="1" ht="13.15" customHeight="1" x14ac:dyDescent="0.2">
      <c r="A17" s="1"/>
      <c r="B17" s="1"/>
      <c r="C17" s="19"/>
      <c r="D17" s="20"/>
      <c r="E17" s="282" t="s">
        <v>658</v>
      </c>
      <c r="F17" s="894">
        <f t="shared" si="0"/>
        <v>0</v>
      </c>
      <c r="G17" s="282" t="s">
        <v>103</v>
      </c>
      <c r="H17" s="282" t="s">
        <v>646</v>
      </c>
      <c r="I17" s="370"/>
      <c r="J17" s="885"/>
      <c r="K17" s="884">
        <v>0</v>
      </c>
      <c r="L17" s="890">
        <v>0</v>
      </c>
      <c r="M17" s="890">
        <v>0</v>
      </c>
      <c r="N17" s="890">
        <v>0</v>
      </c>
      <c r="O17" s="890">
        <v>0</v>
      </c>
      <c r="P17" s="890">
        <v>0.1</v>
      </c>
      <c r="Q17" s="890">
        <v>0</v>
      </c>
      <c r="R17" s="890">
        <v>0</v>
      </c>
      <c r="S17" s="890">
        <v>0</v>
      </c>
      <c r="T17" s="885"/>
      <c r="U17"/>
      <c r="V17"/>
      <c r="W17"/>
      <c r="X17"/>
      <c r="Y17"/>
      <c r="Z17"/>
      <c r="AA17"/>
    </row>
    <row r="18" spans="1:27" s="152" customFormat="1" ht="13.15" customHeight="1" x14ac:dyDescent="0.2">
      <c r="A18" s="1"/>
      <c r="B18" s="1"/>
      <c r="C18" s="19"/>
      <c r="D18" s="20"/>
      <c r="E18" s="282" t="s">
        <v>663</v>
      </c>
      <c r="F18" s="894">
        <f t="shared" si="0"/>
        <v>0</v>
      </c>
      <c r="G18" s="282" t="s">
        <v>103</v>
      </c>
      <c r="H18" s="282" t="s">
        <v>652</v>
      </c>
      <c r="I18" s="370"/>
      <c r="J18" s="885"/>
      <c r="K18" s="884">
        <v>0</v>
      </c>
      <c r="L18" s="890">
        <v>0</v>
      </c>
      <c r="M18" s="890">
        <v>0</v>
      </c>
      <c r="N18" s="890">
        <v>0</v>
      </c>
      <c r="O18" s="890">
        <v>0</v>
      </c>
      <c r="P18" s="890">
        <v>0</v>
      </c>
      <c r="Q18" s="890">
        <v>0.01</v>
      </c>
      <c r="R18" s="890">
        <v>-0.01</v>
      </c>
      <c r="S18" s="890">
        <v>0</v>
      </c>
      <c r="T18" s="885"/>
      <c r="U18"/>
      <c r="V18"/>
      <c r="W18"/>
      <c r="X18"/>
      <c r="Y18"/>
      <c r="Z18"/>
      <c r="AA18"/>
    </row>
    <row r="19" spans="1:27" s="152" customFormat="1" ht="13.15" customHeight="1" x14ac:dyDescent="0.2">
      <c r="A19" s="1"/>
      <c r="B19" s="1"/>
      <c r="C19" s="19"/>
      <c r="D19" s="20"/>
      <c r="E19" s="282" t="s">
        <v>666</v>
      </c>
      <c r="F19" s="894">
        <f t="shared" si="0"/>
        <v>0</v>
      </c>
      <c r="G19" s="282" t="s">
        <v>103</v>
      </c>
      <c r="H19" s="282" t="s">
        <v>646</v>
      </c>
      <c r="I19" s="370"/>
      <c r="J19" s="882"/>
      <c r="K19" s="884">
        <v>0</v>
      </c>
      <c r="L19" s="890">
        <v>0</v>
      </c>
      <c r="M19" s="890">
        <v>0</v>
      </c>
      <c r="N19" s="890">
        <v>0</v>
      </c>
      <c r="O19" s="890">
        <v>0</v>
      </c>
      <c r="P19" s="890">
        <v>0</v>
      </c>
      <c r="Q19" s="890">
        <v>0</v>
      </c>
      <c r="R19" s="890">
        <v>0</v>
      </c>
      <c r="S19" s="890">
        <v>-0.05</v>
      </c>
      <c r="T19" s="882"/>
      <c r="U19"/>
      <c r="V19"/>
      <c r="W19"/>
      <c r="X19"/>
      <c r="Y19"/>
      <c r="Z19"/>
      <c r="AA19"/>
    </row>
    <row r="20" spans="1:27" x14ac:dyDescent="0.2">
      <c r="K20" s="32"/>
      <c r="L20" s="877"/>
      <c r="M20" s="877"/>
      <c r="N20" s="877"/>
      <c r="O20" s="877"/>
      <c r="P20" s="877"/>
      <c r="Q20" s="877"/>
      <c r="R20" s="877"/>
      <c r="S20" s="877"/>
    </row>
    <row r="21" spans="1:27" x14ac:dyDescent="0.2">
      <c r="A21" s="882"/>
      <c r="B21" s="882"/>
      <c r="C21" s="882"/>
      <c r="D21" s="882"/>
      <c r="E21" s="886" t="s">
        <v>643</v>
      </c>
      <c r="F21" s="882"/>
      <c r="G21" s="882"/>
      <c r="H21" s="882"/>
      <c r="I21" s="882"/>
      <c r="J21" s="886" t="s">
        <v>643</v>
      </c>
      <c r="K21" s="882"/>
      <c r="L21" s="882"/>
      <c r="M21" s="882"/>
      <c r="N21" s="882"/>
      <c r="O21" s="882"/>
      <c r="P21" s="882"/>
      <c r="Q21" s="882"/>
      <c r="R21" s="882"/>
      <c r="S21" s="882"/>
    </row>
    <row r="22" spans="1:27" x14ac:dyDescent="0.2"/>
    <row r="23" spans="1:27" x14ac:dyDescent="0.2"/>
    <row r="24" spans="1:27" x14ac:dyDescent="0.2"/>
    <row r="25" spans="1:27" x14ac:dyDescent="0.2"/>
    <row r="26" spans="1:27" x14ac:dyDescent="0.2"/>
    <row r="27" spans="1:27" x14ac:dyDescent="0.2"/>
    <row r="28" spans="1:27" x14ac:dyDescent="0.2"/>
    <row r="29" spans="1:27" x14ac:dyDescent="0.2"/>
    <row r="30" spans="1:27" x14ac:dyDescent="0.2"/>
    <row r="31" spans="1:27" x14ac:dyDescent="0.2"/>
    <row r="32" spans="1:27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</sheetData>
  <conditionalFormatting sqref="I11:I12">
    <cfRule type="cellIs" dxfId="239" priority="305" operator="equal">
      <formula>"tu"</formula>
    </cfRule>
  </conditionalFormatting>
  <conditionalFormatting sqref="F2:F4">
    <cfRule type="cellIs" dxfId="238" priority="1" stopIfTrue="1" operator="notEqual">
      <formula>0</formula>
    </cfRule>
    <cfRule type="cellIs" dxfId="237" priority="2" stopIfTrue="1" operator="equal">
      <formula>""</formula>
    </cfRule>
  </conditionalFormatting>
  <conditionalFormatting sqref="F2:F4">
    <cfRule type="cellIs" dxfId="236" priority="3" stopIfTrue="1" operator="notEqual">
      <formula>0</formula>
    </cfRule>
    <cfRule type="cellIs" dxfId="235" priority="4" stopIfTrue="1" operator="equal">
      <formula>""</formula>
    </cfRule>
  </conditionalFormatting>
  <dataValidations disablePrompts="1" count="1">
    <dataValidation type="list" allowBlank="1" showInputMessage="1" showErrorMessage="1" sqref="F6" xr:uid="{AD07A0D4-E713-4549-9D31-0612DE101B33}">
      <formula1>$J$5:$T$5</formula1>
    </dataValidation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FFD8-69A0-42E5-8BB3-5E7703FA2F79}">
  <sheetPr codeName="Sheet23">
    <tabColor rgb="FFFFFF99"/>
    <outlinePr summaryBelow="0" summaryRight="0"/>
  </sheetPr>
  <dimension ref="A1:GJ21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M6" sqref="M6"/>
    </sheetView>
  </sheetViews>
  <sheetFormatPr defaultColWidth="0" defaultRowHeight="12.75" zeroHeight="1" outlineLevelRow="1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57" width="11.5703125" style="12" customWidth="1"/>
    <col min="58" max="192" width="0" hidden="1" customWidth="1"/>
    <col min="193" max="16384" width="11.5703125" hidden="1"/>
  </cols>
  <sheetData>
    <row r="1" spans="1:171" s="38" customFormat="1" ht="26.25" x14ac:dyDescent="0.2">
      <c r="A1" s="24" t="str">
        <f ca="1" xml:space="preserve"> RIGHT(CELL("filename", A1), LEN(CELL("filename", A1)) - SEARCH("]", CELL("filename", A1))) &amp; " - " &amp; InpC!F3</f>
        <v>InpS - m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</row>
    <row r="2" spans="1:171" s="477" customFormat="1" x14ac:dyDescent="0.2">
      <c r="C2" s="292"/>
      <c r="D2" s="293"/>
      <c r="E2" s="194" t="str">
        <f xml:space="preserve"> ConTime!E$23</f>
        <v>Model period ending - m</v>
      </c>
      <c r="F2" s="478">
        <f ca="1" xml:space="preserve"> Check!$F$9</f>
        <v>1</v>
      </c>
      <c r="G2" s="479" t="s">
        <v>23</v>
      </c>
      <c r="H2" s="194"/>
      <c r="I2" s="442"/>
      <c r="J2" s="195">
        <f xml:space="preserve"> ConTime!J$23</f>
        <v>44592</v>
      </c>
      <c r="K2" s="195">
        <f xml:space="preserve"> ConTime!K$23</f>
        <v>44620</v>
      </c>
      <c r="L2" s="195">
        <f xml:space="preserve"> ConTime!L$23</f>
        <v>44651</v>
      </c>
      <c r="M2" s="195">
        <f xml:space="preserve"> ConTime!M$23</f>
        <v>44681</v>
      </c>
      <c r="N2" s="195">
        <f xml:space="preserve"> ConTime!N$23</f>
        <v>44712</v>
      </c>
      <c r="O2" s="195">
        <f xml:space="preserve"> ConTime!O$23</f>
        <v>44742</v>
      </c>
      <c r="P2" s="195">
        <f xml:space="preserve"> ConTime!P$23</f>
        <v>44773</v>
      </c>
      <c r="Q2" s="195">
        <f xml:space="preserve"> ConTime!Q$23</f>
        <v>44804</v>
      </c>
      <c r="R2" s="195">
        <f xml:space="preserve"> ConTime!R$23</f>
        <v>44834</v>
      </c>
      <c r="S2" s="195">
        <f xml:space="preserve"> ConTime!S$23</f>
        <v>44865</v>
      </c>
      <c r="T2" s="195">
        <f xml:space="preserve"> ConTime!T$23</f>
        <v>44895</v>
      </c>
      <c r="U2" s="195">
        <f xml:space="preserve"> ConTime!U$23</f>
        <v>44926</v>
      </c>
      <c r="V2" s="195">
        <f xml:space="preserve"> ConTime!V$23</f>
        <v>44957</v>
      </c>
      <c r="W2" s="195">
        <f xml:space="preserve"> ConTime!W$23</f>
        <v>44985</v>
      </c>
      <c r="X2" s="195">
        <f xml:space="preserve"> ConTime!X$23</f>
        <v>45016</v>
      </c>
      <c r="Y2" s="195">
        <f xml:space="preserve"> ConTime!Y$23</f>
        <v>45046</v>
      </c>
      <c r="Z2" s="195">
        <f xml:space="preserve"> ConTime!Z$23</f>
        <v>45077</v>
      </c>
      <c r="AA2" s="195">
        <f xml:space="preserve"> ConTime!AA$23</f>
        <v>45107</v>
      </c>
      <c r="AB2" s="195">
        <f xml:space="preserve"> ConTime!AB$23</f>
        <v>45138</v>
      </c>
      <c r="AC2" s="195">
        <f xml:space="preserve"> ConTime!AC$23</f>
        <v>45169</v>
      </c>
      <c r="AD2" s="195">
        <f xml:space="preserve"> ConTime!AD$23</f>
        <v>45199</v>
      </c>
      <c r="AE2" s="195">
        <f xml:space="preserve"> ConTime!AE$23</f>
        <v>45230</v>
      </c>
      <c r="AF2" s="195">
        <f xml:space="preserve"> ConTime!AF$23</f>
        <v>45260</v>
      </c>
      <c r="AG2" s="195">
        <f xml:space="preserve"> ConTime!AG$23</f>
        <v>45291</v>
      </c>
      <c r="AH2" s="195">
        <f xml:space="preserve"> ConTime!AH$23</f>
        <v>45322</v>
      </c>
      <c r="AI2" s="195">
        <f xml:space="preserve"> ConTime!AI$23</f>
        <v>45351</v>
      </c>
      <c r="AJ2" s="195">
        <f xml:space="preserve"> ConTime!AJ$23</f>
        <v>45382</v>
      </c>
      <c r="AK2" s="195">
        <f xml:space="preserve"> ConTime!AK$23</f>
        <v>45412</v>
      </c>
      <c r="AL2" s="195">
        <f xml:space="preserve"> ConTime!AL$23</f>
        <v>45443</v>
      </c>
      <c r="AM2" s="195">
        <f xml:space="preserve"> ConTime!AM$23</f>
        <v>45473</v>
      </c>
      <c r="AN2" s="195">
        <f xml:space="preserve"> ConTime!AN$23</f>
        <v>45504</v>
      </c>
      <c r="AO2" s="195">
        <f xml:space="preserve"> ConTime!AO$23</f>
        <v>45535</v>
      </c>
      <c r="AP2" s="195">
        <f xml:space="preserve"> ConTime!AP$23</f>
        <v>45565</v>
      </c>
      <c r="AQ2" s="195">
        <f xml:space="preserve"> ConTime!AQ$23</f>
        <v>45596</v>
      </c>
      <c r="AR2" s="195">
        <f xml:space="preserve"> ConTime!AR$23</f>
        <v>45626</v>
      </c>
      <c r="AS2" s="195">
        <f xml:space="preserve"> ConTime!AS$23</f>
        <v>45657</v>
      </c>
      <c r="AT2" s="195">
        <f xml:space="preserve"> ConTime!AT$23</f>
        <v>45688</v>
      </c>
      <c r="AU2" s="195">
        <f xml:space="preserve"> ConTime!AU$23</f>
        <v>45716</v>
      </c>
      <c r="AV2" s="195">
        <f xml:space="preserve"> ConTime!AV$23</f>
        <v>45747</v>
      </c>
      <c r="AW2" s="195">
        <f xml:space="preserve"> ConTime!AW$23</f>
        <v>45777</v>
      </c>
      <c r="AX2" s="195">
        <f xml:space="preserve"> ConTime!AX$23</f>
        <v>45808</v>
      </c>
      <c r="AY2" s="195">
        <f xml:space="preserve"> ConTime!AY$23</f>
        <v>45838</v>
      </c>
      <c r="AZ2" s="195">
        <f xml:space="preserve"> ConTime!AZ$23</f>
        <v>45869</v>
      </c>
      <c r="BA2" s="195">
        <f xml:space="preserve"> ConTime!BA$23</f>
        <v>45900</v>
      </c>
      <c r="BB2" s="195">
        <f xml:space="preserve"> ConTime!BB$23</f>
        <v>45930</v>
      </c>
      <c r="BC2" s="195">
        <f xml:space="preserve"> ConTime!BC$23</f>
        <v>45961</v>
      </c>
      <c r="BD2" s="195">
        <f xml:space="preserve"> ConTime!BD$23</f>
        <v>45991</v>
      </c>
      <c r="BE2" s="195">
        <f xml:space="preserve"> ConTime!BE$23</f>
        <v>46022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</row>
    <row r="3" spans="1:171" s="281" customFormat="1" x14ac:dyDescent="0.2">
      <c r="A3" s="236"/>
      <c r="B3" s="236"/>
      <c r="C3" s="237"/>
      <c r="D3" s="238"/>
      <c r="E3" s="486" t="str">
        <f xml:space="preserve"> ConTime!E$50</f>
        <v>Timeline label - m</v>
      </c>
      <c r="F3" s="478">
        <f ca="1" xml:space="preserve"> Output!J2</f>
        <v>82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</row>
    <row r="4" spans="1:171" s="281" customFormat="1" x14ac:dyDescent="0.2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2022</v>
      </c>
      <c r="K4" s="488">
        <f xml:space="preserve"> Time!K$39</f>
        <v>2023</v>
      </c>
      <c r="L4" s="488">
        <f xml:space="preserve"> Time!L$39</f>
        <v>2023</v>
      </c>
      <c r="M4" s="488">
        <f xml:space="preserve"> Time!M$39</f>
        <v>2024</v>
      </c>
      <c r="N4" s="488">
        <f xml:space="preserve"> Time!N$39</f>
        <v>2024</v>
      </c>
      <c r="O4" s="488">
        <f xml:space="preserve"> Time!O$39</f>
        <v>2025</v>
      </c>
      <c r="P4" s="488">
        <f xml:space="preserve"> Time!P$39</f>
        <v>2025</v>
      </c>
      <c r="Q4" s="488">
        <f xml:space="preserve"> Time!Q$39</f>
        <v>2026</v>
      </c>
      <c r="R4" s="488">
        <f xml:space="preserve"> Time!R$39</f>
        <v>2026</v>
      </c>
      <c r="S4" s="488">
        <f xml:space="preserve"> Time!S$39</f>
        <v>2027</v>
      </c>
      <c r="T4" s="488">
        <f xml:space="preserve"> Time!T$39</f>
        <v>2027</v>
      </c>
      <c r="U4" s="488">
        <f xml:space="preserve"> Time!U$39</f>
        <v>2028</v>
      </c>
      <c r="V4" s="488">
        <f xml:space="preserve"> Time!V$39</f>
        <v>2028</v>
      </c>
      <c r="W4" s="488">
        <f xml:space="preserve"> Time!W$39</f>
        <v>2029</v>
      </c>
      <c r="X4" s="488">
        <f xml:space="preserve"> Time!X$39</f>
        <v>2029</v>
      </c>
      <c r="Y4" s="488">
        <f xml:space="preserve"> Time!Y$39</f>
        <v>2030</v>
      </c>
      <c r="Z4" s="488">
        <f xml:space="preserve"> Time!Z$39</f>
        <v>2030</v>
      </c>
      <c r="AA4" s="488">
        <f xml:space="preserve"> Time!AA$39</f>
        <v>2031</v>
      </c>
      <c r="AB4" s="488">
        <f xml:space="preserve"> Time!AB$39</f>
        <v>2031</v>
      </c>
      <c r="AC4" s="488">
        <f xml:space="preserve"> Time!AC$39</f>
        <v>2032</v>
      </c>
      <c r="AD4" s="488">
        <f xml:space="preserve"> Time!AD$39</f>
        <v>2032</v>
      </c>
      <c r="AE4" s="488">
        <f xml:space="preserve"> Time!AE$39</f>
        <v>2033</v>
      </c>
      <c r="AF4" s="488">
        <f xml:space="preserve"> Time!AF$39</f>
        <v>2033</v>
      </c>
      <c r="AG4" s="488">
        <f xml:space="preserve"> Time!AG$39</f>
        <v>2034</v>
      </c>
      <c r="AH4" s="488">
        <f xml:space="preserve"> Time!AH$39</f>
        <v>2034</v>
      </c>
      <c r="AI4" s="488">
        <f xml:space="preserve"> Time!AI$39</f>
        <v>2035</v>
      </c>
      <c r="AJ4" s="488">
        <f xml:space="preserve"> Time!AJ$39</f>
        <v>2035</v>
      </c>
      <c r="AK4" s="488">
        <f xml:space="preserve"> Time!AK$39</f>
        <v>2036</v>
      </c>
      <c r="AL4" s="488">
        <f xml:space="preserve"> Time!AL$39</f>
        <v>2036</v>
      </c>
      <c r="AM4" s="488">
        <f xml:space="preserve"> Time!AM$39</f>
        <v>2037</v>
      </c>
      <c r="AN4" s="488">
        <f xml:space="preserve"> Time!AN$39</f>
        <v>2037</v>
      </c>
      <c r="AO4" s="488">
        <f xml:space="preserve"> Time!AO$39</f>
        <v>2038</v>
      </c>
      <c r="AP4" s="488">
        <f xml:space="preserve"> Time!AP$39</f>
        <v>2038</v>
      </c>
      <c r="AQ4" s="488">
        <f xml:space="preserve"> Time!AQ$39</f>
        <v>2039</v>
      </c>
      <c r="AR4" s="488">
        <f xml:space="preserve"> Time!AR$39</f>
        <v>2039</v>
      </c>
      <c r="AS4" s="488">
        <f xml:space="preserve"> Time!AS$39</f>
        <v>2040</v>
      </c>
      <c r="AT4" s="488">
        <f xml:space="preserve"> Time!AT$39</f>
        <v>2040</v>
      </c>
      <c r="AU4" s="488">
        <f xml:space="preserve"> Time!AU$39</f>
        <v>2041</v>
      </c>
      <c r="AV4" s="488">
        <f xml:space="preserve"> Time!AV$39</f>
        <v>2041</v>
      </c>
      <c r="AW4" s="488">
        <f xml:space="preserve"> Time!AW$39</f>
        <v>2042</v>
      </c>
      <c r="AX4" s="488">
        <f xml:space="preserve"> Time!AX$39</f>
        <v>2042</v>
      </c>
      <c r="AY4" s="488">
        <f xml:space="preserve"> Time!AY$39</f>
        <v>2043</v>
      </c>
      <c r="AZ4" s="488">
        <f xml:space="preserve"> Time!AZ$39</f>
        <v>2043</v>
      </c>
      <c r="BA4" s="488">
        <f xml:space="preserve"> Time!BA$39</f>
        <v>2044</v>
      </c>
      <c r="BB4" s="488">
        <f xml:space="preserve"> Time!BB$39</f>
        <v>2044</v>
      </c>
      <c r="BC4" s="488">
        <f xml:space="preserve"> Time!BC$39</f>
        <v>2045</v>
      </c>
      <c r="BD4" s="488">
        <f xml:space="preserve"> Time!BD$39</f>
        <v>2045</v>
      </c>
      <c r="BE4" s="488">
        <f xml:space="preserve"> Time!BE$39</f>
        <v>2046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</row>
    <row r="5" spans="1:171" s="281" customFormat="1" x14ac:dyDescent="0.2">
      <c r="A5" s="236"/>
      <c r="B5" s="236"/>
      <c r="C5" s="237"/>
      <c r="D5" s="238"/>
      <c r="E5" s="234" t="str">
        <f xml:space="preserve"> Time!E$10</f>
        <v>Model column counter</v>
      </c>
      <c r="F5" s="489" t="s">
        <v>19</v>
      </c>
      <c r="G5" s="490" t="s">
        <v>17</v>
      </c>
      <c r="H5" s="489" t="s">
        <v>18</v>
      </c>
      <c r="I5" s="235"/>
      <c r="J5" s="234">
        <f xml:space="preserve"> Time!J$10</f>
        <v>1</v>
      </c>
      <c r="K5" s="234">
        <f xml:space="preserve"> Time!K$10</f>
        <v>2</v>
      </c>
      <c r="L5" s="234">
        <f xml:space="preserve"> Time!L$10</f>
        <v>3</v>
      </c>
      <c r="M5" s="234">
        <f xml:space="preserve"> Time!M$10</f>
        <v>4</v>
      </c>
      <c r="N5" s="234">
        <f xml:space="preserve"> Time!N$10</f>
        <v>5</v>
      </c>
      <c r="O5" s="234">
        <f xml:space="preserve"> Time!O$10</f>
        <v>6</v>
      </c>
      <c r="P5" s="234">
        <f xml:space="preserve"> Time!P$10</f>
        <v>7</v>
      </c>
      <c r="Q5" s="234">
        <f xml:space="preserve"> Time!Q$10</f>
        <v>8</v>
      </c>
      <c r="R5" s="234">
        <f xml:space="preserve"> Time!R$10</f>
        <v>9</v>
      </c>
      <c r="S5" s="234">
        <f xml:space="preserve"> Time!S$10</f>
        <v>10</v>
      </c>
      <c r="T5" s="234">
        <f xml:space="preserve"> Time!T$10</f>
        <v>11</v>
      </c>
      <c r="U5" s="234">
        <f xml:space="preserve"> Time!U$10</f>
        <v>12</v>
      </c>
      <c r="V5" s="234">
        <f xml:space="preserve"> Time!V$10</f>
        <v>13</v>
      </c>
      <c r="W5" s="234">
        <f xml:space="preserve"> Time!W$10</f>
        <v>14</v>
      </c>
      <c r="X5" s="234">
        <f xml:space="preserve"> Time!X$10</f>
        <v>15</v>
      </c>
      <c r="Y5" s="234">
        <f xml:space="preserve"> Time!Y$10</f>
        <v>16</v>
      </c>
      <c r="Z5" s="234">
        <f xml:space="preserve"> Time!Z$10</f>
        <v>17</v>
      </c>
      <c r="AA5" s="234">
        <f xml:space="preserve"> Time!AA$10</f>
        <v>18</v>
      </c>
      <c r="AB5" s="234">
        <f xml:space="preserve"> Time!AB$10</f>
        <v>19</v>
      </c>
      <c r="AC5" s="234">
        <f xml:space="preserve"> Time!AC$10</f>
        <v>20</v>
      </c>
      <c r="AD5" s="234">
        <f xml:space="preserve"> Time!AD$10</f>
        <v>21</v>
      </c>
      <c r="AE5" s="234">
        <f xml:space="preserve"> Time!AE$10</f>
        <v>22</v>
      </c>
      <c r="AF5" s="234">
        <f xml:space="preserve"> Time!AF$10</f>
        <v>23</v>
      </c>
      <c r="AG5" s="234">
        <f xml:space="preserve"> Time!AG$10</f>
        <v>24</v>
      </c>
      <c r="AH5" s="234">
        <f xml:space="preserve"> Time!AH$10</f>
        <v>25</v>
      </c>
      <c r="AI5" s="234">
        <f xml:space="preserve"> Time!AI$10</f>
        <v>26</v>
      </c>
      <c r="AJ5" s="234">
        <f xml:space="preserve"> Time!AJ$10</f>
        <v>27</v>
      </c>
      <c r="AK5" s="234">
        <f xml:space="preserve"> Time!AK$10</f>
        <v>28</v>
      </c>
      <c r="AL5" s="234">
        <f xml:space="preserve"> Time!AL$10</f>
        <v>29</v>
      </c>
      <c r="AM5" s="234">
        <f xml:space="preserve"> Time!AM$10</f>
        <v>30</v>
      </c>
      <c r="AN5" s="234">
        <f xml:space="preserve"> Time!AN$10</f>
        <v>31</v>
      </c>
      <c r="AO5" s="234">
        <f xml:space="preserve"> Time!AO$10</f>
        <v>32</v>
      </c>
      <c r="AP5" s="234">
        <f xml:space="preserve"> Time!AP$10</f>
        <v>33</v>
      </c>
      <c r="AQ5" s="234">
        <f xml:space="preserve"> Time!AQ$10</f>
        <v>34</v>
      </c>
      <c r="AR5" s="234">
        <f xml:space="preserve"> Time!AR$10</f>
        <v>35</v>
      </c>
      <c r="AS5" s="234">
        <f xml:space="preserve"> Time!AS$10</f>
        <v>36</v>
      </c>
      <c r="AT5" s="234">
        <f xml:space="preserve"> Time!AT$10</f>
        <v>37</v>
      </c>
      <c r="AU5" s="234">
        <f xml:space="preserve"> Time!AU$10</f>
        <v>38</v>
      </c>
      <c r="AV5" s="234">
        <f xml:space="preserve"> Time!AV$10</f>
        <v>39</v>
      </c>
      <c r="AW5" s="234">
        <f xml:space="preserve"> Time!AW$10</f>
        <v>40</v>
      </c>
      <c r="AX5" s="234">
        <f xml:space="preserve"> Time!AX$10</f>
        <v>41</v>
      </c>
      <c r="AY5" s="234">
        <f xml:space="preserve"> Time!AY$10</f>
        <v>42</v>
      </c>
      <c r="AZ5" s="234">
        <f xml:space="preserve"> Time!AZ$10</f>
        <v>43</v>
      </c>
      <c r="BA5" s="234">
        <f xml:space="preserve"> Time!BA$10</f>
        <v>44</v>
      </c>
      <c r="BB5" s="234">
        <f xml:space="preserve"> Time!BB$10</f>
        <v>45</v>
      </c>
      <c r="BC5" s="234">
        <f xml:space="preserve"> Time!BC$10</f>
        <v>46</v>
      </c>
      <c r="BD5" s="234">
        <f xml:space="preserve"> Time!BD$10</f>
        <v>47</v>
      </c>
      <c r="BE5" s="234">
        <f xml:space="preserve"> Time!BE$10</f>
        <v>48</v>
      </c>
      <c r="BF5" s="191"/>
      <c r="BG5" s="191"/>
      <c r="BH5" s="191"/>
      <c r="BI5" s="191"/>
      <c r="BJ5" s="191"/>
      <c r="BK5" s="191"/>
      <c r="BL5" s="191"/>
      <c r="BM5" s="191"/>
      <c r="BN5" s="191"/>
      <c r="BO5" s="191"/>
      <c r="BP5" s="191"/>
      <c r="BQ5" s="191"/>
      <c r="BR5" s="191"/>
      <c r="BS5" s="191"/>
      <c r="BT5" s="191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191"/>
      <c r="CO5" s="191"/>
      <c r="CP5" s="191"/>
      <c r="CQ5" s="191"/>
      <c r="CR5" s="191"/>
      <c r="CS5" s="191"/>
      <c r="CT5" s="191"/>
      <c r="CU5" s="191"/>
      <c r="CV5" s="191"/>
      <c r="CW5" s="191"/>
      <c r="CX5" s="191"/>
      <c r="CY5" s="191"/>
      <c r="CZ5" s="191"/>
      <c r="DA5" s="191"/>
      <c r="DB5" s="191"/>
      <c r="DC5" s="191"/>
      <c r="DD5" s="191"/>
      <c r="DE5" s="191"/>
      <c r="DF5" s="191"/>
      <c r="DG5" s="191"/>
      <c r="DH5" s="191"/>
      <c r="DI5" s="191"/>
      <c r="DJ5" s="191"/>
      <c r="DK5" s="191"/>
      <c r="DL5" s="191"/>
      <c r="DM5" s="191"/>
      <c r="DN5" s="191"/>
      <c r="DO5" s="191"/>
      <c r="DP5" s="191"/>
      <c r="DQ5" s="191"/>
      <c r="DR5" s="191"/>
      <c r="DS5" s="191"/>
      <c r="DT5" s="191"/>
      <c r="DU5" s="191"/>
      <c r="DV5" s="191"/>
      <c r="DW5" s="191"/>
      <c r="DX5" s="191"/>
      <c r="DY5" s="191"/>
      <c r="DZ5" s="191"/>
      <c r="EA5" s="191"/>
      <c r="EB5" s="191"/>
      <c r="EC5" s="191"/>
      <c r="ED5" s="191"/>
      <c r="EE5" s="191"/>
      <c r="EF5" s="191"/>
      <c r="EG5" s="191"/>
      <c r="EH5" s="191"/>
      <c r="EI5" s="191"/>
      <c r="EJ5" s="191"/>
      <c r="EK5" s="191"/>
      <c r="EL5" s="191"/>
      <c r="EM5" s="191"/>
      <c r="EN5" s="191"/>
      <c r="EO5" s="191"/>
      <c r="EP5" s="191"/>
      <c r="EQ5" s="191"/>
      <c r="ER5" s="191"/>
      <c r="ES5" s="191"/>
      <c r="ET5" s="191"/>
      <c r="EU5" s="191"/>
      <c r="EV5" s="191"/>
      <c r="EW5" s="191"/>
      <c r="EX5" s="191"/>
      <c r="EY5" s="191"/>
      <c r="EZ5" s="191"/>
      <c r="FA5" s="191"/>
      <c r="FB5" s="191"/>
      <c r="FC5" s="191"/>
      <c r="FD5" s="191"/>
      <c r="FE5" s="191"/>
      <c r="FF5" s="191"/>
      <c r="FG5" s="191"/>
      <c r="FH5" s="191"/>
      <c r="FI5" s="191"/>
      <c r="FJ5" s="191"/>
      <c r="FK5" s="191"/>
      <c r="FL5" s="191"/>
      <c r="FM5" s="191"/>
      <c r="FN5" s="191"/>
      <c r="FO5" s="191"/>
    </row>
    <row r="6" spans="1:171" s="38" customFormat="1" x14ac:dyDescent="0.2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</row>
    <row r="7" spans="1:171" x14ac:dyDescent="0.2">
      <c r="A7" s="15" t="s">
        <v>410</v>
      </c>
    </row>
    <row r="8" spans="1:171" outlineLevel="1" x14ac:dyDescent="0.2"/>
    <row r="9" spans="1:171" s="314" customFormat="1" outlineLevel="1" x14ac:dyDescent="0.2">
      <c r="A9" s="311"/>
      <c r="B9" s="311"/>
      <c r="C9" s="312"/>
      <c r="D9" s="313"/>
      <c r="E9" s="314" t="s">
        <v>248</v>
      </c>
      <c r="G9" s="314" t="s">
        <v>103</v>
      </c>
      <c r="H9" s="314">
        <f xml:space="preserve"> SUM(J9:BE9)</f>
        <v>0.99999999999999956</v>
      </c>
      <c r="I9" s="315"/>
      <c r="J9" s="492"/>
      <c r="K9" s="492"/>
      <c r="L9" s="492"/>
      <c r="M9" s="492"/>
      <c r="N9" s="492">
        <v>3.8461538461538464E-2</v>
      </c>
      <c r="O9" s="492">
        <v>3.8461538461538464E-2</v>
      </c>
      <c r="P9" s="492">
        <v>3.8461538461538464E-2</v>
      </c>
      <c r="Q9" s="492">
        <v>3.8461538461538464E-2</v>
      </c>
      <c r="R9" s="492">
        <v>3.8461538461538464E-2</v>
      </c>
      <c r="S9" s="492">
        <v>3.8461538461538464E-2</v>
      </c>
      <c r="T9" s="492">
        <v>3.8461538461538464E-2</v>
      </c>
      <c r="U9" s="492">
        <v>3.8461538461538464E-2</v>
      </c>
      <c r="V9" s="492">
        <v>3.8461538461538464E-2</v>
      </c>
      <c r="W9" s="492">
        <v>3.8461538461538464E-2</v>
      </c>
      <c r="X9" s="492">
        <v>3.8461538461538464E-2</v>
      </c>
      <c r="Y9" s="492">
        <v>3.8461538461538464E-2</v>
      </c>
      <c r="Z9" s="492">
        <v>3.8461538461538464E-2</v>
      </c>
      <c r="AA9" s="492">
        <v>3.8461538461538464E-2</v>
      </c>
      <c r="AB9" s="492">
        <v>3.8461538461538464E-2</v>
      </c>
      <c r="AC9" s="492">
        <v>3.8461538461538464E-2</v>
      </c>
      <c r="AD9" s="492">
        <v>3.8461538461538464E-2</v>
      </c>
      <c r="AE9" s="492">
        <v>3.8461538461538464E-2</v>
      </c>
      <c r="AF9" s="492">
        <v>3.8461538461538464E-2</v>
      </c>
      <c r="AG9" s="492">
        <v>3.8461538461538464E-2</v>
      </c>
      <c r="AH9" s="492">
        <v>3.8461538461538464E-2</v>
      </c>
      <c r="AI9" s="492">
        <v>3.8461538461538464E-2</v>
      </c>
      <c r="AJ9" s="492">
        <v>3.8461538461538464E-2</v>
      </c>
      <c r="AK9" s="492">
        <v>3.8461538461538464E-2</v>
      </c>
      <c r="AL9" s="492">
        <v>3.8461538461538464E-2</v>
      </c>
      <c r="AM9" s="492">
        <v>3.8461538461538464E-2</v>
      </c>
      <c r="AN9" s="492"/>
      <c r="AO9" s="492"/>
      <c r="AP9" s="492"/>
      <c r="AQ9" s="492"/>
      <c r="AR9" s="492"/>
      <c r="AS9" s="492"/>
      <c r="AT9" s="492"/>
      <c r="AU9" s="492"/>
      <c r="AV9" s="492"/>
      <c r="AW9" s="492"/>
      <c r="AX9" s="492"/>
      <c r="AY9" s="492"/>
      <c r="AZ9" s="492"/>
      <c r="BA9" s="492"/>
      <c r="BB9" s="492"/>
      <c r="BC9" s="492"/>
      <c r="BD9" s="492"/>
      <c r="BE9" s="492"/>
    </row>
    <row r="10" spans="1:171" outlineLevel="1" x14ac:dyDescent="0.2"/>
    <row r="11" spans="1:171" x14ac:dyDescent="0.2"/>
    <row r="12" spans="1:171" s="114" customFormat="1" x14ac:dyDescent="0.2">
      <c r="A12" s="522" t="s">
        <v>214</v>
      </c>
      <c r="B12" s="522"/>
      <c r="C12" s="523"/>
      <c r="D12" s="524"/>
      <c r="E12" s="525"/>
      <c r="F12" s="525"/>
      <c r="G12" s="525"/>
      <c r="H12" s="525"/>
      <c r="I12" s="526"/>
      <c r="J12" s="525"/>
      <c r="K12" s="525"/>
      <c r="L12" s="525"/>
      <c r="M12" s="525"/>
      <c r="N12" s="525"/>
      <c r="O12" s="525"/>
      <c r="P12" s="525"/>
      <c r="Q12" s="525"/>
      <c r="R12" s="525"/>
      <c r="S12" s="525"/>
      <c r="T12" s="525"/>
      <c r="U12" s="525"/>
      <c r="V12" s="525"/>
      <c r="W12" s="525"/>
      <c r="X12" s="525"/>
      <c r="Y12" s="525"/>
      <c r="Z12" s="525"/>
      <c r="AA12" s="525"/>
      <c r="AB12" s="525"/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</row>
    <row r="13" spans="1:171" s="114" customFormat="1" outlineLevel="1" x14ac:dyDescent="0.2">
      <c r="A13" s="522"/>
      <c r="B13" s="522"/>
      <c r="C13" s="523"/>
      <c r="D13" s="524"/>
      <c r="E13" s="525"/>
      <c r="F13" s="525"/>
      <c r="G13" s="525"/>
      <c r="H13" s="525"/>
      <c r="I13" s="526"/>
      <c r="J13" s="525"/>
      <c r="K13" s="525"/>
      <c r="L13" s="525"/>
      <c r="M13" s="525"/>
      <c r="N13" s="525"/>
      <c r="O13" s="525"/>
      <c r="P13" s="525"/>
      <c r="Q13" s="525"/>
      <c r="R13" s="525"/>
      <c r="S13" s="525"/>
      <c r="T13" s="525"/>
      <c r="U13" s="525"/>
      <c r="V13" s="525"/>
      <c r="W13" s="525"/>
      <c r="X13" s="525"/>
      <c r="Y13" s="525"/>
      <c r="Z13" s="525"/>
      <c r="AA13" s="525"/>
      <c r="AB13" s="525"/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</row>
    <row r="14" spans="1:171" s="114" customFormat="1" outlineLevel="1" x14ac:dyDescent="0.2">
      <c r="A14" s="522"/>
      <c r="B14" s="522"/>
      <c r="C14" s="523"/>
      <c r="D14" s="524"/>
      <c r="E14" s="699" t="str">
        <f xml:space="preserve"> InpC!E$198</f>
        <v>Debt forward curve selection</v>
      </c>
      <c r="F14" s="699">
        <f xml:space="preserve"> InpC!F$198</f>
        <v>1</v>
      </c>
      <c r="G14" s="699" t="str">
        <f xml:space="preserve"> InpC!G$198</f>
        <v>profile</v>
      </c>
      <c r="H14" s="663"/>
      <c r="I14" s="526"/>
      <c r="J14" s="525"/>
      <c r="K14" s="525"/>
      <c r="L14" s="525"/>
      <c r="M14" s="525"/>
      <c r="N14" s="525"/>
      <c r="O14" s="525"/>
      <c r="P14" s="525"/>
      <c r="Q14" s="525"/>
      <c r="R14" s="525"/>
      <c r="S14" s="525"/>
      <c r="T14" s="525"/>
      <c r="U14" s="525"/>
      <c r="V14" s="525"/>
      <c r="W14" s="525"/>
      <c r="X14" s="525"/>
      <c r="Y14" s="525"/>
      <c r="Z14" s="525"/>
      <c r="AA14" s="525"/>
      <c r="AB14" s="525"/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</row>
    <row r="15" spans="1:171" s="114" customFormat="1" outlineLevel="1" x14ac:dyDescent="0.2">
      <c r="A15" s="311"/>
      <c r="B15" s="311"/>
      <c r="C15" s="312"/>
      <c r="D15" s="313"/>
      <c r="E15" s="314" t="s">
        <v>634</v>
      </c>
      <c r="F15" s="314"/>
      <c r="G15" s="314" t="s">
        <v>116</v>
      </c>
      <c r="H15" s="314"/>
      <c r="I15" s="315"/>
      <c r="J15" s="755">
        <v>1.9172E-3</v>
      </c>
      <c r="K15" s="755">
        <v>1.8992E-3</v>
      </c>
      <c r="L15" s="755">
        <v>1.5041E-3</v>
      </c>
      <c r="M15" s="755">
        <v>1.0983E-3</v>
      </c>
      <c r="N15" s="755">
        <v>1.0581E-3</v>
      </c>
      <c r="O15" s="755">
        <v>1.5092E-3</v>
      </c>
      <c r="P15" s="755">
        <v>1.4649999999999999E-3</v>
      </c>
      <c r="Q15" s="755">
        <v>1.3595999999999999E-3</v>
      </c>
      <c r="R15" s="755">
        <v>1.4169E-3</v>
      </c>
      <c r="S15" s="755">
        <v>1.4812E-3</v>
      </c>
      <c r="T15" s="755">
        <v>1.4021000000000001E-3</v>
      </c>
      <c r="U15" s="755">
        <v>1.6615E-3</v>
      </c>
      <c r="V15" s="755">
        <v>2.0192000000000001E-3</v>
      </c>
      <c r="W15" s="755">
        <v>2.0403999999999999E-3</v>
      </c>
      <c r="X15" s="755">
        <v>2.0627000000000002E-3</v>
      </c>
      <c r="Y15" s="755">
        <v>2.0866000000000001E-3</v>
      </c>
      <c r="Z15" s="755">
        <v>2.1135999999999998E-3</v>
      </c>
      <c r="AA15" s="755">
        <v>2.2486999999999997E-3</v>
      </c>
      <c r="AB15" s="755">
        <v>2.2722000000000003E-3</v>
      </c>
      <c r="AC15" s="755">
        <v>2.2961000000000001E-3</v>
      </c>
      <c r="AD15" s="755">
        <v>2.3203999999999998E-3</v>
      </c>
      <c r="AE15" s="755">
        <v>2.3438999999999999E-3</v>
      </c>
      <c r="AF15" s="755">
        <v>2.3666E-3</v>
      </c>
      <c r="AG15" s="755">
        <v>2.3907999999999998E-3</v>
      </c>
      <c r="AH15" s="755">
        <v>2.4146000000000003E-3</v>
      </c>
      <c r="AI15" s="755">
        <v>2.4364E-3</v>
      </c>
      <c r="AJ15" s="755">
        <v>2.4598999999999997E-3</v>
      </c>
      <c r="AK15" s="755">
        <v>2.4835999999999999E-3</v>
      </c>
      <c r="AL15" s="755">
        <v>2.5635999999999996E-3</v>
      </c>
      <c r="AM15" s="755">
        <v>3.4166999999999999E-3</v>
      </c>
      <c r="AN15" s="755">
        <v>3.4851999999999999E-3</v>
      </c>
      <c r="AO15" s="755">
        <v>3.5525000000000001E-3</v>
      </c>
      <c r="AP15" s="755">
        <v>3.6220000000000002E-3</v>
      </c>
      <c r="AQ15" s="755">
        <v>3.6902000000000003E-3</v>
      </c>
      <c r="AR15" s="755">
        <v>3.7572999999999999E-3</v>
      </c>
      <c r="AS15" s="755">
        <v>3.8265999999999999E-3</v>
      </c>
      <c r="AT15" s="755">
        <v>3.8E-3</v>
      </c>
      <c r="AU15" s="755">
        <v>3.8999999999999998E-3</v>
      </c>
      <c r="AV15" s="755">
        <v>4.0000000000000001E-3</v>
      </c>
      <c r="AW15" s="755">
        <v>4.1000000000000003E-3</v>
      </c>
      <c r="AX15" s="755">
        <v>4.1999999999999997E-3</v>
      </c>
      <c r="AY15" s="755">
        <v>4.4000000000000003E-3</v>
      </c>
      <c r="AZ15" s="755">
        <v>4.4999999999999997E-3</v>
      </c>
      <c r="BA15" s="755">
        <v>4.4999999999999997E-3</v>
      </c>
      <c r="BB15" s="755">
        <v>4.4000000000000003E-3</v>
      </c>
      <c r="BC15" s="755">
        <v>4.4000000000000003E-3</v>
      </c>
      <c r="BD15" s="755">
        <v>4.4000000000000003E-3</v>
      </c>
      <c r="BE15" s="755">
        <v>4.4000000000000003E-3</v>
      </c>
    </row>
    <row r="16" spans="1:171" s="114" customFormat="1" outlineLevel="1" x14ac:dyDescent="0.2">
      <c r="A16" s="311"/>
      <c r="B16" s="311"/>
      <c r="C16" s="312"/>
      <c r="D16" s="313"/>
      <c r="E16" s="314" t="s">
        <v>841</v>
      </c>
      <c r="F16" s="314"/>
      <c r="G16" s="314" t="s">
        <v>116</v>
      </c>
      <c r="H16" s="314"/>
      <c r="I16" s="315"/>
      <c r="J16" s="466"/>
      <c r="K16" s="466"/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</row>
    <row r="17" spans="1:57" s="114" customFormat="1" outlineLevel="1" x14ac:dyDescent="0.2">
      <c r="A17" s="311"/>
      <c r="B17" s="311"/>
      <c r="C17" s="312"/>
      <c r="D17" s="313"/>
      <c r="E17" s="315" t="s">
        <v>842</v>
      </c>
      <c r="F17" s="314"/>
      <c r="G17" s="314" t="s">
        <v>116</v>
      </c>
      <c r="H17" s="314"/>
      <c r="I17" s="315"/>
      <c r="J17" s="466"/>
      <c r="K17" s="466"/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</row>
    <row r="18" spans="1:57" s="314" customFormat="1" outlineLevel="1" x14ac:dyDescent="0.2">
      <c r="A18" s="311"/>
      <c r="B18" s="311"/>
      <c r="C18" s="312"/>
      <c r="D18" s="313"/>
      <c r="E18" s="314" t="s">
        <v>565</v>
      </c>
      <c r="G18" s="314" t="s">
        <v>116</v>
      </c>
      <c r="I18" s="315"/>
      <c r="J18" s="314">
        <f t="shared" ref="J18:AO18" si="0" xml:space="preserve"> INDEX(J15:J17, $F14)</f>
        <v>1.9172E-3</v>
      </c>
      <c r="K18" s="314">
        <f t="shared" si="0"/>
        <v>1.8992E-3</v>
      </c>
      <c r="L18" s="314">
        <f t="shared" si="0"/>
        <v>1.5041E-3</v>
      </c>
      <c r="M18" s="314">
        <f t="shared" si="0"/>
        <v>1.0983E-3</v>
      </c>
      <c r="N18" s="314">
        <f t="shared" si="0"/>
        <v>1.0581E-3</v>
      </c>
      <c r="O18" s="314">
        <f t="shared" si="0"/>
        <v>1.5092E-3</v>
      </c>
      <c r="P18" s="314">
        <f t="shared" si="0"/>
        <v>1.4649999999999999E-3</v>
      </c>
      <c r="Q18" s="314">
        <f t="shared" si="0"/>
        <v>1.3595999999999999E-3</v>
      </c>
      <c r="R18" s="314">
        <f t="shared" si="0"/>
        <v>1.4169E-3</v>
      </c>
      <c r="S18" s="314">
        <f t="shared" si="0"/>
        <v>1.4812E-3</v>
      </c>
      <c r="T18" s="314">
        <f t="shared" si="0"/>
        <v>1.4021000000000001E-3</v>
      </c>
      <c r="U18" s="314">
        <f t="shared" si="0"/>
        <v>1.6615E-3</v>
      </c>
      <c r="V18" s="314">
        <f t="shared" si="0"/>
        <v>2.0192000000000001E-3</v>
      </c>
      <c r="W18" s="314">
        <f t="shared" si="0"/>
        <v>2.0403999999999999E-3</v>
      </c>
      <c r="X18" s="314">
        <f t="shared" si="0"/>
        <v>2.0627000000000002E-3</v>
      </c>
      <c r="Y18" s="314">
        <f t="shared" si="0"/>
        <v>2.0866000000000001E-3</v>
      </c>
      <c r="Z18" s="314">
        <f t="shared" si="0"/>
        <v>2.1135999999999998E-3</v>
      </c>
      <c r="AA18" s="314">
        <f t="shared" si="0"/>
        <v>2.2486999999999997E-3</v>
      </c>
      <c r="AB18" s="314">
        <f t="shared" si="0"/>
        <v>2.2722000000000003E-3</v>
      </c>
      <c r="AC18" s="314">
        <f t="shared" si="0"/>
        <v>2.2961000000000001E-3</v>
      </c>
      <c r="AD18" s="314">
        <f t="shared" si="0"/>
        <v>2.3203999999999998E-3</v>
      </c>
      <c r="AE18" s="314">
        <f t="shared" si="0"/>
        <v>2.3438999999999999E-3</v>
      </c>
      <c r="AF18" s="314">
        <f t="shared" si="0"/>
        <v>2.3666E-3</v>
      </c>
      <c r="AG18" s="314">
        <f t="shared" si="0"/>
        <v>2.3907999999999998E-3</v>
      </c>
      <c r="AH18" s="314">
        <f t="shared" si="0"/>
        <v>2.4146000000000003E-3</v>
      </c>
      <c r="AI18" s="314">
        <f t="shared" si="0"/>
        <v>2.4364E-3</v>
      </c>
      <c r="AJ18" s="314">
        <f t="shared" si="0"/>
        <v>2.4598999999999997E-3</v>
      </c>
      <c r="AK18" s="314">
        <f t="shared" si="0"/>
        <v>2.4835999999999999E-3</v>
      </c>
      <c r="AL18" s="314">
        <f t="shared" si="0"/>
        <v>2.5635999999999996E-3</v>
      </c>
      <c r="AM18" s="314">
        <f t="shared" si="0"/>
        <v>3.4166999999999999E-3</v>
      </c>
      <c r="AN18" s="314">
        <f t="shared" si="0"/>
        <v>3.4851999999999999E-3</v>
      </c>
      <c r="AO18" s="314">
        <f t="shared" si="0"/>
        <v>3.5525000000000001E-3</v>
      </c>
      <c r="AP18" s="314">
        <f t="shared" ref="AP18:BE18" si="1" xml:space="preserve"> INDEX(AP15:AP17, $F14)</f>
        <v>3.6220000000000002E-3</v>
      </c>
      <c r="AQ18" s="314">
        <f t="shared" si="1"/>
        <v>3.6902000000000003E-3</v>
      </c>
      <c r="AR18" s="314">
        <f t="shared" si="1"/>
        <v>3.7572999999999999E-3</v>
      </c>
      <c r="AS18" s="314">
        <f t="shared" si="1"/>
        <v>3.8265999999999999E-3</v>
      </c>
      <c r="AT18" s="314">
        <f t="shared" si="1"/>
        <v>3.8E-3</v>
      </c>
      <c r="AU18" s="314">
        <f t="shared" si="1"/>
        <v>3.8999999999999998E-3</v>
      </c>
      <c r="AV18" s="314">
        <f t="shared" si="1"/>
        <v>4.0000000000000001E-3</v>
      </c>
      <c r="AW18" s="314">
        <f t="shared" si="1"/>
        <v>4.1000000000000003E-3</v>
      </c>
      <c r="AX18" s="314">
        <f t="shared" si="1"/>
        <v>4.1999999999999997E-3</v>
      </c>
      <c r="AY18" s="314">
        <f t="shared" si="1"/>
        <v>4.4000000000000003E-3</v>
      </c>
      <c r="AZ18" s="314">
        <f t="shared" si="1"/>
        <v>4.4999999999999997E-3</v>
      </c>
      <c r="BA18" s="314">
        <f t="shared" si="1"/>
        <v>4.4999999999999997E-3</v>
      </c>
      <c r="BB18" s="314">
        <f t="shared" si="1"/>
        <v>4.4000000000000003E-3</v>
      </c>
      <c r="BC18" s="314">
        <f t="shared" si="1"/>
        <v>4.4000000000000003E-3</v>
      </c>
      <c r="BD18" s="314">
        <f t="shared" si="1"/>
        <v>4.4000000000000003E-3</v>
      </c>
      <c r="BE18" s="314">
        <f t="shared" si="1"/>
        <v>4.4000000000000003E-3</v>
      </c>
    </row>
    <row r="19" spans="1:57" outlineLevel="1" x14ac:dyDescent="0.2"/>
    <row r="20" spans="1:57" x14ac:dyDescent="0.2"/>
    <row r="21" spans="1:57" x14ac:dyDescent="0.2">
      <c r="A21" s="15" t="s">
        <v>62</v>
      </c>
    </row>
  </sheetData>
  <conditionalFormatting sqref="J3:BE3">
    <cfRule type="cellIs" dxfId="234" priority="8" stopIfTrue="1" operator="equal">
      <formula>"Construction"</formula>
    </cfRule>
    <cfRule type="cellIs" dxfId="233" priority="9" stopIfTrue="1" operator="equal">
      <formula>"Operations"</formula>
    </cfRule>
  </conditionalFormatting>
  <conditionalFormatting sqref="J3:BE3">
    <cfRule type="cellIs" dxfId="232" priority="7" operator="equal">
      <formula>"Fin Close"</formula>
    </cfRule>
  </conditionalFormatting>
  <conditionalFormatting sqref="J3:BE3">
    <cfRule type="cellIs" dxfId="231" priority="5" operator="equal">
      <formula>"PPA ext."</formula>
    </cfRule>
    <cfRule type="cellIs" dxfId="230" priority="6" operator="equal">
      <formula>"Delay"</formula>
    </cfRule>
  </conditionalFormatting>
  <conditionalFormatting sqref="F2:F4">
    <cfRule type="cellIs" dxfId="229" priority="1" stopIfTrue="1" operator="notEqual">
      <formula>0</formula>
    </cfRule>
    <cfRule type="cellIs" dxfId="228" priority="2" stopIfTrue="1" operator="equal">
      <formula>""</formula>
    </cfRule>
  </conditionalFormatting>
  <conditionalFormatting sqref="F2:F4">
    <cfRule type="cellIs" dxfId="227" priority="3" stopIfTrue="1" operator="notEqual">
      <formula>0</formula>
    </cfRule>
    <cfRule type="cellIs" dxfId="226" priority="4" stopIfTrue="1" operator="equal">
      <formula>""</formula>
    </cfRule>
  </conditionalFormatting>
  <dataValidations count="1">
    <dataValidation allowBlank="1" showInputMessage="1" showErrorMessage="1" sqref="E14:H14" xr:uid="{CBC25BD1-8D97-4B64-8E06-2A88F2DEF952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1881-E785-4032-A0E3-C178C52A39D6}">
  <sheetPr codeName="Sheet20">
    <tabColor theme="1" tint="0.499984740745262"/>
    <outlinePr summaryBelow="0" summaryRight="0"/>
  </sheetPr>
  <dimension ref="A1:KT130"/>
  <sheetViews>
    <sheetView defaultGridColor="0" colorId="8" zoomScale="75" zoomScaleNormal="75" workbookViewId="0">
      <pane xSplit="9" ySplit="5" topLeftCell="J130" activePane="bottomRight" state="frozen"/>
      <selection activeCell="F117" sqref="F117"/>
      <selection pane="topRight" activeCell="F117" sqref="F117"/>
      <selection pane="bottomLeft" activeCell="F117" sqref="F117"/>
      <selection pane="bottomRight" activeCell="H99" sqref="H99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57" width="11.5703125" style="12" customWidth="1"/>
    <col min="58" max="120" width="11.5703125" hidden="1" customWidth="1"/>
    <col min="121" max="306" width="11.5703125" hidden="1"/>
  </cols>
  <sheetData>
    <row r="1" spans="1:306" s="38" customFormat="1" ht="26.25" x14ac:dyDescent="0.2">
      <c r="A1" s="24" t="str">
        <f ca="1" xml:space="preserve"> RIGHT(CELL("filename", A1), LEN(CELL("filename", A1)) - SEARCH("]", CELL("filename", A1))) &amp; " - " &amp; InpC!F3</f>
        <v>ConTime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" customFormat="1" x14ac:dyDescent="0.2">
      <c r="A2" s="49"/>
      <c r="B2" s="49"/>
      <c r="C2" s="50"/>
      <c r="D2" s="51"/>
      <c r="E2" s="468" t="str">
        <f xml:space="preserve"> E$23</f>
        <v>Model period ending - m</v>
      </c>
      <c r="F2" s="271">
        <f ca="1" xml:space="preserve"> Check!$F$9</f>
        <v>1</v>
      </c>
      <c r="G2" s="37" t="s">
        <v>23</v>
      </c>
      <c r="H2" s="25"/>
      <c r="I2" s="132"/>
      <c r="J2" s="22">
        <f t="shared" ref="J2:AO2" si="0" xml:space="preserve"> J$23</f>
        <v>44592</v>
      </c>
      <c r="K2" s="22">
        <f t="shared" si="0"/>
        <v>44620</v>
      </c>
      <c r="L2" s="22">
        <f t="shared" si="0"/>
        <v>44651</v>
      </c>
      <c r="M2" s="22">
        <f t="shared" si="0"/>
        <v>44681</v>
      </c>
      <c r="N2" s="22">
        <f t="shared" si="0"/>
        <v>44712</v>
      </c>
      <c r="O2" s="22">
        <f t="shared" si="0"/>
        <v>44742</v>
      </c>
      <c r="P2" s="22">
        <f t="shared" si="0"/>
        <v>44773</v>
      </c>
      <c r="Q2" s="22">
        <f t="shared" si="0"/>
        <v>44804</v>
      </c>
      <c r="R2" s="22">
        <f t="shared" si="0"/>
        <v>44834</v>
      </c>
      <c r="S2" s="22">
        <f t="shared" si="0"/>
        <v>44865</v>
      </c>
      <c r="T2" s="22">
        <f t="shared" si="0"/>
        <v>44895</v>
      </c>
      <c r="U2" s="22">
        <f t="shared" si="0"/>
        <v>44926</v>
      </c>
      <c r="V2" s="22">
        <f t="shared" si="0"/>
        <v>44957</v>
      </c>
      <c r="W2" s="22">
        <f t="shared" si="0"/>
        <v>44985</v>
      </c>
      <c r="X2" s="22">
        <f t="shared" si="0"/>
        <v>45016</v>
      </c>
      <c r="Y2" s="22">
        <f t="shared" si="0"/>
        <v>45046</v>
      </c>
      <c r="Z2" s="22">
        <f t="shared" si="0"/>
        <v>45077</v>
      </c>
      <c r="AA2" s="22">
        <f t="shared" si="0"/>
        <v>45107</v>
      </c>
      <c r="AB2" s="22">
        <f t="shared" si="0"/>
        <v>45138</v>
      </c>
      <c r="AC2" s="22">
        <f t="shared" si="0"/>
        <v>45169</v>
      </c>
      <c r="AD2" s="22">
        <f t="shared" si="0"/>
        <v>45199</v>
      </c>
      <c r="AE2" s="22">
        <f t="shared" si="0"/>
        <v>45230</v>
      </c>
      <c r="AF2" s="22">
        <f t="shared" si="0"/>
        <v>45260</v>
      </c>
      <c r="AG2" s="22">
        <f t="shared" si="0"/>
        <v>45291</v>
      </c>
      <c r="AH2" s="22">
        <f t="shared" si="0"/>
        <v>45322</v>
      </c>
      <c r="AI2" s="22">
        <f t="shared" si="0"/>
        <v>45351</v>
      </c>
      <c r="AJ2" s="22">
        <f t="shared" si="0"/>
        <v>45382</v>
      </c>
      <c r="AK2" s="22">
        <f t="shared" si="0"/>
        <v>45412</v>
      </c>
      <c r="AL2" s="22">
        <f t="shared" si="0"/>
        <v>45443</v>
      </c>
      <c r="AM2" s="22">
        <f t="shared" si="0"/>
        <v>45473</v>
      </c>
      <c r="AN2" s="22">
        <f t="shared" si="0"/>
        <v>45504</v>
      </c>
      <c r="AO2" s="22">
        <f t="shared" si="0"/>
        <v>45535</v>
      </c>
      <c r="AP2" s="22">
        <f t="shared" ref="AP2:BE2" si="1" xml:space="preserve"> AP$23</f>
        <v>45565</v>
      </c>
      <c r="AQ2" s="22">
        <f t="shared" si="1"/>
        <v>45596</v>
      </c>
      <c r="AR2" s="22">
        <f t="shared" si="1"/>
        <v>45626</v>
      </c>
      <c r="AS2" s="22">
        <f t="shared" si="1"/>
        <v>45657</v>
      </c>
      <c r="AT2" s="22">
        <f t="shared" si="1"/>
        <v>45688</v>
      </c>
      <c r="AU2" s="22">
        <f t="shared" si="1"/>
        <v>45716</v>
      </c>
      <c r="AV2" s="22">
        <f t="shared" si="1"/>
        <v>45747</v>
      </c>
      <c r="AW2" s="22">
        <f t="shared" si="1"/>
        <v>45777</v>
      </c>
      <c r="AX2" s="22">
        <f t="shared" si="1"/>
        <v>45808</v>
      </c>
      <c r="AY2" s="22">
        <f t="shared" si="1"/>
        <v>45838</v>
      </c>
      <c r="AZ2" s="22">
        <f t="shared" si="1"/>
        <v>45869</v>
      </c>
      <c r="BA2" s="22">
        <f t="shared" si="1"/>
        <v>45900</v>
      </c>
      <c r="BB2" s="22">
        <f t="shared" si="1"/>
        <v>45930</v>
      </c>
      <c r="BC2" s="22">
        <f t="shared" si="1"/>
        <v>45961</v>
      </c>
      <c r="BD2" s="22">
        <f t="shared" si="1"/>
        <v>45991</v>
      </c>
      <c r="BE2" s="22">
        <f t="shared" si="1"/>
        <v>46022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</row>
    <row r="3" spans="1:306" s="18" customFormat="1" x14ac:dyDescent="0.2">
      <c r="A3" s="15"/>
      <c r="B3" s="15"/>
      <c r="C3" s="21"/>
      <c r="D3" s="48"/>
      <c r="E3" s="67" t="str">
        <f t="shared" ref="E3" si="2" xml:space="preserve"> E$50</f>
        <v>Timeline label - m</v>
      </c>
      <c r="F3" s="271">
        <f ca="1" xml:space="preserve"> Output!J2</f>
        <v>82</v>
      </c>
      <c r="G3" s="80" t="s">
        <v>25</v>
      </c>
      <c r="H3" s="17"/>
      <c r="I3" s="133"/>
      <c r="J3" s="470" t="str">
        <f t="shared" ref="J3:BE3" si="3" xml:space="preserve"> J$50</f>
        <v>Pre-fcst</v>
      </c>
      <c r="K3" s="470" t="str">
        <f t="shared" si="3"/>
        <v>Pre-fcst</v>
      </c>
      <c r="L3" s="470" t="str">
        <f t="shared" si="3"/>
        <v>Pre-fcst</v>
      </c>
      <c r="M3" s="470" t="str">
        <f t="shared" si="3"/>
        <v>Fin Close</v>
      </c>
      <c r="N3" s="470" t="str">
        <f t="shared" si="3"/>
        <v>Construction</v>
      </c>
      <c r="O3" s="470" t="str">
        <f t="shared" si="3"/>
        <v>Construction</v>
      </c>
      <c r="P3" s="470" t="str">
        <f t="shared" si="3"/>
        <v>Construction</v>
      </c>
      <c r="Q3" s="470" t="str">
        <f t="shared" si="3"/>
        <v>Construction</v>
      </c>
      <c r="R3" s="470" t="str">
        <f t="shared" si="3"/>
        <v>Construction</v>
      </c>
      <c r="S3" s="470" t="str">
        <f t="shared" si="3"/>
        <v>Construction</v>
      </c>
      <c r="T3" s="470" t="str">
        <f t="shared" si="3"/>
        <v>Construction</v>
      </c>
      <c r="U3" s="470" t="str">
        <f t="shared" si="3"/>
        <v>Construction</v>
      </c>
      <c r="V3" s="470" t="str">
        <f t="shared" si="3"/>
        <v>Construction</v>
      </c>
      <c r="W3" s="470" t="str">
        <f t="shared" si="3"/>
        <v>Construction</v>
      </c>
      <c r="X3" s="470" t="str">
        <f t="shared" si="3"/>
        <v>Construction</v>
      </c>
      <c r="Y3" s="470" t="str">
        <f t="shared" si="3"/>
        <v>Construction</v>
      </c>
      <c r="Z3" s="470" t="str">
        <f t="shared" si="3"/>
        <v>Construction</v>
      </c>
      <c r="AA3" s="470" t="str">
        <f t="shared" si="3"/>
        <v>Construction</v>
      </c>
      <c r="AB3" s="470" t="str">
        <f t="shared" si="3"/>
        <v>Construction</v>
      </c>
      <c r="AC3" s="470" t="str">
        <f t="shared" si="3"/>
        <v>Construction</v>
      </c>
      <c r="AD3" s="470" t="str">
        <f t="shared" si="3"/>
        <v>Construction</v>
      </c>
      <c r="AE3" s="470" t="str">
        <f t="shared" si="3"/>
        <v>Construction</v>
      </c>
      <c r="AF3" s="470" t="str">
        <f t="shared" si="3"/>
        <v>Construction</v>
      </c>
      <c r="AG3" s="470" t="str">
        <f t="shared" si="3"/>
        <v>Construction</v>
      </c>
      <c r="AH3" s="470" t="str">
        <f t="shared" si="3"/>
        <v>Construction</v>
      </c>
      <c r="AI3" s="470" t="str">
        <f t="shared" si="3"/>
        <v>Construction</v>
      </c>
      <c r="AJ3" s="470" t="str">
        <f t="shared" si="3"/>
        <v>Construction</v>
      </c>
      <c r="AK3" s="470" t="str">
        <f t="shared" si="3"/>
        <v>Construction</v>
      </c>
      <c r="AL3" s="470" t="str">
        <f t="shared" si="3"/>
        <v>Construction</v>
      </c>
      <c r="AM3" s="470" t="str">
        <f t="shared" si="3"/>
        <v>Construction</v>
      </c>
      <c r="AN3" s="470" t="str">
        <f t="shared" si="3"/>
        <v>Operations</v>
      </c>
      <c r="AO3" s="470" t="str">
        <f t="shared" si="3"/>
        <v>Operations</v>
      </c>
      <c r="AP3" s="470" t="str">
        <f t="shared" si="3"/>
        <v>Operations</v>
      </c>
      <c r="AQ3" s="470" t="str">
        <f t="shared" si="3"/>
        <v>Operations</v>
      </c>
      <c r="AR3" s="470" t="str">
        <f t="shared" si="3"/>
        <v>Operations</v>
      </c>
      <c r="AS3" s="470" t="str">
        <f t="shared" si="3"/>
        <v>Operations</v>
      </c>
      <c r="AT3" s="470" t="str">
        <f t="shared" si="3"/>
        <v>Operations</v>
      </c>
      <c r="AU3" s="470" t="str">
        <f t="shared" si="3"/>
        <v>Operations</v>
      </c>
      <c r="AV3" s="470" t="str">
        <f t="shared" si="3"/>
        <v>Operations</v>
      </c>
      <c r="AW3" s="470" t="str">
        <f t="shared" si="3"/>
        <v>Operations</v>
      </c>
      <c r="AX3" s="470" t="str">
        <f t="shared" si="3"/>
        <v>Operations</v>
      </c>
      <c r="AY3" s="470" t="str">
        <f t="shared" si="3"/>
        <v>Operations</v>
      </c>
      <c r="AZ3" s="470" t="str">
        <f t="shared" si="3"/>
        <v>Operations</v>
      </c>
      <c r="BA3" s="470" t="str">
        <f t="shared" si="3"/>
        <v>Operations</v>
      </c>
      <c r="BB3" s="470" t="str">
        <f t="shared" si="3"/>
        <v>Operations</v>
      </c>
      <c r="BC3" s="470" t="str">
        <f t="shared" si="3"/>
        <v>Operations</v>
      </c>
      <c r="BD3" s="470" t="str">
        <f t="shared" si="3"/>
        <v>Operations</v>
      </c>
      <c r="BE3" s="470" t="str">
        <f t="shared" si="3"/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</row>
    <row r="4" spans="1:306" s="10" customFormat="1" x14ac:dyDescent="0.2">
      <c r="A4" s="15"/>
      <c r="B4" s="15"/>
      <c r="C4" s="21"/>
      <c r="D4" s="48"/>
      <c r="E4" s="196" t="str">
        <f xml:space="preserve"> E$35</f>
        <v>Financial year</v>
      </c>
      <c r="F4" s="271">
        <f xml:space="preserve"> Check!$F$28</f>
        <v>0</v>
      </c>
      <c r="G4" s="80" t="s">
        <v>24</v>
      </c>
      <c r="H4" s="2"/>
      <c r="I4" s="16"/>
      <c r="J4" s="196">
        <f t="shared" ref="J4:BE4" si="4" xml:space="preserve"> J$35</f>
        <v>2022</v>
      </c>
      <c r="K4" s="196">
        <f t="shared" si="4"/>
        <v>2022</v>
      </c>
      <c r="L4" s="196">
        <f t="shared" si="4"/>
        <v>2022</v>
      </c>
      <c r="M4" s="196">
        <f t="shared" si="4"/>
        <v>2022</v>
      </c>
      <c r="N4" s="196">
        <f t="shared" si="4"/>
        <v>2022</v>
      </c>
      <c r="O4" s="196">
        <f t="shared" si="4"/>
        <v>2022</v>
      </c>
      <c r="P4" s="196">
        <f t="shared" si="4"/>
        <v>2023</v>
      </c>
      <c r="Q4" s="196">
        <f t="shared" si="4"/>
        <v>2023</v>
      </c>
      <c r="R4" s="196">
        <f t="shared" si="4"/>
        <v>2023</v>
      </c>
      <c r="S4" s="196">
        <f t="shared" si="4"/>
        <v>2023</v>
      </c>
      <c r="T4" s="196">
        <f t="shared" si="4"/>
        <v>2023</v>
      </c>
      <c r="U4" s="196">
        <f t="shared" si="4"/>
        <v>2023</v>
      </c>
      <c r="V4" s="196">
        <f t="shared" si="4"/>
        <v>2023</v>
      </c>
      <c r="W4" s="196">
        <f t="shared" si="4"/>
        <v>2023</v>
      </c>
      <c r="X4" s="196">
        <f t="shared" si="4"/>
        <v>2023</v>
      </c>
      <c r="Y4" s="196">
        <f t="shared" si="4"/>
        <v>2023</v>
      </c>
      <c r="Z4" s="196">
        <f t="shared" si="4"/>
        <v>2023</v>
      </c>
      <c r="AA4" s="196">
        <f t="shared" si="4"/>
        <v>2023</v>
      </c>
      <c r="AB4" s="196">
        <f t="shared" si="4"/>
        <v>2024</v>
      </c>
      <c r="AC4" s="196">
        <f t="shared" si="4"/>
        <v>2024</v>
      </c>
      <c r="AD4" s="196">
        <f t="shared" si="4"/>
        <v>2024</v>
      </c>
      <c r="AE4" s="196">
        <f t="shared" si="4"/>
        <v>2024</v>
      </c>
      <c r="AF4" s="196">
        <f t="shared" si="4"/>
        <v>2024</v>
      </c>
      <c r="AG4" s="196">
        <f t="shared" si="4"/>
        <v>2024</v>
      </c>
      <c r="AH4" s="196">
        <f t="shared" si="4"/>
        <v>2024</v>
      </c>
      <c r="AI4" s="196">
        <f t="shared" si="4"/>
        <v>2024</v>
      </c>
      <c r="AJ4" s="196">
        <f t="shared" si="4"/>
        <v>2024</v>
      </c>
      <c r="AK4" s="196">
        <f t="shared" si="4"/>
        <v>2024</v>
      </c>
      <c r="AL4" s="196">
        <f t="shared" si="4"/>
        <v>2024</v>
      </c>
      <c r="AM4" s="196">
        <f t="shared" si="4"/>
        <v>2024</v>
      </c>
      <c r="AN4" s="196">
        <f t="shared" si="4"/>
        <v>2025</v>
      </c>
      <c r="AO4" s="196">
        <f t="shared" si="4"/>
        <v>2025</v>
      </c>
      <c r="AP4" s="196">
        <f t="shared" si="4"/>
        <v>2025</v>
      </c>
      <c r="AQ4" s="196">
        <f t="shared" si="4"/>
        <v>2025</v>
      </c>
      <c r="AR4" s="196">
        <f t="shared" si="4"/>
        <v>2025</v>
      </c>
      <c r="AS4" s="196">
        <f t="shared" si="4"/>
        <v>2025</v>
      </c>
      <c r="AT4" s="196">
        <f t="shared" si="4"/>
        <v>2025</v>
      </c>
      <c r="AU4" s="196">
        <f t="shared" si="4"/>
        <v>2025</v>
      </c>
      <c r="AV4" s="196">
        <f t="shared" si="4"/>
        <v>2025</v>
      </c>
      <c r="AW4" s="196">
        <f t="shared" si="4"/>
        <v>2025</v>
      </c>
      <c r="AX4" s="196">
        <f t="shared" si="4"/>
        <v>2025</v>
      </c>
      <c r="AY4" s="196">
        <f t="shared" si="4"/>
        <v>2025</v>
      </c>
      <c r="AZ4" s="196">
        <f t="shared" si="4"/>
        <v>2026</v>
      </c>
      <c r="BA4" s="196">
        <f t="shared" si="4"/>
        <v>2026</v>
      </c>
      <c r="BB4" s="196">
        <f t="shared" si="4"/>
        <v>2026</v>
      </c>
      <c r="BC4" s="196">
        <f t="shared" si="4"/>
        <v>2026</v>
      </c>
      <c r="BD4" s="196">
        <f t="shared" si="4"/>
        <v>2026</v>
      </c>
      <c r="BE4" s="196">
        <f t="shared" si="4"/>
        <v>2026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</row>
    <row r="5" spans="1:306" s="10" customFormat="1" x14ac:dyDescent="0.2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">
      <c r="A7" s="15" t="s">
        <v>3</v>
      </c>
      <c r="E7" s="7"/>
      <c r="F7" s="7"/>
      <c r="G7" s="8"/>
      <c r="H7" s="7"/>
      <c r="I7" s="46"/>
      <c r="J7" s="7"/>
    </row>
    <row r="8" spans="1:306" outlineLevel="1" x14ac:dyDescent="0.2">
      <c r="E8" s="7"/>
      <c r="F8" s="7"/>
      <c r="G8" s="8"/>
      <c r="H8" s="7"/>
      <c r="I8" s="46"/>
      <c r="J8" s="7"/>
    </row>
    <row r="9" spans="1:306" outlineLevel="1" x14ac:dyDescent="0.2">
      <c r="B9" s="15" t="s">
        <v>0</v>
      </c>
      <c r="E9" s="7"/>
      <c r="F9" s="7"/>
      <c r="G9" s="8"/>
      <c r="H9" s="7"/>
      <c r="I9" s="46"/>
      <c r="J9" s="7"/>
    </row>
    <row r="10" spans="1:306" s="188" customFormat="1" outlineLevel="2" x14ac:dyDescent="0.2">
      <c r="A10" s="141"/>
      <c r="B10" s="141"/>
      <c r="C10" s="142"/>
      <c r="D10" s="143"/>
      <c r="E10" s="536" t="s">
        <v>0</v>
      </c>
      <c r="F10" s="536"/>
      <c r="G10" s="536" t="s">
        <v>14</v>
      </c>
      <c r="H10" s="536"/>
      <c r="I10" s="537"/>
      <c r="J10" s="536">
        <f t="shared" ref="J10:BE10" si="5" xml:space="preserve"> I10 + 1</f>
        <v>1</v>
      </c>
      <c r="K10" s="536">
        <f t="shared" si="5"/>
        <v>2</v>
      </c>
      <c r="L10" s="536">
        <f t="shared" si="5"/>
        <v>3</v>
      </c>
      <c r="M10" s="536">
        <f t="shared" si="5"/>
        <v>4</v>
      </c>
      <c r="N10" s="536">
        <f t="shared" si="5"/>
        <v>5</v>
      </c>
      <c r="O10" s="536">
        <f t="shared" si="5"/>
        <v>6</v>
      </c>
      <c r="P10" s="536">
        <f t="shared" si="5"/>
        <v>7</v>
      </c>
      <c r="Q10" s="536">
        <f t="shared" si="5"/>
        <v>8</v>
      </c>
      <c r="R10" s="536">
        <f t="shared" si="5"/>
        <v>9</v>
      </c>
      <c r="S10" s="536">
        <f t="shared" si="5"/>
        <v>10</v>
      </c>
      <c r="T10" s="536">
        <f t="shared" si="5"/>
        <v>11</v>
      </c>
      <c r="U10" s="536">
        <f t="shared" si="5"/>
        <v>12</v>
      </c>
      <c r="V10" s="536">
        <f t="shared" si="5"/>
        <v>13</v>
      </c>
      <c r="W10" s="536">
        <f t="shared" si="5"/>
        <v>14</v>
      </c>
      <c r="X10" s="536">
        <f t="shared" si="5"/>
        <v>15</v>
      </c>
      <c r="Y10" s="536">
        <f t="shared" si="5"/>
        <v>16</v>
      </c>
      <c r="Z10" s="536">
        <f t="shared" si="5"/>
        <v>17</v>
      </c>
      <c r="AA10" s="536">
        <f t="shared" si="5"/>
        <v>18</v>
      </c>
      <c r="AB10" s="536">
        <f t="shared" si="5"/>
        <v>19</v>
      </c>
      <c r="AC10" s="536">
        <f t="shared" si="5"/>
        <v>20</v>
      </c>
      <c r="AD10" s="536">
        <f t="shared" si="5"/>
        <v>21</v>
      </c>
      <c r="AE10" s="536">
        <f t="shared" si="5"/>
        <v>22</v>
      </c>
      <c r="AF10" s="536">
        <f t="shared" si="5"/>
        <v>23</v>
      </c>
      <c r="AG10" s="536">
        <f t="shared" si="5"/>
        <v>24</v>
      </c>
      <c r="AH10" s="536">
        <f t="shared" si="5"/>
        <v>25</v>
      </c>
      <c r="AI10" s="536">
        <f t="shared" si="5"/>
        <v>26</v>
      </c>
      <c r="AJ10" s="536">
        <f t="shared" si="5"/>
        <v>27</v>
      </c>
      <c r="AK10" s="536">
        <f t="shared" si="5"/>
        <v>28</v>
      </c>
      <c r="AL10" s="536">
        <f t="shared" si="5"/>
        <v>29</v>
      </c>
      <c r="AM10" s="536">
        <f t="shared" si="5"/>
        <v>30</v>
      </c>
      <c r="AN10" s="536">
        <f t="shared" si="5"/>
        <v>31</v>
      </c>
      <c r="AO10" s="536">
        <f t="shared" si="5"/>
        <v>32</v>
      </c>
      <c r="AP10" s="536">
        <f t="shared" si="5"/>
        <v>33</v>
      </c>
      <c r="AQ10" s="536">
        <f t="shared" si="5"/>
        <v>34</v>
      </c>
      <c r="AR10" s="536">
        <f t="shared" si="5"/>
        <v>35</v>
      </c>
      <c r="AS10" s="536">
        <f t="shared" si="5"/>
        <v>36</v>
      </c>
      <c r="AT10" s="536">
        <f t="shared" si="5"/>
        <v>37</v>
      </c>
      <c r="AU10" s="536">
        <f t="shared" si="5"/>
        <v>38</v>
      </c>
      <c r="AV10" s="536">
        <f t="shared" si="5"/>
        <v>39</v>
      </c>
      <c r="AW10" s="536">
        <f t="shared" si="5"/>
        <v>40</v>
      </c>
      <c r="AX10" s="536">
        <f t="shared" si="5"/>
        <v>41</v>
      </c>
      <c r="AY10" s="536">
        <f t="shared" si="5"/>
        <v>42</v>
      </c>
      <c r="AZ10" s="536">
        <f t="shared" si="5"/>
        <v>43</v>
      </c>
      <c r="BA10" s="536">
        <f t="shared" si="5"/>
        <v>44</v>
      </c>
      <c r="BB10" s="536">
        <f t="shared" si="5"/>
        <v>45</v>
      </c>
      <c r="BC10" s="536">
        <f t="shared" si="5"/>
        <v>46</v>
      </c>
      <c r="BD10" s="536">
        <f t="shared" si="5"/>
        <v>47</v>
      </c>
      <c r="BE10" s="536">
        <f t="shared" si="5"/>
        <v>48</v>
      </c>
    </row>
    <row r="11" spans="1:306" outlineLevel="1" x14ac:dyDescent="0.2">
      <c r="E11" s="7"/>
      <c r="F11" s="7"/>
      <c r="G11" s="8"/>
      <c r="H11" s="7"/>
      <c r="I11" s="46"/>
      <c r="J11" s="7"/>
    </row>
    <row r="12" spans="1:306" outlineLevel="1" x14ac:dyDescent="0.2">
      <c r="B12" s="15" t="s">
        <v>78</v>
      </c>
      <c r="E12" s="7"/>
      <c r="F12" s="7"/>
      <c r="G12" s="8"/>
      <c r="H12" s="7"/>
      <c r="I12" s="46"/>
      <c r="J12" s="7"/>
    </row>
    <row r="13" spans="1:306" outlineLevel="2" x14ac:dyDescent="0.2">
      <c r="A13" s="53"/>
      <c r="B13" s="54"/>
      <c r="C13" s="55"/>
      <c r="D13" s="56"/>
      <c r="E13" s="134" t="str">
        <f t="shared" ref="E13:AJ13" si="6" xml:space="preserve"> E$10</f>
        <v>Model column counter</v>
      </c>
      <c r="F13" s="134">
        <f t="shared" si="6"/>
        <v>0</v>
      </c>
      <c r="G13" s="134" t="str">
        <f t="shared" si="6"/>
        <v>counter</v>
      </c>
      <c r="H13" s="134">
        <f t="shared" si="6"/>
        <v>0</v>
      </c>
      <c r="I13" s="134">
        <f t="shared" si="6"/>
        <v>0</v>
      </c>
      <c r="J13" s="134">
        <f t="shared" si="6"/>
        <v>1</v>
      </c>
      <c r="K13" s="134">
        <f t="shared" si="6"/>
        <v>2</v>
      </c>
      <c r="L13" s="134">
        <f t="shared" si="6"/>
        <v>3</v>
      </c>
      <c r="M13" s="134">
        <f t="shared" si="6"/>
        <v>4</v>
      </c>
      <c r="N13" s="134">
        <f t="shared" si="6"/>
        <v>5</v>
      </c>
      <c r="O13" s="134">
        <f t="shared" si="6"/>
        <v>6</v>
      </c>
      <c r="P13" s="134">
        <f t="shared" si="6"/>
        <v>7</v>
      </c>
      <c r="Q13" s="134">
        <f t="shared" si="6"/>
        <v>8</v>
      </c>
      <c r="R13" s="134">
        <f t="shared" si="6"/>
        <v>9</v>
      </c>
      <c r="S13" s="134">
        <f t="shared" si="6"/>
        <v>10</v>
      </c>
      <c r="T13" s="134">
        <f t="shared" si="6"/>
        <v>11</v>
      </c>
      <c r="U13" s="134">
        <f t="shared" si="6"/>
        <v>12</v>
      </c>
      <c r="V13" s="134">
        <f t="shared" si="6"/>
        <v>13</v>
      </c>
      <c r="W13" s="134">
        <f t="shared" si="6"/>
        <v>14</v>
      </c>
      <c r="X13" s="134">
        <f t="shared" si="6"/>
        <v>15</v>
      </c>
      <c r="Y13" s="134">
        <f t="shared" si="6"/>
        <v>16</v>
      </c>
      <c r="Z13" s="134">
        <f t="shared" si="6"/>
        <v>17</v>
      </c>
      <c r="AA13" s="134">
        <f t="shared" si="6"/>
        <v>18</v>
      </c>
      <c r="AB13" s="134">
        <f t="shared" si="6"/>
        <v>19</v>
      </c>
      <c r="AC13" s="134">
        <f t="shared" si="6"/>
        <v>20</v>
      </c>
      <c r="AD13" s="134">
        <f t="shared" si="6"/>
        <v>21</v>
      </c>
      <c r="AE13" s="134">
        <f t="shared" si="6"/>
        <v>22</v>
      </c>
      <c r="AF13" s="134">
        <f t="shared" si="6"/>
        <v>23</v>
      </c>
      <c r="AG13" s="134">
        <f t="shared" si="6"/>
        <v>24</v>
      </c>
      <c r="AH13" s="134">
        <f t="shared" si="6"/>
        <v>25</v>
      </c>
      <c r="AI13" s="134">
        <f t="shared" si="6"/>
        <v>26</v>
      </c>
      <c r="AJ13" s="134">
        <f t="shared" si="6"/>
        <v>27</v>
      </c>
      <c r="AK13" s="134">
        <f t="shared" ref="AK13:BE13" si="7" xml:space="preserve"> AK$10</f>
        <v>28</v>
      </c>
      <c r="AL13" s="134">
        <f t="shared" si="7"/>
        <v>29</v>
      </c>
      <c r="AM13" s="134">
        <f t="shared" si="7"/>
        <v>30</v>
      </c>
      <c r="AN13" s="134">
        <f t="shared" si="7"/>
        <v>31</v>
      </c>
      <c r="AO13" s="134">
        <f t="shared" si="7"/>
        <v>32</v>
      </c>
      <c r="AP13" s="134">
        <f t="shared" si="7"/>
        <v>33</v>
      </c>
      <c r="AQ13" s="134">
        <f t="shared" si="7"/>
        <v>34</v>
      </c>
      <c r="AR13" s="134">
        <f t="shared" si="7"/>
        <v>35</v>
      </c>
      <c r="AS13" s="134">
        <f t="shared" si="7"/>
        <v>36</v>
      </c>
      <c r="AT13" s="134">
        <f t="shared" si="7"/>
        <v>37</v>
      </c>
      <c r="AU13" s="134">
        <f t="shared" si="7"/>
        <v>38</v>
      </c>
      <c r="AV13" s="134">
        <f t="shared" si="7"/>
        <v>39</v>
      </c>
      <c r="AW13" s="134">
        <f t="shared" si="7"/>
        <v>40</v>
      </c>
      <c r="AX13" s="134">
        <f t="shared" si="7"/>
        <v>41</v>
      </c>
      <c r="AY13" s="134">
        <f t="shared" si="7"/>
        <v>42</v>
      </c>
      <c r="AZ13" s="134">
        <f t="shared" si="7"/>
        <v>43</v>
      </c>
      <c r="BA13" s="134">
        <f t="shared" si="7"/>
        <v>44</v>
      </c>
      <c r="BB13" s="134">
        <f t="shared" si="7"/>
        <v>45</v>
      </c>
      <c r="BC13" s="134">
        <f t="shared" si="7"/>
        <v>46</v>
      </c>
      <c r="BD13" s="134">
        <f t="shared" si="7"/>
        <v>47</v>
      </c>
      <c r="BE13" s="134">
        <f t="shared" si="7"/>
        <v>48</v>
      </c>
    </row>
    <row r="14" spans="1:306" s="188" customFormat="1" outlineLevel="2" x14ac:dyDescent="0.2">
      <c r="A14" s="141"/>
      <c r="B14" s="141"/>
      <c r="C14" s="142"/>
      <c r="D14" s="143"/>
      <c r="E14" s="187" t="s">
        <v>234</v>
      </c>
      <c r="F14" s="187"/>
      <c r="G14" s="187" t="s">
        <v>5</v>
      </c>
      <c r="H14" s="188">
        <f xml:space="preserve"> SUM(J14:BE14)</f>
        <v>1</v>
      </c>
      <c r="I14" s="144"/>
      <c r="J14" s="187">
        <f t="shared" ref="J14:AO14" si="8" xml:space="preserve"> IF(J13 = 1, 1, 0)</f>
        <v>1</v>
      </c>
      <c r="K14" s="187">
        <f t="shared" si="8"/>
        <v>0</v>
      </c>
      <c r="L14" s="187">
        <f t="shared" si="8"/>
        <v>0</v>
      </c>
      <c r="M14" s="187">
        <f t="shared" si="8"/>
        <v>0</v>
      </c>
      <c r="N14" s="187">
        <f t="shared" si="8"/>
        <v>0</v>
      </c>
      <c r="O14" s="187">
        <f t="shared" si="8"/>
        <v>0</v>
      </c>
      <c r="P14" s="187">
        <f t="shared" si="8"/>
        <v>0</v>
      </c>
      <c r="Q14" s="187">
        <f t="shared" si="8"/>
        <v>0</v>
      </c>
      <c r="R14" s="187">
        <f t="shared" si="8"/>
        <v>0</v>
      </c>
      <c r="S14" s="187">
        <f t="shared" si="8"/>
        <v>0</v>
      </c>
      <c r="T14" s="187">
        <f t="shared" si="8"/>
        <v>0</v>
      </c>
      <c r="U14" s="187">
        <f t="shared" si="8"/>
        <v>0</v>
      </c>
      <c r="V14" s="187">
        <f t="shared" si="8"/>
        <v>0</v>
      </c>
      <c r="W14" s="187">
        <f t="shared" si="8"/>
        <v>0</v>
      </c>
      <c r="X14" s="187">
        <f t="shared" si="8"/>
        <v>0</v>
      </c>
      <c r="Y14" s="187">
        <f t="shared" si="8"/>
        <v>0</v>
      </c>
      <c r="Z14" s="187">
        <f t="shared" si="8"/>
        <v>0</v>
      </c>
      <c r="AA14" s="187">
        <f t="shared" si="8"/>
        <v>0</v>
      </c>
      <c r="AB14" s="187">
        <f t="shared" si="8"/>
        <v>0</v>
      </c>
      <c r="AC14" s="187">
        <f t="shared" si="8"/>
        <v>0</v>
      </c>
      <c r="AD14" s="187">
        <f t="shared" si="8"/>
        <v>0</v>
      </c>
      <c r="AE14" s="187">
        <f t="shared" si="8"/>
        <v>0</v>
      </c>
      <c r="AF14" s="187">
        <f t="shared" si="8"/>
        <v>0</v>
      </c>
      <c r="AG14" s="187">
        <f t="shared" si="8"/>
        <v>0</v>
      </c>
      <c r="AH14" s="187">
        <f t="shared" si="8"/>
        <v>0</v>
      </c>
      <c r="AI14" s="187">
        <f t="shared" si="8"/>
        <v>0</v>
      </c>
      <c r="AJ14" s="187">
        <f t="shared" si="8"/>
        <v>0</v>
      </c>
      <c r="AK14" s="187">
        <f t="shared" si="8"/>
        <v>0</v>
      </c>
      <c r="AL14" s="187">
        <f t="shared" si="8"/>
        <v>0</v>
      </c>
      <c r="AM14" s="187">
        <f t="shared" si="8"/>
        <v>0</v>
      </c>
      <c r="AN14" s="187">
        <f t="shared" si="8"/>
        <v>0</v>
      </c>
      <c r="AO14" s="187">
        <f t="shared" si="8"/>
        <v>0</v>
      </c>
      <c r="AP14" s="187">
        <f t="shared" ref="AP14:BE14" si="9" xml:space="preserve"> IF(AP13 = 1, 1, 0)</f>
        <v>0</v>
      </c>
      <c r="AQ14" s="187">
        <f t="shared" si="9"/>
        <v>0</v>
      </c>
      <c r="AR14" s="187">
        <f t="shared" si="9"/>
        <v>0</v>
      </c>
      <c r="AS14" s="187">
        <f t="shared" si="9"/>
        <v>0</v>
      </c>
      <c r="AT14" s="187">
        <f t="shared" si="9"/>
        <v>0</v>
      </c>
      <c r="AU14" s="187">
        <f t="shared" si="9"/>
        <v>0</v>
      </c>
      <c r="AV14" s="187">
        <f t="shared" si="9"/>
        <v>0</v>
      </c>
      <c r="AW14" s="187">
        <f t="shared" si="9"/>
        <v>0</v>
      </c>
      <c r="AX14" s="187">
        <f t="shared" si="9"/>
        <v>0</v>
      </c>
      <c r="AY14" s="187">
        <f t="shared" si="9"/>
        <v>0</v>
      </c>
      <c r="AZ14" s="187">
        <f t="shared" si="9"/>
        <v>0</v>
      </c>
      <c r="BA14" s="187">
        <f t="shared" si="9"/>
        <v>0</v>
      </c>
      <c r="BB14" s="187">
        <f t="shared" si="9"/>
        <v>0</v>
      </c>
      <c r="BC14" s="187">
        <f t="shared" si="9"/>
        <v>0</v>
      </c>
      <c r="BD14" s="187">
        <f t="shared" si="9"/>
        <v>0</v>
      </c>
      <c r="BE14" s="187">
        <f t="shared" si="9"/>
        <v>0</v>
      </c>
    </row>
    <row r="15" spans="1:306" outlineLevel="1" x14ac:dyDescent="0.2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</row>
    <row r="16" spans="1:306" outlineLevel="1" x14ac:dyDescent="0.2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outlineLevel="2" x14ac:dyDescent="0.2">
      <c r="A17" s="54"/>
      <c r="B17" s="54"/>
      <c r="C17" s="57"/>
      <c r="D17" s="58"/>
      <c r="E17" s="300" t="str">
        <f xml:space="preserve"> InpC!E$13</f>
        <v>First date of time rulers</v>
      </c>
      <c r="F17" s="300">
        <f xml:space="preserve"> InpC!F$13</f>
        <v>44562</v>
      </c>
      <c r="G17" s="300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</row>
    <row r="18" spans="1:57" outlineLevel="2" x14ac:dyDescent="0.2">
      <c r="B18" s="54"/>
      <c r="E18" s="2" t="str">
        <f t="shared" ref="E18:I18" si="10" xml:space="preserve"> E$14</f>
        <v>First model column flag - m</v>
      </c>
      <c r="F18" s="2">
        <f t="shared" si="10"/>
        <v>0</v>
      </c>
      <c r="G18" s="2" t="str">
        <f t="shared" si="10"/>
        <v>flag</v>
      </c>
      <c r="H18" s="2">
        <f t="shared" si="10"/>
        <v>1</v>
      </c>
      <c r="I18" s="16">
        <f t="shared" si="10"/>
        <v>0</v>
      </c>
      <c r="J18" s="2">
        <f t="shared" ref="J18:AO18" si="11" xml:space="preserve"> J$14</f>
        <v>1</v>
      </c>
      <c r="K18" s="2">
        <f t="shared" si="11"/>
        <v>0</v>
      </c>
      <c r="L18" s="2">
        <f t="shared" si="11"/>
        <v>0</v>
      </c>
      <c r="M18" s="2">
        <f t="shared" si="11"/>
        <v>0</v>
      </c>
      <c r="N18" s="2">
        <f t="shared" si="11"/>
        <v>0</v>
      </c>
      <c r="O18" s="2">
        <f t="shared" si="11"/>
        <v>0</v>
      </c>
      <c r="P18" s="2">
        <f t="shared" si="11"/>
        <v>0</v>
      </c>
      <c r="Q18" s="2">
        <f t="shared" si="11"/>
        <v>0</v>
      </c>
      <c r="R18" s="2">
        <f t="shared" si="11"/>
        <v>0</v>
      </c>
      <c r="S18" s="2">
        <f t="shared" si="11"/>
        <v>0</v>
      </c>
      <c r="T18" s="2">
        <f t="shared" si="11"/>
        <v>0</v>
      </c>
      <c r="U18" s="2">
        <f t="shared" si="11"/>
        <v>0</v>
      </c>
      <c r="V18" s="2">
        <f t="shared" si="11"/>
        <v>0</v>
      </c>
      <c r="W18" s="2">
        <f t="shared" si="11"/>
        <v>0</v>
      </c>
      <c r="X18" s="2">
        <f t="shared" si="11"/>
        <v>0</v>
      </c>
      <c r="Y18" s="2">
        <f t="shared" si="11"/>
        <v>0</v>
      </c>
      <c r="Z18" s="2">
        <f t="shared" si="11"/>
        <v>0</v>
      </c>
      <c r="AA18" s="2">
        <f t="shared" si="11"/>
        <v>0</v>
      </c>
      <c r="AB18" s="2">
        <f t="shared" si="11"/>
        <v>0</v>
      </c>
      <c r="AC18" s="2">
        <f t="shared" si="11"/>
        <v>0</v>
      </c>
      <c r="AD18" s="2">
        <f t="shared" si="11"/>
        <v>0</v>
      </c>
      <c r="AE18" s="2">
        <f t="shared" si="11"/>
        <v>0</v>
      </c>
      <c r="AF18" s="2">
        <f t="shared" si="11"/>
        <v>0</v>
      </c>
      <c r="AG18" s="2">
        <f t="shared" si="11"/>
        <v>0</v>
      </c>
      <c r="AH18" s="2">
        <f t="shared" si="11"/>
        <v>0</v>
      </c>
      <c r="AI18" s="2">
        <f t="shared" si="11"/>
        <v>0</v>
      </c>
      <c r="AJ18" s="2">
        <f t="shared" si="11"/>
        <v>0</v>
      </c>
      <c r="AK18" s="2">
        <f t="shared" si="11"/>
        <v>0</v>
      </c>
      <c r="AL18" s="2">
        <f t="shared" si="11"/>
        <v>0</v>
      </c>
      <c r="AM18" s="2">
        <f t="shared" si="11"/>
        <v>0</v>
      </c>
      <c r="AN18" s="2">
        <f t="shared" si="11"/>
        <v>0</v>
      </c>
      <c r="AO18" s="2">
        <f t="shared" si="11"/>
        <v>0</v>
      </c>
      <c r="AP18" s="2">
        <f t="shared" ref="AP18:BE18" si="12" xml:space="preserve"> AP$14</f>
        <v>0</v>
      </c>
      <c r="AQ18" s="2">
        <f t="shared" si="12"/>
        <v>0</v>
      </c>
      <c r="AR18" s="2">
        <f t="shared" si="12"/>
        <v>0</v>
      </c>
      <c r="AS18" s="2">
        <f t="shared" si="12"/>
        <v>0</v>
      </c>
      <c r="AT18" s="2">
        <f t="shared" si="12"/>
        <v>0</v>
      </c>
      <c r="AU18" s="2">
        <f t="shared" si="12"/>
        <v>0</v>
      </c>
      <c r="AV18" s="2">
        <f t="shared" si="12"/>
        <v>0</v>
      </c>
      <c r="AW18" s="2">
        <f t="shared" si="12"/>
        <v>0</v>
      </c>
      <c r="AX18" s="2">
        <f t="shared" si="12"/>
        <v>0</v>
      </c>
      <c r="AY18" s="2">
        <f t="shared" si="12"/>
        <v>0</v>
      </c>
      <c r="AZ18" s="2">
        <f t="shared" si="12"/>
        <v>0</v>
      </c>
      <c r="BA18" s="2">
        <f t="shared" si="12"/>
        <v>0</v>
      </c>
      <c r="BB18" s="2">
        <f t="shared" si="12"/>
        <v>0</v>
      </c>
      <c r="BC18" s="2">
        <f t="shared" si="12"/>
        <v>0</v>
      </c>
      <c r="BD18" s="2">
        <f t="shared" si="12"/>
        <v>0</v>
      </c>
      <c r="BE18" s="2">
        <f t="shared" si="12"/>
        <v>0</v>
      </c>
    </row>
    <row r="19" spans="1:57" outlineLevel="2" x14ac:dyDescent="0.2">
      <c r="A19" s="49"/>
      <c r="B19" s="54"/>
      <c r="C19" s="50"/>
      <c r="D19" s="51"/>
      <c r="E19" s="27" t="s">
        <v>221</v>
      </c>
      <c r="F19" s="27"/>
      <c r="G19" s="27" t="s">
        <v>6</v>
      </c>
      <c r="H19" s="27"/>
      <c r="I19" s="135"/>
      <c r="J19" s="27">
        <f t="shared" ref="J19:BE19" si="13" xml:space="preserve"> IF(J18 = 1, $F17, DATE(YEAR(I19), MONTH(I19) + 1, DAY(1)))</f>
        <v>44562</v>
      </c>
      <c r="K19" s="27">
        <f t="shared" si="13"/>
        <v>44593</v>
      </c>
      <c r="L19" s="27">
        <f t="shared" si="13"/>
        <v>44621</v>
      </c>
      <c r="M19" s="27">
        <f t="shared" si="13"/>
        <v>44652</v>
      </c>
      <c r="N19" s="27">
        <f t="shared" si="13"/>
        <v>44682</v>
      </c>
      <c r="O19" s="27">
        <f t="shared" si="13"/>
        <v>44713</v>
      </c>
      <c r="P19" s="27">
        <f t="shared" si="13"/>
        <v>44743</v>
      </c>
      <c r="Q19" s="27">
        <f t="shared" si="13"/>
        <v>44774</v>
      </c>
      <c r="R19" s="27">
        <f t="shared" si="13"/>
        <v>44805</v>
      </c>
      <c r="S19" s="27">
        <f t="shared" si="13"/>
        <v>44835</v>
      </c>
      <c r="T19" s="27">
        <f t="shared" si="13"/>
        <v>44866</v>
      </c>
      <c r="U19" s="27">
        <f t="shared" si="13"/>
        <v>44896</v>
      </c>
      <c r="V19" s="27">
        <f t="shared" si="13"/>
        <v>44927</v>
      </c>
      <c r="W19" s="27">
        <f t="shared" si="13"/>
        <v>44958</v>
      </c>
      <c r="X19" s="27">
        <f t="shared" si="13"/>
        <v>44986</v>
      </c>
      <c r="Y19" s="27">
        <f t="shared" si="13"/>
        <v>45017</v>
      </c>
      <c r="Z19" s="27">
        <f t="shared" si="13"/>
        <v>45047</v>
      </c>
      <c r="AA19" s="27">
        <f t="shared" si="13"/>
        <v>45078</v>
      </c>
      <c r="AB19" s="27">
        <f t="shared" si="13"/>
        <v>45108</v>
      </c>
      <c r="AC19" s="27">
        <f t="shared" si="13"/>
        <v>45139</v>
      </c>
      <c r="AD19" s="27">
        <f t="shared" si="13"/>
        <v>45170</v>
      </c>
      <c r="AE19" s="27">
        <f t="shared" si="13"/>
        <v>45200</v>
      </c>
      <c r="AF19" s="27">
        <f t="shared" si="13"/>
        <v>45231</v>
      </c>
      <c r="AG19" s="27">
        <f t="shared" si="13"/>
        <v>45261</v>
      </c>
      <c r="AH19" s="27">
        <f t="shared" si="13"/>
        <v>45292</v>
      </c>
      <c r="AI19" s="27">
        <f t="shared" si="13"/>
        <v>45323</v>
      </c>
      <c r="AJ19" s="27">
        <f t="shared" si="13"/>
        <v>45352</v>
      </c>
      <c r="AK19" s="27">
        <f t="shared" si="13"/>
        <v>45383</v>
      </c>
      <c r="AL19" s="27">
        <f t="shared" si="13"/>
        <v>45413</v>
      </c>
      <c r="AM19" s="27">
        <f t="shared" si="13"/>
        <v>45444</v>
      </c>
      <c r="AN19" s="27">
        <f t="shared" si="13"/>
        <v>45474</v>
      </c>
      <c r="AO19" s="27">
        <f t="shared" si="13"/>
        <v>45505</v>
      </c>
      <c r="AP19" s="27">
        <f t="shared" si="13"/>
        <v>45536</v>
      </c>
      <c r="AQ19" s="27">
        <f t="shared" si="13"/>
        <v>45566</v>
      </c>
      <c r="AR19" s="27">
        <f t="shared" si="13"/>
        <v>45597</v>
      </c>
      <c r="AS19" s="27">
        <f t="shared" si="13"/>
        <v>45627</v>
      </c>
      <c r="AT19" s="27">
        <f t="shared" si="13"/>
        <v>45658</v>
      </c>
      <c r="AU19" s="27">
        <f t="shared" si="13"/>
        <v>45689</v>
      </c>
      <c r="AV19" s="27">
        <f t="shared" si="13"/>
        <v>45717</v>
      </c>
      <c r="AW19" s="27">
        <f t="shared" si="13"/>
        <v>45748</v>
      </c>
      <c r="AX19" s="27">
        <f t="shared" si="13"/>
        <v>45778</v>
      </c>
      <c r="AY19" s="27">
        <f t="shared" si="13"/>
        <v>45809</v>
      </c>
      <c r="AZ19" s="27">
        <f t="shared" si="13"/>
        <v>45839</v>
      </c>
      <c r="BA19" s="27">
        <f t="shared" si="13"/>
        <v>45870</v>
      </c>
      <c r="BB19" s="27">
        <f t="shared" si="13"/>
        <v>45901</v>
      </c>
      <c r="BC19" s="27">
        <f t="shared" si="13"/>
        <v>45931</v>
      </c>
      <c r="BD19" s="27">
        <f t="shared" si="13"/>
        <v>45962</v>
      </c>
      <c r="BE19" s="27">
        <f t="shared" si="13"/>
        <v>45992</v>
      </c>
    </row>
    <row r="20" spans="1:57" outlineLevel="1" x14ac:dyDescent="0.2">
      <c r="B20" s="54"/>
    </row>
    <row r="21" spans="1:57" outlineLevel="1" x14ac:dyDescent="0.2">
      <c r="B21" s="54" t="s">
        <v>11</v>
      </c>
    </row>
    <row r="22" spans="1:57" outlineLevel="2" x14ac:dyDescent="0.2">
      <c r="A22" s="49"/>
      <c r="C22" s="50"/>
      <c r="D22" s="51"/>
      <c r="E22" s="468" t="str">
        <f t="shared" ref="E22:AJ22" si="14" xml:space="preserve"> E$19</f>
        <v>Model period beginning - m</v>
      </c>
      <c r="F22" s="468">
        <f t="shared" si="14"/>
        <v>0</v>
      </c>
      <c r="G22" s="468" t="str">
        <f t="shared" si="14"/>
        <v>date</v>
      </c>
      <c r="H22" s="468">
        <f t="shared" si="14"/>
        <v>0</v>
      </c>
      <c r="I22" s="468">
        <f t="shared" si="14"/>
        <v>0</v>
      </c>
      <c r="J22" s="468">
        <f t="shared" si="14"/>
        <v>44562</v>
      </c>
      <c r="K22" s="468">
        <f t="shared" si="14"/>
        <v>44593</v>
      </c>
      <c r="L22" s="468">
        <f t="shared" si="14"/>
        <v>44621</v>
      </c>
      <c r="M22" s="468">
        <f t="shared" si="14"/>
        <v>44652</v>
      </c>
      <c r="N22" s="468">
        <f t="shared" si="14"/>
        <v>44682</v>
      </c>
      <c r="O22" s="468">
        <f t="shared" si="14"/>
        <v>44713</v>
      </c>
      <c r="P22" s="468">
        <f t="shared" si="14"/>
        <v>44743</v>
      </c>
      <c r="Q22" s="468">
        <f t="shared" si="14"/>
        <v>44774</v>
      </c>
      <c r="R22" s="468">
        <f t="shared" si="14"/>
        <v>44805</v>
      </c>
      <c r="S22" s="468">
        <f t="shared" si="14"/>
        <v>44835</v>
      </c>
      <c r="T22" s="468">
        <f t="shared" si="14"/>
        <v>44866</v>
      </c>
      <c r="U22" s="468">
        <f t="shared" si="14"/>
        <v>44896</v>
      </c>
      <c r="V22" s="468">
        <f t="shared" si="14"/>
        <v>44927</v>
      </c>
      <c r="W22" s="468">
        <f t="shared" si="14"/>
        <v>44958</v>
      </c>
      <c r="X22" s="468">
        <f t="shared" si="14"/>
        <v>44986</v>
      </c>
      <c r="Y22" s="468">
        <f t="shared" si="14"/>
        <v>45017</v>
      </c>
      <c r="Z22" s="468">
        <f t="shared" si="14"/>
        <v>45047</v>
      </c>
      <c r="AA22" s="468">
        <f t="shared" si="14"/>
        <v>45078</v>
      </c>
      <c r="AB22" s="468">
        <f t="shared" si="14"/>
        <v>45108</v>
      </c>
      <c r="AC22" s="468">
        <f t="shared" si="14"/>
        <v>45139</v>
      </c>
      <c r="AD22" s="468">
        <f t="shared" si="14"/>
        <v>45170</v>
      </c>
      <c r="AE22" s="468">
        <f t="shared" si="14"/>
        <v>45200</v>
      </c>
      <c r="AF22" s="468">
        <f t="shared" si="14"/>
        <v>45231</v>
      </c>
      <c r="AG22" s="468">
        <f t="shared" si="14"/>
        <v>45261</v>
      </c>
      <c r="AH22" s="468">
        <f t="shared" si="14"/>
        <v>45292</v>
      </c>
      <c r="AI22" s="468">
        <f t="shared" si="14"/>
        <v>45323</v>
      </c>
      <c r="AJ22" s="468">
        <f t="shared" si="14"/>
        <v>45352</v>
      </c>
      <c r="AK22" s="468">
        <f t="shared" ref="AK22:BE22" si="15" xml:space="preserve"> AK$19</f>
        <v>45383</v>
      </c>
      <c r="AL22" s="468">
        <f t="shared" si="15"/>
        <v>45413</v>
      </c>
      <c r="AM22" s="468">
        <f t="shared" si="15"/>
        <v>45444</v>
      </c>
      <c r="AN22" s="468">
        <f t="shared" si="15"/>
        <v>45474</v>
      </c>
      <c r="AO22" s="468">
        <f t="shared" si="15"/>
        <v>45505</v>
      </c>
      <c r="AP22" s="468">
        <f t="shared" si="15"/>
        <v>45536</v>
      </c>
      <c r="AQ22" s="468">
        <f t="shared" si="15"/>
        <v>45566</v>
      </c>
      <c r="AR22" s="468">
        <f t="shared" si="15"/>
        <v>45597</v>
      </c>
      <c r="AS22" s="468">
        <f t="shared" si="15"/>
        <v>45627</v>
      </c>
      <c r="AT22" s="468">
        <f t="shared" si="15"/>
        <v>45658</v>
      </c>
      <c r="AU22" s="468">
        <f t="shared" si="15"/>
        <v>45689</v>
      </c>
      <c r="AV22" s="468">
        <f t="shared" si="15"/>
        <v>45717</v>
      </c>
      <c r="AW22" s="468">
        <f t="shared" si="15"/>
        <v>45748</v>
      </c>
      <c r="AX22" s="468">
        <f t="shared" si="15"/>
        <v>45778</v>
      </c>
      <c r="AY22" s="468">
        <f t="shared" si="15"/>
        <v>45809</v>
      </c>
      <c r="AZ22" s="468">
        <f t="shared" si="15"/>
        <v>45839</v>
      </c>
      <c r="BA22" s="468">
        <f t="shared" si="15"/>
        <v>45870</v>
      </c>
      <c r="BB22" s="468">
        <f t="shared" si="15"/>
        <v>45901</v>
      </c>
      <c r="BC22" s="468">
        <f t="shared" si="15"/>
        <v>45931</v>
      </c>
      <c r="BD22" s="468">
        <f t="shared" si="15"/>
        <v>45962</v>
      </c>
      <c r="BE22" s="468">
        <f t="shared" si="15"/>
        <v>45992</v>
      </c>
    </row>
    <row r="23" spans="1:57" s="188" customFormat="1" outlineLevel="2" x14ac:dyDescent="0.2">
      <c r="A23" s="128"/>
      <c r="B23" s="141"/>
      <c r="C23" s="129"/>
      <c r="D23" s="193"/>
      <c r="E23" s="139" t="s">
        <v>222</v>
      </c>
      <c r="F23" s="139"/>
      <c r="G23" s="139" t="s">
        <v>6</v>
      </c>
      <c r="H23" s="139"/>
      <c r="I23" s="139"/>
      <c r="J23" s="139">
        <f t="shared" ref="J23:AO23" si="16" xml:space="preserve"> DATE(YEAR(J22), MONTH(J22) +1, DAY(J22) -1)</f>
        <v>44592</v>
      </c>
      <c r="K23" s="139">
        <f t="shared" si="16"/>
        <v>44620</v>
      </c>
      <c r="L23" s="139">
        <f t="shared" si="16"/>
        <v>44651</v>
      </c>
      <c r="M23" s="139">
        <f t="shared" si="16"/>
        <v>44681</v>
      </c>
      <c r="N23" s="139">
        <f t="shared" si="16"/>
        <v>44712</v>
      </c>
      <c r="O23" s="139">
        <f t="shared" si="16"/>
        <v>44742</v>
      </c>
      <c r="P23" s="139">
        <f t="shared" si="16"/>
        <v>44773</v>
      </c>
      <c r="Q23" s="139">
        <f t="shared" si="16"/>
        <v>44804</v>
      </c>
      <c r="R23" s="139">
        <f t="shared" si="16"/>
        <v>44834</v>
      </c>
      <c r="S23" s="139">
        <f t="shared" si="16"/>
        <v>44865</v>
      </c>
      <c r="T23" s="139">
        <f t="shared" si="16"/>
        <v>44895</v>
      </c>
      <c r="U23" s="139">
        <f t="shared" si="16"/>
        <v>44926</v>
      </c>
      <c r="V23" s="139">
        <f t="shared" si="16"/>
        <v>44957</v>
      </c>
      <c r="W23" s="139">
        <f t="shared" si="16"/>
        <v>44985</v>
      </c>
      <c r="X23" s="139">
        <f t="shared" si="16"/>
        <v>45016</v>
      </c>
      <c r="Y23" s="139">
        <f t="shared" si="16"/>
        <v>45046</v>
      </c>
      <c r="Z23" s="139">
        <f t="shared" si="16"/>
        <v>45077</v>
      </c>
      <c r="AA23" s="139">
        <f t="shared" si="16"/>
        <v>45107</v>
      </c>
      <c r="AB23" s="139">
        <f t="shared" si="16"/>
        <v>45138</v>
      </c>
      <c r="AC23" s="139">
        <f t="shared" si="16"/>
        <v>45169</v>
      </c>
      <c r="AD23" s="139">
        <f t="shared" si="16"/>
        <v>45199</v>
      </c>
      <c r="AE23" s="139">
        <f t="shared" si="16"/>
        <v>45230</v>
      </c>
      <c r="AF23" s="139">
        <f t="shared" si="16"/>
        <v>45260</v>
      </c>
      <c r="AG23" s="139">
        <f t="shared" si="16"/>
        <v>45291</v>
      </c>
      <c r="AH23" s="139">
        <f t="shared" si="16"/>
        <v>45322</v>
      </c>
      <c r="AI23" s="139">
        <f t="shared" si="16"/>
        <v>45351</v>
      </c>
      <c r="AJ23" s="139">
        <f t="shared" si="16"/>
        <v>45382</v>
      </c>
      <c r="AK23" s="139">
        <f t="shared" si="16"/>
        <v>45412</v>
      </c>
      <c r="AL23" s="139">
        <f t="shared" si="16"/>
        <v>45443</v>
      </c>
      <c r="AM23" s="139">
        <f t="shared" si="16"/>
        <v>45473</v>
      </c>
      <c r="AN23" s="139">
        <f t="shared" si="16"/>
        <v>45504</v>
      </c>
      <c r="AO23" s="139">
        <f t="shared" si="16"/>
        <v>45535</v>
      </c>
      <c r="AP23" s="139">
        <f t="shared" ref="AP23:BE23" si="17" xml:space="preserve"> DATE(YEAR(AP22), MONTH(AP22) +1, DAY(AP22) -1)</f>
        <v>45565</v>
      </c>
      <c r="AQ23" s="139">
        <f t="shared" si="17"/>
        <v>45596</v>
      </c>
      <c r="AR23" s="139">
        <f t="shared" si="17"/>
        <v>45626</v>
      </c>
      <c r="AS23" s="139">
        <f t="shared" si="17"/>
        <v>45657</v>
      </c>
      <c r="AT23" s="139">
        <f t="shared" si="17"/>
        <v>45688</v>
      </c>
      <c r="AU23" s="139">
        <f t="shared" si="17"/>
        <v>45716</v>
      </c>
      <c r="AV23" s="139">
        <f t="shared" si="17"/>
        <v>45747</v>
      </c>
      <c r="AW23" s="139">
        <f t="shared" si="17"/>
        <v>45777</v>
      </c>
      <c r="AX23" s="139">
        <f t="shared" si="17"/>
        <v>45808</v>
      </c>
      <c r="AY23" s="139">
        <f t="shared" si="17"/>
        <v>45838</v>
      </c>
      <c r="AZ23" s="139">
        <f t="shared" si="17"/>
        <v>45869</v>
      </c>
      <c r="BA23" s="139">
        <f t="shared" si="17"/>
        <v>45900</v>
      </c>
      <c r="BB23" s="139">
        <f t="shared" si="17"/>
        <v>45930</v>
      </c>
      <c r="BC23" s="139">
        <f t="shared" si="17"/>
        <v>45961</v>
      </c>
      <c r="BD23" s="139">
        <f t="shared" si="17"/>
        <v>45991</v>
      </c>
      <c r="BE23" s="139">
        <f t="shared" si="17"/>
        <v>46022</v>
      </c>
    </row>
    <row r="24" spans="1:57" outlineLevel="2" x14ac:dyDescent="0.2"/>
    <row r="25" spans="1:57" outlineLevel="2" x14ac:dyDescent="0.2">
      <c r="E25" s="396" t="str">
        <f xml:space="preserve"> InpC!E$15</f>
        <v>Financial year end month number</v>
      </c>
      <c r="F25" s="396">
        <f xml:space="preserve"> InpC!F$15</f>
        <v>6</v>
      </c>
      <c r="G25" s="396" t="str">
        <f xml:space="preserve"> InpC!G$15</f>
        <v>month #</v>
      </c>
      <c r="H25" s="9"/>
      <c r="J25" s="9"/>
    </row>
    <row r="26" spans="1:57" outlineLevel="2" x14ac:dyDescent="0.2">
      <c r="E26" s="468" t="str">
        <f t="shared" ref="E26:AJ26" si="18" xml:space="preserve"> E$23</f>
        <v>Model period ending - m</v>
      </c>
      <c r="F26" s="468">
        <f t="shared" si="18"/>
        <v>0</v>
      </c>
      <c r="G26" s="468" t="str">
        <f t="shared" si="18"/>
        <v>date</v>
      </c>
      <c r="H26" s="468">
        <f t="shared" si="18"/>
        <v>0</v>
      </c>
      <c r="I26" s="468">
        <f t="shared" si="18"/>
        <v>0</v>
      </c>
      <c r="J26" s="468">
        <f t="shared" si="18"/>
        <v>44592</v>
      </c>
      <c r="K26" s="468">
        <f t="shared" si="18"/>
        <v>44620</v>
      </c>
      <c r="L26" s="468">
        <f t="shared" si="18"/>
        <v>44651</v>
      </c>
      <c r="M26" s="468">
        <f t="shared" si="18"/>
        <v>44681</v>
      </c>
      <c r="N26" s="468">
        <f t="shared" si="18"/>
        <v>44712</v>
      </c>
      <c r="O26" s="468">
        <f t="shared" si="18"/>
        <v>44742</v>
      </c>
      <c r="P26" s="468">
        <f t="shared" si="18"/>
        <v>44773</v>
      </c>
      <c r="Q26" s="468">
        <f t="shared" si="18"/>
        <v>44804</v>
      </c>
      <c r="R26" s="468">
        <f t="shared" si="18"/>
        <v>44834</v>
      </c>
      <c r="S26" s="468">
        <f t="shared" si="18"/>
        <v>44865</v>
      </c>
      <c r="T26" s="468">
        <f t="shared" si="18"/>
        <v>44895</v>
      </c>
      <c r="U26" s="468">
        <f t="shared" si="18"/>
        <v>44926</v>
      </c>
      <c r="V26" s="468">
        <f t="shared" si="18"/>
        <v>44957</v>
      </c>
      <c r="W26" s="468">
        <f t="shared" si="18"/>
        <v>44985</v>
      </c>
      <c r="X26" s="468">
        <f t="shared" si="18"/>
        <v>45016</v>
      </c>
      <c r="Y26" s="468">
        <f t="shared" si="18"/>
        <v>45046</v>
      </c>
      <c r="Z26" s="468">
        <f t="shared" si="18"/>
        <v>45077</v>
      </c>
      <c r="AA26" s="468">
        <f t="shared" si="18"/>
        <v>45107</v>
      </c>
      <c r="AB26" s="468">
        <f t="shared" si="18"/>
        <v>45138</v>
      </c>
      <c r="AC26" s="468">
        <f t="shared" si="18"/>
        <v>45169</v>
      </c>
      <c r="AD26" s="468">
        <f t="shared" si="18"/>
        <v>45199</v>
      </c>
      <c r="AE26" s="468">
        <f t="shared" si="18"/>
        <v>45230</v>
      </c>
      <c r="AF26" s="468">
        <f t="shared" si="18"/>
        <v>45260</v>
      </c>
      <c r="AG26" s="468">
        <f t="shared" si="18"/>
        <v>45291</v>
      </c>
      <c r="AH26" s="468">
        <f t="shared" si="18"/>
        <v>45322</v>
      </c>
      <c r="AI26" s="468">
        <f t="shared" si="18"/>
        <v>45351</v>
      </c>
      <c r="AJ26" s="468">
        <f t="shared" si="18"/>
        <v>45382</v>
      </c>
      <c r="AK26" s="468">
        <f t="shared" ref="AK26:BE26" si="19" xml:space="preserve"> AK$23</f>
        <v>45412</v>
      </c>
      <c r="AL26" s="468">
        <f t="shared" si="19"/>
        <v>45443</v>
      </c>
      <c r="AM26" s="468">
        <f t="shared" si="19"/>
        <v>45473</v>
      </c>
      <c r="AN26" s="468">
        <f t="shared" si="19"/>
        <v>45504</v>
      </c>
      <c r="AO26" s="468">
        <f t="shared" si="19"/>
        <v>45535</v>
      </c>
      <c r="AP26" s="468">
        <f t="shared" si="19"/>
        <v>45565</v>
      </c>
      <c r="AQ26" s="468">
        <f t="shared" si="19"/>
        <v>45596</v>
      </c>
      <c r="AR26" s="468">
        <f t="shared" si="19"/>
        <v>45626</v>
      </c>
      <c r="AS26" s="468">
        <f t="shared" si="19"/>
        <v>45657</v>
      </c>
      <c r="AT26" s="468">
        <f t="shared" si="19"/>
        <v>45688</v>
      </c>
      <c r="AU26" s="468">
        <f t="shared" si="19"/>
        <v>45716</v>
      </c>
      <c r="AV26" s="468">
        <f t="shared" si="19"/>
        <v>45747</v>
      </c>
      <c r="AW26" s="468">
        <f t="shared" si="19"/>
        <v>45777</v>
      </c>
      <c r="AX26" s="468">
        <f t="shared" si="19"/>
        <v>45808</v>
      </c>
      <c r="AY26" s="468">
        <f t="shared" si="19"/>
        <v>45838</v>
      </c>
      <c r="AZ26" s="468">
        <f t="shared" si="19"/>
        <v>45869</v>
      </c>
      <c r="BA26" s="468">
        <f t="shared" si="19"/>
        <v>45900</v>
      </c>
      <c r="BB26" s="468">
        <f t="shared" si="19"/>
        <v>45930</v>
      </c>
      <c r="BC26" s="468">
        <f t="shared" si="19"/>
        <v>45961</v>
      </c>
      <c r="BD26" s="468">
        <f t="shared" si="19"/>
        <v>45991</v>
      </c>
      <c r="BE26" s="468">
        <f t="shared" si="19"/>
        <v>46022</v>
      </c>
    </row>
    <row r="27" spans="1:57" outlineLevel="2" x14ac:dyDescent="0.2">
      <c r="E27" s="9" t="s">
        <v>243</v>
      </c>
      <c r="F27" s="9"/>
      <c r="G27" s="9" t="s">
        <v>5</v>
      </c>
      <c r="H27" s="9">
        <f xml:space="preserve"> SUM(J27:BE27)</f>
        <v>4</v>
      </c>
      <c r="J27" s="9">
        <f t="shared" ref="J27:BE27" si="20" xml:space="preserve"> IF( MONTH(J26) = $F25, 1, 0)</f>
        <v>0</v>
      </c>
      <c r="K27" s="9">
        <f t="shared" si="20"/>
        <v>0</v>
      </c>
      <c r="L27" s="9">
        <f t="shared" si="20"/>
        <v>0</v>
      </c>
      <c r="M27" s="9">
        <f t="shared" si="20"/>
        <v>0</v>
      </c>
      <c r="N27" s="9">
        <f t="shared" si="20"/>
        <v>0</v>
      </c>
      <c r="O27" s="9">
        <f t="shared" si="20"/>
        <v>1</v>
      </c>
      <c r="P27" s="9">
        <f t="shared" si="20"/>
        <v>0</v>
      </c>
      <c r="Q27" s="9">
        <f t="shared" si="20"/>
        <v>0</v>
      </c>
      <c r="R27" s="9">
        <f t="shared" si="20"/>
        <v>0</v>
      </c>
      <c r="S27" s="9">
        <f t="shared" si="20"/>
        <v>0</v>
      </c>
      <c r="T27" s="9">
        <f t="shared" si="20"/>
        <v>0</v>
      </c>
      <c r="U27" s="9">
        <f t="shared" si="20"/>
        <v>0</v>
      </c>
      <c r="V27" s="9">
        <f t="shared" si="20"/>
        <v>0</v>
      </c>
      <c r="W27" s="9">
        <f t="shared" si="20"/>
        <v>0</v>
      </c>
      <c r="X27" s="9">
        <f t="shared" si="20"/>
        <v>0</v>
      </c>
      <c r="Y27" s="9">
        <f t="shared" si="20"/>
        <v>0</v>
      </c>
      <c r="Z27" s="9">
        <f t="shared" si="20"/>
        <v>0</v>
      </c>
      <c r="AA27" s="9">
        <f t="shared" si="20"/>
        <v>1</v>
      </c>
      <c r="AB27" s="9">
        <f t="shared" si="20"/>
        <v>0</v>
      </c>
      <c r="AC27" s="9">
        <f t="shared" si="20"/>
        <v>0</v>
      </c>
      <c r="AD27" s="9">
        <f t="shared" si="20"/>
        <v>0</v>
      </c>
      <c r="AE27" s="9">
        <f t="shared" si="20"/>
        <v>0</v>
      </c>
      <c r="AF27" s="9">
        <f t="shared" si="20"/>
        <v>0</v>
      </c>
      <c r="AG27" s="9">
        <f t="shared" si="20"/>
        <v>0</v>
      </c>
      <c r="AH27" s="9">
        <f t="shared" si="20"/>
        <v>0</v>
      </c>
      <c r="AI27" s="9">
        <f t="shared" si="20"/>
        <v>0</v>
      </c>
      <c r="AJ27" s="9">
        <f t="shared" si="20"/>
        <v>0</v>
      </c>
      <c r="AK27" s="9">
        <f t="shared" si="20"/>
        <v>0</v>
      </c>
      <c r="AL27" s="9">
        <f t="shared" si="20"/>
        <v>0</v>
      </c>
      <c r="AM27" s="9">
        <f t="shared" si="20"/>
        <v>1</v>
      </c>
      <c r="AN27" s="9">
        <f t="shared" si="20"/>
        <v>0</v>
      </c>
      <c r="AO27" s="9">
        <f t="shared" si="20"/>
        <v>0</v>
      </c>
      <c r="AP27" s="9">
        <f t="shared" si="20"/>
        <v>0</v>
      </c>
      <c r="AQ27" s="9">
        <f t="shared" si="20"/>
        <v>0</v>
      </c>
      <c r="AR27" s="9">
        <f t="shared" si="20"/>
        <v>0</v>
      </c>
      <c r="AS27" s="9">
        <f t="shared" si="20"/>
        <v>0</v>
      </c>
      <c r="AT27" s="9">
        <f t="shared" si="20"/>
        <v>0</v>
      </c>
      <c r="AU27" s="9">
        <f t="shared" si="20"/>
        <v>0</v>
      </c>
      <c r="AV27" s="9">
        <f t="shared" si="20"/>
        <v>0</v>
      </c>
      <c r="AW27" s="9">
        <f t="shared" si="20"/>
        <v>0</v>
      </c>
      <c r="AX27" s="9">
        <f t="shared" si="20"/>
        <v>0</v>
      </c>
      <c r="AY27" s="9">
        <f t="shared" si="20"/>
        <v>1</v>
      </c>
      <c r="AZ27" s="9">
        <f t="shared" si="20"/>
        <v>0</v>
      </c>
      <c r="BA27" s="9">
        <f t="shared" si="20"/>
        <v>0</v>
      </c>
      <c r="BB27" s="9">
        <f t="shared" si="20"/>
        <v>0</v>
      </c>
      <c r="BC27" s="9">
        <f t="shared" si="20"/>
        <v>0</v>
      </c>
      <c r="BD27" s="9">
        <f t="shared" si="20"/>
        <v>0</v>
      </c>
      <c r="BE27" s="9">
        <f t="shared" si="20"/>
        <v>0</v>
      </c>
    </row>
    <row r="28" spans="1:57" outlineLevel="2" x14ac:dyDescent="0.2">
      <c r="E28" s="9"/>
      <c r="F28" s="9"/>
      <c r="G28" s="9"/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</row>
    <row r="29" spans="1:57" outlineLevel="2" x14ac:dyDescent="0.2">
      <c r="E29" s="204" t="str">
        <f xml:space="preserve"> InpC!E$14</f>
        <v>Financial year end date of first model period</v>
      </c>
      <c r="F29" s="204">
        <f xml:space="preserve"> InpC!F$14</f>
        <v>44742</v>
      </c>
      <c r="G29" s="204" t="str">
        <f xml:space="preserve"> InpC!G$14</f>
        <v>date</v>
      </c>
      <c r="H29" s="69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</row>
    <row r="30" spans="1:57" outlineLevel="2" x14ac:dyDescent="0.2">
      <c r="E30" s="12" t="str">
        <f t="shared" ref="E30:AJ30" si="21" xml:space="preserve"> E$14</f>
        <v>First model column flag - m</v>
      </c>
      <c r="F30" s="12">
        <f t="shared" si="21"/>
        <v>0</v>
      </c>
      <c r="G30" s="12" t="str">
        <f t="shared" si="21"/>
        <v>flag</v>
      </c>
      <c r="H30" s="12">
        <f t="shared" si="21"/>
        <v>1</v>
      </c>
      <c r="I30" s="12">
        <f t="shared" si="21"/>
        <v>0</v>
      </c>
      <c r="J30" s="12">
        <f t="shared" si="21"/>
        <v>1</v>
      </c>
      <c r="K30" s="12">
        <f t="shared" si="21"/>
        <v>0</v>
      </c>
      <c r="L30" s="12">
        <f t="shared" si="21"/>
        <v>0</v>
      </c>
      <c r="M30" s="12">
        <f t="shared" si="21"/>
        <v>0</v>
      </c>
      <c r="N30" s="12">
        <f t="shared" si="21"/>
        <v>0</v>
      </c>
      <c r="O30" s="12">
        <f t="shared" si="21"/>
        <v>0</v>
      </c>
      <c r="P30" s="12">
        <f t="shared" si="21"/>
        <v>0</v>
      </c>
      <c r="Q30" s="12">
        <f t="shared" si="21"/>
        <v>0</v>
      </c>
      <c r="R30" s="12">
        <f t="shared" si="21"/>
        <v>0</v>
      </c>
      <c r="S30" s="12">
        <f t="shared" si="21"/>
        <v>0</v>
      </c>
      <c r="T30" s="12">
        <f t="shared" si="21"/>
        <v>0</v>
      </c>
      <c r="U30" s="12">
        <f t="shared" si="21"/>
        <v>0</v>
      </c>
      <c r="V30" s="12">
        <f t="shared" si="21"/>
        <v>0</v>
      </c>
      <c r="W30" s="12">
        <f t="shared" si="21"/>
        <v>0</v>
      </c>
      <c r="X30" s="12">
        <f t="shared" si="21"/>
        <v>0</v>
      </c>
      <c r="Y30" s="12">
        <f t="shared" si="21"/>
        <v>0</v>
      </c>
      <c r="Z30" s="12">
        <f t="shared" si="21"/>
        <v>0</v>
      </c>
      <c r="AA30" s="12">
        <f t="shared" si="21"/>
        <v>0</v>
      </c>
      <c r="AB30" s="12">
        <f t="shared" si="21"/>
        <v>0</v>
      </c>
      <c r="AC30" s="12">
        <f t="shared" si="21"/>
        <v>0</v>
      </c>
      <c r="AD30" s="12">
        <f t="shared" si="21"/>
        <v>0</v>
      </c>
      <c r="AE30" s="12">
        <f t="shared" si="21"/>
        <v>0</v>
      </c>
      <c r="AF30" s="12">
        <f t="shared" si="21"/>
        <v>0</v>
      </c>
      <c r="AG30" s="12">
        <f t="shared" si="21"/>
        <v>0</v>
      </c>
      <c r="AH30" s="12">
        <f t="shared" si="21"/>
        <v>0</v>
      </c>
      <c r="AI30" s="12">
        <f t="shared" si="21"/>
        <v>0</v>
      </c>
      <c r="AJ30" s="12">
        <f t="shared" si="21"/>
        <v>0</v>
      </c>
      <c r="AK30" s="12">
        <f t="shared" ref="AK30:BE30" si="22" xml:space="preserve"> AK$14</f>
        <v>0</v>
      </c>
      <c r="AL30" s="12">
        <f t="shared" si="22"/>
        <v>0</v>
      </c>
      <c r="AM30" s="12">
        <f t="shared" si="22"/>
        <v>0</v>
      </c>
      <c r="AN30" s="12">
        <f t="shared" si="22"/>
        <v>0</v>
      </c>
      <c r="AO30" s="12">
        <f t="shared" si="22"/>
        <v>0</v>
      </c>
      <c r="AP30" s="12">
        <f t="shared" si="22"/>
        <v>0</v>
      </c>
      <c r="AQ30" s="12">
        <f t="shared" si="22"/>
        <v>0</v>
      </c>
      <c r="AR30" s="12">
        <f t="shared" si="22"/>
        <v>0</v>
      </c>
      <c r="AS30" s="12">
        <f t="shared" si="22"/>
        <v>0</v>
      </c>
      <c r="AT30" s="12">
        <f t="shared" si="22"/>
        <v>0</v>
      </c>
      <c r="AU30" s="12">
        <f t="shared" si="22"/>
        <v>0</v>
      </c>
      <c r="AV30" s="12">
        <f t="shared" si="22"/>
        <v>0</v>
      </c>
      <c r="AW30" s="12">
        <f t="shared" si="22"/>
        <v>0</v>
      </c>
      <c r="AX30" s="12">
        <f t="shared" si="22"/>
        <v>0</v>
      </c>
      <c r="AY30" s="12">
        <f t="shared" si="22"/>
        <v>0</v>
      </c>
      <c r="AZ30" s="12">
        <f t="shared" si="22"/>
        <v>0</v>
      </c>
      <c r="BA30" s="12">
        <f t="shared" si="22"/>
        <v>0</v>
      </c>
      <c r="BB30" s="12">
        <f t="shared" si="22"/>
        <v>0</v>
      </c>
      <c r="BC30" s="12">
        <f t="shared" si="22"/>
        <v>0</v>
      </c>
      <c r="BD30" s="12">
        <f t="shared" si="22"/>
        <v>0</v>
      </c>
      <c r="BE30" s="12">
        <f t="shared" si="22"/>
        <v>0</v>
      </c>
    </row>
    <row r="31" spans="1:57" outlineLevel="2" x14ac:dyDescent="0.2">
      <c r="E31" s="12" t="str">
        <f t="shared" ref="E31:AJ31" si="23" xml:space="preserve"> E$27</f>
        <v>End of financial year flag - m</v>
      </c>
      <c r="F31" s="12">
        <f t="shared" si="23"/>
        <v>0</v>
      </c>
      <c r="G31" s="12" t="str">
        <f t="shared" si="23"/>
        <v>flag</v>
      </c>
      <c r="H31" s="12">
        <f t="shared" si="23"/>
        <v>4</v>
      </c>
      <c r="I31" s="12">
        <f t="shared" si="23"/>
        <v>0</v>
      </c>
      <c r="J31" s="12">
        <f t="shared" si="23"/>
        <v>0</v>
      </c>
      <c r="K31" s="12">
        <f t="shared" si="23"/>
        <v>0</v>
      </c>
      <c r="L31" s="12">
        <f t="shared" si="23"/>
        <v>0</v>
      </c>
      <c r="M31" s="12">
        <f t="shared" si="23"/>
        <v>0</v>
      </c>
      <c r="N31" s="12">
        <f t="shared" si="23"/>
        <v>0</v>
      </c>
      <c r="O31" s="12">
        <f t="shared" si="23"/>
        <v>1</v>
      </c>
      <c r="P31" s="12">
        <f t="shared" si="23"/>
        <v>0</v>
      </c>
      <c r="Q31" s="12">
        <f t="shared" si="23"/>
        <v>0</v>
      </c>
      <c r="R31" s="12">
        <f t="shared" si="23"/>
        <v>0</v>
      </c>
      <c r="S31" s="12">
        <f t="shared" si="23"/>
        <v>0</v>
      </c>
      <c r="T31" s="12">
        <f t="shared" si="23"/>
        <v>0</v>
      </c>
      <c r="U31" s="12">
        <f t="shared" si="23"/>
        <v>0</v>
      </c>
      <c r="V31" s="12">
        <f t="shared" si="23"/>
        <v>0</v>
      </c>
      <c r="W31" s="12">
        <f t="shared" si="23"/>
        <v>0</v>
      </c>
      <c r="X31" s="12">
        <f t="shared" si="23"/>
        <v>0</v>
      </c>
      <c r="Y31" s="12">
        <f t="shared" si="23"/>
        <v>0</v>
      </c>
      <c r="Z31" s="12">
        <f t="shared" si="23"/>
        <v>0</v>
      </c>
      <c r="AA31" s="12">
        <f t="shared" si="23"/>
        <v>1</v>
      </c>
      <c r="AB31" s="12">
        <f t="shared" si="23"/>
        <v>0</v>
      </c>
      <c r="AC31" s="12">
        <f t="shared" si="23"/>
        <v>0</v>
      </c>
      <c r="AD31" s="12">
        <f t="shared" si="23"/>
        <v>0</v>
      </c>
      <c r="AE31" s="12">
        <f t="shared" si="23"/>
        <v>0</v>
      </c>
      <c r="AF31" s="12">
        <f t="shared" si="23"/>
        <v>0</v>
      </c>
      <c r="AG31" s="12">
        <f t="shared" si="23"/>
        <v>0</v>
      </c>
      <c r="AH31" s="12">
        <f t="shared" si="23"/>
        <v>0</v>
      </c>
      <c r="AI31" s="12">
        <f t="shared" si="23"/>
        <v>0</v>
      </c>
      <c r="AJ31" s="12">
        <f t="shared" si="23"/>
        <v>0</v>
      </c>
      <c r="AK31" s="12">
        <f t="shared" ref="AK31:BE31" si="24" xml:space="preserve"> AK$27</f>
        <v>0</v>
      </c>
      <c r="AL31" s="12">
        <f t="shared" si="24"/>
        <v>0</v>
      </c>
      <c r="AM31" s="12">
        <f t="shared" si="24"/>
        <v>1</v>
      </c>
      <c r="AN31" s="12">
        <f t="shared" si="24"/>
        <v>0</v>
      </c>
      <c r="AO31" s="12">
        <f t="shared" si="24"/>
        <v>0</v>
      </c>
      <c r="AP31" s="12">
        <f t="shared" si="24"/>
        <v>0</v>
      </c>
      <c r="AQ31" s="12">
        <f t="shared" si="24"/>
        <v>0</v>
      </c>
      <c r="AR31" s="12">
        <f t="shared" si="24"/>
        <v>0</v>
      </c>
      <c r="AS31" s="12">
        <f t="shared" si="24"/>
        <v>0</v>
      </c>
      <c r="AT31" s="12">
        <f t="shared" si="24"/>
        <v>0</v>
      </c>
      <c r="AU31" s="12">
        <f t="shared" si="24"/>
        <v>0</v>
      </c>
      <c r="AV31" s="12">
        <f t="shared" si="24"/>
        <v>0</v>
      </c>
      <c r="AW31" s="12">
        <f t="shared" si="24"/>
        <v>0</v>
      </c>
      <c r="AX31" s="12">
        <f t="shared" si="24"/>
        <v>0</v>
      </c>
      <c r="AY31" s="12">
        <f t="shared" si="24"/>
        <v>1</v>
      </c>
      <c r="AZ31" s="12">
        <f t="shared" si="24"/>
        <v>0</v>
      </c>
      <c r="BA31" s="12">
        <f t="shared" si="24"/>
        <v>0</v>
      </c>
      <c r="BB31" s="12">
        <f t="shared" si="24"/>
        <v>0</v>
      </c>
      <c r="BC31" s="12">
        <f t="shared" si="24"/>
        <v>0</v>
      </c>
      <c r="BD31" s="12">
        <f t="shared" si="24"/>
        <v>0</v>
      </c>
      <c r="BE31" s="12">
        <f t="shared" si="24"/>
        <v>0</v>
      </c>
    </row>
    <row r="32" spans="1:57" s="11" customFormat="1" outlineLevel="2" x14ac:dyDescent="0.2">
      <c r="A32" s="49"/>
      <c r="B32" s="49"/>
      <c r="C32" s="50"/>
      <c r="D32" s="70"/>
      <c r="E32" s="137" t="s">
        <v>241</v>
      </c>
      <c r="F32" s="137"/>
      <c r="G32" s="137" t="s">
        <v>6</v>
      </c>
      <c r="H32" s="137"/>
      <c r="I32" s="137"/>
      <c r="J32" s="137">
        <f t="shared" ref="J32:BE32" si="25" xml:space="preserve"> IF( J30 = 1, $F29, IF( I31 = 1, EOMONTH(I32, 12), I32))</f>
        <v>44742</v>
      </c>
      <c r="K32" s="137">
        <f t="shared" si="25"/>
        <v>44742</v>
      </c>
      <c r="L32" s="137">
        <f t="shared" si="25"/>
        <v>44742</v>
      </c>
      <c r="M32" s="137">
        <f t="shared" si="25"/>
        <v>44742</v>
      </c>
      <c r="N32" s="137">
        <f t="shared" si="25"/>
        <v>44742</v>
      </c>
      <c r="O32" s="137">
        <f t="shared" si="25"/>
        <v>44742</v>
      </c>
      <c r="P32" s="137">
        <f t="shared" si="25"/>
        <v>45107</v>
      </c>
      <c r="Q32" s="137">
        <f t="shared" si="25"/>
        <v>45107</v>
      </c>
      <c r="R32" s="137">
        <f t="shared" si="25"/>
        <v>45107</v>
      </c>
      <c r="S32" s="137">
        <f t="shared" si="25"/>
        <v>45107</v>
      </c>
      <c r="T32" s="137">
        <f t="shared" si="25"/>
        <v>45107</v>
      </c>
      <c r="U32" s="137">
        <f t="shared" si="25"/>
        <v>45107</v>
      </c>
      <c r="V32" s="137">
        <f t="shared" si="25"/>
        <v>45107</v>
      </c>
      <c r="W32" s="137">
        <f t="shared" si="25"/>
        <v>45107</v>
      </c>
      <c r="X32" s="137">
        <f t="shared" si="25"/>
        <v>45107</v>
      </c>
      <c r="Y32" s="137">
        <f t="shared" si="25"/>
        <v>45107</v>
      </c>
      <c r="Z32" s="137">
        <f t="shared" si="25"/>
        <v>45107</v>
      </c>
      <c r="AA32" s="137">
        <f t="shared" si="25"/>
        <v>45107</v>
      </c>
      <c r="AB32" s="137">
        <f t="shared" si="25"/>
        <v>45473</v>
      </c>
      <c r="AC32" s="137">
        <f t="shared" si="25"/>
        <v>45473</v>
      </c>
      <c r="AD32" s="137">
        <f t="shared" si="25"/>
        <v>45473</v>
      </c>
      <c r="AE32" s="137">
        <f t="shared" si="25"/>
        <v>45473</v>
      </c>
      <c r="AF32" s="137">
        <f t="shared" si="25"/>
        <v>45473</v>
      </c>
      <c r="AG32" s="137">
        <f t="shared" si="25"/>
        <v>45473</v>
      </c>
      <c r="AH32" s="137">
        <f t="shared" si="25"/>
        <v>45473</v>
      </c>
      <c r="AI32" s="137">
        <f t="shared" si="25"/>
        <v>45473</v>
      </c>
      <c r="AJ32" s="137">
        <f t="shared" si="25"/>
        <v>45473</v>
      </c>
      <c r="AK32" s="137">
        <f t="shared" si="25"/>
        <v>45473</v>
      </c>
      <c r="AL32" s="137">
        <f t="shared" si="25"/>
        <v>45473</v>
      </c>
      <c r="AM32" s="137">
        <f t="shared" si="25"/>
        <v>45473</v>
      </c>
      <c r="AN32" s="137">
        <f t="shared" si="25"/>
        <v>45838</v>
      </c>
      <c r="AO32" s="137">
        <f t="shared" si="25"/>
        <v>45838</v>
      </c>
      <c r="AP32" s="137">
        <f t="shared" si="25"/>
        <v>45838</v>
      </c>
      <c r="AQ32" s="137">
        <f t="shared" si="25"/>
        <v>45838</v>
      </c>
      <c r="AR32" s="137">
        <f t="shared" si="25"/>
        <v>45838</v>
      </c>
      <c r="AS32" s="137">
        <f t="shared" si="25"/>
        <v>45838</v>
      </c>
      <c r="AT32" s="137">
        <f t="shared" si="25"/>
        <v>45838</v>
      </c>
      <c r="AU32" s="137">
        <f t="shared" si="25"/>
        <v>45838</v>
      </c>
      <c r="AV32" s="137">
        <f t="shared" si="25"/>
        <v>45838</v>
      </c>
      <c r="AW32" s="137">
        <f t="shared" si="25"/>
        <v>45838</v>
      </c>
      <c r="AX32" s="137">
        <f t="shared" si="25"/>
        <v>45838</v>
      </c>
      <c r="AY32" s="137">
        <f t="shared" si="25"/>
        <v>45838</v>
      </c>
      <c r="AZ32" s="137">
        <f t="shared" si="25"/>
        <v>46203</v>
      </c>
      <c r="BA32" s="137">
        <f t="shared" si="25"/>
        <v>46203</v>
      </c>
      <c r="BB32" s="137">
        <f t="shared" si="25"/>
        <v>46203</v>
      </c>
      <c r="BC32" s="137">
        <f t="shared" si="25"/>
        <v>46203</v>
      </c>
      <c r="BD32" s="137">
        <f t="shared" si="25"/>
        <v>46203</v>
      </c>
      <c r="BE32" s="137">
        <f t="shared" si="25"/>
        <v>46203</v>
      </c>
    </row>
    <row r="33" spans="1:57" outlineLevel="2" x14ac:dyDescent="0.2">
      <c r="E33" s="9"/>
      <c r="F33" s="9"/>
      <c r="G33" s="9"/>
      <c r="H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</row>
    <row r="34" spans="1:57" s="11" customFormat="1" outlineLevel="2" x14ac:dyDescent="0.2">
      <c r="A34" s="49"/>
      <c r="B34" s="49"/>
      <c r="C34" s="50"/>
      <c r="D34" s="70"/>
      <c r="E34" s="137" t="str">
        <f t="shared" ref="E34:AJ34" si="26" xml:space="preserve"> E$32</f>
        <v>Financial year end applicable to period</v>
      </c>
      <c r="F34" s="137">
        <f t="shared" si="26"/>
        <v>0</v>
      </c>
      <c r="G34" s="137" t="str">
        <f t="shared" si="26"/>
        <v>date</v>
      </c>
      <c r="H34" s="137">
        <f t="shared" si="26"/>
        <v>0</v>
      </c>
      <c r="I34" s="137">
        <f t="shared" si="26"/>
        <v>0</v>
      </c>
      <c r="J34" s="137">
        <f t="shared" si="26"/>
        <v>44742</v>
      </c>
      <c r="K34" s="137">
        <f t="shared" si="26"/>
        <v>44742</v>
      </c>
      <c r="L34" s="137">
        <f t="shared" si="26"/>
        <v>44742</v>
      </c>
      <c r="M34" s="137">
        <f t="shared" si="26"/>
        <v>44742</v>
      </c>
      <c r="N34" s="137">
        <f t="shared" si="26"/>
        <v>44742</v>
      </c>
      <c r="O34" s="137">
        <f t="shared" si="26"/>
        <v>44742</v>
      </c>
      <c r="P34" s="137">
        <f t="shared" si="26"/>
        <v>45107</v>
      </c>
      <c r="Q34" s="137">
        <f t="shared" si="26"/>
        <v>45107</v>
      </c>
      <c r="R34" s="137">
        <f t="shared" si="26"/>
        <v>45107</v>
      </c>
      <c r="S34" s="137">
        <f t="shared" si="26"/>
        <v>45107</v>
      </c>
      <c r="T34" s="137">
        <f t="shared" si="26"/>
        <v>45107</v>
      </c>
      <c r="U34" s="137">
        <f t="shared" si="26"/>
        <v>45107</v>
      </c>
      <c r="V34" s="137">
        <f t="shared" si="26"/>
        <v>45107</v>
      </c>
      <c r="W34" s="137">
        <f t="shared" si="26"/>
        <v>45107</v>
      </c>
      <c r="X34" s="137">
        <f t="shared" si="26"/>
        <v>45107</v>
      </c>
      <c r="Y34" s="137">
        <f t="shared" si="26"/>
        <v>45107</v>
      </c>
      <c r="Z34" s="137">
        <f t="shared" si="26"/>
        <v>45107</v>
      </c>
      <c r="AA34" s="137">
        <f t="shared" si="26"/>
        <v>45107</v>
      </c>
      <c r="AB34" s="137">
        <f t="shared" si="26"/>
        <v>45473</v>
      </c>
      <c r="AC34" s="137">
        <f t="shared" si="26"/>
        <v>45473</v>
      </c>
      <c r="AD34" s="137">
        <f t="shared" si="26"/>
        <v>45473</v>
      </c>
      <c r="AE34" s="137">
        <f t="shared" si="26"/>
        <v>45473</v>
      </c>
      <c r="AF34" s="137">
        <f t="shared" si="26"/>
        <v>45473</v>
      </c>
      <c r="AG34" s="137">
        <f t="shared" si="26"/>
        <v>45473</v>
      </c>
      <c r="AH34" s="137">
        <f t="shared" si="26"/>
        <v>45473</v>
      </c>
      <c r="AI34" s="137">
        <f t="shared" si="26"/>
        <v>45473</v>
      </c>
      <c r="AJ34" s="137">
        <f t="shared" si="26"/>
        <v>45473</v>
      </c>
      <c r="AK34" s="137">
        <f t="shared" ref="AK34:BE34" si="27" xml:space="preserve"> AK$32</f>
        <v>45473</v>
      </c>
      <c r="AL34" s="137">
        <f t="shared" si="27"/>
        <v>45473</v>
      </c>
      <c r="AM34" s="137">
        <f t="shared" si="27"/>
        <v>45473</v>
      </c>
      <c r="AN34" s="137">
        <f t="shared" si="27"/>
        <v>45838</v>
      </c>
      <c r="AO34" s="137">
        <f t="shared" si="27"/>
        <v>45838</v>
      </c>
      <c r="AP34" s="137">
        <f t="shared" si="27"/>
        <v>45838</v>
      </c>
      <c r="AQ34" s="137">
        <f t="shared" si="27"/>
        <v>45838</v>
      </c>
      <c r="AR34" s="137">
        <f t="shared" si="27"/>
        <v>45838</v>
      </c>
      <c r="AS34" s="137">
        <f t="shared" si="27"/>
        <v>45838</v>
      </c>
      <c r="AT34" s="137">
        <f t="shared" si="27"/>
        <v>45838</v>
      </c>
      <c r="AU34" s="137">
        <f t="shared" si="27"/>
        <v>45838</v>
      </c>
      <c r="AV34" s="137">
        <f t="shared" si="27"/>
        <v>45838</v>
      </c>
      <c r="AW34" s="137">
        <f t="shared" si="27"/>
        <v>45838</v>
      </c>
      <c r="AX34" s="137">
        <f t="shared" si="27"/>
        <v>45838</v>
      </c>
      <c r="AY34" s="137">
        <f t="shared" si="27"/>
        <v>45838</v>
      </c>
      <c r="AZ34" s="137">
        <f t="shared" si="27"/>
        <v>46203</v>
      </c>
      <c r="BA34" s="137">
        <f t="shared" si="27"/>
        <v>46203</v>
      </c>
      <c r="BB34" s="137">
        <f t="shared" si="27"/>
        <v>46203</v>
      </c>
      <c r="BC34" s="137">
        <f t="shared" si="27"/>
        <v>46203</v>
      </c>
      <c r="BD34" s="137">
        <f t="shared" si="27"/>
        <v>46203</v>
      </c>
      <c r="BE34" s="137">
        <f t="shared" si="27"/>
        <v>46203</v>
      </c>
    </row>
    <row r="35" spans="1:57" s="191" customFormat="1" outlineLevel="2" x14ac:dyDescent="0.2">
      <c r="A35" s="236"/>
      <c r="B35" s="236"/>
      <c r="C35" s="237"/>
      <c r="D35" s="238"/>
      <c r="E35" s="386" t="s">
        <v>242</v>
      </c>
      <c r="F35" s="386"/>
      <c r="G35" s="386" t="s">
        <v>15</v>
      </c>
      <c r="H35" s="386"/>
      <c r="I35" s="386"/>
      <c r="J35" s="386">
        <f t="shared" ref="J35:BE35" si="28" xml:space="preserve"> YEAR(J34)</f>
        <v>2022</v>
      </c>
      <c r="K35" s="386">
        <f t="shared" si="28"/>
        <v>2022</v>
      </c>
      <c r="L35" s="386">
        <f t="shared" si="28"/>
        <v>2022</v>
      </c>
      <c r="M35" s="386">
        <f t="shared" si="28"/>
        <v>2022</v>
      </c>
      <c r="N35" s="386">
        <f t="shared" si="28"/>
        <v>2022</v>
      </c>
      <c r="O35" s="386">
        <f t="shared" si="28"/>
        <v>2022</v>
      </c>
      <c r="P35" s="386">
        <f t="shared" si="28"/>
        <v>2023</v>
      </c>
      <c r="Q35" s="386">
        <f t="shared" si="28"/>
        <v>2023</v>
      </c>
      <c r="R35" s="386">
        <f t="shared" si="28"/>
        <v>2023</v>
      </c>
      <c r="S35" s="386">
        <f t="shared" si="28"/>
        <v>2023</v>
      </c>
      <c r="T35" s="386">
        <f t="shared" si="28"/>
        <v>2023</v>
      </c>
      <c r="U35" s="386">
        <f t="shared" si="28"/>
        <v>2023</v>
      </c>
      <c r="V35" s="386">
        <f t="shared" si="28"/>
        <v>2023</v>
      </c>
      <c r="W35" s="386">
        <f t="shared" si="28"/>
        <v>2023</v>
      </c>
      <c r="X35" s="386">
        <f t="shared" si="28"/>
        <v>2023</v>
      </c>
      <c r="Y35" s="386">
        <f t="shared" si="28"/>
        <v>2023</v>
      </c>
      <c r="Z35" s="386">
        <f t="shared" si="28"/>
        <v>2023</v>
      </c>
      <c r="AA35" s="386">
        <f t="shared" si="28"/>
        <v>2023</v>
      </c>
      <c r="AB35" s="386">
        <f t="shared" si="28"/>
        <v>2024</v>
      </c>
      <c r="AC35" s="386">
        <f t="shared" si="28"/>
        <v>2024</v>
      </c>
      <c r="AD35" s="386">
        <f t="shared" si="28"/>
        <v>2024</v>
      </c>
      <c r="AE35" s="386">
        <f t="shared" si="28"/>
        <v>2024</v>
      </c>
      <c r="AF35" s="386">
        <f t="shared" si="28"/>
        <v>2024</v>
      </c>
      <c r="AG35" s="386">
        <f t="shared" si="28"/>
        <v>2024</v>
      </c>
      <c r="AH35" s="386">
        <f t="shared" si="28"/>
        <v>2024</v>
      </c>
      <c r="AI35" s="386">
        <f t="shared" si="28"/>
        <v>2024</v>
      </c>
      <c r="AJ35" s="386">
        <f t="shared" si="28"/>
        <v>2024</v>
      </c>
      <c r="AK35" s="386">
        <f t="shared" si="28"/>
        <v>2024</v>
      </c>
      <c r="AL35" s="386">
        <f t="shared" si="28"/>
        <v>2024</v>
      </c>
      <c r="AM35" s="386">
        <f t="shared" si="28"/>
        <v>2024</v>
      </c>
      <c r="AN35" s="386">
        <f t="shared" si="28"/>
        <v>2025</v>
      </c>
      <c r="AO35" s="386">
        <f t="shared" si="28"/>
        <v>2025</v>
      </c>
      <c r="AP35" s="386">
        <f t="shared" si="28"/>
        <v>2025</v>
      </c>
      <c r="AQ35" s="386">
        <f t="shared" si="28"/>
        <v>2025</v>
      </c>
      <c r="AR35" s="386">
        <f t="shared" si="28"/>
        <v>2025</v>
      </c>
      <c r="AS35" s="386">
        <f t="shared" si="28"/>
        <v>2025</v>
      </c>
      <c r="AT35" s="386">
        <f t="shared" si="28"/>
        <v>2025</v>
      </c>
      <c r="AU35" s="386">
        <f t="shared" si="28"/>
        <v>2025</v>
      </c>
      <c r="AV35" s="386">
        <f t="shared" si="28"/>
        <v>2025</v>
      </c>
      <c r="AW35" s="386">
        <f t="shared" si="28"/>
        <v>2025</v>
      </c>
      <c r="AX35" s="386">
        <f t="shared" si="28"/>
        <v>2025</v>
      </c>
      <c r="AY35" s="386">
        <f t="shared" si="28"/>
        <v>2025</v>
      </c>
      <c r="AZ35" s="386">
        <f t="shared" si="28"/>
        <v>2026</v>
      </c>
      <c r="BA35" s="386">
        <f t="shared" si="28"/>
        <v>2026</v>
      </c>
      <c r="BB35" s="386">
        <f t="shared" si="28"/>
        <v>2026</v>
      </c>
      <c r="BC35" s="386">
        <f t="shared" si="28"/>
        <v>2026</v>
      </c>
      <c r="BD35" s="386">
        <f t="shared" si="28"/>
        <v>2026</v>
      </c>
      <c r="BE35" s="386">
        <f t="shared" si="28"/>
        <v>2026</v>
      </c>
    </row>
    <row r="36" spans="1:57" outlineLevel="1" x14ac:dyDescent="0.2"/>
    <row r="37" spans="1:57" outlineLevel="1" x14ac:dyDescent="0.2">
      <c r="B37" s="15" t="s">
        <v>233</v>
      </c>
    </row>
    <row r="38" spans="1:57" outlineLevel="2" x14ac:dyDescent="0.2">
      <c r="A38" s="33"/>
      <c r="B38" s="33"/>
      <c r="C38" s="30"/>
      <c r="D38" s="60"/>
      <c r="E38" s="32" t="str">
        <f t="shared" ref="E38:AJ38" si="29" xml:space="preserve"> E$14</f>
        <v>First model column flag - m</v>
      </c>
      <c r="F38" s="32">
        <f t="shared" si="29"/>
        <v>0</v>
      </c>
      <c r="G38" s="32" t="str">
        <f t="shared" si="29"/>
        <v>flag</v>
      </c>
      <c r="H38" s="32">
        <f t="shared" si="29"/>
        <v>1</v>
      </c>
      <c r="I38" s="32">
        <f t="shared" si="29"/>
        <v>0</v>
      </c>
      <c r="J38" s="32">
        <f t="shared" si="29"/>
        <v>1</v>
      </c>
      <c r="K38" s="32">
        <f t="shared" si="29"/>
        <v>0</v>
      </c>
      <c r="L38" s="32">
        <f t="shared" si="29"/>
        <v>0</v>
      </c>
      <c r="M38" s="32">
        <f t="shared" si="29"/>
        <v>0</v>
      </c>
      <c r="N38" s="32">
        <f t="shared" si="29"/>
        <v>0</v>
      </c>
      <c r="O38" s="32">
        <f t="shared" si="29"/>
        <v>0</v>
      </c>
      <c r="P38" s="32">
        <f t="shared" si="29"/>
        <v>0</v>
      </c>
      <c r="Q38" s="32">
        <f t="shared" si="29"/>
        <v>0</v>
      </c>
      <c r="R38" s="32">
        <f t="shared" si="29"/>
        <v>0</v>
      </c>
      <c r="S38" s="32">
        <f t="shared" si="29"/>
        <v>0</v>
      </c>
      <c r="T38" s="32">
        <f t="shared" si="29"/>
        <v>0</v>
      </c>
      <c r="U38" s="32">
        <f t="shared" si="29"/>
        <v>0</v>
      </c>
      <c r="V38" s="32">
        <f t="shared" si="29"/>
        <v>0</v>
      </c>
      <c r="W38" s="32">
        <f t="shared" si="29"/>
        <v>0</v>
      </c>
      <c r="X38" s="32">
        <f t="shared" si="29"/>
        <v>0</v>
      </c>
      <c r="Y38" s="32">
        <f t="shared" si="29"/>
        <v>0</v>
      </c>
      <c r="Z38" s="32">
        <f t="shared" si="29"/>
        <v>0</v>
      </c>
      <c r="AA38" s="32">
        <f t="shared" si="29"/>
        <v>0</v>
      </c>
      <c r="AB38" s="32">
        <f t="shared" si="29"/>
        <v>0</v>
      </c>
      <c r="AC38" s="32">
        <f t="shared" si="29"/>
        <v>0</v>
      </c>
      <c r="AD38" s="32">
        <f t="shared" si="29"/>
        <v>0</v>
      </c>
      <c r="AE38" s="32">
        <f t="shared" si="29"/>
        <v>0</v>
      </c>
      <c r="AF38" s="32">
        <f t="shared" si="29"/>
        <v>0</v>
      </c>
      <c r="AG38" s="32">
        <f t="shared" si="29"/>
        <v>0</v>
      </c>
      <c r="AH38" s="32">
        <f t="shared" si="29"/>
        <v>0</v>
      </c>
      <c r="AI38" s="32">
        <f t="shared" si="29"/>
        <v>0</v>
      </c>
      <c r="AJ38" s="32">
        <f t="shared" si="29"/>
        <v>0</v>
      </c>
      <c r="AK38" s="32">
        <f t="shared" ref="AK38:BE38" si="30" xml:space="preserve"> AK$14</f>
        <v>0</v>
      </c>
      <c r="AL38" s="32">
        <f t="shared" si="30"/>
        <v>0</v>
      </c>
      <c r="AM38" s="32">
        <f t="shared" si="30"/>
        <v>0</v>
      </c>
      <c r="AN38" s="32">
        <f t="shared" si="30"/>
        <v>0</v>
      </c>
      <c r="AO38" s="32">
        <f t="shared" si="30"/>
        <v>0</v>
      </c>
      <c r="AP38" s="32">
        <f t="shared" si="30"/>
        <v>0</v>
      </c>
      <c r="AQ38" s="32">
        <f t="shared" si="30"/>
        <v>0</v>
      </c>
      <c r="AR38" s="32">
        <f t="shared" si="30"/>
        <v>0</v>
      </c>
      <c r="AS38" s="32">
        <f t="shared" si="30"/>
        <v>0</v>
      </c>
      <c r="AT38" s="32">
        <f t="shared" si="30"/>
        <v>0</v>
      </c>
      <c r="AU38" s="32">
        <f t="shared" si="30"/>
        <v>0</v>
      </c>
      <c r="AV38" s="32">
        <f t="shared" si="30"/>
        <v>0</v>
      </c>
      <c r="AW38" s="32">
        <f t="shared" si="30"/>
        <v>0</v>
      </c>
      <c r="AX38" s="32">
        <f t="shared" si="30"/>
        <v>0</v>
      </c>
      <c r="AY38" s="32">
        <f t="shared" si="30"/>
        <v>0</v>
      </c>
      <c r="AZ38" s="32">
        <f t="shared" si="30"/>
        <v>0</v>
      </c>
      <c r="BA38" s="32">
        <f t="shared" si="30"/>
        <v>0</v>
      </c>
      <c r="BB38" s="32">
        <f t="shared" si="30"/>
        <v>0</v>
      </c>
      <c r="BC38" s="32">
        <f t="shared" si="30"/>
        <v>0</v>
      </c>
      <c r="BD38" s="32">
        <f t="shared" si="30"/>
        <v>0</v>
      </c>
      <c r="BE38" s="32">
        <f t="shared" si="30"/>
        <v>0</v>
      </c>
    </row>
    <row r="39" spans="1:57" outlineLevel="2" x14ac:dyDescent="0.2">
      <c r="A39" s="33"/>
      <c r="B39" s="33"/>
      <c r="C39" s="30"/>
      <c r="D39" s="60"/>
      <c r="E39" s="32" t="str">
        <f t="shared" ref="E39:AJ39" si="31" xml:space="preserve"> E$64</f>
        <v>Financial close date flag - m</v>
      </c>
      <c r="F39" s="32">
        <f t="shared" si="31"/>
        <v>0</v>
      </c>
      <c r="G39" s="32" t="str">
        <f t="shared" si="31"/>
        <v>flag</v>
      </c>
      <c r="H39" s="32">
        <f t="shared" si="31"/>
        <v>1</v>
      </c>
      <c r="I39" s="32">
        <f t="shared" si="31"/>
        <v>0</v>
      </c>
      <c r="J39" s="32">
        <f t="shared" si="31"/>
        <v>0</v>
      </c>
      <c r="K39" s="32">
        <f t="shared" si="31"/>
        <v>0</v>
      </c>
      <c r="L39" s="32">
        <f t="shared" si="31"/>
        <v>0</v>
      </c>
      <c r="M39" s="32">
        <f t="shared" si="31"/>
        <v>1</v>
      </c>
      <c r="N39" s="32">
        <f t="shared" si="31"/>
        <v>0</v>
      </c>
      <c r="O39" s="32">
        <f t="shared" si="31"/>
        <v>0</v>
      </c>
      <c r="P39" s="32">
        <f t="shared" si="31"/>
        <v>0</v>
      </c>
      <c r="Q39" s="32">
        <f t="shared" si="31"/>
        <v>0</v>
      </c>
      <c r="R39" s="32">
        <f t="shared" si="31"/>
        <v>0</v>
      </c>
      <c r="S39" s="32">
        <f t="shared" si="31"/>
        <v>0</v>
      </c>
      <c r="T39" s="32">
        <f t="shared" si="31"/>
        <v>0</v>
      </c>
      <c r="U39" s="32">
        <f t="shared" si="31"/>
        <v>0</v>
      </c>
      <c r="V39" s="32">
        <f t="shared" si="31"/>
        <v>0</v>
      </c>
      <c r="W39" s="32">
        <f t="shared" si="31"/>
        <v>0</v>
      </c>
      <c r="X39" s="32">
        <f t="shared" si="31"/>
        <v>0</v>
      </c>
      <c r="Y39" s="32">
        <f t="shared" si="31"/>
        <v>0</v>
      </c>
      <c r="Z39" s="32">
        <f t="shared" si="31"/>
        <v>0</v>
      </c>
      <c r="AA39" s="32">
        <f t="shared" si="31"/>
        <v>0</v>
      </c>
      <c r="AB39" s="32">
        <f t="shared" si="31"/>
        <v>0</v>
      </c>
      <c r="AC39" s="32">
        <f t="shared" si="31"/>
        <v>0</v>
      </c>
      <c r="AD39" s="32">
        <f t="shared" si="31"/>
        <v>0</v>
      </c>
      <c r="AE39" s="32">
        <f t="shared" si="31"/>
        <v>0</v>
      </c>
      <c r="AF39" s="32">
        <f t="shared" si="31"/>
        <v>0</v>
      </c>
      <c r="AG39" s="32">
        <f t="shared" si="31"/>
        <v>0</v>
      </c>
      <c r="AH39" s="32">
        <f t="shared" si="31"/>
        <v>0</v>
      </c>
      <c r="AI39" s="32">
        <f t="shared" si="31"/>
        <v>0</v>
      </c>
      <c r="AJ39" s="32">
        <f t="shared" si="31"/>
        <v>0</v>
      </c>
      <c r="AK39" s="32">
        <f t="shared" ref="AK39:BE39" si="32" xml:space="preserve"> AK$64</f>
        <v>0</v>
      </c>
      <c r="AL39" s="32">
        <f t="shared" si="32"/>
        <v>0</v>
      </c>
      <c r="AM39" s="32">
        <f t="shared" si="32"/>
        <v>0</v>
      </c>
      <c r="AN39" s="32">
        <f t="shared" si="32"/>
        <v>0</v>
      </c>
      <c r="AO39" s="32">
        <f t="shared" si="32"/>
        <v>0</v>
      </c>
      <c r="AP39" s="32">
        <f t="shared" si="32"/>
        <v>0</v>
      </c>
      <c r="AQ39" s="32">
        <f t="shared" si="32"/>
        <v>0</v>
      </c>
      <c r="AR39" s="32">
        <f t="shared" si="32"/>
        <v>0</v>
      </c>
      <c r="AS39" s="32">
        <f t="shared" si="32"/>
        <v>0</v>
      </c>
      <c r="AT39" s="32">
        <f t="shared" si="32"/>
        <v>0</v>
      </c>
      <c r="AU39" s="32">
        <f t="shared" si="32"/>
        <v>0</v>
      </c>
      <c r="AV39" s="32">
        <f t="shared" si="32"/>
        <v>0</v>
      </c>
      <c r="AW39" s="32">
        <f t="shared" si="32"/>
        <v>0</v>
      </c>
      <c r="AX39" s="32">
        <f t="shared" si="32"/>
        <v>0</v>
      </c>
      <c r="AY39" s="32">
        <f t="shared" si="32"/>
        <v>0</v>
      </c>
      <c r="AZ39" s="32">
        <f t="shared" si="32"/>
        <v>0</v>
      </c>
      <c r="BA39" s="32">
        <f t="shared" si="32"/>
        <v>0</v>
      </c>
      <c r="BB39" s="32">
        <f t="shared" si="32"/>
        <v>0</v>
      </c>
      <c r="BC39" s="32">
        <f t="shared" si="32"/>
        <v>0</v>
      </c>
      <c r="BD39" s="32">
        <f t="shared" si="32"/>
        <v>0</v>
      </c>
      <c r="BE39" s="32">
        <f t="shared" si="32"/>
        <v>0</v>
      </c>
    </row>
    <row r="40" spans="1:57" outlineLevel="2" x14ac:dyDescent="0.2">
      <c r="A40" s="33"/>
      <c r="B40" s="33"/>
      <c r="C40" s="30"/>
      <c r="D40" s="60"/>
      <c r="E40" s="32" t="str">
        <f t="shared" ref="E40:AJ40" si="33" xml:space="preserve"> E$68</f>
        <v>First construction period flag - m</v>
      </c>
      <c r="F40" s="32">
        <f t="shared" si="33"/>
        <v>0</v>
      </c>
      <c r="G40" s="32" t="str">
        <f t="shared" si="33"/>
        <v>flag</v>
      </c>
      <c r="H40" s="32">
        <f t="shared" si="33"/>
        <v>1</v>
      </c>
      <c r="I40" s="32">
        <f t="shared" si="33"/>
        <v>0</v>
      </c>
      <c r="J40" s="32">
        <f t="shared" si="33"/>
        <v>0</v>
      </c>
      <c r="K40" s="32">
        <f t="shared" si="33"/>
        <v>0</v>
      </c>
      <c r="L40" s="32">
        <f t="shared" si="33"/>
        <v>0</v>
      </c>
      <c r="M40" s="32">
        <f t="shared" si="33"/>
        <v>0</v>
      </c>
      <c r="N40" s="32">
        <f t="shared" si="33"/>
        <v>1</v>
      </c>
      <c r="O40" s="32">
        <f t="shared" si="33"/>
        <v>0</v>
      </c>
      <c r="P40" s="32">
        <f t="shared" si="33"/>
        <v>0</v>
      </c>
      <c r="Q40" s="32">
        <f t="shared" si="33"/>
        <v>0</v>
      </c>
      <c r="R40" s="32">
        <f t="shared" si="33"/>
        <v>0</v>
      </c>
      <c r="S40" s="32">
        <f t="shared" si="33"/>
        <v>0</v>
      </c>
      <c r="T40" s="32">
        <f t="shared" si="33"/>
        <v>0</v>
      </c>
      <c r="U40" s="32">
        <f t="shared" si="33"/>
        <v>0</v>
      </c>
      <c r="V40" s="32">
        <f t="shared" si="33"/>
        <v>0</v>
      </c>
      <c r="W40" s="32">
        <f t="shared" si="33"/>
        <v>0</v>
      </c>
      <c r="X40" s="32">
        <f t="shared" si="33"/>
        <v>0</v>
      </c>
      <c r="Y40" s="32">
        <f t="shared" si="33"/>
        <v>0</v>
      </c>
      <c r="Z40" s="32">
        <f t="shared" si="33"/>
        <v>0</v>
      </c>
      <c r="AA40" s="32">
        <f t="shared" si="33"/>
        <v>0</v>
      </c>
      <c r="AB40" s="32">
        <f t="shared" si="33"/>
        <v>0</v>
      </c>
      <c r="AC40" s="32">
        <f t="shared" si="33"/>
        <v>0</v>
      </c>
      <c r="AD40" s="32">
        <f t="shared" si="33"/>
        <v>0</v>
      </c>
      <c r="AE40" s="32">
        <f t="shared" si="33"/>
        <v>0</v>
      </c>
      <c r="AF40" s="32">
        <f t="shared" si="33"/>
        <v>0</v>
      </c>
      <c r="AG40" s="32">
        <f t="shared" si="33"/>
        <v>0</v>
      </c>
      <c r="AH40" s="32">
        <f t="shared" si="33"/>
        <v>0</v>
      </c>
      <c r="AI40" s="32">
        <f t="shared" si="33"/>
        <v>0</v>
      </c>
      <c r="AJ40" s="32">
        <f t="shared" si="33"/>
        <v>0</v>
      </c>
      <c r="AK40" s="32">
        <f t="shared" ref="AK40:BE40" si="34" xml:space="preserve"> AK$68</f>
        <v>0</v>
      </c>
      <c r="AL40" s="32">
        <f t="shared" si="34"/>
        <v>0</v>
      </c>
      <c r="AM40" s="32">
        <f t="shared" si="34"/>
        <v>0</v>
      </c>
      <c r="AN40" s="32">
        <f t="shared" si="34"/>
        <v>0</v>
      </c>
      <c r="AO40" s="32">
        <f t="shared" si="34"/>
        <v>0</v>
      </c>
      <c r="AP40" s="32">
        <f t="shared" si="34"/>
        <v>0</v>
      </c>
      <c r="AQ40" s="32">
        <f t="shared" si="34"/>
        <v>0</v>
      </c>
      <c r="AR40" s="32">
        <f t="shared" si="34"/>
        <v>0</v>
      </c>
      <c r="AS40" s="32">
        <f t="shared" si="34"/>
        <v>0</v>
      </c>
      <c r="AT40" s="32">
        <f t="shared" si="34"/>
        <v>0</v>
      </c>
      <c r="AU40" s="32">
        <f t="shared" si="34"/>
        <v>0</v>
      </c>
      <c r="AV40" s="32">
        <f t="shared" si="34"/>
        <v>0</v>
      </c>
      <c r="AW40" s="32">
        <f t="shared" si="34"/>
        <v>0</v>
      </c>
      <c r="AX40" s="32">
        <f t="shared" si="34"/>
        <v>0</v>
      </c>
      <c r="AY40" s="32">
        <f t="shared" si="34"/>
        <v>0</v>
      </c>
      <c r="AZ40" s="32">
        <f t="shared" si="34"/>
        <v>0</v>
      </c>
      <c r="BA40" s="32">
        <f t="shared" si="34"/>
        <v>0</v>
      </c>
      <c r="BB40" s="32">
        <f t="shared" si="34"/>
        <v>0</v>
      </c>
      <c r="BC40" s="32">
        <f t="shared" si="34"/>
        <v>0</v>
      </c>
      <c r="BD40" s="32">
        <f t="shared" si="34"/>
        <v>0</v>
      </c>
      <c r="BE40" s="32">
        <f t="shared" si="34"/>
        <v>0</v>
      </c>
    </row>
    <row r="41" spans="1:57" outlineLevel="2" x14ac:dyDescent="0.2">
      <c r="A41" s="33"/>
      <c r="B41" s="33"/>
      <c r="C41" s="30"/>
      <c r="D41" s="60"/>
      <c r="E41" s="32" t="str">
        <f t="shared" ref="E41:AJ41" si="35" xml:space="preserve"> E$90</f>
        <v>First operating period flag - m</v>
      </c>
      <c r="F41" s="32">
        <f t="shared" si="35"/>
        <v>0</v>
      </c>
      <c r="G41" s="32" t="str">
        <f t="shared" si="35"/>
        <v>flag</v>
      </c>
      <c r="H41" s="32">
        <f t="shared" si="35"/>
        <v>1</v>
      </c>
      <c r="I41" s="32">
        <f t="shared" si="35"/>
        <v>0</v>
      </c>
      <c r="J41" s="32">
        <f t="shared" si="35"/>
        <v>0</v>
      </c>
      <c r="K41" s="32">
        <f t="shared" si="35"/>
        <v>0</v>
      </c>
      <c r="L41" s="32">
        <f t="shared" si="35"/>
        <v>0</v>
      </c>
      <c r="M41" s="32">
        <f t="shared" si="35"/>
        <v>0</v>
      </c>
      <c r="N41" s="32">
        <f t="shared" si="35"/>
        <v>0</v>
      </c>
      <c r="O41" s="32">
        <f t="shared" si="35"/>
        <v>0</v>
      </c>
      <c r="P41" s="32">
        <f t="shared" si="35"/>
        <v>0</v>
      </c>
      <c r="Q41" s="32">
        <f t="shared" si="35"/>
        <v>0</v>
      </c>
      <c r="R41" s="32">
        <f t="shared" si="35"/>
        <v>0</v>
      </c>
      <c r="S41" s="32">
        <f t="shared" si="35"/>
        <v>0</v>
      </c>
      <c r="T41" s="32">
        <f t="shared" si="35"/>
        <v>0</v>
      </c>
      <c r="U41" s="32">
        <f t="shared" si="35"/>
        <v>0</v>
      </c>
      <c r="V41" s="32">
        <f t="shared" si="35"/>
        <v>0</v>
      </c>
      <c r="W41" s="32">
        <f t="shared" si="35"/>
        <v>0</v>
      </c>
      <c r="X41" s="32">
        <f t="shared" si="35"/>
        <v>0</v>
      </c>
      <c r="Y41" s="32">
        <f t="shared" si="35"/>
        <v>0</v>
      </c>
      <c r="Z41" s="32">
        <f t="shared" si="35"/>
        <v>0</v>
      </c>
      <c r="AA41" s="32">
        <f t="shared" si="35"/>
        <v>0</v>
      </c>
      <c r="AB41" s="32">
        <f t="shared" si="35"/>
        <v>0</v>
      </c>
      <c r="AC41" s="32">
        <f t="shared" si="35"/>
        <v>0</v>
      </c>
      <c r="AD41" s="32">
        <f t="shared" si="35"/>
        <v>0</v>
      </c>
      <c r="AE41" s="32">
        <f t="shared" si="35"/>
        <v>0</v>
      </c>
      <c r="AF41" s="32">
        <f t="shared" si="35"/>
        <v>0</v>
      </c>
      <c r="AG41" s="32">
        <f t="shared" si="35"/>
        <v>0</v>
      </c>
      <c r="AH41" s="32">
        <f t="shared" si="35"/>
        <v>0</v>
      </c>
      <c r="AI41" s="32">
        <f t="shared" si="35"/>
        <v>0</v>
      </c>
      <c r="AJ41" s="32">
        <f t="shared" si="35"/>
        <v>0</v>
      </c>
      <c r="AK41" s="32">
        <f t="shared" ref="AK41:BE41" si="36" xml:space="preserve"> AK$90</f>
        <v>0</v>
      </c>
      <c r="AL41" s="32">
        <f t="shared" si="36"/>
        <v>0</v>
      </c>
      <c r="AM41" s="32">
        <f t="shared" si="36"/>
        <v>0</v>
      </c>
      <c r="AN41" s="32">
        <f t="shared" si="36"/>
        <v>1</v>
      </c>
      <c r="AO41" s="32">
        <f t="shared" si="36"/>
        <v>0</v>
      </c>
      <c r="AP41" s="32">
        <f t="shared" si="36"/>
        <v>0</v>
      </c>
      <c r="AQ41" s="32">
        <f t="shared" si="36"/>
        <v>0</v>
      </c>
      <c r="AR41" s="32">
        <f t="shared" si="36"/>
        <v>0</v>
      </c>
      <c r="AS41" s="32">
        <f t="shared" si="36"/>
        <v>0</v>
      </c>
      <c r="AT41" s="32">
        <f t="shared" si="36"/>
        <v>0</v>
      </c>
      <c r="AU41" s="32">
        <f t="shared" si="36"/>
        <v>0</v>
      </c>
      <c r="AV41" s="32">
        <f t="shared" si="36"/>
        <v>0</v>
      </c>
      <c r="AW41" s="32">
        <f t="shared" si="36"/>
        <v>0</v>
      </c>
      <c r="AX41" s="32">
        <f t="shared" si="36"/>
        <v>0</v>
      </c>
      <c r="AY41" s="32">
        <f t="shared" si="36"/>
        <v>0</v>
      </c>
      <c r="AZ41" s="32">
        <f t="shared" si="36"/>
        <v>0</v>
      </c>
      <c r="BA41" s="32">
        <f t="shared" si="36"/>
        <v>0</v>
      </c>
      <c r="BB41" s="32">
        <f t="shared" si="36"/>
        <v>0</v>
      </c>
      <c r="BC41" s="32">
        <f t="shared" si="36"/>
        <v>0</v>
      </c>
      <c r="BD41" s="32">
        <f t="shared" si="36"/>
        <v>0</v>
      </c>
      <c r="BE41" s="32">
        <f t="shared" si="36"/>
        <v>0</v>
      </c>
    </row>
    <row r="42" spans="1:57" outlineLevel="2" x14ac:dyDescent="0.2">
      <c r="A42" s="33"/>
      <c r="B42" s="33"/>
      <c r="C42" s="30"/>
      <c r="D42" s="32"/>
      <c r="E42" s="32" t="s">
        <v>236</v>
      </c>
      <c r="F42" s="32"/>
      <c r="G42" s="32" t="s">
        <v>14</v>
      </c>
      <c r="H42" s="32"/>
      <c r="I42" s="31"/>
      <c r="J42" s="32">
        <f t="shared" ref="J42:BE42" si="37" xml:space="preserve"> I42 + MAX(J38:J41)</f>
        <v>1</v>
      </c>
      <c r="K42" s="32">
        <f t="shared" si="37"/>
        <v>1</v>
      </c>
      <c r="L42" s="32">
        <f t="shared" si="37"/>
        <v>1</v>
      </c>
      <c r="M42" s="32">
        <f t="shared" si="37"/>
        <v>2</v>
      </c>
      <c r="N42" s="32">
        <f t="shared" si="37"/>
        <v>3</v>
      </c>
      <c r="O42" s="32">
        <f t="shared" si="37"/>
        <v>3</v>
      </c>
      <c r="P42" s="32">
        <f t="shared" si="37"/>
        <v>3</v>
      </c>
      <c r="Q42" s="32">
        <f t="shared" si="37"/>
        <v>3</v>
      </c>
      <c r="R42" s="32">
        <f t="shared" si="37"/>
        <v>3</v>
      </c>
      <c r="S42" s="32">
        <f t="shared" si="37"/>
        <v>3</v>
      </c>
      <c r="T42" s="32">
        <f t="shared" si="37"/>
        <v>3</v>
      </c>
      <c r="U42" s="32">
        <f t="shared" si="37"/>
        <v>3</v>
      </c>
      <c r="V42" s="32">
        <f t="shared" si="37"/>
        <v>3</v>
      </c>
      <c r="W42" s="32">
        <f t="shared" si="37"/>
        <v>3</v>
      </c>
      <c r="X42" s="32">
        <f t="shared" si="37"/>
        <v>3</v>
      </c>
      <c r="Y42" s="32">
        <f t="shared" si="37"/>
        <v>3</v>
      </c>
      <c r="Z42" s="32">
        <f t="shared" si="37"/>
        <v>3</v>
      </c>
      <c r="AA42" s="32">
        <f t="shared" si="37"/>
        <v>3</v>
      </c>
      <c r="AB42" s="32">
        <f t="shared" si="37"/>
        <v>3</v>
      </c>
      <c r="AC42" s="32">
        <f t="shared" si="37"/>
        <v>3</v>
      </c>
      <c r="AD42" s="32">
        <f t="shared" si="37"/>
        <v>3</v>
      </c>
      <c r="AE42" s="32">
        <f t="shared" si="37"/>
        <v>3</v>
      </c>
      <c r="AF42" s="32">
        <f t="shared" si="37"/>
        <v>3</v>
      </c>
      <c r="AG42" s="32">
        <f t="shared" si="37"/>
        <v>3</v>
      </c>
      <c r="AH42" s="32">
        <f t="shared" si="37"/>
        <v>3</v>
      </c>
      <c r="AI42" s="32">
        <f t="shared" si="37"/>
        <v>3</v>
      </c>
      <c r="AJ42" s="32">
        <f t="shared" si="37"/>
        <v>3</v>
      </c>
      <c r="AK42" s="32">
        <f t="shared" si="37"/>
        <v>3</v>
      </c>
      <c r="AL42" s="32">
        <f t="shared" si="37"/>
        <v>3</v>
      </c>
      <c r="AM42" s="32">
        <f t="shared" si="37"/>
        <v>3</v>
      </c>
      <c r="AN42" s="32">
        <f t="shared" si="37"/>
        <v>4</v>
      </c>
      <c r="AO42" s="32">
        <f t="shared" si="37"/>
        <v>4</v>
      </c>
      <c r="AP42" s="32">
        <f t="shared" si="37"/>
        <v>4</v>
      </c>
      <c r="AQ42" s="32">
        <f t="shared" si="37"/>
        <v>4</v>
      </c>
      <c r="AR42" s="32">
        <f t="shared" si="37"/>
        <v>4</v>
      </c>
      <c r="AS42" s="32">
        <f t="shared" si="37"/>
        <v>4</v>
      </c>
      <c r="AT42" s="32">
        <f t="shared" si="37"/>
        <v>4</v>
      </c>
      <c r="AU42" s="32">
        <f t="shared" si="37"/>
        <v>4</v>
      </c>
      <c r="AV42" s="32">
        <f t="shared" si="37"/>
        <v>4</v>
      </c>
      <c r="AW42" s="32">
        <f t="shared" si="37"/>
        <v>4</v>
      </c>
      <c r="AX42" s="32">
        <f t="shared" si="37"/>
        <v>4</v>
      </c>
      <c r="AY42" s="32">
        <f t="shared" si="37"/>
        <v>4</v>
      </c>
      <c r="AZ42" s="32">
        <f t="shared" si="37"/>
        <v>4</v>
      </c>
      <c r="BA42" s="32">
        <f t="shared" si="37"/>
        <v>4</v>
      </c>
      <c r="BB42" s="32">
        <f t="shared" si="37"/>
        <v>4</v>
      </c>
      <c r="BC42" s="32">
        <f t="shared" si="37"/>
        <v>4</v>
      </c>
      <c r="BD42" s="32">
        <f t="shared" si="37"/>
        <v>4</v>
      </c>
      <c r="BE42" s="32">
        <f t="shared" si="37"/>
        <v>4</v>
      </c>
    </row>
    <row r="43" spans="1:57" outlineLevel="2" x14ac:dyDescent="0.2">
      <c r="E43" s="9"/>
      <c r="F43" s="9"/>
      <c r="G43" s="9"/>
      <c r="H43" s="9"/>
      <c r="J43" s="9"/>
    </row>
    <row r="44" spans="1:57" outlineLevel="2" x14ac:dyDescent="0.2">
      <c r="E44" s="186" t="str">
        <f xml:space="preserve"> InpC!E$423</f>
        <v>Pre-forecast period</v>
      </c>
      <c r="F44" s="186" t="str">
        <f xml:space="preserve"> InpC!F$423</f>
        <v>Pre-fcst</v>
      </c>
      <c r="G44" s="186" t="str">
        <f xml:space="preserve"> InpC!G$423</f>
        <v>label</v>
      </c>
    </row>
    <row r="45" spans="1:57" outlineLevel="2" x14ac:dyDescent="0.2">
      <c r="E45" s="68" t="str">
        <f xml:space="preserve"> InpC!E$424</f>
        <v>Financial Close</v>
      </c>
      <c r="F45" s="68" t="str">
        <f xml:space="preserve"> InpC!F$424</f>
        <v>Fin Close</v>
      </c>
      <c r="G45" s="68" t="str">
        <f xml:space="preserve"> InpC!G$424</f>
        <v>label</v>
      </c>
      <c r="H45" s="9"/>
      <c r="J45" s="9"/>
    </row>
    <row r="46" spans="1:57" outlineLevel="2" x14ac:dyDescent="0.2">
      <c r="E46" s="68" t="str">
        <f xml:space="preserve"> InpC!E$425</f>
        <v>Construction</v>
      </c>
      <c r="F46" s="68" t="str">
        <f xml:space="preserve"> InpC!F$425</f>
        <v>Construction</v>
      </c>
      <c r="G46" s="68" t="str">
        <f xml:space="preserve"> InpC!G$425</f>
        <v>label</v>
      </c>
      <c r="H46" s="9"/>
      <c r="J46" s="9"/>
    </row>
    <row r="47" spans="1:57" outlineLevel="2" x14ac:dyDescent="0.2">
      <c r="E47" s="68" t="str">
        <f xml:space="preserve"> InpC!E$426</f>
        <v>Operations</v>
      </c>
      <c r="F47" s="68" t="str">
        <f xml:space="preserve"> InpC!F$426</f>
        <v>Operations</v>
      </c>
      <c r="G47" s="68" t="str">
        <f xml:space="preserve"> InpC!G$426</f>
        <v>label</v>
      </c>
      <c r="H47" s="9"/>
      <c r="J47" s="9"/>
    </row>
    <row r="48" spans="1:57" outlineLevel="2" x14ac:dyDescent="0.2">
      <c r="E48" s="68" t="str">
        <f xml:space="preserve"> InpC!E$427</f>
        <v>Post ops</v>
      </c>
      <c r="F48" s="68" t="str">
        <f xml:space="preserve"> InpC!F$427</f>
        <v>Post ops</v>
      </c>
      <c r="G48" s="68" t="str">
        <f xml:space="preserve"> InpC!G$427</f>
        <v>label</v>
      </c>
      <c r="H48" s="9"/>
      <c r="J48" s="9"/>
    </row>
    <row r="49" spans="1:57" outlineLevel="2" x14ac:dyDescent="0.2">
      <c r="A49" s="61"/>
      <c r="B49" s="61"/>
      <c r="C49" s="62"/>
      <c r="D49" s="64"/>
      <c r="E49" s="151" t="str">
        <f t="shared" ref="E49:AJ49" si="38" xml:space="preserve"> E$42</f>
        <v>Timeline label counter - m</v>
      </c>
      <c r="F49" s="151">
        <f t="shared" si="38"/>
        <v>0</v>
      </c>
      <c r="G49" s="151" t="str">
        <f t="shared" si="38"/>
        <v>counter</v>
      </c>
      <c r="H49" s="151">
        <f t="shared" si="38"/>
        <v>0</v>
      </c>
      <c r="I49" s="151">
        <f t="shared" si="38"/>
        <v>0</v>
      </c>
      <c r="J49" s="151">
        <f t="shared" si="38"/>
        <v>1</v>
      </c>
      <c r="K49" s="151">
        <f t="shared" si="38"/>
        <v>1</v>
      </c>
      <c r="L49" s="151">
        <f t="shared" si="38"/>
        <v>1</v>
      </c>
      <c r="M49" s="151">
        <f t="shared" si="38"/>
        <v>2</v>
      </c>
      <c r="N49" s="151">
        <f t="shared" si="38"/>
        <v>3</v>
      </c>
      <c r="O49" s="151">
        <f t="shared" si="38"/>
        <v>3</v>
      </c>
      <c r="P49" s="151">
        <f t="shared" si="38"/>
        <v>3</v>
      </c>
      <c r="Q49" s="151">
        <f t="shared" si="38"/>
        <v>3</v>
      </c>
      <c r="R49" s="151">
        <f t="shared" si="38"/>
        <v>3</v>
      </c>
      <c r="S49" s="151">
        <f t="shared" si="38"/>
        <v>3</v>
      </c>
      <c r="T49" s="151">
        <f t="shared" si="38"/>
        <v>3</v>
      </c>
      <c r="U49" s="151">
        <f t="shared" si="38"/>
        <v>3</v>
      </c>
      <c r="V49" s="151">
        <f t="shared" si="38"/>
        <v>3</v>
      </c>
      <c r="W49" s="151">
        <f t="shared" si="38"/>
        <v>3</v>
      </c>
      <c r="X49" s="151">
        <f t="shared" si="38"/>
        <v>3</v>
      </c>
      <c r="Y49" s="151">
        <f t="shared" si="38"/>
        <v>3</v>
      </c>
      <c r="Z49" s="151">
        <f t="shared" si="38"/>
        <v>3</v>
      </c>
      <c r="AA49" s="151">
        <f t="shared" si="38"/>
        <v>3</v>
      </c>
      <c r="AB49" s="151">
        <f t="shared" si="38"/>
        <v>3</v>
      </c>
      <c r="AC49" s="151">
        <f t="shared" si="38"/>
        <v>3</v>
      </c>
      <c r="AD49" s="151">
        <f t="shared" si="38"/>
        <v>3</v>
      </c>
      <c r="AE49" s="151">
        <f t="shared" si="38"/>
        <v>3</v>
      </c>
      <c r="AF49" s="151">
        <f t="shared" si="38"/>
        <v>3</v>
      </c>
      <c r="AG49" s="151">
        <f t="shared" si="38"/>
        <v>3</v>
      </c>
      <c r="AH49" s="151">
        <f t="shared" si="38"/>
        <v>3</v>
      </c>
      <c r="AI49" s="151">
        <f t="shared" si="38"/>
        <v>3</v>
      </c>
      <c r="AJ49" s="151">
        <f t="shared" si="38"/>
        <v>3</v>
      </c>
      <c r="AK49" s="151">
        <f t="shared" ref="AK49:BE49" si="39" xml:space="preserve"> AK$42</f>
        <v>3</v>
      </c>
      <c r="AL49" s="151">
        <f t="shared" si="39"/>
        <v>3</v>
      </c>
      <c r="AM49" s="151">
        <f t="shared" si="39"/>
        <v>3</v>
      </c>
      <c r="AN49" s="151">
        <f t="shared" si="39"/>
        <v>4</v>
      </c>
      <c r="AO49" s="151">
        <f t="shared" si="39"/>
        <v>4</v>
      </c>
      <c r="AP49" s="151">
        <f t="shared" si="39"/>
        <v>4</v>
      </c>
      <c r="AQ49" s="151">
        <f t="shared" si="39"/>
        <v>4</v>
      </c>
      <c r="AR49" s="151">
        <f t="shared" si="39"/>
        <v>4</v>
      </c>
      <c r="AS49" s="151">
        <f t="shared" si="39"/>
        <v>4</v>
      </c>
      <c r="AT49" s="151">
        <f t="shared" si="39"/>
        <v>4</v>
      </c>
      <c r="AU49" s="151">
        <f t="shared" si="39"/>
        <v>4</v>
      </c>
      <c r="AV49" s="151">
        <f t="shared" si="39"/>
        <v>4</v>
      </c>
      <c r="AW49" s="151">
        <f t="shared" si="39"/>
        <v>4</v>
      </c>
      <c r="AX49" s="151">
        <f t="shared" si="39"/>
        <v>4</v>
      </c>
      <c r="AY49" s="151">
        <f t="shared" si="39"/>
        <v>4</v>
      </c>
      <c r="AZ49" s="151">
        <f t="shared" si="39"/>
        <v>4</v>
      </c>
      <c r="BA49" s="151">
        <f t="shared" si="39"/>
        <v>4</v>
      </c>
      <c r="BB49" s="151">
        <f t="shared" si="39"/>
        <v>4</v>
      </c>
      <c r="BC49" s="151">
        <f t="shared" si="39"/>
        <v>4</v>
      </c>
      <c r="BD49" s="151">
        <f t="shared" si="39"/>
        <v>4</v>
      </c>
      <c r="BE49" s="151">
        <f t="shared" si="39"/>
        <v>4</v>
      </c>
    </row>
    <row r="50" spans="1:57" s="188" customFormat="1" outlineLevel="2" x14ac:dyDescent="0.2">
      <c r="A50" s="480"/>
      <c r="B50" s="480"/>
      <c r="C50" s="481"/>
      <c r="D50" s="482"/>
      <c r="E50" s="1095" t="s">
        <v>237</v>
      </c>
      <c r="F50" s="483"/>
      <c r="G50" s="483" t="s">
        <v>26</v>
      </c>
      <c r="H50" s="484"/>
      <c r="I50" s="484"/>
      <c r="J50" s="484" t="str">
        <f t="shared" ref="J50:BE50" si="40">INDEX($F44:$F48, J49)</f>
        <v>Pre-fcst</v>
      </c>
      <c r="K50" s="484" t="str">
        <f t="shared" si="40"/>
        <v>Pre-fcst</v>
      </c>
      <c r="L50" s="484" t="str">
        <f t="shared" si="40"/>
        <v>Pre-fcst</v>
      </c>
      <c r="M50" s="484" t="str">
        <f t="shared" si="40"/>
        <v>Fin Close</v>
      </c>
      <c r="N50" s="484" t="str">
        <f t="shared" si="40"/>
        <v>Construction</v>
      </c>
      <c r="O50" s="484" t="str">
        <f t="shared" si="40"/>
        <v>Construction</v>
      </c>
      <c r="P50" s="484" t="str">
        <f t="shared" si="40"/>
        <v>Construction</v>
      </c>
      <c r="Q50" s="484" t="str">
        <f t="shared" si="40"/>
        <v>Construction</v>
      </c>
      <c r="R50" s="484" t="str">
        <f t="shared" si="40"/>
        <v>Construction</v>
      </c>
      <c r="S50" s="484" t="str">
        <f t="shared" si="40"/>
        <v>Construction</v>
      </c>
      <c r="T50" s="484" t="str">
        <f t="shared" si="40"/>
        <v>Construction</v>
      </c>
      <c r="U50" s="484" t="str">
        <f t="shared" si="40"/>
        <v>Construction</v>
      </c>
      <c r="V50" s="484" t="str">
        <f t="shared" si="40"/>
        <v>Construction</v>
      </c>
      <c r="W50" s="484" t="str">
        <f t="shared" si="40"/>
        <v>Construction</v>
      </c>
      <c r="X50" s="484" t="str">
        <f t="shared" si="40"/>
        <v>Construction</v>
      </c>
      <c r="Y50" s="484" t="str">
        <f t="shared" si="40"/>
        <v>Construction</v>
      </c>
      <c r="Z50" s="484" t="str">
        <f t="shared" si="40"/>
        <v>Construction</v>
      </c>
      <c r="AA50" s="484" t="str">
        <f t="shared" si="40"/>
        <v>Construction</v>
      </c>
      <c r="AB50" s="484" t="str">
        <f t="shared" si="40"/>
        <v>Construction</v>
      </c>
      <c r="AC50" s="484" t="str">
        <f t="shared" si="40"/>
        <v>Construction</v>
      </c>
      <c r="AD50" s="484" t="str">
        <f t="shared" si="40"/>
        <v>Construction</v>
      </c>
      <c r="AE50" s="484" t="str">
        <f t="shared" si="40"/>
        <v>Construction</v>
      </c>
      <c r="AF50" s="484" t="str">
        <f t="shared" si="40"/>
        <v>Construction</v>
      </c>
      <c r="AG50" s="484" t="str">
        <f t="shared" si="40"/>
        <v>Construction</v>
      </c>
      <c r="AH50" s="484" t="str">
        <f t="shared" si="40"/>
        <v>Construction</v>
      </c>
      <c r="AI50" s="484" t="str">
        <f t="shared" si="40"/>
        <v>Construction</v>
      </c>
      <c r="AJ50" s="484" t="str">
        <f t="shared" si="40"/>
        <v>Construction</v>
      </c>
      <c r="AK50" s="484" t="str">
        <f t="shared" si="40"/>
        <v>Construction</v>
      </c>
      <c r="AL50" s="484" t="str">
        <f t="shared" si="40"/>
        <v>Construction</v>
      </c>
      <c r="AM50" s="484" t="str">
        <f t="shared" si="40"/>
        <v>Construction</v>
      </c>
      <c r="AN50" s="484" t="str">
        <f t="shared" si="40"/>
        <v>Operations</v>
      </c>
      <c r="AO50" s="484" t="str">
        <f t="shared" si="40"/>
        <v>Operations</v>
      </c>
      <c r="AP50" s="484" t="str">
        <f t="shared" si="40"/>
        <v>Operations</v>
      </c>
      <c r="AQ50" s="484" t="str">
        <f t="shared" si="40"/>
        <v>Operations</v>
      </c>
      <c r="AR50" s="484" t="str">
        <f t="shared" si="40"/>
        <v>Operations</v>
      </c>
      <c r="AS50" s="484" t="str">
        <f t="shared" si="40"/>
        <v>Operations</v>
      </c>
      <c r="AT50" s="484" t="str">
        <f t="shared" si="40"/>
        <v>Operations</v>
      </c>
      <c r="AU50" s="484" t="str">
        <f t="shared" si="40"/>
        <v>Operations</v>
      </c>
      <c r="AV50" s="484" t="str">
        <f t="shared" si="40"/>
        <v>Operations</v>
      </c>
      <c r="AW50" s="484" t="str">
        <f t="shared" si="40"/>
        <v>Operations</v>
      </c>
      <c r="AX50" s="484" t="str">
        <f t="shared" si="40"/>
        <v>Operations</v>
      </c>
      <c r="AY50" s="484" t="str">
        <f t="shared" si="40"/>
        <v>Operations</v>
      </c>
      <c r="AZ50" s="484" t="str">
        <f t="shared" si="40"/>
        <v>Operations</v>
      </c>
      <c r="BA50" s="484" t="str">
        <f t="shared" si="40"/>
        <v>Operations</v>
      </c>
      <c r="BB50" s="484" t="str">
        <f t="shared" si="40"/>
        <v>Operations</v>
      </c>
      <c r="BC50" s="484" t="str">
        <f t="shared" si="40"/>
        <v>Operations</v>
      </c>
      <c r="BD50" s="484" t="str">
        <f t="shared" si="40"/>
        <v>Operations</v>
      </c>
      <c r="BE50" s="484" t="str">
        <f t="shared" si="40"/>
        <v>Operations</v>
      </c>
    </row>
    <row r="51" spans="1:57" outlineLevel="1" x14ac:dyDescent="0.2"/>
    <row r="52" spans="1:57" outlineLevel="1" x14ac:dyDescent="0.2">
      <c r="A52" s="522"/>
      <c r="B52" s="522" t="s">
        <v>1280</v>
      </c>
      <c r="C52" s="523"/>
      <c r="D52" s="524"/>
      <c r="E52" s="525"/>
      <c r="F52" s="525"/>
      <c r="G52" s="525"/>
      <c r="H52" s="525"/>
      <c r="I52" s="526"/>
      <c r="J52" s="525"/>
    </row>
    <row r="53" spans="1:57" outlineLevel="2" x14ac:dyDescent="0.2">
      <c r="E53" s="189" t="str">
        <f xml:space="preserve"> InpC!E$16</f>
        <v>Length of operating period</v>
      </c>
      <c r="F53" s="189">
        <f xml:space="preserve"> InpC!F$16</f>
        <v>6</v>
      </c>
      <c r="G53" s="189" t="str">
        <f xml:space="preserve"> InpC!G$16</f>
        <v>months</v>
      </c>
      <c r="H53" s="2"/>
      <c r="I53" s="16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</row>
    <row r="54" spans="1:57" outlineLevel="2" x14ac:dyDescent="0.2">
      <c r="A54" s="33"/>
      <c r="B54" s="33"/>
      <c r="C54" s="30"/>
      <c r="D54" s="60"/>
      <c r="E54" s="32" t="str">
        <f t="shared" ref="E54:AJ54" si="41" xml:space="preserve"> E$14</f>
        <v>First model column flag - m</v>
      </c>
      <c r="F54" s="32">
        <f t="shared" si="41"/>
        <v>0</v>
      </c>
      <c r="G54" s="32" t="str">
        <f t="shared" si="41"/>
        <v>flag</v>
      </c>
      <c r="H54" s="32">
        <f t="shared" si="41"/>
        <v>1</v>
      </c>
      <c r="I54" s="32">
        <f t="shared" si="41"/>
        <v>0</v>
      </c>
      <c r="J54" s="32">
        <f t="shared" si="41"/>
        <v>1</v>
      </c>
      <c r="K54" s="32">
        <f t="shared" si="41"/>
        <v>0</v>
      </c>
      <c r="L54" s="32">
        <f t="shared" si="41"/>
        <v>0</v>
      </c>
      <c r="M54" s="32">
        <f t="shared" si="41"/>
        <v>0</v>
      </c>
      <c r="N54" s="32">
        <f t="shared" si="41"/>
        <v>0</v>
      </c>
      <c r="O54" s="32">
        <f t="shared" si="41"/>
        <v>0</v>
      </c>
      <c r="P54" s="32">
        <f t="shared" si="41"/>
        <v>0</v>
      </c>
      <c r="Q54" s="32">
        <f t="shared" si="41"/>
        <v>0</v>
      </c>
      <c r="R54" s="32">
        <f t="shared" si="41"/>
        <v>0</v>
      </c>
      <c r="S54" s="32">
        <f t="shared" si="41"/>
        <v>0</v>
      </c>
      <c r="T54" s="32">
        <f t="shared" si="41"/>
        <v>0</v>
      </c>
      <c r="U54" s="32">
        <f t="shared" si="41"/>
        <v>0</v>
      </c>
      <c r="V54" s="32">
        <f t="shared" si="41"/>
        <v>0</v>
      </c>
      <c r="W54" s="32">
        <f t="shared" si="41"/>
        <v>0</v>
      </c>
      <c r="X54" s="32">
        <f t="shared" si="41"/>
        <v>0</v>
      </c>
      <c r="Y54" s="32">
        <f t="shared" si="41"/>
        <v>0</v>
      </c>
      <c r="Z54" s="32">
        <f t="shared" si="41"/>
        <v>0</v>
      </c>
      <c r="AA54" s="32">
        <f t="shared" si="41"/>
        <v>0</v>
      </c>
      <c r="AB54" s="32">
        <f t="shared" si="41"/>
        <v>0</v>
      </c>
      <c r="AC54" s="32">
        <f t="shared" si="41"/>
        <v>0</v>
      </c>
      <c r="AD54" s="32">
        <f t="shared" si="41"/>
        <v>0</v>
      </c>
      <c r="AE54" s="32">
        <f t="shared" si="41"/>
        <v>0</v>
      </c>
      <c r="AF54" s="32">
        <f t="shared" si="41"/>
        <v>0</v>
      </c>
      <c r="AG54" s="32">
        <f t="shared" si="41"/>
        <v>0</v>
      </c>
      <c r="AH54" s="32">
        <f t="shared" si="41"/>
        <v>0</v>
      </c>
      <c r="AI54" s="32">
        <f t="shared" si="41"/>
        <v>0</v>
      </c>
      <c r="AJ54" s="32">
        <f t="shared" si="41"/>
        <v>0</v>
      </c>
      <c r="AK54" s="32">
        <f t="shared" ref="AK54:BE54" si="42" xml:space="preserve"> AK$14</f>
        <v>0</v>
      </c>
      <c r="AL54" s="32">
        <f t="shared" si="42"/>
        <v>0</v>
      </c>
      <c r="AM54" s="32">
        <f t="shared" si="42"/>
        <v>0</v>
      </c>
      <c r="AN54" s="32">
        <f t="shared" si="42"/>
        <v>0</v>
      </c>
      <c r="AO54" s="32">
        <f t="shared" si="42"/>
        <v>0</v>
      </c>
      <c r="AP54" s="32">
        <f t="shared" si="42"/>
        <v>0</v>
      </c>
      <c r="AQ54" s="32">
        <f t="shared" si="42"/>
        <v>0</v>
      </c>
      <c r="AR54" s="32">
        <f t="shared" si="42"/>
        <v>0</v>
      </c>
      <c r="AS54" s="32">
        <f t="shared" si="42"/>
        <v>0</v>
      </c>
      <c r="AT54" s="32">
        <f t="shared" si="42"/>
        <v>0</v>
      </c>
      <c r="AU54" s="32">
        <f t="shared" si="42"/>
        <v>0</v>
      </c>
      <c r="AV54" s="32">
        <f t="shared" si="42"/>
        <v>0</v>
      </c>
      <c r="AW54" s="32">
        <f t="shared" si="42"/>
        <v>0</v>
      </c>
      <c r="AX54" s="32">
        <f t="shared" si="42"/>
        <v>0</v>
      </c>
      <c r="AY54" s="32">
        <f t="shared" si="42"/>
        <v>0</v>
      </c>
      <c r="AZ54" s="32">
        <f t="shared" si="42"/>
        <v>0</v>
      </c>
      <c r="BA54" s="32">
        <f t="shared" si="42"/>
        <v>0</v>
      </c>
      <c r="BB54" s="32">
        <f t="shared" si="42"/>
        <v>0</v>
      </c>
      <c r="BC54" s="32">
        <f t="shared" si="42"/>
        <v>0</v>
      </c>
      <c r="BD54" s="32">
        <f t="shared" si="42"/>
        <v>0</v>
      </c>
      <c r="BE54" s="32">
        <f t="shared" si="42"/>
        <v>0</v>
      </c>
    </row>
    <row r="55" spans="1:57" outlineLevel="2" x14ac:dyDescent="0.2">
      <c r="A55" s="53"/>
      <c r="B55" s="54"/>
      <c r="C55" s="55"/>
      <c r="D55" s="56"/>
      <c r="E55" s="134" t="str">
        <f t="shared" ref="E55:BE55" si="43" xml:space="preserve"> E$10</f>
        <v>Model column counter</v>
      </c>
      <c r="F55" s="134">
        <f t="shared" si="43"/>
        <v>0</v>
      </c>
      <c r="G55" s="134" t="str">
        <f t="shared" si="43"/>
        <v>counter</v>
      </c>
      <c r="H55" s="134">
        <f t="shared" si="43"/>
        <v>0</v>
      </c>
      <c r="I55" s="134">
        <f t="shared" si="43"/>
        <v>0</v>
      </c>
      <c r="J55" s="134">
        <f t="shared" si="43"/>
        <v>1</v>
      </c>
      <c r="K55" s="134">
        <f t="shared" si="43"/>
        <v>2</v>
      </c>
      <c r="L55" s="134">
        <f t="shared" si="43"/>
        <v>3</v>
      </c>
      <c r="M55" s="134">
        <f t="shared" si="43"/>
        <v>4</v>
      </c>
      <c r="N55" s="134">
        <f t="shared" si="43"/>
        <v>5</v>
      </c>
      <c r="O55" s="134">
        <f t="shared" si="43"/>
        <v>6</v>
      </c>
      <c r="P55" s="134">
        <f t="shared" si="43"/>
        <v>7</v>
      </c>
      <c r="Q55" s="134">
        <f t="shared" si="43"/>
        <v>8</v>
      </c>
      <c r="R55" s="134">
        <f t="shared" si="43"/>
        <v>9</v>
      </c>
      <c r="S55" s="134">
        <f t="shared" si="43"/>
        <v>10</v>
      </c>
      <c r="T55" s="134">
        <f t="shared" si="43"/>
        <v>11</v>
      </c>
      <c r="U55" s="134">
        <f t="shared" si="43"/>
        <v>12</v>
      </c>
      <c r="V55" s="134">
        <f t="shared" si="43"/>
        <v>13</v>
      </c>
      <c r="W55" s="134">
        <f t="shared" si="43"/>
        <v>14</v>
      </c>
      <c r="X55" s="134">
        <f t="shared" si="43"/>
        <v>15</v>
      </c>
      <c r="Y55" s="134">
        <f t="shared" si="43"/>
        <v>16</v>
      </c>
      <c r="Z55" s="134">
        <f t="shared" si="43"/>
        <v>17</v>
      </c>
      <c r="AA55" s="134">
        <f t="shared" si="43"/>
        <v>18</v>
      </c>
      <c r="AB55" s="134">
        <f t="shared" si="43"/>
        <v>19</v>
      </c>
      <c r="AC55" s="134">
        <f t="shared" si="43"/>
        <v>20</v>
      </c>
      <c r="AD55" s="134">
        <f t="shared" si="43"/>
        <v>21</v>
      </c>
      <c r="AE55" s="134">
        <f t="shared" si="43"/>
        <v>22</v>
      </c>
      <c r="AF55" s="134">
        <f t="shared" si="43"/>
        <v>23</v>
      </c>
      <c r="AG55" s="134">
        <f t="shared" si="43"/>
        <v>24</v>
      </c>
      <c r="AH55" s="134">
        <f t="shared" si="43"/>
        <v>25</v>
      </c>
      <c r="AI55" s="134">
        <f t="shared" si="43"/>
        <v>26</v>
      </c>
      <c r="AJ55" s="134">
        <f t="shared" si="43"/>
        <v>27</v>
      </c>
      <c r="AK55" s="134">
        <f t="shared" si="43"/>
        <v>28</v>
      </c>
      <c r="AL55" s="134">
        <f t="shared" si="43"/>
        <v>29</v>
      </c>
      <c r="AM55" s="134">
        <f t="shared" si="43"/>
        <v>30</v>
      </c>
      <c r="AN55" s="134">
        <f t="shared" si="43"/>
        <v>31</v>
      </c>
      <c r="AO55" s="134">
        <f t="shared" si="43"/>
        <v>32</v>
      </c>
      <c r="AP55" s="134">
        <f t="shared" si="43"/>
        <v>33</v>
      </c>
      <c r="AQ55" s="134">
        <f t="shared" si="43"/>
        <v>34</v>
      </c>
      <c r="AR55" s="134">
        <f t="shared" si="43"/>
        <v>35</v>
      </c>
      <c r="AS55" s="134">
        <f t="shared" si="43"/>
        <v>36</v>
      </c>
      <c r="AT55" s="134">
        <f t="shared" si="43"/>
        <v>37</v>
      </c>
      <c r="AU55" s="134">
        <f t="shared" si="43"/>
        <v>38</v>
      </c>
      <c r="AV55" s="134">
        <f t="shared" si="43"/>
        <v>39</v>
      </c>
      <c r="AW55" s="134">
        <f t="shared" si="43"/>
        <v>40</v>
      </c>
      <c r="AX55" s="134">
        <f t="shared" si="43"/>
        <v>41</v>
      </c>
      <c r="AY55" s="134">
        <f t="shared" si="43"/>
        <v>42</v>
      </c>
      <c r="AZ55" s="134">
        <f t="shared" si="43"/>
        <v>43</v>
      </c>
      <c r="BA55" s="134">
        <f t="shared" si="43"/>
        <v>44</v>
      </c>
      <c r="BB55" s="134">
        <f t="shared" si="43"/>
        <v>45</v>
      </c>
      <c r="BC55" s="134">
        <f t="shared" si="43"/>
        <v>46</v>
      </c>
      <c r="BD55" s="134">
        <f t="shared" si="43"/>
        <v>47</v>
      </c>
      <c r="BE55" s="134">
        <f t="shared" si="43"/>
        <v>48</v>
      </c>
    </row>
    <row r="56" spans="1:57" s="188" customFormat="1" outlineLevel="2" x14ac:dyDescent="0.2">
      <c r="A56" s="527"/>
      <c r="B56" s="527"/>
      <c r="C56" s="528"/>
      <c r="D56" s="529"/>
      <c r="E56" s="530" t="s">
        <v>296</v>
      </c>
      <c r="F56" s="530"/>
      <c r="G56" s="530" t="s">
        <v>14</v>
      </c>
      <c r="H56" s="530"/>
      <c r="I56" s="531"/>
      <c r="J56" s="530">
        <f t="shared" ref="J56:BE56" si="44">IF(J54=1,1,IF(MOD(I55,$F53)=0,I56+1,I56))</f>
        <v>1</v>
      </c>
      <c r="K56" s="530">
        <f t="shared" si="44"/>
        <v>1</v>
      </c>
      <c r="L56" s="530">
        <f t="shared" si="44"/>
        <v>1</v>
      </c>
      <c r="M56" s="530">
        <f t="shared" si="44"/>
        <v>1</v>
      </c>
      <c r="N56" s="530">
        <f t="shared" si="44"/>
        <v>1</v>
      </c>
      <c r="O56" s="530">
        <f t="shared" si="44"/>
        <v>1</v>
      </c>
      <c r="P56" s="530">
        <f t="shared" si="44"/>
        <v>2</v>
      </c>
      <c r="Q56" s="530">
        <f t="shared" si="44"/>
        <v>2</v>
      </c>
      <c r="R56" s="530">
        <f t="shared" si="44"/>
        <v>2</v>
      </c>
      <c r="S56" s="530">
        <f t="shared" si="44"/>
        <v>2</v>
      </c>
      <c r="T56" s="530">
        <f t="shared" si="44"/>
        <v>2</v>
      </c>
      <c r="U56" s="530">
        <f t="shared" si="44"/>
        <v>2</v>
      </c>
      <c r="V56" s="530">
        <f t="shared" si="44"/>
        <v>3</v>
      </c>
      <c r="W56" s="530">
        <f t="shared" si="44"/>
        <v>3</v>
      </c>
      <c r="X56" s="530">
        <f t="shared" si="44"/>
        <v>3</v>
      </c>
      <c r="Y56" s="530">
        <f t="shared" si="44"/>
        <v>3</v>
      </c>
      <c r="Z56" s="530">
        <f t="shared" si="44"/>
        <v>3</v>
      </c>
      <c r="AA56" s="530">
        <f t="shared" si="44"/>
        <v>3</v>
      </c>
      <c r="AB56" s="530">
        <f t="shared" si="44"/>
        <v>4</v>
      </c>
      <c r="AC56" s="530">
        <f t="shared" si="44"/>
        <v>4</v>
      </c>
      <c r="AD56" s="530">
        <f t="shared" si="44"/>
        <v>4</v>
      </c>
      <c r="AE56" s="530">
        <f t="shared" si="44"/>
        <v>4</v>
      </c>
      <c r="AF56" s="530">
        <f t="shared" si="44"/>
        <v>4</v>
      </c>
      <c r="AG56" s="530">
        <f t="shared" si="44"/>
        <v>4</v>
      </c>
      <c r="AH56" s="530">
        <f t="shared" si="44"/>
        <v>5</v>
      </c>
      <c r="AI56" s="530">
        <f t="shared" si="44"/>
        <v>5</v>
      </c>
      <c r="AJ56" s="530">
        <f t="shared" si="44"/>
        <v>5</v>
      </c>
      <c r="AK56" s="530">
        <f t="shared" si="44"/>
        <v>5</v>
      </c>
      <c r="AL56" s="530">
        <f t="shared" si="44"/>
        <v>5</v>
      </c>
      <c r="AM56" s="530">
        <f t="shared" si="44"/>
        <v>5</v>
      </c>
      <c r="AN56" s="530">
        <f t="shared" si="44"/>
        <v>6</v>
      </c>
      <c r="AO56" s="530">
        <f t="shared" si="44"/>
        <v>6</v>
      </c>
      <c r="AP56" s="530">
        <f t="shared" si="44"/>
        <v>6</v>
      </c>
      <c r="AQ56" s="530">
        <f t="shared" si="44"/>
        <v>6</v>
      </c>
      <c r="AR56" s="530">
        <f t="shared" si="44"/>
        <v>6</v>
      </c>
      <c r="AS56" s="530">
        <f t="shared" si="44"/>
        <v>6</v>
      </c>
      <c r="AT56" s="530">
        <f t="shared" si="44"/>
        <v>7</v>
      </c>
      <c r="AU56" s="530">
        <f t="shared" si="44"/>
        <v>7</v>
      </c>
      <c r="AV56" s="530">
        <f t="shared" si="44"/>
        <v>7</v>
      </c>
      <c r="AW56" s="530">
        <f t="shared" si="44"/>
        <v>7</v>
      </c>
      <c r="AX56" s="530">
        <f t="shared" si="44"/>
        <v>7</v>
      </c>
      <c r="AY56" s="530">
        <f t="shared" si="44"/>
        <v>7</v>
      </c>
      <c r="AZ56" s="530">
        <f t="shared" si="44"/>
        <v>8</v>
      </c>
      <c r="BA56" s="530">
        <f t="shared" si="44"/>
        <v>8</v>
      </c>
      <c r="BB56" s="530">
        <f t="shared" si="44"/>
        <v>8</v>
      </c>
      <c r="BC56" s="530">
        <f t="shared" si="44"/>
        <v>8</v>
      </c>
      <c r="BD56" s="530">
        <f t="shared" si="44"/>
        <v>8</v>
      </c>
      <c r="BE56" s="530">
        <f t="shared" si="44"/>
        <v>8</v>
      </c>
    </row>
    <row r="57" spans="1:57" outlineLevel="2" x14ac:dyDescent="0.2"/>
    <row r="58" spans="1:57" x14ac:dyDescent="0.2"/>
    <row r="59" spans="1:57" x14ac:dyDescent="0.2">
      <c r="A59" s="15" t="s">
        <v>2</v>
      </c>
    </row>
    <row r="60" spans="1:57" outlineLevel="1" x14ac:dyDescent="0.2"/>
    <row r="61" spans="1:57" outlineLevel="1" x14ac:dyDescent="0.2">
      <c r="A61" s="49"/>
      <c r="B61" s="15" t="s">
        <v>42</v>
      </c>
      <c r="C61" s="50"/>
      <c r="D61" s="51"/>
      <c r="E61" s="13"/>
      <c r="F61" s="13"/>
      <c r="G61" s="13"/>
      <c r="H61" s="13"/>
      <c r="I61" s="13"/>
      <c r="J61" s="16"/>
    </row>
    <row r="62" spans="1:57" outlineLevel="2" x14ac:dyDescent="0.2">
      <c r="A62" s="54"/>
      <c r="C62" s="57"/>
      <c r="D62" s="58"/>
      <c r="E62" s="14" t="str">
        <f xml:space="preserve"> InpC!E$18</f>
        <v>Financial close date</v>
      </c>
      <c r="F62" s="14">
        <f xml:space="preserve"> InpC!F$18</f>
        <v>44681</v>
      </c>
      <c r="G62" s="14" t="str">
        <f xml:space="preserve"> InpC!G$18</f>
        <v>date</v>
      </c>
      <c r="H62" s="45"/>
      <c r="I62" s="26"/>
      <c r="J62" s="45"/>
    </row>
    <row r="63" spans="1:57" outlineLevel="2" x14ac:dyDescent="0.2">
      <c r="A63" s="49"/>
      <c r="C63" s="50"/>
      <c r="D63" s="51"/>
      <c r="E63" s="468" t="str">
        <f t="shared" ref="E63:AJ63" si="45" xml:space="preserve"> E$23</f>
        <v>Model period ending - m</v>
      </c>
      <c r="F63" s="468">
        <f t="shared" si="45"/>
        <v>0</v>
      </c>
      <c r="G63" s="468" t="str">
        <f t="shared" si="45"/>
        <v>date</v>
      </c>
      <c r="H63" s="468">
        <f t="shared" si="45"/>
        <v>0</v>
      </c>
      <c r="I63" s="468">
        <f t="shared" si="45"/>
        <v>0</v>
      </c>
      <c r="J63" s="468">
        <f t="shared" si="45"/>
        <v>44592</v>
      </c>
      <c r="K63" s="468">
        <f t="shared" si="45"/>
        <v>44620</v>
      </c>
      <c r="L63" s="468">
        <f t="shared" si="45"/>
        <v>44651</v>
      </c>
      <c r="M63" s="468">
        <f t="shared" si="45"/>
        <v>44681</v>
      </c>
      <c r="N63" s="468">
        <f t="shared" si="45"/>
        <v>44712</v>
      </c>
      <c r="O63" s="468">
        <f t="shared" si="45"/>
        <v>44742</v>
      </c>
      <c r="P63" s="468">
        <f t="shared" si="45"/>
        <v>44773</v>
      </c>
      <c r="Q63" s="468">
        <f t="shared" si="45"/>
        <v>44804</v>
      </c>
      <c r="R63" s="468">
        <f t="shared" si="45"/>
        <v>44834</v>
      </c>
      <c r="S63" s="468">
        <f t="shared" si="45"/>
        <v>44865</v>
      </c>
      <c r="T63" s="468">
        <f t="shared" si="45"/>
        <v>44895</v>
      </c>
      <c r="U63" s="468">
        <f t="shared" si="45"/>
        <v>44926</v>
      </c>
      <c r="V63" s="468">
        <f t="shared" si="45"/>
        <v>44957</v>
      </c>
      <c r="W63" s="468">
        <f t="shared" si="45"/>
        <v>44985</v>
      </c>
      <c r="X63" s="468">
        <f t="shared" si="45"/>
        <v>45016</v>
      </c>
      <c r="Y63" s="468">
        <f t="shared" si="45"/>
        <v>45046</v>
      </c>
      <c r="Z63" s="468">
        <f t="shared" si="45"/>
        <v>45077</v>
      </c>
      <c r="AA63" s="468">
        <f t="shared" si="45"/>
        <v>45107</v>
      </c>
      <c r="AB63" s="468">
        <f t="shared" si="45"/>
        <v>45138</v>
      </c>
      <c r="AC63" s="468">
        <f t="shared" si="45"/>
        <v>45169</v>
      </c>
      <c r="AD63" s="468">
        <f t="shared" si="45"/>
        <v>45199</v>
      </c>
      <c r="AE63" s="468">
        <f t="shared" si="45"/>
        <v>45230</v>
      </c>
      <c r="AF63" s="468">
        <f t="shared" si="45"/>
        <v>45260</v>
      </c>
      <c r="AG63" s="468">
        <f t="shared" si="45"/>
        <v>45291</v>
      </c>
      <c r="AH63" s="468">
        <f t="shared" si="45"/>
        <v>45322</v>
      </c>
      <c r="AI63" s="468">
        <f t="shared" si="45"/>
        <v>45351</v>
      </c>
      <c r="AJ63" s="468">
        <f t="shared" si="45"/>
        <v>45382</v>
      </c>
      <c r="AK63" s="468">
        <f t="shared" ref="AK63:BE63" si="46" xml:space="preserve"> AK$23</f>
        <v>45412</v>
      </c>
      <c r="AL63" s="468">
        <f t="shared" si="46"/>
        <v>45443</v>
      </c>
      <c r="AM63" s="468">
        <f t="shared" si="46"/>
        <v>45473</v>
      </c>
      <c r="AN63" s="468">
        <f t="shared" si="46"/>
        <v>45504</v>
      </c>
      <c r="AO63" s="468">
        <f t="shared" si="46"/>
        <v>45535</v>
      </c>
      <c r="AP63" s="468">
        <f t="shared" si="46"/>
        <v>45565</v>
      </c>
      <c r="AQ63" s="468">
        <f t="shared" si="46"/>
        <v>45596</v>
      </c>
      <c r="AR63" s="468">
        <f t="shared" si="46"/>
        <v>45626</v>
      </c>
      <c r="AS63" s="468">
        <f t="shared" si="46"/>
        <v>45657</v>
      </c>
      <c r="AT63" s="468">
        <f t="shared" si="46"/>
        <v>45688</v>
      </c>
      <c r="AU63" s="468">
        <f t="shared" si="46"/>
        <v>45716</v>
      </c>
      <c r="AV63" s="468">
        <f t="shared" si="46"/>
        <v>45747</v>
      </c>
      <c r="AW63" s="468">
        <f t="shared" si="46"/>
        <v>45777</v>
      </c>
      <c r="AX63" s="468">
        <f t="shared" si="46"/>
        <v>45808</v>
      </c>
      <c r="AY63" s="468">
        <f t="shared" si="46"/>
        <v>45838</v>
      </c>
      <c r="AZ63" s="468">
        <f t="shared" si="46"/>
        <v>45869</v>
      </c>
      <c r="BA63" s="468">
        <f t="shared" si="46"/>
        <v>45900</v>
      </c>
      <c r="BB63" s="468">
        <f t="shared" si="46"/>
        <v>45930</v>
      </c>
      <c r="BC63" s="468">
        <f t="shared" si="46"/>
        <v>45961</v>
      </c>
      <c r="BD63" s="468">
        <f t="shared" si="46"/>
        <v>45991</v>
      </c>
      <c r="BE63" s="468">
        <f t="shared" si="46"/>
        <v>46022</v>
      </c>
    </row>
    <row r="64" spans="1:57" s="188" customFormat="1" outlineLevel="2" x14ac:dyDescent="0.2">
      <c r="A64" s="227"/>
      <c r="B64" s="227"/>
      <c r="C64" s="228"/>
      <c r="D64" s="229"/>
      <c r="E64" s="188" t="s">
        <v>223</v>
      </c>
      <c r="G64" s="188" t="s">
        <v>5</v>
      </c>
      <c r="H64" s="188">
        <f xml:space="preserve"> SUM(J64:BE64)</f>
        <v>1</v>
      </c>
      <c r="I64" s="230"/>
      <c r="J64" s="188">
        <f t="shared" ref="J64:AO64" si="47" xml:space="preserve"> IF(AND(I63 &lt; $F62, J63 &gt;= $F62), 1, 0)</f>
        <v>0</v>
      </c>
      <c r="K64" s="188">
        <f t="shared" si="47"/>
        <v>0</v>
      </c>
      <c r="L64" s="188">
        <f t="shared" si="47"/>
        <v>0</v>
      </c>
      <c r="M64" s="188">
        <f t="shared" si="47"/>
        <v>1</v>
      </c>
      <c r="N64" s="188">
        <f t="shared" si="47"/>
        <v>0</v>
      </c>
      <c r="O64" s="188">
        <f t="shared" si="47"/>
        <v>0</v>
      </c>
      <c r="P64" s="188">
        <f t="shared" si="47"/>
        <v>0</v>
      </c>
      <c r="Q64" s="188">
        <f t="shared" si="47"/>
        <v>0</v>
      </c>
      <c r="R64" s="188">
        <f t="shared" si="47"/>
        <v>0</v>
      </c>
      <c r="S64" s="188">
        <f t="shared" si="47"/>
        <v>0</v>
      </c>
      <c r="T64" s="188">
        <f t="shared" si="47"/>
        <v>0</v>
      </c>
      <c r="U64" s="188">
        <f t="shared" si="47"/>
        <v>0</v>
      </c>
      <c r="V64" s="188">
        <f t="shared" si="47"/>
        <v>0</v>
      </c>
      <c r="W64" s="188">
        <f t="shared" si="47"/>
        <v>0</v>
      </c>
      <c r="X64" s="188">
        <f t="shared" si="47"/>
        <v>0</v>
      </c>
      <c r="Y64" s="188">
        <f t="shared" si="47"/>
        <v>0</v>
      </c>
      <c r="Z64" s="188">
        <f t="shared" si="47"/>
        <v>0</v>
      </c>
      <c r="AA64" s="188">
        <f t="shared" si="47"/>
        <v>0</v>
      </c>
      <c r="AB64" s="188">
        <f t="shared" si="47"/>
        <v>0</v>
      </c>
      <c r="AC64" s="188">
        <f t="shared" si="47"/>
        <v>0</v>
      </c>
      <c r="AD64" s="188">
        <f t="shared" si="47"/>
        <v>0</v>
      </c>
      <c r="AE64" s="188">
        <f t="shared" si="47"/>
        <v>0</v>
      </c>
      <c r="AF64" s="188">
        <f t="shared" si="47"/>
        <v>0</v>
      </c>
      <c r="AG64" s="188">
        <f t="shared" si="47"/>
        <v>0</v>
      </c>
      <c r="AH64" s="188">
        <f t="shared" si="47"/>
        <v>0</v>
      </c>
      <c r="AI64" s="188">
        <f t="shared" si="47"/>
        <v>0</v>
      </c>
      <c r="AJ64" s="188">
        <f t="shared" si="47"/>
        <v>0</v>
      </c>
      <c r="AK64" s="188">
        <f t="shared" si="47"/>
        <v>0</v>
      </c>
      <c r="AL64" s="188">
        <f t="shared" si="47"/>
        <v>0</v>
      </c>
      <c r="AM64" s="188">
        <f t="shared" si="47"/>
        <v>0</v>
      </c>
      <c r="AN64" s="188">
        <f t="shared" si="47"/>
        <v>0</v>
      </c>
      <c r="AO64" s="188">
        <f t="shared" si="47"/>
        <v>0</v>
      </c>
      <c r="AP64" s="188">
        <f t="shared" ref="AP64:BE64" si="48" xml:space="preserve"> IF(AND(AO63 &lt; $F62, AP63 &gt;= $F62), 1, 0)</f>
        <v>0</v>
      </c>
      <c r="AQ64" s="188">
        <f t="shared" si="48"/>
        <v>0</v>
      </c>
      <c r="AR64" s="188">
        <f t="shared" si="48"/>
        <v>0</v>
      </c>
      <c r="AS64" s="188">
        <f t="shared" si="48"/>
        <v>0</v>
      </c>
      <c r="AT64" s="188">
        <f t="shared" si="48"/>
        <v>0</v>
      </c>
      <c r="AU64" s="188">
        <f t="shared" si="48"/>
        <v>0</v>
      </c>
      <c r="AV64" s="188">
        <f t="shared" si="48"/>
        <v>0</v>
      </c>
      <c r="AW64" s="188">
        <f t="shared" si="48"/>
        <v>0</v>
      </c>
      <c r="AX64" s="188">
        <f t="shared" si="48"/>
        <v>0</v>
      </c>
      <c r="AY64" s="188">
        <f t="shared" si="48"/>
        <v>0</v>
      </c>
      <c r="AZ64" s="188">
        <f t="shared" si="48"/>
        <v>0</v>
      </c>
      <c r="BA64" s="188">
        <f t="shared" si="48"/>
        <v>0</v>
      </c>
      <c r="BB64" s="188">
        <f t="shared" si="48"/>
        <v>0</v>
      </c>
      <c r="BC64" s="188">
        <f t="shared" si="48"/>
        <v>0</v>
      </c>
      <c r="BD64" s="188">
        <f t="shared" si="48"/>
        <v>0</v>
      </c>
      <c r="BE64" s="188">
        <f t="shared" si="48"/>
        <v>0</v>
      </c>
    </row>
    <row r="65" spans="1:57" outlineLevel="1" x14ac:dyDescent="0.2">
      <c r="E65" s="6"/>
      <c r="F65" s="6"/>
      <c r="G65" s="6"/>
      <c r="H65" s="6"/>
      <c r="I65" s="71"/>
      <c r="J65" s="6"/>
    </row>
    <row r="66" spans="1:57" outlineLevel="1" x14ac:dyDescent="0.2">
      <c r="A66" s="21"/>
      <c r="B66" s="15" t="s">
        <v>224</v>
      </c>
      <c r="D66" s="21"/>
      <c r="E66" s="21"/>
      <c r="F66" s="21"/>
      <c r="G66" s="21"/>
      <c r="H66" s="21"/>
      <c r="I66" s="21"/>
      <c r="J66" s="21"/>
    </row>
    <row r="67" spans="1:57" outlineLevel="2" x14ac:dyDescent="0.2">
      <c r="E67" s="151" t="str">
        <f t="shared" ref="E67:AJ67" si="49" xml:space="preserve"> E$64</f>
        <v>Financial close date flag - m</v>
      </c>
      <c r="F67" s="151">
        <f t="shared" si="49"/>
        <v>0</v>
      </c>
      <c r="G67" s="151" t="str">
        <f t="shared" si="49"/>
        <v>flag</v>
      </c>
      <c r="H67" s="151">
        <f t="shared" si="49"/>
        <v>1</v>
      </c>
      <c r="I67" s="151">
        <f t="shared" si="49"/>
        <v>0</v>
      </c>
      <c r="J67" s="151">
        <f t="shared" si="49"/>
        <v>0</v>
      </c>
      <c r="K67" s="151">
        <f t="shared" si="49"/>
        <v>0</v>
      </c>
      <c r="L67" s="151">
        <f t="shared" si="49"/>
        <v>0</v>
      </c>
      <c r="M67" s="151">
        <f t="shared" si="49"/>
        <v>1</v>
      </c>
      <c r="N67" s="151">
        <f t="shared" si="49"/>
        <v>0</v>
      </c>
      <c r="O67" s="151">
        <f t="shared" si="49"/>
        <v>0</v>
      </c>
      <c r="P67" s="151">
        <f t="shared" si="49"/>
        <v>0</v>
      </c>
      <c r="Q67" s="151">
        <f t="shared" si="49"/>
        <v>0</v>
      </c>
      <c r="R67" s="151">
        <f t="shared" si="49"/>
        <v>0</v>
      </c>
      <c r="S67" s="151">
        <f t="shared" si="49"/>
        <v>0</v>
      </c>
      <c r="T67" s="151">
        <f t="shared" si="49"/>
        <v>0</v>
      </c>
      <c r="U67" s="151">
        <f t="shared" si="49"/>
        <v>0</v>
      </c>
      <c r="V67" s="151">
        <f t="shared" si="49"/>
        <v>0</v>
      </c>
      <c r="W67" s="151">
        <f t="shared" si="49"/>
        <v>0</v>
      </c>
      <c r="X67" s="151">
        <f t="shared" si="49"/>
        <v>0</v>
      </c>
      <c r="Y67" s="151">
        <f t="shared" si="49"/>
        <v>0</v>
      </c>
      <c r="Z67" s="151">
        <f t="shared" si="49"/>
        <v>0</v>
      </c>
      <c r="AA67" s="151">
        <f t="shared" si="49"/>
        <v>0</v>
      </c>
      <c r="AB67" s="151">
        <f t="shared" si="49"/>
        <v>0</v>
      </c>
      <c r="AC67" s="151">
        <f t="shared" si="49"/>
        <v>0</v>
      </c>
      <c r="AD67" s="151">
        <f t="shared" si="49"/>
        <v>0</v>
      </c>
      <c r="AE67" s="151">
        <f t="shared" si="49"/>
        <v>0</v>
      </c>
      <c r="AF67" s="151">
        <f t="shared" si="49"/>
        <v>0</v>
      </c>
      <c r="AG67" s="151">
        <f t="shared" si="49"/>
        <v>0</v>
      </c>
      <c r="AH67" s="151">
        <f t="shared" si="49"/>
        <v>0</v>
      </c>
      <c r="AI67" s="151">
        <f t="shared" si="49"/>
        <v>0</v>
      </c>
      <c r="AJ67" s="151">
        <f t="shared" si="49"/>
        <v>0</v>
      </c>
      <c r="AK67" s="151">
        <f t="shared" ref="AK67:BE67" si="50" xml:space="preserve"> AK$64</f>
        <v>0</v>
      </c>
      <c r="AL67" s="151">
        <f t="shared" si="50"/>
        <v>0</v>
      </c>
      <c r="AM67" s="151">
        <f t="shared" si="50"/>
        <v>0</v>
      </c>
      <c r="AN67" s="151">
        <f t="shared" si="50"/>
        <v>0</v>
      </c>
      <c r="AO67" s="151">
        <f t="shared" si="50"/>
        <v>0</v>
      </c>
      <c r="AP67" s="151">
        <f t="shared" si="50"/>
        <v>0</v>
      </c>
      <c r="AQ67" s="151">
        <f t="shared" si="50"/>
        <v>0</v>
      </c>
      <c r="AR67" s="151">
        <f t="shared" si="50"/>
        <v>0</v>
      </c>
      <c r="AS67" s="151">
        <f t="shared" si="50"/>
        <v>0</v>
      </c>
      <c r="AT67" s="151">
        <f t="shared" si="50"/>
        <v>0</v>
      </c>
      <c r="AU67" s="151">
        <f t="shared" si="50"/>
        <v>0</v>
      </c>
      <c r="AV67" s="151">
        <f t="shared" si="50"/>
        <v>0</v>
      </c>
      <c r="AW67" s="151">
        <f t="shared" si="50"/>
        <v>0</v>
      </c>
      <c r="AX67" s="151">
        <f t="shared" si="50"/>
        <v>0</v>
      </c>
      <c r="AY67" s="151">
        <f t="shared" si="50"/>
        <v>0</v>
      </c>
      <c r="AZ67" s="151">
        <f t="shared" si="50"/>
        <v>0</v>
      </c>
      <c r="BA67" s="151">
        <f t="shared" si="50"/>
        <v>0</v>
      </c>
      <c r="BB67" s="151">
        <f t="shared" si="50"/>
        <v>0</v>
      </c>
      <c r="BC67" s="151">
        <f t="shared" si="50"/>
        <v>0</v>
      </c>
      <c r="BD67" s="151">
        <f t="shared" si="50"/>
        <v>0</v>
      </c>
      <c r="BE67" s="151">
        <f t="shared" si="50"/>
        <v>0</v>
      </c>
    </row>
    <row r="68" spans="1:57" outlineLevel="2" x14ac:dyDescent="0.2">
      <c r="A68" s="52"/>
      <c r="B68" s="52"/>
      <c r="C68" s="34"/>
      <c r="D68" s="35"/>
      <c r="E68" s="32" t="s">
        <v>224</v>
      </c>
      <c r="F68" s="32"/>
      <c r="G68" s="32" t="s">
        <v>5</v>
      </c>
      <c r="H68" s="32">
        <f xml:space="preserve"> SUM(J68:BE68)</f>
        <v>1</v>
      </c>
      <c r="I68" s="31"/>
      <c r="J68" s="6">
        <f t="shared" ref="J68:AO68" si="51" xml:space="preserve"> I67</f>
        <v>0</v>
      </c>
      <c r="K68" s="6">
        <f t="shared" si="51"/>
        <v>0</v>
      </c>
      <c r="L68" s="6">
        <f t="shared" si="51"/>
        <v>0</v>
      </c>
      <c r="M68" s="6">
        <f t="shared" si="51"/>
        <v>0</v>
      </c>
      <c r="N68" s="6">
        <f t="shared" si="51"/>
        <v>1</v>
      </c>
      <c r="O68" s="6">
        <f t="shared" si="51"/>
        <v>0</v>
      </c>
      <c r="P68" s="6">
        <f t="shared" si="51"/>
        <v>0</v>
      </c>
      <c r="Q68" s="6">
        <f t="shared" si="51"/>
        <v>0</v>
      </c>
      <c r="R68" s="6">
        <f t="shared" si="51"/>
        <v>0</v>
      </c>
      <c r="S68" s="6">
        <f t="shared" si="51"/>
        <v>0</v>
      </c>
      <c r="T68" s="6">
        <f t="shared" si="51"/>
        <v>0</v>
      </c>
      <c r="U68" s="6">
        <f t="shared" si="51"/>
        <v>0</v>
      </c>
      <c r="V68" s="6">
        <f t="shared" si="51"/>
        <v>0</v>
      </c>
      <c r="W68" s="6">
        <f t="shared" si="51"/>
        <v>0</v>
      </c>
      <c r="X68" s="6">
        <f t="shared" si="51"/>
        <v>0</v>
      </c>
      <c r="Y68" s="6">
        <f t="shared" si="51"/>
        <v>0</v>
      </c>
      <c r="Z68" s="6">
        <f t="shared" si="51"/>
        <v>0</v>
      </c>
      <c r="AA68" s="6">
        <f t="shared" si="51"/>
        <v>0</v>
      </c>
      <c r="AB68" s="6">
        <f t="shared" si="51"/>
        <v>0</v>
      </c>
      <c r="AC68" s="6">
        <f t="shared" si="51"/>
        <v>0</v>
      </c>
      <c r="AD68" s="6">
        <f t="shared" si="51"/>
        <v>0</v>
      </c>
      <c r="AE68" s="6">
        <f t="shared" si="51"/>
        <v>0</v>
      </c>
      <c r="AF68" s="6">
        <f t="shared" si="51"/>
        <v>0</v>
      </c>
      <c r="AG68" s="6">
        <f t="shared" si="51"/>
        <v>0</v>
      </c>
      <c r="AH68" s="6">
        <f t="shared" si="51"/>
        <v>0</v>
      </c>
      <c r="AI68" s="6">
        <f t="shared" si="51"/>
        <v>0</v>
      </c>
      <c r="AJ68" s="6">
        <f t="shared" si="51"/>
        <v>0</v>
      </c>
      <c r="AK68" s="6">
        <f t="shared" si="51"/>
        <v>0</v>
      </c>
      <c r="AL68" s="6">
        <f t="shared" si="51"/>
        <v>0</v>
      </c>
      <c r="AM68" s="6">
        <f t="shared" si="51"/>
        <v>0</v>
      </c>
      <c r="AN68" s="6">
        <f t="shared" si="51"/>
        <v>0</v>
      </c>
      <c r="AO68" s="6">
        <f t="shared" si="51"/>
        <v>0</v>
      </c>
      <c r="AP68" s="6">
        <f t="shared" ref="AP68:BE68" si="52" xml:space="preserve"> AO67</f>
        <v>0</v>
      </c>
      <c r="AQ68" s="6">
        <f t="shared" si="52"/>
        <v>0</v>
      </c>
      <c r="AR68" s="6">
        <f t="shared" si="52"/>
        <v>0</v>
      </c>
      <c r="AS68" s="6">
        <f t="shared" si="52"/>
        <v>0</v>
      </c>
      <c r="AT68" s="6">
        <f t="shared" si="52"/>
        <v>0</v>
      </c>
      <c r="AU68" s="6">
        <f t="shared" si="52"/>
        <v>0</v>
      </c>
      <c r="AV68" s="6">
        <f t="shared" si="52"/>
        <v>0</v>
      </c>
      <c r="AW68" s="6">
        <f t="shared" si="52"/>
        <v>0</v>
      </c>
      <c r="AX68" s="6">
        <f t="shared" si="52"/>
        <v>0</v>
      </c>
      <c r="AY68" s="6">
        <f t="shared" si="52"/>
        <v>0</v>
      </c>
      <c r="AZ68" s="6">
        <f t="shared" si="52"/>
        <v>0</v>
      </c>
      <c r="BA68" s="6">
        <f t="shared" si="52"/>
        <v>0</v>
      </c>
      <c r="BB68" s="6">
        <f t="shared" si="52"/>
        <v>0</v>
      </c>
      <c r="BC68" s="6">
        <f t="shared" si="52"/>
        <v>0</v>
      </c>
      <c r="BD68" s="6">
        <f t="shared" si="52"/>
        <v>0</v>
      </c>
      <c r="BE68" s="6">
        <f t="shared" si="52"/>
        <v>0</v>
      </c>
    </row>
    <row r="69" spans="1:57" outlineLevel="1" x14ac:dyDescent="0.2"/>
    <row r="70" spans="1:57" outlineLevel="1" x14ac:dyDescent="0.2">
      <c r="B70" s="15" t="s">
        <v>225</v>
      </c>
    </row>
    <row r="71" spans="1:57" outlineLevel="2" x14ac:dyDescent="0.2">
      <c r="A71" s="54"/>
      <c r="C71" s="57"/>
      <c r="D71" s="58"/>
      <c r="E71" s="14" t="str">
        <f xml:space="preserve"> InpC!E$18</f>
        <v>Financial close date</v>
      </c>
      <c r="F71" s="14">
        <f xml:space="preserve"> InpC!F$18</f>
        <v>44681</v>
      </c>
      <c r="G71" s="14" t="str">
        <f xml:space="preserve"> InpC!G$18</f>
        <v>date</v>
      </c>
      <c r="H71" s="45"/>
      <c r="I71" s="26"/>
      <c r="J71" s="45"/>
    </row>
    <row r="72" spans="1:57" outlineLevel="2" x14ac:dyDescent="0.2">
      <c r="E72" s="189" t="str">
        <f xml:space="preserve"> InpC!E$19</f>
        <v>Construction period length</v>
      </c>
      <c r="F72" s="189">
        <f xml:space="preserve"> InpC!F$19</f>
        <v>26</v>
      </c>
      <c r="G72" s="189" t="str">
        <f xml:space="preserve"> InpC!G$19</f>
        <v>months</v>
      </c>
    </row>
    <row r="73" spans="1:57" s="852" customFormat="1" outlineLevel="2" x14ac:dyDescent="0.2">
      <c r="A73" s="533"/>
      <c r="B73" s="533"/>
      <c r="C73" s="869"/>
      <c r="D73" s="870"/>
      <c r="E73" s="852" t="s">
        <v>226</v>
      </c>
      <c r="F73" s="852">
        <f xml:space="preserve"> EOMONTH(F71, F72)</f>
        <v>45473</v>
      </c>
      <c r="G73" s="852" t="s">
        <v>6</v>
      </c>
      <c r="I73" s="871"/>
    </row>
    <row r="74" spans="1:57" outlineLevel="2" x14ac:dyDescent="0.2"/>
    <row r="75" spans="1:57" outlineLevel="2" x14ac:dyDescent="0.2">
      <c r="A75" s="54"/>
      <c r="C75" s="57"/>
      <c r="D75" s="58"/>
      <c r="E75" s="45" t="str">
        <f xml:space="preserve"> E$73</f>
        <v>End of construction period date</v>
      </c>
      <c r="F75" s="45">
        <f xml:space="preserve"> F$73</f>
        <v>45473</v>
      </c>
      <c r="G75" s="45" t="str">
        <f xml:space="preserve"> G$73</f>
        <v>date</v>
      </c>
      <c r="H75" s="45"/>
      <c r="I75" s="26"/>
      <c r="J75" s="45"/>
    </row>
    <row r="76" spans="1:57" outlineLevel="2" x14ac:dyDescent="0.2">
      <c r="A76" s="49"/>
      <c r="C76" s="50"/>
      <c r="D76" s="51"/>
      <c r="E76" s="468" t="str">
        <f t="shared" ref="E76:BE76" si="53" xml:space="preserve"> E$23</f>
        <v>Model period ending - m</v>
      </c>
      <c r="F76" s="468">
        <f t="shared" si="53"/>
        <v>0</v>
      </c>
      <c r="G76" s="468" t="str">
        <f t="shared" si="53"/>
        <v>date</v>
      </c>
      <c r="H76" s="468">
        <f t="shared" si="53"/>
        <v>0</v>
      </c>
      <c r="I76" s="468">
        <f t="shared" si="53"/>
        <v>0</v>
      </c>
      <c r="J76" s="468">
        <f t="shared" si="53"/>
        <v>44592</v>
      </c>
      <c r="K76" s="468">
        <f t="shared" si="53"/>
        <v>44620</v>
      </c>
      <c r="L76" s="468">
        <f t="shared" si="53"/>
        <v>44651</v>
      </c>
      <c r="M76" s="468">
        <f t="shared" si="53"/>
        <v>44681</v>
      </c>
      <c r="N76" s="468">
        <f t="shared" si="53"/>
        <v>44712</v>
      </c>
      <c r="O76" s="468">
        <f t="shared" si="53"/>
        <v>44742</v>
      </c>
      <c r="P76" s="468">
        <f t="shared" si="53"/>
        <v>44773</v>
      </c>
      <c r="Q76" s="468">
        <f t="shared" si="53"/>
        <v>44804</v>
      </c>
      <c r="R76" s="468">
        <f t="shared" si="53"/>
        <v>44834</v>
      </c>
      <c r="S76" s="468">
        <f t="shared" si="53"/>
        <v>44865</v>
      </c>
      <c r="T76" s="468">
        <f t="shared" si="53"/>
        <v>44895</v>
      </c>
      <c r="U76" s="468">
        <f t="shared" si="53"/>
        <v>44926</v>
      </c>
      <c r="V76" s="468">
        <f t="shared" si="53"/>
        <v>44957</v>
      </c>
      <c r="W76" s="468">
        <f t="shared" si="53"/>
        <v>44985</v>
      </c>
      <c r="X76" s="468">
        <f t="shared" si="53"/>
        <v>45016</v>
      </c>
      <c r="Y76" s="468">
        <f t="shared" si="53"/>
        <v>45046</v>
      </c>
      <c r="Z76" s="468">
        <f t="shared" si="53"/>
        <v>45077</v>
      </c>
      <c r="AA76" s="468">
        <f t="shared" si="53"/>
        <v>45107</v>
      </c>
      <c r="AB76" s="468">
        <f t="shared" si="53"/>
        <v>45138</v>
      </c>
      <c r="AC76" s="468">
        <f t="shared" si="53"/>
        <v>45169</v>
      </c>
      <c r="AD76" s="468">
        <f t="shared" si="53"/>
        <v>45199</v>
      </c>
      <c r="AE76" s="468">
        <f t="shared" si="53"/>
        <v>45230</v>
      </c>
      <c r="AF76" s="468">
        <f t="shared" si="53"/>
        <v>45260</v>
      </c>
      <c r="AG76" s="468">
        <f t="shared" si="53"/>
        <v>45291</v>
      </c>
      <c r="AH76" s="468">
        <f t="shared" si="53"/>
        <v>45322</v>
      </c>
      <c r="AI76" s="468">
        <f t="shared" si="53"/>
        <v>45351</v>
      </c>
      <c r="AJ76" s="468">
        <f t="shared" si="53"/>
        <v>45382</v>
      </c>
      <c r="AK76" s="468">
        <f t="shared" si="53"/>
        <v>45412</v>
      </c>
      <c r="AL76" s="468">
        <f t="shared" si="53"/>
        <v>45443</v>
      </c>
      <c r="AM76" s="468">
        <f t="shared" si="53"/>
        <v>45473</v>
      </c>
      <c r="AN76" s="468">
        <f t="shared" si="53"/>
        <v>45504</v>
      </c>
      <c r="AO76" s="468">
        <f t="shared" si="53"/>
        <v>45535</v>
      </c>
      <c r="AP76" s="468">
        <f t="shared" si="53"/>
        <v>45565</v>
      </c>
      <c r="AQ76" s="468">
        <f t="shared" si="53"/>
        <v>45596</v>
      </c>
      <c r="AR76" s="468">
        <f t="shared" si="53"/>
        <v>45626</v>
      </c>
      <c r="AS76" s="468">
        <f t="shared" si="53"/>
        <v>45657</v>
      </c>
      <c r="AT76" s="468">
        <f t="shared" si="53"/>
        <v>45688</v>
      </c>
      <c r="AU76" s="468">
        <f t="shared" si="53"/>
        <v>45716</v>
      </c>
      <c r="AV76" s="468">
        <f t="shared" si="53"/>
        <v>45747</v>
      </c>
      <c r="AW76" s="468">
        <f t="shared" si="53"/>
        <v>45777</v>
      </c>
      <c r="AX76" s="468">
        <f t="shared" si="53"/>
        <v>45808</v>
      </c>
      <c r="AY76" s="468">
        <f t="shared" si="53"/>
        <v>45838</v>
      </c>
      <c r="AZ76" s="468">
        <f t="shared" si="53"/>
        <v>45869</v>
      </c>
      <c r="BA76" s="468">
        <f t="shared" si="53"/>
        <v>45900</v>
      </c>
      <c r="BB76" s="468">
        <f t="shared" si="53"/>
        <v>45930</v>
      </c>
      <c r="BC76" s="468">
        <f t="shared" si="53"/>
        <v>45961</v>
      </c>
      <c r="BD76" s="468">
        <f t="shared" si="53"/>
        <v>45991</v>
      </c>
      <c r="BE76" s="468">
        <f t="shared" si="53"/>
        <v>46022</v>
      </c>
    </row>
    <row r="77" spans="1:57" s="188" customFormat="1" outlineLevel="2" x14ac:dyDescent="0.2">
      <c r="A77" s="227"/>
      <c r="B77" s="227"/>
      <c r="C77" s="228"/>
      <c r="D77" s="229"/>
      <c r="E77" s="188" t="s">
        <v>227</v>
      </c>
      <c r="G77" s="188" t="s">
        <v>5</v>
      </c>
      <c r="H77" s="188">
        <f xml:space="preserve"> SUM(J77:BE77)</f>
        <v>1</v>
      </c>
      <c r="I77" s="230"/>
      <c r="J77" s="188">
        <f t="shared" ref="J77" si="54" xml:space="preserve"> IF(AND(I76 &lt; $F75, J76 &gt;= $F75), 1, 0)</f>
        <v>0</v>
      </c>
      <c r="K77" s="188">
        <f t="shared" ref="K77" si="55" xml:space="preserve"> IF(AND(J76 &lt; $F75, K76 &gt;= $F75), 1, 0)</f>
        <v>0</v>
      </c>
      <c r="L77" s="188">
        <f t="shared" ref="L77" si="56" xml:space="preserve"> IF(AND(K76 &lt; $F75, L76 &gt;= $F75), 1, 0)</f>
        <v>0</v>
      </c>
      <c r="M77" s="188">
        <f t="shared" ref="M77" si="57" xml:space="preserve"> IF(AND(L76 &lt; $F75, M76 &gt;= $F75), 1, 0)</f>
        <v>0</v>
      </c>
      <c r="N77" s="188">
        <f t="shared" ref="N77" si="58" xml:space="preserve"> IF(AND(M76 &lt; $F75, N76 &gt;= $F75), 1, 0)</f>
        <v>0</v>
      </c>
      <c r="O77" s="188">
        <f t="shared" ref="O77" si="59" xml:space="preserve"> IF(AND(N76 &lt; $F75, O76 &gt;= $F75), 1, 0)</f>
        <v>0</v>
      </c>
      <c r="P77" s="188">
        <f t="shared" ref="P77" si="60" xml:space="preserve"> IF(AND(O76 &lt; $F75, P76 &gt;= $F75), 1, 0)</f>
        <v>0</v>
      </c>
      <c r="Q77" s="188">
        <f t="shared" ref="Q77" si="61" xml:space="preserve"> IF(AND(P76 &lt; $F75, Q76 &gt;= $F75), 1, 0)</f>
        <v>0</v>
      </c>
      <c r="R77" s="188">
        <f t="shared" ref="R77" si="62" xml:space="preserve"> IF(AND(Q76 &lt; $F75, R76 &gt;= $F75), 1, 0)</f>
        <v>0</v>
      </c>
      <c r="S77" s="188">
        <f t="shared" ref="S77" si="63" xml:space="preserve"> IF(AND(R76 &lt; $F75, S76 &gt;= $F75), 1, 0)</f>
        <v>0</v>
      </c>
      <c r="T77" s="188">
        <f t="shared" ref="T77" si="64" xml:space="preserve"> IF(AND(S76 &lt; $F75, T76 &gt;= $F75), 1, 0)</f>
        <v>0</v>
      </c>
      <c r="U77" s="188">
        <f t="shared" ref="U77" si="65" xml:space="preserve"> IF(AND(T76 &lt; $F75, U76 &gt;= $F75), 1, 0)</f>
        <v>0</v>
      </c>
      <c r="V77" s="188">
        <f t="shared" ref="V77" si="66" xml:space="preserve"> IF(AND(U76 &lt; $F75, V76 &gt;= $F75), 1, 0)</f>
        <v>0</v>
      </c>
      <c r="W77" s="188">
        <f t="shared" ref="W77" si="67" xml:space="preserve"> IF(AND(V76 &lt; $F75, W76 &gt;= $F75), 1, 0)</f>
        <v>0</v>
      </c>
      <c r="X77" s="188">
        <f t="shared" ref="X77" si="68" xml:space="preserve"> IF(AND(W76 &lt; $F75, X76 &gt;= $F75), 1, 0)</f>
        <v>0</v>
      </c>
      <c r="Y77" s="188">
        <f t="shared" ref="Y77" si="69" xml:space="preserve"> IF(AND(X76 &lt; $F75, Y76 &gt;= $F75), 1, 0)</f>
        <v>0</v>
      </c>
      <c r="Z77" s="188">
        <f t="shared" ref="Z77" si="70" xml:space="preserve"> IF(AND(Y76 &lt; $F75, Z76 &gt;= $F75), 1, 0)</f>
        <v>0</v>
      </c>
      <c r="AA77" s="188">
        <f t="shared" ref="AA77" si="71" xml:space="preserve"> IF(AND(Z76 &lt; $F75, AA76 &gt;= $F75), 1, 0)</f>
        <v>0</v>
      </c>
      <c r="AB77" s="188">
        <f t="shared" ref="AB77" si="72" xml:space="preserve"> IF(AND(AA76 &lt; $F75, AB76 &gt;= $F75), 1, 0)</f>
        <v>0</v>
      </c>
      <c r="AC77" s="188">
        <f t="shared" ref="AC77" si="73" xml:space="preserve"> IF(AND(AB76 &lt; $F75, AC76 &gt;= $F75), 1, 0)</f>
        <v>0</v>
      </c>
      <c r="AD77" s="188">
        <f t="shared" ref="AD77" si="74" xml:space="preserve"> IF(AND(AC76 &lt; $F75, AD76 &gt;= $F75), 1, 0)</f>
        <v>0</v>
      </c>
      <c r="AE77" s="188">
        <f t="shared" ref="AE77" si="75" xml:space="preserve"> IF(AND(AD76 &lt; $F75, AE76 &gt;= $F75), 1, 0)</f>
        <v>0</v>
      </c>
      <c r="AF77" s="188">
        <f t="shared" ref="AF77" si="76" xml:space="preserve"> IF(AND(AE76 &lt; $F75, AF76 &gt;= $F75), 1, 0)</f>
        <v>0</v>
      </c>
      <c r="AG77" s="188">
        <f t="shared" ref="AG77" si="77" xml:space="preserve"> IF(AND(AF76 &lt; $F75, AG76 &gt;= $F75), 1, 0)</f>
        <v>0</v>
      </c>
      <c r="AH77" s="188">
        <f t="shared" ref="AH77" si="78" xml:space="preserve"> IF(AND(AG76 &lt; $F75, AH76 &gt;= $F75), 1, 0)</f>
        <v>0</v>
      </c>
      <c r="AI77" s="188">
        <f t="shared" ref="AI77" si="79" xml:space="preserve"> IF(AND(AH76 &lt; $F75, AI76 &gt;= $F75), 1, 0)</f>
        <v>0</v>
      </c>
      <c r="AJ77" s="188">
        <f t="shared" ref="AJ77" si="80" xml:space="preserve"> IF(AND(AI76 &lt; $F75, AJ76 &gt;= $F75), 1, 0)</f>
        <v>0</v>
      </c>
      <c r="AK77" s="188">
        <f t="shared" ref="AK77" si="81" xml:space="preserve"> IF(AND(AJ76 &lt; $F75, AK76 &gt;= $F75), 1, 0)</f>
        <v>0</v>
      </c>
      <c r="AL77" s="188">
        <f t="shared" ref="AL77" si="82" xml:space="preserve"> IF(AND(AK76 &lt; $F75, AL76 &gt;= $F75), 1, 0)</f>
        <v>0</v>
      </c>
      <c r="AM77" s="188">
        <f t="shared" ref="AM77" si="83" xml:space="preserve"> IF(AND(AL76 &lt; $F75, AM76 &gt;= $F75), 1, 0)</f>
        <v>1</v>
      </c>
      <c r="AN77" s="188">
        <f t="shared" ref="AN77" si="84" xml:space="preserve"> IF(AND(AM76 &lt; $F75, AN76 &gt;= $F75), 1, 0)</f>
        <v>0</v>
      </c>
      <c r="AO77" s="188">
        <f t="shared" ref="AO77" si="85" xml:space="preserve"> IF(AND(AN76 &lt; $F75, AO76 &gt;= $F75), 1, 0)</f>
        <v>0</v>
      </c>
      <c r="AP77" s="188">
        <f t="shared" ref="AP77" si="86" xml:space="preserve"> IF(AND(AO76 &lt; $F75, AP76 &gt;= $F75), 1, 0)</f>
        <v>0</v>
      </c>
      <c r="AQ77" s="188">
        <f t="shared" ref="AQ77" si="87" xml:space="preserve"> IF(AND(AP76 &lt; $F75, AQ76 &gt;= $F75), 1, 0)</f>
        <v>0</v>
      </c>
      <c r="AR77" s="188">
        <f t="shared" ref="AR77" si="88" xml:space="preserve"> IF(AND(AQ76 &lt; $F75, AR76 &gt;= $F75), 1, 0)</f>
        <v>0</v>
      </c>
      <c r="AS77" s="188">
        <f t="shared" ref="AS77" si="89" xml:space="preserve"> IF(AND(AR76 &lt; $F75, AS76 &gt;= $F75), 1, 0)</f>
        <v>0</v>
      </c>
      <c r="AT77" s="188">
        <f t="shared" ref="AT77" si="90" xml:space="preserve"> IF(AND(AS76 &lt; $F75, AT76 &gt;= $F75), 1, 0)</f>
        <v>0</v>
      </c>
      <c r="AU77" s="188">
        <f t="shared" ref="AU77" si="91" xml:space="preserve"> IF(AND(AT76 &lt; $F75, AU76 &gt;= $F75), 1, 0)</f>
        <v>0</v>
      </c>
      <c r="AV77" s="188">
        <f t="shared" ref="AV77" si="92" xml:space="preserve"> IF(AND(AU76 &lt; $F75, AV76 &gt;= $F75), 1, 0)</f>
        <v>0</v>
      </c>
      <c r="AW77" s="188">
        <f t="shared" ref="AW77" si="93" xml:space="preserve"> IF(AND(AV76 &lt; $F75, AW76 &gt;= $F75), 1, 0)</f>
        <v>0</v>
      </c>
      <c r="AX77" s="188">
        <f t="shared" ref="AX77" si="94" xml:space="preserve"> IF(AND(AW76 &lt; $F75, AX76 &gt;= $F75), 1, 0)</f>
        <v>0</v>
      </c>
      <c r="AY77" s="188">
        <f t="shared" ref="AY77" si="95" xml:space="preserve"> IF(AND(AX76 &lt; $F75, AY76 &gt;= $F75), 1, 0)</f>
        <v>0</v>
      </c>
      <c r="AZ77" s="188">
        <f t="shared" ref="AZ77" si="96" xml:space="preserve"> IF(AND(AY76 &lt; $F75, AZ76 &gt;= $F75), 1, 0)</f>
        <v>0</v>
      </c>
      <c r="BA77" s="188">
        <f t="shared" ref="BA77" si="97" xml:space="preserve"> IF(AND(AZ76 &lt; $F75, BA76 &gt;= $F75), 1, 0)</f>
        <v>0</v>
      </c>
      <c r="BB77" s="188">
        <f t="shared" ref="BB77" si="98" xml:space="preserve"> IF(AND(BA76 &lt; $F75, BB76 &gt;= $F75), 1, 0)</f>
        <v>0</v>
      </c>
      <c r="BC77" s="188">
        <f t="shared" ref="BC77" si="99" xml:space="preserve"> IF(AND(BB76 &lt; $F75, BC76 &gt;= $F75), 1, 0)</f>
        <v>0</v>
      </c>
      <c r="BD77" s="188">
        <f t="shared" ref="BD77" si="100" xml:space="preserve"> IF(AND(BC76 &lt; $F75, BD76 &gt;= $F75), 1, 0)</f>
        <v>0</v>
      </c>
      <c r="BE77" s="188">
        <f t="shared" ref="BE77" si="101" xml:space="preserve"> IF(AND(BD76 &lt; $F75, BE76 &gt;= $F75), 1, 0)</f>
        <v>0</v>
      </c>
    </row>
    <row r="78" spans="1:57" outlineLevel="1" x14ac:dyDescent="0.2"/>
    <row r="79" spans="1:57" outlineLevel="1" x14ac:dyDescent="0.2">
      <c r="B79" s="15" t="s">
        <v>228</v>
      </c>
    </row>
    <row r="80" spans="1:57" outlineLevel="2" x14ac:dyDescent="0.2">
      <c r="E80" s="198" t="str">
        <f t="shared" ref="E80:AJ80" si="102" xml:space="preserve"> E$68</f>
        <v>First construction period flag - m</v>
      </c>
      <c r="F80" s="198">
        <f t="shared" si="102"/>
        <v>0</v>
      </c>
      <c r="G80" s="198" t="str">
        <f t="shared" si="102"/>
        <v>flag</v>
      </c>
      <c r="H80" s="198">
        <f t="shared" si="102"/>
        <v>1</v>
      </c>
      <c r="I80" s="198">
        <f t="shared" si="102"/>
        <v>0</v>
      </c>
      <c r="J80" s="198">
        <f t="shared" si="102"/>
        <v>0</v>
      </c>
      <c r="K80" s="198">
        <f t="shared" si="102"/>
        <v>0</v>
      </c>
      <c r="L80" s="198">
        <f t="shared" si="102"/>
        <v>0</v>
      </c>
      <c r="M80" s="198">
        <f t="shared" si="102"/>
        <v>0</v>
      </c>
      <c r="N80" s="198">
        <f t="shared" si="102"/>
        <v>1</v>
      </c>
      <c r="O80" s="198">
        <f t="shared" si="102"/>
        <v>0</v>
      </c>
      <c r="P80" s="198">
        <f t="shared" si="102"/>
        <v>0</v>
      </c>
      <c r="Q80" s="198">
        <f t="shared" si="102"/>
        <v>0</v>
      </c>
      <c r="R80" s="198">
        <f t="shared" si="102"/>
        <v>0</v>
      </c>
      <c r="S80" s="198">
        <f t="shared" si="102"/>
        <v>0</v>
      </c>
      <c r="T80" s="198">
        <f t="shared" si="102"/>
        <v>0</v>
      </c>
      <c r="U80" s="198">
        <f t="shared" si="102"/>
        <v>0</v>
      </c>
      <c r="V80" s="198">
        <f t="shared" si="102"/>
        <v>0</v>
      </c>
      <c r="W80" s="198">
        <f t="shared" si="102"/>
        <v>0</v>
      </c>
      <c r="X80" s="198">
        <f t="shared" si="102"/>
        <v>0</v>
      </c>
      <c r="Y80" s="198">
        <f t="shared" si="102"/>
        <v>0</v>
      </c>
      <c r="Z80" s="198">
        <f t="shared" si="102"/>
        <v>0</v>
      </c>
      <c r="AA80" s="198">
        <f t="shared" si="102"/>
        <v>0</v>
      </c>
      <c r="AB80" s="198">
        <f t="shared" si="102"/>
        <v>0</v>
      </c>
      <c r="AC80" s="198">
        <f t="shared" si="102"/>
        <v>0</v>
      </c>
      <c r="AD80" s="198">
        <f t="shared" si="102"/>
        <v>0</v>
      </c>
      <c r="AE80" s="198">
        <f t="shared" si="102"/>
        <v>0</v>
      </c>
      <c r="AF80" s="198">
        <f t="shared" si="102"/>
        <v>0</v>
      </c>
      <c r="AG80" s="198">
        <f t="shared" si="102"/>
        <v>0</v>
      </c>
      <c r="AH80" s="198">
        <f t="shared" si="102"/>
        <v>0</v>
      </c>
      <c r="AI80" s="198">
        <f t="shared" si="102"/>
        <v>0</v>
      </c>
      <c r="AJ80" s="198">
        <f t="shared" si="102"/>
        <v>0</v>
      </c>
      <c r="AK80" s="198">
        <f t="shared" ref="AK80:BE80" si="103" xml:space="preserve"> AK$68</f>
        <v>0</v>
      </c>
      <c r="AL80" s="198">
        <f t="shared" si="103"/>
        <v>0</v>
      </c>
      <c r="AM80" s="198">
        <f t="shared" si="103"/>
        <v>0</v>
      </c>
      <c r="AN80" s="198">
        <f t="shared" si="103"/>
        <v>0</v>
      </c>
      <c r="AO80" s="198">
        <f t="shared" si="103"/>
        <v>0</v>
      </c>
      <c r="AP80" s="198">
        <f t="shared" si="103"/>
        <v>0</v>
      </c>
      <c r="AQ80" s="198">
        <f t="shared" si="103"/>
        <v>0</v>
      </c>
      <c r="AR80" s="198">
        <f t="shared" si="103"/>
        <v>0</v>
      </c>
      <c r="AS80" s="198">
        <f t="shared" si="103"/>
        <v>0</v>
      </c>
      <c r="AT80" s="198">
        <f t="shared" si="103"/>
        <v>0</v>
      </c>
      <c r="AU80" s="198">
        <f t="shared" si="103"/>
        <v>0</v>
      </c>
      <c r="AV80" s="198">
        <f t="shared" si="103"/>
        <v>0</v>
      </c>
      <c r="AW80" s="198">
        <f t="shared" si="103"/>
        <v>0</v>
      </c>
      <c r="AX80" s="198">
        <f t="shared" si="103"/>
        <v>0</v>
      </c>
      <c r="AY80" s="198">
        <f t="shared" si="103"/>
        <v>0</v>
      </c>
      <c r="AZ80" s="198">
        <f t="shared" si="103"/>
        <v>0</v>
      </c>
      <c r="BA80" s="198">
        <f t="shared" si="103"/>
        <v>0</v>
      </c>
      <c r="BB80" s="198">
        <f t="shared" si="103"/>
        <v>0</v>
      </c>
      <c r="BC80" s="198">
        <f t="shared" si="103"/>
        <v>0</v>
      </c>
      <c r="BD80" s="198">
        <f t="shared" si="103"/>
        <v>0</v>
      </c>
      <c r="BE80" s="198">
        <f t="shared" si="103"/>
        <v>0</v>
      </c>
    </row>
    <row r="81" spans="1:57" outlineLevel="2" x14ac:dyDescent="0.2">
      <c r="E81" s="198" t="str">
        <f t="shared" ref="E81:AJ81" si="104" xml:space="preserve"> E$77</f>
        <v>Last construction period flag - m</v>
      </c>
      <c r="F81" s="198">
        <f t="shared" si="104"/>
        <v>0</v>
      </c>
      <c r="G81" s="198" t="str">
        <f t="shared" si="104"/>
        <v>flag</v>
      </c>
      <c r="H81" s="198">
        <f t="shared" si="104"/>
        <v>1</v>
      </c>
      <c r="I81" s="198">
        <f t="shared" si="104"/>
        <v>0</v>
      </c>
      <c r="J81" s="198">
        <f t="shared" si="104"/>
        <v>0</v>
      </c>
      <c r="K81" s="198">
        <f t="shared" si="104"/>
        <v>0</v>
      </c>
      <c r="L81" s="198">
        <f t="shared" si="104"/>
        <v>0</v>
      </c>
      <c r="M81" s="198">
        <f t="shared" si="104"/>
        <v>0</v>
      </c>
      <c r="N81" s="198">
        <f t="shared" si="104"/>
        <v>0</v>
      </c>
      <c r="O81" s="198">
        <f t="shared" si="104"/>
        <v>0</v>
      </c>
      <c r="P81" s="198">
        <f t="shared" si="104"/>
        <v>0</v>
      </c>
      <c r="Q81" s="198">
        <f t="shared" si="104"/>
        <v>0</v>
      </c>
      <c r="R81" s="198">
        <f t="shared" si="104"/>
        <v>0</v>
      </c>
      <c r="S81" s="198">
        <f t="shared" si="104"/>
        <v>0</v>
      </c>
      <c r="T81" s="198">
        <f t="shared" si="104"/>
        <v>0</v>
      </c>
      <c r="U81" s="198">
        <f t="shared" si="104"/>
        <v>0</v>
      </c>
      <c r="V81" s="198">
        <f t="shared" si="104"/>
        <v>0</v>
      </c>
      <c r="W81" s="198">
        <f t="shared" si="104"/>
        <v>0</v>
      </c>
      <c r="X81" s="198">
        <f t="shared" si="104"/>
        <v>0</v>
      </c>
      <c r="Y81" s="198">
        <f t="shared" si="104"/>
        <v>0</v>
      </c>
      <c r="Z81" s="198">
        <f t="shared" si="104"/>
        <v>0</v>
      </c>
      <c r="AA81" s="198">
        <f t="shared" si="104"/>
        <v>0</v>
      </c>
      <c r="AB81" s="198">
        <f t="shared" si="104"/>
        <v>0</v>
      </c>
      <c r="AC81" s="198">
        <f t="shared" si="104"/>
        <v>0</v>
      </c>
      <c r="AD81" s="198">
        <f t="shared" si="104"/>
        <v>0</v>
      </c>
      <c r="AE81" s="198">
        <f t="shared" si="104"/>
        <v>0</v>
      </c>
      <c r="AF81" s="198">
        <f t="shared" si="104"/>
        <v>0</v>
      </c>
      <c r="AG81" s="198">
        <f t="shared" si="104"/>
        <v>0</v>
      </c>
      <c r="AH81" s="198">
        <f t="shared" si="104"/>
        <v>0</v>
      </c>
      <c r="AI81" s="198">
        <f t="shared" si="104"/>
        <v>0</v>
      </c>
      <c r="AJ81" s="198">
        <f t="shared" si="104"/>
        <v>0</v>
      </c>
      <c r="AK81" s="198">
        <f t="shared" ref="AK81:BE81" si="105" xml:space="preserve"> AK$77</f>
        <v>0</v>
      </c>
      <c r="AL81" s="198">
        <f t="shared" si="105"/>
        <v>0</v>
      </c>
      <c r="AM81" s="198">
        <f t="shared" si="105"/>
        <v>1</v>
      </c>
      <c r="AN81" s="198">
        <f t="shared" si="105"/>
        <v>0</v>
      </c>
      <c r="AO81" s="198">
        <f t="shared" si="105"/>
        <v>0</v>
      </c>
      <c r="AP81" s="198">
        <f t="shared" si="105"/>
        <v>0</v>
      </c>
      <c r="AQ81" s="198">
        <f t="shared" si="105"/>
        <v>0</v>
      </c>
      <c r="AR81" s="198">
        <f t="shared" si="105"/>
        <v>0</v>
      </c>
      <c r="AS81" s="198">
        <f t="shared" si="105"/>
        <v>0</v>
      </c>
      <c r="AT81" s="198">
        <f t="shared" si="105"/>
        <v>0</v>
      </c>
      <c r="AU81" s="198">
        <f t="shared" si="105"/>
        <v>0</v>
      </c>
      <c r="AV81" s="198">
        <f t="shared" si="105"/>
        <v>0</v>
      </c>
      <c r="AW81" s="198">
        <f t="shared" si="105"/>
        <v>0</v>
      </c>
      <c r="AX81" s="198">
        <f t="shared" si="105"/>
        <v>0</v>
      </c>
      <c r="AY81" s="198">
        <f t="shared" si="105"/>
        <v>0</v>
      </c>
      <c r="AZ81" s="198">
        <f t="shared" si="105"/>
        <v>0</v>
      </c>
      <c r="BA81" s="198">
        <f t="shared" si="105"/>
        <v>0</v>
      </c>
      <c r="BB81" s="198">
        <f t="shared" si="105"/>
        <v>0</v>
      </c>
      <c r="BC81" s="198">
        <f t="shared" si="105"/>
        <v>0</v>
      </c>
      <c r="BD81" s="198">
        <f t="shared" si="105"/>
        <v>0</v>
      </c>
      <c r="BE81" s="198">
        <f t="shared" si="105"/>
        <v>0</v>
      </c>
    </row>
    <row r="82" spans="1:57" s="188" customFormat="1" outlineLevel="2" x14ac:dyDescent="0.2">
      <c r="A82" s="141"/>
      <c r="B82" s="141"/>
      <c r="C82" s="142"/>
      <c r="D82" s="143"/>
      <c r="E82" s="187" t="s">
        <v>228</v>
      </c>
      <c r="F82" s="187"/>
      <c r="G82" s="187" t="s">
        <v>5</v>
      </c>
      <c r="H82" s="187">
        <f xml:space="preserve"> SUM(J82:BE82)</f>
        <v>26</v>
      </c>
      <c r="I82" s="144"/>
      <c r="J82" s="187">
        <f t="shared" ref="J82:AO82" si="106" xml:space="preserve"> I82 + J80 - I81</f>
        <v>0</v>
      </c>
      <c r="K82" s="187">
        <f t="shared" si="106"/>
        <v>0</v>
      </c>
      <c r="L82" s="187">
        <f t="shared" si="106"/>
        <v>0</v>
      </c>
      <c r="M82" s="187">
        <f t="shared" si="106"/>
        <v>0</v>
      </c>
      <c r="N82" s="187">
        <f t="shared" si="106"/>
        <v>1</v>
      </c>
      <c r="O82" s="187">
        <f t="shared" si="106"/>
        <v>1</v>
      </c>
      <c r="P82" s="187">
        <f t="shared" si="106"/>
        <v>1</v>
      </c>
      <c r="Q82" s="187">
        <f t="shared" si="106"/>
        <v>1</v>
      </c>
      <c r="R82" s="187">
        <f t="shared" si="106"/>
        <v>1</v>
      </c>
      <c r="S82" s="187">
        <f t="shared" si="106"/>
        <v>1</v>
      </c>
      <c r="T82" s="187">
        <f t="shared" si="106"/>
        <v>1</v>
      </c>
      <c r="U82" s="187">
        <f t="shared" si="106"/>
        <v>1</v>
      </c>
      <c r="V82" s="187">
        <f t="shared" si="106"/>
        <v>1</v>
      </c>
      <c r="W82" s="187">
        <f t="shared" si="106"/>
        <v>1</v>
      </c>
      <c r="X82" s="187">
        <f t="shared" si="106"/>
        <v>1</v>
      </c>
      <c r="Y82" s="187">
        <f t="shared" si="106"/>
        <v>1</v>
      </c>
      <c r="Z82" s="187">
        <f t="shared" si="106"/>
        <v>1</v>
      </c>
      <c r="AA82" s="187">
        <f t="shared" si="106"/>
        <v>1</v>
      </c>
      <c r="AB82" s="187">
        <f t="shared" si="106"/>
        <v>1</v>
      </c>
      <c r="AC82" s="187">
        <f t="shared" si="106"/>
        <v>1</v>
      </c>
      <c r="AD82" s="187">
        <f t="shared" si="106"/>
        <v>1</v>
      </c>
      <c r="AE82" s="187">
        <f t="shared" si="106"/>
        <v>1</v>
      </c>
      <c r="AF82" s="187">
        <f t="shared" si="106"/>
        <v>1</v>
      </c>
      <c r="AG82" s="187">
        <f t="shared" si="106"/>
        <v>1</v>
      </c>
      <c r="AH82" s="187">
        <f t="shared" si="106"/>
        <v>1</v>
      </c>
      <c r="AI82" s="187">
        <f t="shared" si="106"/>
        <v>1</v>
      </c>
      <c r="AJ82" s="187">
        <f t="shared" si="106"/>
        <v>1</v>
      </c>
      <c r="AK82" s="187">
        <f t="shared" si="106"/>
        <v>1</v>
      </c>
      <c r="AL82" s="187">
        <f t="shared" si="106"/>
        <v>1</v>
      </c>
      <c r="AM82" s="187">
        <f t="shared" si="106"/>
        <v>1</v>
      </c>
      <c r="AN82" s="187">
        <f t="shared" si="106"/>
        <v>0</v>
      </c>
      <c r="AO82" s="187">
        <f t="shared" si="106"/>
        <v>0</v>
      </c>
      <c r="AP82" s="187">
        <f t="shared" ref="AP82:BE82" si="107" xml:space="preserve"> AO82 + AP80 - AO81</f>
        <v>0</v>
      </c>
      <c r="AQ82" s="187">
        <f t="shared" si="107"/>
        <v>0</v>
      </c>
      <c r="AR82" s="187">
        <f t="shared" si="107"/>
        <v>0</v>
      </c>
      <c r="AS82" s="187">
        <f t="shared" si="107"/>
        <v>0</v>
      </c>
      <c r="AT82" s="187">
        <f t="shared" si="107"/>
        <v>0</v>
      </c>
      <c r="AU82" s="187">
        <f t="shared" si="107"/>
        <v>0</v>
      </c>
      <c r="AV82" s="187">
        <f t="shared" si="107"/>
        <v>0</v>
      </c>
      <c r="AW82" s="187">
        <f t="shared" si="107"/>
        <v>0</v>
      </c>
      <c r="AX82" s="187">
        <f t="shared" si="107"/>
        <v>0</v>
      </c>
      <c r="AY82" s="187">
        <f t="shared" si="107"/>
        <v>0</v>
      </c>
      <c r="AZ82" s="187">
        <f t="shared" si="107"/>
        <v>0</v>
      </c>
      <c r="BA82" s="187">
        <f t="shared" si="107"/>
        <v>0</v>
      </c>
      <c r="BB82" s="187">
        <f t="shared" si="107"/>
        <v>0</v>
      </c>
      <c r="BC82" s="187">
        <f t="shared" si="107"/>
        <v>0</v>
      </c>
      <c r="BD82" s="187">
        <f t="shared" si="107"/>
        <v>0</v>
      </c>
      <c r="BE82" s="187">
        <f t="shared" si="107"/>
        <v>0</v>
      </c>
    </row>
    <row r="83" spans="1:57" outlineLevel="1" x14ac:dyDescent="0.2"/>
    <row r="84" spans="1:57" outlineLevel="1" x14ac:dyDescent="0.2">
      <c r="B84" s="15" t="s">
        <v>697</v>
      </c>
    </row>
    <row r="85" spans="1:57" outlineLevel="2" x14ac:dyDescent="0.2">
      <c r="E85" s="12" t="str">
        <f t="shared" ref="E85:AJ85" si="108" xml:space="preserve"> E$82</f>
        <v>Construction period flag</v>
      </c>
      <c r="F85" s="12">
        <f t="shared" si="108"/>
        <v>0</v>
      </c>
      <c r="G85" s="12" t="str">
        <f t="shared" si="108"/>
        <v>flag</v>
      </c>
      <c r="H85" s="12">
        <f t="shared" si="108"/>
        <v>26</v>
      </c>
      <c r="I85" s="12">
        <f t="shared" si="108"/>
        <v>0</v>
      </c>
      <c r="J85" s="12">
        <f t="shared" si="108"/>
        <v>0</v>
      </c>
      <c r="K85" s="12">
        <f t="shared" si="108"/>
        <v>0</v>
      </c>
      <c r="L85" s="12">
        <f t="shared" si="108"/>
        <v>0</v>
      </c>
      <c r="M85" s="12">
        <f t="shared" si="108"/>
        <v>0</v>
      </c>
      <c r="N85" s="12">
        <f t="shared" si="108"/>
        <v>1</v>
      </c>
      <c r="O85" s="12">
        <f t="shared" si="108"/>
        <v>1</v>
      </c>
      <c r="P85" s="12">
        <f t="shared" si="108"/>
        <v>1</v>
      </c>
      <c r="Q85" s="12">
        <f t="shared" si="108"/>
        <v>1</v>
      </c>
      <c r="R85" s="12">
        <f t="shared" si="108"/>
        <v>1</v>
      </c>
      <c r="S85" s="12">
        <f t="shared" si="108"/>
        <v>1</v>
      </c>
      <c r="T85" s="12">
        <f t="shared" si="108"/>
        <v>1</v>
      </c>
      <c r="U85" s="12">
        <f t="shared" si="108"/>
        <v>1</v>
      </c>
      <c r="V85" s="12">
        <f t="shared" si="108"/>
        <v>1</v>
      </c>
      <c r="W85" s="12">
        <f t="shared" si="108"/>
        <v>1</v>
      </c>
      <c r="X85" s="12">
        <f t="shared" si="108"/>
        <v>1</v>
      </c>
      <c r="Y85" s="12">
        <f t="shared" si="108"/>
        <v>1</v>
      </c>
      <c r="Z85" s="12">
        <f t="shared" si="108"/>
        <v>1</v>
      </c>
      <c r="AA85" s="12">
        <f t="shared" si="108"/>
        <v>1</v>
      </c>
      <c r="AB85" s="12">
        <f t="shared" si="108"/>
        <v>1</v>
      </c>
      <c r="AC85" s="12">
        <f t="shared" si="108"/>
        <v>1</v>
      </c>
      <c r="AD85" s="12">
        <f t="shared" si="108"/>
        <v>1</v>
      </c>
      <c r="AE85" s="12">
        <f t="shared" si="108"/>
        <v>1</v>
      </c>
      <c r="AF85" s="12">
        <f t="shared" si="108"/>
        <v>1</v>
      </c>
      <c r="AG85" s="12">
        <f t="shared" si="108"/>
        <v>1</v>
      </c>
      <c r="AH85" s="12">
        <f t="shared" si="108"/>
        <v>1</v>
      </c>
      <c r="AI85" s="12">
        <f t="shared" si="108"/>
        <v>1</v>
      </c>
      <c r="AJ85" s="12">
        <f t="shared" si="108"/>
        <v>1</v>
      </c>
      <c r="AK85" s="12">
        <f t="shared" ref="AK85:BE85" si="109" xml:space="preserve"> AK$82</f>
        <v>1</v>
      </c>
      <c r="AL85" s="12">
        <f t="shared" si="109"/>
        <v>1</v>
      </c>
      <c r="AM85" s="12">
        <f t="shared" si="109"/>
        <v>1</v>
      </c>
      <c r="AN85" s="12">
        <f t="shared" si="109"/>
        <v>0</v>
      </c>
      <c r="AO85" s="12">
        <f t="shared" si="109"/>
        <v>0</v>
      </c>
      <c r="AP85" s="12">
        <f t="shared" si="109"/>
        <v>0</v>
      </c>
      <c r="AQ85" s="12">
        <f t="shared" si="109"/>
        <v>0</v>
      </c>
      <c r="AR85" s="12">
        <f t="shared" si="109"/>
        <v>0</v>
      </c>
      <c r="AS85" s="12">
        <f t="shared" si="109"/>
        <v>0</v>
      </c>
      <c r="AT85" s="12">
        <f t="shared" si="109"/>
        <v>0</v>
      </c>
      <c r="AU85" s="12">
        <f t="shared" si="109"/>
        <v>0</v>
      </c>
      <c r="AV85" s="12">
        <f t="shared" si="109"/>
        <v>0</v>
      </c>
      <c r="AW85" s="12">
        <f t="shared" si="109"/>
        <v>0</v>
      </c>
      <c r="AX85" s="12">
        <f t="shared" si="109"/>
        <v>0</v>
      </c>
      <c r="AY85" s="12">
        <f t="shared" si="109"/>
        <v>0</v>
      </c>
      <c r="AZ85" s="12">
        <f t="shared" si="109"/>
        <v>0</v>
      </c>
      <c r="BA85" s="12">
        <f t="shared" si="109"/>
        <v>0</v>
      </c>
      <c r="BB85" s="12">
        <f t="shared" si="109"/>
        <v>0</v>
      </c>
      <c r="BC85" s="12">
        <f t="shared" si="109"/>
        <v>0</v>
      </c>
      <c r="BD85" s="12">
        <f t="shared" si="109"/>
        <v>0</v>
      </c>
      <c r="BE85" s="12">
        <f t="shared" si="109"/>
        <v>0</v>
      </c>
    </row>
    <row r="86" spans="1:57" s="188" customFormat="1" outlineLevel="2" x14ac:dyDescent="0.2">
      <c r="A86" s="141"/>
      <c r="B86" s="141"/>
      <c r="C86" s="142"/>
      <c r="D86" s="143"/>
      <c r="E86" s="187" t="s">
        <v>697</v>
      </c>
      <c r="F86" s="187"/>
      <c r="G86" s="187" t="s">
        <v>14</v>
      </c>
      <c r="H86" s="187"/>
      <c r="I86" s="144"/>
      <c r="J86" s="187">
        <f t="shared" ref="J86:BE86" si="110" xml:space="preserve"> (I86 + J85) * (J85 &gt; 0)</f>
        <v>0</v>
      </c>
      <c r="K86" s="187">
        <f t="shared" si="110"/>
        <v>0</v>
      </c>
      <c r="L86" s="187">
        <f t="shared" si="110"/>
        <v>0</v>
      </c>
      <c r="M86" s="187">
        <f t="shared" si="110"/>
        <v>0</v>
      </c>
      <c r="N86" s="187">
        <f t="shared" si="110"/>
        <v>1</v>
      </c>
      <c r="O86" s="187">
        <f t="shared" si="110"/>
        <v>2</v>
      </c>
      <c r="P86" s="187">
        <f t="shared" si="110"/>
        <v>3</v>
      </c>
      <c r="Q86" s="187">
        <f t="shared" si="110"/>
        <v>4</v>
      </c>
      <c r="R86" s="187">
        <f t="shared" si="110"/>
        <v>5</v>
      </c>
      <c r="S86" s="187">
        <f t="shared" si="110"/>
        <v>6</v>
      </c>
      <c r="T86" s="187">
        <f t="shared" si="110"/>
        <v>7</v>
      </c>
      <c r="U86" s="187">
        <f t="shared" si="110"/>
        <v>8</v>
      </c>
      <c r="V86" s="187">
        <f t="shared" si="110"/>
        <v>9</v>
      </c>
      <c r="W86" s="187">
        <f t="shared" si="110"/>
        <v>10</v>
      </c>
      <c r="X86" s="187">
        <f t="shared" si="110"/>
        <v>11</v>
      </c>
      <c r="Y86" s="187">
        <f t="shared" si="110"/>
        <v>12</v>
      </c>
      <c r="Z86" s="187">
        <f t="shared" si="110"/>
        <v>13</v>
      </c>
      <c r="AA86" s="187">
        <f t="shared" si="110"/>
        <v>14</v>
      </c>
      <c r="AB86" s="187">
        <f t="shared" si="110"/>
        <v>15</v>
      </c>
      <c r="AC86" s="187">
        <f t="shared" si="110"/>
        <v>16</v>
      </c>
      <c r="AD86" s="187">
        <f t="shared" si="110"/>
        <v>17</v>
      </c>
      <c r="AE86" s="187">
        <f t="shared" si="110"/>
        <v>18</v>
      </c>
      <c r="AF86" s="187">
        <f t="shared" si="110"/>
        <v>19</v>
      </c>
      <c r="AG86" s="187">
        <f t="shared" si="110"/>
        <v>20</v>
      </c>
      <c r="AH86" s="187">
        <f t="shared" si="110"/>
        <v>21</v>
      </c>
      <c r="AI86" s="187">
        <f t="shared" si="110"/>
        <v>22</v>
      </c>
      <c r="AJ86" s="187">
        <f t="shared" si="110"/>
        <v>23</v>
      </c>
      <c r="AK86" s="187">
        <f t="shared" si="110"/>
        <v>24</v>
      </c>
      <c r="AL86" s="187">
        <f t="shared" si="110"/>
        <v>25</v>
      </c>
      <c r="AM86" s="187">
        <f t="shared" si="110"/>
        <v>26</v>
      </c>
      <c r="AN86" s="187">
        <f t="shared" si="110"/>
        <v>0</v>
      </c>
      <c r="AO86" s="187">
        <f t="shared" si="110"/>
        <v>0</v>
      </c>
      <c r="AP86" s="187">
        <f t="shared" si="110"/>
        <v>0</v>
      </c>
      <c r="AQ86" s="187">
        <f t="shared" si="110"/>
        <v>0</v>
      </c>
      <c r="AR86" s="187">
        <f t="shared" si="110"/>
        <v>0</v>
      </c>
      <c r="AS86" s="187">
        <f t="shared" si="110"/>
        <v>0</v>
      </c>
      <c r="AT86" s="187">
        <f t="shared" si="110"/>
        <v>0</v>
      </c>
      <c r="AU86" s="187">
        <f t="shared" si="110"/>
        <v>0</v>
      </c>
      <c r="AV86" s="187">
        <f t="shared" si="110"/>
        <v>0</v>
      </c>
      <c r="AW86" s="187">
        <f t="shared" si="110"/>
        <v>0</v>
      </c>
      <c r="AX86" s="187">
        <f t="shared" si="110"/>
        <v>0</v>
      </c>
      <c r="AY86" s="187">
        <f t="shared" si="110"/>
        <v>0</v>
      </c>
      <c r="AZ86" s="187">
        <f t="shared" si="110"/>
        <v>0</v>
      </c>
      <c r="BA86" s="187">
        <f t="shared" si="110"/>
        <v>0</v>
      </c>
      <c r="BB86" s="187">
        <f t="shared" si="110"/>
        <v>0</v>
      </c>
      <c r="BC86" s="187">
        <f t="shared" si="110"/>
        <v>0</v>
      </c>
      <c r="BD86" s="187">
        <f t="shared" si="110"/>
        <v>0</v>
      </c>
      <c r="BE86" s="187">
        <f t="shared" si="110"/>
        <v>0</v>
      </c>
    </row>
    <row r="87" spans="1:57" outlineLevel="1" x14ac:dyDescent="0.2"/>
    <row r="88" spans="1:57" outlineLevel="1" x14ac:dyDescent="0.2">
      <c r="B88" s="15" t="s">
        <v>44</v>
      </c>
    </row>
    <row r="89" spans="1:57" outlineLevel="2" x14ac:dyDescent="0.2">
      <c r="E89" s="198" t="str">
        <f t="shared" ref="E89:AJ89" si="111" xml:space="preserve"> E$77</f>
        <v>Last construction period flag - m</v>
      </c>
      <c r="F89" s="198">
        <f t="shared" si="111"/>
        <v>0</v>
      </c>
      <c r="G89" s="198" t="str">
        <f t="shared" si="111"/>
        <v>flag</v>
      </c>
      <c r="H89" s="198">
        <f t="shared" si="111"/>
        <v>1</v>
      </c>
      <c r="I89" s="198">
        <f t="shared" si="111"/>
        <v>0</v>
      </c>
      <c r="J89" s="198">
        <f t="shared" si="111"/>
        <v>0</v>
      </c>
      <c r="K89" s="198">
        <f t="shared" si="111"/>
        <v>0</v>
      </c>
      <c r="L89" s="198">
        <f t="shared" si="111"/>
        <v>0</v>
      </c>
      <c r="M89" s="198">
        <f t="shared" si="111"/>
        <v>0</v>
      </c>
      <c r="N89" s="198">
        <f t="shared" si="111"/>
        <v>0</v>
      </c>
      <c r="O89" s="198">
        <f t="shared" si="111"/>
        <v>0</v>
      </c>
      <c r="P89" s="198">
        <f t="shared" si="111"/>
        <v>0</v>
      </c>
      <c r="Q89" s="198">
        <f t="shared" si="111"/>
        <v>0</v>
      </c>
      <c r="R89" s="198">
        <f t="shared" si="111"/>
        <v>0</v>
      </c>
      <c r="S89" s="198">
        <f t="shared" si="111"/>
        <v>0</v>
      </c>
      <c r="T89" s="198">
        <f t="shared" si="111"/>
        <v>0</v>
      </c>
      <c r="U89" s="198">
        <f t="shared" si="111"/>
        <v>0</v>
      </c>
      <c r="V89" s="198">
        <f t="shared" si="111"/>
        <v>0</v>
      </c>
      <c r="W89" s="198">
        <f t="shared" si="111"/>
        <v>0</v>
      </c>
      <c r="X89" s="198">
        <f t="shared" si="111"/>
        <v>0</v>
      </c>
      <c r="Y89" s="198">
        <f t="shared" si="111"/>
        <v>0</v>
      </c>
      <c r="Z89" s="198">
        <f t="shared" si="111"/>
        <v>0</v>
      </c>
      <c r="AA89" s="198">
        <f t="shared" si="111"/>
        <v>0</v>
      </c>
      <c r="AB89" s="198">
        <f t="shared" si="111"/>
        <v>0</v>
      </c>
      <c r="AC89" s="198">
        <f t="shared" si="111"/>
        <v>0</v>
      </c>
      <c r="AD89" s="198">
        <f t="shared" si="111"/>
        <v>0</v>
      </c>
      <c r="AE89" s="198">
        <f t="shared" si="111"/>
        <v>0</v>
      </c>
      <c r="AF89" s="198">
        <f t="shared" si="111"/>
        <v>0</v>
      </c>
      <c r="AG89" s="198">
        <f t="shared" si="111"/>
        <v>0</v>
      </c>
      <c r="AH89" s="198">
        <f t="shared" si="111"/>
        <v>0</v>
      </c>
      <c r="AI89" s="198">
        <f t="shared" si="111"/>
        <v>0</v>
      </c>
      <c r="AJ89" s="198">
        <f t="shared" si="111"/>
        <v>0</v>
      </c>
      <c r="AK89" s="198">
        <f t="shared" ref="AK89:BE89" si="112" xml:space="preserve"> AK$77</f>
        <v>0</v>
      </c>
      <c r="AL89" s="198">
        <f t="shared" si="112"/>
        <v>0</v>
      </c>
      <c r="AM89" s="198">
        <f t="shared" si="112"/>
        <v>1</v>
      </c>
      <c r="AN89" s="198">
        <f t="shared" si="112"/>
        <v>0</v>
      </c>
      <c r="AO89" s="198">
        <f t="shared" si="112"/>
        <v>0</v>
      </c>
      <c r="AP89" s="198">
        <f t="shared" si="112"/>
        <v>0</v>
      </c>
      <c r="AQ89" s="198">
        <f t="shared" si="112"/>
        <v>0</v>
      </c>
      <c r="AR89" s="198">
        <f t="shared" si="112"/>
        <v>0</v>
      </c>
      <c r="AS89" s="198">
        <f t="shared" si="112"/>
        <v>0</v>
      </c>
      <c r="AT89" s="198">
        <f t="shared" si="112"/>
        <v>0</v>
      </c>
      <c r="AU89" s="198">
        <f t="shared" si="112"/>
        <v>0</v>
      </c>
      <c r="AV89" s="198">
        <f t="shared" si="112"/>
        <v>0</v>
      </c>
      <c r="AW89" s="198">
        <f t="shared" si="112"/>
        <v>0</v>
      </c>
      <c r="AX89" s="198">
        <f t="shared" si="112"/>
        <v>0</v>
      </c>
      <c r="AY89" s="198">
        <f t="shared" si="112"/>
        <v>0</v>
      </c>
      <c r="AZ89" s="198">
        <f t="shared" si="112"/>
        <v>0</v>
      </c>
      <c r="BA89" s="198">
        <f t="shared" si="112"/>
        <v>0</v>
      </c>
      <c r="BB89" s="198">
        <f t="shared" si="112"/>
        <v>0</v>
      </c>
      <c r="BC89" s="198">
        <f t="shared" si="112"/>
        <v>0</v>
      </c>
      <c r="BD89" s="198">
        <f t="shared" si="112"/>
        <v>0</v>
      </c>
      <c r="BE89" s="198">
        <f t="shared" si="112"/>
        <v>0</v>
      </c>
    </row>
    <row r="90" spans="1:57" outlineLevel="2" x14ac:dyDescent="0.2">
      <c r="E90" s="12" t="s">
        <v>235</v>
      </c>
      <c r="G90" s="12" t="s">
        <v>5</v>
      </c>
      <c r="H90" s="12">
        <f xml:space="preserve"> SUM(J90:BE90)</f>
        <v>1</v>
      </c>
      <c r="J90" s="12">
        <f t="shared" ref="J90:BE90" si="113" xml:space="preserve"> I89</f>
        <v>0</v>
      </c>
      <c r="K90" s="12">
        <f t="shared" si="113"/>
        <v>0</v>
      </c>
      <c r="L90" s="12">
        <f t="shared" si="113"/>
        <v>0</v>
      </c>
      <c r="M90" s="12">
        <f t="shared" si="113"/>
        <v>0</v>
      </c>
      <c r="N90" s="12">
        <f t="shared" si="113"/>
        <v>0</v>
      </c>
      <c r="O90" s="12">
        <f t="shared" si="113"/>
        <v>0</v>
      </c>
      <c r="P90" s="12">
        <f t="shared" si="113"/>
        <v>0</v>
      </c>
      <c r="Q90" s="12">
        <f t="shared" si="113"/>
        <v>0</v>
      </c>
      <c r="R90" s="12">
        <f t="shared" si="113"/>
        <v>0</v>
      </c>
      <c r="S90" s="12">
        <f t="shared" si="113"/>
        <v>0</v>
      </c>
      <c r="T90" s="12">
        <f t="shared" si="113"/>
        <v>0</v>
      </c>
      <c r="U90" s="12">
        <f t="shared" si="113"/>
        <v>0</v>
      </c>
      <c r="V90" s="12">
        <f t="shared" si="113"/>
        <v>0</v>
      </c>
      <c r="W90" s="12">
        <f t="shared" si="113"/>
        <v>0</v>
      </c>
      <c r="X90" s="12">
        <f t="shared" si="113"/>
        <v>0</v>
      </c>
      <c r="Y90" s="12">
        <f t="shared" si="113"/>
        <v>0</v>
      </c>
      <c r="Z90" s="12">
        <f t="shared" si="113"/>
        <v>0</v>
      </c>
      <c r="AA90" s="12">
        <f t="shared" si="113"/>
        <v>0</v>
      </c>
      <c r="AB90" s="12">
        <f t="shared" si="113"/>
        <v>0</v>
      </c>
      <c r="AC90" s="12">
        <f t="shared" si="113"/>
        <v>0</v>
      </c>
      <c r="AD90" s="12">
        <f t="shared" si="113"/>
        <v>0</v>
      </c>
      <c r="AE90" s="12">
        <f t="shared" si="113"/>
        <v>0</v>
      </c>
      <c r="AF90" s="12">
        <f t="shared" si="113"/>
        <v>0</v>
      </c>
      <c r="AG90" s="12">
        <f t="shared" si="113"/>
        <v>0</v>
      </c>
      <c r="AH90" s="12">
        <f t="shared" si="113"/>
        <v>0</v>
      </c>
      <c r="AI90" s="12">
        <f t="shared" si="113"/>
        <v>0</v>
      </c>
      <c r="AJ90" s="12">
        <f t="shared" si="113"/>
        <v>0</v>
      </c>
      <c r="AK90" s="12">
        <f t="shared" si="113"/>
        <v>0</v>
      </c>
      <c r="AL90" s="12">
        <f t="shared" si="113"/>
        <v>0</v>
      </c>
      <c r="AM90" s="12">
        <f t="shared" si="113"/>
        <v>0</v>
      </c>
      <c r="AN90" s="12">
        <f t="shared" si="113"/>
        <v>1</v>
      </c>
      <c r="AO90" s="12">
        <f t="shared" si="113"/>
        <v>0</v>
      </c>
      <c r="AP90" s="12">
        <f t="shared" si="113"/>
        <v>0</v>
      </c>
      <c r="AQ90" s="12">
        <f t="shared" si="113"/>
        <v>0</v>
      </c>
      <c r="AR90" s="12">
        <f t="shared" si="113"/>
        <v>0</v>
      </c>
      <c r="AS90" s="12">
        <f t="shared" si="113"/>
        <v>0</v>
      </c>
      <c r="AT90" s="12">
        <f t="shared" si="113"/>
        <v>0</v>
      </c>
      <c r="AU90" s="12">
        <f t="shared" si="113"/>
        <v>0</v>
      </c>
      <c r="AV90" s="12">
        <f t="shared" si="113"/>
        <v>0</v>
      </c>
      <c r="AW90" s="12">
        <f t="shared" si="113"/>
        <v>0</v>
      </c>
      <c r="AX90" s="12">
        <f t="shared" si="113"/>
        <v>0</v>
      </c>
      <c r="AY90" s="12">
        <f t="shared" si="113"/>
        <v>0</v>
      </c>
      <c r="AZ90" s="12">
        <f t="shared" si="113"/>
        <v>0</v>
      </c>
      <c r="BA90" s="12">
        <f t="shared" si="113"/>
        <v>0</v>
      </c>
      <c r="BB90" s="12">
        <f t="shared" si="113"/>
        <v>0</v>
      </c>
      <c r="BC90" s="12">
        <f t="shared" si="113"/>
        <v>0</v>
      </c>
      <c r="BD90" s="12">
        <f t="shared" si="113"/>
        <v>0</v>
      </c>
      <c r="BE90" s="12">
        <f t="shared" si="113"/>
        <v>0</v>
      </c>
    </row>
    <row r="91" spans="1:57" outlineLevel="2" x14ac:dyDescent="0.2"/>
    <row r="92" spans="1:57" x14ac:dyDescent="0.2"/>
    <row r="93" spans="1:57" x14ac:dyDescent="0.2">
      <c r="A93" s="15" t="s">
        <v>160</v>
      </c>
    </row>
    <row r="94" spans="1:57" outlineLevel="1" x14ac:dyDescent="0.2"/>
    <row r="95" spans="1:57" outlineLevel="1" x14ac:dyDescent="0.2">
      <c r="E95" s="468" t="str">
        <f t="shared" ref="E95:AJ95" si="114" xml:space="preserve"> E$19</f>
        <v>Model period beginning - m</v>
      </c>
      <c r="F95" s="468">
        <f t="shared" si="114"/>
        <v>0</v>
      </c>
      <c r="G95" s="468" t="str">
        <f t="shared" si="114"/>
        <v>date</v>
      </c>
      <c r="H95" s="468">
        <f t="shared" si="114"/>
        <v>0</v>
      </c>
      <c r="I95" s="468">
        <f t="shared" si="114"/>
        <v>0</v>
      </c>
      <c r="J95" s="468">
        <f t="shared" si="114"/>
        <v>44562</v>
      </c>
      <c r="K95" s="468">
        <f t="shared" si="114"/>
        <v>44593</v>
      </c>
      <c r="L95" s="468">
        <f t="shared" si="114"/>
        <v>44621</v>
      </c>
      <c r="M95" s="468">
        <f t="shared" si="114"/>
        <v>44652</v>
      </c>
      <c r="N95" s="468">
        <f t="shared" si="114"/>
        <v>44682</v>
      </c>
      <c r="O95" s="468">
        <f t="shared" si="114"/>
        <v>44713</v>
      </c>
      <c r="P95" s="468">
        <f t="shared" si="114"/>
        <v>44743</v>
      </c>
      <c r="Q95" s="468">
        <f t="shared" si="114"/>
        <v>44774</v>
      </c>
      <c r="R95" s="468">
        <f t="shared" si="114"/>
        <v>44805</v>
      </c>
      <c r="S95" s="468">
        <f t="shared" si="114"/>
        <v>44835</v>
      </c>
      <c r="T95" s="468">
        <f t="shared" si="114"/>
        <v>44866</v>
      </c>
      <c r="U95" s="468">
        <f t="shared" si="114"/>
        <v>44896</v>
      </c>
      <c r="V95" s="468">
        <f t="shared" si="114"/>
        <v>44927</v>
      </c>
      <c r="W95" s="468">
        <f t="shared" si="114"/>
        <v>44958</v>
      </c>
      <c r="X95" s="468">
        <f t="shared" si="114"/>
        <v>44986</v>
      </c>
      <c r="Y95" s="468">
        <f t="shared" si="114"/>
        <v>45017</v>
      </c>
      <c r="Z95" s="468">
        <f t="shared" si="114"/>
        <v>45047</v>
      </c>
      <c r="AA95" s="468">
        <f t="shared" si="114"/>
        <v>45078</v>
      </c>
      <c r="AB95" s="468">
        <f t="shared" si="114"/>
        <v>45108</v>
      </c>
      <c r="AC95" s="468">
        <f t="shared" si="114"/>
        <v>45139</v>
      </c>
      <c r="AD95" s="468">
        <f t="shared" si="114"/>
        <v>45170</v>
      </c>
      <c r="AE95" s="468">
        <f t="shared" si="114"/>
        <v>45200</v>
      </c>
      <c r="AF95" s="468">
        <f t="shared" si="114"/>
        <v>45231</v>
      </c>
      <c r="AG95" s="468">
        <f t="shared" si="114"/>
        <v>45261</v>
      </c>
      <c r="AH95" s="468">
        <f t="shared" si="114"/>
        <v>45292</v>
      </c>
      <c r="AI95" s="468">
        <f t="shared" si="114"/>
        <v>45323</v>
      </c>
      <c r="AJ95" s="468">
        <f t="shared" si="114"/>
        <v>45352</v>
      </c>
      <c r="AK95" s="468">
        <f t="shared" ref="AK95:BE95" si="115" xml:space="preserve"> AK$19</f>
        <v>45383</v>
      </c>
      <c r="AL95" s="468">
        <f t="shared" si="115"/>
        <v>45413</v>
      </c>
      <c r="AM95" s="468">
        <f t="shared" si="115"/>
        <v>45444</v>
      </c>
      <c r="AN95" s="468">
        <f t="shared" si="115"/>
        <v>45474</v>
      </c>
      <c r="AO95" s="468">
        <f t="shared" si="115"/>
        <v>45505</v>
      </c>
      <c r="AP95" s="468">
        <f t="shared" si="115"/>
        <v>45536</v>
      </c>
      <c r="AQ95" s="468">
        <f t="shared" si="115"/>
        <v>45566</v>
      </c>
      <c r="AR95" s="468">
        <f t="shared" si="115"/>
        <v>45597</v>
      </c>
      <c r="AS95" s="468">
        <f t="shared" si="115"/>
        <v>45627</v>
      </c>
      <c r="AT95" s="468">
        <f t="shared" si="115"/>
        <v>45658</v>
      </c>
      <c r="AU95" s="468">
        <f t="shared" si="115"/>
        <v>45689</v>
      </c>
      <c r="AV95" s="468">
        <f t="shared" si="115"/>
        <v>45717</v>
      </c>
      <c r="AW95" s="468">
        <f t="shared" si="115"/>
        <v>45748</v>
      </c>
      <c r="AX95" s="468">
        <f t="shared" si="115"/>
        <v>45778</v>
      </c>
      <c r="AY95" s="468">
        <f t="shared" si="115"/>
        <v>45809</v>
      </c>
      <c r="AZ95" s="468">
        <f t="shared" si="115"/>
        <v>45839</v>
      </c>
      <c r="BA95" s="468">
        <f t="shared" si="115"/>
        <v>45870</v>
      </c>
      <c r="BB95" s="468">
        <f t="shared" si="115"/>
        <v>45901</v>
      </c>
      <c r="BC95" s="468">
        <f t="shared" si="115"/>
        <v>45931</v>
      </c>
      <c r="BD95" s="468">
        <f t="shared" si="115"/>
        <v>45962</v>
      </c>
      <c r="BE95" s="468">
        <f t="shared" si="115"/>
        <v>45992</v>
      </c>
    </row>
    <row r="96" spans="1:57" outlineLevel="1" x14ac:dyDescent="0.2">
      <c r="A96" s="49"/>
      <c r="C96" s="50"/>
      <c r="D96" s="51"/>
      <c r="E96" s="468" t="str">
        <f t="shared" ref="E96:BE96" si="116" xml:space="preserve"> E$23</f>
        <v>Model period ending - m</v>
      </c>
      <c r="F96" s="468">
        <f t="shared" si="116"/>
        <v>0</v>
      </c>
      <c r="G96" s="468" t="str">
        <f t="shared" si="116"/>
        <v>date</v>
      </c>
      <c r="H96" s="468">
        <f t="shared" si="116"/>
        <v>0</v>
      </c>
      <c r="I96" s="468">
        <f t="shared" si="116"/>
        <v>0</v>
      </c>
      <c r="J96" s="468">
        <f t="shared" si="116"/>
        <v>44592</v>
      </c>
      <c r="K96" s="468">
        <f t="shared" si="116"/>
        <v>44620</v>
      </c>
      <c r="L96" s="468">
        <f t="shared" si="116"/>
        <v>44651</v>
      </c>
      <c r="M96" s="468">
        <f t="shared" si="116"/>
        <v>44681</v>
      </c>
      <c r="N96" s="468">
        <f t="shared" si="116"/>
        <v>44712</v>
      </c>
      <c r="O96" s="468">
        <f t="shared" si="116"/>
        <v>44742</v>
      </c>
      <c r="P96" s="468">
        <f t="shared" si="116"/>
        <v>44773</v>
      </c>
      <c r="Q96" s="468">
        <f t="shared" si="116"/>
        <v>44804</v>
      </c>
      <c r="R96" s="468">
        <f t="shared" si="116"/>
        <v>44834</v>
      </c>
      <c r="S96" s="468">
        <f t="shared" si="116"/>
        <v>44865</v>
      </c>
      <c r="T96" s="468">
        <f t="shared" si="116"/>
        <v>44895</v>
      </c>
      <c r="U96" s="468">
        <f t="shared" si="116"/>
        <v>44926</v>
      </c>
      <c r="V96" s="468">
        <f t="shared" si="116"/>
        <v>44957</v>
      </c>
      <c r="W96" s="468">
        <f t="shared" si="116"/>
        <v>44985</v>
      </c>
      <c r="X96" s="468">
        <f t="shared" si="116"/>
        <v>45016</v>
      </c>
      <c r="Y96" s="468">
        <f t="shared" si="116"/>
        <v>45046</v>
      </c>
      <c r="Z96" s="468">
        <f t="shared" si="116"/>
        <v>45077</v>
      </c>
      <c r="AA96" s="468">
        <f t="shared" si="116"/>
        <v>45107</v>
      </c>
      <c r="AB96" s="468">
        <f t="shared" si="116"/>
        <v>45138</v>
      </c>
      <c r="AC96" s="468">
        <f t="shared" si="116"/>
        <v>45169</v>
      </c>
      <c r="AD96" s="468">
        <f t="shared" si="116"/>
        <v>45199</v>
      </c>
      <c r="AE96" s="468">
        <f t="shared" si="116"/>
        <v>45230</v>
      </c>
      <c r="AF96" s="468">
        <f t="shared" si="116"/>
        <v>45260</v>
      </c>
      <c r="AG96" s="468">
        <f t="shared" si="116"/>
        <v>45291</v>
      </c>
      <c r="AH96" s="468">
        <f t="shared" si="116"/>
        <v>45322</v>
      </c>
      <c r="AI96" s="468">
        <f t="shared" si="116"/>
        <v>45351</v>
      </c>
      <c r="AJ96" s="468">
        <f t="shared" si="116"/>
        <v>45382</v>
      </c>
      <c r="AK96" s="468">
        <f t="shared" si="116"/>
        <v>45412</v>
      </c>
      <c r="AL96" s="468">
        <f t="shared" si="116"/>
        <v>45443</v>
      </c>
      <c r="AM96" s="468">
        <f t="shared" si="116"/>
        <v>45473</v>
      </c>
      <c r="AN96" s="468">
        <f t="shared" si="116"/>
        <v>45504</v>
      </c>
      <c r="AO96" s="468">
        <f t="shared" si="116"/>
        <v>45535</v>
      </c>
      <c r="AP96" s="468">
        <f t="shared" si="116"/>
        <v>45565</v>
      </c>
      <c r="AQ96" s="468">
        <f t="shared" si="116"/>
        <v>45596</v>
      </c>
      <c r="AR96" s="468">
        <f t="shared" si="116"/>
        <v>45626</v>
      </c>
      <c r="AS96" s="468">
        <f t="shared" si="116"/>
        <v>45657</v>
      </c>
      <c r="AT96" s="468">
        <f t="shared" si="116"/>
        <v>45688</v>
      </c>
      <c r="AU96" s="468">
        <f t="shared" si="116"/>
        <v>45716</v>
      </c>
      <c r="AV96" s="468">
        <f t="shared" si="116"/>
        <v>45747</v>
      </c>
      <c r="AW96" s="468">
        <f t="shared" si="116"/>
        <v>45777</v>
      </c>
      <c r="AX96" s="468">
        <f t="shared" si="116"/>
        <v>45808</v>
      </c>
      <c r="AY96" s="468">
        <f t="shared" si="116"/>
        <v>45838</v>
      </c>
      <c r="AZ96" s="468">
        <f t="shared" si="116"/>
        <v>45869</v>
      </c>
      <c r="BA96" s="468">
        <f t="shared" si="116"/>
        <v>45900</v>
      </c>
      <c r="BB96" s="468">
        <f t="shared" si="116"/>
        <v>45930</v>
      </c>
      <c r="BC96" s="468">
        <f t="shared" si="116"/>
        <v>45961</v>
      </c>
      <c r="BD96" s="468">
        <f t="shared" si="116"/>
        <v>45991</v>
      </c>
      <c r="BE96" s="468">
        <f t="shared" si="116"/>
        <v>46022</v>
      </c>
    </row>
    <row r="97" spans="1:57" s="188" customFormat="1" outlineLevel="1" x14ac:dyDescent="0.2">
      <c r="A97" s="141"/>
      <c r="B97" s="141"/>
      <c r="C97" s="142"/>
      <c r="D97" s="143"/>
      <c r="E97" s="187" t="s">
        <v>282</v>
      </c>
      <c r="F97" s="187"/>
      <c r="G97" s="187" t="s">
        <v>161</v>
      </c>
      <c r="H97" s="187"/>
      <c r="I97" s="144"/>
      <c r="J97" s="144">
        <f t="shared" ref="J97:BE97" si="117" xml:space="preserve"> J96 - J95 + 1</f>
        <v>31</v>
      </c>
      <c r="K97" s="144">
        <f t="shared" si="117"/>
        <v>28</v>
      </c>
      <c r="L97" s="144">
        <f t="shared" si="117"/>
        <v>31</v>
      </c>
      <c r="M97" s="144">
        <f t="shared" si="117"/>
        <v>30</v>
      </c>
      <c r="N97" s="144">
        <f t="shared" si="117"/>
        <v>31</v>
      </c>
      <c r="O97" s="144">
        <f t="shared" si="117"/>
        <v>30</v>
      </c>
      <c r="P97" s="144">
        <f t="shared" si="117"/>
        <v>31</v>
      </c>
      <c r="Q97" s="144">
        <f t="shared" si="117"/>
        <v>31</v>
      </c>
      <c r="R97" s="144">
        <f t="shared" si="117"/>
        <v>30</v>
      </c>
      <c r="S97" s="144">
        <f t="shared" si="117"/>
        <v>31</v>
      </c>
      <c r="T97" s="144">
        <f t="shared" si="117"/>
        <v>30</v>
      </c>
      <c r="U97" s="144">
        <f t="shared" si="117"/>
        <v>31</v>
      </c>
      <c r="V97" s="144">
        <f t="shared" si="117"/>
        <v>31</v>
      </c>
      <c r="W97" s="144">
        <f t="shared" si="117"/>
        <v>28</v>
      </c>
      <c r="X97" s="144">
        <f t="shared" si="117"/>
        <v>31</v>
      </c>
      <c r="Y97" s="144">
        <f t="shared" si="117"/>
        <v>30</v>
      </c>
      <c r="Z97" s="144">
        <f t="shared" si="117"/>
        <v>31</v>
      </c>
      <c r="AA97" s="144">
        <f t="shared" si="117"/>
        <v>30</v>
      </c>
      <c r="AB97" s="144">
        <f t="shared" si="117"/>
        <v>31</v>
      </c>
      <c r="AC97" s="144">
        <f t="shared" si="117"/>
        <v>31</v>
      </c>
      <c r="AD97" s="144">
        <f t="shared" si="117"/>
        <v>30</v>
      </c>
      <c r="AE97" s="144">
        <f t="shared" si="117"/>
        <v>31</v>
      </c>
      <c r="AF97" s="144">
        <f t="shared" si="117"/>
        <v>30</v>
      </c>
      <c r="AG97" s="144">
        <f t="shared" si="117"/>
        <v>31</v>
      </c>
      <c r="AH97" s="144">
        <f t="shared" si="117"/>
        <v>31</v>
      </c>
      <c r="AI97" s="144">
        <f t="shared" si="117"/>
        <v>29</v>
      </c>
      <c r="AJ97" s="144">
        <f t="shared" si="117"/>
        <v>31</v>
      </c>
      <c r="AK97" s="144">
        <f t="shared" si="117"/>
        <v>30</v>
      </c>
      <c r="AL97" s="144">
        <f t="shared" si="117"/>
        <v>31</v>
      </c>
      <c r="AM97" s="144">
        <f t="shared" si="117"/>
        <v>30</v>
      </c>
      <c r="AN97" s="144">
        <f t="shared" si="117"/>
        <v>31</v>
      </c>
      <c r="AO97" s="144">
        <f t="shared" si="117"/>
        <v>31</v>
      </c>
      <c r="AP97" s="144">
        <f t="shared" si="117"/>
        <v>30</v>
      </c>
      <c r="AQ97" s="144">
        <f t="shared" si="117"/>
        <v>31</v>
      </c>
      <c r="AR97" s="144">
        <f t="shared" si="117"/>
        <v>30</v>
      </c>
      <c r="AS97" s="144">
        <f t="shared" si="117"/>
        <v>31</v>
      </c>
      <c r="AT97" s="144">
        <f t="shared" si="117"/>
        <v>31</v>
      </c>
      <c r="AU97" s="144">
        <f t="shared" si="117"/>
        <v>28</v>
      </c>
      <c r="AV97" s="144">
        <f t="shared" si="117"/>
        <v>31</v>
      </c>
      <c r="AW97" s="144">
        <f t="shared" si="117"/>
        <v>30</v>
      </c>
      <c r="AX97" s="144">
        <f t="shared" si="117"/>
        <v>31</v>
      </c>
      <c r="AY97" s="144">
        <f t="shared" si="117"/>
        <v>30</v>
      </c>
      <c r="AZ97" s="144">
        <f t="shared" si="117"/>
        <v>31</v>
      </c>
      <c r="BA97" s="144">
        <f t="shared" si="117"/>
        <v>31</v>
      </c>
      <c r="BB97" s="144">
        <f t="shared" si="117"/>
        <v>30</v>
      </c>
      <c r="BC97" s="144">
        <f t="shared" si="117"/>
        <v>31</v>
      </c>
      <c r="BD97" s="144">
        <f t="shared" si="117"/>
        <v>30</v>
      </c>
      <c r="BE97" s="144">
        <f t="shared" si="117"/>
        <v>31</v>
      </c>
    </row>
    <row r="98" spans="1:57" outlineLevel="1" x14ac:dyDescent="0.2"/>
    <row r="99" spans="1:57" x14ac:dyDescent="0.2"/>
    <row r="100" spans="1:57" x14ac:dyDescent="0.2">
      <c r="A100" s="15" t="s">
        <v>731</v>
      </c>
    </row>
    <row r="101" spans="1:57" outlineLevel="1" x14ac:dyDescent="0.2"/>
    <row r="102" spans="1:57" outlineLevel="1" x14ac:dyDescent="0.2">
      <c r="E102" s="125" t="str">
        <f xml:space="preserve"> InpC!E$123</f>
        <v>Escalation uplift month</v>
      </c>
      <c r="F102" s="125">
        <f xml:space="preserve"> InpC!F$123</f>
        <v>1</v>
      </c>
      <c r="G102" s="125" t="str">
        <f xml:space="preserve"> InpC!G$123</f>
        <v>month</v>
      </c>
    </row>
    <row r="103" spans="1:57" outlineLevel="1" x14ac:dyDescent="0.2">
      <c r="E103" s="468" t="str">
        <f t="shared" ref="E103:BE103" si="118" xml:space="preserve"> E$19</f>
        <v>Model period beginning - m</v>
      </c>
      <c r="F103" s="468">
        <f t="shared" si="118"/>
        <v>0</v>
      </c>
      <c r="G103" s="468" t="str">
        <f t="shared" si="118"/>
        <v>date</v>
      </c>
      <c r="H103" s="468">
        <f t="shared" si="118"/>
        <v>0</v>
      </c>
      <c r="I103" s="468">
        <f t="shared" si="118"/>
        <v>0</v>
      </c>
      <c r="J103" s="468">
        <f t="shared" si="118"/>
        <v>44562</v>
      </c>
      <c r="K103" s="468">
        <f t="shared" si="118"/>
        <v>44593</v>
      </c>
      <c r="L103" s="468">
        <f t="shared" si="118"/>
        <v>44621</v>
      </c>
      <c r="M103" s="468">
        <f t="shared" si="118"/>
        <v>44652</v>
      </c>
      <c r="N103" s="468">
        <f t="shared" si="118"/>
        <v>44682</v>
      </c>
      <c r="O103" s="468">
        <f t="shared" si="118"/>
        <v>44713</v>
      </c>
      <c r="P103" s="468">
        <f t="shared" si="118"/>
        <v>44743</v>
      </c>
      <c r="Q103" s="468">
        <f t="shared" si="118"/>
        <v>44774</v>
      </c>
      <c r="R103" s="468">
        <f t="shared" si="118"/>
        <v>44805</v>
      </c>
      <c r="S103" s="468">
        <f t="shared" si="118"/>
        <v>44835</v>
      </c>
      <c r="T103" s="468">
        <f t="shared" si="118"/>
        <v>44866</v>
      </c>
      <c r="U103" s="468">
        <f t="shared" si="118"/>
        <v>44896</v>
      </c>
      <c r="V103" s="468">
        <f t="shared" si="118"/>
        <v>44927</v>
      </c>
      <c r="W103" s="468">
        <f t="shared" si="118"/>
        <v>44958</v>
      </c>
      <c r="X103" s="468">
        <f t="shared" si="118"/>
        <v>44986</v>
      </c>
      <c r="Y103" s="468">
        <f t="shared" si="118"/>
        <v>45017</v>
      </c>
      <c r="Z103" s="468">
        <f t="shared" si="118"/>
        <v>45047</v>
      </c>
      <c r="AA103" s="468">
        <f t="shared" si="118"/>
        <v>45078</v>
      </c>
      <c r="AB103" s="468">
        <f t="shared" si="118"/>
        <v>45108</v>
      </c>
      <c r="AC103" s="468">
        <f t="shared" si="118"/>
        <v>45139</v>
      </c>
      <c r="AD103" s="468">
        <f t="shared" si="118"/>
        <v>45170</v>
      </c>
      <c r="AE103" s="468">
        <f t="shared" si="118"/>
        <v>45200</v>
      </c>
      <c r="AF103" s="468">
        <f t="shared" si="118"/>
        <v>45231</v>
      </c>
      <c r="AG103" s="468">
        <f t="shared" si="118"/>
        <v>45261</v>
      </c>
      <c r="AH103" s="468">
        <f t="shared" si="118"/>
        <v>45292</v>
      </c>
      <c r="AI103" s="468">
        <f t="shared" si="118"/>
        <v>45323</v>
      </c>
      <c r="AJ103" s="468">
        <f t="shared" si="118"/>
        <v>45352</v>
      </c>
      <c r="AK103" s="468">
        <f t="shared" si="118"/>
        <v>45383</v>
      </c>
      <c r="AL103" s="468">
        <f t="shared" si="118"/>
        <v>45413</v>
      </c>
      <c r="AM103" s="468">
        <f t="shared" si="118"/>
        <v>45444</v>
      </c>
      <c r="AN103" s="468">
        <f t="shared" si="118"/>
        <v>45474</v>
      </c>
      <c r="AO103" s="468">
        <f t="shared" si="118"/>
        <v>45505</v>
      </c>
      <c r="AP103" s="468">
        <f t="shared" si="118"/>
        <v>45536</v>
      </c>
      <c r="AQ103" s="468">
        <f t="shared" si="118"/>
        <v>45566</v>
      </c>
      <c r="AR103" s="468">
        <f t="shared" si="118"/>
        <v>45597</v>
      </c>
      <c r="AS103" s="468">
        <f t="shared" si="118"/>
        <v>45627</v>
      </c>
      <c r="AT103" s="468">
        <f t="shared" si="118"/>
        <v>45658</v>
      </c>
      <c r="AU103" s="468">
        <f t="shared" si="118"/>
        <v>45689</v>
      </c>
      <c r="AV103" s="468">
        <f t="shared" si="118"/>
        <v>45717</v>
      </c>
      <c r="AW103" s="468">
        <f t="shared" si="118"/>
        <v>45748</v>
      </c>
      <c r="AX103" s="468">
        <f t="shared" si="118"/>
        <v>45778</v>
      </c>
      <c r="AY103" s="468">
        <f t="shared" si="118"/>
        <v>45809</v>
      </c>
      <c r="AZ103" s="468">
        <f t="shared" si="118"/>
        <v>45839</v>
      </c>
      <c r="BA103" s="468">
        <f t="shared" si="118"/>
        <v>45870</v>
      </c>
      <c r="BB103" s="468">
        <f t="shared" si="118"/>
        <v>45901</v>
      </c>
      <c r="BC103" s="468">
        <f t="shared" si="118"/>
        <v>45931</v>
      </c>
      <c r="BD103" s="468">
        <f t="shared" si="118"/>
        <v>45962</v>
      </c>
      <c r="BE103" s="468">
        <f t="shared" si="118"/>
        <v>45992</v>
      </c>
    </row>
    <row r="104" spans="1:57" outlineLevel="1" x14ac:dyDescent="0.2">
      <c r="A104" s="52"/>
      <c r="B104" s="52"/>
      <c r="C104" s="34"/>
      <c r="D104" s="35"/>
      <c r="E104" s="191" t="s">
        <v>729</v>
      </c>
      <c r="F104" s="191"/>
      <c r="G104" s="191" t="s">
        <v>5</v>
      </c>
      <c r="H104" s="191">
        <f xml:space="preserve"> SUM(J104:BE104)</f>
        <v>4</v>
      </c>
      <c r="I104" s="191"/>
      <c r="J104" s="191">
        <f t="shared" ref="J104:BE104" si="119" xml:space="preserve"> IF(MONTH(J103) = $F102, 1, 0)</f>
        <v>1</v>
      </c>
      <c r="K104" s="191">
        <f t="shared" si="119"/>
        <v>0</v>
      </c>
      <c r="L104" s="191">
        <f t="shared" si="119"/>
        <v>0</v>
      </c>
      <c r="M104" s="191">
        <f t="shared" si="119"/>
        <v>0</v>
      </c>
      <c r="N104" s="191">
        <f t="shared" si="119"/>
        <v>0</v>
      </c>
      <c r="O104" s="191">
        <f t="shared" si="119"/>
        <v>0</v>
      </c>
      <c r="P104" s="191">
        <f t="shared" si="119"/>
        <v>0</v>
      </c>
      <c r="Q104" s="191">
        <f t="shared" si="119"/>
        <v>0</v>
      </c>
      <c r="R104" s="191">
        <f t="shared" si="119"/>
        <v>0</v>
      </c>
      <c r="S104" s="191">
        <f t="shared" si="119"/>
        <v>0</v>
      </c>
      <c r="T104" s="191">
        <f t="shared" si="119"/>
        <v>0</v>
      </c>
      <c r="U104" s="191">
        <f t="shared" si="119"/>
        <v>0</v>
      </c>
      <c r="V104" s="191">
        <f t="shared" si="119"/>
        <v>1</v>
      </c>
      <c r="W104" s="191">
        <f t="shared" si="119"/>
        <v>0</v>
      </c>
      <c r="X104" s="191">
        <f t="shared" si="119"/>
        <v>0</v>
      </c>
      <c r="Y104" s="191">
        <f t="shared" si="119"/>
        <v>0</v>
      </c>
      <c r="Z104" s="191">
        <f t="shared" si="119"/>
        <v>0</v>
      </c>
      <c r="AA104" s="191">
        <f t="shared" si="119"/>
        <v>0</v>
      </c>
      <c r="AB104" s="191">
        <f t="shared" si="119"/>
        <v>0</v>
      </c>
      <c r="AC104" s="191">
        <f t="shared" si="119"/>
        <v>0</v>
      </c>
      <c r="AD104" s="191">
        <f t="shared" si="119"/>
        <v>0</v>
      </c>
      <c r="AE104" s="191">
        <f t="shared" si="119"/>
        <v>0</v>
      </c>
      <c r="AF104" s="191">
        <f t="shared" si="119"/>
        <v>0</v>
      </c>
      <c r="AG104" s="191">
        <f t="shared" si="119"/>
        <v>0</v>
      </c>
      <c r="AH104" s="191">
        <f t="shared" si="119"/>
        <v>1</v>
      </c>
      <c r="AI104" s="191">
        <f t="shared" si="119"/>
        <v>0</v>
      </c>
      <c r="AJ104" s="191">
        <f t="shared" si="119"/>
        <v>0</v>
      </c>
      <c r="AK104" s="191">
        <f t="shared" si="119"/>
        <v>0</v>
      </c>
      <c r="AL104" s="191">
        <f t="shared" si="119"/>
        <v>0</v>
      </c>
      <c r="AM104" s="191">
        <f t="shared" si="119"/>
        <v>0</v>
      </c>
      <c r="AN104" s="191">
        <f t="shared" si="119"/>
        <v>0</v>
      </c>
      <c r="AO104" s="191">
        <f t="shared" si="119"/>
        <v>0</v>
      </c>
      <c r="AP104" s="191">
        <f t="shared" si="119"/>
        <v>0</v>
      </c>
      <c r="AQ104" s="191">
        <f t="shared" si="119"/>
        <v>0</v>
      </c>
      <c r="AR104" s="191">
        <f t="shared" si="119"/>
        <v>0</v>
      </c>
      <c r="AS104" s="191">
        <f t="shared" si="119"/>
        <v>0</v>
      </c>
      <c r="AT104" s="191">
        <f t="shared" si="119"/>
        <v>1</v>
      </c>
      <c r="AU104" s="191">
        <f t="shared" si="119"/>
        <v>0</v>
      </c>
      <c r="AV104" s="191">
        <f t="shared" si="119"/>
        <v>0</v>
      </c>
      <c r="AW104" s="191">
        <f t="shared" si="119"/>
        <v>0</v>
      </c>
      <c r="AX104" s="191">
        <f t="shared" si="119"/>
        <v>0</v>
      </c>
      <c r="AY104" s="191">
        <f t="shared" si="119"/>
        <v>0</v>
      </c>
      <c r="AZ104" s="191">
        <f t="shared" si="119"/>
        <v>0</v>
      </c>
      <c r="BA104" s="191">
        <f t="shared" si="119"/>
        <v>0</v>
      </c>
      <c r="BB104" s="191">
        <f t="shared" si="119"/>
        <v>0</v>
      </c>
      <c r="BC104" s="191">
        <f t="shared" si="119"/>
        <v>0</v>
      </c>
      <c r="BD104" s="191">
        <f t="shared" si="119"/>
        <v>0</v>
      </c>
      <c r="BE104" s="191">
        <f t="shared" si="119"/>
        <v>0</v>
      </c>
    </row>
    <row r="105" spans="1:57" outlineLevel="1" x14ac:dyDescent="0.2"/>
    <row r="106" spans="1:57" outlineLevel="1" x14ac:dyDescent="0.2">
      <c r="A106" s="52"/>
      <c r="B106" s="52"/>
      <c r="C106" s="34"/>
      <c r="D106" s="35"/>
      <c r="E106" s="204" t="str">
        <f xml:space="preserve"> InpC!E$131</f>
        <v>O&amp;M costs indexation base date</v>
      </c>
      <c r="F106" s="204">
        <f xml:space="preserve"> InpC!F$131</f>
        <v>43831</v>
      </c>
      <c r="G106" s="204" t="str">
        <f xml:space="preserve"> InpC!G$131</f>
        <v>date</v>
      </c>
      <c r="H106" s="45"/>
      <c r="I106" s="26"/>
      <c r="J106" s="45"/>
      <c r="K106" s="45"/>
      <c r="L106" s="191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</row>
    <row r="107" spans="1:57" outlineLevel="1" x14ac:dyDescent="0.2">
      <c r="E107" s="468" t="str">
        <f t="shared" ref="E107:BE107" si="120" xml:space="preserve"> E$19</f>
        <v>Model period beginning - m</v>
      </c>
      <c r="F107" s="468">
        <f t="shared" si="120"/>
        <v>0</v>
      </c>
      <c r="G107" s="468" t="str">
        <f t="shared" si="120"/>
        <v>date</v>
      </c>
      <c r="H107" s="468">
        <f t="shared" si="120"/>
        <v>0</v>
      </c>
      <c r="I107" s="468">
        <f t="shared" si="120"/>
        <v>0</v>
      </c>
      <c r="J107" s="468">
        <f t="shared" si="120"/>
        <v>44562</v>
      </c>
      <c r="K107" s="468">
        <f t="shared" si="120"/>
        <v>44593</v>
      </c>
      <c r="L107" s="468">
        <f t="shared" si="120"/>
        <v>44621</v>
      </c>
      <c r="M107" s="468">
        <f t="shared" si="120"/>
        <v>44652</v>
      </c>
      <c r="N107" s="468">
        <f t="shared" si="120"/>
        <v>44682</v>
      </c>
      <c r="O107" s="468">
        <f t="shared" si="120"/>
        <v>44713</v>
      </c>
      <c r="P107" s="468">
        <f t="shared" si="120"/>
        <v>44743</v>
      </c>
      <c r="Q107" s="468">
        <f t="shared" si="120"/>
        <v>44774</v>
      </c>
      <c r="R107" s="468">
        <f t="shared" si="120"/>
        <v>44805</v>
      </c>
      <c r="S107" s="468">
        <f t="shared" si="120"/>
        <v>44835</v>
      </c>
      <c r="T107" s="468">
        <f t="shared" si="120"/>
        <v>44866</v>
      </c>
      <c r="U107" s="468">
        <f t="shared" si="120"/>
        <v>44896</v>
      </c>
      <c r="V107" s="468">
        <f t="shared" si="120"/>
        <v>44927</v>
      </c>
      <c r="W107" s="468">
        <f t="shared" si="120"/>
        <v>44958</v>
      </c>
      <c r="X107" s="468">
        <f t="shared" si="120"/>
        <v>44986</v>
      </c>
      <c r="Y107" s="468">
        <f t="shared" si="120"/>
        <v>45017</v>
      </c>
      <c r="Z107" s="468">
        <f t="shared" si="120"/>
        <v>45047</v>
      </c>
      <c r="AA107" s="468">
        <f t="shared" si="120"/>
        <v>45078</v>
      </c>
      <c r="AB107" s="468">
        <f t="shared" si="120"/>
        <v>45108</v>
      </c>
      <c r="AC107" s="468">
        <f t="shared" si="120"/>
        <v>45139</v>
      </c>
      <c r="AD107" s="468">
        <f t="shared" si="120"/>
        <v>45170</v>
      </c>
      <c r="AE107" s="468">
        <f t="shared" si="120"/>
        <v>45200</v>
      </c>
      <c r="AF107" s="468">
        <f t="shared" si="120"/>
        <v>45231</v>
      </c>
      <c r="AG107" s="468">
        <f t="shared" si="120"/>
        <v>45261</v>
      </c>
      <c r="AH107" s="468">
        <f t="shared" si="120"/>
        <v>45292</v>
      </c>
      <c r="AI107" s="468">
        <f t="shared" si="120"/>
        <v>45323</v>
      </c>
      <c r="AJ107" s="468">
        <f t="shared" si="120"/>
        <v>45352</v>
      </c>
      <c r="AK107" s="468">
        <f t="shared" si="120"/>
        <v>45383</v>
      </c>
      <c r="AL107" s="468">
        <f t="shared" si="120"/>
        <v>45413</v>
      </c>
      <c r="AM107" s="468">
        <f t="shared" si="120"/>
        <v>45444</v>
      </c>
      <c r="AN107" s="468">
        <f t="shared" si="120"/>
        <v>45474</v>
      </c>
      <c r="AO107" s="468">
        <f t="shared" si="120"/>
        <v>45505</v>
      </c>
      <c r="AP107" s="468">
        <f t="shared" si="120"/>
        <v>45536</v>
      </c>
      <c r="AQ107" s="468">
        <f t="shared" si="120"/>
        <v>45566</v>
      </c>
      <c r="AR107" s="468">
        <f t="shared" si="120"/>
        <v>45597</v>
      </c>
      <c r="AS107" s="468">
        <f t="shared" si="120"/>
        <v>45627</v>
      </c>
      <c r="AT107" s="468">
        <f t="shared" si="120"/>
        <v>45658</v>
      </c>
      <c r="AU107" s="468">
        <f t="shared" si="120"/>
        <v>45689</v>
      </c>
      <c r="AV107" s="468">
        <f t="shared" si="120"/>
        <v>45717</v>
      </c>
      <c r="AW107" s="468">
        <f t="shared" si="120"/>
        <v>45748</v>
      </c>
      <c r="AX107" s="468">
        <f t="shared" si="120"/>
        <v>45778</v>
      </c>
      <c r="AY107" s="468">
        <f t="shared" si="120"/>
        <v>45809</v>
      </c>
      <c r="AZ107" s="468">
        <f t="shared" si="120"/>
        <v>45839</v>
      </c>
      <c r="BA107" s="468">
        <f t="shared" si="120"/>
        <v>45870</v>
      </c>
      <c r="BB107" s="468">
        <f t="shared" si="120"/>
        <v>45901</v>
      </c>
      <c r="BC107" s="468">
        <f t="shared" si="120"/>
        <v>45931</v>
      </c>
      <c r="BD107" s="468">
        <f t="shared" si="120"/>
        <v>45962</v>
      </c>
      <c r="BE107" s="468">
        <f t="shared" si="120"/>
        <v>45992</v>
      </c>
    </row>
    <row r="108" spans="1:57" outlineLevel="1" x14ac:dyDescent="0.2">
      <c r="E108" s="82" t="s">
        <v>609</v>
      </c>
      <c r="F108" s="82"/>
      <c r="G108" s="82" t="s">
        <v>29</v>
      </c>
      <c r="H108" s="82"/>
      <c r="I108" s="455"/>
      <c r="J108" s="82">
        <f t="shared" ref="J108:BE108" si="121" xml:space="preserve"> YEARFRAC($F106, J107)</f>
        <v>2</v>
      </c>
      <c r="K108" s="82">
        <f t="shared" si="121"/>
        <v>2.0833333333333335</v>
      </c>
      <c r="L108" s="82">
        <f t="shared" si="121"/>
        <v>2.1666666666666665</v>
      </c>
      <c r="M108" s="82">
        <f t="shared" si="121"/>
        <v>2.25</v>
      </c>
      <c r="N108" s="82">
        <f t="shared" si="121"/>
        <v>2.3333333333333335</v>
      </c>
      <c r="O108" s="82">
        <f t="shared" si="121"/>
        <v>2.4166666666666665</v>
      </c>
      <c r="P108" s="82">
        <f t="shared" si="121"/>
        <v>2.5</v>
      </c>
      <c r="Q108" s="82">
        <f t="shared" si="121"/>
        <v>2.5833333333333335</v>
      </c>
      <c r="R108" s="82">
        <f t="shared" si="121"/>
        <v>2.6666666666666665</v>
      </c>
      <c r="S108" s="82">
        <f t="shared" si="121"/>
        <v>2.75</v>
      </c>
      <c r="T108" s="82">
        <f t="shared" si="121"/>
        <v>2.8333333333333335</v>
      </c>
      <c r="U108" s="82">
        <f t="shared" si="121"/>
        <v>2.9166666666666665</v>
      </c>
      <c r="V108" s="82">
        <f t="shared" si="121"/>
        <v>3</v>
      </c>
      <c r="W108" s="82">
        <f t="shared" si="121"/>
        <v>3.0833333333333335</v>
      </c>
      <c r="X108" s="82">
        <f t="shared" si="121"/>
        <v>3.1666666666666665</v>
      </c>
      <c r="Y108" s="82">
        <f t="shared" si="121"/>
        <v>3.25</v>
      </c>
      <c r="Z108" s="82">
        <f t="shared" si="121"/>
        <v>3.3333333333333335</v>
      </c>
      <c r="AA108" s="82">
        <f t="shared" si="121"/>
        <v>3.4166666666666665</v>
      </c>
      <c r="AB108" s="82">
        <f t="shared" si="121"/>
        <v>3.5</v>
      </c>
      <c r="AC108" s="82">
        <f t="shared" si="121"/>
        <v>3.5833333333333335</v>
      </c>
      <c r="AD108" s="82">
        <f t="shared" si="121"/>
        <v>3.6666666666666665</v>
      </c>
      <c r="AE108" s="82">
        <f t="shared" si="121"/>
        <v>3.75</v>
      </c>
      <c r="AF108" s="82">
        <f t="shared" si="121"/>
        <v>3.8333333333333335</v>
      </c>
      <c r="AG108" s="82">
        <f t="shared" si="121"/>
        <v>3.9166666666666665</v>
      </c>
      <c r="AH108" s="82">
        <f t="shared" si="121"/>
        <v>4</v>
      </c>
      <c r="AI108" s="82">
        <f t="shared" si="121"/>
        <v>4.083333333333333</v>
      </c>
      <c r="AJ108" s="82">
        <f t="shared" si="121"/>
        <v>4.166666666666667</v>
      </c>
      <c r="AK108" s="82">
        <f t="shared" si="121"/>
        <v>4.25</v>
      </c>
      <c r="AL108" s="82">
        <f t="shared" si="121"/>
        <v>4.333333333333333</v>
      </c>
      <c r="AM108" s="82">
        <f t="shared" si="121"/>
        <v>4.416666666666667</v>
      </c>
      <c r="AN108" s="82">
        <f t="shared" si="121"/>
        <v>4.5</v>
      </c>
      <c r="AO108" s="82">
        <f t="shared" si="121"/>
        <v>4.583333333333333</v>
      </c>
      <c r="AP108" s="82">
        <f t="shared" si="121"/>
        <v>4.666666666666667</v>
      </c>
      <c r="AQ108" s="82">
        <f t="shared" si="121"/>
        <v>4.75</v>
      </c>
      <c r="AR108" s="82">
        <f t="shared" si="121"/>
        <v>4.833333333333333</v>
      </c>
      <c r="AS108" s="82">
        <f t="shared" si="121"/>
        <v>4.916666666666667</v>
      </c>
      <c r="AT108" s="82">
        <f t="shared" si="121"/>
        <v>5</v>
      </c>
      <c r="AU108" s="82">
        <f t="shared" si="121"/>
        <v>5.083333333333333</v>
      </c>
      <c r="AV108" s="82">
        <f t="shared" si="121"/>
        <v>5.166666666666667</v>
      </c>
      <c r="AW108" s="82">
        <f t="shared" si="121"/>
        <v>5.25</v>
      </c>
      <c r="AX108" s="82">
        <f t="shared" si="121"/>
        <v>5.333333333333333</v>
      </c>
      <c r="AY108" s="82">
        <f t="shared" si="121"/>
        <v>5.416666666666667</v>
      </c>
      <c r="AZ108" s="82">
        <f t="shared" si="121"/>
        <v>5.5</v>
      </c>
      <c r="BA108" s="82">
        <f t="shared" si="121"/>
        <v>5.583333333333333</v>
      </c>
      <c r="BB108" s="82">
        <f t="shared" si="121"/>
        <v>5.666666666666667</v>
      </c>
      <c r="BC108" s="82">
        <f t="shared" si="121"/>
        <v>5.75</v>
      </c>
      <c r="BD108" s="82">
        <f t="shared" si="121"/>
        <v>5.833333333333333</v>
      </c>
      <c r="BE108" s="82">
        <f t="shared" si="121"/>
        <v>5.916666666666667</v>
      </c>
    </row>
    <row r="109" spans="1:57" outlineLevel="1" x14ac:dyDescent="0.2"/>
    <row r="110" spans="1:57" outlineLevel="1" x14ac:dyDescent="0.2">
      <c r="E110" s="316" t="str">
        <f xml:space="preserve"> InpC!E$128</f>
        <v>US PPI inflation rate</v>
      </c>
      <c r="F110" s="316">
        <f xml:space="preserve"> InpC!F$128</f>
        <v>0.02</v>
      </c>
      <c r="G110" s="316" t="str">
        <f xml:space="preserve"> InpC!G$128</f>
        <v>% p.a.</v>
      </c>
      <c r="H110" s="38"/>
    </row>
    <row r="111" spans="1:57" outlineLevel="1" x14ac:dyDescent="0.2">
      <c r="E111" s="316" t="str">
        <f xml:space="preserve"> Sensitivity!E$18</f>
        <v>Inflation - sensitivity</v>
      </c>
      <c r="F111" s="316">
        <f xml:space="preserve"> Sensitivity!F$18</f>
        <v>0</v>
      </c>
      <c r="G111" s="316" t="str">
        <f xml:space="preserve"> Sensitivity!G$18</f>
        <v>%</v>
      </c>
      <c r="H111" s="115"/>
      <c r="I111" s="112"/>
      <c r="J111" s="282"/>
      <c r="K111" s="282"/>
      <c r="L111" s="282"/>
      <c r="M111" s="282"/>
      <c r="N111" s="282"/>
    </row>
    <row r="112" spans="1:57" outlineLevel="1" x14ac:dyDescent="0.2">
      <c r="E112" s="82" t="str">
        <f t="shared" ref="E112:AJ112" si="122" xml:space="preserve"> E$108</f>
        <v>Years elapsed since O&amp;M cost escalation base date</v>
      </c>
      <c r="F112" s="82">
        <f t="shared" si="122"/>
        <v>0</v>
      </c>
      <c r="G112" s="82" t="str">
        <f t="shared" si="122"/>
        <v>years</v>
      </c>
      <c r="H112" s="82">
        <f t="shared" si="122"/>
        <v>0</v>
      </c>
      <c r="I112" s="82">
        <f t="shared" si="122"/>
        <v>0</v>
      </c>
      <c r="J112" s="82">
        <f t="shared" si="122"/>
        <v>2</v>
      </c>
      <c r="K112" s="82">
        <f t="shared" si="122"/>
        <v>2.0833333333333335</v>
      </c>
      <c r="L112" s="82">
        <f t="shared" si="122"/>
        <v>2.1666666666666665</v>
      </c>
      <c r="M112" s="82">
        <f t="shared" si="122"/>
        <v>2.25</v>
      </c>
      <c r="N112" s="82">
        <f t="shared" si="122"/>
        <v>2.3333333333333335</v>
      </c>
      <c r="O112" s="82">
        <f t="shared" si="122"/>
        <v>2.4166666666666665</v>
      </c>
      <c r="P112" s="82">
        <f t="shared" si="122"/>
        <v>2.5</v>
      </c>
      <c r="Q112" s="82">
        <f t="shared" si="122"/>
        <v>2.5833333333333335</v>
      </c>
      <c r="R112" s="82">
        <f t="shared" si="122"/>
        <v>2.6666666666666665</v>
      </c>
      <c r="S112" s="82">
        <f t="shared" si="122"/>
        <v>2.75</v>
      </c>
      <c r="T112" s="82">
        <f t="shared" si="122"/>
        <v>2.8333333333333335</v>
      </c>
      <c r="U112" s="82">
        <f t="shared" si="122"/>
        <v>2.9166666666666665</v>
      </c>
      <c r="V112" s="82">
        <f t="shared" si="122"/>
        <v>3</v>
      </c>
      <c r="W112" s="82">
        <f t="shared" si="122"/>
        <v>3.0833333333333335</v>
      </c>
      <c r="X112" s="82">
        <f t="shared" si="122"/>
        <v>3.1666666666666665</v>
      </c>
      <c r="Y112" s="82">
        <f t="shared" si="122"/>
        <v>3.25</v>
      </c>
      <c r="Z112" s="82">
        <f t="shared" si="122"/>
        <v>3.3333333333333335</v>
      </c>
      <c r="AA112" s="82">
        <f t="shared" si="122"/>
        <v>3.4166666666666665</v>
      </c>
      <c r="AB112" s="82">
        <f t="shared" si="122"/>
        <v>3.5</v>
      </c>
      <c r="AC112" s="82">
        <f t="shared" si="122"/>
        <v>3.5833333333333335</v>
      </c>
      <c r="AD112" s="82">
        <f t="shared" si="122"/>
        <v>3.6666666666666665</v>
      </c>
      <c r="AE112" s="82">
        <f t="shared" si="122"/>
        <v>3.75</v>
      </c>
      <c r="AF112" s="82">
        <f t="shared" si="122"/>
        <v>3.8333333333333335</v>
      </c>
      <c r="AG112" s="82">
        <f t="shared" si="122"/>
        <v>3.9166666666666665</v>
      </c>
      <c r="AH112" s="82">
        <f t="shared" si="122"/>
        <v>4</v>
      </c>
      <c r="AI112" s="82">
        <f t="shared" si="122"/>
        <v>4.083333333333333</v>
      </c>
      <c r="AJ112" s="82">
        <f t="shared" si="122"/>
        <v>4.166666666666667</v>
      </c>
      <c r="AK112" s="82">
        <f t="shared" ref="AK112:BE112" si="123" xml:space="preserve"> AK$108</f>
        <v>4.25</v>
      </c>
      <c r="AL112" s="82">
        <f t="shared" si="123"/>
        <v>4.333333333333333</v>
      </c>
      <c r="AM112" s="82">
        <f t="shared" si="123"/>
        <v>4.416666666666667</v>
      </c>
      <c r="AN112" s="82">
        <f t="shared" si="123"/>
        <v>4.5</v>
      </c>
      <c r="AO112" s="82">
        <f t="shared" si="123"/>
        <v>4.583333333333333</v>
      </c>
      <c r="AP112" s="82">
        <f t="shared" si="123"/>
        <v>4.666666666666667</v>
      </c>
      <c r="AQ112" s="82">
        <f t="shared" si="123"/>
        <v>4.75</v>
      </c>
      <c r="AR112" s="82">
        <f t="shared" si="123"/>
        <v>4.833333333333333</v>
      </c>
      <c r="AS112" s="82">
        <f t="shared" si="123"/>
        <v>4.916666666666667</v>
      </c>
      <c r="AT112" s="82">
        <f t="shared" si="123"/>
        <v>5</v>
      </c>
      <c r="AU112" s="82">
        <f t="shared" si="123"/>
        <v>5.083333333333333</v>
      </c>
      <c r="AV112" s="82">
        <f t="shared" si="123"/>
        <v>5.166666666666667</v>
      </c>
      <c r="AW112" s="82">
        <f t="shared" si="123"/>
        <v>5.25</v>
      </c>
      <c r="AX112" s="82">
        <f t="shared" si="123"/>
        <v>5.333333333333333</v>
      </c>
      <c r="AY112" s="82">
        <f t="shared" si="123"/>
        <v>5.416666666666667</v>
      </c>
      <c r="AZ112" s="82">
        <f t="shared" si="123"/>
        <v>5.5</v>
      </c>
      <c r="BA112" s="82">
        <f t="shared" si="123"/>
        <v>5.583333333333333</v>
      </c>
      <c r="BB112" s="82">
        <f t="shared" si="123"/>
        <v>5.666666666666667</v>
      </c>
      <c r="BC112" s="82">
        <f t="shared" si="123"/>
        <v>5.75</v>
      </c>
      <c r="BD112" s="82">
        <f t="shared" si="123"/>
        <v>5.833333333333333</v>
      </c>
      <c r="BE112" s="82">
        <f t="shared" si="123"/>
        <v>5.916666666666667</v>
      </c>
    </row>
    <row r="113" spans="1:57" outlineLevel="1" x14ac:dyDescent="0.2">
      <c r="E113" s="198" t="str">
        <f t="shared" ref="E113:AJ113" si="124" xml:space="preserve"> E$104</f>
        <v>Escalation uplift flag</v>
      </c>
      <c r="F113" s="198">
        <f t="shared" si="124"/>
        <v>0</v>
      </c>
      <c r="G113" s="198" t="str">
        <f t="shared" si="124"/>
        <v>flag</v>
      </c>
      <c r="H113" s="198">
        <f t="shared" si="124"/>
        <v>4</v>
      </c>
      <c r="I113" s="198">
        <f t="shared" si="124"/>
        <v>0</v>
      </c>
      <c r="J113" s="198">
        <f t="shared" si="124"/>
        <v>1</v>
      </c>
      <c r="K113" s="198">
        <f t="shared" si="124"/>
        <v>0</v>
      </c>
      <c r="L113" s="198">
        <f t="shared" si="124"/>
        <v>0</v>
      </c>
      <c r="M113" s="198">
        <f t="shared" si="124"/>
        <v>0</v>
      </c>
      <c r="N113" s="198">
        <f t="shared" si="124"/>
        <v>0</v>
      </c>
      <c r="O113" s="198">
        <f t="shared" si="124"/>
        <v>0</v>
      </c>
      <c r="P113" s="198">
        <f t="shared" si="124"/>
        <v>0</v>
      </c>
      <c r="Q113" s="198">
        <f t="shared" si="124"/>
        <v>0</v>
      </c>
      <c r="R113" s="198">
        <f t="shared" si="124"/>
        <v>0</v>
      </c>
      <c r="S113" s="198">
        <f t="shared" si="124"/>
        <v>0</v>
      </c>
      <c r="T113" s="198">
        <f t="shared" si="124"/>
        <v>0</v>
      </c>
      <c r="U113" s="198">
        <f t="shared" si="124"/>
        <v>0</v>
      </c>
      <c r="V113" s="198">
        <f t="shared" si="124"/>
        <v>1</v>
      </c>
      <c r="W113" s="198">
        <f t="shared" si="124"/>
        <v>0</v>
      </c>
      <c r="X113" s="198">
        <f t="shared" si="124"/>
        <v>0</v>
      </c>
      <c r="Y113" s="198">
        <f t="shared" si="124"/>
        <v>0</v>
      </c>
      <c r="Z113" s="198">
        <f t="shared" si="124"/>
        <v>0</v>
      </c>
      <c r="AA113" s="198">
        <f t="shared" si="124"/>
        <v>0</v>
      </c>
      <c r="AB113" s="198">
        <f t="shared" si="124"/>
        <v>0</v>
      </c>
      <c r="AC113" s="198">
        <f t="shared" si="124"/>
        <v>0</v>
      </c>
      <c r="AD113" s="198">
        <f t="shared" si="124"/>
        <v>0</v>
      </c>
      <c r="AE113" s="198">
        <f t="shared" si="124"/>
        <v>0</v>
      </c>
      <c r="AF113" s="198">
        <f t="shared" si="124"/>
        <v>0</v>
      </c>
      <c r="AG113" s="198">
        <f t="shared" si="124"/>
        <v>0</v>
      </c>
      <c r="AH113" s="198">
        <f t="shared" si="124"/>
        <v>1</v>
      </c>
      <c r="AI113" s="198">
        <f t="shared" si="124"/>
        <v>0</v>
      </c>
      <c r="AJ113" s="198">
        <f t="shared" si="124"/>
        <v>0</v>
      </c>
      <c r="AK113" s="198">
        <f t="shared" ref="AK113:BE113" si="125" xml:space="preserve"> AK$104</f>
        <v>0</v>
      </c>
      <c r="AL113" s="198">
        <f t="shared" si="125"/>
        <v>0</v>
      </c>
      <c r="AM113" s="198">
        <f t="shared" si="125"/>
        <v>0</v>
      </c>
      <c r="AN113" s="198">
        <f t="shared" si="125"/>
        <v>0</v>
      </c>
      <c r="AO113" s="198">
        <f t="shared" si="125"/>
        <v>0</v>
      </c>
      <c r="AP113" s="198">
        <f t="shared" si="125"/>
        <v>0</v>
      </c>
      <c r="AQ113" s="198">
        <f t="shared" si="125"/>
        <v>0</v>
      </c>
      <c r="AR113" s="198">
        <f t="shared" si="125"/>
        <v>0</v>
      </c>
      <c r="AS113" s="198">
        <f t="shared" si="125"/>
        <v>0</v>
      </c>
      <c r="AT113" s="198">
        <f t="shared" si="125"/>
        <v>1</v>
      </c>
      <c r="AU113" s="198">
        <f t="shared" si="125"/>
        <v>0</v>
      </c>
      <c r="AV113" s="198">
        <f t="shared" si="125"/>
        <v>0</v>
      </c>
      <c r="AW113" s="198">
        <f t="shared" si="125"/>
        <v>0</v>
      </c>
      <c r="AX113" s="198">
        <f t="shared" si="125"/>
        <v>0</v>
      </c>
      <c r="AY113" s="198">
        <f t="shared" si="125"/>
        <v>0</v>
      </c>
      <c r="AZ113" s="198">
        <f t="shared" si="125"/>
        <v>0</v>
      </c>
      <c r="BA113" s="198">
        <f t="shared" si="125"/>
        <v>0</v>
      </c>
      <c r="BB113" s="198">
        <f t="shared" si="125"/>
        <v>0</v>
      </c>
      <c r="BC113" s="198">
        <f t="shared" si="125"/>
        <v>0</v>
      </c>
      <c r="BD113" s="198">
        <f t="shared" si="125"/>
        <v>0</v>
      </c>
      <c r="BE113" s="198">
        <f t="shared" si="125"/>
        <v>0</v>
      </c>
    </row>
    <row r="114" spans="1:57" outlineLevel="1" x14ac:dyDescent="0.2">
      <c r="E114" s="32" t="str">
        <f t="shared" ref="E114:AJ114" si="126" xml:space="preserve"> E$14</f>
        <v>First model column flag - m</v>
      </c>
      <c r="F114" s="32">
        <f t="shared" si="126"/>
        <v>0</v>
      </c>
      <c r="G114" s="32" t="str">
        <f t="shared" si="126"/>
        <v>flag</v>
      </c>
      <c r="H114" s="32">
        <f t="shared" si="126"/>
        <v>1</v>
      </c>
      <c r="I114" s="32">
        <f t="shared" si="126"/>
        <v>0</v>
      </c>
      <c r="J114" s="32">
        <f t="shared" si="126"/>
        <v>1</v>
      </c>
      <c r="K114" s="32">
        <f t="shared" si="126"/>
        <v>0</v>
      </c>
      <c r="L114" s="32">
        <f t="shared" si="126"/>
        <v>0</v>
      </c>
      <c r="M114" s="32">
        <f t="shared" si="126"/>
        <v>0</v>
      </c>
      <c r="N114" s="32">
        <f t="shared" si="126"/>
        <v>0</v>
      </c>
      <c r="O114" s="32">
        <f t="shared" si="126"/>
        <v>0</v>
      </c>
      <c r="P114" s="32">
        <f t="shared" si="126"/>
        <v>0</v>
      </c>
      <c r="Q114" s="32">
        <f t="shared" si="126"/>
        <v>0</v>
      </c>
      <c r="R114" s="32">
        <f t="shared" si="126"/>
        <v>0</v>
      </c>
      <c r="S114" s="32">
        <f t="shared" si="126"/>
        <v>0</v>
      </c>
      <c r="T114" s="32">
        <f t="shared" si="126"/>
        <v>0</v>
      </c>
      <c r="U114" s="32">
        <f t="shared" si="126"/>
        <v>0</v>
      </c>
      <c r="V114" s="32">
        <f t="shared" si="126"/>
        <v>0</v>
      </c>
      <c r="W114" s="32">
        <f t="shared" si="126"/>
        <v>0</v>
      </c>
      <c r="X114" s="32">
        <f t="shared" si="126"/>
        <v>0</v>
      </c>
      <c r="Y114" s="32">
        <f t="shared" si="126"/>
        <v>0</v>
      </c>
      <c r="Z114" s="32">
        <f t="shared" si="126"/>
        <v>0</v>
      </c>
      <c r="AA114" s="32">
        <f t="shared" si="126"/>
        <v>0</v>
      </c>
      <c r="AB114" s="32">
        <f t="shared" si="126"/>
        <v>0</v>
      </c>
      <c r="AC114" s="32">
        <f t="shared" si="126"/>
        <v>0</v>
      </c>
      <c r="AD114" s="32">
        <f t="shared" si="126"/>
        <v>0</v>
      </c>
      <c r="AE114" s="32">
        <f t="shared" si="126"/>
        <v>0</v>
      </c>
      <c r="AF114" s="32">
        <f t="shared" si="126"/>
        <v>0</v>
      </c>
      <c r="AG114" s="32">
        <f t="shared" si="126"/>
        <v>0</v>
      </c>
      <c r="AH114" s="32">
        <f t="shared" si="126"/>
        <v>0</v>
      </c>
      <c r="AI114" s="32">
        <f t="shared" si="126"/>
        <v>0</v>
      </c>
      <c r="AJ114" s="32">
        <f t="shared" si="126"/>
        <v>0</v>
      </c>
      <c r="AK114" s="32">
        <f t="shared" ref="AK114:BE114" si="127" xml:space="preserve"> AK$14</f>
        <v>0</v>
      </c>
      <c r="AL114" s="32">
        <f t="shared" si="127"/>
        <v>0</v>
      </c>
      <c r="AM114" s="32">
        <f t="shared" si="127"/>
        <v>0</v>
      </c>
      <c r="AN114" s="32">
        <f t="shared" si="127"/>
        <v>0</v>
      </c>
      <c r="AO114" s="32">
        <f t="shared" si="127"/>
        <v>0</v>
      </c>
      <c r="AP114" s="32">
        <f t="shared" si="127"/>
        <v>0</v>
      </c>
      <c r="AQ114" s="32">
        <f t="shared" si="127"/>
        <v>0</v>
      </c>
      <c r="AR114" s="32">
        <f t="shared" si="127"/>
        <v>0</v>
      </c>
      <c r="AS114" s="32">
        <f t="shared" si="127"/>
        <v>0</v>
      </c>
      <c r="AT114" s="32">
        <f t="shared" si="127"/>
        <v>0</v>
      </c>
      <c r="AU114" s="32">
        <f t="shared" si="127"/>
        <v>0</v>
      </c>
      <c r="AV114" s="32">
        <f t="shared" si="127"/>
        <v>0</v>
      </c>
      <c r="AW114" s="32">
        <f t="shared" si="127"/>
        <v>0</v>
      </c>
      <c r="AX114" s="32">
        <f t="shared" si="127"/>
        <v>0</v>
      </c>
      <c r="AY114" s="32">
        <f t="shared" si="127"/>
        <v>0</v>
      </c>
      <c r="AZ114" s="32">
        <f t="shared" si="127"/>
        <v>0</v>
      </c>
      <c r="BA114" s="32">
        <f t="shared" si="127"/>
        <v>0</v>
      </c>
      <c r="BB114" s="32">
        <f t="shared" si="127"/>
        <v>0</v>
      </c>
      <c r="BC114" s="32">
        <f t="shared" si="127"/>
        <v>0</v>
      </c>
      <c r="BD114" s="32">
        <f t="shared" si="127"/>
        <v>0</v>
      </c>
      <c r="BE114" s="32">
        <f t="shared" si="127"/>
        <v>0</v>
      </c>
    </row>
    <row r="115" spans="1:57" s="188" customFormat="1" outlineLevel="1" x14ac:dyDescent="0.2">
      <c r="A115" s="141"/>
      <c r="B115" s="141"/>
      <c r="C115" s="142"/>
      <c r="D115" s="143"/>
      <c r="E115" s="187" t="s">
        <v>730</v>
      </c>
      <c r="F115" s="187"/>
      <c r="G115" s="187" t="s">
        <v>187</v>
      </c>
      <c r="H115" s="187"/>
      <c r="I115" s="144"/>
      <c r="J115" s="411">
        <f t="shared" ref="J115:BE115" si="128" xml:space="preserve"> IF(J113 = 1, (1 + $F110 + $F111) ^ J112, I115) + IF(AND(J114 = 1, J113 = 1), 0, IF(J114 = 1, 1, 0))</f>
        <v>1.0404</v>
      </c>
      <c r="K115" s="411">
        <f t="shared" si="128"/>
        <v>1.0404</v>
      </c>
      <c r="L115" s="411">
        <f t="shared" si="128"/>
        <v>1.0404</v>
      </c>
      <c r="M115" s="411">
        <f t="shared" si="128"/>
        <v>1.0404</v>
      </c>
      <c r="N115" s="411">
        <f t="shared" si="128"/>
        <v>1.0404</v>
      </c>
      <c r="O115" s="411">
        <f t="shared" si="128"/>
        <v>1.0404</v>
      </c>
      <c r="P115" s="411">
        <f t="shared" si="128"/>
        <v>1.0404</v>
      </c>
      <c r="Q115" s="411">
        <f t="shared" si="128"/>
        <v>1.0404</v>
      </c>
      <c r="R115" s="411">
        <f t="shared" si="128"/>
        <v>1.0404</v>
      </c>
      <c r="S115" s="411">
        <f t="shared" si="128"/>
        <v>1.0404</v>
      </c>
      <c r="T115" s="411">
        <f t="shared" si="128"/>
        <v>1.0404</v>
      </c>
      <c r="U115" s="411">
        <f t="shared" si="128"/>
        <v>1.0404</v>
      </c>
      <c r="V115" s="411">
        <f t="shared" si="128"/>
        <v>1.0612079999999999</v>
      </c>
      <c r="W115" s="411">
        <f t="shared" si="128"/>
        <v>1.0612079999999999</v>
      </c>
      <c r="X115" s="411">
        <f t="shared" si="128"/>
        <v>1.0612079999999999</v>
      </c>
      <c r="Y115" s="411">
        <f t="shared" si="128"/>
        <v>1.0612079999999999</v>
      </c>
      <c r="Z115" s="411">
        <f t="shared" si="128"/>
        <v>1.0612079999999999</v>
      </c>
      <c r="AA115" s="411">
        <f t="shared" si="128"/>
        <v>1.0612079999999999</v>
      </c>
      <c r="AB115" s="411">
        <f t="shared" si="128"/>
        <v>1.0612079999999999</v>
      </c>
      <c r="AC115" s="411">
        <f t="shared" si="128"/>
        <v>1.0612079999999999</v>
      </c>
      <c r="AD115" s="411">
        <f t="shared" si="128"/>
        <v>1.0612079999999999</v>
      </c>
      <c r="AE115" s="411">
        <f t="shared" si="128"/>
        <v>1.0612079999999999</v>
      </c>
      <c r="AF115" s="411">
        <f t="shared" si="128"/>
        <v>1.0612079999999999</v>
      </c>
      <c r="AG115" s="411">
        <f t="shared" si="128"/>
        <v>1.0612079999999999</v>
      </c>
      <c r="AH115" s="411">
        <f t="shared" si="128"/>
        <v>1.08243216</v>
      </c>
      <c r="AI115" s="411">
        <f t="shared" si="128"/>
        <v>1.08243216</v>
      </c>
      <c r="AJ115" s="411">
        <f t="shared" si="128"/>
        <v>1.08243216</v>
      </c>
      <c r="AK115" s="411">
        <f t="shared" si="128"/>
        <v>1.08243216</v>
      </c>
      <c r="AL115" s="411">
        <f t="shared" si="128"/>
        <v>1.08243216</v>
      </c>
      <c r="AM115" s="411">
        <f t="shared" si="128"/>
        <v>1.08243216</v>
      </c>
      <c r="AN115" s="411">
        <f t="shared" si="128"/>
        <v>1.08243216</v>
      </c>
      <c r="AO115" s="411">
        <f t="shared" si="128"/>
        <v>1.08243216</v>
      </c>
      <c r="AP115" s="411">
        <f t="shared" si="128"/>
        <v>1.08243216</v>
      </c>
      <c r="AQ115" s="411">
        <f t="shared" si="128"/>
        <v>1.08243216</v>
      </c>
      <c r="AR115" s="411">
        <f t="shared" si="128"/>
        <v>1.08243216</v>
      </c>
      <c r="AS115" s="411">
        <f t="shared" si="128"/>
        <v>1.08243216</v>
      </c>
      <c r="AT115" s="411">
        <f t="shared" si="128"/>
        <v>1.1040808032</v>
      </c>
      <c r="AU115" s="411">
        <f t="shared" si="128"/>
        <v>1.1040808032</v>
      </c>
      <c r="AV115" s="411">
        <f t="shared" si="128"/>
        <v>1.1040808032</v>
      </c>
      <c r="AW115" s="411">
        <f t="shared" si="128"/>
        <v>1.1040808032</v>
      </c>
      <c r="AX115" s="411">
        <f t="shared" si="128"/>
        <v>1.1040808032</v>
      </c>
      <c r="AY115" s="411">
        <f t="shared" si="128"/>
        <v>1.1040808032</v>
      </c>
      <c r="AZ115" s="411">
        <f t="shared" si="128"/>
        <v>1.1040808032</v>
      </c>
      <c r="BA115" s="411">
        <f t="shared" si="128"/>
        <v>1.1040808032</v>
      </c>
      <c r="BB115" s="411">
        <f t="shared" si="128"/>
        <v>1.1040808032</v>
      </c>
      <c r="BC115" s="411">
        <f t="shared" si="128"/>
        <v>1.1040808032</v>
      </c>
      <c r="BD115" s="411">
        <f t="shared" si="128"/>
        <v>1.1040808032</v>
      </c>
      <c r="BE115" s="411">
        <f t="shared" si="128"/>
        <v>1.1040808032</v>
      </c>
    </row>
    <row r="116" spans="1:57" outlineLevel="1" x14ac:dyDescent="0.2">
      <c r="E116" s="187"/>
      <c r="F116" s="187"/>
      <c r="G116" s="187"/>
      <c r="H116" s="187"/>
      <c r="I116" s="144"/>
      <c r="J116" s="411"/>
      <c r="K116" s="411"/>
      <c r="L116" s="411"/>
      <c r="M116" s="411"/>
      <c r="N116" s="411"/>
      <c r="O116" s="411"/>
      <c r="P116" s="411"/>
      <c r="Q116" s="411"/>
      <c r="R116" s="411"/>
      <c r="S116" s="411"/>
      <c r="T116" s="411"/>
      <c r="U116" s="411"/>
      <c r="V116" s="411"/>
      <c r="W116" s="411"/>
      <c r="X116" s="411"/>
      <c r="Y116" s="411"/>
      <c r="Z116" s="411"/>
      <c r="AA116" s="411"/>
      <c r="AB116" s="411"/>
      <c r="AC116" s="411"/>
      <c r="AD116" s="411"/>
      <c r="AE116" s="411"/>
      <c r="AF116" s="411"/>
      <c r="AG116" s="411"/>
      <c r="AH116" s="411"/>
      <c r="AI116" s="411"/>
      <c r="AJ116" s="411"/>
      <c r="AK116" s="411"/>
      <c r="AL116" s="411"/>
      <c r="AM116" s="411"/>
      <c r="AN116" s="411"/>
      <c r="AO116" s="411"/>
      <c r="AP116" s="411"/>
      <c r="AQ116" s="411"/>
      <c r="AR116" s="411"/>
      <c r="AS116" s="411"/>
      <c r="AT116" s="411"/>
      <c r="AU116" s="411"/>
      <c r="AV116" s="411"/>
      <c r="AW116" s="411"/>
      <c r="AX116" s="411"/>
      <c r="AY116" s="411"/>
      <c r="AZ116" s="411"/>
      <c r="BA116" s="411"/>
      <c r="BB116" s="411"/>
      <c r="BC116" s="411"/>
      <c r="BD116" s="411"/>
      <c r="BE116" s="411"/>
    </row>
    <row r="117" spans="1:57" x14ac:dyDescent="0.2">
      <c r="E117" s="187"/>
      <c r="F117" s="187"/>
      <c r="G117" s="187"/>
      <c r="H117" s="187"/>
      <c r="I117" s="144"/>
      <c r="J117" s="411"/>
      <c r="K117" s="411"/>
      <c r="L117" s="411"/>
      <c r="M117" s="411"/>
      <c r="N117" s="411"/>
      <c r="O117" s="411"/>
      <c r="P117" s="411"/>
      <c r="Q117" s="411"/>
      <c r="R117" s="411"/>
      <c r="S117" s="411"/>
      <c r="T117" s="411"/>
      <c r="U117" s="411"/>
      <c r="V117" s="411"/>
      <c r="W117" s="411"/>
      <c r="X117" s="411"/>
      <c r="Y117" s="411"/>
      <c r="Z117" s="411"/>
      <c r="AA117" s="411"/>
      <c r="AB117" s="411"/>
      <c r="AC117" s="411"/>
      <c r="AD117" s="411"/>
      <c r="AE117" s="411"/>
      <c r="AF117" s="411"/>
      <c r="AG117" s="411"/>
      <c r="AH117" s="411"/>
      <c r="AI117" s="411"/>
      <c r="AJ117" s="411"/>
      <c r="AK117" s="411"/>
      <c r="AL117" s="411"/>
      <c r="AM117" s="411"/>
      <c r="AN117" s="411"/>
      <c r="AO117" s="411"/>
      <c r="AP117" s="411"/>
      <c r="AQ117" s="411"/>
      <c r="AR117" s="411"/>
      <c r="AS117" s="411"/>
      <c r="AT117" s="411"/>
      <c r="AU117" s="411"/>
      <c r="AV117" s="411"/>
      <c r="AW117" s="411"/>
      <c r="AX117" s="411"/>
      <c r="AY117" s="411"/>
      <c r="AZ117" s="411"/>
      <c r="BA117" s="411"/>
      <c r="BB117" s="411"/>
      <c r="BC117" s="411"/>
      <c r="BD117" s="411"/>
      <c r="BE117" s="411"/>
    </row>
    <row r="118" spans="1:57" x14ac:dyDescent="0.2">
      <c r="A118" s="15" t="s">
        <v>62</v>
      </c>
    </row>
    <row r="129" x14ac:dyDescent="0.2"/>
    <row r="130" x14ac:dyDescent="0.2"/>
  </sheetData>
  <conditionalFormatting sqref="J3:BE3">
    <cfRule type="cellIs" dxfId="225" priority="8" stopIfTrue="1" operator="equal">
      <formula>"Construction"</formula>
    </cfRule>
    <cfRule type="cellIs" dxfId="224" priority="9" stopIfTrue="1" operator="equal">
      <formula>"Operations"</formula>
    </cfRule>
  </conditionalFormatting>
  <conditionalFormatting sqref="J3:BE3">
    <cfRule type="cellIs" dxfId="223" priority="7" operator="equal">
      <formula>"Fin Close"</formula>
    </cfRule>
  </conditionalFormatting>
  <conditionalFormatting sqref="J3:BE3">
    <cfRule type="cellIs" dxfId="222" priority="5" operator="equal">
      <formula>"PPA ext."</formula>
    </cfRule>
    <cfRule type="cellIs" dxfId="221" priority="6" operator="equal">
      <formula>"Delay"</formula>
    </cfRule>
  </conditionalFormatting>
  <conditionalFormatting sqref="F2:F4">
    <cfRule type="cellIs" dxfId="220" priority="1" stopIfTrue="1" operator="notEqual">
      <formula>0</formula>
    </cfRule>
    <cfRule type="cellIs" dxfId="219" priority="2" stopIfTrue="1" operator="equal">
      <formula>""</formula>
    </cfRule>
  </conditionalFormatting>
  <conditionalFormatting sqref="F2:F4">
    <cfRule type="cellIs" dxfId="218" priority="3" stopIfTrue="1" operator="notEqual">
      <formula>0</formula>
    </cfRule>
    <cfRule type="cellIs" dxfId="217" priority="4" stopIfTrue="1" operator="equal">
      <formula>""</formula>
    </cfRule>
  </conditionalFormatting>
  <dataValidations disablePrompts="1" count="1">
    <dataValidation allowBlank="1" showInputMessage="1" showErrorMessage="1" sqref="E29:H29 E106 E113:H113 E110:H111" xr:uid="{B0054384-46BB-4CE2-89B1-707362A5665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763BC-D684-43BE-B2D4-745FCE112896}">
  <sheetPr codeName="Sheet21">
    <tabColor theme="1" tint="0.499984740745262"/>
    <outlinePr summaryBelow="0" summaryRight="0"/>
  </sheetPr>
  <dimension ref="A1:KT343"/>
  <sheetViews>
    <sheetView showFormulas="1" defaultGridColor="0" colorId="8" zoomScale="75" zoomScaleNormal="75" workbookViewId="0">
      <pane xSplit="9" ySplit="5" topLeftCell="J343" activePane="bottomRight" state="frozen"/>
      <selection activeCell="F117" sqref="F117"/>
      <selection pane="topRight" activeCell="F117" sqref="F117"/>
      <selection pane="bottomLeft" activeCell="F117" sqref="F117"/>
      <selection pane="bottomRight" activeCell="M79" sqref="M79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57" width="11.5703125" style="12" customWidth="1"/>
    <col min="58" max="306" width="11.5703125" hidden="1" customWidth="1"/>
    <col min="307" max="16384" width="8.85546875" hidden="1"/>
  </cols>
  <sheetData>
    <row r="1" spans="1:306" s="38" customFormat="1" ht="26.25" x14ac:dyDescent="0.2">
      <c r="A1" s="24" t="str">
        <f ca="1" xml:space="preserve"> RIGHT(CELL("filename", A1), LEN(CELL("filename", A1)) - SEARCH("]", CELL("filename", A1))) &amp; " - " &amp; InpC!F3</f>
        <v>ConCost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7" customFormat="1" x14ac:dyDescent="0.2">
      <c r="C2" s="292"/>
      <c r="D2" s="293"/>
      <c r="E2" s="194" t="str">
        <f xml:space="preserve"> ConTime!E$23</f>
        <v>Model period ending - m</v>
      </c>
      <c r="F2" s="478">
        <f ca="1" xml:space="preserve"> Check!$F$9</f>
        <v>1</v>
      </c>
      <c r="G2" s="479" t="s">
        <v>23</v>
      </c>
      <c r="H2" s="194"/>
      <c r="I2" s="442"/>
      <c r="J2" s="195">
        <f xml:space="preserve"> ConTime!J$23</f>
        <v>44592</v>
      </c>
      <c r="K2" s="195">
        <f xml:space="preserve"> ConTime!K$23</f>
        <v>44620</v>
      </c>
      <c r="L2" s="195">
        <f xml:space="preserve"> ConTime!L$23</f>
        <v>44651</v>
      </c>
      <c r="M2" s="195">
        <f xml:space="preserve"> ConTime!M$23</f>
        <v>44681</v>
      </c>
      <c r="N2" s="195">
        <f xml:space="preserve"> ConTime!N$23</f>
        <v>44712</v>
      </c>
      <c r="O2" s="195">
        <f xml:space="preserve"> ConTime!O$23</f>
        <v>44742</v>
      </c>
      <c r="P2" s="195">
        <f xml:space="preserve"> ConTime!P$23</f>
        <v>44773</v>
      </c>
      <c r="Q2" s="195">
        <f xml:space="preserve"> ConTime!Q$23</f>
        <v>44804</v>
      </c>
      <c r="R2" s="195">
        <f xml:space="preserve"> ConTime!R$23</f>
        <v>44834</v>
      </c>
      <c r="S2" s="195">
        <f xml:space="preserve"> ConTime!S$23</f>
        <v>44865</v>
      </c>
      <c r="T2" s="195">
        <f xml:space="preserve"> ConTime!T$23</f>
        <v>44895</v>
      </c>
      <c r="U2" s="195">
        <f xml:space="preserve"> ConTime!U$23</f>
        <v>44926</v>
      </c>
      <c r="V2" s="195">
        <f xml:space="preserve"> ConTime!V$23</f>
        <v>44957</v>
      </c>
      <c r="W2" s="195">
        <f xml:space="preserve"> ConTime!W$23</f>
        <v>44985</v>
      </c>
      <c r="X2" s="195">
        <f xml:space="preserve"> ConTime!X$23</f>
        <v>45016</v>
      </c>
      <c r="Y2" s="195">
        <f xml:space="preserve"> ConTime!Y$23</f>
        <v>45046</v>
      </c>
      <c r="Z2" s="195">
        <f xml:space="preserve"> ConTime!Z$23</f>
        <v>45077</v>
      </c>
      <c r="AA2" s="195">
        <f xml:space="preserve"> ConTime!AA$23</f>
        <v>45107</v>
      </c>
      <c r="AB2" s="195">
        <f xml:space="preserve"> ConTime!AB$23</f>
        <v>45138</v>
      </c>
      <c r="AC2" s="195">
        <f xml:space="preserve"> ConTime!AC$23</f>
        <v>45169</v>
      </c>
      <c r="AD2" s="195">
        <f xml:space="preserve"> ConTime!AD$23</f>
        <v>45199</v>
      </c>
      <c r="AE2" s="195">
        <f xml:space="preserve"> ConTime!AE$23</f>
        <v>45230</v>
      </c>
      <c r="AF2" s="195">
        <f xml:space="preserve"> ConTime!AF$23</f>
        <v>45260</v>
      </c>
      <c r="AG2" s="195">
        <f xml:space="preserve"> ConTime!AG$23</f>
        <v>45291</v>
      </c>
      <c r="AH2" s="195">
        <f xml:space="preserve"> ConTime!AH$23</f>
        <v>45322</v>
      </c>
      <c r="AI2" s="195">
        <f xml:space="preserve"> ConTime!AI$23</f>
        <v>45351</v>
      </c>
      <c r="AJ2" s="195">
        <f xml:space="preserve"> ConTime!AJ$23</f>
        <v>45382</v>
      </c>
      <c r="AK2" s="195">
        <f xml:space="preserve"> ConTime!AK$23</f>
        <v>45412</v>
      </c>
      <c r="AL2" s="195">
        <f xml:space="preserve"> ConTime!AL$23</f>
        <v>45443</v>
      </c>
      <c r="AM2" s="195">
        <f xml:space="preserve"> ConTime!AM$23</f>
        <v>45473</v>
      </c>
      <c r="AN2" s="195">
        <f xml:space="preserve"> ConTime!AN$23</f>
        <v>45504</v>
      </c>
      <c r="AO2" s="195">
        <f xml:space="preserve"> ConTime!AO$23</f>
        <v>45535</v>
      </c>
      <c r="AP2" s="195">
        <f xml:space="preserve"> ConTime!AP$23</f>
        <v>45565</v>
      </c>
      <c r="AQ2" s="195">
        <f xml:space="preserve"> ConTime!AQ$23</f>
        <v>45596</v>
      </c>
      <c r="AR2" s="195">
        <f xml:space="preserve"> ConTime!AR$23</f>
        <v>45626</v>
      </c>
      <c r="AS2" s="195">
        <f xml:space="preserve"> ConTime!AS$23</f>
        <v>45657</v>
      </c>
      <c r="AT2" s="195">
        <f xml:space="preserve"> ConTime!AT$23</f>
        <v>45688</v>
      </c>
      <c r="AU2" s="195">
        <f xml:space="preserve"> ConTime!AU$23</f>
        <v>45716</v>
      </c>
      <c r="AV2" s="195">
        <f xml:space="preserve"> ConTime!AV$23</f>
        <v>45747</v>
      </c>
      <c r="AW2" s="195">
        <f xml:space="preserve"> ConTime!AW$23</f>
        <v>45777</v>
      </c>
      <c r="AX2" s="195">
        <f xml:space="preserve"> ConTime!AX$23</f>
        <v>45808</v>
      </c>
      <c r="AY2" s="195">
        <f xml:space="preserve"> ConTime!AY$23</f>
        <v>45838</v>
      </c>
      <c r="AZ2" s="195">
        <f xml:space="preserve"> ConTime!AZ$23</f>
        <v>45869</v>
      </c>
      <c r="BA2" s="195">
        <f xml:space="preserve"> ConTime!BA$23</f>
        <v>45900</v>
      </c>
      <c r="BB2" s="195">
        <f xml:space="preserve"> ConTime!BB$23</f>
        <v>45930</v>
      </c>
      <c r="BC2" s="195">
        <f xml:space="preserve"> ConTime!BC$23</f>
        <v>45961</v>
      </c>
      <c r="BD2" s="195">
        <f xml:space="preserve"> ConTime!BD$23</f>
        <v>45991</v>
      </c>
      <c r="BE2" s="195">
        <f xml:space="preserve"> ConTime!BE$23</f>
        <v>46022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  <c r="FP2" s="191"/>
      <c r="FQ2" s="191"/>
      <c r="FR2" s="191"/>
      <c r="FS2" s="191"/>
      <c r="FT2" s="191"/>
      <c r="FU2" s="191"/>
      <c r="FV2" s="191"/>
      <c r="FW2" s="191"/>
      <c r="FX2" s="191"/>
      <c r="FY2" s="191"/>
      <c r="FZ2" s="191"/>
      <c r="GA2" s="191"/>
      <c r="GB2" s="191"/>
      <c r="GC2" s="191"/>
      <c r="GD2" s="191"/>
      <c r="GE2" s="191"/>
      <c r="GF2" s="191"/>
      <c r="GG2" s="191"/>
      <c r="GH2" s="191"/>
      <c r="GI2" s="191"/>
      <c r="GJ2" s="191"/>
      <c r="GK2" s="191"/>
      <c r="GL2" s="191"/>
      <c r="GM2" s="191"/>
      <c r="GN2" s="191"/>
      <c r="GO2" s="191"/>
      <c r="GP2" s="191"/>
      <c r="GQ2" s="191"/>
      <c r="GR2" s="191"/>
      <c r="GS2" s="191"/>
      <c r="GT2" s="191"/>
      <c r="GU2" s="191"/>
      <c r="GV2" s="191"/>
      <c r="GW2" s="191"/>
      <c r="GX2" s="191"/>
      <c r="GY2" s="191"/>
      <c r="GZ2" s="191"/>
      <c r="HA2" s="191"/>
      <c r="HB2" s="191"/>
      <c r="HC2" s="191"/>
      <c r="HD2" s="191"/>
      <c r="HE2" s="191"/>
      <c r="HF2" s="191"/>
      <c r="HG2" s="191"/>
      <c r="HH2" s="191"/>
      <c r="HI2" s="191"/>
      <c r="HJ2" s="191"/>
      <c r="HK2" s="191"/>
      <c r="HL2" s="191"/>
      <c r="HM2" s="191"/>
      <c r="HN2" s="191"/>
      <c r="HO2" s="191"/>
      <c r="HP2" s="191"/>
      <c r="HQ2" s="191"/>
      <c r="HR2" s="191"/>
      <c r="HS2" s="191"/>
      <c r="HT2" s="191"/>
      <c r="HU2" s="191"/>
      <c r="HV2" s="191"/>
      <c r="HW2" s="191"/>
      <c r="HX2" s="191"/>
      <c r="HY2" s="191"/>
      <c r="HZ2" s="191"/>
      <c r="IA2" s="191"/>
      <c r="IB2" s="191"/>
      <c r="IC2" s="191"/>
      <c r="ID2" s="191"/>
      <c r="IE2" s="191"/>
      <c r="IF2" s="191"/>
      <c r="IG2" s="191"/>
      <c r="IH2" s="191"/>
      <c r="II2" s="191"/>
      <c r="IJ2" s="191"/>
      <c r="IK2" s="191"/>
      <c r="IL2" s="191"/>
      <c r="IM2" s="191"/>
      <c r="IN2" s="191"/>
      <c r="IO2" s="191"/>
      <c r="IP2" s="191"/>
      <c r="IQ2" s="191"/>
      <c r="IR2" s="191"/>
      <c r="IS2" s="191"/>
      <c r="IT2" s="191"/>
      <c r="IU2" s="191"/>
      <c r="IV2" s="191"/>
      <c r="IW2" s="191"/>
      <c r="IX2" s="191"/>
      <c r="IY2" s="191"/>
      <c r="IZ2" s="191"/>
      <c r="JA2" s="191"/>
      <c r="JB2" s="191"/>
      <c r="JC2" s="191"/>
      <c r="JD2" s="191"/>
      <c r="JE2" s="191"/>
      <c r="JF2" s="191"/>
      <c r="JG2" s="191"/>
      <c r="JH2" s="191"/>
      <c r="JI2" s="191"/>
      <c r="JJ2" s="191"/>
      <c r="JK2" s="191"/>
      <c r="JL2" s="191"/>
      <c r="JM2" s="191"/>
      <c r="JN2" s="191"/>
      <c r="JO2" s="191"/>
      <c r="JP2" s="191"/>
      <c r="JQ2" s="191"/>
      <c r="JR2" s="191"/>
      <c r="JS2" s="191"/>
      <c r="JT2" s="191"/>
      <c r="JU2" s="191"/>
      <c r="JV2" s="191"/>
      <c r="JW2" s="191"/>
      <c r="JX2" s="191"/>
      <c r="JY2" s="191"/>
      <c r="JZ2" s="191"/>
      <c r="KA2" s="191"/>
      <c r="KB2" s="191"/>
      <c r="KC2" s="191"/>
      <c r="KD2" s="191"/>
      <c r="KE2" s="191"/>
      <c r="KF2" s="191"/>
      <c r="KG2" s="191"/>
      <c r="KH2" s="191"/>
      <c r="KI2" s="191"/>
      <c r="KJ2" s="191"/>
      <c r="KK2" s="191"/>
      <c r="KL2" s="191"/>
      <c r="KM2" s="191"/>
      <c r="KN2" s="191"/>
      <c r="KO2" s="191"/>
      <c r="KP2" s="191"/>
      <c r="KQ2" s="191"/>
      <c r="KR2" s="191"/>
      <c r="KS2" s="191"/>
      <c r="KT2" s="191"/>
    </row>
    <row r="3" spans="1:306" s="281" customFormat="1" x14ac:dyDescent="0.2">
      <c r="A3" s="236"/>
      <c r="B3" s="236"/>
      <c r="C3" s="237"/>
      <c r="D3" s="238"/>
      <c r="E3" s="486" t="str">
        <f xml:space="preserve"> ConTime!E$50</f>
        <v>Timeline label - m</v>
      </c>
      <c r="F3" s="478">
        <f ca="1" xml:space="preserve"> Output!J2</f>
        <v>82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</row>
    <row r="4" spans="1:306" s="281" customFormat="1" x14ac:dyDescent="0.2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2022</v>
      </c>
      <c r="K4" s="488">
        <f xml:space="preserve"> Time!K$39</f>
        <v>2023</v>
      </c>
      <c r="L4" s="488">
        <f xml:space="preserve"> Time!L$39</f>
        <v>2023</v>
      </c>
      <c r="M4" s="488">
        <f xml:space="preserve"> Time!M$39</f>
        <v>2024</v>
      </c>
      <c r="N4" s="488">
        <f xml:space="preserve"> Time!N$39</f>
        <v>2024</v>
      </c>
      <c r="O4" s="488">
        <f xml:space="preserve"> Time!O$39</f>
        <v>2025</v>
      </c>
      <c r="P4" s="488">
        <f xml:space="preserve"> Time!P$39</f>
        <v>2025</v>
      </c>
      <c r="Q4" s="488">
        <f xml:space="preserve"> Time!Q$39</f>
        <v>2026</v>
      </c>
      <c r="R4" s="488">
        <f xml:space="preserve"> Time!R$39</f>
        <v>2026</v>
      </c>
      <c r="S4" s="488">
        <f xml:space="preserve"> Time!S$39</f>
        <v>2027</v>
      </c>
      <c r="T4" s="488">
        <f xml:space="preserve"> Time!T$39</f>
        <v>2027</v>
      </c>
      <c r="U4" s="488">
        <f xml:space="preserve"> Time!U$39</f>
        <v>2028</v>
      </c>
      <c r="V4" s="488">
        <f xml:space="preserve"> Time!V$39</f>
        <v>2028</v>
      </c>
      <c r="W4" s="488">
        <f xml:space="preserve"> Time!W$39</f>
        <v>2029</v>
      </c>
      <c r="X4" s="488">
        <f xml:space="preserve"> Time!X$39</f>
        <v>2029</v>
      </c>
      <c r="Y4" s="488">
        <f xml:space="preserve"> Time!Y$39</f>
        <v>2030</v>
      </c>
      <c r="Z4" s="488">
        <f xml:space="preserve"> Time!Z$39</f>
        <v>2030</v>
      </c>
      <c r="AA4" s="488">
        <f xml:space="preserve"> Time!AA$39</f>
        <v>2031</v>
      </c>
      <c r="AB4" s="488">
        <f xml:space="preserve"> Time!AB$39</f>
        <v>2031</v>
      </c>
      <c r="AC4" s="488">
        <f xml:space="preserve"> Time!AC$39</f>
        <v>2032</v>
      </c>
      <c r="AD4" s="488">
        <f xml:space="preserve"> Time!AD$39</f>
        <v>2032</v>
      </c>
      <c r="AE4" s="488">
        <f xml:space="preserve"> Time!AE$39</f>
        <v>2033</v>
      </c>
      <c r="AF4" s="488">
        <f xml:space="preserve"> Time!AF$39</f>
        <v>2033</v>
      </c>
      <c r="AG4" s="488">
        <f xml:space="preserve"> Time!AG$39</f>
        <v>2034</v>
      </c>
      <c r="AH4" s="488">
        <f xml:space="preserve"> Time!AH$39</f>
        <v>2034</v>
      </c>
      <c r="AI4" s="488">
        <f xml:space="preserve"> Time!AI$39</f>
        <v>2035</v>
      </c>
      <c r="AJ4" s="488">
        <f xml:space="preserve"> Time!AJ$39</f>
        <v>2035</v>
      </c>
      <c r="AK4" s="488">
        <f xml:space="preserve"> Time!AK$39</f>
        <v>2036</v>
      </c>
      <c r="AL4" s="488">
        <f xml:space="preserve"> Time!AL$39</f>
        <v>2036</v>
      </c>
      <c r="AM4" s="488">
        <f xml:space="preserve"> Time!AM$39</f>
        <v>2037</v>
      </c>
      <c r="AN4" s="488">
        <f xml:space="preserve"> Time!AN$39</f>
        <v>2037</v>
      </c>
      <c r="AO4" s="488">
        <f xml:space="preserve"> Time!AO$39</f>
        <v>2038</v>
      </c>
      <c r="AP4" s="488">
        <f xml:space="preserve"> Time!AP$39</f>
        <v>2038</v>
      </c>
      <c r="AQ4" s="488">
        <f xml:space="preserve"> Time!AQ$39</f>
        <v>2039</v>
      </c>
      <c r="AR4" s="488">
        <f xml:space="preserve"> Time!AR$39</f>
        <v>2039</v>
      </c>
      <c r="AS4" s="488">
        <f xml:space="preserve"> Time!AS$39</f>
        <v>2040</v>
      </c>
      <c r="AT4" s="488">
        <f xml:space="preserve"> Time!AT$39</f>
        <v>2040</v>
      </c>
      <c r="AU4" s="488">
        <f xml:space="preserve"> Time!AU$39</f>
        <v>2041</v>
      </c>
      <c r="AV4" s="488">
        <f xml:space="preserve"> Time!AV$39</f>
        <v>2041</v>
      </c>
      <c r="AW4" s="488">
        <f xml:space="preserve"> Time!AW$39</f>
        <v>2042</v>
      </c>
      <c r="AX4" s="488">
        <f xml:space="preserve"> Time!AX$39</f>
        <v>2042</v>
      </c>
      <c r="AY4" s="488">
        <f xml:space="preserve"> Time!AY$39</f>
        <v>2043</v>
      </c>
      <c r="AZ4" s="488">
        <f xml:space="preserve"> Time!AZ$39</f>
        <v>2043</v>
      </c>
      <c r="BA4" s="488">
        <f xml:space="preserve"> Time!BA$39</f>
        <v>2044</v>
      </c>
      <c r="BB4" s="488">
        <f xml:space="preserve"> Time!BB$39</f>
        <v>2044</v>
      </c>
      <c r="BC4" s="488">
        <f xml:space="preserve"> Time!BC$39</f>
        <v>2045</v>
      </c>
      <c r="BD4" s="488">
        <f xml:space="preserve"> Time!BD$39</f>
        <v>2045</v>
      </c>
      <c r="BE4" s="488">
        <f xml:space="preserve"> Time!BE$39</f>
        <v>2046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  <c r="FP4" s="191"/>
      <c r="FQ4" s="191"/>
      <c r="FR4" s="191"/>
      <c r="FS4" s="191"/>
      <c r="FT4" s="191"/>
      <c r="FU4" s="191"/>
      <c r="FV4" s="191"/>
      <c r="FW4" s="191"/>
      <c r="FX4" s="191"/>
      <c r="FY4" s="191"/>
      <c r="FZ4" s="191"/>
      <c r="GA4" s="191"/>
      <c r="GB4" s="191"/>
      <c r="GC4" s="191"/>
      <c r="GD4" s="191"/>
      <c r="GE4" s="191"/>
      <c r="GF4" s="191"/>
      <c r="GG4" s="191"/>
      <c r="GH4" s="191"/>
      <c r="GI4" s="191"/>
      <c r="GJ4" s="191"/>
      <c r="GK4" s="191"/>
      <c r="GL4" s="191"/>
      <c r="GM4" s="191"/>
      <c r="GN4" s="191"/>
      <c r="GO4" s="191"/>
      <c r="GP4" s="191"/>
      <c r="GQ4" s="191"/>
      <c r="GR4" s="191"/>
      <c r="GS4" s="191"/>
      <c r="GT4" s="191"/>
      <c r="GU4" s="191"/>
      <c r="GV4" s="191"/>
      <c r="GW4" s="191"/>
      <c r="GX4" s="191"/>
      <c r="GY4" s="191"/>
      <c r="GZ4" s="191"/>
      <c r="HA4" s="191"/>
      <c r="HB4" s="191"/>
      <c r="HC4" s="191"/>
      <c r="HD4" s="191"/>
      <c r="HE4" s="191"/>
      <c r="HF4" s="191"/>
      <c r="HG4" s="191"/>
      <c r="HH4" s="191"/>
      <c r="HI4" s="191"/>
      <c r="HJ4" s="191"/>
      <c r="HK4" s="191"/>
      <c r="HL4" s="191"/>
      <c r="HM4" s="191"/>
      <c r="HN4" s="191"/>
      <c r="HO4" s="191"/>
      <c r="HP4" s="191"/>
      <c r="HQ4" s="191"/>
      <c r="HR4" s="191"/>
      <c r="HS4" s="191"/>
      <c r="HT4" s="191"/>
      <c r="HU4" s="191"/>
      <c r="HV4" s="191"/>
      <c r="HW4" s="191"/>
      <c r="HX4" s="191"/>
      <c r="HY4" s="191"/>
      <c r="HZ4" s="191"/>
      <c r="IA4" s="191"/>
      <c r="IB4" s="191"/>
      <c r="IC4" s="191"/>
      <c r="ID4" s="191"/>
      <c r="IE4" s="191"/>
      <c r="IF4" s="191"/>
      <c r="IG4" s="191"/>
      <c r="IH4" s="191"/>
      <c r="II4" s="191"/>
      <c r="IJ4" s="191"/>
      <c r="IK4" s="191"/>
      <c r="IL4" s="191"/>
      <c r="IM4" s="191"/>
      <c r="IN4" s="191"/>
      <c r="IO4" s="191"/>
      <c r="IP4" s="191"/>
      <c r="IQ4" s="191"/>
      <c r="IR4" s="191"/>
      <c r="IS4" s="191"/>
      <c r="IT4" s="191"/>
      <c r="IU4" s="191"/>
      <c r="IV4" s="191"/>
      <c r="IW4" s="191"/>
      <c r="IX4" s="191"/>
      <c r="IY4" s="191"/>
      <c r="IZ4" s="191"/>
      <c r="JA4" s="191"/>
      <c r="JB4" s="191"/>
      <c r="JC4" s="191"/>
      <c r="JD4" s="191"/>
      <c r="JE4" s="191"/>
      <c r="JF4" s="191"/>
      <c r="JG4" s="191"/>
      <c r="JH4" s="191"/>
      <c r="JI4" s="191"/>
      <c r="JJ4" s="191"/>
      <c r="JK4" s="191"/>
      <c r="JL4" s="191"/>
      <c r="JM4" s="191"/>
      <c r="JN4" s="191"/>
      <c r="JO4" s="191"/>
      <c r="JP4" s="191"/>
      <c r="JQ4" s="191"/>
      <c r="JR4" s="191"/>
      <c r="JS4" s="191"/>
      <c r="JT4" s="191"/>
      <c r="JU4" s="191"/>
      <c r="JV4" s="191"/>
      <c r="JW4" s="191"/>
      <c r="JX4" s="191"/>
      <c r="JY4" s="191"/>
      <c r="JZ4" s="191"/>
      <c r="KA4" s="191"/>
      <c r="KB4" s="191"/>
      <c r="KC4" s="191"/>
      <c r="KD4" s="191"/>
      <c r="KE4" s="191"/>
      <c r="KF4" s="191"/>
      <c r="KG4" s="191"/>
      <c r="KH4" s="191"/>
      <c r="KI4" s="191"/>
      <c r="KJ4" s="191"/>
      <c r="KK4" s="191"/>
      <c r="KL4" s="191"/>
      <c r="KM4" s="191"/>
      <c r="KN4" s="191"/>
      <c r="KO4" s="191"/>
      <c r="KP4" s="191"/>
      <c r="KQ4" s="191"/>
      <c r="KR4" s="191"/>
      <c r="KS4" s="191"/>
      <c r="KT4" s="191"/>
    </row>
    <row r="5" spans="1:306" s="10" customFormat="1" x14ac:dyDescent="0.2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collapsed="1" x14ac:dyDescent="0.2">
      <c r="A7" s="15" t="s">
        <v>254</v>
      </c>
    </row>
    <row r="8" spans="1:306" hidden="1" outlineLevel="1" x14ac:dyDescent="0.2"/>
    <row r="9" spans="1:306" s="450" customFormat="1" hidden="1" outlineLevel="1" x14ac:dyDescent="0.2">
      <c r="A9" s="451"/>
      <c r="B9" s="451"/>
      <c r="C9" s="452"/>
      <c r="D9" s="316"/>
      <c r="E9" s="450" t="str">
        <f xml:space="preserve"> Sensitivity!E$13</f>
        <v>EPC cost - sensitivity</v>
      </c>
      <c r="F9" s="450">
        <f xml:space="preserve"> Sensitivity!F$13</f>
        <v>0</v>
      </c>
      <c r="G9" s="450" t="str">
        <f xml:space="preserve"> Sensitivity!G$13</f>
        <v>%</v>
      </c>
      <c r="I9" s="453"/>
    </row>
    <row r="10" spans="1:306" hidden="1" outlineLevel="1" x14ac:dyDescent="0.2">
      <c r="E10" s="145" t="str">
        <f xml:space="preserve"> InpC!E$138</f>
        <v>EPC spent contingency</v>
      </c>
      <c r="F10" s="316">
        <f xml:space="preserve"> InpC!F$138</f>
        <v>0</v>
      </c>
      <c r="G10" s="145" t="str">
        <f xml:space="preserve"> InpC!G$138</f>
        <v>%</v>
      </c>
    </row>
    <row r="11" spans="1:306" hidden="1" outlineLevel="1" x14ac:dyDescent="0.2">
      <c r="E11" s="12" t="s">
        <v>667</v>
      </c>
      <c r="F11" s="282">
        <f xml:space="preserve"> MAX(0, F9 - F10) * (F9 &gt; 0)</f>
        <v>0</v>
      </c>
      <c r="G11" s="12" t="s">
        <v>103</v>
      </c>
    </row>
    <row r="12" spans="1:306" hidden="1" outlineLevel="1" x14ac:dyDescent="0.2"/>
    <row r="13" spans="1:306" s="191" customFormat="1" hidden="1" outlineLevel="1" x14ac:dyDescent="0.2">
      <c r="A13" s="236"/>
      <c r="B13" s="236"/>
      <c r="C13" s="237"/>
      <c r="D13" s="238"/>
      <c r="E13" s="145" t="str">
        <f xml:space="preserve"> InpC!E$136</f>
        <v>EPC base cost</v>
      </c>
      <c r="F13" s="145">
        <f xml:space="preserve"> InpC!F$136</f>
        <v>300000</v>
      </c>
      <c r="G13" s="145" t="str">
        <f xml:space="preserve"> InpC!G$136</f>
        <v>$ 000s</v>
      </c>
      <c r="H13" s="281"/>
      <c r="I13" s="235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</row>
    <row r="14" spans="1:306" s="191" customFormat="1" hidden="1" outlineLevel="1" x14ac:dyDescent="0.2">
      <c r="A14" s="236"/>
      <c r="B14" s="236"/>
      <c r="C14" s="237"/>
      <c r="D14" s="238"/>
      <c r="E14" s="145" t="str">
        <f xml:space="preserve"> InpC!E$137</f>
        <v>EPC cost overrun</v>
      </c>
      <c r="F14" s="145">
        <f xml:space="preserve"> InpC!F$137</f>
        <v>0</v>
      </c>
      <c r="G14" s="145" t="str">
        <f xml:space="preserve"> InpC!G$137</f>
        <v>$ 000s</v>
      </c>
      <c r="H14" s="281"/>
      <c r="I14" s="235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4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</row>
    <row r="15" spans="1:306" s="191" customFormat="1" hidden="1" outlineLevel="1" x14ac:dyDescent="0.2">
      <c r="A15" s="236"/>
      <c r="B15" s="236"/>
      <c r="C15" s="237"/>
      <c r="D15" s="238"/>
      <c r="E15" s="38" t="str">
        <f t="shared" ref="E15:G15" si="0" xml:space="preserve"> E$11</f>
        <v>EPC cost overrun to be funded</v>
      </c>
      <c r="F15" s="115">
        <f t="shared" si="0"/>
        <v>0</v>
      </c>
      <c r="G15" s="38" t="str">
        <f t="shared" si="0"/>
        <v>%</v>
      </c>
      <c r="H15" s="281"/>
      <c r="I15" s="235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</row>
    <row r="16" spans="1:306" hidden="1" outlineLevel="1" x14ac:dyDescent="0.2">
      <c r="E16" s="493" t="str">
        <f xml:space="preserve"> 'InpS - m'!E$9</f>
        <v>Base EPC spend curve</v>
      </c>
      <c r="F16" s="493">
        <f xml:space="preserve"> 'InpS - m'!F$9</f>
        <v>0</v>
      </c>
      <c r="G16" s="493" t="str">
        <f xml:space="preserve"> 'InpS - m'!G$9</f>
        <v>%</v>
      </c>
      <c r="H16" s="493">
        <f xml:space="preserve"> 'InpS - m'!H$9</f>
        <v>0.99999999999999956</v>
      </c>
      <c r="I16" s="493">
        <f xml:space="preserve"> 'InpS - m'!I$9</f>
        <v>0</v>
      </c>
      <c r="J16" s="493">
        <f xml:space="preserve"> 'InpS - m'!J$9</f>
        <v>0</v>
      </c>
      <c r="K16" s="493">
        <f xml:space="preserve"> 'InpS - m'!K$9</f>
        <v>0</v>
      </c>
      <c r="L16" s="493">
        <f xml:space="preserve"> 'InpS - m'!L$9</f>
        <v>0</v>
      </c>
      <c r="M16" s="493">
        <f xml:space="preserve"> 'InpS - m'!M$9</f>
        <v>0</v>
      </c>
      <c r="N16" s="493">
        <f xml:space="preserve"> 'InpS - m'!N$9</f>
        <v>3.8461538461538464E-2</v>
      </c>
      <c r="O16" s="493">
        <f xml:space="preserve"> 'InpS - m'!O$9</f>
        <v>3.8461538461538464E-2</v>
      </c>
      <c r="P16" s="493">
        <f xml:space="preserve"> 'InpS - m'!P$9</f>
        <v>3.8461538461538464E-2</v>
      </c>
      <c r="Q16" s="493">
        <f xml:space="preserve"> 'InpS - m'!Q$9</f>
        <v>3.8461538461538464E-2</v>
      </c>
      <c r="R16" s="493">
        <f xml:space="preserve"> 'InpS - m'!R$9</f>
        <v>3.8461538461538464E-2</v>
      </c>
      <c r="S16" s="493">
        <f xml:space="preserve"> 'InpS - m'!S$9</f>
        <v>3.8461538461538464E-2</v>
      </c>
      <c r="T16" s="493">
        <f xml:space="preserve"> 'InpS - m'!T$9</f>
        <v>3.8461538461538464E-2</v>
      </c>
      <c r="U16" s="493">
        <f xml:space="preserve"> 'InpS - m'!U$9</f>
        <v>3.8461538461538464E-2</v>
      </c>
      <c r="V16" s="493">
        <f xml:space="preserve"> 'InpS - m'!V$9</f>
        <v>3.8461538461538464E-2</v>
      </c>
      <c r="W16" s="493">
        <f xml:space="preserve"> 'InpS - m'!W$9</f>
        <v>3.8461538461538464E-2</v>
      </c>
      <c r="X16" s="493">
        <f xml:space="preserve"> 'InpS - m'!X$9</f>
        <v>3.8461538461538464E-2</v>
      </c>
      <c r="Y16" s="493">
        <f xml:space="preserve"> 'InpS - m'!Y$9</f>
        <v>3.8461538461538464E-2</v>
      </c>
      <c r="Z16" s="493">
        <f xml:space="preserve"> 'InpS - m'!Z$9</f>
        <v>3.8461538461538464E-2</v>
      </c>
      <c r="AA16" s="493">
        <f xml:space="preserve"> 'InpS - m'!AA$9</f>
        <v>3.8461538461538464E-2</v>
      </c>
      <c r="AB16" s="493">
        <f xml:space="preserve"> 'InpS - m'!AB$9</f>
        <v>3.8461538461538464E-2</v>
      </c>
      <c r="AC16" s="493">
        <f xml:space="preserve"> 'InpS - m'!AC$9</f>
        <v>3.8461538461538464E-2</v>
      </c>
      <c r="AD16" s="493">
        <f xml:space="preserve"> 'InpS - m'!AD$9</f>
        <v>3.8461538461538464E-2</v>
      </c>
      <c r="AE16" s="493">
        <f xml:space="preserve"> 'InpS - m'!AE$9</f>
        <v>3.8461538461538464E-2</v>
      </c>
      <c r="AF16" s="493">
        <f xml:space="preserve"> 'InpS - m'!AF$9</f>
        <v>3.8461538461538464E-2</v>
      </c>
      <c r="AG16" s="493">
        <f xml:space="preserve"> 'InpS - m'!AG$9</f>
        <v>3.8461538461538464E-2</v>
      </c>
      <c r="AH16" s="493">
        <f xml:space="preserve"> 'InpS - m'!AH$9</f>
        <v>3.8461538461538464E-2</v>
      </c>
      <c r="AI16" s="493">
        <f xml:space="preserve"> 'InpS - m'!AI$9</f>
        <v>3.8461538461538464E-2</v>
      </c>
      <c r="AJ16" s="493">
        <f xml:space="preserve"> 'InpS - m'!AJ$9</f>
        <v>3.8461538461538464E-2</v>
      </c>
      <c r="AK16" s="493">
        <f xml:space="preserve"> 'InpS - m'!AK$9</f>
        <v>3.8461538461538464E-2</v>
      </c>
      <c r="AL16" s="493">
        <f xml:space="preserve"> 'InpS - m'!AL$9</f>
        <v>3.8461538461538464E-2</v>
      </c>
      <c r="AM16" s="493">
        <f xml:space="preserve"> 'InpS - m'!AM$9</f>
        <v>3.8461538461538464E-2</v>
      </c>
      <c r="AN16" s="493">
        <f xml:space="preserve"> 'InpS - m'!AN$9</f>
        <v>0</v>
      </c>
      <c r="AO16" s="493">
        <f xml:space="preserve"> 'InpS - m'!AO$9</f>
        <v>0</v>
      </c>
      <c r="AP16" s="493">
        <f xml:space="preserve"> 'InpS - m'!AP$9</f>
        <v>0</v>
      </c>
      <c r="AQ16" s="493">
        <f xml:space="preserve"> 'InpS - m'!AQ$9</f>
        <v>0</v>
      </c>
      <c r="AR16" s="493">
        <f xml:space="preserve"> 'InpS - m'!AR$9</f>
        <v>0</v>
      </c>
      <c r="AS16" s="493">
        <f xml:space="preserve"> 'InpS - m'!AS$9</f>
        <v>0</v>
      </c>
      <c r="AT16" s="493">
        <f xml:space="preserve"> 'InpS - m'!AT$9</f>
        <v>0</v>
      </c>
      <c r="AU16" s="493">
        <f xml:space="preserve"> 'InpS - m'!AU$9</f>
        <v>0</v>
      </c>
      <c r="AV16" s="493">
        <f xml:space="preserve"> 'InpS - m'!AV$9</f>
        <v>0</v>
      </c>
      <c r="AW16" s="493">
        <f xml:space="preserve"> 'InpS - m'!AW$9</f>
        <v>0</v>
      </c>
      <c r="AX16" s="493">
        <f xml:space="preserve"> 'InpS - m'!AX$9</f>
        <v>0</v>
      </c>
      <c r="AY16" s="493">
        <f xml:space="preserve"> 'InpS - m'!AY$9</f>
        <v>0</v>
      </c>
      <c r="AZ16" s="493">
        <f xml:space="preserve"> 'InpS - m'!AZ$9</f>
        <v>0</v>
      </c>
      <c r="BA16" s="493">
        <f xml:space="preserve"> 'InpS - m'!BA$9</f>
        <v>0</v>
      </c>
      <c r="BB16" s="493">
        <f xml:space="preserve"> 'InpS - m'!BB$9</f>
        <v>0</v>
      </c>
      <c r="BC16" s="493">
        <f xml:space="preserve"> 'InpS - m'!BC$9</f>
        <v>0</v>
      </c>
      <c r="BD16" s="493">
        <f xml:space="preserve"> 'InpS - m'!BD$9</f>
        <v>0</v>
      </c>
      <c r="BE16" s="493">
        <f xml:space="preserve"> 'InpS - m'!BE$9</f>
        <v>0</v>
      </c>
    </row>
    <row r="17" spans="1:57" s="188" customFormat="1" hidden="1" outlineLevel="1" x14ac:dyDescent="0.2">
      <c r="A17" s="141"/>
      <c r="B17" s="141"/>
      <c r="C17" s="142"/>
      <c r="D17" s="143"/>
      <c r="E17" s="144" t="s">
        <v>844</v>
      </c>
      <c r="F17" s="187"/>
      <c r="G17" s="187" t="str">
        <f xml:space="preserve"> SMU</f>
        <v>$ 000s</v>
      </c>
      <c r="H17" s="187">
        <f xml:space="preserve"> SUM(J17:BE17)</f>
        <v>300000</v>
      </c>
      <c r="I17" s="144"/>
      <c r="J17" s="187">
        <f t="shared" ref="J17:BE17" si="1" xml:space="preserve"> SUM($F13:$F14) * J16 * (1 + $F15)</f>
        <v>0</v>
      </c>
      <c r="K17" s="187">
        <f t="shared" si="1"/>
        <v>0</v>
      </c>
      <c r="L17" s="187">
        <f t="shared" si="1"/>
        <v>0</v>
      </c>
      <c r="M17" s="187">
        <f t="shared" si="1"/>
        <v>0</v>
      </c>
      <c r="N17" s="187">
        <f t="shared" si="1"/>
        <v>11538.461538461539</v>
      </c>
      <c r="O17" s="187">
        <f t="shared" si="1"/>
        <v>11538.461538461539</v>
      </c>
      <c r="P17" s="187">
        <f t="shared" si="1"/>
        <v>11538.461538461539</v>
      </c>
      <c r="Q17" s="187">
        <f t="shared" si="1"/>
        <v>11538.461538461539</v>
      </c>
      <c r="R17" s="187">
        <f t="shared" si="1"/>
        <v>11538.461538461539</v>
      </c>
      <c r="S17" s="187">
        <f t="shared" si="1"/>
        <v>11538.461538461539</v>
      </c>
      <c r="T17" s="187">
        <f t="shared" si="1"/>
        <v>11538.461538461539</v>
      </c>
      <c r="U17" s="187">
        <f t="shared" si="1"/>
        <v>11538.461538461539</v>
      </c>
      <c r="V17" s="187">
        <f t="shared" si="1"/>
        <v>11538.461538461539</v>
      </c>
      <c r="W17" s="187">
        <f t="shared" si="1"/>
        <v>11538.461538461539</v>
      </c>
      <c r="X17" s="187">
        <f t="shared" si="1"/>
        <v>11538.461538461539</v>
      </c>
      <c r="Y17" s="187">
        <f t="shared" si="1"/>
        <v>11538.461538461539</v>
      </c>
      <c r="Z17" s="187">
        <f t="shared" si="1"/>
        <v>11538.461538461539</v>
      </c>
      <c r="AA17" s="187">
        <f t="shared" si="1"/>
        <v>11538.461538461539</v>
      </c>
      <c r="AB17" s="187">
        <f t="shared" si="1"/>
        <v>11538.461538461539</v>
      </c>
      <c r="AC17" s="187">
        <f t="shared" si="1"/>
        <v>11538.461538461539</v>
      </c>
      <c r="AD17" s="187">
        <f t="shared" si="1"/>
        <v>11538.461538461539</v>
      </c>
      <c r="AE17" s="187">
        <f t="shared" si="1"/>
        <v>11538.461538461539</v>
      </c>
      <c r="AF17" s="187">
        <f t="shared" si="1"/>
        <v>11538.461538461539</v>
      </c>
      <c r="AG17" s="187">
        <f t="shared" si="1"/>
        <v>11538.461538461539</v>
      </c>
      <c r="AH17" s="187">
        <f t="shared" si="1"/>
        <v>11538.461538461539</v>
      </c>
      <c r="AI17" s="187">
        <f t="shared" si="1"/>
        <v>11538.461538461539</v>
      </c>
      <c r="AJ17" s="187">
        <f t="shared" si="1"/>
        <v>11538.461538461539</v>
      </c>
      <c r="AK17" s="187">
        <f t="shared" si="1"/>
        <v>11538.461538461539</v>
      </c>
      <c r="AL17" s="187">
        <f t="shared" si="1"/>
        <v>11538.461538461539</v>
      </c>
      <c r="AM17" s="187">
        <f t="shared" si="1"/>
        <v>11538.461538461539</v>
      </c>
      <c r="AN17" s="187">
        <f t="shared" si="1"/>
        <v>0</v>
      </c>
      <c r="AO17" s="187">
        <f t="shared" si="1"/>
        <v>0</v>
      </c>
      <c r="AP17" s="187">
        <f t="shared" si="1"/>
        <v>0</v>
      </c>
      <c r="AQ17" s="187">
        <f t="shared" si="1"/>
        <v>0</v>
      </c>
      <c r="AR17" s="187">
        <f t="shared" si="1"/>
        <v>0</v>
      </c>
      <c r="AS17" s="187">
        <f t="shared" si="1"/>
        <v>0</v>
      </c>
      <c r="AT17" s="187">
        <f t="shared" si="1"/>
        <v>0</v>
      </c>
      <c r="AU17" s="187">
        <f t="shared" si="1"/>
        <v>0</v>
      </c>
      <c r="AV17" s="187">
        <f t="shared" si="1"/>
        <v>0</v>
      </c>
      <c r="AW17" s="187">
        <f t="shared" si="1"/>
        <v>0</v>
      </c>
      <c r="AX17" s="187">
        <f t="shared" si="1"/>
        <v>0</v>
      </c>
      <c r="AY17" s="187">
        <f t="shared" si="1"/>
        <v>0</v>
      </c>
      <c r="AZ17" s="187">
        <f t="shared" si="1"/>
        <v>0</v>
      </c>
      <c r="BA17" s="187">
        <f t="shared" si="1"/>
        <v>0</v>
      </c>
      <c r="BB17" s="187">
        <f t="shared" si="1"/>
        <v>0</v>
      </c>
      <c r="BC17" s="187">
        <f t="shared" si="1"/>
        <v>0</v>
      </c>
      <c r="BD17" s="187">
        <f t="shared" si="1"/>
        <v>0</v>
      </c>
      <c r="BE17" s="187">
        <f t="shared" si="1"/>
        <v>0</v>
      </c>
    </row>
    <row r="18" spans="1:57" s="188" customFormat="1" hidden="1" outlineLevel="1" x14ac:dyDescent="0.2">
      <c r="A18" s="141"/>
      <c r="B18" s="141"/>
      <c r="C18" s="142"/>
      <c r="D18" s="143"/>
      <c r="E18" s="187" t="s">
        <v>843</v>
      </c>
      <c r="F18" s="187">
        <f xml:space="preserve"> SUM(J17:BE17)</f>
        <v>300000</v>
      </c>
      <c r="G18" s="187" t="str">
        <f xml:space="preserve"> SMU</f>
        <v>$ 000s</v>
      </c>
      <c r="H18" s="187"/>
      <c r="I18" s="144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</row>
    <row r="19" spans="1:57" hidden="1" outlineLevel="1" x14ac:dyDescent="0.2"/>
    <row r="20" spans="1:57" s="191" customFormat="1" hidden="1" outlineLevel="1" x14ac:dyDescent="0.2">
      <c r="A20" s="236"/>
      <c r="B20" s="236"/>
      <c r="C20" s="237"/>
      <c r="D20" s="238"/>
      <c r="E20" s="145" t="str">
        <f xml:space="preserve"> InpC!E$138</f>
        <v>EPC spent contingency</v>
      </c>
      <c r="F20" s="316">
        <f xml:space="preserve"> InpC!F$138</f>
        <v>0</v>
      </c>
      <c r="G20" s="145" t="str">
        <f xml:space="preserve"> InpC!G$138</f>
        <v>%</v>
      </c>
      <c r="H20" s="281"/>
      <c r="I20" s="235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34"/>
      <c r="AQ20" s="234"/>
      <c r="AR20" s="234"/>
      <c r="AS20" s="234"/>
      <c r="AT20" s="234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</row>
    <row r="21" spans="1:57" s="191" customFormat="1" hidden="1" outlineLevel="1" x14ac:dyDescent="0.2">
      <c r="A21" s="236"/>
      <c r="B21" s="236"/>
      <c r="C21" s="237"/>
      <c r="D21" s="238"/>
      <c r="E21" s="145" t="str">
        <f xml:space="preserve"> InpC!E$136</f>
        <v>EPC base cost</v>
      </c>
      <c r="F21" s="145">
        <f xml:space="preserve"> InpC!F$136</f>
        <v>300000</v>
      </c>
      <c r="G21" s="145" t="str">
        <f xml:space="preserve"> InpC!G$136</f>
        <v>$ 000s</v>
      </c>
      <c r="H21" s="281"/>
      <c r="I21" s="235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34"/>
      <c r="AQ21" s="234"/>
      <c r="AR21" s="234"/>
      <c r="AS21" s="234"/>
      <c r="AT21" s="234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</row>
    <row r="22" spans="1:57" hidden="1" outlineLevel="1" x14ac:dyDescent="0.2">
      <c r="E22" s="493" t="str">
        <f xml:space="preserve"> 'InpS - m'!E$9</f>
        <v>Base EPC spend curve</v>
      </c>
      <c r="F22" s="493">
        <f xml:space="preserve"> 'InpS - m'!F$9</f>
        <v>0</v>
      </c>
      <c r="G22" s="493" t="str">
        <f xml:space="preserve"> 'InpS - m'!G$9</f>
        <v>%</v>
      </c>
      <c r="H22" s="493">
        <f xml:space="preserve"> 'InpS - m'!H$9</f>
        <v>0.99999999999999956</v>
      </c>
      <c r="I22" s="493">
        <f xml:space="preserve"> 'InpS - m'!I$9</f>
        <v>0</v>
      </c>
      <c r="J22" s="493">
        <f xml:space="preserve"> 'InpS - m'!J$9</f>
        <v>0</v>
      </c>
      <c r="K22" s="493">
        <f xml:space="preserve"> 'InpS - m'!K$9</f>
        <v>0</v>
      </c>
      <c r="L22" s="493">
        <f xml:space="preserve"> 'InpS - m'!L$9</f>
        <v>0</v>
      </c>
      <c r="M22" s="493">
        <f xml:space="preserve"> 'InpS - m'!M$9</f>
        <v>0</v>
      </c>
      <c r="N22" s="493">
        <f xml:space="preserve"> 'InpS - m'!N$9</f>
        <v>3.8461538461538464E-2</v>
      </c>
      <c r="O22" s="493">
        <f xml:space="preserve"> 'InpS - m'!O$9</f>
        <v>3.8461538461538464E-2</v>
      </c>
      <c r="P22" s="493">
        <f xml:space="preserve"> 'InpS - m'!P$9</f>
        <v>3.8461538461538464E-2</v>
      </c>
      <c r="Q22" s="493">
        <f xml:space="preserve"> 'InpS - m'!Q$9</f>
        <v>3.8461538461538464E-2</v>
      </c>
      <c r="R22" s="493">
        <f xml:space="preserve"> 'InpS - m'!R$9</f>
        <v>3.8461538461538464E-2</v>
      </c>
      <c r="S22" s="493">
        <f xml:space="preserve"> 'InpS - m'!S$9</f>
        <v>3.8461538461538464E-2</v>
      </c>
      <c r="T22" s="493">
        <f xml:space="preserve"> 'InpS - m'!T$9</f>
        <v>3.8461538461538464E-2</v>
      </c>
      <c r="U22" s="493">
        <f xml:space="preserve"> 'InpS - m'!U$9</f>
        <v>3.8461538461538464E-2</v>
      </c>
      <c r="V22" s="493">
        <f xml:space="preserve"> 'InpS - m'!V$9</f>
        <v>3.8461538461538464E-2</v>
      </c>
      <c r="W22" s="493">
        <f xml:space="preserve"> 'InpS - m'!W$9</f>
        <v>3.8461538461538464E-2</v>
      </c>
      <c r="X22" s="493">
        <f xml:space="preserve"> 'InpS - m'!X$9</f>
        <v>3.8461538461538464E-2</v>
      </c>
      <c r="Y22" s="493">
        <f xml:space="preserve"> 'InpS - m'!Y$9</f>
        <v>3.8461538461538464E-2</v>
      </c>
      <c r="Z22" s="493">
        <f xml:space="preserve"> 'InpS - m'!Z$9</f>
        <v>3.8461538461538464E-2</v>
      </c>
      <c r="AA22" s="493">
        <f xml:space="preserve"> 'InpS - m'!AA$9</f>
        <v>3.8461538461538464E-2</v>
      </c>
      <c r="AB22" s="493">
        <f xml:space="preserve"> 'InpS - m'!AB$9</f>
        <v>3.8461538461538464E-2</v>
      </c>
      <c r="AC22" s="493">
        <f xml:space="preserve"> 'InpS - m'!AC$9</f>
        <v>3.8461538461538464E-2</v>
      </c>
      <c r="AD22" s="493">
        <f xml:space="preserve"> 'InpS - m'!AD$9</f>
        <v>3.8461538461538464E-2</v>
      </c>
      <c r="AE22" s="493">
        <f xml:space="preserve"> 'InpS - m'!AE$9</f>
        <v>3.8461538461538464E-2</v>
      </c>
      <c r="AF22" s="493">
        <f xml:space="preserve"> 'InpS - m'!AF$9</f>
        <v>3.8461538461538464E-2</v>
      </c>
      <c r="AG22" s="493">
        <f xml:space="preserve"> 'InpS - m'!AG$9</f>
        <v>3.8461538461538464E-2</v>
      </c>
      <c r="AH22" s="493">
        <f xml:space="preserve"> 'InpS - m'!AH$9</f>
        <v>3.8461538461538464E-2</v>
      </c>
      <c r="AI22" s="493">
        <f xml:space="preserve"> 'InpS - m'!AI$9</f>
        <v>3.8461538461538464E-2</v>
      </c>
      <c r="AJ22" s="493">
        <f xml:space="preserve"> 'InpS - m'!AJ$9</f>
        <v>3.8461538461538464E-2</v>
      </c>
      <c r="AK22" s="493">
        <f xml:space="preserve"> 'InpS - m'!AK$9</f>
        <v>3.8461538461538464E-2</v>
      </c>
      <c r="AL22" s="493">
        <f xml:space="preserve"> 'InpS - m'!AL$9</f>
        <v>3.8461538461538464E-2</v>
      </c>
      <c r="AM22" s="493">
        <f xml:space="preserve"> 'InpS - m'!AM$9</f>
        <v>3.8461538461538464E-2</v>
      </c>
      <c r="AN22" s="493">
        <f xml:space="preserve"> 'InpS - m'!AN$9</f>
        <v>0</v>
      </c>
      <c r="AO22" s="493">
        <f xml:space="preserve"> 'InpS - m'!AO$9</f>
        <v>0</v>
      </c>
      <c r="AP22" s="493">
        <f xml:space="preserve"> 'InpS - m'!AP$9</f>
        <v>0</v>
      </c>
      <c r="AQ22" s="493">
        <f xml:space="preserve"> 'InpS - m'!AQ$9</f>
        <v>0</v>
      </c>
      <c r="AR22" s="493">
        <f xml:space="preserve"> 'InpS - m'!AR$9</f>
        <v>0</v>
      </c>
      <c r="AS22" s="493">
        <f xml:space="preserve"> 'InpS - m'!AS$9</f>
        <v>0</v>
      </c>
      <c r="AT22" s="493">
        <f xml:space="preserve"> 'InpS - m'!AT$9</f>
        <v>0</v>
      </c>
      <c r="AU22" s="493">
        <f xml:space="preserve"> 'InpS - m'!AU$9</f>
        <v>0</v>
      </c>
      <c r="AV22" s="493">
        <f xml:space="preserve"> 'InpS - m'!AV$9</f>
        <v>0</v>
      </c>
      <c r="AW22" s="493">
        <f xml:space="preserve"> 'InpS - m'!AW$9</f>
        <v>0</v>
      </c>
      <c r="AX22" s="493">
        <f xml:space="preserve"> 'InpS - m'!AX$9</f>
        <v>0</v>
      </c>
      <c r="AY22" s="493">
        <f xml:space="preserve"> 'InpS - m'!AY$9</f>
        <v>0</v>
      </c>
      <c r="AZ22" s="493">
        <f xml:space="preserve"> 'InpS - m'!AZ$9</f>
        <v>0</v>
      </c>
      <c r="BA22" s="493">
        <f xml:space="preserve"> 'InpS - m'!BA$9</f>
        <v>0</v>
      </c>
      <c r="BB22" s="493">
        <f xml:space="preserve"> 'InpS - m'!BB$9</f>
        <v>0</v>
      </c>
      <c r="BC22" s="493">
        <f xml:space="preserve"> 'InpS - m'!BC$9</f>
        <v>0</v>
      </c>
      <c r="BD22" s="493">
        <f xml:space="preserve"> 'InpS - m'!BD$9</f>
        <v>0</v>
      </c>
      <c r="BE22" s="493">
        <f xml:space="preserve"> 'InpS - m'!BE$9</f>
        <v>0</v>
      </c>
    </row>
    <row r="23" spans="1:57" s="188" customFormat="1" hidden="1" outlineLevel="1" x14ac:dyDescent="0.2">
      <c r="A23" s="141"/>
      <c r="B23" s="141"/>
      <c r="C23" s="142"/>
      <c r="D23" s="143"/>
      <c r="E23" s="187" t="s">
        <v>256</v>
      </c>
      <c r="F23" s="187"/>
      <c r="G23" s="187" t="str">
        <f xml:space="preserve"> SMU</f>
        <v>$ 000s</v>
      </c>
      <c r="H23" s="187">
        <f xml:space="preserve"> SUM(J23:BE23)</f>
        <v>0</v>
      </c>
      <c r="I23" s="144"/>
      <c r="J23" s="187">
        <f t="shared" ref="J23:BE23" si="2" xml:space="preserve"> $F20 * $F21 * J22</f>
        <v>0</v>
      </c>
      <c r="K23" s="187">
        <f t="shared" si="2"/>
        <v>0</v>
      </c>
      <c r="L23" s="187">
        <f t="shared" si="2"/>
        <v>0</v>
      </c>
      <c r="M23" s="187">
        <f t="shared" si="2"/>
        <v>0</v>
      </c>
      <c r="N23" s="187">
        <f t="shared" si="2"/>
        <v>0</v>
      </c>
      <c r="O23" s="187">
        <f t="shared" si="2"/>
        <v>0</v>
      </c>
      <c r="P23" s="187">
        <f t="shared" si="2"/>
        <v>0</v>
      </c>
      <c r="Q23" s="187">
        <f t="shared" si="2"/>
        <v>0</v>
      </c>
      <c r="R23" s="187">
        <f t="shared" si="2"/>
        <v>0</v>
      </c>
      <c r="S23" s="187">
        <f t="shared" si="2"/>
        <v>0</v>
      </c>
      <c r="T23" s="187">
        <f t="shared" si="2"/>
        <v>0</v>
      </c>
      <c r="U23" s="187">
        <f t="shared" si="2"/>
        <v>0</v>
      </c>
      <c r="V23" s="187">
        <f t="shared" si="2"/>
        <v>0</v>
      </c>
      <c r="W23" s="187">
        <f t="shared" si="2"/>
        <v>0</v>
      </c>
      <c r="X23" s="187">
        <f t="shared" si="2"/>
        <v>0</v>
      </c>
      <c r="Y23" s="187">
        <f t="shared" si="2"/>
        <v>0</v>
      </c>
      <c r="Z23" s="187">
        <f t="shared" si="2"/>
        <v>0</v>
      </c>
      <c r="AA23" s="187">
        <f t="shared" si="2"/>
        <v>0</v>
      </c>
      <c r="AB23" s="187">
        <f t="shared" si="2"/>
        <v>0</v>
      </c>
      <c r="AC23" s="187">
        <f t="shared" si="2"/>
        <v>0</v>
      </c>
      <c r="AD23" s="187">
        <f t="shared" si="2"/>
        <v>0</v>
      </c>
      <c r="AE23" s="187">
        <f t="shared" si="2"/>
        <v>0</v>
      </c>
      <c r="AF23" s="187">
        <f t="shared" si="2"/>
        <v>0</v>
      </c>
      <c r="AG23" s="187">
        <f t="shared" si="2"/>
        <v>0</v>
      </c>
      <c r="AH23" s="187">
        <f t="shared" si="2"/>
        <v>0</v>
      </c>
      <c r="AI23" s="187">
        <f t="shared" si="2"/>
        <v>0</v>
      </c>
      <c r="AJ23" s="187">
        <f t="shared" si="2"/>
        <v>0</v>
      </c>
      <c r="AK23" s="187">
        <f t="shared" si="2"/>
        <v>0</v>
      </c>
      <c r="AL23" s="187">
        <f t="shared" si="2"/>
        <v>0</v>
      </c>
      <c r="AM23" s="187">
        <f t="shared" si="2"/>
        <v>0</v>
      </c>
      <c r="AN23" s="187">
        <f t="shared" si="2"/>
        <v>0</v>
      </c>
      <c r="AO23" s="187">
        <f t="shared" si="2"/>
        <v>0</v>
      </c>
      <c r="AP23" s="187">
        <f t="shared" si="2"/>
        <v>0</v>
      </c>
      <c r="AQ23" s="187">
        <f t="shared" si="2"/>
        <v>0</v>
      </c>
      <c r="AR23" s="187">
        <f t="shared" si="2"/>
        <v>0</v>
      </c>
      <c r="AS23" s="187">
        <f t="shared" si="2"/>
        <v>0</v>
      </c>
      <c r="AT23" s="187">
        <f t="shared" si="2"/>
        <v>0</v>
      </c>
      <c r="AU23" s="187">
        <f t="shared" si="2"/>
        <v>0</v>
      </c>
      <c r="AV23" s="187">
        <f t="shared" si="2"/>
        <v>0</v>
      </c>
      <c r="AW23" s="187">
        <f t="shared" si="2"/>
        <v>0</v>
      </c>
      <c r="AX23" s="187">
        <f t="shared" si="2"/>
        <v>0</v>
      </c>
      <c r="AY23" s="187">
        <f t="shared" si="2"/>
        <v>0</v>
      </c>
      <c r="AZ23" s="187">
        <f t="shared" si="2"/>
        <v>0</v>
      </c>
      <c r="BA23" s="187">
        <f t="shared" si="2"/>
        <v>0</v>
      </c>
      <c r="BB23" s="187">
        <f t="shared" si="2"/>
        <v>0</v>
      </c>
      <c r="BC23" s="187">
        <f t="shared" si="2"/>
        <v>0</v>
      </c>
      <c r="BD23" s="187">
        <f t="shared" si="2"/>
        <v>0</v>
      </c>
      <c r="BE23" s="187">
        <f t="shared" si="2"/>
        <v>0</v>
      </c>
    </row>
    <row r="24" spans="1:57" s="188" customFormat="1" hidden="1" outlineLevel="1" x14ac:dyDescent="0.2">
      <c r="A24" s="141"/>
      <c r="B24" s="141"/>
      <c r="C24" s="142"/>
      <c r="D24" s="143"/>
      <c r="E24" s="187" t="s">
        <v>592</v>
      </c>
      <c r="F24" s="187">
        <f xml:space="preserve"> SUM(J23:BE23)</f>
        <v>0</v>
      </c>
      <c r="G24" s="187" t="str">
        <f xml:space="preserve"> SMU</f>
        <v>$ 000s</v>
      </c>
      <c r="H24" s="187"/>
      <c r="I24" s="144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</row>
    <row r="25" spans="1:57" hidden="1" outlineLevel="1" x14ac:dyDescent="0.2"/>
    <row r="26" spans="1:57" x14ac:dyDescent="0.2"/>
    <row r="27" spans="1:57" x14ac:dyDescent="0.2">
      <c r="A27" s="15" t="s">
        <v>411</v>
      </c>
    </row>
    <row r="28" spans="1:57" outlineLevel="1" x14ac:dyDescent="0.2"/>
    <row r="29" spans="1:57" outlineLevel="1" x14ac:dyDescent="0.2">
      <c r="B29" s="15" t="s">
        <v>257</v>
      </c>
    </row>
    <row r="30" spans="1:57" outlineLevel="2" x14ac:dyDescent="0.2">
      <c r="E30" s="145" t="str">
        <f xml:space="preserve"> InpC!E$139</f>
        <v>Total ProjectCo costs</v>
      </c>
      <c r="F30" s="145">
        <f xml:space="preserve"> InpC!F$139</f>
        <v>697.30772000000002</v>
      </c>
      <c r="G30" s="145" t="str">
        <f xml:space="preserve"> InpC!G$139</f>
        <v>$ 000s p.a.</v>
      </c>
    </row>
    <row r="31" spans="1:57" outlineLevel="2" x14ac:dyDescent="0.2">
      <c r="E31" s="186" t="str">
        <f xml:space="preserve"> InpC!E$19</f>
        <v>Construction period length</v>
      </c>
      <c r="F31" s="186">
        <f xml:space="preserve"> InpC!F$19</f>
        <v>26</v>
      </c>
      <c r="G31" s="186" t="str">
        <f xml:space="preserve"> InpC!G$19</f>
        <v>months</v>
      </c>
    </row>
    <row r="32" spans="1:57" outlineLevel="2" x14ac:dyDescent="0.2">
      <c r="E32" s="12" t="s">
        <v>572</v>
      </c>
      <c r="F32" s="12">
        <f xml:space="preserve"> F30 / F31</f>
        <v>26.819527692307695</v>
      </c>
      <c r="G32" s="12" t="str">
        <f xml:space="preserve"> SMU</f>
        <v>$ 000s</v>
      </c>
    </row>
    <row r="33" spans="1:57" outlineLevel="2" x14ac:dyDescent="0.2"/>
    <row r="34" spans="1:57" s="191" customFormat="1" outlineLevel="2" x14ac:dyDescent="0.2">
      <c r="A34" s="236"/>
      <c r="B34" s="236"/>
      <c r="C34" s="237"/>
      <c r="D34" s="238"/>
      <c r="E34" s="38" t="str">
        <f t="shared" ref="E34:G34" si="3" xml:space="preserve"> E$32</f>
        <v>Project Co costs - per period</v>
      </c>
      <c r="F34" s="38">
        <f t="shared" si="3"/>
        <v>26.819527692307695</v>
      </c>
      <c r="G34" s="38" t="str">
        <f t="shared" si="3"/>
        <v>$ 000s</v>
      </c>
      <c r="H34" s="281"/>
      <c r="I34" s="235"/>
      <c r="J34" s="234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234"/>
      <c r="W34" s="234"/>
      <c r="X34" s="234"/>
      <c r="Y34" s="234"/>
      <c r="Z34" s="234"/>
      <c r="AA34" s="234"/>
      <c r="AB34" s="234"/>
      <c r="AC34" s="234"/>
      <c r="AD34" s="234"/>
      <c r="AE34" s="234"/>
      <c r="AF34" s="234"/>
      <c r="AG34" s="234"/>
      <c r="AH34" s="234"/>
      <c r="AI34" s="234"/>
      <c r="AJ34" s="234"/>
      <c r="AK34" s="234"/>
      <c r="AL34" s="234"/>
      <c r="AM34" s="234"/>
      <c r="AN34" s="234"/>
      <c r="AO34" s="234"/>
      <c r="AP34" s="234"/>
      <c r="AQ34" s="234"/>
      <c r="AR34" s="234"/>
      <c r="AS34" s="234"/>
      <c r="AT34" s="234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</row>
    <row r="35" spans="1:57" outlineLevel="2" x14ac:dyDescent="0.2">
      <c r="E35" s="186" t="str">
        <f xml:space="preserve"> ConTime!E$82</f>
        <v>Construction period flag</v>
      </c>
      <c r="F35" s="186">
        <f xml:space="preserve"> ConTime!F$82</f>
        <v>0</v>
      </c>
      <c r="G35" s="186" t="str">
        <f xml:space="preserve"> ConTime!G$82</f>
        <v>flag</v>
      </c>
      <c r="H35" s="186">
        <f xml:space="preserve"> ConTime!H$82</f>
        <v>26</v>
      </c>
      <c r="I35" s="186">
        <f xml:space="preserve"> ConTime!I$82</f>
        <v>0</v>
      </c>
      <c r="J35" s="186">
        <f xml:space="preserve"> ConTime!J$82</f>
        <v>0</v>
      </c>
      <c r="K35" s="186">
        <f xml:space="preserve"> ConTime!K$82</f>
        <v>0</v>
      </c>
      <c r="L35" s="186">
        <f xml:space="preserve"> ConTime!L$82</f>
        <v>0</v>
      </c>
      <c r="M35" s="186">
        <f xml:space="preserve"> ConTime!M$82</f>
        <v>0</v>
      </c>
      <c r="N35" s="186">
        <f xml:space="preserve"> ConTime!N$82</f>
        <v>1</v>
      </c>
      <c r="O35" s="186">
        <f xml:space="preserve"> ConTime!O$82</f>
        <v>1</v>
      </c>
      <c r="P35" s="186">
        <f xml:space="preserve"> ConTime!P$82</f>
        <v>1</v>
      </c>
      <c r="Q35" s="186">
        <f xml:space="preserve"> ConTime!Q$82</f>
        <v>1</v>
      </c>
      <c r="R35" s="186">
        <f xml:space="preserve"> ConTime!R$82</f>
        <v>1</v>
      </c>
      <c r="S35" s="186">
        <f xml:space="preserve"> ConTime!S$82</f>
        <v>1</v>
      </c>
      <c r="T35" s="186">
        <f xml:space="preserve"> ConTime!T$82</f>
        <v>1</v>
      </c>
      <c r="U35" s="186">
        <f xml:space="preserve"> ConTime!U$82</f>
        <v>1</v>
      </c>
      <c r="V35" s="186">
        <f xml:space="preserve"> ConTime!V$82</f>
        <v>1</v>
      </c>
      <c r="W35" s="186">
        <f xml:space="preserve"> ConTime!W$82</f>
        <v>1</v>
      </c>
      <c r="X35" s="186">
        <f xml:space="preserve"> ConTime!X$82</f>
        <v>1</v>
      </c>
      <c r="Y35" s="186">
        <f xml:space="preserve"> ConTime!Y$82</f>
        <v>1</v>
      </c>
      <c r="Z35" s="186">
        <f xml:space="preserve"> ConTime!Z$82</f>
        <v>1</v>
      </c>
      <c r="AA35" s="186">
        <f xml:space="preserve"> ConTime!AA$82</f>
        <v>1</v>
      </c>
      <c r="AB35" s="186">
        <f xml:space="preserve"> ConTime!AB$82</f>
        <v>1</v>
      </c>
      <c r="AC35" s="186">
        <f xml:space="preserve"> ConTime!AC$82</f>
        <v>1</v>
      </c>
      <c r="AD35" s="186">
        <f xml:space="preserve"> ConTime!AD$82</f>
        <v>1</v>
      </c>
      <c r="AE35" s="186">
        <f xml:space="preserve"> ConTime!AE$82</f>
        <v>1</v>
      </c>
      <c r="AF35" s="186">
        <f xml:space="preserve"> ConTime!AF$82</f>
        <v>1</v>
      </c>
      <c r="AG35" s="186">
        <f xml:space="preserve"> ConTime!AG$82</f>
        <v>1</v>
      </c>
      <c r="AH35" s="186">
        <f xml:space="preserve"> ConTime!AH$82</f>
        <v>1</v>
      </c>
      <c r="AI35" s="186">
        <f xml:space="preserve"> ConTime!AI$82</f>
        <v>1</v>
      </c>
      <c r="AJ35" s="186">
        <f xml:space="preserve"> ConTime!AJ$82</f>
        <v>1</v>
      </c>
      <c r="AK35" s="186">
        <f xml:space="preserve"> ConTime!AK$82</f>
        <v>1</v>
      </c>
      <c r="AL35" s="186">
        <f xml:space="preserve"> ConTime!AL$82</f>
        <v>1</v>
      </c>
      <c r="AM35" s="186">
        <f xml:space="preserve"> ConTime!AM$82</f>
        <v>1</v>
      </c>
      <c r="AN35" s="186">
        <f xml:space="preserve"> ConTime!AN$82</f>
        <v>0</v>
      </c>
      <c r="AO35" s="186">
        <f xml:space="preserve"> ConTime!AO$82</f>
        <v>0</v>
      </c>
      <c r="AP35" s="186">
        <f xml:space="preserve"> ConTime!AP$82</f>
        <v>0</v>
      </c>
      <c r="AQ35" s="186">
        <f xml:space="preserve"> ConTime!AQ$82</f>
        <v>0</v>
      </c>
      <c r="AR35" s="186">
        <f xml:space="preserve"> ConTime!AR$82</f>
        <v>0</v>
      </c>
      <c r="AS35" s="186">
        <f xml:space="preserve"> ConTime!AS$82</f>
        <v>0</v>
      </c>
      <c r="AT35" s="186">
        <f xml:space="preserve"> ConTime!AT$82</f>
        <v>0</v>
      </c>
      <c r="AU35" s="186">
        <f xml:space="preserve"> ConTime!AU$82</f>
        <v>0</v>
      </c>
      <c r="AV35" s="186">
        <f xml:space="preserve"> ConTime!AV$82</f>
        <v>0</v>
      </c>
      <c r="AW35" s="186">
        <f xml:space="preserve"> ConTime!AW$82</f>
        <v>0</v>
      </c>
      <c r="AX35" s="186">
        <f xml:space="preserve"> ConTime!AX$82</f>
        <v>0</v>
      </c>
      <c r="AY35" s="186">
        <f xml:space="preserve"> ConTime!AY$82</f>
        <v>0</v>
      </c>
      <c r="AZ35" s="186">
        <f xml:space="preserve"> ConTime!AZ$82</f>
        <v>0</v>
      </c>
      <c r="BA35" s="186">
        <f xml:space="preserve"> ConTime!BA$82</f>
        <v>0</v>
      </c>
      <c r="BB35" s="186">
        <f xml:space="preserve"> ConTime!BB$82</f>
        <v>0</v>
      </c>
      <c r="BC35" s="186">
        <f xml:space="preserve"> ConTime!BC$82</f>
        <v>0</v>
      </c>
      <c r="BD35" s="186">
        <f xml:space="preserve"> ConTime!BD$82</f>
        <v>0</v>
      </c>
      <c r="BE35" s="186">
        <f xml:space="preserve"> ConTime!BE$82</f>
        <v>0</v>
      </c>
    </row>
    <row r="36" spans="1:57" s="188" customFormat="1" outlineLevel="2" x14ac:dyDescent="0.2">
      <c r="A36" s="141"/>
      <c r="B36" s="141"/>
      <c r="C36" s="142"/>
      <c r="D36" s="143"/>
      <c r="E36" s="187" t="s">
        <v>257</v>
      </c>
      <c r="F36" s="187"/>
      <c r="G36" s="187" t="str">
        <f xml:space="preserve"> SMU</f>
        <v>$ 000s</v>
      </c>
      <c r="H36" s="187">
        <f xml:space="preserve"> SUM(J36:BE36)</f>
        <v>697.30772000000013</v>
      </c>
      <c r="I36" s="144"/>
      <c r="J36" s="187">
        <f t="shared" ref="J36:BE36" si="4" xml:space="preserve"> $F34 * J35</f>
        <v>0</v>
      </c>
      <c r="K36" s="187">
        <f t="shared" si="4"/>
        <v>0</v>
      </c>
      <c r="L36" s="187">
        <f t="shared" si="4"/>
        <v>0</v>
      </c>
      <c r="M36" s="187">
        <f t="shared" si="4"/>
        <v>0</v>
      </c>
      <c r="N36" s="187">
        <f t="shared" si="4"/>
        <v>26.819527692307695</v>
      </c>
      <c r="O36" s="187">
        <f t="shared" si="4"/>
        <v>26.819527692307695</v>
      </c>
      <c r="P36" s="187">
        <f t="shared" si="4"/>
        <v>26.819527692307695</v>
      </c>
      <c r="Q36" s="187">
        <f t="shared" si="4"/>
        <v>26.819527692307695</v>
      </c>
      <c r="R36" s="187">
        <f t="shared" si="4"/>
        <v>26.819527692307695</v>
      </c>
      <c r="S36" s="187">
        <f t="shared" si="4"/>
        <v>26.819527692307695</v>
      </c>
      <c r="T36" s="187">
        <f t="shared" si="4"/>
        <v>26.819527692307695</v>
      </c>
      <c r="U36" s="187">
        <f t="shared" si="4"/>
        <v>26.819527692307695</v>
      </c>
      <c r="V36" s="187">
        <f t="shared" si="4"/>
        <v>26.819527692307695</v>
      </c>
      <c r="W36" s="187">
        <f t="shared" si="4"/>
        <v>26.819527692307695</v>
      </c>
      <c r="X36" s="187">
        <f t="shared" si="4"/>
        <v>26.819527692307695</v>
      </c>
      <c r="Y36" s="187">
        <f t="shared" si="4"/>
        <v>26.819527692307695</v>
      </c>
      <c r="Z36" s="187">
        <f t="shared" si="4"/>
        <v>26.819527692307695</v>
      </c>
      <c r="AA36" s="187">
        <f t="shared" si="4"/>
        <v>26.819527692307695</v>
      </c>
      <c r="AB36" s="187">
        <f t="shared" si="4"/>
        <v>26.819527692307695</v>
      </c>
      <c r="AC36" s="187">
        <f t="shared" si="4"/>
        <v>26.819527692307695</v>
      </c>
      <c r="AD36" s="187">
        <f t="shared" si="4"/>
        <v>26.819527692307695</v>
      </c>
      <c r="AE36" s="187">
        <f t="shared" si="4"/>
        <v>26.819527692307695</v>
      </c>
      <c r="AF36" s="187">
        <f t="shared" si="4"/>
        <v>26.819527692307695</v>
      </c>
      <c r="AG36" s="187">
        <f t="shared" si="4"/>
        <v>26.819527692307695</v>
      </c>
      <c r="AH36" s="187">
        <f t="shared" si="4"/>
        <v>26.819527692307695</v>
      </c>
      <c r="AI36" s="187">
        <f t="shared" si="4"/>
        <v>26.819527692307695</v>
      </c>
      <c r="AJ36" s="187">
        <f t="shared" si="4"/>
        <v>26.819527692307695</v>
      </c>
      <c r="AK36" s="187">
        <f t="shared" si="4"/>
        <v>26.819527692307695</v>
      </c>
      <c r="AL36" s="187">
        <f t="shared" si="4"/>
        <v>26.819527692307695</v>
      </c>
      <c r="AM36" s="187">
        <f t="shared" si="4"/>
        <v>26.819527692307695</v>
      </c>
      <c r="AN36" s="187">
        <f t="shared" si="4"/>
        <v>0</v>
      </c>
      <c r="AO36" s="187">
        <f t="shared" si="4"/>
        <v>0</v>
      </c>
      <c r="AP36" s="187">
        <f t="shared" si="4"/>
        <v>0</v>
      </c>
      <c r="AQ36" s="187">
        <f t="shared" si="4"/>
        <v>0</v>
      </c>
      <c r="AR36" s="187">
        <f t="shared" si="4"/>
        <v>0</v>
      </c>
      <c r="AS36" s="187">
        <f t="shared" si="4"/>
        <v>0</v>
      </c>
      <c r="AT36" s="187">
        <f t="shared" si="4"/>
        <v>0</v>
      </c>
      <c r="AU36" s="187">
        <f t="shared" si="4"/>
        <v>0</v>
      </c>
      <c r="AV36" s="187">
        <f t="shared" si="4"/>
        <v>0</v>
      </c>
      <c r="AW36" s="187">
        <f t="shared" si="4"/>
        <v>0</v>
      </c>
      <c r="AX36" s="187">
        <f t="shared" si="4"/>
        <v>0</v>
      </c>
      <c r="AY36" s="187">
        <f t="shared" si="4"/>
        <v>0</v>
      </c>
      <c r="AZ36" s="187">
        <f t="shared" si="4"/>
        <v>0</v>
      </c>
      <c r="BA36" s="187">
        <f t="shared" si="4"/>
        <v>0</v>
      </c>
      <c r="BB36" s="187">
        <f t="shared" si="4"/>
        <v>0</v>
      </c>
      <c r="BC36" s="187">
        <f t="shared" si="4"/>
        <v>0</v>
      </c>
      <c r="BD36" s="187">
        <f t="shared" si="4"/>
        <v>0</v>
      </c>
      <c r="BE36" s="187">
        <f t="shared" si="4"/>
        <v>0</v>
      </c>
    </row>
    <row r="37" spans="1:57" outlineLevel="1" x14ac:dyDescent="0.2"/>
    <row r="38" spans="1:57" outlineLevel="1" x14ac:dyDescent="0.2">
      <c r="B38" s="15" t="s">
        <v>245</v>
      </c>
    </row>
    <row r="39" spans="1:57" s="191" customFormat="1" outlineLevel="2" x14ac:dyDescent="0.2">
      <c r="A39" s="236"/>
      <c r="B39" s="236"/>
      <c r="C39" s="237"/>
      <c r="D39" s="238"/>
      <c r="E39" s="145" t="str">
        <f xml:space="preserve"> InpC!E$140</f>
        <v>Construction insurance - base amount</v>
      </c>
      <c r="F39" s="145">
        <f xml:space="preserve"> InpC!F$140</f>
        <v>1300</v>
      </c>
      <c r="G39" s="145" t="str">
        <f xml:space="preserve"> InpC!G$140</f>
        <v>$ 000s</v>
      </c>
      <c r="H39" s="281"/>
      <c r="I39" s="235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V39" s="234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4"/>
      <c r="AI39" s="234"/>
      <c r="AJ39" s="234"/>
      <c r="AK39" s="234"/>
      <c r="AL39" s="234"/>
      <c r="AM39" s="234"/>
      <c r="AN39" s="234"/>
      <c r="AO39" s="234"/>
      <c r="AP39" s="234"/>
      <c r="AQ39" s="234"/>
      <c r="AR39" s="234"/>
      <c r="AS39" s="234"/>
      <c r="AT39" s="234"/>
      <c r="AU39" s="234"/>
      <c r="AV39" s="234"/>
      <c r="AW39" s="234"/>
      <c r="AX39" s="234"/>
      <c r="AY39" s="234"/>
      <c r="AZ39" s="234"/>
      <c r="BA39" s="234"/>
      <c r="BB39" s="234"/>
      <c r="BC39" s="234"/>
      <c r="BD39" s="234"/>
      <c r="BE39" s="234"/>
    </row>
    <row r="40" spans="1:57" outlineLevel="2" x14ac:dyDescent="0.2">
      <c r="E40" s="189" t="str">
        <f xml:space="preserve"> ConTime!E$64</f>
        <v>Financial close date flag - m</v>
      </c>
      <c r="F40" s="189">
        <f xml:space="preserve"> ConTime!F$64</f>
        <v>0</v>
      </c>
      <c r="G40" s="189" t="str">
        <f xml:space="preserve"> ConTime!G$64</f>
        <v>flag</v>
      </c>
      <c r="H40" s="189">
        <f xml:space="preserve"> ConTime!H$64</f>
        <v>1</v>
      </c>
      <c r="I40" s="189">
        <f xml:space="preserve"> ConTime!I$64</f>
        <v>0</v>
      </c>
      <c r="J40" s="189">
        <f xml:space="preserve"> ConTime!J$64</f>
        <v>0</v>
      </c>
      <c r="K40" s="189">
        <f xml:space="preserve"> ConTime!K$64</f>
        <v>0</v>
      </c>
      <c r="L40" s="189">
        <f xml:space="preserve"> ConTime!L$64</f>
        <v>0</v>
      </c>
      <c r="M40" s="189">
        <f xml:space="preserve"> ConTime!M$64</f>
        <v>1</v>
      </c>
      <c r="N40" s="189">
        <f xml:space="preserve"> ConTime!N$64</f>
        <v>0</v>
      </c>
      <c r="O40" s="189">
        <f xml:space="preserve"> ConTime!O$64</f>
        <v>0</v>
      </c>
      <c r="P40" s="189">
        <f xml:space="preserve"> ConTime!P$64</f>
        <v>0</v>
      </c>
      <c r="Q40" s="189">
        <f xml:space="preserve"> ConTime!Q$64</f>
        <v>0</v>
      </c>
      <c r="R40" s="189">
        <f xml:space="preserve"> ConTime!R$64</f>
        <v>0</v>
      </c>
      <c r="S40" s="189">
        <f xml:space="preserve"> ConTime!S$64</f>
        <v>0</v>
      </c>
      <c r="T40" s="189">
        <f xml:space="preserve"> ConTime!T$64</f>
        <v>0</v>
      </c>
      <c r="U40" s="189">
        <f xml:space="preserve"> ConTime!U$64</f>
        <v>0</v>
      </c>
      <c r="V40" s="189">
        <f xml:space="preserve"> ConTime!V$64</f>
        <v>0</v>
      </c>
      <c r="W40" s="189">
        <f xml:space="preserve"> ConTime!W$64</f>
        <v>0</v>
      </c>
      <c r="X40" s="189">
        <f xml:space="preserve"> ConTime!X$64</f>
        <v>0</v>
      </c>
      <c r="Y40" s="189">
        <f xml:space="preserve"> ConTime!Y$64</f>
        <v>0</v>
      </c>
      <c r="Z40" s="189">
        <f xml:space="preserve"> ConTime!Z$64</f>
        <v>0</v>
      </c>
      <c r="AA40" s="189">
        <f xml:space="preserve"> ConTime!AA$64</f>
        <v>0</v>
      </c>
      <c r="AB40" s="189">
        <f xml:space="preserve"> ConTime!AB$64</f>
        <v>0</v>
      </c>
      <c r="AC40" s="189">
        <f xml:space="preserve"> ConTime!AC$64</f>
        <v>0</v>
      </c>
      <c r="AD40" s="189">
        <f xml:space="preserve"> ConTime!AD$64</f>
        <v>0</v>
      </c>
      <c r="AE40" s="189">
        <f xml:space="preserve"> ConTime!AE$64</f>
        <v>0</v>
      </c>
      <c r="AF40" s="189">
        <f xml:space="preserve"> ConTime!AF$64</f>
        <v>0</v>
      </c>
      <c r="AG40" s="189">
        <f xml:space="preserve"> ConTime!AG$64</f>
        <v>0</v>
      </c>
      <c r="AH40" s="189">
        <f xml:space="preserve"> ConTime!AH$64</f>
        <v>0</v>
      </c>
      <c r="AI40" s="189">
        <f xml:space="preserve"> ConTime!AI$64</f>
        <v>0</v>
      </c>
      <c r="AJ40" s="189">
        <f xml:space="preserve"> ConTime!AJ$64</f>
        <v>0</v>
      </c>
      <c r="AK40" s="189">
        <f xml:space="preserve"> ConTime!AK$64</f>
        <v>0</v>
      </c>
      <c r="AL40" s="189">
        <f xml:space="preserve"> ConTime!AL$64</f>
        <v>0</v>
      </c>
      <c r="AM40" s="189">
        <f xml:space="preserve"> ConTime!AM$64</f>
        <v>0</v>
      </c>
      <c r="AN40" s="189">
        <f xml:space="preserve"> ConTime!AN$64</f>
        <v>0</v>
      </c>
      <c r="AO40" s="189">
        <f xml:space="preserve"> ConTime!AO$64</f>
        <v>0</v>
      </c>
      <c r="AP40" s="189">
        <f xml:space="preserve"> ConTime!AP$64</f>
        <v>0</v>
      </c>
      <c r="AQ40" s="189">
        <f xml:space="preserve"> ConTime!AQ$64</f>
        <v>0</v>
      </c>
      <c r="AR40" s="189">
        <f xml:space="preserve"> ConTime!AR$64</f>
        <v>0</v>
      </c>
      <c r="AS40" s="189">
        <f xml:space="preserve"> ConTime!AS$64</f>
        <v>0</v>
      </c>
      <c r="AT40" s="189">
        <f xml:space="preserve"> ConTime!AT$64</f>
        <v>0</v>
      </c>
      <c r="AU40" s="189">
        <f xml:space="preserve"> ConTime!AU$64</f>
        <v>0</v>
      </c>
      <c r="AV40" s="189">
        <f xml:space="preserve"> ConTime!AV$64</f>
        <v>0</v>
      </c>
      <c r="AW40" s="189">
        <f xml:space="preserve"> ConTime!AW$64</f>
        <v>0</v>
      </c>
      <c r="AX40" s="189">
        <f xml:space="preserve"> ConTime!AX$64</f>
        <v>0</v>
      </c>
      <c r="AY40" s="189">
        <f xml:space="preserve"> ConTime!AY$64</f>
        <v>0</v>
      </c>
      <c r="AZ40" s="189">
        <f xml:space="preserve"> ConTime!AZ$64</f>
        <v>0</v>
      </c>
      <c r="BA40" s="189">
        <f xml:space="preserve"> ConTime!BA$64</f>
        <v>0</v>
      </c>
      <c r="BB40" s="189">
        <f xml:space="preserve"> ConTime!BB$64</f>
        <v>0</v>
      </c>
      <c r="BC40" s="189">
        <f xml:space="preserve"> ConTime!BC$64</f>
        <v>0</v>
      </c>
      <c r="BD40" s="189">
        <f xml:space="preserve"> ConTime!BD$64</f>
        <v>0</v>
      </c>
      <c r="BE40" s="189">
        <f xml:space="preserve"> ConTime!BE$64</f>
        <v>0</v>
      </c>
    </row>
    <row r="41" spans="1:57" s="188" customFormat="1" outlineLevel="2" x14ac:dyDescent="0.2">
      <c r="A41" s="141"/>
      <c r="B41" s="141"/>
      <c r="C41" s="142"/>
      <c r="D41" s="143"/>
      <c r="E41" s="187" t="s">
        <v>259</v>
      </c>
      <c r="F41" s="187"/>
      <c r="G41" s="187" t="str">
        <f xml:space="preserve"> SMU</f>
        <v>$ 000s</v>
      </c>
      <c r="H41" s="187">
        <f xml:space="preserve"> SUM(J41:BE41)</f>
        <v>1300</v>
      </c>
      <c r="I41" s="144"/>
      <c r="J41" s="187">
        <f t="shared" ref="J41:BE41" si="5" xml:space="preserve"> $F39 * J40</f>
        <v>0</v>
      </c>
      <c r="K41" s="187">
        <f t="shared" si="5"/>
        <v>0</v>
      </c>
      <c r="L41" s="187">
        <f t="shared" si="5"/>
        <v>0</v>
      </c>
      <c r="M41" s="187">
        <f t="shared" si="5"/>
        <v>1300</v>
      </c>
      <c r="N41" s="187">
        <f t="shared" si="5"/>
        <v>0</v>
      </c>
      <c r="O41" s="187">
        <f t="shared" si="5"/>
        <v>0</v>
      </c>
      <c r="P41" s="187">
        <f t="shared" si="5"/>
        <v>0</v>
      </c>
      <c r="Q41" s="187">
        <f t="shared" si="5"/>
        <v>0</v>
      </c>
      <c r="R41" s="187">
        <f t="shared" si="5"/>
        <v>0</v>
      </c>
      <c r="S41" s="187">
        <f t="shared" si="5"/>
        <v>0</v>
      </c>
      <c r="T41" s="187">
        <f t="shared" si="5"/>
        <v>0</v>
      </c>
      <c r="U41" s="187">
        <f t="shared" si="5"/>
        <v>0</v>
      </c>
      <c r="V41" s="187">
        <f t="shared" si="5"/>
        <v>0</v>
      </c>
      <c r="W41" s="187">
        <f t="shared" si="5"/>
        <v>0</v>
      </c>
      <c r="X41" s="187">
        <f t="shared" si="5"/>
        <v>0</v>
      </c>
      <c r="Y41" s="187">
        <f t="shared" si="5"/>
        <v>0</v>
      </c>
      <c r="Z41" s="187">
        <f t="shared" si="5"/>
        <v>0</v>
      </c>
      <c r="AA41" s="187">
        <f t="shared" si="5"/>
        <v>0</v>
      </c>
      <c r="AB41" s="187">
        <f t="shared" si="5"/>
        <v>0</v>
      </c>
      <c r="AC41" s="187">
        <f t="shared" si="5"/>
        <v>0</v>
      </c>
      <c r="AD41" s="187">
        <f t="shared" si="5"/>
        <v>0</v>
      </c>
      <c r="AE41" s="187">
        <f t="shared" si="5"/>
        <v>0</v>
      </c>
      <c r="AF41" s="187">
        <f t="shared" si="5"/>
        <v>0</v>
      </c>
      <c r="AG41" s="187">
        <f t="shared" si="5"/>
        <v>0</v>
      </c>
      <c r="AH41" s="187">
        <f t="shared" si="5"/>
        <v>0</v>
      </c>
      <c r="AI41" s="187">
        <f t="shared" si="5"/>
        <v>0</v>
      </c>
      <c r="AJ41" s="187">
        <f t="shared" si="5"/>
        <v>0</v>
      </c>
      <c r="AK41" s="187">
        <f t="shared" si="5"/>
        <v>0</v>
      </c>
      <c r="AL41" s="187">
        <f t="shared" si="5"/>
        <v>0</v>
      </c>
      <c r="AM41" s="187">
        <f t="shared" si="5"/>
        <v>0</v>
      </c>
      <c r="AN41" s="187">
        <f t="shared" si="5"/>
        <v>0</v>
      </c>
      <c r="AO41" s="187">
        <f t="shared" si="5"/>
        <v>0</v>
      </c>
      <c r="AP41" s="187">
        <f t="shared" si="5"/>
        <v>0</v>
      </c>
      <c r="AQ41" s="187">
        <f t="shared" si="5"/>
        <v>0</v>
      </c>
      <c r="AR41" s="187">
        <f t="shared" si="5"/>
        <v>0</v>
      </c>
      <c r="AS41" s="187">
        <f t="shared" si="5"/>
        <v>0</v>
      </c>
      <c r="AT41" s="187">
        <f t="shared" si="5"/>
        <v>0</v>
      </c>
      <c r="AU41" s="187">
        <f t="shared" si="5"/>
        <v>0</v>
      </c>
      <c r="AV41" s="187">
        <f t="shared" si="5"/>
        <v>0</v>
      </c>
      <c r="AW41" s="187">
        <f t="shared" si="5"/>
        <v>0</v>
      </c>
      <c r="AX41" s="187">
        <f t="shared" si="5"/>
        <v>0</v>
      </c>
      <c r="AY41" s="187">
        <f t="shared" si="5"/>
        <v>0</v>
      </c>
      <c r="AZ41" s="187">
        <f t="shared" si="5"/>
        <v>0</v>
      </c>
      <c r="BA41" s="187">
        <f t="shared" si="5"/>
        <v>0</v>
      </c>
      <c r="BB41" s="187">
        <f t="shared" si="5"/>
        <v>0</v>
      </c>
      <c r="BC41" s="187">
        <f t="shared" si="5"/>
        <v>0</v>
      </c>
      <c r="BD41" s="187">
        <f t="shared" si="5"/>
        <v>0</v>
      </c>
      <c r="BE41" s="187">
        <f t="shared" si="5"/>
        <v>0</v>
      </c>
    </row>
    <row r="42" spans="1:57" outlineLevel="1" x14ac:dyDescent="0.2"/>
    <row r="43" spans="1:57" outlineLevel="1" x14ac:dyDescent="0.2">
      <c r="B43" s="15" t="s">
        <v>246</v>
      </c>
    </row>
    <row r="44" spans="1:57" s="191" customFormat="1" outlineLevel="2" x14ac:dyDescent="0.2">
      <c r="A44" s="236"/>
      <c r="B44" s="236"/>
      <c r="C44" s="237"/>
      <c r="D44" s="238"/>
      <c r="E44" s="145" t="str">
        <f xml:space="preserve"> InpC!E$141</f>
        <v>Development costs - base amount</v>
      </c>
      <c r="F44" s="145">
        <f xml:space="preserve"> InpC!F$141</f>
        <v>5000</v>
      </c>
      <c r="G44" s="145" t="str">
        <f xml:space="preserve"> InpC!G$141</f>
        <v>$ 000s</v>
      </c>
      <c r="H44" s="281"/>
      <c r="I44" s="235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234"/>
      <c r="W44" s="234"/>
      <c r="X44" s="234"/>
      <c r="Y44" s="234"/>
      <c r="Z44" s="234"/>
      <c r="AA44" s="234"/>
      <c r="AB44" s="234"/>
      <c r="AC44" s="234"/>
      <c r="AD44" s="234"/>
      <c r="AE44" s="234"/>
      <c r="AF44" s="234"/>
      <c r="AG44" s="234"/>
      <c r="AH44" s="234"/>
      <c r="AI44" s="234"/>
      <c r="AJ44" s="234"/>
      <c r="AK44" s="234"/>
      <c r="AL44" s="234"/>
      <c r="AM44" s="234"/>
      <c r="AN44" s="234"/>
      <c r="AO44" s="234"/>
      <c r="AP44" s="234"/>
      <c r="AQ44" s="234"/>
      <c r="AR44" s="234"/>
      <c r="AS44" s="234"/>
      <c r="AT44" s="234"/>
      <c r="AU44" s="234"/>
      <c r="AV44" s="234"/>
      <c r="AW44" s="234"/>
      <c r="AX44" s="234"/>
      <c r="AY44" s="234"/>
      <c r="AZ44" s="234"/>
      <c r="BA44" s="234"/>
      <c r="BB44" s="234"/>
      <c r="BC44" s="234"/>
      <c r="BD44" s="234"/>
      <c r="BE44" s="234"/>
    </row>
    <row r="45" spans="1:57" outlineLevel="2" x14ac:dyDescent="0.2">
      <c r="E45" s="189" t="str">
        <f xml:space="preserve"> ConTime!E$64</f>
        <v>Financial close date flag - m</v>
      </c>
      <c r="F45" s="189">
        <f xml:space="preserve"> ConTime!F$64</f>
        <v>0</v>
      </c>
      <c r="G45" s="189" t="str">
        <f xml:space="preserve"> ConTime!G$64</f>
        <v>flag</v>
      </c>
      <c r="H45" s="189">
        <f xml:space="preserve"> ConTime!H$64</f>
        <v>1</v>
      </c>
      <c r="I45" s="189">
        <f xml:space="preserve"> ConTime!I$64</f>
        <v>0</v>
      </c>
      <c r="J45" s="189">
        <f xml:space="preserve"> ConTime!J$64</f>
        <v>0</v>
      </c>
      <c r="K45" s="189">
        <f xml:space="preserve"> ConTime!K$64</f>
        <v>0</v>
      </c>
      <c r="L45" s="189">
        <f xml:space="preserve"> ConTime!L$64</f>
        <v>0</v>
      </c>
      <c r="M45" s="189">
        <f xml:space="preserve"> ConTime!M$64</f>
        <v>1</v>
      </c>
      <c r="N45" s="189">
        <f xml:space="preserve"> ConTime!N$64</f>
        <v>0</v>
      </c>
      <c r="O45" s="189">
        <f xml:space="preserve"> ConTime!O$64</f>
        <v>0</v>
      </c>
      <c r="P45" s="189">
        <f xml:space="preserve"> ConTime!P$64</f>
        <v>0</v>
      </c>
      <c r="Q45" s="189">
        <f xml:space="preserve"> ConTime!Q$64</f>
        <v>0</v>
      </c>
      <c r="R45" s="189">
        <f xml:space="preserve"> ConTime!R$64</f>
        <v>0</v>
      </c>
      <c r="S45" s="189">
        <f xml:space="preserve"> ConTime!S$64</f>
        <v>0</v>
      </c>
      <c r="T45" s="189">
        <f xml:space="preserve"> ConTime!T$64</f>
        <v>0</v>
      </c>
      <c r="U45" s="189">
        <f xml:space="preserve"> ConTime!U$64</f>
        <v>0</v>
      </c>
      <c r="V45" s="189">
        <f xml:space="preserve"> ConTime!V$64</f>
        <v>0</v>
      </c>
      <c r="W45" s="189">
        <f xml:space="preserve"> ConTime!W$64</f>
        <v>0</v>
      </c>
      <c r="X45" s="189">
        <f xml:space="preserve"> ConTime!X$64</f>
        <v>0</v>
      </c>
      <c r="Y45" s="189">
        <f xml:space="preserve"> ConTime!Y$64</f>
        <v>0</v>
      </c>
      <c r="Z45" s="189">
        <f xml:space="preserve"> ConTime!Z$64</f>
        <v>0</v>
      </c>
      <c r="AA45" s="189">
        <f xml:space="preserve"> ConTime!AA$64</f>
        <v>0</v>
      </c>
      <c r="AB45" s="189">
        <f xml:space="preserve"> ConTime!AB$64</f>
        <v>0</v>
      </c>
      <c r="AC45" s="189">
        <f xml:space="preserve"> ConTime!AC$64</f>
        <v>0</v>
      </c>
      <c r="AD45" s="189">
        <f xml:space="preserve"> ConTime!AD$64</f>
        <v>0</v>
      </c>
      <c r="AE45" s="189">
        <f xml:space="preserve"> ConTime!AE$64</f>
        <v>0</v>
      </c>
      <c r="AF45" s="189">
        <f xml:space="preserve"> ConTime!AF$64</f>
        <v>0</v>
      </c>
      <c r="AG45" s="189">
        <f xml:space="preserve"> ConTime!AG$64</f>
        <v>0</v>
      </c>
      <c r="AH45" s="189">
        <f xml:space="preserve"> ConTime!AH$64</f>
        <v>0</v>
      </c>
      <c r="AI45" s="189">
        <f xml:space="preserve"> ConTime!AI$64</f>
        <v>0</v>
      </c>
      <c r="AJ45" s="189">
        <f xml:space="preserve"> ConTime!AJ$64</f>
        <v>0</v>
      </c>
      <c r="AK45" s="189">
        <f xml:space="preserve"> ConTime!AK$64</f>
        <v>0</v>
      </c>
      <c r="AL45" s="189">
        <f xml:space="preserve"> ConTime!AL$64</f>
        <v>0</v>
      </c>
      <c r="AM45" s="189">
        <f xml:space="preserve"> ConTime!AM$64</f>
        <v>0</v>
      </c>
      <c r="AN45" s="189">
        <f xml:space="preserve"> ConTime!AN$64</f>
        <v>0</v>
      </c>
      <c r="AO45" s="189">
        <f xml:space="preserve"> ConTime!AO$64</f>
        <v>0</v>
      </c>
      <c r="AP45" s="189">
        <f xml:space="preserve"> ConTime!AP$64</f>
        <v>0</v>
      </c>
      <c r="AQ45" s="189">
        <f xml:space="preserve"> ConTime!AQ$64</f>
        <v>0</v>
      </c>
      <c r="AR45" s="189">
        <f xml:space="preserve"> ConTime!AR$64</f>
        <v>0</v>
      </c>
      <c r="AS45" s="189">
        <f xml:space="preserve"> ConTime!AS$64</f>
        <v>0</v>
      </c>
      <c r="AT45" s="189">
        <f xml:space="preserve"> ConTime!AT$64</f>
        <v>0</v>
      </c>
      <c r="AU45" s="189">
        <f xml:space="preserve"> ConTime!AU$64</f>
        <v>0</v>
      </c>
      <c r="AV45" s="189">
        <f xml:space="preserve"> ConTime!AV$64</f>
        <v>0</v>
      </c>
      <c r="AW45" s="189">
        <f xml:space="preserve"> ConTime!AW$64</f>
        <v>0</v>
      </c>
      <c r="AX45" s="189">
        <f xml:space="preserve"> ConTime!AX$64</f>
        <v>0</v>
      </c>
      <c r="AY45" s="189">
        <f xml:space="preserve"> ConTime!AY$64</f>
        <v>0</v>
      </c>
      <c r="AZ45" s="189">
        <f xml:space="preserve"> ConTime!AZ$64</f>
        <v>0</v>
      </c>
      <c r="BA45" s="189">
        <f xml:space="preserve"> ConTime!BA$64</f>
        <v>0</v>
      </c>
      <c r="BB45" s="189">
        <f xml:space="preserve"> ConTime!BB$64</f>
        <v>0</v>
      </c>
      <c r="BC45" s="189">
        <f xml:space="preserve"> ConTime!BC$64</f>
        <v>0</v>
      </c>
      <c r="BD45" s="189">
        <f xml:space="preserve"> ConTime!BD$64</f>
        <v>0</v>
      </c>
      <c r="BE45" s="189">
        <f xml:space="preserve"> ConTime!BE$64</f>
        <v>0</v>
      </c>
    </row>
    <row r="46" spans="1:57" s="188" customFormat="1" outlineLevel="2" x14ac:dyDescent="0.2">
      <c r="A46" s="141"/>
      <c r="B46" s="141"/>
      <c r="C46" s="142"/>
      <c r="D46" s="143"/>
      <c r="E46" s="187" t="s">
        <v>246</v>
      </c>
      <c r="F46" s="187"/>
      <c r="G46" s="187" t="str">
        <f xml:space="preserve"> SMU</f>
        <v>$ 000s</v>
      </c>
      <c r="H46" s="187">
        <f xml:space="preserve"> SUM(J46:BE46)</f>
        <v>5000</v>
      </c>
      <c r="I46" s="144"/>
      <c r="J46" s="187">
        <f t="shared" ref="J46:BE46" si="6" xml:space="preserve"> $F44 * J45</f>
        <v>0</v>
      </c>
      <c r="K46" s="187">
        <f t="shared" si="6"/>
        <v>0</v>
      </c>
      <c r="L46" s="187">
        <f t="shared" si="6"/>
        <v>0</v>
      </c>
      <c r="M46" s="187">
        <f t="shared" si="6"/>
        <v>5000</v>
      </c>
      <c r="N46" s="187">
        <f t="shared" si="6"/>
        <v>0</v>
      </c>
      <c r="O46" s="187">
        <f t="shared" si="6"/>
        <v>0</v>
      </c>
      <c r="P46" s="187">
        <f t="shared" si="6"/>
        <v>0</v>
      </c>
      <c r="Q46" s="187">
        <f t="shared" si="6"/>
        <v>0</v>
      </c>
      <c r="R46" s="187">
        <f t="shared" si="6"/>
        <v>0</v>
      </c>
      <c r="S46" s="187">
        <f t="shared" si="6"/>
        <v>0</v>
      </c>
      <c r="T46" s="187">
        <f t="shared" si="6"/>
        <v>0</v>
      </c>
      <c r="U46" s="187">
        <f t="shared" si="6"/>
        <v>0</v>
      </c>
      <c r="V46" s="187">
        <f t="shared" si="6"/>
        <v>0</v>
      </c>
      <c r="W46" s="187">
        <f t="shared" si="6"/>
        <v>0</v>
      </c>
      <c r="X46" s="187">
        <f t="shared" si="6"/>
        <v>0</v>
      </c>
      <c r="Y46" s="187">
        <f t="shared" si="6"/>
        <v>0</v>
      </c>
      <c r="Z46" s="187">
        <f t="shared" si="6"/>
        <v>0</v>
      </c>
      <c r="AA46" s="187">
        <f t="shared" si="6"/>
        <v>0</v>
      </c>
      <c r="AB46" s="187">
        <f t="shared" si="6"/>
        <v>0</v>
      </c>
      <c r="AC46" s="187">
        <f t="shared" si="6"/>
        <v>0</v>
      </c>
      <c r="AD46" s="187">
        <f t="shared" si="6"/>
        <v>0</v>
      </c>
      <c r="AE46" s="187">
        <f t="shared" si="6"/>
        <v>0</v>
      </c>
      <c r="AF46" s="187">
        <f t="shared" si="6"/>
        <v>0</v>
      </c>
      <c r="AG46" s="187">
        <f t="shared" si="6"/>
        <v>0</v>
      </c>
      <c r="AH46" s="187">
        <f t="shared" si="6"/>
        <v>0</v>
      </c>
      <c r="AI46" s="187">
        <f t="shared" si="6"/>
        <v>0</v>
      </c>
      <c r="AJ46" s="187">
        <f t="shared" si="6"/>
        <v>0</v>
      </c>
      <c r="AK46" s="187">
        <f t="shared" si="6"/>
        <v>0</v>
      </c>
      <c r="AL46" s="187">
        <f t="shared" si="6"/>
        <v>0</v>
      </c>
      <c r="AM46" s="187">
        <f t="shared" si="6"/>
        <v>0</v>
      </c>
      <c r="AN46" s="187">
        <f t="shared" si="6"/>
        <v>0</v>
      </c>
      <c r="AO46" s="187">
        <f t="shared" si="6"/>
        <v>0</v>
      </c>
      <c r="AP46" s="187">
        <f t="shared" si="6"/>
        <v>0</v>
      </c>
      <c r="AQ46" s="187">
        <f t="shared" si="6"/>
        <v>0</v>
      </c>
      <c r="AR46" s="187">
        <f t="shared" si="6"/>
        <v>0</v>
      </c>
      <c r="AS46" s="187">
        <f t="shared" si="6"/>
        <v>0</v>
      </c>
      <c r="AT46" s="187">
        <f t="shared" si="6"/>
        <v>0</v>
      </c>
      <c r="AU46" s="187">
        <f t="shared" si="6"/>
        <v>0</v>
      </c>
      <c r="AV46" s="187">
        <f t="shared" si="6"/>
        <v>0</v>
      </c>
      <c r="AW46" s="187">
        <f t="shared" si="6"/>
        <v>0</v>
      </c>
      <c r="AX46" s="187">
        <f t="shared" si="6"/>
        <v>0</v>
      </c>
      <c r="AY46" s="187">
        <f t="shared" si="6"/>
        <v>0</v>
      </c>
      <c r="AZ46" s="187">
        <f t="shared" si="6"/>
        <v>0</v>
      </c>
      <c r="BA46" s="187">
        <f t="shared" si="6"/>
        <v>0</v>
      </c>
      <c r="BB46" s="187">
        <f t="shared" si="6"/>
        <v>0</v>
      </c>
      <c r="BC46" s="187">
        <f t="shared" si="6"/>
        <v>0</v>
      </c>
      <c r="BD46" s="187">
        <f t="shared" si="6"/>
        <v>0</v>
      </c>
      <c r="BE46" s="187">
        <f t="shared" si="6"/>
        <v>0</v>
      </c>
    </row>
    <row r="47" spans="1:57" outlineLevel="1" x14ac:dyDescent="0.2"/>
    <row r="48" spans="1:57" outlineLevel="1" x14ac:dyDescent="0.2">
      <c r="B48" s="15" t="s">
        <v>1124</v>
      </c>
    </row>
    <row r="49" spans="1:57" s="191" customFormat="1" outlineLevel="2" x14ac:dyDescent="0.2">
      <c r="A49" s="236"/>
      <c r="B49" s="236"/>
      <c r="C49" s="237"/>
      <c r="D49" s="238"/>
      <c r="E49" s="145" t="str">
        <f xml:space="preserve"> InpC!E$142</f>
        <v>Success fee - paid at FC</v>
      </c>
      <c r="F49" s="145">
        <f xml:space="preserve"> InpC!F$142</f>
        <v>2000</v>
      </c>
      <c r="G49" s="145" t="str">
        <f xml:space="preserve"> InpC!G$142</f>
        <v>$ 000s</v>
      </c>
      <c r="H49" s="281"/>
      <c r="I49" s="235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234"/>
      <c r="BA49" s="234"/>
      <c r="BB49" s="234"/>
      <c r="BC49" s="234"/>
      <c r="BD49" s="234"/>
      <c r="BE49" s="234"/>
    </row>
    <row r="50" spans="1:57" s="191" customFormat="1" outlineLevel="2" x14ac:dyDescent="0.2">
      <c r="A50" s="236"/>
      <c r="B50" s="236"/>
      <c r="C50" s="237"/>
      <c r="D50" s="238"/>
      <c r="E50" s="145" t="str">
        <f xml:space="preserve"> InpC!E$143</f>
        <v>Success fee - paid at COD</v>
      </c>
      <c r="F50" s="145">
        <f xml:space="preserve"> InpC!F$143</f>
        <v>0</v>
      </c>
      <c r="G50" s="145" t="str">
        <f xml:space="preserve"> InpC!G$143</f>
        <v>$ 000s</v>
      </c>
      <c r="H50" s="281"/>
      <c r="I50" s="235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4"/>
      <c r="Z50" s="234"/>
      <c r="AA50" s="234"/>
      <c r="AB50" s="234"/>
      <c r="AC50" s="234"/>
      <c r="AD50" s="234"/>
      <c r="AE50" s="234"/>
      <c r="AF50" s="234"/>
      <c r="AG50" s="234"/>
      <c r="AH50" s="234"/>
      <c r="AI50" s="234"/>
      <c r="AJ50" s="234"/>
      <c r="AK50" s="234"/>
      <c r="AL50" s="234"/>
      <c r="AM50" s="234"/>
      <c r="AN50" s="234"/>
      <c r="AO50" s="234"/>
      <c r="AP50" s="234"/>
      <c r="AQ50" s="234"/>
      <c r="AR50" s="234"/>
      <c r="AS50" s="234"/>
      <c r="AT50" s="234"/>
      <c r="AU50" s="234"/>
      <c r="AV50" s="234"/>
      <c r="AW50" s="234"/>
      <c r="AX50" s="234"/>
      <c r="AY50" s="234"/>
      <c r="AZ50" s="234"/>
      <c r="BA50" s="234"/>
      <c r="BB50" s="234"/>
      <c r="BC50" s="234"/>
      <c r="BD50" s="234"/>
      <c r="BE50" s="234"/>
    </row>
    <row r="51" spans="1:57" outlineLevel="2" x14ac:dyDescent="0.2">
      <c r="E51" s="189" t="str">
        <f xml:space="preserve"> ConTime!E$64</f>
        <v>Financial close date flag - m</v>
      </c>
      <c r="F51" s="189">
        <f xml:space="preserve"> ConTime!F$64</f>
        <v>0</v>
      </c>
      <c r="G51" s="189" t="str">
        <f xml:space="preserve"> ConTime!G$64</f>
        <v>flag</v>
      </c>
      <c r="H51" s="189">
        <f xml:space="preserve"> ConTime!H$64</f>
        <v>1</v>
      </c>
      <c r="I51" s="189">
        <f xml:space="preserve"> ConTime!I$64</f>
        <v>0</v>
      </c>
      <c r="J51" s="189">
        <f xml:space="preserve"> ConTime!J$64</f>
        <v>0</v>
      </c>
      <c r="K51" s="189">
        <f xml:space="preserve"> ConTime!K$64</f>
        <v>0</v>
      </c>
      <c r="L51" s="189">
        <f xml:space="preserve"> ConTime!L$64</f>
        <v>0</v>
      </c>
      <c r="M51" s="189">
        <f xml:space="preserve"> ConTime!M$64</f>
        <v>1</v>
      </c>
      <c r="N51" s="189">
        <f xml:space="preserve"> ConTime!N$64</f>
        <v>0</v>
      </c>
      <c r="O51" s="189">
        <f xml:space="preserve"> ConTime!O$64</f>
        <v>0</v>
      </c>
      <c r="P51" s="189">
        <f xml:space="preserve"> ConTime!P$64</f>
        <v>0</v>
      </c>
      <c r="Q51" s="189">
        <f xml:space="preserve"> ConTime!Q$64</f>
        <v>0</v>
      </c>
      <c r="R51" s="189">
        <f xml:space="preserve"> ConTime!R$64</f>
        <v>0</v>
      </c>
      <c r="S51" s="189">
        <f xml:space="preserve"> ConTime!S$64</f>
        <v>0</v>
      </c>
      <c r="T51" s="189">
        <f xml:space="preserve"> ConTime!T$64</f>
        <v>0</v>
      </c>
      <c r="U51" s="189">
        <f xml:space="preserve"> ConTime!U$64</f>
        <v>0</v>
      </c>
      <c r="V51" s="189">
        <f xml:space="preserve"> ConTime!V$64</f>
        <v>0</v>
      </c>
      <c r="W51" s="189">
        <f xml:space="preserve"> ConTime!W$64</f>
        <v>0</v>
      </c>
      <c r="X51" s="189">
        <f xml:space="preserve"> ConTime!X$64</f>
        <v>0</v>
      </c>
      <c r="Y51" s="189">
        <f xml:space="preserve"> ConTime!Y$64</f>
        <v>0</v>
      </c>
      <c r="Z51" s="189">
        <f xml:space="preserve"> ConTime!Z$64</f>
        <v>0</v>
      </c>
      <c r="AA51" s="189">
        <f xml:space="preserve"> ConTime!AA$64</f>
        <v>0</v>
      </c>
      <c r="AB51" s="189">
        <f xml:space="preserve"> ConTime!AB$64</f>
        <v>0</v>
      </c>
      <c r="AC51" s="189">
        <f xml:space="preserve"> ConTime!AC$64</f>
        <v>0</v>
      </c>
      <c r="AD51" s="189">
        <f xml:space="preserve"> ConTime!AD$64</f>
        <v>0</v>
      </c>
      <c r="AE51" s="189">
        <f xml:space="preserve"> ConTime!AE$64</f>
        <v>0</v>
      </c>
      <c r="AF51" s="189">
        <f xml:space="preserve"> ConTime!AF$64</f>
        <v>0</v>
      </c>
      <c r="AG51" s="189">
        <f xml:space="preserve"> ConTime!AG$64</f>
        <v>0</v>
      </c>
      <c r="AH51" s="189">
        <f xml:space="preserve"> ConTime!AH$64</f>
        <v>0</v>
      </c>
      <c r="AI51" s="189">
        <f xml:space="preserve"> ConTime!AI$64</f>
        <v>0</v>
      </c>
      <c r="AJ51" s="189">
        <f xml:space="preserve"> ConTime!AJ$64</f>
        <v>0</v>
      </c>
      <c r="AK51" s="189">
        <f xml:space="preserve"> ConTime!AK$64</f>
        <v>0</v>
      </c>
      <c r="AL51" s="189">
        <f xml:space="preserve"> ConTime!AL$64</f>
        <v>0</v>
      </c>
      <c r="AM51" s="189">
        <f xml:space="preserve"> ConTime!AM$64</f>
        <v>0</v>
      </c>
      <c r="AN51" s="189">
        <f xml:space="preserve"> ConTime!AN$64</f>
        <v>0</v>
      </c>
      <c r="AO51" s="189">
        <f xml:space="preserve"> ConTime!AO$64</f>
        <v>0</v>
      </c>
      <c r="AP51" s="189">
        <f xml:space="preserve"> ConTime!AP$64</f>
        <v>0</v>
      </c>
      <c r="AQ51" s="189">
        <f xml:space="preserve"> ConTime!AQ$64</f>
        <v>0</v>
      </c>
      <c r="AR51" s="189">
        <f xml:space="preserve"> ConTime!AR$64</f>
        <v>0</v>
      </c>
      <c r="AS51" s="189">
        <f xml:space="preserve"> ConTime!AS$64</f>
        <v>0</v>
      </c>
      <c r="AT51" s="189">
        <f xml:space="preserve"> ConTime!AT$64</f>
        <v>0</v>
      </c>
      <c r="AU51" s="189">
        <f xml:space="preserve"> ConTime!AU$64</f>
        <v>0</v>
      </c>
      <c r="AV51" s="189">
        <f xml:space="preserve"> ConTime!AV$64</f>
        <v>0</v>
      </c>
      <c r="AW51" s="189">
        <f xml:space="preserve"> ConTime!AW$64</f>
        <v>0</v>
      </c>
      <c r="AX51" s="189">
        <f xml:space="preserve"> ConTime!AX$64</f>
        <v>0</v>
      </c>
      <c r="AY51" s="189">
        <f xml:space="preserve"> ConTime!AY$64</f>
        <v>0</v>
      </c>
      <c r="AZ51" s="189">
        <f xml:space="preserve"> ConTime!AZ$64</f>
        <v>0</v>
      </c>
      <c r="BA51" s="189">
        <f xml:space="preserve"> ConTime!BA$64</f>
        <v>0</v>
      </c>
      <c r="BB51" s="189">
        <f xml:space="preserve"> ConTime!BB$64</f>
        <v>0</v>
      </c>
      <c r="BC51" s="189">
        <f xml:space="preserve"> ConTime!BC$64</f>
        <v>0</v>
      </c>
      <c r="BD51" s="189">
        <f xml:space="preserve"> ConTime!BD$64</f>
        <v>0</v>
      </c>
      <c r="BE51" s="189">
        <f xml:space="preserve"> ConTime!BE$64</f>
        <v>0</v>
      </c>
    </row>
    <row r="52" spans="1:57" outlineLevel="2" x14ac:dyDescent="0.2">
      <c r="E52" s="189" t="str">
        <f xml:space="preserve"> ConTime!E$77</f>
        <v>Last construction period flag - m</v>
      </c>
      <c r="F52" s="189">
        <f xml:space="preserve"> ConTime!F$77</f>
        <v>0</v>
      </c>
      <c r="G52" s="189" t="str">
        <f xml:space="preserve"> ConTime!G$77</f>
        <v>flag</v>
      </c>
      <c r="H52" s="189">
        <f xml:space="preserve"> ConTime!H$77</f>
        <v>1</v>
      </c>
      <c r="I52" s="189">
        <f xml:space="preserve"> ConTime!I$77</f>
        <v>0</v>
      </c>
      <c r="J52" s="189">
        <f xml:space="preserve"> ConTime!J$77</f>
        <v>0</v>
      </c>
      <c r="K52" s="189">
        <f xml:space="preserve"> ConTime!K$77</f>
        <v>0</v>
      </c>
      <c r="L52" s="189">
        <f xml:space="preserve"> ConTime!L$77</f>
        <v>0</v>
      </c>
      <c r="M52" s="189">
        <f xml:space="preserve"> ConTime!M$77</f>
        <v>0</v>
      </c>
      <c r="N52" s="189">
        <f xml:space="preserve"> ConTime!N$77</f>
        <v>0</v>
      </c>
      <c r="O52" s="189">
        <f xml:space="preserve"> ConTime!O$77</f>
        <v>0</v>
      </c>
      <c r="P52" s="189">
        <f xml:space="preserve"> ConTime!P$77</f>
        <v>0</v>
      </c>
      <c r="Q52" s="189">
        <f xml:space="preserve"> ConTime!Q$77</f>
        <v>0</v>
      </c>
      <c r="R52" s="189">
        <f xml:space="preserve"> ConTime!R$77</f>
        <v>0</v>
      </c>
      <c r="S52" s="189">
        <f xml:space="preserve"> ConTime!S$77</f>
        <v>0</v>
      </c>
      <c r="T52" s="189">
        <f xml:space="preserve"> ConTime!T$77</f>
        <v>0</v>
      </c>
      <c r="U52" s="189">
        <f xml:space="preserve"> ConTime!U$77</f>
        <v>0</v>
      </c>
      <c r="V52" s="189">
        <f xml:space="preserve"> ConTime!V$77</f>
        <v>0</v>
      </c>
      <c r="W52" s="189">
        <f xml:space="preserve"> ConTime!W$77</f>
        <v>0</v>
      </c>
      <c r="X52" s="189">
        <f xml:space="preserve"> ConTime!X$77</f>
        <v>0</v>
      </c>
      <c r="Y52" s="189">
        <f xml:space="preserve"> ConTime!Y$77</f>
        <v>0</v>
      </c>
      <c r="Z52" s="189">
        <f xml:space="preserve"> ConTime!Z$77</f>
        <v>0</v>
      </c>
      <c r="AA52" s="189">
        <f xml:space="preserve"> ConTime!AA$77</f>
        <v>0</v>
      </c>
      <c r="AB52" s="189">
        <f xml:space="preserve"> ConTime!AB$77</f>
        <v>0</v>
      </c>
      <c r="AC52" s="189">
        <f xml:space="preserve"> ConTime!AC$77</f>
        <v>0</v>
      </c>
      <c r="AD52" s="189">
        <f xml:space="preserve"> ConTime!AD$77</f>
        <v>0</v>
      </c>
      <c r="AE52" s="189">
        <f xml:space="preserve"> ConTime!AE$77</f>
        <v>0</v>
      </c>
      <c r="AF52" s="189">
        <f xml:space="preserve"> ConTime!AF$77</f>
        <v>0</v>
      </c>
      <c r="AG52" s="189">
        <f xml:space="preserve"> ConTime!AG$77</f>
        <v>0</v>
      </c>
      <c r="AH52" s="189">
        <f xml:space="preserve"> ConTime!AH$77</f>
        <v>0</v>
      </c>
      <c r="AI52" s="189">
        <f xml:space="preserve"> ConTime!AI$77</f>
        <v>0</v>
      </c>
      <c r="AJ52" s="189">
        <f xml:space="preserve"> ConTime!AJ$77</f>
        <v>0</v>
      </c>
      <c r="AK52" s="189">
        <f xml:space="preserve"> ConTime!AK$77</f>
        <v>0</v>
      </c>
      <c r="AL52" s="189">
        <f xml:space="preserve"> ConTime!AL$77</f>
        <v>0</v>
      </c>
      <c r="AM52" s="189">
        <f xml:space="preserve"> ConTime!AM$77</f>
        <v>1</v>
      </c>
      <c r="AN52" s="189">
        <f xml:space="preserve"> ConTime!AN$77</f>
        <v>0</v>
      </c>
      <c r="AO52" s="189">
        <f xml:space="preserve"> ConTime!AO$77</f>
        <v>0</v>
      </c>
      <c r="AP52" s="189">
        <f xml:space="preserve"> ConTime!AP$77</f>
        <v>0</v>
      </c>
      <c r="AQ52" s="189">
        <f xml:space="preserve"> ConTime!AQ$77</f>
        <v>0</v>
      </c>
      <c r="AR52" s="189">
        <f xml:space="preserve"> ConTime!AR$77</f>
        <v>0</v>
      </c>
      <c r="AS52" s="189">
        <f xml:space="preserve"> ConTime!AS$77</f>
        <v>0</v>
      </c>
      <c r="AT52" s="189">
        <f xml:space="preserve"> ConTime!AT$77</f>
        <v>0</v>
      </c>
      <c r="AU52" s="189">
        <f xml:space="preserve"> ConTime!AU$77</f>
        <v>0</v>
      </c>
      <c r="AV52" s="189">
        <f xml:space="preserve"> ConTime!AV$77</f>
        <v>0</v>
      </c>
      <c r="AW52" s="189">
        <f xml:space="preserve"> ConTime!AW$77</f>
        <v>0</v>
      </c>
      <c r="AX52" s="189">
        <f xml:space="preserve"> ConTime!AX$77</f>
        <v>0</v>
      </c>
      <c r="AY52" s="189">
        <f xml:space="preserve"> ConTime!AY$77</f>
        <v>0</v>
      </c>
      <c r="AZ52" s="189">
        <f xml:space="preserve"> ConTime!AZ$77</f>
        <v>0</v>
      </c>
      <c r="BA52" s="189">
        <f xml:space="preserve"> ConTime!BA$77</f>
        <v>0</v>
      </c>
      <c r="BB52" s="189">
        <f xml:space="preserve"> ConTime!BB$77</f>
        <v>0</v>
      </c>
      <c r="BC52" s="189">
        <f xml:space="preserve"> ConTime!BC$77</f>
        <v>0</v>
      </c>
      <c r="BD52" s="189">
        <f xml:space="preserve"> ConTime!BD$77</f>
        <v>0</v>
      </c>
      <c r="BE52" s="189">
        <f xml:space="preserve"> ConTime!BE$77</f>
        <v>0</v>
      </c>
    </row>
    <row r="53" spans="1:57" s="188" customFormat="1" outlineLevel="2" x14ac:dyDescent="0.2">
      <c r="A53" s="141"/>
      <c r="B53" s="141"/>
      <c r="C53" s="142"/>
      <c r="D53" s="143"/>
      <c r="E53" s="187" t="s">
        <v>1124</v>
      </c>
      <c r="F53" s="187"/>
      <c r="G53" s="187" t="str">
        <f xml:space="preserve"> SMU</f>
        <v>$ 000s</v>
      </c>
      <c r="H53" s="187">
        <f xml:space="preserve"> SUM(J53:BE53)</f>
        <v>2000</v>
      </c>
      <c r="I53" s="144"/>
      <c r="J53" s="187">
        <f t="shared" ref="J53:P53" si="7" xml:space="preserve"> $F49 * J51 + $F50 * J52</f>
        <v>0</v>
      </c>
      <c r="K53" s="187">
        <f t="shared" si="7"/>
        <v>0</v>
      </c>
      <c r="L53" s="187">
        <f t="shared" si="7"/>
        <v>0</v>
      </c>
      <c r="M53" s="187">
        <f t="shared" si="7"/>
        <v>2000</v>
      </c>
      <c r="N53" s="187">
        <f t="shared" si="7"/>
        <v>0</v>
      </c>
      <c r="O53" s="187">
        <f t="shared" si="7"/>
        <v>0</v>
      </c>
      <c r="P53" s="187">
        <f t="shared" si="7"/>
        <v>0</v>
      </c>
      <c r="Q53" s="187">
        <f t="shared" ref="Q53:BE53" si="8" xml:space="preserve"> $F49 * Q51 + $F50 * Q52</f>
        <v>0</v>
      </c>
      <c r="R53" s="187">
        <f t="shared" si="8"/>
        <v>0</v>
      </c>
      <c r="S53" s="187">
        <f t="shared" si="8"/>
        <v>0</v>
      </c>
      <c r="T53" s="187">
        <f t="shared" si="8"/>
        <v>0</v>
      </c>
      <c r="U53" s="187">
        <f t="shared" si="8"/>
        <v>0</v>
      </c>
      <c r="V53" s="187">
        <f t="shared" si="8"/>
        <v>0</v>
      </c>
      <c r="W53" s="187">
        <f t="shared" si="8"/>
        <v>0</v>
      </c>
      <c r="X53" s="187">
        <f t="shared" si="8"/>
        <v>0</v>
      </c>
      <c r="Y53" s="187">
        <f t="shared" si="8"/>
        <v>0</v>
      </c>
      <c r="Z53" s="187">
        <f t="shared" si="8"/>
        <v>0</v>
      </c>
      <c r="AA53" s="187">
        <f t="shared" si="8"/>
        <v>0</v>
      </c>
      <c r="AB53" s="187">
        <f t="shared" si="8"/>
        <v>0</v>
      </c>
      <c r="AC53" s="187">
        <f t="shared" si="8"/>
        <v>0</v>
      </c>
      <c r="AD53" s="187">
        <f t="shared" si="8"/>
        <v>0</v>
      </c>
      <c r="AE53" s="187">
        <f t="shared" si="8"/>
        <v>0</v>
      </c>
      <c r="AF53" s="187">
        <f t="shared" si="8"/>
        <v>0</v>
      </c>
      <c r="AG53" s="187">
        <f t="shared" si="8"/>
        <v>0</v>
      </c>
      <c r="AH53" s="187">
        <f t="shared" si="8"/>
        <v>0</v>
      </c>
      <c r="AI53" s="187">
        <f t="shared" si="8"/>
        <v>0</v>
      </c>
      <c r="AJ53" s="187">
        <f t="shared" si="8"/>
        <v>0</v>
      </c>
      <c r="AK53" s="187">
        <f t="shared" si="8"/>
        <v>0</v>
      </c>
      <c r="AL53" s="187">
        <f t="shared" si="8"/>
        <v>0</v>
      </c>
      <c r="AM53" s="187">
        <f t="shared" si="8"/>
        <v>0</v>
      </c>
      <c r="AN53" s="187">
        <f t="shared" si="8"/>
        <v>0</v>
      </c>
      <c r="AO53" s="187">
        <f t="shared" si="8"/>
        <v>0</v>
      </c>
      <c r="AP53" s="187">
        <f t="shared" si="8"/>
        <v>0</v>
      </c>
      <c r="AQ53" s="187">
        <f t="shared" si="8"/>
        <v>0</v>
      </c>
      <c r="AR53" s="187">
        <f t="shared" si="8"/>
        <v>0</v>
      </c>
      <c r="AS53" s="187">
        <f t="shared" si="8"/>
        <v>0</v>
      </c>
      <c r="AT53" s="187">
        <f t="shared" si="8"/>
        <v>0</v>
      </c>
      <c r="AU53" s="187">
        <f t="shared" si="8"/>
        <v>0</v>
      </c>
      <c r="AV53" s="187">
        <f t="shared" si="8"/>
        <v>0</v>
      </c>
      <c r="AW53" s="187">
        <f t="shared" si="8"/>
        <v>0</v>
      </c>
      <c r="AX53" s="187">
        <f t="shared" si="8"/>
        <v>0</v>
      </c>
      <c r="AY53" s="187">
        <f t="shared" si="8"/>
        <v>0</v>
      </c>
      <c r="AZ53" s="187">
        <f t="shared" si="8"/>
        <v>0</v>
      </c>
      <c r="BA53" s="187">
        <f t="shared" si="8"/>
        <v>0</v>
      </c>
      <c r="BB53" s="187">
        <f t="shared" si="8"/>
        <v>0</v>
      </c>
      <c r="BC53" s="187">
        <f t="shared" si="8"/>
        <v>0</v>
      </c>
      <c r="BD53" s="187">
        <f t="shared" si="8"/>
        <v>0</v>
      </c>
      <c r="BE53" s="187">
        <f t="shared" si="8"/>
        <v>0</v>
      </c>
    </row>
    <row r="54" spans="1:57" outlineLevel="1" x14ac:dyDescent="0.2"/>
    <row r="55" spans="1:57" outlineLevel="1" x14ac:dyDescent="0.2">
      <c r="B55" s="15" t="s">
        <v>247</v>
      </c>
    </row>
    <row r="56" spans="1:57" s="191" customFormat="1" outlineLevel="2" x14ac:dyDescent="0.2">
      <c r="A56" s="236"/>
      <c r="B56" s="236"/>
      <c r="C56" s="237"/>
      <c r="D56" s="238"/>
      <c r="E56" s="145" t="str">
        <f xml:space="preserve"> InpC!E$144</f>
        <v>O&amp;M mobilisation - base amount</v>
      </c>
      <c r="F56" s="145">
        <f xml:space="preserve"> InpC!F$144</f>
        <v>0</v>
      </c>
      <c r="G56" s="145" t="str">
        <f xml:space="preserve"> InpC!G$144</f>
        <v>$ 000s</v>
      </c>
      <c r="H56" s="281"/>
      <c r="I56" s="235"/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  <c r="AK56" s="234"/>
      <c r="AL56" s="234"/>
      <c r="AM56" s="234"/>
      <c r="AN56" s="234"/>
      <c r="AO56" s="234"/>
      <c r="AP56" s="234"/>
      <c r="AQ56" s="234"/>
      <c r="AR56" s="234"/>
      <c r="AS56" s="234"/>
      <c r="AT56" s="234"/>
      <c r="AU56" s="234"/>
      <c r="AV56" s="234"/>
      <c r="AW56" s="234"/>
      <c r="AX56" s="234"/>
      <c r="AY56" s="234"/>
      <c r="AZ56" s="234"/>
      <c r="BA56" s="234"/>
      <c r="BB56" s="234"/>
      <c r="BC56" s="234"/>
      <c r="BD56" s="234"/>
      <c r="BE56" s="234"/>
    </row>
    <row r="57" spans="1:57" outlineLevel="2" x14ac:dyDescent="0.2">
      <c r="E57" s="189" t="str">
        <f xml:space="preserve"> ConTime!E$77</f>
        <v>Last construction period flag - m</v>
      </c>
      <c r="F57" s="189">
        <f xml:space="preserve"> ConTime!F$77</f>
        <v>0</v>
      </c>
      <c r="G57" s="189" t="str">
        <f xml:space="preserve"> ConTime!G$77</f>
        <v>flag</v>
      </c>
      <c r="H57" s="189">
        <f xml:space="preserve"> ConTime!H$77</f>
        <v>1</v>
      </c>
      <c r="I57" s="189">
        <f xml:space="preserve"> ConTime!I$77</f>
        <v>0</v>
      </c>
      <c r="J57" s="189">
        <f xml:space="preserve"> ConTime!J$77</f>
        <v>0</v>
      </c>
      <c r="K57" s="189">
        <f xml:space="preserve"> ConTime!K$77</f>
        <v>0</v>
      </c>
      <c r="L57" s="189">
        <f xml:space="preserve"> ConTime!L$77</f>
        <v>0</v>
      </c>
      <c r="M57" s="189">
        <f xml:space="preserve"> ConTime!M$77</f>
        <v>0</v>
      </c>
      <c r="N57" s="189">
        <f xml:space="preserve"> ConTime!N$77</f>
        <v>0</v>
      </c>
      <c r="O57" s="189">
        <f xml:space="preserve"> ConTime!O$77</f>
        <v>0</v>
      </c>
      <c r="P57" s="189">
        <f xml:space="preserve"> ConTime!P$77</f>
        <v>0</v>
      </c>
      <c r="Q57" s="189">
        <f xml:space="preserve"> ConTime!Q$77</f>
        <v>0</v>
      </c>
      <c r="R57" s="189">
        <f xml:space="preserve"> ConTime!R$77</f>
        <v>0</v>
      </c>
      <c r="S57" s="189">
        <f xml:space="preserve"> ConTime!S$77</f>
        <v>0</v>
      </c>
      <c r="T57" s="189">
        <f xml:space="preserve"> ConTime!T$77</f>
        <v>0</v>
      </c>
      <c r="U57" s="189">
        <f xml:space="preserve"> ConTime!U$77</f>
        <v>0</v>
      </c>
      <c r="V57" s="189">
        <f xml:space="preserve"> ConTime!V$77</f>
        <v>0</v>
      </c>
      <c r="W57" s="189">
        <f xml:space="preserve"> ConTime!W$77</f>
        <v>0</v>
      </c>
      <c r="X57" s="189">
        <f xml:space="preserve"> ConTime!X$77</f>
        <v>0</v>
      </c>
      <c r="Y57" s="189">
        <f xml:space="preserve"> ConTime!Y$77</f>
        <v>0</v>
      </c>
      <c r="Z57" s="189">
        <f xml:space="preserve"> ConTime!Z$77</f>
        <v>0</v>
      </c>
      <c r="AA57" s="189">
        <f xml:space="preserve"> ConTime!AA$77</f>
        <v>0</v>
      </c>
      <c r="AB57" s="189">
        <f xml:space="preserve"> ConTime!AB$77</f>
        <v>0</v>
      </c>
      <c r="AC57" s="189">
        <f xml:space="preserve"> ConTime!AC$77</f>
        <v>0</v>
      </c>
      <c r="AD57" s="189">
        <f xml:space="preserve"> ConTime!AD$77</f>
        <v>0</v>
      </c>
      <c r="AE57" s="189">
        <f xml:space="preserve"> ConTime!AE$77</f>
        <v>0</v>
      </c>
      <c r="AF57" s="189">
        <f xml:space="preserve"> ConTime!AF$77</f>
        <v>0</v>
      </c>
      <c r="AG57" s="189">
        <f xml:space="preserve"> ConTime!AG$77</f>
        <v>0</v>
      </c>
      <c r="AH57" s="189">
        <f xml:space="preserve"> ConTime!AH$77</f>
        <v>0</v>
      </c>
      <c r="AI57" s="189">
        <f xml:space="preserve"> ConTime!AI$77</f>
        <v>0</v>
      </c>
      <c r="AJ57" s="189">
        <f xml:space="preserve"> ConTime!AJ$77</f>
        <v>0</v>
      </c>
      <c r="AK57" s="189">
        <f xml:space="preserve"> ConTime!AK$77</f>
        <v>0</v>
      </c>
      <c r="AL57" s="189">
        <f xml:space="preserve"> ConTime!AL$77</f>
        <v>0</v>
      </c>
      <c r="AM57" s="189">
        <f xml:space="preserve"> ConTime!AM$77</f>
        <v>1</v>
      </c>
      <c r="AN57" s="189">
        <f xml:space="preserve"> ConTime!AN$77</f>
        <v>0</v>
      </c>
      <c r="AO57" s="189">
        <f xml:space="preserve"> ConTime!AO$77</f>
        <v>0</v>
      </c>
      <c r="AP57" s="189">
        <f xml:space="preserve"> ConTime!AP$77</f>
        <v>0</v>
      </c>
      <c r="AQ57" s="189">
        <f xml:space="preserve"> ConTime!AQ$77</f>
        <v>0</v>
      </c>
      <c r="AR57" s="189">
        <f xml:space="preserve"> ConTime!AR$77</f>
        <v>0</v>
      </c>
      <c r="AS57" s="189">
        <f xml:space="preserve"> ConTime!AS$77</f>
        <v>0</v>
      </c>
      <c r="AT57" s="189">
        <f xml:space="preserve"> ConTime!AT$77</f>
        <v>0</v>
      </c>
      <c r="AU57" s="189">
        <f xml:space="preserve"> ConTime!AU$77</f>
        <v>0</v>
      </c>
      <c r="AV57" s="189">
        <f xml:space="preserve"> ConTime!AV$77</f>
        <v>0</v>
      </c>
      <c r="AW57" s="189">
        <f xml:space="preserve"> ConTime!AW$77</f>
        <v>0</v>
      </c>
      <c r="AX57" s="189">
        <f xml:space="preserve"> ConTime!AX$77</f>
        <v>0</v>
      </c>
      <c r="AY57" s="189">
        <f xml:space="preserve"> ConTime!AY$77</f>
        <v>0</v>
      </c>
      <c r="AZ57" s="189">
        <f xml:space="preserve"> ConTime!AZ$77</f>
        <v>0</v>
      </c>
      <c r="BA57" s="189">
        <f xml:space="preserve"> ConTime!BA$77</f>
        <v>0</v>
      </c>
      <c r="BB57" s="189">
        <f xml:space="preserve"> ConTime!BB$77</f>
        <v>0</v>
      </c>
      <c r="BC57" s="189">
        <f xml:space="preserve"> ConTime!BC$77</f>
        <v>0</v>
      </c>
      <c r="BD57" s="189">
        <f xml:space="preserve"> ConTime!BD$77</f>
        <v>0</v>
      </c>
      <c r="BE57" s="189">
        <f xml:space="preserve"> ConTime!BE$77</f>
        <v>0</v>
      </c>
    </row>
    <row r="58" spans="1:57" s="188" customFormat="1" outlineLevel="2" x14ac:dyDescent="0.2">
      <c r="A58" s="141"/>
      <c r="B58" s="141"/>
      <c r="C58" s="142"/>
      <c r="D58" s="143"/>
      <c r="E58" s="187" t="s">
        <v>247</v>
      </c>
      <c r="F58" s="187"/>
      <c r="G58" s="187" t="str">
        <f xml:space="preserve"> SMU</f>
        <v>$ 000s</v>
      </c>
      <c r="H58" s="187">
        <f xml:space="preserve"> SUM(J58:BE58)</f>
        <v>0</v>
      </c>
      <c r="I58" s="144"/>
      <c r="J58" s="187">
        <f t="shared" ref="J58:BE58" si="9" xml:space="preserve"> $F56 * J57</f>
        <v>0</v>
      </c>
      <c r="K58" s="187">
        <f t="shared" si="9"/>
        <v>0</v>
      </c>
      <c r="L58" s="187">
        <f t="shared" si="9"/>
        <v>0</v>
      </c>
      <c r="M58" s="187">
        <f t="shared" si="9"/>
        <v>0</v>
      </c>
      <c r="N58" s="187">
        <f t="shared" si="9"/>
        <v>0</v>
      </c>
      <c r="O58" s="187">
        <f t="shared" si="9"/>
        <v>0</v>
      </c>
      <c r="P58" s="187">
        <f t="shared" si="9"/>
        <v>0</v>
      </c>
      <c r="Q58" s="187">
        <f t="shared" si="9"/>
        <v>0</v>
      </c>
      <c r="R58" s="187">
        <f t="shared" si="9"/>
        <v>0</v>
      </c>
      <c r="S58" s="187">
        <f t="shared" si="9"/>
        <v>0</v>
      </c>
      <c r="T58" s="187">
        <f t="shared" si="9"/>
        <v>0</v>
      </c>
      <c r="U58" s="187">
        <f t="shared" si="9"/>
        <v>0</v>
      </c>
      <c r="V58" s="187">
        <f t="shared" si="9"/>
        <v>0</v>
      </c>
      <c r="W58" s="187">
        <f t="shared" si="9"/>
        <v>0</v>
      </c>
      <c r="X58" s="187">
        <f t="shared" si="9"/>
        <v>0</v>
      </c>
      <c r="Y58" s="187">
        <f t="shared" si="9"/>
        <v>0</v>
      </c>
      <c r="Z58" s="187">
        <f t="shared" si="9"/>
        <v>0</v>
      </c>
      <c r="AA58" s="187">
        <f t="shared" si="9"/>
        <v>0</v>
      </c>
      <c r="AB58" s="187">
        <f t="shared" si="9"/>
        <v>0</v>
      </c>
      <c r="AC58" s="187">
        <f t="shared" si="9"/>
        <v>0</v>
      </c>
      <c r="AD58" s="187">
        <f t="shared" si="9"/>
        <v>0</v>
      </c>
      <c r="AE58" s="187">
        <f t="shared" si="9"/>
        <v>0</v>
      </c>
      <c r="AF58" s="187">
        <f t="shared" si="9"/>
        <v>0</v>
      </c>
      <c r="AG58" s="187">
        <f t="shared" si="9"/>
        <v>0</v>
      </c>
      <c r="AH58" s="187">
        <f t="shared" si="9"/>
        <v>0</v>
      </c>
      <c r="AI58" s="187">
        <f t="shared" si="9"/>
        <v>0</v>
      </c>
      <c r="AJ58" s="187">
        <f t="shared" si="9"/>
        <v>0</v>
      </c>
      <c r="AK58" s="187">
        <f t="shared" si="9"/>
        <v>0</v>
      </c>
      <c r="AL58" s="187">
        <f t="shared" si="9"/>
        <v>0</v>
      </c>
      <c r="AM58" s="187">
        <f t="shared" si="9"/>
        <v>0</v>
      </c>
      <c r="AN58" s="187">
        <f t="shared" si="9"/>
        <v>0</v>
      </c>
      <c r="AO58" s="187">
        <f t="shared" si="9"/>
        <v>0</v>
      </c>
      <c r="AP58" s="187">
        <f t="shared" si="9"/>
        <v>0</v>
      </c>
      <c r="AQ58" s="187">
        <f t="shared" si="9"/>
        <v>0</v>
      </c>
      <c r="AR58" s="187">
        <f t="shared" si="9"/>
        <v>0</v>
      </c>
      <c r="AS58" s="187">
        <f t="shared" si="9"/>
        <v>0</v>
      </c>
      <c r="AT58" s="187">
        <f t="shared" si="9"/>
        <v>0</v>
      </c>
      <c r="AU58" s="187">
        <f t="shared" si="9"/>
        <v>0</v>
      </c>
      <c r="AV58" s="187">
        <f t="shared" si="9"/>
        <v>0</v>
      </c>
      <c r="AW58" s="187">
        <f t="shared" si="9"/>
        <v>0</v>
      </c>
      <c r="AX58" s="187">
        <f t="shared" si="9"/>
        <v>0</v>
      </c>
      <c r="AY58" s="187">
        <f t="shared" si="9"/>
        <v>0</v>
      </c>
      <c r="AZ58" s="187">
        <f t="shared" si="9"/>
        <v>0</v>
      </c>
      <c r="BA58" s="187">
        <f t="shared" si="9"/>
        <v>0</v>
      </c>
      <c r="BB58" s="187">
        <f t="shared" si="9"/>
        <v>0</v>
      </c>
      <c r="BC58" s="187">
        <f t="shared" si="9"/>
        <v>0</v>
      </c>
      <c r="BD58" s="187">
        <f t="shared" si="9"/>
        <v>0</v>
      </c>
      <c r="BE58" s="187">
        <f t="shared" si="9"/>
        <v>0</v>
      </c>
    </row>
    <row r="59" spans="1:57" outlineLevel="1" x14ac:dyDescent="0.2"/>
    <row r="60" spans="1:57" outlineLevel="1" x14ac:dyDescent="0.2">
      <c r="B60" s="15" t="s">
        <v>1294</v>
      </c>
    </row>
    <row r="61" spans="1:57" s="191" customFormat="1" outlineLevel="2" x14ac:dyDescent="0.2">
      <c r="A61" s="236"/>
      <c r="B61" s="236"/>
      <c r="C61" s="237"/>
      <c r="D61" s="238"/>
      <c r="E61" s="632" t="str">
        <f xml:space="preserve"> InpC!E$399</f>
        <v xml:space="preserve">Customs duties </v>
      </c>
      <c r="F61" s="632">
        <f xml:space="preserve"> InpC!F$399</f>
        <v>0</v>
      </c>
      <c r="G61" s="632" t="str">
        <f xml:space="preserve"> InpC!G$399</f>
        <v>%</v>
      </c>
      <c r="H61" s="281"/>
      <c r="I61" s="235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  <c r="AV61" s="234"/>
      <c r="AW61" s="234"/>
      <c r="AX61" s="234"/>
      <c r="AY61" s="234"/>
      <c r="AZ61" s="234"/>
      <c r="BA61" s="234"/>
      <c r="BB61" s="234"/>
      <c r="BC61" s="234"/>
      <c r="BD61" s="234"/>
      <c r="BE61" s="234"/>
    </row>
    <row r="62" spans="1:57" outlineLevel="2" x14ac:dyDescent="0.2">
      <c r="E62" s="12" t="str">
        <f t="shared" ref="E62:AJ62" si="10" xml:space="preserve"> E$17</f>
        <v>EPC base cost including overrun</v>
      </c>
      <c r="F62" s="12">
        <f t="shared" si="10"/>
        <v>0</v>
      </c>
      <c r="G62" s="12" t="str">
        <f t="shared" si="10"/>
        <v>$ 000s</v>
      </c>
      <c r="H62" s="12">
        <f t="shared" si="10"/>
        <v>300000</v>
      </c>
      <c r="I62" s="12">
        <f t="shared" si="10"/>
        <v>0</v>
      </c>
      <c r="J62" s="12">
        <f t="shared" si="10"/>
        <v>0</v>
      </c>
      <c r="K62" s="12">
        <f t="shared" si="10"/>
        <v>0</v>
      </c>
      <c r="L62" s="12">
        <f t="shared" si="10"/>
        <v>0</v>
      </c>
      <c r="M62" s="12">
        <f t="shared" si="10"/>
        <v>0</v>
      </c>
      <c r="N62" s="12">
        <f t="shared" si="10"/>
        <v>11538.461538461539</v>
      </c>
      <c r="O62" s="12">
        <f t="shared" si="10"/>
        <v>11538.461538461539</v>
      </c>
      <c r="P62" s="12">
        <f t="shared" si="10"/>
        <v>11538.461538461539</v>
      </c>
      <c r="Q62" s="12">
        <f t="shared" si="10"/>
        <v>11538.461538461539</v>
      </c>
      <c r="R62" s="12">
        <f t="shared" si="10"/>
        <v>11538.461538461539</v>
      </c>
      <c r="S62" s="12">
        <f t="shared" si="10"/>
        <v>11538.461538461539</v>
      </c>
      <c r="T62" s="12">
        <f t="shared" si="10"/>
        <v>11538.461538461539</v>
      </c>
      <c r="U62" s="12">
        <f t="shared" si="10"/>
        <v>11538.461538461539</v>
      </c>
      <c r="V62" s="12">
        <f t="shared" si="10"/>
        <v>11538.461538461539</v>
      </c>
      <c r="W62" s="12">
        <f t="shared" si="10"/>
        <v>11538.461538461539</v>
      </c>
      <c r="X62" s="12">
        <f t="shared" si="10"/>
        <v>11538.461538461539</v>
      </c>
      <c r="Y62" s="12">
        <f t="shared" si="10"/>
        <v>11538.461538461539</v>
      </c>
      <c r="Z62" s="12">
        <f t="shared" si="10"/>
        <v>11538.461538461539</v>
      </c>
      <c r="AA62" s="12">
        <f t="shared" si="10"/>
        <v>11538.461538461539</v>
      </c>
      <c r="AB62" s="12">
        <f t="shared" si="10"/>
        <v>11538.461538461539</v>
      </c>
      <c r="AC62" s="12">
        <f t="shared" si="10"/>
        <v>11538.461538461539</v>
      </c>
      <c r="AD62" s="12">
        <f t="shared" si="10"/>
        <v>11538.461538461539</v>
      </c>
      <c r="AE62" s="12">
        <f t="shared" si="10"/>
        <v>11538.461538461539</v>
      </c>
      <c r="AF62" s="12">
        <f t="shared" si="10"/>
        <v>11538.461538461539</v>
      </c>
      <c r="AG62" s="12">
        <f t="shared" si="10"/>
        <v>11538.461538461539</v>
      </c>
      <c r="AH62" s="12">
        <f t="shared" si="10"/>
        <v>11538.461538461539</v>
      </c>
      <c r="AI62" s="12">
        <f t="shared" si="10"/>
        <v>11538.461538461539</v>
      </c>
      <c r="AJ62" s="12">
        <f t="shared" si="10"/>
        <v>11538.461538461539</v>
      </c>
      <c r="AK62" s="12">
        <f t="shared" ref="AK62:BE62" si="11" xml:space="preserve"> AK$17</f>
        <v>11538.461538461539</v>
      </c>
      <c r="AL62" s="12">
        <f t="shared" si="11"/>
        <v>11538.461538461539</v>
      </c>
      <c r="AM62" s="12">
        <f t="shared" si="11"/>
        <v>11538.461538461539</v>
      </c>
      <c r="AN62" s="12">
        <f t="shared" si="11"/>
        <v>0</v>
      </c>
      <c r="AO62" s="12">
        <f t="shared" si="11"/>
        <v>0</v>
      </c>
      <c r="AP62" s="12">
        <f t="shared" si="11"/>
        <v>0</v>
      </c>
      <c r="AQ62" s="12">
        <f t="shared" si="11"/>
        <v>0</v>
      </c>
      <c r="AR62" s="12">
        <f t="shared" si="11"/>
        <v>0</v>
      </c>
      <c r="AS62" s="12">
        <f t="shared" si="11"/>
        <v>0</v>
      </c>
      <c r="AT62" s="12">
        <f t="shared" si="11"/>
        <v>0</v>
      </c>
      <c r="AU62" s="12">
        <f t="shared" si="11"/>
        <v>0</v>
      </c>
      <c r="AV62" s="12">
        <f t="shared" si="11"/>
        <v>0</v>
      </c>
      <c r="AW62" s="12">
        <f t="shared" si="11"/>
        <v>0</v>
      </c>
      <c r="AX62" s="12">
        <f t="shared" si="11"/>
        <v>0</v>
      </c>
      <c r="AY62" s="12">
        <f t="shared" si="11"/>
        <v>0</v>
      </c>
      <c r="AZ62" s="12">
        <f t="shared" si="11"/>
        <v>0</v>
      </c>
      <c r="BA62" s="12">
        <f t="shared" si="11"/>
        <v>0</v>
      </c>
      <c r="BB62" s="12">
        <f t="shared" si="11"/>
        <v>0</v>
      </c>
      <c r="BC62" s="12">
        <f t="shared" si="11"/>
        <v>0</v>
      </c>
      <c r="BD62" s="12">
        <f t="shared" si="11"/>
        <v>0</v>
      </c>
      <c r="BE62" s="12">
        <f t="shared" si="11"/>
        <v>0</v>
      </c>
    </row>
    <row r="63" spans="1:57" s="188" customFormat="1" outlineLevel="2" x14ac:dyDescent="0.2">
      <c r="A63" s="141"/>
      <c r="B63" s="141"/>
      <c r="C63" s="142"/>
      <c r="D63" s="143"/>
      <c r="E63" s="187" t="s">
        <v>1294</v>
      </c>
      <c r="F63" s="187"/>
      <c r="G63" s="187" t="str">
        <f xml:space="preserve"> SMU</f>
        <v>$ 000s</v>
      </c>
      <c r="H63" s="187">
        <f xml:space="preserve"> SUM(J63:BE63)</f>
        <v>0</v>
      </c>
      <c r="I63" s="144"/>
      <c r="J63" s="187">
        <f t="shared" ref="J63:BE63" si="12" xml:space="preserve"> $F61 * J62</f>
        <v>0</v>
      </c>
      <c r="K63" s="187">
        <f t="shared" si="12"/>
        <v>0</v>
      </c>
      <c r="L63" s="187">
        <f t="shared" si="12"/>
        <v>0</v>
      </c>
      <c r="M63" s="187">
        <f t="shared" si="12"/>
        <v>0</v>
      </c>
      <c r="N63" s="187">
        <f t="shared" si="12"/>
        <v>0</v>
      </c>
      <c r="O63" s="187">
        <f t="shared" si="12"/>
        <v>0</v>
      </c>
      <c r="P63" s="187">
        <f t="shared" si="12"/>
        <v>0</v>
      </c>
      <c r="Q63" s="187">
        <f t="shared" si="12"/>
        <v>0</v>
      </c>
      <c r="R63" s="187">
        <f t="shared" si="12"/>
        <v>0</v>
      </c>
      <c r="S63" s="187">
        <f t="shared" si="12"/>
        <v>0</v>
      </c>
      <c r="T63" s="187">
        <f t="shared" si="12"/>
        <v>0</v>
      </c>
      <c r="U63" s="187">
        <f t="shared" si="12"/>
        <v>0</v>
      </c>
      <c r="V63" s="187">
        <f t="shared" si="12"/>
        <v>0</v>
      </c>
      <c r="W63" s="187">
        <f t="shared" si="12"/>
        <v>0</v>
      </c>
      <c r="X63" s="187">
        <f t="shared" si="12"/>
        <v>0</v>
      </c>
      <c r="Y63" s="187">
        <f t="shared" si="12"/>
        <v>0</v>
      </c>
      <c r="Z63" s="187">
        <f t="shared" si="12"/>
        <v>0</v>
      </c>
      <c r="AA63" s="187">
        <f t="shared" si="12"/>
        <v>0</v>
      </c>
      <c r="AB63" s="187">
        <f t="shared" si="12"/>
        <v>0</v>
      </c>
      <c r="AC63" s="187">
        <f t="shared" si="12"/>
        <v>0</v>
      </c>
      <c r="AD63" s="187">
        <f t="shared" si="12"/>
        <v>0</v>
      </c>
      <c r="AE63" s="187">
        <f t="shared" si="12"/>
        <v>0</v>
      </c>
      <c r="AF63" s="187">
        <f t="shared" si="12"/>
        <v>0</v>
      </c>
      <c r="AG63" s="187">
        <f t="shared" si="12"/>
        <v>0</v>
      </c>
      <c r="AH63" s="187">
        <f t="shared" si="12"/>
        <v>0</v>
      </c>
      <c r="AI63" s="187">
        <f t="shared" si="12"/>
        <v>0</v>
      </c>
      <c r="AJ63" s="187">
        <f t="shared" si="12"/>
        <v>0</v>
      </c>
      <c r="AK63" s="187">
        <f t="shared" si="12"/>
        <v>0</v>
      </c>
      <c r="AL63" s="187">
        <f t="shared" si="12"/>
        <v>0</v>
      </c>
      <c r="AM63" s="187">
        <f t="shared" si="12"/>
        <v>0</v>
      </c>
      <c r="AN63" s="187">
        <f t="shared" si="12"/>
        <v>0</v>
      </c>
      <c r="AO63" s="187">
        <f t="shared" si="12"/>
        <v>0</v>
      </c>
      <c r="AP63" s="187">
        <f t="shared" si="12"/>
        <v>0</v>
      </c>
      <c r="AQ63" s="187">
        <f t="shared" si="12"/>
        <v>0</v>
      </c>
      <c r="AR63" s="187">
        <f t="shared" si="12"/>
        <v>0</v>
      </c>
      <c r="AS63" s="187">
        <f t="shared" si="12"/>
        <v>0</v>
      </c>
      <c r="AT63" s="187">
        <f t="shared" si="12"/>
        <v>0</v>
      </c>
      <c r="AU63" s="187">
        <f t="shared" si="12"/>
        <v>0</v>
      </c>
      <c r="AV63" s="187">
        <f t="shared" si="12"/>
        <v>0</v>
      </c>
      <c r="AW63" s="187">
        <f t="shared" si="12"/>
        <v>0</v>
      </c>
      <c r="AX63" s="187">
        <f t="shared" si="12"/>
        <v>0</v>
      </c>
      <c r="AY63" s="187">
        <f t="shared" si="12"/>
        <v>0</v>
      </c>
      <c r="AZ63" s="187">
        <f t="shared" si="12"/>
        <v>0</v>
      </c>
      <c r="BA63" s="187">
        <f t="shared" si="12"/>
        <v>0</v>
      </c>
      <c r="BB63" s="187">
        <f t="shared" si="12"/>
        <v>0</v>
      </c>
      <c r="BC63" s="187">
        <f t="shared" si="12"/>
        <v>0</v>
      </c>
      <c r="BD63" s="187">
        <f t="shared" si="12"/>
        <v>0</v>
      </c>
      <c r="BE63" s="187">
        <f t="shared" si="12"/>
        <v>0</v>
      </c>
    </row>
    <row r="64" spans="1:57" outlineLevel="1" x14ac:dyDescent="0.2"/>
    <row r="65" spans="1:57" outlineLevel="1" x14ac:dyDescent="0.2">
      <c r="B65" s="15" t="s">
        <v>581</v>
      </c>
    </row>
    <row r="66" spans="1:57" s="125" customFormat="1" outlineLevel="2" x14ac:dyDescent="0.2">
      <c r="A66" s="85"/>
      <c r="B66" s="85"/>
      <c r="C66" s="86"/>
      <c r="D66" s="87"/>
      <c r="E66" s="68" t="str">
        <f xml:space="preserve"> InpC!E$136</f>
        <v>EPC base cost</v>
      </c>
      <c r="F66" s="68">
        <f xml:space="preserve"> InpC!F$136</f>
        <v>300000</v>
      </c>
      <c r="G66" s="186" t="str">
        <f xml:space="preserve"> InpC!G$136</f>
        <v>$ 000s</v>
      </c>
      <c r="H66" s="186"/>
      <c r="I66" s="68"/>
      <c r="J66" s="186"/>
      <c r="K66" s="186"/>
      <c r="L66" s="186"/>
      <c r="M66" s="186"/>
      <c r="N66" s="186"/>
      <c r="O66" s="186"/>
      <c r="P66" s="186"/>
      <c r="Q66" s="186"/>
      <c r="R66" s="186"/>
      <c r="S66" s="186"/>
      <c r="T66" s="186"/>
      <c r="U66" s="186"/>
      <c r="V66" s="186"/>
      <c r="W66" s="186"/>
      <c r="X66" s="186"/>
      <c r="Y66" s="186"/>
      <c r="Z66" s="186"/>
      <c r="AA66" s="186"/>
      <c r="AB66" s="186"/>
      <c r="AC66" s="186"/>
      <c r="AD66" s="186"/>
      <c r="AE66" s="186"/>
      <c r="AF66" s="186"/>
      <c r="AG66" s="186"/>
      <c r="AH66" s="186"/>
      <c r="AI66" s="186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  <c r="AV66" s="186"/>
      <c r="AW66" s="186"/>
      <c r="AX66" s="186"/>
      <c r="AY66" s="186"/>
      <c r="AZ66" s="186"/>
      <c r="BA66" s="186"/>
      <c r="BB66" s="186"/>
      <c r="BC66" s="186"/>
      <c r="BD66" s="186"/>
      <c r="BE66" s="186"/>
    </row>
    <row r="67" spans="1:57" s="450" customFormat="1" outlineLevel="2" x14ac:dyDescent="0.2">
      <c r="A67" s="451"/>
      <c r="B67" s="451"/>
      <c r="C67" s="452"/>
      <c r="D67" s="316"/>
      <c r="E67" s="450" t="str">
        <f xml:space="preserve"> InpC!E$146</f>
        <v>Development security guarantee - % of EPC</v>
      </c>
      <c r="F67" s="450">
        <f xml:space="preserve"> InpC!F$146</f>
        <v>0.1</v>
      </c>
      <c r="G67" s="450" t="str">
        <f xml:space="preserve"> InpC!G$146</f>
        <v>% p.a.</v>
      </c>
      <c r="I67" s="453"/>
    </row>
    <row r="68" spans="1:57" outlineLevel="2" x14ac:dyDescent="0.2">
      <c r="E68" s="12" t="s">
        <v>582</v>
      </c>
      <c r="F68" s="12">
        <f xml:space="preserve"> F66 * F67</f>
        <v>30000</v>
      </c>
      <c r="G68" s="12" t="str">
        <f xml:space="preserve"> SMU</f>
        <v>$ 000s</v>
      </c>
    </row>
    <row r="69" spans="1:57" outlineLevel="2" x14ac:dyDescent="0.2"/>
    <row r="70" spans="1:57" outlineLevel="2" x14ac:dyDescent="0.2">
      <c r="E70" s="12" t="str">
        <f t="shared" ref="E70:G70" si="13" xml:space="preserve"> E$68</f>
        <v>Development security guarantee</v>
      </c>
      <c r="F70" s="12">
        <f t="shared" si="13"/>
        <v>30000</v>
      </c>
      <c r="G70" s="12" t="str">
        <f t="shared" si="13"/>
        <v>$ 000s</v>
      </c>
    </row>
    <row r="71" spans="1:57" outlineLevel="2" x14ac:dyDescent="0.2">
      <c r="E71" s="450" t="str">
        <f xml:space="preserve"> InpC!E$147</f>
        <v>Development security LC fee %</v>
      </c>
      <c r="F71" s="450">
        <f xml:space="preserve"> InpC!F$147</f>
        <v>5.0000000000000001E-3</v>
      </c>
      <c r="G71" s="450" t="str">
        <f xml:space="preserve"> InpC!G$147</f>
        <v>% p.a.</v>
      </c>
    </row>
    <row r="72" spans="1:57" outlineLevel="2" x14ac:dyDescent="0.2">
      <c r="A72" s="52"/>
      <c r="B72" s="52"/>
      <c r="C72" s="34"/>
      <c r="D72" s="35"/>
      <c r="E72" s="125" t="str">
        <f xml:space="preserve"> InpC!E$412</f>
        <v>Months in year</v>
      </c>
      <c r="F72" s="125">
        <f xml:space="preserve"> InpC!F$412</f>
        <v>12</v>
      </c>
      <c r="G72" s="125" t="str">
        <f xml:space="preserve"> InpC!G$412</f>
        <v>months</v>
      </c>
      <c r="H72" s="32"/>
      <c r="I72" s="31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</row>
    <row r="73" spans="1:57" outlineLevel="2" x14ac:dyDescent="0.2">
      <c r="E73" s="721" t="str">
        <f xml:space="preserve"> ConTime!E$82</f>
        <v>Construction period flag</v>
      </c>
      <c r="F73" s="721">
        <f xml:space="preserve"> ConTime!F$82</f>
        <v>0</v>
      </c>
      <c r="G73" s="721" t="str">
        <f xml:space="preserve"> ConTime!G$82</f>
        <v>flag</v>
      </c>
      <c r="H73" s="721">
        <f xml:space="preserve"> ConTime!H$82</f>
        <v>26</v>
      </c>
      <c r="I73" s="721">
        <f xml:space="preserve"> ConTime!I$82</f>
        <v>0</v>
      </c>
      <c r="J73" s="721">
        <f xml:space="preserve"> ConTime!J$82</f>
        <v>0</v>
      </c>
      <c r="K73" s="721">
        <f xml:space="preserve"> ConTime!K$82</f>
        <v>0</v>
      </c>
      <c r="L73" s="721">
        <f xml:space="preserve"> ConTime!L$82</f>
        <v>0</v>
      </c>
      <c r="M73" s="721">
        <f xml:space="preserve"> ConTime!M$82</f>
        <v>0</v>
      </c>
      <c r="N73" s="721">
        <f xml:space="preserve"> ConTime!N$82</f>
        <v>1</v>
      </c>
      <c r="O73" s="721">
        <f xml:space="preserve"> ConTime!O$82</f>
        <v>1</v>
      </c>
      <c r="P73" s="721">
        <f xml:space="preserve"> ConTime!P$82</f>
        <v>1</v>
      </c>
      <c r="Q73" s="721">
        <f xml:space="preserve"> ConTime!Q$82</f>
        <v>1</v>
      </c>
      <c r="R73" s="721">
        <f xml:space="preserve"> ConTime!R$82</f>
        <v>1</v>
      </c>
      <c r="S73" s="721">
        <f xml:space="preserve"> ConTime!S$82</f>
        <v>1</v>
      </c>
      <c r="T73" s="721">
        <f xml:space="preserve"> ConTime!T$82</f>
        <v>1</v>
      </c>
      <c r="U73" s="721">
        <f xml:space="preserve"> ConTime!U$82</f>
        <v>1</v>
      </c>
      <c r="V73" s="721">
        <f xml:space="preserve"> ConTime!V$82</f>
        <v>1</v>
      </c>
      <c r="W73" s="721">
        <f xml:space="preserve"> ConTime!W$82</f>
        <v>1</v>
      </c>
      <c r="X73" s="721">
        <f xml:space="preserve"> ConTime!X$82</f>
        <v>1</v>
      </c>
      <c r="Y73" s="721">
        <f xml:space="preserve"> ConTime!Y$82</f>
        <v>1</v>
      </c>
      <c r="Z73" s="721">
        <f xml:space="preserve"> ConTime!Z$82</f>
        <v>1</v>
      </c>
      <c r="AA73" s="721">
        <f xml:space="preserve"> ConTime!AA$82</f>
        <v>1</v>
      </c>
      <c r="AB73" s="721">
        <f xml:space="preserve"> ConTime!AB$82</f>
        <v>1</v>
      </c>
      <c r="AC73" s="721">
        <f xml:space="preserve"> ConTime!AC$82</f>
        <v>1</v>
      </c>
      <c r="AD73" s="721">
        <f xml:space="preserve"> ConTime!AD$82</f>
        <v>1</v>
      </c>
      <c r="AE73" s="721">
        <f xml:space="preserve"> ConTime!AE$82</f>
        <v>1</v>
      </c>
      <c r="AF73" s="721">
        <f xml:space="preserve"> ConTime!AF$82</f>
        <v>1</v>
      </c>
      <c r="AG73" s="721">
        <f xml:space="preserve"> ConTime!AG$82</f>
        <v>1</v>
      </c>
      <c r="AH73" s="721">
        <f xml:space="preserve"> ConTime!AH$82</f>
        <v>1</v>
      </c>
      <c r="AI73" s="721">
        <f xml:space="preserve"> ConTime!AI$82</f>
        <v>1</v>
      </c>
      <c r="AJ73" s="721">
        <f xml:space="preserve"> ConTime!AJ$82</f>
        <v>1</v>
      </c>
      <c r="AK73" s="721">
        <f xml:space="preserve"> ConTime!AK$82</f>
        <v>1</v>
      </c>
      <c r="AL73" s="721">
        <f xml:space="preserve"> ConTime!AL$82</f>
        <v>1</v>
      </c>
      <c r="AM73" s="721">
        <f xml:space="preserve"> ConTime!AM$82</f>
        <v>1</v>
      </c>
      <c r="AN73" s="721">
        <f xml:space="preserve"> ConTime!AN$82</f>
        <v>0</v>
      </c>
      <c r="AO73" s="721">
        <f xml:space="preserve"> ConTime!AO$82</f>
        <v>0</v>
      </c>
      <c r="AP73" s="721">
        <f xml:space="preserve"> ConTime!AP$82</f>
        <v>0</v>
      </c>
      <c r="AQ73" s="721">
        <f xml:space="preserve"> ConTime!AQ$82</f>
        <v>0</v>
      </c>
      <c r="AR73" s="721">
        <f xml:space="preserve"> ConTime!AR$82</f>
        <v>0</v>
      </c>
      <c r="AS73" s="721">
        <f xml:space="preserve"> ConTime!AS$82</f>
        <v>0</v>
      </c>
      <c r="AT73" s="721">
        <f xml:space="preserve"> ConTime!AT$82</f>
        <v>0</v>
      </c>
      <c r="AU73" s="721">
        <f xml:space="preserve"> ConTime!AU$82</f>
        <v>0</v>
      </c>
      <c r="AV73" s="721">
        <f xml:space="preserve"> ConTime!AV$82</f>
        <v>0</v>
      </c>
      <c r="AW73" s="721">
        <f xml:space="preserve"> ConTime!AW$82</f>
        <v>0</v>
      </c>
      <c r="AX73" s="721">
        <f xml:space="preserve"> ConTime!AX$82</f>
        <v>0</v>
      </c>
      <c r="AY73" s="721">
        <f xml:space="preserve"> ConTime!AY$82</f>
        <v>0</v>
      </c>
      <c r="AZ73" s="721">
        <f xml:space="preserve"> ConTime!AZ$82</f>
        <v>0</v>
      </c>
      <c r="BA73" s="721">
        <f xml:space="preserve"> ConTime!BA$82</f>
        <v>0</v>
      </c>
      <c r="BB73" s="721">
        <f xml:space="preserve"> ConTime!BB$82</f>
        <v>0</v>
      </c>
      <c r="BC73" s="721">
        <f xml:space="preserve"> ConTime!BC$82</f>
        <v>0</v>
      </c>
      <c r="BD73" s="721">
        <f xml:space="preserve"> ConTime!BD$82</f>
        <v>0</v>
      </c>
      <c r="BE73" s="721">
        <f xml:space="preserve"> ConTime!BE$82</f>
        <v>0</v>
      </c>
    </row>
    <row r="74" spans="1:57" s="188" customFormat="1" outlineLevel="2" x14ac:dyDescent="0.2">
      <c r="A74" s="141"/>
      <c r="B74" s="141"/>
      <c r="C74" s="142"/>
      <c r="D74" s="143"/>
      <c r="E74" s="187" t="s">
        <v>581</v>
      </c>
      <c r="F74" s="187"/>
      <c r="G74" s="187" t="str">
        <f xml:space="preserve"> SMU</f>
        <v>$ 000s</v>
      </c>
      <c r="H74" s="187">
        <f xml:space="preserve"> SUM(J74:BE74)</f>
        <v>325</v>
      </c>
      <c r="I74" s="144"/>
      <c r="J74" s="187">
        <f t="shared" ref="J74:BE74" si="14" xml:space="preserve"> $F70 * $F71 / $F72  * J73</f>
        <v>0</v>
      </c>
      <c r="K74" s="187">
        <f t="shared" si="14"/>
        <v>0</v>
      </c>
      <c r="L74" s="187">
        <f t="shared" si="14"/>
        <v>0</v>
      </c>
      <c r="M74" s="187">
        <f t="shared" si="14"/>
        <v>0</v>
      </c>
      <c r="N74" s="187">
        <f t="shared" si="14"/>
        <v>12.5</v>
      </c>
      <c r="O74" s="187">
        <f t="shared" si="14"/>
        <v>12.5</v>
      </c>
      <c r="P74" s="187">
        <f t="shared" si="14"/>
        <v>12.5</v>
      </c>
      <c r="Q74" s="187">
        <f t="shared" si="14"/>
        <v>12.5</v>
      </c>
      <c r="R74" s="187">
        <f t="shared" si="14"/>
        <v>12.5</v>
      </c>
      <c r="S74" s="187">
        <f t="shared" si="14"/>
        <v>12.5</v>
      </c>
      <c r="T74" s="187">
        <f t="shared" si="14"/>
        <v>12.5</v>
      </c>
      <c r="U74" s="187">
        <f t="shared" si="14"/>
        <v>12.5</v>
      </c>
      <c r="V74" s="187">
        <f t="shared" si="14"/>
        <v>12.5</v>
      </c>
      <c r="W74" s="187">
        <f t="shared" si="14"/>
        <v>12.5</v>
      </c>
      <c r="X74" s="187">
        <f t="shared" si="14"/>
        <v>12.5</v>
      </c>
      <c r="Y74" s="187">
        <f t="shared" si="14"/>
        <v>12.5</v>
      </c>
      <c r="Z74" s="187">
        <f t="shared" si="14"/>
        <v>12.5</v>
      </c>
      <c r="AA74" s="187">
        <f t="shared" si="14"/>
        <v>12.5</v>
      </c>
      <c r="AB74" s="187">
        <f t="shared" si="14"/>
        <v>12.5</v>
      </c>
      <c r="AC74" s="187">
        <f t="shared" si="14"/>
        <v>12.5</v>
      </c>
      <c r="AD74" s="187">
        <f t="shared" si="14"/>
        <v>12.5</v>
      </c>
      <c r="AE74" s="187">
        <f t="shared" si="14"/>
        <v>12.5</v>
      </c>
      <c r="AF74" s="187">
        <f t="shared" si="14"/>
        <v>12.5</v>
      </c>
      <c r="AG74" s="187">
        <f t="shared" si="14"/>
        <v>12.5</v>
      </c>
      <c r="AH74" s="187">
        <f t="shared" si="14"/>
        <v>12.5</v>
      </c>
      <c r="AI74" s="187">
        <f t="shared" si="14"/>
        <v>12.5</v>
      </c>
      <c r="AJ74" s="187">
        <f t="shared" si="14"/>
        <v>12.5</v>
      </c>
      <c r="AK74" s="187">
        <f t="shared" si="14"/>
        <v>12.5</v>
      </c>
      <c r="AL74" s="187">
        <f t="shared" si="14"/>
        <v>12.5</v>
      </c>
      <c r="AM74" s="187">
        <f t="shared" si="14"/>
        <v>12.5</v>
      </c>
      <c r="AN74" s="187">
        <f t="shared" si="14"/>
        <v>0</v>
      </c>
      <c r="AO74" s="187">
        <f t="shared" si="14"/>
        <v>0</v>
      </c>
      <c r="AP74" s="187">
        <f t="shared" si="14"/>
        <v>0</v>
      </c>
      <c r="AQ74" s="187">
        <f t="shared" si="14"/>
        <v>0</v>
      </c>
      <c r="AR74" s="187">
        <f t="shared" si="14"/>
        <v>0</v>
      </c>
      <c r="AS74" s="187">
        <f t="shared" si="14"/>
        <v>0</v>
      </c>
      <c r="AT74" s="187">
        <f t="shared" si="14"/>
        <v>0</v>
      </c>
      <c r="AU74" s="187">
        <f t="shared" si="14"/>
        <v>0</v>
      </c>
      <c r="AV74" s="187">
        <f t="shared" si="14"/>
        <v>0</v>
      </c>
      <c r="AW74" s="187">
        <f t="shared" si="14"/>
        <v>0</v>
      </c>
      <c r="AX74" s="187">
        <f t="shared" si="14"/>
        <v>0</v>
      </c>
      <c r="AY74" s="187">
        <f t="shared" si="14"/>
        <v>0</v>
      </c>
      <c r="AZ74" s="187">
        <f t="shared" si="14"/>
        <v>0</v>
      </c>
      <c r="BA74" s="187">
        <f t="shared" si="14"/>
        <v>0</v>
      </c>
      <c r="BB74" s="187">
        <f t="shared" si="14"/>
        <v>0</v>
      </c>
      <c r="BC74" s="187">
        <f t="shared" si="14"/>
        <v>0</v>
      </c>
      <c r="BD74" s="187">
        <f t="shared" si="14"/>
        <v>0</v>
      </c>
      <c r="BE74" s="187">
        <f t="shared" si="14"/>
        <v>0</v>
      </c>
    </row>
    <row r="75" spans="1:57" outlineLevel="2" x14ac:dyDescent="0.2"/>
    <row r="76" spans="1:57" x14ac:dyDescent="0.2"/>
    <row r="77" spans="1:57" x14ac:dyDescent="0.2">
      <c r="A77" s="15" t="s">
        <v>316</v>
      </c>
    </row>
    <row r="78" spans="1:57" outlineLevel="1" x14ac:dyDescent="0.2"/>
    <row r="79" spans="1:57" s="191" customFormat="1" outlineLevel="1" x14ac:dyDescent="0.2">
      <c r="A79" s="236"/>
      <c r="B79" s="236"/>
      <c r="C79" s="237"/>
      <c r="D79" s="238"/>
      <c r="E79" s="234" t="str">
        <f t="shared" ref="E79:AJ79" si="15" xml:space="preserve"> E$17</f>
        <v>EPC base cost including overrun</v>
      </c>
      <c r="F79" s="234">
        <f t="shared" si="15"/>
        <v>0</v>
      </c>
      <c r="G79" s="234" t="str">
        <f t="shared" si="15"/>
        <v>$ 000s</v>
      </c>
      <c r="H79" s="234">
        <f t="shared" si="15"/>
        <v>300000</v>
      </c>
      <c r="I79" s="234">
        <f t="shared" si="15"/>
        <v>0</v>
      </c>
      <c r="J79" s="234">
        <f t="shared" si="15"/>
        <v>0</v>
      </c>
      <c r="K79" s="234">
        <f t="shared" si="15"/>
        <v>0</v>
      </c>
      <c r="L79" s="234">
        <f t="shared" si="15"/>
        <v>0</v>
      </c>
      <c r="M79" s="234">
        <f t="shared" si="15"/>
        <v>0</v>
      </c>
      <c r="N79" s="234">
        <f t="shared" si="15"/>
        <v>11538.461538461539</v>
      </c>
      <c r="O79" s="234">
        <f t="shared" si="15"/>
        <v>11538.461538461539</v>
      </c>
      <c r="P79" s="234">
        <f t="shared" si="15"/>
        <v>11538.461538461539</v>
      </c>
      <c r="Q79" s="234">
        <f t="shared" si="15"/>
        <v>11538.461538461539</v>
      </c>
      <c r="R79" s="234">
        <f t="shared" si="15"/>
        <v>11538.461538461539</v>
      </c>
      <c r="S79" s="234">
        <f t="shared" si="15"/>
        <v>11538.461538461539</v>
      </c>
      <c r="T79" s="234">
        <f t="shared" si="15"/>
        <v>11538.461538461539</v>
      </c>
      <c r="U79" s="234">
        <f t="shared" si="15"/>
        <v>11538.461538461539</v>
      </c>
      <c r="V79" s="234">
        <f t="shared" si="15"/>
        <v>11538.461538461539</v>
      </c>
      <c r="W79" s="234">
        <f t="shared" si="15"/>
        <v>11538.461538461539</v>
      </c>
      <c r="X79" s="234">
        <f t="shared" si="15"/>
        <v>11538.461538461539</v>
      </c>
      <c r="Y79" s="234">
        <f t="shared" si="15"/>
        <v>11538.461538461539</v>
      </c>
      <c r="Z79" s="234">
        <f t="shared" si="15"/>
        <v>11538.461538461539</v>
      </c>
      <c r="AA79" s="234">
        <f t="shared" si="15"/>
        <v>11538.461538461539</v>
      </c>
      <c r="AB79" s="234">
        <f t="shared" si="15"/>
        <v>11538.461538461539</v>
      </c>
      <c r="AC79" s="234">
        <f t="shared" si="15"/>
        <v>11538.461538461539</v>
      </c>
      <c r="AD79" s="234">
        <f t="shared" si="15"/>
        <v>11538.461538461539</v>
      </c>
      <c r="AE79" s="234">
        <f t="shared" si="15"/>
        <v>11538.461538461539</v>
      </c>
      <c r="AF79" s="234">
        <f t="shared" si="15"/>
        <v>11538.461538461539</v>
      </c>
      <c r="AG79" s="234">
        <f t="shared" si="15"/>
        <v>11538.461538461539</v>
      </c>
      <c r="AH79" s="234">
        <f t="shared" si="15"/>
        <v>11538.461538461539</v>
      </c>
      <c r="AI79" s="234">
        <f t="shared" si="15"/>
        <v>11538.461538461539</v>
      </c>
      <c r="AJ79" s="234">
        <f t="shared" si="15"/>
        <v>11538.461538461539</v>
      </c>
      <c r="AK79" s="234">
        <f t="shared" ref="AK79:BE79" si="16" xml:space="preserve"> AK$17</f>
        <v>11538.461538461539</v>
      </c>
      <c r="AL79" s="234">
        <f t="shared" si="16"/>
        <v>11538.461538461539</v>
      </c>
      <c r="AM79" s="234">
        <f t="shared" si="16"/>
        <v>11538.461538461539</v>
      </c>
      <c r="AN79" s="234">
        <f t="shared" si="16"/>
        <v>0</v>
      </c>
      <c r="AO79" s="234">
        <f t="shared" si="16"/>
        <v>0</v>
      </c>
      <c r="AP79" s="234">
        <f t="shared" si="16"/>
        <v>0</v>
      </c>
      <c r="AQ79" s="234">
        <f t="shared" si="16"/>
        <v>0</v>
      </c>
      <c r="AR79" s="234">
        <f t="shared" si="16"/>
        <v>0</v>
      </c>
      <c r="AS79" s="234">
        <f t="shared" si="16"/>
        <v>0</v>
      </c>
      <c r="AT79" s="234">
        <f t="shared" si="16"/>
        <v>0</v>
      </c>
      <c r="AU79" s="234">
        <f t="shared" si="16"/>
        <v>0</v>
      </c>
      <c r="AV79" s="234">
        <f t="shared" si="16"/>
        <v>0</v>
      </c>
      <c r="AW79" s="234">
        <f t="shared" si="16"/>
        <v>0</v>
      </c>
      <c r="AX79" s="234">
        <f t="shared" si="16"/>
        <v>0</v>
      </c>
      <c r="AY79" s="234">
        <f t="shared" si="16"/>
        <v>0</v>
      </c>
      <c r="AZ79" s="234">
        <f t="shared" si="16"/>
        <v>0</v>
      </c>
      <c r="BA79" s="234">
        <f t="shared" si="16"/>
        <v>0</v>
      </c>
      <c r="BB79" s="234">
        <f t="shared" si="16"/>
        <v>0</v>
      </c>
      <c r="BC79" s="234">
        <f t="shared" si="16"/>
        <v>0</v>
      </c>
      <c r="BD79" s="234">
        <f t="shared" si="16"/>
        <v>0</v>
      </c>
      <c r="BE79" s="234">
        <f t="shared" si="16"/>
        <v>0</v>
      </c>
    </row>
    <row r="80" spans="1:57" s="191" customFormat="1" outlineLevel="1" x14ac:dyDescent="0.2">
      <c r="A80" s="236"/>
      <c r="B80" s="236"/>
      <c r="C80" s="237"/>
      <c r="D80" s="238"/>
      <c r="E80" s="234" t="str">
        <f t="shared" ref="E80:AJ80" si="17" xml:space="preserve"> E$23</f>
        <v>EPC contingency</v>
      </c>
      <c r="F80" s="234">
        <f t="shared" si="17"/>
        <v>0</v>
      </c>
      <c r="G80" s="234" t="str">
        <f t="shared" si="17"/>
        <v>$ 000s</v>
      </c>
      <c r="H80" s="234">
        <f t="shared" si="17"/>
        <v>0</v>
      </c>
      <c r="I80" s="234">
        <f t="shared" si="17"/>
        <v>0</v>
      </c>
      <c r="J80" s="234">
        <f t="shared" si="17"/>
        <v>0</v>
      </c>
      <c r="K80" s="234">
        <f t="shared" si="17"/>
        <v>0</v>
      </c>
      <c r="L80" s="234">
        <f t="shared" si="17"/>
        <v>0</v>
      </c>
      <c r="M80" s="234">
        <f t="shared" si="17"/>
        <v>0</v>
      </c>
      <c r="N80" s="234">
        <f t="shared" si="17"/>
        <v>0</v>
      </c>
      <c r="O80" s="234">
        <f t="shared" si="17"/>
        <v>0</v>
      </c>
      <c r="P80" s="234">
        <f t="shared" si="17"/>
        <v>0</v>
      </c>
      <c r="Q80" s="234">
        <f t="shared" si="17"/>
        <v>0</v>
      </c>
      <c r="R80" s="234">
        <f t="shared" si="17"/>
        <v>0</v>
      </c>
      <c r="S80" s="234">
        <f t="shared" si="17"/>
        <v>0</v>
      </c>
      <c r="T80" s="234">
        <f t="shared" si="17"/>
        <v>0</v>
      </c>
      <c r="U80" s="234">
        <f t="shared" si="17"/>
        <v>0</v>
      </c>
      <c r="V80" s="234">
        <f t="shared" si="17"/>
        <v>0</v>
      </c>
      <c r="W80" s="234">
        <f t="shared" si="17"/>
        <v>0</v>
      </c>
      <c r="X80" s="234">
        <f t="shared" si="17"/>
        <v>0</v>
      </c>
      <c r="Y80" s="234">
        <f t="shared" si="17"/>
        <v>0</v>
      </c>
      <c r="Z80" s="234">
        <f t="shared" si="17"/>
        <v>0</v>
      </c>
      <c r="AA80" s="234">
        <f t="shared" si="17"/>
        <v>0</v>
      </c>
      <c r="AB80" s="234">
        <f t="shared" si="17"/>
        <v>0</v>
      </c>
      <c r="AC80" s="234">
        <f t="shared" si="17"/>
        <v>0</v>
      </c>
      <c r="AD80" s="234">
        <f t="shared" si="17"/>
        <v>0</v>
      </c>
      <c r="AE80" s="234">
        <f t="shared" si="17"/>
        <v>0</v>
      </c>
      <c r="AF80" s="234">
        <f t="shared" si="17"/>
        <v>0</v>
      </c>
      <c r="AG80" s="234">
        <f t="shared" si="17"/>
        <v>0</v>
      </c>
      <c r="AH80" s="234">
        <f t="shared" si="17"/>
        <v>0</v>
      </c>
      <c r="AI80" s="234">
        <f t="shared" si="17"/>
        <v>0</v>
      </c>
      <c r="AJ80" s="234">
        <f t="shared" si="17"/>
        <v>0</v>
      </c>
      <c r="AK80" s="234">
        <f t="shared" ref="AK80:BE80" si="18" xml:space="preserve"> AK$23</f>
        <v>0</v>
      </c>
      <c r="AL80" s="234">
        <f t="shared" si="18"/>
        <v>0</v>
      </c>
      <c r="AM80" s="234">
        <f t="shared" si="18"/>
        <v>0</v>
      </c>
      <c r="AN80" s="234">
        <f t="shared" si="18"/>
        <v>0</v>
      </c>
      <c r="AO80" s="234">
        <f t="shared" si="18"/>
        <v>0</v>
      </c>
      <c r="AP80" s="234">
        <f t="shared" si="18"/>
        <v>0</v>
      </c>
      <c r="AQ80" s="234">
        <f t="shared" si="18"/>
        <v>0</v>
      </c>
      <c r="AR80" s="234">
        <f t="shared" si="18"/>
        <v>0</v>
      </c>
      <c r="AS80" s="234">
        <f t="shared" si="18"/>
        <v>0</v>
      </c>
      <c r="AT80" s="234">
        <f t="shared" si="18"/>
        <v>0</v>
      </c>
      <c r="AU80" s="234">
        <f t="shared" si="18"/>
        <v>0</v>
      </c>
      <c r="AV80" s="234">
        <f t="shared" si="18"/>
        <v>0</v>
      </c>
      <c r="AW80" s="234">
        <f t="shared" si="18"/>
        <v>0</v>
      </c>
      <c r="AX80" s="234">
        <f t="shared" si="18"/>
        <v>0</v>
      </c>
      <c r="AY80" s="234">
        <f t="shared" si="18"/>
        <v>0</v>
      </c>
      <c r="AZ80" s="234">
        <f t="shared" si="18"/>
        <v>0</v>
      </c>
      <c r="BA80" s="234">
        <f t="shared" si="18"/>
        <v>0</v>
      </c>
      <c r="BB80" s="234">
        <f t="shared" si="18"/>
        <v>0</v>
      </c>
      <c r="BC80" s="234">
        <f t="shared" si="18"/>
        <v>0</v>
      </c>
      <c r="BD80" s="234">
        <f t="shared" si="18"/>
        <v>0</v>
      </c>
      <c r="BE80" s="234">
        <f t="shared" si="18"/>
        <v>0</v>
      </c>
    </row>
    <row r="81" spans="1:57" s="191" customFormat="1" outlineLevel="1" x14ac:dyDescent="0.2">
      <c r="A81" s="236"/>
      <c r="B81" s="236"/>
      <c r="C81" s="237"/>
      <c r="D81" s="238"/>
      <c r="E81" s="12" t="str">
        <f t="shared" ref="E81:AJ81" si="19" xml:space="preserve"> E$63</f>
        <v>Customs duties</v>
      </c>
      <c r="F81" s="12">
        <f t="shared" si="19"/>
        <v>0</v>
      </c>
      <c r="G81" s="12" t="str">
        <f t="shared" si="19"/>
        <v>$ 000s</v>
      </c>
      <c r="H81" s="12">
        <f t="shared" si="19"/>
        <v>0</v>
      </c>
      <c r="I81" s="12">
        <f t="shared" si="19"/>
        <v>0</v>
      </c>
      <c r="J81" s="12">
        <f t="shared" si="19"/>
        <v>0</v>
      </c>
      <c r="K81" s="12">
        <f t="shared" si="19"/>
        <v>0</v>
      </c>
      <c r="L81" s="12">
        <f t="shared" si="19"/>
        <v>0</v>
      </c>
      <c r="M81" s="12">
        <f t="shared" si="19"/>
        <v>0</v>
      </c>
      <c r="N81" s="12">
        <f t="shared" si="19"/>
        <v>0</v>
      </c>
      <c r="O81" s="12">
        <f t="shared" si="19"/>
        <v>0</v>
      </c>
      <c r="P81" s="12">
        <f t="shared" si="19"/>
        <v>0</v>
      </c>
      <c r="Q81" s="12">
        <f t="shared" si="19"/>
        <v>0</v>
      </c>
      <c r="R81" s="12">
        <f t="shared" si="19"/>
        <v>0</v>
      </c>
      <c r="S81" s="12">
        <f t="shared" si="19"/>
        <v>0</v>
      </c>
      <c r="T81" s="12">
        <f t="shared" si="19"/>
        <v>0</v>
      </c>
      <c r="U81" s="12">
        <f t="shared" si="19"/>
        <v>0</v>
      </c>
      <c r="V81" s="12">
        <f t="shared" si="19"/>
        <v>0</v>
      </c>
      <c r="W81" s="12">
        <f t="shared" si="19"/>
        <v>0</v>
      </c>
      <c r="X81" s="12">
        <f t="shared" si="19"/>
        <v>0</v>
      </c>
      <c r="Y81" s="12">
        <f t="shared" si="19"/>
        <v>0</v>
      </c>
      <c r="Z81" s="12">
        <f t="shared" si="19"/>
        <v>0</v>
      </c>
      <c r="AA81" s="12">
        <f t="shared" si="19"/>
        <v>0</v>
      </c>
      <c r="AB81" s="12">
        <f t="shared" si="19"/>
        <v>0</v>
      </c>
      <c r="AC81" s="12">
        <f t="shared" si="19"/>
        <v>0</v>
      </c>
      <c r="AD81" s="12">
        <f t="shared" si="19"/>
        <v>0</v>
      </c>
      <c r="AE81" s="12">
        <f t="shared" si="19"/>
        <v>0</v>
      </c>
      <c r="AF81" s="12">
        <f t="shared" si="19"/>
        <v>0</v>
      </c>
      <c r="AG81" s="12">
        <f t="shared" si="19"/>
        <v>0</v>
      </c>
      <c r="AH81" s="12">
        <f t="shared" si="19"/>
        <v>0</v>
      </c>
      <c r="AI81" s="12">
        <f t="shared" si="19"/>
        <v>0</v>
      </c>
      <c r="AJ81" s="12">
        <f t="shared" si="19"/>
        <v>0</v>
      </c>
      <c r="AK81" s="12">
        <f t="shared" ref="AK81:BE81" si="20" xml:space="preserve"> AK$63</f>
        <v>0</v>
      </c>
      <c r="AL81" s="12">
        <f t="shared" si="20"/>
        <v>0</v>
      </c>
      <c r="AM81" s="12">
        <f t="shared" si="20"/>
        <v>0</v>
      </c>
      <c r="AN81" s="12">
        <f t="shared" si="20"/>
        <v>0</v>
      </c>
      <c r="AO81" s="12">
        <f t="shared" si="20"/>
        <v>0</v>
      </c>
      <c r="AP81" s="12">
        <f t="shared" si="20"/>
        <v>0</v>
      </c>
      <c r="AQ81" s="12">
        <f t="shared" si="20"/>
        <v>0</v>
      </c>
      <c r="AR81" s="12">
        <f t="shared" si="20"/>
        <v>0</v>
      </c>
      <c r="AS81" s="12">
        <f t="shared" si="20"/>
        <v>0</v>
      </c>
      <c r="AT81" s="12">
        <f t="shared" si="20"/>
        <v>0</v>
      </c>
      <c r="AU81" s="12">
        <f t="shared" si="20"/>
        <v>0</v>
      </c>
      <c r="AV81" s="12">
        <f t="shared" si="20"/>
        <v>0</v>
      </c>
      <c r="AW81" s="12">
        <f t="shared" si="20"/>
        <v>0</v>
      </c>
      <c r="AX81" s="12">
        <f t="shared" si="20"/>
        <v>0</v>
      </c>
      <c r="AY81" s="12">
        <f t="shared" si="20"/>
        <v>0</v>
      </c>
      <c r="AZ81" s="12">
        <f t="shared" si="20"/>
        <v>0</v>
      </c>
      <c r="BA81" s="12">
        <f t="shared" si="20"/>
        <v>0</v>
      </c>
      <c r="BB81" s="12">
        <f t="shared" si="20"/>
        <v>0</v>
      </c>
      <c r="BC81" s="12">
        <f t="shared" si="20"/>
        <v>0</v>
      </c>
      <c r="BD81" s="12">
        <f t="shared" si="20"/>
        <v>0</v>
      </c>
      <c r="BE81" s="12">
        <f t="shared" si="20"/>
        <v>0</v>
      </c>
    </row>
    <row r="82" spans="1:57" s="191" customFormat="1" outlineLevel="1" x14ac:dyDescent="0.2">
      <c r="A82" s="236"/>
      <c r="B82" s="236"/>
      <c r="C82" s="237"/>
      <c r="D82" s="238"/>
      <c r="E82" s="234" t="str">
        <f t="shared" ref="E82:AJ82" si="21" xml:space="preserve"> E$36</f>
        <v>SPV costs during construction</v>
      </c>
      <c r="F82" s="234">
        <f t="shared" si="21"/>
        <v>0</v>
      </c>
      <c r="G82" s="234" t="str">
        <f t="shared" si="21"/>
        <v>$ 000s</v>
      </c>
      <c r="H82" s="234">
        <f t="shared" si="21"/>
        <v>697.30772000000013</v>
      </c>
      <c r="I82" s="234">
        <f t="shared" si="21"/>
        <v>0</v>
      </c>
      <c r="J82" s="234">
        <f t="shared" si="21"/>
        <v>0</v>
      </c>
      <c r="K82" s="234">
        <f t="shared" si="21"/>
        <v>0</v>
      </c>
      <c r="L82" s="234">
        <f t="shared" si="21"/>
        <v>0</v>
      </c>
      <c r="M82" s="234">
        <f t="shared" si="21"/>
        <v>0</v>
      </c>
      <c r="N82" s="234">
        <f t="shared" si="21"/>
        <v>26.819527692307695</v>
      </c>
      <c r="O82" s="234">
        <f t="shared" si="21"/>
        <v>26.819527692307695</v>
      </c>
      <c r="P82" s="234">
        <f t="shared" si="21"/>
        <v>26.819527692307695</v>
      </c>
      <c r="Q82" s="234">
        <f t="shared" si="21"/>
        <v>26.819527692307695</v>
      </c>
      <c r="R82" s="234">
        <f t="shared" si="21"/>
        <v>26.819527692307695</v>
      </c>
      <c r="S82" s="234">
        <f t="shared" si="21"/>
        <v>26.819527692307695</v>
      </c>
      <c r="T82" s="234">
        <f t="shared" si="21"/>
        <v>26.819527692307695</v>
      </c>
      <c r="U82" s="234">
        <f t="shared" si="21"/>
        <v>26.819527692307695</v>
      </c>
      <c r="V82" s="234">
        <f t="shared" si="21"/>
        <v>26.819527692307695</v>
      </c>
      <c r="W82" s="234">
        <f t="shared" si="21"/>
        <v>26.819527692307695</v>
      </c>
      <c r="X82" s="234">
        <f t="shared" si="21"/>
        <v>26.819527692307695</v>
      </c>
      <c r="Y82" s="234">
        <f t="shared" si="21"/>
        <v>26.819527692307695</v>
      </c>
      <c r="Z82" s="234">
        <f t="shared" si="21"/>
        <v>26.819527692307695</v>
      </c>
      <c r="AA82" s="234">
        <f t="shared" si="21"/>
        <v>26.819527692307695</v>
      </c>
      <c r="AB82" s="234">
        <f t="shared" si="21"/>
        <v>26.819527692307695</v>
      </c>
      <c r="AC82" s="234">
        <f t="shared" si="21"/>
        <v>26.819527692307695</v>
      </c>
      <c r="AD82" s="234">
        <f t="shared" si="21"/>
        <v>26.819527692307695</v>
      </c>
      <c r="AE82" s="234">
        <f t="shared" si="21"/>
        <v>26.819527692307695</v>
      </c>
      <c r="AF82" s="234">
        <f t="shared" si="21"/>
        <v>26.819527692307695</v>
      </c>
      <c r="AG82" s="234">
        <f t="shared" si="21"/>
        <v>26.819527692307695</v>
      </c>
      <c r="AH82" s="234">
        <f t="shared" si="21"/>
        <v>26.819527692307695</v>
      </c>
      <c r="AI82" s="234">
        <f t="shared" si="21"/>
        <v>26.819527692307695</v>
      </c>
      <c r="AJ82" s="234">
        <f t="shared" si="21"/>
        <v>26.819527692307695</v>
      </c>
      <c r="AK82" s="234">
        <f t="shared" ref="AK82:BE82" si="22" xml:space="preserve"> AK$36</f>
        <v>26.819527692307695</v>
      </c>
      <c r="AL82" s="234">
        <f t="shared" si="22"/>
        <v>26.819527692307695</v>
      </c>
      <c r="AM82" s="234">
        <f t="shared" si="22"/>
        <v>26.819527692307695</v>
      </c>
      <c r="AN82" s="234">
        <f t="shared" si="22"/>
        <v>0</v>
      </c>
      <c r="AO82" s="234">
        <f t="shared" si="22"/>
        <v>0</v>
      </c>
      <c r="AP82" s="234">
        <f t="shared" si="22"/>
        <v>0</v>
      </c>
      <c r="AQ82" s="234">
        <f t="shared" si="22"/>
        <v>0</v>
      </c>
      <c r="AR82" s="234">
        <f t="shared" si="22"/>
        <v>0</v>
      </c>
      <c r="AS82" s="234">
        <f t="shared" si="22"/>
        <v>0</v>
      </c>
      <c r="AT82" s="234">
        <f t="shared" si="22"/>
        <v>0</v>
      </c>
      <c r="AU82" s="234">
        <f t="shared" si="22"/>
        <v>0</v>
      </c>
      <c r="AV82" s="234">
        <f t="shared" si="22"/>
        <v>0</v>
      </c>
      <c r="AW82" s="234">
        <f t="shared" si="22"/>
        <v>0</v>
      </c>
      <c r="AX82" s="234">
        <f t="shared" si="22"/>
        <v>0</v>
      </c>
      <c r="AY82" s="234">
        <f t="shared" si="22"/>
        <v>0</v>
      </c>
      <c r="AZ82" s="234">
        <f t="shared" si="22"/>
        <v>0</v>
      </c>
      <c r="BA82" s="234">
        <f t="shared" si="22"/>
        <v>0</v>
      </c>
      <c r="BB82" s="234">
        <f t="shared" si="22"/>
        <v>0</v>
      </c>
      <c r="BC82" s="234">
        <f t="shared" si="22"/>
        <v>0</v>
      </c>
      <c r="BD82" s="234">
        <f t="shared" si="22"/>
        <v>0</v>
      </c>
      <c r="BE82" s="234">
        <f t="shared" si="22"/>
        <v>0</v>
      </c>
    </row>
    <row r="83" spans="1:57" s="191" customFormat="1" outlineLevel="1" x14ac:dyDescent="0.2">
      <c r="A83" s="236"/>
      <c r="B83" s="236"/>
      <c r="C83" s="237"/>
      <c r="D83" s="238"/>
      <c r="E83" s="234" t="str">
        <f t="shared" ref="E83:AJ83" si="23" xml:space="preserve"> E$41</f>
        <v>Construction insurance cost</v>
      </c>
      <c r="F83" s="234">
        <f t="shared" si="23"/>
        <v>0</v>
      </c>
      <c r="G83" s="234" t="str">
        <f t="shared" si="23"/>
        <v>$ 000s</v>
      </c>
      <c r="H83" s="234">
        <f t="shared" si="23"/>
        <v>1300</v>
      </c>
      <c r="I83" s="234">
        <f t="shared" si="23"/>
        <v>0</v>
      </c>
      <c r="J83" s="234">
        <f t="shared" si="23"/>
        <v>0</v>
      </c>
      <c r="K83" s="234">
        <f t="shared" si="23"/>
        <v>0</v>
      </c>
      <c r="L83" s="234">
        <f t="shared" si="23"/>
        <v>0</v>
      </c>
      <c r="M83" s="234">
        <f t="shared" si="23"/>
        <v>1300</v>
      </c>
      <c r="N83" s="234">
        <f t="shared" si="23"/>
        <v>0</v>
      </c>
      <c r="O83" s="234">
        <f t="shared" si="23"/>
        <v>0</v>
      </c>
      <c r="P83" s="234">
        <f t="shared" si="23"/>
        <v>0</v>
      </c>
      <c r="Q83" s="234">
        <f t="shared" si="23"/>
        <v>0</v>
      </c>
      <c r="R83" s="234">
        <f t="shared" si="23"/>
        <v>0</v>
      </c>
      <c r="S83" s="234">
        <f t="shared" si="23"/>
        <v>0</v>
      </c>
      <c r="T83" s="234">
        <f t="shared" si="23"/>
        <v>0</v>
      </c>
      <c r="U83" s="234">
        <f t="shared" si="23"/>
        <v>0</v>
      </c>
      <c r="V83" s="234">
        <f t="shared" si="23"/>
        <v>0</v>
      </c>
      <c r="W83" s="234">
        <f t="shared" si="23"/>
        <v>0</v>
      </c>
      <c r="X83" s="234">
        <f t="shared" si="23"/>
        <v>0</v>
      </c>
      <c r="Y83" s="234">
        <f t="shared" si="23"/>
        <v>0</v>
      </c>
      <c r="Z83" s="234">
        <f t="shared" si="23"/>
        <v>0</v>
      </c>
      <c r="AA83" s="234">
        <f t="shared" si="23"/>
        <v>0</v>
      </c>
      <c r="AB83" s="234">
        <f t="shared" si="23"/>
        <v>0</v>
      </c>
      <c r="AC83" s="234">
        <f t="shared" si="23"/>
        <v>0</v>
      </c>
      <c r="AD83" s="234">
        <f t="shared" si="23"/>
        <v>0</v>
      </c>
      <c r="AE83" s="234">
        <f t="shared" si="23"/>
        <v>0</v>
      </c>
      <c r="AF83" s="234">
        <f t="shared" si="23"/>
        <v>0</v>
      </c>
      <c r="AG83" s="234">
        <f t="shared" si="23"/>
        <v>0</v>
      </c>
      <c r="AH83" s="234">
        <f t="shared" si="23"/>
        <v>0</v>
      </c>
      <c r="AI83" s="234">
        <f t="shared" si="23"/>
        <v>0</v>
      </c>
      <c r="AJ83" s="234">
        <f t="shared" si="23"/>
        <v>0</v>
      </c>
      <c r="AK83" s="234">
        <f t="shared" ref="AK83:BE83" si="24" xml:space="preserve"> AK$41</f>
        <v>0</v>
      </c>
      <c r="AL83" s="234">
        <f t="shared" si="24"/>
        <v>0</v>
      </c>
      <c r="AM83" s="234">
        <f t="shared" si="24"/>
        <v>0</v>
      </c>
      <c r="AN83" s="234">
        <f t="shared" si="24"/>
        <v>0</v>
      </c>
      <c r="AO83" s="234">
        <f t="shared" si="24"/>
        <v>0</v>
      </c>
      <c r="AP83" s="234">
        <f t="shared" si="24"/>
        <v>0</v>
      </c>
      <c r="AQ83" s="234">
        <f t="shared" si="24"/>
        <v>0</v>
      </c>
      <c r="AR83" s="234">
        <f t="shared" si="24"/>
        <v>0</v>
      </c>
      <c r="AS83" s="234">
        <f t="shared" si="24"/>
        <v>0</v>
      </c>
      <c r="AT83" s="234">
        <f t="shared" si="24"/>
        <v>0</v>
      </c>
      <c r="AU83" s="234">
        <f t="shared" si="24"/>
        <v>0</v>
      </c>
      <c r="AV83" s="234">
        <f t="shared" si="24"/>
        <v>0</v>
      </c>
      <c r="AW83" s="234">
        <f t="shared" si="24"/>
        <v>0</v>
      </c>
      <c r="AX83" s="234">
        <f t="shared" si="24"/>
        <v>0</v>
      </c>
      <c r="AY83" s="234">
        <f t="shared" si="24"/>
        <v>0</v>
      </c>
      <c r="AZ83" s="234">
        <f t="shared" si="24"/>
        <v>0</v>
      </c>
      <c r="BA83" s="234">
        <f t="shared" si="24"/>
        <v>0</v>
      </c>
      <c r="BB83" s="234">
        <f t="shared" si="24"/>
        <v>0</v>
      </c>
      <c r="BC83" s="234">
        <f t="shared" si="24"/>
        <v>0</v>
      </c>
      <c r="BD83" s="234">
        <f t="shared" si="24"/>
        <v>0</v>
      </c>
      <c r="BE83" s="234">
        <f t="shared" si="24"/>
        <v>0</v>
      </c>
    </row>
    <row r="84" spans="1:57" s="191" customFormat="1" outlineLevel="1" x14ac:dyDescent="0.2">
      <c r="A84" s="236"/>
      <c r="B84" s="236"/>
      <c r="C84" s="237"/>
      <c r="D84" s="238"/>
      <c r="E84" s="234" t="str">
        <f t="shared" ref="E84:AJ84" si="25" xml:space="preserve"> E$46</f>
        <v>Development costs</v>
      </c>
      <c r="F84" s="234">
        <f t="shared" si="25"/>
        <v>0</v>
      </c>
      <c r="G84" s="234" t="str">
        <f t="shared" si="25"/>
        <v>$ 000s</v>
      </c>
      <c r="H84" s="234">
        <f t="shared" si="25"/>
        <v>5000</v>
      </c>
      <c r="I84" s="234">
        <f t="shared" si="25"/>
        <v>0</v>
      </c>
      <c r="J84" s="234">
        <f t="shared" si="25"/>
        <v>0</v>
      </c>
      <c r="K84" s="234">
        <f t="shared" si="25"/>
        <v>0</v>
      </c>
      <c r="L84" s="234">
        <f t="shared" si="25"/>
        <v>0</v>
      </c>
      <c r="M84" s="234">
        <f t="shared" si="25"/>
        <v>5000</v>
      </c>
      <c r="N84" s="234">
        <f t="shared" si="25"/>
        <v>0</v>
      </c>
      <c r="O84" s="234">
        <f t="shared" si="25"/>
        <v>0</v>
      </c>
      <c r="P84" s="234">
        <f t="shared" si="25"/>
        <v>0</v>
      </c>
      <c r="Q84" s="234">
        <f t="shared" si="25"/>
        <v>0</v>
      </c>
      <c r="R84" s="234">
        <f t="shared" si="25"/>
        <v>0</v>
      </c>
      <c r="S84" s="234">
        <f t="shared" si="25"/>
        <v>0</v>
      </c>
      <c r="T84" s="234">
        <f t="shared" si="25"/>
        <v>0</v>
      </c>
      <c r="U84" s="234">
        <f t="shared" si="25"/>
        <v>0</v>
      </c>
      <c r="V84" s="234">
        <f t="shared" si="25"/>
        <v>0</v>
      </c>
      <c r="W84" s="234">
        <f t="shared" si="25"/>
        <v>0</v>
      </c>
      <c r="X84" s="234">
        <f t="shared" si="25"/>
        <v>0</v>
      </c>
      <c r="Y84" s="234">
        <f t="shared" si="25"/>
        <v>0</v>
      </c>
      <c r="Z84" s="234">
        <f t="shared" si="25"/>
        <v>0</v>
      </c>
      <c r="AA84" s="234">
        <f t="shared" si="25"/>
        <v>0</v>
      </c>
      <c r="AB84" s="234">
        <f t="shared" si="25"/>
        <v>0</v>
      </c>
      <c r="AC84" s="234">
        <f t="shared" si="25"/>
        <v>0</v>
      </c>
      <c r="AD84" s="234">
        <f t="shared" si="25"/>
        <v>0</v>
      </c>
      <c r="AE84" s="234">
        <f t="shared" si="25"/>
        <v>0</v>
      </c>
      <c r="AF84" s="234">
        <f t="shared" si="25"/>
        <v>0</v>
      </c>
      <c r="AG84" s="234">
        <f t="shared" si="25"/>
        <v>0</v>
      </c>
      <c r="AH84" s="234">
        <f t="shared" si="25"/>
        <v>0</v>
      </c>
      <c r="AI84" s="234">
        <f t="shared" si="25"/>
        <v>0</v>
      </c>
      <c r="AJ84" s="234">
        <f t="shared" si="25"/>
        <v>0</v>
      </c>
      <c r="AK84" s="234">
        <f t="shared" ref="AK84:BE84" si="26" xml:space="preserve"> AK$46</f>
        <v>0</v>
      </c>
      <c r="AL84" s="234">
        <f t="shared" si="26"/>
        <v>0</v>
      </c>
      <c r="AM84" s="234">
        <f t="shared" si="26"/>
        <v>0</v>
      </c>
      <c r="AN84" s="234">
        <f t="shared" si="26"/>
        <v>0</v>
      </c>
      <c r="AO84" s="234">
        <f t="shared" si="26"/>
        <v>0</v>
      </c>
      <c r="AP84" s="234">
        <f t="shared" si="26"/>
        <v>0</v>
      </c>
      <c r="AQ84" s="234">
        <f t="shared" si="26"/>
        <v>0</v>
      </c>
      <c r="AR84" s="234">
        <f t="shared" si="26"/>
        <v>0</v>
      </c>
      <c r="AS84" s="234">
        <f t="shared" si="26"/>
        <v>0</v>
      </c>
      <c r="AT84" s="234">
        <f t="shared" si="26"/>
        <v>0</v>
      </c>
      <c r="AU84" s="234">
        <f t="shared" si="26"/>
        <v>0</v>
      </c>
      <c r="AV84" s="234">
        <f t="shared" si="26"/>
        <v>0</v>
      </c>
      <c r="AW84" s="234">
        <f t="shared" si="26"/>
        <v>0</v>
      </c>
      <c r="AX84" s="234">
        <f t="shared" si="26"/>
        <v>0</v>
      </c>
      <c r="AY84" s="234">
        <f t="shared" si="26"/>
        <v>0</v>
      </c>
      <c r="AZ84" s="234">
        <f t="shared" si="26"/>
        <v>0</v>
      </c>
      <c r="BA84" s="234">
        <f t="shared" si="26"/>
        <v>0</v>
      </c>
      <c r="BB84" s="234">
        <f t="shared" si="26"/>
        <v>0</v>
      </c>
      <c r="BC84" s="234">
        <f t="shared" si="26"/>
        <v>0</v>
      </c>
      <c r="BD84" s="234">
        <f t="shared" si="26"/>
        <v>0</v>
      </c>
      <c r="BE84" s="234">
        <f t="shared" si="26"/>
        <v>0</v>
      </c>
    </row>
    <row r="85" spans="1:57" s="191" customFormat="1" outlineLevel="1" x14ac:dyDescent="0.2">
      <c r="A85" s="236"/>
      <c r="B85" s="236"/>
      <c r="C85" s="237"/>
      <c r="D85" s="238"/>
      <c r="E85" s="234" t="str">
        <f t="shared" ref="E85:AJ85" si="27" xml:space="preserve"> E$53</f>
        <v>Success fee</v>
      </c>
      <c r="F85" s="234">
        <f t="shared" si="27"/>
        <v>0</v>
      </c>
      <c r="G85" s="234" t="str">
        <f t="shared" si="27"/>
        <v>$ 000s</v>
      </c>
      <c r="H85" s="234">
        <f t="shared" si="27"/>
        <v>2000</v>
      </c>
      <c r="I85" s="234">
        <f t="shared" si="27"/>
        <v>0</v>
      </c>
      <c r="J85" s="234">
        <f t="shared" si="27"/>
        <v>0</v>
      </c>
      <c r="K85" s="234">
        <f t="shared" si="27"/>
        <v>0</v>
      </c>
      <c r="L85" s="234">
        <f t="shared" si="27"/>
        <v>0</v>
      </c>
      <c r="M85" s="234">
        <f t="shared" si="27"/>
        <v>2000</v>
      </c>
      <c r="N85" s="234">
        <f t="shared" si="27"/>
        <v>0</v>
      </c>
      <c r="O85" s="234">
        <f t="shared" si="27"/>
        <v>0</v>
      </c>
      <c r="P85" s="234">
        <f t="shared" si="27"/>
        <v>0</v>
      </c>
      <c r="Q85" s="234">
        <f t="shared" si="27"/>
        <v>0</v>
      </c>
      <c r="R85" s="234">
        <f t="shared" si="27"/>
        <v>0</v>
      </c>
      <c r="S85" s="234">
        <f t="shared" si="27"/>
        <v>0</v>
      </c>
      <c r="T85" s="234">
        <f t="shared" si="27"/>
        <v>0</v>
      </c>
      <c r="U85" s="234">
        <f t="shared" si="27"/>
        <v>0</v>
      </c>
      <c r="V85" s="234">
        <f t="shared" si="27"/>
        <v>0</v>
      </c>
      <c r="W85" s="234">
        <f t="shared" si="27"/>
        <v>0</v>
      </c>
      <c r="X85" s="234">
        <f t="shared" si="27"/>
        <v>0</v>
      </c>
      <c r="Y85" s="234">
        <f t="shared" si="27"/>
        <v>0</v>
      </c>
      <c r="Z85" s="234">
        <f t="shared" si="27"/>
        <v>0</v>
      </c>
      <c r="AA85" s="234">
        <f t="shared" si="27"/>
        <v>0</v>
      </c>
      <c r="AB85" s="234">
        <f t="shared" si="27"/>
        <v>0</v>
      </c>
      <c r="AC85" s="234">
        <f t="shared" si="27"/>
        <v>0</v>
      </c>
      <c r="AD85" s="234">
        <f t="shared" si="27"/>
        <v>0</v>
      </c>
      <c r="AE85" s="234">
        <f t="shared" si="27"/>
        <v>0</v>
      </c>
      <c r="AF85" s="234">
        <f t="shared" si="27"/>
        <v>0</v>
      </c>
      <c r="AG85" s="234">
        <f t="shared" si="27"/>
        <v>0</v>
      </c>
      <c r="AH85" s="234">
        <f t="shared" si="27"/>
        <v>0</v>
      </c>
      <c r="AI85" s="234">
        <f t="shared" si="27"/>
        <v>0</v>
      </c>
      <c r="AJ85" s="234">
        <f t="shared" si="27"/>
        <v>0</v>
      </c>
      <c r="AK85" s="234">
        <f t="shared" ref="AK85:BE85" si="28" xml:space="preserve"> AK$53</f>
        <v>0</v>
      </c>
      <c r="AL85" s="234">
        <f t="shared" si="28"/>
        <v>0</v>
      </c>
      <c r="AM85" s="234">
        <f t="shared" si="28"/>
        <v>0</v>
      </c>
      <c r="AN85" s="234">
        <f t="shared" si="28"/>
        <v>0</v>
      </c>
      <c r="AO85" s="234">
        <f t="shared" si="28"/>
        <v>0</v>
      </c>
      <c r="AP85" s="234">
        <f t="shared" si="28"/>
        <v>0</v>
      </c>
      <c r="AQ85" s="234">
        <f t="shared" si="28"/>
        <v>0</v>
      </c>
      <c r="AR85" s="234">
        <f t="shared" si="28"/>
        <v>0</v>
      </c>
      <c r="AS85" s="234">
        <f t="shared" si="28"/>
        <v>0</v>
      </c>
      <c r="AT85" s="234">
        <f t="shared" si="28"/>
        <v>0</v>
      </c>
      <c r="AU85" s="234">
        <f t="shared" si="28"/>
        <v>0</v>
      </c>
      <c r="AV85" s="234">
        <f t="shared" si="28"/>
        <v>0</v>
      </c>
      <c r="AW85" s="234">
        <f t="shared" si="28"/>
        <v>0</v>
      </c>
      <c r="AX85" s="234">
        <f t="shared" si="28"/>
        <v>0</v>
      </c>
      <c r="AY85" s="234">
        <f t="shared" si="28"/>
        <v>0</v>
      </c>
      <c r="AZ85" s="234">
        <f t="shared" si="28"/>
        <v>0</v>
      </c>
      <c r="BA85" s="234">
        <f t="shared" si="28"/>
        <v>0</v>
      </c>
      <c r="BB85" s="234">
        <f t="shared" si="28"/>
        <v>0</v>
      </c>
      <c r="BC85" s="234">
        <f t="shared" si="28"/>
        <v>0</v>
      </c>
      <c r="BD85" s="234">
        <f t="shared" si="28"/>
        <v>0</v>
      </c>
      <c r="BE85" s="234">
        <f t="shared" si="28"/>
        <v>0</v>
      </c>
    </row>
    <row r="86" spans="1:57" s="191" customFormat="1" outlineLevel="1" x14ac:dyDescent="0.2">
      <c r="A86" s="236"/>
      <c r="B86" s="236"/>
      <c r="C86" s="237"/>
      <c r="D86" s="238"/>
      <c r="E86" s="234" t="str">
        <f t="shared" ref="E86:AJ86" si="29" xml:space="preserve"> E$58</f>
        <v>O&amp;M mobilisation</v>
      </c>
      <c r="F86" s="234">
        <f t="shared" si="29"/>
        <v>0</v>
      </c>
      <c r="G86" s="234" t="str">
        <f t="shared" si="29"/>
        <v>$ 000s</v>
      </c>
      <c r="H86" s="234">
        <f t="shared" si="29"/>
        <v>0</v>
      </c>
      <c r="I86" s="234">
        <f t="shared" si="29"/>
        <v>0</v>
      </c>
      <c r="J86" s="234">
        <f t="shared" si="29"/>
        <v>0</v>
      </c>
      <c r="K86" s="234">
        <f t="shared" si="29"/>
        <v>0</v>
      </c>
      <c r="L86" s="234">
        <f t="shared" si="29"/>
        <v>0</v>
      </c>
      <c r="M86" s="234">
        <f t="shared" si="29"/>
        <v>0</v>
      </c>
      <c r="N86" s="234">
        <f t="shared" si="29"/>
        <v>0</v>
      </c>
      <c r="O86" s="234">
        <f t="shared" si="29"/>
        <v>0</v>
      </c>
      <c r="P86" s="234">
        <f t="shared" si="29"/>
        <v>0</v>
      </c>
      <c r="Q86" s="234">
        <f t="shared" si="29"/>
        <v>0</v>
      </c>
      <c r="R86" s="234">
        <f t="shared" si="29"/>
        <v>0</v>
      </c>
      <c r="S86" s="234">
        <f t="shared" si="29"/>
        <v>0</v>
      </c>
      <c r="T86" s="234">
        <f t="shared" si="29"/>
        <v>0</v>
      </c>
      <c r="U86" s="234">
        <f t="shared" si="29"/>
        <v>0</v>
      </c>
      <c r="V86" s="234">
        <f t="shared" si="29"/>
        <v>0</v>
      </c>
      <c r="W86" s="234">
        <f t="shared" si="29"/>
        <v>0</v>
      </c>
      <c r="X86" s="234">
        <f t="shared" si="29"/>
        <v>0</v>
      </c>
      <c r="Y86" s="234">
        <f t="shared" si="29"/>
        <v>0</v>
      </c>
      <c r="Z86" s="234">
        <f t="shared" si="29"/>
        <v>0</v>
      </c>
      <c r="AA86" s="234">
        <f t="shared" si="29"/>
        <v>0</v>
      </c>
      <c r="AB86" s="234">
        <f t="shared" si="29"/>
        <v>0</v>
      </c>
      <c r="AC86" s="234">
        <f t="shared" si="29"/>
        <v>0</v>
      </c>
      <c r="AD86" s="234">
        <f t="shared" si="29"/>
        <v>0</v>
      </c>
      <c r="AE86" s="234">
        <f t="shared" si="29"/>
        <v>0</v>
      </c>
      <c r="AF86" s="234">
        <f t="shared" si="29"/>
        <v>0</v>
      </c>
      <c r="AG86" s="234">
        <f t="shared" si="29"/>
        <v>0</v>
      </c>
      <c r="AH86" s="234">
        <f t="shared" si="29"/>
        <v>0</v>
      </c>
      <c r="AI86" s="234">
        <f t="shared" si="29"/>
        <v>0</v>
      </c>
      <c r="AJ86" s="234">
        <f t="shared" si="29"/>
        <v>0</v>
      </c>
      <c r="AK86" s="234">
        <f t="shared" ref="AK86:BE86" si="30" xml:space="preserve"> AK$58</f>
        <v>0</v>
      </c>
      <c r="AL86" s="234">
        <f t="shared" si="30"/>
        <v>0</v>
      </c>
      <c r="AM86" s="234">
        <f t="shared" si="30"/>
        <v>0</v>
      </c>
      <c r="AN86" s="234">
        <f t="shared" si="30"/>
        <v>0</v>
      </c>
      <c r="AO86" s="234">
        <f t="shared" si="30"/>
        <v>0</v>
      </c>
      <c r="AP86" s="234">
        <f t="shared" si="30"/>
        <v>0</v>
      </c>
      <c r="AQ86" s="234">
        <f t="shared" si="30"/>
        <v>0</v>
      </c>
      <c r="AR86" s="234">
        <f t="shared" si="30"/>
        <v>0</v>
      </c>
      <c r="AS86" s="234">
        <f t="shared" si="30"/>
        <v>0</v>
      </c>
      <c r="AT86" s="234">
        <f t="shared" si="30"/>
        <v>0</v>
      </c>
      <c r="AU86" s="234">
        <f t="shared" si="30"/>
        <v>0</v>
      </c>
      <c r="AV86" s="234">
        <f t="shared" si="30"/>
        <v>0</v>
      </c>
      <c r="AW86" s="234">
        <f t="shared" si="30"/>
        <v>0</v>
      </c>
      <c r="AX86" s="234">
        <f t="shared" si="30"/>
        <v>0</v>
      </c>
      <c r="AY86" s="234">
        <f t="shared" si="30"/>
        <v>0</v>
      </c>
      <c r="AZ86" s="234">
        <f t="shared" si="30"/>
        <v>0</v>
      </c>
      <c r="BA86" s="234">
        <f t="shared" si="30"/>
        <v>0</v>
      </c>
      <c r="BB86" s="234">
        <f t="shared" si="30"/>
        <v>0</v>
      </c>
      <c r="BC86" s="234">
        <f t="shared" si="30"/>
        <v>0</v>
      </c>
      <c r="BD86" s="234">
        <f t="shared" si="30"/>
        <v>0</v>
      </c>
      <c r="BE86" s="234">
        <f t="shared" si="30"/>
        <v>0</v>
      </c>
    </row>
    <row r="87" spans="1:57" s="191" customFormat="1" outlineLevel="1" x14ac:dyDescent="0.2">
      <c r="A87" s="236"/>
      <c r="B87" s="236"/>
      <c r="C87" s="237"/>
      <c r="D87" s="238"/>
      <c r="E87" s="12" t="str">
        <f t="shared" ref="E87:AJ87" si="31" xml:space="preserve"> E$74</f>
        <v>Development security LC fee</v>
      </c>
      <c r="F87" s="12">
        <f t="shared" si="31"/>
        <v>0</v>
      </c>
      <c r="G87" s="12" t="str">
        <f t="shared" si="31"/>
        <v>$ 000s</v>
      </c>
      <c r="H87" s="12">
        <f t="shared" si="31"/>
        <v>325</v>
      </c>
      <c r="I87" s="12">
        <f t="shared" si="31"/>
        <v>0</v>
      </c>
      <c r="J87" s="12">
        <f t="shared" si="31"/>
        <v>0</v>
      </c>
      <c r="K87" s="12">
        <f t="shared" si="31"/>
        <v>0</v>
      </c>
      <c r="L87" s="12">
        <f t="shared" si="31"/>
        <v>0</v>
      </c>
      <c r="M87" s="12">
        <f t="shared" si="31"/>
        <v>0</v>
      </c>
      <c r="N87" s="12">
        <f t="shared" si="31"/>
        <v>12.5</v>
      </c>
      <c r="O87" s="12">
        <f t="shared" si="31"/>
        <v>12.5</v>
      </c>
      <c r="P87" s="12">
        <f t="shared" si="31"/>
        <v>12.5</v>
      </c>
      <c r="Q87" s="12">
        <f t="shared" si="31"/>
        <v>12.5</v>
      </c>
      <c r="R87" s="12">
        <f t="shared" si="31"/>
        <v>12.5</v>
      </c>
      <c r="S87" s="12">
        <f t="shared" si="31"/>
        <v>12.5</v>
      </c>
      <c r="T87" s="12">
        <f t="shared" si="31"/>
        <v>12.5</v>
      </c>
      <c r="U87" s="12">
        <f t="shared" si="31"/>
        <v>12.5</v>
      </c>
      <c r="V87" s="12">
        <f t="shared" si="31"/>
        <v>12.5</v>
      </c>
      <c r="W87" s="12">
        <f t="shared" si="31"/>
        <v>12.5</v>
      </c>
      <c r="X87" s="12">
        <f t="shared" si="31"/>
        <v>12.5</v>
      </c>
      <c r="Y87" s="12">
        <f t="shared" si="31"/>
        <v>12.5</v>
      </c>
      <c r="Z87" s="12">
        <f t="shared" si="31"/>
        <v>12.5</v>
      </c>
      <c r="AA87" s="12">
        <f t="shared" si="31"/>
        <v>12.5</v>
      </c>
      <c r="AB87" s="12">
        <f t="shared" si="31"/>
        <v>12.5</v>
      </c>
      <c r="AC87" s="12">
        <f t="shared" si="31"/>
        <v>12.5</v>
      </c>
      <c r="AD87" s="12">
        <f t="shared" si="31"/>
        <v>12.5</v>
      </c>
      <c r="AE87" s="12">
        <f t="shared" si="31"/>
        <v>12.5</v>
      </c>
      <c r="AF87" s="12">
        <f t="shared" si="31"/>
        <v>12.5</v>
      </c>
      <c r="AG87" s="12">
        <f t="shared" si="31"/>
        <v>12.5</v>
      </c>
      <c r="AH87" s="12">
        <f t="shared" si="31"/>
        <v>12.5</v>
      </c>
      <c r="AI87" s="12">
        <f t="shared" si="31"/>
        <v>12.5</v>
      </c>
      <c r="AJ87" s="12">
        <f t="shared" si="31"/>
        <v>12.5</v>
      </c>
      <c r="AK87" s="12">
        <f t="shared" ref="AK87:BE87" si="32" xml:space="preserve"> AK$74</f>
        <v>12.5</v>
      </c>
      <c r="AL87" s="12">
        <f t="shared" si="32"/>
        <v>12.5</v>
      </c>
      <c r="AM87" s="12">
        <f t="shared" si="32"/>
        <v>12.5</v>
      </c>
      <c r="AN87" s="12">
        <f t="shared" si="32"/>
        <v>0</v>
      </c>
      <c r="AO87" s="12">
        <f t="shared" si="32"/>
        <v>0</v>
      </c>
      <c r="AP87" s="12">
        <f t="shared" si="32"/>
        <v>0</v>
      </c>
      <c r="AQ87" s="12">
        <f t="shared" si="32"/>
        <v>0</v>
      </c>
      <c r="AR87" s="12">
        <f t="shared" si="32"/>
        <v>0</v>
      </c>
      <c r="AS87" s="12">
        <f t="shared" si="32"/>
        <v>0</v>
      </c>
      <c r="AT87" s="12">
        <f t="shared" si="32"/>
        <v>0</v>
      </c>
      <c r="AU87" s="12">
        <f t="shared" si="32"/>
        <v>0</v>
      </c>
      <c r="AV87" s="12">
        <f t="shared" si="32"/>
        <v>0</v>
      </c>
      <c r="AW87" s="12">
        <f t="shared" si="32"/>
        <v>0</v>
      </c>
      <c r="AX87" s="12">
        <f t="shared" si="32"/>
        <v>0</v>
      </c>
      <c r="AY87" s="12">
        <f t="shared" si="32"/>
        <v>0</v>
      </c>
      <c r="AZ87" s="12">
        <f t="shared" si="32"/>
        <v>0</v>
      </c>
      <c r="BA87" s="12">
        <f t="shared" si="32"/>
        <v>0</v>
      </c>
      <c r="BB87" s="12">
        <f t="shared" si="32"/>
        <v>0</v>
      </c>
      <c r="BC87" s="12">
        <f t="shared" si="32"/>
        <v>0</v>
      </c>
      <c r="BD87" s="12">
        <f t="shared" si="32"/>
        <v>0</v>
      </c>
      <c r="BE87" s="12">
        <f t="shared" si="32"/>
        <v>0</v>
      </c>
    </row>
    <row r="88" spans="1:57" s="191" customFormat="1" outlineLevel="1" x14ac:dyDescent="0.2">
      <c r="A88" s="236"/>
      <c r="B88" s="236"/>
      <c r="C88" s="237"/>
      <c r="D88" s="238"/>
      <c r="E88" s="12" t="str">
        <f t="shared" ref="E88:AJ88" si="33" xml:space="preserve"> E$207</f>
        <v>Early generation costs shortfall to be funded - m</v>
      </c>
      <c r="F88" s="12">
        <f t="shared" si="33"/>
        <v>0</v>
      </c>
      <c r="G88" s="12" t="str">
        <f t="shared" si="33"/>
        <v>$ 000s</v>
      </c>
      <c r="H88" s="12">
        <f t="shared" si="33"/>
        <v>0</v>
      </c>
      <c r="I88" s="12">
        <f t="shared" si="33"/>
        <v>0</v>
      </c>
      <c r="J88" s="12">
        <f t="shared" si="33"/>
        <v>0</v>
      </c>
      <c r="K88" s="12">
        <f t="shared" si="33"/>
        <v>0</v>
      </c>
      <c r="L88" s="12">
        <f t="shared" si="33"/>
        <v>0</v>
      </c>
      <c r="M88" s="12">
        <f t="shared" si="33"/>
        <v>0</v>
      </c>
      <c r="N88" s="12">
        <f t="shared" si="33"/>
        <v>0</v>
      </c>
      <c r="O88" s="12">
        <f t="shared" si="33"/>
        <v>0</v>
      </c>
      <c r="P88" s="12">
        <f t="shared" si="33"/>
        <v>0</v>
      </c>
      <c r="Q88" s="12">
        <f t="shared" si="33"/>
        <v>0</v>
      </c>
      <c r="R88" s="12">
        <f t="shared" si="33"/>
        <v>0</v>
      </c>
      <c r="S88" s="12">
        <f t="shared" si="33"/>
        <v>0</v>
      </c>
      <c r="T88" s="12">
        <f t="shared" si="33"/>
        <v>0</v>
      </c>
      <c r="U88" s="12">
        <f t="shared" si="33"/>
        <v>0</v>
      </c>
      <c r="V88" s="12">
        <f t="shared" si="33"/>
        <v>0</v>
      </c>
      <c r="W88" s="12">
        <f t="shared" si="33"/>
        <v>0</v>
      </c>
      <c r="X88" s="12">
        <f t="shared" si="33"/>
        <v>0</v>
      </c>
      <c r="Y88" s="12">
        <f t="shared" si="33"/>
        <v>0</v>
      </c>
      <c r="Z88" s="12">
        <f t="shared" si="33"/>
        <v>0</v>
      </c>
      <c r="AA88" s="12">
        <f t="shared" si="33"/>
        <v>0</v>
      </c>
      <c r="AB88" s="12">
        <f t="shared" si="33"/>
        <v>0</v>
      </c>
      <c r="AC88" s="12">
        <f t="shared" si="33"/>
        <v>0</v>
      </c>
      <c r="AD88" s="12">
        <f t="shared" si="33"/>
        <v>0</v>
      </c>
      <c r="AE88" s="12">
        <f t="shared" si="33"/>
        <v>0</v>
      </c>
      <c r="AF88" s="12">
        <f t="shared" si="33"/>
        <v>0</v>
      </c>
      <c r="AG88" s="12">
        <f t="shared" si="33"/>
        <v>0</v>
      </c>
      <c r="AH88" s="12">
        <f t="shared" si="33"/>
        <v>0</v>
      </c>
      <c r="AI88" s="12">
        <f t="shared" si="33"/>
        <v>0</v>
      </c>
      <c r="AJ88" s="12">
        <f t="shared" si="33"/>
        <v>0</v>
      </c>
      <c r="AK88" s="12">
        <f t="shared" ref="AK88:BE88" si="34" xml:space="preserve"> AK$207</f>
        <v>0</v>
      </c>
      <c r="AL88" s="12">
        <f t="shared" si="34"/>
        <v>0</v>
      </c>
      <c r="AM88" s="12">
        <f t="shared" si="34"/>
        <v>0</v>
      </c>
      <c r="AN88" s="12">
        <f t="shared" si="34"/>
        <v>0</v>
      </c>
      <c r="AO88" s="12">
        <f t="shared" si="34"/>
        <v>0</v>
      </c>
      <c r="AP88" s="12">
        <f t="shared" si="34"/>
        <v>0</v>
      </c>
      <c r="AQ88" s="12">
        <f t="shared" si="34"/>
        <v>0</v>
      </c>
      <c r="AR88" s="12">
        <f t="shared" si="34"/>
        <v>0</v>
      </c>
      <c r="AS88" s="12">
        <f t="shared" si="34"/>
        <v>0</v>
      </c>
      <c r="AT88" s="12">
        <f t="shared" si="34"/>
        <v>0</v>
      </c>
      <c r="AU88" s="12">
        <f t="shared" si="34"/>
        <v>0</v>
      </c>
      <c r="AV88" s="12">
        <f t="shared" si="34"/>
        <v>0</v>
      </c>
      <c r="AW88" s="12">
        <f t="shared" si="34"/>
        <v>0</v>
      </c>
      <c r="AX88" s="12">
        <f t="shared" si="34"/>
        <v>0</v>
      </c>
      <c r="AY88" s="12">
        <f t="shared" si="34"/>
        <v>0</v>
      </c>
      <c r="AZ88" s="12">
        <f t="shared" si="34"/>
        <v>0</v>
      </c>
      <c r="BA88" s="12">
        <f t="shared" si="34"/>
        <v>0</v>
      </c>
      <c r="BB88" s="12">
        <f t="shared" si="34"/>
        <v>0</v>
      </c>
      <c r="BC88" s="12">
        <f t="shared" si="34"/>
        <v>0</v>
      </c>
      <c r="BD88" s="12">
        <f t="shared" si="34"/>
        <v>0</v>
      </c>
      <c r="BE88" s="12">
        <f t="shared" si="34"/>
        <v>0</v>
      </c>
    </row>
    <row r="89" spans="1:57" outlineLevel="1" x14ac:dyDescent="0.2">
      <c r="E89" s="491" t="s">
        <v>263</v>
      </c>
      <c r="F89" s="491"/>
      <c r="G89" s="491" t="str">
        <f xml:space="preserve"> SMU</f>
        <v>$ 000s</v>
      </c>
      <c r="H89" s="491">
        <f xml:space="preserve"> SUM(J89:BE89)</f>
        <v>309322.30771999987</v>
      </c>
      <c r="I89" s="233"/>
      <c r="J89" s="491">
        <f t="shared" ref="J89:BE89" si="35">SUM(J79:J88)</f>
        <v>0</v>
      </c>
      <c r="K89" s="491">
        <f t="shared" si="35"/>
        <v>0</v>
      </c>
      <c r="L89" s="491">
        <f t="shared" si="35"/>
        <v>0</v>
      </c>
      <c r="M89" s="491">
        <f t="shared" si="35"/>
        <v>8300</v>
      </c>
      <c r="N89" s="491">
        <f t="shared" si="35"/>
        <v>11577.781066153846</v>
      </c>
      <c r="O89" s="491">
        <f t="shared" si="35"/>
        <v>11577.781066153846</v>
      </c>
      <c r="P89" s="491">
        <f t="shared" si="35"/>
        <v>11577.781066153846</v>
      </c>
      <c r="Q89" s="491">
        <f t="shared" si="35"/>
        <v>11577.781066153846</v>
      </c>
      <c r="R89" s="491">
        <f t="shared" si="35"/>
        <v>11577.781066153846</v>
      </c>
      <c r="S89" s="491">
        <f t="shared" si="35"/>
        <v>11577.781066153846</v>
      </c>
      <c r="T89" s="491">
        <f t="shared" si="35"/>
        <v>11577.781066153846</v>
      </c>
      <c r="U89" s="491">
        <f t="shared" si="35"/>
        <v>11577.781066153846</v>
      </c>
      <c r="V89" s="491">
        <f t="shared" si="35"/>
        <v>11577.781066153846</v>
      </c>
      <c r="W89" s="491">
        <f t="shared" si="35"/>
        <v>11577.781066153846</v>
      </c>
      <c r="X89" s="491">
        <f t="shared" si="35"/>
        <v>11577.781066153846</v>
      </c>
      <c r="Y89" s="491">
        <f t="shared" si="35"/>
        <v>11577.781066153846</v>
      </c>
      <c r="Z89" s="491">
        <f t="shared" si="35"/>
        <v>11577.781066153846</v>
      </c>
      <c r="AA89" s="491">
        <f t="shared" si="35"/>
        <v>11577.781066153846</v>
      </c>
      <c r="AB89" s="491">
        <f t="shared" si="35"/>
        <v>11577.781066153846</v>
      </c>
      <c r="AC89" s="491">
        <f t="shared" si="35"/>
        <v>11577.781066153846</v>
      </c>
      <c r="AD89" s="491">
        <f t="shared" si="35"/>
        <v>11577.781066153846</v>
      </c>
      <c r="AE89" s="491">
        <f t="shared" si="35"/>
        <v>11577.781066153846</v>
      </c>
      <c r="AF89" s="491">
        <f t="shared" si="35"/>
        <v>11577.781066153846</v>
      </c>
      <c r="AG89" s="491">
        <f t="shared" si="35"/>
        <v>11577.781066153846</v>
      </c>
      <c r="AH89" s="491">
        <f t="shared" si="35"/>
        <v>11577.781066153846</v>
      </c>
      <c r="AI89" s="491">
        <f t="shared" si="35"/>
        <v>11577.781066153846</v>
      </c>
      <c r="AJ89" s="491">
        <f t="shared" si="35"/>
        <v>11577.781066153846</v>
      </c>
      <c r="AK89" s="491">
        <f t="shared" si="35"/>
        <v>11577.781066153846</v>
      </c>
      <c r="AL89" s="491">
        <f t="shared" si="35"/>
        <v>11577.781066153846</v>
      </c>
      <c r="AM89" s="491">
        <f t="shared" si="35"/>
        <v>11577.781066153846</v>
      </c>
      <c r="AN89" s="491">
        <f t="shared" si="35"/>
        <v>0</v>
      </c>
      <c r="AO89" s="491">
        <f t="shared" si="35"/>
        <v>0</v>
      </c>
      <c r="AP89" s="491">
        <f t="shared" si="35"/>
        <v>0</v>
      </c>
      <c r="AQ89" s="491">
        <f t="shared" si="35"/>
        <v>0</v>
      </c>
      <c r="AR89" s="491">
        <f t="shared" si="35"/>
        <v>0</v>
      </c>
      <c r="AS89" s="491">
        <f t="shared" si="35"/>
        <v>0</v>
      </c>
      <c r="AT89" s="491">
        <f t="shared" si="35"/>
        <v>0</v>
      </c>
      <c r="AU89" s="491">
        <f t="shared" si="35"/>
        <v>0</v>
      </c>
      <c r="AV89" s="491">
        <f t="shared" si="35"/>
        <v>0</v>
      </c>
      <c r="AW89" s="491">
        <f t="shared" si="35"/>
        <v>0</v>
      </c>
      <c r="AX89" s="491">
        <f t="shared" si="35"/>
        <v>0</v>
      </c>
      <c r="AY89" s="491">
        <f t="shared" si="35"/>
        <v>0</v>
      </c>
      <c r="AZ89" s="491">
        <f t="shared" si="35"/>
        <v>0</v>
      </c>
      <c r="BA89" s="491">
        <f t="shared" si="35"/>
        <v>0</v>
      </c>
      <c r="BB89" s="491">
        <f t="shared" si="35"/>
        <v>0</v>
      </c>
      <c r="BC89" s="491">
        <f t="shared" si="35"/>
        <v>0</v>
      </c>
      <c r="BD89" s="491">
        <f t="shared" si="35"/>
        <v>0</v>
      </c>
      <c r="BE89" s="491">
        <f t="shared" si="35"/>
        <v>0</v>
      </c>
    </row>
    <row r="90" spans="1:57" s="188" customFormat="1" outlineLevel="1" x14ac:dyDescent="0.2">
      <c r="A90" s="141"/>
      <c r="B90" s="141"/>
      <c r="C90" s="142"/>
      <c r="D90" s="143"/>
      <c r="E90" s="187" t="str">
        <f xml:space="preserve"> "Sum of " &amp; LOWER(E89)</f>
        <v>Sum of construction costs - m</v>
      </c>
      <c r="F90" s="187">
        <f xml:space="preserve"> SUM(J89:BE89)</f>
        <v>309322.30771999987</v>
      </c>
      <c r="G90" s="187" t="str">
        <f xml:space="preserve"> SMU</f>
        <v>$ 000s</v>
      </c>
      <c r="H90" s="539"/>
      <c r="I90" s="144"/>
      <c r="J90" s="187"/>
      <c r="K90" s="187"/>
      <c r="L90" s="187"/>
      <c r="M90" s="187"/>
      <c r="N90" s="187"/>
      <c r="O90" s="187"/>
      <c r="P90" s="187"/>
      <c r="Q90" s="187"/>
      <c r="R90" s="187"/>
      <c r="S90" s="187"/>
      <c r="T90" s="187"/>
      <c r="U90" s="187"/>
      <c r="V90" s="187"/>
      <c r="W90" s="187"/>
      <c r="X90" s="187"/>
      <c r="Y90" s="187"/>
      <c r="Z90" s="187"/>
      <c r="AA90" s="187"/>
      <c r="AB90" s="187"/>
      <c r="AC90" s="187"/>
      <c r="AD90" s="187"/>
      <c r="AE90" s="187"/>
      <c r="AF90" s="187"/>
      <c r="AG90" s="187"/>
      <c r="AH90" s="187"/>
      <c r="AI90" s="187"/>
      <c r="AJ90" s="187"/>
      <c r="AK90" s="187"/>
      <c r="AL90" s="187"/>
      <c r="AM90" s="187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X90" s="187"/>
      <c r="AY90" s="187"/>
      <c r="AZ90" s="187"/>
      <c r="BA90" s="187"/>
      <c r="BB90" s="187"/>
      <c r="BC90" s="187"/>
      <c r="BD90" s="187"/>
      <c r="BE90" s="187"/>
    </row>
    <row r="91" spans="1:57" outlineLevel="1" x14ac:dyDescent="0.2"/>
    <row r="92" spans="1:57" outlineLevel="1" x14ac:dyDescent="0.2">
      <c r="E92" s="12" t="str">
        <f t="shared" ref="E92:AJ92" si="36" xml:space="preserve"> E$89</f>
        <v>Construction costs - m</v>
      </c>
      <c r="F92" s="12">
        <f t="shared" si="36"/>
        <v>0</v>
      </c>
      <c r="G92" s="12" t="str">
        <f t="shared" si="36"/>
        <v>$ 000s</v>
      </c>
      <c r="H92" s="12">
        <f t="shared" si="36"/>
        <v>309322.30771999987</v>
      </c>
      <c r="I92" s="12">
        <f t="shared" si="36"/>
        <v>0</v>
      </c>
      <c r="J92" s="12">
        <f t="shared" si="36"/>
        <v>0</v>
      </c>
      <c r="K92" s="12">
        <f t="shared" si="36"/>
        <v>0</v>
      </c>
      <c r="L92" s="12">
        <f t="shared" si="36"/>
        <v>0</v>
      </c>
      <c r="M92" s="12">
        <f t="shared" si="36"/>
        <v>8300</v>
      </c>
      <c r="N92" s="12">
        <f t="shared" si="36"/>
        <v>11577.781066153846</v>
      </c>
      <c r="O92" s="12">
        <f t="shared" si="36"/>
        <v>11577.781066153846</v>
      </c>
      <c r="P92" s="12">
        <f t="shared" si="36"/>
        <v>11577.781066153846</v>
      </c>
      <c r="Q92" s="12">
        <f t="shared" si="36"/>
        <v>11577.781066153846</v>
      </c>
      <c r="R92" s="12">
        <f t="shared" si="36"/>
        <v>11577.781066153846</v>
      </c>
      <c r="S92" s="12">
        <f t="shared" si="36"/>
        <v>11577.781066153846</v>
      </c>
      <c r="T92" s="12">
        <f t="shared" si="36"/>
        <v>11577.781066153846</v>
      </c>
      <c r="U92" s="12">
        <f t="shared" si="36"/>
        <v>11577.781066153846</v>
      </c>
      <c r="V92" s="12">
        <f t="shared" si="36"/>
        <v>11577.781066153846</v>
      </c>
      <c r="W92" s="12">
        <f t="shared" si="36"/>
        <v>11577.781066153846</v>
      </c>
      <c r="X92" s="12">
        <f t="shared" si="36"/>
        <v>11577.781066153846</v>
      </c>
      <c r="Y92" s="12">
        <f t="shared" si="36"/>
        <v>11577.781066153846</v>
      </c>
      <c r="Z92" s="12">
        <f t="shared" si="36"/>
        <v>11577.781066153846</v>
      </c>
      <c r="AA92" s="12">
        <f t="shared" si="36"/>
        <v>11577.781066153846</v>
      </c>
      <c r="AB92" s="12">
        <f t="shared" si="36"/>
        <v>11577.781066153846</v>
      </c>
      <c r="AC92" s="12">
        <f t="shared" si="36"/>
        <v>11577.781066153846</v>
      </c>
      <c r="AD92" s="12">
        <f t="shared" si="36"/>
        <v>11577.781066153846</v>
      </c>
      <c r="AE92" s="12">
        <f t="shared" si="36"/>
        <v>11577.781066153846</v>
      </c>
      <c r="AF92" s="12">
        <f t="shared" si="36"/>
        <v>11577.781066153846</v>
      </c>
      <c r="AG92" s="12">
        <f t="shared" si="36"/>
        <v>11577.781066153846</v>
      </c>
      <c r="AH92" s="12">
        <f t="shared" si="36"/>
        <v>11577.781066153846</v>
      </c>
      <c r="AI92" s="12">
        <f t="shared" si="36"/>
        <v>11577.781066153846</v>
      </c>
      <c r="AJ92" s="12">
        <f t="shared" si="36"/>
        <v>11577.781066153846</v>
      </c>
      <c r="AK92" s="12">
        <f t="shared" ref="AK92:BE92" si="37" xml:space="preserve"> AK$89</f>
        <v>11577.781066153846</v>
      </c>
      <c r="AL92" s="12">
        <f t="shared" si="37"/>
        <v>11577.781066153846</v>
      </c>
      <c r="AM92" s="12">
        <f t="shared" si="37"/>
        <v>11577.781066153846</v>
      </c>
      <c r="AN92" s="12">
        <f t="shared" si="37"/>
        <v>0</v>
      </c>
      <c r="AO92" s="12">
        <f t="shared" si="37"/>
        <v>0</v>
      </c>
      <c r="AP92" s="12">
        <f t="shared" si="37"/>
        <v>0</v>
      </c>
      <c r="AQ92" s="12">
        <f t="shared" si="37"/>
        <v>0</v>
      </c>
      <c r="AR92" s="12">
        <f t="shared" si="37"/>
        <v>0</v>
      </c>
      <c r="AS92" s="12">
        <f t="shared" si="37"/>
        <v>0</v>
      </c>
      <c r="AT92" s="12">
        <f t="shared" si="37"/>
        <v>0</v>
      </c>
      <c r="AU92" s="12">
        <f t="shared" si="37"/>
        <v>0</v>
      </c>
      <c r="AV92" s="12">
        <f t="shared" si="37"/>
        <v>0</v>
      </c>
      <c r="AW92" s="12">
        <f t="shared" si="37"/>
        <v>0</v>
      </c>
      <c r="AX92" s="12">
        <f t="shared" si="37"/>
        <v>0</v>
      </c>
      <c r="AY92" s="12">
        <f t="shared" si="37"/>
        <v>0</v>
      </c>
      <c r="AZ92" s="12">
        <f t="shared" si="37"/>
        <v>0</v>
      </c>
      <c r="BA92" s="12">
        <f t="shared" si="37"/>
        <v>0</v>
      </c>
      <c r="BB92" s="12">
        <f t="shared" si="37"/>
        <v>0</v>
      </c>
      <c r="BC92" s="12">
        <f t="shared" si="37"/>
        <v>0</v>
      </c>
      <c r="BD92" s="12">
        <f t="shared" si="37"/>
        <v>0</v>
      </c>
      <c r="BE92" s="12">
        <f t="shared" si="37"/>
        <v>0</v>
      </c>
    </row>
    <row r="93" spans="1:57" s="188" customFormat="1" outlineLevel="1" x14ac:dyDescent="0.2">
      <c r="A93" s="141"/>
      <c r="B93" s="141"/>
      <c r="C93" s="142"/>
      <c r="D93" s="143"/>
      <c r="E93" s="187" t="s">
        <v>597</v>
      </c>
      <c r="F93" s="187"/>
      <c r="G93" s="187" t="str">
        <f xml:space="preserve"> SMU</f>
        <v>$ 000s</v>
      </c>
      <c r="H93" s="187">
        <f xml:space="preserve"> SUM(J93:BE93)</f>
        <v>-309322.30771999987</v>
      </c>
      <c r="I93" s="187"/>
      <c r="J93" s="187">
        <f t="shared" ref="J93:BE93" si="38" xml:space="preserve"> -1 * J92</f>
        <v>0</v>
      </c>
      <c r="K93" s="187">
        <f t="shared" si="38"/>
        <v>0</v>
      </c>
      <c r="L93" s="187">
        <f t="shared" si="38"/>
        <v>0</v>
      </c>
      <c r="M93" s="187">
        <f t="shared" si="38"/>
        <v>-8300</v>
      </c>
      <c r="N93" s="187">
        <f t="shared" si="38"/>
        <v>-11577.781066153846</v>
      </c>
      <c r="O93" s="187">
        <f t="shared" si="38"/>
        <v>-11577.781066153846</v>
      </c>
      <c r="P93" s="187">
        <f t="shared" si="38"/>
        <v>-11577.781066153846</v>
      </c>
      <c r="Q93" s="187">
        <f t="shared" si="38"/>
        <v>-11577.781066153846</v>
      </c>
      <c r="R93" s="187">
        <f t="shared" si="38"/>
        <v>-11577.781066153846</v>
      </c>
      <c r="S93" s="187">
        <f t="shared" si="38"/>
        <v>-11577.781066153846</v>
      </c>
      <c r="T93" s="187">
        <f t="shared" si="38"/>
        <v>-11577.781066153846</v>
      </c>
      <c r="U93" s="187">
        <f t="shared" si="38"/>
        <v>-11577.781066153846</v>
      </c>
      <c r="V93" s="187">
        <f t="shared" si="38"/>
        <v>-11577.781066153846</v>
      </c>
      <c r="W93" s="187">
        <f t="shared" si="38"/>
        <v>-11577.781066153846</v>
      </c>
      <c r="X93" s="187">
        <f t="shared" si="38"/>
        <v>-11577.781066153846</v>
      </c>
      <c r="Y93" s="187">
        <f t="shared" si="38"/>
        <v>-11577.781066153846</v>
      </c>
      <c r="Z93" s="187">
        <f t="shared" si="38"/>
        <v>-11577.781066153846</v>
      </c>
      <c r="AA93" s="187">
        <f t="shared" si="38"/>
        <v>-11577.781066153846</v>
      </c>
      <c r="AB93" s="187">
        <f t="shared" si="38"/>
        <v>-11577.781066153846</v>
      </c>
      <c r="AC93" s="187">
        <f t="shared" si="38"/>
        <v>-11577.781066153846</v>
      </c>
      <c r="AD93" s="187">
        <f t="shared" si="38"/>
        <v>-11577.781066153846</v>
      </c>
      <c r="AE93" s="187">
        <f t="shared" si="38"/>
        <v>-11577.781066153846</v>
      </c>
      <c r="AF93" s="187">
        <f t="shared" si="38"/>
        <v>-11577.781066153846</v>
      </c>
      <c r="AG93" s="187">
        <f t="shared" si="38"/>
        <v>-11577.781066153846</v>
      </c>
      <c r="AH93" s="187">
        <f t="shared" si="38"/>
        <v>-11577.781066153846</v>
      </c>
      <c r="AI93" s="187">
        <f t="shared" si="38"/>
        <v>-11577.781066153846</v>
      </c>
      <c r="AJ93" s="187">
        <f t="shared" si="38"/>
        <v>-11577.781066153846</v>
      </c>
      <c r="AK93" s="187">
        <f t="shared" si="38"/>
        <v>-11577.781066153846</v>
      </c>
      <c r="AL93" s="187">
        <f t="shared" si="38"/>
        <v>-11577.781066153846</v>
      </c>
      <c r="AM93" s="187">
        <f t="shared" si="38"/>
        <v>-11577.781066153846</v>
      </c>
      <c r="AN93" s="187">
        <f t="shared" si="38"/>
        <v>0</v>
      </c>
      <c r="AO93" s="187">
        <f t="shared" si="38"/>
        <v>0</v>
      </c>
      <c r="AP93" s="187">
        <f t="shared" si="38"/>
        <v>0</v>
      </c>
      <c r="AQ93" s="187">
        <f t="shared" si="38"/>
        <v>0</v>
      </c>
      <c r="AR93" s="187">
        <f t="shared" si="38"/>
        <v>0</v>
      </c>
      <c r="AS93" s="187">
        <f t="shared" si="38"/>
        <v>0</v>
      </c>
      <c r="AT93" s="187">
        <f t="shared" si="38"/>
        <v>0</v>
      </c>
      <c r="AU93" s="187">
        <f t="shared" si="38"/>
        <v>0</v>
      </c>
      <c r="AV93" s="187">
        <f t="shared" si="38"/>
        <v>0</v>
      </c>
      <c r="AW93" s="187">
        <f t="shared" si="38"/>
        <v>0</v>
      </c>
      <c r="AX93" s="187">
        <f t="shared" si="38"/>
        <v>0</v>
      </c>
      <c r="AY93" s="187">
        <f t="shared" si="38"/>
        <v>0</v>
      </c>
      <c r="AZ93" s="187">
        <f t="shared" si="38"/>
        <v>0</v>
      </c>
      <c r="BA93" s="187">
        <f t="shared" si="38"/>
        <v>0</v>
      </c>
      <c r="BB93" s="187">
        <f t="shared" si="38"/>
        <v>0</v>
      </c>
      <c r="BC93" s="187">
        <f t="shared" si="38"/>
        <v>0</v>
      </c>
      <c r="BD93" s="187">
        <f t="shared" si="38"/>
        <v>0</v>
      </c>
      <c r="BE93" s="187">
        <f t="shared" si="38"/>
        <v>0</v>
      </c>
    </row>
    <row r="94" spans="1:57" outlineLevel="1" x14ac:dyDescent="0.2"/>
    <row r="95" spans="1:57" x14ac:dyDescent="0.2"/>
    <row r="96" spans="1:57" collapsed="1" x14ac:dyDescent="0.2">
      <c r="A96" s="15" t="s">
        <v>315</v>
      </c>
    </row>
    <row r="97" spans="1:57" hidden="1" outlineLevel="1" x14ac:dyDescent="0.2"/>
    <row r="98" spans="1:57" hidden="1" outlineLevel="1" x14ac:dyDescent="0.2">
      <c r="B98" s="15" t="s">
        <v>310</v>
      </c>
    </row>
    <row r="99" spans="1:57" hidden="1" outlineLevel="2" x14ac:dyDescent="0.2">
      <c r="E99" s="186" t="str">
        <f xml:space="preserve"> Ops!E$260</f>
        <v>Pre-funding of working capital amount</v>
      </c>
      <c r="F99" s="186">
        <f xml:space="preserve"> Ops!F$260</f>
        <v>3857.1209730037863</v>
      </c>
      <c r="G99" s="186" t="str">
        <f xml:space="preserve"> Ops!G$260</f>
        <v>$ 000s</v>
      </c>
    </row>
    <row r="100" spans="1:57" hidden="1" outlineLevel="2" x14ac:dyDescent="0.2">
      <c r="E100" s="189" t="str">
        <f xml:space="preserve"> ConTime!E$77</f>
        <v>Last construction period flag - m</v>
      </c>
      <c r="F100" s="189">
        <f xml:space="preserve"> ConTime!F$77</f>
        <v>0</v>
      </c>
      <c r="G100" s="189" t="str">
        <f xml:space="preserve"> ConTime!G$77</f>
        <v>flag</v>
      </c>
      <c r="H100" s="189">
        <f xml:space="preserve"> ConTime!H$77</f>
        <v>1</v>
      </c>
      <c r="I100" s="189">
        <f xml:space="preserve"> ConTime!I$77</f>
        <v>0</v>
      </c>
      <c r="J100" s="189">
        <f xml:space="preserve"> ConTime!J$77</f>
        <v>0</v>
      </c>
      <c r="K100" s="189">
        <f xml:space="preserve"> ConTime!K$77</f>
        <v>0</v>
      </c>
      <c r="L100" s="189">
        <f xml:space="preserve"> ConTime!L$77</f>
        <v>0</v>
      </c>
      <c r="M100" s="189">
        <f xml:space="preserve"> ConTime!M$77</f>
        <v>0</v>
      </c>
      <c r="N100" s="189">
        <f xml:space="preserve"> ConTime!N$77</f>
        <v>0</v>
      </c>
      <c r="O100" s="189">
        <f xml:space="preserve"> ConTime!O$77</f>
        <v>0</v>
      </c>
      <c r="P100" s="189">
        <f xml:space="preserve"> ConTime!P$77</f>
        <v>0</v>
      </c>
      <c r="Q100" s="189">
        <f xml:space="preserve"> ConTime!Q$77</f>
        <v>0</v>
      </c>
      <c r="R100" s="189">
        <f xml:space="preserve"> ConTime!R$77</f>
        <v>0</v>
      </c>
      <c r="S100" s="189">
        <f xml:space="preserve"> ConTime!S$77</f>
        <v>0</v>
      </c>
      <c r="T100" s="189">
        <f xml:space="preserve"> ConTime!T$77</f>
        <v>0</v>
      </c>
      <c r="U100" s="189">
        <f xml:space="preserve"> ConTime!U$77</f>
        <v>0</v>
      </c>
      <c r="V100" s="189">
        <f xml:space="preserve"> ConTime!V$77</f>
        <v>0</v>
      </c>
      <c r="W100" s="189">
        <f xml:space="preserve"> ConTime!W$77</f>
        <v>0</v>
      </c>
      <c r="X100" s="189">
        <f xml:space="preserve"> ConTime!X$77</f>
        <v>0</v>
      </c>
      <c r="Y100" s="189">
        <f xml:space="preserve"> ConTime!Y$77</f>
        <v>0</v>
      </c>
      <c r="Z100" s="189">
        <f xml:space="preserve"> ConTime!Z$77</f>
        <v>0</v>
      </c>
      <c r="AA100" s="189">
        <f xml:space="preserve"> ConTime!AA$77</f>
        <v>0</v>
      </c>
      <c r="AB100" s="189">
        <f xml:space="preserve"> ConTime!AB$77</f>
        <v>0</v>
      </c>
      <c r="AC100" s="189">
        <f xml:space="preserve"> ConTime!AC$77</f>
        <v>0</v>
      </c>
      <c r="AD100" s="189">
        <f xml:space="preserve"> ConTime!AD$77</f>
        <v>0</v>
      </c>
      <c r="AE100" s="189">
        <f xml:space="preserve"> ConTime!AE$77</f>
        <v>0</v>
      </c>
      <c r="AF100" s="189">
        <f xml:space="preserve"> ConTime!AF$77</f>
        <v>0</v>
      </c>
      <c r="AG100" s="189">
        <f xml:space="preserve"> ConTime!AG$77</f>
        <v>0</v>
      </c>
      <c r="AH100" s="189">
        <f xml:space="preserve"> ConTime!AH$77</f>
        <v>0</v>
      </c>
      <c r="AI100" s="189">
        <f xml:space="preserve"> ConTime!AI$77</f>
        <v>0</v>
      </c>
      <c r="AJ100" s="189">
        <f xml:space="preserve"> ConTime!AJ$77</f>
        <v>0</v>
      </c>
      <c r="AK100" s="189">
        <f xml:space="preserve"> ConTime!AK$77</f>
        <v>0</v>
      </c>
      <c r="AL100" s="189">
        <f xml:space="preserve"> ConTime!AL$77</f>
        <v>0</v>
      </c>
      <c r="AM100" s="189">
        <f xml:space="preserve"> ConTime!AM$77</f>
        <v>1</v>
      </c>
      <c r="AN100" s="189">
        <f xml:space="preserve"> ConTime!AN$77</f>
        <v>0</v>
      </c>
      <c r="AO100" s="189">
        <f xml:space="preserve"> ConTime!AO$77</f>
        <v>0</v>
      </c>
      <c r="AP100" s="189">
        <f xml:space="preserve"> ConTime!AP$77</f>
        <v>0</v>
      </c>
      <c r="AQ100" s="189">
        <f xml:space="preserve"> ConTime!AQ$77</f>
        <v>0</v>
      </c>
      <c r="AR100" s="189">
        <f xml:space="preserve"> ConTime!AR$77</f>
        <v>0</v>
      </c>
      <c r="AS100" s="189">
        <f xml:space="preserve"> ConTime!AS$77</f>
        <v>0</v>
      </c>
      <c r="AT100" s="189">
        <f xml:space="preserve"> ConTime!AT$77</f>
        <v>0</v>
      </c>
      <c r="AU100" s="189">
        <f xml:space="preserve"> ConTime!AU$77</f>
        <v>0</v>
      </c>
      <c r="AV100" s="189">
        <f xml:space="preserve"> ConTime!AV$77</f>
        <v>0</v>
      </c>
      <c r="AW100" s="189">
        <f xml:space="preserve"> ConTime!AW$77</f>
        <v>0</v>
      </c>
      <c r="AX100" s="189">
        <f xml:space="preserve"> ConTime!AX$77</f>
        <v>0</v>
      </c>
      <c r="AY100" s="189">
        <f xml:space="preserve"> ConTime!AY$77</f>
        <v>0</v>
      </c>
      <c r="AZ100" s="189">
        <f xml:space="preserve"> ConTime!AZ$77</f>
        <v>0</v>
      </c>
      <c r="BA100" s="189">
        <f xml:space="preserve"> ConTime!BA$77</f>
        <v>0</v>
      </c>
      <c r="BB100" s="189">
        <f xml:space="preserve"> ConTime!BB$77</f>
        <v>0</v>
      </c>
      <c r="BC100" s="189">
        <f xml:space="preserve"> ConTime!BC$77</f>
        <v>0</v>
      </c>
      <c r="BD100" s="189">
        <f xml:space="preserve"> ConTime!BD$77</f>
        <v>0</v>
      </c>
      <c r="BE100" s="189">
        <f xml:space="preserve"> ConTime!BE$77</f>
        <v>0</v>
      </c>
    </row>
    <row r="101" spans="1:57" s="188" customFormat="1" hidden="1" outlineLevel="2" x14ac:dyDescent="0.2">
      <c r="A101" s="141"/>
      <c r="B101" s="141"/>
      <c r="C101" s="142"/>
      <c r="D101" s="143"/>
      <c r="E101" s="187" t="s">
        <v>318</v>
      </c>
      <c r="F101" s="187"/>
      <c r="G101" s="187" t="str">
        <f xml:space="preserve"> SMU</f>
        <v>$ 000s</v>
      </c>
      <c r="H101" s="187">
        <f xml:space="preserve"> SUM(J101:BE101)</f>
        <v>3857.1209730037863</v>
      </c>
      <c r="I101" s="144"/>
      <c r="J101" s="187">
        <f t="shared" ref="J101:BE101" si="39" xml:space="preserve"> $F99 * J100</f>
        <v>0</v>
      </c>
      <c r="K101" s="187">
        <f t="shared" si="39"/>
        <v>0</v>
      </c>
      <c r="L101" s="187">
        <f t="shared" si="39"/>
        <v>0</v>
      </c>
      <c r="M101" s="187">
        <f t="shared" si="39"/>
        <v>0</v>
      </c>
      <c r="N101" s="187">
        <f t="shared" si="39"/>
        <v>0</v>
      </c>
      <c r="O101" s="187">
        <f t="shared" si="39"/>
        <v>0</v>
      </c>
      <c r="P101" s="187">
        <f t="shared" si="39"/>
        <v>0</v>
      </c>
      <c r="Q101" s="187">
        <f t="shared" si="39"/>
        <v>0</v>
      </c>
      <c r="R101" s="187">
        <f t="shared" si="39"/>
        <v>0</v>
      </c>
      <c r="S101" s="187">
        <f t="shared" si="39"/>
        <v>0</v>
      </c>
      <c r="T101" s="187">
        <f t="shared" si="39"/>
        <v>0</v>
      </c>
      <c r="U101" s="187">
        <f t="shared" si="39"/>
        <v>0</v>
      </c>
      <c r="V101" s="187">
        <f t="shared" si="39"/>
        <v>0</v>
      </c>
      <c r="W101" s="187">
        <f t="shared" si="39"/>
        <v>0</v>
      </c>
      <c r="X101" s="187">
        <f t="shared" si="39"/>
        <v>0</v>
      </c>
      <c r="Y101" s="187">
        <f t="shared" si="39"/>
        <v>0</v>
      </c>
      <c r="Z101" s="187">
        <f t="shared" si="39"/>
        <v>0</v>
      </c>
      <c r="AA101" s="187">
        <f t="shared" si="39"/>
        <v>0</v>
      </c>
      <c r="AB101" s="187">
        <f t="shared" si="39"/>
        <v>0</v>
      </c>
      <c r="AC101" s="187">
        <f t="shared" si="39"/>
        <v>0</v>
      </c>
      <c r="AD101" s="187">
        <f t="shared" si="39"/>
        <v>0</v>
      </c>
      <c r="AE101" s="187">
        <f t="shared" si="39"/>
        <v>0</v>
      </c>
      <c r="AF101" s="187">
        <f t="shared" si="39"/>
        <v>0</v>
      </c>
      <c r="AG101" s="187">
        <f t="shared" si="39"/>
        <v>0</v>
      </c>
      <c r="AH101" s="187">
        <f t="shared" si="39"/>
        <v>0</v>
      </c>
      <c r="AI101" s="187">
        <f t="shared" si="39"/>
        <v>0</v>
      </c>
      <c r="AJ101" s="187">
        <f t="shared" si="39"/>
        <v>0</v>
      </c>
      <c r="AK101" s="187">
        <f t="shared" si="39"/>
        <v>0</v>
      </c>
      <c r="AL101" s="187">
        <f t="shared" si="39"/>
        <v>0</v>
      </c>
      <c r="AM101" s="187">
        <f t="shared" si="39"/>
        <v>3857.1209730037863</v>
      </c>
      <c r="AN101" s="187">
        <f t="shared" si="39"/>
        <v>0</v>
      </c>
      <c r="AO101" s="187">
        <f t="shared" si="39"/>
        <v>0</v>
      </c>
      <c r="AP101" s="187">
        <f t="shared" si="39"/>
        <v>0</v>
      </c>
      <c r="AQ101" s="187">
        <f t="shared" si="39"/>
        <v>0</v>
      </c>
      <c r="AR101" s="187">
        <f t="shared" si="39"/>
        <v>0</v>
      </c>
      <c r="AS101" s="187">
        <f t="shared" si="39"/>
        <v>0</v>
      </c>
      <c r="AT101" s="187">
        <f t="shared" si="39"/>
        <v>0</v>
      </c>
      <c r="AU101" s="187">
        <f t="shared" si="39"/>
        <v>0</v>
      </c>
      <c r="AV101" s="187">
        <f t="shared" si="39"/>
        <v>0</v>
      </c>
      <c r="AW101" s="187">
        <f t="shared" si="39"/>
        <v>0</v>
      </c>
      <c r="AX101" s="187">
        <f t="shared" si="39"/>
        <v>0</v>
      </c>
      <c r="AY101" s="187">
        <f t="shared" si="39"/>
        <v>0</v>
      </c>
      <c r="AZ101" s="187">
        <f t="shared" si="39"/>
        <v>0</v>
      </c>
      <c r="BA101" s="187">
        <f t="shared" si="39"/>
        <v>0</v>
      </c>
      <c r="BB101" s="187">
        <f t="shared" si="39"/>
        <v>0</v>
      </c>
      <c r="BC101" s="187">
        <f t="shared" si="39"/>
        <v>0</v>
      </c>
      <c r="BD101" s="187">
        <f t="shared" si="39"/>
        <v>0</v>
      </c>
      <c r="BE101" s="187">
        <f t="shared" si="39"/>
        <v>0</v>
      </c>
    </row>
    <row r="102" spans="1:57" hidden="1" outlineLevel="1" x14ac:dyDescent="0.2"/>
    <row r="103" spans="1:57" hidden="1" outlineLevel="1" x14ac:dyDescent="0.2">
      <c r="B103" s="15" t="s">
        <v>381</v>
      </c>
    </row>
    <row r="104" spans="1:57" hidden="1" outlineLevel="2" x14ac:dyDescent="0.2">
      <c r="E104" s="186" t="str">
        <f xml:space="preserve"> DSRA!E$33</f>
        <v>Target DSRA balance at end construction</v>
      </c>
      <c r="F104" s="186">
        <f xml:space="preserve"> DSRA!F$33</f>
        <v>11233.130669939161</v>
      </c>
      <c r="G104" s="186" t="str">
        <f xml:space="preserve"> DSRA!G$33</f>
        <v>$ 000s</v>
      </c>
    </row>
    <row r="105" spans="1:57" hidden="1" outlineLevel="2" x14ac:dyDescent="0.2">
      <c r="E105" s="189" t="str">
        <f xml:space="preserve"> ConTime!E$77</f>
        <v>Last construction period flag - m</v>
      </c>
      <c r="F105" s="189">
        <f xml:space="preserve"> ConTime!F$77</f>
        <v>0</v>
      </c>
      <c r="G105" s="189" t="str">
        <f xml:space="preserve"> ConTime!G$77</f>
        <v>flag</v>
      </c>
      <c r="H105" s="189">
        <f xml:space="preserve"> ConTime!H$77</f>
        <v>1</v>
      </c>
      <c r="I105" s="189">
        <f xml:space="preserve"> ConTime!I$77</f>
        <v>0</v>
      </c>
      <c r="J105" s="189">
        <f xml:space="preserve"> ConTime!J$77</f>
        <v>0</v>
      </c>
      <c r="K105" s="189">
        <f xml:space="preserve"> ConTime!K$77</f>
        <v>0</v>
      </c>
      <c r="L105" s="189">
        <f xml:space="preserve"> ConTime!L$77</f>
        <v>0</v>
      </c>
      <c r="M105" s="189">
        <f xml:space="preserve"> ConTime!M$77</f>
        <v>0</v>
      </c>
      <c r="N105" s="189">
        <f xml:space="preserve"> ConTime!N$77</f>
        <v>0</v>
      </c>
      <c r="O105" s="189">
        <f xml:space="preserve"> ConTime!O$77</f>
        <v>0</v>
      </c>
      <c r="P105" s="189">
        <f xml:space="preserve"> ConTime!P$77</f>
        <v>0</v>
      </c>
      <c r="Q105" s="189">
        <f xml:space="preserve"> ConTime!Q$77</f>
        <v>0</v>
      </c>
      <c r="R105" s="189">
        <f xml:space="preserve"> ConTime!R$77</f>
        <v>0</v>
      </c>
      <c r="S105" s="189">
        <f xml:space="preserve"> ConTime!S$77</f>
        <v>0</v>
      </c>
      <c r="T105" s="189">
        <f xml:space="preserve"> ConTime!T$77</f>
        <v>0</v>
      </c>
      <c r="U105" s="189">
        <f xml:space="preserve"> ConTime!U$77</f>
        <v>0</v>
      </c>
      <c r="V105" s="189">
        <f xml:space="preserve"> ConTime!V$77</f>
        <v>0</v>
      </c>
      <c r="W105" s="189">
        <f xml:space="preserve"> ConTime!W$77</f>
        <v>0</v>
      </c>
      <c r="X105" s="189">
        <f xml:space="preserve"> ConTime!X$77</f>
        <v>0</v>
      </c>
      <c r="Y105" s="189">
        <f xml:space="preserve"> ConTime!Y$77</f>
        <v>0</v>
      </c>
      <c r="Z105" s="189">
        <f xml:space="preserve"> ConTime!Z$77</f>
        <v>0</v>
      </c>
      <c r="AA105" s="189">
        <f xml:space="preserve"> ConTime!AA$77</f>
        <v>0</v>
      </c>
      <c r="AB105" s="189">
        <f xml:space="preserve"> ConTime!AB$77</f>
        <v>0</v>
      </c>
      <c r="AC105" s="189">
        <f xml:space="preserve"> ConTime!AC$77</f>
        <v>0</v>
      </c>
      <c r="AD105" s="189">
        <f xml:space="preserve"> ConTime!AD$77</f>
        <v>0</v>
      </c>
      <c r="AE105" s="189">
        <f xml:space="preserve"> ConTime!AE$77</f>
        <v>0</v>
      </c>
      <c r="AF105" s="189">
        <f xml:space="preserve"> ConTime!AF$77</f>
        <v>0</v>
      </c>
      <c r="AG105" s="189">
        <f xml:space="preserve"> ConTime!AG$77</f>
        <v>0</v>
      </c>
      <c r="AH105" s="189">
        <f xml:space="preserve"> ConTime!AH$77</f>
        <v>0</v>
      </c>
      <c r="AI105" s="189">
        <f xml:space="preserve"> ConTime!AI$77</f>
        <v>0</v>
      </c>
      <c r="AJ105" s="189">
        <f xml:space="preserve"> ConTime!AJ$77</f>
        <v>0</v>
      </c>
      <c r="AK105" s="189">
        <f xml:space="preserve"> ConTime!AK$77</f>
        <v>0</v>
      </c>
      <c r="AL105" s="189">
        <f xml:space="preserve"> ConTime!AL$77</f>
        <v>0</v>
      </c>
      <c r="AM105" s="189">
        <f xml:space="preserve"> ConTime!AM$77</f>
        <v>1</v>
      </c>
      <c r="AN105" s="189">
        <f xml:space="preserve"> ConTime!AN$77</f>
        <v>0</v>
      </c>
      <c r="AO105" s="189">
        <f xml:space="preserve"> ConTime!AO$77</f>
        <v>0</v>
      </c>
      <c r="AP105" s="189">
        <f xml:space="preserve"> ConTime!AP$77</f>
        <v>0</v>
      </c>
      <c r="AQ105" s="189">
        <f xml:space="preserve"> ConTime!AQ$77</f>
        <v>0</v>
      </c>
      <c r="AR105" s="189">
        <f xml:space="preserve"> ConTime!AR$77</f>
        <v>0</v>
      </c>
      <c r="AS105" s="189">
        <f xml:space="preserve"> ConTime!AS$77</f>
        <v>0</v>
      </c>
      <c r="AT105" s="189">
        <f xml:space="preserve"> ConTime!AT$77</f>
        <v>0</v>
      </c>
      <c r="AU105" s="189">
        <f xml:space="preserve"> ConTime!AU$77</f>
        <v>0</v>
      </c>
      <c r="AV105" s="189">
        <f xml:space="preserve"> ConTime!AV$77</f>
        <v>0</v>
      </c>
      <c r="AW105" s="189">
        <f xml:space="preserve"> ConTime!AW$77</f>
        <v>0</v>
      </c>
      <c r="AX105" s="189">
        <f xml:space="preserve"> ConTime!AX$77</f>
        <v>0</v>
      </c>
      <c r="AY105" s="189">
        <f xml:space="preserve"> ConTime!AY$77</f>
        <v>0</v>
      </c>
      <c r="AZ105" s="189">
        <f xml:space="preserve"> ConTime!AZ$77</f>
        <v>0</v>
      </c>
      <c r="BA105" s="189">
        <f xml:space="preserve"> ConTime!BA$77</f>
        <v>0</v>
      </c>
      <c r="BB105" s="189">
        <f xml:space="preserve"> ConTime!BB$77</f>
        <v>0</v>
      </c>
      <c r="BC105" s="189">
        <f xml:space="preserve"> ConTime!BC$77</f>
        <v>0</v>
      </c>
      <c r="BD105" s="189">
        <f xml:space="preserve"> ConTime!BD$77</f>
        <v>0</v>
      </c>
      <c r="BE105" s="189">
        <f xml:space="preserve"> ConTime!BE$77</f>
        <v>0</v>
      </c>
    </row>
    <row r="106" spans="1:57" s="188" customFormat="1" hidden="1" outlineLevel="2" x14ac:dyDescent="0.2">
      <c r="A106" s="141"/>
      <c r="B106" s="141"/>
      <c r="C106" s="142"/>
      <c r="D106" s="143"/>
      <c r="E106" s="187" t="s">
        <v>382</v>
      </c>
      <c r="F106" s="187"/>
      <c r="G106" s="187" t="str">
        <f xml:space="preserve"> SMU</f>
        <v>$ 000s</v>
      </c>
      <c r="H106" s="187">
        <f xml:space="preserve"> SUM(J106:BE106)</f>
        <v>11233.130669939161</v>
      </c>
      <c r="I106" s="144"/>
      <c r="J106" s="187">
        <f t="shared" ref="J106:BE106" si="40" xml:space="preserve"> $F104 * J105</f>
        <v>0</v>
      </c>
      <c r="K106" s="187">
        <f t="shared" si="40"/>
        <v>0</v>
      </c>
      <c r="L106" s="187">
        <f t="shared" si="40"/>
        <v>0</v>
      </c>
      <c r="M106" s="187">
        <f t="shared" si="40"/>
        <v>0</v>
      </c>
      <c r="N106" s="187">
        <f t="shared" si="40"/>
        <v>0</v>
      </c>
      <c r="O106" s="187">
        <f t="shared" si="40"/>
        <v>0</v>
      </c>
      <c r="P106" s="187">
        <f t="shared" si="40"/>
        <v>0</v>
      </c>
      <c r="Q106" s="187">
        <f t="shared" si="40"/>
        <v>0</v>
      </c>
      <c r="R106" s="187">
        <f t="shared" si="40"/>
        <v>0</v>
      </c>
      <c r="S106" s="187">
        <f t="shared" si="40"/>
        <v>0</v>
      </c>
      <c r="T106" s="187">
        <f t="shared" si="40"/>
        <v>0</v>
      </c>
      <c r="U106" s="187">
        <f t="shared" si="40"/>
        <v>0</v>
      </c>
      <c r="V106" s="187">
        <f t="shared" si="40"/>
        <v>0</v>
      </c>
      <c r="W106" s="187">
        <f t="shared" si="40"/>
        <v>0</v>
      </c>
      <c r="X106" s="187">
        <f t="shared" si="40"/>
        <v>0</v>
      </c>
      <c r="Y106" s="187">
        <f t="shared" si="40"/>
        <v>0</v>
      </c>
      <c r="Z106" s="187">
        <f t="shared" si="40"/>
        <v>0</v>
      </c>
      <c r="AA106" s="187">
        <f t="shared" si="40"/>
        <v>0</v>
      </c>
      <c r="AB106" s="187">
        <f t="shared" si="40"/>
        <v>0</v>
      </c>
      <c r="AC106" s="187">
        <f t="shared" si="40"/>
        <v>0</v>
      </c>
      <c r="AD106" s="187">
        <f t="shared" si="40"/>
        <v>0</v>
      </c>
      <c r="AE106" s="187">
        <f t="shared" si="40"/>
        <v>0</v>
      </c>
      <c r="AF106" s="187">
        <f t="shared" si="40"/>
        <v>0</v>
      </c>
      <c r="AG106" s="187">
        <f t="shared" si="40"/>
        <v>0</v>
      </c>
      <c r="AH106" s="187">
        <f t="shared" si="40"/>
        <v>0</v>
      </c>
      <c r="AI106" s="187">
        <f t="shared" si="40"/>
        <v>0</v>
      </c>
      <c r="AJ106" s="187">
        <f t="shared" si="40"/>
        <v>0</v>
      </c>
      <c r="AK106" s="187">
        <f t="shared" si="40"/>
        <v>0</v>
      </c>
      <c r="AL106" s="187">
        <f t="shared" si="40"/>
        <v>0</v>
      </c>
      <c r="AM106" s="187">
        <f t="shared" si="40"/>
        <v>11233.130669939161</v>
      </c>
      <c r="AN106" s="187">
        <f t="shared" si="40"/>
        <v>0</v>
      </c>
      <c r="AO106" s="187">
        <f t="shared" si="40"/>
        <v>0</v>
      </c>
      <c r="AP106" s="187">
        <f t="shared" si="40"/>
        <v>0</v>
      </c>
      <c r="AQ106" s="187">
        <f t="shared" si="40"/>
        <v>0</v>
      </c>
      <c r="AR106" s="187">
        <f t="shared" si="40"/>
        <v>0</v>
      </c>
      <c r="AS106" s="187">
        <f t="shared" si="40"/>
        <v>0</v>
      </c>
      <c r="AT106" s="187">
        <f t="shared" si="40"/>
        <v>0</v>
      </c>
      <c r="AU106" s="187">
        <f t="shared" si="40"/>
        <v>0</v>
      </c>
      <c r="AV106" s="187">
        <f t="shared" si="40"/>
        <v>0</v>
      </c>
      <c r="AW106" s="187">
        <f t="shared" si="40"/>
        <v>0</v>
      </c>
      <c r="AX106" s="187">
        <f t="shared" si="40"/>
        <v>0</v>
      </c>
      <c r="AY106" s="187">
        <f t="shared" si="40"/>
        <v>0</v>
      </c>
      <c r="AZ106" s="187">
        <f t="shared" si="40"/>
        <v>0</v>
      </c>
      <c r="BA106" s="187">
        <f t="shared" si="40"/>
        <v>0</v>
      </c>
      <c r="BB106" s="187">
        <f t="shared" si="40"/>
        <v>0</v>
      </c>
      <c r="BC106" s="187">
        <f t="shared" si="40"/>
        <v>0</v>
      </c>
      <c r="BD106" s="187">
        <f t="shared" si="40"/>
        <v>0</v>
      </c>
      <c r="BE106" s="187">
        <f t="shared" si="40"/>
        <v>0</v>
      </c>
    </row>
    <row r="107" spans="1:57" hidden="1" outlineLevel="2" x14ac:dyDescent="0.2"/>
    <row r="108" spans="1:57" x14ac:dyDescent="0.2"/>
    <row r="109" spans="1:57" collapsed="1" x14ac:dyDescent="0.2">
      <c r="A109" s="15" t="s">
        <v>668</v>
      </c>
    </row>
    <row r="110" spans="1:57" hidden="1" outlineLevel="1" x14ac:dyDescent="0.2"/>
    <row r="111" spans="1:57" hidden="1" outlineLevel="1" x14ac:dyDescent="0.2">
      <c r="E111" s="186" t="str">
        <f xml:space="preserve"> InpC!E$43</f>
        <v>EGR's active switch</v>
      </c>
      <c r="F111" s="186">
        <f xml:space="preserve"> InpC!F$43</f>
        <v>1</v>
      </c>
      <c r="G111" s="186" t="str">
        <f xml:space="preserve"> InpC!G$43</f>
        <v>1 = yes, 0 = no</v>
      </c>
    </row>
    <row r="112" spans="1:57" s="283" customFormat="1" hidden="1" outlineLevel="1" x14ac:dyDescent="0.2">
      <c r="A112" s="556"/>
      <c r="B112" s="556"/>
      <c r="C112" s="557"/>
      <c r="D112" s="115"/>
      <c r="E112" s="450" t="str">
        <f xml:space="preserve"> Sensitivity!E$15</f>
        <v>Change in availability - sensitivity</v>
      </c>
      <c r="F112" s="450">
        <f xml:space="preserve"> Sensitivity!F$15</f>
        <v>0</v>
      </c>
      <c r="G112" s="450" t="str">
        <f xml:space="preserve"> Sensitivity!G$15</f>
        <v>%</v>
      </c>
      <c r="H112" s="282"/>
      <c r="I112" s="112"/>
      <c r="J112" s="282"/>
      <c r="K112" s="282"/>
      <c r="L112" s="282"/>
      <c r="M112" s="282"/>
      <c r="N112" s="282"/>
      <c r="O112" s="282"/>
      <c r="P112" s="282"/>
      <c r="Q112" s="282"/>
      <c r="R112" s="282"/>
      <c r="S112" s="282"/>
      <c r="T112" s="282"/>
      <c r="U112" s="282"/>
      <c r="V112" s="282"/>
      <c r="W112" s="282"/>
      <c r="X112" s="282"/>
      <c r="Y112" s="282"/>
      <c r="Z112" s="282"/>
      <c r="AA112" s="282"/>
      <c r="AB112" s="282"/>
      <c r="AC112" s="282"/>
      <c r="AD112" s="282"/>
      <c r="AE112" s="282"/>
      <c r="AF112" s="282"/>
      <c r="AG112" s="282"/>
      <c r="AH112" s="282"/>
      <c r="AI112" s="282"/>
      <c r="AJ112" s="282"/>
      <c r="AK112" s="282"/>
      <c r="AL112" s="282"/>
      <c r="AM112" s="282"/>
      <c r="AN112" s="282"/>
      <c r="AO112" s="282"/>
      <c r="AP112" s="282"/>
      <c r="AQ112" s="282"/>
      <c r="AR112" s="282"/>
      <c r="AS112" s="282"/>
      <c r="AT112" s="282"/>
      <c r="AU112" s="282"/>
      <c r="AV112" s="282"/>
      <c r="AW112" s="282"/>
      <c r="AX112" s="282"/>
      <c r="AY112" s="282"/>
      <c r="AZ112" s="282"/>
      <c r="BA112" s="282"/>
      <c r="BB112" s="282"/>
      <c r="BC112" s="282"/>
      <c r="BD112" s="282"/>
      <c r="BE112" s="282"/>
    </row>
    <row r="113" spans="5:7" ht="4.5" hidden="1" customHeight="1" outlineLevel="1" x14ac:dyDescent="0.2"/>
    <row r="114" spans="5:7" hidden="1" outlineLevel="1" x14ac:dyDescent="0.2">
      <c r="E114" s="186" t="str">
        <f xml:space="preserve"> InpC!E$48</f>
        <v>Early generation - Month 1</v>
      </c>
      <c r="F114" s="186">
        <f xml:space="preserve"> InpC!F$48</f>
        <v>0</v>
      </c>
      <c r="G114" s="186" t="str">
        <f xml:space="preserve"> InpC!G$48</f>
        <v>GWh</v>
      </c>
    </row>
    <row r="115" spans="5:7" hidden="1" outlineLevel="1" x14ac:dyDescent="0.2">
      <c r="E115" s="186" t="str">
        <f xml:space="preserve"> InpC!E$49</f>
        <v>Early generation - Month 2</v>
      </c>
      <c r="F115" s="186">
        <f xml:space="preserve"> InpC!F$49</f>
        <v>0</v>
      </c>
      <c r="G115" s="186" t="str">
        <f xml:space="preserve"> InpC!G$49</f>
        <v>GWh</v>
      </c>
    </row>
    <row r="116" spans="5:7" hidden="1" outlineLevel="1" x14ac:dyDescent="0.2">
      <c r="E116" s="186" t="str">
        <f xml:space="preserve"> InpC!E$50</f>
        <v>Early generation - Month 3</v>
      </c>
      <c r="F116" s="186">
        <f xml:space="preserve"> InpC!F$50</f>
        <v>0</v>
      </c>
      <c r="G116" s="186" t="str">
        <f xml:space="preserve"> InpC!G$50</f>
        <v>GWh</v>
      </c>
    </row>
    <row r="117" spans="5:7" hidden="1" outlineLevel="1" x14ac:dyDescent="0.2">
      <c r="E117" s="186" t="str">
        <f xml:space="preserve"> InpC!E$51</f>
        <v>Early generation - Month 4</v>
      </c>
      <c r="F117" s="186">
        <f xml:space="preserve"> InpC!F$51</f>
        <v>0</v>
      </c>
      <c r="G117" s="186" t="str">
        <f xml:space="preserve"> InpC!G$51</f>
        <v>GWh</v>
      </c>
    </row>
    <row r="118" spans="5:7" hidden="1" outlineLevel="1" x14ac:dyDescent="0.2">
      <c r="E118" s="186" t="str">
        <f xml:space="preserve"> InpC!E$52</f>
        <v>Early generation - Month 5</v>
      </c>
      <c r="F118" s="186">
        <f xml:space="preserve"> InpC!F$52</f>
        <v>0</v>
      </c>
      <c r="G118" s="186" t="str">
        <f xml:space="preserve"> InpC!G$52</f>
        <v>GWh</v>
      </c>
    </row>
    <row r="119" spans="5:7" hidden="1" outlineLevel="1" x14ac:dyDescent="0.2">
      <c r="E119" s="186" t="str">
        <f xml:space="preserve"> InpC!E$53</f>
        <v>Early generation - Month 6</v>
      </c>
      <c r="F119" s="186">
        <f xml:space="preserve"> InpC!F$53</f>
        <v>0</v>
      </c>
      <c r="G119" s="186" t="str">
        <f xml:space="preserve"> InpC!G$53</f>
        <v>GWh</v>
      </c>
    </row>
    <row r="120" spans="5:7" hidden="1" outlineLevel="1" x14ac:dyDescent="0.2">
      <c r="E120" s="186" t="str">
        <f xml:space="preserve"> InpC!E$54</f>
        <v>Early generation - Month 7</v>
      </c>
      <c r="F120" s="186">
        <f xml:space="preserve"> InpC!F$54</f>
        <v>0</v>
      </c>
      <c r="G120" s="186" t="str">
        <f xml:space="preserve"> InpC!G$54</f>
        <v>GWh</v>
      </c>
    </row>
    <row r="121" spans="5:7" hidden="1" outlineLevel="1" x14ac:dyDescent="0.2">
      <c r="E121" s="186" t="str">
        <f xml:space="preserve"> InpC!E$55</f>
        <v>Early generation - Month 8</v>
      </c>
      <c r="F121" s="186">
        <f xml:space="preserve"> InpC!F$55</f>
        <v>0</v>
      </c>
      <c r="G121" s="186" t="str">
        <f xml:space="preserve"> InpC!G$55</f>
        <v>GWh</v>
      </c>
    </row>
    <row r="122" spans="5:7" hidden="1" outlineLevel="1" x14ac:dyDescent="0.2">
      <c r="E122" s="186" t="str">
        <f xml:space="preserve"> InpC!E$56</f>
        <v>Early generation - Month 9</v>
      </c>
      <c r="F122" s="186">
        <f xml:space="preserve"> InpC!F$56</f>
        <v>0</v>
      </c>
      <c r="G122" s="186" t="str">
        <f xml:space="preserve"> InpC!G$56</f>
        <v>GWh</v>
      </c>
    </row>
    <row r="123" spans="5:7" hidden="1" outlineLevel="1" x14ac:dyDescent="0.2">
      <c r="E123" s="186" t="str">
        <f xml:space="preserve"> InpC!E$57</f>
        <v>Early generation - Month 10</v>
      </c>
      <c r="F123" s="186">
        <f xml:space="preserve"> InpC!F$57</f>
        <v>0</v>
      </c>
      <c r="G123" s="186" t="str">
        <f xml:space="preserve"> InpC!G$57</f>
        <v>GWh</v>
      </c>
    </row>
    <row r="124" spans="5:7" hidden="1" outlineLevel="1" x14ac:dyDescent="0.2">
      <c r="E124" s="186" t="str">
        <f xml:space="preserve"> InpC!E$58</f>
        <v>Early generation - Month 11</v>
      </c>
      <c r="F124" s="186">
        <f xml:space="preserve"> InpC!F$58</f>
        <v>0</v>
      </c>
      <c r="G124" s="186" t="str">
        <f xml:space="preserve"> InpC!G$58</f>
        <v>GWh</v>
      </c>
    </row>
    <row r="125" spans="5:7" hidden="1" outlineLevel="1" x14ac:dyDescent="0.2">
      <c r="E125" s="186" t="str">
        <f xml:space="preserve"> InpC!E$59</f>
        <v>Early generation - Month 12</v>
      </c>
      <c r="F125" s="186">
        <f xml:space="preserve"> InpC!F$59</f>
        <v>0</v>
      </c>
      <c r="G125" s="186" t="str">
        <f xml:space="preserve"> InpC!G$59</f>
        <v>GWh</v>
      </c>
    </row>
    <row r="126" spans="5:7" hidden="1" outlineLevel="1" x14ac:dyDescent="0.2">
      <c r="E126" s="186" t="str">
        <f xml:space="preserve"> InpC!E$60</f>
        <v>Early generation - Month 13</v>
      </c>
      <c r="F126" s="186">
        <f xml:space="preserve"> InpC!F$60</f>
        <v>0</v>
      </c>
      <c r="G126" s="186" t="str">
        <f xml:space="preserve"> InpC!G$60</f>
        <v>GWh</v>
      </c>
    </row>
    <row r="127" spans="5:7" hidden="1" outlineLevel="1" x14ac:dyDescent="0.2">
      <c r="E127" s="186" t="str">
        <f xml:space="preserve"> InpC!E$61</f>
        <v>Early generation - Month 14</v>
      </c>
      <c r="F127" s="186">
        <f xml:space="preserve"> InpC!F$61</f>
        <v>0</v>
      </c>
      <c r="G127" s="186" t="str">
        <f xml:space="preserve"> InpC!G$61</f>
        <v>GWh</v>
      </c>
    </row>
    <row r="128" spans="5:7" hidden="1" outlineLevel="1" x14ac:dyDescent="0.2">
      <c r="E128" s="186" t="str">
        <f xml:space="preserve"> InpC!E$62</f>
        <v>Early generation - Month 15</v>
      </c>
      <c r="F128" s="186">
        <f xml:space="preserve"> InpC!F$62</f>
        <v>0</v>
      </c>
      <c r="G128" s="186" t="str">
        <f xml:space="preserve"> InpC!G$62</f>
        <v>GWh</v>
      </c>
    </row>
    <row r="129" spans="1:192" hidden="1" outlineLevel="1" x14ac:dyDescent="0.2">
      <c r="E129" s="186" t="str">
        <f xml:space="preserve"> InpC!E$63</f>
        <v>Early generation - Month 16</v>
      </c>
      <c r="F129" s="186">
        <f xml:space="preserve"> InpC!F$63</f>
        <v>0</v>
      </c>
      <c r="G129" s="186" t="str">
        <f xml:space="preserve"> InpC!G$63</f>
        <v>GWh</v>
      </c>
    </row>
    <row r="130" spans="1:192" hidden="1" outlineLevel="1" x14ac:dyDescent="0.2">
      <c r="E130" s="186" t="str">
        <f xml:space="preserve"> InpC!E$64</f>
        <v>Early generation - Month 17</v>
      </c>
      <c r="F130" s="186">
        <f xml:space="preserve"> InpC!F$64</f>
        <v>0</v>
      </c>
      <c r="G130" s="186" t="str">
        <f xml:space="preserve"> InpC!G$64</f>
        <v>GWh</v>
      </c>
    </row>
    <row r="131" spans="1:192" hidden="1" outlineLevel="1" x14ac:dyDescent="0.2">
      <c r="E131" s="186" t="str">
        <f xml:space="preserve"> InpC!E$65</f>
        <v>Early generation - Month 18</v>
      </c>
      <c r="F131" s="186">
        <f xml:space="preserve"> InpC!F$65</f>
        <v>0</v>
      </c>
      <c r="G131" s="186" t="str">
        <f xml:space="preserve"> InpC!G$65</f>
        <v>GWh</v>
      </c>
    </row>
    <row r="132" spans="1:192" hidden="1" outlineLevel="1" x14ac:dyDescent="0.2">
      <c r="E132" s="186" t="str">
        <f xml:space="preserve"> InpC!E$66</f>
        <v>Early generation - Month 19</v>
      </c>
      <c r="F132" s="186">
        <f xml:space="preserve"> InpC!F$66</f>
        <v>0</v>
      </c>
      <c r="G132" s="186" t="str">
        <f xml:space="preserve"> InpC!G$66</f>
        <v>GWh</v>
      </c>
    </row>
    <row r="133" spans="1:192" hidden="1" outlineLevel="1" x14ac:dyDescent="0.2">
      <c r="E133" s="186" t="str">
        <f xml:space="preserve"> InpC!E$67</f>
        <v>Early generation - Month 20</v>
      </c>
      <c r="F133" s="186">
        <f xml:space="preserve"> InpC!F$67</f>
        <v>100</v>
      </c>
      <c r="G133" s="186" t="str">
        <f xml:space="preserve"> InpC!G$67</f>
        <v>GWh</v>
      </c>
    </row>
    <row r="134" spans="1:192" hidden="1" outlineLevel="1" x14ac:dyDescent="0.2">
      <c r="E134" s="186" t="str">
        <f xml:space="preserve"> InpC!E$68</f>
        <v>Early generation - Month 21</v>
      </c>
      <c r="F134" s="186">
        <f xml:space="preserve"> InpC!F$68</f>
        <v>100</v>
      </c>
      <c r="G134" s="186" t="str">
        <f xml:space="preserve"> InpC!G$68</f>
        <v>GWh</v>
      </c>
    </row>
    <row r="135" spans="1:192" hidden="1" outlineLevel="1" x14ac:dyDescent="0.2">
      <c r="E135" s="186" t="str">
        <f xml:space="preserve"> InpC!E$69</f>
        <v>Early generation - Month 22</v>
      </c>
      <c r="F135" s="186">
        <f xml:space="preserve"> InpC!F$69</f>
        <v>100</v>
      </c>
      <c r="G135" s="186" t="str">
        <f xml:space="preserve"> InpC!G$69</f>
        <v>GWh</v>
      </c>
    </row>
    <row r="136" spans="1:192" hidden="1" outlineLevel="1" x14ac:dyDescent="0.2">
      <c r="E136" s="186" t="str">
        <f xml:space="preserve"> InpC!E$70</f>
        <v>Early generation - Month 23</v>
      </c>
      <c r="F136" s="186">
        <f xml:space="preserve"> InpC!F$70</f>
        <v>100</v>
      </c>
      <c r="G136" s="186" t="str">
        <f xml:space="preserve"> InpC!G$70</f>
        <v>GWh</v>
      </c>
    </row>
    <row r="137" spans="1:192" hidden="1" outlineLevel="1" x14ac:dyDescent="0.2">
      <c r="E137" s="186" t="str">
        <f xml:space="preserve"> InpC!E$71</f>
        <v>Early generation - Month 24</v>
      </c>
      <c r="F137" s="186">
        <f xml:space="preserve"> InpC!F$71</f>
        <v>100</v>
      </c>
      <c r="G137" s="186" t="str">
        <f xml:space="preserve"> InpC!G$71</f>
        <v>GWh</v>
      </c>
    </row>
    <row r="138" spans="1:192" hidden="1" outlineLevel="1" x14ac:dyDescent="0.2">
      <c r="E138" s="186" t="str">
        <f xml:space="preserve"> InpC!E$72</f>
        <v>Early generation - Month 25</v>
      </c>
      <c r="F138" s="186">
        <f xml:space="preserve"> InpC!F$72</f>
        <v>100</v>
      </c>
      <c r="G138" s="186" t="str">
        <f xml:space="preserve"> InpC!G$72</f>
        <v>GWh</v>
      </c>
    </row>
    <row r="139" spans="1:192" hidden="1" outlineLevel="1" x14ac:dyDescent="0.2">
      <c r="E139" s="186" t="str">
        <f xml:space="preserve"> InpC!E$73</f>
        <v>Early generation - Month 26</v>
      </c>
      <c r="F139" s="186">
        <f xml:space="preserve"> InpC!F$73</f>
        <v>100</v>
      </c>
      <c r="G139" s="186" t="str">
        <f xml:space="preserve"> InpC!G$73</f>
        <v>GWh</v>
      </c>
    </row>
    <row r="140" spans="1:192" hidden="1" outlineLevel="1" x14ac:dyDescent="0.2">
      <c r="A140" s="52"/>
      <c r="B140" s="52"/>
      <c r="C140" s="34"/>
      <c r="D140" s="35"/>
      <c r="E140" s="125" t="str">
        <f xml:space="preserve"> ConTime!E$86</f>
        <v>Construction period counter</v>
      </c>
      <c r="F140" s="125">
        <f xml:space="preserve"> ConTime!F$86</f>
        <v>0</v>
      </c>
      <c r="G140" s="125" t="str">
        <f xml:space="preserve"> ConTime!G$86</f>
        <v>counter</v>
      </c>
      <c r="H140" s="125">
        <f xml:space="preserve"> ConTime!H$86</f>
        <v>0</v>
      </c>
      <c r="I140" s="125">
        <f xml:space="preserve"> ConTime!I$86</f>
        <v>0</v>
      </c>
      <c r="J140" s="125">
        <f xml:space="preserve"> ConTime!J$86</f>
        <v>0</v>
      </c>
      <c r="K140" s="125">
        <f xml:space="preserve"> ConTime!K$86</f>
        <v>0</v>
      </c>
      <c r="L140" s="125">
        <f xml:space="preserve"> ConTime!L$86</f>
        <v>0</v>
      </c>
      <c r="M140" s="125">
        <f xml:space="preserve"> ConTime!M$86</f>
        <v>0</v>
      </c>
      <c r="N140" s="125">
        <f xml:space="preserve"> ConTime!N$86</f>
        <v>1</v>
      </c>
      <c r="O140" s="125">
        <f xml:space="preserve"> ConTime!O$86</f>
        <v>2</v>
      </c>
      <c r="P140" s="125">
        <f xml:space="preserve"> ConTime!P$86</f>
        <v>3</v>
      </c>
      <c r="Q140" s="125">
        <f xml:space="preserve"> ConTime!Q$86</f>
        <v>4</v>
      </c>
      <c r="R140" s="125">
        <f xml:space="preserve"> ConTime!R$86</f>
        <v>5</v>
      </c>
      <c r="S140" s="125">
        <f xml:space="preserve"> ConTime!S$86</f>
        <v>6</v>
      </c>
      <c r="T140" s="125">
        <f xml:space="preserve"> ConTime!T$86</f>
        <v>7</v>
      </c>
      <c r="U140" s="125">
        <f xml:space="preserve"> ConTime!U$86</f>
        <v>8</v>
      </c>
      <c r="V140" s="125">
        <f xml:space="preserve"> ConTime!V$86</f>
        <v>9</v>
      </c>
      <c r="W140" s="125">
        <f xml:space="preserve"> ConTime!W$86</f>
        <v>10</v>
      </c>
      <c r="X140" s="125">
        <f xml:space="preserve"> ConTime!X$86</f>
        <v>11</v>
      </c>
      <c r="Y140" s="125">
        <f xml:space="preserve"> ConTime!Y$86</f>
        <v>12</v>
      </c>
      <c r="Z140" s="125">
        <f xml:space="preserve"> ConTime!Z$86</f>
        <v>13</v>
      </c>
      <c r="AA140" s="125">
        <f xml:space="preserve"> ConTime!AA$86</f>
        <v>14</v>
      </c>
      <c r="AB140" s="125">
        <f xml:space="preserve"> ConTime!AB$86</f>
        <v>15</v>
      </c>
      <c r="AC140" s="125">
        <f xml:space="preserve"> ConTime!AC$86</f>
        <v>16</v>
      </c>
      <c r="AD140" s="125">
        <f xml:space="preserve"> ConTime!AD$86</f>
        <v>17</v>
      </c>
      <c r="AE140" s="125">
        <f xml:space="preserve"> ConTime!AE$86</f>
        <v>18</v>
      </c>
      <c r="AF140" s="125">
        <f xml:space="preserve"> ConTime!AF$86</f>
        <v>19</v>
      </c>
      <c r="AG140" s="125">
        <f xml:space="preserve"> ConTime!AG$86</f>
        <v>20</v>
      </c>
      <c r="AH140" s="125">
        <f xml:space="preserve"> ConTime!AH$86</f>
        <v>21</v>
      </c>
      <c r="AI140" s="125">
        <f xml:space="preserve"> ConTime!AI$86</f>
        <v>22</v>
      </c>
      <c r="AJ140" s="125">
        <f xml:space="preserve"> ConTime!AJ$86</f>
        <v>23</v>
      </c>
      <c r="AK140" s="125">
        <f xml:space="preserve"> ConTime!AK$86</f>
        <v>24</v>
      </c>
      <c r="AL140" s="125">
        <f xml:space="preserve"> ConTime!AL$86</f>
        <v>25</v>
      </c>
      <c r="AM140" s="125">
        <f xml:space="preserve"> ConTime!AM$86</f>
        <v>26</v>
      </c>
      <c r="AN140" s="125">
        <f xml:space="preserve"> ConTime!AN$86</f>
        <v>0</v>
      </c>
      <c r="AO140" s="125">
        <f xml:space="preserve"> ConTime!AO$86</f>
        <v>0</v>
      </c>
      <c r="AP140" s="125">
        <f xml:space="preserve"> ConTime!AP$86</f>
        <v>0</v>
      </c>
      <c r="AQ140" s="125">
        <f xml:space="preserve"> ConTime!AQ$86</f>
        <v>0</v>
      </c>
      <c r="AR140" s="125">
        <f xml:space="preserve"> ConTime!AR$86</f>
        <v>0</v>
      </c>
      <c r="AS140" s="125">
        <f xml:space="preserve"> ConTime!AS$86</f>
        <v>0</v>
      </c>
      <c r="AT140" s="125">
        <f xml:space="preserve"> ConTime!AT$86</f>
        <v>0</v>
      </c>
      <c r="AU140" s="125">
        <f xml:space="preserve"> ConTime!AU$86</f>
        <v>0</v>
      </c>
      <c r="AV140" s="125">
        <f xml:space="preserve"> ConTime!AV$86</f>
        <v>0</v>
      </c>
      <c r="AW140" s="125">
        <f xml:space="preserve"> ConTime!AW$86</f>
        <v>0</v>
      </c>
      <c r="AX140" s="125">
        <f xml:space="preserve"> ConTime!AX$86</f>
        <v>0</v>
      </c>
      <c r="AY140" s="125">
        <f xml:space="preserve"> ConTime!AY$86</f>
        <v>0</v>
      </c>
      <c r="AZ140" s="125">
        <f xml:space="preserve"> ConTime!AZ$86</f>
        <v>0</v>
      </c>
      <c r="BA140" s="125">
        <f xml:space="preserve"> ConTime!BA$86</f>
        <v>0</v>
      </c>
      <c r="BB140" s="125">
        <f xml:space="preserve"> ConTime!BB$86</f>
        <v>0</v>
      </c>
      <c r="BC140" s="125">
        <f xml:space="preserve"> ConTime!BC$86</f>
        <v>0</v>
      </c>
      <c r="BD140" s="125">
        <f xml:space="preserve"> ConTime!BD$86</f>
        <v>0</v>
      </c>
      <c r="BE140" s="125">
        <f xml:space="preserve"> ConTime!BE$86</f>
        <v>0</v>
      </c>
    </row>
    <row r="141" spans="1:192" hidden="1" outlineLevel="1" x14ac:dyDescent="0.2">
      <c r="E141" s="12" t="s">
        <v>698</v>
      </c>
      <c r="G141" s="12" t="s">
        <v>118</v>
      </c>
      <c r="H141" s="12">
        <f xml:space="preserve"> SUM(J141:BE141)</f>
        <v>700</v>
      </c>
      <c r="J141" s="12">
        <f t="shared" ref="J141:BE141" si="41" xml:space="preserve"> IF(J140 &gt; 0, $F111 * INDEX($F114:$F139, J140), 0) * (1 + $F112)</f>
        <v>0</v>
      </c>
      <c r="K141" s="12">
        <f t="shared" si="41"/>
        <v>0</v>
      </c>
      <c r="L141" s="12">
        <f t="shared" si="41"/>
        <v>0</v>
      </c>
      <c r="M141" s="12">
        <f t="shared" si="41"/>
        <v>0</v>
      </c>
      <c r="N141" s="12">
        <f t="shared" si="41"/>
        <v>0</v>
      </c>
      <c r="O141" s="12">
        <f t="shared" si="41"/>
        <v>0</v>
      </c>
      <c r="P141" s="12">
        <f t="shared" si="41"/>
        <v>0</v>
      </c>
      <c r="Q141" s="12">
        <f t="shared" si="41"/>
        <v>0</v>
      </c>
      <c r="R141" s="12">
        <f t="shared" si="41"/>
        <v>0</v>
      </c>
      <c r="S141" s="12">
        <f t="shared" si="41"/>
        <v>0</v>
      </c>
      <c r="T141" s="12">
        <f t="shared" si="41"/>
        <v>0</v>
      </c>
      <c r="U141" s="12">
        <f t="shared" si="41"/>
        <v>0</v>
      </c>
      <c r="V141" s="12">
        <f t="shared" si="41"/>
        <v>0</v>
      </c>
      <c r="W141" s="12">
        <f t="shared" si="41"/>
        <v>0</v>
      </c>
      <c r="X141" s="12">
        <f t="shared" si="41"/>
        <v>0</v>
      </c>
      <c r="Y141" s="12">
        <f t="shared" si="41"/>
        <v>0</v>
      </c>
      <c r="Z141" s="12">
        <f t="shared" si="41"/>
        <v>0</v>
      </c>
      <c r="AA141" s="12">
        <f t="shared" si="41"/>
        <v>0</v>
      </c>
      <c r="AB141" s="12">
        <f t="shared" si="41"/>
        <v>0</v>
      </c>
      <c r="AC141" s="12">
        <f t="shared" si="41"/>
        <v>0</v>
      </c>
      <c r="AD141" s="12">
        <f t="shared" si="41"/>
        <v>0</v>
      </c>
      <c r="AE141" s="12">
        <f t="shared" si="41"/>
        <v>0</v>
      </c>
      <c r="AF141" s="12">
        <f t="shared" si="41"/>
        <v>0</v>
      </c>
      <c r="AG141" s="12">
        <f t="shared" si="41"/>
        <v>100</v>
      </c>
      <c r="AH141" s="12">
        <f t="shared" si="41"/>
        <v>100</v>
      </c>
      <c r="AI141" s="12">
        <f t="shared" si="41"/>
        <v>100</v>
      </c>
      <c r="AJ141" s="12">
        <f t="shared" si="41"/>
        <v>100</v>
      </c>
      <c r="AK141" s="12">
        <f t="shared" si="41"/>
        <v>100</v>
      </c>
      <c r="AL141" s="12">
        <f t="shared" si="41"/>
        <v>100</v>
      </c>
      <c r="AM141" s="12">
        <f t="shared" si="41"/>
        <v>100</v>
      </c>
      <c r="AN141" s="12">
        <f t="shared" si="41"/>
        <v>0</v>
      </c>
      <c r="AO141" s="12">
        <f t="shared" si="41"/>
        <v>0</v>
      </c>
      <c r="AP141" s="12">
        <f t="shared" si="41"/>
        <v>0</v>
      </c>
      <c r="AQ141" s="12">
        <f t="shared" si="41"/>
        <v>0</v>
      </c>
      <c r="AR141" s="12">
        <f t="shared" si="41"/>
        <v>0</v>
      </c>
      <c r="AS141" s="12">
        <f t="shared" si="41"/>
        <v>0</v>
      </c>
      <c r="AT141" s="12">
        <f t="shared" si="41"/>
        <v>0</v>
      </c>
      <c r="AU141" s="12">
        <f t="shared" si="41"/>
        <v>0</v>
      </c>
      <c r="AV141" s="12">
        <f t="shared" si="41"/>
        <v>0</v>
      </c>
      <c r="AW141" s="12">
        <f t="shared" si="41"/>
        <v>0</v>
      </c>
      <c r="AX141" s="12">
        <f t="shared" si="41"/>
        <v>0</v>
      </c>
      <c r="AY141" s="12">
        <f t="shared" si="41"/>
        <v>0</v>
      </c>
      <c r="AZ141" s="12">
        <f t="shared" si="41"/>
        <v>0</v>
      </c>
      <c r="BA141" s="12">
        <f t="shared" si="41"/>
        <v>0</v>
      </c>
      <c r="BB141" s="12">
        <f t="shared" si="41"/>
        <v>0</v>
      </c>
      <c r="BC141" s="12">
        <f t="shared" si="41"/>
        <v>0</v>
      </c>
      <c r="BD141" s="12">
        <f t="shared" si="41"/>
        <v>0</v>
      </c>
      <c r="BE141" s="12">
        <f t="shared" si="41"/>
        <v>0</v>
      </c>
    </row>
    <row r="142" spans="1:192" hidden="1" outlineLevel="1" x14ac:dyDescent="0.2"/>
    <row r="143" spans="1:192" hidden="1" outlineLevel="1" x14ac:dyDescent="0.2">
      <c r="A143" s="236"/>
      <c r="B143" s="236"/>
      <c r="C143" s="237"/>
      <c r="D143" s="238"/>
      <c r="E143" s="68" t="str">
        <f xml:space="preserve"> InpC!E$417</f>
        <v>US$c / US$</v>
      </c>
      <c r="F143" s="68">
        <f xml:space="preserve"> InpC!F$417</f>
        <v>100</v>
      </c>
      <c r="G143" s="68" t="str">
        <f xml:space="preserve"> InpC!G$417</f>
        <v>US$c / US$</v>
      </c>
      <c r="H143" s="235"/>
      <c r="I143" s="235"/>
      <c r="J143" s="235"/>
      <c r="K143" s="235"/>
      <c r="L143" s="235"/>
      <c r="M143" s="235"/>
      <c r="N143" s="235"/>
      <c r="O143" s="235"/>
      <c r="P143" s="235"/>
      <c r="Q143" s="235"/>
      <c r="R143" s="235"/>
      <c r="S143" s="235"/>
      <c r="T143" s="235"/>
      <c r="U143" s="235"/>
      <c r="V143" s="235"/>
      <c r="W143" s="235"/>
      <c r="X143" s="235"/>
      <c r="Y143" s="235"/>
      <c r="Z143" s="235"/>
      <c r="AA143" s="235"/>
      <c r="AB143" s="235"/>
      <c r="AC143" s="235"/>
      <c r="AD143" s="235"/>
      <c r="AE143" s="235"/>
      <c r="AF143" s="235"/>
      <c r="AG143" s="235"/>
      <c r="AH143" s="235"/>
      <c r="AI143" s="235"/>
      <c r="AJ143" s="235"/>
      <c r="AK143" s="235"/>
      <c r="AL143" s="235"/>
      <c r="AM143" s="235"/>
      <c r="AN143" s="235"/>
      <c r="AO143" s="235"/>
      <c r="AP143" s="235"/>
      <c r="AQ143" s="235"/>
      <c r="AR143" s="235"/>
      <c r="AS143" s="235"/>
      <c r="AT143" s="235"/>
      <c r="AU143" s="235"/>
      <c r="AV143" s="235"/>
      <c r="AW143" s="235"/>
      <c r="AX143" s="235"/>
      <c r="AY143" s="235"/>
      <c r="AZ143" s="235"/>
      <c r="BA143" s="235"/>
      <c r="BB143" s="235"/>
      <c r="BC143" s="235"/>
      <c r="BD143" s="235"/>
      <c r="BE143" s="235"/>
      <c r="BF143" s="235"/>
      <c r="BG143" s="235"/>
      <c r="BH143" s="235"/>
      <c r="BI143" s="235"/>
      <c r="BJ143" s="235"/>
      <c r="BK143" s="235"/>
      <c r="BL143" s="235"/>
      <c r="BM143" s="235"/>
      <c r="BN143" s="235"/>
      <c r="BO143" s="235"/>
      <c r="BP143" s="235"/>
      <c r="BQ143" s="235"/>
      <c r="BR143" s="235"/>
      <c r="BS143" s="235"/>
      <c r="BT143" s="235"/>
      <c r="BU143" s="235"/>
      <c r="BV143" s="235"/>
      <c r="BW143" s="235"/>
      <c r="BX143" s="235"/>
      <c r="BY143" s="235"/>
      <c r="BZ143" s="235"/>
      <c r="CA143" s="235"/>
      <c r="CB143" s="235"/>
      <c r="CC143" s="235"/>
      <c r="CD143" s="235"/>
      <c r="CE143" s="235"/>
      <c r="CF143" s="235"/>
      <c r="CG143" s="235"/>
      <c r="CH143" s="235"/>
      <c r="CI143" s="235"/>
      <c r="CJ143" s="235"/>
      <c r="CK143" s="235"/>
      <c r="CL143" s="235"/>
      <c r="CM143" s="235"/>
      <c r="CN143" s="235"/>
      <c r="CO143" s="235"/>
      <c r="CP143" s="235"/>
      <c r="CQ143" s="235"/>
      <c r="CR143" s="235"/>
      <c r="CS143" s="235"/>
      <c r="CT143" s="235"/>
      <c r="CU143" s="235"/>
      <c r="CV143" s="235"/>
      <c r="CW143" s="235"/>
      <c r="CX143" s="235"/>
      <c r="CY143" s="235"/>
      <c r="CZ143" s="235"/>
      <c r="DA143" s="235"/>
      <c r="DB143" s="235"/>
      <c r="DC143" s="235"/>
      <c r="DD143" s="235"/>
      <c r="DE143" s="235"/>
      <c r="DF143" s="235"/>
      <c r="DG143" s="235"/>
      <c r="DH143" s="235"/>
      <c r="DI143" s="235"/>
      <c r="DJ143" s="235"/>
      <c r="DK143" s="235"/>
      <c r="DL143" s="235"/>
      <c r="DM143" s="235"/>
      <c r="DN143" s="235"/>
      <c r="DO143" s="235"/>
      <c r="DP143" s="235"/>
      <c r="DQ143" s="235"/>
      <c r="DR143" s="235"/>
      <c r="DS143" s="235"/>
      <c r="DT143" s="235"/>
      <c r="DU143" s="235"/>
      <c r="DV143" s="235"/>
      <c r="DW143" s="235"/>
      <c r="DX143" s="235"/>
      <c r="DY143" s="235"/>
      <c r="DZ143" s="235"/>
      <c r="EA143" s="235"/>
      <c r="EB143" s="235"/>
      <c r="EC143" s="235"/>
      <c r="ED143" s="235"/>
      <c r="EE143" s="235"/>
      <c r="EF143" s="235"/>
      <c r="EG143" s="235"/>
      <c r="EH143" s="235"/>
      <c r="EI143" s="235"/>
      <c r="EJ143" s="235"/>
      <c r="EK143" s="235"/>
      <c r="EL143" s="235"/>
      <c r="EM143" s="235"/>
      <c r="EN143" s="235"/>
      <c r="EO143" s="235"/>
      <c r="EP143" s="235"/>
      <c r="EQ143" s="235"/>
      <c r="ER143" s="235"/>
      <c r="ES143" s="235"/>
      <c r="ET143" s="235"/>
      <c r="EU143" s="235"/>
      <c r="EV143" s="235"/>
      <c r="EW143" s="235"/>
      <c r="EX143" s="235"/>
      <c r="EY143" s="235"/>
      <c r="EZ143" s="235"/>
      <c r="FA143" s="235"/>
      <c r="FB143" s="235"/>
      <c r="FC143" s="235"/>
      <c r="FD143" s="235"/>
      <c r="FE143" s="235"/>
      <c r="FF143" s="235"/>
      <c r="FG143" s="235"/>
      <c r="FH143" s="235"/>
      <c r="FI143" s="235"/>
      <c r="FJ143" s="235"/>
      <c r="FK143" s="235"/>
      <c r="FL143" s="235"/>
      <c r="FM143" s="235"/>
      <c r="FN143" s="235"/>
      <c r="FO143" s="235"/>
      <c r="FP143" s="235"/>
      <c r="FQ143" s="235"/>
      <c r="FR143" s="235"/>
      <c r="FS143" s="235"/>
      <c r="FT143" s="235"/>
      <c r="FU143" s="235"/>
      <c r="FV143" s="235"/>
      <c r="FW143" s="235"/>
      <c r="FX143" s="235"/>
      <c r="FY143" s="235"/>
      <c r="FZ143" s="235"/>
      <c r="GA143" s="235"/>
      <c r="GB143" s="235"/>
      <c r="GC143" s="235"/>
      <c r="GD143" s="235"/>
      <c r="GE143" s="235"/>
      <c r="GF143" s="235"/>
      <c r="GG143" s="235"/>
      <c r="GH143" s="235"/>
      <c r="GI143" s="235"/>
      <c r="GJ143" s="235"/>
    </row>
    <row r="144" spans="1:192" hidden="1" outlineLevel="1" x14ac:dyDescent="0.2">
      <c r="A144" s="85"/>
      <c r="B144" s="85"/>
      <c r="C144" s="86"/>
      <c r="D144" s="87"/>
      <c r="E144" s="390" t="str">
        <f xml:space="preserve"> InpC!E$419</f>
        <v>Units in a thousand</v>
      </c>
      <c r="F144" s="390">
        <f xml:space="preserve"> InpC!F$419</f>
        <v>1000</v>
      </c>
      <c r="G144" s="390" t="str">
        <f xml:space="preserve"> InpC!G$419</f>
        <v>units</v>
      </c>
      <c r="H144" s="390"/>
      <c r="I144" s="390"/>
      <c r="J144" s="390"/>
      <c r="K144" s="390"/>
      <c r="L144" s="390"/>
      <c r="M144" s="390"/>
      <c r="N144" s="390"/>
      <c r="O144" s="390"/>
      <c r="P144" s="390"/>
      <c r="Q144" s="390"/>
      <c r="R144" s="390"/>
      <c r="S144" s="390"/>
      <c r="T144" s="390"/>
      <c r="U144" s="390"/>
      <c r="V144" s="390"/>
      <c r="W144" s="390"/>
      <c r="X144" s="390"/>
      <c r="Y144" s="390"/>
      <c r="Z144" s="390"/>
      <c r="AA144" s="390"/>
      <c r="AB144" s="390"/>
      <c r="AC144" s="390"/>
      <c r="AD144" s="390"/>
      <c r="AE144" s="390"/>
      <c r="AF144" s="390"/>
      <c r="AG144" s="390"/>
      <c r="AH144" s="390"/>
      <c r="AI144" s="390"/>
      <c r="AJ144" s="390"/>
      <c r="AK144" s="390"/>
      <c r="AL144" s="390"/>
      <c r="AM144" s="390"/>
      <c r="AN144" s="390"/>
      <c r="AO144" s="390"/>
      <c r="AP144" s="390"/>
      <c r="AQ144" s="390"/>
      <c r="AR144" s="390"/>
      <c r="AS144" s="390"/>
      <c r="AT144" s="390"/>
      <c r="AU144" s="390"/>
      <c r="AV144" s="390"/>
      <c r="AW144" s="390"/>
      <c r="AX144" s="390"/>
      <c r="AY144" s="390"/>
      <c r="AZ144" s="390"/>
      <c r="BA144" s="390"/>
      <c r="BB144" s="390"/>
      <c r="BC144" s="390"/>
      <c r="BD144" s="390"/>
      <c r="BE144" s="390"/>
      <c r="BF144" s="390"/>
      <c r="BG144" s="390"/>
      <c r="BH144" s="390"/>
      <c r="BI144" s="390"/>
      <c r="BJ144" s="390"/>
      <c r="BK144" s="390"/>
      <c r="BL144" s="390"/>
      <c r="BM144" s="390"/>
      <c r="BN144" s="390"/>
      <c r="BO144" s="390"/>
      <c r="BP144" s="390"/>
      <c r="BQ144" s="390"/>
      <c r="BR144" s="390"/>
      <c r="BS144" s="390"/>
      <c r="BT144" s="390"/>
      <c r="BU144" s="390"/>
      <c r="BV144" s="390"/>
      <c r="BW144" s="390"/>
      <c r="BX144" s="390"/>
      <c r="BY144" s="390"/>
      <c r="BZ144" s="390"/>
      <c r="CA144" s="390"/>
      <c r="CB144" s="390"/>
      <c r="CC144" s="390"/>
      <c r="CD144" s="390"/>
      <c r="CE144" s="390"/>
      <c r="CF144" s="390"/>
      <c r="CG144" s="390"/>
      <c r="CH144" s="390"/>
      <c r="CI144" s="390"/>
      <c r="CJ144" s="390"/>
      <c r="CK144" s="390"/>
      <c r="CL144" s="390"/>
      <c r="CM144" s="390"/>
      <c r="CN144" s="390"/>
      <c r="CO144" s="390"/>
      <c r="CP144" s="390"/>
      <c r="CQ144" s="390"/>
      <c r="CR144" s="390"/>
      <c r="CS144" s="390"/>
      <c r="CT144" s="390"/>
      <c r="CU144" s="390"/>
      <c r="CV144" s="390"/>
      <c r="CW144" s="390"/>
      <c r="CX144" s="390"/>
      <c r="CY144" s="390"/>
      <c r="CZ144" s="390"/>
      <c r="DA144" s="390"/>
      <c r="DB144" s="390"/>
      <c r="DC144" s="390"/>
      <c r="DD144" s="390"/>
      <c r="DE144" s="390"/>
      <c r="DF144" s="390"/>
      <c r="DG144" s="390"/>
      <c r="DH144" s="390"/>
      <c r="DI144" s="390"/>
      <c r="DJ144" s="390"/>
      <c r="DK144" s="390"/>
      <c r="DL144" s="390"/>
      <c r="DM144" s="390"/>
      <c r="DN144" s="390"/>
      <c r="DO144" s="390"/>
      <c r="DP144" s="390"/>
      <c r="DQ144" s="390"/>
      <c r="DR144" s="390"/>
      <c r="DS144" s="390"/>
      <c r="DT144" s="390"/>
      <c r="DU144" s="390"/>
      <c r="DV144" s="390"/>
      <c r="DW144" s="390"/>
      <c r="DX144" s="390"/>
      <c r="DY144" s="390"/>
      <c r="DZ144" s="390"/>
      <c r="EA144" s="390"/>
      <c r="EB144" s="390"/>
      <c r="EC144" s="390"/>
      <c r="ED144" s="390"/>
      <c r="EE144" s="390"/>
      <c r="EF144" s="390"/>
      <c r="EG144" s="390"/>
      <c r="EH144" s="390"/>
      <c r="EI144" s="390"/>
      <c r="EJ144" s="390"/>
      <c r="EK144" s="390"/>
      <c r="EL144" s="390"/>
      <c r="EM144" s="390"/>
      <c r="EN144" s="390"/>
      <c r="EO144" s="390"/>
      <c r="EP144" s="390"/>
      <c r="EQ144" s="390"/>
      <c r="ER144" s="390"/>
      <c r="ES144" s="390"/>
      <c r="ET144" s="390"/>
      <c r="EU144" s="390"/>
      <c r="EV144" s="390"/>
      <c r="EW144" s="390"/>
      <c r="EX144" s="390"/>
      <c r="EY144" s="390"/>
      <c r="EZ144" s="390"/>
      <c r="FA144" s="390"/>
      <c r="FB144" s="390"/>
      <c r="FC144" s="390"/>
      <c r="FD144" s="390"/>
      <c r="FE144" s="390"/>
      <c r="FF144" s="390"/>
      <c r="FG144" s="390"/>
      <c r="FH144" s="390"/>
      <c r="FI144" s="390"/>
      <c r="FJ144" s="390"/>
      <c r="FK144" s="390"/>
      <c r="FL144" s="390"/>
      <c r="FM144" s="390"/>
      <c r="FN144" s="390"/>
      <c r="FO144" s="390"/>
      <c r="FP144" s="390"/>
      <c r="FQ144" s="390"/>
      <c r="FR144" s="390"/>
      <c r="FS144" s="390"/>
      <c r="FT144" s="390"/>
      <c r="FU144" s="390"/>
      <c r="FV144" s="390"/>
      <c r="FW144" s="390"/>
      <c r="FX144" s="390"/>
      <c r="FY144" s="390"/>
      <c r="FZ144" s="390"/>
      <c r="GA144" s="390"/>
      <c r="GB144" s="390"/>
      <c r="GC144" s="390"/>
      <c r="GD144" s="390"/>
      <c r="GE144" s="390"/>
      <c r="GF144" s="390"/>
      <c r="GG144" s="390"/>
      <c r="GH144" s="390"/>
      <c r="GI144" s="390"/>
      <c r="GJ144" s="390"/>
    </row>
    <row r="145" spans="1:192" hidden="1" outlineLevel="1" x14ac:dyDescent="0.2">
      <c r="A145" s="85"/>
      <c r="B145" s="85"/>
      <c r="C145" s="86"/>
      <c r="D145" s="87"/>
      <c r="E145" s="390" t="str">
        <f xml:space="preserve"> InpC!E$418</f>
        <v>GWh to KWh conversion</v>
      </c>
      <c r="F145" s="390">
        <f xml:space="preserve"> InpC!F$418</f>
        <v>1000000</v>
      </c>
      <c r="G145" s="390" t="str">
        <f xml:space="preserve"> InpC!G$418</f>
        <v>KWh / GWh</v>
      </c>
      <c r="H145" s="145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  <c r="CW145" s="68"/>
      <c r="CX145" s="68"/>
      <c r="CY145" s="68"/>
      <c r="CZ145" s="68"/>
      <c r="DA145" s="68"/>
      <c r="DB145" s="68"/>
      <c r="DC145" s="68"/>
      <c r="DD145" s="68"/>
      <c r="DE145" s="68"/>
      <c r="DF145" s="68"/>
      <c r="DG145" s="68"/>
      <c r="DH145" s="68"/>
      <c r="DI145" s="68"/>
      <c r="DJ145" s="68"/>
      <c r="DK145" s="68"/>
      <c r="DL145" s="68"/>
      <c r="DM145" s="68"/>
      <c r="DN145" s="68"/>
      <c r="DO145" s="68"/>
      <c r="DP145" s="68"/>
      <c r="DQ145" s="68"/>
      <c r="DR145" s="68"/>
      <c r="DS145" s="68"/>
      <c r="DT145" s="68"/>
      <c r="DU145" s="68"/>
      <c r="DV145" s="68"/>
      <c r="DW145" s="68"/>
      <c r="DX145" s="68"/>
      <c r="DY145" s="68"/>
      <c r="DZ145" s="68"/>
      <c r="EA145" s="68"/>
      <c r="EB145" s="68"/>
      <c r="EC145" s="68"/>
      <c r="ED145" s="68"/>
      <c r="EE145" s="68"/>
      <c r="EF145" s="68"/>
      <c r="EG145" s="68"/>
      <c r="EH145" s="68"/>
      <c r="EI145" s="68"/>
      <c r="EJ145" s="68"/>
      <c r="EK145" s="68"/>
      <c r="EL145" s="68"/>
      <c r="EM145" s="68"/>
      <c r="EN145" s="68"/>
      <c r="EO145" s="68"/>
      <c r="EP145" s="68"/>
      <c r="EQ145" s="68"/>
      <c r="ER145" s="68"/>
      <c r="ES145" s="68"/>
      <c r="ET145" s="68"/>
      <c r="EU145" s="68"/>
      <c r="EV145" s="68"/>
      <c r="EW145" s="68"/>
      <c r="EX145" s="68"/>
      <c r="EY145" s="68"/>
      <c r="EZ145" s="68"/>
      <c r="FA145" s="68"/>
      <c r="FB145" s="68"/>
      <c r="FC145" s="68"/>
      <c r="FD145" s="68"/>
      <c r="FE145" s="68"/>
      <c r="FF145" s="68"/>
      <c r="FG145" s="68"/>
      <c r="FH145" s="68"/>
      <c r="FI145" s="68"/>
      <c r="FJ145" s="68"/>
      <c r="FK145" s="68"/>
      <c r="FL145" s="68"/>
      <c r="FM145" s="68"/>
      <c r="FN145" s="68"/>
      <c r="FO145" s="68"/>
      <c r="FP145" s="68"/>
      <c r="FQ145" s="68"/>
      <c r="FR145" s="68"/>
      <c r="FS145" s="68"/>
      <c r="FT145" s="68"/>
      <c r="FU145" s="68"/>
      <c r="FV145" s="68"/>
      <c r="FW145" s="68"/>
      <c r="FX145" s="68"/>
      <c r="FY145" s="68"/>
      <c r="FZ145" s="68"/>
      <c r="GA145" s="68"/>
      <c r="GB145" s="68"/>
      <c r="GC145" s="68"/>
      <c r="GD145" s="68"/>
      <c r="GE145" s="68"/>
      <c r="GF145" s="68"/>
      <c r="GG145" s="68"/>
      <c r="GH145" s="68"/>
      <c r="GI145" s="68"/>
      <c r="GJ145" s="68"/>
    </row>
    <row r="146" spans="1:192" s="280" customFormat="1" hidden="1" outlineLevel="1" x14ac:dyDescent="0.2">
      <c r="A146" s="278"/>
      <c r="B146" s="278"/>
      <c r="C146" s="410"/>
      <c r="D146" s="279"/>
      <c r="E146" s="461" t="str">
        <f xml:space="preserve"> InpC!E$46</f>
        <v>Early generation period - tariff</v>
      </c>
      <c r="F146" s="461">
        <f xml:space="preserve"> InpC!F$46</f>
        <v>1.99</v>
      </c>
      <c r="G146" s="461" t="str">
        <f xml:space="preserve"> InpC!G$46</f>
        <v>USD Cents / kWh</v>
      </c>
      <c r="H146" s="82"/>
      <c r="I146" s="455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</row>
    <row r="147" spans="1:192" hidden="1" outlineLevel="1" x14ac:dyDescent="0.2">
      <c r="E147" s="12" t="str">
        <f t="shared" ref="E147:AJ147" si="42" xml:space="preserve"> E$141</f>
        <v>Electricity generation - EGR period</v>
      </c>
      <c r="F147" s="12">
        <f t="shared" si="42"/>
        <v>0</v>
      </c>
      <c r="G147" s="12" t="str">
        <f t="shared" si="42"/>
        <v>GWh</v>
      </c>
      <c r="H147" s="12">
        <f t="shared" si="42"/>
        <v>700</v>
      </c>
      <c r="I147" s="12">
        <f t="shared" si="42"/>
        <v>0</v>
      </c>
      <c r="J147" s="12">
        <f t="shared" si="42"/>
        <v>0</v>
      </c>
      <c r="K147" s="12">
        <f t="shared" si="42"/>
        <v>0</v>
      </c>
      <c r="L147" s="12">
        <f t="shared" si="42"/>
        <v>0</v>
      </c>
      <c r="M147" s="12">
        <f t="shared" si="42"/>
        <v>0</v>
      </c>
      <c r="N147" s="12">
        <f t="shared" si="42"/>
        <v>0</v>
      </c>
      <c r="O147" s="12">
        <f t="shared" si="42"/>
        <v>0</v>
      </c>
      <c r="P147" s="12">
        <f t="shared" si="42"/>
        <v>0</v>
      </c>
      <c r="Q147" s="12">
        <f t="shared" si="42"/>
        <v>0</v>
      </c>
      <c r="R147" s="12">
        <f t="shared" si="42"/>
        <v>0</v>
      </c>
      <c r="S147" s="12">
        <f t="shared" si="42"/>
        <v>0</v>
      </c>
      <c r="T147" s="12">
        <f t="shared" si="42"/>
        <v>0</v>
      </c>
      <c r="U147" s="12">
        <f t="shared" si="42"/>
        <v>0</v>
      </c>
      <c r="V147" s="12">
        <f t="shared" si="42"/>
        <v>0</v>
      </c>
      <c r="W147" s="12">
        <f t="shared" si="42"/>
        <v>0</v>
      </c>
      <c r="X147" s="12">
        <f t="shared" si="42"/>
        <v>0</v>
      </c>
      <c r="Y147" s="12">
        <f t="shared" si="42"/>
        <v>0</v>
      </c>
      <c r="Z147" s="12">
        <f t="shared" si="42"/>
        <v>0</v>
      </c>
      <c r="AA147" s="12">
        <f t="shared" si="42"/>
        <v>0</v>
      </c>
      <c r="AB147" s="12">
        <f t="shared" si="42"/>
        <v>0</v>
      </c>
      <c r="AC147" s="12">
        <f t="shared" si="42"/>
        <v>0</v>
      </c>
      <c r="AD147" s="12">
        <f t="shared" si="42"/>
        <v>0</v>
      </c>
      <c r="AE147" s="12">
        <f t="shared" si="42"/>
        <v>0</v>
      </c>
      <c r="AF147" s="12">
        <f t="shared" si="42"/>
        <v>0</v>
      </c>
      <c r="AG147" s="12">
        <f t="shared" si="42"/>
        <v>100</v>
      </c>
      <c r="AH147" s="12">
        <f t="shared" si="42"/>
        <v>100</v>
      </c>
      <c r="AI147" s="12">
        <f t="shared" si="42"/>
        <v>100</v>
      </c>
      <c r="AJ147" s="12">
        <f t="shared" si="42"/>
        <v>100</v>
      </c>
      <c r="AK147" s="12">
        <f t="shared" ref="AK147:BE147" si="43" xml:space="preserve"> AK$141</f>
        <v>100</v>
      </c>
      <c r="AL147" s="12">
        <f t="shared" si="43"/>
        <v>100</v>
      </c>
      <c r="AM147" s="12">
        <f t="shared" si="43"/>
        <v>100</v>
      </c>
      <c r="AN147" s="12">
        <f t="shared" si="43"/>
        <v>0</v>
      </c>
      <c r="AO147" s="12">
        <f t="shared" si="43"/>
        <v>0</v>
      </c>
      <c r="AP147" s="12">
        <f t="shared" si="43"/>
        <v>0</v>
      </c>
      <c r="AQ147" s="12">
        <f t="shared" si="43"/>
        <v>0</v>
      </c>
      <c r="AR147" s="12">
        <f t="shared" si="43"/>
        <v>0</v>
      </c>
      <c r="AS147" s="12">
        <f t="shared" si="43"/>
        <v>0</v>
      </c>
      <c r="AT147" s="12">
        <f t="shared" si="43"/>
        <v>0</v>
      </c>
      <c r="AU147" s="12">
        <f t="shared" si="43"/>
        <v>0</v>
      </c>
      <c r="AV147" s="12">
        <f t="shared" si="43"/>
        <v>0</v>
      </c>
      <c r="AW147" s="12">
        <f t="shared" si="43"/>
        <v>0</v>
      </c>
      <c r="AX147" s="12">
        <f t="shared" si="43"/>
        <v>0</v>
      </c>
      <c r="AY147" s="12">
        <f t="shared" si="43"/>
        <v>0</v>
      </c>
      <c r="AZ147" s="12">
        <f t="shared" si="43"/>
        <v>0</v>
      </c>
      <c r="BA147" s="12">
        <f t="shared" si="43"/>
        <v>0</v>
      </c>
      <c r="BB147" s="12">
        <f t="shared" si="43"/>
        <v>0</v>
      </c>
      <c r="BC147" s="12">
        <f t="shared" si="43"/>
        <v>0</v>
      </c>
      <c r="BD147" s="12">
        <f t="shared" si="43"/>
        <v>0</v>
      </c>
      <c r="BE147" s="12">
        <f t="shared" si="43"/>
        <v>0</v>
      </c>
    </row>
    <row r="148" spans="1:192" hidden="1" outlineLevel="1" x14ac:dyDescent="0.2">
      <c r="E148" s="186" t="str">
        <f xml:space="preserve"> ConTime!E$82</f>
        <v>Construction period flag</v>
      </c>
      <c r="F148" s="186">
        <f xml:space="preserve"> ConTime!F$82</f>
        <v>0</v>
      </c>
      <c r="G148" s="186" t="str">
        <f xml:space="preserve"> ConTime!G$82</f>
        <v>flag</v>
      </c>
      <c r="H148" s="186">
        <f xml:space="preserve"> ConTime!H$82</f>
        <v>26</v>
      </c>
      <c r="I148" s="186">
        <f xml:space="preserve"> ConTime!I$82</f>
        <v>0</v>
      </c>
      <c r="J148" s="186">
        <f xml:space="preserve"> ConTime!J$82</f>
        <v>0</v>
      </c>
      <c r="K148" s="186">
        <f xml:space="preserve"> ConTime!K$82</f>
        <v>0</v>
      </c>
      <c r="L148" s="186">
        <f xml:space="preserve"> ConTime!L$82</f>
        <v>0</v>
      </c>
      <c r="M148" s="186">
        <f xml:space="preserve"> ConTime!M$82</f>
        <v>0</v>
      </c>
      <c r="N148" s="186">
        <f xml:space="preserve"> ConTime!N$82</f>
        <v>1</v>
      </c>
      <c r="O148" s="186">
        <f xml:space="preserve"> ConTime!O$82</f>
        <v>1</v>
      </c>
      <c r="P148" s="186">
        <f xml:space="preserve"> ConTime!P$82</f>
        <v>1</v>
      </c>
      <c r="Q148" s="186">
        <f xml:space="preserve"> ConTime!Q$82</f>
        <v>1</v>
      </c>
      <c r="R148" s="186">
        <f xml:space="preserve"> ConTime!R$82</f>
        <v>1</v>
      </c>
      <c r="S148" s="186">
        <f xml:space="preserve"> ConTime!S$82</f>
        <v>1</v>
      </c>
      <c r="T148" s="186">
        <f xml:space="preserve"> ConTime!T$82</f>
        <v>1</v>
      </c>
      <c r="U148" s="186">
        <f xml:space="preserve"> ConTime!U$82</f>
        <v>1</v>
      </c>
      <c r="V148" s="186">
        <f xml:space="preserve"> ConTime!V$82</f>
        <v>1</v>
      </c>
      <c r="W148" s="186">
        <f xml:space="preserve"> ConTime!W$82</f>
        <v>1</v>
      </c>
      <c r="X148" s="186">
        <f xml:space="preserve"> ConTime!X$82</f>
        <v>1</v>
      </c>
      <c r="Y148" s="186">
        <f xml:space="preserve"> ConTime!Y$82</f>
        <v>1</v>
      </c>
      <c r="Z148" s="186">
        <f xml:space="preserve"> ConTime!Z$82</f>
        <v>1</v>
      </c>
      <c r="AA148" s="186">
        <f xml:space="preserve"> ConTime!AA$82</f>
        <v>1</v>
      </c>
      <c r="AB148" s="186">
        <f xml:space="preserve"> ConTime!AB$82</f>
        <v>1</v>
      </c>
      <c r="AC148" s="186">
        <f xml:space="preserve"> ConTime!AC$82</f>
        <v>1</v>
      </c>
      <c r="AD148" s="186">
        <f xml:space="preserve"> ConTime!AD$82</f>
        <v>1</v>
      </c>
      <c r="AE148" s="186">
        <f xml:space="preserve"> ConTime!AE$82</f>
        <v>1</v>
      </c>
      <c r="AF148" s="186">
        <f xml:space="preserve"> ConTime!AF$82</f>
        <v>1</v>
      </c>
      <c r="AG148" s="186">
        <f xml:space="preserve"> ConTime!AG$82</f>
        <v>1</v>
      </c>
      <c r="AH148" s="186">
        <f xml:space="preserve"> ConTime!AH$82</f>
        <v>1</v>
      </c>
      <c r="AI148" s="186">
        <f xml:space="preserve"> ConTime!AI$82</f>
        <v>1</v>
      </c>
      <c r="AJ148" s="186">
        <f xml:space="preserve"> ConTime!AJ$82</f>
        <v>1</v>
      </c>
      <c r="AK148" s="186">
        <f xml:space="preserve"> ConTime!AK$82</f>
        <v>1</v>
      </c>
      <c r="AL148" s="186">
        <f xml:space="preserve"> ConTime!AL$82</f>
        <v>1</v>
      </c>
      <c r="AM148" s="186">
        <f xml:space="preserve"> ConTime!AM$82</f>
        <v>1</v>
      </c>
      <c r="AN148" s="186">
        <f xml:space="preserve"> ConTime!AN$82</f>
        <v>0</v>
      </c>
      <c r="AO148" s="186">
        <f xml:space="preserve"> ConTime!AO$82</f>
        <v>0</v>
      </c>
      <c r="AP148" s="186">
        <f xml:space="preserve"> ConTime!AP$82</f>
        <v>0</v>
      </c>
      <c r="AQ148" s="186">
        <f xml:space="preserve"> ConTime!AQ$82</f>
        <v>0</v>
      </c>
      <c r="AR148" s="186">
        <f xml:space="preserve"> ConTime!AR$82</f>
        <v>0</v>
      </c>
      <c r="AS148" s="186">
        <f xml:space="preserve"> ConTime!AS$82</f>
        <v>0</v>
      </c>
      <c r="AT148" s="186">
        <f xml:space="preserve"> ConTime!AT$82</f>
        <v>0</v>
      </c>
      <c r="AU148" s="186">
        <f xml:space="preserve"> ConTime!AU$82</f>
        <v>0</v>
      </c>
      <c r="AV148" s="186">
        <f xml:space="preserve"> ConTime!AV$82</f>
        <v>0</v>
      </c>
      <c r="AW148" s="186">
        <f xml:space="preserve"> ConTime!AW$82</f>
        <v>0</v>
      </c>
      <c r="AX148" s="186">
        <f xml:space="preserve"> ConTime!AX$82</f>
        <v>0</v>
      </c>
      <c r="AY148" s="186">
        <f xml:space="preserve"> ConTime!AY$82</f>
        <v>0</v>
      </c>
      <c r="AZ148" s="186">
        <f xml:space="preserve"> ConTime!AZ$82</f>
        <v>0</v>
      </c>
      <c r="BA148" s="186">
        <f xml:space="preserve"> ConTime!BA$82</f>
        <v>0</v>
      </c>
      <c r="BB148" s="186">
        <f xml:space="preserve"> ConTime!BB$82</f>
        <v>0</v>
      </c>
      <c r="BC148" s="186">
        <f xml:space="preserve"> ConTime!BC$82</f>
        <v>0</v>
      </c>
      <c r="BD148" s="186">
        <f xml:space="preserve"> ConTime!BD$82</f>
        <v>0</v>
      </c>
      <c r="BE148" s="186">
        <f xml:space="preserve"> ConTime!BE$82</f>
        <v>0</v>
      </c>
    </row>
    <row r="149" spans="1:192" hidden="1" outlineLevel="1" x14ac:dyDescent="0.2">
      <c r="E149" s="703" t="s">
        <v>736</v>
      </c>
      <c r="F149" s="703"/>
      <c r="G149" s="703" t="str">
        <f xml:space="preserve"> SMU</f>
        <v>$ 000s</v>
      </c>
      <c r="H149" s="703">
        <f xml:space="preserve"> SUM(J149:BE149)</f>
        <v>13930</v>
      </c>
      <c r="I149" s="703"/>
      <c r="J149" s="703">
        <f t="shared" ref="J149:BE149" si="44" xml:space="preserve"> $F146 / $F143 * $F145 * J147 / $F144 * J148</f>
        <v>0</v>
      </c>
      <c r="K149" s="703">
        <f t="shared" si="44"/>
        <v>0</v>
      </c>
      <c r="L149" s="703">
        <f t="shared" si="44"/>
        <v>0</v>
      </c>
      <c r="M149" s="703">
        <f t="shared" si="44"/>
        <v>0</v>
      </c>
      <c r="N149" s="703">
        <f t="shared" si="44"/>
        <v>0</v>
      </c>
      <c r="O149" s="703">
        <f t="shared" si="44"/>
        <v>0</v>
      </c>
      <c r="P149" s="703">
        <f t="shared" si="44"/>
        <v>0</v>
      </c>
      <c r="Q149" s="703">
        <f t="shared" si="44"/>
        <v>0</v>
      </c>
      <c r="R149" s="703">
        <f t="shared" si="44"/>
        <v>0</v>
      </c>
      <c r="S149" s="703">
        <f t="shared" si="44"/>
        <v>0</v>
      </c>
      <c r="T149" s="703">
        <f t="shared" si="44"/>
        <v>0</v>
      </c>
      <c r="U149" s="703">
        <f t="shared" si="44"/>
        <v>0</v>
      </c>
      <c r="V149" s="703">
        <f t="shared" si="44"/>
        <v>0</v>
      </c>
      <c r="W149" s="703">
        <f t="shared" si="44"/>
        <v>0</v>
      </c>
      <c r="X149" s="703">
        <f t="shared" si="44"/>
        <v>0</v>
      </c>
      <c r="Y149" s="703">
        <f t="shared" si="44"/>
        <v>0</v>
      </c>
      <c r="Z149" s="703">
        <f t="shared" si="44"/>
        <v>0</v>
      </c>
      <c r="AA149" s="703">
        <f t="shared" si="44"/>
        <v>0</v>
      </c>
      <c r="AB149" s="703">
        <f t="shared" si="44"/>
        <v>0</v>
      </c>
      <c r="AC149" s="703">
        <f t="shared" si="44"/>
        <v>0</v>
      </c>
      <c r="AD149" s="703">
        <f t="shared" si="44"/>
        <v>0</v>
      </c>
      <c r="AE149" s="703">
        <f t="shared" si="44"/>
        <v>0</v>
      </c>
      <c r="AF149" s="703">
        <f t="shared" si="44"/>
        <v>0</v>
      </c>
      <c r="AG149" s="703">
        <f t="shared" si="44"/>
        <v>1990</v>
      </c>
      <c r="AH149" s="703">
        <f t="shared" si="44"/>
        <v>1990</v>
      </c>
      <c r="AI149" s="703">
        <f t="shared" si="44"/>
        <v>1990</v>
      </c>
      <c r="AJ149" s="703">
        <f t="shared" si="44"/>
        <v>1990</v>
      </c>
      <c r="AK149" s="703">
        <f t="shared" si="44"/>
        <v>1990</v>
      </c>
      <c r="AL149" s="703">
        <f t="shared" si="44"/>
        <v>1990</v>
      </c>
      <c r="AM149" s="703">
        <f t="shared" si="44"/>
        <v>1990</v>
      </c>
      <c r="AN149" s="703">
        <f t="shared" si="44"/>
        <v>0</v>
      </c>
      <c r="AO149" s="703">
        <f t="shared" si="44"/>
        <v>0</v>
      </c>
      <c r="AP149" s="703">
        <f t="shared" si="44"/>
        <v>0</v>
      </c>
      <c r="AQ149" s="703">
        <f t="shared" si="44"/>
        <v>0</v>
      </c>
      <c r="AR149" s="703">
        <f t="shared" si="44"/>
        <v>0</v>
      </c>
      <c r="AS149" s="703">
        <f t="shared" si="44"/>
        <v>0</v>
      </c>
      <c r="AT149" s="703">
        <f t="shared" si="44"/>
        <v>0</v>
      </c>
      <c r="AU149" s="703">
        <f t="shared" si="44"/>
        <v>0</v>
      </c>
      <c r="AV149" s="703">
        <f t="shared" si="44"/>
        <v>0</v>
      </c>
      <c r="AW149" s="703">
        <f t="shared" si="44"/>
        <v>0</v>
      </c>
      <c r="AX149" s="703">
        <f t="shared" si="44"/>
        <v>0</v>
      </c>
      <c r="AY149" s="703">
        <f t="shared" si="44"/>
        <v>0</v>
      </c>
      <c r="AZ149" s="703">
        <f t="shared" si="44"/>
        <v>0</v>
      </c>
      <c r="BA149" s="703">
        <f t="shared" si="44"/>
        <v>0</v>
      </c>
      <c r="BB149" s="703">
        <f t="shared" si="44"/>
        <v>0</v>
      </c>
      <c r="BC149" s="703">
        <f t="shared" si="44"/>
        <v>0</v>
      </c>
      <c r="BD149" s="703">
        <f t="shared" si="44"/>
        <v>0</v>
      </c>
      <c r="BE149" s="703">
        <f t="shared" si="44"/>
        <v>0</v>
      </c>
    </row>
    <row r="150" spans="1:192" hidden="1" outlineLevel="1" x14ac:dyDescent="0.2">
      <c r="E150" s="703"/>
      <c r="F150" s="703"/>
      <c r="G150" s="703"/>
      <c r="H150" s="703"/>
      <c r="I150" s="703"/>
      <c r="J150" s="703"/>
      <c r="K150" s="703"/>
      <c r="L150" s="703"/>
      <c r="M150" s="703"/>
      <c r="N150" s="703"/>
      <c r="O150" s="703"/>
      <c r="P150" s="703"/>
      <c r="Q150" s="703"/>
      <c r="R150" s="703"/>
      <c r="S150" s="703"/>
      <c r="T150" s="703"/>
      <c r="U150" s="703"/>
      <c r="V150" s="703"/>
      <c r="W150" s="703"/>
      <c r="X150" s="703"/>
      <c r="Y150" s="703"/>
      <c r="Z150" s="703"/>
      <c r="AA150" s="703"/>
      <c r="AB150" s="703"/>
      <c r="AC150" s="703"/>
      <c r="AD150" s="703"/>
      <c r="AE150" s="703"/>
      <c r="AF150" s="703"/>
      <c r="AG150" s="703"/>
      <c r="AH150" s="703"/>
      <c r="AI150" s="703"/>
      <c r="AJ150" s="703"/>
      <c r="AK150" s="703"/>
      <c r="AL150" s="703"/>
      <c r="AM150" s="703"/>
      <c r="AN150" s="703"/>
      <c r="AO150" s="703"/>
      <c r="AP150" s="703"/>
      <c r="AQ150" s="703"/>
      <c r="AR150" s="703"/>
      <c r="AS150" s="703"/>
      <c r="AT150" s="703"/>
      <c r="AU150" s="703"/>
      <c r="AV150" s="703"/>
      <c r="AW150" s="703"/>
      <c r="AX150" s="703"/>
      <c r="AY150" s="703"/>
      <c r="AZ150" s="703"/>
      <c r="BA150" s="703"/>
      <c r="BB150" s="703"/>
      <c r="BC150" s="703"/>
      <c r="BD150" s="703"/>
      <c r="BE150" s="703"/>
    </row>
    <row r="151" spans="1:192" hidden="1" outlineLevel="1" x14ac:dyDescent="0.2">
      <c r="E151" s="902" t="str">
        <f xml:space="preserve"> InpC!E$384</f>
        <v>Accounts receivable days - EGR period</v>
      </c>
      <c r="F151" s="902">
        <f xml:space="preserve"> InpC!F$384</f>
        <v>1</v>
      </c>
      <c r="G151" s="902" t="str">
        <f xml:space="preserve"> InpC!G$384</f>
        <v>months</v>
      </c>
      <c r="H151" s="703"/>
      <c r="I151" s="703"/>
      <c r="J151" s="703"/>
      <c r="K151" s="703"/>
      <c r="L151" s="703"/>
      <c r="M151" s="703"/>
      <c r="N151" s="703"/>
      <c r="O151" s="703"/>
      <c r="P151" s="703"/>
      <c r="Q151" s="703"/>
      <c r="R151" s="703"/>
      <c r="S151" s="703"/>
      <c r="T151" s="703"/>
      <c r="U151" s="703"/>
      <c r="V151" s="703"/>
      <c r="W151" s="703"/>
      <c r="X151" s="703"/>
      <c r="Y151" s="703"/>
      <c r="Z151" s="703"/>
      <c r="AA151" s="703"/>
      <c r="AB151" s="703"/>
      <c r="AC151" s="703"/>
      <c r="AD151" s="703"/>
      <c r="AE151" s="703"/>
      <c r="AF151" s="703"/>
      <c r="AG151" s="703"/>
      <c r="AH151" s="703"/>
      <c r="AI151" s="703"/>
      <c r="AJ151" s="703"/>
      <c r="AK151" s="703"/>
      <c r="AL151" s="703"/>
      <c r="AM151" s="703"/>
      <c r="AN151" s="703"/>
      <c r="AO151" s="703"/>
      <c r="AP151" s="703"/>
      <c r="AQ151" s="703"/>
      <c r="AR151" s="703"/>
      <c r="AS151" s="703"/>
      <c r="AT151" s="703"/>
      <c r="AU151" s="703"/>
      <c r="AV151" s="703"/>
      <c r="AW151" s="703"/>
      <c r="AX151" s="703"/>
      <c r="AY151" s="703"/>
      <c r="AZ151" s="703"/>
      <c r="BA151" s="703"/>
      <c r="BB151" s="703"/>
      <c r="BC151" s="703"/>
      <c r="BD151" s="703"/>
      <c r="BE151" s="703"/>
    </row>
    <row r="152" spans="1:192" hidden="1" outlineLevel="1" x14ac:dyDescent="0.2">
      <c r="E152" s="903" t="str">
        <f xml:space="preserve"> ConTime!E$10</f>
        <v>Model column counter</v>
      </c>
      <c r="F152" s="903">
        <f xml:space="preserve"> ConTime!F$10</f>
        <v>0</v>
      </c>
      <c r="G152" s="903" t="str">
        <f xml:space="preserve"> ConTime!G$10</f>
        <v>counter</v>
      </c>
      <c r="H152" s="903">
        <f xml:space="preserve"> ConTime!H$10</f>
        <v>0</v>
      </c>
      <c r="I152" s="903">
        <f xml:space="preserve"> ConTime!I$10</f>
        <v>0</v>
      </c>
      <c r="J152" s="903">
        <f xml:space="preserve"> ConTime!J$10</f>
        <v>1</v>
      </c>
      <c r="K152" s="903">
        <f xml:space="preserve"> ConTime!K$10</f>
        <v>2</v>
      </c>
      <c r="L152" s="903">
        <f xml:space="preserve"> ConTime!L$10</f>
        <v>3</v>
      </c>
      <c r="M152" s="903">
        <f xml:space="preserve"> ConTime!M$10</f>
        <v>4</v>
      </c>
      <c r="N152" s="903">
        <f xml:space="preserve"> ConTime!N$10</f>
        <v>5</v>
      </c>
      <c r="O152" s="903">
        <f xml:space="preserve"> ConTime!O$10</f>
        <v>6</v>
      </c>
      <c r="P152" s="903">
        <f xml:space="preserve"> ConTime!P$10</f>
        <v>7</v>
      </c>
      <c r="Q152" s="903">
        <f xml:space="preserve"> ConTime!Q$10</f>
        <v>8</v>
      </c>
      <c r="R152" s="903">
        <f xml:space="preserve"> ConTime!R$10</f>
        <v>9</v>
      </c>
      <c r="S152" s="903">
        <f xml:space="preserve"> ConTime!S$10</f>
        <v>10</v>
      </c>
      <c r="T152" s="903">
        <f xml:space="preserve"> ConTime!T$10</f>
        <v>11</v>
      </c>
      <c r="U152" s="903">
        <f xml:space="preserve"> ConTime!U$10</f>
        <v>12</v>
      </c>
      <c r="V152" s="903">
        <f xml:space="preserve"> ConTime!V$10</f>
        <v>13</v>
      </c>
      <c r="W152" s="903">
        <f xml:space="preserve"> ConTime!W$10</f>
        <v>14</v>
      </c>
      <c r="X152" s="903">
        <f xml:space="preserve"> ConTime!X$10</f>
        <v>15</v>
      </c>
      <c r="Y152" s="903">
        <f xml:space="preserve"> ConTime!Y$10</f>
        <v>16</v>
      </c>
      <c r="Z152" s="903">
        <f xml:space="preserve"> ConTime!Z$10</f>
        <v>17</v>
      </c>
      <c r="AA152" s="903">
        <f xml:space="preserve"> ConTime!AA$10</f>
        <v>18</v>
      </c>
      <c r="AB152" s="903">
        <f xml:space="preserve"> ConTime!AB$10</f>
        <v>19</v>
      </c>
      <c r="AC152" s="903">
        <f xml:space="preserve"> ConTime!AC$10</f>
        <v>20</v>
      </c>
      <c r="AD152" s="903">
        <f xml:space="preserve"> ConTime!AD$10</f>
        <v>21</v>
      </c>
      <c r="AE152" s="903">
        <f xml:space="preserve"> ConTime!AE$10</f>
        <v>22</v>
      </c>
      <c r="AF152" s="903">
        <f xml:space="preserve"> ConTime!AF$10</f>
        <v>23</v>
      </c>
      <c r="AG152" s="903">
        <f xml:space="preserve"> ConTime!AG$10</f>
        <v>24</v>
      </c>
      <c r="AH152" s="903">
        <f xml:space="preserve"> ConTime!AH$10</f>
        <v>25</v>
      </c>
      <c r="AI152" s="903">
        <f xml:space="preserve"> ConTime!AI$10</f>
        <v>26</v>
      </c>
      <c r="AJ152" s="903">
        <f xml:space="preserve"> ConTime!AJ$10</f>
        <v>27</v>
      </c>
      <c r="AK152" s="903">
        <f xml:space="preserve"> ConTime!AK$10</f>
        <v>28</v>
      </c>
      <c r="AL152" s="903">
        <f xml:space="preserve"> ConTime!AL$10</f>
        <v>29</v>
      </c>
      <c r="AM152" s="903">
        <f xml:space="preserve"> ConTime!AM$10</f>
        <v>30</v>
      </c>
      <c r="AN152" s="903">
        <f xml:space="preserve"> ConTime!AN$10</f>
        <v>31</v>
      </c>
      <c r="AO152" s="903">
        <f xml:space="preserve"> ConTime!AO$10</f>
        <v>32</v>
      </c>
      <c r="AP152" s="903">
        <f xml:space="preserve"> ConTime!AP$10</f>
        <v>33</v>
      </c>
      <c r="AQ152" s="903">
        <f xml:space="preserve"> ConTime!AQ$10</f>
        <v>34</v>
      </c>
      <c r="AR152" s="903">
        <f xml:space="preserve"> ConTime!AR$10</f>
        <v>35</v>
      </c>
      <c r="AS152" s="903">
        <f xml:space="preserve"> ConTime!AS$10</f>
        <v>36</v>
      </c>
      <c r="AT152" s="903">
        <f xml:space="preserve"> ConTime!AT$10</f>
        <v>37</v>
      </c>
      <c r="AU152" s="903">
        <f xml:space="preserve"> ConTime!AU$10</f>
        <v>38</v>
      </c>
      <c r="AV152" s="903">
        <f xml:space="preserve"> ConTime!AV$10</f>
        <v>39</v>
      </c>
      <c r="AW152" s="903">
        <f xml:space="preserve"> ConTime!AW$10</f>
        <v>40</v>
      </c>
      <c r="AX152" s="903">
        <f xml:space="preserve"> ConTime!AX$10</f>
        <v>41</v>
      </c>
      <c r="AY152" s="903">
        <f xml:space="preserve"> ConTime!AY$10</f>
        <v>42</v>
      </c>
      <c r="AZ152" s="903">
        <f xml:space="preserve"> ConTime!AZ$10</f>
        <v>43</v>
      </c>
      <c r="BA152" s="903">
        <f xml:space="preserve"> ConTime!BA$10</f>
        <v>44</v>
      </c>
      <c r="BB152" s="903">
        <f xml:space="preserve"> ConTime!BB$10</f>
        <v>45</v>
      </c>
      <c r="BC152" s="903">
        <f xml:space="preserve"> ConTime!BC$10</f>
        <v>46</v>
      </c>
      <c r="BD152" s="903">
        <f xml:space="preserve"> ConTime!BD$10</f>
        <v>47</v>
      </c>
      <c r="BE152" s="903">
        <f xml:space="preserve"> ConTime!BE$10</f>
        <v>48</v>
      </c>
    </row>
    <row r="153" spans="1:192" hidden="1" outlineLevel="1" x14ac:dyDescent="0.2">
      <c r="E153" s="526" t="str">
        <f t="shared" ref="E153:AJ153" si="45" xml:space="preserve"> E$149</f>
        <v>Electricity generation revenue accrued - m</v>
      </c>
      <c r="F153" s="526">
        <f t="shared" si="45"/>
        <v>0</v>
      </c>
      <c r="G153" s="526" t="str">
        <f t="shared" si="45"/>
        <v>$ 000s</v>
      </c>
      <c r="H153" s="526">
        <f t="shared" si="45"/>
        <v>13930</v>
      </c>
      <c r="I153" s="526">
        <f t="shared" si="45"/>
        <v>0</v>
      </c>
      <c r="J153" s="526">
        <f t="shared" si="45"/>
        <v>0</v>
      </c>
      <c r="K153" s="526">
        <f t="shared" si="45"/>
        <v>0</v>
      </c>
      <c r="L153" s="526">
        <f t="shared" si="45"/>
        <v>0</v>
      </c>
      <c r="M153" s="526">
        <f t="shared" si="45"/>
        <v>0</v>
      </c>
      <c r="N153" s="526">
        <f t="shared" si="45"/>
        <v>0</v>
      </c>
      <c r="O153" s="526">
        <f t="shared" si="45"/>
        <v>0</v>
      </c>
      <c r="P153" s="526">
        <f t="shared" si="45"/>
        <v>0</v>
      </c>
      <c r="Q153" s="526">
        <f t="shared" si="45"/>
        <v>0</v>
      </c>
      <c r="R153" s="526">
        <f t="shared" si="45"/>
        <v>0</v>
      </c>
      <c r="S153" s="526">
        <f t="shared" si="45"/>
        <v>0</v>
      </c>
      <c r="T153" s="526">
        <f t="shared" si="45"/>
        <v>0</v>
      </c>
      <c r="U153" s="526">
        <f t="shared" si="45"/>
        <v>0</v>
      </c>
      <c r="V153" s="526">
        <f t="shared" si="45"/>
        <v>0</v>
      </c>
      <c r="W153" s="526">
        <f t="shared" si="45"/>
        <v>0</v>
      </c>
      <c r="X153" s="526">
        <f t="shared" si="45"/>
        <v>0</v>
      </c>
      <c r="Y153" s="526">
        <f t="shared" si="45"/>
        <v>0</v>
      </c>
      <c r="Z153" s="526">
        <f t="shared" si="45"/>
        <v>0</v>
      </c>
      <c r="AA153" s="526">
        <f t="shared" si="45"/>
        <v>0</v>
      </c>
      <c r="AB153" s="526">
        <f t="shared" si="45"/>
        <v>0</v>
      </c>
      <c r="AC153" s="526">
        <f t="shared" si="45"/>
        <v>0</v>
      </c>
      <c r="AD153" s="526">
        <f t="shared" si="45"/>
        <v>0</v>
      </c>
      <c r="AE153" s="526">
        <f t="shared" si="45"/>
        <v>0</v>
      </c>
      <c r="AF153" s="526">
        <f t="shared" si="45"/>
        <v>0</v>
      </c>
      <c r="AG153" s="526">
        <f t="shared" si="45"/>
        <v>1990</v>
      </c>
      <c r="AH153" s="526">
        <f t="shared" si="45"/>
        <v>1990</v>
      </c>
      <c r="AI153" s="526">
        <f t="shared" si="45"/>
        <v>1990</v>
      </c>
      <c r="AJ153" s="526">
        <f t="shared" si="45"/>
        <v>1990</v>
      </c>
      <c r="AK153" s="526">
        <f t="shared" ref="AK153:BE153" si="46" xml:space="preserve"> AK$149</f>
        <v>1990</v>
      </c>
      <c r="AL153" s="526">
        <f t="shared" si="46"/>
        <v>1990</v>
      </c>
      <c r="AM153" s="526">
        <f t="shared" si="46"/>
        <v>1990</v>
      </c>
      <c r="AN153" s="526">
        <f t="shared" si="46"/>
        <v>0</v>
      </c>
      <c r="AO153" s="526">
        <f t="shared" si="46"/>
        <v>0</v>
      </c>
      <c r="AP153" s="526">
        <f t="shared" si="46"/>
        <v>0</v>
      </c>
      <c r="AQ153" s="526">
        <f t="shared" si="46"/>
        <v>0</v>
      </c>
      <c r="AR153" s="526">
        <f t="shared" si="46"/>
        <v>0</v>
      </c>
      <c r="AS153" s="526">
        <f t="shared" si="46"/>
        <v>0</v>
      </c>
      <c r="AT153" s="526">
        <f t="shared" si="46"/>
        <v>0</v>
      </c>
      <c r="AU153" s="526">
        <f t="shared" si="46"/>
        <v>0</v>
      </c>
      <c r="AV153" s="526">
        <f t="shared" si="46"/>
        <v>0</v>
      </c>
      <c r="AW153" s="526">
        <f t="shared" si="46"/>
        <v>0</v>
      </c>
      <c r="AX153" s="526">
        <f t="shared" si="46"/>
        <v>0</v>
      </c>
      <c r="AY153" s="526">
        <f t="shared" si="46"/>
        <v>0</v>
      </c>
      <c r="AZ153" s="526">
        <f t="shared" si="46"/>
        <v>0</v>
      </c>
      <c r="BA153" s="526">
        <f t="shared" si="46"/>
        <v>0</v>
      </c>
      <c r="BB153" s="526">
        <f t="shared" si="46"/>
        <v>0</v>
      </c>
      <c r="BC153" s="526">
        <f t="shared" si="46"/>
        <v>0</v>
      </c>
      <c r="BD153" s="526">
        <f t="shared" si="46"/>
        <v>0</v>
      </c>
      <c r="BE153" s="526">
        <f t="shared" si="46"/>
        <v>0</v>
      </c>
    </row>
    <row r="154" spans="1:192" s="191" customFormat="1" hidden="1" outlineLevel="1" x14ac:dyDescent="0.2">
      <c r="A154" s="236"/>
      <c r="B154" s="236"/>
      <c r="C154" s="237"/>
      <c r="D154" s="238"/>
      <c r="E154" s="234" t="s">
        <v>734</v>
      </c>
      <c r="F154" s="234"/>
      <c r="G154" s="234" t="str">
        <f xml:space="preserve"> SMU</f>
        <v>$ 000s</v>
      </c>
      <c r="H154" s="234">
        <f xml:space="preserve"> SUM(J154:BE154)</f>
        <v>13930</v>
      </c>
      <c r="I154" s="234"/>
      <c r="J154" s="234">
        <f xml:space="preserve"> SUMIF($J152:J152, J152 - $F151, $J153:J153)</f>
        <v>0</v>
      </c>
      <c r="K154" s="234">
        <f xml:space="preserve"> SUMIF($J152:K152, K152 - $F151, $J153:K153)</f>
        <v>0</v>
      </c>
      <c r="L154" s="234">
        <f xml:space="preserve"> SUMIF($J152:L152, L152 - $F151, $J153:L153)</f>
        <v>0</v>
      </c>
      <c r="M154" s="234">
        <f xml:space="preserve"> SUMIF($J152:M152, M152 - $F151, $J153:M153)</f>
        <v>0</v>
      </c>
      <c r="N154" s="234">
        <f xml:space="preserve"> SUMIF($J152:N152, N152 - $F151, $J153:N153)</f>
        <v>0</v>
      </c>
      <c r="O154" s="234">
        <f xml:space="preserve"> SUMIF($J152:O152, O152 - $F151, $J153:O153)</f>
        <v>0</v>
      </c>
      <c r="P154" s="234">
        <f xml:space="preserve"> SUMIF($J152:P152, P152 - $F151, $J153:P153)</f>
        <v>0</v>
      </c>
      <c r="Q154" s="234">
        <f xml:space="preserve"> SUMIF($J152:Q152, Q152 - $F151, $J153:Q153)</f>
        <v>0</v>
      </c>
      <c r="R154" s="234">
        <f xml:space="preserve"> SUMIF($J152:R152, R152 - $F151, $J153:R153)</f>
        <v>0</v>
      </c>
      <c r="S154" s="234">
        <f xml:space="preserve"> SUMIF($J152:S152, S152 - $F151, $J153:S153)</f>
        <v>0</v>
      </c>
      <c r="T154" s="234">
        <f xml:space="preserve"> SUMIF($J152:T152, T152 - $F151, $J153:T153)</f>
        <v>0</v>
      </c>
      <c r="U154" s="234">
        <f xml:space="preserve"> SUMIF($J152:U152, U152 - $F151, $J153:U153)</f>
        <v>0</v>
      </c>
      <c r="V154" s="234">
        <f xml:space="preserve"> SUMIF($J152:V152, V152 - $F151, $J153:V153)</f>
        <v>0</v>
      </c>
      <c r="W154" s="234">
        <f xml:space="preserve"> SUMIF($J152:W152, W152 - $F151, $J153:W153)</f>
        <v>0</v>
      </c>
      <c r="X154" s="234">
        <f xml:space="preserve"> SUMIF($J152:X152, X152 - $F151, $J153:X153)</f>
        <v>0</v>
      </c>
      <c r="Y154" s="234">
        <f xml:space="preserve"> SUMIF($J152:Y152, Y152 - $F151, $J153:Y153)</f>
        <v>0</v>
      </c>
      <c r="Z154" s="234">
        <f xml:space="preserve"> SUMIF($J152:Z152, Z152 - $F151, $J153:Z153)</f>
        <v>0</v>
      </c>
      <c r="AA154" s="234">
        <f xml:space="preserve"> SUMIF($J152:AA152, AA152 - $F151, $J153:AA153)</f>
        <v>0</v>
      </c>
      <c r="AB154" s="234">
        <f xml:space="preserve"> SUMIF($J152:AB152, AB152 - $F151, $J153:AB153)</f>
        <v>0</v>
      </c>
      <c r="AC154" s="234">
        <f xml:space="preserve"> SUMIF($J152:AC152, AC152 - $F151, $J153:AC153)</f>
        <v>0</v>
      </c>
      <c r="AD154" s="234">
        <f xml:space="preserve"> SUMIF($J152:AD152, AD152 - $F151, $J153:AD153)</f>
        <v>0</v>
      </c>
      <c r="AE154" s="234">
        <f xml:space="preserve"> SUMIF($J152:AE152, AE152 - $F151, $J153:AE153)</f>
        <v>0</v>
      </c>
      <c r="AF154" s="234">
        <f xml:space="preserve"> SUMIF($J152:AF152, AF152 - $F151, $J153:AF153)</f>
        <v>0</v>
      </c>
      <c r="AG154" s="234">
        <f xml:space="preserve"> SUMIF($J152:AG152, AG152 - $F151, $J153:AG153)</f>
        <v>0</v>
      </c>
      <c r="AH154" s="234">
        <f xml:space="preserve"> SUMIF($J152:AH152, AH152 - $F151, $J153:AH153)</f>
        <v>1990</v>
      </c>
      <c r="AI154" s="234">
        <f xml:space="preserve"> SUMIF($J152:AI152, AI152 - $F151, $J153:AI153)</f>
        <v>1990</v>
      </c>
      <c r="AJ154" s="234">
        <f xml:space="preserve"> SUMIF($J152:AJ152, AJ152 - $F151, $J153:AJ153)</f>
        <v>1990</v>
      </c>
      <c r="AK154" s="234">
        <f xml:space="preserve"> SUMIF($J152:AK152, AK152 - $F151, $J153:AK153)</f>
        <v>1990</v>
      </c>
      <c r="AL154" s="234">
        <f xml:space="preserve"> SUMIF($J152:AL152, AL152 - $F151, $J153:AL153)</f>
        <v>1990</v>
      </c>
      <c r="AM154" s="234">
        <f xml:space="preserve"> SUMIF($J152:AM152, AM152 - $F151, $J153:AM153)</f>
        <v>1990</v>
      </c>
      <c r="AN154" s="234">
        <f xml:space="preserve"> SUMIF($J152:AN152, AN152 - $F151, $J153:AN153)</f>
        <v>1990</v>
      </c>
      <c r="AO154" s="234">
        <f xml:space="preserve"> SUMIF($J152:AO152, AO152 - $F151, $J153:AO153)</f>
        <v>0</v>
      </c>
      <c r="AP154" s="234">
        <f xml:space="preserve"> SUMIF($J152:AP152, AP152 - $F151, $J153:AP153)</f>
        <v>0</v>
      </c>
      <c r="AQ154" s="234">
        <f xml:space="preserve"> SUMIF($J152:AQ152, AQ152 - $F151, $J153:AQ153)</f>
        <v>0</v>
      </c>
      <c r="AR154" s="234">
        <f xml:space="preserve"> SUMIF($J152:AR152, AR152 - $F151, $J153:AR153)</f>
        <v>0</v>
      </c>
      <c r="AS154" s="234">
        <f xml:space="preserve"> SUMIF($J152:AS152, AS152 - $F151, $J153:AS153)</f>
        <v>0</v>
      </c>
      <c r="AT154" s="234">
        <f xml:space="preserve"> SUMIF($J152:AT152, AT152 - $F151, $J153:AT153)</f>
        <v>0</v>
      </c>
      <c r="AU154" s="234">
        <f xml:space="preserve"> SUMIF($J152:AU152, AU152 - $F151, $J153:AU153)</f>
        <v>0</v>
      </c>
      <c r="AV154" s="234">
        <f xml:space="preserve"> SUMIF($J152:AV152, AV152 - $F151, $J153:AV153)</f>
        <v>0</v>
      </c>
      <c r="AW154" s="234">
        <f xml:space="preserve"> SUMIF($J152:AW152, AW152 - $F151, $J153:AW153)</f>
        <v>0</v>
      </c>
      <c r="AX154" s="234">
        <f xml:space="preserve"> SUMIF($J152:AX152, AX152 - $F151, $J153:AX153)</f>
        <v>0</v>
      </c>
      <c r="AY154" s="234">
        <f xml:space="preserve"> SUMIF($J152:AY152, AY152 - $F151, $J153:AY153)</f>
        <v>0</v>
      </c>
      <c r="AZ154" s="234">
        <f xml:space="preserve"> SUMIF($J152:AZ152, AZ152 - $F151, $J153:AZ153)</f>
        <v>0</v>
      </c>
      <c r="BA154" s="234">
        <f xml:space="preserve"> SUMIF($J152:BA152, BA152 - $F151, $J153:BA153)</f>
        <v>0</v>
      </c>
      <c r="BB154" s="234">
        <f xml:space="preserve"> SUMIF($J152:BB152, BB152 - $F151, $J153:BB153)</f>
        <v>0</v>
      </c>
      <c r="BC154" s="234">
        <f xml:space="preserve"> SUMIF($J152:BC152, BC152 - $F151, $J153:BC153)</f>
        <v>0</v>
      </c>
      <c r="BD154" s="234">
        <f xml:space="preserve"> SUMIF($J152:BD152, BD152 - $F151, $J153:BD153)</f>
        <v>0</v>
      </c>
      <c r="BE154" s="234">
        <f xml:space="preserve"> SUMIF($J152:BE152, BE152 - $F151, $J153:BE153)</f>
        <v>0</v>
      </c>
    </row>
    <row r="155" spans="1:192" hidden="1" outlineLevel="1" x14ac:dyDescent="0.2"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6"/>
      <c r="AH155" s="186"/>
      <c r="AI155" s="186"/>
      <c r="AJ155" s="186"/>
      <c r="AK155" s="186"/>
      <c r="AL155" s="186"/>
      <c r="AM155" s="186"/>
      <c r="AN155" s="186"/>
      <c r="AO155" s="186"/>
      <c r="AP155" s="186"/>
      <c r="AQ155" s="186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86"/>
      <c r="BE155" s="186"/>
    </row>
    <row r="156" spans="1:192" hidden="1" outlineLevel="1" x14ac:dyDescent="0.2">
      <c r="E156" s="12" t="str">
        <f t="shared" ref="E156:AJ156" si="47" xml:space="preserve"> E$154</f>
        <v>Electricity generation revenue received - m</v>
      </c>
      <c r="F156" s="12">
        <f t="shared" si="47"/>
        <v>0</v>
      </c>
      <c r="G156" s="12" t="str">
        <f t="shared" si="47"/>
        <v>$ 000s</v>
      </c>
      <c r="H156" s="12">
        <f t="shared" si="47"/>
        <v>13930</v>
      </c>
      <c r="I156" s="12">
        <f t="shared" si="47"/>
        <v>0</v>
      </c>
      <c r="J156" s="12">
        <f t="shared" si="47"/>
        <v>0</v>
      </c>
      <c r="K156" s="12">
        <f t="shared" si="47"/>
        <v>0</v>
      </c>
      <c r="L156" s="12">
        <f t="shared" si="47"/>
        <v>0</v>
      </c>
      <c r="M156" s="12">
        <f t="shared" si="47"/>
        <v>0</v>
      </c>
      <c r="N156" s="12">
        <f t="shared" si="47"/>
        <v>0</v>
      </c>
      <c r="O156" s="12">
        <f t="shared" si="47"/>
        <v>0</v>
      </c>
      <c r="P156" s="12">
        <f t="shared" si="47"/>
        <v>0</v>
      </c>
      <c r="Q156" s="12">
        <f t="shared" si="47"/>
        <v>0</v>
      </c>
      <c r="R156" s="12">
        <f t="shared" si="47"/>
        <v>0</v>
      </c>
      <c r="S156" s="12">
        <f t="shared" si="47"/>
        <v>0</v>
      </c>
      <c r="T156" s="12">
        <f t="shared" si="47"/>
        <v>0</v>
      </c>
      <c r="U156" s="12">
        <f t="shared" si="47"/>
        <v>0</v>
      </c>
      <c r="V156" s="12">
        <f t="shared" si="47"/>
        <v>0</v>
      </c>
      <c r="W156" s="12">
        <f t="shared" si="47"/>
        <v>0</v>
      </c>
      <c r="X156" s="12">
        <f t="shared" si="47"/>
        <v>0</v>
      </c>
      <c r="Y156" s="12">
        <f t="shared" si="47"/>
        <v>0</v>
      </c>
      <c r="Z156" s="12">
        <f t="shared" si="47"/>
        <v>0</v>
      </c>
      <c r="AA156" s="12">
        <f t="shared" si="47"/>
        <v>0</v>
      </c>
      <c r="AB156" s="12">
        <f t="shared" si="47"/>
        <v>0</v>
      </c>
      <c r="AC156" s="12">
        <f t="shared" si="47"/>
        <v>0</v>
      </c>
      <c r="AD156" s="12">
        <f t="shared" si="47"/>
        <v>0</v>
      </c>
      <c r="AE156" s="12">
        <f t="shared" si="47"/>
        <v>0</v>
      </c>
      <c r="AF156" s="12">
        <f t="shared" si="47"/>
        <v>0</v>
      </c>
      <c r="AG156" s="12">
        <f t="shared" si="47"/>
        <v>0</v>
      </c>
      <c r="AH156" s="12">
        <f t="shared" si="47"/>
        <v>1990</v>
      </c>
      <c r="AI156" s="12">
        <f t="shared" si="47"/>
        <v>1990</v>
      </c>
      <c r="AJ156" s="12">
        <f t="shared" si="47"/>
        <v>1990</v>
      </c>
      <c r="AK156" s="12">
        <f t="shared" ref="AK156:BE156" si="48" xml:space="preserve"> AK$154</f>
        <v>1990</v>
      </c>
      <c r="AL156" s="12">
        <f t="shared" si="48"/>
        <v>1990</v>
      </c>
      <c r="AM156" s="12">
        <f t="shared" si="48"/>
        <v>1990</v>
      </c>
      <c r="AN156" s="12">
        <f t="shared" si="48"/>
        <v>1990</v>
      </c>
      <c r="AO156" s="12">
        <f t="shared" si="48"/>
        <v>0</v>
      </c>
      <c r="AP156" s="12">
        <f t="shared" si="48"/>
        <v>0</v>
      </c>
      <c r="AQ156" s="12">
        <f t="shared" si="48"/>
        <v>0</v>
      </c>
      <c r="AR156" s="12">
        <f t="shared" si="48"/>
        <v>0</v>
      </c>
      <c r="AS156" s="12">
        <f t="shared" si="48"/>
        <v>0</v>
      </c>
      <c r="AT156" s="12">
        <f t="shared" si="48"/>
        <v>0</v>
      </c>
      <c r="AU156" s="12">
        <f t="shared" si="48"/>
        <v>0</v>
      </c>
      <c r="AV156" s="12">
        <f t="shared" si="48"/>
        <v>0</v>
      </c>
      <c r="AW156" s="12">
        <f t="shared" si="48"/>
        <v>0</v>
      </c>
      <c r="AX156" s="12">
        <f t="shared" si="48"/>
        <v>0</v>
      </c>
      <c r="AY156" s="12">
        <f t="shared" si="48"/>
        <v>0</v>
      </c>
      <c r="AZ156" s="12">
        <f t="shared" si="48"/>
        <v>0</v>
      </c>
      <c r="BA156" s="12">
        <f t="shared" si="48"/>
        <v>0</v>
      </c>
      <c r="BB156" s="12">
        <f t="shared" si="48"/>
        <v>0</v>
      </c>
      <c r="BC156" s="12">
        <f t="shared" si="48"/>
        <v>0</v>
      </c>
      <c r="BD156" s="12">
        <f t="shared" si="48"/>
        <v>0</v>
      </c>
      <c r="BE156" s="12">
        <f t="shared" si="48"/>
        <v>0</v>
      </c>
    </row>
    <row r="157" spans="1:192" hidden="1" outlineLevel="1" x14ac:dyDescent="0.2">
      <c r="E157" s="186" t="str">
        <f xml:space="preserve"> ConTime!E$82</f>
        <v>Construction period flag</v>
      </c>
      <c r="F157" s="186">
        <f xml:space="preserve"> ConTime!F$82</f>
        <v>0</v>
      </c>
      <c r="G157" s="186" t="str">
        <f xml:space="preserve"> ConTime!G$82</f>
        <v>flag</v>
      </c>
      <c r="H157" s="186">
        <f xml:space="preserve"> ConTime!H$82</f>
        <v>26</v>
      </c>
      <c r="I157" s="186">
        <f xml:space="preserve"> ConTime!I$82</f>
        <v>0</v>
      </c>
      <c r="J157" s="186">
        <f xml:space="preserve"> ConTime!J$82</f>
        <v>0</v>
      </c>
      <c r="K157" s="186">
        <f xml:space="preserve"> ConTime!K$82</f>
        <v>0</v>
      </c>
      <c r="L157" s="186">
        <f xml:space="preserve"> ConTime!L$82</f>
        <v>0</v>
      </c>
      <c r="M157" s="186">
        <f xml:space="preserve"> ConTime!M$82</f>
        <v>0</v>
      </c>
      <c r="N157" s="186">
        <f xml:space="preserve"> ConTime!N$82</f>
        <v>1</v>
      </c>
      <c r="O157" s="186">
        <f xml:space="preserve"> ConTime!O$82</f>
        <v>1</v>
      </c>
      <c r="P157" s="186">
        <f xml:space="preserve"> ConTime!P$82</f>
        <v>1</v>
      </c>
      <c r="Q157" s="186">
        <f xml:space="preserve"> ConTime!Q$82</f>
        <v>1</v>
      </c>
      <c r="R157" s="186">
        <f xml:space="preserve"> ConTime!R$82</f>
        <v>1</v>
      </c>
      <c r="S157" s="186">
        <f xml:space="preserve"> ConTime!S$82</f>
        <v>1</v>
      </c>
      <c r="T157" s="186">
        <f xml:space="preserve"> ConTime!T$82</f>
        <v>1</v>
      </c>
      <c r="U157" s="186">
        <f xml:space="preserve"> ConTime!U$82</f>
        <v>1</v>
      </c>
      <c r="V157" s="186">
        <f xml:space="preserve"> ConTime!V$82</f>
        <v>1</v>
      </c>
      <c r="W157" s="186">
        <f xml:space="preserve"> ConTime!W$82</f>
        <v>1</v>
      </c>
      <c r="X157" s="186">
        <f xml:space="preserve"> ConTime!X$82</f>
        <v>1</v>
      </c>
      <c r="Y157" s="186">
        <f xml:space="preserve"> ConTime!Y$82</f>
        <v>1</v>
      </c>
      <c r="Z157" s="186">
        <f xml:space="preserve"> ConTime!Z$82</f>
        <v>1</v>
      </c>
      <c r="AA157" s="186">
        <f xml:space="preserve"> ConTime!AA$82</f>
        <v>1</v>
      </c>
      <c r="AB157" s="186">
        <f xml:space="preserve"> ConTime!AB$82</f>
        <v>1</v>
      </c>
      <c r="AC157" s="186">
        <f xml:space="preserve"> ConTime!AC$82</f>
        <v>1</v>
      </c>
      <c r="AD157" s="186">
        <f xml:space="preserve"> ConTime!AD$82</f>
        <v>1</v>
      </c>
      <c r="AE157" s="186">
        <f xml:space="preserve"> ConTime!AE$82</f>
        <v>1</v>
      </c>
      <c r="AF157" s="186">
        <f xml:space="preserve"> ConTime!AF$82</f>
        <v>1</v>
      </c>
      <c r="AG157" s="186">
        <f xml:space="preserve"> ConTime!AG$82</f>
        <v>1</v>
      </c>
      <c r="AH157" s="186">
        <f xml:space="preserve"> ConTime!AH$82</f>
        <v>1</v>
      </c>
      <c r="AI157" s="186">
        <f xml:space="preserve"> ConTime!AI$82</f>
        <v>1</v>
      </c>
      <c r="AJ157" s="186">
        <f xml:space="preserve"> ConTime!AJ$82</f>
        <v>1</v>
      </c>
      <c r="AK157" s="186">
        <f xml:space="preserve"> ConTime!AK$82</f>
        <v>1</v>
      </c>
      <c r="AL157" s="186">
        <f xml:space="preserve"> ConTime!AL$82</f>
        <v>1</v>
      </c>
      <c r="AM157" s="186">
        <f xml:space="preserve"> ConTime!AM$82</f>
        <v>1</v>
      </c>
      <c r="AN157" s="186">
        <f xml:space="preserve"> ConTime!AN$82</f>
        <v>0</v>
      </c>
      <c r="AO157" s="186">
        <f xml:space="preserve"> ConTime!AO$82</f>
        <v>0</v>
      </c>
      <c r="AP157" s="186">
        <f xml:space="preserve"> ConTime!AP$82</f>
        <v>0</v>
      </c>
      <c r="AQ157" s="186">
        <f xml:space="preserve"> ConTime!AQ$82</f>
        <v>0</v>
      </c>
      <c r="AR157" s="186">
        <f xml:space="preserve"> ConTime!AR$82</f>
        <v>0</v>
      </c>
      <c r="AS157" s="186">
        <f xml:space="preserve"> ConTime!AS$82</f>
        <v>0</v>
      </c>
      <c r="AT157" s="186">
        <f xml:space="preserve"> ConTime!AT$82</f>
        <v>0</v>
      </c>
      <c r="AU157" s="186">
        <f xml:space="preserve"> ConTime!AU$82</f>
        <v>0</v>
      </c>
      <c r="AV157" s="186">
        <f xml:space="preserve"> ConTime!AV$82</f>
        <v>0</v>
      </c>
      <c r="AW157" s="186">
        <f xml:space="preserve"> ConTime!AW$82</f>
        <v>0</v>
      </c>
      <c r="AX157" s="186">
        <f xml:space="preserve"> ConTime!AX$82</f>
        <v>0</v>
      </c>
      <c r="AY157" s="186">
        <f xml:space="preserve"> ConTime!AY$82</f>
        <v>0</v>
      </c>
      <c r="AZ157" s="186">
        <f xml:space="preserve"> ConTime!AZ$82</f>
        <v>0</v>
      </c>
      <c r="BA157" s="186">
        <f xml:space="preserve"> ConTime!BA$82</f>
        <v>0</v>
      </c>
      <c r="BB157" s="186">
        <f xml:space="preserve"> ConTime!BB$82</f>
        <v>0</v>
      </c>
      <c r="BC157" s="186">
        <f xml:space="preserve"> ConTime!BC$82</f>
        <v>0</v>
      </c>
      <c r="BD157" s="186">
        <f xml:space="preserve"> ConTime!BD$82</f>
        <v>0</v>
      </c>
      <c r="BE157" s="186">
        <f xml:space="preserve"> ConTime!BE$82</f>
        <v>0</v>
      </c>
    </row>
    <row r="158" spans="1:192" hidden="1" outlineLevel="1" x14ac:dyDescent="0.2">
      <c r="E158" s="703" t="s">
        <v>748</v>
      </c>
      <c r="F158" s="703"/>
      <c r="G158" s="703" t="str">
        <f xml:space="preserve"> SMU</f>
        <v>$ 000s</v>
      </c>
      <c r="H158" s="703">
        <f xml:space="preserve"> SUM(J158:BE158)</f>
        <v>11940</v>
      </c>
      <c r="I158" s="703"/>
      <c r="J158" s="703">
        <f t="shared" ref="J158:BE158" si="49" xml:space="preserve"> J156 * J157</f>
        <v>0</v>
      </c>
      <c r="K158" s="703">
        <f t="shared" si="49"/>
        <v>0</v>
      </c>
      <c r="L158" s="703">
        <f t="shared" si="49"/>
        <v>0</v>
      </c>
      <c r="M158" s="703">
        <f t="shared" si="49"/>
        <v>0</v>
      </c>
      <c r="N158" s="703">
        <f t="shared" si="49"/>
        <v>0</v>
      </c>
      <c r="O158" s="703">
        <f t="shared" si="49"/>
        <v>0</v>
      </c>
      <c r="P158" s="703">
        <f t="shared" si="49"/>
        <v>0</v>
      </c>
      <c r="Q158" s="703">
        <f t="shared" si="49"/>
        <v>0</v>
      </c>
      <c r="R158" s="703">
        <f t="shared" si="49"/>
        <v>0</v>
      </c>
      <c r="S158" s="703">
        <f t="shared" si="49"/>
        <v>0</v>
      </c>
      <c r="T158" s="703">
        <f t="shared" si="49"/>
        <v>0</v>
      </c>
      <c r="U158" s="703">
        <f t="shared" si="49"/>
        <v>0</v>
      </c>
      <c r="V158" s="703">
        <f t="shared" si="49"/>
        <v>0</v>
      </c>
      <c r="W158" s="703">
        <f t="shared" si="49"/>
        <v>0</v>
      </c>
      <c r="X158" s="703">
        <f t="shared" si="49"/>
        <v>0</v>
      </c>
      <c r="Y158" s="703">
        <f t="shared" si="49"/>
        <v>0</v>
      </c>
      <c r="Z158" s="703">
        <f t="shared" si="49"/>
        <v>0</v>
      </c>
      <c r="AA158" s="703">
        <f t="shared" si="49"/>
        <v>0</v>
      </c>
      <c r="AB158" s="703">
        <f t="shared" si="49"/>
        <v>0</v>
      </c>
      <c r="AC158" s="703">
        <f t="shared" si="49"/>
        <v>0</v>
      </c>
      <c r="AD158" s="703">
        <f t="shared" si="49"/>
        <v>0</v>
      </c>
      <c r="AE158" s="703">
        <f t="shared" si="49"/>
        <v>0</v>
      </c>
      <c r="AF158" s="703">
        <f t="shared" si="49"/>
        <v>0</v>
      </c>
      <c r="AG158" s="703">
        <f t="shared" si="49"/>
        <v>0</v>
      </c>
      <c r="AH158" s="703">
        <f t="shared" si="49"/>
        <v>1990</v>
      </c>
      <c r="AI158" s="703">
        <f t="shared" si="49"/>
        <v>1990</v>
      </c>
      <c r="AJ158" s="703">
        <f t="shared" si="49"/>
        <v>1990</v>
      </c>
      <c r="AK158" s="703">
        <f t="shared" si="49"/>
        <v>1990</v>
      </c>
      <c r="AL158" s="703">
        <f t="shared" si="49"/>
        <v>1990</v>
      </c>
      <c r="AM158" s="703">
        <f t="shared" si="49"/>
        <v>1990</v>
      </c>
      <c r="AN158" s="703">
        <f t="shared" si="49"/>
        <v>0</v>
      </c>
      <c r="AO158" s="703">
        <f t="shared" si="49"/>
        <v>0</v>
      </c>
      <c r="AP158" s="703">
        <f t="shared" si="49"/>
        <v>0</v>
      </c>
      <c r="AQ158" s="703">
        <f t="shared" si="49"/>
        <v>0</v>
      </c>
      <c r="AR158" s="703">
        <f t="shared" si="49"/>
        <v>0</v>
      </c>
      <c r="AS158" s="703">
        <f t="shared" si="49"/>
        <v>0</v>
      </c>
      <c r="AT158" s="703">
        <f t="shared" si="49"/>
        <v>0</v>
      </c>
      <c r="AU158" s="703">
        <f t="shared" si="49"/>
        <v>0</v>
      </c>
      <c r="AV158" s="703">
        <f t="shared" si="49"/>
        <v>0</v>
      </c>
      <c r="AW158" s="703">
        <f t="shared" si="49"/>
        <v>0</v>
      </c>
      <c r="AX158" s="703">
        <f t="shared" si="49"/>
        <v>0</v>
      </c>
      <c r="AY158" s="703">
        <f t="shared" si="49"/>
        <v>0</v>
      </c>
      <c r="AZ158" s="703">
        <f t="shared" si="49"/>
        <v>0</v>
      </c>
      <c r="BA158" s="703">
        <f t="shared" si="49"/>
        <v>0</v>
      </c>
      <c r="BB158" s="703">
        <f t="shared" si="49"/>
        <v>0</v>
      </c>
      <c r="BC158" s="703">
        <f t="shared" si="49"/>
        <v>0</v>
      </c>
      <c r="BD158" s="703">
        <f t="shared" si="49"/>
        <v>0</v>
      </c>
      <c r="BE158" s="703">
        <f t="shared" si="49"/>
        <v>0</v>
      </c>
    </row>
    <row r="159" spans="1:192" hidden="1" outlineLevel="1" x14ac:dyDescent="0.2">
      <c r="E159" s="703"/>
      <c r="F159" s="703"/>
      <c r="G159" s="703"/>
      <c r="H159" s="703"/>
      <c r="I159" s="703"/>
      <c r="J159" s="703"/>
      <c r="K159" s="703"/>
      <c r="L159" s="703"/>
      <c r="M159" s="703"/>
      <c r="N159" s="703"/>
      <c r="O159" s="703"/>
      <c r="P159" s="703"/>
      <c r="Q159" s="703"/>
      <c r="R159" s="703"/>
      <c r="S159" s="703"/>
      <c r="T159" s="703"/>
      <c r="U159" s="703"/>
      <c r="V159" s="703"/>
      <c r="W159" s="703"/>
      <c r="X159" s="703"/>
      <c r="Y159" s="703"/>
      <c r="Z159" s="703"/>
      <c r="AA159" s="703"/>
      <c r="AB159" s="703"/>
      <c r="AC159" s="703"/>
      <c r="AD159" s="703"/>
      <c r="AE159" s="703"/>
      <c r="AF159" s="703"/>
      <c r="AG159" s="703"/>
      <c r="AH159" s="703"/>
      <c r="AI159" s="703"/>
      <c r="AJ159" s="703"/>
      <c r="AK159" s="703"/>
      <c r="AL159" s="703"/>
      <c r="AM159" s="703"/>
      <c r="AN159" s="703"/>
      <c r="AO159" s="703"/>
      <c r="AP159" s="703"/>
      <c r="AQ159" s="703"/>
      <c r="AR159" s="703"/>
      <c r="AS159" s="703"/>
      <c r="AT159" s="703"/>
      <c r="AU159" s="703"/>
      <c r="AV159" s="703"/>
      <c r="AW159" s="703"/>
      <c r="AX159" s="703"/>
      <c r="AY159" s="703"/>
      <c r="AZ159" s="703"/>
      <c r="BA159" s="703"/>
      <c r="BB159" s="703"/>
      <c r="BC159" s="703"/>
      <c r="BD159" s="703"/>
      <c r="BE159" s="703"/>
    </row>
    <row r="160" spans="1:192" x14ac:dyDescent="0.2"/>
    <row r="161" spans="1:7" collapsed="1" x14ac:dyDescent="0.2">
      <c r="A161" s="15" t="s">
        <v>701</v>
      </c>
    </row>
    <row r="162" spans="1:7" hidden="1" outlineLevel="1" x14ac:dyDescent="0.2"/>
    <row r="163" spans="1:7" hidden="1" outlineLevel="1" x14ac:dyDescent="0.2">
      <c r="E163" s="186" t="str">
        <f xml:space="preserve"> InpC!E$43</f>
        <v>EGR's active switch</v>
      </c>
      <c r="F163" s="186">
        <f xml:space="preserve"> InpC!F$43</f>
        <v>1</v>
      </c>
      <c r="G163" s="186" t="str">
        <f xml:space="preserve"> InpC!G$43</f>
        <v>1 = yes, 0 = no</v>
      </c>
    </row>
    <row r="164" spans="1:7" hidden="1" outlineLevel="1" x14ac:dyDescent="0.2">
      <c r="E164" s="493" t="str">
        <f xml:space="preserve"> Sensitivity!E$14</f>
        <v>O&amp;M cost - sensitivity</v>
      </c>
      <c r="F164" s="493">
        <f xml:space="preserve"> Sensitivity!F$14</f>
        <v>0</v>
      </c>
      <c r="G164" s="493" t="str">
        <f xml:space="preserve"> Sensitivity!G$14</f>
        <v>%</v>
      </c>
    </row>
    <row r="165" spans="1:7" ht="4.5" hidden="1" customHeight="1" outlineLevel="1" x14ac:dyDescent="0.2"/>
    <row r="166" spans="1:7" hidden="1" outlineLevel="1" x14ac:dyDescent="0.2">
      <c r="E166" s="186" t="str">
        <f xml:space="preserve"> InpC!E$86</f>
        <v>Early generation cost - Month 1</v>
      </c>
      <c r="F166" s="186">
        <f xml:space="preserve"> InpC!F$86</f>
        <v>0</v>
      </c>
      <c r="G166" s="186" t="str">
        <f xml:space="preserve"> InpC!G$86</f>
        <v>$ 000s</v>
      </c>
    </row>
    <row r="167" spans="1:7" hidden="1" outlineLevel="1" x14ac:dyDescent="0.2">
      <c r="E167" s="186" t="str">
        <f xml:space="preserve"> InpC!E$87</f>
        <v>Early generation cost - Month 2</v>
      </c>
      <c r="F167" s="186">
        <f xml:space="preserve"> InpC!F$87</f>
        <v>0</v>
      </c>
      <c r="G167" s="186" t="str">
        <f xml:space="preserve"> InpC!G$87</f>
        <v>$ 000s</v>
      </c>
    </row>
    <row r="168" spans="1:7" hidden="1" outlineLevel="1" x14ac:dyDescent="0.2">
      <c r="E168" s="186" t="str">
        <f xml:space="preserve"> InpC!E$88</f>
        <v>Early generation cost - Month 3</v>
      </c>
      <c r="F168" s="186">
        <f xml:space="preserve"> InpC!F$88</f>
        <v>0</v>
      </c>
      <c r="G168" s="186" t="str">
        <f xml:space="preserve"> InpC!G$88</f>
        <v>$ 000s</v>
      </c>
    </row>
    <row r="169" spans="1:7" hidden="1" outlineLevel="1" x14ac:dyDescent="0.2">
      <c r="E169" s="186" t="str">
        <f xml:space="preserve"> InpC!E$89</f>
        <v>Early generation cost - Month 4</v>
      </c>
      <c r="F169" s="186">
        <f xml:space="preserve"> InpC!F$89</f>
        <v>0</v>
      </c>
      <c r="G169" s="186" t="str">
        <f xml:space="preserve"> InpC!G$89</f>
        <v>$ 000s</v>
      </c>
    </row>
    <row r="170" spans="1:7" hidden="1" outlineLevel="1" x14ac:dyDescent="0.2">
      <c r="E170" s="186" t="str">
        <f xml:space="preserve"> InpC!E$90</f>
        <v>Early generation cost - Month 5</v>
      </c>
      <c r="F170" s="186">
        <f xml:space="preserve"> InpC!F$90</f>
        <v>0</v>
      </c>
      <c r="G170" s="186" t="str">
        <f xml:space="preserve"> InpC!G$90</f>
        <v>$ 000s</v>
      </c>
    </row>
    <row r="171" spans="1:7" hidden="1" outlineLevel="1" x14ac:dyDescent="0.2">
      <c r="E171" s="186" t="str">
        <f xml:space="preserve"> InpC!E$91</f>
        <v>Early generation cost - Month 6</v>
      </c>
      <c r="F171" s="186">
        <f xml:space="preserve"> InpC!F$91</f>
        <v>0</v>
      </c>
      <c r="G171" s="186" t="str">
        <f xml:space="preserve"> InpC!G$91</f>
        <v>$ 000s</v>
      </c>
    </row>
    <row r="172" spans="1:7" hidden="1" outlineLevel="1" x14ac:dyDescent="0.2">
      <c r="E172" s="186" t="str">
        <f xml:space="preserve"> InpC!E$92</f>
        <v>Early generation cost - Month 7</v>
      </c>
      <c r="F172" s="186">
        <f xml:space="preserve"> InpC!F$92</f>
        <v>0</v>
      </c>
      <c r="G172" s="186" t="str">
        <f xml:space="preserve"> InpC!G$92</f>
        <v>$ 000s</v>
      </c>
    </row>
    <row r="173" spans="1:7" hidden="1" outlineLevel="1" x14ac:dyDescent="0.2">
      <c r="E173" s="186" t="str">
        <f xml:space="preserve"> InpC!E$93</f>
        <v>Early generation cost - Month 8</v>
      </c>
      <c r="F173" s="186">
        <f xml:space="preserve"> InpC!F$93</f>
        <v>0</v>
      </c>
      <c r="G173" s="186" t="str">
        <f xml:space="preserve"> InpC!G$93</f>
        <v>$ 000s</v>
      </c>
    </row>
    <row r="174" spans="1:7" hidden="1" outlineLevel="1" x14ac:dyDescent="0.2">
      <c r="E174" s="186" t="str">
        <f xml:space="preserve"> InpC!E$94</f>
        <v>Early generation cost - Month 9</v>
      </c>
      <c r="F174" s="186">
        <f xml:space="preserve"> InpC!F$94</f>
        <v>0</v>
      </c>
      <c r="G174" s="186" t="str">
        <f xml:space="preserve"> InpC!G$94</f>
        <v>$ 000s</v>
      </c>
    </row>
    <row r="175" spans="1:7" hidden="1" outlineLevel="1" x14ac:dyDescent="0.2">
      <c r="E175" s="186" t="str">
        <f xml:space="preserve"> InpC!E$95</f>
        <v>Early generation cost - Month 10</v>
      </c>
      <c r="F175" s="186">
        <f xml:space="preserve"> InpC!F$95</f>
        <v>0</v>
      </c>
      <c r="G175" s="186" t="str">
        <f xml:space="preserve"> InpC!G$95</f>
        <v>$ 000s</v>
      </c>
    </row>
    <row r="176" spans="1:7" hidden="1" outlineLevel="1" x14ac:dyDescent="0.2">
      <c r="E176" s="186" t="str">
        <f xml:space="preserve"> InpC!E$96</f>
        <v>Early generation cost - Month 11</v>
      </c>
      <c r="F176" s="186">
        <f xml:space="preserve"> InpC!F$96</f>
        <v>0</v>
      </c>
      <c r="G176" s="186" t="str">
        <f xml:space="preserve"> InpC!G$96</f>
        <v>$ 000s</v>
      </c>
    </row>
    <row r="177" spans="1:57" hidden="1" outlineLevel="1" x14ac:dyDescent="0.2">
      <c r="E177" s="186" t="str">
        <f xml:space="preserve"> InpC!E$97</f>
        <v>Early generation cost - Month 12</v>
      </c>
      <c r="F177" s="186">
        <f xml:space="preserve"> InpC!F$97</f>
        <v>0</v>
      </c>
      <c r="G177" s="186" t="str">
        <f xml:space="preserve"> InpC!G$97</f>
        <v>$ 000s</v>
      </c>
    </row>
    <row r="178" spans="1:57" hidden="1" outlineLevel="1" x14ac:dyDescent="0.2">
      <c r="E178" s="186" t="str">
        <f xml:space="preserve"> InpC!E$98</f>
        <v>Early generation cost - Month 13</v>
      </c>
      <c r="F178" s="186">
        <f xml:space="preserve"> InpC!F$98</f>
        <v>0</v>
      </c>
      <c r="G178" s="186" t="str">
        <f xml:space="preserve"> InpC!G$98</f>
        <v>$ 000s</v>
      </c>
    </row>
    <row r="179" spans="1:57" hidden="1" outlineLevel="1" x14ac:dyDescent="0.2">
      <c r="E179" s="186" t="str">
        <f xml:space="preserve"> InpC!E$99</f>
        <v>Early generation cost - Month 14</v>
      </c>
      <c r="F179" s="186">
        <f xml:space="preserve"> InpC!F$99</f>
        <v>0</v>
      </c>
      <c r="G179" s="186" t="str">
        <f xml:space="preserve"> InpC!G$99</f>
        <v>$ 000s</v>
      </c>
    </row>
    <row r="180" spans="1:57" hidden="1" outlineLevel="1" x14ac:dyDescent="0.2">
      <c r="E180" s="186" t="str">
        <f xml:space="preserve"> InpC!E$100</f>
        <v>Early generation cost - Month 15</v>
      </c>
      <c r="F180" s="186">
        <f xml:space="preserve"> InpC!F$100</f>
        <v>0</v>
      </c>
      <c r="G180" s="186" t="str">
        <f xml:space="preserve"> InpC!G$100</f>
        <v>$ 000s</v>
      </c>
    </row>
    <row r="181" spans="1:57" hidden="1" outlineLevel="1" x14ac:dyDescent="0.2">
      <c r="E181" s="186" t="str">
        <f xml:space="preserve"> InpC!E$101</f>
        <v>Early generation cost - Month 16</v>
      </c>
      <c r="F181" s="186">
        <f xml:space="preserve"> InpC!F$101</f>
        <v>0</v>
      </c>
      <c r="G181" s="186" t="str">
        <f xml:space="preserve"> InpC!G$101</f>
        <v>$ 000s</v>
      </c>
    </row>
    <row r="182" spans="1:57" hidden="1" outlineLevel="1" x14ac:dyDescent="0.2">
      <c r="E182" s="186" t="str">
        <f xml:space="preserve"> InpC!E$102</f>
        <v>Early generation cost - Month 17</v>
      </c>
      <c r="F182" s="186">
        <f xml:space="preserve"> InpC!F$102</f>
        <v>0</v>
      </c>
      <c r="G182" s="186" t="str">
        <f xml:space="preserve"> InpC!G$102</f>
        <v>$ 000s</v>
      </c>
    </row>
    <row r="183" spans="1:57" hidden="1" outlineLevel="1" x14ac:dyDescent="0.2">
      <c r="E183" s="186" t="str">
        <f xml:space="preserve"> InpC!E$103</f>
        <v>Early generation cost - Month 18</v>
      </c>
      <c r="F183" s="186">
        <f xml:space="preserve"> InpC!F$103</f>
        <v>0</v>
      </c>
      <c r="G183" s="186" t="str">
        <f xml:space="preserve"> InpC!G$103</f>
        <v>$ 000s</v>
      </c>
    </row>
    <row r="184" spans="1:57" hidden="1" outlineLevel="1" x14ac:dyDescent="0.2">
      <c r="E184" s="186" t="str">
        <f xml:space="preserve"> InpC!E$104</f>
        <v>Early generation cost - Month 19</v>
      </c>
      <c r="F184" s="186">
        <f xml:space="preserve"> InpC!F$104</f>
        <v>0</v>
      </c>
      <c r="G184" s="186" t="str">
        <f xml:space="preserve"> InpC!G$104</f>
        <v>$ 000s</v>
      </c>
    </row>
    <row r="185" spans="1:57" hidden="1" outlineLevel="1" x14ac:dyDescent="0.2">
      <c r="E185" s="186" t="str">
        <f xml:space="preserve"> InpC!E$105</f>
        <v>Early generation cost - Month 20</v>
      </c>
      <c r="F185" s="186">
        <f xml:space="preserve"> InpC!F$105</f>
        <v>0</v>
      </c>
      <c r="G185" s="186" t="str">
        <f xml:space="preserve"> InpC!G$105</f>
        <v>$ 000s</v>
      </c>
    </row>
    <row r="186" spans="1:57" hidden="1" outlineLevel="1" x14ac:dyDescent="0.2">
      <c r="E186" s="186" t="str">
        <f xml:space="preserve"> InpC!E$106</f>
        <v>Early generation cost - Month 21</v>
      </c>
      <c r="F186" s="186">
        <f xml:space="preserve"> InpC!F$106</f>
        <v>0</v>
      </c>
      <c r="G186" s="186" t="str">
        <f xml:space="preserve"> InpC!G$106</f>
        <v>$ 000s</v>
      </c>
    </row>
    <row r="187" spans="1:57" hidden="1" outlineLevel="1" x14ac:dyDescent="0.2">
      <c r="E187" s="186" t="str">
        <f xml:space="preserve"> InpC!E$107</f>
        <v>Early generation cost - Month 22</v>
      </c>
      <c r="F187" s="186">
        <f xml:space="preserve"> InpC!F$107</f>
        <v>0</v>
      </c>
      <c r="G187" s="186" t="str">
        <f xml:space="preserve"> InpC!G$107</f>
        <v>$ 000s</v>
      </c>
    </row>
    <row r="188" spans="1:57" hidden="1" outlineLevel="1" x14ac:dyDescent="0.2">
      <c r="E188" s="186" t="str">
        <f xml:space="preserve"> InpC!E$108</f>
        <v>Early generation cost - Month 23</v>
      </c>
      <c r="F188" s="186">
        <f xml:space="preserve"> InpC!F$108</f>
        <v>0</v>
      </c>
      <c r="G188" s="186" t="str">
        <f xml:space="preserve"> InpC!G$108</f>
        <v>$ 000s</v>
      </c>
    </row>
    <row r="189" spans="1:57" hidden="1" outlineLevel="1" x14ac:dyDescent="0.2">
      <c r="E189" s="186" t="str">
        <f xml:space="preserve"> InpC!E$109</f>
        <v>Early generation cost - Month 24</v>
      </c>
      <c r="F189" s="186">
        <f xml:space="preserve"> InpC!F$109</f>
        <v>0</v>
      </c>
      <c r="G189" s="186" t="str">
        <f xml:space="preserve"> InpC!G$109</f>
        <v>$ 000s</v>
      </c>
    </row>
    <row r="190" spans="1:57" hidden="1" outlineLevel="1" x14ac:dyDescent="0.2">
      <c r="E190" s="186" t="str">
        <f xml:space="preserve"> InpC!E$110</f>
        <v>Early generation cost - Month 25</v>
      </c>
      <c r="F190" s="186">
        <f xml:space="preserve"> InpC!F$110</f>
        <v>0</v>
      </c>
      <c r="G190" s="186" t="str">
        <f xml:space="preserve"> InpC!G$110</f>
        <v>$ 000s</v>
      </c>
    </row>
    <row r="191" spans="1:57" hidden="1" outlineLevel="1" x14ac:dyDescent="0.2">
      <c r="E191" s="186" t="str">
        <f xml:space="preserve"> InpC!E$111</f>
        <v>Early generation cost - Month 26</v>
      </c>
      <c r="F191" s="186">
        <f xml:space="preserve"> InpC!F$111</f>
        <v>0</v>
      </c>
      <c r="G191" s="186" t="str">
        <f xml:space="preserve"> InpC!G$111</f>
        <v>$ 000s</v>
      </c>
    </row>
    <row r="192" spans="1:57" hidden="1" outlineLevel="1" x14ac:dyDescent="0.2">
      <c r="A192" s="52"/>
      <c r="B192" s="52"/>
      <c r="C192" s="34"/>
      <c r="D192" s="35"/>
      <c r="E192" s="125" t="str">
        <f xml:space="preserve"> ConTime!E$86</f>
        <v>Construction period counter</v>
      </c>
      <c r="F192" s="125">
        <f xml:space="preserve"> ConTime!F$86</f>
        <v>0</v>
      </c>
      <c r="G192" s="125" t="str">
        <f xml:space="preserve"> ConTime!G$86</f>
        <v>counter</v>
      </c>
      <c r="H192" s="125">
        <f xml:space="preserve"> ConTime!H$86</f>
        <v>0</v>
      </c>
      <c r="I192" s="125">
        <f xml:space="preserve"> ConTime!I$86</f>
        <v>0</v>
      </c>
      <c r="J192" s="125">
        <f xml:space="preserve"> ConTime!J$86</f>
        <v>0</v>
      </c>
      <c r="K192" s="125">
        <f xml:space="preserve"> ConTime!K$86</f>
        <v>0</v>
      </c>
      <c r="L192" s="125">
        <f xml:space="preserve"> ConTime!L$86</f>
        <v>0</v>
      </c>
      <c r="M192" s="125">
        <f xml:space="preserve"> ConTime!M$86</f>
        <v>0</v>
      </c>
      <c r="N192" s="125">
        <f xml:space="preserve"> ConTime!N$86</f>
        <v>1</v>
      </c>
      <c r="O192" s="125">
        <f xml:space="preserve"> ConTime!O$86</f>
        <v>2</v>
      </c>
      <c r="P192" s="125">
        <f xml:space="preserve"> ConTime!P$86</f>
        <v>3</v>
      </c>
      <c r="Q192" s="125">
        <f xml:space="preserve"> ConTime!Q$86</f>
        <v>4</v>
      </c>
      <c r="R192" s="125">
        <f xml:space="preserve"> ConTime!R$86</f>
        <v>5</v>
      </c>
      <c r="S192" s="125">
        <f xml:space="preserve"> ConTime!S$86</f>
        <v>6</v>
      </c>
      <c r="T192" s="125">
        <f xml:space="preserve"> ConTime!T$86</f>
        <v>7</v>
      </c>
      <c r="U192" s="125">
        <f xml:space="preserve"> ConTime!U$86</f>
        <v>8</v>
      </c>
      <c r="V192" s="125">
        <f xml:space="preserve"> ConTime!V$86</f>
        <v>9</v>
      </c>
      <c r="W192" s="125">
        <f xml:space="preserve"> ConTime!W$86</f>
        <v>10</v>
      </c>
      <c r="X192" s="125">
        <f xml:space="preserve"> ConTime!X$86</f>
        <v>11</v>
      </c>
      <c r="Y192" s="125">
        <f xml:space="preserve"> ConTime!Y$86</f>
        <v>12</v>
      </c>
      <c r="Z192" s="125">
        <f xml:space="preserve"> ConTime!Z$86</f>
        <v>13</v>
      </c>
      <c r="AA192" s="125">
        <f xml:space="preserve"> ConTime!AA$86</f>
        <v>14</v>
      </c>
      <c r="AB192" s="125">
        <f xml:space="preserve"> ConTime!AB$86</f>
        <v>15</v>
      </c>
      <c r="AC192" s="125">
        <f xml:space="preserve"> ConTime!AC$86</f>
        <v>16</v>
      </c>
      <c r="AD192" s="125">
        <f xml:space="preserve"> ConTime!AD$86</f>
        <v>17</v>
      </c>
      <c r="AE192" s="125">
        <f xml:space="preserve"> ConTime!AE$86</f>
        <v>18</v>
      </c>
      <c r="AF192" s="125">
        <f xml:space="preserve"> ConTime!AF$86</f>
        <v>19</v>
      </c>
      <c r="AG192" s="125">
        <f xml:space="preserve"> ConTime!AG$86</f>
        <v>20</v>
      </c>
      <c r="AH192" s="125">
        <f xml:space="preserve"> ConTime!AH$86</f>
        <v>21</v>
      </c>
      <c r="AI192" s="125">
        <f xml:space="preserve"> ConTime!AI$86</f>
        <v>22</v>
      </c>
      <c r="AJ192" s="125">
        <f xml:space="preserve"> ConTime!AJ$86</f>
        <v>23</v>
      </c>
      <c r="AK192" s="125">
        <f xml:space="preserve"> ConTime!AK$86</f>
        <v>24</v>
      </c>
      <c r="AL192" s="125">
        <f xml:space="preserve"> ConTime!AL$86</f>
        <v>25</v>
      </c>
      <c r="AM192" s="125">
        <f xml:space="preserve"> ConTime!AM$86</f>
        <v>26</v>
      </c>
      <c r="AN192" s="125">
        <f xml:space="preserve"> ConTime!AN$86</f>
        <v>0</v>
      </c>
      <c r="AO192" s="125">
        <f xml:space="preserve"> ConTime!AO$86</f>
        <v>0</v>
      </c>
      <c r="AP192" s="125">
        <f xml:space="preserve"> ConTime!AP$86</f>
        <v>0</v>
      </c>
      <c r="AQ192" s="125">
        <f xml:space="preserve"> ConTime!AQ$86</f>
        <v>0</v>
      </c>
      <c r="AR192" s="125">
        <f xml:space="preserve"> ConTime!AR$86</f>
        <v>0</v>
      </c>
      <c r="AS192" s="125">
        <f xml:space="preserve"> ConTime!AS$86</f>
        <v>0</v>
      </c>
      <c r="AT192" s="125">
        <f xml:space="preserve"> ConTime!AT$86</f>
        <v>0</v>
      </c>
      <c r="AU192" s="125">
        <f xml:space="preserve"> ConTime!AU$86</f>
        <v>0</v>
      </c>
      <c r="AV192" s="125">
        <f xml:space="preserve"> ConTime!AV$86</f>
        <v>0</v>
      </c>
      <c r="AW192" s="125">
        <f xml:space="preserve"> ConTime!AW$86</f>
        <v>0</v>
      </c>
      <c r="AX192" s="125">
        <f xml:space="preserve"> ConTime!AX$86</f>
        <v>0</v>
      </c>
      <c r="AY192" s="125">
        <f xml:space="preserve"> ConTime!AY$86</f>
        <v>0</v>
      </c>
      <c r="AZ192" s="125">
        <f xml:space="preserve"> ConTime!AZ$86</f>
        <v>0</v>
      </c>
      <c r="BA192" s="125">
        <f xml:space="preserve"> ConTime!BA$86</f>
        <v>0</v>
      </c>
      <c r="BB192" s="125">
        <f xml:space="preserve"> ConTime!BB$86</f>
        <v>0</v>
      </c>
      <c r="BC192" s="125">
        <f xml:space="preserve"> ConTime!BC$86</f>
        <v>0</v>
      </c>
      <c r="BD192" s="125">
        <f xml:space="preserve"> ConTime!BD$86</f>
        <v>0</v>
      </c>
      <c r="BE192" s="125">
        <f xml:space="preserve"> ConTime!BE$86</f>
        <v>0</v>
      </c>
    </row>
    <row r="193" spans="1:57" hidden="1" outlineLevel="1" x14ac:dyDescent="0.2">
      <c r="E193" s="186" t="str">
        <f xml:space="preserve"> ConTime!E$82</f>
        <v>Construction period flag</v>
      </c>
      <c r="F193" s="186">
        <f xml:space="preserve"> ConTime!F$82</f>
        <v>0</v>
      </c>
      <c r="G193" s="186" t="str">
        <f xml:space="preserve"> ConTime!G$82</f>
        <v>flag</v>
      </c>
      <c r="H193" s="186">
        <f xml:space="preserve"> ConTime!H$82</f>
        <v>26</v>
      </c>
      <c r="I193" s="186">
        <f xml:space="preserve"> ConTime!I$82</f>
        <v>0</v>
      </c>
      <c r="J193" s="186">
        <f xml:space="preserve"> ConTime!J$82</f>
        <v>0</v>
      </c>
      <c r="K193" s="186">
        <f xml:space="preserve"> ConTime!K$82</f>
        <v>0</v>
      </c>
      <c r="L193" s="186">
        <f xml:space="preserve"> ConTime!L$82</f>
        <v>0</v>
      </c>
      <c r="M193" s="186">
        <f xml:space="preserve"> ConTime!M$82</f>
        <v>0</v>
      </c>
      <c r="N193" s="186">
        <f xml:space="preserve"> ConTime!N$82</f>
        <v>1</v>
      </c>
      <c r="O193" s="186">
        <f xml:space="preserve"> ConTime!O$82</f>
        <v>1</v>
      </c>
      <c r="P193" s="186">
        <f xml:space="preserve"> ConTime!P$82</f>
        <v>1</v>
      </c>
      <c r="Q193" s="186">
        <f xml:space="preserve"> ConTime!Q$82</f>
        <v>1</v>
      </c>
      <c r="R193" s="186">
        <f xml:space="preserve"> ConTime!R$82</f>
        <v>1</v>
      </c>
      <c r="S193" s="186">
        <f xml:space="preserve"> ConTime!S$82</f>
        <v>1</v>
      </c>
      <c r="T193" s="186">
        <f xml:space="preserve"> ConTime!T$82</f>
        <v>1</v>
      </c>
      <c r="U193" s="186">
        <f xml:space="preserve"> ConTime!U$82</f>
        <v>1</v>
      </c>
      <c r="V193" s="186">
        <f xml:space="preserve"> ConTime!V$82</f>
        <v>1</v>
      </c>
      <c r="W193" s="186">
        <f xml:space="preserve"> ConTime!W$82</f>
        <v>1</v>
      </c>
      <c r="X193" s="186">
        <f xml:space="preserve"> ConTime!X$82</f>
        <v>1</v>
      </c>
      <c r="Y193" s="186">
        <f xml:space="preserve"> ConTime!Y$82</f>
        <v>1</v>
      </c>
      <c r="Z193" s="186">
        <f xml:space="preserve"> ConTime!Z$82</f>
        <v>1</v>
      </c>
      <c r="AA193" s="186">
        <f xml:space="preserve"> ConTime!AA$82</f>
        <v>1</v>
      </c>
      <c r="AB193" s="186">
        <f xml:space="preserve"> ConTime!AB$82</f>
        <v>1</v>
      </c>
      <c r="AC193" s="186">
        <f xml:space="preserve"> ConTime!AC$82</f>
        <v>1</v>
      </c>
      <c r="AD193" s="186">
        <f xml:space="preserve"> ConTime!AD$82</f>
        <v>1</v>
      </c>
      <c r="AE193" s="186">
        <f xml:space="preserve"> ConTime!AE$82</f>
        <v>1</v>
      </c>
      <c r="AF193" s="186">
        <f xml:space="preserve"> ConTime!AF$82</f>
        <v>1</v>
      </c>
      <c r="AG193" s="186">
        <f xml:space="preserve"> ConTime!AG$82</f>
        <v>1</v>
      </c>
      <c r="AH193" s="186">
        <f xml:space="preserve"> ConTime!AH$82</f>
        <v>1</v>
      </c>
      <c r="AI193" s="186">
        <f xml:space="preserve"> ConTime!AI$82</f>
        <v>1</v>
      </c>
      <c r="AJ193" s="186">
        <f xml:space="preserve"> ConTime!AJ$82</f>
        <v>1</v>
      </c>
      <c r="AK193" s="186">
        <f xml:space="preserve"> ConTime!AK$82</f>
        <v>1</v>
      </c>
      <c r="AL193" s="186">
        <f xml:space="preserve"> ConTime!AL$82</f>
        <v>1</v>
      </c>
      <c r="AM193" s="186">
        <f xml:space="preserve"> ConTime!AM$82</f>
        <v>1</v>
      </c>
      <c r="AN193" s="186">
        <f xml:space="preserve"> ConTime!AN$82</f>
        <v>0</v>
      </c>
      <c r="AO193" s="186">
        <f xml:space="preserve"> ConTime!AO$82</f>
        <v>0</v>
      </c>
      <c r="AP193" s="186">
        <f xml:space="preserve"> ConTime!AP$82</f>
        <v>0</v>
      </c>
      <c r="AQ193" s="186">
        <f xml:space="preserve"> ConTime!AQ$82</f>
        <v>0</v>
      </c>
      <c r="AR193" s="186">
        <f xml:space="preserve"> ConTime!AR$82</f>
        <v>0</v>
      </c>
      <c r="AS193" s="186">
        <f xml:space="preserve"> ConTime!AS$82</f>
        <v>0</v>
      </c>
      <c r="AT193" s="186">
        <f xml:space="preserve"> ConTime!AT$82</f>
        <v>0</v>
      </c>
      <c r="AU193" s="186">
        <f xml:space="preserve"> ConTime!AU$82</f>
        <v>0</v>
      </c>
      <c r="AV193" s="186">
        <f xml:space="preserve"> ConTime!AV$82</f>
        <v>0</v>
      </c>
      <c r="AW193" s="186">
        <f xml:space="preserve"> ConTime!AW$82</f>
        <v>0</v>
      </c>
      <c r="AX193" s="186">
        <f xml:space="preserve"> ConTime!AX$82</f>
        <v>0</v>
      </c>
      <c r="AY193" s="186">
        <f xml:space="preserve"> ConTime!AY$82</f>
        <v>0</v>
      </c>
      <c r="AZ193" s="186">
        <f xml:space="preserve"> ConTime!AZ$82</f>
        <v>0</v>
      </c>
      <c r="BA193" s="186">
        <f xml:space="preserve"> ConTime!BA$82</f>
        <v>0</v>
      </c>
      <c r="BB193" s="186">
        <f xml:space="preserve"> ConTime!BB$82</f>
        <v>0</v>
      </c>
      <c r="BC193" s="186">
        <f xml:space="preserve"> ConTime!BC$82</f>
        <v>0</v>
      </c>
      <c r="BD193" s="186">
        <f xml:space="preserve"> ConTime!BD$82</f>
        <v>0</v>
      </c>
      <c r="BE193" s="186">
        <f xml:space="preserve"> ConTime!BE$82</f>
        <v>0</v>
      </c>
    </row>
    <row r="194" spans="1:57" hidden="1" outlineLevel="1" x14ac:dyDescent="0.2">
      <c r="E194" s="703" t="s">
        <v>735</v>
      </c>
      <c r="F194" s="703"/>
      <c r="G194" s="703" t="str">
        <f xml:space="preserve"> SMU</f>
        <v>$ 000s</v>
      </c>
      <c r="H194" s="703">
        <f xml:space="preserve"> SUM(J194:BE194)</f>
        <v>0</v>
      </c>
      <c r="I194" s="703"/>
      <c r="J194" s="703">
        <f t="shared" ref="J194:BE194" si="50" xml:space="preserve"> IF(J192 &gt; 0, $F163 * INDEX($F166:$F191, J192), 0) * J193 * (1 + $F164)</f>
        <v>0</v>
      </c>
      <c r="K194" s="703">
        <f t="shared" si="50"/>
        <v>0</v>
      </c>
      <c r="L194" s="703">
        <f t="shared" si="50"/>
        <v>0</v>
      </c>
      <c r="M194" s="703">
        <f t="shared" si="50"/>
        <v>0</v>
      </c>
      <c r="N194" s="703">
        <f t="shared" si="50"/>
        <v>0</v>
      </c>
      <c r="O194" s="703">
        <f t="shared" si="50"/>
        <v>0</v>
      </c>
      <c r="P194" s="703">
        <f t="shared" si="50"/>
        <v>0</v>
      </c>
      <c r="Q194" s="703">
        <f t="shared" si="50"/>
        <v>0</v>
      </c>
      <c r="R194" s="703">
        <f t="shared" si="50"/>
        <v>0</v>
      </c>
      <c r="S194" s="703">
        <f t="shared" si="50"/>
        <v>0</v>
      </c>
      <c r="T194" s="703">
        <f t="shared" si="50"/>
        <v>0</v>
      </c>
      <c r="U194" s="703">
        <f t="shared" si="50"/>
        <v>0</v>
      </c>
      <c r="V194" s="703">
        <f t="shared" si="50"/>
        <v>0</v>
      </c>
      <c r="W194" s="703">
        <f t="shared" si="50"/>
        <v>0</v>
      </c>
      <c r="X194" s="703">
        <f t="shared" si="50"/>
        <v>0</v>
      </c>
      <c r="Y194" s="703">
        <f t="shared" si="50"/>
        <v>0</v>
      </c>
      <c r="Z194" s="703">
        <f t="shared" si="50"/>
        <v>0</v>
      </c>
      <c r="AA194" s="703">
        <f t="shared" si="50"/>
        <v>0</v>
      </c>
      <c r="AB194" s="703">
        <f t="shared" si="50"/>
        <v>0</v>
      </c>
      <c r="AC194" s="703">
        <f t="shared" si="50"/>
        <v>0</v>
      </c>
      <c r="AD194" s="703">
        <f t="shared" si="50"/>
        <v>0</v>
      </c>
      <c r="AE194" s="703">
        <f t="shared" si="50"/>
        <v>0</v>
      </c>
      <c r="AF194" s="703">
        <f t="shared" si="50"/>
        <v>0</v>
      </c>
      <c r="AG194" s="703">
        <f t="shared" si="50"/>
        <v>0</v>
      </c>
      <c r="AH194" s="703">
        <f t="shared" si="50"/>
        <v>0</v>
      </c>
      <c r="AI194" s="703">
        <f t="shared" si="50"/>
        <v>0</v>
      </c>
      <c r="AJ194" s="703">
        <f t="shared" si="50"/>
        <v>0</v>
      </c>
      <c r="AK194" s="703">
        <f t="shared" si="50"/>
        <v>0</v>
      </c>
      <c r="AL194" s="703">
        <f t="shared" si="50"/>
        <v>0</v>
      </c>
      <c r="AM194" s="703">
        <f t="shared" si="50"/>
        <v>0</v>
      </c>
      <c r="AN194" s="703">
        <f t="shared" si="50"/>
        <v>0</v>
      </c>
      <c r="AO194" s="703">
        <f t="shared" si="50"/>
        <v>0</v>
      </c>
      <c r="AP194" s="703">
        <f t="shared" si="50"/>
        <v>0</v>
      </c>
      <c r="AQ194" s="703">
        <f t="shared" si="50"/>
        <v>0</v>
      </c>
      <c r="AR194" s="703">
        <f t="shared" si="50"/>
        <v>0</v>
      </c>
      <c r="AS194" s="703">
        <f t="shared" si="50"/>
        <v>0</v>
      </c>
      <c r="AT194" s="703">
        <f t="shared" si="50"/>
        <v>0</v>
      </c>
      <c r="AU194" s="703">
        <f t="shared" si="50"/>
        <v>0</v>
      </c>
      <c r="AV194" s="703">
        <f t="shared" si="50"/>
        <v>0</v>
      </c>
      <c r="AW194" s="703">
        <f t="shared" si="50"/>
        <v>0</v>
      </c>
      <c r="AX194" s="703">
        <f t="shared" si="50"/>
        <v>0</v>
      </c>
      <c r="AY194" s="703">
        <f t="shared" si="50"/>
        <v>0</v>
      </c>
      <c r="AZ194" s="703">
        <f t="shared" si="50"/>
        <v>0</v>
      </c>
      <c r="BA194" s="703">
        <f t="shared" si="50"/>
        <v>0</v>
      </c>
      <c r="BB194" s="703">
        <f t="shared" si="50"/>
        <v>0</v>
      </c>
      <c r="BC194" s="703">
        <f t="shared" si="50"/>
        <v>0</v>
      </c>
      <c r="BD194" s="703">
        <f t="shared" si="50"/>
        <v>0</v>
      </c>
      <c r="BE194" s="703">
        <f t="shared" si="50"/>
        <v>0</v>
      </c>
    </row>
    <row r="195" spans="1:57" hidden="1" outlineLevel="1" x14ac:dyDescent="0.2"/>
    <row r="196" spans="1:57" hidden="1" outlineLevel="1" x14ac:dyDescent="0.2">
      <c r="E196" s="902" t="str">
        <f xml:space="preserve"> InpC!E$385</f>
        <v>Accounts payable days - EGR period</v>
      </c>
      <c r="F196" s="902">
        <f xml:space="preserve"> InpC!F$385</f>
        <v>1</v>
      </c>
      <c r="G196" s="902" t="str">
        <f xml:space="preserve"> InpC!G$385</f>
        <v>months</v>
      </c>
      <c r="H196" s="703"/>
      <c r="I196" s="703"/>
      <c r="J196" s="703"/>
      <c r="K196" s="703"/>
      <c r="L196" s="703"/>
      <c r="M196" s="703"/>
      <c r="N196" s="703"/>
      <c r="O196" s="703"/>
      <c r="P196" s="703"/>
      <c r="Q196" s="703"/>
      <c r="R196" s="703"/>
      <c r="S196" s="703"/>
      <c r="T196" s="703"/>
      <c r="U196" s="703"/>
      <c r="V196" s="703"/>
      <c r="W196" s="703"/>
      <c r="X196" s="703"/>
      <c r="Y196" s="703"/>
      <c r="Z196" s="703"/>
      <c r="AA196" s="703"/>
      <c r="AB196" s="703"/>
      <c r="AC196" s="703"/>
      <c r="AD196" s="703"/>
      <c r="AE196" s="703"/>
      <c r="AF196" s="703"/>
      <c r="AG196" s="703"/>
      <c r="AH196" s="703"/>
      <c r="AI196" s="703"/>
      <c r="AJ196" s="703"/>
      <c r="AK196" s="703"/>
      <c r="AL196" s="703"/>
      <c r="AM196" s="703"/>
      <c r="AN196" s="703"/>
      <c r="AO196" s="703"/>
      <c r="AP196" s="703"/>
      <c r="AQ196" s="703"/>
      <c r="AR196" s="703"/>
      <c r="AS196" s="703"/>
      <c r="AT196" s="703"/>
      <c r="AU196" s="703"/>
      <c r="AV196" s="703"/>
      <c r="AW196" s="703"/>
      <c r="AX196" s="703"/>
      <c r="AY196" s="703"/>
      <c r="AZ196" s="703"/>
      <c r="BA196" s="703"/>
      <c r="BB196" s="703"/>
      <c r="BC196" s="703"/>
      <c r="BD196" s="703"/>
      <c r="BE196" s="703"/>
    </row>
    <row r="197" spans="1:57" hidden="1" outlineLevel="1" x14ac:dyDescent="0.2">
      <c r="E197" s="903" t="str">
        <f xml:space="preserve"> ConTime!E$10</f>
        <v>Model column counter</v>
      </c>
      <c r="F197" s="903">
        <f xml:space="preserve"> ConTime!F$10</f>
        <v>0</v>
      </c>
      <c r="G197" s="903" t="str">
        <f xml:space="preserve"> ConTime!G$10</f>
        <v>counter</v>
      </c>
      <c r="H197" s="903">
        <f xml:space="preserve"> ConTime!H$10</f>
        <v>0</v>
      </c>
      <c r="I197" s="903">
        <f xml:space="preserve"> ConTime!I$10</f>
        <v>0</v>
      </c>
      <c r="J197" s="903">
        <f xml:space="preserve"> ConTime!J$10</f>
        <v>1</v>
      </c>
      <c r="K197" s="903">
        <f xml:space="preserve"> ConTime!K$10</f>
        <v>2</v>
      </c>
      <c r="L197" s="903">
        <f xml:space="preserve"> ConTime!L$10</f>
        <v>3</v>
      </c>
      <c r="M197" s="903">
        <f xml:space="preserve"> ConTime!M$10</f>
        <v>4</v>
      </c>
      <c r="N197" s="903">
        <f xml:space="preserve"> ConTime!N$10</f>
        <v>5</v>
      </c>
      <c r="O197" s="903">
        <f xml:space="preserve"> ConTime!O$10</f>
        <v>6</v>
      </c>
      <c r="P197" s="903">
        <f xml:space="preserve"> ConTime!P$10</f>
        <v>7</v>
      </c>
      <c r="Q197" s="903">
        <f xml:space="preserve"> ConTime!Q$10</f>
        <v>8</v>
      </c>
      <c r="R197" s="903">
        <f xml:space="preserve"> ConTime!R$10</f>
        <v>9</v>
      </c>
      <c r="S197" s="903">
        <f xml:space="preserve"> ConTime!S$10</f>
        <v>10</v>
      </c>
      <c r="T197" s="903">
        <f xml:space="preserve"> ConTime!T$10</f>
        <v>11</v>
      </c>
      <c r="U197" s="903">
        <f xml:space="preserve"> ConTime!U$10</f>
        <v>12</v>
      </c>
      <c r="V197" s="903">
        <f xml:space="preserve"> ConTime!V$10</f>
        <v>13</v>
      </c>
      <c r="W197" s="903">
        <f xml:space="preserve"> ConTime!W$10</f>
        <v>14</v>
      </c>
      <c r="X197" s="903">
        <f xml:space="preserve"> ConTime!X$10</f>
        <v>15</v>
      </c>
      <c r="Y197" s="903">
        <f xml:space="preserve"> ConTime!Y$10</f>
        <v>16</v>
      </c>
      <c r="Z197" s="903">
        <f xml:space="preserve"> ConTime!Z$10</f>
        <v>17</v>
      </c>
      <c r="AA197" s="903">
        <f xml:space="preserve"> ConTime!AA$10</f>
        <v>18</v>
      </c>
      <c r="AB197" s="903">
        <f xml:space="preserve"> ConTime!AB$10</f>
        <v>19</v>
      </c>
      <c r="AC197" s="903">
        <f xml:space="preserve"> ConTime!AC$10</f>
        <v>20</v>
      </c>
      <c r="AD197" s="903">
        <f xml:space="preserve"> ConTime!AD$10</f>
        <v>21</v>
      </c>
      <c r="AE197" s="903">
        <f xml:space="preserve"> ConTime!AE$10</f>
        <v>22</v>
      </c>
      <c r="AF197" s="903">
        <f xml:space="preserve"> ConTime!AF$10</f>
        <v>23</v>
      </c>
      <c r="AG197" s="903">
        <f xml:space="preserve"> ConTime!AG$10</f>
        <v>24</v>
      </c>
      <c r="AH197" s="903">
        <f xml:space="preserve"> ConTime!AH$10</f>
        <v>25</v>
      </c>
      <c r="AI197" s="903">
        <f xml:space="preserve"> ConTime!AI$10</f>
        <v>26</v>
      </c>
      <c r="AJ197" s="903">
        <f xml:space="preserve"> ConTime!AJ$10</f>
        <v>27</v>
      </c>
      <c r="AK197" s="903">
        <f xml:space="preserve"> ConTime!AK$10</f>
        <v>28</v>
      </c>
      <c r="AL197" s="903">
        <f xml:space="preserve"> ConTime!AL$10</f>
        <v>29</v>
      </c>
      <c r="AM197" s="903">
        <f xml:space="preserve"> ConTime!AM$10</f>
        <v>30</v>
      </c>
      <c r="AN197" s="903">
        <f xml:space="preserve"> ConTime!AN$10</f>
        <v>31</v>
      </c>
      <c r="AO197" s="903">
        <f xml:space="preserve"> ConTime!AO$10</f>
        <v>32</v>
      </c>
      <c r="AP197" s="903">
        <f xml:space="preserve"> ConTime!AP$10</f>
        <v>33</v>
      </c>
      <c r="AQ197" s="903">
        <f xml:space="preserve"> ConTime!AQ$10</f>
        <v>34</v>
      </c>
      <c r="AR197" s="903">
        <f xml:space="preserve"> ConTime!AR$10</f>
        <v>35</v>
      </c>
      <c r="AS197" s="903">
        <f xml:space="preserve"> ConTime!AS$10</f>
        <v>36</v>
      </c>
      <c r="AT197" s="903">
        <f xml:space="preserve"> ConTime!AT$10</f>
        <v>37</v>
      </c>
      <c r="AU197" s="903">
        <f xml:space="preserve"> ConTime!AU$10</f>
        <v>38</v>
      </c>
      <c r="AV197" s="903">
        <f xml:space="preserve"> ConTime!AV$10</f>
        <v>39</v>
      </c>
      <c r="AW197" s="903">
        <f xml:space="preserve"> ConTime!AW$10</f>
        <v>40</v>
      </c>
      <c r="AX197" s="903">
        <f xml:space="preserve"> ConTime!AX$10</f>
        <v>41</v>
      </c>
      <c r="AY197" s="903">
        <f xml:space="preserve"> ConTime!AY$10</f>
        <v>42</v>
      </c>
      <c r="AZ197" s="903">
        <f xml:space="preserve"> ConTime!AZ$10</f>
        <v>43</v>
      </c>
      <c r="BA197" s="903">
        <f xml:space="preserve"> ConTime!BA$10</f>
        <v>44</v>
      </c>
      <c r="BB197" s="903">
        <f xml:space="preserve"> ConTime!BB$10</f>
        <v>45</v>
      </c>
      <c r="BC197" s="903">
        <f xml:space="preserve"> ConTime!BC$10</f>
        <v>46</v>
      </c>
      <c r="BD197" s="903">
        <f xml:space="preserve"> ConTime!BD$10</f>
        <v>47</v>
      </c>
      <c r="BE197" s="903">
        <f xml:space="preserve"> ConTime!BE$10</f>
        <v>48</v>
      </c>
    </row>
    <row r="198" spans="1:57" hidden="1" outlineLevel="1" x14ac:dyDescent="0.2">
      <c r="E198" s="526" t="str">
        <f t="shared" ref="E198:AJ198" si="51" xml:space="preserve"> E$194</f>
        <v>Early generation costs accrued - m</v>
      </c>
      <c r="F198" s="526">
        <f t="shared" si="51"/>
        <v>0</v>
      </c>
      <c r="G198" s="526" t="str">
        <f t="shared" si="51"/>
        <v>$ 000s</v>
      </c>
      <c r="H198" s="526">
        <f t="shared" si="51"/>
        <v>0</v>
      </c>
      <c r="I198" s="526">
        <f t="shared" si="51"/>
        <v>0</v>
      </c>
      <c r="J198" s="526">
        <f t="shared" si="51"/>
        <v>0</v>
      </c>
      <c r="K198" s="526">
        <f t="shared" si="51"/>
        <v>0</v>
      </c>
      <c r="L198" s="526">
        <f t="shared" si="51"/>
        <v>0</v>
      </c>
      <c r="M198" s="526">
        <f t="shared" si="51"/>
        <v>0</v>
      </c>
      <c r="N198" s="526">
        <f t="shared" si="51"/>
        <v>0</v>
      </c>
      <c r="O198" s="526">
        <f t="shared" si="51"/>
        <v>0</v>
      </c>
      <c r="P198" s="526">
        <f t="shared" si="51"/>
        <v>0</v>
      </c>
      <c r="Q198" s="526">
        <f t="shared" si="51"/>
        <v>0</v>
      </c>
      <c r="R198" s="526">
        <f t="shared" si="51"/>
        <v>0</v>
      </c>
      <c r="S198" s="526">
        <f t="shared" si="51"/>
        <v>0</v>
      </c>
      <c r="T198" s="526">
        <f t="shared" si="51"/>
        <v>0</v>
      </c>
      <c r="U198" s="526">
        <f t="shared" si="51"/>
        <v>0</v>
      </c>
      <c r="V198" s="526">
        <f t="shared" si="51"/>
        <v>0</v>
      </c>
      <c r="W198" s="526">
        <f t="shared" si="51"/>
        <v>0</v>
      </c>
      <c r="X198" s="526">
        <f t="shared" si="51"/>
        <v>0</v>
      </c>
      <c r="Y198" s="526">
        <f t="shared" si="51"/>
        <v>0</v>
      </c>
      <c r="Z198" s="526">
        <f t="shared" si="51"/>
        <v>0</v>
      </c>
      <c r="AA198" s="526">
        <f t="shared" si="51"/>
        <v>0</v>
      </c>
      <c r="AB198" s="526">
        <f t="shared" si="51"/>
        <v>0</v>
      </c>
      <c r="AC198" s="526">
        <f t="shared" si="51"/>
        <v>0</v>
      </c>
      <c r="AD198" s="526">
        <f t="shared" si="51"/>
        <v>0</v>
      </c>
      <c r="AE198" s="526">
        <f t="shared" si="51"/>
        <v>0</v>
      </c>
      <c r="AF198" s="526">
        <f t="shared" si="51"/>
        <v>0</v>
      </c>
      <c r="AG198" s="526">
        <f t="shared" si="51"/>
        <v>0</v>
      </c>
      <c r="AH198" s="526">
        <f t="shared" si="51"/>
        <v>0</v>
      </c>
      <c r="AI198" s="526">
        <f t="shared" si="51"/>
        <v>0</v>
      </c>
      <c r="AJ198" s="526">
        <f t="shared" si="51"/>
        <v>0</v>
      </c>
      <c r="AK198" s="526">
        <f t="shared" ref="AK198:BE198" si="52" xml:space="preserve"> AK$194</f>
        <v>0</v>
      </c>
      <c r="AL198" s="526">
        <f t="shared" si="52"/>
        <v>0</v>
      </c>
      <c r="AM198" s="526">
        <f t="shared" si="52"/>
        <v>0</v>
      </c>
      <c r="AN198" s="526">
        <f t="shared" si="52"/>
        <v>0</v>
      </c>
      <c r="AO198" s="526">
        <f t="shared" si="52"/>
        <v>0</v>
      </c>
      <c r="AP198" s="526">
        <f t="shared" si="52"/>
        <v>0</v>
      </c>
      <c r="AQ198" s="526">
        <f t="shared" si="52"/>
        <v>0</v>
      </c>
      <c r="AR198" s="526">
        <f t="shared" si="52"/>
        <v>0</v>
      </c>
      <c r="AS198" s="526">
        <f t="shared" si="52"/>
        <v>0</v>
      </c>
      <c r="AT198" s="526">
        <f t="shared" si="52"/>
        <v>0</v>
      </c>
      <c r="AU198" s="526">
        <f t="shared" si="52"/>
        <v>0</v>
      </c>
      <c r="AV198" s="526">
        <f t="shared" si="52"/>
        <v>0</v>
      </c>
      <c r="AW198" s="526">
        <f t="shared" si="52"/>
        <v>0</v>
      </c>
      <c r="AX198" s="526">
        <f t="shared" si="52"/>
        <v>0</v>
      </c>
      <c r="AY198" s="526">
        <f t="shared" si="52"/>
        <v>0</v>
      </c>
      <c r="AZ198" s="526">
        <f t="shared" si="52"/>
        <v>0</v>
      </c>
      <c r="BA198" s="526">
        <f t="shared" si="52"/>
        <v>0</v>
      </c>
      <c r="BB198" s="526">
        <f t="shared" si="52"/>
        <v>0</v>
      </c>
      <c r="BC198" s="526">
        <f t="shared" si="52"/>
        <v>0</v>
      </c>
      <c r="BD198" s="526">
        <f t="shared" si="52"/>
        <v>0</v>
      </c>
      <c r="BE198" s="526">
        <f t="shared" si="52"/>
        <v>0</v>
      </c>
    </row>
    <row r="199" spans="1:57" hidden="1" outlineLevel="1" x14ac:dyDescent="0.2">
      <c r="E199" s="703" t="s">
        <v>738</v>
      </c>
      <c r="F199" s="703"/>
      <c r="G199" s="703" t="str">
        <f xml:space="preserve"> SMU</f>
        <v>$ 000s</v>
      </c>
      <c r="H199" s="703">
        <f xml:space="preserve"> SUM(J199:BE199)</f>
        <v>0</v>
      </c>
      <c r="I199" s="703"/>
      <c r="J199" s="703">
        <f xml:space="preserve"> SUMIF($J197:J197, J197 - $F196, $J198:J198)</f>
        <v>0</v>
      </c>
      <c r="K199" s="703">
        <f xml:space="preserve"> SUMIF($J197:K197, K197 - $F196, $J198:K198)</f>
        <v>0</v>
      </c>
      <c r="L199" s="703">
        <f xml:space="preserve"> SUMIF($J197:L197, L197 - $F196, $J198:L198)</f>
        <v>0</v>
      </c>
      <c r="M199" s="703">
        <f xml:space="preserve"> SUMIF($J197:M197, M197 - $F196, $J198:M198)</f>
        <v>0</v>
      </c>
      <c r="N199" s="703">
        <f xml:space="preserve"> SUMIF($J197:N197, N197 - $F196, $J198:N198)</f>
        <v>0</v>
      </c>
      <c r="O199" s="703">
        <f xml:space="preserve"> SUMIF($J197:O197, O197 - $F196, $J198:O198)</f>
        <v>0</v>
      </c>
      <c r="P199" s="703">
        <f xml:space="preserve"> SUMIF($J197:P197, P197 - $F196, $J198:P198)</f>
        <v>0</v>
      </c>
      <c r="Q199" s="703">
        <f xml:space="preserve"> SUMIF($J197:Q197, Q197 - $F196, $J198:Q198)</f>
        <v>0</v>
      </c>
      <c r="R199" s="703">
        <f xml:space="preserve"> SUMIF($J197:R197, R197 - $F196, $J198:R198)</f>
        <v>0</v>
      </c>
      <c r="S199" s="703">
        <f xml:space="preserve"> SUMIF($J197:S197, S197 - $F196, $J198:S198)</f>
        <v>0</v>
      </c>
      <c r="T199" s="703">
        <f xml:space="preserve"> SUMIF($J197:T197, T197 - $F196, $J198:T198)</f>
        <v>0</v>
      </c>
      <c r="U199" s="703">
        <f xml:space="preserve"> SUMIF($J197:U197, U197 - $F196, $J198:U198)</f>
        <v>0</v>
      </c>
      <c r="V199" s="703">
        <f xml:space="preserve"> SUMIF($J197:V197, V197 - $F196, $J198:V198)</f>
        <v>0</v>
      </c>
      <c r="W199" s="703">
        <f xml:space="preserve"> SUMIF($J197:W197, W197 - $F196, $J198:W198)</f>
        <v>0</v>
      </c>
      <c r="X199" s="703">
        <f xml:space="preserve"> SUMIF($J197:X197, X197 - $F196, $J198:X198)</f>
        <v>0</v>
      </c>
      <c r="Y199" s="703">
        <f xml:space="preserve"> SUMIF($J197:Y197, Y197 - $F196, $J198:Y198)</f>
        <v>0</v>
      </c>
      <c r="Z199" s="703">
        <f xml:space="preserve"> SUMIF($J197:Z197, Z197 - $F196, $J198:Z198)</f>
        <v>0</v>
      </c>
      <c r="AA199" s="703">
        <f xml:space="preserve"> SUMIF($J197:AA197, AA197 - $F196, $J198:AA198)</f>
        <v>0</v>
      </c>
      <c r="AB199" s="703">
        <f xml:space="preserve"> SUMIF($J197:AB197, AB197 - $F196, $J198:AB198)</f>
        <v>0</v>
      </c>
      <c r="AC199" s="703">
        <f xml:space="preserve"> SUMIF($J197:AC197, AC197 - $F196, $J198:AC198)</f>
        <v>0</v>
      </c>
      <c r="AD199" s="703">
        <f xml:space="preserve"> SUMIF($J197:AD197, AD197 - $F196, $J198:AD198)</f>
        <v>0</v>
      </c>
      <c r="AE199" s="703">
        <f xml:space="preserve"> SUMIF($J197:AE197, AE197 - $F196, $J198:AE198)</f>
        <v>0</v>
      </c>
      <c r="AF199" s="703">
        <f xml:space="preserve"> SUMIF($J197:AF197, AF197 - $F196, $J198:AF198)</f>
        <v>0</v>
      </c>
      <c r="AG199" s="703">
        <f xml:space="preserve"> SUMIF($J197:AG197, AG197 - $F196, $J198:AG198)</f>
        <v>0</v>
      </c>
      <c r="AH199" s="703">
        <f xml:space="preserve"> SUMIF($J197:AH197, AH197 - $F196, $J198:AH198)</f>
        <v>0</v>
      </c>
      <c r="AI199" s="703">
        <f xml:space="preserve"> SUMIF($J197:AI197, AI197 - $F196, $J198:AI198)</f>
        <v>0</v>
      </c>
      <c r="AJ199" s="703">
        <f xml:space="preserve"> SUMIF($J197:AJ197, AJ197 - $F196, $J198:AJ198)</f>
        <v>0</v>
      </c>
      <c r="AK199" s="703">
        <f xml:space="preserve"> SUMIF($J197:AK197, AK197 - $F196, $J198:AK198)</f>
        <v>0</v>
      </c>
      <c r="AL199" s="703">
        <f xml:space="preserve"> SUMIF($J197:AL197, AL197 - $F196, $J198:AL198)</f>
        <v>0</v>
      </c>
      <c r="AM199" s="703">
        <f xml:space="preserve"> SUMIF($J197:AM197, AM197 - $F196, $J198:AM198)</f>
        <v>0</v>
      </c>
      <c r="AN199" s="703">
        <f xml:space="preserve"> SUMIF($J197:AN197, AN197 - $F196, $J198:AN198)</f>
        <v>0</v>
      </c>
      <c r="AO199" s="703">
        <f xml:space="preserve"> SUMIF($J197:AO197, AO197 - $F196, $J198:AO198)</f>
        <v>0</v>
      </c>
      <c r="AP199" s="703">
        <f xml:space="preserve"> SUMIF($J197:AP197, AP197 - $F196, $J198:AP198)</f>
        <v>0</v>
      </c>
      <c r="AQ199" s="703">
        <f xml:space="preserve"> SUMIF($J197:AQ197, AQ197 - $F196, $J198:AQ198)</f>
        <v>0</v>
      </c>
      <c r="AR199" s="703">
        <f xml:space="preserve"> SUMIF($J197:AR197, AR197 - $F196, $J198:AR198)</f>
        <v>0</v>
      </c>
      <c r="AS199" s="703">
        <f xml:space="preserve"> SUMIF($J197:AS197, AS197 - $F196, $J198:AS198)</f>
        <v>0</v>
      </c>
      <c r="AT199" s="703">
        <f xml:space="preserve"> SUMIF($J197:AT197, AT197 - $F196, $J198:AT198)</f>
        <v>0</v>
      </c>
      <c r="AU199" s="703">
        <f xml:space="preserve"> SUMIF($J197:AU197, AU197 - $F196, $J198:AU198)</f>
        <v>0</v>
      </c>
      <c r="AV199" s="703">
        <f xml:space="preserve"> SUMIF($J197:AV197, AV197 - $F196, $J198:AV198)</f>
        <v>0</v>
      </c>
      <c r="AW199" s="703">
        <f xml:space="preserve"> SUMIF($J197:AW197, AW197 - $F196, $J198:AW198)</f>
        <v>0</v>
      </c>
      <c r="AX199" s="703">
        <f xml:space="preserve"> SUMIF($J197:AX197, AX197 - $F196, $J198:AX198)</f>
        <v>0</v>
      </c>
      <c r="AY199" s="703">
        <f xml:space="preserve"> SUMIF($J197:AY197, AY197 - $F196, $J198:AY198)</f>
        <v>0</v>
      </c>
      <c r="AZ199" s="703">
        <f xml:space="preserve"> SUMIF($J197:AZ197, AZ197 - $F196, $J198:AZ198)</f>
        <v>0</v>
      </c>
      <c r="BA199" s="703">
        <f xml:space="preserve"> SUMIF($J197:BA197, BA197 - $F196, $J198:BA198)</f>
        <v>0</v>
      </c>
      <c r="BB199" s="703">
        <f xml:space="preserve"> SUMIF($J197:BB197, BB197 - $F196, $J198:BB198)</f>
        <v>0</v>
      </c>
      <c r="BC199" s="703">
        <f xml:space="preserve"> SUMIF($J197:BC197, BC197 - $F196, $J198:BC198)</f>
        <v>0</v>
      </c>
      <c r="BD199" s="703">
        <f xml:space="preserve"> SUMIF($J197:BD197, BD197 - $F196, $J198:BD198)</f>
        <v>0</v>
      </c>
      <c r="BE199" s="703">
        <f xml:space="preserve"> SUMIF($J197:BE197, BE197 - $F196, $J198:BE198)</f>
        <v>0</v>
      </c>
    </row>
    <row r="200" spans="1:57" hidden="1" outlineLevel="1" x14ac:dyDescent="0.2">
      <c r="E200" s="526"/>
      <c r="F200" s="526"/>
      <c r="G200" s="526"/>
      <c r="H200" s="526"/>
      <c r="I200" s="526"/>
      <c r="J200" s="526"/>
      <c r="K200" s="526"/>
      <c r="L200" s="526"/>
      <c r="M200" s="526"/>
      <c r="N200" s="526"/>
      <c r="O200" s="526"/>
      <c r="P200" s="526"/>
      <c r="Q200" s="526"/>
      <c r="R200" s="526"/>
      <c r="S200" s="526"/>
      <c r="T200" s="526"/>
      <c r="U200" s="526"/>
      <c r="V200" s="526"/>
      <c r="W200" s="526"/>
      <c r="X200" s="526"/>
      <c r="Y200" s="526"/>
      <c r="Z200" s="526"/>
      <c r="AA200" s="526"/>
      <c r="AB200" s="526"/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</row>
    <row r="201" spans="1:57" hidden="1" outlineLevel="1" x14ac:dyDescent="0.2">
      <c r="E201" s="526" t="str">
        <f xml:space="preserve"> E$199</f>
        <v>Early generation costs paid - m</v>
      </c>
      <c r="F201" s="526">
        <f t="shared" ref="F201:BE201" si="53" xml:space="preserve"> F$199</f>
        <v>0</v>
      </c>
      <c r="G201" s="526" t="str">
        <f t="shared" si="53"/>
        <v>$ 000s</v>
      </c>
      <c r="H201" s="526">
        <f t="shared" si="53"/>
        <v>0</v>
      </c>
      <c r="I201" s="526">
        <f t="shared" si="53"/>
        <v>0</v>
      </c>
      <c r="J201" s="526">
        <f t="shared" si="53"/>
        <v>0</v>
      </c>
      <c r="K201" s="526">
        <f t="shared" si="53"/>
        <v>0</v>
      </c>
      <c r="L201" s="526">
        <f t="shared" si="53"/>
        <v>0</v>
      </c>
      <c r="M201" s="526">
        <f t="shared" si="53"/>
        <v>0</v>
      </c>
      <c r="N201" s="526">
        <f t="shared" si="53"/>
        <v>0</v>
      </c>
      <c r="O201" s="526">
        <f t="shared" si="53"/>
        <v>0</v>
      </c>
      <c r="P201" s="526">
        <f t="shared" si="53"/>
        <v>0</v>
      </c>
      <c r="Q201" s="526">
        <f t="shared" si="53"/>
        <v>0</v>
      </c>
      <c r="R201" s="526">
        <f t="shared" si="53"/>
        <v>0</v>
      </c>
      <c r="S201" s="526">
        <f t="shared" si="53"/>
        <v>0</v>
      </c>
      <c r="T201" s="526">
        <f t="shared" si="53"/>
        <v>0</v>
      </c>
      <c r="U201" s="526">
        <f t="shared" si="53"/>
        <v>0</v>
      </c>
      <c r="V201" s="526">
        <f t="shared" si="53"/>
        <v>0</v>
      </c>
      <c r="W201" s="526">
        <f t="shared" si="53"/>
        <v>0</v>
      </c>
      <c r="X201" s="526">
        <f t="shared" si="53"/>
        <v>0</v>
      </c>
      <c r="Y201" s="526">
        <f t="shared" si="53"/>
        <v>0</v>
      </c>
      <c r="Z201" s="526">
        <f t="shared" si="53"/>
        <v>0</v>
      </c>
      <c r="AA201" s="526">
        <f t="shared" si="53"/>
        <v>0</v>
      </c>
      <c r="AB201" s="526">
        <f t="shared" si="53"/>
        <v>0</v>
      </c>
      <c r="AC201" s="526">
        <f t="shared" si="53"/>
        <v>0</v>
      </c>
      <c r="AD201" s="526">
        <f t="shared" si="53"/>
        <v>0</v>
      </c>
      <c r="AE201" s="526">
        <f t="shared" si="53"/>
        <v>0</v>
      </c>
      <c r="AF201" s="526">
        <f t="shared" si="53"/>
        <v>0</v>
      </c>
      <c r="AG201" s="526">
        <f t="shared" si="53"/>
        <v>0</v>
      </c>
      <c r="AH201" s="526">
        <f t="shared" si="53"/>
        <v>0</v>
      </c>
      <c r="AI201" s="526">
        <f t="shared" si="53"/>
        <v>0</v>
      </c>
      <c r="AJ201" s="526">
        <f t="shared" si="53"/>
        <v>0</v>
      </c>
      <c r="AK201" s="526">
        <f t="shared" si="53"/>
        <v>0</v>
      </c>
      <c r="AL201" s="526">
        <f t="shared" si="53"/>
        <v>0</v>
      </c>
      <c r="AM201" s="526">
        <f t="shared" si="53"/>
        <v>0</v>
      </c>
      <c r="AN201" s="526">
        <f t="shared" si="53"/>
        <v>0</v>
      </c>
      <c r="AO201" s="526">
        <f t="shared" si="53"/>
        <v>0</v>
      </c>
      <c r="AP201" s="526">
        <f t="shared" si="53"/>
        <v>0</v>
      </c>
      <c r="AQ201" s="526">
        <f t="shared" si="53"/>
        <v>0</v>
      </c>
      <c r="AR201" s="526">
        <f t="shared" si="53"/>
        <v>0</v>
      </c>
      <c r="AS201" s="526">
        <f t="shared" si="53"/>
        <v>0</v>
      </c>
      <c r="AT201" s="526">
        <f t="shared" si="53"/>
        <v>0</v>
      </c>
      <c r="AU201" s="526">
        <f t="shared" si="53"/>
        <v>0</v>
      </c>
      <c r="AV201" s="526">
        <f t="shared" si="53"/>
        <v>0</v>
      </c>
      <c r="AW201" s="526">
        <f t="shared" si="53"/>
        <v>0</v>
      </c>
      <c r="AX201" s="526">
        <f t="shared" si="53"/>
        <v>0</v>
      </c>
      <c r="AY201" s="526">
        <f t="shared" si="53"/>
        <v>0</v>
      </c>
      <c r="AZ201" s="526">
        <f t="shared" si="53"/>
        <v>0</v>
      </c>
      <c r="BA201" s="526">
        <f t="shared" si="53"/>
        <v>0</v>
      </c>
      <c r="BB201" s="526">
        <f t="shared" si="53"/>
        <v>0</v>
      </c>
      <c r="BC201" s="526">
        <f t="shared" si="53"/>
        <v>0</v>
      </c>
      <c r="BD201" s="526">
        <f t="shared" si="53"/>
        <v>0</v>
      </c>
      <c r="BE201" s="526">
        <f t="shared" si="53"/>
        <v>0</v>
      </c>
    </row>
    <row r="202" spans="1:57" hidden="1" outlineLevel="1" x14ac:dyDescent="0.2">
      <c r="E202" s="186" t="str">
        <f xml:space="preserve"> ConTime!E$82</f>
        <v>Construction period flag</v>
      </c>
      <c r="F202" s="186">
        <f xml:space="preserve"> ConTime!F$82</f>
        <v>0</v>
      </c>
      <c r="G202" s="186" t="str">
        <f xml:space="preserve"> ConTime!G$82</f>
        <v>flag</v>
      </c>
      <c r="H202" s="186">
        <f xml:space="preserve"> ConTime!H$82</f>
        <v>26</v>
      </c>
      <c r="I202" s="186">
        <f xml:space="preserve"> ConTime!I$82</f>
        <v>0</v>
      </c>
      <c r="J202" s="186">
        <f xml:space="preserve"> ConTime!J$82</f>
        <v>0</v>
      </c>
      <c r="K202" s="186">
        <f xml:space="preserve"> ConTime!K$82</f>
        <v>0</v>
      </c>
      <c r="L202" s="186">
        <f xml:space="preserve"> ConTime!L$82</f>
        <v>0</v>
      </c>
      <c r="M202" s="186">
        <f xml:space="preserve"> ConTime!M$82</f>
        <v>0</v>
      </c>
      <c r="N202" s="186">
        <f xml:space="preserve"> ConTime!N$82</f>
        <v>1</v>
      </c>
      <c r="O202" s="186">
        <f xml:space="preserve"> ConTime!O$82</f>
        <v>1</v>
      </c>
      <c r="P202" s="186">
        <f xml:space="preserve"> ConTime!P$82</f>
        <v>1</v>
      </c>
      <c r="Q202" s="186">
        <f xml:space="preserve"> ConTime!Q$82</f>
        <v>1</v>
      </c>
      <c r="R202" s="186">
        <f xml:space="preserve"> ConTime!R$82</f>
        <v>1</v>
      </c>
      <c r="S202" s="186">
        <f xml:space="preserve"> ConTime!S$82</f>
        <v>1</v>
      </c>
      <c r="T202" s="186">
        <f xml:space="preserve"> ConTime!T$82</f>
        <v>1</v>
      </c>
      <c r="U202" s="186">
        <f xml:space="preserve"> ConTime!U$82</f>
        <v>1</v>
      </c>
      <c r="V202" s="186">
        <f xml:space="preserve"> ConTime!V$82</f>
        <v>1</v>
      </c>
      <c r="W202" s="186">
        <f xml:space="preserve"> ConTime!W$82</f>
        <v>1</v>
      </c>
      <c r="X202" s="186">
        <f xml:space="preserve"> ConTime!X$82</f>
        <v>1</v>
      </c>
      <c r="Y202" s="186">
        <f xml:space="preserve"> ConTime!Y$82</f>
        <v>1</v>
      </c>
      <c r="Z202" s="186">
        <f xml:space="preserve"> ConTime!Z$82</f>
        <v>1</v>
      </c>
      <c r="AA202" s="186">
        <f xml:space="preserve"> ConTime!AA$82</f>
        <v>1</v>
      </c>
      <c r="AB202" s="186">
        <f xml:space="preserve"> ConTime!AB$82</f>
        <v>1</v>
      </c>
      <c r="AC202" s="186">
        <f xml:space="preserve"> ConTime!AC$82</f>
        <v>1</v>
      </c>
      <c r="AD202" s="186">
        <f xml:space="preserve"> ConTime!AD$82</f>
        <v>1</v>
      </c>
      <c r="AE202" s="186">
        <f xml:space="preserve"> ConTime!AE$82</f>
        <v>1</v>
      </c>
      <c r="AF202" s="186">
        <f xml:space="preserve"> ConTime!AF$82</f>
        <v>1</v>
      </c>
      <c r="AG202" s="186">
        <f xml:space="preserve"> ConTime!AG$82</f>
        <v>1</v>
      </c>
      <c r="AH202" s="186">
        <f xml:space="preserve"> ConTime!AH$82</f>
        <v>1</v>
      </c>
      <c r="AI202" s="186">
        <f xml:space="preserve"> ConTime!AI$82</f>
        <v>1</v>
      </c>
      <c r="AJ202" s="186">
        <f xml:space="preserve"> ConTime!AJ$82</f>
        <v>1</v>
      </c>
      <c r="AK202" s="186">
        <f xml:space="preserve"> ConTime!AK$82</f>
        <v>1</v>
      </c>
      <c r="AL202" s="186">
        <f xml:space="preserve"> ConTime!AL$82</f>
        <v>1</v>
      </c>
      <c r="AM202" s="186">
        <f xml:space="preserve"> ConTime!AM$82</f>
        <v>1</v>
      </c>
      <c r="AN202" s="186">
        <f xml:space="preserve"> ConTime!AN$82</f>
        <v>0</v>
      </c>
      <c r="AO202" s="186">
        <f xml:space="preserve"> ConTime!AO$82</f>
        <v>0</v>
      </c>
      <c r="AP202" s="186">
        <f xml:space="preserve"> ConTime!AP$82</f>
        <v>0</v>
      </c>
      <c r="AQ202" s="186">
        <f xml:space="preserve"> ConTime!AQ$82</f>
        <v>0</v>
      </c>
      <c r="AR202" s="186">
        <f xml:space="preserve"> ConTime!AR$82</f>
        <v>0</v>
      </c>
      <c r="AS202" s="186">
        <f xml:space="preserve"> ConTime!AS$82</f>
        <v>0</v>
      </c>
      <c r="AT202" s="186">
        <f xml:space="preserve"> ConTime!AT$82</f>
        <v>0</v>
      </c>
      <c r="AU202" s="186">
        <f xml:space="preserve"> ConTime!AU$82</f>
        <v>0</v>
      </c>
      <c r="AV202" s="186">
        <f xml:space="preserve"> ConTime!AV$82</f>
        <v>0</v>
      </c>
      <c r="AW202" s="186">
        <f xml:space="preserve"> ConTime!AW$82</f>
        <v>0</v>
      </c>
      <c r="AX202" s="186">
        <f xml:space="preserve"> ConTime!AX$82</f>
        <v>0</v>
      </c>
      <c r="AY202" s="186">
        <f xml:space="preserve"> ConTime!AY$82</f>
        <v>0</v>
      </c>
      <c r="AZ202" s="186">
        <f xml:space="preserve"> ConTime!AZ$82</f>
        <v>0</v>
      </c>
      <c r="BA202" s="186">
        <f xml:space="preserve"> ConTime!BA$82</f>
        <v>0</v>
      </c>
      <c r="BB202" s="186">
        <f xml:space="preserve"> ConTime!BB$82</f>
        <v>0</v>
      </c>
      <c r="BC202" s="186">
        <f xml:space="preserve"> ConTime!BC$82</f>
        <v>0</v>
      </c>
      <c r="BD202" s="186">
        <f xml:space="preserve"> ConTime!BD$82</f>
        <v>0</v>
      </c>
      <c r="BE202" s="186">
        <f xml:space="preserve"> ConTime!BE$82</f>
        <v>0</v>
      </c>
    </row>
    <row r="203" spans="1:57" hidden="1" outlineLevel="1" x14ac:dyDescent="0.2">
      <c r="E203" s="703" t="s">
        <v>749</v>
      </c>
      <c r="F203" s="703"/>
      <c r="G203" s="703" t="str">
        <f xml:space="preserve"> SMU</f>
        <v>$ 000s</v>
      </c>
      <c r="H203" s="703">
        <f xml:space="preserve"> SUM(J203:BE203)</f>
        <v>0</v>
      </c>
      <c r="I203" s="703"/>
      <c r="J203" s="703">
        <f t="shared" ref="J203:BE203" si="54" xml:space="preserve"> J201 * J202</f>
        <v>0</v>
      </c>
      <c r="K203" s="703">
        <f t="shared" si="54"/>
        <v>0</v>
      </c>
      <c r="L203" s="703">
        <f t="shared" si="54"/>
        <v>0</v>
      </c>
      <c r="M203" s="703">
        <f t="shared" si="54"/>
        <v>0</v>
      </c>
      <c r="N203" s="703">
        <f t="shared" si="54"/>
        <v>0</v>
      </c>
      <c r="O203" s="703">
        <f t="shared" si="54"/>
        <v>0</v>
      </c>
      <c r="P203" s="703">
        <f t="shared" si="54"/>
        <v>0</v>
      </c>
      <c r="Q203" s="703">
        <f t="shared" si="54"/>
        <v>0</v>
      </c>
      <c r="R203" s="703">
        <f t="shared" si="54"/>
        <v>0</v>
      </c>
      <c r="S203" s="703">
        <f t="shared" si="54"/>
        <v>0</v>
      </c>
      <c r="T203" s="703">
        <f t="shared" si="54"/>
        <v>0</v>
      </c>
      <c r="U203" s="703">
        <f t="shared" si="54"/>
        <v>0</v>
      </c>
      <c r="V203" s="703">
        <f t="shared" si="54"/>
        <v>0</v>
      </c>
      <c r="W203" s="703">
        <f t="shared" si="54"/>
        <v>0</v>
      </c>
      <c r="X203" s="703">
        <f t="shared" si="54"/>
        <v>0</v>
      </c>
      <c r="Y203" s="703">
        <f t="shared" si="54"/>
        <v>0</v>
      </c>
      <c r="Z203" s="703">
        <f t="shared" si="54"/>
        <v>0</v>
      </c>
      <c r="AA203" s="703">
        <f t="shared" si="54"/>
        <v>0</v>
      </c>
      <c r="AB203" s="703">
        <f t="shared" si="54"/>
        <v>0</v>
      </c>
      <c r="AC203" s="703">
        <f t="shared" si="54"/>
        <v>0</v>
      </c>
      <c r="AD203" s="703">
        <f t="shared" si="54"/>
        <v>0</v>
      </c>
      <c r="AE203" s="703">
        <f t="shared" si="54"/>
        <v>0</v>
      </c>
      <c r="AF203" s="703">
        <f t="shared" si="54"/>
        <v>0</v>
      </c>
      <c r="AG203" s="703">
        <f t="shared" si="54"/>
        <v>0</v>
      </c>
      <c r="AH203" s="703">
        <f t="shared" si="54"/>
        <v>0</v>
      </c>
      <c r="AI203" s="703">
        <f t="shared" si="54"/>
        <v>0</v>
      </c>
      <c r="AJ203" s="703">
        <f t="shared" si="54"/>
        <v>0</v>
      </c>
      <c r="AK203" s="703">
        <f t="shared" si="54"/>
        <v>0</v>
      </c>
      <c r="AL203" s="703">
        <f t="shared" si="54"/>
        <v>0</v>
      </c>
      <c r="AM203" s="703">
        <f t="shared" si="54"/>
        <v>0</v>
      </c>
      <c r="AN203" s="703">
        <f t="shared" si="54"/>
        <v>0</v>
      </c>
      <c r="AO203" s="703">
        <f t="shared" si="54"/>
        <v>0</v>
      </c>
      <c r="AP203" s="703">
        <f t="shared" si="54"/>
        <v>0</v>
      </c>
      <c r="AQ203" s="703">
        <f t="shared" si="54"/>
        <v>0</v>
      </c>
      <c r="AR203" s="703">
        <f t="shared" si="54"/>
        <v>0</v>
      </c>
      <c r="AS203" s="703">
        <f t="shared" si="54"/>
        <v>0</v>
      </c>
      <c r="AT203" s="703">
        <f t="shared" si="54"/>
        <v>0</v>
      </c>
      <c r="AU203" s="703">
        <f t="shared" si="54"/>
        <v>0</v>
      </c>
      <c r="AV203" s="703">
        <f t="shared" si="54"/>
        <v>0</v>
      </c>
      <c r="AW203" s="703">
        <f t="shared" si="54"/>
        <v>0</v>
      </c>
      <c r="AX203" s="703">
        <f t="shared" si="54"/>
        <v>0</v>
      </c>
      <c r="AY203" s="703">
        <f t="shared" si="54"/>
        <v>0</v>
      </c>
      <c r="AZ203" s="703">
        <f t="shared" si="54"/>
        <v>0</v>
      </c>
      <c r="BA203" s="703">
        <f t="shared" si="54"/>
        <v>0</v>
      </c>
      <c r="BB203" s="703">
        <f t="shared" si="54"/>
        <v>0</v>
      </c>
      <c r="BC203" s="703">
        <f t="shared" si="54"/>
        <v>0</v>
      </c>
      <c r="BD203" s="703">
        <f t="shared" si="54"/>
        <v>0</v>
      </c>
      <c r="BE203" s="703">
        <f t="shared" si="54"/>
        <v>0</v>
      </c>
    </row>
    <row r="204" spans="1:57" hidden="1" outlineLevel="1" x14ac:dyDescent="0.2">
      <c r="E204" s="703"/>
      <c r="F204" s="703"/>
      <c r="G204" s="703"/>
      <c r="H204" s="703"/>
      <c r="I204" s="703"/>
      <c r="J204" s="703"/>
      <c r="K204" s="703"/>
      <c r="L204" s="703"/>
      <c r="M204" s="703"/>
      <c r="N204" s="703"/>
      <c r="O204" s="703"/>
      <c r="P204" s="703"/>
      <c r="Q204" s="703"/>
      <c r="R204" s="703"/>
      <c r="S204" s="703"/>
      <c r="T204" s="703"/>
      <c r="U204" s="703"/>
      <c r="V204" s="703"/>
      <c r="W204" s="703"/>
      <c r="X204" s="703"/>
      <c r="Y204" s="703"/>
      <c r="Z204" s="703"/>
      <c r="AA204" s="703"/>
      <c r="AB204" s="703"/>
      <c r="AC204" s="703"/>
      <c r="AD204" s="703"/>
      <c r="AE204" s="703"/>
      <c r="AF204" s="703"/>
      <c r="AG204" s="703"/>
      <c r="AH204" s="703"/>
      <c r="AI204" s="703"/>
      <c r="AJ204" s="703"/>
      <c r="AK204" s="703"/>
      <c r="AL204" s="703"/>
      <c r="AM204" s="703"/>
      <c r="AN204" s="703"/>
      <c r="AO204" s="703"/>
      <c r="AP204" s="703"/>
      <c r="AQ204" s="703"/>
      <c r="AR204" s="703"/>
      <c r="AS204" s="703"/>
      <c r="AT204" s="703"/>
      <c r="AU204" s="703"/>
      <c r="AV204" s="703"/>
      <c r="AW204" s="703"/>
      <c r="AX204" s="703"/>
      <c r="AY204" s="703"/>
      <c r="AZ204" s="703"/>
      <c r="BA204" s="703"/>
      <c r="BB204" s="703"/>
      <c r="BC204" s="703"/>
      <c r="BD204" s="703"/>
      <c r="BE204" s="703"/>
    </row>
    <row r="205" spans="1:57" hidden="1" outlineLevel="1" x14ac:dyDescent="0.2">
      <c r="E205" s="12" t="str">
        <f t="shared" ref="E205:AJ205" si="55" xml:space="preserve"> E$203</f>
        <v>Early generation costs paid during construction - m</v>
      </c>
      <c r="F205" s="12">
        <f t="shared" si="55"/>
        <v>0</v>
      </c>
      <c r="G205" s="12" t="str">
        <f t="shared" si="55"/>
        <v>$ 000s</v>
      </c>
      <c r="H205" s="12">
        <f t="shared" si="55"/>
        <v>0</v>
      </c>
      <c r="I205" s="12">
        <f t="shared" si="55"/>
        <v>0</v>
      </c>
      <c r="J205" s="12">
        <f t="shared" si="55"/>
        <v>0</v>
      </c>
      <c r="K205" s="12">
        <f t="shared" si="55"/>
        <v>0</v>
      </c>
      <c r="L205" s="12">
        <f t="shared" si="55"/>
        <v>0</v>
      </c>
      <c r="M205" s="12">
        <f t="shared" si="55"/>
        <v>0</v>
      </c>
      <c r="N205" s="12">
        <f t="shared" si="55"/>
        <v>0</v>
      </c>
      <c r="O205" s="12">
        <f t="shared" si="55"/>
        <v>0</v>
      </c>
      <c r="P205" s="12">
        <f t="shared" si="55"/>
        <v>0</v>
      </c>
      <c r="Q205" s="12">
        <f t="shared" si="55"/>
        <v>0</v>
      </c>
      <c r="R205" s="12">
        <f t="shared" si="55"/>
        <v>0</v>
      </c>
      <c r="S205" s="12">
        <f t="shared" si="55"/>
        <v>0</v>
      </c>
      <c r="T205" s="12">
        <f t="shared" si="55"/>
        <v>0</v>
      </c>
      <c r="U205" s="12">
        <f t="shared" si="55"/>
        <v>0</v>
      </c>
      <c r="V205" s="12">
        <f t="shared" si="55"/>
        <v>0</v>
      </c>
      <c r="W205" s="12">
        <f t="shared" si="55"/>
        <v>0</v>
      </c>
      <c r="X205" s="12">
        <f t="shared" si="55"/>
        <v>0</v>
      </c>
      <c r="Y205" s="12">
        <f t="shared" si="55"/>
        <v>0</v>
      </c>
      <c r="Z205" s="12">
        <f t="shared" si="55"/>
        <v>0</v>
      </c>
      <c r="AA205" s="12">
        <f t="shared" si="55"/>
        <v>0</v>
      </c>
      <c r="AB205" s="12">
        <f t="shared" si="55"/>
        <v>0</v>
      </c>
      <c r="AC205" s="12">
        <f t="shared" si="55"/>
        <v>0</v>
      </c>
      <c r="AD205" s="12">
        <f t="shared" si="55"/>
        <v>0</v>
      </c>
      <c r="AE205" s="12">
        <f t="shared" si="55"/>
        <v>0</v>
      </c>
      <c r="AF205" s="12">
        <f t="shared" si="55"/>
        <v>0</v>
      </c>
      <c r="AG205" s="12">
        <f t="shared" si="55"/>
        <v>0</v>
      </c>
      <c r="AH205" s="12">
        <f t="shared" si="55"/>
        <v>0</v>
      </c>
      <c r="AI205" s="12">
        <f t="shared" si="55"/>
        <v>0</v>
      </c>
      <c r="AJ205" s="12">
        <f t="shared" si="55"/>
        <v>0</v>
      </c>
      <c r="AK205" s="12">
        <f t="shared" ref="AK205:BE205" si="56" xml:space="preserve"> AK$203</f>
        <v>0</v>
      </c>
      <c r="AL205" s="12">
        <f t="shared" si="56"/>
        <v>0</v>
      </c>
      <c r="AM205" s="12">
        <f t="shared" si="56"/>
        <v>0</v>
      </c>
      <c r="AN205" s="12">
        <f t="shared" si="56"/>
        <v>0</v>
      </c>
      <c r="AO205" s="12">
        <f t="shared" si="56"/>
        <v>0</v>
      </c>
      <c r="AP205" s="12">
        <f t="shared" si="56"/>
        <v>0</v>
      </c>
      <c r="AQ205" s="12">
        <f t="shared" si="56"/>
        <v>0</v>
      </c>
      <c r="AR205" s="12">
        <f t="shared" si="56"/>
        <v>0</v>
      </c>
      <c r="AS205" s="12">
        <f t="shared" si="56"/>
        <v>0</v>
      </c>
      <c r="AT205" s="12">
        <f t="shared" si="56"/>
        <v>0</v>
      </c>
      <c r="AU205" s="12">
        <f t="shared" si="56"/>
        <v>0</v>
      </c>
      <c r="AV205" s="12">
        <f t="shared" si="56"/>
        <v>0</v>
      </c>
      <c r="AW205" s="12">
        <f t="shared" si="56"/>
        <v>0</v>
      </c>
      <c r="AX205" s="12">
        <f t="shared" si="56"/>
        <v>0</v>
      </c>
      <c r="AY205" s="12">
        <f t="shared" si="56"/>
        <v>0</v>
      </c>
      <c r="AZ205" s="12">
        <f t="shared" si="56"/>
        <v>0</v>
      </c>
      <c r="BA205" s="12">
        <f t="shared" si="56"/>
        <v>0</v>
      </c>
      <c r="BB205" s="12">
        <f t="shared" si="56"/>
        <v>0</v>
      </c>
      <c r="BC205" s="12">
        <f t="shared" si="56"/>
        <v>0</v>
      </c>
      <c r="BD205" s="12">
        <f t="shared" si="56"/>
        <v>0</v>
      </c>
      <c r="BE205" s="12">
        <f t="shared" si="56"/>
        <v>0</v>
      </c>
    </row>
    <row r="206" spans="1:57" hidden="1" outlineLevel="1" x14ac:dyDescent="0.2">
      <c r="E206" s="12" t="str">
        <f t="shared" ref="E206:AJ206" si="57" xml:space="preserve"> E$158</f>
        <v>Electricity generation revenue received during construction- m</v>
      </c>
      <c r="F206" s="12">
        <f t="shared" si="57"/>
        <v>0</v>
      </c>
      <c r="G206" s="12" t="str">
        <f t="shared" si="57"/>
        <v>$ 000s</v>
      </c>
      <c r="H206" s="12">
        <f t="shared" si="57"/>
        <v>11940</v>
      </c>
      <c r="I206" s="12">
        <f t="shared" si="57"/>
        <v>0</v>
      </c>
      <c r="J206" s="12">
        <f t="shared" si="57"/>
        <v>0</v>
      </c>
      <c r="K206" s="12">
        <f t="shared" si="57"/>
        <v>0</v>
      </c>
      <c r="L206" s="12">
        <f t="shared" si="57"/>
        <v>0</v>
      </c>
      <c r="M206" s="12">
        <f t="shared" si="57"/>
        <v>0</v>
      </c>
      <c r="N206" s="12">
        <f t="shared" si="57"/>
        <v>0</v>
      </c>
      <c r="O206" s="12">
        <f t="shared" si="57"/>
        <v>0</v>
      </c>
      <c r="P206" s="12">
        <f t="shared" si="57"/>
        <v>0</v>
      </c>
      <c r="Q206" s="12">
        <f t="shared" si="57"/>
        <v>0</v>
      </c>
      <c r="R206" s="12">
        <f t="shared" si="57"/>
        <v>0</v>
      </c>
      <c r="S206" s="12">
        <f t="shared" si="57"/>
        <v>0</v>
      </c>
      <c r="T206" s="12">
        <f t="shared" si="57"/>
        <v>0</v>
      </c>
      <c r="U206" s="12">
        <f t="shared" si="57"/>
        <v>0</v>
      </c>
      <c r="V206" s="12">
        <f t="shared" si="57"/>
        <v>0</v>
      </c>
      <c r="W206" s="12">
        <f t="shared" si="57"/>
        <v>0</v>
      </c>
      <c r="X206" s="12">
        <f t="shared" si="57"/>
        <v>0</v>
      </c>
      <c r="Y206" s="12">
        <f t="shared" si="57"/>
        <v>0</v>
      </c>
      <c r="Z206" s="12">
        <f t="shared" si="57"/>
        <v>0</v>
      </c>
      <c r="AA206" s="12">
        <f t="shared" si="57"/>
        <v>0</v>
      </c>
      <c r="AB206" s="12">
        <f t="shared" si="57"/>
        <v>0</v>
      </c>
      <c r="AC206" s="12">
        <f t="shared" si="57"/>
        <v>0</v>
      </c>
      <c r="AD206" s="12">
        <f t="shared" si="57"/>
        <v>0</v>
      </c>
      <c r="AE206" s="12">
        <f t="shared" si="57"/>
        <v>0</v>
      </c>
      <c r="AF206" s="12">
        <f t="shared" si="57"/>
        <v>0</v>
      </c>
      <c r="AG206" s="12">
        <f t="shared" si="57"/>
        <v>0</v>
      </c>
      <c r="AH206" s="12">
        <f t="shared" si="57"/>
        <v>1990</v>
      </c>
      <c r="AI206" s="12">
        <f t="shared" si="57"/>
        <v>1990</v>
      </c>
      <c r="AJ206" s="12">
        <f t="shared" si="57"/>
        <v>1990</v>
      </c>
      <c r="AK206" s="12">
        <f t="shared" ref="AK206:BE206" si="58" xml:space="preserve"> AK$158</f>
        <v>1990</v>
      </c>
      <c r="AL206" s="12">
        <f t="shared" si="58"/>
        <v>1990</v>
      </c>
      <c r="AM206" s="12">
        <f t="shared" si="58"/>
        <v>1990</v>
      </c>
      <c r="AN206" s="12">
        <f t="shared" si="58"/>
        <v>0</v>
      </c>
      <c r="AO206" s="12">
        <f t="shared" si="58"/>
        <v>0</v>
      </c>
      <c r="AP206" s="12">
        <f t="shared" si="58"/>
        <v>0</v>
      </c>
      <c r="AQ206" s="12">
        <f t="shared" si="58"/>
        <v>0</v>
      </c>
      <c r="AR206" s="12">
        <f t="shared" si="58"/>
        <v>0</v>
      </c>
      <c r="AS206" s="12">
        <f t="shared" si="58"/>
        <v>0</v>
      </c>
      <c r="AT206" s="12">
        <f t="shared" si="58"/>
        <v>0</v>
      </c>
      <c r="AU206" s="12">
        <f t="shared" si="58"/>
        <v>0</v>
      </c>
      <c r="AV206" s="12">
        <f t="shared" si="58"/>
        <v>0</v>
      </c>
      <c r="AW206" s="12">
        <f t="shared" si="58"/>
        <v>0</v>
      </c>
      <c r="AX206" s="12">
        <f t="shared" si="58"/>
        <v>0</v>
      </c>
      <c r="AY206" s="12">
        <f t="shared" si="58"/>
        <v>0</v>
      </c>
      <c r="AZ206" s="12">
        <f t="shared" si="58"/>
        <v>0</v>
      </c>
      <c r="BA206" s="12">
        <f t="shared" si="58"/>
        <v>0</v>
      </c>
      <c r="BB206" s="12">
        <f t="shared" si="58"/>
        <v>0</v>
      </c>
      <c r="BC206" s="12">
        <f t="shared" si="58"/>
        <v>0</v>
      </c>
      <c r="BD206" s="12">
        <f t="shared" si="58"/>
        <v>0</v>
      </c>
      <c r="BE206" s="12">
        <f t="shared" si="58"/>
        <v>0</v>
      </c>
    </row>
    <row r="207" spans="1:57" s="188" customFormat="1" hidden="1" outlineLevel="1" x14ac:dyDescent="0.2">
      <c r="A207" s="141"/>
      <c r="B207" s="141"/>
      <c r="C207" s="142"/>
      <c r="D207" s="143"/>
      <c r="E207" s="187" t="s">
        <v>739</v>
      </c>
      <c r="F207" s="187"/>
      <c r="G207" s="187" t="str">
        <f xml:space="preserve"> SMU</f>
        <v>$ 000s</v>
      </c>
      <c r="H207" s="187">
        <f xml:space="preserve"> SUM(J207:BE207)</f>
        <v>0</v>
      </c>
      <c r="I207" s="144"/>
      <c r="J207" s="187">
        <f t="shared" ref="J207:BE207" si="59" xml:space="preserve"> MAX(0, MIN(J205, J205 - J206))</f>
        <v>0</v>
      </c>
      <c r="K207" s="187">
        <f t="shared" si="59"/>
        <v>0</v>
      </c>
      <c r="L207" s="187">
        <f t="shared" si="59"/>
        <v>0</v>
      </c>
      <c r="M207" s="187">
        <f t="shared" si="59"/>
        <v>0</v>
      </c>
      <c r="N207" s="187">
        <f t="shared" si="59"/>
        <v>0</v>
      </c>
      <c r="O207" s="187">
        <f t="shared" si="59"/>
        <v>0</v>
      </c>
      <c r="P207" s="187">
        <f t="shared" si="59"/>
        <v>0</v>
      </c>
      <c r="Q207" s="187">
        <f t="shared" si="59"/>
        <v>0</v>
      </c>
      <c r="R207" s="187">
        <f t="shared" si="59"/>
        <v>0</v>
      </c>
      <c r="S207" s="187">
        <f t="shared" si="59"/>
        <v>0</v>
      </c>
      <c r="T207" s="187">
        <f t="shared" si="59"/>
        <v>0</v>
      </c>
      <c r="U207" s="187">
        <f t="shared" si="59"/>
        <v>0</v>
      </c>
      <c r="V207" s="187">
        <f t="shared" si="59"/>
        <v>0</v>
      </c>
      <c r="W207" s="187">
        <f t="shared" si="59"/>
        <v>0</v>
      </c>
      <c r="X207" s="187">
        <f t="shared" si="59"/>
        <v>0</v>
      </c>
      <c r="Y207" s="187">
        <f t="shared" si="59"/>
        <v>0</v>
      </c>
      <c r="Z207" s="187">
        <f t="shared" si="59"/>
        <v>0</v>
      </c>
      <c r="AA207" s="187">
        <f t="shared" si="59"/>
        <v>0</v>
      </c>
      <c r="AB207" s="187">
        <f t="shared" si="59"/>
        <v>0</v>
      </c>
      <c r="AC207" s="187">
        <f t="shared" si="59"/>
        <v>0</v>
      </c>
      <c r="AD207" s="187">
        <f t="shared" si="59"/>
        <v>0</v>
      </c>
      <c r="AE207" s="187">
        <f t="shared" si="59"/>
        <v>0</v>
      </c>
      <c r="AF207" s="187">
        <f t="shared" si="59"/>
        <v>0</v>
      </c>
      <c r="AG207" s="187">
        <f t="shared" si="59"/>
        <v>0</v>
      </c>
      <c r="AH207" s="187">
        <f t="shared" si="59"/>
        <v>0</v>
      </c>
      <c r="AI207" s="187">
        <f t="shared" si="59"/>
        <v>0</v>
      </c>
      <c r="AJ207" s="187">
        <f t="shared" si="59"/>
        <v>0</v>
      </c>
      <c r="AK207" s="187">
        <f t="shared" si="59"/>
        <v>0</v>
      </c>
      <c r="AL207" s="187">
        <f t="shared" si="59"/>
        <v>0</v>
      </c>
      <c r="AM207" s="187">
        <f t="shared" si="59"/>
        <v>0</v>
      </c>
      <c r="AN207" s="187">
        <f t="shared" si="59"/>
        <v>0</v>
      </c>
      <c r="AO207" s="187">
        <f t="shared" si="59"/>
        <v>0</v>
      </c>
      <c r="AP207" s="187">
        <f t="shared" si="59"/>
        <v>0</v>
      </c>
      <c r="AQ207" s="187">
        <f t="shared" si="59"/>
        <v>0</v>
      </c>
      <c r="AR207" s="187">
        <f t="shared" si="59"/>
        <v>0</v>
      </c>
      <c r="AS207" s="187">
        <f t="shared" si="59"/>
        <v>0</v>
      </c>
      <c r="AT207" s="187">
        <f t="shared" si="59"/>
        <v>0</v>
      </c>
      <c r="AU207" s="187">
        <f t="shared" si="59"/>
        <v>0</v>
      </c>
      <c r="AV207" s="187">
        <f t="shared" si="59"/>
        <v>0</v>
      </c>
      <c r="AW207" s="187">
        <f t="shared" si="59"/>
        <v>0</v>
      </c>
      <c r="AX207" s="187">
        <f t="shared" si="59"/>
        <v>0</v>
      </c>
      <c r="AY207" s="187">
        <f t="shared" si="59"/>
        <v>0</v>
      </c>
      <c r="AZ207" s="187">
        <f t="shared" si="59"/>
        <v>0</v>
      </c>
      <c r="BA207" s="187">
        <f t="shared" si="59"/>
        <v>0</v>
      </c>
      <c r="BB207" s="187">
        <f t="shared" si="59"/>
        <v>0</v>
      </c>
      <c r="BC207" s="187">
        <f t="shared" si="59"/>
        <v>0</v>
      </c>
      <c r="BD207" s="187">
        <f t="shared" si="59"/>
        <v>0</v>
      </c>
      <c r="BE207" s="187">
        <f t="shared" si="59"/>
        <v>0</v>
      </c>
    </row>
    <row r="208" spans="1:57" hidden="1" outlineLevel="1" x14ac:dyDescent="0.2"/>
    <row r="209" spans="1:57" hidden="1" outlineLevel="1" x14ac:dyDescent="0.2">
      <c r="E209" s="12" t="str">
        <f t="shared" ref="E209:AJ209" si="60" xml:space="preserve"> E$203</f>
        <v>Early generation costs paid during construction - m</v>
      </c>
      <c r="F209" s="12">
        <f t="shared" si="60"/>
        <v>0</v>
      </c>
      <c r="G209" s="12" t="str">
        <f t="shared" si="60"/>
        <v>$ 000s</v>
      </c>
      <c r="H209" s="12">
        <f t="shared" si="60"/>
        <v>0</v>
      </c>
      <c r="I209" s="12">
        <f t="shared" si="60"/>
        <v>0</v>
      </c>
      <c r="J209" s="12">
        <f t="shared" si="60"/>
        <v>0</v>
      </c>
      <c r="K209" s="12">
        <f t="shared" si="60"/>
        <v>0</v>
      </c>
      <c r="L209" s="12">
        <f t="shared" si="60"/>
        <v>0</v>
      </c>
      <c r="M209" s="12">
        <f t="shared" si="60"/>
        <v>0</v>
      </c>
      <c r="N209" s="12">
        <f t="shared" si="60"/>
        <v>0</v>
      </c>
      <c r="O209" s="12">
        <f t="shared" si="60"/>
        <v>0</v>
      </c>
      <c r="P209" s="12">
        <f t="shared" si="60"/>
        <v>0</v>
      </c>
      <c r="Q209" s="12">
        <f t="shared" si="60"/>
        <v>0</v>
      </c>
      <c r="R209" s="12">
        <f t="shared" si="60"/>
        <v>0</v>
      </c>
      <c r="S209" s="12">
        <f t="shared" si="60"/>
        <v>0</v>
      </c>
      <c r="T209" s="12">
        <f t="shared" si="60"/>
        <v>0</v>
      </c>
      <c r="U209" s="12">
        <f t="shared" si="60"/>
        <v>0</v>
      </c>
      <c r="V209" s="12">
        <f t="shared" si="60"/>
        <v>0</v>
      </c>
      <c r="W209" s="12">
        <f t="shared" si="60"/>
        <v>0</v>
      </c>
      <c r="X209" s="12">
        <f t="shared" si="60"/>
        <v>0</v>
      </c>
      <c r="Y209" s="12">
        <f t="shared" si="60"/>
        <v>0</v>
      </c>
      <c r="Z209" s="12">
        <f t="shared" si="60"/>
        <v>0</v>
      </c>
      <c r="AA209" s="12">
        <f t="shared" si="60"/>
        <v>0</v>
      </c>
      <c r="AB209" s="12">
        <f t="shared" si="60"/>
        <v>0</v>
      </c>
      <c r="AC209" s="12">
        <f t="shared" si="60"/>
        <v>0</v>
      </c>
      <c r="AD209" s="12">
        <f t="shared" si="60"/>
        <v>0</v>
      </c>
      <c r="AE209" s="12">
        <f t="shared" si="60"/>
        <v>0</v>
      </c>
      <c r="AF209" s="12">
        <f t="shared" si="60"/>
        <v>0</v>
      </c>
      <c r="AG209" s="12">
        <f t="shared" si="60"/>
        <v>0</v>
      </c>
      <c r="AH209" s="12">
        <f t="shared" si="60"/>
        <v>0</v>
      </c>
      <c r="AI209" s="12">
        <f t="shared" si="60"/>
        <v>0</v>
      </c>
      <c r="AJ209" s="12">
        <f t="shared" si="60"/>
        <v>0</v>
      </c>
      <c r="AK209" s="12">
        <f t="shared" ref="AK209:BE209" si="61" xml:space="preserve"> AK$203</f>
        <v>0</v>
      </c>
      <c r="AL209" s="12">
        <f t="shared" si="61"/>
        <v>0</v>
      </c>
      <c r="AM209" s="12">
        <f t="shared" si="61"/>
        <v>0</v>
      </c>
      <c r="AN209" s="12">
        <f t="shared" si="61"/>
        <v>0</v>
      </c>
      <c r="AO209" s="12">
        <f t="shared" si="61"/>
        <v>0</v>
      </c>
      <c r="AP209" s="12">
        <f t="shared" si="61"/>
        <v>0</v>
      </c>
      <c r="AQ209" s="12">
        <f t="shared" si="61"/>
        <v>0</v>
      </c>
      <c r="AR209" s="12">
        <f t="shared" si="61"/>
        <v>0</v>
      </c>
      <c r="AS209" s="12">
        <f t="shared" si="61"/>
        <v>0</v>
      </c>
      <c r="AT209" s="12">
        <f t="shared" si="61"/>
        <v>0</v>
      </c>
      <c r="AU209" s="12">
        <f t="shared" si="61"/>
        <v>0</v>
      </c>
      <c r="AV209" s="12">
        <f t="shared" si="61"/>
        <v>0</v>
      </c>
      <c r="AW209" s="12">
        <f t="shared" si="61"/>
        <v>0</v>
      </c>
      <c r="AX209" s="12">
        <f t="shared" si="61"/>
        <v>0</v>
      </c>
      <c r="AY209" s="12">
        <f t="shared" si="61"/>
        <v>0</v>
      </c>
      <c r="AZ209" s="12">
        <f t="shared" si="61"/>
        <v>0</v>
      </c>
      <c r="BA209" s="12">
        <f t="shared" si="61"/>
        <v>0</v>
      </c>
      <c r="BB209" s="12">
        <f t="shared" si="61"/>
        <v>0</v>
      </c>
      <c r="BC209" s="12">
        <f t="shared" si="61"/>
        <v>0</v>
      </c>
      <c r="BD209" s="12">
        <f t="shared" si="61"/>
        <v>0</v>
      </c>
      <c r="BE209" s="12">
        <f t="shared" si="61"/>
        <v>0</v>
      </c>
    </row>
    <row r="210" spans="1:57" hidden="1" outlineLevel="1" x14ac:dyDescent="0.2">
      <c r="E210" s="12" t="str">
        <f t="shared" ref="E210:AJ210" si="62" xml:space="preserve"> E$207</f>
        <v>Early generation costs shortfall to be funded - m</v>
      </c>
      <c r="F210" s="12">
        <f t="shared" si="62"/>
        <v>0</v>
      </c>
      <c r="G210" s="12" t="str">
        <f t="shared" si="62"/>
        <v>$ 000s</v>
      </c>
      <c r="H210" s="12">
        <f t="shared" si="62"/>
        <v>0</v>
      </c>
      <c r="I210" s="12">
        <f t="shared" si="62"/>
        <v>0</v>
      </c>
      <c r="J210" s="12">
        <f t="shared" si="62"/>
        <v>0</v>
      </c>
      <c r="K210" s="12">
        <f t="shared" si="62"/>
        <v>0</v>
      </c>
      <c r="L210" s="12">
        <f t="shared" si="62"/>
        <v>0</v>
      </c>
      <c r="M210" s="12">
        <f t="shared" si="62"/>
        <v>0</v>
      </c>
      <c r="N210" s="12">
        <f t="shared" si="62"/>
        <v>0</v>
      </c>
      <c r="O210" s="12">
        <f t="shared" si="62"/>
        <v>0</v>
      </c>
      <c r="P210" s="12">
        <f t="shared" si="62"/>
        <v>0</v>
      </c>
      <c r="Q210" s="12">
        <f t="shared" si="62"/>
        <v>0</v>
      </c>
      <c r="R210" s="12">
        <f t="shared" si="62"/>
        <v>0</v>
      </c>
      <c r="S210" s="12">
        <f t="shared" si="62"/>
        <v>0</v>
      </c>
      <c r="T210" s="12">
        <f t="shared" si="62"/>
        <v>0</v>
      </c>
      <c r="U210" s="12">
        <f t="shared" si="62"/>
        <v>0</v>
      </c>
      <c r="V210" s="12">
        <f t="shared" si="62"/>
        <v>0</v>
      </c>
      <c r="W210" s="12">
        <f t="shared" si="62"/>
        <v>0</v>
      </c>
      <c r="X210" s="12">
        <f t="shared" si="62"/>
        <v>0</v>
      </c>
      <c r="Y210" s="12">
        <f t="shared" si="62"/>
        <v>0</v>
      </c>
      <c r="Z210" s="12">
        <f t="shared" si="62"/>
        <v>0</v>
      </c>
      <c r="AA210" s="12">
        <f t="shared" si="62"/>
        <v>0</v>
      </c>
      <c r="AB210" s="12">
        <f t="shared" si="62"/>
        <v>0</v>
      </c>
      <c r="AC210" s="12">
        <f t="shared" si="62"/>
        <v>0</v>
      </c>
      <c r="AD210" s="12">
        <f t="shared" si="62"/>
        <v>0</v>
      </c>
      <c r="AE210" s="12">
        <f t="shared" si="62"/>
        <v>0</v>
      </c>
      <c r="AF210" s="12">
        <f t="shared" si="62"/>
        <v>0</v>
      </c>
      <c r="AG210" s="12">
        <f t="shared" si="62"/>
        <v>0</v>
      </c>
      <c r="AH210" s="12">
        <f t="shared" si="62"/>
        <v>0</v>
      </c>
      <c r="AI210" s="12">
        <f t="shared" si="62"/>
        <v>0</v>
      </c>
      <c r="AJ210" s="12">
        <f t="shared" si="62"/>
        <v>0</v>
      </c>
      <c r="AK210" s="12">
        <f t="shared" ref="AK210:BE210" si="63" xml:space="preserve"> AK$207</f>
        <v>0</v>
      </c>
      <c r="AL210" s="12">
        <f t="shared" si="63"/>
        <v>0</v>
      </c>
      <c r="AM210" s="12">
        <f t="shared" si="63"/>
        <v>0</v>
      </c>
      <c r="AN210" s="12">
        <f t="shared" si="63"/>
        <v>0</v>
      </c>
      <c r="AO210" s="12">
        <f t="shared" si="63"/>
        <v>0</v>
      </c>
      <c r="AP210" s="12">
        <f t="shared" si="63"/>
        <v>0</v>
      </c>
      <c r="AQ210" s="12">
        <f t="shared" si="63"/>
        <v>0</v>
      </c>
      <c r="AR210" s="12">
        <f t="shared" si="63"/>
        <v>0</v>
      </c>
      <c r="AS210" s="12">
        <f t="shared" si="63"/>
        <v>0</v>
      </c>
      <c r="AT210" s="12">
        <f t="shared" si="63"/>
        <v>0</v>
      </c>
      <c r="AU210" s="12">
        <f t="shared" si="63"/>
        <v>0</v>
      </c>
      <c r="AV210" s="12">
        <f t="shared" si="63"/>
        <v>0</v>
      </c>
      <c r="AW210" s="12">
        <f t="shared" si="63"/>
        <v>0</v>
      </c>
      <c r="AX210" s="12">
        <f t="shared" si="63"/>
        <v>0</v>
      </c>
      <c r="AY210" s="12">
        <f t="shared" si="63"/>
        <v>0</v>
      </c>
      <c r="AZ210" s="12">
        <f t="shared" si="63"/>
        <v>0</v>
      </c>
      <c r="BA210" s="12">
        <f t="shared" si="63"/>
        <v>0</v>
      </c>
      <c r="BB210" s="12">
        <f t="shared" si="63"/>
        <v>0</v>
      </c>
      <c r="BC210" s="12">
        <f t="shared" si="63"/>
        <v>0</v>
      </c>
      <c r="BD210" s="12">
        <f t="shared" si="63"/>
        <v>0</v>
      </c>
      <c r="BE210" s="12">
        <f t="shared" si="63"/>
        <v>0</v>
      </c>
    </row>
    <row r="211" spans="1:57" hidden="1" outlineLevel="1" x14ac:dyDescent="0.2">
      <c r="E211" s="12" t="s">
        <v>740</v>
      </c>
      <c r="G211" s="12" t="str">
        <f xml:space="preserve"> SMU</f>
        <v>$ 000s</v>
      </c>
      <c r="H211" s="12">
        <f xml:space="preserve"> SUM(J211:BE211)</f>
        <v>0</v>
      </c>
      <c r="J211" s="12">
        <f t="shared" ref="J211:BE211" si="64" xml:space="preserve"> J209 - J210</f>
        <v>0</v>
      </c>
      <c r="K211" s="12">
        <f t="shared" si="64"/>
        <v>0</v>
      </c>
      <c r="L211" s="12">
        <f t="shared" si="64"/>
        <v>0</v>
      </c>
      <c r="M211" s="12">
        <f t="shared" si="64"/>
        <v>0</v>
      </c>
      <c r="N211" s="12">
        <f t="shared" si="64"/>
        <v>0</v>
      </c>
      <c r="O211" s="12">
        <f t="shared" si="64"/>
        <v>0</v>
      </c>
      <c r="P211" s="12">
        <f t="shared" si="64"/>
        <v>0</v>
      </c>
      <c r="Q211" s="12">
        <f t="shared" si="64"/>
        <v>0</v>
      </c>
      <c r="R211" s="12">
        <f t="shared" si="64"/>
        <v>0</v>
      </c>
      <c r="S211" s="12">
        <f t="shared" si="64"/>
        <v>0</v>
      </c>
      <c r="T211" s="12">
        <f t="shared" si="64"/>
        <v>0</v>
      </c>
      <c r="U211" s="12">
        <f t="shared" si="64"/>
        <v>0</v>
      </c>
      <c r="V211" s="12">
        <f t="shared" si="64"/>
        <v>0</v>
      </c>
      <c r="W211" s="12">
        <f t="shared" si="64"/>
        <v>0</v>
      </c>
      <c r="X211" s="12">
        <f t="shared" si="64"/>
        <v>0</v>
      </c>
      <c r="Y211" s="12">
        <f t="shared" si="64"/>
        <v>0</v>
      </c>
      <c r="Z211" s="12">
        <f t="shared" si="64"/>
        <v>0</v>
      </c>
      <c r="AA211" s="12">
        <f t="shared" si="64"/>
        <v>0</v>
      </c>
      <c r="AB211" s="12">
        <f t="shared" si="64"/>
        <v>0</v>
      </c>
      <c r="AC211" s="12">
        <f t="shared" si="64"/>
        <v>0</v>
      </c>
      <c r="AD211" s="12">
        <f t="shared" si="64"/>
        <v>0</v>
      </c>
      <c r="AE211" s="12">
        <f t="shared" si="64"/>
        <v>0</v>
      </c>
      <c r="AF211" s="12">
        <f t="shared" si="64"/>
        <v>0</v>
      </c>
      <c r="AG211" s="12">
        <f t="shared" si="64"/>
        <v>0</v>
      </c>
      <c r="AH211" s="12">
        <f t="shared" si="64"/>
        <v>0</v>
      </c>
      <c r="AI211" s="12">
        <f t="shared" si="64"/>
        <v>0</v>
      </c>
      <c r="AJ211" s="12">
        <f t="shared" si="64"/>
        <v>0</v>
      </c>
      <c r="AK211" s="12">
        <f t="shared" si="64"/>
        <v>0</v>
      </c>
      <c r="AL211" s="12">
        <f t="shared" si="64"/>
        <v>0</v>
      </c>
      <c r="AM211" s="12">
        <f t="shared" si="64"/>
        <v>0</v>
      </c>
      <c r="AN211" s="12">
        <f t="shared" si="64"/>
        <v>0</v>
      </c>
      <c r="AO211" s="12">
        <f t="shared" si="64"/>
        <v>0</v>
      </c>
      <c r="AP211" s="12">
        <f t="shared" si="64"/>
        <v>0</v>
      </c>
      <c r="AQ211" s="12">
        <f t="shared" si="64"/>
        <v>0</v>
      </c>
      <c r="AR211" s="12">
        <f t="shared" si="64"/>
        <v>0</v>
      </c>
      <c r="AS211" s="12">
        <f t="shared" si="64"/>
        <v>0</v>
      </c>
      <c r="AT211" s="12">
        <f t="shared" si="64"/>
        <v>0</v>
      </c>
      <c r="AU211" s="12">
        <f t="shared" si="64"/>
        <v>0</v>
      </c>
      <c r="AV211" s="12">
        <f t="shared" si="64"/>
        <v>0</v>
      </c>
      <c r="AW211" s="12">
        <f t="shared" si="64"/>
        <v>0</v>
      </c>
      <c r="AX211" s="12">
        <f t="shared" si="64"/>
        <v>0</v>
      </c>
      <c r="AY211" s="12">
        <f t="shared" si="64"/>
        <v>0</v>
      </c>
      <c r="AZ211" s="12">
        <f t="shared" si="64"/>
        <v>0</v>
      </c>
      <c r="BA211" s="12">
        <f t="shared" si="64"/>
        <v>0</v>
      </c>
      <c r="BB211" s="12">
        <f t="shared" si="64"/>
        <v>0</v>
      </c>
      <c r="BC211" s="12">
        <f t="shared" si="64"/>
        <v>0</v>
      </c>
      <c r="BD211" s="12">
        <f t="shared" si="64"/>
        <v>0</v>
      </c>
      <c r="BE211" s="12">
        <f t="shared" si="64"/>
        <v>0</v>
      </c>
    </row>
    <row r="212" spans="1:57" hidden="1" outlineLevel="1" x14ac:dyDescent="0.2"/>
    <row r="213" spans="1:57" x14ac:dyDescent="0.2"/>
    <row r="214" spans="1:57" collapsed="1" x14ac:dyDescent="0.2">
      <c r="A214" s="15" t="s">
        <v>737</v>
      </c>
    </row>
    <row r="215" spans="1:57" hidden="1" outlineLevel="1" x14ac:dyDescent="0.2"/>
    <row r="216" spans="1:57" hidden="1" outlineLevel="1" x14ac:dyDescent="0.2">
      <c r="E216" s="12" t="str">
        <f t="shared" ref="E216:BE216" si="65" xml:space="preserve"> E$158</f>
        <v>Electricity generation revenue received during construction- m</v>
      </c>
      <c r="F216" s="12">
        <f t="shared" si="65"/>
        <v>0</v>
      </c>
      <c r="G216" s="12" t="str">
        <f t="shared" si="65"/>
        <v>$ 000s</v>
      </c>
      <c r="H216" s="12">
        <f t="shared" si="65"/>
        <v>11940</v>
      </c>
      <c r="I216" s="12">
        <f t="shared" si="65"/>
        <v>0</v>
      </c>
      <c r="J216" s="12">
        <f t="shared" si="65"/>
        <v>0</v>
      </c>
      <c r="K216" s="12">
        <f t="shared" si="65"/>
        <v>0</v>
      </c>
      <c r="L216" s="12">
        <f t="shared" si="65"/>
        <v>0</v>
      </c>
      <c r="M216" s="12">
        <f t="shared" si="65"/>
        <v>0</v>
      </c>
      <c r="N216" s="12">
        <f t="shared" si="65"/>
        <v>0</v>
      </c>
      <c r="O216" s="12">
        <f t="shared" si="65"/>
        <v>0</v>
      </c>
      <c r="P216" s="12">
        <f t="shared" si="65"/>
        <v>0</v>
      </c>
      <c r="Q216" s="12">
        <f t="shared" si="65"/>
        <v>0</v>
      </c>
      <c r="R216" s="12">
        <f t="shared" si="65"/>
        <v>0</v>
      </c>
      <c r="S216" s="12">
        <f t="shared" si="65"/>
        <v>0</v>
      </c>
      <c r="T216" s="12">
        <f t="shared" si="65"/>
        <v>0</v>
      </c>
      <c r="U216" s="12">
        <f t="shared" si="65"/>
        <v>0</v>
      </c>
      <c r="V216" s="12">
        <f t="shared" si="65"/>
        <v>0</v>
      </c>
      <c r="W216" s="12">
        <f t="shared" si="65"/>
        <v>0</v>
      </c>
      <c r="X216" s="12">
        <f t="shared" si="65"/>
        <v>0</v>
      </c>
      <c r="Y216" s="12">
        <f t="shared" si="65"/>
        <v>0</v>
      </c>
      <c r="Z216" s="12">
        <f t="shared" si="65"/>
        <v>0</v>
      </c>
      <c r="AA216" s="12">
        <f t="shared" si="65"/>
        <v>0</v>
      </c>
      <c r="AB216" s="12">
        <f t="shared" si="65"/>
        <v>0</v>
      </c>
      <c r="AC216" s="12">
        <f t="shared" si="65"/>
        <v>0</v>
      </c>
      <c r="AD216" s="12">
        <f t="shared" si="65"/>
        <v>0</v>
      </c>
      <c r="AE216" s="12">
        <f t="shared" si="65"/>
        <v>0</v>
      </c>
      <c r="AF216" s="12">
        <f t="shared" si="65"/>
        <v>0</v>
      </c>
      <c r="AG216" s="12">
        <f t="shared" si="65"/>
        <v>0</v>
      </c>
      <c r="AH216" s="12">
        <f t="shared" si="65"/>
        <v>1990</v>
      </c>
      <c r="AI216" s="12">
        <f t="shared" si="65"/>
        <v>1990</v>
      </c>
      <c r="AJ216" s="12">
        <f t="shared" si="65"/>
        <v>1990</v>
      </c>
      <c r="AK216" s="12">
        <f t="shared" si="65"/>
        <v>1990</v>
      </c>
      <c r="AL216" s="12">
        <f t="shared" si="65"/>
        <v>1990</v>
      </c>
      <c r="AM216" s="12">
        <f t="shared" si="65"/>
        <v>1990</v>
      </c>
      <c r="AN216" s="12">
        <f t="shared" si="65"/>
        <v>0</v>
      </c>
      <c r="AO216" s="12">
        <f t="shared" si="65"/>
        <v>0</v>
      </c>
      <c r="AP216" s="12">
        <f t="shared" si="65"/>
        <v>0</v>
      </c>
      <c r="AQ216" s="12">
        <f t="shared" si="65"/>
        <v>0</v>
      </c>
      <c r="AR216" s="12">
        <f t="shared" si="65"/>
        <v>0</v>
      </c>
      <c r="AS216" s="12">
        <f t="shared" si="65"/>
        <v>0</v>
      </c>
      <c r="AT216" s="12">
        <f t="shared" si="65"/>
        <v>0</v>
      </c>
      <c r="AU216" s="12">
        <f t="shared" si="65"/>
        <v>0</v>
      </c>
      <c r="AV216" s="12">
        <f t="shared" si="65"/>
        <v>0</v>
      </c>
      <c r="AW216" s="12">
        <f t="shared" si="65"/>
        <v>0</v>
      </c>
      <c r="AX216" s="12">
        <f t="shared" si="65"/>
        <v>0</v>
      </c>
      <c r="AY216" s="12">
        <f t="shared" si="65"/>
        <v>0</v>
      </c>
      <c r="AZ216" s="12">
        <f t="shared" si="65"/>
        <v>0</v>
      </c>
      <c r="BA216" s="12">
        <f t="shared" si="65"/>
        <v>0</v>
      </c>
      <c r="BB216" s="12">
        <f t="shared" si="65"/>
        <v>0</v>
      </c>
      <c r="BC216" s="12">
        <f t="shared" si="65"/>
        <v>0</v>
      </c>
      <c r="BD216" s="12">
        <f t="shared" si="65"/>
        <v>0</v>
      </c>
      <c r="BE216" s="12">
        <f t="shared" si="65"/>
        <v>0</v>
      </c>
    </row>
    <row r="217" spans="1:57" hidden="1" outlineLevel="1" x14ac:dyDescent="0.2">
      <c r="E217" s="12" t="str">
        <f t="shared" ref="E217:AJ217" si="66" xml:space="preserve"> E$211</f>
        <v>Early generation costs funded by EGR's - m</v>
      </c>
      <c r="F217" s="12">
        <f t="shared" si="66"/>
        <v>0</v>
      </c>
      <c r="G217" s="12" t="str">
        <f t="shared" si="66"/>
        <v>$ 000s</v>
      </c>
      <c r="H217" s="12">
        <f t="shared" si="66"/>
        <v>0</v>
      </c>
      <c r="I217" s="12">
        <f t="shared" si="66"/>
        <v>0</v>
      </c>
      <c r="J217" s="12">
        <f t="shared" si="66"/>
        <v>0</v>
      </c>
      <c r="K217" s="12">
        <f t="shared" si="66"/>
        <v>0</v>
      </c>
      <c r="L217" s="12">
        <f t="shared" si="66"/>
        <v>0</v>
      </c>
      <c r="M217" s="12">
        <f t="shared" si="66"/>
        <v>0</v>
      </c>
      <c r="N217" s="12">
        <f t="shared" si="66"/>
        <v>0</v>
      </c>
      <c r="O217" s="12">
        <f t="shared" si="66"/>
        <v>0</v>
      </c>
      <c r="P217" s="12">
        <f t="shared" si="66"/>
        <v>0</v>
      </c>
      <c r="Q217" s="12">
        <f t="shared" si="66"/>
        <v>0</v>
      </c>
      <c r="R217" s="12">
        <f t="shared" si="66"/>
        <v>0</v>
      </c>
      <c r="S217" s="12">
        <f t="shared" si="66"/>
        <v>0</v>
      </c>
      <c r="T217" s="12">
        <f t="shared" si="66"/>
        <v>0</v>
      </c>
      <c r="U217" s="12">
        <f t="shared" si="66"/>
        <v>0</v>
      </c>
      <c r="V217" s="12">
        <f t="shared" si="66"/>
        <v>0</v>
      </c>
      <c r="W217" s="12">
        <f t="shared" si="66"/>
        <v>0</v>
      </c>
      <c r="X217" s="12">
        <f t="shared" si="66"/>
        <v>0</v>
      </c>
      <c r="Y217" s="12">
        <f t="shared" si="66"/>
        <v>0</v>
      </c>
      <c r="Z217" s="12">
        <f t="shared" si="66"/>
        <v>0</v>
      </c>
      <c r="AA217" s="12">
        <f t="shared" si="66"/>
        <v>0</v>
      </c>
      <c r="AB217" s="12">
        <f t="shared" si="66"/>
        <v>0</v>
      </c>
      <c r="AC217" s="12">
        <f t="shared" si="66"/>
        <v>0</v>
      </c>
      <c r="AD217" s="12">
        <f t="shared" si="66"/>
        <v>0</v>
      </c>
      <c r="AE217" s="12">
        <f t="shared" si="66"/>
        <v>0</v>
      </c>
      <c r="AF217" s="12">
        <f t="shared" si="66"/>
        <v>0</v>
      </c>
      <c r="AG217" s="12">
        <f t="shared" si="66"/>
        <v>0</v>
      </c>
      <c r="AH217" s="12">
        <f t="shared" si="66"/>
        <v>0</v>
      </c>
      <c r="AI217" s="12">
        <f t="shared" si="66"/>
        <v>0</v>
      </c>
      <c r="AJ217" s="12">
        <f t="shared" si="66"/>
        <v>0</v>
      </c>
      <c r="AK217" s="12">
        <f t="shared" ref="AK217:BE217" si="67" xml:space="preserve"> AK$211</f>
        <v>0</v>
      </c>
      <c r="AL217" s="12">
        <f t="shared" si="67"/>
        <v>0</v>
      </c>
      <c r="AM217" s="12">
        <f t="shared" si="67"/>
        <v>0</v>
      </c>
      <c r="AN217" s="12">
        <f t="shared" si="67"/>
        <v>0</v>
      </c>
      <c r="AO217" s="12">
        <f t="shared" si="67"/>
        <v>0</v>
      </c>
      <c r="AP217" s="12">
        <f t="shared" si="67"/>
        <v>0</v>
      </c>
      <c r="AQ217" s="12">
        <f t="shared" si="67"/>
        <v>0</v>
      </c>
      <c r="AR217" s="12">
        <f t="shared" si="67"/>
        <v>0</v>
      </c>
      <c r="AS217" s="12">
        <f t="shared" si="67"/>
        <v>0</v>
      </c>
      <c r="AT217" s="12">
        <f t="shared" si="67"/>
        <v>0</v>
      </c>
      <c r="AU217" s="12">
        <f t="shared" si="67"/>
        <v>0</v>
      </c>
      <c r="AV217" s="12">
        <f t="shared" si="67"/>
        <v>0</v>
      </c>
      <c r="AW217" s="12">
        <f t="shared" si="67"/>
        <v>0</v>
      </c>
      <c r="AX217" s="12">
        <f t="shared" si="67"/>
        <v>0</v>
      </c>
      <c r="AY217" s="12">
        <f t="shared" si="67"/>
        <v>0</v>
      </c>
      <c r="AZ217" s="12">
        <f t="shared" si="67"/>
        <v>0</v>
      </c>
      <c r="BA217" s="12">
        <f t="shared" si="67"/>
        <v>0</v>
      </c>
      <c r="BB217" s="12">
        <f t="shared" si="67"/>
        <v>0</v>
      </c>
      <c r="BC217" s="12">
        <f t="shared" si="67"/>
        <v>0</v>
      </c>
      <c r="BD217" s="12">
        <f t="shared" si="67"/>
        <v>0</v>
      </c>
      <c r="BE217" s="12">
        <f t="shared" si="67"/>
        <v>0</v>
      </c>
    </row>
    <row r="218" spans="1:57" s="188" customFormat="1" hidden="1" outlineLevel="1" x14ac:dyDescent="0.2">
      <c r="A218" s="141"/>
      <c r="B218" s="141"/>
      <c r="C218" s="142"/>
      <c r="D218" s="143"/>
      <c r="E218" s="187" t="s">
        <v>763</v>
      </c>
      <c r="F218" s="187"/>
      <c r="G218" s="187" t="str">
        <f xml:space="preserve"> SMU</f>
        <v>$ 000s</v>
      </c>
      <c r="H218" s="187">
        <f xml:space="preserve"> SUM(J218:BE218)</f>
        <v>11940</v>
      </c>
      <c r="I218" s="144"/>
      <c r="J218" s="187">
        <f t="shared" ref="J218:BE218" si="68" xml:space="preserve"> MAX(0, J216 - J217)</f>
        <v>0</v>
      </c>
      <c r="K218" s="187">
        <f t="shared" si="68"/>
        <v>0</v>
      </c>
      <c r="L218" s="187">
        <f t="shared" si="68"/>
        <v>0</v>
      </c>
      <c r="M218" s="187">
        <f t="shared" si="68"/>
        <v>0</v>
      </c>
      <c r="N218" s="187">
        <f t="shared" si="68"/>
        <v>0</v>
      </c>
      <c r="O218" s="187">
        <f t="shared" si="68"/>
        <v>0</v>
      </c>
      <c r="P218" s="187">
        <f t="shared" si="68"/>
        <v>0</v>
      </c>
      <c r="Q218" s="187">
        <f t="shared" si="68"/>
        <v>0</v>
      </c>
      <c r="R218" s="187">
        <f t="shared" si="68"/>
        <v>0</v>
      </c>
      <c r="S218" s="187">
        <f t="shared" si="68"/>
        <v>0</v>
      </c>
      <c r="T218" s="187">
        <f t="shared" si="68"/>
        <v>0</v>
      </c>
      <c r="U218" s="187">
        <f t="shared" si="68"/>
        <v>0</v>
      </c>
      <c r="V218" s="187">
        <f t="shared" si="68"/>
        <v>0</v>
      </c>
      <c r="W218" s="187">
        <f t="shared" si="68"/>
        <v>0</v>
      </c>
      <c r="X218" s="187">
        <f t="shared" si="68"/>
        <v>0</v>
      </c>
      <c r="Y218" s="187">
        <f t="shared" si="68"/>
        <v>0</v>
      </c>
      <c r="Z218" s="187">
        <f t="shared" si="68"/>
        <v>0</v>
      </c>
      <c r="AA218" s="187">
        <f t="shared" si="68"/>
        <v>0</v>
      </c>
      <c r="AB218" s="187">
        <f t="shared" si="68"/>
        <v>0</v>
      </c>
      <c r="AC218" s="187">
        <f t="shared" si="68"/>
        <v>0</v>
      </c>
      <c r="AD218" s="187">
        <f t="shared" si="68"/>
        <v>0</v>
      </c>
      <c r="AE218" s="187">
        <f t="shared" si="68"/>
        <v>0</v>
      </c>
      <c r="AF218" s="187">
        <f t="shared" si="68"/>
        <v>0</v>
      </c>
      <c r="AG218" s="187">
        <f t="shared" si="68"/>
        <v>0</v>
      </c>
      <c r="AH218" s="187">
        <f t="shared" si="68"/>
        <v>1990</v>
      </c>
      <c r="AI218" s="187">
        <f t="shared" si="68"/>
        <v>1990</v>
      </c>
      <c r="AJ218" s="187">
        <f t="shared" si="68"/>
        <v>1990</v>
      </c>
      <c r="AK218" s="187">
        <f t="shared" si="68"/>
        <v>1990</v>
      </c>
      <c r="AL218" s="187">
        <f t="shared" si="68"/>
        <v>1990</v>
      </c>
      <c r="AM218" s="187">
        <f t="shared" si="68"/>
        <v>1990</v>
      </c>
      <c r="AN218" s="187">
        <f t="shared" si="68"/>
        <v>0</v>
      </c>
      <c r="AO218" s="187">
        <f t="shared" si="68"/>
        <v>0</v>
      </c>
      <c r="AP218" s="187">
        <f t="shared" si="68"/>
        <v>0</v>
      </c>
      <c r="AQ218" s="187">
        <f t="shared" si="68"/>
        <v>0</v>
      </c>
      <c r="AR218" s="187">
        <f t="shared" si="68"/>
        <v>0</v>
      </c>
      <c r="AS218" s="187">
        <f t="shared" si="68"/>
        <v>0</v>
      </c>
      <c r="AT218" s="187">
        <f t="shared" si="68"/>
        <v>0</v>
      </c>
      <c r="AU218" s="187">
        <f t="shared" si="68"/>
        <v>0</v>
      </c>
      <c r="AV218" s="187">
        <f t="shared" si="68"/>
        <v>0</v>
      </c>
      <c r="AW218" s="187">
        <f t="shared" si="68"/>
        <v>0</v>
      </c>
      <c r="AX218" s="187">
        <f t="shared" si="68"/>
        <v>0</v>
      </c>
      <c r="AY218" s="187">
        <f t="shared" si="68"/>
        <v>0</v>
      </c>
      <c r="AZ218" s="187">
        <f t="shared" si="68"/>
        <v>0</v>
      </c>
      <c r="BA218" s="187">
        <f t="shared" si="68"/>
        <v>0</v>
      </c>
      <c r="BB218" s="187">
        <f t="shared" si="68"/>
        <v>0</v>
      </c>
      <c r="BC218" s="187">
        <f t="shared" si="68"/>
        <v>0</v>
      </c>
      <c r="BD218" s="187">
        <f t="shared" si="68"/>
        <v>0</v>
      </c>
      <c r="BE218" s="187">
        <f t="shared" si="68"/>
        <v>0</v>
      </c>
    </row>
    <row r="219" spans="1:57" hidden="1" outlineLevel="1" x14ac:dyDescent="0.2"/>
    <row r="220" spans="1:57" hidden="1" outlineLevel="1" x14ac:dyDescent="0.2">
      <c r="E220" s="186" t="str">
        <f xml:space="preserve"> InpC!E$44</f>
        <v>Distribution of EGRs</v>
      </c>
      <c r="F220" s="186">
        <f xml:space="preserve"> InpC!F$44</f>
        <v>2</v>
      </c>
      <c r="G220" s="186" t="str">
        <f xml:space="preserve"> InpC!G$44</f>
        <v>1 = distributed, 2 = equity</v>
      </c>
    </row>
    <row r="221" spans="1:57" hidden="1" outlineLevel="1" x14ac:dyDescent="0.2">
      <c r="E221" s="12" t="str">
        <f t="shared" ref="E221:AJ221" si="69" xml:space="preserve"> E$218</f>
        <v>Net cash during EGR period</v>
      </c>
      <c r="F221" s="12">
        <f t="shared" si="69"/>
        <v>0</v>
      </c>
      <c r="G221" s="12" t="str">
        <f t="shared" si="69"/>
        <v>$ 000s</v>
      </c>
      <c r="H221" s="12">
        <f t="shared" si="69"/>
        <v>11940</v>
      </c>
      <c r="I221" s="12">
        <f t="shared" si="69"/>
        <v>0</v>
      </c>
      <c r="J221" s="12">
        <f t="shared" si="69"/>
        <v>0</v>
      </c>
      <c r="K221" s="12">
        <f t="shared" si="69"/>
        <v>0</v>
      </c>
      <c r="L221" s="12">
        <f t="shared" si="69"/>
        <v>0</v>
      </c>
      <c r="M221" s="12">
        <f t="shared" si="69"/>
        <v>0</v>
      </c>
      <c r="N221" s="12">
        <f t="shared" si="69"/>
        <v>0</v>
      </c>
      <c r="O221" s="12">
        <f t="shared" si="69"/>
        <v>0</v>
      </c>
      <c r="P221" s="12">
        <f t="shared" si="69"/>
        <v>0</v>
      </c>
      <c r="Q221" s="12">
        <f t="shared" si="69"/>
        <v>0</v>
      </c>
      <c r="R221" s="12">
        <f t="shared" si="69"/>
        <v>0</v>
      </c>
      <c r="S221" s="12">
        <f t="shared" si="69"/>
        <v>0</v>
      </c>
      <c r="T221" s="12">
        <f t="shared" si="69"/>
        <v>0</v>
      </c>
      <c r="U221" s="12">
        <f t="shared" si="69"/>
        <v>0</v>
      </c>
      <c r="V221" s="12">
        <f t="shared" si="69"/>
        <v>0</v>
      </c>
      <c r="W221" s="12">
        <f t="shared" si="69"/>
        <v>0</v>
      </c>
      <c r="X221" s="12">
        <f t="shared" si="69"/>
        <v>0</v>
      </c>
      <c r="Y221" s="12">
        <f t="shared" si="69"/>
        <v>0</v>
      </c>
      <c r="Z221" s="12">
        <f t="shared" si="69"/>
        <v>0</v>
      </c>
      <c r="AA221" s="12">
        <f t="shared" si="69"/>
        <v>0</v>
      </c>
      <c r="AB221" s="12">
        <f t="shared" si="69"/>
        <v>0</v>
      </c>
      <c r="AC221" s="12">
        <f t="shared" si="69"/>
        <v>0</v>
      </c>
      <c r="AD221" s="12">
        <f t="shared" si="69"/>
        <v>0</v>
      </c>
      <c r="AE221" s="12">
        <f t="shared" si="69"/>
        <v>0</v>
      </c>
      <c r="AF221" s="12">
        <f t="shared" si="69"/>
        <v>0</v>
      </c>
      <c r="AG221" s="12">
        <f t="shared" si="69"/>
        <v>0</v>
      </c>
      <c r="AH221" s="12">
        <f t="shared" si="69"/>
        <v>1990</v>
      </c>
      <c r="AI221" s="12">
        <f t="shared" si="69"/>
        <v>1990</v>
      </c>
      <c r="AJ221" s="12">
        <f t="shared" si="69"/>
        <v>1990</v>
      </c>
      <c r="AK221" s="12">
        <f t="shared" ref="AK221:BE221" si="70" xml:space="preserve"> AK$218</f>
        <v>1990</v>
      </c>
      <c r="AL221" s="12">
        <f t="shared" si="70"/>
        <v>1990</v>
      </c>
      <c r="AM221" s="12">
        <f t="shared" si="70"/>
        <v>1990</v>
      </c>
      <c r="AN221" s="12">
        <f t="shared" si="70"/>
        <v>0</v>
      </c>
      <c r="AO221" s="12">
        <f t="shared" si="70"/>
        <v>0</v>
      </c>
      <c r="AP221" s="12">
        <f t="shared" si="70"/>
        <v>0</v>
      </c>
      <c r="AQ221" s="12">
        <f t="shared" si="70"/>
        <v>0</v>
      </c>
      <c r="AR221" s="12">
        <f t="shared" si="70"/>
        <v>0</v>
      </c>
      <c r="AS221" s="12">
        <f t="shared" si="70"/>
        <v>0</v>
      </c>
      <c r="AT221" s="12">
        <f t="shared" si="70"/>
        <v>0</v>
      </c>
      <c r="AU221" s="12">
        <f t="shared" si="70"/>
        <v>0</v>
      </c>
      <c r="AV221" s="12">
        <f t="shared" si="70"/>
        <v>0</v>
      </c>
      <c r="AW221" s="12">
        <f t="shared" si="70"/>
        <v>0</v>
      </c>
      <c r="AX221" s="12">
        <f t="shared" si="70"/>
        <v>0</v>
      </c>
      <c r="AY221" s="12">
        <f t="shared" si="70"/>
        <v>0</v>
      </c>
      <c r="AZ221" s="12">
        <f t="shared" si="70"/>
        <v>0</v>
      </c>
      <c r="BA221" s="12">
        <f t="shared" si="70"/>
        <v>0</v>
      </c>
      <c r="BB221" s="12">
        <f t="shared" si="70"/>
        <v>0</v>
      </c>
      <c r="BC221" s="12">
        <f t="shared" si="70"/>
        <v>0</v>
      </c>
      <c r="BD221" s="12">
        <f t="shared" si="70"/>
        <v>0</v>
      </c>
      <c r="BE221" s="12">
        <f t="shared" si="70"/>
        <v>0</v>
      </c>
    </row>
    <row r="222" spans="1:57" s="188" customFormat="1" hidden="1" outlineLevel="1" x14ac:dyDescent="0.2">
      <c r="A222" s="141"/>
      <c r="B222" s="141"/>
      <c r="C222" s="142"/>
      <c r="D222" s="143"/>
      <c r="E222" s="187" t="s">
        <v>743</v>
      </c>
      <c r="F222" s="187"/>
      <c r="G222" s="187" t="str">
        <f xml:space="preserve"> SMU</f>
        <v>$ 000s</v>
      </c>
      <c r="H222" s="187">
        <f xml:space="preserve"> SUM(J222:BE222)</f>
        <v>11940</v>
      </c>
      <c r="I222" s="144"/>
      <c r="J222" s="187">
        <f t="shared" ref="J222:BE222" si="71" xml:space="preserve"> J221 * ($F220 = 2)</f>
        <v>0</v>
      </c>
      <c r="K222" s="187">
        <f t="shared" si="71"/>
        <v>0</v>
      </c>
      <c r="L222" s="187">
        <f t="shared" si="71"/>
        <v>0</v>
      </c>
      <c r="M222" s="187">
        <f t="shared" si="71"/>
        <v>0</v>
      </c>
      <c r="N222" s="187">
        <f t="shared" si="71"/>
        <v>0</v>
      </c>
      <c r="O222" s="187">
        <f t="shared" si="71"/>
        <v>0</v>
      </c>
      <c r="P222" s="187">
        <f t="shared" si="71"/>
        <v>0</v>
      </c>
      <c r="Q222" s="187">
        <f t="shared" si="71"/>
        <v>0</v>
      </c>
      <c r="R222" s="187">
        <f t="shared" si="71"/>
        <v>0</v>
      </c>
      <c r="S222" s="187">
        <f t="shared" si="71"/>
        <v>0</v>
      </c>
      <c r="T222" s="187">
        <f t="shared" si="71"/>
        <v>0</v>
      </c>
      <c r="U222" s="187">
        <f t="shared" si="71"/>
        <v>0</v>
      </c>
      <c r="V222" s="187">
        <f t="shared" si="71"/>
        <v>0</v>
      </c>
      <c r="W222" s="187">
        <f t="shared" si="71"/>
        <v>0</v>
      </c>
      <c r="X222" s="187">
        <f t="shared" si="71"/>
        <v>0</v>
      </c>
      <c r="Y222" s="187">
        <f t="shared" si="71"/>
        <v>0</v>
      </c>
      <c r="Z222" s="187">
        <f t="shared" si="71"/>
        <v>0</v>
      </c>
      <c r="AA222" s="187">
        <f t="shared" si="71"/>
        <v>0</v>
      </c>
      <c r="AB222" s="187">
        <f t="shared" si="71"/>
        <v>0</v>
      </c>
      <c r="AC222" s="187">
        <f t="shared" si="71"/>
        <v>0</v>
      </c>
      <c r="AD222" s="187">
        <f t="shared" si="71"/>
        <v>0</v>
      </c>
      <c r="AE222" s="187">
        <f t="shared" si="71"/>
        <v>0</v>
      </c>
      <c r="AF222" s="187">
        <f t="shared" si="71"/>
        <v>0</v>
      </c>
      <c r="AG222" s="187">
        <f t="shared" si="71"/>
        <v>0</v>
      </c>
      <c r="AH222" s="187">
        <f t="shared" si="71"/>
        <v>1990</v>
      </c>
      <c r="AI222" s="187">
        <f t="shared" si="71"/>
        <v>1990</v>
      </c>
      <c r="AJ222" s="187">
        <f t="shared" si="71"/>
        <v>1990</v>
      </c>
      <c r="AK222" s="187">
        <f t="shared" si="71"/>
        <v>1990</v>
      </c>
      <c r="AL222" s="187">
        <f t="shared" si="71"/>
        <v>1990</v>
      </c>
      <c r="AM222" s="187">
        <f t="shared" si="71"/>
        <v>1990</v>
      </c>
      <c r="AN222" s="187">
        <f t="shared" si="71"/>
        <v>0</v>
      </c>
      <c r="AO222" s="187">
        <f t="shared" si="71"/>
        <v>0</v>
      </c>
      <c r="AP222" s="187">
        <f t="shared" si="71"/>
        <v>0</v>
      </c>
      <c r="AQ222" s="187">
        <f t="shared" si="71"/>
        <v>0</v>
      </c>
      <c r="AR222" s="187">
        <f t="shared" si="71"/>
        <v>0</v>
      </c>
      <c r="AS222" s="187">
        <f t="shared" si="71"/>
        <v>0</v>
      </c>
      <c r="AT222" s="187">
        <f t="shared" si="71"/>
        <v>0</v>
      </c>
      <c r="AU222" s="187">
        <f t="shared" si="71"/>
        <v>0</v>
      </c>
      <c r="AV222" s="187">
        <f t="shared" si="71"/>
        <v>0</v>
      </c>
      <c r="AW222" s="187">
        <f t="shared" si="71"/>
        <v>0</v>
      </c>
      <c r="AX222" s="187">
        <f t="shared" si="71"/>
        <v>0</v>
      </c>
      <c r="AY222" s="187">
        <f t="shared" si="71"/>
        <v>0</v>
      </c>
      <c r="AZ222" s="187">
        <f t="shared" si="71"/>
        <v>0</v>
      </c>
      <c r="BA222" s="187">
        <f t="shared" si="71"/>
        <v>0</v>
      </c>
      <c r="BB222" s="187">
        <f t="shared" si="71"/>
        <v>0</v>
      </c>
      <c r="BC222" s="187">
        <f t="shared" si="71"/>
        <v>0</v>
      </c>
      <c r="BD222" s="187">
        <f t="shared" si="71"/>
        <v>0</v>
      </c>
      <c r="BE222" s="187">
        <f t="shared" si="71"/>
        <v>0</v>
      </c>
    </row>
    <row r="223" spans="1:57" s="188" customFormat="1" hidden="1" outlineLevel="1" x14ac:dyDescent="0.2">
      <c r="A223" s="141"/>
      <c r="B223" s="141"/>
      <c r="C223" s="142"/>
      <c r="D223" s="143"/>
      <c r="E223" s="187" t="s">
        <v>744</v>
      </c>
      <c r="F223" s="187">
        <f xml:space="preserve"> SUM(J222:BE222)</f>
        <v>11940</v>
      </c>
      <c r="G223" s="187" t="str">
        <f xml:space="preserve"> SMU</f>
        <v>$ 000s</v>
      </c>
      <c r="H223" s="187"/>
      <c r="I223" s="144"/>
      <c r="J223" s="187"/>
      <c r="K223" s="187"/>
      <c r="L223" s="187"/>
      <c r="M223" s="187"/>
      <c r="N223" s="187"/>
      <c r="O223" s="187"/>
      <c r="P223" s="187"/>
      <c r="Q223" s="187"/>
      <c r="R223" s="187"/>
      <c r="S223" s="187"/>
      <c r="T223" s="187"/>
      <c r="U223" s="187"/>
      <c r="V223" s="187"/>
      <c r="W223" s="187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X223" s="187"/>
      <c r="AY223" s="187"/>
      <c r="AZ223" s="187"/>
      <c r="BA223" s="187"/>
      <c r="BB223" s="187"/>
      <c r="BC223" s="187"/>
      <c r="BD223" s="187"/>
      <c r="BE223" s="187"/>
    </row>
    <row r="224" spans="1:57" hidden="1" outlineLevel="1" x14ac:dyDescent="0.2"/>
    <row r="225" spans="1:57" hidden="1" outlineLevel="1" x14ac:dyDescent="0.2">
      <c r="E225" s="12" t="str">
        <f t="shared" ref="E225:AJ225" si="72" xml:space="preserve"> E$149</f>
        <v>Electricity generation revenue accrued - m</v>
      </c>
      <c r="F225" s="12">
        <f t="shared" si="72"/>
        <v>0</v>
      </c>
      <c r="G225" s="12" t="str">
        <f t="shared" si="72"/>
        <v>$ 000s</v>
      </c>
      <c r="H225" s="12">
        <f t="shared" si="72"/>
        <v>13930</v>
      </c>
      <c r="I225" s="12">
        <f t="shared" si="72"/>
        <v>0</v>
      </c>
      <c r="J225" s="12">
        <f t="shared" si="72"/>
        <v>0</v>
      </c>
      <c r="K225" s="12">
        <f t="shared" si="72"/>
        <v>0</v>
      </c>
      <c r="L225" s="12">
        <f t="shared" si="72"/>
        <v>0</v>
      </c>
      <c r="M225" s="12">
        <f t="shared" si="72"/>
        <v>0</v>
      </c>
      <c r="N225" s="12">
        <f t="shared" si="72"/>
        <v>0</v>
      </c>
      <c r="O225" s="12">
        <f t="shared" si="72"/>
        <v>0</v>
      </c>
      <c r="P225" s="12">
        <f t="shared" si="72"/>
        <v>0</v>
      </c>
      <c r="Q225" s="12">
        <f t="shared" si="72"/>
        <v>0</v>
      </c>
      <c r="R225" s="12">
        <f t="shared" si="72"/>
        <v>0</v>
      </c>
      <c r="S225" s="12">
        <f t="shared" si="72"/>
        <v>0</v>
      </c>
      <c r="T225" s="12">
        <f t="shared" si="72"/>
        <v>0</v>
      </c>
      <c r="U225" s="12">
        <f t="shared" si="72"/>
        <v>0</v>
      </c>
      <c r="V225" s="12">
        <f t="shared" si="72"/>
        <v>0</v>
      </c>
      <c r="W225" s="12">
        <f t="shared" si="72"/>
        <v>0</v>
      </c>
      <c r="X225" s="12">
        <f t="shared" si="72"/>
        <v>0</v>
      </c>
      <c r="Y225" s="12">
        <f t="shared" si="72"/>
        <v>0</v>
      </c>
      <c r="Z225" s="12">
        <f t="shared" si="72"/>
        <v>0</v>
      </c>
      <c r="AA225" s="12">
        <f t="shared" si="72"/>
        <v>0</v>
      </c>
      <c r="AB225" s="12">
        <f t="shared" si="72"/>
        <v>0</v>
      </c>
      <c r="AC225" s="12">
        <f t="shared" si="72"/>
        <v>0</v>
      </c>
      <c r="AD225" s="12">
        <f t="shared" si="72"/>
        <v>0</v>
      </c>
      <c r="AE225" s="12">
        <f t="shared" si="72"/>
        <v>0</v>
      </c>
      <c r="AF225" s="12">
        <f t="shared" si="72"/>
        <v>0</v>
      </c>
      <c r="AG225" s="12">
        <f t="shared" si="72"/>
        <v>1990</v>
      </c>
      <c r="AH225" s="12">
        <f t="shared" si="72"/>
        <v>1990</v>
      </c>
      <c r="AI225" s="12">
        <f t="shared" si="72"/>
        <v>1990</v>
      </c>
      <c r="AJ225" s="12">
        <f t="shared" si="72"/>
        <v>1990</v>
      </c>
      <c r="AK225" s="12">
        <f t="shared" ref="AK225:BE225" si="73" xml:space="preserve"> AK$149</f>
        <v>1990</v>
      </c>
      <c r="AL225" s="12">
        <f t="shared" si="73"/>
        <v>1990</v>
      </c>
      <c r="AM225" s="12">
        <f t="shared" si="73"/>
        <v>1990</v>
      </c>
      <c r="AN225" s="12">
        <f t="shared" si="73"/>
        <v>0</v>
      </c>
      <c r="AO225" s="12">
        <f t="shared" si="73"/>
        <v>0</v>
      </c>
      <c r="AP225" s="12">
        <f t="shared" si="73"/>
        <v>0</v>
      </c>
      <c r="AQ225" s="12">
        <f t="shared" si="73"/>
        <v>0</v>
      </c>
      <c r="AR225" s="12">
        <f t="shared" si="73"/>
        <v>0</v>
      </c>
      <c r="AS225" s="12">
        <f t="shared" si="73"/>
        <v>0</v>
      </c>
      <c r="AT225" s="12">
        <f t="shared" si="73"/>
        <v>0</v>
      </c>
      <c r="AU225" s="12">
        <f t="shared" si="73"/>
        <v>0</v>
      </c>
      <c r="AV225" s="12">
        <f t="shared" si="73"/>
        <v>0</v>
      </c>
      <c r="AW225" s="12">
        <f t="shared" si="73"/>
        <v>0</v>
      </c>
      <c r="AX225" s="12">
        <f t="shared" si="73"/>
        <v>0</v>
      </c>
      <c r="AY225" s="12">
        <f t="shared" si="73"/>
        <v>0</v>
      </c>
      <c r="AZ225" s="12">
        <f t="shared" si="73"/>
        <v>0</v>
      </c>
      <c r="BA225" s="12">
        <f t="shared" si="73"/>
        <v>0</v>
      </c>
      <c r="BB225" s="12">
        <f t="shared" si="73"/>
        <v>0</v>
      </c>
      <c r="BC225" s="12">
        <f t="shared" si="73"/>
        <v>0</v>
      </c>
      <c r="BD225" s="12">
        <f t="shared" si="73"/>
        <v>0</v>
      </c>
      <c r="BE225" s="12">
        <f t="shared" si="73"/>
        <v>0</v>
      </c>
    </row>
    <row r="226" spans="1:57" hidden="1" outlineLevel="1" x14ac:dyDescent="0.2">
      <c r="D226" s="48" t="s">
        <v>170</v>
      </c>
      <c r="E226" s="12" t="str">
        <f t="shared" ref="E226:AJ226" si="74" xml:space="preserve"> E$194</f>
        <v>Early generation costs accrued - m</v>
      </c>
      <c r="F226" s="12">
        <f t="shared" si="74"/>
        <v>0</v>
      </c>
      <c r="G226" s="12" t="str">
        <f t="shared" si="74"/>
        <v>$ 000s</v>
      </c>
      <c r="H226" s="12">
        <f t="shared" si="74"/>
        <v>0</v>
      </c>
      <c r="I226" s="12">
        <f t="shared" si="74"/>
        <v>0</v>
      </c>
      <c r="J226" s="12">
        <f t="shared" si="74"/>
        <v>0</v>
      </c>
      <c r="K226" s="12">
        <f t="shared" si="74"/>
        <v>0</v>
      </c>
      <c r="L226" s="12">
        <f t="shared" si="74"/>
        <v>0</v>
      </c>
      <c r="M226" s="12">
        <f t="shared" si="74"/>
        <v>0</v>
      </c>
      <c r="N226" s="12">
        <f t="shared" si="74"/>
        <v>0</v>
      </c>
      <c r="O226" s="12">
        <f t="shared" si="74"/>
        <v>0</v>
      </c>
      <c r="P226" s="12">
        <f t="shared" si="74"/>
        <v>0</v>
      </c>
      <c r="Q226" s="12">
        <f t="shared" si="74"/>
        <v>0</v>
      </c>
      <c r="R226" s="12">
        <f t="shared" si="74"/>
        <v>0</v>
      </c>
      <c r="S226" s="12">
        <f t="shared" si="74"/>
        <v>0</v>
      </c>
      <c r="T226" s="12">
        <f t="shared" si="74"/>
        <v>0</v>
      </c>
      <c r="U226" s="12">
        <f t="shared" si="74"/>
        <v>0</v>
      </c>
      <c r="V226" s="12">
        <f t="shared" si="74"/>
        <v>0</v>
      </c>
      <c r="W226" s="12">
        <f t="shared" si="74"/>
        <v>0</v>
      </c>
      <c r="X226" s="12">
        <f t="shared" si="74"/>
        <v>0</v>
      </c>
      <c r="Y226" s="12">
        <f t="shared" si="74"/>
        <v>0</v>
      </c>
      <c r="Z226" s="12">
        <f t="shared" si="74"/>
        <v>0</v>
      </c>
      <c r="AA226" s="12">
        <f t="shared" si="74"/>
        <v>0</v>
      </c>
      <c r="AB226" s="12">
        <f t="shared" si="74"/>
        <v>0</v>
      </c>
      <c r="AC226" s="12">
        <f t="shared" si="74"/>
        <v>0</v>
      </c>
      <c r="AD226" s="12">
        <f t="shared" si="74"/>
        <v>0</v>
      </c>
      <c r="AE226" s="12">
        <f t="shared" si="74"/>
        <v>0</v>
      </c>
      <c r="AF226" s="12">
        <f t="shared" si="74"/>
        <v>0</v>
      </c>
      <c r="AG226" s="12">
        <f t="shared" si="74"/>
        <v>0</v>
      </c>
      <c r="AH226" s="12">
        <f t="shared" si="74"/>
        <v>0</v>
      </c>
      <c r="AI226" s="12">
        <f t="shared" si="74"/>
        <v>0</v>
      </c>
      <c r="AJ226" s="12">
        <f t="shared" si="74"/>
        <v>0</v>
      </c>
      <c r="AK226" s="12">
        <f t="shared" ref="AK226:BE226" si="75" xml:space="preserve"> AK$194</f>
        <v>0</v>
      </c>
      <c r="AL226" s="12">
        <f t="shared" si="75"/>
        <v>0</v>
      </c>
      <c r="AM226" s="12">
        <f t="shared" si="75"/>
        <v>0</v>
      </c>
      <c r="AN226" s="12">
        <f t="shared" si="75"/>
        <v>0</v>
      </c>
      <c r="AO226" s="12">
        <f t="shared" si="75"/>
        <v>0</v>
      </c>
      <c r="AP226" s="12">
        <f t="shared" si="75"/>
        <v>0</v>
      </c>
      <c r="AQ226" s="12">
        <f t="shared" si="75"/>
        <v>0</v>
      </c>
      <c r="AR226" s="12">
        <f t="shared" si="75"/>
        <v>0</v>
      </c>
      <c r="AS226" s="12">
        <f t="shared" si="75"/>
        <v>0</v>
      </c>
      <c r="AT226" s="12">
        <f t="shared" si="75"/>
        <v>0</v>
      </c>
      <c r="AU226" s="12">
        <f t="shared" si="75"/>
        <v>0</v>
      </c>
      <c r="AV226" s="12">
        <f t="shared" si="75"/>
        <v>0</v>
      </c>
      <c r="AW226" s="12">
        <f t="shared" si="75"/>
        <v>0</v>
      </c>
      <c r="AX226" s="12">
        <f t="shared" si="75"/>
        <v>0</v>
      </c>
      <c r="AY226" s="12">
        <f t="shared" si="75"/>
        <v>0</v>
      </c>
      <c r="AZ226" s="12">
        <f t="shared" si="75"/>
        <v>0</v>
      </c>
      <c r="BA226" s="12">
        <f t="shared" si="75"/>
        <v>0</v>
      </c>
      <c r="BB226" s="12">
        <f t="shared" si="75"/>
        <v>0</v>
      </c>
      <c r="BC226" s="12">
        <f t="shared" si="75"/>
        <v>0</v>
      </c>
      <c r="BD226" s="12">
        <f t="shared" si="75"/>
        <v>0</v>
      </c>
      <c r="BE226" s="12">
        <f t="shared" si="75"/>
        <v>0</v>
      </c>
    </row>
    <row r="227" spans="1:57" hidden="1" outlineLevel="1" x14ac:dyDescent="0.2">
      <c r="D227" s="48" t="s">
        <v>371</v>
      </c>
      <c r="E227" s="12" t="str">
        <f t="shared" ref="E227:I227" si="76" xml:space="preserve"> E$207</f>
        <v>Early generation costs shortfall to be funded - m</v>
      </c>
      <c r="F227" s="12">
        <f t="shared" si="76"/>
        <v>0</v>
      </c>
      <c r="G227" s="12" t="str">
        <f t="shared" si="76"/>
        <v>$ 000s</v>
      </c>
      <c r="H227" s="12">
        <f t="shared" si="76"/>
        <v>0</v>
      </c>
      <c r="I227" s="12">
        <f t="shared" si="76"/>
        <v>0</v>
      </c>
      <c r="J227" s="12">
        <f t="shared" ref="J227:AA227" si="77" xml:space="preserve"> J$207</f>
        <v>0</v>
      </c>
      <c r="K227" s="12">
        <f t="shared" si="77"/>
        <v>0</v>
      </c>
      <c r="L227" s="12">
        <f t="shared" si="77"/>
        <v>0</v>
      </c>
      <c r="M227" s="12">
        <f t="shared" si="77"/>
        <v>0</v>
      </c>
      <c r="N227" s="12">
        <f t="shared" si="77"/>
        <v>0</v>
      </c>
      <c r="O227" s="12">
        <f t="shared" si="77"/>
        <v>0</v>
      </c>
      <c r="P227" s="12">
        <f t="shared" si="77"/>
        <v>0</v>
      </c>
      <c r="Q227" s="12">
        <f t="shared" si="77"/>
        <v>0</v>
      </c>
      <c r="R227" s="12">
        <f t="shared" si="77"/>
        <v>0</v>
      </c>
      <c r="S227" s="12">
        <f t="shared" si="77"/>
        <v>0</v>
      </c>
      <c r="T227" s="12">
        <f t="shared" si="77"/>
        <v>0</v>
      </c>
      <c r="U227" s="12">
        <f t="shared" si="77"/>
        <v>0</v>
      </c>
      <c r="V227" s="12">
        <f t="shared" si="77"/>
        <v>0</v>
      </c>
      <c r="W227" s="12">
        <f t="shared" si="77"/>
        <v>0</v>
      </c>
      <c r="X227" s="12">
        <f t="shared" si="77"/>
        <v>0</v>
      </c>
      <c r="Y227" s="12">
        <f t="shared" si="77"/>
        <v>0</v>
      </c>
      <c r="Z227" s="12">
        <f t="shared" si="77"/>
        <v>0</v>
      </c>
      <c r="AA227" s="12">
        <f t="shared" si="77"/>
        <v>0</v>
      </c>
      <c r="AB227" s="12">
        <f t="shared" ref="AB227:BE227" si="78" xml:space="preserve"> AB$207</f>
        <v>0</v>
      </c>
      <c r="AC227" s="12">
        <f t="shared" si="78"/>
        <v>0</v>
      </c>
      <c r="AD227" s="12">
        <f t="shared" si="78"/>
        <v>0</v>
      </c>
      <c r="AE227" s="12">
        <f t="shared" si="78"/>
        <v>0</v>
      </c>
      <c r="AF227" s="12">
        <f t="shared" si="78"/>
        <v>0</v>
      </c>
      <c r="AG227" s="12">
        <f t="shared" si="78"/>
        <v>0</v>
      </c>
      <c r="AH227" s="12">
        <f t="shared" si="78"/>
        <v>0</v>
      </c>
      <c r="AI227" s="12">
        <f t="shared" si="78"/>
        <v>0</v>
      </c>
      <c r="AJ227" s="12">
        <f t="shared" si="78"/>
        <v>0</v>
      </c>
      <c r="AK227" s="12">
        <f t="shared" si="78"/>
        <v>0</v>
      </c>
      <c r="AL227" s="12">
        <f t="shared" si="78"/>
        <v>0</v>
      </c>
      <c r="AM227" s="12">
        <f t="shared" si="78"/>
        <v>0</v>
      </c>
      <c r="AN227" s="12">
        <f t="shared" si="78"/>
        <v>0</v>
      </c>
      <c r="AO227" s="12">
        <f t="shared" si="78"/>
        <v>0</v>
      </c>
      <c r="AP227" s="12">
        <f t="shared" si="78"/>
        <v>0</v>
      </c>
      <c r="AQ227" s="12">
        <f t="shared" si="78"/>
        <v>0</v>
      </c>
      <c r="AR227" s="12">
        <f t="shared" si="78"/>
        <v>0</v>
      </c>
      <c r="AS227" s="12">
        <f t="shared" si="78"/>
        <v>0</v>
      </c>
      <c r="AT227" s="12">
        <f t="shared" si="78"/>
        <v>0</v>
      </c>
      <c r="AU227" s="12">
        <f t="shared" si="78"/>
        <v>0</v>
      </c>
      <c r="AV227" s="12">
        <f t="shared" si="78"/>
        <v>0</v>
      </c>
      <c r="AW227" s="12">
        <f t="shared" si="78"/>
        <v>0</v>
      </c>
      <c r="AX227" s="12">
        <f t="shared" si="78"/>
        <v>0</v>
      </c>
      <c r="AY227" s="12">
        <f t="shared" si="78"/>
        <v>0</v>
      </c>
      <c r="AZ227" s="12">
        <f t="shared" si="78"/>
        <v>0</v>
      </c>
      <c r="BA227" s="12">
        <f t="shared" si="78"/>
        <v>0</v>
      </c>
      <c r="BB227" s="12">
        <f t="shared" si="78"/>
        <v>0</v>
      </c>
      <c r="BC227" s="12">
        <f t="shared" si="78"/>
        <v>0</v>
      </c>
      <c r="BD227" s="12">
        <f t="shared" si="78"/>
        <v>0</v>
      </c>
      <c r="BE227" s="12">
        <f t="shared" si="78"/>
        <v>0</v>
      </c>
    </row>
    <row r="228" spans="1:57" hidden="1" outlineLevel="1" x14ac:dyDescent="0.2">
      <c r="E228" s="32" t="s">
        <v>848</v>
      </c>
      <c r="F228" s="32"/>
      <c r="G228" s="32" t="str">
        <f xml:space="preserve"> SMU</f>
        <v>$ 000s</v>
      </c>
      <c r="H228" s="32">
        <f xml:space="preserve"> SUM(J228:BE228)</f>
        <v>13930</v>
      </c>
      <c r="I228" s="32"/>
      <c r="J228" s="32">
        <f t="shared" ref="J228:BE228" si="79" xml:space="preserve"> J225 - J226 + J227</f>
        <v>0</v>
      </c>
      <c r="K228" s="32">
        <f t="shared" si="79"/>
        <v>0</v>
      </c>
      <c r="L228" s="32">
        <f t="shared" si="79"/>
        <v>0</v>
      </c>
      <c r="M228" s="32">
        <f t="shared" si="79"/>
        <v>0</v>
      </c>
      <c r="N228" s="32">
        <f t="shared" si="79"/>
        <v>0</v>
      </c>
      <c r="O228" s="32">
        <f t="shared" si="79"/>
        <v>0</v>
      </c>
      <c r="P228" s="32">
        <f t="shared" si="79"/>
        <v>0</v>
      </c>
      <c r="Q228" s="32">
        <f t="shared" si="79"/>
        <v>0</v>
      </c>
      <c r="R228" s="32">
        <f t="shared" si="79"/>
        <v>0</v>
      </c>
      <c r="S228" s="32">
        <f t="shared" si="79"/>
        <v>0</v>
      </c>
      <c r="T228" s="32">
        <f t="shared" si="79"/>
        <v>0</v>
      </c>
      <c r="U228" s="32">
        <f t="shared" si="79"/>
        <v>0</v>
      </c>
      <c r="V228" s="32">
        <f t="shared" si="79"/>
        <v>0</v>
      </c>
      <c r="W228" s="32">
        <f t="shared" si="79"/>
        <v>0</v>
      </c>
      <c r="X228" s="32">
        <f t="shared" si="79"/>
        <v>0</v>
      </c>
      <c r="Y228" s="32">
        <f t="shared" si="79"/>
        <v>0</v>
      </c>
      <c r="Z228" s="32">
        <f t="shared" si="79"/>
        <v>0</v>
      </c>
      <c r="AA228" s="32">
        <f t="shared" si="79"/>
        <v>0</v>
      </c>
      <c r="AB228" s="32">
        <f t="shared" si="79"/>
        <v>0</v>
      </c>
      <c r="AC228" s="32">
        <f t="shared" si="79"/>
        <v>0</v>
      </c>
      <c r="AD228" s="32">
        <f t="shared" si="79"/>
        <v>0</v>
      </c>
      <c r="AE228" s="32">
        <f t="shared" si="79"/>
        <v>0</v>
      </c>
      <c r="AF228" s="32">
        <f t="shared" si="79"/>
        <v>0</v>
      </c>
      <c r="AG228" s="32">
        <f t="shared" si="79"/>
        <v>1990</v>
      </c>
      <c r="AH228" s="32">
        <f t="shared" si="79"/>
        <v>1990</v>
      </c>
      <c r="AI228" s="32">
        <f t="shared" si="79"/>
        <v>1990</v>
      </c>
      <c r="AJ228" s="32">
        <f t="shared" si="79"/>
        <v>1990</v>
      </c>
      <c r="AK228" s="32">
        <f t="shared" si="79"/>
        <v>1990</v>
      </c>
      <c r="AL228" s="32">
        <f t="shared" si="79"/>
        <v>1990</v>
      </c>
      <c r="AM228" s="32">
        <f t="shared" si="79"/>
        <v>1990</v>
      </c>
      <c r="AN228" s="32">
        <f t="shared" si="79"/>
        <v>0</v>
      </c>
      <c r="AO228" s="32">
        <f t="shared" si="79"/>
        <v>0</v>
      </c>
      <c r="AP228" s="32">
        <f t="shared" si="79"/>
        <v>0</v>
      </c>
      <c r="AQ228" s="32">
        <f t="shared" si="79"/>
        <v>0</v>
      </c>
      <c r="AR228" s="32">
        <f t="shared" si="79"/>
        <v>0</v>
      </c>
      <c r="AS228" s="32">
        <f t="shared" si="79"/>
        <v>0</v>
      </c>
      <c r="AT228" s="32">
        <f t="shared" si="79"/>
        <v>0</v>
      </c>
      <c r="AU228" s="32">
        <f t="shared" si="79"/>
        <v>0</v>
      </c>
      <c r="AV228" s="32">
        <f t="shared" si="79"/>
        <v>0</v>
      </c>
      <c r="AW228" s="32">
        <f t="shared" si="79"/>
        <v>0</v>
      </c>
      <c r="AX228" s="32">
        <f t="shared" si="79"/>
        <v>0</v>
      </c>
      <c r="AY228" s="32">
        <f t="shared" si="79"/>
        <v>0</v>
      </c>
      <c r="AZ228" s="32">
        <f t="shared" si="79"/>
        <v>0</v>
      </c>
      <c r="BA228" s="32">
        <f t="shared" si="79"/>
        <v>0</v>
      </c>
      <c r="BB228" s="32">
        <f t="shared" si="79"/>
        <v>0</v>
      </c>
      <c r="BC228" s="32">
        <f t="shared" si="79"/>
        <v>0</v>
      </c>
      <c r="BD228" s="32">
        <f t="shared" si="79"/>
        <v>0</v>
      </c>
      <c r="BE228" s="32">
        <f t="shared" si="79"/>
        <v>0</v>
      </c>
    </row>
    <row r="229" spans="1:57" s="188" customFormat="1" hidden="1" outlineLevel="1" x14ac:dyDescent="0.2">
      <c r="A229" s="141"/>
      <c r="B229" s="141"/>
      <c r="C229" s="142"/>
      <c r="D229" s="143"/>
      <c r="E229" s="187" t="s">
        <v>746</v>
      </c>
      <c r="F229" s="187">
        <f xml:space="preserve"> SUM(J228:BE228)</f>
        <v>13930</v>
      </c>
      <c r="G229" s="187" t="str">
        <f xml:space="preserve"> SMU</f>
        <v>$ 000s</v>
      </c>
      <c r="H229" s="187"/>
      <c r="I229" s="144"/>
      <c r="J229" s="187"/>
      <c r="K229" s="187"/>
      <c r="L229" s="187"/>
      <c r="M229" s="187"/>
      <c r="N229" s="187"/>
      <c r="O229" s="187"/>
      <c r="P229" s="187"/>
      <c r="Q229" s="187"/>
      <c r="R229" s="187"/>
      <c r="S229" s="187"/>
      <c r="T229" s="187"/>
      <c r="U229" s="187"/>
      <c r="V229" s="187"/>
      <c r="W229" s="187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87"/>
      <c r="AI229" s="187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X229" s="187"/>
      <c r="AY229" s="187"/>
      <c r="AZ229" s="187"/>
      <c r="BA229" s="187"/>
      <c r="BB229" s="187"/>
      <c r="BC229" s="187"/>
      <c r="BD229" s="187"/>
      <c r="BE229" s="187"/>
    </row>
    <row r="230" spans="1:57" x14ac:dyDescent="0.2"/>
    <row r="231" spans="1:57" collapsed="1" x14ac:dyDescent="0.2">
      <c r="A231" s="15" t="s">
        <v>297</v>
      </c>
    </row>
    <row r="232" spans="1:57" hidden="1" outlineLevel="1" x14ac:dyDescent="0.2"/>
    <row r="233" spans="1:57" hidden="1" outlineLevel="1" x14ac:dyDescent="0.2">
      <c r="E233" s="538" t="str">
        <f xml:space="preserve"> Time!E$10</f>
        <v>Model column counter</v>
      </c>
      <c r="F233" s="538">
        <f xml:space="preserve"> Time!F$10</f>
        <v>0</v>
      </c>
      <c r="G233" s="538" t="str">
        <f xml:space="preserve"> Time!G$10</f>
        <v>counter</v>
      </c>
      <c r="H233" s="538">
        <f xml:space="preserve"> Time!H$10</f>
        <v>0</v>
      </c>
      <c r="I233" s="538">
        <f xml:space="preserve"> Time!I$10</f>
        <v>0</v>
      </c>
      <c r="J233" s="538">
        <f xml:space="preserve"> Time!J$10</f>
        <v>1</v>
      </c>
      <c r="K233" s="538">
        <f xml:space="preserve"> Time!K$10</f>
        <v>2</v>
      </c>
      <c r="L233" s="538">
        <f xml:space="preserve"> Time!L$10</f>
        <v>3</v>
      </c>
      <c r="M233" s="538">
        <f xml:space="preserve"> Time!M$10</f>
        <v>4</v>
      </c>
      <c r="N233" s="538">
        <f xml:space="preserve"> Time!N$10</f>
        <v>5</v>
      </c>
      <c r="O233" s="538">
        <f xml:space="preserve"> Time!O$10</f>
        <v>6</v>
      </c>
      <c r="P233" s="538">
        <f xml:space="preserve"> Time!P$10</f>
        <v>7</v>
      </c>
      <c r="Q233" s="538">
        <f xml:space="preserve"> Time!Q$10</f>
        <v>8</v>
      </c>
      <c r="R233" s="538">
        <f xml:space="preserve"> Time!R$10</f>
        <v>9</v>
      </c>
      <c r="S233" s="538">
        <f xml:space="preserve"> Time!S$10</f>
        <v>10</v>
      </c>
      <c r="T233" s="538">
        <f xml:space="preserve"> Time!T$10</f>
        <v>11</v>
      </c>
      <c r="U233" s="538">
        <f xml:space="preserve"> Time!U$10</f>
        <v>12</v>
      </c>
      <c r="V233" s="538">
        <f xml:space="preserve"> Time!V$10</f>
        <v>13</v>
      </c>
      <c r="W233" s="538">
        <f xml:space="preserve"> Time!W$10</f>
        <v>14</v>
      </c>
      <c r="X233" s="538">
        <f xml:space="preserve"> Time!X$10</f>
        <v>15</v>
      </c>
      <c r="Y233" s="538">
        <f xml:space="preserve"> Time!Y$10</f>
        <v>16</v>
      </c>
      <c r="Z233" s="538">
        <f xml:space="preserve"> Time!Z$10</f>
        <v>17</v>
      </c>
      <c r="AA233" s="538">
        <f xml:space="preserve"> Time!AA$10</f>
        <v>18</v>
      </c>
      <c r="AB233" s="538">
        <f xml:space="preserve"> Time!AB$10</f>
        <v>19</v>
      </c>
      <c r="AC233" s="538">
        <f xml:space="preserve"> Time!AC$10</f>
        <v>20</v>
      </c>
      <c r="AD233" s="538">
        <f xml:space="preserve"> Time!AD$10</f>
        <v>21</v>
      </c>
      <c r="AE233" s="538">
        <f xml:space="preserve"> Time!AE$10</f>
        <v>22</v>
      </c>
      <c r="AF233" s="538">
        <f xml:space="preserve"> Time!AF$10</f>
        <v>23</v>
      </c>
      <c r="AG233" s="538">
        <f xml:space="preserve"> Time!AG$10</f>
        <v>24</v>
      </c>
      <c r="AH233" s="538">
        <f xml:space="preserve"> Time!AH$10</f>
        <v>25</v>
      </c>
      <c r="AI233" s="538">
        <f xml:space="preserve"> Time!AI$10</f>
        <v>26</v>
      </c>
      <c r="AJ233" s="538">
        <f xml:space="preserve"> Time!AJ$10</f>
        <v>27</v>
      </c>
      <c r="AK233" s="538">
        <f xml:space="preserve"> Time!AK$10</f>
        <v>28</v>
      </c>
      <c r="AL233" s="538">
        <f xml:space="preserve"> Time!AL$10</f>
        <v>29</v>
      </c>
      <c r="AM233" s="538">
        <f xml:space="preserve"> Time!AM$10</f>
        <v>30</v>
      </c>
      <c r="AN233" s="538">
        <f xml:space="preserve"> Time!AN$10</f>
        <v>31</v>
      </c>
      <c r="AO233" s="538">
        <f xml:space="preserve"> Time!AO$10</f>
        <v>32</v>
      </c>
      <c r="AP233" s="538">
        <f xml:space="preserve"> Time!AP$10</f>
        <v>33</v>
      </c>
      <c r="AQ233" s="538">
        <f xml:space="preserve"> Time!AQ$10</f>
        <v>34</v>
      </c>
      <c r="AR233" s="538">
        <f xml:space="preserve"> Time!AR$10</f>
        <v>35</v>
      </c>
      <c r="AS233" s="538">
        <f xml:space="preserve"> Time!AS$10</f>
        <v>36</v>
      </c>
      <c r="AT233" s="538">
        <f xml:space="preserve"> Time!AT$10</f>
        <v>37</v>
      </c>
      <c r="AU233" s="538">
        <f xml:space="preserve"> Time!AU$10</f>
        <v>38</v>
      </c>
      <c r="AV233" s="538">
        <f xml:space="preserve"> Time!AV$10</f>
        <v>39</v>
      </c>
      <c r="AW233" s="538">
        <f xml:space="preserve"> Time!AW$10</f>
        <v>40</v>
      </c>
      <c r="AX233" s="538">
        <f xml:space="preserve"> Time!AX$10</f>
        <v>41</v>
      </c>
      <c r="AY233" s="538">
        <f xml:space="preserve"> Time!AY$10</f>
        <v>42</v>
      </c>
      <c r="AZ233" s="538">
        <f xml:space="preserve"> Time!AZ$10</f>
        <v>43</v>
      </c>
      <c r="BA233" s="538">
        <f xml:space="preserve"> Time!BA$10</f>
        <v>44</v>
      </c>
      <c r="BB233" s="538">
        <f xml:space="preserve"> Time!BB$10</f>
        <v>45</v>
      </c>
      <c r="BC233" s="538">
        <f xml:space="preserve"> Time!BC$10</f>
        <v>46</v>
      </c>
      <c r="BD233" s="538">
        <f xml:space="preserve"> Time!BD$10</f>
        <v>47</v>
      </c>
      <c r="BE233" s="538">
        <f xml:space="preserve"> Time!BE$10</f>
        <v>48</v>
      </c>
    </row>
    <row r="234" spans="1:57" hidden="1" outlineLevel="1" x14ac:dyDescent="0.2">
      <c r="E234" s="186" t="str">
        <f xml:space="preserve"> ConTime!E$56</f>
        <v>Model ops period counter - m</v>
      </c>
      <c r="F234" s="186">
        <f xml:space="preserve"> ConTime!F$56</f>
        <v>0</v>
      </c>
      <c r="G234" s="186" t="str">
        <f xml:space="preserve"> ConTime!G$56</f>
        <v>counter</v>
      </c>
      <c r="H234" s="186">
        <f xml:space="preserve"> ConTime!H$56</f>
        <v>0</v>
      </c>
      <c r="I234" s="186">
        <f xml:space="preserve"> ConTime!I$56</f>
        <v>0</v>
      </c>
      <c r="J234" s="186">
        <f xml:space="preserve"> ConTime!J$56</f>
        <v>1</v>
      </c>
      <c r="K234" s="186">
        <f xml:space="preserve"> ConTime!K$56</f>
        <v>1</v>
      </c>
      <c r="L234" s="186">
        <f xml:space="preserve"> ConTime!L$56</f>
        <v>1</v>
      </c>
      <c r="M234" s="186">
        <f xml:space="preserve"> ConTime!M$56</f>
        <v>1</v>
      </c>
      <c r="N234" s="186">
        <f xml:space="preserve"> ConTime!N$56</f>
        <v>1</v>
      </c>
      <c r="O234" s="186">
        <f xml:space="preserve"> ConTime!O$56</f>
        <v>1</v>
      </c>
      <c r="P234" s="186">
        <f xml:space="preserve"> ConTime!P$56</f>
        <v>2</v>
      </c>
      <c r="Q234" s="186">
        <f xml:space="preserve"> ConTime!Q$56</f>
        <v>2</v>
      </c>
      <c r="R234" s="186">
        <f xml:space="preserve"> ConTime!R$56</f>
        <v>2</v>
      </c>
      <c r="S234" s="186">
        <f xml:space="preserve"> ConTime!S$56</f>
        <v>2</v>
      </c>
      <c r="T234" s="186">
        <f xml:space="preserve"> ConTime!T$56</f>
        <v>2</v>
      </c>
      <c r="U234" s="186">
        <f xml:space="preserve"> ConTime!U$56</f>
        <v>2</v>
      </c>
      <c r="V234" s="186">
        <f xml:space="preserve"> ConTime!V$56</f>
        <v>3</v>
      </c>
      <c r="W234" s="186">
        <f xml:space="preserve"> ConTime!W$56</f>
        <v>3</v>
      </c>
      <c r="X234" s="186">
        <f xml:space="preserve"> ConTime!X$56</f>
        <v>3</v>
      </c>
      <c r="Y234" s="186">
        <f xml:space="preserve"> ConTime!Y$56</f>
        <v>3</v>
      </c>
      <c r="Z234" s="186">
        <f xml:space="preserve"> ConTime!Z$56</f>
        <v>3</v>
      </c>
      <c r="AA234" s="186">
        <f xml:space="preserve"> ConTime!AA$56</f>
        <v>3</v>
      </c>
      <c r="AB234" s="186">
        <f xml:space="preserve"> ConTime!AB$56</f>
        <v>4</v>
      </c>
      <c r="AC234" s="186">
        <f xml:space="preserve"> ConTime!AC$56</f>
        <v>4</v>
      </c>
      <c r="AD234" s="186">
        <f xml:space="preserve"> ConTime!AD$56</f>
        <v>4</v>
      </c>
      <c r="AE234" s="186">
        <f xml:space="preserve"> ConTime!AE$56</f>
        <v>4</v>
      </c>
      <c r="AF234" s="186">
        <f xml:space="preserve"> ConTime!AF$56</f>
        <v>4</v>
      </c>
      <c r="AG234" s="186">
        <f xml:space="preserve"> ConTime!AG$56</f>
        <v>4</v>
      </c>
      <c r="AH234" s="186">
        <f xml:space="preserve"> ConTime!AH$56</f>
        <v>5</v>
      </c>
      <c r="AI234" s="186">
        <f xml:space="preserve"> ConTime!AI$56</f>
        <v>5</v>
      </c>
      <c r="AJ234" s="186">
        <f xml:space="preserve"> ConTime!AJ$56</f>
        <v>5</v>
      </c>
      <c r="AK234" s="186">
        <f xml:space="preserve"> ConTime!AK$56</f>
        <v>5</v>
      </c>
      <c r="AL234" s="186">
        <f xml:space="preserve"> ConTime!AL$56</f>
        <v>5</v>
      </c>
      <c r="AM234" s="186">
        <f xml:space="preserve"> ConTime!AM$56</f>
        <v>5</v>
      </c>
      <c r="AN234" s="186">
        <f xml:space="preserve"> ConTime!AN$56</f>
        <v>6</v>
      </c>
      <c r="AO234" s="186">
        <f xml:space="preserve"> ConTime!AO$56</f>
        <v>6</v>
      </c>
      <c r="AP234" s="186">
        <f xml:space="preserve"> ConTime!AP$56</f>
        <v>6</v>
      </c>
      <c r="AQ234" s="186">
        <f xml:space="preserve"> ConTime!AQ$56</f>
        <v>6</v>
      </c>
      <c r="AR234" s="186">
        <f xml:space="preserve"> ConTime!AR$56</f>
        <v>6</v>
      </c>
      <c r="AS234" s="186">
        <f xml:space="preserve"> ConTime!AS$56</f>
        <v>6</v>
      </c>
      <c r="AT234" s="186">
        <f xml:space="preserve"> ConTime!AT$56</f>
        <v>7</v>
      </c>
      <c r="AU234" s="186">
        <f xml:space="preserve"> ConTime!AU$56</f>
        <v>7</v>
      </c>
      <c r="AV234" s="186">
        <f xml:space="preserve"> ConTime!AV$56</f>
        <v>7</v>
      </c>
      <c r="AW234" s="186">
        <f xml:space="preserve"> ConTime!AW$56</f>
        <v>7</v>
      </c>
      <c r="AX234" s="186">
        <f xml:space="preserve"> ConTime!AX$56</f>
        <v>7</v>
      </c>
      <c r="AY234" s="186">
        <f xml:space="preserve"> ConTime!AY$56</f>
        <v>7</v>
      </c>
      <c r="AZ234" s="186">
        <f xml:space="preserve"> ConTime!AZ$56</f>
        <v>8</v>
      </c>
      <c r="BA234" s="186">
        <f xml:space="preserve"> ConTime!BA$56</f>
        <v>8</v>
      </c>
      <c r="BB234" s="186">
        <f xml:space="preserve"> ConTime!BB$56</f>
        <v>8</v>
      </c>
      <c r="BC234" s="186">
        <f xml:space="preserve"> ConTime!BC$56</f>
        <v>8</v>
      </c>
      <c r="BD234" s="186">
        <f xml:space="preserve"> ConTime!BD$56</f>
        <v>8</v>
      </c>
      <c r="BE234" s="186">
        <f xml:space="preserve"> ConTime!BE$56</f>
        <v>8</v>
      </c>
    </row>
    <row r="235" spans="1:57" hidden="1" outlineLevel="1" x14ac:dyDescent="0.2">
      <c r="E235" s="12" t="str">
        <f t="shared" ref="E235:AJ235" si="80" xml:space="preserve"> E$89</f>
        <v>Construction costs - m</v>
      </c>
      <c r="F235" s="12">
        <f t="shared" si="80"/>
        <v>0</v>
      </c>
      <c r="G235" s="12" t="str">
        <f t="shared" si="80"/>
        <v>$ 000s</v>
      </c>
      <c r="H235" s="12">
        <f t="shared" si="80"/>
        <v>309322.30771999987</v>
      </c>
      <c r="I235" s="12">
        <f t="shared" si="80"/>
        <v>0</v>
      </c>
      <c r="J235" s="12">
        <f t="shared" si="80"/>
        <v>0</v>
      </c>
      <c r="K235" s="12">
        <f t="shared" si="80"/>
        <v>0</v>
      </c>
      <c r="L235" s="12">
        <f t="shared" si="80"/>
        <v>0</v>
      </c>
      <c r="M235" s="12">
        <f t="shared" si="80"/>
        <v>8300</v>
      </c>
      <c r="N235" s="12">
        <f t="shared" si="80"/>
        <v>11577.781066153846</v>
      </c>
      <c r="O235" s="12">
        <f t="shared" si="80"/>
        <v>11577.781066153846</v>
      </c>
      <c r="P235" s="12">
        <f t="shared" si="80"/>
        <v>11577.781066153846</v>
      </c>
      <c r="Q235" s="12">
        <f t="shared" si="80"/>
        <v>11577.781066153846</v>
      </c>
      <c r="R235" s="12">
        <f t="shared" si="80"/>
        <v>11577.781066153846</v>
      </c>
      <c r="S235" s="12">
        <f t="shared" si="80"/>
        <v>11577.781066153846</v>
      </c>
      <c r="T235" s="12">
        <f t="shared" si="80"/>
        <v>11577.781066153846</v>
      </c>
      <c r="U235" s="12">
        <f t="shared" si="80"/>
        <v>11577.781066153846</v>
      </c>
      <c r="V235" s="12">
        <f t="shared" si="80"/>
        <v>11577.781066153846</v>
      </c>
      <c r="W235" s="12">
        <f t="shared" si="80"/>
        <v>11577.781066153846</v>
      </c>
      <c r="X235" s="12">
        <f t="shared" si="80"/>
        <v>11577.781066153846</v>
      </c>
      <c r="Y235" s="12">
        <f t="shared" si="80"/>
        <v>11577.781066153846</v>
      </c>
      <c r="Z235" s="12">
        <f t="shared" si="80"/>
        <v>11577.781066153846</v>
      </c>
      <c r="AA235" s="12">
        <f t="shared" si="80"/>
        <v>11577.781066153846</v>
      </c>
      <c r="AB235" s="12">
        <f t="shared" si="80"/>
        <v>11577.781066153846</v>
      </c>
      <c r="AC235" s="12">
        <f t="shared" si="80"/>
        <v>11577.781066153846</v>
      </c>
      <c r="AD235" s="12">
        <f t="shared" si="80"/>
        <v>11577.781066153846</v>
      </c>
      <c r="AE235" s="12">
        <f t="shared" si="80"/>
        <v>11577.781066153846</v>
      </c>
      <c r="AF235" s="12">
        <f t="shared" si="80"/>
        <v>11577.781066153846</v>
      </c>
      <c r="AG235" s="12">
        <f t="shared" si="80"/>
        <v>11577.781066153846</v>
      </c>
      <c r="AH235" s="12">
        <f t="shared" si="80"/>
        <v>11577.781066153846</v>
      </c>
      <c r="AI235" s="12">
        <f t="shared" si="80"/>
        <v>11577.781066153846</v>
      </c>
      <c r="AJ235" s="12">
        <f t="shared" si="80"/>
        <v>11577.781066153846</v>
      </c>
      <c r="AK235" s="12">
        <f t="shared" ref="AK235:BE235" si="81" xml:space="preserve"> AK$89</f>
        <v>11577.781066153846</v>
      </c>
      <c r="AL235" s="12">
        <f t="shared" si="81"/>
        <v>11577.781066153846</v>
      </c>
      <c r="AM235" s="12">
        <f t="shared" si="81"/>
        <v>11577.781066153846</v>
      </c>
      <c r="AN235" s="12">
        <f t="shared" si="81"/>
        <v>0</v>
      </c>
      <c r="AO235" s="12">
        <f t="shared" si="81"/>
        <v>0</v>
      </c>
      <c r="AP235" s="12">
        <f t="shared" si="81"/>
        <v>0</v>
      </c>
      <c r="AQ235" s="12">
        <f t="shared" si="81"/>
        <v>0</v>
      </c>
      <c r="AR235" s="12">
        <f t="shared" si="81"/>
        <v>0</v>
      </c>
      <c r="AS235" s="12">
        <f t="shared" si="81"/>
        <v>0</v>
      </c>
      <c r="AT235" s="12">
        <f t="shared" si="81"/>
        <v>0</v>
      </c>
      <c r="AU235" s="12">
        <f t="shared" si="81"/>
        <v>0</v>
      </c>
      <c r="AV235" s="12">
        <f t="shared" si="81"/>
        <v>0</v>
      </c>
      <c r="AW235" s="12">
        <f t="shared" si="81"/>
        <v>0</v>
      </c>
      <c r="AX235" s="12">
        <f t="shared" si="81"/>
        <v>0</v>
      </c>
      <c r="AY235" s="12">
        <f t="shared" si="81"/>
        <v>0</v>
      </c>
      <c r="AZ235" s="12">
        <f t="shared" si="81"/>
        <v>0</v>
      </c>
      <c r="BA235" s="12">
        <f t="shared" si="81"/>
        <v>0</v>
      </c>
      <c r="BB235" s="12">
        <f t="shared" si="81"/>
        <v>0</v>
      </c>
      <c r="BC235" s="12">
        <f t="shared" si="81"/>
        <v>0</v>
      </c>
      <c r="BD235" s="12">
        <f t="shared" si="81"/>
        <v>0</v>
      </c>
      <c r="BE235" s="12">
        <f t="shared" si="81"/>
        <v>0</v>
      </c>
    </row>
    <row r="236" spans="1:57" s="629" customFormat="1" hidden="1" outlineLevel="1" x14ac:dyDescent="0.2">
      <c r="A236" s="904"/>
      <c r="B236" s="904"/>
      <c r="C236" s="905"/>
      <c r="D236" s="906"/>
      <c r="E236" s="907" t="s">
        <v>298</v>
      </c>
      <c r="F236" s="907"/>
      <c r="G236" s="907" t="str">
        <f xml:space="preserve"> SMU</f>
        <v>$ 000s</v>
      </c>
      <c r="H236" s="907">
        <f xml:space="preserve"> SUM(J236:BE236)</f>
        <v>309322.30772000004</v>
      </c>
      <c r="I236" s="908"/>
      <c r="J236" s="907">
        <f t="shared" ref="J236:BE236" si="82" xml:space="preserve"> SUMIF($J234:$BE234, J233, $J235:$BE235)</f>
        <v>31455.562132307692</v>
      </c>
      <c r="K236" s="907">
        <f t="shared" si="82"/>
        <v>69466.686396923076</v>
      </c>
      <c r="L236" s="907">
        <f t="shared" si="82"/>
        <v>69466.686396923076</v>
      </c>
      <c r="M236" s="907">
        <f t="shared" si="82"/>
        <v>69466.686396923076</v>
      </c>
      <c r="N236" s="907">
        <f t="shared" si="82"/>
        <v>69466.686396923076</v>
      </c>
      <c r="O236" s="907">
        <f t="shared" si="82"/>
        <v>0</v>
      </c>
      <c r="P236" s="907">
        <f t="shared" si="82"/>
        <v>0</v>
      </c>
      <c r="Q236" s="907">
        <f t="shared" si="82"/>
        <v>0</v>
      </c>
      <c r="R236" s="907">
        <f t="shared" si="82"/>
        <v>0</v>
      </c>
      <c r="S236" s="907">
        <f t="shared" si="82"/>
        <v>0</v>
      </c>
      <c r="T236" s="907">
        <f t="shared" si="82"/>
        <v>0</v>
      </c>
      <c r="U236" s="907">
        <f t="shared" si="82"/>
        <v>0</v>
      </c>
      <c r="V236" s="907">
        <f t="shared" si="82"/>
        <v>0</v>
      </c>
      <c r="W236" s="907">
        <f t="shared" si="82"/>
        <v>0</v>
      </c>
      <c r="X236" s="907">
        <f t="shared" si="82"/>
        <v>0</v>
      </c>
      <c r="Y236" s="907">
        <f t="shared" si="82"/>
        <v>0</v>
      </c>
      <c r="Z236" s="907">
        <f t="shared" si="82"/>
        <v>0</v>
      </c>
      <c r="AA236" s="907">
        <f t="shared" si="82"/>
        <v>0</v>
      </c>
      <c r="AB236" s="907">
        <f t="shared" si="82"/>
        <v>0</v>
      </c>
      <c r="AC236" s="907">
        <f t="shared" si="82"/>
        <v>0</v>
      </c>
      <c r="AD236" s="907">
        <f t="shared" si="82"/>
        <v>0</v>
      </c>
      <c r="AE236" s="907">
        <f t="shared" si="82"/>
        <v>0</v>
      </c>
      <c r="AF236" s="907">
        <f t="shared" si="82"/>
        <v>0</v>
      </c>
      <c r="AG236" s="907">
        <f t="shared" si="82"/>
        <v>0</v>
      </c>
      <c r="AH236" s="907">
        <f t="shared" si="82"/>
        <v>0</v>
      </c>
      <c r="AI236" s="907">
        <f t="shared" si="82"/>
        <v>0</v>
      </c>
      <c r="AJ236" s="907">
        <f t="shared" si="82"/>
        <v>0</v>
      </c>
      <c r="AK236" s="907">
        <f t="shared" si="82"/>
        <v>0</v>
      </c>
      <c r="AL236" s="907">
        <f t="shared" si="82"/>
        <v>0</v>
      </c>
      <c r="AM236" s="907">
        <f t="shared" si="82"/>
        <v>0</v>
      </c>
      <c r="AN236" s="907">
        <f t="shared" si="82"/>
        <v>0</v>
      </c>
      <c r="AO236" s="907">
        <f t="shared" si="82"/>
        <v>0</v>
      </c>
      <c r="AP236" s="907">
        <f t="shared" si="82"/>
        <v>0</v>
      </c>
      <c r="AQ236" s="907">
        <f t="shared" si="82"/>
        <v>0</v>
      </c>
      <c r="AR236" s="907">
        <f t="shared" si="82"/>
        <v>0</v>
      </c>
      <c r="AS236" s="907">
        <f t="shared" si="82"/>
        <v>0</v>
      </c>
      <c r="AT236" s="907">
        <f t="shared" si="82"/>
        <v>0</v>
      </c>
      <c r="AU236" s="907">
        <f t="shared" si="82"/>
        <v>0</v>
      </c>
      <c r="AV236" s="907">
        <f t="shared" si="82"/>
        <v>0</v>
      </c>
      <c r="AW236" s="907">
        <f t="shared" si="82"/>
        <v>0</v>
      </c>
      <c r="AX236" s="907">
        <f t="shared" si="82"/>
        <v>0</v>
      </c>
      <c r="AY236" s="907">
        <f t="shared" si="82"/>
        <v>0</v>
      </c>
      <c r="AZ236" s="907">
        <f t="shared" si="82"/>
        <v>0</v>
      </c>
      <c r="BA236" s="907">
        <f t="shared" si="82"/>
        <v>0</v>
      </c>
      <c r="BB236" s="907">
        <f t="shared" si="82"/>
        <v>0</v>
      </c>
      <c r="BC236" s="907">
        <f t="shared" si="82"/>
        <v>0</v>
      </c>
      <c r="BD236" s="907">
        <f t="shared" si="82"/>
        <v>0</v>
      </c>
      <c r="BE236" s="907">
        <f t="shared" si="82"/>
        <v>0</v>
      </c>
    </row>
    <row r="237" spans="1:57" s="629" customFormat="1" hidden="1" outlineLevel="1" x14ac:dyDescent="0.2">
      <c r="A237" s="904"/>
      <c r="B237" s="904"/>
      <c r="C237" s="905"/>
      <c r="D237" s="906"/>
      <c r="E237" s="907" t="str">
        <f xml:space="preserve"> LEFT(E236, LEN(E236) - 4)</f>
        <v>Construction costs</v>
      </c>
      <c r="F237" s="907"/>
      <c r="G237" s="907" t="str">
        <f xml:space="preserve"> SMU</f>
        <v>$ 000s</v>
      </c>
      <c r="H237" s="907">
        <f xml:space="preserve"> SUM(J237:BE237)</f>
        <v>-309322.30772000004</v>
      </c>
      <c r="I237" s="908"/>
      <c r="J237" s="907">
        <f t="shared" ref="J237:BE237" si="83" xml:space="preserve"> -1 * J236</f>
        <v>-31455.562132307692</v>
      </c>
      <c r="K237" s="907">
        <f t="shared" si="83"/>
        <v>-69466.686396923076</v>
      </c>
      <c r="L237" s="907">
        <f t="shared" si="83"/>
        <v>-69466.686396923076</v>
      </c>
      <c r="M237" s="907">
        <f t="shared" si="83"/>
        <v>-69466.686396923076</v>
      </c>
      <c r="N237" s="907">
        <f t="shared" si="83"/>
        <v>-69466.686396923076</v>
      </c>
      <c r="O237" s="907">
        <f t="shared" si="83"/>
        <v>0</v>
      </c>
      <c r="P237" s="907">
        <f t="shared" si="83"/>
        <v>0</v>
      </c>
      <c r="Q237" s="907">
        <f t="shared" si="83"/>
        <v>0</v>
      </c>
      <c r="R237" s="907">
        <f t="shared" si="83"/>
        <v>0</v>
      </c>
      <c r="S237" s="907">
        <f t="shared" si="83"/>
        <v>0</v>
      </c>
      <c r="T237" s="907">
        <f t="shared" si="83"/>
        <v>0</v>
      </c>
      <c r="U237" s="907">
        <f t="shared" si="83"/>
        <v>0</v>
      </c>
      <c r="V237" s="907">
        <f t="shared" si="83"/>
        <v>0</v>
      </c>
      <c r="W237" s="907">
        <f t="shared" si="83"/>
        <v>0</v>
      </c>
      <c r="X237" s="907">
        <f t="shared" si="83"/>
        <v>0</v>
      </c>
      <c r="Y237" s="907">
        <f t="shared" si="83"/>
        <v>0</v>
      </c>
      <c r="Z237" s="907">
        <f t="shared" si="83"/>
        <v>0</v>
      </c>
      <c r="AA237" s="907">
        <f t="shared" si="83"/>
        <v>0</v>
      </c>
      <c r="AB237" s="907">
        <f t="shared" si="83"/>
        <v>0</v>
      </c>
      <c r="AC237" s="907">
        <f t="shared" si="83"/>
        <v>0</v>
      </c>
      <c r="AD237" s="907">
        <f t="shared" si="83"/>
        <v>0</v>
      </c>
      <c r="AE237" s="907">
        <f t="shared" si="83"/>
        <v>0</v>
      </c>
      <c r="AF237" s="907">
        <f t="shared" si="83"/>
        <v>0</v>
      </c>
      <c r="AG237" s="907">
        <f t="shared" si="83"/>
        <v>0</v>
      </c>
      <c r="AH237" s="907">
        <f t="shared" si="83"/>
        <v>0</v>
      </c>
      <c r="AI237" s="907">
        <f t="shared" si="83"/>
        <v>0</v>
      </c>
      <c r="AJ237" s="907">
        <f t="shared" si="83"/>
        <v>0</v>
      </c>
      <c r="AK237" s="907">
        <f t="shared" si="83"/>
        <v>0</v>
      </c>
      <c r="AL237" s="907">
        <f t="shared" si="83"/>
        <v>0</v>
      </c>
      <c r="AM237" s="907">
        <f t="shared" si="83"/>
        <v>0</v>
      </c>
      <c r="AN237" s="907">
        <f t="shared" si="83"/>
        <v>0</v>
      </c>
      <c r="AO237" s="907">
        <f t="shared" si="83"/>
        <v>0</v>
      </c>
      <c r="AP237" s="907">
        <f t="shared" si="83"/>
        <v>0</v>
      </c>
      <c r="AQ237" s="907">
        <f t="shared" si="83"/>
        <v>0</v>
      </c>
      <c r="AR237" s="907">
        <f t="shared" si="83"/>
        <v>0</v>
      </c>
      <c r="AS237" s="907">
        <f t="shared" si="83"/>
        <v>0</v>
      </c>
      <c r="AT237" s="907">
        <f t="shared" si="83"/>
        <v>0</v>
      </c>
      <c r="AU237" s="907">
        <f t="shared" si="83"/>
        <v>0</v>
      </c>
      <c r="AV237" s="907">
        <f t="shared" si="83"/>
        <v>0</v>
      </c>
      <c r="AW237" s="907">
        <f t="shared" si="83"/>
        <v>0</v>
      </c>
      <c r="AX237" s="907">
        <f t="shared" si="83"/>
        <v>0</v>
      </c>
      <c r="AY237" s="907">
        <f t="shared" si="83"/>
        <v>0</v>
      </c>
      <c r="AZ237" s="907">
        <f t="shared" si="83"/>
        <v>0</v>
      </c>
      <c r="BA237" s="907">
        <f t="shared" si="83"/>
        <v>0</v>
      </c>
      <c r="BB237" s="907">
        <f t="shared" si="83"/>
        <v>0</v>
      </c>
      <c r="BC237" s="907">
        <f t="shared" si="83"/>
        <v>0</v>
      </c>
      <c r="BD237" s="907">
        <f t="shared" si="83"/>
        <v>0</v>
      </c>
      <c r="BE237" s="907">
        <f t="shared" si="83"/>
        <v>0</v>
      </c>
    </row>
    <row r="238" spans="1:57" hidden="1" outlineLevel="1" x14ac:dyDescent="0.2"/>
    <row r="239" spans="1:57" hidden="1" outlineLevel="1" x14ac:dyDescent="0.2">
      <c r="E239" s="538" t="str">
        <f xml:space="preserve"> Time!E$10</f>
        <v>Model column counter</v>
      </c>
      <c r="F239" s="538">
        <f xml:space="preserve"> Time!F$10</f>
        <v>0</v>
      </c>
      <c r="G239" s="538" t="str">
        <f xml:space="preserve"> Time!G$10</f>
        <v>counter</v>
      </c>
      <c r="H239" s="538">
        <f xml:space="preserve"> Time!H$10</f>
        <v>0</v>
      </c>
      <c r="I239" s="538">
        <f xml:space="preserve"> Time!I$10</f>
        <v>0</v>
      </c>
      <c r="J239" s="538">
        <f xml:space="preserve"> Time!J$10</f>
        <v>1</v>
      </c>
      <c r="K239" s="538">
        <f xml:space="preserve"> Time!K$10</f>
        <v>2</v>
      </c>
      <c r="L239" s="538">
        <f xml:space="preserve"> Time!L$10</f>
        <v>3</v>
      </c>
      <c r="M239" s="538">
        <f xml:space="preserve"> Time!M$10</f>
        <v>4</v>
      </c>
      <c r="N239" s="538">
        <f xml:space="preserve"> Time!N$10</f>
        <v>5</v>
      </c>
      <c r="O239" s="538">
        <f xml:space="preserve"> Time!O$10</f>
        <v>6</v>
      </c>
      <c r="P239" s="538">
        <f xml:space="preserve"> Time!P$10</f>
        <v>7</v>
      </c>
      <c r="Q239" s="538">
        <f xml:space="preserve"> Time!Q$10</f>
        <v>8</v>
      </c>
      <c r="R239" s="538">
        <f xml:space="preserve"> Time!R$10</f>
        <v>9</v>
      </c>
      <c r="S239" s="538">
        <f xml:space="preserve"> Time!S$10</f>
        <v>10</v>
      </c>
      <c r="T239" s="538">
        <f xml:space="preserve"> Time!T$10</f>
        <v>11</v>
      </c>
      <c r="U239" s="538">
        <f xml:space="preserve"> Time!U$10</f>
        <v>12</v>
      </c>
      <c r="V239" s="538">
        <f xml:space="preserve"> Time!V$10</f>
        <v>13</v>
      </c>
      <c r="W239" s="538">
        <f xml:space="preserve"> Time!W$10</f>
        <v>14</v>
      </c>
      <c r="X239" s="538">
        <f xml:space="preserve"> Time!X$10</f>
        <v>15</v>
      </c>
      <c r="Y239" s="538">
        <f xml:space="preserve"> Time!Y$10</f>
        <v>16</v>
      </c>
      <c r="Z239" s="538">
        <f xml:space="preserve"> Time!Z$10</f>
        <v>17</v>
      </c>
      <c r="AA239" s="538">
        <f xml:space="preserve"> Time!AA$10</f>
        <v>18</v>
      </c>
      <c r="AB239" s="538">
        <f xml:space="preserve"> Time!AB$10</f>
        <v>19</v>
      </c>
      <c r="AC239" s="538">
        <f xml:space="preserve"> Time!AC$10</f>
        <v>20</v>
      </c>
      <c r="AD239" s="538">
        <f xml:space="preserve"> Time!AD$10</f>
        <v>21</v>
      </c>
      <c r="AE239" s="538">
        <f xml:space="preserve"> Time!AE$10</f>
        <v>22</v>
      </c>
      <c r="AF239" s="538">
        <f xml:space="preserve"> Time!AF$10</f>
        <v>23</v>
      </c>
      <c r="AG239" s="538">
        <f xml:space="preserve"> Time!AG$10</f>
        <v>24</v>
      </c>
      <c r="AH239" s="538">
        <f xml:space="preserve"> Time!AH$10</f>
        <v>25</v>
      </c>
      <c r="AI239" s="538">
        <f xml:space="preserve"> Time!AI$10</f>
        <v>26</v>
      </c>
      <c r="AJ239" s="538">
        <f xml:space="preserve"> Time!AJ$10</f>
        <v>27</v>
      </c>
      <c r="AK239" s="538">
        <f xml:space="preserve"> Time!AK$10</f>
        <v>28</v>
      </c>
      <c r="AL239" s="538">
        <f xml:space="preserve"> Time!AL$10</f>
        <v>29</v>
      </c>
      <c r="AM239" s="538">
        <f xml:space="preserve"> Time!AM$10</f>
        <v>30</v>
      </c>
      <c r="AN239" s="538">
        <f xml:space="preserve"> Time!AN$10</f>
        <v>31</v>
      </c>
      <c r="AO239" s="538">
        <f xml:space="preserve"> Time!AO$10</f>
        <v>32</v>
      </c>
      <c r="AP239" s="538">
        <f xml:space="preserve"> Time!AP$10</f>
        <v>33</v>
      </c>
      <c r="AQ239" s="538">
        <f xml:space="preserve"> Time!AQ$10</f>
        <v>34</v>
      </c>
      <c r="AR239" s="538">
        <f xml:space="preserve"> Time!AR$10</f>
        <v>35</v>
      </c>
      <c r="AS239" s="538">
        <f xml:space="preserve"> Time!AS$10</f>
        <v>36</v>
      </c>
      <c r="AT239" s="538">
        <f xml:space="preserve"> Time!AT$10</f>
        <v>37</v>
      </c>
      <c r="AU239" s="538">
        <f xml:space="preserve"> Time!AU$10</f>
        <v>38</v>
      </c>
      <c r="AV239" s="538">
        <f xml:space="preserve"> Time!AV$10</f>
        <v>39</v>
      </c>
      <c r="AW239" s="538">
        <f xml:space="preserve"> Time!AW$10</f>
        <v>40</v>
      </c>
      <c r="AX239" s="538">
        <f xml:space="preserve"> Time!AX$10</f>
        <v>41</v>
      </c>
      <c r="AY239" s="538">
        <f xml:space="preserve"> Time!AY$10</f>
        <v>42</v>
      </c>
      <c r="AZ239" s="538">
        <f xml:space="preserve"> Time!AZ$10</f>
        <v>43</v>
      </c>
      <c r="BA239" s="538">
        <f xml:space="preserve"> Time!BA$10</f>
        <v>44</v>
      </c>
      <c r="BB239" s="538">
        <f xml:space="preserve"> Time!BB$10</f>
        <v>45</v>
      </c>
      <c r="BC239" s="538">
        <f xml:space="preserve"> Time!BC$10</f>
        <v>46</v>
      </c>
      <c r="BD239" s="538">
        <f xml:space="preserve"> Time!BD$10</f>
        <v>47</v>
      </c>
      <c r="BE239" s="538">
        <f xml:space="preserve"> Time!BE$10</f>
        <v>48</v>
      </c>
    </row>
    <row r="240" spans="1:57" hidden="1" outlineLevel="1" x14ac:dyDescent="0.2">
      <c r="E240" s="186" t="str">
        <f xml:space="preserve"> ConTime!E$56</f>
        <v>Model ops period counter - m</v>
      </c>
      <c r="F240" s="186">
        <f xml:space="preserve"> ConTime!F$56</f>
        <v>0</v>
      </c>
      <c r="G240" s="186" t="str">
        <f xml:space="preserve"> ConTime!G$56</f>
        <v>counter</v>
      </c>
      <c r="H240" s="186">
        <f xml:space="preserve"> ConTime!H$56</f>
        <v>0</v>
      </c>
      <c r="I240" s="186">
        <f xml:space="preserve"> ConTime!I$56</f>
        <v>0</v>
      </c>
      <c r="J240" s="186">
        <f xml:space="preserve"> ConTime!J$56</f>
        <v>1</v>
      </c>
      <c r="K240" s="186">
        <f xml:space="preserve"> ConTime!K$56</f>
        <v>1</v>
      </c>
      <c r="L240" s="186">
        <f xml:space="preserve"> ConTime!L$56</f>
        <v>1</v>
      </c>
      <c r="M240" s="186">
        <f xml:space="preserve"> ConTime!M$56</f>
        <v>1</v>
      </c>
      <c r="N240" s="186">
        <f xml:space="preserve"> ConTime!N$56</f>
        <v>1</v>
      </c>
      <c r="O240" s="186">
        <f xml:space="preserve"> ConTime!O$56</f>
        <v>1</v>
      </c>
      <c r="P240" s="186">
        <f xml:space="preserve"> ConTime!P$56</f>
        <v>2</v>
      </c>
      <c r="Q240" s="186">
        <f xml:space="preserve"> ConTime!Q$56</f>
        <v>2</v>
      </c>
      <c r="R240" s="186">
        <f xml:space="preserve"> ConTime!R$56</f>
        <v>2</v>
      </c>
      <c r="S240" s="186">
        <f xml:space="preserve"> ConTime!S$56</f>
        <v>2</v>
      </c>
      <c r="T240" s="186">
        <f xml:space="preserve"> ConTime!T$56</f>
        <v>2</v>
      </c>
      <c r="U240" s="186">
        <f xml:space="preserve"> ConTime!U$56</f>
        <v>2</v>
      </c>
      <c r="V240" s="186">
        <f xml:space="preserve"> ConTime!V$56</f>
        <v>3</v>
      </c>
      <c r="W240" s="186">
        <f xml:space="preserve"> ConTime!W$56</f>
        <v>3</v>
      </c>
      <c r="X240" s="186">
        <f xml:space="preserve"> ConTime!X$56</f>
        <v>3</v>
      </c>
      <c r="Y240" s="186">
        <f xml:space="preserve"> ConTime!Y$56</f>
        <v>3</v>
      </c>
      <c r="Z240" s="186">
        <f xml:space="preserve"> ConTime!Z$56</f>
        <v>3</v>
      </c>
      <c r="AA240" s="186">
        <f xml:space="preserve"> ConTime!AA$56</f>
        <v>3</v>
      </c>
      <c r="AB240" s="186">
        <f xml:space="preserve"> ConTime!AB$56</f>
        <v>4</v>
      </c>
      <c r="AC240" s="186">
        <f xml:space="preserve"> ConTime!AC$56</f>
        <v>4</v>
      </c>
      <c r="AD240" s="186">
        <f xml:space="preserve"> ConTime!AD$56</f>
        <v>4</v>
      </c>
      <c r="AE240" s="186">
        <f xml:space="preserve"> ConTime!AE$56</f>
        <v>4</v>
      </c>
      <c r="AF240" s="186">
        <f xml:space="preserve"> ConTime!AF$56</f>
        <v>4</v>
      </c>
      <c r="AG240" s="186">
        <f xml:space="preserve"> ConTime!AG$56</f>
        <v>4</v>
      </c>
      <c r="AH240" s="186">
        <f xml:space="preserve"> ConTime!AH$56</f>
        <v>5</v>
      </c>
      <c r="AI240" s="186">
        <f xml:space="preserve"> ConTime!AI$56</f>
        <v>5</v>
      </c>
      <c r="AJ240" s="186">
        <f xml:space="preserve"> ConTime!AJ$56</f>
        <v>5</v>
      </c>
      <c r="AK240" s="186">
        <f xml:space="preserve"> ConTime!AK$56</f>
        <v>5</v>
      </c>
      <c r="AL240" s="186">
        <f xml:space="preserve"> ConTime!AL$56</f>
        <v>5</v>
      </c>
      <c r="AM240" s="186">
        <f xml:space="preserve"> ConTime!AM$56</f>
        <v>5</v>
      </c>
      <c r="AN240" s="186">
        <f xml:space="preserve"> ConTime!AN$56</f>
        <v>6</v>
      </c>
      <c r="AO240" s="186">
        <f xml:space="preserve"> ConTime!AO$56</f>
        <v>6</v>
      </c>
      <c r="AP240" s="186">
        <f xml:space="preserve"> ConTime!AP$56</f>
        <v>6</v>
      </c>
      <c r="AQ240" s="186">
        <f xml:space="preserve"> ConTime!AQ$56</f>
        <v>6</v>
      </c>
      <c r="AR240" s="186">
        <f xml:space="preserve"> ConTime!AR$56</f>
        <v>6</v>
      </c>
      <c r="AS240" s="186">
        <f xml:space="preserve"> ConTime!AS$56</f>
        <v>6</v>
      </c>
      <c r="AT240" s="186">
        <f xml:space="preserve"> ConTime!AT$56</f>
        <v>7</v>
      </c>
      <c r="AU240" s="186">
        <f xml:space="preserve"> ConTime!AU$56</f>
        <v>7</v>
      </c>
      <c r="AV240" s="186">
        <f xml:space="preserve"> ConTime!AV$56</f>
        <v>7</v>
      </c>
      <c r="AW240" s="186">
        <f xml:space="preserve"> ConTime!AW$56</f>
        <v>7</v>
      </c>
      <c r="AX240" s="186">
        <f xml:space="preserve"> ConTime!AX$56</f>
        <v>7</v>
      </c>
      <c r="AY240" s="186">
        <f xml:space="preserve"> ConTime!AY$56</f>
        <v>7</v>
      </c>
      <c r="AZ240" s="186">
        <f xml:space="preserve"> ConTime!AZ$56</f>
        <v>8</v>
      </c>
      <c r="BA240" s="186">
        <f xml:space="preserve"> ConTime!BA$56</f>
        <v>8</v>
      </c>
      <c r="BB240" s="186">
        <f xml:space="preserve"> ConTime!BB$56</f>
        <v>8</v>
      </c>
      <c r="BC240" s="186">
        <f xml:space="preserve"> ConTime!BC$56</f>
        <v>8</v>
      </c>
      <c r="BD240" s="186">
        <f xml:space="preserve"> ConTime!BD$56</f>
        <v>8</v>
      </c>
      <c r="BE240" s="186">
        <f xml:space="preserve"> ConTime!BE$56</f>
        <v>8</v>
      </c>
    </row>
    <row r="241" spans="1:57" hidden="1" outlineLevel="1" x14ac:dyDescent="0.2">
      <c r="E241" s="12" t="str">
        <f t="shared" ref="E241:AJ241" si="84" xml:space="preserve"> E$101</f>
        <v>Pre-funding of working capital - m</v>
      </c>
      <c r="F241" s="12">
        <f t="shared" si="84"/>
        <v>0</v>
      </c>
      <c r="G241" s="12" t="str">
        <f t="shared" si="84"/>
        <v>$ 000s</v>
      </c>
      <c r="H241" s="12">
        <f t="shared" si="84"/>
        <v>3857.1209730037863</v>
      </c>
      <c r="I241" s="12">
        <f t="shared" si="84"/>
        <v>0</v>
      </c>
      <c r="J241" s="12">
        <f t="shared" si="84"/>
        <v>0</v>
      </c>
      <c r="K241" s="12">
        <f t="shared" si="84"/>
        <v>0</v>
      </c>
      <c r="L241" s="12">
        <f t="shared" si="84"/>
        <v>0</v>
      </c>
      <c r="M241" s="12">
        <f t="shared" si="84"/>
        <v>0</v>
      </c>
      <c r="N241" s="12">
        <f t="shared" si="84"/>
        <v>0</v>
      </c>
      <c r="O241" s="12">
        <f t="shared" si="84"/>
        <v>0</v>
      </c>
      <c r="P241" s="12">
        <f t="shared" si="84"/>
        <v>0</v>
      </c>
      <c r="Q241" s="12">
        <f t="shared" si="84"/>
        <v>0</v>
      </c>
      <c r="R241" s="12">
        <f t="shared" si="84"/>
        <v>0</v>
      </c>
      <c r="S241" s="12">
        <f t="shared" si="84"/>
        <v>0</v>
      </c>
      <c r="T241" s="12">
        <f t="shared" si="84"/>
        <v>0</v>
      </c>
      <c r="U241" s="12">
        <f t="shared" si="84"/>
        <v>0</v>
      </c>
      <c r="V241" s="12">
        <f t="shared" si="84"/>
        <v>0</v>
      </c>
      <c r="W241" s="12">
        <f t="shared" si="84"/>
        <v>0</v>
      </c>
      <c r="X241" s="12">
        <f t="shared" si="84"/>
        <v>0</v>
      </c>
      <c r="Y241" s="12">
        <f t="shared" si="84"/>
        <v>0</v>
      </c>
      <c r="Z241" s="12">
        <f t="shared" si="84"/>
        <v>0</v>
      </c>
      <c r="AA241" s="12">
        <f t="shared" si="84"/>
        <v>0</v>
      </c>
      <c r="AB241" s="12">
        <f t="shared" si="84"/>
        <v>0</v>
      </c>
      <c r="AC241" s="12">
        <f t="shared" si="84"/>
        <v>0</v>
      </c>
      <c r="AD241" s="12">
        <f t="shared" si="84"/>
        <v>0</v>
      </c>
      <c r="AE241" s="12">
        <f t="shared" si="84"/>
        <v>0</v>
      </c>
      <c r="AF241" s="12">
        <f t="shared" si="84"/>
        <v>0</v>
      </c>
      <c r="AG241" s="12">
        <f t="shared" si="84"/>
        <v>0</v>
      </c>
      <c r="AH241" s="12">
        <f t="shared" si="84"/>
        <v>0</v>
      </c>
      <c r="AI241" s="12">
        <f t="shared" si="84"/>
        <v>0</v>
      </c>
      <c r="AJ241" s="12">
        <f t="shared" si="84"/>
        <v>0</v>
      </c>
      <c r="AK241" s="12">
        <f t="shared" ref="AK241:BE241" si="85" xml:space="preserve"> AK$101</f>
        <v>0</v>
      </c>
      <c r="AL241" s="12">
        <f t="shared" si="85"/>
        <v>0</v>
      </c>
      <c r="AM241" s="12">
        <f t="shared" si="85"/>
        <v>3857.1209730037863</v>
      </c>
      <c r="AN241" s="12">
        <f t="shared" si="85"/>
        <v>0</v>
      </c>
      <c r="AO241" s="12">
        <f t="shared" si="85"/>
        <v>0</v>
      </c>
      <c r="AP241" s="12">
        <f t="shared" si="85"/>
        <v>0</v>
      </c>
      <c r="AQ241" s="12">
        <f t="shared" si="85"/>
        <v>0</v>
      </c>
      <c r="AR241" s="12">
        <f t="shared" si="85"/>
        <v>0</v>
      </c>
      <c r="AS241" s="12">
        <f t="shared" si="85"/>
        <v>0</v>
      </c>
      <c r="AT241" s="12">
        <f t="shared" si="85"/>
        <v>0</v>
      </c>
      <c r="AU241" s="12">
        <f t="shared" si="85"/>
        <v>0</v>
      </c>
      <c r="AV241" s="12">
        <f t="shared" si="85"/>
        <v>0</v>
      </c>
      <c r="AW241" s="12">
        <f t="shared" si="85"/>
        <v>0</v>
      </c>
      <c r="AX241" s="12">
        <f t="shared" si="85"/>
        <v>0</v>
      </c>
      <c r="AY241" s="12">
        <f t="shared" si="85"/>
        <v>0</v>
      </c>
      <c r="AZ241" s="12">
        <f t="shared" si="85"/>
        <v>0</v>
      </c>
      <c r="BA241" s="12">
        <f t="shared" si="85"/>
        <v>0</v>
      </c>
      <c r="BB241" s="12">
        <f t="shared" si="85"/>
        <v>0</v>
      </c>
      <c r="BC241" s="12">
        <f t="shared" si="85"/>
        <v>0</v>
      </c>
      <c r="BD241" s="12">
        <f t="shared" si="85"/>
        <v>0</v>
      </c>
      <c r="BE241" s="12">
        <f t="shared" si="85"/>
        <v>0</v>
      </c>
    </row>
    <row r="242" spans="1:57" s="80" customFormat="1" hidden="1" outlineLevel="1" x14ac:dyDescent="0.2">
      <c r="A242" s="542"/>
      <c r="B242" s="542"/>
      <c r="C242" s="543"/>
      <c r="D242" s="544"/>
      <c r="E242" s="845" t="s">
        <v>317</v>
      </c>
      <c r="F242" s="845"/>
      <c r="G242" s="845" t="str">
        <f xml:space="preserve"> SMU</f>
        <v>$ 000s</v>
      </c>
      <c r="H242" s="845">
        <f xml:space="preserve"> SUM(J242:BE242)</f>
        <v>3857.1209730037863</v>
      </c>
      <c r="I242" s="846"/>
      <c r="J242" s="845">
        <f t="shared" ref="J242:BE242" si="86" xml:space="preserve"> SUMIF($J240:$BE240, J239, $J241:$BE241)</f>
        <v>0</v>
      </c>
      <c r="K242" s="845">
        <f t="shared" si="86"/>
        <v>0</v>
      </c>
      <c r="L242" s="845">
        <f t="shared" si="86"/>
        <v>0</v>
      </c>
      <c r="M242" s="845">
        <f t="shared" si="86"/>
        <v>0</v>
      </c>
      <c r="N242" s="845">
        <f t="shared" si="86"/>
        <v>3857.1209730037863</v>
      </c>
      <c r="O242" s="845">
        <f t="shared" si="86"/>
        <v>0</v>
      </c>
      <c r="P242" s="845">
        <f t="shared" si="86"/>
        <v>0</v>
      </c>
      <c r="Q242" s="845">
        <f t="shared" si="86"/>
        <v>0</v>
      </c>
      <c r="R242" s="845">
        <f t="shared" si="86"/>
        <v>0</v>
      </c>
      <c r="S242" s="845">
        <f t="shared" si="86"/>
        <v>0</v>
      </c>
      <c r="T242" s="845">
        <f t="shared" si="86"/>
        <v>0</v>
      </c>
      <c r="U242" s="845">
        <f t="shared" si="86"/>
        <v>0</v>
      </c>
      <c r="V242" s="845">
        <f t="shared" si="86"/>
        <v>0</v>
      </c>
      <c r="W242" s="845">
        <f t="shared" si="86"/>
        <v>0</v>
      </c>
      <c r="X242" s="845">
        <f t="shared" si="86"/>
        <v>0</v>
      </c>
      <c r="Y242" s="845">
        <f t="shared" si="86"/>
        <v>0</v>
      </c>
      <c r="Z242" s="845">
        <f t="shared" si="86"/>
        <v>0</v>
      </c>
      <c r="AA242" s="845">
        <f t="shared" si="86"/>
        <v>0</v>
      </c>
      <c r="AB242" s="845">
        <f t="shared" si="86"/>
        <v>0</v>
      </c>
      <c r="AC242" s="845">
        <f t="shared" si="86"/>
        <v>0</v>
      </c>
      <c r="AD242" s="845">
        <f t="shared" si="86"/>
        <v>0</v>
      </c>
      <c r="AE242" s="845">
        <f t="shared" si="86"/>
        <v>0</v>
      </c>
      <c r="AF242" s="845">
        <f t="shared" si="86"/>
        <v>0</v>
      </c>
      <c r="AG242" s="845">
        <f t="shared" si="86"/>
        <v>0</v>
      </c>
      <c r="AH242" s="845">
        <f t="shared" si="86"/>
        <v>0</v>
      </c>
      <c r="AI242" s="845">
        <f t="shared" si="86"/>
        <v>0</v>
      </c>
      <c r="AJ242" s="845">
        <f t="shared" si="86"/>
        <v>0</v>
      </c>
      <c r="AK242" s="845">
        <f t="shared" si="86"/>
        <v>0</v>
      </c>
      <c r="AL242" s="845">
        <f t="shared" si="86"/>
        <v>0</v>
      </c>
      <c r="AM242" s="845">
        <f t="shared" si="86"/>
        <v>0</v>
      </c>
      <c r="AN242" s="845">
        <f t="shared" si="86"/>
        <v>0</v>
      </c>
      <c r="AO242" s="845">
        <f t="shared" si="86"/>
        <v>0</v>
      </c>
      <c r="AP242" s="845">
        <f t="shared" si="86"/>
        <v>0</v>
      </c>
      <c r="AQ242" s="845">
        <f t="shared" si="86"/>
        <v>0</v>
      </c>
      <c r="AR242" s="845">
        <f t="shared" si="86"/>
        <v>0</v>
      </c>
      <c r="AS242" s="845">
        <f t="shared" si="86"/>
        <v>0</v>
      </c>
      <c r="AT242" s="845">
        <f t="shared" si="86"/>
        <v>0</v>
      </c>
      <c r="AU242" s="845">
        <f t="shared" si="86"/>
        <v>0</v>
      </c>
      <c r="AV242" s="845">
        <f t="shared" si="86"/>
        <v>0</v>
      </c>
      <c r="AW242" s="845">
        <f t="shared" si="86"/>
        <v>0</v>
      </c>
      <c r="AX242" s="845">
        <f t="shared" si="86"/>
        <v>0</v>
      </c>
      <c r="AY242" s="845">
        <f t="shared" si="86"/>
        <v>0</v>
      </c>
      <c r="AZ242" s="845">
        <f t="shared" si="86"/>
        <v>0</v>
      </c>
      <c r="BA242" s="845">
        <f t="shared" si="86"/>
        <v>0</v>
      </c>
      <c r="BB242" s="845">
        <f t="shared" si="86"/>
        <v>0</v>
      </c>
      <c r="BC242" s="845">
        <f t="shared" si="86"/>
        <v>0</v>
      </c>
      <c r="BD242" s="845">
        <f t="shared" si="86"/>
        <v>0</v>
      </c>
      <c r="BE242" s="845">
        <f t="shared" si="86"/>
        <v>0</v>
      </c>
    </row>
    <row r="243" spans="1:57" s="629" customFormat="1" hidden="1" outlineLevel="1" x14ac:dyDescent="0.2">
      <c r="A243" s="904"/>
      <c r="B243" s="904"/>
      <c r="C243" s="905"/>
      <c r="D243" s="906"/>
      <c r="E243" s="907" t="str">
        <f xml:space="preserve"> LEFT(E242, LEN(E242) - 4)</f>
        <v>Pre-funding of working capital</v>
      </c>
      <c r="F243" s="907"/>
      <c r="G243" s="907" t="str">
        <f xml:space="preserve"> SMU</f>
        <v>$ 000s</v>
      </c>
      <c r="H243" s="907">
        <f xml:space="preserve"> SUM(J243:BE243)</f>
        <v>-3857.1209730037863</v>
      </c>
      <c r="I243" s="908"/>
      <c r="J243" s="907">
        <f t="shared" ref="J243:BE243" si="87" xml:space="preserve"> -1 * J242</f>
        <v>0</v>
      </c>
      <c r="K243" s="907">
        <f t="shared" si="87"/>
        <v>0</v>
      </c>
      <c r="L243" s="907">
        <f t="shared" si="87"/>
        <v>0</v>
      </c>
      <c r="M243" s="907">
        <f t="shared" si="87"/>
        <v>0</v>
      </c>
      <c r="N243" s="907">
        <f t="shared" si="87"/>
        <v>-3857.1209730037863</v>
      </c>
      <c r="O243" s="907">
        <f t="shared" si="87"/>
        <v>0</v>
      </c>
      <c r="P243" s="907">
        <f t="shared" si="87"/>
        <v>0</v>
      </c>
      <c r="Q243" s="907">
        <f t="shared" si="87"/>
        <v>0</v>
      </c>
      <c r="R243" s="907">
        <f t="shared" si="87"/>
        <v>0</v>
      </c>
      <c r="S243" s="907">
        <f t="shared" si="87"/>
        <v>0</v>
      </c>
      <c r="T243" s="907">
        <f t="shared" si="87"/>
        <v>0</v>
      </c>
      <c r="U243" s="907">
        <f t="shared" si="87"/>
        <v>0</v>
      </c>
      <c r="V243" s="907">
        <f t="shared" si="87"/>
        <v>0</v>
      </c>
      <c r="W243" s="907">
        <f t="shared" si="87"/>
        <v>0</v>
      </c>
      <c r="X243" s="907">
        <f t="shared" si="87"/>
        <v>0</v>
      </c>
      <c r="Y243" s="907">
        <f t="shared" si="87"/>
        <v>0</v>
      </c>
      <c r="Z243" s="907">
        <f t="shared" si="87"/>
        <v>0</v>
      </c>
      <c r="AA243" s="907">
        <f t="shared" si="87"/>
        <v>0</v>
      </c>
      <c r="AB243" s="907">
        <f t="shared" si="87"/>
        <v>0</v>
      </c>
      <c r="AC243" s="907">
        <f t="shared" si="87"/>
        <v>0</v>
      </c>
      <c r="AD243" s="907">
        <f t="shared" si="87"/>
        <v>0</v>
      </c>
      <c r="AE243" s="907">
        <f t="shared" si="87"/>
        <v>0</v>
      </c>
      <c r="AF243" s="907">
        <f t="shared" si="87"/>
        <v>0</v>
      </c>
      <c r="AG243" s="907">
        <f t="shared" si="87"/>
        <v>0</v>
      </c>
      <c r="AH243" s="907">
        <f t="shared" si="87"/>
        <v>0</v>
      </c>
      <c r="AI243" s="907">
        <f t="shared" si="87"/>
        <v>0</v>
      </c>
      <c r="AJ243" s="907">
        <f t="shared" si="87"/>
        <v>0</v>
      </c>
      <c r="AK243" s="907">
        <f t="shared" si="87"/>
        <v>0</v>
      </c>
      <c r="AL243" s="907">
        <f t="shared" si="87"/>
        <v>0</v>
      </c>
      <c r="AM243" s="907">
        <f t="shared" si="87"/>
        <v>0</v>
      </c>
      <c r="AN243" s="907">
        <f t="shared" si="87"/>
        <v>0</v>
      </c>
      <c r="AO243" s="907">
        <f t="shared" si="87"/>
        <v>0</v>
      </c>
      <c r="AP243" s="907">
        <f t="shared" si="87"/>
        <v>0</v>
      </c>
      <c r="AQ243" s="907">
        <f t="shared" si="87"/>
        <v>0</v>
      </c>
      <c r="AR243" s="907">
        <f t="shared" si="87"/>
        <v>0</v>
      </c>
      <c r="AS243" s="907">
        <f t="shared" si="87"/>
        <v>0</v>
      </c>
      <c r="AT243" s="907">
        <f t="shared" si="87"/>
        <v>0</v>
      </c>
      <c r="AU243" s="907">
        <f t="shared" si="87"/>
        <v>0</v>
      </c>
      <c r="AV243" s="907">
        <f t="shared" si="87"/>
        <v>0</v>
      </c>
      <c r="AW243" s="907">
        <f t="shared" si="87"/>
        <v>0</v>
      </c>
      <c r="AX243" s="907">
        <f t="shared" si="87"/>
        <v>0</v>
      </c>
      <c r="AY243" s="907">
        <f t="shared" si="87"/>
        <v>0</v>
      </c>
      <c r="AZ243" s="907">
        <f t="shared" si="87"/>
        <v>0</v>
      </c>
      <c r="BA243" s="907">
        <f t="shared" si="87"/>
        <v>0</v>
      </c>
      <c r="BB243" s="907">
        <f t="shared" si="87"/>
        <v>0</v>
      </c>
      <c r="BC243" s="907">
        <f t="shared" si="87"/>
        <v>0</v>
      </c>
      <c r="BD243" s="907">
        <f t="shared" si="87"/>
        <v>0</v>
      </c>
      <c r="BE243" s="907">
        <f t="shared" si="87"/>
        <v>0</v>
      </c>
    </row>
    <row r="244" spans="1:57" hidden="1" outlineLevel="1" x14ac:dyDescent="0.2"/>
    <row r="245" spans="1:57" hidden="1" outlineLevel="1" x14ac:dyDescent="0.2">
      <c r="E245" s="538" t="str">
        <f xml:space="preserve"> Time!E$10</f>
        <v>Model column counter</v>
      </c>
      <c r="F245" s="538">
        <f xml:space="preserve"> Time!F$10</f>
        <v>0</v>
      </c>
      <c r="G245" s="538" t="str">
        <f xml:space="preserve"> Time!G$10</f>
        <v>counter</v>
      </c>
      <c r="H245" s="538">
        <f xml:space="preserve"> Time!H$10</f>
        <v>0</v>
      </c>
      <c r="I245" s="538">
        <f xml:space="preserve"> Time!I$10</f>
        <v>0</v>
      </c>
      <c r="J245" s="538">
        <f xml:space="preserve"> Time!J$10</f>
        <v>1</v>
      </c>
      <c r="K245" s="538">
        <f xml:space="preserve"> Time!K$10</f>
        <v>2</v>
      </c>
      <c r="L245" s="538">
        <f xml:space="preserve"> Time!L$10</f>
        <v>3</v>
      </c>
      <c r="M245" s="538">
        <f xml:space="preserve"> Time!M$10</f>
        <v>4</v>
      </c>
      <c r="N245" s="538">
        <f xml:space="preserve"> Time!N$10</f>
        <v>5</v>
      </c>
      <c r="O245" s="538">
        <f xml:space="preserve"> Time!O$10</f>
        <v>6</v>
      </c>
      <c r="P245" s="538">
        <f xml:space="preserve"> Time!P$10</f>
        <v>7</v>
      </c>
      <c r="Q245" s="538">
        <f xml:space="preserve"> Time!Q$10</f>
        <v>8</v>
      </c>
      <c r="R245" s="538">
        <f xml:space="preserve"> Time!R$10</f>
        <v>9</v>
      </c>
      <c r="S245" s="538">
        <f xml:space="preserve"> Time!S$10</f>
        <v>10</v>
      </c>
      <c r="T245" s="538">
        <f xml:space="preserve"> Time!T$10</f>
        <v>11</v>
      </c>
      <c r="U245" s="538">
        <f xml:space="preserve"> Time!U$10</f>
        <v>12</v>
      </c>
      <c r="V245" s="538">
        <f xml:space="preserve"> Time!V$10</f>
        <v>13</v>
      </c>
      <c r="W245" s="538">
        <f xml:space="preserve"> Time!W$10</f>
        <v>14</v>
      </c>
      <c r="X245" s="538">
        <f xml:space="preserve"> Time!X$10</f>
        <v>15</v>
      </c>
      <c r="Y245" s="538">
        <f xml:space="preserve"> Time!Y$10</f>
        <v>16</v>
      </c>
      <c r="Z245" s="538">
        <f xml:space="preserve"> Time!Z$10</f>
        <v>17</v>
      </c>
      <c r="AA245" s="538">
        <f xml:space="preserve"> Time!AA$10</f>
        <v>18</v>
      </c>
      <c r="AB245" s="538">
        <f xml:space="preserve"> Time!AB$10</f>
        <v>19</v>
      </c>
      <c r="AC245" s="538">
        <f xml:space="preserve"> Time!AC$10</f>
        <v>20</v>
      </c>
      <c r="AD245" s="538">
        <f xml:space="preserve"> Time!AD$10</f>
        <v>21</v>
      </c>
      <c r="AE245" s="538">
        <f xml:space="preserve"> Time!AE$10</f>
        <v>22</v>
      </c>
      <c r="AF245" s="538">
        <f xml:space="preserve"> Time!AF$10</f>
        <v>23</v>
      </c>
      <c r="AG245" s="538">
        <f xml:space="preserve"> Time!AG$10</f>
        <v>24</v>
      </c>
      <c r="AH245" s="538">
        <f xml:space="preserve"> Time!AH$10</f>
        <v>25</v>
      </c>
      <c r="AI245" s="538">
        <f xml:space="preserve"> Time!AI$10</f>
        <v>26</v>
      </c>
      <c r="AJ245" s="538">
        <f xml:space="preserve"> Time!AJ$10</f>
        <v>27</v>
      </c>
      <c r="AK245" s="538">
        <f xml:space="preserve"> Time!AK$10</f>
        <v>28</v>
      </c>
      <c r="AL245" s="538">
        <f xml:space="preserve"> Time!AL$10</f>
        <v>29</v>
      </c>
      <c r="AM245" s="538">
        <f xml:space="preserve"> Time!AM$10</f>
        <v>30</v>
      </c>
      <c r="AN245" s="538">
        <f xml:space="preserve"> Time!AN$10</f>
        <v>31</v>
      </c>
      <c r="AO245" s="538">
        <f xml:space="preserve"> Time!AO$10</f>
        <v>32</v>
      </c>
      <c r="AP245" s="538">
        <f xml:space="preserve"> Time!AP$10</f>
        <v>33</v>
      </c>
      <c r="AQ245" s="538">
        <f xml:space="preserve"> Time!AQ$10</f>
        <v>34</v>
      </c>
      <c r="AR245" s="538">
        <f xml:space="preserve"> Time!AR$10</f>
        <v>35</v>
      </c>
      <c r="AS245" s="538">
        <f xml:space="preserve"> Time!AS$10</f>
        <v>36</v>
      </c>
      <c r="AT245" s="538">
        <f xml:space="preserve"> Time!AT$10</f>
        <v>37</v>
      </c>
      <c r="AU245" s="538">
        <f xml:space="preserve"> Time!AU$10</f>
        <v>38</v>
      </c>
      <c r="AV245" s="538">
        <f xml:space="preserve"> Time!AV$10</f>
        <v>39</v>
      </c>
      <c r="AW245" s="538">
        <f xml:space="preserve"> Time!AW$10</f>
        <v>40</v>
      </c>
      <c r="AX245" s="538">
        <f xml:space="preserve"> Time!AX$10</f>
        <v>41</v>
      </c>
      <c r="AY245" s="538">
        <f xml:space="preserve"> Time!AY$10</f>
        <v>42</v>
      </c>
      <c r="AZ245" s="538">
        <f xml:space="preserve"> Time!AZ$10</f>
        <v>43</v>
      </c>
      <c r="BA245" s="538">
        <f xml:space="preserve"> Time!BA$10</f>
        <v>44</v>
      </c>
      <c r="BB245" s="538">
        <f xml:space="preserve"> Time!BB$10</f>
        <v>45</v>
      </c>
      <c r="BC245" s="538">
        <f xml:space="preserve"> Time!BC$10</f>
        <v>46</v>
      </c>
      <c r="BD245" s="538">
        <f xml:space="preserve"> Time!BD$10</f>
        <v>47</v>
      </c>
      <c r="BE245" s="538">
        <f xml:space="preserve"> Time!BE$10</f>
        <v>48</v>
      </c>
    </row>
    <row r="246" spans="1:57" hidden="1" outlineLevel="1" x14ac:dyDescent="0.2">
      <c r="E246" s="186" t="str">
        <f xml:space="preserve"> ConTime!E$56</f>
        <v>Model ops period counter - m</v>
      </c>
      <c r="F246" s="186">
        <f xml:space="preserve"> ConTime!F$56</f>
        <v>0</v>
      </c>
      <c r="G246" s="186" t="str">
        <f xml:space="preserve"> ConTime!G$56</f>
        <v>counter</v>
      </c>
      <c r="H246" s="186">
        <f xml:space="preserve"> ConTime!H$56</f>
        <v>0</v>
      </c>
      <c r="I246" s="186">
        <f xml:space="preserve"> ConTime!I$56</f>
        <v>0</v>
      </c>
      <c r="J246" s="186">
        <f xml:space="preserve"> ConTime!J$56</f>
        <v>1</v>
      </c>
      <c r="K246" s="186">
        <f xml:space="preserve"> ConTime!K$56</f>
        <v>1</v>
      </c>
      <c r="L246" s="186">
        <f xml:space="preserve"> ConTime!L$56</f>
        <v>1</v>
      </c>
      <c r="M246" s="186">
        <f xml:space="preserve"> ConTime!M$56</f>
        <v>1</v>
      </c>
      <c r="N246" s="186">
        <f xml:space="preserve"> ConTime!N$56</f>
        <v>1</v>
      </c>
      <c r="O246" s="186">
        <f xml:space="preserve"> ConTime!O$56</f>
        <v>1</v>
      </c>
      <c r="P246" s="186">
        <f xml:space="preserve"> ConTime!P$56</f>
        <v>2</v>
      </c>
      <c r="Q246" s="186">
        <f xml:space="preserve"> ConTime!Q$56</f>
        <v>2</v>
      </c>
      <c r="R246" s="186">
        <f xml:space="preserve"> ConTime!R$56</f>
        <v>2</v>
      </c>
      <c r="S246" s="186">
        <f xml:space="preserve"> ConTime!S$56</f>
        <v>2</v>
      </c>
      <c r="T246" s="186">
        <f xml:space="preserve"> ConTime!T$56</f>
        <v>2</v>
      </c>
      <c r="U246" s="186">
        <f xml:space="preserve"> ConTime!U$56</f>
        <v>2</v>
      </c>
      <c r="V246" s="186">
        <f xml:space="preserve"> ConTime!V$56</f>
        <v>3</v>
      </c>
      <c r="W246" s="186">
        <f xml:space="preserve"> ConTime!W$56</f>
        <v>3</v>
      </c>
      <c r="X246" s="186">
        <f xml:space="preserve"> ConTime!X$56</f>
        <v>3</v>
      </c>
      <c r="Y246" s="186">
        <f xml:space="preserve"> ConTime!Y$56</f>
        <v>3</v>
      </c>
      <c r="Z246" s="186">
        <f xml:space="preserve"> ConTime!Z$56</f>
        <v>3</v>
      </c>
      <c r="AA246" s="186">
        <f xml:space="preserve"> ConTime!AA$56</f>
        <v>3</v>
      </c>
      <c r="AB246" s="186">
        <f xml:space="preserve"> ConTime!AB$56</f>
        <v>4</v>
      </c>
      <c r="AC246" s="186">
        <f xml:space="preserve"> ConTime!AC$56</f>
        <v>4</v>
      </c>
      <c r="AD246" s="186">
        <f xml:space="preserve"> ConTime!AD$56</f>
        <v>4</v>
      </c>
      <c r="AE246" s="186">
        <f xml:space="preserve"> ConTime!AE$56</f>
        <v>4</v>
      </c>
      <c r="AF246" s="186">
        <f xml:space="preserve"> ConTime!AF$56</f>
        <v>4</v>
      </c>
      <c r="AG246" s="186">
        <f xml:space="preserve"> ConTime!AG$56</f>
        <v>4</v>
      </c>
      <c r="AH246" s="186">
        <f xml:space="preserve"> ConTime!AH$56</f>
        <v>5</v>
      </c>
      <c r="AI246" s="186">
        <f xml:space="preserve"> ConTime!AI$56</f>
        <v>5</v>
      </c>
      <c r="AJ246" s="186">
        <f xml:space="preserve"> ConTime!AJ$56</f>
        <v>5</v>
      </c>
      <c r="AK246" s="186">
        <f xml:space="preserve"> ConTime!AK$56</f>
        <v>5</v>
      </c>
      <c r="AL246" s="186">
        <f xml:space="preserve"> ConTime!AL$56</f>
        <v>5</v>
      </c>
      <c r="AM246" s="186">
        <f xml:space="preserve"> ConTime!AM$56</f>
        <v>5</v>
      </c>
      <c r="AN246" s="186">
        <f xml:space="preserve"> ConTime!AN$56</f>
        <v>6</v>
      </c>
      <c r="AO246" s="186">
        <f xml:space="preserve"> ConTime!AO$56</f>
        <v>6</v>
      </c>
      <c r="AP246" s="186">
        <f xml:space="preserve"> ConTime!AP$56</f>
        <v>6</v>
      </c>
      <c r="AQ246" s="186">
        <f xml:space="preserve"> ConTime!AQ$56</f>
        <v>6</v>
      </c>
      <c r="AR246" s="186">
        <f xml:space="preserve"> ConTime!AR$56</f>
        <v>6</v>
      </c>
      <c r="AS246" s="186">
        <f xml:space="preserve"> ConTime!AS$56</f>
        <v>6</v>
      </c>
      <c r="AT246" s="186">
        <f xml:space="preserve"> ConTime!AT$56</f>
        <v>7</v>
      </c>
      <c r="AU246" s="186">
        <f xml:space="preserve"> ConTime!AU$56</f>
        <v>7</v>
      </c>
      <c r="AV246" s="186">
        <f xml:space="preserve"> ConTime!AV$56</f>
        <v>7</v>
      </c>
      <c r="AW246" s="186">
        <f xml:space="preserve"> ConTime!AW$56</f>
        <v>7</v>
      </c>
      <c r="AX246" s="186">
        <f xml:space="preserve"> ConTime!AX$56</f>
        <v>7</v>
      </c>
      <c r="AY246" s="186">
        <f xml:space="preserve"> ConTime!AY$56</f>
        <v>7</v>
      </c>
      <c r="AZ246" s="186">
        <f xml:space="preserve"> ConTime!AZ$56</f>
        <v>8</v>
      </c>
      <c r="BA246" s="186">
        <f xml:space="preserve"> ConTime!BA$56</f>
        <v>8</v>
      </c>
      <c r="BB246" s="186">
        <f xml:space="preserve"> ConTime!BB$56</f>
        <v>8</v>
      </c>
      <c r="BC246" s="186">
        <f xml:space="preserve"> ConTime!BC$56</f>
        <v>8</v>
      </c>
      <c r="BD246" s="186">
        <f xml:space="preserve"> ConTime!BD$56</f>
        <v>8</v>
      </c>
      <c r="BE246" s="186">
        <f xml:space="preserve"> ConTime!BE$56</f>
        <v>8</v>
      </c>
    </row>
    <row r="247" spans="1:57" hidden="1" outlineLevel="1" x14ac:dyDescent="0.2">
      <c r="E247" s="12" t="str">
        <f t="shared" ref="E247:AJ247" si="88" xml:space="preserve"> E$106</f>
        <v>Pre-funding of DSRA - m</v>
      </c>
      <c r="F247" s="12">
        <f t="shared" si="88"/>
        <v>0</v>
      </c>
      <c r="G247" s="12" t="str">
        <f t="shared" si="88"/>
        <v>$ 000s</v>
      </c>
      <c r="H247" s="12">
        <f t="shared" si="88"/>
        <v>11233.130669939161</v>
      </c>
      <c r="I247" s="12">
        <f t="shared" si="88"/>
        <v>0</v>
      </c>
      <c r="J247" s="12">
        <f t="shared" si="88"/>
        <v>0</v>
      </c>
      <c r="K247" s="12">
        <f t="shared" si="88"/>
        <v>0</v>
      </c>
      <c r="L247" s="12">
        <f t="shared" si="88"/>
        <v>0</v>
      </c>
      <c r="M247" s="12">
        <f t="shared" si="88"/>
        <v>0</v>
      </c>
      <c r="N247" s="12">
        <f t="shared" si="88"/>
        <v>0</v>
      </c>
      <c r="O247" s="12">
        <f t="shared" si="88"/>
        <v>0</v>
      </c>
      <c r="P247" s="12">
        <f t="shared" si="88"/>
        <v>0</v>
      </c>
      <c r="Q247" s="12">
        <f t="shared" si="88"/>
        <v>0</v>
      </c>
      <c r="R247" s="12">
        <f t="shared" si="88"/>
        <v>0</v>
      </c>
      <c r="S247" s="12">
        <f t="shared" si="88"/>
        <v>0</v>
      </c>
      <c r="T247" s="12">
        <f t="shared" si="88"/>
        <v>0</v>
      </c>
      <c r="U247" s="12">
        <f t="shared" si="88"/>
        <v>0</v>
      </c>
      <c r="V247" s="12">
        <f t="shared" si="88"/>
        <v>0</v>
      </c>
      <c r="W247" s="12">
        <f t="shared" si="88"/>
        <v>0</v>
      </c>
      <c r="X247" s="12">
        <f t="shared" si="88"/>
        <v>0</v>
      </c>
      <c r="Y247" s="12">
        <f t="shared" si="88"/>
        <v>0</v>
      </c>
      <c r="Z247" s="12">
        <f t="shared" si="88"/>
        <v>0</v>
      </c>
      <c r="AA247" s="12">
        <f t="shared" si="88"/>
        <v>0</v>
      </c>
      <c r="AB247" s="12">
        <f t="shared" si="88"/>
        <v>0</v>
      </c>
      <c r="AC247" s="12">
        <f t="shared" si="88"/>
        <v>0</v>
      </c>
      <c r="AD247" s="12">
        <f t="shared" si="88"/>
        <v>0</v>
      </c>
      <c r="AE247" s="12">
        <f t="shared" si="88"/>
        <v>0</v>
      </c>
      <c r="AF247" s="12">
        <f t="shared" si="88"/>
        <v>0</v>
      </c>
      <c r="AG247" s="12">
        <f t="shared" si="88"/>
        <v>0</v>
      </c>
      <c r="AH247" s="12">
        <f t="shared" si="88"/>
        <v>0</v>
      </c>
      <c r="AI247" s="12">
        <f t="shared" si="88"/>
        <v>0</v>
      </c>
      <c r="AJ247" s="12">
        <f t="shared" si="88"/>
        <v>0</v>
      </c>
      <c r="AK247" s="12">
        <f t="shared" ref="AK247:BE247" si="89" xml:space="preserve"> AK$106</f>
        <v>0</v>
      </c>
      <c r="AL247" s="12">
        <f t="shared" si="89"/>
        <v>0</v>
      </c>
      <c r="AM247" s="12">
        <f t="shared" si="89"/>
        <v>11233.130669939161</v>
      </c>
      <c r="AN247" s="12">
        <f t="shared" si="89"/>
        <v>0</v>
      </c>
      <c r="AO247" s="12">
        <f t="shared" si="89"/>
        <v>0</v>
      </c>
      <c r="AP247" s="12">
        <f t="shared" si="89"/>
        <v>0</v>
      </c>
      <c r="AQ247" s="12">
        <f t="shared" si="89"/>
        <v>0</v>
      </c>
      <c r="AR247" s="12">
        <f t="shared" si="89"/>
        <v>0</v>
      </c>
      <c r="AS247" s="12">
        <f t="shared" si="89"/>
        <v>0</v>
      </c>
      <c r="AT247" s="12">
        <f t="shared" si="89"/>
        <v>0</v>
      </c>
      <c r="AU247" s="12">
        <f t="shared" si="89"/>
        <v>0</v>
      </c>
      <c r="AV247" s="12">
        <f t="shared" si="89"/>
        <v>0</v>
      </c>
      <c r="AW247" s="12">
        <f t="shared" si="89"/>
        <v>0</v>
      </c>
      <c r="AX247" s="12">
        <f t="shared" si="89"/>
        <v>0</v>
      </c>
      <c r="AY247" s="12">
        <f t="shared" si="89"/>
        <v>0</v>
      </c>
      <c r="AZ247" s="12">
        <f t="shared" si="89"/>
        <v>0</v>
      </c>
      <c r="BA247" s="12">
        <f t="shared" si="89"/>
        <v>0</v>
      </c>
      <c r="BB247" s="12">
        <f t="shared" si="89"/>
        <v>0</v>
      </c>
      <c r="BC247" s="12">
        <f t="shared" si="89"/>
        <v>0</v>
      </c>
      <c r="BD247" s="12">
        <f t="shared" si="89"/>
        <v>0</v>
      </c>
      <c r="BE247" s="12">
        <f t="shared" si="89"/>
        <v>0</v>
      </c>
    </row>
    <row r="248" spans="1:57" s="80" customFormat="1" hidden="1" outlineLevel="1" x14ac:dyDescent="0.2">
      <c r="A248" s="542"/>
      <c r="B248" s="542"/>
      <c r="C248" s="543"/>
      <c r="D248" s="544"/>
      <c r="E248" s="845" t="s">
        <v>383</v>
      </c>
      <c r="F248" s="845"/>
      <c r="G248" s="845" t="str">
        <f xml:space="preserve"> SMU</f>
        <v>$ 000s</v>
      </c>
      <c r="H248" s="845">
        <f xml:space="preserve"> SUM(J248:BE248)</f>
        <v>11233.130669939161</v>
      </c>
      <c r="I248" s="846"/>
      <c r="J248" s="845">
        <f t="shared" ref="J248:BE248" si="90" xml:space="preserve"> SUMIF($J246:$BE246, J245, $J247:$BE247)</f>
        <v>0</v>
      </c>
      <c r="K248" s="845">
        <f t="shared" si="90"/>
        <v>0</v>
      </c>
      <c r="L248" s="845">
        <f t="shared" si="90"/>
        <v>0</v>
      </c>
      <c r="M248" s="845">
        <f t="shared" si="90"/>
        <v>0</v>
      </c>
      <c r="N248" s="845">
        <f t="shared" si="90"/>
        <v>11233.130669939161</v>
      </c>
      <c r="O248" s="845">
        <f t="shared" si="90"/>
        <v>0</v>
      </c>
      <c r="P248" s="845">
        <f t="shared" si="90"/>
        <v>0</v>
      </c>
      <c r="Q248" s="845">
        <f t="shared" si="90"/>
        <v>0</v>
      </c>
      <c r="R248" s="845">
        <f t="shared" si="90"/>
        <v>0</v>
      </c>
      <c r="S248" s="845">
        <f t="shared" si="90"/>
        <v>0</v>
      </c>
      <c r="T248" s="845">
        <f t="shared" si="90"/>
        <v>0</v>
      </c>
      <c r="U248" s="845">
        <f t="shared" si="90"/>
        <v>0</v>
      </c>
      <c r="V248" s="845">
        <f t="shared" si="90"/>
        <v>0</v>
      </c>
      <c r="W248" s="845">
        <f t="shared" si="90"/>
        <v>0</v>
      </c>
      <c r="X248" s="845">
        <f t="shared" si="90"/>
        <v>0</v>
      </c>
      <c r="Y248" s="845">
        <f t="shared" si="90"/>
        <v>0</v>
      </c>
      <c r="Z248" s="845">
        <f t="shared" si="90"/>
        <v>0</v>
      </c>
      <c r="AA248" s="845">
        <f t="shared" si="90"/>
        <v>0</v>
      </c>
      <c r="AB248" s="845">
        <f t="shared" si="90"/>
        <v>0</v>
      </c>
      <c r="AC248" s="845">
        <f t="shared" si="90"/>
        <v>0</v>
      </c>
      <c r="AD248" s="845">
        <f t="shared" si="90"/>
        <v>0</v>
      </c>
      <c r="AE248" s="845">
        <f t="shared" si="90"/>
        <v>0</v>
      </c>
      <c r="AF248" s="845">
        <f t="shared" si="90"/>
        <v>0</v>
      </c>
      <c r="AG248" s="845">
        <f t="shared" si="90"/>
        <v>0</v>
      </c>
      <c r="AH248" s="845">
        <f t="shared" si="90"/>
        <v>0</v>
      </c>
      <c r="AI248" s="845">
        <f t="shared" si="90"/>
        <v>0</v>
      </c>
      <c r="AJ248" s="845">
        <f t="shared" si="90"/>
        <v>0</v>
      </c>
      <c r="AK248" s="845">
        <f t="shared" si="90"/>
        <v>0</v>
      </c>
      <c r="AL248" s="845">
        <f t="shared" si="90"/>
        <v>0</v>
      </c>
      <c r="AM248" s="845">
        <f t="shared" si="90"/>
        <v>0</v>
      </c>
      <c r="AN248" s="845">
        <f t="shared" si="90"/>
        <v>0</v>
      </c>
      <c r="AO248" s="845">
        <f t="shared" si="90"/>
        <v>0</v>
      </c>
      <c r="AP248" s="845">
        <f t="shared" si="90"/>
        <v>0</v>
      </c>
      <c r="AQ248" s="845">
        <f t="shared" si="90"/>
        <v>0</v>
      </c>
      <c r="AR248" s="845">
        <f t="shared" si="90"/>
        <v>0</v>
      </c>
      <c r="AS248" s="845">
        <f t="shared" si="90"/>
        <v>0</v>
      </c>
      <c r="AT248" s="845">
        <f t="shared" si="90"/>
        <v>0</v>
      </c>
      <c r="AU248" s="845">
        <f t="shared" si="90"/>
        <v>0</v>
      </c>
      <c r="AV248" s="845">
        <f t="shared" si="90"/>
        <v>0</v>
      </c>
      <c r="AW248" s="845">
        <f t="shared" si="90"/>
        <v>0</v>
      </c>
      <c r="AX248" s="845">
        <f t="shared" si="90"/>
        <v>0</v>
      </c>
      <c r="AY248" s="845">
        <f t="shared" si="90"/>
        <v>0</v>
      </c>
      <c r="AZ248" s="845">
        <f t="shared" si="90"/>
        <v>0</v>
      </c>
      <c r="BA248" s="845">
        <f t="shared" si="90"/>
        <v>0</v>
      </c>
      <c r="BB248" s="845">
        <f t="shared" si="90"/>
        <v>0</v>
      </c>
      <c r="BC248" s="845">
        <f t="shared" si="90"/>
        <v>0</v>
      </c>
      <c r="BD248" s="845">
        <f t="shared" si="90"/>
        <v>0</v>
      </c>
      <c r="BE248" s="845">
        <f t="shared" si="90"/>
        <v>0</v>
      </c>
    </row>
    <row r="249" spans="1:57" s="629" customFormat="1" hidden="1" outlineLevel="1" x14ac:dyDescent="0.2">
      <c r="A249" s="904"/>
      <c r="B249" s="904"/>
      <c r="C249" s="905"/>
      <c r="D249" s="906"/>
      <c r="E249" s="907" t="str">
        <f xml:space="preserve"> LEFT(E248, LEN(E248) - 4)</f>
        <v>Pre-funding of DSRA</v>
      </c>
      <c r="F249" s="907"/>
      <c r="G249" s="907" t="str">
        <f xml:space="preserve"> SMU</f>
        <v>$ 000s</v>
      </c>
      <c r="H249" s="907">
        <f xml:space="preserve"> SUM(J249:BE249)</f>
        <v>-11233.130669939161</v>
      </c>
      <c r="I249" s="908"/>
      <c r="J249" s="907">
        <f t="shared" ref="J249:BE249" si="91" xml:space="preserve"> -1 * J248</f>
        <v>0</v>
      </c>
      <c r="K249" s="907">
        <f t="shared" si="91"/>
        <v>0</v>
      </c>
      <c r="L249" s="907">
        <f t="shared" si="91"/>
        <v>0</v>
      </c>
      <c r="M249" s="907">
        <f t="shared" si="91"/>
        <v>0</v>
      </c>
      <c r="N249" s="907">
        <f t="shared" si="91"/>
        <v>-11233.130669939161</v>
      </c>
      <c r="O249" s="907">
        <f t="shared" si="91"/>
        <v>0</v>
      </c>
      <c r="P249" s="907">
        <f t="shared" si="91"/>
        <v>0</v>
      </c>
      <c r="Q249" s="907">
        <f t="shared" si="91"/>
        <v>0</v>
      </c>
      <c r="R249" s="907">
        <f t="shared" si="91"/>
        <v>0</v>
      </c>
      <c r="S249" s="907">
        <f t="shared" si="91"/>
        <v>0</v>
      </c>
      <c r="T249" s="907">
        <f t="shared" si="91"/>
        <v>0</v>
      </c>
      <c r="U249" s="907">
        <f t="shared" si="91"/>
        <v>0</v>
      </c>
      <c r="V249" s="907">
        <f t="shared" si="91"/>
        <v>0</v>
      </c>
      <c r="W249" s="907">
        <f t="shared" si="91"/>
        <v>0</v>
      </c>
      <c r="X249" s="907">
        <f t="shared" si="91"/>
        <v>0</v>
      </c>
      <c r="Y249" s="907">
        <f t="shared" si="91"/>
        <v>0</v>
      </c>
      <c r="Z249" s="907">
        <f t="shared" si="91"/>
        <v>0</v>
      </c>
      <c r="AA249" s="907">
        <f t="shared" si="91"/>
        <v>0</v>
      </c>
      <c r="AB249" s="907">
        <f t="shared" si="91"/>
        <v>0</v>
      </c>
      <c r="AC249" s="907">
        <f t="shared" si="91"/>
        <v>0</v>
      </c>
      <c r="AD249" s="907">
        <f t="shared" si="91"/>
        <v>0</v>
      </c>
      <c r="AE249" s="907">
        <f t="shared" si="91"/>
        <v>0</v>
      </c>
      <c r="AF249" s="907">
        <f t="shared" si="91"/>
        <v>0</v>
      </c>
      <c r="AG249" s="907">
        <f t="shared" si="91"/>
        <v>0</v>
      </c>
      <c r="AH249" s="907">
        <f t="shared" si="91"/>
        <v>0</v>
      </c>
      <c r="AI249" s="907">
        <f t="shared" si="91"/>
        <v>0</v>
      </c>
      <c r="AJ249" s="907">
        <f t="shared" si="91"/>
        <v>0</v>
      </c>
      <c r="AK249" s="907">
        <f t="shared" si="91"/>
        <v>0</v>
      </c>
      <c r="AL249" s="907">
        <f t="shared" si="91"/>
        <v>0</v>
      </c>
      <c r="AM249" s="907">
        <f t="shared" si="91"/>
        <v>0</v>
      </c>
      <c r="AN249" s="907">
        <f t="shared" si="91"/>
        <v>0</v>
      </c>
      <c r="AO249" s="907">
        <f t="shared" si="91"/>
        <v>0</v>
      </c>
      <c r="AP249" s="907">
        <f t="shared" si="91"/>
        <v>0</v>
      </c>
      <c r="AQ249" s="907">
        <f t="shared" si="91"/>
        <v>0</v>
      </c>
      <c r="AR249" s="907">
        <f t="shared" si="91"/>
        <v>0</v>
      </c>
      <c r="AS249" s="907">
        <f t="shared" si="91"/>
        <v>0</v>
      </c>
      <c r="AT249" s="907">
        <f t="shared" si="91"/>
        <v>0</v>
      </c>
      <c r="AU249" s="907">
        <f t="shared" si="91"/>
        <v>0</v>
      </c>
      <c r="AV249" s="907">
        <f t="shared" si="91"/>
        <v>0</v>
      </c>
      <c r="AW249" s="907">
        <f t="shared" si="91"/>
        <v>0</v>
      </c>
      <c r="AX249" s="907">
        <f t="shared" si="91"/>
        <v>0</v>
      </c>
      <c r="AY249" s="907">
        <f t="shared" si="91"/>
        <v>0</v>
      </c>
      <c r="AZ249" s="907">
        <f t="shared" si="91"/>
        <v>0</v>
      </c>
      <c r="BA249" s="907">
        <f t="shared" si="91"/>
        <v>0</v>
      </c>
      <c r="BB249" s="907">
        <f t="shared" si="91"/>
        <v>0</v>
      </c>
      <c r="BC249" s="907">
        <f t="shared" si="91"/>
        <v>0</v>
      </c>
      <c r="BD249" s="907">
        <f t="shared" si="91"/>
        <v>0</v>
      </c>
      <c r="BE249" s="907">
        <f t="shared" si="91"/>
        <v>0</v>
      </c>
    </row>
    <row r="250" spans="1:57" hidden="1" outlineLevel="1" x14ac:dyDescent="0.2"/>
    <row r="251" spans="1:57" hidden="1" outlineLevel="1" x14ac:dyDescent="0.2">
      <c r="E251" s="538" t="str">
        <f xml:space="preserve"> Time!E$10</f>
        <v>Model column counter</v>
      </c>
      <c r="F251" s="538">
        <f xml:space="preserve"> Time!F$10</f>
        <v>0</v>
      </c>
      <c r="G251" s="538" t="str">
        <f xml:space="preserve"> Time!G$10</f>
        <v>counter</v>
      </c>
      <c r="H251" s="538">
        <f xml:space="preserve"> Time!H$10</f>
        <v>0</v>
      </c>
      <c r="I251" s="538">
        <f xml:space="preserve"> Time!I$10</f>
        <v>0</v>
      </c>
      <c r="J251" s="538">
        <f xml:space="preserve"> Time!J$10</f>
        <v>1</v>
      </c>
      <c r="K251" s="538">
        <f xml:space="preserve"> Time!K$10</f>
        <v>2</v>
      </c>
      <c r="L251" s="538">
        <f xml:space="preserve"> Time!L$10</f>
        <v>3</v>
      </c>
      <c r="M251" s="538">
        <f xml:space="preserve"> Time!M$10</f>
        <v>4</v>
      </c>
      <c r="N251" s="538">
        <f xml:space="preserve"> Time!N$10</f>
        <v>5</v>
      </c>
      <c r="O251" s="538">
        <f xml:space="preserve"> Time!O$10</f>
        <v>6</v>
      </c>
      <c r="P251" s="538">
        <f xml:space="preserve"> Time!P$10</f>
        <v>7</v>
      </c>
      <c r="Q251" s="538">
        <f xml:space="preserve"> Time!Q$10</f>
        <v>8</v>
      </c>
      <c r="R251" s="538">
        <f xml:space="preserve"> Time!R$10</f>
        <v>9</v>
      </c>
      <c r="S251" s="538">
        <f xml:space="preserve"> Time!S$10</f>
        <v>10</v>
      </c>
      <c r="T251" s="538">
        <f xml:space="preserve"> Time!T$10</f>
        <v>11</v>
      </c>
      <c r="U251" s="538">
        <f xml:space="preserve"> Time!U$10</f>
        <v>12</v>
      </c>
      <c r="V251" s="538">
        <f xml:space="preserve"> Time!V$10</f>
        <v>13</v>
      </c>
      <c r="W251" s="538">
        <f xml:space="preserve"> Time!W$10</f>
        <v>14</v>
      </c>
      <c r="X251" s="538">
        <f xml:space="preserve"> Time!X$10</f>
        <v>15</v>
      </c>
      <c r="Y251" s="538">
        <f xml:space="preserve"> Time!Y$10</f>
        <v>16</v>
      </c>
      <c r="Z251" s="538">
        <f xml:space="preserve"> Time!Z$10</f>
        <v>17</v>
      </c>
      <c r="AA251" s="538">
        <f xml:space="preserve"> Time!AA$10</f>
        <v>18</v>
      </c>
      <c r="AB251" s="538">
        <f xml:space="preserve"> Time!AB$10</f>
        <v>19</v>
      </c>
      <c r="AC251" s="538">
        <f xml:space="preserve"> Time!AC$10</f>
        <v>20</v>
      </c>
      <c r="AD251" s="538">
        <f xml:space="preserve"> Time!AD$10</f>
        <v>21</v>
      </c>
      <c r="AE251" s="538">
        <f xml:space="preserve"> Time!AE$10</f>
        <v>22</v>
      </c>
      <c r="AF251" s="538">
        <f xml:space="preserve"> Time!AF$10</f>
        <v>23</v>
      </c>
      <c r="AG251" s="538">
        <f xml:space="preserve"> Time!AG$10</f>
        <v>24</v>
      </c>
      <c r="AH251" s="538">
        <f xml:space="preserve"> Time!AH$10</f>
        <v>25</v>
      </c>
      <c r="AI251" s="538">
        <f xml:space="preserve"> Time!AI$10</f>
        <v>26</v>
      </c>
      <c r="AJ251" s="538">
        <f xml:space="preserve"> Time!AJ$10</f>
        <v>27</v>
      </c>
      <c r="AK251" s="538">
        <f xml:space="preserve"> Time!AK$10</f>
        <v>28</v>
      </c>
      <c r="AL251" s="538">
        <f xml:space="preserve"> Time!AL$10</f>
        <v>29</v>
      </c>
      <c r="AM251" s="538">
        <f xml:space="preserve"> Time!AM$10</f>
        <v>30</v>
      </c>
      <c r="AN251" s="538">
        <f xml:space="preserve"> Time!AN$10</f>
        <v>31</v>
      </c>
      <c r="AO251" s="538">
        <f xml:space="preserve"> Time!AO$10</f>
        <v>32</v>
      </c>
      <c r="AP251" s="538">
        <f xml:space="preserve"> Time!AP$10</f>
        <v>33</v>
      </c>
      <c r="AQ251" s="538">
        <f xml:space="preserve"> Time!AQ$10</f>
        <v>34</v>
      </c>
      <c r="AR251" s="538">
        <f xml:space="preserve"> Time!AR$10</f>
        <v>35</v>
      </c>
      <c r="AS251" s="538">
        <f xml:space="preserve"> Time!AS$10</f>
        <v>36</v>
      </c>
      <c r="AT251" s="538">
        <f xml:space="preserve"> Time!AT$10</f>
        <v>37</v>
      </c>
      <c r="AU251" s="538">
        <f xml:space="preserve"> Time!AU$10</f>
        <v>38</v>
      </c>
      <c r="AV251" s="538">
        <f xml:space="preserve"> Time!AV$10</f>
        <v>39</v>
      </c>
      <c r="AW251" s="538">
        <f xml:space="preserve"> Time!AW$10</f>
        <v>40</v>
      </c>
      <c r="AX251" s="538">
        <f xml:space="preserve"> Time!AX$10</f>
        <v>41</v>
      </c>
      <c r="AY251" s="538">
        <f xml:space="preserve"> Time!AY$10</f>
        <v>42</v>
      </c>
      <c r="AZ251" s="538">
        <f xml:space="preserve"> Time!AZ$10</f>
        <v>43</v>
      </c>
      <c r="BA251" s="538">
        <f xml:space="preserve"> Time!BA$10</f>
        <v>44</v>
      </c>
      <c r="BB251" s="538">
        <f xml:space="preserve"> Time!BB$10</f>
        <v>45</v>
      </c>
      <c r="BC251" s="538">
        <f xml:space="preserve"> Time!BC$10</f>
        <v>46</v>
      </c>
      <c r="BD251" s="538">
        <f xml:space="preserve"> Time!BD$10</f>
        <v>47</v>
      </c>
      <c r="BE251" s="538">
        <f xml:space="preserve"> Time!BE$10</f>
        <v>48</v>
      </c>
    </row>
    <row r="252" spans="1:57" hidden="1" outlineLevel="1" x14ac:dyDescent="0.2">
      <c r="E252" s="186" t="str">
        <f xml:space="preserve"> ConTime!E$56</f>
        <v>Model ops period counter - m</v>
      </c>
      <c r="F252" s="186">
        <f xml:space="preserve"> ConTime!F$56</f>
        <v>0</v>
      </c>
      <c r="G252" s="186" t="str">
        <f xml:space="preserve"> ConTime!G$56</f>
        <v>counter</v>
      </c>
      <c r="H252" s="186">
        <f xml:space="preserve"> ConTime!H$56</f>
        <v>0</v>
      </c>
      <c r="I252" s="186">
        <f xml:space="preserve"> ConTime!I$56</f>
        <v>0</v>
      </c>
      <c r="J252" s="186">
        <f xml:space="preserve"> ConTime!J$56</f>
        <v>1</v>
      </c>
      <c r="K252" s="186">
        <f xml:space="preserve"> ConTime!K$56</f>
        <v>1</v>
      </c>
      <c r="L252" s="186">
        <f xml:space="preserve"> ConTime!L$56</f>
        <v>1</v>
      </c>
      <c r="M252" s="186">
        <f xml:space="preserve"> ConTime!M$56</f>
        <v>1</v>
      </c>
      <c r="N252" s="186">
        <f xml:space="preserve"> ConTime!N$56</f>
        <v>1</v>
      </c>
      <c r="O252" s="186">
        <f xml:space="preserve"> ConTime!O$56</f>
        <v>1</v>
      </c>
      <c r="P252" s="186">
        <f xml:space="preserve"> ConTime!P$56</f>
        <v>2</v>
      </c>
      <c r="Q252" s="186">
        <f xml:space="preserve"> ConTime!Q$56</f>
        <v>2</v>
      </c>
      <c r="R252" s="186">
        <f xml:space="preserve"> ConTime!R$56</f>
        <v>2</v>
      </c>
      <c r="S252" s="186">
        <f xml:space="preserve"> ConTime!S$56</f>
        <v>2</v>
      </c>
      <c r="T252" s="186">
        <f xml:space="preserve"> ConTime!T$56</f>
        <v>2</v>
      </c>
      <c r="U252" s="186">
        <f xml:space="preserve"> ConTime!U$56</f>
        <v>2</v>
      </c>
      <c r="V252" s="186">
        <f xml:space="preserve"> ConTime!V$56</f>
        <v>3</v>
      </c>
      <c r="W252" s="186">
        <f xml:space="preserve"> ConTime!W$56</f>
        <v>3</v>
      </c>
      <c r="X252" s="186">
        <f xml:space="preserve"> ConTime!X$56</f>
        <v>3</v>
      </c>
      <c r="Y252" s="186">
        <f xml:space="preserve"> ConTime!Y$56</f>
        <v>3</v>
      </c>
      <c r="Z252" s="186">
        <f xml:space="preserve"> ConTime!Z$56</f>
        <v>3</v>
      </c>
      <c r="AA252" s="186">
        <f xml:space="preserve"> ConTime!AA$56</f>
        <v>3</v>
      </c>
      <c r="AB252" s="186">
        <f xml:space="preserve"> ConTime!AB$56</f>
        <v>4</v>
      </c>
      <c r="AC252" s="186">
        <f xml:space="preserve"> ConTime!AC$56</f>
        <v>4</v>
      </c>
      <c r="AD252" s="186">
        <f xml:space="preserve"> ConTime!AD$56</f>
        <v>4</v>
      </c>
      <c r="AE252" s="186">
        <f xml:space="preserve"> ConTime!AE$56</f>
        <v>4</v>
      </c>
      <c r="AF252" s="186">
        <f xml:space="preserve"> ConTime!AF$56</f>
        <v>4</v>
      </c>
      <c r="AG252" s="186">
        <f xml:space="preserve"> ConTime!AG$56</f>
        <v>4</v>
      </c>
      <c r="AH252" s="186">
        <f xml:space="preserve"> ConTime!AH$56</f>
        <v>5</v>
      </c>
      <c r="AI252" s="186">
        <f xml:space="preserve"> ConTime!AI$56</f>
        <v>5</v>
      </c>
      <c r="AJ252" s="186">
        <f xml:space="preserve"> ConTime!AJ$56</f>
        <v>5</v>
      </c>
      <c r="AK252" s="186">
        <f xml:space="preserve"> ConTime!AK$56</f>
        <v>5</v>
      </c>
      <c r="AL252" s="186">
        <f xml:space="preserve"> ConTime!AL$56</f>
        <v>5</v>
      </c>
      <c r="AM252" s="186">
        <f xml:space="preserve"> ConTime!AM$56</f>
        <v>5</v>
      </c>
      <c r="AN252" s="186">
        <f xml:space="preserve"> ConTime!AN$56</f>
        <v>6</v>
      </c>
      <c r="AO252" s="186">
        <f xml:space="preserve"> ConTime!AO$56</f>
        <v>6</v>
      </c>
      <c r="AP252" s="186">
        <f xml:space="preserve"> ConTime!AP$56</f>
        <v>6</v>
      </c>
      <c r="AQ252" s="186">
        <f xml:space="preserve"> ConTime!AQ$56</f>
        <v>6</v>
      </c>
      <c r="AR252" s="186">
        <f xml:space="preserve"> ConTime!AR$56</f>
        <v>6</v>
      </c>
      <c r="AS252" s="186">
        <f xml:space="preserve"> ConTime!AS$56</f>
        <v>6</v>
      </c>
      <c r="AT252" s="186">
        <f xml:space="preserve"> ConTime!AT$56</f>
        <v>7</v>
      </c>
      <c r="AU252" s="186">
        <f xml:space="preserve"> ConTime!AU$56</f>
        <v>7</v>
      </c>
      <c r="AV252" s="186">
        <f xml:space="preserve"> ConTime!AV$56</f>
        <v>7</v>
      </c>
      <c r="AW252" s="186">
        <f xml:space="preserve"> ConTime!AW$56</f>
        <v>7</v>
      </c>
      <c r="AX252" s="186">
        <f xml:space="preserve"> ConTime!AX$56</f>
        <v>7</v>
      </c>
      <c r="AY252" s="186">
        <f xml:space="preserve"> ConTime!AY$56</f>
        <v>7</v>
      </c>
      <c r="AZ252" s="186">
        <f xml:space="preserve"> ConTime!AZ$56</f>
        <v>8</v>
      </c>
      <c r="BA252" s="186">
        <f xml:space="preserve"> ConTime!BA$56</f>
        <v>8</v>
      </c>
      <c r="BB252" s="186">
        <f xml:space="preserve"> ConTime!BB$56</f>
        <v>8</v>
      </c>
      <c r="BC252" s="186">
        <f xml:space="preserve"> ConTime!BC$56</f>
        <v>8</v>
      </c>
      <c r="BD252" s="186">
        <f xml:space="preserve"> ConTime!BD$56</f>
        <v>8</v>
      </c>
      <c r="BE252" s="186">
        <f xml:space="preserve"> ConTime!BE$56</f>
        <v>8</v>
      </c>
    </row>
    <row r="253" spans="1:57" hidden="1" outlineLevel="1" x14ac:dyDescent="0.2">
      <c r="E253" s="12" t="str">
        <f t="shared" ref="E253:AJ253" si="92" xml:space="preserve"> E$149</f>
        <v>Electricity generation revenue accrued - m</v>
      </c>
      <c r="F253" s="12">
        <f t="shared" si="92"/>
        <v>0</v>
      </c>
      <c r="G253" s="12" t="str">
        <f t="shared" si="92"/>
        <v>$ 000s</v>
      </c>
      <c r="H253" s="12">
        <f t="shared" si="92"/>
        <v>13930</v>
      </c>
      <c r="I253" s="12">
        <f t="shared" si="92"/>
        <v>0</v>
      </c>
      <c r="J253" s="12">
        <f t="shared" si="92"/>
        <v>0</v>
      </c>
      <c r="K253" s="12">
        <f t="shared" si="92"/>
        <v>0</v>
      </c>
      <c r="L253" s="12">
        <f t="shared" si="92"/>
        <v>0</v>
      </c>
      <c r="M253" s="12">
        <f t="shared" si="92"/>
        <v>0</v>
      </c>
      <c r="N253" s="12">
        <f t="shared" si="92"/>
        <v>0</v>
      </c>
      <c r="O253" s="12">
        <f t="shared" si="92"/>
        <v>0</v>
      </c>
      <c r="P253" s="12">
        <f t="shared" si="92"/>
        <v>0</v>
      </c>
      <c r="Q253" s="12">
        <f t="shared" si="92"/>
        <v>0</v>
      </c>
      <c r="R253" s="12">
        <f t="shared" si="92"/>
        <v>0</v>
      </c>
      <c r="S253" s="12">
        <f t="shared" si="92"/>
        <v>0</v>
      </c>
      <c r="T253" s="12">
        <f t="shared" si="92"/>
        <v>0</v>
      </c>
      <c r="U253" s="12">
        <f t="shared" si="92"/>
        <v>0</v>
      </c>
      <c r="V253" s="12">
        <f t="shared" si="92"/>
        <v>0</v>
      </c>
      <c r="W253" s="12">
        <f t="shared" si="92"/>
        <v>0</v>
      </c>
      <c r="X253" s="12">
        <f t="shared" si="92"/>
        <v>0</v>
      </c>
      <c r="Y253" s="12">
        <f t="shared" si="92"/>
        <v>0</v>
      </c>
      <c r="Z253" s="12">
        <f t="shared" si="92"/>
        <v>0</v>
      </c>
      <c r="AA253" s="12">
        <f t="shared" si="92"/>
        <v>0</v>
      </c>
      <c r="AB253" s="12">
        <f t="shared" si="92"/>
        <v>0</v>
      </c>
      <c r="AC253" s="12">
        <f t="shared" si="92"/>
        <v>0</v>
      </c>
      <c r="AD253" s="12">
        <f t="shared" si="92"/>
        <v>0</v>
      </c>
      <c r="AE253" s="12">
        <f t="shared" si="92"/>
        <v>0</v>
      </c>
      <c r="AF253" s="12">
        <f t="shared" si="92"/>
        <v>0</v>
      </c>
      <c r="AG253" s="12">
        <f t="shared" si="92"/>
        <v>1990</v>
      </c>
      <c r="AH253" s="12">
        <f t="shared" si="92"/>
        <v>1990</v>
      </c>
      <c r="AI253" s="12">
        <f t="shared" si="92"/>
        <v>1990</v>
      </c>
      <c r="AJ253" s="12">
        <f t="shared" si="92"/>
        <v>1990</v>
      </c>
      <c r="AK253" s="12">
        <f t="shared" ref="AK253:BE253" si="93" xml:space="preserve"> AK$149</f>
        <v>1990</v>
      </c>
      <c r="AL253" s="12">
        <f t="shared" si="93"/>
        <v>1990</v>
      </c>
      <c r="AM253" s="12">
        <f t="shared" si="93"/>
        <v>1990</v>
      </c>
      <c r="AN253" s="12">
        <f t="shared" si="93"/>
        <v>0</v>
      </c>
      <c r="AO253" s="12">
        <f t="shared" si="93"/>
        <v>0</v>
      </c>
      <c r="AP253" s="12">
        <f t="shared" si="93"/>
        <v>0</v>
      </c>
      <c r="AQ253" s="12">
        <f t="shared" si="93"/>
        <v>0</v>
      </c>
      <c r="AR253" s="12">
        <f t="shared" si="93"/>
        <v>0</v>
      </c>
      <c r="AS253" s="12">
        <f t="shared" si="93"/>
        <v>0</v>
      </c>
      <c r="AT253" s="12">
        <f t="shared" si="93"/>
        <v>0</v>
      </c>
      <c r="AU253" s="12">
        <f t="shared" si="93"/>
        <v>0</v>
      </c>
      <c r="AV253" s="12">
        <f t="shared" si="93"/>
        <v>0</v>
      </c>
      <c r="AW253" s="12">
        <f t="shared" si="93"/>
        <v>0</v>
      </c>
      <c r="AX253" s="12">
        <f t="shared" si="93"/>
        <v>0</v>
      </c>
      <c r="AY253" s="12">
        <f t="shared" si="93"/>
        <v>0</v>
      </c>
      <c r="AZ253" s="12">
        <f t="shared" si="93"/>
        <v>0</v>
      </c>
      <c r="BA253" s="12">
        <f t="shared" si="93"/>
        <v>0</v>
      </c>
      <c r="BB253" s="12">
        <f t="shared" si="93"/>
        <v>0</v>
      </c>
      <c r="BC253" s="12">
        <f t="shared" si="93"/>
        <v>0</v>
      </c>
      <c r="BD253" s="12">
        <f t="shared" si="93"/>
        <v>0</v>
      </c>
      <c r="BE253" s="12">
        <f t="shared" si="93"/>
        <v>0</v>
      </c>
    </row>
    <row r="254" spans="1:57" s="629" customFormat="1" hidden="1" outlineLevel="1" x14ac:dyDescent="0.2">
      <c r="A254" s="904"/>
      <c r="B254" s="904"/>
      <c r="C254" s="905"/>
      <c r="D254" s="906"/>
      <c r="E254" s="907" t="s">
        <v>750</v>
      </c>
      <c r="F254" s="907"/>
      <c r="G254" s="907" t="str">
        <f xml:space="preserve"> SMU</f>
        <v>$ 000s</v>
      </c>
      <c r="H254" s="907">
        <f xml:space="preserve"> SUM(J254:BE254)</f>
        <v>13930</v>
      </c>
      <c r="I254" s="908"/>
      <c r="J254" s="907">
        <f t="shared" ref="J254:BE254" si="94" xml:space="preserve"> SUMIF($J252:$BE252, J251, $J253:$BE253)</f>
        <v>0</v>
      </c>
      <c r="K254" s="907">
        <f t="shared" si="94"/>
        <v>0</v>
      </c>
      <c r="L254" s="907">
        <f t="shared" si="94"/>
        <v>0</v>
      </c>
      <c r="M254" s="907">
        <f t="shared" si="94"/>
        <v>1990</v>
      </c>
      <c r="N254" s="907">
        <f t="shared" si="94"/>
        <v>11940</v>
      </c>
      <c r="O254" s="907">
        <f t="shared" si="94"/>
        <v>0</v>
      </c>
      <c r="P254" s="907">
        <f t="shared" si="94"/>
        <v>0</v>
      </c>
      <c r="Q254" s="907">
        <f t="shared" si="94"/>
        <v>0</v>
      </c>
      <c r="R254" s="907">
        <f t="shared" si="94"/>
        <v>0</v>
      </c>
      <c r="S254" s="907">
        <f t="shared" si="94"/>
        <v>0</v>
      </c>
      <c r="T254" s="907">
        <f t="shared" si="94"/>
        <v>0</v>
      </c>
      <c r="U254" s="907">
        <f t="shared" si="94"/>
        <v>0</v>
      </c>
      <c r="V254" s="907">
        <f t="shared" si="94"/>
        <v>0</v>
      </c>
      <c r="W254" s="907">
        <f t="shared" si="94"/>
        <v>0</v>
      </c>
      <c r="X254" s="907">
        <f t="shared" si="94"/>
        <v>0</v>
      </c>
      <c r="Y254" s="907">
        <f t="shared" si="94"/>
        <v>0</v>
      </c>
      <c r="Z254" s="907">
        <f t="shared" si="94"/>
        <v>0</v>
      </c>
      <c r="AA254" s="907">
        <f t="shared" si="94"/>
        <v>0</v>
      </c>
      <c r="AB254" s="907">
        <f t="shared" si="94"/>
        <v>0</v>
      </c>
      <c r="AC254" s="907">
        <f t="shared" si="94"/>
        <v>0</v>
      </c>
      <c r="AD254" s="907">
        <f t="shared" si="94"/>
        <v>0</v>
      </c>
      <c r="AE254" s="907">
        <f t="shared" si="94"/>
        <v>0</v>
      </c>
      <c r="AF254" s="907">
        <f t="shared" si="94"/>
        <v>0</v>
      </c>
      <c r="AG254" s="907">
        <f t="shared" si="94"/>
        <v>0</v>
      </c>
      <c r="AH254" s="907">
        <f t="shared" si="94"/>
        <v>0</v>
      </c>
      <c r="AI254" s="907">
        <f t="shared" si="94"/>
        <v>0</v>
      </c>
      <c r="AJ254" s="907">
        <f t="shared" si="94"/>
        <v>0</v>
      </c>
      <c r="AK254" s="907">
        <f t="shared" si="94"/>
        <v>0</v>
      </c>
      <c r="AL254" s="907">
        <f t="shared" si="94"/>
        <v>0</v>
      </c>
      <c r="AM254" s="907">
        <f t="shared" si="94"/>
        <v>0</v>
      </c>
      <c r="AN254" s="907">
        <f t="shared" si="94"/>
        <v>0</v>
      </c>
      <c r="AO254" s="907">
        <f t="shared" si="94"/>
        <v>0</v>
      </c>
      <c r="AP254" s="907">
        <f t="shared" si="94"/>
        <v>0</v>
      </c>
      <c r="AQ254" s="907">
        <f t="shared" si="94"/>
        <v>0</v>
      </c>
      <c r="AR254" s="907">
        <f t="shared" si="94"/>
        <v>0</v>
      </c>
      <c r="AS254" s="907">
        <f t="shared" si="94"/>
        <v>0</v>
      </c>
      <c r="AT254" s="907">
        <f t="shared" si="94"/>
        <v>0</v>
      </c>
      <c r="AU254" s="907">
        <f t="shared" si="94"/>
        <v>0</v>
      </c>
      <c r="AV254" s="907">
        <f t="shared" si="94"/>
        <v>0</v>
      </c>
      <c r="AW254" s="907">
        <f t="shared" si="94"/>
        <v>0</v>
      </c>
      <c r="AX254" s="907">
        <f t="shared" si="94"/>
        <v>0</v>
      </c>
      <c r="AY254" s="907">
        <f t="shared" si="94"/>
        <v>0</v>
      </c>
      <c r="AZ254" s="907">
        <f t="shared" si="94"/>
        <v>0</v>
      </c>
      <c r="BA254" s="907">
        <f t="shared" si="94"/>
        <v>0</v>
      </c>
      <c r="BB254" s="907">
        <f t="shared" si="94"/>
        <v>0</v>
      </c>
      <c r="BC254" s="907">
        <f t="shared" si="94"/>
        <v>0</v>
      </c>
      <c r="BD254" s="907">
        <f t="shared" si="94"/>
        <v>0</v>
      </c>
      <c r="BE254" s="907">
        <f t="shared" si="94"/>
        <v>0</v>
      </c>
    </row>
    <row r="255" spans="1:57" hidden="1" outlineLevel="1" x14ac:dyDescent="0.2"/>
    <row r="256" spans="1:57" hidden="1" outlineLevel="1" x14ac:dyDescent="0.2">
      <c r="E256" s="538" t="str">
        <f xml:space="preserve"> Time!E$10</f>
        <v>Model column counter</v>
      </c>
      <c r="F256" s="538">
        <f xml:space="preserve"> Time!F$10</f>
        <v>0</v>
      </c>
      <c r="G256" s="538" t="str">
        <f xml:space="preserve"> Time!G$10</f>
        <v>counter</v>
      </c>
      <c r="H256" s="538">
        <f xml:space="preserve"> Time!H$10</f>
        <v>0</v>
      </c>
      <c r="I256" s="538">
        <f xml:space="preserve"> Time!I$10</f>
        <v>0</v>
      </c>
      <c r="J256" s="538">
        <f xml:space="preserve"> Time!J$10</f>
        <v>1</v>
      </c>
      <c r="K256" s="538">
        <f xml:space="preserve"> Time!K$10</f>
        <v>2</v>
      </c>
      <c r="L256" s="538">
        <f xml:space="preserve"> Time!L$10</f>
        <v>3</v>
      </c>
      <c r="M256" s="538">
        <f xml:space="preserve"> Time!M$10</f>
        <v>4</v>
      </c>
      <c r="N256" s="538">
        <f xml:space="preserve"> Time!N$10</f>
        <v>5</v>
      </c>
      <c r="O256" s="538">
        <f xml:space="preserve"> Time!O$10</f>
        <v>6</v>
      </c>
      <c r="P256" s="538">
        <f xml:space="preserve"> Time!P$10</f>
        <v>7</v>
      </c>
      <c r="Q256" s="538">
        <f xml:space="preserve"> Time!Q$10</f>
        <v>8</v>
      </c>
      <c r="R256" s="538">
        <f xml:space="preserve"> Time!R$10</f>
        <v>9</v>
      </c>
      <c r="S256" s="538">
        <f xml:space="preserve"> Time!S$10</f>
        <v>10</v>
      </c>
      <c r="T256" s="538">
        <f xml:space="preserve"> Time!T$10</f>
        <v>11</v>
      </c>
      <c r="U256" s="538">
        <f xml:space="preserve"> Time!U$10</f>
        <v>12</v>
      </c>
      <c r="V256" s="538">
        <f xml:space="preserve"> Time!V$10</f>
        <v>13</v>
      </c>
      <c r="W256" s="538">
        <f xml:space="preserve"> Time!W$10</f>
        <v>14</v>
      </c>
      <c r="X256" s="538">
        <f xml:space="preserve"> Time!X$10</f>
        <v>15</v>
      </c>
      <c r="Y256" s="538">
        <f xml:space="preserve"> Time!Y$10</f>
        <v>16</v>
      </c>
      <c r="Z256" s="538">
        <f xml:space="preserve"> Time!Z$10</f>
        <v>17</v>
      </c>
      <c r="AA256" s="538">
        <f xml:space="preserve"> Time!AA$10</f>
        <v>18</v>
      </c>
      <c r="AB256" s="538">
        <f xml:space="preserve"> Time!AB$10</f>
        <v>19</v>
      </c>
      <c r="AC256" s="538">
        <f xml:space="preserve"> Time!AC$10</f>
        <v>20</v>
      </c>
      <c r="AD256" s="538">
        <f xml:space="preserve"> Time!AD$10</f>
        <v>21</v>
      </c>
      <c r="AE256" s="538">
        <f xml:space="preserve"> Time!AE$10</f>
        <v>22</v>
      </c>
      <c r="AF256" s="538">
        <f xml:space="preserve"> Time!AF$10</f>
        <v>23</v>
      </c>
      <c r="AG256" s="538">
        <f xml:space="preserve"> Time!AG$10</f>
        <v>24</v>
      </c>
      <c r="AH256" s="538">
        <f xml:space="preserve"> Time!AH$10</f>
        <v>25</v>
      </c>
      <c r="AI256" s="538">
        <f xml:space="preserve"> Time!AI$10</f>
        <v>26</v>
      </c>
      <c r="AJ256" s="538">
        <f xml:space="preserve"> Time!AJ$10</f>
        <v>27</v>
      </c>
      <c r="AK256" s="538">
        <f xml:space="preserve"> Time!AK$10</f>
        <v>28</v>
      </c>
      <c r="AL256" s="538">
        <f xml:space="preserve"> Time!AL$10</f>
        <v>29</v>
      </c>
      <c r="AM256" s="538">
        <f xml:space="preserve"> Time!AM$10</f>
        <v>30</v>
      </c>
      <c r="AN256" s="538">
        <f xml:space="preserve"> Time!AN$10</f>
        <v>31</v>
      </c>
      <c r="AO256" s="538">
        <f xml:space="preserve"> Time!AO$10</f>
        <v>32</v>
      </c>
      <c r="AP256" s="538">
        <f xml:space="preserve"> Time!AP$10</f>
        <v>33</v>
      </c>
      <c r="AQ256" s="538">
        <f xml:space="preserve"> Time!AQ$10</f>
        <v>34</v>
      </c>
      <c r="AR256" s="538">
        <f xml:space="preserve"> Time!AR$10</f>
        <v>35</v>
      </c>
      <c r="AS256" s="538">
        <f xml:space="preserve"> Time!AS$10</f>
        <v>36</v>
      </c>
      <c r="AT256" s="538">
        <f xml:space="preserve"> Time!AT$10</f>
        <v>37</v>
      </c>
      <c r="AU256" s="538">
        <f xml:space="preserve"> Time!AU$10</f>
        <v>38</v>
      </c>
      <c r="AV256" s="538">
        <f xml:space="preserve"> Time!AV$10</f>
        <v>39</v>
      </c>
      <c r="AW256" s="538">
        <f xml:space="preserve"> Time!AW$10</f>
        <v>40</v>
      </c>
      <c r="AX256" s="538">
        <f xml:space="preserve"> Time!AX$10</f>
        <v>41</v>
      </c>
      <c r="AY256" s="538">
        <f xml:space="preserve"> Time!AY$10</f>
        <v>42</v>
      </c>
      <c r="AZ256" s="538">
        <f xml:space="preserve"> Time!AZ$10</f>
        <v>43</v>
      </c>
      <c r="BA256" s="538">
        <f xml:space="preserve"> Time!BA$10</f>
        <v>44</v>
      </c>
      <c r="BB256" s="538">
        <f xml:space="preserve"> Time!BB$10</f>
        <v>45</v>
      </c>
      <c r="BC256" s="538">
        <f xml:space="preserve"> Time!BC$10</f>
        <v>46</v>
      </c>
      <c r="BD256" s="538">
        <f xml:space="preserve"> Time!BD$10</f>
        <v>47</v>
      </c>
      <c r="BE256" s="538">
        <f xml:space="preserve"> Time!BE$10</f>
        <v>48</v>
      </c>
    </row>
    <row r="257" spans="1:57" hidden="1" outlineLevel="1" x14ac:dyDescent="0.2">
      <c r="E257" s="186" t="str">
        <f xml:space="preserve"> ConTime!E$56</f>
        <v>Model ops period counter - m</v>
      </c>
      <c r="F257" s="186">
        <f xml:space="preserve"> ConTime!F$56</f>
        <v>0</v>
      </c>
      <c r="G257" s="186" t="str">
        <f xml:space="preserve"> ConTime!G$56</f>
        <v>counter</v>
      </c>
      <c r="H257" s="186">
        <f xml:space="preserve"> ConTime!H$56</f>
        <v>0</v>
      </c>
      <c r="I257" s="186">
        <f xml:space="preserve"> ConTime!I$56</f>
        <v>0</v>
      </c>
      <c r="J257" s="186">
        <f xml:space="preserve"> ConTime!J$56</f>
        <v>1</v>
      </c>
      <c r="K257" s="186">
        <f xml:space="preserve"> ConTime!K$56</f>
        <v>1</v>
      </c>
      <c r="L257" s="186">
        <f xml:space="preserve"> ConTime!L$56</f>
        <v>1</v>
      </c>
      <c r="M257" s="186">
        <f xml:space="preserve"> ConTime!M$56</f>
        <v>1</v>
      </c>
      <c r="N257" s="186">
        <f xml:space="preserve"> ConTime!N$56</f>
        <v>1</v>
      </c>
      <c r="O257" s="186">
        <f xml:space="preserve"> ConTime!O$56</f>
        <v>1</v>
      </c>
      <c r="P257" s="186">
        <f xml:space="preserve"> ConTime!P$56</f>
        <v>2</v>
      </c>
      <c r="Q257" s="186">
        <f xml:space="preserve"> ConTime!Q$56</f>
        <v>2</v>
      </c>
      <c r="R257" s="186">
        <f xml:space="preserve"> ConTime!R$56</f>
        <v>2</v>
      </c>
      <c r="S257" s="186">
        <f xml:space="preserve"> ConTime!S$56</f>
        <v>2</v>
      </c>
      <c r="T257" s="186">
        <f xml:space="preserve"> ConTime!T$56</f>
        <v>2</v>
      </c>
      <c r="U257" s="186">
        <f xml:space="preserve"> ConTime!U$56</f>
        <v>2</v>
      </c>
      <c r="V257" s="186">
        <f xml:space="preserve"> ConTime!V$56</f>
        <v>3</v>
      </c>
      <c r="W257" s="186">
        <f xml:space="preserve"> ConTime!W$56</f>
        <v>3</v>
      </c>
      <c r="X257" s="186">
        <f xml:space="preserve"> ConTime!X$56</f>
        <v>3</v>
      </c>
      <c r="Y257" s="186">
        <f xml:space="preserve"> ConTime!Y$56</f>
        <v>3</v>
      </c>
      <c r="Z257" s="186">
        <f xml:space="preserve"> ConTime!Z$56</f>
        <v>3</v>
      </c>
      <c r="AA257" s="186">
        <f xml:space="preserve"> ConTime!AA$56</f>
        <v>3</v>
      </c>
      <c r="AB257" s="186">
        <f xml:space="preserve"> ConTime!AB$56</f>
        <v>4</v>
      </c>
      <c r="AC257" s="186">
        <f xml:space="preserve"> ConTime!AC$56</f>
        <v>4</v>
      </c>
      <c r="AD257" s="186">
        <f xml:space="preserve"> ConTime!AD$56</f>
        <v>4</v>
      </c>
      <c r="AE257" s="186">
        <f xml:space="preserve"> ConTime!AE$56</f>
        <v>4</v>
      </c>
      <c r="AF257" s="186">
        <f xml:space="preserve"> ConTime!AF$56</f>
        <v>4</v>
      </c>
      <c r="AG257" s="186">
        <f xml:space="preserve"> ConTime!AG$56</f>
        <v>4</v>
      </c>
      <c r="AH257" s="186">
        <f xml:space="preserve"> ConTime!AH$56</f>
        <v>5</v>
      </c>
      <c r="AI257" s="186">
        <f xml:space="preserve"> ConTime!AI$56</f>
        <v>5</v>
      </c>
      <c r="AJ257" s="186">
        <f xml:space="preserve"> ConTime!AJ$56</f>
        <v>5</v>
      </c>
      <c r="AK257" s="186">
        <f xml:space="preserve"> ConTime!AK$56</f>
        <v>5</v>
      </c>
      <c r="AL257" s="186">
        <f xml:space="preserve"> ConTime!AL$56</f>
        <v>5</v>
      </c>
      <c r="AM257" s="186">
        <f xml:space="preserve"> ConTime!AM$56</f>
        <v>5</v>
      </c>
      <c r="AN257" s="186">
        <f xml:space="preserve"> ConTime!AN$56</f>
        <v>6</v>
      </c>
      <c r="AO257" s="186">
        <f xml:space="preserve"> ConTime!AO$56</f>
        <v>6</v>
      </c>
      <c r="AP257" s="186">
        <f xml:space="preserve"> ConTime!AP$56</f>
        <v>6</v>
      </c>
      <c r="AQ257" s="186">
        <f xml:space="preserve"> ConTime!AQ$56</f>
        <v>6</v>
      </c>
      <c r="AR257" s="186">
        <f xml:space="preserve"> ConTime!AR$56</f>
        <v>6</v>
      </c>
      <c r="AS257" s="186">
        <f xml:space="preserve"> ConTime!AS$56</f>
        <v>6</v>
      </c>
      <c r="AT257" s="186">
        <f xml:space="preserve"> ConTime!AT$56</f>
        <v>7</v>
      </c>
      <c r="AU257" s="186">
        <f xml:space="preserve"> ConTime!AU$56</f>
        <v>7</v>
      </c>
      <c r="AV257" s="186">
        <f xml:space="preserve"> ConTime!AV$56</f>
        <v>7</v>
      </c>
      <c r="AW257" s="186">
        <f xml:space="preserve"> ConTime!AW$56</f>
        <v>7</v>
      </c>
      <c r="AX257" s="186">
        <f xml:space="preserve"> ConTime!AX$56</f>
        <v>7</v>
      </c>
      <c r="AY257" s="186">
        <f xml:space="preserve"> ConTime!AY$56</f>
        <v>7</v>
      </c>
      <c r="AZ257" s="186">
        <f xml:space="preserve"> ConTime!AZ$56</f>
        <v>8</v>
      </c>
      <c r="BA257" s="186">
        <f xml:space="preserve"> ConTime!BA$56</f>
        <v>8</v>
      </c>
      <c r="BB257" s="186">
        <f xml:space="preserve"> ConTime!BB$56</f>
        <v>8</v>
      </c>
      <c r="BC257" s="186">
        <f xml:space="preserve"> ConTime!BC$56</f>
        <v>8</v>
      </c>
      <c r="BD257" s="186">
        <f xml:space="preserve"> ConTime!BD$56</f>
        <v>8</v>
      </c>
      <c r="BE257" s="186">
        <f xml:space="preserve"> ConTime!BE$56</f>
        <v>8</v>
      </c>
    </row>
    <row r="258" spans="1:57" hidden="1" outlineLevel="1" x14ac:dyDescent="0.2">
      <c r="E258" s="12" t="str">
        <f t="shared" ref="E258:AJ258" si="95" xml:space="preserve"> E$154</f>
        <v>Electricity generation revenue received - m</v>
      </c>
      <c r="F258" s="12">
        <f t="shared" si="95"/>
        <v>0</v>
      </c>
      <c r="G258" s="12" t="str">
        <f t="shared" si="95"/>
        <v>$ 000s</v>
      </c>
      <c r="H258" s="12">
        <f t="shared" si="95"/>
        <v>13930</v>
      </c>
      <c r="I258" s="12">
        <f t="shared" si="95"/>
        <v>0</v>
      </c>
      <c r="J258" s="12">
        <f t="shared" si="95"/>
        <v>0</v>
      </c>
      <c r="K258" s="12">
        <f t="shared" si="95"/>
        <v>0</v>
      </c>
      <c r="L258" s="12">
        <f t="shared" si="95"/>
        <v>0</v>
      </c>
      <c r="M258" s="12">
        <f t="shared" si="95"/>
        <v>0</v>
      </c>
      <c r="N258" s="12">
        <f t="shared" si="95"/>
        <v>0</v>
      </c>
      <c r="O258" s="12">
        <f t="shared" si="95"/>
        <v>0</v>
      </c>
      <c r="P258" s="12">
        <f t="shared" si="95"/>
        <v>0</v>
      </c>
      <c r="Q258" s="12">
        <f t="shared" si="95"/>
        <v>0</v>
      </c>
      <c r="R258" s="12">
        <f t="shared" si="95"/>
        <v>0</v>
      </c>
      <c r="S258" s="12">
        <f t="shared" si="95"/>
        <v>0</v>
      </c>
      <c r="T258" s="12">
        <f t="shared" si="95"/>
        <v>0</v>
      </c>
      <c r="U258" s="12">
        <f t="shared" si="95"/>
        <v>0</v>
      </c>
      <c r="V258" s="12">
        <f t="shared" si="95"/>
        <v>0</v>
      </c>
      <c r="W258" s="12">
        <f t="shared" si="95"/>
        <v>0</v>
      </c>
      <c r="X258" s="12">
        <f t="shared" si="95"/>
        <v>0</v>
      </c>
      <c r="Y258" s="12">
        <f t="shared" si="95"/>
        <v>0</v>
      </c>
      <c r="Z258" s="12">
        <f t="shared" si="95"/>
        <v>0</v>
      </c>
      <c r="AA258" s="12">
        <f t="shared" si="95"/>
        <v>0</v>
      </c>
      <c r="AB258" s="12">
        <f t="shared" si="95"/>
        <v>0</v>
      </c>
      <c r="AC258" s="12">
        <f t="shared" si="95"/>
        <v>0</v>
      </c>
      <c r="AD258" s="12">
        <f t="shared" si="95"/>
        <v>0</v>
      </c>
      <c r="AE258" s="12">
        <f t="shared" si="95"/>
        <v>0</v>
      </c>
      <c r="AF258" s="12">
        <f t="shared" si="95"/>
        <v>0</v>
      </c>
      <c r="AG258" s="12">
        <f t="shared" si="95"/>
        <v>0</v>
      </c>
      <c r="AH258" s="12">
        <f t="shared" si="95"/>
        <v>1990</v>
      </c>
      <c r="AI258" s="12">
        <f t="shared" si="95"/>
        <v>1990</v>
      </c>
      <c r="AJ258" s="12">
        <f t="shared" si="95"/>
        <v>1990</v>
      </c>
      <c r="AK258" s="12">
        <f t="shared" ref="AK258:BE258" si="96" xml:space="preserve"> AK$154</f>
        <v>1990</v>
      </c>
      <c r="AL258" s="12">
        <f t="shared" si="96"/>
        <v>1990</v>
      </c>
      <c r="AM258" s="12">
        <f t="shared" si="96"/>
        <v>1990</v>
      </c>
      <c r="AN258" s="12">
        <f t="shared" si="96"/>
        <v>1990</v>
      </c>
      <c r="AO258" s="12">
        <f t="shared" si="96"/>
        <v>0</v>
      </c>
      <c r="AP258" s="12">
        <f t="shared" si="96"/>
        <v>0</v>
      </c>
      <c r="AQ258" s="12">
        <f t="shared" si="96"/>
        <v>0</v>
      </c>
      <c r="AR258" s="12">
        <f t="shared" si="96"/>
        <v>0</v>
      </c>
      <c r="AS258" s="12">
        <f t="shared" si="96"/>
        <v>0</v>
      </c>
      <c r="AT258" s="12">
        <f t="shared" si="96"/>
        <v>0</v>
      </c>
      <c r="AU258" s="12">
        <f t="shared" si="96"/>
        <v>0</v>
      </c>
      <c r="AV258" s="12">
        <f t="shared" si="96"/>
        <v>0</v>
      </c>
      <c r="AW258" s="12">
        <f t="shared" si="96"/>
        <v>0</v>
      </c>
      <c r="AX258" s="12">
        <f t="shared" si="96"/>
        <v>0</v>
      </c>
      <c r="AY258" s="12">
        <f t="shared" si="96"/>
        <v>0</v>
      </c>
      <c r="AZ258" s="12">
        <f t="shared" si="96"/>
        <v>0</v>
      </c>
      <c r="BA258" s="12">
        <f t="shared" si="96"/>
        <v>0</v>
      </c>
      <c r="BB258" s="12">
        <f t="shared" si="96"/>
        <v>0</v>
      </c>
      <c r="BC258" s="12">
        <f t="shared" si="96"/>
        <v>0</v>
      </c>
      <c r="BD258" s="12">
        <f t="shared" si="96"/>
        <v>0</v>
      </c>
      <c r="BE258" s="12">
        <f t="shared" si="96"/>
        <v>0</v>
      </c>
    </row>
    <row r="259" spans="1:57" s="629" customFormat="1" hidden="1" outlineLevel="1" x14ac:dyDescent="0.2">
      <c r="A259" s="904"/>
      <c r="B259" s="904"/>
      <c r="C259" s="905"/>
      <c r="D259" s="906"/>
      <c r="E259" s="907" t="s">
        <v>751</v>
      </c>
      <c r="F259" s="907"/>
      <c r="G259" s="907" t="str">
        <f xml:space="preserve"> SMU</f>
        <v>$ 000s</v>
      </c>
      <c r="H259" s="907">
        <f xml:space="preserve"> SUM(J259:BE259)</f>
        <v>13930</v>
      </c>
      <c r="I259" s="908"/>
      <c r="J259" s="907">
        <f t="shared" ref="J259:BE259" si="97" xml:space="preserve"> SUMIF($J257:$BE257, J256, $J258:$BE258)</f>
        <v>0</v>
      </c>
      <c r="K259" s="907">
        <f t="shared" si="97"/>
        <v>0</v>
      </c>
      <c r="L259" s="907">
        <f t="shared" si="97"/>
        <v>0</v>
      </c>
      <c r="M259" s="907">
        <f t="shared" si="97"/>
        <v>0</v>
      </c>
      <c r="N259" s="907">
        <f t="shared" si="97"/>
        <v>11940</v>
      </c>
      <c r="O259" s="907">
        <f t="shared" si="97"/>
        <v>1990</v>
      </c>
      <c r="P259" s="907">
        <f t="shared" si="97"/>
        <v>0</v>
      </c>
      <c r="Q259" s="907">
        <f t="shared" si="97"/>
        <v>0</v>
      </c>
      <c r="R259" s="907">
        <f t="shared" si="97"/>
        <v>0</v>
      </c>
      <c r="S259" s="907">
        <f t="shared" si="97"/>
        <v>0</v>
      </c>
      <c r="T259" s="907">
        <f t="shared" si="97"/>
        <v>0</v>
      </c>
      <c r="U259" s="907">
        <f t="shared" si="97"/>
        <v>0</v>
      </c>
      <c r="V259" s="907">
        <f t="shared" si="97"/>
        <v>0</v>
      </c>
      <c r="W259" s="907">
        <f t="shared" si="97"/>
        <v>0</v>
      </c>
      <c r="X259" s="907">
        <f t="shared" si="97"/>
        <v>0</v>
      </c>
      <c r="Y259" s="907">
        <f t="shared" si="97"/>
        <v>0</v>
      </c>
      <c r="Z259" s="907">
        <f t="shared" si="97"/>
        <v>0</v>
      </c>
      <c r="AA259" s="907">
        <f t="shared" si="97"/>
        <v>0</v>
      </c>
      <c r="AB259" s="907">
        <f t="shared" si="97"/>
        <v>0</v>
      </c>
      <c r="AC259" s="907">
        <f t="shared" si="97"/>
        <v>0</v>
      </c>
      <c r="AD259" s="907">
        <f t="shared" si="97"/>
        <v>0</v>
      </c>
      <c r="AE259" s="907">
        <f t="shared" si="97"/>
        <v>0</v>
      </c>
      <c r="AF259" s="907">
        <f t="shared" si="97"/>
        <v>0</v>
      </c>
      <c r="AG259" s="907">
        <f t="shared" si="97"/>
        <v>0</v>
      </c>
      <c r="AH259" s="907">
        <f t="shared" si="97"/>
        <v>0</v>
      </c>
      <c r="AI259" s="907">
        <f t="shared" si="97"/>
        <v>0</v>
      </c>
      <c r="AJ259" s="907">
        <f t="shared" si="97"/>
        <v>0</v>
      </c>
      <c r="AK259" s="907">
        <f t="shared" si="97"/>
        <v>0</v>
      </c>
      <c r="AL259" s="907">
        <f t="shared" si="97"/>
        <v>0</v>
      </c>
      <c r="AM259" s="907">
        <f t="shared" si="97"/>
        <v>0</v>
      </c>
      <c r="AN259" s="907">
        <f t="shared" si="97"/>
        <v>0</v>
      </c>
      <c r="AO259" s="907">
        <f t="shared" si="97"/>
        <v>0</v>
      </c>
      <c r="AP259" s="907">
        <f t="shared" si="97"/>
        <v>0</v>
      </c>
      <c r="AQ259" s="907">
        <f t="shared" si="97"/>
        <v>0</v>
      </c>
      <c r="AR259" s="907">
        <f t="shared" si="97"/>
        <v>0</v>
      </c>
      <c r="AS259" s="907">
        <f t="shared" si="97"/>
        <v>0</v>
      </c>
      <c r="AT259" s="907">
        <f t="shared" si="97"/>
        <v>0</v>
      </c>
      <c r="AU259" s="907">
        <f t="shared" si="97"/>
        <v>0</v>
      </c>
      <c r="AV259" s="907">
        <f t="shared" si="97"/>
        <v>0</v>
      </c>
      <c r="AW259" s="907">
        <f t="shared" si="97"/>
        <v>0</v>
      </c>
      <c r="AX259" s="907">
        <f t="shared" si="97"/>
        <v>0</v>
      </c>
      <c r="AY259" s="907">
        <f t="shared" si="97"/>
        <v>0</v>
      </c>
      <c r="AZ259" s="907">
        <f t="shared" si="97"/>
        <v>0</v>
      </c>
      <c r="BA259" s="907">
        <f t="shared" si="97"/>
        <v>0</v>
      </c>
      <c r="BB259" s="907">
        <f t="shared" si="97"/>
        <v>0</v>
      </c>
      <c r="BC259" s="907">
        <f t="shared" si="97"/>
        <v>0</v>
      </c>
      <c r="BD259" s="907">
        <f t="shared" si="97"/>
        <v>0</v>
      </c>
      <c r="BE259" s="907">
        <f t="shared" si="97"/>
        <v>0</v>
      </c>
    </row>
    <row r="260" spans="1:57" hidden="1" outlineLevel="1" x14ac:dyDescent="0.2"/>
    <row r="261" spans="1:57" hidden="1" outlineLevel="1" x14ac:dyDescent="0.2">
      <c r="E261" s="538" t="str">
        <f xml:space="preserve"> Time!E$10</f>
        <v>Model column counter</v>
      </c>
      <c r="F261" s="538">
        <f xml:space="preserve"> Time!F$10</f>
        <v>0</v>
      </c>
      <c r="G261" s="538" t="str">
        <f xml:space="preserve"> Time!G$10</f>
        <v>counter</v>
      </c>
      <c r="H261" s="538">
        <f xml:space="preserve"> Time!H$10</f>
        <v>0</v>
      </c>
      <c r="I261" s="538">
        <f xml:space="preserve"> Time!I$10</f>
        <v>0</v>
      </c>
      <c r="J261" s="538">
        <f xml:space="preserve"> Time!J$10</f>
        <v>1</v>
      </c>
      <c r="K261" s="538">
        <f xml:space="preserve"> Time!K$10</f>
        <v>2</v>
      </c>
      <c r="L261" s="538">
        <f xml:space="preserve"> Time!L$10</f>
        <v>3</v>
      </c>
      <c r="M261" s="538">
        <f xml:space="preserve"> Time!M$10</f>
        <v>4</v>
      </c>
      <c r="N261" s="538">
        <f xml:space="preserve"> Time!N$10</f>
        <v>5</v>
      </c>
      <c r="O261" s="538">
        <f xml:space="preserve"> Time!O$10</f>
        <v>6</v>
      </c>
      <c r="P261" s="538">
        <f xml:space="preserve"> Time!P$10</f>
        <v>7</v>
      </c>
      <c r="Q261" s="538">
        <f xml:space="preserve"> Time!Q$10</f>
        <v>8</v>
      </c>
      <c r="R261" s="538">
        <f xml:space="preserve"> Time!R$10</f>
        <v>9</v>
      </c>
      <c r="S261" s="538">
        <f xml:space="preserve"> Time!S$10</f>
        <v>10</v>
      </c>
      <c r="T261" s="538">
        <f xml:space="preserve"> Time!T$10</f>
        <v>11</v>
      </c>
      <c r="U261" s="538">
        <f xml:space="preserve"> Time!U$10</f>
        <v>12</v>
      </c>
      <c r="V261" s="538">
        <f xml:space="preserve"> Time!V$10</f>
        <v>13</v>
      </c>
      <c r="W261" s="538">
        <f xml:space="preserve"> Time!W$10</f>
        <v>14</v>
      </c>
      <c r="X261" s="538">
        <f xml:space="preserve"> Time!X$10</f>
        <v>15</v>
      </c>
      <c r="Y261" s="538">
        <f xml:space="preserve"> Time!Y$10</f>
        <v>16</v>
      </c>
      <c r="Z261" s="538">
        <f xml:space="preserve"> Time!Z$10</f>
        <v>17</v>
      </c>
      <c r="AA261" s="538">
        <f xml:space="preserve"> Time!AA$10</f>
        <v>18</v>
      </c>
      <c r="AB261" s="538">
        <f xml:space="preserve"> Time!AB$10</f>
        <v>19</v>
      </c>
      <c r="AC261" s="538">
        <f xml:space="preserve"> Time!AC$10</f>
        <v>20</v>
      </c>
      <c r="AD261" s="538">
        <f xml:space="preserve"> Time!AD$10</f>
        <v>21</v>
      </c>
      <c r="AE261" s="538">
        <f xml:space="preserve"> Time!AE$10</f>
        <v>22</v>
      </c>
      <c r="AF261" s="538">
        <f xml:space="preserve"> Time!AF$10</f>
        <v>23</v>
      </c>
      <c r="AG261" s="538">
        <f xml:space="preserve"> Time!AG$10</f>
        <v>24</v>
      </c>
      <c r="AH261" s="538">
        <f xml:space="preserve"> Time!AH$10</f>
        <v>25</v>
      </c>
      <c r="AI261" s="538">
        <f xml:space="preserve"> Time!AI$10</f>
        <v>26</v>
      </c>
      <c r="AJ261" s="538">
        <f xml:space="preserve"> Time!AJ$10</f>
        <v>27</v>
      </c>
      <c r="AK261" s="538">
        <f xml:space="preserve"> Time!AK$10</f>
        <v>28</v>
      </c>
      <c r="AL261" s="538">
        <f xml:space="preserve"> Time!AL$10</f>
        <v>29</v>
      </c>
      <c r="AM261" s="538">
        <f xml:space="preserve"> Time!AM$10</f>
        <v>30</v>
      </c>
      <c r="AN261" s="538">
        <f xml:space="preserve"> Time!AN$10</f>
        <v>31</v>
      </c>
      <c r="AO261" s="538">
        <f xml:space="preserve"> Time!AO$10</f>
        <v>32</v>
      </c>
      <c r="AP261" s="538">
        <f xml:space="preserve"> Time!AP$10</f>
        <v>33</v>
      </c>
      <c r="AQ261" s="538">
        <f xml:space="preserve"> Time!AQ$10</f>
        <v>34</v>
      </c>
      <c r="AR261" s="538">
        <f xml:space="preserve"> Time!AR$10</f>
        <v>35</v>
      </c>
      <c r="AS261" s="538">
        <f xml:space="preserve"> Time!AS$10</f>
        <v>36</v>
      </c>
      <c r="AT261" s="538">
        <f xml:space="preserve"> Time!AT$10</f>
        <v>37</v>
      </c>
      <c r="AU261" s="538">
        <f xml:space="preserve"> Time!AU$10</f>
        <v>38</v>
      </c>
      <c r="AV261" s="538">
        <f xml:space="preserve"> Time!AV$10</f>
        <v>39</v>
      </c>
      <c r="AW261" s="538">
        <f xml:space="preserve"> Time!AW$10</f>
        <v>40</v>
      </c>
      <c r="AX261" s="538">
        <f xml:space="preserve"> Time!AX$10</f>
        <v>41</v>
      </c>
      <c r="AY261" s="538">
        <f xml:space="preserve"> Time!AY$10</f>
        <v>42</v>
      </c>
      <c r="AZ261" s="538">
        <f xml:space="preserve"> Time!AZ$10</f>
        <v>43</v>
      </c>
      <c r="BA261" s="538">
        <f xml:space="preserve"> Time!BA$10</f>
        <v>44</v>
      </c>
      <c r="BB261" s="538">
        <f xml:space="preserve"> Time!BB$10</f>
        <v>45</v>
      </c>
      <c r="BC261" s="538">
        <f xml:space="preserve"> Time!BC$10</f>
        <v>46</v>
      </c>
      <c r="BD261" s="538">
        <f xml:space="preserve"> Time!BD$10</f>
        <v>47</v>
      </c>
      <c r="BE261" s="538">
        <f xml:space="preserve"> Time!BE$10</f>
        <v>48</v>
      </c>
    </row>
    <row r="262" spans="1:57" hidden="1" outlineLevel="1" x14ac:dyDescent="0.2">
      <c r="E262" s="186" t="str">
        <f xml:space="preserve"> ConTime!E$56</f>
        <v>Model ops period counter - m</v>
      </c>
      <c r="F262" s="186">
        <f xml:space="preserve"> ConTime!F$56</f>
        <v>0</v>
      </c>
      <c r="G262" s="186" t="str">
        <f xml:space="preserve"> ConTime!G$56</f>
        <v>counter</v>
      </c>
      <c r="H262" s="186">
        <f xml:space="preserve"> ConTime!H$56</f>
        <v>0</v>
      </c>
      <c r="I262" s="186">
        <f xml:space="preserve"> ConTime!I$56</f>
        <v>0</v>
      </c>
      <c r="J262" s="186">
        <f xml:space="preserve"> ConTime!J$56</f>
        <v>1</v>
      </c>
      <c r="K262" s="186">
        <f xml:space="preserve"> ConTime!K$56</f>
        <v>1</v>
      </c>
      <c r="L262" s="186">
        <f xml:space="preserve"> ConTime!L$56</f>
        <v>1</v>
      </c>
      <c r="M262" s="186">
        <f xml:space="preserve"> ConTime!M$56</f>
        <v>1</v>
      </c>
      <c r="N262" s="186">
        <f xml:space="preserve"> ConTime!N$56</f>
        <v>1</v>
      </c>
      <c r="O262" s="186">
        <f xml:space="preserve"> ConTime!O$56</f>
        <v>1</v>
      </c>
      <c r="P262" s="186">
        <f xml:space="preserve"> ConTime!P$56</f>
        <v>2</v>
      </c>
      <c r="Q262" s="186">
        <f xml:space="preserve"> ConTime!Q$56</f>
        <v>2</v>
      </c>
      <c r="R262" s="186">
        <f xml:space="preserve"> ConTime!R$56</f>
        <v>2</v>
      </c>
      <c r="S262" s="186">
        <f xml:space="preserve"> ConTime!S$56</f>
        <v>2</v>
      </c>
      <c r="T262" s="186">
        <f xml:space="preserve"> ConTime!T$56</f>
        <v>2</v>
      </c>
      <c r="U262" s="186">
        <f xml:space="preserve"> ConTime!U$56</f>
        <v>2</v>
      </c>
      <c r="V262" s="186">
        <f xml:space="preserve"> ConTime!V$56</f>
        <v>3</v>
      </c>
      <c r="W262" s="186">
        <f xml:space="preserve"> ConTime!W$56</f>
        <v>3</v>
      </c>
      <c r="X262" s="186">
        <f xml:space="preserve"> ConTime!X$56</f>
        <v>3</v>
      </c>
      <c r="Y262" s="186">
        <f xml:space="preserve"> ConTime!Y$56</f>
        <v>3</v>
      </c>
      <c r="Z262" s="186">
        <f xml:space="preserve"> ConTime!Z$56</f>
        <v>3</v>
      </c>
      <c r="AA262" s="186">
        <f xml:space="preserve"> ConTime!AA$56</f>
        <v>3</v>
      </c>
      <c r="AB262" s="186">
        <f xml:space="preserve"> ConTime!AB$56</f>
        <v>4</v>
      </c>
      <c r="AC262" s="186">
        <f xml:space="preserve"> ConTime!AC$56</f>
        <v>4</v>
      </c>
      <c r="AD262" s="186">
        <f xml:space="preserve"> ConTime!AD$56</f>
        <v>4</v>
      </c>
      <c r="AE262" s="186">
        <f xml:space="preserve"> ConTime!AE$56</f>
        <v>4</v>
      </c>
      <c r="AF262" s="186">
        <f xml:space="preserve"> ConTime!AF$56</f>
        <v>4</v>
      </c>
      <c r="AG262" s="186">
        <f xml:space="preserve"> ConTime!AG$56</f>
        <v>4</v>
      </c>
      <c r="AH262" s="186">
        <f xml:space="preserve"> ConTime!AH$56</f>
        <v>5</v>
      </c>
      <c r="AI262" s="186">
        <f xml:space="preserve"> ConTime!AI$56</f>
        <v>5</v>
      </c>
      <c r="AJ262" s="186">
        <f xml:space="preserve"> ConTime!AJ$56</f>
        <v>5</v>
      </c>
      <c r="AK262" s="186">
        <f xml:space="preserve"> ConTime!AK$56</f>
        <v>5</v>
      </c>
      <c r="AL262" s="186">
        <f xml:space="preserve"> ConTime!AL$56</f>
        <v>5</v>
      </c>
      <c r="AM262" s="186">
        <f xml:space="preserve"> ConTime!AM$56</f>
        <v>5</v>
      </c>
      <c r="AN262" s="186">
        <f xml:space="preserve"> ConTime!AN$56</f>
        <v>6</v>
      </c>
      <c r="AO262" s="186">
        <f xml:space="preserve"> ConTime!AO$56</f>
        <v>6</v>
      </c>
      <c r="AP262" s="186">
        <f xml:space="preserve"> ConTime!AP$56</f>
        <v>6</v>
      </c>
      <c r="AQ262" s="186">
        <f xml:space="preserve"> ConTime!AQ$56</f>
        <v>6</v>
      </c>
      <c r="AR262" s="186">
        <f xml:space="preserve"> ConTime!AR$56</f>
        <v>6</v>
      </c>
      <c r="AS262" s="186">
        <f xml:space="preserve"> ConTime!AS$56</f>
        <v>6</v>
      </c>
      <c r="AT262" s="186">
        <f xml:space="preserve"> ConTime!AT$56</f>
        <v>7</v>
      </c>
      <c r="AU262" s="186">
        <f xml:space="preserve"> ConTime!AU$56</f>
        <v>7</v>
      </c>
      <c r="AV262" s="186">
        <f xml:space="preserve"> ConTime!AV$56</f>
        <v>7</v>
      </c>
      <c r="AW262" s="186">
        <f xml:space="preserve"> ConTime!AW$56</f>
        <v>7</v>
      </c>
      <c r="AX262" s="186">
        <f xml:space="preserve"> ConTime!AX$56</f>
        <v>7</v>
      </c>
      <c r="AY262" s="186">
        <f xml:space="preserve"> ConTime!AY$56</f>
        <v>7</v>
      </c>
      <c r="AZ262" s="186">
        <f xml:space="preserve"> ConTime!AZ$56</f>
        <v>8</v>
      </c>
      <c r="BA262" s="186">
        <f xml:space="preserve"> ConTime!BA$56</f>
        <v>8</v>
      </c>
      <c r="BB262" s="186">
        <f xml:space="preserve"> ConTime!BB$56</f>
        <v>8</v>
      </c>
      <c r="BC262" s="186">
        <f xml:space="preserve"> ConTime!BC$56</f>
        <v>8</v>
      </c>
      <c r="BD262" s="186">
        <f xml:space="preserve"> ConTime!BD$56</f>
        <v>8</v>
      </c>
      <c r="BE262" s="186">
        <f xml:space="preserve"> ConTime!BE$56</f>
        <v>8</v>
      </c>
    </row>
    <row r="263" spans="1:57" hidden="1" outlineLevel="1" x14ac:dyDescent="0.2">
      <c r="E263" s="12" t="str">
        <f t="shared" ref="E263:AJ263" si="98" xml:space="preserve"> E$194</f>
        <v>Early generation costs accrued - m</v>
      </c>
      <c r="F263" s="12">
        <f t="shared" si="98"/>
        <v>0</v>
      </c>
      <c r="G263" s="12" t="str">
        <f t="shared" si="98"/>
        <v>$ 000s</v>
      </c>
      <c r="H263" s="12">
        <f t="shared" si="98"/>
        <v>0</v>
      </c>
      <c r="I263" s="12">
        <f t="shared" si="98"/>
        <v>0</v>
      </c>
      <c r="J263" s="12">
        <f t="shared" si="98"/>
        <v>0</v>
      </c>
      <c r="K263" s="12">
        <f t="shared" si="98"/>
        <v>0</v>
      </c>
      <c r="L263" s="12">
        <f t="shared" si="98"/>
        <v>0</v>
      </c>
      <c r="M263" s="12">
        <f t="shared" si="98"/>
        <v>0</v>
      </c>
      <c r="N263" s="12">
        <f t="shared" si="98"/>
        <v>0</v>
      </c>
      <c r="O263" s="12">
        <f t="shared" si="98"/>
        <v>0</v>
      </c>
      <c r="P263" s="12">
        <f t="shared" si="98"/>
        <v>0</v>
      </c>
      <c r="Q263" s="12">
        <f t="shared" si="98"/>
        <v>0</v>
      </c>
      <c r="R263" s="12">
        <f t="shared" si="98"/>
        <v>0</v>
      </c>
      <c r="S263" s="12">
        <f t="shared" si="98"/>
        <v>0</v>
      </c>
      <c r="T263" s="12">
        <f t="shared" si="98"/>
        <v>0</v>
      </c>
      <c r="U263" s="12">
        <f t="shared" si="98"/>
        <v>0</v>
      </c>
      <c r="V263" s="12">
        <f t="shared" si="98"/>
        <v>0</v>
      </c>
      <c r="W263" s="12">
        <f t="shared" si="98"/>
        <v>0</v>
      </c>
      <c r="X263" s="12">
        <f t="shared" si="98"/>
        <v>0</v>
      </c>
      <c r="Y263" s="12">
        <f t="shared" si="98"/>
        <v>0</v>
      </c>
      <c r="Z263" s="12">
        <f t="shared" si="98"/>
        <v>0</v>
      </c>
      <c r="AA263" s="12">
        <f t="shared" si="98"/>
        <v>0</v>
      </c>
      <c r="AB263" s="12">
        <f t="shared" si="98"/>
        <v>0</v>
      </c>
      <c r="AC263" s="12">
        <f t="shared" si="98"/>
        <v>0</v>
      </c>
      <c r="AD263" s="12">
        <f t="shared" si="98"/>
        <v>0</v>
      </c>
      <c r="AE263" s="12">
        <f t="shared" si="98"/>
        <v>0</v>
      </c>
      <c r="AF263" s="12">
        <f t="shared" si="98"/>
        <v>0</v>
      </c>
      <c r="AG263" s="12">
        <f t="shared" si="98"/>
        <v>0</v>
      </c>
      <c r="AH263" s="12">
        <f t="shared" si="98"/>
        <v>0</v>
      </c>
      <c r="AI263" s="12">
        <f t="shared" si="98"/>
        <v>0</v>
      </c>
      <c r="AJ263" s="12">
        <f t="shared" si="98"/>
        <v>0</v>
      </c>
      <c r="AK263" s="12">
        <f t="shared" ref="AK263:BE263" si="99" xml:space="preserve"> AK$194</f>
        <v>0</v>
      </c>
      <c r="AL263" s="12">
        <f t="shared" si="99"/>
        <v>0</v>
      </c>
      <c r="AM263" s="12">
        <f t="shared" si="99"/>
        <v>0</v>
      </c>
      <c r="AN263" s="12">
        <f t="shared" si="99"/>
        <v>0</v>
      </c>
      <c r="AO263" s="12">
        <f t="shared" si="99"/>
        <v>0</v>
      </c>
      <c r="AP263" s="12">
        <f t="shared" si="99"/>
        <v>0</v>
      </c>
      <c r="AQ263" s="12">
        <f t="shared" si="99"/>
        <v>0</v>
      </c>
      <c r="AR263" s="12">
        <f t="shared" si="99"/>
        <v>0</v>
      </c>
      <c r="AS263" s="12">
        <f t="shared" si="99"/>
        <v>0</v>
      </c>
      <c r="AT263" s="12">
        <f t="shared" si="99"/>
        <v>0</v>
      </c>
      <c r="AU263" s="12">
        <f t="shared" si="99"/>
        <v>0</v>
      </c>
      <c r="AV263" s="12">
        <f t="shared" si="99"/>
        <v>0</v>
      </c>
      <c r="AW263" s="12">
        <f t="shared" si="99"/>
        <v>0</v>
      </c>
      <c r="AX263" s="12">
        <f t="shared" si="99"/>
        <v>0</v>
      </c>
      <c r="AY263" s="12">
        <f t="shared" si="99"/>
        <v>0</v>
      </c>
      <c r="AZ263" s="12">
        <f t="shared" si="99"/>
        <v>0</v>
      </c>
      <c r="BA263" s="12">
        <f t="shared" si="99"/>
        <v>0</v>
      </c>
      <c r="BB263" s="12">
        <f t="shared" si="99"/>
        <v>0</v>
      </c>
      <c r="BC263" s="12">
        <f t="shared" si="99"/>
        <v>0</v>
      </c>
      <c r="BD263" s="12">
        <f t="shared" si="99"/>
        <v>0</v>
      </c>
      <c r="BE263" s="12">
        <f t="shared" si="99"/>
        <v>0</v>
      </c>
    </row>
    <row r="264" spans="1:57" s="629" customFormat="1" hidden="1" outlineLevel="1" x14ac:dyDescent="0.2">
      <c r="A264" s="904"/>
      <c r="B264" s="904"/>
      <c r="C264" s="905"/>
      <c r="D264" s="906"/>
      <c r="E264" s="907" t="s">
        <v>757</v>
      </c>
      <c r="F264" s="907"/>
      <c r="G264" s="907" t="str">
        <f xml:space="preserve"> SMU</f>
        <v>$ 000s</v>
      </c>
      <c r="H264" s="907">
        <f xml:space="preserve"> SUM(J264:BE264)</f>
        <v>0</v>
      </c>
      <c r="I264" s="908"/>
      <c r="J264" s="907">
        <f t="shared" ref="J264:BE264" si="100" xml:space="preserve"> SUMIF($J262:$BE262, J261, $J263:$BE263)</f>
        <v>0</v>
      </c>
      <c r="K264" s="907">
        <f t="shared" si="100"/>
        <v>0</v>
      </c>
      <c r="L264" s="907">
        <f t="shared" si="100"/>
        <v>0</v>
      </c>
      <c r="M264" s="907">
        <f t="shared" si="100"/>
        <v>0</v>
      </c>
      <c r="N264" s="907">
        <f t="shared" si="100"/>
        <v>0</v>
      </c>
      <c r="O264" s="907">
        <f t="shared" si="100"/>
        <v>0</v>
      </c>
      <c r="P264" s="907">
        <f t="shared" si="100"/>
        <v>0</v>
      </c>
      <c r="Q264" s="907">
        <f t="shared" si="100"/>
        <v>0</v>
      </c>
      <c r="R264" s="907">
        <f t="shared" si="100"/>
        <v>0</v>
      </c>
      <c r="S264" s="907">
        <f t="shared" si="100"/>
        <v>0</v>
      </c>
      <c r="T264" s="907">
        <f t="shared" si="100"/>
        <v>0</v>
      </c>
      <c r="U264" s="907">
        <f t="shared" si="100"/>
        <v>0</v>
      </c>
      <c r="V264" s="907">
        <f t="shared" si="100"/>
        <v>0</v>
      </c>
      <c r="W264" s="907">
        <f t="shared" si="100"/>
        <v>0</v>
      </c>
      <c r="X264" s="907">
        <f t="shared" si="100"/>
        <v>0</v>
      </c>
      <c r="Y264" s="907">
        <f t="shared" si="100"/>
        <v>0</v>
      </c>
      <c r="Z264" s="907">
        <f t="shared" si="100"/>
        <v>0</v>
      </c>
      <c r="AA264" s="907">
        <f t="shared" si="100"/>
        <v>0</v>
      </c>
      <c r="AB264" s="907">
        <f t="shared" si="100"/>
        <v>0</v>
      </c>
      <c r="AC264" s="907">
        <f t="shared" si="100"/>
        <v>0</v>
      </c>
      <c r="AD264" s="907">
        <f t="shared" si="100"/>
        <v>0</v>
      </c>
      <c r="AE264" s="907">
        <f t="shared" si="100"/>
        <v>0</v>
      </c>
      <c r="AF264" s="907">
        <f t="shared" si="100"/>
        <v>0</v>
      </c>
      <c r="AG264" s="907">
        <f t="shared" si="100"/>
        <v>0</v>
      </c>
      <c r="AH264" s="907">
        <f t="shared" si="100"/>
        <v>0</v>
      </c>
      <c r="AI264" s="907">
        <f t="shared" si="100"/>
        <v>0</v>
      </c>
      <c r="AJ264" s="907">
        <f t="shared" si="100"/>
        <v>0</v>
      </c>
      <c r="AK264" s="907">
        <f t="shared" si="100"/>
        <v>0</v>
      </c>
      <c r="AL264" s="907">
        <f t="shared" si="100"/>
        <v>0</v>
      </c>
      <c r="AM264" s="907">
        <f t="shared" si="100"/>
        <v>0</v>
      </c>
      <c r="AN264" s="907">
        <f t="shared" si="100"/>
        <v>0</v>
      </c>
      <c r="AO264" s="907">
        <f t="shared" si="100"/>
        <v>0</v>
      </c>
      <c r="AP264" s="907">
        <f t="shared" si="100"/>
        <v>0</v>
      </c>
      <c r="AQ264" s="907">
        <f t="shared" si="100"/>
        <v>0</v>
      </c>
      <c r="AR264" s="907">
        <f t="shared" si="100"/>
        <v>0</v>
      </c>
      <c r="AS264" s="907">
        <f t="shared" si="100"/>
        <v>0</v>
      </c>
      <c r="AT264" s="907">
        <f t="shared" si="100"/>
        <v>0</v>
      </c>
      <c r="AU264" s="907">
        <f t="shared" si="100"/>
        <v>0</v>
      </c>
      <c r="AV264" s="907">
        <f t="shared" si="100"/>
        <v>0</v>
      </c>
      <c r="AW264" s="907">
        <f t="shared" si="100"/>
        <v>0</v>
      </c>
      <c r="AX264" s="907">
        <f t="shared" si="100"/>
        <v>0</v>
      </c>
      <c r="AY264" s="907">
        <f t="shared" si="100"/>
        <v>0</v>
      </c>
      <c r="AZ264" s="907">
        <f t="shared" si="100"/>
        <v>0</v>
      </c>
      <c r="BA264" s="907">
        <f t="shared" si="100"/>
        <v>0</v>
      </c>
      <c r="BB264" s="907">
        <f t="shared" si="100"/>
        <v>0</v>
      </c>
      <c r="BC264" s="907">
        <f t="shared" si="100"/>
        <v>0</v>
      </c>
      <c r="BD264" s="907">
        <f t="shared" si="100"/>
        <v>0</v>
      </c>
      <c r="BE264" s="907">
        <f t="shared" si="100"/>
        <v>0</v>
      </c>
    </row>
    <row r="265" spans="1:57" hidden="1" outlineLevel="1" x14ac:dyDescent="0.2"/>
    <row r="266" spans="1:57" hidden="1" outlineLevel="1" x14ac:dyDescent="0.2">
      <c r="E266" s="538" t="str">
        <f xml:space="preserve"> Time!E$10</f>
        <v>Model column counter</v>
      </c>
      <c r="F266" s="538">
        <f xml:space="preserve"> Time!F$10</f>
        <v>0</v>
      </c>
      <c r="G266" s="538" t="str">
        <f xml:space="preserve"> Time!G$10</f>
        <v>counter</v>
      </c>
      <c r="H266" s="538">
        <f xml:space="preserve"> Time!H$10</f>
        <v>0</v>
      </c>
      <c r="I266" s="538">
        <f xml:space="preserve"> Time!I$10</f>
        <v>0</v>
      </c>
      <c r="J266" s="538">
        <f xml:space="preserve"> Time!J$10</f>
        <v>1</v>
      </c>
      <c r="K266" s="538">
        <f xml:space="preserve"> Time!K$10</f>
        <v>2</v>
      </c>
      <c r="L266" s="538">
        <f xml:space="preserve"> Time!L$10</f>
        <v>3</v>
      </c>
      <c r="M266" s="538">
        <f xml:space="preserve"> Time!M$10</f>
        <v>4</v>
      </c>
      <c r="N266" s="538">
        <f xml:space="preserve"> Time!N$10</f>
        <v>5</v>
      </c>
      <c r="O266" s="538">
        <f xml:space="preserve"> Time!O$10</f>
        <v>6</v>
      </c>
      <c r="P266" s="538">
        <f xml:space="preserve"> Time!P$10</f>
        <v>7</v>
      </c>
      <c r="Q266" s="538">
        <f xml:space="preserve"> Time!Q$10</f>
        <v>8</v>
      </c>
      <c r="R266" s="538">
        <f xml:space="preserve"> Time!R$10</f>
        <v>9</v>
      </c>
      <c r="S266" s="538">
        <f xml:space="preserve"> Time!S$10</f>
        <v>10</v>
      </c>
      <c r="T266" s="538">
        <f xml:space="preserve"> Time!T$10</f>
        <v>11</v>
      </c>
      <c r="U266" s="538">
        <f xml:space="preserve"> Time!U$10</f>
        <v>12</v>
      </c>
      <c r="V266" s="538">
        <f xml:space="preserve"> Time!V$10</f>
        <v>13</v>
      </c>
      <c r="W266" s="538">
        <f xml:space="preserve"> Time!W$10</f>
        <v>14</v>
      </c>
      <c r="X266" s="538">
        <f xml:space="preserve"> Time!X$10</f>
        <v>15</v>
      </c>
      <c r="Y266" s="538">
        <f xml:space="preserve"> Time!Y$10</f>
        <v>16</v>
      </c>
      <c r="Z266" s="538">
        <f xml:space="preserve"> Time!Z$10</f>
        <v>17</v>
      </c>
      <c r="AA266" s="538">
        <f xml:space="preserve"> Time!AA$10</f>
        <v>18</v>
      </c>
      <c r="AB266" s="538">
        <f xml:space="preserve"> Time!AB$10</f>
        <v>19</v>
      </c>
      <c r="AC266" s="538">
        <f xml:space="preserve"> Time!AC$10</f>
        <v>20</v>
      </c>
      <c r="AD266" s="538">
        <f xml:space="preserve"> Time!AD$10</f>
        <v>21</v>
      </c>
      <c r="AE266" s="538">
        <f xml:space="preserve"> Time!AE$10</f>
        <v>22</v>
      </c>
      <c r="AF266" s="538">
        <f xml:space="preserve"> Time!AF$10</f>
        <v>23</v>
      </c>
      <c r="AG266" s="538">
        <f xml:space="preserve"> Time!AG$10</f>
        <v>24</v>
      </c>
      <c r="AH266" s="538">
        <f xml:space="preserve"> Time!AH$10</f>
        <v>25</v>
      </c>
      <c r="AI266" s="538">
        <f xml:space="preserve"> Time!AI$10</f>
        <v>26</v>
      </c>
      <c r="AJ266" s="538">
        <f xml:space="preserve"> Time!AJ$10</f>
        <v>27</v>
      </c>
      <c r="AK266" s="538">
        <f xml:space="preserve"> Time!AK$10</f>
        <v>28</v>
      </c>
      <c r="AL266" s="538">
        <f xml:space="preserve"> Time!AL$10</f>
        <v>29</v>
      </c>
      <c r="AM266" s="538">
        <f xml:space="preserve"> Time!AM$10</f>
        <v>30</v>
      </c>
      <c r="AN266" s="538">
        <f xml:space="preserve"> Time!AN$10</f>
        <v>31</v>
      </c>
      <c r="AO266" s="538">
        <f xml:space="preserve"> Time!AO$10</f>
        <v>32</v>
      </c>
      <c r="AP266" s="538">
        <f xml:space="preserve"> Time!AP$10</f>
        <v>33</v>
      </c>
      <c r="AQ266" s="538">
        <f xml:space="preserve"> Time!AQ$10</f>
        <v>34</v>
      </c>
      <c r="AR266" s="538">
        <f xml:space="preserve"> Time!AR$10</f>
        <v>35</v>
      </c>
      <c r="AS266" s="538">
        <f xml:space="preserve"> Time!AS$10</f>
        <v>36</v>
      </c>
      <c r="AT266" s="538">
        <f xml:space="preserve"> Time!AT$10</f>
        <v>37</v>
      </c>
      <c r="AU266" s="538">
        <f xml:space="preserve"> Time!AU$10</f>
        <v>38</v>
      </c>
      <c r="AV266" s="538">
        <f xml:space="preserve"> Time!AV$10</f>
        <v>39</v>
      </c>
      <c r="AW266" s="538">
        <f xml:space="preserve"> Time!AW$10</f>
        <v>40</v>
      </c>
      <c r="AX266" s="538">
        <f xml:space="preserve"> Time!AX$10</f>
        <v>41</v>
      </c>
      <c r="AY266" s="538">
        <f xml:space="preserve"> Time!AY$10</f>
        <v>42</v>
      </c>
      <c r="AZ266" s="538">
        <f xml:space="preserve"> Time!AZ$10</f>
        <v>43</v>
      </c>
      <c r="BA266" s="538">
        <f xml:space="preserve"> Time!BA$10</f>
        <v>44</v>
      </c>
      <c r="BB266" s="538">
        <f xml:space="preserve"> Time!BB$10</f>
        <v>45</v>
      </c>
      <c r="BC266" s="538">
        <f xml:space="preserve"> Time!BC$10</f>
        <v>46</v>
      </c>
      <c r="BD266" s="538">
        <f xml:space="preserve"> Time!BD$10</f>
        <v>47</v>
      </c>
      <c r="BE266" s="538">
        <f xml:space="preserve"> Time!BE$10</f>
        <v>48</v>
      </c>
    </row>
    <row r="267" spans="1:57" hidden="1" outlineLevel="1" x14ac:dyDescent="0.2">
      <c r="E267" s="186" t="str">
        <f xml:space="preserve"> ConTime!E$56</f>
        <v>Model ops period counter - m</v>
      </c>
      <c r="F267" s="186">
        <f xml:space="preserve"> ConTime!F$56</f>
        <v>0</v>
      </c>
      <c r="G267" s="186" t="str">
        <f xml:space="preserve"> ConTime!G$56</f>
        <v>counter</v>
      </c>
      <c r="H267" s="186">
        <f xml:space="preserve"> ConTime!H$56</f>
        <v>0</v>
      </c>
      <c r="I267" s="186">
        <f xml:space="preserve"> ConTime!I$56</f>
        <v>0</v>
      </c>
      <c r="J267" s="186">
        <f xml:space="preserve"> ConTime!J$56</f>
        <v>1</v>
      </c>
      <c r="K267" s="186">
        <f xml:space="preserve"> ConTime!K$56</f>
        <v>1</v>
      </c>
      <c r="L267" s="186">
        <f xml:space="preserve"> ConTime!L$56</f>
        <v>1</v>
      </c>
      <c r="M267" s="186">
        <f xml:space="preserve"> ConTime!M$56</f>
        <v>1</v>
      </c>
      <c r="N267" s="186">
        <f xml:space="preserve"> ConTime!N$56</f>
        <v>1</v>
      </c>
      <c r="O267" s="186">
        <f xml:space="preserve"> ConTime!O$56</f>
        <v>1</v>
      </c>
      <c r="P267" s="186">
        <f xml:space="preserve"> ConTime!P$56</f>
        <v>2</v>
      </c>
      <c r="Q267" s="186">
        <f xml:space="preserve"> ConTime!Q$56</f>
        <v>2</v>
      </c>
      <c r="R267" s="186">
        <f xml:space="preserve"> ConTime!R$56</f>
        <v>2</v>
      </c>
      <c r="S267" s="186">
        <f xml:space="preserve"> ConTime!S$56</f>
        <v>2</v>
      </c>
      <c r="T267" s="186">
        <f xml:space="preserve"> ConTime!T$56</f>
        <v>2</v>
      </c>
      <c r="U267" s="186">
        <f xml:space="preserve"> ConTime!U$56</f>
        <v>2</v>
      </c>
      <c r="V267" s="186">
        <f xml:space="preserve"> ConTime!V$56</f>
        <v>3</v>
      </c>
      <c r="W267" s="186">
        <f xml:space="preserve"> ConTime!W$56</f>
        <v>3</v>
      </c>
      <c r="X267" s="186">
        <f xml:space="preserve"> ConTime!X$56</f>
        <v>3</v>
      </c>
      <c r="Y267" s="186">
        <f xml:space="preserve"> ConTime!Y$56</f>
        <v>3</v>
      </c>
      <c r="Z267" s="186">
        <f xml:space="preserve"> ConTime!Z$56</f>
        <v>3</v>
      </c>
      <c r="AA267" s="186">
        <f xml:space="preserve"> ConTime!AA$56</f>
        <v>3</v>
      </c>
      <c r="AB267" s="186">
        <f xml:space="preserve"> ConTime!AB$56</f>
        <v>4</v>
      </c>
      <c r="AC267" s="186">
        <f xml:space="preserve"> ConTime!AC$56</f>
        <v>4</v>
      </c>
      <c r="AD267" s="186">
        <f xml:space="preserve"> ConTime!AD$56</f>
        <v>4</v>
      </c>
      <c r="AE267" s="186">
        <f xml:space="preserve"> ConTime!AE$56</f>
        <v>4</v>
      </c>
      <c r="AF267" s="186">
        <f xml:space="preserve"> ConTime!AF$56</f>
        <v>4</v>
      </c>
      <c r="AG267" s="186">
        <f xml:space="preserve"> ConTime!AG$56</f>
        <v>4</v>
      </c>
      <c r="AH267" s="186">
        <f xml:space="preserve"> ConTime!AH$56</f>
        <v>5</v>
      </c>
      <c r="AI267" s="186">
        <f xml:space="preserve"> ConTime!AI$56</f>
        <v>5</v>
      </c>
      <c r="AJ267" s="186">
        <f xml:space="preserve"> ConTime!AJ$56</f>
        <v>5</v>
      </c>
      <c r="AK267" s="186">
        <f xml:space="preserve"> ConTime!AK$56</f>
        <v>5</v>
      </c>
      <c r="AL267" s="186">
        <f xml:space="preserve"> ConTime!AL$56</f>
        <v>5</v>
      </c>
      <c r="AM267" s="186">
        <f xml:space="preserve"> ConTime!AM$56</f>
        <v>5</v>
      </c>
      <c r="AN267" s="186">
        <f xml:space="preserve"> ConTime!AN$56</f>
        <v>6</v>
      </c>
      <c r="AO267" s="186">
        <f xml:space="preserve"> ConTime!AO$56</f>
        <v>6</v>
      </c>
      <c r="AP267" s="186">
        <f xml:space="preserve"> ConTime!AP$56</f>
        <v>6</v>
      </c>
      <c r="AQ267" s="186">
        <f xml:space="preserve"> ConTime!AQ$56</f>
        <v>6</v>
      </c>
      <c r="AR267" s="186">
        <f xml:space="preserve"> ConTime!AR$56</f>
        <v>6</v>
      </c>
      <c r="AS267" s="186">
        <f xml:space="preserve"> ConTime!AS$56</f>
        <v>6</v>
      </c>
      <c r="AT267" s="186">
        <f xml:space="preserve"> ConTime!AT$56</f>
        <v>7</v>
      </c>
      <c r="AU267" s="186">
        <f xml:space="preserve"> ConTime!AU$56</f>
        <v>7</v>
      </c>
      <c r="AV267" s="186">
        <f xml:space="preserve"> ConTime!AV$56</f>
        <v>7</v>
      </c>
      <c r="AW267" s="186">
        <f xml:space="preserve"> ConTime!AW$56</f>
        <v>7</v>
      </c>
      <c r="AX267" s="186">
        <f xml:space="preserve"> ConTime!AX$56</f>
        <v>7</v>
      </c>
      <c r="AY267" s="186">
        <f xml:space="preserve"> ConTime!AY$56</f>
        <v>7</v>
      </c>
      <c r="AZ267" s="186">
        <f xml:space="preserve"> ConTime!AZ$56</f>
        <v>8</v>
      </c>
      <c r="BA267" s="186">
        <f xml:space="preserve"> ConTime!BA$56</f>
        <v>8</v>
      </c>
      <c r="BB267" s="186">
        <f xml:space="preserve"> ConTime!BB$56</f>
        <v>8</v>
      </c>
      <c r="BC267" s="186">
        <f xml:space="preserve"> ConTime!BC$56</f>
        <v>8</v>
      </c>
      <c r="BD267" s="186">
        <f xml:space="preserve"> ConTime!BD$56</f>
        <v>8</v>
      </c>
      <c r="BE267" s="186">
        <f xml:space="preserve"> ConTime!BE$56</f>
        <v>8</v>
      </c>
    </row>
    <row r="268" spans="1:57" hidden="1" outlineLevel="1" x14ac:dyDescent="0.2">
      <c r="E268" s="12" t="str">
        <f t="shared" ref="E268:AJ268" si="101" xml:space="preserve"> E$199</f>
        <v>Early generation costs paid - m</v>
      </c>
      <c r="F268" s="12">
        <f t="shared" si="101"/>
        <v>0</v>
      </c>
      <c r="G268" s="12" t="str">
        <f t="shared" si="101"/>
        <v>$ 000s</v>
      </c>
      <c r="H268" s="12">
        <f t="shared" si="101"/>
        <v>0</v>
      </c>
      <c r="I268" s="12">
        <f t="shared" si="101"/>
        <v>0</v>
      </c>
      <c r="J268" s="12">
        <f t="shared" si="101"/>
        <v>0</v>
      </c>
      <c r="K268" s="12">
        <f t="shared" si="101"/>
        <v>0</v>
      </c>
      <c r="L268" s="12">
        <f t="shared" si="101"/>
        <v>0</v>
      </c>
      <c r="M268" s="12">
        <f t="shared" si="101"/>
        <v>0</v>
      </c>
      <c r="N268" s="12">
        <f t="shared" si="101"/>
        <v>0</v>
      </c>
      <c r="O268" s="12">
        <f t="shared" si="101"/>
        <v>0</v>
      </c>
      <c r="P268" s="12">
        <f t="shared" si="101"/>
        <v>0</v>
      </c>
      <c r="Q268" s="12">
        <f t="shared" si="101"/>
        <v>0</v>
      </c>
      <c r="R268" s="12">
        <f t="shared" si="101"/>
        <v>0</v>
      </c>
      <c r="S268" s="12">
        <f t="shared" si="101"/>
        <v>0</v>
      </c>
      <c r="T268" s="12">
        <f t="shared" si="101"/>
        <v>0</v>
      </c>
      <c r="U268" s="12">
        <f t="shared" si="101"/>
        <v>0</v>
      </c>
      <c r="V268" s="12">
        <f t="shared" si="101"/>
        <v>0</v>
      </c>
      <c r="W268" s="12">
        <f t="shared" si="101"/>
        <v>0</v>
      </c>
      <c r="X268" s="12">
        <f t="shared" si="101"/>
        <v>0</v>
      </c>
      <c r="Y268" s="12">
        <f t="shared" si="101"/>
        <v>0</v>
      </c>
      <c r="Z268" s="12">
        <f t="shared" si="101"/>
        <v>0</v>
      </c>
      <c r="AA268" s="12">
        <f t="shared" si="101"/>
        <v>0</v>
      </c>
      <c r="AB268" s="12">
        <f t="shared" si="101"/>
        <v>0</v>
      </c>
      <c r="AC268" s="12">
        <f t="shared" si="101"/>
        <v>0</v>
      </c>
      <c r="AD268" s="12">
        <f t="shared" si="101"/>
        <v>0</v>
      </c>
      <c r="AE268" s="12">
        <f t="shared" si="101"/>
        <v>0</v>
      </c>
      <c r="AF268" s="12">
        <f t="shared" si="101"/>
        <v>0</v>
      </c>
      <c r="AG268" s="12">
        <f t="shared" si="101"/>
        <v>0</v>
      </c>
      <c r="AH268" s="12">
        <f t="shared" si="101"/>
        <v>0</v>
      </c>
      <c r="AI268" s="12">
        <f t="shared" si="101"/>
        <v>0</v>
      </c>
      <c r="AJ268" s="12">
        <f t="shared" si="101"/>
        <v>0</v>
      </c>
      <c r="AK268" s="12">
        <f t="shared" ref="AK268:BE268" si="102" xml:space="preserve"> AK$199</f>
        <v>0</v>
      </c>
      <c r="AL268" s="12">
        <f t="shared" si="102"/>
        <v>0</v>
      </c>
      <c r="AM268" s="12">
        <f t="shared" si="102"/>
        <v>0</v>
      </c>
      <c r="AN268" s="12">
        <f t="shared" si="102"/>
        <v>0</v>
      </c>
      <c r="AO268" s="12">
        <f t="shared" si="102"/>
        <v>0</v>
      </c>
      <c r="AP268" s="12">
        <f t="shared" si="102"/>
        <v>0</v>
      </c>
      <c r="AQ268" s="12">
        <f t="shared" si="102"/>
        <v>0</v>
      </c>
      <c r="AR268" s="12">
        <f t="shared" si="102"/>
        <v>0</v>
      </c>
      <c r="AS268" s="12">
        <f t="shared" si="102"/>
        <v>0</v>
      </c>
      <c r="AT268" s="12">
        <f t="shared" si="102"/>
        <v>0</v>
      </c>
      <c r="AU268" s="12">
        <f t="shared" si="102"/>
        <v>0</v>
      </c>
      <c r="AV268" s="12">
        <f t="shared" si="102"/>
        <v>0</v>
      </c>
      <c r="AW268" s="12">
        <f t="shared" si="102"/>
        <v>0</v>
      </c>
      <c r="AX268" s="12">
        <f t="shared" si="102"/>
        <v>0</v>
      </c>
      <c r="AY268" s="12">
        <f t="shared" si="102"/>
        <v>0</v>
      </c>
      <c r="AZ268" s="12">
        <f t="shared" si="102"/>
        <v>0</v>
      </c>
      <c r="BA268" s="12">
        <f t="shared" si="102"/>
        <v>0</v>
      </c>
      <c r="BB268" s="12">
        <f t="shared" si="102"/>
        <v>0</v>
      </c>
      <c r="BC268" s="12">
        <f t="shared" si="102"/>
        <v>0</v>
      </c>
      <c r="BD268" s="12">
        <f t="shared" si="102"/>
        <v>0</v>
      </c>
      <c r="BE268" s="12">
        <f t="shared" si="102"/>
        <v>0</v>
      </c>
    </row>
    <row r="269" spans="1:57" s="629" customFormat="1" hidden="1" outlineLevel="1" x14ac:dyDescent="0.2">
      <c r="A269" s="904"/>
      <c r="B269" s="904"/>
      <c r="C269" s="905"/>
      <c r="D269" s="906"/>
      <c r="E269" s="907" t="s">
        <v>758</v>
      </c>
      <c r="F269" s="907"/>
      <c r="G269" s="907" t="str">
        <f xml:space="preserve"> SMU</f>
        <v>$ 000s</v>
      </c>
      <c r="H269" s="907">
        <f xml:space="preserve"> SUM(J269:BE269)</f>
        <v>0</v>
      </c>
      <c r="I269" s="908"/>
      <c r="J269" s="907">
        <f t="shared" ref="J269:BE269" si="103" xml:space="preserve"> SUMIF($J267:$BE267, J266, $J268:$BE268)</f>
        <v>0</v>
      </c>
      <c r="K269" s="907">
        <f t="shared" si="103"/>
        <v>0</v>
      </c>
      <c r="L269" s="907">
        <f t="shared" si="103"/>
        <v>0</v>
      </c>
      <c r="M269" s="907">
        <f t="shared" si="103"/>
        <v>0</v>
      </c>
      <c r="N269" s="907">
        <f t="shared" si="103"/>
        <v>0</v>
      </c>
      <c r="O269" s="907">
        <f t="shared" si="103"/>
        <v>0</v>
      </c>
      <c r="P269" s="907">
        <f t="shared" si="103"/>
        <v>0</v>
      </c>
      <c r="Q269" s="907">
        <f t="shared" si="103"/>
        <v>0</v>
      </c>
      <c r="R269" s="907">
        <f t="shared" si="103"/>
        <v>0</v>
      </c>
      <c r="S269" s="907">
        <f t="shared" si="103"/>
        <v>0</v>
      </c>
      <c r="T269" s="907">
        <f t="shared" si="103"/>
        <v>0</v>
      </c>
      <c r="U269" s="907">
        <f t="shared" si="103"/>
        <v>0</v>
      </c>
      <c r="V269" s="907">
        <f t="shared" si="103"/>
        <v>0</v>
      </c>
      <c r="W269" s="907">
        <f t="shared" si="103"/>
        <v>0</v>
      </c>
      <c r="X269" s="907">
        <f t="shared" si="103"/>
        <v>0</v>
      </c>
      <c r="Y269" s="907">
        <f t="shared" si="103"/>
        <v>0</v>
      </c>
      <c r="Z269" s="907">
        <f t="shared" si="103"/>
        <v>0</v>
      </c>
      <c r="AA269" s="907">
        <f t="shared" si="103"/>
        <v>0</v>
      </c>
      <c r="AB269" s="907">
        <f t="shared" si="103"/>
        <v>0</v>
      </c>
      <c r="AC269" s="907">
        <f t="shared" si="103"/>
        <v>0</v>
      </c>
      <c r="AD269" s="907">
        <f t="shared" si="103"/>
        <v>0</v>
      </c>
      <c r="AE269" s="907">
        <f t="shared" si="103"/>
        <v>0</v>
      </c>
      <c r="AF269" s="907">
        <f t="shared" si="103"/>
        <v>0</v>
      </c>
      <c r="AG269" s="907">
        <f t="shared" si="103"/>
        <v>0</v>
      </c>
      <c r="AH269" s="907">
        <f t="shared" si="103"/>
        <v>0</v>
      </c>
      <c r="AI269" s="907">
        <f t="shared" si="103"/>
        <v>0</v>
      </c>
      <c r="AJ269" s="907">
        <f t="shared" si="103"/>
        <v>0</v>
      </c>
      <c r="AK269" s="907">
        <f t="shared" si="103"/>
        <v>0</v>
      </c>
      <c r="AL269" s="907">
        <f t="shared" si="103"/>
        <v>0</v>
      </c>
      <c r="AM269" s="907">
        <f t="shared" si="103"/>
        <v>0</v>
      </c>
      <c r="AN269" s="907">
        <f t="shared" si="103"/>
        <v>0</v>
      </c>
      <c r="AO269" s="907">
        <f t="shared" si="103"/>
        <v>0</v>
      </c>
      <c r="AP269" s="907">
        <f t="shared" si="103"/>
        <v>0</v>
      </c>
      <c r="AQ269" s="907">
        <f t="shared" si="103"/>
        <v>0</v>
      </c>
      <c r="AR269" s="907">
        <f t="shared" si="103"/>
        <v>0</v>
      </c>
      <c r="AS269" s="907">
        <f t="shared" si="103"/>
        <v>0</v>
      </c>
      <c r="AT269" s="907">
        <f t="shared" si="103"/>
        <v>0</v>
      </c>
      <c r="AU269" s="907">
        <f t="shared" si="103"/>
        <v>0</v>
      </c>
      <c r="AV269" s="907">
        <f t="shared" si="103"/>
        <v>0</v>
      </c>
      <c r="AW269" s="907">
        <f t="shared" si="103"/>
        <v>0</v>
      </c>
      <c r="AX269" s="907">
        <f t="shared" si="103"/>
        <v>0</v>
      </c>
      <c r="AY269" s="907">
        <f t="shared" si="103"/>
        <v>0</v>
      </c>
      <c r="AZ269" s="907">
        <f t="shared" si="103"/>
        <v>0</v>
      </c>
      <c r="BA269" s="907">
        <f t="shared" si="103"/>
        <v>0</v>
      </c>
      <c r="BB269" s="907">
        <f t="shared" si="103"/>
        <v>0</v>
      </c>
      <c r="BC269" s="907">
        <f t="shared" si="103"/>
        <v>0</v>
      </c>
      <c r="BD269" s="907">
        <f t="shared" si="103"/>
        <v>0</v>
      </c>
      <c r="BE269" s="907">
        <f t="shared" si="103"/>
        <v>0</v>
      </c>
    </row>
    <row r="270" spans="1:57" hidden="1" outlineLevel="1" x14ac:dyDescent="0.2"/>
    <row r="271" spans="1:57" hidden="1" outlineLevel="1" x14ac:dyDescent="0.2">
      <c r="E271" s="538" t="str">
        <f xml:space="preserve"> Time!E$10</f>
        <v>Model column counter</v>
      </c>
      <c r="F271" s="538">
        <f xml:space="preserve"> Time!F$10</f>
        <v>0</v>
      </c>
      <c r="G271" s="538" t="str">
        <f xml:space="preserve"> Time!G$10</f>
        <v>counter</v>
      </c>
      <c r="H271" s="538">
        <f xml:space="preserve"> Time!H$10</f>
        <v>0</v>
      </c>
      <c r="I271" s="538">
        <f xml:space="preserve"> Time!I$10</f>
        <v>0</v>
      </c>
      <c r="J271" s="538">
        <f xml:space="preserve"> Time!J$10</f>
        <v>1</v>
      </c>
      <c r="K271" s="538">
        <f xml:space="preserve"> Time!K$10</f>
        <v>2</v>
      </c>
      <c r="L271" s="538">
        <f xml:space="preserve"> Time!L$10</f>
        <v>3</v>
      </c>
      <c r="M271" s="538">
        <f xml:space="preserve"> Time!M$10</f>
        <v>4</v>
      </c>
      <c r="N271" s="538">
        <f xml:space="preserve"> Time!N$10</f>
        <v>5</v>
      </c>
      <c r="O271" s="538">
        <f xml:space="preserve"> Time!O$10</f>
        <v>6</v>
      </c>
      <c r="P271" s="538">
        <f xml:space="preserve"> Time!P$10</f>
        <v>7</v>
      </c>
      <c r="Q271" s="538">
        <f xml:space="preserve"> Time!Q$10</f>
        <v>8</v>
      </c>
      <c r="R271" s="538">
        <f xml:space="preserve"> Time!R$10</f>
        <v>9</v>
      </c>
      <c r="S271" s="538">
        <f xml:space="preserve"> Time!S$10</f>
        <v>10</v>
      </c>
      <c r="T271" s="538">
        <f xml:space="preserve"> Time!T$10</f>
        <v>11</v>
      </c>
      <c r="U271" s="538">
        <f xml:space="preserve"> Time!U$10</f>
        <v>12</v>
      </c>
      <c r="V271" s="538">
        <f xml:space="preserve"> Time!V$10</f>
        <v>13</v>
      </c>
      <c r="W271" s="538">
        <f xml:space="preserve"> Time!W$10</f>
        <v>14</v>
      </c>
      <c r="X271" s="538">
        <f xml:space="preserve"> Time!X$10</f>
        <v>15</v>
      </c>
      <c r="Y271" s="538">
        <f xml:space="preserve"> Time!Y$10</f>
        <v>16</v>
      </c>
      <c r="Z271" s="538">
        <f xml:space="preserve"> Time!Z$10</f>
        <v>17</v>
      </c>
      <c r="AA271" s="538">
        <f xml:space="preserve"> Time!AA$10</f>
        <v>18</v>
      </c>
      <c r="AB271" s="538">
        <f xml:space="preserve"> Time!AB$10</f>
        <v>19</v>
      </c>
      <c r="AC271" s="538">
        <f xml:space="preserve"> Time!AC$10</f>
        <v>20</v>
      </c>
      <c r="AD271" s="538">
        <f xml:space="preserve"> Time!AD$10</f>
        <v>21</v>
      </c>
      <c r="AE271" s="538">
        <f xml:space="preserve"> Time!AE$10</f>
        <v>22</v>
      </c>
      <c r="AF271" s="538">
        <f xml:space="preserve"> Time!AF$10</f>
        <v>23</v>
      </c>
      <c r="AG271" s="538">
        <f xml:space="preserve"> Time!AG$10</f>
        <v>24</v>
      </c>
      <c r="AH271" s="538">
        <f xml:space="preserve"> Time!AH$10</f>
        <v>25</v>
      </c>
      <c r="AI271" s="538">
        <f xml:space="preserve"> Time!AI$10</f>
        <v>26</v>
      </c>
      <c r="AJ271" s="538">
        <f xml:space="preserve"> Time!AJ$10</f>
        <v>27</v>
      </c>
      <c r="AK271" s="538">
        <f xml:space="preserve"> Time!AK$10</f>
        <v>28</v>
      </c>
      <c r="AL271" s="538">
        <f xml:space="preserve"> Time!AL$10</f>
        <v>29</v>
      </c>
      <c r="AM271" s="538">
        <f xml:space="preserve"> Time!AM$10</f>
        <v>30</v>
      </c>
      <c r="AN271" s="538">
        <f xml:space="preserve"> Time!AN$10</f>
        <v>31</v>
      </c>
      <c r="AO271" s="538">
        <f xml:space="preserve"> Time!AO$10</f>
        <v>32</v>
      </c>
      <c r="AP271" s="538">
        <f xml:space="preserve"> Time!AP$10</f>
        <v>33</v>
      </c>
      <c r="AQ271" s="538">
        <f xml:space="preserve"> Time!AQ$10</f>
        <v>34</v>
      </c>
      <c r="AR271" s="538">
        <f xml:space="preserve"> Time!AR$10</f>
        <v>35</v>
      </c>
      <c r="AS271" s="538">
        <f xml:space="preserve"> Time!AS$10</f>
        <v>36</v>
      </c>
      <c r="AT271" s="538">
        <f xml:space="preserve"> Time!AT$10</f>
        <v>37</v>
      </c>
      <c r="AU271" s="538">
        <f xml:space="preserve"> Time!AU$10</f>
        <v>38</v>
      </c>
      <c r="AV271" s="538">
        <f xml:space="preserve"> Time!AV$10</f>
        <v>39</v>
      </c>
      <c r="AW271" s="538">
        <f xml:space="preserve"> Time!AW$10</f>
        <v>40</v>
      </c>
      <c r="AX271" s="538">
        <f xml:space="preserve"> Time!AX$10</f>
        <v>41</v>
      </c>
      <c r="AY271" s="538">
        <f xml:space="preserve"> Time!AY$10</f>
        <v>42</v>
      </c>
      <c r="AZ271" s="538">
        <f xml:space="preserve"> Time!AZ$10</f>
        <v>43</v>
      </c>
      <c r="BA271" s="538">
        <f xml:space="preserve"> Time!BA$10</f>
        <v>44</v>
      </c>
      <c r="BB271" s="538">
        <f xml:space="preserve"> Time!BB$10</f>
        <v>45</v>
      </c>
      <c r="BC271" s="538">
        <f xml:space="preserve"> Time!BC$10</f>
        <v>46</v>
      </c>
      <c r="BD271" s="538">
        <f xml:space="preserve"> Time!BD$10</f>
        <v>47</v>
      </c>
      <c r="BE271" s="538">
        <f xml:space="preserve"> Time!BE$10</f>
        <v>48</v>
      </c>
    </row>
    <row r="272" spans="1:57" hidden="1" outlineLevel="1" x14ac:dyDescent="0.2">
      <c r="E272" s="186" t="str">
        <f xml:space="preserve"> ConTime!E$56</f>
        <v>Model ops period counter - m</v>
      </c>
      <c r="F272" s="186">
        <f xml:space="preserve"> ConTime!F$56</f>
        <v>0</v>
      </c>
      <c r="G272" s="186" t="str">
        <f xml:space="preserve"> ConTime!G$56</f>
        <v>counter</v>
      </c>
      <c r="H272" s="186">
        <f xml:space="preserve"> ConTime!H$56</f>
        <v>0</v>
      </c>
      <c r="I272" s="186">
        <f xml:space="preserve"> ConTime!I$56</f>
        <v>0</v>
      </c>
      <c r="J272" s="186">
        <f xml:space="preserve"> ConTime!J$56</f>
        <v>1</v>
      </c>
      <c r="K272" s="186">
        <f xml:space="preserve"> ConTime!K$56</f>
        <v>1</v>
      </c>
      <c r="L272" s="186">
        <f xml:space="preserve"> ConTime!L$56</f>
        <v>1</v>
      </c>
      <c r="M272" s="186">
        <f xml:space="preserve"> ConTime!M$56</f>
        <v>1</v>
      </c>
      <c r="N272" s="186">
        <f xml:space="preserve"> ConTime!N$56</f>
        <v>1</v>
      </c>
      <c r="O272" s="186">
        <f xml:space="preserve"> ConTime!O$56</f>
        <v>1</v>
      </c>
      <c r="P272" s="186">
        <f xml:space="preserve"> ConTime!P$56</f>
        <v>2</v>
      </c>
      <c r="Q272" s="186">
        <f xml:space="preserve"> ConTime!Q$56</f>
        <v>2</v>
      </c>
      <c r="R272" s="186">
        <f xml:space="preserve"> ConTime!R$56</f>
        <v>2</v>
      </c>
      <c r="S272" s="186">
        <f xml:space="preserve"> ConTime!S$56</f>
        <v>2</v>
      </c>
      <c r="T272" s="186">
        <f xml:space="preserve"> ConTime!T$56</f>
        <v>2</v>
      </c>
      <c r="U272" s="186">
        <f xml:space="preserve"> ConTime!U$56</f>
        <v>2</v>
      </c>
      <c r="V272" s="186">
        <f xml:space="preserve"> ConTime!V$56</f>
        <v>3</v>
      </c>
      <c r="W272" s="186">
        <f xml:space="preserve"> ConTime!W$56</f>
        <v>3</v>
      </c>
      <c r="X272" s="186">
        <f xml:space="preserve"> ConTime!X$56</f>
        <v>3</v>
      </c>
      <c r="Y272" s="186">
        <f xml:space="preserve"> ConTime!Y$56</f>
        <v>3</v>
      </c>
      <c r="Z272" s="186">
        <f xml:space="preserve"> ConTime!Z$56</f>
        <v>3</v>
      </c>
      <c r="AA272" s="186">
        <f xml:space="preserve"> ConTime!AA$56</f>
        <v>3</v>
      </c>
      <c r="AB272" s="186">
        <f xml:space="preserve"> ConTime!AB$56</f>
        <v>4</v>
      </c>
      <c r="AC272" s="186">
        <f xml:space="preserve"> ConTime!AC$56</f>
        <v>4</v>
      </c>
      <c r="AD272" s="186">
        <f xml:space="preserve"> ConTime!AD$56</f>
        <v>4</v>
      </c>
      <c r="AE272" s="186">
        <f xml:space="preserve"> ConTime!AE$56</f>
        <v>4</v>
      </c>
      <c r="AF272" s="186">
        <f xml:space="preserve"> ConTime!AF$56</f>
        <v>4</v>
      </c>
      <c r="AG272" s="186">
        <f xml:space="preserve"> ConTime!AG$56</f>
        <v>4</v>
      </c>
      <c r="AH272" s="186">
        <f xml:space="preserve"> ConTime!AH$56</f>
        <v>5</v>
      </c>
      <c r="AI272" s="186">
        <f xml:space="preserve"> ConTime!AI$56</f>
        <v>5</v>
      </c>
      <c r="AJ272" s="186">
        <f xml:space="preserve"> ConTime!AJ$56</f>
        <v>5</v>
      </c>
      <c r="AK272" s="186">
        <f xml:space="preserve"> ConTime!AK$56</f>
        <v>5</v>
      </c>
      <c r="AL272" s="186">
        <f xml:space="preserve"> ConTime!AL$56</f>
        <v>5</v>
      </c>
      <c r="AM272" s="186">
        <f xml:space="preserve"> ConTime!AM$56</f>
        <v>5</v>
      </c>
      <c r="AN272" s="186">
        <f xml:space="preserve"> ConTime!AN$56</f>
        <v>6</v>
      </c>
      <c r="AO272" s="186">
        <f xml:space="preserve"> ConTime!AO$56</f>
        <v>6</v>
      </c>
      <c r="AP272" s="186">
        <f xml:space="preserve"> ConTime!AP$56</f>
        <v>6</v>
      </c>
      <c r="AQ272" s="186">
        <f xml:space="preserve"> ConTime!AQ$56</f>
        <v>6</v>
      </c>
      <c r="AR272" s="186">
        <f xml:space="preserve"> ConTime!AR$56</f>
        <v>6</v>
      </c>
      <c r="AS272" s="186">
        <f xml:space="preserve"> ConTime!AS$56</f>
        <v>6</v>
      </c>
      <c r="AT272" s="186">
        <f xml:space="preserve"> ConTime!AT$56</f>
        <v>7</v>
      </c>
      <c r="AU272" s="186">
        <f xml:space="preserve"> ConTime!AU$56</f>
        <v>7</v>
      </c>
      <c r="AV272" s="186">
        <f xml:space="preserve"> ConTime!AV$56</f>
        <v>7</v>
      </c>
      <c r="AW272" s="186">
        <f xml:space="preserve"> ConTime!AW$56</f>
        <v>7</v>
      </c>
      <c r="AX272" s="186">
        <f xml:space="preserve"> ConTime!AX$56</f>
        <v>7</v>
      </c>
      <c r="AY272" s="186">
        <f xml:space="preserve"> ConTime!AY$56</f>
        <v>7</v>
      </c>
      <c r="AZ272" s="186">
        <f xml:space="preserve"> ConTime!AZ$56</f>
        <v>8</v>
      </c>
      <c r="BA272" s="186">
        <f xml:space="preserve"> ConTime!BA$56</f>
        <v>8</v>
      </c>
      <c r="BB272" s="186">
        <f xml:space="preserve"> ConTime!BB$56</f>
        <v>8</v>
      </c>
      <c r="BC272" s="186">
        <f xml:space="preserve"> ConTime!BC$56</f>
        <v>8</v>
      </c>
      <c r="BD272" s="186">
        <f xml:space="preserve"> ConTime!BD$56</f>
        <v>8</v>
      </c>
      <c r="BE272" s="186">
        <f xml:space="preserve"> ConTime!BE$56</f>
        <v>8</v>
      </c>
    </row>
    <row r="273" spans="1:57" hidden="1" outlineLevel="1" x14ac:dyDescent="0.2">
      <c r="E273" s="12" t="str">
        <f t="shared" ref="E273:AJ273" si="104" xml:space="preserve"> E$211</f>
        <v>Early generation costs funded by EGR's - m</v>
      </c>
      <c r="F273" s="12">
        <f t="shared" si="104"/>
        <v>0</v>
      </c>
      <c r="G273" s="12" t="str">
        <f t="shared" si="104"/>
        <v>$ 000s</v>
      </c>
      <c r="H273" s="12">
        <f t="shared" si="104"/>
        <v>0</v>
      </c>
      <c r="I273" s="12">
        <f t="shared" si="104"/>
        <v>0</v>
      </c>
      <c r="J273" s="12">
        <f t="shared" si="104"/>
        <v>0</v>
      </c>
      <c r="K273" s="12">
        <f t="shared" si="104"/>
        <v>0</v>
      </c>
      <c r="L273" s="12">
        <f t="shared" si="104"/>
        <v>0</v>
      </c>
      <c r="M273" s="12">
        <f t="shared" si="104"/>
        <v>0</v>
      </c>
      <c r="N273" s="12">
        <f t="shared" si="104"/>
        <v>0</v>
      </c>
      <c r="O273" s="12">
        <f t="shared" si="104"/>
        <v>0</v>
      </c>
      <c r="P273" s="12">
        <f t="shared" si="104"/>
        <v>0</v>
      </c>
      <c r="Q273" s="12">
        <f t="shared" si="104"/>
        <v>0</v>
      </c>
      <c r="R273" s="12">
        <f t="shared" si="104"/>
        <v>0</v>
      </c>
      <c r="S273" s="12">
        <f t="shared" si="104"/>
        <v>0</v>
      </c>
      <c r="T273" s="12">
        <f t="shared" si="104"/>
        <v>0</v>
      </c>
      <c r="U273" s="12">
        <f t="shared" si="104"/>
        <v>0</v>
      </c>
      <c r="V273" s="12">
        <f t="shared" si="104"/>
        <v>0</v>
      </c>
      <c r="W273" s="12">
        <f t="shared" si="104"/>
        <v>0</v>
      </c>
      <c r="X273" s="12">
        <f t="shared" si="104"/>
        <v>0</v>
      </c>
      <c r="Y273" s="12">
        <f t="shared" si="104"/>
        <v>0</v>
      </c>
      <c r="Z273" s="12">
        <f t="shared" si="104"/>
        <v>0</v>
      </c>
      <c r="AA273" s="12">
        <f t="shared" si="104"/>
        <v>0</v>
      </c>
      <c r="AB273" s="12">
        <f t="shared" si="104"/>
        <v>0</v>
      </c>
      <c r="AC273" s="12">
        <f t="shared" si="104"/>
        <v>0</v>
      </c>
      <c r="AD273" s="12">
        <f t="shared" si="104"/>
        <v>0</v>
      </c>
      <c r="AE273" s="12">
        <f t="shared" si="104"/>
        <v>0</v>
      </c>
      <c r="AF273" s="12">
        <f t="shared" si="104"/>
        <v>0</v>
      </c>
      <c r="AG273" s="12">
        <f t="shared" si="104"/>
        <v>0</v>
      </c>
      <c r="AH273" s="12">
        <f t="shared" si="104"/>
        <v>0</v>
      </c>
      <c r="AI273" s="12">
        <f t="shared" si="104"/>
        <v>0</v>
      </c>
      <c r="AJ273" s="12">
        <f t="shared" si="104"/>
        <v>0</v>
      </c>
      <c r="AK273" s="12">
        <f t="shared" ref="AK273:BE273" si="105" xml:space="preserve"> AK$211</f>
        <v>0</v>
      </c>
      <c r="AL273" s="12">
        <f t="shared" si="105"/>
        <v>0</v>
      </c>
      <c r="AM273" s="12">
        <f t="shared" si="105"/>
        <v>0</v>
      </c>
      <c r="AN273" s="12">
        <f t="shared" si="105"/>
        <v>0</v>
      </c>
      <c r="AO273" s="12">
        <f t="shared" si="105"/>
        <v>0</v>
      </c>
      <c r="AP273" s="12">
        <f t="shared" si="105"/>
        <v>0</v>
      </c>
      <c r="AQ273" s="12">
        <f t="shared" si="105"/>
        <v>0</v>
      </c>
      <c r="AR273" s="12">
        <f t="shared" si="105"/>
        <v>0</v>
      </c>
      <c r="AS273" s="12">
        <f t="shared" si="105"/>
        <v>0</v>
      </c>
      <c r="AT273" s="12">
        <f t="shared" si="105"/>
        <v>0</v>
      </c>
      <c r="AU273" s="12">
        <f t="shared" si="105"/>
        <v>0</v>
      </c>
      <c r="AV273" s="12">
        <f t="shared" si="105"/>
        <v>0</v>
      </c>
      <c r="AW273" s="12">
        <f t="shared" si="105"/>
        <v>0</v>
      </c>
      <c r="AX273" s="12">
        <f t="shared" si="105"/>
        <v>0</v>
      </c>
      <c r="AY273" s="12">
        <f t="shared" si="105"/>
        <v>0</v>
      </c>
      <c r="AZ273" s="12">
        <f t="shared" si="105"/>
        <v>0</v>
      </c>
      <c r="BA273" s="12">
        <f t="shared" si="105"/>
        <v>0</v>
      </c>
      <c r="BB273" s="12">
        <f t="shared" si="105"/>
        <v>0</v>
      </c>
      <c r="BC273" s="12">
        <f t="shared" si="105"/>
        <v>0</v>
      </c>
      <c r="BD273" s="12">
        <f t="shared" si="105"/>
        <v>0</v>
      </c>
      <c r="BE273" s="12">
        <f t="shared" si="105"/>
        <v>0</v>
      </c>
    </row>
    <row r="274" spans="1:57" s="629" customFormat="1" hidden="1" outlineLevel="1" x14ac:dyDescent="0.2">
      <c r="A274" s="904"/>
      <c r="B274" s="904"/>
      <c r="C274" s="905"/>
      <c r="D274" s="906"/>
      <c r="E274" s="907" t="s">
        <v>761</v>
      </c>
      <c r="F274" s="907"/>
      <c r="G274" s="907" t="str">
        <f xml:space="preserve"> SMU</f>
        <v>$ 000s</v>
      </c>
      <c r="H274" s="907">
        <f xml:space="preserve"> SUM(J274:BE274)</f>
        <v>0</v>
      </c>
      <c r="I274" s="908"/>
      <c r="J274" s="907">
        <f t="shared" ref="J274:BE274" si="106" xml:space="preserve"> SUMIF($J272:$BE272, J271, $J273:$BE273)</f>
        <v>0</v>
      </c>
      <c r="K274" s="907">
        <f t="shared" si="106"/>
        <v>0</v>
      </c>
      <c r="L274" s="907">
        <f t="shared" si="106"/>
        <v>0</v>
      </c>
      <c r="M274" s="907">
        <f t="shared" si="106"/>
        <v>0</v>
      </c>
      <c r="N274" s="907">
        <f t="shared" si="106"/>
        <v>0</v>
      </c>
      <c r="O274" s="907">
        <f t="shared" si="106"/>
        <v>0</v>
      </c>
      <c r="P274" s="907">
        <f t="shared" si="106"/>
        <v>0</v>
      </c>
      <c r="Q274" s="907">
        <f t="shared" si="106"/>
        <v>0</v>
      </c>
      <c r="R274" s="907">
        <f t="shared" si="106"/>
        <v>0</v>
      </c>
      <c r="S274" s="907">
        <f t="shared" si="106"/>
        <v>0</v>
      </c>
      <c r="T274" s="907">
        <f t="shared" si="106"/>
        <v>0</v>
      </c>
      <c r="U274" s="907">
        <f t="shared" si="106"/>
        <v>0</v>
      </c>
      <c r="V274" s="907">
        <f t="shared" si="106"/>
        <v>0</v>
      </c>
      <c r="W274" s="907">
        <f t="shared" si="106"/>
        <v>0</v>
      </c>
      <c r="X274" s="907">
        <f t="shared" si="106"/>
        <v>0</v>
      </c>
      <c r="Y274" s="907">
        <f t="shared" si="106"/>
        <v>0</v>
      </c>
      <c r="Z274" s="907">
        <f t="shared" si="106"/>
        <v>0</v>
      </c>
      <c r="AA274" s="907">
        <f t="shared" si="106"/>
        <v>0</v>
      </c>
      <c r="AB274" s="907">
        <f t="shared" si="106"/>
        <v>0</v>
      </c>
      <c r="AC274" s="907">
        <f t="shared" si="106"/>
        <v>0</v>
      </c>
      <c r="AD274" s="907">
        <f t="shared" si="106"/>
        <v>0</v>
      </c>
      <c r="AE274" s="907">
        <f t="shared" si="106"/>
        <v>0</v>
      </c>
      <c r="AF274" s="907">
        <f t="shared" si="106"/>
        <v>0</v>
      </c>
      <c r="AG274" s="907">
        <f t="shared" si="106"/>
        <v>0</v>
      </c>
      <c r="AH274" s="907">
        <f t="shared" si="106"/>
        <v>0</v>
      </c>
      <c r="AI274" s="907">
        <f t="shared" si="106"/>
        <v>0</v>
      </c>
      <c r="AJ274" s="907">
        <f t="shared" si="106"/>
        <v>0</v>
      </c>
      <c r="AK274" s="907">
        <f t="shared" si="106"/>
        <v>0</v>
      </c>
      <c r="AL274" s="907">
        <f t="shared" si="106"/>
        <v>0</v>
      </c>
      <c r="AM274" s="907">
        <f t="shared" si="106"/>
        <v>0</v>
      </c>
      <c r="AN274" s="907">
        <f t="shared" si="106"/>
        <v>0</v>
      </c>
      <c r="AO274" s="907">
        <f t="shared" si="106"/>
        <v>0</v>
      </c>
      <c r="AP274" s="907">
        <f t="shared" si="106"/>
        <v>0</v>
      </c>
      <c r="AQ274" s="907">
        <f t="shared" si="106"/>
        <v>0</v>
      </c>
      <c r="AR274" s="907">
        <f t="shared" si="106"/>
        <v>0</v>
      </c>
      <c r="AS274" s="907">
        <f t="shared" si="106"/>
        <v>0</v>
      </c>
      <c r="AT274" s="907">
        <f t="shared" si="106"/>
        <v>0</v>
      </c>
      <c r="AU274" s="907">
        <f t="shared" si="106"/>
        <v>0</v>
      </c>
      <c r="AV274" s="907">
        <f t="shared" si="106"/>
        <v>0</v>
      </c>
      <c r="AW274" s="907">
        <f t="shared" si="106"/>
        <v>0</v>
      </c>
      <c r="AX274" s="907">
        <f t="shared" si="106"/>
        <v>0</v>
      </c>
      <c r="AY274" s="907">
        <f t="shared" si="106"/>
        <v>0</v>
      </c>
      <c r="AZ274" s="907">
        <f t="shared" si="106"/>
        <v>0</v>
      </c>
      <c r="BA274" s="907">
        <f t="shared" si="106"/>
        <v>0</v>
      </c>
      <c r="BB274" s="907">
        <f t="shared" si="106"/>
        <v>0</v>
      </c>
      <c r="BC274" s="907">
        <f t="shared" si="106"/>
        <v>0</v>
      </c>
      <c r="BD274" s="907">
        <f t="shared" si="106"/>
        <v>0</v>
      </c>
      <c r="BE274" s="907">
        <f t="shared" si="106"/>
        <v>0</v>
      </c>
    </row>
    <row r="275" spans="1:57" hidden="1" outlineLevel="1" x14ac:dyDescent="0.2"/>
    <row r="276" spans="1:57" hidden="1" outlineLevel="1" x14ac:dyDescent="0.2">
      <c r="E276" s="538" t="str">
        <f xml:space="preserve"> Time!E$10</f>
        <v>Model column counter</v>
      </c>
      <c r="F276" s="538">
        <f xml:space="preserve"> Time!F$10</f>
        <v>0</v>
      </c>
      <c r="G276" s="538" t="str">
        <f xml:space="preserve"> Time!G$10</f>
        <v>counter</v>
      </c>
      <c r="H276" s="538">
        <f xml:space="preserve"> Time!H$10</f>
        <v>0</v>
      </c>
      <c r="I276" s="538">
        <f xml:space="preserve"> Time!I$10</f>
        <v>0</v>
      </c>
      <c r="J276" s="538">
        <f xml:space="preserve"> Time!J$10</f>
        <v>1</v>
      </c>
      <c r="K276" s="538">
        <f xml:space="preserve"> Time!K$10</f>
        <v>2</v>
      </c>
      <c r="L276" s="538">
        <f xml:space="preserve"> Time!L$10</f>
        <v>3</v>
      </c>
      <c r="M276" s="538">
        <f xml:space="preserve"> Time!M$10</f>
        <v>4</v>
      </c>
      <c r="N276" s="538">
        <f xml:space="preserve"> Time!N$10</f>
        <v>5</v>
      </c>
      <c r="O276" s="538">
        <f xml:space="preserve"> Time!O$10</f>
        <v>6</v>
      </c>
      <c r="P276" s="538">
        <f xml:space="preserve"> Time!P$10</f>
        <v>7</v>
      </c>
      <c r="Q276" s="538">
        <f xml:space="preserve"> Time!Q$10</f>
        <v>8</v>
      </c>
      <c r="R276" s="538">
        <f xml:space="preserve"> Time!R$10</f>
        <v>9</v>
      </c>
      <c r="S276" s="538">
        <f xml:space="preserve"> Time!S$10</f>
        <v>10</v>
      </c>
      <c r="T276" s="538">
        <f xml:space="preserve"> Time!T$10</f>
        <v>11</v>
      </c>
      <c r="U276" s="538">
        <f xml:space="preserve"> Time!U$10</f>
        <v>12</v>
      </c>
      <c r="V276" s="538">
        <f xml:space="preserve"> Time!V$10</f>
        <v>13</v>
      </c>
      <c r="W276" s="538">
        <f xml:space="preserve"> Time!W$10</f>
        <v>14</v>
      </c>
      <c r="X276" s="538">
        <f xml:space="preserve"> Time!X$10</f>
        <v>15</v>
      </c>
      <c r="Y276" s="538">
        <f xml:space="preserve"> Time!Y$10</f>
        <v>16</v>
      </c>
      <c r="Z276" s="538">
        <f xml:space="preserve"> Time!Z$10</f>
        <v>17</v>
      </c>
      <c r="AA276" s="538">
        <f xml:space="preserve"> Time!AA$10</f>
        <v>18</v>
      </c>
      <c r="AB276" s="538">
        <f xml:space="preserve"> Time!AB$10</f>
        <v>19</v>
      </c>
      <c r="AC276" s="538">
        <f xml:space="preserve"> Time!AC$10</f>
        <v>20</v>
      </c>
      <c r="AD276" s="538">
        <f xml:space="preserve"> Time!AD$10</f>
        <v>21</v>
      </c>
      <c r="AE276" s="538">
        <f xml:space="preserve"> Time!AE$10</f>
        <v>22</v>
      </c>
      <c r="AF276" s="538">
        <f xml:space="preserve"> Time!AF$10</f>
        <v>23</v>
      </c>
      <c r="AG276" s="538">
        <f xml:space="preserve"> Time!AG$10</f>
        <v>24</v>
      </c>
      <c r="AH276" s="538">
        <f xml:space="preserve"> Time!AH$10</f>
        <v>25</v>
      </c>
      <c r="AI276" s="538">
        <f xml:space="preserve"> Time!AI$10</f>
        <v>26</v>
      </c>
      <c r="AJ276" s="538">
        <f xml:space="preserve"> Time!AJ$10</f>
        <v>27</v>
      </c>
      <c r="AK276" s="538">
        <f xml:space="preserve"> Time!AK$10</f>
        <v>28</v>
      </c>
      <c r="AL276" s="538">
        <f xml:space="preserve"> Time!AL$10</f>
        <v>29</v>
      </c>
      <c r="AM276" s="538">
        <f xml:space="preserve"> Time!AM$10</f>
        <v>30</v>
      </c>
      <c r="AN276" s="538">
        <f xml:space="preserve"> Time!AN$10</f>
        <v>31</v>
      </c>
      <c r="AO276" s="538">
        <f xml:space="preserve"> Time!AO$10</f>
        <v>32</v>
      </c>
      <c r="AP276" s="538">
        <f xml:space="preserve"> Time!AP$10</f>
        <v>33</v>
      </c>
      <c r="AQ276" s="538">
        <f xml:space="preserve"> Time!AQ$10</f>
        <v>34</v>
      </c>
      <c r="AR276" s="538">
        <f xml:space="preserve"> Time!AR$10</f>
        <v>35</v>
      </c>
      <c r="AS276" s="538">
        <f xml:space="preserve"> Time!AS$10</f>
        <v>36</v>
      </c>
      <c r="AT276" s="538">
        <f xml:space="preserve"> Time!AT$10</f>
        <v>37</v>
      </c>
      <c r="AU276" s="538">
        <f xml:space="preserve"> Time!AU$10</f>
        <v>38</v>
      </c>
      <c r="AV276" s="538">
        <f xml:space="preserve"> Time!AV$10</f>
        <v>39</v>
      </c>
      <c r="AW276" s="538">
        <f xml:space="preserve"> Time!AW$10</f>
        <v>40</v>
      </c>
      <c r="AX276" s="538">
        <f xml:space="preserve"> Time!AX$10</f>
        <v>41</v>
      </c>
      <c r="AY276" s="538">
        <f xml:space="preserve"> Time!AY$10</f>
        <v>42</v>
      </c>
      <c r="AZ276" s="538">
        <f xml:space="preserve"> Time!AZ$10</f>
        <v>43</v>
      </c>
      <c r="BA276" s="538">
        <f xml:space="preserve"> Time!BA$10</f>
        <v>44</v>
      </c>
      <c r="BB276" s="538">
        <f xml:space="preserve"> Time!BB$10</f>
        <v>45</v>
      </c>
      <c r="BC276" s="538">
        <f xml:space="preserve"> Time!BC$10</f>
        <v>46</v>
      </c>
      <c r="BD276" s="538">
        <f xml:space="preserve"> Time!BD$10</f>
        <v>47</v>
      </c>
      <c r="BE276" s="538">
        <f xml:space="preserve"> Time!BE$10</f>
        <v>48</v>
      </c>
    </row>
    <row r="277" spans="1:57" hidden="1" outlineLevel="1" x14ac:dyDescent="0.2">
      <c r="E277" s="186" t="str">
        <f xml:space="preserve"> ConTime!E$56</f>
        <v>Model ops period counter - m</v>
      </c>
      <c r="F277" s="186">
        <f xml:space="preserve"> ConTime!F$56</f>
        <v>0</v>
      </c>
      <c r="G277" s="186" t="str">
        <f xml:space="preserve"> ConTime!G$56</f>
        <v>counter</v>
      </c>
      <c r="H277" s="186">
        <f xml:space="preserve"> ConTime!H$56</f>
        <v>0</v>
      </c>
      <c r="I277" s="186">
        <f xml:space="preserve"> ConTime!I$56</f>
        <v>0</v>
      </c>
      <c r="J277" s="186">
        <f xml:space="preserve"> ConTime!J$56</f>
        <v>1</v>
      </c>
      <c r="K277" s="186">
        <f xml:space="preserve"> ConTime!K$56</f>
        <v>1</v>
      </c>
      <c r="L277" s="186">
        <f xml:space="preserve"> ConTime!L$56</f>
        <v>1</v>
      </c>
      <c r="M277" s="186">
        <f xml:space="preserve"> ConTime!M$56</f>
        <v>1</v>
      </c>
      <c r="N277" s="186">
        <f xml:space="preserve"> ConTime!N$56</f>
        <v>1</v>
      </c>
      <c r="O277" s="186">
        <f xml:space="preserve"> ConTime!O$56</f>
        <v>1</v>
      </c>
      <c r="P277" s="186">
        <f xml:space="preserve"> ConTime!P$56</f>
        <v>2</v>
      </c>
      <c r="Q277" s="186">
        <f xml:space="preserve"> ConTime!Q$56</f>
        <v>2</v>
      </c>
      <c r="R277" s="186">
        <f xml:space="preserve"> ConTime!R$56</f>
        <v>2</v>
      </c>
      <c r="S277" s="186">
        <f xml:space="preserve"> ConTime!S$56</f>
        <v>2</v>
      </c>
      <c r="T277" s="186">
        <f xml:space="preserve"> ConTime!T$56</f>
        <v>2</v>
      </c>
      <c r="U277" s="186">
        <f xml:space="preserve"> ConTime!U$56</f>
        <v>2</v>
      </c>
      <c r="V277" s="186">
        <f xml:space="preserve"> ConTime!V$56</f>
        <v>3</v>
      </c>
      <c r="W277" s="186">
        <f xml:space="preserve"> ConTime!W$56</f>
        <v>3</v>
      </c>
      <c r="X277" s="186">
        <f xml:space="preserve"> ConTime!X$56</f>
        <v>3</v>
      </c>
      <c r="Y277" s="186">
        <f xml:space="preserve"> ConTime!Y$56</f>
        <v>3</v>
      </c>
      <c r="Z277" s="186">
        <f xml:space="preserve"> ConTime!Z$56</f>
        <v>3</v>
      </c>
      <c r="AA277" s="186">
        <f xml:space="preserve"> ConTime!AA$56</f>
        <v>3</v>
      </c>
      <c r="AB277" s="186">
        <f xml:space="preserve"> ConTime!AB$56</f>
        <v>4</v>
      </c>
      <c r="AC277" s="186">
        <f xml:space="preserve"> ConTime!AC$56</f>
        <v>4</v>
      </c>
      <c r="AD277" s="186">
        <f xml:space="preserve"> ConTime!AD$56</f>
        <v>4</v>
      </c>
      <c r="AE277" s="186">
        <f xml:space="preserve"> ConTime!AE$56</f>
        <v>4</v>
      </c>
      <c r="AF277" s="186">
        <f xml:space="preserve"> ConTime!AF$56</f>
        <v>4</v>
      </c>
      <c r="AG277" s="186">
        <f xml:space="preserve"> ConTime!AG$56</f>
        <v>4</v>
      </c>
      <c r="AH277" s="186">
        <f xml:space="preserve"> ConTime!AH$56</f>
        <v>5</v>
      </c>
      <c r="AI277" s="186">
        <f xml:space="preserve"> ConTime!AI$56</f>
        <v>5</v>
      </c>
      <c r="AJ277" s="186">
        <f xml:space="preserve"> ConTime!AJ$56</f>
        <v>5</v>
      </c>
      <c r="AK277" s="186">
        <f xml:space="preserve"> ConTime!AK$56</f>
        <v>5</v>
      </c>
      <c r="AL277" s="186">
        <f xml:space="preserve"> ConTime!AL$56</f>
        <v>5</v>
      </c>
      <c r="AM277" s="186">
        <f xml:space="preserve"> ConTime!AM$56</f>
        <v>5</v>
      </c>
      <c r="AN277" s="186">
        <f xml:space="preserve"> ConTime!AN$56</f>
        <v>6</v>
      </c>
      <c r="AO277" s="186">
        <f xml:space="preserve"> ConTime!AO$56</f>
        <v>6</v>
      </c>
      <c r="AP277" s="186">
        <f xml:space="preserve"> ConTime!AP$56</f>
        <v>6</v>
      </c>
      <c r="AQ277" s="186">
        <f xml:space="preserve"> ConTime!AQ$56</f>
        <v>6</v>
      </c>
      <c r="AR277" s="186">
        <f xml:space="preserve"> ConTime!AR$56</f>
        <v>6</v>
      </c>
      <c r="AS277" s="186">
        <f xml:space="preserve"> ConTime!AS$56</f>
        <v>6</v>
      </c>
      <c r="AT277" s="186">
        <f xml:space="preserve"> ConTime!AT$56</f>
        <v>7</v>
      </c>
      <c r="AU277" s="186">
        <f xml:space="preserve"> ConTime!AU$56</f>
        <v>7</v>
      </c>
      <c r="AV277" s="186">
        <f xml:space="preserve"> ConTime!AV$56</f>
        <v>7</v>
      </c>
      <c r="AW277" s="186">
        <f xml:space="preserve"> ConTime!AW$56</f>
        <v>7</v>
      </c>
      <c r="AX277" s="186">
        <f xml:space="preserve"> ConTime!AX$56</f>
        <v>7</v>
      </c>
      <c r="AY277" s="186">
        <f xml:space="preserve"> ConTime!AY$56</f>
        <v>7</v>
      </c>
      <c r="AZ277" s="186">
        <f xml:space="preserve"> ConTime!AZ$56</f>
        <v>8</v>
      </c>
      <c r="BA277" s="186">
        <f xml:space="preserve"> ConTime!BA$56</f>
        <v>8</v>
      </c>
      <c r="BB277" s="186">
        <f xml:space="preserve"> ConTime!BB$56</f>
        <v>8</v>
      </c>
      <c r="BC277" s="186">
        <f xml:space="preserve"> ConTime!BC$56</f>
        <v>8</v>
      </c>
      <c r="BD277" s="186">
        <f xml:space="preserve"> ConTime!BD$56</f>
        <v>8</v>
      </c>
      <c r="BE277" s="186">
        <f xml:space="preserve"> ConTime!BE$56</f>
        <v>8</v>
      </c>
    </row>
    <row r="278" spans="1:57" hidden="1" outlineLevel="1" x14ac:dyDescent="0.2">
      <c r="E278" s="12" t="str">
        <f t="shared" ref="E278:AJ278" si="107" xml:space="preserve"> E$228</f>
        <v>Early generation profit credited to WIP - m</v>
      </c>
      <c r="F278" s="12">
        <f t="shared" si="107"/>
        <v>0</v>
      </c>
      <c r="G278" s="12" t="str">
        <f t="shared" si="107"/>
        <v>$ 000s</v>
      </c>
      <c r="H278" s="12">
        <f t="shared" si="107"/>
        <v>13930</v>
      </c>
      <c r="I278" s="12">
        <f t="shared" si="107"/>
        <v>0</v>
      </c>
      <c r="J278" s="12">
        <f t="shared" si="107"/>
        <v>0</v>
      </c>
      <c r="K278" s="12">
        <f t="shared" si="107"/>
        <v>0</v>
      </c>
      <c r="L278" s="12">
        <f t="shared" si="107"/>
        <v>0</v>
      </c>
      <c r="M278" s="12">
        <f t="shared" si="107"/>
        <v>0</v>
      </c>
      <c r="N278" s="12">
        <f t="shared" si="107"/>
        <v>0</v>
      </c>
      <c r="O278" s="12">
        <f t="shared" si="107"/>
        <v>0</v>
      </c>
      <c r="P278" s="12">
        <f t="shared" si="107"/>
        <v>0</v>
      </c>
      <c r="Q278" s="12">
        <f t="shared" si="107"/>
        <v>0</v>
      </c>
      <c r="R278" s="12">
        <f t="shared" si="107"/>
        <v>0</v>
      </c>
      <c r="S278" s="12">
        <f t="shared" si="107"/>
        <v>0</v>
      </c>
      <c r="T278" s="12">
        <f t="shared" si="107"/>
        <v>0</v>
      </c>
      <c r="U278" s="12">
        <f t="shared" si="107"/>
        <v>0</v>
      </c>
      <c r="V278" s="12">
        <f t="shared" si="107"/>
        <v>0</v>
      </c>
      <c r="W278" s="12">
        <f t="shared" si="107"/>
        <v>0</v>
      </c>
      <c r="X278" s="12">
        <f t="shared" si="107"/>
        <v>0</v>
      </c>
      <c r="Y278" s="12">
        <f t="shared" si="107"/>
        <v>0</v>
      </c>
      <c r="Z278" s="12">
        <f t="shared" si="107"/>
        <v>0</v>
      </c>
      <c r="AA278" s="12">
        <f t="shared" si="107"/>
        <v>0</v>
      </c>
      <c r="AB278" s="12">
        <f t="shared" si="107"/>
        <v>0</v>
      </c>
      <c r="AC278" s="12">
        <f t="shared" si="107"/>
        <v>0</v>
      </c>
      <c r="AD278" s="12">
        <f t="shared" si="107"/>
        <v>0</v>
      </c>
      <c r="AE278" s="12">
        <f t="shared" si="107"/>
        <v>0</v>
      </c>
      <c r="AF278" s="12">
        <f t="shared" si="107"/>
        <v>0</v>
      </c>
      <c r="AG278" s="12">
        <f t="shared" si="107"/>
        <v>1990</v>
      </c>
      <c r="AH278" s="12">
        <f t="shared" si="107"/>
        <v>1990</v>
      </c>
      <c r="AI278" s="12">
        <f t="shared" si="107"/>
        <v>1990</v>
      </c>
      <c r="AJ278" s="12">
        <f t="shared" si="107"/>
        <v>1990</v>
      </c>
      <c r="AK278" s="12">
        <f t="shared" ref="AK278:BE278" si="108" xml:space="preserve"> AK$228</f>
        <v>1990</v>
      </c>
      <c r="AL278" s="12">
        <f t="shared" si="108"/>
        <v>1990</v>
      </c>
      <c r="AM278" s="12">
        <f t="shared" si="108"/>
        <v>1990</v>
      </c>
      <c r="AN278" s="12">
        <f t="shared" si="108"/>
        <v>0</v>
      </c>
      <c r="AO278" s="12">
        <f t="shared" si="108"/>
        <v>0</v>
      </c>
      <c r="AP278" s="12">
        <f t="shared" si="108"/>
        <v>0</v>
      </c>
      <c r="AQ278" s="12">
        <f t="shared" si="108"/>
        <v>0</v>
      </c>
      <c r="AR278" s="12">
        <f t="shared" si="108"/>
        <v>0</v>
      </c>
      <c r="AS278" s="12">
        <f t="shared" si="108"/>
        <v>0</v>
      </c>
      <c r="AT278" s="12">
        <f t="shared" si="108"/>
        <v>0</v>
      </c>
      <c r="AU278" s="12">
        <f t="shared" si="108"/>
        <v>0</v>
      </c>
      <c r="AV278" s="12">
        <f t="shared" si="108"/>
        <v>0</v>
      </c>
      <c r="AW278" s="12">
        <f t="shared" si="108"/>
        <v>0</v>
      </c>
      <c r="AX278" s="12">
        <f t="shared" si="108"/>
        <v>0</v>
      </c>
      <c r="AY278" s="12">
        <f t="shared" si="108"/>
        <v>0</v>
      </c>
      <c r="AZ278" s="12">
        <f t="shared" si="108"/>
        <v>0</v>
      </c>
      <c r="BA278" s="12">
        <f t="shared" si="108"/>
        <v>0</v>
      </c>
      <c r="BB278" s="12">
        <f t="shared" si="108"/>
        <v>0</v>
      </c>
      <c r="BC278" s="12">
        <f t="shared" si="108"/>
        <v>0</v>
      </c>
      <c r="BD278" s="12">
        <f t="shared" si="108"/>
        <v>0</v>
      </c>
      <c r="BE278" s="12">
        <f t="shared" si="108"/>
        <v>0</v>
      </c>
    </row>
    <row r="279" spans="1:57" s="629" customFormat="1" hidden="1" outlineLevel="1" x14ac:dyDescent="0.2">
      <c r="A279" s="904"/>
      <c r="B279" s="904"/>
      <c r="C279" s="905"/>
      <c r="D279" s="906"/>
      <c r="E279" s="908" t="s">
        <v>745</v>
      </c>
      <c r="F279" s="907"/>
      <c r="G279" s="907" t="str">
        <f xml:space="preserve"> SMU</f>
        <v>$ 000s</v>
      </c>
      <c r="H279" s="907">
        <f xml:space="preserve"> SUM(J279:BE279)</f>
        <v>13930</v>
      </c>
      <c r="I279" s="908"/>
      <c r="J279" s="907">
        <f t="shared" ref="J279:BE279" si="109" xml:space="preserve"> SUMIF($J277:$BE277, J276, $J278:$BE278)</f>
        <v>0</v>
      </c>
      <c r="K279" s="907">
        <f t="shared" si="109"/>
        <v>0</v>
      </c>
      <c r="L279" s="907">
        <f t="shared" si="109"/>
        <v>0</v>
      </c>
      <c r="M279" s="907">
        <f t="shared" si="109"/>
        <v>1990</v>
      </c>
      <c r="N279" s="907">
        <f t="shared" si="109"/>
        <v>11940</v>
      </c>
      <c r="O279" s="907">
        <f t="shared" si="109"/>
        <v>0</v>
      </c>
      <c r="P279" s="907">
        <f t="shared" si="109"/>
        <v>0</v>
      </c>
      <c r="Q279" s="907">
        <f t="shared" si="109"/>
        <v>0</v>
      </c>
      <c r="R279" s="907">
        <f t="shared" si="109"/>
        <v>0</v>
      </c>
      <c r="S279" s="907">
        <f t="shared" si="109"/>
        <v>0</v>
      </c>
      <c r="T279" s="907">
        <f t="shared" si="109"/>
        <v>0</v>
      </c>
      <c r="U279" s="907">
        <f t="shared" si="109"/>
        <v>0</v>
      </c>
      <c r="V279" s="907">
        <f t="shared" si="109"/>
        <v>0</v>
      </c>
      <c r="W279" s="907">
        <f t="shared" si="109"/>
        <v>0</v>
      </c>
      <c r="X279" s="907">
        <f t="shared" si="109"/>
        <v>0</v>
      </c>
      <c r="Y279" s="907">
        <f t="shared" si="109"/>
        <v>0</v>
      </c>
      <c r="Z279" s="907">
        <f t="shared" si="109"/>
        <v>0</v>
      </c>
      <c r="AA279" s="907">
        <f t="shared" si="109"/>
        <v>0</v>
      </c>
      <c r="AB279" s="907">
        <f t="shared" si="109"/>
        <v>0</v>
      </c>
      <c r="AC279" s="907">
        <f t="shared" si="109"/>
        <v>0</v>
      </c>
      <c r="AD279" s="907">
        <f t="shared" si="109"/>
        <v>0</v>
      </c>
      <c r="AE279" s="907">
        <f t="shared" si="109"/>
        <v>0</v>
      </c>
      <c r="AF279" s="907">
        <f t="shared" si="109"/>
        <v>0</v>
      </c>
      <c r="AG279" s="907">
        <f t="shared" si="109"/>
        <v>0</v>
      </c>
      <c r="AH279" s="907">
        <f t="shared" si="109"/>
        <v>0</v>
      </c>
      <c r="AI279" s="907">
        <f t="shared" si="109"/>
        <v>0</v>
      </c>
      <c r="AJ279" s="907">
        <f t="shared" si="109"/>
        <v>0</v>
      </c>
      <c r="AK279" s="907">
        <f t="shared" si="109"/>
        <v>0</v>
      </c>
      <c r="AL279" s="907">
        <f t="shared" si="109"/>
        <v>0</v>
      </c>
      <c r="AM279" s="907">
        <f t="shared" si="109"/>
        <v>0</v>
      </c>
      <c r="AN279" s="907">
        <f t="shared" si="109"/>
        <v>0</v>
      </c>
      <c r="AO279" s="907">
        <f t="shared" si="109"/>
        <v>0</v>
      </c>
      <c r="AP279" s="907">
        <f t="shared" si="109"/>
        <v>0</v>
      </c>
      <c r="AQ279" s="907">
        <f t="shared" si="109"/>
        <v>0</v>
      </c>
      <c r="AR279" s="907">
        <f t="shared" si="109"/>
        <v>0</v>
      </c>
      <c r="AS279" s="907">
        <f t="shared" si="109"/>
        <v>0</v>
      </c>
      <c r="AT279" s="907">
        <f t="shared" si="109"/>
        <v>0</v>
      </c>
      <c r="AU279" s="907">
        <f t="shared" si="109"/>
        <v>0</v>
      </c>
      <c r="AV279" s="907">
        <f t="shared" si="109"/>
        <v>0</v>
      </c>
      <c r="AW279" s="907">
        <f t="shared" si="109"/>
        <v>0</v>
      </c>
      <c r="AX279" s="907">
        <f t="shared" si="109"/>
        <v>0</v>
      </c>
      <c r="AY279" s="907">
        <f t="shared" si="109"/>
        <v>0</v>
      </c>
      <c r="AZ279" s="907">
        <f t="shared" si="109"/>
        <v>0</v>
      </c>
      <c r="BA279" s="907">
        <f t="shared" si="109"/>
        <v>0</v>
      </c>
      <c r="BB279" s="907">
        <f t="shared" si="109"/>
        <v>0</v>
      </c>
      <c r="BC279" s="907">
        <f t="shared" si="109"/>
        <v>0</v>
      </c>
      <c r="BD279" s="907">
        <f t="shared" si="109"/>
        <v>0</v>
      </c>
      <c r="BE279" s="907">
        <f t="shared" si="109"/>
        <v>0</v>
      </c>
    </row>
    <row r="280" spans="1:57" hidden="1" outlineLevel="1" x14ac:dyDescent="0.2"/>
    <row r="281" spans="1:57" x14ac:dyDescent="0.2"/>
    <row r="282" spans="1:57" x14ac:dyDescent="0.2">
      <c r="A282" s="15" t="s">
        <v>62</v>
      </c>
    </row>
    <row r="338" x14ac:dyDescent="0.2"/>
    <row r="339" x14ac:dyDescent="0.2"/>
    <row r="340" x14ac:dyDescent="0.2"/>
    <row r="341" x14ac:dyDescent="0.2"/>
    <row r="342" x14ac:dyDescent="0.2"/>
    <row r="343" x14ac:dyDescent="0.2"/>
  </sheetData>
  <conditionalFormatting sqref="J3:BE3">
    <cfRule type="cellIs" dxfId="216" priority="8" stopIfTrue="1" operator="equal">
      <formula>"Construction"</formula>
    </cfRule>
    <cfRule type="cellIs" dxfId="215" priority="9" stopIfTrue="1" operator="equal">
      <formula>"Operations"</formula>
    </cfRule>
  </conditionalFormatting>
  <conditionalFormatting sqref="J3:BE3">
    <cfRule type="cellIs" dxfId="214" priority="7" operator="equal">
      <formula>"Fin Close"</formula>
    </cfRule>
  </conditionalFormatting>
  <conditionalFormatting sqref="J3:BE3">
    <cfRule type="cellIs" dxfId="213" priority="5" operator="equal">
      <formula>"PPA ext."</formula>
    </cfRule>
    <cfRule type="cellIs" dxfId="212" priority="6" operator="equal">
      <formula>"Delay"</formula>
    </cfRule>
  </conditionalFormatting>
  <conditionalFormatting sqref="F2:F4">
    <cfRule type="cellIs" dxfId="211" priority="1" stopIfTrue="1" operator="notEqual">
      <formula>0</formula>
    </cfRule>
    <cfRule type="cellIs" dxfId="210" priority="2" stopIfTrue="1" operator="equal">
      <formula>""</formula>
    </cfRule>
  </conditionalFormatting>
  <conditionalFormatting sqref="F2:F4">
    <cfRule type="cellIs" dxfId="209" priority="3" stopIfTrue="1" operator="notEqual">
      <formula>0</formula>
    </cfRule>
    <cfRule type="cellIs" dxfId="208" priority="4" stopIfTrue="1" operator="equal">
      <formula>""</formula>
    </cfRule>
  </conditionalFormatting>
  <dataValidations count="1">
    <dataValidation allowBlank="1" showInputMessage="1" showErrorMessage="1" sqref="E20:H21 E56:H56 E34:H34 E39:H39 E44:H44 E144:H145 E13:H15 E30:G30 E10:G10 E49:H50 E61:H61" xr:uid="{4FC4BD48-1697-4644-A0DF-23A71E6F28F5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9F68-23B6-4F6D-B5A3-93E862BB0F78}">
  <sheetPr codeName="Sheet22">
    <tabColor theme="1" tint="0.499984740745262"/>
    <outlinePr summaryBelow="0" summaryRight="0"/>
  </sheetPr>
  <dimension ref="A1:KT753"/>
  <sheetViews>
    <sheetView showFormulas="1"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N21" sqref="N21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57" width="11.5703125" style="12" customWidth="1"/>
    <col min="58" max="16384" width="11.5703125" hidden="1"/>
  </cols>
  <sheetData>
    <row r="1" spans="1:306" s="38" customFormat="1" ht="26.25" x14ac:dyDescent="0.2">
      <c r="A1" s="24" t="str">
        <f ca="1" xml:space="preserve"> RIGHT(CELL("filename", A1), LEN(CELL("filename", A1)) - SEARCH("]", CELL("filename", A1))) &amp; " - " &amp; InpC!F3</f>
        <v>ConFin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</row>
    <row r="2" spans="1:306" s="477" customFormat="1" x14ac:dyDescent="0.2">
      <c r="C2" s="292"/>
      <c r="D2" s="293"/>
      <c r="E2" s="194" t="str">
        <f xml:space="preserve"> ConTime!E$23</f>
        <v>Model period ending - m</v>
      </c>
      <c r="F2" s="478">
        <f ca="1" xml:space="preserve"> Check!$F$9</f>
        <v>1</v>
      </c>
      <c r="G2" s="479" t="s">
        <v>23</v>
      </c>
      <c r="H2" s="194"/>
      <c r="I2" s="442"/>
      <c r="J2" s="195">
        <f xml:space="preserve"> ConTime!J$23</f>
        <v>44592</v>
      </c>
      <c r="K2" s="195">
        <f xml:space="preserve"> ConTime!K$23</f>
        <v>44620</v>
      </c>
      <c r="L2" s="195">
        <f xml:space="preserve"> ConTime!L$23</f>
        <v>44651</v>
      </c>
      <c r="M2" s="195">
        <f xml:space="preserve"> ConTime!M$23</f>
        <v>44681</v>
      </c>
      <c r="N2" s="195">
        <f xml:space="preserve"> ConTime!N$23</f>
        <v>44712</v>
      </c>
      <c r="O2" s="195">
        <f xml:space="preserve"> ConTime!O$23</f>
        <v>44742</v>
      </c>
      <c r="P2" s="195">
        <f xml:space="preserve"> ConTime!P$23</f>
        <v>44773</v>
      </c>
      <c r="Q2" s="195">
        <f xml:space="preserve"> ConTime!Q$23</f>
        <v>44804</v>
      </c>
      <c r="R2" s="195">
        <f xml:space="preserve"> ConTime!R$23</f>
        <v>44834</v>
      </c>
      <c r="S2" s="195">
        <f xml:space="preserve"> ConTime!S$23</f>
        <v>44865</v>
      </c>
      <c r="T2" s="195">
        <f xml:space="preserve"> ConTime!T$23</f>
        <v>44895</v>
      </c>
      <c r="U2" s="195">
        <f xml:space="preserve"> ConTime!U$23</f>
        <v>44926</v>
      </c>
      <c r="V2" s="195">
        <f xml:space="preserve"> ConTime!V$23</f>
        <v>44957</v>
      </c>
      <c r="W2" s="195">
        <f xml:space="preserve"> ConTime!W$23</f>
        <v>44985</v>
      </c>
      <c r="X2" s="195">
        <f xml:space="preserve"> ConTime!X$23</f>
        <v>45016</v>
      </c>
      <c r="Y2" s="195">
        <f xml:space="preserve"> ConTime!Y$23</f>
        <v>45046</v>
      </c>
      <c r="Z2" s="195">
        <f xml:space="preserve"> ConTime!Z$23</f>
        <v>45077</v>
      </c>
      <c r="AA2" s="195">
        <f xml:space="preserve"> ConTime!AA$23</f>
        <v>45107</v>
      </c>
      <c r="AB2" s="195">
        <f xml:space="preserve"> ConTime!AB$23</f>
        <v>45138</v>
      </c>
      <c r="AC2" s="195">
        <f xml:space="preserve"> ConTime!AC$23</f>
        <v>45169</v>
      </c>
      <c r="AD2" s="195">
        <f xml:space="preserve"> ConTime!AD$23</f>
        <v>45199</v>
      </c>
      <c r="AE2" s="195">
        <f xml:space="preserve"> ConTime!AE$23</f>
        <v>45230</v>
      </c>
      <c r="AF2" s="195">
        <f xml:space="preserve"> ConTime!AF$23</f>
        <v>45260</v>
      </c>
      <c r="AG2" s="195">
        <f xml:space="preserve"> ConTime!AG$23</f>
        <v>45291</v>
      </c>
      <c r="AH2" s="195">
        <f xml:space="preserve"> ConTime!AH$23</f>
        <v>45322</v>
      </c>
      <c r="AI2" s="195">
        <f xml:space="preserve"> ConTime!AI$23</f>
        <v>45351</v>
      </c>
      <c r="AJ2" s="195">
        <f xml:space="preserve"> ConTime!AJ$23</f>
        <v>45382</v>
      </c>
      <c r="AK2" s="195">
        <f xml:space="preserve"> ConTime!AK$23</f>
        <v>45412</v>
      </c>
      <c r="AL2" s="195">
        <f xml:space="preserve"> ConTime!AL$23</f>
        <v>45443</v>
      </c>
      <c r="AM2" s="195">
        <f xml:space="preserve"> ConTime!AM$23</f>
        <v>45473</v>
      </c>
      <c r="AN2" s="195">
        <f xml:space="preserve"> ConTime!AN$23</f>
        <v>45504</v>
      </c>
      <c r="AO2" s="195">
        <f xml:space="preserve"> ConTime!AO$23</f>
        <v>45535</v>
      </c>
      <c r="AP2" s="195">
        <f xml:space="preserve"> ConTime!AP$23</f>
        <v>45565</v>
      </c>
      <c r="AQ2" s="195">
        <f xml:space="preserve"> ConTime!AQ$23</f>
        <v>45596</v>
      </c>
      <c r="AR2" s="195">
        <f xml:space="preserve"> ConTime!AR$23</f>
        <v>45626</v>
      </c>
      <c r="AS2" s="195">
        <f xml:space="preserve"> ConTime!AS$23</f>
        <v>45657</v>
      </c>
      <c r="AT2" s="195">
        <f xml:space="preserve"> ConTime!AT$23</f>
        <v>45688</v>
      </c>
      <c r="AU2" s="195">
        <f xml:space="preserve"> ConTime!AU$23</f>
        <v>45716</v>
      </c>
      <c r="AV2" s="195">
        <f xml:space="preserve"> ConTime!AV$23</f>
        <v>45747</v>
      </c>
      <c r="AW2" s="195">
        <f xml:space="preserve"> ConTime!AW$23</f>
        <v>45777</v>
      </c>
      <c r="AX2" s="195">
        <f xml:space="preserve"> ConTime!AX$23</f>
        <v>45808</v>
      </c>
      <c r="AY2" s="195">
        <f xml:space="preserve"> ConTime!AY$23</f>
        <v>45838</v>
      </c>
      <c r="AZ2" s="195">
        <f xml:space="preserve"> ConTime!AZ$23</f>
        <v>45869</v>
      </c>
      <c r="BA2" s="195">
        <f xml:space="preserve"> ConTime!BA$23</f>
        <v>45900</v>
      </c>
      <c r="BB2" s="195">
        <f xml:space="preserve"> ConTime!BB$23</f>
        <v>45930</v>
      </c>
      <c r="BC2" s="195">
        <f xml:space="preserve"> ConTime!BC$23</f>
        <v>45961</v>
      </c>
      <c r="BD2" s="195">
        <f xml:space="preserve"> ConTime!BD$23</f>
        <v>45991</v>
      </c>
      <c r="BE2" s="195">
        <f xml:space="preserve"> ConTime!BE$23</f>
        <v>46022</v>
      </c>
    </row>
    <row r="3" spans="1:306" s="281" customFormat="1" x14ac:dyDescent="0.2">
      <c r="A3" s="236"/>
      <c r="B3" s="236"/>
      <c r="C3" s="237"/>
      <c r="D3" s="238"/>
      <c r="E3" s="486" t="str">
        <f xml:space="preserve"> ConTime!E$50</f>
        <v>Timeline label - m</v>
      </c>
      <c r="F3" s="478">
        <f ca="1" xml:space="preserve"> Output!J2</f>
        <v>82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</row>
    <row r="4" spans="1:306" s="281" customFormat="1" x14ac:dyDescent="0.2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2022</v>
      </c>
      <c r="K4" s="488">
        <f xml:space="preserve"> Time!K$39</f>
        <v>2023</v>
      </c>
      <c r="L4" s="488">
        <f xml:space="preserve"> Time!L$39</f>
        <v>2023</v>
      </c>
      <c r="M4" s="488">
        <f xml:space="preserve"> Time!M$39</f>
        <v>2024</v>
      </c>
      <c r="N4" s="488">
        <f xml:space="preserve"> Time!N$39</f>
        <v>2024</v>
      </c>
      <c r="O4" s="488">
        <f xml:space="preserve"> Time!O$39</f>
        <v>2025</v>
      </c>
      <c r="P4" s="488">
        <f xml:space="preserve"> Time!P$39</f>
        <v>2025</v>
      </c>
      <c r="Q4" s="488">
        <f xml:space="preserve"> Time!Q$39</f>
        <v>2026</v>
      </c>
      <c r="R4" s="488">
        <f xml:space="preserve"> Time!R$39</f>
        <v>2026</v>
      </c>
      <c r="S4" s="488">
        <f xml:space="preserve"> Time!S$39</f>
        <v>2027</v>
      </c>
      <c r="T4" s="488">
        <f xml:space="preserve"> Time!T$39</f>
        <v>2027</v>
      </c>
      <c r="U4" s="488">
        <f xml:space="preserve"> Time!U$39</f>
        <v>2028</v>
      </c>
      <c r="V4" s="488">
        <f xml:space="preserve"> Time!V$39</f>
        <v>2028</v>
      </c>
      <c r="W4" s="488">
        <f xml:space="preserve"> Time!W$39</f>
        <v>2029</v>
      </c>
      <c r="X4" s="488">
        <f xml:space="preserve"> Time!X$39</f>
        <v>2029</v>
      </c>
      <c r="Y4" s="488">
        <f xml:space="preserve"> Time!Y$39</f>
        <v>2030</v>
      </c>
      <c r="Z4" s="488">
        <f xml:space="preserve"> Time!Z$39</f>
        <v>2030</v>
      </c>
      <c r="AA4" s="488">
        <f xml:space="preserve"> Time!AA$39</f>
        <v>2031</v>
      </c>
      <c r="AB4" s="488">
        <f xml:space="preserve"> Time!AB$39</f>
        <v>2031</v>
      </c>
      <c r="AC4" s="488">
        <f xml:space="preserve"> Time!AC$39</f>
        <v>2032</v>
      </c>
      <c r="AD4" s="488">
        <f xml:space="preserve"> Time!AD$39</f>
        <v>2032</v>
      </c>
      <c r="AE4" s="488">
        <f xml:space="preserve"> Time!AE$39</f>
        <v>2033</v>
      </c>
      <c r="AF4" s="488">
        <f xml:space="preserve"> Time!AF$39</f>
        <v>2033</v>
      </c>
      <c r="AG4" s="488">
        <f xml:space="preserve"> Time!AG$39</f>
        <v>2034</v>
      </c>
      <c r="AH4" s="488">
        <f xml:space="preserve"> Time!AH$39</f>
        <v>2034</v>
      </c>
      <c r="AI4" s="488">
        <f xml:space="preserve"> Time!AI$39</f>
        <v>2035</v>
      </c>
      <c r="AJ4" s="488">
        <f xml:space="preserve"> Time!AJ$39</f>
        <v>2035</v>
      </c>
      <c r="AK4" s="488">
        <f xml:space="preserve"> Time!AK$39</f>
        <v>2036</v>
      </c>
      <c r="AL4" s="488">
        <f xml:space="preserve"> Time!AL$39</f>
        <v>2036</v>
      </c>
      <c r="AM4" s="488">
        <f xml:space="preserve"> Time!AM$39</f>
        <v>2037</v>
      </c>
      <c r="AN4" s="488">
        <f xml:space="preserve"> Time!AN$39</f>
        <v>2037</v>
      </c>
      <c r="AO4" s="488">
        <f xml:space="preserve"> Time!AO$39</f>
        <v>2038</v>
      </c>
      <c r="AP4" s="488">
        <f xml:space="preserve"> Time!AP$39</f>
        <v>2038</v>
      </c>
      <c r="AQ4" s="488">
        <f xml:space="preserve"> Time!AQ$39</f>
        <v>2039</v>
      </c>
      <c r="AR4" s="488">
        <f xml:space="preserve"> Time!AR$39</f>
        <v>2039</v>
      </c>
      <c r="AS4" s="488">
        <f xml:space="preserve"> Time!AS$39</f>
        <v>2040</v>
      </c>
      <c r="AT4" s="488">
        <f xml:space="preserve"> Time!AT$39</f>
        <v>2040</v>
      </c>
      <c r="AU4" s="488">
        <f xml:space="preserve"> Time!AU$39</f>
        <v>2041</v>
      </c>
      <c r="AV4" s="488">
        <f xml:space="preserve"> Time!AV$39</f>
        <v>2041</v>
      </c>
      <c r="AW4" s="488">
        <f xml:space="preserve"> Time!AW$39</f>
        <v>2042</v>
      </c>
      <c r="AX4" s="488">
        <f xml:space="preserve"> Time!AX$39</f>
        <v>2042</v>
      </c>
      <c r="AY4" s="488">
        <f xml:space="preserve"> Time!AY$39</f>
        <v>2043</v>
      </c>
      <c r="AZ4" s="488">
        <f xml:space="preserve"> Time!AZ$39</f>
        <v>2043</v>
      </c>
      <c r="BA4" s="488">
        <f xml:space="preserve"> Time!BA$39</f>
        <v>2044</v>
      </c>
      <c r="BB4" s="488">
        <f xml:space="preserve"> Time!BB$39</f>
        <v>2044</v>
      </c>
      <c r="BC4" s="488">
        <f xml:space="preserve"> Time!BC$39</f>
        <v>2045</v>
      </c>
      <c r="BD4" s="488">
        <f xml:space="preserve"> Time!BD$39</f>
        <v>2045</v>
      </c>
      <c r="BE4" s="488">
        <f xml:space="preserve"> Time!BE$39</f>
        <v>2046</v>
      </c>
    </row>
    <row r="5" spans="1:306" s="10" customFormat="1" x14ac:dyDescent="0.2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</row>
    <row r="7" spans="1:306" x14ac:dyDescent="0.2">
      <c r="A7" s="15" t="s">
        <v>262</v>
      </c>
    </row>
    <row r="8" spans="1:306" outlineLevel="1" x14ac:dyDescent="0.2"/>
    <row r="9" spans="1:306" s="77" customFormat="1" outlineLevel="1" x14ac:dyDescent="0.2">
      <c r="A9" s="85"/>
      <c r="B9" s="85"/>
      <c r="C9" s="86"/>
      <c r="D9" s="87"/>
      <c r="E9" s="68" t="str">
        <f xml:space="preserve"> ConCost!E$17</f>
        <v>EPC base cost including overrun</v>
      </c>
      <c r="F9" s="68">
        <f xml:space="preserve"> ConCost!F$17</f>
        <v>0</v>
      </c>
      <c r="G9" s="68" t="str">
        <f xml:space="preserve"> ConCost!G$17</f>
        <v>$ 000s</v>
      </c>
      <c r="H9" s="68">
        <f xml:space="preserve"> ConCost!H$17</f>
        <v>300000</v>
      </c>
      <c r="I9" s="68">
        <f xml:space="preserve"> ConCost!I$17</f>
        <v>0</v>
      </c>
      <c r="J9" s="68">
        <f xml:space="preserve"> ConCost!J$17</f>
        <v>0</v>
      </c>
      <c r="K9" s="68">
        <f xml:space="preserve"> ConCost!K$17</f>
        <v>0</v>
      </c>
      <c r="L9" s="68">
        <f xml:space="preserve"> ConCost!L$17</f>
        <v>0</v>
      </c>
      <c r="M9" s="68">
        <f xml:space="preserve"> ConCost!M$17</f>
        <v>0</v>
      </c>
      <c r="N9" s="68">
        <f xml:space="preserve"> ConCost!N$17</f>
        <v>11538.461538461539</v>
      </c>
      <c r="O9" s="68">
        <f xml:space="preserve"> ConCost!O$17</f>
        <v>11538.461538461539</v>
      </c>
      <c r="P9" s="68">
        <f xml:space="preserve"> ConCost!P$17</f>
        <v>11538.461538461539</v>
      </c>
      <c r="Q9" s="68">
        <f xml:space="preserve"> ConCost!Q$17</f>
        <v>11538.461538461539</v>
      </c>
      <c r="R9" s="68">
        <f xml:space="preserve"> ConCost!R$17</f>
        <v>11538.461538461539</v>
      </c>
      <c r="S9" s="68">
        <f xml:space="preserve"> ConCost!S$17</f>
        <v>11538.461538461539</v>
      </c>
      <c r="T9" s="68">
        <f xml:space="preserve"> ConCost!T$17</f>
        <v>11538.461538461539</v>
      </c>
      <c r="U9" s="68">
        <f xml:space="preserve"> ConCost!U$17</f>
        <v>11538.461538461539</v>
      </c>
      <c r="V9" s="68">
        <f xml:space="preserve"> ConCost!V$17</f>
        <v>11538.461538461539</v>
      </c>
      <c r="W9" s="68">
        <f xml:space="preserve"> ConCost!W$17</f>
        <v>11538.461538461539</v>
      </c>
      <c r="X9" s="68">
        <f xml:space="preserve"> ConCost!X$17</f>
        <v>11538.461538461539</v>
      </c>
      <c r="Y9" s="68">
        <f xml:space="preserve"> ConCost!Y$17</f>
        <v>11538.461538461539</v>
      </c>
      <c r="Z9" s="68">
        <f xml:space="preserve"> ConCost!Z$17</f>
        <v>11538.461538461539</v>
      </c>
      <c r="AA9" s="68">
        <f xml:space="preserve"> ConCost!AA$17</f>
        <v>11538.461538461539</v>
      </c>
      <c r="AB9" s="68">
        <f xml:space="preserve"> ConCost!AB$17</f>
        <v>11538.461538461539</v>
      </c>
      <c r="AC9" s="68">
        <f xml:space="preserve"> ConCost!AC$17</f>
        <v>11538.461538461539</v>
      </c>
      <c r="AD9" s="68">
        <f xml:space="preserve"> ConCost!AD$17</f>
        <v>11538.461538461539</v>
      </c>
      <c r="AE9" s="68">
        <f xml:space="preserve"> ConCost!AE$17</f>
        <v>11538.461538461539</v>
      </c>
      <c r="AF9" s="68">
        <f xml:space="preserve"> ConCost!AF$17</f>
        <v>11538.461538461539</v>
      </c>
      <c r="AG9" s="68">
        <f xml:space="preserve"> ConCost!AG$17</f>
        <v>11538.461538461539</v>
      </c>
      <c r="AH9" s="68">
        <f xml:space="preserve"> ConCost!AH$17</f>
        <v>11538.461538461539</v>
      </c>
      <c r="AI9" s="68">
        <f xml:space="preserve"> ConCost!AI$17</f>
        <v>11538.461538461539</v>
      </c>
      <c r="AJ9" s="68">
        <f xml:space="preserve"> ConCost!AJ$17</f>
        <v>11538.461538461539</v>
      </c>
      <c r="AK9" s="68">
        <f xml:space="preserve"> ConCost!AK$17</f>
        <v>11538.461538461539</v>
      </c>
      <c r="AL9" s="68">
        <f xml:space="preserve"> ConCost!AL$17</f>
        <v>11538.461538461539</v>
      </c>
      <c r="AM9" s="68">
        <f xml:space="preserve"> ConCost!AM$17</f>
        <v>11538.461538461539</v>
      </c>
      <c r="AN9" s="68">
        <f xml:space="preserve"> ConCost!AN$17</f>
        <v>0</v>
      </c>
      <c r="AO9" s="68">
        <f xml:space="preserve"> ConCost!AO$17</f>
        <v>0</v>
      </c>
      <c r="AP9" s="68">
        <f xml:space="preserve"> ConCost!AP$17</f>
        <v>0</v>
      </c>
      <c r="AQ9" s="68">
        <f xml:space="preserve"> ConCost!AQ$17</f>
        <v>0</v>
      </c>
      <c r="AR9" s="68">
        <f xml:space="preserve"> ConCost!AR$17</f>
        <v>0</v>
      </c>
      <c r="AS9" s="68">
        <f xml:space="preserve"> ConCost!AS$17</f>
        <v>0</v>
      </c>
      <c r="AT9" s="68">
        <f xml:space="preserve"> ConCost!AT$17</f>
        <v>0</v>
      </c>
      <c r="AU9" s="68">
        <f xml:space="preserve"> ConCost!AU$17</f>
        <v>0</v>
      </c>
      <c r="AV9" s="68">
        <f xml:space="preserve"> ConCost!AV$17</f>
        <v>0</v>
      </c>
      <c r="AW9" s="68">
        <f xml:space="preserve"> ConCost!AW$17</f>
        <v>0</v>
      </c>
      <c r="AX9" s="68">
        <f xml:space="preserve"> ConCost!AX$17</f>
        <v>0</v>
      </c>
      <c r="AY9" s="68">
        <f xml:space="preserve"> ConCost!AY$17</f>
        <v>0</v>
      </c>
      <c r="AZ9" s="68">
        <f xml:space="preserve"> ConCost!AZ$17</f>
        <v>0</v>
      </c>
      <c r="BA9" s="68">
        <f xml:space="preserve"> ConCost!BA$17</f>
        <v>0</v>
      </c>
      <c r="BB9" s="68">
        <f xml:space="preserve"> ConCost!BB$17</f>
        <v>0</v>
      </c>
      <c r="BC9" s="68">
        <f xml:space="preserve"> ConCost!BC$17</f>
        <v>0</v>
      </c>
      <c r="BD9" s="68">
        <f xml:space="preserve"> ConCost!BD$17</f>
        <v>0</v>
      </c>
      <c r="BE9" s="68">
        <f xml:space="preserve"> ConCost!BE$17</f>
        <v>0</v>
      </c>
    </row>
    <row r="10" spans="1:306" s="77" customFormat="1" outlineLevel="1" x14ac:dyDescent="0.2">
      <c r="A10" s="85"/>
      <c r="B10" s="85"/>
      <c r="C10" s="86"/>
      <c r="D10" s="87"/>
      <c r="E10" s="68" t="str">
        <f xml:space="preserve"> ConCost!E$23</f>
        <v>EPC contingency</v>
      </c>
      <c r="F10" s="68">
        <f xml:space="preserve"> ConCost!F$23</f>
        <v>0</v>
      </c>
      <c r="G10" s="68" t="str">
        <f xml:space="preserve"> ConCost!G$23</f>
        <v>$ 000s</v>
      </c>
      <c r="H10" s="68">
        <f xml:space="preserve"> ConCost!H$23</f>
        <v>0</v>
      </c>
      <c r="I10" s="68">
        <f xml:space="preserve"> ConCost!I$23</f>
        <v>0</v>
      </c>
      <c r="J10" s="68">
        <f xml:space="preserve"> ConCost!J$23</f>
        <v>0</v>
      </c>
      <c r="K10" s="68">
        <f xml:space="preserve"> ConCost!K$23</f>
        <v>0</v>
      </c>
      <c r="L10" s="68">
        <f xml:space="preserve"> ConCost!L$23</f>
        <v>0</v>
      </c>
      <c r="M10" s="68">
        <f xml:space="preserve"> ConCost!M$23</f>
        <v>0</v>
      </c>
      <c r="N10" s="68">
        <f xml:space="preserve"> ConCost!N$23</f>
        <v>0</v>
      </c>
      <c r="O10" s="68">
        <f xml:space="preserve"> ConCost!O$23</f>
        <v>0</v>
      </c>
      <c r="P10" s="68">
        <f xml:space="preserve"> ConCost!P$23</f>
        <v>0</v>
      </c>
      <c r="Q10" s="68">
        <f xml:space="preserve"> ConCost!Q$23</f>
        <v>0</v>
      </c>
      <c r="R10" s="68">
        <f xml:space="preserve"> ConCost!R$23</f>
        <v>0</v>
      </c>
      <c r="S10" s="68">
        <f xml:space="preserve"> ConCost!S$23</f>
        <v>0</v>
      </c>
      <c r="T10" s="68">
        <f xml:space="preserve"> ConCost!T$23</f>
        <v>0</v>
      </c>
      <c r="U10" s="68">
        <f xml:space="preserve"> ConCost!U$23</f>
        <v>0</v>
      </c>
      <c r="V10" s="68">
        <f xml:space="preserve"> ConCost!V$23</f>
        <v>0</v>
      </c>
      <c r="W10" s="68">
        <f xml:space="preserve"> ConCost!W$23</f>
        <v>0</v>
      </c>
      <c r="X10" s="68">
        <f xml:space="preserve"> ConCost!X$23</f>
        <v>0</v>
      </c>
      <c r="Y10" s="68">
        <f xml:space="preserve"> ConCost!Y$23</f>
        <v>0</v>
      </c>
      <c r="Z10" s="68">
        <f xml:space="preserve"> ConCost!Z$23</f>
        <v>0</v>
      </c>
      <c r="AA10" s="68">
        <f xml:space="preserve"> ConCost!AA$23</f>
        <v>0</v>
      </c>
      <c r="AB10" s="68">
        <f xml:space="preserve"> ConCost!AB$23</f>
        <v>0</v>
      </c>
      <c r="AC10" s="68">
        <f xml:space="preserve"> ConCost!AC$23</f>
        <v>0</v>
      </c>
      <c r="AD10" s="68">
        <f xml:space="preserve"> ConCost!AD$23</f>
        <v>0</v>
      </c>
      <c r="AE10" s="68">
        <f xml:space="preserve"> ConCost!AE$23</f>
        <v>0</v>
      </c>
      <c r="AF10" s="68">
        <f xml:space="preserve"> ConCost!AF$23</f>
        <v>0</v>
      </c>
      <c r="AG10" s="68">
        <f xml:space="preserve"> ConCost!AG$23</f>
        <v>0</v>
      </c>
      <c r="AH10" s="68">
        <f xml:space="preserve"> ConCost!AH$23</f>
        <v>0</v>
      </c>
      <c r="AI10" s="68">
        <f xml:space="preserve"> ConCost!AI$23</f>
        <v>0</v>
      </c>
      <c r="AJ10" s="68">
        <f xml:space="preserve"> ConCost!AJ$23</f>
        <v>0</v>
      </c>
      <c r="AK10" s="68">
        <f xml:space="preserve"> ConCost!AK$23</f>
        <v>0</v>
      </c>
      <c r="AL10" s="68">
        <f xml:space="preserve"> ConCost!AL$23</f>
        <v>0</v>
      </c>
      <c r="AM10" s="68">
        <f xml:space="preserve"> ConCost!AM$23</f>
        <v>0</v>
      </c>
      <c r="AN10" s="68">
        <f xml:space="preserve"> ConCost!AN$23</f>
        <v>0</v>
      </c>
      <c r="AO10" s="68">
        <f xml:space="preserve"> ConCost!AO$23</f>
        <v>0</v>
      </c>
      <c r="AP10" s="68">
        <f xml:space="preserve"> ConCost!AP$23</f>
        <v>0</v>
      </c>
      <c r="AQ10" s="68">
        <f xml:space="preserve"> ConCost!AQ$23</f>
        <v>0</v>
      </c>
      <c r="AR10" s="68">
        <f xml:space="preserve"> ConCost!AR$23</f>
        <v>0</v>
      </c>
      <c r="AS10" s="68">
        <f xml:space="preserve"> ConCost!AS$23</f>
        <v>0</v>
      </c>
      <c r="AT10" s="68">
        <f xml:space="preserve"> ConCost!AT$23</f>
        <v>0</v>
      </c>
      <c r="AU10" s="68">
        <f xml:space="preserve"> ConCost!AU$23</f>
        <v>0</v>
      </c>
      <c r="AV10" s="68">
        <f xml:space="preserve"> ConCost!AV$23</f>
        <v>0</v>
      </c>
      <c r="AW10" s="68">
        <f xml:space="preserve"> ConCost!AW$23</f>
        <v>0</v>
      </c>
      <c r="AX10" s="68">
        <f xml:space="preserve"> ConCost!AX$23</f>
        <v>0</v>
      </c>
      <c r="AY10" s="68">
        <f xml:space="preserve"> ConCost!AY$23</f>
        <v>0</v>
      </c>
      <c r="AZ10" s="68">
        <f xml:space="preserve"> ConCost!AZ$23</f>
        <v>0</v>
      </c>
      <c r="BA10" s="68">
        <f xml:space="preserve"> ConCost!BA$23</f>
        <v>0</v>
      </c>
      <c r="BB10" s="68">
        <f xml:space="preserve"> ConCost!BB$23</f>
        <v>0</v>
      </c>
      <c r="BC10" s="68">
        <f xml:space="preserve"> ConCost!BC$23</f>
        <v>0</v>
      </c>
      <c r="BD10" s="68">
        <f xml:space="preserve"> ConCost!BD$23</f>
        <v>0</v>
      </c>
      <c r="BE10" s="68">
        <f xml:space="preserve"> ConCost!BE$23</f>
        <v>0</v>
      </c>
    </row>
    <row r="11" spans="1:306" s="77" customFormat="1" outlineLevel="1" x14ac:dyDescent="0.2">
      <c r="A11" s="85"/>
      <c r="B11" s="85"/>
      <c r="C11" s="86"/>
      <c r="D11" s="87"/>
      <c r="E11" s="68" t="str">
        <f xml:space="preserve"> ConCost!E$63</f>
        <v>Customs duties</v>
      </c>
      <c r="F11" s="68">
        <f xml:space="preserve"> ConCost!F$63</f>
        <v>0</v>
      </c>
      <c r="G11" s="68" t="str">
        <f xml:space="preserve"> ConCost!G$63</f>
        <v>$ 000s</v>
      </c>
      <c r="H11" s="68">
        <f xml:space="preserve"> ConCost!H$63</f>
        <v>0</v>
      </c>
      <c r="I11" s="68">
        <f xml:space="preserve"> ConCost!I$63</f>
        <v>0</v>
      </c>
      <c r="J11" s="68">
        <f xml:space="preserve"> ConCost!J$63</f>
        <v>0</v>
      </c>
      <c r="K11" s="68">
        <f xml:space="preserve"> ConCost!K$63</f>
        <v>0</v>
      </c>
      <c r="L11" s="68">
        <f xml:space="preserve"> ConCost!L$63</f>
        <v>0</v>
      </c>
      <c r="M11" s="68">
        <f xml:space="preserve"> ConCost!M$63</f>
        <v>0</v>
      </c>
      <c r="N11" s="68">
        <f xml:space="preserve"> ConCost!N$63</f>
        <v>0</v>
      </c>
      <c r="O11" s="68">
        <f xml:space="preserve"> ConCost!O$63</f>
        <v>0</v>
      </c>
      <c r="P11" s="68">
        <f xml:space="preserve"> ConCost!P$63</f>
        <v>0</v>
      </c>
      <c r="Q11" s="68">
        <f xml:space="preserve"> ConCost!Q$63</f>
        <v>0</v>
      </c>
      <c r="R11" s="68">
        <f xml:space="preserve"> ConCost!R$63</f>
        <v>0</v>
      </c>
      <c r="S11" s="68">
        <f xml:space="preserve"> ConCost!S$63</f>
        <v>0</v>
      </c>
      <c r="T11" s="68">
        <f xml:space="preserve"> ConCost!T$63</f>
        <v>0</v>
      </c>
      <c r="U11" s="68">
        <f xml:space="preserve"> ConCost!U$63</f>
        <v>0</v>
      </c>
      <c r="V11" s="68">
        <f xml:space="preserve"> ConCost!V$63</f>
        <v>0</v>
      </c>
      <c r="W11" s="68">
        <f xml:space="preserve"> ConCost!W$63</f>
        <v>0</v>
      </c>
      <c r="X11" s="68">
        <f xml:space="preserve"> ConCost!X$63</f>
        <v>0</v>
      </c>
      <c r="Y11" s="68">
        <f xml:space="preserve"> ConCost!Y$63</f>
        <v>0</v>
      </c>
      <c r="Z11" s="68">
        <f xml:space="preserve"> ConCost!Z$63</f>
        <v>0</v>
      </c>
      <c r="AA11" s="68">
        <f xml:space="preserve"> ConCost!AA$63</f>
        <v>0</v>
      </c>
      <c r="AB11" s="68">
        <f xml:space="preserve"> ConCost!AB$63</f>
        <v>0</v>
      </c>
      <c r="AC11" s="68">
        <f xml:space="preserve"> ConCost!AC$63</f>
        <v>0</v>
      </c>
      <c r="AD11" s="68">
        <f xml:space="preserve"> ConCost!AD$63</f>
        <v>0</v>
      </c>
      <c r="AE11" s="68">
        <f xml:space="preserve"> ConCost!AE$63</f>
        <v>0</v>
      </c>
      <c r="AF11" s="68">
        <f xml:space="preserve"> ConCost!AF$63</f>
        <v>0</v>
      </c>
      <c r="AG11" s="68">
        <f xml:space="preserve"> ConCost!AG$63</f>
        <v>0</v>
      </c>
      <c r="AH11" s="68">
        <f xml:space="preserve"> ConCost!AH$63</f>
        <v>0</v>
      </c>
      <c r="AI11" s="68">
        <f xml:space="preserve"> ConCost!AI$63</f>
        <v>0</v>
      </c>
      <c r="AJ11" s="68">
        <f xml:space="preserve"> ConCost!AJ$63</f>
        <v>0</v>
      </c>
      <c r="AK11" s="68">
        <f xml:space="preserve"> ConCost!AK$63</f>
        <v>0</v>
      </c>
      <c r="AL11" s="68">
        <f xml:space="preserve"> ConCost!AL$63</f>
        <v>0</v>
      </c>
      <c r="AM11" s="68">
        <f xml:space="preserve"> ConCost!AM$63</f>
        <v>0</v>
      </c>
      <c r="AN11" s="68">
        <f xml:space="preserve"> ConCost!AN$63</f>
        <v>0</v>
      </c>
      <c r="AO11" s="68">
        <f xml:space="preserve"> ConCost!AO$63</f>
        <v>0</v>
      </c>
      <c r="AP11" s="68">
        <f xml:space="preserve"> ConCost!AP$63</f>
        <v>0</v>
      </c>
      <c r="AQ11" s="68">
        <f xml:space="preserve"> ConCost!AQ$63</f>
        <v>0</v>
      </c>
      <c r="AR11" s="68">
        <f xml:space="preserve"> ConCost!AR$63</f>
        <v>0</v>
      </c>
      <c r="AS11" s="68">
        <f xml:space="preserve"> ConCost!AS$63</f>
        <v>0</v>
      </c>
      <c r="AT11" s="68">
        <f xml:space="preserve"> ConCost!AT$63</f>
        <v>0</v>
      </c>
      <c r="AU11" s="68">
        <f xml:space="preserve"> ConCost!AU$63</f>
        <v>0</v>
      </c>
      <c r="AV11" s="68">
        <f xml:space="preserve"> ConCost!AV$63</f>
        <v>0</v>
      </c>
      <c r="AW11" s="68">
        <f xml:space="preserve"> ConCost!AW$63</f>
        <v>0</v>
      </c>
      <c r="AX11" s="68">
        <f xml:space="preserve"> ConCost!AX$63</f>
        <v>0</v>
      </c>
      <c r="AY11" s="68">
        <f xml:space="preserve"> ConCost!AY$63</f>
        <v>0</v>
      </c>
      <c r="AZ11" s="68">
        <f xml:space="preserve"> ConCost!AZ$63</f>
        <v>0</v>
      </c>
      <c r="BA11" s="68">
        <f xml:space="preserve"> ConCost!BA$63</f>
        <v>0</v>
      </c>
      <c r="BB11" s="68">
        <f xml:space="preserve"> ConCost!BB$63</f>
        <v>0</v>
      </c>
      <c r="BC11" s="68">
        <f xml:space="preserve"> ConCost!BC$63</f>
        <v>0</v>
      </c>
      <c r="BD11" s="68">
        <f xml:space="preserve"> ConCost!BD$63</f>
        <v>0</v>
      </c>
      <c r="BE11" s="68">
        <f xml:space="preserve"> ConCost!BE$63</f>
        <v>0</v>
      </c>
    </row>
    <row r="12" spans="1:306" s="77" customFormat="1" outlineLevel="1" x14ac:dyDescent="0.2">
      <c r="A12" s="85"/>
      <c r="B12" s="85"/>
      <c r="C12" s="86"/>
      <c r="D12" s="87"/>
      <c r="E12" s="68" t="str">
        <f xml:space="preserve"> ConCost!E$36</f>
        <v>SPV costs during construction</v>
      </c>
      <c r="F12" s="68">
        <f xml:space="preserve"> ConCost!F$36</f>
        <v>0</v>
      </c>
      <c r="G12" s="68" t="str">
        <f xml:space="preserve"> ConCost!G$36</f>
        <v>$ 000s</v>
      </c>
      <c r="H12" s="68">
        <f xml:space="preserve"> ConCost!H$36</f>
        <v>697.30772000000013</v>
      </c>
      <c r="I12" s="68">
        <f xml:space="preserve"> ConCost!I$36</f>
        <v>0</v>
      </c>
      <c r="J12" s="68">
        <f xml:space="preserve"> ConCost!J$36</f>
        <v>0</v>
      </c>
      <c r="K12" s="68">
        <f xml:space="preserve"> ConCost!K$36</f>
        <v>0</v>
      </c>
      <c r="L12" s="68">
        <f xml:space="preserve"> ConCost!L$36</f>
        <v>0</v>
      </c>
      <c r="M12" s="68">
        <f xml:space="preserve"> ConCost!M$36</f>
        <v>0</v>
      </c>
      <c r="N12" s="68">
        <f xml:space="preserve"> ConCost!N$36</f>
        <v>26.819527692307695</v>
      </c>
      <c r="O12" s="68">
        <f xml:space="preserve"> ConCost!O$36</f>
        <v>26.819527692307695</v>
      </c>
      <c r="P12" s="68">
        <f xml:space="preserve"> ConCost!P$36</f>
        <v>26.819527692307695</v>
      </c>
      <c r="Q12" s="68">
        <f xml:space="preserve"> ConCost!Q$36</f>
        <v>26.819527692307695</v>
      </c>
      <c r="R12" s="68">
        <f xml:space="preserve"> ConCost!R$36</f>
        <v>26.819527692307695</v>
      </c>
      <c r="S12" s="68">
        <f xml:space="preserve"> ConCost!S$36</f>
        <v>26.819527692307695</v>
      </c>
      <c r="T12" s="68">
        <f xml:space="preserve"> ConCost!T$36</f>
        <v>26.819527692307695</v>
      </c>
      <c r="U12" s="68">
        <f xml:space="preserve"> ConCost!U$36</f>
        <v>26.819527692307695</v>
      </c>
      <c r="V12" s="68">
        <f xml:space="preserve"> ConCost!V$36</f>
        <v>26.819527692307695</v>
      </c>
      <c r="W12" s="68">
        <f xml:space="preserve"> ConCost!W$36</f>
        <v>26.819527692307695</v>
      </c>
      <c r="X12" s="68">
        <f xml:space="preserve"> ConCost!X$36</f>
        <v>26.819527692307695</v>
      </c>
      <c r="Y12" s="68">
        <f xml:space="preserve"> ConCost!Y$36</f>
        <v>26.819527692307695</v>
      </c>
      <c r="Z12" s="68">
        <f xml:space="preserve"> ConCost!Z$36</f>
        <v>26.819527692307695</v>
      </c>
      <c r="AA12" s="68">
        <f xml:space="preserve"> ConCost!AA$36</f>
        <v>26.819527692307695</v>
      </c>
      <c r="AB12" s="68">
        <f xml:space="preserve"> ConCost!AB$36</f>
        <v>26.819527692307695</v>
      </c>
      <c r="AC12" s="68">
        <f xml:space="preserve"> ConCost!AC$36</f>
        <v>26.819527692307695</v>
      </c>
      <c r="AD12" s="68">
        <f xml:space="preserve"> ConCost!AD$36</f>
        <v>26.819527692307695</v>
      </c>
      <c r="AE12" s="68">
        <f xml:space="preserve"> ConCost!AE$36</f>
        <v>26.819527692307695</v>
      </c>
      <c r="AF12" s="68">
        <f xml:space="preserve"> ConCost!AF$36</f>
        <v>26.819527692307695</v>
      </c>
      <c r="AG12" s="68">
        <f xml:space="preserve"> ConCost!AG$36</f>
        <v>26.819527692307695</v>
      </c>
      <c r="AH12" s="68">
        <f xml:space="preserve"> ConCost!AH$36</f>
        <v>26.819527692307695</v>
      </c>
      <c r="AI12" s="68">
        <f xml:space="preserve"> ConCost!AI$36</f>
        <v>26.819527692307695</v>
      </c>
      <c r="AJ12" s="68">
        <f xml:space="preserve"> ConCost!AJ$36</f>
        <v>26.819527692307695</v>
      </c>
      <c r="AK12" s="68">
        <f xml:space="preserve"> ConCost!AK$36</f>
        <v>26.819527692307695</v>
      </c>
      <c r="AL12" s="68">
        <f xml:space="preserve"> ConCost!AL$36</f>
        <v>26.819527692307695</v>
      </c>
      <c r="AM12" s="68">
        <f xml:space="preserve"> ConCost!AM$36</f>
        <v>26.819527692307695</v>
      </c>
      <c r="AN12" s="68">
        <f xml:space="preserve"> ConCost!AN$36</f>
        <v>0</v>
      </c>
      <c r="AO12" s="68">
        <f xml:space="preserve"> ConCost!AO$36</f>
        <v>0</v>
      </c>
      <c r="AP12" s="68">
        <f xml:space="preserve"> ConCost!AP$36</f>
        <v>0</v>
      </c>
      <c r="AQ12" s="68">
        <f xml:space="preserve"> ConCost!AQ$36</f>
        <v>0</v>
      </c>
      <c r="AR12" s="68">
        <f xml:space="preserve"> ConCost!AR$36</f>
        <v>0</v>
      </c>
      <c r="AS12" s="68">
        <f xml:space="preserve"> ConCost!AS$36</f>
        <v>0</v>
      </c>
      <c r="AT12" s="68">
        <f xml:space="preserve"> ConCost!AT$36</f>
        <v>0</v>
      </c>
      <c r="AU12" s="68">
        <f xml:space="preserve"> ConCost!AU$36</f>
        <v>0</v>
      </c>
      <c r="AV12" s="68">
        <f xml:space="preserve"> ConCost!AV$36</f>
        <v>0</v>
      </c>
      <c r="AW12" s="68">
        <f xml:space="preserve"> ConCost!AW$36</f>
        <v>0</v>
      </c>
      <c r="AX12" s="68">
        <f xml:space="preserve"> ConCost!AX$36</f>
        <v>0</v>
      </c>
      <c r="AY12" s="68">
        <f xml:space="preserve"> ConCost!AY$36</f>
        <v>0</v>
      </c>
      <c r="AZ12" s="68">
        <f xml:space="preserve"> ConCost!AZ$36</f>
        <v>0</v>
      </c>
      <c r="BA12" s="68">
        <f xml:space="preserve"> ConCost!BA$36</f>
        <v>0</v>
      </c>
      <c r="BB12" s="68">
        <f xml:space="preserve"> ConCost!BB$36</f>
        <v>0</v>
      </c>
      <c r="BC12" s="68">
        <f xml:space="preserve"> ConCost!BC$36</f>
        <v>0</v>
      </c>
      <c r="BD12" s="68">
        <f xml:space="preserve"> ConCost!BD$36</f>
        <v>0</v>
      </c>
      <c r="BE12" s="68">
        <f xml:space="preserve"> ConCost!BE$36</f>
        <v>0</v>
      </c>
    </row>
    <row r="13" spans="1:306" s="77" customFormat="1" outlineLevel="1" x14ac:dyDescent="0.2">
      <c r="A13" s="85"/>
      <c r="B13" s="85"/>
      <c r="C13" s="86"/>
      <c r="D13" s="87"/>
      <c r="E13" s="68" t="str">
        <f xml:space="preserve"> ConCost!E$41</f>
        <v>Construction insurance cost</v>
      </c>
      <c r="F13" s="68">
        <f xml:space="preserve"> ConCost!F$41</f>
        <v>0</v>
      </c>
      <c r="G13" s="68" t="str">
        <f xml:space="preserve"> ConCost!G$41</f>
        <v>$ 000s</v>
      </c>
      <c r="H13" s="68">
        <f xml:space="preserve"> ConCost!H$41</f>
        <v>1300</v>
      </c>
      <c r="I13" s="68">
        <f xml:space="preserve"> ConCost!I$41</f>
        <v>0</v>
      </c>
      <c r="J13" s="68">
        <f xml:space="preserve"> ConCost!J$41</f>
        <v>0</v>
      </c>
      <c r="K13" s="68">
        <f xml:space="preserve"> ConCost!K$41</f>
        <v>0</v>
      </c>
      <c r="L13" s="68">
        <f xml:space="preserve"> ConCost!L$41</f>
        <v>0</v>
      </c>
      <c r="M13" s="68">
        <f xml:space="preserve"> ConCost!M$41</f>
        <v>1300</v>
      </c>
      <c r="N13" s="68">
        <f xml:space="preserve"> ConCost!N$41</f>
        <v>0</v>
      </c>
      <c r="O13" s="68">
        <f xml:space="preserve"> ConCost!O$41</f>
        <v>0</v>
      </c>
      <c r="P13" s="68">
        <f xml:space="preserve"> ConCost!P$41</f>
        <v>0</v>
      </c>
      <c r="Q13" s="68">
        <f xml:space="preserve"> ConCost!Q$41</f>
        <v>0</v>
      </c>
      <c r="R13" s="68">
        <f xml:space="preserve"> ConCost!R$41</f>
        <v>0</v>
      </c>
      <c r="S13" s="68">
        <f xml:space="preserve"> ConCost!S$41</f>
        <v>0</v>
      </c>
      <c r="T13" s="68">
        <f xml:space="preserve"> ConCost!T$41</f>
        <v>0</v>
      </c>
      <c r="U13" s="68">
        <f xml:space="preserve"> ConCost!U$41</f>
        <v>0</v>
      </c>
      <c r="V13" s="68">
        <f xml:space="preserve"> ConCost!V$41</f>
        <v>0</v>
      </c>
      <c r="W13" s="68">
        <f xml:space="preserve"> ConCost!W$41</f>
        <v>0</v>
      </c>
      <c r="X13" s="68">
        <f xml:space="preserve"> ConCost!X$41</f>
        <v>0</v>
      </c>
      <c r="Y13" s="68">
        <f xml:space="preserve"> ConCost!Y$41</f>
        <v>0</v>
      </c>
      <c r="Z13" s="68">
        <f xml:space="preserve"> ConCost!Z$41</f>
        <v>0</v>
      </c>
      <c r="AA13" s="68">
        <f xml:space="preserve"> ConCost!AA$41</f>
        <v>0</v>
      </c>
      <c r="AB13" s="68">
        <f xml:space="preserve"> ConCost!AB$41</f>
        <v>0</v>
      </c>
      <c r="AC13" s="68">
        <f xml:space="preserve"> ConCost!AC$41</f>
        <v>0</v>
      </c>
      <c r="AD13" s="68">
        <f xml:space="preserve"> ConCost!AD$41</f>
        <v>0</v>
      </c>
      <c r="AE13" s="68">
        <f xml:space="preserve"> ConCost!AE$41</f>
        <v>0</v>
      </c>
      <c r="AF13" s="68">
        <f xml:space="preserve"> ConCost!AF$41</f>
        <v>0</v>
      </c>
      <c r="AG13" s="68">
        <f xml:space="preserve"> ConCost!AG$41</f>
        <v>0</v>
      </c>
      <c r="AH13" s="68">
        <f xml:space="preserve"> ConCost!AH$41</f>
        <v>0</v>
      </c>
      <c r="AI13" s="68">
        <f xml:space="preserve"> ConCost!AI$41</f>
        <v>0</v>
      </c>
      <c r="AJ13" s="68">
        <f xml:space="preserve"> ConCost!AJ$41</f>
        <v>0</v>
      </c>
      <c r="AK13" s="68">
        <f xml:space="preserve"> ConCost!AK$41</f>
        <v>0</v>
      </c>
      <c r="AL13" s="68">
        <f xml:space="preserve"> ConCost!AL$41</f>
        <v>0</v>
      </c>
      <c r="AM13" s="68">
        <f xml:space="preserve"> ConCost!AM$41</f>
        <v>0</v>
      </c>
      <c r="AN13" s="68">
        <f xml:space="preserve"> ConCost!AN$41</f>
        <v>0</v>
      </c>
      <c r="AO13" s="68">
        <f xml:space="preserve"> ConCost!AO$41</f>
        <v>0</v>
      </c>
      <c r="AP13" s="68">
        <f xml:space="preserve"> ConCost!AP$41</f>
        <v>0</v>
      </c>
      <c r="AQ13" s="68">
        <f xml:space="preserve"> ConCost!AQ$41</f>
        <v>0</v>
      </c>
      <c r="AR13" s="68">
        <f xml:space="preserve"> ConCost!AR$41</f>
        <v>0</v>
      </c>
      <c r="AS13" s="68">
        <f xml:space="preserve"> ConCost!AS$41</f>
        <v>0</v>
      </c>
      <c r="AT13" s="68">
        <f xml:space="preserve"> ConCost!AT$41</f>
        <v>0</v>
      </c>
      <c r="AU13" s="68">
        <f xml:space="preserve"> ConCost!AU$41</f>
        <v>0</v>
      </c>
      <c r="AV13" s="68">
        <f xml:space="preserve"> ConCost!AV$41</f>
        <v>0</v>
      </c>
      <c r="AW13" s="68">
        <f xml:space="preserve"> ConCost!AW$41</f>
        <v>0</v>
      </c>
      <c r="AX13" s="68">
        <f xml:space="preserve"> ConCost!AX$41</f>
        <v>0</v>
      </c>
      <c r="AY13" s="68">
        <f xml:space="preserve"> ConCost!AY$41</f>
        <v>0</v>
      </c>
      <c r="AZ13" s="68">
        <f xml:space="preserve"> ConCost!AZ$41</f>
        <v>0</v>
      </c>
      <c r="BA13" s="68">
        <f xml:space="preserve"> ConCost!BA$41</f>
        <v>0</v>
      </c>
      <c r="BB13" s="68">
        <f xml:space="preserve"> ConCost!BB$41</f>
        <v>0</v>
      </c>
      <c r="BC13" s="68">
        <f xml:space="preserve"> ConCost!BC$41</f>
        <v>0</v>
      </c>
      <c r="BD13" s="68">
        <f xml:space="preserve"> ConCost!BD$41</f>
        <v>0</v>
      </c>
      <c r="BE13" s="68">
        <f xml:space="preserve"> ConCost!BE$41</f>
        <v>0</v>
      </c>
    </row>
    <row r="14" spans="1:306" s="77" customFormat="1" outlineLevel="1" x14ac:dyDescent="0.2">
      <c r="A14" s="85"/>
      <c r="B14" s="85"/>
      <c r="C14" s="86"/>
      <c r="D14" s="87"/>
      <c r="E14" s="68" t="str">
        <f xml:space="preserve"> ConCost!E$46</f>
        <v>Development costs</v>
      </c>
      <c r="F14" s="68">
        <f xml:space="preserve"> ConCost!F$46</f>
        <v>0</v>
      </c>
      <c r="G14" s="68" t="str">
        <f xml:space="preserve"> ConCost!G$46</f>
        <v>$ 000s</v>
      </c>
      <c r="H14" s="68">
        <f xml:space="preserve"> ConCost!H$46</f>
        <v>5000</v>
      </c>
      <c r="I14" s="68">
        <f xml:space="preserve"> ConCost!I$46</f>
        <v>0</v>
      </c>
      <c r="J14" s="68">
        <f xml:space="preserve"> ConCost!J$46</f>
        <v>0</v>
      </c>
      <c r="K14" s="68">
        <f xml:space="preserve"> ConCost!K$46</f>
        <v>0</v>
      </c>
      <c r="L14" s="68">
        <f xml:space="preserve"> ConCost!L$46</f>
        <v>0</v>
      </c>
      <c r="M14" s="68">
        <f xml:space="preserve"> ConCost!M$46</f>
        <v>5000</v>
      </c>
      <c r="N14" s="68">
        <f xml:space="preserve"> ConCost!N$46</f>
        <v>0</v>
      </c>
      <c r="O14" s="68">
        <f xml:space="preserve"> ConCost!O$46</f>
        <v>0</v>
      </c>
      <c r="P14" s="68">
        <f xml:space="preserve"> ConCost!P$46</f>
        <v>0</v>
      </c>
      <c r="Q14" s="68">
        <f xml:space="preserve"> ConCost!Q$46</f>
        <v>0</v>
      </c>
      <c r="R14" s="68">
        <f xml:space="preserve"> ConCost!R$46</f>
        <v>0</v>
      </c>
      <c r="S14" s="68">
        <f xml:space="preserve"> ConCost!S$46</f>
        <v>0</v>
      </c>
      <c r="T14" s="68">
        <f xml:space="preserve"> ConCost!T$46</f>
        <v>0</v>
      </c>
      <c r="U14" s="68">
        <f xml:space="preserve"> ConCost!U$46</f>
        <v>0</v>
      </c>
      <c r="V14" s="68">
        <f xml:space="preserve"> ConCost!V$46</f>
        <v>0</v>
      </c>
      <c r="W14" s="68">
        <f xml:space="preserve"> ConCost!W$46</f>
        <v>0</v>
      </c>
      <c r="X14" s="68">
        <f xml:space="preserve"> ConCost!X$46</f>
        <v>0</v>
      </c>
      <c r="Y14" s="68">
        <f xml:space="preserve"> ConCost!Y$46</f>
        <v>0</v>
      </c>
      <c r="Z14" s="68">
        <f xml:space="preserve"> ConCost!Z$46</f>
        <v>0</v>
      </c>
      <c r="AA14" s="68">
        <f xml:space="preserve"> ConCost!AA$46</f>
        <v>0</v>
      </c>
      <c r="AB14" s="68">
        <f xml:space="preserve"> ConCost!AB$46</f>
        <v>0</v>
      </c>
      <c r="AC14" s="68">
        <f xml:space="preserve"> ConCost!AC$46</f>
        <v>0</v>
      </c>
      <c r="AD14" s="68">
        <f xml:space="preserve"> ConCost!AD$46</f>
        <v>0</v>
      </c>
      <c r="AE14" s="68">
        <f xml:space="preserve"> ConCost!AE$46</f>
        <v>0</v>
      </c>
      <c r="AF14" s="68">
        <f xml:space="preserve"> ConCost!AF$46</f>
        <v>0</v>
      </c>
      <c r="AG14" s="68">
        <f xml:space="preserve"> ConCost!AG$46</f>
        <v>0</v>
      </c>
      <c r="AH14" s="68">
        <f xml:space="preserve"> ConCost!AH$46</f>
        <v>0</v>
      </c>
      <c r="AI14" s="68">
        <f xml:space="preserve"> ConCost!AI$46</f>
        <v>0</v>
      </c>
      <c r="AJ14" s="68">
        <f xml:space="preserve"> ConCost!AJ$46</f>
        <v>0</v>
      </c>
      <c r="AK14" s="68">
        <f xml:space="preserve"> ConCost!AK$46</f>
        <v>0</v>
      </c>
      <c r="AL14" s="68">
        <f xml:space="preserve"> ConCost!AL$46</f>
        <v>0</v>
      </c>
      <c r="AM14" s="68">
        <f xml:space="preserve"> ConCost!AM$46</f>
        <v>0</v>
      </c>
      <c r="AN14" s="68">
        <f xml:space="preserve"> ConCost!AN$46</f>
        <v>0</v>
      </c>
      <c r="AO14" s="68">
        <f xml:space="preserve"> ConCost!AO$46</f>
        <v>0</v>
      </c>
      <c r="AP14" s="68">
        <f xml:space="preserve"> ConCost!AP$46</f>
        <v>0</v>
      </c>
      <c r="AQ14" s="68">
        <f xml:space="preserve"> ConCost!AQ$46</f>
        <v>0</v>
      </c>
      <c r="AR14" s="68">
        <f xml:space="preserve"> ConCost!AR$46</f>
        <v>0</v>
      </c>
      <c r="AS14" s="68">
        <f xml:space="preserve"> ConCost!AS$46</f>
        <v>0</v>
      </c>
      <c r="AT14" s="68">
        <f xml:space="preserve"> ConCost!AT$46</f>
        <v>0</v>
      </c>
      <c r="AU14" s="68">
        <f xml:space="preserve"> ConCost!AU$46</f>
        <v>0</v>
      </c>
      <c r="AV14" s="68">
        <f xml:space="preserve"> ConCost!AV$46</f>
        <v>0</v>
      </c>
      <c r="AW14" s="68">
        <f xml:space="preserve"> ConCost!AW$46</f>
        <v>0</v>
      </c>
      <c r="AX14" s="68">
        <f xml:space="preserve"> ConCost!AX$46</f>
        <v>0</v>
      </c>
      <c r="AY14" s="68">
        <f xml:space="preserve"> ConCost!AY$46</f>
        <v>0</v>
      </c>
      <c r="AZ14" s="68">
        <f xml:space="preserve"> ConCost!AZ$46</f>
        <v>0</v>
      </c>
      <c r="BA14" s="68">
        <f xml:space="preserve"> ConCost!BA$46</f>
        <v>0</v>
      </c>
      <c r="BB14" s="68">
        <f xml:space="preserve"> ConCost!BB$46</f>
        <v>0</v>
      </c>
      <c r="BC14" s="68">
        <f xml:space="preserve"> ConCost!BC$46</f>
        <v>0</v>
      </c>
      <c r="BD14" s="68">
        <f xml:space="preserve"> ConCost!BD$46</f>
        <v>0</v>
      </c>
      <c r="BE14" s="68">
        <f xml:space="preserve"> ConCost!BE$46</f>
        <v>0</v>
      </c>
    </row>
    <row r="15" spans="1:306" s="77" customFormat="1" outlineLevel="1" x14ac:dyDescent="0.2">
      <c r="A15" s="85"/>
      <c r="B15" s="85"/>
      <c r="C15" s="86"/>
      <c r="D15" s="87"/>
      <c r="E15" s="68" t="str">
        <f xml:space="preserve"> ConCost!E$53</f>
        <v>Success fee</v>
      </c>
      <c r="F15" s="68">
        <f xml:space="preserve"> ConCost!F$53</f>
        <v>0</v>
      </c>
      <c r="G15" s="68" t="str">
        <f xml:space="preserve"> ConCost!G$53</f>
        <v>$ 000s</v>
      </c>
      <c r="H15" s="68">
        <f xml:space="preserve"> ConCost!H$53</f>
        <v>2000</v>
      </c>
      <c r="I15" s="68">
        <f xml:space="preserve"> ConCost!I$53</f>
        <v>0</v>
      </c>
      <c r="J15" s="68">
        <f xml:space="preserve"> ConCost!J$53</f>
        <v>0</v>
      </c>
      <c r="K15" s="68">
        <f xml:space="preserve"> ConCost!K$53</f>
        <v>0</v>
      </c>
      <c r="L15" s="68">
        <f xml:space="preserve"> ConCost!L$53</f>
        <v>0</v>
      </c>
      <c r="M15" s="68">
        <f xml:space="preserve"> ConCost!M$53</f>
        <v>2000</v>
      </c>
      <c r="N15" s="68">
        <f xml:space="preserve"> ConCost!N$53</f>
        <v>0</v>
      </c>
      <c r="O15" s="68">
        <f xml:space="preserve"> ConCost!O$53</f>
        <v>0</v>
      </c>
      <c r="P15" s="68">
        <f xml:space="preserve"> ConCost!P$53</f>
        <v>0</v>
      </c>
      <c r="Q15" s="68">
        <f xml:space="preserve"> ConCost!Q$53</f>
        <v>0</v>
      </c>
      <c r="R15" s="68">
        <f xml:space="preserve"> ConCost!R$53</f>
        <v>0</v>
      </c>
      <c r="S15" s="68">
        <f xml:space="preserve"> ConCost!S$53</f>
        <v>0</v>
      </c>
      <c r="T15" s="68">
        <f xml:space="preserve"> ConCost!T$53</f>
        <v>0</v>
      </c>
      <c r="U15" s="68">
        <f xml:space="preserve"> ConCost!U$53</f>
        <v>0</v>
      </c>
      <c r="V15" s="68">
        <f xml:space="preserve"> ConCost!V$53</f>
        <v>0</v>
      </c>
      <c r="W15" s="68">
        <f xml:space="preserve"> ConCost!W$53</f>
        <v>0</v>
      </c>
      <c r="X15" s="68">
        <f xml:space="preserve"> ConCost!X$53</f>
        <v>0</v>
      </c>
      <c r="Y15" s="68">
        <f xml:space="preserve"> ConCost!Y$53</f>
        <v>0</v>
      </c>
      <c r="Z15" s="68">
        <f xml:space="preserve"> ConCost!Z$53</f>
        <v>0</v>
      </c>
      <c r="AA15" s="68">
        <f xml:space="preserve"> ConCost!AA$53</f>
        <v>0</v>
      </c>
      <c r="AB15" s="68">
        <f xml:space="preserve"> ConCost!AB$53</f>
        <v>0</v>
      </c>
      <c r="AC15" s="68">
        <f xml:space="preserve"> ConCost!AC$53</f>
        <v>0</v>
      </c>
      <c r="AD15" s="68">
        <f xml:space="preserve"> ConCost!AD$53</f>
        <v>0</v>
      </c>
      <c r="AE15" s="68">
        <f xml:space="preserve"> ConCost!AE$53</f>
        <v>0</v>
      </c>
      <c r="AF15" s="68">
        <f xml:space="preserve"> ConCost!AF$53</f>
        <v>0</v>
      </c>
      <c r="AG15" s="68">
        <f xml:space="preserve"> ConCost!AG$53</f>
        <v>0</v>
      </c>
      <c r="AH15" s="68">
        <f xml:space="preserve"> ConCost!AH$53</f>
        <v>0</v>
      </c>
      <c r="AI15" s="68">
        <f xml:space="preserve"> ConCost!AI$53</f>
        <v>0</v>
      </c>
      <c r="AJ15" s="68">
        <f xml:space="preserve"> ConCost!AJ$53</f>
        <v>0</v>
      </c>
      <c r="AK15" s="68">
        <f xml:space="preserve"> ConCost!AK$53</f>
        <v>0</v>
      </c>
      <c r="AL15" s="68">
        <f xml:space="preserve"> ConCost!AL$53</f>
        <v>0</v>
      </c>
      <c r="AM15" s="68">
        <f xml:space="preserve"> ConCost!AM$53</f>
        <v>0</v>
      </c>
      <c r="AN15" s="68">
        <f xml:space="preserve"> ConCost!AN$53</f>
        <v>0</v>
      </c>
      <c r="AO15" s="68">
        <f xml:space="preserve"> ConCost!AO$53</f>
        <v>0</v>
      </c>
      <c r="AP15" s="68">
        <f xml:space="preserve"> ConCost!AP$53</f>
        <v>0</v>
      </c>
      <c r="AQ15" s="68">
        <f xml:space="preserve"> ConCost!AQ$53</f>
        <v>0</v>
      </c>
      <c r="AR15" s="68">
        <f xml:space="preserve"> ConCost!AR$53</f>
        <v>0</v>
      </c>
      <c r="AS15" s="68">
        <f xml:space="preserve"> ConCost!AS$53</f>
        <v>0</v>
      </c>
      <c r="AT15" s="68">
        <f xml:space="preserve"> ConCost!AT$53</f>
        <v>0</v>
      </c>
      <c r="AU15" s="68">
        <f xml:space="preserve"> ConCost!AU$53</f>
        <v>0</v>
      </c>
      <c r="AV15" s="68">
        <f xml:space="preserve"> ConCost!AV$53</f>
        <v>0</v>
      </c>
      <c r="AW15" s="68">
        <f xml:space="preserve"> ConCost!AW$53</f>
        <v>0</v>
      </c>
      <c r="AX15" s="68">
        <f xml:space="preserve"> ConCost!AX$53</f>
        <v>0</v>
      </c>
      <c r="AY15" s="68">
        <f xml:space="preserve"> ConCost!AY$53</f>
        <v>0</v>
      </c>
      <c r="AZ15" s="68">
        <f xml:space="preserve"> ConCost!AZ$53</f>
        <v>0</v>
      </c>
      <c r="BA15" s="68">
        <f xml:space="preserve"> ConCost!BA$53</f>
        <v>0</v>
      </c>
      <c r="BB15" s="68">
        <f xml:space="preserve"> ConCost!BB$53</f>
        <v>0</v>
      </c>
      <c r="BC15" s="68">
        <f xml:space="preserve"> ConCost!BC$53</f>
        <v>0</v>
      </c>
      <c r="BD15" s="68">
        <f xml:space="preserve"> ConCost!BD$53</f>
        <v>0</v>
      </c>
      <c r="BE15" s="68">
        <f xml:space="preserve"> ConCost!BE$53</f>
        <v>0</v>
      </c>
    </row>
    <row r="16" spans="1:306" s="125" customFormat="1" outlineLevel="1" x14ac:dyDescent="0.2">
      <c r="A16" s="85"/>
      <c r="B16" s="85"/>
      <c r="C16" s="86"/>
      <c r="D16" s="87"/>
      <c r="E16" s="68" t="str">
        <f xml:space="preserve"> ConCost!E$58</f>
        <v>O&amp;M mobilisation</v>
      </c>
      <c r="F16" s="68">
        <f xml:space="preserve"> ConCost!F$58</f>
        <v>0</v>
      </c>
      <c r="G16" s="68" t="str">
        <f xml:space="preserve"> ConCost!G$58</f>
        <v>$ 000s</v>
      </c>
      <c r="H16" s="68">
        <f xml:space="preserve"> ConCost!H$58</f>
        <v>0</v>
      </c>
      <c r="I16" s="68">
        <f xml:space="preserve"> ConCost!I$58</f>
        <v>0</v>
      </c>
      <c r="J16" s="68">
        <f xml:space="preserve"> ConCost!J$58</f>
        <v>0</v>
      </c>
      <c r="K16" s="68">
        <f xml:space="preserve"> ConCost!K$58</f>
        <v>0</v>
      </c>
      <c r="L16" s="68">
        <f xml:space="preserve"> ConCost!L$58</f>
        <v>0</v>
      </c>
      <c r="M16" s="68">
        <f xml:space="preserve"> ConCost!M$58</f>
        <v>0</v>
      </c>
      <c r="N16" s="68">
        <f xml:space="preserve"> ConCost!N$58</f>
        <v>0</v>
      </c>
      <c r="O16" s="68">
        <f xml:space="preserve"> ConCost!O$58</f>
        <v>0</v>
      </c>
      <c r="P16" s="68">
        <f xml:space="preserve"> ConCost!P$58</f>
        <v>0</v>
      </c>
      <c r="Q16" s="68">
        <f xml:space="preserve"> ConCost!Q$58</f>
        <v>0</v>
      </c>
      <c r="R16" s="68">
        <f xml:space="preserve"> ConCost!R$58</f>
        <v>0</v>
      </c>
      <c r="S16" s="68">
        <f xml:space="preserve"> ConCost!S$58</f>
        <v>0</v>
      </c>
      <c r="T16" s="68">
        <f xml:space="preserve"> ConCost!T$58</f>
        <v>0</v>
      </c>
      <c r="U16" s="68">
        <f xml:space="preserve"> ConCost!U$58</f>
        <v>0</v>
      </c>
      <c r="V16" s="68">
        <f xml:space="preserve"> ConCost!V$58</f>
        <v>0</v>
      </c>
      <c r="W16" s="68">
        <f xml:space="preserve"> ConCost!W$58</f>
        <v>0</v>
      </c>
      <c r="X16" s="68">
        <f xml:space="preserve"> ConCost!X$58</f>
        <v>0</v>
      </c>
      <c r="Y16" s="68">
        <f xml:space="preserve"> ConCost!Y$58</f>
        <v>0</v>
      </c>
      <c r="Z16" s="68">
        <f xml:space="preserve"> ConCost!Z$58</f>
        <v>0</v>
      </c>
      <c r="AA16" s="68">
        <f xml:space="preserve"> ConCost!AA$58</f>
        <v>0</v>
      </c>
      <c r="AB16" s="68">
        <f xml:space="preserve"> ConCost!AB$58</f>
        <v>0</v>
      </c>
      <c r="AC16" s="68">
        <f xml:space="preserve"> ConCost!AC$58</f>
        <v>0</v>
      </c>
      <c r="AD16" s="68">
        <f xml:space="preserve"> ConCost!AD$58</f>
        <v>0</v>
      </c>
      <c r="AE16" s="68">
        <f xml:space="preserve"> ConCost!AE$58</f>
        <v>0</v>
      </c>
      <c r="AF16" s="68">
        <f xml:space="preserve"> ConCost!AF$58</f>
        <v>0</v>
      </c>
      <c r="AG16" s="68">
        <f xml:space="preserve"> ConCost!AG$58</f>
        <v>0</v>
      </c>
      <c r="AH16" s="68">
        <f xml:space="preserve"> ConCost!AH$58</f>
        <v>0</v>
      </c>
      <c r="AI16" s="68">
        <f xml:space="preserve"> ConCost!AI$58</f>
        <v>0</v>
      </c>
      <c r="AJ16" s="68">
        <f xml:space="preserve"> ConCost!AJ$58</f>
        <v>0</v>
      </c>
      <c r="AK16" s="68">
        <f xml:space="preserve"> ConCost!AK$58</f>
        <v>0</v>
      </c>
      <c r="AL16" s="68">
        <f xml:space="preserve"> ConCost!AL$58</f>
        <v>0</v>
      </c>
      <c r="AM16" s="68">
        <f xml:space="preserve"> ConCost!AM$58</f>
        <v>0</v>
      </c>
      <c r="AN16" s="68">
        <f xml:space="preserve"> ConCost!AN$58</f>
        <v>0</v>
      </c>
      <c r="AO16" s="68">
        <f xml:space="preserve"> ConCost!AO$58</f>
        <v>0</v>
      </c>
      <c r="AP16" s="68">
        <f xml:space="preserve"> ConCost!AP$58</f>
        <v>0</v>
      </c>
      <c r="AQ16" s="68">
        <f xml:space="preserve"> ConCost!AQ$58</f>
        <v>0</v>
      </c>
      <c r="AR16" s="68">
        <f xml:space="preserve"> ConCost!AR$58</f>
        <v>0</v>
      </c>
      <c r="AS16" s="68">
        <f xml:space="preserve"> ConCost!AS$58</f>
        <v>0</v>
      </c>
      <c r="AT16" s="68">
        <f xml:space="preserve"> ConCost!AT$58</f>
        <v>0</v>
      </c>
      <c r="AU16" s="68">
        <f xml:space="preserve"> ConCost!AU$58</f>
        <v>0</v>
      </c>
      <c r="AV16" s="68">
        <f xml:space="preserve"> ConCost!AV$58</f>
        <v>0</v>
      </c>
      <c r="AW16" s="68">
        <f xml:space="preserve"> ConCost!AW$58</f>
        <v>0</v>
      </c>
      <c r="AX16" s="68">
        <f xml:space="preserve"> ConCost!AX$58</f>
        <v>0</v>
      </c>
      <c r="AY16" s="68">
        <f xml:space="preserve"> ConCost!AY$58</f>
        <v>0</v>
      </c>
      <c r="AZ16" s="68">
        <f xml:space="preserve"> ConCost!AZ$58</f>
        <v>0</v>
      </c>
      <c r="BA16" s="68">
        <f xml:space="preserve"> ConCost!BA$58</f>
        <v>0</v>
      </c>
      <c r="BB16" s="68">
        <f xml:space="preserve"> ConCost!BB$58</f>
        <v>0</v>
      </c>
      <c r="BC16" s="68">
        <f xml:space="preserve"> ConCost!BC$58</f>
        <v>0</v>
      </c>
      <c r="BD16" s="68">
        <f xml:space="preserve"> ConCost!BD$58</f>
        <v>0</v>
      </c>
      <c r="BE16" s="68">
        <f xml:space="preserve"> ConCost!BE$58</f>
        <v>0</v>
      </c>
    </row>
    <row r="17" spans="1:57" s="125" customFormat="1" outlineLevel="1" x14ac:dyDescent="0.2">
      <c r="A17" s="85"/>
      <c r="B17" s="85"/>
      <c r="C17" s="86"/>
      <c r="D17" s="87"/>
      <c r="E17" s="68" t="str">
        <f xml:space="preserve"> ConCost!E$74</f>
        <v>Development security LC fee</v>
      </c>
      <c r="F17" s="68">
        <f xml:space="preserve"> ConCost!F$74</f>
        <v>0</v>
      </c>
      <c r="G17" s="68" t="str">
        <f xml:space="preserve"> ConCost!G$74</f>
        <v>$ 000s</v>
      </c>
      <c r="H17" s="68">
        <f xml:space="preserve"> ConCost!H$74</f>
        <v>325</v>
      </c>
      <c r="I17" s="68">
        <f xml:space="preserve"> ConCost!I$74</f>
        <v>0</v>
      </c>
      <c r="J17" s="68">
        <f xml:space="preserve"> ConCost!J$74</f>
        <v>0</v>
      </c>
      <c r="K17" s="68">
        <f xml:space="preserve"> ConCost!K$74</f>
        <v>0</v>
      </c>
      <c r="L17" s="68">
        <f xml:space="preserve"> ConCost!L$74</f>
        <v>0</v>
      </c>
      <c r="M17" s="68">
        <f xml:space="preserve"> ConCost!M$74</f>
        <v>0</v>
      </c>
      <c r="N17" s="68">
        <f xml:space="preserve"> ConCost!N$74</f>
        <v>12.5</v>
      </c>
      <c r="O17" s="68">
        <f xml:space="preserve"> ConCost!O$74</f>
        <v>12.5</v>
      </c>
      <c r="P17" s="68">
        <f xml:space="preserve"> ConCost!P$74</f>
        <v>12.5</v>
      </c>
      <c r="Q17" s="68">
        <f xml:space="preserve"> ConCost!Q$74</f>
        <v>12.5</v>
      </c>
      <c r="R17" s="68">
        <f xml:space="preserve"> ConCost!R$74</f>
        <v>12.5</v>
      </c>
      <c r="S17" s="68">
        <f xml:space="preserve"> ConCost!S$74</f>
        <v>12.5</v>
      </c>
      <c r="T17" s="68">
        <f xml:space="preserve"> ConCost!T$74</f>
        <v>12.5</v>
      </c>
      <c r="U17" s="68">
        <f xml:space="preserve"> ConCost!U$74</f>
        <v>12.5</v>
      </c>
      <c r="V17" s="68">
        <f xml:space="preserve"> ConCost!V$74</f>
        <v>12.5</v>
      </c>
      <c r="W17" s="68">
        <f xml:space="preserve"> ConCost!W$74</f>
        <v>12.5</v>
      </c>
      <c r="X17" s="68">
        <f xml:space="preserve"> ConCost!X$74</f>
        <v>12.5</v>
      </c>
      <c r="Y17" s="68">
        <f xml:space="preserve"> ConCost!Y$74</f>
        <v>12.5</v>
      </c>
      <c r="Z17" s="68">
        <f xml:space="preserve"> ConCost!Z$74</f>
        <v>12.5</v>
      </c>
      <c r="AA17" s="68">
        <f xml:space="preserve"> ConCost!AA$74</f>
        <v>12.5</v>
      </c>
      <c r="AB17" s="68">
        <f xml:space="preserve"> ConCost!AB$74</f>
        <v>12.5</v>
      </c>
      <c r="AC17" s="68">
        <f xml:space="preserve"> ConCost!AC$74</f>
        <v>12.5</v>
      </c>
      <c r="AD17" s="68">
        <f xml:space="preserve"> ConCost!AD$74</f>
        <v>12.5</v>
      </c>
      <c r="AE17" s="68">
        <f xml:space="preserve"> ConCost!AE$74</f>
        <v>12.5</v>
      </c>
      <c r="AF17" s="68">
        <f xml:space="preserve"> ConCost!AF$74</f>
        <v>12.5</v>
      </c>
      <c r="AG17" s="68">
        <f xml:space="preserve"> ConCost!AG$74</f>
        <v>12.5</v>
      </c>
      <c r="AH17" s="68">
        <f xml:space="preserve"> ConCost!AH$74</f>
        <v>12.5</v>
      </c>
      <c r="AI17" s="68">
        <f xml:space="preserve"> ConCost!AI$74</f>
        <v>12.5</v>
      </c>
      <c r="AJ17" s="68">
        <f xml:space="preserve"> ConCost!AJ$74</f>
        <v>12.5</v>
      </c>
      <c r="AK17" s="68">
        <f xml:space="preserve"> ConCost!AK$74</f>
        <v>12.5</v>
      </c>
      <c r="AL17" s="68">
        <f xml:space="preserve"> ConCost!AL$74</f>
        <v>12.5</v>
      </c>
      <c r="AM17" s="68">
        <f xml:space="preserve"> ConCost!AM$74</f>
        <v>12.5</v>
      </c>
      <c r="AN17" s="68">
        <f xml:space="preserve"> ConCost!AN$74</f>
        <v>0</v>
      </c>
      <c r="AO17" s="68">
        <f xml:space="preserve"> ConCost!AO$74</f>
        <v>0</v>
      </c>
      <c r="AP17" s="68">
        <f xml:space="preserve"> ConCost!AP$74</f>
        <v>0</v>
      </c>
      <c r="AQ17" s="68">
        <f xml:space="preserve"> ConCost!AQ$74</f>
        <v>0</v>
      </c>
      <c r="AR17" s="68">
        <f xml:space="preserve"> ConCost!AR$74</f>
        <v>0</v>
      </c>
      <c r="AS17" s="68">
        <f xml:space="preserve"> ConCost!AS$74</f>
        <v>0</v>
      </c>
      <c r="AT17" s="68">
        <f xml:space="preserve"> ConCost!AT$74</f>
        <v>0</v>
      </c>
      <c r="AU17" s="68">
        <f xml:space="preserve"> ConCost!AU$74</f>
        <v>0</v>
      </c>
      <c r="AV17" s="68">
        <f xml:space="preserve"> ConCost!AV$74</f>
        <v>0</v>
      </c>
      <c r="AW17" s="68">
        <f xml:space="preserve"> ConCost!AW$74</f>
        <v>0</v>
      </c>
      <c r="AX17" s="68">
        <f xml:space="preserve"> ConCost!AX$74</f>
        <v>0</v>
      </c>
      <c r="AY17" s="68">
        <f xml:space="preserve"> ConCost!AY$74</f>
        <v>0</v>
      </c>
      <c r="AZ17" s="68">
        <f xml:space="preserve"> ConCost!AZ$74</f>
        <v>0</v>
      </c>
      <c r="BA17" s="68">
        <f xml:space="preserve"> ConCost!BA$74</f>
        <v>0</v>
      </c>
      <c r="BB17" s="68">
        <f xml:space="preserve"> ConCost!BB$74</f>
        <v>0</v>
      </c>
      <c r="BC17" s="68">
        <f xml:space="preserve"> ConCost!BC$74</f>
        <v>0</v>
      </c>
      <c r="BD17" s="68">
        <f xml:space="preserve"> ConCost!BD$74</f>
        <v>0</v>
      </c>
      <c r="BE17" s="68">
        <f xml:space="preserve"> ConCost!BE$74</f>
        <v>0</v>
      </c>
    </row>
    <row r="18" spans="1:57" s="125" customFormat="1" outlineLevel="1" x14ac:dyDescent="0.2">
      <c r="A18" s="85"/>
      <c r="B18" s="85"/>
      <c r="C18" s="86"/>
      <c r="D18" s="87"/>
      <c r="E18" s="68" t="str">
        <f xml:space="preserve"> ConCost!E$207</f>
        <v>Early generation costs shortfall to be funded - m</v>
      </c>
      <c r="F18" s="68">
        <f xml:space="preserve"> ConCost!F$207</f>
        <v>0</v>
      </c>
      <c r="G18" s="68" t="str">
        <f xml:space="preserve"> ConCost!G$207</f>
        <v>$ 000s</v>
      </c>
      <c r="H18" s="68">
        <f xml:space="preserve"> ConCost!H$207</f>
        <v>0</v>
      </c>
      <c r="I18" s="68">
        <f xml:space="preserve"> ConCost!I$207</f>
        <v>0</v>
      </c>
      <c r="J18" s="68">
        <f xml:space="preserve"> ConCost!J$207</f>
        <v>0</v>
      </c>
      <c r="K18" s="68">
        <f xml:space="preserve"> ConCost!K$207</f>
        <v>0</v>
      </c>
      <c r="L18" s="68">
        <f xml:space="preserve"> ConCost!L$207</f>
        <v>0</v>
      </c>
      <c r="M18" s="68">
        <f xml:space="preserve"> ConCost!M$207</f>
        <v>0</v>
      </c>
      <c r="N18" s="68">
        <f xml:space="preserve"> ConCost!N$207</f>
        <v>0</v>
      </c>
      <c r="O18" s="68">
        <f xml:space="preserve"> ConCost!O$207</f>
        <v>0</v>
      </c>
      <c r="P18" s="68">
        <f xml:space="preserve"> ConCost!P$207</f>
        <v>0</v>
      </c>
      <c r="Q18" s="68">
        <f xml:space="preserve"> ConCost!Q$207</f>
        <v>0</v>
      </c>
      <c r="R18" s="68">
        <f xml:space="preserve"> ConCost!R$207</f>
        <v>0</v>
      </c>
      <c r="S18" s="68">
        <f xml:space="preserve"> ConCost!S$207</f>
        <v>0</v>
      </c>
      <c r="T18" s="68">
        <f xml:space="preserve"> ConCost!T$207</f>
        <v>0</v>
      </c>
      <c r="U18" s="68">
        <f xml:space="preserve"> ConCost!U$207</f>
        <v>0</v>
      </c>
      <c r="V18" s="68">
        <f xml:space="preserve"> ConCost!V$207</f>
        <v>0</v>
      </c>
      <c r="W18" s="68">
        <f xml:space="preserve"> ConCost!W$207</f>
        <v>0</v>
      </c>
      <c r="X18" s="68">
        <f xml:space="preserve"> ConCost!X$207</f>
        <v>0</v>
      </c>
      <c r="Y18" s="68">
        <f xml:space="preserve"> ConCost!Y$207</f>
        <v>0</v>
      </c>
      <c r="Z18" s="68">
        <f xml:space="preserve"> ConCost!Z$207</f>
        <v>0</v>
      </c>
      <c r="AA18" s="68">
        <f xml:space="preserve"> ConCost!AA$207</f>
        <v>0</v>
      </c>
      <c r="AB18" s="68">
        <f xml:space="preserve"> ConCost!AB$207</f>
        <v>0</v>
      </c>
      <c r="AC18" s="68">
        <f xml:space="preserve"> ConCost!AC$207</f>
        <v>0</v>
      </c>
      <c r="AD18" s="68">
        <f xml:space="preserve"> ConCost!AD$207</f>
        <v>0</v>
      </c>
      <c r="AE18" s="68">
        <f xml:space="preserve"> ConCost!AE$207</f>
        <v>0</v>
      </c>
      <c r="AF18" s="68">
        <f xml:space="preserve"> ConCost!AF$207</f>
        <v>0</v>
      </c>
      <c r="AG18" s="68">
        <f xml:space="preserve"> ConCost!AG$207</f>
        <v>0</v>
      </c>
      <c r="AH18" s="68">
        <f xml:space="preserve"> ConCost!AH$207</f>
        <v>0</v>
      </c>
      <c r="AI18" s="68">
        <f xml:space="preserve"> ConCost!AI$207</f>
        <v>0</v>
      </c>
      <c r="AJ18" s="68">
        <f xml:space="preserve"> ConCost!AJ$207</f>
        <v>0</v>
      </c>
      <c r="AK18" s="68">
        <f xml:space="preserve"> ConCost!AK$207</f>
        <v>0</v>
      </c>
      <c r="AL18" s="68">
        <f xml:space="preserve"> ConCost!AL$207</f>
        <v>0</v>
      </c>
      <c r="AM18" s="68">
        <f xml:space="preserve"> ConCost!AM$207</f>
        <v>0</v>
      </c>
      <c r="AN18" s="68">
        <f xml:space="preserve"> ConCost!AN$207</f>
        <v>0</v>
      </c>
      <c r="AO18" s="68">
        <f xml:space="preserve"> ConCost!AO$207</f>
        <v>0</v>
      </c>
      <c r="AP18" s="68">
        <f xml:space="preserve"> ConCost!AP$207</f>
        <v>0</v>
      </c>
      <c r="AQ18" s="68">
        <f xml:space="preserve"> ConCost!AQ$207</f>
        <v>0</v>
      </c>
      <c r="AR18" s="68">
        <f xml:space="preserve"> ConCost!AR$207</f>
        <v>0</v>
      </c>
      <c r="AS18" s="68">
        <f xml:space="preserve"> ConCost!AS$207</f>
        <v>0</v>
      </c>
      <c r="AT18" s="68">
        <f xml:space="preserve"> ConCost!AT$207</f>
        <v>0</v>
      </c>
      <c r="AU18" s="68">
        <f xml:space="preserve"> ConCost!AU$207</f>
        <v>0</v>
      </c>
      <c r="AV18" s="68">
        <f xml:space="preserve"> ConCost!AV$207</f>
        <v>0</v>
      </c>
      <c r="AW18" s="68">
        <f xml:space="preserve"> ConCost!AW$207</f>
        <v>0</v>
      </c>
      <c r="AX18" s="68">
        <f xml:space="preserve"> ConCost!AX$207</f>
        <v>0</v>
      </c>
      <c r="AY18" s="68">
        <f xml:space="preserve"> ConCost!AY$207</f>
        <v>0</v>
      </c>
      <c r="AZ18" s="68">
        <f xml:space="preserve"> ConCost!AZ$207</f>
        <v>0</v>
      </c>
      <c r="BA18" s="68">
        <f xml:space="preserve"> ConCost!BA$207</f>
        <v>0</v>
      </c>
      <c r="BB18" s="68">
        <f xml:space="preserve"> ConCost!BB$207</f>
        <v>0</v>
      </c>
      <c r="BC18" s="68">
        <f xml:space="preserve"> ConCost!BC$207</f>
        <v>0</v>
      </c>
      <c r="BD18" s="68">
        <f xml:space="preserve"> ConCost!BD$207</f>
        <v>0</v>
      </c>
      <c r="BE18" s="68">
        <f xml:space="preserve"> ConCost!BE$207</f>
        <v>0</v>
      </c>
    </row>
    <row r="19" spans="1:57" s="331" customFormat="1" outlineLevel="1" x14ac:dyDescent="0.2">
      <c r="A19" s="700"/>
      <c r="B19" s="700"/>
      <c r="C19" s="701"/>
      <c r="D19" s="702"/>
      <c r="E19" s="722" t="str">
        <f t="shared" ref="E19:AJ19" si="0" xml:space="preserve"> E$168</f>
        <v>Equity bridge upfront fee - paid</v>
      </c>
      <c r="F19" s="722">
        <f t="shared" si="0"/>
        <v>0</v>
      </c>
      <c r="G19" s="722" t="str">
        <f t="shared" si="0"/>
        <v>$ 000s</v>
      </c>
      <c r="H19" s="722">
        <f t="shared" si="0"/>
        <v>1294.7739489543146</v>
      </c>
      <c r="I19" s="722">
        <f t="shared" si="0"/>
        <v>0</v>
      </c>
      <c r="J19" s="722">
        <f t="shared" si="0"/>
        <v>0</v>
      </c>
      <c r="K19" s="722">
        <f t="shared" si="0"/>
        <v>0</v>
      </c>
      <c r="L19" s="722">
        <f t="shared" si="0"/>
        <v>0</v>
      </c>
      <c r="M19" s="722">
        <f t="shared" si="0"/>
        <v>1294.7739489543146</v>
      </c>
      <c r="N19" s="722">
        <f t="shared" si="0"/>
        <v>0</v>
      </c>
      <c r="O19" s="722">
        <f t="shared" si="0"/>
        <v>0</v>
      </c>
      <c r="P19" s="722">
        <f t="shared" si="0"/>
        <v>0</v>
      </c>
      <c r="Q19" s="722">
        <f t="shared" si="0"/>
        <v>0</v>
      </c>
      <c r="R19" s="722">
        <f t="shared" si="0"/>
        <v>0</v>
      </c>
      <c r="S19" s="722">
        <f t="shared" si="0"/>
        <v>0</v>
      </c>
      <c r="T19" s="722">
        <f t="shared" si="0"/>
        <v>0</v>
      </c>
      <c r="U19" s="722">
        <f t="shared" si="0"/>
        <v>0</v>
      </c>
      <c r="V19" s="722">
        <f t="shared" si="0"/>
        <v>0</v>
      </c>
      <c r="W19" s="722">
        <f t="shared" si="0"/>
        <v>0</v>
      </c>
      <c r="X19" s="722">
        <f t="shared" si="0"/>
        <v>0</v>
      </c>
      <c r="Y19" s="722">
        <f t="shared" si="0"/>
        <v>0</v>
      </c>
      <c r="Z19" s="722">
        <f t="shared" si="0"/>
        <v>0</v>
      </c>
      <c r="AA19" s="722">
        <f t="shared" si="0"/>
        <v>0</v>
      </c>
      <c r="AB19" s="722">
        <f t="shared" si="0"/>
        <v>0</v>
      </c>
      <c r="AC19" s="722">
        <f t="shared" si="0"/>
        <v>0</v>
      </c>
      <c r="AD19" s="722">
        <f t="shared" si="0"/>
        <v>0</v>
      </c>
      <c r="AE19" s="722">
        <f t="shared" si="0"/>
        <v>0</v>
      </c>
      <c r="AF19" s="722">
        <f t="shared" si="0"/>
        <v>0</v>
      </c>
      <c r="AG19" s="722">
        <f t="shared" si="0"/>
        <v>0</v>
      </c>
      <c r="AH19" s="722">
        <f t="shared" si="0"/>
        <v>0</v>
      </c>
      <c r="AI19" s="722">
        <f t="shared" si="0"/>
        <v>0</v>
      </c>
      <c r="AJ19" s="722">
        <f t="shared" si="0"/>
        <v>0</v>
      </c>
      <c r="AK19" s="722">
        <f t="shared" ref="AK19:BE19" si="1" xml:space="preserve"> AK$168</f>
        <v>0</v>
      </c>
      <c r="AL19" s="722">
        <f t="shared" si="1"/>
        <v>0</v>
      </c>
      <c r="AM19" s="722">
        <f t="shared" si="1"/>
        <v>0</v>
      </c>
      <c r="AN19" s="722">
        <f t="shared" si="1"/>
        <v>0</v>
      </c>
      <c r="AO19" s="722">
        <f t="shared" si="1"/>
        <v>0</v>
      </c>
      <c r="AP19" s="722">
        <f t="shared" si="1"/>
        <v>0</v>
      </c>
      <c r="AQ19" s="722">
        <f t="shared" si="1"/>
        <v>0</v>
      </c>
      <c r="AR19" s="722">
        <f t="shared" si="1"/>
        <v>0</v>
      </c>
      <c r="AS19" s="722">
        <f t="shared" si="1"/>
        <v>0</v>
      </c>
      <c r="AT19" s="722">
        <f t="shared" si="1"/>
        <v>0</v>
      </c>
      <c r="AU19" s="722">
        <f t="shared" si="1"/>
        <v>0</v>
      </c>
      <c r="AV19" s="722">
        <f t="shared" si="1"/>
        <v>0</v>
      </c>
      <c r="AW19" s="722">
        <f t="shared" si="1"/>
        <v>0</v>
      </c>
      <c r="AX19" s="722">
        <f t="shared" si="1"/>
        <v>0</v>
      </c>
      <c r="AY19" s="722">
        <f t="shared" si="1"/>
        <v>0</v>
      </c>
      <c r="AZ19" s="722">
        <f t="shared" si="1"/>
        <v>0</v>
      </c>
      <c r="BA19" s="722">
        <f t="shared" si="1"/>
        <v>0</v>
      </c>
      <c r="BB19" s="722">
        <f t="shared" si="1"/>
        <v>0</v>
      </c>
      <c r="BC19" s="722">
        <f t="shared" si="1"/>
        <v>0</v>
      </c>
      <c r="BD19" s="722">
        <f t="shared" si="1"/>
        <v>0</v>
      </c>
      <c r="BE19" s="722">
        <f t="shared" si="1"/>
        <v>0</v>
      </c>
    </row>
    <row r="20" spans="1:57" s="331" customFormat="1" outlineLevel="1" x14ac:dyDescent="0.2">
      <c r="A20" s="700"/>
      <c r="B20" s="700"/>
      <c r="C20" s="701"/>
      <c r="D20" s="702"/>
      <c r="E20" s="722" t="str">
        <f t="shared" ref="E20:AJ20" si="2" xml:space="preserve"> E$191</f>
        <v>Equity bridge commitment fee - paid</v>
      </c>
      <c r="F20" s="722">
        <f t="shared" si="2"/>
        <v>0</v>
      </c>
      <c r="G20" s="722" t="str">
        <f t="shared" si="2"/>
        <v>$ 000s</v>
      </c>
      <c r="H20" s="722">
        <f t="shared" si="2"/>
        <v>160.09844613595186</v>
      </c>
      <c r="I20" s="722">
        <f t="shared" si="2"/>
        <v>0</v>
      </c>
      <c r="J20" s="722">
        <f t="shared" si="2"/>
        <v>0</v>
      </c>
      <c r="K20" s="722">
        <f t="shared" si="2"/>
        <v>0</v>
      </c>
      <c r="L20" s="722">
        <f t="shared" si="2"/>
        <v>0</v>
      </c>
      <c r="M20" s="722">
        <f t="shared" si="2"/>
        <v>0</v>
      </c>
      <c r="N20" s="722">
        <f t="shared" si="2"/>
        <v>46.160833193638979</v>
      </c>
      <c r="O20" s="722">
        <f t="shared" si="2"/>
        <v>37.270944178119898</v>
      </c>
      <c r="P20" s="722">
        <f t="shared" si="2"/>
        <v>30.847099566888641</v>
      </c>
      <c r="Q20" s="722">
        <f t="shared" si="2"/>
        <v>23.156718172278122</v>
      </c>
      <c r="R20" s="722">
        <f t="shared" si="2"/>
        <v>14.946594571813201</v>
      </c>
      <c r="S20" s="722">
        <f t="shared" si="2"/>
        <v>7.716127800922667</v>
      </c>
      <c r="T20" s="722">
        <f t="shared" si="2"/>
        <v>6.3479748587269577E-6</v>
      </c>
      <c r="U20" s="722">
        <f t="shared" si="2"/>
        <v>6.5595740206845229E-6</v>
      </c>
      <c r="V20" s="722">
        <f t="shared" si="2"/>
        <v>6.5595740206845229E-6</v>
      </c>
      <c r="W20" s="722">
        <f t="shared" si="2"/>
        <v>5.9247765348118271E-6</v>
      </c>
      <c r="X20" s="722">
        <f t="shared" si="2"/>
        <v>6.5595740206845229E-6</v>
      </c>
      <c r="Y20" s="722">
        <f t="shared" si="2"/>
        <v>6.3479748587269577E-6</v>
      </c>
      <c r="Z20" s="722">
        <f t="shared" si="2"/>
        <v>6.5595740206845229E-6</v>
      </c>
      <c r="AA20" s="722">
        <f t="shared" si="2"/>
        <v>6.3479748587269577E-6</v>
      </c>
      <c r="AB20" s="722">
        <f t="shared" si="2"/>
        <v>6.5595740206845229E-6</v>
      </c>
      <c r="AC20" s="722">
        <f t="shared" si="2"/>
        <v>6.5595740206845229E-6</v>
      </c>
      <c r="AD20" s="722">
        <f t="shared" si="2"/>
        <v>6.3479748587269577E-6</v>
      </c>
      <c r="AE20" s="722">
        <f t="shared" si="2"/>
        <v>6.5595740206845229E-6</v>
      </c>
      <c r="AF20" s="722">
        <f t="shared" si="2"/>
        <v>6.3479748587269577E-6</v>
      </c>
      <c r="AG20" s="722">
        <f t="shared" si="2"/>
        <v>6.5595740206845229E-6</v>
      </c>
      <c r="AH20" s="722">
        <f t="shared" si="2"/>
        <v>6.5595740206845229E-6</v>
      </c>
      <c r="AI20" s="722">
        <f t="shared" si="2"/>
        <v>6.1363756967693924E-6</v>
      </c>
      <c r="AJ20" s="722">
        <f t="shared" si="2"/>
        <v>6.5595740206845229E-6</v>
      </c>
      <c r="AK20" s="722">
        <f t="shared" ref="AK20:BE20" si="3" xml:space="preserve"> AK$191</f>
        <v>6.3479748587269577E-6</v>
      </c>
      <c r="AL20" s="722">
        <f t="shared" si="3"/>
        <v>6.5595740206845229E-6</v>
      </c>
      <c r="AM20" s="722">
        <f t="shared" si="3"/>
        <v>6.3479748587269577E-6</v>
      </c>
      <c r="AN20" s="722">
        <f t="shared" si="3"/>
        <v>0</v>
      </c>
      <c r="AO20" s="722">
        <f t="shared" si="3"/>
        <v>0</v>
      </c>
      <c r="AP20" s="722">
        <f t="shared" si="3"/>
        <v>0</v>
      </c>
      <c r="AQ20" s="722">
        <f t="shared" si="3"/>
        <v>0</v>
      </c>
      <c r="AR20" s="722">
        <f t="shared" si="3"/>
        <v>0</v>
      </c>
      <c r="AS20" s="722">
        <f t="shared" si="3"/>
        <v>0</v>
      </c>
      <c r="AT20" s="722">
        <f t="shared" si="3"/>
        <v>0</v>
      </c>
      <c r="AU20" s="722">
        <f t="shared" si="3"/>
        <v>0</v>
      </c>
      <c r="AV20" s="722">
        <f t="shared" si="3"/>
        <v>0</v>
      </c>
      <c r="AW20" s="722">
        <f t="shared" si="3"/>
        <v>0</v>
      </c>
      <c r="AX20" s="722">
        <f t="shared" si="3"/>
        <v>0</v>
      </c>
      <c r="AY20" s="722">
        <f t="shared" si="3"/>
        <v>0</v>
      </c>
      <c r="AZ20" s="722">
        <f t="shared" si="3"/>
        <v>0</v>
      </c>
      <c r="BA20" s="722">
        <f t="shared" si="3"/>
        <v>0</v>
      </c>
      <c r="BB20" s="722">
        <f t="shared" si="3"/>
        <v>0</v>
      </c>
      <c r="BC20" s="722">
        <f t="shared" si="3"/>
        <v>0</v>
      </c>
      <c r="BD20" s="722">
        <f t="shared" si="3"/>
        <v>0</v>
      </c>
      <c r="BE20" s="722">
        <f t="shared" si="3"/>
        <v>0</v>
      </c>
    </row>
    <row r="21" spans="1:57" s="331" customFormat="1" outlineLevel="1" x14ac:dyDescent="0.2">
      <c r="A21" s="700"/>
      <c r="B21" s="700"/>
      <c r="C21" s="701"/>
      <c r="D21" s="702"/>
      <c r="E21" s="722" t="str">
        <f t="shared" ref="E21:AJ21" si="4" xml:space="preserve"> E$154</f>
        <v>Equity bridge interest - paid</v>
      </c>
      <c r="F21" s="722">
        <f t="shared" si="4"/>
        <v>0</v>
      </c>
      <c r="G21" s="722" t="str">
        <f t="shared" si="4"/>
        <v>$ 000s</v>
      </c>
      <c r="H21" s="722">
        <f t="shared" si="4"/>
        <v>6742.148787806902</v>
      </c>
      <c r="I21" s="722">
        <f t="shared" si="4"/>
        <v>0</v>
      </c>
      <c r="J21" s="722">
        <f t="shared" si="4"/>
        <v>0</v>
      </c>
      <c r="K21" s="722">
        <f t="shared" si="4"/>
        <v>0</v>
      </c>
      <c r="L21" s="722">
        <f t="shared" si="4"/>
        <v>0</v>
      </c>
      <c r="M21" s="722">
        <f t="shared" si="4"/>
        <v>0</v>
      </c>
      <c r="N21" s="722">
        <f t="shared" si="4"/>
        <v>51.127351986397699</v>
      </c>
      <c r="O21" s="722">
        <f t="shared" si="4"/>
        <v>88.949175262097128</v>
      </c>
      <c r="P21" s="722">
        <f t="shared" si="4"/>
        <v>132.80059799573283</v>
      </c>
      <c r="Q21" s="722">
        <f t="shared" si="4"/>
        <v>173.81596543365558</v>
      </c>
      <c r="R21" s="722">
        <f t="shared" si="4"/>
        <v>208.01237316239951</v>
      </c>
      <c r="S21" s="722">
        <f t="shared" si="4"/>
        <v>256.16578074755137</v>
      </c>
      <c r="T21" s="722">
        <f t="shared" si="4"/>
        <v>287.72751035620399</v>
      </c>
      <c r="U21" s="722">
        <f t="shared" si="4"/>
        <v>297.31842736807749</v>
      </c>
      <c r="V21" s="722">
        <f t="shared" si="4"/>
        <v>297.31842736807749</v>
      </c>
      <c r="W21" s="722">
        <f t="shared" si="4"/>
        <v>268.54567633245711</v>
      </c>
      <c r="X21" s="722">
        <f t="shared" si="4"/>
        <v>297.31842736807749</v>
      </c>
      <c r="Y21" s="722">
        <f t="shared" si="4"/>
        <v>287.72751035620399</v>
      </c>
      <c r="Z21" s="722">
        <f t="shared" si="4"/>
        <v>297.31842736807749</v>
      </c>
      <c r="AA21" s="722">
        <f t="shared" si="4"/>
        <v>287.72751035620399</v>
      </c>
      <c r="AB21" s="722">
        <f t="shared" si="4"/>
        <v>297.31842736807749</v>
      </c>
      <c r="AC21" s="722">
        <f t="shared" si="4"/>
        <v>297.31842736807749</v>
      </c>
      <c r="AD21" s="722">
        <f t="shared" si="4"/>
        <v>287.72751035620399</v>
      </c>
      <c r="AE21" s="722">
        <f t="shared" si="4"/>
        <v>297.31842736807749</v>
      </c>
      <c r="AF21" s="722">
        <f t="shared" si="4"/>
        <v>287.72751035620399</v>
      </c>
      <c r="AG21" s="722">
        <f t="shared" si="4"/>
        <v>297.31842736807749</v>
      </c>
      <c r="AH21" s="722">
        <f t="shared" si="4"/>
        <v>297.31842736807749</v>
      </c>
      <c r="AI21" s="722">
        <f t="shared" si="4"/>
        <v>278.13659334433055</v>
      </c>
      <c r="AJ21" s="722">
        <f t="shared" si="4"/>
        <v>297.31842736807749</v>
      </c>
      <c r="AK21" s="722">
        <f t="shared" ref="AK21:BE21" si="5" xml:space="preserve"> AK$154</f>
        <v>287.72751035620399</v>
      </c>
      <c r="AL21" s="722">
        <f t="shared" si="5"/>
        <v>297.31842736807749</v>
      </c>
      <c r="AM21" s="722">
        <f t="shared" si="5"/>
        <v>287.72751035620399</v>
      </c>
      <c r="AN21" s="722">
        <f t="shared" si="5"/>
        <v>0</v>
      </c>
      <c r="AO21" s="722">
        <f t="shared" si="5"/>
        <v>0</v>
      </c>
      <c r="AP21" s="722">
        <f t="shared" si="5"/>
        <v>0</v>
      </c>
      <c r="AQ21" s="722">
        <f t="shared" si="5"/>
        <v>0</v>
      </c>
      <c r="AR21" s="722">
        <f t="shared" si="5"/>
        <v>0</v>
      </c>
      <c r="AS21" s="722">
        <f t="shared" si="5"/>
        <v>0</v>
      </c>
      <c r="AT21" s="722">
        <f t="shared" si="5"/>
        <v>0</v>
      </c>
      <c r="AU21" s="722">
        <f t="shared" si="5"/>
        <v>0</v>
      </c>
      <c r="AV21" s="722">
        <f t="shared" si="5"/>
        <v>0</v>
      </c>
      <c r="AW21" s="722">
        <f t="shared" si="5"/>
        <v>0</v>
      </c>
      <c r="AX21" s="722">
        <f t="shared" si="5"/>
        <v>0</v>
      </c>
      <c r="AY21" s="722">
        <f t="shared" si="5"/>
        <v>0</v>
      </c>
      <c r="AZ21" s="722">
        <f t="shared" si="5"/>
        <v>0</v>
      </c>
      <c r="BA21" s="722">
        <f t="shared" si="5"/>
        <v>0</v>
      </c>
      <c r="BB21" s="722">
        <f t="shared" si="5"/>
        <v>0</v>
      </c>
      <c r="BC21" s="722">
        <f t="shared" si="5"/>
        <v>0</v>
      </c>
      <c r="BD21" s="722">
        <f t="shared" si="5"/>
        <v>0</v>
      </c>
      <c r="BE21" s="722">
        <f t="shared" si="5"/>
        <v>0</v>
      </c>
    </row>
    <row r="22" spans="1:57" s="495" customFormat="1" outlineLevel="1" x14ac:dyDescent="0.2">
      <c r="A22" s="15"/>
      <c r="B22" s="15"/>
      <c r="C22" s="21"/>
      <c r="D22" s="48"/>
      <c r="E22" s="9" t="str">
        <f t="shared" ref="E22:AJ22" si="6" xml:space="preserve"> E$372</f>
        <v>Construction debt upfront fee</v>
      </c>
      <c r="F22" s="9">
        <f t="shared" si="6"/>
        <v>0</v>
      </c>
      <c r="G22" s="9" t="str">
        <f t="shared" si="6"/>
        <v>$ 000s</v>
      </c>
      <c r="H22" s="9">
        <f t="shared" si="6"/>
        <v>5258.1868974664449</v>
      </c>
      <c r="I22" s="9">
        <f t="shared" si="6"/>
        <v>0</v>
      </c>
      <c r="J22" s="9">
        <f t="shared" si="6"/>
        <v>0</v>
      </c>
      <c r="K22" s="9">
        <f t="shared" si="6"/>
        <v>0</v>
      </c>
      <c r="L22" s="9">
        <f t="shared" si="6"/>
        <v>0</v>
      </c>
      <c r="M22" s="9">
        <f t="shared" si="6"/>
        <v>5258.1868974664449</v>
      </c>
      <c r="N22" s="9">
        <f t="shared" si="6"/>
        <v>0</v>
      </c>
      <c r="O22" s="9">
        <f t="shared" si="6"/>
        <v>0</v>
      </c>
      <c r="P22" s="9">
        <f t="shared" si="6"/>
        <v>0</v>
      </c>
      <c r="Q22" s="9">
        <f t="shared" si="6"/>
        <v>0</v>
      </c>
      <c r="R22" s="9">
        <f t="shared" si="6"/>
        <v>0</v>
      </c>
      <c r="S22" s="9">
        <f t="shared" si="6"/>
        <v>0</v>
      </c>
      <c r="T22" s="9">
        <f t="shared" si="6"/>
        <v>0</v>
      </c>
      <c r="U22" s="9">
        <f t="shared" si="6"/>
        <v>0</v>
      </c>
      <c r="V22" s="9">
        <f t="shared" si="6"/>
        <v>0</v>
      </c>
      <c r="W22" s="9">
        <f t="shared" si="6"/>
        <v>0</v>
      </c>
      <c r="X22" s="9">
        <f t="shared" si="6"/>
        <v>0</v>
      </c>
      <c r="Y22" s="9">
        <f t="shared" si="6"/>
        <v>0</v>
      </c>
      <c r="Z22" s="9">
        <f t="shared" si="6"/>
        <v>0</v>
      </c>
      <c r="AA22" s="9">
        <f t="shared" si="6"/>
        <v>0</v>
      </c>
      <c r="AB22" s="9">
        <f t="shared" si="6"/>
        <v>0</v>
      </c>
      <c r="AC22" s="9">
        <f t="shared" si="6"/>
        <v>0</v>
      </c>
      <c r="AD22" s="9">
        <f t="shared" si="6"/>
        <v>0</v>
      </c>
      <c r="AE22" s="9">
        <f t="shared" si="6"/>
        <v>0</v>
      </c>
      <c r="AF22" s="9">
        <f t="shared" si="6"/>
        <v>0</v>
      </c>
      <c r="AG22" s="9">
        <f t="shared" si="6"/>
        <v>0</v>
      </c>
      <c r="AH22" s="9">
        <f t="shared" si="6"/>
        <v>0</v>
      </c>
      <c r="AI22" s="9">
        <f t="shared" si="6"/>
        <v>0</v>
      </c>
      <c r="AJ22" s="9">
        <f t="shared" si="6"/>
        <v>0</v>
      </c>
      <c r="AK22" s="9">
        <f t="shared" ref="AK22:BE22" si="7" xml:space="preserve"> AK$372</f>
        <v>0</v>
      </c>
      <c r="AL22" s="9">
        <f t="shared" si="7"/>
        <v>0</v>
      </c>
      <c r="AM22" s="9">
        <f t="shared" si="7"/>
        <v>0</v>
      </c>
      <c r="AN22" s="9">
        <f t="shared" si="7"/>
        <v>0</v>
      </c>
      <c r="AO22" s="9">
        <f t="shared" si="7"/>
        <v>0</v>
      </c>
      <c r="AP22" s="9">
        <f t="shared" si="7"/>
        <v>0</v>
      </c>
      <c r="AQ22" s="9">
        <f t="shared" si="7"/>
        <v>0</v>
      </c>
      <c r="AR22" s="9">
        <f t="shared" si="7"/>
        <v>0</v>
      </c>
      <c r="AS22" s="9">
        <f t="shared" si="7"/>
        <v>0</v>
      </c>
      <c r="AT22" s="9">
        <f t="shared" si="7"/>
        <v>0</v>
      </c>
      <c r="AU22" s="9">
        <f t="shared" si="7"/>
        <v>0</v>
      </c>
      <c r="AV22" s="9">
        <f t="shared" si="7"/>
        <v>0</v>
      </c>
      <c r="AW22" s="9">
        <f t="shared" si="7"/>
        <v>0</v>
      </c>
      <c r="AX22" s="9">
        <f t="shared" si="7"/>
        <v>0</v>
      </c>
      <c r="AY22" s="9">
        <f t="shared" si="7"/>
        <v>0</v>
      </c>
      <c r="AZ22" s="9">
        <f t="shared" si="7"/>
        <v>0</v>
      </c>
      <c r="BA22" s="9">
        <f t="shared" si="7"/>
        <v>0</v>
      </c>
      <c r="BB22" s="9">
        <f t="shared" si="7"/>
        <v>0</v>
      </c>
      <c r="BC22" s="9">
        <f t="shared" si="7"/>
        <v>0</v>
      </c>
      <c r="BD22" s="9">
        <f t="shared" si="7"/>
        <v>0</v>
      </c>
      <c r="BE22" s="9">
        <f t="shared" si="7"/>
        <v>0</v>
      </c>
    </row>
    <row r="23" spans="1:57" s="495" customFormat="1" outlineLevel="1" x14ac:dyDescent="0.2">
      <c r="A23" s="15"/>
      <c r="B23" s="15"/>
      <c r="C23" s="21"/>
      <c r="D23" s="48"/>
      <c r="E23" s="9" t="str">
        <f t="shared" ref="E23:H23" si="8" xml:space="preserve"> E$402</f>
        <v>Construction debt commitment fee</v>
      </c>
      <c r="F23" s="9">
        <f t="shared" si="8"/>
        <v>0</v>
      </c>
      <c r="G23" s="9" t="str">
        <f t="shared" si="8"/>
        <v>$ 000s</v>
      </c>
      <c r="H23" s="9">
        <f t="shared" si="8"/>
        <v>2738.4570389187838</v>
      </c>
      <c r="I23" s="9">
        <f t="shared" ref="I23:AN23" si="9" xml:space="preserve"> I$402</f>
        <v>0</v>
      </c>
      <c r="J23" s="9">
        <f t="shared" si="9"/>
        <v>0</v>
      </c>
      <c r="K23" s="9">
        <f t="shared" si="9"/>
        <v>0</v>
      </c>
      <c r="L23" s="9">
        <f t="shared" si="9"/>
        <v>0</v>
      </c>
      <c r="M23" s="9">
        <f t="shared" si="9"/>
        <v>0</v>
      </c>
      <c r="N23" s="9">
        <f t="shared" si="9"/>
        <v>162.75340396919947</v>
      </c>
      <c r="O23" s="9">
        <f t="shared" si="9"/>
        <v>162.75340396919947</v>
      </c>
      <c r="P23" s="9">
        <f t="shared" si="9"/>
        <v>162.75340396919947</v>
      </c>
      <c r="Q23" s="9">
        <f t="shared" si="9"/>
        <v>162.75340396919947</v>
      </c>
      <c r="R23" s="9">
        <f t="shared" si="9"/>
        <v>162.75340396919947</v>
      </c>
      <c r="S23" s="9">
        <f t="shared" si="9"/>
        <v>162.75340396919947</v>
      </c>
      <c r="T23" s="9">
        <f t="shared" si="9"/>
        <v>162.71415764240061</v>
      </c>
      <c r="U23" s="9">
        <f t="shared" si="9"/>
        <v>154.89340042056619</v>
      </c>
      <c r="V23" s="9">
        <f t="shared" si="9"/>
        <v>147.04387650746716</v>
      </c>
      <c r="W23" s="9">
        <f t="shared" si="9"/>
        <v>139.17174160467761</v>
      </c>
      <c r="X23" s="9">
        <f t="shared" si="9"/>
        <v>131.30368993566771</v>
      </c>
      <c r="Y23" s="9">
        <f t="shared" si="9"/>
        <v>123.3862145510528</v>
      </c>
      <c r="Z23" s="9">
        <f t="shared" si="9"/>
        <v>115.45665002012004</v>
      </c>
      <c r="AA23" s="9">
        <f t="shared" si="9"/>
        <v>107.49352635668669</v>
      </c>
      <c r="AB23" s="9">
        <f t="shared" si="9"/>
        <v>99.519992055129833</v>
      </c>
      <c r="AC23" s="9">
        <f t="shared" si="9"/>
        <v>91.510961963106894</v>
      </c>
      <c r="AD23" s="9">
        <f t="shared" si="9"/>
        <v>83.478861414981807</v>
      </c>
      <c r="AE23" s="9">
        <f t="shared" si="9"/>
        <v>75.438886540488411</v>
      </c>
      <c r="AF23" s="9">
        <f t="shared" si="9"/>
        <v>67.360489486262281</v>
      </c>
      <c r="AG23" s="9">
        <f t="shared" si="9"/>
        <v>59.275920449477304</v>
      </c>
      <c r="AH23" s="9">
        <f t="shared" si="9"/>
        <v>51.150965073529349</v>
      </c>
      <c r="AI23" s="9">
        <f t="shared" si="9"/>
        <v>44.296105312257296</v>
      </c>
      <c r="AJ23" s="9">
        <f t="shared" si="9"/>
        <v>37.460949878672267</v>
      </c>
      <c r="AK23" s="9">
        <f t="shared" si="9"/>
        <v>30.566655268119057</v>
      </c>
      <c r="AL23" s="9">
        <f t="shared" si="9"/>
        <v>23.673789956770808</v>
      </c>
      <c r="AM23" s="9">
        <f t="shared" si="9"/>
        <v>16.739780666152562</v>
      </c>
      <c r="AN23" s="9">
        <f t="shared" si="9"/>
        <v>0</v>
      </c>
      <c r="AO23" s="9">
        <f t="shared" ref="AO23:BE23" si="10" xml:space="preserve"> AO$402</f>
        <v>0</v>
      </c>
      <c r="AP23" s="9">
        <f t="shared" si="10"/>
        <v>0</v>
      </c>
      <c r="AQ23" s="9">
        <f t="shared" si="10"/>
        <v>0</v>
      </c>
      <c r="AR23" s="9">
        <f t="shared" si="10"/>
        <v>0</v>
      </c>
      <c r="AS23" s="9">
        <f t="shared" si="10"/>
        <v>0</v>
      </c>
      <c r="AT23" s="9">
        <f t="shared" si="10"/>
        <v>0</v>
      </c>
      <c r="AU23" s="9">
        <f t="shared" si="10"/>
        <v>0</v>
      </c>
      <c r="AV23" s="9">
        <f t="shared" si="10"/>
        <v>0</v>
      </c>
      <c r="AW23" s="9">
        <f t="shared" si="10"/>
        <v>0</v>
      </c>
      <c r="AX23" s="9">
        <f t="shared" si="10"/>
        <v>0</v>
      </c>
      <c r="AY23" s="9">
        <f t="shared" si="10"/>
        <v>0</v>
      </c>
      <c r="AZ23" s="9">
        <f t="shared" si="10"/>
        <v>0</v>
      </c>
      <c r="BA23" s="9">
        <f t="shared" si="10"/>
        <v>0</v>
      </c>
      <c r="BB23" s="9">
        <f t="shared" si="10"/>
        <v>0</v>
      </c>
      <c r="BC23" s="9">
        <f t="shared" si="10"/>
        <v>0</v>
      </c>
      <c r="BD23" s="9">
        <f t="shared" si="10"/>
        <v>0</v>
      </c>
      <c r="BE23" s="9">
        <f t="shared" si="10"/>
        <v>0</v>
      </c>
    </row>
    <row r="24" spans="1:57" outlineLevel="1" x14ac:dyDescent="0.2">
      <c r="E24" s="9" t="str">
        <f t="shared" ref="E24:H24" si="11" xml:space="preserve"> E$434</f>
        <v>Construction debt interest</v>
      </c>
      <c r="F24" s="9">
        <f t="shared" si="11"/>
        <v>0</v>
      </c>
      <c r="G24" s="9" t="str">
        <f t="shared" si="11"/>
        <v>$ 000s</v>
      </c>
      <c r="H24" s="9">
        <f t="shared" si="11"/>
        <v>7960.286958552726</v>
      </c>
      <c r="I24" s="9">
        <f t="shared" ref="I24:AN24" si="12" xml:space="preserve"> I$434</f>
        <v>0</v>
      </c>
      <c r="J24" s="9">
        <f t="shared" si="12"/>
        <v>0</v>
      </c>
      <c r="K24" s="9">
        <f t="shared" si="12"/>
        <v>0</v>
      </c>
      <c r="L24" s="9">
        <f t="shared" si="12"/>
        <v>0</v>
      </c>
      <c r="M24" s="9">
        <f t="shared" si="12"/>
        <v>0</v>
      </c>
      <c r="N24" s="9">
        <f t="shared" si="12"/>
        <v>0</v>
      </c>
      <c r="O24" s="9">
        <f t="shared" si="12"/>
        <v>0</v>
      </c>
      <c r="P24" s="9">
        <f t="shared" si="12"/>
        <v>0</v>
      </c>
      <c r="Q24" s="9">
        <f t="shared" si="12"/>
        <v>0</v>
      </c>
      <c r="R24" s="9">
        <f t="shared" si="12"/>
        <v>0</v>
      </c>
      <c r="S24" s="9">
        <f t="shared" si="12"/>
        <v>0</v>
      </c>
      <c r="T24" s="9">
        <f t="shared" si="12"/>
        <v>0.20629479471210121</v>
      </c>
      <c r="U24" s="9">
        <f t="shared" si="12"/>
        <v>42.692583377405512</v>
      </c>
      <c r="V24" s="9">
        <f t="shared" si="12"/>
        <v>85.328245315648545</v>
      </c>
      <c r="W24" s="9">
        <f t="shared" si="12"/>
        <v>115.69123245500475</v>
      </c>
      <c r="X24" s="9">
        <f t="shared" si="12"/>
        <v>170.82301938726005</v>
      </c>
      <c r="Y24" s="9">
        <f t="shared" si="12"/>
        <v>206.9300982235915</v>
      </c>
      <c r="Z24" s="9">
        <f t="shared" si="12"/>
        <v>256.89818063794866</v>
      </c>
      <c r="AA24" s="9">
        <f t="shared" si="12"/>
        <v>290.46858745038764</v>
      </c>
      <c r="AB24" s="9">
        <f t="shared" si="12"/>
        <v>343.46011343069443</v>
      </c>
      <c r="AC24" s="9">
        <f t="shared" si="12"/>
        <v>386.96215294762249</v>
      </c>
      <c r="AD24" s="9">
        <f t="shared" si="12"/>
        <v>416.69951855422107</v>
      </c>
      <c r="AE24" s="9">
        <f t="shared" si="12"/>
        <v>474.25962244398181</v>
      </c>
      <c r="AF24" s="9">
        <f t="shared" si="12"/>
        <v>501.4242940769775</v>
      </c>
      <c r="AG24" s="9">
        <f t="shared" si="12"/>
        <v>562.05077586994389</v>
      </c>
      <c r="AH24" s="9">
        <f t="shared" si="12"/>
        <v>606.18247793331921</v>
      </c>
      <c r="AI24" s="9">
        <f t="shared" si="12"/>
        <v>601.90482095343691</v>
      </c>
      <c r="AJ24" s="9">
        <f t="shared" si="12"/>
        <v>680.54149209000025</v>
      </c>
      <c r="AK24" s="9">
        <f t="shared" si="12"/>
        <v>694.82778163388423</v>
      </c>
      <c r="AL24" s="9">
        <f t="shared" si="12"/>
        <v>755.42815987092661</v>
      </c>
      <c r="AM24" s="9">
        <f t="shared" si="12"/>
        <v>767.50750710575937</v>
      </c>
      <c r="AN24" s="9">
        <f t="shared" si="12"/>
        <v>0</v>
      </c>
      <c r="AO24" s="9">
        <f t="shared" ref="AO24:BE24" si="13" xml:space="preserve"> AO$434</f>
        <v>0</v>
      </c>
      <c r="AP24" s="9">
        <f t="shared" si="13"/>
        <v>0</v>
      </c>
      <c r="AQ24" s="9">
        <f t="shared" si="13"/>
        <v>0</v>
      </c>
      <c r="AR24" s="9">
        <f t="shared" si="13"/>
        <v>0</v>
      </c>
      <c r="AS24" s="9">
        <f t="shared" si="13"/>
        <v>0</v>
      </c>
      <c r="AT24" s="9">
        <f t="shared" si="13"/>
        <v>0</v>
      </c>
      <c r="AU24" s="9">
        <f t="shared" si="13"/>
        <v>0</v>
      </c>
      <c r="AV24" s="9">
        <f t="shared" si="13"/>
        <v>0</v>
      </c>
      <c r="AW24" s="9">
        <f t="shared" si="13"/>
        <v>0</v>
      </c>
      <c r="AX24" s="9">
        <f t="shared" si="13"/>
        <v>0</v>
      </c>
      <c r="AY24" s="9">
        <f t="shared" si="13"/>
        <v>0</v>
      </c>
      <c r="AZ24" s="9">
        <f t="shared" si="13"/>
        <v>0</v>
      </c>
      <c r="BA24" s="9">
        <f t="shared" si="13"/>
        <v>0</v>
      </c>
      <c r="BB24" s="9">
        <f t="shared" si="13"/>
        <v>0</v>
      </c>
      <c r="BC24" s="9">
        <f t="shared" si="13"/>
        <v>0</v>
      </c>
      <c r="BD24" s="9">
        <f t="shared" si="13"/>
        <v>0</v>
      </c>
      <c r="BE24" s="9">
        <f t="shared" si="13"/>
        <v>0</v>
      </c>
    </row>
    <row r="25" spans="1:57" outlineLevel="1" x14ac:dyDescent="0.2">
      <c r="E25" s="12" t="str">
        <f t="shared" ref="E25:AJ25" si="14" xml:space="preserve"> E$518</f>
        <v xml:space="preserve">Standby debt upfront fee </v>
      </c>
      <c r="F25" s="12">
        <f t="shared" si="14"/>
        <v>0</v>
      </c>
      <c r="G25" s="12" t="str">
        <f t="shared" si="14"/>
        <v>$ 000s</v>
      </c>
      <c r="H25" s="12">
        <f t="shared" si="14"/>
        <v>90.463922227688386</v>
      </c>
      <c r="I25" s="12">
        <f t="shared" si="14"/>
        <v>0</v>
      </c>
      <c r="J25" s="12">
        <f t="shared" si="14"/>
        <v>0</v>
      </c>
      <c r="K25" s="12">
        <f t="shared" si="14"/>
        <v>0</v>
      </c>
      <c r="L25" s="12">
        <f t="shared" si="14"/>
        <v>0</v>
      </c>
      <c r="M25" s="12">
        <f t="shared" si="14"/>
        <v>90.463922227688386</v>
      </c>
      <c r="N25" s="12">
        <f t="shared" si="14"/>
        <v>0</v>
      </c>
      <c r="O25" s="12">
        <f t="shared" si="14"/>
        <v>0</v>
      </c>
      <c r="P25" s="12">
        <f t="shared" si="14"/>
        <v>0</v>
      </c>
      <c r="Q25" s="12">
        <f t="shared" si="14"/>
        <v>0</v>
      </c>
      <c r="R25" s="12">
        <f t="shared" si="14"/>
        <v>0</v>
      </c>
      <c r="S25" s="12">
        <f t="shared" si="14"/>
        <v>0</v>
      </c>
      <c r="T25" s="12">
        <f t="shared" si="14"/>
        <v>0</v>
      </c>
      <c r="U25" s="12">
        <f t="shared" si="14"/>
        <v>0</v>
      </c>
      <c r="V25" s="12">
        <f t="shared" si="14"/>
        <v>0</v>
      </c>
      <c r="W25" s="12">
        <f t="shared" si="14"/>
        <v>0</v>
      </c>
      <c r="X25" s="12">
        <f t="shared" si="14"/>
        <v>0</v>
      </c>
      <c r="Y25" s="12">
        <f t="shared" si="14"/>
        <v>0</v>
      </c>
      <c r="Z25" s="12">
        <f t="shared" si="14"/>
        <v>0</v>
      </c>
      <c r="AA25" s="12">
        <f t="shared" si="14"/>
        <v>0</v>
      </c>
      <c r="AB25" s="12">
        <f t="shared" si="14"/>
        <v>0</v>
      </c>
      <c r="AC25" s="12">
        <f t="shared" si="14"/>
        <v>0</v>
      </c>
      <c r="AD25" s="12">
        <f t="shared" si="14"/>
        <v>0</v>
      </c>
      <c r="AE25" s="12">
        <f t="shared" si="14"/>
        <v>0</v>
      </c>
      <c r="AF25" s="12">
        <f t="shared" si="14"/>
        <v>0</v>
      </c>
      <c r="AG25" s="12">
        <f t="shared" si="14"/>
        <v>0</v>
      </c>
      <c r="AH25" s="12">
        <f t="shared" si="14"/>
        <v>0</v>
      </c>
      <c r="AI25" s="12">
        <f t="shared" si="14"/>
        <v>0</v>
      </c>
      <c r="AJ25" s="12">
        <f t="shared" si="14"/>
        <v>0</v>
      </c>
      <c r="AK25" s="12">
        <f t="shared" ref="AK25:BE25" si="15" xml:space="preserve"> AK$518</f>
        <v>0</v>
      </c>
      <c r="AL25" s="12">
        <f t="shared" si="15"/>
        <v>0</v>
      </c>
      <c r="AM25" s="12">
        <f t="shared" si="15"/>
        <v>0</v>
      </c>
      <c r="AN25" s="12">
        <f t="shared" si="15"/>
        <v>0</v>
      </c>
      <c r="AO25" s="12">
        <f t="shared" si="15"/>
        <v>0</v>
      </c>
      <c r="AP25" s="12">
        <f t="shared" si="15"/>
        <v>0</v>
      </c>
      <c r="AQ25" s="12">
        <f t="shared" si="15"/>
        <v>0</v>
      </c>
      <c r="AR25" s="12">
        <f t="shared" si="15"/>
        <v>0</v>
      </c>
      <c r="AS25" s="12">
        <f t="shared" si="15"/>
        <v>0</v>
      </c>
      <c r="AT25" s="12">
        <f t="shared" si="15"/>
        <v>0</v>
      </c>
      <c r="AU25" s="12">
        <f t="shared" si="15"/>
        <v>0</v>
      </c>
      <c r="AV25" s="12">
        <f t="shared" si="15"/>
        <v>0</v>
      </c>
      <c r="AW25" s="12">
        <f t="shared" si="15"/>
        <v>0</v>
      </c>
      <c r="AX25" s="12">
        <f t="shared" si="15"/>
        <v>0</v>
      </c>
      <c r="AY25" s="12">
        <f t="shared" si="15"/>
        <v>0</v>
      </c>
      <c r="AZ25" s="12">
        <f t="shared" si="15"/>
        <v>0</v>
      </c>
      <c r="BA25" s="12">
        <f t="shared" si="15"/>
        <v>0</v>
      </c>
      <c r="BB25" s="12">
        <f t="shared" si="15"/>
        <v>0</v>
      </c>
      <c r="BC25" s="12">
        <f t="shared" si="15"/>
        <v>0</v>
      </c>
      <c r="BD25" s="12">
        <f t="shared" si="15"/>
        <v>0</v>
      </c>
      <c r="BE25" s="12">
        <f t="shared" si="15"/>
        <v>0</v>
      </c>
    </row>
    <row r="26" spans="1:57" outlineLevel="1" x14ac:dyDescent="0.2">
      <c r="E26" s="12" t="str">
        <f t="shared" ref="E26:AJ26" si="16" xml:space="preserve"> E$546</f>
        <v>Standby debt commitment fee</v>
      </c>
      <c r="F26" s="12">
        <f t="shared" si="16"/>
        <v>0</v>
      </c>
      <c r="G26" s="12" t="str">
        <f t="shared" si="16"/>
        <v>$ 000s</v>
      </c>
      <c r="H26" s="12">
        <f t="shared" si="16"/>
        <v>72.801918364187358</v>
      </c>
      <c r="I26" s="12">
        <f t="shared" si="16"/>
        <v>0</v>
      </c>
      <c r="J26" s="12">
        <f t="shared" si="16"/>
        <v>0</v>
      </c>
      <c r="K26" s="12">
        <f t="shared" si="16"/>
        <v>0</v>
      </c>
      <c r="L26" s="12">
        <f t="shared" si="16"/>
        <v>0</v>
      </c>
      <c r="M26" s="12">
        <f t="shared" si="16"/>
        <v>0</v>
      </c>
      <c r="N26" s="12">
        <f t="shared" si="16"/>
        <v>2.8000737832379743</v>
      </c>
      <c r="O26" s="12">
        <f t="shared" si="16"/>
        <v>2.8000737832379743</v>
      </c>
      <c r="P26" s="12">
        <f t="shared" si="16"/>
        <v>2.8000737832379743</v>
      </c>
      <c r="Q26" s="12">
        <f t="shared" si="16"/>
        <v>2.8000737832379743</v>
      </c>
      <c r="R26" s="12">
        <f t="shared" si="16"/>
        <v>2.8000737832379743</v>
      </c>
      <c r="S26" s="12">
        <f t="shared" si="16"/>
        <v>2.8000737832379743</v>
      </c>
      <c r="T26" s="12">
        <f t="shared" si="16"/>
        <v>2.8000737832379743</v>
      </c>
      <c r="U26" s="12">
        <f t="shared" si="16"/>
        <v>2.8000737832379743</v>
      </c>
      <c r="V26" s="12">
        <f t="shared" si="16"/>
        <v>2.8000737832379743</v>
      </c>
      <c r="W26" s="12">
        <f t="shared" si="16"/>
        <v>2.8000737832379743</v>
      </c>
      <c r="X26" s="12">
        <f t="shared" si="16"/>
        <v>2.8000737832379743</v>
      </c>
      <c r="Y26" s="12">
        <f t="shared" si="16"/>
        <v>2.8000737832379743</v>
      </c>
      <c r="Z26" s="12">
        <f t="shared" si="16"/>
        <v>2.8000737832379743</v>
      </c>
      <c r="AA26" s="12">
        <f t="shared" si="16"/>
        <v>2.8000737832379743</v>
      </c>
      <c r="AB26" s="12">
        <f t="shared" si="16"/>
        <v>2.8000737832379743</v>
      </c>
      <c r="AC26" s="12">
        <f t="shared" si="16"/>
        <v>2.8000737832379743</v>
      </c>
      <c r="AD26" s="12">
        <f t="shared" si="16"/>
        <v>2.8000737832379743</v>
      </c>
      <c r="AE26" s="12">
        <f t="shared" si="16"/>
        <v>2.8000737832379743</v>
      </c>
      <c r="AF26" s="12">
        <f t="shared" si="16"/>
        <v>2.8000737832379743</v>
      </c>
      <c r="AG26" s="12">
        <f t="shared" si="16"/>
        <v>2.8000737832379743</v>
      </c>
      <c r="AH26" s="12">
        <f t="shared" si="16"/>
        <v>2.8000737832379743</v>
      </c>
      <c r="AI26" s="12">
        <f t="shared" si="16"/>
        <v>2.8000737832379743</v>
      </c>
      <c r="AJ26" s="12">
        <f t="shared" si="16"/>
        <v>2.8000737832379743</v>
      </c>
      <c r="AK26" s="12">
        <f t="shared" ref="AK26:BE26" si="17" xml:space="preserve"> AK$546</f>
        <v>2.8000737832379743</v>
      </c>
      <c r="AL26" s="12">
        <f t="shared" si="17"/>
        <v>2.8000737832379743</v>
      </c>
      <c r="AM26" s="12">
        <f t="shared" si="17"/>
        <v>2.8000737832379743</v>
      </c>
      <c r="AN26" s="12">
        <f t="shared" si="17"/>
        <v>0</v>
      </c>
      <c r="AO26" s="12">
        <f t="shared" si="17"/>
        <v>0</v>
      </c>
      <c r="AP26" s="12">
        <f t="shared" si="17"/>
        <v>0</v>
      </c>
      <c r="AQ26" s="12">
        <f t="shared" si="17"/>
        <v>0</v>
      </c>
      <c r="AR26" s="12">
        <f t="shared" si="17"/>
        <v>0</v>
      </c>
      <c r="AS26" s="12">
        <f t="shared" si="17"/>
        <v>0</v>
      </c>
      <c r="AT26" s="12">
        <f t="shared" si="17"/>
        <v>0</v>
      </c>
      <c r="AU26" s="12">
        <f t="shared" si="17"/>
        <v>0</v>
      </c>
      <c r="AV26" s="12">
        <f t="shared" si="17"/>
        <v>0</v>
      </c>
      <c r="AW26" s="12">
        <f t="shared" si="17"/>
        <v>0</v>
      </c>
      <c r="AX26" s="12">
        <f t="shared" si="17"/>
        <v>0</v>
      </c>
      <c r="AY26" s="12">
        <f t="shared" si="17"/>
        <v>0</v>
      </c>
      <c r="AZ26" s="12">
        <f t="shared" si="17"/>
        <v>0</v>
      </c>
      <c r="BA26" s="12">
        <f t="shared" si="17"/>
        <v>0</v>
      </c>
      <c r="BB26" s="12">
        <f t="shared" si="17"/>
        <v>0</v>
      </c>
      <c r="BC26" s="12">
        <f t="shared" si="17"/>
        <v>0</v>
      </c>
      <c r="BD26" s="12">
        <f t="shared" si="17"/>
        <v>0</v>
      </c>
      <c r="BE26" s="12">
        <f t="shared" si="17"/>
        <v>0</v>
      </c>
    </row>
    <row r="27" spans="1:57" outlineLevel="1" x14ac:dyDescent="0.2">
      <c r="E27" s="12" t="str">
        <f t="shared" ref="E27:AJ27" si="18" xml:space="preserve"> E$578</f>
        <v>Standby debt interest</v>
      </c>
      <c r="F27" s="12">
        <f t="shared" si="18"/>
        <v>0</v>
      </c>
      <c r="G27" s="12" t="str">
        <f t="shared" si="18"/>
        <v>$ 000s</v>
      </c>
      <c r="H27" s="12">
        <f t="shared" si="18"/>
        <v>0</v>
      </c>
      <c r="I27" s="12">
        <f t="shared" si="18"/>
        <v>0</v>
      </c>
      <c r="J27" s="12">
        <f t="shared" si="18"/>
        <v>0</v>
      </c>
      <c r="K27" s="12">
        <f t="shared" si="18"/>
        <v>0</v>
      </c>
      <c r="L27" s="12">
        <f t="shared" si="18"/>
        <v>0</v>
      </c>
      <c r="M27" s="12">
        <f t="shared" si="18"/>
        <v>0</v>
      </c>
      <c r="N27" s="12">
        <f t="shared" si="18"/>
        <v>0</v>
      </c>
      <c r="O27" s="12">
        <f t="shared" si="18"/>
        <v>0</v>
      </c>
      <c r="P27" s="12">
        <f t="shared" si="18"/>
        <v>0</v>
      </c>
      <c r="Q27" s="12">
        <f t="shared" si="18"/>
        <v>0</v>
      </c>
      <c r="R27" s="12">
        <f t="shared" si="18"/>
        <v>0</v>
      </c>
      <c r="S27" s="12">
        <f t="shared" si="18"/>
        <v>0</v>
      </c>
      <c r="T27" s="12">
        <f t="shared" si="18"/>
        <v>0</v>
      </c>
      <c r="U27" s="12">
        <f t="shared" si="18"/>
        <v>0</v>
      </c>
      <c r="V27" s="12">
        <f t="shared" si="18"/>
        <v>0</v>
      </c>
      <c r="W27" s="12">
        <f t="shared" si="18"/>
        <v>0</v>
      </c>
      <c r="X27" s="12">
        <f t="shared" si="18"/>
        <v>0</v>
      </c>
      <c r="Y27" s="12">
        <f t="shared" si="18"/>
        <v>0</v>
      </c>
      <c r="Z27" s="12">
        <f t="shared" si="18"/>
        <v>0</v>
      </c>
      <c r="AA27" s="12">
        <f t="shared" si="18"/>
        <v>0</v>
      </c>
      <c r="AB27" s="12">
        <f t="shared" si="18"/>
        <v>0</v>
      </c>
      <c r="AC27" s="12">
        <f t="shared" si="18"/>
        <v>0</v>
      </c>
      <c r="AD27" s="12">
        <f t="shared" si="18"/>
        <v>0</v>
      </c>
      <c r="AE27" s="12">
        <f t="shared" si="18"/>
        <v>0</v>
      </c>
      <c r="AF27" s="12">
        <f t="shared" si="18"/>
        <v>0</v>
      </c>
      <c r="AG27" s="12">
        <f t="shared" si="18"/>
        <v>0</v>
      </c>
      <c r="AH27" s="12">
        <f t="shared" si="18"/>
        <v>0</v>
      </c>
      <c r="AI27" s="12">
        <f t="shared" si="18"/>
        <v>0</v>
      </c>
      <c r="AJ27" s="12">
        <f t="shared" si="18"/>
        <v>0</v>
      </c>
      <c r="AK27" s="12">
        <f t="shared" ref="AK27:BE27" si="19" xml:space="preserve"> AK$578</f>
        <v>0</v>
      </c>
      <c r="AL27" s="12">
        <f t="shared" si="19"/>
        <v>0</v>
      </c>
      <c r="AM27" s="12">
        <f t="shared" si="19"/>
        <v>0</v>
      </c>
      <c r="AN27" s="12">
        <f t="shared" si="19"/>
        <v>0</v>
      </c>
      <c r="AO27" s="12">
        <f t="shared" si="19"/>
        <v>0</v>
      </c>
      <c r="AP27" s="12">
        <f t="shared" si="19"/>
        <v>0</v>
      </c>
      <c r="AQ27" s="12">
        <f t="shared" si="19"/>
        <v>0</v>
      </c>
      <c r="AR27" s="12">
        <f t="shared" si="19"/>
        <v>0</v>
      </c>
      <c r="AS27" s="12">
        <f t="shared" si="19"/>
        <v>0</v>
      </c>
      <c r="AT27" s="12">
        <f t="shared" si="19"/>
        <v>0</v>
      </c>
      <c r="AU27" s="12">
        <f t="shared" si="19"/>
        <v>0</v>
      </c>
      <c r="AV27" s="12">
        <f t="shared" si="19"/>
        <v>0</v>
      </c>
      <c r="AW27" s="12">
        <f t="shared" si="19"/>
        <v>0</v>
      </c>
      <c r="AX27" s="12">
        <f t="shared" si="19"/>
        <v>0</v>
      </c>
      <c r="AY27" s="12">
        <f t="shared" si="19"/>
        <v>0</v>
      </c>
      <c r="AZ27" s="12">
        <f t="shared" si="19"/>
        <v>0</v>
      </c>
      <c r="BA27" s="12">
        <f t="shared" si="19"/>
        <v>0</v>
      </c>
      <c r="BB27" s="12">
        <f t="shared" si="19"/>
        <v>0</v>
      </c>
      <c r="BC27" s="12">
        <f t="shared" si="19"/>
        <v>0</v>
      </c>
      <c r="BD27" s="12">
        <f t="shared" si="19"/>
        <v>0</v>
      </c>
      <c r="BE27" s="12">
        <f t="shared" si="19"/>
        <v>0</v>
      </c>
    </row>
    <row r="28" spans="1:57" outlineLevel="1" x14ac:dyDescent="0.2">
      <c r="E28" s="68" t="str">
        <f xml:space="preserve"> ConCost!E$101</f>
        <v>Pre-funding of working capital - m</v>
      </c>
      <c r="F28" s="68">
        <f xml:space="preserve"> ConCost!F$101</f>
        <v>0</v>
      </c>
      <c r="G28" s="68" t="str">
        <f xml:space="preserve"> ConCost!G$101</f>
        <v>$ 000s</v>
      </c>
      <c r="H28" s="68">
        <f xml:space="preserve"> ConCost!H$101</f>
        <v>3857.1209730037863</v>
      </c>
      <c r="I28" s="68">
        <f xml:space="preserve"> ConCost!I$101</f>
        <v>0</v>
      </c>
      <c r="J28" s="68">
        <f xml:space="preserve"> ConCost!J$101</f>
        <v>0</v>
      </c>
      <c r="K28" s="68">
        <f xml:space="preserve"> ConCost!K$101</f>
        <v>0</v>
      </c>
      <c r="L28" s="68">
        <f xml:space="preserve"> ConCost!L$101</f>
        <v>0</v>
      </c>
      <c r="M28" s="68">
        <f xml:space="preserve"> ConCost!M$101</f>
        <v>0</v>
      </c>
      <c r="N28" s="68">
        <f xml:space="preserve"> ConCost!N$101</f>
        <v>0</v>
      </c>
      <c r="O28" s="68">
        <f xml:space="preserve"> ConCost!O$101</f>
        <v>0</v>
      </c>
      <c r="P28" s="68">
        <f xml:space="preserve"> ConCost!P$101</f>
        <v>0</v>
      </c>
      <c r="Q28" s="68">
        <f xml:space="preserve"> ConCost!Q$101</f>
        <v>0</v>
      </c>
      <c r="R28" s="68">
        <f xml:space="preserve"> ConCost!R$101</f>
        <v>0</v>
      </c>
      <c r="S28" s="68">
        <f xml:space="preserve"> ConCost!S$101</f>
        <v>0</v>
      </c>
      <c r="T28" s="68">
        <f xml:space="preserve"> ConCost!T$101</f>
        <v>0</v>
      </c>
      <c r="U28" s="68">
        <f xml:space="preserve"> ConCost!U$101</f>
        <v>0</v>
      </c>
      <c r="V28" s="68">
        <f xml:space="preserve"> ConCost!V$101</f>
        <v>0</v>
      </c>
      <c r="W28" s="68">
        <f xml:space="preserve"> ConCost!W$101</f>
        <v>0</v>
      </c>
      <c r="X28" s="68">
        <f xml:space="preserve"> ConCost!X$101</f>
        <v>0</v>
      </c>
      <c r="Y28" s="68">
        <f xml:space="preserve"> ConCost!Y$101</f>
        <v>0</v>
      </c>
      <c r="Z28" s="68">
        <f xml:space="preserve"> ConCost!Z$101</f>
        <v>0</v>
      </c>
      <c r="AA28" s="68">
        <f xml:space="preserve"> ConCost!AA$101</f>
        <v>0</v>
      </c>
      <c r="AB28" s="68">
        <f xml:space="preserve"> ConCost!AB$101</f>
        <v>0</v>
      </c>
      <c r="AC28" s="68">
        <f xml:space="preserve"> ConCost!AC$101</f>
        <v>0</v>
      </c>
      <c r="AD28" s="68">
        <f xml:space="preserve"> ConCost!AD$101</f>
        <v>0</v>
      </c>
      <c r="AE28" s="68">
        <f xml:space="preserve"> ConCost!AE$101</f>
        <v>0</v>
      </c>
      <c r="AF28" s="68">
        <f xml:space="preserve"> ConCost!AF$101</f>
        <v>0</v>
      </c>
      <c r="AG28" s="68">
        <f xml:space="preserve"> ConCost!AG$101</f>
        <v>0</v>
      </c>
      <c r="AH28" s="68">
        <f xml:space="preserve"> ConCost!AH$101</f>
        <v>0</v>
      </c>
      <c r="AI28" s="68">
        <f xml:space="preserve"> ConCost!AI$101</f>
        <v>0</v>
      </c>
      <c r="AJ28" s="68">
        <f xml:space="preserve"> ConCost!AJ$101</f>
        <v>0</v>
      </c>
      <c r="AK28" s="68">
        <f xml:space="preserve"> ConCost!AK$101</f>
        <v>0</v>
      </c>
      <c r="AL28" s="68">
        <f xml:space="preserve"> ConCost!AL$101</f>
        <v>0</v>
      </c>
      <c r="AM28" s="68">
        <f xml:space="preserve"> ConCost!AM$101</f>
        <v>3857.1209730037863</v>
      </c>
      <c r="AN28" s="68">
        <f xml:space="preserve"> ConCost!AN$101</f>
        <v>0</v>
      </c>
      <c r="AO28" s="68">
        <f xml:space="preserve"> ConCost!AO$101</f>
        <v>0</v>
      </c>
      <c r="AP28" s="68">
        <f xml:space="preserve"> ConCost!AP$101</f>
        <v>0</v>
      </c>
      <c r="AQ28" s="68">
        <f xml:space="preserve"> ConCost!AQ$101</f>
        <v>0</v>
      </c>
      <c r="AR28" s="68">
        <f xml:space="preserve"> ConCost!AR$101</f>
        <v>0</v>
      </c>
      <c r="AS28" s="68">
        <f xml:space="preserve"> ConCost!AS$101</f>
        <v>0</v>
      </c>
      <c r="AT28" s="68">
        <f xml:space="preserve"> ConCost!AT$101</f>
        <v>0</v>
      </c>
      <c r="AU28" s="68">
        <f xml:space="preserve"> ConCost!AU$101</f>
        <v>0</v>
      </c>
      <c r="AV28" s="68">
        <f xml:space="preserve"> ConCost!AV$101</f>
        <v>0</v>
      </c>
      <c r="AW28" s="68">
        <f xml:space="preserve"> ConCost!AW$101</f>
        <v>0</v>
      </c>
      <c r="AX28" s="68">
        <f xml:space="preserve"> ConCost!AX$101</f>
        <v>0</v>
      </c>
      <c r="AY28" s="68">
        <f xml:space="preserve"> ConCost!AY$101</f>
        <v>0</v>
      </c>
      <c r="AZ28" s="68">
        <f xml:space="preserve"> ConCost!AZ$101</f>
        <v>0</v>
      </c>
      <c r="BA28" s="68">
        <f xml:space="preserve"> ConCost!BA$101</f>
        <v>0</v>
      </c>
      <c r="BB28" s="68">
        <f xml:space="preserve"> ConCost!BB$101</f>
        <v>0</v>
      </c>
      <c r="BC28" s="68">
        <f xml:space="preserve"> ConCost!BC$101</f>
        <v>0</v>
      </c>
      <c r="BD28" s="68">
        <f xml:space="preserve"> ConCost!BD$101</f>
        <v>0</v>
      </c>
      <c r="BE28" s="68">
        <f xml:space="preserve"> ConCost!BE$101</f>
        <v>0</v>
      </c>
    </row>
    <row r="29" spans="1:57" outlineLevel="1" x14ac:dyDescent="0.2">
      <c r="E29" s="68" t="str">
        <f xml:space="preserve"> ConCost!E$106</f>
        <v>Pre-funding of DSRA - m</v>
      </c>
      <c r="F29" s="68">
        <f xml:space="preserve"> ConCost!F$106</f>
        <v>0</v>
      </c>
      <c r="G29" s="68" t="str">
        <f xml:space="preserve"> ConCost!G$106</f>
        <v>$ 000s</v>
      </c>
      <c r="H29" s="68">
        <f xml:space="preserve"> ConCost!H$106</f>
        <v>11233.130669939161</v>
      </c>
      <c r="I29" s="68">
        <f xml:space="preserve"> ConCost!I$106</f>
        <v>0</v>
      </c>
      <c r="J29" s="68">
        <f xml:space="preserve"> ConCost!J$106</f>
        <v>0</v>
      </c>
      <c r="K29" s="68">
        <f xml:space="preserve"> ConCost!K$106</f>
        <v>0</v>
      </c>
      <c r="L29" s="68">
        <f xml:space="preserve"> ConCost!L$106</f>
        <v>0</v>
      </c>
      <c r="M29" s="68">
        <f xml:space="preserve"> ConCost!M$106</f>
        <v>0</v>
      </c>
      <c r="N29" s="68">
        <f xml:space="preserve"> ConCost!N$106</f>
        <v>0</v>
      </c>
      <c r="O29" s="68">
        <f xml:space="preserve"> ConCost!O$106</f>
        <v>0</v>
      </c>
      <c r="P29" s="68">
        <f xml:space="preserve"> ConCost!P$106</f>
        <v>0</v>
      </c>
      <c r="Q29" s="68">
        <f xml:space="preserve"> ConCost!Q$106</f>
        <v>0</v>
      </c>
      <c r="R29" s="68">
        <f xml:space="preserve"> ConCost!R$106</f>
        <v>0</v>
      </c>
      <c r="S29" s="68">
        <f xml:space="preserve"> ConCost!S$106</f>
        <v>0</v>
      </c>
      <c r="T29" s="68">
        <f xml:space="preserve"> ConCost!T$106</f>
        <v>0</v>
      </c>
      <c r="U29" s="68">
        <f xml:space="preserve"> ConCost!U$106</f>
        <v>0</v>
      </c>
      <c r="V29" s="68">
        <f xml:space="preserve"> ConCost!V$106</f>
        <v>0</v>
      </c>
      <c r="W29" s="68">
        <f xml:space="preserve"> ConCost!W$106</f>
        <v>0</v>
      </c>
      <c r="X29" s="68">
        <f xml:space="preserve"> ConCost!X$106</f>
        <v>0</v>
      </c>
      <c r="Y29" s="68">
        <f xml:space="preserve"> ConCost!Y$106</f>
        <v>0</v>
      </c>
      <c r="Z29" s="68">
        <f xml:space="preserve"> ConCost!Z$106</f>
        <v>0</v>
      </c>
      <c r="AA29" s="68">
        <f xml:space="preserve"> ConCost!AA$106</f>
        <v>0</v>
      </c>
      <c r="AB29" s="68">
        <f xml:space="preserve"> ConCost!AB$106</f>
        <v>0</v>
      </c>
      <c r="AC29" s="68">
        <f xml:space="preserve"> ConCost!AC$106</f>
        <v>0</v>
      </c>
      <c r="AD29" s="68">
        <f xml:space="preserve"> ConCost!AD$106</f>
        <v>0</v>
      </c>
      <c r="AE29" s="68">
        <f xml:space="preserve"> ConCost!AE$106</f>
        <v>0</v>
      </c>
      <c r="AF29" s="68">
        <f xml:space="preserve"> ConCost!AF$106</f>
        <v>0</v>
      </c>
      <c r="AG29" s="68">
        <f xml:space="preserve"> ConCost!AG$106</f>
        <v>0</v>
      </c>
      <c r="AH29" s="68">
        <f xml:space="preserve"> ConCost!AH$106</f>
        <v>0</v>
      </c>
      <c r="AI29" s="68">
        <f xml:space="preserve"> ConCost!AI$106</f>
        <v>0</v>
      </c>
      <c r="AJ29" s="68">
        <f xml:space="preserve"> ConCost!AJ$106</f>
        <v>0</v>
      </c>
      <c r="AK29" s="68">
        <f xml:space="preserve"> ConCost!AK$106</f>
        <v>0</v>
      </c>
      <c r="AL29" s="68">
        <f xml:space="preserve"> ConCost!AL$106</f>
        <v>0</v>
      </c>
      <c r="AM29" s="68">
        <f xml:space="preserve"> ConCost!AM$106</f>
        <v>11233.130669939161</v>
      </c>
      <c r="AN29" s="68">
        <f xml:space="preserve"> ConCost!AN$106</f>
        <v>0</v>
      </c>
      <c r="AO29" s="68">
        <f xml:space="preserve"> ConCost!AO$106</f>
        <v>0</v>
      </c>
      <c r="AP29" s="68">
        <f xml:space="preserve"> ConCost!AP$106</f>
        <v>0</v>
      </c>
      <c r="AQ29" s="68">
        <f xml:space="preserve"> ConCost!AQ$106</f>
        <v>0</v>
      </c>
      <c r="AR29" s="68">
        <f xml:space="preserve"> ConCost!AR$106</f>
        <v>0</v>
      </c>
      <c r="AS29" s="68">
        <f xml:space="preserve"> ConCost!AS$106</f>
        <v>0</v>
      </c>
      <c r="AT29" s="68">
        <f xml:space="preserve"> ConCost!AT$106</f>
        <v>0</v>
      </c>
      <c r="AU29" s="68">
        <f xml:space="preserve"> ConCost!AU$106</f>
        <v>0</v>
      </c>
      <c r="AV29" s="68">
        <f xml:space="preserve"> ConCost!AV$106</f>
        <v>0</v>
      </c>
      <c r="AW29" s="68">
        <f xml:space="preserve"> ConCost!AW$106</f>
        <v>0</v>
      </c>
      <c r="AX29" s="68">
        <f xml:space="preserve"> ConCost!AX$106</f>
        <v>0</v>
      </c>
      <c r="AY29" s="68">
        <f xml:space="preserve"> ConCost!AY$106</f>
        <v>0</v>
      </c>
      <c r="AZ29" s="68">
        <f xml:space="preserve"> ConCost!AZ$106</f>
        <v>0</v>
      </c>
      <c r="BA29" s="68">
        <f xml:space="preserve"> ConCost!BA$106</f>
        <v>0</v>
      </c>
      <c r="BB29" s="68">
        <f xml:space="preserve"> ConCost!BB$106</f>
        <v>0</v>
      </c>
      <c r="BC29" s="68">
        <f xml:space="preserve"> ConCost!BC$106</f>
        <v>0</v>
      </c>
      <c r="BD29" s="68">
        <f xml:space="preserve"> ConCost!BD$106</f>
        <v>0</v>
      </c>
      <c r="BE29" s="68">
        <f xml:space="preserve"> ConCost!BE$106</f>
        <v>0</v>
      </c>
    </row>
    <row r="30" spans="1:57" s="191" customFormat="1" outlineLevel="1" x14ac:dyDescent="0.2">
      <c r="A30" s="236"/>
      <c r="B30" s="236"/>
      <c r="C30" s="237"/>
      <c r="D30" s="238"/>
      <c r="E30" s="235" t="str">
        <f t="shared" ref="E30:AJ30" si="20" xml:space="preserve"> E$271</f>
        <v>Standby equity LC fee</v>
      </c>
      <c r="F30" s="235">
        <f t="shared" si="20"/>
        <v>0</v>
      </c>
      <c r="G30" s="235" t="str">
        <f t="shared" si="20"/>
        <v>$ 000s</v>
      </c>
      <c r="H30" s="235">
        <f t="shared" si="20"/>
        <v>18.33210361270044</v>
      </c>
      <c r="I30" s="235">
        <f t="shared" si="20"/>
        <v>0</v>
      </c>
      <c r="J30" s="235">
        <f t="shared" si="20"/>
        <v>0</v>
      </c>
      <c r="K30" s="235">
        <f t="shared" si="20"/>
        <v>0</v>
      </c>
      <c r="L30" s="235">
        <f t="shared" si="20"/>
        <v>0</v>
      </c>
      <c r="M30" s="235">
        <f t="shared" si="20"/>
        <v>0</v>
      </c>
      <c r="N30" s="235">
        <f t="shared" si="20"/>
        <v>0.70508090818078595</v>
      </c>
      <c r="O30" s="235">
        <f t="shared" si="20"/>
        <v>0.70508090818078595</v>
      </c>
      <c r="P30" s="235">
        <f t="shared" si="20"/>
        <v>0.70508090818078595</v>
      </c>
      <c r="Q30" s="235">
        <f t="shared" si="20"/>
        <v>0.70508090818078595</v>
      </c>
      <c r="R30" s="235">
        <f t="shared" si="20"/>
        <v>0.70508090818078595</v>
      </c>
      <c r="S30" s="235">
        <f t="shared" si="20"/>
        <v>0.70508090818078595</v>
      </c>
      <c r="T30" s="235">
        <f t="shared" si="20"/>
        <v>0.70508090818078595</v>
      </c>
      <c r="U30" s="235">
        <f t="shared" si="20"/>
        <v>0.70508090818078595</v>
      </c>
      <c r="V30" s="235">
        <f t="shared" si="20"/>
        <v>0.70508090818078595</v>
      </c>
      <c r="W30" s="235">
        <f t="shared" si="20"/>
        <v>0.70508090818078595</v>
      </c>
      <c r="X30" s="235">
        <f t="shared" si="20"/>
        <v>0.70508090818078595</v>
      </c>
      <c r="Y30" s="235">
        <f t="shared" si="20"/>
        <v>0.70508090818078595</v>
      </c>
      <c r="Z30" s="235">
        <f t="shared" si="20"/>
        <v>0.70508090818078595</v>
      </c>
      <c r="AA30" s="235">
        <f t="shared" si="20"/>
        <v>0.70508090818078595</v>
      </c>
      <c r="AB30" s="235">
        <f t="shared" si="20"/>
        <v>0.70508090818078595</v>
      </c>
      <c r="AC30" s="235">
        <f t="shared" si="20"/>
        <v>0.70508090818078595</v>
      </c>
      <c r="AD30" s="235">
        <f t="shared" si="20"/>
        <v>0.70508090818078595</v>
      </c>
      <c r="AE30" s="235">
        <f t="shared" si="20"/>
        <v>0.70508090818078595</v>
      </c>
      <c r="AF30" s="235">
        <f t="shared" si="20"/>
        <v>0.70508090818078595</v>
      </c>
      <c r="AG30" s="235">
        <f t="shared" si="20"/>
        <v>0.70508090818078595</v>
      </c>
      <c r="AH30" s="235">
        <f t="shared" si="20"/>
        <v>0.70508090818078595</v>
      </c>
      <c r="AI30" s="235">
        <f t="shared" si="20"/>
        <v>0.70508090818078595</v>
      </c>
      <c r="AJ30" s="235">
        <f t="shared" si="20"/>
        <v>0.70508090818078595</v>
      </c>
      <c r="AK30" s="235">
        <f t="shared" ref="AK30:BE30" si="21" xml:space="preserve"> AK$271</f>
        <v>0.70508090818078595</v>
      </c>
      <c r="AL30" s="235">
        <f t="shared" si="21"/>
        <v>0.70508090818078595</v>
      </c>
      <c r="AM30" s="235">
        <f t="shared" si="21"/>
        <v>0.70508090818078595</v>
      </c>
      <c r="AN30" s="235">
        <f t="shared" si="21"/>
        <v>0</v>
      </c>
      <c r="AO30" s="235">
        <f t="shared" si="21"/>
        <v>0</v>
      </c>
      <c r="AP30" s="235">
        <f t="shared" si="21"/>
        <v>0</v>
      </c>
      <c r="AQ30" s="235">
        <f t="shared" si="21"/>
        <v>0</v>
      </c>
      <c r="AR30" s="235">
        <f t="shared" si="21"/>
        <v>0</v>
      </c>
      <c r="AS30" s="235">
        <f t="shared" si="21"/>
        <v>0</v>
      </c>
      <c r="AT30" s="235">
        <f t="shared" si="21"/>
        <v>0</v>
      </c>
      <c r="AU30" s="235">
        <f t="shared" si="21"/>
        <v>0</v>
      </c>
      <c r="AV30" s="235">
        <f t="shared" si="21"/>
        <v>0</v>
      </c>
      <c r="AW30" s="235">
        <f t="shared" si="21"/>
        <v>0</v>
      </c>
      <c r="AX30" s="235">
        <f t="shared" si="21"/>
        <v>0</v>
      </c>
      <c r="AY30" s="235">
        <f t="shared" si="21"/>
        <v>0</v>
      </c>
      <c r="AZ30" s="235">
        <f t="shared" si="21"/>
        <v>0</v>
      </c>
      <c r="BA30" s="235">
        <f t="shared" si="21"/>
        <v>0</v>
      </c>
      <c r="BB30" s="235">
        <f t="shared" si="21"/>
        <v>0</v>
      </c>
      <c r="BC30" s="235">
        <f t="shared" si="21"/>
        <v>0</v>
      </c>
      <c r="BD30" s="235">
        <f t="shared" si="21"/>
        <v>0</v>
      </c>
      <c r="BE30" s="235">
        <f t="shared" si="21"/>
        <v>0</v>
      </c>
    </row>
    <row r="31" spans="1:57" outlineLevel="1" x14ac:dyDescent="0.2">
      <c r="E31" s="419" t="s">
        <v>264</v>
      </c>
      <c r="F31" s="419"/>
      <c r="G31" s="419"/>
      <c r="H31" s="419"/>
      <c r="I31" s="419"/>
      <c r="J31" s="419"/>
      <c r="K31" s="419"/>
      <c r="L31" s="419"/>
      <c r="M31" s="419"/>
      <c r="N31" s="419"/>
      <c r="O31" s="419"/>
      <c r="P31" s="419"/>
      <c r="Q31" s="419"/>
      <c r="R31" s="419"/>
      <c r="S31" s="419"/>
      <c r="T31" s="419"/>
      <c r="U31" s="419"/>
      <c r="V31" s="419"/>
      <c r="W31" s="419"/>
      <c r="X31" s="419"/>
      <c r="Y31" s="419"/>
      <c r="Z31" s="419"/>
      <c r="AA31" s="419"/>
      <c r="AB31" s="419"/>
      <c r="AC31" s="419"/>
      <c r="AD31" s="419"/>
      <c r="AE31" s="419"/>
      <c r="AF31" s="419"/>
      <c r="AG31" s="419"/>
      <c r="AH31" s="419"/>
      <c r="AI31" s="419"/>
      <c r="AJ31" s="419"/>
      <c r="AK31" s="419"/>
      <c r="AL31" s="419"/>
      <c r="AM31" s="419"/>
      <c r="AN31" s="419"/>
      <c r="AO31" s="419"/>
      <c r="AP31" s="419"/>
      <c r="AQ31" s="419"/>
      <c r="AR31" s="419"/>
      <c r="AS31" s="419"/>
      <c r="AT31" s="419"/>
      <c r="AU31" s="419"/>
      <c r="AV31" s="419"/>
      <c r="AW31" s="419"/>
      <c r="AX31" s="419"/>
      <c r="AY31" s="419"/>
      <c r="AZ31" s="419"/>
      <c r="BA31" s="419"/>
      <c r="BB31" s="419"/>
      <c r="BC31" s="419"/>
      <c r="BD31" s="419"/>
      <c r="BE31" s="419"/>
    </row>
    <row r="32" spans="1:57" s="188" customFormat="1" outlineLevel="1" x14ac:dyDescent="0.2">
      <c r="A32" s="141"/>
      <c r="B32" s="141"/>
      <c r="C32" s="142"/>
      <c r="D32" s="143"/>
      <c r="E32" s="496" t="s">
        <v>265</v>
      </c>
      <c r="F32" s="496"/>
      <c r="G32" s="496" t="str">
        <f xml:space="preserve"> SMU</f>
        <v>$ 000s</v>
      </c>
      <c r="H32" s="496">
        <f xml:space="preserve"> SUM(J32:BE32)</f>
        <v>348748.10938498261</v>
      </c>
      <c r="I32" s="497"/>
      <c r="J32" s="496">
        <f t="shared" ref="J32:BE32" si="22">SUM(J9:J31)</f>
        <v>0</v>
      </c>
      <c r="K32" s="496">
        <f t="shared" si="22"/>
        <v>0</v>
      </c>
      <c r="L32" s="496">
        <f t="shared" si="22"/>
        <v>0</v>
      </c>
      <c r="M32" s="496">
        <f t="shared" si="22"/>
        <v>14943.424768648449</v>
      </c>
      <c r="N32" s="496">
        <f t="shared" si="22"/>
        <v>11841.3278099945</v>
      </c>
      <c r="O32" s="496">
        <f t="shared" si="22"/>
        <v>11870.259744254683</v>
      </c>
      <c r="P32" s="496">
        <f t="shared" si="22"/>
        <v>11907.687322377085</v>
      </c>
      <c r="Q32" s="496">
        <f t="shared" si="22"/>
        <v>11941.012308420399</v>
      </c>
      <c r="R32" s="496">
        <f t="shared" si="22"/>
        <v>11966.998592548676</v>
      </c>
      <c r="S32" s="496">
        <f t="shared" si="22"/>
        <v>12007.921533362938</v>
      </c>
      <c r="T32" s="496">
        <f t="shared" si="22"/>
        <v>12031.934189986556</v>
      </c>
      <c r="U32" s="496">
        <f t="shared" si="22"/>
        <v>12076.190638570888</v>
      </c>
      <c r="V32" s="496">
        <f t="shared" si="22"/>
        <v>12110.976776596031</v>
      </c>
      <c r="W32" s="496">
        <f t="shared" si="22"/>
        <v>12104.694877162179</v>
      </c>
      <c r="X32" s="496">
        <f t="shared" si="22"/>
        <v>12180.731364095845</v>
      </c>
      <c r="Y32" s="496">
        <f t="shared" si="22"/>
        <v>12199.330050324086</v>
      </c>
      <c r="Z32" s="496">
        <f t="shared" si="22"/>
        <v>12250.959485430985</v>
      </c>
      <c r="AA32" s="496">
        <f t="shared" si="22"/>
        <v>12266.975851356518</v>
      </c>
      <c r="AB32" s="496">
        <f t="shared" si="22"/>
        <v>12321.58476025874</v>
      </c>
      <c r="AC32" s="496">
        <f t="shared" si="22"/>
        <v>12357.077769683647</v>
      </c>
      <c r="AD32" s="496">
        <f t="shared" si="22"/>
        <v>12369.192117518647</v>
      </c>
      <c r="AE32" s="496">
        <f t="shared" si="22"/>
        <v>12428.303163757388</v>
      </c>
      <c r="AF32" s="496">
        <f t="shared" si="22"/>
        <v>12437.798521112683</v>
      </c>
      <c r="AG32" s="496">
        <f t="shared" si="22"/>
        <v>12499.931351092338</v>
      </c>
      <c r="AH32" s="496">
        <f t="shared" si="22"/>
        <v>12535.938097779766</v>
      </c>
      <c r="AI32" s="496">
        <f t="shared" si="22"/>
        <v>12505.623746591666</v>
      </c>
      <c r="AJ32" s="496">
        <f t="shared" si="22"/>
        <v>12596.607096741589</v>
      </c>
      <c r="AK32" s="496">
        <f t="shared" si="22"/>
        <v>12594.408174451448</v>
      </c>
      <c r="AL32" s="496">
        <f t="shared" si="22"/>
        <v>12657.706604600613</v>
      </c>
      <c r="AM32" s="496">
        <f t="shared" si="22"/>
        <v>27743.512668264302</v>
      </c>
      <c r="AN32" s="496">
        <f t="shared" si="22"/>
        <v>0</v>
      </c>
      <c r="AO32" s="496">
        <f t="shared" si="22"/>
        <v>0</v>
      </c>
      <c r="AP32" s="496">
        <f t="shared" si="22"/>
        <v>0</v>
      </c>
      <c r="AQ32" s="496">
        <f t="shared" si="22"/>
        <v>0</v>
      </c>
      <c r="AR32" s="496">
        <f t="shared" si="22"/>
        <v>0</v>
      </c>
      <c r="AS32" s="496">
        <f t="shared" si="22"/>
        <v>0</v>
      </c>
      <c r="AT32" s="496">
        <f t="shared" si="22"/>
        <v>0</v>
      </c>
      <c r="AU32" s="496">
        <f t="shared" si="22"/>
        <v>0</v>
      </c>
      <c r="AV32" s="496">
        <f t="shared" si="22"/>
        <v>0</v>
      </c>
      <c r="AW32" s="496">
        <f t="shared" si="22"/>
        <v>0</v>
      </c>
      <c r="AX32" s="496">
        <f t="shared" si="22"/>
        <v>0</v>
      </c>
      <c r="AY32" s="496">
        <f t="shared" si="22"/>
        <v>0</v>
      </c>
      <c r="AZ32" s="496">
        <f t="shared" si="22"/>
        <v>0</v>
      </c>
      <c r="BA32" s="496">
        <f t="shared" si="22"/>
        <v>0</v>
      </c>
      <c r="BB32" s="496">
        <f t="shared" si="22"/>
        <v>0</v>
      </c>
      <c r="BC32" s="496">
        <f t="shared" si="22"/>
        <v>0</v>
      </c>
      <c r="BD32" s="496">
        <f t="shared" si="22"/>
        <v>0</v>
      </c>
      <c r="BE32" s="496">
        <f t="shared" si="22"/>
        <v>0</v>
      </c>
    </row>
    <row r="33" spans="1:57" outlineLevel="1" x14ac:dyDescent="0.2">
      <c r="E33" s="186" t="str">
        <f xml:space="preserve"> Solve!E$58</f>
        <v>Project costs / funding requirement - Paste</v>
      </c>
      <c r="F33" s="186">
        <f xml:space="preserve"> Solve!F$58</f>
        <v>0</v>
      </c>
      <c r="G33" s="186" t="str">
        <f xml:space="preserve"> Solve!G$58</f>
        <v>$ 000s</v>
      </c>
      <c r="H33" s="186">
        <f xml:space="preserve"> Solve!H$58</f>
        <v>348748.10907557519</v>
      </c>
      <c r="I33" s="186">
        <f xml:space="preserve"> Solve!I$58</f>
        <v>0</v>
      </c>
      <c r="J33" s="186">
        <f xml:space="preserve"> Solve!J$58</f>
        <v>0</v>
      </c>
      <c r="K33" s="186">
        <f xml:space="preserve"> Solve!K$58</f>
        <v>0</v>
      </c>
      <c r="L33" s="186">
        <f xml:space="preserve"> Solve!L$58</f>
        <v>0</v>
      </c>
      <c r="M33" s="186">
        <f xml:space="preserve"> Solve!M$58</f>
        <v>14943.424770244494</v>
      </c>
      <c r="N33" s="186">
        <f xml:space="preserve"> Solve!N$58</f>
        <v>11841.327808384644</v>
      </c>
      <c r="O33" s="186">
        <f xml:space="preserve"> Solve!O$58</f>
        <v>11870.259742712651</v>
      </c>
      <c r="P33" s="186">
        <f xml:space="preserve"> Solve!P$58</f>
        <v>11907.687320687248</v>
      </c>
      <c r="Q33" s="186">
        <f xml:space="preserve"> Solve!Q$58</f>
        <v>11941.012306690816</v>
      </c>
      <c r="R33" s="186">
        <f xml:space="preserve"> Solve!R$58</f>
        <v>11966.998590891828</v>
      </c>
      <c r="S33" s="186">
        <f xml:space="preserve"> Solve!S$58</f>
        <v>12007.921531555499</v>
      </c>
      <c r="T33" s="186">
        <f xml:space="preserve"> Solve!T$58</f>
        <v>12031.934187437519</v>
      </c>
      <c r="U33" s="186">
        <f xml:space="preserve"> Solve!U$58</f>
        <v>12076.190635536972</v>
      </c>
      <c r="V33" s="186">
        <f xml:space="preserve"> Solve!V$58</f>
        <v>12110.976773522409</v>
      </c>
      <c r="W33" s="186">
        <f xml:space="preserve"> Solve!W$58</f>
        <v>12104.694875399815</v>
      </c>
      <c r="X33" s="186">
        <f xml:space="preserve"> Solve!X$58</f>
        <v>12180.731360946033</v>
      </c>
      <c r="Y33" s="186">
        <f xml:space="preserve"> Solve!Y$58</f>
        <v>12199.330047588888</v>
      </c>
      <c r="Z33" s="186">
        <f xml:space="preserve"> Solve!Z$58</f>
        <v>12250.959482205111</v>
      </c>
      <c r="AA33" s="186">
        <f xml:space="preserve"> Solve!AA$58</f>
        <v>12266.975848549024</v>
      </c>
      <c r="AB33" s="186">
        <f xml:space="preserve"> Solve!AB$58</f>
        <v>12321.584756958357</v>
      </c>
      <c r="AC33" s="186">
        <f xml:space="preserve"> Solve!AC$58</f>
        <v>12357.077766346292</v>
      </c>
      <c r="AD33" s="186">
        <f xml:space="preserve"> Solve!AD$58</f>
        <v>12369.192114605235</v>
      </c>
      <c r="AE33" s="186">
        <f xml:space="preserve"> Solve!AE$58</f>
        <v>12428.303160347879</v>
      </c>
      <c r="AF33" s="186">
        <f xml:space="preserve"> Solve!AF$58</f>
        <v>12437.798518130739</v>
      </c>
      <c r="AG33" s="186">
        <f xml:space="preserve"> Solve!AG$58</f>
        <v>12499.931347612244</v>
      </c>
      <c r="AH33" s="186">
        <f xml:space="preserve"> Solve!AH$58</f>
        <v>12535.938094264708</v>
      </c>
      <c r="AI33" s="186">
        <f xml:space="preserve"> Solve!AI$58</f>
        <v>12505.623743976959</v>
      </c>
      <c r="AJ33" s="186">
        <f xml:space="preserve"> Solve!AJ$58</f>
        <v>12596.607093158804</v>
      </c>
      <c r="AK33" s="186">
        <f xml:space="preserve"> Solve!AK$58</f>
        <v>12594.408171304991</v>
      </c>
      <c r="AL33" s="186">
        <f xml:space="preserve"> Solve!AL$58</f>
        <v>12657.706600951156</v>
      </c>
      <c r="AM33" s="186">
        <f xml:space="preserve"> Solve!AM$58</f>
        <v>27743.512425564993</v>
      </c>
      <c r="AN33" s="186">
        <f xml:space="preserve"> Solve!AN$58</f>
        <v>0</v>
      </c>
      <c r="AO33" s="186">
        <f xml:space="preserve"> Solve!AO$58</f>
        <v>0</v>
      </c>
      <c r="AP33" s="186">
        <f xml:space="preserve"> Solve!AP$58</f>
        <v>0</v>
      </c>
      <c r="AQ33" s="186">
        <f xml:space="preserve"> Solve!AQ$58</f>
        <v>0</v>
      </c>
      <c r="AR33" s="186">
        <f xml:space="preserve"> Solve!AR$58</f>
        <v>0</v>
      </c>
      <c r="AS33" s="186">
        <f xml:space="preserve"> Solve!AS$58</f>
        <v>0</v>
      </c>
      <c r="AT33" s="186">
        <f xml:space="preserve"> Solve!AT$58</f>
        <v>0</v>
      </c>
      <c r="AU33" s="186">
        <f xml:space="preserve"> Solve!AU$58</f>
        <v>0</v>
      </c>
      <c r="AV33" s="186">
        <f xml:space="preserve"> Solve!AV$58</f>
        <v>0</v>
      </c>
      <c r="AW33" s="186">
        <f xml:space="preserve"> Solve!AW$58</f>
        <v>0</v>
      </c>
      <c r="AX33" s="186">
        <f xml:space="preserve"> Solve!AX$58</f>
        <v>0</v>
      </c>
      <c r="AY33" s="186">
        <f xml:space="preserve"> Solve!AY$58</f>
        <v>0</v>
      </c>
      <c r="AZ33" s="186">
        <f xml:space="preserve"> Solve!AZ$58</f>
        <v>0</v>
      </c>
      <c r="BA33" s="186">
        <f xml:space="preserve"> Solve!BA$58</f>
        <v>0</v>
      </c>
      <c r="BB33" s="186">
        <f xml:space="preserve"> Solve!BB$58</f>
        <v>0</v>
      </c>
      <c r="BC33" s="186">
        <f xml:space="preserve"> Solve!BC$58</f>
        <v>0</v>
      </c>
      <c r="BD33" s="186">
        <f xml:space="preserve"> Solve!BD$58</f>
        <v>0</v>
      </c>
      <c r="BE33" s="186">
        <f xml:space="preserve"> Solve!BE$58</f>
        <v>0</v>
      </c>
    </row>
    <row r="34" spans="1:57" s="188" customFormat="1" outlineLevel="1" x14ac:dyDescent="0.2">
      <c r="A34" s="141"/>
      <c r="B34" s="141"/>
      <c r="C34" s="142"/>
      <c r="D34" s="143"/>
      <c r="E34" s="187" t="str">
        <f xml:space="preserve"> "Sum of " &amp; LOWER(E32)</f>
        <v>Sum of project costs / funding requirement</v>
      </c>
      <c r="F34" s="187">
        <f xml:space="preserve"> SUM(J33:BE33)</f>
        <v>348748.10907557519</v>
      </c>
      <c r="G34" s="187" t="str">
        <f xml:space="preserve"> SMU</f>
        <v>$ 000s</v>
      </c>
      <c r="H34" s="539"/>
      <c r="I34" s="144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</row>
    <row r="35" spans="1:57" outlineLevel="1" x14ac:dyDescent="0.2"/>
    <row r="36" spans="1:57" x14ac:dyDescent="0.2"/>
    <row r="37" spans="1:57" s="79" customFormat="1" collapsed="1" x14ac:dyDescent="0.2">
      <c r="A37" s="33" t="s">
        <v>266</v>
      </c>
    </row>
    <row r="38" spans="1:57" hidden="1" outlineLevel="1" x14ac:dyDescent="0.2"/>
    <row r="39" spans="1:57" hidden="1" outlineLevel="1" x14ac:dyDescent="0.2">
      <c r="E39" s="12" t="str">
        <f xml:space="preserve"> E$34</f>
        <v>Sum of project costs / funding requirement</v>
      </c>
      <c r="F39" s="12">
        <f xml:space="preserve"> F$34</f>
        <v>348748.10907557519</v>
      </c>
      <c r="G39" s="12" t="str">
        <f xml:space="preserve"> G$34</f>
        <v>$ 000s</v>
      </c>
    </row>
    <row r="40" spans="1:57" s="114" customFormat="1" hidden="1" outlineLevel="1" x14ac:dyDescent="0.2">
      <c r="A40" s="522"/>
      <c r="B40" s="522"/>
      <c r="C40" s="523"/>
      <c r="D40" s="524" t="s">
        <v>371</v>
      </c>
      <c r="E40" s="695" t="str">
        <f xml:space="preserve"> Solve!E$50</f>
        <v>Equity bridge interest and fees rolled up - total - fixed</v>
      </c>
      <c r="F40" s="695">
        <f xml:space="preserve"> Solve!F$50</f>
        <v>0</v>
      </c>
      <c r="G40" s="695" t="str">
        <f xml:space="preserve"> Solve!G$50</f>
        <v>$ 000s</v>
      </c>
      <c r="H40" s="756"/>
      <c r="I40" s="756"/>
      <c r="J40" s="756"/>
      <c r="K40" s="756"/>
      <c r="L40" s="756"/>
      <c r="M40" s="756"/>
      <c r="N40" s="756"/>
      <c r="O40" s="756"/>
      <c r="P40" s="756"/>
      <c r="Q40" s="756"/>
      <c r="R40" s="756"/>
      <c r="S40" s="756"/>
      <c r="T40" s="756"/>
      <c r="U40" s="756"/>
      <c r="V40" s="756"/>
      <c r="W40" s="756"/>
      <c r="X40" s="756"/>
      <c r="Y40" s="756"/>
      <c r="Z40" s="756"/>
      <c r="AA40" s="756"/>
      <c r="AB40" s="756"/>
      <c r="AC40" s="756"/>
      <c r="AD40" s="756"/>
      <c r="AE40" s="756"/>
      <c r="AF40" s="756"/>
      <c r="AG40" s="756"/>
      <c r="AH40" s="756"/>
      <c r="AI40" s="756"/>
      <c r="AJ40" s="756"/>
      <c r="AK40" s="756"/>
      <c r="AL40" s="756"/>
      <c r="AM40" s="756"/>
      <c r="AN40" s="756"/>
      <c r="AO40" s="756"/>
      <c r="AP40" s="756"/>
      <c r="AQ40" s="756"/>
      <c r="AR40" s="756"/>
      <c r="AS40" s="756"/>
      <c r="AT40" s="756"/>
      <c r="AU40" s="756"/>
      <c r="AV40" s="756"/>
      <c r="AW40" s="756"/>
      <c r="AX40" s="756"/>
      <c r="AY40" s="756"/>
      <c r="AZ40" s="756"/>
      <c r="BA40" s="756"/>
      <c r="BB40" s="756"/>
      <c r="BC40" s="756"/>
      <c r="BD40" s="756"/>
      <c r="BE40" s="756"/>
    </row>
    <row r="41" spans="1:57" hidden="1" outlineLevel="1" x14ac:dyDescent="0.2">
      <c r="D41" s="48" t="s">
        <v>170</v>
      </c>
      <c r="E41" s="189" t="str">
        <f xml:space="preserve"> Solve!E$51</f>
        <v>Debt capacity at target DSCR - Paste</v>
      </c>
      <c r="F41" s="189">
        <f xml:space="preserve"> Solve!F$51</f>
        <v>250389.85226030689</v>
      </c>
      <c r="G41" s="189" t="str">
        <f xml:space="preserve"> Solve!G$51</f>
        <v>$ 000s</v>
      </c>
      <c r="H41" s="125"/>
      <c r="I41" s="493"/>
      <c r="J41" s="493"/>
      <c r="K41" s="493"/>
      <c r="L41" s="493"/>
      <c r="M41" s="493"/>
      <c r="N41" s="493"/>
      <c r="O41" s="493"/>
      <c r="P41" s="493"/>
      <c r="Q41" s="493"/>
      <c r="R41" s="493"/>
      <c r="S41" s="493"/>
      <c r="T41" s="493"/>
      <c r="U41" s="493"/>
      <c r="V41" s="493"/>
      <c r="W41" s="493"/>
      <c r="X41" s="493"/>
      <c r="Y41" s="493"/>
      <c r="Z41" s="493"/>
      <c r="AA41" s="493"/>
      <c r="AB41" s="493"/>
      <c r="AC41" s="493"/>
      <c r="AD41" s="493"/>
      <c r="AE41" s="493"/>
      <c r="AF41" s="493"/>
      <c r="AG41" s="493"/>
      <c r="AH41" s="493"/>
      <c r="AI41" s="493"/>
      <c r="AJ41" s="493"/>
      <c r="AK41" s="493"/>
      <c r="AL41" s="493"/>
      <c r="AM41" s="493"/>
      <c r="AN41" s="493"/>
      <c r="AO41" s="493"/>
      <c r="AP41" s="493"/>
      <c r="AQ41" s="493"/>
      <c r="AR41" s="493"/>
      <c r="AS41" s="493"/>
      <c r="AT41" s="493"/>
      <c r="AU41" s="493"/>
      <c r="AV41" s="493"/>
      <c r="AW41" s="493"/>
      <c r="AX41" s="493"/>
      <c r="AY41" s="493"/>
      <c r="AZ41" s="493"/>
      <c r="BA41" s="493"/>
      <c r="BB41" s="493"/>
      <c r="BC41" s="493"/>
      <c r="BD41" s="493"/>
      <c r="BE41" s="493"/>
    </row>
    <row r="42" spans="1:57" s="114" customFormat="1" hidden="1" outlineLevel="1" x14ac:dyDescent="0.2">
      <c r="A42" s="522"/>
      <c r="B42" s="522"/>
      <c r="C42" s="523"/>
      <c r="D42" s="524" t="s">
        <v>170</v>
      </c>
      <c r="E42" s="695" t="str">
        <f xml:space="preserve"> ConCost!E$223</f>
        <v>Total EGR cash transferred to equity</v>
      </c>
      <c r="F42" s="695">
        <f xml:space="preserve"> ConCost!F$223</f>
        <v>11940</v>
      </c>
      <c r="G42" s="695" t="str">
        <f xml:space="preserve"> ConCost!G$223</f>
        <v>$ 000s</v>
      </c>
      <c r="H42" s="756"/>
      <c r="I42" s="756"/>
      <c r="J42" s="756"/>
      <c r="K42" s="756"/>
      <c r="L42" s="756"/>
      <c r="M42" s="756"/>
      <c r="N42" s="756"/>
      <c r="O42" s="756"/>
      <c r="P42" s="756"/>
      <c r="Q42" s="756"/>
      <c r="R42" s="756"/>
      <c r="S42" s="756"/>
      <c r="T42" s="756"/>
      <c r="U42" s="756"/>
      <c r="V42" s="756"/>
      <c r="W42" s="756"/>
      <c r="X42" s="756"/>
      <c r="Y42" s="756"/>
      <c r="Z42" s="756"/>
      <c r="AA42" s="756"/>
      <c r="AB42" s="756"/>
      <c r="AC42" s="756"/>
      <c r="AD42" s="756"/>
      <c r="AE42" s="756"/>
      <c r="AF42" s="756"/>
      <c r="AG42" s="756"/>
      <c r="AH42" s="756"/>
      <c r="AI42" s="756"/>
      <c r="AJ42" s="756"/>
      <c r="AK42" s="756"/>
      <c r="AL42" s="756"/>
      <c r="AM42" s="756"/>
      <c r="AN42" s="756"/>
      <c r="AO42" s="756"/>
      <c r="AP42" s="756"/>
      <c r="AQ42" s="756"/>
      <c r="AR42" s="756"/>
      <c r="AS42" s="756"/>
      <c r="AT42" s="756"/>
      <c r="AU42" s="756"/>
      <c r="AV42" s="756"/>
      <c r="AW42" s="756"/>
      <c r="AX42" s="756"/>
      <c r="AY42" s="756"/>
      <c r="AZ42" s="756"/>
      <c r="BA42" s="756"/>
      <c r="BB42" s="756"/>
      <c r="BC42" s="756"/>
      <c r="BD42" s="756"/>
      <c r="BE42" s="756"/>
    </row>
    <row r="43" spans="1:57" hidden="1" outlineLevel="1" x14ac:dyDescent="0.2">
      <c r="E43" s="187" t="s">
        <v>451</v>
      </c>
      <c r="F43" s="187">
        <f xml:space="preserve"> MAX(0, F39 + F40  - F41- F42)</f>
        <v>86418.256815268309</v>
      </c>
      <c r="G43" s="187" t="str">
        <f xml:space="preserve"> SMU</f>
        <v>$ 000s</v>
      </c>
    </row>
    <row r="44" spans="1:57" hidden="1" outlineLevel="1" x14ac:dyDescent="0.2"/>
    <row r="45" spans="1:57" hidden="1" outlineLevel="1" x14ac:dyDescent="0.2">
      <c r="E45" s="145" t="str">
        <f xml:space="preserve"> InpC!E$371</f>
        <v>Share capital amount</v>
      </c>
      <c r="F45" s="145">
        <f xml:space="preserve"> InpC!F$371</f>
        <v>100</v>
      </c>
      <c r="G45" s="145" t="str">
        <f xml:space="preserve"> InpC!G$371</f>
        <v>$ 000s</v>
      </c>
      <c r="H45" s="38"/>
    </row>
    <row r="46" spans="1:57" hidden="1" outlineLevel="1" x14ac:dyDescent="0.2">
      <c r="E46" s="12" t="str">
        <f t="shared" ref="E46:AJ46" si="23" xml:space="preserve"> E$53</f>
        <v>Share capital during construction balance BEG</v>
      </c>
      <c r="F46" s="12">
        <f t="shared" si="23"/>
        <v>0</v>
      </c>
      <c r="G46" s="12" t="str">
        <f t="shared" si="23"/>
        <v>$ 000s</v>
      </c>
      <c r="H46" s="12">
        <f t="shared" si="23"/>
        <v>0</v>
      </c>
      <c r="I46" s="12">
        <f t="shared" si="23"/>
        <v>0</v>
      </c>
      <c r="J46" s="12">
        <f t="shared" si="23"/>
        <v>0</v>
      </c>
      <c r="K46" s="12">
        <f t="shared" si="23"/>
        <v>0</v>
      </c>
      <c r="L46" s="12">
        <f t="shared" si="23"/>
        <v>0</v>
      </c>
      <c r="M46" s="12">
        <f t="shared" si="23"/>
        <v>0</v>
      </c>
      <c r="N46" s="12">
        <f t="shared" si="23"/>
        <v>100</v>
      </c>
      <c r="O46" s="12">
        <f t="shared" si="23"/>
        <v>100</v>
      </c>
      <c r="P46" s="12">
        <f t="shared" si="23"/>
        <v>100</v>
      </c>
      <c r="Q46" s="12">
        <f t="shared" si="23"/>
        <v>100</v>
      </c>
      <c r="R46" s="12">
        <f t="shared" si="23"/>
        <v>100</v>
      </c>
      <c r="S46" s="12">
        <f t="shared" si="23"/>
        <v>100</v>
      </c>
      <c r="T46" s="12">
        <f t="shared" si="23"/>
        <v>100</v>
      </c>
      <c r="U46" s="12">
        <f t="shared" si="23"/>
        <v>100</v>
      </c>
      <c r="V46" s="12">
        <f t="shared" si="23"/>
        <v>100</v>
      </c>
      <c r="W46" s="12">
        <f t="shared" si="23"/>
        <v>100</v>
      </c>
      <c r="X46" s="12">
        <f t="shared" si="23"/>
        <v>100</v>
      </c>
      <c r="Y46" s="12">
        <f t="shared" si="23"/>
        <v>100</v>
      </c>
      <c r="Z46" s="12">
        <f t="shared" si="23"/>
        <v>100</v>
      </c>
      <c r="AA46" s="12">
        <f t="shared" si="23"/>
        <v>100</v>
      </c>
      <c r="AB46" s="12">
        <f t="shared" si="23"/>
        <v>100</v>
      </c>
      <c r="AC46" s="12">
        <f t="shared" si="23"/>
        <v>100</v>
      </c>
      <c r="AD46" s="12">
        <f t="shared" si="23"/>
        <v>100</v>
      </c>
      <c r="AE46" s="12">
        <f t="shared" si="23"/>
        <v>100</v>
      </c>
      <c r="AF46" s="12">
        <f t="shared" si="23"/>
        <v>100</v>
      </c>
      <c r="AG46" s="12">
        <f t="shared" si="23"/>
        <v>100</v>
      </c>
      <c r="AH46" s="12">
        <f t="shared" si="23"/>
        <v>100</v>
      </c>
      <c r="AI46" s="12">
        <f t="shared" si="23"/>
        <v>100</v>
      </c>
      <c r="AJ46" s="12">
        <f t="shared" si="23"/>
        <v>100</v>
      </c>
      <c r="AK46" s="12">
        <f t="shared" ref="AK46:BE46" si="24" xml:space="preserve"> AK$53</f>
        <v>100</v>
      </c>
      <c r="AL46" s="12">
        <f t="shared" si="24"/>
        <v>100</v>
      </c>
      <c r="AM46" s="12">
        <f t="shared" si="24"/>
        <v>100</v>
      </c>
      <c r="AN46" s="12">
        <f t="shared" si="24"/>
        <v>100</v>
      </c>
      <c r="AO46" s="12">
        <f t="shared" si="24"/>
        <v>100</v>
      </c>
      <c r="AP46" s="12">
        <f t="shared" si="24"/>
        <v>100</v>
      </c>
      <c r="AQ46" s="12">
        <f t="shared" si="24"/>
        <v>100</v>
      </c>
      <c r="AR46" s="12">
        <f t="shared" si="24"/>
        <v>100</v>
      </c>
      <c r="AS46" s="12">
        <f t="shared" si="24"/>
        <v>100</v>
      </c>
      <c r="AT46" s="12">
        <f t="shared" si="24"/>
        <v>100</v>
      </c>
      <c r="AU46" s="12">
        <f t="shared" si="24"/>
        <v>100</v>
      </c>
      <c r="AV46" s="12">
        <f t="shared" si="24"/>
        <v>100</v>
      </c>
      <c r="AW46" s="12">
        <f t="shared" si="24"/>
        <v>100</v>
      </c>
      <c r="AX46" s="12">
        <f t="shared" si="24"/>
        <v>100</v>
      </c>
      <c r="AY46" s="12">
        <f t="shared" si="24"/>
        <v>100</v>
      </c>
      <c r="AZ46" s="12">
        <f t="shared" si="24"/>
        <v>100</v>
      </c>
      <c r="BA46" s="12">
        <f t="shared" si="24"/>
        <v>100</v>
      </c>
      <c r="BB46" s="12">
        <f t="shared" si="24"/>
        <v>100</v>
      </c>
      <c r="BC46" s="12">
        <f t="shared" si="24"/>
        <v>100</v>
      </c>
      <c r="BD46" s="12">
        <f t="shared" si="24"/>
        <v>100</v>
      </c>
      <c r="BE46" s="12">
        <f t="shared" si="24"/>
        <v>100</v>
      </c>
    </row>
    <row r="47" spans="1:57" hidden="1" outlineLevel="1" x14ac:dyDescent="0.2">
      <c r="E47" s="12" t="s">
        <v>270</v>
      </c>
      <c r="G47" s="12" t="str">
        <f xml:space="preserve"> SMU</f>
        <v>$ 000s</v>
      </c>
      <c r="J47" s="12">
        <f t="shared" ref="J47:BE47" si="25" xml:space="preserve"> $F45 - J46</f>
        <v>100</v>
      </c>
      <c r="K47" s="12">
        <f t="shared" si="25"/>
        <v>100</v>
      </c>
      <c r="L47" s="12">
        <f t="shared" si="25"/>
        <v>100</v>
      </c>
      <c r="M47" s="12">
        <f t="shared" si="25"/>
        <v>100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0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0</v>
      </c>
      <c r="AA47" s="12">
        <f t="shared" si="25"/>
        <v>0</v>
      </c>
      <c r="AB47" s="12">
        <f t="shared" si="25"/>
        <v>0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si="25"/>
        <v>0</v>
      </c>
      <c r="AL47" s="12">
        <f t="shared" si="25"/>
        <v>0</v>
      </c>
      <c r="AM47" s="12">
        <f t="shared" si="25"/>
        <v>0</v>
      </c>
      <c r="AN47" s="12">
        <f t="shared" si="25"/>
        <v>0</v>
      </c>
      <c r="AO47" s="12">
        <f t="shared" si="25"/>
        <v>0</v>
      </c>
      <c r="AP47" s="12">
        <f t="shared" si="25"/>
        <v>0</v>
      </c>
      <c r="AQ47" s="12">
        <f t="shared" si="25"/>
        <v>0</v>
      </c>
      <c r="AR47" s="12">
        <f t="shared" si="25"/>
        <v>0</v>
      </c>
      <c r="AS47" s="12">
        <f t="shared" si="25"/>
        <v>0</v>
      </c>
      <c r="AT47" s="12">
        <f t="shared" si="25"/>
        <v>0</v>
      </c>
      <c r="AU47" s="12">
        <f t="shared" si="25"/>
        <v>0</v>
      </c>
      <c r="AV47" s="12">
        <f t="shared" si="25"/>
        <v>0</v>
      </c>
      <c r="AW47" s="12">
        <f t="shared" si="25"/>
        <v>0</v>
      </c>
      <c r="AX47" s="12">
        <f t="shared" si="25"/>
        <v>0</v>
      </c>
      <c r="AY47" s="12">
        <f t="shared" si="25"/>
        <v>0</v>
      </c>
      <c r="AZ47" s="12">
        <f t="shared" si="25"/>
        <v>0</v>
      </c>
      <c r="BA47" s="12">
        <f t="shared" si="25"/>
        <v>0</v>
      </c>
      <c r="BB47" s="12">
        <f t="shared" si="25"/>
        <v>0</v>
      </c>
      <c r="BC47" s="12">
        <f t="shared" si="25"/>
        <v>0</v>
      </c>
      <c r="BD47" s="12">
        <f t="shared" si="25"/>
        <v>0</v>
      </c>
      <c r="BE47" s="12">
        <f t="shared" si="25"/>
        <v>0</v>
      </c>
    </row>
    <row r="48" spans="1:57" hidden="1" outlineLevel="1" x14ac:dyDescent="0.2"/>
    <row r="49" spans="1:57" hidden="1" outlineLevel="1" x14ac:dyDescent="0.2">
      <c r="E49" s="12" t="str">
        <f t="shared" ref="E49:AJ49" si="26" xml:space="preserve"> E$47</f>
        <v xml:space="preserve">Undrawn share capital </v>
      </c>
      <c r="F49" s="12">
        <f t="shared" si="26"/>
        <v>0</v>
      </c>
      <c r="G49" s="12" t="str">
        <f t="shared" si="26"/>
        <v>$ 000s</v>
      </c>
      <c r="H49" s="12">
        <f t="shared" si="26"/>
        <v>0</v>
      </c>
      <c r="I49" s="12">
        <f t="shared" si="26"/>
        <v>0</v>
      </c>
      <c r="J49" s="12">
        <f t="shared" si="26"/>
        <v>100</v>
      </c>
      <c r="K49" s="12">
        <f t="shared" si="26"/>
        <v>100</v>
      </c>
      <c r="L49" s="12">
        <f t="shared" si="26"/>
        <v>100</v>
      </c>
      <c r="M49" s="12">
        <f t="shared" si="26"/>
        <v>100</v>
      </c>
      <c r="N49" s="12">
        <f t="shared" si="26"/>
        <v>0</v>
      </c>
      <c r="O49" s="12">
        <f t="shared" si="26"/>
        <v>0</v>
      </c>
      <c r="P49" s="12">
        <f t="shared" si="26"/>
        <v>0</v>
      </c>
      <c r="Q49" s="12">
        <f t="shared" si="26"/>
        <v>0</v>
      </c>
      <c r="R49" s="12">
        <f t="shared" si="26"/>
        <v>0</v>
      </c>
      <c r="S49" s="12">
        <f t="shared" si="26"/>
        <v>0</v>
      </c>
      <c r="T49" s="12">
        <f t="shared" si="26"/>
        <v>0</v>
      </c>
      <c r="U49" s="12">
        <f t="shared" si="26"/>
        <v>0</v>
      </c>
      <c r="V49" s="12">
        <f t="shared" si="26"/>
        <v>0</v>
      </c>
      <c r="W49" s="12">
        <f t="shared" si="26"/>
        <v>0</v>
      </c>
      <c r="X49" s="12">
        <f t="shared" si="26"/>
        <v>0</v>
      </c>
      <c r="Y49" s="12">
        <f t="shared" si="26"/>
        <v>0</v>
      </c>
      <c r="Z49" s="12">
        <f t="shared" si="26"/>
        <v>0</v>
      </c>
      <c r="AA49" s="12">
        <f t="shared" si="26"/>
        <v>0</v>
      </c>
      <c r="AB49" s="12">
        <f t="shared" si="26"/>
        <v>0</v>
      </c>
      <c r="AC49" s="12">
        <f t="shared" si="26"/>
        <v>0</v>
      </c>
      <c r="AD49" s="12">
        <f t="shared" si="26"/>
        <v>0</v>
      </c>
      <c r="AE49" s="12">
        <f t="shared" si="26"/>
        <v>0</v>
      </c>
      <c r="AF49" s="12">
        <f t="shared" si="26"/>
        <v>0</v>
      </c>
      <c r="AG49" s="12">
        <f t="shared" si="26"/>
        <v>0</v>
      </c>
      <c r="AH49" s="12">
        <f t="shared" si="26"/>
        <v>0</v>
      </c>
      <c r="AI49" s="12">
        <f t="shared" si="26"/>
        <v>0</v>
      </c>
      <c r="AJ49" s="12">
        <f t="shared" si="26"/>
        <v>0</v>
      </c>
      <c r="AK49" s="12">
        <f t="shared" ref="AK49:BE49" si="27" xml:space="preserve"> AK$47</f>
        <v>0</v>
      </c>
      <c r="AL49" s="12">
        <f t="shared" si="27"/>
        <v>0</v>
      </c>
      <c r="AM49" s="12">
        <f t="shared" si="27"/>
        <v>0</v>
      </c>
      <c r="AN49" s="12">
        <f t="shared" si="27"/>
        <v>0</v>
      </c>
      <c r="AO49" s="12">
        <f t="shared" si="27"/>
        <v>0</v>
      </c>
      <c r="AP49" s="12">
        <f t="shared" si="27"/>
        <v>0</v>
      </c>
      <c r="AQ49" s="12">
        <f t="shared" si="27"/>
        <v>0</v>
      </c>
      <c r="AR49" s="12">
        <f t="shared" si="27"/>
        <v>0</v>
      </c>
      <c r="AS49" s="12">
        <f t="shared" si="27"/>
        <v>0</v>
      </c>
      <c r="AT49" s="12">
        <f t="shared" si="27"/>
        <v>0</v>
      </c>
      <c r="AU49" s="12">
        <f t="shared" si="27"/>
        <v>0</v>
      </c>
      <c r="AV49" s="12">
        <f t="shared" si="27"/>
        <v>0</v>
      </c>
      <c r="AW49" s="12">
        <f t="shared" si="27"/>
        <v>0</v>
      </c>
      <c r="AX49" s="12">
        <f t="shared" si="27"/>
        <v>0</v>
      </c>
      <c r="AY49" s="12">
        <f t="shared" si="27"/>
        <v>0</v>
      </c>
      <c r="AZ49" s="12">
        <f t="shared" si="27"/>
        <v>0</v>
      </c>
      <c r="BA49" s="12">
        <f t="shared" si="27"/>
        <v>0</v>
      </c>
      <c r="BB49" s="12">
        <f t="shared" si="27"/>
        <v>0</v>
      </c>
      <c r="BC49" s="12">
        <f t="shared" si="27"/>
        <v>0</v>
      </c>
      <c r="BD49" s="12">
        <f t="shared" si="27"/>
        <v>0</v>
      </c>
      <c r="BE49" s="12">
        <f t="shared" si="27"/>
        <v>0</v>
      </c>
    </row>
    <row r="50" spans="1:57" hidden="1" outlineLevel="1" x14ac:dyDescent="0.2">
      <c r="E50" s="186" t="str">
        <f xml:space="preserve"> Solve!E$58</f>
        <v>Project costs / funding requirement - Paste</v>
      </c>
      <c r="F50" s="186">
        <f xml:space="preserve"> Solve!F$58</f>
        <v>0</v>
      </c>
      <c r="G50" s="186" t="str">
        <f xml:space="preserve"> Solve!G$58</f>
        <v>$ 000s</v>
      </c>
      <c r="H50" s="186">
        <f xml:space="preserve"> Solve!H$58</f>
        <v>348748.10907557519</v>
      </c>
      <c r="I50" s="186">
        <f xml:space="preserve"> Solve!I$58</f>
        <v>0</v>
      </c>
      <c r="J50" s="186">
        <f xml:space="preserve"> Solve!J$58</f>
        <v>0</v>
      </c>
      <c r="K50" s="186">
        <f xml:space="preserve"> Solve!K$58</f>
        <v>0</v>
      </c>
      <c r="L50" s="186">
        <f xml:space="preserve"> Solve!L$58</f>
        <v>0</v>
      </c>
      <c r="M50" s="186">
        <f xml:space="preserve"> Solve!M$58</f>
        <v>14943.424770244494</v>
      </c>
      <c r="N50" s="186">
        <f xml:space="preserve"> Solve!N$58</f>
        <v>11841.327808384644</v>
      </c>
      <c r="O50" s="186">
        <f xml:space="preserve"> Solve!O$58</f>
        <v>11870.259742712651</v>
      </c>
      <c r="P50" s="186">
        <f xml:space="preserve"> Solve!P$58</f>
        <v>11907.687320687248</v>
      </c>
      <c r="Q50" s="186">
        <f xml:space="preserve"> Solve!Q$58</f>
        <v>11941.012306690816</v>
      </c>
      <c r="R50" s="186">
        <f xml:space="preserve"> Solve!R$58</f>
        <v>11966.998590891828</v>
      </c>
      <c r="S50" s="186">
        <f xml:space="preserve"> Solve!S$58</f>
        <v>12007.921531555499</v>
      </c>
      <c r="T50" s="186">
        <f xml:space="preserve"> Solve!T$58</f>
        <v>12031.934187437519</v>
      </c>
      <c r="U50" s="186">
        <f xml:space="preserve"> Solve!U$58</f>
        <v>12076.190635536972</v>
      </c>
      <c r="V50" s="186">
        <f xml:space="preserve"> Solve!V$58</f>
        <v>12110.976773522409</v>
      </c>
      <c r="W50" s="186">
        <f xml:space="preserve"> Solve!W$58</f>
        <v>12104.694875399815</v>
      </c>
      <c r="X50" s="186">
        <f xml:space="preserve"> Solve!X$58</f>
        <v>12180.731360946033</v>
      </c>
      <c r="Y50" s="186">
        <f xml:space="preserve"> Solve!Y$58</f>
        <v>12199.330047588888</v>
      </c>
      <c r="Z50" s="186">
        <f xml:space="preserve"> Solve!Z$58</f>
        <v>12250.959482205111</v>
      </c>
      <c r="AA50" s="186">
        <f xml:space="preserve"> Solve!AA$58</f>
        <v>12266.975848549024</v>
      </c>
      <c r="AB50" s="186">
        <f xml:space="preserve"> Solve!AB$58</f>
        <v>12321.584756958357</v>
      </c>
      <c r="AC50" s="186">
        <f xml:space="preserve"> Solve!AC$58</f>
        <v>12357.077766346292</v>
      </c>
      <c r="AD50" s="186">
        <f xml:space="preserve"> Solve!AD$58</f>
        <v>12369.192114605235</v>
      </c>
      <c r="AE50" s="186">
        <f xml:space="preserve"> Solve!AE$58</f>
        <v>12428.303160347879</v>
      </c>
      <c r="AF50" s="186">
        <f xml:space="preserve"> Solve!AF$58</f>
        <v>12437.798518130739</v>
      </c>
      <c r="AG50" s="186">
        <f xml:space="preserve"> Solve!AG$58</f>
        <v>12499.931347612244</v>
      </c>
      <c r="AH50" s="186">
        <f xml:space="preserve"> Solve!AH$58</f>
        <v>12535.938094264708</v>
      </c>
      <c r="AI50" s="186">
        <f xml:space="preserve"> Solve!AI$58</f>
        <v>12505.623743976959</v>
      </c>
      <c r="AJ50" s="186">
        <f xml:space="preserve"> Solve!AJ$58</f>
        <v>12596.607093158804</v>
      </c>
      <c r="AK50" s="186">
        <f xml:space="preserve"> Solve!AK$58</f>
        <v>12594.408171304991</v>
      </c>
      <c r="AL50" s="186">
        <f xml:space="preserve"> Solve!AL$58</f>
        <v>12657.706600951156</v>
      </c>
      <c r="AM50" s="186">
        <f xml:space="preserve"> Solve!AM$58</f>
        <v>27743.512425564993</v>
      </c>
      <c r="AN50" s="186">
        <f xml:space="preserve"> Solve!AN$58</f>
        <v>0</v>
      </c>
      <c r="AO50" s="186">
        <f xml:space="preserve"> Solve!AO$58</f>
        <v>0</v>
      </c>
      <c r="AP50" s="186">
        <f xml:space="preserve"> Solve!AP$58</f>
        <v>0</v>
      </c>
      <c r="AQ50" s="186">
        <f xml:space="preserve"> Solve!AQ$58</f>
        <v>0</v>
      </c>
      <c r="AR50" s="186">
        <f xml:space="preserve"> Solve!AR$58</f>
        <v>0</v>
      </c>
      <c r="AS50" s="186">
        <f xml:space="preserve"> Solve!AS$58</f>
        <v>0</v>
      </c>
      <c r="AT50" s="186">
        <f xml:space="preserve"> Solve!AT$58</f>
        <v>0</v>
      </c>
      <c r="AU50" s="186">
        <f xml:space="preserve"> Solve!AU$58</f>
        <v>0</v>
      </c>
      <c r="AV50" s="186">
        <f xml:space="preserve"> Solve!AV$58</f>
        <v>0</v>
      </c>
      <c r="AW50" s="186">
        <f xml:space="preserve"> Solve!AW$58</f>
        <v>0</v>
      </c>
      <c r="AX50" s="186">
        <f xml:space="preserve"> Solve!AX$58</f>
        <v>0</v>
      </c>
      <c r="AY50" s="186">
        <f xml:space="preserve"> Solve!AY$58</f>
        <v>0</v>
      </c>
      <c r="AZ50" s="186">
        <f xml:space="preserve"> Solve!AZ$58</f>
        <v>0</v>
      </c>
      <c r="BA50" s="186">
        <f xml:space="preserve"> Solve!BA$58</f>
        <v>0</v>
      </c>
      <c r="BB50" s="186">
        <f xml:space="preserve"> Solve!BB$58</f>
        <v>0</v>
      </c>
      <c r="BC50" s="186">
        <f xml:space="preserve"> Solve!BC$58</f>
        <v>0</v>
      </c>
      <c r="BD50" s="186">
        <f xml:space="preserve"> Solve!BD$58</f>
        <v>0</v>
      </c>
      <c r="BE50" s="186">
        <f xml:space="preserve"> Solve!BE$58</f>
        <v>0</v>
      </c>
    </row>
    <row r="51" spans="1:57" s="188" customFormat="1" hidden="1" outlineLevel="1" x14ac:dyDescent="0.2">
      <c r="A51" s="141"/>
      <c r="B51" s="141"/>
      <c r="C51" s="142"/>
      <c r="D51" s="143"/>
      <c r="E51" s="187" t="s">
        <v>271</v>
      </c>
      <c r="F51" s="187"/>
      <c r="G51" s="187" t="str">
        <f>SMU</f>
        <v>$ 000s</v>
      </c>
      <c r="H51" s="187">
        <f xml:space="preserve"> SUM(J51:BE51)</f>
        <v>100</v>
      </c>
      <c r="I51" s="187"/>
      <c r="J51" s="187">
        <f t="shared" ref="J51:BE51" si="28" xml:space="preserve"> MIN(J49:J50)</f>
        <v>0</v>
      </c>
      <c r="K51" s="187">
        <f t="shared" si="28"/>
        <v>0</v>
      </c>
      <c r="L51" s="187">
        <f t="shared" si="28"/>
        <v>0</v>
      </c>
      <c r="M51" s="187">
        <f t="shared" si="28"/>
        <v>100</v>
      </c>
      <c r="N51" s="187">
        <f t="shared" si="28"/>
        <v>0</v>
      </c>
      <c r="O51" s="187">
        <f t="shared" si="28"/>
        <v>0</v>
      </c>
      <c r="P51" s="187">
        <f t="shared" si="28"/>
        <v>0</v>
      </c>
      <c r="Q51" s="187">
        <f t="shared" si="28"/>
        <v>0</v>
      </c>
      <c r="R51" s="187">
        <f t="shared" si="28"/>
        <v>0</v>
      </c>
      <c r="S51" s="187">
        <f t="shared" si="28"/>
        <v>0</v>
      </c>
      <c r="T51" s="187">
        <f t="shared" si="28"/>
        <v>0</v>
      </c>
      <c r="U51" s="187">
        <f t="shared" si="28"/>
        <v>0</v>
      </c>
      <c r="V51" s="187">
        <f t="shared" si="28"/>
        <v>0</v>
      </c>
      <c r="W51" s="187">
        <f t="shared" si="28"/>
        <v>0</v>
      </c>
      <c r="X51" s="187">
        <f t="shared" si="28"/>
        <v>0</v>
      </c>
      <c r="Y51" s="187">
        <f t="shared" si="28"/>
        <v>0</v>
      </c>
      <c r="Z51" s="187">
        <f t="shared" si="28"/>
        <v>0</v>
      </c>
      <c r="AA51" s="187">
        <f t="shared" si="28"/>
        <v>0</v>
      </c>
      <c r="AB51" s="187">
        <f t="shared" si="28"/>
        <v>0</v>
      </c>
      <c r="AC51" s="187">
        <f t="shared" si="28"/>
        <v>0</v>
      </c>
      <c r="AD51" s="187">
        <f t="shared" si="28"/>
        <v>0</v>
      </c>
      <c r="AE51" s="187">
        <f t="shared" si="28"/>
        <v>0</v>
      </c>
      <c r="AF51" s="187">
        <f t="shared" si="28"/>
        <v>0</v>
      </c>
      <c r="AG51" s="187">
        <f t="shared" si="28"/>
        <v>0</v>
      </c>
      <c r="AH51" s="187">
        <f t="shared" si="28"/>
        <v>0</v>
      </c>
      <c r="AI51" s="187">
        <f t="shared" si="28"/>
        <v>0</v>
      </c>
      <c r="AJ51" s="187">
        <f t="shared" si="28"/>
        <v>0</v>
      </c>
      <c r="AK51" s="187">
        <f t="shared" si="28"/>
        <v>0</v>
      </c>
      <c r="AL51" s="187">
        <f t="shared" si="28"/>
        <v>0</v>
      </c>
      <c r="AM51" s="187">
        <f t="shared" si="28"/>
        <v>0</v>
      </c>
      <c r="AN51" s="187">
        <f t="shared" si="28"/>
        <v>0</v>
      </c>
      <c r="AO51" s="187">
        <f t="shared" si="28"/>
        <v>0</v>
      </c>
      <c r="AP51" s="187">
        <f t="shared" si="28"/>
        <v>0</v>
      </c>
      <c r="AQ51" s="187">
        <f t="shared" si="28"/>
        <v>0</v>
      </c>
      <c r="AR51" s="187">
        <f t="shared" si="28"/>
        <v>0</v>
      </c>
      <c r="AS51" s="187">
        <f t="shared" si="28"/>
        <v>0</v>
      </c>
      <c r="AT51" s="187">
        <f t="shared" si="28"/>
        <v>0</v>
      </c>
      <c r="AU51" s="187">
        <f t="shared" si="28"/>
        <v>0</v>
      </c>
      <c r="AV51" s="187">
        <f t="shared" si="28"/>
        <v>0</v>
      </c>
      <c r="AW51" s="187">
        <f t="shared" si="28"/>
        <v>0</v>
      </c>
      <c r="AX51" s="187">
        <f t="shared" si="28"/>
        <v>0</v>
      </c>
      <c r="AY51" s="187">
        <f t="shared" si="28"/>
        <v>0</v>
      </c>
      <c r="AZ51" s="187">
        <f t="shared" si="28"/>
        <v>0</v>
      </c>
      <c r="BA51" s="187">
        <f t="shared" si="28"/>
        <v>0</v>
      </c>
      <c r="BB51" s="187">
        <f t="shared" si="28"/>
        <v>0</v>
      </c>
      <c r="BC51" s="187">
        <f t="shared" si="28"/>
        <v>0</v>
      </c>
      <c r="BD51" s="187">
        <f t="shared" si="28"/>
        <v>0</v>
      </c>
      <c r="BE51" s="187">
        <f t="shared" si="28"/>
        <v>0</v>
      </c>
    </row>
    <row r="52" spans="1:57" hidden="1" outlineLevel="1" x14ac:dyDescent="0.2"/>
    <row r="53" spans="1:57" hidden="1" outlineLevel="1" x14ac:dyDescent="0.2">
      <c r="E53" s="219" t="s">
        <v>268</v>
      </c>
      <c r="F53" s="219"/>
      <c r="G53" s="219" t="str">
        <f xml:space="preserve"> SMU</f>
        <v>$ 000s</v>
      </c>
      <c r="H53" s="219"/>
      <c r="I53" s="220"/>
      <c r="J53" s="219">
        <f t="shared" ref="J53" si="29" xml:space="preserve"> I56</f>
        <v>0</v>
      </c>
      <c r="K53" s="219">
        <f t="shared" ref="K53" si="30" xml:space="preserve"> J56</f>
        <v>0</v>
      </c>
      <c r="L53" s="219">
        <f t="shared" ref="L53" si="31" xml:space="preserve"> K56</f>
        <v>0</v>
      </c>
      <c r="M53" s="219">
        <f t="shared" ref="M53" si="32" xml:space="preserve"> L56</f>
        <v>0</v>
      </c>
      <c r="N53" s="219">
        <f t="shared" ref="N53" si="33" xml:space="preserve"> M56</f>
        <v>100</v>
      </c>
      <c r="O53" s="219">
        <f t="shared" ref="O53:BE53" si="34" xml:space="preserve"> N56</f>
        <v>100</v>
      </c>
      <c r="P53" s="219">
        <f t="shared" si="34"/>
        <v>100</v>
      </c>
      <c r="Q53" s="219">
        <f t="shared" si="34"/>
        <v>100</v>
      </c>
      <c r="R53" s="219">
        <f t="shared" si="34"/>
        <v>100</v>
      </c>
      <c r="S53" s="219">
        <f t="shared" si="34"/>
        <v>100</v>
      </c>
      <c r="T53" s="219">
        <f t="shared" si="34"/>
        <v>100</v>
      </c>
      <c r="U53" s="219">
        <f t="shared" si="34"/>
        <v>100</v>
      </c>
      <c r="V53" s="219">
        <f t="shared" si="34"/>
        <v>100</v>
      </c>
      <c r="W53" s="219">
        <f t="shared" si="34"/>
        <v>100</v>
      </c>
      <c r="X53" s="219">
        <f t="shared" si="34"/>
        <v>100</v>
      </c>
      <c r="Y53" s="219">
        <f t="shared" si="34"/>
        <v>100</v>
      </c>
      <c r="Z53" s="219">
        <f t="shared" si="34"/>
        <v>100</v>
      </c>
      <c r="AA53" s="219">
        <f t="shared" si="34"/>
        <v>100</v>
      </c>
      <c r="AB53" s="219">
        <f t="shared" si="34"/>
        <v>100</v>
      </c>
      <c r="AC53" s="219">
        <f t="shared" si="34"/>
        <v>100</v>
      </c>
      <c r="AD53" s="219">
        <f t="shared" si="34"/>
        <v>100</v>
      </c>
      <c r="AE53" s="219">
        <f t="shared" si="34"/>
        <v>100</v>
      </c>
      <c r="AF53" s="219">
        <f t="shared" si="34"/>
        <v>100</v>
      </c>
      <c r="AG53" s="219">
        <f t="shared" si="34"/>
        <v>100</v>
      </c>
      <c r="AH53" s="219">
        <f t="shared" si="34"/>
        <v>100</v>
      </c>
      <c r="AI53" s="219">
        <f t="shared" si="34"/>
        <v>100</v>
      </c>
      <c r="AJ53" s="219">
        <f t="shared" si="34"/>
        <v>100</v>
      </c>
      <c r="AK53" s="219">
        <f t="shared" si="34"/>
        <v>100</v>
      </c>
      <c r="AL53" s="219">
        <f t="shared" si="34"/>
        <v>100</v>
      </c>
      <c r="AM53" s="219">
        <f t="shared" si="34"/>
        <v>100</v>
      </c>
      <c r="AN53" s="219">
        <f t="shared" si="34"/>
        <v>100</v>
      </c>
      <c r="AO53" s="219">
        <f t="shared" si="34"/>
        <v>100</v>
      </c>
      <c r="AP53" s="219">
        <f t="shared" si="34"/>
        <v>100</v>
      </c>
      <c r="AQ53" s="219">
        <f t="shared" si="34"/>
        <v>100</v>
      </c>
      <c r="AR53" s="219">
        <f t="shared" si="34"/>
        <v>100</v>
      </c>
      <c r="AS53" s="219">
        <f t="shared" si="34"/>
        <v>100</v>
      </c>
      <c r="AT53" s="219">
        <f t="shared" si="34"/>
        <v>100</v>
      </c>
      <c r="AU53" s="219">
        <f t="shared" si="34"/>
        <v>100</v>
      </c>
      <c r="AV53" s="219">
        <f t="shared" si="34"/>
        <v>100</v>
      </c>
      <c r="AW53" s="219">
        <f t="shared" si="34"/>
        <v>100</v>
      </c>
      <c r="AX53" s="219">
        <f t="shared" si="34"/>
        <v>100</v>
      </c>
      <c r="AY53" s="219">
        <f t="shared" si="34"/>
        <v>100</v>
      </c>
      <c r="AZ53" s="219">
        <f t="shared" si="34"/>
        <v>100</v>
      </c>
      <c r="BA53" s="219">
        <f t="shared" si="34"/>
        <v>100</v>
      </c>
      <c r="BB53" s="219">
        <f t="shared" si="34"/>
        <v>100</v>
      </c>
      <c r="BC53" s="219">
        <f t="shared" si="34"/>
        <v>100</v>
      </c>
      <c r="BD53" s="219">
        <f t="shared" si="34"/>
        <v>100</v>
      </c>
      <c r="BE53" s="219">
        <f t="shared" si="34"/>
        <v>100</v>
      </c>
    </row>
    <row r="54" spans="1:57" s="495" customFormat="1" hidden="1" outlineLevel="1" x14ac:dyDescent="0.2">
      <c r="A54" s="15"/>
      <c r="B54" s="15"/>
      <c r="C54" s="21"/>
      <c r="D54" s="48"/>
      <c r="E54" s="38" t="str">
        <f t="shared" ref="E54:AJ54" si="35" xml:space="preserve"> E$51</f>
        <v>Share capital drawdown - m</v>
      </c>
      <c r="F54" s="38">
        <f t="shared" si="35"/>
        <v>0</v>
      </c>
      <c r="G54" s="38" t="str">
        <f t="shared" si="35"/>
        <v>$ 000s</v>
      </c>
      <c r="H54" s="38">
        <f t="shared" si="35"/>
        <v>100</v>
      </c>
      <c r="I54" s="38">
        <f t="shared" si="35"/>
        <v>0</v>
      </c>
      <c r="J54" s="38">
        <f t="shared" si="35"/>
        <v>0</v>
      </c>
      <c r="K54" s="38">
        <f t="shared" si="35"/>
        <v>0</v>
      </c>
      <c r="L54" s="38">
        <f t="shared" si="35"/>
        <v>0</v>
      </c>
      <c r="M54" s="38">
        <f t="shared" si="35"/>
        <v>100</v>
      </c>
      <c r="N54" s="38">
        <f t="shared" si="35"/>
        <v>0</v>
      </c>
      <c r="O54" s="38">
        <f t="shared" si="35"/>
        <v>0</v>
      </c>
      <c r="P54" s="38">
        <f t="shared" si="35"/>
        <v>0</v>
      </c>
      <c r="Q54" s="38">
        <f t="shared" si="35"/>
        <v>0</v>
      </c>
      <c r="R54" s="38">
        <f t="shared" si="35"/>
        <v>0</v>
      </c>
      <c r="S54" s="38">
        <f t="shared" si="35"/>
        <v>0</v>
      </c>
      <c r="T54" s="38">
        <f t="shared" si="35"/>
        <v>0</v>
      </c>
      <c r="U54" s="38">
        <f t="shared" si="35"/>
        <v>0</v>
      </c>
      <c r="V54" s="38">
        <f t="shared" si="35"/>
        <v>0</v>
      </c>
      <c r="W54" s="38">
        <f t="shared" si="35"/>
        <v>0</v>
      </c>
      <c r="X54" s="38">
        <f t="shared" si="35"/>
        <v>0</v>
      </c>
      <c r="Y54" s="38">
        <f t="shared" si="35"/>
        <v>0</v>
      </c>
      <c r="Z54" s="38">
        <f t="shared" si="35"/>
        <v>0</v>
      </c>
      <c r="AA54" s="38">
        <f t="shared" si="35"/>
        <v>0</v>
      </c>
      <c r="AB54" s="38">
        <f t="shared" si="35"/>
        <v>0</v>
      </c>
      <c r="AC54" s="38">
        <f t="shared" si="35"/>
        <v>0</v>
      </c>
      <c r="AD54" s="38">
        <f t="shared" si="35"/>
        <v>0</v>
      </c>
      <c r="AE54" s="38">
        <f t="shared" si="35"/>
        <v>0</v>
      </c>
      <c r="AF54" s="38">
        <f t="shared" si="35"/>
        <v>0</v>
      </c>
      <c r="AG54" s="38">
        <f t="shared" si="35"/>
        <v>0</v>
      </c>
      <c r="AH54" s="38">
        <f t="shared" si="35"/>
        <v>0</v>
      </c>
      <c r="AI54" s="38">
        <f t="shared" si="35"/>
        <v>0</v>
      </c>
      <c r="AJ54" s="38">
        <f t="shared" si="35"/>
        <v>0</v>
      </c>
      <c r="AK54" s="38">
        <f t="shared" ref="AK54:BE54" si="36" xml:space="preserve"> AK$51</f>
        <v>0</v>
      </c>
      <c r="AL54" s="38">
        <f t="shared" si="36"/>
        <v>0</v>
      </c>
      <c r="AM54" s="38">
        <f t="shared" si="36"/>
        <v>0</v>
      </c>
      <c r="AN54" s="38">
        <f t="shared" si="36"/>
        <v>0</v>
      </c>
      <c r="AO54" s="38">
        <f t="shared" si="36"/>
        <v>0</v>
      </c>
      <c r="AP54" s="38">
        <f t="shared" si="36"/>
        <v>0</v>
      </c>
      <c r="AQ54" s="38">
        <f t="shared" si="36"/>
        <v>0</v>
      </c>
      <c r="AR54" s="38">
        <f t="shared" si="36"/>
        <v>0</v>
      </c>
      <c r="AS54" s="38">
        <f t="shared" si="36"/>
        <v>0</v>
      </c>
      <c r="AT54" s="38">
        <f t="shared" si="36"/>
        <v>0</v>
      </c>
      <c r="AU54" s="38">
        <f t="shared" si="36"/>
        <v>0</v>
      </c>
      <c r="AV54" s="38">
        <f t="shared" si="36"/>
        <v>0</v>
      </c>
      <c r="AW54" s="38">
        <f t="shared" si="36"/>
        <v>0</v>
      </c>
      <c r="AX54" s="38">
        <f t="shared" si="36"/>
        <v>0</v>
      </c>
      <c r="AY54" s="38">
        <f t="shared" si="36"/>
        <v>0</v>
      </c>
      <c r="AZ54" s="38">
        <f t="shared" si="36"/>
        <v>0</v>
      </c>
      <c r="BA54" s="38">
        <f t="shared" si="36"/>
        <v>0</v>
      </c>
      <c r="BB54" s="38">
        <f t="shared" si="36"/>
        <v>0</v>
      </c>
      <c r="BC54" s="38">
        <f t="shared" si="36"/>
        <v>0</v>
      </c>
      <c r="BD54" s="38">
        <f t="shared" si="36"/>
        <v>0</v>
      </c>
      <c r="BE54" s="38">
        <f t="shared" si="36"/>
        <v>0</v>
      </c>
    </row>
    <row r="55" spans="1:57" hidden="1" outlineLevel="1" x14ac:dyDescent="0.2">
      <c r="E55" s="215" t="s">
        <v>92</v>
      </c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P55" s="215"/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  <c r="AC55" s="215"/>
      <c r="AD55" s="215"/>
      <c r="AE55" s="215"/>
      <c r="AF55" s="215"/>
      <c r="AG55" s="215"/>
      <c r="AH55" s="215"/>
      <c r="AI55" s="215"/>
      <c r="AJ55" s="215"/>
      <c r="AK55" s="215"/>
      <c r="AL55" s="215"/>
      <c r="AM55" s="215"/>
      <c r="AN55" s="215"/>
      <c r="AO55" s="215"/>
      <c r="AP55" s="215"/>
      <c r="AQ55" s="215"/>
      <c r="AR55" s="215"/>
      <c r="AS55" s="215"/>
      <c r="AT55" s="215"/>
      <c r="AU55" s="215"/>
      <c r="AV55" s="215"/>
      <c r="AW55" s="215"/>
      <c r="AX55" s="215"/>
      <c r="AY55" s="215"/>
      <c r="AZ55" s="215"/>
      <c r="BA55" s="215"/>
      <c r="BB55" s="215"/>
      <c r="BC55" s="215"/>
      <c r="BD55" s="215"/>
      <c r="BE55" s="215"/>
    </row>
    <row r="56" spans="1:57" hidden="1" outlineLevel="1" x14ac:dyDescent="0.2">
      <c r="E56" s="224" t="s">
        <v>269</v>
      </c>
      <c r="F56" s="224"/>
      <c r="G56" s="224" t="str">
        <f xml:space="preserve"> SMU</f>
        <v>$ 000s</v>
      </c>
      <c r="H56" s="224"/>
      <c r="I56" s="225"/>
      <c r="J56" s="224">
        <f t="shared" ref="J56" si="37" xml:space="preserve"> J53 + J54 - J55</f>
        <v>0</v>
      </c>
      <c r="K56" s="224">
        <f t="shared" ref="K56" si="38" xml:space="preserve"> K53 + K54 - K55</f>
        <v>0</v>
      </c>
      <c r="L56" s="224">
        <f t="shared" ref="L56" si="39" xml:space="preserve"> L53 + L54 - L55</f>
        <v>0</v>
      </c>
      <c r="M56" s="224">
        <f t="shared" ref="M56" si="40" xml:space="preserve"> M53 + M54 - M55</f>
        <v>100</v>
      </c>
      <c r="N56" s="224">
        <f t="shared" ref="N56" si="41" xml:space="preserve"> N53 + N54 - N55</f>
        <v>100</v>
      </c>
      <c r="O56" s="224">
        <f t="shared" ref="O56:BE56" si="42" xml:space="preserve"> O53 + O54 - O55</f>
        <v>100</v>
      </c>
      <c r="P56" s="224">
        <f t="shared" si="42"/>
        <v>100</v>
      </c>
      <c r="Q56" s="224">
        <f t="shared" si="42"/>
        <v>100</v>
      </c>
      <c r="R56" s="224">
        <f t="shared" si="42"/>
        <v>100</v>
      </c>
      <c r="S56" s="224">
        <f t="shared" si="42"/>
        <v>100</v>
      </c>
      <c r="T56" s="224">
        <f t="shared" si="42"/>
        <v>100</v>
      </c>
      <c r="U56" s="224">
        <f t="shared" si="42"/>
        <v>100</v>
      </c>
      <c r="V56" s="224">
        <f t="shared" si="42"/>
        <v>100</v>
      </c>
      <c r="W56" s="224">
        <f t="shared" si="42"/>
        <v>100</v>
      </c>
      <c r="X56" s="224">
        <f t="shared" si="42"/>
        <v>100</v>
      </c>
      <c r="Y56" s="224">
        <f t="shared" si="42"/>
        <v>100</v>
      </c>
      <c r="Z56" s="224">
        <f t="shared" si="42"/>
        <v>100</v>
      </c>
      <c r="AA56" s="224">
        <f t="shared" si="42"/>
        <v>100</v>
      </c>
      <c r="AB56" s="224">
        <f t="shared" si="42"/>
        <v>100</v>
      </c>
      <c r="AC56" s="224">
        <f t="shared" si="42"/>
        <v>100</v>
      </c>
      <c r="AD56" s="224">
        <f t="shared" si="42"/>
        <v>100</v>
      </c>
      <c r="AE56" s="224">
        <f t="shared" si="42"/>
        <v>100</v>
      </c>
      <c r="AF56" s="224">
        <f t="shared" si="42"/>
        <v>100</v>
      </c>
      <c r="AG56" s="224">
        <f t="shared" si="42"/>
        <v>100</v>
      </c>
      <c r="AH56" s="224">
        <f t="shared" si="42"/>
        <v>100</v>
      </c>
      <c r="AI56" s="224">
        <f t="shared" si="42"/>
        <v>100</v>
      </c>
      <c r="AJ56" s="224">
        <f t="shared" si="42"/>
        <v>100</v>
      </c>
      <c r="AK56" s="224">
        <f t="shared" si="42"/>
        <v>100</v>
      </c>
      <c r="AL56" s="224">
        <f t="shared" si="42"/>
        <v>100</v>
      </c>
      <c r="AM56" s="224">
        <f t="shared" si="42"/>
        <v>100</v>
      </c>
      <c r="AN56" s="224">
        <f t="shared" si="42"/>
        <v>100</v>
      </c>
      <c r="AO56" s="224">
        <f t="shared" si="42"/>
        <v>100</v>
      </c>
      <c r="AP56" s="224">
        <f t="shared" si="42"/>
        <v>100</v>
      </c>
      <c r="AQ56" s="224">
        <f t="shared" si="42"/>
        <v>100</v>
      </c>
      <c r="AR56" s="224">
        <f t="shared" si="42"/>
        <v>100</v>
      </c>
      <c r="AS56" s="224">
        <f t="shared" si="42"/>
        <v>100</v>
      </c>
      <c r="AT56" s="224">
        <f t="shared" si="42"/>
        <v>100</v>
      </c>
      <c r="AU56" s="224">
        <f t="shared" si="42"/>
        <v>100</v>
      </c>
      <c r="AV56" s="224">
        <f t="shared" si="42"/>
        <v>100</v>
      </c>
      <c r="AW56" s="224">
        <f t="shared" si="42"/>
        <v>100</v>
      </c>
      <c r="AX56" s="224">
        <f t="shared" si="42"/>
        <v>100</v>
      </c>
      <c r="AY56" s="224">
        <f t="shared" si="42"/>
        <v>100</v>
      </c>
      <c r="AZ56" s="224">
        <f t="shared" si="42"/>
        <v>100</v>
      </c>
      <c r="BA56" s="224">
        <f t="shared" si="42"/>
        <v>100</v>
      </c>
      <c r="BB56" s="224">
        <f t="shared" si="42"/>
        <v>100</v>
      </c>
      <c r="BC56" s="224">
        <f t="shared" si="42"/>
        <v>100</v>
      </c>
      <c r="BD56" s="224">
        <f t="shared" si="42"/>
        <v>100</v>
      </c>
      <c r="BE56" s="224">
        <f t="shared" si="42"/>
        <v>100</v>
      </c>
    </row>
    <row r="57" spans="1:57" hidden="1" outlineLevel="1" x14ac:dyDescent="0.2"/>
    <row r="58" spans="1:57" x14ac:dyDescent="0.2"/>
    <row r="59" spans="1:57" collapsed="1" x14ac:dyDescent="0.2">
      <c r="A59" s="15" t="s">
        <v>336</v>
      </c>
    </row>
    <row r="60" spans="1:57" hidden="1" outlineLevel="1" x14ac:dyDescent="0.2"/>
    <row r="61" spans="1:57" s="114" customFormat="1" hidden="1" outlineLevel="1" x14ac:dyDescent="0.2">
      <c r="A61" s="522"/>
      <c r="B61" s="522"/>
      <c r="C61" s="523"/>
      <c r="D61" s="524"/>
      <c r="E61" s="697" t="str">
        <f xml:space="preserve"> InpC!E$153</f>
        <v>EBL active switch</v>
      </c>
      <c r="F61" s="697">
        <f xml:space="preserve"> InpC!F$153</f>
        <v>1</v>
      </c>
      <c r="G61" s="697" t="str">
        <f xml:space="preserve"> InpC!G$153</f>
        <v>1 = yes; 0 = no</v>
      </c>
      <c r="H61" s="525"/>
      <c r="I61" s="526"/>
      <c r="J61" s="525"/>
      <c r="K61" s="525"/>
      <c r="L61" s="525"/>
      <c r="M61" s="525"/>
      <c r="N61" s="525"/>
      <c r="O61" s="525"/>
      <c r="P61" s="525"/>
      <c r="Q61" s="525"/>
      <c r="R61" s="525"/>
      <c r="S61" s="525"/>
      <c r="T61" s="525"/>
      <c r="U61" s="525"/>
      <c r="V61" s="525"/>
      <c r="W61" s="525"/>
      <c r="X61" s="525"/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</row>
    <row r="62" spans="1:57" hidden="1" outlineLevel="1" x14ac:dyDescent="0.2">
      <c r="E62" s="186" t="str">
        <f xml:space="preserve"> Solve!E$53</f>
        <v>Total equity requirement - Paste</v>
      </c>
      <c r="F62" s="186">
        <f xml:space="preserve"> Solve!F$53</f>
        <v>86418.253106861201</v>
      </c>
      <c r="G62" s="186" t="str">
        <f xml:space="preserve"> Solve!G$53</f>
        <v>$ 000s</v>
      </c>
      <c r="I62" s="12"/>
    </row>
    <row r="63" spans="1:57" hidden="1" outlineLevel="1" x14ac:dyDescent="0.2">
      <c r="E63" s="145" t="str">
        <f xml:space="preserve"> InpC!E$371</f>
        <v>Share capital amount</v>
      </c>
      <c r="F63" s="145">
        <f xml:space="preserve"> InpC!F$371</f>
        <v>100</v>
      </c>
      <c r="G63" s="145" t="str">
        <f xml:space="preserve"> InpC!G$371</f>
        <v>$ 000s</v>
      </c>
      <c r="H63" s="38"/>
    </row>
    <row r="64" spans="1:57" hidden="1" outlineLevel="1" x14ac:dyDescent="0.2">
      <c r="E64" s="12" t="s">
        <v>337</v>
      </c>
      <c r="F64" s="12">
        <f xml:space="preserve"> (F62 - F63) * (1 - F61)</f>
        <v>0</v>
      </c>
      <c r="G64" s="12" t="str">
        <f xml:space="preserve"> SMU</f>
        <v>$ 000s</v>
      </c>
    </row>
    <row r="65" spans="1:57" hidden="1" outlineLevel="1" x14ac:dyDescent="0.2"/>
    <row r="66" spans="1:57" hidden="1" outlineLevel="1" x14ac:dyDescent="0.2">
      <c r="E66" s="186" t="str">
        <f xml:space="preserve"> Solve!E$58</f>
        <v>Project costs / funding requirement - Paste</v>
      </c>
      <c r="F66" s="186">
        <f xml:space="preserve"> Solve!F$58</f>
        <v>0</v>
      </c>
      <c r="G66" s="186" t="str">
        <f xml:space="preserve"> Solve!G$58</f>
        <v>$ 000s</v>
      </c>
      <c r="H66" s="186">
        <f xml:space="preserve"> Solve!H$58</f>
        <v>348748.10907557519</v>
      </c>
      <c r="I66" s="186">
        <f xml:space="preserve"> Solve!I$58</f>
        <v>0</v>
      </c>
      <c r="J66" s="186">
        <f xml:space="preserve"> Solve!J$58</f>
        <v>0</v>
      </c>
      <c r="K66" s="186">
        <f xml:space="preserve"> Solve!K$58</f>
        <v>0</v>
      </c>
      <c r="L66" s="186">
        <f xml:space="preserve"> Solve!L$58</f>
        <v>0</v>
      </c>
      <c r="M66" s="186">
        <f xml:space="preserve"> Solve!M$58</f>
        <v>14943.424770244494</v>
      </c>
      <c r="N66" s="186">
        <f xml:space="preserve"> Solve!N$58</f>
        <v>11841.327808384644</v>
      </c>
      <c r="O66" s="186">
        <f xml:space="preserve"> Solve!O$58</f>
        <v>11870.259742712651</v>
      </c>
      <c r="P66" s="186">
        <f xml:space="preserve"> Solve!P$58</f>
        <v>11907.687320687248</v>
      </c>
      <c r="Q66" s="186">
        <f xml:space="preserve"> Solve!Q$58</f>
        <v>11941.012306690816</v>
      </c>
      <c r="R66" s="186">
        <f xml:space="preserve"> Solve!R$58</f>
        <v>11966.998590891828</v>
      </c>
      <c r="S66" s="186">
        <f xml:space="preserve"> Solve!S$58</f>
        <v>12007.921531555499</v>
      </c>
      <c r="T66" s="186">
        <f xml:space="preserve"> Solve!T$58</f>
        <v>12031.934187437519</v>
      </c>
      <c r="U66" s="186">
        <f xml:space="preserve"> Solve!U$58</f>
        <v>12076.190635536972</v>
      </c>
      <c r="V66" s="186">
        <f xml:space="preserve"> Solve!V$58</f>
        <v>12110.976773522409</v>
      </c>
      <c r="W66" s="186">
        <f xml:space="preserve"> Solve!W$58</f>
        <v>12104.694875399815</v>
      </c>
      <c r="X66" s="186">
        <f xml:space="preserve"> Solve!X$58</f>
        <v>12180.731360946033</v>
      </c>
      <c r="Y66" s="186">
        <f xml:space="preserve"> Solve!Y$58</f>
        <v>12199.330047588888</v>
      </c>
      <c r="Z66" s="186">
        <f xml:space="preserve"> Solve!Z$58</f>
        <v>12250.959482205111</v>
      </c>
      <c r="AA66" s="186">
        <f xml:space="preserve"> Solve!AA$58</f>
        <v>12266.975848549024</v>
      </c>
      <c r="AB66" s="186">
        <f xml:space="preserve"> Solve!AB$58</f>
        <v>12321.584756958357</v>
      </c>
      <c r="AC66" s="186">
        <f xml:space="preserve"> Solve!AC$58</f>
        <v>12357.077766346292</v>
      </c>
      <c r="AD66" s="186">
        <f xml:space="preserve"> Solve!AD$58</f>
        <v>12369.192114605235</v>
      </c>
      <c r="AE66" s="186">
        <f xml:space="preserve"> Solve!AE$58</f>
        <v>12428.303160347879</v>
      </c>
      <c r="AF66" s="186">
        <f xml:space="preserve"> Solve!AF$58</f>
        <v>12437.798518130739</v>
      </c>
      <c r="AG66" s="186">
        <f xml:space="preserve"> Solve!AG$58</f>
        <v>12499.931347612244</v>
      </c>
      <c r="AH66" s="186">
        <f xml:space="preserve"> Solve!AH$58</f>
        <v>12535.938094264708</v>
      </c>
      <c r="AI66" s="186">
        <f xml:space="preserve"> Solve!AI$58</f>
        <v>12505.623743976959</v>
      </c>
      <c r="AJ66" s="186">
        <f xml:space="preserve"> Solve!AJ$58</f>
        <v>12596.607093158804</v>
      </c>
      <c r="AK66" s="186">
        <f xml:space="preserve"> Solve!AK$58</f>
        <v>12594.408171304991</v>
      </c>
      <c r="AL66" s="186">
        <f xml:space="preserve"> Solve!AL$58</f>
        <v>12657.706600951156</v>
      </c>
      <c r="AM66" s="186">
        <f xml:space="preserve"> Solve!AM$58</f>
        <v>27743.512425564993</v>
      </c>
      <c r="AN66" s="186">
        <f xml:space="preserve"> Solve!AN$58</f>
        <v>0</v>
      </c>
      <c r="AO66" s="186">
        <f xml:space="preserve"> Solve!AO$58</f>
        <v>0</v>
      </c>
      <c r="AP66" s="186">
        <f xml:space="preserve"> Solve!AP$58</f>
        <v>0</v>
      </c>
      <c r="AQ66" s="186">
        <f xml:space="preserve"> Solve!AQ$58</f>
        <v>0</v>
      </c>
      <c r="AR66" s="186">
        <f xml:space="preserve"> Solve!AR$58</f>
        <v>0</v>
      </c>
      <c r="AS66" s="186">
        <f xml:space="preserve"> Solve!AS$58</f>
        <v>0</v>
      </c>
      <c r="AT66" s="186">
        <f xml:space="preserve"> Solve!AT$58</f>
        <v>0</v>
      </c>
      <c r="AU66" s="186">
        <f xml:space="preserve"> Solve!AU$58</f>
        <v>0</v>
      </c>
      <c r="AV66" s="186">
        <f xml:space="preserve"> Solve!AV$58</f>
        <v>0</v>
      </c>
      <c r="AW66" s="186">
        <f xml:space="preserve"> Solve!AW$58</f>
        <v>0</v>
      </c>
      <c r="AX66" s="186">
        <f xml:space="preserve"> Solve!AX$58</f>
        <v>0</v>
      </c>
      <c r="AY66" s="186">
        <f xml:space="preserve"> Solve!AY$58</f>
        <v>0</v>
      </c>
      <c r="AZ66" s="186">
        <f xml:space="preserve"> Solve!AZ$58</f>
        <v>0</v>
      </c>
      <c r="BA66" s="186">
        <f xml:space="preserve"> Solve!BA$58</f>
        <v>0</v>
      </c>
      <c r="BB66" s="186">
        <f xml:space="preserve"> Solve!BB$58</f>
        <v>0</v>
      </c>
      <c r="BC66" s="186">
        <f xml:space="preserve"> Solve!BC$58</f>
        <v>0</v>
      </c>
      <c r="BD66" s="186">
        <f xml:space="preserve"> Solve!BD$58</f>
        <v>0</v>
      </c>
      <c r="BE66" s="186">
        <f xml:space="preserve"> Solve!BE$58</f>
        <v>0</v>
      </c>
    </row>
    <row r="67" spans="1:57" hidden="1" outlineLevel="1" x14ac:dyDescent="0.2">
      <c r="E67" s="12" t="str">
        <f t="shared" ref="E67:AJ67" si="43" xml:space="preserve"> E$51</f>
        <v>Share capital drawdown - m</v>
      </c>
      <c r="F67" s="12">
        <f t="shared" si="43"/>
        <v>0</v>
      </c>
      <c r="G67" s="12" t="str">
        <f t="shared" si="43"/>
        <v>$ 000s</v>
      </c>
      <c r="H67" s="12">
        <f t="shared" si="43"/>
        <v>100</v>
      </c>
      <c r="I67" s="12">
        <f t="shared" si="43"/>
        <v>0</v>
      </c>
      <c r="J67" s="12">
        <f t="shared" si="43"/>
        <v>0</v>
      </c>
      <c r="K67" s="12">
        <f t="shared" si="43"/>
        <v>0</v>
      </c>
      <c r="L67" s="12">
        <f t="shared" si="43"/>
        <v>0</v>
      </c>
      <c r="M67" s="12">
        <f t="shared" si="43"/>
        <v>100</v>
      </c>
      <c r="N67" s="12">
        <f t="shared" si="43"/>
        <v>0</v>
      </c>
      <c r="O67" s="12">
        <f t="shared" si="43"/>
        <v>0</v>
      </c>
      <c r="P67" s="12">
        <f t="shared" si="43"/>
        <v>0</v>
      </c>
      <c r="Q67" s="12">
        <f t="shared" si="43"/>
        <v>0</v>
      </c>
      <c r="R67" s="12">
        <f t="shared" si="43"/>
        <v>0</v>
      </c>
      <c r="S67" s="12">
        <f t="shared" si="43"/>
        <v>0</v>
      </c>
      <c r="T67" s="12">
        <f t="shared" si="43"/>
        <v>0</v>
      </c>
      <c r="U67" s="12">
        <f t="shared" si="43"/>
        <v>0</v>
      </c>
      <c r="V67" s="12">
        <f t="shared" si="43"/>
        <v>0</v>
      </c>
      <c r="W67" s="12">
        <f t="shared" si="43"/>
        <v>0</v>
      </c>
      <c r="X67" s="12">
        <f t="shared" si="43"/>
        <v>0</v>
      </c>
      <c r="Y67" s="12">
        <f t="shared" si="43"/>
        <v>0</v>
      </c>
      <c r="Z67" s="12">
        <f t="shared" si="43"/>
        <v>0</v>
      </c>
      <c r="AA67" s="12">
        <f t="shared" si="43"/>
        <v>0</v>
      </c>
      <c r="AB67" s="12">
        <f t="shared" si="43"/>
        <v>0</v>
      </c>
      <c r="AC67" s="12">
        <f t="shared" si="43"/>
        <v>0</v>
      </c>
      <c r="AD67" s="12">
        <f t="shared" si="43"/>
        <v>0</v>
      </c>
      <c r="AE67" s="12">
        <f t="shared" si="43"/>
        <v>0</v>
      </c>
      <c r="AF67" s="12">
        <f t="shared" si="43"/>
        <v>0</v>
      </c>
      <c r="AG67" s="12">
        <f t="shared" si="43"/>
        <v>0</v>
      </c>
      <c r="AH67" s="12">
        <f t="shared" si="43"/>
        <v>0</v>
      </c>
      <c r="AI67" s="12">
        <f t="shared" si="43"/>
        <v>0</v>
      </c>
      <c r="AJ67" s="12">
        <f t="shared" si="43"/>
        <v>0</v>
      </c>
      <c r="AK67" s="12">
        <f t="shared" ref="AK67:BE67" si="44" xml:space="preserve"> AK$51</f>
        <v>0</v>
      </c>
      <c r="AL67" s="12">
        <f t="shared" si="44"/>
        <v>0</v>
      </c>
      <c r="AM67" s="12">
        <f t="shared" si="44"/>
        <v>0</v>
      </c>
      <c r="AN67" s="12">
        <f t="shared" si="44"/>
        <v>0</v>
      </c>
      <c r="AO67" s="12">
        <f t="shared" si="44"/>
        <v>0</v>
      </c>
      <c r="AP67" s="12">
        <f t="shared" si="44"/>
        <v>0</v>
      </c>
      <c r="AQ67" s="12">
        <f t="shared" si="44"/>
        <v>0</v>
      </c>
      <c r="AR67" s="12">
        <f t="shared" si="44"/>
        <v>0</v>
      </c>
      <c r="AS67" s="12">
        <f t="shared" si="44"/>
        <v>0</v>
      </c>
      <c r="AT67" s="12">
        <f t="shared" si="44"/>
        <v>0</v>
      </c>
      <c r="AU67" s="12">
        <f t="shared" si="44"/>
        <v>0</v>
      </c>
      <c r="AV67" s="12">
        <f t="shared" si="44"/>
        <v>0</v>
      </c>
      <c r="AW67" s="12">
        <f t="shared" si="44"/>
        <v>0</v>
      </c>
      <c r="AX67" s="12">
        <f t="shared" si="44"/>
        <v>0</v>
      </c>
      <c r="AY67" s="12">
        <f t="shared" si="44"/>
        <v>0</v>
      </c>
      <c r="AZ67" s="12">
        <f t="shared" si="44"/>
        <v>0</v>
      </c>
      <c r="BA67" s="12">
        <f t="shared" si="44"/>
        <v>0</v>
      </c>
      <c r="BB67" s="12">
        <f t="shared" si="44"/>
        <v>0</v>
      </c>
      <c r="BC67" s="12">
        <f t="shared" si="44"/>
        <v>0</v>
      </c>
      <c r="BD67" s="12">
        <f t="shared" si="44"/>
        <v>0</v>
      </c>
      <c r="BE67" s="12">
        <f t="shared" si="44"/>
        <v>0</v>
      </c>
    </row>
    <row r="68" spans="1:57" s="495" customFormat="1" hidden="1" outlineLevel="1" x14ac:dyDescent="0.2">
      <c r="A68" s="15"/>
      <c r="B68" s="15"/>
      <c r="C68" s="21"/>
      <c r="D68" s="48"/>
      <c r="E68" s="68" t="str">
        <f xml:space="preserve"> ConCost!E$222</f>
        <v>Cash received from EGRs transferred to equity</v>
      </c>
      <c r="F68" s="68">
        <f xml:space="preserve"> ConCost!F$222</f>
        <v>0</v>
      </c>
      <c r="G68" s="68" t="str">
        <f xml:space="preserve"> ConCost!G$222</f>
        <v>$ 000s</v>
      </c>
      <c r="H68" s="68">
        <f xml:space="preserve"> ConCost!H$222</f>
        <v>11940</v>
      </c>
      <c r="I68" s="68">
        <f xml:space="preserve"> ConCost!I$222</f>
        <v>0</v>
      </c>
      <c r="J68" s="68">
        <f xml:space="preserve"> ConCost!J$222</f>
        <v>0</v>
      </c>
      <c r="K68" s="68">
        <f xml:space="preserve"> ConCost!K$222</f>
        <v>0</v>
      </c>
      <c r="L68" s="68">
        <f xml:space="preserve"> ConCost!L$222</f>
        <v>0</v>
      </c>
      <c r="M68" s="68">
        <f xml:space="preserve"> ConCost!M$222</f>
        <v>0</v>
      </c>
      <c r="N68" s="68">
        <f xml:space="preserve"> ConCost!N$222</f>
        <v>0</v>
      </c>
      <c r="O68" s="68">
        <f xml:space="preserve"> ConCost!O$222</f>
        <v>0</v>
      </c>
      <c r="P68" s="68">
        <f xml:space="preserve"> ConCost!P$222</f>
        <v>0</v>
      </c>
      <c r="Q68" s="68">
        <f xml:space="preserve"> ConCost!Q$222</f>
        <v>0</v>
      </c>
      <c r="R68" s="68">
        <f xml:space="preserve"> ConCost!R$222</f>
        <v>0</v>
      </c>
      <c r="S68" s="68">
        <f xml:space="preserve"> ConCost!S$222</f>
        <v>0</v>
      </c>
      <c r="T68" s="68">
        <f xml:space="preserve"> ConCost!T$222</f>
        <v>0</v>
      </c>
      <c r="U68" s="68">
        <f xml:space="preserve"> ConCost!U$222</f>
        <v>0</v>
      </c>
      <c r="V68" s="68">
        <f xml:space="preserve"> ConCost!V$222</f>
        <v>0</v>
      </c>
      <c r="W68" s="68">
        <f xml:space="preserve"> ConCost!W$222</f>
        <v>0</v>
      </c>
      <c r="X68" s="68">
        <f xml:space="preserve"> ConCost!X$222</f>
        <v>0</v>
      </c>
      <c r="Y68" s="68">
        <f xml:space="preserve"> ConCost!Y$222</f>
        <v>0</v>
      </c>
      <c r="Z68" s="68">
        <f xml:space="preserve"> ConCost!Z$222</f>
        <v>0</v>
      </c>
      <c r="AA68" s="68">
        <f xml:space="preserve"> ConCost!AA$222</f>
        <v>0</v>
      </c>
      <c r="AB68" s="68">
        <f xml:space="preserve"> ConCost!AB$222</f>
        <v>0</v>
      </c>
      <c r="AC68" s="68">
        <f xml:space="preserve"> ConCost!AC$222</f>
        <v>0</v>
      </c>
      <c r="AD68" s="68">
        <f xml:space="preserve"> ConCost!AD$222</f>
        <v>0</v>
      </c>
      <c r="AE68" s="68">
        <f xml:space="preserve"> ConCost!AE$222</f>
        <v>0</v>
      </c>
      <c r="AF68" s="68">
        <f xml:space="preserve"> ConCost!AF$222</f>
        <v>0</v>
      </c>
      <c r="AG68" s="68">
        <f xml:space="preserve"> ConCost!AG$222</f>
        <v>0</v>
      </c>
      <c r="AH68" s="68">
        <f xml:space="preserve"> ConCost!AH$222</f>
        <v>1990</v>
      </c>
      <c r="AI68" s="68">
        <f xml:space="preserve"> ConCost!AI$222</f>
        <v>1990</v>
      </c>
      <c r="AJ68" s="68">
        <f xml:space="preserve"> ConCost!AJ$222</f>
        <v>1990</v>
      </c>
      <c r="AK68" s="68">
        <f xml:space="preserve"> ConCost!AK$222</f>
        <v>1990</v>
      </c>
      <c r="AL68" s="68">
        <f xml:space="preserve"> ConCost!AL$222</f>
        <v>1990</v>
      </c>
      <c r="AM68" s="68">
        <f xml:space="preserve"> ConCost!AM$222</f>
        <v>1990</v>
      </c>
      <c r="AN68" s="68">
        <f xml:space="preserve"> ConCost!AN$222</f>
        <v>0</v>
      </c>
      <c r="AO68" s="68">
        <f xml:space="preserve"> ConCost!AO$222</f>
        <v>0</v>
      </c>
      <c r="AP68" s="68">
        <f xml:space="preserve"> ConCost!AP$222</f>
        <v>0</v>
      </c>
      <c r="AQ68" s="68">
        <f xml:space="preserve"> ConCost!AQ$222</f>
        <v>0</v>
      </c>
      <c r="AR68" s="68">
        <f xml:space="preserve"> ConCost!AR$222</f>
        <v>0</v>
      </c>
      <c r="AS68" s="68">
        <f xml:space="preserve"> ConCost!AS$222</f>
        <v>0</v>
      </c>
      <c r="AT68" s="68">
        <f xml:space="preserve"> ConCost!AT$222</f>
        <v>0</v>
      </c>
      <c r="AU68" s="68">
        <f xml:space="preserve"> ConCost!AU$222</f>
        <v>0</v>
      </c>
      <c r="AV68" s="68">
        <f xml:space="preserve"> ConCost!AV$222</f>
        <v>0</v>
      </c>
      <c r="AW68" s="68">
        <f xml:space="preserve"> ConCost!AW$222</f>
        <v>0</v>
      </c>
      <c r="AX68" s="68">
        <f xml:space="preserve"> ConCost!AX$222</f>
        <v>0</v>
      </c>
      <c r="AY68" s="68">
        <f xml:space="preserve"> ConCost!AY$222</f>
        <v>0</v>
      </c>
      <c r="AZ68" s="68">
        <f xml:space="preserve"> ConCost!AZ$222</f>
        <v>0</v>
      </c>
      <c r="BA68" s="68">
        <f xml:space="preserve"> ConCost!BA$222</f>
        <v>0</v>
      </c>
      <c r="BB68" s="68">
        <f xml:space="preserve"> ConCost!BB$222</f>
        <v>0</v>
      </c>
      <c r="BC68" s="68">
        <f xml:space="preserve"> ConCost!BC$222</f>
        <v>0</v>
      </c>
      <c r="BD68" s="68">
        <f xml:space="preserve"> ConCost!BD$222</f>
        <v>0</v>
      </c>
      <c r="BE68" s="68">
        <f xml:space="preserve"> ConCost!BE$222</f>
        <v>0</v>
      </c>
    </row>
    <row r="69" spans="1:57" hidden="1" outlineLevel="1" x14ac:dyDescent="0.2">
      <c r="E69" s="12" t="s">
        <v>338</v>
      </c>
      <c r="G69" s="12" t="str">
        <f xml:space="preserve"> SMU</f>
        <v>$ 000s</v>
      </c>
      <c r="H69" s="12">
        <f xml:space="preserve"> SUM(J69:BE69)</f>
        <v>336708.10907557519</v>
      </c>
      <c r="J69" s="12">
        <f t="shared" ref="J69:BE69" si="45" xml:space="preserve"> MAX(0, J66 - J67 - J68)</f>
        <v>0</v>
      </c>
      <c r="K69" s="12">
        <f t="shared" si="45"/>
        <v>0</v>
      </c>
      <c r="L69" s="12">
        <f t="shared" si="45"/>
        <v>0</v>
      </c>
      <c r="M69" s="12">
        <f t="shared" si="45"/>
        <v>14843.424770244494</v>
      </c>
      <c r="N69" s="12">
        <f t="shared" si="45"/>
        <v>11841.327808384644</v>
      </c>
      <c r="O69" s="12">
        <f t="shared" si="45"/>
        <v>11870.259742712651</v>
      </c>
      <c r="P69" s="12">
        <f t="shared" si="45"/>
        <v>11907.687320687248</v>
      </c>
      <c r="Q69" s="12">
        <f t="shared" si="45"/>
        <v>11941.012306690816</v>
      </c>
      <c r="R69" s="12">
        <f t="shared" si="45"/>
        <v>11966.998590891828</v>
      </c>
      <c r="S69" s="12">
        <f t="shared" si="45"/>
        <v>12007.921531555499</v>
      </c>
      <c r="T69" s="12">
        <f t="shared" si="45"/>
        <v>12031.934187437519</v>
      </c>
      <c r="U69" s="12">
        <f t="shared" si="45"/>
        <v>12076.190635536972</v>
      </c>
      <c r="V69" s="12">
        <f t="shared" si="45"/>
        <v>12110.976773522409</v>
      </c>
      <c r="W69" s="12">
        <f t="shared" si="45"/>
        <v>12104.694875399815</v>
      </c>
      <c r="X69" s="12">
        <f t="shared" si="45"/>
        <v>12180.731360946033</v>
      </c>
      <c r="Y69" s="12">
        <f t="shared" si="45"/>
        <v>12199.330047588888</v>
      </c>
      <c r="Z69" s="12">
        <f t="shared" si="45"/>
        <v>12250.959482205111</v>
      </c>
      <c r="AA69" s="12">
        <f t="shared" si="45"/>
        <v>12266.975848549024</v>
      </c>
      <c r="AB69" s="12">
        <f t="shared" si="45"/>
        <v>12321.584756958357</v>
      </c>
      <c r="AC69" s="12">
        <f t="shared" si="45"/>
        <v>12357.077766346292</v>
      </c>
      <c r="AD69" s="12">
        <f t="shared" si="45"/>
        <v>12369.192114605235</v>
      </c>
      <c r="AE69" s="12">
        <f t="shared" si="45"/>
        <v>12428.303160347879</v>
      </c>
      <c r="AF69" s="12">
        <f t="shared" si="45"/>
        <v>12437.798518130739</v>
      </c>
      <c r="AG69" s="12">
        <f t="shared" si="45"/>
        <v>12499.931347612244</v>
      </c>
      <c r="AH69" s="12">
        <f t="shared" si="45"/>
        <v>10545.938094264708</v>
      </c>
      <c r="AI69" s="12">
        <f t="shared" si="45"/>
        <v>10515.623743976959</v>
      </c>
      <c r="AJ69" s="12">
        <f t="shared" si="45"/>
        <v>10606.607093158804</v>
      </c>
      <c r="AK69" s="12">
        <f t="shared" si="45"/>
        <v>10604.408171304991</v>
      </c>
      <c r="AL69" s="12">
        <f t="shared" si="45"/>
        <v>10667.706600951156</v>
      </c>
      <c r="AM69" s="12">
        <f t="shared" si="45"/>
        <v>25753.512425564993</v>
      </c>
      <c r="AN69" s="12">
        <f t="shared" si="45"/>
        <v>0</v>
      </c>
      <c r="AO69" s="12">
        <f t="shared" si="45"/>
        <v>0</v>
      </c>
      <c r="AP69" s="12">
        <f t="shared" si="45"/>
        <v>0</v>
      </c>
      <c r="AQ69" s="12">
        <f t="shared" si="45"/>
        <v>0</v>
      </c>
      <c r="AR69" s="12">
        <f t="shared" si="45"/>
        <v>0</v>
      </c>
      <c r="AS69" s="12">
        <f t="shared" si="45"/>
        <v>0</v>
      </c>
      <c r="AT69" s="12">
        <f t="shared" si="45"/>
        <v>0</v>
      </c>
      <c r="AU69" s="12">
        <f t="shared" si="45"/>
        <v>0</v>
      </c>
      <c r="AV69" s="12">
        <f t="shared" si="45"/>
        <v>0</v>
      </c>
      <c r="AW69" s="12">
        <f t="shared" si="45"/>
        <v>0</v>
      </c>
      <c r="AX69" s="12">
        <f t="shared" si="45"/>
        <v>0</v>
      </c>
      <c r="AY69" s="12">
        <f t="shared" si="45"/>
        <v>0</v>
      </c>
      <c r="AZ69" s="12">
        <f t="shared" si="45"/>
        <v>0</v>
      </c>
      <c r="BA69" s="12">
        <f t="shared" si="45"/>
        <v>0</v>
      </c>
      <c r="BB69" s="12">
        <f t="shared" si="45"/>
        <v>0</v>
      </c>
      <c r="BC69" s="12">
        <f t="shared" si="45"/>
        <v>0</v>
      </c>
      <c r="BD69" s="12">
        <f t="shared" si="45"/>
        <v>0</v>
      </c>
      <c r="BE69" s="12">
        <f t="shared" si="45"/>
        <v>0</v>
      </c>
    </row>
    <row r="70" spans="1:57" hidden="1" outlineLevel="1" x14ac:dyDescent="0.2"/>
    <row r="71" spans="1:57" hidden="1" outlineLevel="1" x14ac:dyDescent="0.2">
      <c r="E71" s="12" t="str">
        <f xml:space="preserve"> E$64</f>
        <v>Shareholder loan requirement</v>
      </c>
      <c r="F71" s="12">
        <f xml:space="preserve"> F$64</f>
        <v>0</v>
      </c>
      <c r="G71" s="12" t="str">
        <f xml:space="preserve"> G$64</f>
        <v>$ 000s</v>
      </c>
    </row>
    <row r="72" spans="1:57" hidden="1" outlineLevel="1" x14ac:dyDescent="0.2">
      <c r="E72" s="12" t="str">
        <f t="shared" ref="E72:AJ72" si="46" xml:space="preserve"> E$88</f>
        <v>Shareholder loan during construction balance BEG</v>
      </c>
      <c r="F72" s="12">
        <f t="shared" si="46"/>
        <v>0</v>
      </c>
      <c r="G72" s="12" t="str">
        <f t="shared" si="46"/>
        <v>$ 000s</v>
      </c>
      <c r="H72" s="12">
        <f t="shared" si="46"/>
        <v>0</v>
      </c>
      <c r="I72" s="12">
        <f t="shared" si="46"/>
        <v>0</v>
      </c>
      <c r="J72" s="12">
        <f t="shared" si="46"/>
        <v>0</v>
      </c>
      <c r="K72" s="12">
        <f t="shared" si="46"/>
        <v>0</v>
      </c>
      <c r="L72" s="12">
        <f t="shared" si="46"/>
        <v>0</v>
      </c>
      <c r="M72" s="12">
        <f t="shared" si="46"/>
        <v>0</v>
      </c>
      <c r="N72" s="12">
        <f t="shared" si="46"/>
        <v>0</v>
      </c>
      <c r="O72" s="12">
        <f t="shared" si="46"/>
        <v>0</v>
      </c>
      <c r="P72" s="12">
        <f t="shared" si="46"/>
        <v>0</v>
      </c>
      <c r="Q72" s="12">
        <f t="shared" si="46"/>
        <v>0</v>
      </c>
      <c r="R72" s="12">
        <f t="shared" si="46"/>
        <v>0</v>
      </c>
      <c r="S72" s="12">
        <f t="shared" si="46"/>
        <v>0</v>
      </c>
      <c r="T72" s="12">
        <f t="shared" si="46"/>
        <v>0</v>
      </c>
      <c r="U72" s="12">
        <f t="shared" si="46"/>
        <v>0</v>
      </c>
      <c r="V72" s="12">
        <f t="shared" si="46"/>
        <v>0</v>
      </c>
      <c r="W72" s="12">
        <f t="shared" si="46"/>
        <v>0</v>
      </c>
      <c r="X72" s="12">
        <f t="shared" si="46"/>
        <v>0</v>
      </c>
      <c r="Y72" s="12">
        <f t="shared" si="46"/>
        <v>0</v>
      </c>
      <c r="Z72" s="12">
        <f t="shared" si="46"/>
        <v>0</v>
      </c>
      <c r="AA72" s="12">
        <f t="shared" si="46"/>
        <v>0</v>
      </c>
      <c r="AB72" s="12">
        <f t="shared" si="46"/>
        <v>0</v>
      </c>
      <c r="AC72" s="12">
        <f t="shared" si="46"/>
        <v>0</v>
      </c>
      <c r="AD72" s="12">
        <f t="shared" si="46"/>
        <v>0</v>
      </c>
      <c r="AE72" s="12">
        <f t="shared" si="46"/>
        <v>0</v>
      </c>
      <c r="AF72" s="12">
        <f t="shared" si="46"/>
        <v>0</v>
      </c>
      <c r="AG72" s="12">
        <f t="shared" si="46"/>
        <v>0</v>
      </c>
      <c r="AH72" s="12">
        <f t="shared" si="46"/>
        <v>0</v>
      </c>
      <c r="AI72" s="12">
        <f t="shared" si="46"/>
        <v>0</v>
      </c>
      <c r="AJ72" s="12">
        <f t="shared" si="46"/>
        <v>0</v>
      </c>
      <c r="AK72" s="12">
        <f t="shared" ref="AK72:BE72" si="47" xml:space="preserve"> AK$88</f>
        <v>0</v>
      </c>
      <c r="AL72" s="12">
        <f t="shared" si="47"/>
        <v>0</v>
      </c>
      <c r="AM72" s="12">
        <f t="shared" si="47"/>
        <v>0</v>
      </c>
      <c r="AN72" s="12">
        <f t="shared" si="47"/>
        <v>86318.253106861201</v>
      </c>
      <c r="AO72" s="12">
        <f t="shared" si="47"/>
        <v>86318.253106861201</v>
      </c>
      <c r="AP72" s="12">
        <f t="shared" si="47"/>
        <v>86318.253106861201</v>
      </c>
      <c r="AQ72" s="12">
        <f t="shared" si="47"/>
        <v>86318.253106861201</v>
      </c>
      <c r="AR72" s="12">
        <f t="shared" si="47"/>
        <v>86318.253106861201</v>
      </c>
      <c r="AS72" s="12">
        <f t="shared" si="47"/>
        <v>86318.253106861201</v>
      </c>
      <c r="AT72" s="12">
        <f t="shared" si="47"/>
        <v>86318.253106861201</v>
      </c>
      <c r="AU72" s="12">
        <f t="shared" si="47"/>
        <v>86318.253106861201</v>
      </c>
      <c r="AV72" s="12">
        <f t="shared" si="47"/>
        <v>86318.253106861201</v>
      </c>
      <c r="AW72" s="12">
        <f t="shared" si="47"/>
        <v>86318.253106861201</v>
      </c>
      <c r="AX72" s="12">
        <f t="shared" si="47"/>
        <v>86318.253106861201</v>
      </c>
      <c r="AY72" s="12">
        <f t="shared" si="47"/>
        <v>86318.253106861201</v>
      </c>
      <c r="AZ72" s="12">
        <f t="shared" si="47"/>
        <v>86318.253106861201</v>
      </c>
      <c r="BA72" s="12">
        <f t="shared" si="47"/>
        <v>86318.253106861201</v>
      </c>
      <c r="BB72" s="12">
        <f t="shared" si="47"/>
        <v>86318.253106861201</v>
      </c>
      <c r="BC72" s="12">
        <f t="shared" si="47"/>
        <v>86318.253106861201</v>
      </c>
      <c r="BD72" s="12">
        <f t="shared" si="47"/>
        <v>86318.253106861201</v>
      </c>
      <c r="BE72" s="12">
        <f t="shared" si="47"/>
        <v>86318.253106861201</v>
      </c>
    </row>
    <row r="73" spans="1:57" s="734" customFormat="1" ht="13.15" hidden="1" customHeight="1" outlineLevel="1" x14ac:dyDescent="0.2">
      <c r="A73" s="787"/>
      <c r="B73" s="787"/>
      <c r="C73" s="787"/>
      <c r="D73" s="787"/>
      <c r="E73" s="793" t="str">
        <f xml:space="preserve"> ConTime!E$64</f>
        <v>Financial close date flag - m</v>
      </c>
      <c r="F73" s="793">
        <f xml:space="preserve"> ConTime!F$64</f>
        <v>0</v>
      </c>
      <c r="G73" s="793" t="str">
        <f xml:space="preserve"> ConTime!G$64</f>
        <v>flag</v>
      </c>
      <c r="H73" s="793">
        <f xml:space="preserve"> ConTime!H$64</f>
        <v>1</v>
      </c>
      <c r="I73" s="793">
        <f xml:space="preserve"> ConTime!I$64</f>
        <v>0</v>
      </c>
      <c r="J73" s="793">
        <f xml:space="preserve"> ConTime!J$64</f>
        <v>0</v>
      </c>
      <c r="K73" s="793">
        <f xml:space="preserve"> ConTime!K$64</f>
        <v>0</v>
      </c>
      <c r="L73" s="793">
        <f xml:space="preserve"> ConTime!L$64</f>
        <v>0</v>
      </c>
      <c r="M73" s="793">
        <f xml:space="preserve"> ConTime!M$64</f>
        <v>1</v>
      </c>
      <c r="N73" s="793">
        <f xml:space="preserve"> ConTime!N$64</f>
        <v>0</v>
      </c>
      <c r="O73" s="793">
        <f xml:space="preserve"> ConTime!O$64</f>
        <v>0</v>
      </c>
      <c r="P73" s="793">
        <f xml:space="preserve"> ConTime!P$64</f>
        <v>0</v>
      </c>
      <c r="Q73" s="793">
        <f xml:space="preserve"> ConTime!Q$64</f>
        <v>0</v>
      </c>
      <c r="R73" s="793">
        <f xml:space="preserve"> ConTime!R$64</f>
        <v>0</v>
      </c>
      <c r="S73" s="793">
        <f xml:space="preserve"> ConTime!S$64</f>
        <v>0</v>
      </c>
      <c r="T73" s="793">
        <f xml:space="preserve"> ConTime!T$64</f>
        <v>0</v>
      </c>
      <c r="U73" s="793">
        <f xml:space="preserve"> ConTime!U$64</f>
        <v>0</v>
      </c>
      <c r="V73" s="793">
        <f xml:space="preserve"> ConTime!V$64</f>
        <v>0</v>
      </c>
      <c r="W73" s="793">
        <f xml:space="preserve"> ConTime!W$64</f>
        <v>0</v>
      </c>
      <c r="X73" s="793">
        <f xml:space="preserve"> ConTime!X$64</f>
        <v>0</v>
      </c>
      <c r="Y73" s="793">
        <f xml:space="preserve"> ConTime!Y$64</f>
        <v>0</v>
      </c>
      <c r="Z73" s="793">
        <f xml:space="preserve"> ConTime!Z$64</f>
        <v>0</v>
      </c>
      <c r="AA73" s="793">
        <f xml:space="preserve"> ConTime!AA$64</f>
        <v>0</v>
      </c>
      <c r="AB73" s="793">
        <f xml:space="preserve"> ConTime!AB$64</f>
        <v>0</v>
      </c>
      <c r="AC73" s="793">
        <f xml:space="preserve"> ConTime!AC$64</f>
        <v>0</v>
      </c>
      <c r="AD73" s="793">
        <f xml:space="preserve"> ConTime!AD$64</f>
        <v>0</v>
      </c>
      <c r="AE73" s="793">
        <f xml:space="preserve"> ConTime!AE$64</f>
        <v>0</v>
      </c>
      <c r="AF73" s="793">
        <f xml:space="preserve"> ConTime!AF$64</f>
        <v>0</v>
      </c>
      <c r="AG73" s="793">
        <f xml:space="preserve"> ConTime!AG$64</f>
        <v>0</v>
      </c>
      <c r="AH73" s="793">
        <f xml:space="preserve"> ConTime!AH$64</f>
        <v>0</v>
      </c>
      <c r="AI73" s="793">
        <f xml:space="preserve"> ConTime!AI$64</f>
        <v>0</v>
      </c>
      <c r="AJ73" s="793">
        <f xml:space="preserve"> ConTime!AJ$64</f>
        <v>0</v>
      </c>
      <c r="AK73" s="793">
        <f xml:space="preserve"> ConTime!AK$64</f>
        <v>0</v>
      </c>
      <c r="AL73" s="793">
        <f xml:space="preserve"> ConTime!AL$64</f>
        <v>0</v>
      </c>
      <c r="AM73" s="793">
        <f xml:space="preserve"> ConTime!AM$64</f>
        <v>0</v>
      </c>
      <c r="AN73" s="793">
        <f xml:space="preserve"> ConTime!AN$64</f>
        <v>0</v>
      </c>
      <c r="AO73" s="793">
        <f xml:space="preserve"> ConTime!AO$64</f>
        <v>0</v>
      </c>
      <c r="AP73" s="793">
        <f xml:space="preserve"> ConTime!AP$64</f>
        <v>0</v>
      </c>
      <c r="AQ73" s="793">
        <f xml:space="preserve"> ConTime!AQ$64</f>
        <v>0</v>
      </c>
      <c r="AR73" s="793">
        <f xml:space="preserve"> ConTime!AR$64</f>
        <v>0</v>
      </c>
      <c r="AS73" s="793">
        <f xml:space="preserve"> ConTime!AS$64</f>
        <v>0</v>
      </c>
      <c r="AT73" s="793">
        <f xml:space="preserve"> ConTime!AT$64</f>
        <v>0</v>
      </c>
      <c r="AU73" s="793">
        <f xml:space="preserve"> ConTime!AU$64</f>
        <v>0</v>
      </c>
      <c r="AV73" s="793">
        <f xml:space="preserve"> ConTime!AV$64</f>
        <v>0</v>
      </c>
      <c r="AW73" s="793">
        <f xml:space="preserve"> ConTime!AW$64</f>
        <v>0</v>
      </c>
      <c r="AX73" s="793">
        <f xml:space="preserve"> ConTime!AX$64</f>
        <v>0</v>
      </c>
      <c r="AY73" s="793">
        <f xml:space="preserve"> ConTime!AY$64</f>
        <v>0</v>
      </c>
      <c r="AZ73" s="793">
        <f xml:space="preserve"> ConTime!AZ$64</f>
        <v>0</v>
      </c>
      <c r="BA73" s="793">
        <f xml:space="preserve"> ConTime!BA$64</f>
        <v>0</v>
      </c>
      <c r="BB73" s="793">
        <f xml:space="preserve"> ConTime!BB$64</f>
        <v>0</v>
      </c>
      <c r="BC73" s="793">
        <f xml:space="preserve"> ConTime!BC$64</f>
        <v>0</v>
      </c>
      <c r="BD73" s="793">
        <f xml:space="preserve"> ConTime!BD$64</f>
        <v>0</v>
      </c>
      <c r="BE73" s="793">
        <f xml:space="preserve"> ConTime!BE$64</f>
        <v>0</v>
      </c>
    </row>
    <row r="74" spans="1:57" s="764" customFormat="1" ht="13.15" hidden="1" customHeight="1" outlineLevel="1" x14ac:dyDescent="0.2">
      <c r="A74" s="787"/>
      <c r="B74" s="787"/>
      <c r="C74" s="787"/>
      <c r="D74" s="787"/>
      <c r="E74" s="789" t="str">
        <f xml:space="preserve"> ConTime!E$82</f>
        <v>Construction period flag</v>
      </c>
      <c r="F74" s="789">
        <f xml:space="preserve"> ConTime!F$82</f>
        <v>0</v>
      </c>
      <c r="G74" s="789" t="str">
        <f xml:space="preserve"> ConTime!G$82</f>
        <v>flag</v>
      </c>
      <c r="H74" s="789">
        <f xml:space="preserve"> ConTime!H$82</f>
        <v>26</v>
      </c>
      <c r="I74" s="789">
        <f xml:space="preserve"> ConTime!I$82</f>
        <v>0</v>
      </c>
      <c r="J74" s="789">
        <f xml:space="preserve"> ConTime!J$82</f>
        <v>0</v>
      </c>
      <c r="K74" s="789">
        <f xml:space="preserve"> ConTime!K$82</f>
        <v>0</v>
      </c>
      <c r="L74" s="789">
        <f xml:space="preserve"> ConTime!L$82</f>
        <v>0</v>
      </c>
      <c r="M74" s="789">
        <f xml:space="preserve"> ConTime!M$82</f>
        <v>0</v>
      </c>
      <c r="N74" s="789">
        <f xml:space="preserve"> ConTime!N$82</f>
        <v>1</v>
      </c>
      <c r="O74" s="789">
        <f xml:space="preserve"> ConTime!O$82</f>
        <v>1</v>
      </c>
      <c r="P74" s="789">
        <f xml:space="preserve"> ConTime!P$82</f>
        <v>1</v>
      </c>
      <c r="Q74" s="789">
        <f xml:space="preserve"> ConTime!Q$82</f>
        <v>1</v>
      </c>
      <c r="R74" s="789">
        <f xml:space="preserve"> ConTime!R$82</f>
        <v>1</v>
      </c>
      <c r="S74" s="789">
        <f xml:space="preserve"> ConTime!S$82</f>
        <v>1</v>
      </c>
      <c r="T74" s="789">
        <f xml:space="preserve"> ConTime!T$82</f>
        <v>1</v>
      </c>
      <c r="U74" s="789">
        <f xml:space="preserve"> ConTime!U$82</f>
        <v>1</v>
      </c>
      <c r="V74" s="789">
        <f xml:space="preserve"> ConTime!V$82</f>
        <v>1</v>
      </c>
      <c r="W74" s="789">
        <f xml:space="preserve"> ConTime!W$82</f>
        <v>1</v>
      </c>
      <c r="X74" s="789">
        <f xml:space="preserve"> ConTime!X$82</f>
        <v>1</v>
      </c>
      <c r="Y74" s="789">
        <f xml:space="preserve"> ConTime!Y$82</f>
        <v>1</v>
      </c>
      <c r="Z74" s="789">
        <f xml:space="preserve"> ConTime!Z$82</f>
        <v>1</v>
      </c>
      <c r="AA74" s="789">
        <f xml:space="preserve"> ConTime!AA$82</f>
        <v>1</v>
      </c>
      <c r="AB74" s="789">
        <f xml:space="preserve"> ConTime!AB$82</f>
        <v>1</v>
      </c>
      <c r="AC74" s="789">
        <f xml:space="preserve"> ConTime!AC$82</f>
        <v>1</v>
      </c>
      <c r="AD74" s="789">
        <f xml:space="preserve"> ConTime!AD$82</f>
        <v>1</v>
      </c>
      <c r="AE74" s="789">
        <f xml:space="preserve"> ConTime!AE$82</f>
        <v>1</v>
      </c>
      <c r="AF74" s="789">
        <f xml:space="preserve"> ConTime!AF$82</f>
        <v>1</v>
      </c>
      <c r="AG74" s="789">
        <f xml:space="preserve"> ConTime!AG$82</f>
        <v>1</v>
      </c>
      <c r="AH74" s="789">
        <f xml:space="preserve"> ConTime!AH$82</f>
        <v>1</v>
      </c>
      <c r="AI74" s="789">
        <f xml:space="preserve"> ConTime!AI$82</f>
        <v>1</v>
      </c>
      <c r="AJ74" s="789">
        <f xml:space="preserve"> ConTime!AJ$82</f>
        <v>1</v>
      </c>
      <c r="AK74" s="789">
        <f xml:space="preserve"> ConTime!AK$82</f>
        <v>1</v>
      </c>
      <c r="AL74" s="789">
        <f xml:space="preserve"> ConTime!AL$82</f>
        <v>1</v>
      </c>
      <c r="AM74" s="789">
        <f xml:space="preserve"> ConTime!AM$82</f>
        <v>1</v>
      </c>
      <c r="AN74" s="789">
        <f xml:space="preserve"> ConTime!AN$82</f>
        <v>0</v>
      </c>
      <c r="AO74" s="789">
        <f xml:space="preserve"> ConTime!AO$82</f>
        <v>0</v>
      </c>
      <c r="AP74" s="789">
        <f xml:space="preserve"> ConTime!AP$82</f>
        <v>0</v>
      </c>
      <c r="AQ74" s="789">
        <f xml:space="preserve"> ConTime!AQ$82</f>
        <v>0</v>
      </c>
      <c r="AR74" s="789">
        <f xml:space="preserve"> ConTime!AR$82</f>
        <v>0</v>
      </c>
      <c r="AS74" s="789">
        <f xml:space="preserve"> ConTime!AS$82</f>
        <v>0</v>
      </c>
      <c r="AT74" s="789">
        <f xml:space="preserve"> ConTime!AT$82</f>
        <v>0</v>
      </c>
      <c r="AU74" s="789">
        <f xml:space="preserve"> ConTime!AU$82</f>
        <v>0</v>
      </c>
      <c r="AV74" s="789">
        <f xml:space="preserve"> ConTime!AV$82</f>
        <v>0</v>
      </c>
      <c r="AW74" s="789">
        <f xml:space="preserve"> ConTime!AW$82</f>
        <v>0</v>
      </c>
      <c r="AX74" s="789">
        <f xml:space="preserve"> ConTime!AX$82</f>
        <v>0</v>
      </c>
      <c r="AY74" s="789">
        <f xml:space="preserve"> ConTime!AY$82</f>
        <v>0</v>
      </c>
      <c r="AZ74" s="789">
        <f xml:space="preserve"> ConTime!AZ$82</f>
        <v>0</v>
      </c>
      <c r="BA74" s="789">
        <f xml:space="preserve"> ConTime!BA$82</f>
        <v>0</v>
      </c>
      <c r="BB74" s="789">
        <f xml:space="preserve"> ConTime!BB$82</f>
        <v>0</v>
      </c>
      <c r="BC74" s="789">
        <f xml:space="preserve"> ConTime!BC$82</f>
        <v>0</v>
      </c>
      <c r="BD74" s="789">
        <f xml:space="preserve"> ConTime!BD$82</f>
        <v>0</v>
      </c>
      <c r="BE74" s="789">
        <f xml:space="preserve"> ConTime!BE$82</f>
        <v>0</v>
      </c>
    </row>
    <row r="75" spans="1:57" hidden="1" outlineLevel="1" x14ac:dyDescent="0.2">
      <c r="E75" s="12" t="s">
        <v>341</v>
      </c>
      <c r="G75" s="12" t="str">
        <f xml:space="preserve"> SMU</f>
        <v>$ 000s</v>
      </c>
      <c r="J75" s="12">
        <f t="shared" ref="J75:BE75" si="48" xml:space="preserve"> ($F71 - J72) * MAX(J73, J74)</f>
        <v>0</v>
      </c>
      <c r="K75" s="12">
        <f t="shared" si="48"/>
        <v>0</v>
      </c>
      <c r="L75" s="12">
        <f t="shared" si="48"/>
        <v>0</v>
      </c>
      <c r="M75" s="12">
        <f t="shared" si="48"/>
        <v>0</v>
      </c>
      <c r="N75" s="12">
        <f t="shared" si="48"/>
        <v>0</v>
      </c>
      <c r="O75" s="12">
        <f t="shared" si="48"/>
        <v>0</v>
      </c>
      <c r="P75" s="12">
        <f t="shared" si="48"/>
        <v>0</v>
      </c>
      <c r="Q75" s="12">
        <f t="shared" si="48"/>
        <v>0</v>
      </c>
      <c r="R75" s="12">
        <f t="shared" si="48"/>
        <v>0</v>
      </c>
      <c r="S75" s="12">
        <f t="shared" si="48"/>
        <v>0</v>
      </c>
      <c r="T75" s="12">
        <f t="shared" si="48"/>
        <v>0</v>
      </c>
      <c r="U75" s="12">
        <f t="shared" si="48"/>
        <v>0</v>
      </c>
      <c r="V75" s="12">
        <f t="shared" si="48"/>
        <v>0</v>
      </c>
      <c r="W75" s="12">
        <f t="shared" si="48"/>
        <v>0</v>
      </c>
      <c r="X75" s="12">
        <f t="shared" si="48"/>
        <v>0</v>
      </c>
      <c r="Y75" s="12">
        <f t="shared" si="48"/>
        <v>0</v>
      </c>
      <c r="Z75" s="12">
        <f t="shared" si="48"/>
        <v>0</v>
      </c>
      <c r="AA75" s="12">
        <f t="shared" si="48"/>
        <v>0</v>
      </c>
      <c r="AB75" s="12">
        <f t="shared" si="48"/>
        <v>0</v>
      </c>
      <c r="AC75" s="12">
        <f t="shared" si="48"/>
        <v>0</v>
      </c>
      <c r="AD75" s="12">
        <f t="shared" si="48"/>
        <v>0</v>
      </c>
      <c r="AE75" s="12">
        <f t="shared" si="48"/>
        <v>0</v>
      </c>
      <c r="AF75" s="12">
        <f t="shared" si="48"/>
        <v>0</v>
      </c>
      <c r="AG75" s="12">
        <f t="shared" si="48"/>
        <v>0</v>
      </c>
      <c r="AH75" s="12">
        <f t="shared" si="48"/>
        <v>0</v>
      </c>
      <c r="AI75" s="12">
        <f t="shared" si="48"/>
        <v>0</v>
      </c>
      <c r="AJ75" s="12">
        <f t="shared" si="48"/>
        <v>0</v>
      </c>
      <c r="AK75" s="12">
        <f t="shared" si="48"/>
        <v>0</v>
      </c>
      <c r="AL75" s="12">
        <f t="shared" si="48"/>
        <v>0</v>
      </c>
      <c r="AM75" s="12">
        <f t="shared" si="48"/>
        <v>0</v>
      </c>
      <c r="AN75" s="12">
        <f t="shared" si="48"/>
        <v>0</v>
      </c>
      <c r="AO75" s="12">
        <f t="shared" si="48"/>
        <v>0</v>
      </c>
      <c r="AP75" s="12">
        <f t="shared" si="48"/>
        <v>0</v>
      </c>
      <c r="AQ75" s="12">
        <f t="shared" si="48"/>
        <v>0</v>
      </c>
      <c r="AR75" s="12">
        <f t="shared" si="48"/>
        <v>0</v>
      </c>
      <c r="AS75" s="12">
        <f t="shared" si="48"/>
        <v>0</v>
      </c>
      <c r="AT75" s="12">
        <f t="shared" si="48"/>
        <v>0</v>
      </c>
      <c r="AU75" s="12">
        <f t="shared" si="48"/>
        <v>0</v>
      </c>
      <c r="AV75" s="12">
        <f t="shared" si="48"/>
        <v>0</v>
      </c>
      <c r="AW75" s="12">
        <f t="shared" si="48"/>
        <v>0</v>
      </c>
      <c r="AX75" s="12">
        <f t="shared" si="48"/>
        <v>0</v>
      </c>
      <c r="AY75" s="12">
        <f t="shared" si="48"/>
        <v>0</v>
      </c>
      <c r="AZ75" s="12">
        <f t="shared" si="48"/>
        <v>0</v>
      </c>
      <c r="BA75" s="12">
        <f t="shared" si="48"/>
        <v>0</v>
      </c>
      <c r="BB75" s="12">
        <f t="shared" si="48"/>
        <v>0</v>
      </c>
      <c r="BC75" s="12">
        <f t="shared" si="48"/>
        <v>0</v>
      </c>
      <c r="BD75" s="12">
        <f t="shared" si="48"/>
        <v>0</v>
      </c>
      <c r="BE75" s="12">
        <f t="shared" si="48"/>
        <v>0</v>
      </c>
    </row>
    <row r="76" spans="1:57" hidden="1" outlineLevel="1" x14ac:dyDescent="0.2"/>
    <row r="77" spans="1:57" hidden="1" outlineLevel="1" x14ac:dyDescent="0.2">
      <c r="E77" s="12" t="str">
        <f t="shared" ref="E77:AJ77" si="49" xml:space="preserve"> E$69</f>
        <v>Funding requirement for shareholder loan</v>
      </c>
      <c r="F77" s="12">
        <f t="shared" si="49"/>
        <v>0</v>
      </c>
      <c r="G77" s="12" t="str">
        <f t="shared" si="49"/>
        <v>$ 000s</v>
      </c>
      <c r="H77" s="12">
        <f t="shared" si="49"/>
        <v>336708.10907557519</v>
      </c>
      <c r="I77" s="12">
        <f t="shared" si="49"/>
        <v>0</v>
      </c>
      <c r="J77" s="12">
        <f t="shared" si="49"/>
        <v>0</v>
      </c>
      <c r="K77" s="12">
        <f t="shared" si="49"/>
        <v>0</v>
      </c>
      <c r="L77" s="12">
        <f t="shared" si="49"/>
        <v>0</v>
      </c>
      <c r="M77" s="12">
        <f t="shared" si="49"/>
        <v>14843.424770244494</v>
      </c>
      <c r="N77" s="12">
        <f t="shared" si="49"/>
        <v>11841.327808384644</v>
      </c>
      <c r="O77" s="12">
        <f t="shared" si="49"/>
        <v>11870.259742712651</v>
      </c>
      <c r="P77" s="12">
        <f t="shared" si="49"/>
        <v>11907.687320687248</v>
      </c>
      <c r="Q77" s="12">
        <f t="shared" si="49"/>
        <v>11941.012306690816</v>
      </c>
      <c r="R77" s="12">
        <f t="shared" si="49"/>
        <v>11966.998590891828</v>
      </c>
      <c r="S77" s="12">
        <f t="shared" si="49"/>
        <v>12007.921531555499</v>
      </c>
      <c r="T77" s="12">
        <f t="shared" si="49"/>
        <v>12031.934187437519</v>
      </c>
      <c r="U77" s="12">
        <f t="shared" si="49"/>
        <v>12076.190635536972</v>
      </c>
      <c r="V77" s="12">
        <f t="shared" si="49"/>
        <v>12110.976773522409</v>
      </c>
      <c r="W77" s="12">
        <f t="shared" si="49"/>
        <v>12104.694875399815</v>
      </c>
      <c r="X77" s="12">
        <f t="shared" si="49"/>
        <v>12180.731360946033</v>
      </c>
      <c r="Y77" s="12">
        <f t="shared" si="49"/>
        <v>12199.330047588888</v>
      </c>
      <c r="Z77" s="12">
        <f t="shared" si="49"/>
        <v>12250.959482205111</v>
      </c>
      <c r="AA77" s="12">
        <f t="shared" si="49"/>
        <v>12266.975848549024</v>
      </c>
      <c r="AB77" s="12">
        <f t="shared" si="49"/>
        <v>12321.584756958357</v>
      </c>
      <c r="AC77" s="12">
        <f t="shared" si="49"/>
        <v>12357.077766346292</v>
      </c>
      <c r="AD77" s="12">
        <f t="shared" si="49"/>
        <v>12369.192114605235</v>
      </c>
      <c r="AE77" s="12">
        <f t="shared" si="49"/>
        <v>12428.303160347879</v>
      </c>
      <c r="AF77" s="12">
        <f t="shared" si="49"/>
        <v>12437.798518130739</v>
      </c>
      <c r="AG77" s="12">
        <f t="shared" si="49"/>
        <v>12499.931347612244</v>
      </c>
      <c r="AH77" s="12">
        <f t="shared" si="49"/>
        <v>10545.938094264708</v>
      </c>
      <c r="AI77" s="12">
        <f t="shared" si="49"/>
        <v>10515.623743976959</v>
      </c>
      <c r="AJ77" s="12">
        <f t="shared" si="49"/>
        <v>10606.607093158804</v>
      </c>
      <c r="AK77" s="12">
        <f t="shared" ref="AK77:BE77" si="50" xml:space="preserve"> AK$69</f>
        <v>10604.408171304991</v>
      </c>
      <c r="AL77" s="12">
        <f t="shared" si="50"/>
        <v>10667.706600951156</v>
      </c>
      <c r="AM77" s="12">
        <f t="shared" si="50"/>
        <v>25753.512425564993</v>
      </c>
      <c r="AN77" s="12">
        <f t="shared" si="50"/>
        <v>0</v>
      </c>
      <c r="AO77" s="12">
        <f t="shared" si="50"/>
        <v>0</v>
      </c>
      <c r="AP77" s="12">
        <f t="shared" si="50"/>
        <v>0</v>
      </c>
      <c r="AQ77" s="12">
        <f t="shared" si="50"/>
        <v>0</v>
      </c>
      <c r="AR77" s="12">
        <f t="shared" si="50"/>
        <v>0</v>
      </c>
      <c r="AS77" s="12">
        <f t="shared" si="50"/>
        <v>0</v>
      </c>
      <c r="AT77" s="12">
        <f t="shared" si="50"/>
        <v>0</v>
      </c>
      <c r="AU77" s="12">
        <f t="shared" si="50"/>
        <v>0</v>
      </c>
      <c r="AV77" s="12">
        <f t="shared" si="50"/>
        <v>0</v>
      </c>
      <c r="AW77" s="12">
        <f t="shared" si="50"/>
        <v>0</v>
      </c>
      <c r="AX77" s="12">
        <f t="shared" si="50"/>
        <v>0</v>
      </c>
      <c r="AY77" s="12">
        <f t="shared" si="50"/>
        <v>0</v>
      </c>
      <c r="AZ77" s="12">
        <f t="shared" si="50"/>
        <v>0</v>
      </c>
      <c r="BA77" s="12">
        <f t="shared" si="50"/>
        <v>0</v>
      </c>
      <c r="BB77" s="12">
        <f t="shared" si="50"/>
        <v>0</v>
      </c>
      <c r="BC77" s="12">
        <f t="shared" si="50"/>
        <v>0</v>
      </c>
      <c r="BD77" s="12">
        <f t="shared" si="50"/>
        <v>0</v>
      </c>
      <c r="BE77" s="12">
        <f t="shared" si="50"/>
        <v>0</v>
      </c>
    </row>
    <row r="78" spans="1:57" hidden="1" outlineLevel="1" x14ac:dyDescent="0.2">
      <c r="E78" s="12" t="str">
        <f t="shared" ref="E78:AJ78" si="51" xml:space="preserve"> E$75</f>
        <v>Undrawn shareholder loan</v>
      </c>
      <c r="F78" s="12">
        <f t="shared" si="51"/>
        <v>0</v>
      </c>
      <c r="G78" s="12" t="str">
        <f t="shared" si="51"/>
        <v>$ 000s</v>
      </c>
      <c r="H78" s="12">
        <f t="shared" si="51"/>
        <v>0</v>
      </c>
      <c r="I78" s="12">
        <f t="shared" si="51"/>
        <v>0</v>
      </c>
      <c r="J78" s="12">
        <f t="shared" si="51"/>
        <v>0</v>
      </c>
      <c r="K78" s="12">
        <f t="shared" si="51"/>
        <v>0</v>
      </c>
      <c r="L78" s="12">
        <f t="shared" si="51"/>
        <v>0</v>
      </c>
      <c r="M78" s="12">
        <f t="shared" si="51"/>
        <v>0</v>
      </c>
      <c r="N78" s="12">
        <f t="shared" si="51"/>
        <v>0</v>
      </c>
      <c r="O78" s="12">
        <f t="shared" si="51"/>
        <v>0</v>
      </c>
      <c r="P78" s="12">
        <f t="shared" si="51"/>
        <v>0</v>
      </c>
      <c r="Q78" s="12">
        <f t="shared" si="51"/>
        <v>0</v>
      </c>
      <c r="R78" s="12">
        <f t="shared" si="51"/>
        <v>0</v>
      </c>
      <c r="S78" s="12">
        <f t="shared" si="51"/>
        <v>0</v>
      </c>
      <c r="T78" s="12">
        <f t="shared" si="51"/>
        <v>0</v>
      </c>
      <c r="U78" s="12">
        <f t="shared" si="51"/>
        <v>0</v>
      </c>
      <c r="V78" s="12">
        <f t="shared" si="51"/>
        <v>0</v>
      </c>
      <c r="W78" s="12">
        <f t="shared" si="51"/>
        <v>0</v>
      </c>
      <c r="X78" s="12">
        <f t="shared" si="51"/>
        <v>0</v>
      </c>
      <c r="Y78" s="12">
        <f t="shared" si="51"/>
        <v>0</v>
      </c>
      <c r="Z78" s="12">
        <f t="shared" si="51"/>
        <v>0</v>
      </c>
      <c r="AA78" s="12">
        <f t="shared" si="51"/>
        <v>0</v>
      </c>
      <c r="AB78" s="12">
        <f t="shared" si="51"/>
        <v>0</v>
      </c>
      <c r="AC78" s="12">
        <f t="shared" si="51"/>
        <v>0</v>
      </c>
      <c r="AD78" s="12">
        <f t="shared" si="51"/>
        <v>0</v>
      </c>
      <c r="AE78" s="12">
        <f t="shared" si="51"/>
        <v>0</v>
      </c>
      <c r="AF78" s="12">
        <f t="shared" si="51"/>
        <v>0</v>
      </c>
      <c r="AG78" s="12">
        <f t="shared" si="51"/>
        <v>0</v>
      </c>
      <c r="AH78" s="12">
        <f t="shared" si="51"/>
        <v>0</v>
      </c>
      <c r="AI78" s="12">
        <f t="shared" si="51"/>
        <v>0</v>
      </c>
      <c r="AJ78" s="12">
        <f t="shared" si="51"/>
        <v>0</v>
      </c>
      <c r="AK78" s="12">
        <f t="shared" ref="AK78:BE78" si="52" xml:space="preserve"> AK$75</f>
        <v>0</v>
      </c>
      <c r="AL78" s="12">
        <f t="shared" si="52"/>
        <v>0</v>
      </c>
      <c r="AM78" s="12">
        <f t="shared" si="52"/>
        <v>0</v>
      </c>
      <c r="AN78" s="12">
        <f t="shared" si="52"/>
        <v>0</v>
      </c>
      <c r="AO78" s="12">
        <f t="shared" si="52"/>
        <v>0</v>
      </c>
      <c r="AP78" s="12">
        <f t="shared" si="52"/>
        <v>0</v>
      </c>
      <c r="AQ78" s="12">
        <f t="shared" si="52"/>
        <v>0</v>
      </c>
      <c r="AR78" s="12">
        <f t="shared" si="52"/>
        <v>0</v>
      </c>
      <c r="AS78" s="12">
        <f t="shared" si="52"/>
        <v>0</v>
      </c>
      <c r="AT78" s="12">
        <f t="shared" si="52"/>
        <v>0</v>
      </c>
      <c r="AU78" s="12">
        <f t="shared" si="52"/>
        <v>0</v>
      </c>
      <c r="AV78" s="12">
        <f t="shared" si="52"/>
        <v>0</v>
      </c>
      <c r="AW78" s="12">
        <f t="shared" si="52"/>
        <v>0</v>
      </c>
      <c r="AX78" s="12">
        <f t="shared" si="52"/>
        <v>0</v>
      </c>
      <c r="AY78" s="12">
        <f t="shared" si="52"/>
        <v>0</v>
      </c>
      <c r="AZ78" s="12">
        <f t="shared" si="52"/>
        <v>0</v>
      </c>
      <c r="BA78" s="12">
        <f t="shared" si="52"/>
        <v>0</v>
      </c>
      <c r="BB78" s="12">
        <f t="shared" si="52"/>
        <v>0</v>
      </c>
      <c r="BC78" s="12">
        <f t="shared" si="52"/>
        <v>0</v>
      </c>
      <c r="BD78" s="12">
        <f t="shared" si="52"/>
        <v>0</v>
      </c>
      <c r="BE78" s="12">
        <f t="shared" si="52"/>
        <v>0</v>
      </c>
    </row>
    <row r="79" spans="1:57" s="191" customFormat="1" hidden="1" outlineLevel="1" x14ac:dyDescent="0.2">
      <c r="A79" s="236"/>
      <c r="B79" s="236"/>
      <c r="C79" s="237"/>
      <c r="D79" s="238"/>
      <c r="E79" s="235" t="s">
        <v>562</v>
      </c>
      <c r="F79" s="234"/>
      <c r="G79" s="234" t="str">
        <f xml:space="preserve"> SMU</f>
        <v>$ 000s</v>
      </c>
      <c r="H79" s="234">
        <f xml:space="preserve"> SUM(J79:BE79)</f>
        <v>0</v>
      </c>
      <c r="I79" s="235"/>
      <c r="J79" s="234">
        <f t="shared" ref="J79:BE79" si="53" xml:space="preserve"> MIN(J77:J78)</f>
        <v>0</v>
      </c>
      <c r="K79" s="234">
        <f t="shared" si="53"/>
        <v>0</v>
      </c>
      <c r="L79" s="234">
        <f t="shared" si="53"/>
        <v>0</v>
      </c>
      <c r="M79" s="234">
        <f t="shared" si="53"/>
        <v>0</v>
      </c>
      <c r="N79" s="234">
        <f t="shared" si="53"/>
        <v>0</v>
      </c>
      <c r="O79" s="234">
        <f t="shared" si="53"/>
        <v>0</v>
      </c>
      <c r="P79" s="234">
        <f t="shared" si="53"/>
        <v>0</v>
      </c>
      <c r="Q79" s="234">
        <f t="shared" si="53"/>
        <v>0</v>
      </c>
      <c r="R79" s="234">
        <f t="shared" si="53"/>
        <v>0</v>
      </c>
      <c r="S79" s="234">
        <f t="shared" si="53"/>
        <v>0</v>
      </c>
      <c r="T79" s="234">
        <f t="shared" si="53"/>
        <v>0</v>
      </c>
      <c r="U79" s="234">
        <f t="shared" si="53"/>
        <v>0</v>
      </c>
      <c r="V79" s="234">
        <f t="shared" si="53"/>
        <v>0</v>
      </c>
      <c r="W79" s="234">
        <f t="shared" si="53"/>
        <v>0</v>
      </c>
      <c r="X79" s="234">
        <f t="shared" si="53"/>
        <v>0</v>
      </c>
      <c r="Y79" s="234">
        <f t="shared" si="53"/>
        <v>0</v>
      </c>
      <c r="Z79" s="234">
        <f t="shared" si="53"/>
        <v>0</v>
      </c>
      <c r="AA79" s="234">
        <f t="shared" si="53"/>
        <v>0</v>
      </c>
      <c r="AB79" s="234">
        <f t="shared" si="53"/>
        <v>0</v>
      </c>
      <c r="AC79" s="234">
        <f t="shared" si="53"/>
        <v>0</v>
      </c>
      <c r="AD79" s="234">
        <f t="shared" si="53"/>
        <v>0</v>
      </c>
      <c r="AE79" s="234">
        <f t="shared" si="53"/>
        <v>0</v>
      </c>
      <c r="AF79" s="234">
        <f t="shared" si="53"/>
        <v>0</v>
      </c>
      <c r="AG79" s="234">
        <f t="shared" si="53"/>
        <v>0</v>
      </c>
      <c r="AH79" s="234">
        <f t="shared" si="53"/>
        <v>0</v>
      </c>
      <c r="AI79" s="234">
        <f t="shared" si="53"/>
        <v>0</v>
      </c>
      <c r="AJ79" s="234">
        <f t="shared" si="53"/>
        <v>0</v>
      </c>
      <c r="AK79" s="234">
        <f t="shared" si="53"/>
        <v>0</v>
      </c>
      <c r="AL79" s="234">
        <f t="shared" si="53"/>
        <v>0</v>
      </c>
      <c r="AM79" s="234">
        <f t="shared" si="53"/>
        <v>0</v>
      </c>
      <c r="AN79" s="234">
        <f t="shared" si="53"/>
        <v>0</v>
      </c>
      <c r="AO79" s="234">
        <f t="shared" si="53"/>
        <v>0</v>
      </c>
      <c r="AP79" s="234">
        <f t="shared" si="53"/>
        <v>0</v>
      </c>
      <c r="AQ79" s="234">
        <f t="shared" si="53"/>
        <v>0</v>
      </c>
      <c r="AR79" s="234">
        <f t="shared" si="53"/>
        <v>0</v>
      </c>
      <c r="AS79" s="234">
        <f t="shared" si="53"/>
        <v>0</v>
      </c>
      <c r="AT79" s="234">
        <f t="shared" si="53"/>
        <v>0</v>
      </c>
      <c r="AU79" s="234">
        <f t="shared" si="53"/>
        <v>0</v>
      </c>
      <c r="AV79" s="234">
        <f t="shared" si="53"/>
        <v>0</v>
      </c>
      <c r="AW79" s="234">
        <f t="shared" si="53"/>
        <v>0</v>
      </c>
      <c r="AX79" s="234">
        <f t="shared" si="53"/>
        <v>0</v>
      </c>
      <c r="AY79" s="234">
        <f t="shared" si="53"/>
        <v>0</v>
      </c>
      <c r="AZ79" s="234">
        <f t="shared" si="53"/>
        <v>0</v>
      </c>
      <c r="BA79" s="234">
        <f t="shared" si="53"/>
        <v>0</v>
      </c>
      <c r="BB79" s="234">
        <f t="shared" si="53"/>
        <v>0</v>
      </c>
      <c r="BC79" s="234">
        <f t="shared" si="53"/>
        <v>0</v>
      </c>
      <c r="BD79" s="234">
        <f t="shared" si="53"/>
        <v>0</v>
      </c>
      <c r="BE79" s="234">
        <f t="shared" si="53"/>
        <v>0</v>
      </c>
    </row>
    <row r="80" spans="1:57" hidden="1" outlineLevel="1" x14ac:dyDescent="0.2"/>
    <row r="81" spans="1:57" s="114" customFormat="1" hidden="1" outlineLevel="1" x14ac:dyDescent="0.2">
      <c r="A81" s="522"/>
      <c r="B81" s="522"/>
      <c r="C81" s="523"/>
      <c r="D81" s="524"/>
      <c r="E81" s="668" t="str">
        <f xml:space="preserve"> ConFin!E$217</f>
        <v>Repayment of equity bridge POS</v>
      </c>
      <c r="F81" s="668">
        <f xml:space="preserve"> ConFin!F$217</f>
        <v>0</v>
      </c>
      <c r="G81" s="668" t="str">
        <f xml:space="preserve"> ConFin!G$217</f>
        <v>$ 000s</v>
      </c>
      <c r="H81" s="668">
        <f xml:space="preserve"> ConFin!H$217</f>
        <v>86318.253106861201</v>
      </c>
      <c r="I81" s="668">
        <f xml:space="preserve"> ConFin!I$217</f>
        <v>0</v>
      </c>
      <c r="J81" s="668">
        <f xml:space="preserve"> ConFin!J$217</f>
        <v>0</v>
      </c>
      <c r="K81" s="668">
        <f xml:space="preserve"> ConFin!K$217</f>
        <v>0</v>
      </c>
      <c r="L81" s="668">
        <f xml:space="preserve"> ConFin!L$217</f>
        <v>0</v>
      </c>
      <c r="M81" s="668">
        <f xml:space="preserve"> ConFin!M$217</f>
        <v>0</v>
      </c>
      <c r="N81" s="668">
        <f xml:space="preserve"> ConFin!N$217</f>
        <v>0</v>
      </c>
      <c r="O81" s="668">
        <f xml:space="preserve"> ConFin!O$217</f>
        <v>0</v>
      </c>
      <c r="P81" s="668">
        <f xml:space="preserve"> ConFin!P$217</f>
        <v>0</v>
      </c>
      <c r="Q81" s="668">
        <f xml:space="preserve"> ConFin!Q$217</f>
        <v>0</v>
      </c>
      <c r="R81" s="668">
        <f xml:space="preserve"> ConFin!R$217</f>
        <v>0</v>
      </c>
      <c r="S81" s="668">
        <f xml:space="preserve"> ConFin!S$217</f>
        <v>0</v>
      </c>
      <c r="T81" s="668">
        <f xml:space="preserve"> ConFin!T$217</f>
        <v>0</v>
      </c>
      <c r="U81" s="668">
        <f xml:space="preserve"> ConFin!U$217</f>
        <v>0</v>
      </c>
      <c r="V81" s="668">
        <f xml:space="preserve"> ConFin!V$217</f>
        <v>0</v>
      </c>
      <c r="W81" s="668">
        <f xml:space="preserve"> ConFin!W$217</f>
        <v>0</v>
      </c>
      <c r="X81" s="668">
        <f xml:space="preserve"> ConFin!X$217</f>
        <v>0</v>
      </c>
      <c r="Y81" s="668">
        <f xml:space="preserve"> ConFin!Y$217</f>
        <v>0</v>
      </c>
      <c r="Z81" s="668">
        <f xml:space="preserve"> ConFin!Z$217</f>
        <v>0</v>
      </c>
      <c r="AA81" s="668">
        <f xml:space="preserve"> ConFin!AA$217</f>
        <v>0</v>
      </c>
      <c r="AB81" s="668">
        <f xml:space="preserve"> ConFin!AB$217</f>
        <v>0</v>
      </c>
      <c r="AC81" s="668">
        <f xml:space="preserve"> ConFin!AC$217</f>
        <v>0</v>
      </c>
      <c r="AD81" s="668">
        <f xml:space="preserve"> ConFin!AD$217</f>
        <v>0</v>
      </c>
      <c r="AE81" s="668">
        <f xml:space="preserve"> ConFin!AE$217</f>
        <v>0</v>
      </c>
      <c r="AF81" s="668">
        <f xml:space="preserve"> ConFin!AF$217</f>
        <v>0</v>
      </c>
      <c r="AG81" s="668">
        <f xml:space="preserve"> ConFin!AG$217</f>
        <v>0</v>
      </c>
      <c r="AH81" s="668">
        <f xml:space="preserve"> ConFin!AH$217</f>
        <v>0</v>
      </c>
      <c r="AI81" s="668">
        <f xml:space="preserve"> ConFin!AI$217</f>
        <v>0</v>
      </c>
      <c r="AJ81" s="668">
        <f xml:space="preserve"> ConFin!AJ$217</f>
        <v>0</v>
      </c>
      <c r="AK81" s="668">
        <f xml:space="preserve"> ConFin!AK$217</f>
        <v>0</v>
      </c>
      <c r="AL81" s="668">
        <f xml:space="preserve"> ConFin!AL$217</f>
        <v>0</v>
      </c>
      <c r="AM81" s="668">
        <f xml:space="preserve"> ConFin!AM$217</f>
        <v>86318.253106861201</v>
      </c>
      <c r="AN81" s="668">
        <f xml:space="preserve"> ConFin!AN$217</f>
        <v>0</v>
      </c>
      <c r="AO81" s="668">
        <f xml:space="preserve"> ConFin!AO$217</f>
        <v>0</v>
      </c>
      <c r="AP81" s="668">
        <f xml:space="preserve"> ConFin!AP$217</f>
        <v>0</v>
      </c>
      <c r="AQ81" s="668">
        <f xml:space="preserve"> ConFin!AQ$217</f>
        <v>0</v>
      </c>
      <c r="AR81" s="668">
        <f xml:space="preserve"> ConFin!AR$217</f>
        <v>0</v>
      </c>
      <c r="AS81" s="668">
        <f xml:space="preserve"> ConFin!AS$217</f>
        <v>0</v>
      </c>
      <c r="AT81" s="668">
        <f xml:space="preserve"> ConFin!AT$217</f>
        <v>0</v>
      </c>
      <c r="AU81" s="668">
        <f xml:space="preserve"> ConFin!AU$217</f>
        <v>0</v>
      </c>
      <c r="AV81" s="668">
        <f xml:space="preserve"> ConFin!AV$217</f>
        <v>0</v>
      </c>
      <c r="AW81" s="668">
        <f xml:space="preserve"> ConFin!AW$217</f>
        <v>0</v>
      </c>
      <c r="AX81" s="668">
        <f xml:space="preserve"> ConFin!AX$217</f>
        <v>0</v>
      </c>
      <c r="AY81" s="668">
        <f xml:space="preserve"> ConFin!AY$217</f>
        <v>0</v>
      </c>
      <c r="AZ81" s="668">
        <f xml:space="preserve"> ConFin!AZ$217</f>
        <v>0</v>
      </c>
      <c r="BA81" s="668">
        <f xml:space="preserve"> ConFin!BA$217</f>
        <v>0</v>
      </c>
      <c r="BB81" s="668">
        <f xml:space="preserve"> ConFin!BB$217</f>
        <v>0</v>
      </c>
      <c r="BC81" s="668">
        <f xml:space="preserve"> ConFin!BC$217</f>
        <v>0</v>
      </c>
      <c r="BD81" s="668">
        <f xml:space="preserve"> ConFin!BD$217</f>
        <v>0</v>
      </c>
      <c r="BE81" s="668">
        <f xml:space="preserve"> ConFin!BE$217</f>
        <v>0</v>
      </c>
    </row>
    <row r="82" spans="1:57" s="114" customFormat="1" hidden="1" outlineLevel="1" x14ac:dyDescent="0.2">
      <c r="A82" s="522"/>
      <c r="B82" s="522"/>
      <c r="C82" s="523"/>
      <c r="D82" s="524"/>
      <c r="E82" s="525" t="s">
        <v>511</v>
      </c>
      <c r="F82" s="525"/>
      <c r="G82" s="525" t="str">
        <f xml:space="preserve"> SMU</f>
        <v>$ 000s</v>
      </c>
      <c r="H82" s="525">
        <f xml:space="preserve"> SUM(J82:BE82)</f>
        <v>86318.253106861201</v>
      </c>
      <c r="I82" s="526"/>
      <c r="J82" s="525">
        <f t="shared" ref="J82:BE82" si="54" xml:space="preserve"> J81</f>
        <v>0</v>
      </c>
      <c r="K82" s="525">
        <f t="shared" si="54"/>
        <v>0</v>
      </c>
      <c r="L82" s="525">
        <f t="shared" si="54"/>
        <v>0</v>
      </c>
      <c r="M82" s="525">
        <f t="shared" si="54"/>
        <v>0</v>
      </c>
      <c r="N82" s="525">
        <f t="shared" si="54"/>
        <v>0</v>
      </c>
      <c r="O82" s="525">
        <f t="shared" si="54"/>
        <v>0</v>
      </c>
      <c r="P82" s="525">
        <f t="shared" si="54"/>
        <v>0</v>
      </c>
      <c r="Q82" s="525">
        <f t="shared" si="54"/>
        <v>0</v>
      </c>
      <c r="R82" s="525">
        <f t="shared" si="54"/>
        <v>0</v>
      </c>
      <c r="S82" s="525">
        <f t="shared" si="54"/>
        <v>0</v>
      </c>
      <c r="T82" s="525">
        <f t="shared" si="54"/>
        <v>0</v>
      </c>
      <c r="U82" s="525">
        <f t="shared" si="54"/>
        <v>0</v>
      </c>
      <c r="V82" s="525">
        <f t="shared" si="54"/>
        <v>0</v>
      </c>
      <c r="W82" s="525">
        <f t="shared" si="54"/>
        <v>0</v>
      </c>
      <c r="X82" s="525">
        <f t="shared" si="54"/>
        <v>0</v>
      </c>
      <c r="Y82" s="525">
        <f t="shared" si="54"/>
        <v>0</v>
      </c>
      <c r="Z82" s="525">
        <f t="shared" si="54"/>
        <v>0</v>
      </c>
      <c r="AA82" s="525">
        <f t="shared" si="54"/>
        <v>0</v>
      </c>
      <c r="AB82" s="525">
        <f t="shared" si="54"/>
        <v>0</v>
      </c>
      <c r="AC82" s="525">
        <f t="shared" si="54"/>
        <v>0</v>
      </c>
      <c r="AD82" s="525">
        <f t="shared" si="54"/>
        <v>0</v>
      </c>
      <c r="AE82" s="525">
        <f t="shared" si="54"/>
        <v>0</v>
      </c>
      <c r="AF82" s="525">
        <f t="shared" si="54"/>
        <v>0</v>
      </c>
      <c r="AG82" s="525">
        <f t="shared" si="54"/>
        <v>0</v>
      </c>
      <c r="AH82" s="525">
        <f t="shared" si="54"/>
        <v>0</v>
      </c>
      <c r="AI82" s="525">
        <f t="shared" si="54"/>
        <v>0</v>
      </c>
      <c r="AJ82" s="525">
        <f t="shared" si="54"/>
        <v>0</v>
      </c>
      <c r="AK82" s="525">
        <f t="shared" si="54"/>
        <v>0</v>
      </c>
      <c r="AL82" s="525">
        <f t="shared" si="54"/>
        <v>0</v>
      </c>
      <c r="AM82" s="525">
        <f t="shared" si="54"/>
        <v>86318.253106861201</v>
      </c>
      <c r="AN82" s="525">
        <f t="shared" si="54"/>
        <v>0</v>
      </c>
      <c r="AO82" s="525">
        <f t="shared" si="54"/>
        <v>0</v>
      </c>
      <c r="AP82" s="525">
        <f t="shared" si="54"/>
        <v>0</v>
      </c>
      <c r="AQ82" s="525">
        <f t="shared" si="54"/>
        <v>0</v>
      </c>
      <c r="AR82" s="525">
        <f t="shared" si="54"/>
        <v>0</v>
      </c>
      <c r="AS82" s="525">
        <f t="shared" si="54"/>
        <v>0</v>
      </c>
      <c r="AT82" s="525">
        <f t="shared" si="54"/>
        <v>0</v>
      </c>
      <c r="AU82" s="525">
        <f t="shared" si="54"/>
        <v>0</v>
      </c>
      <c r="AV82" s="525">
        <f t="shared" si="54"/>
        <v>0</v>
      </c>
      <c r="AW82" s="525">
        <f t="shared" si="54"/>
        <v>0</v>
      </c>
      <c r="AX82" s="525">
        <f t="shared" si="54"/>
        <v>0</v>
      </c>
      <c r="AY82" s="525">
        <f t="shared" si="54"/>
        <v>0</v>
      </c>
      <c r="AZ82" s="525">
        <f t="shared" si="54"/>
        <v>0</v>
      </c>
      <c r="BA82" s="525">
        <f t="shared" si="54"/>
        <v>0</v>
      </c>
      <c r="BB82" s="525">
        <f t="shared" si="54"/>
        <v>0</v>
      </c>
      <c r="BC82" s="525">
        <f t="shared" si="54"/>
        <v>0</v>
      </c>
      <c r="BD82" s="525">
        <f t="shared" si="54"/>
        <v>0</v>
      </c>
      <c r="BE82" s="525">
        <f t="shared" si="54"/>
        <v>0</v>
      </c>
    </row>
    <row r="83" spans="1:57" s="114" customFormat="1" hidden="1" outlineLevel="1" x14ac:dyDescent="0.2">
      <c r="A83" s="522"/>
      <c r="B83" s="522"/>
      <c r="C83" s="523"/>
      <c r="D83" s="524"/>
      <c r="E83" s="525"/>
      <c r="F83" s="525"/>
      <c r="G83" s="525"/>
      <c r="H83" s="525"/>
      <c r="I83" s="526"/>
      <c r="J83" s="525"/>
      <c r="K83" s="525"/>
      <c r="L83" s="525"/>
      <c r="M83" s="525"/>
      <c r="N83" s="525"/>
      <c r="O83" s="525"/>
      <c r="P83" s="525"/>
      <c r="Q83" s="525"/>
      <c r="R83" s="525"/>
      <c r="S83" s="525"/>
      <c r="T83" s="525"/>
      <c r="U83" s="525"/>
      <c r="V83" s="525"/>
      <c r="W83" s="525"/>
      <c r="X83" s="525"/>
      <c r="Y83" s="525"/>
      <c r="Z83" s="525"/>
      <c r="AA83" s="525"/>
      <c r="AB83" s="525"/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</row>
    <row r="84" spans="1:57" s="114" customFormat="1" hidden="1" outlineLevel="1" x14ac:dyDescent="0.2">
      <c r="A84" s="522"/>
      <c r="B84" s="522"/>
      <c r="C84" s="523"/>
      <c r="D84" s="524"/>
      <c r="E84" s="525" t="str">
        <f t="shared" ref="E84:AJ84" si="55" xml:space="preserve"> E82</f>
        <v>Shareholder loan drawdown for EBL repayment - m</v>
      </c>
      <c r="F84" s="525">
        <f t="shared" si="55"/>
        <v>0</v>
      </c>
      <c r="G84" s="525" t="str">
        <f t="shared" si="55"/>
        <v>$ 000s</v>
      </c>
      <c r="H84" s="525">
        <f t="shared" si="55"/>
        <v>86318.253106861201</v>
      </c>
      <c r="I84" s="525">
        <f t="shared" si="55"/>
        <v>0</v>
      </c>
      <c r="J84" s="525">
        <f t="shared" si="55"/>
        <v>0</v>
      </c>
      <c r="K84" s="525">
        <f t="shared" si="55"/>
        <v>0</v>
      </c>
      <c r="L84" s="525">
        <f t="shared" si="55"/>
        <v>0</v>
      </c>
      <c r="M84" s="525">
        <f t="shared" si="55"/>
        <v>0</v>
      </c>
      <c r="N84" s="525">
        <f t="shared" si="55"/>
        <v>0</v>
      </c>
      <c r="O84" s="525">
        <f t="shared" si="55"/>
        <v>0</v>
      </c>
      <c r="P84" s="525">
        <f t="shared" si="55"/>
        <v>0</v>
      </c>
      <c r="Q84" s="525">
        <f t="shared" si="55"/>
        <v>0</v>
      </c>
      <c r="R84" s="525">
        <f t="shared" si="55"/>
        <v>0</v>
      </c>
      <c r="S84" s="525">
        <f t="shared" si="55"/>
        <v>0</v>
      </c>
      <c r="T84" s="525">
        <f t="shared" si="55"/>
        <v>0</v>
      </c>
      <c r="U84" s="525">
        <f t="shared" si="55"/>
        <v>0</v>
      </c>
      <c r="V84" s="525">
        <f t="shared" si="55"/>
        <v>0</v>
      </c>
      <c r="W84" s="525">
        <f t="shared" si="55"/>
        <v>0</v>
      </c>
      <c r="X84" s="525">
        <f t="shared" si="55"/>
        <v>0</v>
      </c>
      <c r="Y84" s="525">
        <f t="shared" si="55"/>
        <v>0</v>
      </c>
      <c r="Z84" s="525">
        <f t="shared" si="55"/>
        <v>0</v>
      </c>
      <c r="AA84" s="525">
        <f t="shared" si="55"/>
        <v>0</v>
      </c>
      <c r="AB84" s="525">
        <f t="shared" si="55"/>
        <v>0</v>
      </c>
      <c r="AC84" s="525">
        <f t="shared" si="55"/>
        <v>0</v>
      </c>
      <c r="AD84" s="525">
        <f t="shared" si="55"/>
        <v>0</v>
      </c>
      <c r="AE84" s="525">
        <f t="shared" si="55"/>
        <v>0</v>
      </c>
      <c r="AF84" s="525">
        <f t="shared" si="55"/>
        <v>0</v>
      </c>
      <c r="AG84" s="525">
        <f t="shared" si="55"/>
        <v>0</v>
      </c>
      <c r="AH84" s="525">
        <f t="shared" si="55"/>
        <v>0</v>
      </c>
      <c r="AI84" s="525">
        <f t="shared" si="55"/>
        <v>0</v>
      </c>
      <c r="AJ84" s="525">
        <f t="shared" si="55"/>
        <v>0</v>
      </c>
      <c r="AK84" s="525">
        <f t="shared" ref="AK84:BE84" si="56" xml:space="preserve"> AK82</f>
        <v>0</v>
      </c>
      <c r="AL84" s="525">
        <f t="shared" si="56"/>
        <v>0</v>
      </c>
      <c r="AM84" s="525">
        <f t="shared" si="56"/>
        <v>86318.253106861201</v>
      </c>
      <c r="AN84" s="525">
        <f t="shared" si="56"/>
        <v>0</v>
      </c>
      <c r="AO84" s="525">
        <f t="shared" si="56"/>
        <v>0</v>
      </c>
      <c r="AP84" s="525">
        <f t="shared" si="56"/>
        <v>0</v>
      </c>
      <c r="AQ84" s="525">
        <f t="shared" si="56"/>
        <v>0</v>
      </c>
      <c r="AR84" s="525">
        <f t="shared" si="56"/>
        <v>0</v>
      </c>
      <c r="AS84" s="525">
        <f t="shared" si="56"/>
        <v>0</v>
      </c>
      <c r="AT84" s="525">
        <f t="shared" si="56"/>
        <v>0</v>
      </c>
      <c r="AU84" s="525">
        <f t="shared" si="56"/>
        <v>0</v>
      </c>
      <c r="AV84" s="525">
        <f t="shared" si="56"/>
        <v>0</v>
      </c>
      <c r="AW84" s="525">
        <f t="shared" si="56"/>
        <v>0</v>
      </c>
      <c r="AX84" s="525">
        <f t="shared" si="56"/>
        <v>0</v>
      </c>
      <c r="AY84" s="525">
        <f t="shared" si="56"/>
        <v>0</v>
      </c>
      <c r="AZ84" s="525">
        <f t="shared" si="56"/>
        <v>0</v>
      </c>
      <c r="BA84" s="525">
        <f t="shared" si="56"/>
        <v>0</v>
      </c>
      <c r="BB84" s="525">
        <f t="shared" si="56"/>
        <v>0</v>
      </c>
      <c r="BC84" s="525">
        <f t="shared" si="56"/>
        <v>0</v>
      </c>
      <c r="BD84" s="525">
        <f t="shared" si="56"/>
        <v>0</v>
      </c>
      <c r="BE84" s="525">
        <f t="shared" si="56"/>
        <v>0</v>
      </c>
    </row>
    <row r="85" spans="1:57" s="114" customFormat="1" hidden="1" outlineLevel="1" x14ac:dyDescent="0.2">
      <c r="A85" s="522"/>
      <c r="B85" s="522"/>
      <c r="C85" s="523"/>
      <c r="D85" s="524"/>
      <c r="E85" s="525" t="str">
        <f xml:space="preserve"> ConFin!E79</f>
        <v>Shareholder loan drawdown excluding EBL repayment - m</v>
      </c>
      <c r="F85" s="525">
        <f xml:space="preserve"> ConFin!F79</f>
        <v>0</v>
      </c>
      <c r="G85" s="525" t="str">
        <f xml:space="preserve"> ConFin!G79</f>
        <v>$ 000s</v>
      </c>
      <c r="H85" s="525">
        <f xml:space="preserve"> ConFin!H79</f>
        <v>0</v>
      </c>
      <c r="I85" s="525">
        <f xml:space="preserve"> ConFin!I79</f>
        <v>0</v>
      </c>
      <c r="J85" s="525">
        <f xml:space="preserve"> ConFin!J79</f>
        <v>0</v>
      </c>
      <c r="K85" s="525">
        <f xml:space="preserve"> ConFin!K79</f>
        <v>0</v>
      </c>
      <c r="L85" s="525">
        <f xml:space="preserve"> ConFin!L79</f>
        <v>0</v>
      </c>
      <c r="M85" s="525">
        <f xml:space="preserve"> ConFin!M79</f>
        <v>0</v>
      </c>
      <c r="N85" s="525">
        <f xml:space="preserve"> ConFin!N79</f>
        <v>0</v>
      </c>
      <c r="O85" s="525">
        <f xml:space="preserve"> ConFin!O79</f>
        <v>0</v>
      </c>
      <c r="P85" s="525">
        <f xml:space="preserve"> ConFin!P79</f>
        <v>0</v>
      </c>
      <c r="Q85" s="525">
        <f xml:space="preserve"> ConFin!Q79</f>
        <v>0</v>
      </c>
      <c r="R85" s="525">
        <f xml:space="preserve"> ConFin!R79</f>
        <v>0</v>
      </c>
      <c r="S85" s="525">
        <f xml:space="preserve"> ConFin!S79</f>
        <v>0</v>
      </c>
      <c r="T85" s="525">
        <f xml:space="preserve"> ConFin!T79</f>
        <v>0</v>
      </c>
      <c r="U85" s="525">
        <f xml:space="preserve"> ConFin!U79</f>
        <v>0</v>
      </c>
      <c r="V85" s="525">
        <f xml:space="preserve"> ConFin!V79</f>
        <v>0</v>
      </c>
      <c r="W85" s="525">
        <f xml:space="preserve"> ConFin!W79</f>
        <v>0</v>
      </c>
      <c r="X85" s="525">
        <f xml:space="preserve"> ConFin!X79</f>
        <v>0</v>
      </c>
      <c r="Y85" s="525">
        <f xml:space="preserve"> ConFin!Y79</f>
        <v>0</v>
      </c>
      <c r="Z85" s="525">
        <f xml:space="preserve"> ConFin!Z79</f>
        <v>0</v>
      </c>
      <c r="AA85" s="525">
        <f xml:space="preserve"> ConFin!AA79</f>
        <v>0</v>
      </c>
      <c r="AB85" s="525">
        <f xml:space="preserve"> ConFin!AB79</f>
        <v>0</v>
      </c>
      <c r="AC85" s="525">
        <f xml:space="preserve"> ConFin!AC79</f>
        <v>0</v>
      </c>
      <c r="AD85" s="525">
        <f xml:space="preserve"> ConFin!AD79</f>
        <v>0</v>
      </c>
      <c r="AE85" s="525">
        <f xml:space="preserve"> ConFin!AE79</f>
        <v>0</v>
      </c>
      <c r="AF85" s="525">
        <f xml:space="preserve"> ConFin!AF79</f>
        <v>0</v>
      </c>
      <c r="AG85" s="525">
        <f xml:space="preserve"> ConFin!AG79</f>
        <v>0</v>
      </c>
      <c r="AH85" s="525">
        <f xml:space="preserve"> ConFin!AH79</f>
        <v>0</v>
      </c>
      <c r="AI85" s="525">
        <f xml:space="preserve"> ConFin!AI79</f>
        <v>0</v>
      </c>
      <c r="AJ85" s="525">
        <f xml:space="preserve"> ConFin!AJ79</f>
        <v>0</v>
      </c>
      <c r="AK85" s="525">
        <f xml:space="preserve"> ConFin!AK79</f>
        <v>0</v>
      </c>
      <c r="AL85" s="525">
        <f xml:space="preserve"> ConFin!AL79</f>
        <v>0</v>
      </c>
      <c r="AM85" s="525">
        <f xml:space="preserve"> ConFin!AM79</f>
        <v>0</v>
      </c>
      <c r="AN85" s="525">
        <f xml:space="preserve"> ConFin!AN79</f>
        <v>0</v>
      </c>
      <c r="AO85" s="525">
        <f xml:space="preserve"> ConFin!AO79</f>
        <v>0</v>
      </c>
      <c r="AP85" s="525">
        <f xml:space="preserve"> ConFin!AP79</f>
        <v>0</v>
      </c>
      <c r="AQ85" s="525">
        <f xml:space="preserve"> ConFin!AQ79</f>
        <v>0</v>
      </c>
      <c r="AR85" s="525">
        <f xml:space="preserve"> ConFin!AR79</f>
        <v>0</v>
      </c>
      <c r="AS85" s="525">
        <f xml:space="preserve"> ConFin!AS79</f>
        <v>0</v>
      </c>
      <c r="AT85" s="525">
        <f xml:space="preserve"> ConFin!AT79</f>
        <v>0</v>
      </c>
      <c r="AU85" s="525">
        <f xml:space="preserve"> ConFin!AU79</f>
        <v>0</v>
      </c>
      <c r="AV85" s="525">
        <f xml:space="preserve"> ConFin!AV79</f>
        <v>0</v>
      </c>
      <c r="AW85" s="525">
        <f xml:space="preserve"> ConFin!AW79</f>
        <v>0</v>
      </c>
      <c r="AX85" s="525">
        <f xml:space="preserve"> ConFin!AX79</f>
        <v>0</v>
      </c>
      <c r="AY85" s="525">
        <f xml:space="preserve"> ConFin!AY79</f>
        <v>0</v>
      </c>
      <c r="AZ85" s="525">
        <f xml:space="preserve"> ConFin!AZ79</f>
        <v>0</v>
      </c>
      <c r="BA85" s="525">
        <f xml:space="preserve"> ConFin!BA79</f>
        <v>0</v>
      </c>
      <c r="BB85" s="525">
        <f xml:space="preserve"> ConFin!BB79</f>
        <v>0</v>
      </c>
      <c r="BC85" s="525">
        <f xml:space="preserve"> ConFin!BC79</f>
        <v>0</v>
      </c>
      <c r="BD85" s="525">
        <f xml:space="preserve"> ConFin!BD79</f>
        <v>0</v>
      </c>
      <c r="BE85" s="525">
        <f xml:space="preserve"> ConFin!BE79</f>
        <v>0</v>
      </c>
    </row>
    <row r="86" spans="1:57" s="757" customFormat="1" hidden="1" outlineLevel="1" x14ac:dyDescent="0.2">
      <c r="A86" s="527"/>
      <c r="B86" s="527"/>
      <c r="C86" s="528"/>
      <c r="D86" s="529"/>
      <c r="E86" s="761" t="s">
        <v>512</v>
      </c>
      <c r="F86" s="761"/>
      <c r="G86" s="761" t="str">
        <f xml:space="preserve"> SMU</f>
        <v>$ 000s</v>
      </c>
      <c r="H86" s="761">
        <f xml:space="preserve"> SUM(J86:BE86)</f>
        <v>86318.253106861201</v>
      </c>
      <c r="I86" s="872"/>
      <c r="J86" s="761">
        <f t="shared" ref="J86:BE86" si="57">SUM(J84:J85)</f>
        <v>0</v>
      </c>
      <c r="K86" s="761">
        <f t="shared" si="57"/>
        <v>0</v>
      </c>
      <c r="L86" s="761">
        <f t="shared" si="57"/>
        <v>0</v>
      </c>
      <c r="M86" s="761">
        <f t="shared" si="57"/>
        <v>0</v>
      </c>
      <c r="N86" s="761">
        <f t="shared" si="57"/>
        <v>0</v>
      </c>
      <c r="O86" s="761">
        <f t="shared" si="57"/>
        <v>0</v>
      </c>
      <c r="P86" s="761">
        <f t="shared" si="57"/>
        <v>0</v>
      </c>
      <c r="Q86" s="761">
        <f t="shared" si="57"/>
        <v>0</v>
      </c>
      <c r="R86" s="761">
        <f t="shared" si="57"/>
        <v>0</v>
      </c>
      <c r="S86" s="761">
        <f t="shared" si="57"/>
        <v>0</v>
      </c>
      <c r="T86" s="761">
        <f t="shared" si="57"/>
        <v>0</v>
      </c>
      <c r="U86" s="761">
        <f t="shared" si="57"/>
        <v>0</v>
      </c>
      <c r="V86" s="761">
        <f t="shared" si="57"/>
        <v>0</v>
      </c>
      <c r="W86" s="761">
        <f t="shared" si="57"/>
        <v>0</v>
      </c>
      <c r="X86" s="761">
        <f t="shared" si="57"/>
        <v>0</v>
      </c>
      <c r="Y86" s="761">
        <f t="shared" si="57"/>
        <v>0</v>
      </c>
      <c r="Z86" s="761">
        <f t="shared" si="57"/>
        <v>0</v>
      </c>
      <c r="AA86" s="761">
        <f t="shared" si="57"/>
        <v>0</v>
      </c>
      <c r="AB86" s="761">
        <f t="shared" si="57"/>
        <v>0</v>
      </c>
      <c r="AC86" s="761">
        <f t="shared" si="57"/>
        <v>0</v>
      </c>
      <c r="AD86" s="761">
        <f t="shared" si="57"/>
        <v>0</v>
      </c>
      <c r="AE86" s="761">
        <f t="shared" si="57"/>
        <v>0</v>
      </c>
      <c r="AF86" s="761">
        <f t="shared" si="57"/>
        <v>0</v>
      </c>
      <c r="AG86" s="761">
        <f t="shared" si="57"/>
        <v>0</v>
      </c>
      <c r="AH86" s="761">
        <f t="shared" si="57"/>
        <v>0</v>
      </c>
      <c r="AI86" s="761">
        <f t="shared" si="57"/>
        <v>0</v>
      </c>
      <c r="AJ86" s="761">
        <f t="shared" si="57"/>
        <v>0</v>
      </c>
      <c r="AK86" s="761">
        <f t="shared" si="57"/>
        <v>0</v>
      </c>
      <c r="AL86" s="761">
        <f t="shared" si="57"/>
        <v>0</v>
      </c>
      <c r="AM86" s="761">
        <f t="shared" si="57"/>
        <v>86318.253106861201</v>
      </c>
      <c r="AN86" s="761">
        <f t="shared" si="57"/>
        <v>0</v>
      </c>
      <c r="AO86" s="761">
        <f t="shared" si="57"/>
        <v>0</v>
      </c>
      <c r="AP86" s="761">
        <f t="shared" si="57"/>
        <v>0</v>
      </c>
      <c r="AQ86" s="761">
        <f t="shared" si="57"/>
        <v>0</v>
      </c>
      <c r="AR86" s="761">
        <f t="shared" si="57"/>
        <v>0</v>
      </c>
      <c r="AS86" s="761">
        <f t="shared" si="57"/>
        <v>0</v>
      </c>
      <c r="AT86" s="761">
        <f t="shared" si="57"/>
        <v>0</v>
      </c>
      <c r="AU86" s="761">
        <f t="shared" si="57"/>
        <v>0</v>
      </c>
      <c r="AV86" s="761">
        <f t="shared" si="57"/>
        <v>0</v>
      </c>
      <c r="AW86" s="761">
        <f t="shared" si="57"/>
        <v>0</v>
      </c>
      <c r="AX86" s="761">
        <f t="shared" si="57"/>
        <v>0</v>
      </c>
      <c r="AY86" s="761">
        <f t="shared" si="57"/>
        <v>0</v>
      </c>
      <c r="AZ86" s="761">
        <f t="shared" si="57"/>
        <v>0</v>
      </c>
      <c r="BA86" s="761">
        <f t="shared" si="57"/>
        <v>0</v>
      </c>
      <c r="BB86" s="761">
        <f t="shared" si="57"/>
        <v>0</v>
      </c>
      <c r="BC86" s="761">
        <f t="shared" si="57"/>
        <v>0</v>
      </c>
      <c r="BD86" s="761">
        <f t="shared" si="57"/>
        <v>0</v>
      </c>
      <c r="BE86" s="761">
        <f t="shared" si="57"/>
        <v>0</v>
      </c>
    </row>
    <row r="87" spans="1:57" hidden="1" outlineLevel="1" x14ac:dyDescent="0.2"/>
    <row r="88" spans="1:57" hidden="1" outlineLevel="1" x14ac:dyDescent="0.2">
      <c r="E88" s="219" t="s">
        <v>339</v>
      </c>
      <c r="F88" s="219"/>
      <c r="G88" s="219" t="str">
        <f xml:space="preserve"> SMU</f>
        <v>$ 000s</v>
      </c>
      <c r="H88" s="219"/>
      <c r="I88" s="220"/>
      <c r="J88" s="219">
        <f t="shared" ref="J88" si="58" xml:space="preserve"> I90</f>
        <v>0</v>
      </c>
      <c r="K88" s="219">
        <f t="shared" ref="K88" si="59" xml:space="preserve"> J90</f>
        <v>0</v>
      </c>
      <c r="L88" s="219">
        <f t="shared" ref="L88" si="60" xml:space="preserve"> K90</f>
        <v>0</v>
      </c>
      <c r="M88" s="219">
        <f t="shared" ref="M88" si="61" xml:space="preserve"> L90</f>
        <v>0</v>
      </c>
      <c r="N88" s="219">
        <f t="shared" ref="N88" si="62" xml:space="preserve"> M90</f>
        <v>0</v>
      </c>
      <c r="O88" s="219">
        <f t="shared" ref="O88:BE88" si="63" xml:space="preserve"> N90</f>
        <v>0</v>
      </c>
      <c r="P88" s="219">
        <f t="shared" si="63"/>
        <v>0</v>
      </c>
      <c r="Q88" s="219">
        <f t="shared" si="63"/>
        <v>0</v>
      </c>
      <c r="R88" s="219">
        <f t="shared" si="63"/>
        <v>0</v>
      </c>
      <c r="S88" s="219">
        <f t="shared" si="63"/>
        <v>0</v>
      </c>
      <c r="T88" s="219">
        <f t="shared" si="63"/>
        <v>0</v>
      </c>
      <c r="U88" s="219">
        <f t="shared" si="63"/>
        <v>0</v>
      </c>
      <c r="V88" s="219">
        <f t="shared" si="63"/>
        <v>0</v>
      </c>
      <c r="W88" s="219">
        <f t="shared" si="63"/>
        <v>0</v>
      </c>
      <c r="X88" s="219">
        <f t="shared" si="63"/>
        <v>0</v>
      </c>
      <c r="Y88" s="219">
        <f t="shared" si="63"/>
        <v>0</v>
      </c>
      <c r="Z88" s="219">
        <f t="shared" si="63"/>
        <v>0</v>
      </c>
      <c r="AA88" s="219">
        <f t="shared" si="63"/>
        <v>0</v>
      </c>
      <c r="AB88" s="219">
        <f t="shared" si="63"/>
        <v>0</v>
      </c>
      <c r="AC88" s="219">
        <f t="shared" si="63"/>
        <v>0</v>
      </c>
      <c r="AD88" s="219">
        <f t="shared" si="63"/>
        <v>0</v>
      </c>
      <c r="AE88" s="219">
        <f t="shared" si="63"/>
        <v>0</v>
      </c>
      <c r="AF88" s="219">
        <f t="shared" si="63"/>
        <v>0</v>
      </c>
      <c r="AG88" s="219">
        <f t="shared" si="63"/>
        <v>0</v>
      </c>
      <c r="AH88" s="219">
        <f t="shared" si="63"/>
        <v>0</v>
      </c>
      <c r="AI88" s="219">
        <f t="shared" si="63"/>
        <v>0</v>
      </c>
      <c r="AJ88" s="219">
        <f t="shared" si="63"/>
        <v>0</v>
      </c>
      <c r="AK88" s="219">
        <f t="shared" si="63"/>
        <v>0</v>
      </c>
      <c r="AL88" s="219">
        <f t="shared" si="63"/>
        <v>0</v>
      </c>
      <c r="AM88" s="219">
        <f t="shared" si="63"/>
        <v>0</v>
      </c>
      <c r="AN88" s="219">
        <f t="shared" si="63"/>
        <v>86318.253106861201</v>
      </c>
      <c r="AO88" s="219">
        <f t="shared" si="63"/>
        <v>86318.253106861201</v>
      </c>
      <c r="AP88" s="219">
        <f t="shared" si="63"/>
        <v>86318.253106861201</v>
      </c>
      <c r="AQ88" s="219">
        <f t="shared" si="63"/>
        <v>86318.253106861201</v>
      </c>
      <c r="AR88" s="219">
        <f t="shared" si="63"/>
        <v>86318.253106861201</v>
      </c>
      <c r="AS88" s="219">
        <f t="shared" si="63"/>
        <v>86318.253106861201</v>
      </c>
      <c r="AT88" s="219">
        <f t="shared" si="63"/>
        <v>86318.253106861201</v>
      </c>
      <c r="AU88" s="219">
        <f t="shared" si="63"/>
        <v>86318.253106861201</v>
      </c>
      <c r="AV88" s="219">
        <f t="shared" si="63"/>
        <v>86318.253106861201</v>
      </c>
      <c r="AW88" s="219">
        <f t="shared" si="63"/>
        <v>86318.253106861201</v>
      </c>
      <c r="AX88" s="219">
        <f t="shared" si="63"/>
        <v>86318.253106861201</v>
      </c>
      <c r="AY88" s="219">
        <f t="shared" si="63"/>
        <v>86318.253106861201</v>
      </c>
      <c r="AZ88" s="219">
        <f t="shared" si="63"/>
        <v>86318.253106861201</v>
      </c>
      <c r="BA88" s="219">
        <f t="shared" si="63"/>
        <v>86318.253106861201</v>
      </c>
      <c r="BB88" s="219">
        <f t="shared" si="63"/>
        <v>86318.253106861201</v>
      </c>
      <c r="BC88" s="219">
        <f t="shared" si="63"/>
        <v>86318.253106861201</v>
      </c>
      <c r="BD88" s="219">
        <f t="shared" si="63"/>
        <v>86318.253106861201</v>
      </c>
      <c r="BE88" s="219">
        <f t="shared" si="63"/>
        <v>86318.253106861201</v>
      </c>
    </row>
    <row r="89" spans="1:57" s="495" customFormat="1" hidden="1" outlineLevel="1" x14ac:dyDescent="0.2">
      <c r="A89" s="15"/>
      <c r="B89" s="15"/>
      <c r="C89" s="21"/>
      <c r="D89" s="48"/>
      <c r="E89" s="38" t="str">
        <f t="shared" ref="E89:AJ89" si="64" xml:space="preserve"> E$86</f>
        <v>Shareholder drawdown - m</v>
      </c>
      <c r="F89" s="38">
        <f t="shared" si="64"/>
        <v>0</v>
      </c>
      <c r="G89" s="38" t="str">
        <f t="shared" si="64"/>
        <v>$ 000s</v>
      </c>
      <c r="H89" s="38">
        <f t="shared" si="64"/>
        <v>86318.253106861201</v>
      </c>
      <c r="I89" s="38">
        <f t="shared" si="64"/>
        <v>0</v>
      </c>
      <c r="J89" s="38">
        <f t="shared" si="64"/>
        <v>0</v>
      </c>
      <c r="K89" s="38">
        <f t="shared" si="64"/>
        <v>0</v>
      </c>
      <c r="L89" s="38">
        <f t="shared" si="64"/>
        <v>0</v>
      </c>
      <c r="M89" s="38">
        <f t="shared" si="64"/>
        <v>0</v>
      </c>
      <c r="N89" s="38">
        <f t="shared" si="64"/>
        <v>0</v>
      </c>
      <c r="O89" s="38">
        <f t="shared" si="64"/>
        <v>0</v>
      </c>
      <c r="P89" s="38">
        <f t="shared" si="64"/>
        <v>0</v>
      </c>
      <c r="Q89" s="38">
        <f t="shared" si="64"/>
        <v>0</v>
      </c>
      <c r="R89" s="38">
        <f t="shared" si="64"/>
        <v>0</v>
      </c>
      <c r="S89" s="38">
        <f t="shared" si="64"/>
        <v>0</v>
      </c>
      <c r="T89" s="38">
        <f t="shared" si="64"/>
        <v>0</v>
      </c>
      <c r="U89" s="38">
        <f t="shared" si="64"/>
        <v>0</v>
      </c>
      <c r="V89" s="38">
        <f t="shared" si="64"/>
        <v>0</v>
      </c>
      <c r="W89" s="38">
        <f t="shared" si="64"/>
        <v>0</v>
      </c>
      <c r="X89" s="38">
        <f t="shared" si="64"/>
        <v>0</v>
      </c>
      <c r="Y89" s="38">
        <f t="shared" si="64"/>
        <v>0</v>
      </c>
      <c r="Z89" s="38">
        <f t="shared" si="64"/>
        <v>0</v>
      </c>
      <c r="AA89" s="38">
        <f t="shared" si="64"/>
        <v>0</v>
      </c>
      <c r="AB89" s="38">
        <f t="shared" si="64"/>
        <v>0</v>
      </c>
      <c r="AC89" s="38">
        <f t="shared" si="64"/>
        <v>0</v>
      </c>
      <c r="AD89" s="38">
        <f t="shared" si="64"/>
        <v>0</v>
      </c>
      <c r="AE89" s="38">
        <f t="shared" si="64"/>
        <v>0</v>
      </c>
      <c r="AF89" s="38">
        <f t="shared" si="64"/>
        <v>0</v>
      </c>
      <c r="AG89" s="38">
        <f t="shared" si="64"/>
        <v>0</v>
      </c>
      <c r="AH89" s="38">
        <f t="shared" si="64"/>
        <v>0</v>
      </c>
      <c r="AI89" s="38">
        <f t="shared" si="64"/>
        <v>0</v>
      </c>
      <c r="AJ89" s="38">
        <f t="shared" si="64"/>
        <v>0</v>
      </c>
      <c r="AK89" s="38">
        <f t="shared" ref="AK89:BE89" si="65" xml:space="preserve"> AK$86</f>
        <v>0</v>
      </c>
      <c r="AL89" s="38">
        <f t="shared" si="65"/>
        <v>0</v>
      </c>
      <c r="AM89" s="38">
        <f t="shared" si="65"/>
        <v>86318.253106861201</v>
      </c>
      <c r="AN89" s="38">
        <f t="shared" si="65"/>
        <v>0</v>
      </c>
      <c r="AO89" s="38">
        <f t="shared" si="65"/>
        <v>0</v>
      </c>
      <c r="AP89" s="38">
        <f t="shared" si="65"/>
        <v>0</v>
      </c>
      <c r="AQ89" s="38">
        <f t="shared" si="65"/>
        <v>0</v>
      </c>
      <c r="AR89" s="38">
        <f t="shared" si="65"/>
        <v>0</v>
      </c>
      <c r="AS89" s="38">
        <f t="shared" si="65"/>
        <v>0</v>
      </c>
      <c r="AT89" s="38">
        <f t="shared" si="65"/>
        <v>0</v>
      </c>
      <c r="AU89" s="38">
        <f t="shared" si="65"/>
        <v>0</v>
      </c>
      <c r="AV89" s="38">
        <f t="shared" si="65"/>
        <v>0</v>
      </c>
      <c r="AW89" s="38">
        <f t="shared" si="65"/>
        <v>0</v>
      </c>
      <c r="AX89" s="38">
        <f t="shared" si="65"/>
        <v>0</v>
      </c>
      <c r="AY89" s="38">
        <f t="shared" si="65"/>
        <v>0</v>
      </c>
      <c r="AZ89" s="38">
        <f t="shared" si="65"/>
        <v>0</v>
      </c>
      <c r="BA89" s="38">
        <f t="shared" si="65"/>
        <v>0</v>
      </c>
      <c r="BB89" s="38">
        <f t="shared" si="65"/>
        <v>0</v>
      </c>
      <c r="BC89" s="38">
        <f t="shared" si="65"/>
        <v>0</v>
      </c>
      <c r="BD89" s="38">
        <f t="shared" si="65"/>
        <v>0</v>
      </c>
      <c r="BE89" s="38">
        <f t="shared" si="65"/>
        <v>0</v>
      </c>
    </row>
    <row r="90" spans="1:57" hidden="1" outlineLevel="1" x14ac:dyDescent="0.2">
      <c r="E90" s="224" t="s">
        <v>340</v>
      </c>
      <c r="F90" s="224"/>
      <c r="G90" s="224" t="str">
        <f xml:space="preserve"> SMU</f>
        <v>$ 000s</v>
      </c>
      <c r="H90" s="224"/>
      <c r="I90" s="225"/>
      <c r="J90" s="224">
        <f t="shared" ref="J90:BE90" si="66" xml:space="preserve"> J88 + J89</f>
        <v>0</v>
      </c>
      <c r="K90" s="224">
        <f t="shared" si="66"/>
        <v>0</v>
      </c>
      <c r="L90" s="224">
        <f t="shared" si="66"/>
        <v>0</v>
      </c>
      <c r="M90" s="224">
        <f t="shared" si="66"/>
        <v>0</v>
      </c>
      <c r="N90" s="224">
        <f t="shared" si="66"/>
        <v>0</v>
      </c>
      <c r="O90" s="224">
        <f t="shared" si="66"/>
        <v>0</v>
      </c>
      <c r="P90" s="224">
        <f t="shared" si="66"/>
        <v>0</v>
      </c>
      <c r="Q90" s="224">
        <f t="shared" si="66"/>
        <v>0</v>
      </c>
      <c r="R90" s="224">
        <f t="shared" si="66"/>
        <v>0</v>
      </c>
      <c r="S90" s="224">
        <f t="shared" si="66"/>
        <v>0</v>
      </c>
      <c r="T90" s="224">
        <f t="shared" si="66"/>
        <v>0</v>
      </c>
      <c r="U90" s="224">
        <f t="shared" si="66"/>
        <v>0</v>
      </c>
      <c r="V90" s="224">
        <f t="shared" si="66"/>
        <v>0</v>
      </c>
      <c r="W90" s="224">
        <f t="shared" si="66"/>
        <v>0</v>
      </c>
      <c r="X90" s="224">
        <f t="shared" si="66"/>
        <v>0</v>
      </c>
      <c r="Y90" s="224">
        <f t="shared" si="66"/>
        <v>0</v>
      </c>
      <c r="Z90" s="224">
        <f t="shared" si="66"/>
        <v>0</v>
      </c>
      <c r="AA90" s="224">
        <f t="shared" si="66"/>
        <v>0</v>
      </c>
      <c r="AB90" s="224">
        <f t="shared" si="66"/>
        <v>0</v>
      </c>
      <c r="AC90" s="224">
        <f t="shared" si="66"/>
        <v>0</v>
      </c>
      <c r="AD90" s="224">
        <f t="shared" si="66"/>
        <v>0</v>
      </c>
      <c r="AE90" s="224">
        <f t="shared" si="66"/>
        <v>0</v>
      </c>
      <c r="AF90" s="224">
        <f t="shared" si="66"/>
        <v>0</v>
      </c>
      <c r="AG90" s="224">
        <f t="shared" si="66"/>
        <v>0</v>
      </c>
      <c r="AH90" s="224">
        <f t="shared" si="66"/>
        <v>0</v>
      </c>
      <c r="AI90" s="224">
        <f t="shared" si="66"/>
        <v>0</v>
      </c>
      <c r="AJ90" s="224">
        <f t="shared" si="66"/>
        <v>0</v>
      </c>
      <c r="AK90" s="224">
        <f t="shared" si="66"/>
        <v>0</v>
      </c>
      <c r="AL90" s="224">
        <f t="shared" si="66"/>
        <v>0</v>
      </c>
      <c r="AM90" s="224">
        <f t="shared" si="66"/>
        <v>86318.253106861201</v>
      </c>
      <c r="AN90" s="224">
        <f t="shared" si="66"/>
        <v>86318.253106861201</v>
      </c>
      <c r="AO90" s="224">
        <f t="shared" si="66"/>
        <v>86318.253106861201</v>
      </c>
      <c r="AP90" s="224">
        <f t="shared" si="66"/>
        <v>86318.253106861201</v>
      </c>
      <c r="AQ90" s="224">
        <f t="shared" si="66"/>
        <v>86318.253106861201</v>
      </c>
      <c r="AR90" s="224">
        <f t="shared" si="66"/>
        <v>86318.253106861201</v>
      </c>
      <c r="AS90" s="224">
        <f t="shared" si="66"/>
        <v>86318.253106861201</v>
      </c>
      <c r="AT90" s="224">
        <f t="shared" si="66"/>
        <v>86318.253106861201</v>
      </c>
      <c r="AU90" s="224">
        <f t="shared" si="66"/>
        <v>86318.253106861201</v>
      </c>
      <c r="AV90" s="224">
        <f t="shared" si="66"/>
        <v>86318.253106861201</v>
      </c>
      <c r="AW90" s="224">
        <f t="shared" si="66"/>
        <v>86318.253106861201</v>
      </c>
      <c r="AX90" s="224">
        <f t="shared" si="66"/>
        <v>86318.253106861201</v>
      </c>
      <c r="AY90" s="224">
        <f t="shared" si="66"/>
        <v>86318.253106861201</v>
      </c>
      <c r="AZ90" s="224">
        <f t="shared" si="66"/>
        <v>86318.253106861201</v>
      </c>
      <c r="BA90" s="224">
        <f t="shared" si="66"/>
        <v>86318.253106861201</v>
      </c>
      <c r="BB90" s="224">
        <f t="shared" si="66"/>
        <v>86318.253106861201</v>
      </c>
      <c r="BC90" s="224">
        <f t="shared" si="66"/>
        <v>86318.253106861201</v>
      </c>
      <c r="BD90" s="224">
        <f t="shared" si="66"/>
        <v>86318.253106861201</v>
      </c>
      <c r="BE90" s="224">
        <f t="shared" si="66"/>
        <v>86318.253106861201</v>
      </c>
    </row>
    <row r="91" spans="1:57" hidden="1" outlineLevel="1" x14ac:dyDescent="0.2"/>
    <row r="92" spans="1:57" x14ac:dyDescent="0.2"/>
    <row r="93" spans="1:57" s="734" customFormat="1" ht="13.15" customHeight="1" collapsed="1" x14ac:dyDescent="0.2">
      <c r="A93" s="763" t="s">
        <v>513</v>
      </c>
      <c r="B93" s="764"/>
      <c r="C93" s="732"/>
      <c r="D93" s="732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  <c r="Y93" s="114"/>
      <c r="Z93" s="114"/>
      <c r="AA93" s="114"/>
      <c r="AB93" s="114"/>
      <c r="AC93" s="114"/>
      <c r="AD93" s="114"/>
      <c r="AE93" s="114"/>
      <c r="AF93" s="114"/>
      <c r="AG93" s="114"/>
      <c r="AH93" s="114"/>
      <c r="AI93" s="114"/>
      <c r="AJ93" s="114"/>
      <c r="AK93" s="114"/>
      <c r="AL93" s="114"/>
      <c r="AM93" s="114"/>
      <c r="AN93" s="114"/>
      <c r="AO93" s="114"/>
      <c r="AP93" s="114"/>
      <c r="AQ93" s="114"/>
      <c r="AR93" s="114"/>
      <c r="AS93" s="114"/>
      <c r="AT93" s="114"/>
      <c r="AU93" s="114"/>
      <c r="AV93" s="114"/>
      <c r="AW93" s="114"/>
      <c r="AX93" s="114"/>
      <c r="AY93" s="114"/>
      <c r="AZ93" s="114"/>
      <c r="BA93" s="114"/>
      <c r="BB93" s="114"/>
      <c r="BC93" s="114"/>
      <c r="BD93" s="114"/>
      <c r="BE93" s="114"/>
    </row>
    <row r="94" spans="1:57" s="734" customFormat="1" ht="13.15" hidden="1" customHeight="1" outlineLevel="1" x14ac:dyDescent="0.2">
      <c r="A94" s="763"/>
      <c r="B94" s="764"/>
      <c r="C94" s="732"/>
      <c r="D94" s="732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  <c r="AZ94" s="114"/>
      <c r="BA94" s="114"/>
      <c r="BB94" s="114"/>
      <c r="BC94" s="114"/>
      <c r="BD94" s="114"/>
      <c r="BE94" s="114"/>
    </row>
    <row r="95" spans="1:57" s="767" customFormat="1" ht="13.15" hidden="1" customHeight="1" outlineLevel="1" x14ac:dyDescent="0.2">
      <c r="A95" s="762"/>
      <c r="B95" s="765" t="s">
        <v>514</v>
      </c>
      <c r="C95" s="766"/>
      <c r="D95" s="762"/>
      <c r="E95" s="751"/>
      <c r="F95" s="751"/>
      <c r="G95" s="751"/>
      <c r="H95" s="751"/>
      <c r="I95" s="751"/>
      <c r="J95" s="751"/>
      <c r="K95" s="751"/>
      <c r="L95" s="751"/>
      <c r="M95" s="751"/>
      <c r="N95" s="751"/>
      <c r="O95" s="751"/>
      <c r="P95" s="751"/>
      <c r="Q95" s="751"/>
      <c r="R95" s="751"/>
      <c r="S95" s="751"/>
      <c r="T95" s="751"/>
      <c r="U95" s="751"/>
      <c r="V95" s="751"/>
      <c r="W95" s="751"/>
      <c r="X95" s="751"/>
      <c r="Y95" s="751"/>
      <c r="Z95" s="751"/>
      <c r="AA95" s="751"/>
      <c r="AB95" s="751"/>
      <c r="AC95" s="751"/>
      <c r="AD95" s="751"/>
      <c r="AE95" s="751"/>
      <c r="AF95" s="751"/>
      <c r="AG95" s="751"/>
      <c r="AH95" s="751"/>
      <c r="AI95" s="751"/>
      <c r="AJ95" s="751"/>
      <c r="AK95" s="751"/>
      <c r="AL95" s="751"/>
      <c r="AM95" s="751"/>
      <c r="AN95" s="751"/>
      <c r="AO95" s="751"/>
      <c r="AP95" s="751"/>
      <c r="AQ95" s="751"/>
      <c r="AR95" s="751"/>
      <c r="AS95" s="751"/>
      <c r="AT95" s="751"/>
      <c r="AU95" s="751"/>
      <c r="AV95" s="751"/>
      <c r="AW95" s="751"/>
      <c r="AX95" s="751"/>
      <c r="AY95" s="751"/>
      <c r="AZ95" s="751"/>
      <c r="BA95" s="751"/>
      <c r="BB95" s="751"/>
      <c r="BC95" s="751"/>
      <c r="BD95" s="751"/>
      <c r="BE95" s="751"/>
    </row>
    <row r="96" spans="1:57" s="114" customFormat="1" hidden="1" outlineLevel="2" x14ac:dyDescent="0.2">
      <c r="A96" s="522"/>
      <c r="B96" s="522"/>
      <c r="C96" s="523"/>
      <c r="D96" s="524"/>
      <c r="E96" s="697" t="str">
        <f xml:space="preserve"> InpC!E$153</f>
        <v>EBL active switch</v>
      </c>
      <c r="F96" s="697">
        <f xml:space="preserve"> InpC!F$153</f>
        <v>1</v>
      </c>
      <c r="G96" s="697" t="str">
        <f xml:space="preserve"> InpC!G$153</f>
        <v>1 = yes; 0 = no</v>
      </c>
      <c r="H96" s="525"/>
      <c r="I96" s="526"/>
      <c r="J96" s="525"/>
      <c r="K96" s="525"/>
      <c r="L96" s="525"/>
      <c r="M96" s="525"/>
      <c r="N96" s="525"/>
      <c r="O96" s="525"/>
      <c r="P96" s="525"/>
      <c r="Q96" s="525"/>
      <c r="R96" s="525"/>
      <c r="S96" s="525"/>
      <c r="T96" s="525"/>
      <c r="U96" s="525"/>
      <c r="V96" s="525"/>
      <c r="W96" s="525"/>
      <c r="X96" s="525"/>
      <c r="Y96" s="525"/>
      <c r="Z96" s="525"/>
      <c r="AA96" s="525"/>
      <c r="AB96" s="525"/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</row>
    <row r="97" spans="1:57" s="114" customFormat="1" hidden="1" outlineLevel="2" x14ac:dyDescent="0.2">
      <c r="A97" s="522"/>
      <c r="B97" s="522"/>
      <c r="C97" s="523"/>
      <c r="D97" s="524"/>
      <c r="E97" s="697" t="str">
        <f xml:space="preserve"> Solve!E$53</f>
        <v>Total equity requirement - Paste</v>
      </c>
      <c r="F97" s="697">
        <f xml:space="preserve"> Solve!F$53</f>
        <v>86418.253106861201</v>
      </c>
      <c r="G97" s="697" t="str">
        <f xml:space="preserve"> Solve!G$53</f>
        <v>$ 000s</v>
      </c>
      <c r="H97" s="525"/>
      <c r="I97" s="525"/>
      <c r="J97" s="525"/>
      <c r="K97" s="525"/>
      <c r="L97" s="525"/>
      <c r="M97" s="525"/>
      <c r="N97" s="525"/>
      <c r="O97" s="525"/>
      <c r="P97" s="525"/>
      <c r="Q97" s="525"/>
      <c r="R97" s="525"/>
      <c r="S97" s="525"/>
      <c r="T97" s="525"/>
      <c r="U97" s="525"/>
      <c r="V97" s="525"/>
      <c r="W97" s="525"/>
      <c r="X97" s="525"/>
      <c r="Y97" s="525"/>
      <c r="Z97" s="525"/>
      <c r="AA97" s="525"/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</row>
    <row r="98" spans="1:57" s="114" customFormat="1" hidden="1" outlineLevel="2" x14ac:dyDescent="0.2">
      <c r="A98" s="522"/>
      <c r="B98" s="522"/>
      <c r="C98" s="523"/>
      <c r="D98" s="524"/>
      <c r="E98" s="699" t="str">
        <f xml:space="preserve"> InpC!E$371</f>
        <v>Share capital amount</v>
      </c>
      <c r="F98" s="699">
        <f xml:space="preserve"> InpC!F$371</f>
        <v>100</v>
      </c>
      <c r="G98" s="699" t="str">
        <f xml:space="preserve"> InpC!G$371</f>
        <v>$ 000s</v>
      </c>
      <c r="H98" s="663"/>
      <c r="I98" s="526"/>
      <c r="J98" s="525"/>
      <c r="K98" s="525"/>
      <c r="L98" s="525"/>
      <c r="M98" s="525"/>
      <c r="N98" s="525"/>
      <c r="O98" s="525"/>
      <c r="P98" s="525"/>
      <c r="Q98" s="525"/>
      <c r="R98" s="525"/>
      <c r="S98" s="525"/>
      <c r="T98" s="525"/>
      <c r="U98" s="525"/>
      <c r="V98" s="525"/>
      <c r="W98" s="525"/>
      <c r="X98" s="525"/>
      <c r="Y98" s="525"/>
      <c r="Z98" s="525"/>
      <c r="AA98" s="525"/>
      <c r="AB98" s="525"/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</row>
    <row r="99" spans="1:57" s="757" customFormat="1" hidden="1" outlineLevel="2" x14ac:dyDescent="0.2">
      <c r="A99" s="527"/>
      <c r="B99" s="527"/>
      <c r="C99" s="528"/>
      <c r="D99" s="529"/>
      <c r="E99" s="530" t="s">
        <v>515</v>
      </c>
      <c r="F99" s="530">
        <f xml:space="preserve"> (F97 - F98) * F96</f>
        <v>86318.253106861201</v>
      </c>
      <c r="G99" s="530" t="str">
        <f xml:space="preserve"> SMU</f>
        <v>$ 000s</v>
      </c>
      <c r="H99" s="530"/>
      <c r="I99" s="531"/>
      <c r="J99" s="530"/>
      <c r="K99" s="530"/>
      <c r="L99" s="530"/>
      <c r="M99" s="530"/>
      <c r="N99" s="530"/>
      <c r="O99" s="530"/>
      <c r="P99" s="530"/>
      <c r="Q99" s="530"/>
      <c r="R99" s="530"/>
      <c r="S99" s="530"/>
      <c r="T99" s="530"/>
      <c r="U99" s="530"/>
      <c r="V99" s="530"/>
      <c r="W99" s="530"/>
      <c r="X99" s="530"/>
      <c r="Y99" s="530"/>
      <c r="Z99" s="530"/>
      <c r="AA99" s="530"/>
      <c r="AB99" s="530"/>
      <c r="AC99" s="530"/>
      <c r="AD99" s="530"/>
      <c r="AE99" s="530"/>
      <c r="AF99" s="530"/>
      <c r="AG99" s="530"/>
      <c r="AH99" s="530"/>
      <c r="AI99" s="530"/>
      <c r="AJ99" s="530"/>
      <c r="AK99" s="530"/>
      <c r="AL99" s="530"/>
      <c r="AM99" s="530"/>
      <c r="AN99" s="530"/>
      <c r="AO99" s="530"/>
      <c r="AP99" s="530"/>
      <c r="AQ99" s="530"/>
      <c r="AR99" s="530"/>
      <c r="AS99" s="530"/>
      <c r="AT99" s="530"/>
      <c r="AU99" s="530"/>
      <c r="AV99" s="530"/>
      <c r="AW99" s="530"/>
      <c r="AX99" s="530"/>
      <c r="AY99" s="530"/>
      <c r="AZ99" s="530"/>
      <c r="BA99" s="530"/>
      <c r="BB99" s="530"/>
      <c r="BC99" s="530"/>
      <c r="BD99" s="530"/>
      <c r="BE99" s="530"/>
    </row>
    <row r="100" spans="1:57" s="114" customFormat="1" hidden="1" outlineLevel="2" x14ac:dyDescent="0.2">
      <c r="A100" s="522"/>
      <c r="B100" s="522"/>
      <c r="C100" s="523"/>
      <c r="D100" s="524"/>
      <c r="E100" s="525"/>
      <c r="F100" s="525"/>
      <c r="G100" s="525"/>
      <c r="H100" s="525"/>
      <c r="I100" s="526"/>
      <c r="J100" s="525"/>
      <c r="K100" s="525"/>
      <c r="L100" s="525"/>
      <c r="M100" s="525"/>
      <c r="N100" s="525"/>
      <c r="O100" s="525"/>
      <c r="P100" s="525"/>
      <c r="Q100" s="525"/>
      <c r="R100" s="525"/>
      <c r="S100" s="525"/>
      <c r="T100" s="525"/>
      <c r="U100" s="525"/>
      <c r="V100" s="525"/>
      <c r="W100" s="525"/>
      <c r="X100" s="525"/>
      <c r="Y100" s="525"/>
      <c r="Z100" s="525"/>
      <c r="AA100" s="525"/>
      <c r="AB100" s="525"/>
      <c r="AC100" s="525"/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</row>
    <row r="101" spans="1:57" s="114" customFormat="1" hidden="1" outlineLevel="2" x14ac:dyDescent="0.2">
      <c r="A101" s="522"/>
      <c r="B101" s="522"/>
      <c r="C101" s="523"/>
      <c r="D101" s="524"/>
      <c r="E101" s="695" t="str">
        <f xml:space="preserve"> Solve!E$58</f>
        <v>Project costs / funding requirement - Paste</v>
      </c>
      <c r="F101" s="695">
        <f xml:space="preserve"> Solve!F$58</f>
        <v>0</v>
      </c>
      <c r="G101" s="695" t="str">
        <f xml:space="preserve"> Solve!G$58</f>
        <v>$ 000s</v>
      </c>
      <c r="H101" s="695">
        <f xml:space="preserve"> Solve!H$58</f>
        <v>348748.10907557519</v>
      </c>
      <c r="I101" s="695">
        <f xml:space="preserve"> Solve!I$58</f>
        <v>0</v>
      </c>
      <c r="J101" s="695">
        <f xml:space="preserve"> Solve!J$58</f>
        <v>0</v>
      </c>
      <c r="K101" s="695">
        <f xml:space="preserve"> Solve!K$58</f>
        <v>0</v>
      </c>
      <c r="L101" s="695">
        <f xml:space="preserve"> Solve!L$58</f>
        <v>0</v>
      </c>
      <c r="M101" s="695">
        <f xml:space="preserve"> Solve!M$58</f>
        <v>14943.424770244494</v>
      </c>
      <c r="N101" s="695">
        <f xml:space="preserve"> Solve!N$58</f>
        <v>11841.327808384644</v>
      </c>
      <c r="O101" s="695">
        <f xml:space="preserve"> Solve!O$58</f>
        <v>11870.259742712651</v>
      </c>
      <c r="P101" s="695">
        <f xml:space="preserve"> Solve!P$58</f>
        <v>11907.687320687248</v>
      </c>
      <c r="Q101" s="695">
        <f xml:space="preserve"> Solve!Q$58</f>
        <v>11941.012306690816</v>
      </c>
      <c r="R101" s="695">
        <f xml:space="preserve"> Solve!R$58</f>
        <v>11966.998590891828</v>
      </c>
      <c r="S101" s="695">
        <f xml:space="preserve"> Solve!S$58</f>
        <v>12007.921531555499</v>
      </c>
      <c r="T101" s="695">
        <f xml:space="preserve"> Solve!T$58</f>
        <v>12031.934187437519</v>
      </c>
      <c r="U101" s="695">
        <f xml:space="preserve"> Solve!U$58</f>
        <v>12076.190635536972</v>
      </c>
      <c r="V101" s="695">
        <f xml:space="preserve"> Solve!V$58</f>
        <v>12110.976773522409</v>
      </c>
      <c r="W101" s="695">
        <f xml:space="preserve"> Solve!W$58</f>
        <v>12104.694875399815</v>
      </c>
      <c r="X101" s="695">
        <f xml:space="preserve"> Solve!X$58</f>
        <v>12180.731360946033</v>
      </c>
      <c r="Y101" s="695">
        <f xml:space="preserve"> Solve!Y$58</f>
        <v>12199.330047588888</v>
      </c>
      <c r="Z101" s="695">
        <f xml:space="preserve"> Solve!Z$58</f>
        <v>12250.959482205111</v>
      </c>
      <c r="AA101" s="695">
        <f xml:space="preserve"> Solve!AA$58</f>
        <v>12266.975848549024</v>
      </c>
      <c r="AB101" s="695">
        <f xml:space="preserve"> Solve!AB$58</f>
        <v>12321.584756958357</v>
      </c>
      <c r="AC101" s="695">
        <f xml:space="preserve"> Solve!AC$58</f>
        <v>12357.077766346292</v>
      </c>
      <c r="AD101" s="695">
        <f xml:space="preserve"> Solve!AD$58</f>
        <v>12369.192114605235</v>
      </c>
      <c r="AE101" s="695">
        <f xml:space="preserve"> Solve!AE$58</f>
        <v>12428.303160347879</v>
      </c>
      <c r="AF101" s="695">
        <f xml:space="preserve"> Solve!AF$58</f>
        <v>12437.798518130739</v>
      </c>
      <c r="AG101" s="695">
        <f xml:space="preserve"> Solve!AG$58</f>
        <v>12499.931347612244</v>
      </c>
      <c r="AH101" s="695">
        <f xml:space="preserve"> Solve!AH$58</f>
        <v>12535.938094264708</v>
      </c>
      <c r="AI101" s="695">
        <f xml:space="preserve"> Solve!AI$58</f>
        <v>12505.623743976959</v>
      </c>
      <c r="AJ101" s="695">
        <f xml:space="preserve"> Solve!AJ$58</f>
        <v>12596.607093158804</v>
      </c>
      <c r="AK101" s="695">
        <f xml:space="preserve"> Solve!AK$58</f>
        <v>12594.408171304991</v>
      </c>
      <c r="AL101" s="695">
        <f xml:space="preserve"> Solve!AL$58</f>
        <v>12657.706600951156</v>
      </c>
      <c r="AM101" s="695">
        <f xml:space="preserve"> Solve!AM$58</f>
        <v>27743.512425564993</v>
      </c>
      <c r="AN101" s="695">
        <f xml:space="preserve"> Solve!AN$58</f>
        <v>0</v>
      </c>
      <c r="AO101" s="695">
        <f xml:space="preserve"> Solve!AO$58</f>
        <v>0</v>
      </c>
      <c r="AP101" s="695">
        <f xml:space="preserve"> Solve!AP$58</f>
        <v>0</v>
      </c>
      <c r="AQ101" s="695">
        <f xml:space="preserve"> Solve!AQ$58</f>
        <v>0</v>
      </c>
      <c r="AR101" s="695">
        <f xml:space="preserve"> Solve!AR$58</f>
        <v>0</v>
      </c>
      <c r="AS101" s="695">
        <f xml:space="preserve"> Solve!AS$58</f>
        <v>0</v>
      </c>
      <c r="AT101" s="695">
        <f xml:space="preserve"> Solve!AT$58</f>
        <v>0</v>
      </c>
      <c r="AU101" s="695">
        <f xml:space="preserve"> Solve!AU$58</f>
        <v>0</v>
      </c>
      <c r="AV101" s="695">
        <f xml:space="preserve"> Solve!AV$58</f>
        <v>0</v>
      </c>
      <c r="AW101" s="695">
        <f xml:space="preserve"> Solve!AW$58</f>
        <v>0</v>
      </c>
      <c r="AX101" s="695">
        <f xml:space="preserve"> Solve!AX$58</f>
        <v>0</v>
      </c>
      <c r="AY101" s="695">
        <f xml:space="preserve"> Solve!AY$58</f>
        <v>0</v>
      </c>
      <c r="AZ101" s="695">
        <f xml:space="preserve"> Solve!AZ$58</f>
        <v>0</v>
      </c>
      <c r="BA101" s="695">
        <f xml:space="preserve"> Solve!BA$58</f>
        <v>0</v>
      </c>
      <c r="BB101" s="695">
        <f xml:space="preserve"> Solve!BB$58</f>
        <v>0</v>
      </c>
      <c r="BC101" s="695">
        <f xml:space="preserve"> Solve!BC$58</f>
        <v>0</v>
      </c>
      <c r="BD101" s="695">
        <f xml:space="preserve"> Solve!BD$58</f>
        <v>0</v>
      </c>
      <c r="BE101" s="695">
        <f xml:space="preserve"> Solve!BE$58</f>
        <v>0</v>
      </c>
    </row>
    <row r="102" spans="1:57" s="114" customFormat="1" hidden="1" outlineLevel="2" x14ac:dyDescent="0.2">
      <c r="A102" s="522"/>
      <c r="B102" s="522"/>
      <c r="C102" s="523"/>
      <c r="D102" s="524"/>
      <c r="E102" s="525" t="str">
        <f xml:space="preserve"> ConFin!E$51</f>
        <v>Share capital drawdown - m</v>
      </c>
      <c r="F102" s="525">
        <f xml:space="preserve"> ConFin!F$51</f>
        <v>0</v>
      </c>
      <c r="G102" s="525" t="str">
        <f xml:space="preserve"> ConFin!G$51</f>
        <v>$ 000s</v>
      </c>
      <c r="H102" s="525">
        <f xml:space="preserve"> ConFin!H$51</f>
        <v>100</v>
      </c>
      <c r="I102" s="525">
        <f xml:space="preserve"> ConFin!I$51</f>
        <v>0</v>
      </c>
      <c r="J102" s="525">
        <f xml:space="preserve"> ConFin!J$51</f>
        <v>0</v>
      </c>
      <c r="K102" s="525">
        <f xml:space="preserve"> ConFin!K$51</f>
        <v>0</v>
      </c>
      <c r="L102" s="525">
        <f xml:space="preserve"> ConFin!L$51</f>
        <v>0</v>
      </c>
      <c r="M102" s="525">
        <f xml:space="preserve"> ConFin!M$51</f>
        <v>100</v>
      </c>
      <c r="N102" s="525">
        <f xml:space="preserve"> ConFin!N$51</f>
        <v>0</v>
      </c>
      <c r="O102" s="525">
        <f xml:space="preserve"> ConFin!O$51</f>
        <v>0</v>
      </c>
      <c r="P102" s="525">
        <f xml:space="preserve"> ConFin!P$51</f>
        <v>0</v>
      </c>
      <c r="Q102" s="525">
        <f xml:space="preserve"> ConFin!Q$51</f>
        <v>0</v>
      </c>
      <c r="R102" s="525">
        <f xml:space="preserve"> ConFin!R$51</f>
        <v>0</v>
      </c>
      <c r="S102" s="525">
        <f xml:space="preserve"> ConFin!S$51</f>
        <v>0</v>
      </c>
      <c r="T102" s="525">
        <f xml:space="preserve"> ConFin!T$51</f>
        <v>0</v>
      </c>
      <c r="U102" s="525">
        <f xml:space="preserve"> ConFin!U$51</f>
        <v>0</v>
      </c>
      <c r="V102" s="525">
        <f xml:space="preserve"> ConFin!V$51</f>
        <v>0</v>
      </c>
      <c r="W102" s="525">
        <f xml:space="preserve"> ConFin!W$51</f>
        <v>0</v>
      </c>
      <c r="X102" s="525">
        <f xml:space="preserve"> ConFin!X$51</f>
        <v>0</v>
      </c>
      <c r="Y102" s="525">
        <f xml:space="preserve"> ConFin!Y$51</f>
        <v>0</v>
      </c>
      <c r="Z102" s="525">
        <f xml:space="preserve"> ConFin!Z$51</f>
        <v>0</v>
      </c>
      <c r="AA102" s="525">
        <f xml:space="preserve"> ConFin!AA$51</f>
        <v>0</v>
      </c>
      <c r="AB102" s="525">
        <f xml:space="preserve"> ConFin!AB$51</f>
        <v>0</v>
      </c>
      <c r="AC102" s="525">
        <f xml:space="preserve"> ConFin!AC$51</f>
        <v>0</v>
      </c>
      <c r="AD102" s="525">
        <f xml:space="preserve"> ConFin!AD$51</f>
        <v>0</v>
      </c>
      <c r="AE102" s="525">
        <f xml:space="preserve"> ConFin!AE$51</f>
        <v>0</v>
      </c>
      <c r="AF102" s="525">
        <f xml:space="preserve"> ConFin!AF$51</f>
        <v>0</v>
      </c>
      <c r="AG102" s="525">
        <f xml:space="preserve"> ConFin!AG$51</f>
        <v>0</v>
      </c>
      <c r="AH102" s="525">
        <f xml:space="preserve"> ConFin!AH$51</f>
        <v>0</v>
      </c>
      <c r="AI102" s="525">
        <f xml:space="preserve"> ConFin!AI$51</f>
        <v>0</v>
      </c>
      <c r="AJ102" s="525">
        <f xml:space="preserve"> ConFin!AJ$51</f>
        <v>0</v>
      </c>
      <c r="AK102" s="525">
        <f xml:space="preserve"> ConFin!AK$51</f>
        <v>0</v>
      </c>
      <c r="AL102" s="525">
        <f xml:space="preserve"> ConFin!AL$51</f>
        <v>0</v>
      </c>
      <c r="AM102" s="525">
        <f xml:space="preserve"> ConFin!AM$51</f>
        <v>0</v>
      </c>
      <c r="AN102" s="525">
        <f xml:space="preserve"> ConFin!AN$51</f>
        <v>0</v>
      </c>
      <c r="AO102" s="525">
        <f xml:space="preserve"> ConFin!AO$51</f>
        <v>0</v>
      </c>
      <c r="AP102" s="525">
        <f xml:space="preserve"> ConFin!AP$51</f>
        <v>0</v>
      </c>
      <c r="AQ102" s="525">
        <f xml:space="preserve"> ConFin!AQ$51</f>
        <v>0</v>
      </c>
      <c r="AR102" s="525">
        <f xml:space="preserve"> ConFin!AR$51</f>
        <v>0</v>
      </c>
      <c r="AS102" s="525">
        <f xml:space="preserve"> ConFin!AS$51</f>
        <v>0</v>
      </c>
      <c r="AT102" s="525">
        <f xml:space="preserve"> ConFin!AT$51</f>
        <v>0</v>
      </c>
      <c r="AU102" s="525">
        <f xml:space="preserve"> ConFin!AU$51</f>
        <v>0</v>
      </c>
      <c r="AV102" s="525">
        <f xml:space="preserve"> ConFin!AV$51</f>
        <v>0</v>
      </c>
      <c r="AW102" s="525">
        <f xml:space="preserve"> ConFin!AW$51</f>
        <v>0</v>
      </c>
      <c r="AX102" s="525">
        <f xml:space="preserve"> ConFin!AX$51</f>
        <v>0</v>
      </c>
      <c r="AY102" s="525">
        <f xml:space="preserve"> ConFin!AY$51</f>
        <v>0</v>
      </c>
      <c r="AZ102" s="525">
        <f xml:space="preserve"> ConFin!AZ$51</f>
        <v>0</v>
      </c>
      <c r="BA102" s="525">
        <f xml:space="preserve"> ConFin!BA$51</f>
        <v>0</v>
      </c>
      <c r="BB102" s="525">
        <f xml:space="preserve"> ConFin!BB$51</f>
        <v>0</v>
      </c>
      <c r="BC102" s="525">
        <f xml:space="preserve"> ConFin!BC$51</f>
        <v>0</v>
      </c>
      <c r="BD102" s="525">
        <f xml:space="preserve"> ConFin!BD$51</f>
        <v>0</v>
      </c>
      <c r="BE102" s="525">
        <f xml:space="preserve"> ConFin!BE$51</f>
        <v>0</v>
      </c>
    </row>
    <row r="103" spans="1:57" s="495" customFormat="1" hidden="1" outlineLevel="2" x14ac:dyDescent="0.2">
      <c r="A103" s="15"/>
      <c r="B103" s="15"/>
      <c r="C103" s="21"/>
      <c r="D103" s="48"/>
      <c r="E103" s="68" t="str">
        <f xml:space="preserve"> ConCost!E$222</f>
        <v>Cash received from EGRs transferred to equity</v>
      </c>
      <c r="F103" s="68">
        <f xml:space="preserve"> ConCost!F$222</f>
        <v>0</v>
      </c>
      <c r="G103" s="68" t="str">
        <f xml:space="preserve"> ConCost!G$222</f>
        <v>$ 000s</v>
      </c>
      <c r="H103" s="68">
        <f xml:space="preserve"> ConCost!H$222</f>
        <v>11940</v>
      </c>
      <c r="I103" s="68">
        <f xml:space="preserve"> ConCost!I$222</f>
        <v>0</v>
      </c>
      <c r="J103" s="68">
        <f xml:space="preserve"> ConCost!J$222</f>
        <v>0</v>
      </c>
      <c r="K103" s="68">
        <f xml:space="preserve"> ConCost!K$222</f>
        <v>0</v>
      </c>
      <c r="L103" s="68">
        <f xml:space="preserve"> ConCost!L$222</f>
        <v>0</v>
      </c>
      <c r="M103" s="68">
        <f xml:space="preserve"> ConCost!M$222</f>
        <v>0</v>
      </c>
      <c r="N103" s="68">
        <f xml:space="preserve"> ConCost!N$222</f>
        <v>0</v>
      </c>
      <c r="O103" s="68">
        <f xml:space="preserve"> ConCost!O$222</f>
        <v>0</v>
      </c>
      <c r="P103" s="68">
        <f xml:space="preserve"> ConCost!P$222</f>
        <v>0</v>
      </c>
      <c r="Q103" s="68">
        <f xml:space="preserve"> ConCost!Q$222</f>
        <v>0</v>
      </c>
      <c r="R103" s="68">
        <f xml:space="preserve"> ConCost!R$222</f>
        <v>0</v>
      </c>
      <c r="S103" s="68">
        <f xml:space="preserve"> ConCost!S$222</f>
        <v>0</v>
      </c>
      <c r="T103" s="68">
        <f xml:space="preserve"> ConCost!T$222</f>
        <v>0</v>
      </c>
      <c r="U103" s="68">
        <f xml:space="preserve"> ConCost!U$222</f>
        <v>0</v>
      </c>
      <c r="V103" s="68">
        <f xml:space="preserve"> ConCost!V$222</f>
        <v>0</v>
      </c>
      <c r="W103" s="68">
        <f xml:space="preserve"> ConCost!W$222</f>
        <v>0</v>
      </c>
      <c r="X103" s="68">
        <f xml:space="preserve"> ConCost!X$222</f>
        <v>0</v>
      </c>
      <c r="Y103" s="68">
        <f xml:space="preserve"> ConCost!Y$222</f>
        <v>0</v>
      </c>
      <c r="Z103" s="68">
        <f xml:space="preserve"> ConCost!Z$222</f>
        <v>0</v>
      </c>
      <c r="AA103" s="68">
        <f xml:space="preserve"> ConCost!AA$222</f>
        <v>0</v>
      </c>
      <c r="AB103" s="68">
        <f xml:space="preserve"> ConCost!AB$222</f>
        <v>0</v>
      </c>
      <c r="AC103" s="68">
        <f xml:space="preserve"> ConCost!AC$222</f>
        <v>0</v>
      </c>
      <c r="AD103" s="68">
        <f xml:space="preserve"> ConCost!AD$222</f>
        <v>0</v>
      </c>
      <c r="AE103" s="68">
        <f xml:space="preserve"> ConCost!AE$222</f>
        <v>0</v>
      </c>
      <c r="AF103" s="68">
        <f xml:space="preserve"> ConCost!AF$222</f>
        <v>0</v>
      </c>
      <c r="AG103" s="68">
        <f xml:space="preserve"> ConCost!AG$222</f>
        <v>0</v>
      </c>
      <c r="AH103" s="68">
        <f xml:space="preserve"> ConCost!AH$222</f>
        <v>1990</v>
      </c>
      <c r="AI103" s="68">
        <f xml:space="preserve"> ConCost!AI$222</f>
        <v>1990</v>
      </c>
      <c r="AJ103" s="68">
        <f xml:space="preserve"> ConCost!AJ$222</f>
        <v>1990</v>
      </c>
      <c r="AK103" s="68">
        <f xml:space="preserve"> ConCost!AK$222</f>
        <v>1990</v>
      </c>
      <c r="AL103" s="68">
        <f xml:space="preserve"> ConCost!AL$222</f>
        <v>1990</v>
      </c>
      <c r="AM103" s="68">
        <f xml:space="preserve"> ConCost!AM$222</f>
        <v>1990</v>
      </c>
      <c r="AN103" s="68">
        <f xml:space="preserve"> ConCost!AN$222</f>
        <v>0</v>
      </c>
      <c r="AO103" s="68">
        <f xml:space="preserve"> ConCost!AO$222</f>
        <v>0</v>
      </c>
      <c r="AP103" s="68">
        <f xml:space="preserve"> ConCost!AP$222</f>
        <v>0</v>
      </c>
      <c r="AQ103" s="68">
        <f xml:space="preserve"> ConCost!AQ$222</f>
        <v>0</v>
      </c>
      <c r="AR103" s="68">
        <f xml:space="preserve"> ConCost!AR$222</f>
        <v>0</v>
      </c>
      <c r="AS103" s="68">
        <f xml:space="preserve"> ConCost!AS$222</f>
        <v>0</v>
      </c>
      <c r="AT103" s="68">
        <f xml:space="preserve"> ConCost!AT$222</f>
        <v>0</v>
      </c>
      <c r="AU103" s="68">
        <f xml:space="preserve"> ConCost!AU$222</f>
        <v>0</v>
      </c>
      <c r="AV103" s="68">
        <f xml:space="preserve"> ConCost!AV$222</f>
        <v>0</v>
      </c>
      <c r="AW103" s="68">
        <f xml:space="preserve"> ConCost!AW$222</f>
        <v>0</v>
      </c>
      <c r="AX103" s="68">
        <f xml:space="preserve"> ConCost!AX$222</f>
        <v>0</v>
      </c>
      <c r="AY103" s="68">
        <f xml:space="preserve"> ConCost!AY$222</f>
        <v>0</v>
      </c>
      <c r="AZ103" s="68">
        <f xml:space="preserve"> ConCost!AZ$222</f>
        <v>0</v>
      </c>
      <c r="BA103" s="68">
        <f xml:space="preserve"> ConCost!BA$222</f>
        <v>0</v>
      </c>
      <c r="BB103" s="68">
        <f xml:space="preserve"> ConCost!BB$222</f>
        <v>0</v>
      </c>
      <c r="BC103" s="68">
        <f xml:space="preserve"> ConCost!BC$222</f>
        <v>0</v>
      </c>
      <c r="BD103" s="68">
        <f xml:space="preserve"> ConCost!BD$222</f>
        <v>0</v>
      </c>
      <c r="BE103" s="68">
        <f xml:space="preserve"> ConCost!BE$222</f>
        <v>0</v>
      </c>
    </row>
    <row r="104" spans="1:57" s="114" customFormat="1" hidden="1" outlineLevel="2" x14ac:dyDescent="0.2">
      <c r="A104" s="522"/>
      <c r="B104" s="522"/>
      <c r="C104" s="523"/>
      <c r="D104" s="524"/>
      <c r="E104" s="525" t="s">
        <v>516</v>
      </c>
      <c r="F104" s="525"/>
      <c r="G104" s="525" t="str">
        <f xml:space="preserve"> SMU</f>
        <v>$ 000s</v>
      </c>
      <c r="H104" s="525">
        <f xml:space="preserve"> SUM(J104:BE104)</f>
        <v>336708.10907557519</v>
      </c>
      <c r="I104" s="526"/>
      <c r="J104" s="525">
        <f t="shared" ref="J104:BE104" si="67" xml:space="preserve"> MAX(0, J101 - J102 - J103)</f>
        <v>0</v>
      </c>
      <c r="K104" s="525">
        <f t="shared" si="67"/>
        <v>0</v>
      </c>
      <c r="L104" s="525">
        <f t="shared" si="67"/>
        <v>0</v>
      </c>
      <c r="M104" s="525">
        <f t="shared" si="67"/>
        <v>14843.424770244494</v>
      </c>
      <c r="N104" s="525">
        <f t="shared" si="67"/>
        <v>11841.327808384644</v>
      </c>
      <c r="O104" s="525">
        <f t="shared" si="67"/>
        <v>11870.259742712651</v>
      </c>
      <c r="P104" s="525">
        <f t="shared" si="67"/>
        <v>11907.687320687248</v>
      </c>
      <c r="Q104" s="525">
        <f t="shared" si="67"/>
        <v>11941.012306690816</v>
      </c>
      <c r="R104" s="525">
        <f t="shared" si="67"/>
        <v>11966.998590891828</v>
      </c>
      <c r="S104" s="525">
        <f t="shared" si="67"/>
        <v>12007.921531555499</v>
      </c>
      <c r="T104" s="525">
        <f t="shared" si="67"/>
        <v>12031.934187437519</v>
      </c>
      <c r="U104" s="525">
        <f t="shared" si="67"/>
        <v>12076.190635536972</v>
      </c>
      <c r="V104" s="525">
        <f t="shared" si="67"/>
        <v>12110.976773522409</v>
      </c>
      <c r="W104" s="525">
        <f t="shared" si="67"/>
        <v>12104.694875399815</v>
      </c>
      <c r="X104" s="525">
        <f t="shared" si="67"/>
        <v>12180.731360946033</v>
      </c>
      <c r="Y104" s="525">
        <f t="shared" si="67"/>
        <v>12199.330047588888</v>
      </c>
      <c r="Z104" s="525">
        <f t="shared" si="67"/>
        <v>12250.959482205111</v>
      </c>
      <c r="AA104" s="525">
        <f t="shared" si="67"/>
        <v>12266.975848549024</v>
      </c>
      <c r="AB104" s="525">
        <f t="shared" si="67"/>
        <v>12321.584756958357</v>
      </c>
      <c r="AC104" s="525">
        <f t="shared" si="67"/>
        <v>12357.077766346292</v>
      </c>
      <c r="AD104" s="525">
        <f t="shared" si="67"/>
        <v>12369.192114605235</v>
      </c>
      <c r="AE104" s="525">
        <f t="shared" si="67"/>
        <v>12428.303160347879</v>
      </c>
      <c r="AF104" s="525">
        <f t="shared" si="67"/>
        <v>12437.798518130739</v>
      </c>
      <c r="AG104" s="525">
        <f t="shared" si="67"/>
        <v>12499.931347612244</v>
      </c>
      <c r="AH104" s="525">
        <f t="shared" si="67"/>
        <v>10545.938094264708</v>
      </c>
      <c r="AI104" s="525">
        <f t="shared" si="67"/>
        <v>10515.623743976959</v>
      </c>
      <c r="AJ104" s="525">
        <f t="shared" si="67"/>
        <v>10606.607093158804</v>
      </c>
      <c r="AK104" s="525">
        <f t="shared" si="67"/>
        <v>10604.408171304991</v>
      </c>
      <c r="AL104" s="525">
        <f t="shared" si="67"/>
        <v>10667.706600951156</v>
      </c>
      <c r="AM104" s="525">
        <f t="shared" si="67"/>
        <v>25753.512425564993</v>
      </c>
      <c r="AN104" s="525">
        <f t="shared" si="67"/>
        <v>0</v>
      </c>
      <c r="AO104" s="525">
        <f t="shared" si="67"/>
        <v>0</v>
      </c>
      <c r="AP104" s="525">
        <f t="shared" si="67"/>
        <v>0</v>
      </c>
      <c r="AQ104" s="525">
        <f t="shared" si="67"/>
        <v>0</v>
      </c>
      <c r="AR104" s="525">
        <f t="shared" si="67"/>
        <v>0</v>
      </c>
      <c r="AS104" s="525">
        <f t="shared" si="67"/>
        <v>0</v>
      </c>
      <c r="AT104" s="525">
        <f t="shared" si="67"/>
        <v>0</v>
      </c>
      <c r="AU104" s="525">
        <f t="shared" si="67"/>
        <v>0</v>
      </c>
      <c r="AV104" s="525">
        <f t="shared" si="67"/>
        <v>0</v>
      </c>
      <c r="AW104" s="525">
        <f t="shared" si="67"/>
        <v>0</v>
      </c>
      <c r="AX104" s="525">
        <f t="shared" si="67"/>
        <v>0</v>
      </c>
      <c r="AY104" s="525">
        <f t="shared" si="67"/>
        <v>0</v>
      </c>
      <c r="AZ104" s="525">
        <f t="shared" si="67"/>
        <v>0</v>
      </c>
      <c r="BA104" s="525">
        <f t="shared" si="67"/>
        <v>0</v>
      </c>
      <c r="BB104" s="525">
        <f t="shared" si="67"/>
        <v>0</v>
      </c>
      <c r="BC104" s="525">
        <f t="shared" si="67"/>
        <v>0</v>
      </c>
      <c r="BD104" s="525">
        <f t="shared" si="67"/>
        <v>0</v>
      </c>
      <c r="BE104" s="525">
        <f t="shared" si="67"/>
        <v>0</v>
      </c>
    </row>
    <row r="105" spans="1:57" s="114" customFormat="1" hidden="1" outlineLevel="2" x14ac:dyDescent="0.2">
      <c r="A105" s="522"/>
      <c r="B105" s="522"/>
      <c r="C105" s="523"/>
      <c r="D105" s="524"/>
      <c r="E105" s="525"/>
      <c r="F105" s="525"/>
      <c r="G105" s="525"/>
      <c r="H105" s="525"/>
      <c r="I105" s="526"/>
      <c r="J105" s="525"/>
      <c r="K105" s="525"/>
      <c r="L105" s="525"/>
      <c r="M105" s="525"/>
      <c r="N105" s="525"/>
      <c r="O105" s="525"/>
      <c r="P105" s="525"/>
      <c r="Q105" s="525"/>
      <c r="R105" s="525"/>
      <c r="S105" s="525"/>
      <c r="T105" s="525"/>
      <c r="U105" s="525"/>
      <c r="V105" s="525"/>
      <c r="W105" s="525"/>
      <c r="X105" s="525"/>
      <c r="Y105" s="525"/>
      <c r="Z105" s="525"/>
      <c r="AA105" s="525"/>
      <c r="AB105" s="525"/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</row>
    <row r="106" spans="1:57" s="114" customFormat="1" hidden="1" outlineLevel="2" x14ac:dyDescent="0.2">
      <c r="A106" s="522"/>
      <c r="B106" s="522"/>
      <c r="C106" s="523"/>
      <c r="D106" s="524"/>
      <c r="E106" s="525" t="str">
        <f xml:space="preserve"> E$99</f>
        <v>EBL requirement</v>
      </c>
      <c r="F106" s="525">
        <f xml:space="preserve"> F$99</f>
        <v>86318.253106861201</v>
      </c>
      <c r="G106" s="525" t="str">
        <f xml:space="preserve"> G$99</f>
        <v>$ 000s</v>
      </c>
      <c r="H106" s="525"/>
      <c r="I106" s="526"/>
      <c r="J106" s="525"/>
      <c r="K106" s="525"/>
      <c r="L106" s="525"/>
      <c r="M106" s="525"/>
      <c r="N106" s="525"/>
      <c r="O106" s="525"/>
      <c r="P106" s="525"/>
      <c r="Q106" s="525"/>
      <c r="R106" s="525"/>
      <c r="S106" s="525"/>
      <c r="T106" s="525"/>
      <c r="U106" s="525"/>
      <c r="V106" s="525"/>
      <c r="W106" s="525"/>
      <c r="X106" s="525"/>
      <c r="Y106" s="525"/>
      <c r="Z106" s="525"/>
      <c r="AA106" s="525"/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</row>
    <row r="107" spans="1:57" s="114" customFormat="1" hidden="1" outlineLevel="2" x14ac:dyDescent="0.2">
      <c r="A107" s="522"/>
      <c r="B107" s="522"/>
      <c r="C107" s="523"/>
      <c r="D107" s="524"/>
      <c r="E107" s="695" t="str">
        <f xml:space="preserve"> Solve!E$50</f>
        <v>Equity bridge interest and fees rolled up - total - fixed</v>
      </c>
      <c r="F107" s="695">
        <f xml:space="preserve"> Solve!F$50</f>
        <v>0</v>
      </c>
      <c r="G107" s="695" t="str">
        <f xml:space="preserve"> Solve!G$50</f>
        <v>$ 000s</v>
      </c>
      <c r="H107" s="756"/>
      <c r="I107" s="756"/>
      <c r="J107" s="756"/>
      <c r="K107" s="756"/>
      <c r="L107" s="756"/>
      <c r="M107" s="756"/>
      <c r="N107" s="756"/>
      <c r="O107" s="756"/>
      <c r="P107" s="756"/>
      <c r="Q107" s="756"/>
      <c r="R107" s="756"/>
      <c r="S107" s="756"/>
      <c r="T107" s="756"/>
      <c r="U107" s="756"/>
      <c r="V107" s="756"/>
      <c r="W107" s="756"/>
      <c r="X107" s="756"/>
      <c r="Y107" s="756"/>
      <c r="Z107" s="756"/>
      <c r="AA107" s="756"/>
      <c r="AB107" s="756"/>
      <c r="AC107" s="756"/>
      <c r="AD107" s="756"/>
      <c r="AE107" s="756"/>
      <c r="AF107" s="756"/>
      <c r="AG107" s="756"/>
      <c r="AH107" s="756"/>
      <c r="AI107" s="756"/>
      <c r="AJ107" s="756"/>
      <c r="AK107" s="756"/>
      <c r="AL107" s="756"/>
      <c r="AM107" s="756"/>
      <c r="AN107" s="756"/>
      <c r="AO107" s="756"/>
      <c r="AP107" s="756"/>
      <c r="AQ107" s="756"/>
      <c r="AR107" s="756"/>
      <c r="AS107" s="756"/>
      <c r="AT107" s="756"/>
      <c r="AU107" s="756"/>
      <c r="AV107" s="756"/>
      <c r="AW107" s="756"/>
      <c r="AX107" s="756"/>
      <c r="AY107" s="756"/>
      <c r="AZ107" s="756"/>
      <c r="BA107" s="756"/>
      <c r="BB107" s="756"/>
      <c r="BC107" s="756"/>
      <c r="BD107" s="756"/>
      <c r="BE107" s="756"/>
    </row>
    <row r="108" spans="1:57" s="114" customFormat="1" hidden="1" outlineLevel="2" x14ac:dyDescent="0.2">
      <c r="A108" s="522"/>
      <c r="B108" s="522"/>
      <c r="C108" s="523"/>
      <c r="D108" s="524"/>
      <c r="E108" s="666" t="s">
        <v>517</v>
      </c>
      <c r="F108" s="666">
        <f xml:space="preserve"> F106 - F107</f>
        <v>86318.253106861201</v>
      </c>
      <c r="G108" s="666" t="str">
        <f xml:space="preserve"> SMU</f>
        <v>$ 000s</v>
      </c>
      <c r="H108" s="756"/>
      <c r="I108" s="756"/>
      <c r="J108" s="756"/>
      <c r="K108" s="756"/>
      <c r="L108" s="756"/>
      <c r="M108" s="756"/>
      <c r="N108" s="756"/>
      <c r="O108" s="756"/>
      <c r="P108" s="756"/>
      <c r="Q108" s="756"/>
      <c r="R108" s="756"/>
      <c r="S108" s="756"/>
      <c r="T108" s="756"/>
      <c r="U108" s="756"/>
      <c r="V108" s="756"/>
      <c r="W108" s="756"/>
      <c r="X108" s="756"/>
      <c r="Y108" s="756"/>
      <c r="Z108" s="756"/>
      <c r="AA108" s="756"/>
      <c r="AB108" s="756"/>
      <c r="AC108" s="756"/>
      <c r="AD108" s="756"/>
      <c r="AE108" s="756"/>
      <c r="AF108" s="756"/>
      <c r="AG108" s="756"/>
      <c r="AH108" s="756"/>
      <c r="AI108" s="756"/>
      <c r="AJ108" s="756"/>
      <c r="AK108" s="756"/>
      <c r="AL108" s="756"/>
      <c r="AM108" s="756"/>
      <c r="AN108" s="756"/>
      <c r="AO108" s="756"/>
      <c r="AP108" s="756"/>
      <c r="AQ108" s="756"/>
      <c r="AR108" s="756"/>
      <c r="AS108" s="756"/>
      <c r="AT108" s="756"/>
      <c r="AU108" s="756"/>
      <c r="AV108" s="756"/>
      <c r="AW108" s="756"/>
      <c r="AX108" s="756"/>
      <c r="AY108" s="756"/>
      <c r="AZ108" s="756"/>
      <c r="BA108" s="756"/>
      <c r="BB108" s="756"/>
      <c r="BC108" s="756"/>
      <c r="BD108" s="756"/>
      <c r="BE108" s="756"/>
    </row>
    <row r="109" spans="1:57" s="114" customFormat="1" hidden="1" outlineLevel="2" x14ac:dyDescent="0.2">
      <c r="A109" s="522"/>
      <c r="B109" s="522"/>
      <c r="C109" s="523"/>
      <c r="D109" s="524"/>
      <c r="E109" s="695"/>
      <c r="F109" s="695"/>
      <c r="G109" s="695"/>
      <c r="H109" s="756"/>
      <c r="I109" s="756"/>
      <c r="J109" s="756"/>
      <c r="K109" s="756"/>
      <c r="L109" s="756"/>
      <c r="M109" s="756"/>
      <c r="N109" s="756"/>
      <c r="O109" s="756"/>
      <c r="P109" s="756"/>
      <c r="Q109" s="756"/>
      <c r="R109" s="756"/>
      <c r="S109" s="756"/>
      <c r="T109" s="756"/>
      <c r="U109" s="756"/>
      <c r="V109" s="756"/>
      <c r="W109" s="756"/>
      <c r="X109" s="756"/>
      <c r="Y109" s="756"/>
      <c r="Z109" s="756"/>
      <c r="AA109" s="756"/>
      <c r="AB109" s="756"/>
      <c r="AC109" s="756"/>
      <c r="AD109" s="756"/>
      <c r="AE109" s="756"/>
      <c r="AF109" s="756"/>
      <c r="AG109" s="756"/>
      <c r="AH109" s="756"/>
      <c r="AI109" s="756"/>
      <c r="AJ109" s="756"/>
      <c r="AK109" s="756"/>
      <c r="AL109" s="756"/>
      <c r="AM109" s="756"/>
      <c r="AN109" s="756"/>
      <c r="AO109" s="756"/>
      <c r="AP109" s="756"/>
      <c r="AQ109" s="756"/>
      <c r="AR109" s="756"/>
      <c r="AS109" s="756"/>
      <c r="AT109" s="756"/>
      <c r="AU109" s="756"/>
      <c r="AV109" s="756"/>
      <c r="AW109" s="756"/>
      <c r="AX109" s="756"/>
      <c r="AY109" s="756"/>
      <c r="AZ109" s="756"/>
      <c r="BA109" s="756"/>
      <c r="BB109" s="756"/>
      <c r="BC109" s="756"/>
      <c r="BD109" s="756"/>
      <c r="BE109" s="756"/>
    </row>
    <row r="110" spans="1:57" s="734" customFormat="1" ht="13.15" hidden="1" customHeight="1" outlineLevel="2" x14ac:dyDescent="0.2">
      <c r="A110" s="522"/>
      <c r="B110" s="732"/>
      <c r="C110" s="732"/>
      <c r="D110" s="732"/>
      <c r="E110" s="738" t="str">
        <f xml:space="preserve"> E$108</f>
        <v>EBL available for drawdown for costs</v>
      </c>
      <c r="F110" s="738">
        <f xml:space="preserve"> F$108</f>
        <v>86318.253106861201</v>
      </c>
      <c r="G110" s="738" t="str">
        <f xml:space="preserve"> G$108</f>
        <v>$ 000s</v>
      </c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  <c r="AD110" s="114"/>
      <c r="AE110" s="114"/>
      <c r="AF110" s="114"/>
      <c r="AG110" s="114"/>
      <c r="AH110" s="114"/>
      <c r="AI110" s="114"/>
      <c r="AJ110" s="114"/>
      <c r="AK110" s="114"/>
      <c r="AL110" s="114"/>
      <c r="AM110" s="114"/>
      <c r="AN110" s="114"/>
      <c r="AO110" s="114"/>
      <c r="AP110" s="114"/>
      <c r="AQ110" s="114"/>
      <c r="AR110" s="114"/>
      <c r="AS110" s="114"/>
      <c r="AT110" s="114"/>
      <c r="AU110" s="114"/>
      <c r="AV110" s="114"/>
      <c r="AW110" s="114"/>
      <c r="AX110" s="114"/>
      <c r="AY110" s="114"/>
      <c r="AZ110" s="114"/>
      <c r="BA110" s="114"/>
      <c r="BB110" s="114"/>
      <c r="BC110" s="114"/>
      <c r="BD110" s="114"/>
      <c r="BE110" s="114"/>
    </row>
    <row r="111" spans="1:57" s="734" customFormat="1" ht="13.15" hidden="1" customHeight="1" outlineLevel="2" x14ac:dyDescent="0.2">
      <c r="A111" s="522"/>
      <c r="B111" s="732"/>
      <c r="C111" s="732"/>
      <c r="D111" s="732"/>
      <c r="E111" s="768" t="str">
        <f t="shared" ref="E111:AJ111" si="68" xml:space="preserve"> E$116</f>
        <v>Equity bridge drawdown - m</v>
      </c>
      <c r="F111" s="768">
        <f t="shared" si="68"/>
        <v>0</v>
      </c>
      <c r="G111" s="768" t="str">
        <f t="shared" si="68"/>
        <v>$ 000s</v>
      </c>
      <c r="H111" s="768">
        <f t="shared" si="68"/>
        <v>86318.253106861201</v>
      </c>
      <c r="I111" s="768">
        <f t="shared" si="68"/>
        <v>0</v>
      </c>
      <c r="J111" s="768">
        <f t="shared" si="68"/>
        <v>0</v>
      </c>
      <c r="K111" s="768">
        <f t="shared" si="68"/>
        <v>0</v>
      </c>
      <c r="L111" s="768">
        <f t="shared" si="68"/>
        <v>0</v>
      </c>
      <c r="M111" s="768">
        <f t="shared" si="68"/>
        <v>14843.424770244494</v>
      </c>
      <c r="N111" s="768">
        <f t="shared" si="68"/>
        <v>11841.327808384644</v>
      </c>
      <c r="O111" s="768">
        <f t="shared" si="68"/>
        <v>11870.259742712651</v>
      </c>
      <c r="P111" s="768">
        <f t="shared" si="68"/>
        <v>11907.687320687248</v>
      </c>
      <c r="Q111" s="768">
        <f t="shared" si="68"/>
        <v>11941.012306690816</v>
      </c>
      <c r="R111" s="768">
        <f t="shared" si="68"/>
        <v>11966.998590891828</v>
      </c>
      <c r="S111" s="768">
        <f t="shared" si="68"/>
        <v>11947.542567249518</v>
      </c>
      <c r="T111" s="768">
        <f t="shared" si="68"/>
        <v>0</v>
      </c>
      <c r="U111" s="768">
        <f t="shared" si="68"/>
        <v>0</v>
      </c>
      <c r="V111" s="768">
        <f t="shared" si="68"/>
        <v>0</v>
      </c>
      <c r="W111" s="768">
        <f t="shared" si="68"/>
        <v>0</v>
      </c>
      <c r="X111" s="768">
        <f t="shared" si="68"/>
        <v>0</v>
      </c>
      <c r="Y111" s="768">
        <f t="shared" si="68"/>
        <v>0</v>
      </c>
      <c r="Z111" s="768">
        <f t="shared" si="68"/>
        <v>0</v>
      </c>
      <c r="AA111" s="768">
        <f t="shared" si="68"/>
        <v>0</v>
      </c>
      <c r="AB111" s="768">
        <f t="shared" si="68"/>
        <v>0</v>
      </c>
      <c r="AC111" s="768">
        <f t="shared" si="68"/>
        <v>0</v>
      </c>
      <c r="AD111" s="768">
        <f t="shared" si="68"/>
        <v>0</v>
      </c>
      <c r="AE111" s="768">
        <f t="shared" si="68"/>
        <v>0</v>
      </c>
      <c r="AF111" s="768">
        <f t="shared" si="68"/>
        <v>0</v>
      </c>
      <c r="AG111" s="768">
        <f t="shared" si="68"/>
        <v>0</v>
      </c>
      <c r="AH111" s="768">
        <f t="shared" si="68"/>
        <v>0</v>
      </c>
      <c r="AI111" s="768">
        <f t="shared" si="68"/>
        <v>0</v>
      </c>
      <c r="AJ111" s="768">
        <f t="shared" si="68"/>
        <v>0</v>
      </c>
      <c r="AK111" s="768">
        <f t="shared" ref="AK111:BE111" si="69" xml:space="preserve"> AK$116</f>
        <v>0</v>
      </c>
      <c r="AL111" s="768">
        <f t="shared" si="69"/>
        <v>0</v>
      </c>
      <c r="AM111" s="768">
        <f t="shared" si="69"/>
        <v>0</v>
      </c>
      <c r="AN111" s="768">
        <f t="shared" si="69"/>
        <v>0</v>
      </c>
      <c r="AO111" s="768">
        <f t="shared" si="69"/>
        <v>0</v>
      </c>
      <c r="AP111" s="768">
        <f t="shared" si="69"/>
        <v>0</v>
      </c>
      <c r="AQ111" s="768">
        <f t="shared" si="69"/>
        <v>0</v>
      </c>
      <c r="AR111" s="768">
        <f t="shared" si="69"/>
        <v>0</v>
      </c>
      <c r="AS111" s="768">
        <f t="shared" si="69"/>
        <v>0</v>
      </c>
      <c r="AT111" s="768">
        <f t="shared" si="69"/>
        <v>0</v>
      </c>
      <c r="AU111" s="768">
        <f t="shared" si="69"/>
        <v>0</v>
      </c>
      <c r="AV111" s="768">
        <f t="shared" si="69"/>
        <v>0</v>
      </c>
      <c r="AW111" s="768">
        <f t="shared" si="69"/>
        <v>0</v>
      </c>
      <c r="AX111" s="768">
        <f t="shared" si="69"/>
        <v>0</v>
      </c>
      <c r="AY111" s="768">
        <f t="shared" si="69"/>
        <v>0</v>
      </c>
      <c r="AZ111" s="768">
        <f t="shared" si="69"/>
        <v>0</v>
      </c>
      <c r="BA111" s="768">
        <f t="shared" si="69"/>
        <v>0</v>
      </c>
      <c r="BB111" s="768">
        <f t="shared" si="69"/>
        <v>0</v>
      </c>
      <c r="BC111" s="768">
        <f t="shared" si="69"/>
        <v>0</v>
      </c>
      <c r="BD111" s="768">
        <f t="shared" si="69"/>
        <v>0</v>
      </c>
      <c r="BE111" s="768">
        <f t="shared" si="69"/>
        <v>0</v>
      </c>
    </row>
    <row r="112" spans="1:57" s="734" customFormat="1" ht="13.15" hidden="1" customHeight="1" outlineLevel="2" x14ac:dyDescent="0.2">
      <c r="A112" s="522"/>
      <c r="B112" s="732"/>
      <c r="C112" s="732"/>
      <c r="D112" s="732"/>
      <c r="E112" s="742" t="s">
        <v>518</v>
      </c>
      <c r="F112" s="742"/>
      <c r="G112" s="742" t="str">
        <f>SMU</f>
        <v>$ 000s</v>
      </c>
      <c r="H112" s="114"/>
      <c r="I112" s="114"/>
      <c r="J112" s="742">
        <f xml:space="preserve"> ($F110 - SUM($I111:I111))</f>
        <v>86318.253106861201</v>
      </c>
      <c r="K112" s="742">
        <f xml:space="preserve"> ($F110 - SUM($I111:J111))</f>
        <v>86318.253106861201</v>
      </c>
      <c r="L112" s="742">
        <f xml:space="preserve"> ($F110 - SUM($I111:K111))</f>
        <v>86318.253106861201</v>
      </c>
      <c r="M112" s="742">
        <f xml:space="preserve"> ($F110 - SUM($I111:L111))</f>
        <v>86318.253106861201</v>
      </c>
      <c r="N112" s="742">
        <f xml:space="preserve"> ($F110 - SUM($I111:M111))</f>
        <v>71474.828336616702</v>
      </c>
      <c r="O112" s="742">
        <f xml:space="preserve"> ($F110 - SUM($I111:N111))</f>
        <v>59633.500528232064</v>
      </c>
      <c r="P112" s="742">
        <f xml:space="preserve"> ($F110 - SUM($I111:O111))</f>
        <v>47763.240785519411</v>
      </c>
      <c r="Q112" s="742">
        <f xml:space="preserve"> ($F110 - SUM($I111:P111))</f>
        <v>35855.553464832163</v>
      </c>
      <c r="R112" s="742">
        <f xml:space="preserve"> ($F110 - SUM($I111:Q111))</f>
        <v>23914.54115814135</v>
      </c>
      <c r="S112" s="742">
        <f xml:space="preserve"> ($F110 - SUM($I111:R111))</f>
        <v>11947.542567249518</v>
      </c>
      <c r="T112" s="742">
        <f xml:space="preserve"> ($F110 - SUM($I111:S111))</f>
        <v>0</v>
      </c>
      <c r="U112" s="742">
        <f xml:space="preserve"> ($F110 - SUM($I111:T111))</f>
        <v>0</v>
      </c>
      <c r="V112" s="742">
        <f xml:space="preserve"> ($F110 - SUM($I111:U111))</f>
        <v>0</v>
      </c>
      <c r="W112" s="742">
        <f xml:space="preserve"> ($F110 - SUM($I111:V111))</f>
        <v>0</v>
      </c>
      <c r="X112" s="742">
        <f xml:space="preserve"> ($F110 - SUM($I111:W111))</f>
        <v>0</v>
      </c>
      <c r="Y112" s="742">
        <f xml:space="preserve"> ($F110 - SUM($I111:X111))</f>
        <v>0</v>
      </c>
      <c r="Z112" s="742">
        <f xml:space="preserve"> ($F110 - SUM($I111:Y111))</f>
        <v>0</v>
      </c>
      <c r="AA112" s="742">
        <f xml:space="preserve"> ($F110 - SUM($I111:Z111))</f>
        <v>0</v>
      </c>
      <c r="AB112" s="742">
        <f xml:space="preserve"> ($F110 - SUM($I111:AA111))</f>
        <v>0</v>
      </c>
      <c r="AC112" s="742">
        <f xml:space="preserve"> ($F110 - SUM($I111:AB111))</f>
        <v>0</v>
      </c>
      <c r="AD112" s="742">
        <f xml:space="preserve"> ($F110 - SUM($I111:AC111))</f>
        <v>0</v>
      </c>
      <c r="AE112" s="742">
        <f xml:space="preserve"> ($F110 - SUM($I111:AD111))</f>
        <v>0</v>
      </c>
      <c r="AF112" s="742">
        <f xml:space="preserve"> ($F110 - SUM($I111:AE111))</f>
        <v>0</v>
      </c>
      <c r="AG112" s="742">
        <f xml:space="preserve"> ($F110 - SUM($I111:AF111))</f>
        <v>0</v>
      </c>
      <c r="AH112" s="742">
        <f xml:space="preserve"> ($F110 - SUM($I111:AG111))</f>
        <v>0</v>
      </c>
      <c r="AI112" s="742">
        <f xml:space="preserve"> ($F110 - SUM($I111:AH111))</f>
        <v>0</v>
      </c>
      <c r="AJ112" s="742">
        <f xml:space="preserve"> ($F110 - SUM($I111:AI111))</f>
        <v>0</v>
      </c>
      <c r="AK112" s="742">
        <f xml:space="preserve"> ($F110 - SUM($I111:AJ111))</f>
        <v>0</v>
      </c>
      <c r="AL112" s="742">
        <f xml:space="preserve"> ($F110 - SUM($I111:AK111))</f>
        <v>0</v>
      </c>
      <c r="AM112" s="742">
        <f xml:space="preserve"> ($F110 - SUM($I111:AL111))</f>
        <v>0</v>
      </c>
      <c r="AN112" s="742">
        <f xml:space="preserve"> ($F110 - SUM($I111:AM111))</f>
        <v>0</v>
      </c>
      <c r="AO112" s="742">
        <f xml:space="preserve"> ($F110 - SUM($I111:AN111))</f>
        <v>0</v>
      </c>
      <c r="AP112" s="742">
        <f xml:space="preserve"> ($F110 - SUM($I111:AO111))</f>
        <v>0</v>
      </c>
      <c r="AQ112" s="742">
        <f xml:space="preserve"> ($F110 - SUM($I111:AP111))</f>
        <v>0</v>
      </c>
      <c r="AR112" s="742">
        <f xml:space="preserve"> ($F110 - SUM($I111:AQ111))</f>
        <v>0</v>
      </c>
      <c r="AS112" s="742">
        <f xml:space="preserve"> ($F110 - SUM($I111:AR111))</f>
        <v>0</v>
      </c>
      <c r="AT112" s="742">
        <f xml:space="preserve"> ($F110 - SUM($I111:AS111))</f>
        <v>0</v>
      </c>
      <c r="AU112" s="742">
        <f xml:space="preserve"> ($F110 - SUM($I111:AT111))</f>
        <v>0</v>
      </c>
      <c r="AV112" s="742">
        <f xml:space="preserve"> ($F110 - SUM($I111:AU111))</f>
        <v>0</v>
      </c>
      <c r="AW112" s="742">
        <f xml:space="preserve"> ($F110 - SUM($I111:AV111))</f>
        <v>0</v>
      </c>
      <c r="AX112" s="742">
        <f xml:space="preserve"> ($F110 - SUM($I111:AW111))</f>
        <v>0</v>
      </c>
      <c r="AY112" s="742">
        <f xml:space="preserve"> ($F110 - SUM($I111:AX111))</f>
        <v>0</v>
      </c>
      <c r="AZ112" s="742">
        <f xml:space="preserve"> ($F110 - SUM($I111:AY111))</f>
        <v>0</v>
      </c>
      <c r="BA112" s="742">
        <f xml:space="preserve"> ($F110 - SUM($I111:AZ111))</f>
        <v>0</v>
      </c>
      <c r="BB112" s="742">
        <f xml:space="preserve"> ($F110 - SUM($I111:BA111))</f>
        <v>0</v>
      </c>
      <c r="BC112" s="742">
        <f xml:space="preserve"> ($F110 - SUM($I111:BB111))</f>
        <v>0</v>
      </c>
      <c r="BD112" s="742">
        <f xml:space="preserve"> ($F110 - SUM($I111:BC111))</f>
        <v>0</v>
      </c>
      <c r="BE112" s="742">
        <f xml:space="preserve"> ($F110 - SUM($I111:BD111))</f>
        <v>0</v>
      </c>
    </row>
    <row r="113" spans="1:57" s="734" customFormat="1" ht="13.15" hidden="1" customHeight="1" outlineLevel="2" x14ac:dyDescent="0.2">
      <c r="A113" s="522"/>
      <c r="B113" s="732"/>
      <c r="C113" s="732"/>
      <c r="D113" s="732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4"/>
      <c r="AG113" s="114"/>
      <c r="AH113" s="114"/>
      <c r="AI113" s="114"/>
      <c r="AJ113" s="114"/>
      <c r="AK113" s="114"/>
      <c r="AL113" s="114"/>
      <c r="AM113" s="114"/>
      <c r="AN113" s="114"/>
      <c r="AO113" s="114"/>
      <c r="AP113" s="114"/>
      <c r="AQ113" s="114"/>
      <c r="AR113" s="114"/>
      <c r="AS113" s="114"/>
      <c r="AT113" s="114"/>
      <c r="AU113" s="114"/>
      <c r="AV113" s="114"/>
      <c r="AW113" s="114"/>
      <c r="AX113" s="114"/>
      <c r="AY113" s="114"/>
      <c r="AZ113" s="114"/>
      <c r="BA113" s="114"/>
      <c r="BB113" s="114"/>
      <c r="BC113" s="114"/>
      <c r="BD113" s="114"/>
      <c r="BE113" s="114"/>
    </row>
    <row r="114" spans="1:57" s="764" customFormat="1" ht="13.15" hidden="1" customHeight="1" outlineLevel="2" x14ac:dyDescent="0.2">
      <c r="A114" s="522"/>
      <c r="B114" s="732"/>
      <c r="C114" s="732"/>
      <c r="D114" s="732"/>
      <c r="E114" s="738" t="str">
        <f t="shared" ref="E114:AJ114" si="70" xml:space="preserve"> E$104</f>
        <v>Funding requirement for EBL</v>
      </c>
      <c r="F114" s="738">
        <f t="shared" si="70"/>
        <v>0</v>
      </c>
      <c r="G114" s="738" t="str">
        <f t="shared" si="70"/>
        <v>$ 000s</v>
      </c>
      <c r="H114" s="738">
        <f t="shared" si="70"/>
        <v>336708.10907557519</v>
      </c>
      <c r="I114" s="738">
        <f t="shared" si="70"/>
        <v>0</v>
      </c>
      <c r="J114" s="738">
        <f t="shared" si="70"/>
        <v>0</v>
      </c>
      <c r="K114" s="738">
        <f t="shared" si="70"/>
        <v>0</v>
      </c>
      <c r="L114" s="738">
        <f t="shared" si="70"/>
        <v>0</v>
      </c>
      <c r="M114" s="738">
        <f t="shared" si="70"/>
        <v>14843.424770244494</v>
      </c>
      <c r="N114" s="738">
        <f t="shared" si="70"/>
        <v>11841.327808384644</v>
      </c>
      <c r="O114" s="738">
        <f t="shared" si="70"/>
        <v>11870.259742712651</v>
      </c>
      <c r="P114" s="738">
        <f t="shared" si="70"/>
        <v>11907.687320687248</v>
      </c>
      <c r="Q114" s="738">
        <f t="shared" si="70"/>
        <v>11941.012306690816</v>
      </c>
      <c r="R114" s="738">
        <f t="shared" si="70"/>
        <v>11966.998590891828</v>
      </c>
      <c r="S114" s="738">
        <f t="shared" si="70"/>
        <v>12007.921531555499</v>
      </c>
      <c r="T114" s="738">
        <f t="shared" si="70"/>
        <v>12031.934187437519</v>
      </c>
      <c r="U114" s="738">
        <f t="shared" si="70"/>
        <v>12076.190635536972</v>
      </c>
      <c r="V114" s="738">
        <f t="shared" si="70"/>
        <v>12110.976773522409</v>
      </c>
      <c r="W114" s="738">
        <f t="shared" si="70"/>
        <v>12104.694875399815</v>
      </c>
      <c r="X114" s="738">
        <f t="shared" si="70"/>
        <v>12180.731360946033</v>
      </c>
      <c r="Y114" s="738">
        <f t="shared" si="70"/>
        <v>12199.330047588888</v>
      </c>
      <c r="Z114" s="738">
        <f t="shared" si="70"/>
        <v>12250.959482205111</v>
      </c>
      <c r="AA114" s="738">
        <f t="shared" si="70"/>
        <v>12266.975848549024</v>
      </c>
      <c r="AB114" s="738">
        <f t="shared" si="70"/>
        <v>12321.584756958357</v>
      </c>
      <c r="AC114" s="738">
        <f t="shared" si="70"/>
        <v>12357.077766346292</v>
      </c>
      <c r="AD114" s="738">
        <f t="shared" si="70"/>
        <v>12369.192114605235</v>
      </c>
      <c r="AE114" s="738">
        <f t="shared" si="70"/>
        <v>12428.303160347879</v>
      </c>
      <c r="AF114" s="738">
        <f t="shared" si="70"/>
        <v>12437.798518130739</v>
      </c>
      <c r="AG114" s="738">
        <f t="shared" si="70"/>
        <v>12499.931347612244</v>
      </c>
      <c r="AH114" s="738">
        <f t="shared" si="70"/>
        <v>10545.938094264708</v>
      </c>
      <c r="AI114" s="738">
        <f t="shared" si="70"/>
        <v>10515.623743976959</v>
      </c>
      <c r="AJ114" s="738">
        <f t="shared" si="70"/>
        <v>10606.607093158804</v>
      </c>
      <c r="AK114" s="738">
        <f t="shared" ref="AK114:BE114" si="71" xml:space="preserve"> AK$104</f>
        <v>10604.408171304991</v>
      </c>
      <c r="AL114" s="738">
        <f t="shared" si="71"/>
        <v>10667.706600951156</v>
      </c>
      <c r="AM114" s="738">
        <f t="shared" si="71"/>
        <v>25753.512425564993</v>
      </c>
      <c r="AN114" s="738">
        <f t="shared" si="71"/>
        <v>0</v>
      </c>
      <c r="AO114" s="738">
        <f t="shared" si="71"/>
        <v>0</v>
      </c>
      <c r="AP114" s="738">
        <f t="shared" si="71"/>
        <v>0</v>
      </c>
      <c r="AQ114" s="738">
        <f t="shared" si="71"/>
        <v>0</v>
      </c>
      <c r="AR114" s="738">
        <f t="shared" si="71"/>
        <v>0</v>
      </c>
      <c r="AS114" s="738">
        <f t="shared" si="71"/>
        <v>0</v>
      </c>
      <c r="AT114" s="738">
        <f t="shared" si="71"/>
        <v>0</v>
      </c>
      <c r="AU114" s="738">
        <f t="shared" si="71"/>
        <v>0</v>
      </c>
      <c r="AV114" s="738">
        <f t="shared" si="71"/>
        <v>0</v>
      </c>
      <c r="AW114" s="738">
        <f t="shared" si="71"/>
        <v>0</v>
      </c>
      <c r="AX114" s="738">
        <f t="shared" si="71"/>
        <v>0</v>
      </c>
      <c r="AY114" s="738">
        <f t="shared" si="71"/>
        <v>0</v>
      </c>
      <c r="AZ114" s="738">
        <f t="shared" si="71"/>
        <v>0</v>
      </c>
      <c r="BA114" s="738">
        <f t="shared" si="71"/>
        <v>0</v>
      </c>
      <c r="BB114" s="738">
        <f t="shared" si="71"/>
        <v>0</v>
      </c>
      <c r="BC114" s="738">
        <f t="shared" si="71"/>
        <v>0</v>
      </c>
      <c r="BD114" s="738">
        <f t="shared" si="71"/>
        <v>0</v>
      </c>
      <c r="BE114" s="738">
        <f t="shared" si="71"/>
        <v>0</v>
      </c>
    </row>
    <row r="115" spans="1:57" s="734" customFormat="1" ht="13.15" hidden="1" customHeight="1" outlineLevel="2" x14ac:dyDescent="0.2">
      <c r="A115" s="522"/>
      <c r="B115" s="732"/>
      <c r="C115" s="732"/>
      <c r="D115" s="732"/>
      <c r="E115" s="740" t="str">
        <f t="shared" ref="E115:AJ115" si="72" xml:space="preserve"> E$112</f>
        <v>Undrawn equity bridge loan</v>
      </c>
      <c r="F115" s="740">
        <f t="shared" si="72"/>
        <v>0</v>
      </c>
      <c r="G115" s="740" t="str">
        <f t="shared" si="72"/>
        <v>$ 000s</v>
      </c>
      <c r="H115" s="740">
        <f t="shared" si="72"/>
        <v>0</v>
      </c>
      <c r="I115" s="740">
        <f t="shared" si="72"/>
        <v>0</v>
      </c>
      <c r="J115" s="740">
        <f t="shared" si="72"/>
        <v>86318.253106861201</v>
      </c>
      <c r="K115" s="740">
        <f t="shared" si="72"/>
        <v>86318.253106861201</v>
      </c>
      <c r="L115" s="740">
        <f t="shared" si="72"/>
        <v>86318.253106861201</v>
      </c>
      <c r="M115" s="740">
        <f t="shared" si="72"/>
        <v>86318.253106861201</v>
      </c>
      <c r="N115" s="740">
        <f t="shared" si="72"/>
        <v>71474.828336616702</v>
      </c>
      <c r="O115" s="740">
        <f t="shared" si="72"/>
        <v>59633.500528232064</v>
      </c>
      <c r="P115" s="740">
        <f t="shared" si="72"/>
        <v>47763.240785519411</v>
      </c>
      <c r="Q115" s="740">
        <f t="shared" si="72"/>
        <v>35855.553464832163</v>
      </c>
      <c r="R115" s="740">
        <f t="shared" si="72"/>
        <v>23914.54115814135</v>
      </c>
      <c r="S115" s="740">
        <f t="shared" si="72"/>
        <v>11947.542567249518</v>
      </c>
      <c r="T115" s="740">
        <f t="shared" si="72"/>
        <v>0</v>
      </c>
      <c r="U115" s="740">
        <f t="shared" si="72"/>
        <v>0</v>
      </c>
      <c r="V115" s="740">
        <f t="shared" si="72"/>
        <v>0</v>
      </c>
      <c r="W115" s="740">
        <f t="shared" si="72"/>
        <v>0</v>
      </c>
      <c r="X115" s="740">
        <f t="shared" si="72"/>
        <v>0</v>
      </c>
      <c r="Y115" s="740">
        <f t="shared" si="72"/>
        <v>0</v>
      </c>
      <c r="Z115" s="740">
        <f t="shared" si="72"/>
        <v>0</v>
      </c>
      <c r="AA115" s="740">
        <f t="shared" si="72"/>
        <v>0</v>
      </c>
      <c r="AB115" s="740">
        <f t="shared" si="72"/>
        <v>0</v>
      </c>
      <c r="AC115" s="740">
        <f t="shared" si="72"/>
        <v>0</v>
      </c>
      <c r="AD115" s="740">
        <f t="shared" si="72"/>
        <v>0</v>
      </c>
      <c r="AE115" s="740">
        <f t="shared" si="72"/>
        <v>0</v>
      </c>
      <c r="AF115" s="740">
        <f t="shared" si="72"/>
        <v>0</v>
      </c>
      <c r="AG115" s="740">
        <f t="shared" si="72"/>
        <v>0</v>
      </c>
      <c r="AH115" s="740">
        <f t="shared" si="72"/>
        <v>0</v>
      </c>
      <c r="AI115" s="740">
        <f t="shared" si="72"/>
        <v>0</v>
      </c>
      <c r="AJ115" s="740">
        <f t="shared" si="72"/>
        <v>0</v>
      </c>
      <c r="AK115" s="740">
        <f t="shared" ref="AK115:BE115" si="73" xml:space="preserve"> AK$112</f>
        <v>0</v>
      </c>
      <c r="AL115" s="740">
        <f t="shared" si="73"/>
        <v>0</v>
      </c>
      <c r="AM115" s="740">
        <f t="shared" si="73"/>
        <v>0</v>
      </c>
      <c r="AN115" s="740">
        <f t="shared" si="73"/>
        <v>0</v>
      </c>
      <c r="AO115" s="740">
        <f t="shared" si="73"/>
        <v>0</v>
      </c>
      <c r="AP115" s="740">
        <f t="shared" si="73"/>
        <v>0</v>
      </c>
      <c r="AQ115" s="740">
        <f t="shared" si="73"/>
        <v>0</v>
      </c>
      <c r="AR115" s="740">
        <f t="shared" si="73"/>
        <v>0</v>
      </c>
      <c r="AS115" s="740">
        <f t="shared" si="73"/>
        <v>0</v>
      </c>
      <c r="AT115" s="740">
        <f t="shared" si="73"/>
        <v>0</v>
      </c>
      <c r="AU115" s="740">
        <f t="shared" si="73"/>
        <v>0</v>
      </c>
      <c r="AV115" s="740">
        <f t="shared" si="73"/>
        <v>0</v>
      </c>
      <c r="AW115" s="740">
        <f t="shared" si="73"/>
        <v>0</v>
      </c>
      <c r="AX115" s="740">
        <f t="shared" si="73"/>
        <v>0</v>
      </c>
      <c r="AY115" s="740">
        <f t="shared" si="73"/>
        <v>0</v>
      </c>
      <c r="AZ115" s="740">
        <f t="shared" si="73"/>
        <v>0</v>
      </c>
      <c r="BA115" s="740">
        <f t="shared" si="73"/>
        <v>0</v>
      </c>
      <c r="BB115" s="740">
        <f t="shared" si="73"/>
        <v>0</v>
      </c>
      <c r="BC115" s="740">
        <f t="shared" si="73"/>
        <v>0</v>
      </c>
      <c r="BD115" s="740">
        <f t="shared" si="73"/>
        <v>0</v>
      </c>
      <c r="BE115" s="740">
        <f t="shared" si="73"/>
        <v>0</v>
      </c>
    </row>
    <row r="116" spans="1:57" s="757" customFormat="1" ht="13.15" hidden="1" customHeight="1" outlineLevel="2" x14ac:dyDescent="0.2">
      <c r="A116" s="527"/>
      <c r="B116" s="769"/>
      <c r="C116" s="769"/>
      <c r="D116" s="769"/>
      <c r="E116" s="770" t="s">
        <v>519</v>
      </c>
      <c r="F116" s="770"/>
      <c r="G116" s="770" t="str">
        <f>SMU</f>
        <v>$ 000s</v>
      </c>
      <c r="H116" s="770">
        <f xml:space="preserve"> SUM(J116:BE116)</f>
        <v>86318.253106861201</v>
      </c>
      <c r="I116" s="771"/>
      <c r="J116" s="770">
        <f t="shared" ref="J116:BE116" si="74" xml:space="preserve"> MAX(0, MIN(J114:J115))</f>
        <v>0</v>
      </c>
      <c r="K116" s="770">
        <f t="shared" si="74"/>
        <v>0</v>
      </c>
      <c r="L116" s="770">
        <f t="shared" si="74"/>
        <v>0</v>
      </c>
      <c r="M116" s="770">
        <f t="shared" si="74"/>
        <v>14843.424770244494</v>
      </c>
      <c r="N116" s="770">
        <f t="shared" si="74"/>
        <v>11841.327808384644</v>
      </c>
      <c r="O116" s="770">
        <f t="shared" si="74"/>
        <v>11870.259742712651</v>
      </c>
      <c r="P116" s="770">
        <f t="shared" si="74"/>
        <v>11907.687320687248</v>
      </c>
      <c r="Q116" s="770">
        <f t="shared" si="74"/>
        <v>11941.012306690816</v>
      </c>
      <c r="R116" s="770">
        <f t="shared" si="74"/>
        <v>11966.998590891828</v>
      </c>
      <c r="S116" s="770">
        <f t="shared" si="74"/>
        <v>11947.542567249518</v>
      </c>
      <c r="T116" s="770">
        <f t="shared" si="74"/>
        <v>0</v>
      </c>
      <c r="U116" s="770">
        <f t="shared" si="74"/>
        <v>0</v>
      </c>
      <c r="V116" s="770">
        <f t="shared" si="74"/>
        <v>0</v>
      </c>
      <c r="W116" s="770">
        <f t="shared" si="74"/>
        <v>0</v>
      </c>
      <c r="X116" s="770">
        <f t="shared" si="74"/>
        <v>0</v>
      </c>
      <c r="Y116" s="770">
        <f t="shared" si="74"/>
        <v>0</v>
      </c>
      <c r="Z116" s="770">
        <f t="shared" si="74"/>
        <v>0</v>
      </c>
      <c r="AA116" s="770">
        <f t="shared" si="74"/>
        <v>0</v>
      </c>
      <c r="AB116" s="770">
        <f t="shared" si="74"/>
        <v>0</v>
      </c>
      <c r="AC116" s="770">
        <f t="shared" si="74"/>
        <v>0</v>
      </c>
      <c r="AD116" s="770">
        <f t="shared" si="74"/>
        <v>0</v>
      </c>
      <c r="AE116" s="770">
        <f t="shared" si="74"/>
        <v>0</v>
      </c>
      <c r="AF116" s="770">
        <f t="shared" si="74"/>
        <v>0</v>
      </c>
      <c r="AG116" s="770">
        <f t="shared" si="74"/>
        <v>0</v>
      </c>
      <c r="AH116" s="770">
        <f t="shared" si="74"/>
        <v>0</v>
      </c>
      <c r="AI116" s="770">
        <f t="shared" si="74"/>
        <v>0</v>
      </c>
      <c r="AJ116" s="770">
        <f t="shared" si="74"/>
        <v>0</v>
      </c>
      <c r="AK116" s="770">
        <f t="shared" si="74"/>
        <v>0</v>
      </c>
      <c r="AL116" s="770">
        <f t="shared" si="74"/>
        <v>0</v>
      </c>
      <c r="AM116" s="770">
        <f t="shared" si="74"/>
        <v>0</v>
      </c>
      <c r="AN116" s="770">
        <f t="shared" si="74"/>
        <v>0</v>
      </c>
      <c r="AO116" s="770">
        <f t="shared" si="74"/>
        <v>0</v>
      </c>
      <c r="AP116" s="770">
        <f t="shared" si="74"/>
        <v>0</v>
      </c>
      <c r="AQ116" s="770">
        <f t="shared" si="74"/>
        <v>0</v>
      </c>
      <c r="AR116" s="770">
        <f t="shared" si="74"/>
        <v>0</v>
      </c>
      <c r="AS116" s="770">
        <f t="shared" si="74"/>
        <v>0</v>
      </c>
      <c r="AT116" s="770">
        <f t="shared" si="74"/>
        <v>0</v>
      </c>
      <c r="AU116" s="770">
        <f t="shared" si="74"/>
        <v>0</v>
      </c>
      <c r="AV116" s="770">
        <f t="shared" si="74"/>
        <v>0</v>
      </c>
      <c r="AW116" s="770">
        <f t="shared" si="74"/>
        <v>0</v>
      </c>
      <c r="AX116" s="770">
        <f t="shared" si="74"/>
        <v>0</v>
      </c>
      <c r="AY116" s="770">
        <f t="shared" si="74"/>
        <v>0</v>
      </c>
      <c r="AZ116" s="770">
        <f t="shared" si="74"/>
        <v>0</v>
      </c>
      <c r="BA116" s="770">
        <f t="shared" si="74"/>
        <v>0</v>
      </c>
      <c r="BB116" s="770">
        <f t="shared" si="74"/>
        <v>0</v>
      </c>
      <c r="BC116" s="770">
        <f t="shared" si="74"/>
        <v>0</v>
      </c>
      <c r="BD116" s="770">
        <f t="shared" si="74"/>
        <v>0</v>
      </c>
      <c r="BE116" s="770">
        <f t="shared" si="74"/>
        <v>0</v>
      </c>
    </row>
    <row r="117" spans="1:57" s="757" customFormat="1" ht="13.15" hidden="1" customHeight="1" outlineLevel="1" x14ac:dyDescent="0.2">
      <c r="A117" s="527"/>
      <c r="B117" s="769"/>
      <c r="C117" s="769"/>
      <c r="D117" s="769"/>
      <c r="E117" s="770"/>
      <c r="F117" s="770"/>
      <c r="G117" s="770"/>
      <c r="H117" s="770"/>
      <c r="I117" s="771"/>
      <c r="J117" s="770"/>
      <c r="K117" s="770"/>
      <c r="L117" s="770"/>
      <c r="M117" s="770"/>
      <c r="N117" s="770"/>
      <c r="O117" s="770"/>
      <c r="P117" s="770"/>
      <c r="Q117" s="770"/>
      <c r="R117" s="770"/>
      <c r="S117" s="770"/>
      <c r="T117" s="770"/>
      <c r="U117" s="770"/>
      <c r="V117" s="770"/>
      <c r="W117" s="770"/>
      <c r="X117" s="770"/>
      <c r="Y117" s="770"/>
      <c r="Z117" s="770"/>
      <c r="AA117" s="770"/>
      <c r="AB117" s="770"/>
      <c r="AC117" s="770"/>
      <c r="AD117" s="770"/>
      <c r="AE117" s="770"/>
      <c r="AF117" s="770"/>
      <c r="AG117" s="770"/>
      <c r="AH117" s="770"/>
      <c r="AI117" s="770"/>
      <c r="AJ117" s="770"/>
      <c r="AK117" s="770"/>
      <c r="AL117" s="770"/>
      <c r="AM117" s="770"/>
      <c r="AN117" s="770"/>
      <c r="AO117" s="770"/>
      <c r="AP117" s="770"/>
      <c r="AQ117" s="770"/>
      <c r="AR117" s="770"/>
      <c r="AS117" s="770"/>
      <c r="AT117" s="770"/>
      <c r="AU117" s="770"/>
      <c r="AV117" s="770"/>
      <c r="AW117" s="770"/>
      <c r="AX117" s="770"/>
      <c r="AY117" s="770"/>
      <c r="AZ117" s="770"/>
      <c r="BA117" s="770"/>
      <c r="BB117" s="770"/>
      <c r="BC117" s="770"/>
      <c r="BD117" s="770"/>
      <c r="BE117" s="770"/>
    </row>
    <row r="118" spans="1:57" s="767" customFormat="1" ht="13.15" hidden="1" customHeight="1" outlineLevel="1" x14ac:dyDescent="0.2">
      <c r="A118" s="762"/>
      <c r="B118" s="765" t="s">
        <v>521</v>
      </c>
      <c r="C118" s="766"/>
      <c r="D118" s="762"/>
      <c r="E118" s="751"/>
      <c r="F118" s="751"/>
      <c r="G118" s="751"/>
      <c r="H118" s="751"/>
      <c r="I118" s="751"/>
      <c r="J118" s="751"/>
      <c r="K118" s="751"/>
      <c r="L118" s="751"/>
      <c r="M118" s="751"/>
      <c r="N118" s="751"/>
      <c r="O118" s="751"/>
      <c r="P118" s="751"/>
      <c r="Q118" s="751"/>
      <c r="R118" s="751"/>
      <c r="S118" s="751"/>
      <c r="T118" s="751"/>
      <c r="U118" s="751"/>
      <c r="V118" s="751"/>
      <c r="W118" s="751"/>
      <c r="X118" s="751"/>
      <c r="Y118" s="751"/>
      <c r="Z118" s="751"/>
      <c r="AA118" s="751"/>
      <c r="AB118" s="751"/>
      <c r="AC118" s="751"/>
      <c r="AD118" s="751"/>
      <c r="AE118" s="751"/>
      <c r="AF118" s="751"/>
      <c r="AG118" s="751"/>
      <c r="AH118" s="751"/>
      <c r="AI118" s="751"/>
      <c r="AJ118" s="751"/>
      <c r="AK118" s="751"/>
      <c r="AL118" s="751"/>
      <c r="AM118" s="751"/>
      <c r="AN118" s="751"/>
      <c r="AO118" s="751"/>
      <c r="AP118" s="751"/>
      <c r="AQ118" s="751"/>
      <c r="AR118" s="751"/>
      <c r="AS118" s="751"/>
      <c r="AT118" s="751"/>
      <c r="AU118" s="751"/>
      <c r="AV118" s="751"/>
      <c r="AW118" s="751"/>
      <c r="AX118" s="751"/>
      <c r="AY118" s="751"/>
      <c r="AZ118" s="751"/>
      <c r="BA118" s="751"/>
      <c r="BB118" s="751"/>
      <c r="BC118" s="751"/>
      <c r="BD118" s="751"/>
      <c r="BE118" s="751"/>
    </row>
    <row r="119" spans="1:57" s="775" customFormat="1" ht="13.15" hidden="1" customHeight="1" outlineLevel="2" x14ac:dyDescent="0.2">
      <c r="A119" s="772"/>
      <c r="B119" s="772"/>
      <c r="C119" s="772"/>
      <c r="D119" s="772"/>
      <c r="E119" s="773" t="s">
        <v>520</v>
      </c>
      <c r="F119" s="773"/>
      <c r="G119" s="773" t="str">
        <f>SMU</f>
        <v>$ 000s</v>
      </c>
      <c r="H119" s="774"/>
      <c r="I119" s="774"/>
      <c r="J119" s="773">
        <f t="shared" ref="J119:BE119" si="75">I125</f>
        <v>0</v>
      </c>
      <c r="K119" s="773">
        <f t="shared" si="75"/>
        <v>0</v>
      </c>
      <c r="L119" s="773">
        <f t="shared" si="75"/>
        <v>0</v>
      </c>
      <c r="M119" s="773">
        <f t="shared" si="75"/>
        <v>0</v>
      </c>
      <c r="N119" s="773">
        <f t="shared" si="75"/>
        <v>14843.424770244494</v>
      </c>
      <c r="O119" s="773">
        <f t="shared" si="75"/>
        <v>26684.752578629137</v>
      </c>
      <c r="P119" s="773">
        <f t="shared" si="75"/>
        <v>38555.01232134179</v>
      </c>
      <c r="Q119" s="773">
        <f t="shared" si="75"/>
        <v>50462.699642029038</v>
      </c>
      <c r="R119" s="773">
        <f t="shared" si="75"/>
        <v>62403.711948719851</v>
      </c>
      <c r="S119" s="773">
        <f t="shared" si="75"/>
        <v>74370.710539611682</v>
      </c>
      <c r="T119" s="773">
        <f t="shared" si="75"/>
        <v>86318.253106861201</v>
      </c>
      <c r="U119" s="773">
        <f t="shared" si="75"/>
        <v>86318.253106861201</v>
      </c>
      <c r="V119" s="773">
        <f t="shared" si="75"/>
        <v>86318.253106861201</v>
      </c>
      <c r="W119" s="773">
        <f t="shared" si="75"/>
        <v>86318.253106861201</v>
      </c>
      <c r="X119" s="773">
        <f t="shared" si="75"/>
        <v>86318.253106861201</v>
      </c>
      <c r="Y119" s="773">
        <f t="shared" si="75"/>
        <v>86318.253106861201</v>
      </c>
      <c r="Z119" s="773">
        <f t="shared" si="75"/>
        <v>86318.253106861201</v>
      </c>
      <c r="AA119" s="773">
        <f t="shared" si="75"/>
        <v>86318.253106861201</v>
      </c>
      <c r="AB119" s="773">
        <f t="shared" si="75"/>
        <v>86318.253106861201</v>
      </c>
      <c r="AC119" s="773">
        <f t="shared" si="75"/>
        <v>86318.253106861201</v>
      </c>
      <c r="AD119" s="773">
        <f t="shared" si="75"/>
        <v>86318.253106861201</v>
      </c>
      <c r="AE119" s="773">
        <f t="shared" si="75"/>
        <v>86318.253106861201</v>
      </c>
      <c r="AF119" s="773">
        <f t="shared" si="75"/>
        <v>86318.253106861201</v>
      </c>
      <c r="AG119" s="773">
        <f t="shared" si="75"/>
        <v>86318.253106861201</v>
      </c>
      <c r="AH119" s="773">
        <f t="shared" si="75"/>
        <v>86318.253106861201</v>
      </c>
      <c r="AI119" s="773">
        <f t="shared" si="75"/>
        <v>86318.253106861201</v>
      </c>
      <c r="AJ119" s="773">
        <f t="shared" si="75"/>
        <v>86318.253106861201</v>
      </c>
      <c r="AK119" s="773">
        <f t="shared" si="75"/>
        <v>86318.253106861201</v>
      </c>
      <c r="AL119" s="773">
        <f t="shared" si="75"/>
        <v>86318.253106861201</v>
      </c>
      <c r="AM119" s="773">
        <f t="shared" si="75"/>
        <v>86318.253106861201</v>
      </c>
      <c r="AN119" s="773">
        <f t="shared" si="75"/>
        <v>0</v>
      </c>
      <c r="AO119" s="773">
        <f t="shared" si="75"/>
        <v>0</v>
      </c>
      <c r="AP119" s="773">
        <f t="shared" si="75"/>
        <v>0</v>
      </c>
      <c r="AQ119" s="773">
        <f t="shared" si="75"/>
        <v>0</v>
      </c>
      <c r="AR119" s="773">
        <f t="shared" si="75"/>
        <v>0</v>
      </c>
      <c r="AS119" s="773">
        <f t="shared" si="75"/>
        <v>0</v>
      </c>
      <c r="AT119" s="773">
        <f t="shared" si="75"/>
        <v>0</v>
      </c>
      <c r="AU119" s="773">
        <f t="shared" si="75"/>
        <v>0</v>
      </c>
      <c r="AV119" s="773">
        <f t="shared" si="75"/>
        <v>0</v>
      </c>
      <c r="AW119" s="773">
        <f t="shared" si="75"/>
        <v>0</v>
      </c>
      <c r="AX119" s="773">
        <f t="shared" si="75"/>
        <v>0</v>
      </c>
      <c r="AY119" s="773">
        <f t="shared" si="75"/>
        <v>0</v>
      </c>
      <c r="AZ119" s="773">
        <f t="shared" si="75"/>
        <v>0</v>
      </c>
      <c r="BA119" s="773">
        <f t="shared" si="75"/>
        <v>0</v>
      </c>
      <c r="BB119" s="773">
        <f t="shared" si="75"/>
        <v>0</v>
      </c>
      <c r="BC119" s="773">
        <f t="shared" si="75"/>
        <v>0</v>
      </c>
      <c r="BD119" s="773">
        <f t="shared" si="75"/>
        <v>0</v>
      </c>
      <c r="BE119" s="773">
        <f t="shared" si="75"/>
        <v>0</v>
      </c>
    </row>
    <row r="120" spans="1:57" s="767" customFormat="1" ht="13.15" hidden="1" customHeight="1" outlineLevel="2" x14ac:dyDescent="0.2">
      <c r="A120" s="762"/>
      <c r="B120" s="762"/>
      <c r="C120" s="762"/>
      <c r="D120" s="776" t="s">
        <v>371</v>
      </c>
      <c r="E120" s="777" t="str">
        <f t="shared" ref="E120:AJ120" si="76" xml:space="preserve"> E$116</f>
        <v>Equity bridge drawdown - m</v>
      </c>
      <c r="F120" s="777">
        <f t="shared" si="76"/>
        <v>0</v>
      </c>
      <c r="G120" s="777" t="str">
        <f t="shared" si="76"/>
        <v>$ 000s</v>
      </c>
      <c r="H120" s="777">
        <f t="shared" si="76"/>
        <v>86318.253106861201</v>
      </c>
      <c r="I120" s="777">
        <f t="shared" si="76"/>
        <v>0</v>
      </c>
      <c r="J120" s="777">
        <f t="shared" si="76"/>
        <v>0</v>
      </c>
      <c r="K120" s="777">
        <f t="shared" si="76"/>
        <v>0</v>
      </c>
      <c r="L120" s="777">
        <f t="shared" si="76"/>
        <v>0</v>
      </c>
      <c r="M120" s="777">
        <f t="shared" si="76"/>
        <v>14843.424770244494</v>
      </c>
      <c r="N120" s="777">
        <f t="shared" si="76"/>
        <v>11841.327808384644</v>
      </c>
      <c r="O120" s="777">
        <f t="shared" si="76"/>
        <v>11870.259742712651</v>
      </c>
      <c r="P120" s="777">
        <f t="shared" si="76"/>
        <v>11907.687320687248</v>
      </c>
      <c r="Q120" s="777">
        <f t="shared" si="76"/>
        <v>11941.012306690816</v>
      </c>
      <c r="R120" s="777">
        <f t="shared" si="76"/>
        <v>11966.998590891828</v>
      </c>
      <c r="S120" s="777">
        <f t="shared" si="76"/>
        <v>11947.542567249518</v>
      </c>
      <c r="T120" s="777">
        <f t="shared" si="76"/>
        <v>0</v>
      </c>
      <c r="U120" s="777">
        <f t="shared" si="76"/>
        <v>0</v>
      </c>
      <c r="V120" s="777">
        <f t="shared" si="76"/>
        <v>0</v>
      </c>
      <c r="W120" s="777">
        <f t="shared" si="76"/>
        <v>0</v>
      </c>
      <c r="X120" s="777">
        <f t="shared" si="76"/>
        <v>0</v>
      </c>
      <c r="Y120" s="777">
        <f t="shared" si="76"/>
        <v>0</v>
      </c>
      <c r="Z120" s="777">
        <f t="shared" si="76"/>
        <v>0</v>
      </c>
      <c r="AA120" s="777">
        <f t="shared" si="76"/>
        <v>0</v>
      </c>
      <c r="AB120" s="777">
        <f t="shared" si="76"/>
        <v>0</v>
      </c>
      <c r="AC120" s="777">
        <f t="shared" si="76"/>
        <v>0</v>
      </c>
      <c r="AD120" s="777">
        <f t="shared" si="76"/>
        <v>0</v>
      </c>
      <c r="AE120" s="777">
        <f t="shared" si="76"/>
        <v>0</v>
      </c>
      <c r="AF120" s="777">
        <f t="shared" si="76"/>
        <v>0</v>
      </c>
      <c r="AG120" s="777">
        <f t="shared" si="76"/>
        <v>0</v>
      </c>
      <c r="AH120" s="777">
        <f t="shared" si="76"/>
        <v>0</v>
      </c>
      <c r="AI120" s="777">
        <f t="shared" si="76"/>
        <v>0</v>
      </c>
      <c r="AJ120" s="777">
        <f t="shared" si="76"/>
        <v>0</v>
      </c>
      <c r="AK120" s="777">
        <f t="shared" ref="AK120:BE120" si="77" xml:space="preserve"> AK$116</f>
        <v>0</v>
      </c>
      <c r="AL120" s="777">
        <f t="shared" si="77"/>
        <v>0</v>
      </c>
      <c r="AM120" s="777">
        <f t="shared" si="77"/>
        <v>0</v>
      </c>
      <c r="AN120" s="777">
        <f t="shared" si="77"/>
        <v>0</v>
      </c>
      <c r="AO120" s="777">
        <f t="shared" si="77"/>
        <v>0</v>
      </c>
      <c r="AP120" s="777">
        <f t="shared" si="77"/>
        <v>0</v>
      </c>
      <c r="AQ120" s="777">
        <f t="shared" si="77"/>
        <v>0</v>
      </c>
      <c r="AR120" s="777">
        <f t="shared" si="77"/>
        <v>0</v>
      </c>
      <c r="AS120" s="777">
        <f t="shared" si="77"/>
        <v>0</v>
      </c>
      <c r="AT120" s="777">
        <f t="shared" si="77"/>
        <v>0</v>
      </c>
      <c r="AU120" s="777">
        <f t="shared" si="77"/>
        <v>0</v>
      </c>
      <c r="AV120" s="777">
        <f t="shared" si="77"/>
        <v>0</v>
      </c>
      <c r="AW120" s="777">
        <f t="shared" si="77"/>
        <v>0</v>
      </c>
      <c r="AX120" s="777">
        <f t="shared" si="77"/>
        <v>0</v>
      </c>
      <c r="AY120" s="777">
        <f t="shared" si="77"/>
        <v>0</v>
      </c>
      <c r="AZ120" s="777">
        <f t="shared" si="77"/>
        <v>0</v>
      </c>
      <c r="BA120" s="777">
        <f t="shared" si="77"/>
        <v>0</v>
      </c>
      <c r="BB120" s="777">
        <f t="shared" si="77"/>
        <v>0</v>
      </c>
      <c r="BC120" s="777">
        <f t="shared" si="77"/>
        <v>0</v>
      </c>
      <c r="BD120" s="777">
        <f t="shared" si="77"/>
        <v>0</v>
      </c>
      <c r="BE120" s="777">
        <f t="shared" si="77"/>
        <v>0</v>
      </c>
    </row>
    <row r="121" spans="1:57" s="779" customFormat="1" ht="13.15" hidden="1" customHeight="1" outlineLevel="2" x14ac:dyDescent="0.2">
      <c r="A121" s="762"/>
      <c r="B121" s="762"/>
      <c r="C121" s="762"/>
      <c r="D121" s="776" t="s">
        <v>371</v>
      </c>
      <c r="E121" s="778" t="str">
        <f t="shared" ref="E121:AJ121" si="78" xml:space="preserve"> E$158</f>
        <v>Equity bridge interest - rolled up</v>
      </c>
      <c r="F121" s="778">
        <f t="shared" si="78"/>
        <v>0</v>
      </c>
      <c r="G121" s="778" t="str">
        <f t="shared" si="78"/>
        <v>$ 000s</v>
      </c>
      <c r="H121" s="778">
        <f t="shared" si="78"/>
        <v>0</v>
      </c>
      <c r="I121" s="778">
        <f t="shared" si="78"/>
        <v>0</v>
      </c>
      <c r="J121" s="778">
        <f t="shared" si="78"/>
        <v>0</v>
      </c>
      <c r="K121" s="778">
        <f t="shared" si="78"/>
        <v>0</v>
      </c>
      <c r="L121" s="778">
        <f t="shared" si="78"/>
        <v>0</v>
      </c>
      <c r="M121" s="778">
        <f t="shared" si="78"/>
        <v>0</v>
      </c>
      <c r="N121" s="778">
        <f t="shared" si="78"/>
        <v>0</v>
      </c>
      <c r="O121" s="778">
        <f t="shared" si="78"/>
        <v>0</v>
      </c>
      <c r="P121" s="778">
        <f t="shared" si="78"/>
        <v>0</v>
      </c>
      <c r="Q121" s="778">
        <f t="shared" si="78"/>
        <v>0</v>
      </c>
      <c r="R121" s="778">
        <f t="shared" si="78"/>
        <v>0</v>
      </c>
      <c r="S121" s="778">
        <f t="shared" si="78"/>
        <v>0</v>
      </c>
      <c r="T121" s="778">
        <f t="shared" si="78"/>
        <v>0</v>
      </c>
      <c r="U121" s="778">
        <f t="shared" si="78"/>
        <v>0</v>
      </c>
      <c r="V121" s="778">
        <f t="shared" si="78"/>
        <v>0</v>
      </c>
      <c r="W121" s="778">
        <f t="shared" si="78"/>
        <v>0</v>
      </c>
      <c r="X121" s="778">
        <f t="shared" si="78"/>
        <v>0</v>
      </c>
      <c r="Y121" s="778">
        <f t="shared" si="78"/>
        <v>0</v>
      </c>
      <c r="Z121" s="778">
        <f t="shared" si="78"/>
        <v>0</v>
      </c>
      <c r="AA121" s="778">
        <f t="shared" si="78"/>
        <v>0</v>
      </c>
      <c r="AB121" s="778">
        <f t="shared" si="78"/>
        <v>0</v>
      </c>
      <c r="AC121" s="778">
        <f t="shared" si="78"/>
        <v>0</v>
      </c>
      <c r="AD121" s="778">
        <f t="shared" si="78"/>
        <v>0</v>
      </c>
      <c r="AE121" s="778">
        <f t="shared" si="78"/>
        <v>0</v>
      </c>
      <c r="AF121" s="778">
        <f t="shared" si="78"/>
        <v>0</v>
      </c>
      <c r="AG121" s="778">
        <f t="shared" si="78"/>
        <v>0</v>
      </c>
      <c r="AH121" s="778">
        <f t="shared" si="78"/>
        <v>0</v>
      </c>
      <c r="AI121" s="778">
        <f t="shared" si="78"/>
        <v>0</v>
      </c>
      <c r="AJ121" s="778">
        <f t="shared" si="78"/>
        <v>0</v>
      </c>
      <c r="AK121" s="778">
        <f t="shared" ref="AK121:BE121" si="79" xml:space="preserve"> AK$158</f>
        <v>0</v>
      </c>
      <c r="AL121" s="778">
        <f t="shared" si="79"/>
        <v>0</v>
      </c>
      <c r="AM121" s="778">
        <f t="shared" si="79"/>
        <v>0</v>
      </c>
      <c r="AN121" s="778">
        <f t="shared" si="79"/>
        <v>0</v>
      </c>
      <c r="AO121" s="778">
        <f t="shared" si="79"/>
        <v>0</v>
      </c>
      <c r="AP121" s="778">
        <f t="shared" si="79"/>
        <v>0</v>
      </c>
      <c r="AQ121" s="778">
        <f t="shared" si="79"/>
        <v>0</v>
      </c>
      <c r="AR121" s="778">
        <f t="shared" si="79"/>
        <v>0</v>
      </c>
      <c r="AS121" s="778">
        <f t="shared" si="79"/>
        <v>0</v>
      </c>
      <c r="AT121" s="778">
        <f t="shared" si="79"/>
        <v>0</v>
      </c>
      <c r="AU121" s="778">
        <f t="shared" si="79"/>
        <v>0</v>
      </c>
      <c r="AV121" s="778">
        <f t="shared" si="79"/>
        <v>0</v>
      </c>
      <c r="AW121" s="778">
        <f t="shared" si="79"/>
        <v>0</v>
      </c>
      <c r="AX121" s="778">
        <f t="shared" si="79"/>
        <v>0</v>
      </c>
      <c r="AY121" s="778">
        <f t="shared" si="79"/>
        <v>0</v>
      </c>
      <c r="AZ121" s="778">
        <f t="shared" si="79"/>
        <v>0</v>
      </c>
      <c r="BA121" s="778">
        <f t="shared" si="79"/>
        <v>0</v>
      </c>
      <c r="BB121" s="778">
        <f t="shared" si="79"/>
        <v>0</v>
      </c>
      <c r="BC121" s="778">
        <f t="shared" si="79"/>
        <v>0</v>
      </c>
      <c r="BD121" s="778">
        <f t="shared" si="79"/>
        <v>0</v>
      </c>
      <c r="BE121" s="778">
        <f t="shared" si="79"/>
        <v>0</v>
      </c>
    </row>
    <row r="122" spans="1:57" s="779" customFormat="1" ht="13.15" hidden="1" customHeight="1" outlineLevel="2" x14ac:dyDescent="0.2">
      <c r="A122" s="762"/>
      <c r="B122" s="762"/>
      <c r="C122" s="762"/>
      <c r="D122" s="776" t="s">
        <v>371</v>
      </c>
      <c r="E122" s="778" t="str">
        <f t="shared" ref="E122:AJ122" si="80" xml:space="preserve"> E$172</f>
        <v>Equity bridge upfront fee - rolled up</v>
      </c>
      <c r="F122" s="778">
        <f t="shared" si="80"/>
        <v>0</v>
      </c>
      <c r="G122" s="778" t="str">
        <f t="shared" si="80"/>
        <v>$ 000s</v>
      </c>
      <c r="H122" s="778">
        <f t="shared" si="80"/>
        <v>0</v>
      </c>
      <c r="I122" s="778">
        <f t="shared" si="80"/>
        <v>0</v>
      </c>
      <c r="J122" s="778">
        <f t="shared" si="80"/>
        <v>0</v>
      </c>
      <c r="K122" s="778">
        <f t="shared" si="80"/>
        <v>0</v>
      </c>
      <c r="L122" s="778">
        <f t="shared" si="80"/>
        <v>0</v>
      </c>
      <c r="M122" s="778">
        <f t="shared" si="80"/>
        <v>0</v>
      </c>
      <c r="N122" s="778">
        <f t="shared" si="80"/>
        <v>0</v>
      </c>
      <c r="O122" s="778">
        <f t="shared" si="80"/>
        <v>0</v>
      </c>
      <c r="P122" s="778">
        <f t="shared" si="80"/>
        <v>0</v>
      </c>
      <c r="Q122" s="778">
        <f t="shared" si="80"/>
        <v>0</v>
      </c>
      <c r="R122" s="778">
        <f t="shared" si="80"/>
        <v>0</v>
      </c>
      <c r="S122" s="778">
        <f t="shared" si="80"/>
        <v>0</v>
      </c>
      <c r="T122" s="778">
        <f t="shared" si="80"/>
        <v>0</v>
      </c>
      <c r="U122" s="778">
        <f t="shared" si="80"/>
        <v>0</v>
      </c>
      <c r="V122" s="778">
        <f t="shared" si="80"/>
        <v>0</v>
      </c>
      <c r="W122" s="778">
        <f t="shared" si="80"/>
        <v>0</v>
      </c>
      <c r="X122" s="778">
        <f t="shared" si="80"/>
        <v>0</v>
      </c>
      <c r="Y122" s="778">
        <f t="shared" si="80"/>
        <v>0</v>
      </c>
      <c r="Z122" s="778">
        <f t="shared" si="80"/>
        <v>0</v>
      </c>
      <c r="AA122" s="778">
        <f t="shared" si="80"/>
        <v>0</v>
      </c>
      <c r="AB122" s="778">
        <f t="shared" si="80"/>
        <v>0</v>
      </c>
      <c r="AC122" s="778">
        <f t="shared" si="80"/>
        <v>0</v>
      </c>
      <c r="AD122" s="778">
        <f t="shared" si="80"/>
        <v>0</v>
      </c>
      <c r="AE122" s="778">
        <f t="shared" si="80"/>
        <v>0</v>
      </c>
      <c r="AF122" s="778">
        <f t="shared" si="80"/>
        <v>0</v>
      </c>
      <c r="AG122" s="778">
        <f t="shared" si="80"/>
        <v>0</v>
      </c>
      <c r="AH122" s="778">
        <f t="shared" si="80"/>
        <v>0</v>
      </c>
      <c r="AI122" s="778">
        <f t="shared" si="80"/>
        <v>0</v>
      </c>
      <c r="AJ122" s="778">
        <f t="shared" si="80"/>
        <v>0</v>
      </c>
      <c r="AK122" s="778">
        <f t="shared" ref="AK122:BE122" si="81" xml:space="preserve"> AK$172</f>
        <v>0</v>
      </c>
      <c r="AL122" s="778">
        <f t="shared" si="81"/>
        <v>0</v>
      </c>
      <c r="AM122" s="778">
        <f t="shared" si="81"/>
        <v>0</v>
      </c>
      <c r="AN122" s="778">
        <f t="shared" si="81"/>
        <v>0</v>
      </c>
      <c r="AO122" s="778">
        <f t="shared" si="81"/>
        <v>0</v>
      </c>
      <c r="AP122" s="778">
        <f t="shared" si="81"/>
        <v>0</v>
      </c>
      <c r="AQ122" s="778">
        <f t="shared" si="81"/>
        <v>0</v>
      </c>
      <c r="AR122" s="778">
        <f t="shared" si="81"/>
        <v>0</v>
      </c>
      <c r="AS122" s="778">
        <f t="shared" si="81"/>
        <v>0</v>
      </c>
      <c r="AT122" s="778">
        <f t="shared" si="81"/>
        <v>0</v>
      </c>
      <c r="AU122" s="778">
        <f t="shared" si="81"/>
        <v>0</v>
      </c>
      <c r="AV122" s="778">
        <f t="shared" si="81"/>
        <v>0</v>
      </c>
      <c r="AW122" s="778">
        <f t="shared" si="81"/>
        <v>0</v>
      </c>
      <c r="AX122" s="778">
        <f t="shared" si="81"/>
        <v>0</v>
      </c>
      <c r="AY122" s="778">
        <f t="shared" si="81"/>
        <v>0</v>
      </c>
      <c r="AZ122" s="778">
        <f t="shared" si="81"/>
        <v>0</v>
      </c>
      <c r="BA122" s="778">
        <f t="shared" si="81"/>
        <v>0</v>
      </c>
      <c r="BB122" s="778">
        <f t="shared" si="81"/>
        <v>0</v>
      </c>
      <c r="BC122" s="778">
        <f t="shared" si="81"/>
        <v>0</v>
      </c>
      <c r="BD122" s="778">
        <f t="shared" si="81"/>
        <v>0</v>
      </c>
      <c r="BE122" s="778">
        <f t="shared" si="81"/>
        <v>0</v>
      </c>
    </row>
    <row r="123" spans="1:57" s="779" customFormat="1" ht="13.15" hidden="1" customHeight="1" outlineLevel="2" x14ac:dyDescent="0.2">
      <c r="A123" s="762"/>
      <c r="B123" s="762"/>
      <c r="C123" s="762"/>
      <c r="D123" s="776" t="s">
        <v>371</v>
      </c>
      <c r="E123" s="778" t="str">
        <f t="shared" ref="E123:AJ123" si="82" xml:space="preserve"> E$195</f>
        <v>Equity bridge commitment fee - rolled up</v>
      </c>
      <c r="F123" s="778">
        <f t="shared" si="82"/>
        <v>0</v>
      </c>
      <c r="G123" s="778" t="str">
        <f t="shared" si="82"/>
        <v>$ 000s</v>
      </c>
      <c r="H123" s="778">
        <f t="shared" si="82"/>
        <v>0</v>
      </c>
      <c r="I123" s="778">
        <f t="shared" si="82"/>
        <v>0</v>
      </c>
      <c r="J123" s="778">
        <f t="shared" si="82"/>
        <v>0</v>
      </c>
      <c r="K123" s="778">
        <f t="shared" si="82"/>
        <v>0</v>
      </c>
      <c r="L123" s="778">
        <f t="shared" si="82"/>
        <v>0</v>
      </c>
      <c r="M123" s="778">
        <f t="shared" si="82"/>
        <v>0</v>
      </c>
      <c r="N123" s="778">
        <f t="shared" si="82"/>
        <v>0</v>
      </c>
      <c r="O123" s="778">
        <f t="shared" si="82"/>
        <v>0</v>
      </c>
      <c r="P123" s="778">
        <f t="shared" si="82"/>
        <v>0</v>
      </c>
      <c r="Q123" s="778">
        <f t="shared" si="82"/>
        <v>0</v>
      </c>
      <c r="R123" s="778">
        <f t="shared" si="82"/>
        <v>0</v>
      </c>
      <c r="S123" s="778">
        <f t="shared" si="82"/>
        <v>0</v>
      </c>
      <c r="T123" s="778">
        <f t="shared" si="82"/>
        <v>0</v>
      </c>
      <c r="U123" s="778">
        <f t="shared" si="82"/>
        <v>0</v>
      </c>
      <c r="V123" s="778">
        <f t="shared" si="82"/>
        <v>0</v>
      </c>
      <c r="W123" s="778">
        <f t="shared" si="82"/>
        <v>0</v>
      </c>
      <c r="X123" s="778">
        <f t="shared" si="82"/>
        <v>0</v>
      </c>
      <c r="Y123" s="778">
        <f t="shared" si="82"/>
        <v>0</v>
      </c>
      <c r="Z123" s="778">
        <f t="shared" si="82"/>
        <v>0</v>
      </c>
      <c r="AA123" s="778">
        <f t="shared" si="82"/>
        <v>0</v>
      </c>
      <c r="AB123" s="778">
        <f t="shared" si="82"/>
        <v>0</v>
      </c>
      <c r="AC123" s="778">
        <f t="shared" si="82"/>
        <v>0</v>
      </c>
      <c r="AD123" s="778">
        <f t="shared" si="82"/>
        <v>0</v>
      </c>
      <c r="AE123" s="778">
        <f t="shared" si="82"/>
        <v>0</v>
      </c>
      <c r="AF123" s="778">
        <f t="shared" si="82"/>
        <v>0</v>
      </c>
      <c r="AG123" s="778">
        <f t="shared" si="82"/>
        <v>0</v>
      </c>
      <c r="AH123" s="778">
        <f t="shared" si="82"/>
        <v>0</v>
      </c>
      <c r="AI123" s="778">
        <f t="shared" si="82"/>
        <v>0</v>
      </c>
      <c r="AJ123" s="778">
        <f t="shared" si="82"/>
        <v>0</v>
      </c>
      <c r="AK123" s="778">
        <f t="shared" ref="AK123:BE123" si="83" xml:space="preserve"> AK$195</f>
        <v>0</v>
      </c>
      <c r="AL123" s="778">
        <f t="shared" si="83"/>
        <v>0</v>
      </c>
      <c r="AM123" s="778">
        <f t="shared" si="83"/>
        <v>0</v>
      </c>
      <c r="AN123" s="778">
        <f t="shared" si="83"/>
        <v>0</v>
      </c>
      <c r="AO123" s="778">
        <f t="shared" si="83"/>
        <v>0</v>
      </c>
      <c r="AP123" s="778">
        <f t="shared" si="83"/>
        <v>0</v>
      </c>
      <c r="AQ123" s="778">
        <f t="shared" si="83"/>
        <v>0</v>
      </c>
      <c r="AR123" s="778">
        <f t="shared" si="83"/>
        <v>0</v>
      </c>
      <c r="AS123" s="778">
        <f t="shared" si="83"/>
        <v>0</v>
      </c>
      <c r="AT123" s="778">
        <f t="shared" si="83"/>
        <v>0</v>
      </c>
      <c r="AU123" s="778">
        <f t="shared" si="83"/>
        <v>0</v>
      </c>
      <c r="AV123" s="778">
        <f t="shared" si="83"/>
        <v>0</v>
      </c>
      <c r="AW123" s="778">
        <f t="shared" si="83"/>
        <v>0</v>
      </c>
      <c r="AX123" s="778">
        <f t="shared" si="83"/>
        <v>0</v>
      </c>
      <c r="AY123" s="778">
        <f t="shared" si="83"/>
        <v>0</v>
      </c>
      <c r="AZ123" s="778">
        <f t="shared" si="83"/>
        <v>0</v>
      </c>
      <c r="BA123" s="778">
        <f t="shared" si="83"/>
        <v>0</v>
      </c>
      <c r="BB123" s="778">
        <f t="shared" si="83"/>
        <v>0</v>
      </c>
      <c r="BC123" s="778">
        <f t="shared" si="83"/>
        <v>0</v>
      </c>
      <c r="BD123" s="778">
        <f t="shared" si="83"/>
        <v>0</v>
      </c>
      <c r="BE123" s="778">
        <f t="shared" si="83"/>
        <v>0</v>
      </c>
    </row>
    <row r="124" spans="1:57" s="779" customFormat="1" ht="13.15" hidden="1" customHeight="1" outlineLevel="2" x14ac:dyDescent="0.2">
      <c r="A124" s="762"/>
      <c r="B124" s="762"/>
      <c r="C124" s="762"/>
      <c r="D124" s="776" t="s">
        <v>170</v>
      </c>
      <c r="E124" s="780" t="str">
        <f t="shared" ref="E124:AJ124" si="84" xml:space="preserve"> E$217</f>
        <v>Repayment of equity bridge POS</v>
      </c>
      <c r="F124" s="780">
        <f t="shared" si="84"/>
        <v>0</v>
      </c>
      <c r="G124" s="780" t="str">
        <f t="shared" si="84"/>
        <v>$ 000s</v>
      </c>
      <c r="H124" s="780">
        <f t="shared" si="84"/>
        <v>86318.253106861201</v>
      </c>
      <c r="I124" s="780">
        <f t="shared" si="84"/>
        <v>0</v>
      </c>
      <c r="J124" s="780">
        <f t="shared" si="84"/>
        <v>0</v>
      </c>
      <c r="K124" s="780">
        <f t="shared" si="84"/>
        <v>0</v>
      </c>
      <c r="L124" s="780">
        <f t="shared" si="84"/>
        <v>0</v>
      </c>
      <c r="M124" s="780">
        <f t="shared" si="84"/>
        <v>0</v>
      </c>
      <c r="N124" s="780">
        <f t="shared" si="84"/>
        <v>0</v>
      </c>
      <c r="O124" s="780">
        <f t="shared" si="84"/>
        <v>0</v>
      </c>
      <c r="P124" s="780">
        <f t="shared" si="84"/>
        <v>0</v>
      </c>
      <c r="Q124" s="780">
        <f t="shared" si="84"/>
        <v>0</v>
      </c>
      <c r="R124" s="780">
        <f t="shared" si="84"/>
        <v>0</v>
      </c>
      <c r="S124" s="780">
        <f t="shared" si="84"/>
        <v>0</v>
      </c>
      <c r="T124" s="780">
        <f t="shared" si="84"/>
        <v>0</v>
      </c>
      <c r="U124" s="780">
        <f t="shared" si="84"/>
        <v>0</v>
      </c>
      <c r="V124" s="780">
        <f t="shared" si="84"/>
        <v>0</v>
      </c>
      <c r="W124" s="780">
        <f t="shared" si="84"/>
        <v>0</v>
      </c>
      <c r="X124" s="780">
        <f t="shared" si="84"/>
        <v>0</v>
      </c>
      <c r="Y124" s="780">
        <f t="shared" si="84"/>
        <v>0</v>
      </c>
      <c r="Z124" s="780">
        <f t="shared" si="84"/>
        <v>0</v>
      </c>
      <c r="AA124" s="780">
        <f t="shared" si="84"/>
        <v>0</v>
      </c>
      <c r="AB124" s="780">
        <f t="shared" si="84"/>
        <v>0</v>
      </c>
      <c r="AC124" s="780">
        <f t="shared" si="84"/>
        <v>0</v>
      </c>
      <c r="AD124" s="780">
        <f t="shared" si="84"/>
        <v>0</v>
      </c>
      <c r="AE124" s="780">
        <f t="shared" si="84"/>
        <v>0</v>
      </c>
      <c r="AF124" s="780">
        <f t="shared" si="84"/>
        <v>0</v>
      </c>
      <c r="AG124" s="780">
        <f t="shared" si="84"/>
        <v>0</v>
      </c>
      <c r="AH124" s="780">
        <f t="shared" si="84"/>
        <v>0</v>
      </c>
      <c r="AI124" s="780">
        <f t="shared" si="84"/>
        <v>0</v>
      </c>
      <c r="AJ124" s="780">
        <f t="shared" si="84"/>
        <v>0</v>
      </c>
      <c r="AK124" s="780">
        <f t="shared" ref="AK124:BE124" si="85" xml:space="preserve"> AK$217</f>
        <v>0</v>
      </c>
      <c r="AL124" s="780">
        <f t="shared" si="85"/>
        <v>0</v>
      </c>
      <c r="AM124" s="780">
        <f t="shared" si="85"/>
        <v>86318.253106861201</v>
      </c>
      <c r="AN124" s="780">
        <f t="shared" si="85"/>
        <v>0</v>
      </c>
      <c r="AO124" s="780">
        <f t="shared" si="85"/>
        <v>0</v>
      </c>
      <c r="AP124" s="780">
        <f t="shared" si="85"/>
        <v>0</v>
      </c>
      <c r="AQ124" s="780">
        <f t="shared" si="85"/>
        <v>0</v>
      </c>
      <c r="AR124" s="780">
        <f t="shared" si="85"/>
        <v>0</v>
      </c>
      <c r="AS124" s="780">
        <f t="shared" si="85"/>
        <v>0</v>
      </c>
      <c r="AT124" s="780">
        <f t="shared" si="85"/>
        <v>0</v>
      </c>
      <c r="AU124" s="780">
        <f t="shared" si="85"/>
        <v>0</v>
      </c>
      <c r="AV124" s="780">
        <f t="shared" si="85"/>
        <v>0</v>
      </c>
      <c r="AW124" s="780">
        <f t="shared" si="85"/>
        <v>0</v>
      </c>
      <c r="AX124" s="780">
        <f t="shared" si="85"/>
        <v>0</v>
      </c>
      <c r="AY124" s="780">
        <f t="shared" si="85"/>
        <v>0</v>
      </c>
      <c r="AZ124" s="780">
        <f t="shared" si="85"/>
        <v>0</v>
      </c>
      <c r="BA124" s="780">
        <f t="shared" si="85"/>
        <v>0</v>
      </c>
      <c r="BB124" s="780">
        <f t="shared" si="85"/>
        <v>0</v>
      </c>
      <c r="BC124" s="780">
        <f t="shared" si="85"/>
        <v>0</v>
      </c>
      <c r="BD124" s="780">
        <f t="shared" si="85"/>
        <v>0</v>
      </c>
      <c r="BE124" s="780">
        <f t="shared" si="85"/>
        <v>0</v>
      </c>
    </row>
    <row r="125" spans="1:57" s="785" customFormat="1" ht="13.15" hidden="1" customHeight="1" outlineLevel="2" x14ac:dyDescent="0.2">
      <c r="A125" s="781"/>
      <c r="B125" s="781"/>
      <c r="C125" s="781"/>
      <c r="D125" s="781"/>
      <c r="E125" s="782" t="s">
        <v>521</v>
      </c>
      <c r="F125" s="782"/>
      <c r="G125" s="782" t="str">
        <f>SMU</f>
        <v>$ 000s</v>
      </c>
      <c r="H125" s="783"/>
      <c r="I125" s="784"/>
      <c r="J125" s="782">
        <f t="shared" ref="J125:BE125" si="86" xml:space="preserve"> J119 + SUM(J120:J123) - J124</f>
        <v>0</v>
      </c>
      <c r="K125" s="782">
        <f t="shared" si="86"/>
        <v>0</v>
      </c>
      <c r="L125" s="782">
        <f t="shared" si="86"/>
        <v>0</v>
      </c>
      <c r="M125" s="782">
        <f t="shared" si="86"/>
        <v>14843.424770244494</v>
      </c>
      <c r="N125" s="782">
        <f t="shared" si="86"/>
        <v>26684.752578629137</v>
      </c>
      <c r="O125" s="782">
        <f t="shared" si="86"/>
        <v>38555.01232134179</v>
      </c>
      <c r="P125" s="782">
        <f t="shared" si="86"/>
        <v>50462.699642029038</v>
      </c>
      <c r="Q125" s="782">
        <f t="shared" si="86"/>
        <v>62403.711948719851</v>
      </c>
      <c r="R125" s="782">
        <f t="shared" si="86"/>
        <v>74370.710539611682</v>
      </c>
      <c r="S125" s="782">
        <f t="shared" si="86"/>
        <v>86318.253106861201</v>
      </c>
      <c r="T125" s="782">
        <f t="shared" si="86"/>
        <v>86318.253106861201</v>
      </c>
      <c r="U125" s="782">
        <f t="shared" si="86"/>
        <v>86318.253106861201</v>
      </c>
      <c r="V125" s="782">
        <f t="shared" si="86"/>
        <v>86318.253106861201</v>
      </c>
      <c r="W125" s="782">
        <f t="shared" si="86"/>
        <v>86318.253106861201</v>
      </c>
      <c r="X125" s="782">
        <f t="shared" si="86"/>
        <v>86318.253106861201</v>
      </c>
      <c r="Y125" s="782">
        <f t="shared" si="86"/>
        <v>86318.253106861201</v>
      </c>
      <c r="Z125" s="782">
        <f t="shared" si="86"/>
        <v>86318.253106861201</v>
      </c>
      <c r="AA125" s="782">
        <f t="shared" si="86"/>
        <v>86318.253106861201</v>
      </c>
      <c r="AB125" s="782">
        <f t="shared" si="86"/>
        <v>86318.253106861201</v>
      </c>
      <c r="AC125" s="782">
        <f t="shared" si="86"/>
        <v>86318.253106861201</v>
      </c>
      <c r="AD125" s="782">
        <f t="shared" si="86"/>
        <v>86318.253106861201</v>
      </c>
      <c r="AE125" s="782">
        <f t="shared" si="86"/>
        <v>86318.253106861201</v>
      </c>
      <c r="AF125" s="782">
        <f t="shared" si="86"/>
        <v>86318.253106861201</v>
      </c>
      <c r="AG125" s="782">
        <f t="shared" si="86"/>
        <v>86318.253106861201</v>
      </c>
      <c r="AH125" s="782">
        <f t="shared" si="86"/>
        <v>86318.253106861201</v>
      </c>
      <c r="AI125" s="782">
        <f t="shared" si="86"/>
        <v>86318.253106861201</v>
      </c>
      <c r="AJ125" s="782">
        <f t="shared" si="86"/>
        <v>86318.253106861201</v>
      </c>
      <c r="AK125" s="782">
        <f t="shared" si="86"/>
        <v>86318.253106861201</v>
      </c>
      <c r="AL125" s="782">
        <f t="shared" si="86"/>
        <v>86318.253106861201</v>
      </c>
      <c r="AM125" s="782">
        <f t="shared" si="86"/>
        <v>0</v>
      </c>
      <c r="AN125" s="782">
        <f t="shared" si="86"/>
        <v>0</v>
      </c>
      <c r="AO125" s="782">
        <f t="shared" si="86"/>
        <v>0</v>
      </c>
      <c r="AP125" s="782">
        <f t="shared" si="86"/>
        <v>0</v>
      </c>
      <c r="AQ125" s="782">
        <f t="shared" si="86"/>
        <v>0</v>
      </c>
      <c r="AR125" s="782">
        <f t="shared" si="86"/>
        <v>0</v>
      </c>
      <c r="AS125" s="782">
        <f t="shared" si="86"/>
        <v>0</v>
      </c>
      <c r="AT125" s="782">
        <f t="shared" si="86"/>
        <v>0</v>
      </c>
      <c r="AU125" s="782">
        <f t="shared" si="86"/>
        <v>0</v>
      </c>
      <c r="AV125" s="782">
        <f t="shared" si="86"/>
        <v>0</v>
      </c>
      <c r="AW125" s="782">
        <f t="shared" si="86"/>
        <v>0</v>
      </c>
      <c r="AX125" s="782">
        <f t="shared" si="86"/>
        <v>0</v>
      </c>
      <c r="AY125" s="782">
        <f t="shared" si="86"/>
        <v>0</v>
      </c>
      <c r="AZ125" s="782">
        <f t="shared" si="86"/>
        <v>0</v>
      </c>
      <c r="BA125" s="782">
        <f t="shared" si="86"/>
        <v>0</v>
      </c>
      <c r="BB125" s="782">
        <f t="shared" si="86"/>
        <v>0</v>
      </c>
      <c r="BC125" s="782">
        <f t="shared" si="86"/>
        <v>0</v>
      </c>
      <c r="BD125" s="782">
        <f t="shared" si="86"/>
        <v>0</v>
      </c>
      <c r="BE125" s="782">
        <f t="shared" si="86"/>
        <v>0</v>
      </c>
    </row>
    <row r="126" spans="1:57" s="734" customFormat="1" ht="13.15" hidden="1" customHeight="1" outlineLevel="1" x14ac:dyDescent="0.2">
      <c r="A126" s="732"/>
      <c r="B126" s="732"/>
      <c r="C126" s="732"/>
      <c r="D126" s="732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  <c r="AA126" s="114"/>
      <c r="AB126" s="114"/>
      <c r="AC126" s="114"/>
      <c r="AD126" s="114"/>
      <c r="AE126" s="114"/>
      <c r="AF126" s="114"/>
      <c r="AG126" s="114"/>
      <c r="AH126" s="114"/>
      <c r="AI126" s="114"/>
      <c r="AJ126" s="114"/>
      <c r="AK126" s="114"/>
      <c r="AL126" s="114"/>
      <c r="AM126" s="114"/>
      <c r="AN126" s="114"/>
      <c r="AO126" s="114"/>
      <c r="AP126" s="114"/>
      <c r="AQ126" s="114"/>
      <c r="AR126" s="114"/>
      <c r="AS126" s="114"/>
      <c r="AT126" s="114"/>
      <c r="AU126" s="114"/>
      <c r="AV126" s="114"/>
      <c r="AW126" s="114"/>
      <c r="AX126" s="114"/>
      <c r="AY126" s="114"/>
      <c r="AZ126" s="114"/>
      <c r="BA126" s="114"/>
      <c r="BB126" s="114"/>
      <c r="BC126" s="114"/>
      <c r="BD126" s="114"/>
      <c r="BE126" s="114"/>
    </row>
    <row r="127" spans="1:57" s="734" customFormat="1" ht="13.15" hidden="1" customHeight="1" outlineLevel="1" x14ac:dyDescent="0.2">
      <c r="A127" s="732"/>
      <c r="B127" s="763" t="s">
        <v>522</v>
      </c>
      <c r="C127" s="786"/>
      <c r="D127" s="732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  <c r="AA127" s="114"/>
      <c r="AB127" s="114"/>
      <c r="AC127" s="114"/>
      <c r="AD127" s="114"/>
      <c r="AE127" s="114"/>
      <c r="AF127" s="114"/>
      <c r="AG127" s="114"/>
      <c r="AH127" s="114"/>
      <c r="AI127" s="114"/>
      <c r="AJ127" s="114"/>
      <c r="AK127" s="114"/>
      <c r="AL127" s="114"/>
      <c r="AM127" s="114"/>
      <c r="AN127" s="114"/>
      <c r="AO127" s="114"/>
      <c r="AP127" s="114"/>
      <c r="AQ127" s="114"/>
      <c r="AR127" s="114"/>
      <c r="AS127" s="114"/>
      <c r="AT127" s="114"/>
      <c r="AU127" s="114"/>
      <c r="AV127" s="114"/>
      <c r="AW127" s="114"/>
      <c r="AX127" s="114"/>
      <c r="AY127" s="114"/>
      <c r="AZ127" s="114"/>
      <c r="BA127" s="114"/>
      <c r="BB127" s="114"/>
      <c r="BC127" s="114"/>
      <c r="BD127" s="114"/>
      <c r="BE127" s="114"/>
    </row>
    <row r="128" spans="1:57" s="734" customFormat="1" ht="13.15" hidden="1" customHeight="1" outlineLevel="2" x14ac:dyDescent="0.2">
      <c r="A128" s="787"/>
      <c r="B128" s="787"/>
      <c r="C128" s="787"/>
      <c r="D128" s="787"/>
      <c r="E128" s="450" t="str">
        <f xml:space="preserve"> InpC!E$162</f>
        <v>% of EBL hedged</v>
      </c>
      <c r="F128" s="450">
        <f xml:space="preserve"> InpC!F$162</f>
        <v>1</v>
      </c>
      <c r="G128" s="450" t="str">
        <f xml:space="preserve"> InpC!G$162</f>
        <v>%</v>
      </c>
      <c r="H128" s="788"/>
      <c r="I128" s="788"/>
      <c r="J128" s="788"/>
      <c r="K128" s="788"/>
      <c r="L128" s="788"/>
      <c r="M128" s="788"/>
      <c r="N128" s="788"/>
      <c r="O128" s="788"/>
      <c r="P128" s="788"/>
      <c r="Q128" s="788"/>
      <c r="R128" s="788"/>
      <c r="S128" s="788"/>
      <c r="T128" s="788"/>
      <c r="U128" s="788"/>
      <c r="V128" s="788"/>
      <c r="W128" s="788"/>
      <c r="X128" s="788"/>
      <c r="Y128" s="788"/>
      <c r="Z128" s="788"/>
      <c r="AA128" s="788"/>
      <c r="AB128" s="788"/>
      <c r="AC128" s="788"/>
      <c r="AD128" s="788"/>
      <c r="AE128" s="788"/>
      <c r="AF128" s="788"/>
      <c r="AG128" s="788"/>
      <c r="AH128" s="788"/>
      <c r="AI128" s="788"/>
      <c r="AJ128" s="788"/>
      <c r="AK128" s="788"/>
      <c r="AL128" s="788"/>
      <c r="AM128" s="788"/>
      <c r="AN128" s="788"/>
      <c r="AO128" s="788"/>
      <c r="AP128" s="788"/>
      <c r="AQ128" s="788"/>
      <c r="AR128" s="788"/>
      <c r="AS128" s="788"/>
      <c r="AT128" s="788"/>
      <c r="AU128" s="788"/>
      <c r="AV128" s="788"/>
      <c r="AW128" s="788"/>
      <c r="AX128" s="788"/>
      <c r="AY128" s="788"/>
      <c r="AZ128" s="788"/>
      <c r="BA128" s="788"/>
      <c r="BB128" s="788"/>
      <c r="BC128" s="788"/>
      <c r="BD128" s="788"/>
      <c r="BE128" s="788"/>
    </row>
    <row r="129" spans="1:57" s="734" customFormat="1" ht="13.15" hidden="1" customHeight="1" outlineLevel="2" x14ac:dyDescent="0.2">
      <c r="A129" s="732"/>
      <c r="B129" s="732"/>
      <c r="C129" s="732"/>
      <c r="D129" s="732"/>
      <c r="E129" s="740" t="str">
        <f t="shared" ref="E129:AJ129" si="87" xml:space="preserve"> E$119</f>
        <v>Equity bridge balance BEG</v>
      </c>
      <c r="F129" s="740">
        <f t="shared" si="87"/>
        <v>0</v>
      </c>
      <c r="G129" s="740" t="str">
        <f t="shared" si="87"/>
        <v>$ 000s</v>
      </c>
      <c r="H129" s="740">
        <f t="shared" si="87"/>
        <v>0</v>
      </c>
      <c r="I129" s="740">
        <f t="shared" si="87"/>
        <v>0</v>
      </c>
      <c r="J129" s="740">
        <f t="shared" si="87"/>
        <v>0</v>
      </c>
      <c r="K129" s="740">
        <f t="shared" si="87"/>
        <v>0</v>
      </c>
      <c r="L129" s="740">
        <f t="shared" si="87"/>
        <v>0</v>
      </c>
      <c r="M129" s="740">
        <f t="shared" si="87"/>
        <v>0</v>
      </c>
      <c r="N129" s="740">
        <f t="shared" si="87"/>
        <v>14843.424770244494</v>
      </c>
      <c r="O129" s="740">
        <f t="shared" si="87"/>
        <v>26684.752578629137</v>
      </c>
      <c r="P129" s="740">
        <f t="shared" si="87"/>
        <v>38555.01232134179</v>
      </c>
      <c r="Q129" s="740">
        <f t="shared" si="87"/>
        <v>50462.699642029038</v>
      </c>
      <c r="R129" s="740">
        <f t="shared" si="87"/>
        <v>62403.711948719851</v>
      </c>
      <c r="S129" s="740">
        <f t="shared" si="87"/>
        <v>74370.710539611682</v>
      </c>
      <c r="T129" s="740">
        <f t="shared" si="87"/>
        <v>86318.253106861201</v>
      </c>
      <c r="U129" s="740">
        <f t="shared" si="87"/>
        <v>86318.253106861201</v>
      </c>
      <c r="V129" s="740">
        <f t="shared" si="87"/>
        <v>86318.253106861201</v>
      </c>
      <c r="W129" s="740">
        <f t="shared" si="87"/>
        <v>86318.253106861201</v>
      </c>
      <c r="X129" s="740">
        <f t="shared" si="87"/>
        <v>86318.253106861201</v>
      </c>
      <c r="Y129" s="740">
        <f t="shared" si="87"/>
        <v>86318.253106861201</v>
      </c>
      <c r="Z129" s="740">
        <f t="shared" si="87"/>
        <v>86318.253106861201</v>
      </c>
      <c r="AA129" s="740">
        <f t="shared" si="87"/>
        <v>86318.253106861201</v>
      </c>
      <c r="AB129" s="740">
        <f t="shared" si="87"/>
        <v>86318.253106861201</v>
      </c>
      <c r="AC129" s="740">
        <f t="shared" si="87"/>
        <v>86318.253106861201</v>
      </c>
      <c r="AD129" s="740">
        <f t="shared" si="87"/>
        <v>86318.253106861201</v>
      </c>
      <c r="AE129" s="740">
        <f t="shared" si="87"/>
        <v>86318.253106861201</v>
      </c>
      <c r="AF129" s="740">
        <f t="shared" si="87"/>
        <v>86318.253106861201</v>
      </c>
      <c r="AG129" s="740">
        <f t="shared" si="87"/>
        <v>86318.253106861201</v>
      </c>
      <c r="AH129" s="740">
        <f t="shared" si="87"/>
        <v>86318.253106861201</v>
      </c>
      <c r="AI129" s="740">
        <f t="shared" si="87"/>
        <v>86318.253106861201</v>
      </c>
      <c r="AJ129" s="740">
        <f t="shared" si="87"/>
        <v>86318.253106861201</v>
      </c>
      <c r="AK129" s="740">
        <f t="shared" ref="AK129:BE129" si="88" xml:space="preserve"> AK$119</f>
        <v>86318.253106861201</v>
      </c>
      <c r="AL129" s="740">
        <f t="shared" si="88"/>
        <v>86318.253106861201</v>
      </c>
      <c r="AM129" s="740">
        <f t="shared" si="88"/>
        <v>86318.253106861201</v>
      </c>
      <c r="AN129" s="740">
        <f t="shared" si="88"/>
        <v>0</v>
      </c>
      <c r="AO129" s="740">
        <f t="shared" si="88"/>
        <v>0</v>
      </c>
      <c r="AP129" s="740">
        <f t="shared" si="88"/>
        <v>0</v>
      </c>
      <c r="AQ129" s="740">
        <f t="shared" si="88"/>
        <v>0</v>
      </c>
      <c r="AR129" s="740">
        <f t="shared" si="88"/>
        <v>0</v>
      </c>
      <c r="AS129" s="740">
        <f t="shared" si="88"/>
        <v>0</v>
      </c>
      <c r="AT129" s="740">
        <f t="shared" si="88"/>
        <v>0</v>
      </c>
      <c r="AU129" s="740">
        <f t="shared" si="88"/>
        <v>0</v>
      </c>
      <c r="AV129" s="740">
        <f t="shared" si="88"/>
        <v>0</v>
      </c>
      <c r="AW129" s="740">
        <f t="shared" si="88"/>
        <v>0</v>
      </c>
      <c r="AX129" s="740">
        <f t="shared" si="88"/>
        <v>0</v>
      </c>
      <c r="AY129" s="740">
        <f t="shared" si="88"/>
        <v>0</v>
      </c>
      <c r="AZ129" s="740">
        <f t="shared" si="88"/>
        <v>0</v>
      </c>
      <c r="BA129" s="740">
        <f t="shared" si="88"/>
        <v>0</v>
      </c>
      <c r="BB129" s="740">
        <f t="shared" si="88"/>
        <v>0</v>
      </c>
      <c r="BC129" s="740">
        <f t="shared" si="88"/>
        <v>0</v>
      </c>
      <c r="BD129" s="740">
        <f t="shared" si="88"/>
        <v>0</v>
      </c>
      <c r="BE129" s="740">
        <f t="shared" si="88"/>
        <v>0</v>
      </c>
    </row>
    <row r="130" spans="1:57" s="764" customFormat="1" ht="13.15" hidden="1" customHeight="1" outlineLevel="2" x14ac:dyDescent="0.2">
      <c r="A130" s="787"/>
      <c r="B130" s="787"/>
      <c r="C130" s="787"/>
      <c r="D130" s="787"/>
      <c r="E130" s="789" t="str">
        <f xml:space="preserve"> ConTime!E$82</f>
        <v>Construction period flag</v>
      </c>
      <c r="F130" s="789">
        <f xml:space="preserve"> ConTime!F$82</f>
        <v>0</v>
      </c>
      <c r="G130" s="789" t="str">
        <f xml:space="preserve"> ConTime!G$82</f>
        <v>flag</v>
      </c>
      <c r="H130" s="789">
        <f xml:space="preserve"> ConTime!H$82</f>
        <v>26</v>
      </c>
      <c r="I130" s="789">
        <f xml:space="preserve"> ConTime!I$82</f>
        <v>0</v>
      </c>
      <c r="J130" s="789">
        <f xml:space="preserve"> ConTime!J$82</f>
        <v>0</v>
      </c>
      <c r="K130" s="789">
        <f xml:space="preserve"> ConTime!K$82</f>
        <v>0</v>
      </c>
      <c r="L130" s="789">
        <f xml:space="preserve"> ConTime!L$82</f>
        <v>0</v>
      </c>
      <c r="M130" s="789">
        <f xml:space="preserve"> ConTime!M$82</f>
        <v>0</v>
      </c>
      <c r="N130" s="789">
        <f xml:space="preserve"> ConTime!N$82</f>
        <v>1</v>
      </c>
      <c r="O130" s="789">
        <f xml:space="preserve"> ConTime!O$82</f>
        <v>1</v>
      </c>
      <c r="P130" s="789">
        <f xml:space="preserve"> ConTime!P$82</f>
        <v>1</v>
      </c>
      <c r="Q130" s="789">
        <f xml:space="preserve"> ConTime!Q$82</f>
        <v>1</v>
      </c>
      <c r="R130" s="789">
        <f xml:space="preserve"> ConTime!R$82</f>
        <v>1</v>
      </c>
      <c r="S130" s="789">
        <f xml:space="preserve"> ConTime!S$82</f>
        <v>1</v>
      </c>
      <c r="T130" s="789">
        <f xml:space="preserve"> ConTime!T$82</f>
        <v>1</v>
      </c>
      <c r="U130" s="789">
        <f xml:space="preserve"> ConTime!U$82</f>
        <v>1</v>
      </c>
      <c r="V130" s="789">
        <f xml:space="preserve"> ConTime!V$82</f>
        <v>1</v>
      </c>
      <c r="W130" s="789">
        <f xml:space="preserve"> ConTime!W$82</f>
        <v>1</v>
      </c>
      <c r="X130" s="789">
        <f xml:space="preserve"> ConTime!X$82</f>
        <v>1</v>
      </c>
      <c r="Y130" s="789">
        <f xml:space="preserve"> ConTime!Y$82</f>
        <v>1</v>
      </c>
      <c r="Z130" s="789">
        <f xml:space="preserve"> ConTime!Z$82</f>
        <v>1</v>
      </c>
      <c r="AA130" s="789">
        <f xml:space="preserve"> ConTime!AA$82</f>
        <v>1</v>
      </c>
      <c r="AB130" s="789">
        <f xml:space="preserve"> ConTime!AB$82</f>
        <v>1</v>
      </c>
      <c r="AC130" s="789">
        <f xml:space="preserve"> ConTime!AC$82</f>
        <v>1</v>
      </c>
      <c r="AD130" s="789">
        <f xml:space="preserve"> ConTime!AD$82</f>
        <v>1</v>
      </c>
      <c r="AE130" s="789">
        <f xml:space="preserve"> ConTime!AE$82</f>
        <v>1</v>
      </c>
      <c r="AF130" s="789">
        <f xml:space="preserve"> ConTime!AF$82</f>
        <v>1</v>
      </c>
      <c r="AG130" s="789">
        <f xml:space="preserve"> ConTime!AG$82</f>
        <v>1</v>
      </c>
      <c r="AH130" s="789">
        <f xml:space="preserve"> ConTime!AH$82</f>
        <v>1</v>
      </c>
      <c r="AI130" s="789">
        <f xml:space="preserve"> ConTime!AI$82</f>
        <v>1</v>
      </c>
      <c r="AJ130" s="789">
        <f xml:space="preserve"> ConTime!AJ$82</f>
        <v>1</v>
      </c>
      <c r="AK130" s="789">
        <f xml:space="preserve"> ConTime!AK$82</f>
        <v>1</v>
      </c>
      <c r="AL130" s="789">
        <f xml:space="preserve"> ConTime!AL$82</f>
        <v>1</v>
      </c>
      <c r="AM130" s="789">
        <f xml:space="preserve"> ConTime!AM$82</f>
        <v>1</v>
      </c>
      <c r="AN130" s="789">
        <f xml:space="preserve"> ConTime!AN$82</f>
        <v>0</v>
      </c>
      <c r="AO130" s="789">
        <f xml:space="preserve"> ConTime!AO$82</f>
        <v>0</v>
      </c>
      <c r="AP130" s="789">
        <f xml:space="preserve"> ConTime!AP$82</f>
        <v>0</v>
      </c>
      <c r="AQ130" s="789">
        <f xml:space="preserve"> ConTime!AQ$82</f>
        <v>0</v>
      </c>
      <c r="AR130" s="789">
        <f xml:space="preserve"> ConTime!AR$82</f>
        <v>0</v>
      </c>
      <c r="AS130" s="789">
        <f xml:space="preserve"> ConTime!AS$82</f>
        <v>0</v>
      </c>
      <c r="AT130" s="789">
        <f xml:space="preserve"> ConTime!AT$82</f>
        <v>0</v>
      </c>
      <c r="AU130" s="789">
        <f xml:space="preserve"> ConTime!AU$82</f>
        <v>0</v>
      </c>
      <c r="AV130" s="789">
        <f xml:space="preserve"> ConTime!AV$82</f>
        <v>0</v>
      </c>
      <c r="AW130" s="789">
        <f xml:space="preserve"> ConTime!AW$82</f>
        <v>0</v>
      </c>
      <c r="AX130" s="789">
        <f xml:space="preserve"> ConTime!AX$82</f>
        <v>0</v>
      </c>
      <c r="AY130" s="789">
        <f xml:space="preserve"> ConTime!AY$82</f>
        <v>0</v>
      </c>
      <c r="AZ130" s="789">
        <f xml:space="preserve"> ConTime!AZ$82</f>
        <v>0</v>
      </c>
      <c r="BA130" s="789">
        <f xml:space="preserve"> ConTime!BA$82</f>
        <v>0</v>
      </c>
      <c r="BB130" s="789">
        <f xml:space="preserve"> ConTime!BB$82</f>
        <v>0</v>
      </c>
      <c r="BC130" s="789">
        <f xml:space="preserve"> ConTime!BC$82</f>
        <v>0</v>
      </c>
      <c r="BD130" s="789">
        <f xml:space="preserve"> ConTime!BD$82</f>
        <v>0</v>
      </c>
      <c r="BE130" s="789">
        <f xml:space="preserve"> ConTime!BE$82</f>
        <v>0</v>
      </c>
    </row>
    <row r="131" spans="1:57" s="734" customFormat="1" ht="13.15" hidden="1" customHeight="1" outlineLevel="2" x14ac:dyDescent="0.2">
      <c r="A131" s="732"/>
      <c r="B131" s="732"/>
      <c r="C131" s="732"/>
      <c r="D131" s="732"/>
      <c r="E131" s="282" t="s">
        <v>523</v>
      </c>
      <c r="F131" s="282"/>
      <c r="G131" s="282" t="s">
        <v>103</v>
      </c>
      <c r="H131" s="114"/>
      <c r="I131" s="114"/>
      <c r="J131" s="282">
        <f t="shared" ref="J131:BE131" si="89" xml:space="preserve"> IF(AND(J130 = 1, J129 &gt; 0), $F128, 0)</f>
        <v>0</v>
      </c>
      <c r="K131" s="282">
        <f t="shared" si="89"/>
        <v>0</v>
      </c>
      <c r="L131" s="282">
        <f t="shared" si="89"/>
        <v>0</v>
      </c>
      <c r="M131" s="282">
        <f t="shared" si="89"/>
        <v>0</v>
      </c>
      <c r="N131" s="282">
        <f t="shared" si="89"/>
        <v>1</v>
      </c>
      <c r="O131" s="282">
        <f t="shared" si="89"/>
        <v>1</v>
      </c>
      <c r="P131" s="282">
        <f t="shared" si="89"/>
        <v>1</v>
      </c>
      <c r="Q131" s="282">
        <f t="shared" si="89"/>
        <v>1</v>
      </c>
      <c r="R131" s="282">
        <f t="shared" si="89"/>
        <v>1</v>
      </c>
      <c r="S131" s="282">
        <f t="shared" si="89"/>
        <v>1</v>
      </c>
      <c r="T131" s="282">
        <f t="shared" si="89"/>
        <v>1</v>
      </c>
      <c r="U131" s="282">
        <f t="shared" si="89"/>
        <v>1</v>
      </c>
      <c r="V131" s="282">
        <f t="shared" si="89"/>
        <v>1</v>
      </c>
      <c r="W131" s="282">
        <f t="shared" si="89"/>
        <v>1</v>
      </c>
      <c r="X131" s="282">
        <f t="shared" si="89"/>
        <v>1</v>
      </c>
      <c r="Y131" s="282">
        <f t="shared" si="89"/>
        <v>1</v>
      </c>
      <c r="Z131" s="282">
        <f t="shared" si="89"/>
        <v>1</v>
      </c>
      <c r="AA131" s="282">
        <f t="shared" si="89"/>
        <v>1</v>
      </c>
      <c r="AB131" s="282">
        <f t="shared" si="89"/>
        <v>1</v>
      </c>
      <c r="AC131" s="282">
        <f t="shared" si="89"/>
        <v>1</v>
      </c>
      <c r="AD131" s="282">
        <f t="shared" si="89"/>
        <v>1</v>
      </c>
      <c r="AE131" s="282">
        <f t="shared" si="89"/>
        <v>1</v>
      </c>
      <c r="AF131" s="282">
        <f t="shared" si="89"/>
        <v>1</v>
      </c>
      <c r="AG131" s="282">
        <f t="shared" si="89"/>
        <v>1</v>
      </c>
      <c r="AH131" s="282">
        <f t="shared" si="89"/>
        <v>1</v>
      </c>
      <c r="AI131" s="282">
        <f t="shared" si="89"/>
        <v>1</v>
      </c>
      <c r="AJ131" s="282">
        <f t="shared" si="89"/>
        <v>1</v>
      </c>
      <c r="AK131" s="282">
        <f t="shared" si="89"/>
        <v>1</v>
      </c>
      <c r="AL131" s="282">
        <f t="shared" si="89"/>
        <v>1</v>
      </c>
      <c r="AM131" s="282">
        <f t="shared" si="89"/>
        <v>1</v>
      </c>
      <c r="AN131" s="282">
        <f t="shared" si="89"/>
        <v>0</v>
      </c>
      <c r="AO131" s="282">
        <f t="shared" si="89"/>
        <v>0</v>
      </c>
      <c r="AP131" s="282">
        <f t="shared" si="89"/>
        <v>0</v>
      </c>
      <c r="AQ131" s="282">
        <f t="shared" si="89"/>
        <v>0</v>
      </c>
      <c r="AR131" s="282">
        <f t="shared" si="89"/>
        <v>0</v>
      </c>
      <c r="AS131" s="282">
        <f t="shared" si="89"/>
        <v>0</v>
      </c>
      <c r="AT131" s="282">
        <f t="shared" si="89"/>
        <v>0</v>
      </c>
      <c r="AU131" s="282">
        <f t="shared" si="89"/>
        <v>0</v>
      </c>
      <c r="AV131" s="282">
        <f t="shared" si="89"/>
        <v>0</v>
      </c>
      <c r="AW131" s="282">
        <f t="shared" si="89"/>
        <v>0</v>
      </c>
      <c r="AX131" s="282">
        <f t="shared" si="89"/>
        <v>0</v>
      </c>
      <c r="AY131" s="282">
        <f t="shared" si="89"/>
        <v>0</v>
      </c>
      <c r="AZ131" s="282">
        <f t="shared" si="89"/>
        <v>0</v>
      </c>
      <c r="BA131" s="282">
        <f t="shared" si="89"/>
        <v>0</v>
      </c>
      <c r="BB131" s="282">
        <f t="shared" si="89"/>
        <v>0</v>
      </c>
      <c r="BC131" s="282">
        <f t="shared" si="89"/>
        <v>0</v>
      </c>
      <c r="BD131" s="282">
        <f t="shared" si="89"/>
        <v>0</v>
      </c>
      <c r="BE131" s="282">
        <f t="shared" si="89"/>
        <v>0</v>
      </c>
    </row>
    <row r="132" spans="1:57" s="734" customFormat="1" ht="13.15" hidden="1" customHeight="1" outlineLevel="2" x14ac:dyDescent="0.2">
      <c r="A132" s="732"/>
      <c r="B132" s="732"/>
      <c r="C132" s="732"/>
      <c r="D132" s="732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  <c r="Y132" s="114"/>
      <c r="Z132" s="114"/>
      <c r="AA132" s="114"/>
      <c r="AB132" s="114"/>
      <c r="AC132" s="114"/>
      <c r="AD132" s="114"/>
      <c r="AE132" s="114"/>
      <c r="AF132" s="114"/>
      <c r="AG132" s="114"/>
      <c r="AH132" s="114"/>
      <c r="AI132" s="114"/>
      <c r="AJ132" s="114"/>
      <c r="AK132" s="114"/>
      <c r="AL132" s="114"/>
      <c r="AM132" s="114"/>
      <c r="AN132" s="114"/>
      <c r="AO132" s="114"/>
      <c r="AP132" s="114"/>
      <c r="AQ132" s="114"/>
      <c r="AR132" s="114"/>
      <c r="AS132" s="114"/>
      <c r="AT132" s="114"/>
      <c r="AU132" s="114"/>
      <c r="AV132" s="114"/>
      <c r="AW132" s="114"/>
      <c r="AX132" s="114"/>
      <c r="AY132" s="114"/>
      <c r="AZ132" s="114"/>
      <c r="BA132" s="114"/>
      <c r="BB132" s="114"/>
      <c r="BC132" s="114"/>
      <c r="BD132" s="114"/>
      <c r="BE132" s="114"/>
    </row>
    <row r="133" spans="1:57" s="734" customFormat="1" ht="13.15" hidden="1" customHeight="1" outlineLevel="2" x14ac:dyDescent="0.2">
      <c r="A133" s="787"/>
      <c r="B133" s="787"/>
      <c r="C133" s="787"/>
      <c r="D133" s="787"/>
      <c r="E133" s="790" t="str">
        <f xml:space="preserve"> InpC!E$163</f>
        <v>Equity bridge swap rate</v>
      </c>
      <c r="F133" s="790">
        <f xml:space="preserve"> InpC!F$163</f>
        <v>1.4999999999999999E-2</v>
      </c>
      <c r="G133" s="790" t="str">
        <f xml:space="preserve"> InpC!G$163</f>
        <v>% p.a.</v>
      </c>
      <c r="H133" s="788"/>
      <c r="I133" s="788"/>
      <c r="J133" s="788"/>
      <c r="K133" s="788"/>
      <c r="L133" s="788"/>
      <c r="M133" s="788"/>
      <c r="N133" s="788"/>
      <c r="O133" s="788"/>
      <c r="P133" s="788"/>
      <c r="Q133" s="788"/>
      <c r="R133" s="788"/>
      <c r="S133" s="788"/>
      <c r="T133" s="788"/>
      <c r="U133" s="788"/>
      <c r="V133" s="788"/>
      <c r="W133" s="788"/>
      <c r="X133" s="788"/>
      <c r="Y133" s="788"/>
      <c r="Z133" s="788"/>
      <c r="AA133" s="788"/>
      <c r="AB133" s="788"/>
      <c r="AC133" s="788"/>
      <c r="AD133" s="788"/>
      <c r="AE133" s="788"/>
      <c r="AF133" s="788"/>
      <c r="AG133" s="788"/>
      <c r="AH133" s="788"/>
      <c r="AI133" s="788"/>
      <c r="AJ133" s="788"/>
      <c r="AK133" s="788"/>
      <c r="AL133" s="788"/>
      <c r="AM133" s="788"/>
      <c r="AN133" s="788"/>
      <c r="AO133" s="788"/>
      <c r="AP133" s="788"/>
      <c r="AQ133" s="788"/>
      <c r="AR133" s="788"/>
      <c r="AS133" s="788"/>
      <c r="AT133" s="788"/>
      <c r="AU133" s="788"/>
      <c r="AV133" s="788"/>
      <c r="AW133" s="788"/>
      <c r="AX133" s="788"/>
      <c r="AY133" s="788"/>
      <c r="AZ133" s="788"/>
      <c r="BA133" s="788"/>
      <c r="BB133" s="788"/>
      <c r="BC133" s="788"/>
      <c r="BD133" s="788"/>
      <c r="BE133" s="788"/>
    </row>
    <row r="134" spans="1:57" s="921" customFormat="1" ht="13.15" hidden="1" customHeight="1" outlineLevel="2" x14ac:dyDescent="0.2">
      <c r="A134" s="918"/>
      <c r="B134" s="918"/>
      <c r="C134" s="918"/>
      <c r="D134" s="918"/>
      <c r="E134" s="919" t="str">
        <f xml:space="preserve"> Sensitivity!E$16</f>
        <v>Interest rate - sensitivity</v>
      </c>
      <c r="F134" s="919">
        <f xml:space="preserve"> Sensitivity!F$16</f>
        <v>0</v>
      </c>
      <c r="G134" s="919" t="str">
        <f xml:space="preserve"> Sensitivity!G$16</f>
        <v>% p.a.</v>
      </c>
      <c r="H134" s="920"/>
      <c r="I134" s="920"/>
      <c r="J134" s="920"/>
      <c r="K134" s="920"/>
      <c r="L134" s="920"/>
      <c r="M134" s="920"/>
      <c r="N134" s="920"/>
      <c r="O134" s="920"/>
      <c r="P134" s="920"/>
      <c r="Q134" s="920"/>
      <c r="R134" s="920"/>
      <c r="S134" s="920"/>
      <c r="T134" s="920"/>
      <c r="U134" s="920"/>
      <c r="V134" s="920"/>
      <c r="W134" s="920"/>
      <c r="X134" s="920"/>
      <c r="Y134" s="920"/>
      <c r="Z134" s="920"/>
      <c r="AA134" s="920"/>
      <c r="AB134" s="920"/>
      <c r="AC134" s="920"/>
      <c r="AD134" s="920"/>
      <c r="AE134" s="920"/>
      <c r="AF134" s="920"/>
      <c r="AG134" s="920"/>
      <c r="AH134" s="920"/>
      <c r="AI134" s="920"/>
      <c r="AJ134" s="920"/>
      <c r="AK134" s="920"/>
      <c r="AL134" s="920"/>
      <c r="AM134" s="920"/>
      <c r="AN134" s="920"/>
      <c r="AO134" s="920"/>
      <c r="AP134" s="920"/>
      <c r="AQ134" s="920"/>
      <c r="AR134" s="920"/>
      <c r="AS134" s="920"/>
      <c r="AT134" s="920"/>
      <c r="AU134" s="920"/>
      <c r="AV134" s="920"/>
      <c r="AW134" s="920"/>
      <c r="AX134" s="920"/>
      <c r="AY134" s="920"/>
      <c r="AZ134" s="920"/>
      <c r="BA134" s="920"/>
      <c r="BB134" s="920"/>
      <c r="BC134" s="920"/>
      <c r="BD134" s="920"/>
      <c r="BE134" s="920"/>
    </row>
    <row r="135" spans="1:57" s="734" customFormat="1" ht="13.15" hidden="1" customHeight="1" outlineLevel="2" x14ac:dyDescent="0.2">
      <c r="A135" s="732"/>
      <c r="B135" s="732"/>
      <c r="C135" s="732"/>
      <c r="D135" s="732"/>
      <c r="E135" s="282" t="str">
        <f t="shared" ref="E135:AJ135" si="90" xml:space="preserve"> E$131</f>
        <v>% of EBL hedged during construction</v>
      </c>
      <c r="F135" s="282">
        <f t="shared" si="90"/>
        <v>0</v>
      </c>
      <c r="G135" s="282" t="str">
        <f t="shared" si="90"/>
        <v>%</v>
      </c>
      <c r="H135" s="282">
        <f t="shared" si="90"/>
        <v>0</v>
      </c>
      <c r="I135" s="282">
        <f t="shared" si="90"/>
        <v>0</v>
      </c>
      <c r="J135" s="282">
        <f t="shared" si="90"/>
        <v>0</v>
      </c>
      <c r="K135" s="282">
        <f t="shared" si="90"/>
        <v>0</v>
      </c>
      <c r="L135" s="282">
        <f t="shared" si="90"/>
        <v>0</v>
      </c>
      <c r="M135" s="282">
        <f t="shared" si="90"/>
        <v>0</v>
      </c>
      <c r="N135" s="282">
        <f t="shared" si="90"/>
        <v>1</v>
      </c>
      <c r="O135" s="282">
        <f t="shared" si="90"/>
        <v>1</v>
      </c>
      <c r="P135" s="282">
        <f t="shared" si="90"/>
        <v>1</v>
      </c>
      <c r="Q135" s="282">
        <f t="shared" si="90"/>
        <v>1</v>
      </c>
      <c r="R135" s="282">
        <f t="shared" si="90"/>
        <v>1</v>
      </c>
      <c r="S135" s="282">
        <f t="shared" si="90"/>
        <v>1</v>
      </c>
      <c r="T135" s="282">
        <f t="shared" si="90"/>
        <v>1</v>
      </c>
      <c r="U135" s="282">
        <f t="shared" si="90"/>
        <v>1</v>
      </c>
      <c r="V135" s="282">
        <f t="shared" si="90"/>
        <v>1</v>
      </c>
      <c r="W135" s="282">
        <f t="shared" si="90"/>
        <v>1</v>
      </c>
      <c r="X135" s="282">
        <f t="shared" si="90"/>
        <v>1</v>
      </c>
      <c r="Y135" s="282">
        <f t="shared" si="90"/>
        <v>1</v>
      </c>
      <c r="Z135" s="282">
        <f t="shared" si="90"/>
        <v>1</v>
      </c>
      <c r="AA135" s="282">
        <f t="shared" si="90"/>
        <v>1</v>
      </c>
      <c r="AB135" s="282">
        <f t="shared" si="90"/>
        <v>1</v>
      </c>
      <c r="AC135" s="282">
        <f t="shared" si="90"/>
        <v>1</v>
      </c>
      <c r="AD135" s="282">
        <f t="shared" si="90"/>
        <v>1</v>
      </c>
      <c r="AE135" s="282">
        <f t="shared" si="90"/>
        <v>1</v>
      </c>
      <c r="AF135" s="282">
        <f t="shared" si="90"/>
        <v>1</v>
      </c>
      <c r="AG135" s="282">
        <f t="shared" si="90"/>
        <v>1</v>
      </c>
      <c r="AH135" s="282">
        <f t="shared" si="90"/>
        <v>1</v>
      </c>
      <c r="AI135" s="282">
        <f t="shared" si="90"/>
        <v>1</v>
      </c>
      <c r="AJ135" s="282">
        <f t="shared" si="90"/>
        <v>1</v>
      </c>
      <c r="AK135" s="282">
        <f t="shared" ref="AK135:BE135" si="91" xml:space="preserve"> AK$131</f>
        <v>1</v>
      </c>
      <c r="AL135" s="282">
        <f t="shared" si="91"/>
        <v>1</v>
      </c>
      <c r="AM135" s="282">
        <f t="shared" si="91"/>
        <v>1</v>
      </c>
      <c r="AN135" s="282">
        <f t="shared" si="91"/>
        <v>0</v>
      </c>
      <c r="AO135" s="282">
        <f t="shared" si="91"/>
        <v>0</v>
      </c>
      <c r="AP135" s="282">
        <f t="shared" si="91"/>
        <v>0</v>
      </c>
      <c r="AQ135" s="282">
        <f t="shared" si="91"/>
        <v>0</v>
      </c>
      <c r="AR135" s="282">
        <f t="shared" si="91"/>
        <v>0</v>
      </c>
      <c r="AS135" s="282">
        <f t="shared" si="91"/>
        <v>0</v>
      </c>
      <c r="AT135" s="282">
        <f t="shared" si="91"/>
        <v>0</v>
      </c>
      <c r="AU135" s="282">
        <f t="shared" si="91"/>
        <v>0</v>
      </c>
      <c r="AV135" s="282">
        <f t="shared" si="91"/>
        <v>0</v>
      </c>
      <c r="AW135" s="282">
        <f t="shared" si="91"/>
        <v>0</v>
      </c>
      <c r="AX135" s="282">
        <f t="shared" si="91"/>
        <v>0</v>
      </c>
      <c r="AY135" s="282">
        <f t="shared" si="91"/>
        <v>0</v>
      </c>
      <c r="AZ135" s="282">
        <f t="shared" si="91"/>
        <v>0</v>
      </c>
      <c r="BA135" s="282">
        <f t="shared" si="91"/>
        <v>0</v>
      </c>
      <c r="BB135" s="282">
        <f t="shared" si="91"/>
        <v>0</v>
      </c>
      <c r="BC135" s="282">
        <f t="shared" si="91"/>
        <v>0</v>
      </c>
      <c r="BD135" s="282">
        <f t="shared" si="91"/>
        <v>0</v>
      </c>
      <c r="BE135" s="282">
        <f t="shared" si="91"/>
        <v>0</v>
      </c>
    </row>
    <row r="136" spans="1:57" s="734" customFormat="1" ht="13.15" hidden="1" customHeight="1" outlineLevel="2" x14ac:dyDescent="0.2">
      <c r="A136" s="732"/>
      <c r="B136" s="732"/>
      <c r="C136" s="732"/>
      <c r="D136" s="732"/>
      <c r="E136" s="450" t="str">
        <f xml:space="preserve"> 'InpS - m'!E$18</f>
        <v>Active debt forward curve -m</v>
      </c>
      <c r="F136" s="450">
        <f xml:space="preserve"> 'InpS - m'!F$18</f>
        <v>0</v>
      </c>
      <c r="G136" s="450" t="str">
        <f xml:space="preserve"> 'InpS - m'!G$18</f>
        <v>% p.a.</v>
      </c>
      <c r="H136" s="450">
        <f xml:space="preserve"> 'InpS - m'!H$18</f>
        <v>0</v>
      </c>
      <c r="I136" s="450">
        <f xml:space="preserve"> 'InpS - m'!I$18</f>
        <v>0</v>
      </c>
      <c r="J136" s="450">
        <f xml:space="preserve"> 'InpS - m'!J$18</f>
        <v>1.9172E-3</v>
      </c>
      <c r="K136" s="450">
        <f xml:space="preserve"> 'InpS - m'!K$18</f>
        <v>1.8992E-3</v>
      </c>
      <c r="L136" s="450">
        <f xml:space="preserve"> 'InpS - m'!L$18</f>
        <v>1.5041E-3</v>
      </c>
      <c r="M136" s="450">
        <f xml:space="preserve"> 'InpS - m'!M$18</f>
        <v>1.0983E-3</v>
      </c>
      <c r="N136" s="450">
        <f xml:space="preserve"> 'InpS - m'!N$18</f>
        <v>1.0581E-3</v>
      </c>
      <c r="O136" s="450">
        <f xml:space="preserve"> 'InpS - m'!O$18</f>
        <v>1.5092E-3</v>
      </c>
      <c r="P136" s="450">
        <f xml:space="preserve"> 'InpS - m'!P$18</f>
        <v>1.4649999999999999E-3</v>
      </c>
      <c r="Q136" s="450">
        <f xml:space="preserve"> 'InpS - m'!Q$18</f>
        <v>1.3595999999999999E-3</v>
      </c>
      <c r="R136" s="450">
        <f xml:space="preserve"> 'InpS - m'!R$18</f>
        <v>1.4169E-3</v>
      </c>
      <c r="S136" s="450">
        <f xml:space="preserve"> 'InpS - m'!S$18</f>
        <v>1.4812E-3</v>
      </c>
      <c r="T136" s="450">
        <f xml:space="preserve"> 'InpS - m'!T$18</f>
        <v>1.4021000000000001E-3</v>
      </c>
      <c r="U136" s="450">
        <f xml:space="preserve"> 'InpS - m'!U$18</f>
        <v>1.6615E-3</v>
      </c>
      <c r="V136" s="450">
        <f xml:space="preserve"> 'InpS - m'!V$18</f>
        <v>2.0192000000000001E-3</v>
      </c>
      <c r="W136" s="450">
        <f xml:space="preserve"> 'InpS - m'!W$18</f>
        <v>2.0403999999999999E-3</v>
      </c>
      <c r="X136" s="450">
        <f xml:space="preserve"> 'InpS - m'!X$18</f>
        <v>2.0627000000000002E-3</v>
      </c>
      <c r="Y136" s="450">
        <f xml:space="preserve"> 'InpS - m'!Y$18</f>
        <v>2.0866000000000001E-3</v>
      </c>
      <c r="Z136" s="450">
        <f xml:space="preserve"> 'InpS - m'!Z$18</f>
        <v>2.1135999999999998E-3</v>
      </c>
      <c r="AA136" s="450">
        <f xml:space="preserve"> 'InpS - m'!AA$18</f>
        <v>2.2486999999999997E-3</v>
      </c>
      <c r="AB136" s="450">
        <f xml:space="preserve"> 'InpS - m'!AB$18</f>
        <v>2.2722000000000003E-3</v>
      </c>
      <c r="AC136" s="450">
        <f xml:space="preserve"> 'InpS - m'!AC$18</f>
        <v>2.2961000000000001E-3</v>
      </c>
      <c r="AD136" s="450">
        <f xml:space="preserve"> 'InpS - m'!AD$18</f>
        <v>2.3203999999999998E-3</v>
      </c>
      <c r="AE136" s="450">
        <f xml:space="preserve"> 'InpS - m'!AE$18</f>
        <v>2.3438999999999999E-3</v>
      </c>
      <c r="AF136" s="450">
        <f xml:space="preserve"> 'InpS - m'!AF$18</f>
        <v>2.3666E-3</v>
      </c>
      <c r="AG136" s="450">
        <f xml:space="preserve"> 'InpS - m'!AG$18</f>
        <v>2.3907999999999998E-3</v>
      </c>
      <c r="AH136" s="450">
        <f xml:space="preserve"> 'InpS - m'!AH$18</f>
        <v>2.4146000000000003E-3</v>
      </c>
      <c r="AI136" s="450">
        <f xml:space="preserve"> 'InpS - m'!AI$18</f>
        <v>2.4364E-3</v>
      </c>
      <c r="AJ136" s="450">
        <f xml:space="preserve"> 'InpS - m'!AJ$18</f>
        <v>2.4598999999999997E-3</v>
      </c>
      <c r="AK136" s="450">
        <f xml:space="preserve"> 'InpS - m'!AK$18</f>
        <v>2.4835999999999999E-3</v>
      </c>
      <c r="AL136" s="450">
        <f xml:space="preserve"> 'InpS - m'!AL$18</f>
        <v>2.5635999999999996E-3</v>
      </c>
      <c r="AM136" s="450">
        <f xml:space="preserve"> 'InpS - m'!AM$18</f>
        <v>3.4166999999999999E-3</v>
      </c>
      <c r="AN136" s="450">
        <f xml:space="preserve"> 'InpS - m'!AN$18</f>
        <v>3.4851999999999999E-3</v>
      </c>
      <c r="AO136" s="450">
        <f xml:space="preserve"> 'InpS - m'!AO$18</f>
        <v>3.5525000000000001E-3</v>
      </c>
      <c r="AP136" s="450">
        <f xml:space="preserve"> 'InpS - m'!AP$18</f>
        <v>3.6220000000000002E-3</v>
      </c>
      <c r="AQ136" s="450">
        <f xml:space="preserve"> 'InpS - m'!AQ$18</f>
        <v>3.6902000000000003E-3</v>
      </c>
      <c r="AR136" s="450">
        <f xml:space="preserve"> 'InpS - m'!AR$18</f>
        <v>3.7572999999999999E-3</v>
      </c>
      <c r="AS136" s="450">
        <f xml:space="preserve"> 'InpS - m'!AS$18</f>
        <v>3.8265999999999999E-3</v>
      </c>
      <c r="AT136" s="450">
        <f xml:space="preserve"> 'InpS - m'!AT$18</f>
        <v>3.8E-3</v>
      </c>
      <c r="AU136" s="450">
        <f xml:space="preserve"> 'InpS - m'!AU$18</f>
        <v>3.8999999999999998E-3</v>
      </c>
      <c r="AV136" s="450">
        <f xml:space="preserve"> 'InpS - m'!AV$18</f>
        <v>4.0000000000000001E-3</v>
      </c>
      <c r="AW136" s="450">
        <f xml:space="preserve"> 'InpS - m'!AW$18</f>
        <v>4.1000000000000003E-3</v>
      </c>
      <c r="AX136" s="450">
        <f xml:space="preserve"> 'InpS - m'!AX$18</f>
        <v>4.1999999999999997E-3</v>
      </c>
      <c r="AY136" s="450">
        <f xml:space="preserve"> 'InpS - m'!AY$18</f>
        <v>4.4000000000000003E-3</v>
      </c>
      <c r="AZ136" s="450">
        <f xml:space="preserve"> 'InpS - m'!AZ$18</f>
        <v>4.4999999999999997E-3</v>
      </c>
      <c r="BA136" s="450">
        <f xml:space="preserve"> 'InpS - m'!BA$18</f>
        <v>4.4999999999999997E-3</v>
      </c>
      <c r="BB136" s="450">
        <f xml:space="preserve"> 'InpS - m'!BB$18</f>
        <v>4.4000000000000003E-3</v>
      </c>
      <c r="BC136" s="450">
        <f xml:space="preserve"> 'InpS - m'!BC$18</f>
        <v>4.4000000000000003E-3</v>
      </c>
      <c r="BD136" s="450">
        <f xml:space="preserve"> 'InpS - m'!BD$18</f>
        <v>4.4000000000000003E-3</v>
      </c>
      <c r="BE136" s="450">
        <f xml:space="preserve"> 'InpS - m'!BE$18</f>
        <v>4.4000000000000003E-3</v>
      </c>
    </row>
    <row r="137" spans="1:57" s="764" customFormat="1" ht="13.15" hidden="1" customHeight="1" outlineLevel="2" x14ac:dyDescent="0.2">
      <c r="A137" s="787"/>
      <c r="B137" s="787"/>
      <c r="C137" s="787"/>
      <c r="D137" s="787"/>
      <c r="E137" s="789" t="str">
        <f xml:space="preserve"> ConTime!E$82</f>
        <v>Construction period flag</v>
      </c>
      <c r="F137" s="789">
        <f xml:space="preserve"> ConTime!F$82</f>
        <v>0</v>
      </c>
      <c r="G137" s="789" t="str">
        <f xml:space="preserve"> ConTime!G$82</f>
        <v>flag</v>
      </c>
      <c r="H137" s="789">
        <f xml:space="preserve"> ConTime!H$82</f>
        <v>26</v>
      </c>
      <c r="I137" s="789">
        <f xml:space="preserve"> ConTime!I$82</f>
        <v>0</v>
      </c>
      <c r="J137" s="789">
        <f xml:space="preserve"> ConTime!J$82</f>
        <v>0</v>
      </c>
      <c r="K137" s="789">
        <f xml:space="preserve"> ConTime!K$82</f>
        <v>0</v>
      </c>
      <c r="L137" s="789">
        <f xml:space="preserve"> ConTime!L$82</f>
        <v>0</v>
      </c>
      <c r="M137" s="789">
        <f xml:space="preserve"> ConTime!M$82</f>
        <v>0</v>
      </c>
      <c r="N137" s="789">
        <f xml:space="preserve"> ConTime!N$82</f>
        <v>1</v>
      </c>
      <c r="O137" s="789">
        <f xml:space="preserve"> ConTime!O$82</f>
        <v>1</v>
      </c>
      <c r="P137" s="789">
        <f xml:space="preserve"> ConTime!P$82</f>
        <v>1</v>
      </c>
      <c r="Q137" s="789">
        <f xml:space="preserve"> ConTime!Q$82</f>
        <v>1</v>
      </c>
      <c r="R137" s="789">
        <f xml:space="preserve"> ConTime!R$82</f>
        <v>1</v>
      </c>
      <c r="S137" s="789">
        <f xml:space="preserve"> ConTime!S$82</f>
        <v>1</v>
      </c>
      <c r="T137" s="789">
        <f xml:space="preserve"> ConTime!T$82</f>
        <v>1</v>
      </c>
      <c r="U137" s="789">
        <f xml:space="preserve"> ConTime!U$82</f>
        <v>1</v>
      </c>
      <c r="V137" s="789">
        <f xml:space="preserve"> ConTime!V$82</f>
        <v>1</v>
      </c>
      <c r="W137" s="789">
        <f xml:space="preserve"> ConTime!W$82</f>
        <v>1</v>
      </c>
      <c r="X137" s="789">
        <f xml:space="preserve"> ConTime!X$82</f>
        <v>1</v>
      </c>
      <c r="Y137" s="789">
        <f xml:space="preserve"> ConTime!Y$82</f>
        <v>1</v>
      </c>
      <c r="Z137" s="789">
        <f xml:space="preserve"> ConTime!Z$82</f>
        <v>1</v>
      </c>
      <c r="AA137" s="789">
        <f xml:space="preserve"> ConTime!AA$82</f>
        <v>1</v>
      </c>
      <c r="AB137" s="789">
        <f xml:space="preserve"> ConTime!AB$82</f>
        <v>1</v>
      </c>
      <c r="AC137" s="789">
        <f xml:space="preserve"> ConTime!AC$82</f>
        <v>1</v>
      </c>
      <c r="AD137" s="789">
        <f xml:space="preserve"> ConTime!AD$82</f>
        <v>1</v>
      </c>
      <c r="AE137" s="789">
        <f xml:space="preserve"> ConTime!AE$82</f>
        <v>1</v>
      </c>
      <c r="AF137" s="789">
        <f xml:space="preserve"> ConTime!AF$82</f>
        <v>1</v>
      </c>
      <c r="AG137" s="789">
        <f xml:space="preserve"> ConTime!AG$82</f>
        <v>1</v>
      </c>
      <c r="AH137" s="789">
        <f xml:space="preserve"> ConTime!AH$82</f>
        <v>1</v>
      </c>
      <c r="AI137" s="789">
        <f xml:space="preserve"> ConTime!AI$82</f>
        <v>1</v>
      </c>
      <c r="AJ137" s="789">
        <f xml:space="preserve"> ConTime!AJ$82</f>
        <v>1</v>
      </c>
      <c r="AK137" s="789">
        <f xml:space="preserve"> ConTime!AK$82</f>
        <v>1</v>
      </c>
      <c r="AL137" s="789">
        <f xml:space="preserve"> ConTime!AL$82</f>
        <v>1</v>
      </c>
      <c r="AM137" s="789">
        <f xml:space="preserve"> ConTime!AM$82</f>
        <v>1</v>
      </c>
      <c r="AN137" s="789">
        <f xml:space="preserve"> ConTime!AN$82</f>
        <v>0</v>
      </c>
      <c r="AO137" s="789">
        <f xml:space="preserve"> ConTime!AO$82</f>
        <v>0</v>
      </c>
      <c r="AP137" s="789">
        <f xml:space="preserve"> ConTime!AP$82</f>
        <v>0</v>
      </c>
      <c r="AQ137" s="789">
        <f xml:space="preserve"> ConTime!AQ$82</f>
        <v>0</v>
      </c>
      <c r="AR137" s="789">
        <f xml:space="preserve"> ConTime!AR$82</f>
        <v>0</v>
      </c>
      <c r="AS137" s="789">
        <f xml:space="preserve"> ConTime!AS$82</f>
        <v>0</v>
      </c>
      <c r="AT137" s="789">
        <f xml:space="preserve"> ConTime!AT$82</f>
        <v>0</v>
      </c>
      <c r="AU137" s="789">
        <f xml:space="preserve"> ConTime!AU$82</f>
        <v>0</v>
      </c>
      <c r="AV137" s="789">
        <f xml:space="preserve"> ConTime!AV$82</f>
        <v>0</v>
      </c>
      <c r="AW137" s="789">
        <f xml:space="preserve"> ConTime!AW$82</f>
        <v>0</v>
      </c>
      <c r="AX137" s="789">
        <f xml:space="preserve"> ConTime!AX$82</f>
        <v>0</v>
      </c>
      <c r="AY137" s="789">
        <f xml:space="preserve"> ConTime!AY$82</f>
        <v>0</v>
      </c>
      <c r="AZ137" s="789">
        <f xml:space="preserve"> ConTime!AZ$82</f>
        <v>0</v>
      </c>
      <c r="BA137" s="789">
        <f xml:space="preserve"> ConTime!BA$82</f>
        <v>0</v>
      </c>
      <c r="BB137" s="789">
        <f xml:space="preserve"> ConTime!BB$82</f>
        <v>0</v>
      </c>
      <c r="BC137" s="789">
        <f xml:space="preserve"> ConTime!BC$82</f>
        <v>0</v>
      </c>
      <c r="BD137" s="789">
        <f xml:space="preserve"> ConTime!BD$82</f>
        <v>0</v>
      </c>
      <c r="BE137" s="789">
        <f xml:space="preserve"> ConTime!BE$82</f>
        <v>0</v>
      </c>
    </row>
    <row r="138" spans="1:57" s="734" customFormat="1" ht="13.15" hidden="1" customHeight="1" outlineLevel="2" x14ac:dyDescent="0.2">
      <c r="A138" s="732"/>
      <c r="B138" s="732"/>
      <c r="C138" s="732"/>
      <c r="D138" s="732"/>
      <c r="E138" s="742" t="s">
        <v>524</v>
      </c>
      <c r="F138" s="742"/>
      <c r="G138" s="742" t="s">
        <v>116</v>
      </c>
      <c r="H138" s="114"/>
      <c r="I138" s="114"/>
      <c r="J138" s="282">
        <f t="shared" ref="J138:BE138" si="92" xml:space="preserve"> IF(J137 = 1, (J135 * $F133) + ((1 - J135) * (J136)), 0) + $F134</f>
        <v>0</v>
      </c>
      <c r="K138" s="282">
        <f t="shared" si="92"/>
        <v>0</v>
      </c>
      <c r="L138" s="282">
        <f t="shared" si="92"/>
        <v>0</v>
      </c>
      <c r="M138" s="282">
        <f t="shared" si="92"/>
        <v>0</v>
      </c>
      <c r="N138" s="282">
        <f t="shared" si="92"/>
        <v>1.4999999999999999E-2</v>
      </c>
      <c r="O138" s="282">
        <f t="shared" si="92"/>
        <v>1.4999999999999999E-2</v>
      </c>
      <c r="P138" s="282">
        <f t="shared" si="92"/>
        <v>1.4999999999999999E-2</v>
      </c>
      <c r="Q138" s="282">
        <f t="shared" si="92"/>
        <v>1.4999999999999999E-2</v>
      </c>
      <c r="R138" s="282">
        <f t="shared" si="92"/>
        <v>1.4999999999999999E-2</v>
      </c>
      <c r="S138" s="282">
        <f t="shared" si="92"/>
        <v>1.4999999999999999E-2</v>
      </c>
      <c r="T138" s="282">
        <f t="shared" si="92"/>
        <v>1.4999999999999999E-2</v>
      </c>
      <c r="U138" s="282">
        <f t="shared" si="92"/>
        <v>1.4999999999999999E-2</v>
      </c>
      <c r="V138" s="282">
        <f t="shared" si="92"/>
        <v>1.4999999999999999E-2</v>
      </c>
      <c r="W138" s="282">
        <f t="shared" si="92"/>
        <v>1.4999999999999999E-2</v>
      </c>
      <c r="X138" s="282">
        <f t="shared" si="92"/>
        <v>1.4999999999999999E-2</v>
      </c>
      <c r="Y138" s="282">
        <f t="shared" si="92"/>
        <v>1.4999999999999999E-2</v>
      </c>
      <c r="Z138" s="282">
        <f t="shared" si="92"/>
        <v>1.4999999999999999E-2</v>
      </c>
      <c r="AA138" s="282">
        <f t="shared" si="92"/>
        <v>1.4999999999999999E-2</v>
      </c>
      <c r="AB138" s="282">
        <f t="shared" si="92"/>
        <v>1.4999999999999999E-2</v>
      </c>
      <c r="AC138" s="282">
        <f t="shared" si="92"/>
        <v>1.4999999999999999E-2</v>
      </c>
      <c r="AD138" s="282">
        <f t="shared" si="92"/>
        <v>1.4999999999999999E-2</v>
      </c>
      <c r="AE138" s="282">
        <f t="shared" si="92"/>
        <v>1.4999999999999999E-2</v>
      </c>
      <c r="AF138" s="282">
        <f t="shared" si="92"/>
        <v>1.4999999999999999E-2</v>
      </c>
      <c r="AG138" s="282">
        <f t="shared" si="92"/>
        <v>1.4999999999999999E-2</v>
      </c>
      <c r="AH138" s="282">
        <f t="shared" si="92"/>
        <v>1.4999999999999999E-2</v>
      </c>
      <c r="AI138" s="282">
        <f t="shared" si="92"/>
        <v>1.4999999999999999E-2</v>
      </c>
      <c r="AJ138" s="282">
        <f t="shared" si="92"/>
        <v>1.4999999999999999E-2</v>
      </c>
      <c r="AK138" s="282">
        <f t="shared" si="92"/>
        <v>1.4999999999999999E-2</v>
      </c>
      <c r="AL138" s="282">
        <f t="shared" si="92"/>
        <v>1.4999999999999999E-2</v>
      </c>
      <c r="AM138" s="282">
        <f t="shared" si="92"/>
        <v>1.4999999999999999E-2</v>
      </c>
      <c r="AN138" s="282">
        <f t="shared" si="92"/>
        <v>0</v>
      </c>
      <c r="AO138" s="282">
        <f t="shared" si="92"/>
        <v>0</v>
      </c>
      <c r="AP138" s="282">
        <f t="shared" si="92"/>
        <v>0</v>
      </c>
      <c r="AQ138" s="282">
        <f t="shared" si="92"/>
        <v>0</v>
      </c>
      <c r="AR138" s="282">
        <f t="shared" si="92"/>
        <v>0</v>
      </c>
      <c r="AS138" s="282">
        <f t="shared" si="92"/>
        <v>0</v>
      </c>
      <c r="AT138" s="282">
        <f t="shared" si="92"/>
        <v>0</v>
      </c>
      <c r="AU138" s="282">
        <f t="shared" si="92"/>
        <v>0</v>
      </c>
      <c r="AV138" s="282">
        <f t="shared" si="92"/>
        <v>0</v>
      </c>
      <c r="AW138" s="282">
        <f t="shared" si="92"/>
        <v>0</v>
      </c>
      <c r="AX138" s="282">
        <f t="shared" si="92"/>
        <v>0</v>
      </c>
      <c r="AY138" s="282">
        <f t="shared" si="92"/>
        <v>0</v>
      </c>
      <c r="AZ138" s="282">
        <f t="shared" si="92"/>
        <v>0</v>
      </c>
      <c r="BA138" s="282">
        <f t="shared" si="92"/>
        <v>0</v>
      </c>
      <c r="BB138" s="282">
        <f t="shared" si="92"/>
        <v>0</v>
      </c>
      <c r="BC138" s="282">
        <f t="shared" si="92"/>
        <v>0</v>
      </c>
      <c r="BD138" s="282">
        <f t="shared" si="92"/>
        <v>0</v>
      </c>
      <c r="BE138" s="282">
        <f t="shared" si="92"/>
        <v>0</v>
      </c>
    </row>
    <row r="139" spans="1:57" s="734" customFormat="1" ht="13.15" hidden="1" customHeight="1" outlineLevel="2" x14ac:dyDescent="0.2">
      <c r="A139" s="732"/>
      <c r="B139" s="732"/>
      <c r="C139" s="732"/>
      <c r="D139" s="732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4"/>
      <c r="Y139" s="114"/>
      <c r="Z139" s="114"/>
      <c r="AA139" s="114"/>
      <c r="AB139" s="114"/>
      <c r="AC139" s="114"/>
      <c r="AD139" s="114"/>
      <c r="AE139" s="114"/>
      <c r="AF139" s="114"/>
      <c r="AG139" s="114"/>
      <c r="AH139" s="114"/>
      <c r="AI139" s="114"/>
      <c r="AJ139" s="114"/>
      <c r="AK139" s="114"/>
      <c r="AL139" s="114"/>
      <c r="AM139" s="114"/>
      <c r="AN139" s="114"/>
      <c r="AO139" s="114"/>
      <c r="AP139" s="114"/>
      <c r="AQ139" s="114"/>
      <c r="AR139" s="114"/>
      <c r="AS139" s="114"/>
      <c r="AT139" s="114"/>
      <c r="AU139" s="114"/>
      <c r="AV139" s="114"/>
      <c r="AW139" s="114"/>
      <c r="AX139" s="114"/>
      <c r="AY139" s="114"/>
      <c r="AZ139" s="114"/>
      <c r="BA139" s="114"/>
      <c r="BB139" s="114"/>
      <c r="BC139" s="114"/>
      <c r="BD139" s="114"/>
      <c r="BE139" s="114"/>
    </row>
    <row r="140" spans="1:57" s="734" customFormat="1" ht="13.15" hidden="1" customHeight="1" outlineLevel="2" x14ac:dyDescent="0.2">
      <c r="A140" s="787"/>
      <c r="B140" s="787"/>
      <c r="C140" s="787"/>
      <c r="D140" s="787"/>
      <c r="E140" s="790" t="str">
        <f xml:space="preserve"> InpC!E$165</f>
        <v>Equity bridge margin - construction</v>
      </c>
      <c r="F140" s="790">
        <f xml:space="preserve"> InpC!F$165</f>
        <v>2.5000000000000001E-2</v>
      </c>
      <c r="G140" s="790" t="str">
        <f xml:space="preserve"> InpC!G$165</f>
        <v>% p.a.</v>
      </c>
      <c r="H140" s="788"/>
      <c r="I140" s="788"/>
      <c r="J140" s="788"/>
      <c r="K140" s="788"/>
      <c r="L140" s="788"/>
      <c r="M140" s="788"/>
      <c r="N140" s="788"/>
      <c r="O140" s="788"/>
      <c r="P140" s="788"/>
      <c r="Q140" s="788"/>
      <c r="R140" s="788"/>
      <c r="S140" s="788"/>
      <c r="T140" s="788"/>
      <c r="U140" s="788"/>
      <c r="V140" s="788"/>
      <c r="W140" s="788"/>
      <c r="X140" s="788"/>
      <c r="Y140" s="788"/>
      <c r="Z140" s="788"/>
      <c r="AA140" s="788"/>
      <c r="AB140" s="788"/>
      <c r="AC140" s="788"/>
      <c r="AD140" s="788"/>
      <c r="AE140" s="788"/>
      <c r="AF140" s="788"/>
      <c r="AG140" s="788"/>
      <c r="AH140" s="788"/>
      <c r="AI140" s="788"/>
      <c r="AJ140" s="788"/>
      <c r="AK140" s="788"/>
      <c r="AL140" s="788"/>
      <c r="AM140" s="788"/>
      <c r="AN140" s="788"/>
      <c r="AO140" s="788"/>
      <c r="AP140" s="788"/>
      <c r="AQ140" s="788"/>
      <c r="AR140" s="788"/>
      <c r="AS140" s="788"/>
      <c r="AT140" s="788"/>
      <c r="AU140" s="788"/>
      <c r="AV140" s="788"/>
      <c r="AW140" s="788"/>
      <c r="AX140" s="788"/>
      <c r="AY140" s="788"/>
      <c r="AZ140" s="788"/>
      <c r="BA140" s="788"/>
      <c r="BB140" s="788"/>
      <c r="BC140" s="788"/>
      <c r="BD140" s="788"/>
      <c r="BE140" s="788"/>
    </row>
    <row r="141" spans="1:57" s="734" customFormat="1" ht="13.15" hidden="1" customHeight="1" outlineLevel="2" x14ac:dyDescent="0.2">
      <c r="A141" s="787"/>
      <c r="B141" s="787"/>
      <c r="C141" s="787"/>
      <c r="D141" s="787"/>
      <c r="E141" s="791" t="str">
        <f xml:space="preserve"> InpC!E$157</f>
        <v>Equity bridge day count convention</v>
      </c>
      <c r="F141" s="791">
        <f xml:space="preserve"> InpC!F$157</f>
        <v>360</v>
      </c>
      <c r="G141" s="791" t="str">
        <f xml:space="preserve"> InpC!G$157</f>
        <v>days</v>
      </c>
      <c r="H141" s="788"/>
      <c r="I141" s="788"/>
      <c r="J141" s="788"/>
      <c r="K141" s="788"/>
      <c r="L141" s="788"/>
      <c r="M141" s="788"/>
      <c r="N141" s="788"/>
      <c r="O141" s="788"/>
      <c r="P141" s="788"/>
      <c r="Q141" s="788"/>
      <c r="R141" s="788"/>
      <c r="S141" s="282"/>
      <c r="T141" s="788"/>
      <c r="U141" s="788"/>
      <c r="V141" s="788"/>
      <c r="W141" s="788"/>
      <c r="X141" s="788"/>
      <c r="Y141" s="788"/>
      <c r="Z141" s="788"/>
      <c r="AA141" s="788"/>
      <c r="AB141" s="788"/>
      <c r="AC141" s="788"/>
      <c r="AD141" s="788"/>
      <c r="AE141" s="788"/>
      <c r="AF141" s="788"/>
      <c r="AG141" s="788"/>
      <c r="AH141" s="788"/>
      <c r="AI141" s="788"/>
      <c r="AJ141" s="788"/>
      <c r="AK141" s="788"/>
      <c r="AL141" s="788"/>
      <c r="AM141" s="788"/>
      <c r="AN141" s="788"/>
      <c r="AO141" s="788"/>
      <c r="AP141" s="788"/>
      <c r="AQ141" s="788"/>
      <c r="AR141" s="788"/>
      <c r="AS141" s="788"/>
      <c r="AT141" s="788"/>
      <c r="AU141" s="788"/>
      <c r="AV141" s="788"/>
      <c r="AW141" s="788"/>
      <c r="AX141" s="788"/>
      <c r="AY141" s="788"/>
      <c r="AZ141" s="788"/>
      <c r="BA141" s="788"/>
      <c r="BB141" s="788"/>
      <c r="BC141" s="788"/>
      <c r="BD141" s="788"/>
      <c r="BE141" s="788"/>
    </row>
    <row r="142" spans="1:57" s="734" customFormat="1" ht="13.15" hidden="1" customHeight="1" outlineLevel="2" x14ac:dyDescent="0.2">
      <c r="A142" s="732"/>
      <c r="B142" s="732"/>
      <c r="C142" s="732"/>
      <c r="D142" s="732"/>
      <c r="E142" s="282" t="str">
        <f t="shared" ref="E142:AJ142" si="93" xml:space="preserve"> E$138</f>
        <v>Equity bridge - availability period base rate</v>
      </c>
      <c r="F142" s="282">
        <f t="shared" si="93"/>
        <v>0</v>
      </c>
      <c r="G142" s="282" t="str">
        <f t="shared" si="93"/>
        <v>% p.a.</v>
      </c>
      <c r="H142" s="282">
        <f t="shared" si="93"/>
        <v>0</v>
      </c>
      <c r="I142" s="282">
        <f t="shared" si="93"/>
        <v>0</v>
      </c>
      <c r="J142" s="282">
        <f t="shared" si="93"/>
        <v>0</v>
      </c>
      <c r="K142" s="282">
        <f t="shared" si="93"/>
        <v>0</v>
      </c>
      <c r="L142" s="282">
        <f t="shared" si="93"/>
        <v>0</v>
      </c>
      <c r="M142" s="282">
        <f t="shared" si="93"/>
        <v>0</v>
      </c>
      <c r="N142" s="282">
        <f t="shared" si="93"/>
        <v>1.4999999999999999E-2</v>
      </c>
      <c r="O142" s="282">
        <f t="shared" si="93"/>
        <v>1.4999999999999999E-2</v>
      </c>
      <c r="P142" s="282">
        <f t="shared" si="93"/>
        <v>1.4999999999999999E-2</v>
      </c>
      <c r="Q142" s="282">
        <f t="shared" si="93"/>
        <v>1.4999999999999999E-2</v>
      </c>
      <c r="R142" s="282">
        <f t="shared" si="93"/>
        <v>1.4999999999999999E-2</v>
      </c>
      <c r="S142" s="282">
        <f t="shared" si="93"/>
        <v>1.4999999999999999E-2</v>
      </c>
      <c r="T142" s="282">
        <f t="shared" si="93"/>
        <v>1.4999999999999999E-2</v>
      </c>
      <c r="U142" s="282">
        <f t="shared" si="93"/>
        <v>1.4999999999999999E-2</v>
      </c>
      <c r="V142" s="282">
        <f t="shared" si="93"/>
        <v>1.4999999999999999E-2</v>
      </c>
      <c r="W142" s="282">
        <f t="shared" si="93"/>
        <v>1.4999999999999999E-2</v>
      </c>
      <c r="X142" s="282">
        <f t="shared" si="93"/>
        <v>1.4999999999999999E-2</v>
      </c>
      <c r="Y142" s="282">
        <f t="shared" si="93"/>
        <v>1.4999999999999999E-2</v>
      </c>
      <c r="Z142" s="282">
        <f t="shared" si="93"/>
        <v>1.4999999999999999E-2</v>
      </c>
      <c r="AA142" s="282">
        <f t="shared" si="93"/>
        <v>1.4999999999999999E-2</v>
      </c>
      <c r="AB142" s="282">
        <f t="shared" si="93"/>
        <v>1.4999999999999999E-2</v>
      </c>
      <c r="AC142" s="282">
        <f t="shared" si="93"/>
        <v>1.4999999999999999E-2</v>
      </c>
      <c r="AD142" s="282">
        <f t="shared" si="93"/>
        <v>1.4999999999999999E-2</v>
      </c>
      <c r="AE142" s="282">
        <f t="shared" si="93"/>
        <v>1.4999999999999999E-2</v>
      </c>
      <c r="AF142" s="282">
        <f t="shared" si="93"/>
        <v>1.4999999999999999E-2</v>
      </c>
      <c r="AG142" s="282">
        <f t="shared" si="93"/>
        <v>1.4999999999999999E-2</v>
      </c>
      <c r="AH142" s="282">
        <f t="shared" si="93"/>
        <v>1.4999999999999999E-2</v>
      </c>
      <c r="AI142" s="282">
        <f t="shared" si="93"/>
        <v>1.4999999999999999E-2</v>
      </c>
      <c r="AJ142" s="282">
        <f t="shared" si="93"/>
        <v>1.4999999999999999E-2</v>
      </c>
      <c r="AK142" s="282">
        <f t="shared" ref="AK142:BE142" si="94" xml:space="preserve"> AK$138</f>
        <v>1.4999999999999999E-2</v>
      </c>
      <c r="AL142" s="282">
        <f t="shared" si="94"/>
        <v>1.4999999999999999E-2</v>
      </c>
      <c r="AM142" s="282">
        <f t="shared" si="94"/>
        <v>1.4999999999999999E-2</v>
      </c>
      <c r="AN142" s="282">
        <f t="shared" si="94"/>
        <v>0</v>
      </c>
      <c r="AO142" s="282">
        <f t="shared" si="94"/>
        <v>0</v>
      </c>
      <c r="AP142" s="282">
        <f t="shared" si="94"/>
        <v>0</v>
      </c>
      <c r="AQ142" s="282">
        <f t="shared" si="94"/>
        <v>0</v>
      </c>
      <c r="AR142" s="282">
        <f t="shared" si="94"/>
        <v>0</v>
      </c>
      <c r="AS142" s="282">
        <f t="shared" si="94"/>
        <v>0</v>
      </c>
      <c r="AT142" s="282">
        <f t="shared" si="94"/>
        <v>0</v>
      </c>
      <c r="AU142" s="282">
        <f t="shared" si="94"/>
        <v>0</v>
      </c>
      <c r="AV142" s="282">
        <f t="shared" si="94"/>
        <v>0</v>
      </c>
      <c r="AW142" s="282">
        <f t="shared" si="94"/>
        <v>0</v>
      </c>
      <c r="AX142" s="282">
        <f t="shared" si="94"/>
        <v>0</v>
      </c>
      <c r="AY142" s="282">
        <f t="shared" si="94"/>
        <v>0</v>
      </c>
      <c r="AZ142" s="282">
        <f t="shared" si="94"/>
        <v>0</v>
      </c>
      <c r="BA142" s="282">
        <f t="shared" si="94"/>
        <v>0</v>
      </c>
      <c r="BB142" s="282">
        <f t="shared" si="94"/>
        <v>0</v>
      </c>
      <c r="BC142" s="282">
        <f t="shared" si="94"/>
        <v>0</v>
      </c>
      <c r="BD142" s="282">
        <f t="shared" si="94"/>
        <v>0</v>
      </c>
      <c r="BE142" s="282">
        <f t="shared" si="94"/>
        <v>0</v>
      </c>
    </row>
    <row r="143" spans="1:57" s="764" customFormat="1" ht="13.15" hidden="1" customHeight="1" outlineLevel="2" x14ac:dyDescent="0.2">
      <c r="A143" s="787"/>
      <c r="B143" s="787"/>
      <c r="C143" s="787"/>
      <c r="D143" s="787"/>
      <c r="E143" s="789" t="str">
        <f xml:space="preserve"> ConTime!E$97</f>
        <v>Days in period - m</v>
      </c>
      <c r="F143" s="789">
        <f xml:space="preserve"> ConTime!F$97</f>
        <v>0</v>
      </c>
      <c r="G143" s="789" t="str">
        <f xml:space="preserve"> ConTime!G$97</f>
        <v>days</v>
      </c>
      <c r="H143" s="789">
        <f xml:space="preserve"> ConTime!H$97</f>
        <v>0</v>
      </c>
      <c r="I143" s="789">
        <f xml:space="preserve"> ConTime!I$97</f>
        <v>0</v>
      </c>
      <c r="J143" s="789">
        <f xml:space="preserve"> ConTime!J$97</f>
        <v>31</v>
      </c>
      <c r="K143" s="789">
        <f xml:space="preserve"> ConTime!K$97</f>
        <v>28</v>
      </c>
      <c r="L143" s="789">
        <f xml:space="preserve"> ConTime!L$97</f>
        <v>31</v>
      </c>
      <c r="M143" s="789">
        <f xml:space="preserve"> ConTime!M$97</f>
        <v>30</v>
      </c>
      <c r="N143" s="789">
        <f xml:space="preserve"> ConTime!N$97</f>
        <v>31</v>
      </c>
      <c r="O143" s="789">
        <f xml:space="preserve"> ConTime!O$97</f>
        <v>30</v>
      </c>
      <c r="P143" s="789">
        <f xml:space="preserve"> ConTime!P$97</f>
        <v>31</v>
      </c>
      <c r="Q143" s="789">
        <f xml:space="preserve"> ConTime!Q$97</f>
        <v>31</v>
      </c>
      <c r="R143" s="789">
        <f xml:space="preserve"> ConTime!R$97</f>
        <v>30</v>
      </c>
      <c r="S143" s="789">
        <f xml:space="preserve"> ConTime!S$97</f>
        <v>31</v>
      </c>
      <c r="T143" s="789">
        <f xml:space="preserve"> ConTime!T$97</f>
        <v>30</v>
      </c>
      <c r="U143" s="789">
        <f xml:space="preserve"> ConTime!U$97</f>
        <v>31</v>
      </c>
      <c r="V143" s="789">
        <f xml:space="preserve"> ConTime!V$97</f>
        <v>31</v>
      </c>
      <c r="W143" s="789">
        <f xml:space="preserve"> ConTime!W$97</f>
        <v>28</v>
      </c>
      <c r="X143" s="789">
        <f xml:space="preserve"> ConTime!X$97</f>
        <v>31</v>
      </c>
      <c r="Y143" s="789">
        <f xml:space="preserve"> ConTime!Y$97</f>
        <v>30</v>
      </c>
      <c r="Z143" s="789">
        <f xml:space="preserve"> ConTime!Z$97</f>
        <v>31</v>
      </c>
      <c r="AA143" s="789">
        <f xml:space="preserve"> ConTime!AA$97</f>
        <v>30</v>
      </c>
      <c r="AB143" s="789">
        <f xml:space="preserve"> ConTime!AB$97</f>
        <v>31</v>
      </c>
      <c r="AC143" s="789">
        <f xml:space="preserve"> ConTime!AC$97</f>
        <v>31</v>
      </c>
      <c r="AD143" s="789">
        <f xml:space="preserve"> ConTime!AD$97</f>
        <v>30</v>
      </c>
      <c r="AE143" s="789">
        <f xml:space="preserve"> ConTime!AE$97</f>
        <v>31</v>
      </c>
      <c r="AF143" s="789">
        <f xml:space="preserve"> ConTime!AF$97</f>
        <v>30</v>
      </c>
      <c r="AG143" s="789">
        <f xml:space="preserve"> ConTime!AG$97</f>
        <v>31</v>
      </c>
      <c r="AH143" s="789">
        <f xml:space="preserve"> ConTime!AH$97</f>
        <v>31</v>
      </c>
      <c r="AI143" s="789">
        <f xml:space="preserve"> ConTime!AI$97</f>
        <v>29</v>
      </c>
      <c r="AJ143" s="789">
        <f xml:space="preserve"> ConTime!AJ$97</f>
        <v>31</v>
      </c>
      <c r="AK143" s="789">
        <f xml:space="preserve"> ConTime!AK$97</f>
        <v>30</v>
      </c>
      <c r="AL143" s="789">
        <f xml:space="preserve"> ConTime!AL$97</f>
        <v>31</v>
      </c>
      <c r="AM143" s="789">
        <f xml:space="preserve"> ConTime!AM$97</f>
        <v>30</v>
      </c>
      <c r="AN143" s="789">
        <f xml:space="preserve"> ConTime!AN$97</f>
        <v>31</v>
      </c>
      <c r="AO143" s="789">
        <f xml:space="preserve"> ConTime!AO$97</f>
        <v>31</v>
      </c>
      <c r="AP143" s="789">
        <f xml:space="preserve"> ConTime!AP$97</f>
        <v>30</v>
      </c>
      <c r="AQ143" s="789">
        <f xml:space="preserve"> ConTime!AQ$97</f>
        <v>31</v>
      </c>
      <c r="AR143" s="789">
        <f xml:space="preserve"> ConTime!AR$97</f>
        <v>30</v>
      </c>
      <c r="AS143" s="789">
        <f xml:space="preserve"> ConTime!AS$97</f>
        <v>31</v>
      </c>
      <c r="AT143" s="789">
        <f xml:space="preserve"> ConTime!AT$97</f>
        <v>31</v>
      </c>
      <c r="AU143" s="789">
        <f xml:space="preserve"> ConTime!AU$97</f>
        <v>28</v>
      </c>
      <c r="AV143" s="789">
        <f xml:space="preserve"> ConTime!AV$97</f>
        <v>31</v>
      </c>
      <c r="AW143" s="789">
        <f xml:space="preserve"> ConTime!AW$97</f>
        <v>30</v>
      </c>
      <c r="AX143" s="789">
        <f xml:space="preserve"> ConTime!AX$97</f>
        <v>31</v>
      </c>
      <c r="AY143" s="789">
        <f xml:space="preserve"> ConTime!AY$97</f>
        <v>30</v>
      </c>
      <c r="AZ143" s="789">
        <f xml:space="preserve"> ConTime!AZ$97</f>
        <v>31</v>
      </c>
      <c r="BA143" s="789">
        <f xml:space="preserve"> ConTime!BA$97</f>
        <v>31</v>
      </c>
      <c r="BB143" s="789">
        <f xml:space="preserve"> ConTime!BB$97</f>
        <v>30</v>
      </c>
      <c r="BC143" s="789">
        <f xml:space="preserve"> ConTime!BC$97</f>
        <v>31</v>
      </c>
      <c r="BD143" s="789">
        <f xml:space="preserve"> ConTime!BD$97</f>
        <v>30</v>
      </c>
      <c r="BE143" s="789">
        <f xml:space="preserve"> ConTime!BE$97</f>
        <v>31</v>
      </c>
    </row>
    <row r="144" spans="1:57" s="764" customFormat="1" ht="13.15" hidden="1" customHeight="1" outlineLevel="2" x14ac:dyDescent="0.2">
      <c r="A144" s="787"/>
      <c r="B144" s="787"/>
      <c r="C144" s="787"/>
      <c r="D144" s="787"/>
      <c r="E144" s="789" t="str">
        <f xml:space="preserve"> ConTime!E$82</f>
        <v>Construction period flag</v>
      </c>
      <c r="F144" s="789">
        <f xml:space="preserve"> ConTime!F$82</f>
        <v>0</v>
      </c>
      <c r="G144" s="789" t="str">
        <f xml:space="preserve"> ConTime!G$82</f>
        <v>flag</v>
      </c>
      <c r="H144" s="789">
        <f xml:space="preserve"> ConTime!H$82</f>
        <v>26</v>
      </c>
      <c r="I144" s="789">
        <f xml:space="preserve"> ConTime!I$82</f>
        <v>0</v>
      </c>
      <c r="J144" s="789">
        <f xml:space="preserve"> ConTime!J$82</f>
        <v>0</v>
      </c>
      <c r="K144" s="789">
        <f xml:space="preserve"> ConTime!K$82</f>
        <v>0</v>
      </c>
      <c r="L144" s="789">
        <f xml:space="preserve"> ConTime!L$82</f>
        <v>0</v>
      </c>
      <c r="M144" s="789">
        <f xml:space="preserve"> ConTime!M$82</f>
        <v>0</v>
      </c>
      <c r="N144" s="789">
        <f xml:space="preserve"> ConTime!N$82</f>
        <v>1</v>
      </c>
      <c r="O144" s="789">
        <f xml:space="preserve"> ConTime!O$82</f>
        <v>1</v>
      </c>
      <c r="P144" s="789">
        <f xml:space="preserve"> ConTime!P$82</f>
        <v>1</v>
      </c>
      <c r="Q144" s="789">
        <f xml:space="preserve"> ConTime!Q$82</f>
        <v>1</v>
      </c>
      <c r="R144" s="789">
        <f xml:space="preserve"> ConTime!R$82</f>
        <v>1</v>
      </c>
      <c r="S144" s="789">
        <f xml:space="preserve"> ConTime!S$82</f>
        <v>1</v>
      </c>
      <c r="T144" s="789">
        <f xml:space="preserve"> ConTime!T$82</f>
        <v>1</v>
      </c>
      <c r="U144" s="789">
        <f xml:space="preserve"> ConTime!U$82</f>
        <v>1</v>
      </c>
      <c r="V144" s="789">
        <f xml:space="preserve"> ConTime!V$82</f>
        <v>1</v>
      </c>
      <c r="W144" s="789">
        <f xml:space="preserve"> ConTime!W$82</f>
        <v>1</v>
      </c>
      <c r="X144" s="789">
        <f xml:space="preserve"> ConTime!X$82</f>
        <v>1</v>
      </c>
      <c r="Y144" s="789">
        <f xml:space="preserve"> ConTime!Y$82</f>
        <v>1</v>
      </c>
      <c r="Z144" s="789">
        <f xml:space="preserve"> ConTime!Z$82</f>
        <v>1</v>
      </c>
      <c r="AA144" s="789">
        <f xml:space="preserve"> ConTime!AA$82</f>
        <v>1</v>
      </c>
      <c r="AB144" s="789">
        <f xml:space="preserve"> ConTime!AB$82</f>
        <v>1</v>
      </c>
      <c r="AC144" s="789">
        <f xml:space="preserve"> ConTime!AC$82</f>
        <v>1</v>
      </c>
      <c r="AD144" s="789">
        <f xml:space="preserve"> ConTime!AD$82</f>
        <v>1</v>
      </c>
      <c r="AE144" s="789">
        <f xml:space="preserve"> ConTime!AE$82</f>
        <v>1</v>
      </c>
      <c r="AF144" s="789">
        <f xml:space="preserve"> ConTime!AF$82</f>
        <v>1</v>
      </c>
      <c r="AG144" s="789">
        <f xml:space="preserve"> ConTime!AG$82</f>
        <v>1</v>
      </c>
      <c r="AH144" s="789">
        <f xml:space="preserve"> ConTime!AH$82</f>
        <v>1</v>
      </c>
      <c r="AI144" s="789">
        <f xml:space="preserve"> ConTime!AI$82</f>
        <v>1</v>
      </c>
      <c r="AJ144" s="789">
        <f xml:space="preserve"> ConTime!AJ$82</f>
        <v>1</v>
      </c>
      <c r="AK144" s="789">
        <f xml:space="preserve"> ConTime!AK$82</f>
        <v>1</v>
      </c>
      <c r="AL144" s="789">
        <f xml:space="preserve"> ConTime!AL$82</f>
        <v>1</v>
      </c>
      <c r="AM144" s="789">
        <f xml:space="preserve"> ConTime!AM$82</f>
        <v>1</v>
      </c>
      <c r="AN144" s="789">
        <f xml:space="preserve"> ConTime!AN$82</f>
        <v>0</v>
      </c>
      <c r="AO144" s="789">
        <f xml:space="preserve"> ConTime!AO$82</f>
        <v>0</v>
      </c>
      <c r="AP144" s="789">
        <f xml:space="preserve"> ConTime!AP$82</f>
        <v>0</v>
      </c>
      <c r="AQ144" s="789">
        <f xml:space="preserve"> ConTime!AQ$82</f>
        <v>0</v>
      </c>
      <c r="AR144" s="789">
        <f xml:space="preserve"> ConTime!AR$82</f>
        <v>0</v>
      </c>
      <c r="AS144" s="789">
        <f xml:space="preserve"> ConTime!AS$82</f>
        <v>0</v>
      </c>
      <c r="AT144" s="789">
        <f xml:space="preserve"> ConTime!AT$82</f>
        <v>0</v>
      </c>
      <c r="AU144" s="789">
        <f xml:space="preserve"> ConTime!AU$82</f>
        <v>0</v>
      </c>
      <c r="AV144" s="789">
        <f xml:space="preserve"> ConTime!AV$82</f>
        <v>0</v>
      </c>
      <c r="AW144" s="789">
        <f xml:space="preserve"> ConTime!AW$82</f>
        <v>0</v>
      </c>
      <c r="AX144" s="789">
        <f xml:space="preserve"> ConTime!AX$82</f>
        <v>0</v>
      </c>
      <c r="AY144" s="789">
        <f xml:space="preserve"> ConTime!AY$82</f>
        <v>0</v>
      </c>
      <c r="AZ144" s="789">
        <f xml:space="preserve"> ConTime!AZ$82</f>
        <v>0</v>
      </c>
      <c r="BA144" s="789">
        <f xml:space="preserve"> ConTime!BA$82</f>
        <v>0</v>
      </c>
      <c r="BB144" s="789">
        <f xml:space="preserve"> ConTime!BB$82</f>
        <v>0</v>
      </c>
      <c r="BC144" s="789">
        <f xml:space="preserve"> ConTime!BC$82</f>
        <v>0</v>
      </c>
      <c r="BD144" s="789">
        <f xml:space="preserve"> ConTime!BD$82</f>
        <v>0</v>
      </c>
      <c r="BE144" s="789">
        <f xml:space="preserve"> ConTime!BE$82</f>
        <v>0</v>
      </c>
    </row>
    <row r="145" spans="1:57" s="734" customFormat="1" ht="13.15" hidden="1" customHeight="1" outlineLevel="2" x14ac:dyDescent="0.2">
      <c r="A145" s="732"/>
      <c r="B145" s="732"/>
      <c r="C145" s="732"/>
      <c r="D145" s="732"/>
      <c r="E145" s="742" t="s">
        <v>525</v>
      </c>
      <c r="F145" s="742"/>
      <c r="G145" s="742" t="s">
        <v>103</v>
      </c>
      <c r="H145" s="114"/>
      <c r="I145" s="114"/>
      <c r="J145" s="282">
        <f t="shared" ref="J145:BE145" si="95" xml:space="preserve"> ($F140 + J142) / $F141 * J143 * J144</f>
        <v>0</v>
      </c>
      <c r="K145" s="282">
        <f t="shared" si="95"/>
        <v>0</v>
      </c>
      <c r="L145" s="282">
        <f t="shared" si="95"/>
        <v>0</v>
      </c>
      <c r="M145" s="282">
        <f t="shared" si="95"/>
        <v>0</v>
      </c>
      <c r="N145" s="282">
        <f t="shared" si="95"/>
        <v>3.4444444444444444E-3</v>
      </c>
      <c r="O145" s="282">
        <f t="shared" si="95"/>
        <v>3.3333333333333335E-3</v>
      </c>
      <c r="P145" s="282">
        <f t="shared" si="95"/>
        <v>3.4444444444444444E-3</v>
      </c>
      <c r="Q145" s="282">
        <f t="shared" si="95"/>
        <v>3.4444444444444444E-3</v>
      </c>
      <c r="R145" s="282">
        <f t="shared" si="95"/>
        <v>3.3333333333333335E-3</v>
      </c>
      <c r="S145" s="282">
        <f t="shared" si="95"/>
        <v>3.4444444444444444E-3</v>
      </c>
      <c r="T145" s="282">
        <f t="shared" si="95"/>
        <v>3.3333333333333335E-3</v>
      </c>
      <c r="U145" s="282">
        <f t="shared" si="95"/>
        <v>3.4444444444444444E-3</v>
      </c>
      <c r="V145" s="282">
        <f t="shared" si="95"/>
        <v>3.4444444444444444E-3</v>
      </c>
      <c r="W145" s="282">
        <f t="shared" si="95"/>
        <v>3.1111111111111114E-3</v>
      </c>
      <c r="X145" s="282">
        <f t="shared" si="95"/>
        <v>3.4444444444444444E-3</v>
      </c>
      <c r="Y145" s="282">
        <f t="shared" si="95"/>
        <v>3.3333333333333335E-3</v>
      </c>
      <c r="Z145" s="282">
        <f t="shared" si="95"/>
        <v>3.4444444444444444E-3</v>
      </c>
      <c r="AA145" s="282">
        <f t="shared" si="95"/>
        <v>3.3333333333333335E-3</v>
      </c>
      <c r="AB145" s="282">
        <f t="shared" si="95"/>
        <v>3.4444444444444444E-3</v>
      </c>
      <c r="AC145" s="282">
        <f t="shared" si="95"/>
        <v>3.4444444444444444E-3</v>
      </c>
      <c r="AD145" s="282">
        <f t="shared" si="95"/>
        <v>3.3333333333333335E-3</v>
      </c>
      <c r="AE145" s="282">
        <f t="shared" si="95"/>
        <v>3.4444444444444444E-3</v>
      </c>
      <c r="AF145" s="282">
        <f t="shared" si="95"/>
        <v>3.3333333333333335E-3</v>
      </c>
      <c r="AG145" s="282">
        <f t="shared" si="95"/>
        <v>3.4444444444444444E-3</v>
      </c>
      <c r="AH145" s="282">
        <f t="shared" si="95"/>
        <v>3.4444444444444444E-3</v>
      </c>
      <c r="AI145" s="282">
        <f t="shared" si="95"/>
        <v>3.2222222222222222E-3</v>
      </c>
      <c r="AJ145" s="282">
        <f t="shared" si="95"/>
        <v>3.4444444444444444E-3</v>
      </c>
      <c r="AK145" s="282">
        <f t="shared" si="95"/>
        <v>3.3333333333333335E-3</v>
      </c>
      <c r="AL145" s="282">
        <f t="shared" si="95"/>
        <v>3.4444444444444444E-3</v>
      </c>
      <c r="AM145" s="282">
        <f t="shared" si="95"/>
        <v>3.3333333333333335E-3</v>
      </c>
      <c r="AN145" s="282">
        <f t="shared" si="95"/>
        <v>0</v>
      </c>
      <c r="AO145" s="282">
        <f t="shared" si="95"/>
        <v>0</v>
      </c>
      <c r="AP145" s="282">
        <f t="shared" si="95"/>
        <v>0</v>
      </c>
      <c r="AQ145" s="282">
        <f t="shared" si="95"/>
        <v>0</v>
      </c>
      <c r="AR145" s="282">
        <f t="shared" si="95"/>
        <v>0</v>
      </c>
      <c r="AS145" s="282">
        <f t="shared" si="95"/>
        <v>0</v>
      </c>
      <c r="AT145" s="282">
        <f t="shared" si="95"/>
        <v>0</v>
      </c>
      <c r="AU145" s="282">
        <f t="shared" si="95"/>
        <v>0</v>
      </c>
      <c r="AV145" s="282">
        <f t="shared" si="95"/>
        <v>0</v>
      </c>
      <c r="AW145" s="282">
        <f t="shared" si="95"/>
        <v>0</v>
      </c>
      <c r="AX145" s="282">
        <f t="shared" si="95"/>
        <v>0</v>
      </c>
      <c r="AY145" s="282">
        <f t="shared" si="95"/>
        <v>0</v>
      </c>
      <c r="AZ145" s="282">
        <f t="shared" si="95"/>
        <v>0</v>
      </c>
      <c r="BA145" s="282">
        <f t="shared" si="95"/>
        <v>0</v>
      </c>
      <c r="BB145" s="282">
        <f t="shared" si="95"/>
        <v>0</v>
      </c>
      <c r="BC145" s="282">
        <f t="shared" si="95"/>
        <v>0</v>
      </c>
      <c r="BD145" s="282">
        <f t="shared" si="95"/>
        <v>0</v>
      </c>
      <c r="BE145" s="282">
        <f t="shared" si="95"/>
        <v>0</v>
      </c>
    </row>
    <row r="146" spans="1:57" s="734" customFormat="1" ht="13.15" hidden="1" customHeight="1" outlineLevel="2" x14ac:dyDescent="0.2">
      <c r="A146" s="732"/>
      <c r="B146" s="732"/>
      <c r="C146" s="732"/>
      <c r="D146" s="732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  <c r="V146" s="114"/>
      <c r="W146" s="114"/>
      <c r="X146" s="114"/>
      <c r="Y146" s="114"/>
      <c r="Z146" s="114"/>
      <c r="AA146" s="114"/>
      <c r="AB146" s="114"/>
      <c r="AC146" s="114"/>
      <c r="AD146" s="114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114"/>
      <c r="AY146" s="114"/>
      <c r="AZ146" s="114"/>
      <c r="BA146" s="114"/>
      <c r="BB146" s="114"/>
      <c r="BC146" s="114"/>
      <c r="BD146" s="114"/>
      <c r="BE146" s="114"/>
    </row>
    <row r="147" spans="1:57" s="734" customFormat="1" ht="13.15" hidden="1" customHeight="1" outlineLevel="2" x14ac:dyDescent="0.2">
      <c r="A147" s="732"/>
      <c r="B147" s="732"/>
      <c r="C147" s="732"/>
      <c r="D147" s="732"/>
      <c r="E147" s="282" t="str">
        <f t="shared" ref="E147:BE147" si="96" xml:space="preserve"> E$145</f>
        <v>Equity bridge period interest rate</v>
      </c>
      <c r="F147" s="282">
        <f t="shared" si="96"/>
        <v>0</v>
      </c>
      <c r="G147" s="282" t="str">
        <f t="shared" si="96"/>
        <v>%</v>
      </c>
      <c r="H147" s="282">
        <f t="shared" si="96"/>
        <v>0</v>
      </c>
      <c r="I147" s="282">
        <f t="shared" si="96"/>
        <v>0</v>
      </c>
      <c r="J147" s="282">
        <f t="shared" si="96"/>
        <v>0</v>
      </c>
      <c r="K147" s="282">
        <f t="shared" si="96"/>
        <v>0</v>
      </c>
      <c r="L147" s="282">
        <f t="shared" si="96"/>
        <v>0</v>
      </c>
      <c r="M147" s="282">
        <f t="shared" si="96"/>
        <v>0</v>
      </c>
      <c r="N147" s="282">
        <f t="shared" si="96"/>
        <v>3.4444444444444444E-3</v>
      </c>
      <c r="O147" s="282">
        <f t="shared" si="96"/>
        <v>3.3333333333333335E-3</v>
      </c>
      <c r="P147" s="282">
        <f t="shared" si="96"/>
        <v>3.4444444444444444E-3</v>
      </c>
      <c r="Q147" s="282">
        <f t="shared" si="96"/>
        <v>3.4444444444444444E-3</v>
      </c>
      <c r="R147" s="282">
        <f t="shared" si="96"/>
        <v>3.3333333333333335E-3</v>
      </c>
      <c r="S147" s="282">
        <f t="shared" si="96"/>
        <v>3.4444444444444444E-3</v>
      </c>
      <c r="T147" s="282">
        <f t="shared" si="96"/>
        <v>3.3333333333333335E-3</v>
      </c>
      <c r="U147" s="282">
        <f t="shared" si="96"/>
        <v>3.4444444444444444E-3</v>
      </c>
      <c r="V147" s="282">
        <f t="shared" si="96"/>
        <v>3.4444444444444444E-3</v>
      </c>
      <c r="W147" s="282">
        <f t="shared" si="96"/>
        <v>3.1111111111111114E-3</v>
      </c>
      <c r="X147" s="282">
        <f t="shared" si="96"/>
        <v>3.4444444444444444E-3</v>
      </c>
      <c r="Y147" s="282">
        <f t="shared" si="96"/>
        <v>3.3333333333333335E-3</v>
      </c>
      <c r="Z147" s="282">
        <f t="shared" si="96"/>
        <v>3.4444444444444444E-3</v>
      </c>
      <c r="AA147" s="282">
        <f t="shared" si="96"/>
        <v>3.3333333333333335E-3</v>
      </c>
      <c r="AB147" s="282">
        <f t="shared" si="96"/>
        <v>3.4444444444444444E-3</v>
      </c>
      <c r="AC147" s="282">
        <f t="shared" si="96"/>
        <v>3.4444444444444444E-3</v>
      </c>
      <c r="AD147" s="282">
        <f t="shared" si="96"/>
        <v>3.3333333333333335E-3</v>
      </c>
      <c r="AE147" s="282">
        <f t="shared" si="96"/>
        <v>3.4444444444444444E-3</v>
      </c>
      <c r="AF147" s="282">
        <f t="shared" si="96"/>
        <v>3.3333333333333335E-3</v>
      </c>
      <c r="AG147" s="282">
        <f t="shared" si="96"/>
        <v>3.4444444444444444E-3</v>
      </c>
      <c r="AH147" s="282">
        <f t="shared" si="96"/>
        <v>3.4444444444444444E-3</v>
      </c>
      <c r="AI147" s="282">
        <f t="shared" si="96"/>
        <v>3.2222222222222222E-3</v>
      </c>
      <c r="AJ147" s="282">
        <f t="shared" si="96"/>
        <v>3.4444444444444444E-3</v>
      </c>
      <c r="AK147" s="282">
        <f t="shared" si="96"/>
        <v>3.3333333333333335E-3</v>
      </c>
      <c r="AL147" s="282">
        <f t="shared" si="96"/>
        <v>3.4444444444444444E-3</v>
      </c>
      <c r="AM147" s="282">
        <f t="shared" si="96"/>
        <v>3.3333333333333335E-3</v>
      </c>
      <c r="AN147" s="282">
        <f t="shared" si="96"/>
        <v>0</v>
      </c>
      <c r="AO147" s="282">
        <f t="shared" si="96"/>
        <v>0</v>
      </c>
      <c r="AP147" s="282">
        <f t="shared" si="96"/>
        <v>0</v>
      </c>
      <c r="AQ147" s="282">
        <f t="shared" si="96"/>
        <v>0</v>
      </c>
      <c r="AR147" s="282">
        <f t="shared" si="96"/>
        <v>0</v>
      </c>
      <c r="AS147" s="282">
        <f t="shared" si="96"/>
        <v>0</v>
      </c>
      <c r="AT147" s="282">
        <f t="shared" si="96"/>
        <v>0</v>
      </c>
      <c r="AU147" s="282">
        <f t="shared" si="96"/>
        <v>0</v>
      </c>
      <c r="AV147" s="282">
        <f t="shared" si="96"/>
        <v>0</v>
      </c>
      <c r="AW147" s="282">
        <f t="shared" si="96"/>
        <v>0</v>
      </c>
      <c r="AX147" s="282">
        <f t="shared" si="96"/>
        <v>0</v>
      </c>
      <c r="AY147" s="282">
        <f t="shared" si="96"/>
        <v>0</v>
      </c>
      <c r="AZ147" s="282">
        <f t="shared" si="96"/>
        <v>0</v>
      </c>
      <c r="BA147" s="282">
        <f t="shared" si="96"/>
        <v>0</v>
      </c>
      <c r="BB147" s="282">
        <f t="shared" si="96"/>
        <v>0</v>
      </c>
      <c r="BC147" s="282">
        <f t="shared" si="96"/>
        <v>0</v>
      </c>
      <c r="BD147" s="282">
        <f t="shared" si="96"/>
        <v>0</v>
      </c>
      <c r="BE147" s="282">
        <f t="shared" si="96"/>
        <v>0</v>
      </c>
    </row>
    <row r="148" spans="1:57" s="734" customFormat="1" ht="13.15" hidden="1" customHeight="1" outlineLevel="2" x14ac:dyDescent="0.2">
      <c r="A148" s="732"/>
      <c r="B148" s="732"/>
      <c r="C148" s="732"/>
      <c r="D148" s="732"/>
      <c r="E148" s="740" t="str">
        <f t="shared" ref="E148:BE148" si="97" xml:space="preserve"> E$119</f>
        <v>Equity bridge balance BEG</v>
      </c>
      <c r="F148" s="740">
        <f t="shared" si="97"/>
        <v>0</v>
      </c>
      <c r="G148" s="740" t="str">
        <f t="shared" si="97"/>
        <v>$ 000s</v>
      </c>
      <c r="H148" s="740">
        <f t="shared" si="97"/>
        <v>0</v>
      </c>
      <c r="I148" s="740">
        <f t="shared" si="97"/>
        <v>0</v>
      </c>
      <c r="J148" s="740">
        <f t="shared" si="97"/>
        <v>0</v>
      </c>
      <c r="K148" s="740">
        <f t="shared" si="97"/>
        <v>0</v>
      </c>
      <c r="L148" s="740">
        <f t="shared" si="97"/>
        <v>0</v>
      </c>
      <c r="M148" s="740">
        <f t="shared" si="97"/>
        <v>0</v>
      </c>
      <c r="N148" s="740">
        <f t="shared" si="97"/>
        <v>14843.424770244494</v>
      </c>
      <c r="O148" s="740">
        <f t="shared" si="97"/>
        <v>26684.752578629137</v>
      </c>
      <c r="P148" s="740">
        <f t="shared" si="97"/>
        <v>38555.01232134179</v>
      </c>
      <c r="Q148" s="740">
        <f t="shared" si="97"/>
        <v>50462.699642029038</v>
      </c>
      <c r="R148" s="740">
        <f t="shared" si="97"/>
        <v>62403.711948719851</v>
      </c>
      <c r="S148" s="740">
        <f t="shared" si="97"/>
        <v>74370.710539611682</v>
      </c>
      <c r="T148" s="740">
        <f t="shared" si="97"/>
        <v>86318.253106861201</v>
      </c>
      <c r="U148" s="740">
        <f t="shared" si="97"/>
        <v>86318.253106861201</v>
      </c>
      <c r="V148" s="740">
        <f t="shared" si="97"/>
        <v>86318.253106861201</v>
      </c>
      <c r="W148" s="740">
        <f t="shared" si="97"/>
        <v>86318.253106861201</v>
      </c>
      <c r="X148" s="740">
        <f t="shared" si="97"/>
        <v>86318.253106861201</v>
      </c>
      <c r="Y148" s="740">
        <f t="shared" si="97"/>
        <v>86318.253106861201</v>
      </c>
      <c r="Z148" s="740">
        <f t="shared" si="97"/>
        <v>86318.253106861201</v>
      </c>
      <c r="AA148" s="740">
        <f t="shared" si="97"/>
        <v>86318.253106861201</v>
      </c>
      <c r="AB148" s="740">
        <f t="shared" si="97"/>
        <v>86318.253106861201</v>
      </c>
      <c r="AC148" s="740">
        <f t="shared" si="97"/>
        <v>86318.253106861201</v>
      </c>
      <c r="AD148" s="740">
        <f t="shared" si="97"/>
        <v>86318.253106861201</v>
      </c>
      <c r="AE148" s="740">
        <f t="shared" si="97"/>
        <v>86318.253106861201</v>
      </c>
      <c r="AF148" s="740">
        <f t="shared" si="97"/>
        <v>86318.253106861201</v>
      </c>
      <c r="AG148" s="740">
        <f t="shared" si="97"/>
        <v>86318.253106861201</v>
      </c>
      <c r="AH148" s="740">
        <f t="shared" si="97"/>
        <v>86318.253106861201</v>
      </c>
      <c r="AI148" s="740">
        <f t="shared" si="97"/>
        <v>86318.253106861201</v>
      </c>
      <c r="AJ148" s="740">
        <f t="shared" si="97"/>
        <v>86318.253106861201</v>
      </c>
      <c r="AK148" s="740">
        <f t="shared" si="97"/>
        <v>86318.253106861201</v>
      </c>
      <c r="AL148" s="740">
        <f t="shared" si="97"/>
        <v>86318.253106861201</v>
      </c>
      <c r="AM148" s="740">
        <f t="shared" si="97"/>
        <v>86318.253106861201</v>
      </c>
      <c r="AN148" s="740">
        <f t="shared" si="97"/>
        <v>0</v>
      </c>
      <c r="AO148" s="740">
        <f t="shared" si="97"/>
        <v>0</v>
      </c>
      <c r="AP148" s="740">
        <f t="shared" si="97"/>
        <v>0</v>
      </c>
      <c r="AQ148" s="740">
        <f t="shared" si="97"/>
        <v>0</v>
      </c>
      <c r="AR148" s="740">
        <f t="shared" si="97"/>
        <v>0</v>
      </c>
      <c r="AS148" s="740">
        <f t="shared" si="97"/>
        <v>0</v>
      </c>
      <c r="AT148" s="740">
        <f t="shared" si="97"/>
        <v>0</v>
      </c>
      <c r="AU148" s="740">
        <f t="shared" si="97"/>
        <v>0</v>
      </c>
      <c r="AV148" s="740">
        <f t="shared" si="97"/>
        <v>0</v>
      </c>
      <c r="AW148" s="740">
        <f t="shared" si="97"/>
        <v>0</v>
      </c>
      <c r="AX148" s="740">
        <f t="shared" si="97"/>
        <v>0</v>
      </c>
      <c r="AY148" s="740">
        <f t="shared" si="97"/>
        <v>0</v>
      </c>
      <c r="AZ148" s="740">
        <f t="shared" si="97"/>
        <v>0</v>
      </c>
      <c r="BA148" s="740">
        <f t="shared" si="97"/>
        <v>0</v>
      </c>
      <c r="BB148" s="740">
        <f t="shared" si="97"/>
        <v>0</v>
      </c>
      <c r="BC148" s="740">
        <f t="shared" si="97"/>
        <v>0</v>
      </c>
      <c r="BD148" s="740">
        <f t="shared" si="97"/>
        <v>0</v>
      </c>
      <c r="BE148" s="740">
        <f t="shared" si="97"/>
        <v>0</v>
      </c>
    </row>
    <row r="149" spans="1:57" s="764" customFormat="1" ht="13.15" hidden="1" customHeight="1" outlineLevel="2" x14ac:dyDescent="0.2">
      <c r="A149" s="787"/>
      <c r="B149" s="787"/>
      <c r="C149" s="787"/>
      <c r="D149" s="787"/>
      <c r="E149" s="789" t="str">
        <f xml:space="preserve"> ConTime!E$82</f>
        <v>Construction period flag</v>
      </c>
      <c r="F149" s="789">
        <f xml:space="preserve"> ConTime!F$82</f>
        <v>0</v>
      </c>
      <c r="G149" s="789" t="str">
        <f xml:space="preserve"> ConTime!G$82</f>
        <v>flag</v>
      </c>
      <c r="H149" s="789">
        <f xml:space="preserve"> ConTime!H$82</f>
        <v>26</v>
      </c>
      <c r="I149" s="789">
        <f xml:space="preserve"> ConTime!I$82</f>
        <v>0</v>
      </c>
      <c r="J149" s="789">
        <f xml:space="preserve"> ConTime!J$82</f>
        <v>0</v>
      </c>
      <c r="K149" s="789">
        <f xml:space="preserve"> ConTime!K$82</f>
        <v>0</v>
      </c>
      <c r="L149" s="789">
        <f xml:space="preserve"> ConTime!L$82</f>
        <v>0</v>
      </c>
      <c r="M149" s="789">
        <f xml:space="preserve"> ConTime!M$82</f>
        <v>0</v>
      </c>
      <c r="N149" s="789">
        <f xml:space="preserve"> ConTime!N$82</f>
        <v>1</v>
      </c>
      <c r="O149" s="789">
        <f xml:space="preserve"> ConTime!O$82</f>
        <v>1</v>
      </c>
      <c r="P149" s="789">
        <f xml:space="preserve"> ConTime!P$82</f>
        <v>1</v>
      </c>
      <c r="Q149" s="789">
        <f xml:space="preserve"> ConTime!Q$82</f>
        <v>1</v>
      </c>
      <c r="R149" s="789">
        <f xml:space="preserve"> ConTime!R$82</f>
        <v>1</v>
      </c>
      <c r="S149" s="789">
        <f xml:space="preserve"> ConTime!S$82</f>
        <v>1</v>
      </c>
      <c r="T149" s="789">
        <f xml:space="preserve"> ConTime!T$82</f>
        <v>1</v>
      </c>
      <c r="U149" s="789">
        <f xml:space="preserve"> ConTime!U$82</f>
        <v>1</v>
      </c>
      <c r="V149" s="789">
        <f xml:space="preserve"> ConTime!V$82</f>
        <v>1</v>
      </c>
      <c r="W149" s="789">
        <f xml:space="preserve"> ConTime!W$82</f>
        <v>1</v>
      </c>
      <c r="X149" s="789">
        <f xml:space="preserve"> ConTime!X$82</f>
        <v>1</v>
      </c>
      <c r="Y149" s="789">
        <f xml:space="preserve"> ConTime!Y$82</f>
        <v>1</v>
      </c>
      <c r="Z149" s="789">
        <f xml:space="preserve"> ConTime!Z$82</f>
        <v>1</v>
      </c>
      <c r="AA149" s="789">
        <f xml:space="preserve"> ConTime!AA$82</f>
        <v>1</v>
      </c>
      <c r="AB149" s="789">
        <f xml:space="preserve"> ConTime!AB$82</f>
        <v>1</v>
      </c>
      <c r="AC149" s="789">
        <f xml:space="preserve"> ConTime!AC$82</f>
        <v>1</v>
      </c>
      <c r="AD149" s="789">
        <f xml:space="preserve"> ConTime!AD$82</f>
        <v>1</v>
      </c>
      <c r="AE149" s="789">
        <f xml:space="preserve"> ConTime!AE$82</f>
        <v>1</v>
      </c>
      <c r="AF149" s="789">
        <f xml:space="preserve"> ConTime!AF$82</f>
        <v>1</v>
      </c>
      <c r="AG149" s="789">
        <f xml:space="preserve"> ConTime!AG$82</f>
        <v>1</v>
      </c>
      <c r="AH149" s="789">
        <f xml:space="preserve"> ConTime!AH$82</f>
        <v>1</v>
      </c>
      <c r="AI149" s="789">
        <f xml:space="preserve"> ConTime!AI$82</f>
        <v>1</v>
      </c>
      <c r="AJ149" s="789">
        <f xml:space="preserve"> ConTime!AJ$82</f>
        <v>1</v>
      </c>
      <c r="AK149" s="789">
        <f xml:space="preserve"> ConTime!AK$82</f>
        <v>1</v>
      </c>
      <c r="AL149" s="789">
        <f xml:space="preserve"> ConTime!AL$82</f>
        <v>1</v>
      </c>
      <c r="AM149" s="789">
        <f xml:space="preserve"> ConTime!AM$82</f>
        <v>1</v>
      </c>
      <c r="AN149" s="789">
        <f xml:space="preserve"> ConTime!AN$82</f>
        <v>0</v>
      </c>
      <c r="AO149" s="789">
        <f xml:space="preserve"> ConTime!AO$82</f>
        <v>0</v>
      </c>
      <c r="AP149" s="789">
        <f xml:space="preserve"> ConTime!AP$82</f>
        <v>0</v>
      </c>
      <c r="AQ149" s="789">
        <f xml:space="preserve"> ConTime!AQ$82</f>
        <v>0</v>
      </c>
      <c r="AR149" s="789">
        <f xml:space="preserve"> ConTime!AR$82</f>
        <v>0</v>
      </c>
      <c r="AS149" s="789">
        <f xml:space="preserve"> ConTime!AS$82</f>
        <v>0</v>
      </c>
      <c r="AT149" s="789">
        <f xml:space="preserve"> ConTime!AT$82</f>
        <v>0</v>
      </c>
      <c r="AU149" s="789">
        <f xml:space="preserve"> ConTime!AU$82</f>
        <v>0</v>
      </c>
      <c r="AV149" s="789">
        <f xml:space="preserve"> ConTime!AV$82</f>
        <v>0</v>
      </c>
      <c r="AW149" s="789">
        <f xml:space="preserve"> ConTime!AW$82</f>
        <v>0</v>
      </c>
      <c r="AX149" s="789">
        <f xml:space="preserve"> ConTime!AX$82</f>
        <v>0</v>
      </c>
      <c r="AY149" s="789">
        <f xml:space="preserve"> ConTime!AY$82</f>
        <v>0</v>
      </c>
      <c r="AZ149" s="789">
        <f xml:space="preserve"> ConTime!AZ$82</f>
        <v>0</v>
      </c>
      <c r="BA149" s="789">
        <f xml:space="preserve"> ConTime!BA$82</f>
        <v>0</v>
      </c>
      <c r="BB149" s="789">
        <f xml:space="preserve"> ConTime!BB$82</f>
        <v>0</v>
      </c>
      <c r="BC149" s="789">
        <f xml:space="preserve"> ConTime!BC$82</f>
        <v>0</v>
      </c>
      <c r="BD149" s="789">
        <f xml:space="preserve"> ConTime!BD$82</f>
        <v>0</v>
      </c>
      <c r="BE149" s="789">
        <f xml:space="preserve"> ConTime!BE$82</f>
        <v>0</v>
      </c>
    </row>
    <row r="150" spans="1:57" s="734" customFormat="1" ht="13.15" hidden="1" customHeight="1" outlineLevel="2" x14ac:dyDescent="0.2">
      <c r="A150" s="732"/>
      <c r="B150" s="732"/>
      <c r="C150" s="732"/>
      <c r="D150" s="732"/>
      <c r="E150" s="742" t="s">
        <v>522</v>
      </c>
      <c r="F150" s="742"/>
      <c r="G150" s="742" t="str">
        <f>SMU</f>
        <v>$ 000s</v>
      </c>
      <c r="H150" s="742">
        <f xml:space="preserve"> SUM(J150:BE150)</f>
        <v>6742.148787806902</v>
      </c>
      <c r="I150" s="114"/>
      <c r="J150" s="742">
        <f t="shared" ref="J150:BE150" si="98" xml:space="preserve"> J148 * J147 * J149</f>
        <v>0</v>
      </c>
      <c r="K150" s="742">
        <f t="shared" si="98"/>
        <v>0</v>
      </c>
      <c r="L150" s="742">
        <f t="shared" si="98"/>
        <v>0</v>
      </c>
      <c r="M150" s="742">
        <f t="shared" si="98"/>
        <v>0</v>
      </c>
      <c r="N150" s="742">
        <f t="shared" si="98"/>
        <v>51.127351986397699</v>
      </c>
      <c r="O150" s="742">
        <f t="shared" si="98"/>
        <v>88.949175262097128</v>
      </c>
      <c r="P150" s="742">
        <f t="shared" si="98"/>
        <v>132.80059799573283</v>
      </c>
      <c r="Q150" s="742">
        <f t="shared" si="98"/>
        <v>173.81596543365558</v>
      </c>
      <c r="R150" s="742">
        <f t="shared" si="98"/>
        <v>208.01237316239951</v>
      </c>
      <c r="S150" s="742">
        <f t="shared" si="98"/>
        <v>256.16578074755137</v>
      </c>
      <c r="T150" s="742">
        <f t="shared" si="98"/>
        <v>287.72751035620399</v>
      </c>
      <c r="U150" s="742">
        <f t="shared" si="98"/>
        <v>297.31842736807749</v>
      </c>
      <c r="V150" s="742">
        <f t="shared" si="98"/>
        <v>297.31842736807749</v>
      </c>
      <c r="W150" s="742">
        <f t="shared" si="98"/>
        <v>268.54567633245711</v>
      </c>
      <c r="X150" s="742">
        <f t="shared" si="98"/>
        <v>297.31842736807749</v>
      </c>
      <c r="Y150" s="742">
        <f t="shared" si="98"/>
        <v>287.72751035620399</v>
      </c>
      <c r="Z150" s="742">
        <f t="shared" si="98"/>
        <v>297.31842736807749</v>
      </c>
      <c r="AA150" s="742">
        <f t="shared" si="98"/>
        <v>287.72751035620399</v>
      </c>
      <c r="AB150" s="742">
        <f t="shared" si="98"/>
        <v>297.31842736807749</v>
      </c>
      <c r="AC150" s="742">
        <f t="shared" si="98"/>
        <v>297.31842736807749</v>
      </c>
      <c r="AD150" s="742">
        <f t="shared" si="98"/>
        <v>287.72751035620399</v>
      </c>
      <c r="AE150" s="742">
        <f t="shared" si="98"/>
        <v>297.31842736807749</v>
      </c>
      <c r="AF150" s="742">
        <f t="shared" si="98"/>
        <v>287.72751035620399</v>
      </c>
      <c r="AG150" s="742">
        <f t="shared" si="98"/>
        <v>297.31842736807749</v>
      </c>
      <c r="AH150" s="742">
        <f t="shared" si="98"/>
        <v>297.31842736807749</v>
      </c>
      <c r="AI150" s="742">
        <f t="shared" si="98"/>
        <v>278.13659334433055</v>
      </c>
      <c r="AJ150" s="742">
        <f t="shared" si="98"/>
        <v>297.31842736807749</v>
      </c>
      <c r="AK150" s="742">
        <f t="shared" si="98"/>
        <v>287.72751035620399</v>
      </c>
      <c r="AL150" s="742">
        <f t="shared" si="98"/>
        <v>297.31842736807749</v>
      </c>
      <c r="AM150" s="742">
        <f t="shared" si="98"/>
        <v>287.72751035620399</v>
      </c>
      <c r="AN150" s="742">
        <f t="shared" si="98"/>
        <v>0</v>
      </c>
      <c r="AO150" s="742">
        <f t="shared" si="98"/>
        <v>0</v>
      </c>
      <c r="AP150" s="742">
        <f t="shared" si="98"/>
        <v>0</v>
      </c>
      <c r="AQ150" s="742">
        <f t="shared" si="98"/>
        <v>0</v>
      </c>
      <c r="AR150" s="742">
        <f t="shared" si="98"/>
        <v>0</v>
      </c>
      <c r="AS150" s="742">
        <f t="shared" si="98"/>
        <v>0</v>
      </c>
      <c r="AT150" s="742">
        <f t="shared" si="98"/>
        <v>0</v>
      </c>
      <c r="AU150" s="742">
        <f t="shared" si="98"/>
        <v>0</v>
      </c>
      <c r="AV150" s="742">
        <f t="shared" si="98"/>
        <v>0</v>
      </c>
      <c r="AW150" s="742">
        <f t="shared" si="98"/>
        <v>0</v>
      </c>
      <c r="AX150" s="742">
        <f t="shared" si="98"/>
        <v>0</v>
      </c>
      <c r="AY150" s="742">
        <f t="shared" si="98"/>
        <v>0</v>
      </c>
      <c r="AZ150" s="742">
        <f t="shared" si="98"/>
        <v>0</v>
      </c>
      <c r="BA150" s="742">
        <f t="shared" si="98"/>
        <v>0</v>
      </c>
      <c r="BB150" s="742">
        <f t="shared" si="98"/>
        <v>0</v>
      </c>
      <c r="BC150" s="742">
        <f t="shared" si="98"/>
        <v>0</v>
      </c>
      <c r="BD150" s="742">
        <f t="shared" si="98"/>
        <v>0</v>
      </c>
      <c r="BE150" s="742">
        <f t="shared" si="98"/>
        <v>0</v>
      </c>
    </row>
    <row r="151" spans="1:57" s="734" customFormat="1" ht="13.15" hidden="1" customHeight="1" outlineLevel="2" x14ac:dyDescent="0.2">
      <c r="A151" s="732"/>
      <c r="B151" s="732"/>
      <c r="C151" s="732"/>
      <c r="D151" s="732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  <c r="AJ151" s="114"/>
      <c r="AK151" s="114"/>
      <c r="AL151" s="114"/>
      <c r="AM151" s="114"/>
      <c r="AN151" s="114"/>
      <c r="AO151" s="114"/>
      <c r="AP151" s="114"/>
      <c r="AQ151" s="114"/>
      <c r="AR151" s="114"/>
      <c r="AS151" s="114"/>
      <c r="AT151" s="114"/>
      <c r="AU151" s="114"/>
      <c r="AV151" s="114"/>
      <c r="AW151" s="114"/>
      <c r="AX151" s="114"/>
      <c r="AY151" s="114"/>
      <c r="AZ151" s="114"/>
      <c r="BA151" s="114"/>
      <c r="BB151" s="114"/>
      <c r="BC151" s="114"/>
      <c r="BD151" s="114"/>
      <c r="BE151" s="114"/>
    </row>
    <row r="152" spans="1:57" s="734" customFormat="1" ht="13.15" hidden="1" customHeight="1" outlineLevel="2" x14ac:dyDescent="0.2">
      <c r="A152" s="787"/>
      <c r="B152" s="787"/>
      <c r="C152" s="787"/>
      <c r="D152" s="787"/>
      <c r="E152" s="791" t="str">
        <f xml:space="preserve"> InpC!E$155</f>
        <v>EBL interest &amp; fee pre-PCOD paid vs rolled-up switch</v>
      </c>
      <c r="F152" s="791">
        <f xml:space="preserve"> InpC!F$155</f>
        <v>0</v>
      </c>
      <c r="G152" s="791" t="str">
        <f xml:space="preserve"> InpC!G$155</f>
        <v>0 = paid, 1 = rolled-up</v>
      </c>
      <c r="H152" s="788"/>
      <c r="I152" s="788"/>
      <c r="J152" s="788"/>
      <c r="K152" s="788"/>
      <c r="L152" s="788"/>
      <c r="M152" s="788"/>
      <c r="N152" s="788"/>
      <c r="O152" s="788"/>
      <c r="P152" s="788"/>
      <c r="Q152" s="788"/>
      <c r="R152" s="788"/>
      <c r="S152" s="788"/>
      <c r="T152" s="788"/>
      <c r="U152" s="788"/>
      <c r="V152" s="788"/>
      <c r="W152" s="788"/>
      <c r="X152" s="788"/>
      <c r="Y152" s="788"/>
      <c r="Z152" s="788"/>
      <c r="AA152" s="788"/>
      <c r="AB152" s="788"/>
      <c r="AC152" s="788"/>
      <c r="AD152" s="788"/>
      <c r="AE152" s="788"/>
      <c r="AF152" s="788"/>
      <c r="AG152" s="788"/>
      <c r="AH152" s="788"/>
      <c r="AI152" s="788"/>
      <c r="AJ152" s="788"/>
      <c r="AK152" s="788"/>
      <c r="AL152" s="788"/>
      <c r="AM152" s="788"/>
      <c r="AN152" s="788"/>
      <c r="AO152" s="788"/>
      <c r="AP152" s="788"/>
      <c r="AQ152" s="788"/>
      <c r="AR152" s="788"/>
      <c r="AS152" s="788"/>
      <c r="AT152" s="788"/>
      <c r="AU152" s="788"/>
      <c r="AV152" s="788"/>
      <c r="AW152" s="788"/>
      <c r="AX152" s="788"/>
      <c r="AY152" s="788"/>
      <c r="AZ152" s="788"/>
      <c r="BA152" s="788"/>
      <c r="BB152" s="788"/>
      <c r="BC152" s="788"/>
      <c r="BD152" s="788"/>
      <c r="BE152" s="788"/>
    </row>
    <row r="153" spans="1:57" s="734" customFormat="1" ht="13.15" hidden="1" customHeight="1" outlineLevel="2" x14ac:dyDescent="0.2">
      <c r="A153" s="732"/>
      <c r="B153" s="732"/>
      <c r="C153" s="732"/>
      <c r="D153" s="732"/>
      <c r="E153" s="742" t="str">
        <f t="shared" ref="E153:AJ153" si="99" xml:space="preserve"> E$150</f>
        <v>Equity bridge interest</v>
      </c>
      <c r="F153" s="742">
        <f t="shared" si="99"/>
        <v>0</v>
      </c>
      <c r="G153" s="742" t="str">
        <f t="shared" si="99"/>
        <v>$ 000s</v>
      </c>
      <c r="H153" s="742">
        <f t="shared" si="99"/>
        <v>6742.148787806902</v>
      </c>
      <c r="I153" s="742">
        <f t="shared" si="99"/>
        <v>0</v>
      </c>
      <c r="J153" s="742">
        <f t="shared" si="99"/>
        <v>0</v>
      </c>
      <c r="K153" s="742">
        <f t="shared" si="99"/>
        <v>0</v>
      </c>
      <c r="L153" s="742">
        <f t="shared" si="99"/>
        <v>0</v>
      </c>
      <c r="M153" s="742">
        <f t="shared" si="99"/>
        <v>0</v>
      </c>
      <c r="N153" s="742">
        <f t="shared" si="99"/>
        <v>51.127351986397699</v>
      </c>
      <c r="O153" s="742">
        <f t="shared" si="99"/>
        <v>88.949175262097128</v>
      </c>
      <c r="P153" s="742">
        <f t="shared" si="99"/>
        <v>132.80059799573283</v>
      </c>
      <c r="Q153" s="742">
        <f t="shared" si="99"/>
        <v>173.81596543365558</v>
      </c>
      <c r="R153" s="742">
        <f t="shared" si="99"/>
        <v>208.01237316239951</v>
      </c>
      <c r="S153" s="742">
        <f t="shared" si="99"/>
        <v>256.16578074755137</v>
      </c>
      <c r="T153" s="742">
        <f t="shared" si="99"/>
        <v>287.72751035620399</v>
      </c>
      <c r="U153" s="742">
        <f t="shared" si="99"/>
        <v>297.31842736807749</v>
      </c>
      <c r="V153" s="742">
        <f t="shared" si="99"/>
        <v>297.31842736807749</v>
      </c>
      <c r="W153" s="742">
        <f t="shared" si="99"/>
        <v>268.54567633245711</v>
      </c>
      <c r="X153" s="742">
        <f t="shared" si="99"/>
        <v>297.31842736807749</v>
      </c>
      <c r="Y153" s="742">
        <f t="shared" si="99"/>
        <v>287.72751035620399</v>
      </c>
      <c r="Z153" s="742">
        <f t="shared" si="99"/>
        <v>297.31842736807749</v>
      </c>
      <c r="AA153" s="742">
        <f t="shared" si="99"/>
        <v>287.72751035620399</v>
      </c>
      <c r="AB153" s="742">
        <f t="shared" si="99"/>
        <v>297.31842736807749</v>
      </c>
      <c r="AC153" s="742">
        <f t="shared" si="99"/>
        <v>297.31842736807749</v>
      </c>
      <c r="AD153" s="742">
        <f t="shared" si="99"/>
        <v>287.72751035620399</v>
      </c>
      <c r="AE153" s="742">
        <f t="shared" si="99"/>
        <v>297.31842736807749</v>
      </c>
      <c r="AF153" s="742">
        <f t="shared" si="99"/>
        <v>287.72751035620399</v>
      </c>
      <c r="AG153" s="742">
        <f t="shared" si="99"/>
        <v>297.31842736807749</v>
      </c>
      <c r="AH153" s="742">
        <f t="shared" si="99"/>
        <v>297.31842736807749</v>
      </c>
      <c r="AI153" s="742">
        <f t="shared" si="99"/>
        <v>278.13659334433055</v>
      </c>
      <c r="AJ153" s="742">
        <f t="shared" si="99"/>
        <v>297.31842736807749</v>
      </c>
      <c r="AK153" s="742">
        <f t="shared" ref="AK153:BE153" si="100" xml:space="preserve"> AK$150</f>
        <v>287.72751035620399</v>
      </c>
      <c r="AL153" s="742">
        <f t="shared" si="100"/>
        <v>297.31842736807749</v>
      </c>
      <c r="AM153" s="742">
        <f t="shared" si="100"/>
        <v>287.72751035620399</v>
      </c>
      <c r="AN153" s="742">
        <f t="shared" si="100"/>
        <v>0</v>
      </c>
      <c r="AO153" s="742">
        <f t="shared" si="100"/>
        <v>0</v>
      </c>
      <c r="AP153" s="742">
        <f t="shared" si="100"/>
        <v>0</v>
      </c>
      <c r="AQ153" s="742">
        <f t="shared" si="100"/>
        <v>0</v>
      </c>
      <c r="AR153" s="742">
        <f t="shared" si="100"/>
        <v>0</v>
      </c>
      <c r="AS153" s="742">
        <f t="shared" si="100"/>
        <v>0</v>
      </c>
      <c r="AT153" s="742">
        <f t="shared" si="100"/>
        <v>0</v>
      </c>
      <c r="AU153" s="742">
        <f t="shared" si="100"/>
        <v>0</v>
      </c>
      <c r="AV153" s="742">
        <f t="shared" si="100"/>
        <v>0</v>
      </c>
      <c r="AW153" s="742">
        <f t="shared" si="100"/>
        <v>0</v>
      </c>
      <c r="AX153" s="742">
        <f t="shared" si="100"/>
        <v>0</v>
      </c>
      <c r="AY153" s="742">
        <f t="shared" si="100"/>
        <v>0</v>
      </c>
      <c r="AZ153" s="742">
        <f t="shared" si="100"/>
        <v>0</v>
      </c>
      <c r="BA153" s="742">
        <f t="shared" si="100"/>
        <v>0</v>
      </c>
      <c r="BB153" s="742">
        <f t="shared" si="100"/>
        <v>0</v>
      </c>
      <c r="BC153" s="742">
        <f t="shared" si="100"/>
        <v>0</v>
      </c>
      <c r="BD153" s="742">
        <f t="shared" si="100"/>
        <v>0</v>
      </c>
      <c r="BE153" s="742">
        <f t="shared" si="100"/>
        <v>0</v>
      </c>
    </row>
    <row r="154" spans="1:57" s="757" customFormat="1" ht="13.15" hidden="1" customHeight="1" outlineLevel="2" x14ac:dyDescent="0.2">
      <c r="A154" s="769"/>
      <c r="B154" s="769"/>
      <c r="C154" s="769"/>
      <c r="D154" s="769"/>
      <c r="E154" s="770" t="s">
        <v>526</v>
      </c>
      <c r="F154" s="770"/>
      <c r="G154" s="770" t="str">
        <f>SMU</f>
        <v>$ 000s</v>
      </c>
      <c r="H154" s="770">
        <f xml:space="preserve"> SUM(J154:BE154)</f>
        <v>6742.148787806902</v>
      </c>
      <c r="I154" s="771"/>
      <c r="J154" s="770">
        <f t="shared" ref="J154:BE154" si="101" xml:space="preserve"> (1 - $F152) * J153</f>
        <v>0</v>
      </c>
      <c r="K154" s="770">
        <f t="shared" si="101"/>
        <v>0</v>
      </c>
      <c r="L154" s="770">
        <f t="shared" si="101"/>
        <v>0</v>
      </c>
      <c r="M154" s="770">
        <f t="shared" si="101"/>
        <v>0</v>
      </c>
      <c r="N154" s="770">
        <f t="shared" si="101"/>
        <v>51.127351986397699</v>
      </c>
      <c r="O154" s="770">
        <f t="shared" si="101"/>
        <v>88.949175262097128</v>
      </c>
      <c r="P154" s="770">
        <f t="shared" si="101"/>
        <v>132.80059799573283</v>
      </c>
      <c r="Q154" s="770">
        <f t="shared" si="101"/>
        <v>173.81596543365558</v>
      </c>
      <c r="R154" s="770">
        <f t="shared" si="101"/>
        <v>208.01237316239951</v>
      </c>
      <c r="S154" s="770">
        <f t="shared" si="101"/>
        <v>256.16578074755137</v>
      </c>
      <c r="T154" s="770">
        <f t="shared" si="101"/>
        <v>287.72751035620399</v>
      </c>
      <c r="U154" s="770">
        <f t="shared" si="101"/>
        <v>297.31842736807749</v>
      </c>
      <c r="V154" s="770">
        <f t="shared" si="101"/>
        <v>297.31842736807749</v>
      </c>
      <c r="W154" s="770">
        <f t="shared" si="101"/>
        <v>268.54567633245711</v>
      </c>
      <c r="X154" s="770">
        <f t="shared" si="101"/>
        <v>297.31842736807749</v>
      </c>
      <c r="Y154" s="770">
        <f t="shared" si="101"/>
        <v>287.72751035620399</v>
      </c>
      <c r="Z154" s="770">
        <f t="shared" si="101"/>
        <v>297.31842736807749</v>
      </c>
      <c r="AA154" s="770">
        <f t="shared" si="101"/>
        <v>287.72751035620399</v>
      </c>
      <c r="AB154" s="770">
        <f t="shared" si="101"/>
        <v>297.31842736807749</v>
      </c>
      <c r="AC154" s="770">
        <f t="shared" si="101"/>
        <v>297.31842736807749</v>
      </c>
      <c r="AD154" s="770">
        <f t="shared" si="101"/>
        <v>287.72751035620399</v>
      </c>
      <c r="AE154" s="770">
        <f t="shared" si="101"/>
        <v>297.31842736807749</v>
      </c>
      <c r="AF154" s="770">
        <f t="shared" si="101"/>
        <v>287.72751035620399</v>
      </c>
      <c r="AG154" s="770">
        <f t="shared" si="101"/>
        <v>297.31842736807749</v>
      </c>
      <c r="AH154" s="770">
        <f t="shared" si="101"/>
        <v>297.31842736807749</v>
      </c>
      <c r="AI154" s="770">
        <f t="shared" si="101"/>
        <v>278.13659334433055</v>
      </c>
      <c r="AJ154" s="770">
        <f t="shared" si="101"/>
        <v>297.31842736807749</v>
      </c>
      <c r="AK154" s="770">
        <f t="shared" si="101"/>
        <v>287.72751035620399</v>
      </c>
      <c r="AL154" s="770">
        <f t="shared" si="101"/>
        <v>297.31842736807749</v>
      </c>
      <c r="AM154" s="770">
        <f t="shared" si="101"/>
        <v>287.72751035620399</v>
      </c>
      <c r="AN154" s="770">
        <f t="shared" si="101"/>
        <v>0</v>
      </c>
      <c r="AO154" s="770">
        <f t="shared" si="101"/>
        <v>0</v>
      </c>
      <c r="AP154" s="770">
        <f t="shared" si="101"/>
        <v>0</v>
      </c>
      <c r="AQ154" s="770">
        <f t="shared" si="101"/>
        <v>0</v>
      </c>
      <c r="AR154" s="770">
        <f t="shared" si="101"/>
        <v>0</v>
      </c>
      <c r="AS154" s="770">
        <f t="shared" si="101"/>
        <v>0</v>
      </c>
      <c r="AT154" s="770">
        <f t="shared" si="101"/>
        <v>0</v>
      </c>
      <c r="AU154" s="770">
        <f t="shared" si="101"/>
        <v>0</v>
      </c>
      <c r="AV154" s="770">
        <f t="shared" si="101"/>
        <v>0</v>
      </c>
      <c r="AW154" s="770">
        <f t="shared" si="101"/>
        <v>0</v>
      </c>
      <c r="AX154" s="770">
        <f t="shared" si="101"/>
        <v>0</v>
      </c>
      <c r="AY154" s="770">
        <f t="shared" si="101"/>
        <v>0</v>
      </c>
      <c r="AZ154" s="770">
        <f t="shared" si="101"/>
        <v>0</v>
      </c>
      <c r="BA154" s="770">
        <f t="shared" si="101"/>
        <v>0</v>
      </c>
      <c r="BB154" s="770">
        <f t="shared" si="101"/>
        <v>0</v>
      </c>
      <c r="BC154" s="770">
        <f t="shared" si="101"/>
        <v>0</v>
      </c>
      <c r="BD154" s="770">
        <f t="shared" si="101"/>
        <v>0</v>
      </c>
      <c r="BE154" s="770">
        <f t="shared" si="101"/>
        <v>0</v>
      </c>
    </row>
    <row r="155" spans="1:57" s="734" customFormat="1" ht="13.15" hidden="1" customHeight="1" outlineLevel="2" x14ac:dyDescent="0.2">
      <c r="A155" s="732"/>
      <c r="B155" s="732"/>
      <c r="C155" s="732"/>
      <c r="D155" s="732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114"/>
      <c r="AY155" s="114"/>
      <c r="AZ155" s="114"/>
      <c r="BA155" s="114"/>
      <c r="BB155" s="114"/>
      <c r="BC155" s="114"/>
      <c r="BD155" s="114"/>
      <c r="BE155" s="114"/>
    </row>
    <row r="156" spans="1:57" s="734" customFormat="1" ht="13.15" hidden="1" customHeight="1" outlineLevel="2" x14ac:dyDescent="0.2">
      <c r="A156" s="732"/>
      <c r="B156" s="732"/>
      <c r="C156" s="732"/>
      <c r="D156" s="732"/>
      <c r="E156" s="742" t="str">
        <f t="shared" ref="E156:AJ156" si="102" xml:space="preserve"> E$150</f>
        <v>Equity bridge interest</v>
      </c>
      <c r="F156" s="742">
        <f t="shared" si="102"/>
        <v>0</v>
      </c>
      <c r="G156" s="742" t="str">
        <f t="shared" si="102"/>
        <v>$ 000s</v>
      </c>
      <c r="H156" s="742">
        <f t="shared" si="102"/>
        <v>6742.148787806902</v>
      </c>
      <c r="I156" s="742">
        <f t="shared" si="102"/>
        <v>0</v>
      </c>
      <c r="J156" s="742">
        <f t="shared" si="102"/>
        <v>0</v>
      </c>
      <c r="K156" s="742">
        <f t="shared" si="102"/>
        <v>0</v>
      </c>
      <c r="L156" s="742">
        <f t="shared" si="102"/>
        <v>0</v>
      </c>
      <c r="M156" s="742">
        <f t="shared" si="102"/>
        <v>0</v>
      </c>
      <c r="N156" s="742">
        <f t="shared" si="102"/>
        <v>51.127351986397699</v>
      </c>
      <c r="O156" s="742">
        <f t="shared" si="102"/>
        <v>88.949175262097128</v>
      </c>
      <c r="P156" s="742">
        <f t="shared" si="102"/>
        <v>132.80059799573283</v>
      </c>
      <c r="Q156" s="742">
        <f t="shared" si="102"/>
        <v>173.81596543365558</v>
      </c>
      <c r="R156" s="742">
        <f t="shared" si="102"/>
        <v>208.01237316239951</v>
      </c>
      <c r="S156" s="742">
        <f t="shared" si="102"/>
        <v>256.16578074755137</v>
      </c>
      <c r="T156" s="742">
        <f t="shared" si="102"/>
        <v>287.72751035620399</v>
      </c>
      <c r="U156" s="742">
        <f t="shared" si="102"/>
        <v>297.31842736807749</v>
      </c>
      <c r="V156" s="742">
        <f t="shared" si="102"/>
        <v>297.31842736807749</v>
      </c>
      <c r="W156" s="742">
        <f t="shared" si="102"/>
        <v>268.54567633245711</v>
      </c>
      <c r="X156" s="742">
        <f t="shared" si="102"/>
        <v>297.31842736807749</v>
      </c>
      <c r="Y156" s="742">
        <f t="shared" si="102"/>
        <v>287.72751035620399</v>
      </c>
      <c r="Z156" s="742">
        <f t="shared" si="102"/>
        <v>297.31842736807749</v>
      </c>
      <c r="AA156" s="742">
        <f t="shared" si="102"/>
        <v>287.72751035620399</v>
      </c>
      <c r="AB156" s="742">
        <f t="shared" si="102"/>
        <v>297.31842736807749</v>
      </c>
      <c r="AC156" s="742">
        <f t="shared" si="102"/>
        <v>297.31842736807749</v>
      </c>
      <c r="AD156" s="742">
        <f t="shared" si="102"/>
        <v>287.72751035620399</v>
      </c>
      <c r="AE156" s="742">
        <f t="shared" si="102"/>
        <v>297.31842736807749</v>
      </c>
      <c r="AF156" s="742">
        <f t="shared" si="102"/>
        <v>287.72751035620399</v>
      </c>
      <c r="AG156" s="742">
        <f t="shared" si="102"/>
        <v>297.31842736807749</v>
      </c>
      <c r="AH156" s="742">
        <f t="shared" si="102"/>
        <v>297.31842736807749</v>
      </c>
      <c r="AI156" s="742">
        <f t="shared" si="102"/>
        <v>278.13659334433055</v>
      </c>
      <c r="AJ156" s="742">
        <f t="shared" si="102"/>
        <v>297.31842736807749</v>
      </c>
      <c r="AK156" s="742">
        <f t="shared" ref="AK156:BE156" si="103" xml:space="preserve"> AK$150</f>
        <v>287.72751035620399</v>
      </c>
      <c r="AL156" s="742">
        <f t="shared" si="103"/>
        <v>297.31842736807749</v>
      </c>
      <c r="AM156" s="742">
        <f t="shared" si="103"/>
        <v>287.72751035620399</v>
      </c>
      <c r="AN156" s="742">
        <f t="shared" si="103"/>
        <v>0</v>
      </c>
      <c r="AO156" s="742">
        <f t="shared" si="103"/>
        <v>0</v>
      </c>
      <c r="AP156" s="742">
        <f t="shared" si="103"/>
        <v>0</v>
      </c>
      <c r="AQ156" s="742">
        <f t="shared" si="103"/>
        <v>0</v>
      </c>
      <c r="AR156" s="742">
        <f t="shared" si="103"/>
        <v>0</v>
      </c>
      <c r="AS156" s="742">
        <f t="shared" si="103"/>
        <v>0</v>
      </c>
      <c r="AT156" s="742">
        <f t="shared" si="103"/>
        <v>0</v>
      </c>
      <c r="AU156" s="742">
        <f t="shared" si="103"/>
        <v>0</v>
      </c>
      <c r="AV156" s="742">
        <f t="shared" si="103"/>
        <v>0</v>
      </c>
      <c r="AW156" s="742">
        <f t="shared" si="103"/>
        <v>0</v>
      </c>
      <c r="AX156" s="742">
        <f t="shared" si="103"/>
        <v>0</v>
      </c>
      <c r="AY156" s="742">
        <f t="shared" si="103"/>
        <v>0</v>
      </c>
      <c r="AZ156" s="742">
        <f t="shared" si="103"/>
        <v>0</v>
      </c>
      <c r="BA156" s="742">
        <f t="shared" si="103"/>
        <v>0</v>
      </c>
      <c r="BB156" s="742">
        <f t="shared" si="103"/>
        <v>0</v>
      </c>
      <c r="BC156" s="742">
        <f t="shared" si="103"/>
        <v>0</v>
      </c>
      <c r="BD156" s="742">
        <f t="shared" si="103"/>
        <v>0</v>
      </c>
      <c r="BE156" s="742">
        <f t="shared" si="103"/>
        <v>0</v>
      </c>
    </row>
    <row r="157" spans="1:57" s="734" customFormat="1" ht="13.15" hidden="1" customHeight="1" outlineLevel="2" x14ac:dyDescent="0.2">
      <c r="A157" s="732"/>
      <c r="B157" s="732"/>
      <c r="C157" s="732"/>
      <c r="D157" s="732"/>
      <c r="E157" s="742" t="str">
        <f t="shared" ref="E157:AJ157" si="104" xml:space="preserve"> E$154</f>
        <v>Equity bridge interest - paid</v>
      </c>
      <c r="F157" s="742">
        <f t="shared" si="104"/>
        <v>0</v>
      </c>
      <c r="G157" s="742" t="str">
        <f t="shared" si="104"/>
        <v>$ 000s</v>
      </c>
      <c r="H157" s="742">
        <f t="shared" si="104"/>
        <v>6742.148787806902</v>
      </c>
      <c r="I157" s="742">
        <f t="shared" si="104"/>
        <v>0</v>
      </c>
      <c r="J157" s="742">
        <f t="shared" si="104"/>
        <v>0</v>
      </c>
      <c r="K157" s="742">
        <f t="shared" si="104"/>
        <v>0</v>
      </c>
      <c r="L157" s="742">
        <f t="shared" si="104"/>
        <v>0</v>
      </c>
      <c r="M157" s="742">
        <f t="shared" si="104"/>
        <v>0</v>
      </c>
      <c r="N157" s="742">
        <f t="shared" si="104"/>
        <v>51.127351986397699</v>
      </c>
      <c r="O157" s="742">
        <f t="shared" si="104"/>
        <v>88.949175262097128</v>
      </c>
      <c r="P157" s="742">
        <f t="shared" si="104"/>
        <v>132.80059799573283</v>
      </c>
      <c r="Q157" s="742">
        <f t="shared" si="104"/>
        <v>173.81596543365558</v>
      </c>
      <c r="R157" s="742">
        <f t="shared" si="104"/>
        <v>208.01237316239951</v>
      </c>
      <c r="S157" s="742">
        <f t="shared" si="104"/>
        <v>256.16578074755137</v>
      </c>
      <c r="T157" s="742">
        <f t="shared" si="104"/>
        <v>287.72751035620399</v>
      </c>
      <c r="U157" s="742">
        <f t="shared" si="104"/>
        <v>297.31842736807749</v>
      </c>
      <c r="V157" s="742">
        <f t="shared" si="104"/>
        <v>297.31842736807749</v>
      </c>
      <c r="W157" s="742">
        <f t="shared" si="104"/>
        <v>268.54567633245711</v>
      </c>
      <c r="X157" s="742">
        <f t="shared" si="104"/>
        <v>297.31842736807749</v>
      </c>
      <c r="Y157" s="742">
        <f t="shared" si="104"/>
        <v>287.72751035620399</v>
      </c>
      <c r="Z157" s="742">
        <f t="shared" si="104"/>
        <v>297.31842736807749</v>
      </c>
      <c r="AA157" s="742">
        <f t="shared" si="104"/>
        <v>287.72751035620399</v>
      </c>
      <c r="AB157" s="742">
        <f t="shared" si="104"/>
        <v>297.31842736807749</v>
      </c>
      <c r="AC157" s="742">
        <f t="shared" si="104"/>
        <v>297.31842736807749</v>
      </c>
      <c r="AD157" s="742">
        <f t="shared" si="104"/>
        <v>287.72751035620399</v>
      </c>
      <c r="AE157" s="742">
        <f t="shared" si="104"/>
        <v>297.31842736807749</v>
      </c>
      <c r="AF157" s="742">
        <f t="shared" si="104"/>
        <v>287.72751035620399</v>
      </c>
      <c r="AG157" s="742">
        <f t="shared" si="104"/>
        <v>297.31842736807749</v>
      </c>
      <c r="AH157" s="742">
        <f t="shared" si="104"/>
        <v>297.31842736807749</v>
      </c>
      <c r="AI157" s="742">
        <f t="shared" si="104"/>
        <v>278.13659334433055</v>
      </c>
      <c r="AJ157" s="742">
        <f t="shared" si="104"/>
        <v>297.31842736807749</v>
      </c>
      <c r="AK157" s="742">
        <f t="shared" ref="AK157:BE157" si="105" xml:space="preserve"> AK$154</f>
        <v>287.72751035620399</v>
      </c>
      <c r="AL157" s="742">
        <f t="shared" si="105"/>
        <v>297.31842736807749</v>
      </c>
      <c r="AM157" s="742">
        <f t="shared" si="105"/>
        <v>287.72751035620399</v>
      </c>
      <c r="AN157" s="742">
        <f t="shared" si="105"/>
        <v>0</v>
      </c>
      <c r="AO157" s="742">
        <f t="shared" si="105"/>
        <v>0</v>
      </c>
      <c r="AP157" s="742">
        <f t="shared" si="105"/>
        <v>0</v>
      </c>
      <c r="AQ157" s="742">
        <f t="shared" si="105"/>
        <v>0</v>
      </c>
      <c r="AR157" s="742">
        <f t="shared" si="105"/>
        <v>0</v>
      </c>
      <c r="AS157" s="742">
        <f t="shared" si="105"/>
        <v>0</v>
      </c>
      <c r="AT157" s="742">
        <f t="shared" si="105"/>
        <v>0</v>
      </c>
      <c r="AU157" s="742">
        <f t="shared" si="105"/>
        <v>0</v>
      </c>
      <c r="AV157" s="742">
        <f t="shared" si="105"/>
        <v>0</v>
      </c>
      <c r="AW157" s="742">
        <f t="shared" si="105"/>
        <v>0</v>
      </c>
      <c r="AX157" s="742">
        <f t="shared" si="105"/>
        <v>0</v>
      </c>
      <c r="AY157" s="742">
        <f t="shared" si="105"/>
        <v>0</v>
      </c>
      <c r="AZ157" s="742">
        <f t="shared" si="105"/>
        <v>0</v>
      </c>
      <c r="BA157" s="742">
        <f t="shared" si="105"/>
        <v>0</v>
      </c>
      <c r="BB157" s="742">
        <f t="shared" si="105"/>
        <v>0</v>
      </c>
      <c r="BC157" s="742">
        <f t="shared" si="105"/>
        <v>0</v>
      </c>
      <c r="BD157" s="742">
        <f t="shared" si="105"/>
        <v>0</v>
      </c>
      <c r="BE157" s="742">
        <f t="shared" si="105"/>
        <v>0</v>
      </c>
    </row>
    <row r="158" spans="1:57" s="734" customFormat="1" ht="13.15" hidden="1" customHeight="1" outlineLevel="2" x14ac:dyDescent="0.2">
      <c r="A158" s="732"/>
      <c r="B158" s="732"/>
      <c r="C158" s="732"/>
      <c r="D158" s="732"/>
      <c r="E158" s="742" t="s">
        <v>527</v>
      </c>
      <c r="F158" s="742"/>
      <c r="G158" s="742" t="str">
        <f>SMU</f>
        <v>$ 000s</v>
      </c>
      <c r="H158" s="742">
        <f xml:space="preserve"> SUM(J158:BE158)</f>
        <v>0</v>
      </c>
      <c r="I158" s="114"/>
      <c r="J158" s="742">
        <f t="shared" ref="J158:BE158" si="106" xml:space="preserve"> J156 - J157</f>
        <v>0</v>
      </c>
      <c r="K158" s="742">
        <f t="shared" si="106"/>
        <v>0</v>
      </c>
      <c r="L158" s="742">
        <f t="shared" si="106"/>
        <v>0</v>
      </c>
      <c r="M158" s="742">
        <f t="shared" si="106"/>
        <v>0</v>
      </c>
      <c r="N158" s="742">
        <f t="shared" si="106"/>
        <v>0</v>
      </c>
      <c r="O158" s="742">
        <f t="shared" si="106"/>
        <v>0</v>
      </c>
      <c r="P158" s="742">
        <f t="shared" si="106"/>
        <v>0</v>
      </c>
      <c r="Q158" s="742">
        <f t="shared" si="106"/>
        <v>0</v>
      </c>
      <c r="R158" s="742">
        <f t="shared" si="106"/>
        <v>0</v>
      </c>
      <c r="S158" s="742">
        <f t="shared" si="106"/>
        <v>0</v>
      </c>
      <c r="T158" s="742">
        <f t="shared" si="106"/>
        <v>0</v>
      </c>
      <c r="U158" s="742">
        <f t="shared" si="106"/>
        <v>0</v>
      </c>
      <c r="V158" s="742">
        <f t="shared" si="106"/>
        <v>0</v>
      </c>
      <c r="W158" s="742">
        <f t="shared" si="106"/>
        <v>0</v>
      </c>
      <c r="X158" s="742">
        <f t="shared" si="106"/>
        <v>0</v>
      </c>
      <c r="Y158" s="742">
        <f t="shared" si="106"/>
        <v>0</v>
      </c>
      <c r="Z158" s="742">
        <f t="shared" si="106"/>
        <v>0</v>
      </c>
      <c r="AA158" s="742">
        <f t="shared" si="106"/>
        <v>0</v>
      </c>
      <c r="AB158" s="742">
        <f t="shared" si="106"/>
        <v>0</v>
      </c>
      <c r="AC158" s="742">
        <f t="shared" si="106"/>
        <v>0</v>
      </c>
      <c r="AD158" s="742">
        <f t="shared" si="106"/>
        <v>0</v>
      </c>
      <c r="AE158" s="742">
        <f t="shared" si="106"/>
        <v>0</v>
      </c>
      <c r="AF158" s="742">
        <f t="shared" si="106"/>
        <v>0</v>
      </c>
      <c r="AG158" s="742">
        <f t="shared" si="106"/>
        <v>0</v>
      </c>
      <c r="AH158" s="742">
        <f t="shared" si="106"/>
        <v>0</v>
      </c>
      <c r="AI158" s="742">
        <f t="shared" si="106"/>
        <v>0</v>
      </c>
      <c r="AJ158" s="742">
        <f t="shared" si="106"/>
        <v>0</v>
      </c>
      <c r="AK158" s="742">
        <f t="shared" si="106"/>
        <v>0</v>
      </c>
      <c r="AL158" s="742">
        <f t="shared" si="106"/>
        <v>0</v>
      </c>
      <c r="AM158" s="742">
        <f t="shared" si="106"/>
        <v>0</v>
      </c>
      <c r="AN158" s="742">
        <f t="shared" si="106"/>
        <v>0</v>
      </c>
      <c r="AO158" s="742">
        <f t="shared" si="106"/>
        <v>0</v>
      </c>
      <c r="AP158" s="742">
        <f t="shared" si="106"/>
        <v>0</v>
      </c>
      <c r="AQ158" s="742">
        <f t="shared" si="106"/>
        <v>0</v>
      </c>
      <c r="AR158" s="742">
        <f t="shared" si="106"/>
        <v>0</v>
      </c>
      <c r="AS158" s="742">
        <f t="shared" si="106"/>
        <v>0</v>
      </c>
      <c r="AT158" s="742">
        <f t="shared" si="106"/>
        <v>0</v>
      </c>
      <c r="AU158" s="742">
        <f t="shared" si="106"/>
        <v>0</v>
      </c>
      <c r="AV158" s="742">
        <f t="shared" si="106"/>
        <v>0</v>
      </c>
      <c r="AW158" s="742">
        <f t="shared" si="106"/>
        <v>0</v>
      </c>
      <c r="AX158" s="742">
        <f t="shared" si="106"/>
        <v>0</v>
      </c>
      <c r="AY158" s="742">
        <f t="shared" si="106"/>
        <v>0</v>
      </c>
      <c r="AZ158" s="742">
        <f t="shared" si="106"/>
        <v>0</v>
      </c>
      <c r="BA158" s="742">
        <f t="shared" si="106"/>
        <v>0</v>
      </c>
      <c r="BB158" s="742">
        <f t="shared" si="106"/>
        <v>0</v>
      </c>
      <c r="BC158" s="742">
        <f t="shared" si="106"/>
        <v>0</v>
      </c>
      <c r="BD158" s="742">
        <f t="shared" si="106"/>
        <v>0</v>
      </c>
      <c r="BE158" s="742">
        <f t="shared" si="106"/>
        <v>0</v>
      </c>
    </row>
    <row r="159" spans="1:57" s="734" customFormat="1" ht="13.15" hidden="1" customHeight="1" outlineLevel="1" x14ac:dyDescent="0.2">
      <c r="A159" s="732"/>
      <c r="B159" s="732"/>
      <c r="C159" s="732"/>
      <c r="D159" s="732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  <c r="AJ159" s="114"/>
      <c r="AK159" s="114"/>
      <c r="AL159" s="114"/>
      <c r="AM159" s="114"/>
      <c r="AN159" s="114"/>
      <c r="AO159" s="114"/>
      <c r="AP159" s="114"/>
      <c r="AQ159" s="114"/>
      <c r="AR159" s="114"/>
      <c r="AS159" s="114"/>
      <c r="AT159" s="114"/>
      <c r="AU159" s="114"/>
      <c r="AV159" s="114"/>
      <c r="AW159" s="114"/>
      <c r="AX159" s="114"/>
      <c r="AY159" s="114"/>
      <c r="AZ159" s="114"/>
      <c r="BA159" s="114"/>
      <c r="BB159" s="114"/>
      <c r="BC159" s="114"/>
      <c r="BD159" s="114"/>
      <c r="BE159" s="114"/>
    </row>
    <row r="160" spans="1:57" s="734" customFormat="1" ht="13.15" hidden="1" customHeight="1" outlineLevel="1" x14ac:dyDescent="0.2">
      <c r="A160" s="732"/>
      <c r="B160" s="763" t="s">
        <v>528</v>
      </c>
      <c r="C160" s="732"/>
      <c r="D160" s="732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  <c r="AJ160" s="114"/>
      <c r="AK160" s="114"/>
      <c r="AL160" s="114"/>
      <c r="AM160" s="114"/>
      <c r="AN160" s="114"/>
      <c r="AO160" s="114"/>
      <c r="AP160" s="114"/>
      <c r="AQ160" s="114"/>
      <c r="AR160" s="114"/>
      <c r="AS160" s="114"/>
      <c r="AT160" s="114"/>
      <c r="AU160" s="114"/>
      <c r="AV160" s="114"/>
      <c r="AW160" s="114"/>
      <c r="AX160" s="114"/>
      <c r="AY160" s="114"/>
      <c r="AZ160" s="114"/>
      <c r="BA160" s="114"/>
      <c r="BB160" s="114"/>
      <c r="BC160" s="114"/>
      <c r="BD160" s="114"/>
      <c r="BE160" s="114"/>
    </row>
    <row r="161" spans="1:57" s="734" customFormat="1" ht="13.15" hidden="1" customHeight="1" outlineLevel="2" x14ac:dyDescent="0.2">
      <c r="A161" s="787"/>
      <c r="B161" s="787"/>
      <c r="C161" s="787"/>
      <c r="D161" s="787"/>
      <c r="E161" s="790" t="str">
        <f xml:space="preserve"> InpC!E$167</f>
        <v>Equity bridge upfront fee %</v>
      </c>
      <c r="F161" s="790">
        <f xml:space="preserve"> InpC!F$167</f>
        <v>1.4999999999999999E-2</v>
      </c>
      <c r="G161" s="790" t="str">
        <f xml:space="preserve"> InpC!G$167</f>
        <v>%</v>
      </c>
      <c r="H161" s="788"/>
      <c r="I161" s="788"/>
      <c r="J161" s="788"/>
      <c r="K161" s="788"/>
      <c r="L161" s="788"/>
      <c r="M161" s="788"/>
      <c r="N161" s="788"/>
      <c r="O161" s="788"/>
      <c r="P161" s="788"/>
      <c r="Q161" s="788"/>
      <c r="R161" s="788"/>
      <c r="S161" s="788"/>
      <c r="T161" s="788"/>
      <c r="U161" s="788"/>
      <c r="V161" s="788"/>
      <c r="W161" s="788"/>
      <c r="X161" s="788"/>
      <c r="Y161" s="788"/>
      <c r="Z161" s="788"/>
      <c r="AA161" s="788"/>
      <c r="AB161" s="788"/>
      <c r="AC161" s="788"/>
      <c r="AD161" s="788"/>
      <c r="AE161" s="788"/>
      <c r="AF161" s="788"/>
      <c r="AG161" s="788"/>
      <c r="AH161" s="788"/>
      <c r="AI161" s="788"/>
      <c r="AJ161" s="788"/>
      <c r="AK161" s="788"/>
      <c r="AL161" s="788"/>
      <c r="AM161" s="788"/>
      <c r="AN161" s="788"/>
      <c r="AO161" s="788"/>
      <c r="AP161" s="788"/>
      <c r="AQ161" s="788"/>
      <c r="AR161" s="788"/>
      <c r="AS161" s="788"/>
      <c r="AT161" s="788"/>
      <c r="AU161" s="788"/>
      <c r="AV161" s="788"/>
      <c r="AW161" s="788"/>
      <c r="AX161" s="788"/>
      <c r="AY161" s="788"/>
      <c r="AZ161" s="788"/>
      <c r="BA161" s="788"/>
      <c r="BB161" s="788"/>
      <c r="BC161" s="788"/>
      <c r="BD161" s="788"/>
      <c r="BE161" s="788"/>
    </row>
    <row r="162" spans="1:57" s="831" customFormat="1" ht="13.15" hidden="1" customHeight="1" outlineLevel="2" x14ac:dyDescent="0.2">
      <c r="A162" s="828"/>
      <c r="B162" s="828"/>
      <c r="C162" s="828"/>
      <c r="D162" s="828"/>
      <c r="E162" s="829" t="str">
        <f xml:space="preserve"> Solve!E$49</f>
        <v>EBL requirement fixed</v>
      </c>
      <c r="F162" s="829">
        <f xml:space="preserve"> Solve!F$49</f>
        <v>86318.263263620975</v>
      </c>
      <c r="G162" s="829" t="str">
        <f xml:space="preserve"> Solve!G$49</f>
        <v>$ 000s</v>
      </c>
      <c r="H162" s="830"/>
      <c r="I162" s="830"/>
      <c r="J162" s="830"/>
      <c r="K162" s="830"/>
      <c r="L162" s="830"/>
      <c r="M162" s="830"/>
      <c r="N162" s="830"/>
      <c r="O162" s="830"/>
      <c r="P162" s="830"/>
      <c r="Q162" s="830"/>
      <c r="R162" s="830"/>
      <c r="S162" s="830"/>
      <c r="T162" s="830"/>
      <c r="U162" s="830"/>
      <c r="V162" s="830"/>
      <c r="W162" s="830"/>
      <c r="X162" s="830"/>
      <c r="Y162" s="830"/>
      <c r="Z162" s="830"/>
      <c r="AA162" s="830"/>
      <c r="AB162" s="830"/>
      <c r="AC162" s="830"/>
      <c r="AD162" s="830"/>
      <c r="AE162" s="830"/>
      <c r="AF162" s="830"/>
      <c r="AG162" s="830"/>
      <c r="AH162" s="830"/>
      <c r="AI162" s="830"/>
      <c r="AJ162" s="830"/>
      <c r="AK162" s="830"/>
      <c r="AL162" s="830"/>
      <c r="AM162" s="830"/>
      <c r="AN162" s="830"/>
      <c r="AO162" s="830"/>
      <c r="AP162" s="830"/>
      <c r="AQ162" s="830"/>
      <c r="AR162" s="830"/>
      <c r="AS162" s="830"/>
      <c r="AT162" s="830"/>
      <c r="AU162" s="830"/>
      <c r="AV162" s="830"/>
      <c r="AW162" s="830"/>
      <c r="AX162" s="830"/>
      <c r="AY162" s="830"/>
      <c r="AZ162" s="830"/>
      <c r="BA162" s="830"/>
      <c r="BB162" s="830"/>
      <c r="BC162" s="830"/>
      <c r="BD162" s="830"/>
      <c r="BE162" s="830"/>
    </row>
    <row r="163" spans="1:57" s="734" customFormat="1" ht="13.15" hidden="1" customHeight="1" outlineLevel="2" x14ac:dyDescent="0.2">
      <c r="A163" s="787"/>
      <c r="B163" s="787"/>
      <c r="C163" s="787"/>
      <c r="D163" s="787"/>
      <c r="E163" s="793" t="str">
        <f xml:space="preserve"> ConTime!E$64</f>
        <v>Financial close date flag - m</v>
      </c>
      <c r="F163" s="793">
        <f xml:space="preserve"> ConTime!F$64</f>
        <v>0</v>
      </c>
      <c r="G163" s="793" t="str">
        <f xml:space="preserve"> ConTime!G$64</f>
        <v>flag</v>
      </c>
      <c r="H163" s="793">
        <f xml:space="preserve"> ConTime!H$64</f>
        <v>1</v>
      </c>
      <c r="I163" s="793">
        <f xml:space="preserve"> ConTime!I$64</f>
        <v>0</v>
      </c>
      <c r="J163" s="793">
        <f xml:space="preserve"> ConTime!J$64</f>
        <v>0</v>
      </c>
      <c r="K163" s="793">
        <f xml:space="preserve"> ConTime!K$64</f>
        <v>0</v>
      </c>
      <c r="L163" s="793">
        <f xml:space="preserve"> ConTime!L$64</f>
        <v>0</v>
      </c>
      <c r="M163" s="793">
        <f xml:space="preserve"> ConTime!M$64</f>
        <v>1</v>
      </c>
      <c r="N163" s="793">
        <f xml:space="preserve"> ConTime!N$64</f>
        <v>0</v>
      </c>
      <c r="O163" s="793">
        <f xml:space="preserve"> ConTime!O$64</f>
        <v>0</v>
      </c>
      <c r="P163" s="793">
        <f xml:space="preserve"> ConTime!P$64</f>
        <v>0</v>
      </c>
      <c r="Q163" s="793">
        <f xml:space="preserve"> ConTime!Q$64</f>
        <v>0</v>
      </c>
      <c r="R163" s="793">
        <f xml:space="preserve"> ConTime!R$64</f>
        <v>0</v>
      </c>
      <c r="S163" s="793">
        <f xml:space="preserve"> ConTime!S$64</f>
        <v>0</v>
      </c>
      <c r="T163" s="793">
        <f xml:space="preserve"> ConTime!T$64</f>
        <v>0</v>
      </c>
      <c r="U163" s="793">
        <f xml:space="preserve"> ConTime!U$64</f>
        <v>0</v>
      </c>
      <c r="V163" s="793">
        <f xml:space="preserve"> ConTime!V$64</f>
        <v>0</v>
      </c>
      <c r="W163" s="793">
        <f xml:space="preserve"> ConTime!W$64</f>
        <v>0</v>
      </c>
      <c r="X163" s="793">
        <f xml:space="preserve"> ConTime!X$64</f>
        <v>0</v>
      </c>
      <c r="Y163" s="793">
        <f xml:space="preserve"> ConTime!Y$64</f>
        <v>0</v>
      </c>
      <c r="Z163" s="793">
        <f xml:space="preserve"> ConTime!Z$64</f>
        <v>0</v>
      </c>
      <c r="AA163" s="793">
        <f xml:space="preserve"> ConTime!AA$64</f>
        <v>0</v>
      </c>
      <c r="AB163" s="793">
        <f xml:space="preserve"> ConTime!AB$64</f>
        <v>0</v>
      </c>
      <c r="AC163" s="793">
        <f xml:space="preserve"> ConTime!AC$64</f>
        <v>0</v>
      </c>
      <c r="AD163" s="793">
        <f xml:space="preserve"> ConTime!AD$64</f>
        <v>0</v>
      </c>
      <c r="AE163" s="793">
        <f xml:space="preserve"> ConTime!AE$64</f>
        <v>0</v>
      </c>
      <c r="AF163" s="793">
        <f xml:space="preserve"> ConTime!AF$64</f>
        <v>0</v>
      </c>
      <c r="AG163" s="793">
        <f xml:space="preserve"> ConTime!AG$64</f>
        <v>0</v>
      </c>
      <c r="AH163" s="793">
        <f xml:space="preserve"> ConTime!AH$64</f>
        <v>0</v>
      </c>
      <c r="AI163" s="793">
        <f xml:space="preserve"> ConTime!AI$64</f>
        <v>0</v>
      </c>
      <c r="AJ163" s="793">
        <f xml:space="preserve"> ConTime!AJ$64</f>
        <v>0</v>
      </c>
      <c r="AK163" s="793">
        <f xml:space="preserve"> ConTime!AK$64</f>
        <v>0</v>
      </c>
      <c r="AL163" s="793">
        <f xml:space="preserve"> ConTime!AL$64</f>
        <v>0</v>
      </c>
      <c r="AM163" s="793">
        <f xml:space="preserve"> ConTime!AM$64</f>
        <v>0</v>
      </c>
      <c r="AN163" s="793">
        <f xml:space="preserve"> ConTime!AN$64</f>
        <v>0</v>
      </c>
      <c r="AO163" s="793">
        <f xml:space="preserve"> ConTime!AO$64</f>
        <v>0</v>
      </c>
      <c r="AP163" s="793">
        <f xml:space="preserve"> ConTime!AP$64</f>
        <v>0</v>
      </c>
      <c r="AQ163" s="793">
        <f xml:space="preserve"> ConTime!AQ$64</f>
        <v>0</v>
      </c>
      <c r="AR163" s="793">
        <f xml:space="preserve"> ConTime!AR$64</f>
        <v>0</v>
      </c>
      <c r="AS163" s="793">
        <f xml:space="preserve"> ConTime!AS$64</f>
        <v>0</v>
      </c>
      <c r="AT163" s="793">
        <f xml:space="preserve"> ConTime!AT$64</f>
        <v>0</v>
      </c>
      <c r="AU163" s="793">
        <f xml:space="preserve"> ConTime!AU$64</f>
        <v>0</v>
      </c>
      <c r="AV163" s="793">
        <f xml:space="preserve"> ConTime!AV$64</f>
        <v>0</v>
      </c>
      <c r="AW163" s="793">
        <f xml:space="preserve"> ConTime!AW$64</f>
        <v>0</v>
      </c>
      <c r="AX163" s="793">
        <f xml:space="preserve"> ConTime!AX$64</f>
        <v>0</v>
      </c>
      <c r="AY163" s="793">
        <f xml:space="preserve"> ConTime!AY$64</f>
        <v>0</v>
      </c>
      <c r="AZ163" s="793">
        <f xml:space="preserve"> ConTime!AZ$64</f>
        <v>0</v>
      </c>
      <c r="BA163" s="793">
        <f xml:space="preserve"> ConTime!BA$64</f>
        <v>0</v>
      </c>
      <c r="BB163" s="793">
        <f xml:space="preserve"> ConTime!BB$64</f>
        <v>0</v>
      </c>
      <c r="BC163" s="793">
        <f xml:space="preserve"> ConTime!BC$64</f>
        <v>0</v>
      </c>
      <c r="BD163" s="793">
        <f xml:space="preserve"> ConTime!BD$64</f>
        <v>0</v>
      </c>
      <c r="BE163" s="793">
        <f xml:space="preserve"> ConTime!BE$64</f>
        <v>0</v>
      </c>
    </row>
    <row r="164" spans="1:57" s="734" customFormat="1" ht="13.15" hidden="1" customHeight="1" outlineLevel="2" x14ac:dyDescent="0.2">
      <c r="A164" s="732"/>
      <c r="B164" s="732"/>
      <c r="C164" s="732"/>
      <c r="D164" s="732"/>
      <c r="E164" s="768" t="s">
        <v>508</v>
      </c>
      <c r="F164" s="742"/>
      <c r="G164" s="742" t="str">
        <f>SMU</f>
        <v>$ 000s</v>
      </c>
      <c r="H164" s="742">
        <f xml:space="preserve"> SUM(J164:BE164)</f>
        <v>1294.7739489543146</v>
      </c>
      <c r="I164" s="114"/>
      <c r="J164" s="742">
        <f t="shared" ref="J164:BE164" si="107" xml:space="preserve"> $F161 * SUM($F162:$F162) * J163</f>
        <v>0</v>
      </c>
      <c r="K164" s="742">
        <f t="shared" si="107"/>
        <v>0</v>
      </c>
      <c r="L164" s="742">
        <f t="shared" si="107"/>
        <v>0</v>
      </c>
      <c r="M164" s="742">
        <f t="shared" si="107"/>
        <v>1294.7739489543146</v>
      </c>
      <c r="N164" s="742">
        <f t="shared" si="107"/>
        <v>0</v>
      </c>
      <c r="O164" s="742">
        <f t="shared" si="107"/>
        <v>0</v>
      </c>
      <c r="P164" s="742">
        <f t="shared" si="107"/>
        <v>0</v>
      </c>
      <c r="Q164" s="742">
        <f t="shared" si="107"/>
        <v>0</v>
      </c>
      <c r="R164" s="742">
        <f t="shared" si="107"/>
        <v>0</v>
      </c>
      <c r="S164" s="742">
        <f t="shared" si="107"/>
        <v>0</v>
      </c>
      <c r="T164" s="742">
        <f t="shared" si="107"/>
        <v>0</v>
      </c>
      <c r="U164" s="742">
        <f t="shared" si="107"/>
        <v>0</v>
      </c>
      <c r="V164" s="742">
        <f t="shared" si="107"/>
        <v>0</v>
      </c>
      <c r="W164" s="742">
        <f t="shared" si="107"/>
        <v>0</v>
      </c>
      <c r="X164" s="742">
        <f t="shared" si="107"/>
        <v>0</v>
      </c>
      <c r="Y164" s="742">
        <f t="shared" si="107"/>
        <v>0</v>
      </c>
      <c r="Z164" s="742">
        <f t="shared" si="107"/>
        <v>0</v>
      </c>
      <c r="AA164" s="742">
        <f t="shared" si="107"/>
        <v>0</v>
      </c>
      <c r="AB164" s="742">
        <f t="shared" si="107"/>
        <v>0</v>
      </c>
      <c r="AC164" s="742">
        <f t="shared" si="107"/>
        <v>0</v>
      </c>
      <c r="AD164" s="742">
        <f t="shared" si="107"/>
        <v>0</v>
      </c>
      <c r="AE164" s="742">
        <f t="shared" si="107"/>
        <v>0</v>
      </c>
      <c r="AF164" s="742">
        <f t="shared" si="107"/>
        <v>0</v>
      </c>
      <c r="AG164" s="742">
        <f t="shared" si="107"/>
        <v>0</v>
      </c>
      <c r="AH164" s="742">
        <f t="shared" si="107"/>
        <v>0</v>
      </c>
      <c r="AI164" s="742">
        <f t="shared" si="107"/>
        <v>0</v>
      </c>
      <c r="AJ164" s="742">
        <f t="shared" si="107"/>
        <v>0</v>
      </c>
      <c r="AK164" s="742">
        <f t="shared" si="107"/>
        <v>0</v>
      </c>
      <c r="AL164" s="742">
        <f t="shared" si="107"/>
        <v>0</v>
      </c>
      <c r="AM164" s="742">
        <f t="shared" si="107"/>
        <v>0</v>
      </c>
      <c r="AN164" s="742">
        <f t="shared" si="107"/>
        <v>0</v>
      </c>
      <c r="AO164" s="742">
        <f t="shared" si="107"/>
        <v>0</v>
      </c>
      <c r="AP164" s="742">
        <f t="shared" si="107"/>
        <v>0</v>
      </c>
      <c r="AQ164" s="742">
        <f t="shared" si="107"/>
        <v>0</v>
      </c>
      <c r="AR164" s="742">
        <f t="shared" si="107"/>
        <v>0</v>
      </c>
      <c r="AS164" s="742">
        <f t="shared" si="107"/>
        <v>0</v>
      </c>
      <c r="AT164" s="742">
        <f t="shared" si="107"/>
        <v>0</v>
      </c>
      <c r="AU164" s="742">
        <f t="shared" si="107"/>
        <v>0</v>
      </c>
      <c r="AV164" s="742">
        <f t="shared" si="107"/>
        <v>0</v>
      </c>
      <c r="AW164" s="742">
        <f t="shared" si="107"/>
        <v>0</v>
      </c>
      <c r="AX164" s="742">
        <f t="shared" si="107"/>
        <v>0</v>
      </c>
      <c r="AY164" s="742">
        <f t="shared" si="107"/>
        <v>0</v>
      </c>
      <c r="AZ164" s="742">
        <f t="shared" si="107"/>
        <v>0</v>
      </c>
      <c r="BA164" s="742">
        <f t="shared" si="107"/>
        <v>0</v>
      </c>
      <c r="BB164" s="742">
        <f t="shared" si="107"/>
        <v>0</v>
      </c>
      <c r="BC164" s="742">
        <f t="shared" si="107"/>
        <v>0</v>
      </c>
      <c r="BD164" s="742">
        <f t="shared" si="107"/>
        <v>0</v>
      </c>
      <c r="BE164" s="742">
        <f t="shared" si="107"/>
        <v>0</v>
      </c>
    </row>
    <row r="165" spans="1:57" s="734" customFormat="1" ht="13.15" hidden="1" customHeight="1" outlineLevel="2" x14ac:dyDescent="0.2">
      <c r="A165" s="732"/>
      <c r="B165" s="732"/>
      <c r="C165" s="732"/>
      <c r="D165" s="732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  <c r="AJ165" s="114"/>
      <c r="AK165" s="114"/>
      <c r="AL165" s="114"/>
      <c r="AM165" s="114"/>
      <c r="AN165" s="114"/>
      <c r="AO165" s="114"/>
      <c r="AP165" s="114"/>
      <c r="AQ165" s="114"/>
      <c r="AR165" s="114"/>
      <c r="AS165" s="114"/>
      <c r="AT165" s="114"/>
      <c r="AU165" s="114"/>
      <c r="AV165" s="114"/>
      <c r="AW165" s="114"/>
      <c r="AX165" s="114"/>
      <c r="AY165" s="114"/>
      <c r="AZ165" s="114"/>
      <c r="BA165" s="114"/>
      <c r="BB165" s="114"/>
      <c r="BC165" s="114"/>
      <c r="BD165" s="114"/>
      <c r="BE165" s="114"/>
    </row>
    <row r="166" spans="1:57" s="734" customFormat="1" ht="13.15" hidden="1" customHeight="1" outlineLevel="2" x14ac:dyDescent="0.2">
      <c r="A166" s="787"/>
      <c r="B166" s="787"/>
      <c r="C166" s="787"/>
      <c r="D166" s="787"/>
      <c r="E166" s="791" t="str">
        <f xml:space="preserve"> InpC!E$155</f>
        <v>EBL interest &amp; fee pre-PCOD paid vs rolled-up switch</v>
      </c>
      <c r="F166" s="791">
        <f xml:space="preserve"> InpC!F$155</f>
        <v>0</v>
      </c>
      <c r="G166" s="791" t="str">
        <f xml:space="preserve"> InpC!G$155</f>
        <v>0 = paid, 1 = rolled-up</v>
      </c>
      <c r="H166" s="788"/>
      <c r="I166" s="788"/>
      <c r="J166" s="788"/>
      <c r="K166" s="788"/>
      <c r="L166" s="788"/>
      <c r="M166" s="788"/>
      <c r="N166" s="788"/>
      <c r="O166" s="788"/>
      <c r="P166" s="788"/>
      <c r="Q166" s="788"/>
      <c r="R166" s="788"/>
      <c r="S166" s="788"/>
      <c r="T166" s="788"/>
      <c r="U166" s="788"/>
      <c r="V166" s="788"/>
      <c r="W166" s="788"/>
      <c r="X166" s="788"/>
      <c r="Y166" s="788"/>
      <c r="Z166" s="788"/>
      <c r="AA166" s="788"/>
      <c r="AB166" s="788"/>
      <c r="AC166" s="788"/>
      <c r="AD166" s="788"/>
      <c r="AE166" s="788"/>
      <c r="AF166" s="788"/>
      <c r="AG166" s="788"/>
      <c r="AH166" s="788"/>
      <c r="AI166" s="788"/>
      <c r="AJ166" s="788"/>
      <c r="AK166" s="788"/>
      <c r="AL166" s="788"/>
      <c r="AM166" s="788"/>
      <c r="AN166" s="788"/>
      <c r="AO166" s="788"/>
      <c r="AP166" s="788"/>
      <c r="AQ166" s="788"/>
      <c r="AR166" s="788"/>
      <c r="AS166" s="788"/>
      <c r="AT166" s="788"/>
      <c r="AU166" s="788"/>
      <c r="AV166" s="788"/>
      <c r="AW166" s="788"/>
      <c r="AX166" s="788"/>
      <c r="AY166" s="788"/>
      <c r="AZ166" s="788"/>
      <c r="BA166" s="788"/>
      <c r="BB166" s="788"/>
      <c r="BC166" s="788"/>
      <c r="BD166" s="788"/>
      <c r="BE166" s="788"/>
    </row>
    <row r="167" spans="1:57" s="734" customFormat="1" ht="13.15" hidden="1" customHeight="1" outlineLevel="2" x14ac:dyDescent="0.2">
      <c r="A167" s="732"/>
      <c r="B167" s="732"/>
      <c r="C167" s="732"/>
      <c r="D167" s="732"/>
      <c r="E167" s="742" t="str">
        <f t="shared" ref="E167:AJ167" si="108" xml:space="preserve"> E$164</f>
        <v>Equity bridge upfront fee</v>
      </c>
      <c r="F167" s="742">
        <f t="shared" si="108"/>
        <v>0</v>
      </c>
      <c r="G167" s="742" t="str">
        <f t="shared" si="108"/>
        <v>$ 000s</v>
      </c>
      <c r="H167" s="742">
        <f t="shared" si="108"/>
        <v>1294.7739489543146</v>
      </c>
      <c r="I167" s="742">
        <f t="shared" si="108"/>
        <v>0</v>
      </c>
      <c r="J167" s="742">
        <f t="shared" si="108"/>
        <v>0</v>
      </c>
      <c r="K167" s="742">
        <f t="shared" si="108"/>
        <v>0</v>
      </c>
      <c r="L167" s="742">
        <f t="shared" si="108"/>
        <v>0</v>
      </c>
      <c r="M167" s="742">
        <f t="shared" si="108"/>
        <v>1294.7739489543146</v>
      </c>
      <c r="N167" s="742">
        <f t="shared" si="108"/>
        <v>0</v>
      </c>
      <c r="O167" s="742">
        <f t="shared" si="108"/>
        <v>0</v>
      </c>
      <c r="P167" s="742">
        <f t="shared" si="108"/>
        <v>0</v>
      </c>
      <c r="Q167" s="742">
        <f t="shared" si="108"/>
        <v>0</v>
      </c>
      <c r="R167" s="742">
        <f t="shared" si="108"/>
        <v>0</v>
      </c>
      <c r="S167" s="742">
        <f t="shared" si="108"/>
        <v>0</v>
      </c>
      <c r="T167" s="742">
        <f t="shared" si="108"/>
        <v>0</v>
      </c>
      <c r="U167" s="742">
        <f t="shared" si="108"/>
        <v>0</v>
      </c>
      <c r="V167" s="742">
        <f t="shared" si="108"/>
        <v>0</v>
      </c>
      <c r="W167" s="742">
        <f t="shared" si="108"/>
        <v>0</v>
      </c>
      <c r="X167" s="742">
        <f t="shared" si="108"/>
        <v>0</v>
      </c>
      <c r="Y167" s="742">
        <f t="shared" si="108"/>
        <v>0</v>
      </c>
      <c r="Z167" s="742">
        <f t="shared" si="108"/>
        <v>0</v>
      </c>
      <c r="AA167" s="742">
        <f t="shared" si="108"/>
        <v>0</v>
      </c>
      <c r="AB167" s="742">
        <f t="shared" si="108"/>
        <v>0</v>
      </c>
      <c r="AC167" s="742">
        <f t="shared" si="108"/>
        <v>0</v>
      </c>
      <c r="AD167" s="742">
        <f t="shared" si="108"/>
        <v>0</v>
      </c>
      <c r="AE167" s="742">
        <f t="shared" si="108"/>
        <v>0</v>
      </c>
      <c r="AF167" s="742">
        <f t="shared" si="108"/>
        <v>0</v>
      </c>
      <c r="AG167" s="742">
        <f t="shared" si="108"/>
        <v>0</v>
      </c>
      <c r="AH167" s="742">
        <f t="shared" si="108"/>
        <v>0</v>
      </c>
      <c r="AI167" s="742">
        <f t="shared" si="108"/>
        <v>0</v>
      </c>
      <c r="AJ167" s="742">
        <f t="shared" si="108"/>
        <v>0</v>
      </c>
      <c r="AK167" s="742">
        <f t="shared" ref="AK167:BE167" si="109" xml:space="preserve"> AK$164</f>
        <v>0</v>
      </c>
      <c r="AL167" s="742">
        <f t="shared" si="109"/>
        <v>0</v>
      </c>
      <c r="AM167" s="742">
        <f t="shared" si="109"/>
        <v>0</v>
      </c>
      <c r="AN167" s="742">
        <f t="shared" si="109"/>
        <v>0</v>
      </c>
      <c r="AO167" s="742">
        <f t="shared" si="109"/>
        <v>0</v>
      </c>
      <c r="AP167" s="742">
        <f t="shared" si="109"/>
        <v>0</v>
      </c>
      <c r="AQ167" s="742">
        <f t="shared" si="109"/>
        <v>0</v>
      </c>
      <c r="AR167" s="742">
        <f t="shared" si="109"/>
        <v>0</v>
      </c>
      <c r="AS167" s="742">
        <f t="shared" si="109"/>
        <v>0</v>
      </c>
      <c r="AT167" s="742">
        <f t="shared" si="109"/>
        <v>0</v>
      </c>
      <c r="AU167" s="742">
        <f t="shared" si="109"/>
        <v>0</v>
      </c>
      <c r="AV167" s="742">
        <f t="shared" si="109"/>
        <v>0</v>
      </c>
      <c r="AW167" s="742">
        <f t="shared" si="109"/>
        <v>0</v>
      </c>
      <c r="AX167" s="742">
        <f t="shared" si="109"/>
        <v>0</v>
      </c>
      <c r="AY167" s="742">
        <f t="shared" si="109"/>
        <v>0</v>
      </c>
      <c r="AZ167" s="742">
        <f t="shared" si="109"/>
        <v>0</v>
      </c>
      <c r="BA167" s="742">
        <f t="shared" si="109"/>
        <v>0</v>
      </c>
      <c r="BB167" s="742">
        <f t="shared" si="109"/>
        <v>0</v>
      </c>
      <c r="BC167" s="742">
        <f t="shared" si="109"/>
        <v>0</v>
      </c>
      <c r="BD167" s="742">
        <f t="shared" si="109"/>
        <v>0</v>
      </c>
      <c r="BE167" s="742">
        <f t="shared" si="109"/>
        <v>0</v>
      </c>
    </row>
    <row r="168" spans="1:57" s="757" customFormat="1" ht="13.15" hidden="1" customHeight="1" outlineLevel="2" x14ac:dyDescent="0.2">
      <c r="A168" s="769"/>
      <c r="B168" s="769"/>
      <c r="C168" s="769"/>
      <c r="D168" s="769"/>
      <c r="E168" s="770" t="s">
        <v>529</v>
      </c>
      <c r="F168" s="770"/>
      <c r="G168" s="770" t="str">
        <f>SMU</f>
        <v>$ 000s</v>
      </c>
      <c r="H168" s="770">
        <f xml:space="preserve"> SUM(J168:BE168)</f>
        <v>1294.7739489543146</v>
      </c>
      <c r="I168" s="771"/>
      <c r="J168" s="770">
        <f t="shared" ref="J168:BE168" si="110" xml:space="preserve"> (1 - $F166) * J167</f>
        <v>0</v>
      </c>
      <c r="K168" s="770">
        <f t="shared" si="110"/>
        <v>0</v>
      </c>
      <c r="L168" s="770">
        <f t="shared" si="110"/>
        <v>0</v>
      </c>
      <c r="M168" s="770">
        <f t="shared" si="110"/>
        <v>1294.7739489543146</v>
      </c>
      <c r="N168" s="770">
        <f t="shared" si="110"/>
        <v>0</v>
      </c>
      <c r="O168" s="770">
        <f t="shared" si="110"/>
        <v>0</v>
      </c>
      <c r="P168" s="770">
        <f t="shared" si="110"/>
        <v>0</v>
      </c>
      <c r="Q168" s="770">
        <f t="shared" si="110"/>
        <v>0</v>
      </c>
      <c r="R168" s="770">
        <f t="shared" si="110"/>
        <v>0</v>
      </c>
      <c r="S168" s="770">
        <f t="shared" si="110"/>
        <v>0</v>
      </c>
      <c r="T168" s="770">
        <f t="shared" si="110"/>
        <v>0</v>
      </c>
      <c r="U168" s="770">
        <f t="shared" si="110"/>
        <v>0</v>
      </c>
      <c r="V168" s="770">
        <f t="shared" si="110"/>
        <v>0</v>
      </c>
      <c r="W168" s="770">
        <f t="shared" si="110"/>
        <v>0</v>
      </c>
      <c r="X168" s="770">
        <f t="shared" si="110"/>
        <v>0</v>
      </c>
      <c r="Y168" s="770">
        <f t="shared" si="110"/>
        <v>0</v>
      </c>
      <c r="Z168" s="770">
        <f t="shared" si="110"/>
        <v>0</v>
      </c>
      <c r="AA168" s="770">
        <f t="shared" si="110"/>
        <v>0</v>
      </c>
      <c r="AB168" s="770">
        <f t="shared" si="110"/>
        <v>0</v>
      </c>
      <c r="AC168" s="770">
        <f t="shared" si="110"/>
        <v>0</v>
      </c>
      <c r="AD168" s="770">
        <f t="shared" si="110"/>
        <v>0</v>
      </c>
      <c r="AE168" s="770">
        <f t="shared" si="110"/>
        <v>0</v>
      </c>
      <c r="AF168" s="770">
        <f t="shared" si="110"/>
        <v>0</v>
      </c>
      <c r="AG168" s="770">
        <f t="shared" si="110"/>
        <v>0</v>
      </c>
      <c r="AH168" s="770">
        <f t="shared" si="110"/>
        <v>0</v>
      </c>
      <c r="AI168" s="770">
        <f t="shared" si="110"/>
        <v>0</v>
      </c>
      <c r="AJ168" s="770">
        <f t="shared" si="110"/>
        <v>0</v>
      </c>
      <c r="AK168" s="770">
        <f t="shared" si="110"/>
        <v>0</v>
      </c>
      <c r="AL168" s="770">
        <f t="shared" si="110"/>
        <v>0</v>
      </c>
      <c r="AM168" s="770">
        <f t="shared" si="110"/>
        <v>0</v>
      </c>
      <c r="AN168" s="770">
        <f t="shared" si="110"/>
        <v>0</v>
      </c>
      <c r="AO168" s="770">
        <f t="shared" si="110"/>
        <v>0</v>
      </c>
      <c r="AP168" s="770">
        <f t="shared" si="110"/>
        <v>0</v>
      </c>
      <c r="AQ168" s="770">
        <f t="shared" si="110"/>
        <v>0</v>
      </c>
      <c r="AR168" s="770">
        <f t="shared" si="110"/>
        <v>0</v>
      </c>
      <c r="AS168" s="770">
        <f t="shared" si="110"/>
        <v>0</v>
      </c>
      <c r="AT168" s="770">
        <f t="shared" si="110"/>
        <v>0</v>
      </c>
      <c r="AU168" s="770">
        <f t="shared" si="110"/>
        <v>0</v>
      </c>
      <c r="AV168" s="770">
        <f t="shared" si="110"/>
        <v>0</v>
      </c>
      <c r="AW168" s="770">
        <f t="shared" si="110"/>
        <v>0</v>
      </c>
      <c r="AX168" s="770">
        <f t="shared" si="110"/>
        <v>0</v>
      </c>
      <c r="AY168" s="770">
        <f t="shared" si="110"/>
        <v>0</v>
      </c>
      <c r="AZ168" s="770">
        <f t="shared" si="110"/>
        <v>0</v>
      </c>
      <c r="BA168" s="770">
        <f t="shared" si="110"/>
        <v>0</v>
      </c>
      <c r="BB168" s="770">
        <f t="shared" si="110"/>
        <v>0</v>
      </c>
      <c r="BC168" s="770">
        <f t="shared" si="110"/>
        <v>0</v>
      </c>
      <c r="BD168" s="770">
        <f t="shared" si="110"/>
        <v>0</v>
      </c>
      <c r="BE168" s="770">
        <f t="shared" si="110"/>
        <v>0</v>
      </c>
    </row>
    <row r="169" spans="1:57" s="734" customFormat="1" ht="13.15" hidden="1" customHeight="1" outlineLevel="2" x14ac:dyDescent="0.2">
      <c r="A169" s="732"/>
      <c r="B169" s="732"/>
      <c r="C169" s="732"/>
      <c r="D169" s="732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  <c r="AJ169" s="114"/>
      <c r="AK169" s="114"/>
      <c r="AL169" s="114"/>
      <c r="AM169" s="114"/>
      <c r="AN169" s="114"/>
      <c r="AO169" s="114"/>
      <c r="AP169" s="114"/>
      <c r="AQ169" s="114"/>
      <c r="AR169" s="114"/>
      <c r="AS169" s="114"/>
      <c r="AT169" s="114"/>
      <c r="AU169" s="114"/>
      <c r="AV169" s="114"/>
      <c r="AW169" s="114"/>
      <c r="AX169" s="114"/>
      <c r="AY169" s="114"/>
      <c r="AZ169" s="114"/>
      <c r="BA169" s="114"/>
      <c r="BB169" s="114"/>
      <c r="BC169" s="114"/>
      <c r="BD169" s="114"/>
      <c r="BE169" s="114"/>
    </row>
    <row r="170" spans="1:57" s="734" customFormat="1" ht="13.15" hidden="1" customHeight="1" outlineLevel="2" x14ac:dyDescent="0.2">
      <c r="A170" s="732"/>
      <c r="B170" s="732"/>
      <c r="C170" s="732"/>
      <c r="D170" s="732"/>
      <c r="E170" s="742" t="str">
        <f t="shared" ref="E170:AJ170" si="111" xml:space="preserve"> E$164</f>
        <v>Equity bridge upfront fee</v>
      </c>
      <c r="F170" s="742">
        <f t="shared" si="111"/>
        <v>0</v>
      </c>
      <c r="G170" s="742" t="str">
        <f t="shared" si="111"/>
        <v>$ 000s</v>
      </c>
      <c r="H170" s="742">
        <f t="shared" si="111"/>
        <v>1294.7739489543146</v>
      </c>
      <c r="I170" s="742">
        <f t="shared" si="111"/>
        <v>0</v>
      </c>
      <c r="J170" s="742">
        <f t="shared" si="111"/>
        <v>0</v>
      </c>
      <c r="K170" s="742">
        <f t="shared" si="111"/>
        <v>0</v>
      </c>
      <c r="L170" s="742">
        <f t="shared" si="111"/>
        <v>0</v>
      </c>
      <c r="M170" s="742">
        <f t="shared" si="111"/>
        <v>1294.7739489543146</v>
      </c>
      <c r="N170" s="742">
        <f t="shared" si="111"/>
        <v>0</v>
      </c>
      <c r="O170" s="742">
        <f t="shared" si="111"/>
        <v>0</v>
      </c>
      <c r="P170" s="742">
        <f t="shared" si="111"/>
        <v>0</v>
      </c>
      <c r="Q170" s="742">
        <f t="shared" si="111"/>
        <v>0</v>
      </c>
      <c r="R170" s="742">
        <f t="shared" si="111"/>
        <v>0</v>
      </c>
      <c r="S170" s="742">
        <f t="shared" si="111"/>
        <v>0</v>
      </c>
      <c r="T170" s="742">
        <f t="shared" si="111"/>
        <v>0</v>
      </c>
      <c r="U170" s="742">
        <f t="shared" si="111"/>
        <v>0</v>
      </c>
      <c r="V170" s="742">
        <f t="shared" si="111"/>
        <v>0</v>
      </c>
      <c r="W170" s="742">
        <f t="shared" si="111"/>
        <v>0</v>
      </c>
      <c r="X170" s="742">
        <f t="shared" si="111"/>
        <v>0</v>
      </c>
      <c r="Y170" s="742">
        <f t="shared" si="111"/>
        <v>0</v>
      </c>
      <c r="Z170" s="742">
        <f t="shared" si="111"/>
        <v>0</v>
      </c>
      <c r="AA170" s="742">
        <f t="shared" si="111"/>
        <v>0</v>
      </c>
      <c r="AB170" s="742">
        <f t="shared" si="111"/>
        <v>0</v>
      </c>
      <c r="AC170" s="742">
        <f t="shared" si="111"/>
        <v>0</v>
      </c>
      <c r="AD170" s="742">
        <f t="shared" si="111"/>
        <v>0</v>
      </c>
      <c r="AE170" s="742">
        <f t="shared" si="111"/>
        <v>0</v>
      </c>
      <c r="AF170" s="742">
        <f t="shared" si="111"/>
        <v>0</v>
      </c>
      <c r="AG170" s="742">
        <f t="shared" si="111"/>
        <v>0</v>
      </c>
      <c r="AH170" s="742">
        <f t="shared" si="111"/>
        <v>0</v>
      </c>
      <c r="AI170" s="742">
        <f t="shared" si="111"/>
        <v>0</v>
      </c>
      <c r="AJ170" s="742">
        <f t="shared" si="111"/>
        <v>0</v>
      </c>
      <c r="AK170" s="742">
        <f t="shared" ref="AK170:BE170" si="112" xml:space="preserve"> AK$164</f>
        <v>0</v>
      </c>
      <c r="AL170" s="742">
        <f t="shared" si="112"/>
        <v>0</v>
      </c>
      <c r="AM170" s="742">
        <f t="shared" si="112"/>
        <v>0</v>
      </c>
      <c r="AN170" s="742">
        <f t="shared" si="112"/>
        <v>0</v>
      </c>
      <c r="AO170" s="742">
        <f t="shared" si="112"/>
        <v>0</v>
      </c>
      <c r="AP170" s="742">
        <f t="shared" si="112"/>
        <v>0</v>
      </c>
      <c r="AQ170" s="742">
        <f t="shared" si="112"/>
        <v>0</v>
      </c>
      <c r="AR170" s="742">
        <f t="shared" si="112"/>
        <v>0</v>
      </c>
      <c r="AS170" s="742">
        <f t="shared" si="112"/>
        <v>0</v>
      </c>
      <c r="AT170" s="742">
        <f t="shared" si="112"/>
        <v>0</v>
      </c>
      <c r="AU170" s="742">
        <f t="shared" si="112"/>
        <v>0</v>
      </c>
      <c r="AV170" s="742">
        <f t="shared" si="112"/>
        <v>0</v>
      </c>
      <c r="AW170" s="742">
        <f t="shared" si="112"/>
        <v>0</v>
      </c>
      <c r="AX170" s="742">
        <f t="shared" si="112"/>
        <v>0</v>
      </c>
      <c r="AY170" s="742">
        <f t="shared" si="112"/>
        <v>0</v>
      </c>
      <c r="AZ170" s="742">
        <f t="shared" si="112"/>
        <v>0</v>
      </c>
      <c r="BA170" s="742">
        <f t="shared" si="112"/>
        <v>0</v>
      </c>
      <c r="BB170" s="742">
        <f t="shared" si="112"/>
        <v>0</v>
      </c>
      <c r="BC170" s="742">
        <f t="shared" si="112"/>
        <v>0</v>
      </c>
      <c r="BD170" s="742">
        <f t="shared" si="112"/>
        <v>0</v>
      </c>
      <c r="BE170" s="742">
        <f t="shared" si="112"/>
        <v>0</v>
      </c>
    </row>
    <row r="171" spans="1:57" s="734" customFormat="1" ht="13.15" hidden="1" customHeight="1" outlineLevel="2" x14ac:dyDescent="0.2">
      <c r="A171" s="732"/>
      <c r="B171" s="732"/>
      <c r="C171" s="732"/>
      <c r="D171" s="732"/>
      <c r="E171" s="742" t="str">
        <f t="shared" ref="E171:AJ171" si="113" xml:space="preserve"> E$168</f>
        <v>Equity bridge upfront fee - paid</v>
      </c>
      <c r="F171" s="742">
        <f t="shared" si="113"/>
        <v>0</v>
      </c>
      <c r="G171" s="742" t="str">
        <f t="shared" si="113"/>
        <v>$ 000s</v>
      </c>
      <c r="H171" s="742">
        <f t="shared" si="113"/>
        <v>1294.7739489543146</v>
      </c>
      <c r="I171" s="742">
        <f t="shared" si="113"/>
        <v>0</v>
      </c>
      <c r="J171" s="742">
        <f t="shared" si="113"/>
        <v>0</v>
      </c>
      <c r="K171" s="742">
        <f t="shared" si="113"/>
        <v>0</v>
      </c>
      <c r="L171" s="742">
        <f t="shared" si="113"/>
        <v>0</v>
      </c>
      <c r="M171" s="742">
        <f t="shared" si="113"/>
        <v>1294.7739489543146</v>
      </c>
      <c r="N171" s="742">
        <f t="shared" si="113"/>
        <v>0</v>
      </c>
      <c r="O171" s="742">
        <f t="shared" si="113"/>
        <v>0</v>
      </c>
      <c r="P171" s="742">
        <f t="shared" si="113"/>
        <v>0</v>
      </c>
      <c r="Q171" s="742">
        <f t="shared" si="113"/>
        <v>0</v>
      </c>
      <c r="R171" s="742">
        <f t="shared" si="113"/>
        <v>0</v>
      </c>
      <c r="S171" s="742">
        <f t="shared" si="113"/>
        <v>0</v>
      </c>
      <c r="T171" s="742">
        <f t="shared" si="113"/>
        <v>0</v>
      </c>
      <c r="U171" s="742">
        <f t="shared" si="113"/>
        <v>0</v>
      </c>
      <c r="V171" s="742">
        <f t="shared" si="113"/>
        <v>0</v>
      </c>
      <c r="W171" s="742">
        <f t="shared" si="113"/>
        <v>0</v>
      </c>
      <c r="X171" s="742">
        <f t="shared" si="113"/>
        <v>0</v>
      </c>
      <c r="Y171" s="742">
        <f t="shared" si="113"/>
        <v>0</v>
      </c>
      <c r="Z171" s="742">
        <f t="shared" si="113"/>
        <v>0</v>
      </c>
      <c r="AA171" s="742">
        <f t="shared" si="113"/>
        <v>0</v>
      </c>
      <c r="AB171" s="742">
        <f t="shared" si="113"/>
        <v>0</v>
      </c>
      <c r="AC171" s="742">
        <f t="shared" si="113"/>
        <v>0</v>
      </c>
      <c r="AD171" s="742">
        <f t="shared" si="113"/>
        <v>0</v>
      </c>
      <c r="AE171" s="742">
        <f t="shared" si="113"/>
        <v>0</v>
      </c>
      <c r="AF171" s="742">
        <f t="shared" si="113"/>
        <v>0</v>
      </c>
      <c r="AG171" s="742">
        <f t="shared" si="113"/>
        <v>0</v>
      </c>
      <c r="AH171" s="742">
        <f t="shared" si="113"/>
        <v>0</v>
      </c>
      <c r="AI171" s="742">
        <f t="shared" si="113"/>
        <v>0</v>
      </c>
      <c r="AJ171" s="742">
        <f t="shared" si="113"/>
        <v>0</v>
      </c>
      <c r="AK171" s="742">
        <f t="shared" ref="AK171:BE171" si="114" xml:space="preserve"> AK$168</f>
        <v>0</v>
      </c>
      <c r="AL171" s="742">
        <f t="shared" si="114"/>
        <v>0</v>
      </c>
      <c r="AM171" s="742">
        <f t="shared" si="114"/>
        <v>0</v>
      </c>
      <c r="AN171" s="742">
        <f t="shared" si="114"/>
        <v>0</v>
      </c>
      <c r="AO171" s="742">
        <f t="shared" si="114"/>
        <v>0</v>
      </c>
      <c r="AP171" s="742">
        <f t="shared" si="114"/>
        <v>0</v>
      </c>
      <c r="AQ171" s="742">
        <f t="shared" si="114"/>
        <v>0</v>
      </c>
      <c r="AR171" s="742">
        <f t="shared" si="114"/>
        <v>0</v>
      </c>
      <c r="AS171" s="742">
        <f t="shared" si="114"/>
        <v>0</v>
      </c>
      <c r="AT171" s="742">
        <f t="shared" si="114"/>
        <v>0</v>
      </c>
      <c r="AU171" s="742">
        <f t="shared" si="114"/>
        <v>0</v>
      </c>
      <c r="AV171" s="742">
        <f t="shared" si="114"/>
        <v>0</v>
      </c>
      <c r="AW171" s="742">
        <f t="shared" si="114"/>
        <v>0</v>
      </c>
      <c r="AX171" s="742">
        <f t="shared" si="114"/>
        <v>0</v>
      </c>
      <c r="AY171" s="742">
        <f t="shared" si="114"/>
        <v>0</v>
      </c>
      <c r="AZ171" s="742">
        <f t="shared" si="114"/>
        <v>0</v>
      </c>
      <c r="BA171" s="742">
        <f t="shared" si="114"/>
        <v>0</v>
      </c>
      <c r="BB171" s="742">
        <f t="shared" si="114"/>
        <v>0</v>
      </c>
      <c r="BC171" s="742">
        <f t="shared" si="114"/>
        <v>0</v>
      </c>
      <c r="BD171" s="742">
        <f t="shared" si="114"/>
        <v>0</v>
      </c>
      <c r="BE171" s="742">
        <f t="shared" si="114"/>
        <v>0</v>
      </c>
    </row>
    <row r="172" spans="1:57" s="734" customFormat="1" ht="13.15" hidden="1" customHeight="1" outlineLevel="2" x14ac:dyDescent="0.2">
      <c r="A172" s="732"/>
      <c r="B172" s="732"/>
      <c r="C172" s="732"/>
      <c r="D172" s="732"/>
      <c r="E172" s="742" t="s">
        <v>530</v>
      </c>
      <c r="F172" s="742"/>
      <c r="G172" s="742" t="str">
        <f>SMU</f>
        <v>$ 000s</v>
      </c>
      <c r="H172" s="742">
        <f xml:space="preserve"> SUM(J172:BE172)</f>
        <v>0</v>
      </c>
      <c r="I172" s="114"/>
      <c r="J172" s="742">
        <f t="shared" ref="J172:BE172" si="115" xml:space="preserve"> J170 - J171</f>
        <v>0</v>
      </c>
      <c r="K172" s="742">
        <f t="shared" si="115"/>
        <v>0</v>
      </c>
      <c r="L172" s="742">
        <f t="shared" si="115"/>
        <v>0</v>
      </c>
      <c r="M172" s="742">
        <f t="shared" si="115"/>
        <v>0</v>
      </c>
      <c r="N172" s="742">
        <f t="shared" si="115"/>
        <v>0</v>
      </c>
      <c r="O172" s="742">
        <f t="shared" si="115"/>
        <v>0</v>
      </c>
      <c r="P172" s="742">
        <f t="shared" si="115"/>
        <v>0</v>
      </c>
      <c r="Q172" s="742">
        <f t="shared" si="115"/>
        <v>0</v>
      </c>
      <c r="R172" s="742">
        <f t="shared" si="115"/>
        <v>0</v>
      </c>
      <c r="S172" s="742">
        <f t="shared" si="115"/>
        <v>0</v>
      </c>
      <c r="T172" s="742">
        <f t="shared" si="115"/>
        <v>0</v>
      </c>
      <c r="U172" s="742">
        <f t="shared" si="115"/>
        <v>0</v>
      </c>
      <c r="V172" s="742">
        <f t="shared" si="115"/>
        <v>0</v>
      </c>
      <c r="W172" s="742">
        <f t="shared" si="115"/>
        <v>0</v>
      </c>
      <c r="X172" s="742">
        <f t="shared" si="115"/>
        <v>0</v>
      </c>
      <c r="Y172" s="742">
        <f t="shared" si="115"/>
        <v>0</v>
      </c>
      <c r="Z172" s="742">
        <f t="shared" si="115"/>
        <v>0</v>
      </c>
      <c r="AA172" s="742">
        <f t="shared" si="115"/>
        <v>0</v>
      </c>
      <c r="AB172" s="742">
        <f t="shared" si="115"/>
        <v>0</v>
      </c>
      <c r="AC172" s="742">
        <f t="shared" si="115"/>
        <v>0</v>
      </c>
      <c r="AD172" s="742">
        <f t="shared" si="115"/>
        <v>0</v>
      </c>
      <c r="AE172" s="742">
        <f t="shared" si="115"/>
        <v>0</v>
      </c>
      <c r="AF172" s="742">
        <f t="shared" si="115"/>
        <v>0</v>
      </c>
      <c r="AG172" s="742">
        <f t="shared" si="115"/>
        <v>0</v>
      </c>
      <c r="AH172" s="742">
        <f t="shared" si="115"/>
        <v>0</v>
      </c>
      <c r="AI172" s="742">
        <f t="shared" si="115"/>
        <v>0</v>
      </c>
      <c r="AJ172" s="742">
        <f t="shared" si="115"/>
        <v>0</v>
      </c>
      <c r="AK172" s="742">
        <f t="shared" si="115"/>
        <v>0</v>
      </c>
      <c r="AL172" s="742">
        <f t="shared" si="115"/>
        <v>0</v>
      </c>
      <c r="AM172" s="742">
        <f t="shared" si="115"/>
        <v>0</v>
      </c>
      <c r="AN172" s="742">
        <f t="shared" si="115"/>
        <v>0</v>
      </c>
      <c r="AO172" s="742">
        <f t="shared" si="115"/>
        <v>0</v>
      </c>
      <c r="AP172" s="742">
        <f t="shared" si="115"/>
        <v>0</v>
      </c>
      <c r="AQ172" s="742">
        <f t="shared" si="115"/>
        <v>0</v>
      </c>
      <c r="AR172" s="742">
        <f t="shared" si="115"/>
        <v>0</v>
      </c>
      <c r="AS172" s="742">
        <f t="shared" si="115"/>
        <v>0</v>
      </c>
      <c r="AT172" s="742">
        <f t="shared" si="115"/>
        <v>0</v>
      </c>
      <c r="AU172" s="742">
        <f t="shared" si="115"/>
        <v>0</v>
      </c>
      <c r="AV172" s="742">
        <f t="shared" si="115"/>
        <v>0</v>
      </c>
      <c r="AW172" s="742">
        <f t="shared" si="115"/>
        <v>0</v>
      </c>
      <c r="AX172" s="742">
        <f t="shared" si="115"/>
        <v>0</v>
      </c>
      <c r="AY172" s="742">
        <f t="shared" si="115"/>
        <v>0</v>
      </c>
      <c r="AZ172" s="742">
        <f t="shared" si="115"/>
        <v>0</v>
      </c>
      <c r="BA172" s="742">
        <f t="shared" si="115"/>
        <v>0</v>
      </c>
      <c r="BB172" s="742">
        <f t="shared" si="115"/>
        <v>0</v>
      </c>
      <c r="BC172" s="742">
        <f t="shared" si="115"/>
        <v>0</v>
      </c>
      <c r="BD172" s="742">
        <f t="shared" si="115"/>
        <v>0</v>
      </c>
      <c r="BE172" s="742">
        <f t="shared" si="115"/>
        <v>0</v>
      </c>
    </row>
    <row r="173" spans="1:57" s="734" customFormat="1" ht="13.15" hidden="1" customHeight="1" outlineLevel="1" x14ac:dyDescent="0.2">
      <c r="A173" s="732"/>
      <c r="B173" s="732"/>
      <c r="C173" s="732"/>
      <c r="D173" s="732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  <c r="AJ173" s="114"/>
      <c r="AK173" s="114"/>
      <c r="AL173" s="114"/>
      <c r="AM173" s="114"/>
      <c r="AN173" s="114"/>
      <c r="AO173" s="114"/>
      <c r="AP173" s="114"/>
      <c r="AQ173" s="114"/>
      <c r="AR173" s="114"/>
      <c r="AS173" s="114"/>
      <c r="AT173" s="114"/>
      <c r="AU173" s="114"/>
      <c r="AV173" s="114"/>
      <c r="AW173" s="114"/>
      <c r="AX173" s="114"/>
      <c r="AY173" s="114"/>
      <c r="AZ173" s="114"/>
      <c r="BA173" s="114"/>
      <c r="BB173" s="114"/>
      <c r="BC173" s="114"/>
      <c r="BD173" s="114"/>
      <c r="BE173" s="114"/>
    </row>
    <row r="174" spans="1:57" s="734" customFormat="1" ht="13.15" hidden="1" customHeight="1" outlineLevel="1" x14ac:dyDescent="0.2">
      <c r="A174" s="732"/>
      <c r="B174" s="763" t="s">
        <v>509</v>
      </c>
      <c r="C174" s="732"/>
      <c r="D174" s="732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  <c r="AJ174" s="114"/>
      <c r="AK174" s="114"/>
      <c r="AL174" s="114"/>
      <c r="AM174" s="114"/>
      <c r="AN174" s="114"/>
      <c r="AO174" s="114"/>
      <c r="AP174" s="114"/>
      <c r="AQ174" s="114"/>
      <c r="AR174" s="114"/>
      <c r="AS174" s="114"/>
      <c r="AT174" s="114"/>
      <c r="AU174" s="114"/>
      <c r="AV174" s="114"/>
      <c r="AW174" s="114"/>
      <c r="AX174" s="114"/>
      <c r="AY174" s="114"/>
      <c r="AZ174" s="114"/>
      <c r="BA174" s="114"/>
      <c r="BB174" s="114"/>
      <c r="BC174" s="114"/>
      <c r="BD174" s="114"/>
      <c r="BE174" s="114"/>
    </row>
    <row r="175" spans="1:57" s="734" customFormat="1" ht="13.15" hidden="1" customHeight="1" outlineLevel="2" x14ac:dyDescent="0.2">
      <c r="A175" s="787"/>
      <c r="B175" s="787"/>
      <c r="C175" s="787"/>
      <c r="D175" s="787"/>
      <c r="E175" s="792" t="str">
        <f xml:space="preserve"> Solve!E$49</f>
        <v>EBL requirement fixed</v>
      </c>
      <c r="F175" s="792">
        <f xml:space="preserve"> Solve!F$49</f>
        <v>86318.263263620975</v>
      </c>
      <c r="G175" s="792" t="str">
        <f xml:space="preserve"> Solve!G$49</f>
        <v>$ 000s</v>
      </c>
      <c r="H175" s="788"/>
      <c r="I175" s="788"/>
      <c r="J175" s="788"/>
      <c r="K175" s="788"/>
      <c r="L175" s="788"/>
      <c r="M175" s="788"/>
      <c r="N175" s="788"/>
      <c r="O175" s="788"/>
      <c r="P175" s="788"/>
      <c r="Q175" s="788"/>
      <c r="R175" s="788"/>
      <c r="S175" s="788"/>
      <c r="T175" s="788"/>
      <c r="U175" s="788"/>
      <c r="V175" s="788"/>
      <c r="W175" s="788"/>
      <c r="X175" s="788"/>
      <c r="Y175" s="788"/>
      <c r="Z175" s="788"/>
      <c r="AA175" s="788"/>
      <c r="AB175" s="788"/>
      <c r="AC175" s="788"/>
      <c r="AD175" s="788"/>
      <c r="AE175" s="788"/>
      <c r="AF175" s="788"/>
      <c r="AG175" s="788"/>
      <c r="AH175" s="788"/>
      <c r="AI175" s="788"/>
      <c r="AJ175" s="788"/>
      <c r="AK175" s="788"/>
      <c r="AL175" s="788"/>
      <c r="AM175" s="788"/>
      <c r="AN175" s="788"/>
      <c r="AO175" s="788"/>
      <c r="AP175" s="788"/>
      <c r="AQ175" s="788"/>
      <c r="AR175" s="788"/>
      <c r="AS175" s="788"/>
      <c r="AT175" s="788"/>
      <c r="AU175" s="788"/>
      <c r="AV175" s="788"/>
      <c r="AW175" s="788"/>
      <c r="AX175" s="788"/>
      <c r="AY175" s="788"/>
      <c r="AZ175" s="788"/>
      <c r="BA175" s="788"/>
      <c r="BB175" s="788"/>
      <c r="BC175" s="788"/>
      <c r="BD175" s="788"/>
      <c r="BE175" s="788"/>
    </row>
    <row r="176" spans="1:57" s="734" customFormat="1" ht="13.15" hidden="1" customHeight="1" outlineLevel="2" x14ac:dyDescent="0.2">
      <c r="A176" s="732"/>
      <c r="B176" s="732"/>
      <c r="C176" s="732"/>
      <c r="D176" s="732"/>
      <c r="E176" s="740" t="str">
        <f t="shared" ref="E176:AJ176" si="116" xml:space="preserve"> E$119</f>
        <v>Equity bridge balance BEG</v>
      </c>
      <c r="F176" s="740">
        <f t="shared" si="116"/>
        <v>0</v>
      </c>
      <c r="G176" s="740" t="str">
        <f t="shared" si="116"/>
        <v>$ 000s</v>
      </c>
      <c r="H176" s="740">
        <f t="shared" si="116"/>
        <v>0</v>
      </c>
      <c r="I176" s="740">
        <f t="shared" si="116"/>
        <v>0</v>
      </c>
      <c r="J176" s="740">
        <f t="shared" si="116"/>
        <v>0</v>
      </c>
      <c r="K176" s="740">
        <f t="shared" si="116"/>
        <v>0</v>
      </c>
      <c r="L176" s="740">
        <f t="shared" si="116"/>
        <v>0</v>
      </c>
      <c r="M176" s="740">
        <f t="shared" si="116"/>
        <v>0</v>
      </c>
      <c r="N176" s="740">
        <f t="shared" si="116"/>
        <v>14843.424770244494</v>
      </c>
      <c r="O176" s="740">
        <f t="shared" si="116"/>
        <v>26684.752578629137</v>
      </c>
      <c r="P176" s="740">
        <f t="shared" si="116"/>
        <v>38555.01232134179</v>
      </c>
      <c r="Q176" s="740">
        <f t="shared" si="116"/>
        <v>50462.699642029038</v>
      </c>
      <c r="R176" s="740">
        <f t="shared" si="116"/>
        <v>62403.711948719851</v>
      </c>
      <c r="S176" s="740">
        <f t="shared" si="116"/>
        <v>74370.710539611682</v>
      </c>
      <c r="T176" s="740">
        <f t="shared" si="116"/>
        <v>86318.253106861201</v>
      </c>
      <c r="U176" s="740">
        <f t="shared" si="116"/>
        <v>86318.253106861201</v>
      </c>
      <c r="V176" s="740">
        <f t="shared" si="116"/>
        <v>86318.253106861201</v>
      </c>
      <c r="W176" s="740">
        <f t="shared" si="116"/>
        <v>86318.253106861201</v>
      </c>
      <c r="X176" s="740">
        <f t="shared" si="116"/>
        <v>86318.253106861201</v>
      </c>
      <c r="Y176" s="740">
        <f t="shared" si="116"/>
        <v>86318.253106861201</v>
      </c>
      <c r="Z176" s="740">
        <f t="shared" si="116"/>
        <v>86318.253106861201</v>
      </c>
      <c r="AA176" s="740">
        <f t="shared" si="116"/>
        <v>86318.253106861201</v>
      </c>
      <c r="AB176" s="740">
        <f t="shared" si="116"/>
        <v>86318.253106861201</v>
      </c>
      <c r="AC176" s="740">
        <f t="shared" si="116"/>
        <v>86318.253106861201</v>
      </c>
      <c r="AD176" s="740">
        <f t="shared" si="116"/>
        <v>86318.253106861201</v>
      </c>
      <c r="AE176" s="740">
        <f t="shared" si="116"/>
        <v>86318.253106861201</v>
      </c>
      <c r="AF176" s="740">
        <f t="shared" si="116"/>
        <v>86318.253106861201</v>
      </c>
      <c r="AG176" s="740">
        <f t="shared" si="116"/>
        <v>86318.253106861201</v>
      </c>
      <c r="AH176" s="740">
        <f t="shared" si="116"/>
        <v>86318.253106861201</v>
      </c>
      <c r="AI176" s="740">
        <f t="shared" si="116"/>
        <v>86318.253106861201</v>
      </c>
      <c r="AJ176" s="740">
        <f t="shared" si="116"/>
        <v>86318.253106861201</v>
      </c>
      <c r="AK176" s="740">
        <f t="shared" ref="AK176:BE176" si="117" xml:space="preserve"> AK$119</f>
        <v>86318.253106861201</v>
      </c>
      <c r="AL176" s="740">
        <f t="shared" si="117"/>
        <v>86318.253106861201</v>
      </c>
      <c r="AM176" s="740">
        <f t="shared" si="117"/>
        <v>86318.253106861201</v>
      </c>
      <c r="AN176" s="740">
        <f t="shared" si="117"/>
        <v>0</v>
      </c>
      <c r="AO176" s="740">
        <f t="shared" si="117"/>
        <v>0</v>
      </c>
      <c r="AP176" s="740">
        <f t="shared" si="117"/>
        <v>0</v>
      </c>
      <c r="AQ176" s="740">
        <f t="shared" si="117"/>
        <v>0</v>
      </c>
      <c r="AR176" s="740">
        <f t="shared" si="117"/>
        <v>0</v>
      </c>
      <c r="AS176" s="740">
        <f t="shared" si="117"/>
        <v>0</v>
      </c>
      <c r="AT176" s="740">
        <f t="shared" si="117"/>
        <v>0</v>
      </c>
      <c r="AU176" s="740">
        <f t="shared" si="117"/>
        <v>0</v>
      </c>
      <c r="AV176" s="740">
        <f t="shared" si="117"/>
        <v>0</v>
      </c>
      <c r="AW176" s="740">
        <f t="shared" si="117"/>
        <v>0</v>
      </c>
      <c r="AX176" s="740">
        <f t="shared" si="117"/>
        <v>0</v>
      </c>
      <c r="AY176" s="740">
        <f t="shared" si="117"/>
        <v>0</v>
      </c>
      <c r="AZ176" s="740">
        <f t="shared" si="117"/>
        <v>0</v>
      </c>
      <c r="BA176" s="740">
        <f t="shared" si="117"/>
        <v>0</v>
      </c>
      <c r="BB176" s="740">
        <f t="shared" si="117"/>
        <v>0</v>
      </c>
      <c r="BC176" s="740">
        <f t="shared" si="117"/>
        <v>0</v>
      </c>
      <c r="BD176" s="740">
        <f t="shared" si="117"/>
        <v>0</v>
      </c>
      <c r="BE176" s="740">
        <f t="shared" si="117"/>
        <v>0</v>
      </c>
    </row>
    <row r="177" spans="1:57" s="734" customFormat="1" ht="13.15" hidden="1" customHeight="1" outlineLevel="2" x14ac:dyDescent="0.2">
      <c r="A177" s="732"/>
      <c r="B177" s="732"/>
      <c r="C177" s="732"/>
      <c r="D177" s="732"/>
      <c r="E177" s="740" t="str">
        <f t="shared" ref="E177:AJ177" si="118" xml:space="preserve"> E$116</f>
        <v>Equity bridge drawdown - m</v>
      </c>
      <c r="F177" s="740">
        <f t="shared" si="118"/>
        <v>0</v>
      </c>
      <c r="G177" s="740" t="str">
        <f t="shared" si="118"/>
        <v>$ 000s</v>
      </c>
      <c r="H177" s="740">
        <f t="shared" si="118"/>
        <v>86318.253106861201</v>
      </c>
      <c r="I177" s="740">
        <f t="shared" si="118"/>
        <v>0</v>
      </c>
      <c r="J177" s="740">
        <f t="shared" si="118"/>
        <v>0</v>
      </c>
      <c r="K177" s="740">
        <f t="shared" si="118"/>
        <v>0</v>
      </c>
      <c r="L177" s="740">
        <f t="shared" si="118"/>
        <v>0</v>
      </c>
      <c r="M177" s="740">
        <f t="shared" si="118"/>
        <v>14843.424770244494</v>
      </c>
      <c r="N177" s="740">
        <f t="shared" si="118"/>
        <v>11841.327808384644</v>
      </c>
      <c r="O177" s="740">
        <f t="shared" si="118"/>
        <v>11870.259742712651</v>
      </c>
      <c r="P177" s="740">
        <f t="shared" si="118"/>
        <v>11907.687320687248</v>
      </c>
      <c r="Q177" s="740">
        <f t="shared" si="118"/>
        <v>11941.012306690816</v>
      </c>
      <c r="R177" s="740">
        <f t="shared" si="118"/>
        <v>11966.998590891828</v>
      </c>
      <c r="S177" s="740">
        <f t="shared" si="118"/>
        <v>11947.542567249518</v>
      </c>
      <c r="T177" s="740">
        <f t="shared" si="118"/>
        <v>0</v>
      </c>
      <c r="U177" s="740">
        <f t="shared" si="118"/>
        <v>0</v>
      </c>
      <c r="V177" s="740">
        <f t="shared" si="118"/>
        <v>0</v>
      </c>
      <c r="W177" s="740">
        <f t="shared" si="118"/>
        <v>0</v>
      </c>
      <c r="X177" s="740">
        <f t="shared" si="118"/>
        <v>0</v>
      </c>
      <c r="Y177" s="740">
        <f t="shared" si="118"/>
        <v>0</v>
      </c>
      <c r="Z177" s="740">
        <f t="shared" si="118"/>
        <v>0</v>
      </c>
      <c r="AA177" s="740">
        <f t="shared" si="118"/>
        <v>0</v>
      </c>
      <c r="AB177" s="740">
        <f t="shared" si="118"/>
        <v>0</v>
      </c>
      <c r="AC177" s="740">
        <f t="shared" si="118"/>
        <v>0</v>
      </c>
      <c r="AD177" s="740">
        <f t="shared" si="118"/>
        <v>0</v>
      </c>
      <c r="AE177" s="740">
        <f t="shared" si="118"/>
        <v>0</v>
      </c>
      <c r="AF177" s="740">
        <f t="shared" si="118"/>
        <v>0</v>
      </c>
      <c r="AG177" s="740">
        <f t="shared" si="118"/>
        <v>0</v>
      </c>
      <c r="AH177" s="740">
        <f t="shared" si="118"/>
        <v>0</v>
      </c>
      <c r="AI177" s="740">
        <f t="shared" si="118"/>
        <v>0</v>
      </c>
      <c r="AJ177" s="740">
        <f t="shared" si="118"/>
        <v>0</v>
      </c>
      <c r="AK177" s="740">
        <f t="shared" ref="AK177:BE177" si="119" xml:space="preserve"> AK$116</f>
        <v>0</v>
      </c>
      <c r="AL177" s="740">
        <f t="shared" si="119"/>
        <v>0</v>
      </c>
      <c r="AM177" s="740">
        <f t="shared" si="119"/>
        <v>0</v>
      </c>
      <c r="AN177" s="740">
        <f t="shared" si="119"/>
        <v>0</v>
      </c>
      <c r="AO177" s="740">
        <f t="shared" si="119"/>
        <v>0</v>
      </c>
      <c r="AP177" s="740">
        <f t="shared" si="119"/>
        <v>0</v>
      </c>
      <c r="AQ177" s="740">
        <f t="shared" si="119"/>
        <v>0</v>
      </c>
      <c r="AR177" s="740">
        <f t="shared" si="119"/>
        <v>0</v>
      </c>
      <c r="AS177" s="740">
        <f t="shared" si="119"/>
        <v>0</v>
      </c>
      <c r="AT177" s="740">
        <f t="shared" si="119"/>
        <v>0</v>
      </c>
      <c r="AU177" s="740">
        <f t="shared" si="119"/>
        <v>0</v>
      </c>
      <c r="AV177" s="740">
        <f t="shared" si="119"/>
        <v>0</v>
      </c>
      <c r="AW177" s="740">
        <f t="shared" si="119"/>
        <v>0</v>
      </c>
      <c r="AX177" s="740">
        <f t="shared" si="119"/>
        <v>0</v>
      </c>
      <c r="AY177" s="740">
        <f t="shared" si="119"/>
        <v>0</v>
      </c>
      <c r="AZ177" s="740">
        <f t="shared" si="119"/>
        <v>0</v>
      </c>
      <c r="BA177" s="740">
        <f t="shared" si="119"/>
        <v>0</v>
      </c>
      <c r="BB177" s="740">
        <f t="shared" si="119"/>
        <v>0</v>
      </c>
      <c r="BC177" s="740">
        <f t="shared" si="119"/>
        <v>0</v>
      </c>
      <c r="BD177" s="740">
        <f t="shared" si="119"/>
        <v>0</v>
      </c>
      <c r="BE177" s="740">
        <f t="shared" si="119"/>
        <v>0</v>
      </c>
    </row>
    <row r="178" spans="1:57" s="734" customFormat="1" ht="13.15" hidden="1" customHeight="1" outlineLevel="2" x14ac:dyDescent="0.2">
      <c r="A178" s="787"/>
      <c r="B178" s="787"/>
      <c r="C178" s="787"/>
      <c r="D178" s="787"/>
      <c r="E178" s="793" t="str">
        <f xml:space="preserve"> ConTime!E$64</f>
        <v>Financial close date flag - m</v>
      </c>
      <c r="F178" s="793">
        <f xml:space="preserve"> ConTime!F$64</f>
        <v>0</v>
      </c>
      <c r="G178" s="793" t="str">
        <f xml:space="preserve"> ConTime!G$64</f>
        <v>flag</v>
      </c>
      <c r="H178" s="793">
        <f xml:space="preserve"> ConTime!H$64</f>
        <v>1</v>
      </c>
      <c r="I178" s="793">
        <f xml:space="preserve"> ConTime!I$64</f>
        <v>0</v>
      </c>
      <c r="J178" s="793">
        <f xml:space="preserve"> ConTime!J$64</f>
        <v>0</v>
      </c>
      <c r="K178" s="793">
        <f xml:space="preserve"> ConTime!K$64</f>
        <v>0</v>
      </c>
      <c r="L178" s="793">
        <f xml:space="preserve"> ConTime!L$64</f>
        <v>0</v>
      </c>
      <c r="M178" s="793">
        <f xml:space="preserve"> ConTime!M$64</f>
        <v>1</v>
      </c>
      <c r="N178" s="793">
        <f xml:space="preserve"> ConTime!N$64</f>
        <v>0</v>
      </c>
      <c r="O178" s="793">
        <f xml:space="preserve"> ConTime!O$64</f>
        <v>0</v>
      </c>
      <c r="P178" s="793">
        <f xml:space="preserve"> ConTime!P$64</f>
        <v>0</v>
      </c>
      <c r="Q178" s="793">
        <f xml:space="preserve"> ConTime!Q$64</f>
        <v>0</v>
      </c>
      <c r="R178" s="793">
        <f xml:space="preserve"> ConTime!R$64</f>
        <v>0</v>
      </c>
      <c r="S178" s="793">
        <f xml:space="preserve"> ConTime!S$64</f>
        <v>0</v>
      </c>
      <c r="T178" s="793">
        <f xml:space="preserve"> ConTime!T$64</f>
        <v>0</v>
      </c>
      <c r="U178" s="793">
        <f xml:space="preserve"> ConTime!U$64</f>
        <v>0</v>
      </c>
      <c r="V178" s="793">
        <f xml:space="preserve"> ConTime!V$64</f>
        <v>0</v>
      </c>
      <c r="W178" s="793">
        <f xml:space="preserve"> ConTime!W$64</f>
        <v>0</v>
      </c>
      <c r="X178" s="793">
        <f xml:space="preserve"> ConTime!X$64</f>
        <v>0</v>
      </c>
      <c r="Y178" s="793">
        <f xml:space="preserve"> ConTime!Y$64</f>
        <v>0</v>
      </c>
      <c r="Z178" s="793">
        <f xml:space="preserve"> ConTime!Z$64</f>
        <v>0</v>
      </c>
      <c r="AA178" s="793">
        <f xml:space="preserve"> ConTime!AA$64</f>
        <v>0</v>
      </c>
      <c r="AB178" s="793">
        <f xml:space="preserve"> ConTime!AB$64</f>
        <v>0</v>
      </c>
      <c r="AC178" s="793">
        <f xml:space="preserve"> ConTime!AC$64</f>
        <v>0</v>
      </c>
      <c r="AD178" s="793">
        <f xml:space="preserve"> ConTime!AD$64</f>
        <v>0</v>
      </c>
      <c r="AE178" s="793">
        <f xml:space="preserve"> ConTime!AE$64</f>
        <v>0</v>
      </c>
      <c r="AF178" s="793">
        <f xml:space="preserve"> ConTime!AF$64</f>
        <v>0</v>
      </c>
      <c r="AG178" s="793">
        <f xml:space="preserve"> ConTime!AG$64</f>
        <v>0</v>
      </c>
      <c r="AH178" s="793">
        <f xml:space="preserve"> ConTime!AH$64</f>
        <v>0</v>
      </c>
      <c r="AI178" s="793">
        <f xml:space="preserve"> ConTime!AI$64</f>
        <v>0</v>
      </c>
      <c r="AJ178" s="793">
        <f xml:space="preserve"> ConTime!AJ$64</f>
        <v>0</v>
      </c>
      <c r="AK178" s="793">
        <f xml:space="preserve"> ConTime!AK$64</f>
        <v>0</v>
      </c>
      <c r="AL178" s="793">
        <f xml:space="preserve"> ConTime!AL$64</f>
        <v>0</v>
      </c>
      <c r="AM178" s="793">
        <f xml:space="preserve"> ConTime!AM$64</f>
        <v>0</v>
      </c>
      <c r="AN178" s="793">
        <f xml:space="preserve"> ConTime!AN$64</f>
        <v>0</v>
      </c>
      <c r="AO178" s="793">
        <f xml:space="preserve"> ConTime!AO$64</f>
        <v>0</v>
      </c>
      <c r="AP178" s="793">
        <f xml:space="preserve"> ConTime!AP$64</f>
        <v>0</v>
      </c>
      <c r="AQ178" s="793">
        <f xml:space="preserve"> ConTime!AQ$64</f>
        <v>0</v>
      </c>
      <c r="AR178" s="793">
        <f xml:space="preserve"> ConTime!AR$64</f>
        <v>0</v>
      </c>
      <c r="AS178" s="793">
        <f xml:space="preserve"> ConTime!AS$64</f>
        <v>0</v>
      </c>
      <c r="AT178" s="793">
        <f xml:space="preserve"> ConTime!AT$64</f>
        <v>0</v>
      </c>
      <c r="AU178" s="793">
        <f xml:space="preserve"> ConTime!AU$64</f>
        <v>0</v>
      </c>
      <c r="AV178" s="793">
        <f xml:space="preserve"> ConTime!AV$64</f>
        <v>0</v>
      </c>
      <c r="AW178" s="793">
        <f xml:space="preserve"> ConTime!AW$64</f>
        <v>0</v>
      </c>
      <c r="AX178" s="793">
        <f xml:space="preserve"> ConTime!AX$64</f>
        <v>0</v>
      </c>
      <c r="AY178" s="793">
        <f xml:space="preserve"> ConTime!AY$64</f>
        <v>0</v>
      </c>
      <c r="AZ178" s="793">
        <f xml:space="preserve"> ConTime!AZ$64</f>
        <v>0</v>
      </c>
      <c r="BA178" s="793">
        <f xml:space="preserve"> ConTime!BA$64</f>
        <v>0</v>
      </c>
      <c r="BB178" s="793">
        <f xml:space="preserve"> ConTime!BB$64</f>
        <v>0</v>
      </c>
      <c r="BC178" s="793">
        <f xml:space="preserve"> ConTime!BC$64</f>
        <v>0</v>
      </c>
      <c r="BD178" s="793">
        <f xml:space="preserve"> ConTime!BD$64</f>
        <v>0</v>
      </c>
      <c r="BE178" s="793">
        <f xml:space="preserve"> ConTime!BE$64</f>
        <v>0</v>
      </c>
    </row>
    <row r="179" spans="1:57" s="734" customFormat="1" ht="13.15" hidden="1" customHeight="1" outlineLevel="2" x14ac:dyDescent="0.2">
      <c r="A179" s="732"/>
      <c r="B179" s="732"/>
      <c r="C179" s="732"/>
      <c r="D179" s="732"/>
      <c r="E179" s="742" t="s">
        <v>531</v>
      </c>
      <c r="F179" s="742"/>
      <c r="G179" s="742" t="str">
        <f>SMU</f>
        <v>$ 000s</v>
      </c>
      <c r="H179" s="114"/>
      <c r="I179" s="114"/>
      <c r="J179" s="742">
        <f t="shared" ref="J179:BE179" si="120" xml:space="preserve"> (SUM($F175:$F175) - IF(J178 = 1, SUM(J176:J177), J176))</f>
        <v>86318.263263620975</v>
      </c>
      <c r="K179" s="742">
        <f t="shared" si="120"/>
        <v>86318.263263620975</v>
      </c>
      <c r="L179" s="742">
        <f t="shared" si="120"/>
        <v>86318.263263620975</v>
      </c>
      <c r="M179" s="742">
        <f t="shared" si="120"/>
        <v>71474.838493376476</v>
      </c>
      <c r="N179" s="742">
        <f t="shared" si="120"/>
        <v>71474.838493376476</v>
      </c>
      <c r="O179" s="742">
        <f t="shared" si="120"/>
        <v>59633.510684991837</v>
      </c>
      <c r="P179" s="742">
        <f t="shared" si="120"/>
        <v>47763.250942279185</v>
      </c>
      <c r="Q179" s="742">
        <f t="shared" si="120"/>
        <v>35855.563621591937</v>
      </c>
      <c r="R179" s="742">
        <f t="shared" si="120"/>
        <v>23914.551314901124</v>
      </c>
      <c r="S179" s="742">
        <f t="shared" si="120"/>
        <v>11947.552724009292</v>
      </c>
      <c r="T179" s="742">
        <f t="shared" si="120"/>
        <v>1.0156759773963131E-2</v>
      </c>
      <c r="U179" s="742">
        <f t="shared" si="120"/>
        <v>1.0156759773963131E-2</v>
      </c>
      <c r="V179" s="742">
        <f t="shared" si="120"/>
        <v>1.0156759773963131E-2</v>
      </c>
      <c r="W179" s="742">
        <f t="shared" si="120"/>
        <v>1.0156759773963131E-2</v>
      </c>
      <c r="X179" s="742">
        <f t="shared" si="120"/>
        <v>1.0156759773963131E-2</v>
      </c>
      <c r="Y179" s="742">
        <f t="shared" si="120"/>
        <v>1.0156759773963131E-2</v>
      </c>
      <c r="Z179" s="742">
        <f t="shared" si="120"/>
        <v>1.0156759773963131E-2</v>
      </c>
      <c r="AA179" s="742">
        <f t="shared" si="120"/>
        <v>1.0156759773963131E-2</v>
      </c>
      <c r="AB179" s="742">
        <f t="shared" si="120"/>
        <v>1.0156759773963131E-2</v>
      </c>
      <c r="AC179" s="742">
        <f t="shared" si="120"/>
        <v>1.0156759773963131E-2</v>
      </c>
      <c r="AD179" s="742">
        <f t="shared" si="120"/>
        <v>1.0156759773963131E-2</v>
      </c>
      <c r="AE179" s="742">
        <f t="shared" si="120"/>
        <v>1.0156759773963131E-2</v>
      </c>
      <c r="AF179" s="742">
        <f t="shared" si="120"/>
        <v>1.0156759773963131E-2</v>
      </c>
      <c r="AG179" s="742">
        <f t="shared" si="120"/>
        <v>1.0156759773963131E-2</v>
      </c>
      <c r="AH179" s="742">
        <f t="shared" si="120"/>
        <v>1.0156759773963131E-2</v>
      </c>
      <c r="AI179" s="742">
        <f t="shared" si="120"/>
        <v>1.0156759773963131E-2</v>
      </c>
      <c r="AJ179" s="742">
        <f t="shared" si="120"/>
        <v>1.0156759773963131E-2</v>
      </c>
      <c r="AK179" s="742">
        <f t="shared" si="120"/>
        <v>1.0156759773963131E-2</v>
      </c>
      <c r="AL179" s="742">
        <f t="shared" si="120"/>
        <v>1.0156759773963131E-2</v>
      </c>
      <c r="AM179" s="742">
        <f t="shared" si="120"/>
        <v>1.0156759773963131E-2</v>
      </c>
      <c r="AN179" s="742">
        <f t="shared" si="120"/>
        <v>86318.263263620975</v>
      </c>
      <c r="AO179" s="742">
        <f t="shared" si="120"/>
        <v>86318.263263620975</v>
      </c>
      <c r="AP179" s="742">
        <f t="shared" si="120"/>
        <v>86318.263263620975</v>
      </c>
      <c r="AQ179" s="742">
        <f t="shared" si="120"/>
        <v>86318.263263620975</v>
      </c>
      <c r="AR179" s="742">
        <f t="shared" si="120"/>
        <v>86318.263263620975</v>
      </c>
      <c r="AS179" s="742">
        <f t="shared" si="120"/>
        <v>86318.263263620975</v>
      </c>
      <c r="AT179" s="742">
        <f t="shared" si="120"/>
        <v>86318.263263620975</v>
      </c>
      <c r="AU179" s="742">
        <f t="shared" si="120"/>
        <v>86318.263263620975</v>
      </c>
      <c r="AV179" s="742">
        <f t="shared" si="120"/>
        <v>86318.263263620975</v>
      </c>
      <c r="AW179" s="742">
        <f t="shared" si="120"/>
        <v>86318.263263620975</v>
      </c>
      <c r="AX179" s="742">
        <f t="shared" si="120"/>
        <v>86318.263263620975</v>
      </c>
      <c r="AY179" s="742">
        <f t="shared" si="120"/>
        <v>86318.263263620975</v>
      </c>
      <c r="AZ179" s="742">
        <f t="shared" si="120"/>
        <v>86318.263263620975</v>
      </c>
      <c r="BA179" s="742">
        <f t="shared" si="120"/>
        <v>86318.263263620975</v>
      </c>
      <c r="BB179" s="742">
        <f t="shared" si="120"/>
        <v>86318.263263620975</v>
      </c>
      <c r="BC179" s="742">
        <f t="shared" si="120"/>
        <v>86318.263263620975</v>
      </c>
      <c r="BD179" s="742">
        <f t="shared" si="120"/>
        <v>86318.263263620975</v>
      </c>
      <c r="BE179" s="742">
        <f t="shared" si="120"/>
        <v>86318.263263620975</v>
      </c>
    </row>
    <row r="180" spans="1:57" s="734" customFormat="1" ht="13.15" hidden="1" customHeight="1" outlineLevel="2" x14ac:dyDescent="0.2">
      <c r="A180" s="732"/>
      <c r="B180" s="732"/>
      <c r="C180" s="732"/>
      <c r="D180" s="732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  <c r="AJ180" s="114"/>
      <c r="AK180" s="114"/>
      <c r="AL180" s="114"/>
      <c r="AM180" s="114"/>
      <c r="AN180" s="114"/>
      <c r="AO180" s="114"/>
      <c r="AP180" s="114"/>
      <c r="AQ180" s="114"/>
      <c r="AR180" s="114"/>
      <c r="AS180" s="114"/>
      <c r="AT180" s="114"/>
      <c r="AU180" s="114"/>
      <c r="AV180" s="114"/>
      <c r="AW180" s="114"/>
      <c r="AX180" s="114"/>
      <c r="AY180" s="114"/>
      <c r="AZ180" s="114"/>
      <c r="BA180" s="114"/>
      <c r="BB180" s="114"/>
      <c r="BC180" s="114"/>
      <c r="BD180" s="114"/>
      <c r="BE180" s="114"/>
    </row>
    <row r="181" spans="1:57" s="734" customFormat="1" ht="13.15" hidden="1" customHeight="1" outlineLevel="2" x14ac:dyDescent="0.2">
      <c r="A181" s="787"/>
      <c r="B181" s="787"/>
      <c r="C181" s="787"/>
      <c r="D181" s="787"/>
      <c r="E181" s="790" t="str">
        <f xml:space="preserve"> InpC!E$165</f>
        <v>Equity bridge margin - construction</v>
      </c>
      <c r="F181" s="790">
        <f xml:space="preserve"> InpC!F$165</f>
        <v>2.5000000000000001E-2</v>
      </c>
      <c r="G181" s="790" t="str">
        <f xml:space="preserve"> InpC!G$165</f>
        <v>% p.a.</v>
      </c>
      <c r="H181" s="788"/>
      <c r="I181" s="788"/>
      <c r="J181" s="788"/>
      <c r="K181" s="788"/>
      <c r="L181" s="788"/>
      <c r="M181" s="788"/>
      <c r="N181" s="788"/>
      <c r="O181" s="788"/>
      <c r="P181" s="788"/>
      <c r="Q181" s="788"/>
      <c r="R181" s="788"/>
      <c r="S181" s="788"/>
      <c r="T181" s="788"/>
      <c r="U181" s="788"/>
      <c r="V181" s="788"/>
      <c r="W181" s="788"/>
      <c r="X181" s="788"/>
      <c r="Y181" s="788"/>
      <c r="Z181" s="788"/>
      <c r="AA181" s="788"/>
      <c r="AB181" s="788"/>
      <c r="AC181" s="788"/>
      <c r="AD181" s="788"/>
      <c r="AE181" s="788"/>
      <c r="AF181" s="788"/>
      <c r="AG181" s="788"/>
      <c r="AH181" s="788"/>
      <c r="AI181" s="788"/>
      <c r="AJ181" s="788"/>
      <c r="AK181" s="788"/>
      <c r="AL181" s="788"/>
      <c r="AM181" s="788"/>
      <c r="AN181" s="788"/>
      <c r="AO181" s="788"/>
      <c r="AP181" s="788"/>
      <c r="AQ181" s="788"/>
      <c r="AR181" s="788"/>
      <c r="AS181" s="788"/>
      <c r="AT181" s="788"/>
      <c r="AU181" s="788"/>
      <c r="AV181" s="788"/>
      <c r="AW181" s="788"/>
      <c r="AX181" s="788"/>
      <c r="AY181" s="788"/>
      <c r="AZ181" s="788"/>
      <c r="BA181" s="788"/>
      <c r="BB181" s="788"/>
      <c r="BC181" s="788"/>
      <c r="BD181" s="788"/>
      <c r="BE181" s="788"/>
    </row>
    <row r="182" spans="1:57" s="734" customFormat="1" ht="13.15" hidden="1" customHeight="1" outlineLevel="2" x14ac:dyDescent="0.2">
      <c r="A182" s="787"/>
      <c r="B182" s="787"/>
      <c r="C182" s="787"/>
      <c r="D182" s="787"/>
      <c r="E182" s="790" t="str">
        <f xml:space="preserve"> InpC!E$168</f>
        <v>Equity bridge commitment fee % of margin</v>
      </c>
      <c r="F182" s="790">
        <f xml:space="preserve"> InpC!F$168</f>
        <v>0.3</v>
      </c>
      <c r="G182" s="790" t="str">
        <f xml:space="preserve"> InpC!G$168</f>
        <v>% of margin</v>
      </c>
      <c r="H182" s="788"/>
      <c r="I182" s="788"/>
      <c r="J182" s="788"/>
      <c r="K182" s="788"/>
      <c r="L182" s="788"/>
      <c r="M182" s="788"/>
      <c r="N182" s="788"/>
      <c r="O182" s="788"/>
      <c r="P182" s="788"/>
      <c r="Q182" s="788"/>
      <c r="R182" s="788"/>
      <c r="S182" s="788"/>
      <c r="T182" s="788"/>
      <c r="U182" s="788"/>
      <c r="V182" s="788"/>
      <c r="W182" s="788"/>
      <c r="X182" s="788"/>
      <c r="Y182" s="788"/>
      <c r="Z182" s="788"/>
      <c r="AA182" s="788"/>
      <c r="AB182" s="788"/>
      <c r="AC182" s="788"/>
      <c r="AD182" s="788"/>
      <c r="AE182" s="788"/>
      <c r="AF182" s="788"/>
      <c r="AG182" s="788"/>
      <c r="AH182" s="788"/>
      <c r="AI182" s="788"/>
      <c r="AJ182" s="788"/>
      <c r="AK182" s="788"/>
      <c r="AL182" s="788"/>
      <c r="AM182" s="788"/>
      <c r="AN182" s="788"/>
      <c r="AO182" s="788"/>
      <c r="AP182" s="788"/>
      <c r="AQ182" s="788"/>
      <c r="AR182" s="788"/>
      <c r="AS182" s="788"/>
      <c r="AT182" s="788"/>
      <c r="AU182" s="788"/>
      <c r="AV182" s="788"/>
      <c r="AW182" s="788"/>
      <c r="AX182" s="788"/>
      <c r="AY182" s="788"/>
      <c r="AZ182" s="788"/>
      <c r="BA182" s="788"/>
      <c r="BB182" s="788"/>
      <c r="BC182" s="788"/>
      <c r="BD182" s="788"/>
      <c r="BE182" s="788"/>
    </row>
    <row r="183" spans="1:57" s="734" customFormat="1" ht="13.15" hidden="1" customHeight="1" outlineLevel="2" x14ac:dyDescent="0.2">
      <c r="A183" s="787"/>
      <c r="B183" s="787"/>
      <c r="C183" s="787"/>
      <c r="D183" s="787"/>
      <c r="E183" s="791" t="str">
        <f xml:space="preserve"> InpC!E$157</f>
        <v>Equity bridge day count convention</v>
      </c>
      <c r="F183" s="791">
        <f xml:space="preserve"> InpC!F$157</f>
        <v>360</v>
      </c>
      <c r="G183" s="791" t="str">
        <f xml:space="preserve"> InpC!G$157</f>
        <v>days</v>
      </c>
      <c r="H183" s="788"/>
      <c r="I183" s="788"/>
      <c r="J183" s="788"/>
      <c r="K183" s="788"/>
      <c r="L183" s="788"/>
      <c r="M183" s="788"/>
      <c r="N183" s="788"/>
      <c r="O183" s="788"/>
      <c r="P183" s="788"/>
      <c r="Q183" s="788"/>
      <c r="R183" s="788"/>
      <c r="S183" s="788"/>
      <c r="T183" s="788"/>
      <c r="U183" s="788"/>
      <c r="V183" s="788"/>
      <c r="W183" s="788"/>
      <c r="X183" s="788"/>
      <c r="Y183" s="788"/>
      <c r="Z183" s="788"/>
      <c r="AA183" s="788"/>
      <c r="AB183" s="788"/>
      <c r="AC183" s="788"/>
      <c r="AD183" s="788"/>
      <c r="AE183" s="788"/>
      <c r="AF183" s="788"/>
      <c r="AG183" s="788"/>
      <c r="AH183" s="788"/>
      <c r="AI183" s="788"/>
      <c r="AJ183" s="788"/>
      <c r="AK183" s="788"/>
      <c r="AL183" s="788"/>
      <c r="AM183" s="788"/>
      <c r="AN183" s="788"/>
      <c r="AO183" s="788"/>
      <c r="AP183" s="788"/>
      <c r="AQ183" s="788"/>
      <c r="AR183" s="788"/>
      <c r="AS183" s="788"/>
      <c r="AT183" s="788"/>
      <c r="AU183" s="788"/>
      <c r="AV183" s="788"/>
      <c r="AW183" s="788"/>
      <c r="AX183" s="788"/>
      <c r="AY183" s="788"/>
      <c r="AZ183" s="788"/>
      <c r="BA183" s="788"/>
      <c r="BB183" s="788"/>
      <c r="BC183" s="788"/>
      <c r="BD183" s="788"/>
      <c r="BE183" s="788"/>
    </row>
    <row r="184" spans="1:57" s="734" customFormat="1" ht="13.15" hidden="1" customHeight="1" outlineLevel="2" x14ac:dyDescent="0.2">
      <c r="A184" s="732"/>
      <c r="B184" s="732"/>
      <c r="C184" s="732"/>
      <c r="D184" s="732"/>
      <c r="E184" s="740" t="str">
        <f t="shared" ref="E184:AJ184" si="121" xml:space="preserve"> E$179</f>
        <v>Equity bridge undrawn balance</v>
      </c>
      <c r="F184" s="740">
        <f t="shared" si="121"/>
        <v>0</v>
      </c>
      <c r="G184" s="740" t="str">
        <f t="shared" si="121"/>
        <v>$ 000s</v>
      </c>
      <c r="H184" s="740">
        <f t="shared" si="121"/>
        <v>0</v>
      </c>
      <c r="I184" s="740">
        <f t="shared" si="121"/>
        <v>0</v>
      </c>
      <c r="J184" s="740">
        <f t="shared" si="121"/>
        <v>86318.263263620975</v>
      </c>
      <c r="K184" s="740">
        <f t="shared" si="121"/>
        <v>86318.263263620975</v>
      </c>
      <c r="L184" s="740">
        <f t="shared" si="121"/>
        <v>86318.263263620975</v>
      </c>
      <c r="M184" s="740">
        <f t="shared" si="121"/>
        <v>71474.838493376476</v>
      </c>
      <c r="N184" s="740">
        <f t="shared" si="121"/>
        <v>71474.838493376476</v>
      </c>
      <c r="O184" s="740">
        <f t="shared" si="121"/>
        <v>59633.510684991837</v>
      </c>
      <c r="P184" s="740">
        <f t="shared" si="121"/>
        <v>47763.250942279185</v>
      </c>
      <c r="Q184" s="740">
        <f t="shared" si="121"/>
        <v>35855.563621591937</v>
      </c>
      <c r="R184" s="740">
        <f t="shared" si="121"/>
        <v>23914.551314901124</v>
      </c>
      <c r="S184" s="740">
        <f t="shared" si="121"/>
        <v>11947.552724009292</v>
      </c>
      <c r="T184" s="740">
        <f t="shared" si="121"/>
        <v>1.0156759773963131E-2</v>
      </c>
      <c r="U184" s="740">
        <f t="shared" si="121"/>
        <v>1.0156759773963131E-2</v>
      </c>
      <c r="V184" s="740">
        <f t="shared" si="121"/>
        <v>1.0156759773963131E-2</v>
      </c>
      <c r="W184" s="740">
        <f t="shared" si="121"/>
        <v>1.0156759773963131E-2</v>
      </c>
      <c r="X184" s="740">
        <f t="shared" si="121"/>
        <v>1.0156759773963131E-2</v>
      </c>
      <c r="Y184" s="740">
        <f t="shared" si="121"/>
        <v>1.0156759773963131E-2</v>
      </c>
      <c r="Z184" s="740">
        <f t="shared" si="121"/>
        <v>1.0156759773963131E-2</v>
      </c>
      <c r="AA184" s="740">
        <f t="shared" si="121"/>
        <v>1.0156759773963131E-2</v>
      </c>
      <c r="AB184" s="740">
        <f t="shared" si="121"/>
        <v>1.0156759773963131E-2</v>
      </c>
      <c r="AC184" s="740">
        <f t="shared" si="121"/>
        <v>1.0156759773963131E-2</v>
      </c>
      <c r="AD184" s="740">
        <f t="shared" si="121"/>
        <v>1.0156759773963131E-2</v>
      </c>
      <c r="AE184" s="740">
        <f t="shared" si="121"/>
        <v>1.0156759773963131E-2</v>
      </c>
      <c r="AF184" s="740">
        <f t="shared" si="121"/>
        <v>1.0156759773963131E-2</v>
      </c>
      <c r="AG184" s="740">
        <f t="shared" si="121"/>
        <v>1.0156759773963131E-2</v>
      </c>
      <c r="AH184" s="740">
        <f t="shared" si="121"/>
        <v>1.0156759773963131E-2</v>
      </c>
      <c r="AI184" s="740">
        <f t="shared" si="121"/>
        <v>1.0156759773963131E-2</v>
      </c>
      <c r="AJ184" s="740">
        <f t="shared" si="121"/>
        <v>1.0156759773963131E-2</v>
      </c>
      <c r="AK184" s="740">
        <f t="shared" ref="AK184:BE184" si="122" xml:space="preserve"> AK$179</f>
        <v>1.0156759773963131E-2</v>
      </c>
      <c r="AL184" s="740">
        <f t="shared" si="122"/>
        <v>1.0156759773963131E-2</v>
      </c>
      <c r="AM184" s="740">
        <f t="shared" si="122"/>
        <v>1.0156759773963131E-2</v>
      </c>
      <c r="AN184" s="740">
        <f t="shared" si="122"/>
        <v>86318.263263620975</v>
      </c>
      <c r="AO184" s="740">
        <f t="shared" si="122"/>
        <v>86318.263263620975</v>
      </c>
      <c r="AP184" s="740">
        <f t="shared" si="122"/>
        <v>86318.263263620975</v>
      </c>
      <c r="AQ184" s="740">
        <f t="shared" si="122"/>
        <v>86318.263263620975</v>
      </c>
      <c r="AR184" s="740">
        <f t="shared" si="122"/>
        <v>86318.263263620975</v>
      </c>
      <c r="AS184" s="740">
        <f t="shared" si="122"/>
        <v>86318.263263620975</v>
      </c>
      <c r="AT184" s="740">
        <f t="shared" si="122"/>
        <v>86318.263263620975</v>
      </c>
      <c r="AU184" s="740">
        <f t="shared" si="122"/>
        <v>86318.263263620975</v>
      </c>
      <c r="AV184" s="740">
        <f t="shared" si="122"/>
        <v>86318.263263620975</v>
      </c>
      <c r="AW184" s="740">
        <f t="shared" si="122"/>
        <v>86318.263263620975</v>
      </c>
      <c r="AX184" s="740">
        <f t="shared" si="122"/>
        <v>86318.263263620975</v>
      </c>
      <c r="AY184" s="740">
        <f t="shared" si="122"/>
        <v>86318.263263620975</v>
      </c>
      <c r="AZ184" s="740">
        <f t="shared" si="122"/>
        <v>86318.263263620975</v>
      </c>
      <c r="BA184" s="740">
        <f t="shared" si="122"/>
        <v>86318.263263620975</v>
      </c>
      <c r="BB184" s="740">
        <f t="shared" si="122"/>
        <v>86318.263263620975</v>
      </c>
      <c r="BC184" s="740">
        <f t="shared" si="122"/>
        <v>86318.263263620975</v>
      </c>
      <c r="BD184" s="740">
        <f t="shared" si="122"/>
        <v>86318.263263620975</v>
      </c>
      <c r="BE184" s="740">
        <f t="shared" si="122"/>
        <v>86318.263263620975</v>
      </c>
    </row>
    <row r="185" spans="1:57" s="764" customFormat="1" ht="13.15" hidden="1" customHeight="1" outlineLevel="2" x14ac:dyDescent="0.2">
      <c r="A185" s="787"/>
      <c r="B185" s="787"/>
      <c r="C185" s="787"/>
      <c r="D185" s="787"/>
      <c r="E185" s="789" t="str">
        <f xml:space="preserve"> ConTime!E$97</f>
        <v>Days in period - m</v>
      </c>
      <c r="F185" s="789">
        <f xml:space="preserve"> ConTime!F$97</f>
        <v>0</v>
      </c>
      <c r="G185" s="789" t="str">
        <f xml:space="preserve"> ConTime!G$97</f>
        <v>days</v>
      </c>
      <c r="H185" s="789">
        <f xml:space="preserve"> ConTime!H$97</f>
        <v>0</v>
      </c>
      <c r="I185" s="789">
        <f xml:space="preserve"> ConTime!I$97</f>
        <v>0</v>
      </c>
      <c r="J185" s="789">
        <f xml:space="preserve"> ConTime!J$97</f>
        <v>31</v>
      </c>
      <c r="K185" s="789">
        <f xml:space="preserve"> ConTime!K$97</f>
        <v>28</v>
      </c>
      <c r="L185" s="789">
        <f xml:space="preserve"> ConTime!L$97</f>
        <v>31</v>
      </c>
      <c r="M185" s="789">
        <f xml:space="preserve"> ConTime!M$97</f>
        <v>30</v>
      </c>
      <c r="N185" s="789">
        <f xml:space="preserve"> ConTime!N$97</f>
        <v>31</v>
      </c>
      <c r="O185" s="789">
        <f xml:space="preserve"> ConTime!O$97</f>
        <v>30</v>
      </c>
      <c r="P185" s="789">
        <f xml:space="preserve"> ConTime!P$97</f>
        <v>31</v>
      </c>
      <c r="Q185" s="789">
        <f xml:space="preserve"> ConTime!Q$97</f>
        <v>31</v>
      </c>
      <c r="R185" s="789">
        <f xml:space="preserve"> ConTime!R$97</f>
        <v>30</v>
      </c>
      <c r="S185" s="789">
        <f xml:space="preserve"> ConTime!S$97</f>
        <v>31</v>
      </c>
      <c r="T185" s="789">
        <f xml:space="preserve"> ConTime!T$97</f>
        <v>30</v>
      </c>
      <c r="U185" s="789">
        <f xml:space="preserve"> ConTime!U$97</f>
        <v>31</v>
      </c>
      <c r="V185" s="789">
        <f xml:space="preserve"> ConTime!V$97</f>
        <v>31</v>
      </c>
      <c r="W185" s="789">
        <f xml:space="preserve"> ConTime!W$97</f>
        <v>28</v>
      </c>
      <c r="X185" s="789">
        <f xml:space="preserve"> ConTime!X$97</f>
        <v>31</v>
      </c>
      <c r="Y185" s="789">
        <f xml:space="preserve"> ConTime!Y$97</f>
        <v>30</v>
      </c>
      <c r="Z185" s="789">
        <f xml:space="preserve"> ConTime!Z$97</f>
        <v>31</v>
      </c>
      <c r="AA185" s="789">
        <f xml:space="preserve"> ConTime!AA$97</f>
        <v>30</v>
      </c>
      <c r="AB185" s="789">
        <f xml:space="preserve"> ConTime!AB$97</f>
        <v>31</v>
      </c>
      <c r="AC185" s="789">
        <f xml:space="preserve"> ConTime!AC$97</f>
        <v>31</v>
      </c>
      <c r="AD185" s="789">
        <f xml:space="preserve"> ConTime!AD$97</f>
        <v>30</v>
      </c>
      <c r="AE185" s="789">
        <f xml:space="preserve"> ConTime!AE$97</f>
        <v>31</v>
      </c>
      <c r="AF185" s="789">
        <f xml:space="preserve"> ConTime!AF$97</f>
        <v>30</v>
      </c>
      <c r="AG185" s="789">
        <f xml:space="preserve"> ConTime!AG$97</f>
        <v>31</v>
      </c>
      <c r="AH185" s="789">
        <f xml:space="preserve"> ConTime!AH$97</f>
        <v>31</v>
      </c>
      <c r="AI185" s="789">
        <f xml:space="preserve"> ConTime!AI$97</f>
        <v>29</v>
      </c>
      <c r="AJ185" s="789">
        <f xml:space="preserve"> ConTime!AJ$97</f>
        <v>31</v>
      </c>
      <c r="AK185" s="789">
        <f xml:space="preserve"> ConTime!AK$97</f>
        <v>30</v>
      </c>
      <c r="AL185" s="789">
        <f xml:space="preserve"> ConTime!AL$97</f>
        <v>31</v>
      </c>
      <c r="AM185" s="789">
        <f xml:space="preserve"> ConTime!AM$97</f>
        <v>30</v>
      </c>
      <c r="AN185" s="789">
        <f xml:space="preserve"> ConTime!AN$97</f>
        <v>31</v>
      </c>
      <c r="AO185" s="789">
        <f xml:space="preserve"> ConTime!AO$97</f>
        <v>31</v>
      </c>
      <c r="AP185" s="789">
        <f xml:space="preserve"> ConTime!AP$97</f>
        <v>30</v>
      </c>
      <c r="AQ185" s="789">
        <f xml:space="preserve"> ConTime!AQ$97</f>
        <v>31</v>
      </c>
      <c r="AR185" s="789">
        <f xml:space="preserve"> ConTime!AR$97</f>
        <v>30</v>
      </c>
      <c r="AS185" s="789">
        <f xml:space="preserve"> ConTime!AS$97</f>
        <v>31</v>
      </c>
      <c r="AT185" s="789">
        <f xml:space="preserve"> ConTime!AT$97</f>
        <v>31</v>
      </c>
      <c r="AU185" s="789">
        <f xml:space="preserve"> ConTime!AU$97</f>
        <v>28</v>
      </c>
      <c r="AV185" s="789">
        <f xml:space="preserve"> ConTime!AV$97</f>
        <v>31</v>
      </c>
      <c r="AW185" s="789">
        <f xml:space="preserve"> ConTime!AW$97</f>
        <v>30</v>
      </c>
      <c r="AX185" s="789">
        <f xml:space="preserve"> ConTime!AX$97</f>
        <v>31</v>
      </c>
      <c r="AY185" s="789">
        <f xml:space="preserve"> ConTime!AY$97</f>
        <v>30</v>
      </c>
      <c r="AZ185" s="789">
        <f xml:space="preserve"> ConTime!AZ$97</f>
        <v>31</v>
      </c>
      <c r="BA185" s="789">
        <f xml:space="preserve"> ConTime!BA$97</f>
        <v>31</v>
      </c>
      <c r="BB185" s="789">
        <f xml:space="preserve"> ConTime!BB$97</f>
        <v>30</v>
      </c>
      <c r="BC185" s="789">
        <f xml:space="preserve"> ConTime!BC$97</f>
        <v>31</v>
      </c>
      <c r="BD185" s="789">
        <f xml:space="preserve"> ConTime!BD$97</f>
        <v>30</v>
      </c>
      <c r="BE185" s="789">
        <f xml:space="preserve"> ConTime!BE$97</f>
        <v>31</v>
      </c>
    </row>
    <row r="186" spans="1:57" s="764" customFormat="1" ht="13.15" hidden="1" customHeight="1" outlineLevel="2" x14ac:dyDescent="0.2">
      <c r="A186" s="787"/>
      <c r="B186" s="787"/>
      <c r="C186" s="787"/>
      <c r="D186" s="787"/>
      <c r="E186" s="789" t="str">
        <f xml:space="preserve"> ConTime!E$82</f>
        <v>Construction period flag</v>
      </c>
      <c r="F186" s="789">
        <f xml:space="preserve"> ConTime!F$82</f>
        <v>0</v>
      </c>
      <c r="G186" s="789" t="str">
        <f xml:space="preserve"> ConTime!G$82</f>
        <v>flag</v>
      </c>
      <c r="H186" s="789">
        <f xml:space="preserve"> ConTime!H$82</f>
        <v>26</v>
      </c>
      <c r="I186" s="789">
        <f xml:space="preserve"> ConTime!I$82</f>
        <v>0</v>
      </c>
      <c r="J186" s="789">
        <f xml:space="preserve"> ConTime!J$82</f>
        <v>0</v>
      </c>
      <c r="K186" s="789">
        <f xml:space="preserve"> ConTime!K$82</f>
        <v>0</v>
      </c>
      <c r="L186" s="789">
        <f xml:space="preserve"> ConTime!L$82</f>
        <v>0</v>
      </c>
      <c r="M186" s="789">
        <f xml:space="preserve"> ConTime!M$82</f>
        <v>0</v>
      </c>
      <c r="N186" s="789">
        <f xml:space="preserve"> ConTime!N$82</f>
        <v>1</v>
      </c>
      <c r="O186" s="789">
        <f xml:space="preserve"> ConTime!O$82</f>
        <v>1</v>
      </c>
      <c r="P186" s="789">
        <f xml:space="preserve"> ConTime!P$82</f>
        <v>1</v>
      </c>
      <c r="Q186" s="789">
        <f xml:space="preserve"> ConTime!Q$82</f>
        <v>1</v>
      </c>
      <c r="R186" s="789">
        <f xml:space="preserve"> ConTime!R$82</f>
        <v>1</v>
      </c>
      <c r="S186" s="789">
        <f xml:space="preserve"> ConTime!S$82</f>
        <v>1</v>
      </c>
      <c r="T186" s="789">
        <f xml:space="preserve"> ConTime!T$82</f>
        <v>1</v>
      </c>
      <c r="U186" s="789">
        <f xml:space="preserve"> ConTime!U$82</f>
        <v>1</v>
      </c>
      <c r="V186" s="789">
        <f xml:space="preserve"> ConTime!V$82</f>
        <v>1</v>
      </c>
      <c r="W186" s="789">
        <f xml:space="preserve"> ConTime!W$82</f>
        <v>1</v>
      </c>
      <c r="X186" s="789">
        <f xml:space="preserve"> ConTime!X$82</f>
        <v>1</v>
      </c>
      <c r="Y186" s="789">
        <f xml:space="preserve"> ConTime!Y$82</f>
        <v>1</v>
      </c>
      <c r="Z186" s="789">
        <f xml:space="preserve"> ConTime!Z$82</f>
        <v>1</v>
      </c>
      <c r="AA186" s="789">
        <f xml:space="preserve"> ConTime!AA$82</f>
        <v>1</v>
      </c>
      <c r="AB186" s="789">
        <f xml:space="preserve"> ConTime!AB$82</f>
        <v>1</v>
      </c>
      <c r="AC186" s="789">
        <f xml:space="preserve"> ConTime!AC$82</f>
        <v>1</v>
      </c>
      <c r="AD186" s="789">
        <f xml:space="preserve"> ConTime!AD$82</f>
        <v>1</v>
      </c>
      <c r="AE186" s="789">
        <f xml:space="preserve"> ConTime!AE$82</f>
        <v>1</v>
      </c>
      <c r="AF186" s="789">
        <f xml:space="preserve"> ConTime!AF$82</f>
        <v>1</v>
      </c>
      <c r="AG186" s="789">
        <f xml:space="preserve"> ConTime!AG$82</f>
        <v>1</v>
      </c>
      <c r="AH186" s="789">
        <f xml:space="preserve"> ConTime!AH$82</f>
        <v>1</v>
      </c>
      <c r="AI186" s="789">
        <f xml:space="preserve"> ConTime!AI$82</f>
        <v>1</v>
      </c>
      <c r="AJ186" s="789">
        <f xml:space="preserve"> ConTime!AJ$82</f>
        <v>1</v>
      </c>
      <c r="AK186" s="789">
        <f xml:space="preserve"> ConTime!AK$82</f>
        <v>1</v>
      </c>
      <c r="AL186" s="789">
        <f xml:space="preserve"> ConTime!AL$82</f>
        <v>1</v>
      </c>
      <c r="AM186" s="789">
        <f xml:space="preserve"> ConTime!AM$82</f>
        <v>1</v>
      </c>
      <c r="AN186" s="789">
        <f xml:space="preserve"> ConTime!AN$82</f>
        <v>0</v>
      </c>
      <c r="AO186" s="789">
        <f xml:space="preserve"> ConTime!AO$82</f>
        <v>0</v>
      </c>
      <c r="AP186" s="789">
        <f xml:space="preserve"> ConTime!AP$82</f>
        <v>0</v>
      </c>
      <c r="AQ186" s="789">
        <f xml:space="preserve"> ConTime!AQ$82</f>
        <v>0</v>
      </c>
      <c r="AR186" s="789">
        <f xml:space="preserve"> ConTime!AR$82</f>
        <v>0</v>
      </c>
      <c r="AS186" s="789">
        <f xml:space="preserve"> ConTime!AS$82</f>
        <v>0</v>
      </c>
      <c r="AT186" s="789">
        <f xml:space="preserve"> ConTime!AT$82</f>
        <v>0</v>
      </c>
      <c r="AU186" s="789">
        <f xml:space="preserve"> ConTime!AU$82</f>
        <v>0</v>
      </c>
      <c r="AV186" s="789">
        <f xml:space="preserve"> ConTime!AV$82</f>
        <v>0</v>
      </c>
      <c r="AW186" s="789">
        <f xml:space="preserve"> ConTime!AW$82</f>
        <v>0</v>
      </c>
      <c r="AX186" s="789">
        <f xml:space="preserve"> ConTime!AX$82</f>
        <v>0</v>
      </c>
      <c r="AY186" s="789">
        <f xml:space="preserve"> ConTime!AY$82</f>
        <v>0</v>
      </c>
      <c r="AZ186" s="789">
        <f xml:space="preserve"> ConTime!AZ$82</f>
        <v>0</v>
      </c>
      <c r="BA186" s="789">
        <f xml:space="preserve"> ConTime!BA$82</f>
        <v>0</v>
      </c>
      <c r="BB186" s="789">
        <f xml:space="preserve"> ConTime!BB$82</f>
        <v>0</v>
      </c>
      <c r="BC186" s="789">
        <f xml:space="preserve"> ConTime!BC$82</f>
        <v>0</v>
      </c>
      <c r="BD186" s="789">
        <f xml:space="preserve"> ConTime!BD$82</f>
        <v>0</v>
      </c>
      <c r="BE186" s="789">
        <f xml:space="preserve"> ConTime!BE$82</f>
        <v>0</v>
      </c>
    </row>
    <row r="187" spans="1:57" s="734" customFormat="1" ht="13.15" hidden="1" customHeight="1" outlineLevel="2" x14ac:dyDescent="0.2">
      <c r="A187" s="732"/>
      <c r="B187" s="732"/>
      <c r="C187" s="732"/>
      <c r="D187" s="732"/>
      <c r="E187" s="768" t="s">
        <v>509</v>
      </c>
      <c r="F187" s="742"/>
      <c r="G187" s="742" t="str">
        <f>SMU</f>
        <v>$ 000s</v>
      </c>
      <c r="H187" s="742">
        <f xml:space="preserve"> SUM(J187:BE187)</f>
        <v>160.09844613595186</v>
      </c>
      <c r="I187" s="114"/>
      <c r="J187" s="742">
        <f t="shared" ref="J187:BE187" si="123" xml:space="preserve"> J184 * J186 * $F181 * $F182 / $F183 * J185</f>
        <v>0</v>
      </c>
      <c r="K187" s="742">
        <f t="shared" si="123"/>
        <v>0</v>
      </c>
      <c r="L187" s="742">
        <f t="shared" si="123"/>
        <v>0</v>
      </c>
      <c r="M187" s="742">
        <f t="shared" si="123"/>
        <v>0</v>
      </c>
      <c r="N187" s="742">
        <f t="shared" si="123"/>
        <v>46.160833193638979</v>
      </c>
      <c r="O187" s="742">
        <f t="shared" si="123"/>
        <v>37.270944178119898</v>
      </c>
      <c r="P187" s="742">
        <f t="shared" si="123"/>
        <v>30.847099566888641</v>
      </c>
      <c r="Q187" s="742">
        <f t="shared" si="123"/>
        <v>23.156718172278122</v>
      </c>
      <c r="R187" s="742">
        <f t="shared" si="123"/>
        <v>14.946594571813201</v>
      </c>
      <c r="S187" s="742">
        <f t="shared" si="123"/>
        <v>7.716127800922667</v>
      </c>
      <c r="T187" s="742">
        <f t="shared" si="123"/>
        <v>6.3479748587269577E-6</v>
      </c>
      <c r="U187" s="742">
        <f t="shared" si="123"/>
        <v>6.5595740206845229E-6</v>
      </c>
      <c r="V187" s="742">
        <f t="shared" si="123"/>
        <v>6.5595740206845229E-6</v>
      </c>
      <c r="W187" s="742">
        <f t="shared" si="123"/>
        <v>5.9247765348118271E-6</v>
      </c>
      <c r="X187" s="742">
        <f t="shared" si="123"/>
        <v>6.5595740206845229E-6</v>
      </c>
      <c r="Y187" s="742">
        <f t="shared" si="123"/>
        <v>6.3479748587269577E-6</v>
      </c>
      <c r="Z187" s="742">
        <f t="shared" si="123"/>
        <v>6.5595740206845229E-6</v>
      </c>
      <c r="AA187" s="742">
        <f t="shared" si="123"/>
        <v>6.3479748587269577E-6</v>
      </c>
      <c r="AB187" s="742">
        <f t="shared" si="123"/>
        <v>6.5595740206845229E-6</v>
      </c>
      <c r="AC187" s="742">
        <f t="shared" si="123"/>
        <v>6.5595740206845229E-6</v>
      </c>
      <c r="AD187" s="742">
        <f t="shared" si="123"/>
        <v>6.3479748587269577E-6</v>
      </c>
      <c r="AE187" s="742">
        <f t="shared" si="123"/>
        <v>6.5595740206845229E-6</v>
      </c>
      <c r="AF187" s="742">
        <f t="shared" si="123"/>
        <v>6.3479748587269577E-6</v>
      </c>
      <c r="AG187" s="742">
        <f t="shared" si="123"/>
        <v>6.5595740206845229E-6</v>
      </c>
      <c r="AH187" s="742">
        <f t="shared" si="123"/>
        <v>6.5595740206845229E-6</v>
      </c>
      <c r="AI187" s="742">
        <f t="shared" si="123"/>
        <v>6.1363756967693924E-6</v>
      </c>
      <c r="AJ187" s="742">
        <f t="shared" si="123"/>
        <v>6.5595740206845229E-6</v>
      </c>
      <c r="AK187" s="742">
        <f t="shared" si="123"/>
        <v>6.3479748587269577E-6</v>
      </c>
      <c r="AL187" s="742">
        <f t="shared" si="123"/>
        <v>6.5595740206845229E-6</v>
      </c>
      <c r="AM187" s="742">
        <f t="shared" si="123"/>
        <v>6.3479748587269577E-6</v>
      </c>
      <c r="AN187" s="742">
        <f t="shared" si="123"/>
        <v>0</v>
      </c>
      <c r="AO187" s="742">
        <f t="shared" si="123"/>
        <v>0</v>
      </c>
      <c r="AP187" s="742">
        <f t="shared" si="123"/>
        <v>0</v>
      </c>
      <c r="AQ187" s="742">
        <f t="shared" si="123"/>
        <v>0</v>
      </c>
      <c r="AR187" s="742">
        <f t="shared" si="123"/>
        <v>0</v>
      </c>
      <c r="AS187" s="742">
        <f t="shared" si="123"/>
        <v>0</v>
      </c>
      <c r="AT187" s="742">
        <f t="shared" si="123"/>
        <v>0</v>
      </c>
      <c r="AU187" s="742">
        <f t="shared" si="123"/>
        <v>0</v>
      </c>
      <c r="AV187" s="742">
        <f t="shared" si="123"/>
        <v>0</v>
      </c>
      <c r="AW187" s="742">
        <f t="shared" si="123"/>
        <v>0</v>
      </c>
      <c r="AX187" s="742">
        <f t="shared" si="123"/>
        <v>0</v>
      </c>
      <c r="AY187" s="742">
        <f t="shared" si="123"/>
        <v>0</v>
      </c>
      <c r="AZ187" s="742">
        <f t="shared" si="123"/>
        <v>0</v>
      </c>
      <c r="BA187" s="742">
        <f t="shared" si="123"/>
        <v>0</v>
      </c>
      <c r="BB187" s="742">
        <f t="shared" si="123"/>
        <v>0</v>
      </c>
      <c r="BC187" s="742">
        <f t="shared" si="123"/>
        <v>0</v>
      </c>
      <c r="BD187" s="742">
        <f t="shared" si="123"/>
        <v>0</v>
      </c>
      <c r="BE187" s="742">
        <f t="shared" si="123"/>
        <v>0</v>
      </c>
    </row>
    <row r="188" spans="1:57" s="734" customFormat="1" ht="13.15" hidden="1" customHeight="1" outlineLevel="2" x14ac:dyDescent="0.2">
      <c r="A188" s="732"/>
      <c r="B188" s="732"/>
      <c r="C188" s="732"/>
      <c r="D188" s="732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4"/>
      <c r="Y188" s="114"/>
      <c r="Z188" s="114"/>
      <c r="AA188" s="114"/>
      <c r="AB188" s="114"/>
      <c r="AC188" s="114"/>
      <c r="AD188" s="114"/>
      <c r="AE188" s="114"/>
      <c r="AF188" s="114"/>
      <c r="AG188" s="114"/>
      <c r="AH188" s="114"/>
      <c r="AI188" s="114"/>
      <c r="AJ188" s="114"/>
      <c r="AK188" s="114"/>
      <c r="AL188" s="114"/>
      <c r="AM188" s="114"/>
      <c r="AN188" s="114"/>
      <c r="AO188" s="114"/>
      <c r="AP188" s="114"/>
      <c r="AQ188" s="114"/>
      <c r="AR188" s="114"/>
      <c r="AS188" s="114"/>
      <c r="AT188" s="114"/>
      <c r="AU188" s="114"/>
      <c r="AV188" s="114"/>
      <c r="AW188" s="114"/>
      <c r="AX188" s="114"/>
      <c r="AY188" s="114"/>
      <c r="AZ188" s="114"/>
      <c r="BA188" s="114"/>
      <c r="BB188" s="114"/>
      <c r="BC188" s="114"/>
      <c r="BD188" s="114"/>
      <c r="BE188" s="114"/>
    </row>
    <row r="189" spans="1:57" s="734" customFormat="1" ht="13.15" hidden="1" customHeight="1" outlineLevel="2" x14ac:dyDescent="0.2">
      <c r="A189" s="787"/>
      <c r="B189" s="787"/>
      <c r="C189" s="787"/>
      <c r="D189" s="787"/>
      <c r="E189" s="791" t="str">
        <f xml:space="preserve"> InpC!E$155</f>
        <v>EBL interest &amp; fee pre-PCOD paid vs rolled-up switch</v>
      </c>
      <c r="F189" s="791">
        <f xml:space="preserve"> InpC!F$155</f>
        <v>0</v>
      </c>
      <c r="G189" s="791" t="str">
        <f xml:space="preserve"> InpC!G$155</f>
        <v>0 = paid, 1 = rolled-up</v>
      </c>
      <c r="H189" s="788"/>
      <c r="I189" s="788"/>
      <c r="J189" s="788"/>
      <c r="K189" s="788"/>
      <c r="L189" s="788"/>
      <c r="M189" s="788"/>
      <c r="N189" s="788"/>
      <c r="O189" s="788"/>
      <c r="P189" s="788"/>
      <c r="Q189" s="788"/>
      <c r="R189" s="788"/>
      <c r="S189" s="788"/>
      <c r="T189" s="788"/>
      <c r="U189" s="788"/>
      <c r="V189" s="788"/>
      <c r="W189" s="788"/>
      <c r="X189" s="788"/>
      <c r="Y189" s="788"/>
      <c r="Z189" s="788"/>
      <c r="AA189" s="788"/>
      <c r="AB189" s="788"/>
      <c r="AC189" s="788"/>
      <c r="AD189" s="788"/>
      <c r="AE189" s="788"/>
      <c r="AF189" s="788"/>
      <c r="AG189" s="788"/>
      <c r="AH189" s="788"/>
      <c r="AI189" s="788"/>
      <c r="AJ189" s="788"/>
      <c r="AK189" s="788"/>
      <c r="AL189" s="788"/>
      <c r="AM189" s="788"/>
      <c r="AN189" s="788"/>
      <c r="AO189" s="788"/>
      <c r="AP189" s="788"/>
      <c r="AQ189" s="788"/>
      <c r="AR189" s="788"/>
      <c r="AS189" s="788"/>
      <c r="AT189" s="788"/>
      <c r="AU189" s="788"/>
      <c r="AV189" s="788"/>
      <c r="AW189" s="788"/>
      <c r="AX189" s="788"/>
      <c r="AY189" s="788"/>
      <c r="AZ189" s="788"/>
      <c r="BA189" s="788"/>
      <c r="BB189" s="788"/>
      <c r="BC189" s="788"/>
      <c r="BD189" s="788"/>
      <c r="BE189" s="788"/>
    </row>
    <row r="190" spans="1:57" s="734" customFormat="1" ht="13.15" hidden="1" customHeight="1" outlineLevel="2" x14ac:dyDescent="0.2">
      <c r="A190" s="732"/>
      <c r="B190" s="732"/>
      <c r="C190" s="732"/>
      <c r="D190" s="732"/>
      <c r="E190" s="742" t="str">
        <f t="shared" ref="E190:AJ190" si="124" xml:space="preserve"> E$187</f>
        <v>Equity bridge commitment fee</v>
      </c>
      <c r="F190" s="742">
        <f t="shared" si="124"/>
        <v>0</v>
      </c>
      <c r="G190" s="742" t="str">
        <f t="shared" si="124"/>
        <v>$ 000s</v>
      </c>
      <c r="H190" s="742">
        <f t="shared" si="124"/>
        <v>160.09844613595186</v>
      </c>
      <c r="I190" s="742">
        <f t="shared" si="124"/>
        <v>0</v>
      </c>
      <c r="J190" s="742">
        <f t="shared" si="124"/>
        <v>0</v>
      </c>
      <c r="K190" s="742">
        <f t="shared" si="124"/>
        <v>0</v>
      </c>
      <c r="L190" s="742">
        <f t="shared" si="124"/>
        <v>0</v>
      </c>
      <c r="M190" s="742">
        <f t="shared" si="124"/>
        <v>0</v>
      </c>
      <c r="N190" s="742">
        <f t="shared" si="124"/>
        <v>46.160833193638979</v>
      </c>
      <c r="O190" s="742">
        <f t="shared" si="124"/>
        <v>37.270944178119898</v>
      </c>
      <c r="P190" s="742">
        <f t="shared" si="124"/>
        <v>30.847099566888641</v>
      </c>
      <c r="Q190" s="742">
        <f t="shared" si="124"/>
        <v>23.156718172278122</v>
      </c>
      <c r="R190" s="742">
        <f t="shared" si="124"/>
        <v>14.946594571813201</v>
      </c>
      <c r="S190" s="742">
        <f t="shared" si="124"/>
        <v>7.716127800922667</v>
      </c>
      <c r="T190" s="742">
        <f t="shared" si="124"/>
        <v>6.3479748587269577E-6</v>
      </c>
      <c r="U190" s="742">
        <f t="shared" si="124"/>
        <v>6.5595740206845229E-6</v>
      </c>
      <c r="V190" s="742">
        <f t="shared" si="124"/>
        <v>6.5595740206845229E-6</v>
      </c>
      <c r="W190" s="742">
        <f t="shared" si="124"/>
        <v>5.9247765348118271E-6</v>
      </c>
      <c r="X190" s="742">
        <f t="shared" si="124"/>
        <v>6.5595740206845229E-6</v>
      </c>
      <c r="Y190" s="742">
        <f t="shared" si="124"/>
        <v>6.3479748587269577E-6</v>
      </c>
      <c r="Z190" s="742">
        <f t="shared" si="124"/>
        <v>6.5595740206845229E-6</v>
      </c>
      <c r="AA190" s="742">
        <f t="shared" si="124"/>
        <v>6.3479748587269577E-6</v>
      </c>
      <c r="AB190" s="742">
        <f t="shared" si="124"/>
        <v>6.5595740206845229E-6</v>
      </c>
      <c r="AC190" s="742">
        <f t="shared" si="124"/>
        <v>6.5595740206845229E-6</v>
      </c>
      <c r="AD190" s="742">
        <f t="shared" si="124"/>
        <v>6.3479748587269577E-6</v>
      </c>
      <c r="AE190" s="742">
        <f t="shared" si="124"/>
        <v>6.5595740206845229E-6</v>
      </c>
      <c r="AF190" s="742">
        <f t="shared" si="124"/>
        <v>6.3479748587269577E-6</v>
      </c>
      <c r="AG190" s="742">
        <f t="shared" si="124"/>
        <v>6.5595740206845229E-6</v>
      </c>
      <c r="AH190" s="742">
        <f t="shared" si="124"/>
        <v>6.5595740206845229E-6</v>
      </c>
      <c r="AI190" s="742">
        <f t="shared" si="124"/>
        <v>6.1363756967693924E-6</v>
      </c>
      <c r="AJ190" s="742">
        <f t="shared" si="124"/>
        <v>6.5595740206845229E-6</v>
      </c>
      <c r="AK190" s="742">
        <f t="shared" ref="AK190:BE190" si="125" xml:space="preserve"> AK$187</f>
        <v>6.3479748587269577E-6</v>
      </c>
      <c r="AL190" s="742">
        <f t="shared" si="125"/>
        <v>6.5595740206845229E-6</v>
      </c>
      <c r="AM190" s="742">
        <f t="shared" si="125"/>
        <v>6.3479748587269577E-6</v>
      </c>
      <c r="AN190" s="742">
        <f t="shared" si="125"/>
        <v>0</v>
      </c>
      <c r="AO190" s="742">
        <f t="shared" si="125"/>
        <v>0</v>
      </c>
      <c r="AP190" s="742">
        <f t="shared" si="125"/>
        <v>0</v>
      </c>
      <c r="AQ190" s="742">
        <f t="shared" si="125"/>
        <v>0</v>
      </c>
      <c r="AR190" s="742">
        <f t="shared" si="125"/>
        <v>0</v>
      </c>
      <c r="AS190" s="742">
        <f t="shared" si="125"/>
        <v>0</v>
      </c>
      <c r="AT190" s="742">
        <f t="shared" si="125"/>
        <v>0</v>
      </c>
      <c r="AU190" s="742">
        <f t="shared" si="125"/>
        <v>0</v>
      </c>
      <c r="AV190" s="742">
        <f t="shared" si="125"/>
        <v>0</v>
      </c>
      <c r="AW190" s="742">
        <f t="shared" si="125"/>
        <v>0</v>
      </c>
      <c r="AX190" s="742">
        <f t="shared" si="125"/>
        <v>0</v>
      </c>
      <c r="AY190" s="742">
        <f t="shared" si="125"/>
        <v>0</v>
      </c>
      <c r="AZ190" s="742">
        <f t="shared" si="125"/>
        <v>0</v>
      </c>
      <c r="BA190" s="742">
        <f t="shared" si="125"/>
        <v>0</v>
      </c>
      <c r="BB190" s="742">
        <f t="shared" si="125"/>
        <v>0</v>
      </c>
      <c r="BC190" s="742">
        <f t="shared" si="125"/>
        <v>0</v>
      </c>
      <c r="BD190" s="742">
        <f t="shared" si="125"/>
        <v>0</v>
      </c>
      <c r="BE190" s="742">
        <f t="shared" si="125"/>
        <v>0</v>
      </c>
    </row>
    <row r="191" spans="1:57" s="757" customFormat="1" ht="13.15" hidden="1" customHeight="1" outlineLevel="2" x14ac:dyDescent="0.2">
      <c r="A191" s="769"/>
      <c r="B191" s="769"/>
      <c r="C191" s="769"/>
      <c r="D191" s="769"/>
      <c r="E191" s="770" t="s">
        <v>532</v>
      </c>
      <c r="F191" s="770"/>
      <c r="G191" s="770" t="str">
        <f>SMU</f>
        <v>$ 000s</v>
      </c>
      <c r="H191" s="770">
        <f xml:space="preserve"> SUM(J191:BE191)</f>
        <v>160.09844613595186</v>
      </c>
      <c r="I191" s="771"/>
      <c r="J191" s="770">
        <f t="shared" ref="J191:BE191" si="126" xml:space="preserve"> (1 - $F189) * J190</f>
        <v>0</v>
      </c>
      <c r="K191" s="770">
        <f t="shared" si="126"/>
        <v>0</v>
      </c>
      <c r="L191" s="770">
        <f t="shared" si="126"/>
        <v>0</v>
      </c>
      <c r="M191" s="770">
        <f t="shared" si="126"/>
        <v>0</v>
      </c>
      <c r="N191" s="770">
        <f t="shared" si="126"/>
        <v>46.160833193638979</v>
      </c>
      <c r="O191" s="770">
        <f t="shared" si="126"/>
        <v>37.270944178119898</v>
      </c>
      <c r="P191" s="770">
        <f t="shared" si="126"/>
        <v>30.847099566888641</v>
      </c>
      <c r="Q191" s="770">
        <f t="shared" si="126"/>
        <v>23.156718172278122</v>
      </c>
      <c r="R191" s="770">
        <f t="shared" si="126"/>
        <v>14.946594571813201</v>
      </c>
      <c r="S191" s="770">
        <f t="shared" si="126"/>
        <v>7.716127800922667</v>
      </c>
      <c r="T191" s="770">
        <f t="shared" si="126"/>
        <v>6.3479748587269577E-6</v>
      </c>
      <c r="U191" s="770">
        <f t="shared" si="126"/>
        <v>6.5595740206845229E-6</v>
      </c>
      <c r="V191" s="770">
        <f t="shared" si="126"/>
        <v>6.5595740206845229E-6</v>
      </c>
      <c r="W191" s="770">
        <f t="shared" si="126"/>
        <v>5.9247765348118271E-6</v>
      </c>
      <c r="X191" s="770">
        <f t="shared" si="126"/>
        <v>6.5595740206845229E-6</v>
      </c>
      <c r="Y191" s="770">
        <f t="shared" si="126"/>
        <v>6.3479748587269577E-6</v>
      </c>
      <c r="Z191" s="770">
        <f t="shared" si="126"/>
        <v>6.5595740206845229E-6</v>
      </c>
      <c r="AA191" s="770">
        <f t="shared" si="126"/>
        <v>6.3479748587269577E-6</v>
      </c>
      <c r="AB191" s="770">
        <f t="shared" si="126"/>
        <v>6.5595740206845229E-6</v>
      </c>
      <c r="AC191" s="770">
        <f t="shared" si="126"/>
        <v>6.5595740206845229E-6</v>
      </c>
      <c r="AD191" s="770">
        <f t="shared" si="126"/>
        <v>6.3479748587269577E-6</v>
      </c>
      <c r="AE191" s="770">
        <f t="shared" si="126"/>
        <v>6.5595740206845229E-6</v>
      </c>
      <c r="AF191" s="770">
        <f t="shared" si="126"/>
        <v>6.3479748587269577E-6</v>
      </c>
      <c r="AG191" s="770">
        <f t="shared" si="126"/>
        <v>6.5595740206845229E-6</v>
      </c>
      <c r="AH191" s="770">
        <f t="shared" si="126"/>
        <v>6.5595740206845229E-6</v>
      </c>
      <c r="AI191" s="770">
        <f t="shared" si="126"/>
        <v>6.1363756967693924E-6</v>
      </c>
      <c r="AJ191" s="770">
        <f t="shared" si="126"/>
        <v>6.5595740206845229E-6</v>
      </c>
      <c r="AK191" s="770">
        <f t="shared" si="126"/>
        <v>6.3479748587269577E-6</v>
      </c>
      <c r="AL191" s="770">
        <f t="shared" si="126"/>
        <v>6.5595740206845229E-6</v>
      </c>
      <c r="AM191" s="770">
        <f t="shared" si="126"/>
        <v>6.3479748587269577E-6</v>
      </c>
      <c r="AN191" s="770">
        <f t="shared" si="126"/>
        <v>0</v>
      </c>
      <c r="AO191" s="770">
        <f t="shared" si="126"/>
        <v>0</v>
      </c>
      <c r="AP191" s="770">
        <f t="shared" si="126"/>
        <v>0</v>
      </c>
      <c r="AQ191" s="770">
        <f t="shared" si="126"/>
        <v>0</v>
      </c>
      <c r="AR191" s="770">
        <f t="shared" si="126"/>
        <v>0</v>
      </c>
      <c r="AS191" s="770">
        <f t="shared" si="126"/>
        <v>0</v>
      </c>
      <c r="AT191" s="770">
        <f t="shared" si="126"/>
        <v>0</v>
      </c>
      <c r="AU191" s="770">
        <f t="shared" si="126"/>
        <v>0</v>
      </c>
      <c r="AV191" s="770">
        <f t="shared" si="126"/>
        <v>0</v>
      </c>
      <c r="AW191" s="770">
        <f t="shared" si="126"/>
        <v>0</v>
      </c>
      <c r="AX191" s="770">
        <f t="shared" si="126"/>
        <v>0</v>
      </c>
      <c r="AY191" s="770">
        <f t="shared" si="126"/>
        <v>0</v>
      </c>
      <c r="AZ191" s="770">
        <f t="shared" si="126"/>
        <v>0</v>
      </c>
      <c r="BA191" s="770">
        <f t="shared" si="126"/>
        <v>0</v>
      </c>
      <c r="BB191" s="770">
        <f t="shared" si="126"/>
        <v>0</v>
      </c>
      <c r="BC191" s="770">
        <f t="shared" si="126"/>
        <v>0</v>
      </c>
      <c r="BD191" s="770">
        <f t="shared" si="126"/>
        <v>0</v>
      </c>
      <c r="BE191" s="770">
        <f t="shared" si="126"/>
        <v>0</v>
      </c>
    </row>
    <row r="192" spans="1:57" s="734" customFormat="1" ht="13.15" hidden="1" customHeight="1" outlineLevel="2" x14ac:dyDescent="0.2">
      <c r="A192" s="732"/>
      <c r="B192" s="732"/>
      <c r="C192" s="732"/>
      <c r="D192" s="732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  <c r="AA192" s="114"/>
      <c r="AB192" s="114"/>
      <c r="AC192" s="114"/>
      <c r="AD192" s="114"/>
      <c r="AE192" s="114"/>
      <c r="AF192" s="114"/>
      <c r="AG192" s="114"/>
      <c r="AH192" s="114"/>
      <c r="AI192" s="114"/>
      <c r="AJ192" s="114"/>
      <c r="AK192" s="114"/>
      <c r="AL192" s="114"/>
      <c r="AM192" s="114"/>
      <c r="AN192" s="114"/>
      <c r="AO192" s="114"/>
      <c r="AP192" s="114"/>
      <c r="AQ192" s="114"/>
      <c r="AR192" s="114"/>
      <c r="AS192" s="114"/>
      <c r="AT192" s="114"/>
      <c r="AU192" s="114"/>
      <c r="AV192" s="114"/>
      <c r="AW192" s="114"/>
      <c r="AX192" s="114"/>
      <c r="AY192" s="114"/>
      <c r="AZ192" s="114"/>
      <c r="BA192" s="114"/>
      <c r="BB192" s="114"/>
      <c r="BC192" s="114"/>
      <c r="BD192" s="114"/>
      <c r="BE192" s="114"/>
    </row>
    <row r="193" spans="1:57" s="734" customFormat="1" ht="13.15" hidden="1" customHeight="1" outlineLevel="2" x14ac:dyDescent="0.2">
      <c r="A193" s="732"/>
      <c r="B193" s="732"/>
      <c r="C193" s="732"/>
      <c r="D193" s="732"/>
      <c r="E193" s="742" t="str">
        <f t="shared" ref="E193:AJ193" si="127" xml:space="preserve"> E$187</f>
        <v>Equity bridge commitment fee</v>
      </c>
      <c r="F193" s="742">
        <f t="shared" si="127"/>
        <v>0</v>
      </c>
      <c r="G193" s="742" t="str">
        <f t="shared" si="127"/>
        <v>$ 000s</v>
      </c>
      <c r="H193" s="742">
        <f t="shared" si="127"/>
        <v>160.09844613595186</v>
      </c>
      <c r="I193" s="742">
        <f t="shared" si="127"/>
        <v>0</v>
      </c>
      <c r="J193" s="742">
        <f t="shared" si="127"/>
        <v>0</v>
      </c>
      <c r="K193" s="742">
        <f t="shared" si="127"/>
        <v>0</v>
      </c>
      <c r="L193" s="742">
        <f t="shared" si="127"/>
        <v>0</v>
      </c>
      <c r="M193" s="742">
        <f t="shared" si="127"/>
        <v>0</v>
      </c>
      <c r="N193" s="742">
        <f t="shared" si="127"/>
        <v>46.160833193638979</v>
      </c>
      <c r="O193" s="742">
        <f t="shared" si="127"/>
        <v>37.270944178119898</v>
      </c>
      <c r="P193" s="742">
        <f t="shared" si="127"/>
        <v>30.847099566888641</v>
      </c>
      <c r="Q193" s="742">
        <f t="shared" si="127"/>
        <v>23.156718172278122</v>
      </c>
      <c r="R193" s="742">
        <f t="shared" si="127"/>
        <v>14.946594571813201</v>
      </c>
      <c r="S193" s="742">
        <f t="shared" si="127"/>
        <v>7.716127800922667</v>
      </c>
      <c r="T193" s="742">
        <f t="shared" si="127"/>
        <v>6.3479748587269577E-6</v>
      </c>
      <c r="U193" s="742">
        <f t="shared" si="127"/>
        <v>6.5595740206845229E-6</v>
      </c>
      <c r="V193" s="742">
        <f t="shared" si="127"/>
        <v>6.5595740206845229E-6</v>
      </c>
      <c r="W193" s="742">
        <f t="shared" si="127"/>
        <v>5.9247765348118271E-6</v>
      </c>
      <c r="X193" s="742">
        <f t="shared" si="127"/>
        <v>6.5595740206845229E-6</v>
      </c>
      <c r="Y193" s="742">
        <f t="shared" si="127"/>
        <v>6.3479748587269577E-6</v>
      </c>
      <c r="Z193" s="742">
        <f t="shared" si="127"/>
        <v>6.5595740206845229E-6</v>
      </c>
      <c r="AA193" s="742">
        <f t="shared" si="127"/>
        <v>6.3479748587269577E-6</v>
      </c>
      <c r="AB193" s="742">
        <f t="shared" si="127"/>
        <v>6.5595740206845229E-6</v>
      </c>
      <c r="AC193" s="742">
        <f t="shared" si="127"/>
        <v>6.5595740206845229E-6</v>
      </c>
      <c r="AD193" s="742">
        <f t="shared" si="127"/>
        <v>6.3479748587269577E-6</v>
      </c>
      <c r="AE193" s="742">
        <f t="shared" si="127"/>
        <v>6.5595740206845229E-6</v>
      </c>
      <c r="AF193" s="742">
        <f t="shared" si="127"/>
        <v>6.3479748587269577E-6</v>
      </c>
      <c r="AG193" s="742">
        <f t="shared" si="127"/>
        <v>6.5595740206845229E-6</v>
      </c>
      <c r="AH193" s="742">
        <f t="shared" si="127"/>
        <v>6.5595740206845229E-6</v>
      </c>
      <c r="AI193" s="742">
        <f t="shared" si="127"/>
        <v>6.1363756967693924E-6</v>
      </c>
      <c r="AJ193" s="742">
        <f t="shared" si="127"/>
        <v>6.5595740206845229E-6</v>
      </c>
      <c r="AK193" s="742">
        <f t="shared" ref="AK193:BE193" si="128" xml:space="preserve"> AK$187</f>
        <v>6.3479748587269577E-6</v>
      </c>
      <c r="AL193" s="742">
        <f t="shared" si="128"/>
        <v>6.5595740206845229E-6</v>
      </c>
      <c r="AM193" s="742">
        <f t="shared" si="128"/>
        <v>6.3479748587269577E-6</v>
      </c>
      <c r="AN193" s="742">
        <f t="shared" si="128"/>
        <v>0</v>
      </c>
      <c r="AO193" s="742">
        <f t="shared" si="128"/>
        <v>0</v>
      </c>
      <c r="AP193" s="742">
        <f t="shared" si="128"/>
        <v>0</v>
      </c>
      <c r="AQ193" s="742">
        <f t="shared" si="128"/>
        <v>0</v>
      </c>
      <c r="AR193" s="742">
        <f t="shared" si="128"/>
        <v>0</v>
      </c>
      <c r="AS193" s="742">
        <f t="shared" si="128"/>
        <v>0</v>
      </c>
      <c r="AT193" s="742">
        <f t="shared" si="128"/>
        <v>0</v>
      </c>
      <c r="AU193" s="742">
        <f t="shared" si="128"/>
        <v>0</v>
      </c>
      <c r="AV193" s="742">
        <f t="shared" si="128"/>
        <v>0</v>
      </c>
      <c r="AW193" s="742">
        <f t="shared" si="128"/>
        <v>0</v>
      </c>
      <c r="AX193" s="742">
        <f t="shared" si="128"/>
        <v>0</v>
      </c>
      <c r="AY193" s="742">
        <f t="shared" si="128"/>
        <v>0</v>
      </c>
      <c r="AZ193" s="742">
        <f t="shared" si="128"/>
        <v>0</v>
      </c>
      <c r="BA193" s="742">
        <f t="shared" si="128"/>
        <v>0</v>
      </c>
      <c r="BB193" s="742">
        <f t="shared" si="128"/>
        <v>0</v>
      </c>
      <c r="BC193" s="742">
        <f t="shared" si="128"/>
        <v>0</v>
      </c>
      <c r="BD193" s="742">
        <f t="shared" si="128"/>
        <v>0</v>
      </c>
      <c r="BE193" s="742">
        <f t="shared" si="128"/>
        <v>0</v>
      </c>
    </row>
    <row r="194" spans="1:57" s="734" customFormat="1" ht="13.15" hidden="1" customHeight="1" outlineLevel="2" x14ac:dyDescent="0.2">
      <c r="A194" s="732"/>
      <c r="B194" s="732"/>
      <c r="C194" s="732"/>
      <c r="D194" s="732"/>
      <c r="E194" s="742" t="str">
        <f t="shared" ref="E194:AJ194" si="129" xml:space="preserve"> E$191</f>
        <v>Equity bridge commitment fee - paid</v>
      </c>
      <c r="F194" s="742">
        <f t="shared" si="129"/>
        <v>0</v>
      </c>
      <c r="G194" s="742" t="str">
        <f t="shared" si="129"/>
        <v>$ 000s</v>
      </c>
      <c r="H194" s="742">
        <f t="shared" si="129"/>
        <v>160.09844613595186</v>
      </c>
      <c r="I194" s="742">
        <f t="shared" si="129"/>
        <v>0</v>
      </c>
      <c r="J194" s="742">
        <f t="shared" si="129"/>
        <v>0</v>
      </c>
      <c r="K194" s="742">
        <f t="shared" si="129"/>
        <v>0</v>
      </c>
      <c r="L194" s="742">
        <f t="shared" si="129"/>
        <v>0</v>
      </c>
      <c r="M194" s="742">
        <f t="shared" si="129"/>
        <v>0</v>
      </c>
      <c r="N194" s="742">
        <f t="shared" si="129"/>
        <v>46.160833193638979</v>
      </c>
      <c r="O194" s="742">
        <f t="shared" si="129"/>
        <v>37.270944178119898</v>
      </c>
      <c r="P194" s="742">
        <f t="shared" si="129"/>
        <v>30.847099566888641</v>
      </c>
      <c r="Q194" s="742">
        <f t="shared" si="129"/>
        <v>23.156718172278122</v>
      </c>
      <c r="R194" s="742">
        <f t="shared" si="129"/>
        <v>14.946594571813201</v>
      </c>
      <c r="S194" s="742">
        <f t="shared" si="129"/>
        <v>7.716127800922667</v>
      </c>
      <c r="T194" s="742">
        <f t="shared" si="129"/>
        <v>6.3479748587269577E-6</v>
      </c>
      <c r="U194" s="742">
        <f t="shared" si="129"/>
        <v>6.5595740206845229E-6</v>
      </c>
      <c r="V194" s="742">
        <f t="shared" si="129"/>
        <v>6.5595740206845229E-6</v>
      </c>
      <c r="W194" s="742">
        <f t="shared" si="129"/>
        <v>5.9247765348118271E-6</v>
      </c>
      <c r="X194" s="742">
        <f t="shared" si="129"/>
        <v>6.5595740206845229E-6</v>
      </c>
      <c r="Y194" s="742">
        <f t="shared" si="129"/>
        <v>6.3479748587269577E-6</v>
      </c>
      <c r="Z194" s="742">
        <f t="shared" si="129"/>
        <v>6.5595740206845229E-6</v>
      </c>
      <c r="AA194" s="742">
        <f t="shared" si="129"/>
        <v>6.3479748587269577E-6</v>
      </c>
      <c r="AB194" s="742">
        <f t="shared" si="129"/>
        <v>6.5595740206845229E-6</v>
      </c>
      <c r="AC194" s="742">
        <f t="shared" si="129"/>
        <v>6.5595740206845229E-6</v>
      </c>
      <c r="AD194" s="742">
        <f t="shared" si="129"/>
        <v>6.3479748587269577E-6</v>
      </c>
      <c r="AE194" s="742">
        <f t="shared" si="129"/>
        <v>6.5595740206845229E-6</v>
      </c>
      <c r="AF194" s="742">
        <f t="shared" si="129"/>
        <v>6.3479748587269577E-6</v>
      </c>
      <c r="AG194" s="742">
        <f t="shared" si="129"/>
        <v>6.5595740206845229E-6</v>
      </c>
      <c r="AH194" s="742">
        <f t="shared" si="129"/>
        <v>6.5595740206845229E-6</v>
      </c>
      <c r="AI194" s="742">
        <f t="shared" si="129"/>
        <v>6.1363756967693924E-6</v>
      </c>
      <c r="AJ194" s="742">
        <f t="shared" si="129"/>
        <v>6.5595740206845229E-6</v>
      </c>
      <c r="AK194" s="742">
        <f t="shared" ref="AK194:BE194" si="130" xml:space="preserve"> AK$191</f>
        <v>6.3479748587269577E-6</v>
      </c>
      <c r="AL194" s="742">
        <f t="shared" si="130"/>
        <v>6.5595740206845229E-6</v>
      </c>
      <c r="AM194" s="742">
        <f t="shared" si="130"/>
        <v>6.3479748587269577E-6</v>
      </c>
      <c r="AN194" s="742">
        <f t="shared" si="130"/>
        <v>0</v>
      </c>
      <c r="AO194" s="742">
        <f t="shared" si="130"/>
        <v>0</v>
      </c>
      <c r="AP194" s="742">
        <f t="shared" si="130"/>
        <v>0</v>
      </c>
      <c r="AQ194" s="742">
        <f t="shared" si="130"/>
        <v>0</v>
      </c>
      <c r="AR194" s="742">
        <f t="shared" si="130"/>
        <v>0</v>
      </c>
      <c r="AS194" s="742">
        <f t="shared" si="130"/>
        <v>0</v>
      </c>
      <c r="AT194" s="742">
        <f t="shared" si="130"/>
        <v>0</v>
      </c>
      <c r="AU194" s="742">
        <f t="shared" si="130"/>
        <v>0</v>
      </c>
      <c r="AV194" s="742">
        <f t="shared" si="130"/>
        <v>0</v>
      </c>
      <c r="AW194" s="742">
        <f t="shared" si="130"/>
        <v>0</v>
      </c>
      <c r="AX194" s="742">
        <f t="shared" si="130"/>
        <v>0</v>
      </c>
      <c r="AY194" s="742">
        <f t="shared" si="130"/>
        <v>0</v>
      </c>
      <c r="AZ194" s="742">
        <f t="shared" si="130"/>
        <v>0</v>
      </c>
      <c r="BA194" s="742">
        <f t="shared" si="130"/>
        <v>0</v>
      </c>
      <c r="BB194" s="742">
        <f t="shared" si="130"/>
        <v>0</v>
      </c>
      <c r="BC194" s="742">
        <f t="shared" si="130"/>
        <v>0</v>
      </c>
      <c r="BD194" s="742">
        <f t="shared" si="130"/>
        <v>0</v>
      </c>
      <c r="BE194" s="742">
        <f t="shared" si="130"/>
        <v>0</v>
      </c>
    </row>
    <row r="195" spans="1:57" s="734" customFormat="1" ht="13.15" hidden="1" customHeight="1" outlineLevel="2" x14ac:dyDescent="0.2">
      <c r="A195" s="732"/>
      <c r="B195" s="732"/>
      <c r="C195" s="732"/>
      <c r="D195" s="732"/>
      <c r="E195" s="742" t="s">
        <v>533</v>
      </c>
      <c r="F195" s="742"/>
      <c r="G195" s="742" t="str">
        <f>SMU</f>
        <v>$ 000s</v>
      </c>
      <c r="H195" s="742">
        <f xml:space="preserve"> SUM(J195:BE195)</f>
        <v>0</v>
      </c>
      <c r="I195" s="114"/>
      <c r="J195" s="742">
        <f t="shared" ref="J195:BE195" si="131" xml:space="preserve"> J193 - J194</f>
        <v>0</v>
      </c>
      <c r="K195" s="742">
        <f t="shared" si="131"/>
        <v>0</v>
      </c>
      <c r="L195" s="742">
        <f t="shared" si="131"/>
        <v>0</v>
      </c>
      <c r="M195" s="742">
        <f t="shared" si="131"/>
        <v>0</v>
      </c>
      <c r="N195" s="742">
        <f t="shared" si="131"/>
        <v>0</v>
      </c>
      <c r="O195" s="742">
        <f t="shared" si="131"/>
        <v>0</v>
      </c>
      <c r="P195" s="742">
        <f t="shared" si="131"/>
        <v>0</v>
      </c>
      <c r="Q195" s="742">
        <f t="shared" si="131"/>
        <v>0</v>
      </c>
      <c r="R195" s="742">
        <f t="shared" si="131"/>
        <v>0</v>
      </c>
      <c r="S195" s="742">
        <f t="shared" si="131"/>
        <v>0</v>
      </c>
      <c r="T195" s="742">
        <f t="shared" si="131"/>
        <v>0</v>
      </c>
      <c r="U195" s="742">
        <f t="shared" si="131"/>
        <v>0</v>
      </c>
      <c r="V195" s="742">
        <f t="shared" si="131"/>
        <v>0</v>
      </c>
      <c r="W195" s="742">
        <f t="shared" si="131"/>
        <v>0</v>
      </c>
      <c r="X195" s="742">
        <f t="shared" si="131"/>
        <v>0</v>
      </c>
      <c r="Y195" s="742">
        <f t="shared" si="131"/>
        <v>0</v>
      </c>
      <c r="Z195" s="742">
        <f t="shared" si="131"/>
        <v>0</v>
      </c>
      <c r="AA195" s="742">
        <f t="shared" si="131"/>
        <v>0</v>
      </c>
      <c r="AB195" s="742">
        <f t="shared" si="131"/>
        <v>0</v>
      </c>
      <c r="AC195" s="742">
        <f t="shared" si="131"/>
        <v>0</v>
      </c>
      <c r="AD195" s="742">
        <f t="shared" si="131"/>
        <v>0</v>
      </c>
      <c r="AE195" s="742">
        <f t="shared" si="131"/>
        <v>0</v>
      </c>
      <c r="AF195" s="742">
        <f t="shared" si="131"/>
        <v>0</v>
      </c>
      <c r="AG195" s="742">
        <f t="shared" si="131"/>
        <v>0</v>
      </c>
      <c r="AH195" s="742">
        <f t="shared" si="131"/>
        <v>0</v>
      </c>
      <c r="AI195" s="742">
        <f t="shared" si="131"/>
        <v>0</v>
      </c>
      <c r="AJ195" s="742">
        <f t="shared" si="131"/>
        <v>0</v>
      </c>
      <c r="AK195" s="742">
        <f t="shared" si="131"/>
        <v>0</v>
      </c>
      <c r="AL195" s="742">
        <f t="shared" si="131"/>
        <v>0</v>
      </c>
      <c r="AM195" s="742">
        <f t="shared" si="131"/>
        <v>0</v>
      </c>
      <c r="AN195" s="742">
        <f t="shared" si="131"/>
        <v>0</v>
      </c>
      <c r="AO195" s="742">
        <f t="shared" si="131"/>
        <v>0</v>
      </c>
      <c r="AP195" s="742">
        <f t="shared" si="131"/>
        <v>0</v>
      </c>
      <c r="AQ195" s="742">
        <f t="shared" si="131"/>
        <v>0</v>
      </c>
      <c r="AR195" s="742">
        <f t="shared" si="131"/>
        <v>0</v>
      </c>
      <c r="AS195" s="742">
        <f t="shared" si="131"/>
        <v>0</v>
      </c>
      <c r="AT195" s="742">
        <f t="shared" si="131"/>
        <v>0</v>
      </c>
      <c r="AU195" s="742">
        <f t="shared" si="131"/>
        <v>0</v>
      </c>
      <c r="AV195" s="742">
        <f t="shared" si="131"/>
        <v>0</v>
      </c>
      <c r="AW195" s="742">
        <f t="shared" si="131"/>
        <v>0</v>
      </c>
      <c r="AX195" s="742">
        <f t="shared" si="131"/>
        <v>0</v>
      </c>
      <c r="AY195" s="742">
        <f t="shared" si="131"/>
        <v>0</v>
      </c>
      <c r="AZ195" s="742">
        <f t="shared" si="131"/>
        <v>0</v>
      </c>
      <c r="BA195" s="742">
        <f t="shared" si="131"/>
        <v>0</v>
      </c>
      <c r="BB195" s="742">
        <f t="shared" si="131"/>
        <v>0</v>
      </c>
      <c r="BC195" s="742">
        <f t="shared" si="131"/>
        <v>0</v>
      </c>
      <c r="BD195" s="742">
        <f t="shared" si="131"/>
        <v>0</v>
      </c>
      <c r="BE195" s="742">
        <f t="shared" si="131"/>
        <v>0</v>
      </c>
    </row>
    <row r="196" spans="1:57" s="734" customFormat="1" ht="13.15" hidden="1" customHeight="1" outlineLevel="1" x14ac:dyDescent="0.2">
      <c r="A196" s="732"/>
      <c r="B196" s="732"/>
      <c r="C196" s="732"/>
      <c r="D196" s="732"/>
      <c r="E196" s="114"/>
      <c r="F196" s="114"/>
      <c r="G196" s="114"/>
      <c r="H196" s="114"/>
      <c r="I196" s="114"/>
      <c r="J196" s="114"/>
      <c r="K196" s="114"/>
      <c r="L196" s="114"/>
      <c r="M196" s="114"/>
      <c r="N196" s="114"/>
      <c r="O196" s="114"/>
      <c r="P196" s="114"/>
      <c r="Q196" s="114"/>
      <c r="R196" s="114"/>
      <c r="S196" s="114"/>
      <c r="T196" s="114"/>
      <c r="U196" s="114"/>
      <c r="V196" s="114"/>
      <c r="W196" s="114"/>
      <c r="X196" s="114"/>
      <c r="Y196" s="114"/>
      <c r="Z196" s="114"/>
      <c r="AA196" s="114"/>
      <c r="AB196" s="114"/>
      <c r="AC196" s="114"/>
      <c r="AD196" s="114"/>
      <c r="AE196" s="114"/>
      <c r="AF196" s="114"/>
      <c r="AG196" s="114"/>
      <c r="AH196" s="114"/>
      <c r="AI196" s="114"/>
      <c r="AJ196" s="114"/>
      <c r="AK196" s="114"/>
      <c r="AL196" s="114"/>
      <c r="AM196" s="114"/>
      <c r="AN196" s="114"/>
      <c r="AO196" s="114"/>
      <c r="AP196" s="114"/>
      <c r="AQ196" s="114"/>
      <c r="AR196" s="114"/>
      <c r="AS196" s="114"/>
      <c r="AT196" s="114"/>
      <c r="AU196" s="114"/>
      <c r="AV196" s="114"/>
      <c r="AW196" s="114"/>
      <c r="AX196" s="114"/>
      <c r="AY196" s="114"/>
      <c r="AZ196" s="114"/>
      <c r="BA196" s="114"/>
      <c r="BB196" s="114"/>
      <c r="BC196" s="114"/>
      <c r="BD196" s="114"/>
      <c r="BE196" s="114"/>
    </row>
    <row r="197" spans="1:57" s="734" customFormat="1" ht="13.15" hidden="1" customHeight="1" outlineLevel="1" x14ac:dyDescent="0.2">
      <c r="A197" s="732"/>
      <c r="B197" s="763" t="s">
        <v>534</v>
      </c>
      <c r="C197" s="732"/>
      <c r="D197" s="732"/>
      <c r="E197" s="114"/>
      <c r="F197" s="114"/>
      <c r="G197" s="114"/>
      <c r="H197" s="114"/>
      <c r="I197" s="114"/>
      <c r="J197" s="114"/>
      <c r="K197" s="114"/>
      <c r="L197" s="114"/>
      <c r="M197" s="114"/>
      <c r="N197" s="114"/>
      <c r="O197" s="114"/>
      <c r="P197" s="114"/>
      <c r="Q197" s="114"/>
      <c r="R197" s="114"/>
      <c r="S197" s="114"/>
      <c r="T197" s="114"/>
      <c r="U197" s="114"/>
      <c r="V197" s="114"/>
      <c r="W197" s="114"/>
      <c r="X197" s="114"/>
      <c r="Y197" s="114"/>
      <c r="Z197" s="114"/>
      <c r="AA197" s="114"/>
      <c r="AB197" s="114"/>
      <c r="AC197" s="114"/>
      <c r="AD197" s="114"/>
      <c r="AE197" s="114"/>
      <c r="AF197" s="114"/>
      <c r="AG197" s="114"/>
      <c r="AH197" s="114"/>
      <c r="AI197" s="114"/>
      <c r="AJ197" s="114"/>
      <c r="AK197" s="114"/>
      <c r="AL197" s="114"/>
      <c r="AM197" s="114"/>
      <c r="AN197" s="114"/>
      <c r="AO197" s="114"/>
      <c r="AP197" s="114"/>
      <c r="AQ197" s="114"/>
      <c r="AR197" s="114"/>
      <c r="AS197" s="114"/>
      <c r="AT197" s="114"/>
      <c r="AU197" s="114"/>
      <c r="AV197" s="114"/>
      <c r="AW197" s="114"/>
      <c r="AX197" s="114"/>
      <c r="AY197" s="114"/>
      <c r="AZ197" s="114"/>
      <c r="BA197" s="114"/>
      <c r="BB197" s="114"/>
      <c r="BC197" s="114"/>
      <c r="BD197" s="114"/>
      <c r="BE197" s="114"/>
    </row>
    <row r="198" spans="1:57" s="340" customFormat="1" ht="13.15" hidden="1" customHeight="1" outlineLevel="2" x14ac:dyDescent="0.2">
      <c r="A198" s="794"/>
      <c r="B198" s="794"/>
      <c r="C198" s="794"/>
      <c r="D198" s="794"/>
      <c r="E198" s="795" t="str">
        <f t="shared" ref="E198:AJ198" si="132" xml:space="preserve"> E$154</f>
        <v>Equity bridge interest - paid</v>
      </c>
      <c r="F198" s="795">
        <f t="shared" si="132"/>
        <v>0</v>
      </c>
      <c r="G198" s="795" t="str">
        <f t="shared" si="132"/>
        <v>$ 000s</v>
      </c>
      <c r="H198" s="795">
        <f t="shared" si="132"/>
        <v>6742.148787806902</v>
      </c>
      <c r="I198" s="795">
        <f t="shared" si="132"/>
        <v>0</v>
      </c>
      <c r="J198" s="795">
        <f t="shared" si="132"/>
        <v>0</v>
      </c>
      <c r="K198" s="795">
        <f t="shared" si="132"/>
        <v>0</v>
      </c>
      <c r="L198" s="795">
        <f t="shared" si="132"/>
        <v>0</v>
      </c>
      <c r="M198" s="795">
        <f t="shared" si="132"/>
        <v>0</v>
      </c>
      <c r="N198" s="795">
        <f t="shared" si="132"/>
        <v>51.127351986397699</v>
      </c>
      <c r="O198" s="795">
        <f t="shared" si="132"/>
        <v>88.949175262097128</v>
      </c>
      <c r="P198" s="795">
        <f t="shared" si="132"/>
        <v>132.80059799573283</v>
      </c>
      <c r="Q198" s="795">
        <f t="shared" si="132"/>
        <v>173.81596543365558</v>
      </c>
      <c r="R198" s="795">
        <f t="shared" si="132"/>
        <v>208.01237316239951</v>
      </c>
      <c r="S198" s="795">
        <f t="shared" si="132"/>
        <v>256.16578074755137</v>
      </c>
      <c r="T198" s="795">
        <f t="shared" si="132"/>
        <v>287.72751035620399</v>
      </c>
      <c r="U198" s="795">
        <f t="shared" si="132"/>
        <v>297.31842736807749</v>
      </c>
      <c r="V198" s="795">
        <f t="shared" si="132"/>
        <v>297.31842736807749</v>
      </c>
      <c r="W198" s="795">
        <f t="shared" si="132"/>
        <v>268.54567633245711</v>
      </c>
      <c r="X198" s="795">
        <f t="shared" si="132"/>
        <v>297.31842736807749</v>
      </c>
      <c r="Y198" s="795">
        <f t="shared" si="132"/>
        <v>287.72751035620399</v>
      </c>
      <c r="Z198" s="795">
        <f t="shared" si="132"/>
        <v>297.31842736807749</v>
      </c>
      <c r="AA198" s="795">
        <f t="shared" si="132"/>
        <v>287.72751035620399</v>
      </c>
      <c r="AB198" s="795">
        <f t="shared" si="132"/>
        <v>297.31842736807749</v>
      </c>
      <c r="AC198" s="795">
        <f t="shared" si="132"/>
        <v>297.31842736807749</v>
      </c>
      <c r="AD198" s="795">
        <f t="shared" si="132"/>
        <v>287.72751035620399</v>
      </c>
      <c r="AE198" s="795">
        <f t="shared" si="132"/>
        <v>297.31842736807749</v>
      </c>
      <c r="AF198" s="795">
        <f t="shared" si="132"/>
        <v>287.72751035620399</v>
      </c>
      <c r="AG198" s="795">
        <f t="shared" si="132"/>
        <v>297.31842736807749</v>
      </c>
      <c r="AH198" s="795">
        <f t="shared" si="132"/>
        <v>297.31842736807749</v>
      </c>
      <c r="AI198" s="795">
        <f t="shared" si="132"/>
        <v>278.13659334433055</v>
      </c>
      <c r="AJ198" s="795">
        <f t="shared" si="132"/>
        <v>297.31842736807749</v>
      </c>
      <c r="AK198" s="795">
        <f t="shared" ref="AK198:BE198" si="133" xml:space="preserve"> AK$154</f>
        <v>287.72751035620399</v>
      </c>
      <c r="AL198" s="795">
        <f t="shared" si="133"/>
        <v>297.31842736807749</v>
      </c>
      <c r="AM198" s="795">
        <f t="shared" si="133"/>
        <v>287.72751035620399</v>
      </c>
      <c r="AN198" s="795">
        <f t="shared" si="133"/>
        <v>0</v>
      </c>
      <c r="AO198" s="795">
        <f t="shared" si="133"/>
        <v>0</v>
      </c>
      <c r="AP198" s="795">
        <f t="shared" si="133"/>
        <v>0</v>
      </c>
      <c r="AQ198" s="795">
        <f t="shared" si="133"/>
        <v>0</v>
      </c>
      <c r="AR198" s="795">
        <f t="shared" si="133"/>
        <v>0</v>
      </c>
      <c r="AS198" s="795">
        <f t="shared" si="133"/>
        <v>0</v>
      </c>
      <c r="AT198" s="795">
        <f t="shared" si="133"/>
        <v>0</v>
      </c>
      <c r="AU198" s="795">
        <f t="shared" si="133"/>
        <v>0</v>
      </c>
      <c r="AV198" s="795">
        <f t="shared" si="133"/>
        <v>0</v>
      </c>
      <c r="AW198" s="795">
        <f t="shared" si="133"/>
        <v>0</v>
      </c>
      <c r="AX198" s="795">
        <f t="shared" si="133"/>
        <v>0</v>
      </c>
      <c r="AY198" s="795">
        <f t="shared" si="133"/>
        <v>0</v>
      </c>
      <c r="AZ198" s="795">
        <f t="shared" si="133"/>
        <v>0</v>
      </c>
      <c r="BA198" s="795">
        <f t="shared" si="133"/>
        <v>0</v>
      </c>
      <c r="BB198" s="795">
        <f t="shared" si="133"/>
        <v>0</v>
      </c>
      <c r="BC198" s="795">
        <f t="shared" si="133"/>
        <v>0</v>
      </c>
      <c r="BD198" s="795">
        <f t="shared" si="133"/>
        <v>0</v>
      </c>
      <c r="BE198" s="795">
        <f t="shared" si="133"/>
        <v>0</v>
      </c>
    </row>
    <row r="199" spans="1:57" s="734" customFormat="1" ht="13.15" hidden="1" customHeight="1" outlineLevel="2" x14ac:dyDescent="0.2">
      <c r="A199" s="732"/>
      <c r="B199" s="732"/>
      <c r="C199" s="732"/>
      <c r="D199" s="732"/>
      <c r="E199" s="740" t="str">
        <f t="shared" ref="E199:AJ199" si="134" xml:space="preserve"> E$168</f>
        <v>Equity bridge upfront fee - paid</v>
      </c>
      <c r="F199" s="740">
        <f t="shared" si="134"/>
        <v>0</v>
      </c>
      <c r="G199" s="740" t="str">
        <f t="shared" si="134"/>
        <v>$ 000s</v>
      </c>
      <c r="H199" s="740">
        <f t="shared" si="134"/>
        <v>1294.7739489543146</v>
      </c>
      <c r="I199" s="740">
        <f t="shared" si="134"/>
        <v>0</v>
      </c>
      <c r="J199" s="740">
        <f t="shared" si="134"/>
        <v>0</v>
      </c>
      <c r="K199" s="740">
        <f t="shared" si="134"/>
        <v>0</v>
      </c>
      <c r="L199" s="740">
        <f t="shared" si="134"/>
        <v>0</v>
      </c>
      <c r="M199" s="740">
        <f t="shared" si="134"/>
        <v>1294.7739489543146</v>
      </c>
      <c r="N199" s="740">
        <f t="shared" si="134"/>
        <v>0</v>
      </c>
      <c r="O199" s="740">
        <f t="shared" si="134"/>
        <v>0</v>
      </c>
      <c r="P199" s="740">
        <f t="shared" si="134"/>
        <v>0</v>
      </c>
      <c r="Q199" s="740">
        <f t="shared" si="134"/>
        <v>0</v>
      </c>
      <c r="R199" s="740">
        <f t="shared" si="134"/>
        <v>0</v>
      </c>
      <c r="S199" s="740">
        <f t="shared" si="134"/>
        <v>0</v>
      </c>
      <c r="T199" s="740">
        <f t="shared" si="134"/>
        <v>0</v>
      </c>
      <c r="U199" s="740">
        <f t="shared" si="134"/>
        <v>0</v>
      </c>
      <c r="V199" s="740">
        <f t="shared" si="134"/>
        <v>0</v>
      </c>
      <c r="W199" s="740">
        <f t="shared" si="134"/>
        <v>0</v>
      </c>
      <c r="X199" s="740">
        <f t="shared" si="134"/>
        <v>0</v>
      </c>
      <c r="Y199" s="740">
        <f t="shared" si="134"/>
        <v>0</v>
      </c>
      <c r="Z199" s="740">
        <f t="shared" si="134"/>
        <v>0</v>
      </c>
      <c r="AA199" s="740">
        <f t="shared" si="134"/>
        <v>0</v>
      </c>
      <c r="AB199" s="740">
        <f t="shared" si="134"/>
        <v>0</v>
      </c>
      <c r="AC199" s="740">
        <f t="shared" si="134"/>
        <v>0</v>
      </c>
      <c r="AD199" s="740">
        <f t="shared" si="134"/>
        <v>0</v>
      </c>
      <c r="AE199" s="740">
        <f t="shared" si="134"/>
        <v>0</v>
      </c>
      <c r="AF199" s="740">
        <f t="shared" si="134"/>
        <v>0</v>
      </c>
      <c r="AG199" s="740">
        <f t="shared" si="134"/>
        <v>0</v>
      </c>
      <c r="AH199" s="740">
        <f t="shared" si="134"/>
        <v>0</v>
      </c>
      <c r="AI199" s="740">
        <f t="shared" si="134"/>
        <v>0</v>
      </c>
      <c r="AJ199" s="740">
        <f t="shared" si="134"/>
        <v>0</v>
      </c>
      <c r="AK199" s="740">
        <f t="shared" ref="AK199:BE199" si="135" xml:space="preserve"> AK$168</f>
        <v>0</v>
      </c>
      <c r="AL199" s="740">
        <f t="shared" si="135"/>
        <v>0</v>
      </c>
      <c r="AM199" s="740">
        <f t="shared" si="135"/>
        <v>0</v>
      </c>
      <c r="AN199" s="740">
        <f t="shared" si="135"/>
        <v>0</v>
      </c>
      <c r="AO199" s="740">
        <f t="shared" si="135"/>
        <v>0</v>
      </c>
      <c r="AP199" s="740">
        <f t="shared" si="135"/>
        <v>0</v>
      </c>
      <c r="AQ199" s="740">
        <f t="shared" si="135"/>
        <v>0</v>
      </c>
      <c r="AR199" s="740">
        <f t="shared" si="135"/>
        <v>0</v>
      </c>
      <c r="AS199" s="740">
        <f t="shared" si="135"/>
        <v>0</v>
      </c>
      <c r="AT199" s="740">
        <f t="shared" si="135"/>
        <v>0</v>
      </c>
      <c r="AU199" s="740">
        <f t="shared" si="135"/>
        <v>0</v>
      </c>
      <c r="AV199" s="740">
        <f t="shared" si="135"/>
        <v>0</v>
      </c>
      <c r="AW199" s="740">
        <f t="shared" si="135"/>
        <v>0</v>
      </c>
      <c r="AX199" s="740">
        <f t="shared" si="135"/>
        <v>0</v>
      </c>
      <c r="AY199" s="740">
        <f t="shared" si="135"/>
        <v>0</v>
      </c>
      <c r="AZ199" s="740">
        <f t="shared" si="135"/>
        <v>0</v>
      </c>
      <c r="BA199" s="740">
        <f t="shared" si="135"/>
        <v>0</v>
      </c>
      <c r="BB199" s="740">
        <f t="shared" si="135"/>
        <v>0</v>
      </c>
      <c r="BC199" s="740">
        <f t="shared" si="135"/>
        <v>0</v>
      </c>
      <c r="BD199" s="740">
        <f t="shared" si="135"/>
        <v>0</v>
      </c>
      <c r="BE199" s="740">
        <f t="shared" si="135"/>
        <v>0</v>
      </c>
    </row>
    <row r="200" spans="1:57" s="734" customFormat="1" ht="13.15" hidden="1" customHeight="1" outlineLevel="2" x14ac:dyDescent="0.2">
      <c r="A200" s="732"/>
      <c r="B200" s="732"/>
      <c r="C200" s="732"/>
      <c r="D200" s="732"/>
      <c r="E200" s="740" t="str">
        <f t="shared" ref="E200:AJ200" si="136" xml:space="preserve"> E$191</f>
        <v>Equity bridge commitment fee - paid</v>
      </c>
      <c r="F200" s="740">
        <f t="shared" si="136"/>
        <v>0</v>
      </c>
      <c r="G200" s="740" t="str">
        <f t="shared" si="136"/>
        <v>$ 000s</v>
      </c>
      <c r="H200" s="740">
        <f t="shared" si="136"/>
        <v>160.09844613595186</v>
      </c>
      <c r="I200" s="740">
        <f t="shared" si="136"/>
        <v>0</v>
      </c>
      <c r="J200" s="740">
        <f t="shared" si="136"/>
        <v>0</v>
      </c>
      <c r="K200" s="740">
        <f t="shared" si="136"/>
        <v>0</v>
      </c>
      <c r="L200" s="740">
        <f t="shared" si="136"/>
        <v>0</v>
      </c>
      <c r="M200" s="740">
        <f t="shared" si="136"/>
        <v>0</v>
      </c>
      <c r="N200" s="740">
        <f t="shared" si="136"/>
        <v>46.160833193638979</v>
      </c>
      <c r="O200" s="740">
        <f t="shared" si="136"/>
        <v>37.270944178119898</v>
      </c>
      <c r="P200" s="740">
        <f t="shared" si="136"/>
        <v>30.847099566888641</v>
      </c>
      <c r="Q200" s="740">
        <f t="shared" si="136"/>
        <v>23.156718172278122</v>
      </c>
      <c r="R200" s="740">
        <f t="shared" si="136"/>
        <v>14.946594571813201</v>
      </c>
      <c r="S200" s="740">
        <f t="shared" si="136"/>
        <v>7.716127800922667</v>
      </c>
      <c r="T200" s="740">
        <f t="shared" si="136"/>
        <v>6.3479748587269577E-6</v>
      </c>
      <c r="U200" s="740">
        <f t="shared" si="136"/>
        <v>6.5595740206845229E-6</v>
      </c>
      <c r="V200" s="740">
        <f t="shared" si="136"/>
        <v>6.5595740206845229E-6</v>
      </c>
      <c r="W200" s="740">
        <f t="shared" si="136"/>
        <v>5.9247765348118271E-6</v>
      </c>
      <c r="X200" s="740">
        <f t="shared" si="136"/>
        <v>6.5595740206845229E-6</v>
      </c>
      <c r="Y200" s="740">
        <f t="shared" si="136"/>
        <v>6.3479748587269577E-6</v>
      </c>
      <c r="Z200" s="740">
        <f t="shared" si="136"/>
        <v>6.5595740206845229E-6</v>
      </c>
      <c r="AA200" s="740">
        <f t="shared" si="136"/>
        <v>6.3479748587269577E-6</v>
      </c>
      <c r="AB200" s="740">
        <f t="shared" si="136"/>
        <v>6.5595740206845229E-6</v>
      </c>
      <c r="AC200" s="740">
        <f t="shared" si="136"/>
        <v>6.5595740206845229E-6</v>
      </c>
      <c r="AD200" s="740">
        <f t="shared" si="136"/>
        <v>6.3479748587269577E-6</v>
      </c>
      <c r="AE200" s="740">
        <f t="shared" si="136"/>
        <v>6.5595740206845229E-6</v>
      </c>
      <c r="AF200" s="740">
        <f t="shared" si="136"/>
        <v>6.3479748587269577E-6</v>
      </c>
      <c r="AG200" s="740">
        <f t="shared" si="136"/>
        <v>6.5595740206845229E-6</v>
      </c>
      <c r="AH200" s="740">
        <f t="shared" si="136"/>
        <v>6.5595740206845229E-6</v>
      </c>
      <c r="AI200" s="740">
        <f t="shared" si="136"/>
        <v>6.1363756967693924E-6</v>
      </c>
      <c r="AJ200" s="740">
        <f t="shared" si="136"/>
        <v>6.5595740206845229E-6</v>
      </c>
      <c r="AK200" s="740">
        <f t="shared" ref="AK200:BE200" si="137" xml:space="preserve"> AK$191</f>
        <v>6.3479748587269577E-6</v>
      </c>
      <c r="AL200" s="740">
        <f t="shared" si="137"/>
        <v>6.5595740206845229E-6</v>
      </c>
      <c r="AM200" s="740">
        <f t="shared" si="137"/>
        <v>6.3479748587269577E-6</v>
      </c>
      <c r="AN200" s="740">
        <f t="shared" si="137"/>
        <v>0</v>
      </c>
      <c r="AO200" s="740">
        <f t="shared" si="137"/>
        <v>0</v>
      </c>
      <c r="AP200" s="740">
        <f t="shared" si="137"/>
        <v>0</v>
      </c>
      <c r="AQ200" s="740">
        <f t="shared" si="137"/>
        <v>0</v>
      </c>
      <c r="AR200" s="740">
        <f t="shared" si="137"/>
        <v>0</v>
      </c>
      <c r="AS200" s="740">
        <f t="shared" si="137"/>
        <v>0</v>
      </c>
      <c r="AT200" s="740">
        <f t="shared" si="137"/>
        <v>0</v>
      </c>
      <c r="AU200" s="740">
        <f t="shared" si="137"/>
        <v>0</v>
      </c>
      <c r="AV200" s="740">
        <f t="shared" si="137"/>
        <v>0</v>
      </c>
      <c r="AW200" s="740">
        <f t="shared" si="137"/>
        <v>0</v>
      </c>
      <c r="AX200" s="740">
        <f t="shared" si="137"/>
        <v>0</v>
      </c>
      <c r="AY200" s="740">
        <f t="shared" si="137"/>
        <v>0</v>
      </c>
      <c r="AZ200" s="740">
        <f t="shared" si="137"/>
        <v>0</v>
      </c>
      <c r="BA200" s="740">
        <f t="shared" si="137"/>
        <v>0</v>
      </c>
      <c r="BB200" s="740">
        <f t="shared" si="137"/>
        <v>0</v>
      </c>
      <c r="BC200" s="740">
        <f t="shared" si="137"/>
        <v>0</v>
      </c>
      <c r="BD200" s="740">
        <f t="shared" si="137"/>
        <v>0</v>
      </c>
      <c r="BE200" s="740">
        <f t="shared" si="137"/>
        <v>0</v>
      </c>
    </row>
    <row r="201" spans="1:57" s="340" customFormat="1" ht="13.15" hidden="1" customHeight="1" outlineLevel="2" x14ac:dyDescent="0.2">
      <c r="A201" s="794"/>
      <c r="B201" s="794"/>
      <c r="C201" s="794"/>
      <c r="D201" s="794"/>
      <c r="E201" s="796" t="s">
        <v>535</v>
      </c>
      <c r="F201" s="796"/>
      <c r="G201" s="796" t="str">
        <f>SMU</f>
        <v>$ 000s</v>
      </c>
      <c r="H201" s="796">
        <f xml:space="preserve"> SUM(J201:BE201)</f>
        <v>8197.0211828971678</v>
      </c>
      <c r="I201" s="797"/>
      <c r="J201" s="796">
        <f t="shared" ref="J201:BE201" si="138">SUM(J198:J200)</f>
        <v>0</v>
      </c>
      <c r="K201" s="796">
        <f t="shared" si="138"/>
        <v>0</v>
      </c>
      <c r="L201" s="796">
        <f t="shared" si="138"/>
        <v>0</v>
      </c>
      <c r="M201" s="796">
        <f t="shared" si="138"/>
        <v>1294.7739489543146</v>
      </c>
      <c r="N201" s="796">
        <f t="shared" si="138"/>
        <v>97.288185180036677</v>
      </c>
      <c r="O201" s="796">
        <f t="shared" si="138"/>
        <v>126.22011944021702</v>
      </c>
      <c r="P201" s="796">
        <f t="shared" si="138"/>
        <v>163.64769756262146</v>
      </c>
      <c r="Q201" s="796">
        <f t="shared" si="138"/>
        <v>196.9726836059337</v>
      </c>
      <c r="R201" s="796">
        <f t="shared" si="138"/>
        <v>222.95896773421271</v>
      </c>
      <c r="S201" s="796">
        <f t="shared" si="138"/>
        <v>263.88190854847403</v>
      </c>
      <c r="T201" s="796">
        <f t="shared" si="138"/>
        <v>287.72751670417887</v>
      </c>
      <c r="U201" s="796">
        <f t="shared" si="138"/>
        <v>297.31843392765154</v>
      </c>
      <c r="V201" s="796">
        <f t="shared" si="138"/>
        <v>297.31843392765154</v>
      </c>
      <c r="W201" s="796">
        <f t="shared" si="138"/>
        <v>268.54568225723364</v>
      </c>
      <c r="X201" s="796">
        <f t="shared" si="138"/>
        <v>297.31843392765154</v>
      </c>
      <c r="Y201" s="796">
        <f t="shared" si="138"/>
        <v>287.72751670417887</v>
      </c>
      <c r="Z201" s="796">
        <f t="shared" si="138"/>
        <v>297.31843392765154</v>
      </c>
      <c r="AA201" s="796">
        <f t="shared" si="138"/>
        <v>287.72751670417887</v>
      </c>
      <c r="AB201" s="796">
        <f t="shared" si="138"/>
        <v>297.31843392765154</v>
      </c>
      <c r="AC201" s="796">
        <f t="shared" si="138"/>
        <v>297.31843392765154</v>
      </c>
      <c r="AD201" s="796">
        <f t="shared" si="138"/>
        <v>287.72751670417887</v>
      </c>
      <c r="AE201" s="796">
        <f t="shared" si="138"/>
        <v>297.31843392765154</v>
      </c>
      <c r="AF201" s="796">
        <f t="shared" si="138"/>
        <v>287.72751670417887</v>
      </c>
      <c r="AG201" s="796">
        <f t="shared" si="138"/>
        <v>297.31843392765154</v>
      </c>
      <c r="AH201" s="796">
        <f t="shared" si="138"/>
        <v>297.31843392765154</v>
      </c>
      <c r="AI201" s="796">
        <f t="shared" si="138"/>
        <v>278.13659948070625</v>
      </c>
      <c r="AJ201" s="796">
        <f t="shared" si="138"/>
        <v>297.31843392765154</v>
      </c>
      <c r="AK201" s="796">
        <f t="shared" si="138"/>
        <v>287.72751670417887</v>
      </c>
      <c r="AL201" s="796">
        <f t="shared" si="138"/>
        <v>297.31843392765154</v>
      </c>
      <c r="AM201" s="796">
        <f t="shared" si="138"/>
        <v>287.72751670417887</v>
      </c>
      <c r="AN201" s="796">
        <f t="shared" si="138"/>
        <v>0</v>
      </c>
      <c r="AO201" s="796">
        <f t="shared" si="138"/>
        <v>0</v>
      </c>
      <c r="AP201" s="796">
        <f t="shared" si="138"/>
        <v>0</v>
      </c>
      <c r="AQ201" s="796">
        <f t="shared" si="138"/>
        <v>0</v>
      </c>
      <c r="AR201" s="796">
        <f t="shared" si="138"/>
        <v>0</v>
      </c>
      <c r="AS201" s="796">
        <f t="shared" si="138"/>
        <v>0</v>
      </c>
      <c r="AT201" s="796">
        <f t="shared" si="138"/>
        <v>0</v>
      </c>
      <c r="AU201" s="796">
        <f t="shared" si="138"/>
        <v>0</v>
      </c>
      <c r="AV201" s="796">
        <f t="shared" si="138"/>
        <v>0</v>
      </c>
      <c r="AW201" s="796">
        <f t="shared" si="138"/>
        <v>0</v>
      </c>
      <c r="AX201" s="796">
        <f t="shared" si="138"/>
        <v>0</v>
      </c>
      <c r="AY201" s="796">
        <f t="shared" si="138"/>
        <v>0</v>
      </c>
      <c r="AZ201" s="796">
        <f t="shared" si="138"/>
        <v>0</v>
      </c>
      <c r="BA201" s="796">
        <f t="shared" si="138"/>
        <v>0</v>
      </c>
      <c r="BB201" s="796">
        <f t="shared" si="138"/>
        <v>0</v>
      </c>
      <c r="BC201" s="796">
        <f t="shared" si="138"/>
        <v>0</v>
      </c>
      <c r="BD201" s="796">
        <f t="shared" si="138"/>
        <v>0</v>
      </c>
      <c r="BE201" s="796">
        <f t="shared" si="138"/>
        <v>0</v>
      </c>
    </row>
    <row r="202" spans="1:57" s="734" customFormat="1" ht="13.15" hidden="1" customHeight="1" outlineLevel="2" x14ac:dyDescent="0.2">
      <c r="A202" s="732"/>
      <c r="B202" s="732"/>
      <c r="C202" s="732"/>
      <c r="D202" s="732"/>
      <c r="E202" s="798" t="str">
        <f xml:space="preserve"> LEFT(E201, LEN(E201) - 4)</f>
        <v>Equity bridge interest and fees paid</v>
      </c>
      <c r="F202" s="798"/>
      <c r="G202" s="798" t="str">
        <f>SMU</f>
        <v>$ 000s</v>
      </c>
      <c r="H202" s="798">
        <f xml:space="preserve"> SUM(J202:BE202)</f>
        <v>-8197.0211828971678</v>
      </c>
      <c r="I202" s="114"/>
      <c r="J202" s="798">
        <f t="shared" ref="J202:BE202" si="139" xml:space="preserve"> -1 * J201</f>
        <v>0</v>
      </c>
      <c r="K202" s="798">
        <f t="shared" si="139"/>
        <v>0</v>
      </c>
      <c r="L202" s="798">
        <f t="shared" si="139"/>
        <v>0</v>
      </c>
      <c r="M202" s="798">
        <f t="shared" si="139"/>
        <v>-1294.7739489543146</v>
      </c>
      <c r="N202" s="798">
        <f t="shared" si="139"/>
        <v>-97.288185180036677</v>
      </c>
      <c r="O202" s="798">
        <f t="shared" si="139"/>
        <v>-126.22011944021702</v>
      </c>
      <c r="P202" s="798">
        <f t="shared" si="139"/>
        <v>-163.64769756262146</v>
      </c>
      <c r="Q202" s="798">
        <f t="shared" si="139"/>
        <v>-196.9726836059337</v>
      </c>
      <c r="R202" s="798">
        <f t="shared" si="139"/>
        <v>-222.95896773421271</v>
      </c>
      <c r="S202" s="798">
        <f t="shared" si="139"/>
        <v>-263.88190854847403</v>
      </c>
      <c r="T202" s="798">
        <f t="shared" si="139"/>
        <v>-287.72751670417887</v>
      </c>
      <c r="U202" s="798">
        <f t="shared" si="139"/>
        <v>-297.31843392765154</v>
      </c>
      <c r="V202" s="798">
        <f t="shared" si="139"/>
        <v>-297.31843392765154</v>
      </c>
      <c r="W202" s="798">
        <f t="shared" si="139"/>
        <v>-268.54568225723364</v>
      </c>
      <c r="X202" s="798">
        <f t="shared" si="139"/>
        <v>-297.31843392765154</v>
      </c>
      <c r="Y202" s="798">
        <f t="shared" si="139"/>
        <v>-287.72751670417887</v>
      </c>
      <c r="Z202" s="798">
        <f t="shared" si="139"/>
        <v>-297.31843392765154</v>
      </c>
      <c r="AA202" s="798">
        <f t="shared" si="139"/>
        <v>-287.72751670417887</v>
      </c>
      <c r="AB202" s="798">
        <f t="shared" si="139"/>
        <v>-297.31843392765154</v>
      </c>
      <c r="AC202" s="798">
        <f t="shared" si="139"/>
        <v>-297.31843392765154</v>
      </c>
      <c r="AD202" s="798">
        <f t="shared" si="139"/>
        <v>-287.72751670417887</v>
      </c>
      <c r="AE202" s="798">
        <f t="shared" si="139"/>
        <v>-297.31843392765154</v>
      </c>
      <c r="AF202" s="798">
        <f t="shared" si="139"/>
        <v>-287.72751670417887</v>
      </c>
      <c r="AG202" s="798">
        <f t="shared" si="139"/>
        <v>-297.31843392765154</v>
      </c>
      <c r="AH202" s="798">
        <f t="shared" si="139"/>
        <v>-297.31843392765154</v>
      </c>
      <c r="AI202" s="798">
        <f t="shared" si="139"/>
        <v>-278.13659948070625</v>
      </c>
      <c r="AJ202" s="798">
        <f t="shared" si="139"/>
        <v>-297.31843392765154</v>
      </c>
      <c r="AK202" s="798">
        <f t="shared" si="139"/>
        <v>-287.72751670417887</v>
      </c>
      <c r="AL202" s="798">
        <f t="shared" si="139"/>
        <v>-297.31843392765154</v>
      </c>
      <c r="AM202" s="798">
        <f t="shared" si="139"/>
        <v>-287.72751670417887</v>
      </c>
      <c r="AN202" s="798">
        <f t="shared" si="139"/>
        <v>0</v>
      </c>
      <c r="AO202" s="798">
        <f t="shared" si="139"/>
        <v>0</v>
      </c>
      <c r="AP202" s="798">
        <f t="shared" si="139"/>
        <v>0</v>
      </c>
      <c r="AQ202" s="798">
        <f t="shared" si="139"/>
        <v>0</v>
      </c>
      <c r="AR202" s="798">
        <f t="shared" si="139"/>
        <v>0</v>
      </c>
      <c r="AS202" s="798">
        <f t="shared" si="139"/>
        <v>0</v>
      </c>
      <c r="AT202" s="798">
        <f t="shared" si="139"/>
        <v>0</v>
      </c>
      <c r="AU202" s="798">
        <f t="shared" si="139"/>
        <v>0</v>
      </c>
      <c r="AV202" s="798">
        <f t="shared" si="139"/>
        <v>0</v>
      </c>
      <c r="AW202" s="798">
        <f t="shared" si="139"/>
        <v>0</v>
      </c>
      <c r="AX202" s="798">
        <f t="shared" si="139"/>
        <v>0</v>
      </c>
      <c r="AY202" s="798">
        <f t="shared" si="139"/>
        <v>0</v>
      </c>
      <c r="AZ202" s="798">
        <f t="shared" si="139"/>
        <v>0</v>
      </c>
      <c r="BA202" s="798">
        <f t="shared" si="139"/>
        <v>0</v>
      </c>
      <c r="BB202" s="798">
        <f t="shared" si="139"/>
        <v>0</v>
      </c>
      <c r="BC202" s="798">
        <f t="shared" si="139"/>
        <v>0</v>
      </c>
      <c r="BD202" s="798">
        <f t="shared" si="139"/>
        <v>0</v>
      </c>
      <c r="BE202" s="798">
        <f t="shared" si="139"/>
        <v>0</v>
      </c>
    </row>
    <row r="203" spans="1:57" s="734" customFormat="1" ht="13.15" hidden="1" customHeight="1" outlineLevel="1" x14ac:dyDescent="0.2">
      <c r="A203" s="732"/>
      <c r="B203" s="732"/>
      <c r="C203" s="732"/>
      <c r="D203" s="732"/>
      <c r="E203" s="114"/>
      <c r="F203" s="114"/>
      <c r="G203" s="114"/>
      <c r="H203" s="114"/>
      <c r="I203" s="114"/>
      <c r="J203" s="114"/>
      <c r="K203" s="114"/>
      <c r="L203" s="114"/>
      <c r="M203" s="114"/>
      <c r="N203" s="114"/>
      <c r="O203" s="114"/>
      <c r="P203" s="114"/>
      <c r="Q203" s="114"/>
      <c r="R203" s="114"/>
      <c r="S203" s="114"/>
      <c r="T203" s="114"/>
      <c r="U203" s="114"/>
      <c r="V203" s="114"/>
      <c r="W203" s="114"/>
      <c r="X203" s="114"/>
      <c r="Y203" s="114"/>
      <c r="Z203" s="114"/>
      <c r="AA203" s="114"/>
      <c r="AB203" s="114"/>
      <c r="AC203" s="114"/>
      <c r="AD203" s="114"/>
      <c r="AE203" s="114"/>
      <c r="AF203" s="114"/>
      <c r="AG203" s="114"/>
      <c r="AH203" s="114"/>
      <c r="AI203" s="114"/>
      <c r="AJ203" s="114"/>
      <c r="AK203" s="114"/>
      <c r="AL203" s="114"/>
      <c r="AM203" s="114"/>
      <c r="AN203" s="114"/>
      <c r="AO203" s="114"/>
      <c r="AP203" s="114"/>
      <c r="AQ203" s="114"/>
      <c r="AR203" s="114"/>
      <c r="AS203" s="114"/>
      <c r="AT203" s="114"/>
      <c r="AU203" s="114"/>
      <c r="AV203" s="114"/>
      <c r="AW203" s="114"/>
      <c r="AX203" s="114"/>
      <c r="AY203" s="114"/>
      <c r="AZ203" s="114"/>
      <c r="BA203" s="114"/>
      <c r="BB203" s="114"/>
      <c r="BC203" s="114"/>
      <c r="BD203" s="114"/>
      <c r="BE203" s="114"/>
    </row>
    <row r="204" spans="1:57" s="734" customFormat="1" ht="13.15" hidden="1" customHeight="1" outlineLevel="1" x14ac:dyDescent="0.2">
      <c r="A204" s="732"/>
      <c r="B204" s="763" t="s">
        <v>536</v>
      </c>
      <c r="C204" s="732"/>
      <c r="D204" s="732"/>
      <c r="E204" s="114"/>
      <c r="F204" s="114"/>
      <c r="G204" s="114"/>
      <c r="H204" s="114"/>
      <c r="I204" s="114"/>
      <c r="J204" s="114"/>
      <c r="K204" s="114"/>
      <c r="L204" s="114"/>
      <c r="M204" s="114"/>
      <c r="N204" s="114"/>
      <c r="O204" s="114"/>
      <c r="P204" s="114"/>
      <c r="Q204" s="114"/>
      <c r="R204" s="114"/>
      <c r="S204" s="114"/>
      <c r="T204" s="114"/>
      <c r="U204" s="114"/>
      <c r="V204" s="114"/>
      <c r="W204" s="114"/>
      <c r="X204" s="114"/>
      <c r="Y204" s="114"/>
      <c r="Z204" s="114"/>
      <c r="AA204" s="114"/>
      <c r="AB204" s="114"/>
      <c r="AC204" s="114"/>
      <c r="AD204" s="114"/>
      <c r="AE204" s="114"/>
      <c r="AF204" s="114"/>
      <c r="AG204" s="114"/>
      <c r="AH204" s="114"/>
      <c r="AI204" s="114"/>
      <c r="AJ204" s="114"/>
      <c r="AK204" s="114"/>
      <c r="AL204" s="114"/>
      <c r="AM204" s="114"/>
      <c r="AN204" s="114"/>
      <c r="AO204" s="114"/>
      <c r="AP204" s="114"/>
      <c r="AQ204" s="114"/>
      <c r="AR204" s="114"/>
      <c r="AS204" s="114"/>
      <c r="AT204" s="114"/>
      <c r="AU204" s="114"/>
      <c r="AV204" s="114"/>
      <c r="AW204" s="114"/>
      <c r="AX204" s="114"/>
      <c r="AY204" s="114"/>
      <c r="AZ204" s="114"/>
      <c r="BA204" s="114"/>
      <c r="BB204" s="114"/>
      <c r="BC204" s="114"/>
      <c r="BD204" s="114"/>
      <c r="BE204" s="114"/>
    </row>
    <row r="205" spans="1:57" s="734" customFormat="1" ht="13.15" hidden="1" customHeight="1" outlineLevel="2" x14ac:dyDescent="0.2">
      <c r="A205" s="732"/>
      <c r="B205" s="732"/>
      <c r="C205" s="732"/>
      <c r="D205" s="732"/>
      <c r="E205" s="740" t="str">
        <f t="shared" ref="E205:AJ205" si="140" xml:space="preserve"> E$158</f>
        <v>Equity bridge interest - rolled up</v>
      </c>
      <c r="F205" s="740">
        <f t="shared" si="140"/>
        <v>0</v>
      </c>
      <c r="G205" s="740" t="str">
        <f t="shared" si="140"/>
        <v>$ 000s</v>
      </c>
      <c r="H205" s="740">
        <f t="shared" si="140"/>
        <v>0</v>
      </c>
      <c r="I205" s="740">
        <f t="shared" si="140"/>
        <v>0</v>
      </c>
      <c r="J205" s="740">
        <f t="shared" si="140"/>
        <v>0</v>
      </c>
      <c r="K205" s="740">
        <f t="shared" si="140"/>
        <v>0</v>
      </c>
      <c r="L205" s="740">
        <f t="shared" si="140"/>
        <v>0</v>
      </c>
      <c r="M205" s="740">
        <f t="shared" si="140"/>
        <v>0</v>
      </c>
      <c r="N205" s="740">
        <f t="shared" si="140"/>
        <v>0</v>
      </c>
      <c r="O205" s="740">
        <f t="shared" si="140"/>
        <v>0</v>
      </c>
      <c r="P205" s="740">
        <f t="shared" si="140"/>
        <v>0</v>
      </c>
      <c r="Q205" s="740">
        <f t="shared" si="140"/>
        <v>0</v>
      </c>
      <c r="R205" s="740">
        <f t="shared" si="140"/>
        <v>0</v>
      </c>
      <c r="S205" s="740">
        <f t="shared" si="140"/>
        <v>0</v>
      </c>
      <c r="T205" s="740">
        <f t="shared" si="140"/>
        <v>0</v>
      </c>
      <c r="U205" s="740">
        <f t="shared" si="140"/>
        <v>0</v>
      </c>
      <c r="V205" s="740">
        <f t="shared" si="140"/>
        <v>0</v>
      </c>
      <c r="W205" s="740">
        <f t="shared" si="140"/>
        <v>0</v>
      </c>
      <c r="X205" s="740">
        <f t="shared" si="140"/>
        <v>0</v>
      </c>
      <c r="Y205" s="740">
        <f t="shared" si="140"/>
        <v>0</v>
      </c>
      <c r="Z205" s="740">
        <f t="shared" si="140"/>
        <v>0</v>
      </c>
      <c r="AA205" s="740">
        <f t="shared" si="140"/>
        <v>0</v>
      </c>
      <c r="AB205" s="740">
        <f t="shared" si="140"/>
        <v>0</v>
      </c>
      <c r="AC205" s="740">
        <f t="shared" si="140"/>
        <v>0</v>
      </c>
      <c r="AD205" s="740">
        <f t="shared" si="140"/>
        <v>0</v>
      </c>
      <c r="AE205" s="740">
        <f t="shared" si="140"/>
        <v>0</v>
      </c>
      <c r="AF205" s="740">
        <f t="shared" si="140"/>
        <v>0</v>
      </c>
      <c r="AG205" s="740">
        <f t="shared" si="140"/>
        <v>0</v>
      </c>
      <c r="AH205" s="740">
        <f t="shared" si="140"/>
        <v>0</v>
      </c>
      <c r="AI205" s="740">
        <f t="shared" si="140"/>
        <v>0</v>
      </c>
      <c r="AJ205" s="740">
        <f t="shared" si="140"/>
        <v>0</v>
      </c>
      <c r="AK205" s="740">
        <f t="shared" ref="AK205:BE205" si="141" xml:space="preserve"> AK$158</f>
        <v>0</v>
      </c>
      <c r="AL205" s="740">
        <f t="shared" si="141"/>
        <v>0</v>
      </c>
      <c r="AM205" s="740">
        <f t="shared" si="141"/>
        <v>0</v>
      </c>
      <c r="AN205" s="740">
        <f t="shared" si="141"/>
        <v>0</v>
      </c>
      <c r="AO205" s="740">
        <f t="shared" si="141"/>
        <v>0</v>
      </c>
      <c r="AP205" s="740">
        <f t="shared" si="141"/>
        <v>0</v>
      </c>
      <c r="AQ205" s="740">
        <f t="shared" si="141"/>
        <v>0</v>
      </c>
      <c r="AR205" s="740">
        <f t="shared" si="141"/>
        <v>0</v>
      </c>
      <c r="AS205" s="740">
        <f t="shared" si="141"/>
        <v>0</v>
      </c>
      <c r="AT205" s="740">
        <f t="shared" si="141"/>
        <v>0</v>
      </c>
      <c r="AU205" s="740">
        <f t="shared" si="141"/>
        <v>0</v>
      </c>
      <c r="AV205" s="740">
        <f t="shared" si="141"/>
        <v>0</v>
      </c>
      <c r="AW205" s="740">
        <f t="shared" si="141"/>
        <v>0</v>
      </c>
      <c r="AX205" s="740">
        <f t="shared" si="141"/>
        <v>0</v>
      </c>
      <c r="AY205" s="740">
        <f t="shared" si="141"/>
        <v>0</v>
      </c>
      <c r="AZ205" s="740">
        <f t="shared" si="141"/>
        <v>0</v>
      </c>
      <c r="BA205" s="740">
        <f t="shared" si="141"/>
        <v>0</v>
      </c>
      <c r="BB205" s="740">
        <f t="shared" si="141"/>
        <v>0</v>
      </c>
      <c r="BC205" s="740">
        <f t="shared" si="141"/>
        <v>0</v>
      </c>
      <c r="BD205" s="740">
        <f t="shared" si="141"/>
        <v>0</v>
      </c>
      <c r="BE205" s="740">
        <f t="shared" si="141"/>
        <v>0</v>
      </c>
    </row>
    <row r="206" spans="1:57" s="734" customFormat="1" ht="13.15" hidden="1" customHeight="1" outlineLevel="2" x14ac:dyDescent="0.2">
      <c r="A206" s="732"/>
      <c r="B206" s="732"/>
      <c r="C206" s="732"/>
      <c r="D206" s="732"/>
      <c r="E206" s="740" t="str">
        <f t="shared" ref="E206:AJ206" si="142" xml:space="preserve"> E$172</f>
        <v>Equity bridge upfront fee - rolled up</v>
      </c>
      <c r="F206" s="740">
        <f t="shared" si="142"/>
        <v>0</v>
      </c>
      <c r="G206" s="740" t="str">
        <f t="shared" si="142"/>
        <v>$ 000s</v>
      </c>
      <c r="H206" s="740">
        <f t="shared" si="142"/>
        <v>0</v>
      </c>
      <c r="I206" s="740">
        <f t="shared" si="142"/>
        <v>0</v>
      </c>
      <c r="J206" s="740">
        <f t="shared" si="142"/>
        <v>0</v>
      </c>
      <c r="K206" s="740">
        <f t="shared" si="142"/>
        <v>0</v>
      </c>
      <c r="L206" s="740">
        <f t="shared" si="142"/>
        <v>0</v>
      </c>
      <c r="M206" s="740">
        <f t="shared" si="142"/>
        <v>0</v>
      </c>
      <c r="N206" s="740">
        <f t="shared" si="142"/>
        <v>0</v>
      </c>
      <c r="O206" s="740">
        <f t="shared" si="142"/>
        <v>0</v>
      </c>
      <c r="P206" s="740">
        <f t="shared" si="142"/>
        <v>0</v>
      </c>
      <c r="Q206" s="740">
        <f t="shared" si="142"/>
        <v>0</v>
      </c>
      <c r="R206" s="740">
        <f t="shared" si="142"/>
        <v>0</v>
      </c>
      <c r="S206" s="740">
        <f t="shared" si="142"/>
        <v>0</v>
      </c>
      <c r="T206" s="740">
        <f t="shared" si="142"/>
        <v>0</v>
      </c>
      <c r="U206" s="740">
        <f t="shared" si="142"/>
        <v>0</v>
      </c>
      <c r="V206" s="740">
        <f t="shared" si="142"/>
        <v>0</v>
      </c>
      <c r="W206" s="740">
        <f t="shared" si="142"/>
        <v>0</v>
      </c>
      <c r="X206" s="740">
        <f t="shared" si="142"/>
        <v>0</v>
      </c>
      <c r="Y206" s="740">
        <f t="shared" si="142"/>
        <v>0</v>
      </c>
      <c r="Z206" s="740">
        <f t="shared" si="142"/>
        <v>0</v>
      </c>
      <c r="AA206" s="740">
        <f t="shared" si="142"/>
        <v>0</v>
      </c>
      <c r="AB206" s="740">
        <f t="shared" si="142"/>
        <v>0</v>
      </c>
      <c r="AC206" s="740">
        <f t="shared" si="142"/>
        <v>0</v>
      </c>
      <c r="AD206" s="740">
        <f t="shared" si="142"/>
        <v>0</v>
      </c>
      <c r="AE206" s="740">
        <f t="shared" si="142"/>
        <v>0</v>
      </c>
      <c r="AF206" s="740">
        <f t="shared" si="142"/>
        <v>0</v>
      </c>
      <c r="AG206" s="740">
        <f t="shared" si="142"/>
        <v>0</v>
      </c>
      <c r="AH206" s="740">
        <f t="shared" si="142"/>
        <v>0</v>
      </c>
      <c r="AI206" s="740">
        <f t="shared" si="142"/>
        <v>0</v>
      </c>
      <c r="AJ206" s="740">
        <f t="shared" si="142"/>
        <v>0</v>
      </c>
      <c r="AK206" s="740">
        <f t="shared" ref="AK206:BE206" si="143" xml:space="preserve"> AK$172</f>
        <v>0</v>
      </c>
      <c r="AL206" s="740">
        <f t="shared" si="143"/>
        <v>0</v>
      </c>
      <c r="AM206" s="740">
        <f t="shared" si="143"/>
        <v>0</v>
      </c>
      <c r="AN206" s="740">
        <f t="shared" si="143"/>
        <v>0</v>
      </c>
      <c r="AO206" s="740">
        <f t="shared" si="143"/>
        <v>0</v>
      </c>
      <c r="AP206" s="740">
        <f t="shared" si="143"/>
        <v>0</v>
      </c>
      <c r="AQ206" s="740">
        <f t="shared" si="143"/>
        <v>0</v>
      </c>
      <c r="AR206" s="740">
        <f t="shared" si="143"/>
        <v>0</v>
      </c>
      <c r="AS206" s="740">
        <f t="shared" si="143"/>
        <v>0</v>
      </c>
      <c r="AT206" s="740">
        <f t="shared" si="143"/>
        <v>0</v>
      </c>
      <c r="AU206" s="740">
        <f t="shared" si="143"/>
        <v>0</v>
      </c>
      <c r="AV206" s="740">
        <f t="shared" si="143"/>
        <v>0</v>
      </c>
      <c r="AW206" s="740">
        <f t="shared" si="143"/>
        <v>0</v>
      </c>
      <c r="AX206" s="740">
        <f t="shared" si="143"/>
        <v>0</v>
      </c>
      <c r="AY206" s="740">
        <f t="shared" si="143"/>
        <v>0</v>
      </c>
      <c r="AZ206" s="740">
        <f t="shared" si="143"/>
        <v>0</v>
      </c>
      <c r="BA206" s="740">
        <f t="shared" si="143"/>
        <v>0</v>
      </c>
      <c r="BB206" s="740">
        <f t="shared" si="143"/>
        <v>0</v>
      </c>
      <c r="BC206" s="740">
        <f t="shared" si="143"/>
        <v>0</v>
      </c>
      <c r="BD206" s="740">
        <f t="shared" si="143"/>
        <v>0</v>
      </c>
      <c r="BE206" s="740">
        <f t="shared" si="143"/>
        <v>0</v>
      </c>
    </row>
    <row r="207" spans="1:57" s="734" customFormat="1" ht="13.15" hidden="1" customHeight="1" outlineLevel="2" x14ac:dyDescent="0.2">
      <c r="A207" s="732"/>
      <c r="B207" s="732"/>
      <c r="C207" s="732"/>
      <c r="D207" s="732"/>
      <c r="E207" s="740" t="str">
        <f t="shared" ref="E207:AJ207" si="144" xml:space="preserve"> E$195</f>
        <v>Equity bridge commitment fee - rolled up</v>
      </c>
      <c r="F207" s="740">
        <f t="shared" si="144"/>
        <v>0</v>
      </c>
      <c r="G207" s="740" t="str">
        <f t="shared" si="144"/>
        <v>$ 000s</v>
      </c>
      <c r="H207" s="740">
        <f t="shared" si="144"/>
        <v>0</v>
      </c>
      <c r="I207" s="740">
        <f t="shared" si="144"/>
        <v>0</v>
      </c>
      <c r="J207" s="740">
        <f t="shared" si="144"/>
        <v>0</v>
      </c>
      <c r="K207" s="740">
        <f t="shared" si="144"/>
        <v>0</v>
      </c>
      <c r="L207" s="740">
        <f t="shared" si="144"/>
        <v>0</v>
      </c>
      <c r="M207" s="740">
        <f t="shared" si="144"/>
        <v>0</v>
      </c>
      <c r="N207" s="740">
        <f t="shared" si="144"/>
        <v>0</v>
      </c>
      <c r="O207" s="740">
        <f t="shared" si="144"/>
        <v>0</v>
      </c>
      <c r="P207" s="740">
        <f t="shared" si="144"/>
        <v>0</v>
      </c>
      <c r="Q207" s="740">
        <f t="shared" si="144"/>
        <v>0</v>
      </c>
      <c r="R207" s="740">
        <f t="shared" si="144"/>
        <v>0</v>
      </c>
      <c r="S207" s="740">
        <f t="shared" si="144"/>
        <v>0</v>
      </c>
      <c r="T207" s="740">
        <f t="shared" si="144"/>
        <v>0</v>
      </c>
      <c r="U207" s="740">
        <f t="shared" si="144"/>
        <v>0</v>
      </c>
      <c r="V207" s="740">
        <f t="shared" si="144"/>
        <v>0</v>
      </c>
      <c r="W207" s="740">
        <f t="shared" si="144"/>
        <v>0</v>
      </c>
      <c r="X207" s="740">
        <f t="shared" si="144"/>
        <v>0</v>
      </c>
      <c r="Y207" s="740">
        <f t="shared" si="144"/>
        <v>0</v>
      </c>
      <c r="Z207" s="740">
        <f t="shared" si="144"/>
        <v>0</v>
      </c>
      <c r="AA207" s="740">
        <f t="shared" si="144"/>
        <v>0</v>
      </c>
      <c r="AB207" s="740">
        <f t="shared" si="144"/>
        <v>0</v>
      </c>
      <c r="AC207" s="740">
        <f t="shared" si="144"/>
        <v>0</v>
      </c>
      <c r="AD207" s="740">
        <f t="shared" si="144"/>
        <v>0</v>
      </c>
      <c r="AE207" s="740">
        <f t="shared" si="144"/>
        <v>0</v>
      </c>
      <c r="AF207" s="740">
        <f t="shared" si="144"/>
        <v>0</v>
      </c>
      <c r="AG207" s="740">
        <f t="shared" si="144"/>
        <v>0</v>
      </c>
      <c r="AH207" s="740">
        <f t="shared" si="144"/>
        <v>0</v>
      </c>
      <c r="AI207" s="740">
        <f t="shared" si="144"/>
        <v>0</v>
      </c>
      <c r="AJ207" s="740">
        <f t="shared" si="144"/>
        <v>0</v>
      </c>
      <c r="AK207" s="740">
        <f t="shared" ref="AK207:BE207" si="145" xml:space="preserve"> AK$195</f>
        <v>0</v>
      </c>
      <c r="AL207" s="740">
        <f t="shared" si="145"/>
        <v>0</v>
      </c>
      <c r="AM207" s="740">
        <f t="shared" si="145"/>
        <v>0</v>
      </c>
      <c r="AN207" s="740">
        <f t="shared" si="145"/>
        <v>0</v>
      </c>
      <c r="AO207" s="740">
        <f t="shared" si="145"/>
        <v>0</v>
      </c>
      <c r="AP207" s="740">
        <f t="shared" si="145"/>
        <v>0</v>
      </c>
      <c r="AQ207" s="740">
        <f t="shared" si="145"/>
        <v>0</v>
      </c>
      <c r="AR207" s="740">
        <f t="shared" si="145"/>
        <v>0</v>
      </c>
      <c r="AS207" s="740">
        <f t="shared" si="145"/>
        <v>0</v>
      </c>
      <c r="AT207" s="740">
        <f t="shared" si="145"/>
        <v>0</v>
      </c>
      <c r="AU207" s="740">
        <f t="shared" si="145"/>
        <v>0</v>
      </c>
      <c r="AV207" s="740">
        <f t="shared" si="145"/>
        <v>0</v>
      </c>
      <c r="AW207" s="740">
        <f t="shared" si="145"/>
        <v>0</v>
      </c>
      <c r="AX207" s="740">
        <f t="shared" si="145"/>
        <v>0</v>
      </c>
      <c r="AY207" s="740">
        <f t="shared" si="145"/>
        <v>0</v>
      </c>
      <c r="AZ207" s="740">
        <f t="shared" si="145"/>
        <v>0</v>
      </c>
      <c r="BA207" s="740">
        <f t="shared" si="145"/>
        <v>0</v>
      </c>
      <c r="BB207" s="740">
        <f t="shared" si="145"/>
        <v>0</v>
      </c>
      <c r="BC207" s="740">
        <f t="shared" si="145"/>
        <v>0</v>
      </c>
      <c r="BD207" s="740">
        <f t="shared" si="145"/>
        <v>0</v>
      </c>
      <c r="BE207" s="740">
        <f t="shared" si="145"/>
        <v>0</v>
      </c>
    </row>
    <row r="208" spans="1:57" s="734" customFormat="1" ht="13.15" hidden="1" customHeight="1" outlineLevel="2" x14ac:dyDescent="0.2">
      <c r="A208" s="794"/>
      <c r="B208" s="794"/>
      <c r="C208" s="794"/>
      <c r="D208" s="794"/>
      <c r="E208" s="796" t="s">
        <v>847</v>
      </c>
      <c r="F208" s="796"/>
      <c r="G208" s="796" t="str">
        <f>SMU</f>
        <v>$ 000s</v>
      </c>
      <c r="H208" s="796">
        <f xml:space="preserve"> SUM(J208:BE208)</f>
        <v>0</v>
      </c>
      <c r="I208" s="797"/>
      <c r="J208" s="796">
        <f t="shared" ref="J208:BE208" si="146">SUM(J205:J207)</f>
        <v>0</v>
      </c>
      <c r="K208" s="796">
        <f t="shared" si="146"/>
        <v>0</v>
      </c>
      <c r="L208" s="796">
        <f t="shared" si="146"/>
        <v>0</v>
      </c>
      <c r="M208" s="796">
        <f t="shared" si="146"/>
        <v>0</v>
      </c>
      <c r="N208" s="796">
        <f t="shared" si="146"/>
        <v>0</v>
      </c>
      <c r="O208" s="796">
        <f t="shared" si="146"/>
        <v>0</v>
      </c>
      <c r="P208" s="796">
        <f t="shared" si="146"/>
        <v>0</v>
      </c>
      <c r="Q208" s="796">
        <f t="shared" si="146"/>
        <v>0</v>
      </c>
      <c r="R208" s="796">
        <f t="shared" si="146"/>
        <v>0</v>
      </c>
      <c r="S208" s="796">
        <f t="shared" si="146"/>
        <v>0</v>
      </c>
      <c r="T208" s="796">
        <f t="shared" si="146"/>
        <v>0</v>
      </c>
      <c r="U208" s="796">
        <f t="shared" si="146"/>
        <v>0</v>
      </c>
      <c r="V208" s="796">
        <f t="shared" si="146"/>
        <v>0</v>
      </c>
      <c r="W208" s="796">
        <f t="shared" si="146"/>
        <v>0</v>
      </c>
      <c r="X208" s="796">
        <f t="shared" si="146"/>
        <v>0</v>
      </c>
      <c r="Y208" s="796">
        <f t="shared" si="146"/>
        <v>0</v>
      </c>
      <c r="Z208" s="796">
        <f t="shared" si="146"/>
        <v>0</v>
      </c>
      <c r="AA208" s="796">
        <f t="shared" si="146"/>
        <v>0</v>
      </c>
      <c r="AB208" s="796">
        <f t="shared" si="146"/>
        <v>0</v>
      </c>
      <c r="AC208" s="796">
        <f t="shared" si="146"/>
        <v>0</v>
      </c>
      <c r="AD208" s="796">
        <f t="shared" si="146"/>
        <v>0</v>
      </c>
      <c r="AE208" s="796">
        <f t="shared" si="146"/>
        <v>0</v>
      </c>
      <c r="AF208" s="796">
        <f t="shared" si="146"/>
        <v>0</v>
      </c>
      <c r="AG208" s="796">
        <f t="shared" si="146"/>
        <v>0</v>
      </c>
      <c r="AH208" s="796">
        <f t="shared" si="146"/>
        <v>0</v>
      </c>
      <c r="AI208" s="796">
        <f t="shared" si="146"/>
        <v>0</v>
      </c>
      <c r="AJ208" s="796">
        <f t="shared" si="146"/>
        <v>0</v>
      </c>
      <c r="AK208" s="796">
        <f t="shared" si="146"/>
        <v>0</v>
      </c>
      <c r="AL208" s="796">
        <f t="shared" si="146"/>
        <v>0</v>
      </c>
      <c r="AM208" s="796">
        <f t="shared" si="146"/>
        <v>0</v>
      </c>
      <c r="AN208" s="796">
        <f t="shared" si="146"/>
        <v>0</v>
      </c>
      <c r="AO208" s="796">
        <f t="shared" si="146"/>
        <v>0</v>
      </c>
      <c r="AP208" s="796">
        <f t="shared" si="146"/>
        <v>0</v>
      </c>
      <c r="AQ208" s="796">
        <f t="shared" si="146"/>
        <v>0</v>
      </c>
      <c r="AR208" s="796">
        <f t="shared" si="146"/>
        <v>0</v>
      </c>
      <c r="AS208" s="796">
        <f t="shared" si="146"/>
        <v>0</v>
      </c>
      <c r="AT208" s="796">
        <f t="shared" si="146"/>
        <v>0</v>
      </c>
      <c r="AU208" s="796">
        <f t="shared" si="146"/>
        <v>0</v>
      </c>
      <c r="AV208" s="796">
        <f t="shared" si="146"/>
        <v>0</v>
      </c>
      <c r="AW208" s="796">
        <f t="shared" si="146"/>
        <v>0</v>
      </c>
      <c r="AX208" s="796">
        <f t="shared" si="146"/>
        <v>0</v>
      </c>
      <c r="AY208" s="796">
        <f t="shared" si="146"/>
        <v>0</v>
      </c>
      <c r="AZ208" s="796">
        <f t="shared" si="146"/>
        <v>0</v>
      </c>
      <c r="BA208" s="796">
        <f t="shared" si="146"/>
        <v>0</v>
      </c>
      <c r="BB208" s="796">
        <f t="shared" si="146"/>
        <v>0</v>
      </c>
      <c r="BC208" s="796">
        <f t="shared" si="146"/>
        <v>0</v>
      </c>
      <c r="BD208" s="796">
        <f t="shared" si="146"/>
        <v>0</v>
      </c>
      <c r="BE208" s="796">
        <f t="shared" si="146"/>
        <v>0</v>
      </c>
    </row>
    <row r="209" spans="1:57" s="757" customFormat="1" ht="13.15" hidden="1" customHeight="1" outlineLevel="2" x14ac:dyDescent="0.2">
      <c r="A209" s="769"/>
      <c r="B209" s="769"/>
      <c r="C209" s="769"/>
      <c r="D209" s="769"/>
      <c r="E209" s="770" t="s">
        <v>538</v>
      </c>
      <c r="F209" s="770">
        <f xml:space="preserve"> SUM(J208:BE208)</f>
        <v>0</v>
      </c>
      <c r="G209" s="770" t="str">
        <f>SMU</f>
        <v>$ 000s</v>
      </c>
      <c r="H209" s="771"/>
      <c r="I209" s="771"/>
      <c r="J209" s="771"/>
      <c r="K209" s="771"/>
      <c r="L209" s="771"/>
      <c r="M209" s="771"/>
      <c r="N209" s="771"/>
      <c r="O209" s="771"/>
      <c r="P209" s="771"/>
      <c r="Q209" s="771"/>
      <c r="R209" s="771"/>
      <c r="S209" s="771"/>
      <c r="T209" s="771"/>
      <c r="U209" s="771"/>
      <c r="V209" s="771"/>
      <c r="W209" s="771"/>
      <c r="X209" s="771"/>
      <c r="Y209" s="771"/>
      <c r="Z209" s="771"/>
      <c r="AA209" s="771"/>
      <c r="AB209" s="771"/>
      <c r="AC209" s="771"/>
      <c r="AD209" s="771"/>
      <c r="AE209" s="771"/>
      <c r="AF209" s="771"/>
      <c r="AG209" s="771"/>
      <c r="AH209" s="771"/>
      <c r="AI209" s="771"/>
      <c r="AJ209" s="771"/>
      <c r="AK209" s="771"/>
      <c r="AL209" s="771"/>
      <c r="AM209" s="771"/>
      <c r="AN209" s="771"/>
      <c r="AO209" s="771"/>
      <c r="AP209" s="771"/>
      <c r="AQ209" s="771"/>
      <c r="AR209" s="771"/>
      <c r="AS209" s="771"/>
      <c r="AT209" s="771"/>
      <c r="AU209" s="771"/>
      <c r="AV209" s="771"/>
      <c r="AW209" s="771"/>
      <c r="AX209" s="771"/>
      <c r="AY209" s="771"/>
      <c r="AZ209" s="771"/>
      <c r="BA209" s="771"/>
      <c r="BB209" s="771"/>
      <c r="BC209" s="771"/>
      <c r="BD209" s="771"/>
      <c r="BE209" s="771"/>
    </row>
    <row r="210" spans="1:57" s="734" customFormat="1" ht="13.15" hidden="1" customHeight="1" outlineLevel="1" x14ac:dyDescent="0.2">
      <c r="A210" s="732"/>
      <c r="B210" s="732"/>
      <c r="C210" s="732"/>
      <c r="D210" s="732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  <c r="P210" s="114"/>
      <c r="Q210" s="114"/>
      <c r="R210" s="114"/>
      <c r="S210" s="114"/>
      <c r="T210" s="114"/>
      <c r="U210" s="114"/>
      <c r="V210" s="114"/>
      <c r="W210" s="114"/>
      <c r="X210" s="114"/>
      <c r="Y210" s="114"/>
      <c r="Z210" s="114"/>
      <c r="AA210" s="114"/>
      <c r="AB210" s="114"/>
      <c r="AC210" s="114"/>
      <c r="AD210" s="114"/>
      <c r="AE210" s="114"/>
      <c r="AF210" s="114"/>
      <c r="AG210" s="114"/>
      <c r="AH210" s="114"/>
      <c r="AI210" s="114"/>
      <c r="AJ210" s="114"/>
      <c r="AK210" s="114"/>
      <c r="AL210" s="114"/>
      <c r="AM210" s="114"/>
      <c r="AN210" s="114"/>
      <c r="AO210" s="114"/>
      <c r="AP210" s="114"/>
      <c r="AQ210" s="114"/>
      <c r="AR210" s="114"/>
      <c r="AS210" s="114"/>
      <c r="AT210" s="114"/>
      <c r="AU210" s="114"/>
      <c r="AV210" s="114"/>
      <c r="AW210" s="114"/>
      <c r="AX210" s="114"/>
      <c r="AY210" s="114"/>
      <c r="AZ210" s="114"/>
      <c r="BA210" s="114"/>
      <c r="BB210" s="114"/>
      <c r="BC210" s="114"/>
      <c r="BD210" s="114"/>
      <c r="BE210" s="114"/>
    </row>
    <row r="211" spans="1:57" s="734" customFormat="1" ht="13.15" hidden="1" customHeight="1" outlineLevel="1" x14ac:dyDescent="0.2">
      <c r="A211" s="732"/>
      <c r="B211" s="763" t="s">
        <v>539</v>
      </c>
      <c r="C211" s="732"/>
      <c r="D211" s="732"/>
      <c r="E211" s="114"/>
      <c r="F211" s="114"/>
      <c r="G211" s="114"/>
      <c r="H211" s="114"/>
      <c r="I211" s="114"/>
      <c r="J211" s="114"/>
      <c r="K211" s="114"/>
      <c r="L211" s="114"/>
      <c r="M211" s="114"/>
      <c r="N211" s="114"/>
      <c r="O211" s="114"/>
      <c r="P211" s="114"/>
      <c r="Q211" s="114"/>
      <c r="R211" s="114"/>
      <c r="S211" s="114"/>
      <c r="T211" s="114"/>
      <c r="U211" s="114"/>
      <c r="V211" s="114"/>
      <c r="W211" s="114"/>
      <c r="X211" s="114"/>
      <c r="Y211" s="114"/>
      <c r="Z211" s="114"/>
      <c r="AA211" s="114"/>
      <c r="AB211" s="114"/>
      <c r="AC211" s="114"/>
      <c r="AD211" s="114"/>
      <c r="AE211" s="114"/>
      <c r="AF211" s="114"/>
      <c r="AG211" s="114"/>
      <c r="AH211" s="114"/>
      <c r="AI211" s="114"/>
      <c r="AJ211" s="114"/>
      <c r="AK211" s="114"/>
      <c r="AL211" s="114"/>
      <c r="AM211" s="114"/>
      <c r="AN211" s="114"/>
      <c r="AO211" s="114"/>
      <c r="AP211" s="114"/>
      <c r="AQ211" s="114"/>
      <c r="AR211" s="114"/>
      <c r="AS211" s="114"/>
      <c r="AT211" s="114"/>
      <c r="AU211" s="114"/>
      <c r="AV211" s="114"/>
      <c r="AW211" s="114"/>
      <c r="AX211" s="114"/>
      <c r="AY211" s="114"/>
      <c r="AZ211" s="114"/>
      <c r="BA211" s="114"/>
      <c r="BB211" s="114"/>
      <c r="BC211" s="114"/>
      <c r="BD211" s="114"/>
      <c r="BE211" s="114"/>
    </row>
    <row r="212" spans="1:57" s="734" customFormat="1" ht="13.15" hidden="1" customHeight="1" outlineLevel="2" x14ac:dyDescent="0.2">
      <c r="A212" s="787"/>
      <c r="B212" s="787"/>
      <c r="C212" s="787"/>
      <c r="D212" s="787"/>
      <c r="E212" s="450" t="str">
        <f xml:space="preserve"> InpC!E$159</f>
        <v>Equity bridge repaid at end construction?</v>
      </c>
      <c r="F212" s="450">
        <f xml:space="preserve"> InpC!F$159</f>
        <v>1</v>
      </c>
      <c r="G212" s="450" t="str">
        <f xml:space="preserve"> InpC!G$159</f>
        <v>1 = yes, 0 = no</v>
      </c>
      <c r="H212" s="788"/>
      <c r="I212" s="788"/>
      <c r="J212" s="788"/>
      <c r="K212" s="788"/>
      <c r="L212" s="788"/>
      <c r="M212" s="788"/>
      <c r="N212" s="788"/>
      <c r="O212" s="788"/>
      <c r="P212" s="788"/>
      <c r="Q212" s="788"/>
      <c r="R212" s="788"/>
      <c r="S212" s="788"/>
      <c r="T212" s="788"/>
      <c r="U212" s="788"/>
      <c r="V212" s="788"/>
      <c r="W212" s="788"/>
      <c r="X212" s="788"/>
      <c r="Y212" s="788"/>
      <c r="Z212" s="788"/>
      <c r="AA212" s="788"/>
      <c r="AB212" s="788"/>
      <c r="AC212" s="788"/>
      <c r="AD212" s="788"/>
      <c r="AE212" s="788"/>
      <c r="AF212" s="788"/>
      <c r="AG212" s="788"/>
      <c r="AH212" s="788"/>
      <c r="AI212" s="788"/>
      <c r="AJ212" s="788"/>
      <c r="AK212" s="788"/>
      <c r="AL212" s="788"/>
      <c r="AM212" s="788"/>
      <c r="AN212" s="788"/>
      <c r="AO212" s="788"/>
      <c r="AP212" s="788"/>
      <c r="AQ212" s="788"/>
      <c r="AR212" s="788"/>
      <c r="AS212" s="788"/>
      <c r="AT212" s="788"/>
      <c r="AU212" s="788"/>
      <c r="AV212" s="788"/>
      <c r="AW212" s="788"/>
      <c r="AX212" s="788"/>
      <c r="AY212" s="788"/>
      <c r="AZ212" s="788"/>
      <c r="BA212" s="788"/>
      <c r="BB212" s="788"/>
      <c r="BC212" s="788"/>
      <c r="BD212" s="788"/>
      <c r="BE212" s="788"/>
    </row>
    <row r="213" spans="1:57" s="734" customFormat="1" ht="13.15" hidden="1" customHeight="1" outlineLevel="2" x14ac:dyDescent="0.2">
      <c r="A213" s="732"/>
      <c r="B213" s="732"/>
      <c r="C213" s="732"/>
      <c r="D213" s="732"/>
      <c r="E213" s="738" t="str">
        <f t="shared" ref="E213:AJ213" si="147" xml:space="preserve"> E$119</f>
        <v>Equity bridge balance BEG</v>
      </c>
      <c r="F213" s="740">
        <f t="shared" si="147"/>
        <v>0</v>
      </c>
      <c r="G213" s="740" t="str">
        <f t="shared" si="147"/>
        <v>$ 000s</v>
      </c>
      <c r="H213" s="740">
        <f t="shared" si="147"/>
        <v>0</v>
      </c>
      <c r="I213" s="740">
        <f t="shared" si="147"/>
        <v>0</v>
      </c>
      <c r="J213" s="740">
        <f t="shared" si="147"/>
        <v>0</v>
      </c>
      <c r="K213" s="740">
        <f t="shared" si="147"/>
        <v>0</v>
      </c>
      <c r="L213" s="740">
        <f t="shared" si="147"/>
        <v>0</v>
      </c>
      <c r="M213" s="740">
        <f t="shared" si="147"/>
        <v>0</v>
      </c>
      <c r="N213" s="740">
        <f t="shared" si="147"/>
        <v>14843.424770244494</v>
      </c>
      <c r="O213" s="740">
        <f t="shared" si="147"/>
        <v>26684.752578629137</v>
      </c>
      <c r="P213" s="740">
        <f t="shared" si="147"/>
        <v>38555.01232134179</v>
      </c>
      <c r="Q213" s="740">
        <f t="shared" si="147"/>
        <v>50462.699642029038</v>
      </c>
      <c r="R213" s="740">
        <f t="shared" si="147"/>
        <v>62403.711948719851</v>
      </c>
      <c r="S213" s="740">
        <f t="shared" si="147"/>
        <v>74370.710539611682</v>
      </c>
      <c r="T213" s="740">
        <f t="shared" si="147"/>
        <v>86318.253106861201</v>
      </c>
      <c r="U213" s="740">
        <f t="shared" si="147"/>
        <v>86318.253106861201</v>
      </c>
      <c r="V213" s="740">
        <f t="shared" si="147"/>
        <v>86318.253106861201</v>
      </c>
      <c r="W213" s="740">
        <f t="shared" si="147"/>
        <v>86318.253106861201</v>
      </c>
      <c r="X213" s="740">
        <f t="shared" si="147"/>
        <v>86318.253106861201</v>
      </c>
      <c r="Y213" s="740">
        <f t="shared" si="147"/>
        <v>86318.253106861201</v>
      </c>
      <c r="Z213" s="740">
        <f t="shared" si="147"/>
        <v>86318.253106861201</v>
      </c>
      <c r="AA213" s="740">
        <f t="shared" si="147"/>
        <v>86318.253106861201</v>
      </c>
      <c r="AB213" s="740">
        <f t="shared" si="147"/>
        <v>86318.253106861201</v>
      </c>
      <c r="AC213" s="740">
        <f t="shared" si="147"/>
        <v>86318.253106861201</v>
      </c>
      <c r="AD213" s="740">
        <f t="shared" si="147"/>
        <v>86318.253106861201</v>
      </c>
      <c r="AE213" s="740">
        <f t="shared" si="147"/>
        <v>86318.253106861201</v>
      </c>
      <c r="AF213" s="740">
        <f t="shared" si="147"/>
        <v>86318.253106861201</v>
      </c>
      <c r="AG213" s="740">
        <f t="shared" si="147"/>
        <v>86318.253106861201</v>
      </c>
      <c r="AH213" s="740">
        <f t="shared" si="147"/>
        <v>86318.253106861201</v>
      </c>
      <c r="AI213" s="740">
        <f t="shared" si="147"/>
        <v>86318.253106861201</v>
      </c>
      <c r="AJ213" s="740">
        <f t="shared" si="147"/>
        <v>86318.253106861201</v>
      </c>
      <c r="AK213" s="740">
        <f t="shared" ref="AK213:BE213" si="148" xml:space="preserve"> AK$119</f>
        <v>86318.253106861201</v>
      </c>
      <c r="AL213" s="740">
        <f t="shared" si="148"/>
        <v>86318.253106861201</v>
      </c>
      <c r="AM213" s="740">
        <f t="shared" si="148"/>
        <v>86318.253106861201</v>
      </c>
      <c r="AN213" s="740">
        <f t="shared" si="148"/>
        <v>0</v>
      </c>
      <c r="AO213" s="740">
        <f t="shared" si="148"/>
        <v>0</v>
      </c>
      <c r="AP213" s="740">
        <f t="shared" si="148"/>
        <v>0</v>
      </c>
      <c r="AQ213" s="740">
        <f t="shared" si="148"/>
        <v>0</v>
      </c>
      <c r="AR213" s="740">
        <f t="shared" si="148"/>
        <v>0</v>
      </c>
      <c r="AS213" s="740">
        <f t="shared" si="148"/>
        <v>0</v>
      </c>
      <c r="AT213" s="740">
        <f t="shared" si="148"/>
        <v>0</v>
      </c>
      <c r="AU213" s="740">
        <f t="shared" si="148"/>
        <v>0</v>
      </c>
      <c r="AV213" s="740">
        <f t="shared" si="148"/>
        <v>0</v>
      </c>
      <c r="AW213" s="740">
        <f t="shared" si="148"/>
        <v>0</v>
      </c>
      <c r="AX213" s="740">
        <f t="shared" si="148"/>
        <v>0</v>
      </c>
      <c r="AY213" s="740">
        <f t="shared" si="148"/>
        <v>0</v>
      </c>
      <c r="AZ213" s="740">
        <f t="shared" si="148"/>
        <v>0</v>
      </c>
      <c r="BA213" s="740">
        <f t="shared" si="148"/>
        <v>0</v>
      </c>
      <c r="BB213" s="740">
        <f t="shared" si="148"/>
        <v>0</v>
      </c>
      <c r="BC213" s="740">
        <f t="shared" si="148"/>
        <v>0</v>
      </c>
      <c r="BD213" s="740">
        <f t="shared" si="148"/>
        <v>0</v>
      </c>
      <c r="BE213" s="740">
        <f t="shared" si="148"/>
        <v>0</v>
      </c>
    </row>
    <row r="214" spans="1:57" s="767" customFormat="1" ht="13.15" hidden="1" customHeight="1" outlineLevel="2" x14ac:dyDescent="0.2">
      <c r="A214" s="762"/>
      <c r="B214" s="762"/>
      <c r="C214" s="762"/>
      <c r="D214" s="776" t="s">
        <v>371</v>
      </c>
      <c r="E214" s="777" t="str">
        <f t="shared" ref="E214:AJ214" si="149" xml:space="preserve"> E$116</f>
        <v>Equity bridge drawdown - m</v>
      </c>
      <c r="F214" s="777">
        <f t="shared" si="149"/>
        <v>0</v>
      </c>
      <c r="G214" s="777" t="str">
        <f t="shared" si="149"/>
        <v>$ 000s</v>
      </c>
      <c r="H214" s="777">
        <f t="shared" si="149"/>
        <v>86318.253106861201</v>
      </c>
      <c r="I214" s="777">
        <f t="shared" si="149"/>
        <v>0</v>
      </c>
      <c r="J214" s="777">
        <f t="shared" si="149"/>
        <v>0</v>
      </c>
      <c r="K214" s="777">
        <f t="shared" si="149"/>
        <v>0</v>
      </c>
      <c r="L214" s="777">
        <f t="shared" si="149"/>
        <v>0</v>
      </c>
      <c r="M214" s="777">
        <f t="shared" si="149"/>
        <v>14843.424770244494</v>
      </c>
      <c r="N214" s="777">
        <f t="shared" si="149"/>
        <v>11841.327808384644</v>
      </c>
      <c r="O214" s="777">
        <f t="shared" si="149"/>
        <v>11870.259742712651</v>
      </c>
      <c r="P214" s="777">
        <f t="shared" si="149"/>
        <v>11907.687320687248</v>
      </c>
      <c r="Q214" s="777">
        <f t="shared" si="149"/>
        <v>11941.012306690816</v>
      </c>
      <c r="R214" s="777">
        <f t="shared" si="149"/>
        <v>11966.998590891828</v>
      </c>
      <c r="S214" s="777">
        <f t="shared" si="149"/>
        <v>11947.542567249518</v>
      </c>
      <c r="T214" s="777">
        <f t="shared" si="149"/>
        <v>0</v>
      </c>
      <c r="U214" s="777">
        <f t="shared" si="149"/>
        <v>0</v>
      </c>
      <c r="V214" s="777">
        <f t="shared" si="149"/>
        <v>0</v>
      </c>
      <c r="W214" s="777">
        <f t="shared" si="149"/>
        <v>0</v>
      </c>
      <c r="X214" s="777">
        <f t="shared" si="149"/>
        <v>0</v>
      </c>
      <c r="Y214" s="777">
        <f t="shared" si="149"/>
        <v>0</v>
      </c>
      <c r="Z214" s="777">
        <f t="shared" si="149"/>
        <v>0</v>
      </c>
      <c r="AA214" s="777">
        <f t="shared" si="149"/>
        <v>0</v>
      </c>
      <c r="AB214" s="777">
        <f t="shared" si="149"/>
        <v>0</v>
      </c>
      <c r="AC214" s="777">
        <f t="shared" si="149"/>
        <v>0</v>
      </c>
      <c r="AD214" s="777">
        <f t="shared" si="149"/>
        <v>0</v>
      </c>
      <c r="AE214" s="777">
        <f t="shared" si="149"/>
        <v>0</v>
      </c>
      <c r="AF214" s="777">
        <f t="shared" si="149"/>
        <v>0</v>
      </c>
      <c r="AG214" s="777">
        <f t="shared" si="149"/>
        <v>0</v>
      </c>
      <c r="AH214" s="777">
        <f t="shared" si="149"/>
        <v>0</v>
      </c>
      <c r="AI214" s="777">
        <f t="shared" si="149"/>
        <v>0</v>
      </c>
      <c r="AJ214" s="777">
        <f t="shared" si="149"/>
        <v>0</v>
      </c>
      <c r="AK214" s="777">
        <f t="shared" ref="AK214:BE214" si="150" xml:space="preserve"> AK$116</f>
        <v>0</v>
      </c>
      <c r="AL214" s="777">
        <f t="shared" si="150"/>
        <v>0</v>
      </c>
      <c r="AM214" s="777">
        <f t="shared" si="150"/>
        <v>0</v>
      </c>
      <c r="AN214" s="777">
        <f t="shared" si="150"/>
        <v>0</v>
      </c>
      <c r="AO214" s="777">
        <f t="shared" si="150"/>
        <v>0</v>
      </c>
      <c r="AP214" s="777">
        <f t="shared" si="150"/>
        <v>0</v>
      </c>
      <c r="AQ214" s="777">
        <f t="shared" si="150"/>
        <v>0</v>
      </c>
      <c r="AR214" s="777">
        <f t="shared" si="150"/>
        <v>0</v>
      </c>
      <c r="AS214" s="777">
        <f t="shared" si="150"/>
        <v>0</v>
      </c>
      <c r="AT214" s="777">
        <f t="shared" si="150"/>
        <v>0</v>
      </c>
      <c r="AU214" s="777">
        <f t="shared" si="150"/>
        <v>0</v>
      </c>
      <c r="AV214" s="777">
        <f t="shared" si="150"/>
        <v>0</v>
      </c>
      <c r="AW214" s="777">
        <f t="shared" si="150"/>
        <v>0</v>
      </c>
      <c r="AX214" s="777">
        <f t="shared" si="150"/>
        <v>0</v>
      </c>
      <c r="AY214" s="777">
        <f t="shared" si="150"/>
        <v>0</v>
      </c>
      <c r="AZ214" s="777">
        <f t="shared" si="150"/>
        <v>0</v>
      </c>
      <c r="BA214" s="777">
        <f t="shared" si="150"/>
        <v>0</v>
      </c>
      <c r="BB214" s="777">
        <f t="shared" si="150"/>
        <v>0</v>
      </c>
      <c r="BC214" s="777">
        <f t="shared" si="150"/>
        <v>0</v>
      </c>
      <c r="BD214" s="777">
        <f t="shared" si="150"/>
        <v>0</v>
      </c>
      <c r="BE214" s="777">
        <f t="shared" si="150"/>
        <v>0</v>
      </c>
    </row>
    <row r="215" spans="1:57" s="767" customFormat="1" ht="13.15" hidden="1" customHeight="1" outlineLevel="2" x14ac:dyDescent="0.2">
      <c r="A215" s="762"/>
      <c r="B215" s="762"/>
      <c r="C215" s="762"/>
      <c r="D215" s="776" t="s">
        <v>371</v>
      </c>
      <c r="E215" s="799" t="str">
        <f t="shared" ref="E215:AJ215" si="151" xml:space="preserve"> E$208</f>
        <v>Equity bridge interest and fees rolled up - m</v>
      </c>
      <c r="F215" s="799">
        <f t="shared" si="151"/>
        <v>0</v>
      </c>
      <c r="G215" s="799" t="str">
        <f t="shared" si="151"/>
        <v>$ 000s</v>
      </c>
      <c r="H215" s="799">
        <f t="shared" si="151"/>
        <v>0</v>
      </c>
      <c r="I215" s="799">
        <f t="shared" si="151"/>
        <v>0</v>
      </c>
      <c r="J215" s="799">
        <f t="shared" si="151"/>
        <v>0</v>
      </c>
      <c r="K215" s="799">
        <f t="shared" si="151"/>
        <v>0</v>
      </c>
      <c r="L215" s="799">
        <f t="shared" si="151"/>
        <v>0</v>
      </c>
      <c r="M215" s="799">
        <f t="shared" si="151"/>
        <v>0</v>
      </c>
      <c r="N215" s="799">
        <f t="shared" si="151"/>
        <v>0</v>
      </c>
      <c r="O215" s="799">
        <f t="shared" si="151"/>
        <v>0</v>
      </c>
      <c r="P215" s="799">
        <f t="shared" si="151"/>
        <v>0</v>
      </c>
      <c r="Q215" s="799">
        <f t="shared" si="151"/>
        <v>0</v>
      </c>
      <c r="R215" s="799">
        <f t="shared" si="151"/>
        <v>0</v>
      </c>
      <c r="S215" s="799">
        <f t="shared" si="151"/>
        <v>0</v>
      </c>
      <c r="T215" s="799">
        <f t="shared" si="151"/>
        <v>0</v>
      </c>
      <c r="U215" s="799">
        <f t="shared" si="151"/>
        <v>0</v>
      </c>
      <c r="V215" s="799">
        <f t="shared" si="151"/>
        <v>0</v>
      </c>
      <c r="W215" s="799">
        <f t="shared" si="151"/>
        <v>0</v>
      </c>
      <c r="X215" s="799">
        <f t="shared" si="151"/>
        <v>0</v>
      </c>
      <c r="Y215" s="799">
        <f t="shared" si="151"/>
        <v>0</v>
      </c>
      <c r="Z215" s="799">
        <f t="shared" si="151"/>
        <v>0</v>
      </c>
      <c r="AA215" s="799">
        <f t="shared" si="151"/>
        <v>0</v>
      </c>
      <c r="AB215" s="799">
        <f t="shared" si="151"/>
        <v>0</v>
      </c>
      <c r="AC215" s="799">
        <f t="shared" si="151"/>
        <v>0</v>
      </c>
      <c r="AD215" s="799">
        <f t="shared" si="151"/>
        <v>0</v>
      </c>
      <c r="AE215" s="799">
        <f t="shared" si="151"/>
        <v>0</v>
      </c>
      <c r="AF215" s="799">
        <f t="shared" si="151"/>
        <v>0</v>
      </c>
      <c r="AG215" s="799">
        <f t="shared" si="151"/>
        <v>0</v>
      </c>
      <c r="AH215" s="799">
        <f t="shared" si="151"/>
        <v>0</v>
      </c>
      <c r="AI215" s="799">
        <f t="shared" si="151"/>
        <v>0</v>
      </c>
      <c r="AJ215" s="799">
        <f t="shared" si="151"/>
        <v>0</v>
      </c>
      <c r="AK215" s="799">
        <f t="shared" ref="AK215:BE215" si="152" xml:space="preserve"> AK$208</f>
        <v>0</v>
      </c>
      <c r="AL215" s="799">
        <f t="shared" si="152"/>
        <v>0</v>
      </c>
      <c r="AM215" s="799">
        <f t="shared" si="152"/>
        <v>0</v>
      </c>
      <c r="AN215" s="799">
        <f t="shared" si="152"/>
        <v>0</v>
      </c>
      <c r="AO215" s="799">
        <f t="shared" si="152"/>
        <v>0</v>
      </c>
      <c r="AP215" s="799">
        <f t="shared" si="152"/>
        <v>0</v>
      </c>
      <c r="AQ215" s="799">
        <f t="shared" si="152"/>
        <v>0</v>
      </c>
      <c r="AR215" s="799">
        <f t="shared" si="152"/>
        <v>0</v>
      </c>
      <c r="AS215" s="799">
        <f t="shared" si="152"/>
        <v>0</v>
      </c>
      <c r="AT215" s="799">
        <f t="shared" si="152"/>
        <v>0</v>
      </c>
      <c r="AU215" s="799">
        <f t="shared" si="152"/>
        <v>0</v>
      </c>
      <c r="AV215" s="799">
        <f t="shared" si="152"/>
        <v>0</v>
      </c>
      <c r="AW215" s="799">
        <f t="shared" si="152"/>
        <v>0</v>
      </c>
      <c r="AX215" s="799">
        <f t="shared" si="152"/>
        <v>0</v>
      </c>
      <c r="AY215" s="799">
        <f t="shared" si="152"/>
        <v>0</v>
      </c>
      <c r="AZ215" s="799">
        <f t="shared" si="152"/>
        <v>0</v>
      </c>
      <c r="BA215" s="799">
        <f t="shared" si="152"/>
        <v>0</v>
      </c>
      <c r="BB215" s="799">
        <f t="shared" si="152"/>
        <v>0</v>
      </c>
      <c r="BC215" s="799">
        <f t="shared" si="152"/>
        <v>0</v>
      </c>
      <c r="BD215" s="799">
        <f t="shared" si="152"/>
        <v>0</v>
      </c>
      <c r="BE215" s="799">
        <f t="shared" si="152"/>
        <v>0</v>
      </c>
    </row>
    <row r="216" spans="1:57" s="764" customFormat="1" ht="13.15" hidden="1" customHeight="1" outlineLevel="2" x14ac:dyDescent="0.2">
      <c r="A216" s="787"/>
      <c r="B216" s="787"/>
      <c r="C216" s="787"/>
      <c r="D216" s="787"/>
      <c r="E216" s="792" t="str">
        <f xml:space="preserve"> ConTime!E$77</f>
        <v>Last construction period flag - m</v>
      </c>
      <c r="F216" s="792">
        <f xml:space="preserve"> ConTime!F$77</f>
        <v>0</v>
      </c>
      <c r="G216" s="792" t="str">
        <f xml:space="preserve"> ConTime!G$77</f>
        <v>flag</v>
      </c>
      <c r="H216" s="792">
        <f xml:space="preserve"> ConTime!H$77</f>
        <v>1</v>
      </c>
      <c r="I216" s="792">
        <f xml:space="preserve"> ConTime!I$77</f>
        <v>0</v>
      </c>
      <c r="J216" s="792">
        <f xml:space="preserve"> ConTime!J$77</f>
        <v>0</v>
      </c>
      <c r="K216" s="792">
        <f xml:space="preserve"> ConTime!K$77</f>
        <v>0</v>
      </c>
      <c r="L216" s="792">
        <f xml:space="preserve"> ConTime!L$77</f>
        <v>0</v>
      </c>
      <c r="M216" s="792">
        <f xml:space="preserve"> ConTime!M$77</f>
        <v>0</v>
      </c>
      <c r="N216" s="792">
        <f xml:space="preserve"> ConTime!N$77</f>
        <v>0</v>
      </c>
      <c r="O216" s="792">
        <f xml:space="preserve"> ConTime!O$77</f>
        <v>0</v>
      </c>
      <c r="P216" s="792">
        <f xml:space="preserve"> ConTime!P$77</f>
        <v>0</v>
      </c>
      <c r="Q216" s="792">
        <f xml:space="preserve"> ConTime!Q$77</f>
        <v>0</v>
      </c>
      <c r="R216" s="792">
        <f xml:space="preserve"> ConTime!R$77</f>
        <v>0</v>
      </c>
      <c r="S216" s="792">
        <f xml:space="preserve"> ConTime!S$77</f>
        <v>0</v>
      </c>
      <c r="T216" s="792">
        <f xml:space="preserve"> ConTime!T$77</f>
        <v>0</v>
      </c>
      <c r="U216" s="792">
        <f xml:space="preserve"> ConTime!U$77</f>
        <v>0</v>
      </c>
      <c r="V216" s="792">
        <f xml:space="preserve"> ConTime!V$77</f>
        <v>0</v>
      </c>
      <c r="W216" s="792">
        <f xml:space="preserve"> ConTime!W$77</f>
        <v>0</v>
      </c>
      <c r="X216" s="792">
        <f xml:space="preserve"> ConTime!X$77</f>
        <v>0</v>
      </c>
      <c r="Y216" s="792">
        <f xml:space="preserve"> ConTime!Y$77</f>
        <v>0</v>
      </c>
      <c r="Z216" s="792">
        <f xml:space="preserve"> ConTime!Z$77</f>
        <v>0</v>
      </c>
      <c r="AA216" s="792">
        <f xml:space="preserve"> ConTime!AA$77</f>
        <v>0</v>
      </c>
      <c r="AB216" s="792">
        <f xml:space="preserve"> ConTime!AB$77</f>
        <v>0</v>
      </c>
      <c r="AC216" s="792">
        <f xml:space="preserve"> ConTime!AC$77</f>
        <v>0</v>
      </c>
      <c r="AD216" s="792">
        <f xml:space="preserve"> ConTime!AD$77</f>
        <v>0</v>
      </c>
      <c r="AE216" s="792">
        <f xml:space="preserve"> ConTime!AE$77</f>
        <v>0</v>
      </c>
      <c r="AF216" s="792">
        <f xml:space="preserve"> ConTime!AF$77</f>
        <v>0</v>
      </c>
      <c r="AG216" s="792">
        <f xml:space="preserve"> ConTime!AG$77</f>
        <v>0</v>
      </c>
      <c r="AH216" s="792">
        <f xml:space="preserve"> ConTime!AH$77</f>
        <v>0</v>
      </c>
      <c r="AI216" s="792">
        <f xml:space="preserve"> ConTime!AI$77</f>
        <v>0</v>
      </c>
      <c r="AJ216" s="792">
        <f xml:space="preserve"> ConTime!AJ$77</f>
        <v>0</v>
      </c>
      <c r="AK216" s="792">
        <f xml:space="preserve"> ConTime!AK$77</f>
        <v>0</v>
      </c>
      <c r="AL216" s="792">
        <f xml:space="preserve"> ConTime!AL$77</f>
        <v>0</v>
      </c>
      <c r="AM216" s="792">
        <f xml:space="preserve"> ConTime!AM$77</f>
        <v>1</v>
      </c>
      <c r="AN216" s="792">
        <f xml:space="preserve"> ConTime!AN$77</f>
        <v>0</v>
      </c>
      <c r="AO216" s="792">
        <f xml:space="preserve"> ConTime!AO$77</f>
        <v>0</v>
      </c>
      <c r="AP216" s="792">
        <f xml:space="preserve"> ConTime!AP$77</f>
        <v>0</v>
      </c>
      <c r="AQ216" s="792">
        <f xml:space="preserve"> ConTime!AQ$77</f>
        <v>0</v>
      </c>
      <c r="AR216" s="792">
        <f xml:space="preserve"> ConTime!AR$77</f>
        <v>0</v>
      </c>
      <c r="AS216" s="792">
        <f xml:space="preserve"> ConTime!AS$77</f>
        <v>0</v>
      </c>
      <c r="AT216" s="792">
        <f xml:space="preserve"> ConTime!AT$77</f>
        <v>0</v>
      </c>
      <c r="AU216" s="792">
        <f xml:space="preserve"> ConTime!AU$77</f>
        <v>0</v>
      </c>
      <c r="AV216" s="792">
        <f xml:space="preserve"> ConTime!AV$77</f>
        <v>0</v>
      </c>
      <c r="AW216" s="792">
        <f xml:space="preserve"> ConTime!AW$77</f>
        <v>0</v>
      </c>
      <c r="AX216" s="792">
        <f xml:space="preserve"> ConTime!AX$77</f>
        <v>0</v>
      </c>
      <c r="AY216" s="792">
        <f xml:space="preserve"> ConTime!AY$77</f>
        <v>0</v>
      </c>
      <c r="AZ216" s="792">
        <f xml:space="preserve"> ConTime!AZ$77</f>
        <v>0</v>
      </c>
      <c r="BA216" s="792">
        <f xml:space="preserve"> ConTime!BA$77</f>
        <v>0</v>
      </c>
      <c r="BB216" s="792">
        <f xml:space="preserve"> ConTime!BB$77</f>
        <v>0</v>
      </c>
      <c r="BC216" s="792">
        <f xml:space="preserve"> ConTime!BC$77</f>
        <v>0</v>
      </c>
      <c r="BD216" s="792">
        <f xml:space="preserve"> ConTime!BD$77</f>
        <v>0</v>
      </c>
      <c r="BE216" s="792">
        <f xml:space="preserve"> ConTime!BE$77</f>
        <v>0</v>
      </c>
    </row>
    <row r="217" spans="1:57" s="757" customFormat="1" ht="13.15" hidden="1" customHeight="1" outlineLevel="2" x14ac:dyDescent="0.2">
      <c r="A217" s="769"/>
      <c r="B217" s="769"/>
      <c r="C217" s="769"/>
      <c r="D217" s="769"/>
      <c r="E217" s="800" t="s">
        <v>540</v>
      </c>
      <c r="F217" s="770"/>
      <c r="G217" s="770" t="str">
        <f>SMU</f>
        <v>$ 000s</v>
      </c>
      <c r="H217" s="770">
        <f xml:space="preserve"> SUM(J217:BE217)</f>
        <v>86318.253106861201</v>
      </c>
      <c r="I217" s="771"/>
      <c r="J217" s="770">
        <f t="shared" ref="J217:BE217" si="153" xml:space="preserve"> $F212 * SUM(J213:J215) * J216</f>
        <v>0</v>
      </c>
      <c r="K217" s="770">
        <f t="shared" si="153"/>
        <v>0</v>
      </c>
      <c r="L217" s="770">
        <f t="shared" si="153"/>
        <v>0</v>
      </c>
      <c r="M217" s="770">
        <f t="shared" si="153"/>
        <v>0</v>
      </c>
      <c r="N217" s="770">
        <f t="shared" si="153"/>
        <v>0</v>
      </c>
      <c r="O217" s="770">
        <f t="shared" si="153"/>
        <v>0</v>
      </c>
      <c r="P217" s="770">
        <f t="shared" si="153"/>
        <v>0</v>
      </c>
      <c r="Q217" s="770">
        <f t="shared" si="153"/>
        <v>0</v>
      </c>
      <c r="R217" s="770">
        <f t="shared" si="153"/>
        <v>0</v>
      </c>
      <c r="S217" s="770">
        <f t="shared" si="153"/>
        <v>0</v>
      </c>
      <c r="T217" s="770">
        <f t="shared" si="153"/>
        <v>0</v>
      </c>
      <c r="U217" s="770">
        <f t="shared" si="153"/>
        <v>0</v>
      </c>
      <c r="V217" s="770">
        <f t="shared" si="153"/>
        <v>0</v>
      </c>
      <c r="W217" s="770">
        <f t="shared" si="153"/>
        <v>0</v>
      </c>
      <c r="X217" s="770">
        <f t="shared" si="153"/>
        <v>0</v>
      </c>
      <c r="Y217" s="770">
        <f t="shared" si="153"/>
        <v>0</v>
      </c>
      <c r="Z217" s="770">
        <f t="shared" si="153"/>
        <v>0</v>
      </c>
      <c r="AA217" s="770">
        <f t="shared" si="153"/>
        <v>0</v>
      </c>
      <c r="AB217" s="770">
        <f t="shared" si="153"/>
        <v>0</v>
      </c>
      <c r="AC217" s="770">
        <f t="shared" si="153"/>
        <v>0</v>
      </c>
      <c r="AD217" s="770">
        <f t="shared" si="153"/>
        <v>0</v>
      </c>
      <c r="AE217" s="770">
        <f t="shared" si="153"/>
        <v>0</v>
      </c>
      <c r="AF217" s="770">
        <f t="shared" si="153"/>
        <v>0</v>
      </c>
      <c r="AG217" s="770">
        <f t="shared" si="153"/>
        <v>0</v>
      </c>
      <c r="AH217" s="770">
        <f t="shared" si="153"/>
        <v>0</v>
      </c>
      <c r="AI217" s="770">
        <f t="shared" si="153"/>
        <v>0</v>
      </c>
      <c r="AJ217" s="770">
        <f t="shared" si="153"/>
        <v>0</v>
      </c>
      <c r="AK217" s="770">
        <f t="shared" si="153"/>
        <v>0</v>
      </c>
      <c r="AL217" s="770">
        <f t="shared" si="153"/>
        <v>0</v>
      </c>
      <c r="AM217" s="770">
        <f t="shared" si="153"/>
        <v>86318.253106861201</v>
      </c>
      <c r="AN217" s="770">
        <f t="shared" si="153"/>
        <v>0</v>
      </c>
      <c r="AO217" s="770">
        <f t="shared" si="153"/>
        <v>0</v>
      </c>
      <c r="AP217" s="770">
        <f t="shared" si="153"/>
        <v>0</v>
      </c>
      <c r="AQ217" s="770">
        <f t="shared" si="153"/>
        <v>0</v>
      </c>
      <c r="AR217" s="770">
        <f t="shared" si="153"/>
        <v>0</v>
      </c>
      <c r="AS217" s="770">
        <f t="shared" si="153"/>
        <v>0</v>
      </c>
      <c r="AT217" s="770">
        <f t="shared" si="153"/>
        <v>0</v>
      </c>
      <c r="AU217" s="770">
        <f t="shared" si="153"/>
        <v>0</v>
      </c>
      <c r="AV217" s="770">
        <f t="shared" si="153"/>
        <v>0</v>
      </c>
      <c r="AW217" s="770">
        <f t="shared" si="153"/>
        <v>0</v>
      </c>
      <c r="AX217" s="770">
        <f t="shared" si="153"/>
        <v>0</v>
      </c>
      <c r="AY217" s="770">
        <f t="shared" si="153"/>
        <v>0</v>
      </c>
      <c r="AZ217" s="770">
        <f t="shared" si="153"/>
        <v>0</v>
      </c>
      <c r="BA217" s="770">
        <f t="shared" si="153"/>
        <v>0</v>
      </c>
      <c r="BB217" s="770">
        <f t="shared" si="153"/>
        <v>0</v>
      </c>
      <c r="BC217" s="770">
        <f t="shared" si="153"/>
        <v>0</v>
      </c>
      <c r="BD217" s="770">
        <f t="shared" si="153"/>
        <v>0</v>
      </c>
      <c r="BE217" s="770">
        <f t="shared" si="153"/>
        <v>0</v>
      </c>
    </row>
    <row r="218" spans="1:57" s="734" customFormat="1" ht="13.15" hidden="1" customHeight="1" outlineLevel="2" x14ac:dyDescent="0.2">
      <c r="A218" s="732"/>
      <c r="B218" s="732"/>
      <c r="C218" s="732"/>
      <c r="D218" s="732"/>
      <c r="E218" s="114"/>
      <c r="F218" s="114"/>
      <c r="G218" s="114"/>
      <c r="H218" s="114"/>
      <c r="I218" s="114"/>
      <c r="J218" s="114"/>
      <c r="K218" s="114"/>
      <c r="L218" s="114"/>
      <c r="M218" s="114"/>
      <c r="N218" s="114"/>
      <c r="O218" s="114"/>
      <c r="P218" s="114"/>
      <c r="Q218" s="114"/>
      <c r="R218" s="114"/>
      <c r="S218" s="114"/>
      <c r="T218" s="114"/>
      <c r="U218" s="114"/>
      <c r="V218" s="114"/>
      <c r="W218" s="114"/>
      <c r="X218" s="114"/>
      <c r="Y218" s="114"/>
      <c r="Z218" s="114"/>
      <c r="AA218" s="114"/>
      <c r="AB218" s="114"/>
      <c r="AC218" s="114"/>
      <c r="AD218" s="114"/>
      <c r="AE218" s="114"/>
      <c r="AF218" s="114"/>
      <c r="AG218" s="114"/>
      <c r="AH218" s="114"/>
      <c r="AI218" s="114"/>
      <c r="AJ218" s="114"/>
      <c r="AK218" s="114"/>
      <c r="AL218" s="114"/>
      <c r="AM218" s="114"/>
      <c r="AN218" s="114"/>
      <c r="AO218" s="114"/>
      <c r="AP218" s="114"/>
      <c r="AQ218" s="114"/>
      <c r="AR218" s="114"/>
      <c r="AS218" s="114"/>
      <c r="AT218" s="114"/>
      <c r="AU218" s="114"/>
      <c r="AV218" s="114"/>
      <c r="AW218" s="114"/>
      <c r="AX218" s="114"/>
      <c r="AY218" s="114"/>
      <c r="AZ218" s="114"/>
      <c r="BA218" s="114"/>
      <c r="BB218" s="114"/>
      <c r="BC218" s="114"/>
      <c r="BD218" s="114"/>
      <c r="BE218" s="114"/>
    </row>
    <row r="219" spans="1:57" s="734" customFormat="1" ht="13.15" hidden="1" customHeight="1" outlineLevel="2" x14ac:dyDescent="0.2">
      <c r="A219" s="732"/>
      <c r="B219" s="732"/>
      <c r="C219" s="786" t="s">
        <v>1281</v>
      </c>
      <c r="D219" s="732"/>
      <c r="E219" s="114"/>
      <c r="F219" s="114"/>
      <c r="G219" s="114"/>
      <c r="H219" s="114"/>
      <c r="I219" s="114"/>
      <c r="J219" s="114"/>
      <c r="K219" s="114"/>
      <c r="L219" s="114"/>
      <c r="M219" s="114"/>
      <c r="N219" s="114"/>
      <c r="O219" s="114"/>
      <c r="P219" s="114"/>
      <c r="Q219" s="114"/>
      <c r="R219" s="114"/>
      <c r="S219" s="114"/>
      <c r="T219" s="114"/>
      <c r="U219" s="114"/>
      <c r="V219" s="114"/>
      <c r="W219" s="114"/>
      <c r="X219" s="114"/>
      <c r="Y219" s="114"/>
      <c r="Z219" s="114"/>
      <c r="AA219" s="114"/>
      <c r="AB219" s="114"/>
      <c r="AC219" s="114"/>
      <c r="AD219" s="114"/>
      <c r="AE219" s="114"/>
      <c r="AF219" s="114"/>
      <c r="AG219" s="114"/>
      <c r="AH219" s="114"/>
      <c r="AI219" s="114"/>
      <c r="AJ219" s="114"/>
      <c r="AK219" s="114"/>
      <c r="AL219" s="114"/>
      <c r="AM219" s="114"/>
      <c r="AN219" s="114"/>
      <c r="AO219" s="114"/>
      <c r="AP219" s="114"/>
      <c r="AQ219" s="114"/>
      <c r="AR219" s="114"/>
      <c r="AS219" s="114"/>
      <c r="AT219" s="114"/>
      <c r="AU219" s="114"/>
      <c r="AV219" s="114"/>
      <c r="AW219" s="114"/>
      <c r="AX219" s="114"/>
      <c r="AY219" s="114"/>
      <c r="AZ219" s="114"/>
      <c r="BA219" s="114"/>
      <c r="BB219" s="114"/>
      <c r="BC219" s="114"/>
      <c r="BD219" s="114"/>
      <c r="BE219" s="114"/>
    </row>
    <row r="220" spans="1:57" s="114" customFormat="1" hidden="1" outlineLevel="2" x14ac:dyDescent="0.2">
      <c r="A220" s="522"/>
      <c r="B220" s="522"/>
      <c r="C220" s="523"/>
      <c r="D220" s="524"/>
      <c r="E220" s="758" t="str">
        <f xml:space="preserve"> Time!E$10</f>
        <v>Model column counter</v>
      </c>
      <c r="F220" s="758">
        <f xml:space="preserve"> Time!F$10</f>
        <v>0</v>
      </c>
      <c r="G220" s="758" t="str">
        <f xml:space="preserve"> Time!G$10</f>
        <v>counter</v>
      </c>
      <c r="H220" s="758">
        <f xml:space="preserve"> Time!H$10</f>
        <v>0</v>
      </c>
      <c r="I220" s="758">
        <f xml:space="preserve"> Time!I$10</f>
        <v>0</v>
      </c>
      <c r="J220" s="758">
        <f xml:space="preserve"> Time!J$10</f>
        <v>1</v>
      </c>
      <c r="K220" s="758">
        <f xml:space="preserve"> Time!K$10</f>
        <v>2</v>
      </c>
      <c r="L220" s="758">
        <f xml:space="preserve"> Time!L$10</f>
        <v>3</v>
      </c>
      <c r="M220" s="758">
        <f xml:space="preserve"> Time!M$10</f>
        <v>4</v>
      </c>
      <c r="N220" s="758">
        <f xml:space="preserve"> Time!N$10</f>
        <v>5</v>
      </c>
      <c r="O220" s="758">
        <f xml:space="preserve"> Time!O$10</f>
        <v>6</v>
      </c>
      <c r="P220" s="758">
        <f xml:space="preserve"> Time!P$10</f>
        <v>7</v>
      </c>
      <c r="Q220" s="758">
        <f xml:space="preserve"> Time!Q$10</f>
        <v>8</v>
      </c>
      <c r="R220" s="758">
        <f xml:space="preserve"> Time!R$10</f>
        <v>9</v>
      </c>
      <c r="S220" s="758">
        <f xml:space="preserve"> Time!S$10</f>
        <v>10</v>
      </c>
      <c r="T220" s="758">
        <f xml:space="preserve"> Time!T$10</f>
        <v>11</v>
      </c>
      <c r="U220" s="758">
        <f xml:space="preserve"> Time!U$10</f>
        <v>12</v>
      </c>
      <c r="V220" s="758">
        <f xml:space="preserve"> Time!V$10</f>
        <v>13</v>
      </c>
      <c r="W220" s="758">
        <f xml:space="preserve"> Time!W$10</f>
        <v>14</v>
      </c>
      <c r="X220" s="758">
        <f xml:space="preserve"> Time!X$10</f>
        <v>15</v>
      </c>
      <c r="Y220" s="758">
        <f xml:space="preserve"> Time!Y$10</f>
        <v>16</v>
      </c>
      <c r="Z220" s="758">
        <f xml:space="preserve"> Time!Z$10</f>
        <v>17</v>
      </c>
      <c r="AA220" s="758">
        <f xml:space="preserve"> Time!AA$10</f>
        <v>18</v>
      </c>
      <c r="AB220" s="758">
        <f xml:space="preserve"> Time!AB$10</f>
        <v>19</v>
      </c>
      <c r="AC220" s="758">
        <f xml:space="preserve"> Time!AC$10</f>
        <v>20</v>
      </c>
      <c r="AD220" s="758">
        <f xml:space="preserve"> Time!AD$10</f>
        <v>21</v>
      </c>
      <c r="AE220" s="758">
        <f xml:space="preserve"> Time!AE$10</f>
        <v>22</v>
      </c>
      <c r="AF220" s="758">
        <f xml:space="preserve"> Time!AF$10</f>
        <v>23</v>
      </c>
      <c r="AG220" s="758">
        <f xml:space="preserve"> Time!AG$10</f>
        <v>24</v>
      </c>
      <c r="AH220" s="758">
        <f xml:space="preserve"> Time!AH$10</f>
        <v>25</v>
      </c>
      <c r="AI220" s="758">
        <f xml:space="preserve"> Time!AI$10</f>
        <v>26</v>
      </c>
      <c r="AJ220" s="758">
        <f xml:space="preserve"> Time!AJ$10</f>
        <v>27</v>
      </c>
      <c r="AK220" s="758">
        <f xml:space="preserve"> Time!AK$10</f>
        <v>28</v>
      </c>
      <c r="AL220" s="758">
        <f xml:space="preserve"> Time!AL$10</f>
        <v>29</v>
      </c>
      <c r="AM220" s="758">
        <f xml:space="preserve"> Time!AM$10</f>
        <v>30</v>
      </c>
      <c r="AN220" s="758">
        <f xml:space="preserve"> Time!AN$10</f>
        <v>31</v>
      </c>
      <c r="AO220" s="758">
        <f xml:space="preserve"> Time!AO$10</f>
        <v>32</v>
      </c>
      <c r="AP220" s="758">
        <f xml:space="preserve"> Time!AP$10</f>
        <v>33</v>
      </c>
      <c r="AQ220" s="758">
        <f xml:space="preserve"> Time!AQ$10</f>
        <v>34</v>
      </c>
      <c r="AR220" s="758">
        <f xml:space="preserve"> Time!AR$10</f>
        <v>35</v>
      </c>
      <c r="AS220" s="758">
        <f xml:space="preserve"> Time!AS$10</f>
        <v>36</v>
      </c>
      <c r="AT220" s="758">
        <f xml:space="preserve"> Time!AT$10</f>
        <v>37</v>
      </c>
      <c r="AU220" s="758">
        <f xml:space="preserve"> Time!AU$10</f>
        <v>38</v>
      </c>
      <c r="AV220" s="758">
        <f xml:space="preserve"> Time!AV$10</f>
        <v>39</v>
      </c>
      <c r="AW220" s="758">
        <f xml:space="preserve"> Time!AW$10</f>
        <v>40</v>
      </c>
      <c r="AX220" s="758">
        <f xml:space="preserve"> Time!AX$10</f>
        <v>41</v>
      </c>
      <c r="AY220" s="758">
        <f xml:space="preserve"> Time!AY$10</f>
        <v>42</v>
      </c>
      <c r="AZ220" s="758">
        <f xml:space="preserve"> Time!AZ$10</f>
        <v>43</v>
      </c>
      <c r="BA220" s="758">
        <f xml:space="preserve"> Time!BA$10</f>
        <v>44</v>
      </c>
      <c r="BB220" s="758">
        <f xml:space="preserve"> Time!BB$10</f>
        <v>45</v>
      </c>
      <c r="BC220" s="758">
        <f xml:space="preserve"> Time!BC$10</f>
        <v>46</v>
      </c>
      <c r="BD220" s="758">
        <f xml:space="preserve"> Time!BD$10</f>
        <v>47</v>
      </c>
      <c r="BE220" s="758">
        <f xml:space="preserve"> Time!BE$10</f>
        <v>48</v>
      </c>
    </row>
    <row r="221" spans="1:57" s="114" customFormat="1" hidden="1" outlineLevel="2" x14ac:dyDescent="0.2">
      <c r="A221" s="522"/>
      <c r="B221" s="522"/>
      <c r="C221" s="523"/>
      <c r="D221" s="524"/>
      <c r="E221" s="695" t="str">
        <f xml:space="preserve"> ConTime!E$56</f>
        <v>Model ops period counter - m</v>
      </c>
      <c r="F221" s="695">
        <f xml:space="preserve"> ConTime!F$56</f>
        <v>0</v>
      </c>
      <c r="G221" s="695" t="str">
        <f xml:space="preserve"> ConTime!G$56</f>
        <v>counter</v>
      </c>
      <c r="H221" s="695">
        <f xml:space="preserve"> ConTime!H$56</f>
        <v>0</v>
      </c>
      <c r="I221" s="695">
        <f xml:space="preserve"> ConTime!I$56</f>
        <v>0</v>
      </c>
      <c r="J221" s="695">
        <f xml:space="preserve"> ConTime!J$56</f>
        <v>1</v>
      </c>
      <c r="K221" s="695">
        <f xml:space="preserve"> ConTime!K$56</f>
        <v>1</v>
      </c>
      <c r="L221" s="695">
        <f xml:space="preserve"> ConTime!L$56</f>
        <v>1</v>
      </c>
      <c r="M221" s="695">
        <f xml:space="preserve"> ConTime!M$56</f>
        <v>1</v>
      </c>
      <c r="N221" s="695">
        <f xml:space="preserve"> ConTime!N$56</f>
        <v>1</v>
      </c>
      <c r="O221" s="695">
        <f xml:space="preserve"> ConTime!O$56</f>
        <v>1</v>
      </c>
      <c r="P221" s="695">
        <f xml:space="preserve"> ConTime!P$56</f>
        <v>2</v>
      </c>
      <c r="Q221" s="695">
        <f xml:space="preserve"> ConTime!Q$56</f>
        <v>2</v>
      </c>
      <c r="R221" s="695">
        <f xml:space="preserve"> ConTime!R$56</f>
        <v>2</v>
      </c>
      <c r="S221" s="695">
        <f xml:space="preserve"> ConTime!S$56</f>
        <v>2</v>
      </c>
      <c r="T221" s="695">
        <f xml:space="preserve"> ConTime!T$56</f>
        <v>2</v>
      </c>
      <c r="U221" s="695">
        <f xml:space="preserve"> ConTime!U$56</f>
        <v>2</v>
      </c>
      <c r="V221" s="695">
        <f xml:space="preserve"> ConTime!V$56</f>
        <v>3</v>
      </c>
      <c r="W221" s="695">
        <f xml:space="preserve"> ConTime!W$56</f>
        <v>3</v>
      </c>
      <c r="X221" s="695">
        <f xml:space="preserve"> ConTime!X$56</f>
        <v>3</v>
      </c>
      <c r="Y221" s="695">
        <f xml:space="preserve"> ConTime!Y$56</f>
        <v>3</v>
      </c>
      <c r="Z221" s="695">
        <f xml:space="preserve"> ConTime!Z$56</f>
        <v>3</v>
      </c>
      <c r="AA221" s="695">
        <f xml:space="preserve"> ConTime!AA$56</f>
        <v>3</v>
      </c>
      <c r="AB221" s="695">
        <f xml:space="preserve"> ConTime!AB$56</f>
        <v>4</v>
      </c>
      <c r="AC221" s="695">
        <f xml:space="preserve"> ConTime!AC$56</f>
        <v>4</v>
      </c>
      <c r="AD221" s="695">
        <f xml:space="preserve"> ConTime!AD$56</f>
        <v>4</v>
      </c>
      <c r="AE221" s="695">
        <f xml:space="preserve"> ConTime!AE$56</f>
        <v>4</v>
      </c>
      <c r="AF221" s="695">
        <f xml:space="preserve"> ConTime!AF$56</f>
        <v>4</v>
      </c>
      <c r="AG221" s="695">
        <f xml:space="preserve"> ConTime!AG$56</f>
        <v>4</v>
      </c>
      <c r="AH221" s="695">
        <f xml:space="preserve"> ConTime!AH$56</f>
        <v>5</v>
      </c>
      <c r="AI221" s="695">
        <f xml:space="preserve"> ConTime!AI$56</f>
        <v>5</v>
      </c>
      <c r="AJ221" s="695">
        <f xml:space="preserve"> ConTime!AJ$56</f>
        <v>5</v>
      </c>
      <c r="AK221" s="695">
        <f xml:space="preserve"> ConTime!AK$56</f>
        <v>5</v>
      </c>
      <c r="AL221" s="695">
        <f xml:space="preserve"> ConTime!AL$56</f>
        <v>5</v>
      </c>
      <c r="AM221" s="695">
        <f xml:space="preserve"> ConTime!AM$56</f>
        <v>5</v>
      </c>
      <c r="AN221" s="695">
        <f xml:space="preserve"> ConTime!AN$56</f>
        <v>6</v>
      </c>
      <c r="AO221" s="695">
        <f xml:space="preserve"> ConTime!AO$56</f>
        <v>6</v>
      </c>
      <c r="AP221" s="695">
        <f xml:space="preserve"> ConTime!AP$56</f>
        <v>6</v>
      </c>
      <c r="AQ221" s="695">
        <f xml:space="preserve"> ConTime!AQ$56</f>
        <v>6</v>
      </c>
      <c r="AR221" s="695">
        <f xml:space="preserve"> ConTime!AR$56</f>
        <v>6</v>
      </c>
      <c r="AS221" s="695">
        <f xml:space="preserve"> ConTime!AS$56</f>
        <v>6</v>
      </c>
      <c r="AT221" s="695">
        <f xml:space="preserve"> ConTime!AT$56</f>
        <v>7</v>
      </c>
      <c r="AU221" s="695">
        <f xml:space="preserve"> ConTime!AU$56</f>
        <v>7</v>
      </c>
      <c r="AV221" s="695">
        <f xml:space="preserve"> ConTime!AV$56</f>
        <v>7</v>
      </c>
      <c r="AW221" s="695">
        <f xml:space="preserve"> ConTime!AW$56</f>
        <v>7</v>
      </c>
      <c r="AX221" s="695">
        <f xml:space="preserve"> ConTime!AX$56</f>
        <v>7</v>
      </c>
      <c r="AY221" s="695">
        <f xml:space="preserve"> ConTime!AY$56</f>
        <v>7</v>
      </c>
      <c r="AZ221" s="695">
        <f xml:space="preserve"> ConTime!AZ$56</f>
        <v>8</v>
      </c>
      <c r="BA221" s="695">
        <f xml:space="preserve"> ConTime!BA$56</f>
        <v>8</v>
      </c>
      <c r="BB221" s="695">
        <f xml:space="preserve"> ConTime!BB$56</f>
        <v>8</v>
      </c>
      <c r="BC221" s="695">
        <f xml:space="preserve"> ConTime!BC$56</f>
        <v>8</v>
      </c>
      <c r="BD221" s="695">
        <f xml:space="preserve"> ConTime!BD$56</f>
        <v>8</v>
      </c>
      <c r="BE221" s="695">
        <f xml:space="preserve"> ConTime!BE$56</f>
        <v>8</v>
      </c>
    </row>
    <row r="222" spans="1:57" s="734" customFormat="1" ht="4.5" hidden="1" customHeight="1" outlineLevel="2" x14ac:dyDescent="0.2">
      <c r="A222" s="732"/>
      <c r="B222" s="732"/>
      <c r="C222" s="732"/>
      <c r="D222" s="732"/>
      <c r="E222" s="114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14"/>
      <c r="Q222" s="114"/>
      <c r="R222" s="114"/>
      <c r="S222" s="114"/>
      <c r="T222" s="114"/>
      <c r="U222" s="114"/>
      <c r="V222" s="114"/>
      <c r="W222" s="114"/>
      <c r="X222" s="114"/>
      <c r="Y222" s="114"/>
      <c r="Z222" s="114"/>
      <c r="AA222" s="114"/>
      <c r="AB222" s="114"/>
      <c r="AC222" s="114"/>
      <c r="AD222" s="114"/>
      <c r="AE222" s="114"/>
      <c r="AF222" s="114"/>
      <c r="AG222" s="114"/>
      <c r="AH222" s="114"/>
      <c r="AI222" s="114"/>
      <c r="AJ222" s="114"/>
      <c r="AK222" s="114"/>
      <c r="AL222" s="114"/>
      <c r="AM222" s="114"/>
      <c r="AN222" s="114"/>
      <c r="AO222" s="114"/>
      <c r="AP222" s="114"/>
      <c r="AQ222" s="114"/>
      <c r="AR222" s="114"/>
      <c r="AS222" s="114"/>
      <c r="AT222" s="114"/>
      <c r="AU222" s="114"/>
      <c r="AV222" s="114"/>
      <c r="AW222" s="114"/>
      <c r="AX222" s="114"/>
      <c r="AY222" s="114"/>
      <c r="AZ222" s="114"/>
      <c r="BA222" s="114"/>
      <c r="BB222" s="114"/>
      <c r="BC222" s="114"/>
      <c r="BD222" s="114"/>
      <c r="BE222" s="114"/>
    </row>
    <row r="223" spans="1:57" s="734" customFormat="1" ht="13.15" hidden="1" customHeight="1" outlineLevel="2" x14ac:dyDescent="0.2">
      <c r="A223" s="732"/>
      <c r="B223" s="732"/>
      <c r="C223" s="732"/>
      <c r="D223" s="732"/>
      <c r="E223" s="101" t="str">
        <f t="shared" ref="E223:AJ223" si="154" xml:space="preserve"> E116</f>
        <v>Equity bridge drawdown - m</v>
      </c>
      <c r="F223" s="101">
        <f t="shared" si="154"/>
        <v>0</v>
      </c>
      <c r="G223" s="101" t="str">
        <f t="shared" si="154"/>
        <v>$ 000s</v>
      </c>
      <c r="H223" s="101">
        <f t="shared" si="154"/>
        <v>86318.253106861201</v>
      </c>
      <c r="I223" s="101">
        <f t="shared" si="154"/>
        <v>0</v>
      </c>
      <c r="J223" s="101">
        <f t="shared" si="154"/>
        <v>0</v>
      </c>
      <c r="K223" s="101">
        <f t="shared" si="154"/>
        <v>0</v>
      </c>
      <c r="L223" s="101">
        <f t="shared" si="154"/>
        <v>0</v>
      </c>
      <c r="M223" s="101">
        <f t="shared" si="154"/>
        <v>14843.424770244494</v>
      </c>
      <c r="N223" s="101">
        <f t="shared" si="154"/>
        <v>11841.327808384644</v>
      </c>
      <c r="O223" s="101">
        <f t="shared" si="154"/>
        <v>11870.259742712651</v>
      </c>
      <c r="P223" s="101">
        <f t="shared" si="154"/>
        <v>11907.687320687248</v>
      </c>
      <c r="Q223" s="101">
        <f t="shared" si="154"/>
        <v>11941.012306690816</v>
      </c>
      <c r="R223" s="101">
        <f t="shared" si="154"/>
        <v>11966.998590891828</v>
      </c>
      <c r="S223" s="101">
        <f t="shared" si="154"/>
        <v>11947.542567249518</v>
      </c>
      <c r="T223" s="101">
        <f t="shared" si="154"/>
        <v>0</v>
      </c>
      <c r="U223" s="101">
        <f t="shared" si="154"/>
        <v>0</v>
      </c>
      <c r="V223" s="101">
        <f t="shared" si="154"/>
        <v>0</v>
      </c>
      <c r="W223" s="101">
        <f t="shared" si="154"/>
        <v>0</v>
      </c>
      <c r="X223" s="101">
        <f t="shared" si="154"/>
        <v>0</v>
      </c>
      <c r="Y223" s="101">
        <f t="shared" si="154"/>
        <v>0</v>
      </c>
      <c r="Z223" s="101">
        <f t="shared" si="154"/>
        <v>0</v>
      </c>
      <c r="AA223" s="101">
        <f t="shared" si="154"/>
        <v>0</v>
      </c>
      <c r="AB223" s="101">
        <f t="shared" si="154"/>
        <v>0</v>
      </c>
      <c r="AC223" s="101">
        <f t="shared" si="154"/>
        <v>0</v>
      </c>
      <c r="AD223" s="101">
        <f t="shared" si="154"/>
        <v>0</v>
      </c>
      <c r="AE223" s="101">
        <f t="shared" si="154"/>
        <v>0</v>
      </c>
      <c r="AF223" s="101">
        <f t="shared" si="154"/>
        <v>0</v>
      </c>
      <c r="AG223" s="101">
        <f t="shared" si="154"/>
        <v>0</v>
      </c>
      <c r="AH223" s="101">
        <f t="shared" si="154"/>
        <v>0</v>
      </c>
      <c r="AI223" s="101">
        <f t="shared" si="154"/>
        <v>0</v>
      </c>
      <c r="AJ223" s="101">
        <f t="shared" si="154"/>
        <v>0</v>
      </c>
      <c r="AK223" s="101">
        <f t="shared" ref="AK223:BE223" si="155" xml:space="preserve"> AK116</f>
        <v>0</v>
      </c>
      <c r="AL223" s="101">
        <f t="shared" si="155"/>
        <v>0</v>
      </c>
      <c r="AM223" s="101">
        <f t="shared" si="155"/>
        <v>0</v>
      </c>
      <c r="AN223" s="101">
        <f t="shared" si="155"/>
        <v>0</v>
      </c>
      <c r="AO223" s="101">
        <f t="shared" si="155"/>
        <v>0</v>
      </c>
      <c r="AP223" s="101">
        <f t="shared" si="155"/>
        <v>0</v>
      </c>
      <c r="AQ223" s="101">
        <f t="shared" si="155"/>
        <v>0</v>
      </c>
      <c r="AR223" s="101">
        <f t="shared" si="155"/>
        <v>0</v>
      </c>
      <c r="AS223" s="101">
        <f t="shared" si="155"/>
        <v>0</v>
      </c>
      <c r="AT223" s="101">
        <f t="shared" si="155"/>
        <v>0</v>
      </c>
      <c r="AU223" s="101">
        <f t="shared" si="155"/>
        <v>0</v>
      </c>
      <c r="AV223" s="101">
        <f t="shared" si="155"/>
        <v>0</v>
      </c>
      <c r="AW223" s="101">
        <f t="shared" si="155"/>
        <v>0</v>
      </c>
      <c r="AX223" s="101">
        <f t="shared" si="155"/>
        <v>0</v>
      </c>
      <c r="AY223" s="101">
        <f t="shared" si="155"/>
        <v>0</v>
      </c>
      <c r="AZ223" s="101">
        <f t="shared" si="155"/>
        <v>0</v>
      </c>
      <c r="BA223" s="101">
        <f t="shared" si="155"/>
        <v>0</v>
      </c>
      <c r="BB223" s="101">
        <f t="shared" si="155"/>
        <v>0</v>
      </c>
      <c r="BC223" s="101">
        <f t="shared" si="155"/>
        <v>0</v>
      </c>
      <c r="BD223" s="101">
        <f t="shared" si="155"/>
        <v>0</v>
      </c>
      <c r="BE223" s="101">
        <f t="shared" si="155"/>
        <v>0</v>
      </c>
    </row>
    <row r="224" spans="1:57" s="734" customFormat="1" ht="13.15" hidden="1" customHeight="1" outlineLevel="2" x14ac:dyDescent="0.2">
      <c r="A224" s="732"/>
      <c r="B224" s="732"/>
      <c r="C224" s="732"/>
      <c r="D224" s="732"/>
      <c r="E224" s="101" t="str">
        <f t="shared" ref="E224:AJ224" si="156" xml:space="preserve"> E201</f>
        <v>Equity bridge interest and fees paid POS</v>
      </c>
      <c r="F224" s="101">
        <f t="shared" si="156"/>
        <v>0</v>
      </c>
      <c r="G224" s="101" t="str">
        <f t="shared" si="156"/>
        <v>$ 000s</v>
      </c>
      <c r="H224" s="101">
        <f t="shared" si="156"/>
        <v>8197.0211828971678</v>
      </c>
      <c r="I224" s="101">
        <f t="shared" si="156"/>
        <v>0</v>
      </c>
      <c r="J224" s="101">
        <f t="shared" si="156"/>
        <v>0</v>
      </c>
      <c r="K224" s="101">
        <f t="shared" si="156"/>
        <v>0</v>
      </c>
      <c r="L224" s="101">
        <f t="shared" si="156"/>
        <v>0</v>
      </c>
      <c r="M224" s="101">
        <f t="shared" si="156"/>
        <v>1294.7739489543146</v>
      </c>
      <c r="N224" s="101">
        <f t="shared" si="156"/>
        <v>97.288185180036677</v>
      </c>
      <c r="O224" s="101">
        <f t="shared" si="156"/>
        <v>126.22011944021702</v>
      </c>
      <c r="P224" s="101">
        <f t="shared" si="156"/>
        <v>163.64769756262146</v>
      </c>
      <c r="Q224" s="101">
        <f t="shared" si="156"/>
        <v>196.9726836059337</v>
      </c>
      <c r="R224" s="101">
        <f t="shared" si="156"/>
        <v>222.95896773421271</v>
      </c>
      <c r="S224" s="101">
        <f t="shared" si="156"/>
        <v>263.88190854847403</v>
      </c>
      <c r="T224" s="101">
        <f t="shared" si="156"/>
        <v>287.72751670417887</v>
      </c>
      <c r="U224" s="101">
        <f t="shared" si="156"/>
        <v>297.31843392765154</v>
      </c>
      <c r="V224" s="101">
        <f t="shared" si="156"/>
        <v>297.31843392765154</v>
      </c>
      <c r="W224" s="101">
        <f t="shared" si="156"/>
        <v>268.54568225723364</v>
      </c>
      <c r="X224" s="101">
        <f t="shared" si="156"/>
        <v>297.31843392765154</v>
      </c>
      <c r="Y224" s="101">
        <f t="shared" si="156"/>
        <v>287.72751670417887</v>
      </c>
      <c r="Z224" s="101">
        <f t="shared" si="156"/>
        <v>297.31843392765154</v>
      </c>
      <c r="AA224" s="101">
        <f t="shared" si="156"/>
        <v>287.72751670417887</v>
      </c>
      <c r="AB224" s="101">
        <f t="shared" si="156"/>
        <v>297.31843392765154</v>
      </c>
      <c r="AC224" s="101">
        <f t="shared" si="156"/>
        <v>297.31843392765154</v>
      </c>
      <c r="AD224" s="101">
        <f t="shared" si="156"/>
        <v>287.72751670417887</v>
      </c>
      <c r="AE224" s="101">
        <f t="shared" si="156"/>
        <v>297.31843392765154</v>
      </c>
      <c r="AF224" s="101">
        <f t="shared" si="156"/>
        <v>287.72751670417887</v>
      </c>
      <c r="AG224" s="101">
        <f t="shared" si="156"/>
        <v>297.31843392765154</v>
      </c>
      <c r="AH224" s="101">
        <f t="shared" si="156"/>
        <v>297.31843392765154</v>
      </c>
      <c r="AI224" s="101">
        <f t="shared" si="156"/>
        <v>278.13659948070625</v>
      </c>
      <c r="AJ224" s="101">
        <f t="shared" si="156"/>
        <v>297.31843392765154</v>
      </c>
      <c r="AK224" s="101">
        <f t="shared" ref="AK224:BE224" si="157" xml:space="preserve"> AK201</f>
        <v>287.72751670417887</v>
      </c>
      <c r="AL224" s="101">
        <f t="shared" si="157"/>
        <v>297.31843392765154</v>
      </c>
      <c r="AM224" s="101">
        <f t="shared" si="157"/>
        <v>287.72751670417887</v>
      </c>
      <c r="AN224" s="101">
        <f t="shared" si="157"/>
        <v>0</v>
      </c>
      <c r="AO224" s="101">
        <f t="shared" si="157"/>
        <v>0</v>
      </c>
      <c r="AP224" s="101">
        <f t="shared" si="157"/>
        <v>0</v>
      </c>
      <c r="AQ224" s="101">
        <f t="shared" si="157"/>
        <v>0</v>
      </c>
      <c r="AR224" s="101">
        <f t="shared" si="157"/>
        <v>0</v>
      </c>
      <c r="AS224" s="101">
        <f t="shared" si="157"/>
        <v>0</v>
      </c>
      <c r="AT224" s="101">
        <f t="shared" si="157"/>
        <v>0</v>
      </c>
      <c r="AU224" s="101">
        <f t="shared" si="157"/>
        <v>0</v>
      </c>
      <c r="AV224" s="101">
        <f t="shared" si="157"/>
        <v>0</v>
      </c>
      <c r="AW224" s="101">
        <f t="shared" si="157"/>
        <v>0</v>
      </c>
      <c r="AX224" s="101">
        <f t="shared" si="157"/>
        <v>0</v>
      </c>
      <c r="AY224" s="101">
        <f t="shared" si="157"/>
        <v>0</v>
      </c>
      <c r="AZ224" s="101">
        <f t="shared" si="157"/>
        <v>0</v>
      </c>
      <c r="BA224" s="101">
        <f t="shared" si="157"/>
        <v>0</v>
      </c>
      <c r="BB224" s="101">
        <f t="shared" si="157"/>
        <v>0</v>
      </c>
      <c r="BC224" s="101">
        <f t="shared" si="157"/>
        <v>0</v>
      </c>
      <c r="BD224" s="101">
        <f t="shared" si="157"/>
        <v>0</v>
      </c>
      <c r="BE224" s="101">
        <f t="shared" si="157"/>
        <v>0</v>
      </c>
    </row>
    <row r="225" spans="1:57" s="734" customFormat="1" ht="13.15" hidden="1" customHeight="1" outlineLevel="2" x14ac:dyDescent="0.2">
      <c r="A225" s="732"/>
      <c r="B225" s="732"/>
      <c r="C225" s="732"/>
      <c r="D225" s="732"/>
      <c r="E225" s="101" t="str">
        <f t="shared" ref="E225:AJ225" si="158" xml:space="preserve"> E202</f>
        <v>Equity bridge interest and fees paid</v>
      </c>
      <c r="F225" s="101">
        <f t="shared" si="158"/>
        <v>0</v>
      </c>
      <c r="G225" s="101" t="str">
        <f t="shared" si="158"/>
        <v>$ 000s</v>
      </c>
      <c r="H225" s="101">
        <f t="shared" si="158"/>
        <v>-8197.0211828971678</v>
      </c>
      <c r="I225" s="101">
        <f t="shared" si="158"/>
        <v>0</v>
      </c>
      <c r="J225" s="101">
        <f t="shared" si="158"/>
        <v>0</v>
      </c>
      <c r="K225" s="101">
        <f t="shared" si="158"/>
        <v>0</v>
      </c>
      <c r="L225" s="101">
        <f t="shared" si="158"/>
        <v>0</v>
      </c>
      <c r="M225" s="101">
        <f t="shared" si="158"/>
        <v>-1294.7739489543146</v>
      </c>
      <c r="N225" s="101">
        <f t="shared" si="158"/>
        <v>-97.288185180036677</v>
      </c>
      <c r="O225" s="101">
        <f t="shared" si="158"/>
        <v>-126.22011944021702</v>
      </c>
      <c r="P225" s="101">
        <f t="shared" si="158"/>
        <v>-163.64769756262146</v>
      </c>
      <c r="Q225" s="101">
        <f t="shared" si="158"/>
        <v>-196.9726836059337</v>
      </c>
      <c r="R225" s="101">
        <f t="shared" si="158"/>
        <v>-222.95896773421271</v>
      </c>
      <c r="S225" s="101">
        <f t="shared" si="158"/>
        <v>-263.88190854847403</v>
      </c>
      <c r="T225" s="101">
        <f t="shared" si="158"/>
        <v>-287.72751670417887</v>
      </c>
      <c r="U225" s="101">
        <f t="shared" si="158"/>
        <v>-297.31843392765154</v>
      </c>
      <c r="V225" s="101">
        <f t="shared" si="158"/>
        <v>-297.31843392765154</v>
      </c>
      <c r="W225" s="101">
        <f t="shared" si="158"/>
        <v>-268.54568225723364</v>
      </c>
      <c r="X225" s="101">
        <f t="shared" si="158"/>
        <v>-297.31843392765154</v>
      </c>
      <c r="Y225" s="101">
        <f t="shared" si="158"/>
        <v>-287.72751670417887</v>
      </c>
      <c r="Z225" s="101">
        <f t="shared" si="158"/>
        <v>-297.31843392765154</v>
      </c>
      <c r="AA225" s="101">
        <f t="shared" si="158"/>
        <v>-287.72751670417887</v>
      </c>
      <c r="AB225" s="101">
        <f t="shared" si="158"/>
        <v>-297.31843392765154</v>
      </c>
      <c r="AC225" s="101">
        <f t="shared" si="158"/>
        <v>-297.31843392765154</v>
      </c>
      <c r="AD225" s="101">
        <f t="shared" si="158"/>
        <v>-287.72751670417887</v>
      </c>
      <c r="AE225" s="101">
        <f t="shared" si="158"/>
        <v>-297.31843392765154</v>
      </c>
      <c r="AF225" s="101">
        <f t="shared" si="158"/>
        <v>-287.72751670417887</v>
      </c>
      <c r="AG225" s="101">
        <f t="shared" si="158"/>
        <v>-297.31843392765154</v>
      </c>
      <c r="AH225" s="101">
        <f t="shared" si="158"/>
        <v>-297.31843392765154</v>
      </c>
      <c r="AI225" s="101">
        <f t="shared" si="158"/>
        <v>-278.13659948070625</v>
      </c>
      <c r="AJ225" s="101">
        <f t="shared" si="158"/>
        <v>-297.31843392765154</v>
      </c>
      <c r="AK225" s="101">
        <f t="shared" ref="AK225:BE225" si="159" xml:space="preserve"> AK202</f>
        <v>-287.72751670417887</v>
      </c>
      <c r="AL225" s="101">
        <f t="shared" si="159"/>
        <v>-297.31843392765154</v>
      </c>
      <c r="AM225" s="101">
        <f t="shared" si="159"/>
        <v>-287.72751670417887</v>
      </c>
      <c r="AN225" s="101">
        <f t="shared" si="159"/>
        <v>0</v>
      </c>
      <c r="AO225" s="101">
        <f t="shared" si="159"/>
        <v>0</v>
      </c>
      <c r="AP225" s="101">
        <f t="shared" si="159"/>
        <v>0</v>
      </c>
      <c r="AQ225" s="101">
        <f t="shared" si="159"/>
        <v>0</v>
      </c>
      <c r="AR225" s="101">
        <f t="shared" si="159"/>
        <v>0</v>
      </c>
      <c r="AS225" s="101">
        <f t="shared" si="159"/>
        <v>0</v>
      </c>
      <c r="AT225" s="101">
        <f t="shared" si="159"/>
        <v>0</v>
      </c>
      <c r="AU225" s="101">
        <f t="shared" si="159"/>
        <v>0</v>
      </c>
      <c r="AV225" s="101">
        <f t="shared" si="159"/>
        <v>0</v>
      </c>
      <c r="AW225" s="101">
        <f t="shared" si="159"/>
        <v>0</v>
      </c>
      <c r="AX225" s="101">
        <f t="shared" si="159"/>
        <v>0</v>
      </c>
      <c r="AY225" s="101">
        <f t="shared" si="159"/>
        <v>0</v>
      </c>
      <c r="AZ225" s="101">
        <f t="shared" si="159"/>
        <v>0</v>
      </c>
      <c r="BA225" s="101">
        <f t="shared" si="159"/>
        <v>0</v>
      </c>
      <c r="BB225" s="101">
        <f t="shared" si="159"/>
        <v>0</v>
      </c>
      <c r="BC225" s="101">
        <f t="shared" si="159"/>
        <v>0</v>
      </c>
      <c r="BD225" s="101">
        <f t="shared" si="159"/>
        <v>0</v>
      </c>
      <c r="BE225" s="101">
        <f t="shared" si="159"/>
        <v>0</v>
      </c>
    </row>
    <row r="226" spans="1:57" s="734" customFormat="1" ht="13.15" hidden="1" customHeight="1" outlineLevel="2" x14ac:dyDescent="0.2">
      <c r="A226" s="732"/>
      <c r="B226" s="732"/>
      <c r="C226" s="732"/>
      <c r="D226" s="732"/>
      <c r="E226" s="101" t="str">
        <f t="shared" ref="E226:AJ226" si="160" xml:space="preserve"> E208</f>
        <v>Equity bridge interest and fees rolled up - m</v>
      </c>
      <c r="F226" s="101">
        <f t="shared" si="160"/>
        <v>0</v>
      </c>
      <c r="G226" s="101" t="str">
        <f t="shared" si="160"/>
        <v>$ 000s</v>
      </c>
      <c r="H226" s="101">
        <f t="shared" si="160"/>
        <v>0</v>
      </c>
      <c r="I226" s="101">
        <f t="shared" si="160"/>
        <v>0</v>
      </c>
      <c r="J226" s="101">
        <f t="shared" si="160"/>
        <v>0</v>
      </c>
      <c r="K226" s="101">
        <f t="shared" si="160"/>
        <v>0</v>
      </c>
      <c r="L226" s="101">
        <f t="shared" si="160"/>
        <v>0</v>
      </c>
      <c r="M226" s="101">
        <f t="shared" si="160"/>
        <v>0</v>
      </c>
      <c r="N226" s="101">
        <f t="shared" si="160"/>
        <v>0</v>
      </c>
      <c r="O226" s="101">
        <f t="shared" si="160"/>
        <v>0</v>
      </c>
      <c r="P226" s="101">
        <f t="shared" si="160"/>
        <v>0</v>
      </c>
      <c r="Q226" s="101">
        <f t="shared" si="160"/>
        <v>0</v>
      </c>
      <c r="R226" s="101">
        <f t="shared" si="160"/>
        <v>0</v>
      </c>
      <c r="S226" s="101">
        <f t="shared" si="160"/>
        <v>0</v>
      </c>
      <c r="T226" s="101">
        <f t="shared" si="160"/>
        <v>0</v>
      </c>
      <c r="U226" s="101">
        <f t="shared" si="160"/>
        <v>0</v>
      </c>
      <c r="V226" s="101">
        <f t="shared" si="160"/>
        <v>0</v>
      </c>
      <c r="W226" s="101">
        <f t="shared" si="160"/>
        <v>0</v>
      </c>
      <c r="X226" s="101">
        <f t="shared" si="160"/>
        <v>0</v>
      </c>
      <c r="Y226" s="101">
        <f t="shared" si="160"/>
        <v>0</v>
      </c>
      <c r="Z226" s="101">
        <f t="shared" si="160"/>
        <v>0</v>
      </c>
      <c r="AA226" s="101">
        <f t="shared" si="160"/>
        <v>0</v>
      </c>
      <c r="AB226" s="101">
        <f t="shared" si="160"/>
        <v>0</v>
      </c>
      <c r="AC226" s="101">
        <f t="shared" si="160"/>
        <v>0</v>
      </c>
      <c r="AD226" s="101">
        <f t="shared" si="160"/>
        <v>0</v>
      </c>
      <c r="AE226" s="101">
        <f t="shared" si="160"/>
        <v>0</v>
      </c>
      <c r="AF226" s="101">
        <f t="shared" si="160"/>
        <v>0</v>
      </c>
      <c r="AG226" s="101">
        <f t="shared" si="160"/>
        <v>0</v>
      </c>
      <c r="AH226" s="101">
        <f t="shared" si="160"/>
        <v>0</v>
      </c>
      <c r="AI226" s="101">
        <f t="shared" si="160"/>
        <v>0</v>
      </c>
      <c r="AJ226" s="101">
        <f t="shared" si="160"/>
        <v>0</v>
      </c>
      <c r="AK226" s="101">
        <f t="shared" ref="AK226:BE226" si="161" xml:space="preserve"> AK208</f>
        <v>0</v>
      </c>
      <c r="AL226" s="101">
        <f t="shared" si="161"/>
        <v>0</v>
      </c>
      <c r="AM226" s="101">
        <f t="shared" si="161"/>
        <v>0</v>
      </c>
      <c r="AN226" s="101">
        <f t="shared" si="161"/>
        <v>0</v>
      </c>
      <c r="AO226" s="101">
        <f t="shared" si="161"/>
        <v>0</v>
      </c>
      <c r="AP226" s="101">
        <f t="shared" si="161"/>
        <v>0</v>
      </c>
      <c r="AQ226" s="101">
        <f t="shared" si="161"/>
        <v>0</v>
      </c>
      <c r="AR226" s="101">
        <f t="shared" si="161"/>
        <v>0</v>
      </c>
      <c r="AS226" s="101">
        <f t="shared" si="161"/>
        <v>0</v>
      </c>
      <c r="AT226" s="101">
        <f t="shared" si="161"/>
        <v>0</v>
      </c>
      <c r="AU226" s="101">
        <f t="shared" si="161"/>
        <v>0</v>
      </c>
      <c r="AV226" s="101">
        <f t="shared" si="161"/>
        <v>0</v>
      </c>
      <c r="AW226" s="101">
        <f t="shared" si="161"/>
        <v>0</v>
      </c>
      <c r="AX226" s="101">
        <f t="shared" si="161"/>
        <v>0</v>
      </c>
      <c r="AY226" s="101">
        <f t="shared" si="161"/>
        <v>0</v>
      </c>
      <c r="AZ226" s="101">
        <f t="shared" si="161"/>
        <v>0</v>
      </c>
      <c r="BA226" s="101">
        <f t="shared" si="161"/>
        <v>0</v>
      </c>
      <c r="BB226" s="101">
        <f t="shared" si="161"/>
        <v>0</v>
      </c>
      <c r="BC226" s="101">
        <f t="shared" si="161"/>
        <v>0</v>
      </c>
      <c r="BD226" s="101">
        <f t="shared" si="161"/>
        <v>0</v>
      </c>
      <c r="BE226" s="101">
        <f t="shared" si="161"/>
        <v>0</v>
      </c>
    </row>
    <row r="227" spans="1:57" s="734" customFormat="1" ht="13.15" hidden="1" customHeight="1" outlineLevel="2" x14ac:dyDescent="0.2">
      <c r="A227" s="732"/>
      <c r="B227" s="732"/>
      <c r="C227" s="732"/>
      <c r="D227" s="732"/>
      <c r="E227" s="101" t="str">
        <f t="shared" ref="E227:AJ227" si="162" xml:space="preserve"> E$217</f>
        <v>Repayment of equity bridge POS</v>
      </c>
      <c r="F227" s="101">
        <f t="shared" si="162"/>
        <v>0</v>
      </c>
      <c r="G227" s="101" t="str">
        <f t="shared" si="162"/>
        <v>$ 000s</v>
      </c>
      <c r="H227" s="101">
        <f t="shared" si="162"/>
        <v>86318.253106861201</v>
      </c>
      <c r="I227" s="101">
        <f t="shared" si="162"/>
        <v>0</v>
      </c>
      <c r="J227" s="101">
        <f t="shared" si="162"/>
        <v>0</v>
      </c>
      <c r="K227" s="101">
        <f t="shared" si="162"/>
        <v>0</v>
      </c>
      <c r="L227" s="101">
        <f t="shared" si="162"/>
        <v>0</v>
      </c>
      <c r="M227" s="101">
        <f t="shared" si="162"/>
        <v>0</v>
      </c>
      <c r="N227" s="101">
        <f t="shared" si="162"/>
        <v>0</v>
      </c>
      <c r="O227" s="101">
        <f t="shared" si="162"/>
        <v>0</v>
      </c>
      <c r="P227" s="101">
        <f t="shared" si="162"/>
        <v>0</v>
      </c>
      <c r="Q227" s="101">
        <f t="shared" si="162"/>
        <v>0</v>
      </c>
      <c r="R227" s="101">
        <f t="shared" si="162"/>
        <v>0</v>
      </c>
      <c r="S227" s="101">
        <f t="shared" si="162"/>
        <v>0</v>
      </c>
      <c r="T227" s="101">
        <f t="shared" si="162"/>
        <v>0</v>
      </c>
      <c r="U227" s="101">
        <f t="shared" si="162"/>
        <v>0</v>
      </c>
      <c r="V227" s="101">
        <f t="shared" si="162"/>
        <v>0</v>
      </c>
      <c r="W227" s="101">
        <f t="shared" si="162"/>
        <v>0</v>
      </c>
      <c r="X227" s="101">
        <f t="shared" si="162"/>
        <v>0</v>
      </c>
      <c r="Y227" s="101">
        <f t="shared" si="162"/>
        <v>0</v>
      </c>
      <c r="Z227" s="101">
        <f t="shared" si="162"/>
        <v>0</v>
      </c>
      <c r="AA227" s="101">
        <f t="shared" si="162"/>
        <v>0</v>
      </c>
      <c r="AB227" s="101">
        <f t="shared" si="162"/>
        <v>0</v>
      </c>
      <c r="AC227" s="101">
        <f t="shared" si="162"/>
        <v>0</v>
      </c>
      <c r="AD227" s="101">
        <f t="shared" si="162"/>
        <v>0</v>
      </c>
      <c r="AE227" s="101">
        <f t="shared" si="162"/>
        <v>0</v>
      </c>
      <c r="AF227" s="101">
        <f t="shared" si="162"/>
        <v>0</v>
      </c>
      <c r="AG227" s="101">
        <f t="shared" si="162"/>
        <v>0</v>
      </c>
      <c r="AH227" s="101">
        <f t="shared" si="162"/>
        <v>0</v>
      </c>
      <c r="AI227" s="101">
        <f t="shared" si="162"/>
        <v>0</v>
      </c>
      <c r="AJ227" s="101">
        <f t="shared" si="162"/>
        <v>0</v>
      </c>
      <c r="AK227" s="101">
        <f t="shared" ref="AK227:BE227" si="163" xml:space="preserve"> AK$217</f>
        <v>0</v>
      </c>
      <c r="AL227" s="101">
        <f t="shared" si="163"/>
        <v>0</v>
      </c>
      <c r="AM227" s="101">
        <f t="shared" si="163"/>
        <v>86318.253106861201</v>
      </c>
      <c r="AN227" s="101">
        <f t="shared" si="163"/>
        <v>0</v>
      </c>
      <c r="AO227" s="101">
        <f t="shared" si="163"/>
        <v>0</v>
      </c>
      <c r="AP227" s="101">
        <f t="shared" si="163"/>
        <v>0</v>
      </c>
      <c r="AQ227" s="101">
        <f t="shared" si="163"/>
        <v>0</v>
      </c>
      <c r="AR227" s="101">
        <f t="shared" si="163"/>
        <v>0</v>
      </c>
      <c r="AS227" s="101">
        <f t="shared" si="163"/>
        <v>0</v>
      </c>
      <c r="AT227" s="101">
        <f t="shared" si="163"/>
        <v>0</v>
      </c>
      <c r="AU227" s="101">
        <f t="shared" si="163"/>
        <v>0</v>
      </c>
      <c r="AV227" s="101">
        <f t="shared" si="163"/>
        <v>0</v>
      </c>
      <c r="AW227" s="101">
        <f t="shared" si="163"/>
        <v>0</v>
      </c>
      <c r="AX227" s="101">
        <f t="shared" si="163"/>
        <v>0</v>
      </c>
      <c r="AY227" s="101">
        <f t="shared" si="163"/>
        <v>0</v>
      </c>
      <c r="AZ227" s="101">
        <f t="shared" si="163"/>
        <v>0</v>
      </c>
      <c r="BA227" s="101">
        <f t="shared" si="163"/>
        <v>0</v>
      </c>
      <c r="BB227" s="101">
        <f t="shared" si="163"/>
        <v>0</v>
      </c>
      <c r="BC227" s="101">
        <f t="shared" si="163"/>
        <v>0</v>
      </c>
      <c r="BD227" s="101">
        <f t="shared" si="163"/>
        <v>0</v>
      </c>
      <c r="BE227" s="101">
        <f t="shared" si="163"/>
        <v>0</v>
      </c>
    </row>
    <row r="228" spans="1:57" s="734" customFormat="1" ht="4.5" hidden="1" customHeight="1" outlineLevel="2" x14ac:dyDescent="0.2">
      <c r="A228" s="732"/>
      <c r="B228" s="732"/>
      <c r="C228" s="732"/>
      <c r="D228" s="732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4"/>
      <c r="P228" s="114"/>
      <c r="Q228" s="114"/>
      <c r="R228" s="114"/>
      <c r="S228" s="114"/>
      <c r="T228" s="114"/>
      <c r="U228" s="114"/>
      <c r="V228" s="114"/>
      <c r="W228" s="114"/>
      <c r="X228" s="114"/>
      <c r="Y228" s="114"/>
      <c r="Z228" s="114"/>
      <c r="AA228" s="114"/>
      <c r="AB228" s="114"/>
      <c r="AC228" s="114"/>
      <c r="AD228" s="114"/>
      <c r="AE228" s="114"/>
      <c r="AF228" s="114"/>
      <c r="AG228" s="114"/>
      <c r="AH228" s="114"/>
      <c r="AI228" s="114"/>
      <c r="AJ228" s="114"/>
      <c r="AK228" s="114"/>
      <c r="AL228" s="114"/>
      <c r="AM228" s="114"/>
      <c r="AN228" s="114"/>
      <c r="AO228" s="114"/>
      <c r="AP228" s="114"/>
      <c r="AQ228" s="114"/>
      <c r="AR228" s="114"/>
      <c r="AS228" s="114"/>
      <c r="AT228" s="114"/>
      <c r="AU228" s="114"/>
      <c r="AV228" s="114"/>
      <c r="AW228" s="114"/>
      <c r="AX228" s="114"/>
      <c r="AY228" s="114"/>
      <c r="AZ228" s="114"/>
      <c r="BA228" s="114"/>
      <c r="BB228" s="114"/>
      <c r="BC228" s="114"/>
      <c r="BD228" s="114"/>
      <c r="BE228" s="114"/>
    </row>
    <row r="229" spans="1:57" s="757" customFormat="1" ht="13.15" hidden="1" customHeight="1" outlineLevel="2" x14ac:dyDescent="0.2">
      <c r="A229" s="769"/>
      <c r="B229" s="769"/>
      <c r="C229" s="769"/>
      <c r="D229" s="769"/>
      <c r="E229" s="801" t="str">
        <f xml:space="preserve"> E223</f>
        <v>Equity bridge drawdown - m</v>
      </c>
      <c r="F229" s="801"/>
      <c r="G229" s="801" t="str">
        <f xml:space="preserve"> SMU</f>
        <v>$ 000s</v>
      </c>
      <c r="H229" s="801">
        <f xml:space="preserve"> SUM(J229:BE229)</f>
        <v>86318.253106861201</v>
      </c>
      <c r="I229" s="771"/>
      <c r="J229" s="801">
        <f t="shared" ref="J229:BE229" si="164" xml:space="preserve"> SUMIF($J221:$BE221, J220, $J223:$BE223)</f>
        <v>38555.01232134179</v>
      </c>
      <c r="K229" s="801">
        <f t="shared" si="164"/>
        <v>47763.240785519411</v>
      </c>
      <c r="L229" s="801">
        <f t="shared" si="164"/>
        <v>0</v>
      </c>
      <c r="M229" s="801">
        <f t="shared" si="164"/>
        <v>0</v>
      </c>
      <c r="N229" s="801">
        <f t="shared" si="164"/>
        <v>0</v>
      </c>
      <c r="O229" s="801">
        <f t="shared" si="164"/>
        <v>0</v>
      </c>
      <c r="P229" s="801">
        <f t="shared" si="164"/>
        <v>0</v>
      </c>
      <c r="Q229" s="801">
        <f t="shared" si="164"/>
        <v>0</v>
      </c>
      <c r="R229" s="801">
        <f t="shared" si="164"/>
        <v>0</v>
      </c>
      <c r="S229" s="801">
        <f t="shared" si="164"/>
        <v>0</v>
      </c>
      <c r="T229" s="801">
        <f t="shared" si="164"/>
        <v>0</v>
      </c>
      <c r="U229" s="801">
        <f t="shared" si="164"/>
        <v>0</v>
      </c>
      <c r="V229" s="801">
        <f t="shared" si="164"/>
        <v>0</v>
      </c>
      <c r="W229" s="801">
        <f t="shared" si="164"/>
        <v>0</v>
      </c>
      <c r="X229" s="801">
        <f t="shared" si="164"/>
        <v>0</v>
      </c>
      <c r="Y229" s="801">
        <f t="shared" si="164"/>
        <v>0</v>
      </c>
      <c r="Z229" s="801">
        <f t="shared" si="164"/>
        <v>0</v>
      </c>
      <c r="AA229" s="801">
        <f t="shared" si="164"/>
        <v>0</v>
      </c>
      <c r="AB229" s="801">
        <f t="shared" si="164"/>
        <v>0</v>
      </c>
      <c r="AC229" s="801">
        <f t="shared" si="164"/>
        <v>0</v>
      </c>
      <c r="AD229" s="801">
        <f t="shared" si="164"/>
        <v>0</v>
      </c>
      <c r="AE229" s="801">
        <f t="shared" si="164"/>
        <v>0</v>
      </c>
      <c r="AF229" s="801">
        <f t="shared" si="164"/>
        <v>0</v>
      </c>
      <c r="AG229" s="801">
        <f t="shared" si="164"/>
        <v>0</v>
      </c>
      <c r="AH229" s="801">
        <f t="shared" si="164"/>
        <v>0</v>
      </c>
      <c r="AI229" s="801">
        <f t="shared" si="164"/>
        <v>0</v>
      </c>
      <c r="AJ229" s="801">
        <f t="shared" si="164"/>
        <v>0</v>
      </c>
      <c r="AK229" s="801">
        <f t="shared" si="164"/>
        <v>0</v>
      </c>
      <c r="AL229" s="801">
        <f t="shared" si="164"/>
        <v>0</v>
      </c>
      <c r="AM229" s="801">
        <f t="shared" si="164"/>
        <v>0</v>
      </c>
      <c r="AN229" s="801">
        <f t="shared" si="164"/>
        <v>0</v>
      </c>
      <c r="AO229" s="801">
        <f t="shared" si="164"/>
        <v>0</v>
      </c>
      <c r="AP229" s="801">
        <f t="shared" si="164"/>
        <v>0</v>
      </c>
      <c r="AQ229" s="801">
        <f t="shared" si="164"/>
        <v>0</v>
      </c>
      <c r="AR229" s="801">
        <f t="shared" si="164"/>
        <v>0</v>
      </c>
      <c r="AS229" s="801">
        <f t="shared" si="164"/>
        <v>0</v>
      </c>
      <c r="AT229" s="801">
        <f t="shared" si="164"/>
        <v>0</v>
      </c>
      <c r="AU229" s="801">
        <f t="shared" si="164"/>
        <v>0</v>
      </c>
      <c r="AV229" s="801">
        <f t="shared" si="164"/>
        <v>0</v>
      </c>
      <c r="AW229" s="801">
        <f t="shared" si="164"/>
        <v>0</v>
      </c>
      <c r="AX229" s="801">
        <f t="shared" si="164"/>
        <v>0</v>
      </c>
      <c r="AY229" s="801">
        <f t="shared" si="164"/>
        <v>0</v>
      </c>
      <c r="AZ229" s="801">
        <f t="shared" si="164"/>
        <v>0</v>
      </c>
      <c r="BA229" s="801">
        <f t="shared" si="164"/>
        <v>0</v>
      </c>
      <c r="BB229" s="801">
        <f t="shared" si="164"/>
        <v>0</v>
      </c>
      <c r="BC229" s="801">
        <f t="shared" si="164"/>
        <v>0</v>
      </c>
      <c r="BD229" s="801">
        <f t="shared" si="164"/>
        <v>0</v>
      </c>
      <c r="BE229" s="801">
        <f t="shared" si="164"/>
        <v>0</v>
      </c>
    </row>
    <row r="230" spans="1:57" s="734" customFormat="1" ht="13.15" hidden="1" customHeight="1" outlineLevel="2" x14ac:dyDescent="0.2">
      <c r="A230" s="769"/>
      <c r="B230" s="769"/>
      <c r="C230" s="769"/>
      <c r="D230" s="769"/>
      <c r="E230" s="801" t="str">
        <f xml:space="preserve"> E224</f>
        <v>Equity bridge interest and fees paid POS</v>
      </c>
      <c r="F230" s="801"/>
      <c r="G230" s="801" t="str">
        <f xml:space="preserve"> SMU</f>
        <v>$ 000s</v>
      </c>
      <c r="H230" s="801">
        <f xml:space="preserve"> SUM(J230:BE230)</f>
        <v>8197.0211828971696</v>
      </c>
      <c r="I230" s="771"/>
      <c r="J230" s="801">
        <f t="shared" ref="J230:BE230" si="165" xml:space="preserve"> SUMIF($J221:$BE221, J220, $J224:$BE224)</f>
        <v>1518.2822535745684</v>
      </c>
      <c r="K230" s="801">
        <f t="shared" si="165"/>
        <v>1432.5072080830723</v>
      </c>
      <c r="L230" s="801">
        <f t="shared" si="165"/>
        <v>1735.9560174485462</v>
      </c>
      <c r="M230" s="801">
        <f t="shared" si="165"/>
        <v>1764.728769118964</v>
      </c>
      <c r="N230" s="801">
        <f t="shared" si="165"/>
        <v>1745.5469346720188</v>
      </c>
      <c r="O230" s="801">
        <f t="shared" si="165"/>
        <v>0</v>
      </c>
      <c r="P230" s="801">
        <f t="shared" si="165"/>
        <v>0</v>
      </c>
      <c r="Q230" s="801">
        <f t="shared" si="165"/>
        <v>0</v>
      </c>
      <c r="R230" s="801">
        <f t="shared" si="165"/>
        <v>0</v>
      </c>
      <c r="S230" s="801">
        <f t="shared" si="165"/>
        <v>0</v>
      </c>
      <c r="T230" s="801">
        <f t="shared" si="165"/>
        <v>0</v>
      </c>
      <c r="U230" s="801">
        <f t="shared" si="165"/>
        <v>0</v>
      </c>
      <c r="V230" s="801">
        <f t="shared" si="165"/>
        <v>0</v>
      </c>
      <c r="W230" s="801">
        <f t="shared" si="165"/>
        <v>0</v>
      </c>
      <c r="X230" s="801">
        <f t="shared" si="165"/>
        <v>0</v>
      </c>
      <c r="Y230" s="801">
        <f t="shared" si="165"/>
        <v>0</v>
      </c>
      <c r="Z230" s="801">
        <f t="shared" si="165"/>
        <v>0</v>
      </c>
      <c r="AA230" s="801">
        <f t="shared" si="165"/>
        <v>0</v>
      </c>
      <c r="AB230" s="801">
        <f t="shared" si="165"/>
        <v>0</v>
      </c>
      <c r="AC230" s="801">
        <f t="shared" si="165"/>
        <v>0</v>
      </c>
      <c r="AD230" s="801">
        <f t="shared" si="165"/>
        <v>0</v>
      </c>
      <c r="AE230" s="801">
        <f t="shared" si="165"/>
        <v>0</v>
      </c>
      <c r="AF230" s="801">
        <f t="shared" si="165"/>
        <v>0</v>
      </c>
      <c r="AG230" s="801">
        <f t="shared" si="165"/>
        <v>0</v>
      </c>
      <c r="AH230" s="801">
        <f t="shared" si="165"/>
        <v>0</v>
      </c>
      <c r="AI230" s="801">
        <f t="shared" si="165"/>
        <v>0</v>
      </c>
      <c r="AJ230" s="801">
        <f t="shared" si="165"/>
        <v>0</v>
      </c>
      <c r="AK230" s="801">
        <f t="shared" si="165"/>
        <v>0</v>
      </c>
      <c r="AL230" s="801">
        <f t="shared" si="165"/>
        <v>0</v>
      </c>
      <c r="AM230" s="801">
        <f t="shared" si="165"/>
        <v>0</v>
      </c>
      <c r="AN230" s="801">
        <f t="shared" si="165"/>
        <v>0</v>
      </c>
      <c r="AO230" s="801">
        <f t="shared" si="165"/>
        <v>0</v>
      </c>
      <c r="AP230" s="801">
        <f t="shared" si="165"/>
        <v>0</v>
      </c>
      <c r="AQ230" s="801">
        <f t="shared" si="165"/>
        <v>0</v>
      </c>
      <c r="AR230" s="801">
        <f t="shared" si="165"/>
        <v>0</v>
      </c>
      <c r="AS230" s="801">
        <f t="shared" si="165"/>
        <v>0</v>
      </c>
      <c r="AT230" s="801">
        <f t="shared" si="165"/>
        <v>0</v>
      </c>
      <c r="AU230" s="801">
        <f t="shared" si="165"/>
        <v>0</v>
      </c>
      <c r="AV230" s="801">
        <f t="shared" si="165"/>
        <v>0</v>
      </c>
      <c r="AW230" s="801">
        <f t="shared" si="165"/>
        <v>0</v>
      </c>
      <c r="AX230" s="801">
        <f t="shared" si="165"/>
        <v>0</v>
      </c>
      <c r="AY230" s="801">
        <f t="shared" si="165"/>
        <v>0</v>
      </c>
      <c r="AZ230" s="801">
        <f t="shared" si="165"/>
        <v>0</v>
      </c>
      <c r="BA230" s="801">
        <f t="shared" si="165"/>
        <v>0</v>
      </c>
      <c r="BB230" s="801">
        <f t="shared" si="165"/>
        <v>0</v>
      </c>
      <c r="BC230" s="801">
        <f t="shared" si="165"/>
        <v>0</v>
      </c>
      <c r="BD230" s="801">
        <f t="shared" si="165"/>
        <v>0</v>
      </c>
      <c r="BE230" s="801">
        <f t="shared" si="165"/>
        <v>0</v>
      </c>
    </row>
    <row r="231" spans="1:57" s="734" customFormat="1" ht="13.15" hidden="1" customHeight="1" outlineLevel="2" x14ac:dyDescent="0.2">
      <c r="A231" s="769"/>
      <c r="B231" s="769"/>
      <c r="C231" s="769"/>
      <c r="D231" s="769"/>
      <c r="E231" s="801" t="str">
        <f xml:space="preserve"> E225</f>
        <v>Equity bridge interest and fees paid</v>
      </c>
      <c r="F231" s="801"/>
      <c r="G231" s="801" t="str">
        <f xml:space="preserve"> SMU</f>
        <v>$ 000s</v>
      </c>
      <c r="H231" s="801">
        <f xml:space="preserve"> SUM(J231:BE231)</f>
        <v>-8197.0211828971696</v>
      </c>
      <c r="I231" s="771"/>
      <c r="J231" s="801">
        <f t="shared" ref="J231:BE231" si="166" xml:space="preserve"> SUMIF($J221:$BE221, J220, $J225:$BE225)</f>
        <v>-1518.2822535745684</v>
      </c>
      <c r="K231" s="801">
        <f t="shared" si="166"/>
        <v>-1432.5072080830723</v>
      </c>
      <c r="L231" s="801">
        <f t="shared" si="166"/>
        <v>-1735.9560174485462</v>
      </c>
      <c r="M231" s="801">
        <f t="shared" si="166"/>
        <v>-1764.728769118964</v>
      </c>
      <c r="N231" s="801">
        <f t="shared" si="166"/>
        <v>-1745.5469346720188</v>
      </c>
      <c r="O231" s="801">
        <f t="shared" si="166"/>
        <v>0</v>
      </c>
      <c r="P231" s="801">
        <f t="shared" si="166"/>
        <v>0</v>
      </c>
      <c r="Q231" s="801">
        <f t="shared" si="166"/>
        <v>0</v>
      </c>
      <c r="R231" s="801">
        <f t="shared" si="166"/>
        <v>0</v>
      </c>
      <c r="S231" s="801">
        <f t="shared" si="166"/>
        <v>0</v>
      </c>
      <c r="T231" s="801">
        <f t="shared" si="166"/>
        <v>0</v>
      </c>
      <c r="U231" s="801">
        <f t="shared" si="166"/>
        <v>0</v>
      </c>
      <c r="V231" s="801">
        <f t="shared" si="166"/>
        <v>0</v>
      </c>
      <c r="W231" s="801">
        <f t="shared" si="166"/>
        <v>0</v>
      </c>
      <c r="X231" s="801">
        <f t="shared" si="166"/>
        <v>0</v>
      </c>
      <c r="Y231" s="801">
        <f t="shared" si="166"/>
        <v>0</v>
      </c>
      <c r="Z231" s="801">
        <f t="shared" si="166"/>
        <v>0</v>
      </c>
      <c r="AA231" s="801">
        <f t="shared" si="166"/>
        <v>0</v>
      </c>
      <c r="AB231" s="801">
        <f t="shared" si="166"/>
        <v>0</v>
      </c>
      <c r="AC231" s="801">
        <f t="shared" si="166"/>
        <v>0</v>
      </c>
      <c r="AD231" s="801">
        <f t="shared" si="166"/>
        <v>0</v>
      </c>
      <c r="AE231" s="801">
        <f t="shared" si="166"/>
        <v>0</v>
      </c>
      <c r="AF231" s="801">
        <f t="shared" si="166"/>
        <v>0</v>
      </c>
      <c r="AG231" s="801">
        <f t="shared" si="166"/>
        <v>0</v>
      </c>
      <c r="AH231" s="801">
        <f t="shared" si="166"/>
        <v>0</v>
      </c>
      <c r="AI231" s="801">
        <f t="shared" si="166"/>
        <v>0</v>
      </c>
      <c r="AJ231" s="801">
        <f t="shared" si="166"/>
        <v>0</v>
      </c>
      <c r="AK231" s="801">
        <f t="shared" si="166"/>
        <v>0</v>
      </c>
      <c r="AL231" s="801">
        <f t="shared" si="166"/>
        <v>0</v>
      </c>
      <c r="AM231" s="801">
        <f t="shared" si="166"/>
        <v>0</v>
      </c>
      <c r="AN231" s="801">
        <f t="shared" si="166"/>
        <v>0</v>
      </c>
      <c r="AO231" s="801">
        <f t="shared" si="166"/>
        <v>0</v>
      </c>
      <c r="AP231" s="801">
        <f t="shared" si="166"/>
        <v>0</v>
      </c>
      <c r="AQ231" s="801">
        <f t="shared" si="166"/>
        <v>0</v>
      </c>
      <c r="AR231" s="801">
        <f t="shared" si="166"/>
        <v>0</v>
      </c>
      <c r="AS231" s="801">
        <f t="shared" si="166"/>
        <v>0</v>
      </c>
      <c r="AT231" s="801">
        <f t="shared" si="166"/>
        <v>0</v>
      </c>
      <c r="AU231" s="801">
        <f t="shared" si="166"/>
        <v>0</v>
      </c>
      <c r="AV231" s="801">
        <f t="shared" si="166"/>
        <v>0</v>
      </c>
      <c r="AW231" s="801">
        <f t="shared" si="166"/>
        <v>0</v>
      </c>
      <c r="AX231" s="801">
        <f t="shared" si="166"/>
        <v>0</v>
      </c>
      <c r="AY231" s="801">
        <f t="shared" si="166"/>
        <v>0</v>
      </c>
      <c r="AZ231" s="801">
        <f t="shared" si="166"/>
        <v>0</v>
      </c>
      <c r="BA231" s="801">
        <f t="shared" si="166"/>
        <v>0</v>
      </c>
      <c r="BB231" s="801">
        <f t="shared" si="166"/>
        <v>0</v>
      </c>
      <c r="BC231" s="801">
        <f t="shared" si="166"/>
        <v>0</v>
      </c>
      <c r="BD231" s="801">
        <f t="shared" si="166"/>
        <v>0</v>
      </c>
      <c r="BE231" s="801">
        <f t="shared" si="166"/>
        <v>0</v>
      </c>
    </row>
    <row r="232" spans="1:57" s="734" customFormat="1" ht="13.15" hidden="1" customHeight="1" outlineLevel="2" x14ac:dyDescent="0.2">
      <c r="A232" s="769"/>
      <c r="B232" s="769"/>
      <c r="C232" s="769"/>
      <c r="D232" s="769"/>
      <c r="E232" s="801" t="str">
        <f xml:space="preserve"> E226</f>
        <v>Equity bridge interest and fees rolled up - m</v>
      </c>
      <c r="F232" s="801"/>
      <c r="G232" s="801" t="str">
        <f xml:space="preserve"> SMU</f>
        <v>$ 000s</v>
      </c>
      <c r="H232" s="801">
        <f xml:space="preserve"> SUM(J232:BE232)</f>
        <v>0</v>
      </c>
      <c r="I232" s="771"/>
      <c r="J232" s="801">
        <f t="shared" ref="J232:BE232" si="167" xml:space="preserve"> SUMIF($J221:$BE221, J220, $J226:$BE226)</f>
        <v>0</v>
      </c>
      <c r="K232" s="801">
        <f t="shared" si="167"/>
        <v>0</v>
      </c>
      <c r="L232" s="801">
        <f t="shared" si="167"/>
        <v>0</v>
      </c>
      <c r="M232" s="801">
        <f t="shared" si="167"/>
        <v>0</v>
      </c>
      <c r="N232" s="801">
        <f t="shared" si="167"/>
        <v>0</v>
      </c>
      <c r="O232" s="801">
        <f t="shared" si="167"/>
        <v>0</v>
      </c>
      <c r="P232" s="801">
        <f t="shared" si="167"/>
        <v>0</v>
      </c>
      <c r="Q232" s="801">
        <f t="shared" si="167"/>
        <v>0</v>
      </c>
      <c r="R232" s="801">
        <f t="shared" si="167"/>
        <v>0</v>
      </c>
      <c r="S232" s="801">
        <f t="shared" si="167"/>
        <v>0</v>
      </c>
      <c r="T232" s="801">
        <f t="shared" si="167"/>
        <v>0</v>
      </c>
      <c r="U232" s="801">
        <f t="shared" si="167"/>
        <v>0</v>
      </c>
      <c r="V232" s="801">
        <f t="shared" si="167"/>
        <v>0</v>
      </c>
      <c r="W232" s="801">
        <f t="shared" si="167"/>
        <v>0</v>
      </c>
      <c r="X232" s="801">
        <f t="shared" si="167"/>
        <v>0</v>
      </c>
      <c r="Y232" s="801">
        <f t="shared" si="167"/>
        <v>0</v>
      </c>
      <c r="Z232" s="801">
        <f t="shared" si="167"/>
        <v>0</v>
      </c>
      <c r="AA232" s="801">
        <f t="shared" si="167"/>
        <v>0</v>
      </c>
      <c r="AB232" s="801">
        <f t="shared" si="167"/>
        <v>0</v>
      </c>
      <c r="AC232" s="801">
        <f t="shared" si="167"/>
        <v>0</v>
      </c>
      <c r="AD232" s="801">
        <f t="shared" si="167"/>
        <v>0</v>
      </c>
      <c r="AE232" s="801">
        <f t="shared" si="167"/>
        <v>0</v>
      </c>
      <c r="AF232" s="801">
        <f t="shared" si="167"/>
        <v>0</v>
      </c>
      <c r="AG232" s="801">
        <f t="shared" si="167"/>
        <v>0</v>
      </c>
      <c r="AH232" s="801">
        <f t="shared" si="167"/>
        <v>0</v>
      </c>
      <c r="AI232" s="801">
        <f t="shared" si="167"/>
        <v>0</v>
      </c>
      <c r="AJ232" s="801">
        <f t="shared" si="167"/>
        <v>0</v>
      </c>
      <c r="AK232" s="801">
        <f t="shared" si="167"/>
        <v>0</v>
      </c>
      <c r="AL232" s="801">
        <f t="shared" si="167"/>
        <v>0</v>
      </c>
      <c r="AM232" s="801">
        <f t="shared" si="167"/>
        <v>0</v>
      </c>
      <c r="AN232" s="801">
        <f t="shared" si="167"/>
        <v>0</v>
      </c>
      <c r="AO232" s="801">
        <f t="shared" si="167"/>
        <v>0</v>
      </c>
      <c r="AP232" s="801">
        <f t="shared" si="167"/>
        <v>0</v>
      </c>
      <c r="AQ232" s="801">
        <f t="shared" si="167"/>
        <v>0</v>
      </c>
      <c r="AR232" s="801">
        <f t="shared" si="167"/>
        <v>0</v>
      </c>
      <c r="AS232" s="801">
        <f t="shared" si="167"/>
        <v>0</v>
      </c>
      <c r="AT232" s="801">
        <f t="shared" si="167"/>
        <v>0</v>
      </c>
      <c r="AU232" s="801">
        <f t="shared" si="167"/>
        <v>0</v>
      </c>
      <c r="AV232" s="801">
        <f t="shared" si="167"/>
        <v>0</v>
      </c>
      <c r="AW232" s="801">
        <f t="shared" si="167"/>
        <v>0</v>
      </c>
      <c r="AX232" s="801">
        <f t="shared" si="167"/>
        <v>0</v>
      </c>
      <c r="AY232" s="801">
        <f t="shared" si="167"/>
        <v>0</v>
      </c>
      <c r="AZ232" s="801">
        <f t="shared" si="167"/>
        <v>0</v>
      </c>
      <c r="BA232" s="801">
        <f t="shared" si="167"/>
        <v>0</v>
      </c>
      <c r="BB232" s="801">
        <f t="shared" si="167"/>
        <v>0</v>
      </c>
      <c r="BC232" s="801">
        <f t="shared" si="167"/>
        <v>0</v>
      </c>
      <c r="BD232" s="801">
        <f t="shared" si="167"/>
        <v>0</v>
      </c>
      <c r="BE232" s="801">
        <f t="shared" si="167"/>
        <v>0</v>
      </c>
    </row>
    <row r="233" spans="1:57" s="757" customFormat="1" ht="13.15" hidden="1" customHeight="1" outlineLevel="2" x14ac:dyDescent="0.2">
      <c r="A233" s="769"/>
      <c r="B233" s="769"/>
      <c r="C233" s="769"/>
      <c r="D233" s="769"/>
      <c r="E233" s="801" t="str">
        <f xml:space="preserve"> E227</f>
        <v>Repayment of equity bridge POS</v>
      </c>
      <c r="F233" s="801"/>
      <c r="G233" s="801" t="str">
        <f xml:space="preserve"> SMU</f>
        <v>$ 000s</v>
      </c>
      <c r="H233" s="801">
        <f xml:space="preserve"> SUM(J233:BE233)</f>
        <v>86318.253106861201</v>
      </c>
      <c r="I233" s="771"/>
      <c r="J233" s="801">
        <f t="shared" ref="J233:BE233" si="168" xml:space="preserve"> SUMIF($J221:$BE221, J220, $J227:$BE227)</f>
        <v>0</v>
      </c>
      <c r="K233" s="801">
        <f t="shared" si="168"/>
        <v>0</v>
      </c>
      <c r="L233" s="801">
        <f t="shared" si="168"/>
        <v>0</v>
      </c>
      <c r="M233" s="801">
        <f t="shared" si="168"/>
        <v>0</v>
      </c>
      <c r="N233" s="801">
        <f t="shared" si="168"/>
        <v>86318.253106861201</v>
      </c>
      <c r="O233" s="801">
        <f t="shared" si="168"/>
        <v>0</v>
      </c>
      <c r="P233" s="801">
        <f t="shared" si="168"/>
        <v>0</v>
      </c>
      <c r="Q233" s="801">
        <f t="shared" si="168"/>
        <v>0</v>
      </c>
      <c r="R233" s="801">
        <f t="shared" si="168"/>
        <v>0</v>
      </c>
      <c r="S233" s="801">
        <f t="shared" si="168"/>
        <v>0</v>
      </c>
      <c r="T233" s="801">
        <f t="shared" si="168"/>
        <v>0</v>
      </c>
      <c r="U233" s="801">
        <f t="shared" si="168"/>
        <v>0</v>
      </c>
      <c r="V233" s="801">
        <f t="shared" si="168"/>
        <v>0</v>
      </c>
      <c r="W233" s="801">
        <f t="shared" si="168"/>
        <v>0</v>
      </c>
      <c r="X233" s="801">
        <f t="shared" si="168"/>
        <v>0</v>
      </c>
      <c r="Y233" s="801">
        <f t="shared" si="168"/>
        <v>0</v>
      </c>
      <c r="Z233" s="801">
        <f t="shared" si="168"/>
        <v>0</v>
      </c>
      <c r="AA233" s="801">
        <f t="shared" si="168"/>
        <v>0</v>
      </c>
      <c r="AB233" s="801">
        <f t="shared" si="168"/>
        <v>0</v>
      </c>
      <c r="AC233" s="801">
        <f t="shared" si="168"/>
        <v>0</v>
      </c>
      <c r="AD233" s="801">
        <f t="shared" si="168"/>
        <v>0</v>
      </c>
      <c r="AE233" s="801">
        <f t="shared" si="168"/>
        <v>0</v>
      </c>
      <c r="AF233" s="801">
        <f t="shared" si="168"/>
        <v>0</v>
      </c>
      <c r="AG233" s="801">
        <f t="shared" si="168"/>
        <v>0</v>
      </c>
      <c r="AH233" s="801">
        <f t="shared" si="168"/>
        <v>0</v>
      </c>
      <c r="AI233" s="801">
        <f t="shared" si="168"/>
        <v>0</v>
      </c>
      <c r="AJ233" s="801">
        <f t="shared" si="168"/>
        <v>0</v>
      </c>
      <c r="AK233" s="801">
        <f t="shared" si="168"/>
        <v>0</v>
      </c>
      <c r="AL233" s="801">
        <f t="shared" si="168"/>
        <v>0</v>
      </c>
      <c r="AM233" s="801">
        <f t="shared" si="168"/>
        <v>0</v>
      </c>
      <c r="AN233" s="801">
        <f t="shared" si="168"/>
        <v>0</v>
      </c>
      <c r="AO233" s="801">
        <f t="shared" si="168"/>
        <v>0</v>
      </c>
      <c r="AP233" s="801">
        <f t="shared" si="168"/>
        <v>0</v>
      </c>
      <c r="AQ233" s="801">
        <f t="shared" si="168"/>
        <v>0</v>
      </c>
      <c r="AR233" s="801">
        <f t="shared" si="168"/>
        <v>0</v>
      </c>
      <c r="AS233" s="801">
        <f t="shared" si="168"/>
        <v>0</v>
      </c>
      <c r="AT233" s="801">
        <f t="shared" si="168"/>
        <v>0</v>
      </c>
      <c r="AU233" s="801">
        <f t="shared" si="168"/>
        <v>0</v>
      </c>
      <c r="AV233" s="801">
        <f t="shared" si="168"/>
        <v>0</v>
      </c>
      <c r="AW233" s="801">
        <f t="shared" si="168"/>
        <v>0</v>
      </c>
      <c r="AX233" s="801">
        <f t="shared" si="168"/>
        <v>0</v>
      </c>
      <c r="AY233" s="801">
        <f t="shared" si="168"/>
        <v>0</v>
      </c>
      <c r="AZ233" s="801">
        <f t="shared" si="168"/>
        <v>0</v>
      </c>
      <c r="BA233" s="801">
        <f t="shared" si="168"/>
        <v>0</v>
      </c>
      <c r="BB233" s="801">
        <f t="shared" si="168"/>
        <v>0</v>
      </c>
      <c r="BC233" s="801">
        <f t="shared" si="168"/>
        <v>0</v>
      </c>
      <c r="BD233" s="801">
        <f t="shared" si="168"/>
        <v>0</v>
      </c>
      <c r="BE233" s="801">
        <f t="shared" si="168"/>
        <v>0</v>
      </c>
    </row>
    <row r="234" spans="1:57" s="734" customFormat="1" ht="13.15" hidden="1" customHeight="1" outlineLevel="2" x14ac:dyDescent="0.2">
      <c r="A234" s="732"/>
      <c r="B234" s="732"/>
      <c r="C234" s="732"/>
      <c r="D234" s="732"/>
      <c r="E234" s="114"/>
      <c r="F234" s="114"/>
      <c r="G234" s="114"/>
      <c r="H234" s="114"/>
      <c r="I234" s="114"/>
      <c r="J234" s="114"/>
      <c r="K234" s="114"/>
      <c r="L234" s="114"/>
      <c r="M234" s="114"/>
      <c r="N234" s="114"/>
      <c r="O234" s="114"/>
      <c r="P234" s="114"/>
      <c r="Q234" s="114"/>
      <c r="R234" s="114"/>
      <c r="S234" s="114"/>
      <c r="T234" s="114"/>
      <c r="U234" s="114"/>
      <c r="V234" s="114"/>
      <c r="W234" s="114"/>
      <c r="X234" s="114"/>
      <c r="Y234" s="114"/>
      <c r="Z234" s="114"/>
      <c r="AA234" s="114"/>
      <c r="AB234" s="114"/>
      <c r="AC234" s="114"/>
      <c r="AD234" s="114"/>
      <c r="AE234" s="114"/>
      <c r="AF234" s="114"/>
      <c r="AG234" s="114"/>
      <c r="AH234" s="114"/>
      <c r="AI234" s="114"/>
      <c r="AJ234" s="114"/>
      <c r="AK234" s="114"/>
      <c r="AL234" s="114"/>
      <c r="AM234" s="114"/>
      <c r="AN234" s="114"/>
      <c r="AO234" s="114"/>
      <c r="AP234" s="114"/>
      <c r="AQ234" s="114"/>
      <c r="AR234" s="114"/>
      <c r="AS234" s="114"/>
      <c r="AT234" s="114"/>
      <c r="AU234" s="114"/>
      <c r="AV234" s="114"/>
      <c r="AW234" s="114"/>
      <c r="AX234" s="114"/>
      <c r="AY234" s="114"/>
      <c r="AZ234" s="114"/>
      <c r="BA234" s="114"/>
      <c r="BB234" s="114"/>
      <c r="BC234" s="114"/>
      <c r="BD234" s="114"/>
      <c r="BE234" s="114"/>
    </row>
    <row r="235" spans="1:57" x14ac:dyDescent="0.2"/>
    <row r="236" spans="1:57" collapsed="1" x14ac:dyDescent="0.2">
      <c r="A236" s="15" t="s">
        <v>455</v>
      </c>
    </row>
    <row r="237" spans="1:57" hidden="1" outlineLevel="1" x14ac:dyDescent="0.2"/>
    <row r="238" spans="1:57" hidden="1" outlineLevel="1" x14ac:dyDescent="0.2">
      <c r="E238" s="12" t="str">
        <f t="shared" ref="E238:G238" si="169" xml:space="preserve"> E$445</f>
        <v>Standby funding requirement</v>
      </c>
      <c r="F238" s="12">
        <f t="shared" si="169"/>
        <v>0</v>
      </c>
      <c r="G238" s="12" t="str">
        <f t="shared" si="169"/>
        <v>$ 000s</v>
      </c>
    </row>
    <row r="239" spans="1:57" s="283" customFormat="1" hidden="1" outlineLevel="1" x14ac:dyDescent="0.2">
      <c r="A239" s="556"/>
      <c r="B239" s="556"/>
      <c r="C239" s="557"/>
      <c r="D239" s="115"/>
      <c r="E239" s="450" t="str">
        <f xml:space="preserve"> Solve!E$54</f>
        <v>Gearing for standby funding calculation - Paste</v>
      </c>
      <c r="F239" s="450">
        <f xml:space="preserve"> Solve!F$54</f>
        <v>0.71796763672768571</v>
      </c>
      <c r="G239" s="450" t="str">
        <f xml:space="preserve"> Solve!G$54</f>
        <v>%</v>
      </c>
      <c r="H239" s="282"/>
      <c r="I239" s="112"/>
      <c r="J239" s="282"/>
      <c r="K239" s="282"/>
      <c r="L239" s="282"/>
      <c r="M239" s="282"/>
      <c r="N239" s="282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  <c r="AF239" s="282"/>
      <c r="AG239" s="282"/>
      <c r="AH239" s="282"/>
      <c r="AI239" s="282"/>
      <c r="AJ239" s="282"/>
      <c r="AK239" s="282"/>
      <c r="AL239" s="282"/>
      <c r="AM239" s="282"/>
      <c r="AN239" s="282"/>
      <c r="AO239" s="282"/>
      <c r="AP239" s="282"/>
      <c r="AQ239" s="282"/>
      <c r="AR239" s="282"/>
      <c r="AS239" s="282"/>
      <c r="AT239" s="282"/>
      <c r="AU239" s="282"/>
      <c r="AV239" s="282"/>
      <c r="AW239" s="282"/>
      <c r="AX239" s="282"/>
      <c r="AY239" s="282"/>
      <c r="AZ239" s="282"/>
      <c r="BA239" s="282"/>
      <c r="BB239" s="282"/>
      <c r="BC239" s="282"/>
      <c r="BD239" s="282"/>
      <c r="BE239" s="282"/>
    </row>
    <row r="240" spans="1:57" s="125" customFormat="1" hidden="1" outlineLevel="1" x14ac:dyDescent="0.2">
      <c r="A240" s="85"/>
      <c r="B240" s="85"/>
      <c r="C240" s="86"/>
      <c r="D240" s="87"/>
      <c r="E240" s="186" t="str">
        <f xml:space="preserve"> InpC!E$377</f>
        <v>Standby equity commitment amount</v>
      </c>
      <c r="F240" s="186">
        <f xml:space="preserve"> InpC!F$377</f>
        <v>1692.1941796338861</v>
      </c>
      <c r="G240" s="186" t="str">
        <f xml:space="preserve"> InpC!G$377</f>
        <v>$ 000s</v>
      </c>
      <c r="H240" s="186"/>
      <c r="I240" s="68"/>
      <c r="J240" s="186"/>
      <c r="K240" s="186"/>
      <c r="L240" s="186"/>
      <c r="M240" s="186"/>
      <c r="N240" s="186"/>
      <c r="O240" s="186"/>
      <c r="P240" s="186"/>
      <c r="Q240" s="186"/>
      <c r="R240" s="186"/>
      <c r="S240" s="186"/>
      <c r="T240" s="186"/>
      <c r="U240" s="186"/>
      <c r="V240" s="186"/>
      <c r="W240" s="186"/>
      <c r="X240" s="186"/>
      <c r="Y240" s="186"/>
      <c r="Z240" s="186"/>
      <c r="AA240" s="186"/>
      <c r="AB240" s="186"/>
      <c r="AC240" s="186"/>
      <c r="AD240" s="186"/>
      <c r="AE240" s="186"/>
      <c r="AF240" s="186"/>
      <c r="AG240" s="186"/>
      <c r="AH240" s="186"/>
      <c r="AI240" s="186"/>
      <c r="AJ240" s="186"/>
      <c r="AK240" s="186"/>
      <c r="AL240" s="186"/>
      <c r="AM240" s="186"/>
      <c r="AN240" s="186"/>
      <c r="AO240" s="186"/>
      <c r="AP240" s="186"/>
      <c r="AQ240" s="186"/>
      <c r="AR240" s="186"/>
      <c r="AS240" s="186"/>
      <c r="AT240" s="186"/>
      <c r="AU240" s="186"/>
      <c r="AV240" s="186"/>
      <c r="AW240" s="186"/>
      <c r="AX240" s="186"/>
      <c r="AY240" s="186"/>
      <c r="AZ240" s="186"/>
      <c r="BA240" s="186"/>
      <c r="BB240" s="186"/>
      <c r="BC240" s="186"/>
      <c r="BD240" s="186"/>
      <c r="BE240" s="186"/>
    </row>
    <row r="241" spans="1:57" hidden="1" outlineLevel="1" x14ac:dyDescent="0.2">
      <c r="E241" s="525" t="s">
        <v>456</v>
      </c>
      <c r="F241" s="525">
        <f xml:space="preserve"> MIN(F238 * (1 - F239), F240)</f>
        <v>0</v>
      </c>
      <c r="G241" s="525" t="str">
        <f xml:space="preserve"> SMU</f>
        <v>$ 000s</v>
      </c>
    </row>
    <row r="242" spans="1:57" hidden="1" outlineLevel="1" x14ac:dyDescent="0.2"/>
    <row r="243" spans="1:57" hidden="1" outlineLevel="1" x14ac:dyDescent="0.2">
      <c r="E243" s="12" t="str">
        <f t="shared" ref="E243:G243" si="170" xml:space="preserve"> E$241</f>
        <v>Standby equity amount</v>
      </c>
      <c r="F243" s="12">
        <f t="shared" si="170"/>
        <v>0</v>
      </c>
      <c r="G243" s="12" t="str">
        <f t="shared" si="170"/>
        <v>$ 000s</v>
      </c>
    </row>
    <row r="244" spans="1:57" hidden="1" outlineLevel="1" x14ac:dyDescent="0.2">
      <c r="A244" s="522"/>
      <c r="B244" s="522"/>
      <c r="C244" s="523"/>
      <c r="D244" s="524"/>
      <c r="E244" s="525" t="str">
        <f t="shared" ref="E244:AJ244" si="171" xml:space="preserve"> E$257</f>
        <v>Standby equity balance BEG</v>
      </c>
      <c r="F244" s="525">
        <f t="shared" si="171"/>
        <v>0</v>
      </c>
      <c r="G244" s="525" t="str">
        <f t="shared" si="171"/>
        <v>$ 000s</v>
      </c>
      <c r="H244" s="525">
        <f t="shared" si="171"/>
        <v>0</v>
      </c>
      <c r="I244" s="525">
        <f t="shared" si="171"/>
        <v>0</v>
      </c>
      <c r="J244" s="525">
        <f t="shared" si="171"/>
        <v>0</v>
      </c>
      <c r="K244" s="525">
        <f t="shared" si="171"/>
        <v>0</v>
      </c>
      <c r="L244" s="525">
        <f t="shared" si="171"/>
        <v>0</v>
      </c>
      <c r="M244" s="525">
        <f t="shared" si="171"/>
        <v>0</v>
      </c>
      <c r="N244" s="525">
        <f t="shared" si="171"/>
        <v>0</v>
      </c>
      <c r="O244" s="525">
        <f t="shared" si="171"/>
        <v>0</v>
      </c>
      <c r="P244" s="525">
        <f t="shared" si="171"/>
        <v>0</v>
      </c>
      <c r="Q244" s="525">
        <f t="shared" si="171"/>
        <v>0</v>
      </c>
      <c r="R244" s="525">
        <f t="shared" si="171"/>
        <v>0</v>
      </c>
      <c r="S244" s="525">
        <f t="shared" si="171"/>
        <v>0</v>
      </c>
      <c r="T244" s="525">
        <f t="shared" si="171"/>
        <v>0</v>
      </c>
      <c r="U244" s="525">
        <f t="shared" si="171"/>
        <v>0</v>
      </c>
      <c r="V244" s="525">
        <f t="shared" si="171"/>
        <v>0</v>
      </c>
      <c r="W244" s="525">
        <f t="shared" si="171"/>
        <v>0</v>
      </c>
      <c r="X244" s="525">
        <f t="shared" si="171"/>
        <v>0</v>
      </c>
      <c r="Y244" s="525">
        <f t="shared" si="171"/>
        <v>0</v>
      </c>
      <c r="Z244" s="525">
        <f t="shared" si="171"/>
        <v>0</v>
      </c>
      <c r="AA244" s="525">
        <f t="shared" si="171"/>
        <v>0</v>
      </c>
      <c r="AB244" s="525">
        <f t="shared" si="171"/>
        <v>0</v>
      </c>
      <c r="AC244" s="525">
        <f t="shared" si="171"/>
        <v>0</v>
      </c>
      <c r="AD244" s="525">
        <f t="shared" si="171"/>
        <v>0</v>
      </c>
      <c r="AE244" s="525">
        <f t="shared" si="171"/>
        <v>0</v>
      </c>
      <c r="AF244" s="525">
        <f t="shared" si="171"/>
        <v>0</v>
      </c>
      <c r="AG244" s="525">
        <f t="shared" si="171"/>
        <v>0</v>
      </c>
      <c r="AH244" s="525">
        <f t="shared" si="171"/>
        <v>0</v>
      </c>
      <c r="AI244" s="525">
        <f t="shared" si="171"/>
        <v>0</v>
      </c>
      <c r="AJ244" s="525">
        <f t="shared" si="171"/>
        <v>0</v>
      </c>
      <c r="AK244" s="525">
        <f t="shared" ref="AK244:BE244" si="172" xml:space="preserve"> AK$257</f>
        <v>0</v>
      </c>
      <c r="AL244" s="525">
        <f t="shared" si="172"/>
        <v>0</v>
      </c>
      <c r="AM244" s="525">
        <f t="shared" si="172"/>
        <v>0</v>
      </c>
      <c r="AN244" s="525">
        <f t="shared" si="172"/>
        <v>0</v>
      </c>
      <c r="AO244" s="525">
        <f t="shared" si="172"/>
        <v>0</v>
      </c>
      <c r="AP244" s="525">
        <f t="shared" si="172"/>
        <v>0</v>
      </c>
      <c r="AQ244" s="525">
        <f t="shared" si="172"/>
        <v>0</v>
      </c>
      <c r="AR244" s="525">
        <f t="shared" si="172"/>
        <v>0</v>
      </c>
      <c r="AS244" s="525">
        <f t="shared" si="172"/>
        <v>0</v>
      </c>
      <c r="AT244" s="525">
        <f t="shared" si="172"/>
        <v>0</v>
      </c>
      <c r="AU244" s="525">
        <f t="shared" si="172"/>
        <v>0</v>
      </c>
      <c r="AV244" s="525">
        <f t="shared" si="172"/>
        <v>0</v>
      </c>
      <c r="AW244" s="525">
        <f t="shared" si="172"/>
        <v>0</v>
      </c>
      <c r="AX244" s="525">
        <f t="shared" si="172"/>
        <v>0</v>
      </c>
      <c r="AY244" s="525">
        <f t="shared" si="172"/>
        <v>0</v>
      </c>
      <c r="AZ244" s="525">
        <f t="shared" si="172"/>
        <v>0</v>
      </c>
      <c r="BA244" s="525">
        <f t="shared" si="172"/>
        <v>0</v>
      </c>
      <c r="BB244" s="525">
        <f t="shared" si="172"/>
        <v>0</v>
      </c>
      <c r="BC244" s="525">
        <f t="shared" si="172"/>
        <v>0</v>
      </c>
      <c r="BD244" s="525">
        <f t="shared" si="172"/>
        <v>0</v>
      </c>
      <c r="BE244" s="525">
        <f t="shared" si="172"/>
        <v>0</v>
      </c>
    </row>
    <row r="245" spans="1:57" hidden="1" outlineLevel="1" x14ac:dyDescent="0.2">
      <c r="A245" s="522"/>
      <c r="B245" s="522"/>
      <c r="C245" s="523"/>
      <c r="D245" s="524"/>
      <c r="E245" s="525" t="s">
        <v>457</v>
      </c>
      <c r="F245" s="525"/>
      <c r="G245" s="525" t="str">
        <f xml:space="preserve"> SMU</f>
        <v>$ 000s</v>
      </c>
      <c r="H245" s="525"/>
      <c r="I245" s="526"/>
      <c r="J245" s="525">
        <f t="shared" ref="J245:BE245" si="173" xml:space="preserve"> $F243 - J244</f>
        <v>0</v>
      </c>
      <c r="K245" s="525">
        <f t="shared" si="173"/>
        <v>0</v>
      </c>
      <c r="L245" s="525">
        <f t="shared" si="173"/>
        <v>0</v>
      </c>
      <c r="M245" s="525">
        <f t="shared" si="173"/>
        <v>0</v>
      </c>
      <c r="N245" s="525">
        <f t="shared" si="173"/>
        <v>0</v>
      </c>
      <c r="O245" s="525">
        <f t="shared" si="173"/>
        <v>0</v>
      </c>
      <c r="P245" s="525">
        <f t="shared" si="173"/>
        <v>0</v>
      </c>
      <c r="Q245" s="525">
        <f t="shared" si="173"/>
        <v>0</v>
      </c>
      <c r="R245" s="525">
        <f t="shared" si="173"/>
        <v>0</v>
      </c>
      <c r="S245" s="525">
        <f t="shared" si="173"/>
        <v>0</v>
      </c>
      <c r="T245" s="525">
        <f t="shared" si="173"/>
        <v>0</v>
      </c>
      <c r="U245" s="525">
        <f t="shared" si="173"/>
        <v>0</v>
      </c>
      <c r="V245" s="525">
        <f t="shared" si="173"/>
        <v>0</v>
      </c>
      <c r="W245" s="525">
        <f t="shared" si="173"/>
        <v>0</v>
      </c>
      <c r="X245" s="525">
        <f t="shared" si="173"/>
        <v>0</v>
      </c>
      <c r="Y245" s="525">
        <f t="shared" si="173"/>
        <v>0</v>
      </c>
      <c r="Z245" s="525">
        <f t="shared" si="173"/>
        <v>0</v>
      </c>
      <c r="AA245" s="525">
        <f t="shared" si="173"/>
        <v>0</v>
      </c>
      <c r="AB245" s="525">
        <f t="shared" si="173"/>
        <v>0</v>
      </c>
      <c r="AC245" s="525">
        <f t="shared" si="173"/>
        <v>0</v>
      </c>
      <c r="AD245" s="525">
        <f t="shared" si="173"/>
        <v>0</v>
      </c>
      <c r="AE245" s="525">
        <f t="shared" si="173"/>
        <v>0</v>
      </c>
      <c r="AF245" s="525">
        <f t="shared" si="173"/>
        <v>0</v>
      </c>
      <c r="AG245" s="525">
        <f t="shared" si="173"/>
        <v>0</v>
      </c>
      <c r="AH245" s="525">
        <f t="shared" si="173"/>
        <v>0</v>
      </c>
      <c r="AI245" s="525">
        <f t="shared" si="173"/>
        <v>0</v>
      </c>
      <c r="AJ245" s="525">
        <f t="shared" si="173"/>
        <v>0</v>
      </c>
      <c r="AK245" s="525">
        <f t="shared" si="173"/>
        <v>0</v>
      </c>
      <c r="AL245" s="525">
        <f t="shared" si="173"/>
        <v>0</v>
      </c>
      <c r="AM245" s="525">
        <f t="shared" si="173"/>
        <v>0</v>
      </c>
      <c r="AN245" s="525">
        <f t="shared" si="173"/>
        <v>0</v>
      </c>
      <c r="AO245" s="525">
        <f t="shared" si="173"/>
        <v>0</v>
      </c>
      <c r="AP245" s="525">
        <f t="shared" si="173"/>
        <v>0</v>
      </c>
      <c r="AQ245" s="525">
        <f t="shared" si="173"/>
        <v>0</v>
      </c>
      <c r="AR245" s="525">
        <f t="shared" si="173"/>
        <v>0</v>
      </c>
      <c r="AS245" s="525">
        <f t="shared" si="173"/>
        <v>0</v>
      </c>
      <c r="AT245" s="525">
        <f t="shared" si="173"/>
        <v>0</v>
      </c>
      <c r="AU245" s="525">
        <f t="shared" si="173"/>
        <v>0</v>
      </c>
      <c r="AV245" s="525">
        <f t="shared" si="173"/>
        <v>0</v>
      </c>
      <c r="AW245" s="525">
        <f t="shared" si="173"/>
        <v>0</v>
      </c>
      <c r="AX245" s="525">
        <f t="shared" si="173"/>
        <v>0</v>
      </c>
      <c r="AY245" s="525">
        <f t="shared" si="173"/>
        <v>0</v>
      </c>
      <c r="AZ245" s="525">
        <f t="shared" si="173"/>
        <v>0</v>
      </c>
      <c r="BA245" s="525">
        <f t="shared" si="173"/>
        <v>0</v>
      </c>
      <c r="BB245" s="525">
        <f t="shared" si="173"/>
        <v>0</v>
      </c>
      <c r="BC245" s="525">
        <f t="shared" si="173"/>
        <v>0</v>
      </c>
      <c r="BD245" s="525">
        <f t="shared" si="173"/>
        <v>0</v>
      </c>
      <c r="BE245" s="525">
        <f t="shared" si="173"/>
        <v>0</v>
      </c>
    </row>
    <row r="246" spans="1:57" hidden="1" outlineLevel="1" x14ac:dyDescent="0.2">
      <c r="A246" s="522"/>
      <c r="B246" s="522"/>
      <c r="C246" s="523"/>
      <c r="D246" s="524"/>
      <c r="E246" s="525"/>
      <c r="F246" s="525"/>
      <c r="G246" s="525"/>
      <c r="H246" s="525"/>
      <c r="I246" s="526"/>
      <c r="J246" s="525"/>
      <c r="K246" s="525"/>
      <c r="L246" s="525"/>
      <c r="M246" s="525"/>
      <c r="N246" s="525"/>
      <c r="O246" s="525"/>
      <c r="P246" s="525"/>
      <c r="Q246" s="525"/>
      <c r="R246" s="525"/>
      <c r="S246" s="525"/>
      <c r="T246" s="525"/>
      <c r="U246" s="525"/>
      <c r="V246" s="525"/>
      <c r="W246" s="525"/>
      <c r="X246" s="525"/>
      <c r="Y246" s="525"/>
      <c r="Z246" s="525"/>
      <c r="AA246" s="525"/>
      <c r="AB246" s="525"/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</row>
    <row r="247" spans="1:57" hidden="1" outlineLevel="1" x14ac:dyDescent="0.2">
      <c r="A247" s="522"/>
      <c r="B247" s="522"/>
      <c r="C247" s="523"/>
      <c r="D247" s="524"/>
      <c r="E247" s="525" t="str">
        <f t="shared" ref="E247:AJ247" si="174" xml:space="preserve"> E$69</f>
        <v>Funding requirement for shareholder loan</v>
      </c>
      <c r="F247" s="525">
        <f t="shared" si="174"/>
        <v>0</v>
      </c>
      <c r="G247" s="525" t="str">
        <f t="shared" si="174"/>
        <v>$ 000s</v>
      </c>
      <c r="H247" s="525">
        <f t="shared" si="174"/>
        <v>336708.10907557519</v>
      </c>
      <c r="I247" s="525">
        <f t="shared" si="174"/>
        <v>0</v>
      </c>
      <c r="J247" s="525">
        <f t="shared" si="174"/>
        <v>0</v>
      </c>
      <c r="K247" s="525">
        <f t="shared" si="174"/>
        <v>0</v>
      </c>
      <c r="L247" s="525">
        <f t="shared" si="174"/>
        <v>0</v>
      </c>
      <c r="M247" s="525">
        <f t="shared" si="174"/>
        <v>14843.424770244494</v>
      </c>
      <c r="N247" s="525">
        <f t="shared" si="174"/>
        <v>11841.327808384644</v>
      </c>
      <c r="O247" s="525">
        <f t="shared" si="174"/>
        <v>11870.259742712651</v>
      </c>
      <c r="P247" s="525">
        <f t="shared" si="174"/>
        <v>11907.687320687248</v>
      </c>
      <c r="Q247" s="525">
        <f t="shared" si="174"/>
        <v>11941.012306690816</v>
      </c>
      <c r="R247" s="525">
        <f t="shared" si="174"/>
        <v>11966.998590891828</v>
      </c>
      <c r="S247" s="525">
        <f t="shared" si="174"/>
        <v>12007.921531555499</v>
      </c>
      <c r="T247" s="525">
        <f t="shared" si="174"/>
        <v>12031.934187437519</v>
      </c>
      <c r="U247" s="525">
        <f t="shared" si="174"/>
        <v>12076.190635536972</v>
      </c>
      <c r="V247" s="525">
        <f t="shared" si="174"/>
        <v>12110.976773522409</v>
      </c>
      <c r="W247" s="525">
        <f t="shared" si="174"/>
        <v>12104.694875399815</v>
      </c>
      <c r="X247" s="525">
        <f t="shared" si="174"/>
        <v>12180.731360946033</v>
      </c>
      <c r="Y247" s="525">
        <f t="shared" si="174"/>
        <v>12199.330047588888</v>
      </c>
      <c r="Z247" s="525">
        <f t="shared" si="174"/>
        <v>12250.959482205111</v>
      </c>
      <c r="AA247" s="525">
        <f t="shared" si="174"/>
        <v>12266.975848549024</v>
      </c>
      <c r="AB247" s="525">
        <f t="shared" si="174"/>
        <v>12321.584756958357</v>
      </c>
      <c r="AC247" s="525">
        <f t="shared" si="174"/>
        <v>12357.077766346292</v>
      </c>
      <c r="AD247" s="525">
        <f t="shared" si="174"/>
        <v>12369.192114605235</v>
      </c>
      <c r="AE247" s="525">
        <f t="shared" si="174"/>
        <v>12428.303160347879</v>
      </c>
      <c r="AF247" s="525">
        <f t="shared" si="174"/>
        <v>12437.798518130739</v>
      </c>
      <c r="AG247" s="525">
        <f t="shared" si="174"/>
        <v>12499.931347612244</v>
      </c>
      <c r="AH247" s="525">
        <f t="shared" si="174"/>
        <v>10545.938094264708</v>
      </c>
      <c r="AI247" s="525">
        <f t="shared" si="174"/>
        <v>10515.623743976959</v>
      </c>
      <c r="AJ247" s="525">
        <f t="shared" si="174"/>
        <v>10606.607093158804</v>
      </c>
      <c r="AK247" s="525">
        <f t="shared" ref="AK247:BE247" si="175" xml:space="preserve"> AK$69</f>
        <v>10604.408171304991</v>
      </c>
      <c r="AL247" s="525">
        <f t="shared" si="175"/>
        <v>10667.706600951156</v>
      </c>
      <c r="AM247" s="525">
        <f t="shared" si="175"/>
        <v>25753.512425564993</v>
      </c>
      <c r="AN247" s="525">
        <f t="shared" si="175"/>
        <v>0</v>
      </c>
      <c r="AO247" s="525">
        <f t="shared" si="175"/>
        <v>0</v>
      </c>
      <c r="AP247" s="525">
        <f t="shared" si="175"/>
        <v>0</v>
      </c>
      <c r="AQ247" s="525">
        <f t="shared" si="175"/>
        <v>0</v>
      </c>
      <c r="AR247" s="525">
        <f t="shared" si="175"/>
        <v>0</v>
      </c>
      <c r="AS247" s="525">
        <f t="shared" si="175"/>
        <v>0</v>
      </c>
      <c r="AT247" s="525">
        <f t="shared" si="175"/>
        <v>0</v>
      </c>
      <c r="AU247" s="525">
        <f t="shared" si="175"/>
        <v>0</v>
      </c>
      <c r="AV247" s="525">
        <f t="shared" si="175"/>
        <v>0</v>
      </c>
      <c r="AW247" s="525">
        <f t="shared" si="175"/>
        <v>0</v>
      </c>
      <c r="AX247" s="525">
        <f t="shared" si="175"/>
        <v>0</v>
      </c>
      <c r="AY247" s="525">
        <f t="shared" si="175"/>
        <v>0</v>
      </c>
      <c r="AZ247" s="525">
        <f t="shared" si="175"/>
        <v>0</v>
      </c>
      <c r="BA247" s="525">
        <f t="shared" si="175"/>
        <v>0</v>
      </c>
      <c r="BB247" s="525">
        <f t="shared" si="175"/>
        <v>0</v>
      </c>
      <c r="BC247" s="525">
        <f t="shared" si="175"/>
        <v>0</v>
      </c>
      <c r="BD247" s="525">
        <f t="shared" si="175"/>
        <v>0</v>
      </c>
      <c r="BE247" s="525">
        <f t="shared" si="175"/>
        <v>0</v>
      </c>
    </row>
    <row r="248" spans="1:57" s="495" customFormat="1" hidden="1" outlineLevel="1" x14ac:dyDescent="0.2">
      <c r="A248" s="522"/>
      <c r="B248" s="522"/>
      <c r="C248" s="523"/>
      <c r="D248" s="524"/>
      <c r="E248" s="9" t="str">
        <f t="shared" ref="E248:AJ248" si="176" xml:space="preserve"> E$79</f>
        <v>Shareholder loan drawdown excluding EBL repayment - m</v>
      </c>
      <c r="F248" s="9">
        <f t="shared" si="176"/>
        <v>0</v>
      </c>
      <c r="G248" s="9" t="str">
        <f t="shared" si="176"/>
        <v>$ 000s</v>
      </c>
      <c r="H248" s="9">
        <f t="shared" si="176"/>
        <v>0</v>
      </c>
      <c r="I248" s="9">
        <f t="shared" si="176"/>
        <v>0</v>
      </c>
      <c r="J248" s="9">
        <f t="shared" si="176"/>
        <v>0</v>
      </c>
      <c r="K248" s="9">
        <f t="shared" si="176"/>
        <v>0</v>
      </c>
      <c r="L248" s="9">
        <f t="shared" si="176"/>
        <v>0</v>
      </c>
      <c r="M248" s="9">
        <f t="shared" si="176"/>
        <v>0</v>
      </c>
      <c r="N248" s="9">
        <f t="shared" si="176"/>
        <v>0</v>
      </c>
      <c r="O248" s="9">
        <f t="shared" si="176"/>
        <v>0</v>
      </c>
      <c r="P248" s="9">
        <f t="shared" si="176"/>
        <v>0</v>
      </c>
      <c r="Q248" s="9">
        <f t="shared" si="176"/>
        <v>0</v>
      </c>
      <c r="R248" s="9">
        <f t="shared" si="176"/>
        <v>0</v>
      </c>
      <c r="S248" s="9">
        <f t="shared" si="176"/>
        <v>0</v>
      </c>
      <c r="T248" s="9">
        <f t="shared" si="176"/>
        <v>0</v>
      </c>
      <c r="U248" s="9">
        <f t="shared" si="176"/>
        <v>0</v>
      </c>
      <c r="V248" s="9">
        <f t="shared" si="176"/>
        <v>0</v>
      </c>
      <c r="W248" s="9">
        <f t="shared" si="176"/>
        <v>0</v>
      </c>
      <c r="X248" s="9">
        <f t="shared" si="176"/>
        <v>0</v>
      </c>
      <c r="Y248" s="9">
        <f t="shared" si="176"/>
        <v>0</v>
      </c>
      <c r="Z248" s="9">
        <f t="shared" si="176"/>
        <v>0</v>
      </c>
      <c r="AA248" s="9">
        <f t="shared" si="176"/>
        <v>0</v>
      </c>
      <c r="AB248" s="9">
        <f t="shared" si="176"/>
        <v>0</v>
      </c>
      <c r="AC248" s="9">
        <f t="shared" si="176"/>
        <v>0</v>
      </c>
      <c r="AD248" s="9">
        <f t="shared" si="176"/>
        <v>0</v>
      </c>
      <c r="AE248" s="9">
        <f t="shared" si="176"/>
        <v>0</v>
      </c>
      <c r="AF248" s="9">
        <f t="shared" si="176"/>
        <v>0</v>
      </c>
      <c r="AG248" s="9">
        <f t="shared" si="176"/>
        <v>0</v>
      </c>
      <c r="AH248" s="9">
        <f t="shared" si="176"/>
        <v>0</v>
      </c>
      <c r="AI248" s="9">
        <f t="shared" si="176"/>
        <v>0</v>
      </c>
      <c r="AJ248" s="9">
        <f t="shared" si="176"/>
        <v>0</v>
      </c>
      <c r="AK248" s="9">
        <f t="shared" ref="AK248:BE248" si="177" xml:space="preserve"> AK$79</f>
        <v>0</v>
      </c>
      <c r="AL248" s="9">
        <f t="shared" si="177"/>
        <v>0</v>
      </c>
      <c r="AM248" s="9">
        <f t="shared" si="177"/>
        <v>0</v>
      </c>
      <c r="AN248" s="9">
        <f t="shared" si="177"/>
        <v>0</v>
      </c>
      <c r="AO248" s="9">
        <f t="shared" si="177"/>
        <v>0</v>
      </c>
      <c r="AP248" s="9">
        <f t="shared" si="177"/>
        <v>0</v>
      </c>
      <c r="AQ248" s="9">
        <f t="shared" si="177"/>
        <v>0</v>
      </c>
      <c r="AR248" s="9">
        <f t="shared" si="177"/>
        <v>0</v>
      </c>
      <c r="AS248" s="9">
        <f t="shared" si="177"/>
        <v>0</v>
      </c>
      <c r="AT248" s="9">
        <f t="shared" si="177"/>
        <v>0</v>
      </c>
      <c r="AU248" s="9">
        <f t="shared" si="177"/>
        <v>0</v>
      </c>
      <c r="AV248" s="9">
        <f t="shared" si="177"/>
        <v>0</v>
      </c>
      <c r="AW248" s="9">
        <f t="shared" si="177"/>
        <v>0</v>
      </c>
      <c r="AX248" s="9">
        <f t="shared" si="177"/>
        <v>0</v>
      </c>
      <c r="AY248" s="9">
        <f t="shared" si="177"/>
        <v>0</v>
      </c>
      <c r="AZ248" s="9">
        <f t="shared" si="177"/>
        <v>0</v>
      </c>
      <c r="BA248" s="9">
        <f t="shared" si="177"/>
        <v>0</v>
      </c>
      <c r="BB248" s="9">
        <f t="shared" si="177"/>
        <v>0</v>
      </c>
      <c r="BC248" s="9">
        <f t="shared" si="177"/>
        <v>0</v>
      </c>
      <c r="BD248" s="9">
        <f t="shared" si="177"/>
        <v>0</v>
      </c>
      <c r="BE248" s="9">
        <f t="shared" si="177"/>
        <v>0</v>
      </c>
    </row>
    <row r="249" spans="1:57" hidden="1" outlineLevel="1" x14ac:dyDescent="0.2">
      <c r="A249" s="522"/>
      <c r="B249" s="522"/>
      <c r="C249" s="523"/>
      <c r="D249" s="524"/>
      <c r="E249" s="525" t="str">
        <f t="shared" ref="E249:AJ249" si="178" xml:space="preserve"> E$343</f>
        <v>Construction debt drawdown - m</v>
      </c>
      <c r="F249" s="525">
        <f t="shared" si="178"/>
        <v>0</v>
      </c>
      <c r="G249" s="525" t="str">
        <f t="shared" si="178"/>
        <v>$ 000s</v>
      </c>
      <c r="H249" s="525">
        <f t="shared" si="178"/>
        <v>250389.85226030689</v>
      </c>
      <c r="I249" s="525">
        <f t="shared" si="178"/>
        <v>0</v>
      </c>
      <c r="J249" s="525">
        <f t="shared" si="178"/>
        <v>0</v>
      </c>
      <c r="K249" s="525">
        <f t="shared" si="178"/>
        <v>0</v>
      </c>
      <c r="L249" s="525">
        <f t="shared" si="178"/>
        <v>0</v>
      </c>
      <c r="M249" s="525">
        <f t="shared" si="178"/>
        <v>0</v>
      </c>
      <c r="N249" s="525">
        <f t="shared" si="178"/>
        <v>0</v>
      </c>
      <c r="O249" s="525">
        <f t="shared" si="178"/>
        <v>0</v>
      </c>
      <c r="P249" s="525">
        <f t="shared" si="178"/>
        <v>0</v>
      </c>
      <c r="Q249" s="525">
        <f t="shared" si="178"/>
        <v>0</v>
      </c>
      <c r="R249" s="525">
        <f t="shared" si="178"/>
        <v>0</v>
      </c>
      <c r="S249" s="525">
        <f t="shared" si="178"/>
        <v>60.378964305980844</v>
      </c>
      <c r="T249" s="525">
        <f t="shared" si="178"/>
        <v>12031.934187437519</v>
      </c>
      <c r="U249" s="525">
        <f t="shared" si="178"/>
        <v>12076.190635536972</v>
      </c>
      <c r="V249" s="525">
        <f t="shared" si="178"/>
        <v>12110.976773522409</v>
      </c>
      <c r="W249" s="525">
        <f t="shared" si="178"/>
        <v>12104.694875399815</v>
      </c>
      <c r="X249" s="525">
        <f t="shared" si="178"/>
        <v>12180.731360946033</v>
      </c>
      <c r="Y249" s="525">
        <f t="shared" si="178"/>
        <v>12199.330047588888</v>
      </c>
      <c r="Z249" s="525">
        <f t="shared" si="178"/>
        <v>12250.959482205111</v>
      </c>
      <c r="AA249" s="525">
        <f t="shared" si="178"/>
        <v>12266.975848549024</v>
      </c>
      <c r="AB249" s="525">
        <f t="shared" si="178"/>
        <v>12321.584756958357</v>
      </c>
      <c r="AC249" s="525">
        <f t="shared" si="178"/>
        <v>12357.077766346292</v>
      </c>
      <c r="AD249" s="525">
        <f t="shared" si="178"/>
        <v>12369.192114605235</v>
      </c>
      <c r="AE249" s="525">
        <f t="shared" si="178"/>
        <v>12428.303160347879</v>
      </c>
      <c r="AF249" s="525">
        <f t="shared" si="178"/>
        <v>12437.798518130739</v>
      </c>
      <c r="AG249" s="525">
        <f t="shared" si="178"/>
        <v>12499.931347612244</v>
      </c>
      <c r="AH249" s="525">
        <f t="shared" si="178"/>
        <v>10545.938094264708</v>
      </c>
      <c r="AI249" s="525">
        <f t="shared" si="178"/>
        <v>10515.623743976959</v>
      </c>
      <c r="AJ249" s="525">
        <f t="shared" si="178"/>
        <v>10606.607093158804</v>
      </c>
      <c r="AK249" s="525">
        <f t="shared" ref="AK249:BE249" si="179" xml:space="preserve"> AK$343</f>
        <v>10604.408171304991</v>
      </c>
      <c r="AL249" s="525">
        <f t="shared" si="179"/>
        <v>10667.706600951156</v>
      </c>
      <c r="AM249" s="525">
        <f t="shared" si="179"/>
        <v>25753.508717157791</v>
      </c>
      <c r="AN249" s="525">
        <f t="shared" si="179"/>
        <v>0</v>
      </c>
      <c r="AO249" s="525">
        <f t="shared" si="179"/>
        <v>0</v>
      </c>
      <c r="AP249" s="525">
        <f t="shared" si="179"/>
        <v>0</v>
      </c>
      <c r="AQ249" s="525">
        <f t="shared" si="179"/>
        <v>0</v>
      </c>
      <c r="AR249" s="525">
        <f t="shared" si="179"/>
        <v>0</v>
      </c>
      <c r="AS249" s="525">
        <f t="shared" si="179"/>
        <v>0</v>
      </c>
      <c r="AT249" s="525">
        <f t="shared" si="179"/>
        <v>0</v>
      </c>
      <c r="AU249" s="525">
        <f t="shared" si="179"/>
        <v>0</v>
      </c>
      <c r="AV249" s="525">
        <f t="shared" si="179"/>
        <v>0</v>
      </c>
      <c r="AW249" s="525">
        <f t="shared" si="179"/>
        <v>0</v>
      </c>
      <c r="AX249" s="525">
        <f t="shared" si="179"/>
        <v>0</v>
      </c>
      <c r="AY249" s="525">
        <f t="shared" si="179"/>
        <v>0</v>
      </c>
      <c r="AZ249" s="525">
        <f t="shared" si="179"/>
        <v>0</v>
      </c>
      <c r="BA249" s="525">
        <f t="shared" si="179"/>
        <v>0</v>
      </c>
      <c r="BB249" s="525">
        <f t="shared" si="179"/>
        <v>0</v>
      </c>
      <c r="BC249" s="525">
        <f t="shared" si="179"/>
        <v>0</v>
      </c>
      <c r="BD249" s="525">
        <f t="shared" si="179"/>
        <v>0</v>
      </c>
      <c r="BE249" s="525">
        <f t="shared" si="179"/>
        <v>0</v>
      </c>
    </row>
    <row r="250" spans="1:57" hidden="1" outlineLevel="1" x14ac:dyDescent="0.2">
      <c r="A250" s="522"/>
      <c r="B250" s="522"/>
      <c r="C250" s="523"/>
      <c r="D250" s="524"/>
      <c r="E250" s="525" t="str">
        <f t="shared" ref="E250:AJ250" si="180" xml:space="preserve"> E$469</f>
        <v>Standby debt - T1 drawdown - m</v>
      </c>
      <c r="F250" s="525">
        <f t="shared" si="180"/>
        <v>0</v>
      </c>
      <c r="G250" s="525" t="str">
        <f t="shared" si="180"/>
        <v>$ 000s</v>
      </c>
      <c r="H250" s="525">
        <f t="shared" si="180"/>
        <v>0</v>
      </c>
      <c r="I250" s="525">
        <f t="shared" si="180"/>
        <v>0</v>
      </c>
      <c r="J250" s="525">
        <f t="shared" si="180"/>
        <v>0</v>
      </c>
      <c r="K250" s="525">
        <f t="shared" si="180"/>
        <v>0</v>
      </c>
      <c r="L250" s="525">
        <f t="shared" si="180"/>
        <v>0</v>
      </c>
      <c r="M250" s="525">
        <f t="shared" si="180"/>
        <v>0</v>
      </c>
      <c r="N250" s="525">
        <f t="shared" si="180"/>
        <v>0</v>
      </c>
      <c r="O250" s="525">
        <f t="shared" si="180"/>
        <v>0</v>
      </c>
      <c r="P250" s="525">
        <f t="shared" si="180"/>
        <v>0</v>
      </c>
      <c r="Q250" s="525">
        <f t="shared" si="180"/>
        <v>0</v>
      </c>
      <c r="R250" s="525">
        <f t="shared" si="180"/>
        <v>0</v>
      </c>
      <c r="S250" s="525">
        <f t="shared" si="180"/>
        <v>0</v>
      </c>
      <c r="T250" s="525">
        <f t="shared" si="180"/>
        <v>0</v>
      </c>
      <c r="U250" s="525">
        <f t="shared" si="180"/>
        <v>0</v>
      </c>
      <c r="V250" s="525">
        <f t="shared" si="180"/>
        <v>0</v>
      </c>
      <c r="W250" s="525">
        <f t="shared" si="180"/>
        <v>0</v>
      </c>
      <c r="X250" s="525">
        <f t="shared" si="180"/>
        <v>0</v>
      </c>
      <c r="Y250" s="525">
        <f t="shared" si="180"/>
        <v>0</v>
      </c>
      <c r="Z250" s="525">
        <f t="shared" si="180"/>
        <v>0</v>
      </c>
      <c r="AA250" s="525">
        <f t="shared" si="180"/>
        <v>0</v>
      </c>
      <c r="AB250" s="525">
        <f t="shared" si="180"/>
        <v>0</v>
      </c>
      <c r="AC250" s="525">
        <f t="shared" si="180"/>
        <v>0</v>
      </c>
      <c r="AD250" s="525">
        <f t="shared" si="180"/>
        <v>0</v>
      </c>
      <c r="AE250" s="525">
        <f t="shared" si="180"/>
        <v>0</v>
      </c>
      <c r="AF250" s="525">
        <f t="shared" si="180"/>
        <v>0</v>
      </c>
      <c r="AG250" s="525">
        <f t="shared" si="180"/>
        <v>0</v>
      </c>
      <c r="AH250" s="525">
        <f t="shared" si="180"/>
        <v>0</v>
      </c>
      <c r="AI250" s="525">
        <f t="shared" si="180"/>
        <v>0</v>
      </c>
      <c r="AJ250" s="525">
        <f t="shared" si="180"/>
        <v>0</v>
      </c>
      <c r="AK250" s="525">
        <f t="shared" ref="AK250:BE250" si="181" xml:space="preserve"> AK$469</f>
        <v>0</v>
      </c>
      <c r="AL250" s="525">
        <f t="shared" si="181"/>
        <v>0</v>
      </c>
      <c r="AM250" s="525">
        <f t="shared" si="181"/>
        <v>0</v>
      </c>
      <c r="AN250" s="525">
        <f t="shared" si="181"/>
        <v>0</v>
      </c>
      <c r="AO250" s="525">
        <f t="shared" si="181"/>
        <v>0</v>
      </c>
      <c r="AP250" s="525">
        <f t="shared" si="181"/>
        <v>0</v>
      </c>
      <c r="AQ250" s="525">
        <f t="shared" si="181"/>
        <v>0</v>
      </c>
      <c r="AR250" s="525">
        <f t="shared" si="181"/>
        <v>0</v>
      </c>
      <c r="AS250" s="525">
        <f t="shared" si="181"/>
        <v>0</v>
      </c>
      <c r="AT250" s="525">
        <f t="shared" si="181"/>
        <v>0</v>
      </c>
      <c r="AU250" s="525">
        <f t="shared" si="181"/>
        <v>0</v>
      </c>
      <c r="AV250" s="525">
        <f t="shared" si="181"/>
        <v>0</v>
      </c>
      <c r="AW250" s="525">
        <f t="shared" si="181"/>
        <v>0</v>
      </c>
      <c r="AX250" s="525">
        <f t="shared" si="181"/>
        <v>0</v>
      </c>
      <c r="AY250" s="525">
        <f t="shared" si="181"/>
        <v>0</v>
      </c>
      <c r="AZ250" s="525">
        <f t="shared" si="181"/>
        <v>0</v>
      </c>
      <c r="BA250" s="525">
        <f t="shared" si="181"/>
        <v>0</v>
      </c>
      <c r="BB250" s="525">
        <f t="shared" si="181"/>
        <v>0</v>
      </c>
      <c r="BC250" s="525">
        <f t="shared" si="181"/>
        <v>0</v>
      </c>
      <c r="BD250" s="525">
        <f t="shared" si="181"/>
        <v>0</v>
      </c>
      <c r="BE250" s="525">
        <f t="shared" si="181"/>
        <v>0</v>
      </c>
    </row>
    <row r="251" spans="1:57" hidden="1" outlineLevel="1" x14ac:dyDescent="0.2">
      <c r="A251" s="522"/>
      <c r="B251" s="522"/>
      <c r="C251" s="523"/>
      <c r="D251" s="524"/>
      <c r="E251" s="525" t="s">
        <v>458</v>
      </c>
      <c r="F251" s="525"/>
      <c r="G251" s="525" t="str">
        <f xml:space="preserve"> SMU</f>
        <v>$ 000s</v>
      </c>
      <c r="H251" s="525">
        <f xml:space="preserve"> SUM(J251:BE251)</f>
        <v>86318.256815268396</v>
      </c>
      <c r="I251" s="526"/>
      <c r="J251" s="525">
        <f t="shared" ref="J251:BE251" si="182" xml:space="preserve"> J247 - J248 - J249 - J250</f>
        <v>0</v>
      </c>
      <c r="K251" s="525">
        <f t="shared" si="182"/>
        <v>0</v>
      </c>
      <c r="L251" s="525">
        <f t="shared" si="182"/>
        <v>0</v>
      </c>
      <c r="M251" s="525">
        <f t="shared" si="182"/>
        <v>14843.424770244494</v>
      </c>
      <c r="N251" s="525">
        <f t="shared" si="182"/>
        <v>11841.327808384644</v>
      </c>
      <c r="O251" s="525">
        <f t="shared" si="182"/>
        <v>11870.259742712651</v>
      </c>
      <c r="P251" s="525">
        <f t="shared" si="182"/>
        <v>11907.687320687248</v>
      </c>
      <c r="Q251" s="525">
        <f t="shared" si="182"/>
        <v>11941.012306690816</v>
      </c>
      <c r="R251" s="525">
        <f t="shared" si="182"/>
        <v>11966.998590891828</v>
      </c>
      <c r="S251" s="525">
        <f t="shared" si="182"/>
        <v>11947.542567249518</v>
      </c>
      <c r="T251" s="525">
        <f t="shared" si="182"/>
        <v>0</v>
      </c>
      <c r="U251" s="525">
        <f t="shared" si="182"/>
        <v>0</v>
      </c>
      <c r="V251" s="525">
        <f t="shared" si="182"/>
        <v>0</v>
      </c>
      <c r="W251" s="525">
        <f t="shared" si="182"/>
        <v>0</v>
      </c>
      <c r="X251" s="525">
        <f t="shared" si="182"/>
        <v>0</v>
      </c>
      <c r="Y251" s="525">
        <f t="shared" si="182"/>
        <v>0</v>
      </c>
      <c r="Z251" s="525">
        <f t="shared" si="182"/>
        <v>0</v>
      </c>
      <c r="AA251" s="525">
        <f t="shared" si="182"/>
        <v>0</v>
      </c>
      <c r="AB251" s="525">
        <f t="shared" si="182"/>
        <v>0</v>
      </c>
      <c r="AC251" s="525">
        <f t="shared" si="182"/>
        <v>0</v>
      </c>
      <c r="AD251" s="525">
        <f t="shared" si="182"/>
        <v>0</v>
      </c>
      <c r="AE251" s="525">
        <f t="shared" si="182"/>
        <v>0</v>
      </c>
      <c r="AF251" s="525">
        <f t="shared" si="182"/>
        <v>0</v>
      </c>
      <c r="AG251" s="525">
        <f t="shared" si="182"/>
        <v>0</v>
      </c>
      <c r="AH251" s="525">
        <f t="shared" si="182"/>
        <v>0</v>
      </c>
      <c r="AI251" s="525">
        <f t="shared" si="182"/>
        <v>0</v>
      </c>
      <c r="AJ251" s="525">
        <f t="shared" si="182"/>
        <v>0</v>
      </c>
      <c r="AK251" s="525">
        <f t="shared" si="182"/>
        <v>0</v>
      </c>
      <c r="AL251" s="525">
        <f t="shared" si="182"/>
        <v>0</v>
      </c>
      <c r="AM251" s="525">
        <f t="shared" si="182"/>
        <v>3.7084072027937509E-3</v>
      </c>
      <c r="AN251" s="525">
        <f t="shared" si="182"/>
        <v>0</v>
      </c>
      <c r="AO251" s="525">
        <f t="shared" si="182"/>
        <v>0</v>
      </c>
      <c r="AP251" s="525">
        <f t="shared" si="182"/>
        <v>0</v>
      </c>
      <c r="AQ251" s="525">
        <f t="shared" si="182"/>
        <v>0</v>
      </c>
      <c r="AR251" s="525">
        <f t="shared" si="182"/>
        <v>0</v>
      </c>
      <c r="AS251" s="525">
        <f t="shared" si="182"/>
        <v>0</v>
      </c>
      <c r="AT251" s="525">
        <f t="shared" si="182"/>
        <v>0</v>
      </c>
      <c r="AU251" s="525">
        <f t="shared" si="182"/>
        <v>0</v>
      </c>
      <c r="AV251" s="525">
        <f t="shared" si="182"/>
        <v>0</v>
      </c>
      <c r="AW251" s="525">
        <f t="shared" si="182"/>
        <v>0</v>
      </c>
      <c r="AX251" s="525">
        <f t="shared" si="182"/>
        <v>0</v>
      </c>
      <c r="AY251" s="525">
        <f t="shared" si="182"/>
        <v>0</v>
      </c>
      <c r="AZ251" s="525">
        <f t="shared" si="182"/>
        <v>0</v>
      </c>
      <c r="BA251" s="525">
        <f t="shared" si="182"/>
        <v>0</v>
      </c>
      <c r="BB251" s="525">
        <f t="shared" si="182"/>
        <v>0</v>
      </c>
      <c r="BC251" s="525">
        <f t="shared" si="182"/>
        <v>0</v>
      </c>
      <c r="BD251" s="525">
        <f t="shared" si="182"/>
        <v>0</v>
      </c>
      <c r="BE251" s="525">
        <f t="shared" si="182"/>
        <v>0</v>
      </c>
    </row>
    <row r="252" spans="1:57" hidden="1" outlineLevel="1" x14ac:dyDescent="0.2">
      <c r="A252" s="522"/>
      <c r="B252" s="522"/>
      <c r="C252" s="523"/>
      <c r="D252" s="524"/>
      <c r="E252" s="525"/>
      <c r="F252" s="525"/>
      <c r="G252" s="525"/>
      <c r="H252" s="525"/>
      <c r="I252" s="526"/>
      <c r="J252" s="525"/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</row>
    <row r="253" spans="1:57" hidden="1" outlineLevel="1" x14ac:dyDescent="0.2">
      <c r="A253" s="522"/>
      <c r="B253" s="522"/>
      <c r="C253" s="523"/>
      <c r="D253" s="524"/>
      <c r="E253" s="525" t="str">
        <f t="shared" ref="E253:AJ253" si="183" xml:space="preserve"> E$251</f>
        <v>Funding requirement for standby equity</v>
      </c>
      <c r="F253" s="525">
        <f t="shared" si="183"/>
        <v>0</v>
      </c>
      <c r="G253" s="525" t="str">
        <f t="shared" si="183"/>
        <v>$ 000s</v>
      </c>
      <c r="H253" s="525">
        <f t="shared" si="183"/>
        <v>86318.256815268396</v>
      </c>
      <c r="I253" s="525">
        <f t="shared" si="183"/>
        <v>0</v>
      </c>
      <c r="J253" s="525">
        <f t="shared" si="183"/>
        <v>0</v>
      </c>
      <c r="K253" s="525">
        <f t="shared" si="183"/>
        <v>0</v>
      </c>
      <c r="L253" s="525">
        <f t="shared" si="183"/>
        <v>0</v>
      </c>
      <c r="M253" s="525">
        <f t="shared" si="183"/>
        <v>14843.424770244494</v>
      </c>
      <c r="N253" s="525">
        <f t="shared" si="183"/>
        <v>11841.327808384644</v>
      </c>
      <c r="O253" s="525">
        <f t="shared" si="183"/>
        <v>11870.259742712651</v>
      </c>
      <c r="P253" s="525">
        <f t="shared" si="183"/>
        <v>11907.687320687248</v>
      </c>
      <c r="Q253" s="525">
        <f t="shared" si="183"/>
        <v>11941.012306690816</v>
      </c>
      <c r="R253" s="525">
        <f t="shared" si="183"/>
        <v>11966.998590891828</v>
      </c>
      <c r="S253" s="525">
        <f t="shared" si="183"/>
        <v>11947.542567249518</v>
      </c>
      <c r="T253" s="525">
        <f t="shared" si="183"/>
        <v>0</v>
      </c>
      <c r="U253" s="525">
        <f t="shared" si="183"/>
        <v>0</v>
      </c>
      <c r="V253" s="525">
        <f t="shared" si="183"/>
        <v>0</v>
      </c>
      <c r="W253" s="525">
        <f t="shared" si="183"/>
        <v>0</v>
      </c>
      <c r="X253" s="525">
        <f t="shared" si="183"/>
        <v>0</v>
      </c>
      <c r="Y253" s="525">
        <f t="shared" si="183"/>
        <v>0</v>
      </c>
      <c r="Z253" s="525">
        <f t="shared" si="183"/>
        <v>0</v>
      </c>
      <c r="AA253" s="525">
        <f t="shared" si="183"/>
        <v>0</v>
      </c>
      <c r="AB253" s="525">
        <f t="shared" si="183"/>
        <v>0</v>
      </c>
      <c r="AC253" s="525">
        <f t="shared" si="183"/>
        <v>0</v>
      </c>
      <c r="AD253" s="525">
        <f t="shared" si="183"/>
        <v>0</v>
      </c>
      <c r="AE253" s="525">
        <f t="shared" si="183"/>
        <v>0</v>
      </c>
      <c r="AF253" s="525">
        <f t="shared" si="183"/>
        <v>0</v>
      </c>
      <c r="AG253" s="525">
        <f t="shared" si="183"/>
        <v>0</v>
      </c>
      <c r="AH253" s="525">
        <f t="shared" si="183"/>
        <v>0</v>
      </c>
      <c r="AI253" s="525">
        <f t="shared" si="183"/>
        <v>0</v>
      </c>
      <c r="AJ253" s="525">
        <f t="shared" si="183"/>
        <v>0</v>
      </c>
      <c r="AK253" s="525">
        <f t="shared" ref="AK253:BE253" si="184" xml:space="preserve"> AK$251</f>
        <v>0</v>
      </c>
      <c r="AL253" s="525">
        <f t="shared" si="184"/>
        <v>0</v>
      </c>
      <c r="AM253" s="525">
        <f t="shared" si="184"/>
        <v>3.7084072027937509E-3</v>
      </c>
      <c r="AN253" s="525">
        <f t="shared" si="184"/>
        <v>0</v>
      </c>
      <c r="AO253" s="525">
        <f t="shared" si="184"/>
        <v>0</v>
      </c>
      <c r="AP253" s="525">
        <f t="shared" si="184"/>
        <v>0</v>
      </c>
      <c r="AQ253" s="525">
        <f t="shared" si="184"/>
        <v>0</v>
      </c>
      <c r="AR253" s="525">
        <f t="shared" si="184"/>
        <v>0</v>
      </c>
      <c r="AS253" s="525">
        <f t="shared" si="184"/>
        <v>0</v>
      </c>
      <c r="AT253" s="525">
        <f t="shared" si="184"/>
        <v>0</v>
      </c>
      <c r="AU253" s="525">
        <f t="shared" si="184"/>
        <v>0</v>
      </c>
      <c r="AV253" s="525">
        <f t="shared" si="184"/>
        <v>0</v>
      </c>
      <c r="AW253" s="525">
        <f t="shared" si="184"/>
        <v>0</v>
      </c>
      <c r="AX253" s="525">
        <f t="shared" si="184"/>
        <v>0</v>
      </c>
      <c r="AY253" s="525">
        <f t="shared" si="184"/>
        <v>0</v>
      </c>
      <c r="AZ253" s="525">
        <f t="shared" si="184"/>
        <v>0</v>
      </c>
      <c r="BA253" s="525">
        <f t="shared" si="184"/>
        <v>0</v>
      </c>
      <c r="BB253" s="525">
        <f t="shared" si="184"/>
        <v>0</v>
      </c>
      <c r="BC253" s="525">
        <f t="shared" si="184"/>
        <v>0</v>
      </c>
      <c r="BD253" s="525">
        <f t="shared" si="184"/>
        <v>0</v>
      </c>
      <c r="BE253" s="525">
        <f t="shared" si="184"/>
        <v>0</v>
      </c>
    </row>
    <row r="254" spans="1:57" hidden="1" outlineLevel="1" x14ac:dyDescent="0.2">
      <c r="A254" s="522"/>
      <c r="B254" s="522"/>
      <c r="C254" s="523"/>
      <c r="D254" s="524"/>
      <c r="E254" s="525" t="str">
        <f t="shared" ref="E254:AJ254" si="185" xml:space="preserve"> E$245</f>
        <v>Undrawn Standby equity</v>
      </c>
      <c r="F254" s="525">
        <f t="shared" si="185"/>
        <v>0</v>
      </c>
      <c r="G254" s="525" t="str">
        <f t="shared" si="185"/>
        <v>$ 000s</v>
      </c>
      <c r="H254" s="525">
        <f t="shared" si="185"/>
        <v>0</v>
      </c>
      <c r="I254" s="525">
        <f t="shared" si="185"/>
        <v>0</v>
      </c>
      <c r="J254" s="525">
        <f t="shared" si="185"/>
        <v>0</v>
      </c>
      <c r="K254" s="525">
        <f t="shared" si="185"/>
        <v>0</v>
      </c>
      <c r="L254" s="525">
        <f t="shared" si="185"/>
        <v>0</v>
      </c>
      <c r="M254" s="525">
        <f t="shared" si="185"/>
        <v>0</v>
      </c>
      <c r="N254" s="525">
        <f t="shared" si="185"/>
        <v>0</v>
      </c>
      <c r="O254" s="525">
        <f t="shared" si="185"/>
        <v>0</v>
      </c>
      <c r="P254" s="525">
        <f t="shared" si="185"/>
        <v>0</v>
      </c>
      <c r="Q254" s="525">
        <f t="shared" si="185"/>
        <v>0</v>
      </c>
      <c r="R254" s="525">
        <f t="shared" si="185"/>
        <v>0</v>
      </c>
      <c r="S254" s="525">
        <f t="shared" si="185"/>
        <v>0</v>
      </c>
      <c r="T254" s="525">
        <f t="shared" si="185"/>
        <v>0</v>
      </c>
      <c r="U254" s="525">
        <f t="shared" si="185"/>
        <v>0</v>
      </c>
      <c r="V254" s="525">
        <f t="shared" si="185"/>
        <v>0</v>
      </c>
      <c r="W254" s="525">
        <f t="shared" si="185"/>
        <v>0</v>
      </c>
      <c r="X254" s="525">
        <f t="shared" si="185"/>
        <v>0</v>
      </c>
      <c r="Y254" s="525">
        <f t="shared" si="185"/>
        <v>0</v>
      </c>
      <c r="Z254" s="525">
        <f t="shared" si="185"/>
        <v>0</v>
      </c>
      <c r="AA254" s="525">
        <f t="shared" si="185"/>
        <v>0</v>
      </c>
      <c r="AB254" s="525">
        <f t="shared" si="185"/>
        <v>0</v>
      </c>
      <c r="AC254" s="525">
        <f t="shared" si="185"/>
        <v>0</v>
      </c>
      <c r="AD254" s="525">
        <f t="shared" si="185"/>
        <v>0</v>
      </c>
      <c r="AE254" s="525">
        <f t="shared" si="185"/>
        <v>0</v>
      </c>
      <c r="AF254" s="525">
        <f t="shared" si="185"/>
        <v>0</v>
      </c>
      <c r="AG254" s="525">
        <f t="shared" si="185"/>
        <v>0</v>
      </c>
      <c r="AH254" s="525">
        <f t="shared" si="185"/>
        <v>0</v>
      </c>
      <c r="AI254" s="525">
        <f t="shared" si="185"/>
        <v>0</v>
      </c>
      <c r="AJ254" s="525">
        <f t="shared" si="185"/>
        <v>0</v>
      </c>
      <c r="AK254" s="525">
        <f t="shared" ref="AK254:BE254" si="186" xml:space="preserve"> AK$245</f>
        <v>0</v>
      </c>
      <c r="AL254" s="525">
        <f t="shared" si="186"/>
        <v>0</v>
      </c>
      <c r="AM254" s="525">
        <f t="shared" si="186"/>
        <v>0</v>
      </c>
      <c r="AN254" s="525">
        <f t="shared" si="186"/>
        <v>0</v>
      </c>
      <c r="AO254" s="525">
        <f t="shared" si="186"/>
        <v>0</v>
      </c>
      <c r="AP254" s="525">
        <f t="shared" si="186"/>
        <v>0</v>
      </c>
      <c r="AQ254" s="525">
        <f t="shared" si="186"/>
        <v>0</v>
      </c>
      <c r="AR254" s="525">
        <f t="shared" si="186"/>
        <v>0</v>
      </c>
      <c r="AS254" s="525">
        <f t="shared" si="186"/>
        <v>0</v>
      </c>
      <c r="AT254" s="525">
        <f t="shared" si="186"/>
        <v>0</v>
      </c>
      <c r="AU254" s="525">
        <f t="shared" si="186"/>
        <v>0</v>
      </c>
      <c r="AV254" s="525">
        <f t="shared" si="186"/>
        <v>0</v>
      </c>
      <c r="AW254" s="525">
        <f t="shared" si="186"/>
        <v>0</v>
      </c>
      <c r="AX254" s="525">
        <f t="shared" si="186"/>
        <v>0</v>
      </c>
      <c r="AY254" s="525">
        <f t="shared" si="186"/>
        <v>0</v>
      </c>
      <c r="AZ254" s="525">
        <f t="shared" si="186"/>
        <v>0</v>
      </c>
      <c r="BA254" s="525">
        <f t="shared" si="186"/>
        <v>0</v>
      </c>
      <c r="BB254" s="525">
        <f t="shared" si="186"/>
        <v>0</v>
      </c>
      <c r="BC254" s="525">
        <f t="shared" si="186"/>
        <v>0</v>
      </c>
      <c r="BD254" s="525">
        <f t="shared" si="186"/>
        <v>0</v>
      </c>
      <c r="BE254" s="525">
        <f t="shared" si="186"/>
        <v>0</v>
      </c>
    </row>
    <row r="255" spans="1:57" s="188" customFormat="1" hidden="1" outlineLevel="1" x14ac:dyDescent="0.2">
      <c r="A255" s="527"/>
      <c r="B255" s="527"/>
      <c r="C255" s="528"/>
      <c r="D255" s="529"/>
      <c r="E255" s="530" t="s">
        <v>459</v>
      </c>
      <c r="F255" s="530"/>
      <c r="G255" s="530" t="str">
        <f xml:space="preserve"> SMU</f>
        <v>$ 000s</v>
      </c>
      <c r="H255" s="530">
        <f xml:space="preserve"> SUM(J255:BE255)</f>
        <v>0</v>
      </c>
      <c r="I255" s="531"/>
      <c r="J255" s="530">
        <f t="shared" ref="J255:BE255" si="187" xml:space="preserve"> MIN(J254, J253)</f>
        <v>0</v>
      </c>
      <c r="K255" s="530">
        <f t="shared" si="187"/>
        <v>0</v>
      </c>
      <c r="L255" s="530">
        <f t="shared" si="187"/>
        <v>0</v>
      </c>
      <c r="M255" s="530">
        <f t="shared" si="187"/>
        <v>0</v>
      </c>
      <c r="N255" s="530">
        <f t="shared" si="187"/>
        <v>0</v>
      </c>
      <c r="O255" s="530">
        <f t="shared" si="187"/>
        <v>0</v>
      </c>
      <c r="P255" s="530">
        <f t="shared" si="187"/>
        <v>0</v>
      </c>
      <c r="Q255" s="530">
        <f t="shared" si="187"/>
        <v>0</v>
      </c>
      <c r="R255" s="530">
        <f t="shared" si="187"/>
        <v>0</v>
      </c>
      <c r="S255" s="530">
        <f t="shared" si="187"/>
        <v>0</v>
      </c>
      <c r="T255" s="530">
        <f t="shared" si="187"/>
        <v>0</v>
      </c>
      <c r="U255" s="530">
        <f t="shared" si="187"/>
        <v>0</v>
      </c>
      <c r="V255" s="530">
        <f t="shared" si="187"/>
        <v>0</v>
      </c>
      <c r="W255" s="530">
        <f t="shared" si="187"/>
        <v>0</v>
      </c>
      <c r="X255" s="530">
        <f t="shared" si="187"/>
        <v>0</v>
      </c>
      <c r="Y255" s="530">
        <f t="shared" si="187"/>
        <v>0</v>
      </c>
      <c r="Z255" s="530">
        <f t="shared" si="187"/>
        <v>0</v>
      </c>
      <c r="AA255" s="530">
        <f t="shared" si="187"/>
        <v>0</v>
      </c>
      <c r="AB255" s="530">
        <f t="shared" si="187"/>
        <v>0</v>
      </c>
      <c r="AC255" s="530">
        <f t="shared" si="187"/>
        <v>0</v>
      </c>
      <c r="AD255" s="530">
        <f t="shared" si="187"/>
        <v>0</v>
      </c>
      <c r="AE255" s="530">
        <f t="shared" si="187"/>
        <v>0</v>
      </c>
      <c r="AF255" s="530">
        <f t="shared" si="187"/>
        <v>0</v>
      </c>
      <c r="AG255" s="530">
        <f t="shared" si="187"/>
        <v>0</v>
      </c>
      <c r="AH255" s="530">
        <f t="shared" si="187"/>
        <v>0</v>
      </c>
      <c r="AI255" s="530">
        <f t="shared" si="187"/>
        <v>0</v>
      </c>
      <c r="AJ255" s="530">
        <f t="shared" si="187"/>
        <v>0</v>
      </c>
      <c r="AK255" s="530">
        <f t="shared" si="187"/>
        <v>0</v>
      </c>
      <c r="AL255" s="530">
        <f t="shared" si="187"/>
        <v>0</v>
      </c>
      <c r="AM255" s="530">
        <f t="shared" si="187"/>
        <v>0</v>
      </c>
      <c r="AN255" s="530">
        <f t="shared" si="187"/>
        <v>0</v>
      </c>
      <c r="AO255" s="530">
        <f t="shared" si="187"/>
        <v>0</v>
      </c>
      <c r="AP255" s="530">
        <f t="shared" si="187"/>
        <v>0</v>
      </c>
      <c r="AQ255" s="530">
        <f t="shared" si="187"/>
        <v>0</v>
      </c>
      <c r="AR255" s="530">
        <f t="shared" si="187"/>
        <v>0</v>
      </c>
      <c r="AS255" s="530">
        <f t="shared" si="187"/>
        <v>0</v>
      </c>
      <c r="AT255" s="530">
        <f t="shared" si="187"/>
        <v>0</v>
      </c>
      <c r="AU255" s="530">
        <f t="shared" si="187"/>
        <v>0</v>
      </c>
      <c r="AV255" s="530">
        <f t="shared" si="187"/>
        <v>0</v>
      </c>
      <c r="AW255" s="530">
        <f t="shared" si="187"/>
        <v>0</v>
      </c>
      <c r="AX255" s="530">
        <f t="shared" si="187"/>
        <v>0</v>
      </c>
      <c r="AY255" s="530">
        <f t="shared" si="187"/>
        <v>0</v>
      </c>
      <c r="AZ255" s="530">
        <f t="shared" si="187"/>
        <v>0</v>
      </c>
      <c r="BA255" s="530">
        <f t="shared" si="187"/>
        <v>0</v>
      </c>
      <c r="BB255" s="530">
        <f t="shared" si="187"/>
        <v>0</v>
      </c>
      <c r="BC255" s="530">
        <f t="shared" si="187"/>
        <v>0</v>
      </c>
      <c r="BD255" s="530">
        <f t="shared" si="187"/>
        <v>0</v>
      </c>
      <c r="BE255" s="530">
        <f t="shared" si="187"/>
        <v>0</v>
      </c>
    </row>
    <row r="256" spans="1:57" hidden="1" outlineLevel="1" x14ac:dyDescent="0.2">
      <c r="A256" s="522"/>
      <c r="B256" s="522"/>
      <c r="C256" s="523"/>
      <c r="D256" s="524"/>
      <c r="E256" s="525"/>
      <c r="F256" s="525"/>
      <c r="G256" s="525"/>
      <c r="H256" s="525"/>
      <c r="I256" s="526"/>
      <c r="J256" s="525"/>
      <c r="K256" s="525"/>
      <c r="L256" s="525"/>
      <c r="M256" s="525"/>
      <c r="N256" s="525"/>
      <c r="O256" s="525"/>
      <c r="P256" s="525"/>
      <c r="Q256" s="525"/>
      <c r="R256" s="525"/>
      <c r="S256" s="525"/>
      <c r="T256" s="525"/>
      <c r="U256" s="525"/>
      <c r="V256" s="525"/>
      <c r="W256" s="525"/>
      <c r="X256" s="525"/>
      <c r="Y256" s="525"/>
      <c r="Z256" s="525"/>
      <c r="AA256" s="525"/>
      <c r="AB256" s="525"/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</row>
    <row r="257" spans="1:57" hidden="1" outlineLevel="1" x14ac:dyDescent="0.2">
      <c r="A257" s="522"/>
      <c r="B257" s="522"/>
      <c r="C257" s="523"/>
      <c r="D257" s="524"/>
      <c r="E257" s="690" t="s">
        <v>460</v>
      </c>
      <c r="F257" s="690"/>
      <c r="G257" s="690" t="str">
        <f xml:space="preserve"> SMU</f>
        <v>$ 000s</v>
      </c>
      <c r="H257" s="690"/>
      <c r="I257" s="691"/>
      <c r="J257" s="690">
        <f t="shared" ref="J257:BE257" si="188" xml:space="preserve"> I260</f>
        <v>0</v>
      </c>
      <c r="K257" s="690">
        <f t="shared" si="188"/>
        <v>0</v>
      </c>
      <c r="L257" s="690">
        <f t="shared" si="188"/>
        <v>0</v>
      </c>
      <c r="M257" s="690">
        <f t="shared" si="188"/>
        <v>0</v>
      </c>
      <c r="N257" s="690">
        <f t="shared" si="188"/>
        <v>0</v>
      </c>
      <c r="O257" s="690">
        <f t="shared" si="188"/>
        <v>0</v>
      </c>
      <c r="P257" s="690">
        <f t="shared" si="188"/>
        <v>0</v>
      </c>
      <c r="Q257" s="690">
        <f t="shared" si="188"/>
        <v>0</v>
      </c>
      <c r="R257" s="690">
        <f t="shared" si="188"/>
        <v>0</v>
      </c>
      <c r="S257" s="690">
        <f t="shared" si="188"/>
        <v>0</v>
      </c>
      <c r="T257" s="690">
        <f t="shared" si="188"/>
        <v>0</v>
      </c>
      <c r="U257" s="690">
        <f t="shared" si="188"/>
        <v>0</v>
      </c>
      <c r="V257" s="690">
        <f t="shared" si="188"/>
        <v>0</v>
      </c>
      <c r="W257" s="690">
        <f t="shared" si="188"/>
        <v>0</v>
      </c>
      <c r="X257" s="690">
        <f t="shared" si="188"/>
        <v>0</v>
      </c>
      <c r="Y257" s="690">
        <f t="shared" si="188"/>
        <v>0</v>
      </c>
      <c r="Z257" s="690">
        <f t="shared" si="188"/>
        <v>0</v>
      </c>
      <c r="AA257" s="690">
        <f t="shared" si="188"/>
        <v>0</v>
      </c>
      <c r="AB257" s="690">
        <f t="shared" si="188"/>
        <v>0</v>
      </c>
      <c r="AC257" s="690">
        <f t="shared" si="188"/>
        <v>0</v>
      </c>
      <c r="AD257" s="690">
        <f t="shared" si="188"/>
        <v>0</v>
      </c>
      <c r="AE257" s="690">
        <f t="shared" si="188"/>
        <v>0</v>
      </c>
      <c r="AF257" s="690">
        <f t="shared" si="188"/>
        <v>0</v>
      </c>
      <c r="AG257" s="690">
        <f t="shared" si="188"/>
        <v>0</v>
      </c>
      <c r="AH257" s="690">
        <f t="shared" si="188"/>
        <v>0</v>
      </c>
      <c r="AI257" s="690">
        <f t="shared" si="188"/>
        <v>0</v>
      </c>
      <c r="AJ257" s="690">
        <f t="shared" si="188"/>
        <v>0</v>
      </c>
      <c r="AK257" s="690">
        <f t="shared" si="188"/>
        <v>0</v>
      </c>
      <c r="AL257" s="690">
        <f t="shared" si="188"/>
        <v>0</v>
      </c>
      <c r="AM257" s="690">
        <f t="shared" si="188"/>
        <v>0</v>
      </c>
      <c r="AN257" s="690">
        <f t="shared" si="188"/>
        <v>0</v>
      </c>
      <c r="AO257" s="690">
        <f t="shared" si="188"/>
        <v>0</v>
      </c>
      <c r="AP257" s="690">
        <f t="shared" si="188"/>
        <v>0</v>
      </c>
      <c r="AQ257" s="690">
        <f t="shared" si="188"/>
        <v>0</v>
      </c>
      <c r="AR257" s="690">
        <f t="shared" si="188"/>
        <v>0</v>
      </c>
      <c r="AS257" s="690">
        <f t="shared" si="188"/>
        <v>0</v>
      </c>
      <c r="AT257" s="690">
        <f t="shared" si="188"/>
        <v>0</v>
      </c>
      <c r="AU257" s="690">
        <f t="shared" si="188"/>
        <v>0</v>
      </c>
      <c r="AV257" s="690">
        <f t="shared" si="188"/>
        <v>0</v>
      </c>
      <c r="AW257" s="690">
        <f t="shared" si="188"/>
        <v>0</v>
      </c>
      <c r="AX257" s="690">
        <f t="shared" si="188"/>
        <v>0</v>
      </c>
      <c r="AY257" s="690">
        <f t="shared" si="188"/>
        <v>0</v>
      </c>
      <c r="AZ257" s="690">
        <f t="shared" si="188"/>
        <v>0</v>
      </c>
      <c r="BA257" s="690">
        <f t="shared" si="188"/>
        <v>0</v>
      </c>
      <c r="BB257" s="690">
        <f t="shared" si="188"/>
        <v>0</v>
      </c>
      <c r="BC257" s="690">
        <f t="shared" si="188"/>
        <v>0</v>
      </c>
      <c r="BD257" s="690">
        <f t="shared" si="188"/>
        <v>0</v>
      </c>
      <c r="BE257" s="690">
        <f t="shared" si="188"/>
        <v>0</v>
      </c>
    </row>
    <row r="258" spans="1:57" s="495" customFormat="1" hidden="1" outlineLevel="1" x14ac:dyDescent="0.2">
      <c r="A258" s="522"/>
      <c r="B258" s="522"/>
      <c r="C258" s="523"/>
      <c r="D258" s="524"/>
      <c r="E258" s="663" t="str">
        <f t="shared" ref="E258:AJ258" si="189" xml:space="preserve"> E$255</f>
        <v>Standby equity drawdown - m</v>
      </c>
      <c r="F258" s="663">
        <f t="shared" si="189"/>
        <v>0</v>
      </c>
      <c r="G258" s="663" t="str">
        <f t="shared" si="189"/>
        <v>$ 000s</v>
      </c>
      <c r="H258" s="663">
        <f t="shared" si="189"/>
        <v>0</v>
      </c>
      <c r="I258" s="663">
        <f t="shared" si="189"/>
        <v>0</v>
      </c>
      <c r="J258" s="663">
        <f t="shared" si="189"/>
        <v>0</v>
      </c>
      <c r="K258" s="663">
        <f t="shared" si="189"/>
        <v>0</v>
      </c>
      <c r="L258" s="663">
        <f t="shared" si="189"/>
        <v>0</v>
      </c>
      <c r="M258" s="663">
        <f t="shared" si="189"/>
        <v>0</v>
      </c>
      <c r="N258" s="663">
        <f t="shared" si="189"/>
        <v>0</v>
      </c>
      <c r="O258" s="663">
        <f t="shared" si="189"/>
        <v>0</v>
      </c>
      <c r="P258" s="663">
        <f t="shared" si="189"/>
        <v>0</v>
      </c>
      <c r="Q258" s="663">
        <f t="shared" si="189"/>
        <v>0</v>
      </c>
      <c r="R258" s="663">
        <f t="shared" si="189"/>
        <v>0</v>
      </c>
      <c r="S258" s="663">
        <f t="shared" si="189"/>
        <v>0</v>
      </c>
      <c r="T258" s="663">
        <f t="shared" si="189"/>
        <v>0</v>
      </c>
      <c r="U258" s="663">
        <f t="shared" si="189"/>
        <v>0</v>
      </c>
      <c r="V258" s="663">
        <f t="shared" si="189"/>
        <v>0</v>
      </c>
      <c r="W258" s="663">
        <f t="shared" si="189"/>
        <v>0</v>
      </c>
      <c r="X258" s="663">
        <f t="shared" si="189"/>
        <v>0</v>
      </c>
      <c r="Y258" s="663">
        <f t="shared" si="189"/>
        <v>0</v>
      </c>
      <c r="Z258" s="663">
        <f t="shared" si="189"/>
        <v>0</v>
      </c>
      <c r="AA258" s="663">
        <f t="shared" si="189"/>
        <v>0</v>
      </c>
      <c r="AB258" s="663">
        <f t="shared" si="189"/>
        <v>0</v>
      </c>
      <c r="AC258" s="663">
        <f t="shared" si="189"/>
        <v>0</v>
      </c>
      <c r="AD258" s="663">
        <f t="shared" si="189"/>
        <v>0</v>
      </c>
      <c r="AE258" s="663">
        <f t="shared" si="189"/>
        <v>0</v>
      </c>
      <c r="AF258" s="663">
        <f t="shared" si="189"/>
        <v>0</v>
      </c>
      <c r="AG258" s="663">
        <f t="shared" si="189"/>
        <v>0</v>
      </c>
      <c r="AH258" s="663">
        <f t="shared" si="189"/>
        <v>0</v>
      </c>
      <c r="AI258" s="663">
        <f t="shared" si="189"/>
        <v>0</v>
      </c>
      <c r="AJ258" s="663">
        <f t="shared" si="189"/>
        <v>0</v>
      </c>
      <c r="AK258" s="663">
        <f t="shared" ref="AK258:BE258" si="190" xml:space="preserve"> AK$255</f>
        <v>0</v>
      </c>
      <c r="AL258" s="663">
        <f t="shared" si="190"/>
        <v>0</v>
      </c>
      <c r="AM258" s="663">
        <f t="shared" si="190"/>
        <v>0</v>
      </c>
      <c r="AN258" s="663">
        <f t="shared" si="190"/>
        <v>0</v>
      </c>
      <c r="AO258" s="663">
        <f t="shared" si="190"/>
        <v>0</v>
      </c>
      <c r="AP258" s="663">
        <f t="shared" si="190"/>
        <v>0</v>
      </c>
      <c r="AQ258" s="663">
        <f t="shared" si="190"/>
        <v>0</v>
      </c>
      <c r="AR258" s="663">
        <f t="shared" si="190"/>
        <v>0</v>
      </c>
      <c r="AS258" s="663">
        <f t="shared" si="190"/>
        <v>0</v>
      </c>
      <c r="AT258" s="663">
        <f t="shared" si="190"/>
        <v>0</v>
      </c>
      <c r="AU258" s="663">
        <f t="shared" si="190"/>
        <v>0</v>
      </c>
      <c r="AV258" s="663">
        <f t="shared" si="190"/>
        <v>0</v>
      </c>
      <c r="AW258" s="663">
        <f t="shared" si="190"/>
        <v>0</v>
      </c>
      <c r="AX258" s="663">
        <f t="shared" si="190"/>
        <v>0</v>
      </c>
      <c r="AY258" s="663">
        <f t="shared" si="190"/>
        <v>0</v>
      </c>
      <c r="AZ258" s="663">
        <f t="shared" si="190"/>
        <v>0</v>
      </c>
      <c r="BA258" s="663">
        <f t="shared" si="190"/>
        <v>0</v>
      </c>
      <c r="BB258" s="663">
        <f t="shared" si="190"/>
        <v>0</v>
      </c>
      <c r="BC258" s="663">
        <f t="shared" si="190"/>
        <v>0</v>
      </c>
      <c r="BD258" s="663">
        <f t="shared" si="190"/>
        <v>0</v>
      </c>
      <c r="BE258" s="663">
        <f t="shared" si="190"/>
        <v>0</v>
      </c>
    </row>
    <row r="259" spans="1:57" hidden="1" outlineLevel="1" x14ac:dyDescent="0.2">
      <c r="A259" s="522"/>
      <c r="B259" s="522"/>
      <c r="C259" s="523"/>
      <c r="D259" s="524"/>
      <c r="E259" s="692" t="s">
        <v>92</v>
      </c>
      <c r="F259" s="692"/>
      <c r="G259" s="692"/>
      <c r="H259" s="692"/>
      <c r="I259" s="692"/>
      <c r="J259" s="692"/>
      <c r="K259" s="692"/>
      <c r="L259" s="692"/>
      <c r="M259" s="692"/>
      <c r="N259" s="692"/>
      <c r="O259" s="692"/>
      <c r="P259" s="692"/>
      <c r="Q259" s="692"/>
      <c r="R259" s="692"/>
      <c r="S259" s="692"/>
      <c r="T259" s="692"/>
      <c r="U259" s="692"/>
      <c r="V259" s="692"/>
      <c r="W259" s="692"/>
      <c r="X259" s="692"/>
      <c r="Y259" s="692"/>
      <c r="Z259" s="692"/>
      <c r="AA259" s="692"/>
      <c r="AB259" s="692"/>
      <c r="AC259" s="692"/>
      <c r="AD259" s="692"/>
      <c r="AE259" s="692"/>
      <c r="AF259" s="692"/>
      <c r="AG259" s="692"/>
      <c r="AH259" s="692"/>
      <c r="AI259" s="692"/>
      <c r="AJ259" s="692"/>
      <c r="AK259" s="692"/>
      <c r="AL259" s="692"/>
      <c r="AM259" s="692"/>
      <c r="AN259" s="692"/>
      <c r="AO259" s="692"/>
      <c r="AP259" s="692"/>
      <c r="AQ259" s="692"/>
      <c r="AR259" s="692"/>
      <c r="AS259" s="692"/>
      <c r="AT259" s="692"/>
      <c r="AU259" s="692"/>
      <c r="AV259" s="692"/>
      <c r="AW259" s="692"/>
      <c r="AX259" s="692"/>
      <c r="AY259" s="692"/>
      <c r="AZ259" s="692"/>
      <c r="BA259" s="692"/>
      <c r="BB259" s="692"/>
      <c r="BC259" s="692"/>
      <c r="BD259" s="692"/>
      <c r="BE259" s="692"/>
    </row>
    <row r="260" spans="1:57" hidden="1" outlineLevel="1" x14ac:dyDescent="0.2">
      <c r="A260" s="522"/>
      <c r="B260" s="522"/>
      <c r="C260" s="523"/>
      <c r="D260" s="524"/>
      <c r="E260" s="693" t="s">
        <v>461</v>
      </c>
      <c r="F260" s="693"/>
      <c r="G260" s="693" t="str">
        <f xml:space="preserve"> SMU</f>
        <v>$ 000s</v>
      </c>
      <c r="H260" s="693"/>
      <c r="I260" s="694"/>
      <c r="J260" s="693">
        <f t="shared" ref="J260:BE260" si="191" xml:space="preserve"> J257 + J258 - J259</f>
        <v>0</v>
      </c>
      <c r="K260" s="693">
        <f t="shared" si="191"/>
        <v>0</v>
      </c>
      <c r="L260" s="693">
        <f t="shared" si="191"/>
        <v>0</v>
      </c>
      <c r="M260" s="693">
        <f t="shared" si="191"/>
        <v>0</v>
      </c>
      <c r="N260" s="693">
        <f t="shared" si="191"/>
        <v>0</v>
      </c>
      <c r="O260" s="693">
        <f t="shared" si="191"/>
        <v>0</v>
      </c>
      <c r="P260" s="693">
        <f t="shared" si="191"/>
        <v>0</v>
      </c>
      <c r="Q260" s="693">
        <f t="shared" si="191"/>
        <v>0</v>
      </c>
      <c r="R260" s="693">
        <f t="shared" si="191"/>
        <v>0</v>
      </c>
      <c r="S260" s="693">
        <f t="shared" si="191"/>
        <v>0</v>
      </c>
      <c r="T260" s="693">
        <f t="shared" si="191"/>
        <v>0</v>
      </c>
      <c r="U260" s="693">
        <f t="shared" si="191"/>
        <v>0</v>
      </c>
      <c r="V260" s="693">
        <f t="shared" si="191"/>
        <v>0</v>
      </c>
      <c r="W260" s="693">
        <f t="shared" si="191"/>
        <v>0</v>
      </c>
      <c r="X260" s="693">
        <f t="shared" si="191"/>
        <v>0</v>
      </c>
      <c r="Y260" s="693">
        <f t="shared" si="191"/>
        <v>0</v>
      </c>
      <c r="Z260" s="693">
        <f t="shared" si="191"/>
        <v>0</v>
      </c>
      <c r="AA260" s="693">
        <f t="shared" si="191"/>
        <v>0</v>
      </c>
      <c r="AB260" s="693">
        <f t="shared" si="191"/>
        <v>0</v>
      </c>
      <c r="AC260" s="693">
        <f t="shared" si="191"/>
        <v>0</v>
      </c>
      <c r="AD260" s="693">
        <f t="shared" si="191"/>
        <v>0</v>
      </c>
      <c r="AE260" s="693">
        <f t="shared" si="191"/>
        <v>0</v>
      </c>
      <c r="AF260" s="693">
        <f t="shared" si="191"/>
        <v>0</v>
      </c>
      <c r="AG260" s="693">
        <f t="shared" si="191"/>
        <v>0</v>
      </c>
      <c r="AH260" s="693">
        <f t="shared" si="191"/>
        <v>0</v>
      </c>
      <c r="AI260" s="693">
        <f t="shared" si="191"/>
        <v>0</v>
      </c>
      <c r="AJ260" s="693">
        <f t="shared" si="191"/>
        <v>0</v>
      </c>
      <c r="AK260" s="693">
        <f t="shared" si="191"/>
        <v>0</v>
      </c>
      <c r="AL260" s="693">
        <f t="shared" si="191"/>
        <v>0</v>
      </c>
      <c r="AM260" s="693">
        <f t="shared" si="191"/>
        <v>0</v>
      </c>
      <c r="AN260" s="693">
        <f t="shared" si="191"/>
        <v>0</v>
      </c>
      <c r="AO260" s="693">
        <f t="shared" si="191"/>
        <v>0</v>
      </c>
      <c r="AP260" s="693">
        <f t="shared" si="191"/>
        <v>0</v>
      </c>
      <c r="AQ260" s="693">
        <f t="shared" si="191"/>
        <v>0</v>
      </c>
      <c r="AR260" s="693">
        <f t="shared" si="191"/>
        <v>0</v>
      </c>
      <c r="AS260" s="693">
        <f t="shared" si="191"/>
        <v>0</v>
      </c>
      <c r="AT260" s="693">
        <f t="shared" si="191"/>
        <v>0</v>
      </c>
      <c r="AU260" s="693">
        <f t="shared" si="191"/>
        <v>0</v>
      </c>
      <c r="AV260" s="693">
        <f t="shared" si="191"/>
        <v>0</v>
      </c>
      <c r="AW260" s="693">
        <f t="shared" si="191"/>
        <v>0</v>
      </c>
      <c r="AX260" s="693">
        <f t="shared" si="191"/>
        <v>0</v>
      </c>
      <c r="AY260" s="693">
        <f t="shared" si="191"/>
        <v>0</v>
      </c>
      <c r="AZ260" s="693">
        <f t="shared" si="191"/>
        <v>0</v>
      </c>
      <c r="BA260" s="693">
        <f t="shared" si="191"/>
        <v>0</v>
      </c>
      <c r="BB260" s="693">
        <f t="shared" si="191"/>
        <v>0</v>
      </c>
      <c r="BC260" s="693">
        <f t="shared" si="191"/>
        <v>0</v>
      </c>
      <c r="BD260" s="693">
        <f t="shared" si="191"/>
        <v>0</v>
      </c>
      <c r="BE260" s="693">
        <f t="shared" si="191"/>
        <v>0</v>
      </c>
    </row>
    <row r="261" spans="1:57" hidden="1" outlineLevel="1" x14ac:dyDescent="0.2"/>
    <row r="262" spans="1:57" hidden="1" outlineLevel="1" x14ac:dyDescent="0.2">
      <c r="B262" s="15" t="s">
        <v>1295</v>
      </c>
    </row>
    <row r="263" spans="1:57" s="125" customFormat="1" hidden="1" outlineLevel="1" x14ac:dyDescent="0.2">
      <c r="A263" s="85"/>
      <c r="B263" s="85"/>
      <c r="C263" s="86"/>
      <c r="D263" s="87"/>
      <c r="E263" s="186" t="str">
        <f xml:space="preserve"> InpC!E$377</f>
        <v>Standby equity commitment amount</v>
      </c>
      <c r="F263" s="186">
        <f xml:space="preserve"> InpC!F$377</f>
        <v>1692.1941796338861</v>
      </c>
      <c r="G263" s="186" t="str">
        <f xml:space="preserve"> InpC!G$377</f>
        <v>$ 000s</v>
      </c>
      <c r="H263" s="186"/>
      <c r="I263" s="68"/>
      <c r="J263" s="186"/>
      <c r="K263" s="186"/>
      <c r="L263" s="186"/>
      <c r="M263" s="186"/>
      <c r="N263" s="186"/>
      <c r="O263" s="186"/>
      <c r="P263" s="186"/>
      <c r="Q263" s="186"/>
      <c r="R263" s="186"/>
      <c r="S263" s="186"/>
      <c r="T263" s="186"/>
      <c r="U263" s="186"/>
      <c r="V263" s="186"/>
      <c r="W263" s="186"/>
      <c r="X263" s="186"/>
      <c r="Y263" s="186"/>
      <c r="Z263" s="186"/>
      <c r="AA263" s="186"/>
      <c r="AB263" s="186"/>
      <c r="AC263" s="186"/>
      <c r="AD263" s="186"/>
      <c r="AE263" s="186"/>
      <c r="AF263" s="186"/>
      <c r="AG263" s="186"/>
      <c r="AH263" s="186"/>
      <c r="AI263" s="186"/>
      <c r="AJ263" s="186"/>
      <c r="AK263" s="186"/>
      <c r="AL263" s="186"/>
      <c r="AM263" s="186"/>
      <c r="AN263" s="186"/>
      <c r="AO263" s="186"/>
      <c r="AP263" s="186"/>
      <c r="AQ263" s="186"/>
      <c r="AR263" s="186"/>
      <c r="AS263" s="186"/>
      <c r="AT263" s="186"/>
      <c r="AU263" s="186"/>
      <c r="AV263" s="186"/>
      <c r="AW263" s="186"/>
      <c r="AX263" s="186"/>
      <c r="AY263" s="186"/>
      <c r="AZ263" s="186"/>
      <c r="BA263" s="186"/>
      <c r="BB263" s="186"/>
      <c r="BC263" s="186"/>
      <c r="BD263" s="186"/>
      <c r="BE263" s="186"/>
    </row>
    <row r="264" spans="1:57" hidden="1" outlineLevel="1" x14ac:dyDescent="0.2">
      <c r="A264" s="522"/>
      <c r="B264" s="522"/>
      <c r="C264" s="523"/>
      <c r="D264" s="524"/>
      <c r="E264" s="525" t="str">
        <f t="shared" ref="E264:BE264" si="192" xml:space="preserve"> E$257</f>
        <v>Standby equity balance BEG</v>
      </c>
      <c r="F264" s="525">
        <f t="shared" si="192"/>
        <v>0</v>
      </c>
      <c r="G264" s="525" t="str">
        <f t="shared" si="192"/>
        <v>$ 000s</v>
      </c>
      <c r="H264" s="525">
        <f t="shared" si="192"/>
        <v>0</v>
      </c>
      <c r="I264" s="525">
        <f t="shared" si="192"/>
        <v>0</v>
      </c>
      <c r="J264" s="525">
        <f t="shared" si="192"/>
        <v>0</v>
      </c>
      <c r="K264" s="525">
        <f t="shared" si="192"/>
        <v>0</v>
      </c>
      <c r="L264" s="525">
        <f t="shared" si="192"/>
        <v>0</v>
      </c>
      <c r="M264" s="525">
        <f t="shared" si="192"/>
        <v>0</v>
      </c>
      <c r="N264" s="525">
        <f t="shared" si="192"/>
        <v>0</v>
      </c>
      <c r="O264" s="525">
        <f t="shared" si="192"/>
        <v>0</v>
      </c>
      <c r="P264" s="525">
        <f t="shared" si="192"/>
        <v>0</v>
      </c>
      <c r="Q264" s="525">
        <f t="shared" si="192"/>
        <v>0</v>
      </c>
      <c r="R264" s="525">
        <f t="shared" si="192"/>
        <v>0</v>
      </c>
      <c r="S264" s="525">
        <f t="shared" si="192"/>
        <v>0</v>
      </c>
      <c r="T264" s="525">
        <f t="shared" si="192"/>
        <v>0</v>
      </c>
      <c r="U264" s="525">
        <f t="shared" si="192"/>
        <v>0</v>
      </c>
      <c r="V264" s="525">
        <f t="shared" si="192"/>
        <v>0</v>
      </c>
      <c r="W264" s="525">
        <f t="shared" si="192"/>
        <v>0</v>
      </c>
      <c r="X264" s="525">
        <f t="shared" si="192"/>
        <v>0</v>
      </c>
      <c r="Y264" s="525">
        <f t="shared" si="192"/>
        <v>0</v>
      </c>
      <c r="Z264" s="525">
        <f t="shared" si="192"/>
        <v>0</v>
      </c>
      <c r="AA264" s="525">
        <f t="shared" si="192"/>
        <v>0</v>
      </c>
      <c r="AB264" s="525">
        <f t="shared" si="192"/>
        <v>0</v>
      </c>
      <c r="AC264" s="525">
        <f t="shared" si="192"/>
        <v>0</v>
      </c>
      <c r="AD264" s="525">
        <f t="shared" si="192"/>
        <v>0</v>
      </c>
      <c r="AE264" s="525">
        <f t="shared" si="192"/>
        <v>0</v>
      </c>
      <c r="AF264" s="525">
        <f t="shared" si="192"/>
        <v>0</v>
      </c>
      <c r="AG264" s="525">
        <f t="shared" si="192"/>
        <v>0</v>
      </c>
      <c r="AH264" s="525">
        <f t="shared" si="192"/>
        <v>0</v>
      </c>
      <c r="AI264" s="525">
        <f t="shared" si="192"/>
        <v>0</v>
      </c>
      <c r="AJ264" s="525">
        <f t="shared" si="192"/>
        <v>0</v>
      </c>
      <c r="AK264" s="525">
        <f t="shared" si="192"/>
        <v>0</v>
      </c>
      <c r="AL264" s="525">
        <f t="shared" si="192"/>
        <v>0</v>
      </c>
      <c r="AM264" s="525">
        <f t="shared" si="192"/>
        <v>0</v>
      </c>
      <c r="AN264" s="525">
        <f t="shared" si="192"/>
        <v>0</v>
      </c>
      <c r="AO264" s="525">
        <f t="shared" si="192"/>
        <v>0</v>
      </c>
      <c r="AP264" s="525">
        <f t="shared" si="192"/>
        <v>0</v>
      </c>
      <c r="AQ264" s="525">
        <f t="shared" si="192"/>
        <v>0</v>
      </c>
      <c r="AR264" s="525">
        <f t="shared" si="192"/>
        <v>0</v>
      </c>
      <c r="AS264" s="525">
        <f t="shared" si="192"/>
        <v>0</v>
      </c>
      <c r="AT264" s="525">
        <f t="shared" si="192"/>
        <v>0</v>
      </c>
      <c r="AU264" s="525">
        <f t="shared" si="192"/>
        <v>0</v>
      </c>
      <c r="AV264" s="525">
        <f t="shared" si="192"/>
        <v>0</v>
      </c>
      <c r="AW264" s="525">
        <f t="shared" si="192"/>
        <v>0</v>
      </c>
      <c r="AX264" s="525">
        <f t="shared" si="192"/>
        <v>0</v>
      </c>
      <c r="AY264" s="525">
        <f t="shared" si="192"/>
        <v>0</v>
      </c>
      <c r="AZ264" s="525">
        <f t="shared" si="192"/>
        <v>0</v>
      </c>
      <c r="BA264" s="525">
        <f t="shared" si="192"/>
        <v>0</v>
      </c>
      <c r="BB264" s="525">
        <f t="shared" si="192"/>
        <v>0</v>
      </c>
      <c r="BC264" s="525">
        <f t="shared" si="192"/>
        <v>0</v>
      </c>
      <c r="BD264" s="525">
        <f t="shared" si="192"/>
        <v>0</v>
      </c>
      <c r="BE264" s="525">
        <f t="shared" si="192"/>
        <v>0</v>
      </c>
    </row>
    <row r="265" spans="1:57" hidden="1" outlineLevel="1" x14ac:dyDescent="0.2">
      <c r="A265" s="522"/>
      <c r="B265" s="522"/>
      <c r="C265" s="523"/>
      <c r="D265" s="524"/>
      <c r="E265" s="525" t="s">
        <v>1296</v>
      </c>
      <c r="F265" s="525"/>
      <c r="G265" s="525" t="str">
        <f xml:space="preserve"> SMU</f>
        <v>$ 000s</v>
      </c>
      <c r="H265" s="525"/>
      <c r="I265" s="526"/>
      <c r="J265" s="525">
        <f t="shared" ref="J265:BE265" si="193" xml:space="preserve"> $F263 - J264</f>
        <v>1692.1941796338861</v>
      </c>
      <c r="K265" s="525">
        <f t="shared" si="193"/>
        <v>1692.1941796338861</v>
      </c>
      <c r="L265" s="525">
        <f t="shared" si="193"/>
        <v>1692.1941796338861</v>
      </c>
      <c r="M265" s="525">
        <f t="shared" si="193"/>
        <v>1692.1941796338861</v>
      </c>
      <c r="N265" s="525">
        <f t="shared" si="193"/>
        <v>1692.1941796338861</v>
      </c>
      <c r="O265" s="525">
        <f t="shared" si="193"/>
        <v>1692.1941796338861</v>
      </c>
      <c r="P265" s="525">
        <f t="shared" si="193"/>
        <v>1692.1941796338861</v>
      </c>
      <c r="Q265" s="525">
        <f t="shared" si="193"/>
        <v>1692.1941796338861</v>
      </c>
      <c r="R265" s="525">
        <f t="shared" si="193"/>
        <v>1692.1941796338861</v>
      </c>
      <c r="S265" s="525">
        <f t="shared" si="193"/>
        <v>1692.1941796338861</v>
      </c>
      <c r="T265" s="525">
        <f t="shared" si="193"/>
        <v>1692.1941796338861</v>
      </c>
      <c r="U265" s="525">
        <f t="shared" si="193"/>
        <v>1692.1941796338861</v>
      </c>
      <c r="V265" s="525">
        <f t="shared" si="193"/>
        <v>1692.1941796338861</v>
      </c>
      <c r="W265" s="525">
        <f t="shared" si="193"/>
        <v>1692.1941796338861</v>
      </c>
      <c r="X265" s="525">
        <f t="shared" si="193"/>
        <v>1692.1941796338861</v>
      </c>
      <c r="Y265" s="525">
        <f t="shared" si="193"/>
        <v>1692.1941796338861</v>
      </c>
      <c r="Z265" s="525">
        <f t="shared" si="193"/>
        <v>1692.1941796338861</v>
      </c>
      <c r="AA265" s="525">
        <f t="shared" si="193"/>
        <v>1692.1941796338861</v>
      </c>
      <c r="AB265" s="525">
        <f t="shared" si="193"/>
        <v>1692.1941796338861</v>
      </c>
      <c r="AC265" s="525">
        <f t="shared" si="193"/>
        <v>1692.1941796338861</v>
      </c>
      <c r="AD265" s="525">
        <f t="shared" si="193"/>
        <v>1692.1941796338861</v>
      </c>
      <c r="AE265" s="525">
        <f t="shared" si="193"/>
        <v>1692.1941796338861</v>
      </c>
      <c r="AF265" s="525">
        <f t="shared" si="193"/>
        <v>1692.1941796338861</v>
      </c>
      <c r="AG265" s="525">
        <f t="shared" si="193"/>
        <v>1692.1941796338861</v>
      </c>
      <c r="AH265" s="525">
        <f t="shared" si="193"/>
        <v>1692.1941796338861</v>
      </c>
      <c r="AI265" s="525">
        <f t="shared" si="193"/>
        <v>1692.1941796338861</v>
      </c>
      <c r="AJ265" s="525">
        <f t="shared" si="193"/>
        <v>1692.1941796338861</v>
      </c>
      <c r="AK265" s="525">
        <f t="shared" si="193"/>
        <v>1692.1941796338861</v>
      </c>
      <c r="AL265" s="525">
        <f t="shared" si="193"/>
        <v>1692.1941796338861</v>
      </c>
      <c r="AM265" s="525">
        <f t="shared" si="193"/>
        <v>1692.1941796338861</v>
      </c>
      <c r="AN265" s="525">
        <f t="shared" si="193"/>
        <v>1692.1941796338861</v>
      </c>
      <c r="AO265" s="525">
        <f t="shared" si="193"/>
        <v>1692.1941796338861</v>
      </c>
      <c r="AP265" s="525">
        <f t="shared" si="193"/>
        <v>1692.1941796338861</v>
      </c>
      <c r="AQ265" s="525">
        <f t="shared" si="193"/>
        <v>1692.1941796338861</v>
      </c>
      <c r="AR265" s="525">
        <f t="shared" si="193"/>
        <v>1692.1941796338861</v>
      </c>
      <c r="AS265" s="525">
        <f t="shared" si="193"/>
        <v>1692.1941796338861</v>
      </c>
      <c r="AT265" s="525">
        <f t="shared" si="193"/>
        <v>1692.1941796338861</v>
      </c>
      <c r="AU265" s="525">
        <f t="shared" si="193"/>
        <v>1692.1941796338861</v>
      </c>
      <c r="AV265" s="525">
        <f t="shared" si="193"/>
        <v>1692.1941796338861</v>
      </c>
      <c r="AW265" s="525">
        <f t="shared" si="193"/>
        <v>1692.1941796338861</v>
      </c>
      <c r="AX265" s="525">
        <f t="shared" si="193"/>
        <v>1692.1941796338861</v>
      </c>
      <c r="AY265" s="525">
        <f t="shared" si="193"/>
        <v>1692.1941796338861</v>
      </c>
      <c r="AZ265" s="525">
        <f t="shared" si="193"/>
        <v>1692.1941796338861</v>
      </c>
      <c r="BA265" s="525">
        <f t="shared" si="193"/>
        <v>1692.1941796338861</v>
      </c>
      <c r="BB265" s="525">
        <f t="shared" si="193"/>
        <v>1692.1941796338861</v>
      </c>
      <c r="BC265" s="525">
        <f t="shared" si="193"/>
        <v>1692.1941796338861</v>
      </c>
      <c r="BD265" s="525">
        <f t="shared" si="193"/>
        <v>1692.1941796338861</v>
      </c>
      <c r="BE265" s="525">
        <f t="shared" si="193"/>
        <v>1692.1941796338861</v>
      </c>
    </row>
    <row r="266" spans="1:57" hidden="1" outlineLevel="1" x14ac:dyDescent="0.2"/>
    <row r="267" spans="1:57" hidden="1" outlineLevel="1" x14ac:dyDescent="0.2">
      <c r="E267" s="450" t="str">
        <f xml:space="preserve"> InpC!E$379</f>
        <v>Standby equity LC fee %</v>
      </c>
      <c r="F267" s="450">
        <f xml:space="preserve"> InpC!F$379</f>
        <v>5.0000000000000001E-3</v>
      </c>
      <c r="G267" s="450" t="str">
        <f xml:space="preserve"> InpC!G$379</f>
        <v>% p.a.</v>
      </c>
    </row>
    <row r="268" spans="1:57" hidden="1" outlineLevel="1" x14ac:dyDescent="0.2">
      <c r="A268" s="52"/>
      <c r="B268" s="52"/>
      <c r="C268" s="34"/>
      <c r="D268" s="35"/>
      <c r="E268" s="125" t="str">
        <f xml:space="preserve"> InpC!E$412</f>
        <v>Months in year</v>
      </c>
      <c r="F268" s="125">
        <f xml:space="preserve"> InpC!F$412</f>
        <v>12</v>
      </c>
      <c r="G268" s="125" t="str">
        <f xml:space="preserve"> InpC!G$412</f>
        <v>months</v>
      </c>
      <c r="H268" s="32"/>
      <c r="I268" s="31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</row>
    <row r="269" spans="1:57" hidden="1" outlineLevel="1" x14ac:dyDescent="0.2">
      <c r="E269" s="12" t="str">
        <f t="shared" ref="E269:AJ269" si="194" xml:space="preserve"> E$265</f>
        <v>Undrawn Standby equity for commitment fee calc</v>
      </c>
      <c r="F269" s="12">
        <f t="shared" si="194"/>
        <v>0</v>
      </c>
      <c r="G269" s="12" t="str">
        <f t="shared" si="194"/>
        <v>$ 000s</v>
      </c>
      <c r="H269" s="12">
        <f t="shared" si="194"/>
        <v>0</v>
      </c>
      <c r="I269" s="12">
        <f t="shared" si="194"/>
        <v>0</v>
      </c>
      <c r="J269" s="12">
        <f t="shared" si="194"/>
        <v>1692.1941796338861</v>
      </c>
      <c r="K269" s="12">
        <f t="shared" si="194"/>
        <v>1692.1941796338861</v>
      </c>
      <c r="L269" s="12">
        <f t="shared" si="194"/>
        <v>1692.1941796338861</v>
      </c>
      <c r="M269" s="12">
        <f t="shared" si="194"/>
        <v>1692.1941796338861</v>
      </c>
      <c r="N269" s="12">
        <f t="shared" si="194"/>
        <v>1692.1941796338861</v>
      </c>
      <c r="O269" s="12">
        <f t="shared" si="194"/>
        <v>1692.1941796338861</v>
      </c>
      <c r="P269" s="12">
        <f t="shared" si="194"/>
        <v>1692.1941796338861</v>
      </c>
      <c r="Q269" s="12">
        <f t="shared" si="194"/>
        <v>1692.1941796338861</v>
      </c>
      <c r="R269" s="12">
        <f t="shared" si="194"/>
        <v>1692.1941796338861</v>
      </c>
      <c r="S269" s="12">
        <f t="shared" si="194"/>
        <v>1692.1941796338861</v>
      </c>
      <c r="T269" s="12">
        <f t="shared" si="194"/>
        <v>1692.1941796338861</v>
      </c>
      <c r="U269" s="12">
        <f t="shared" si="194"/>
        <v>1692.1941796338861</v>
      </c>
      <c r="V269" s="12">
        <f t="shared" si="194"/>
        <v>1692.1941796338861</v>
      </c>
      <c r="W269" s="12">
        <f t="shared" si="194"/>
        <v>1692.1941796338861</v>
      </c>
      <c r="X269" s="12">
        <f t="shared" si="194"/>
        <v>1692.1941796338861</v>
      </c>
      <c r="Y269" s="12">
        <f t="shared" si="194"/>
        <v>1692.1941796338861</v>
      </c>
      <c r="Z269" s="12">
        <f t="shared" si="194"/>
        <v>1692.1941796338861</v>
      </c>
      <c r="AA269" s="12">
        <f t="shared" si="194"/>
        <v>1692.1941796338861</v>
      </c>
      <c r="AB269" s="12">
        <f t="shared" si="194"/>
        <v>1692.1941796338861</v>
      </c>
      <c r="AC269" s="12">
        <f t="shared" si="194"/>
        <v>1692.1941796338861</v>
      </c>
      <c r="AD269" s="12">
        <f t="shared" si="194"/>
        <v>1692.1941796338861</v>
      </c>
      <c r="AE269" s="12">
        <f t="shared" si="194"/>
        <v>1692.1941796338861</v>
      </c>
      <c r="AF269" s="12">
        <f t="shared" si="194"/>
        <v>1692.1941796338861</v>
      </c>
      <c r="AG269" s="12">
        <f t="shared" si="194"/>
        <v>1692.1941796338861</v>
      </c>
      <c r="AH269" s="12">
        <f t="shared" si="194"/>
        <v>1692.1941796338861</v>
      </c>
      <c r="AI269" s="12">
        <f t="shared" si="194"/>
        <v>1692.1941796338861</v>
      </c>
      <c r="AJ269" s="12">
        <f t="shared" si="194"/>
        <v>1692.1941796338861</v>
      </c>
      <c r="AK269" s="12">
        <f t="shared" ref="AK269:BE269" si="195" xml:space="preserve"> AK$265</f>
        <v>1692.1941796338861</v>
      </c>
      <c r="AL269" s="12">
        <f t="shared" si="195"/>
        <v>1692.1941796338861</v>
      </c>
      <c r="AM269" s="12">
        <f t="shared" si="195"/>
        <v>1692.1941796338861</v>
      </c>
      <c r="AN269" s="12">
        <f t="shared" si="195"/>
        <v>1692.1941796338861</v>
      </c>
      <c r="AO269" s="12">
        <f t="shared" si="195"/>
        <v>1692.1941796338861</v>
      </c>
      <c r="AP269" s="12">
        <f t="shared" si="195"/>
        <v>1692.1941796338861</v>
      </c>
      <c r="AQ269" s="12">
        <f t="shared" si="195"/>
        <v>1692.1941796338861</v>
      </c>
      <c r="AR269" s="12">
        <f t="shared" si="195"/>
        <v>1692.1941796338861</v>
      </c>
      <c r="AS269" s="12">
        <f t="shared" si="195"/>
        <v>1692.1941796338861</v>
      </c>
      <c r="AT269" s="12">
        <f t="shared" si="195"/>
        <v>1692.1941796338861</v>
      </c>
      <c r="AU269" s="12">
        <f t="shared" si="195"/>
        <v>1692.1941796338861</v>
      </c>
      <c r="AV269" s="12">
        <f t="shared" si="195"/>
        <v>1692.1941796338861</v>
      </c>
      <c r="AW269" s="12">
        <f t="shared" si="195"/>
        <v>1692.1941796338861</v>
      </c>
      <c r="AX269" s="12">
        <f t="shared" si="195"/>
        <v>1692.1941796338861</v>
      </c>
      <c r="AY269" s="12">
        <f t="shared" si="195"/>
        <v>1692.1941796338861</v>
      </c>
      <c r="AZ269" s="12">
        <f t="shared" si="195"/>
        <v>1692.1941796338861</v>
      </c>
      <c r="BA269" s="12">
        <f t="shared" si="195"/>
        <v>1692.1941796338861</v>
      </c>
      <c r="BB269" s="12">
        <f t="shared" si="195"/>
        <v>1692.1941796338861</v>
      </c>
      <c r="BC269" s="12">
        <f t="shared" si="195"/>
        <v>1692.1941796338861</v>
      </c>
      <c r="BD269" s="12">
        <f t="shared" si="195"/>
        <v>1692.1941796338861</v>
      </c>
      <c r="BE269" s="12">
        <f t="shared" si="195"/>
        <v>1692.1941796338861</v>
      </c>
    </row>
    <row r="270" spans="1:57" hidden="1" outlineLevel="1" x14ac:dyDescent="0.2">
      <c r="E270" s="721" t="str">
        <f xml:space="preserve"> ConTime!E$82</f>
        <v>Construction period flag</v>
      </c>
      <c r="F270" s="721">
        <f xml:space="preserve"> ConTime!F$82</f>
        <v>0</v>
      </c>
      <c r="G270" s="721" t="str">
        <f xml:space="preserve"> ConTime!G$82</f>
        <v>flag</v>
      </c>
      <c r="H270" s="721">
        <f xml:space="preserve"> ConTime!H$82</f>
        <v>26</v>
      </c>
      <c r="I270" s="721">
        <f xml:space="preserve"> ConTime!I$82</f>
        <v>0</v>
      </c>
      <c r="J270" s="721">
        <f xml:space="preserve"> ConTime!J$82</f>
        <v>0</v>
      </c>
      <c r="K270" s="721">
        <f xml:space="preserve"> ConTime!K$82</f>
        <v>0</v>
      </c>
      <c r="L270" s="721">
        <f xml:space="preserve"> ConTime!L$82</f>
        <v>0</v>
      </c>
      <c r="M270" s="721">
        <f xml:space="preserve"> ConTime!M$82</f>
        <v>0</v>
      </c>
      <c r="N270" s="721">
        <f xml:space="preserve"> ConTime!N$82</f>
        <v>1</v>
      </c>
      <c r="O270" s="721">
        <f xml:space="preserve"> ConTime!O$82</f>
        <v>1</v>
      </c>
      <c r="P270" s="721">
        <f xml:space="preserve"> ConTime!P$82</f>
        <v>1</v>
      </c>
      <c r="Q270" s="721">
        <f xml:space="preserve"> ConTime!Q$82</f>
        <v>1</v>
      </c>
      <c r="R270" s="721">
        <f xml:space="preserve"> ConTime!R$82</f>
        <v>1</v>
      </c>
      <c r="S270" s="721">
        <f xml:space="preserve"> ConTime!S$82</f>
        <v>1</v>
      </c>
      <c r="T270" s="721">
        <f xml:space="preserve"> ConTime!T$82</f>
        <v>1</v>
      </c>
      <c r="U270" s="721">
        <f xml:space="preserve"> ConTime!U$82</f>
        <v>1</v>
      </c>
      <c r="V270" s="721">
        <f xml:space="preserve"> ConTime!V$82</f>
        <v>1</v>
      </c>
      <c r="W270" s="721">
        <f xml:space="preserve"> ConTime!W$82</f>
        <v>1</v>
      </c>
      <c r="X270" s="721">
        <f xml:space="preserve"> ConTime!X$82</f>
        <v>1</v>
      </c>
      <c r="Y270" s="721">
        <f xml:space="preserve"> ConTime!Y$82</f>
        <v>1</v>
      </c>
      <c r="Z270" s="721">
        <f xml:space="preserve"> ConTime!Z$82</f>
        <v>1</v>
      </c>
      <c r="AA270" s="721">
        <f xml:space="preserve"> ConTime!AA$82</f>
        <v>1</v>
      </c>
      <c r="AB270" s="721">
        <f xml:space="preserve"> ConTime!AB$82</f>
        <v>1</v>
      </c>
      <c r="AC270" s="721">
        <f xml:space="preserve"> ConTime!AC$82</f>
        <v>1</v>
      </c>
      <c r="AD270" s="721">
        <f xml:space="preserve"> ConTime!AD$82</f>
        <v>1</v>
      </c>
      <c r="AE270" s="721">
        <f xml:space="preserve"> ConTime!AE$82</f>
        <v>1</v>
      </c>
      <c r="AF270" s="721">
        <f xml:space="preserve"> ConTime!AF$82</f>
        <v>1</v>
      </c>
      <c r="AG270" s="721">
        <f xml:space="preserve"> ConTime!AG$82</f>
        <v>1</v>
      </c>
      <c r="AH270" s="721">
        <f xml:space="preserve"> ConTime!AH$82</f>
        <v>1</v>
      </c>
      <c r="AI270" s="721">
        <f xml:space="preserve"> ConTime!AI$82</f>
        <v>1</v>
      </c>
      <c r="AJ270" s="721">
        <f xml:space="preserve"> ConTime!AJ$82</f>
        <v>1</v>
      </c>
      <c r="AK270" s="721">
        <f xml:space="preserve"> ConTime!AK$82</f>
        <v>1</v>
      </c>
      <c r="AL270" s="721">
        <f xml:space="preserve"> ConTime!AL$82</f>
        <v>1</v>
      </c>
      <c r="AM270" s="721">
        <f xml:space="preserve"> ConTime!AM$82</f>
        <v>1</v>
      </c>
      <c r="AN270" s="721">
        <f xml:space="preserve"> ConTime!AN$82</f>
        <v>0</v>
      </c>
      <c r="AO270" s="721">
        <f xml:space="preserve"> ConTime!AO$82</f>
        <v>0</v>
      </c>
      <c r="AP270" s="721">
        <f xml:space="preserve"> ConTime!AP$82</f>
        <v>0</v>
      </c>
      <c r="AQ270" s="721">
        <f xml:space="preserve"> ConTime!AQ$82</f>
        <v>0</v>
      </c>
      <c r="AR270" s="721">
        <f xml:space="preserve"> ConTime!AR$82</f>
        <v>0</v>
      </c>
      <c r="AS270" s="721">
        <f xml:space="preserve"> ConTime!AS$82</f>
        <v>0</v>
      </c>
      <c r="AT270" s="721">
        <f xml:space="preserve"> ConTime!AT$82</f>
        <v>0</v>
      </c>
      <c r="AU270" s="721">
        <f xml:space="preserve"> ConTime!AU$82</f>
        <v>0</v>
      </c>
      <c r="AV270" s="721">
        <f xml:space="preserve"> ConTime!AV$82</f>
        <v>0</v>
      </c>
      <c r="AW270" s="721">
        <f xml:space="preserve"> ConTime!AW$82</f>
        <v>0</v>
      </c>
      <c r="AX270" s="721">
        <f xml:space="preserve"> ConTime!AX$82</f>
        <v>0</v>
      </c>
      <c r="AY270" s="721">
        <f xml:space="preserve"> ConTime!AY$82</f>
        <v>0</v>
      </c>
      <c r="AZ270" s="721">
        <f xml:space="preserve"> ConTime!AZ$82</f>
        <v>0</v>
      </c>
      <c r="BA270" s="721">
        <f xml:space="preserve"> ConTime!BA$82</f>
        <v>0</v>
      </c>
      <c r="BB270" s="721">
        <f xml:space="preserve"> ConTime!BB$82</f>
        <v>0</v>
      </c>
      <c r="BC270" s="721">
        <f xml:space="preserve"> ConTime!BC$82</f>
        <v>0</v>
      </c>
      <c r="BD270" s="721">
        <f xml:space="preserve"> ConTime!BD$82</f>
        <v>0</v>
      </c>
      <c r="BE270" s="721">
        <f xml:space="preserve"> ConTime!BE$82</f>
        <v>0</v>
      </c>
    </row>
    <row r="271" spans="1:57" s="188" customFormat="1" hidden="1" outlineLevel="1" x14ac:dyDescent="0.2">
      <c r="A271" s="141"/>
      <c r="B271" s="141"/>
      <c r="C271" s="142"/>
      <c r="D271" s="143"/>
      <c r="E271" s="187" t="s">
        <v>1295</v>
      </c>
      <c r="F271" s="187"/>
      <c r="G271" s="187" t="str">
        <f xml:space="preserve"> SMU</f>
        <v>$ 000s</v>
      </c>
      <c r="H271" s="187">
        <f xml:space="preserve"> SUM(J271:BE271)</f>
        <v>18.33210361270044</v>
      </c>
      <c r="I271" s="144"/>
      <c r="J271" s="187">
        <f t="shared" ref="J271:M271" si="196" xml:space="preserve"> $F267 / $F268 * J269 * J270</f>
        <v>0</v>
      </c>
      <c r="K271" s="187">
        <f t="shared" si="196"/>
        <v>0</v>
      </c>
      <c r="L271" s="187">
        <f t="shared" si="196"/>
        <v>0</v>
      </c>
      <c r="M271" s="187">
        <f t="shared" si="196"/>
        <v>0</v>
      </c>
      <c r="N271" s="187">
        <f t="shared" ref="N271:BE271" si="197" xml:space="preserve"> $F267 / $F268 * N269 * N270</f>
        <v>0.70508090818078595</v>
      </c>
      <c r="O271" s="187">
        <f t="shared" si="197"/>
        <v>0.70508090818078595</v>
      </c>
      <c r="P271" s="187">
        <f t="shared" si="197"/>
        <v>0.70508090818078595</v>
      </c>
      <c r="Q271" s="187">
        <f t="shared" si="197"/>
        <v>0.70508090818078595</v>
      </c>
      <c r="R271" s="187">
        <f t="shared" si="197"/>
        <v>0.70508090818078595</v>
      </c>
      <c r="S271" s="187">
        <f t="shared" si="197"/>
        <v>0.70508090818078595</v>
      </c>
      <c r="T271" s="187">
        <f t="shared" si="197"/>
        <v>0.70508090818078595</v>
      </c>
      <c r="U271" s="187">
        <f t="shared" si="197"/>
        <v>0.70508090818078595</v>
      </c>
      <c r="V271" s="187">
        <f t="shared" si="197"/>
        <v>0.70508090818078595</v>
      </c>
      <c r="W271" s="187">
        <f t="shared" si="197"/>
        <v>0.70508090818078595</v>
      </c>
      <c r="X271" s="187">
        <f t="shared" si="197"/>
        <v>0.70508090818078595</v>
      </c>
      <c r="Y271" s="187">
        <f t="shared" si="197"/>
        <v>0.70508090818078595</v>
      </c>
      <c r="Z271" s="187">
        <f t="shared" si="197"/>
        <v>0.70508090818078595</v>
      </c>
      <c r="AA271" s="187">
        <f t="shared" si="197"/>
        <v>0.70508090818078595</v>
      </c>
      <c r="AB271" s="187">
        <f t="shared" si="197"/>
        <v>0.70508090818078595</v>
      </c>
      <c r="AC271" s="187">
        <f t="shared" si="197"/>
        <v>0.70508090818078595</v>
      </c>
      <c r="AD271" s="187">
        <f t="shared" si="197"/>
        <v>0.70508090818078595</v>
      </c>
      <c r="AE271" s="187">
        <f t="shared" si="197"/>
        <v>0.70508090818078595</v>
      </c>
      <c r="AF271" s="187">
        <f t="shared" si="197"/>
        <v>0.70508090818078595</v>
      </c>
      <c r="AG271" s="187">
        <f t="shared" si="197"/>
        <v>0.70508090818078595</v>
      </c>
      <c r="AH271" s="187">
        <f t="shared" si="197"/>
        <v>0.70508090818078595</v>
      </c>
      <c r="AI271" s="187">
        <f t="shared" si="197"/>
        <v>0.70508090818078595</v>
      </c>
      <c r="AJ271" s="187">
        <f t="shared" si="197"/>
        <v>0.70508090818078595</v>
      </c>
      <c r="AK271" s="187">
        <f t="shared" si="197"/>
        <v>0.70508090818078595</v>
      </c>
      <c r="AL271" s="187">
        <f t="shared" si="197"/>
        <v>0.70508090818078595</v>
      </c>
      <c r="AM271" s="187">
        <f t="shared" si="197"/>
        <v>0.70508090818078595</v>
      </c>
      <c r="AN271" s="187">
        <f t="shared" si="197"/>
        <v>0</v>
      </c>
      <c r="AO271" s="187">
        <f t="shared" si="197"/>
        <v>0</v>
      </c>
      <c r="AP271" s="187">
        <f t="shared" si="197"/>
        <v>0</v>
      </c>
      <c r="AQ271" s="187">
        <f t="shared" si="197"/>
        <v>0</v>
      </c>
      <c r="AR271" s="187">
        <f t="shared" si="197"/>
        <v>0</v>
      </c>
      <c r="AS271" s="187">
        <f t="shared" si="197"/>
        <v>0</v>
      </c>
      <c r="AT271" s="187">
        <f t="shared" si="197"/>
        <v>0</v>
      </c>
      <c r="AU271" s="187">
        <f t="shared" si="197"/>
        <v>0</v>
      </c>
      <c r="AV271" s="187">
        <f t="shared" si="197"/>
        <v>0</v>
      </c>
      <c r="AW271" s="187">
        <f t="shared" si="197"/>
        <v>0</v>
      </c>
      <c r="AX271" s="187">
        <f t="shared" si="197"/>
        <v>0</v>
      </c>
      <c r="AY271" s="187">
        <f t="shared" si="197"/>
        <v>0</v>
      </c>
      <c r="AZ271" s="187">
        <f t="shared" si="197"/>
        <v>0</v>
      </c>
      <c r="BA271" s="187">
        <f t="shared" si="197"/>
        <v>0</v>
      </c>
      <c r="BB271" s="187">
        <f t="shared" si="197"/>
        <v>0</v>
      </c>
      <c r="BC271" s="187">
        <f t="shared" si="197"/>
        <v>0</v>
      </c>
      <c r="BD271" s="187">
        <f t="shared" si="197"/>
        <v>0</v>
      </c>
      <c r="BE271" s="187">
        <f t="shared" si="197"/>
        <v>0</v>
      </c>
    </row>
    <row r="272" spans="1:57" hidden="1" outlineLevel="1" x14ac:dyDescent="0.2"/>
    <row r="273" spans="1:57" x14ac:dyDescent="0.2"/>
    <row r="274" spans="1:57" collapsed="1" x14ac:dyDescent="0.2">
      <c r="A274" s="15" t="s">
        <v>413</v>
      </c>
    </row>
    <row r="275" spans="1:57" hidden="1" outlineLevel="1" x14ac:dyDescent="0.2"/>
    <row r="276" spans="1:57" hidden="1" outlineLevel="1" x14ac:dyDescent="0.2">
      <c r="B276" s="15" t="s">
        <v>1290</v>
      </c>
    </row>
    <row r="277" spans="1:57" hidden="1" outlineLevel="1" x14ac:dyDescent="0.2">
      <c r="E277" s="493" t="str">
        <f xml:space="preserve"> InpC!E$400</f>
        <v>Withholding tax on equity cashflows</v>
      </c>
      <c r="F277" s="493">
        <f xml:space="preserve"> InpC!F$400</f>
        <v>0.03</v>
      </c>
      <c r="G277" s="493" t="str">
        <f xml:space="preserve"> InpC!G$400</f>
        <v>%</v>
      </c>
    </row>
    <row r="278" spans="1:57" s="77" customFormat="1" hidden="1" outlineLevel="1" x14ac:dyDescent="0.2">
      <c r="A278" s="85"/>
      <c r="B278" s="85"/>
      <c r="C278" s="86"/>
      <c r="D278" s="87"/>
      <c r="E278" s="68" t="str">
        <f xml:space="preserve"> ConCost!E$53</f>
        <v>Success fee</v>
      </c>
      <c r="F278" s="68">
        <f xml:space="preserve"> ConCost!F$53</f>
        <v>0</v>
      </c>
      <c r="G278" s="68" t="str">
        <f xml:space="preserve"> ConCost!G$53</f>
        <v>$ 000s</v>
      </c>
      <c r="H278" s="68">
        <f xml:space="preserve"> ConCost!H$53</f>
        <v>2000</v>
      </c>
      <c r="I278" s="68">
        <f xml:space="preserve"> ConCost!I$53</f>
        <v>0</v>
      </c>
      <c r="J278" s="68">
        <f xml:space="preserve"> ConCost!J$53</f>
        <v>0</v>
      </c>
      <c r="K278" s="68">
        <f xml:space="preserve"> ConCost!K$53</f>
        <v>0</v>
      </c>
      <c r="L278" s="68">
        <f xml:space="preserve"> ConCost!L$53</f>
        <v>0</v>
      </c>
      <c r="M278" s="68">
        <f xml:space="preserve"> ConCost!M$53</f>
        <v>2000</v>
      </c>
      <c r="N278" s="68">
        <f xml:space="preserve"> ConCost!N$53</f>
        <v>0</v>
      </c>
      <c r="O278" s="68">
        <f xml:space="preserve"> ConCost!O$53</f>
        <v>0</v>
      </c>
      <c r="P278" s="68">
        <f xml:space="preserve"> ConCost!P$53</f>
        <v>0</v>
      </c>
      <c r="Q278" s="68">
        <f xml:space="preserve"> ConCost!Q$53</f>
        <v>0</v>
      </c>
      <c r="R278" s="68">
        <f xml:space="preserve"> ConCost!R$53</f>
        <v>0</v>
      </c>
      <c r="S278" s="68">
        <f xml:space="preserve"> ConCost!S$53</f>
        <v>0</v>
      </c>
      <c r="T278" s="68">
        <f xml:space="preserve"> ConCost!T$53</f>
        <v>0</v>
      </c>
      <c r="U278" s="68">
        <f xml:space="preserve"> ConCost!U$53</f>
        <v>0</v>
      </c>
      <c r="V278" s="68">
        <f xml:space="preserve"> ConCost!V$53</f>
        <v>0</v>
      </c>
      <c r="W278" s="68">
        <f xml:space="preserve"> ConCost!W$53</f>
        <v>0</v>
      </c>
      <c r="X278" s="68">
        <f xml:space="preserve"> ConCost!X$53</f>
        <v>0</v>
      </c>
      <c r="Y278" s="68">
        <f xml:space="preserve"> ConCost!Y$53</f>
        <v>0</v>
      </c>
      <c r="Z278" s="68">
        <f xml:space="preserve"> ConCost!Z$53</f>
        <v>0</v>
      </c>
      <c r="AA278" s="68">
        <f xml:space="preserve"> ConCost!AA$53</f>
        <v>0</v>
      </c>
      <c r="AB278" s="68">
        <f xml:space="preserve"> ConCost!AB$53</f>
        <v>0</v>
      </c>
      <c r="AC278" s="68">
        <f xml:space="preserve"> ConCost!AC$53</f>
        <v>0</v>
      </c>
      <c r="AD278" s="68">
        <f xml:space="preserve"> ConCost!AD$53</f>
        <v>0</v>
      </c>
      <c r="AE278" s="68">
        <f xml:space="preserve"> ConCost!AE$53</f>
        <v>0</v>
      </c>
      <c r="AF278" s="68">
        <f xml:space="preserve"> ConCost!AF$53</f>
        <v>0</v>
      </c>
      <c r="AG278" s="68">
        <f xml:space="preserve"> ConCost!AG$53</f>
        <v>0</v>
      </c>
      <c r="AH278" s="68">
        <f xml:space="preserve"> ConCost!AH$53</f>
        <v>0</v>
      </c>
      <c r="AI278" s="68">
        <f xml:space="preserve"> ConCost!AI$53</f>
        <v>0</v>
      </c>
      <c r="AJ278" s="68">
        <f xml:space="preserve"> ConCost!AJ$53</f>
        <v>0</v>
      </c>
      <c r="AK278" s="68">
        <f xml:space="preserve"> ConCost!AK$53</f>
        <v>0</v>
      </c>
      <c r="AL278" s="68">
        <f xml:space="preserve"> ConCost!AL$53</f>
        <v>0</v>
      </c>
      <c r="AM278" s="68">
        <f xml:space="preserve"> ConCost!AM$53</f>
        <v>0</v>
      </c>
      <c r="AN278" s="68">
        <f xml:space="preserve"> ConCost!AN$53</f>
        <v>0</v>
      </c>
      <c r="AO278" s="68">
        <f xml:space="preserve"> ConCost!AO$53</f>
        <v>0</v>
      </c>
      <c r="AP278" s="68">
        <f xml:space="preserve"> ConCost!AP$53</f>
        <v>0</v>
      </c>
      <c r="AQ278" s="68">
        <f xml:space="preserve"> ConCost!AQ$53</f>
        <v>0</v>
      </c>
      <c r="AR278" s="68">
        <f xml:space="preserve"> ConCost!AR$53</f>
        <v>0</v>
      </c>
      <c r="AS278" s="68">
        <f xml:space="preserve"> ConCost!AS$53</f>
        <v>0</v>
      </c>
      <c r="AT278" s="68">
        <f xml:space="preserve"> ConCost!AT$53</f>
        <v>0</v>
      </c>
      <c r="AU278" s="68">
        <f xml:space="preserve"> ConCost!AU$53</f>
        <v>0</v>
      </c>
      <c r="AV278" s="68">
        <f xml:space="preserve"> ConCost!AV$53</f>
        <v>0</v>
      </c>
      <c r="AW278" s="68">
        <f xml:space="preserve"> ConCost!AW$53</f>
        <v>0</v>
      </c>
      <c r="AX278" s="68">
        <f xml:space="preserve"> ConCost!AX$53</f>
        <v>0</v>
      </c>
      <c r="AY278" s="68">
        <f xml:space="preserve"> ConCost!AY$53</f>
        <v>0</v>
      </c>
      <c r="AZ278" s="68">
        <f xml:space="preserve"> ConCost!AZ$53</f>
        <v>0</v>
      </c>
      <c r="BA278" s="68">
        <f xml:space="preserve"> ConCost!BA$53</f>
        <v>0</v>
      </c>
      <c r="BB278" s="68">
        <f xml:space="preserve"> ConCost!BB$53</f>
        <v>0</v>
      </c>
      <c r="BC278" s="68">
        <f xml:space="preserve"> ConCost!BC$53</f>
        <v>0</v>
      </c>
      <c r="BD278" s="68">
        <f xml:space="preserve"> ConCost!BD$53</f>
        <v>0</v>
      </c>
      <c r="BE278" s="68">
        <f xml:space="preserve"> ConCost!BE$53</f>
        <v>0</v>
      </c>
    </row>
    <row r="279" spans="1:57" hidden="1" outlineLevel="1" x14ac:dyDescent="0.2">
      <c r="E279" s="12" t="s">
        <v>1291</v>
      </c>
      <c r="G279" s="12" t="str">
        <f>+SMU</f>
        <v>$ 000s</v>
      </c>
      <c r="H279" s="12">
        <f xml:space="preserve"> SUM(J279:BE279)</f>
        <v>60</v>
      </c>
      <c r="J279" s="12">
        <f t="shared" ref="J279:BE279" si="198">J278 *$F277</f>
        <v>0</v>
      </c>
      <c r="K279" s="12">
        <f t="shared" si="198"/>
        <v>0</v>
      </c>
      <c r="L279" s="12">
        <f t="shared" si="198"/>
        <v>0</v>
      </c>
      <c r="M279" s="12">
        <f t="shared" si="198"/>
        <v>60</v>
      </c>
      <c r="N279" s="12">
        <f t="shared" si="198"/>
        <v>0</v>
      </c>
      <c r="O279" s="12">
        <f t="shared" si="198"/>
        <v>0</v>
      </c>
      <c r="P279" s="12">
        <f t="shared" si="198"/>
        <v>0</v>
      </c>
      <c r="Q279" s="12">
        <f t="shared" si="198"/>
        <v>0</v>
      </c>
      <c r="R279" s="12">
        <f t="shared" si="198"/>
        <v>0</v>
      </c>
      <c r="S279" s="12">
        <f t="shared" si="198"/>
        <v>0</v>
      </c>
      <c r="T279" s="12">
        <f t="shared" si="198"/>
        <v>0</v>
      </c>
      <c r="U279" s="12">
        <f t="shared" si="198"/>
        <v>0</v>
      </c>
      <c r="V279" s="12">
        <f t="shared" si="198"/>
        <v>0</v>
      </c>
      <c r="W279" s="12">
        <f t="shared" si="198"/>
        <v>0</v>
      </c>
      <c r="X279" s="12">
        <f t="shared" si="198"/>
        <v>0</v>
      </c>
      <c r="Y279" s="12">
        <f t="shared" si="198"/>
        <v>0</v>
      </c>
      <c r="Z279" s="12">
        <f t="shared" si="198"/>
        <v>0</v>
      </c>
      <c r="AA279" s="12">
        <f t="shared" si="198"/>
        <v>0</v>
      </c>
      <c r="AB279" s="12">
        <f t="shared" si="198"/>
        <v>0</v>
      </c>
      <c r="AC279" s="12">
        <f t="shared" si="198"/>
        <v>0</v>
      </c>
      <c r="AD279" s="12">
        <f t="shared" si="198"/>
        <v>0</v>
      </c>
      <c r="AE279" s="12">
        <f t="shared" si="198"/>
        <v>0</v>
      </c>
      <c r="AF279" s="12">
        <f t="shared" si="198"/>
        <v>0</v>
      </c>
      <c r="AG279" s="12">
        <f t="shared" si="198"/>
        <v>0</v>
      </c>
      <c r="AH279" s="12">
        <f t="shared" si="198"/>
        <v>0</v>
      </c>
      <c r="AI279" s="12">
        <f t="shared" si="198"/>
        <v>0</v>
      </c>
      <c r="AJ279" s="12">
        <f t="shared" si="198"/>
        <v>0</v>
      </c>
      <c r="AK279" s="12">
        <f t="shared" si="198"/>
        <v>0</v>
      </c>
      <c r="AL279" s="12">
        <f t="shared" si="198"/>
        <v>0</v>
      </c>
      <c r="AM279" s="12">
        <f t="shared" si="198"/>
        <v>0</v>
      </c>
      <c r="AN279" s="12">
        <f t="shared" si="198"/>
        <v>0</v>
      </c>
      <c r="AO279" s="12">
        <f t="shared" si="198"/>
        <v>0</v>
      </c>
      <c r="AP279" s="12">
        <f t="shared" si="198"/>
        <v>0</v>
      </c>
      <c r="AQ279" s="12">
        <f t="shared" si="198"/>
        <v>0</v>
      </c>
      <c r="AR279" s="12">
        <f t="shared" si="198"/>
        <v>0</v>
      </c>
      <c r="AS279" s="12">
        <f t="shared" si="198"/>
        <v>0</v>
      </c>
      <c r="AT279" s="12">
        <f t="shared" si="198"/>
        <v>0</v>
      </c>
      <c r="AU279" s="12">
        <f t="shared" si="198"/>
        <v>0</v>
      </c>
      <c r="AV279" s="12">
        <f t="shared" si="198"/>
        <v>0</v>
      </c>
      <c r="AW279" s="12">
        <f t="shared" si="198"/>
        <v>0</v>
      </c>
      <c r="AX279" s="12">
        <f t="shared" si="198"/>
        <v>0</v>
      </c>
      <c r="AY279" s="12">
        <f t="shared" si="198"/>
        <v>0</v>
      </c>
      <c r="AZ279" s="12">
        <f t="shared" si="198"/>
        <v>0</v>
      </c>
      <c r="BA279" s="12">
        <f t="shared" si="198"/>
        <v>0</v>
      </c>
      <c r="BB279" s="12">
        <f t="shared" si="198"/>
        <v>0</v>
      </c>
      <c r="BC279" s="12">
        <f t="shared" si="198"/>
        <v>0</v>
      </c>
      <c r="BD279" s="12">
        <f t="shared" si="198"/>
        <v>0</v>
      </c>
      <c r="BE279" s="12">
        <f t="shared" si="198"/>
        <v>0</v>
      </c>
    </row>
    <row r="280" spans="1:57" hidden="1" outlineLevel="1" x14ac:dyDescent="0.2"/>
    <row r="281" spans="1:57" s="125" customFormat="1" hidden="1" outlineLevel="1" x14ac:dyDescent="0.2">
      <c r="A281" s="85"/>
      <c r="B281" s="85"/>
      <c r="C281" s="86"/>
      <c r="D281" s="87"/>
      <c r="E281" s="396" t="str">
        <f xml:space="preserve"> InpC!E$420</f>
        <v>Small negative value for IRR</v>
      </c>
      <c r="F281" s="396">
        <f xml:space="preserve"> InpC!F$420</f>
        <v>-1.0000000000000001E-9</v>
      </c>
      <c r="G281" s="396" t="str">
        <f xml:space="preserve"> InpC!G$420</f>
        <v>$ 000s</v>
      </c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</row>
    <row r="282" spans="1:57" hidden="1" outlineLevel="1" x14ac:dyDescent="0.2">
      <c r="E282" s="186" t="str">
        <f xml:space="preserve"> ConTime!E$14</f>
        <v>First model column flag - m</v>
      </c>
      <c r="F282" s="186">
        <f xml:space="preserve"> ConTime!F$14</f>
        <v>0</v>
      </c>
      <c r="G282" s="186" t="str">
        <f xml:space="preserve"> ConTime!G$14</f>
        <v>flag</v>
      </c>
      <c r="H282" s="186">
        <f xml:space="preserve"> ConTime!H$14</f>
        <v>1</v>
      </c>
      <c r="I282" s="186">
        <f xml:space="preserve"> ConTime!I$14</f>
        <v>0</v>
      </c>
      <c r="J282" s="186">
        <f xml:space="preserve"> ConTime!J$14</f>
        <v>1</v>
      </c>
      <c r="K282" s="186">
        <f xml:space="preserve"> ConTime!K$14</f>
        <v>0</v>
      </c>
      <c r="L282" s="186">
        <f xml:space="preserve"> ConTime!L$14</f>
        <v>0</v>
      </c>
      <c r="M282" s="186">
        <f xml:space="preserve"> ConTime!M$14</f>
        <v>0</v>
      </c>
      <c r="N282" s="186">
        <f xml:space="preserve"> ConTime!N$14</f>
        <v>0</v>
      </c>
      <c r="O282" s="186">
        <f xml:space="preserve"> ConTime!O$14</f>
        <v>0</v>
      </c>
      <c r="P282" s="186">
        <f xml:space="preserve"> ConTime!P$14</f>
        <v>0</v>
      </c>
      <c r="Q282" s="186">
        <f xml:space="preserve"> ConTime!Q$14</f>
        <v>0</v>
      </c>
      <c r="R282" s="186">
        <f xml:space="preserve"> ConTime!R$14</f>
        <v>0</v>
      </c>
      <c r="S282" s="186">
        <f xml:space="preserve"> ConTime!S$14</f>
        <v>0</v>
      </c>
      <c r="T282" s="186">
        <f xml:space="preserve"> ConTime!T$14</f>
        <v>0</v>
      </c>
      <c r="U282" s="186">
        <f xml:space="preserve"> ConTime!U$14</f>
        <v>0</v>
      </c>
      <c r="V282" s="186">
        <f xml:space="preserve"> ConTime!V$14</f>
        <v>0</v>
      </c>
      <c r="W282" s="186">
        <f xml:space="preserve"> ConTime!W$14</f>
        <v>0</v>
      </c>
      <c r="X282" s="186">
        <f xml:space="preserve"> ConTime!X$14</f>
        <v>0</v>
      </c>
      <c r="Y282" s="186">
        <f xml:space="preserve"> ConTime!Y$14</f>
        <v>0</v>
      </c>
      <c r="Z282" s="186">
        <f xml:space="preserve"> ConTime!Z$14</f>
        <v>0</v>
      </c>
      <c r="AA282" s="186">
        <f xml:space="preserve"> ConTime!AA$14</f>
        <v>0</v>
      </c>
      <c r="AB282" s="186">
        <f xml:space="preserve"> ConTime!AB$14</f>
        <v>0</v>
      </c>
      <c r="AC282" s="186">
        <f xml:space="preserve"> ConTime!AC$14</f>
        <v>0</v>
      </c>
      <c r="AD282" s="186">
        <f xml:space="preserve"> ConTime!AD$14</f>
        <v>0</v>
      </c>
      <c r="AE282" s="186">
        <f xml:space="preserve"> ConTime!AE$14</f>
        <v>0</v>
      </c>
      <c r="AF282" s="186">
        <f xml:space="preserve"> ConTime!AF$14</f>
        <v>0</v>
      </c>
      <c r="AG282" s="186">
        <f xml:space="preserve"> ConTime!AG$14</f>
        <v>0</v>
      </c>
      <c r="AH282" s="186">
        <f xml:space="preserve"> ConTime!AH$14</f>
        <v>0</v>
      </c>
      <c r="AI282" s="186">
        <f xml:space="preserve"> ConTime!AI$14</f>
        <v>0</v>
      </c>
      <c r="AJ282" s="186">
        <f xml:space="preserve"> ConTime!AJ$14</f>
        <v>0</v>
      </c>
      <c r="AK282" s="186">
        <f xml:space="preserve"> ConTime!AK$14</f>
        <v>0</v>
      </c>
      <c r="AL282" s="186">
        <f xml:space="preserve"> ConTime!AL$14</f>
        <v>0</v>
      </c>
      <c r="AM282" s="186">
        <f xml:space="preserve"> ConTime!AM$14</f>
        <v>0</v>
      </c>
      <c r="AN282" s="186">
        <f xml:space="preserve"> ConTime!AN$14</f>
        <v>0</v>
      </c>
      <c r="AO282" s="186">
        <f xml:space="preserve"> ConTime!AO$14</f>
        <v>0</v>
      </c>
      <c r="AP282" s="186">
        <f xml:space="preserve"> ConTime!AP$14</f>
        <v>0</v>
      </c>
      <c r="AQ282" s="186">
        <f xml:space="preserve"> ConTime!AQ$14</f>
        <v>0</v>
      </c>
      <c r="AR282" s="186">
        <f xml:space="preserve"> ConTime!AR$14</f>
        <v>0</v>
      </c>
      <c r="AS282" s="186">
        <f xml:space="preserve"> ConTime!AS$14</f>
        <v>0</v>
      </c>
      <c r="AT282" s="186">
        <f xml:space="preserve"> ConTime!AT$14</f>
        <v>0</v>
      </c>
      <c r="AU282" s="186">
        <f xml:space="preserve"> ConTime!AU$14</f>
        <v>0</v>
      </c>
      <c r="AV282" s="186">
        <f xml:space="preserve"> ConTime!AV$14</f>
        <v>0</v>
      </c>
      <c r="AW282" s="186">
        <f xml:space="preserve"> ConTime!AW$14</f>
        <v>0</v>
      </c>
      <c r="AX282" s="186">
        <f xml:space="preserve"> ConTime!AX$14</f>
        <v>0</v>
      </c>
      <c r="AY282" s="186">
        <f xml:space="preserve"> ConTime!AY$14</f>
        <v>0</v>
      </c>
      <c r="AZ282" s="186">
        <f xml:space="preserve"> ConTime!AZ$14</f>
        <v>0</v>
      </c>
      <c r="BA282" s="186">
        <f xml:space="preserve"> ConTime!BA$14</f>
        <v>0</v>
      </c>
      <c r="BB282" s="186">
        <f xml:space="preserve"> ConTime!BB$14</f>
        <v>0</v>
      </c>
      <c r="BC282" s="186">
        <f xml:space="preserve"> ConTime!BC$14</f>
        <v>0</v>
      </c>
      <c r="BD282" s="186">
        <f xml:space="preserve"> ConTime!BD$14</f>
        <v>0</v>
      </c>
      <c r="BE282" s="186">
        <f xml:space="preserve"> ConTime!BE$14</f>
        <v>0</v>
      </c>
    </row>
    <row r="283" spans="1:57" hidden="1" outlineLevel="1" x14ac:dyDescent="0.2">
      <c r="D283" s="48" t="s">
        <v>170</v>
      </c>
      <c r="E283" s="12" t="str">
        <f t="shared" ref="E283:AJ283" si="199" xml:space="preserve"> E$51</f>
        <v>Share capital drawdown - m</v>
      </c>
      <c r="F283" s="12">
        <f t="shared" si="199"/>
        <v>0</v>
      </c>
      <c r="G283" s="12" t="str">
        <f t="shared" si="199"/>
        <v>$ 000s</v>
      </c>
      <c r="H283" s="12">
        <f t="shared" si="199"/>
        <v>100</v>
      </c>
      <c r="I283" s="12">
        <f t="shared" si="199"/>
        <v>0</v>
      </c>
      <c r="J283" s="12">
        <f t="shared" si="199"/>
        <v>0</v>
      </c>
      <c r="K283" s="12">
        <f t="shared" si="199"/>
        <v>0</v>
      </c>
      <c r="L283" s="12">
        <f t="shared" si="199"/>
        <v>0</v>
      </c>
      <c r="M283" s="12">
        <f t="shared" si="199"/>
        <v>100</v>
      </c>
      <c r="N283" s="12">
        <f t="shared" si="199"/>
        <v>0</v>
      </c>
      <c r="O283" s="12">
        <f t="shared" si="199"/>
        <v>0</v>
      </c>
      <c r="P283" s="12">
        <f t="shared" si="199"/>
        <v>0</v>
      </c>
      <c r="Q283" s="12">
        <f t="shared" si="199"/>
        <v>0</v>
      </c>
      <c r="R283" s="12">
        <f t="shared" si="199"/>
        <v>0</v>
      </c>
      <c r="S283" s="12">
        <f t="shared" si="199"/>
        <v>0</v>
      </c>
      <c r="T283" s="12">
        <f t="shared" si="199"/>
        <v>0</v>
      </c>
      <c r="U283" s="12">
        <f t="shared" si="199"/>
        <v>0</v>
      </c>
      <c r="V283" s="12">
        <f t="shared" si="199"/>
        <v>0</v>
      </c>
      <c r="W283" s="12">
        <f t="shared" si="199"/>
        <v>0</v>
      </c>
      <c r="X283" s="12">
        <f t="shared" si="199"/>
        <v>0</v>
      </c>
      <c r="Y283" s="12">
        <f t="shared" si="199"/>
        <v>0</v>
      </c>
      <c r="Z283" s="12">
        <f t="shared" si="199"/>
        <v>0</v>
      </c>
      <c r="AA283" s="12">
        <f t="shared" si="199"/>
        <v>0</v>
      </c>
      <c r="AB283" s="12">
        <f t="shared" si="199"/>
        <v>0</v>
      </c>
      <c r="AC283" s="12">
        <f t="shared" si="199"/>
        <v>0</v>
      </c>
      <c r="AD283" s="12">
        <f t="shared" si="199"/>
        <v>0</v>
      </c>
      <c r="AE283" s="12">
        <f t="shared" si="199"/>
        <v>0</v>
      </c>
      <c r="AF283" s="12">
        <f t="shared" si="199"/>
        <v>0</v>
      </c>
      <c r="AG283" s="12">
        <f t="shared" si="199"/>
        <v>0</v>
      </c>
      <c r="AH283" s="12">
        <f t="shared" si="199"/>
        <v>0</v>
      </c>
      <c r="AI283" s="12">
        <f t="shared" si="199"/>
        <v>0</v>
      </c>
      <c r="AJ283" s="12">
        <f t="shared" si="199"/>
        <v>0</v>
      </c>
      <c r="AK283" s="12">
        <f t="shared" ref="AK283:BE283" si="200" xml:space="preserve"> AK$51</f>
        <v>0</v>
      </c>
      <c r="AL283" s="12">
        <f t="shared" si="200"/>
        <v>0</v>
      </c>
      <c r="AM283" s="12">
        <f t="shared" si="200"/>
        <v>0</v>
      </c>
      <c r="AN283" s="12">
        <f t="shared" si="200"/>
        <v>0</v>
      </c>
      <c r="AO283" s="12">
        <f t="shared" si="200"/>
        <v>0</v>
      </c>
      <c r="AP283" s="12">
        <f t="shared" si="200"/>
        <v>0</v>
      </c>
      <c r="AQ283" s="12">
        <f t="shared" si="200"/>
        <v>0</v>
      </c>
      <c r="AR283" s="12">
        <f t="shared" si="200"/>
        <v>0</v>
      </c>
      <c r="AS283" s="12">
        <f t="shared" si="200"/>
        <v>0</v>
      </c>
      <c r="AT283" s="12">
        <f t="shared" si="200"/>
        <v>0</v>
      </c>
      <c r="AU283" s="12">
        <f t="shared" si="200"/>
        <v>0</v>
      </c>
      <c r="AV283" s="12">
        <f t="shared" si="200"/>
        <v>0</v>
      </c>
      <c r="AW283" s="12">
        <f t="shared" si="200"/>
        <v>0</v>
      </c>
      <c r="AX283" s="12">
        <f t="shared" si="200"/>
        <v>0</v>
      </c>
      <c r="AY283" s="12">
        <f t="shared" si="200"/>
        <v>0</v>
      </c>
      <c r="AZ283" s="12">
        <f t="shared" si="200"/>
        <v>0</v>
      </c>
      <c r="BA283" s="12">
        <f t="shared" si="200"/>
        <v>0</v>
      </c>
      <c r="BB283" s="12">
        <f t="shared" si="200"/>
        <v>0</v>
      </c>
      <c r="BC283" s="12">
        <f t="shared" si="200"/>
        <v>0</v>
      </c>
      <c r="BD283" s="12">
        <f t="shared" si="200"/>
        <v>0</v>
      </c>
      <c r="BE283" s="12">
        <f t="shared" si="200"/>
        <v>0</v>
      </c>
    </row>
    <row r="284" spans="1:57" s="495" customFormat="1" hidden="1" outlineLevel="1" x14ac:dyDescent="0.2">
      <c r="A284" s="15"/>
      <c r="B284" s="15"/>
      <c r="C284" s="21"/>
      <c r="D284" s="48" t="s">
        <v>170</v>
      </c>
      <c r="E284" s="9" t="str">
        <f xml:space="preserve"> E$86</f>
        <v>Shareholder drawdown - m</v>
      </c>
      <c r="F284" s="9">
        <f t="shared" ref="F284:BE284" si="201" xml:space="preserve"> F$86</f>
        <v>0</v>
      </c>
      <c r="G284" s="9" t="str">
        <f t="shared" si="201"/>
        <v>$ 000s</v>
      </c>
      <c r="H284" s="9">
        <f t="shared" si="201"/>
        <v>86318.253106861201</v>
      </c>
      <c r="I284" s="9">
        <f t="shared" si="201"/>
        <v>0</v>
      </c>
      <c r="J284" s="9">
        <f t="shared" si="201"/>
        <v>0</v>
      </c>
      <c r="K284" s="9">
        <f t="shared" si="201"/>
        <v>0</v>
      </c>
      <c r="L284" s="9">
        <f t="shared" si="201"/>
        <v>0</v>
      </c>
      <c r="M284" s="9">
        <f t="shared" si="201"/>
        <v>0</v>
      </c>
      <c r="N284" s="9">
        <f t="shared" si="201"/>
        <v>0</v>
      </c>
      <c r="O284" s="9">
        <f t="shared" si="201"/>
        <v>0</v>
      </c>
      <c r="P284" s="9">
        <f t="shared" si="201"/>
        <v>0</v>
      </c>
      <c r="Q284" s="9">
        <f t="shared" si="201"/>
        <v>0</v>
      </c>
      <c r="R284" s="9">
        <f t="shared" si="201"/>
        <v>0</v>
      </c>
      <c r="S284" s="9">
        <f t="shared" si="201"/>
        <v>0</v>
      </c>
      <c r="T284" s="9">
        <f t="shared" si="201"/>
        <v>0</v>
      </c>
      <c r="U284" s="9">
        <f t="shared" si="201"/>
        <v>0</v>
      </c>
      <c r="V284" s="9">
        <f t="shared" si="201"/>
        <v>0</v>
      </c>
      <c r="W284" s="9">
        <f t="shared" si="201"/>
        <v>0</v>
      </c>
      <c r="X284" s="9">
        <f t="shared" si="201"/>
        <v>0</v>
      </c>
      <c r="Y284" s="9">
        <f t="shared" si="201"/>
        <v>0</v>
      </c>
      <c r="Z284" s="9">
        <f t="shared" si="201"/>
        <v>0</v>
      </c>
      <c r="AA284" s="9">
        <f t="shared" si="201"/>
        <v>0</v>
      </c>
      <c r="AB284" s="9">
        <f t="shared" si="201"/>
        <v>0</v>
      </c>
      <c r="AC284" s="9">
        <f t="shared" si="201"/>
        <v>0</v>
      </c>
      <c r="AD284" s="9">
        <f t="shared" si="201"/>
        <v>0</v>
      </c>
      <c r="AE284" s="9">
        <f t="shared" si="201"/>
        <v>0</v>
      </c>
      <c r="AF284" s="9">
        <f t="shared" si="201"/>
        <v>0</v>
      </c>
      <c r="AG284" s="9">
        <f t="shared" si="201"/>
        <v>0</v>
      </c>
      <c r="AH284" s="9">
        <f t="shared" si="201"/>
        <v>0</v>
      </c>
      <c r="AI284" s="9">
        <f t="shared" si="201"/>
        <v>0</v>
      </c>
      <c r="AJ284" s="9">
        <f t="shared" si="201"/>
        <v>0</v>
      </c>
      <c r="AK284" s="9">
        <f t="shared" si="201"/>
        <v>0</v>
      </c>
      <c r="AL284" s="9">
        <f t="shared" si="201"/>
        <v>0</v>
      </c>
      <c r="AM284" s="9">
        <f t="shared" si="201"/>
        <v>86318.253106861201</v>
      </c>
      <c r="AN284" s="9">
        <f t="shared" si="201"/>
        <v>0</v>
      </c>
      <c r="AO284" s="9">
        <f t="shared" si="201"/>
        <v>0</v>
      </c>
      <c r="AP284" s="9">
        <f t="shared" si="201"/>
        <v>0</v>
      </c>
      <c r="AQ284" s="9">
        <f t="shared" si="201"/>
        <v>0</v>
      </c>
      <c r="AR284" s="9">
        <f t="shared" si="201"/>
        <v>0</v>
      </c>
      <c r="AS284" s="9">
        <f t="shared" si="201"/>
        <v>0</v>
      </c>
      <c r="AT284" s="9">
        <f t="shared" si="201"/>
        <v>0</v>
      </c>
      <c r="AU284" s="9">
        <f t="shared" si="201"/>
        <v>0</v>
      </c>
      <c r="AV284" s="9">
        <f t="shared" si="201"/>
        <v>0</v>
      </c>
      <c r="AW284" s="9">
        <f t="shared" si="201"/>
        <v>0</v>
      </c>
      <c r="AX284" s="9">
        <f t="shared" si="201"/>
        <v>0</v>
      </c>
      <c r="AY284" s="9">
        <f t="shared" si="201"/>
        <v>0</v>
      </c>
      <c r="AZ284" s="9">
        <f t="shared" si="201"/>
        <v>0</v>
      </c>
      <c r="BA284" s="9">
        <f t="shared" si="201"/>
        <v>0</v>
      </c>
      <c r="BB284" s="9">
        <f t="shared" si="201"/>
        <v>0</v>
      </c>
      <c r="BC284" s="9">
        <f t="shared" si="201"/>
        <v>0</v>
      </c>
      <c r="BD284" s="9">
        <f t="shared" si="201"/>
        <v>0</v>
      </c>
      <c r="BE284" s="9">
        <f t="shared" si="201"/>
        <v>0</v>
      </c>
    </row>
    <row r="285" spans="1:57" hidden="1" outlineLevel="1" x14ac:dyDescent="0.2">
      <c r="D285" s="48" t="s">
        <v>170</v>
      </c>
      <c r="E285" s="12" t="str">
        <f t="shared" ref="E285:AJ285" si="202" xml:space="preserve"> E$255</f>
        <v>Standby equity drawdown - m</v>
      </c>
      <c r="F285" s="12">
        <f t="shared" si="202"/>
        <v>0</v>
      </c>
      <c r="G285" s="12" t="str">
        <f t="shared" si="202"/>
        <v>$ 000s</v>
      </c>
      <c r="H285" s="12">
        <f t="shared" si="202"/>
        <v>0</v>
      </c>
      <c r="I285" s="12">
        <f t="shared" si="202"/>
        <v>0</v>
      </c>
      <c r="J285" s="12">
        <f t="shared" si="202"/>
        <v>0</v>
      </c>
      <c r="K285" s="12">
        <f t="shared" si="202"/>
        <v>0</v>
      </c>
      <c r="L285" s="12">
        <f t="shared" si="202"/>
        <v>0</v>
      </c>
      <c r="M285" s="12">
        <f t="shared" si="202"/>
        <v>0</v>
      </c>
      <c r="N285" s="12">
        <f t="shared" si="202"/>
        <v>0</v>
      </c>
      <c r="O285" s="12">
        <f t="shared" si="202"/>
        <v>0</v>
      </c>
      <c r="P285" s="12">
        <f t="shared" si="202"/>
        <v>0</v>
      </c>
      <c r="Q285" s="12">
        <f t="shared" si="202"/>
        <v>0</v>
      </c>
      <c r="R285" s="12">
        <f t="shared" si="202"/>
        <v>0</v>
      </c>
      <c r="S285" s="12">
        <f t="shared" si="202"/>
        <v>0</v>
      </c>
      <c r="T285" s="12">
        <f t="shared" si="202"/>
        <v>0</v>
      </c>
      <c r="U285" s="12">
        <f t="shared" si="202"/>
        <v>0</v>
      </c>
      <c r="V285" s="12">
        <f t="shared" si="202"/>
        <v>0</v>
      </c>
      <c r="W285" s="12">
        <f t="shared" si="202"/>
        <v>0</v>
      </c>
      <c r="X285" s="12">
        <f t="shared" si="202"/>
        <v>0</v>
      </c>
      <c r="Y285" s="12">
        <f t="shared" si="202"/>
        <v>0</v>
      </c>
      <c r="Z285" s="12">
        <f t="shared" si="202"/>
        <v>0</v>
      </c>
      <c r="AA285" s="12">
        <f t="shared" si="202"/>
        <v>0</v>
      </c>
      <c r="AB285" s="12">
        <f t="shared" si="202"/>
        <v>0</v>
      </c>
      <c r="AC285" s="12">
        <f t="shared" si="202"/>
        <v>0</v>
      </c>
      <c r="AD285" s="12">
        <f t="shared" si="202"/>
        <v>0</v>
      </c>
      <c r="AE285" s="12">
        <f t="shared" si="202"/>
        <v>0</v>
      </c>
      <c r="AF285" s="12">
        <f t="shared" si="202"/>
        <v>0</v>
      </c>
      <c r="AG285" s="12">
        <f t="shared" si="202"/>
        <v>0</v>
      </c>
      <c r="AH285" s="12">
        <f t="shared" si="202"/>
        <v>0</v>
      </c>
      <c r="AI285" s="12">
        <f t="shared" si="202"/>
        <v>0</v>
      </c>
      <c r="AJ285" s="12">
        <f t="shared" si="202"/>
        <v>0</v>
      </c>
      <c r="AK285" s="12">
        <f t="shared" ref="AK285:BE285" si="203" xml:space="preserve"> AK$255</f>
        <v>0</v>
      </c>
      <c r="AL285" s="12">
        <f t="shared" si="203"/>
        <v>0</v>
      </c>
      <c r="AM285" s="12">
        <f t="shared" si="203"/>
        <v>0</v>
      </c>
      <c r="AN285" s="12">
        <f t="shared" si="203"/>
        <v>0</v>
      </c>
      <c r="AO285" s="12">
        <f t="shared" si="203"/>
        <v>0</v>
      </c>
      <c r="AP285" s="12">
        <f t="shared" si="203"/>
        <v>0</v>
      </c>
      <c r="AQ285" s="12">
        <f t="shared" si="203"/>
        <v>0</v>
      </c>
      <c r="AR285" s="12">
        <f t="shared" si="203"/>
        <v>0</v>
      </c>
      <c r="AS285" s="12">
        <f t="shared" si="203"/>
        <v>0</v>
      </c>
      <c r="AT285" s="12">
        <f t="shared" si="203"/>
        <v>0</v>
      </c>
      <c r="AU285" s="12">
        <f t="shared" si="203"/>
        <v>0</v>
      </c>
      <c r="AV285" s="12">
        <f t="shared" si="203"/>
        <v>0</v>
      </c>
      <c r="AW285" s="12">
        <f t="shared" si="203"/>
        <v>0</v>
      </c>
      <c r="AX285" s="12">
        <f t="shared" si="203"/>
        <v>0</v>
      </c>
      <c r="AY285" s="12">
        <f t="shared" si="203"/>
        <v>0</v>
      </c>
      <c r="AZ285" s="12">
        <f t="shared" si="203"/>
        <v>0</v>
      </c>
      <c r="BA285" s="12">
        <f t="shared" si="203"/>
        <v>0</v>
      </c>
      <c r="BB285" s="12">
        <f t="shared" si="203"/>
        <v>0</v>
      </c>
      <c r="BC285" s="12">
        <f t="shared" si="203"/>
        <v>0</v>
      </c>
      <c r="BD285" s="12">
        <f t="shared" si="203"/>
        <v>0</v>
      </c>
      <c r="BE285" s="12">
        <f t="shared" si="203"/>
        <v>0</v>
      </c>
    </row>
    <row r="286" spans="1:57" s="77" customFormat="1" hidden="1" outlineLevel="1" x14ac:dyDescent="0.2">
      <c r="A286" s="85"/>
      <c r="B286" s="85"/>
      <c r="C286" s="86"/>
      <c r="D286" s="238" t="s">
        <v>371</v>
      </c>
      <c r="E286" s="68" t="str">
        <f xml:space="preserve"> ConCost!E$53</f>
        <v>Success fee</v>
      </c>
      <c r="F286" s="68">
        <f xml:space="preserve"> ConCost!F$53</f>
        <v>0</v>
      </c>
      <c r="G286" s="68" t="str">
        <f xml:space="preserve"> ConCost!G$53</f>
        <v>$ 000s</v>
      </c>
      <c r="H286" s="68">
        <f xml:space="preserve"> ConCost!H$53</f>
        <v>2000</v>
      </c>
      <c r="I286" s="68">
        <f xml:space="preserve"> ConCost!I$53</f>
        <v>0</v>
      </c>
      <c r="J286" s="68">
        <f xml:space="preserve"> ConCost!J$53</f>
        <v>0</v>
      </c>
      <c r="K286" s="68">
        <f xml:space="preserve"> ConCost!K$53</f>
        <v>0</v>
      </c>
      <c r="L286" s="68">
        <f xml:space="preserve"> ConCost!L$53</f>
        <v>0</v>
      </c>
      <c r="M286" s="68">
        <f xml:space="preserve"> ConCost!M$53</f>
        <v>2000</v>
      </c>
      <c r="N286" s="68">
        <f xml:space="preserve"> ConCost!N$53</f>
        <v>0</v>
      </c>
      <c r="O286" s="68">
        <f xml:space="preserve"> ConCost!O$53</f>
        <v>0</v>
      </c>
      <c r="P286" s="68">
        <f xml:space="preserve"> ConCost!P$53</f>
        <v>0</v>
      </c>
      <c r="Q286" s="68">
        <f xml:space="preserve"> ConCost!Q$53</f>
        <v>0</v>
      </c>
      <c r="R286" s="68">
        <f xml:space="preserve"> ConCost!R$53</f>
        <v>0</v>
      </c>
      <c r="S286" s="68">
        <f xml:space="preserve"> ConCost!S$53</f>
        <v>0</v>
      </c>
      <c r="T286" s="68">
        <f xml:space="preserve"> ConCost!T$53</f>
        <v>0</v>
      </c>
      <c r="U286" s="68">
        <f xml:space="preserve"> ConCost!U$53</f>
        <v>0</v>
      </c>
      <c r="V286" s="68">
        <f xml:space="preserve"> ConCost!V$53</f>
        <v>0</v>
      </c>
      <c r="W286" s="68">
        <f xml:space="preserve"> ConCost!W$53</f>
        <v>0</v>
      </c>
      <c r="X286" s="68">
        <f xml:space="preserve"> ConCost!X$53</f>
        <v>0</v>
      </c>
      <c r="Y286" s="68">
        <f xml:space="preserve"> ConCost!Y$53</f>
        <v>0</v>
      </c>
      <c r="Z286" s="68">
        <f xml:space="preserve"> ConCost!Z$53</f>
        <v>0</v>
      </c>
      <c r="AA286" s="68">
        <f xml:space="preserve"> ConCost!AA$53</f>
        <v>0</v>
      </c>
      <c r="AB286" s="68">
        <f xml:space="preserve"> ConCost!AB$53</f>
        <v>0</v>
      </c>
      <c r="AC286" s="68">
        <f xml:space="preserve"> ConCost!AC$53</f>
        <v>0</v>
      </c>
      <c r="AD286" s="68">
        <f xml:space="preserve"> ConCost!AD$53</f>
        <v>0</v>
      </c>
      <c r="AE286" s="68">
        <f xml:space="preserve"> ConCost!AE$53</f>
        <v>0</v>
      </c>
      <c r="AF286" s="68">
        <f xml:space="preserve"> ConCost!AF$53</f>
        <v>0</v>
      </c>
      <c r="AG286" s="68">
        <f xml:space="preserve"> ConCost!AG$53</f>
        <v>0</v>
      </c>
      <c r="AH286" s="68">
        <f xml:space="preserve"> ConCost!AH$53</f>
        <v>0</v>
      </c>
      <c r="AI286" s="68">
        <f xml:space="preserve"> ConCost!AI$53</f>
        <v>0</v>
      </c>
      <c r="AJ286" s="68">
        <f xml:space="preserve"> ConCost!AJ$53</f>
        <v>0</v>
      </c>
      <c r="AK286" s="68">
        <f xml:space="preserve"> ConCost!AK$53</f>
        <v>0</v>
      </c>
      <c r="AL286" s="68">
        <f xml:space="preserve"> ConCost!AL$53</f>
        <v>0</v>
      </c>
      <c r="AM286" s="68">
        <f xml:space="preserve"> ConCost!AM$53</f>
        <v>0</v>
      </c>
      <c r="AN286" s="68">
        <f xml:space="preserve"> ConCost!AN$53</f>
        <v>0</v>
      </c>
      <c r="AO286" s="68">
        <f xml:space="preserve"> ConCost!AO$53</f>
        <v>0</v>
      </c>
      <c r="AP286" s="68">
        <f xml:space="preserve"> ConCost!AP$53</f>
        <v>0</v>
      </c>
      <c r="AQ286" s="68">
        <f xml:space="preserve"> ConCost!AQ$53</f>
        <v>0</v>
      </c>
      <c r="AR286" s="68">
        <f xml:space="preserve"> ConCost!AR$53</f>
        <v>0</v>
      </c>
      <c r="AS286" s="68">
        <f xml:space="preserve"> ConCost!AS$53</f>
        <v>0</v>
      </c>
      <c r="AT286" s="68">
        <f xml:space="preserve"> ConCost!AT$53</f>
        <v>0</v>
      </c>
      <c r="AU286" s="68">
        <f xml:space="preserve"> ConCost!AU$53</f>
        <v>0</v>
      </c>
      <c r="AV286" s="68">
        <f xml:space="preserve"> ConCost!AV$53</f>
        <v>0</v>
      </c>
      <c r="AW286" s="68">
        <f xml:space="preserve"> ConCost!AW$53</f>
        <v>0</v>
      </c>
      <c r="AX286" s="68">
        <f xml:space="preserve"> ConCost!AX$53</f>
        <v>0</v>
      </c>
      <c r="AY286" s="68">
        <f xml:space="preserve"> ConCost!AY$53</f>
        <v>0</v>
      </c>
      <c r="AZ286" s="68">
        <f xml:space="preserve"> ConCost!AZ$53</f>
        <v>0</v>
      </c>
      <c r="BA286" s="68">
        <f xml:space="preserve"> ConCost!BA$53</f>
        <v>0</v>
      </c>
      <c r="BB286" s="68">
        <f xml:space="preserve"> ConCost!BB$53</f>
        <v>0</v>
      </c>
      <c r="BC286" s="68">
        <f xml:space="preserve"> ConCost!BC$53</f>
        <v>0</v>
      </c>
      <c r="BD286" s="68">
        <f xml:space="preserve"> ConCost!BD$53</f>
        <v>0</v>
      </c>
      <c r="BE286" s="68">
        <f xml:space="preserve"> ConCost!BE$53</f>
        <v>0</v>
      </c>
    </row>
    <row r="287" spans="1:57" s="77" customFormat="1" hidden="1" outlineLevel="1" x14ac:dyDescent="0.2">
      <c r="A287" s="85"/>
      <c r="B287" s="85"/>
      <c r="C287" s="86"/>
      <c r="D287" s="238" t="s">
        <v>170</v>
      </c>
      <c r="E287" s="9" t="str">
        <f t="shared" ref="E287:AJ287" si="204" xml:space="preserve"> E$279</f>
        <v>Withholding tax on success fees POS</v>
      </c>
      <c r="F287" s="9">
        <f t="shared" si="204"/>
        <v>0</v>
      </c>
      <c r="G287" s="9" t="str">
        <f t="shared" si="204"/>
        <v>$ 000s</v>
      </c>
      <c r="H287" s="9">
        <f t="shared" si="204"/>
        <v>60</v>
      </c>
      <c r="I287" s="9">
        <f t="shared" si="204"/>
        <v>0</v>
      </c>
      <c r="J287" s="9">
        <f t="shared" si="204"/>
        <v>0</v>
      </c>
      <c r="K287" s="9">
        <f t="shared" si="204"/>
        <v>0</v>
      </c>
      <c r="L287" s="9">
        <f t="shared" si="204"/>
        <v>0</v>
      </c>
      <c r="M287" s="9">
        <f t="shared" si="204"/>
        <v>60</v>
      </c>
      <c r="N287" s="9">
        <f t="shared" si="204"/>
        <v>0</v>
      </c>
      <c r="O287" s="9">
        <f t="shared" si="204"/>
        <v>0</v>
      </c>
      <c r="P287" s="9">
        <f t="shared" si="204"/>
        <v>0</v>
      </c>
      <c r="Q287" s="9">
        <f t="shared" si="204"/>
        <v>0</v>
      </c>
      <c r="R287" s="9">
        <f t="shared" si="204"/>
        <v>0</v>
      </c>
      <c r="S287" s="9">
        <f t="shared" si="204"/>
        <v>0</v>
      </c>
      <c r="T287" s="9">
        <f t="shared" si="204"/>
        <v>0</v>
      </c>
      <c r="U287" s="9">
        <f t="shared" si="204"/>
        <v>0</v>
      </c>
      <c r="V287" s="9">
        <f t="shared" si="204"/>
        <v>0</v>
      </c>
      <c r="W287" s="9">
        <f t="shared" si="204"/>
        <v>0</v>
      </c>
      <c r="X287" s="9">
        <f t="shared" si="204"/>
        <v>0</v>
      </c>
      <c r="Y287" s="9">
        <f t="shared" si="204"/>
        <v>0</v>
      </c>
      <c r="Z287" s="9">
        <f t="shared" si="204"/>
        <v>0</v>
      </c>
      <c r="AA287" s="9">
        <f t="shared" si="204"/>
        <v>0</v>
      </c>
      <c r="AB287" s="9">
        <f t="shared" si="204"/>
        <v>0</v>
      </c>
      <c r="AC287" s="9">
        <f t="shared" si="204"/>
        <v>0</v>
      </c>
      <c r="AD287" s="9">
        <f t="shared" si="204"/>
        <v>0</v>
      </c>
      <c r="AE287" s="9">
        <f t="shared" si="204"/>
        <v>0</v>
      </c>
      <c r="AF287" s="9">
        <f t="shared" si="204"/>
        <v>0</v>
      </c>
      <c r="AG287" s="9">
        <f t="shared" si="204"/>
        <v>0</v>
      </c>
      <c r="AH287" s="9">
        <f t="shared" si="204"/>
        <v>0</v>
      </c>
      <c r="AI287" s="9">
        <f t="shared" si="204"/>
        <v>0</v>
      </c>
      <c r="AJ287" s="9">
        <f t="shared" si="204"/>
        <v>0</v>
      </c>
      <c r="AK287" s="9">
        <f t="shared" ref="AK287:BE287" si="205" xml:space="preserve"> AK$279</f>
        <v>0</v>
      </c>
      <c r="AL287" s="9">
        <f t="shared" si="205"/>
        <v>0</v>
      </c>
      <c r="AM287" s="9">
        <f t="shared" si="205"/>
        <v>0</v>
      </c>
      <c r="AN287" s="9">
        <f t="shared" si="205"/>
        <v>0</v>
      </c>
      <c r="AO287" s="9">
        <f t="shared" si="205"/>
        <v>0</v>
      </c>
      <c r="AP287" s="9">
        <f t="shared" si="205"/>
        <v>0</v>
      </c>
      <c r="AQ287" s="9">
        <f t="shared" si="205"/>
        <v>0</v>
      </c>
      <c r="AR287" s="9">
        <f t="shared" si="205"/>
        <v>0</v>
      </c>
      <c r="AS287" s="9">
        <f t="shared" si="205"/>
        <v>0</v>
      </c>
      <c r="AT287" s="9">
        <f t="shared" si="205"/>
        <v>0</v>
      </c>
      <c r="AU287" s="9">
        <f t="shared" si="205"/>
        <v>0</v>
      </c>
      <c r="AV287" s="9">
        <f t="shared" si="205"/>
        <v>0</v>
      </c>
      <c r="AW287" s="9">
        <f t="shared" si="205"/>
        <v>0</v>
      </c>
      <c r="AX287" s="9">
        <f t="shared" si="205"/>
        <v>0</v>
      </c>
      <c r="AY287" s="9">
        <f t="shared" si="205"/>
        <v>0</v>
      </c>
      <c r="AZ287" s="9">
        <f t="shared" si="205"/>
        <v>0</v>
      </c>
      <c r="BA287" s="9">
        <f t="shared" si="205"/>
        <v>0</v>
      </c>
      <c r="BB287" s="9">
        <f t="shared" si="205"/>
        <v>0</v>
      </c>
      <c r="BC287" s="9">
        <f t="shared" si="205"/>
        <v>0</v>
      </c>
      <c r="BD287" s="9">
        <f t="shared" si="205"/>
        <v>0</v>
      </c>
      <c r="BE287" s="9">
        <f t="shared" si="205"/>
        <v>0</v>
      </c>
    </row>
    <row r="288" spans="1:57" s="188" customFormat="1" hidden="1" outlineLevel="1" x14ac:dyDescent="0.2">
      <c r="A288" s="141"/>
      <c r="B288" s="141"/>
      <c r="C288" s="142"/>
      <c r="D288" s="143"/>
      <c r="E288" s="496" t="s">
        <v>308</v>
      </c>
      <c r="F288" s="496"/>
      <c r="G288" s="496" t="str">
        <f xml:space="preserve"> SMU</f>
        <v>$ 000s</v>
      </c>
      <c r="H288" s="496">
        <f xml:space="preserve"> SUM(J288:BE288)</f>
        <v>-84478.253106862205</v>
      </c>
      <c r="I288" s="497"/>
      <c r="J288" s="496">
        <f t="shared" ref="J288:BE288" si="206" xml:space="preserve"> J282 * $F281 - J283 - J284 - J285 + J286 - J287</f>
        <v>-1.0000000000000001E-9</v>
      </c>
      <c r="K288" s="496">
        <f t="shared" si="206"/>
        <v>0</v>
      </c>
      <c r="L288" s="496">
        <f t="shared" si="206"/>
        <v>0</v>
      </c>
      <c r="M288" s="496">
        <f t="shared" si="206"/>
        <v>1840</v>
      </c>
      <c r="N288" s="496">
        <f t="shared" si="206"/>
        <v>0</v>
      </c>
      <c r="O288" s="496">
        <f t="shared" si="206"/>
        <v>0</v>
      </c>
      <c r="P288" s="496">
        <f t="shared" si="206"/>
        <v>0</v>
      </c>
      <c r="Q288" s="496">
        <f t="shared" si="206"/>
        <v>0</v>
      </c>
      <c r="R288" s="496">
        <f t="shared" si="206"/>
        <v>0</v>
      </c>
      <c r="S288" s="496">
        <f t="shared" si="206"/>
        <v>0</v>
      </c>
      <c r="T288" s="496">
        <f t="shared" si="206"/>
        <v>0</v>
      </c>
      <c r="U288" s="496">
        <f t="shared" si="206"/>
        <v>0</v>
      </c>
      <c r="V288" s="496">
        <f t="shared" si="206"/>
        <v>0</v>
      </c>
      <c r="W288" s="496">
        <f t="shared" si="206"/>
        <v>0</v>
      </c>
      <c r="X288" s="496">
        <f t="shared" si="206"/>
        <v>0</v>
      </c>
      <c r="Y288" s="496">
        <f t="shared" si="206"/>
        <v>0</v>
      </c>
      <c r="Z288" s="496">
        <f t="shared" si="206"/>
        <v>0</v>
      </c>
      <c r="AA288" s="496">
        <f t="shared" si="206"/>
        <v>0</v>
      </c>
      <c r="AB288" s="496">
        <f t="shared" si="206"/>
        <v>0</v>
      </c>
      <c r="AC288" s="496">
        <f t="shared" si="206"/>
        <v>0</v>
      </c>
      <c r="AD288" s="496">
        <f t="shared" si="206"/>
        <v>0</v>
      </c>
      <c r="AE288" s="496">
        <f t="shared" si="206"/>
        <v>0</v>
      </c>
      <c r="AF288" s="496">
        <f t="shared" si="206"/>
        <v>0</v>
      </c>
      <c r="AG288" s="496">
        <f t="shared" si="206"/>
        <v>0</v>
      </c>
      <c r="AH288" s="496">
        <f t="shared" si="206"/>
        <v>0</v>
      </c>
      <c r="AI288" s="496">
        <f t="shared" si="206"/>
        <v>0</v>
      </c>
      <c r="AJ288" s="496">
        <f t="shared" si="206"/>
        <v>0</v>
      </c>
      <c r="AK288" s="496">
        <f t="shared" si="206"/>
        <v>0</v>
      </c>
      <c r="AL288" s="496">
        <f t="shared" si="206"/>
        <v>0</v>
      </c>
      <c r="AM288" s="496">
        <f t="shared" si="206"/>
        <v>-86318.253106861201</v>
      </c>
      <c r="AN288" s="496">
        <f t="shared" si="206"/>
        <v>0</v>
      </c>
      <c r="AO288" s="496">
        <f t="shared" si="206"/>
        <v>0</v>
      </c>
      <c r="AP288" s="496">
        <f t="shared" si="206"/>
        <v>0</v>
      </c>
      <c r="AQ288" s="496">
        <f t="shared" si="206"/>
        <v>0</v>
      </c>
      <c r="AR288" s="496">
        <f t="shared" si="206"/>
        <v>0</v>
      </c>
      <c r="AS288" s="496">
        <f t="shared" si="206"/>
        <v>0</v>
      </c>
      <c r="AT288" s="496">
        <f t="shared" si="206"/>
        <v>0</v>
      </c>
      <c r="AU288" s="496">
        <f t="shared" si="206"/>
        <v>0</v>
      </c>
      <c r="AV288" s="496">
        <f t="shared" si="206"/>
        <v>0</v>
      </c>
      <c r="AW288" s="496">
        <f t="shared" si="206"/>
        <v>0</v>
      </c>
      <c r="AX288" s="496">
        <f t="shared" si="206"/>
        <v>0</v>
      </c>
      <c r="AY288" s="496">
        <f t="shared" si="206"/>
        <v>0</v>
      </c>
      <c r="AZ288" s="496">
        <f t="shared" si="206"/>
        <v>0</v>
      </c>
      <c r="BA288" s="496">
        <f t="shared" si="206"/>
        <v>0</v>
      </c>
      <c r="BB288" s="496">
        <f t="shared" si="206"/>
        <v>0</v>
      </c>
      <c r="BC288" s="496">
        <f t="shared" si="206"/>
        <v>0</v>
      </c>
      <c r="BD288" s="496">
        <f t="shared" si="206"/>
        <v>0</v>
      </c>
      <c r="BE288" s="496">
        <f t="shared" si="206"/>
        <v>0</v>
      </c>
    </row>
    <row r="289" spans="1:57" hidden="1" outlineLevel="1" x14ac:dyDescent="0.2"/>
    <row r="290" spans="1:57" x14ac:dyDescent="0.2"/>
    <row r="291" spans="1:57" collapsed="1" x14ac:dyDescent="0.2">
      <c r="A291" s="15" t="s">
        <v>272</v>
      </c>
    </row>
    <row r="292" spans="1:57" hidden="1" outlineLevel="1" x14ac:dyDescent="0.2"/>
    <row r="293" spans="1:57" hidden="1" outlineLevel="1" x14ac:dyDescent="0.2">
      <c r="E293" s="12" t="str">
        <f t="shared" ref="E293:AJ293" si="207" xml:space="preserve"> E$69</f>
        <v>Funding requirement for shareholder loan</v>
      </c>
      <c r="F293" s="12">
        <f t="shared" si="207"/>
        <v>0</v>
      </c>
      <c r="G293" s="12" t="str">
        <f t="shared" si="207"/>
        <v>$ 000s</v>
      </c>
      <c r="H293" s="12">
        <f t="shared" si="207"/>
        <v>336708.10907557519</v>
      </c>
      <c r="I293" s="12">
        <f t="shared" si="207"/>
        <v>0</v>
      </c>
      <c r="J293" s="12">
        <f t="shared" si="207"/>
        <v>0</v>
      </c>
      <c r="K293" s="12">
        <f t="shared" si="207"/>
        <v>0</v>
      </c>
      <c r="L293" s="12">
        <f t="shared" si="207"/>
        <v>0</v>
      </c>
      <c r="M293" s="12">
        <f t="shared" si="207"/>
        <v>14843.424770244494</v>
      </c>
      <c r="N293" s="12">
        <f t="shared" si="207"/>
        <v>11841.327808384644</v>
      </c>
      <c r="O293" s="12">
        <f t="shared" si="207"/>
        <v>11870.259742712651</v>
      </c>
      <c r="P293" s="12">
        <f t="shared" si="207"/>
        <v>11907.687320687248</v>
      </c>
      <c r="Q293" s="12">
        <f t="shared" si="207"/>
        <v>11941.012306690816</v>
      </c>
      <c r="R293" s="12">
        <f t="shared" si="207"/>
        <v>11966.998590891828</v>
      </c>
      <c r="S293" s="12">
        <f t="shared" si="207"/>
        <v>12007.921531555499</v>
      </c>
      <c r="T293" s="12">
        <f t="shared" si="207"/>
        <v>12031.934187437519</v>
      </c>
      <c r="U293" s="12">
        <f t="shared" si="207"/>
        <v>12076.190635536972</v>
      </c>
      <c r="V293" s="12">
        <f t="shared" si="207"/>
        <v>12110.976773522409</v>
      </c>
      <c r="W293" s="12">
        <f t="shared" si="207"/>
        <v>12104.694875399815</v>
      </c>
      <c r="X293" s="12">
        <f t="shared" si="207"/>
        <v>12180.731360946033</v>
      </c>
      <c r="Y293" s="12">
        <f t="shared" si="207"/>
        <v>12199.330047588888</v>
      </c>
      <c r="Z293" s="12">
        <f t="shared" si="207"/>
        <v>12250.959482205111</v>
      </c>
      <c r="AA293" s="12">
        <f t="shared" si="207"/>
        <v>12266.975848549024</v>
      </c>
      <c r="AB293" s="12">
        <f t="shared" si="207"/>
        <v>12321.584756958357</v>
      </c>
      <c r="AC293" s="12">
        <f t="shared" si="207"/>
        <v>12357.077766346292</v>
      </c>
      <c r="AD293" s="12">
        <f t="shared" si="207"/>
        <v>12369.192114605235</v>
      </c>
      <c r="AE293" s="12">
        <f t="shared" si="207"/>
        <v>12428.303160347879</v>
      </c>
      <c r="AF293" s="12">
        <f t="shared" si="207"/>
        <v>12437.798518130739</v>
      </c>
      <c r="AG293" s="12">
        <f t="shared" si="207"/>
        <v>12499.931347612244</v>
      </c>
      <c r="AH293" s="12">
        <f t="shared" si="207"/>
        <v>10545.938094264708</v>
      </c>
      <c r="AI293" s="12">
        <f t="shared" si="207"/>
        <v>10515.623743976959</v>
      </c>
      <c r="AJ293" s="12">
        <f t="shared" si="207"/>
        <v>10606.607093158804</v>
      </c>
      <c r="AK293" s="12">
        <f t="shared" ref="AK293:BE293" si="208" xml:space="preserve"> AK$69</f>
        <v>10604.408171304991</v>
      </c>
      <c r="AL293" s="12">
        <f t="shared" si="208"/>
        <v>10667.706600951156</v>
      </c>
      <c r="AM293" s="12">
        <f t="shared" si="208"/>
        <v>25753.512425564993</v>
      </c>
      <c r="AN293" s="12">
        <f t="shared" si="208"/>
        <v>0</v>
      </c>
      <c r="AO293" s="12">
        <f t="shared" si="208"/>
        <v>0</v>
      </c>
      <c r="AP293" s="12">
        <f t="shared" si="208"/>
        <v>0</v>
      </c>
      <c r="AQ293" s="12">
        <f t="shared" si="208"/>
        <v>0</v>
      </c>
      <c r="AR293" s="12">
        <f t="shared" si="208"/>
        <v>0</v>
      </c>
      <c r="AS293" s="12">
        <f t="shared" si="208"/>
        <v>0</v>
      </c>
      <c r="AT293" s="12">
        <f t="shared" si="208"/>
        <v>0</v>
      </c>
      <c r="AU293" s="12">
        <f t="shared" si="208"/>
        <v>0</v>
      </c>
      <c r="AV293" s="12">
        <f t="shared" si="208"/>
        <v>0</v>
      </c>
      <c r="AW293" s="12">
        <f t="shared" si="208"/>
        <v>0</v>
      </c>
      <c r="AX293" s="12">
        <f t="shared" si="208"/>
        <v>0</v>
      </c>
      <c r="AY293" s="12">
        <f t="shared" si="208"/>
        <v>0</v>
      </c>
      <c r="AZ293" s="12">
        <f t="shared" si="208"/>
        <v>0</v>
      </c>
      <c r="BA293" s="12">
        <f t="shared" si="208"/>
        <v>0</v>
      </c>
      <c r="BB293" s="12">
        <f t="shared" si="208"/>
        <v>0</v>
      </c>
      <c r="BC293" s="12">
        <f t="shared" si="208"/>
        <v>0</v>
      </c>
      <c r="BD293" s="12">
        <f t="shared" si="208"/>
        <v>0</v>
      </c>
      <c r="BE293" s="12">
        <f t="shared" si="208"/>
        <v>0</v>
      </c>
    </row>
    <row r="294" spans="1:57" hidden="1" outlineLevel="1" x14ac:dyDescent="0.2">
      <c r="E294" s="9" t="str">
        <f t="shared" ref="E294:AJ294" si="209" xml:space="preserve"> E$79</f>
        <v>Shareholder loan drawdown excluding EBL repayment - m</v>
      </c>
      <c r="F294" s="9">
        <f t="shared" si="209"/>
        <v>0</v>
      </c>
      <c r="G294" s="9" t="str">
        <f t="shared" si="209"/>
        <v>$ 000s</v>
      </c>
      <c r="H294" s="9">
        <f t="shared" si="209"/>
        <v>0</v>
      </c>
      <c r="I294" s="9">
        <f t="shared" si="209"/>
        <v>0</v>
      </c>
      <c r="J294" s="9">
        <f t="shared" si="209"/>
        <v>0</v>
      </c>
      <c r="K294" s="9">
        <f t="shared" si="209"/>
        <v>0</v>
      </c>
      <c r="L294" s="9">
        <f t="shared" si="209"/>
        <v>0</v>
      </c>
      <c r="M294" s="9">
        <f t="shared" si="209"/>
        <v>0</v>
      </c>
      <c r="N294" s="9">
        <f t="shared" si="209"/>
        <v>0</v>
      </c>
      <c r="O294" s="9">
        <f t="shared" si="209"/>
        <v>0</v>
      </c>
      <c r="P294" s="9">
        <f t="shared" si="209"/>
        <v>0</v>
      </c>
      <c r="Q294" s="9">
        <f t="shared" si="209"/>
        <v>0</v>
      </c>
      <c r="R294" s="9">
        <f t="shared" si="209"/>
        <v>0</v>
      </c>
      <c r="S294" s="9">
        <f t="shared" si="209"/>
        <v>0</v>
      </c>
      <c r="T294" s="9">
        <f t="shared" si="209"/>
        <v>0</v>
      </c>
      <c r="U294" s="9">
        <f t="shared" si="209"/>
        <v>0</v>
      </c>
      <c r="V294" s="9">
        <f t="shared" si="209"/>
        <v>0</v>
      </c>
      <c r="W294" s="9">
        <f t="shared" si="209"/>
        <v>0</v>
      </c>
      <c r="X294" s="9">
        <f t="shared" si="209"/>
        <v>0</v>
      </c>
      <c r="Y294" s="9">
        <f t="shared" si="209"/>
        <v>0</v>
      </c>
      <c r="Z294" s="9">
        <f t="shared" si="209"/>
        <v>0</v>
      </c>
      <c r="AA294" s="9">
        <f t="shared" si="209"/>
        <v>0</v>
      </c>
      <c r="AB294" s="9">
        <f t="shared" si="209"/>
        <v>0</v>
      </c>
      <c r="AC294" s="9">
        <f t="shared" si="209"/>
        <v>0</v>
      </c>
      <c r="AD294" s="9">
        <f t="shared" si="209"/>
        <v>0</v>
      </c>
      <c r="AE294" s="9">
        <f t="shared" si="209"/>
        <v>0</v>
      </c>
      <c r="AF294" s="9">
        <f t="shared" si="209"/>
        <v>0</v>
      </c>
      <c r="AG294" s="9">
        <f t="shared" si="209"/>
        <v>0</v>
      </c>
      <c r="AH294" s="9">
        <f t="shared" si="209"/>
        <v>0</v>
      </c>
      <c r="AI294" s="9">
        <f t="shared" si="209"/>
        <v>0</v>
      </c>
      <c r="AJ294" s="9">
        <f t="shared" si="209"/>
        <v>0</v>
      </c>
      <c r="AK294" s="9">
        <f t="shared" ref="AK294:BE294" si="210" xml:space="preserve"> AK$79</f>
        <v>0</v>
      </c>
      <c r="AL294" s="9">
        <f t="shared" si="210"/>
        <v>0</v>
      </c>
      <c r="AM294" s="9">
        <f t="shared" si="210"/>
        <v>0</v>
      </c>
      <c r="AN294" s="9">
        <f t="shared" si="210"/>
        <v>0</v>
      </c>
      <c r="AO294" s="9">
        <f t="shared" si="210"/>
        <v>0</v>
      </c>
      <c r="AP294" s="9">
        <f t="shared" si="210"/>
        <v>0</v>
      </c>
      <c r="AQ294" s="9">
        <f t="shared" si="210"/>
        <v>0</v>
      </c>
      <c r="AR294" s="9">
        <f t="shared" si="210"/>
        <v>0</v>
      </c>
      <c r="AS294" s="9">
        <f t="shared" si="210"/>
        <v>0</v>
      </c>
      <c r="AT294" s="9">
        <f t="shared" si="210"/>
        <v>0</v>
      </c>
      <c r="AU294" s="9">
        <f t="shared" si="210"/>
        <v>0</v>
      </c>
      <c r="AV294" s="9">
        <f t="shared" si="210"/>
        <v>0</v>
      </c>
      <c r="AW294" s="9">
        <f t="shared" si="210"/>
        <v>0</v>
      </c>
      <c r="AX294" s="9">
        <f t="shared" si="210"/>
        <v>0</v>
      </c>
      <c r="AY294" s="9">
        <f t="shared" si="210"/>
        <v>0</v>
      </c>
      <c r="AZ294" s="9">
        <f t="shared" si="210"/>
        <v>0</v>
      </c>
      <c r="BA294" s="9">
        <f t="shared" si="210"/>
        <v>0</v>
      </c>
      <c r="BB294" s="9">
        <f t="shared" si="210"/>
        <v>0</v>
      </c>
      <c r="BC294" s="9">
        <f t="shared" si="210"/>
        <v>0</v>
      </c>
      <c r="BD294" s="9">
        <f t="shared" si="210"/>
        <v>0</v>
      </c>
      <c r="BE294" s="9">
        <f t="shared" si="210"/>
        <v>0</v>
      </c>
    </row>
    <row r="295" spans="1:57" hidden="1" outlineLevel="1" x14ac:dyDescent="0.2">
      <c r="E295" s="12" t="str">
        <f t="shared" ref="E295:AJ295" si="211" xml:space="preserve"> E$116</f>
        <v>Equity bridge drawdown - m</v>
      </c>
      <c r="F295" s="12">
        <f t="shared" si="211"/>
        <v>0</v>
      </c>
      <c r="G295" s="12" t="str">
        <f t="shared" si="211"/>
        <v>$ 000s</v>
      </c>
      <c r="H295" s="12">
        <f t="shared" si="211"/>
        <v>86318.253106861201</v>
      </c>
      <c r="I295" s="12">
        <f t="shared" si="211"/>
        <v>0</v>
      </c>
      <c r="J295" s="12">
        <f t="shared" si="211"/>
        <v>0</v>
      </c>
      <c r="K295" s="12">
        <f t="shared" si="211"/>
        <v>0</v>
      </c>
      <c r="L295" s="12">
        <f t="shared" si="211"/>
        <v>0</v>
      </c>
      <c r="M295" s="12">
        <f t="shared" si="211"/>
        <v>14843.424770244494</v>
      </c>
      <c r="N295" s="12">
        <f t="shared" si="211"/>
        <v>11841.327808384644</v>
      </c>
      <c r="O295" s="12">
        <f t="shared" si="211"/>
        <v>11870.259742712651</v>
      </c>
      <c r="P295" s="12">
        <f t="shared" si="211"/>
        <v>11907.687320687248</v>
      </c>
      <c r="Q295" s="12">
        <f t="shared" si="211"/>
        <v>11941.012306690816</v>
      </c>
      <c r="R295" s="12">
        <f t="shared" si="211"/>
        <v>11966.998590891828</v>
      </c>
      <c r="S295" s="12">
        <f t="shared" si="211"/>
        <v>11947.542567249518</v>
      </c>
      <c r="T295" s="12">
        <f t="shared" si="211"/>
        <v>0</v>
      </c>
      <c r="U295" s="12">
        <f t="shared" si="211"/>
        <v>0</v>
      </c>
      <c r="V295" s="12">
        <f t="shared" si="211"/>
        <v>0</v>
      </c>
      <c r="W295" s="12">
        <f t="shared" si="211"/>
        <v>0</v>
      </c>
      <c r="X295" s="12">
        <f t="shared" si="211"/>
        <v>0</v>
      </c>
      <c r="Y295" s="12">
        <f t="shared" si="211"/>
        <v>0</v>
      </c>
      <c r="Z295" s="12">
        <f t="shared" si="211"/>
        <v>0</v>
      </c>
      <c r="AA295" s="12">
        <f t="shared" si="211"/>
        <v>0</v>
      </c>
      <c r="AB295" s="12">
        <f t="shared" si="211"/>
        <v>0</v>
      </c>
      <c r="AC295" s="12">
        <f t="shared" si="211"/>
        <v>0</v>
      </c>
      <c r="AD295" s="12">
        <f t="shared" si="211"/>
        <v>0</v>
      </c>
      <c r="AE295" s="12">
        <f t="shared" si="211"/>
        <v>0</v>
      </c>
      <c r="AF295" s="12">
        <f t="shared" si="211"/>
        <v>0</v>
      </c>
      <c r="AG295" s="12">
        <f t="shared" si="211"/>
        <v>0</v>
      </c>
      <c r="AH295" s="12">
        <f t="shared" si="211"/>
        <v>0</v>
      </c>
      <c r="AI295" s="12">
        <f t="shared" si="211"/>
        <v>0</v>
      </c>
      <c r="AJ295" s="12">
        <f t="shared" si="211"/>
        <v>0</v>
      </c>
      <c r="AK295" s="12">
        <f t="shared" ref="AK295:BE295" si="212" xml:space="preserve"> AK$116</f>
        <v>0</v>
      </c>
      <c r="AL295" s="12">
        <f t="shared" si="212"/>
        <v>0</v>
      </c>
      <c r="AM295" s="12">
        <f t="shared" si="212"/>
        <v>0</v>
      </c>
      <c r="AN295" s="12">
        <f t="shared" si="212"/>
        <v>0</v>
      </c>
      <c r="AO295" s="12">
        <f t="shared" si="212"/>
        <v>0</v>
      </c>
      <c r="AP295" s="12">
        <f t="shared" si="212"/>
        <v>0</v>
      </c>
      <c r="AQ295" s="12">
        <f t="shared" si="212"/>
        <v>0</v>
      </c>
      <c r="AR295" s="12">
        <f t="shared" si="212"/>
        <v>0</v>
      </c>
      <c r="AS295" s="12">
        <f t="shared" si="212"/>
        <v>0</v>
      </c>
      <c r="AT295" s="12">
        <f t="shared" si="212"/>
        <v>0</v>
      </c>
      <c r="AU295" s="12">
        <f t="shared" si="212"/>
        <v>0</v>
      </c>
      <c r="AV295" s="12">
        <f t="shared" si="212"/>
        <v>0</v>
      </c>
      <c r="AW295" s="12">
        <f t="shared" si="212"/>
        <v>0</v>
      </c>
      <c r="AX295" s="12">
        <f t="shared" si="212"/>
        <v>0</v>
      </c>
      <c r="AY295" s="12">
        <f t="shared" si="212"/>
        <v>0</v>
      </c>
      <c r="AZ295" s="12">
        <f t="shared" si="212"/>
        <v>0</v>
      </c>
      <c r="BA295" s="12">
        <f t="shared" si="212"/>
        <v>0</v>
      </c>
      <c r="BB295" s="12">
        <f t="shared" si="212"/>
        <v>0</v>
      </c>
      <c r="BC295" s="12">
        <f t="shared" si="212"/>
        <v>0</v>
      </c>
      <c r="BD295" s="12">
        <f t="shared" si="212"/>
        <v>0</v>
      </c>
      <c r="BE295" s="12">
        <f t="shared" si="212"/>
        <v>0</v>
      </c>
    </row>
    <row r="296" spans="1:57" hidden="1" outlineLevel="1" x14ac:dyDescent="0.2">
      <c r="E296" s="12" t="s">
        <v>919</v>
      </c>
      <c r="G296" s="12" t="str">
        <f xml:space="preserve"> SMU</f>
        <v>$ 000s</v>
      </c>
      <c r="H296" s="12">
        <f xml:space="preserve"> SUM(J296:BE296)</f>
        <v>250389.85596871408</v>
      </c>
      <c r="J296" s="12">
        <f t="shared" ref="J296:BE296" si="213" xml:space="preserve"> J293 - J294 - J295</f>
        <v>0</v>
      </c>
      <c r="K296" s="12">
        <f t="shared" si="213"/>
        <v>0</v>
      </c>
      <c r="L296" s="12">
        <f t="shared" si="213"/>
        <v>0</v>
      </c>
      <c r="M296" s="12">
        <f t="shared" si="213"/>
        <v>0</v>
      </c>
      <c r="N296" s="12">
        <f t="shared" si="213"/>
        <v>0</v>
      </c>
      <c r="O296" s="12">
        <f t="shared" si="213"/>
        <v>0</v>
      </c>
      <c r="P296" s="12">
        <f t="shared" si="213"/>
        <v>0</v>
      </c>
      <c r="Q296" s="12">
        <f t="shared" si="213"/>
        <v>0</v>
      </c>
      <c r="R296" s="12">
        <f t="shared" si="213"/>
        <v>0</v>
      </c>
      <c r="S296" s="12">
        <f t="shared" si="213"/>
        <v>60.378964305980844</v>
      </c>
      <c r="T296" s="12">
        <f t="shared" si="213"/>
        <v>12031.934187437519</v>
      </c>
      <c r="U296" s="12">
        <f t="shared" si="213"/>
        <v>12076.190635536972</v>
      </c>
      <c r="V296" s="12">
        <f t="shared" si="213"/>
        <v>12110.976773522409</v>
      </c>
      <c r="W296" s="12">
        <f t="shared" si="213"/>
        <v>12104.694875399815</v>
      </c>
      <c r="X296" s="12">
        <f t="shared" si="213"/>
        <v>12180.731360946033</v>
      </c>
      <c r="Y296" s="12">
        <f t="shared" si="213"/>
        <v>12199.330047588888</v>
      </c>
      <c r="Z296" s="12">
        <f t="shared" si="213"/>
        <v>12250.959482205111</v>
      </c>
      <c r="AA296" s="12">
        <f t="shared" si="213"/>
        <v>12266.975848549024</v>
      </c>
      <c r="AB296" s="12">
        <f t="shared" si="213"/>
        <v>12321.584756958357</v>
      </c>
      <c r="AC296" s="12">
        <f t="shared" si="213"/>
        <v>12357.077766346292</v>
      </c>
      <c r="AD296" s="12">
        <f t="shared" si="213"/>
        <v>12369.192114605235</v>
      </c>
      <c r="AE296" s="12">
        <f t="shared" si="213"/>
        <v>12428.303160347879</v>
      </c>
      <c r="AF296" s="12">
        <f t="shared" si="213"/>
        <v>12437.798518130739</v>
      </c>
      <c r="AG296" s="12">
        <f t="shared" si="213"/>
        <v>12499.931347612244</v>
      </c>
      <c r="AH296" s="12">
        <f t="shared" si="213"/>
        <v>10545.938094264708</v>
      </c>
      <c r="AI296" s="12">
        <f t="shared" si="213"/>
        <v>10515.623743976959</v>
      </c>
      <c r="AJ296" s="12">
        <f t="shared" si="213"/>
        <v>10606.607093158804</v>
      </c>
      <c r="AK296" s="12">
        <f t="shared" si="213"/>
        <v>10604.408171304991</v>
      </c>
      <c r="AL296" s="12">
        <f t="shared" si="213"/>
        <v>10667.706600951156</v>
      </c>
      <c r="AM296" s="12">
        <f t="shared" si="213"/>
        <v>25753.512425564993</v>
      </c>
      <c r="AN296" s="12">
        <f t="shared" si="213"/>
        <v>0</v>
      </c>
      <c r="AO296" s="12">
        <f t="shared" si="213"/>
        <v>0</v>
      </c>
      <c r="AP296" s="12">
        <f t="shared" si="213"/>
        <v>0</v>
      </c>
      <c r="AQ296" s="12">
        <f t="shared" si="213"/>
        <v>0</v>
      </c>
      <c r="AR296" s="12">
        <f t="shared" si="213"/>
        <v>0</v>
      </c>
      <c r="AS296" s="12">
        <f t="shared" si="213"/>
        <v>0</v>
      </c>
      <c r="AT296" s="12">
        <f t="shared" si="213"/>
        <v>0</v>
      </c>
      <c r="AU296" s="12">
        <f t="shared" si="213"/>
        <v>0</v>
      </c>
      <c r="AV296" s="12">
        <f t="shared" si="213"/>
        <v>0</v>
      </c>
      <c r="AW296" s="12">
        <f t="shared" si="213"/>
        <v>0</v>
      </c>
      <c r="AX296" s="12">
        <f t="shared" si="213"/>
        <v>0</v>
      </c>
      <c r="AY296" s="12">
        <f t="shared" si="213"/>
        <v>0</v>
      </c>
      <c r="AZ296" s="12">
        <f t="shared" si="213"/>
        <v>0</v>
      </c>
      <c r="BA296" s="12">
        <f t="shared" si="213"/>
        <v>0</v>
      </c>
      <c r="BB296" s="12">
        <f t="shared" si="213"/>
        <v>0</v>
      </c>
      <c r="BC296" s="12">
        <f t="shared" si="213"/>
        <v>0</v>
      </c>
      <c r="BD296" s="12">
        <f t="shared" si="213"/>
        <v>0</v>
      </c>
      <c r="BE296" s="12">
        <f t="shared" si="213"/>
        <v>0</v>
      </c>
    </row>
    <row r="297" spans="1:57" hidden="1" outlineLevel="1" x14ac:dyDescent="0.2"/>
    <row r="298" spans="1:57" hidden="1" outlineLevel="1" x14ac:dyDescent="0.2">
      <c r="B298" s="15" t="s">
        <v>920</v>
      </c>
    </row>
    <row r="299" spans="1:57" s="450" customFormat="1" hidden="1" outlineLevel="1" x14ac:dyDescent="0.2">
      <c r="A299" s="451"/>
      <c r="B299" s="451"/>
      <c r="C299" s="452"/>
      <c r="D299" s="316"/>
      <c r="E299" s="450" t="str">
        <f xml:space="preserve"> InpC!E$171</f>
        <v>Senior debt - T1 - % of debt</v>
      </c>
      <c r="F299" s="450">
        <f xml:space="preserve"> InpC!F$171</f>
        <v>0.5</v>
      </c>
      <c r="G299" s="450" t="str">
        <f xml:space="preserve"> InpC!G$171</f>
        <v>%</v>
      </c>
      <c r="I299" s="453"/>
    </row>
    <row r="300" spans="1:57" hidden="1" outlineLevel="1" x14ac:dyDescent="0.2">
      <c r="E300" s="12" t="str">
        <f t="shared" ref="E300:AJ300" si="214" xml:space="preserve"> E$296</f>
        <v>Funding requirement for construction debt</v>
      </c>
      <c r="F300" s="12">
        <f t="shared" si="214"/>
        <v>0</v>
      </c>
      <c r="G300" s="12" t="str">
        <f t="shared" si="214"/>
        <v>$ 000s</v>
      </c>
      <c r="H300" s="12">
        <f t="shared" si="214"/>
        <v>250389.85596871408</v>
      </c>
      <c r="I300" s="12">
        <f t="shared" si="214"/>
        <v>0</v>
      </c>
      <c r="J300" s="12">
        <f t="shared" si="214"/>
        <v>0</v>
      </c>
      <c r="K300" s="12">
        <f t="shared" si="214"/>
        <v>0</v>
      </c>
      <c r="L300" s="12">
        <f t="shared" si="214"/>
        <v>0</v>
      </c>
      <c r="M300" s="12">
        <f t="shared" si="214"/>
        <v>0</v>
      </c>
      <c r="N300" s="12">
        <f t="shared" si="214"/>
        <v>0</v>
      </c>
      <c r="O300" s="12">
        <f t="shared" si="214"/>
        <v>0</v>
      </c>
      <c r="P300" s="12">
        <f t="shared" si="214"/>
        <v>0</v>
      </c>
      <c r="Q300" s="12">
        <f t="shared" si="214"/>
        <v>0</v>
      </c>
      <c r="R300" s="12">
        <f t="shared" si="214"/>
        <v>0</v>
      </c>
      <c r="S300" s="12">
        <f t="shared" si="214"/>
        <v>60.378964305980844</v>
      </c>
      <c r="T300" s="12">
        <f t="shared" si="214"/>
        <v>12031.934187437519</v>
      </c>
      <c r="U300" s="12">
        <f t="shared" si="214"/>
        <v>12076.190635536972</v>
      </c>
      <c r="V300" s="12">
        <f t="shared" si="214"/>
        <v>12110.976773522409</v>
      </c>
      <c r="W300" s="12">
        <f t="shared" si="214"/>
        <v>12104.694875399815</v>
      </c>
      <c r="X300" s="12">
        <f t="shared" si="214"/>
        <v>12180.731360946033</v>
      </c>
      <c r="Y300" s="12">
        <f t="shared" si="214"/>
        <v>12199.330047588888</v>
      </c>
      <c r="Z300" s="12">
        <f t="shared" si="214"/>
        <v>12250.959482205111</v>
      </c>
      <c r="AA300" s="12">
        <f t="shared" si="214"/>
        <v>12266.975848549024</v>
      </c>
      <c r="AB300" s="12">
        <f t="shared" si="214"/>
        <v>12321.584756958357</v>
      </c>
      <c r="AC300" s="12">
        <f t="shared" si="214"/>
        <v>12357.077766346292</v>
      </c>
      <c r="AD300" s="12">
        <f t="shared" si="214"/>
        <v>12369.192114605235</v>
      </c>
      <c r="AE300" s="12">
        <f t="shared" si="214"/>
        <v>12428.303160347879</v>
      </c>
      <c r="AF300" s="12">
        <f t="shared" si="214"/>
        <v>12437.798518130739</v>
      </c>
      <c r="AG300" s="12">
        <f t="shared" si="214"/>
        <v>12499.931347612244</v>
      </c>
      <c r="AH300" s="12">
        <f t="shared" si="214"/>
        <v>10545.938094264708</v>
      </c>
      <c r="AI300" s="12">
        <f t="shared" si="214"/>
        <v>10515.623743976959</v>
      </c>
      <c r="AJ300" s="12">
        <f t="shared" si="214"/>
        <v>10606.607093158804</v>
      </c>
      <c r="AK300" s="12">
        <f t="shared" ref="AK300:BE300" si="215" xml:space="preserve"> AK$296</f>
        <v>10604.408171304991</v>
      </c>
      <c r="AL300" s="12">
        <f t="shared" si="215"/>
        <v>10667.706600951156</v>
      </c>
      <c r="AM300" s="12">
        <f t="shared" si="215"/>
        <v>25753.512425564993</v>
      </c>
      <c r="AN300" s="12">
        <f t="shared" si="215"/>
        <v>0</v>
      </c>
      <c r="AO300" s="12">
        <f t="shared" si="215"/>
        <v>0</v>
      </c>
      <c r="AP300" s="12">
        <f t="shared" si="215"/>
        <v>0</v>
      </c>
      <c r="AQ300" s="12">
        <f t="shared" si="215"/>
        <v>0</v>
      </c>
      <c r="AR300" s="12">
        <f t="shared" si="215"/>
        <v>0</v>
      </c>
      <c r="AS300" s="12">
        <f t="shared" si="215"/>
        <v>0</v>
      </c>
      <c r="AT300" s="12">
        <f t="shared" si="215"/>
        <v>0</v>
      </c>
      <c r="AU300" s="12">
        <f t="shared" si="215"/>
        <v>0</v>
      </c>
      <c r="AV300" s="12">
        <f t="shared" si="215"/>
        <v>0</v>
      </c>
      <c r="AW300" s="12">
        <f t="shared" si="215"/>
        <v>0</v>
      </c>
      <c r="AX300" s="12">
        <f t="shared" si="215"/>
        <v>0</v>
      </c>
      <c r="AY300" s="12">
        <f t="shared" si="215"/>
        <v>0</v>
      </c>
      <c r="AZ300" s="12">
        <f t="shared" si="215"/>
        <v>0</v>
      </c>
      <c r="BA300" s="12">
        <f t="shared" si="215"/>
        <v>0</v>
      </c>
      <c r="BB300" s="12">
        <f t="shared" si="215"/>
        <v>0</v>
      </c>
      <c r="BC300" s="12">
        <f t="shared" si="215"/>
        <v>0</v>
      </c>
      <c r="BD300" s="12">
        <f t="shared" si="215"/>
        <v>0</v>
      </c>
      <c r="BE300" s="12">
        <f t="shared" si="215"/>
        <v>0</v>
      </c>
    </row>
    <row r="301" spans="1:57" hidden="1" outlineLevel="1" x14ac:dyDescent="0.2">
      <c r="E301" s="12" t="s">
        <v>921</v>
      </c>
      <c r="G301" s="12" t="str">
        <f xml:space="preserve"> SMU</f>
        <v>$ 000s</v>
      </c>
      <c r="H301" s="12">
        <f xml:space="preserve"> SUM(J301:BE301)</f>
        <v>125194.92798435704</v>
      </c>
      <c r="J301" s="12">
        <f t="shared" ref="J301:BE301" si="216" xml:space="preserve"> $F299 * J300</f>
        <v>0</v>
      </c>
      <c r="K301" s="12">
        <f t="shared" si="216"/>
        <v>0</v>
      </c>
      <c r="L301" s="12">
        <f t="shared" si="216"/>
        <v>0</v>
      </c>
      <c r="M301" s="12">
        <f t="shared" si="216"/>
        <v>0</v>
      </c>
      <c r="N301" s="12">
        <f t="shared" si="216"/>
        <v>0</v>
      </c>
      <c r="O301" s="12">
        <f t="shared" si="216"/>
        <v>0</v>
      </c>
      <c r="P301" s="12">
        <f t="shared" si="216"/>
        <v>0</v>
      </c>
      <c r="Q301" s="12">
        <f t="shared" si="216"/>
        <v>0</v>
      </c>
      <c r="R301" s="12">
        <f t="shared" si="216"/>
        <v>0</v>
      </c>
      <c r="S301" s="12">
        <f t="shared" si="216"/>
        <v>30.189482152990422</v>
      </c>
      <c r="T301" s="12">
        <f t="shared" si="216"/>
        <v>6015.9670937187593</v>
      </c>
      <c r="U301" s="12">
        <f t="shared" si="216"/>
        <v>6038.095317768486</v>
      </c>
      <c r="V301" s="12">
        <f t="shared" si="216"/>
        <v>6055.4883867612043</v>
      </c>
      <c r="W301" s="12">
        <f t="shared" si="216"/>
        <v>6052.3474376999075</v>
      </c>
      <c r="X301" s="12">
        <f t="shared" si="216"/>
        <v>6090.3656804730163</v>
      </c>
      <c r="Y301" s="12">
        <f t="shared" si="216"/>
        <v>6099.6650237944441</v>
      </c>
      <c r="Z301" s="12">
        <f t="shared" si="216"/>
        <v>6125.4797411025556</v>
      </c>
      <c r="AA301" s="12">
        <f t="shared" si="216"/>
        <v>6133.4879242745119</v>
      </c>
      <c r="AB301" s="12">
        <f t="shared" si="216"/>
        <v>6160.7923784791783</v>
      </c>
      <c r="AC301" s="12">
        <f t="shared" si="216"/>
        <v>6178.5388831731461</v>
      </c>
      <c r="AD301" s="12">
        <f t="shared" si="216"/>
        <v>6184.5960573026177</v>
      </c>
      <c r="AE301" s="12">
        <f t="shared" si="216"/>
        <v>6214.1515801739397</v>
      </c>
      <c r="AF301" s="12">
        <f t="shared" si="216"/>
        <v>6218.8992590653697</v>
      </c>
      <c r="AG301" s="12">
        <f t="shared" si="216"/>
        <v>6249.9656738061221</v>
      </c>
      <c r="AH301" s="12">
        <f t="shared" si="216"/>
        <v>5272.9690471323538</v>
      </c>
      <c r="AI301" s="12">
        <f t="shared" si="216"/>
        <v>5257.8118719884797</v>
      </c>
      <c r="AJ301" s="12">
        <f t="shared" si="216"/>
        <v>5303.3035465794019</v>
      </c>
      <c r="AK301" s="12">
        <f t="shared" si="216"/>
        <v>5302.2040856524955</v>
      </c>
      <c r="AL301" s="12">
        <f t="shared" si="216"/>
        <v>5333.8533004755782</v>
      </c>
      <c r="AM301" s="12">
        <f t="shared" si="216"/>
        <v>12876.756212782497</v>
      </c>
      <c r="AN301" s="12">
        <f t="shared" si="216"/>
        <v>0</v>
      </c>
      <c r="AO301" s="12">
        <f t="shared" si="216"/>
        <v>0</v>
      </c>
      <c r="AP301" s="12">
        <f t="shared" si="216"/>
        <v>0</v>
      </c>
      <c r="AQ301" s="12">
        <f t="shared" si="216"/>
        <v>0</v>
      </c>
      <c r="AR301" s="12">
        <f t="shared" si="216"/>
        <v>0</v>
      </c>
      <c r="AS301" s="12">
        <f t="shared" si="216"/>
        <v>0</v>
      </c>
      <c r="AT301" s="12">
        <f t="shared" si="216"/>
        <v>0</v>
      </c>
      <c r="AU301" s="12">
        <f t="shared" si="216"/>
        <v>0</v>
      </c>
      <c r="AV301" s="12">
        <f t="shared" si="216"/>
        <v>0</v>
      </c>
      <c r="AW301" s="12">
        <f t="shared" si="216"/>
        <v>0</v>
      </c>
      <c r="AX301" s="12">
        <f t="shared" si="216"/>
        <v>0</v>
      </c>
      <c r="AY301" s="12">
        <f t="shared" si="216"/>
        <v>0</v>
      </c>
      <c r="AZ301" s="12">
        <f t="shared" si="216"/>
        <v>0</v>
      </c>
      <c r="BA301" s="12">
        <f t="shared" si="216"/>
        <v>0</v>
      </c>
      <c r="BB301" s="12">
        <f t="shared" si="216"/>
        <v>0</v>
      </c>
      <c r="BC301" s="12">
        <f t="shared" si="216"/>
        <v>0</v>
      </c>
      <c r="BD301" s="12">
        <f t="shared" si="216"/>
        <v>0</v>
      </c>
      <c r="BE301" s="12">
        <f t="shared" si="216"/>
        <v>0</v>
      </c>
    </row>
    <row r="302" spans="1:57" hidden="1" outlineLevel="1" x14ac:dyDescent="0.2"/>
    <row r="303" spans="1:57" s="450" customFormat="1" hidden="1" outlineLevel="1" x14ac:dyDescent="0.2">
      <c r="A303" s="451"/>
      <c r="B303" s="451"/>
      <c r="C303" s="452"/>
      <c r="D303" s="316"/>
      <c r="E303" s="450" t="str">
        <f xml:space="preserve"> InpC!E$171</f>
        <v>Senior debt - T1 - % of debt</v>
      </c>
      <c r="F303" s="450">
        <f xml:space="preserve"> InpC!F$171</f>
        <v>0.5</v>
      </c>
      <c r="G303" s="450" t="str">
        <f xml:space="preserve"> InpC!G$171</f>
        <v>%</v>
      </c>
      <c r="I303" s="453"/>
    </row>
    <row r="304" spans="1:57" hidden="1" outlineLevel="1" x14ac:dyDescent="0.2">
      <c r="E304" s="186" t="str">
        <f xml:space="preserve"> Solve!E$51</f>
        <v>Debt capacity at target DSCR - Paste</v>
      </c>
      <c r="F304" s="186">
        <f xml:space="preserve"> Solve!F$51</f>
        <v>250389.85226030689</v>
      </c>
      <c r="G304" s="186" t="str">
        <f xml:space="preserve"> Solve!G$51</f>
        <v>$ 000s</v>
      </c>
    </row>
    <row r="305" spans="1:57" hidden="1" outlineLevel="1" x14ac:dyDescent="0.2">
      <c r="E305" s="12" t="str">
        <f t="shared" ref="E305:AJ305" si="217" xml:space="preserve"> E$314</f>
        <v>Construction debt - T1 balance BEG</v>
      </c>
      <c r="F305" s="12">
        <f t="shared" si="217"/>
        <v>0</v>
      </c>
      <c r="G305" s="12" t="str">
        <f t="shared" si="217"/>
        <v>$ 000s</v>
      </c>
      <c r="H305" s="12">
        <f t="shared" si="217"/>
        <v>0</v>
      </c>
      <c r="I305" s="12">
        <f t="shared" si="217"/>
        <v>0</v>
      </c>
      <c r="J305" s="12">
        <f t="shared" si="217"/>
        <v>0</v>
      </c>
      <c r="K305" s="12">
        <f t="shared" si="217"/>
        <v>0</v>
      </c>
      <c r="L305" s="12">
        <f t="shared" si="217"/>
        <v>0</v>
      </c>
      <c r="M305" s="12">
        <f t="shared" si="217"/>
        <v>0</v>
      </c>
      <c r="N305" s="12">
        <f t="shared" si="217"/>
        <v>0</v>
      </c>
      <c r="O305" s="12">
        <f t="shared" si="217"/>
        <v>0</v>
      </c>
      <c r="P305" s="12">
        <f t="shared" si="217"/>
        <v>0</v>
      </c>
      <c r="Q305" s="12">
        <f t="shared" si="217"/>
        <v>0</v>
      </c>
      <c r="R305" s="12">
        <f t="shared" si="217"/>
        <v>0</v>
      </c>
      <c r="S305" s="12">
        <f t="shared" si="217"/>
        <v>0</v>
      </c>
      <c r="T305" s="12">
        <f t="shared" si="217"/>
        <v>30.189482152990422</v>
      </c>
      <c r="U305" s="12">
        <f t="shared" si="217"/>
        <v>6046.1565758717497</v>
      </c>
      <c r="V305" s="12">
        <f t="shared" si="217"/>
        <v>12084.251893640236</v>
      </c>
      <c r="W305" s="12">
        <f t="shared" si="217"/>
        <v>18139.740280401442</v>
      </c>
      <c r="X305" s="12">
        <f t="shared" si="217"/>
        <v>24192.087718101349</v>
      </c>
      <c r="Y305" s="12">
        <f t="shared" si="217"/>
        <v>30282.453398574366</v>
      </c>
      <c r="Z305" s="12">
        <f t="shared" si="217"/>
        <v>36382.118422368811</v>
      </c>
      <c r="AA305" s="12">
        <f t="shared" si="217"/>
        <v>42507.598163471368</v>
      </c>
      <c r="AB305" s="12">
        <f t="shared" si="217"/>
        <v>48641.086087745876</v>
      </c>
      <c r="AC305" s="12">
        <f t="shared" si="217"/>
        <v>54801.878466225055</v>
      </c>
      <c r="AD305" s="12">
        <f t="shared" si="217"/>
        <v>60980.417349398202</v>
      </c>
      <c r="AE305" s="12">
        <f t="shared" si="217"/>
        <v>67165.013406700818</v>
      </c>
      <c r="AF305" s="12">
        <f t="shared" si="217"/>
        <v>73379.164986874763</v>
      </c>
      <c r="AG305" s="12">
        <f t="shared" si="217"/>
        <v>79598.064245940128</v>
      </c>
      <c r="AH305" s="12">
        <f t="shared" si="217"/>
        <v>85848.029919746245</v>
      </c>
      <c r="AI305" s="12">
        <f t="shared" si="217"/>
        <v>91120.9989668786</v>
      </c>
      <c r="AJ305" s="12">
        <f t="shared" si="217"/>
        <v>96378.810838867081</v>
      </c>
      <c r="AK305" s="12">
        <f t="shared" ref="AK305:BE305" si="218" xml:space="preserve"> AK$314</f>
        <v>101682.11438544648</v>
      </c>
      <c r="AL305" s="12">
        <f t="shared" si="218"/>
        <v>106984.31847109897</v>
      </c>
      <c r="AM305" s="12">
        <f t="shared" si="218"/>
        <v>112318.17177157455</v>
      </c>
      <c r="AN305" s="12">
        <f t="shared" si="218"/>
        <v>125194.92613015344</v>
      </c>
      <c r="AO305" s="12">
        <f t="shared" si="218"/>
        <v>125194.92613015344</v>
      </c>
      <c r="AP305" s="12">
        <f t="shared" si="218"/>
        <v>125194.92613015344</v>
      </c>
      <c r="AQ305" s="12">
        <f t="shared" si="218"/>
        <v>125194.92613015344</v>
      </c>
      <c r="AR305" s="12">
        <f t="shared" si="218"/>
        <v>125194.92613015344</v>
      </c>
      <c r="AS305" s="12">
        <f t="shared" si="218"/>
        <v>125194.92613015344</v>
      </c>
      <c r="AT305" s="12">
        <f t="shared" si="218"/>
        <v>125194.92613015344</v>
      </c>
      <c r="AU305" s="12">
        <f t="shared" si="218"/>
        <v>125194.92613015344</v>
      </c>
      <c r="AV305" s="12">
        <f t="shared" si="218"/>
        <v>125194.92613015344</v>
      </c>
      <c r="AW305" s="12">
        <f t="shared" si="218"/>
        <v>125194.92613015344</v>
      </c>
      <c r="AX305" s="12">
        <f t="shared" si="218"/>
        <v>125194.92613015344</v>
      </c>
      <c r="AY305" s="12">
        <f t="shared" si="218"/>
        <v>125194.92613015344</v>
      </c>
      <c r="AZ305" s="12">
        <f t="shared" si="218"/>
        <v>125194.92613015344</v>
      </c>
      <c r="BA305" s="12">
        <f t="shared" si="218"/>
        <v>125194.92613015344</v>
      </c>
      <c r="BB305" s="12">
        <f t="shared" si="218"/>
        <v>125194.92613015344</v>
      </c>
      <c r="BC305" s="12">
        <f t="shared" si="218"/>
        <v>125194.92613015344</v>
      </c>
      <c r="BD305" s="12">
        <f t="shared" si="218"/>
        <v>125194.92613015344</v>
      </c>
      <c r="BE305" s="12">
        <f t="shared" si="218"/>
        <v>125194.92613015344</v>
      </c>
    </row>
    <row r="306" spans="1:57" hidden="1" outlineLevel="1" x14ac:dyDescent="0.2">
      <c r="E306" s="12" t="s">
        <v>924</v>
      </c>
      <c r="G306" s="12" t="str">
        <f xml:space="preserve"> SMU</f>
        <v>$ 000s</v>
      </c>
      <c r="J306" s="12">
        <f t="shared" ref="J306:BE306" si="219" xml:space="preserve"> $F303 * $F304 - J305</f>
        <v>125194.92613015344</v>
      </c>
      <c r="K306" s="12">
        <f t="shared" si="219"/>
        <v>125194.92613015344</v>
      </c>
      <c r="L306" s="12">
        <f t="shared" si="219"/>
        <v>125194.92613015344</v>
      </c>
      <c r="M306" s="12">
        <f t="shared" si="219"/>
        <v>125194.92613015344</v>
      </c>
      <c r="N306" s="12">
        <f t="shared" si="219"/>
        <v>125194.92613015344</v>
      </c>
      <c r="O306" s="12">
        <f t="shared" si="219"/>
        <v>125194.92613015344</v>
      </c>
      <c r="P306" s="12">
        <f t="shared" si="219"/>
        <v>125194.92613015344</v>
      </c>
      <c r="Q306" s="12">
        <f t="shared" si="219"/>
        <v>125194.92613015344</v>
      </c>
      <c r="R306" s="12">
        <f t="shared" si="219"/>
        <v>125194.92613015344</v>
      </c>
      <c r="S306" s="12">
        <f t="shared" si="219"/>
        <v>125194.92613015344</v>
      </c>
      <c r="T306" s="12">
        <f t="shared" si="219"/>
        <v>125164.73664800046</v>
      </c>
      <c r="U306" s="12">
        <f t="shared" si="219"/>
        <v>119148.76955428169</v>
      </c>
      <c r="V306" s="12">
        <f t="shared" si="219"/>
        <v>113110.67423651321</v>
      </c>
      <c r="W306" s="12">
        <f t="shared" si="219"/>
        <v>107055.185849752</v>
      </c>
      <c r="X306" s="12">
        <f t="shared" si="219"/>
        <v>101002.83841205209</v>
      </c>
      <c r="Y306" s="12">
        <f t="shared" si="219"/>
        <v>94912.472731579081</v>
      </c>
      <c r="Z306" s="12">
        <f t="shared" si="219"/>
        <v>88812.807707784639</v>
      </c>
      <c r="AA306" s="12">
        <f t="shared" si="219"/>
        <v>82687.327966682074</v>
      </c>
      <c r="AB306" s="12">
        <f t="shared" si="219"/>
        <v>76553.840042407566</v>
      </c>
      <c r="AC306" s="12">
        <f t="shared" si="219"/>
        <v>70393.047663928388</v>
      </c>
      <c r="AD306" s="12">
        <f t="shared" si="219"/>
        <v>64214.508780755241</v>
      </c>
      <c r="AE306" s="12">
        <f t="shared" si="219"/>
        <v>58029.912723452624</v>
      </c>
      <c r="AF306" s="12">
        <f t="shared" si="219"/>
        <v>51815.76114327868</v>
      </c>
      <c r="AG306" s="12">
        <f t="shared" si="219"/>
        <v>45596.861884213315</v>
      </c>
      <c r="AH306" s="12">
        <f t="shared" si="219"/>
        <v>39346.896210407198</v>
      </c>
      <c r="AI306" s="12">
        <f t="shared" si="219"/>
        <v>34073.927163274842</v>
      </c>
      <c r="AJ306" s="12">
        <f t="shared" si="219"/>
        <v>28816.115291286362</v>
      </c>
      <c r="AK306" s="12">
        <f t="shared" si="219"/>
        <v>23512.811744706967</v>
      </c>
      <c r="AL306" s="12">
        <f t="shared" si="219"/>
        <v>18210.607659054469</v>
      </c>
      <c r="AM306" s="12">
        <f t="shared" si="219"/>
        <v>12876.754358578895</v>
      </c>
      <c r="AN306" s="12">
        <f t="shared" si="219"/>
        <v>0</v>
      </c>
      <c r="AO306" s="12">
        <f t="shared" si="219"/>
        <v>0</v>
      </c>
      <c r="AP306" s="12">
        <f t="shared" si="219"/>
        <v>0</v>
      </c>
      <c r="AQ306" s="12">
        <f t="shared" si="219"/>
        <v>0</v>
      </c>
      <c r="AR306" s="12">
        <f t="shared" si="219"/>
        <v>0</v>
      </c>
      <c r="AS306" s="12">
        <f t="shared" si="219"/>
        <v>0</v>
      </c>
      <c r="AT306" s="12">
        <f t="shared" si="219"/>
        <v>0</v>
      </c>
      <c r="AU306" s="12">
        <f t="shared" si="219"/>
        <v>0</v>
      </c>
      <c r="AV306" s="12">
        <f t="shared" si="219"/>
        <v>0</v>
      </c>
      <c r="AW306" s="12">
        <f t="shared" si="219"/>
        <v>0</v>
      </c>
      <c r="AX306" s="12">
        <f t="shared" si="219"/>
        <v>0</v>
      </c>
      <c r="AY306" s="12">
        <f t="shared" si="219"/>
        <v>0</v>
      </c>
      <c r="AZ306" s="12">
        <f t="shared" si="219"/>
        <v>0</v>
      </c>
      <c r="BA306" s="12">
        <f t="shared" si="219"/>
        <v>0</v>
      </c>
      <c r="BB306" s="12">
        <f t="shared" si="219"/>
        <v>0</v>
      </c>
      <c r="BC306" s="12">
        <f t="shared" si="219"/>
        <v>0</v>
      </c>
      <c r="BD306" s="12">
        <f t="shared" si="219"/>
        <v>0</v>
      </c>
      <c r="BE306" s="12">
        <f t="shared" si="219"/>
        <v>0</v>
      </c>
    </row>
    <row r="307" spans="1:57" hidden="1" outlineLevel="1" x14ac:dyDescent="0.2"/>
    <row r="308" spans="1:57" s="495" customFormat="1" hidden="1" outlineLevel="1" x14ac:dyDescent="0.2">
      <c r="A308" s="15"/>
      <c r="B308" s="15"/>
      <c r="C308" s="21"/>
      <c r="D308" s="48"/>
      <c r="E308" s="9" t="str">
        <f t="shared" ref="E308:AJ308" si="220" xml:space="preserve"> E$301</f>
        <v>Funding requirement for construction debt - T1</v>
      </c>
      <c r="F308" s="9">
        <f t="shared" si="220"/>
        <v>0</v>
      </c>
      <c r="G308" s="9" t="str">
        <f t="shared" si="220"/>
        <v>$ 000s</v>
      </c>
      <c r="H308" s="9">
        <f t="shared" si="220"/>
        <v>125194.92798435704</v>
      </c>
      <c r="I308" s="9">
        <f t="shared" si="220"/>
        <v>0</v>
      </c>
      <c r="J308" s="9">
        <f t="shared" si="220"/>
        <v>0</v>
      </c>
      <c r="K308" s="9">
        <f t="shared" si="220"/>
        <v>0</v>
      </c>
      <c r="L308" s="9">
        <f t="shared" si="220"/>
        <v>0</v>
      </c>
      <c r="M308" s="9">
        <f t="shared" si="220"/>
        <v>0</v>
      </c>
      <c r="N308" s="9">
        <f t="shared" si="220"/>
        <v>0</v>
      </c>
      <c r="O308" s="9">
        <f t="shared" si="220"/>
        <v>0</v>
      </c>
      <c r="P308" s="9">
        <f t="shared" si="220"/>
        <v>0</v>
      </c>
      <c r="Q308" s="9">
        <f t="shared" si="220"/>
        <v>0</v>
      </c>
      <c r="R308" s="9">
        <f t="shared" si="220"/>
        <v>0</v>
      </c>
      <c r="S308" s="9">
        <f t="shared" si="220"/>
        <v>30.189482152990422</v>
      </c>
      <c r="T308" s="9">
        <f t="shared" si="220"/>
        <v>6015.9670937187593</v>
      </c>
      <c r="U308" s="9">
        <f t="shared" si="220"/>
        <v>6038.095317768486</v>
      </c>
      <c r="V308" s="9">
        <f t="shared" si="220"/>
        <v>6055.4883867612043</v>
      </c>
      <c r="W308" s="9">
        <f t="shared" si="220"/>
        <v>6052.3474376999075</v>
      </c>
      <c r="X308" s="9">
        <f t="shared" si="220"/>
        <v>6090.3656804730163</v>
      </c>
      <c r="Y308" s="9">
        <f t="shared" si="220"/>
        <v>6099.6650237944441</v>
      </c>
      <c r="Z308" s="9">
        <f t="shared" si="220"/>
        <v>6125.4797411025556</v>
      </c>
      <c r="AA308" s="9">
        <f t="shared" si="220"/>
        <v>6133.4879242745119</v>
      </c>
      <c r="AB308" s="9">
        <f t="shared" si="220"/>
        <v>6160.7923784791783</v>
      </c>
      <c r="AC308" s="9">
        <f t="shared" si="220"/>
        <v>6178.5388831731461</v>
      </c>
      <c r="AD308" s="9">
        <f t="shared" si="220"/>
        <v>6184.5960573026177</v>
      </c>
      <c r="AE308" s="9">
        <f t="shared" si="220"/>
        <v>6214.1515801739397</v>
      </c>
      <c r="AF308" s="9">
        <f t="shared" si="220"/>
        <v>6218.8992590653697</v>
      </c>
      <c r="AG308" s="9">
        <f t="shared" si="220"/>
        <v>6249.9656738061221</v>
      </c>
      <c r="AH308" s="9">
        <f t="shared" si="220"/>
        <v>5272.9690471323538</v>
      </c>
      <c r="AI308" s="9">
        <f t="shared" si="220"/>
        <v>5257.8118719884797</v>
      </c>
      <c r="AJ308" s="9">
        <f t="shared" si="220"/>
        <v>5303.3035465794019</v>
      </c>
      <c r="AK308" s="9">
        <f t="shared" ref="AK308:BE308" si="221" xml:space="preserve"> AK$301</f>
        <v>5302.2040856524955</v>
      </c>
      <c r="AL308" s="9">
        <f t="shared" si="221"/>
        <v>5333.8533004755782</v>
      </c>
      <c r="AM308" s="9">
        <f t="shared" si="221"/>
        <v>12876.756212782497</v>
      </c>
      <c r="AN308" s="9">
        <f t="shared" si="221"/>
        <v>0</v>
      </c>
      <c r="AO308" s="9">
        <f t="shared" si="221"/>
        <v>0</v>
      </c>
      <c r="AP308" s="9">
        <f t="shared" si="221"/>
        <v>0</v>
      </c>
      <c r="AQ308" s="9">
        <f t="shared" si="221"/>
        <v>0</v>
      </c>
      <c r="AR308" s="9">
        <f t="shared" si="221"/>
        <v>0</v>
      </c>
      <c r="AS308" s="9">
        <f t="shared" si="221"/>
        <v>0</v>
      </c>
      <c r="AT308" s="9">
        <f t="shared" si="221"/>
        <v>0</v>
      </c>
      <c r="AU308" s="9">
        <f t="shared" si="221"/>
        <v>0</v>
      </c>
      <c r="AV308" s="9">
        <f t="shared" si="221"/>
        <v>0</v>
      </c>
      <c r="AW308" s="9">
        <f t="shared" si="221"/>
        <v>0</v>
      </c>
      <c r="AX308" s="9">
        <f t="shared" si="221"/>
        <v>0</v>
      </c>
      <c r="AY308" s="9">
        <f t="shared" si="221"/>
        <v>0</v>
      </c>
      <c r="AZ308" s="9">
        <f t="shared" si="221"/>
        <v>0</v>
      </c>
      <c r="BA308" s="9">
        <f t="shared" si="221"/>
        <v>0</v>
      </c>
      <c r="BB308" s="9">
        <f t="shared" si="221"/>
        <v>0</v>
      </c>
      <c r="BC308" s="9">
        <f t="shared" si="221"/>
        <v>0</v>
      </c>
      <c r="BD308" s="9">
        <f t="shared" si="221"/>
        <v>0</v>
      </c>
      <c r="BE308" s="9">
        <f t="shared" si="221"/>
        <v>0</v>
      </c>
    </row>
    <row r="309" spans="1:57" s="495" customFormat="1" hidden="1" outlineLevel="1" x14ac:dyDescent="0.2">
      <c r="A309" s="15"/>
      <c r="B309" s="15"/>
      <c r="C309" s="21"/>
      <c r="D309" s="48"/>
      <c r="E309" s="9" t="str">
        <f t="shared" ref="E309:AJ309" si="222" xml:space="preserve"> E$306</f>
        <v>Undrawn construction debt - T1</v>
      </c>
      <c r="F309" s="9">
        <f t="shared" si="222"/>
        <v>0</v>
      </c>
      <c r="G309" s="9" t="str">
        <f t="shared" si="222"/>
        <v>$ 000s</v>
      </c>
      <c r="H309" s="9">
        <f t="shared" si="222"/>
        <v>0</v>
      </c>
      <c r="I309" s="9">
        <f t="shared" si="222"/>
        <v>0</v>
      </c>
      <c r="J309" s="9">
        <f t="shared" si="222"/>
        <v>125194.92613015344</v>
      </c>
      <c r="K309" s="9">
        <f t="shared" si="222"/>
        <v>125194.92613015344</v>
      </c>
      <c r="L309" s="9">
        <f t="shared" si="222"/>
        <v>125194.92613015344</v>
      </c>
      <c r="M309" s="9">
        <f t="shared" si="222"/>
        <v>125194.92613015344</v>
      </c>
      <c r="N309" s="9">
        <f t="shared" si="222"/>
        <v>125194.92613015344</v>
      </c>
      <c r="O309" s="9">
        <f t="shared" si="222"/>
        <v>125194.92613015344</v>
      </c>
      <c r="P309" s="9">
        <f t="shared" si="222"/>
        <v>125194.92613015344</v>
      </c>
      <c r="Q309" s="9">
        <f t="shared" si="222"/>
        <v>125194.92613015344</v>
      </c>
      <c r="R309" s="9">
        <f t="shared" si="222"/>
        <v>125194.92613015344</v>
      </c>
      <c r="S309" s="9">
        <f t="shared" si="222"/>
        <v>125194.92613015344</v>
      </c>
      <c r="T309" s="9">
        <f t="shared" si="222"/>
        <v>125164.73664800046</v>
      </c>
      <c r="U309" s="9">
        <f t="shared" si="222"/>
        <v>119148.76955428169</v>
      </c>
      <c r="V309" s="9">
        <f t="shared" si="222"/>
        <v>113110.67423651321</v>
      </c>
      <c r="W309" s="9">
        <f t="shared" si="222"/>
        <v>107055.185849752</v>
      </c>
      <c r="X309" s="9">
        <f t="shared" si="222"/>
        <v>101002.83841205209</v>
      </c>
      <c r="Y309" s="9">
        <f t="shared" si="222"/>
        <v>94912.472731579081</v>
      </c>
      <c r="Z309" s="9">
        <f t="shared" si="222"/>
        <v>88812.807707784639</v>
      </c>
      <c r="AA309" s="9">
        <f t="shared" si="222"/>
        <v>82687.327966682074</v>
      </c>
      <c r="AB309" s="9">
        <f t="shared" si="222"/>
        <v>76553.840042407566</v>
      </c>
      <c r="AC309" s="9">
        <f t="shared" si="222"/>
        <v>70393.047663928388</v>
      </c>
      <c r="AD309" s="9">
        <f t="shared" si="222"/>
        <v>64214.508780755241</v>
      </c>
      <c r="AE309" s="9">
        <f t="shared" si="222"/>
        <v>58029.912723452624</v>
      </c>
      <c r="AF309" s="9">
        <f t="shared" si="222"/>
        <v>51815.76114327868</v>
      </c>
      <c r="AG309" s="9">
        <f t="shared" si="222"/>
        <v>45596.861884213315</v>
      </c>
      <c r="AH309" s="9">
        <f t="shared" si="222"/>
        <v>39346.896210407198</v>
      </c>
      <c r="AI309" s="9">
        <f t="shared" si="222"/>
        <v>34073.927163274842</v>
      </c>
      <c r="AJ309" s="9">
        <f t="shared" si="222"/>
        <v>28816.115291286362</v>
      </c>
      <c r="AK309" s="9">
        <f t="shared" ref="AK309:BE309" si="223" xml:space="preserve"> AK$306</f>
        <v>23512.811744706967</v>
      </c>
      <c r="AL309" s="9">
        <f t="shared" si="223"/>
        <v>18210.607659054469</v>
      </c>
      <c r="AM309" s="9">
        <f t="shared" si="223"/>
        <v>12876.754358578895</v>
      </c>
      <c r="AN309" s="9">
        <f t="shared" si="223"/>
        <v>0</v>
      </c>
      <c r="AO309" s="9">
        <f t="shared" si="223"/>
        <v>0</v>
      </c>
      <c r="AP309" s="9">
        <f t="shared" si="223"/>
        <v>0</v>
      </c>
      <c r="AQ309" s="9">
        <f t="shared" si="223"/>
        <v>0</v>
      </c>
      <c r="AR309" s="9">
        <f t="shared" si="223"/>
        <v>0</v>
      </c>
      <c r="AS309" s="9">
        <f t="shared" si="223"/>
        <v>0</v>
      </c>
      <c r="AT309" s="9">
        <f t="shared" si="223"/>
        <v>0</v>
      </c>
      <c r="AU309" s="9">
        <f t="shared" si="223"/>
        <v>0</v>
      </c>
      <c r="AV309" s="9">
        <f t="shared" si="223"/>
        <v>0</v>
      </c>
      <c r="AW309" s="9">
        <f t="shared" si="223"/>
        <v>0</v>
      </c>
      <c r="AX309" s="9">
        <f t="shared" si="223"/>
        <v>0</v>
      </c>
      <c r="AY309" s="9">
        <f t="shared" si="223"/>
        <v>0</v>
      </c>
      <c r="AZ309" s="9">
        <f t="shared" si="223"/>
        <v>0</v>
      </c>
      <c r="BA309" s="9">
        <f t="shared" si="223"/>
        <v>0</v>
      </c>
      <c r="BB309" s="9">
        <f t="shared" si="223"/>
        <v>0</v>
      </c>
      <c r="BC309" s="9">
        <f t="shared" si="223"/>
        <v>0</v>
      </c>
      <c r="BD309" s="9">
        <f t="shared" si="223"/>
        <v>0</v>
      </c>
      <c r="BE309" s="9">
        <f t="shared" si="223"/>
        <v>0</v>
      </c>
    </row>
    <row r="310" spans="1:57" s="77" customFormat="1" hidden="1" outlineLevel="1" x14ac:dyDescent="0.2">
      <c r="A310" s="85"/>
      <c r="B310" s="85"/>
      <c r="C310" s="86"/>
      <c r="D310" s="87"/>
      <c r="E310" s="68" t="str">
        <f xml:space="preserve"> ConTime!E$82</f>
        <v>Construction period flag</v>
      </c>
      <c r="F310" s="68">
        <f xml:space="preserve"> ConTime!F$82</f>
        <v>0</v>
      </c>
      <c r="G310" s="68" t="str">
        <f xml:space="preserve"> ConTime!G$82</f>
        <v>flag</v>
      </c>
      <c r="H310" s="68">
        <f xml:space="preserve"> ConTime!H$82</f>
        <v>26</v>
      </c>
      <c r="I310" s="68">
        <f xml:space="preserve"> ConTime!I$82</f>
        <v>0</v>
      </c>
      <c r="J310" s="68">
        <f xml:space="preserve"> ConTime!J$82</f>
        <v>0</v>
      </c>
      <c r="K310" s="68">
        <f xml:space="preserve"> ConTime!K$82</f>
        <v>0</v>
      </c>
      <c r="L310" s="68">
        <f xml:space="preserve"> ConTime!L$82</f>
        <v>0</v>
      </c>
      <c r="M310" s="68">
        <f xml:space="preserve"> ConTime!M$82</f>
        <v>0</v>
      </c>
      <c r="N310" s="68">
        <f xml:space="preserve"> ConTime!N$82</f>
        <v>1</v>
      </c>
      <c r="O310" s="68">
        <f xml:space="preserve"> ConTime!O$82</f>
        <v>1</v>
      </c>
      <c r="P310" s="68">
        <f xml:space="preserve"> ConTime!P$82</f>
        <v>1</v>
      </c>
      <c r="Q310" s="68">
        <f xml:space="preserve"> ConTime!Q$82</f>
        <v>1</v>
      </c>
      <c r="R310" s="68">
        <f xml:space="preserve"> ConTime!R$82</f>
        <v>1</v>
      </c>
      <c r="S310" s="68">
        <f xml:space="preserve"> ConTime!S$82</f>
        <v>1</v>
      </c>
      <c r="T310" s="68">
        <f xml:space="preserve"> ConTime!T$82</f>
        <v>1</v>
      </c>
      <c r="U310" s="68">
        <f xml:space="preserve"> ConTime!U$82</f>
        <v>1</v>
      </c>
      <c r="V310" s="68">
        <f xml:space="preserve"> ConTime!V$82</f>
        <v>1</v>
      </c>
      <c r="W310" s="68">
        <f xml:space="preserve"> ConTime!W$82</f>
        <v>1</v>
      </c>
      <c r="X310" s="68">
        <f xml:space="preserve"> ConTime!X$82</f>
        <v>1</v>
      </c>
      <c r="Y310" s="68">
        <f xml:space="preserve"> ConTime!Y$82</f>
        <v>1</v>
      </c>
      <c r="Z310" s="68">
        <f xml:space="preserve"> ConTime!Z$82</f>
        <v>1</v>
      </c>
      <c r="AA310" s="68">
        <f xml:space="preserve"> ConTime!AA$82</f>
        <v>1</v>
      </c>
      <c r="AB310" s="68">
        <f xml:space="preserve"> ConTime!AB$82</f>
        <v>1</v>
      </c>
      <c r="AC310" s="68">
        <f xml:space="preserve"> ConTime!AC$82</f>
        <v>1</v>
      </c>
      <c r="AD310" s="68">
        <f xml:space="preserve"> ConTime!AD$82</f>
        <v>1</v>
      </c>
      <c r="AE310" s="68">
        <f xml:space="preserve"> ConTime!AE$82</f>
        <v>1</v>
      </c>
      <c r="AF310" s="68">
        <f xml:space="preserve"> ConTime!AF$82</f>
        <v>1</v>
      </c>
      <c r="AG310" s="68">
        <f xml:space="preserve"> ConTime!AG$82</f>
        <v>1</v>
      </c>
      <c r="AH310" s="68">
        <f xml:space="preserve"> ConTime!AH$82</f>
        <v>1</v>
      </c>
      <c r="AI310" s="68">
        <f xml:space="preserve"> ConTime!AI$82</f>
        <v>1</v>
      </c>
      <c r="AJ310" s="68">
        <f xml:space="preserve"> ConTime!AJ$82</f>
        <v>1</v>
      </c>
      <c r="AK310" s="68">
        <f xml:space="preserve"> ConTime!AK$82</f>
        <v>1</v>
      </c>
      <c r="AL310" s="68">
        <f xml:space="preserve"> ConTime!AL$82</f>
        <v>1</v>
      </c>
      <c r="AM310" s="68">
        <f xml:space="preserve"> ConTime!AM$82</f>
        <v>1</v>
      </c>
      <c r="AN310" s="68">
        <f xml:space="preserve"> ConTime!AN$82</f>
        <v>0</v>
      </c>
      <c r="AO310" s="68">
        <f xml:space="preserve"> ConTime!AO$82</f>
        <v>0</v>
      </c>
      <c r="AP310" s="68">
        <f xml:space="preserve"> ConTime!AP$82</f>
        <v>0</v>
      </c>
      <c r="AQ310" s="68">
        <f xml:space="preserve"> ConTime!AQ$82</f>
        <v>0</v>
      </c>
      <c r="AR310" s="68">
        <f xml:space="preserve"> ConTime!AR$82</f>
        <v>0</v>
      </c>
      <c r="AS310" s="68">
        <f xml:space="preserve"> ConTime!AS$82</f>
        <v>0</v>
      </c>
      <c r="AT310" s="68">
        <f xml:space="preserve"> ConTime!AT$82</f>
        <v>0</v>
      </c>
      <c r="AU310" s="68">
        <f xml:space="preserve"> ConTime!AU$82</f>
        <v>0</v>
      </c>
      <c r="AV310" s="68">
        <f xml:space="preserve"> ConTime!AV$82</f>
        <v>0</v>
      </c>
      <c r="AW310" s="68">
        <f xml:space="preserve"> ConTime!AW$82</f>
        <v>0</v>
      </c>
      <c r="AX310" s="68">
        <f xml:space="preserve"> ConTime!AX$82</f>
        <v>0</v>
      </c>
      <c r="AY310" s="68">
        <f xml:space="preserve"> ConTime!AY$82</f>
        <v>0</v>
      </c>
      <c r="AZ310" s="68">
        <f xml:space="preserve"> ConTime!AZ$82</f>
        <v>0</v>
      </c>
      <c r="BA310" s="68">
        <f xml:space="preserve"> ConTime!BA$82</f>
        <v>0</v>
      </c>
      <c r="BB310" s="68">
        <f xml:space="preserve"> ConTime!BB$82</f>
        <v>0</v>
      </c>
      <c r="BC310" s="68">
        <f xml:space="preserve"> ConTime!BC$82</f>
        <v>0</v>
      </c>
      <c r="BD310" s="68">
        <f xml:space="preserve"> ConTime!BD$82</f>
        <v>0</v>
      </c>
      <c r="BE310" s="68">
        <f xml:space="preserve"> ConTime!BE$82</f>
        <v>0</v>
      </c>
    </row>
    <row r="311" spans="1:57" s="192" customFormat="1" hidden="1" outlineLevel="1" x14ac:dyDescent="0.2">
      <c r="A311" s="236"/>
      <c r="B311" s="236"/>
      <c r="C311" s="237"/>
      <c r="D311" s="238"/>
      <c r="E311" s="235" t="s">
        <v>931</v>
      </c>
      <c r="F311" s="235"/>
      <c r="G311" s="235" t="str">
        <f xml:space="preserve"> SMU</f>
        <v>$ 000s</v>
      </c>
      <c r="H311" s="235">
        <f xml:space="preserve"> SUM(J311:BE311)</f>
        <v>125194.92613015344</v>
      </c>
      <c r="I311" s="235"/>
      <c r="J311" s="235">
        <f t="shared" ref="J311:BE311" si="224" xml:space="preserve"> MAX(0, MIN(J309, J308)) * J310</f>
        <v>0</v>
      </c>
      <c r="K311" s="235">
        <f t="shared" si="224"/>
        <v>0</v>
      </c>
      <c r="L311" s="235">
        <f t="shared" si="224"/>
        <v>0</v>
      </c>
      <c r="M311" s="235">
        <f t="shared" si="224"/>
        <v>0</v>
      </c>
      <c r="N311" s="235">
        <f t="shared" si="224"/>
        <v>0</v>
      </c>
      <c r="O311" s="235">
        <f t="shared" si="224"/>
        <v>0</v>
      </c>
      <c r="P311" s="235">
        <f t="shared" si="224"/>
        <v>0</v>
      </c>
      <c r="Q311" s="235">
        <f t="shared" si="224"/>
        <v>0</v>
      </c>
      <c r="R311" s="235">
        <f t="shared" si="224"/>
        <v>0</v>
      </c>
      <c r="S311" s="235">
        <f t="shared" si="224"/>
        <v>30.189482152990422</v>
      </c>
      <c r="T311" s="235">
        <f t="shared" si="224"/>
        <v>6015.9670937187593</v>
      </c>
      <c r="U311" s="235">
        <f t="shared" si="224"/>
        <v>6038.095317768486</v>
      </c>
      <c r="V311" s="235">
        <f t="shared" si="224"/>
        <v>6055.4883867612043</v>
      </c>
      <c r="W311" s="235">
        <f t="shared" si="224"/>
        <v>6052.3474376999075</v>
      </c>
      <c r="X311" s="235">
        <f t="shared" si="224"/>
        <v>6090.3656804730163</v>
      </c>
      <c r="Y311" s="235">
        <f t="shared" si="224"/>
        <v>6099.6650237944441</v>
      </c>
      <c r="Z311" s="235">
        <f t="shared" si="224"/>
        <v>6125.4797411025556</v>
      </c>
      <c r="AA311" s="235">
        <f t="shared" si="224"/>
        <v>6133.4879242745119</v>
      </c>
      <c r="AB311" s="235">
        <f t="shared" si="224"/>
        <v>6160.7923784791783</v>
      </c>
      <c r="AC311" s="235">
        <f t="shared" si="224"/>
        <v>6178.5388831731461</v>
      </c>
      <c r="AD311" s="235">
        <f t="shared" si="224"/>
        <v>6184.5960573026177</v>
      </c>
      <c r="AE311" s="235">
        <f t="shared" si="224"/>
        <v>6214.1515801739397</v>
      </c>
      <c r="AF311" s="235">
        <f t="shared" si="224"/>
        <v>6218.8992590653697</v>
      </c>
      <c r="AG311" s="235">
        <f t="shared" si="224"/>
        <v>6249.9656738061221</v>
      </c>
      <c r="AH311" s="235">
        <f t="shared" si="224"/>
        <v>5272.9690471323538</v>
      </c>
      <c r="AI311" s="235">
        <f t="shared" si="224"/>
        <v>5257.8118719884797</v>
      </c>
      <c r="AJ311" s="235">
        <f t="shared" si="224"/>
        <v>5303.3035465794019</v>
      </c>
      <c r="AK311" s="235">
        <f t="shared" si="224"/>
        <v>5302.2040856524955</v>
      </c>
      <c r="AL311" s="235">
        <f t="shared" si="224"/>
        <v>5333.8533004755782</v>
      </c>
      <c r="AM311" s="235">
        <f t="shared" si="224"/>
        <v>12876.754358578895</v>
      </c>
      <c r="AN311" s="235">
        <f t="shared" si="224"/>
        <v>0</v>
      </c>
      <c r="AO311" s="235">
        <f t="shared" si="224"/>
        <v>0</v>
      </c>
      <c r="AP311" s="235">
        <f t="shared" si="224"/>
        <v>0</v>
      </c>
      <c r="AQ311" s="235">
        <f t="shared" si="224"/>
        <v>0</v>
      </c>
      <c r="AR311" s="235">
        <f t="shared" si="224"/>
        <v>0</v>
      </c>
      <c r="AS311" s="235">
        <f t="shared" si="224"/>
        <v>0</v>
      </c>
      <c r="AT311" s="235">
        <f t="shared" si="224"/>
        <v>0</v>
      </c>
      <c r="AU311" s="235">
        <f t="shared" si="224"/>
        <v>0</v>
      </c>
      <c r="AV311" s="235">
        <f t="shared" si="224"/>
        <v>0</v>
      </c>
      <c r="AW311" s="235">
        <f t="shared" si="224"/>
        <v>0</v>
      </c>
      <c r="AX311" s="235">
        <f t="shared" si="224"/>
        <v>0</v>
      </c>
      <c r="AY311" s="235">
        <f t="shared" si="224"/>
        <v>0</v>
      </c>
      <c r="AZ311" s="235">
        <f t="shared" si="224"/>
        <v>0</v>
      </c>
      <c r="BA311" s="235">
        <f t="shared" si="224"/>
        <v>0</v>
      </c>
      <c r="BB311" s="235">
        <f t="shared" si="224"/>
        <v>0</v>
      </c>
      <c r="BC311" s="235">
        <f t="shared" si="224"/>
        <v>0</v>
      </c>
      <c r="BD311" s="235">
        <f t="shared" si="224"/>
        <v>0</v>
      </c>
      <c r="BE311" s="235">
        <f t="shared" si="224"/>
        <v>0</v>
      </c>
    </row>
    <row r="312" spans="1:57" s="188" customFormat="1" hidden="1" outlineLevel="1" x14ac:dyDescent="0.2">
      <c r="A312" s="141"/>
      <c r="B312" s="141"/>
      <c r="C312" s="142"/>
      <c r="D312" s="143"/>
      <c r="E312" s="187" t="s">
        <v>932</v>
      </c>
      <c r="F312" s="187">
        <f xml:space="preserve"> SUM(J311:BE311)</f>
        <v>125194.92613015344</v>
      </c>
      <c r="G312" s="187" t="str">
        <f xml:space="preserve"> SMU</f>
        <v>$ 000s</v>
      </c>
      <c r="H312" s="539"/>
      <c r="I312" s="144"/>
      <c r="J312" s="187"/>
      <c r="K312" s="187"/>
      <c r="L312" s="187"/>
      <c r="M312" s="187"/>
      <c r="N312" s="187"/>
      <c r="O312" s="187"/>
      <c r="P312" s="187"/>
      <c r="Q312" s="187"/>
      <c r="R312" s="187"/>
      <c r="S312" s="187"/>
      <c r="T312" s="187"/>
      <c r="U312" s="187"/>
      <c r="V312" s="187"/>
      <c r="W312" s="187"/>
      <c r="X312" s="187"/>
      <c r="Y312" s="187"/>
      <c r="Z312" s="187"/>
      <c r="AA312" s="187"/>
      <c r="AB312" s="187"/>
      <c r="AC312" s="187"/>
      <c r="AD312" s="187"/>
      <c r="AE312" s="187"/>
      <c r="AF312" s="187"/>
      <c r="AG312" s="187"/>
      <c r="AH312" s="187"/>
      <c r="AI312" s="187"/>
      <c r="AJ312" s="187"/>
      <c r="AK312" s="187"/>
      <c r="AL312" s="187"/>
      <c r="AM312" s="187"/>
      <c r="AN312" s="187"/>
      <c r="AO312" s="187"/>
      <c r="AP312" s="187"/>
      <c r="AQ312" s="187"/>
      <c r="AR312" s="187"/>
      <c r="AS312" s="187"/>
      <c r="AT312" s="187"/>
      <c r="AU312" s="187"/>
      <c r="AV312" s="187"/>
      <c r="AW312" s="187"/>
      <c r="AX312" s="187"/>
      <c r="AY312" s="187"/>
      <c r="AZ312" s="187"/>
      <c r="BA312" s="187"/>
      <c r="BB312" s="187"/>
      <c r="BC312" s="187"/>
      <c r="BD312" s="187"/>
      <c r="BE312" s="187"/>
    </row>
    <row r="313" spans="1:57" hidden="1" outlineLevel="1" x14ac:dyDescent="0.2"/>
    <row r="314" spans="1:57" hidden="1" outlineLevel="1" x14ac:dyDescent="0.2">
      <c r="E314" s="219" t="s">
        <v>922</v>
      </c>
      <c r="F314" s="219"/>
      <c r="G314" s="219" t="str">
        <f xml:space="preserve"> SMU</f>
        <v>$ 000s</v>
      </c>
      <c r="H314" s="219"/>
      <c r="I314" s="220"/>
      <c r="J314" s="219">
        <f t="shared" ref="J314" si="225" xml:space="preserve"> I317</f>
        <v>0</v>
      </c>
      <c r="K314" s="219">
        <f t="shared" ref="K314" si="226" xml:space="preserve"> J317</f>
        <v>0</v>
      </c>
      <c r="L314" s="219">
        <f t="shared" ref="L314" si="227" xml:space="preserve"> K317</f>
        <v>0</v>
      </c>
      <c r="M314" s="219">
        <f t="shared" ref="M314" si="228" xml:space="preserve"> L317</f>
        <v>0</v>
      </c>
      <c r="N314" s="219">
        <f t="shared" ref="N314" si="229" xml:space="preserve"> M317</f>
        <v>0</v>
      </c>
      <c r="O314" s="219">
        <f t="shared" ref="O314:BE314" si="230" xml:space="preserve"> N317</f>
        <v>0</v>
      </c>
      <c r="P314" s="219">
        <f t="shared" si="230"/>
        <v>0</v>
      </c>
      <c r="Q314" s="219">
        <f t="shared" si="230"/>
        <v>0</v>
      </c>
      <c r="R314" s="219">
        <f t="shared" si="230"/>
        <v>0</v>
      </c>
      <c r="S314" s="219">
        <f t="shared" si="230"/>
        <v>0</v>
      </c>
      <c r="T314" s="219">
        <f t="shared" si="230"/>
        <v>30.189482152990422</v>
      </c>
      <c r="U314" s="219">
        <f t="shared" si="230"/>
        <v>6046.1565758717497</v>
      </c>
      <c r="V314" s="219">
        <f t="shared" si="230"/>
        <v>12084.251893640236</v>
      </c>
      <c r="W314" s="219">
        <f t="shared" si="230"/>
        <v>18139.740280401442</v>
      </c>
      <c r="X314" s="219">
        <f t="shared" si="230"/>
        <v>24192.087718101349</v>
      </c>
      <c r="Y314" s="219">
        <f t="shared" si="230"/>
        <v>30282.453398574366</v>
      </c>
      <c r="Z314" s="219">
        <f t="shared" si="230"/>
        <v>36382.118422368811</v>
      </c>
      <c r="AA314" s="219">
        <f t="shared" si="230"/>
        <v>42507.598163471368</v>
      </c>
      <c r="AB314" s="219">
        <f t="shared" si="230"/>
        <v>48641.086087745876</v>
      </c>
      <c r="AC314" s="219">
        <f t="shared" si="230"/>
        <v>54801.878466225055</v>
      </c>
      <c r="AD314" s="219">
        <f t="shared" si="230"/>
        <v>60980.417349398202</v>
      </c>
      <c r="AE314" s="219">
        <f t="shared" si="230"/>
        <v>67165.013406700818</v>
      </c>
      <c r="AF314" s="219">
        <f t="shared" si="230"/>
        <v>73379.164986874763</v>
      </c>
      <c r="AG314" s="219">
        <f t="shared" si="230"/>
        <v>79598.064245940128</v>
      </c>
      <c r="AH314" s="219">
        <f t="shared" si="230"/>
        <v>85848.029919746245</v>
      </c>
      <c r="AI314" s="219">
        <f t="shared" si="230"/>
        <v>91120.9989668786</v>
      </c>
      <c r="AJ314" s="219">
        <f t="shared" si="230"/>
        <v>96378.810838867081</v>
      </c>
      <c r="AK314" s="219">
        <f t="shared" si="230"/>
        <v>101682.11438544648</v>
      </c>
      <c r="AL314" s="219">
        <f t="shared" si="230"/>
        <v>106984.31847109897</v>
      </c>
      <c r="AM314" s="219">
        <f t="shared" si="230"/>
        <v>112318.17177157455</v>
      </c>
      <c r="AN314" s="219">
        <f t="shared" si="230"/>
        <v>125194.92613015344</v>
      </c>
      <c r="AO314" s="219">
        <f t="shared" si="230"/>
        <v>125194.92613015344</v>
      </c>
      <c r="AP314" s="219">
        <f t="shared" si="230"/>
        <v>125194.92613015344</v>
      </c>
      <c r="AQ314" s="219">
        <f t="shared" si="230"/>
        <v>125194.92613015344</v>
      </c>
      <c r="AR314" s="219">
        <f t="shared" si="230"/>
        <v>125194.92613015344</v>
      </c>
      <c r="AS314" s="219">
        <f t="shared" si="230"/>
        <v>125194.92613015344</v>
      </c>
      <c r="AT314" s="219">
        <f t="shared" si="230"/>
        <v>125194.92613015344</v>
      </c>
      <c r="AU314" s="219">
        <f t="shared" si="230"/>
        <v>125194.92613015344</v>
      </c>
      <c r="AV314" s="219">
        <f t="shared" si="230"/>
        <v>125194.92613015344</v>
      </c>
      <c r="AW314" s="219">
        <f t="shared" si="230"/>
        <v>125194.92613015344</v>
      </c>
      <c r="AX314" s="219">
        <f t="shared" si="230"/>
        <v>125194.92613015344</v>
      </c>
      <c r="AY314" s="219">
        <f t="shared" si="230"/>
        <v>125194.92613015344</v>
      </c>
      <c r="AZ314" s="219">
        <f t="shared" si="230"/>
        <v>125194.92613015344</v>
      </c>
      <c r="BA314" s="219">
        <f t="shared" si="230"/>
        <v>125194.92613015344</v>
      </c>
      <c r="BB314" s="219">
        <f t="shared" si="230"/>
        <v>125194.92613015344</v>
      </c>
      <c r="BC314" s="219">
        <f t="shared" si="230"/>
        <v>125194.92613015344</v>
      </c>
      <c r="BD314" s="219">
        <f t="shared" si="230"/>
        <v>125194.92613015344</v>
      </c>
      <c r="BE314" s="219">
        <f t="shared" si="230"/>
        <v>125194.92613015344</v>
      </c>
    </row>
    <row r="315" spans="1:57" s="495" customFormat="1" hidden="1" outlineLevel="1" x14ac:dyDescent="0.2">
      <c r="A315" s="15"/>
      <c r="B315" s="15"/>
      <c r="C315" s="21"/>
      <c r="D315" s="48"/>
      <c r="E315" s="38" t="str">
        <f t="shared" ref="E315:AJ315" si="231" xml:space="preserve"> E$311</f>
        <v>Construction debt drawdown - T1</v>
      </c>
      <c r="F315" s="38">
        <f t="shared" si="231"/>
        <v>0</v>
      </c>
      <c r="G315" s="38" t="str">
        <f t="shared" si="231"/>
        <v>$ 000s</v>
      </c>
      <c r="H315" s="38">
        <f t="shared" si="231"/>
        <v>125194.92613015344</v>
      </c>
      <c r="I315" s="38">
        <f t="shared" si="231"/>
        <v>0</v>
      </c>
      <c r="J315" s="38">
        <f t="shared" si="231"/>
        <v>0</v>
      </c>
      <c r="K315" s="38">
        <f t="shared" si="231"/>
        <v>0</v>
      </c>
      <c r="L315" s="38">
        <f t="shared" si="231"/>
        <v>0</v>
      </c>
      <c r="M315" s="38">
        <f t="shared" si="231"/>
        <v>0</v>
      </c>
      <c r="N315" s="38">
        <f t="shared" si="231"/>
        <v>0</v>
      </c>
      <c r="O315" s="38">
        <f t="shared" si="231"/>
        <v>0</v>
      </c>
      <c r="P315" s="38">
        <f t="shared" si="231"/>
        <v>0</v>
      </c>
      <c r="Q315" s="38">
        <f t="shared" si="231"/>
        <v>0</v>
      </c>
      <c r="R315" s="38">
        <f t="shared" si="231"/>
        <v>0</v>
      </c>
      <c r="S315" s="38">
        <f t="shared" si="231"/>
        <v>30.189482152990422</v>
      </c>
      <c r="T315" s="38">
        <f t="shared" si="231"/>
        <v>6015.9670937187593</v>
      </c>
      <c r="U315" s="38">
        <f t="shared" si="231"/>
        <v>6038.095317768486</v>
      </c>
      <c r="V315" s="38">
        <f t="shared" si="231"/>
        <v>6055.4883867612043</v>
      </c>
      <c r="W315" s="38">
        <f t="shared" si="231"/>
        <v>6052.3474376999075</v>
      </c>
      <c r="X315" s="38">
        <f t="shared" si="231"/>
        <v>6090.3656804730163</v>
      </c>
      <c r="Y315" s="38">
        <f t="shared" si="231"/>
        <v>6099.6650237944441</v>
      </c>
      <c r="Z315" s="38">
        <f t="shared" si="231"/>
        <v>6125.4797411025556</v>
      </c>
      <c r="AA315" s="38">
        <f t="shared" si="231"/>
        <v>6133.4879242745119</v>
      </c>
      <c r="AB315" s="38">
        <f t="shared" si="231"/>
        <v>6160.7923784791783</v>
      </c>
      <c r="AC315" s="38">
        <f t="shared" si="231"/>
        <v>6178.5388831731461</v>
      </c>
      <c r="AD315" s="38">
        <f t="shared" si="231"/>
        <v>6184.5960573026177</v>
      </c>
      <c r="AE315" s="38">
        <f t="shared" si="231"/>
        <v>6214.1515801739397</v>
      </c>
      <c r="AF315" s="38">
        <f t="shared" si="231"/>
        <v>6218.8992590653697</v>
      </c>
      <c r="AG315" s="38">
        <f t="shared" si="231"/>
        <v>6249.9656738061221</v>
      </c>
      <c r="AH315" s="38">
        <f t="shared" si="231"/>
        <v>5272.9690471323538</v>
      </c>
      <c r="AI315" s="38">
        <f t="shared" si="231"/>
        <v>5257.8118719884797</v>
      </c>
      <c r="AJ315" s="38">
        <f t="shared" si="231"/>
        <v>5303.3035465794019</v>
      </c>
      <c r="AK315" s="38">
        <f t="shared" ref="AK315:BE315" si="232" xml:space="preserve"> AK$311</f>
        <v>5302.2040856524955</v>
      </c>
      <c r="AL315" s="38">
        <f t="shared" si="232"/>
        <v>5333.8533004755782</v>
      </c>
      <c r="AM315" s="38">
        <f t="shared" si="232"/>
        <v>12876.754358578895</v>
      </c>
      <c r="AN315" s="38">
        <f t="shared" si="232"/>
        <v>0</v>
      </c>
      <c r="AO315" s="38">
        <f t="shared" si="232"/>
        <v>0</v>
      </c>
      <c r="AP315" s="38">
        <f t="shared" si="232"/>
        <v>0</v>
      </c>
      <c r="AQ315" s="38">
        <f t="shared" si="232"/>
        <v>0</v>
      </c>
      <c r="AR315" s="38">
        <f t="shared" si="232"/>
        <v>0</v>
      </c>
      <c r="AS315" s="38">
        <f t="shared" si="232"/>
        <v>0</v>
      </c>
      <c r="AT315" s="38">
        <f t="shared" si="232"/>
        <v>0</v>
      </c>
      <c r="AU315" s="38">
        <f t="shared" si="232"/>
        <v>0</v>
      </c>
      <c r="AV315" s="38">
        <f t="shared" si="232"/>
        <v>0</v>
      </c>
      <c r="AW315" s="38">
        <f t="shared" si="232"/>
        <v>0</v>
      </c>
      <c r="AX315" s="38">
        <f t="shared" si="232"/>
        <v>0</v>
      </c>
      <c r="AY315" s="38">
        <f t="shared" si="232"/>
        <v>0</v>
      </c>
      <c r="AZ315" s="38">
        <f t="shared" si="232"/>
        <v>0</v>
      </c>
      <c r="BA315" s="38">
        <f t="shared" si="232"/>
        <v>0</v>
      </c>
      <c r="BB315" s="38">
        <f t="shared" si="232"/>
        <v>0</v>
      </c>
      <c r="BC315" s="38">
        <f t="shared" si="232"/>
        <v>0</v>
      </c>
      <c r="BD315" s="38">
        <f t="shared" si="232"/>
        <v>0</v>
      </c>
      <c r="BE315" s="38">
        <f t="shared" si="232"/>
        <v>0</v>
      </c>
    </row>
    <row r="316" spans="1:57" hidden="1" outlineLevel="1" x14ac:dyDescent="0.2">
      <c r="E316" s="215" t="s">
        <v>92</v>
      </c>
      <c r="F316" s="215"/>
      <c r="G316" s="215"/>
      <c r="H316" s="215"/>
      <c r="I316" s="215"/>
      <c r="J316" s="215"/>
      <c r="K316" s="215"/>
      <c r="L316" s="215"/>
      <c r="M316" s="215"/>
      <c r="N316" s="215"/>
      <c r="O316" s="215"/>
      <c r="P316" s="215"/>
      <c r="Q316" s="215"/>
      <c r="R316" s="215"/>
      <c r="S316" s="215"/>
      <c r="T316" s="215"/>
      <c r="U316" s="215"/>
      <c r="V316" s="215"/>
      <c r="W316" s="215"/>
      <c r="X316" s="215"/>
      <c r="Y316" s="215"/>
      <c r="Z316" s="215"/>
      <c r="AA316" s="215"/>
      <c r="AB316" s="215"/>
      <c r="AC316" s="215"/>
      <c r="AD316" s="215"/>
      <c r="AE316" s="215"/>
      <c r="AF316" s="215"/>
      <c r="AG316" s="215"/>
      <c r="AH316" s="215"/>
      <c r="AI316" s="215"/>
      <c r="AJ316" s="215"/>
      <c r="AK316" s="215"/>
      <c r="AL316" s="215"/>
      <c r="AM316" s="215"/>
      <c r="AN316" s="215"/>
      <c r="AO316" s="215"/>
      <c r="AP316" s="215"/>
      <c r="AQ316" s="215"/>
      <c r="AR316" s="215"/>
      <c r="AS316" s="215"/>
      <c r="AT316" s="215"/>
      <c r="AU316" s="215"/>
      <c r="AV316" s="215"/>
      <c r="AW316" s="215"/>
      <c r="AX316" s="215"/>
      <c r="AY316" s="215"/>
      <c r="AZ316" s="215"/>
      <c r="BA316" s="215"/>
      <c r="BB316" s="215"/>
      <c r="BC316" s="215"/>
      <c r="BD316" s="215"/>
      <c r="BE316" s="215"/>
    </row>
    <row r="317" spans="1:57" hidden="1" outlineLevel="1" x14ac:dyDescent="0.2">
      <c r="E317" s="224" t="s">
        <v>923</v>
      </c>
      <c r="F317" s="224"/>
      <c r="G317" s="224" t="str">
        <f xml:space="preserve"> SMU</f>
        <v>$ 000s</v>
      </c>
      <c r="H317" s="224"/>
      <c r="I317" s="225"/>
      <c r="J317" s="224">
        <f t="shared" ref="J317" si="233" xml:space="preserve"> J314 + J315 - J316</f>
        <v>0</v>
      </c>
      <c r="K317" s="224">
        <f t="shared" ref="K317" si="234" xml:space="preserve"> K314 + K315 - K316</f>
        <v>0</v>
      </c>
      <c r="L317" s="224">
        <f t="shared" ref="L317" si="235" xml:space="preserve"> L314 + L315 - L316</f>
        <v>0</v>
      </c>
      <c r="M317" s="224">
        <f t="shared" ref="M317" si="236" xml:space="preserve"> M314 + M315 - M316</f>
        <v>0</v>
      </c>
      <c r="N317" s="224">
        <f t="shared" ref="N317" si="237" xml:space="preserve"> N314 + N315 - N316</f>
        <v>0</v>
      </c>
      <c r="O317" s="224">
        <f t="shared" ref="O317:BE317" si="238" xml:space="preserve"> O314 + O315 - O316</f>
        <v>0</v>
      </c>
      <c r="P317" s="224">
        <f t="shared" si="238"/>
        <v>0</v>
      </c>
      <c r="Q317" s="224">
        <f t="shared" si="238"/>
        <v>0</v>
      </c>
      <c r="R317" s="224">
        <f t="shared" si="238"/>
        <v>0</v>
      </c>
      <c r="S317" s="224">
        <f t="shared" si="238"/>
        <v>30.189482152990422</v>
      </c>
      <c r="T317" s="224">
        <f t="shared" si="238"/>
        <v>6046.1565758717497</v>
      </c>
      <c r="U317" s="224">
        <f t="shared" si="238"/>
        <v>12084.251893640236</v>
      </c>
      <c r="V317" s="224">
        <f t="shared" si="238"/>
        <v>18139.740280401442</v>
      </c>
      <c r="W317" s="224">
        <f t="shared" si="238"/>
        <v>24192.087718101349</v>
      </c>
      <c r="X317" s="224">
        <f t="shared" si="238"/>
        <v>30282.453398574366</v>
      </c>
      <c r="Y317" s="224">
        <f t="shared" si="238"/>
        <v>36382.118422368811</v>
      </c>
      <c r="Z317" s="224">
        <f t="shared" si="238"/>
        <v>42507.598163471368</v>
      </c>
      <c r="AA317" s="224">
        <f t="shared" si="238"/>
        <v>48641.086087745876</v>
      </c>
      <c r="AB317" s="224">
        <f t="shared" si="238"/>
        <v>54801.878466225055</v>
      </c>
      <c r="AC317" s="224">
        <f t="shared" si="238"/>
        <v>60980.417349398202</v>
      </c>
      <c r="AD317" s="224">
        <f t="shared" si="238"/>
        <v>67165.013406700818</v>
      </c>
      <c r="AE317" s="224">
        <f t="shared" si="238"/>
        <v>73379.164986874763</v>
      </c>
      <c r="AF317" s="224">
        <f t="shared" si="238"/>
        <v>79598.064245940128</v>
      </c>
      <c r="AG317" s="224">
        <f t="shared" si="238"/>
        <v>85848.029919746245</v>
      </c>
      <c r="AH317" s="224">
        <f t="shared" si="238"/>
        <v>91120.9989668786</v>
      </c>
      <c r="AI317" s="224">
        <f t="shared" si="238"/>
        <v>96378.810838867081</v>
      </c>
      <c r="AJ317" s="224">
        <f t="shared" si="238"/>
        <v>101682.11438544648</v>
      </c>
      <c r="AK317" s="224">
        <f t="shared" si="238"/>
        <v>106984.31847109897</v>
      </c>
      <c r="AL317" s="224">
        <f t="shared" si="238"/>
        <v>112318.17177157455</v>
      </c>
      <c r="AM317" s="224">
        <f t="shared" si="238"/>
        <v>125194.92613015344</v>
      </c>
      <c r="AN317" s="224">
        <f t="shared" si="238"/>
        <v>125194.92613015344</v>
      </c>
      <c r="AO317" s="224">
        <f t="shared" si="238"/>
        <v>125194.92613015344</v>
      </c>
      <c r="AP317" s="224">
        <f t="shared" si="238"/>
        <v>125194.92613015344</v>
      </c>
      <c r="AQ317" s="224">
        <f t="shared" si="238"/>
        <v>125194.92613015344</v>
      </c>
      <c r="AR317" s="224">
        <f t="shared" si="238"/>
        <v>125194.92613015344</v>
      </c>
      <c r="AS317" s="224">
        <f t="shared" si="238"/>
        <v>125194.92613015344</v>
      </c>
      <c r="AT317" s="224">
        <f t="shared" si="238"/>
        <v>125194.92613015344</v>
      </c>
      <c r="AU317" s="224">
        <f t="shared" si="238"/>
        <v>125194.92613015344</v>
      </c>
      <c r="AV317" s="224">
        <f t="shared" si="238"/>
        <v>125194.92613015344</v>
      </c>
      <c r="AW317" s="224">
        <f t="shared" si="238"/>
        <v>125194.92613015344</v>
      </c>
      <c r="AX317" s="224">
        <f t="shared" si="238"/>
        <v>125194.92613015344</v>
      </c>
      <c r="AY317" s="224">
        <f t="shared" si="238"/>
        <v>125194.92613015344</v>
      </c>
      <c r="AZ317" s="224">
        <f t="shared" si="238"/>
        <v>125194.92613015344</v>
      </c>
      <c r="BA317" s="224">
        <f t="shared" si="238"/>
        <v>125194.92613015344</v>
      </c>
      <c r="BB317" s="224">
        <f t="shared" si="238"/>
        <v>125194.92613015344</v>
      </c>
      <c r="BC317" s="224">
        <f t="shared" si="238"/>
        <v>125194.92613015344</v>
      </c>
      <c r="BD317" s="224">
        <f t="shared" si="238"/>
        <v>125194.92613015344</v>
      </c>
      <c r="BE317" s="224">
        <f t="shared" si="238"/>
        <v>125194.92613015344</v>
      </c>
    </row>
    <row r="318" spans="1:57" hidden="1" outlineLevel="1" x14ac:dyDescent="0.2"/>
    <row r="319" spans="1:57" hidden="1" outlineLevel="1" x14ac:dyDescent="0.2">
      <c r="B319" s="15" t="s">
        <v>925</v>
      </c>
    </row>
    <row r="320" spans="1:57" s="450" customFormat="1" hidden="1" outlineLevel="1" x14ac:dyDescent="0.2">
      <c r="A320" s="451"/>
      <c r="B320" s="451"/>
      <c r="C320" s="452"/>
      <c r="D320" s="316"/>
      <c r="E320" s="450" t="str">
        <f xml:space="preserve"> InpC!E$172</f>
        <v>Senior debt - T2 - % of debt</v>
      </c>
      <c r="F320" s="450">
        <f xml:space="preserve"> InpC!F$172</f>
        <v>0.5</v>
      </c>
      <c r="G320" s="450" t="str">
        <f xml:space="preserve"> InpC!G$172</f>
        <v>%</v>
      </c>
      <c r="I320" s="453"/>
    </row>
    <row r="321" spans="1:57" hidden="1" outlineLevel="1" x14ac:dyDescent="0.2">
      <c r="E321" s="12" t="str">
        <f t="shared" ref="E321:BE321" si="239" xml:space="preserve"> E$296</f>
        <v>Funding requirement for construction debt</v>
      </c>
      <c r="F321" s="12">
        <f t="shared" si="239"/>
        <v>0</v>
      </c>
      <c r="G321" s="12" t="str">
        <f t="shared" si="239"/>
        <v>$ 000s</v>
      </c>
      <c r="H321" s="12">
        <f t="shared" si="239"/>
        <v>250389.85596871408</v>
      </c>
      <c r="I321" s="12">
        <f t="shared" si="239"/>
        <v>0</v>
      </c>
      <c r="J321" s="12">
        <f t="shared" si="239"/>
        <v>0</v>
      </c>
      <c r="K321" s="12">
        <f t="shared" si="239"/>
        <v>0</v>
      </c>
      <c r="L321" s="12">
        <f t="shared" si="239"/>
        <v>0</v>
      </c>
      <c r="M321" s="12">
        <f t="shared" si="239"/>
        <v>0</v>
      </c>
      <c r="N321" s="12">
        <f t="shared" si="239"/>
        <v>0</v>
      </c>
      <c r="O321" s="12">
        <f t="shared" si="239"/>
        <v>0</v>
      </c>
      <c r="P321" s="12">
        <f t="shared" si="239"/>
        <v>0</v>
      </c>
      <c r="Q321" s="12">
        <f t="shared" si="239"/>
        <v>0</v>
      </c>
      <c r="R321" s="12">
        <f t="shared" si="239"/>
        <v>0</v>
      </c>
      <c r="S321" s="12">
        <f t="shared" si="239"/>
        <v>60.378964305980844</v>
      </c>
      <c r="T321" s="12">
        <f t="shared" si="239"/>
        <v>12031.934187437519</v>
      </c>
      <c r="U321" s="12">
        <f t="shared" si="239"/>
        <v>12076.190635536972</v>
      </c>
      <c r="V321" s="12">
        <f t="shared" si="239"/>
        <v>12110.976773522409</v>
      </c>
      <c r="W321" s="12">
        <f t="shared" si="239"/>
        <v>12104.694875399815</v>
      </c>
      <c r="X321" s="12">
        <f t="shared" si="239"/>
        <v>12180.731360946033</v>
      </c>
      <c r="Y321" s="12">
        <f t="shared" si="239"/>
        <v>12199.330047588888</v>
      </c>
      <c r="Z321" s="12">
        <f t="shared" si="239"/>
        <v>12250.959482205111</v>
      </c>
      <c r="AA321" s="12">
        <f t="shared" si="239"/>
        <v>12266.975848549024</v>
      </c>
      <c r="AB321" s="12">
        <f t="shared" si="239"/>
        <v>12321.584756958357</v>
      </c>
      <c r="AC321" s="12">
        <f t="shared" si="239"/>
        <v>12357.077766346292</v>
      </c>
      <c r="AD321" s="12">
        <f t="shared" si="239"/>
        <v>12369.192114605235</v>
      </c>
      <c r="AE321" s="12">
        <f t="shared" si="239"/>
        <v>12428.303160347879</v>
      </c>
      <c r="AF321" s="12">
        <f t="shared" si="239"/>
        <v>12437.798518130739</v>
      </c>
      <c r="AG321" s="12">
        <f t="shared" si="239"/>
        <v>12499.931347612244</v>
      </c>
      <c r="AH321" s="12">
        <f t="shared" si="239"/>
        <v>10545.938094264708</v>
      </c>
      <c r="AI321" s="12">
        <f t="shared" si="239"/>
        <v>10515.623743976959</v>
      </c>
      <c r="AJ321" s="12">
        <f t="shared" si="239"/>
        <v>10606.607093158804</v>
      </c>
      <c r="AK321" s="12">
        <f t="shared" si="239"/>
        <v>10604.408171304991</v>
      </c>
      <c r="AL321" s="12">
        <f t="shared" si="239"/>
        <v>10667.706600951156</v>
      </c>
      <c r="AM321" s="12">
        <f t="shared" si="239"/>
        <v>25753.512425564993</v>
      </c>
      <c r="AN321" s="12">
        <f t="shared" si="239"/>
        <v>0</v>
      </c>
      <c r="AO321" s="12">
        <f t="shared" si="239"/>
        <v>0</v>
      </c>
      <c r="AP321" s="12">
        <f t="shared" si="239"/>
        <v>0</v>
      </c>
      <c r="AQ321" s="12">
        <f t="shared" si="239"/>
        <v>0</v>
      </c>
      <c r="AR321" s="12">
        <f t="shared" si="239"/>
        <v>0</v>
      </c>
      <c r="AS321" s="12">
        <f t="shared" si="239"/>
        <v>0</v>
      </c>
      <c r="AT321" s="12">
        <f t="shared" si="239"/>
        <v>0</v>
      </c>
      <c r="AU321" s="12">
        <f t="shared" si="239"/>
        <v>0</v>
      </c>
      <c r="AV321" s="12">
        <f t="shared" si="239"/>
        <v>0</v>
      </c>
      <c r="AW321" s="12">
        <f t="shared" si="239"/>
        <v>0</v>
      </c>
      <c r="AX321" s="12">
        <f t="shared" si="239"/>
        <v>0</v>
      </c>
      <c r="AY321" s="12">
        <f t="shared" si="239"/>
        <v>0</v>
      </c>
      <c r="AZ321" s="12">
        <f t="shared" si="239"/>
        <v>0</v>
      </c>
      <c r="BA321" s="12">
        <f t="shared" si="239"/>
        <v>0</v>
      </c>
      <c r="BB321" s="12">
        <f t="shared" si="239"/>
        <v>0</v>
      </c>
      <c r="BC321" s="12">
        <f t="shared" si="239"/>
        <v>0</v>
      </c>
      <c r="BD321" s="12">
        <f t="shared" si="239"/>
        <v>0</v>
      </c>
      <c r="BE321" s="12">
        <f t="shared" si="239"/>
        <v>0</v>
      </c>
    </row>
    <row r="322" spans="1:57" hidden="1" outlineLevel="1" x14ac:dyDescent="0.2">
      <c r="E322" s="12" t="s">
        <v>929</v>
      </c>
      <c r="G322" s="12" t="str">
        <f xml:space="preserve"> SMU</f>
        <v>$ 000s</v>
      </c>
      <c r="H322" s="12">
        <f xml:space="preserve"> SUM(J322:BE322)</f>
        <v>125194.92798435704</v>
      </c>
      <c r="J322" s="12">
        <f t="shared" ref="J322" si="240" xml:space="preserve"> $F320 * J321</f>
        <v>0</v>
      </c>
      <c r="K322" s="12">
        <f t="shared" ref="K322" si="241" xml:space="preserve"> $F320 * K321</f>
        <v>0</v>
      </c>
      <c r="L322" s="12">
        <f t="shared" ref="L322" si="242" xml:space="preserve"> $F320 * L321</f>
        <v>0</v>
      </c>
      <c r="M322" s="12">
        <f t="shared" ref="M322" si="243" xml:space="preserve"> $F320 * M321</f>
        <v>0</v>
      </c>
      <c r="N322" s="12">
        <f t="shared" ref="N322" si="244" xml:space="preserve"> $F320 * N321</f>
        <v>0</v>
      </c>
      <c r="O322" s="12">
        <f t="shared" ref="O322" si="245" xml:space="preserve"> $F320 * O321</f>
        <v>0</v>
      </c>
      <c r="P322" s="12">
        <f t="shared" ref="P322" si="246" xml:space="preserve"> $F320 * P321</f>
        <v>0</v>
      </c>
      <c r="Q322" s="12">
        <f t="shared" ref="Q322" si="247" xml:space="preserve"> $F320 * Q321</f>
        <v>0</v>
      </c>
      <c r="R322" s="12">
        <f t="shared" ref="R322" si="248" xml:space="preserve"> $F320 * R321</f>
        <v>0</v>
      </c>
      <c r="S322" s="12">
        <f t="shared" ref="S322" si="249" xml:space="preserve"> $F320 * S321</f>
        <v>30.189482152990422</v>
      </c>
      <c r="T322" s="12">
        <f t="shared" ref="T322" si="250" xml:space="preserve"> $F320 * T321</f>
        <v>6015.9670937187593</v>
      </c>
      <c r="U322" s="12">
        <f t="shared" ref="U322" si="251" xml:space="preserve"> $F320 * U321</f>
        <v>6038.095317768486</v>
      </c>
      <c r="V322" s="12">
        <f t="shared" ref="V322" si="252" xml:space="preserve"> $F320 * V321</f>
        <v>6055.4883867612043</v>
      </c>
      <c r="W322" s="12">
        <f t="shared" ref="W322" si="253" xml:space="preserve"> $F320 * W321</f>
        <v>6052.3474376999075</v>
      </c>
      <c r="X322" s="12">
        <f t="shared" ref="X322" si="254" xml:space="preserve"> $F320 * X321</f>
        <v>6090.3656804730163</v>
      </c>
      <c r="Y322" s="12">
        <f t="shared" ref="Y322" si="255" xml:space="preserve"> $F320 * Y321</f>
        <v>6099.6650237944441</v>
      </c>
      <c r="Z322" s="12">
        <f t="shared" ref="Z322" si="256" xml:space="preserve"> $F320 * Z321</f>
        <v>6125.4797411025556</v>
      </c>
      <c r="AA322" s="12">
        <f t="shared" ref="AA322" si="257" xml:space="preserve"> $F320 * AA321</f>
        <v>6133.4879242745119</v>
      </c>
      <c r="AB322" s="12">
        <f t="shared" ref="AB322" si="258" xml:space="preserve"> $F320 * AB321</f>
        <v>6160.7923784791783</v>
      </c>
      <c r="AC322" s="12">
        <f t="shared" ref="AC322" si="259" xml:space="preserve"> $F320 * AC321</f>
        <v>6178.5388831731461</v>
      </c>
      <c r="AD322" s="12">
        <f t="shared" ref="AD322" si="260" xml:space="preserve"> $F320 * AD321</f>
        <v>6184.5960573026177</v>
      </c>
      <c r="AE322" s="12">
        <f t="shared" ref="AE322" si="261" xml:space="preserve"> $F320 * AE321</f>
        <v>6214.1515801739397</v>
      </c>
      <c r="AF322" s="12">
        <f t="shared" ref="AF322" si="262" xml:space="preserve"> $F320 * AF321</f>
        <v>6218.8992590653697</v>
      </c>
      <c r="AG322" s="12">
        <f t="shared" ref="AG322" si="263" xml:space="preserve"> $F320 * AG321</f>
        <v>6249.9656738061221</v>
      </c>
      <c r="AH322" s="12">
        <f t="shared" ref="AH322" si="264" xml:space="preserve"> $F320 * AH321</f>
        <v>5272.9690471323538</v>
      </c>
      <c r="AI322" s="12">
        <f t="shared" ref="AI322" si="265" xml:space="preserve"> $F320 * AI321</f>
        <v>5257.8118719884797</v>
      </c>
      <c r="AJ322" s="12">
        <f t="shared" ref="AJ322" si="266" xml:space="preserve"> $F320 * AJ321</f>
        <v>5303.3035465794019</v>
      </c>
      <c r="AK322" s="12">
        <f t="shared" ref="AK322" si="267" xml:space="preserve"> $F320 * AK321</f>
        <v>5302.2040856524955</v>
      </c>
      <c r="AL322" s="12">
        <f t="shared" ref="AL322" si="268" xml:space="preserve"> $F320 * AL321</f>
        <v>5333.8533004755782</v>
      </c>
      <c r="AM322" s="12">
        <f t="shared" ref="AM322" si="269" xml:space="preserve"> $F320 * AM321</f>
        <v>12876.756212782497</v>
      </c>
      <c r="AN322" s="12">
        <f t="shared" ref="AN322" si="270" xml:space="preserve"> $F320 * AN321</f>
        <v>0</v>
      </c>
      <c r="AO322" s="12">
        <f t="shared" ref="AO322" si="271" xml:space="preserve"> $F320 * AO321</f>
        <v>0</v>
      </c>
      <c r="AP322" s="12">
        <f t="shared" ref="AP322" si="272" xml:space="preserve"> $F320 * AP321</f>
        <v>0</v>
      </c>
      <c r="AQ322" s="12">
        <f t="shared" ref="AQ322" si="273" xml:space="preserve"> $F320 * AQ321</f>
        <v>0</v>
      </c>
      <c r="AR322" s="12">
        <f t="shared" ref="AR322" si="274" xml:space="preserve"> $F320 * AR321</f>
        <v>0</v>
      </c>
      <c r="AS322" s="12">
        <f t="shared" ref="AS322" si="275" xml:space="preserve"> $F320 * AS321</f>
        <v>0</v>
      </c>
      <c r="AT322" s="12">
        <f t="shared" ref="AT322" si="276" xml:space="preserve"> $F320 * AT321</f>
        <v>0</v>
      </c>
      <c r="AU322" s="12">
        <f t="shared" ref="AU322" si="277" xml:space="preserve"> $F320 * AU321</f>
        <v>0</v>
      </c>
      <c r="AV322" s="12">
        <f t="shared" ref="AV322" si="278" xml:space="preserve"> $F320 * AV321</f>
        <v>0</v>
      </c>
      <c r="AW322" s="12">
        <f t="shared" ref="AW322" si="279" xml:space="preserve"> $F320 * AW321</f>
        <v>0</v>
      </c>
      <c r="AX322" s="12">
        <f t="shared" ref="AX322" si="280" xml:space="preserve"> $F320 * AX321</f>
        <v>0</v>
      </c>
      <c r="AY322" s="12">
        <f t="shared" ref="AY322" si="281" xml:space="preserve"> $F320 * AY321</f>
        <v>0</v>
      </c>
      <c r="AZ322" s="12">
        <f t="shared" ref="AZ322" si="282" xml:space="preserve"> $F320 * AZ321</f>
        <v>0</v>
      </c>
      <c r="BA322" s="12">
        <f t="shared" ref="BA322" si="283" xml:space="preserve"> $F320 * BA321</f>
        <v>0</v>
      </c>
      <c r="BB322" s="12">
        <f t="shared" ref="BB322" si="284" xml:space="preserve"> $F320 * BB321</f>
        <v>0</v>
      </c>
      <c r="BC322" s="12">
        <f t="shared" ref="BC322" si="285" xml:space="preserve"> $F320 * BC321</f>
        <v>0</v>
      </c>
      <c r="BD322" s="12">
        <f t="shared" ref="BD322" si="286" xml:space="preserve"> $F320 * BD321</f>
        <v>0</v>
      </c>
      <c r="BE322" s="12">
        <f t="shared" ref="BE322" si="287" xml:space="preserve"> $F320 * BE321</f>
        <v>0</v>
      </c>
    </row>
    <row r="323" spans="1:57" hidden="1" outlineLevel="1" x14ac:dyDescent="0.2"/>
    <row r="324" spans="1:57" s="450" customFormat="1" hidden="1" outlineLevel="1" x14ac:dyDescent="0.2">
      <c r="A324" s="451"/>
      <c r="B324" s="451"/>
      <c r="C324" s="452"/>
      <c r="D324" s="316"/>
      <c r="E324" s="450" t="str">
        <f xml:space="preserve"> InpC!E$172</f>
        <v>Senior debt - T2 - % of debt</v>
      </c>
      <c r="F324" s="450">
        <f xml:space="preserve"> InpC!F$172</f>
        <v>0.5</v>
      </c>
      <c r="G324" s="450" t="str">
        <f xml:space="preserve"> InpC!G$172</f>
        <v>%</v>
      </c>
      <c r="I324" s="453"/>
    </row>
    <row r="325" spans="1:57" hidden="1" outlineLevel="1" x14ac:dyDescent="0.2">
      <c r="E325" s="186" t="str">
        <f xml:space="preserve"> Solve!E$51</f>
        <v>Debt capacity at target DSCR - Paste</v>
      </c>
      <c r="F325" s="186">
        <f xml:space="preserve"> Solve!F$51</f>
        <v>250389.85226030689</v>
      </c>
      <c r="G325" s="186" t="str">
        <f xml:space="preserve"> Solve!G$51</f>
        <v>$ 000s</v>
      </c>
    </row>
    <row r="326" spans="1:57" hidden="1" outlineLevel="1" x14ac:dyDescent="0.2">
      <c r="E326" s="12" t="str">
        <f t="shared" ref="E326:AJ326" si="288" xml:space="preserve"> E$335</f>
        <v>Construction debt - T2 balance BEG</v>
      </c>
      <c r="F326" s="12">
        <f t="shared" si="288"/>
        <v>0</v>
      </c>
      <c r="G326" s="12" t="str">
        <f t="shared" si="288"/>
        <v>$ 000s</v>
      </c>
      <c r="H326" s="12">
        <f t="shared" si="288"/>
        <v>0</v>
      </c>
      <c r="I326" s="12">
        <f t="shared" si="288"/>
        <v>0</v>
      </c>
      <c r="J326" s="12">
        <f t="shared" si="288"/>
        <v>0</v>
      </c>
      <c r="K326" s="12">
        <f t="shared" si="288"/>
        <v>0</v>
      </c>
      <c r="L326" s="12">
        <f t="shared" si="288"/>
        <v>0</v>
      </c>
      <c r="M326" s="12">
        <f t="shared" si="288"/>
        <v>0</v>
      </c>
      <c r="N326" s="12">
        <f t="shared" si="288"/>
        <v>0</v>
      </c>
      <c r="O326" s="12">
        <f t="shared" si="288"/>
        <v>0</v>
      </c>
      <c r="P326" s="12">
        <f t="shared" si="288"/>
        <v>0</v>
      </c>
      <c r="Q326" s="12">
        <f t="shared" si="288"/>
        <v>0</v>
      </c>
      <c r="R326" s="12">
        <f t="shared" si="288"/>
        <v>0</v>
      </c>
      <c r="S326" s="12">
        <f t="shared" si="288"/>
        <v>0</v>
      </c>
      <c r="T326" s="12">
        <f t="shared" si="288"/>
        <v>30.189482152990422</v>
      </c>
      <c r="U326" s="12">
        <f t="shared" si="288"/>
        <v>6046.1565758717497</v>
      </c>
      <c r="V326" s="12">
        <f t="shared" si="288"/>
        <v>12084.251893640236</v>
      </c>
      <c r="W326" s="12">
        <f t="shared" si="288"/>
        <v>18139.740280401442</v>
      </c>
      <c r="X326" s="12">
        <f t="shared" si="288"/>
        <v>24192.087718101349</v>
      </c>
      <c r="Y326" s="12">
        <f t="shared" si="288"/>
        <v>30282.453398574366</v>
      </c>
      <c r="Z326" s="12">
        <f t="shared" si="288"/>
        <v>36382.118422368811</v>
      </c>
      <c r="AA326" s="12">
        <f t="shared" si="288"/>
        <v>42507.598163471368</v>
      </c>
      <c r="AB326" s="12">
        <f t="shared" si="288"/>
        <v>48641.086087745876</v>
      </c>
      <c r="AC326" s="12">
        <f t="shared" si="288"/>
        <v>54801.878466225055</v>
      </c>
      <c r="AD326" s="12">
        <f t="shared" si="288"/>
        <v>60980.417349398202</v>
      </c>
      <c r="AE326" s="12">
        <f t="shared" si="288"/>
        <v>67165.013406700818</v>
      </c>
      <c r="AF326" s="12">
        <f t="shared" si="288"/>
        <v>73379.164986874763</v>
      </c>
      <c r="AG326" s="12">
        <f t="shared" si="288"/>
        <v>79598.064245940128</v>
      </c>
      <c r="AH326" s="12">
        <f t="shared" si="288"/>
        <v>85848.029919746245</v>
      </c>
      <c r="AI326" s="12">
        <f t="shared" si="288"/>
        <v>91120.9989668786</v>
      </c>
      <c r="AJ326" s="12">
        <f t="shared" si="288"/>
        <v>96378.810838867081</v>
      </c>
      <c r="AK326" s="12">
        <f t="shared" ref="AK326:BE326" si="289" xml:space="preserve"> AK$335</f>
        <v>101682.11438544648</v>
      </c>
      <c r="AL326" s="12">
        <f t="shared" si="289"/>
        <v>106984.31847109897</v>
      </c>
      <c r="AM326" s="12">
        <f t="shared" si="289"/>
        <v>112318.17177157455</v>
      </c>
      <c r="AN326" s="12">
        <f t="shared" si="289"/>
        <v>125194.92613015344</v>
      </c>
      <c r="AO326" s="12">
        <f t="shared" si="289"/>
        <v>125194.92613015344</v>
      </c>
      <c r="AP326" s="12">
        <f t="shared" si="289"/>
        <v>125194.92613015344</v>
      </c>
      <c r="AQ326" s="12">
        <f t="shared" si="289"/>
        <v>125194.92613015344</v>
      </c>
      <c r="AR326" s="12">
        <f t="shared" si="289"/>
        <v>125194.92613015344</v>
      </c>
      <c r="AS326" s="12">
        <f t="shared" si="289"/>
        <v>125194.92613015344</v>
      </c>
      <c r="AT326" s="12">
        <f t="shared" si="289"/>
        <v>125194.92613015344</v>
      </c>
      <c r="AU326" s="12">
        <f t="shared" si="289"/>
        <v>125194.92613015344</v>
      </c>
      <c r="AV326" s="12">
        <f t="shared" si="289"/>
        <v>125194.92613015344</v>
      </c>
      <c r="AW326" s="12">
        <f t="shared" si="289"/>
        <v>125194.92613015344</v>
      </c>
      <c r="AX326" s="12">
        <f t="shared" si="289"/>
        <v>125194.92613015344</v>
      </c>
      <c r="AY326" s="12">
        <f t="shared" si="289"/>
        <v>125194.92613015344</v>
      </c>
      <c r="AZ326" s="12">
        <f t="shared" si="289"/>
        <v>125194.92613015344</v>
      </c>
      <c r="BA326" s="12">
        <f t="shared" si="289"/>
        <v>125194.92613015344</v>
      </c>
      <c r="BB326" s="12">
        <f t="shared" si="289"/>
        <v>125194.92613015344</v>
      </c>
      <c r="BC326" s="12">
        <f t="shared" si="289"/>
        <v>125194.92613015344</v>
      </c>
      <c r="BD326" s="12">
        <f t="shared" si="289"/>
        <v>125194.92613015344</v>
      </c>
      <c r="BE326" s="12">
        <f t="shared" si="289"/>
        <v>125194.92613015344</v>
      </c>
    </row>
    <row r="327" spans="1:57" hidden="1" outlineLevel="1" x14ac:dyDescent="0.2">
      <c r="E327" s="12" t="s">
        <v>928</v>
      </c>
      <c r="G327" s="12" t="str">
        <f xml:space="preserve"> SMU</f>
        <v>$ 000s</v>
      </c>
      <c r="J327" s="12">
        <f t="shared" ref="J327" si="290" xml:space="preserve"> $F324 * $F325 - J326</f>
        <v>125194.92613015344</v>
      </c>
      <c r="K327" s="12">
        <f t="shared" ref="K327" si="291" xml:space="preserve"> $F324 * $F325 - K326</f>
        <v>125194.92613015344</v>
      </c>
      <c r="L327" s="12">
        <f t="shared" ref="L327" si="292" xml:space="preserve"> $F324 * $F325 - L326</f>
        <v>125194.92613015344</v>
      </c>
      <c r="M327" s="12">
        <f t="shared" ref="M327" si="293" xml:space="preserve"> $F324 * $F325 - M326</f>
        <v>125194.92613015344</v>
      </c>
      <c r="N327" s="12">
        <f t="shared" ref="N327" si="294" xml:space="preserve"> $F324 * $F325 - N326</f>
        <v>125194.92613015344</v>
      </c>
      <c r="O327" s="12">
        <f t="shared" ref="O327" si="295" xml:space="preserve"> $F324 * $F325 - O326</f>
        <v>125194.92613015344</v>
      </c>
      <c r="P327" s="12">
        <f t="shared" ref="P327" si="296" xml:space="preserve"> $F324 * $F325 - P326</f>
        <v>125194.92613015344</v>
      </c>
      <c r="Q327" s="12">
        <f t="shared" ref="Q327" si="297" xml:space="preserve"> $F324 * $F325 - Q326</f>
        <v>125194.92613015344</v>
      </c>
      <c r="R327" s="12">
        <f t="shared" ref="R327" si="298" xml:space="preserve"> $F324 * $F325 - R326</f>
        <v>125194.92613015344</v>
      </c>
      <c r="S327" s="12">
        <f t="shared" ref="S327" si="299" xml:space="preserve"> $F324 * $F325 - S326</f>
        <v>125194.92613015344</v>
      </c>
      <c r="T327" s="12">
        <f t="shared" ref="T327" si="300" xml:space="preserve"> $F324 * $F325 - T326</f>
        <v>125164.73664800046</v>
      </c>
      <c r="U327" s="12">
        <f t="shared" ref="U327" si="301" xml:space="preserve"> $F324 * $F325 - U326</f>
        <v>119148.76955428169</v>
      </c>
      <c r="V327" s="12">
        <f t="shared" ref="V327" si="302" xml:space="preserve"> $F324 * $F325 - V326</f>
        <v>113110.67423651321</v>
      </c>
      <c r="W327" s="12">
        <f t="shared" ref="W327" si="303" xml:space="preserve"> $F324 * $F325 - W326</f>
        <v>107055.185849752</v>
      </c>
      <c r="X327" s="12">
        <f t="shared" ref="X327" si="304" xml:space="preserve"> $F324 * $F325 - X326</f>
        <v>101002.83841205209</v>
      </c>
      <c r="Y327" s="12">
        <f t="shared" ref="Y327" si="305" xml:space="preserve"> $F324 * $F325 - Y326</f>
        <v>94912.472731579081</v>
      </c>
      <c r="Z327" s="12">
        <f t="shared" ref="Z327" si="306" xml:space="preserve"> $F324 * $F325 - Z326</f>
        <v>88812.807707784639</v>
      </c>
      <c r="AA327" s="12">
        <f t="shared" ref="AA327" si="307" xml:space="preserve"> $F324 * $F325 - AA326</f>
        <v>82687.327966682074</v>
      </c>
      <c r="AB327" s="12">
        <f t="shared" ref="AB327" si="308" xml:space="preserve"> $F324 * $F325 - AB326</f>
        <v>76553.840042407566</v>
      </c>
      <c r="AC327" s="12">
        <f t="shared" ref="AC327" si="309" xml:space="preserve"> $F324 * $F325 - AC326</f>
        <v>70393.047663928388</v>
      </c>
      <c r="AD327" s="12">
        <f t="shared" ref="AD327" si="310" xml:space="preserve"> $F324 * $F325 - AD326</f>
        <v>64214.508780755241</v>
      </c>
      <c r="AE327" s="12">
        <f t="shared" ref="AE327" si="311" xml:space="preserve"> $F324 * $F325 - AE326</f>
        <v>58029.912723452624</v>
      </c>
      <c r="AF327" s="12">
        <f t="shared" ref="AF327" si="312" xml:space="preserve"> $F324 * $F325 - AF326</f>
        <v>51815.76114327868</v>
      </c>
      <c r="AG327" s="12">
        <f t="shared" ref="AG327" si="313" xml:space="preserve"> $F324 * $F325 - AG326</f>
        <v>45596.861884213315</v>
      </c>
      <c r="AH327" s="12">
        <f t="shared" ref="AH327" si="314" xml:space="preserve"> $F324 * $F325 - AH326</f>
        <v>39346.896210407198</v>
      </c>
      <c r="AI327" s="12">
        <f t="shared" ref="AI327" si="315" xml:space="preserve"> $F324 * $F325 - AI326</f>
        <v>34073.927163274842</v>
      </c>
      <c r="AJ327" s="12">
        <f t="shared" ref="AJ327" si="316" xml:space="preserve"> $F324 * $F325 - AJ326</f>
        <v>28816.115291286362</v>
      </c>
      <c r="AK327" s="12">
        <f t="shared" ref="AK327" si="317" xml:space="preserve"> $F324 * $F325 - AK326</f>
        <v>23512.811744706967</v>
      </c>
      <c r="AL327" s="12">
        <f t="shared" ref="AL327" si="318" xml:space="preserve"> $F324 * $F325 - AL326</f>
        <v>18210.607659054469</v>
      </c>
      <c r="AM327" s="12">
        <f t="shared" ref="AM327" si="319" xml:space="preserve"> $F324 * $F325 - AM326</f>
        <v>12876.754358578895</v>
      </c>
      <c r="AN327" s="12">
        <f t="shared" ref="AN327" si="320" xml:space="preserve"> $F324 * $F325 - AN326</f>
        <v>0</v>
      </c>
      <c r="AO327" s="12">
        <f t="shared" ref="AO327" si="321" xml:space="preserve"> $F324 * $F325 - AO326</f>
        <v>0</v>
      </c>
      <c r="AP327" s="12">
        <f t="shared" ref="AP327" si="322" xml:space="preserve"> $F324 * $F325 - AP326</f>
        <v>0</v>
      </c>
      <c r="AQ327" s="12">
        <f t="shared" ref="AQ327" si="323" xml:space="preserve"> $F324 * $F325 - AQ326</f>
        <v>0</v>
      </c>
      <c r="AR327" s="12">
        <f t="shared" ref="AR327" si="324" xml:space="preserve"> $F324 * $F325 - AR326</f>
        <v>0</v>
      </c>
      <c r="AS327" s="12">
        <f t="shared" ref="AS327" si="325" xml:space="preserve"> $F324 * $F325 - AS326</f>
        <v>0</v>
      </c>
      <c r="AT327" s="12">
        <f t="shared" ref="AT327" si="326" xml:space="preserve"> $F324 * $F325 - AT326</f>
        <v>0</v>
      </c>
      <c r="AU327" s="12">
        <f t="shared" ref="AU327" si="327" xml:space="preserve"> $F324 * $F325 - AU326</f>
        <v>0</v>
      </c>
      <c r="AV327" s="12">
        <f t="shared" ref="AV327" si="328" xml:space="preserve"> $F324 * $F325 - AV326</f>
        <v>0</v>
      </c>
      <c r="AW327" s="12">
        <f t="shared" ref="AW327" si="329" xml:space="preserve"> $F324 * $F325 - AW326</f>
        <v>0</v>
      </c>
      <c r="AX327" s="12">
        <f t="shared" ref="AX327" si="330" xml:space="preserve"> $F324 * $F325 - AX326</f>
        <v>0</v>
      </c>
      <c r="AY327" s="12">
        <f t="shared" ref="AY327" si="331" xml:space="preserve"> $F324 * $F325 - AY326</f>
        <v>0</v>
      </c>
      <c r="AZ327" s="12">
        <f t="shared" ref="AZ327" si="332" xml:space="preserve"> $F324 * $F325 - AZ326</f>
        <v>0</v>
      </c>
      <c r="BA327" s="12">
        <f t="shared" ref="BA327" si="333" xml:space="preserve"> $F324 * $F325 - BA326</f>
        <v>0</v>
      </c>
      <c r="BB327" s="12">
        <f t="shared" ref="BB327" si="334" xml:space="preserve"> $F324 * $F325 - BB326</f>
        <v>0</v>
      </c>
      <c r="BC327" s="12">
        <f t="shared" ref="BC327" si="335" xml:space="preserve"> $F324 * $F325 - BC326</f>
        <v>0</v>
      </c>
      <c r="BD327" s="12">
        <f t="shared" ref="BD327" si="336" xml:space="preserve"> $F324 * $F325 - BD326</f>
        <v>0</v>
      </c>
      <c r="BE327" s="12">
        <f t="shared" ref="BE327" si="337" xml:space="preserve"> $F324 * $F325 - BE326</f>
        <v>0</v>
      </c>
    </row>
    <row r="328" spans="1:57" hidden="1" outlineLevel="1" x14ac:dyDescent="0.2"/>
    <row r="329" spans="1:57" s="495" customFormat="1" hidden="1" outlineLevel="1" x14ac:dyDescent="0.2">
      <c r="A329" s="15"/>
      <c r="B329" s="15"/>
      <c r="C329" s="21"/>
      <c r="D329" s="48"/>
      <c r="E329" s="9" t="str">
        <f t="shared" ref="E329:AJ329" si="338" xml:space="preserve"> E$322</f>
        <v>Funding requirement for construction debt - T2</v>
      </c>
      <c r="F329" s="9">
        <f t="shared" si="338"/>
        <v>0</v>
      </c>
      <c r="G329" s="9" t="str">
        <f t="shared" si="338"/>
        <v>$ 000s</v>
      </c>
      <c r="H329" s="9">
        <f t="shared" si="338"/>
        <v>125194.92798435704</v>
      </c>
      <c r="I329" s="9">
        <f t="shared" si="338"/>
        <v>0</v>
      </c>
      <c r="J329" s="9">
        <f t="shared" si="338"/>
        <v>0</v>
      </c>
      <c r="K329" s="9">
        <f t="shared" si="338"/>
        <v>0</v>
      </c>
      <c r="L329" s="9">
        <f t="shared" si="338"/>
        <v>0</v>
      </c>
      <c r="M329" s="9">
        <f t="shared" si="338"/>
        <v>0</v>
      </c>
      <c r="N329" s="9">
        <f t="shared" si="338"/>
        <v>0</v>
      </c>
      <c r="O329" s="9">
        <f t="shared" si="338"/>
        <v>0</v>
      </c>
      <c r="P329" s="9">
        <f t="shared" si="338"/>
        <v>0</v>
      </c>
      <c r="Q329" s="9">
        <f t="shared" si="338"/>
        <v>0</v>
      </c>
      <c r="R329" s="9">
        <f t="shared" si="338"/>
        <v>0</v>
      </c>
      <c r="S329" s="9">
        <f t="shared" si="338"/>
        <v>30.189482152990422</v>
      </c>
      <c r="T329" s="9">
        <f t="shared" si="338"/>
        <v>6015.9670937187593</v>
      </c>
      <c r="U329" s="9">
        <f t="shared" si="338"/>
        <v>6038.095317768486</v>
      </c>
      <c r="V329" s="9">
        <f t="shared" si="338"/>
        <v>6055.4883867612043</v>
      </c>
      <c r="W329" s="9">
        <f t="shared" si="338"/>
        <v>6052.3474376999075</v>
      </c>
      <c r="X329" s="9">
        <f t="shared" si="338"/>
        <v>6090.3656804730163</v>
      </c>
      <c r="Y329" s="9">
        <f t="shared" si="338"/>
        <v>6099.6650237944441</v>
      </c>
      <c r="Z329" s="9">
        <f t="shared" si="338"/>
        <v>6125.4797411025556</v>
      </c>
      <c r="AA329" s="9">
        <f t="shared" si="338"/>
        <v>6133.4879242745119</v>
      </c>
      <c r="AB329" s="9">
        <f t="shared" si="338"/>
        <v>6160.7923784791783</v>
      </c>
      <c r="AC329" s="9">
        <f t="shared" si="338"/>
        <v>6178.5388831731461</v>
      </c>
      <c r="AD329" s="9">
        <f t="shared" si="338"/>
        <v>6184.5960573026177</v>
      </c>
      <c r="AE329" s="9">
        <f t="shared" si="338"/>
        <v>6214.1515801739397</v>
      </c>
      <c r="AF329" s="9">
        <f t="shared" si="338"/>
        <v>6218.8992590653697</v>
      </c>
      <c r="AG329" s="9">
        <f t="shared" si="338"/>
        <v>6249.9656738061221</v>
      </c>
      <c r="AH329" s="9">
        <f t="shared" si="338"/>
        <v>5272.9690471323538</v>
      </c>
      <c r="AI329" s="9">
        <f t="shared" si="338"/>
        <v>5257.8118719884797</v>
      </c>
      <c r="AJ329" s="9">
        <f t="shared" si="338"/>
        <v>5303.3035465794019</v>
      </c>
      <c r="AK329" s="9">
        <f t="shared" ref="AK329:BE329" si="339" xml:space="preserve"> AK$322</f>
        <v>5302.2040856524955</v>
      </c>
      <c r="AL329" s="9">
        <f t="shared" si="339"/>
        <v>5333.8533004755782</v>
      </c>
      <c r="AM329" s="9">
        <f t="shared" si="339"/>
        <v>12876.756212782497</v>
      </c>
      <c r="AN329" s="9">
        <f t="shared" si="339"/>
        <v>0</v>
      </c>
      <c r="AO329" s="9">
        <f t="shared" si="339"/>
        <v>0</v>
      </c>
      <c r="AP329" s="9">
        <f t="shared" si="339"/>
        <v>0</v>
      </c>
      <c r="AQ329" s="9">
        <f t="shared" si="339"/>
        <v>0</v>
      </c>
      <c r="AR329" s="9">
        <f t="shared" si="339"/>
        <v>0</v>
      </c>
      <c r="AS329" s="9">
        <f t="shared" si="339"/>
        <v>0</v>
      </c>
      <c r="AT329" s="9">
        <f t="shared" si="339"/>
        <v>0</v>
      </c>
      <c r="AU329" s="9">
        <f t="shared" si="339"/>
        <v>0</v>
      </c>
      <c r="AV329" s="9">
        <f t="shared" si="339"/>
        <v>0</v>
      </c>
      <c r="AW329" s="9">
        <f t="shared" si="339"/>
        <v>0</v>
      </c>
      <c r="AX329" s="9">
        <f t="shared" si="339"/>
        <v>0</v>
      </c>
      <c r="AY329" s="9">
        <f t="shared" si="339"/>
        <v>0</v>
      </c>
      <c r="AZ329" s="9">
        <f t="shared" si="339"/>
        <v>0</v>
      </c>
      <c r="BA329" s="9">
        <f t="shared" si="339"/>
        <v>0</v>
      </c>
      <c r="BB329" s="9">
        <f t="shared" si="339"/>
        <v>0</v>
      </c>
      <c r="BC329" s="9">
        <f t="shared" si="339"/>
        <v>0</v>
      </c>
      <c r="BD329" s="9">
        <f t="shared" si="339"/>
        <v>0</v>
      </c>
      <c r="BE329" s="9">
        <f t="shared" si="339"/>
        <v>0</v>
      </c>
    </row>
    <row r="330" spans="1:57" s="495" customFormat="1" hidden="1" outlineLevel="1" x14ac:dyDescent="0.2">
      <c r="A330" s="15"/>
      <c r="B330" s="15"/>
      <c r="C330" s="21"/>
      <c r="D330" s="48"/>
      <c r="E330" s="9" t="str">
        <f t="shared" ref="E330:AJ330" si="340" xml:space="preserve"> E$327</f>
        <v>Undrawn construction debt - T2</v>
      </c>
      <c r="F330" s="9">
        <f t="shared" si="340"/>
        <v>0</v>
      </c>
      <c r="G330" s="9" t="str">
        <f t="shared" si="340"/>
        <v>$ 000s</v>
      </c>
      <c r="H330" s="9">
        <f t="shared" si="340"/>
        <v>0</v>
      </c>
      <c r="I330" s="9">
        <f t="shared" si="340"/>
        <v>0</v>
      </c>
      <c r="J330" s="9">
        <f t="shared" si="340"/>
        <v>125194.92613015344</v>
      </c>
      <c r="K330" s="9">
        <f t="shared" si="340"/>
        <v>125194.92613015344</v>
      </c>
      <c r="L330" s="9">
        <f t="shared" si="340"/>
        <v>125194.92613015344</v>
      </c>
      <c r="M330" s="9">
        <f t="shared" si="340"/>
        <v>125194.92613015344</v>
      </c>
      <c r="N330" s="9">
        <f t="shared" si="340"/>
        <v>125194.92613015344</v>
      </c>
      <c r="O330" s="9">
        <f t="shared" si="340"/>
        <v>125194.92613015344</v>
      </c>
      <c r="P330" s="9">
        <f t="shared" si="340"/>
        <v>125194.92613015344</v>
      </c>
      <c r="Q330" s="9">
        <f t="shared" si="340"/>
        <v>125194.92613015344</v>
      </c>
      <c r="R330" s="9">
        <f t="shared" si="340"/>
        <v>125194.92613015344</v>
      </c>
      <c r="S330" s="9">
        <f t="shared" si="340"/>
        <v>125194.92613015344</v>
      </c>
      <c r="T330" s="9">
        <f t="shared" si="340"/>
        <v>125164.73664800046</v>
      </c>
      <c r="U330" s="9">
        <f t="shared" si="340"/>
        <v>119148.76955428169</v>
      </c>
      <c r="V330" s="9">
        <f t="shared" si="340"/>
        <v>113110.67423651321</v>
      </c>
      <c r="W330" s="9">
        <f t="shared" si="340"/>
        <v>107055.185849752</v>
      </c>
      <c r="X330" s="9">
        <f t="shared" si="340"/>
        <v>101002.83841205209</v>
      </c>
      <c r="Y330" s="9">
        <f t="shared" si="340"/>
        <v>94912.472731579081</v>
      </c>
      <c r="Z330" s="9">
        <f t="shared" si="340"/>
        <v>88812.807707784639</v>
      </c>
      <c r="AA330" s="9">
        <f t="shared" si="340"/>
        <v>82687.327966682074</v>
      </c>
      <c r="AB330" s="9">
        <f t="shared" si="340"/>
        <v>76553.840042407566</v>
      </c>
      <c r="AC330" s="9">
        <f t="shared" si="340"/>
        <v>70393.047663928388</v>
      </c>
      <c r="AD330" s="9">
        <f t="shared" si="340"/>
        <v>64214.508780755241</v>
      </c>
      <c r="AE330" s="9">
        <f t="shared" si="340"/>
        <v>58029.912723452624</v>
      </c>
      <c r="AF330" s="9">
        <f t="shared" si="340"/>
        <v>51815.76114327868</v>
      </c>
      <c r="AG330" s="9">
        <f t="shared" si="340"/>
        <v>45596.861884213315</v>
      </c>
      <c r="AH330" s="9">
        <f t="shared" si="340"/>
        <v>39346.896210407198</v>
      </c>
      <c r="AI330" s="9">
        <f t="shared" si="340"/>
        <v>34073.927163274842</v>
      </c>
      <c r="AJ330" s="9">
        <f t="shared" si="340"/>
        <v>28816.115291286362</v>
      </c>
      <c r="AK330" s="9">
        <f t="shared" ref="AK330:BE330" si="341" xml:space="preserve"> AK$327</f>
        <v>23512.811744706967</v>
      </c>
      <c r="AL330" s="9">
        <f t="shared" si="341"/>
        <v>18210.607659054469</v>
      </c>
      <c r="AM330" s="9">
        <f t="shared" si="341"/>
        <v>12876.754358578895</v>
      </c>
      <c r="AN330" s="9">
        <f t="shared" si="341"/>
        <v>0</v>
      </c>
      <c r="AO330" s="9">
        <f t="shared" si="341"/>
        <v>0</v>
      </c>
      <c r="AP330" s="9">
        <f t="shared" si="341"/>
        <v>0</v>
      </c>
      <c r="AQ330" s="9">
        <f t="shared" si="341"/>
        <v>0</v>
      </c>
      <c r="AR330" s="9">
        <f t="shared" si="341"/>
        <v>0</v>
      </c>
      <c r="AS330" s="9">
        <f t="shared" si="341"/>
        <v>0</v>
      </c>
      <c r="AT330" s="9">
        <f t="shared" si="341"/>
        <v>0</v>
      </c>
      <c r="AU330" s="9">
        <f t="shared" si="341"/>
        <v>0</v>
      </c>
      <c r="AV330" s="9">
        <f t="shared" si="341"/>
        <v>0</v>
      </c>
      <c r="AW330" s="9">
        <f t="shared" si="341"/>
        <v>0</v>
      </c>
      <c r="AX330" s="9">
        <f t="shared" si="341"/>
        <v>0</v>
      </c>
      <c r="AY330" s="9">
        <f t="shared" si="341"/>
        <v>0</v>
      </c>
      <c r="AZ330" s="9">
        <f t="shared" si="341"/>
        <v>0</v>
      </c>
      <c r="BA330" s="9">
        <f t="shared" si="341"/>
        <v>0</v>
      </c>
      <c r="BB330" s="9">
        <f t="shared" si="341"/>
        <v>0</v>
      </c>
      <c r="BC330" s="9">
        <f t="shared" si="341"/>
        <v>0</v>
      </c>
      <c r="BD330" s="9">
        <f t="shared" si="341"/>
        <v>0</v>
      </c>
      <c r="BE330" s="9">
        <f t="shared" si="341"/>
        <v>0</v>
      </c>
    </row>
    <row r="331" spans="1:57" s="77" customFormat="1" hidden="1" outlineLevel="1" x14ac:dyDescent="0.2">
      <c r="A331" s="85"/>
      <c r="B331" s="85"/>
      <c r="C331" s="86"/>
      <c r="D331" s="87"/>
      <c r="E331" s="68" t="str">
        <f xml:space="preserve"> ConTime!E$82</f>
        <v>Construction period flag</v>
      </c>
      <c r="F331" s="68">
        <f xml:space="preserve"> ConTime!F$82</f>
        <v>0</v>
      </c>
      <c r="G331" s="68" t="str">
        <f xml:space="preserve"> ConTime!G$82</f>
        <v>flag</v>
      </c>
      <c r="H331" s="68">
        <f xml:space="preserve"> ConTime!H$82</f>
        <v>26</v>
      </c>
      <c r="I331" s="68">
        <f xml:space="preserve"> ConTime!I$82</f>
        <v>0</v>
      </c>
      <c r="J331" s="68">
        <f xml:space="preserve"> ConTime!J$82</f>
        <v>0</v>
      </c>
      <c r="K331" s="68">
        <f xml:space="preserve"> ConTime!K$82</f>
        <v>0</v>
      </c>
      <c r="L331" s="68">
        <f xml:space="preserve"> ConTime!L$82</f>
        <v>0</v>
      </c>
      <c r="M331" s="68">
        <f xml:space="preserve"> ConTime!M$82</f>
        <v>0</v>
      </c>
      <c r="N331" s="68">
        <f xml:space="preserve"> ConTime!N$82</f>
        <v>1</v>
      </c>
      <c r="O331" s="68">
        <f xml:space="preserve"> ConTime!O$82</f>
        <v>1</v>
      </c>
      <c r="P331" s="68">
        <f xml:space="preserve"> ConTime!P$82</f>
        <v>1</v>
      </c>
      <c r="Q331" s="68">
        <f xml:space="preserve"> ConTime!Q$82</f>
        <v>1</v>
      </c>
      <c r="R331" s="68">
        <f xml:space="preserve"> ConTime!R$82</f>
        <v>1</v>
      </c>
      <c r="S331" s="68">
        <f xml:space="preserve"> ConTime!S$82</f>
        <v>1</v>
      </c>
      <c r="T331" s="68">
        <f xml:space="preserve"> ConTime!T$82</f>
        <v>1</v>
      </c>
      <c r="U331" s="68">
        <f xml:space="preserve"> ConTime!U$82</f>
        <v>1</v>
      </c>
      <c r="V331" s="68">
        <f xml:space="preserve"> ConTime!V$82</f>
        <v>1</v>
      </c>
      <c r="W331" s="68">
        <f xml:space="preserve"> ConTime!W$82</f>
        <v>1</v>
      </c>
      <c r="X331" s="68">
        <f xml:space="preserve"> ConTime!X$82</f>
        <v>1</v>
      </c>
      <c r="Y331" s="68">
        <f xml:space="preserve"> ConTime!Y$82</f>
        <v>1</v>
      </c>
      <c r="Z331" s="68">
        <f xml:space="preserve"> ConTime!Z$82</f>
        <v>1</v>
      </c>
      <c r="AA331" s="68">
        <f xml:space="preserve"> ConTime!AA$82</f>
        <v>1</v>
      </c>
      <c r="AB331" s="68">
        <f xml:space="preserve"> ConTime!AB$82</f>
        <v>1</v>
      </c>
      <c r="AC331" s="68">
        <f xml:space="preserve"> ConTime!AC$82</f>
        <v>1</v>
      </c>
      <c r="AD331" s="68">
        <f xml:space="preserve"> ConTime!AD$82</f>
        <v>1</v>
      </c>
      <c r="AE331" s="68">
        <f xml:space="preserve"> ConTime!AE$82</f>
        <v>1</v>
      </c>
      <c r="AF331" s="68">
        <f xml:space="preserve"> ConTime!AF$82</f>
        <v>1</v>
      </c>
      <c r="AG331" s="68">
        <f xml:space="preserve"> ConTime!AG$82</f>
        <v>1</v>
      </c>
      <c r="AH331" s="68">
        <f xml:space="preserve"> ConTime!AH$82</f>
        <v>1</v>
      </c>
      <c r="AI331" s="68">
        <f xml:space="preserve"> ConTime!AI$82</f>
        <v>1</v>
      </c>
      <c r="AJ331" s="68">
        <f xml:space="preserve"> ConTime!AJ$82</f>
        <v>1</v>
      </c>
      <c r="AK331" s="68">
        <f xml:space="preserve"> ConTime!AK$82</f>
        <v>1</v>
      </c>
      <c r="AL331" s="68">
        <f xml:space="preserve"> ConTime!AL$82</f>
        <v>1</v>
      </c>
      <c r="AM331" s="68">
        <f xml:space="preserve"> ConTime!AM$82</f>
        <v>1</v>
      </c>
      <c r="AN331" s="68">
        <f xml:space="preserve"> ConTime!AN$82</f>
        <v>0</v>
      </c>
      <c r="AO331" s="68">
        <f xml:space="preserve"> ConTime!AO$82</f>
        <v>0</v>
      </c>
      <c r="AP331" s="68">
        <f xml:space="preserve"> ConTime!AP$82</f>
        <v>0</v>
      </c>
      <c r="AQ331" s="68">
        <f xml:space="preserve"> ConTime!AQ$82</f>
        <v>0</v>
      </c>
      <c r="AR331" s="68">
        <f xml:space="preserve"> ConTime!AR$82</f>
        <v>0</v>
      </c>
      <c r="AS331" s="68">
        <f xml:space="preserve"> ConTime!AS$82</f>
        <v>0</v>
      </c>
      <c r="AT331" s="68">
        <f xml:space="preserve"> ConTime!AT$82</f>
        <v>0</v>
      </c>
      <c r="AU331" s="68">
        <f xml:space="preserve"> ConTime!AU$82</f>
        <v>0</v>
      </c>
      <c r="AV331" s="68">
        <f xml:space="preserve"> ConTime!AV$82</f>
        <v>0</v>
      </c>
      <c r="AW331" s="68">
        <f xml:space="preserve"> ConTime!AW$82</f>
        <v>0</v>
      </c>
      <c r="AX331" s="68">
        <f xml:space="preserve"> ConTime!AX$82</f>
        <v>0</v>
      </c>
      <c r="AY331" s="68">
        <f xml:space="preserve"> ConTime!AY$82</f>
        <v>0</v>
      </c>
      <c r="AZ331" s="68">
        <f xml:space="preserve"> ConTime!AZ$82</f>
        <v>0</v>
      </c>
      <c r="BA331" s="68">
        <f xml:space="preserve"> ConTime!BA$82</f>
        <v>0</v>
      </c>
      <c r="BB331" s="68">
        <f xml:space="preserve"> ConTime!BB$82</f>
        <v>0</v>
      </c>
      <c r="BC331" s="68">
        <f xml:space="preserve"> ConTime!BC$82</f>
        <v>0</v>
      </c>
      <c r="BD331" s="68">
        <f xml:space="preserve"> ConTime!BD$82</f>
        <v>0</v>
      </c>
      <c r="BE331" s="68">
        <f xml:space="preserve"> ConTime!BE$82</f>
        <v>0</v>
      </c>
    </row>
    <row r="332" spans="1:57" s="192" customFormat="1" hidden="1" outlineLevel="1" x14ac:dyDescent="0.2">
      <c r="A332" s="236"/>
      <c r="B332" s="236"/>
      <c r="C332" s="237"/>
      <c r="D332" s="238"/>
      <c r="E332" s="235" t="s">
        <v>933</v>
      </c>
      <c r="F332" s="235"/>
      <c r="G332" s="235" t="str">
        <f xml:space="preserve"> SMU</f>
        <v>$ 000s</v>
      </c>
      <c r="H332" s="235">
        <f xml:space="preserve"> SUM(J332:BE332)</f>
        <v>125194.92613015344</v>
      </c>
      <c r="I332" s="235"/>
      <c r="J332" s="235">
        <f t="shared" ref="J332" si="342" xml:space="preserve"> MAX(0, MIN(J330, J329)) * J331</f>
        <v>0</v>
      </c>
      <c r="K332" s="235">
        <f t="shared" ref="K332" si="343" xml:space="preserve"> MAX(0, MIN(K330, K329)) * K331</f>
        <v>0</v>
      </c>
      <c r="L332" s="235">
        <f t="shared" ref="L332" si="344" xml:space="preserve"> MAX(0, MIN(L330, L329)) * L331</f>
        <v>0</v>
      </c>
      <c r="M332" s="235">
        <f t="shared" ref="M332" si="345" xml:space="preserve"> MAX(0, MIN(M330, M329)) * M331</f>
        <v>0</v>
      </c>
      <c r="N332" s="235">
        <f t="shared" ref="N332" si="346" xml:space="preserve"> MAX(0, MIN(N330, N329)) * N331</f>
        <v>0</v>
      </c>
      <c r="O332" s="235">
        <f t="shared" ref="O332" si="347" xml:space="preserve"> MAX(0, MIN(O330, O329)) * O331</f>
        <v>0</v>
      </c>
      <c r="P332" s="235">
        <f t="shared" ref="P332" si="348" xml:space="preserve"> MAX(0, MIN(P330, P329)) * P331</f>
        <v>0</v>
      </c>
      <c r="Q332" s="235">
        <f t="shared" ref="Q332" si="349" xml:space="preserve"> MAX(0, MIN(Q330, Q329)) * Q331</f>
        <v>0</v>
      </c>
      <c r="R332" s="235">
        <f t="shared" ref="R332" si="350" xml:space="preserve"> MAX(0, MIN(R330, R329)) * R331</f>
        <v>0</v>
      </c>
      <c r="S332" s="235">
        <f t="shared" ref="S332" si="351" xml:space="preserve"> MAX(0, MIN(S330, S329)) * S331</f>
        <v>30.189482152990422</v>
      </c>
      <c r="T332" s="235">
        <f t="shared" ref="T332" si="352" xml:space="preserve"> MAX(0, MIN(T330, T329)) * T331</f>
        <v>6015.9670937187593</v>
      </c>
      <c r="U332" s="235">
        <f t="shared" ref="U332" si="353" xml:space="preserve"> MAX(0, MIN(U330, U329)) * U331</f>
        <v>6038.095317768486</v>
      </c>
      <c r="V332" s="235">
        <f t="shared" ref="V332" si="354" xml:space="preserve"> MAX(0, MIN(V330, V329)) * V331</f>
        <v>6055.4883867612043</v>
      </c>
      <c r="W332" s="235">
        <f t="shared" ref="W332" si="355" xml:space="preserve"> MAX(0, MIN(W330, W329)) * W331</f>
        <v>6052.3474376999075</v>
      </c>
      <c r="X332" s="235">
        <f t="shared" ref="X332" si="356" xml:space="preserve"> MAX(0, MIN(X330, X329)) * X331</f>
        <v>6090.3656804730163</v>
      </c>
      <c r="Y332" s="235">
        <f t="shared" ref="Y332" si="357" xml:space="preserve"> MAX(0, MIN(Y330, Y329)) * Y331</f>
        <v>6099.6650237944441</v>
      </c>
      <c r="Z332" s="235">
        <f t="shared" ref="Z332" si="358" xml:space="preserve"> MAX(0, MIN(Z330, Z329)) * Z331</f>
        <v>6125.4797411025556</v>
      </c>
      <c r="AA332" s="235">
        <f t="shared" ref="AA332" si="359" xml:space="preserve"> MAX(0, MIN(AA330, AA329)) * AA331</f>
        <v>6133.4879242745119</v>
      </c>
      <c r="AB332" s="235">
        <f t="shared" ref="AB332" si="360" xml:space="preserve"> MAX(0, MIN(AB330, AB329)) * AB331</f>
        <v>6160.7923784791783</v>
      </c>
      <c r="AC332" s="235">
        <f t="shared" ref="AC332" si="361" xml:space="preserve"> MAX(0, MIN(AC330, AC329)) * AC331</f>
        <v>6178.5388831731461</v>
      </c>
      <c r="AD332" s="235">
        <f t="shared" ref="AD332" si="362" xml:space="preserve"> MAX(0, MIN(AD330, AD329)) * AD331</f>
        <v>6184.5960573026177</v>
      </c>
      <c r="AE332" s="235">
        <f t="shared" ref="AE332" si="363" xml:space="preserve"> MAX(0, MIN(AE330, AE329)) * AE331</f>
        <v>6214.1515801739397</v>
      </c>
      <c r="AF332" s="235">
        <f t="shared" ref="AF332" si="364" xml:space="preserve"> MAX(0, MIN(AF330, AF329)) * AF331</f>
        <v>6218.8992590653697</v>
      </c>
      <c r="AG332" s="235">
        <f t="shared" ref="AG332" si="365" xml:space="preserve"> MAX(0, MIN(AG330, AG329)) * AG331</f>
        <v>6249.9656738061221</v>
      </c>
      <c r="AH332" s="235">
        <f t="shared" ref="AH332" si="366" xml:space="preserve"> MAX(0, MIN(AH330, AH329)) * AH331</f>
        <v>5272.9690471323538</v>
      </c>
      <c r="AI332" s="235">
        <f t="shared" ref="AI332" si="367" xml:space="preserve"> MAX(0, MIN(AI330, AI329)) * AI331</f>
        <v>5257.8118719884797</v>
      </c>
      <c r="AJ332" s="235">
        <f t="shared" ref="AJ332" si="368" xml:space="preserve"> MAX(0, MIN(AJ330, AJ329)) * AJ331</f>
        <v>5303.3035465794019</v>
      </c>
      <c r="AK332" s="235">
        <f t="shared" ref="AK332" si="369" xml:space="preserve"> MAX(0, MIN(AK330, AK329)) * AK331</f>
        <v>5302.2040856524955</v>
      </c>
      <c r="AL332" s="235">
        <f t="shared" ref="AL332" si="370" xml:space="preserve"> MAX(0, MIN(AL330, AL329)) * AL331</f>
        <v>5333.8533004755782</v>
      </c>
      <c r="AM332" s="235">
        <f t="shared" ref="AM332" si="371" xml:space="preserve"> MAX(0, MIN(AM330, AM329)) * AM331</f>
        <v>12876.754358578895</v>
      </c>
      <c r="AN332" s="235">
        <f t="shared" ref="AN332" si="372" xml:space="preserve"> MAX(0, MIN(AN330, AN329)) * AN331</f>
        <v>0</v>
      </c>
      <c r="AO332" s="235">
        <f t="shared" ref="AO332" si="373" xml:space="preserve"> MAX(0, MIN(AO330, AO329)) * AO331</f>
        <v>0</v>
      </c>
      <c r="AP332" s="235">
        <f t="shared" ref="AP332" si="374" xml:space="preserve"> MAX(0, MIN(AP330, AP329)) * AP331</f>
        <v>0</v>
      </c>
      <c r="AQ332" s="235">
        <f t="shared" ref="AQ332" si="375" xml:space="preserve"> MAX(0, MIN(AQ330, AQ329)) * AQ331</f>
        <v>0</v>
      </c>
      <c r="AR332" s="235">
        <f t="shared" ref="AR332" si="376" xml:space="preserve"> MAX(0, MIN(AR330, AR329)) * AR331</f>
        <v>0</v>
      </c>
      <c r="AS332" s="235">
        <f t="shared" ref="AS332" si="377" xml:space="preserve"> MAX(0, MIN(AS330, AS329)) * AS331</f>
        <v>0</v>
      </c>
      <c r="AT332" s="235">
        <f t="shared" ref="AT332" si="378" xml:space="preserve"> MAX(0, MIN(AT330, AT329)) * AT331</f>
        <v>0</v>
      </c>
      <c r="AU332" s="235">
        <f t="shared" ref="AU332" si="379" xml:space="preserve"> MAX(0, MIN(AU330, AU329)) * AU331</f>
        <v>0</v>
      </c>
      <c r="AV332" s="235">
        <f t="shared" ref="AV332" si="380" xml:space="preserve"> MAX(0, MIN(AV330, AV329)) * AV331</f>
        <v>0</v>
      </c>
      <c r="AW332" s="235">
        <f t="shared" ref="AW332" si="381" xml:space="preserve"> MAX(0, MIN(AW330, AW329)) * AW331</f>
        <v>0</v>
      </c>
      <c r="AX332" s="235">
        <f t="shared" ref="AX332" si="382" xml:space="preserve"> MAX(0, MIN(AX330, AX329)) * AX331</f>
        <v>0</v>
      </c>
      <c r="AY332" s="235">
        <f t="shared" ref="AY332" si="383" xml:space="preserve"> MAX(0, MIN(AY330, AY329)) * AY331</f>
        <v>0</v>
      </c>
      <c r="AZ332" s="235">
        <f t="shared" ref="AZ332" si="384" xml:space="preserve"> MAX(0, MIN(AZ330, AZ329)) * AZ331</f>
        <v>0</v>
      </c>
      <c r="BA332" s="235">
        <f t="shared" ref="BA332" si="385" xml:space="preserve"> MAX(0, MIN(BA330, BA329)) * BA331</f>
        <v>0</v>
      </c>
      <c r="BB332" s="235">
        <f t="shared" ref="BB332" si="386" xml:space="preserve"> MAX(0, MIN(BB330, BB329)) * BB331</f>
        <v>0</v>
      </c>
      <c r="BC332" s="235">
        <f t="shared" ref="BC332" si="387" xml:space="preserve"> MAX(0, MIN(BC330, BC329)) * BC331</f>
        <v>0</v>
      </c>
      <c r="BD332" s="235">
        <f t="shared" ref="BD332" si="388" xml:space="preserve"> MAX(0, MIN(BD330, BD329)) * BD331</f>
        <v>0</v>
      </c>
      <c r="BE332" s="235">
        <f t="shared" ref="BE332" si="389" xml:space="preserve"> MAX(0, MIN(BE330, BE329)) * BE331</f>
        <v>0</v>
      </c>
    </row>
    <row r="333" spans="1:57" s="188" customFormat="1" hidden="1" outlineLevel="1" x14ac:dyDescent="0.2">
      <c r="A333" s="141"/>
      <c r="B333" s="141"/>
      <c r="C333" s="142"/>
      <c r="D333" s="143"/>
      <c r="E333" s="187" t="s">
        <v>934</v>
      </c>
      <c r="F333" s="187">
        <f xml:space="preserve"> SUM(J332:BE332)</f>
        <v>125194.92613015344</v>
      </c>
      <c r="G333" s="187" t="str">
        <f xml:space="preserve"> SMU</f>
        <v>$ 000s</v>
      </c>
      <c r="H333" s="539"/>
      <c r="I333" s="144"/>
      <c r="J333" s="187"/>
      <c r="K333" s="187"/>
      <c r="L333" s="187"/>
      <c r="M333" s="187"/>
      <c r="N333" s="187"/>
      <c r="O333" s="187"/>
      <c r="P333" s="187"/>
      <c r="Q333" s="187"/>
      <c r="R333" s="187"/>
      <c r="S333" s="187"/>
      <c r="T333" s="187"/>
      <c r="U333" s="187"/>
      <c r="V333" s="187"/>
      <c r="W333" s="187"/>
      <c r="X333" s="187"/>
      <c r="Y333" s="187"/>
      <c r="Z333" s="187"/>
      <c r="AA333" s="187"/>
      <c r="AB333" s="187"/>
      <c r="AC333" s="187"/>
      <c r="AD333" s="187"/>
      <c r="AE333" s="187"/>
      <c r="AF333" s="187"/>
      <c r="AG333" s="187"/>
      <c r="AH333" s="187"/>
      <c r="AI333" s="187"/>
      <c r="AJ333" s="187"/>
      <c r="AK333" s="187"/>
      <c r="AL333" s="187"/>
      <c r="AM333" s="187"/>
      <c r="AN333" s="187"/>
      <c r="AO333" s="187"/>
      <c r="AP333" s="187"/>
      <c r="AQ333" s="187"/>
      <c r="AR333" s="187"/>
      <c r="AS333" s="187"/>
      <c r="AT333" s="187"/>
      <c r="AU333" s="187"/>
      <c r="AV333" s="187"/>
      <c r="AW333" s="187"/>
      <c r="AX333" s="187"/>
      <c r="AY333" s="187"/>
      <c r="AZ333" s="187"/>
      <c r="BA333" s="187"/>
      <c r="BB333" s="187"/>
      <c r="BC333" s="187"/>
      <c r="BD333" s="187"/>
      <c r="BE333" s="187"/>
    </row>
    <row r="334" spans="1:57" hidden="1" outlineLevel="1" x14ac:dyDescent="0.2"/>
    <row r="335" spans="1:57" hidden="1" outlineLevel="1" x14ac:dyDescent="0.2">
      <c r="E335" s="219" t="s">
        <v>926</v>
      </c>
      <c r="F335" s="219"/>
      <c r="G335" s="219" t="str">
        <f xml:space="preserve"> SMU</f>
        <v>$ 000s</v>
      </c>
      <c r="H335" s="219"/>
      <c r="I335" s="220"/>
      <c r="J335" s="219">
        <f t="shared" ref="J335" si="390" xml:space="preserve"> I338</f>
        <v>0</v>
      </c>
      <c r="K335" s="219">
        <f t="shared" ref="K335" si="391" xml:space="preserve"> J338</f>
        <v>0</v>
      </c>
      <c r="L335" s="219">
        <f t="shared" ref="L335" si="392" xml:space="preserve"> K338</f>
        <v>0</v>
      </c>
      <c r="M335" s="219">
        <f t="shared" ref="M335" si="393" xml:space="preserve"> L338</f>
        <v>0</v>
      </c>
      <c r="N335" s="219">
        <f t="shared" ref="N335" si="394" xml:space="preserve"> M338</f>
        <v>0</v>
      </c>
      <c r="O335" s="219">
        <f t="shared" ref="O335" si="395" xml:space="preserve"> N338</f>
        <v>0</v>
      </c>
      <c r="P335" s="219">
        <f t="shared" ref="P335" si="396" xml:space="preserve"> O338</f>
        <v>0</v>
      </c>
      <c r="Q335" s="219">
        <f t="shared" ref="Q335" si="397" xml:space="preserve"> P338</f>
        <v>0</v>
      </c>
      <c r="R335" s="219">
        <f t="shared" ref="R335" si="398" xml:space="preserve"> Q338</f>
        <v>0</v>
      </c>
      <c r="S335" s="219">
        <f t="shared" ref="S335" si="399" xml:space="preserve"> R338</f>
        <v>0</v>
      </c>
      <c r="T335" s="219">
        <f t="shared" ref="T335" si="400" xml:space="preserve"> S338</f>
        <v>30.189482152990422</v>
      </c>
      <c r="U335" s="219">
        <f t="shared" ref="U335" si="401" xml:space="preserve"> T338</f>
        <v>6046.1565758717497</v>
      </c>
      <c r="V335" s="219">
        <f t="shared" ref="V335" si="402" xml:space="preserve"> U338</f>
        <v>12084.251893640236</v>
      </c>
      <c r="W335" s="219">
        <f t="shared" ref="W335" si="403" xml:space="preserve"> V338</f>
        <v>18139.740280401442</v>
      </c>
      <c r="X335" s="219">
        <f t="shared" ref="X335" si="404" xml:space="preserve"> W338</f>
        <v>24192.087718101349</v>
      </c>
      <c r="Y335" s="219">
        <f t="shared" ref="Y335" si="405" xml:space="preserve"> X338</f>
        <v>30282.453398574366</v>
      </c>
      <c r="Z335" s="219">
        <f t="shared" ref="Z335" si="406" xml:space="preserve"> Y338</f>
        <v>36382.118422368811</v>
      </c>
      <c r="AA335" s="219">
        <f t="shared" ref="AA335" si="407" xml:space="preserve"> Z338</f>
        <v>42507.598163471368</v>
      </c>
      <c r="AB335" s="219">
        <f t="shared" ref="AB335" si="408" xml:space="preserve"> AA338</f>
        <v>48641.086087745876</v>
      </c>
      <c r="AC335" s="219">
        <f t="shared" ref="AC335" si="409" xml:space="preserve"> AB338</f>
        <v>54801.878466225055</v>
      </c>
      <c r="AD335" s="219">
        <f t="shared" ref="AD335" si="410" xml:space="preserve"> AC338</f>
        <v>60980.417349398202</v>
      </c>
      <c r="AE335" s="219">
        <f t="shared" ref="AE335" si="411" xml:space="preserve"> AD338</f>
        <v>67165.013406700818</v>
      </c>
      <c r="AF335" s="219">
        <f t="shared" ref="AF335" si="412" xml:space="preserve"> AE338</f>
        <v>73379.164986874763</v>
      </c>
      <c r="AG335" s="219">
        <f t="shared" ref="AG335" si="413" xml:space="preserve"> AF338</f>
        <v>79598.064245940128</v>
      </c>
      <c r="AH335" s="219">
        <f t="shared" ref="AH335" si="414" xml:space="preserve"> AG338</f>
        <v>85848.029919746245</v>
      </c>
      <c r="AI335" s="219">
        <f t="shared" ref="AI335" si="415" xml:space="preserve"> AH338</f>
        <v>91120.9989668786</v>
      </c>
      <c r="AJ335" s="219">
        <f t="shared" ref="AJ335" si="416" xml:space="preserve"> AI338</f>
        <v>96378.810838867081</v>
      </c>
      <c r="AK335" s="219">
        <f t="shared" ref="AK335" si="417" xml:space="preserve"> AJ338</f>
        <v>101682.11438544648</v>
      </c>
      <c r="AL335" s="219">
        <f t="shared" ref="AL335" si="418" xml:space="preserve"> AK338</f>
        <v>106984.31847109897</v>
      </c>
      <c r="AM335" s="219">
        <f t="shared" ref="AM335" si="419" xml:space="preserve"> AL338</f>
        <v>112318.17177157455</v>
      </c>
      <c r="AN335" s="219">
        <f t="shared" ref="AN335" si="420" xml:space="preserve"> AM338</f>
        <v>125194.92613015344</v>
      </c>
      <c r="AO335" s="219">
        <f t="shared" ref="AO335" si="421" xml:space="preserve"> AN338</f>
        <v>125194.92613015344</v>
      </c>
      <c r="AP335" s="219">
        <f t="shared" ref="AP335" si="422" xml:space="preserve"> AO338</f>
        <v>125194.92613015344</v>
      </c>
      <c r="AQ335" s="219">
        <f t="shared" ref="AQ335" si="423" xml:space="preserve"> AP338</f>
        <v>125194.92613015344</v>
      </c>
      <c r="AR335" s="219">
        <f t="shared" ref="AR335" si="424" xml:space="preserve"> AQ338</f>
        <v>125194.92613015344</v>
      </c>
      <c r="AS335" s="219">
        <f t="shared" ref="AS335" si="425" xml:space="preserve"> AR338</f>
        <v>125194.92613015344</v>
      </c>
      <c r="AT335" s="219">
        <f t="shared" ref="AT335" si="426" xml:space="preserve"> AS338</f>
        <v>125194.92613015344</v>
      </c>
      <c r="AU335" s="219">
        <f t="shared" ref="AU335" si="427" xml:space="preserve"> AT338</f>
        <v>125194.92613015344</v>
      </c>
      <c r="AV335" s="219">
        <f t="shared" ref="AV335" si="428" xml:space="preserve"> AU338</f>
        <v>125194.92613015344</v>
      </c>
      <c r="AW335" s="219">
        <f t="shared" ref="AW335" si="429" xml:space="preserve"> AV338</f>
        <v>125194.92613015344</v>
      </c>
      <c r="AX335" s="219">
        <f t="shared" ref="AX335" si="430" xml:space="preserve"> AW338</f>
        <v>125194.92613015344</v>
      </c>
      <c r="AY335" s="219">
        <f t="shared" ref="AY335" si="431" xml:space="preserve"> AX338</f>
        <v>125194.92613015344</v>
      </c>
      <c r="AZ335" s="219">
        <f t="shared" ref="AZ335" si="432" xml:space="preserve"> AY338</f>
        <v>125194.92613015344</v>
      </c>
      <c r="BA335" s="219">
        <f t="shared" ref="BA335" si="433" xml:space="preserve"> AZ338</f>
        <v>125194.92613015344</v>
      </c>
      <c r="BB335" s="219">
        <f t="shared" ref="BB335" si="434" xml:space="preserve"> BA338</f>
        <v>125194.92613015344</v>
      </c>
      <c r="BC335" s="219">
        <f t="shared" ref="BC335" si="435" xml:space="preserve"> BB338</f>
        <v>125194.92613015344</v>
      </c>
      <c r="BD335" s="219">
        <f t="shared" ref="BD335" si="436" xml:space="preserve"> BC338</f>
        <v>125194.92613015344</v>
      </c>
      <c r="BE335" s="219">
        <f t="shared" ref="BE335" si="437" xml:space="preserve"> BD338</f>
        <v>125194.92613015344</v>
      </c>
    </row>
    <row r="336" spans="1:57" s="495" customFormat="1" hidden="1" outlineLevel="1" x14ac:dyDescent="0.2">
      <c r="A336" s="15"/>
      <c r="B336" s="15"/>
      <c r="C336" s="21"/>
      <c r="D336" s="48"/>
      <c r="E336" s="38" t="str">
        <f t="shared" ref="E336:AJ336" si="438" xml:space="preserve"> E$332</f>
        <v>Construction debt drawdown - T2</v>
      </c>
      <c r="F336" s="38">
        <f t="shared" si="438"/>
        <v>0</v>
      </c>
      <c r="G336" s="38" t="str">
        <f t="shared" si="438"/>
        <v>$ 000s</v>
      </c>
      <c r="H336" s="38">
        <f t="shared" si="438"/>
        <v>125194.92613015344</v>
      </c>
      <c r="I336" s="38">
        <f t="shared" si="438"/>
        <v>0</v>
      </c>
      <c r="J336" s="38">
        <f t="shared" si="438"/>
        <v>0</v>
      </c>
      <c r="K336" s="38">
        <f t="shared" si="438"/>
        <v>0</v>
      </c>
      <c r="L336" s="38">
        <f t="shared" si="438"/>
        <v>0</v>
      </c>
      <c r="M336" s="38">
        <f t="shared" si="438"/>
        <v>0</v>
      </c>
      <c r="N336" s="38">
        <f t="shared" si="438"/>
        <v>0</v>
      </c>
      <c r="O336" s="38">
        <f t="shared" si="438"/>
        <v>0</v>
      </c>
      <c r="P336" s="38">
        <f t="shared" si="438"/>
        <v>0</v>
      </c>
      <c r="Q336" s="38">
        <f t="shared" si="438"/>
        <v>0</v>
      </c>
      <c r="R336" s="38">
        <f t="shared" si="438"/>
        <v>0</v>
      </c>
      <c r="S336" s="38">
        <f t="shared" si="438"/>
        <v>30.189482152990422</v>
      </c>
      <c r="T336" s="38">
        <f t="shared" si="438"/>
        <v>6015.9670937187593</v>
      </c>
      <c r="U336" s="38">
        <f t="shared" si="438"/>
        <v>6038.095317768486</v>
      </c>
      <c r="V336" s="38">
        <f t="shared" si="438"/>
        <v>6055.4883867612043</v>
      </c>
      <c r="W336" s="38">
        <f t="shared" si="438"/>
        <v>6052.3474376999075</v>
      </c>
      <c r="X336" s="38">
        <f t="shared" si="438"/>
        <v>6090.3656804730163</v>
      </c>
      <c r="Y336" s="38">
        <f t="shared" si="438"/>
        <v>6099.6650237944441</v>
      </c>
      <c r="Z336" s="38">
        <f t="shared" si="438"/>
        <v>6125.4797411025556</v>
      </c>
      <c r="AA336" s="38">
        <f t="shared" si="438"/>
        <v>6133.4879242745119</v>
      </c>
      <c r="AB336" s="38">
        <f t="shared" si="438"/>
        <v>6160.7923784791783</v>
      </c>
      <c r="AC336" s="38">
        <f t="shared" si="438"/>
        <v>6178.5388831731461</v>
      </c>
      <c r="AD336" s="38">
        <f t="shared" si="438"/>
        <v>6184.5960573026177</v>
      </c>
      <c r="AE336" s="38">
        <f t="shared" si="438"/>
        <v>6214.1515801739397</v>
      </c>
      <c r="AF336" s="38">
        <f t="shared" si="438"/>
        <v>6218.8992590653697</v>
      </c>
      <c r="AG336" s="38">
        <f t="shared" si="438"/>
        <v>6249.9656738061221</v>
      </c>
      <c r="AH336" s="38">
        <f t="shared" si="438"/>
        <v>5272.9690471323538</v>
      </c>
      <c r="AI336" s="38">
        <f t="shared" si="438"/>
        <v>5257.8118719884797</v>
      </c>
      <c r="AJ336" s="38">
        <f t="shared" si="438"/>
        <v>5303.3035465794019</v>
      </c>
      <c r="AK336" s="38">
        <f t="shared" ref="AK336:BE336" si="439" xml:space="preserve"> AK$332</f>
        <v>5302.2040856524955</v>
      </c>
      <c r="AL336" s="38">
        <f t="shared" si="439"/>
        <v>5333.8533004755782</v>
      </c>
      <c r="AM336" s="38">
        <f t="shared" si="439"/>
        <v>12876.754358578895</v>
      </c>
      <c r="AN336" s="38">
        <f t="shared" si="439"/>
        <v>0</v>
      </c>
      <c r="AO336" s="38">
        <f t="shared" si="439"/>
        <v>0</v>
      </c>
      <c r="AP336" s="38">
        <f t="shared" si="439"/>
        <v>0</v>
      </c>
      <c r="AQ336" s="38">
        <f t="shared" si="439"/>
        <v>0</v>
      </c>
      <c r="AR336" s="38">
        <f t="shared" si="439"/>
        <v>0</v>
      </c>
      <c r="AS336" s="38">
        <f t="shared" si="439"/>
        <v>0</v>
      </c>
      <c r="AT336" s="38">
        <f t="shared" si="439"/>
        <v>0</v>
      </c>
      <c r="AU336" s="38">
        <f t="shared" si="439"/>
        <v>0</v>
      </c>
      <c r="AV336" s="38">
        <f t="shared" si="439"/>
        <v>0</v>
      </c>
      <c r="AW336" s="38">
        <f t="shared" si="439"/>
        <v>0</v>
      </c>
      <c r="AX336" s="38">
        <f t="shared" si="439"/>
        <v>0</v>
      </c>
      <c r="AY336" s="38">
        <f t="shared" si="439"/>
        <v>0</v>
      </c>
      <c r="AZ336" s="38">
        <f t="shared" si="439"/>
        <v>0</v>
      </c>
      <c r="BA336" s="38">
        <f t="shared" si="439"/>
        <v>0</v>
      </c>
      <c r="BB336" s="38">
        <f t="shared" si="439"/>
        <v>0</v>
      </c>
      <c r="BC336" s="38">
        <f t="shared" si="439"/>
        <v>0</v>
      </c>
      <c r="BD336" s="38">
        <f t="shared" si="439"/>
        <v>0</v>
      </c>
      <c r="BE336" s="38">
        <f t="shared" si="439"/>
        <v>0</v>
      </c>
    </row>
    <row r="337" spans="1:57" hidden="1" outlineLevel="1" x14ac:dyDescent="0.2">
      <c r="E337" s="215" t="s">
        <v>92</v>
      </c>
      <c r="F337" s="215"/>
      <c r="G337" s="215"/>
      <c r="H337" s="215"/>
      <c r="I337" s="215"/>
      <c r="J337" s="215"/>
      <c r="K337" s="215"/>
      <c r="L337" s="215"/>
      <c r="M337" s="215"/>
      <c r="N337" s="215"/>
      <c r="O337" s="215"/>
      <c r="P337" s="215"/>
      <c r="Q337" s="215"/>
      <c r="R337" s="215"/>
      <c r="S337" s="215"/>
      <c r="T337" s="215"/>
      <c r="U337" s="215"/>
      <c r="V337" s="215"/>
      <c r="W337" s="215"/>
      <c r="X337" s="215"/>
      <c r="Y337" s="215"/>
      <c r="Z337" s="215"/>
      <c r="AA337" s="215"/>
      <c r="AB337" s="215"/>
      <c r="AC337" s="215"/>
      <c r="AD337" s="215"/>
      <c r="AE337" s="215"/>
      <c r="AF337" s="215"/>
      <c r="AG337" s="215"/>
      <c r="AH337" s="215"/>
      <c r="AI337" s="215"/>
      <c r="AJ337" s="215"/>
      <c r="AK337" s="215"/>
      <c r="AL337" s="215"/>
      <c r="AM337" s="215"/>
      <c r="AN337" s="215"/>
      <c r="AO337" s="215"/>
      <c r="AP337" s="215"/>
      <c r="AQ337" s="215"/>
      <c r="AR337" s="215"/>
      <c r="AS337" s="215"/>
      <c r="AT337" s="215"/>
      <c r="AU337" s="215"/>
      <c r="AV337" s="215"/>
      <c r="AW337" s="215"/>
      <c r="AX337" s="215"/>
      <c r="AY337" s="215"/>
      <c r="AZ337" s="215"/>
      <c r="BA337" s="215"/>
      <c r="BB337" s="215"/>
      <c r="BC337" s="215"/>
      <c r="BD337" s="215"/>
      <c r="BE337" s="215"/>
    </row>
    <row r="338" spans="1:57" hidden="1" outlineLevel="1" x14ac:dyDescent="0.2">
      <c r="E338" s="224" t="s">
        <v>927</v>
      </c>
      <c r="F338" s="224"/>
      <c r="G338" s="224" t="str">
        <f xml:space="preserve"> SMU</f>
        <v>$ 000s</v>
      </c>
      <c r="H338" s="224"/>
      <c r="I338" s="225"/>
      <c r="J338" s="224">
        <f t="shared" ref="J338:BE338" si="440" xml:space="preserve"> J335 + J336 - J337</f>
        <v>0</v>
      </c>
      <c r="K338" s="224">
        <f t="shared" si="440"/>
        <v>0</v>
      </c>
      <c r="L338" s="224">
        <f t="shared" si="440"/>
        <v>0</v>
      </c>
      <c r="M338" s="224">
        <f t="shared" si="440"/>
        <v>0</v>
      </c>
      <c r="N338" s="224">
        <f t="shared" si="440"/>
        <v>0</v>
      </c>
      <c r="O338" s="224">
        <f t="shared" si="440"/>
        <v>0</v>
      </c>
      <c r="P338" s="224">
        <f t="shared" si="440"/>
        <v>0</v>
      </c>
      <c r="Q338" s="224">
        <f t="shared" si="440"/>
        <v>0</v>
      </c>
      <c r="R338" s="224">
        <f t="shared" si="440"/>
        <v>0</v>
      </c>
      <c r="S338" s="224">
        <f t="shared" si="440"/>
        <v>30.189482152990422</v>
      </c>
      <c r="T338" s="224">
        <f t="shared" si="440"/>
        <v>6046.1565758717497</v>
      </c>
      <c r="U338" s="224">
        <f t="shared" si="440"/>
        <v>12084.251893640236</v>
      </c>
      <c r="V338" s="224">
        <f t="shared" si="440"/>
        <v>18139.740280401442</v>
      </c>
      <c r="W338" s="224">
        <f t="shared" si="440"/>
        <v>24192.087718101349</v>
      </c>
      <c r="X338" s="224">
        <f t="shared" si="440"/>
        <v>30282.453398574366</v>
      </c>
      <c r="Y338" s="224">
        <f t="shared" si="440"/>
        <v>36382.118422368811</v>
      </c>
      <c r="Z338" s="224">
        <f t="shared" si="440"/>
        <v>42507.598163471368</v>
      </c>
      <c r="AA338" s="224">
        <f t="shared" si="440"/>
        <v>48641.086087745876</v>
      </c>
      <c r="AB338" s="224">
        <f t="shared" si="440"/>
        <v>54801.878466225055</v>
      </c>
      <c r="AC338" s="224">
        <f t="shared" si="440"/>
        <v>60980.417349398202</v>
      </c>
      <c r="AD338" s="224">
        <f t="shared" si="440"/>
        <v>67165.013406700818</v>
      </c>
      <c r="AE338" s="224">
        <f t="shared" si="440"/>
        <v>73379.164986874763</v>
      </c>
      <c r="AF338" s="224">
        <f t="shared" si="440"/>
        <v>79598.064245940128</v>
      </c>
      <c r="AG338" s="224">
        <f t="shared" si="440"/>
        <v>85848.029919746245</v>
      </c>
      <c r="AH338" s="224">
        <f t="shared" si="440"/>
        <v>91120.9989668786</v>
      </c>
      <c r="AI338" s="224">
        <f t="shared" si="440"/>
        <v>96378.810838867081</v>
      </c>
      <c r="AJ338" s="224">
        <f t="shared" si="440"/>
        <v>101682.11438544648</v>
      </c>
      <c r="AK338" s="224">
        <f t="shared" si="440"/>
        <v>106984.31847109897</v>
      </c>
      <c r="AL338" s="224">
        <f t="shared" si="440"/>
        <v>112318.17177157455</v>
      </c>
      <c r="AM338" s="224">
        <f t="shared" si="440"/>
        <v>125194.92613015344</v>
      </c>
      <c r="AN338" s="224">
        <f t="shared" si="440"/>
        <v>125194.92613015344</v>
      </c>
      <c r="AO338" s="224">
        <f t="shared" si="440"/>
        <v>125194.92613015344</v>
      </c>
      <c r="AP338" s="224">
        <f t="shared" si="440"/>
        <v>125194.92613015344</v>
      </c>
      <c r="AQ338" s="224">
        <f t="shared" si="440"/>
        <v>125194.92613015344</v>
      </c>
      <c r="AR338" s="224">
        <f t="shared" si="440"/>
        <v>125194.92613015344</v>
      </c>
      <c r="AS338" s="224">
        <f t="shared" si="440"/>
        <v>125194.92613015344</v>
      </c>
      <c r="AT338" s="224">
        <f t="shared" si="440"/>
        <v>125194.92613015344</v>
      </c>
      <c r="AU338" s="224">
        <f t="shared" si="440"/>
        <v>125194.92613015344</v>
      </c>
      <c r="AV338" s="224">
        <f t="shared" si="440"/>
        <v>125194.92613015344</v>
      </c>
      <c r="AW338" s="224">
        <f t="shared" si="440"/>
        <v>125194.92613015344</v>
      </c>
      <c r="AX338" s="224">
        <f t="shared" si="440"/>
        <v>125194.92613015344</v>
      </c>
      <c r="AY338" s="224">
        <f t="shared" si="440"/>
        <v>125194.92613015344</v>
      </c>
      <c r="AZ338" s="224">
        <f t="shared" si="440"/>
        <v>125194.92613015344</v>
      </c>
      <c r="BA338" s="224">
        <f t="shared" si="440"/>
        <v>125194.92613015344</v>
      </c>
      <c r="BB338" s="224">
        <f t="shared" si="440"/>
        <v>125194.92613015344</v>
      </c>
      <c r="BC338" s="224">
        <f t="shared" si="440"/>
        <v>125194.92613015344</v>
      </c>
      <c r="BD338" s="224">
        <f t="shared" si="440"/>
        <v>125194.92613015344</v>
      </c>
      <c r="BE338" s="224">
        <f t="shared" si="440"/>
        <v>125194.92613015344</v>
      </c>
    </row>
    <row r="339" spans="1:57" hidden="1" outlineLevel="1" x14ac:dyDescent="0.2"/>
    <row r="340" spans="1:57" hidden="1" outlineLevel="1" x14ac:dyDescent="0.2">
      <c r="B340" s="15" t="s">
        <v>930</v>
      </c>
    </row>
    <row r="341" spans="1:57" hidden="1" outlineLevel="1" x14ac:dyDescent="0.2">
      <c r="E341" s="12" t="str">
        <f t="shared" ref="E341:AJ341" si="441" xml:space="preserve"> E$311</f>
        <v>Construction debt drawdown - T1</v>
      </c>
      <c r="F341" s="12">
        <f t="shared" si="441"/>
        <v>0</v>
      </c>
      <c r="G341" s="12" t="str">
        <f t="shared" si="441"/>
        <v>$ 000s</v>
      </c>
      <c r="H341" s="12">
        <f t="shared" si="441"/>
        <v>125194.92613015344</v>
      </c>
      <c r="I341" s="12">
        <f t="shared" si="441"/>
        <v>0</v>
      </c>
      <c r="J341" s="12">
        <f t="shared" si="441"/>
        <v>0</v>
      </c>
      <c r="K341" s="12">
        <f t="shared" si="441"/>
        <v>0</v>
      </c>
      <c r="L341" s="12">
        <f t="shared" si="441"/>
        <v>0</v>
      </c>
      <c r="M341" s="12">
        <f t="shared" si="441"/>
        <v>0</v>
      </c>
      <c r="N341" s="12">
        <f t="shared" si="441"/>
        <v>0</v>
      </c>
      <c r="O341" s="12">
        <f t="shared" si="441"/>
        <v>0</v>
      </c>
      <c r="P341" s="12">
        <f t="shared" si="441"/>
        <v>0</v>
      </c>
      <c r="Q341" s="12">
        <f t="shared" si="441"/>
        <v>0</v>
      </c>
      <c r="R341" s="12">
        <f t="shared" si="441"/>
        <v>0</v>
      </c>
      <c r="S341" s="12">
        <f t="shared" si="441"/>
        <v>30.189482152990422</v>
      </c>
      <c r="T341" s="12">
        <f t="shared" si="441"/>
        <v>6015.9670937187593</v>
      </c>
      <c r="U341" s="12">
        <f t="shared" si="441"/>
        <v>6038.095317768486</v>
      </c>
      <c r="V341" s="12">
        <f t="shared" si="441"/>
        <v>6055.4883867612043</v>
      </c>
      <c r="W341" s="12">
        <f t="shared" si="441"/>
        <v>6052.3474376999075</v>
      </c>
      <c r="X341" s="12">
        <f t="shared" si="441"/>
        <v>6090.3656804730163</v>
      </c>
      <c r="Y341" s="12">
        <f t="shared" si="441"/>
        <v>6099.6650237944441</v>
      </c>
      <c r="Z341" s="12">
        <f t="shared" si="441"/>
        <v>6125.4797411025556</v>
      </c>
      <c r="AA341" s="12">
        <f t="shared" si="441"/>
        <v>6133.4879242745119</v>
      </c>
      <c r="AB341" s="12">
        <f t="shared" si="441"/>
        <v>6160.7923784791783</v>
      </c>
      <c r="AC341" s="12">
        <f t="shared" si="441"/>
        <v>6178.5388831731461</v>
      </c>
      <c r="AD341" s="12">
        <f t="shared" si="441"/>
        <v>6184.5960573026177</v>
      </c>
      <c r="AE341" s="12">
        <f t="shared" si="441"/>
        <v>6214.1515801739397</v>
      </c>
      <c r="AF341" s="12">
        <f t="shared" si="441"/>
        <v>6218.8992590653697</v>
      </c>
      <c r="AG341" s="12">
        <f t="shared" si="441"/>
        <v>6249.9656738061221</v>
      </c>
      <c r="AH341" s="12">
        <f t="shared" si="441"/>
        <v>5272.9690471323538</v>
      </c>
      <c r="AI341" s="12">
        <f t="shared" si="441"/>
        <v>5257.8118719884797</v>
      </c>
      <c r="AJ341" s="12">
        <f t="shared" si="441"/>
        <v>5303.3035465794019</v>
      </c>
      <c r="AK341" s="12">
        <f t="shared" ref="AK341:BE341" si="442" xml:space="preserve"> AK$311</f>
        <v>5302.2040856524955</v>
      </c>
      <c r="AL341" s="12">
        <f t="shared" si="442"/>
        <v>5333.8533004755782</v>
      </c>
      <c r="AM341" s="12">
        <f t="shared" si="442"/>
        <v>12876.754358578895</v>
      </c>
      <c r="AN341" s="12">
        <f t="shared" si="442"/>
        <v>0</v>
      </c>
      <c r="AO341" s="12">
        <f t="shared" si="442"/>
        <v>0</v>
      </c>
      <c r="AP341" s="12">
        <f t="shared" si="442"/>
        <v>0</v>
      </c>
      <c r="AQ341" s="12">
        <f t="shared" si="442"/>
        <v>0</v>
      </c>
      <c r="AR341" s="12">
        <f t="shared" si="442"/>
        <v>0</v>
      </c>
      <c r="AS341" s="12">
        <f t="shared" si="442"/>
        <v>0</v>
      </c>
      <c r="AT341" s="12">
        <f t="shared" si="442"/>
        <v>0</v>
      </c>
      <c r="AU341" s="12">
        <f t="shared" si="442"/>
        <v>0</v>
      </c>
      <c r="AV341" s="12">
        <f t="shared" si="442"/>
        <v>0</v>
      </c>
      <c r="AW341" s="12">
        <f t="shared" si="442"/>
        <v>0</v>
      </c>
      <c r="AX341" s="12">
        <f t="shared" si="442"/>
        <v>0</v>
      </c>
      <c r="AY341" s="12">
        <f t="shared" si="442"/>
        <v>0</v>
      </c>
      <c r="AZ341" s="12">
        <f t="shared" si="442"/>
        <v>0</v>
      </c>
      <c r="BA341" s="12">
        <f t="shared" si="442"/>
        <v>0</v>
      </c>
      <c r="BB341" s="12">
        <f t="shared" si="442"/>
        <v>0</v>
      </c>
      <c r="BC341" s="12">
        <f t="shared" si="442"/>
        <v>0</v>
      </c>
      <c r="BD341" s="12">
        <f t="shared" si="442"/>
        <v>0</v>
      </c>
      <c r="BE341" s="12">
        <f t="shared" si="442"/>
        <v>0</v>
      </c>
    </row>
    <row r="342" spans="1:57" hidden="1" outlineLevel="1" x14ac:dyDescent="0.2">
      <c r="E342" s="12" t="str">
        <f t="shared" ref="E342:AJ342" si="443" xml:space="preserve"> E$332</f>
        <v>Construction debt drawdown - T2</v>
      </c>
      <c r="F342" s="12">
        <f t="shared" si="443"/>
        <v>0</v>
      </c>
      <c r="G342" s="12" t="str">
        <f t="shared" si="443"/>
        <v>$ 000s</v>
      </c>
      <c r="H342" s="12">
        <f t="shared" si="443"/>
        <v>125194.92613015344</v>
      </c>
      <c r="I342" s="12">
        <f t="shared" si="443"/>
        <v>0</v>
      </c>
      <c r="J342" s="12">
        <f t="shared" si="443"/>
        <v>0</v>
      </c>
      <c r="K342" s="12">
        <f t="shared" si="443"/>
        <v>0</v>
      </c>
      <c r="L342" s="12">
        <f t="shared" si="443"/>
        <v>0</v>
      </c>
      <c r="M342" s="12">
        <f t="shared" si="443"/>
        <v>0</v>
      </c>
      <c r="N342" s="12">
        <f t="shared" si="443"/>
        <v>0</v>
      </c>
      <c r="O342" s="12">
        <f t="shared" si="443"/>
        <v>0</v>
      </c>
      <c r="P342" s="12">
        <f t="shared" si="443"/>
        <v>0</v>
      </c>
      <c r="Q342" s="12">
        <f t="shared" si="443"/>
        <v>0</v>
      </c>
      <c r="R342" s="12">
        <f t="shared" si="443"/>
        <v>0</v>
      </c>
      <c r="S342" s="12">
        <f t="shared" si="443"/>
        <v>30.189482152990422</v>
      </c>
      <c r="T342" s="12">
        <f t="shared" si="443"/>
        <v>6015.9670937187593</v>
      </c>
      <c r="U342" s="12">
        <f t="shared" si="443"/>
        <v>6038.095317768486</v>
      </c>
      <c r="V342" s="12">
        <f t="shared" si="443"/>
        <v>6055.4883867612043</v>
      </c>
      <c r="W342" s="12">
        <f t="shared" si="443"/>
        <v>6052.3474376999075</v>
      </c>
      <c r="X342" s="12">
        <f t="shared" si="443"/>
        <v>6090.3656804730163</v>
      </c>
      <c r="Y342" s="12">
        <f t="shared" si="443"/>
        <v>6099.6650237944441</v>
      </c>
      <c r="Z342" s="12">
        <f t="shared" si="443"/>
        <v>6125.4797411025556</v>
      </c>
      <c r="AA342" s="12">
        <f t="shared" si="443"/>
        <v>6133.4879242745119</v>
      </c>
      <c r="AB342" s="12">
        <f t="shared" si="443"/>
        <v>6160.7923784791783</v>
      </c>
      <c r="AC342" s="12">
        <f t="shared" si="443"/>
        <v>6178.5388831731461</v>
      </c>
      <c r="AD342" s="12">
        <f t="shared" si="443"/>
        <v>6184.5960573026177</v>
      </c>
      <c r="AE342" s="12">
        <f t="shared" si="443"/>
        <v>6214.1515801739397</v>
      </c>
      <c r="AF342" s="12">
        <f t="shared" si="443"/>
        <v>6218.8992590653697</v>
      </c>
      <c r="AG342" s="12">
        <f t="shared" si="443"/>
        <v>6249.9656738061221</v>
      </c>
      <c r="AH342" s="12">
        <f t="shared" si="443"/>
        <v>5272.9690471323538</v>
      </c>
      <c r="AI342" s="12">
        <f t="shared" si="443"/>
        <v>5257.8118719884797</v>
      </c>
      <c r="AJ342" s="12">
        <f t="shared" si="443"/>
        <v>5303.3035465794019</v>
      </c>
      <c r="AK342" s="12">
        <f t="shared" ref="AK342:BE342" si="444" xml:space="preserve"> AK$332</f>
        <v>5302.2040856524955</v>
      </c>
      <c r="AL342" s="12">
        <f t="shared" si="444"/>
        <v>5333.8533004755782</v>
      </c>
      <c r="AM342" s="12">
        <f t="shared" si="444"/>
        <v>12876.754358578895</v>
      </c>
      <c r="AN342" s="12">
        <f t="shared" si="444"/>
        <v>0</v>
      </c>
      <c r="AO342" s="12">
        <f t="shared" si="444"/>
        <v>0</v>
      </c>
      <c r="AP342" s="12">
        <f t="shared" si="444"/>
        <v>0</v>
      </c>
      <c r="AQ342" s="12">
        <f t="shared" si="444"/>
        <v>0</v>
      </c>
      <c r="AR342" s="12">
        <f t="shared" si="444"/>
        <v>0</v>
      </c>
      <c r="AS342" s="12">
        <f t="shared" si="444"/>
        <v>0</v>
      </c>
      <c r="AT342" s="12">
        <f t="shared" si="444"/>
        <v>0</v>
      </c>
      <c r="AU342" s="12">
        <f t="shared" si="444"/>
        <v>0</v>
      </c>
      <c r="AV342" s="12">
        <f t="shared" si="444"/>
        <v>0</v>
      </c>
      <c r="AW342" s="12">
        <f t="shared" si="444"/>
        <v>0</v>
      </c>
      <c r="AX342" s="12">
        <f t="shared" si="444"/>
        <v>0</v>
      </c>
      <c r="AY342" s="12">
        <f t="shared" si="444"/>
        <v>0</v>
      </c>
      <c r="AZ342" s="12">
        <f t="shared" si="444"/>
        <v>0</v>
      </c>
      <c r="BA342" s="12">
        <f t="shared" si="444"/>
        <v>0</v>
      </c>
      <c r="BB342" s="12">
        <f t="shared" si="444"/>
        <v>0</v>
      </c>
      <c r="BC342" s="12">
        <f t="shared" si="444"/>
        <v>0</v>
      </c>
      <c r="BD342" s="12">
        <f t="shared" si="444"/>
        <v>0</v>
      </c>
      <c r="BE342" s="12">
        <f t="shared" si="444"/>
        <v>0</v>
      </c>
    </row>
    <row r="343" spans="1:57" s="230" customFormat="1" hidden="1" outlineLevel="1" x14ac:dyDescent="0.2">
      <c r="A343" s="141"/>
      <c r="B343" s="141"/>
      <c r="C343" s="142"/>
      <c r="D343" s="143"/>
      <c r="E343" s="497" t="s">
        <v>273</v>
      </c>
      <c r="F343" s="497"/>
      <c r="G343" s="497" t="str">
        <f xml:space="preserve"> SMU</f>
        <v>$ 000s</v>
      </c>
      <c r="H343" s="497">
        <f xml:space="preserve"> SUM(J343:BE343)</f>
        <v>250389.85226030689</v>
      </c>
      <c r="I343" s="497"/>
      <c r="J343" s="497">
        <f t="shared" ref="J343:BE343" si="445">SUM(J341:J342)</f>
        <v>0</v>
      </c>
      <c r="K343" s="497">
        <f t="shared" si="445"/>
        <v>0</v>
      </c>
      <c r="L343" s="497">
        <f t="shared" si="445"/>
        <v>0</v>
      </c>
      <c r="M343" s="497">
        <f t="shared" si="445"/>
        <v>0</v>
      </c>
      <c r="N343" s="497">
        <f t="shared" si="445"/>
        <v>0</v>
      </c>
      <c r="O343" s="497">
        <f t="shared" si="445"/>
        <v>0</v>
      </c>
      <c r="P343" s="497">
        <f t="shared" si="445"/>
        <v>0</v>
      </c>
      <c r="Q343" s="497">
        <f t="shared" si="445"/>
        <v>0</v>
      </c>
      <c r="R343" s="497">
        <f t="shared" si="445"/>
        <v>0</v>
      </c>
      <c r="S343" s="497">
        <f t="shared" si="445"/>
        <v>60.378964305980844</v>
      </c>
      <c r="T343" s="497">
        <f t="shared" si="445"/>
        <v>12031.934187437519</v>
      </c>
      <c r="U343" s="497">
        <f t="shared" si="445"/>
        <v>12076.190635536972</v>
      </c>
      <c r="V343" s="497">
        <f t="shared" si="445"/>
        <v>12110.976773522409</v>
      </c>
      <c r="W343" s="497">
        <f t="shared" si="445"/>
        <v>12104.694875399815</v>
      </c>
      <c r="X343" s="497">
        <f t="shared" si="445"/>
        <v>12180.731360946033</v>
      </c>
      <c r="Y343" s="497">
        <f t="shared" si="445"/>
        <v>12199.330047588888</v>
      </c>
      <c r="Z343" s="497">
        <f t="shared" si="445"/>
        <v>12250.959482205111</v>
      </c>
      <c r="AA343" s="497">
        <f t="shared" si="445"/>
        <v>12266.975848549024</v>
      </c>
      <c r="AB343" s="497">
        <f t="shared" si="445"/>
        <v>12321.584756958357</v>
      </c>
      <c r="AC343" s="497">
        <f t="shared" si="445"/>
        <v>12357.077766346292</v>
      </c>
      <c r="AD343" s="497">
        <f t="shared" si="445"/>
        <v>12369.192114605235</v>
      </c>
      <c r="AE343" s="497">
        <f t="shared" si="445"/>
        <v>12428.303160347879</v>
      </c>
      <c r="AF343" s="497">
        <f t="shared" si="445"/>
        <v>12437.798518130739</v>
      </c>
      <c r="AG343" s="497">
        <f t="shared" si="445"/>
        <v>12499.931347612244</v>
      </c>
      <c r="AH343" s="497">
        <f t="shared" si="445"/>
        <v>10545.938094264708</v>
      </c>
      <c r="AI343" s="497">
        <f t="shared" si="445"/>
        <v>10515.623743976959</v>
      </c>
      <c r="AJ343" s="497">
        <f t="shared" si="445"/>
        <v>10606.607093158804</v>
      </c>
      <c r="AK343" s="497">
        <f t="shared" si="445"/>
        <v>10604.408171304991</v>
      </c>
      <c r="AL343" s="497">
        <f t="shared" si="445"/>
        <v>10667.706600951156</v>
      </c>
      <c r="AM343" s="497">
        <f t="shared" si="445"/>
        <v>25753.508717157791</v>
      </c>
      <c r="AN343" s="497">
        <f t="shared" si="445"/>
        <v>0</v>
      </c>
      <c r="AO343" s="497">
        <f t="shared" si="445"/>
        <v>0</v>
      </c>
      <c r="AP343" s="497">
        <f t="shared" si="445"/>
        <v>0</v>
      </c>
      <c r="AQ343" s="497">
        <f t="shared" si="445"/>
        <v>0</v>
      </c>
      <c r="AR343" s="497">
        <f t="shared" si="445"/>
        <v>0</v>
      </c>
      <c r="AS343" s="497">
        <f t="shared" si="445"/>
        <v>0</v>
      </c>
      <c r="AT343" s="497">
        <f t="shared" si="445"/>
        <v>0</v>
      </c>
      <c r="AU343" s="497">
        <f t="shared" si="445"/>
        <v>0</v>
      </c>
      <c r="AV343" s="497">
        <f t="shared" si="445"/>
        <v>0</v>
      </c>
      <c r="AW343" s="497">
        <f t="shared" si="445"/>
        <v>0</v>
      </c>
      <c r="AX343" s="497">
        <f t="shared" si="445"/>
        <v>0</v>
      </c>
      <c r="AY343" s="497">
        <f t="shared" si="445"/>
        <v>0</v>
      </c>
      <c r="AZ343" s="497">
        <f t="shared" si="445"/>
        <v>0</v>
      </c>
      <c r="BA343" s="497">
        <f t="shared" si="445"/>
        <v>0</v>
      </c>
      <c r="BB343" s="497">
        <f t="shared" si="445"/>
        <v>0</v>
      </c>
      <c r="BC343" s="497">
        <f t="shared" si="445"/>
        <v>0</v>
      </c>
      <c r="BD343" s="497">
        <f t="shared" si="445"/>
        <v>0</v>
      </c>
      <c r="BE343" s="497">
        <f t="shared" si="445"/>
        <v>0</v>
      </c>
    </row>
    <row r="344" spans="1:57" s="188" customFormat="1" hidden="1" outlineLevel="1" x14ac:dyDescent="0.2">
      <c r="A344" s="141"/>
      <c r="B344" s="141"/>
      <c r="C344" s="142"/>
      <c r="D344" s="143"/>
      <c r="E344" s="187" t="s">
        <v>935</v>
      </c>
      <c r="F344" s="187">
        <f xml:space="preserve"> SUM(J343:BE343)</f>
        <v>250389.85226030689</v>
      </c>
      <c r="G344" s="187" t="str">
        <f xml:space="preserve"> SMU</f>
        <v>$ 000s</v>
      </c>
      <c r="H344" s="539"/>
      <c r="I344" s="144"/>
      <c r="J344" s="187"/>
      <c r="K344" s="187"/>
      <c r="L344" s="187"/>
      <c r="M344" s="187"/>
      <c r="N344" s="187"/>
      <c r="O344" s="187"/>
      <c r="P344" s="187"/>
      <c r="Q344" s="187"/>
      <c r="R344" s="187"/>
      <c r="S344" s="187"/>
      <c r="T344" s="187"/>
      <c r="U344" s="187"/>
      <c r="V344" s="187"/>
      <c r="W344" s="187"/>
      <c r="X344" s="187"/>
      <c r="Y344" s="187"/>
      <c r="Z344" s="187"/>
      <c r="AA344" s="187"/>
      <c r="AB344" s="187"/>
      <c r="AC344" s="187"/>
      <c r="AD344" s="187"/>
      <c r="AE344" s="187"/>
      <c r="AF344" s="187"/>
      <c r="AG344" s="187"/>
      <c r="AH344" s="187"/>
      <c r="AI344" s="187"/>
      <c r="AJ344" s="187"/>
      <c r="AK344" s="187"/>
      <c r="AL344" s="187"/>
      <c r="AM344" s="187"/>
      <c r="AN344" s="187"/>
      <c r="AO344" s="187"/>
      <c r="AP344" s="187"/>
      <c r="AQ344" s="187"/>
      <c r="AR344" s="187"/>
      <c r="AS344" s="187"/>
      <c r="AT344" s="187"/>
      <c r="AU344" s="187"/>
      <c r="AV344" s="187"/>
      <c r="AW344" s="187"/>
      <c r="AX344" s="187"/>
      <c r="AY344" s="187"/>
      <c r="AZ344" s="187"/>
      <c r="BA344" s="187"/>
      <c r="BB344" s="187"/>
      <c r="BC344" s="187"/>
      <c r="BD344" s="187"/>
      <c r="BE344" s="187"/>
    </row>
    <row r="345" spans="1:57" hidden="1" outlineLevel="1" x14ac:dyDescent="0.2"/>
    <row r="346" spans="1:57" hidden="1" outlineLevel="1" x14ac:dyDescent="0.2">
      <c r="E346" s="219" t="s">
        <v>274</v>
      </c>
      <c r="F346" s="219"/>
      <c r="G346" s="219" t="str">
        <f xml:space="preserve"> SMU</f>
        <v>$ 000s</v>
      </c>
      <c r="H346" s="219"/>
      <c r="I346" s="220"/>
      <c r="J346" s="219">
        <f t="shared" ref="J346" si="446" xml:space="preserve"> I349</f>
        <v>0</v>
      </c>
      <c r="K346" s="219">
        <f t="shared" ref="K346" si="447" xml:space="preserve"> J349</f>
        <v>0</v>
      </c>
      <c r="L346" s="219">
        <f t="shared" ref="L346" si="448" xml:space="preserve"> K349</f>
        <v>0</v>
      </c>
      <c r="M346" s="219">
        <f t="shared" ref="M346" si="449" xml:space="preserve"> L349</f>
        <v>0</v>
      </c>
      <c r="N346" s="219">
        <f t="shared" ref="N346" si="450" xml:space="preserve"> M349</f>
        <v>0</v>
      </c>
      <c r="O346" s="219">
        <f t="shared" ref="O346" si="451" xml:space="preserve"> N349</f>
        <v>0</v>
      </c>
      <c r="P346" s="219">
        <f t="shared" ref="P346" si="452" xml:space="preserve"> O349</f>
        <v>0</v>
      </c>
      <c r="Q346" s="219">
        <f t="shared" ref="Q346" si="453" xml:space="preserve"> P349</f>
        <v>0</v>
      </c>
      <c r="R346" s="219">
        <f t="shared" ref="R346" si="454" xml:space="preserve"> Q349</f>
        <v>0</v>
      </c>
      <c r="S346" s="219">
        <f t="shared" ref="S346" si="455" xml:space="preserve"> R349</f>
        <v>0</v>
      </c>
      <c r="T346" s="219">
        <f t="shared" ref="T346" si="456" xml:space="preserve"> S349</f>
        <v>60.378964305980844</v>
      </c>
      <c r="U346" s="219">
        <f t="shared" ref="U346" si="457" xml:space="preserve"> T349</f>
        <v>12092.313151743499</v>
      </c>
      <c r="V346" s="219">
        <f t="shared" ref="V346" si="458" xml:space="preserve"> U349</f>
        <v>24168.503787280471</v>
      </c>
      <c r="W346" s="219">
        <f t="shared" ref="W346" si="459" xml:space="preserve"> V349</f>
        <v>36279.480560802884</v>
      </c>
      <c r="X346" s="219">
        <f t="shared" ref="X346" si="460" xml:space="preserve"> W349</f>
        <v>48384.175436202699</v>
      </c>
      <c r="Y346" s="219">
        <f t="shared" ref="Y346" si="461" xml:space="preserve"> X349</f>
        <v>60564.906797148731</v>
      </c>
      <c r="Z346" s="219">
        <f t="shared" ref="Z346" si="462" xml:space="preserve"> Y349</f>
        <v>72764.236844737621</v>
      </c>
      <c r="AA346" s="219">
        <f t="shared" ref="AA346" si="463" xml:space="preserve"> Z349</f>
        <v>85015.196326942736</v>
      </c>
      <c r="AB346" s="219">
        <f t="shared" ref="AB346" si="464" xml:space="preserve"> AA349</f>
        <v>97282.172175491753</v>
      </c>
      <c r="AC346" s="219">
        <f t="shared" ref="AC346" si="465" xml:space="preserve"> AB349</f>
        <v>109603.75693245011</v>
      </c>
      <c r="AD346" s="219">
        <f t="shared" ref="AD346" si="466" xml:space="preserve"> AC349</f>
        <v>121960.8346987964</v>
      </c>
      <c r="AE346" s="219">
        <f t="shared" ref="AE346" si="467" xml:space="preserve"> AD349</f>
        <v>134330.02681340164</v>
      </c>
      <c r="AF346" s="219">
        <f t="shared" ref="AF346" si="468" xml:space="preserve"> AE349</f>
        <v>146758.32997374953</v>
      </c>
      <c r="AG346" s="219">
        <f t="shared" ref="AG346" si="469" xml:space="preserve"> AF349</f>
        <v>159196.12849188026</v>
      </c>
      <c r="AH346" s="219">
        <f t="shared" ref="AH346" si="470" xml:space="preserve"> AG349</f>
        <v>171696.05983949249</v>
      </c>
      <c r="AI346" s="219">
        <f t="shared" ref="AI346" si="471" xml:space="preserve"> AH349</f>
        <v>182241.9979337572</v>
      </c>
      <c r="AJ346" s="219">
        <f t="shared" ref="AJ346" si="472" xml:space="preserve"> AI349</f>
        <v>192757.62167773416</v>
      </c>
      <c r="AK346" s="219">
        <f t="shared" ref="AK346" si="473" xml:space="preserve"> AJ349</f>
        <v>203364.22877089295</v>
      </c>
      <c r="AL346" s="219">
        <f t="shared" ref="AL346" si="474" xml:space="preserve"> AK349</f>
        <v>213968.63694219795</v>
      </c>
      <c r="AM346" s="219">
        <f t="shared" ref="AM346" si="475" xml:space="preserve"> AL349</f>
        <v>224636.34354314909</v>
      </c>
      <c r="AN346" s="219">
        <f t="shared" ref="AN346" si="476" xml:space="preserve"> AM349</f>
        <v>250389.85226030689</v>
      </c>
      <c r="AO346" s="219">
        <f t="shared" ref="AO346" si="477" xml:space="preserve"> AN349</f>
        <v>250389.85226030689</v>
      </c>
      <c r="AP346" s="219">
        <f t="shared" ref="AP346" si="478" xml:space="preserve"> AO349</f>
        <v>250389.85226030689</v>
      </c>
      <c r="AQ346" s="219">
        <f t="shared" ref="AQ346" si="479" xml:space="preserve"> AP349</f>
        <v>250389.85226030689</v>
      </c>
      <c r="AR346" s="219">
        <f t="shared" ref="AR346" si="480" xml:space="preserve"> AQ349</f>
        <v>250389.85226030689</v>
      </c>
      <c r="AS346" s="219">
        <f t="shared" ref="AS346" si="481" xml:space="preserve"> AR349</f>
        <v>250389.85226030689</v>
      </c>
      <c r="AT346" s="219">
        <f t="shared" ref="AT346" si="482" xml:space="preserve"> AS349</f>
        <v>250389.85226030689</v>
      </c>
      <c r="AU346" s="219">
        <f t="shared" ref="AU346" si="483" xml:space="preserve"> AT349</f>
        <v>250389.85226030689</v>
      </c>
      <c r="AV346" s="219">
        <f t="shared" ref="AV346" si="484" xml:space="preserve"> AU349</f>
        <v>250389.85226030689</v>
      </c>
      <c r="AW346" s="219">
        <f t="shared" ref="AW346" si="485" xml:space="preserve"> AV349</f>
        <v>250389.85226030689</v>
      </c>
      <c r="AX346" s="219">
        <f t="shared" ref="AX346" si="486" xml:space="preserve"> AW349</f>
        <v>250389.85226030689</v>
      </c>
      <c r="AY346" s="219">
        <f t="shared" ref="AY346" si="487" xml:space="preserve"> AX349</f>
        <v>250389.85226030689</v>
      </c>
      <c r="AZ346" s="219">
        <f t="shared" ref="AZ346" si="488" xml:space="preserve"> AY349</f>
        <v>250389.85226030689</v>
      </c>
      <c r="BA346" s="219">
        <f t="shared" ref="BA346" si="489" xml:space="preserve"> AZ349</f>
        <v>250389.85226030689</v>
      </c>
      <c r="BB346" s="219">
        <f t="shared" ref="BB346" si="490" xml:space="preserve"> BA349</f>
        <v>250389.85226030689</v>
      </c>
      <c r="BC346" s="219">
        <f t="shared" ref="BC346" si="491" xml:space="preserve"> BB349</f>
        <v>250389.85226030689</v>
      </c>
      <c r="BD346" s="219">
        <f t="shared" ref="BD346" si="492" xml:space="preserve"> BC349</f>
        <v>250389.85226030689</v>
      </c>
      <c r="BE346" s="219">
        <f t="shared" ref="BE346" si="493" xml:space="preserve"> BD349</f>
        <v>250389.85226030689</v>
      </c>
    </row>
    <row r="347" spans="1:57" s="495" customFormat="1" hidden="1" outlineLevel="1" x14ac:dyDescent="0.2">
      <c r="A347" s="15"/>
      <c r="B347" s="15"/>
      <c r="C347" s="21"/>
      <c r="D347" s="48"/>
      <c r="E347" s="38" t="str">
        <f t="shared" ref="E347:AJ347" si="494" xml:space="preserve"> E$343</f>
        <v>Construction debt drawdown - m</v>
      </c>
      <c r="F347" s="38">
        <f t="shared" si="494"/>
        <v>0</v>
      </c>
      <c r="G347" s="38" t="str">
        <f t="shared" si="494"/>
        <v>$ 000s</v>
      </c>
      <c r="H347" s="38">
        <f t="shared" si="494"/>
        <v>250389.85226030689</v>
      </c>
      <c r="I347" s="38">
        <f t="shared" si="494"/>
        <v>0</v>
      </c>
      <c r="J347" s="38">
        <f t="shared" si="494"/>
        <v>0</v>
      </c>
      <c r="K347" s="38">
        <f t="shared" si="494"/>
        <v>0</v>
      </c>
      <c r="L347" s="38">
        <f t="shared" si="494"/>
        <v>0</v>
      </c>
      <c r="M347" s="38">
        <f t="shared" si="494"/>
        <v>0</v>
      </c>
      <c r="N347" s="38">
        <f t="shared" si="494"/>
        <v>0</v>
      </c>
      <c r="O347" s="38">
        <f t="shared" si="494"/>
        <v>0</v>
      </c>
      <c r="P347" s="38">
        <f t="shared" si="494"/>
        <v>0</v>
      </c>
      <c r="Q347" s="38">
        <f t="shared" si="494"/>
        <v>0</v>
      </c>
      <c r="R347" s="38">
        <f t="shared" si="494"/>
        <v>0</v>
      </c>
      <c r="S347" s="38">
        <f t="shared" si="494"/>
        <v>60.378964305980844</v>
      </c>
      <c r="T347" s="38">
        <f t="shared" si="494"/>
        <v>12031.934187437519</v>
      </c>
      <c r="U347" s="38">
        <f t="shared" si="494"/>
        <v>12076.190635536972</v>
      </c>
      <c r="V347" s="38">
        <f t="shared" si="494"/>
        <v>12110.976773522409</v>
      </c>
      <c r="W347" s="38">
        <f t="shared" si="494"/>
        <v>12104.694875399815</v>
      </c>
      <c r="X347" s="38">
        <f t="shared" si="494"/>
        <v>12180.731360946033</v>
      </c>
      <c r="Y347" s="38">
        <f t="shared" si="494"/>
        <v>12199.330047588888</v>
      </c>
      <c r="Z347" s="38">
        <f t="shared" si="494"/>
        <v>12250.959482205111</v>
      </c>
      <c r="AA347" s="38">
        <f t="shared" si="494"/>
        <v>12266.975848549024</v>
      </c>
      <c r="AB347" s="38">
        <f t="shared" si="494"/>
        <v>12321.584756958357</v>
      </c>
      <c r="AC347" s="38">
        <f t="shared" si="494"/>
        <v>12357.077766346292</v>
      </c>
      <c r="AD347" s="38">
        <f t="shared" si="494"/>
        <v>12369.192114605235</v>
      </c>
      <c r="AE347" s="38">
        <f t="shared" si="494"/>
        <v>12428.303160347879</v>
      </c>
      <c r="AF347" s="38">
        <f t="shared" si="494"/>
        <v>12437.798518130739</v>
      </c>
      <c r="AG347" s="38">
        <f t="shared" si="494"/>
        <v>12499.931347612244</v>
      </c>
      <c r="AH347" s="38">
        <f t="shared" si="494"/>
        <v>10545.938094264708</v>
      </c>
      <c r="AI347" s="38">
        <f t="shared" si="494"/>
        <v>10515.623743976959</v>
      </c>
      <c r="AJ347" s="38">
        <f t="shared" si="494"/>
        <v>10606.607093158804</v>
      </c>
      <c r="AK347" s="38">
        <f t="shared" ref="AK347:BE347" si="495" xml:space="preserve"> AK$343</f>
        <v>10604.408171304991</v>
      </c>
      <c r="AL347" s="38">
        <f t="shared" si="495"/>
        <v>10667.706600951156</v>
      </c>
      <c r="AM347" s="38">
        <f t="shared" si="495"/>
        <v>25753.508717157791</v>
      </c>
      <c r="AN347" s="38">
        <f t="shared" si="495"/>
        <v>0</v>
      </c>
      <c r="AO347" s="38">
        <f t="shared" si="495"/>
        <v>0</v>
      </c>
      <c r="AP347" s="38">
        <f t="shared" si="495"/>
        <v>0</v>
      </c>
      <c r="AQ347" s="38">
        <f t="shared" si="495"/>
        <v>0</v>
      </c>
      <c r="AR347" s="38">
        <f t="shared" si="495"/>
        <v>0</v>
      </c>
      <c r="AS347" s="38">
        <f t="shared" si="495"/>
        <v>0</v>
      </c>
      <c r="AT347" s="38">
        <f t="shared" si="495"/>
        <v>0</v>
      </c>
      <c r="AU347" s="38">
        <f t="shared" si="495"/>
        <v>0</v>
      </c>
      <c r="AV347" s="38">
        <f t="shared" si="495"/>
        <v>0</v>
      </c>
      <c r="AW347" s="38">
        <f t="shared" si="495"/>
        <v>0</v>
      </c>
      <c r="AX347" s="38">
        <f t="shared" si="495"/>
        <v>0</v>
      </c>
      <c r="AY347" s="38">
        <f t="shared" si="495"/>
        <v>0</v>
      </c>
      <c r="AZ347" s="38">
        <f t="shared" si="495"/>
        <v>0</v>
      </c>
      <c r="BA347" s="38">
        <f t="shared" si="495"/>
        <v>0</v>
      </c>
      <c r="BB347" s="38">
        <f t="shared" si="495"/>
        <v>0</v>
      </c>
      <c r="BC347" s="38">
        <f t="shared" si="495"/>
        <v>0</v>
      </c>
      <c r="BD347" s="38">
        <f t="shared" si="495"/>
        <v>0</v>
      </c>
      <c r="BE347" s="38">
        <f t="shared" si="495"/>
        <v>0</v>
      </c>
    </row>
    <row r="348" spans="1:57" hidden="1" outlineLevel="1" x14ac:dyDescent="0.2">
      <c r="E348" s="215" t="s">
        <v>92</v>
      </c>
      <c r="F348" s="215"/>
      <c r="G348" s="215"/>
      <c r="H348" s="215"/>
      <c r="I348" s="215"/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215"/>
      <c r="Z348" s="215"/>
      <c r="AA348" s="215"/>
      <c r="AB348" s="215"/>
      <c r="AC348" s="215"/>
      <c r="AD348" s="215"/>
      <c r="AE348" s="215"/>
      <c r="AF348" s="215"/>
      <c r="AG348" s="215"/>
      <c r="AH348" s="215"/>
      <c r="AI348" s="215"/>
      <c r="AJ348" s="215"/>
      <c r="AK348" s="215"/>
      <c r="AL348" s="215"/>
      <c r="AM348" s="215"/>
      <c r="AN348" s="215"/>
      <c r="AO348" s="215"/>
      <c r="AP348" s="215"/>
      <c r="AQ348" s="215"/>
      <c r="AR348" s="215"/>
      <c r="AS348" s="215"/>
      <c r="AT348" s="215"/>
      <c r="AU348" s="215"/>
      <c r="AV348" s="215"/>
      <c r="AW348" s="215"/>
      <c r="AX348" s="215"/>
      <c r="AY348" s="215"/>
      <c r="AZ348" s="215"/>
      <c r="BA348" s="215"/>
      <c r="BB348" s="215"/>
      <c r="BC348" s="215"/>
      <c r="BD348" s="215"/>
      <c r="BE348" s="215"/>
    </row>
    <row r="349" spans="1:57" hidden="1" outlineLevel="1" x14ac:dyDescent="0.2">
      <c r="E349" s="224" t="s">
        <v>275</v>
      </c>
      <c r="F349" s="224"/>
      <c r="G349" s="224" t="str">
        <f xml:space="preserve"> SMU</f>
        <v>$ 000s</v>
      </c>
      <c r="H349" s="224"/>
      <c r="I349" s="225"/>
      <c r="J349" s="224">
        <f t="shared" ref="J349:BE349" si="496" xml:space="preserve"> J346 + J347 - J348</f>
        <v>0</v>
      </c>
      <c r="K349" s="224">
        <f t="shared" si="496"/>
        <v>0</v>
      </c>
      <c r="L349" s="224">
        <f t="shared" si="496"/>
        <v>0</v>
      </c>
      <c r="M349" s="224">
        <f t="shared" si="496"/>
        <v>0</v>
      </c>
      <c r="N349" s="224">
        <f t="shared" si="496"/>
        <v>0</v>
      </c>
      <c r="O349" s="224">
        <f t="shared" si="496"/>
        <v>0</v>
      </c>
      <c r="P349" s="224">
        <f t="shared" si="496"/>
        <v>0</v>
      </c>
      <c r="Q349" s="224">
        <f t="shared" si="496"/>
        <v>0</v>
      </c>
      <c r="R349" s="224">
        <f t="shared" si="496"/>
        <v>0</v>
      </c>
      <c r="S349" s="224">
        <f t="shared" si="496"/>
        <v>60.378964305980844</v>
      </c>
      <c r="T349" s="224">
        <f t="shared" si="496"/>
        <v>12092.313151743499</v>
      </c>
      <c r="U349" s="224">
        <f t="shared" si="496"/>
        <v>24168.503787280471</v>
      </c>
      <c r="V349" s="224">
        <f t="shared" si="496"/>
        <v>36279.480560802884</v>
      </c>
      <c r="W349" s="224">
        <f t="shared" si="496"/>
        <v>48384.175436202699</v>
      </c>
      <c r="X349" s="224">
        <f t="shared" si="496"/>
        <v>60564.906797148731</v>
      </c>
      <c r="Y349" s="224">
        <f t="shared" si="496"/>
        <v>72764.236844737621</v>
      </c>
      <c r="Z349" s="224">
        <f t="shared" si="496"/>
        <v>85015.196326942736</v>
      </c>
      <c r="AA349" s="224">
        <f t="shared" si="496"/>
        <v>97282.172175491753</v>
      </c>
      <c r="AB349" s="224">
        <f t="shared" si="496"/>
        <v>109603.75693245011</v>
      </c>
      <c r="AC349" s="224">
        <f t="shared" si="496"/>
        <v>121960.8346987964</v>
      </c>
      <c r="AD349" s="224">
        <f t="shared" si="496"/>
        <v>134330.02681340164</v>
      </c>
      <c r="AE349" s="224">
        <f t="shared" si="496"/>
        <v>146758.32997374953</v>
      </c>
      <c r="AF349" s="224">
        <f t="shared" si="496"/>
        <v>159196.12849188026</v>
      </c>
      <c r="AG349" s="224">
        <f t="shared" si="496"/>
        <v>171696.05983949249</v>
      </c>
      <c r="AH349" s="224">
        <f t="shared" si="496"/>
        <v>182241.9979337572</v>
      </c>
      <c r="AI349" s="224">
        <f t="shared" si="496"/>
        <v>192757.62167773416</v>
      </c>
      <c r="AJ349" s="224">
        <f t="shared" si="496"/>
        <v>203364.22877089295</v>
      </c>
      <c r="AK349" s="224">
        <f t="shared" si="496"/>
        <v>213968.63694219795</v>
      </c>
      <c r="AL349" s="224">
        <f t="shared" si="496"/>
        <v>224636.34354314909</v>
      </c>
      <c r="AM349" s="224">
        <f t="shared" si="496"/>
        <v>250389.85226030689</v>
      </c>
      <c r="AN349" s="224">
        <f t="shared" si="496"/>
        <v>250389.85226030689</v>
      </c>
      <c r="AO349" s="224">
        <f t="shared" si="496"/>
        <v>250389.85226030689</v>
      </c>
      <c r="AP349" s="224">
        <f t="shared" si="496"/>
        <v>250389.85226030689</v>
      </c>
      <c r="AQ349" s="224">
        <f t="shared" si="496"/>
        <v>250389.85226030689</v>
      </c>
      <c r="AR349" s="224">
        <f t="shared" si="496"/>
        <v>250389.85226030689</v>
      </c>
      <c r="AS349" s="224">
        <f t="shared" si="496"/>
        <v>250389.85226030689</v>
      </c>
      <c r="AT349" s="224">
        <f t="shared" si="496"/>
        <v>250389.85226030689</v>
      </c>
      <c r="AU349" s="224">
        <f t="shared" si="496"/>
        <v>250389.85226030689</v>
      </c>
      <c r="AV349" s="224">
        <f t="shared" si="496"/>
        <v>250389.85226030689</v>
      </c>
      <c r="AW349" s="224">
        <f t="shared" si="496"/>
        <v>250389.85226030689</v>
      </c>
      <c r="AX349" s="224">
        <f t="shared" si="496"/>
        <v>250389.85226030689</v>
      </c>
      <c r="AY349" s="224">
        <f t="shared" si="496"/>
        <v>250389.85226030689</v>
      </c>
      <c r="AZ349" s="224">
        <f t="shared" si="496"/>
        <v>250389.85226030689</v>
      </c>
      <c r="BA349" s="224">
        <f t="shared" si="496"/>
        <v>250389.85226030689</v>
      </c>
      <c r="BB349" s="224">
        <f t="shared" si="496"/>
        <v>250389.85226030689</v>
      </c>
      <c r="BC349" s="224">
        <f t="shared" si="496"/>
        <v>250389.85226030689</v>
      </c>
      <c r="BD349" s="224">
        <f t="shared" si="496"/>
        <v>250389.85226030689</v>
      </c>
      <c r="BE349" s="224">
        <f t="shared" si="496"/>
        <v>250389.85226030689</v>
      </c>
    </row>
    <row r="350" spans="1:57" hidden="1" outlineLevel="1" x14ac:dyDescent="0.2">
      <c r="E350" s="214"/>
      <c r="F350" s="214"/>
      <c r="G350" s="214"/>
      <c r="H350" s="214"/>
      <c r="I350" s="38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</row>
    <row r="351" spans="1:57" hidden="1" outlineLevel="1" x14ac:dyDescent="0.2">
      <c r="E351" s="214"/>
      <c r="F351" s="214"/>
      <c r="G351" s="214"/>
      <c r="H351" s="214"/>
      <c r="I351" s="38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</row>
    <row r="352" spans="1:57" hidden="1" outlineLevel="1" x14ac:dyDescent="0.2">
      <c r="A352" s="15" t="s">
        <v>936</v>
      </c>
      <c r="E352" s="214"/>
      <c r="F352" s="214"/>
      <c r="G352" s="214"/>
      <c r="H352" s="214"/>
      <c r="I352" s="38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</row>
    <row r="353" spans="1:57" hidden="1" outlineLevel="1" x14ac:dyDescent="0.2">
      <c r="E353" s="214"/>
      <c r="F353" s="214"/>
      <c r="G353" s="214"/>
      <c r="H353" s="214"/>
      <c r="I353" s="38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</row>
    <row r="354" spans="1:57" hidden="1" outlineLevel="1" x14ac:dyDescent="0.2">
      <c r="B354" s="15" t="s">
        <v>276</v>
      </c>
    </row>
    <row r="355" spans="1:57" hidden="1" outlineLevel="2" x14ac:dyDescent="0.2">
      <c r="C355" s="21" t="s">
        <v>891</v>
      </c>
    </row>
    <row r="356" spans="1:57" hidden="1" outlineLevel="2" x14ac:dyDescent="0.2">
      <c r="E356" s="145" t="str">
        <f xml:space="preserve"> InpC!E$176</f>
        <v>Construction debt - T1 upfront fee amount</v>
      </c>
      <c r="F356" s="316">
        <f xml:space="preserve"> InpC!F$176</f>
        <v>0.02</v>
      </c>
      <c r="G356" s="145" t="str">
        <f xml:space="preserve"> InpC!G$176</f>
        <v>%</v>
      </c>
      <c r="H356" s="38"/>
    </row>
    <row r="357" spans="1:57" s="283" customFormat="1" hidden="1" outlineLevel="2" x14ac:dyDescent="0.2">
      <c r="A357" s="556"/>
      <c r="B357" s="556"/>
      <c r="C357" s="557"/>
      <c r="D357" s="115"/>
      <c r="E357" s="316" t="str">
        <f xml:space="preserve"> InpC!E$171</f>
        <v>Senior debt - T1 - % of debt</v>
      </c>
      <c r="F357" s="316">
        <f xml:space="preserve"> InpC!F$171</f>
        <v>0.5</v>
      </c>
      <c r="G357" s="316" t="str">
        <f xml:space="preserve"> InpC!G$171</f>
        <v>%</v>
      </c>
      <c r="H357" s="115"/>
      <c r="I357" s="112"/>
      <c r="J357" s="282"/>
      <c r="K357" s="282"/>
      <c r="L357" s="282"/>
      <c r="M357" s="282"/>
      <c r="N357" s="282"/>
      <c r="O357" s="282"/>
      <c r="P357" s="282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  <c r="AF357" s="282"/>
      <c r="AG357" s="282"/>
      <c r="AH357" s="282"/>
      <c r="AI357" s="282"/>
      <c r="AJ357" s="282"/>
      <c r="AK357" s="282"/>
      <c r="AL357" s="282"/>
      <c r="AM357" s="282"/>
      <c r="AN357" s="282"/>
      <c r="AO357" s="282"/>
      <c r="AP357" s="282"/>
      <c r="AQ357" s="282"/>
      <c r="AR357" s="282"/>
      <c r="AS357" s="282"/>
      <c r="AT357" s="282"/>
      <c r="AU357" s="282"/>
      <c r="AV357" s="282"/>
      <c r="AW357" s="282"/>
      <c r="AX357" s="282"/>
      <c r="AY357" s="282"/>
      <c r="AZ357" s="282"/>
      <c r="BA357" s="282"/>
      <c r="BB357" s="282"/>
      <c r="BC357" s="282"/>
      <c r="BD357" s="282"/>
      <c r="BE357" s="282"/>
    </row>
    <row r="358" spans="1:57" hidden="1" outlineLevel="2" x14ac:dyDescent="0.2">
      <c r="E358" s="145" t="str">
        <f xml:space="preserve"> Debt!E$63</f>
        <v>Senior debt drawdown - calc</v>
      </c>
      <c r="F358" s="145">
        <f xml:space="preserve"> Debt!F$63</f>
        <v>250389.85226030689</v>
      </c>
      <c r="G358" s="145" t="str">
        <f xml:space="preserve"> Debt!G$63</f>
        <v>$ 000s</v>
      </c>
      <c r="H358" s="38"/>
    </row>
    <row r="359" spans="1:57" hidden="1" outlineLevel="2" x14ac:dyDescent="0.2">
      <c r="E359" s="189" t="str">
        <f xml:space="preserve"> ConTime!E$64</f>
        <v>Financial close date flag - m</v>
      </c>
      <c r="F359" s="189">
        <f xml:space="preserve"> ConTime!F$64</f>
        <v>0</v>
      </c>
      <c r="G359" s="189" t="str">
        <f xml:space="preserve"> ConTime!G$64</f>
        <v>flag</v>
      </c>
      <c r="H359" s="189">
        <f xml:space="preserve"> ConTime!H$64</f>
        <v>1</v>
      </c>
      <c r="I359" s="189">
        <f xml:space="preserve"> ConTime!I$64</f>
        <v>0</v>
      </c>
      <c r="J359" s="189">
        <f xml:space="preserve"> ConTime!J$64</f>
        <v>0</v>
      </c>
      <c r="K359" s="189">
        <f xml:space="preserve"> ConTime!K$64</f>
        <v>0</v>
      </c>
      <c r="L359" s="189">
        <f xml:space="preserve"> ConTime!L$64</f>
        <v>0</v>
      </c>
      <c r="M359" s="189">
        <f xml:space="preserve"> ConTime!M$64</f>
        <v>1</v>
      </c>
      <c r="N359" s="189">
        <f xml:space="preserve"> ConTime!N$64</f>
        <v>0</v>
      </c>
      <c r="O359" s="189">
        <f xml:space="preserve"> ConTime!O$64</f>
        <v>0</v>
      </c>
      <c r="P359" s="189">
        <f xml:space="preserve"> ConTime!P$64</f>
        <v>0</v>
      </c>
      <c r="Q359" s="189">
        <f xml:space="preserve"> ConTime!Q$64</f>
        <v>0</v>
      </c>
      <c r="R359" s="189">
        <f xml:space="preserve"> ConTime!R$64</f>
        <v>0</v>
      </c>
      <c r="S359" s="189">
        <f xml:space="preserve"> ConTime!S$64</f>
        <v>0</v>
      </c>
      <c r="T359" s="189">
        <f xml:space="preserve"> ConTime!T$64</f>
        <v>0</v>
      </c>
      <c r="U359" s="189">
        <f xml:space="preserve"> ConTime!U$64</f>
        <v>0</v>
      </c>
      <c r="V359" s="189">
        <f xml:space="preserve"> ConTime!V$64</f>
        <v>0</v>
      </c>
      <c r="W359" s="189">
        <f xml:space="preserve"> ConTime!W$64</f>
        <v>0</v>
      </c>
      <c r="X359" s="189">
        <f xml:space="preserve"> ConTime!X$64</f>
        <v>0</v>
      </c>
      <c r="Y359" s="189">
        <f xml:space="preserve"> ConTime!Y$64</f>
        <v>0</v>
      </c>
      <c r="Z359" s="189">
        <f xml:space="preserve"> ConTime!Z$64</f>
        <v>0</v>
      </c>
      <c r="AA359" s="189">
        <f xml:space="preserve"> ConTime!AA$64</f>
        <v>0</v>
      </c>
      <c r="AB359" s="189">
        <f xml:space="preserve"> ConTime!AB$64</f>
        <v>0</v>
      </c>
      <c r="AC359" s="189">
        <f xml:space="preserve"> ConTime!AC$64</f>
        <v>0</v>
      </c>
      <c r="AD359" s="189">
        <f xml:space="preserve"> ConTime!AD$64</f>
        <v>0</v>
      </c>
      <c r="AE359" s="189">
        <f xml:space="preserve"> ConTime!AE$64</f>
        <v>0</v>
      </c>
      <c r="AF359" s="189">
        <f xml:space="preserve"> ConTime!AF$64</f>
        <v>0</v>
      </c>
      <c r="AG359" s="189">
        <f xml:space="preserve"> ConTime!AG$64</f>
        <v>0</v>
      </c>
      <c r="AH359" s="189">
        <f xml:space="preserve"> ConTime!AH$64</f>
        <v>0</v>
      </c>
      <c r="AI359" s="189">
        <f xml:space="preserve"> ConTime!AI$64</f>
        <v>0</v>
      </c>
      <c r="AJ359" s="189">
        <f xml:space="preserve"> ConTime!AJ$64</f>
        <v>0</v>
      </c>
      <c r="AK359" s="189">
        <f xml:space="preserve"> ConTime!AK$64</f>
        <v>0</v>
      </c>
      <c r="AL359" s="189">
        <f xml:space="preserve"> ConTime!AL$64</f>
        <v>0</v>
      </c>
      <c r="AM359" s="189">
        <f xml:space="preserve"> ConTime!AM$64</f>
        <v>0</v>
      </c>
      <c r="AN359" s="189">
        <f xml:space="preserve"> ConTime!AN$64</f>
        <v>0</v>
      </c>
      <c r="AO359" s="189">
        <f xml:space="preserve"> ConTime!AO$64</f>
        <v>0</v>
      </c>
      <c r="AP359" s="189">
        <f xml:space="preserve"> ConTime!AP$64</f>
        <v>0</v>
      </c>
      <c r="AQ359" s="189">
        <f xml:space="preserve"> ConTime!AQ$64</f>
        <v>0</v>
      </c>
      <c r="AR359" s="189">
        <f xml:space="preserve"> ConTime!AR$64</f>
        <v>0</v>
      </c>
      <c r="AS359" s="189">
        <f xml:space="preserve"> ConTime!AS$64</f>
        <v>0</v>
      </c>
      <c r="AT359" s="189">
        <f xml:space="preserve"> ConTime!AT$64</f>
        <v>0</v>
      </c>
      <c r="AU359" s="189">
        <f xml:space="preserve"> ConTime!AU$64</f>
        <v>0</v>
      </c>
      <c r="AV359" s="189">
        <f xml:space="preserve"> ConTime!AV$64</f>
        <v>0</v>
      </c>
      <c r="AW359" s="189">
        <f xml:space="preserve"> ConTime!AW$64</f>
        <v>0</v>
      </c>
      <c r="AX359" s="189">
        <f xml:space="preserve"> ConTime!AX$64</f>
        <v>0</v>
      </c>
      <c r="AY359" s="189">
        <f xml:space="preserve"> ConTime!AY$64</f>
        <v>0</v>
      </c>
      <c r="AZ359" s="189">
        <f xml:space="preserve"> ConTime!AZ$64</f>
        <v>0</v>
      </c>
      <c r="BA359" s="189">
        <f xml:space="preserve"> ConTime!BA$64</f>
        <v>0</v>
      </c>
      <c r="BB359" s="189">
        <f xml:space="preserve"> ConTime!BB$64</f>
        <v>0</v>
      </c>
      <c r="BC359" s="189">
        <f xml:space="preserve"> ConTime!BC$64</f>
        <v>0</v>
      </c>
      <c r="BD359" s="189">
        <f xml:space="preserve"> ConTime!BD$64</f>
        <v>0</v>
      </c>
      <c r="BE359" s="189">
        <f xml:space="preserve"> ConTime!BE$64</f>
        <v>0</v>
      </c>
    </row>
    <row r="360" spans="1:57" s="191" customFormat="1" hidden="1" outlineLevel="2" x14ac:dyDescent="0.2">
      <c r="A360" s="236"/>
      <c r="B360" s="236"/>
      <c r="C360" s="237"/>
      <c r="D360" s="238"/>
      <c r="E360" s="234" t="s">
        <v>937</v>
      </c>
      <c r="F360" s="234"/>
      <c r="G360" s="234" t="str">
        <f xml:space="preserve"> SMU</f>
        <v>$ 000s</v>
      </c>
      <c r="H360" s="234">
        <f xml:space="preserve"> SUM(J360:BE360)</f>
        <v>2503.8985226030691</v>
      </c>
      <c r="I360" s="235"/>
      <c r="J360" s="234">
        <f t="shared" ref="J360:BE360" si="497" xml:space="preserve"> $F356 * $F357 * $F358 * J359</f>
        <v>0</v>
      </c>
      <c r="K360" s="234">
        <f t="shared" si="497"/>
        <v>0</v>
      </c>
      <c r="L360" s="234">
        <f t="shared" si="497"/>
        <v>0</v>
      </c>
      <c r="M360" s="234">
        <f t="shared" si="497"/>
        <v>2503.8985226030691</v>
      </c>
      <c r="N360" s="234">
        <f t="shared" si="497"/>
        <v>0</v>
      </c>
      <c r="O360" s="234">
        <f t="shared" si="497"/>
        <v>0</v>
      </c>
      <c r="P360" s="234">
        <f t="shared" si="497"/>
        <v>0</v>
      </c>
      <c r="Q360" s="234">
        <f t="shared" si="497"/>
        <v>0</v>
      </c>
      <c r="R360" s="234">
        <f t="shared" si="497"/>
        <v>0</v>
      </c>
      <c r="S360" s="234">
        <f t="shared" si="497"/>
        <v>0</v>
      </c>
      <c r="T360" s="234">
        <f t="shared" si="497"/>
        <v>0</v>
      </c>
      <c r="U360" s="234">
        <f t="shared" si="497"/>
        <v>0</v>
      </c>
      <c r="V360" s="234">
        <f t="shared" si="497"/>
        <v>0</v>
      </c>
      <c r="W360" s="234">
        <f t="shared" si="497"/>
        <v>0</v>
      </c>
      <c r="X360" s="234">
        <f t="shared" si="497"/>
        <v>0</v>
      </c>
      <c r="Y360" s="234">
        <f t="shared" si="497"/>
        <v>0</v>
      </c>
      <c r="Z360" s="234">
        <f t="shared" si="497"/>
        <v>0</v>
      </c>
      <c r="AA360" s="234">
        <f t="shared" si="497"/>
        <v>0</v>
      </c>
      <c r="AB360" s="234">
        <f t="shared" si="497"/>
        <v>0</v>
      </c>
      <c r="AC360" s="234">
        <f t="shared" si="497"/>
        <v>0</v>
      </c>
      <c r="AD360" s="234">
        <f t="shared" si="497"/>
        <v>0</v>
      </c>
      <c r="AE360" s="234">
        <f t="shared" si="497"/>
        <v>0</v>
      </c>
      <c r="AF360" s="234">
        <f t="shared" si="497"/>
        <v>0</v>
      </c>
      <c r="AG360" s="234">
        <f t="shared" si="497"/>
        <v>0</v>
      </c>
      <c r="AH360" s="234">
        <f t="shared" si="497"/>
        <v>0</v>
      </c>
      <c r="AI360" s="234">
        <f t="shared" si="497"/>
        <v>0</v>
      </c>
      <c r="AJ360" s="234">
        <f t="shared" si="497"/>
        <v>0</v>
      </c>
      <c r="AK360" s="234">
        <f t="shared" si="497"/>
        <v>0</v>
      </c>
      <c r="AL360" s="234">
        <f t="shared" si="497"/>
        <v>0</v>
      </c>
      <c r="AM360" s="234">
        <f t="shared" si="497"/>
        <v>0</v>
      </c>
      <c r="AN360" s="234">
        <f t="shared" si="497"/>
        <v>0</v>
      </c>
      <c r="AO360" s="234">
        <f t="shared" si="497"/>
        <v>0</v>
      </c>
      <c r="AP360" s="234">
        <f t="shared" si="497"/>
        <v>0</v>
      </c>
      <c r="AQ360" s="234">
        <f t="shared" si="497"/>
        <v>0</v>
      </c>
      <c r="AR360" s="234">
        <f t="shared" si="497"/>
        <v>0</v>
      </c>
      <c r="AS360" s="234">
        <f t="shared" si="497"/>
        <v>0</v>
      </c>
      <c r="AT360" s="234">
        <f t="shared" si="497"/>
        <v>0</v>
      </c>
      <c r="AU360" s="234">
        <f t="shared" si="497"/>
        <v>0</v>
      </c>
      <c r="AV360" s="234">
        <f t="shared" si="497"/>
        <v>0</v>
      </c>
      <c r="AW360" s="234">
        <f t="shared" si="497"/>
        <v>0</v>
      </c>
      <c r="AX360" s="234">
        <f t="shared" si="497"/>
        <v>0</v>
      </c>
      <c r="AY360" s="234">
        <f t="shared" si="497"/>
        <v>0</v>
      </c>
      <c r="AZ360" s="234">
        <f t="shared" si="497"/>
        <v>0</v>
      </c>
      <c r="BA360" s="234">
        <f t="shared" si="497"/>
        <v>0</v>
      </c>
      <c r="BB360" s="234">
        <f t="shared" si="497"/>
        <v>0</v>
      </c>
      <c r="BC360" s="234">
        <f t="shared" si="497"/>
        <v>0</v>
      </c>
      <c r="BD360" s="234">
        <f t="shared" si="497"/>
        <v>0</v>
      </c>
      <c r="BE360" s="234">
        <f t="shared" si="497"/>
        <v>0</v>
      </c>
    </row>
    <row r="361" spans="1:57" hidden="1" outlineLevel="2" x14ac:dyDescent="0.2"/>
    <row r="362" spans="1:57" hidden="1" outlineLevel="2" x14ac:dyDescent="0.2">
      <c r="C362" s="21" t="s">
        <v>892</v>
      </c>
    </row>
    <row r="363" spans="1:57" s="283" customFormat="1" hidden="1" outlineLevel="2" x14ac:dyDescent="0.2">
      <c r="A363" s="556"/>
      <c r="B363" s="556"/>
      <c r="C363" s="557"/>
      <c r="D363" s="115"/>
      <c r="E363" s="316" t="str">
        <f xml:space="preserve"> InpC!E$185</f>
        <v>Construction debt - T2 upfront fee amount</v>
      </c>
      <c r="F363" s="316">
        <f xml:space="preserve"> InpC!F$185</f>
        <v>2.1999999999999999E-2</v>
      </c>
      <c r="G363" s="316" t="str">
        <f xml:space="preserve"> InpC!G$185</f>
        <v>%</v>
      </c>
      <c r="H363" s="115"/>
      <c r="I363" s="112"/>
      <c r="J363" s="282"/>
      <c r="K363" s="282"/>
      <c r="L363" s="282"/>
      <c r="M363" s="282"/>
      <c r="N363" s="282"/>
      <c r="O363" s="282"/>
      <c r="P363" s="282"/>
      <c r="Q363" s="282"/>
      <c r="R363" s="282"/>
      <c r="S363" s="282"/>
      <c r="T363" s="282"/>
      <c r="U363" s="282"/>
      <c r="V363" s="282"/>
      <c r="W363" s="282"/>
      <c r="X363" s="282"/>
      <c r="Y363" s="282"/>
      <c r="Z363" s="282"/>
      <c r="AA363" s="282"/>
      <c r="AB363" s="282"/>
      <c r="AC363" s="282"/>
      <c r="AD363" s="282"/>
      <c r="AE363" s="282"/>
      <c r="AF363" s="282"/>
      <c r="AG363" s="282"/>
      <c r="AH363" s="282"/>
      <c r="AI363" s="282"/>
      <c r="AJ363" s="282"/>
      <c r="AK363" s="282"/>
      <c r="AL363" s="282"/>
      <c r="AM363" s="282"/>
      <c r="AN363" s="282"/>
      <c r="AO363" s="282"/>
      <c r="AP363" s="282"/>
      <c r="AQ363" s="282"/>
      <c r="AR363" s="282"/>
      <c r="AS363" s="282"/>
      <c r="AT363" s="282"/>
      <c r="AU363" s="282"/>
      <c r="AV363" s="282"/>
      <c r="AW363" s="282"/>
      <c r="AX363" s="282"/>
      <c r="AY363" s="282"/>
      <c r="AZ363" s="282"/>
      <c r="BA363" s="282"/>
      <c r="BB363" s="282"/>
      <c r="BC363" s="282"/>
      <c r="BD363" s="282"/>
      <c r="BE363" s="282"/>
    </row>
    <row r="364" spans="1:57" s="283" customFormat="1" hidden="1" outlineLevel="2" x14ac:dyDescent="0.2">
      <c r="A364" s="556"/>
      <c r="B364" s="556"/>
      <c r="C364" s="557"/>
      <c r="D364" s="115"/>
      <c r="E364" s="316" t="str">
        <f xml:space="preserve"> InpC!E$172</f>
        <v>Senior debt - T2 - % of debt</v>
      </c>
      <c r="F364" s="316">
        <f xml:space="preserve"> InpC!F$172</f>
        <v>0.5</v>
      </c>
      <c r="G364" s="316" t="str">
        <f xml:space="preserve"> InpC!G$172</f>
        <v>%</v>
      </c>
      <c r="H364" s="115"/>
      <c r="I364" s="112"/>
      <c r="J364" s="282"/>
      <c r="K364" s="282"/>
      <c r="L364" s="282"/>
      <c r="M364" s="282"/>
      <c r="N364" s="282"/>
      <c r="O364" s="282"/>
      <c r="P364" s="282"/>
      <c r="Q364" s="282"/>
      <c r="R364" s="282"/>
      <c r="S364" s="282"/>
      <c r="T364" s="282"/>
      <c r="U364" s="282"/>
      <c r="V364" s="282"/>
      <c r="W364" s="282"/>
      <c r="X364" s="282"/>
      <c r="Y364" s="282"/>
      <c r="Z364" s="282"/>
      <c r="AA364" s="282"/>
      <c r="AB364" s="282"/>
      <c r="AC364" s="282"/>
      <c r="AD364" s="282"/>
      <c r="AE364" s="282"/>
      <c r="AF364" s="282"/>
      <c r="AG364" s="282"/>
      <c r="AH364" s="282"/>
      <c r="AI364" s="282"/>
      <c r="AJ364" s="282"/>
      <c r="AK364" s="282"/>
      <c r="AL364" s="282"/>
      <c r="AM364" s="282"/>
      <c r="AN364" s="282"/>
      <c r="AO364" s="282"/>
      <c r="AP364" s="282"/>
      <c r="AQ364" s="282"/>
      <c r="AR364" s="282"/>
      <c r="AS364" s="282"/>
      <c r="AT364" s="282"/>
      <c r="AU364" s="282"/>
      <c r="AV364" s="282"/>
      <c r="AW364" s="282"/>
      <c r="AX364" s="282"/>
      <c r="AY364" s="282"/>
      <c r="AZ364" s="282"/>
      <c r="BA364" s="282"/>
      <c r="BB364" s="282"/>
      <c r="BC364" s="282"/>
      <c r="BD364" s="282"/>
      <c r="BE364" s="282"/>
    </row>
    <row r="365" spans="1:57" hidden="1" outlineLevel="2" x14ac:dyDescent="0.2">
      <c r="E365" s="145" t="str">
        <f xml:space="preserve"> Debt!E$63</f>
        <v>Senior debt drawdown - calc</v>
      </c>
      <c r="F365" s="145">
        <f xml:space="preserve"> Debt!F$63</f>
        <v>250389.85226030689</v>
      </c>
      <c r="G365" s="145" t="str">
        <f xml:space="preserve"> Debt!G$63</f>
        <v>$ 000s</v>
      </c>
      <c r="H365" s="38"/>
    </row>
    <row r="366" spans="1:57" hidden="1" outlineLevel="2" x14ac:dyDescent="0.2">
      <c r="E366" s="189" t="str">
        <f xml:space="preserve"> ConTime!E$64</f>
        <v>Financial close date flag - m</v>
      </c>
      <c r="F366" s="189">
        <f xml:space="preserve"> ConTime!F$64</f>
        <v>0</v>
      </c>
      <c r="G366" s="189" t="str">
        <f xml:space="preserve"> ConTime!G$64</f>
        <v>flag</v>
      </c>
      <c r="H366" s="189">
        <f xml:space="preserve"> ConTime!H$64</f>
        <v>1</v>
      </c>
      <c r="I366" s="189">
        <f xml:space="preserve"> ConTime!I$64</f>
        <v>0</v>
      </c>
      <c r="J366" s="189">
        <f xml:space="preserve"> ConTime!J$64</f>
        <v>0</v>
      </c>
      <c r="K366" s="189">
        <f xml:space="preserve"> ConTime!K$64</f>
        <v>0</v>
      </c>
      <c r="L366" s="189">
        <f xml:space="preserve"> ConTime!L$64</f>
        <v>0</v>
      </c>
      <c r="M366" s="189">
        <f xml:space="preserve"> ConTime!M$64</f>
        <v>1</v>
      </c>
      <c r="N366" s="189">
        <f xml:space="preserve"> ConTime!N$64</f>
        <v>0</v>
      </c>
      <c r="O366" s="189">
        <f xml:space="preserve"> ConTime!O$64</f>
        <v>0</v>
      </c>
      <c r="P366" s="189">
        <f xml:space="preserve"> ConTime!P$64</f>
        <v>0</v>
      </c>
      <c r="Q366" s="189">
        <f xml:space="preserve"> ConTime!Q$64</f>
        <v>0</v>
      </c>
      <c r="R366" s="189">
        <f xml:space="preserve"> ConTime!R$64</f>
        <v>0</v>
      </c>
      <c r="S366" s="189">
        <f xml:space="preserve"> ConTime!S$64</f>
        <v>0</v>
      </c>
      <c r="T366" s="189">
        <f xml:space="preserve"> ConTime!T$64</f>
        <v>0</v>
      </c>
      <c r="U366" s="189">
        <f xml:space="preserve"> ConTime!U$64</f>
        <v>0</v>
      </c>
      <c r="V366" s="189">
        <f xml:space="preserve"> ConTime!V$64</f>
        <v>0</v>
      </c>
      <c r="W366" s="189">
        <f xml:space="preserve"> ConTime!W$64</f>
        <v>0</v>
      </c>
      <c r="X366" s="189">
        <f xml:space="preserve"> ConTime!X$64</f>
        <v>0</v>
      </c>
      <c r="Y366" s="189">
        <f xml:space="preserve"> ConTime!Y$64</f>
        <v>0</v>
      </c>
      <c r="Z366" s="189">
        <f xml:space="preserve"> ConTime!Z$64</f>
        <v>0</v>
      </c>
      <c r="AA366" s="189">
        <f xml:space="preserve"> ConTime!AA$64</f>
        <v>0</v>
      </c>
      <c r="AB366" s="189">
        <f xml:space="preserve"> ConTime!AB$64</f>
        <v>0</v>
      </c>
      <c r="AC366" s="189">
        <f xml:space="preserve"> ConTime!AC$64</f>
        <v>0</v>
      </c>
      <c r="AD366" s="189">
        <f xml:space="preserve"> ConTime!AD$64</f>
        <v>0</v>
      </c>
      <c r="AE366" s="189">
        <f xml:space="preserve"> ConTime!AE$64</f>
        <v>0</v>
      </c>
      <c r="AF366" s="189">
        <f xml:space="preserve"> ConTime!AF$64</f>
        <v>0</v>
      </c>
      <c r="AG366" s="189">
        <f xml:space="preserve"> ConTime!AG$64</f>
        <v>0</v>
      </c>
      <c r="AH366" s="189">
        <f xml:space="preserve"> ConTime!AH$64</f>
        <v>0</v>
      </c>
      <c r="AI366" s="189">
        <f xml:space="preserve"> ConTime!AI$64</f>
        <v>0</v>
      </c>
      <c r="AJ366" s="189">
        <f xml:space="preserve"> ConTime!AJ$64</f>
        <v>0</v>
      </c>
      <c r="AK366" s="189">
        <f xml:space="preserve"> ConTime!AK$64</f>
        <v>0</v>
      </c>
      <c r="AL366" s="189">
        <f xml:space="preserve"> ConTime!AL$64</f>
        <v>0</v>
      </c>
      <c r="AM366" s="189">
        <f xml:space="preserve"> ConTime!AM$64</f>
        <v>0</v>
      </c>
      <c r="AN366" s="189">
        <f xml:space="preserve"> ConTime!AN$64</f>
        <v>0</v>
      </c>
      <c r="AO366" s="189">
        <f xml:space="preserve"> ConTime!AO$64</f>
        <v>0</v>
      </c>
      <c r="AP366" s="189">
        <f xml:space="preserve"> ConTime!AP$64</f>
        <v>0</v>
      </c>
      <c r="AQ366" s="189">
        <f xml:space="preserve"> ConTime!AQ$64</f>
        <v>0</v>
      </c>
      <c r="AR366" s="189">
        <f xml:space="preserve"> ConTime!AR$64</f>
        <v>0</v>
      </c>
      <c r="AS366" s="189">
        <f xml:space="preserve"> ConTime!AS$64</f>
        <v>0</v>
      </c>
      <c r="AT366" s="189">
        <f xml:space="preserve"> ConTime!AT$64</f>
        <v>0</v>
      </c>
      <c r="AU366" s="189">
        <f xml:space="preserve"> ConTime!AU$64</f>
        <v>0</v>
      </c>
      <c r="AV366" s="189">
        <f xml:space="preserve"> ConTime!AV$64</f>
        <v>0</v>
      </c>
      <c r="AW366" s="189">
        <f xml:space="preserve"> ConTime!AW$64</f>
        <v>0</v>
      </c>
      <c r="AX366" s="189">
        <f xml:space="preserve"> ConTime!AX$64</f>
        <v>0</v>
      </c>
      <c r="AY366" s="189">
        <f xml:space="preserve"> ConTime!AY$64</f>
        <v>0</v>
      </c>
      <c r="AZ366" s="189">
        <f xml:space="preserve"> ConTime!AZ$64</f>
        <v>0</v>
      </c>
      <c r="BA366" s="189">
        <f xml:space="preserve"> ConTime!BA$64</f>
        <v>0</v>
      </c>
      <c r="BB366" s="189">
        <f xml:space="preserve"> ConTime!BB$64</f>
        <v>0</v>
      </c>
      <c r="BC366" s="189">
        <f xml:space="preserve"> ConTime!BC$64</f>
        <v>0</v>
      </c>
      <c r="BD366" s="189">
        <f xml:space="preserve"> ConTime!BD$64</f>
        <v>0</v>
      </c>
      <c r="BE366" s="189">
        <f xml:space="preserve"> ConTime!BE$64</f>
        <v>0</v>
      </c>
    </row>
    <row r="367" spans="1:57" s="191" customFormat="1" hidden="1" outlineLevel="2" x14ac:dyDescent="0.2">
      <c r="A367" s="236"/>
      <c r="B367" s="236"/>
      <c r="C367" s="237"/>
      <c r="D367" s="238"/>
      <c r="E367" s="234" t="s">
        <v>938</v>
      </c>
      <c r="F367" s="234"/>
      <c r="G367" s="234" t="str">
        <f xml:space="preserve"> SMU</f>
        <v>$ 000s</v>
      </c>
      <c r="H367" s="234">
        <f xml:space="preserve"> SUM(J367:BE367)</f>
        <v>2754.2883748633758</v>
      </c>
      <c r="I367" s="235"/>
      <c r="J367" s="234">
        <f t="shared" ref="J367" si="498" xml:space="preserve"> $F363 * $F364 * $F365 * J366</f>
        <v>0</v>
      </c>
      <c r="K367" s="234">
        <f t="shared" ref="K367" si="499" xml:space="preserve"> $F363 * $F364 * $F365 * K366</f>
        <v>0</v>
      </c>
      <c r="L367" s="234">
        <f t="shared" ref="L367" si="500" xml:space="preserve"> $F363 * $F364 * $F365 * L366</f>
        <v>0</v>
      </c>
      <c r="M367" s="234">
        <f t="shared" ref="M367" si="501" xml:space="preserve"> $F363 * $F364 * $F365 * M366</f>
        <v>2754.2883748633758</v>
      </c>
      <c r="N367" s="234">
        <f t="shared" ref="N367" si="502" xml:space="preserve"> $F363 * $F364 * $F365 * N366</f>
        <v>0</v>
      </c>
      <c r="O367" s="234">
        <f t="shared" ref="O367" si="503" xml:space="preserve"> $F363 * $F364 * $F365 * O366</f>
        <v>0</v>
      </c>
      <c r="P367" s="234">
        <f t="shared" ref="P367" si="504" xml:space="preserve"> $F363 * $F364 * $F365 * P366</f>
        <v>0</v>
      </c>
      <c r="Q367" s="234">
        <f t="shared" ref="Q367" si="505" xml:space="preserve"> $F363 * $F364 * $F365 * Q366</f>
        <v>0</v>
      </c>
      <c r="R367" s="234">
        <f t="shared" ref="R367" si="506" xml:space="preserve"> $F363 * $F364 * $F365 * R366</f>
        <v>0</v>
      </c>
      <c r="S367" s="234">
        <f t="shared" ref="S367" si="507" xml:space="preserve"> $F363 * $F364 * $F365 * S366</f>
        <v>0</v>
      </c>
      <c r="T367" s="234">
        <f t="shared" ref="T367" si="508" xml:space="preserve"> $F363 * $F364 * $F365 * T366</f>
        <v>0</v>
      </c>
      <c r="U367" s="234">
        <f t="shared" ref="U367" si="509" xml:space="preserve"> $F363 * $F364 * $F365 * U366</f>
        <v>0</v>
      </c>
      <c r="V367" s="234">
        <f t="shared" ref="V367" si="510" xml:space="preserve"> $F363 * $F364 * $F365 * V366</f>
        <v>0</v>
      </c>
      <c r="W367" s="234">
        <f t="shared" ref="W367" si="511" xml:space="preserve"> $F363 * $F364 * $F365 * W366</f>
        <v>0</v>
      </c>
      <c r="X367" s="234">
        <f t="shared" ref="X367" si="512" xml:space="preserve"> $F363 * $F364 * $F365 * X366</f>
        <v>0</v>
      </c>
      <c r="Y367" s="234">
        <f t="shared" ref="Y367" si="513" xml:space="preserve"> $F363 * $F364 * $F365 * Y366</f>
        <v>0</v>
      </c>
      <c r="Z367" s="234">
        <f t="shared" ref="Z367" si="514" xml:space="preserve"> $F363 * $F364 * $F365 * Z366</f>
        <v>0</v>
      </c>
      <c r="AA367" s="234">
        <f t="shared" ref="AA367" si="515" xml:space="preserve"> $F363 * $F364 * $F365 * AA366</f>
        <v>0</v>
      </c>
      <c r="AB367" s="234">
        <f t="shared" ref="AB367" si="516" xml:space="preserve"> $F363 * $F364 * $F365 * AB366</f>
        <v>0</v>
      </c>
      <c r="AC367" s="234">
        <f t="shared" ref="AC367" si="517" xml:space="preserve"> $F363 * $F364 * $F365 * AC366</f>
        <v>0</v>
      </c>
      <c r="AD367" s="234">
        <f t="shared" ref="AD367" si="518" xml:space="preserve"> $F363 * $F364 * $F365 * AD366</f>
        <v>0</v>
      </c>
      <c r="AE367" s="234">
        <f t="shared" ref="AE367" si="519" xml:space="preserve"> $F363 * $F364 * $F365 * AE366</f>
        <v>0</v>
      </c>
      <c r="AF367" s="234">
        <f t="shared" ref="AF367" si="520" xml:space="preserve"> $F363 * $F364 * $F365 * AF366</f>
        <v>0</v>
      </c>
      <c r="AG367" s="234">
        <f t="shared" ref="AG367" si="521" xml:space="preserve"> $F363 * $F364 * $F365 * AG366</f>
        <v>0</v>
      </c>
      <c r="AH367" s="234">
        <f t="shared" ref="AH367" si="522" xml:space="preserve"> $F363 * $F364 * $F365 * AH366</f>
        <v>0</v>
      </c>
      <c r="AI367" s="234">
        <f t="shared" ref="AI367" si="523" xml:space="preserve"> $F363 * $F364 * $F365 * AI366</f>
        <v>0</v>
      </c>
      <c r="AJ367" s="234">
        <f t="shared" ref="AJ367" si="524" xml:space="preserve"> $F363 * $F364 * $F365 * AJ366</f>
        <v>0</v>
      </c>
      <c r="AK367" s="234">
        <f t="shared" ref="AK367" si="525" xml:space="preserve"> $F363 * $F364 * $F365 * AK366</f>
        <v>0</v>
      </c>
      <c r="AL367" s="234">
        <f t="shared" ref="AL367" si="526" xml:space="preserve"> $F363 * $F364 * $F365 * AL366</f>
        <v>0</v>
      </c>
      <c r="AM367" s="234">
        <f t="shared" ref="AM367" si="527" xml:space="preserve"> $F363 * $F364 * $F365 * AM366</f>
        <v>0</v>
      </c>
      <c r="AN367" s="234">
        <f t="shared" ref="AN367" si="528" xml:space="preserve"> $F363 * $F364 * $F365 * AN366</f>
        <v>0</v>
      </c>
      <c r="AO367" s="234">
        <f t="shared" ref="AO367" si="529" xml:space="preserve"> $F363 * $F364 * $F365 * AO366</f>
        <v>0</v>
      </c>
      <c r="AP367" s="234">
        <f t="shared" ref="AP367" si="530" xml:space="preserve"> $F363 * $F364 * $F365 * AP366</f>
        <v>0</v>
      </c>
      <c r="AQ367" s="234">
        <f t="shared" ref="AQ367" si="531" xml:space="preserve"> $F363 * $F364 * $F365 * AQ366</f>
        <v>0</v>
      </c>
      <c r="AR367" s="234">
        <f t="shared" ref="AR367" si="532" xml:space="preserve"> $F363 * $F364 * $F365 * AR366</f>
        <v>0</v>
      </c>
      <c r="AS367" s="234">
        <f t="shared" ref="AS367" si="533" xml:space="preserve"> $F363 * $F364 * $F365 * AS366</f>
        <v>0</v>
      </c>
      <c r="AT367" s="234">
        <f t="shared" ref="AT367" si="534" xml:space="preserve"> $F363 * $F364 * $F365 * AT366</f>
        <v>0</v>
      </c>
      <c r="AU367" s="234">
        <f t="shared" ref="AU367" si="535" xml:space="preserve"> $F363 * $F364 * $F365 * AU366</f>
        <v>0</v>
      </c>
      <c r="AV367" s="234">
        <f t="shared" ref="AV367" si="536" xml:space="preserve"> $F363 * $F364 * $F365 * AV366</f>
        <v>0</v>
      </c>
      <c r="AW367" s="234">
        <f t="shared" ref="AW367" si="537" xml:space="preserve"> $F363 * $F364 * $F365 * AW366</f>
        <v>0</v>
      </c>
      <c r="AX367" s="234">
        <f t="shared" ref="AX367" si="538" xml:space="preserve"> $F363 * $F364 * $F365 * AX366</f>
        <v>0</v>
      </c>
      <c r="AY367" s="234">
        <f t="shared" ref="AY367" si="539" xml:space="preserve"> $F363 * $F364 * $F365 * AY366</f>
        <v>0</v>
      </c>
      <c r="AZ367" s="234">
        <f t="shared" ref="AZ367" si="540" xml:space="preserve"> $F363 * $F364 * $F365 * AZ366</f>
        <v>0</v>
      </c>
      <c r="BA367" s="234">
        <f t="shared" ref="BA367" si="541" xml:space="preserve"> $F363 * $F364 * $F365 * BA366</f>
        <v>0</v>
      </c>
      <c r="BB367" s="234">
        <f t="shared" ref="BB367" si="542" xml:space="preserve"> $F363 * $F364 * $F365 * BB366</f>
        <v>0</v>
      </c>
      <c r="BC367" s="234">
        <f t="shared" ref="BC367" si="543" xml:space="preserve"> $F363 * $F364 * $F365 * BC366</f>
        <v>0</v>
      </c>
      <c r="BD367" s="234">
        <f t="shared" ref="BD367" si="544" xml:space="preserve"> $F363 * $F364 * $F365 * BD366</f>
        <v>0</v>
      </c>
      <c r="BE367" s="234">
        <f t="shared" ref="BE367" si="545" xml:space="preserve"> $F363 * $F364 * $F365 * BE366</f>
        <v>0</v>
      </c>
    </row>
    <row r="368" spans="1:57" hidden="1" outlineLevel="2" x14ac:dyDescent="0.2"/>
    <row r="369" spans="1:57" hidden="1" outlineLevel="2" x14ac:dyDescent="0.2">
      <c r="C369" s="21" t="s">
        <v>818</v>
      </c>
    </row>
    <row r="370" spans="1:57" hidden="1" outlineLevel="2" x14ac:dyDescent="0.2">
      <c r="E370" s="12" t="str">
        <f t="shared" ref="E370:AJ370" si="546" xml:space="preserve"> E$360</f>
        <v>Construction debt upfront fee - T1</v>
      </c>
      <c r="F370" s="12">
        <f t="shared" si="546"/>
        <v>0</v>
      </c>
      <c r="G370" s="12" t="str">
        <f t="shared" si="546"/>
        <v>$ 000s</v>
      </c>
      <c r="H370" s="12">
        <f t="shared" si="546"/>
        <v>2503.8985226030691</v>
      </c>
      <c r="I370" s="12">
        <f t="shared" si="546"/>
        <v>0</v>
      </c>
      <c r="J370" s="12">
        <f t="shared" si="546"/>
        <v>0</v>
      </c>
      <c r="K370" s="12">
        <f t="shared" si="546"/>
        <v>0</v>
      </c>
      <c r="L370" s="12">
        <f t="shared" si="546"/>
        <v>0</v>
      </c>
      <c r="M370" s="12">
        <f t="shared" si="546"/>
        <v>2503.8985226030691</v>
      </c>
      <c r="N370" s="12">
        <f t="shared" si="546"/>
        <v>0</v>
      </c>
      <c r="O370" s="12">
        <f t="shared" si="546"/>
        <v>0</v>
      </c>
      <c r="P370" s="12">
        <f t="shared" si="546"/>
        <v>0</v>
      </c>
      <c r="Q370" s="12">
        <f t="shared" si="546"/>
        <v>0</v>
      </c>
      <c r="R370" s="12">
        <f t="shared" si="546"/>
        <v>0</v>
      </c>
      <c r="S370" s="12">
        <f t="shared" si="546"/>
        <v>0</v>
      </c>
      <c r="T370" s="12">
        <f t="shared" si="546"/>
        <v>0</v>
      </c>
      <c r="U370" s="12">
        <f t="shared" si="546"/>
        <v>0</v>
      </c>
      <c r="V370" s="12">
        <f t="shared" si="546"/>
        <v>0</v>
      </c>
      <c r="W370" s="12">
        <f t="shared" si="546"/>
        <v>0</v>
      </c>
      <c r="X370" s="12">
        <f t="shared" si="546"/>
        <v>0</v>
      </c>
      <c r="Y370" s="12">
        <f t="shared" si="546"/>
        <v>0</v>
      </c>
      <c r="Z370" s="12">
        <f t="shared" si="546"/>
        <v>0</v>
      </c>
      <c r="AA370" s="12">
        <f t="shared" si="546"/>
        <v>0</v>
      </c>
      <c r="AB370" s="12">
        <f t="shared" si="546"/>
        <v>0</v>
      </c>
      <c r="AC370" s="12">
        <f t="shared" si="546"/>
        <v>0</v>
      </c>
      <c r="AD370" s="12">
        <f t="shared" si="546"/>
        <v>0</v>
      </c>
      <c r="AE370" s="12">
        <f t="shared" si="546"/>
        <v>0</v>
      </c>
      <c r="AF370" s="12">
        <f t="shared" si="546"/>
        <v>0</v>
      </c>
      <c r="AG370" s="12">
        <f t="shared" si="546"/>
        <v>0</v>
      </c>
      <c r="AH370" s="12">
        <f t="shared" si="546"/>
        <v>0</v>
      </c>
      <c r="AI370" s="12">
        <f t="shared" si="546"/>
        <v>0</v>
      </c>
      <c r="AJ370" s="12">
        <f t="shared" si="546"/>
        <v>0</v>
      </c>
      <c r="AK370" s="12">
        <f t="shared" ref="AK370:BE370" si="547" xml:space="preserve"> AK$360</f>
        <v>0</v>
      </c>
      <c r="AL370" s="12">
        <f t="shared" si="547"/>
        <v>0</v>
      </c>
      <c r="AM370" s="12">
        <f t="shared" si="547"/>
        <v>0</v>
      </c>
      <c r="AN370" s="12">
        <f t="shared" si="547"/>
        <v>0</v>
      </c>
      <c r="AO370" s="12">
        <f t="shared" si="547"/>
        <v>0</v>
      </c>
      <c r="AP370" s="12">
        <f t="shared" si="547"/>
        <v>0</v>
      </c>
      <c r="AQ370" s="12">
        <f t="shared" si="547"/>
        <v>0</v>
      </c>
      <c r="AR370" s="12">
        <f t="shared" si="547"/>
        <v>0</v>
      </c>
      <c r="AS370" s="12">
        <f t="shared" si="547"/>
        <v>0</v>
      </c>
      <c r="AT370" s="12">
        <f t="shared" si="547"/>
        <v>0</v>
      </c>
      <c r="AU370" s="12">
        <f t="shared" si="547"/>
        <v>0</v>
      </c>
      <c r="AV370" s="12">
        <f t="shared" si="547"/>
        <v>0</v>
      </c>
      <c r="AW370" s="12">
        <f t="shared" si="547"/>
        <v>0</v>
      </c>
      <c r="AX370" s="12">
        <f t="shared" si="547"/>
        <v>0</v>
      </c>
      <c r="AY370" s="12">
        <f t="shared" si="547"/>
        <v>0</v>
      </c>
      <c r="AZ370" s="12">
        <f t="shared" si="547"/>
        <v>0</v>
      </c>
      <c r="BA370" s="12">
        <f t="shared" si="547"/>
        <v>0</v>
      </c>
      <c r="BB370" s="12">
        <f t="shared" si="547"/>
        <v>0</v>
      </c>
      <c r="BC370" s="12">
        <f t="shared" si="547"/>
        <v>0</v>
      </c>
      <c r="BD370" s="12">
        <f t="shared" si="547"/>
        <v>0</v>
      </c>
      <c r="BE370" s="12">
        <f t="shared" si="547"/>
        <v>0</v>
      </c>
    </row>
    <row r="371" spans="1:57" hidden="1" outlineLevel="2" x14ac:dyDescent="0.2">
      <c r="E371" s="12" t="str">
        <f t="shared" ref="E371:AJ371" si="548" xml:space="preserve"> E$367</f>
        <v>Construction debt upfront fee  - T2</v>
      </c>
      <c r="F371" s="12">
        <f t="shared" si="548"/>
        <v>0</v>
      </c>
      <c r="G371" s="12" t="str">
        <f t="shared" si="548"/>
        <v>$ 000s</v>
      </c>
      <c r="H371" s="12">
        <f t="shared" si="548"/>
        <v>2754.2883748633758</v>
      </c>
      <c r="I371" s="12">
        <f t="shared" si="548"/>
        <v>0</v>
      </c>
      <c r="J371" s="12">
        <f t="shared" si="548"/>
        <v>0</v>
      </c>
      <c r="K371" s="12">
        <f t="shared" si="548"/>
        <v>0</v>
      </c>
      <c r="L371" s="12">
        <f t="shared" si="548"/>
        <v>0</v>
      </c>
      <c r="M371" s="12">
        <f t="shared" si="548"/>
        <v>2754.2883748633758</v>
      </c>
      <c r="N371" s="12">
        <f t="shared" si="548"/>
        <v>0</v>
      </c>
      <c r="O371" s="12">
        <f t="shared" si="548"/>
        <v>0</v>
      </c>
      <c r="P371" s="12">
        <f t="shared" si="548"/>
        <v>0</v>
      </c>
      <c r="Q371" s="12">
        <f t="shared" si="548"/>
        <v>0</v>
      </c>
      <c r="R371" s="12">
        <f t="shared" si="548"/>
        <v>0</v>
      </c>
      <c r="S371" s="12">
        <f t="shared" si="548"/>
        <v>0</v>
      </c>
      <c r="T371" s="12">
        <f t="shared" si="548"/>
        <v>0</v>
      </c>
      <c r="U371" s="12">
        <f t="shared" si="548"/>
        <v>0</v>
      </c>
      <c r="V371" s="12">
        <f t="shared" si="548"/>
        <v>0</v>
      </c>
      <c r="W371" s="12">
        <f t="shared" si="548"/>
        <v>0</v>
      </c>
      <c r="X371" s="12">
        <f t="shared" si="548"/>
        <v>0</v>
      </c>
      <c r="Y371" s="12">
        <f t="shared" si="548"/>
        <v>0</v>
      </c>
      <c r="Z371" s="12">
        <f t="shared" si="548"/>
        <v>0</v>
      </c>
      <c r="AA371" s="12">
        <f t="shared" si="548"/>
        <v>0</v>
      </c>
      <c r="AB371" s="12">
        <f t="shared" si="548"/>
        <v>0</v>
      </c>
      <c r="AC371" s="12">
        <f t="shared" si="548"/>
        <v>0</v>
      </c>
      <c r="AD371" s="12">
        <f t="shared" si="548"/>
        <v>0</v>
      </c>
      <c r="AE371" s="12">
        <f t="shared" si="548"/>
        <v>0</v>
      </c>
      <c r="AF371" s="12">
        <f t="shared" si="548"/>
        <v>0</v>
      </c>
      <c r="AG371" s="12">
        <f t="shared" si="548"/>
        <v>0</v>
      </c>
      <c r="AH371" s="12">
        <f t="shared" si="548"/>
        <v>0</v>
      </c>
      <c r="AI371" s="12">
        <f t="shared" si="548"/>
        <v>0</v>
      </c>
      <c r="AJ371" s="12">
        <f t="shared" si="548"/>
        <v>0</v>
      </c>
      <c r="AK371" s="12">
        <f t="shared" ref="AK371:BE371" si="549" xml:space="preserve"> AK$367</f>
        <v>0</v>
      </c>
      <c r="AL371" s="12">
        <f t="shared" si="549"/>
        <v>0</v>
      </c>
      <c r="AM371" s="12">
        <f t="shared" si="549"/>
        <v>0</v>
      </c>
      <c r="AN371" s="12">
        <f t="shared" si="549"/>
        <v>0</v>
      </c>
      <c r="AO371" s="12">
        <f t="shared" si="549"/>
        <v>0</v>
      </c>
      <c r="AP371" s="12">
        <f t="shared" si="549"/>
        <v>0</v>
      </c>
      <c r="AQ371" s="12">
        <f t="shared" si="549"/>
        <v>0</v>
      </c>
      <c r="AR371" s="12">
        <f t="shared" si="549"/>
        <v>0</v>
      </c>
      <c r="AS371" s="12">
        <f t="shared" si="549"/>
        <v>0</v>
      </c>
      <c r="AT371" s="12">
        <f t="shared" si="549"/>
        <v>0</v>
      </c>
      <c r="AU371" s="12">
        <f t="shared" si="549"/>
        <v>0</v>
      </c>
      <c r="AV371" s="12">
        <f t="shared" si="549"/>
        <v>0</v>
      </c>
      <c r="AW371" s="12">
        <f t="shared" si="549"/>
        <v>0</v>
      </c>
      <c r="AX371" s="12">
        <f t="shared" si="549"/>
        <v>0</v>
      </c>
      <c r="AY371" s="12">
        <f t="shared" si="549"/>
        <v>0</v>
      </c>
      <c r="AZ371" s="12">
        <f t="shared" si="549"/>
        <v>0</v>
      </c>
      <c r="BA371" s="12">
        <f t="shared" si="549"/>
        <v>0</v>
      </c>
      <c r="BB371" s="12">
        <f t="shared" si="549"/>
        <v>0</v>
      </c>
      <c r="BC371" s="12">
        <f t="shared" si="549"/>
        <v>0</v>
      </c>
      <c r="BD371" s="12">
        <f t="shared" si="549"/>
        <v>0</v>
      </c>
      <c r="BE371" s="12">
        <f t="shared" si="549"/>
        <v>0</v>
      </c>
    </row>
    <row r="372" spans="1:57" s="188" customFormat="1" hidden="1" outlineLevel="2" x14ac:dyDescent="0.2">
      <c r="A372" s="141"/>
      <c r="B372" s="141"/>
      <c r="C372" s="142"/>
      <c r="D372" s="143"/>
      <c r="E372" s="496" t="s">
        <v>818</v>
      </c>
      <c r="F372" s="496"/>
      <c r="G372" s="496" t="str">
        <f xml:space="preserve"> SMU</f>
        <v>$ 000s</v>
      </c>
      <c r="H372" s="496">
        <f xml:space="preserve"> SUM(J372:BE372)</f>
        <v>5258.1868974664449</v>
      </c>
      <c r="I372" s="496"/>
      <c r="J372" s="496">
        <f t="shared" ref="J372:BE372" si="550" xml:space="preserve"> SUM(J370:J371)</f>
        <v>0</v>
      </c>
      <c r="K372" s="496">
        <f t="shared" si="550"/>
        <v>0</v>
      </c>
      <c r="L372" s="496">
        <f t="shared" si="550"/>
        <v>0</v>
      </c>
      <c r="M372" s="496">
        <f t="shared" si="550"/>
        <v>5258.1868974664449</v>
      </c>
      <c r="N372" s="496">
        <f t="shared" si="550"/>
        <v>0</v>
      </c>
      <c r="O372" s="496">
        <f t="shared" si="550"/>
        <v>0</v>
      </c>
      <c r="P372" s="496">
        <f t="shared" si="550"/>
        <v>0</v>
      </c>
      <c r="Q372" s="496">
        <f t="shared" si="550"/>
        <v>0</v>
      </c>
      <c r="R372" s="496">
        <f t="shared" si="550"/>
        <v>0</v>
      </c>
      <c r="S372" s="496">
        <f t="shared" si="550"/>
        <v>0</v>
      </c>
      <c r="T372" s="496">
        <f t="shared" si="550"/>
        <v>0</v>
      </c>
      <c r="U372" s="496">
        <f t="shared" si="550"/>
        <v>0</v>
      </c>
      <c r="V372" s="496">
        <f t="shared" si="550"/>
        <v>0</v>
      </c>
      <c r="W372" s="496">
        <f t="shared" si="550"/>
        <v>0</v>
      </c>
      <c r="X372" s="496">
        <f t="shared" si="550"/>
        <v>0</v>
      </c>
      <c r="Y372" s="496">
        <f t="shared" si="550"/>
        <v>0</v>
      </c>
      <c r="Z372" s="496">
        <f t="shared" si="550"/>
        <v>0</v>
      </c>
      <c r="AA372" s="496">
        <f t="shared" si="550"/>
        <v>0</v>
      </c>
      <c r="AB372" s="496">
        <f t="shared" si="550"/>
        <v>0</v>
      </c>
      <c r="AC372" s="496">
        <f t="shared" si="550"/>
        <v>0</v>
      </c>
      <c r="AD372" s="496">
        <f t="shared" si="550"/>
        <v>0</v>
      </c>
      <c r="AE372" s="496">
        <f t="shared" si="550"/>
        <v>0</v>
      </c>
      <c r="AF372" s="496">
        <f t="shared" si="550"/>
        <v>0</v>
      </c>
      <c r="AG372" s="496">
        <f t="shared" si="550"/>
        <v>0</v>
      </c>
      <c r="AH372" s="496">
        <f t="shared" si="550"/>
        <v>0</v>
      </c>
      <c r="AI372" s="496">
        <f t="shared" si="550"/>
        <v>0</v>
      </c>
      <c r="AJ372" s="496">
        <f t="shared" si="550"/>
        <v>0</v>
      </c>
      <c r="AK372" s="496">
        <f t="shared" si="550"/>
        <v>0</v>
      </c>
      <c r="AL372" s="496">
        <f t="shared" si="550"/>
        <v>0</v>
      </c>
      <c r="AM372" s="496">
        <f t="shared" si="550"/>
        <v>0</v>
      </c>
      <c r="AN372" s="496">
        <f t="shared" si="550"/>
        <v>0</v>
      </c>
      <c r="AO372" s="496">
        <f t="shared" si="550"/>
        <v>0</v>
      </c>
      <c r="AP372" s="496">
        <f t="shared" si="550"/>
        <v>0</v>
      </c>
      <c r="AQ372" s="496">
        <f t="shared" si="550"/>
        <v>0</v>
      </c>
      <c r="AR372" s="496">
        <f t="shared" si="550"/>
        <v>0</v>
      </c>
      <c r="AS372" s="496">
        <f t="shared" si="550"/>
        <v>0</v>
      </c>
      <c r="AT372" s="496">
        <f t="shared" si="550"/>
        <v>0</v>
      </c>
      <c r="AU372" s="496">
        <f t="shared" si="550"/>
        <v>0</v>
      </c>
      <c r="AV372" s="496">
        <f t="shared" si="550"/>
        <v>0</v>
      </c>
      <c r="AW372" s="496">
        <f t="shared" si="550"/>
        <v>0</v>
      </c>
      <c r="AX372" s="496">
        <f t="shared" si="550"/>
        <v>0</v>
      </c>
      <c r="AY372" s="496">
        <f t="shared" si="550"/>
        <v>0</v>
      </c>
      <c r="AZ372" s="496">
        <f t="shared" si="550"/>
        <v>0</v>
      </c>
      <c r="BA372" s="496">
        <f t="shared" si="550"/>
        <v>0</v>
      </c>
      <c r="BB372" s="496">
        <f t="shared" si="550"/>
        <v>0</v>
      </c>
      <c r="BC372" s="496">
        <f t="shared" si="550"/>
        <v>0</v>
      </c>
      <c r="BD372" s="496">
        <f t="shared" si="550"/>
        <v>0</v>
      </c>
      <c r="BE372" s="496">
        <f t="shared" si="550"/>
        <v>0</v>
      </c>
    </row>
    <row r="373" spans="1:57" hidden="1" outlineLevel="2" x14ac:dyDescent="0.2"/>
    <row r="374" spans="1:57" hidden="1" outlineLevel="2" x14ac:dyDescent="0.2">
      <c r="B374" s="15" t="s">
        <v>277</v>
      </c>
    </row>
    <row r="375" spans="1:57" hidden="1" outlineLevel="2" x14ac:dyDescent="0.2">
      <c r="C375" s="21" t="s">
        <v>891</v>
      </c>
    </row>
    <row r="376" spans="1:57" s="283" customFormat="1" hidden="1" outlineLevel="2" x14ac:dyDescent="0.2">
      <c r="A376" s="556"/>
      <c r="B376" s="556"/>
      <c r="C376" s="557"/>
      <c r="D376" s="115"/>
      <c r="E376" s="316" t="str">
        <f xml:space="preserve"> InpC!E$171</f>
        <v>Senior debt - T1 - % of debt</v>
      </c>
      <c r="F376" s="316">
        <f xml:space="preserve"> InpC!F$171</f>
        <v>0.5</v>
      </c>
      <c r="G376" s="316" t="str">
        <f xml:space="preserve"> InpC!G$171</f>
        <v>%</v>
      </c>
      <c r="H376" s="115"/>
      <c r="I376" s="112"/>
      <c r="J376" s="282"/>
      <c r="K376" s="282"/>
      <c r="L376" s="282"/>
      <c r="M376" s="282"/>
      <c r="N376" s="282"/>
      <c r="O376" s="282"/>
      <c r="P376" s="282"/>
      <c r="Q376" s="282"/>
      <c r="R376" s="282"/>
      <c r="S376" s="282"/>
      <c r="T376" s="282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  <c r="AF376" s="282"/>
      <c r="AG376" s="282"/>
      <c r="AH376" s="282"/>
      <c r="AI376" s="282"/>
      <c r="AJ376" s="282"/>
      <c r="AK376" s="282"/>
      <c r="AL376" s="282"/>
      <c r="AM376" s="282"/>
      <c r="AN376" s="282"/>
      <c r="AO376" s="282"/>
      <c r="AP376" s="282"/>
      <c r="AQ376" s="282"/>
      <c r="AR376" s="282"/>
      <c r="AS376" s="282"/>
      <c r="AT376" s="282"/>
      <c r="AU376" s="282"/>
      <c r="AV376" s="282"/>
      <c r="AW376" s="282"/>
      <c r="AX376" s="282"/>
      <c r="AY376" s="282"/>
      <c r="AZ376" s="282"/>
      <c r="BA376" s="282"/>
      <c r="BB376" s="282"/>
      <c r="BC376" s="282"/>
      <c r="BD376" s="282"/>
      <c r="BE376" s="282"/>
    </row>
    <row r="377" spans="1:57" hidden="1" outlineLevel="2" x14ac:dyDescent="0.2">
      <c r="E377" s="145" t="str">
        <f xml:space="preserve"> Debt!E$63</f>
        <v>Senior debt drawdown - calc</v>
      </c>
      <c r="F377" s="145">
        <f xml:space="preserve"> Debt!F$63</f>
        <v>250389.85226030689</v>
      </c>
      <c r="G377" s="145" t="str">
        <f xml:space="preserve"> Debt!G$63</f>
        <v>$ 000s</v>
      </c>
      <c r="H377" s="38"/>
    </row>
    <row r="378" spans="1:57" hidden="1" outlineLevel="2" x14ac:dyDescent="0.2">
      <c r="E378" s="12" t="str">
        <f t="shared" ref="E378:AJ378" si="551" xml:space="preserve"> E$314</f>
        <v>Construction debt - T1 balance BEG</v>
      </c>
      <c r="F378" s="12">
        <f t="shared" si="551"/>
        <v>0</v>
      </c>
      <c r="G378" s="12" t="str">
        <f t="shared" si="551"/>
        <v>$ 000s</v>
      </c>
      <c r="H378" s="12">
        <f t="shared" si="551"/>
        <v>0</v>
      </c>
      <c r="I378" s="12">
        <f t="shared" si="551"/>
        <v>0</v>
      </c>
      <c r="J378" s="12">
        <f t="shared" si="551"/>
        <v>0</v>
      </c>
      <c r="K378" s="12">
        <f t="shared" si="551"/>
        <v>0</v>
      </c>
      <c r="L378" s="12">
        <f t="shared" si="551"/>
        <v>0</v>
      </c>
      <c r="M378" s="12">
        <f t="shared" si="551"/>
        <v>0</v>
      </c>
      <c r="N378" s="12">
        <f t="shared" si="551"/>
        <v>0</v>
      </c>
      <c r="O378" s="12">
        <f t="shared" si="551"/>
        <v>0</v>
      </c>
      <c r="P378" s="12">
        <f t="shared" si="551"/>
        <v>0</v>
      </c>
      <c r="Q378" s="12">
        <f t="shared" si="551"/>
        <v>0</v>
      </c>
      <c r="R378" s="12">
        <f t="shared" si="551"/>
        <v>0</v>
      </c>
      <c r="S378" s="12">
        <f t="shared" si="551"/>
        <v>0</v>
      </c>
      <c r="T378" s="12">
        <f t="shared" si="551"/>
        <v>30.189482152990422</v>
      </c>
      <c r="U378" s="12">
        <f t="shared" si="551"/>
        <v>6046.1565758717497</v>
      </c>
      <c r="V378" s="12">
        <f t="shared" si="551"/>
        <v>12084.251893640236</v>
      </c>
      <c r="W378" s="12">
        <f t="shared" si="551"/>
        <v>18139.740280401442</v>
      </c>
      <c r="X378" s="12">
        <f t="shared" si="551"/>
        <v>24192.087718101349</v>
      </c>
      <c r="Y378" s="12">
        <f t="shared" si="551"/>
        <v>30282.453398574366</v>
      </c>
      <c r="Z378" s="12">
        <f t="shared" si="551"/>
        <v>36382.118422368811</v>
      </c>
      <c r="AA378" s="12">
        <f t="shared" si="551"/>
        <v>42507.598163471368</v>
      </c>
      <c r="AB378" s="12">
        <f t="shared" si="551"/>
        <v>48641.086087745876</v>
      </c>
      <c r="AC378" s="12">
        <f t="shared" si="551"/>
        <v>54801.878466225055</v>
      </c>
      <c r="AD378" s="12">
        <f t="shared" si="551"/>
        <v>60980.417349398202</v>
      </c>
      <c r="AE378" s="12">
        <f t="shared" si="551"/>
        <v>67165.013406700818</v>
      </c>
      <c r="AF378" s="12">
        <f t="shared" si="551"/>
        <v>73379.164986874763</v>
      </c>
      <c r="AG378" s="12">
        <f t="shared" si="551"/>
        <v>79598.064245940128</v>
      </c>
      <c r="AH378" s="12">
        <f t="shared" si="551"/>
        <v>85848.029919746245</v>
      </c>
      <c r="AI378" s="12">
        <f t="shared" si="551"/>
        <v>91120.9989668786</v>
      </c>
      <c r="AJ378" s="12">
        <f t="shared" si="551"/>
        <v>96378.810838867081</v>
      </c>
      <c r="AK378" s="12">
        <f t="shared" ref="AK378:BE378" si="552" xml:space="preserve"> AK$314</f>
        <v>101682.11438544648</v>
      </c>
      <c r="AL378" s="12">
        <f t="shared" si="552"/>
        <v>106984.31847109897</v>
      </c>
      <c r="AM378" s="12">
        <f t="shared" si="552"/>
        <v>112318.17177157455</v>
      </c>
      <c r="AN378" s="12">
        <f t="shared" si="552"/>
        <v>125194.92613015344</v>
      </c>
      <c r="AO378" s="12">
        <f t="shared" si="552"/>
        <v>125194.92613015344</v>
      </c>
      <c r="AP378" s="12">
        <f t="shared" si="552"/>
        <v>125194.92613015344</v>
      </c>
      <c r="AQ378" s="12">
        <f t="shared" si="552"/>
        <v>125194.92613015344</v>
      </c>
      <c r="AR378" s="12">
        <f t="shared" si="552"/>
        <v>125194.92613015344</v>
      </c>
      <c r="AS378" s="12">
        <f t="shared" si="552"/>
        <v>125194.92613015344</v>
      </c>
      <c r="AT378" s="12">
        <f t="shared" si="552"/>
        <v>125194.92613015344</v>
      </c>
      <c r="AU378" s="12">
        <f t="shared" si="552"/>
        <v>125194.92613015344</v>
      </c>
      <c r="AV378" s="12">
        <f t="shared" si="552"/>
        <v>125194.92613015344</v>
      </c>
      <c r="AW378" s="12">
        <f t="shared" si="552"/>
        <v>125194.92613015344</v>
      </c>
      <c r="AX378" s="12">
        <f t="shared" si="552"/>
        <v>125194.92613015344</v>
      </c>
      <c r="AY378" s="12">
        <f t="shared" si="552"/>
        <v>125194.92613015344</v>
      </c>
      <c r="AZ378" s="12">
        <f t="shared" si="552"/>
        <v>125194.92613015344</v>
      </c>
      <c r="BA378" s="12">
        <f t="shared" si="552"/>
        <v>125194.92613015344</v>
      </c>
      <c r="BB378" s="12">
        <f t="shared" si="552"/>
        <v>125194.92613015344</v>
      </c>
      <c r="BC378" s="12">
        <f t="shared" si="552"/>
        <v>125194.92613015344</v>
      </c>
      <c r="BD378" s="12">
        <f t="shared" si="552"/>
        <v>125194.92613015344</v>
      </c>
      <c r="BE378" s="12">
        <f t="shared" si="552"/>
        <v>125194.92613015344</v>
      </c>
    </row>
    <row r="379" spans="1:57" hidden="1" outlineLevel="2" x14ac:dyDescent="0.2">
      <c r="E379" s="186" t="str">
        <f xml:space="preserve"> ConTime!E$82</f>
        <v>Construction period flag</v>
      </c>
      <c r="F379" s="186">
        <f xml:space="preserve"> ConTime!F$82</f>
        <v>0</v>
      </c>
      <c r="G379" s="186" t="str">
        <f xml:space="preserve"> ConTime!G$82</f>
        <v>flag</v>
      </c>
      <c r="H379" s="186">
        <f xml:space="preserve"> ConTime!H$82</f>
        <v>26</v>
      </c>
      <c r="I379" s="186">
        <f xml:space="preserve"> ConTime!I$82</f>
        <v>0</v>
      </c>
      <c r="J379" s="186">
        <f xml:space="preserve"> ConTime!J$82</f>
        <v>0</v>
      </c>
      <c r="K379" s="186">
        <f xml:space="preserve"> ConTime!K$82</f>
        <v>0</v>
      </c>
      <c r="L379" s="186">
        <f xml:space="preserve"> ConTime!L$82</f>
        <v>0</v>
      </c>
      <c r="M379" s="186">
        <f xml:space="preserve"> ConTime!M$82</f>
        <v>0</v>
      </c>
      <c r="N379" s="186">
        <f xml:space="preserve"> ConTime!N$82</f>
        <v>1</v>
      </c>
      <c r="O379" s="186">
        <f xml:space="preserve"> ConTime!O$82</f>
        <v>1</v>
      </c>
      <c r="P379" s="186">
        <f xml:space="preserve"> ConTime!P$82</f>
        <v>1</v>
      </c>
      <c r="Q379" s="186">
        <f xml:space="preserve"> ConTime!Q$82</f>
        <v>1</v>
      </c>
      <c r="R379" s="186">
        <f xml:space="preserve"> ConTime!R$82</f>
        <v>1</v>
      </c>
      <c r="S379" s="186">
        <f xml:space="preserve"> ConTime!S$82</f>
        <v>1</v>
      </c>
      <c r="T379" s="186">
        <f xml:space="preserve"> ConTime!T$82</f>
        <v>1</v>
      </c>
      <c r="U379" s="186">
        <f xml:space="preserve"> ConTime!U$82</f>
        <v>1</v>
      </c>
      <c r="V379" s="186">
        <f xml:space="preserve"> ConTime!V$82</f>
        <v>1</v>
      </c>
      <c r="W379" s="186">
        <f xml:space="preserve"> ConTime!W$82</f>
        <v>1</v>
      </c>
      <c r="X379" s="186">
        <f xml:space="preserve"> ConTime!X$82</f>
        <v>1</v>
      </c>
      <c r="Y379" s="186">
        <f xml:space="preserve"> ConTime!Y$82</f>
        <v>1</v>
      </c>
      <c r="Z379" s="186">
        <f xml:space="preserve"> ConTime!Z$82</f>
        <v>1</v>
      </c>
      <c r="AA379" s="186">
        <f xml:space="preserve"> ConTime!AA$82</f>
        <v>1</v>
      </c>
      <c r="AB379" s="186">
        <f xml:space="preserve"> ConTime!AB$82</f>
        <v>1</v>
      </c>
      <c r="AC379" s="186">
        <f xml:space="preserve"> ConTime!AC$82</f>
        <v>1</v>
      </c>
      <c r="AD379" s="186">
        <f xml:space="preserve"> ConTime!AD$82</f>
        <v>1</v>
      </c>
      <c r="AE379" s="186">
        <f xml:space="preserve"> ConTime!AE$82</f>
        <v>1</v>
      </c>
      <c r="AF379" s="186">
        <f xml:space="preserve"> ConTime!AF$82</f>
        <v>1</v>
      </c>
      <c r="AG379" s="186">
        <f xml:space="preserve"> ConTime!AG$82</f>
        <v>1</v>
      </c>
      <c r="AH379" s="186">
        <f xml:space="preserve"> ConTime!AH$82</f>
        <v>1</v>
      </c>
      <c r="AI379" s="186">
        <f xml:space="preserve"> ConTime!AI$82</f>
        <v>1</v>
      </c>
      <c r="AJ379" s="186">
        <f xml:space="preserve"> ConTime!AJ$82</f>
        <v>1</v>
      </c>
      <c r="AK379" s="186">
        <f xml:space="preserve"> ConTime!AK$82</f>
        <v>1</v>
      </c>
      <c r="AL379" s="186">
        <f xml:space="preserve"> ConTime!AL$82</f>
        <v>1</v>
      </c>
      <c r="AM379" s="186">
        <f xml:space="preserve"> ConTime!AM$82</f>
        <v>1</v>
      </c>
      <c r="AN379" s="186">
        <f xml:space="preserve"> ConTime!AN$82</f>
        <v>0</v>
      </c>
      <c r="AO379" s="186">
        <f xml:space="preserve"> ConTime!AO$82</f>
        <v>0</v>
      </c>
      <c r="AP379" s="186">
        <f xml:space="preserve"> ConTime!AP$82</f>
        <v>0</v>
      </c>
      <c r="AQ379" s="186">
        <f xml:space="preserve"> ConTime!AQ$82</f>
        <v>0</v>
      </c>
      <c r="AR379" s="186">
        <f xml:space="preserve"> ConTime!AR$82</f>
        <v>0</v>
      </c>
      <c r="AS379" s="186">
        <f xml:space="preserve"> ConTime!AS$82</f>
        <v>0</v>
      </c>
      <c r="AT379" s="186">
        <f xml:space="preserve"> ConTime!AT$82</f>
        <v>0</v>
      </c>
      <c r="AU379" s="186">
        <f xml:space="preserve"> ConTime!AU$82</f>
        <v>0</v>
      </c>
      <c r="AV379" s="186">
        <f xml:space="preserve"> ConTime!AV$82</f>
        <v>0</v>
      </c>
      <c r="AW379" s="186">
        <f xml:space="preserve"> ConTime!AW$82</f>
        <v>0</v>
      </c>
      <c r="AX379" s="186">
        <f xml:space="preserve"> ConTime!AX$82</f>
        <v>0</v>
      </c>
      <c r="AY379" s="186">
        <f xml:space="preserve"> ConTime!AY$82</f>
        <v>0</v>
      </c>
      <c r="AZ379" s="186">
        <f xml:space="preserve"> ConTime!AZ$82</f>
        <v>0</v>
      </c>
      <c r="BA379" s="186">
        <f xml:space="preserve"> ConTime!BA$82</f>
        <v>0</v>
      </c>
      <c r="BB379" s="186">
        <f xml:space="preserve"> ConTime!BB$82</f>
        <v>0</v>
      </c>
      <c r="BC379" s="186">
        <f xml:space="preserve"> ConTime!BC$82</f>
        <v>0</v>
      </c>
      <c r="BD379" s="186">
        <f xml:space="preserve"> ConTime!BD$82</f>
        <v>0</v>
      </c>
      <c r="BE379" s="186">
        <f xml:space="preserve"> ConTime!BE$82</f>
        <v>0</v>
      </c>
    </row>
    <row r="380" spans="1:57" hidden="1" outlineLevel="2" x14ac:dyDescent="0.2">
      <c r="E380" s="12" t="s">
        <v>940</v>
      </c>
      <c r="G380" s="12" t="str">
        <f xml:space="preserve"> SMU</f>
        <v>$ 000s</v>
      </c>
      <c r="J380" s="12">
        <f t="shared" ref="J380:BE380" si="553" xml:space="preserve"> ($F376 * $F377 - J378) * J379</f>
        <v>0</v>
      </c>
      <c r="K380" s="12">
        <f t="shared" si="553"/>
        <v>0</v>
      </c>
      <c r="L380" s="12">
        <f t="shared" si="553"/>
        <v>0</v>
      </c>
      <c r="M380" s="12">
        <f t="shared" si="553"/>
        <v>0</v>
      </c>
      <c r="N380" s="12">
        <f t="shared" si="553"/>
        <v>125194.92613015344</v>
      </c>
      <c r="O380" s="12">
        <f t="shared" si="553"/>
        <v>125194.92613015344</v>
      </c>
      <c r="P380" s="12">
        <f t="shared" si="553"/>
        <v>125194.92613015344</v>
      </c>
      <c r="Q380" s="12">
        <f t="shared" si="553"/>
        <v>125194.92613015344</v>
      </c>
      <c r="R380" s="12">
        <f t="shared" si="553"/>
        <v>125194.92613015344</v>
      </c>
      <c r="S380" s="12">
        <f t="shared" si="553"/>
        <v>125194.92613015344</v>
      </c>
      <c r="T380" s="12">
        <f t="shared" si="553"/>
        <v>125164.73664800046</v>
      </c>
      <c r="U380" s="12">
        <f t="shared" si="553"/>
        <v>119148.76955428169</v>
      </c>
      <c r="V380" s="12">
        <f t="shared" si="553"/>
        <v>113110.67423651321</v>
      </c>
      <c r="W380" s="12">
        <f t="shared" si="553"/>
        <v>107055.185849752</v>
      </c>
      <c r="X380" s="12">
        <f t="shared" si="553"/>
        <v>101002.83841205209</v>
      </c>
      <c r="Y380" s="12">
        <f t="shared" si="553"/>
        <v>94912.472731579081</v>
      </c>
      <c r="Z380" s="12">
        <f t="shared" si="553"/>
        <v>88812.807707784639</v>
      </c>
      <c r="AA380" s="12">
        <f t="shared" si="553"/>
        <v>82687.327966682074</v>
      </c>
      <c r="AB380" s="12">
        <f t="shared" si="553"/>
        <v>76553.840042407566</v>
      </c>
      <c r="AC380" s="12">
        <f t="shared" si="553"/>
        <v>70393.047663928388</v>
      </c>
      <c r="AD380" s="12">
        <f t="shared" si="553"/>
        <v>64214.508780755241</v>
      </c>
      <c r="AE380" s="12">
        <f t="shared" si="553"/>
        <v>58029.912723452624</v>
      </c>
      <c r="AF380" s="12">
        <f t="shared" si="553"/>
        <v>51815.76114327868</v>
      </c>
      <c r="AG380" s="12">
        <f t="shared" si="553"/>
        <v>45596.861884213315</v>
      </c>
      <c r="AH380" s="12">
        <f t="shared" si="553"/>
        <v>39346.896210407198</v>
      </c>
      <c r="AI380" s="12">
        <f t="shared" si="553"/>
        <v>34073.927163274842</v>
      </c>
      <c r="AJ380" s="12">
        <f t="shared" si="553"/>
        <v>28816.115291286362</v>
      </c>
      <c r="AK380" s="12">
        <f t="shared" si="553"/>
        <v>23512.811744706967</v>
      </c>
      <c r="AL380" s="12">
        <f t="shared" si="553"/>
        <v>18210.607659054469</v>
      </c>
      <c r="AM380" s="12">
        <f t="shared" si="553"/>
        <v>12876.754358578895</v>
      </c>
      <c r="AN380" s="12">
        <f t="shared" si="553"/>
        <v>0</v>
      </c>
      <c r="AO380" s="12">
        <f t="shared" si="553"/>
        <v>0</v>
      </c>
      <c r="AP380" s="12">
        <f t="shared" si="553"/>
        <v>0</v>
      </c>
      <c r="AQ380" s="12">
        <f t="shared" si="553"/>
        <v>0</v>
      </c>
      <c r="AR380" s="12">
        <f t="shared" si="553"/>
        <v>0</v>
      </c>
      <c r="AS380" s="12">
        <f t="shared" si="553"/>
        <v>0</v>
      </c>
      <c r="AT380" s="12">
        <f t="shared" si="553"/>
        <v>0</v>
      </c>
      <c r="AU380" s="12">
        <f t="shared" si="553"/>
        <v>0</v>
      </c>
      <c r="AV380" s="12">
        <f t="shared" si="553"/>
        <v>0</v>
      </c>
      <c r="AW380" s="12">
        <f t="shared" si="553"/>
        <v>0</v>
      </c>
      <c r="AX380" s="12">
        <f t="shared" si="553"/>
        <v>0</v>
      </c>
      <c r="AY380" s="12">
        <f t="shared" si="553"/>
        <v>0</v>
      </c>
      <c r="AZ380" s="12">
        <f t="shared" si="553"/>
        <v>0</v>
      </c>
      <c r="BA380" s="12">
        <f t="shared" si="553"/>
        <v>0</v>
      </c>
      <c r="BB380" s="12">
        <f t="shared" si="553"/>
        <v>0</v>
      </c>
      <c r="BC380" s="12">
        <f t="shared" si="553"/>
        <v>0</v>
      </c>
      <c r="BD380" s="12">
        <f t="shared" si="553"/>
        <v>0</v>
      </c>
      <c r="BE380" s="12">
        <f t="shared" si="553"/>
        <v>0</v>
      </c>
    </row>
    <row r="381" spans="1:57" hidden="1" outlineLevel="2" x14ac:dyDescent="0.2"/>
    <row r="382" spans="1:57" hidden="1" outlineLevel="2" x14ac:dyDescent="0.2">
      <c r="E382" s="145" t="str">
        <f xml:space="preserve"> InpC!E$182</f>
        <v>Construction debt - T1 commitment fee %</v>
      </c>
      <c r="F382" s="316">
        <f xml:space="preserve"> InpC!F$182</f>
        <v>7.4999999999999997E-3</v>
      </c>
      <c r="G382" s="145" t="str">
        <f xml:space="preserve"> InpC!G$182</f>
        <v>% p.a.</v>
      </c>
      <c r="H382" s="38"/>
    </row>
    <row r="383" spans="1:57" hidden="1" outlineLevel="2" x14ac:dyDescent="0.2">
      <c r="E383" s="189" t="str">
        <f xml:space="preserve"> InpC!E$412</f>
        <v>Months in year</v>
      </c>
      <c r="F383" s="189">
        <f xml:space="preserve"> InpC!F$412</f>
        <v>12</v>
      </c>
      <c r="G383" s="189" t="str">
        <f xml:space="preserve"> InpC!G$412</f>
        <v>months</v>
      </c>
    </row>
    <row r="384" spans="1:57" hidden="1" outlineLevel="2" x14ac:dyDescent="0.2">
      <c r="E384" s="12" t="str">
        <f t="shared" ref="E384:AJ384" si="554" xml:space="preserve"> E$380</f>
        <v>Construction debt undrawn amount - T1</v>
      </c>
      <c r="F384" s="12">
        <f t="shared" si="554"/>
        <v>0</v>
      </c>
      <c r="G384" s="12" t="str">
        <f t="shared" si="554"/>
        <v>$ 000s</v>
      </c>
      <c r="H384" s="12">
        <f t="shared" si="554"/>
        <v>0</v>
      </c>
      <c r="I384" s="12">
        <f t="shared" si="554"/>
        <v>0</v>
      </c>
      <c r="J384" s="12">
        <f t="shared" si="554"/>
        <v>0</v>
      </c>
      <c r="K384" s="12">
        <f t="shared" si="554"/>
        <v>0</v>
      </c>
      <c r="L384" s="12">
        <f t="shared" si="554"/>
        <v>0</v>
      </c>
      <c r="M384" s="12">
        <f t="shared" si="554"/>
        <v>0</v>
      </c>
      <c r="N384" s="12">
        <f t="shared" si="554"/>
        <v>125194.92613015344</v>
      </c>
      <c r="O384" s="12">
        <f t="shared" si="554"/>
        <v>125194.92613015344</v>
      </c>
      <c r="P384" s="12">
        <f t="shared" si="554"/>
        <v>125194.92613015344</v>
      </c>
      <c r="Q384" s="12">
        <f t="shared" si="554"/>
        <v>125194.92613015344</v>
      </c>
      <c r="R384" s="12">
        <f t="shared" si="554"/>
        <v>125194.92613015344</v>
      </c>
      <c r="S384" s="12">
        <f t="shared" si="554"/>
        <v>125194.92613015344</v>
      </c>
      <c r="T384" s="12">
        <f t="shared" si="554"/>
        <v>125164.73664800046</v>
      </c>
      <c r="U384" s="12">
        <f t="shared" si="554"/>
        <v>119148.76955428169</v>
      </c>
      <c r="V384" s="12">
        <f t="shared" si="554"/>
        <v>113110.67423651321</v>
      </c>
      <c r="W384" s="12">
        <f t="shared" si="554"/>
        <v>107055.185849752</v>
      </c>
      <c r="X384" s="12">
        <f t="shared" si="554"/>
        <v>101002.83841205209</v>
      </c>
      <c r="Y384" s="12">
        <f t="shared" si="554"/>
        <v>94912.472731579081</v>
      </c>
      <c r="Z384" s="12">
        <f t="shared" si="554"/>
        <v>88812.807707784639</v>
      </c>
      <c r="AA384" s="12">
        <f t="shared" si="554"/>
        <v>82687.327966682074</v>
      </c>
      <c r="AB384" s="12">
        <f t="shared" si="554"/>
        <v>76553.840042407566</v>
      </c>
      <c r="AC384" s="12">
        <f t="shared" si="554"/>
        <v>70393.047663928388</v>
      </c>
      <c r="AD384" s="12">
        <f t="shared" si="554"/>
        <v>64214.508780755241</v>
      </c>
      <c r="AE384" s="12">
        <f t="shared" si="554"/>
        <v>58029.912723452624</v>
      </c>
      <c r="AF384" s="12">
        <f t="shared" si="554"/>
        <v>51815.76114327868</v>
      </c>
      <c r="AG384" s="12">
        <f t="shared" si="554"/>
        <v>45596.861884213315</v>
      </c>
      <c r="AH384" s="12">
        <f t="shared" si="554"/>
        <v>39346.896210407198</v>
      </c>
      <c r="AI384" s="12">
        <f t="shared" si="554"/>
        <v>34073.927163274842</v>
      </c>
      <c r="AJ384" s="12">
        <f t="shared" si="554"/>
        <v>28816.115291286362</v>
      </c>
      <c r="AK384" s="12">
        <f t="shared" ref="AK384:BE384" si="555" xml:space="preserve"> AK$380</f>
        <v>23512.811744706967</v>
      </c>
      <c r="AL384" s="12">
        <f t="shared" si="555"/>
        <v>18210.607659054469</v>
      </c>
      <c r="AM384" s="12">
        <f t="shared" si="555"/>
        <v>12876.754358578895</v>
      </c>
      <c r="AN384" s="12">
        <f t="shared" si="555"/>
        <v>0</v>
      </c>
      <c r="AO384" s="12">
        <f t="shared" si="555"/>
        <v>0</v>
      </c>
      <c r="AP384" s="12">
        <f t="shared" si="555"/>
        <v>0</v>
      </c>
      <c r="AQ384" s="12">
        <f t="shared" si="555"/>
        <v>0</v>
      </c>
      <c r="AR384" s="12">
        <f t="shared" si="555"/>
        <v>0</v>
      </c>
      <c r="AS384" s="12">
        <f t="shared" si="555"/>
        <v>0</v>
      </c>
      <c r="AT384" s="12">
        <f t="shared" si="555"/>
        <v>0</v>
      </c>
      <c r="AU384" s="12">
        <f t="shared" si="555"/>
        <v>0</v>
      </c>
      <c r="AV384" s="12">
        <f t="shared" si="555"/>
        <v>0</v>
      </c>
      <c r="AW384" s="12">
        <f t="shared" si="555"/>
        <v>0</v>
      </c>
      <c r="AX384" s="12">
        <f t="shared" si="555"/>
        <v>0</v>
      </c>
      <c r="AY384" s="12">
        <f t="shared" si="555"/>
        <v>0</v>
      </c>
      <c r="AZ384" s="12">
        <f t="shared" si="555"/>
        <v>0</v>
      </c>
      <c r="BA384" s="12">
        <f t="shared" si="555"/>
        <v>0</v>
      </c>
      <c r="BB384" s="12">
        <f t="shared" si="555"/>
        <v>0</v>
      </c>
      <c r="BC384" s="12">
        <f t="shared" si="555"/>
        <v>0</v>
      </c>
      <c r="BD384" s="12">
        <f t="shared" si="555"/>
        <v>0</v>
      </c>
      <c r="BE384" s="12">
        <f t="shared" si="555"/>
        <v>0</v>
      </c>
    </row>
    <row r="385" spans="1:57" hidden="1" outlineLevel="2" x14ac:dyDescent="0.2">
      <c r="E385" s="12" t="s">
        <v>939</v>
      </c>
      <c r="G385" s="12" t="str">
        <f xml:space="preserve"> SMU</f>
        <v>$ 000s</v>
      </c>
      <c r="H385" s="12">
        <f xml:space="preserve"> SUM(J385:BE385)</f>
        <v>1316.5658840955696</v>
      </c>
      <c r="I385" s="12"/>
      <c r="J385" s="12">
        <f t="shared" ref="J385:BE385" si="556" xml:space="preserve"> $F382 / $F383 * J384</f>
        <v>0</v>
      </c>
      <c r="K385" s="12">
        <f t="shared" si="556"/>
        <v>0</v>
      </c>
      <c r="L385" s="12">
        <f t="shared" si="556"/>
        <v>0</v>
      </c>
      <c r="M385" s="12">
        <f t="shared" si="556"/>
        <v>0</v>
      </c>
      <c r="N385" s="12">
        <f t="shared" si="556"/>
        <v>78.246828831345908</v>
      </c>
      <c r="O385" s="12">
        <f t="shared" si="556"/>
        <v>78.246828831345908</v>
      </c>
      <c r="P385" s="12">
        <f t="shared" si="556"/>
        <v>78.246828831345908</v>
      </c>
      <c r="Q385" s="12">
        <f t="shared" si="556"/>
        <v>78.246828831345908</v>
      </c>
      <c r="R385" s="12">
        <f t="shared" si="556"/>
        <v>78.246828831345908</v>
      </c>
      <c r="S385" s="12">
        <f t="shared" si="556"/>
        <v>78.246828831345908</v>
      </c>
      <c r="T385" s="12">
        <f t="shared" si="556"/>
        <v>78.227960405000289</v>
      </c>
      <c r="U385" s="12">
        <f t="shared" si="556"/>
        <v>74.467980971426059</v>
      </c>
      <c r="V385" s="12">
        <f t="shared" si="556"/>
        <v>70.694171397820753</v>
      </c>
      <c r="W385" s="12">
        <f t="shared" si="556"/>
        <v>66.909491156095001</v>
      </c>
      <c r="X385" s="12">
        <f t="shared" si="556"/>
        <v>63.126774007532561</v>
      </c>
      <c r="Y385" s="12">
        <f t="shared" si="556"/>
        <v>59.320295457236924</v>
      </c>
      <c r="Z385" s="12">
        <f t="shared" si="556"/>
        <v>55.508004817365403</v>
      </c>
      <c r="AA385" s="12">
        <f t="shared" si="556"/>
        <v>51.679579979176296</v>
      </c>
      <c r="AB385" s="12">
        <f t="shared" si="556"/>
        <v>47.846150026504731</v>
      </c>
      <c r="AC385" s="12">
        <f t="shared" si="556"/>
        <v>43.995654789955246</v>
      </c>
      <c r="AD385" s="12">
        <f t="shared" si="556"/>
        <v>40.134067987972024</v>
      </c>
      <c r="AE385" s="12">
        <f t="shared" si="556"/>
        <v>36.268695452157893</v>
      </c>
      <c r="AF385" s="12">
        <f t="shared" si="556"/>
        <v>32.384850714549174</v>
      </c>
      <c r="AG385" s="12">
        <f t="shared" si="556"/>
        <v>28.498038677633321</v>
      </c>
      <c r="AH385" s="12">
        <f t="shared" si="556"/>
        <v>24.591810131504499</v>
      </c>
      <c r="AI385" s="12">
        <f t="shared" si="556"/>
        <v>21.296204477046778</v>
      </c>
      <c r="AJ385" s="12">
        <f t="shared" si="556"/>
        <v>18.010072057053975</v>
      </c>
      <c r="AK385" s="12">
        <f t="shared" si="556"/>
        <v>14.695507340441855</v>
      </c>
      <c r="AL385" s="12">
        <f t="shared" si="556"/>
        <v>11.381629786909043</v>
      </c>
      <c r="AM385" s="12">
        <f t="shared" si="556"/>
        <v>8.0479714741118098</v>
      </c>
      <c r="AN385" s="12">
        <f t="shared" si="556"/>
        <v>0</v>
      </c>
      <c r="AO385" s="12">
        <f t="shared" si="556"/>
        <v>0</v>
      </c>
      <c r="AP385" s="12">
        <f t="shared" si="556"/>
        <v>0</v>
      </c>
      <c r="AQ385" s="12">
        <f t="shared" si="556"/>
        <v>0</v>
      </c>
      <c r="AR385" s="12">
        <f t="shared" si="556"/>
        <v>0</v>
      </c>
      <c r="AS385" s="12">
        <f t="shared" si="556"/>
        <v>0</v>
      </c>
      <c r="AT385" s="12">
        <f t="shared" si="556"/>
        <v>0</v>
      </c>
      <c r="AU385" s="12">
        <f t="shared" si="556"/>
        <v>0</v>
      </c>
      <c r="AV385" s="12">
        <f t="shared" si="556"/>
        <v>0</v>
      </c>
      <c r="AW385" s="12">
        <f t="shared" si="556"/>
        <v>0</v>
      </c>
      <c r="AX385" s="12">
        <f t="shared" si="556"/>
        <v>0</v>
      </c>
      <c r="AY385" s="12">
        <f t="shared" si="556"/>
        <v>0</v>
      </c>
      <c r="AZ385" s="12">
        <f t="shared" si="556"/>
        <v>0</v>
      </c>
      <c r="BA385" s="12">
        <f t="shared" si="556"/>
        <v>0</v>
      </c>
      <c r="BB385" s="12">
        <f t="shared" si="556"/>
        <v>0</v>
      </c>
      <c r="BC385" s="12">
        <f t="shared" si="556"/>
        <v>0</v>
      </c>
      <c r="BD385" s="12">
        <f t="shared" si="556"/>
        <v>0</v>
      </c>
      <c r="BE385" s="12">
        <f t="shared" si="556"/>
        <v>0</v>
      </c>
    </row>
    <row r="386" spans="1:57" hidden="1" outlineLevel="2" x14ac:dyDescent="0.2">
      <c r="I386" s="12"/>
    </row>
    <row r="387" spans="1:57" hidden="1" outlineLevel="2" x14ac:dyDescent="0.2">
      <c r="C387" s="21" t="s">
        <v>892</v>
      </c>
    </row>
    <row r="388" spans="1:57" s="283" customFormat="1" hidden="1" outlineLevel="2" x14ac:dyDescent="0.2">
      <c r="A388" s="556"/>
      <c r="B388" s="556"/>
      <c r="C388" s="557"/>
      <c r="D388" s="115"/>
      <c r="E388" s="316" t="str">
        <f xml:space="preserve"> InpC!E$172</f>
        <v>Senior debt - T2 - % of debt</v>
      </c>
      <c r="F388" s="316">
        <f xml:space="preserve"> InpC!F$172</f>
        <v>0.5</v>
      </c>
      <c r="G388" s="316" t="str">
        <f xml:space="preserve"> InpC!G$172</f>
        <v>%</v>
      </c>
      <c r="H388" s="115"/>
      <c r="I388" s="112"/>
      <c r="J388" s="282"/>
      <c r="K388" s="282"/>
      <c r="L388" s="282"/>
      <c r="M388" s="282"/>
      <c r="N388" s="282"/>
      <c r="O388" s="282"/>
      <c r="P388" s="282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  <c r="AF388" s="282"/>
      <c r="AG388" s="282"/>
      <c r="AH388" s="282"/>
      <c r="AI388" s="282"/>
      <c r="AJ388" s="282"/>
      <c r="AK388" s="282"/>
      <c r="AL388" s="282"/>
      <c r="AM388" s="282"/>
      <c r="AN388" s="282"/>
      <c r="AO388" s="282"/>
      <c r="AP388" s="282"/>
      <c r="AQ388" s="282"/>
      <c r="AR388" s="282"/>
      <c r="AS388" s="282"/>
      <c r="AT388" s="282"/>
      <c r="AU388" s="282"/>
      <c r="AV388" s="282"/>
      <c r="AW388" s="282"/>
      <c r="AX388" s="282"/>
      <c r="AY388" s="282"/>
      <c r="AZ388" s="282"/>
      <c r="BA388" s="282"/>
      <c r="BB388" s="282"/>
      <c r="BC388" s="282"/>
      <c r="BD388" s="282"/>
      <c r="BE388" s="282"/>
    </row>
    <row r="389" spans="1:57" hidden="1" outlineLevel="2" x14ac:dyDescent="0.2">
      <c r="E389" s="145" t="str">
        <f xml:space="preserve"> Debt!E$63</f>
        <v>Senior debt drawdown - calc</v>
      </c>
      <c r="F389" s="145">
        <f xml:space="preserve"> Debt!F$63</f>
        <v>250389.85226030689</v>
      </c>
      <c r="G389" s="145" t="str">
        <f xml:space="preserve"> Debt!G$63</f>
        <v>$ 000s</v>
      </c>
      <c r="H389" s="38"/>
    </row>
    <row r="390" spans="1:57" hidden="1" outlineLevel="2" x14ac:dyDescent="0.2">
      <c r="E390" s="12" t="str">
        <f t="shared" ref="E390:AJ390" si="557" xml:space="preserve"> E$335</f>
        <v>Construction debt - T2 balance BEG</v>
      </c>
      <c r="F390" s="12">
        <f t="shared" si="557"/>
        <v>0</v>
      </c>
      <c r="G390" s="12" t="str">
        <f t="shared" si="557"/>
        <v>$ 000s</v>
      </c>
      <c r="H390" s="12">
        <f t="shared" si="557"/>
        <v>0</v>
      </c>
      <c r="I390" s="12">
        <f t="shared" si="557"/>
        <v>0</v>
      </c>
      <c r="J390" s="12">
        <f t="shared" si="557"/>
        <v>0</v>
      </c>
      <c r="K390" s="12">
        <f t="shared" si="557"/>
        <v>0</v>
      </c>
      <c r="L390" s="12">
        <f t="shared" si="557"/>
        <v>0</v>
      </c>
      <c r="M390" s="12">
        <f t="shared" si="557"/>
        <v>0</v>
      </c>
      <c r="N390" s="12">
        <f t="shared" si="557"/>
        <v>0</v>
      </c>
      <c r="O390" s="12">
        <f t="shared" si="557"/>
        <v>0</v>
      </c>
      <c r="P390" s="12">
        <f t="shared" si="557"/>
        <v>0</v>
      </c>
      <c r="Q390" s="12">
        <f t="shared" si="557"/>
        <v>0</v>
      </c>
      <c r="R390" s="12">
        <f t="shared" si="557"/>
        <v>0</v>
      </c>
      <c r="S390" s="12">
        <f t="shared" si="557"/>
        <v>0</v>
      </c>
      <c r="T390" s="12">
        <f t="shared" si="557"/>
        <v>30.189482152990422</v>
      </c>
      <c r="U390" s="12">
        <f t="shared" si="557"/>
        <v>6046.1565758717497</v>
      </c>
      <c r="V390" s="12">
        <f t="shared" si="557"/>
        <v>12084.251893640236</v>
      </c>
      <c r="W390" s="12">
        <f t="shared" si="557"/>
        <v>18139.740280401442</v>
      </c>
      <c r="X390" s="12">
        <f t="shared" si="557"/>
        <v>24192.087718101349</v>
      </c>
      <c r="Y390" s="12">
        <f t="shared" si="557"/>
        <v>30282.453398574366</v>
      </c>
      <c r="Z390" s="12">
        <f t="shared" si="557"/>
        <v>36382.118422368811</v>
      </c>
      <c r="AA390" s="12">
        <f t="shared" si="557"/>
        <v>42507.598163471368</v>
      </c>
      <c r="AB390" s="12">
        <f t="shared" si="557"/>
        <v>48641.086087745876</v>
      </c>
      <c r="AC390" s="12">
        <f t="shared" si="557"/>
        <v>54801.878466225055</v>
      </c>
      <c r="AD390" s="12">
        <f t="shared" si="557"/>
        <v>60980.417349398202</v>
      </c>
      <c r="AE390" s="12">
        <f t="shared" si="557"/>
        <v>67165.013406700818</v>
      </c>
      <c r="AF390" s="12">
        <f t="shared" si="557"/>
        <v>73379.164986874763</v>
      </c>
      <c r="AG390" s="12">
        <f t="shared" si="557"/>
        <v>79598.064245940128</v>
      </c>
      <c r="AH390" s="12">
        <f t="shared" si="557"/>
        <v>85848.029919746245</v>
      </c>
      <c r="AI390" s="12">
        <f t="shared" si="557"/>
        <v>91120.9989668786</v>
      </c>
      <c r="AJ390" s="12">
        <f t="shared" si="557"/>
        <v>96378.810838867081</v>
      </c>
      <c r="AK390" s="12">
        <f t="shared" ref="AK390:BE390" si="558" xml:space="preserve"> AK$335</f>
        <v>101682.11438544648</v>
      </c>
      <c r="AL390" s="12">
        <f t="shared" si="558"/>
        <v>106984.31847109897</v>
      </c>
      <c r="AM390" s="12">
        <f t="shared" si="558"/>
        <v>112318.17177157455</v>
      </c>
      <c r="AN390" s="12">
        <f t="shared" si="558"/>
        <v>125194.92613015344</v>
      </c>
      <c r="AO390" s="12">
        <f t="shared" si="558"/>
        <v>125194.92613015344</v>
      </c>
      <c r="AP390" s="12">
        <f t="shared" si="558"/>
        <v>125194.92613015344</v>
      </c>
      <c r="AQ390" s="12">
        <f t="shared" si="558"/>
        <v>125194.92613015344</v>
      </c>
      <c r="AR390" s="12">
        <f t="shared" si="558"/>
        <v>125194.92613015344</v>
      </c>
      <c r="AS390" s="12">
        <f t="shared" si="558"/>
        <v>125194.92613015344</v>
      </c>
      <c r="AT390" s="12">
        <f t="shared" si="558"/>
        <v>125194.92613015344</v>
      </c>
      <c r="AU390" s="12">
        <f t="shared" si="558"/>
        <v>125194.92613015344</v>
      </c>
      <c r="AV390" s="12">
        <f t="shared" si="558"/>
        <v>125194.92613015344</v>
      </c>
      <c r="AW390" s="12">
        <f t="shared" si="558"/>
        <v>125194.92613015344</v>
      </c>
      <c r="AX390" s="12">
        <f t="shared" si="558"/>
        <v>125194.92613015344</v>
      </c>
      <c r="AY390" s="12">
        <f t="shared" si="558"/>
        <v>125194.92613015344</v>
      </c>
      <c r="AZ390" s="12">
        <f t="shared" si="558"/>
        <v>125194.92613015344</v>
      </c>
      <c r="BA390" s="12">
        <f t="shared" si="558"/>
        <v>125194.92613015344</v>
      </c>
      <c r="BB390" s="12">
        <f t="shared" si="558"/>
        <v>125194.92613015344</v>
      </c>
      <c r="BC390" s="12">
        <f t="shared" si="558"/>
        <v>125194.92613015344</v>
      </c>
      <c r="BD390" s="12">
        <f t="shared" si="558"/>
        <v>125194.92613015344</v>
      </c>
      <c r="BE390" s="12">
        <f t="shared" si="558"/>
        <v>125194.92613015344</v>
      </c>
    </row>
    <row r="391" spans="1:57" hidden="1" outlineLevel="2" x14ac:dyDescent="0.2">
      <c r="E391" s="186" t="str">
        <f xml:space="preserve"> ConTime!E$82</f>
        <v>Construction period flag</v>
      </c>
      <c r="F391" s="186">
        <f xml:space="preserve"> ConTime!F$82</f>
        <v>0</v>
      </c>
      <c r="G391" s="186" t="str">
        <f xml:space="preserve"> ConTime!G$82</f>
        <v>flag</v>
      </c>
      <c r="H391" s="186">
        <f xml:space="preserve"> ConTime!H$82</f>
        <v>26</v>
      </c>
      <c r="I391" s="186">
        <f xml:space="preserve"> ConTime!I$82</f>
        <v>0</v>
      </c>
      <c r="J391" s="186">
        <f xml:space="preserve"> ConTime!J$82</f>
        <v>0</v>
      </c>
      <c r="K391" s="186">
        <f xml:space="preserve"> ConTime!K$82</f>
        <v>0</v>
      </c>
      <c r="L391" s="186">
        <f xml:space="preserve"> ConTime!L$82</f>
        <v>0</v>
      </c>
      <c r="M391" s="186">
        <f xml:space="preserve"> ConTime!M$82</f>
        <v>0</v>
      </c>
      <c r="N391" s="186">
        <f xml:space="preserve"> ConTime!N$82</f>
        <v>1</v>
      </c>
      <c r="O391" s="186">
        <f xml:space="preserve"> ConTime!O$82</f>
        <v>1</v>
      </c>
      <c r="P391" s="186">
        <f xml:space="preserve"> ConTime!P$82</f>
        <v>1</v>
      </c>
      <c r="Q391" s="186">
        <f xml:space="preserve"> ConTime!Q$82</f>
        <v>1</v>
      </c>
      <c r="R391" s="186">
        <f xml:space="preserve"> ConTime!R$82</f>
        <v>1</v>
      </c>
      <c r="S391" s="186">
        <f xml:space="preserve"> ConTime!S$82</f>
        <v>1</v>
      </c>
      <c r="T391" s="186">
        <f xml:space="preserve"> ConTime!T$82</f>
        <v>1</v>
      </c>
      <c r="U391" s="186">
        <f xml:space="preserve"> ConTime!U$82</f>
        <v>1</v>
      </c>
      <c r="V391" s="186">
        <f xml:space="preserve"> ConTime!V$82</f>
        <v>1</v>
      </c>
      <c r="W391" s="186">
        <f xml:space="preserve"> ConTime!W$82</f>
        <v>1</v>
      </c>
      <c r="X391" s="186">
        <f xml:space="preserve"> ConTime!X$82</f>
        <v>1</v>
      </c>
      <c r="Y391" s="186">
        <f xml:space="preserve"> ConTime!Y$82</f>
        <v>1</v>
      </c>
      <c r="Z391" s="186">
        <f xml:space="preserve"> ConTime!Z$82</f>
        <v>1</v>
      </c>
      <c r="AA391" s="186">
        <f xml:space="preserve"> ConTime!AA$82</f>
        <v>1</v>
      </c>
      <c r="AB391" s="186">
        <f xml:space="preserve"> ConTime!AB$82</f>
        <v>1</v>
      </c>
      <c r="AC391" s="186">
        <f xml:space="preserve"> ConTime!AC$82</f>
        <v>1</v>
      </c>
      <c r="AD391" s="186">
        <f xml:space="preserve"> ConTime!AD$82</f>
        <v>1</v>
      </c>
      <c r="AE391" s="186">
        <f xml:space="preserve"> ConTime!AE$82</f>
        <v>1</v>
      </c>
      <c r="AF391" s="186">
        <f xml:space="preserve"> ConTime!AF$82</f>
        <v>1</v>
      </c>
      <c r="AG391" s="186">
        <f xml:space="preserve"> ConTime!AG$82</f>
        <v>1</v>
      </c>
      <c r="AH391" s="186">
        <f xml:space="preserve"> ConTime!AH$82</f>
        <v>1</v>
      </c>
      <c r="AI391" s="186">
        <f xml:space="preserve"> ConTime!AI$82</f>
        <v>1</v>
      </c>
      <c r="AJ391" s="186">
        <f xml:space="preserve"> ConTime!AJ$82</f>
        <v>1</v>
      </c>
      <c r="AK391" s="186">
        <f xml:space="preserve"> ConTime!AK$82</f>
        <v>1</v>
      </c>
      <c r="AL391" s="186">
        <f xml:space="preserve"> ConTime!AL$82</f>
        <v>1</v>
      </c>
      <c r="AM391" s="186">
        <f xml:space="preserve"> ConTime!AM$82</f>
        <v>1</v>
      </c>
      <c r="AN391" s="186">
        <f xml:space="preserve"> ConTime!AN$82</f>
        <v>0</v>
      </c>
      <c r="AO391" s="186">
        <f xml:space="preserve"> ConTime!AO$82</f>
        <v>0</v>
      </c>
      <c r="AP391" s="186">
        <f xml:space="preserve"> ConTime!AP$82</f>
        <v>0</v>
      </c>
      <c r="AQ391" s="186">
        <f xml:space="preserve"> ConTime!AQ$82</f>
        <v>0</v>
      </c>
      <c r="AR391" s="186">
        <f xml:space="preserve"> ConTime!AR$82</f>
        <v>0</v>
      </c>
      <c r="AS391" s="186">
        <f xml:space="preserve"> ConTime!AS$82</f>
        <v>0</v>
      </c>
      <c r="AT391" s="186">
        <f xml:space="preserve"> ConTime!AT$82</f>
        <v>0</v>
      </c>
      <c r="AU391" s="186">
        <f xml:space="preserve"> ConTime!AU$82</f>
        <v>0</v>
      </c>
      <c r="AV391" s="186">
        <f xml:space="preserve"> ConTime!AV$82</f>
        <v>0</v>
      </c>
      <c r="AW391" s="186">
        <f xml:space="preserve"> ConTime!AW$82</f>
        <v>0</v>
      </c>
      <c r="AX391" s="186">
        <f xml:space="preserve"> ConTime!AX$82</f>
        <v>0</v>
      </c>
      <c r="AY391" s="186">
        <f xml:space="preserve"> ConTime!AY$82</f>
        <v>0</v>
      </c>
      <c r="AZ391" s="186">
        <f xml:space="preserve"> ConTime!AZ$82</f>
        <v>0</v>
      </c>
      <c r="BA391" s="186">
        <f xml:space="preserve"> ConTime!BA$82</f>
        <v>0</v>
      </c>
      <c r="BB391" s="186">
        <f xml:space="preserve"> ConTime!BB$82</f>
        <v>0</v>
      </c>
      <c r="BC391" s="186">
        <f xml:space="preserve"> ConTime!BC$82</f>
        <v>0</v>
      </c>
      <c r="BD391" s="186">
        <f xml:space="preserve"> ConTime!BD$82</f>
        <v>0</v>
      </c>
      <c r="BE391" s="186">
        <f xml:space="preserve"> ConTime!BE$82</f>
        <v>0</v>
      </c>
    </row>
    <row r="392" spans="1:57" hidden="1" outlineLevel="2" x14ac:dyDescent="0.2">
      <c r="E392" s="12" t="s">
        <v>941</v>
      </c>
      <c r="G392" s="12" t="str">
        <f xml:space="preserve"> SMU</f>
        <v>$ 000s</v>
      </c>
      <c r="J392" s="12">
        <f t="shared" ref="J392" si="559" xml:space="preserve"> ($F388 * $F389 - J390) * J391</f>
        <v>0</v>
      </c>
      <c r="K392" s="12">
        <f t="shared" ref="K392" si="560" xml:space="preserve"> ($F388 * $F389 - K390) * K391</f>
        <v>0</v>
      </c>
      <c r="L392" s="12">
        <f t="shared" ref="L392" si="561" xml:space="preserve"> ($F388 * $F389 - L390) * L391</f>
        <v>0</v>
      </c>
      <c r="M392" s="12">
        <f t="shared" ref="M392" si="562" xml:space="preserve"> ($F388 * $F389 - M390) * M391</f>
        <v>0</v>
      </c>
      <c r="N392" s="12">
        <f t="shared" ref="N392" si="563" xml:space="preserve"> ($F388 * $F389 - N390) * N391</f>
        <v>125194.92613015344</v>
      </c>
      <c r="O392" s="12">
        <f t="shared" ref="O392" si="564" xml:space="preserve"> ($F388 * $F389 - O390) * O391</f>
        <v>125194.92613015344</v>
      </c>
      <c r="P392" s="12">
        <f t="shared" ref="P392" si="565" xml:space="preserve"> ($F388 * $F389 - P390) * P391</f>
        <v>125194.92613015344</v>
      </c>
      <c r="Q392" s="12">
        <f t="shared" ref="Q392" si="566" xml:space="preserve"> ($F388 * $F389 - Q390) * Q391</f>
        <v>125194.92613015344</v>
      </c>
      <c r="R392" s="12">
        <f t="shared" ref="R392" si="567" xml:space="preserve"> ($F388 * $F389 - R390) * R391</f>
        <v>125194.92613015344</v>
      </c>
      <c r="S392" s="12">
        <f t="shared" ref="S392" si="568" xml:space="preserve"> ($F388 * $F389 - S390) * S391</f>
        <v>125194.92613015344</v>
      </c>
      <c r="T392" s="12">
        <f t="shared" ref="T392" si="569" xml:space="preserve"> ($F388 * $F389 - T390) * T391</f>
        <v>125164.73664800046</v>
      </c>
      <c r="U392" s="12">
        <f t="shared" ref="U392" si="570" xml:space="preserve"> ($F388 * $F389 - U390) * U391</f>
        <v>119148.76955428169</v>
      </c>
      <c r="V392" s="12">
        <f t="shared" ref="V392" si="571" xml:space="preserve"> ($F388 * $F389 - V390) * V391</f>
        <v>113110.67423651321</v>
      </c>
      <c r="W392" s="12">
        <f t="shared" ref="W392" si="572" xml:space="preserve"> ($F388 * $F389 - W390) * W391</f>
        <v>107055.185849752</v>
      </c>
      <c r="X392" s="12">
        <f t="shared" ref="X392" si="573" xml:space="preserve"> ($F388 * $F389 - X390) * X391</f>
        <v>101002.83841205209</v>
      </c>
      <c r="Y392" s="12">
        <f t="shared" ref="Y392" si="574" xml:space="preserve"> ($F388 * $F389 - Y390) * Y391</f>
        <v>94912.472731579081</v>
      </c>
      <c r="Z392" s="12">
        <f t="shared" ref="Z392" si="575" xml:space="preserve"> ($F388 * $F389 - Z390) * Z391</f>
        <v>88812.807707784639</v>
      </c>
      <c r="AA392" s="12">
        <f t="shared" ref="AA392" si="576" xml:space="preserve"> ($F388 * $F389 - AA390) * AA391</f>
        <v>82687.327966682074</v>
      </c>
      <c r="AB392" s="12">
        <f t="shared" ref="AB392" si="577" xml:space="preserve"> ($F388 * $F389 - AB390) * AB391</f>
        <v>76553.840042407566</v>
      </c>
      <c r="AC392" s="12">
        <f t="shared" ref="AC392" si="578" xml:space="preserve"> ($F388 * $F389 - AC390) * AC391</f>
        <v>70393.047663928388</v>
      </c>
      <c r="AD392" s="12">
        <f t="shared" ref="AD392" si="579" xml:space="preserve"> ($F388 * $F389 - AD390) * AD391</f>
        <v>64214.508780755241</v>
      </c>
      <c r="AE392" s="12">
        <f t="shared" ref="AE392" si="580" xml:space="preserve"> ($F388 * $F389 - AE390) * AE391</f>
        <v>58029.912723452624</v>
      </c>
      <c r="AF392" s="12">
        <f t="shared" ref="AF392" si="581" xml:space="preserve"> ($F388 * $F389 - AF390) * AF391</f>
        <v>51815.76114327868</v>
      </c>
      <c r="AG392" s="12">
        <f t="shared" ref="AG392" si="582" xml:space="preserve"> ($F388 * $F389 - AG390) * AG391</f>
        <v>45596.861884213315</v>
      </c>
      <c r="AH392" s="12">
        <f t="shared" ref="AH392" si="583" xml:space="preserve"> ($F388 * $F389 - AH390) * AH391</f>
        <v>39346.896210407198</v>
      </c>
      <c r="AI392" s="12">
        <f t="shared" ref="AI392" si="584" xml:space="preserve"> ($F388 * $F389 - AI390) * AI391</f>
        <v>34073.927163274842</v>
      </c>
      <c r="AJ392" s="12">
        <f t="shared" ref="AJ392" si="585" xml:space="preserve"> ($F388 * $F389 - AJ390) * AJ391</f>
        <v>28816.115291286362</v>
      </c>
      <c r="AK392" s="12">
        <f t="shared" ref="AK392" si="586" xml:space="preserve"> ($F388 * $F389 - AK390) * AK391</f>
        <v>23512.811744706967</v>
      </c>
      <c r="AL392" s="12">
        <f t="shared" ref="AL392" si="587" xml:space="preserve"> ($F388 * $F389 - AL390) * AL391</f>
        <v>18210.607659054469</v>
      </c>
      <c r="AM392" s="12">
        <f t="shared" ref="AM392" si="588" xml:space="preserve"> ($F388 * $F389 - AM390) * AM391</f>
        <v>12876.754358578895</v>
      </c>
      <c r="AN392" s="12">
        <f t="shared" ref="AN392" si="589" xml:space="preserve"> ($F388 * $F389 - AN390) * AN391</f>
        <v>0</v>
      </c>
      <c r="AO392" s="12">
        <f t="shared" ref="AO392" si="590" xml:space="preserve"> ($F388 * $F389 - AO390) * AO391</f>
        <v>0</v>
      </c>
      <c r="AP392" s="12">
        <f t="shared" ref="AP392" si="591" xml:space="preserve"> ($F388 * $F389 - AP390) * AP391</f>
        <v>0</v>
      </c>
      <c r="AQ392" s="12">
        <f t="shared" ref="AQ392" si="592" xml:space="preserve"> ($F388 * $F389 - AQ390) * AQ391</f>
        <v>0</v>
      </c>
      <c r="AR392" s="12">
        <f t="shared" ref="AR392" si="593" xml:space="preserve"> ($F388 * $F389 - AR390) * AR391</f>
        <v>0</v>
      </c>
      <c r="AS392" s="12">
        <f t="shared" ref="AS392" si="594" xml:space="preserve"> ($F388 * $F389 - AS390) * AS391</f>
        <v>0</v>
      </c>
      <c r="AT392" s="12">
        <f t="shared" ref="AT392" si="595" xml:space="preserve"> ($F388 * $F389 - AT390) * AT391</f>
        <v>0</v>
      </c>
      <c r="AU392" s="12">
        <f t="shared" ref="AU392" si="596" xml:space="preserve"> ($F388 * $F389 - AU390) * AU391</f>
        <v>0</v>
      </c>
      <c r="AV392" s="12">
        <f t="shared" ref="AV392" si="597" xml:space="preserve"> ($F388 * $F389 - AV390) * AV391</f>
        <v>0</v>
      </c>
      <c r="AW392" s="12">
        <f t="shared" ref="AW392" si="598" xml:space="preserve"> ($F388 * $F389 - AW390) * AW391</f>
        <v>0</v>
      </c>
      <c r="AX392" s="12">
        <f t="shared" ref="AX392" si="599" xml:space="preserve"> ($F388 * $F389 - AX390) * AX391</f>
        <v>0</v>
      </c>
      <c r="AY392" s="12">
        <f t="shared" ref="AY392" si="600" xml:space="preserve"> ($F388 * $F389 - AY390) * AY391</f>
        <v>0</v>
      </c>
      <c r="AZ392" s="12">
        <f t="shared" ref="AZ392" si="601" xml:space="preserve"> ($F388 * $F389 - AZ390) * AZ391</f>
        <v>0</v>
      </c>
      <c r="BA392" s="12">
        <f t="shared" ref="BA392" si="602" xml:space="preserve"> ($F388 * $F389 - BA390) * BA391</f>
        <v>0</v>
      </c>
      <c r="BB392" s="12">
        <f t="shared" ref="BB392" si="603" xml:space="preserve"> ($F388 * $F389 - BB390) * BB391</f>
        <v>0</v>
      </c>
      <c r="BC392" s="12">
        <f t="shared" ref="BC392" si="604" xml:space="preserve"> ($F388 * $F389 - BC390) * BC391</f>
        <v>0</v>
      </c>
      <c r="BD392" s="12">
        <f t="shared" ref="BD392" si="605" xml:space="preserve"> ($F388 * $F389 - BD390) * BD391</f>
        <v>0</v>
      </c>
      <c r="BE392" s="12">
        <f t="shared" ref="BE392" si="606" xml:space="preserve"> ($F388 * $F389 - BE390) * BE391</f>
        <v>0</v>
      </c>
    </row>
    <row r="393" spans="1:57" hidden="1" outlineLevel="2" x14ac:dyDescent="0.2"/>
    <row r="394" spans="1:57" s="283" customFormat="1" hidden="1" outlineLevel="2" x14ac:dyDescent="0.2">
      <c r="A394" s="556"/>
      <c r="B394" s="556"/>
      <c r="C394" s="557"/>
      <c r="D394" s="115"/>
      <c r="E394" s="316" t="str">
        <f xml:space="preserve"> InpC!E$191</f>
        <v>Construction debt - T2 commitment fee %</v>
      </c>
      <c r="F394" s="316">
        <f xml:space="preserve"> InpC!F$191</f>
        <v>8.0999999999999996E-3</v>
      </c>
      <c r="G394" s="316" t="str">
        <f xml:space="preserve"> InpC!G$191</f>
        <v>% p.a.</v>
      </c>
      <c r="H394" s="115"/>
      <c r="I394" s="112"/>
      <c r="J394" s="282"/>
      <c r="K394" s="282"/>
      <c r="L394" s="282"/>
      <c r="M394" s="282"/>
      <c r="N394" s="282"/>
      <c r="O394" s="282"/>
      <c r="P394" s="282"/>
      <c r="Q394" s="282"/>
      <c r="R394" s="282"/>
      <c r="S394" s="282"/>
      <c r="T394" s="282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  <c r="AF394" s="282"/>
      <c r="AG394" s="282"/>
      <c r="AH394" s="282"/>
      <c r="AI394" s="282"/>
      <c r="AJ394" s="282"/>
      <c r="AK394" s="282"/>
      <c r="AL394" s="282"/>
      <c r="AM394" s="282"/>
      <c r="AN394" s="282"/>
      <c r="AO394" s="282"/>
      <c r="AP394" s="282"/>
      <c r="AQ394" s="282"/>
      <c r="AR394" s="282"/>
      <c r="AS394" s="282"/>
      <c r="AT394" s="282"/>
      <c r="AU394" s="282"/>
      <c r="AV394" s="282"/>
      <c r="AW394" s="282"/>
      <c r="AX394" s="282"/>
      <c r="AY394" s="282"/>
      <c r="AZ394" s="282"/>
      <c r="BA394" s="282"/>
      <c r="BB394" s="282"/>
      <c r="BC394" s="282"/>
      <c r="BD394" s="282"/>
      <c r="BE394" s="282"/>
    </row>
    <row r="395" spans="1:57" hidden="1" outlineLevel="2" x14ac:dyDescent="0.2">
      <c r="E395" s="189" t="str">
        <f xml:space="preserve"> InpC!E$412</f>
        <v>Months in year</v>
      </c>
      <c r="F395" s="189">
        <f xml:space="preserve"> InpC!F$412</f>
        <v>12</v>
      </c>
      <c r="G395" s="189" t="str">
        <f xml:space="preserve"> InpC!G$412</f>
        <v>months</v>
      </c>
    </row>
    <row r="396" spans="1:57" hidden="1" outlineLevel="2" x14ac:dyDescent="0.2">
      <c r="E396" s="12" t="str">
        <f t="shared" ref="E396:AJ396" si="607" xml:space="preserve"> E$392</f>
        <v>Construction debt undrawn amount - T2</v>
      </c>
      <c r="F396" s="12">
        <f t="shared" si="607"/>
        <v>0</v>
      </c>
      <c r="G396" s="12" t="str">
        <f t="shared" si="607"/>
        <v>$ 000s</v>
      </c>
      <c r="H396" s="12">
        <f t="shared" si="607"/>
        <v>0</v>
      </c>
      <c r="I396" s="12">
        <f t="shared" si="607"/>
        <v>0</v>
      </c>
      <c r="J396" s="12">
        <f t="shared" si="607"/>
        <v>0</v>
      </c>
      <c r="K396" s="12">
        <f t="shared" si="607"/>
        <v>0</v>
      </c>
      <c r="L396" s="12">
        <f t="shared" si="607"/>
        <v>0</v>
      </c>
      <c r="M396" s="12">
        <f t="shared" si="607"/>
        <v>0</v>
      </c>
      <c r="N396" s="12">
        <f t="shared" si="607"/>
        <v>125194.92613015344</v>
      </c>
      <c r="O396" s="12">
        <f t="shared" si="607"/>
        <v>125194.92613015344</v>
      </c>
      <c r="P396" s="12">
        <f t="shared" si="607"/>
        <v>125194.92613015344</v>
      </c>
      <c r="Q396" s="12">
        <f t="shared" si="607"/>
        <v>125194.92613015344</v>
      </c>
      <c r="R396" s="12">
        <f t="shared" si="607"/>
        <v>125194.92613015344</v>
      </c>
      <c r="S396" s="12">
        <f t="shared" si="607"/>
        <v>125194.92613015344</v>
      </c>
      <c r="T396" s="12">
        <f t="shared" si="607"/>
        <v>125164.73664800046</v>
      </c>
      <c r="U396" s="12">
        <f t="shared" si="607"/>
        <v>119148.76955428169</v>
      </c>
      <c r="V396" s="12">
        <f t="shared" si="607"/>
        <v>113110.67423651321</v>
      </c>
      <c r="W396" s="12">
        <f t="shared" si="607"/>
        <v>107055.185849752</v>
      </c>
      <c r="X396" s="12">
        <f t="shared" si="607"/>
        <v>101002.83841205209</v>
      </c>
      <c r="Y396" s="12">
        <f t="shared" si="607"/>
        <v>94912.472731579081</v>
      </c>
      <c r="Z396" s="12">
        <f t="shared" si="607"/>
        <v>88812.807707784639</v>
      </c>
      <c r="AA396" s="12">
        <f t="shared" si="607"/>
        <v>82687.327966682074</v>
      </c>
      <c r="AB396" s="12">
        <f t="shared" si="607"/>
        <v>76553.840042407566</v>
      </c>
      <c r="AC396" s="12">
        <f t="shared" si="607"/>
        <v>70393.047663928388</v>
      </c>
      <c r="AD396" s="12">
        <f t="shared" si="607"/>
        <v>64214.508780755241</v>
      </c>
      <c r="AE396" s="12">
        <f t="shared" si="607"/>
        <v>58029.912723452624</v>
      </c>
      <c r="AF396" s="12">
        <f t="shared" si="607"/>
        <v>51815.76114327868</v>
      </c>
      <c r="AG396" s="12">
        <f t="shared" si="607"/>
        <v>45596.861884213315</v>
      </c>
      <c r="AH396" s="12">
        <f t="shared" si="607"/>
        <v>39346.896210407198</v>
      </c>
      <c r="AI396" s="12">
        <f t="shared" si="607"/>
        <v>34073.927163274842</v>
      </c>
      <c r="AJ396" s="12">
        <f t="shared" si="607"/>
        <v>28816.115291286362</v>
      </c>
      <c r="AK396" s="12">
        <f t="shared" ref="AK396:BE396" si="608" xml:space="preserve"> AK$392</f>
        <v>23512.811744706967</v>
      </c>
      <c r="AL396" s="12">
        <f t="shared" si="608"/>
        <v>18210.607659054469</v>
      </c>
      <c r="AM396" s="12">
        <f t="shared" si="608"/>
        <v>12876.754358578895</v>
      </c>
      <c r="AN396" s="12">
        <f t="shared" si="608"/>
        <v>0</v>
      </c>
      <c r="AO396" s="12">
        <f t="shared" si="608"/>
        <v>0</v>
      </c>
      <c r="AP396" s="12">
        <f t="shared" si="608"/>
        <v>0</v>
      </c>
      <c r="AQ396" s="12">
        <f t="shared" si="608"/>
        <v>0</v>
      </c>
      <c r="AR396" s="12">
        <f t="shared" si="608"/>
        <v>0</v>
      </c>
      <c r="AS396" s="12">
        <f t="shared" si="608"/>
        <v>0</v>
      </c>
      <c r="AT396" s="12">
        <f t="shared" si="608"/>
        <v>0</v>
      </c>
      <c r="AU396" s="12">
        <f t="shared" si="608"/>
        <v>0</v>
      </c>
      <c r="AV396" s="12">
        <f t="shared" si="608"/>
        <v>0</v>
      </c>
      <c r="AW396" s="12">
        <f t="shared" si="608"/>
        <v>0</v>
      </c>
      <c r="AX396" s="12">
        <f t="shared" si="608"/>
        <v>0</v>
      </c>
      <c r="AY396" s="12">
        <f t="shared" si="608"/>
        <v>0</v>
      </c>
      <c r="AZ396" s="12">
        <f t="shared" si="608"/>
        <v>0</v>
      </c>
      <c r="BA396" s="12">
        <f t="shared" si="608"/>
        <v>0</v>
      </c>
      <c r="BB396" s="12">
        <f t="shared" si="608"/>
        <v>0</v>
      </c>
      <c r="BC396" s="12">
        <f t="shared" si="608"/>
        <v>0</v>
      </c>
      <c r="BD396" s="12">
        <f t="shared" si="608"/>
        <v>0</v>
      </c>
      <c r="BE396" s="12">
        <f t="shared" si="608"/>
        <v>0</v>
      </c>
    </row>
    <row r="397" spans="1:57" hidden="1" outlineLevel="2" x14ac:dyDescent="0.2">
      <c r="E397" s="12" t="s">
        <v>942</v>
      </c>
      <c r="G397" s="12" t="str">
        <f xml:space="preserve"> SMU</f>
        <v>$ 000s</v>
      </c>
      <c r="H397" s="12">
        <f xml:space="preserve"> SUM(J397:BE397)</f>
        <v>1421.8911548232147</v>
      </c>
      <c r="I397" s="12"/>
      <c r="J397" s="12">
        <f t="shared" ref="J397" si="609" xml:space="preserve"> $F394 / $F395 * J396</f>
        <v>0</v>
      </c>
      <c r="K397" s="12">
        <f t="shared" ref="K397" si="610" xml:space="preserve"> $F394 / $F395 * K396</f>
        <v>0</v>
      </c>
      <c r="L397" s="12">
        <f t="shared" ref="L397" si="611" xml:space="preserve"> $F394 / $F395 * L396</f>
        <v>0</v>
      </c>
      <c r="M397" s="12">
        <f t="shared" ref="M397" si="612" xml:space="preserve"> $F394 / $F395 * M396</f>
        <v>0</v>
      </c>
      <c r="N397" s="12">
        <f t="shared" ref="N397" si="613" xml:space="preserve"> $F394 / $F395 * N396</f>
        <v>84.506575137853559</v>
      </c>
      <c r="O397" s="12">
        <f t="shared" ref="O397" si="614" xml:space="preserve"> $F394 / $F395 * O396</f>
        <v>84.506575137853559</v>
      </c>
      <c r="P397" s="12">
        <f t="shared" ref="P397" si="615" xml:space="preserve"> $F394 / $F395 * P396</f>
        <v>84.506575137853559</v>
      </c>
      <c r="Q397" s="12">
        <f t="shared" ref="Q397" si="616" xml:space="preserve"> $F394 / $F395 * Q396</f>
        <v>84.506575137853559</v>
      </c>
      <c r="R397" s="12">
        <f t="shared" ref="R397" si="617" xml:space="preserve"> $F394 / $F395 * R396</f>
        <v>84.506575137853559</v>
      </c>
      <c r="S397" s="12">
        <f t="shared" ref="S397" si="618" xml:space="preserve"> $F394 / $F395 * S396</f>
        <v>84.506575137853559</v>
      </c>
      <c r="T397" s="12">
        <f t="shared" ref="T397" si="619" xml:space="preserve"> $F394 / $F395 * T396</f>
        <v>84.486197237400305</v>
      </c>
      <c r="U397" s="12">
        <f t="shared" ref="U397" si="620" xml:space="preserve"> $F394 / $F395 * U396</f>
        <v>80.425419449140136</v>
      </c>
      <c r="V397" s="12">
        <f t="shared" ref="V397" si="621" xml:space="preserve"> $F394 / $F395 * V396</f>
        <v>76.349705109646408</v>
      </c>
      <c r="W397" s="12">
        <f t="shared" ref="W397" si="622" xml:space="preserve"> $F394 / $F395 * W396</f>
        <v>72.262250448582591</v>
      </c>
      <c r="X397" s="12">
        <f t="shared" ref="X397" si="623" xml:space="preserve"> $F394 / $F395 * X396</f>
        <v>68.176915928135159</v>
      </c>
      <c r="Y397" s="12">
        <f t="shared" ref="Y397" si="624" xml:space="preserve"> $F394 / $F395 * Y396</f>
        <v>64.065919093815879</v>
      </c>
      <c r="Z397" s="12">
        <f t="shared" ref="Z397" si="625" xml:space="preserve"> $F394 / $F395 * Z396</f>
        <v>59.948645202754626</v>
      </c>
      <c r="AA397" s="12">
        <f t="shared" ref="AA397" si="626" xml:space="preserve"> $F394 / $F395 * AA396</f>
        <v>55.813946377510398</v>
      </c>
      <c r="AB397" s="12">
        <f t="shared" ref="AB397" si="627" xml:space="preserve"> $F394 / $F395 * AB396</f>
        <v>51.673842028625103</v>
      </c>
      <c r="AC397" s="12">
        <f t="shared" ref="AC397" si="628" xml:space="preserve"> $F394 / $F395 * AC396</f>
        <v>47.515307173151655</v>
      </c>
      <c r="AD397" s="12">
        <f t="shared" ref="AD397" si="629" xml:space="preserve"> $F394 / $F395 * AD396</f>
        <v>43.344793427009783</v>
      </c>
      <c r="AE397" s="12">
        <f t="shared" ref="AE397" si="630" xml:space="preserve"> $F394 / $F395 * AE396</f>
        <v>39.170191088330519</v>
      </c>
      <c r="AF397" s="12">
        <f t="shared" ref="AF397" si="631" xml:space="preserve"> $F394 / $F395 * AF396</f>
        <v>34.975638771713108</v>
      </c>
      <c r="AG397" s="12">
        <f t="shared" ref="AG397" si="632" xml:space="preserve"> $F394 / $F395 * AG396</f>
        <v>30.777881771843983</v>
      </c>
      <c r="AH397" s="12">
        <f t="shared" ref="AH397" si="633" xml:space="preserve"> $F394 / $F395 * AH396</f>
        <v>26.559154942024854</v>
      </c>
      <c r="AI397" s="12">
        <f t="shared" ref="AI397" si="634" xml:space="preserve"> $F394 / $F395 * AI396</f>
        <v>22.999900835210514</v>
      </c>
      <c r="AJ397" s="12">
        <f t="shared" ref="AJ397" si="635" xml:space="preserve"> $F394 / $F395 * AJ396</f>
        <v>19.450877821618292</v>
      </c>
      <c r="AK397" s="12">
        <f t="shared" ref="AK397" si="636" xml:space="preserve"> $F394 / $F395 * AK396</f>
        <v>15.871147927677201</v>
      </c>
      <c r="AL397" s="12">
        <f t="shared" ref="AL397" si="637" xml:space="preserve"> $F394 / $F395 * AL396</f>
        <v>12.292160169861765</v>
      </c>
      <c r="AM397" s="12">
        <f t="shared" ref="AM397" si="638" xml:space="preserve"> $F394 / $F395 * AM396</f>
        <v>8.6918091920407541</v>
      </c>
      <c r="AN397" s="12">
        <f t="shared" ref="AN397" si="639" xml:space="preserve"> $F394 / $F395 * AN396</f>
        <v>0</v>
      </c>
      <c r="AO397" s="12">
        <f t="shared" ref="AO397" si="640" xml:space="preserve"> $F394 / $F395 * AO396</f>
        <v>0</v>
      </c>
      <c r="AP397" s="12">
        <f t="shared" ref="AP397" si="641" xml:space="preserve"> $F394 / $F395 * AP396</f>
        <v>0</v>
      </c>
      <c r="AQ397" s="12">
        <f t="shared" ref="AQ397" si="642" xml:space="preserve"> $F394 / $F395 * AQ396</f>
        <v>0</v>
      </c>
      <c r="AR397" s="12">
        <f t="shared" ref="AR397" si="643" xml:space="preserve"> $F394 / $F395 * AR396</f>
        <v>0</v>
      </c>
      <c r="AS397" s="12">
        <f t="shared" ref="AS397" si="644" xml:space="preserve"> $F394 / $F395 * AS396</f>
        <v>0</v>
      </c>
      <c r="AT397" s="12">
        <f t="shared" ref="AT397" si="645" xml:space="preserve"> $F394 / $F395 * AT396</f>
        <v>0</v>
      </c>
      <c r="AU397" s="12">
        <f t="shared" ref="AU397" si="646" xml:space="preserve"> $F394 / $F395 * AU396</f>
        <v>0</v>
      </c>
      <c r="AV397" s="12">
        <f t="shared" ref="AV397" si="647" xml:space="preserve"> $F394 / $F395 * AV396</f>
        <v>0</v>
      </c>
      <c r="AW397" s="12">
        <f t="shared" ref="AW397" si="648" xml:space="preserve"> $F394 / $F395 * AW396</f>
        <v>0</v>
      </c>
      <c r="AX397" s="12">
        <f t="shared" ref="AX397" si="649" xml:space="preserve"> $F394 / $F395 * AX396</f>
        <v>0</v>
      </c>
      <c r="AY397" s="12">
        <f t="shared" ref="AY397" si="650" xml:space="preserve"> $F394 / $F395 * AY396</f>
        <v>0</v>
      </c>
      <c r="AZ397" s="12">
        <f t="shared" ref="AZ397" si="651" xml:space="preserve"> $F394 / $F395 * AZ396</f>
        <v>0</v>
      </c>
      <c r="BA397" s="12">
        <f t="shared" ref="BA397" si="652" xml:space="preserve"> $F394 / $F395 * BA396</f>
        <v>0</v>
      </c>
      <c r="BB397" s="12">
        <f t="shared" ref="BB397" si="653" xml:space="preserve"> $F394 / $F395 * BB396</f>
        <v>0</v>
      </c>
      <c r="BC397" s="12">
        <f t="shared" ref="BC397" si="654" xml:space="preserve"> $F394 / $F395 * BC396</f>
        <v>0</v>
      </c>
      <c r="BD397" s="12">
        <f t="shared" ref="BD397" si="655" xml:space="preserve"> $F394 / $F395 * BD396</f>
        <v>0</v>
      </c>
      <c r="BE397" s="12">
        <f t="shared" ref="BE397" si="656" xml:space="preserve"> $F394 / $F395 * BE396</f>
        <v>0</v>
      </c>
    </row>
    <row r="398" spans="1:57" hidden="1" outlineLevel="2" x14ac:dyDescent="0.2">
      <c r="I398" s="12"/>
    </row>
    <row r="399" spans="1:57" hidden="1" outlineLevel="2" x14ac:dyDescent="0.2">
      <c r="C399" s="21" t="s">
        <v>279</v>
      </c>
      <c r="I399" s="12"/>
    </row>
    <row r="400" spans="1:57" hidden="1" outlineLevel="2" x14ac:dyDescent="0.2">
      <c r="E400" s="12" t="str">
        <f t="shared" ref="E400:AJ400" si="657" xml:space="preserve"> E$385</f>
        <v>Construction debt commitment fee - T1</v>
      </c>
      <c r="F400" s="12">
        <f t="shared" si="657"/>
        <v>0</v>
      </c>
      <c r="G400" s="12" t="str">
        <f t="shared" si="657"/>
        <v>$ 000s</v>
      </c>
      <c r="H400" s="12">
        <f t="shared" si="657"/>
        <v>1316.5658840955696</v>
      </c>
      <c r="I400" s="12">
        <f t="shared" si="657"/>
        <v>0</v>
      </c>
      <c r="J400" s="12">
        <f t="shared" si="657"/>
        <v>0</v>
      </c>
      <c r="K400" s="12">
        <f t="shared" si="657"/>
        <v>0</v>
      </c>
      <c r="L400" s="12">
        <f t="shared" si="657"/>
        <v>0</v>
      </c>
      <c r="M400" s="12">
        <f t="shared" si="657"/>
        <v>0</v>
      </c>
      <c r="N400" s="12">
        <f t="shared" si="657"/>
        <v>78.246828831345908</v>
      </c>
      <c r="O400" s="12">
        <f t="shared" si="657"/>
        <v>78.246828831345908</v>
      </c>
      <c r="P400" s="12">
        <f t="shared" si="657"/>
        <v>78.246828831345908</v>
      </c>
      <c r="Q400" s="12">
        <f t="shared" si="657"/>
        <v>78.246828831345908</v>
      </c>
      <c r="R400" s="12">
        <f t="shared" si="657"/>
        <v>78.246828831345908</v>
      </c>
      <c r="S400" s="12">
        <f t="shared" si="657"/>
        <v>78.246828831345908</v>
      </c>
      <c r="T400" s="12">
        <f t="shared" si="657"/>
        <v>78.227960405000289</v>
      </c>
      <c r="U400" s="12">
        <f t="shared" si="657"/>
        <v>74.467980971426059</v>
      </c>
      <c r="V400" s="12">
        <f t="shared" si="657"/>
        <v>70.694171397820753</v>
      </c>
      <c r="W400" s="12">
        <f t="shared" si="657"/>
        <v>66.909491156095001</v>
      </c>
      <c r="X400" s="12">
        <f t="shared" si="657"/>
        <v>63.126774007532561</v>
      </c>
      <c r="Y400" s="12">
        <f t="shared" si="657"/>
        <v>59.320295457236924</v>
      </c>
      <c r="Z400" s="12">
        <f t="shared" si="657"/>
        <v>55.508004817365403</v>
      </c>
      <c r="AA400" s="12">
        <f t="shared" si="657"/>
        <v>51.679579979176296</v>
      </c>
      <c r="AB400" s="12">
        <f t="shared" si="657"/>
        <v>47.846150026504731</v>
      </c>
      <c r="AC400" s="12">
        <f t="shared" si="657"/>
        <v>43.995654789955246</v>
      </c>
      <c r="AD400" s="12">
        <f t="shared" si="657"/>
        <v>40.134067987972024</v>
      </c>
      <c r="AE400" s="12">
        <f t="shared" si="657"/>
        <v>36.268695452157893</v>
      </c>
      <c r="AF400" s="12">
        <f t="shared" si="657"/>
        <v>32.384850714549174</v>
      </c>
      <c r="AG400" s="12">
        <f t="shared" si="657"/>
        <v>28.498038677633321</v>
      </c>
      <c r="AH400" s="12">
        <f t="shared" si="657"/>
        <v>24.591810131504499</v>
      </c>
      <c r="AI400" s="12">
        <f t="shared" si="657"/>
        <v>21.296204477046778</v>
      </c>
      <c r="AJ400" s="12">
        <f t="shared" si="657"/>
        <v>18.010072057053975</v>
      </c>
      <c r="AK400" s="12">
        <f t="shared" ref="AK400:BE400" si="658" xml:space="preserve"> AK$385</f>
        <v>14.695507340441855</v>
      </c>
      <c r="AL400" s="12">
        <f t="shared" si="658"/>
        <v>11.381629786909043</v>
      </c>
      <c r="AM400" s="12">
        <f t="shared" si="658"/>
        <v>8.0479714741118098</v>
      </c>
      <c r="AN400" s="12">
        <f t="shared" si="658"/>
        <v>0</v>
      </c>
      <c r="AO400" s="12">
        <f t="shared" si="658"/>
        <v>0</v>
      </c>
      <c r="AP400" s="12">
        <f t="shared" si="658"/>
        <v>0</v>
      </c>
      <c r="AQ400" s="12">
        <f t="shared" si="658"/>
        <v>0</v>
      </c>
      <c r="AR400" s="12">
        <f t="shared" si="658"/>
        <v>0</v>
      </c>
      <c r="AS400" s="12">
        <f t="shared" si="658"/>
        <v>0</v>
      </c>
      <c r="AT400" s="12">
        <f t="shared" si="658"/>
        <v>0</v>
      </c>
      <c r="AU400" s="12">
        <f t="shared" si="658"/>
        <v>0</v>
      </c>
      <c r="AV400" s="12">
        <f t="shared" si="658"/>
        <v>0</v>
      </c>
      <c r="AW400" s="12">
        <f t="shared" si="658"/>
        <v>0</v>
      </c>
      <c r="AX400" s="12">
        <f t="shared" si="658"/>
        <v>0</v>
      </c>
      <c r="AY400" s="12">
        <f t="shared" si="658"/>
        <v>0</v>
      </c>
      <c r="AZ400" s="12">
        <f t="shared" si="658"/>
        <v>0</v>
      </c>
      <c r="BA400" s="12">
        <f t="shared" si="658"/>
        <v>0</v>
      </c>
      <c r="BB400" s="12">
        <f t="shared" si="658"/>
        <v>0</v>
      </c>
      <c r="BC400" s="12">
        <f t="shared" si="658"/>
        <v>0</v>
      </c>
      <c r="BD400" s="12">
        <f t="shared" si="658"/>
        <v>0</v>
      </c>
      <c r="BE400" s="12">
        <f t="shared" si="658"/>
        <v>0</v>
      </c>
    </row>
    <row r="401" spans="1:57" hidden="1" outlineLevel="2" x14ac:dyDescent="0.2">
      <c r="E401" s="12" t="str">
        <f t="shared" ref="E401:AJ401" si="659" xml:space="preserve"> E$397</f>
        <v>Construction debt commitment fee - T2</v>
      </c>
      <c r="F401" s="12">
        <f t="shared" si="659"/>
        <v>0</v>
      </c>
      <c r="G401" s="12" t="str">
        <f t="shared" si="659"/>
        <v>$ 000s</v>
      </c>
      <c r="H401" s="12">
        <f t="shared" si="659"/>
        <v>1421.8911548232147</v>
      </c>
      <c r="I401" s="12">
        <f t="shared" si="659"/>
        <v>0</v>
      </c>
      <c r="J401" s="12">
        <f t="shared" si="659"/>
        <v>0</v>
      </c>
      <c r="K401" s="12">
        <f t="shared" si="659"/>
        <v>0</v>
      </c>
      <c r="L401" s="12">
        <f t="shared" si="659"/>
        <v>0</v>
      </c>
      <c r="M401" s="12">
        <f t="shared" si="659"/>
        <v>0</v>
      </c>
      <c r="N401" s="12">
        <f t="shared" si="659"/>
        <v>84.506575137853559</v>
      </c>
      <c r="O401" s="12">
        <f t="shared" si="659"/>
        <v>84.506575137853559</v>
      </c>
      <c r="P401" s="12">
        <f t="shared" si="659"/>
        <v>84.506575137853559</v>
      </c>
      <c r="Q401" s="12">
        <f t="shared" si="659"/>
        <v>84.506575137853559</v>
      </c>
      <c r="R401" s="12">
        <f t="shared" si="659"/>
        <v>84.506575137853559</v>
      </c>
      <c r="S401" s="12">
        <f t="shared" si="659"/>
        <v>84.506575137853559</v>
      </c>
      <c r="T401" s="12">
        <f t="shared" si="659"/>
        <v>84.486197237400305</v>
      </c>
      <c r="U401" s="12">
        <f t="shared" si="659"/>
        <v>80.425419449140136</v>
      </c>
      <c r="V401" s="12">
        <f t="shared" si="659"/>
        <v>76.349705109646408</v>
      </c>
      <c r="W401" s="12">
        <f t="shared" si="659"/>
        <v>72.262250448582591</v>
      </c>
      <c r="X401" s="12">
        <f t="shared" si="659"/>
        <v>68.176915928135159</v>
      </c>
      <c r="Y401" s="12">
        <f t="shared" si="659"/>
        <v>64.065919093815879</v>
      </c>
      <c r="Z401" s="12">
        <f t="shared" si="659"/>
        <v>59.948645202754626</v>
      </c>
      <c r="AA401" s="12">
        <f t="shared" si="659"/>
        <v>55.813946377510398</v>
      </c>
      <c r="AB401" s="12">
        <f t="shared" si="659"/>
        <v>51.673842028625103</v>
      </c>
      <c r="AC401" s="12">
        <f t="shared" si="659"/>
        <v>47.515307173151655</v>
      </c>
      <c r="AD401" s="12">
        <f t="shared" si="659"/>
        <v>43.344793427009783</v>
      </c>
      <c r="AE401" s="12">
        <f t="shared" si="659"/>
        <v>39.170191088330519</v>
      </c>
      <c r="AF401" s="12">
        <f t="shared" si="659"/>
        <v>34.975638771713108</v>
      </c>
      <c r="AG401" s="12">
        <f t="shared" si="659"/>
        <v>30.777881771843983</v>
      </c>
      <c r="AH401" s="12">
        <f t="shared" si="659"/>
        <v>26.559154942024854</v>
      </c>
      <c r="AI401" s="12">
        <f t="shared" si="659"/>
        <v>22.999900835210514</v>
      </c>
      <c r="AJ401" s="12">
        <f t="shared" si="659"/>
        <v>19.450877821618292</v>
      </c>
      <c r="AK401" s="12">
        <f t="shared" ref="AK401:BE401" si="660" xml:space="preserve"> AK$397</f>
        <v>15.871147927677201</v>
      </c>
      <c r="AL401" s="12">
        <f t="shared" si="660"/>
        <v>12.292160169861765</v>
      </c>
      <c r="AM401" s="12">
        <f t="shared" si="660"/>
        <v>8.6918091920407541</v>
      </c>
      <c r="AN401" s="12">
        <f t="shared" si="660"/>
        <v>0</v>
      </c>
      <c r="AO401" s="12">
        <f t="shared" si="660"/>
        <v>0</v>
      </c>
      <c r="AP401" s="12">
        <f t="shared" si="660"/>
        <v>0</v>
      </c>
      <c r="AQ401" s="12">
        <f t="shared" si="660"/>
        <v>0</v>
      </c>
      <c r="AR401" s="12">
        <f t="shared" si="660"/>
        <v>0</v>
      </c>
      <c r="AS401" s="12">
        <f t="shared" si="660"/>
        <v>0</v>
      </c>
      <c r="AT401" s="12">
        <f t="shared" si="660"/>
        <v>0</v>
      </c>
      <c r="AU401" s="12">
        <f t="shared" si="660"/>
        <v>0</v>
      </c>
      <c r="AV401" s="12">
        <f t="shared" si="660"/>
        <v>0</v>
      </c>
      <c r="AW401" s="12">
        <f t="shared" si="660"/>
        <v>0</v>
      </c>
      <c r="AX401" s="12">
        <f t="shared" si="660"/>
        <v>0</v>
      </c>
      <c r="AY401" s="12">
        <f t="shared" si="660"/>
        <v>0</v>
      </c>
      <c r="AZ401" s="12">
        <f t="shared" si="660"/>
        <v>0</v>
      </c>
      <c r="BA401" s="12">
        <f t="shared" si="660"/>
        <v>0</v>
      </c>
      <c r="BB401" s="12">
        <f t="shared" si="660"/>
        <v>0</v>
      </c>
      <c r="BC401" s="12">
        <f t="shared" si="660"/>
        <v>0</v>
      </c>
      <c r="BD401" s="12">
        <f t="shared" si="660"/>
        <v>0</v>
      </c>
      <c r="BE401" s="12">
        <f t="shared" si="660"/>
        <v>0</v>
      </c>
    </row>
    <row r="402" spans="1:57" s="188" customFormat="1" hidden="1" outlineLevel="2" x14ac:dyDescent="0.2">
      <c r="A402" s="141"/>
      <c r="B402" s="141"/>
      <c r="C402" s="142"/>
      <c r="D402" s="143"/>
      <c r="E402" s="496" t="s">
        <v>279</v>
      </c>
      <c r="F402" s="496"/>
      <c r="G402" s="496" t="str">
        <f xml:space="preserve"> SMU</f>
        <v>$ 000s</v>
      </c>
      <c r="H402" s="496">
        <f xml:space="preserve"> SUM(J402:BE402)</f>
        <v>2738.4570389187838</v>
      </c>
      <c r="I402" s="497"/>
      <c r="J402" s="496">
        <f t="shared" ref="J402:BE402" si="661" xml:space="preserve"> SUM(J400:J401)</f>
        <v>0</v>
      </c>
      <c r="K402" s="496">
        <f t="shared" si="661"/>
        <v>0</v>
      </c>
      <c r="L402" s="496">
        <f t="shared" si="661"/>
        <v>0</v>
      </c>
      <c r="M402" s="496">
        <f t="shared" si="661"/>
        <v>0</v>
      </c>
      <c r="N402" s="496">
        <f t="shared" si="661"/>
        <v>162.75340396919947</v>
      </c>
      <c r="O402" s="496">
        <f t="shared" si="661"/>
        <v>162.75340396919947</v>
      </c>
      <c r="P402" s="496">
        <f t="shared" si="661"/>
        <v>162.75340396919947</v>
      </c>
      <c r="Q402" s="496">
        <f t="shared" si="661"/>
        <v>162.75340396919947</v>
      </c>
      <c r="R402" s="496">
        <f t="shared" si="661"/>
        <v>162.75340396919947</v>
      </c>
      <c r="S402" s="496">
        <f t="shared" si="661"/>
        <v>162.75340396919947</v>
      </c>
      <c r="T402" s="496">
        <f t="shared" si="661"/>
        <v>162.71415764240061</v>
      </c>
      <c r="U402" s="496">
        <f t="shared" si="661"/>
        <v>154.89340042056619</v>
      </c>
      <c r="V402" s="496">
        <f t="shared" si="661"/>
        <v>147.04387650746716</v>
      </c>
      <c r="W402" s="496">
        <f t="shared" si="661"/>
        <v>139.17174160467761</v>
      </c>
      <c r="X402" s="496">
        <f t="shared" si="661"/>
        <v>131.30368993566771</v>
      </c>
      <c r="Y402" s="496">
        <f t="shared" si="661"/>
        <v>123.3862145510528</v>
      </c>
      <c r="Z402" s="496">
        <f t="shared" si="661"/>
        <v>115.45665002012004</v>
      </c>
      <c r="AA402" s="496">
        <f t="shared" si="661"/>
        <v>107.49352635668669</v>
      </c>
      <c r="AB402" s="496">
        <f t="shared" si="661"/>
        <v>99.519992055129833</v>
      </c>
      <c r="AC402" s="496">
        <f t="shared" si="661"/>
        <v>91.510961963106894</v>
      </c>
      <c r="AD402" s="496">
        <f t="shared" si="661"/>
        <v>83.478861414981807</v>
      </c>
      <c r="AE402" s="496">
        <f t="shared" si="661"/>
        <v>75.438886540488411</v>
      </c>
      <c r="AF402" s="496">
        <f t="shared" si="661"/>
        <v>67.360489486262281</v>
      </c>
      <c r="AG402" s="496">
        <f t="shared" si="661"/>
        <v>59.275920449477304</v>
      </c>
      <c r="AH402" s="496">
        <f t="shared" si="661"/>
        <v>51.150965073529349</v>
      </c>
      <c r="AI402" s="496">
        <f t="shared" si="661"/>
        <v>44.296105312257296</v>
      </c>
      <c r="AJ402" s="496">
        <f t="shared" si="661"/>
        <v>37.460949878672267</v>
      </c>
      <c r="AK402" s="496">
        <f t="shared" si="661"/>
        <v>30.566655268119057</v>
      </c>
      <c r="AL402" s="496">
        <f t="shared" si="661"/>
        <v>23.673789956770808</v>
      </c>
      <c r="AM402" s="496">
        <f t="shared" si="661"/>
        <v>16.739780666152562</v>
      </c>
      <c r="AN402" s="496">
        <f t="shared" si="661"/>
        <v>0</v>
      </c>
      <c r="AO402" s="496">
        <f t="shared" si="661"/>
        <v>0</v>
      </c>
      <c r="AP402" s="496">
        <f t="shared" si="661"/>
        <v>0</v>
      </c>
      <c r="AQ402" s="496">
        <f t="shared" si="661"/>
        <v>0</v>
      </c>
      <c r="AR402" s="496">
        <f t="shared" si="661"/>
        <v>0</v>
      </c>
      <c r="AS402" s="496">
        <f t="shared" si="661"/>
        <v>0</v>
      </c>
      <c r="AT402" s="496">
        <f t="shared" si="661"/>
        <v>0</v>
      </c>
      <c r="AU402" s="496">
        <f t="shared" si="661"/>
        <v>0</v>
      </c>
      <c r="AV402" s="496">
        <f t="shared" si="661"/>
        <v>0</v>
      </c>
      <c r="AW402" s="496">
        <f t="shared" si="661"/>
        <v>0</v>
      </c>
      <c r="AX402" s="496">
        <f t="shared" si="661"/>
        <v>0</v>
      </c>
      <c r="AY402" s="496">
        <f t="shared" si="661"/>
        <v>0</v>
      </c>
      <c r="AZ402" s="496">
        <f t="shared" si="661"/>
        <v>0</v>
      </c>
      <c r="BA402" s="496">
        <f t="shared" si="661"/>
        <v>0</v>
      </c>
      <c r="BB402" s="496">
        <f t="shared" si="661"/>
        <v>0</v>
      </c>
      <c r="BC402" s="496">
        <f t="shared" si="661"/>
        <v>0</v>
      </c>
      <c r="BD402" s="496">
        <f t="shared" si="661"/>
        <v>0</v>
      </c>
      <c r="BE402" s="496">
        <f t="shared" si="661"/>
        <v>0</v>
      </c>
    </row>
    <row r="403" spans="1:57" hidden="1" outlineLevel="2" x14ac:dyDescent="0.2"/>
    <row r="404" spans="1:57" hidden="1" outlineLevel="2" x14ac:dyDescent="0.2">
      <c r="B404" s="15" t="s">
        <v>943</v>
      </c>
    </row>
    <row r="405" spans="1:57" hidden="1" outlineLevel="2" x14ac:dyDescent="0.2">
      <c r="C405" s="21" t="s">
        <v>891</v>
      </c>
    </row>
    <row r="406" spans="1:57" hidden="1" outlineLevel="2" x14ac:dyDescent="0.2">
      <c r="E406" s="145" t="str">
        <f xml:space="preserve"> InpC!E$178</f>
        <v>Construction debt - T1 swap rate</v>
      </c>
      <c r="F406" s="316">
        <f xml:space="preserve"> InpC!F$178</f>
        <v>1.4999999999999999E-2</v>
      </c>
      <c r="G406" s="145" t="str">
        <f xml:space="preserve"> InpC!G$178</f>
        <v>% p.a.</v>
      </c>
      <c r="H406" s="38"/>
    </row>
    <row r="407" spans="1:57" hidden="1" outlineLevel="2" x14ac:dyDescent="0.2">
      <c r="E407" s="145" t="str">
        <f xml:space="preserve"> InpC!E$179</f>
        <v>Construction debt - T1 margin</v>
      </c>
      <c r="F407" s="316">
        <f xml:space="preserve"> InpC!F$179</f>
        <v>2.5000000000000001E-2</v>
      </c>
      <c r="G407" s="145" t="str">
        <f xml:space="preserve"> InpC!G$179</f>
        <v>% p.a.</v>
      </c>
      <c r="H407" s="38"/>
    </row>
    <row r="408" spans="1:57" s="734" customFormat="1" ht="13.15" hidden="1" customHeight="1" outlineLevel="2" x14ac:dyDescent="0.2">
      <c r="A408" s="787"/>
      <c r="B408" s="787"/>
      <c r="C408" s="787"/>
      <c r="D408" s="787"/>
      <c r="E408" s="790" t="str">
        <f xml:space="preserve"> Sensitivity!E$16</f>
        <v>Interest rate - sensitivity</v>
      </c>
      <c r="F408" s="790">
        <f xml:space="preserve"> Sensitivity!F$16</f>
        <v>0</v>
      </c>
      <c r="G408" s="790" t="str">
        <f xml:space="preserve"> Sensitivity!G$16</f>
        <v>% p.a.</v>
      </c>
      <c r="H408" s="788"/>
      <c r="I408" s="788"/>
      <c r="J408" s="788"/>
      <c r="K408" s="788"/>
      <c r="L408" s="788"/>
      <c r="M408" s="788"/>
      <c r="N408" s="788"/>
      <c r="O408" s="788"/>
      <c r="P408" s="788"/>
      <c r="Q408" s="788"/>
      <c r="R408" s="788"/>
      <c r="S408" s="788"/>
      <c r="T408" s="788"/>
      <c r="U408" s="788"/>
      <c r="V408" s="788"/>
      <c r="W408" s="788"/>
      <c r="X408" s="788"/>
      <c r="Y408" s="788"/>
      <c r="Z408" s="788"/>
      <c r="AA408" s="788"/>
      <c r="AB408" s="788"/>
      <c r="AC408" s="788"/>
      <c r="AD408" s="788"/>
      <c r="AE408" s="788"/>
      <c r="AF408" s="788"/>
      <c r="AG408" s="788"/>
      <c r="AH408" s="788"/>
      <c r="AI408" s="788"/>
      <c r="AJ408" s="788"/>
      <c r="AK408" s="788"/>
      <c r="AL408" s="788"/>
      <c r="AM408" s="788"/>
      <c r="AN408" s="788"/>
      <c r="AO408" s="788"/>
      <c r="AP408" s="788"/>
      <c r="AQ408" s="788"/>
      <c r="AR408" s="788"/>
      <c r="AS408" s="788"/>
      <c r="AT408" s="788"/>
      <c r="AU408" s="788"/>
      <c r="AV408" s="788"/>
      <c r="AW408" s="788"/>
      <c r="AX408" s="788"/>
      <c r="AY408" s="788"/>
      <c r="AZ408" s="788"/>
      <c r="BA408" s="788"/>
      <c r="BB408" s="788"/>
      <c r="BC408" s="788"/>
      <c r="BD408" s="788"/>
      <c r="BE408" s="788"/>
    </row>
    <row r="409" spans="1:57" hidden="1" outlineLevel="2" x14ac:dyDescent="0.2">
      <c r="E409" s="12" t="s">
        <v>945</v>
      </c>
      <c r="F409" s="282">
        <f>SUM(F406:F408)</f>
        <v>0.04</v>
      </c>
      <c r="G409" s="12" t="s">
        <v>280</v>
      </c>
    </row>
    <row r="410" spans="1:57" hidden="1" outlineLevel="2" x14ac:dyDescent="0.2"/>
    <row r="411" spans="1:57" hidden="1" outlineLevel="2" x14ac:dyDescent="0.2">
      <c r="E411" s="186" t="str">
        <f xml:space="preserve"> InpC!E$228</f>
        <v>Senior debt - T1 day count convention</v>
      </c>
      <c r="F411" s="186">
        <f xml:space="preserve"> InpC!F$228</f>
        <v>360</v>
      </c>
      <c r="G411" s="186" t="str">
        <f xml:space="preserve"> InpC!G$228</f>
        <v>days</v>
      </c>
    </row>
    <row r="412" spans="1:57" hidden="1" outlineLevel="2" x14ac:dyDescent="0.2">
      <c r="E412" s="12" t="str">
        <f xml:space="preserve"> E$409</f>
        <v>All in construction debt interest rate - T1</v>
      </c>
      <c r="F412" s="287">
        <f xml:space="preserve"> F$409</f>
        <v>0.04</v>
      </c>
      <c r="G412" s="12" t="str">
        <f xml:space="preserve"> G$409</f>
        <v>p.a.</v>
      </c>
    </row>
    <row r="413" spans="1:57" hidden="1" outlineLevel="2" x14ac:dyDescent="0.2">
      <c r="E413" s="186" t="str">
        <f xml:space="preserve"> ConTime!E$97</f>
        <v>Days in period - m</v>
      </c>
      <c r="F413" s="186">
        <f xml:space="preserve"> ConTime!F$97</f>
        <v>0</v>
      </c>
      <c r="G413" s="186" t="str">
        <f xml:space="preserve"> ConTime!G$97</f>
        <v>days</v>
      </c>
      <c r="H413" s="186">
        <f xml:space="preserve"> ConTime!H$97</f>
        <v>0</v>
      </c>
      <c r="I413" s="186">
        <f xml:space="preserve"> ConTime!I$97</f>
        <v>0</v>
      </c>
      <c r="J413" s="186">
        <f xml:space="preserve"> ConTime!J$97</f>
        <v>31</v>
      </c>
      <c r="K413" s="186">
        <f xml:space="preserve"> ConTime!K$97</f>
        <v>28</v>
      </c>
      <c r="L413" s="186">
        <f xml:space="preserve"> ConTime!L$97</f>
        <v>31</v>
      </c>
      <c r="M413" s="186">
        <f xml:space="preserve"> ConTime!M$97</f>
        <v>30</v>
      </c>
      <c r="N413" s="186">
        <f xml:space="preserve"> ConTime!N$97</f>
        <v>31</v>
      </c>
      <c r="O413" s="186">
        <f xml:space="preserve"> ConTime!O$97</f>
        <v>30</v>
      </c>
      <c r="P413" s="186">
        <f xml:space="preserve"> ConTime!P$97</f>
        <v>31</v>
      </c>
      <c r="Q413" s="186">
        <f xml:space="preserve"> ConTime!Q$97</f>
        <v>31</v>
      </c>
      <c r="R413" s="186">
        <f xml:space="preserve"> ConTime!R$97</f>
        <v>30</v>
      </c>
      <c r="S413" s="186">
        <f xml:space="preserve"> ConTime!S$97</f>
        <v>31</v>
      </c>
      <c r="T413" s="186">
        <f xml:space="preserve"> ConTime!T$97</f>
        <v>30</v>
      </c>
      <c r="U413" s="186">
        <f xml:space="preserve"> ConTime!U$97</f>
        <v>31</v>
      </c>
      <c r="V413" s="186">
        <f xml:space="preserve"> ConTime!V$97</f>
        <v>31</v>
      </c>
      <c r="W413" s="186">
        <f xml:space="preserve"> ConTime!W$97</f>
        <v>28</v>
      </c>
      <c r="X413" s="186">
        <f xml:space="preserve"> ConTime!X$97</f>
        <v>31</v>
      </c>
      <c r="Y413" s="186">
        <f xml:space="preserve"> ConTime!Y$97</f>
        <v>30</v>
      </c>
      <c r="Z413" s="186">
        <f xml:space="preserve"> ConTime!Z$97</f>
        <v>31</v>
      </c>
      <c r="AA413" s="186">
        <f xml:space="preserve"> ConTime!AA$97</f>
        <v>30</v>
      </c>
      <c r="AB413" s="186">
        <f xml:space="preserve"> ConTime!AB$97</f>
        <v>31</v>
      </c>
      <c r="AC413" s="186">
        <f xml:space="preserve"> ConTime!AC$97</f>
        <v>31</v>
      </c>
      <c r="AD413" s="186">
        <f xml:space="preserve"> ConTime!AD$97</f>
        <v>30</v>
      </c>
      <c r="AE413" s="186">
        <f xml:space="preserve"> ConTime!AE$97</f>
        <v>31</v>
      </c>
      <c r="AF413" s="186">
        <f xml:space="preserve"> ConTime!AF$97</f>
        <v>30</v>
      </c>
      <c r="AG413" s="186">
        <f xml:space="preserve"> ConTime!AG$97</f>
        <v>31</v>
      </c>
      <c r="AH413" s="186">
        <f xml:space="preserve"> ConTime!AH$97</f>
        <v>31</v>
      </c>
      <c r="AI413" s="186">
        <f xml:space="preserve"> ConTime!AI$97</f>
        <v>29</v>
      </c>
      <c r="AJ413" s="186">
        <f xml:space="preserve"> ConTime!AJ$97</f>
        <v>31</v>
      </c>
      <c r="AK413" s="186">
        <f xml:space="preserve"> ConTime!AK$97</f>
        <v>30</v>
      </c>
      <c r="AL413" s="186">
        <f xml:space="preserve"> ConTime!AL$97</f>
        <v>31</v>
      </c>
      <c r="AM413" s="186">
        <f xml:space="preserve"> ConTime!AM$97</f>
        <v>30</v>
      </c>
      <c r="AN413" s="186">
        <f xml:space="preserve"> ConTime!AN$97</f>
        <v>31</v>
      </c>
      <c r="AO413" s="186">
        <f xml:space="preserve"> ConTime!AO$97</f>
        <v>31</v>
      </c>
      <c r="AP413" s="186">
        <f xml:space="preserve"> ConTime!AP$97</f>
        <v>30</v>
      </c>
      <c r="AQ413" s="186">
        <f xml:space="preserve"> ConTime!AQ$97</f>
        <v>31</v>
      </c>
      <c r="AR413" s="186">
        <f xml:space="preserve"> ConTime!AR$97</f>
        <v>30</v>
      </c>
      <c r="AS413" s="186">
        <f xml:space="preserve"> ConTime!AS$97</f>
        <v>31</v>
      </c>
      <c r="AT413" s="186">
        <f xml:space="preserve"> ConTime!AT$97</f>
        <v>31</v>
      </c>
      <c r="AU413" s="186">
        <f xml:space="preserve"> ConTime!AU$97</f>
        <v>28</v>
      </c>
      <c r="AV413" s="186">
        <f xml:space="preserve"> ConTime!AV$97</f>
        <v>31</v>
      </c>
      <c r="AW413" s="186">
        <f xml:space="preserve"> ConTime!AW$97</f>
        <v>30</v>
      </c>
      <c r="AX413" s="186">
        <f xml:space="preserve"> ConTime!AX$97</f>
        <v>31</v>
      </c>
      <c r="AY413" s="186">
        <f xml:space="preserve"> ConTime!AY$97</f>
        <v>30</v>
      </c>
      <c r="AZ413" s="186">
        <f xml:space="preserve"> ConTime!AZ$97</f>
        <v>31</v>
      </c>
      <c r="BA413" s="186">
        <f xml:space="preserve"> ConTime!BA$97</f>
        <v>31</v>
      </c>
      <c r="BB413" s="186">
        <f xml:space="preserve"> ConTime!BB$97</f>
        <v>30</v>
      </c>
      <c r="BC413" s="186">
        <f xml:space="preserve"> ConTime!BC$97</f>
        <v>31</v>
      </c>
      <c r="BD413" s="186">
        <f xml:space="preserve"> ConTime!BD$97</f>
        <v>30</v>
      </c>
      <c r="BE413" s="186">
        <f xml:space="preserve"> ConTime!BE$97</f>
        <v>31</v>
      </c>
    </row>
    <row r="414" spans="1:57" hidden="1" outlineLevel="2" x14ac:dyDescent="0.2">
      <c r="E414" s="12" t="str">
        <f t="shared" ref="E414:AJ414" si="662" xml:space="preserve"> E$314</f>
        <v>Construction debt - T1 balance BEG</v>
      </c>
      <c r="F414" s="12">
        <f t="shared" si="662"/>
        <v>0</v>
      </c>
      <c r="G414" s="12" t="str">
        <f t="shared" si="662"/>
        <v>$ 000s</v>
      </c>
      <c r="H414" s="12">
        <f t="shared" si="662"/>
        <v>0</v>
      </c>
      <c r="I414" s="12">
        <f t="shared" si="662"/>
        <v>0</v>
      </c>
      <c r="J414" s="12">
        <f t="shared" si="662"/>
        <v>0</v>
      </c>
      <c r="K414" s="12">
        <f t="shared" si="662"/>
        <v>0</v>
      </c>
      <c r="L414" s="12">
        <f t="shared" si="662"/>
        <v>0</v>
      </c>
      <c r="M414" s="12">
        <f t="shared" si="662"/>
        <v>0</v>
      </c>
      <c r="N414" s="12">
        <f t="shared" si="662"/>
        <v>0</v>
      </c>
      <c r="O414" s="12">
        <f t="shared" si="662"/>
        <v>0</v>
      </c>
      <c r="P414" s="12">
        <f t="shared" si="662"/>
        <v>0</v>
      </c>
      <c r="Q414" s="12">
        <f t="shared" si="662"/>
        <v>0</v>
      </c>
      <c r="R414" s="12">
        <f t="shared" si="662"/>
        <v>0</v>
      </c>
      <c r="S414" s="12">
        <f t="shared" si="662"/>
        <v>0</v>
      </c>
      <c r="T414" s="12">
        <f t="shared" si="662"/>
        <v>30.189482152990422</v>
      </c>
      <c r="U414" s="12">
        <f t="shared" si="662"/>
        <v>6046.1565758717497</v>
      </c>
      <c r="V414" s="12">
        <f t="shared" si="662"/>
        <v>12084.251893640236</v>
      </c>
      <c r="W414" s="12">
        <f t="shared" si="662"/>
        <v>18139.740280401442</v>
      </c>
      <c r="X414" s="12">
        <f t="shared" si="662"/>
        <v>24192.087718101349</v>
      </c>
      <c r="Y414" s="12">
        <f t="shared" si="662"/>
        <v>30282.453398574366</v>
      </c>
      <c r="Z414" s="12">
        <f t="shared" si="662"/>
        <v>36382.118422368811</v>
      </c>
      <c r="AA414" s="12">
        <f t="shared" si="662"/>
        <v>42507.598163471368</v>
      </c>
      <c r="AB414" s="12">
        <f t="shared" si="662"/>
        <v>48641.086087745876</v>
      </c>
      <c r="AC414" s="12">
        <f t="shared" si="662"/>
        <v>54801.878466225055</v>
      </c>
      <c r="AD414" s="12">
        <f t="shared" si="662"/>
        <v>60980.417349398202</v>
      </c>
      <c r="AE414" s="12">
        <f t="shared" si="662"/>
        <v>67165.013406700818</v>
      </c>
      <c r="AF414" s="12">
        <f t="shared" si="662"/>
        <v>73379.164986874763</v>
      </c>
      <c r="AG414" s="12">
        <f t="shared" si="662"/>
        <v>79598.064245940128</v>
      </c>
      <c r="AH414" s="12">
        <f t="shared" si="662"/>
        <v>85848.029919746245</v>
      </c>
      <c r="AI414" s="12">
        <f t="shared" si="662"/>
        <v>91120.9989668786</v>
      </c>
      <c r="AJ414" s="12">
        <f t="shared" si="662"/>
        <v>96378.810838867081</v>
      </c>
      <c r="AK414" s="12">
        <f t="shared" ref="AK414:BE414" si="663" xml:space="preserve"> AK$314</f>
        <v>101682.11438544648</v>
      </c>
      <c r="AL414" s="12">
        <f t="shared" si="663"/>
        <v>106984.31847109897</v>
      </c>
      <c r="AM414" s="12">
        <f t="shared" si="663"/>
        <v>112318.17177157455</v>
      </c>
      <c r="AN414" s="12">
        <f t="shared" si="663"/>
        <v>125194.92613015344</v>
      </c>
      <c r="AO414" s="12">
        <f t="shared" si="663"/>
        <v>125194.92613015344</v>
      </c>
      <c r="AP414" s="12">
        <f t="shared" si="663"/>
        <v>125194.92613015344</v>
      </c>
      <c r="AQ414" s="12">
        <f t="shared" si="663"/>
        <v>125194.92613015344</v>
      </c>
      <c r="AR414" s="12">
        <f t="shared" si="663"/>
        <v>125194.92613015344</v>
      </c>
      <c r="AS414" s="12">
        <f t="shared" si="663"/>
        <v>125194.92613015344</v>
      </c>
      <c r="AT414" s="12">
        <f t="shared" si="663"/>
        <v>125194.92613015344</v>
      </c>
      <c r="AU414" s="12">
        <f t="shared" si="663"/>
        <v>125194.92613015344</v>
      </c>
      <c r="AV414" s="12">
        <f t="shared" si="663"/>
        <v>125194.92613015344</v>
      </c>
      <c r="AW414" s="12">
        <f t="shared" si="663"/>
        <v>125194.92613015344</v>
      </c>
      <c r="AX414" s="12">
        <f t="shared" si="663"/>
        <v>125194.92613015344</v>
      </c>
      <c r="AY414" s="12">
        <f t="shared" si="663"/>
        <v>125194.92613015344</v>
      </c>
      <c r="AZ414" s="12">
        <f t="shared" si="663"/>
        <v>125194.92613015344</v>
      </c>
      <c r="BA414" s="12">
        <f t="shared" si="663"/>
        <v>125194.92613015344</v>
      </c>
      <c r="BB414" s="12">
        <f t="shared" si="663"/>
        <v>125194.92613015344</v>
      </c>
      <c r="BC414" s="12">
        <f t="shared" si="663"/>
        <v>125194.92613015344</v>
      </c>
      <c r="BD414" s="12">
        <f t="shared" si="663"/>
        <v>125194.92613015344</v>
      </c>
      <c r="BE414" s="12">
        <f t="shared" si="663"/>
        <v>125194.92613015344</v>
      </c>
    </row>
    <row r="415" spans="1:57" hidden="1" outlineLevel="2" x14ac:dyDescent="0.2">
      <c r="E415" s="186" t="str">
        <f xml:space="preserve"> ConTime!E$82</f>
        <v>Construction period flag</v>
      </c>
      <c r="F415" s="186">
        <f xml:space="preserve"> ConTime!F$82</f>
        <v>0</v>
      </c>
      <c r="G415" s="186" t="str">
        <f xml:space="preserve"> ConTime!G$82</f>
        <v>flag</v>
      </c>
      <c r="H415" s="186">
        <f xml:space="preserve"> ConTime!H$82</f>
        <v>26</v>
      </c>
      <c r="I415" s="186">
        <f xml:space="preserve"> ConTime!I$82</f>
        <v>0</v>
      </c>
      <c r="J415" s="186">
        <f xml:space="preserve"> ConTime!J$82</f>
        <v>0</v>
      </c>
      <c r="K415" s="186">
        <f xml:space="preserve"> ConTime!K$82</f>
        <v>0</v>
      </c>
      <c r="L415" s="186">
        <f xml:space="preserve"> ConTime!L$82</f>
        <v>0</v>
      </c>
      <c r="M415" s="186">
        <f xml:space="preserve"> ConTime!M$82</f>
        <v>0</v>
      </c>
      <c r="N415" s="186">
        <f xml:space="preserve"> ConTime!N$82</f>
        <v>1</v>
      </c>
      <c r="O415" s="186">
        <f xml:space="preserve"> ConTime!O$82</f>
        <v>1</v>
      </c>
      <c r="P415" s="186">
        <f xml:space="preserve"> ConTime!P$82</f>
        <v>1</v>
      </c>
      <c r="Q415" s="186">
        <f xml:space="preserve"> ConTime!Q$82</f>
        <v>1</v>
      </c>
      <c r="R415" s="186">
        <f xml:space="preserve"> ConTime!R$82</f>
        <v>1</v>
      </c>
      <c r="S415" s="186">
        <f xml:space="preserve"> ConTime!S$82</f>
        <v>1</v>
      </c>
      <c r="T415" s="186">
        <f xml:space="preserve"> ConTime!T$82</f>
        <v>1</v>
      </c>
      <c r="U415" s="186">
        <f xml:space="preserve"> ConTime!U$82</f>
        <v>1</v>
      </c>
      <c r="V415" s="186">
        <f xml:space="preserve"> ConTime!V$82</f>
        <v>1</v>
      </c>
      <c r="W415" s="186">
        <f xml:space="preserve"> ConTime!W$82</f>
        <v>1</v>
      </c>
      <c r="X415" s="186">
        <f xml:space="preserve"> ConTime!X$82</f>
        <v>1</v>
      </c>
      <c r="Y415" s="186">
        <f xml:space="preserve"> ConTime!Y$82</f>
        <v>1</v>
      </c>
      <c r="Z415" s="186">
        <f xml:space="preserve"> ConTime!Z$82</f>
        <v>1</v>
      </c>
      <c r="AA415" s="186">
        <f xml:space="preserve"> ConTime!AA$82</f>
        <v>1</v>
      </c>
      <c r="AB415" s="186">
        <f xml:space="preserve"> ConTime!AB$82</f>
        <v>1</v>
      </c>
      <c r="AC415" s="186">
        <f xml:space="preserve"> ConTime!AC$82</f>
        <v>1</v>
      </c>
      <c r="AD415" s="186">
        <f xml:space="preserve"> ConTime!AD$82</f>
        <v>1</v>
      </c>
      <c r="AE415" s="186">
        <f xml:space="preserve"> ConTime!AE$82</f>
        <v>1</v>
      </c>
      <c r="AF415" s="186">
        <f xml:space="preserve"> ConTime!AF$82</f>
        <v>1</v>
      </c>
      <c r="AG415" s="186">
        <f xml:space="preserve"> ConTime!AG$82</f>
        <v>1</v>
      </c>
      <c r="AH415" s="186">
        <f xml:space="preserve"> ConTime!AH$82</f>
        <v>1</v>
      </c>
      <c r="AI415" s="186">
        <f xml:space="preserve"> ConTime!AI$82</f>
        <v>1</v>
      </c>
      <c r="AJ415" s="186">
        <f xml:space="preserve"> ConTime!AJ$82</f>
        <v>1</v>
      </c>
      <c r="AK415" s="186">
        <f xml:space="preserve"> ConTime!AK$82</f>
        <v>1</v>
      </c>
      <c r="AL415" s="186">
        <f xml:space="preserve"> ConTime!AL$82</f>
        <v>1</v>
      </c>
      <c r="AM415" s="186">
        <f xml:space="preserve"> ConTime!AM$82</f>
        <v>1</v>
      </c>
      <c r="AN415" s="186">
        <f xml:space="preserve"> ConTime!AN$82</f>
        <v>0</v>
      </c>
      <c r="AO415" s="186">
        <f xml:space="preserve"> ConTime!AO$82</f>
        <v>0</v>
      </c>
      <c r="AP415" s="186">
        <f xml:space="preserve"> ConTime!AP$82</f>
        <v>0</v>
      </c>
      <c r="AQ415" s="186">
        <f xml:space="preserve"> ConTime!AQ$82</f>
        <v>0</v>
      </c>
      <c r="AR415" s="186">
        <f xml:space="preserve"> ConTime!AR$82</f>
        <v>0</v>
      </c>
      <c r="AS415" s="186">
        <f xml:space="preserve"> ConTime!AS$82</f>
        <v>0</v>
      </c>
      <c r="AT415" s="186">
        <f xml:space="preserve"> ConTime!AT$82</f>
        <v>0</v>
      </c>
      <c r="AU415" s="186">
        <f xml:space="preserve"> ConTime!AU$82</f>
        <v>0</v>
      </c>
      <c r="AV415" s="186">
        <f xml:space="preserve"> ConTime!AV$82</f>
        <v>0</v>
      </c>
      <c r="AW415" s="186">
        <f xml:space="preserve"> ConTime!AW$82</f>
        <v>0</v>
      </c>
      <c r="AX415" s="186">
        <f xml:space="preserve"> ConTime!AX$82</f>
        <v>0</v>
      </c>
      <c r="AY415" s="186">
        <f xml:space="preserve"> ConTime!AY$82</f>
        <v>0</v>
      </c>
      <c r="AZ415" s="186">
        <f xml:space="preserve"> ConTime!AZ$82</f>
        <v>0</v>
      </c>
      <c r="BA415" s="186">
        <f xml:space="preserve"> ConTime!BA$82</f>
        <v>0</v>
      </c>
      <c r="BB415" s="186">
        <f xml:space="preserve"> ConTime!BB$82</f>
        <v>0</v>
      </c>
      <c r="BC415" s="186">
        <f xml:space="preserve"> ConTime!BC$82</f>
        <v>0</v>
      </c>
      <c r="BD415" s="186">
        <f xml:space="preserve"> ConTime!BD$82</f>
        <v>0</v>
      </c>
      <c r="BE415" s="186">
        <f xml:space="preserve"> ConTime!BE$82</f>
        <v>0</v>
      </c>
    </row>
    <row r="416" spans="1:57" s="191" customFormat="1" hidden="1" outlineLevel="2" x14ac:dyDescent="0.2">
      <c r="A416" s="236"/>
      <c r="B416" s="236"/>
      <c r="C416" s="237"/>
      <c r="D416" s="238"/>
      <c r="E416" s="234" t="s">
        <v>944</v>
      </c>
      <c r="F416" s="234"/>
      <c r="G416" s="234" t="str">
        <f xml:space="preserve"> SMU</f>
        <v>$ 000s</v>
      </c>
      <c r="H416" s="234">
        <f xml:space="preserve"> SUM(J416:BE416)</f>
        <v>3883.0668090501113</v>
      </c>
      <c r="I416" s="234"/>
      <c r="J416" s="234">
        <f t="shared" ref="J416:BE416" si="664" xml:space="preserve"> $F412 / $F411 * J413 * J414 * J415</f>
        <v>0</v>
      </c>
      <c r="K416" s="234">
        <f t="shared" si="664"/>
        <v>0</v>
      </c>
      <c r="L416" s="234">
        <f t="shared" si="664"/>
        <v>0</v>
      </c>
      <c r="M416" s="234">
        <f t="shared" si="664"/>
        <v>0</v>
      </c>
      <c r="N416" s="234">
        <f t="shared" si="664"/>
        <v>0</v>
      </c>
      <c r="O416" s="234">
        <f t="shared" si="664"/>
        <v>0</v>
      </c>
      <c r="P416" s="234">
        <f t="shared" si="664"/>
        <v>0</v>
      </c>
      <c r="Q416" s="234">
        <f t="shared" si="664"/>
        <v>0</v>
      </c>
      <c r="R416" s="234">
        <f t="shared" si="664"/>
        <v>0</v>
      </c>
      <c r="S416" s="234">
        <f t="shared" si="664"/>
        <v>0</v>
      </c>
      <c r="T416" s="234">
        <f t="shared" si="664"/>
        <v>0.10063160717663475</v>
      </c>
      <c r="U416" s="234">
        <f t="shared" si="664"/>
        <v>20.825650428002692</v>
      </c>
      <c r="V416" s="234">
        <f t="shared" si="664"/>
        <v>41.623534300316365</v>
      </c>
      <c r="W416" s="234">
        <f t="shared" si="664"/>
        <v>56.434747539026709</v>
      </c>
      <c r="X416" s="234">
        <f t="shared" si="664"/>
        <v>83.328302140126866</v>
      </c>
      <c r="Y416" s="234">
        <f t="shared" si="664"/>
        <v>100.94151132858123</v>
      </c>
      <c r="Z416" s="234">
        <f t="shared" si="664"/>
        <v>125.31618567704813</v>
      </c>
      <c r="AA416" s="234">
        <f t="shared" si="664"/>
        <v>141.69199387823789</v>
      </c>
      <c r="AB416" s="234">
        <f t="shared" si="664"/>
        <v>167.54151874668023</v>
      </c>
      <c r="AC416" s="234">
        <f t="shared" si="664"/>
        <v>188.76202582810853</v>
      </c>
      <c r="AD416" s="234">
        <f t="shared" si="664"/>
        <v>203.26805783132735</v>
      </c>
      <c r="AE416" s="234">
        <f t="shared" si="664"/>
        <v>231.34615728974725</v>
      </c>
      <c r="AF416" s="234">
        <f t="shared" si="664"/>
        <v>244.59721662291588</v>
      </c>
      <c r="AG416" s="234">
        <f t="shared" si="664"/>
        <v>274.17111018046046</v>
      </c>
      <c r="AH416" s="234">
        <f t="shared" si="664"/>
        <v>295.69876972357042</v>
      </c>
      <c r="AI416" s="234">
        <f t="shared" si="664"/>
        <v>293.6121077821644</v>
      </c>
      <c r="AJ416" s="234">
        <f t="shared" si="664"/>
        <v>331.97145955609773</v>
      </c>
      <c r="AK416" s="234">
        <f t="shared" si="664"/>
        <v>338.94038128482163</v>
      </c>
      <c r="AL416" s="234">
        <f t="shared" si="664"/>
        <v>368.50154140045203</v>
      </c>
      <c r="AM416" s="234">
        <f t="shared" si="664"/>
        <v>374.39390590524852</v>
      </c>
      <c r="AN416" s="234">
        <f t="shared" si="664"/>
        <v>0</v>
      </c>
      <c r="AO416" s="234">
        <f t="shared" si="664"/>
        <v>0</v>
      </c>
      <c r="AP416" s="234">
        <f t="shared" si="664"/>
        <v>0</v>
      </c>
      <c r="AQ416" s="234">
        <f t="shared" si="664"/>
        <v>0</v>
      </c>
      <c r="AR416" s="234">
        <f t="shared" si="664"/>
        <v>0</v>
      </c>
      <c r="AS416" s="234">
        <f t="shared" si="664"/>
        <v>0</v>
      </c>
      <c r="AT416" s="234">
        <f t="shared" si="664"/>
        <v>0</v>
      </c>
      <c r="AU416" s="234">
        <f t="shared" si="664"/>
        <v>0</v>
      </c>
      <c r="AV416" s="234">
        <f t="shared" si="664"/>
        <v>0</v>
      </c>
      <c r="AW416" s="234">
        <f t="shared" si="664"/>
        <v>0</v>
      </c>
      <c r="AX416" s="234">
        <f t="shared" si="664"/>
        <v>0</v>
      </c>
      <c r="AY416" s="234">
        <f t="shared" si="664"/>
        <v>0</v>
      </c>
      <c r="AZ416" s="234">
        <f t="shared" si="664"/>
        <v>0</v>
      </c>
      <c r="BA416" s="234">
        <f t="shared" si="664"/>
        <v>0</v>
      </c>
      <c r="BB416" s="234">
        <f t="shared" si="664"/>
        <v>0</v>
      </c>
      <c r="BC416" s="234">
        <f t="shared" si="664"/>
        <v>0</v>
      </c>
      <c r="BD416" s="234">
        <f t="shared" si="664"/>
        <v>0</v>
      </c>
      <c r="BE416" s="234">
        <f t="shared" si="664"/>
        <v>0</v>
      </c>
    </row>
    <row r="417" spans="1:57" hidden="1" outlineLevel="2" x14ac:dyDescent="0.2">
      <c r="E417" s="186"/>
      <c r="F417" s="186"/>
      <c r="G417" s="186"/>
      <c r="H417" s="186"/>
      <c r="I417" s="186"/>
      <c r="J417" s="186"/>
      <c r="K417" s="186"/>
      <c r="L417" s="186"/>
      <c r="M417" s="186"/>
      <c r="N417" s="186"/>
      <c r="O417" s="186"/>
      <c r="P417" s="186"/>
      <c r="Q417" s="186"/>
      <c r="R417" s="186"/>
      <c r="S417" s="186"/>
      <c r="T417" s="186"/>
      <c r="U417" s="186"/>
      <c r="V417" s="186"/>
      <c r="W417" s="186"/>
      <c r="X417" s="186"/>
      <c r="Y417" s="186"/>
      <c r="Z417" s="186"/>
      <c r="AA417" s="186"/>
      <c r="AB417" s="186"/>
      <c r="AC417" s="186"/>
      <c r="AD417" s="186"/>
      <c r="AE417" s="186"/>
      <c r="AF417" s="186"/>
      <c r="AG417" s="186"/>
      <c r="AH417" s="186"/>
      <c r="AI417" s="186"/>
      <c r="AJ417" s="186"/>
      <c r="AK417" s="186"/>
      <c r="AL417" s="186"/>
      <c r="AM417" s="186"/>
      <c r="AN417" s="186"/>
      <c r="AO417" s="186"/>
      <c r="AP417" s="186"/>
      <c r="AQ417" s="186"/>
      <c r="AR417" s="186"/>
      <c r="AS417" s="186"/>
      <c r="AT417" s="186"/>
      <c r="AU417" s="186"/>
      <c r="AV417" s="186"/>
      <c r="AW417" s="186"/>
      <c r="AX417" s="186"/>
      <c r="AY417" s="186"/>
      <c r="AZ417" s="186"/>
      <c r="BA417" s="186"/>
      <c r="BB417" s="186"/>
      <c r="BC417" s="186"/>
      <c r="BD417" s="186"/>
      <c r="BE417" s="186"/>
    </row>
    <row r="418" spans="1:57" hidden="1" outlineLevel="2" x14ac:dyDescent="0.2">
      <c r="C418" s="21" t="s">
        <v>892</v>
      </c>
    </row>
    <row r="419" spans="1:57" s="283" customFormat="1" hidden="1" outlineLevel="2" x14ac:dyDescent="0.2">
      <c r="A419" s="556"/>
      <c r="B419" s="556"/>
      <c r="C419" s="557"/>
      <c r="D419" s="115"/>
      <c r="E419" s="316" t="str">
        <f xml:space="preserve"> InpC!E$187</f>
        <v>Construction debt - T2 swap rate</v>
      </c>
      <c r="F419" s="316">
        <f xml:space="preserve"> InpC!F$187</f>
        <v>1.4999999999999999E-2</v>
      </c>
      <c r="G419" s="316" t="str">
        <f xml:space="preserve"> InpC!G$187</f>
        <v>% p.a.</v>
      </c>
      <c r="H419" s="115"/>
      <c r="I419" s="112"/>
      <c r="J419" s="282"/>
      <c r="K419" s="282"/>
      <c r="L419" s="282"/>
      <c r="M419" s="282"/>
      <c r="N419" s="282"/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  <c r="AF419" s="282"/>
      <c r="AG419" s="282"/>
      <c r="AH419" s="282"/>
      <c r="AI419" s="282"/>
      <c r="AJ419" s="282"/>
      <c r="AK419" s="282"/>
      <c r="AL419" s="282"/>
      <c r="AM419" s="282"/>
      <c r="AN419" s="282"/>
      <c r="AO419" s="282"/>
      <c r="AP419" s="282"/>
      <c r="AQ419" s="282"/>
      <c r="AR419" s="282"/>
      <c r="AS419" s="282"/>
      <c r="AT419" s="282"/>
      <c r="AU419" s="282"/>
      <c r="AV419" s="282"/>
      <c r="AW419" s="282"/>
      <c r="AX419" s="282"/>
      <c r="AY419" s="282"/>
      <c r="AZ419" s="282"/>
      <c r="BA419" s="282"/>
      <c r="BB419" s="282"/>
      <c r="BC419" s="282"/>
      <c r="BD419" s="282"/>
      <c r="BE419" s="282"/>
    </row>
    <row r="420" spans="1:57" s="283" customFormat="1" hidden="1" outlineLevel="2" x14ac:dyDescent="0.2">
      <c r="A420" s="556"/>
      <c r="B420" s="556"/>
      <c r="C420" s="557"/>
      <c r="D420" s="115"/>
      <c r="E420" s="316" t="str">
        <f xml:space="preserve"> InpC!E$188</f>
        <v>Construction debt - T2 margin</v>
      </c>
      <c r="F420" s="316">
        <f xml:space="preserve"> InpC!F$188</f>
        <v>2.7E-2</v>
      </c>
      <c r="G420" s="316" t="str">
        <f xml:space="preserve"> InpC!G$188</f>
        <v>% p.a.</v>
      </c>
      <c r="H420" s="115"/>
      <c r="I420" s="112"/>
      <c r="J420" s="282"/>
      <c r="K420" s="282"/>
      <c r="L420" s="282"/>
      <c r="M420" s="282"/>
      <c r="N420" s="282"/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  <c r="AF420" s="282"/>
      <c r="AG420" s="282"/>
      <c r="AH420" s="282"/>
      <c r="AI420" s="282"/>
      <c r="AJ420" s="282"/>
      <c r="AK420" s="282"/>
      <c r="AL420" s="282"/>
      <c r="AM420" s="282"/>
      <c r="AN420" s="282"/>
      <c r="AO420" s="282"/>
      <c r="AP420" s="282"/>
      <c r="AQ420" s="282"/>
      <c r="AR420" s="282"/>
      <c r="AS420" s="282"/>
      <c r="AT420" s="282"/>
      <c r="AU420" s="282"/>
      <c r="AV420" s="282"/>
      <c r="AW420" s="282"/>
      <c r="AX420" s="282"/>
      <c r="AY420" s="282"/>
      <c r="AZ420" s="282"/>
      <c r="BA420" s="282"/>
      <c r="BB420" s="282"/>
      <c r="BC420" s="282"/>
      <c r="BD420" s="282"/>
      <c r="BE420" s="282"/>
    </row>
    <row r="421" spans="1:57" s="734" customFormat="1" ht="13.15" hidden="1" customHeight="1" outlineLevel="2" x14ac:dyDescent="0.2">
      <c r="A421" s="787"/>
      <c r="B421" s="787"/>
      <c r="C421" s="787"/>
      <c r="D421" s="787"/>
      <c r="E421" s="790" t="str">
        <f xml:space="preserve"> Sensitivity!E$16</f>
        <v>Interest rate - sensitivity</v>
      </c>
      <c r="F421" s="790">
        <f xml:space="preserve"> Sensitivity!F$16</f>
        <v>0</v>
      </c>
      <c r="G421" s="790" t="str">
        <f xml:space="preserve"> Sensitivity!G$16</f>
        <v>% p.a.</v>
      </c>
      <c r="H421" s="788"/>
      <c r="I421" s="788"/>
      <c r="J421" s="788"/>
      <c r="K421" s="788"/>
      <c r="L421" s="788"/>
      <c r="M421" s="788"/>
      <c r="N421" s="788"/>
      <c r="O421" s="788"/>
      <c r="P421" s="788"/>
      <c r="Q421" s="788"/>
      <c r="R421" s="788"/>
      <c r="S421" s="788"/>
      <c r="T421" s="788"/>
      <c r="U421" s="788"/>
      <c r="V421" s="788"/>
      <c r="W421" s="788"/>
      <c r="X421" s="788"/>
      <c r="Y421" s="788"/>
      <c r="Z421" s="788"/>
      <c r="AA421" s="788"/>
      <c r="AB421" s="788"/>
      <c r="AC421" s="788"/>
      <c r="AD421" s="788"/>
      <c r="AE421" s="788"/>
      <c r="AF421" s="788"/>
      <c r="AG421" s="788"/>
      <c r="AH421" s="788"/>
      <c r="AI421" s="788"/>
      <c r="AJ421" s="788"/>
      <c r="AK421" s="788"/>
      <c r="AL421" s="788"/>
      <c r="AM421" s="788"/>
      <c r="AN421" s="788"/>
      <c r="AO421" s="788"/>
      <c r="AP421" s="788"/>
      <c r="AQ421" s="788"/>
      <c r="AR421" s="788"/>
      <c r="AS421" s="788"/>
      <c r="AT421" s="788"/>
      <c r="AU421" s="788"/>
      <c r="AV421" s="788"/>
      <c r="AW421" s="788"/>
      <c r="AX421" s="788"/>
      <c r="AY421" s="788"/>
      <c r="AZ421" s="788"/>
      <c r="BA421" s="788"/>
      <c r="BB421" s="788"/>
      <c r="BC421" s="788"/>
      <c r="BD421" s="788"/>
      <c r="BE421" s="788"/>
    </row>
    <row r="422" spans="1:57" hidden="1" outlineLevel="2" x14ac:dyDescent="0.2">
      <c r="E422" s="12" t="s">
        <v>281</v>
      </c>
      <c r="F422" s="282">
        <f>SUM(F419:F421)</f>
        <v>4.1999999999999996E-2</v>
      </c>
      <c r="G422" s="12" t="s">
        <v>280</v>
      </c>
    </row>
    <row r="423" spans="1:57" hidden="1" outlineLevel="2" x14ac:dyDescent="0.2"/>
    <row r="424" spans="1:57" hidden="1" outlineLevel="2" x14ac:dyDescent="0.2">
      <c r="E424" s="186" t="str">
        <f xml:space="preserve"> InpC!E$266</f>
        <v>Senior debt - T2 day count convention</v>
      </c>
      <c r="F424" s="186">
        <f xml:space="preserve"> InpC!F$266</f>
        <v>360</v>
      </c>
      <c r="G424" s="186" t="str">
        <f xml:space="preserve"> InpC!G$266</f>
        <v>days</v>
      </c>
    </row>
    <row r="425" spans="1:57" s="283" customFormat="1" hidden="1" outlineLevel="2" x14ac:dyDescent="0.2">
      <c r="A425" s="556"/>
      <c r="B425" s="556"/>
      <c r="C425" s="557"/>
      <c r="D425" s="115"/>
      <c r="E425" s="282" t="str">
        <f t="shared" ref="E425:G425" si="665" xml:space="preserve"> E$422</f>
        <v>All in construction debt interest rate</v>
      </c>
      <c r="F425" s="282">
        <f t="shared" si="665"/>
        <v>4.1999999999999996E-2</v>
      </c>
      <c r="G425" s="282" t="str">
        <f t="shared" si="665"/>
        <v>p.a.</v>
      </c>
      <c r="H425" s="282"/>
      <c r="I425" s="112"/>
      <c r="J425" s="282"/>
      <c r="K425" s="282"/>
      <c r="L425" s="282"/>
      <c r="M425" s="282"/>
      <c r="N425" s="282"/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  <c r="AF425" s="282"/>
      <c r="AG425" s="282"/>
      <c r="AH425" s="282"/>
      <c r="AI425" s="282"/>
      <c r="AJ425" s="282"/>
      <c r="AK425" s="282"/>
      <c r="AL425" s="282"/>
      <c r="AM425" s="282"/>
      <c r="AN425" s="282"/>
      <c r="AO425" s="282"/>
      <c r="AP425" s="282"/>
      <c r="AQ425" s="282"/>
      <c r="AR425" s="282"/>
      <c r="AS425" s="282"/>
      <c r="AT425" s="282"/>
      <c r="AU425" s="282"/>
      <c r="AV425" s="282"/>
      <c r="AW425" s="282"/>
      <c r="AX425" s="282"/>
      <c r="AY425" s="282"/>
      <c r="AZ425" s="282"/>
      <c r="BA425" s="282"/>
      <c r="BB425" s="282"/>
      <c r="BC425" s="282"/>
      <c r="BD425" s="282"/>
      <c r="BE425" s="282"/>
    </row>
    <row r="426" spans="1:57" hidden="1" outlineLevel="2" x14ac:dyDescent="0.2">
      <c r="E426" s="186" t="str">
        <f xml:space="preserve"> ConTime!E$97</f>
        <v>Days in period - m</v>
      </c>
      <c r="F426" s="186">
        <f xml:space="preserve"> ConTime!F$97</f>
        <v>0</v>
      </c>
      <c r="G426" s="186" t="str">
        <f xml:space="preserve"> ConTime!G$97</f>
        <v>days</v>
      </c>
      <c r="H426" s="186">
        <f xml:space="preserve"> ConTime!H$97</f>
        <v>0</v>
      </c>
      <c r="I426" s="186">
        <f xml:space="preserve"> ConTime!I$97</f>
        <v>0</v>
      </c>
      <c r="J426" s="186">
        <f xml:space="preserve"> ConTime!J$97</f>
        <v>31</v>
      </c>
      <c r="K426" s="186">
        <f xml:space="preserve"> ConTime!K$97</f>
        <v>28</v>
      </c>
      <c r="L426" s="186">
        <f xml:space="preserve"> ConTime!L$97</f>
        <v>31</v>
      </c>
      <c r="M426" s="186">
        <f xml:space="preserve"> ConTime!M$97</f>
        <v>30</v>
      </c>
      <c r="N426" s="186">
        <f xml:space="preserve"> ConTime!N$97</f>
        <v>31</v>
      </c>
      <c r="O426" s="186">
        <f xml:space="preserve"> ConTime!O$97</f>
        <v>30</v>
      </c>
      <c r="P426" s="186">
        <f xml:space="preserve"> ConTime!P$97</f>
        <v>31</v>
      </c>
      <c r="Q426" s="186">
        <f xml:space="preserve"> ConTime!Q$97</f>
        <v>31</v>
      </c>
      <c r="R426" s="186">
        <f xml:space="preserve"> ConTime!R$97</f>
        <v>30</v>
      </c>
      <c r="S426" s="186">
        <f xml:space="preserve"> ConTime!S$97</f>
        <v>31</v>
      </c>
      <c r="T426" s="186">
        <f xml:space="preserve"> ConTime!T$97</f>
        <v>30</v>
      </c>
      <c r="U426" s="186">
        <f xml:space="preserve"> ConTime!U$97</f>
        <v>31</v>
      </c>
      <c r="V426" s="186">
        <f xml:space="preserve"> ConTime!V$97</f>
        <v>31</v>
      </c>
      <c r="W426" s="186">
        <f xml:space="preserve"> ConTime!W$97</f>
        <v>28</v>
      </c>
      <c r="X426" s="186">
        <f xml:space="preserve"> ConTime!X$97</f>
        <v>31</v>
      </c>
      <c r="Y426" s="186">
        <f xml:space="preserve"> ConTime!Y$97</f>
        <v>30</v>
      </c>
      <c r="Z426" s="186">
        <f xml:space="preserve"> ConTime!Z$97</f>
        <v>31</v>
      </c>
      <c r="AA426" s="186">
        <f xml:space="preserve"> ConTime!AA$97</f>
        <v>30</v>
      </c>
      <c r="AB426" s="186">
        <f xml:space="preserve"> ConTime!AB$97</f>
        <v>31</v>
      </c>
      <c r="AC426" s="186">
        <f xml:space="preserve"> ConTime!AC$97</f>
        <v>31</v>
      </c>
      <c r="AD426" s="186">
        <f xml:space="preserve"> ConTime!AD$97</f>
        <v>30</v>
      </c>
      <c r="AE426" s="186">
        <f xml:space="preserve"> ConTime!AE$97</f>
        <v>31</v>
      </c>
      <c r="AF426" s="186">
        <f xml:space="preserve"> ConTime!AF$97</f>
        <v>30</v>
      </c>
      <c r="AG426" s="186">
        <f xml:space="preserve"> ConTime!AG$97</f>
        <v>31</v>
      </c>
      <c r="AH426" s="186">
        <f xml:space="preserve"> ConTime!AH$97</f>
        <v>31</v>
      </c>
      <c r="AI426" s="186">
        <f xml:space="preserve"> ConTime!AI$97</f>
        <v>29</v>
      </c>
      <c r="AJ426" s="186">
        <f xml:space="preserve"> ConTime!AJ$97</f>
        <v>31</v>
      </c>
      <c r="AK426" s="186">
        <f xml:space="preserve"> ConTime!AK$97</f>
        <v>30</v>
      </c>
      <c r="AL426" s="186">
        <f xml:space="preserve"> ConTime!AL$97</f>
        <v>31</v>
      </c>
      <c r="AM426" s="186">
        <f xml:space="preserve"> ConTime!AM$97</f>
        <v>30</v>
      </c>
      <c r="AN426" s="186">
        <f xml:space="preserve"> ConTime!AN$97</f>
        <v>31</v>
      </c>
      <c r="AO426" s="186">
        <f xml:space="preserve"> ConTime!AO$97</f>
        <v>31</v>
      </c>
      <c r="AP426" s="186">
        <f xml:space="preserve"> ConTime!AP$97</f>
        <v>30</v>
      </c>
      <c r="AQ426" s="186">
        <f xml:space="preserve"> ConTime!AQ$97</f>
        <v>31</v>
      </c>
      <c r="AR426" s="186">
        <f xml:space="preserve"> ConTime!AR$97</f>
        <v>30</v>
      </c>
      <c r="AS426" s="186">
        <f xml:space="preserve"> ConTime!AS$97</f>
        <v>31</v>
      </c>
      <c r="AT426" s="186">
        <f xml:space="preserve"> ConTime!AT$97</f>
        <v>31</v>
      </c>
      <c r="AU426" s="186">
        <f xml:space="preserve"> ConTime!AU$97</f>
        <v>28</v>
      </c>
      <c r="AV426" s="186">
        <f xml:space="preserve"> ConTime!AV$97</f>
        <v>31</v>
      </c>
      <c r="AW426" s="186">
        <f xml:space="preserve"> ConTime!AW$97</f>
        <v>30</v>
      </c>
      <c r="AX426" s="186">
        <f xml:space="preserve"> ConTime!AX$97</f>
        <v>31</v>
      </c>
      <c r="AY426" s="186">
        <f xml:space="preserve"> ConTime!AY$97</f>
        <v>30</v>
      </c>
      <c r="AZ426" s="186">
        <f xml:space="preserve"> ConTime!AZ$97</f>
        <v>31</v>
      </c>
      <c r="BA426" s="186">
        <f xml:space="preserve"> ConTime!BA$97</f>
        <v>31</v>
      </c>
      <c r="BB426" s="186">
        <f xml:space="preserve"> ConTime!BB$97</f>
        <v>30</v>
      </c>
      <c r="BC426" s="186">
        <f xml:space="preserve"> ConTime!BC$97</f>
        <v>31</v>
      </c>
      <c r="BD426" s="186">
        <f xml:space="preserve"> ConTime!BD$97</f>
        <v>30</v>
      </c>
      <c r="BE426" s="186">
        <f xml:space="preserve"> ConTime!BE$97</f>
        <v>31</v>
      </c>
    </row>
    <row r="427" spans="1:57" hidden="1" outlineLevel="2" x14ac:dyDescent="0.2">
      <c r="E427" s="12" t="str">
        <f t="shared" ref="E427:AJ427" si="666" xml:space="preserve"> E$335</f>
        <v>Construction debt - T2 balance BEG</v>
      </c>
      <c r="F427" s="12">
        <f t="shared" si="666"/>
        <v>0</v>
      </c>
      <c r="G427" s="12" t="str">
        <f t="shared" si="666"/>
        <v>$ 000s</v>
      </c>
      <c r="H427" s="12">
        <f t="shared" si="666"/>
        <v>0</v>
      </c>
      <c r="I427" s="12">
        <f t="shared" si="666"/>
        <v>0</v>
      </c>
      <c r="J427" s="12">
        <f t="shared" si="666"/>
        <v>0</v>
      </c>
      <c r="K427" s="12">
        <f t="shared" si="666"/>
        <v>0</v>
      </c>
      <c r="L427" s="12">
        <f t="shared" si="666"/>
        <v>0</v>
      </c>
      <c r="M427" s="12">
        <f t="shared" si="666"/>
        <v>0</v>
      </c>
      <c r="N427" s="12">
        <f t="shared" si="666"/>
        <v>0</v>
      </c>
      <c r="O427" s="12">
        <f t="shared" si="666"/>
        <v>0</v>
      </c>
      <c r="P427" s="12">
        <f t="shared" si="666"/>
        <v>0</v>
      </c>
      <c r="Q427" s="12">
        <f t="shared" si="666"/>
        <v>0</v>
      </c>
      <c r="R427" s="12">
        <f t="shared" si="666"/>
        <v>0</v>
      </c>
      <c r="S427" s="12">
        <f t="shared" si="666"/>
        <v>0</v>
      </c>
      <c r="T427" s="12">
        <f t="shared" si="666"/>
        <v>30.189482152990422</v>
      </c>
      <c r="U427" s="12">
        <f t="shared" si="666"/>
        <v>6046.1565758717497</v>
      </c>
      <c r="V427" s="12">
        <f t="shared" si="666"/>
        <v>12084.251893640236</v>
      </c>
      <c r="W427" s="12">
        <f t="shared" si="666"/>
        <v>18139.740280401442</v>
      </c>
      <c r="X427" s="12">
        <f t="shared" si="666"/>
        <v>24192.087718101349</v>
      </c>
      <c r="Y427" s="12">
        <f t="shared" si="666"/>
        <v>30282.453398574366</v>
      </c>
      <c r="Z427" s="12">
        <f t="shared" si="666"/>
        <v>36382.118422368811</v>
      </c>
      <c r="AA427" s="12">
        <f t="shared" si="666"/>
        <v>42507.598163471368</v>
      </c>
      <c r="AB427" s="12">
        <f t="shared" si="666"/>
        <v>48641.086087745876</v>
      </c>
      <c r="AC427" s="12">
        <f t="shared" si="666"/>
        <v>54801.878466225055</v>
      </c>
      <c r="AD427" s="12">
        <f t="shared" si="666"/>
        <v>60980.417349398202</v>
      </c>
      <c r="AE427" s="12">
        <f t="shared" si="666"/>
        <v>67165.013406700818</v>
      </c>
      <c r="AF427" s="12">
        <f t="shared" si="666"/>
        <v>73379.164986874763</v>
      </c>
      <c r="AG427" s="12">
        <f t="shared" si="666"/>
        <v>79598.064245940128</v>
      </c>
      <c r="AH427" s="12">
        <f t="shared" si="666"/>
        <v>85848.029919746245</v>
      </c>
      <c r="AI427" s="12">
        <f t="shared" si="666"/>
        <v>91120.9989668786</v>
      </c>
      <c r="AJ427" s="12">
        <f t="shared" si="666"/>
        <v>96378.810838867081</v>
      </c>
      <c r="AK427" s="12">
        <f t="shared" ref="AK427:BE427" si="667" xml:space="preserve"> AK$335</f>
        <v>101682.11438544648</v>
      </c>
      <c r="AL427" s="12">
        <f t="shared" si="667"/>
        <v>106984.31847109897</v>
      </c>
      <c r="AM427" s="12">
        <f t="shared" si="667"/>
        <v>112318.17177157455</v>
      </c>
      <c r="AN427" s="12">
        <f t="shared" si="667"/>
        <v>125194.92613015344</v>
      </c>
      <c r="AO427" s="12">
        <f t="shared" si="667"/>
        <v>125194.92613015344</v>
      </c>
      <c r="AP427" s="12">
        <f t="shared" si="667"/>
        <v>125194.92613015344</v>
      </c>
      <c r="AQ427" s="12">
        <f t="shared" si="667"/>
        <v>125194.92613015344</v>
      </c>
      <c r="AR427" s="12">
        <f t="shared" si="667"/>
        <v>125194.92613015344</v>
      </c>
      <c r="AS427" s="12">
        <f t="shared" si="667"/>
        <v>125194.92613015344</v>
      </c>
      <c r="AT427" s="12">
        <f t="shared" si="667"/>
        <v>125194.92613015344</v>
      </c>
      <c r="AU427" s="12">
        <f t="shared" si="667"/>
        <v>125194.92613015344</v>
      </c>
      <c r="AV427" s="12">
        <f t="shared" si="667"/>
        <v>125194.92613015344</v>
      </c>
      <c r="AW427" s="12">
        <f t="shared" si="667"/>
        <v>125194.92613015344</v>
      </c>
      <c r="AX427" s="12">
        <f t="shared" si="667"/>
        <v>125194.92613015344</v>
      </c>
      <c r="AY427" s="12">
        <f t="shared" si="667"/>
        <v>125194.92613015344</v>
      </c>
      <c r="AZ427" s="12">
        <f t="shared" si="667"/>
        <v>125194.92613015344</v>
      </c>
      <c r="BA427" s="12">
        <f t="shared" si="667"/>
        <v>125194.92613015344</v>
      </c>
      <c r="BB427" s="12">
        <f t="shared" si="667"/>
        <v>125194.92613015344</v>
      </c>
      <c r="BC427" s="12">
        <f t="shared" si="667"/>
        <v>125194.92613015344</v>
      </c>
      <c r="BD427" s="12">
        <f t="shared" si="667"/>
        <v>125194.92613015344</v>
      </c>
      <c r="BE427" s="12">
        <f t="shared" si="667"/>
        <v>125194.92613015344</v>
      </c>
    </row>
    <row r="428" spans="1:57" hidden="1" outlineLevel="2" x14ac:dyDescent="0.2">
      <c r="E428" s="186" t="str">
        <f xml:space="preserve"> ConTime!E$82</f>
        <v>Construction period flag</v>
      </c>
      <c r="F428" s="186">
        <f xml:space="preserve"> ConTime!F$82</f>
        <v>0</v>
      </c>
      <c r="G428" s="186" t="str">
        <f xml:space="preserve"> ConTime!G$82</f>
        <v>flag</v>
      </c>
      <c r="H428" s="186">
        <f xml:space="preserve"> ConTime!H$82</f>
        <v>26</v>
      </c>
      <c r="I428" s="186">
        <f xml:space="preserve"> ConTime!I$82</f>
        <v>0</v>
      </c>
      <c r="J428" s="186">
        <f xml:space="preserve"> ConTime!J$82</f>
        <v>0</v>
      </c>
      <c r="K428" s="186">
        <f xml:space="preserve"> ConTime!K$82</f>
        <v>0</v>
      </c>
      <c r="L428" s="186">
        <f xml:space="preserve"> ConTime!L$82</f>
        <v>0</v>
      </c>
      <c r="M428" s="186">
        <f xml:space="preserve"> ConTime!M$82</f>
        <v>0</v>
      </c>
      <c r="N428" s="186">
        <f xml:space="preserve"> ConTime!N$82</f>
        <v>1</v>
      </c>
      <c r="O428" s="186">
        <f xml:space="preserve"> ConTime!O$82</f>
        <v>1</v>
      </c>
      <c r="P428" s="186">
        <f xml:space="preserve"> ConTime!P$82</f>
        <v>1</v>
      </c>
      <c r="Q428" s="186">
        <f xml:space="preserve"> ConTime!Q$82</f>
        <v>1</v>
      </c>
      <c r="R428" s="186">
        <f xml:space="preserve"> ConTime!R$82</f>
        <v>1</v>
      </c>
      <c r="S428" s="186">
        <f xml:space="preserve"> ConTime!S$82</f>
        <v>1</v>
      </c>
      <c r="T428" s="186">
        <f xml:space="preserve"> ConTime!T$82</f>
        <v>1</v>
      </c>
      <c r="U428" s="186">
        <f xml:space="preserve"> ConTime!U$82</f>
        <v>1</v>
      </c>
      <c r="V428" s="186">
        <f xml:space="preserve"> ConTime!V$82</f>
        <v>1</v>
      </c>
      <c r="W428" s="186">
        <f xml:space="preserve"> ConTime!W$82</f>
        <v>1</v>
      </c>
      <c r="X428" s="186">
        <f xml:space="preserve"> ConTime!X$82</f>
        <v>1</v>
      </c>
      <c r="Y428" s="186">
        <f xml:space="preserve"> ConTime!Y$82</f>
        <v>1</v>
      </c>
      <c r="Z428" s="186">
        <f xml:space="preserve"> ConTime!Z$82</f>
        <v>1</v>
      </c>
      <c r="AA428" s="186">
        <f xml:space="preserve"> ConTime!AA$82</f>
        <v>1</v>
      </c>
      <c r="AB428" s="186">
        <f xml:space="preserve"> ConTime!AB$82</f>
        <v>1</v>
      </c>
      <c r="AC428" s="186">
        <f xml:space="preserve"> ConTime!AC$82</f>
        <v>1</v>
      </c>
      <c r="AD428" s="186">
        <f xml:space="preserve"> ConTime!AD$82</f>
        <v>1</v>
      </c>
      <c r="AE428" s="186">
        <f xml:space="preserve"> ConTime!AE$82</f>
        <v>1</v>
      </c>
      <c r="AF428" s="186">
        <f xml:space="preserve"> ConTime!AF$82</f>
        <v>1</v>
      </c>
      <c r="AG428" s="186">
        <f xml:space="preserve"> ConTime!AG$82</f>
        <v>1</v>
      </c>
      <c r="AH428" s="186">
        <f xml:space="preserve"> ConTime!AH$82</f>
        <v>1</v>
      </c>
      <c r="AI428" s="186">
        <f xml:space="preserve"> ConTime!AI$82</f>
        <v>1</v>
      </c>
      <c r="AJ428" s="186">
        <f xml:space="preserve"> ConTime!AJ$82</f>
        <v>1</v>
      </c>
      <c r="AK428" s="186">
        <f xml:space="preserve"> ConTime!AK$82</f>
        <v>1</v>
      </c>
      <c r="AL428" s="186">
        <f xml:space="preserve"> ConTime!AL$82</f>
        <v>1</v>
      </c>
      <c r="AM428" s="186">
        <f xml:space="preserve"> ConTime!AM$82</f>
        <v>1</v>
      </c>
      <c r="AN428" s="186">
        <f xml:space="preserve"> ConTime!AN$82</f>
        <v>0</v>
      </c>
      <c r="AO428" s="186">
        <f xml:space="preserve"> ConTime!AO$82</f>
        <v>0</v>
      </c>
      <c r="AP428" s="186">
        <f xml:space="preserve"> ConTime!AP$82</f>
        <v>0</v>
      </c>
      <c r="AQ428" s="186">
        <f xml:space="preserve"> ConTime!AQ$82</f>
        <v>0</v>
      </c>
      <c r="AR428" s="186">
        <f xml:space="preserve"> ConTime!AR$82</f>
        <v>0</v>
      </c>
      <c r="AS428" s="186">
        <f xml:space="preserve"> ConTime!AS$82</f>
        <v>0</v>
      </c>
      <c r="AT428" s="186">
        <f xml:space="preserve"> ConTime!AT$82</f>
        <v>0</v>
      </c>
      <c r="AU428" s="186">
        <f xml:space="preserve"> ConTime!AU$82</f>
        <v>0</v>
      </c>
      <c r="AV428" s="186">
        <f xml:space="preserve"> ConTime!AV$82</f>
        <v>0</v>
      </c>
      <c r="AW428" s="186">
        <f xml:space="preserve"> ConTime!AW$82</f>
        <v>0</v>
      </c>
      <c r="AX428" s="186">
        <f xml:space="preserve"> ConTime!AX$82</f>
        <v>0</v>
      </c>
      <c r="AY428" s="186">
        <f xml:space="preserve"> ConTime!AY$82</f>
        <v>0</v>
      </c>
      <c r="AZ428" s="186">
        <f xml:space="preserve"> ConTime!AZ$82</f>
        <v>0</v>
      </c>
      <c r="BA428" s="186">
        <f xml:space="preserve"> ConTime!BA$82</f>
        <v>0</v>
      </c>
      <c r="BB428" s="186">
        <f xml:space="preserve"> ConTime!BB$82</f>
        <v>0</v>
      </c>
      <c r="BC428" s="186">
        <f xml:space="preserve"> ConTime!BC$82</f>
        <v>0</v>
      </c>
      <c r="BD428" s="186">
        <f xml:space="preserve"> ConTime!BD$82</f>
        <v>0</v>
      </c>
      <c r="BE428" s="186">
        <f xml:space="preserve"> ConTime!BE$82</f>
        <v>0</v>
      </c>
    </row>
    <row r="429" spans="1:57" s="191" customFormat="1" hidden="1" outlineLevel="2" x14ac:dyDescent="0.2">
      <c r="A429" s="236"/>
      <c r="B429" s="236"/>
      <c r="C429" s="237"/>
      <c r="D429" s="238"/>
      <c r="E429" s="234" t="s">
        <v>946</v>
      </c>
      <c r="F429" s="234"/>
      <c r="G429" s="234" t="str">
        <f xml:space="preserve"> SMU</f>
        <v>$ 000s</v>
      </c>
      <c r="H429" s="234">
        <f xml:space="preserve"> SUM(J429:BE429)</f>
        <v>4077.2201495026161</v>
      </c>
      <c r="I429" s="234"/>
      <c r="J429" s="234">
        <f t="shared" ref="J429" si="668" xml:space="preserve"> $F425 / $F424 * J426 * J427 * J428</f>
        <v>0</v>
      </c>
      <c r="K429" s="234">
        <f t="shared" ref="K429" si="669" xml:space="preserve"> $F425 / $F424 * K426 * K427 * K428</f>
        <v>0</v>
      </c>
      <c r="L429" s="234">
        <f t="shared" ref="L429" si="670" xml:space="preserve"> $F425 / $F424 * L426 * L427 * L428</f>
        <v>0</v>
      </c>
      <c r="M429" s="234">
        <f t="shared" ref="M429" si="671" xml:space="preserve"> $F425 / $F424 * M426 * M427 * M428</f>
        <v>0</v>
      </c>
      <c r="N429" s="234">
        <f t="shared" ref="N429" si="672" xml:space="preserve"> $F425 / $F424 * N426 * N427 * N428</f>
        <v>0</v>
      </c>
      <c r="O429" s="234">
        <f t="shared" ref="O429" si="673" xml:space="preserve"> $F425 / $F424 * O426 * O427 * O428</f>
        <v>0</v>
      </c>
      <c r="P429" s="234">
        <f t="shared" ref="P429" si="674" xml:space="preserve"> $F425 / $F424 * P426 * P427 * P428</f>
        <v>0</v>
      </c>
      <c r="Q429" s="234">
        <f t="shared" ref="Q429" si="675" xml:space="preserve"> $F425 / $F424 * Q426 * Q427 * Q428</f>
        <v>0</v>
      </c>
      <c r="R429" s="234">
        <f t="shared" ref="R429" si="676" xml:space="preserve"> $F425 / $F424 * R426 * R427 * R428</f>
        <v>0</v>
      </c>
      <c r="S429" s="234">
        <f t="shared" ref="S429" si="677" xml:space="preserve"> $F425 / $F424 * S426 * S427 * S428</f>
        <v>0</v>
      </c>
      <c r="T429" s="234">
        <f t="shared" ref="T429" si="678" xml:space="preserve"> $F425 / $F424 * T426 * T427 * T428</f>
        <v>0.10566318753546647</v>
      </c>
      <c r="U429" s="234">
        <f t="shared" ref="U429" si="679" xml:space="preserve"> $F425 / $F424 * U426 * U427 * U428</f>
        <v>21.866932949402823</v>
      </c>
      <c r="V429" s="234">
        <f t="shared" ref="V429" si="680" xml:space="preserve"> $F425 / $F424 * V426 * V427 * V428</f>
        <v>43.70471101533218</v>
      </c>
      <c r="W429" s="234">
        <f t="shared" ref="W429" si="681" xml:space="preserve"> $F425 / $F424 * W426 * W427 * W428</f>
        <v>59.256484915978042</v>
      </c>
      <c r="X429" s="234">
        <f t="shared" ref="X429" si="682" xml:space="preserve"> $F425 / $F424 * X426 * X427 * X428</f>
        <v>87.494717247133195</v>
      </c>
      <c r="Y429" s="234">
        <f t="shared" ref="Y429" si="683" xml:space="preserve"> $F425 / $F424 * Y426 * Y427 * Y428</f>
        <v>105.98858689501027</v>
      </c>
      <c r="Z429" s="234">
        <f t="shared" ref="Z429" si="684" xml:space="preserve"> $F425 / $F424 * Z426 * Z427 * Z428</f>
        <v>131.58199496090052</v>
      </c>
      <c r="AA429" s="234">
        <f t="shared" ref="AA429" si="685" xml:space="preserve"> $F425 / $F424 * AA426 * AA427 * AA428</f>
        <v>148.77659357214978</v>
      </c>
      <c r="AB429" s="234">
        <f t="shared" ref="AB429" si="686" xml:space="preserve"> $F425 / $F424 * AB426 * AB427 * AB428</f>
        <v>175.91859468401421</v>
      </c>
      <c r="AC429" s="234">
        <f t="shared" ref="AC429" si="687" xml:space="preserve"> $F425 / $F424 * AC426 * AC427 * AC428</f>
        <v>198.20012711951392</v>
      </c>
      <c r="AD429" s="234">
        <f t="shared" ref="AD429" si="688" xml:space="preserve"> $F425 / $F424 * AD426 * AD427 * AD428</f>
        <v>213.43146072289369</v>
      </c>
      <c r="AE429" s="234">
        <f t="shared" ref="AE429" si="689" xml:space="preserve"> $F425 / $F424 * AE426 * AE427 * AE428</f>
        <v>242.91346515423459</v>
      </c>
      <c r="AF429" s="234">
        <f t="shared" ref="AF429" si="690" xml:space="preserve"> $F425 / $F424 * AF426 * AF427 * AF428</f>
        <v>256.82707745406162</v>
      </c>
      <c r="AG429" s="234">
        <f t="shared" ref="AG429" si="691" xml:space="preserve"> $F425 / $F424 * AG426 * AG427 * AG428</f>
        <v>287.87966568948343</v>
      </c>
      <c r="AH429" s="234">
        <f t="shared" ref="AH429" si="692" xml:space="preserve"> $F425 / $F424 * AH426 * AH427 * AH428</f>
        <v>310.48370820974884</v>
      </c>
      <c r="AI429" s="234">
        <f t="shared" ref="AI429" si="693" xml:space="preserve"> $F425 / $F424 * AI426 * AI427 * AI428</f>
        <v>308.29271317127257</v>
      </c>
      <c r="AJ429" s="234">
        <f t="shared" ref="AJ429" si="694" xml:space="preserve"> $F425 / $F424 * AJ426 * AJ427 * AJ428</f>
        <v>348.57003253390252</v>
      </c>
      <c r="AK429" s="234">
        <f t="shared" ref="AK429" si="695" xml:space="preserve"> $F425 / $F424 * AK426 * AK427 * AK428</f>
        <v>355.8874003490626</v>
      </c>
      <c r="AL429" s="234">
        <f t="shared" ref="AL429" si="696" xml:space="preserve"> $F425 / $F424 * AL426 * AL427 * AL428</f>
        <v>386.92661847047458</v>
      </c>
      <c r="AM429" s="234">
        <f t="shared" ref="AM429" si="697" xml:space="preserve"> $F425 / $F424 * AM426 * AM427 * AM428</f>
        <v>393.11360120051086</v>
      </c>
      <c r="AN429" s="234">
        <f t="shared" ref="AN429" si="698" xml:space="preserve"> $F425 / $F424 * AN426 * AN427 * AN428</f>
        <v>0</v>
      </c>
      <c r="AO429" s="234">
        <f t="shared" ref="AO429" si="699" xml:space="preserve"> $F425 / $F424 * AO426 * AO427 * AO428</f>
        <v>0</v>
      </c>
      <c r="AP429" s="234">
        <f t="shared" ref="AP429" si="700" xml:space="preserve"> $F425 / $F424 * AP426 * AP427 * AP428</f>
        <v>0</v>
      </c>
      <c r="AQ429" s="234">
        <f t="shared" ref="AQ429" si="701" xml:space="preserve"> $F425 / $F424 * AQ426 * AQ427 * AQ428</f>
        <v>0</v>
      </c>
      <c r="AR429" s="234">
        <f t="shared" ref="AR429" si="702" xml:space="preserve"> $F425 / $F424 * AR426 * AR427 * AR428</f>
        <v>0</v>
      </c>
      <c r="AS429" s="234">
        <f t="shared" ref="AS429" si="703" xml:space="preserve"> $F425 / $F424 * AS426 * AS427 * AS428</f>
        <v>0</v>
      </c>
      <c r="AT429" s="234">
        <f t="shared" ref="AT429" si="704" xml:space="preserve"> $F425 / $F424 * AT426 * AT427 * AT428</f>
        <v>0</v>
      </c>
      <c r="AU429" s="234">
        <f t="shared" ref="AU429" si="705" xml:space="preserve"> $F425 / $F424 * AU426 * AU427 * AU428</f>
        <v>0</v>
      </c>
      <c r="AV429" s="234">
        <f t="shared" ref="AV429" si="706" xml:space="preserve"> $F425 / $F424 * AV426 * AV427 * AV428</f>
        <v>0</v>
      </c>
      <c r="AW429" s="234">
        <f t="shared" ref="AW429" si="707" xml:space="preserve"> $F425 / $F424 * AW426 * AW427 * AW428</f>
        <v>0</v>
      </c>
      <c r="AX429" s="234">
        <f t="shared" ref="AX429" si="708" xml:space="preserve"> $F425 / $F424 * AX426 * AX427 * AX428</f>
        <v>0</v>
      </c>
      <c r="AY429" s="234">
        <f t="shared" ref="AY429" si="709" xml:space="preserve"> $F425 / $F424 * AY426 * AY427 * AY428</f>
        <v>0</v>
      </c>
      <c r="AZ429" s="234">
        <f t="shared" ref="AZ429" si="710" xml:space="preserve"> $F425 / $F424 * AZ426 * AZ427 * AZ428</f>
        <v>0</v>
      </c>
      <c r="BA429" s="234">
        <f t="shared" ref="BA429" si="711" xml:space="preserve"> $F425 / $F424 * BA426 * BA427 * BA428</f>
        <v>0</v>
      </c>
      <c r="BB429" s="234">
        <f t="shared" ref="BB429" si="712" xml:space="preserve"> $F425 / $F424 * BB426 * BB427 * BB428</f>
        <v>0</v>
      </c>
      <c r="BC429" s="234">
        <f t="shared" ref="BC429" si="713" xml:space="preserve"> $F425 / $F424 * BC426 * BC427 * BC428</f>
        <v>0</v>
      </c>
      <c r="BD429" s="234">
        <f t="shared" ref="BD429" si="714" xml:space="preserve"> $F425 / $F424 * BD426 * BD427 * BD428</f>
        <v>0</v>
      </c>
      <c r="BE429" s="234">
        <f t="shared" ref="BE429" si="715" xml:space="preserve"> $F425 / $F424 * BE426 * BE427 * BE428</f>
        <v>0</v>
      </c>
    </row>
    <row r="430" spans="1:57" hidden="1" outlineLevel="2" x14ac:dyDescent="0.2">
      <c r="E430" s="186"/>
      <c r="F430" s="186"/>
      <c r="G430" s="186"/>
      <c r="H430" s="186"/>
      <c r="I430" s="186"/>
      <c r="J430" s="186"/>
      <c r="K430" s="186"/>
      <c r="L430" s="186"/>
      <c r="M430" s="186"/>
      <c r="N430" s="186"/>
      <c r="O430" s="186"/>
      <c r="P430" s="186"/>
      <c r="Q430" s="186"/>
      <c r="R430" s="186"/>
      <c r="S430" s="186"/>
      <c r="T430" s="186"/>
      <c r="U430" s="186"/>
      <c r="V430" s="186"/>
      <c r="W430" s="186"/>
      <c r="X430" s="186"/>
      <c r="Y430" s="186"/>
      <c r="Z430" s="186"/>
      <c r="AA430" s="186"/>
      <c r="AB430" s="186"/>
      <c r="AC430" s="186"/>
      <c r="AD430" s="186"/>
      <c r="AE430" s="186"/>
      <c r="AF430" s="186"/>
      <c r="AG430" s="186"/>
      <c r="AH430" s="186"/>
      <c r="AI430" s="186"/>
      <c r="AJ430" s="186"/>
      <c r="AK430" s="186"/>
      <c r="AL430" s="186"/>
      <c r="AM430" s="186"/>
      <c r="AN430" s="186"/>
      <c r="AO430" s="186"/>
      <c r="AP430" s="186"/>
      <c r="AQ430" s="186"/>
      <c r="AR430" s="186"/>
      <c r="AS430" s="186"/>
      <c r="AT430" s="186"/>
      <c r="AU430" s="186"/>
      <c r="AV430" s="186"/>
      <c r="AW430" s="186"/>
      <c r="AX430" s="186"/>
      <c r="AY430" s="186"/>
      <c r="AZ430" s="186"/>
      <c r="BA430" s="186"/>
      <c r="BB430" s="186"/>
      <c r="BC430" s="186"/>
      <c r="BD430" s="186"/>
      <c r="BE430" s="186"/>
    </row>
    <row r="431" spans="1:57" hidden="1" outlineLevel="2" x14ac:dyDescent="0.2">
      <c r="C431" s="21" t="s">
        <v>283</v>
      </c>
      <c r="E431" s="186"/>
      <c r="F431" s="186"/>
      <c r="G431" s="186"/>
      <c r="H431" s="186"/>
      <c r="I431" s="186"/>
      <c r="J431" s="186"/>
      <c r="K431" s="186"/>
      <c r="L431" s="186"/>
      <c r="M431" s="186"/>
      <c r="N431" s="186"/>
      <c r="O431" s="186"/>
      <c r="P431" s="186"/>
      <c r="Q431" s="186"/>
      <c r="R431" s="186"/>
      <c r="S431" s="186"/>
      <c r="T431" s="186"/>
      <c r="U431" s="186"/>
      <c r="V431" s="186"/>
      <c r="W431" s="186"/>
      <c r="X431" s="186"/>
      <c r="Y431" s="186"/>
      <c r="Z431" s="186"/>
      <c r="AA431" s="186"/>
      <c r="AB431" s="186"/>
      <c r="AC431" s="186"/>
      <c r="AD431" s="186"/>
      <c r="AE431" s="186"/>
      <c r="AF431" s="186"/>
      <c r="AG431" s="186"/>
      <c r="AH431" s="186"/>
      <c r="AI431" s="186"/>
      <c r="AJ431" s="186"/>
      <c r="AK431" s="186"/>
      <c r="AL431" s="186"/>
      <c r="AM431" s="186"/>
      <c r="AN431" s="186"/>
      <c r="AO431" s="186"/>
      <c r="AP431" s="186"/>
      <c r="AQ431" s="186"/>
      <c r="AR431" s="186"/>
      <c r="AS431" s="186"/>
      <c r="AT431" s="186"/>
      <c r="AU431" s="186"/>
      <c r="AV431" s="186"/>
      <c r="AW431" s="186"/>
      <c r="AX431" s="186"/>
      <c r="AY431" s="186"/>
      <c r="AZ431" s="186"/>
      <c r="BA431" s="186"/>
      <c r="BB431" s="186"/>
      <c r="BC431" s="186"/>
      <c r="BD431" s="186"/>
      <c r="BE431" s="186"/>
    </row>
    <row r="432" spans="1:57" hidden="1" outlineLevel="2" x14ac:dyDescent="0.2">
      <c r="E432" s="12" t="str">
        <f t="shared" ref="E432:AJ432" si="716" xml:space="preserve"> E$416</f>
        <v>Construction debt interest - T1</v>
      </c>
      <c r="F432" s="12">
        <f t="shared" si="716"/>
        <v>0</v>
      </c>
      <c r="G432" s="12" t="str">
        <f t="shared" si="716"/>
        <v>$ 000s</v>
      </c>
      <c r="H432" s="12">
        <f t="shared" si="716"/>
        <v>3883.0668090501113</v>
      </c>
      <c r="I432" s="12">
        <f t="shared" si="716"/>
        <v>0</v>
      </c>
      <c r="J432" s="12">
        <f t="shared" si="716"/>
        <v>0</v>
      </c>
      <c r="K432" s="12">
        <f t="shared" si="716"/>
        <v>0</v>
      </c>
      <c r="L432" s="12">
        <f t="shared" si="716"/>
        <v>0</v>
      </c>
      <c r="M432" s="12">
        <f t="shared" si="716"/>
        <v>0</v>
      </c>
      <c r="N432" s="12">
        <f t="shared" si="716"/>
        <v>0</v>
      </c>
      <c r="O432" s="12">
        <f t="shared" si="716"/>
        <v>0</v>
      </c>
      <c r="P432" s="12">
        <f t="shared" si="716"/>
        <v>0</v>
      </c>
      <c r="Q432" s="12">
        <f t="shared" si="716"/>
        <v>0</v>
      </c>
      <c r="R432" s="12">
        <f t="shared" si="716"/>
        <v>0</v>
      </c>
      <c r="S432" s="12">
        <f t="shared" si="716"/>
        <v>0</v>
      </c>
      <c r="T432" s="12">
        <f t="shared" si="716"/>
        <v>0.10063160717663475</v>
      </c>
      <c r="U432" s="12">
        <f t="shared" si="716"/>
        <v>20.825650428002692</v>
      </c>
      <c r="V432" s="12">
        <f t="shared" si="716"/>
        <v>41.623534300316365</v>
      </c>
      <c r="W432" s="12">
        <f t="shared" si="716"/>
        <v>56.434747539026709</v>
      </c>
      <c r="X432" s="12">
        <f t="shared" si="716"/>
        <v>83.328302140126866</v>
      </c>
      <c r="Y432" s="12">
        <f t="shared" si="716"/>
        <v>100.94151132858123</v>
      </c>
      <c r="Z432" s="12">
        <f t="shared" si="716"/>
        <v>125.31618567704813</v>
      </c>
      <c r="AA432" s="12">
        <f t="shared" si="716"/>
        <v>141.69199387823789</v>
      </c>
      <c r="AB432" s="12">
        <f t="shared" si="716"/>
        <v>167.54151874668023</v>
      </c>
      <c r="AC432" s="12">
        <f t="shared" si="716"/>
        <v>188.76202582810853</v>
      </c>
      <c r="AD432" s="12">
        <f t="shared" si="716"/>
        <v>203.26805783132735</v>
      </c>
      <c r="AE432" s="12">
        <f t="shared" si="716"/>
        <v>231.34615728974725</v>
      </c>
      <c r="AF432" s="12">
        <f t="shared" si="716"/>
        <v>244.59721662291588</v>
      </c>
      <c r="AG432" s="12">
        <f t="shared" si="716"/>
        <v>274.17111018046046</v>
      </c>
      <c r="AH432" s="12">
        <f t="shared" si="716"/>
        <v>295.69876972357042</v>
      </c>
      <c r="AI432" s="12">
        <f t="shared" si="716"/>
        <v>293.6121077821644</v>
      </c>
      <c r="AJ432" s="12">
        <f t="shared" si="716"/>
        <v>331.97145955609773</v>
      </c>
      <c r="AK432" s="12">
        <f t="shared" ref="AK432:BE432" si="717" xml:space="preserve"> AK$416</f>
        <v>338.94038128482163</v>
      </c>
      <c r="AL432" s="12">
        <f t="shared" si="717"/>
        <v>368.50154140045203</v>
      </c>
      <c r="AM432" s="12">
        <f t="shared" si="717"/>
        <v>374.39390590524852</v>
      </c>
      <c r="AN432" s="12">
        <f t="shared" si="717"/>
        <v>0</v>
      </c>
      <c r="AO432" s="12">
        <f t="shared" si="717"/>
        <v>0</v>
      </c>
      <c r="AP432" s="12">
        <f t="shared" si="717"/>
        <v>0</v>
      </c>
      <c r="AQ432" s="12">
        <f t="shared" si="717"/>
        <v>0</v>
      </c>
      <c r="AR432" s="12">
        <f t="shared" si="717"/>
        <v>0</v>
      </c>
      <c r="AS432" s="12">
        <f t="shared" si="717"/>
        <v>0</v>
      </c>
      <c r="AT432" s="12">
        <f t="shared" si="717"/>
        <v>0</v>
      </c>
      <c r="AU432" s="12">
        <f t="shared" si="717"/>
        <v>0</v>
      </c>
      <c r="AV432" s="12">
        <f t="shared" si="717"/>
        <v>0</v>
      </c>
      <c r="AW432" s="12">
        <f t="shared" si="717"/>
        <v>0</v>
      </c>
      <c r="AX432" s="12">
        <f t="shared" si="717"/>
        <v>0</v>
      </c>
      <c r="AY432" s="12">
        <f t="shared" si="717"/>
        <v>0</v>
      </c>
      <c r="AZ432" s="12">
        <f t="shared" si="717"/>
        <v>0</v>
      </c>
      <c r="BA432" s="12">
        <f t="shared" si="717"/>
        <v>0</v>
      </c>
      <c r="BB432" s="12">
        <f t="shared" si="717"/>
        <v>0</v>
      </c>
      <c r="BC432" s="12">
        <f t="shared" si="717"/>
        <v>0</v>
      </c>
      <c r="BD432" s="12">
        <f t="shared" si="717"/>
        <v>0</v>
      </c>
      <c r="BE432" s="12">
        <f t="shared" si="717"/>
        <v>0</v>
      </c>
    </row>
    <row r="433" spans="1:57" hidden="1" outlineLevel="2" x14ac:dyDescent="0.2">
      <c r="E433" s="12" t="str">
        <f t="shared" ref="E433:AJ433" si="718" xml:space="preserve"> E$429</f>
        <v>Construction debt interest - T2</v>
      </c>
      <c r="F433" s="12">
        <f t="shared" si="718"/>
        <v>0</v>
      </c>
      <c r="G433" s="12" t="str">
        <f t="shared" si="718"/>
        <v>$ 000s</v>
      </c>
      <c r="H433" s="12">
        <f t="shared" si="718"/>
        <v>4077.2201495026161</v>
      </c>
      <c r="I433" s="12">
        <f t="shared" si="718"/>
        <v>0</v>
      </c>
      <c r="J433" s="12">
        <f t="shared" si="718"/>
        <v>0</v>
      </c>
      <c r="K433" s="12">
        <f t="shared" si="718"/>
        <v>0</v>
      </c>
      <c r="L433" s="12">
        <f t="shared" si="718"/>
        <v>0</v>
      </c>
      <c r="M433" s="12">
        <f t="shared" si="718"/>
        <v>0</v>
      </c>
      <c r="N433" s="12">
        <f t="shared" si="718"/>
        <v>0</v>
      </c>
      <c r="O433" s="12">
        <f t="shared" si="718"/>
        <v>0</v>
      </c>
      <c r="P433" s="12">
        <f t="shared" si="718"/>
        <v>0</v>
      </c>
      <c r="Q433" s="12">
        <f t="shared" si="718"/>
        <v>0</v>
      </c>
      <c r="R433" s="12">
        <f t="shared" si="718"/>
        <v>0</v>
      </c>
      <c r="S433" s="12">
        <f t="shared" si="718"/>
        <v>0</v>
      </c>
      <c r="T433" s="12">
        <f t="shared" si="718"/>
        <v>0.10566318753546647</v>
      </c>
      <c r="U433" s="12">
        <f t="shared" si="718"/>
        <v>21.866932949402823</v>
      </c>
      <c r="V433" s="12">
        <f t="shared" si="718"/>
        <v>43.70471101533218</v>
      </c>
      <c r="W433" s="12">
        <f t="shared" si="718"/>
        <v>59.256484915978042</v>
      </c>
      <c r="X433" s="12">
        <f t="shared" si="718"/>
        <v>87.494717247133195</v>
      </c>
      <c r="Y433" s="12">
        <f t="shared" si="718"/>
        <v>105.98858689501027</v>
      </c>
      <c r="Z433" s="12">
        <f t="shared" si="718"/>
        <v>131.58199496090052</v>
      </c>
      <c r="AA433" s="12">
        <f t="shared" si="718"/>
        <v>148.77659357214978</v>
      </c>
      <c r="AB433" s="12">
        <f t="shared" si="718"/>
        <v>175.91859468401421</v>
      </c>
      <c r="AC433" s="12">
        <f t="shared" si="718"/>
        <v>198.20012711951392</v>
      </c>
      <c r="AD433" s="12">
        <f t="shared" si="718"/>
        <v>213.43146072289369</v>
      </c>
      <c r="AE433" s="12">
        <f t="shared" si="718"/>
        <v>242.91346515423459</v>
      </c>
      <c r="AF433" s="12">
        <f t="shared" si="718"/>
        <v>256.82707745406162</v>
      </c>
      <c r="AG433" s="12">
        <f t="shared" si="718"/>
        <v>287.87966568948343</v>
      </c>
      <c r="AH433" s="12">
        <f t="shared" si="718"/>
        <v>310.48370820974884</v>
      </c>
      <c r="AI433" s="12">
        <f t="shared" si="718"/>
        <v>308.29271317127257</v>
      </c>
      <c r="AJ433" s="12">
        <f t="shared" si="718"/>
        <v>348.57003253390252</v>
      </c>
      <c r="AK433" s="12">
        <f t="shared" ref="AK433:BE433" si="719" xml:space="preserve"> AK$429</f>
        <v>355.8874003490626</v>
      </c>
      <c r="AL433" s="12">
        <f t="shared" si="719"/>
        <v>386.92661847047458</v>
      </c>
      <c r="AM433" s="12">
        <f t="shared" si="719"/>
        <v>393.11360120051086</v>
      </c>
      <c r="AN433" s="12">
        <f t="shared" si="719"/>
        <v>0</v>
      </c>
      <c r="AO433" s="12">
        <f t="shared" si="719"/>
        <v>0</v>
      </c>
      <c r="AP433" s="12">
        <f t="shared" si="719"/>
        <v>0</v>
      </c>
      <c r="AQ433" s="12">
        <f t="shared" si="719"/>
        <v>0</v>
      </c>
      <c r="AR433" s="12">
        <f t="shared" si="719"/>
        <v>0</v>
      </c>
      <c r="AS433" s="12">
        <f t="shared" si="719"/>
        <v>0</v>
      </c>
      <c r="AT433" s="12">
        <f t="shared" si="719"/>
        <v>0</v>
      </c>
      <c r="AU433" s="12">
        <f t="shared" si="719"/>
        <v>0</v>
      </c>
      <c r="AV433" s="12">
        <f t="shared" si="719"/>
        <v>0</v>
      </c>
      <c r="AW433" s="12">
        <f t="shared" si="719"/>
        <v>0</v>
      </c>
      <c r="AX433" s="12">
        <f t="shared" si="719"/>
        <v>0</v>
      </c>
      <c r="AY433" s="12">
        <f t="shared" si="719"/>
        <v>0</v>
      </c>
      <c r="AZ433" s="12">
        <f t="shared" si="719"/>
        <v>0</v>
      </c>
      <c r="BA433" s="12">
        <f t="shared" si="719"/>
        <v>0</v>
      </c>
      <c r="BB433" s="12">
        <f t="shared" si="719"/>
        <v>0</v>
      </c>
      <c r="BC433" s="12">
        <f t="shared" si="719"/>
        <v>0</v>
      </c>
      <c r="BD433" s="12">
        <f t="shared" si="719"/>
        <v>0</v>
      </c>
      <c r="BE433" s="12">
        <f t="shared" si="719"/>
        <v>0</v>
      </c>
    </row>
    <row r="434" spans="1:57" s="188" customFormat="1" hidden="1" outlineLevel="2" x14ac:dyDescent="0.2">
      <c r="A434" s="141"/>
      <c r="B434" s="141"/>
      <c r="C434" s="142"/>
      <c r="D434" s="143"/>
      <c r="E434" s="496" t="s">
        <v>283</v>
      </c>
      <c r="F434" s="496"/>
      <c r="G434" s="496" t="str">
        <f xml:space="preserve"> SMU</f>
        <v>$ 000s</v>
      </c>
      <c r="H434" s="496">
        <f xml:space="preserve"> SUM(J434:BE434)</f>
        <v>7960.286958552726</v>
      </c>
      <c r="I434" s="497"/>
      <c r="J434" s="496">
        <f t="shared" ref="J434:BE434" si="720">SUM(J432:J433)</f>
        <v>0</v>
      </c>
      <c r="K434" s="496">
        <f t="shared" si="720"/>
        <v>0</v>
      </c>
      <c r="L434" s="496">
        <f t="shared" si="720"/>
        <v>0</v>
      </c>
      <c r="M434" s="496">
        <f t="shared" si="720"/>
        <v>0</v>
      </c>
      <c r="N434" s="496">
        <f t="shared" si="720"/>
        <v>0</v>
      </c>
      <c r="O434" s="496">
        <f t="shared" si="720"/>
        <v>0</v>
      </c>
      <c r="P434" s="496">
        <f t="shared" si="720"/>
        <v>0</v>
      </c>
      <c r="Q434" s="496">
        <f t="shared" si="720"/>
        <v>0</v>
      </c>
      <c r="R434" s="496">
        <f t="shared" si="720"/>
        <v>0</v>
      </c>
      <c r="S434" s="496">
        <f t="shared" si="720"/>
        <v>0</v>
      </c>
      <c r="T434" s="496">
        <f t="shared" si="720"/>
        <v>0.20629479471210121</v>
      </c>
      <c r="U434" s="496">
        <f t="shared" si="720"/>
        <v>42.692583377405512</v>
      </c>
      <c r="V434" s="496">
        <f t="shared" si="720"/>
        <v>85.328245315648545</v>
      </c>
      <c r="W434" s="496">
        <f t="shared" si="720"/>
        <v>115.69123245500475</v>
      </c>
      <c r="X434" s="496">
        <f t="shared" si="720"/>
        <v>170.82301938726005</v>
      </c>
      <c r="Y434" s="496">
        <f t="shared" si="720"/>
        <v>206.9300982235915</v>
      </c>
      <c r="Z434" s="496">
        <f t="shared" si="720"/>
        <v>256.89818063794866</v>
      </c>
      <c r="AA434" s="496">
        <f t="shared" si="720"/>
        <v>290.46858745038764</v>
      </c>
      <c r="AB434" s="496">
        <f t="shared" si="720"/>
        <v>343.46011343069443</v>
      </c>
      <c r="AC434" s="496">
        <f t="shared" si="720"/>
        <v>386.96215294762249</v>
      </c>
      <c r="AD434" s="496">
        <f t="shared" si="720"/>
        <v>416.69951855422107</v>
      </c>
      <c r="AE434" s="496">
        <f t="shared" si="720"/>
        <v>474.25962244398181</v>
      </c>
      <c r="AF434" s="496">
        <f t="shared" si="720"/>
        <v>501.4242940769775</v>
      </c>
      <c r="AG434" s="496">
        <f t="shared" si="720"/>
        <v>562.05077586994389</v>
      </c>
      <c r="AH434" s="496">
        <f t="shared" si="720"/>
        <v>606.18247793331921</v>
      </c>
      <c r="AI434" s="496">
        <f t="shared" si="720"/>
        <v>601.90482095343691</v>
      </c>
      <c r="AJ434" s="496">
        <f t="shared" si="720"/>
        <v>680.54149209000025</v>
      </c>
      <c r="AK434" s="496">
        <f t="shared" si="720"/>
        <v>694.82778163388423</v>
      </c>
      <c r="AL434" s="496">
        <f t="shared" si="720"/>
        <v>755.42815987092661</v>
      </c>
      <c r="AM434" s="496">
        <f t="shared" si="720"/>
        <v>767.50750710575937</v>
      </c>
      <c r="AN434" s="496">
        <f t="shared" si="720"/>
        <v>0</v>
      </c>
      <c r="AO434" s="496">
        <f t="shared" si="720"/>
        <v>0</v>
      </c>
      <c r="AP434" s="496">
        <f t="shared" si="720"/>
        <v>0</v>
      </c>
      <c r="AQ434" s="496">
        <f t="shared" si="720"/>
        <v>0</v>
      </c>
      <c r="AR434" s="496">
        <f t="shared" si="720"/>
        <v>0</v>
      </c>
      <c r="AS434" s="496">
        <f t="shared" si="720"/>
        <v>0</v>
      </c>
      <c r="AT434" s="496">
        <f t="shared" si="720"/>
        <v>0</v>
      </c>
      <c r="AU434" s="496">
        <f t="shared" si="720"/>
        <v>0</v>
      </c>
      <c r="AV434" s="496">
        <f t="shared" si="720"/>
        <v>0</v>
      </c>
      <c r="AW434" s="496">
        <f t="shared" si="720"/>
        <v>0</v>
      </c>
      <c r="AX434" s="496">
        <f t="shared" si="720"/>
        <v>0</v>
      </c>
      <c r="AY434" s="496">
        <f t="shared" si="720"/>
        <v>0</v>
      </c>
      <c r="AZ434" s="496">
        <f t="shared" si="720"/>
        <v>0</v>
      </c>
      <c r="BA434" s="496">
        <f t="shared" si="720"/>
        <v>0</v>
      </c>
      <c r="BB434" s="496">
        <f t="shared" si="720"/>
        <v>0</v>
      </c>
      <c r="BC434" s="496">
        <f t="shared" si="720"/>
        <v>0</v>
      </c>
      <c r="BD434" s="496">
        <f t="shared" si="720"/>
        <v>0</v>
      </c>
      <c r="BE434" s="496">
        <f t="shared" si="720"/>
        <v>0</v>
      </c>
    </row>
    <row r="435" spans="1:57" hidden="1" outlineLevel="2" x14ac:dyDescent="0.2"/>
    <row r="436" spans="1:57" x14ac:dyDescent="0.2"/>
    <row r="437" spans="1:57" collapsed="1" x14ac:dyDescent="0.2">
      <c r="A437" s="15" t="s">
        <v>443</v>
      </c>
    </row>
    <row r="438" spans="1:57" hidden="1" outlineLevel="1" x14ac:dyDescent="0.2"/>
    <row r="439" spans="1:57" hidden="1" outlineLevel="1" x14ac:dyDescent="0.2">
      <c r="E439" s="12" t="str">
        <f t="shared" ref="E439:G439" si="721" xml:space="preserve"> E$34</f>
        <v>Sum of project costs / funding requirement</v>
      </c>
      <c r="F439" s="12">
        <f t="shared" si="721"/>
        <v>348748.10907557519</v>
      </c>
      <c r="G439" s="12" t="str">
        <f t="shared" si="721"/>
        <v>$ 000s</v>
      </c>
    </row>
    <row r="440" spans="1:57" hidden="1" outlineLevel="1" x14ac:dyDescent="0.2">
      <c r="E440" s="186" t="str">
        <f xml:space="preserve"> InpC!E$371</f>
        <v>Share capital amount</v>
      </c>
      <c r="F440" s="186">
        <f xml:space="preserve"> InpC!F$371</f>
        <v>100</v>
      </c>
      <c r="G440" s="186" t="str">
        <f xml:space="preserve"> InpC!G$371</f>
        <v>$ 000s</v>
      </c>
    </row>
    <row r="441" spans="1:57" hidden="1" outlineLevel="1" x14ac:dyDescent="0.2">
      <c r="E441" s="12" t="str">
        <f t="shared" ref="E441:G441" si="722" xml:space="preserve"> E$64</f>
        <v>Shareholder loan requirement</v>
      </c>
      <c r="F441" s="12">
        <f t="shared" si="722"/>
        <v>0</v>
      </c>
      <c r="G441" s="12" t="str">
        <f t="shared" si="722"/>
        <v>$ 000s</v>
      </c>
    </row>
    <row r="442" spans="1:57" hidden="1" outlineLevel="1" x14ac:dyDescent="0.2">
      <c r="E442" s="12" t="str">
        <f xml:space="preserve"> E$99</f>
        <v>EBL requirement</v>
      </c>
      <c r="F442" s="12">
        <f t="shared" ref="F442:G442" si="723" xml:space="preserve"> F$99</f>
        <v>86318.253106861201</v>
      </c>
      <c r="G442" s="12" t="str">
        <f t="shared" si="723"/>
        <v>$ 000s</v>
      </c>
    </row>
    <row r="443" spans="1:57" s="114" customFormat="1" hidden="1" outlineLevel="1" x14ac:dyDescent="0.2">
      <c r="A443" s="522"/>
      <c r="B443" s="522"/>
      <c r="C443" s="523"/>
      <c r="D443" s="524"/>
      <c r="E443" s="695" t="str">
        <f xml:space="preserve"> ConCost!E$223</f>
        <v>Total EGR cash transferred to equity</v>
      </c>
      <c r="F443" s="695">
        <f xml:space="preserve"> ConCost!F$223</f>
        <v>11940</v>
      </c>
      <c r="G443" s="695" t="str">
        <f xml:space="preserve"> ConCost!G$223</f>
        <v>$ 000s</v>
      </c>
      <c r="H443" s="756"/>
      <c r="I443" s="756"/>
      <c r="J443" s="756"/>
      <c r="K443" s="756"/>
      <c r="L443" s="756"/>
      <c r="M443" s="756"/>
      <c r="N443" s="756"/>
      <c r="O443" s="756"/>
      <c r="P443" s="756"/>
      <c r="Q443" s="756"/>
      <c r="R443" s="756"/>
      <c r="S443" s="756"/>
      <c r="T443" s="756"/>
      <c r="U443" s="756"/>
      <c r="V443" s="756"/>
      <c r="W443" s="756"/>
      <c r="X443" s="756"/>
      <c r="Y443" s="756"/>
      <c r="Z443" s="756"/>
      <c r="AA443" s="756"/>
      <c r="AB443" s="756"/>
      <c r="AC443" s="756"/>
      <c r="AD443" s="756"/>
      <c r="AE443" s="756"/>
      <c r="AF443" s="756"/>
      <c r="AG443" s="756"/>
      <c r="AH443" s="756"/>
      <c r="AI443" s="756"/>
      <c r="AJ443" s="756"/>
      <c r="AK443" s="756"/>
      <c r="AL443" s="756"/>
      <c r="AM443" s="756"/>
      <c r="AN443" s="756"/>
      <c r="AO443" s="756"/>
      <c r="AP443" s="756"/>
      <c r="AQ443" s="756"/>
      <c r="AR443" s="756"/>
      <c r="AS443" s="756"/>
      <c r="AT443" s="756"/>
      <c r="AU443" s="756"/>
      <c r="AV443" s="756"/>
      <c r="AW443" s="756"/>
      <c r="AX443" s="756"/>
      <c r="AY443" s="756"/>
      <c r="AZ443" s="756"/>
      <c r="BA443" s="756"/>
      <c r="BB443" s="756"/>
      <c r="BC443" s="756"/>
      <c r="BD443" s="756"/>
      <c r="BE443" s="756"/>
    </row>
    <row r="444" spans="1:57" hidden="1" outlineLevel="1" x14ac:dyDescent="0.2">
      <c r="E444" s="186" t="str">
        <f xml:space="preserve"> Solve!E$51</f>
        <v>Debt capacity at target DSCR - Paste</v>
      </c>
      <c r="F444" s="186">
        <f xml:space="preserve"> Solve!F$51</f>
        <v>250389.85226030689</v>
      </c>
      <c r="G444" s="186" t="str">
        <f xml:space="preserve"> Solve!G$51</f>
        <v>$ 000s</v>
      </c>
    </row>
    <row r="445" spans="1:57" hidden="1" outlineLevel="1" x14ac:dyDescent="0.2">
      <c r="E445" s="525" t="s">
        <v>444</v>
      </c>
      <c r="F445" s="525">
        <f xml:space="preserve"> IF(ABS(F439 - SUM(F440:F444)) &gt; CHK_TOL, MAX(0, F439 - SUM(F440:F444)), 0)</f>
        <v>0</v>
      </c>
      <c r="G445" s="525" t="str">
        <f xml:space="preserve"> SMU</f>
        <v>$ 000s</v>
      </c>
    </row>
    <row r="446" spans="1:57" hidden="1" outlineLevel="1" x14ac:dyDescent="0.2"/>
    <row r="447" spans="1:57" hidden="1" outlineLevel="1" x14ac:dyDescent="0.2">
      <c r="E447" s="12" t="str">
        <f t="shared" ref="E447:G447" si="724" xml:space="preserve"> E$445</f>
        <v>Standby funding requirement</v>
      </c>
      <c r="F447" s="12">
        <f t="shared" si="724"/>
        <v>0</v>
      </c>
      <c r="G447" s="12" t="str">
        <f t="shared" si="724"/>
        <v>$ 000s</v>
      </c>
    </row>
    <row r="448" spans="1:57" s="283" customFormat="1" hidden="1" outlineLevel="1" x14ac:dyDescent="0.2">
      <c r="A448" s="556"/>
      <c r="B448" s="556"/>
      <c r="C448" s="557"/>
      <c r="D448" s="115"/>
      <c r="E448" s="450" t="str">
        <f xml:space="preserve"> Solve!E$54</f>
        <v>Gearing for standby funding calculation - Paste</v>
      </c>
      <c r="F448" s="450">
        <f xml:space="preserve"> Solve!F$54</f>
        <v>0.71796763672768571</v>
      </c>
      <c r="G448" s="450" t="str">
        <f xml:space="preserve"> Solve!G$54</f>
        <v>%</v>
      </c>
      <c r="H448" s="282"/>
      <c r="I448" s="112"/>
      <c r="J448" s="282"/>
      <c r="K448" s="282"/>
      <c r="L448" s="282"/>
      <c r="M448" s="282"/>
      <c r="N448" s="282"/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  <c r="AF448" s="282"/>
      <c r="AG448" s="282"/>
      <c r="AH448" s="282"/>
      <c r="AI448" s="282"/>
      <c r="AJ448" s="282"/>
      <c r="AK448" s="282"/>
      <c r="AL448" s="282"/>
      <c r="AM448" s="282"/>
      <c r="AN448" s="282"/>
      <c r="AO448" s="282"/>
      <c r="AP448" s="282"/>
      <c r="AQ448" s="282"/>
      <c r="AR448" s="282"/>
      <c r="AS448" s="282"/>
      <c r="AT448" s="282"/>
      <c r="AU448" s="282"/>
      <c r="AV448" s="282"/>
      <c r="AW448" s="282"/>
      <c r="AX448" s="282"/>
      <c r="AY448" s="282"/>
      <c r="AZ448" s="282"/>
      <c r="BA448" s="282"/>
      <c r="BB448" s="282"/>
      <c r="BC448" s="282"/>
      <c r="BD448" s="282"/>
      <c r="BE448" s="282"/>
    </row>
    <row r="449" spans="1:57" hidden="1" outlineLevel="1" x14ac:dyDescent="0.2">
      <c r="E449" s="186" t="str">
        <f xml:space="preserve"> InpC!E$317</f>
        <v>Standby debt commitment amount</v>
      </c>
      <c r="F449" s="186">
        <f xml:space="preserve"> InpC!F$317</f>
        <v>4307.8058203661139</v>
      </c>
      <c r="G449" s="186" t="str">
        <f xml:space="preserve"> InpC!G$317</f>
        <v>$ 000s</v>
      </c>
    </row>
    <row r="450" spans="1:57" hidden="1" outlineLevel="1" x14ac:dyDescent="0.2">
      <c r="E450" s="525" t="s">
        <v>445</v>
      </c>
      <c r="F450" s="525">
        <f xml:space="preserve"> MIN(F447 * F448, F449)</f>
        <v>0</v>
      </c>
      <c r="G450" s="525" t="str">
        <f xml:space="preserve"> SMU</f>
        <v>$ 000s</v>
      </c>
    </row>
    <row r="451" spans="1:57" hidden="1" outlineLevel="1" x14ac:dyDescent="0.2"/>
    <row r="452" spans="1:57" s="495" customFormat="1" hidden="1" outlineLevel="1" x14ac:dyDescent="0.2">
      <c r="A452" s="15"/>
      <c r="B452" s="15"/>
      <c r="C452" s="21"/>
      <c r="D452" s="48"/>
      <c r="E452" s="9" t="str">
        <f t="shared" ref="E452:AJ452" si="725" xml:space="preserve"> E$69</f>
        <v>Funding requirement for shareholder loan</v>
      </c>
      <c r="F452" s="9">
        <f t="shared" si="725"/>
        <v>0</v>
      </c>
      <c r="G452" s="9" t="str">
        <f t="shared" si="725"/>
        <v>$ 000s</v>
      </c>
      <c r="H452" s="9">
        <f t="shared" si="725"/>
        <v>336708.10907557519</v>
      </c>
      <c r="I452" s="9">
        <f t="shared" si="725"/>
        <v>0</v>
      </c>
      <c r="J452" s="9">
        <f t="shared" si="725"/>
        <v>0</v>
      </c>
      <c r="K452" s="9">
        <f t="shared" si="725"/>
        <v>0</v>
      </c>
      <c r="L452" s="9">
        <f t="shared" si="725"/>
        <v>0</v>
      </c>
      <c r="M452" s="9">
        <f t="shared" si="725"/>
        <v>14843.424770244494</v>
      </c>
      <c r="N452" s="9">
        <f t="shared" si="725"/>
        <v>11841.327808384644</v>
      </c>
      <c r="O452" s="9">
        <f t="shared" si="725"/>
        <v>11870.259742712651</v>
      </c>
      <c r="P452" s="9">
        <f t="shared" si="725"/>
        <v>11907.687320687248</v>
      </c>
      <c r="Q452" s="9">
        <f t="shared" si="725"/>
        <v>11941.012306690816</v>
      </c>
      <c r="R452" s="9">
        <f t="shared" si="725"/>
        <v>11966.998590891828</v>
      </c>
      <c r="S452" s="9">
        <f t="shared" si="725"/>
        <v>12007.921531555499</v>
      </c>
      <c r="T452" s="9">
        <f t="shared" si="725"/>
        <v>12031.934187437519</v>
      </c>
      <c r="U452" s="9">
        <f t="shared" si="725"/>
        <v>12076.190635536972</v>
      </c>
      <c r="V452" s="9">
        <f t="shared" si="725"/>
        <v>12110.976773522409</v>
      </c>
      <c r="W452" s="9">
        <f t="shared" si="725"/>
        <v>12104.694875399815</v>
      </c>
      <c r="X452" s="9">
        <f t="shared" si="725"/>
        <v>12180.731360946033</v>
      </c>
      <c r="Y452" s="9">
        <f t="shared" si="725"/>
        <v>12199.330047588888</v>
      </c>
      <c r="Z452" s="9">
        <f t="shared" si="725"/>
        <v>12250.959482205111</v>
      </c>
      <c r="AA452" s="9">
        <f t="shared" si="725"/>
        <v>12266.975848549024</v>
      </c>
      <c r="AB452" s="9">
        <f t="shared" si="725"/>
        <v>12321.584756958357</v>
      </c>
      <c r="AC452" s="9">
        <f t="shared" si="725"/>
        <v>12357.077766346292</v>
      </c>
      <c r="AD452" s="9">
        <f t="shared" si="725"/>
        <v>12369.192114605235</v>
      </c>
      <c r="AE452" s="9">
        <f t="shared" si="725"/>
        <v>12428.303160347879</v>
      </c>
      <c r="AF452" s="9">
        <f t="shared" si="725"/>
        <v>12437.798518130739</v>
      </c>
      <c r="AG452" s="9">
        <f t="shared" si="725"/>
        <v>12499.931347612244</v>
      </c>
      <c r="AH452" s="9">
        <f t="shared" si="725"/>
        <v>10545.938094264708</v>
      </c>
      <c r="AI452" s="9">
        <f t="shared" si="725"/>
        <v>10515.623743976959</v>
      </c>
      <c r="AJ452" s="9">
        <f t="shared" si="725"/>
        <v>10606.607093158804</v>
      </c>
      <c r="AK452" s="9">
        <f t="shared" ref="AK452:BE452" si="726" xml:space="preserve"> AK$69</f>
        <v>10604.408171304991</v>
      </c>
      <c r="AL452" s="9">
        <f t="shared" si="726"/>
        <v>10667.706600951156</v>
      </c>
      <c r="AM452" s="9">
        <f t="shared" si="726"/>
        <v>25753.512425564993</v>
      </c>
      <c r="AN452" s="9">
        <f t="shared" si="726"/>
        <v>0</v>
      </c>
      <c r="AO452" s="9">
        <f t="shared" si="726"/>
        <v>0</v>
      </c>
      <c r="AP452" s="9">
        <f t="shared" si="726"/>
        <v>0</v>
      </c>
      <c r="AQ452" s="9">
        <f t="shared" si="726"/>
        <v>0</v>
      </c>
      <c r="AR452" s="9">
        <f t="shared" si="726"/>
        <v>0</v>
      </c>
      <c r="AS452" s="9">
        <f t="shared" si="726"/>
        <v>0</v>
      </c>
      <c r="AT452" s="9">
        <f t="shared" si="726"/>
        <v>0</v>
      </c>
      <c r="AU452" s="9">
        <f t="shared" si="726"/>
        <v>0</v>
      </c>
      <c r="AV452" s="9">
        <f t="shared" si="726"/>
        <v>0</v>
      </c>
      <c r="AW452" s="9">
        <f t="shared" si="726"/>
        <v>0</v>
      </c>
      <c r="AX452" s="9">
        <f t="shared" si="726"/>
        <v>0</v>
      </c>
      <c r="AY452" s="9">
        <f t="shared" si="726"/>
        <v>0</v>
      </c>
      <c r="AZ452" s="9">
        <f t="shared" si="726"/>
        <v>0</v>
      </c>
      <c r="BA452" s="9">
        <f t="shared" si="726"/>
        <v>0</v>
      </c>
      <c r="BB452" s="9">
        <f t="shared" si="726"/>
        <v>0</v>
      </c>
      <c r="BC452" s="9">
        <f t="shared" si="726"/>
        <v>0</v>
      </c>
      <c r="BD452" s="9">
        <f t="shared" si="726"/>
        <v>0</v>
      </c>
      <c r="BE452" s="9">
        <f t="shared" si="726"/>
        <v>0</v>
      </c>
    </row>
    <row r="453" spans="1:57" s="495" customFormat="1" hidden="1" outlineLevel="1" x14ac:dyDescent="0.2">
      <c r="A453" s="15"/>
      <c r="B453" s="15"/>
      <c r="C453" s="21"/>
      <c r="D453" s="48"/>
      <c r="E453" s="9" t="str">
        <f t="shared" ref="E453:AJ453" si="727" xml:space="preserve"> E$79</f>
        <v>Shareholder loan drawdown excluding EBL repayment - m</v>
      </c>
      <c r="F453" s="9">
        <f t="shared" si="727"/>
        <v>0</v>
      </c>
      <c r="G453" s="9" t="str">
        <f t="shared" si="727"/>
        <v>$ 000s</v>
      </c>
      <c r="H453" s="9">
        <f t="shared" si="727"/>
        <v>0</v>
      </c>
      <c r="I453" s="9">
        <f t="shared" si="727"/>
        <v>0</v>
      </c>
      <c r="J453" s="9">
        <f t="shared" si="727"/>
        <v>0</v>
      </c>
      <c r="K453" s="9">
        <f t="shared" si="727"/>
        <v>0</v>
      </c>
      <c r="L453" s="9">
        <f t="shared" si="727"/>
        <v>0</v>
      </c>
      <c r="M453" s="9">
        <f t="shared" si="727"/>
        <v>0</v>
      </c>
      <c r="N453" s="9">
        <f t="shared" si="727"/>
        <v>0</v>
      </c>
      <c r="O453" s="9">
        <f t="shared" si="727"/>
        <v>0</v>
      </c>
      <c r="P453" s="9">
        <f t="shared" si="727"/>
        <v>0</v>
      </c>
      <c r="Q453" s="9">
        <f t="shared" si="727"/>
        <v>0</v>
      </c>
      <c r="R453" s="9">
        <f t="shared" si="727"/>
        <v>0</v>
      </c>
      <c r="S453" s="9">
        <f t="shared" si="727"/>
        <v>0</v>
      </c>
      <c r="T453" s="9">
        <f t="shared" si="727"/>
        <v>0</v>
      </c>
      <c r="U453" s="9">
        <f t="shared" si="727"/>
        <v>0</v>
      </c>
      <c r="V453" s="9">
        <f t="shared" si="727"/>
        <v>0</v>
      </c>
      <c r="W453" s="9">
        <f t="shared" si="727"/>
        <v>0</v>
      </c>
      <c r="X453" s="9">
        <f t="shared" si="727"/>
        <v>0</v>
      </c>
      <c r="Y453" s="9">
        <f t="shared" si="727"/>
        <v>0</v>
      </c>
      <c r="Z453" s="9">
        <f t="shared" si="727"/>
        <v>0</v>
      </c>
      <c r="AA453" s="9">
        <f t="shared" si="727"/>
        <v>0</v>
      </c>
      <c r="AB453" s="9">
        <f t="shared" si="727"/>
        <v>0</v>
      </c>
      <c r="AC453" s="9">
        <f t="shared" si="727"/>
        <v>0</v>
      </c>
      <c r="AD453" s="9">
        <f t="shared" si="727"/>
        <v>0</v>
      </c>
      <c r="AE453" s="9">
        <f t="shared" si="727"/>
        <v>0</v>
      </c>
      <c r="AF453" s="9">
        <f t="shared" si="727"/>
        <v>0</v>
      </c>
      <c r="AG453" s="9">
        <f t="shared" si="727"/>
        <v>0</v>
      </c>
      <c r="AH453" s="9">
        <f t="shared" si="727"/>
        <v>0</v>
      </c>
      <c r="AI453" s="9">
        <f t="shared" si="727"/>
        <v>0</v>
      </c>
      <c r="AJ453" s="9">
        <f t="shared" si="727"/>
        <v>0</v>
      </c>
      <c r="AK453" s="9">
        <f t="shared" ref="AK453:BE453" si="728" xml:space="preserve"> AK$79</f>
        <v>0</v>
      </c>
      <c r="AL453" s="9">
        <f t="shared" si="728"/>
        <v>0</v>
      </c>
      <c r="AM453" s="9">
        <f t="shared" si="728"/>
        <v>0</v>
      </c>
      <c r="AN453" s="9">
        <f t="shared" si="728"/>
        <v>0</v>
      </c>
      <c r="AO453" s="9">
        <f t="shared" si="728"/>
        <v>0</v>
      </c>
      <c r="AP453" s="9">
        <f t="shared" si="728"/>
        <v>0</v>
      </c>
      <c r="AQ453" s="9">
        <f t="shared" si="728"/>
        <v>0</v>
      </c>
      <c r="AR453" s="9">
        <f t="shared" si="728"/>
        <v>0</v>
      </c>
      <c r="AS453" s="9">
        <f t="shared" si="728"/>
        <v>0</v>
      </c>
      <c r="AT453" s="9">
        <f t="shared" si="728"/>
        <v>0</v>
      </c>
      <c r="AU453" s="9">
        <f t="shared" si="728"/>
        <v>0</v>
      </c>
      <c r="AV453" s="9">
        <f t="shared" si="728"/>
        <v>0</v>
      </c>
      <c r="AW453" s="9">
        <f t="shared" si="728"/>
        <v>0</v>
      </c>
      <c r="AX453" s="9">
        <f t="shared" si="728"/>
        <v>0</v>
      </c>
      <c r="AY453" s="9">
        <f t="shared" si="728"/>
        <v>0</v>
      </c>
      <c r="AZ453" s="9">
        <f t="shared" si="728"/>
        <v>0</v>
      </c>
      <c r="BA453" s="9">
        <f t="shared" si="728"/>
        <v>0</v>
      </c>
      <c r="BB453" s="9">
        <f t="shared" si="728"/>
        <v>0</v>
      </c>
      <c r="BC453" s="9">
        <f t="shared" si="728"/>
        <v>0</v>
      </c>
      <c r="BD453" s="9">
        <f t="shared" si="728"/>
        <v>0</v>
      </c>
      <c r="BE453" s="9">
        <f t="shared" si="728"/>
        <v>0</v>
      </c>
    </row>
    <row r="454" spans="1:57" s="495" customFormat="1" hidden="1" outlineLevel="1" x14ac:dyDescent="0.2">
      <c r="A454" s="15"/>
      <c r="B454" s="15"/>
      <c r="C454" s="21"/>
      <c r="D454" s="48"/>
      <c r="E454" s="9" t="str">
        <f t="shared" ref="E454:AJ454" si="729" xml:space="preserve"> E$343</f>
        <v>Construction debt drawdown - m</v>
      </c>
      <c r="F454" s="9">
        <f t="shared" si="729"/>
        <v>0</v>
      </c>
      <c r="G454" s="9" t="str">
        <f t="shared" si="729"/>
        <v>$ 000s</v>
      </c>
      <c r="H454" s="9">
        <f t="shared" si="729"/>
        <v>250389.85226030689</v>
      </c>
      <c r="I454" s="9">
        <f t="shared" si="729"/>
        <v>0</v>
      </c>
      <c r="J454" s="9">
        <f t="shared" si="729"/>
        <v>0</v>
      </c>
      <c r="K454" s="9">
        <f t="shared" si="729"/>
        <v>0</v>
      </c>
      <c r="L454" s="9">
        <f t="shared" si="729"/>
        <v>0</v>
      </c>
      <c r="M454" s="9">
        <f t="shared" si="729"/>
        <v>0</v>
      </c>
      <c r="N454" s="9">
        <f t="shared" si="729"/>
        <v>0</v>
      </c>
      <c r="O454" s="9">
        <f t="shared" si="729"/>
        <v>0</v>
      </c>
      <c r="P454" s="9">
        <f t="shared" si="729"/>
        <v>0</v>
      </c>
      <c r="Q454" s="9">
        <f t="shared" si="729"/>
        <v>0</v>
      </c>
      <c r="R454" s="9">
        <f t="shared" si="729"/>
        <v>0</v>
      </c>
      <c r="S454" s="9">
        <f t="shared" si="729"/>
        <v>60.378964305980844</v>
      </c>
      <c r="T454" s="9">
        <f t="shared" si="729"/>
        <v>12031.934187437519</v>
      </c>
      <c r="U454" s="9">
        <f t="shared" si="729"/>
        <v>12076.190635536972</v>
      </c>
      <c r="V454" s="9">
        <f t="shared" si="729"/>
        <v>12110.976773522409</v>
      </c>
      <c r="W454" s="9">
        <f t="shared" si="729"/>
        <v>12104.694875399815</v>
      </c>
      <c r="X454" s="9">
        <f t="shared" si="729"/>
        <v>12180.731360946033</v>
      </c>
      <c r="Y454" s="9">
        <f t="shared" si="729"/>
        <v>12199.330047588888</v>
      </c>
      <c r="Z454" s="9">
        <f t="shared" si="729"/>
        <v>12250.959482205111</v>
      </c>
      <c r="AA454" s="9">
        <f t="shared" si="729"/>
        <v>12266.975848549024</v>
      </c>
      <c r="AB454" s="9">
        <f t="shared" si="729"/>
        <v>12321.584756958357</v>
      </c>
      <c r="AC454" s="9">
        <f t="shared" si="729"/>
        <v>12357.077766346292</v>
      </c>
      <c r="AD454" s="9">
        <f t="shared" si="729"/>
        <v>12369.192114605235</v>
      </c>
      <c r="AE454" s="9">
        <f t="shared" si="729"/>
        <v>12428.303160347879</v>
      </c>
      <c r="AF454" s="9">
        <f t="shared" si="729"/>
        <v>12437.798518130739</v>
      </c>
      <c r="AG454" s="9">
        <f t="shared" si="729"/>
        <v>12499.931347612244</v>
      </c>
      <c r="AH454" s="9">
        <f t="shared" si="729"/>
        <v>10545.938094264708</v>
      </c>
      <c r="AI454" s="9">
        <f t="shared" si="729"/>
        <v>10515.623743976959</v>
      </c>
      <c r="AJ454" s="9">
        <f t="shared" si="729"/>
        <v>10606.607093158804</v>
      </c>
      <c r="AK454" s="9">
        <f t="shared" ref="AK454:BE454" si="730" xml:space="preserve"> AK$343</f>
        <v>10604.408171304991</v>
      </c>
      <c r="AL454" s="9">
        <f t="shared" si="730"/>
        <v>10667.706600951156</v>
      </c>
      <c r="AM454" s="9">
        <f t="shared" si="730"/>
        <v>25753.508717157791</v>
      </c>
      <c r="AN454" s="9">
        <f t="shared" si="730"/>
        <v>0</v>
      </c>
      <c r="AO454" s="9">
        <f t="shared" si="730"/>
        <v>0</v>
      </c>
      <c r="AP454" s="9">
        <f t="shared" si="730"/>
        <v>0</v>
      </c>
      <c r="AQ454" s="9">
        <f t="shared" si="730"/>
        <v>0</v>
      </c>
      <c r="AR454" s="9">
        <f t="shared" si="730"/>
        <v>0</v>
      </c>
      <c r="AS454" s="9">
        <f t="shared" si="730"/>
        <v>0</v>
      </c>
      <c r="AT454" s="9">
        <f t="shared" si="730"/>
        <v>0</v>
      </c>
      <c r="AU454" s="9">
        <f t="shared" si="730"/>
        <v>0</v>
      </c>
      <c r="AV454" s="9">
        <f t="shared" si="730"/>
        <v>0</v>
      </c>
      <c r="AW454" s="9">
        <f t="shared" si="730"/>
        <v>0</v>
      </c>
      <c r="AX454" s="9">
        <f t="shared" si="730"/>
        <v>0</v>
      </c>
      <c r="AY454" s="9">
        <f t="shared" si="730"/>
        <v>0</v>
      </c>
      <c r="AZ454" s="9">
        <f t="shared" si="730"/>
        <v>0</v>
      </c>
      <c r="BA454" s="9">
        <f t="shared" si="730"/>
        <v>0</v>
      </c>
      <c r="BB454" s="9">
        <f t="shared" si="730"/>
        <v>0</v>
      </c>
      <c r="BC454" s="9">
        <f t="shared" si="730"/>
        <v>0</v>
      </c>
      <c r="BD454" s="9">
        <f t="shared" si="730"/>
        <v>0</v>
      </c>
      <c r="BE454" s="9">
        <f t="shared" si="730"/>
        <v>0</v>
      </c>
    </row>
    <row r="455" spans="1:57" s="495" customFormat="1" hidden="1" outlineLevel="1" x14ac:dyDescent="0.2">
      <c r="A455" s="15"/>
      <c r="B455" s="15"/>
      <c r="C455" s="21"/>
      <c r="D455" s="48"/>
      <c r="E455" s="9" t="s">
        <v>446</v>
      </c>
      <c r="F455" s="9"/>
      <c r="G455" s="9" t="str">
        <f xml:space="preserve"> SMU</f>
        <v>$ 000s</v>
      </c>
      <c r="H455" s="9">
        <f xml:space="preserve"> SUM(J455:BE455)</f>
        <v>86318.256815268396</v>
      </c>
      <c r="I455" s="9"/>
      <c r="J455" s="9">
        <f t="shared" ref="J455:BE455" si="731" xml:space="preserve"> J452 - J453 - J454</f>
        <v>0</v>
      </c>
      <c r="K455" s="9">
        <f t="shared" si="731"/>
        <v>0</v>
      </c>
      <c r="L455" s="9">
        <f t="shared" si="731"/>
        <v>0</v>
      </c>
      <c r="M455" s="9">
        <f t="shared" si="731"/>
        <v>14843.424770244494</v>
      </c>
      <c r="N455" s="9">
        <f t="shared" si="731"/>
        <v>11841.327808384644</v>
      </c>
      <c r="O455" s="9">
        <f t="shared" si="731"/>
        <v>11870.259742712651</v>
      </c>
      <c r="P455" s="9">
        <f t="shared" si="731"/>
        <v>11907.687320687248</v>
      </c>
      <c r="Q455" s="9">
        <f t="shared" si="731"/>
        <v>11941.012306690816</v>
      </c>
      <c r="R455" s="9">
        <f t="shared" si="731"/>
        <v>11966.998590891828</v>
      </c>
      <c r="S455" s="9">
        <f t="shared" si="731"/>
        <v>11947.542567249518</v>
      </c>
      <c r="T455" s="9">
        <f t="shared" si="731"/>
        <v>0</v>
      </c>
      <c r="U455" s="9">
        <f t="shared" si="731"/>
        <v>0</v>
      </c>
      <c r="V455" s="9">
        <f t="shared" si="731"/>
        <v>0</v>
      </c>
      <c r="W455" s="9">
        <f t="shared" si="731"/>
        <v>0</v>
      </c>
      <c r="X455" s="9">
        <f t="shared" si="731"/>
        <v>0</v>
      </c>
      <c r="Y455" s="9">
        <f t="shared" si="731"/>
        <v>0</v>
      </c>
      <c r="Z455" s="9">
        <f t="shared" si="731"/>
        <v>0</v>
      </c>
      <c r="AA455" s="9">
        <f t="shared" si="731"/>
        <v>0</v>
      </c>
      <c r="AB455" s="9">
        <f t="shared" si="731"/>
        <v>0</v>
      </c>
      <c r="AC455" s="9">
        <f t="shared" si="731"/>
        <v>0</v>
      </c>
      <c r="AD455" s="9">
        <f t="shared" si="731"/>
        <v>0</v>
      </c>
      <c r="AE455" s="9">
        <f t="shared" si="731"/>
        <v>0</v>
      </c>
      <c r="AF455" s="9">
        <f t="shared" si="731"/>
        <v>0</v>
      </c>
      <c r="AG455" s="9">
        <f t="shared" si="731"/>
        <v>0</v>
      </c>
      <c r="AH455" s="9">
        <f t="shared" si="731"/>
        <v>0</v>
      </c>
      <c r="AI455" s="9">
        <f t="shared" si="731"/>
        <v>0</v>
      </c>
      <c r="AJ455" s="9">
        <f t="shared" si="731"/>
        <v>0</v>
      </c>
      <c r="AK455" s="9">
        <f t="shared" si="731"/>
        <v>0</v>
      </c>
      <c r="AL455" s="9">
        <f t="shared" si="731"/>
        <v>0</v>
      </c>
      <c r="AM455" s="9">
        <f t="shared" si="731"/>
        <v>3.7084072027937509E-3</v>
      </c>
      <c r="AN455" s="9">
        <f t="shared" si="731"/>
        <v>0</v>
      </c>
      <c r="AO455" s="9">
        <f t="shared" si="731"/>
        <v>0</v>
      </c>
      <c r="AP455" s="9">
        <f t="shared" si="731"/>
        <v>0</v>
      </c>
      <c r="AQ455" s="9">
        <f t="shared" si="731"/>
        <v>0</v>
      </c>
      <c r="AR455" s="9">
        <f t="shared" si="731"/>
        <v>0</v>
      </c>
      <c r="AS455" s="9">
        <f t="shared" si="731"/>
        <v>0</v>
      </c>
      <c r="AT455" s="9">
        <f t="shared" si="731"/>
        <v>0</v>
      </c>
      <c r="AU455" s="9">
        <f t="shared" si="731"/>
        <v>0</v>
      </c>
      <c r="AV455" s="9">
        <f t="shared" si="731"/>
        <v>0</v>
      </c>
      <c r="AW455" s="9">
        <f t="shared" si="731"/>
        <v>0</v>
      </c>
      <c r="AX455" s="9">
        <f t="shared" si="731"/>
        <v>0</v>
      </c>
      <c r="AY455" s="9">
        <f t="shared" si="731"/>
        <v>0</v>
      </c>
      <c r="AZ455" s="9">
        <f t="shared" si="731"/>
        <v>0</v>
      </c>
      <c r="BA455" s="9">
        <f t="shared" si="731"/>
        <v>0</v>
      </c>
      <c r="BB455" s="9">
        <f t="shared" si="731"/>
        <v>0</v>
      </c>
      <c r="BC455" s="9">
        <f t="shared" si="731"/>
        <v>0</v>
      </c>
      <c r="BD455" s="9">
        <f t="shared" si="731"/>
        <v>0</v>
      </c>
      <c r="BE455" s="9">
        <f t="shared" si="731"/>
        <v>0</v>
      </c>
    </row>
    <row r="456" spans="1:57" s="495" customFormat="1" hidden="1" outlineLevel="1" x14ac:dyDescent="0.2">
      <c r="A456" s="15"/>
      <c r="B456" s="15"/>
      <c r="C456" s="21"/>
      <c r="D456" s="4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s="495" customFormat="1" hidden="1" outlineLevel="1" x14ac:dyDescent="0.2">
      <c r="A457" s="15"/>
      <c r="B457" s="15" t="s">
        <v>920</v>
      </c>
      <c r="C457" s="21"/>
      <c r="D457" s="4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</row>
    <row r="458" spans="1:57" s="453" customFormat="1" hidden="1" outlineLevel="1" x14ac:dyDescent="0.2">
      <c r="A458" s="451"/>
      <c r="B458" s="451"/>
      <c r="C458" s="452"/>
      <c r="D458" s="316"/>
      <c r="E458" s="453" t="str">
        <f xml:space="preserve"> InpC!E$171</f>
        <v>Senior debt - T1 - % of debt</v>
      </c>
      <c r="F458" s="453">
        <f xml:space="preserve"> InpC!F$171</f>
        <v>0.5</v>
      </c>
      <c r="G458" s="453" t="str">
        <f xml:space="preserve"> InpC!G$171</f>
        <v>%</v>
      </c>
    </row>
    <row r="459" spans="1:57" hidden="1" outlineLevel="1" x14ac:dyDescent="0.2">
      <c r="E459" s="12" t="str">
        <f t="shared" ref="E459:G459" si="732" xml:space="preserve"> E$450</f>
        <v>Standby debt amount</v>
      </c>
      <c r="F459" s="12">
        <f t="shared" si="732"/>
        <v>0</v>
      </c>
      <c r="G459" s="12" t="str">
        <f t="shared" si="732"/>
        <v>$ 000s</v>
      </c>
    </row>
    <row r="460" spans="1:57" s="495" customFormat="1" hidden="1" outlineLevel="1" x14ac:dyDescent="0.2">
      <c r="A460" s="15"/>
      <c r="B460" s="15"/>
      <c r="C460" s="21"/>
      <c r="D460" s="48"/>
      <c r="E460" s="9" t="str">
        <f t="shared" ref="E460:AJ460" si="733" xml:space="preserve"> E$472</f>
        <v>Standby debt - T1 balance BEG</v>
      </c>
      <c r="F460" s="9">
        <f t="shared" si="733"/>
        <v>0</v>
      </c>
      <c r="G460" s="9" t="str">
        <f t="shared" si="733"/>
        <v>$ 000s</v>
      </c>
      <c r="H460" s="9">
        <f t="shared" si="733"/>
        <v>0</v>
      </c>
      <c r="I460" s="9">
        <f t="shared" si="733"/>
        <v>0</v>
      </c>
      <c r="J460" s="9">
        <f t="shared" si="733"/>
        <v>0</v>
      </c>
      <c r="K460" s="9">
        <f t="shared" si="733"/>
        <v>0</v>
      </c>
      <c r="L460" s="9">
        <f t="shared" si="733"/>
        <v>0</v>
      </c>
      <c r="M460" s="9">
        <f t="shared" si="733"/>
        <v>0</v>
      </c>
      <c r="N460" s="9">
        <f t="shared" si="733"/>
        <v>0</v>
      </c>
      <c r="O460" s="9">
        <f t="shared" si="733"/>
        <v>0</v>
      </c>
      <c r="P460" s="9">
        <f t="shared" si="733"/>
        <v>0</v>
      </c>
      <c r="Q460" s="9">
        <f t="shared" si="733"/>
        <v>0</v>
      </c>
      <c r="R460" s="9">
        <f t="shared" si="733"/>
        <v>0</v>
      </c>
      <c r="S460" s="9">
        <f t="shared" si="733"/>
        <v>0</v>
      </c>
      <c r="T460" s="9">
        <f t="shared" si="733"/>
        <v>0</v>
      </c>
      <c r="U460" s="9">
        <f t="shared" si="733"/>
        <v>0</v>
      </c>
      <c r="V460" s="9">
        <f t="shared" si="733"/>
        <v>0</v>
      </c>
      <c r="W460" s="9">
        <f t="shared" si="733"/>
        <v>0</v>
      </c>
      <c r="X460" s="9">
        <f t="shared" si="733"/>
        <v>0</v>
      </c>
      <c r="Y460" s="9">
        <f t="shared" si="733"/>
        <v>0</v>
      </c>
      <c r="Z460" s="9">
        <f t="shared" si="733"/>
        <v>0</v>
      </c>
      <c r="AA460" s="9">
        <f t="shared" si="733"/>
        <v>0</v>
      </c>
      <c r="AB460" s="9">
        <f t="shared" si="733"/>
        <v>0</v>
      </c>
      <c r="AC460" s="9">
        <f t="shared" si="733"/>
        <v>0</v>
      </c>
      <c r="AD460" s="9">
        <f t="shared" si="733"/>
        <v>0</v>
      </c>
      <c r="AE460" s="9">
        <f t="shared" si="733"/>
        <v>0</v>
      </c>
      <c r="AF460" s="9">
        <f t="shared" si="733"/>
        <v>0</v>
      </c>
      <c r="AG460" s="9">
        <f t="shared" si="733"/>
        <v>0</v>
      </c>
      <c r="AH460" s="9">
        <f t="shared" si="733"/>
        <v>0</v>
      </c>
      <c r="AI460" s="9">
        <f t="shared" si="733"/>
        <v>0</v>
      </c>
      <c r="AJ460" s="9">
        <f t="shared" si="733"/>
        <v>0</v>
      </c>
      <c r="AK460" s="9">
        <f t="shared" ref="AK460:BE460" si="734" xml:space="preserve"> AK$472</f>
        <v>0</v>
      </c>
      <c r="AL460" s="9">
        <f t="shared" si="734"/>
        <v>0</v>
      </c>
      <c r="AM460" s="9">
        <f t="shared" si="734"/>
        <v>0</v>
      </c>
      <c r="AN460" s="9">
        <f t="shared" si="734"/>
        <v>0</v>
      </c>
      <c r="AO460" s="9">
        <f t="shared" si="734"/>
        <v>0</v>
      </c>
      <c r="AP460" s="9">
        <f t="shared" si="734"/>
        <v>0</v>
      </c>
      <c r="AQ460" s="9">
        <f t="shared" si="734"/>
        <v>0</v>
      </c>
      <c r="AR460" s="9">
        <f t="shared" si="734"/>
        <v>0</v>
      </c>
      <c r="AS460" s="9">
        <f t="shared" si="734"/>
        <v>0</v>
      </c>
      <c r="AT460" s="9">
        <f t="shared" si="734"/>
        <v>0</v>
      </c>
      <c r="AU460" s="9">
        <f t="shared" si="734"/>
        <v>0</v>
      </c>
      <c r="AV460" s="9">
        <f t="shared" si="734"/>
        <v>0</v>
      </c>
      <c r="AW460" s="9">
        <f t="shared" si="734"/>
        <v>0</v>
      </c>
      <c r="AX460" s="9">
        <f t="shared" si="734"/>
        <v>0</v>
      </c>
      <c r="AY460" s="9">
        <f t="shared" si="734"/>
        <v>0</v>
      </c>
      <c r="AZ460" s="9">
        <f t="shared" si="734"/>
        <v>0</v>
      </c>
      <c r="BA460" s="9">
        <f t="shared" si="734"/>
        <v>0</v>
      </c>
      <c r="BB460" s="9">
        <f t="shared" si="734"/>
        <v>0</v>
      </c>
      <c r="BC460" s="9">
        <f t="shared" si="734"/>
        <v>0</v>
      </c>
      <c r="BD460" s="9">
        <f t="shared" si="734"/>
        <v>0</v>
      </c>
      <c r="BE460" s="9">
        <f t="shared" si="734"/>
        <v>0</v>
      </c>
    </row>
    <row r="461" spans="1:57" s="495" customFormat="1" hidden="1" outlineLevel="1" x14ac:dyDescent="0.2">
      <c r="A461" s="15"/>
      <c r="B461" s="15"/>
      <c r="C461" s="21"/>
      <c r="D461" s="48"/>
      <c r="E461" s="9" t="s">
        <v>1046</v>
      </c>
      <c r="F461" s="9"/>
      <c r="G461" s="9" t="str">
        <f xml:space="preserve"> SMU</f>
        <v>$ 000s</v>
      </c>
      <c r="H461" s="9"/>
      <c r="I461" s="9"/>
      <c r="J461" s="9">
        <f t="shared" ref="J461:BE461" si="735" xml:space="preserve"> $F458 * $F459 - J460</f>
        <v>0</v>
      </c>
      <c r="K461" s="9">
        <f t="shared" si="735"/>
        <v>0</v>
      </c>
      <c r="L461" s="9">
        <f t="shared" si="735"/>
        <v>0</v>
      </c>
      <c r="M461" s="9">
        <f t="shared" si="735"/>
        <v>0</v>
      </c>
      <c r="N461" s="9">
        <f t="shared" si="735"/>
        <v>0</v>
      </c>
      <c r="O461" s="9">
        <f t="shared" si="735"/>
        <v>0</v>
      </c>
      <c r="P461" s="9">
        <f t="shared" si="735"/>
        <v>0</v>
      </c>
      <c r="Q461" s="9">
        <f t="shared" si="735"/>
        <v>0</v>
      </c>
      <c r="R461" s="9">
        <f t="shared" si="735"/>
        <v>0</v>
      </c>
      <c r="S461" s="9">
        <f t="shared" si="735"/>
        <v>0</v>
      </c>
      <c r="T461" s="9">
        <f t="shared" si="735"/>
        <v>0</v>
      </c>
      <c r="U461" s="9">
        <f t="shared" si="735"/>
        <v>0</v>
      </c>
      <c r="V461" s="9">
        <f t="shared" si="735"/>
        <v>0</v>
      </c>
      <c r="W461" s="9">
        <f t="shared" si="735"/>
        <v>0</v>
      </c>
      <c r="X461" s="9">
        <f t="shared" si="735"/>
        <v>0</v>
      </c>
      <c r="Y461" s="9">
        <f t="shared" si="735"/>
        <v>0</v>
      </c>
      <c r="Z461" s="9">
        <f t="shared" si="735"/>
        <v>0</v>
      </c>
      <c r="AA461" s="9">
        <f t="shared" si="735"/>
        <v>0</v>
      </c>
      <c r="AB461" s="9">
        <f t="shared" si="735"/>
        <v>0</v>
      </c>
      <c r="AC461" s="9">
        <f t="shared" si="735"/>
        <v>0</v>
      </c>
      <c r="AD461" s="9">
        <f t="shared" si="735"/>
        <v>0</v>
      </c>
      <c r="AE461" s="9">
        <f t="shared" si="735"/>
        <v>0</v>
      </c>
      <c r="AF461" s="9">
        <f t="shared" si="735"/>
        <v>0</v>
      </c>
      <c r="AG461" s="9">
        <f t="shared" si="735"/>
        <v>0</v>
      </c>
      <c r="AH461" s="9">
        <f t="shared" si="735"/>
        <v>0</v>
      </c>
      <c r="AI461" s="9">
        <f t="shared" si="735"/>
        <v>0</v>
      </c>
      <c r="AJ461" s="9">
        <f t="shared" si="735"/>
        <v>0</v>
      </c>
      <c r="AK461" s="9">
        <f t="shared" si="735"/>
        <v>0</v>
      </c>
      <c r="AL461" s="9">
        <f t="shared" si="735"/>
        <v>0</v>
      </c>
      <c r="AM461" s="9">
        <f t="shared" si="735"/>
        <v>0</v>
      </c>
      <c r="AN461" s="9">
        <f t="shared" si="735"/>
        <v>0</v>
      </c>
      <c r="AO461" s="9">
        <f t="shared" si="735"/>
        <v>0</v>
      </c>
      <c r="AP461" s="9">
        <f t="shared" si="735"/>
        <v>0</v>
      </c>
      <c r="AQ461" s="9">
        <f t="shared" si="735"/>
        <v>0</v>
      </c>
      <c r="AR461" s="9">
        <f t="shared" si="735"/>
        <v>0</v>
      </c>
      <c r="AS461" s="9">
        <f t="shared" si="735"/>
        <v>0</v>
      </c>
      <c r="AT461" s="9">
        <f t="shared" si="735"/>
        <v>0</v>
      </c>
      <c r="AU461" s="9">
        <f t="shared" si="735"/>
        <v>0</v>
      </c>
      <c r="AV461" s="9">
        <f t="shared" si="735"/>
        <v>0</v>
      </c>
      <c r="AW461" s="9">
        <f t="shared" si="735"/>
        <v>0</v>
      </c>
      <c r="AX461" s="9">
        <f t="shared" si="735"/>
        <v>0</v>
      </c>
      <c r="AY461" s="9">
        <f t="shared" si="735"/>
        <v>0</v>
      </c>
      <c r="AZ461" s="9">
        <f t="shared" si="735"/>
        <v>0</v>
      </c>
      <c r="BA461" s="9">
        <f t="shared" si="735"/>
        <v>0</v>
      </c>
      <c r="BB461" s="9">
        <f t="shared" si="735"/>
        <v>0</v>
      </c>
      <c r="BC461" s="9">
        <f t="shared" si="735"/>
        <v>0</v>
      </c>
      <c r="BD461" s="9">
        <f t="shared" si="735"/>
        <v>0</v>
      </c>
      <c r="BE461" s="9">
        <f t="shared" si="735"/>
        <v>0</v>
      </c>
    </row>
    <row r="462" spans="1:57" s="495" customFormat="1" hidden="1" outlineLevel="1" x14ac:dyDescent="0.2">
      <c r="A462" s="15"/>
      <c r="B462" s="15"/>
      <c r="C462" s="21"/>
      <c r="D462" s="4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</row>
    <row r="463" spans="1:57" s="495" customFormat="1" hidden="1" outlineLevel="1" x14ac:dyDescent="0.2">
      <c r="A463" s="15"/>
      <c r="B463" s="15"/>
      <c r="C463" s="21"/>
      <c r="D463" s="48"/>
      <c r="E463" s="453" t="str">
        <f xml:space="preserve"> InpC!E$171</f>
        <v>Senior debt - T1 - % of debt</v>
      </c>
      <c r="F463" s="453">
        <f xml:space="preserve"> InpC!F$171</f>
        <v>0.5</v>
      </c>
      <c r="G463" s="453" t="str">
        <f xml:space="preserve"> InpC!G$171</f>
        <v>%</v>
      </c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</row>
    <row r="464" spans="1:57" s="495" customFormat="1" hidden="1" outlineLevel="1" x14ac:dyDescent="0.2">
      <c r="A464" s="15"/>
      <c r="B464" s="15"/>
      <c r="C464" s="21"/>
      <c r="D464" s="48"/>
      <c r="E464" s="9" t="str">
        <f t="shared" ref="E464:AJ464" si="736" xml:space="preserve"> E$455</f>
        <v>Funding requirement for standby debt</v>
      </c>
      <c r="F464" s="9">
        <f t="shared" si="736"/>
        <v>0</v>
      </c>
      <c r="G464" s="9" t="str">
        <f t="shared" si="736"/>
        <v>$ 000s</v>
      </c>
      <c r="H464" s="9">
        <f t="shared" si="736"/>
        <v>86318.256815268396</v>
      </c>
      <c r="I464" s="9">
        <f t="shared" si="736"/>
        <v>0</v>
      </c>
      <c r="J464" s="9">
        <f t="shared" si="736"/>
        <v>0</v>
      </c>
      <c r="K464" s="9">
        <f t="shared" si="736"/>
        <v>0</v>
      </c>
      <c r="L464" s="9">
        <f t="shared" si="736"/>
        <v>0</v>
      </c>
      <c r="M464" s="9">
        <f t="shared" si="736"/>
        <v>14843.424770244494</v>
      </c>
      <c r="N464" s="9">
        <f t="shared" si="736"/>
        <v>11841.327808384644</v>
      </c>
      <c r="O464" s="9">
        <f t="shared" si="736"/>
        <v>11870.259742712651</v>
      </c>
      <c r="P464" s="9">
        <f t="shared" si="736"/>
        <v>11907.687320687248</v>
      </c>
      <c r="Q464" s="9">
        <f t="shared" si="736"/>
        <v>11941.012306690816</v>
      </c>
      <c r="R464" s="9">
        <f t="shared" si="736"/>
        <v>11966.998590891828</v>
      </c>
      <c r="S464" s="9">
        <f t="shared" si="736"/>
        <v>11947.542567249518</v>
      </c>
      <c r="T464" s="9">
        <f t="shared" si="736"/>
        <v>0</v>
      </c>
      <c r="U464" s="9">
        <f t="shared" si="736"/>
        <v>0</v>
      </c>
      <c r="V464" s="9">
        <f t="shared" si="736"/>
        <v>0</v>
      </c>
      <c r="W464" s="9">
        <f t="shared" si="736"/>
        <v>0</v>
      </c>
      <c r="X464" s="9">
        <f t="shared" si="736"/>
        <v>0</v>
      </c>
      <c r="Y464" s="9">
        <f t="shared" si="736"/>
        <v>0</v>
      </c>
      <c r="Z464" s="9">
        <f t="shared" si="736"/>
        <v>0</v>
      </c>
      <c r="AA464" s="9">
        <f t="shared" si="736"/>
        <v>0</v>
      </c>
      <c r="AB464" s="9">
        <f t="shared" si="736"/>
        <v>0</v>
      </c>
      <c r="AC464" s="9">
        <f t="shared" si="736"/>
        <v>0</v>
      </c>
      <c r="AD464" s="9">
        <f t="shared" si="736"/>
        <v>0</v>
      </c>
      <c r="AE464" s="9">
        <f t="shared" si="736"/>
        <v>0</v>
      </c>
      <c r="AF464" s="9">
        <f t="shared" si="736"/>
        <v>0</v>
      </c>
      <c r="AG464" s="9">
        <f t="shared" si="736"/>
        <v>0</v>
      </c>
      <c r="AH464" s="9">
        <f t="shared" si="736"/>
        <v>0</v>
      </c>
      <c r="AI464" s="9">
        <f t="shared" si="736"/>
        <v>0</v>
      </c>
      <c r="AJ464" s="9">
        <f t="shared" si="736"/>
        <v>0</v>
      </c>
      <c r="AK464" s="9">
        <f t="shared" ref="AK464:BE464" si="737" xml:space="preserve"> AK$455</f>
        <v>0</v>
      </c>
      <c r="AL464" s="9">
        <f t="shared" si="737"/>
        <v>0</v>
      </c>
      <c r="AM464" s="9">
        <f t="shared" si="737"/>
        <v>3.7084072027937509E-3</v>
      </c>
      <c r="AN464" s="9">
        <f t="shared" si="737"/>
        <v>0</v>
      </c>
      <c r="AO464" s="9">
        <f t="shared" si="737"/>
        <v>0</v>
      </c>
      <c r="AP464" s="9">
        <f t="shared" si="737"/>
        <v>0</v>
      </c>
      <c r="AQ464" s="9">
        <f t="shared" si="737"/>
        <v>0</v>
      </c>
      <c r="AR464" s="9">
        <f t="shared" si="737"/>
        <v>0</v>
      </c>
      <c r="AS464" s="9">
        <f t="shared" si="737"/>
        <v>0</v>
      </c>
      <c r="AT464" s="9">
        <f t="shared" si="737"/>
        <v>0</v>
      </c>
      <c r="AU464" s="9">
        <f t="shared" si="737"/>
        <v>0</v>
      </c>
      <c r="AV464" s="9">
        <f t="shared" si="737"/>
        <v>0</v>
      </c>
      <c r="AW464" s="9">
        <f t="shared" si="737"/>
        <v>0</v>
      </c>
      <c r="AX464" s="9">
        <f t="shared" si="737"/>
        <v>0</v>
      </c>
      <c r="AY464" s="9">
        <f t="shared" si="737"/>
        <v>0</v>
      </c>
      <c r="AZ464" s="9">
        <f t="shared" si="737"/>
        <v>0</v>
      </c>
      <c r="BA464" s="9">
        <f t="shared" si="737"/>
        <v>0</v>
      </c>
      <c r="BB464" s="9">
        <f t="shared" si="737"/>
        <v>0</v>
      </c>
      <c r="BC464" s="9">
        <f t="shared" si="737"/>
        <v>0</v>
      </c>
      <c r="BD464" s="9">
        <f t="shared" si="737"/>
        <v>0</v>
      </c>
      <c r="BE464" s="9">
        <f t="shared" si="737"/>
        <v>0</v>
      </c>
    </row>
    <row r="465" spans="1:57" s="495" customFormat="1" hidden="1" outlineLevel="1" x14ac:dyDescent="0.2">
      <c r="A465" s="15"/>
      <c r="B465" s="15"/>
      <c r="C465" s="21"/>
      <c r="D465" s="48"/>
      <c r="E465" s="9" t="s">
        <v>1047</v>
      </c>
      <c r="F465" s="9"/>
      <c r="G465" s="9" t="str">
        <f xml:space="preserve"> SMU</f>
        <v>$ 000s</v>
      </c>
      <c r="H465" s="9">
        <f xml:space="preserve"> SUM(J465:BE465)</f>
        <v>43159.128407634198</v>
      </c>
      <c r="I465" s="9"/>
      <c r="J465" s="9">
        <f t="shared" ref="J465:BE465" si="738" xml:space="preserve"> $F463 * J464</f>
        <v>0</v>
      </c>
      <c r="K465" s="9">
        <f t="shared" si="738"/>
        <v>0</v>
      </c>
      <c r="L465" s="9">
        <f t="shared" si="738"/>
        <v>0</v>
      </c>
      <c r="M465" s="9">
        <f t="shared" si="738"/>
        <v>7421.7123851222468</v>
      </c>
      <c r="N465" s="9">
        <f t="shared" si="738"/>
        <v>5920.6639041923218</v>
      </c>
      <c r="O465" s="9">
        <f t="shared" si="738"/>
        <v>5935.1298713563256</v>
      </c>
      <c r="P465" s="9">
        <f t="shared" si="738"/>
        <v>5953.8436603436239</v>
      </c>
      <c r="Q465" s="9">
        <f t="shared" si="738"/>
        <v>5970.5061533454082</v>
      </c>
      <c r="R465" s="9">
        <f t="shared" si="738"/>
        <v>5983.499295445914</v>
      </c>
      <c r="S465" s="9">
        <f t="shared" si="738"/>
        <v>5973.7712836247592</v>
      </c>
      <c r="T465" s="9">
        <f t="shared" si="738"/>
        <v>0</v>
      </c>
      <c r="U465" s="9">
        <f t="shared" si="738"/>
        <v>0</v>
      </c>
      <c r="V465" s="9">
        <f t="shared" si="738"/>
        <v>0</v>
      </c>
      <c r="W465" s="9">
        <f t="shared" si="738"/>
        <v>0</v>
      </c>
      <c r="X465" s="9">
        <f t="shared" si="738"/>
        <v>0</v>
      </c>
      <c r="Y465" s="9">
        <f t="shared" si="738"/>
        <v>0</v>
      </c>
      <c r="Z465" s="9">
        <f t="shared" si="738"/>
        <v>0</v>
      </c>
      <c r="AA465" s="9">
        <f t="shared" si="738"/>
        <v>0</v>
      </c>
      <c r="AB465" s="9">
        <f t="shared" si="738"/>
        <v>0</v>
      </c>
      <c r="AC465" s="9">
        <f t="shared" si="738"/>
        <v>0</v>
      </c>
      <c r="AD465" s="9">
        <f t="shared" si="738"/>
        <v>0</v>
      </c>
      <c r="AE465" s="9">
        <f t="shared" si="738"/>
        <v>0</v>
      </c>
      <c r="AF465" s="9">
        <f t="shared" si="738"/>
        <v>0</v>
      </c>
      <c r="AG465" s="9">
        <f t="shared" si="738"/>
        <v>0</v>
      </c>
      <c r="AH465" s="9">
        <f t="shared" si="738"/>
        <v>0</v>
      </c>
      <c r="AI465" s="9">
        <f t="shared" si="738"/>
        <v>0</v>
      </c>
      <c r="AJ465" s="9">
        <f t="shared" si="738"/>
        <v>0</v>
      </c>
      <c r="AK465" s="9">
        <f t="shared" si="738"/>
        <v>0</v>
      </c>
      <c r="AL465" s="9">
        <f t="shared" si="738"/>
        <v>0</v>
      </c>
      <c r="AM465" s="9">
        <f t="shared" si="738"/>
        <v>1.8542036013968755E-3</v>
      </c>
      <c r="AN465" s="9">
        <f t="shared" si="738"/>
        <v>0</v>
      </c>
      <c r="AO465" s="9">
        <f t="shared" si="738"/>
        <v>0</v>
      </c>
      <c r="AP465" s="9">
        <f t="shared" si="738"/>
        <v>0</v>
      </c>
      <c r="AQ465" s="9">
        <f t="shared" si="738"/>
        <v>0</v>
      </c>
      <c r="AR465" s="9">
        <f t="shared" si="738"/>
        <v>0</v>
      </c>
      <c r="AS465" s="9">
        <f t="shared" si="738"/>
        <v>0</v>
      </c>
      <c r="AT465" s="9">
        <f t="shared" si="738"/>
        <v>0</v>
      </c>
      <c r="AU465" s="9">
        <f t="shared" si="738"/>
        <v>0</v>
      </c>
      <c r="AV465" s="9">
        <f t="shared" si="738"/>
        <v>0</v>
      </c>
      <c r="AW465" s="9">
        <f t="shared" si="738"/>
        <v>0</v>
      </c>
      <c r="AX465" s="9">
        <f t="shared" si="738"/>
        <v>0</v>
      </c>
      <c r="AY465" s="9">
        <f t="shared" si="738"/>
        <v>0</v>
      </c>
      <c r="AZ465" s="9">
        <f t="shared" si="738"/>
        <v>0</v>
      </c>
      <c r="BA465" s="9">
        <f t="shared" si="738"/>
        <v>0</v>
      </c>
      <c r="BB465" s="9">
        <f t="shared" si="738"/>
        <v>0</v>
      </c>
      <c r="BC465" s="9">
        <f t="shared" si="738"/>
        <v>0</v>
      </c>
      <c r="BD465" s="9">
        <f t="shared" si="738"/>
        <v>0</v>
      </c>
      <c r="BE465" s="9">
        <f t="shared" si="738"/>
        <v>0</v>
      </c>
    </row>
    <row r="466" spans="1:57" s="495" customFormat="1" hidden="1" outlineLevel="1" x14ac:dyDescent="0.2">
      <c r="A466" s="15"/>
      <c r="B466" s="15"/>
      <c r="C466" s="21"/>
      <c r="D466" s="4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</row>
    <row r="467" spans="1:57" s="495" customFormat="1" hidden="1" outlineLevel="1" x14ac:dyDescent="0.2">
      <c r="A467" s="15"/>
      <c r="B467" s="15"/>
      <c r="C467" s="21"/>
      <c r="D467" s="48"/>
      <c r="E467" s="9" t="str">
        <f t="shared" ref="E467:AJ467" si="739" xml:space="preserve"> E$465</f>
        <v>Funding requirement for standby debt - T1</v>
      </c>
      <c r="F467" s="9">
        <f t="shared" si="739"/>
        <v>0</v>
      </c>
      <c r="G467" s="9" t="str">
        <f t="shared" si="739"/>
        <v>$ 000s</v>
      </c>
      <c r="H467" s="9">
        <f t="shared" si="739"/>
        <v>43159.128407634198</v>
      </c>
      <c r="I467" s="9">
        <f t="shared" si="739"/>
        <v>0</v>
      </c>
      <c r="J467" s="9">
        <f t="shared" si="739"/>
        <v>0</v>
      </c>
      <c r="K467" s="9">
        <f t="shared" si="739"/>
        <v>0</v>
      </c>
      <c r="L467" s="9">
        <f t="shared" si="739"/>
        <v>0</v>
      </c>
      <c r="M467" s="9">
        <f t="shared" si="739"/>
        <v>7421.7123851222468</v>
      </c>
      <c r="N467" s="9">
        <f t="shared" si="739"/>
        <v>5920.6639041923218</v>
      </c>
      <c r="O467" s="9">
        <f t="shared" si="739"/>
        <v>5935.1298713563256</v>
      </c>
      <c r="P467" s="9">
        <f t="shared" si="739"/>
        <v>5953.8436603436239</v>
      </c>
      <c r="Q467" s="9">
        <f t="shared" si="739"/>
        <v>5970.5061533454082</v>
      </c>
      <c r="R467" s="9">
        <f t="shared" si="739"/>
        <v>5983.499295445914</v>
      </c>
      <c r="S467" s="9">
        <f t="shared" si="739"/>
        <v>5973.7712836247592</v>
      </c>
      <c r="T467" s="9">
        <f t="shared" si="739"/>
        <v>0</v>
      </c>
      <c r="U467" s="9">
        <f t="shared" si="739"/>
        <v>0</v>
      </c>
      <c r="V467" s="9">
        <f t="shared" si="739"/>
        <v>0</v>
      </c>
      <c r="W467" s="9">
        <f t="shared" si="739"/>
        <v>0</v>
      </c>
      <c r="X467" s="9">
        <f t="shared" si="739"/>
        <v>0</v>
      </c>
      <c r="Y467" s="9">
        <f t="shared" si="739"/>
        <v>0</v>
      </c>
      <c r="Z467" s="9">
        <f t="shared" si="739"/>
        <v>0</v>
      </c>
      <c r="AA467" s="9">
        <f t="shared" si="739"/>
        <v>0</v>
      </c>
      <c r="AB467" s="9">
        <f t="shared" si="739"/>
        <v>0</v>
      </c>
      <c r="AC467" s="9">
        <f t="shared" si="739"/>
        <v>0</v>
      </c>
      <c r="AD467" s="9">
        <f t="shared" si="739"/>
        <v>0</v>
      </c>
      <c r="AE467" s="9">
        <f t="shared" si="739"/>
        <v>0</v>
      </c>
      <c r="AF467" s="9">
        <f t="shared" si="739"/>
        <v>0</v>
      </c>
      <c r="AG467" s="9">
        <f t="shared" si="739"/>
        <v>0</v>
      </c>
      <c r="AH467" s="9">
        <f t="shared" si="739"/>
        <v>0</v>
      </c>
      <c r="AI467" s="9">
        <f t="shared" si="739"/>
        <v>0</v>
      </c>
      <c r="AJ467" s="9">
        <f t="shared" si="739"/>
        <v>0</v>
      </c>
      <c r="AK467" s="9">
        <f t="shared" ref="AK467:BE467" si="740" xml:space="preserve"> AK$465</f>
        <v>0</v>
      </c>
      <c r="AL467" s="9">
        <f t="shared" si="740"/>
        <v>0</v>
      </c>
      <c r="AM467" s="9">
        <f t="shared" si="740"/>
        <v>1.8542036013968755E-3</v>
      </c>
      <c r="AN467" s="9">
        <f t="shared" si="740"/>
        <v>0</v>
      </c>
      <c r="AO467" s="9">
        <f t="shared" si="740"/>
        <v>0</v>
      </c>
      <c r="AP467" s="9">
        <f t="shared" si="740"/>
        <v>0</v>
      </c>
      <c r="AQ467" s="9">
        <f t="shared" si="740"/>
        <v>0</v>
      </c>
      <c r="AR467" s="9">
        <f t="shared" si="740"/>
        <v>0</v>
      </c>
      <c r="AS467" s="9">
        <f t="shared" si="740"/>
        <v>0</v>
      </c>
      <c r="AT467" s="9">
        <f t="shared" si="740"/>
        <v>0</v>
      </c>
      <c r="AU467" s="9">
        <f t="shared" si="740"/>
        <v>0</v>
      </c>
      <c r="AV467" s="9">
        <f t="shared" si="740"/>
        <v>0</v>
      </c>
      <c r="AW467" s="9">
        <f t="shared" si="740"/>
        <v>0</v>
      </c>
      <c r="AX467" s="9">
        <f t="shared" si="740"/>
        <v>0</v>
      </c>
      <c r="AY467" s="9">
        <f t="shared" si="740"/>
        <v>0</v>
      </c>
      <c r="AZ467" s="9">
        <f t="shared" si="740"/>
        <v>0</v>
      </c>
      <c r="BA467" s="9">
        <f t="shared" si="740"/>
        <v>0</v>
      </c>
      <c r="BB467" s="9">
        <f t="shared" si="740"/>
        <v>0</v>
      </c>
      <c r="BC467" s="9">
        <f t="shared" si="740"/>
        <v>0</v>
      </c>
      <c r="BD467" s="9">
        <f t="shared" si="740"/>
        <v>0</v>
      </c>
      <c r="BE467" s="9">
        <f t="shared" si="740"/>
        <v>0</v>
      </c>
    </row>
    <row r="468" spans="1:57" s="495" customFormat="1" hidden="1" outlineLevel="1" x14ac:dyDescent="0.2">
      <c r="A468" s="15"/>
      <c r="B468" s="15"/>
      <c r="C468" s="21"/>
      <c r="D468" s="48"/>
      <c r="E468" s="9" t="str">
        <f t="shared" ref="E468:AJ468" si="741" xml:space="preserve"> E$461</f>
        <v>Undrawn standby debt - T1</v>
      </c>
      <c r="F468" s="9">
        <f t="shared" si="741"/>
        <v>0</v>
      </c>
      <c r="G468" s="9" t="str">
        <f t="shared" si="741"/>
        <v>$ 000s</v>
      </c>
      <c r="H468" s="9">
        <f t="shared" si="741"/>
        <v>0</v>
      </c>
      <c r="I468" s="9">
        <f t="shared" si="741"/>
        <v>0</v>
      </c>
      <c r="J468" s="9">
        <f t="shared" si="741"/>
        <v>0</v>
      </c>
      <c r="K468" s="9">
        <f t="shared" si="741"/>
        <v>0</v>
      </c>
      <c r="L468" s="9">
        <f t="shared" si="741"/>
        <v>0</v>
      </c>
      <c r="M468" s="9">
        <f t="shared" si="741"/>
        <v>0</v>
      </c>
      <c r="N468" s="9">
        <f t="shared" si="741"/>
        <v>0</v>
      </c>
      <c r="O468" s="9">
        <f t="shared" si="741"/>
        <v>0</v>
      </c>
      <c r="P468" s="9">
        <f t="shared" si="741"/>
        <v>0</v>
      </c>
      <c r="Q468" s="9">
        <f t="shared" si="741"/>
        <v>0</v>
      </c>
      <c r="R468" s="9">
        <f t="shared" si="741"/>
        <v>0</v>
      </c>
      <c r="S468" s="9">
        <f t="shared" si="741"/>
        <v>0</v>
      </c>
      <c r="T468" s="9">
        <f t="shared" si="741"/>
        <v>0</v>
      </c>
      <c r="U468" s="9">
        <f t="shared" si="741"/>
        <v>0</v>
      </c>
      <c r="V468" s="9">
        <f t="shared" si="741"/>
        <v>0</v>
      </c>
      <c r="W468" s="9">
        <f t="shared" si="741"/>
        <v>0</v>
      </c>
      <c r="X468" s="9">
        <f t="shared" si="741"/>
        <v>0</v>
      </c>
      <c r="Y468" s="9">
        <f t="shared" si="741"/>
        <v>0</v>
      </c>
      <c r="Z468" s="9">
        <f t="shared" si="741"/>
        <v>0</v>
      </c>
      <c r="AA468" s="9">
        <f t="shared" si="741"/>
        <v>0</v>
      </c>
      <c r="AB468" s="9">
        <f t="shared" si="741"/>
        <v>0</v>
      </c>
      <c r="AC468" s="9">
        <f t="shared" si="741"/>
        <v>0</v>
      </c>
      <c r="AD468" s="9">
        <f t="shared" si="741"/>
        <v>0</v>
      </c>
      <c r="AE468" s="9">
        <f t="shared" si="741"/>
        <v>0</v>
      </c>
      <c r="AF468" s="9">
        <f t="shared" si="741"/>
        <v>0</v>
      </c>
      <c r="AG468" s="9">
        <f t="shared" si="741"/>
        <v>0</v>
      </c>
      <c r="AH468" s="9">
        <f t="shared" si="741"/>
        <v>0</v>
      </c>
      <c r="AI468" s="9">
        <f t="shared" si="741"/>
        <v>0</v>
      </c>
      <c r="AJ468" s="9">
        <f t="shared" si="741"/>
        <v>0</v>
      </c>
      <c r="AK468" s="9">
        <f t="shared" ref="AK468:BE468" si="742" xml:space="preserve"> AK$461</f>
        <v>0</v>
      </c>
      <c r="AL468" s="9">
        <f t="shared" si="742"/>
        <v>0</v>
      </c>
      <c r="AM468" s="9">
        <f t="shared" si="742"/>
        <v>0</v>
      </c>
      <c r="AN468" s="9">
        <f t="shared" si="742"/>
        <v>0</v>
      </c>
      <c r="AO468" s="9">
        <f t="shared" si="742"/>
        <v>0</v>
      </c>
      <c r="AP468" s="9">
        <f t="shared" si="742"/>
        <v>0</v>
      </c>
      <c r="AQ468" s="9">
        <f t="shared" si="742"/>
        <v>0</v>
      </c>
      <c r="AR468" s="9">
        <f t="shared" si="742"/>
        <v>0</v>
      </c>
      <c r="AS468" s="9">
        <f t="shared" si="742"/>
        <v>0</v>
      </c>
      <c r="AT468" s="9">
        <f t="shared" si="742"/>
        <v>0</v>
      </c>
      <c r="AU468" s="9">
        <f t="shared" si="742"/>
        <v>0</v>
      </c>
      <c r="AV468" s="9">
        <f t="shared" si="742"/>
        <v>0</v>
      </c>
      <c r="AW468" s="9">
        <f t="shared" si="742"/>
        <v>0</v>
      </c>
      <c r="AX468" s="9">
        <f t="shared" si="742"/>
        <v>0</v>
      </c>
      <c r="AY468" s="9">
        <f t="shared" si="742"/>
        <v>0</v>
      </c>
      <c r="AZ468" s="9">
        <f t="shared" si="742"/>
        <v>0</v>
      </c>
      <c r="BA468" s="9">
        <f t="shared" si="742"/>
        <v>0</v>
      </c>
      <c r="BB468" s="9">
        <f t="shared" si="742"/>
        <v>0</v>
      </c>
      <c r="BC468" s="9">
        <f t="shared" si="742"/>
        <v>0</v>
      </c>
      <c r="BD468" s="9">
        <f t="shared" si="742"/>
        <v>0</v>
      </c>
      <c r="BE468" s="9">
        <f t="shared" si="742"/>
        <v>0</v>
      </c>
    </row>
    <row r="469" spans="1:57" s="191" customFormat="1" hidden="1" outlineLevel="1" x14ac:dyDescent="0.2">
      <c r="A469" s="700"/>
      <c r="B469" s="700"/>
      <c r="C469" s="701"/>
      <c r="D469" s="702"/>
      <c r="E469" s="666" t="s">
        <v>1044</v>
      </c>
      <c r="F469" s="666"/>
      <c r="G469" s="666" t="str">
        <f xml:space="preserve"> SMU</f>
        <v>$ 000s</v>
      </c>
      <c r="H469" s="666">
        <f xml:space="preserve"> SUM(J469:BE469)</f>
        <v>0</v>
      </c>
      <c r="I469" s="703"/>
      <c r="J469" s="666">
        <f t="shared" ref="J469:BE469" si="743" xml:space="preserve"> MIN(J468, J467)</f>
        <v>0</v>
      </c>
      <c r="K469" s="666">
        <f t="shared" si="743"/>
        <v>0</v>
      </c>
      <c r="L469" s="666">
        <f t="shared" si="743"/>
        <v>0</v>
      </c>
      <c r="M469" s="666">
        <f t="shared" si="743"/>
        <v>0</v>
      </c>
      <c r="N469" s="666">
        <f t="shared" si="743"/>
        <v>0</v>
      </c>
      <c r="O469" s="666">
        <f t="shared" si="743"/>
        <v>0</v>
      </c>
      <c r="P469" s="666">
        <f t="shared" si="743"/>
        <v>0</v>
      </c>
      <c r="Q469" s="666">
        <f t="shared" si="743"/>
        <v>0</v>
      </c>
      <c r="R469" s="666">
        <f t="shared" si="743"/>
        <v>0</v>
      </c>
      <c r="S469" s="666">
        <f t="shared" si="743"/>
        <v>0</v>
      </c>
      <c r="T469" s="666">
        <f t="shared" si="743"/>
        <v>0</v>
      </c>
      <c r="U469" s="666">
        <f t="shared" si="743"/>
        <v>0</v>
      </c>
      <c r="V469" s="666">
        <f t="shared" si="743"/>
        <v>0</v>
      </c>
      <c r="W469" s="666">
        <f t="shared" si="743"/>
        <v>0</v>
      </c>
      <c r="X469" s="666">
        <f t="shared" si="743"/>
        <v>0</v>
      </c>
      <c r="Y469" s="666">
        <f t="shared" si="743"/>
        <v>0</v>
      </c>
      <c r="Z469" s="666">
        <f t="shared" si="743"/>
        <v>0</v>
      </c>
      <c r="AA469" s="666">
        <f t="shared" si="743"/>
        <v>0</v>
      </c>
      <c r="AB469" s="666">
        <f t="shared" si="743"/>
        <v>0</v>
      </c>
      <c r="AC469" s="666">
        <f t="shared" si="743"/>
        <v>0</v>
      </c>
      <c r="AD469" s="666">
        <f t="shared" si="743"/>
        <v>0</v>
      </c>
      <c r="AE469" s="666">
        <f t="shared" si="743"/>
        <v>0</v>
      </c>
      <c r="AF469" s="666">
        <f t="shared" si="743"/>
        <v>0</v>
      </c>
      <c r="AG469" s="666">
        <f t="shared" si="743"/>
        <v>0</v>
      </c>
      <c r="AH469" s="666">
        <f t="shared" si="743"/>
        <v>0</v>
      </c>
      <c r="AI469" s="666">
        <f t="shared" si="743"/>
        <v>0</v>
      </c>
      <c r="AJ469" s="666">
        <f t="shared" si="743"/>
        <v>0</v>
      </c>
      <c r="AK469" s="666">
        <f t="shared" si="743"/>
        <v>0</v>
      </c>
      <c r="AL469" s="666">
        <f t="shared" si="743"/>
        <v>0</v>
      </c>
      <c r="AM469" s="666">
        <f t="shared" si="743"/>
        <v>0</v>
      </c>
      <c r="AN469" s="666">
        <f t="shared" si="743"/>
        <v>0</v>
      </c>
      <c r="AO469" s="666">
        <f t="shared" si="743"/>
        <v>0</v>
      </c>
      <c r="AP469" s="666">
        <f t="shared" si="743"/>
        <v>0</v>
      </c>
      <c r="AQ469" s="666">
        <f t="shared" si="743"/>
        <v>0</v>
      </c>
      <c r="AR469" s="666">
        <f t="shared" si="743"/>
        <v>0</v>
      </c>
      <c r="AS469" s="666">
        <f t="shared" si="743"/>
        <v>0</v>
      </c>
      <c r="AT469" s="666">
        <f t="shared" si="743"/>
        <v>0</v>
      </c>
      <c r="AU469" s="666">
        <f t="shared" si="743"/>
        <v>0</v>
      </c>
      <c r="AV469" s="666">
        <f t="shared" si="743"/>
        <v>0</v>
      </c>
      <c r="AW469" s="666">
        <f t="shared" si="743"/>
        <v>0</v>
      </c>
      <c r="AX469" s="666">
        <f t="shared" si="743"/>
        <v>0</v>
      </c>
      <c r="AY469" s="666">
        <f t="shared" si="743"/>
        <v>0</v>
      </c>
      <c r="AZ469" s="666">
        <f t="shared" si="743"/>
        <v>0</v>
      </c>
      <c r="BA469" s="666">
        <f t="shared" si="743"/>
        <v>0</v>
      </c>
      <c r="BB469" s="666">
        <f t="shared" si="743"/>
        <v>0</v>
      </c>
      <c r="BC469" s="666">
        <f t="shared" si="743"/>
        <v>0</v>
      </c>
      <c r="BD469" s="666">
        <f t="shared" si="743"/>
        <v>0</v>
      </c>
      <c r="BE469" s="666">
        <f t="shared" si="743"/>
        <v>0</v>
      </c>
    </row>
    <row r="470" spans="1:57" s="188" customFormat="1" hidden="1" outlineLevel="1" x14ac:dyDescent="0.2">
      <c r="A470" s="527"/>
      <c r="B470" s="527"/>
      <c r="C470" s="528"/>
      <c r="D470" s="529"/>
      <c r="E470" s="530" t="s">
        <v>1045</v>
      </c>
      <c r="F470" s="530">
        <f xml:space="preserve"> SUM(J469:BE469)</f>
        <v>0</v>
      </c>
      <c r="G470" s="530" t="str">
        <f xml:space="preserve"> SMU</f>
        <v>$ 000s</v>
      </c>
      <c r="H470" s="689"/>
      <c r="I470" s="531"/>
      <c r="J470" s="530"/>
      <c r="K470" s="530"/>
      <c r="L470" s="530"/>
      <c r="M470" s="530"/>
      <c r="N470" s="530"/>
      <c r="O470" s="530"/>
      <c r="P470" s="530"/>
      <c r="Q470" s="530"/>
      <c r="R470" s="530"/>
      <c r="S470" s="530"/>
      <c r="T470" s="530"/>
      <c r="U470" s="530"/>
      <c r="V470" s="530"/>
      <c r="W470" s="530"/>
      <c r="X470" s="530"/>
      <c r="Y470" s="530"/>
      <c r="Z470" s="530"/>
      <c r="AA470" s="530"/>
      <c r="AB470" s="530"/>
      <c r="AC470" s="530"/>
      <c r="AD470" s="530"/>
      <c r="AE470" s="530"/>
      <c r="AF470" s="530"/>
      <c r="AG470" s="530"/>
      <c r="AH470" s="530"/>
      <c r="AI470" s="530"/>
      <c r="AJ470" s="530"/>
      <c r="AK470" s="530"/>
      <c r="AL470" s="530"/>
      <c r="AM470" s="530"/>
      <c r="AN470" s="530"/>
      <c r="AO470" s="530"/>
      <c r="AP470" s="530"/>
      <c r="AQ470" s="530"/>
      <c r="AR470" s="530"/>
      <c r="AS470" s="530"/>
      <c r="AT470" s="530"/>
      <c r="AU470" s="530"/>
      <c r="AV470" s="530"/>
      <c r="AW470" s="530"/>
      <c r="AX470" s="530"/>
      <c r="AY470" s="530"/>
      <c r="AZ470" s="530"/>
      <c r="BA470" s="530"/>
      <c r="BB470" s="530"/>
      <c r="BC470" s="530"/>
      <c r="BD470" s="530"/>
      <c r="BE470" s="530"/>
    </row>
    <row r="471" spans="1:57" s="495" customFormat="1" hidden="1" outlineLevel="1" x14ac:dyDescent="0.2">
      <c r="A471" s="15"/>
      <c r="B471" s="15"/>
      <c r="C471" s="21"/>
      <c r="D471" s="4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</row>
    <row r="472" spans="1:57" hidden="1" outlineLevel="1" x14ac:dyDescent="0.2">
      <c r="A472" s="522"/>
      <c r="B472" s="522"/>
      <c r="C472" s="523"/>
      <c r="D472" s="524"/>
      <c r="E472" s="690" t="s">
        <v>1042</v>
      </c>
      <c r="F472" s="690"/>
      <c r="G472" s="690" t="str">
        <f xml:space="preserve"> SMU</f>
        <v>$ 000s</v>
      </c>
      <c r="H472" s="690"/>
      <c r="I472" s="691"/>
      <c r="J472" s="690">
        <f t="shared" ref="J472:BE472" si="744" xml:space="preserve"> I475</f>
        <v>0</v>
      </c>
      <c r="K472" s="690">
        <f t="shared" si="744"/>
        <v>0</v>
      </c>
      <c r="L472" s="690">
        <f t="shared" si="744"/>
        <v>0</v>
      </c>
      <c r="M472" s="690">
        <f t="shared" si="744"/>
        <v>0</v>
      </c>
      <c r="N472" s="690">
        <f t="shared" si="744"/>
        <v>0</v>
      </c>
      <c r="O472" s="690">
        <f t="shared" si="744"/>
        <v>0</v>
      </c>
      <c r="P472" s="690">
        <f t="shared" si="744"/>
        <v>0</v>
      </c>
      <c r="Q472" s="690">
        <f t="shared" si="744"/>
        <v>0</v>
      </c>
      <c r="R472" s="690">
        <f t="shared" si="744"/>
        <v>0</v>
      </c>
      <c r="S472" s="690">
        <f t="shared" si="744"/>
        <v>0</v>
      </c>
      <c r="T472" s="690">
        <f t="shared" si="744"/>
        <v>0</v>
      </c>
      <c r="U472" s="690">
        <f t="shared" si="744"/>
        <v>0</v>
      </c>
      <c r="V472" s="690">
        <f t="shared" si="744"/>
        <v>0</v>
      </c>
      <c r="W472" s="690">
        <f t="shared" si="744"/>
        <v>0</v>
      </c>
      <c r="X472" s="690">
        <f t="shared" si="744"/>
        <v>0</v>
      </c>
      <c r="Y472" s="690">
        <f t="shared" si="744"/>
        <v>0</v>
      </c>
      <c r="Z472" s="690">
        <f t="shared" si="744"/>
        <v>0</v>
      </c>
      <c r="AA472" s="690">
        <f t="shared" si="744"/>
        <v>0</v>
      </c>
      <c r="AB472" s="690">
        <f t="shared" si="744"/>
        <v>0</v>
      </c>
      <c r="AC472" s="690">
        <f t="shared" si="744"/>
        <v>0</v>
      </c>
      <c r="AD472" s="690">
        <f t="shared" si="744"/>
        <v>0</v>
      </c>
      <c r="AE472" s="690">
        <f t="shared" si="744"/>
        <v>0</v>
      </c>
      <c r="AF472" s="690">
        <f t="shared" si="744"/>
        <v>0</v>
      </c>
      <c r="AG472" s="690">
        <f t="shared" si="744"/>
        <v>0</v>
      </c>
      <c r="AH472" s="690">
        <f t="shared" si="744"/>
        <v>0</v>
      </c>
      <c r="AI472" s="690">
        <f t="shared" si="744"/>
        <v>0</v>
      </c>
      <c r="AJ472" s="690">
        <f t="shared" si="744"/>
        <v>0</v>
      </c>
      <c r="AK472" s="690">
        <f t="shared" si="744"/>
        <v>0</v>
      </c>
      <c r="AL472" s="690">
        <f t="shared" si="744"/>
        <v>0</v>
      </c>
      <c r="AM472" s="690">
        <f t="shared" si="744"/>
        <v>0</v>
      </c>
      <c r="AN472" s="690">
        <f t="shared" si="744"/>
        <v>0</v>
      </c>
      <c r="AO472" s="690">
        <f t="shared" si="744"/>
        <v>0</v>
      </c>
      <c r="AP472" s="690">
        <f t="shared" si="744"/>
        <v>0</v>
      </c>
      <c r="AQ472" s="690">
        <f t="shared" si="744"/>
        <v>0</v>
      </c>
      <c r="AR472" s="690">
        <f t="shared" si="744"/>
        <v>0</v>
      </c>
      <c r="AS472" s="690">
        <f t="shared" si="744"/>
        <v>0</v>
      </c>
      <c r="AT472" s="690">
        <f t="shared" si="744"/>
        <v>0</v>
      </c>
      <c r="AU472" s="690">
        <f t="shared" si="744"/>
        <v>0</v>
      </c>
      <c r="AV472" s="690">
        <f t="shared" si="744"/>
        <v>0</v>
      </c>
      <c r="AW472" s="690">
        <f t="shared" si="744"/>
        <v>0</v>
      </c>
      <c r="AX472" s="690">
        <f t="shared" si="744"/>
        <v>0</v>
      </c>
      <c r="AY472" s="690">
        <f t="shared" si="744"/>
        <v>0</v>
      </c>
      <c r="AZ472" s="690">
        <f t="shared" si="744"/>
        <v>0</v>
      </c>
      <c r="BA472" s="690">
        <f t="shared" si="744"/>
        <v>0</v>
      </c>
      <c r="BB472" s="690">
        <f t="shared" si="744"/>
        <v>0</v>
      </c>
      <c r="BC472" s="690">
        <f t="shared" si="744"/>
        <v>0</v>
      </c>
      <c r="BD472" s="690">
        <f t="shared" si="744"/>
        <v>0</v>
      </c>
      <c r="BE472" s="690">
        <f t="shared" si="744"/>
        <v>0</v>
      </c>
    </row>
    <row r="473" spans="1:57" s="495" customFormat="1" hidden="1" outlineLevel="1" x14ac:dyDescent="0.2">
      <c r="A473" s="522"/>
      <c r="B473" s="522"/>
      <c r="C473" s="523"/>
      <c r="D473" s="524"/>
      <c r="E473" s="663" t="str">
        <f t="shared" ref="E473:AJ473" si="745" xml:space="preserve"> E$469</f>
        <v>Standby debt - T1 drawdown - m</v>
      </c>
      <c r="F473" s="663">
        <f t="shared" si="745"/>
        <v>0</v>
      </c>
      <c r="G473" s="663" t="str">
        <f t="shared" si="745"/>
        <v>$ 000s</v>
      </c>
      <c r="H473" s="663">
        <f t="shared" si="745"/>
        <v>0</v>
      </c>
      <c r="I473" s="663">
        <f t="shared" si="745"/>
        <v>0</v>
      </c>
      <c r="J473" s="663">
        <f t="shared" si="745"/>
        <v>0</v>
      </c>
      <c r="K473" s="663">
        <f t="shared" si="745"/>
        <v>0</v>
      </c>
      <c r="L473" s="663">
        <f t="shared" si="745"/>
        <v>0</v>
      </c>
      <c r="M473" s="663">
        <f t="shared" si="745"/>
        <v>0</v>
      </c>
      <c r="N473" s="663">
        <f t="shared" si="745"/>
        <v>0</v>
      </c>
      <c r="O473" s="663">
        <f t="shared" si="745"/>
        <v>0</v>
      </c>
      <c r="P473" s="663">
        <f t="shared" si="745"/>
        <v>0</v>
      </c>
      <c r="Q473" s="663">
        <f t="shared" si="745"/>
        <v>0</v>
      </c>
      <c r="R473" s="663">
        <f t="shared" si="745"/>
        <v>0</v>
      </c>
      <c r="S473" s="663">
        <f t="shared" si="745"/>
        <v>0</v>
      </c>
      <c r="T473" s="663">
        <f t="shared" si="745"/>
        <v>0</v>
      </c>
      <c r="U473" s="663">
        <f t="shared" si="745"/>
        <v>0</v>
      </c>
      <c r="V473" s="663">
        <f t="shared" si="745"/>
        <v>0</v>
      </c>
      <c r="W473" s="663">
        <f t="shared" si="745"/>
        <v>0</v>
      </c>
      <c r="X473" s="663">
        <f t="shared" si="745"/>
        <v>0</v>
      </c>
      <c r="Y473" s="663">
        <f t="shared" si="745"/>
        <v>0</v>
      </c>
      <c r="Z473" s="663">
        <f t="shared" si="745"/>
        <v>0</v>
      </c>
      <c r="AA473" s="663">
        <f t="shared" si="745"/>
        <v>0</v>
      </c>
      <c r="AB473" s="663">
        <f t="shared" si="745"/>
        <v>0</v>
      </c>
      <c r="AC473" s="663">
        <f t="shared" si="745"/>
        <v>0</v>
      </c>
      <c r="AD473" s="663">
        <f t="shared" si="745"/>
        <v>0</v>
      </c>
      <c r="AE473" s="663">
        <f t="shared" si="745"/>
        <v>0</v>
      </c>
      <c r="AF473" s="663">
        <f t="shared" si="745"/>
        <v>0</v>
      </c>
      <c r="AG473" s="663">
        <f t="shared" si="745"/>
        <v>0</v>
      </c>
      <c r="AH473" s="663">
        <f t="shared" si="745"/>
        <v>0</v>
      </c>
      <c r="AI473" s="663">
        <f t="shared" si="745"/>
        <v>0</v>
      </c>
      <c r="AJ473" s="663">
        <f t="shared" si="745"/>
        <v>0</v>
      </c>
      <c r="AK473" s="663">
        <f t="shared" ref="AK473:BE473" si="746" xml:space="preserve"> AK$469</f>
        <v>0</v>
      </c>
      <c r="AL473" s="663">
        <f t="shared" si="746"/>
        <v>0</v>
      </c>
      <c r="AM473" s="663">
        <f t="shared" si="746"/>
        <v>0</v>
      </c>
      <c r="AN473" s="663">
        <f t="shared" si="746"/>
        <v>0</v>
      </c>
      <c r="AO473" s="663">
        <f t="shared" si="746"/>
        <v>0</v>
      </c>
      <c r="AP473" s="663">
        <f t="shared" si="746"/>
        <v>0</v>
      </c>
      <c r="AQ473" s="663">
        <f t="shared" si="746"/>
        <v>0</v>
      </c>
      <c r="AR473" s="663">
        <f t="shared" si="746"/>
        <v>0</v>
      </c>
      <c r="AS473" s="663">
        <f t="shared" si="746"/>
        <v>0</v>
      </c>
      <c r="AT473" s="663">
        <f t="shared" si="746"/>
        <v>0</v>
      </c>
      <c r="AU473" s="663">
        <f t="shared" si="746"/>
        <v>0</v>
      </c>
      <c r="AV473" s="663">
        <f t="shared" si="746"/>
        <v>0</v>
      </c>
      <c r="AW473" s="663">
        <f t="shared" si="746"/>
        <v>0</v>
      </c>
      <c r="AX473" s="663">
        <f t="shared" si="746"/>
        <v>0</v>
      </c>
      <c r="AY473" s="663">
        <f t="shared" si="746"/>
        <v>0</v>
      </c>
      <c r="AZ473" s="663">
        <f t="shared" si="746"/>
        <v>0</v>
      </c>
      <c r="BA473" s="663">
        <f t="shared" si="746"/>
        <v>0</v>
      </c>
      <c r="BB473" s="663">
        <f t="shared" si="746"/>
        <v>0</v>
      </c>
      <c r="BC473" s="663">
        <f t="shared" si="746"/>
        <v>0</v>
      </c>
      <c r="BD473" s="663">
        <f t="shared" si="746"/>
        <v>0</v>
      </c>
      <c r="BE473" s="663">
        <f t="shared" si="746"/>
        <v>0</v>
      </c>
    </row>
    <row r="474" spans="1:57" hidden="1" outlineLevel="1" x14ac:dyDescent="0.2">
      <c r="A474" s="522"/>
      <c r="B474" s="522"/>
      <c r="C474" s="523"/>
      <c r="D474" s="524"/>
      <c r="E474" s="692" t="s">
        <v>92</v>
      </c>
      <c r="F474" s="692"/>
      <c r="G474" s="692"/>
      <c r="H474" s="692"/>
      <c r="I474" s="692"/>
      <c r="J474" s="692"/>
      <c r="K474" s="692"/>
      <c r="L474" s="692"/>
      <c r="M474" s="692"/>
      <c r="N474" s="692"/>
      <c r="O474" s="692"/>
      <c r="P474" s="692"/>
      <c r="Q474" s="692"/>
      <c r="R474" s="692"/>
      <c r="S474" s="692"/>
      <c r="T474" s="692"/>
      <c r="U474" s="692"/>
      <c r="V474" s="692"/>
      <c r="W474" s="692"/>
      <c r="X474" s="692"/>
      <c r="Y474" s="692"/>
      <c r="Z474" s="692"/>
      <c r="AA474" s="692"/>
      <c r="AB474" s="692"/>
      <c r="AC474" s="692"/>
      <c r="AD474" s="692"/>
      <c r="AE474" s="692"/>
      <c r="AF474" s="692"/>
      <c r="AG474" s="692"/>
      <c r="AH474" s="692"/>
      <c r="AI474" s="692"/>
      <c r="AJ474" s="692"/>
      <c r="AK474" s="692"/>
      <c r="AL474" s="692"/>
      <c r="AM474" s="692"/>
      <c r="AN474" s="692"/>
      <c r="AO474" s="692"/>
      <c r="AP474" s="692"/>
      <c r="AQ474" s="692"/>
      <c r="AR474" s="692"/>
      <c r="AS474" s="692"/>
      <c r="AT474" s="692"/>
      <c r="AU474" s="692"/>
      <c r="AV474" s="692"/>
      <c r="AW474" s="692"/>
      <c r="AX474" s="692"/>
      <c r="AY474" s="692"/>
      <c r="AZ474" s="692"/>
      <c r="BA474" s="692"/>
      <c r="BB474" s="692"/>
      <c r="BC474" s="692"/>
      <c r="BD474" s="692"/>
      <c r="BE474" s="692"/>
    </row>
    <row r="475" spans="1:57" hidden="1" outlineLevel="1" x14ac:dyDescent="0.2">
      <c r="A475" s="522"/>
      <c r="B475" s="522"/>
      <c r="C475" s="523"/>
      <c r="D475" s="524"/>
      <c r="E475" s="693" t="s">
        <v>1043</v>
      </c>
      <c r="F475" s="693"/>
      <c r="G475" s="693" t="str">
        <f xml:space="preserve"> SMU</f>
        <v>$ 000s</v>
      </c>
      <c r="H475" s="693"/>
      <c r="I475" s="694"/>
      <c r="J475" s="693">
        <f t="shared" ref="J475:BE475" si="747" xml:space="preserve"> J472 + J473 - J474</f>
        <v>0</v>
      </c>
      <c r="K475" s="693">
        <f t="shared" si="747"/>
        <v>0</v>
      </c>
      <c r="L475" s="693">
        <f t="shared" si="747"/>
        <v>0</v>
      </c>
      <c r="M475" s="693">
        <f t="shared" si="747"/>
        <v>0</v>
      </c>
      <c r="N475" s="693">
        <f t="shared" si="747"/>
        <v>0</v>
      </c>
      <c r="O475" s="693">
        <f t="shared" si="747"/>
        <v>0</v>
      </c>
      <c r="P475" s="693">
        <f t="shared" si="747"/>
        <v>0</v>
      </c>
      <c r="Q475" s="693">
        <f t="shared" si="747"/>
        <v>0</v>
      </c>
      <c r="R475" s="693">
        <f t="shared" si="747"/>
        <v>0</v>
      </c>
      <c r="S475" s="693">
        <f t="shared" si="747"/>
        <v>0</v>
      </c>
      <c r="T475" s="693">
        <f t="shared" si="747"/>
        <v>0</v>
      </c>
      <c r="U475" s="693">
        <f t="shared" si="747"/>
        <v>0</v>
      </c>
      <c r="V475" s="693">
        <f t="shared" si="747"/>
        <v>0</v>
      </c>
      <c r="W475" s="693">
        <f t="shared" si="747"/>
        <v>0</v>
      </c>
      <c r="X475" s="693">
        <f t="shared" si="747"/>
        <v>0</v>
      </c>
      <c r="Y475" s="693">
        <f t="shared" si="747"/>
        <v>0</v>
      </c>
      <c r="Z475" s="693">
        <f t="shared" si="747"/>
        <v>0</v>
      </c>
      <c r="AA475" s="693">
        <f t="shared" si="747"/>
        <v>0</v>
      </c>
      <c r="AB475" s="693">
        <f t="shared" si="747"/>
        <v>0</v>
      </c>
      <c r="AC475" s="693">
        <f t="shared" si="747"/>
        <v>0</v>
      </c>
      <c r="AD475" s="693">
        <f t="shared" si="747"/>
        <v>0</v>
      </c>
      <c r="AE475" s="693">
        <f t="shared" si="747"/>
        <v>0</v>
      </c>
      <c r="AF475" s="693">
        <f t="shared" si="747"/>
        <v>0</v>
      </c>
      <c r="AG475" s="693">
        <f t="shared" si="747"/>
        <v>0</v>
      </c>
      <c r="AH475" s="693">
        <f t="shared" si="747"/>
        <v>0</v>
      </c>
      <c r="AI475" s="693">
        <f t="shared" si="747"/>
        <v>0</v>
      </c>
      <c r="AJ475" s="693">
        <f t="shared" si="747"/>
        <v>0</v>
      </c>
      <c r="AK475" s="693">
        <f t="shared" si="747"/>
        <v>0</v>
      </c>
      <c r="AL475" s="693">
        <f t="shared" si="747"/>
        <v>0</v>
      </c>
      <c r="AM475" s="693">
        <f t="shared" si="747"/>
        <v>0</v>
      </c>
      <c r="AN475" s="693">
        <f t="shared" si="747"/>
        <v>0</v>
      </c>
      <c r="AO475" s="693">
        <f t="shared" si="747"/>
        <v>0</v>
      </c>
      <c r="AP475" s="693">
        <f t="shared" si="747"/>
        <v>0</v>
      </c>
      <c r="AQ475" s="693">
        <f t="shared" si="747"/>
        <v>0</v>
      </c>
      <c r="AR475" s="693">
        <f t="shared" si="747"/>
        <v>0</v>
      </c>
      <c r="AS475" s="693">
        <f t="shared" si="747"/>
        <v>0</v>
      </c>
      <c r="AT475" s="693">
        <f t="shared" si="747"/>
        <v>0</v>
      </c>
      <c r="AU475" s="693">
        <f t="shared" si="747"/>
        <v>0</v>
      </c>
      <c r="AV475" s="693">
        <f t="shared" si="747"/>
        <v>0</v>
      </c>
      <c r="AW475" s="693">
        <f t="shared" si="747"/>
        <v>0</v>
      </c>
      <c r="AX475" s="693">
        <f t="shared" si="747"/>
        <v>0</v>
      </c>
      <c r="AY475" s="693">
        <f t="shared" si="747"/>
        <v>0</v>
      </c>
      <c r="AZ475" s="693">
        <f t="shared" si="747"/>
        <v>0</v>
      </c>
      <c r="BA475" s="693">
        <f t="shared" si="747"/>
        <v>0</v>
      </c>
      <c r="BB475" s="693">
        <f t="shared" si="747"/>
        <v>0</v>
      </c>
      <c r="BC475" s="693">
        <f t="shared" si="747"/>
        <v>0</v>
      </c>
      <c r="BD475" s="693">
        <f t="shared" si="747"/>
        <v>0</v>
      </c>
      <c r="BE475" s="693">
        <f t="shared" si="747"/>
        <v>0</v>
      </c>
    </row>
    <row r="476" spans="1:57" s="495" customFormat="1" hidden="1" outlineLevel="1" x14ac:dyDescent="0.2">
      <c r="A476" s="15"/>
      <c r="B476" s="15"/>
      <c r="C476" s="21"/>
      <c r="D476" s="4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</row>
    <row r="477" spans="1:57" s="495" customFormat="1" hidden="1" outlineLevel="1" x14ac:dyDescent="0.2">
      <c r="A477" s="15"/>
      <c r="B477" s="15" t="s">
        <v>925</v>
      </c>
      <c r="C477" s="21"/>
      <c r="D477" s="4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</row>
    <row r="478" spans="1:57" s="453" customFormat="1" hidden="1" outlineLevel="1" x14ac:dyDescent="0.2">
      <c r="A478" s="451"/>
      <c r="B478" s="451"/>
      <c r="C478" s="452"/>
      <c r="D478" s="316"/>
      <c r="E478" s="453" t="str">
        <f xml:space="preserve"> InpC!E$172</f>
        <v>Senior debt - T2 - % of debt</v>
      </c>
      <c r="F478" s="453">
        <f xml:space="preserve"> InpC!F$172</f>
        <v>0.5</v>
      </c>
      <c r="G478" s="453" t="str">
        <f xml:space="preserve"> InpC!G$172</f>
        <v>%</v>
      </c>
    </row>
    <row r="479" spans="1:57" hidden="1" outlineLevel="1" x14ac:dyDescent="0.2">
      <c r="E479" s="12" t="str">
        <f t="shared" ref="E479:G479" si="748" xml:space="preserve"> E$450</f>
        <v>Standby debt amount</v>
      </c>
      <c r="F479" s="12">
        <f t="shared" si="748"/>
        <v>0</v>
      </c>
      <c r="G479" s="12" t="str">
        <f t="shared" si="748"/>
        <v>$ 000s</v>
      </c>
    </row>
    <row r="480" spans="1:57" s="495" customFormat="1" hidden="1" outlineLevel="1" x14ac:dyDescent="0.2">
      <c r="A480" s="15"/>
      <c r="B480" s="15"/>
      <c r="C480" s="21"/>
      <c r="D480" s="48"/>
      <c r="E480" s="9" t="str">
        <f t="shared" ref="E480:AJ480" si="749" xml:space="preserve"> E$492</f>
        <v>Standby debt - T2 balance BEG</v>
      </c>
      <c r="F480" s="9">
        <f t="shared" si="749"/>
        <v>0</v>
      </c>
      <c r="G480" s="9" t="str">
        <f t="shared" si="749"/>
        <v>$ 000s</v>
      </c>
      <c r="H480" s="9">
        <f t="shared" si="749"/>
        <v>0</v>
      </c>
      <c r="I480" s="9">
        <f t="shared" si="749"/>
        <v>0</v>
      </c>
      <c r="J480" s="9">
        <f t="shared" si="749"/>
        <v>0</v>
      </c>
      <c r="K480" s="9">
        <f t="shared" si="749"/>
        <v>0</v>
      </c>
      <c r="L480" s="9">
        <f t="shared" si="749"/>
        <v>0</v>
      </c>
      <c r="M480" s="9">
        <f t="shared" si="749"/>
        <v>0</v>
      </c>
      <c r="N480" s="9">
        <f t="shared" si="749"/>
        <v>0</v>
      </c>
      <c r="O480" s="9">
        <f t="shared" si="749"/>
        <v>0</v>
      </c>
      <c r="P480" s="9">
        <f t="shared" si="749"/>
        <v>0</v>
      </c>
      <c r="Q480" s="9">
        <f t="shared" si="749"/>
        <v>0</v>
      </c>
      <c r="R480" s="9">
        <f t="shared" si="749"/>
        <v>0</v>
      </c>
      <c r="S480" s="9">
        <f t="shared" si="749"/>
        <v>0</v>
      </c>
      <c r="T480" s="9">
        <f t="shared" si="749"/>
        <v>0</v>
      </c>
      <c r="U480" s="9">
        <f t="shared" si="749"/>
        <v>0</v>
      </c>
      <c r="V480" s="9">
        <f t="shared" si="749"/>
        <v>0</v>
      </c>
      <c r="W480" s="9">
        <f t="shared" si="749"/>
        <v>0</v>
      </c>
      <c r="X480" s="9">
        <f t="shared" si="749"/>
        <v>0</v>
      </c>
      <c r="Y480" s="9">
        <f t="shared" si="749"/>
        <v>0</v>
      </c>
      <c r="Z480" s="9">
        <f t="shared" si="749"/>
        <v>0</v>
      </c>
      <c r="AA480" s="9">
        <f t="shared" si="749"/>
        <v>0</v>
      </c>
      <c r="AB480" s="9">
        <f t="shared" si="749"/>
        <v>0</v>
      </c>
      <c r="AC480" s="9">
        <f t="shared" si="749"/>
        <v>0</v>
      </c>
      <c r="AD480" s="9">
        <f t="shared" si="749"/>
        <v>0</v>
      </c>
      <c r="AE480" s="9">
        <f t="shared" si="749"/>
        <v>0</v>
      </c>
      <c r="AF480" s="9">
        <f t="shared" si="749"/>
        <v>0</v>
      </c>
      <c r="AG480" s="9">
        <f t="shared" si="749"/>
        <v>0</v>
      </c>
      <c r="AH480" s="9">
        <f t="shared" si="749"/>
        <v>0</v>
      </c>
      <c r="AI480" s="9">
        <f t="shared" si="749"/>
        <v>0</v>
      </c>
      <c r="AJ480" s="9">
        <f t="shared" si="749"/>
        <v>0</v>
      </c>
      <c r="AK480" s="9">
        <f t="shared" ref="AK480:BE480" si="750" xml:space="preserve"> AK$492</f>
        <v>0</v>
      </c>
      <c r="AL480" s="9">
        <f t="shared" si="750"/>
        <v>0</v>
      </c>
      <c r="AM480" s="9">
        <f t="shared" si="750"/>
        <v>0</v>
      </c>
      <c r="AN480" s="9">
        <f t="shared" si="750"/>
        <v>0</v>
      </c>
      <c r="AO480" s="9">
        <f t="shared" si="750"/>
        <v>0</v>
      </c>
      <c r="AP480" s="9">
        <f t="shared" si="750"/>
        <v>0</v>
      </c>
      <c r="AQ480" s="9">
        <f t="shared" si="750"/>
        <v>0</v>
      </c>
      <c r="AR480" s="9">
        <f t="shared" si="750"/>
        <v>0</v>
      </c>
      <c r="AS480" s="9">
        <f t="shared" si="750"/>
        <v>0</v>
      </c>
      <c r="AT480" s="9">
        <f t="shared" si="750"/>
        <v>0</v>
      </c>
      <c r="AU480" s="9">
        <f t="shared" si="750"/>
        <v>0</v>
      </c>
      <c r="AV480" s="9">
        <f t="shared" si="750"/>
        <v>0</v>
      </c>
      <c r="AW480" s="9">
        <f t="shared" si="750"/>
        <v>0</v>
      </c>
      <c r="AX480" s="9">
        <f t="shared" si="750"/>
        <v>0</v>
      </c>
      <c r="AY480" s="9">
        <f t="shared" si="750"/>
        <v>0</v>
      </c>
      <c r="AZ480" s="9">
        <f t="shared" si="750"/>
        <v>0</v>
      </c>
      <c r="BA480" s="9">
        <f t="shared" si="750"/>
        <v>0</v>
      </c>
      <c r="BB480" s="9">
        <f t="shared" si="750"/>
        <v>0</v>
      </c>
      <c r="BC480" s="9">
        <f t="shared" si="750"/>
        <v>0</v>
      </c>
      <c r="BD480" s="9">
        <f t="shared" si="750"/>
        <v>0</v>
      </c>
      <c r="BE480" s="9">
        <f t="shared" si="750"/>
        <v>0</v>
      </c>
    </row>
    <row r="481" spans="1:57" s="495" customFormat="1" hidden="1" outlineLevel="1" x14ac:dyDescent="0.2">
      <c r="A481" s="15"/>
      <c r="B481" s="15"/>
      <c r="C481" s="21"/>
      <c r="D481" s="48"/>
      <c r="E481" s="9" t="s">
        <v>1048</v>
      </c>
      <c r="F481" s="9"/>
      <c r="G481" s="9" t="str">
        <f xml:space="preserve"> SMU</f>
        <v>$ 000s</v>
      </c>
      <c r="H481" s="9"/>
      <c r="I481" s="9"/>
      <c r="J481" s="9">
        <f t="shared" ref="J481" si="751" xml:space="preserve"> $F478 * $F479 - J480</f>
        <v>0</v>
      </c>
      <c r="K481" s="9">
        <f t="shared" ref="K481" si="752" xml:space="preserve"> $F478 * $F479 - K480</f>
        <v>0</v>
      </c>
      <c r="L481" s="9">
        <f t="shared" ref="L481" si="753" xml:space="preserve"> $F478 * $F479 - L480</f>
        <v>0</v>
      </c>
      <c r="M481" s="9">
        <f t="shared" ref="M481" si="754" xml:space="preserve"> $F478 * $F479 - M480</f>
        <v>0</v>
      </c>
      <c r="N481" s="9">
        <f t="shared" ref="N481" si="755" xml:space="preserve"> $F478 * $F479 - N480</f>
        <v>0</v>
      </c>
      <c r="O481" s="9">
        <f t="shared" ref="O481" si="756" xml:space="preserve"> $F478 * $F479 - O480</f>
        <v>0</v>
      </c>
      <c r="P481" s="9">
        <f t="shared" ref="P481" si="757" xml:space="preserve"> $F478 * $F479 - P480</f>
        <v>0</v>
      </c>
      <c r="Q481" s="9">
        <f t="shared" ref="Q481" si="758" xml:space="preserve"> $F478 * $F479 - Q480</f>
        <v>0</v>
      </c>
      <c r="R481" s="9">
        <f t="shared" ref="R481" si="759" xml:space="preserve"> $F478 * $F479 - R480</f>
        <v>0</v>
      </c>
      <c r="S481" s="9">
        <f t="shared" ref="S481" si="760" xml:space="preserve"> $F478 * $F479 - S480</f>
        <v>0</v>
      </c>
      <c r="T481" s="9">
        <f t="shared" ref="T481" si="761" xml:space="preserve"> $F478 * $F479 - T480</f>
        <v>0</v>
      </c>
      <c r="U481" s="9">
        <f t="shared" ref="U481" si="762" xml:space="preserve"> $F478 * $F479 - U480</f>
        <v>0</v>
      </c>
      <c r="V481" s="9">
        <f t="shared" ref="V481" si="763" xml:space="preserve"> $F478 * $F479 - V480</f>
        <v>0</v>
      </c>
      <c r="W481" s="9">
        <f t="shared" ref="W481" si="764" xml:space="preserve"> $F478 * $F479 - W480</f>
        <v>0</v>
      </c>
      <c r="X481" s="9">
        <f t="shared" ref="X481" si="765" xml:space="preserve"> $F478 * $F479 - X480</f>
        <v>0</v>
      </c>
      <c r="Y481" s="9">
        <f t="shared" ref="Y481" si="766" xml:space="preserve"> $F478 * $F479 - Y480</f>
        <v>0</v>
      </c>
      <c r="Z481" s="9">
        <f t="shared" ref="Z481" si="767" xml:space="preserve"> $F478 * $F479 - Z480</f>
        <v>0</v>
      </c>
      <c r="AA481" s="9">
        <f t="shared" ref="AA481" si="768" xml:space="preserve"> $F478 * $F479 - AA480</f>
        <v>0</v>
      </c>
      <c r="AB481" s="9">
        <f t="shared" ref="AB481" si="769" xml:space="preserve"> $F478 * $F479 - AB480</f>
        <v>0</v>
      </c>
      <c r="AC481" s="9">
        <f t="shared" ref="AC481" si="770" xml:space="preserve"> $F478 * $F479 - AC480</f>
        <v>0</v>
      </c>
      <c r="AD481" s="9">
        <f t="shared" ref="AD481" si="771" xml:space="preserve"> $F478 * $F479 - AD480</f>
        <v>0</v>
      </c>
      <c r="AE481" s="9">
        <f t="shared" ref="AE481" si="772" xml:space="preserve"> $F478 * $F479 - AE480</f>
        <v>0</v>
      </c>
      <c r="AF481" s="9">
        <f t="shared" ref="AF481" si="773" xml:space="preserve"> $F478 * $F479 - AF480</f>
        <v>0</v>
      </c>
      <c r="AG481" s="9">
        <f t="shared" ref="AG481" si="774" xml:space="preserve"> $F478 * $F479 - AG480</f>
        <v>0</v>
      </c>
      <c r="AH481" s="9">
        <f t="shared" ref="AH481" si="775" xml:space="preserve"> $F478 * $F479 - AH480</f>
        <v>0</v>
      </c>
      <c r="AI481" s="9">
        <f t="shared" ref="AI481" si="776" xml:space="preserve"> $F478 * $F479 - AI480</f>
        <v>0</v>
      </c>
      <c r="AJ481" s="9">
        <f t="shared" ref="AJ481" si="777" xml:space="preserve"> $F478 * $F479 - AJ480</f>
        <v>0</v>
      </c>
      <c r="AK481" s="9">
        <f t="shared" ref="AK481" si="778" xml:space="preserve"> $F478 * $F479 - AK480</f>
        <v>0</v>
      </c>
      <c r="AL481" s="9">
        <f t="shared" ref="AL481" si="779" xml:space="preserve"> $F478 * $F479 - AL480</f>
        <v>0</v>
      </c>
      <c r="AM481" s="9">
        <f t="shared" ref="AM481" si="780" xml:space="preserve"> $F478 * $F479 - AM480</f>
        <v>0</v>
      </c>
      <c r="AN481" s="9">
        <f t="shared" ref="AN481" si="781" xml:space="preserve"> $F478 * $F479 - AN480</f>
        <v>0</v>
      </c>
      <c r="AO481" s="9">
        <f t="shared" ref="AO481" si="782" xml:space="preserve"> $F478 * $F479 - AO480</f>
        <v>0</v>
      </c>
      <c r="AP481" s="9">
        <f t="shared" ref="AP481" si="783" xml:space="preserve"> $F478 * $F479 - AP480</f>
        <v>0</v>
      </c>
      <c r="AQ481" s="9">
        <f t="shared" ref="AQ481" si="784" xml:space="preserve"> $F478 * $F479 - AQ480</f>
        <v>0</v>
      </c>
      <c r="AR481" s="9">
        <f t="shared" ref="AR481" si="785" xml:space="preserve"> $F478 * $F479 - AR480</f>
        <v>0</v>
      </c>
      <c r="AS481" s="9">
        <f t="shared" ref="AS481" si="786" xml:space="preserve"> $F478 * $F479 - AS480</f>
        <v>0</v>
      </c>
      <c r="AT481" s="9">
        <f t="shared" ref="AT481" si="787" xml:space="preserve"> $F478 * $F479 - AT480</f>
        <v>0</v>
      </c>
      <c r="AU481" s="9">
        <f t="shared" ref="AU481" si="788" xml:space="preserve"> $F478 * $F479 - AU480</f>
        <v>0</v>
      </c>
      <c r="AV481" s="9">
        <f t="shared" ref="AV481" si="789" xml:space="preserve"> $F478 * $F479 - AV480</f>
        <v>0</v>
      </c>
      <c r="AW481" s="9">
        <f t="shared" ref="AW481" si="790" xml:space="preserve"> $F478 * $F479 - AW480</f>
        <v>0</v>
      </c>
      <c r="AX481" s="9">
        <f t="shared" ref="AX481" si="791" xml:space="preserve"> $F478 * $F479 - AX480</f>
        <v>0</v>
      </c>
      <c r="AY481" s="9">
        <f t="shared" ref="AY481" si="792" xml:space="preserve"> $F478 * $F479 - AY480</f>
        <v>0</v>
      </c>
      <c r="AZ481" s="9">
        <f t="shared" ref="AZ481" si="793" xml:space="preserve"> $F478 * $F479 - AZ480</f>
        <v>0</v>
      </c>
      <c r="BA481" s="9">
        <f t="shared" ref="BA481" si="794" xml:space="preserve"> $F478 * $F479 - BA480</f>
        <v>0</v>
      </c>
      <c r="BB481" s="9">
        <f t="shared" ref="BB481" si="795" xml:space="preserve"> $F478 * $F479 - BB480</f>
        <v>0</v>
      </c>
      <c r="BC481" s="9">
        <f t="shared" ref="BC481" si="796" xml:space="preserve"> $F478 * $F479 - BC480</f>
        <v>0</v>
      </c>
      <c r="BD481" s="9">
        <f t="shared" ref="BD481" si="797" xml:space="preserve"> $F478 * $F479 - BD480</f>
        <v>0</v>
      </c>
      <c r="BE481" s="9">
        <f t="shared" ref="BE481" si="798" xml:space="preserve"> $F478 * $F479 - BE480</f>
        <v>0</v>
      </c>
    </row>
    <row r="482" spans="1:57" s="495" customFormat="1" hidden="1" outlineLevel="1" x14ac:dyDescent="0.2">
      <c r="A482" s="15"/>
      <c r="B482" s="15"/>
      <c r="C482" s="21"/>
      <c r="D482" s="4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</row>
    <row r="483" spans="1:57" s="495" customFormat="1" hidden="1" outlineLevel="1" x14ac:dyDescent="0.2">
      <c r="A483" s="15"/>
      <c r="B483" s="15"/>
      <c r="C483" s="21"/>
      <c r="D483" s="48"/>
      <c r="E483" s="453" t="str">
        <f xml:space="preserve"> InpC!E$172</f>
        <v>Senior debt - T2 - % of debt</v>
      </c>
      <c r="F483" s="453">
        <f xml:space="preserve"> InpC!F$172</f>
        <v>0.5</v>
      </c>
      <c r="G483" s="453" t="str">
        <f xml:space="preserve"> InpC!G$172</f>
        <v>%</v>
      </c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</row>
    <row r="484" spans="1:57" s="495" customFormat="1" hidden="1" outlineLevel="1" x14ac:dyDescent="0.2">
      <c r="A484" s="15"/>
      <c r="B484" s="15"/>
      <c r="C484" s="21"/>
      <c r="D484" s="48"/>
      <c r="E484" s="9" t="str">
        <f t="shared" ref="E484:BE484" si="799" xml:space="preserve"> E$455</f>
        <v>Funding requirement for standby debt</v>
      </c>
      <c r="F484" s="9">
        <f t="shared" si="799"/>
        <v>0</v>
      </c>
      <c r="G484" s="9" t="str">
        <f t="shared" si="799"/>
        <v>$ 000s</v>
      </c>
      <c r="H484" s="9">
        <f t="shared" si="799"/>
        <v>86318.256815268396</v>
      </c>
      <c r="I484" s="9">
        <f t="shared" si="799"/>
        <v>0</v>
      </c>
      <c r="J484" s="9">
        <f t="shared" si="799"/>
        <v>0</v>
      </c>
      <c r="K484" s="9">
        <f t="shared" si="799"/>
        <v>0</v>
      </c>
      <c r="L484" s="9">
        <f t="shared" si="799"/>
        <v>0</v>
      </c>
      <c r="M484" s="9">
        <f t="shared" si="799"/>
        <v>14843.424770244494</v>
      </c>
      <c r="N484" s="9">
        <f t="shared" si="799"/>
        <v>11841.327808384644</v>
      </c>
      <c r="O484" s="9">
        <f t="shared" si="799"/>
        <v>11870.259742712651</v>
      </c>
      <c r="P484" s="9">
        <f t="shared" si="799"/>
        <v>11907.687320687248</v>
      </c>
      <c r="Q484" s="9">
        <f t="shared" si="799"/>
        <v>11941.012306690816</v>
      </c>
      <c r="R484" s="9">
        <f t="shared" si="799"/>
        <v>11966.998590891828</v>
      </c>
      <c r="S484" s="9">
        <f t="shared" si="799"/>
        <v>11947.542567249518</v>
      </c>
      <c r="T484" s="9">
        <f t="shared" si="799"/>
        <v>0</v>
      </c>
      <c r="U484" s="9">
        <f t="shared" si="799"/>
        <v>0</v>
      </c>
      <c r="V484" s="9">
        <f t="shared" si="799"/>
        <v>0</v>
      </c>
      <c r="W484" s="9">
        <f t="shared" si="799"/>
        <v>0</v>
      </c>
      <c r="X484" s="9">
        <f t="shared" si="799"/>
        <v>0</v>
      </c>
      <c r="Y484" s="9">
        <f t="shared" si="799"/>
        <v>0</v>
      </c>
      <c r="Z484" s="9">
        <f t="shared" si="799"/>
        <v>0</v>
      </c>
      <c r="AA484" s="9">
        <f t="shared" si="799"/>
        <v>0</v>
      </c>
      <c r="AB484" s="9">
        <f t="shared" si="799"/>
        <v>0</v>
      </c>
      <c r="AC484" s="9">
        <f t="shared" si="799"/>
        <v>0</v>
      </c>
      <c r="AD484" s="9">
        <f t="shared" si="799"/>
        <v>0</v>
      </c>
      <c r="AE484" s="9">
        <f t="shared" si="799"/>
        <v>0</v>
      </c>
      <c r="AF484" s="9">
        <f t="shared" si="799"/>
        <v>0</v>
      </c>
      <c r="AG484" s="9">
        <f t="shared" si="799"/>
        <v>0</v>
      </c>
      <c r="AH484" s="9">
        <f t="shared" si="799"/>
        <v>0</v>
      </c>
      <c r="AI484" s="9">
        <f t="shared" si="799"/>
        <v>0</v>
      </c>
      <c r="AJ484" s="9">
        <f t="shared" si="799"/>
        <v>0</v>
      </c>
      <c r="AK484" s="9">
        <f t="shared" si="799"/>
        <v>0</v>
      </c>
      <c r="AL484" s="9">
        <f t="shared" si="799"/>
        <v>0</v>
      </c>
      <c r="AM484" s="9">
        <f t="shared" si="799"/>
        <v>3.7084072027937509E-3</v>
      </c>
      <c r="AN484" s="9">
        <f t="shared" si="799"/>
        <v>0</v>
      </c>
      <c r="AO484" s="9">
        <f t="shared" si="799"/>
        <v>0</v>
      </c>
      <c r="AP484" s="9">
        <f t="shared" si="799"/>
        <v>0</v>
      </c>
      <c r="AQ484" s="9">
        <f t="shared" si="799"/>
        <v>0</v>
      </c>
      <c r="AR484" s="9">
        <f t="shared" si="799"/>
        <v>0</v>
      </c>
      <c r="AS484" s="9">
        <f t="shared" si="799"/>
        <v>0</v>
      </c>
      <c r="AT484" s="9">
        <f t="shared" si="799"/>
        <v>0</v>
      </c>
      <c r="AU484" s="9">
        <f t="shared" si="799"/>
        <v>0</v>
      </c>
      <c r="AV484" s="9">
        <f t="shared" si="799"/>
        <v>0</v>
      </c>
      <c r="AW484" s="9">
        <f t="shared" si="799"/>
        <v>0</v>
      </c>
      <c r="AX484" s="9">
        <f t="shared" si="799"/>
        <v>0</v>
      </c>
      <c r="AY484" s="9">
        <f t="shared" si="799"/>
        <v>0</v>
      </c>
      <c r="AZ484" s="9">
        <f t="shared" si="799"/>
        <v>0</v>
      </c>
      <c r="BA484" s="9">
        <f t="shared" si="799"/>
        <v>0</v>
      </c>
      <c r="BB484" s="9">
        <f t="shared" si="799"/>
        <v>0</v>
      </c>
      <c r="BC484" s="9">
        <f t="shared" si="799"/>
        <v>0</v>
      </c>
      <c r="BD484" s="9">
        <f t="shared" si="799"/>
        <v>0</v>
      </c>
      <c r="BE484" s="9">
        <f t="shared" si="799"/>
        <v>0</v>
      </c>
    </row>
    <row r="485" spans="1:57" s="495" customFormat="1" hidden="1" outlineLevel="1" x14ac:dyDescent="0.2">
      <c r="A485" s="15"/>
      <c r="B485" s="15"/>
      <c r="C485" s="21"/>
      <c r="D485" s="48"/>
      <c r="E485" s="9" t="s">
        <v>1049</v>
      </c>
      <c r="F485" s="9"/>
      <c r="G485" s="9" t="str">
        <f xml:space="preserve"> SMU</f>
        <v>$ 000s</v>
      </c>
      <c r="H485" s="9">
        <f xml:space="preserve"> SUM(J485:BE485)</f>
        <v>43159.128407634198</v>
      </c>
      <c r="I485" s="9"/>
      <c r="J485" s="9">
        <f t="shared" ref="J485" si="800" xml:space="preserve"> $F483 * J484</f>
        <v>0</v>
      </c>
      <c r="K485" s="9">
        <f t="shared" ref="K485" si="801" xml:space="preserve"> $F483 * K484</f>
        <v>0</v>
      </c>
      <c r="L485" s="9">
        <f t="shared" ref="L485" si="802" xml:space="preserve"> $F483 * L484</f>
        <v>0</v>
      </c>
      <c r="M485" s="9">
        <f t="shared" ref="M485" si="803" xml:space="preserve"> $F483 * M484</f>
        <v>7421.7123851222468</v>
      </c>
      <c r="N485" s="9">
        <f t="shared" ref="N485" si="804" xml:space="preserve"> $F483 * N484</f>
        <v>5920.6639041923218</v>
      </c>
      <c r="O485" s="9">
        <f t="shared" ref="O485" si="805" xml:space="preserve"> $F483 * O484</f>
        <v>5935.1298713563256</v>
      </c>
      <c r="P485" s="9">
        <f t="shared" ref="P485" si="806" xml:space="preserve"> $F483 * P484</f>
        <v>5953.8436603436239</v>
      </c>
      <c r="Q485" s="9">
        <f t="shared" ref="Q485" si="807" xml:space="preserve"> $F483 * Q484</f>
        <v>5970.5061533454082</v>
      </c>
      <c r="R485" s="9">
        <f t="shared" ref="R485" si="808" xml:space="preserve"> $F483 * R484</f>
        <v>5983.499295445914</v>
      </c>
      <c r="S485" s="9">
        <f t="shared" ref="S485" si="809" xml:space="preserve"> $F483 * S484</f>
        <v>5973.7712836247592</v>
      </c>
      <c r="T485" s="9">
        <f t="shared" ref="T485" si="810" xml:space="preserve"> $F483 * T484</f>
        <v>0</v>
      </c>
      <c r="U485" s="9">
        <f t="shared" ref="U485" si="811" xml:space="preserve"> $F483 * U484</f>
        <v>0</v>
      </c>
      <c r="V485" s="9">
        <f t="shared" ref="V485" si="812" xml:space="preserve"> $F483 * V484</f>
        <v>0</v>
      </c>
      <c r="W485" s="9">
        <f t="shared" ref="W485" si="813" xml:space="preserve"> $F483 * W484</f>
        <v>0</v>
      </c>
      <c r="X485" s="9">
        <f t="shared" ref="X485" si="814" xml:space="preserve"> $F483 * X484</f>
        <v>0</v>
      </c>
      <c r="Y485" s="9">
        <f t="shared" ref="Y485" si="815" xml:space="preserve"> $F483 * Y484</f>
        <v>0</v>
      </c>
      <c r="Z485" s="9">
        <f t="shared" ref="Z485" si="816" xml:space="preserve"> $F483 * Z484</f>
        <v>0</v>
      </c>
      <c r="AA485" s="9">
        <f t="shared" ref="AA485" si="817" xml:space="preserve"> $F483 * AA484</f>
        <v>0</v>
      </c>
      <c r="AB485" s="9">
        <f t="shared" ref="AB485" si="818" xml:space="preserve"> $F483 * AB484</f>
        <v>0</v>
      </c>
      <c r="AC485" s="9">
        <f t="shared" ref="AC485" si="819" xml:space="preserve"> $F483 * AC484</f>
        <v>0</v>
      </c>
      <c r="AD485" s="9">
        <f t="shared" ref="AD485" si="820" xml:space="preserve"> $F483 * AD484</f>
        <v>0</v>
      </c>
      <c r="AE485" s="9">
        <f t="shared" ref="AE485" si="821" xml:space="preserve"> $F483 * AE484</f>
        <v>0</v>
      </c>
      <c r="AF485" s="9">
        <f t="shared" ref="AF485" si="822" xml:space="preserve"> $F483 * AF484</f>
        <v>0</v>
      </c>
      <c r="AG485" s="9">
        <f t="shared" ref="AG485" si="823" xml:space="preserve"> $F483 * AG484</f>
        <v>0</v>
      </c>
      <c r="AH485" s="9">
        <f t="shared" ref="AH485" si="824" xml:space="preserve"> $F483 * AH484</f>
        <v>0</v>
      </c>
      <c r="AI485" s="9">
        <f t="shared" ref="AI485" si="825" xml:space="preserve"> $F483 * AI484</f>
        <v>0</v>
      </c>
      <c r="AJ485" s="9">
        <f t="shared" ref="AJ485" si="826" xml:space="preserve"> $F483 * AJ484</f>
        <v>0</v>
      </c>
      <c r="AK485" s="9">
        <f t="shared" ref="AK485" si="827" xml:space="preserve"> $F483 * AK484</f>
        <v>0</v>
      </c>
      <c r="AL485" s="9">
        <f t="shared" ref="AL485" si="828" xml:space="preserve"> $F483 * AL484</f>
        <v>0</v>
      </c>
      <c r="AM485" s="9">
        <f t="shared" ref="AM485" si="829" xml:space="preserve"> $F483 * AM484</f>
        <v>1.8542036013968755E-3</v>
      </c>
      <c r="AN485" s="9">
        <f t="shared" ref="AN485" si="830" xml:space="preserve"> $F483 * AN484</f>
        <v>0</v>
      </c>
      <c r="AO485" s="9">
        <f t="shared" ref="AO485" si="831" xml:space="preserve"> $F483 * AO484</f>
        <v>0</v>
      </c>
      <c r="AP485" s="9">
        <f t="shared" ref="AP485" si="832" xml:space="preserve"> $F483 * AP484</f>
        <v>0</v>
      </c>
      <c r="AQ485" s="9">
        <f t="shared" ref="AQ485" si="833" xml:space="preserve"> $F483 * AQ484</f>
        <v>0</v>
      </c>
      <c r="AR485" s="9">
        <f t="shared" ref="AR485" si="834" xml:space="preserve"> $F483 * AR484</f>
        <v>0</v>
      </c>
      <c r="AS485" s="9">
        <f t="shared" ref="AS485" si="835" xml:space="preserve"> $F483 * AS484</f>
        <v>0</v>
      </c>
      <c r="AT485" s="9">
        <f t="shared" ref="AT485" si="836" xml:space="preserve"> $F483 * AT484</f>
        <v>0</v>
      </c>
      <c r="AU485" s="9">
        <f t="shared" ref="AU485" si="837" xml:space="preserve"> $F483 * AU484</f>
        <v>0</v>
      </c>
      <c r="AV485" s="9">
        <f t="shared" ref="AV485" si="838" xml:space="preserve"> $F483 * AV484</f>
        <v>0</v>
      </c>
      <c r="AW485" s="9">
        <f t="shared" ref="AW485" si="839" xml:space="preserve"> $F483 * AW484</f>
        <v>0</v>
      </c>
      <c r="AX485" s="9">
        <f t="shared" ref="AX485" si="840" xml:space="preserve"> $F483 * AX484</f>
        <v>0</v>
      </c>
      <c r="AY485" s="9">
        <f t="shared" ref="AY485" si="841" xml:space="preserve"> $F483 * AY484</f>
        <v>0</v>
      </c>
      <c r="AZ485" s="9">
        <f t="shared" ref="AZ485" si="842" xml:space="preserve"> $F483 * AZ484</f>
        <v>0</v>
      </c>
      <c r="BA485" s="9">
        <f t="shared" ref="BA485" si="843" xml:space="preserve"> $F483 * BA484</f>
        <v>0</v>
      </c>
      <c r="BB485" s="9">
        <f t="shared" ref="BB485" si="844" xml:space="preserve"> $F483 * BB484</f>
        <v>0</v>
      </c>
      <c r="BC485" s="9">
        <f t="shared" ref="BC485" si="845" xml:space="preserve"> $F483 * BC484</f>
        <v>0</v>
      </c>
      <c r="BD485" s="9">
        <f t="shared" ref="BD485" si="846" xml:space="preserve"> $F483 * BD484</f>
        <v>0</v>
      </c>
      <c r="BE485" s="9">
        <f t="shared" ref="BE485" si="847" xml:space="preserve"> $F483 * BE484</f>
        <v>0</v>
      </c>
    </row>
    <row r="486" spans="1:57" s="495" customFormat="1" hidden="1" outlineLevel="1" x14ac:dyDescent="0.2">
      <c r="A486" s="15"/>
      <c r="B486" s="15"/>
      <c r="C486" s="21"/>
      <c r="D486" s="4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</row>
    <row r="487" spans="1:57" s="495" customFormat="1" hidden="1" outlineLevel="1" x14ac:dyDescent="0.2">
      <c r="A487" s="15"/>
      <c r="B487" s="15"/>
      <c r="C487" s="21"/>
      <c r="D487" s="48"/>
      <c r="E487" s="9" t="str">
        <f t="shared" ref="E487:AJ487" si="848" xml:space="preserve"> E$485</f>
        <v>Funding requirement for standby debt - T2</v>
      </c>
      <c r="F487" s="9">
        <f t="shared" si="848"/>
        <v>0</v>
      </c>
      <c r="G487" s="9" t="str">
        <f t="shared" si="848"/>
        <v>$ 000s</v>
      </c>
      <c r="H487" s="9">
        <f t="shared" si="848"/>
        <v>43159.128407634198</v>
      </c>
      <c r="I487" s="9">
        <f t="shared" si="848"/>
        <v>0</v>
      </c>
      <c r="J487" s="9">
        <f t="shared" si="848"/>
        <v>0</v>
      </c>
      <c r="K487" s="9">
        <f t="shared" si="848"/>
        <v>0</v>
      </c>
      <c r="L487" s="9">
        <f t="shared" si="848"/>
        <v>0</v>
      </c>
      <c r="M487" s="9">
        <f t="shared" si="848"/>
        <v>7421.7123851222468</v>
      </c>
      <c r="N487" s="9">
        <f t="shared" si="848"/>
        <v>5920.6639041923218</v>
      </c>
      <c r="O487" s="9">
        <f t="shared" si="848"/>
        <v>5935.1298713563256</v>
      </c>
      <c r="P487" s="9">
        <f t="shared" si="848"/>
        <v>5953.8436603436239</v>
      </c>
      <c r="Q487" s="9">
        <f t="shared" si="848"/>
        <v>5970.5061533454082</v>
      </c>
      <c r="R487" s="9">
        <f t="shared" si="848"/>
        <v>5983.499295445914</v>
      </c>
      <c r="S487" s="9">
        <f t="shared" si="848"/>
        <v>5973.7712836247592</v>
      </c>
      <c r="T487" s="9">
        <f t="shared" si="848"/>
        <v>0</v>
      </c>
      <c r="U487" s="9">
        <f t="shared" si="848"/>
        <v>0</v>
      </c>
      <c r="V487" s="9">
        <f t="shared" si="848"/>
        <v>0</v>
      </c>
      <c r="W487" s="9">
        <f t="shared" si="848"/>
        <v>0</v>
      </c>
      <c r="X487" s="9">
        <f t="shared" si="848"/>
        <v>0</v>
      </c>
      <c r="Y487" s="9">
        <f t="shared" si="848"/>
        <v>0</v>
      </c>
      <c r="Z487" s="9">
        <f t="shared" si="848"/>
        <v>0</v>
      </c>
      <c r="AA487" s="9">
        <f t="shared" si="848"/>
        <v>0</v>
      </c>
      <c r="AB487" s="9">
        <f t="shared" si="848"/>
        <v>0</v>
      </c>
      <c r="AC487" s="9">
        <f t="shared" si="848"/>
        <v>0</v>
      </c>
      <c r="AD487" s="9">
        <f t="shared" si="848"/>
        <v>0</v>
      </c>
      <c r="AE487" s="9">
        <f t="shared" si="848"/>
        <v>0</v>
      </c>
      <c r="AF487" s="9">
        <f t="shared" si="848"/>
        <v>0</v>
      </c>
      <c r="AG487" s="9">
        <f t="shared" si="848"/>
        <v>0</v>
      </c>
      <c r="AH487" s="9">
        <f t="shared" si="848"/>
        <v>0</v>
      </c>
      <c r="AI487" s="9">
        <f t="shared" si="848"/>
        <v>0</v>
      </c>
      <c r="AJ487" s="9">
        <f t="shared" si="848"/>
        <v>0</v>
      </c>
      <c r="AK487" s="9">
        <f t="shared" ref="AK487:BE487" si="849" xml:space="preserve"> AK$485</f>
        <v>0</v>
      </c>
      <c r="AL487" s="9">
        <f t="shared" si="849"/>
        <v>0</v>
      </c>
      <c r="AM487" s="9">
        <f t="shared" si="849"/>
        <v>1.8542036013968755E-3</v>
      </c>
      <c r="AN487" s="9">
        <f t="shared" si="849"/>
        <v>0</v>
      </c>
      <c r="AO487" s="9">
        <f t="shared" si="849"/>
        <v>0</v>
      </c>
      <c r="AP487" s="9">
        <f t="shared" si="849"/>
        <v>0</v>
      </c>
      <c r="AQ487" s="9">
        <f t="shared" si="849"/>
        <v>0</v>
      </c>
      <c r="AR487" s="9">
        <f t="shared" si="849"/>
        <v>0</v>
      </c>
      <c r="AS487" s="9">
        <f t="shared" si="849"/>
        <v>0</v>
      </c>
      <c r="AT487" s="9">
        <f t="shared" si="849"/>
        <v>0</v>
      </c>
      <c r="AU487" s="9">
        <f t="shared" si="849"/>
        <v>0</v>
      </c>
      <c r="AV487" s="9">
        <f t="shared" si="849"/>
        <v>0</v>
      </c>
      <c r="AW487" s="9">
        <f t="shared" si="849"/>
        <v>0</v>
      </c>
      <c r="AX487" s="9">
        <f t="shared" si="849"/>
        <v>0</v>
      </c>
      <c r="AY487" s="9">
        <f t="shared" si="849"/>
        <v>0</v>
      </c>
      <c r="AZ487" s="9">
        <f t="shared" si="849"/>
        <v>0</v>
      </c>
      <c r="BA487" s="9">
        <f t="shared" si="849"/>
        <v>0</v>
      </c>
      <c r="BB487" s="9">
        <f t="shared" si="849"/>
        <v>0</v>
      </c>
      <c r="BC487" s="9">
        <f t="shared" si="849"/>
        <v>0</v>
      </c>
      <c r="BD487" s="9">
        <f t="shared" si="849"/>
        <v>0</v>
      </c>
      <c r="BE487" s="9">
        <f t="shared" si="849"/>
        <v>0</v>
      </c>
    </row>
    <row r="488" spans="1:57" s="495" customFormat="1" hidden="1" outlineLevel="1" x14ac:dyDescent="0.2">
      <c r="A488" s="15"/>
      <c r="B488" s="15"/>
      <c r="C488" s="21"/>
      <c r="D488" s="48"/>
      <c r="E488" s="9" t="str">
        <f t="shared" ref="E488:AJ488" si="850" xml:space="preserve"> E$481</f>
        <v>Undrawn standby debt - T2</v>
      </c>
      <c r="F488" s="9">
        <f t="shared" si="850"/>
        <v>0</v>
      </c>
      <c r="G488" s="9" t="str">
        <f t="shared" si="850"/>
        <v>$ 000s</v>
      </c>
      <c r="H488" s="9">
        <f t="shared" si="850"/>
        <v>0</v>
      </c>
      <c r="I488" s="9">
        <f t="shared" si="850"/>
        <v>0</v>
      </c>
      <c r="J488" s="9">
        <f t="shared" si="850"/>
        <v>0</v>
      </c>
      <c r="K488" s="9">
        <f t="shared" si="850"/>
        <v>0</v>
      </c>
      <c r="L488" s="9">
        <f t="shared" si="850"/>
        <v>0</v>
      </c>
      <c r="M488" s="9">
        <f t="shared" si="850"/>
        <v>0</v>
      </c>
      <c r="N488" s="9">
        <f t="shared" si="850"/>
        <v>0</v>
      </c>
      <c r="O488" s="9">
        <f t="shared" si="850"/>
        <v>0</v>
      </c>
      <c r="P488" s="9">
        <f t="shared" si="850"/>
        <v>0</v>
      </c>
      <c r="Q488" s="9">
        <f t="shared" si="850"/>
        <v>0</v>
      </c>
      <c r="R488" s="9">
        <f t="shared" si="850"/>
        <v>0</v>
      </c>
      <c r="S488" s="9">
        <f t="shared" si="850"/>
        <v>0</v>
      </c>
      <c r="T488" s="9">
        <f t="shared" si="850"/>
        <v>0</v>
      </c>
      <c r="U488" s="9">
        <f t="shared" si="850"/>
        <v>0</v>
      </c>
      <c r="V488" s="9">
        <f t="shared" si="850"/>
        <v>0</v>
      </c>
      <c r="W488" s="9">
        <f t="shared" si="850"/>
        <v>0</v>
      </c>
      <c r="X488" s="9">
        <f t="shared" si="850"/>
        <v>0</v>
      </c>
      <c r="Y488" s="9">
        <f t="shared" si="850"/>
        <v>0</v>
      </c>
      <c r="Z488" s="9">
        <f t="shared" si="850"/>
        <v>0</v>
      </c>
      <c r="AA488" s="9">
        <f t="shared" si="850"/>
        <v>0</v>
      </c>
      <c r="AB488" s="9">
        <f t="shared" si="850"/>
        <v>0</v>
      </c>
      <c r="AC488" s="9">
        <f t="shared" si="850"/>
        <v>0</v>
      </c>
      <c r="AD488" s="9">
        <f t="shared" si="850"/>
        <v>0</v>
      </c>
      <c r="AE488" s="9">
        <f t="shared" si="850"/>
        <v>0</v>
      </c>
      <c r="AF488" s="9">
        <f t="shared" si="850"/>
        <v>0</v>
      </c>
      <c r="AG488" s="9">
        <f t="shared" si="850"/>
        <v>0</v>
      </c>
      <c r="AH488" s="9">
        <f t="shared" si="850"/>
        <v>0</v>
      </c>
      <c r="AI488" s="9">
        <f t="shared" si="850"/>
        <v>0</v>
      </c>
      <c r="AJ488" s="9">
        <f t="shared" si="850"/>
        <v>0</v>
      </c>
      <c r="AK488" s="9">
        <f t="shared" ref="AK488:BE488" si="851" xml:space="preserve"> AK$481</f>
        <v>0</v>
      </c>
      <c r="AL488" s="9">
        <f t="shared" si="851"/>
        <v>0</v>
      </c>
      <c r="AM488" s="9">
        <f t="shared" si="851"/>
        <v>0</v>
      </c>
      <c r="AN488" s="9">
        <f t="shared" si="851"/>
        <v>0</v>
      </c>
      <c r="AO488" s="9">
        <f t="shared" si="851"/>
        <v>0</v>
      </c>
      <c r="AP488" s="9">
        <f t="shared" si="851"/>
        <v>0</v>
      </c>
      <c r="AQ488" s="9">
        <f t="shared" si="851"/>
        <v>0</v>
      </c>
      <c r="AR488" s="9">
        <f t="shared" si="851"/>
        <v>0</v>
      </c>
      <c r="AS488" s="9">
        <f t="shared" si="851"/>
        <v>0</v>
      </c>
      <c r="AT488" s="9">
        <f t="shared" si="851"/>
        <v>0</v>
      </c>
      <c r="AU488" s="9">
        <f t="shared" si="851"/>
        <v>0</v>
      </c>
      <c r="AV488" s="9">
        <f t="shared" si="851"/>
        <v>0</v>
      </c>
      <c r="AW488" s="9">
        <f t="shared" si="851"/>
        <v>0</v>
      </c>
      <c r="AX488" s="9">
        <f t="shared" si="851"/>
        <v>0</v>
      </c>
      <c r="AY488" s="9">
        <f t="shared" si="851"/>
        <v>0</v>
      </c>
      <c r="AZ488" s="9">
        <f t="shared" si="851"/>
        <v>0</v>
      </c>
      <c r="BA488" s="9">
        <f t="shared" si="851"/>
        <v>0</v>
      </c>
      <c r="BB488" s="9">
        <f t="shared" si="851"/>
        <v>0</v>
      </c>
      <c r="BC488" s="9">
        <f t="shared" si="851"/>
        <v>0</v>
      </c>
      <c r="BD488" s="9">
        <f t="shared" si="851"/>
        <v>0</v>
      </c>
      <c r="BE488" s="9">
        <f t="shared" si="851"/>
        <v>0</v>
      </c>
    </row>
    <row r="489" spans="1:57" s="191" customFormat="1" hidden="1" outlineLevel="1" x14ac:dyDescent="0.2">
      <c r="A489" s="700"/>
      <c r="B489" s="700"/>
      <c r="C489" s="701"/>
      <c r="D489" s="702"/>
      <c r="E489" s="666" t="s">
        <v>1050</v>
      </c>
      <c r="F489" s="666"/>
      <c r="G489" s="666" t="str">
        <f xml:space="preserve"> SMU</f>
        <v>$ 000s</v>
      </c>
      <c r="H489" s="666">
        <f xml:space="preserve"> SUM(J489:BE489)</f>
        <v>0</v>
      </c>
      <c r="I489" s="703"/>
      <c r="J489" s="666">
        <f t="shared" ref="J489:BE489" si="852" xml:space="preserve"> MIN(J488, J487)</f>
        <v>0</v>
      </c>
      <c r="K489" s="666">
        <f t="shared" si="852"/>
        <v>0</v>
      </c>
      <c r="L489" s="666">
        <f t="shared" si="852"/>
        <v>0</v>
      </c>
      <c r="M489" s="666">
        <f t="shared" si="852"/>
        <v>0</v>
      </c>
      <c r="N489" s="666">
        <f t="shared" si="852"/>
        <v>0</v>
      </c>
      <c r="O489" s="666">
        <f t="shared" si="852"/>
        <v>0</v>
      </c>
      <c r="P489" s="666">
        <f t="shared" si="852"/>
        <v>0</v>
      </c>
      <c r="Q489" s="666">
        <f t="shared" si="852"/>
        <v>0</v>
      </c>
      <c r="R489" s="666">
        <f t="shared" si="852"/>
        <v>0</v>
      </c>
      <c r="S489" s="666">
        <f t="shared" si="852"/>
        <v>0</v>
      </c>
      <c r="T489" s="666">
        <f t="shared" si="852"/>
        <v>0</v>
      </c>
      <c r="U489" s="666">
        <f t="shared" si="852"/>
        <v>0</v>
      </c>
      <c r="V489" s="666">
        <f t="shared" si="852"/>
        <v>0</v>
      </c>
      <c r="W489" s="666">
        <f t="shared" si="852"/>
        <v>0</v>
      </c>
      <c r="X489" s="666">
        <f t="shared" si="852"/>
        <v>0</v>
      </c>
      <c r="Y489" s="666">
        <f t="shared" si="852"/>
        <v>0</v>
      </c>
      <c r="Z489" s="666">
        <f t="shared" si="852"/>
        <v>0</v>
      </c>
      <c r="AA489" s="666">
        <f t="shared" si="852"/>
        <v>0</v>
      </c>
      <c r="AB489" s="666">
        <f t="shared" si="852"/>
        <v>0</v>
      </c>
      <c r="AC489" s="666">
        <f t="shared" si="852"/>
        <v>0</v>
      </c>
      <c r="AD489" s="666">
        <f t="shared" si="852"/>
        <v>0</v>
      </c>
      <c r="AE489" s="666">
        <f t="shared" si="852"/>
        <v>0</v>
      </c>
      <c r="AF489" s="666">
        <f t="shared" si="852"/>
        <v>0</v>
      </c>
      <c r="AG489" s="666">
        <f t="shared" si="852"/>
        <v>0</v>
      </c>
      <c r="AH489" s="666">
        <f t="shared" si="852"/>
        <v>0</v>
      </c>
      <c r="AI489" s="666">
        <f t="shared" si="852"/>
        <v>0</v>
      </c>
      <c r="AJ489" s="666">
        <f t="shared" si="852"/>
        <v>0</v>
      </c>
      <c r="AK489" s="666">
        <f t="shared" si="852"/>
        <v>0</v>
      </c>
      <c r="AL489" s="666">
        <f t="shared" si="852"/>
        <v>0</v>
      </c>
      <c r="AM489" s="666">
        <f t="shared" si="852"/>
        <v>0</v>
      </c>
      <c r="AN489" s="666">
        <f t="shared" si="852"/>
        <v>0</v>
      </c>
      <c r="AO489" s="666">
        <f t="shared" si="852"/>
        <v>0</v>
      </c>
      <c r="AP489" s="666">
        <f t="shared" si="852"/>
        <v>0</v>
      </c>
      <c r="AQ489" s="666">
        <f t="shared" si="852"/>
        <v>0</v>
      </c>
      <c r="AR489" s="666">
        <f t="shared" si="852"/>
        <v>0</v>
      </c>
      <c r="AS489" s="666">
        <f t="shared" si="852"/>
        <v>0</v>
      </c>
      <c r="AT489" s="666">
        <f t="shared" si="852"/>
        <v>0</v>
      </c>
      <c r="AU489" s="666">
        <f t="shared" si="852"/>
        <v>0</v>
      </c>
      <c r="AV489" s="666">
        <f t="shared" si="852"/>
        <v>0</v>
      </c>
      <c r="AW489" s="666">
        <f t="shared" si="852"/>
        <v>0</v>
      </c>
      <c r="AX489" s="666">
        <f t="shared" si="852"/>
        <v>0</v>
      </c>
      <c r="AY489" s="666">
        <f t="shared" si="852"/>
        <v>0</v>
      </c>
      <c r="AZ489" s="666">
        <f t="shared" si="852"/>
        <v>0</v>
      </c>
      <c r="BA489" s="666">
        <f t="shared" si="852"/>
        <v>0</v>
      </c>
      <c r="BB489" s="666">
        <f t="shared" si="852"/>
        <v>0</v>
      </c>
      <c r="BC489" s="666">
        <f t="shared" si="852"/>
        <v>0</v>
      </c>
      <c r="BD489" s="666">
        <f t="shared" si="852"/>
        <v>0</v>
      </c>
      <c r="BE489" s="666">
        <f t="shared" si="852"/>
        <v>0</v>
      </c>
    </row>
    <row r="490" spans="1:57" s="188" customFormat="1" hidden="1" outlineLevel="1" x14ac:dyDescent="0.2">
      <c r="A490" s="527"/>
      <c r="B490" s="527"/>
      <c r="C490" s="528"/>
      <c r="D490" s="529"/>
      <c r="E490" s="530" t="s">
        <v>1051</v>
      </c>
      <c r="F490" s="530">
        <f xml:space="preserve"> SUM(J489:BE489)</f>
        <v>0</v>
      </c>
      <c r="G490" s="530" t="str">
        <f xml:space="preserve"> SMU</f>
        <v>$ 000s</v>
      </c>
      <c r="H490" s="689"/>
      <c r="I490" s="531"/>
      <c r="J490" s="530"/>
      <c r="K490" s="530"/>
      <c r="L490" s="530"/>
      <c r="M490" s="530"/>
      <c r="N490" s="530"/>
      <c r="O490" s="530"/>
      <c r="P490" s="530"/>
      <c r="Q490" s="530"/>
      <c r="R490" s="530"/>
      <c r="S490" s="530"/>
      <c r="T490" s="530"/>
      <c r="U490" s="530"/>
      <c r="V490" s="530"/>
      <c r="W490" s="530"/>
      <c r="X490" s="530"/>
      <c r="Y490" s="530"/>
      <c r="Z490" s="530"/>
      <c r="AA490" s="530"/>
      <c r="AB490" s="530"/>
      <c r="AC490" s="530"/>
      <c r="AD490" s="530"/>
      <c r="AE490" s="530"/>
      <c r="AF490" s="530"/>
      <c r="AG490" s="530"/>
      <c r="AH490" s="530"/>
      <c r="AI490" s="530"/>
      <c r="AJ490" s="530"/>
      <c r="AK490" s="530"/>
      <c r="AL490" s="530"/>
      <c r="AM490" s="530"/>
      <c r="AN490" s="530"/>
      <c r="AO490" s="530"/>
      <c r="AP490" s="530"/>
      <c r="AQ490" s="530"/>
      <c r="AR490" s="530"/>
      <c r="AS490" s="530"/>
      <c r="AT490" s="530"/>
      <c r="AU490" s="530"/>
      <c r="AV490" s="530"/>
      <c r="AW490" s="530"/>
      <c r="AX490" s="530"/>
      <c r="AY490" s="530"/>
      <c r="AZ490" s="530"/>
      <c r="BA490" s="530"/>
      <c r="BB490" s="530"/>
      <c r="BC490" s="530"/>
      <c r="BD490" s="530"/>
      <c r="BE490" s="530"/>
    </row>
    <row r="491" spans="1:57" s="495" customFormat="1" hidden="1" outlineLevel="1" x14ac:dyDescent="0.2">
      <c r="A491" s="15"/>
      <c r="B491" s="15"/>
      <c r="C491" s="21"/>
      <c r="D491" s="4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</row>
    <row r="492" spans="1:57" hidden="1" outlineLevel="1" x14ac:dyDescent="0.2">
      <c r="A492" s="522"/>
      <c r="B492" s="522"/>
      <c r="C492" s="523"/>
      <c r="D492" s="524"/>
      <c r="E492" s="690" t="s">
        <v>1052</v>
      </c>
      <c r="F492" s="690"/>
      <c r="G492" s="690" t="str">
        <f xml:space="preserve"> SMU</f>
        <v>$ 000s</v>
      </c>
      <c r="H492" s="690"/>
      <c r="I492" s="691"/>
      <c r="J492" s="690">
        <f t="shared" ref="J492" si="853" xml:space="preserve"> I495</f>
        <v>0</v>
      </c>
      <c r="K492" s="690">
        <f t="shared" ref="K492" si="854" xml:space="preserve"> J495</f>
        <v>0</v>
      </c>
      <c r="L492" s="690">
        <f t="shared" ref="L492" si="855" xml:space="preserve"> K495</f>
        <v>0</v>
      </c>
      <c r="M492" s="690">
        <f t="shared" ref="M492" si="856" xml:space="preserve"> L495</f>
        <v>0</v>
      </c>
      <c r="N492" s="690">
        <f t="shared" ref="N492" si="857" xml:space="preserve"> M495</f>
        <v>0</v>
      </c>
      <c r="O492" s="690">
        <f t="shared" ref="O492" si="858" xml:space="preserve"> N495</f>
        <v>0</v>
      </c>
      <c r="P492" s="690">
        <f t="shared" ref="P492" si="859" xml:space="preserve"> O495</f>
        <v>0</v>
      </c>
      <c r="Q492" s="690">
        <f t="shared" ref="Q492" si="860" xml:space="preserve"> P495</f>
        <v>0</v>
      </c>
      <c r="R492" s="690">
        <f t="shared" ref="R492" si="861" xml:space="preserve"> Q495</f>
        <v>0</v>
      </c>
      <c r="S492" s="690">
        <f t="shared" ref="S492" si="862" xml:space="preserve"> R495</f>
        <v>0</v>
      </c>
      <c r="T492" s="690">
        <f t="shared" ref="T492" si="863" xml:space="preserve"> S495</f>
        <v>0</v>
      </c>
      <c r="U492" s="690">
        <f t="shared" ref="U492" si="864" xml:space="preserve"> T495</f>
        <v>0</v>
      </c>
      <c r="V492" s="690">
        <f t="shared" ref="V492" si="865" xml:space="preserve"> U495</f>
        <v>0</v>
      </c>
      <c r="W492" s="690">
        <f t="shared" ref="W492" si="866" xml:space="preserve"> V495</f>
        <v>0</v>
      </c>
      <c r="X492" s="690">
        <f t="shared" ref="X492" si="867" xml:space="preserve"> W495</f>
        <v>0</v>
      </c>
      <c r="Y492" s="690">
        <f t="shared" ref="Y492" si="868" xml:space="preserve"> X495</f>
        <v>0</v>
      </c>
      <c r="Z492" s="690">
        <f t="shared" ref="Z492" si="869" xml:space="preserve"> Y495</f>
        <v>0</v>
      </c>
      <c r="AA492" s="690">
        <f t="shared" ref="AA492" si="870" xml:space="preserve"> Z495</f>
        <v>0</v>
      </c>
      <c r="AB492" s="690">
        <f t="shared" ref="AB492" si="871" xml:space="preserve"> AA495</f>
        <v>0</v>
      </c>
      <c r="AC492" s="690">
        <f t="shared" ref="AC492" si="872" xml:space="preserve"> AB495</f>
        <v>0</v>
      </c>
      <c r="AD492" s="690">
        <f t="shared" ref="AD492" si="873" xml:space="preserve"> AC495</f>
        <v>0</v>
      </c>
      <c r="AE492" s="690">
        <f t="shared" ref="AE492" si="874" xml:space="preserve"> AD495</f>
        <v>0</v>
      </c>
      <c r="AF492" s="690">
        <f t="shared" ref="AF492" si="875" xml:space="preserve"> AE495</f>
        <v>0</v>
      </c>
      <c r="AG492" s="690">
        <f t="shared" ref="AG492" si="876" xml:space="preserve"> AF495</f>
        <v>0</v>
      </c>
      <c r="AH492" s="690">
        <f t="shared" ref="AH492" si="877" xml:space="preserve"> AG495</f>
        <v>0</v>
      </c>
      <c r="AI492" s="690">
        <f t="shared" ref="AI492" si="878" xml:space="preserve"> AH495</f>
        <v>0</v>
      </c>
      <c r="AJ492" s="690">
        <f t="shared" ref="AJ492" si="879" xml:space="preserve"> AI495</f>
        <v>0</v>
      </c>
      <c r="AK492" s="690">
        <f t="shared" ref="AK492" si="880" xml:space="preserve"> AJ495</f>
        <v>0</v>
      </c>
      <c r="AL492" s="690">
        <f t="shared" ref="AL492" si="881" xml:space="preserve"> AK495</f>
        <v>0</v>
      </c>
      <c r="AM492" s="690">
        <f t="shared" ref="AM492" si="882" xml:space="preserve"> AL495</f>
        <v>0</v>
      </c>
      <c r="AN492" s="690">
        <f t="shared" ref="AN492" si="883" xml:space="preserve"> AM495</f>
        <v>0</v>
      </c>
      <c r="AO492" s="690">
        <f t="shared" ref="AO492" si="884" xml:space="preserve"> AN495</f>
        <v>0</v>
      </c>
      <c r="AP492" s="690">
        <f t="shared" ref="AP492" si="885" xml:space="preserve"> AO495</f>
        <v>0</v>
      </c>
      <c r="AQ492" s="690">
        <f t="shared" ref="AQ492" si="886" xml:space="preserve"> AP495</f>
        <v>0</v>
      </c>
      <c r="AR492" s="690">
        <f t="shared" ref="AR492" si="887" xml:space="preserve"> AQ495</f>
        <v>0</v>
      </c>
      <c r="AS492" s="690">
        <f t="shared" ref="AS492" si="888" xml:space="preserve"> AR495</f>
        <v>0</v>
      </c>
      <c r="AT492" s="690">
        <f t="shared" ref="AT492" si="889" xml:space="preserve"> AS495</f>
        <v>0</v>
      </c>
      <c r="AU492" s="690">
        <f t="shared" ref="AU492" si="890" xml:space="preserve"> AT495</f>
        <v>0</v>
      </c>
      <c r="AV492" s="690">
        <f t="shared" ref="AV492" si="891" xml:space="preserve"> AU495</f>
        <v>0</v>
      </c>
      <c r="AW492" s="690">
        <f t="shared" ref="AW492" si="892" xml:space="preserve"> AV495</f>
        <v>0</v>
      </c>
      <c r="AX492" s="690">
        <f t="shared" ref="AX492" si="893" xml:space="preserve"> AW495</f>
        <v>0</v>
      </c>
      <c r="AY492" s="690">
        <f t="shared" ref="AY492" si="894" xml:space="preserve"> AX495</f>
        <v>0</v>
      </c>
      <c r="AZ492" s="690">
        <f t="shared" ref="AZ492" si="895" xml:space="preserve"> AY495</f>
        <v>0</v>
      </c>
      <c r="BA492" s="690">
        <f t="shared" ref="BA492" si="896" xml:space="preserve"> AZ495</f>
        <v>0</v>
      </c>
      <c r="BB492" s="690">
        <f t="shared" ref="BB492" si="897" xml:space="preserve"> BA495</f>
        <v>0</v>
      </c>
      <c r="BC492" s="690">
        <f t="shared" ref="BC492" si="898" xml:space="preserve"> BB495</f>
        <v>0</v>
      </c>
      <c r="BD492" s="690">
        <f t="shared" ref="BD492" si="899" xml:space="preserve"> BC495</f>
        <v>0</v>
      </c>
      <c r="BE492" s="690">
        <f t="shared" ref="BE492" si="900" xml:space="preserve"> BD495</f>
        <v>0</v>
      </c>
    </row>
    <row r="493" spans="1:57" s="495" customFormat="1" hidden="1" outlineLevel="1" x14ac:dyDescent="0.2">
      <c r="A493" s="522"/>
      <c r="B493" s="522"/>
      <c r="C493" s="523"/>
      <c r="D493" s="524"/>
      <c r="E493" s="663" t="str">
        <f t="shared" ref="E493:AJ493" si="901" xml:space="preserve"> E$489</f>
        <v>Standby debt - T2 drawdown - m</v>
      </c>
      <c r="F493" s="663">
        <f t="shared" si="901"/>
        <v>0</v>
      </c>
      <c r="G493" s="663" t="str">
        <f t="shared" si="901"/>
        <v>$ 000s</v>
      </c>
      <c r="H493" s="663">
        <f t="shared" si="901"/>
        <v>0</v>
      </c>
      <c r="I493" s="663">
        <f t="shared" si="901"/>
        <v>0</v>
      </c>
      <c r="J493" s="663">
        <f t="shared" si="901"/>
        <v>0</v>
      </c>
      <c r="K493" s="663">
        <f t="shared" si="901"/>
        <v>0</v>
      </c>
      <c r="L493" s="663">
        <f t="shared" si="901"/>
        <v>0</v>
      </c>
      <c r="M493" s="663">
        <f t="shared" si="901"/>
        <v>0</v>
      </c>
      <c r="N493" s="663">
        <f t="shared" si="901"/>
        <v>0</v>
      </c>
      <c r="O493" s="663">
        <f t="shared" si="901"/>
        <v>0</v>
      </c>
      <c r="P493" s="663">
        <f t="shared" si="901"/>
        <v>0</v>
      </c>
      <c r="Q493" s="663">
        <f t="shared" si="901"/>
        <v>0</v>
      </c>
      <c r="R493" s="663">
        <f t="shared" si="901"/>
        <v>0</v>
      </c>
      <c r="S493" s="663">
        <f t="shared" si="901"/>
        <v>0</v>
      </c>
      <c r="T493" s="663">
        <f t="shared" si="901"/>
        <v>0</v>
      </c>
      <c r="U493" s="663">
        <f t="shared" si="901"/>
        <v>0</v>
      </c>
      <c r="V493" s="663">
        <f t="shared" si="901"/>
        <v>0</v>
      </c>
      <c r="W493" s="663">
        <f t="shared" si="901"/>
        <v>0</v>
      </c>
      <c r="X493" s="663">
        <f t="shared" si="901"/>
        <v>0</v>
      </c>
      <c r="Y493" s="663">
        <f t="shared" si="901"/>
        <v>0</v>
      </c>
      <c r="Z493" s="663">
        <f t="shared" si="901"/>
        <v>0</v>
      </c>
      <c r="AA493" s="663">
        <f t="shared" si="901"/>
        <v>0</v>
      </c>
      <c r="AB493" s="663">
        <f t="shared" si="901"/>
        <v>0</v>
      </c>
      <c r="AC493" s="663">
        <f t="shared" si="901"/>
        <v>0</v>
      </c>
      <c r="AD493" s="663">
        <f t="shared" si="901"/>
        <v>0</v>
      </c>
      <c r="AE493" s="663">
        <f t="shared" si="901"/>
        <v>0</v>
      </c>
      <c r="AF493" s="663">
        <f t="shared" si="901"/>
        <v>0</v>
      </c>
      <c r="AG493" s="663">
        <f t="shared" si="901"/>
        <v>0</v>
      </c>
      <c r="AH493" s="663">
        <f t="shared" si="901"/>
        <v>0</v>
      </c>
      <c r="AI493" s="663">
        <f t="shared" si="901"/>
        <v>0</v>
      </c>
      <c r="AJ493" s="663">
        <f t="shared" si="901"/>
        <v>0</v>
      </c>
      <c r="AK493" s="663">
        <f t="shared" ref="AK493:BE493" si="902" xml:space="preserve"> AK$489</f>
        <v>0</v>
      </c>
      <c r="AL493" s="663">
        <f t="shared" si="902"/>
        <v>0</v>
      </c>
      <c r="AM493" s="663">
        <f t="shared" si="902"/>
        <v>0</v>
      </c>
      <c r="AN493" s="663">
        <f t="shared" si="902"/>
        <v>0</v>
      </c>
      <c r="AO493" s="663">
        <f t="shared" si="902"/>
        <v>0</v>
      </c>
      <c r="AP493" s="663">
        <f t="shared" si="902"/>
        <v>0</v>
      </c>
      <c r="AQ493" s="663">
        <f t="shared" si="902"/>
        <v>0</v>
      </c>
      <c r="AR493" s="663">
        <f t="shared" si="902"/>
        <v>0</v>
      </c>
      <c r="AS493" s="663">
        <f t="shared" si="902"/>
        <v>0</v>
      </c>
      <c r="AT493" s="663">
        <f t="shared" si="902"/>
        <v>0</v>
      </c>
      <c r="AU493" s="663">
        <f t="shared" si="902"/>
        <v>0</v>
      </c>
      <c r="AV493" s="663">
        <f t="shared" si="902"/>
        <v>0</v>
      </c>
      <c r="AW493" s="663">
        <f t="shared" si="902"/>
        <v>0</v>
      </c>
      <c r="AX493" s="663">
        <f t="shared" si="902"/>
        <v>0</v>
      </c>
      <c r="AY493" s="663">
        <f t="shared" si="902"/>
        <v>0</v>
      </c>
      <c r="AZ493" s="663">
        <f t="shared" si="902"/>
        <v>0</v>
      </c>
      <c r="BA493" s="663">
        <f t="shared" si="902"/>
        <v>0</v>
      </c>
      <c r="BB493" s="663">
        <f t="shared" si="902"/>
        <v>0</v>
      </c>
      <c r="BC493" s="663">
        <f t="shared" si="902"/>
        <v>0</v>
      </c>
      <c r="BD493" s="663">
        <f t="shared" si="902"/>
        <v>0</v>
      </c>
      <c r="BE493" s="663">
        <f t="shared" si="902"/>
        <v>0</v>
      </c>
    </row>
    <row r="494" spans="1:57" hidden="1" outlineLevel="1" x14ac:dyDescent="0.2">
      <c r="A494" s="522"/>
      <c r="B494" s="522"/>
      <c r="C494" s="523"/>
      <c r="D494" s="524"/>
      <c r="E494" s="692" t="s">
        <v>92</v>
      </c>
      <c r="F494" s="692"/>
      <c r="G494" s="692"/>
      <c r="H494" s="692"/>
      <c r="I494" s="692"/>
      <c r="J494" s="692"/>
      <c r="K494" s="692"/>
      <c r="L494" s="692"/>
      <c r="M494" s="692"/>
      <c r="N494" s="692"/>
      <c r="O494" s="692"/>
      <c r="P494" s="692"/>
      <c r="Q494" s="692"/>
      <c r="R494" s="692"/>
      <c r="S494" s="692"/>
      <c r="T494" s="692"/>
      <c r="U494" s="692"/>
      <c r="V494" s="692"/>
      <c r="W494" s="692"/>
      <c r="X494" s="692"/>
      <c r="Y494" s="692"/>
      <c r="Z494" s="692"/>
      <c r="AA494" s="692"/>
      <c r="AB494" s="692"/>
      <c r="AC494" s="692"/>
      <c r="AD494" s="692"/>
      <c r="AE494" s="692"/>
      <c r="AF494" s="692"/>
      <c r="AG494" s="692"/>
      <c r="AH494" s="692"/>
      <c r="AI494" s="692"/>
      <c r="AJ494" s="692"/>
      <c r="AK494" s="692"/>
      <c r="AL494" s="692"/>
      <c r="AM494" s="692"/>
      <c r="AN494" s="692"/>
      <c r="AO494" s="692"/>
      <c r="AP494" s="692"/>
      <c r="AQ494" s="692"/>
      <c r="AR494" s="692"/>
      <c r="AS494" s="692"/>
      <c r="AT494" s="692"/>
      <c r="AU494" s="692"/>
      <c r="AV494" s="692"/>
      <c r="AW494" s="692"/>
      <c r="AX494" s="692"/>
      <c r="AY494" s="692"/>
      <c r="AZ494" s="692"/>
      <c r="BA494" s="692"/>
      <c r="BB494" s="692"/>
      <c r="BC494" s="692"/>
      <c r="BD494" s="692"/>
      <c r="BE494" s="692"/>
    </row>
    <row r="495" spans="1:57" hidden="1" outlineLevel="1" x14ac:dyDescent="0.2">
      <c r="A495" s="522"/>
      <c r="B495" s="522"/>
      <c r="C495" s="523"/>
      <c r="D495" s="524"/>
      <c r="E495" s="693" t="s">
        <v>1053</v>
      </c>
      <c r="F495" s="693"/>
      <c r="G495" s="693" t="str">
        <f xml:space="preserve"> SMU</f>
        <v>$ 000s</v>
      </c>
      <c r="H495" s="693"/>
      <c r="I495" s="694"/>
      <c r="J495" s="693">
        <f t="shared" ref="J495:BE495" si="903" xml:space="preserve"> J492 + J493 - J494</f>
        <v>0</v>
      </c>
      <c r="K495" s="693">
        <f t="shared" si="903"/>
        <v>0</v>
      </c>
      <c r="L495" s="693">
        <f t="shared" si="903"/>
        <v>0</v>
      </c>
      <c r="M495" s="693">
        <f t="shared" si="903"/>
        <v>0</v>
      </c>
      <c r="N495" s="693">
        <f t="shared" si="903"/>
        <v>0</v>
      </c>
      <c r="O495" s="693">
        <f t="shared" si="903"/>
        <v>0</v>
      </c>
      <c r="P495" s="693">
        <f t="shared" si="903"/>
        <v>0</v>
      </c>
      <c r="Q495" s="693">
        <f t="shared" si="903"/>
        <v>0</v>
      </c>
      <c r="R495" s="693">
        <f t="shared" si="903"/>
        <v>0</v>
      </c>
      <c r="S495" s="693">
        <f t="shared" si="903"/>
        <v>0</v>
      </c>
      <c r="T495" s="693">
        <f t="shared" si="903"/>
        <v>0</v>
      </c>
      <c r="U495" s="693">
        <f t="shared" si="903"/>
        <v>0</v>
      </c>
      <c r="V495" s="693">
        <f t="shared" si="903"/>
        <v>0</v>
      </c>
      <c r="W495" s="693">
        <f t="shared" si="903"/>
        <v>0</v>
      </c>
      <c r="X495" s="693">
        <f t="shared" si="903"/>
        <v>0</v>
      </c>
      <c r="Y495" s="693">
        <f t="shared" si="903"/>
        <v>0</v>
      </c>
      <c r="Z495" s="693">
        <f t="shared" si="903"/>
        <v>0</v>
      </c>
      <c r="AA495" s="693">
        <f t="shared" si="903"/>
        <v>0</v>
      </c>
      <c r="AB495" s="693">
        <f t="shared" si="903"/>
        <v>0</v>
      </c>
      <c r="AC495" s="693">
        <f t="shared" si="903"/>
        <v>0</v>
      </c>
      <c r="AD495" s="693">
        <f t="shared" si="903"/>
        <v>0</v>
      </c>
      <c r="AE495" s="693">
        <f t="shared" si="903"/>
        <v>0</v>
      </c>
      <c r="AF495" s="693">
        <f t="shared" si="903"/>
        <v>0</v>
      </c>
      <c r="AG495" s="693">
        <f t="shared" si="903"/>
        <v>0</v>
      </c>
      <c r="AH495" s="693">
        <f t="shared" si="903"/>
        <v>0</v>
      </c>
      <c r="AI495" s="693">
        <f t="shared" si="903"/>
        <v>0</v>
      </c>
      <c r="AJ495" s="693">
        <f t="shared" si="903"/>
        <v>0</v>
      </c>
      <c r="AK495" s="693">
        <f t="shared" si="903"/>
        <v>0</v>
      </c>
      <c r="AL495" s="693">
        <f t="shared" si="903"/>
        <v>0</v>
      </c>
      <c r="AM495" s="693">
        <f t="shared" si="903"/>
        <v>0</v>
      </c>
      <c r="AN495" s="693">
        <f t="shared" si="903"/>
        <v>0</v>
      </c>
      <c r="AO495" s="693">
        <f t="shared" si="903"/>
        <v>0</v>
      </c>
      <c r="AP495" s="693">
        <f t="shared" si="903"/>
        <v>0</v>
      </c>
      <c r="AQ495" s="693">
        <f t="shared" si="903"/>
        <v>0</v>
      </c>
      <c r="AR495" s="693">
        <f t="shared" si="903"/>
        <v>0</v>
      </c>
      <c r="AS495" s="693">
        <f t="shared" si="903"/>
        <v>0</v>
      </c>
      <c r="AT495" s="693">
        <f t="shared" si="903"/>
        <v>0</v>
      </c>
      <c r="AU495" s="693">
        <f t="shared" si="903"/>
        <v>0</v>
      </c>
      <c r="AV495" s="693">
        <f t="shared" si="903"/>
        <v>0</v>
      </c>
      <c r="AW495" s="693">
        <f t="shared" si="903"/>
        <v>0</v>
      </c>
      <c r="AX495" s="693">
        <f t="shared" si="903"/>
        <v>0</v>
      </c>
      <c r="AY495" s="693">
        <f t="shared" si="903"/>
        <v>0</v>
      </c>
      <c r="AZ495" s="693">
        <f t="shared" si="903"/>
        <v>0</v>
      </c>
      <c r="BA495" s="693">
        <f t="shared" si="903"/>
        <v>0</v>
      </c>
      <c r="BB495" s="693">
        <f t="shared" si="903"/>
        <v>0</v>
      </c>
      <c r="BC495" s="693">
        <f t="shared" si="903"/>
        <v>0</v>
      </c>
      <c r="BD495" s="693">
        <f t="shared" si="903"/>
        <v>0</v>
      </c>
      <c r="BE495" s="693">
        <f t="shared" si="903"/>
        <v>0</v>
      </c>
    </row>
    <row r="496" spans="1:57" s="495" customFormat="1" hidden="1" outlineLevel="1" x14ac:dyDescent="0.2">
      <c r="A496" s="15"/>
      <c r="B496" s="15"/>
      <c r="C496" s="21"/>
      <c r="D496" s="4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</row>
    <row r="497" spans="1:57" s="495" customFormat="1" hidden="1" outlineLevel="1" x14ac:dyDescent="0.2">
      <c r="A497" s="15"/>
      <c r="B497" s="15" t="s">
        <v>1058</v>
      </c>
      <c r="C497" s="21"/>
      <c r="D497" s="4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s="495" customFormat="1" hidden="1" outlineLevel="1" x14ac:dyDescent="0.2">
      <c r="A498" s="15"/>
      <c r="B498" s="15"/>
      <c r="C498" s="21"/>
      <c r="D498" s="48"/>
      <c r="E498" s="9" t="str">
        <f t="shared" ref="E498:AJ498" si="904" xml:space="preserve"> E$469</f>
        <v>Standby debt - T1 drawdown - m</v>
      </c>
      <c r="F498" s="9">
        <f t="shared" si="904"/>
        <v>0</v>
      </c>
      <c r="G498" s="9" t="str">
        <f t="shared" si="904"/>
        <v>$ 000s</v>
      </c>
      <c r="H498" s="9">
        <f t="shared" si="904"/>
        <v>0</v>
      </c>
      <c r="I498" s="9">
        <f t="shared" si="904"/>
        <v>0</v>
      </c>
      <c r="J498" s="9">
        <f t="shared" si="904"/>
        <v>0</v>
      </c>
      <c r="K498" s="9">
        <f t="shared" si="904"/>
        <v>0</v>
      </c>
      <c r="L498" s="9">
        <f t="shared" si="904"/>
        <v>0</v>
      </c>
      <c r="M498" s="9">
        <f t="shared" si="904"/>
        <v>0</v>
      </c>
      <c r="N498" s="9">
        <f t="shared" si="904"/>
        <v>0</v>
      </c>
      <c r="O498" s="9">
        <f t="shared" si="904"/>
        <v>0</v>
      </c>
      <c r="P498" s="9">
        <f t="shared" si="904"/>
        <v>0</v>
      </c>
      <c r="Q498" s="9">
        <f t="shared" si="904"/>
        <v>0</v>
      </c>
      <c r="R498" s="9">
        <f t="shared" si="904"/>
        <v>0</v>
      </c>
      <c r="S498" s="9">
        <f t="shared" si="904"/>
        <v>0</v>
      </c>
      <c r="T498" s="9">
        <f t="shared" si="904"/>
        <v>0</v>
      </c>
      <c r="U498" s="9">
        <f t="shared" si="904"/>
        <v>0</v>
      </c>
      <c r="V498" s="9">
        <f t="shared" si="904"/>
        <v>0</v>
      </c>
      <c r="W498" s="9">
        <f t="shared" si="904"/>
        <v>0</v>
      </c>
      <c r="X498" s="9">
        <f t="shared" si="904"/>
        <v>0</v>
      </c>
      <c r="Y498" s="9">
        <f t="shared" si="904"/>
        <v>0</v>
      </c>
      <c r="Z498" s="9">
        <f t="shared" si="904"/>
        <v>0</v>
      </c>
      <c r="AA498" s="9">
        <f t="shared" si="904"/>
        <v>0</v>
      </c>
      <c r="AB498" s="9">
        <f t="shared" si="904"/>
        <v>0</v>
      </c>
      <c r="AC498" s="9">
        <f t="shared" si="904"/>
        <v>0</v>
      </c>
      <c r="AD498" s="9">
        <f t="shared" si="904"/>
        <v>0</v>
      </c>
      <c r="AE498" s="9">
        <f t="shared" si="904"/>
        <v>0</v>
      </c>
      <c r="AF498" s="9">
        <f t="shared" si="904"/>
        <v>0</v>
      </c>
      <c r="AG498" s="9">
        <f t="shared" si="904"/>
        <v>0</v>
      </c>
      <c r="AH498" s="9">
        <f t="shared" si="904"/>
        <v>0</v>
      </c>
      <c r="AI498" s="9">
        <f t="shared" si="904"/>
        <v>0</v>
      </c>
      <c r="AJ498" s="9">
        <f t="shared" si="904"/>
        <v>0</v>
      </c>
      <c r="AK498" s="9">
        <f t="shared" ref="AK498:BE498" si="905" xml:space="preserve"> AK$469</f>
        <v>0</v>
      </c>
      <c r="AL498" s="9">
        <f t="shared" si="905"/>
        <v>0</v>
      </c>
      <c r="AM498" s="9">
        <f t="shared" si="905"/>
        <v>0</v>
      </c>
      <c r="AN498" s="9">
        <f t="shared" si="905"/>
        <v>0</v>
      </c>
      <c r="AO498" s="9">
        <f t="shared" si="905"/>
        <v>0</v>
      </c>
      <c r="AP498" s="9">
        <f t="shared" si="905"/>
        <v>0</v>
      </c>
      <c r="AQ498" s="9">
        <f t="shared" si="905"/>
        <v>0</v>
      </c>
      <c r="AR498" s="9">
        <f t="shared" si="905"/>
        <v>0</v>
      </c>
      <c r="AS498" s="9">
        <f t="shared" si="905"/>
        <v>0</v>
      </c>
      <c r="AT498" s="9">
        <f t="shared" si="905"/>
        <v>0</v>
      </c>
      <c r="AU498" s="9">
        <f t="shared" si="905"/>
        <v>0</v>
      </c>
      <c r="AV498" s="9">
        <f t="shared" si="905"/>
        <v>0</v>
      </c>
      <c r="AW498" s="9">
        <f t="shared" si="905"/>
        <v>0</v>
      </c>
      <c r="AX498" s="9">
        <f t="shared" si="905"/>
        <v>0</v>
      </c>
      <c r="AY498" s="9">
        <f t="shared" si="905"/>
        <v>0</v>
      </c>
      <c r="AZ498" s="9">
        <f t="shared" si="905"/>
        <v>0</v>
      </c>
      <c r="BA498" s="9">
        <f t="shared" si="905"/>
        <v>0</v>
      </c>
      <c r="BB498" s="9">
        <f t="shared" si="905"/>
        <v>0</v>
      </c>
      <c r="BC498" s="9">
        <f t="shared" si="905"/>
        <v>0</v>
      </c>
      <c r="BD498" s="9">
        <f t="shared" si="905"/>
        <v>0</v>
      </c>
      <c r="BE498" s="9">
        <f t="shared" si="905"/>
        <v>0</v>
      </c>
    </row>
    <row r="499" spans="1:57" s="495" customFormat="1" hidden="1" outlineLevel="1" x14ac:dyDescent="0.2">
      <c r="A499" s="15"/>
      <c r="B499" s="15"/>
      <c r="C499" s="21"/>
      <c r="D499" s="48"/>
      <c r="E499" s="9" t="str">
        <f t="shared" ref="E499:AJ499" si="906" xml:space="preserve"> E$489</f>
        <v>Standby debt - T2 drawdown - m</v>
      </c>
      <c r="F499" s="9">
        <f t="shared" si="906"/>
        <v>0</v>
      </c>
      <c r="G499" s="9" t="str">
        <f t="shared" si="906"/>
        <v>$ 000s</v>
      </c>
      <c r="H499" s="9">
        <f t="shared" si="906"/>
        <v>0</v>
      </c>
      <c r="I499" s="9">
        <f t="shared" si="906"/>
        <v>0</v>
      </c>
      <c r="J499" s="9">
        <f t="shared" si="906"/>
        <v>0</v>
      </c>
      <c r="K499" s="9">
        <f t="shared" si="906"/>
        <v>0</v>
      </c>
      <c r="L499" s="9">
        <f t="shared" si="906"/>
        <v>0</v>
      </c>
      <c r="M499" s="9">
        <f t="shared" si="906"/>
        <v>0</v>
      </c>
      <c r="N499" s="9">
        <f t="shared" si="906"/>
        <v>0</v>
      </c>
      <c r="O499" s="9">
        <f t="shared" si="906"/>
        <v>0</v>
      </c>
      <c r="P499" s="9">
        <f t="shared" si="906"/>
        <v>0</v>
      </c>
      <c r="Q499" s="9">
        <f t="shared" si="906"/>
        <v>0</v>
      </c>
      <c r="R499" s="9">
        <f t="shared" si="906"/>
        <v>0</v>
      </c>
      <c r="S499" s="9">
        <f t="shared" si="906"/>
        <v>0</v>
      </c>
      <c r="T499" s="9">
        <f t="shared" si="906"/>
        <v>0</v>
      </c>
      <c r="U499" s="9">
        <f t="shared" si="906"/>
        <v>0</v>
      </c>
      <c r="V499" s="9">
        <f t="shared" si="906"/>
        <v>0</v>
      </c>
      <c r="W499" s="9">
        <f t="shared" si="906"/>
        <v>0</v>
      </c>
      <c r="X499" s="9">
        <f t="shared" si="906"/>
        <v>0</v>
      </c>
      <c r="Y499" s="9">
        <f t="shared" si="906"/>
        <v>0</v>
      </c>
      <c r="Z499" s="9">
        <f t="shared" si="906"/>
        <v>0</v>
      </c>
      <c r="AA499" s="9">
        <f t="shared" si="906"/>
        <v>0</v>
      </c>
      <c r="AB499" s="9">
        <f t="shared" si="906"/>
        <v>0</v>
      </c>
      <c r="AC499" s="9">
        <f t="shared" si="906"/>
        <v>0</v>
      </c>
      <c r="AD499" s="9">
        <f t="shared" si="906"/>
        <v>0</v>
      </c>
      <c r="AE499" s="9">
        <f t="shared" si="906"/>
        <v>0</v>
      </c>
      <c r="AF499" s="9">
        <f t="shared" si="906"/>
        <v>0</v>
      </c>
      <c r="AG499" s="9">
        <f t="shared" si="906"/>
        <v>0</v>
      </c>
      <c r="AH499" s="9">
        <f t="shared" si="906"/>
        <v>0</v>
      </c>
      <c r="AI499" s="9">
        <f t="shared" si="906"/>
        <v>0</v>
      </c>
      <c r="AJ499" s="9">
        <f t="shared" si="906"/>
        <v>0</v>
      </c>
      <c r="AK499" s="9">
        <f t="shared" ref="AK499:BE499" si="907" xml:space="preserve"> AK$489</f>
        <v>0</v>
      </c>
      <c r="AL499" s="9">
        <f t="shared" si="907"/>
        <v>0</v>
      </c>
      <c r="AM499" s="9">
        <f t="shared" si="907"/>
        <v>0</v>
      </c>
      <c r="AN499" s="9">
        <f t="shared" si="907"/>
        <v>0</v>
      </c>
      <c r="AO499" s="9">
        <f t="shared" si="907"/>
        <v>0</v>
      </c>
      <c r="AP499" s="9">
        <f t="shared" si="907"/>
        <v>0</v>
      </c>
      <c r="AQ499" s="9">
        <f t="shared" si="907"/>
        <v>0</v>
      </c>
      <c r="AR499" s="9">
        <f t="shared" si="907"/>
        <v>0</v>
      </c>
      <c r="AS499" s="9">
        <f t="shared" si="907"/>
        <v>0</v>
      </c>
      <c r="AT499" s="9">
        <f t="shared" si="907"/>
        <v>0</v>
      </c>
      <c r="AU499" s="9">
        <f t="shared" si="907"/>
        <v>0</v>
      </c>
      <c r="AV499" s="9">
        <f t="shared" si="907"/>
        <v>0</v>
      </c>
      <c r="AW499" s="9">
        <f t="shared" si="907"/>
        <v>0</v>
      </c>
      <c r="AX499" s="9">
        <f t="shared" si="907"/>
        <v>0</v>
      </c>
      <c r="AY499" s="9">
        <f t="shared" si="907"/>
        <v>0</v>
      </c>
      <c r="AZ499" s="9">
        <f t="shared" si="907"/>
        <v>0</v>
      </c>
      <c r="BA499" s="9">
        <f t="shared" si="907"/>
        <v>0</v>
      </c>
      <c r="BB499" s="9">
        <f t="shared" si="907"/>
        <v>0</v>
      </c>
      <c r="BC499" s="9">
        <f t="shared" si="907"/>
        <v>0</v>
      </c>
      <c r="BD499" s="9">
        <f t="shared" si="907"/>
        <v>0</v>
      </c>
      <c r="BE499" s="9">
        <f t="shared" si="907"/>
        <v>0</v>
      </c>
    </row>
    <row r="500" spans="1:57" s="230" customFormat="1" hidden="1" outlineLevel="1" x14ac:dyDescent="0.2">
      <c r="A500" s="141"/>
      <c r="B500" s="141"/>
      <c r="C500" s="142"/>
      <c r="D500" s="143"/>
      <c r="E500" s="497" t="s">
        <v>463</v>
      </c>
      <c r="F500" s="497"/>
      <c r="G500" s="497" t="str">
        <f xml:space="preserve"> SMU</f>
        <v>$ 000s</v>
      </c>
      <c r="H500" s="497">
        <f xml:space="preserve"> SUM(J500:BE500)</f>
        <v>0</v>
      </c>
      <c r="I500" s="497"/>
      <c r="J500" s="497">
        <f t="shared" ref="J500:BE500" si="908">SUM(J498:J499)</f>
        <v>0</v>
      </c>
      <c r="K500" s="497">
        <f t="shared" si="908"/>
        <v>0</v>
      </c>
      <c r="L500" s="497">
        <f t="shared" si="908"/>
        <v>0</v>
      </c>
      <c r="M500" s="497">
        <f t="shared" si="908"/>
        <v>0</v>
      </c>
      <c r="N500" s="497">
        <f t="shared" si="908"/>
        <v>0</v>
      </c>
      <c r="O500" s="497">
        <f t="shared" si="908"/>
        <v>0</v>
      </c>
      <c r="P500" s="497">
        <f t="shared" si="908"/>
        <v>0</v>
      </c>
      <c r="Q500" s="497">
        <f t="shared" si="908"/>
        <v>0</v>
      </c>
      <c r="R500" s="497">
        <f t="shared" si="908"/>
        <v>0</v>
      </c>
      <c r="S500" s="497">
        <f t="shared" si="908"/>
        <v>0</v>
      </c>
      <c r="T500" s="497">
        <f t="shared" si="908"/>
        <v>0</v>
      </c>
      <c r="U500" s="497">
        <f t="shared" si="908"/>
        <v>0</v>
      </c>
      <c r="V500" s="497">
        <f t="shared" si="908"/>
        <v>0</v>
      </c>
      <c r="W500" s="497">
        <f t="shared" si="908"/>
        <v>0</v>
      </c>
      <c r="X500" s="497">
        <f t="shared" si="908"/>
        <v>0</v>
      </c>
      <c r="Y500" s="497">
        <f t="shared" si="908"/>
        <v>0</v>
      </c>
      <c r="Z500" s="497">
        <f t="shared" si="908"/>
        <v>0</v>
      </c>
      <c r="AA500" s="497">
        <f t="shared" si="908"/>
        <v>0</v>
      </c>
      <c r="AB500" s="497">
        <f t="shared" si="908"/>
        <v>0</v>
      </c>
      <c r="AC500" s="497">
        <f t="shared" si="908"/>
        <v>0</v>
      </c>
      <c r="AD500" s="497">
        <f t="shared" si="908"/>
        <v>0</v>
      </c>
      <c r="AE500" s="497">
        <f t="shared" si="908"/>
        <v>0</v>
      </c>
      <c r="AF500" s="497">
        <f t="shared" si="908"/>
        <v>0</v>
      </c>
      <c r="AG500" s="497">
        <f t="shared" si="908"/>
        <v>0</v>
      </c>
      <c r="AH500" s="497">
        <f t="shared" si="908"/>
        <v>0</v>
      </c>
      <c r="AI500" s="497">
        <f t="shared" si="908"/>
        <v>0</v>
      </c>
      <c r="AJ500" s="497">
        <f t="shared" si="908"/>
        <v>0</v>
      </c>
      <c r="AK500" s="497">
        <f t="shared" si="908"/>
        <v>0</v>
      </c>
      <c r="AL500" s="497">
        <f t="shared" si="908"/>
        <v>0</v>
      </c>
      <c r="AM500" s="497">
        <f t="shared" si="908"/>
        <v>0</v>
      </c>
      <c r="AN500" s="497">
        <f t="shared" si="908"/>
        <v>0</v>
      </c>
      <c r="AO500" s="497">
        <f t="shared" si="908"/>
        <v>0</v>
      </c>
      <c r="AP500" s="497">
        <f t="shared" si="908"/>
        <v>0</v>
      </c>
      <c r="AQ500" s="497">
        <f t="shared" si="908"/>
        <v>0</v>
      </c>
      <c r="AR500" s="497">
        <f t="shared" si="908"/>
        <v>0</v>
      </c>
      <c r="AS500" s="497">
        <f t="shared" si="908"/>
        <v>0</v>
      </c>
      <c r="AT500" s="497">
        <f t="shared" si="908"/>
        <v>0</v>
      </c>
      <c r="AU500" s="497">
        <f t="shared" si="908"/>
        <v>0</v>
      </c>
      <c r="AV500" s="497">
        <f t="shared" si="908"/>
        <v>0</v>
      </c>
      <c r="AW500" s="497">
        <f t="shared" si="908"/>
        <v>0</v>
      </c>
      <c r="AX500" s="497">
        <f t="shared" si="908"/>
        <v>0</v>
      </c>
      <c r="AY500" s="497">
        <f t="shared" si="908"/>
        <v>0</v>
      </c>
      <c r="AZ500" s="497">
        <f t="shared" si="908"/>
        <v>0</v>
      </c>
      <c r="BA500" s="497">
        <f t="shared" si="908"/>
        <v>0</v>
      </c>
      <c r="BB500" s="497">
        <f t="shared" si="908"/>
        <v>0</v>
      </c>
      <c r="BC500" s="497">
        <f t="shared" si="908"/>
        <v>0</v>
      </c>
      <c r="BD500" s="497">
        <f t="shared" si="908"/>
        <v>0</v>
      </c>
      <c r="BE500" s="497">
        <f t="shared" si="908"/>
        <v>0</v>
      </c>
    </row>
    <row r="501" spans="1:57" s="495" customFormat="1" hidden="1" outlineLevel="1" x14ac:dyDescent="0.2">
      <c r="A501" s="15"/>
      <c r="B501" s="15"/>
      <c r="C501" s="21"/>
      <c r="D501" s="4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</row>
    <row r="502" spans="1:57" s="495" customFormat="1" hidden="1" outlineLevel="1" x14ac:dyDescent="0.2">
      <c r="A502" s="15"/>
      <c r="B502" s="15" t="s">
        <v>276</v>
      </c>
      <c r="C502" s="21"/>
      <c r="D502" s="4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</row>
    <row r="503" spans="1:57" s="495" customFormat="1" hidden="1" outlineLevel="2" x14ac:dyDescent="0.2">
      <c r="A503" s="15"/>
      <c r="B503" s="15"/>
      <c r="C503" s="21" t="s">
        <v>891</v>
      </c>
      <c r="D503" s="4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</row>
    <row r="504" spans="1:57" s="453" customFormat="1" hidden="1" outlineLevel="2" x14ac:dyDescent="0.2">
      <c r="A504" s="451"/>
      <c r="B504" s="451"/>
      <c r="C504" s="452"/>
      <c r="D504" s="316"/>
      <c r="E504" s="453" t="str">
        <f xml:space="preserve"> InpC!E$327</f>
        <v>Standby debt - T1 upfront fee amount</v>
      </c>
      <c r="F504" s="453">
        <f xml:space="preserve"> InpC!F$327</f>
        <v>0.02</v>
      </c>
      <c r="G504" s="453" t="str">
        <f xml:space="preserve"> InpC!G$327</f>
        <v>%</v>
      </c>
    </row>
    <row r="505" spans="1:57" s="77" customFormat="1" hidden="1" outlineLevel="2" x14ac:dyDescent="0.2">
      <c r="A505" s="85"/>
      <c r="B505" s="85"/>
      <c r="C505" s="86"/>
      <c r="D505" s="87"/>
      <c r="E505" s="68" t="str">
        <f xml:space="preserve"> InpC!E$322</f>
        <v>Standby debt - T1 - commitment amount</v>
      </c>
      <c r="F505" s="68">
        <f xml:space="preserve"> InpC!F$322</f>
        <v>2153.902910183057</v>
      </c>
      <c r="G505" s="68" t="str">
        <f xml:space="preserve"> InpC!G$322</f>
        <v>$ 000s</v>
      </c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</row>
    <row r="506" spans="1:57" hidden="1" outlineLevel="2" x14ac:dyDescent="0.2">
      <c r="E506" s="189" t="str">
        <f xml:space="preserve"> ConTime!E$64</f>
        <v>Financial close date flag - m</v>
      </c>
      <c r="F506" s="189">
        <f xml:space="preserve"> ConTime!F$64</f>
        <v>0</v>
      </c>
      <c r="G506" s="189" t="str">
        <f xml:space="preserve"> ConTime!G$64</f>
        <v>flag</v>
      </c>
      <c r="H506" s="189">
        <f xml:space="preserve"> ConTime!H$64</f>
        <v>1</v>
      </c>
      <c r="I506" s="189">
        <f xml:space="preserve"> ConTime!I$64</f>
        <v>0</v>
      </c>
      <c r="J506" s="189">
        <f xml:space="preserve"> ConTime!J$64</f>
        <v>0</v>
      </c>
      <c r="K506" s="189">
        <f xml:space="preserve"> ConTime!K$64</f>
        <v>0</v>
      </c>
      <c r="L506" s="189">
        <f xml:space="preserve"> ConTime!L$64</f>
        <v>0</v>
      </c>
      <c r="M506" s="189">
        <f xml:space="preserve"> ConTime!M$64</f>
        <v>1</v>
      </c>
      <c r="N506" s="189">
        <f xml:space="preserve"> ConTime!N$64</f>
        <v>0</v>
      </c>
      <c r="O506" s="189">
        <f xml:space="preserve"> ConTime!O$64</f>
        <v>0</v>
      </c>
      <c r="P506" s="189">
        <f xml:space="preserve"> ConTime!P$64</f>
        <v>0</v>
      </c>
      <c r="Q506" s="189">
        <f xml:space="preserve"> ConTime!Q$64</f>
        <v>0</v>
      </c>
      <c r="R506" s="189">
        <f xml:space="preserve"> ConTime!R$64</f>
        <v>0</v>
      </c>
      <c r="S506" s="189">
        <f xml:space="preserve"> ConTime!S$64</f>
        <v>0</v>
      </c>
      <c r="T506" s="189">
        <f xml:space="preserve"> ConTime!T$64</f>
        <v>0</v>
      </c>
      <c r="U506" s="189">
        <f xml:space="preserve"> ConTime!U$64</f>
        <v>0</v>
      </c>
      <c r="V506" s="189">
        <f xml:space="preserve"> ConTime!V$64</f>
        <v>0</v>
      </c>
      <c r="W506" s="189">
        <f xml:space="preserve"> ConTime!W$64</f>
        <v>0</v>
      </c>
      <c r="X506" s="189">
        <f xml:space="preserve"> ConTime!X$64</f>
        <v>0</v>
      </c>
      <c r="Y506" s="189">
        <f xml:space="preserve"> ConTime!Y$64</f>
        <v>0</v>
      </c>
      <c r="Z506" s="189">
        <f xml:space="preserve"> ConTime!Z$64</f>
        <v>0</v>
      </c>
      <c r="AA506" s="189">
        <f xml:space="preserve"> ConTime!AA$64</f>
        <v>0</v>
      </c>
      <c r="AB506" s="189">
        <f xml:space="preserve"> ConTime!AB$64</f>
        <v>0</v>
      </c>
      <c r="AC506" s="189">
        <f xml:space="preserve"> ConTime!AC$64</f>
        <v>0</v>
      </c>
      <c r="AD506" s="189">
        <f xml:space="preserve"> ConTime!AD$64</f>
        <v>0</v>
      </c>
      <c r="AE506" s="189">
        <f xml:space="preserve"> ConTime!AE$64</f>
        <v>0</v>
      </c>
      <c r="AF506" s="189">
        <f xml:space="preserve"> ConTime!AF$64</f>
        <v>0</v>
      </c>
      <c r="AG506" s="189">
        <f xml:space="preserve"> ConTime!AG$64</f>
        <v>0</v>
      </c>
      <c r="AH506" s="189">
        <f xml:space="preserve"> ConTime!AH$64</f>
        <v>0</v>
      </c>
      <c r="AI506" s="189">
        <f xml:space="preserve"> ConTime!AI$64</f>
        <v>0</v>
      </c>
      <c r="AJ506" s="189">
        <f xml:space="preserve"> ConTime!AJ$64</f>
        <v>0</v>
      </c>
      <c r="AK506" s="189">
        <f xml:space="preserve"> ConTime!AK$64</f>
        <v>0</v>
      </c>
      <c r="AL506" s="189">
        <f xml:space="preserve"> ConTime!AL$64</f>
        <v>0</v>
      </c>
      <c r="AM506" s="189">
        <f xml:space="preserve"> ConTime!AM$64</f>
        <v>0</v>
      </c>
      <c r="AN506" s="189">
        <f xml:space="preserve"> ConTime!AN$64</f>
        <v>0</v>
      </c>
      <c r="AO506" s="189">
        <f xml:space="preserve"> ConTime!AO$64</f>
        <v>0</v>
      </c>
      <c r="AP506" s="189">
        <f xml:space="preserve"> ConTime!AP$64</f>
        <v>0</v>
      </c>
      <c r="AQ506" s="189">
        <f xml:space="preserve"> ConTime!AQ$64</f>
        <v>0</v>
      </c>
      <c r="AR506" s="189">
        <f xml:space="preserve"> ConTime!AR$64</f>
        <v>0</v>
      </c>
      <c r="AS506" s="189">
        <f xml:space="preserve"> ConTime!AS$64</f>
        <v>0</v>
      </c>
      <c r="AT506" s="189">
        <f xml:space="preserve"> ConTime!AT$64</f>
        <v>0</v>
      </c>
      <c r="AU506" s="189">
        <f xml:space="preserve"> ConTime!AU$64</f>
        <v>0</v>
      </c>
      <c r="AV506" s="189">
        <f xml:space="preserve"> ConTime!AV$64</f>
        <v>0</v>
      </c>
      <c r="AW506" s="189">
        <f xml:space="preserve"> ConTime!AW$64</f>
        <v>0</v>
      </c>
      <c r="AX506" s="189">
        <f xml:space="preserve"> ConTime!AX$64</f>
        <v>0</v>
      </c>
      <c r="AY506" s="189">
        <f xml:space="preserve"> ConTime!AY$64</f>
        <v>0</v>
      </c>
      <c r="AZ506" s="189">
        <f xml:space="preserve"> ConTime!AZ$64</f>
        <v>0</v>
      </c>
      <c r="BA506" s="189">
        <f xml:space="preserve"> ConTime!BA$64</f>
        <v>0</v>
      </c>
      <c r="BB506" s="189">
        <f xml:space="preserve"> ConTime!BB$64</f>
        <v>0</v>
      </c>
      <c r="BC506" s="189">
        <f xml:space="preserve"> ConTime!BC$64</f>
        <v>0</v>
      </c>
      <c r="BD506" s="189">
        <f xml:space="preserve"> ConTime!BD$64</f>
        <v>0</v>
      </c>
      <c r="BE506" s="189">
        <f xml:space="preserve"> ConTime!BE$64</f>
        <v>0</v>
      </c>
    </row>
    <row r="507" spans="1:57" s="191" customFormat="1" hidden="1" outlineLevel="2" x14ac:dyDescent="0.2">
      <c r="A507" s="236"/>
      <c r="B507" s="236"/>
      <c r="C507" s="237"/>
      <c r="D507" s="238"/>
      <c r="E507" s="234" t="s">
        <v>1037</v>
      </c>
      <c r="F507" s="234"/>
      <c r="G507" s="234" t="str">
        <f xml:space="preserve"> SMU</f>
        <v>$ 000s</v>
      </c>
      <c r="H507" s="310">
        <f xml:space="preserve"> SUM(J507:BE507)</f>
        <v>43.078058203661143</v>
      </c>
      <c r="I507" s="310"/>
      <c r="J507" s="310">
        <f t="shared" ref="J507:BE507" si="909" xml:space="preserve"> $F504 * $F505 * J506</f>
        <v>0</v>
      </c>
      <c r="K507" s="310">
        <f t="shared" si="909"/>
        <v>0</v>
      </c>
      <c r="L507" s="310">
        <f t="shared" si="909"/>
        <v>0</v>
      </c>
      <c r="M507" s="310">
        <f t="shared" si="909"/>
        <v>43.078058203661143</v>
      </c>
      <c r="N507" s="310">
        <f t="shared" si="909"/>
        <v>0</v>
      </c>
      <c r="O507" s="310">
        <f t="shared" si="909"/>
        <v>0</v>
      </c>
      <c r="P507" s="310">
        <f t="shared" si="909"/>
        <v>0</v>
      </c>
      <c r="Q507" s="310">
        <f t="shared" si="909"/>
        <v>0</v>
      </c>
      <c r="R507" s="310">
        <f t="shared" si="909"/>
        <v>0</v>
      </c>
      <c r="S507" s="310">
        <f t="shared" si="909"/>
        <v>0</v>
      </c>
      <c r="T507" s="310">
        <f t="shared" si="909"/>
        <v>0</v>
      </c>
      <c r="U507" s="310">
        <f t="shared" si="909"/>
        <v>0</v>
      </c>
      <c r="V507" s="310">
        <f t="shared" si="909"/>
        <v>0</v>
      </c>
      <c r="W507" s="310">
        <f t="shared" si="909"/>
        <v>0</v>
      </c>
      <c r="X507" s="310">
        <f t="shared" si="909"/>
        <v>0</v>
      </c>
      <c r="Y507" s="310">
        <f t="shared" si="909"/>
        <v>0</v>
      </c>
      <c r="Z507" s="310">
        <f t="shared" si="909"/>
        <v>0</v>
      </c>
      <c r="AA507" s="310">
        <f t="shared" si="909"/>
        <v>0</v>
      </c>
      <c r="AB507" s="310">
        <f t="shared" si="909"/>
        <v>0</v>
      </c>
      <c r="AC507" s="310">
        <f t="shared" si="909"/>
        <v>0</v>
      </c>
      <c r="AD507" s="310">
        <f t="shared" si="909"/>
        <v>0</v>
      </c>
      <c r="AE507" s="310">
        <f t="shared" si="909"/>
        <v>0</v>
      </c>
      <c r="AF507" s="310">
        <f t="shared" si="909"/>
        <v>0</v>
      </c>
      <c r="AG507" s="310">
        <f t="shared" si="909"/>
        <v>0</v>
      </c>
      <c r="AH507" s="310">
        <f t="shared" si="909"/>
        <v>0</v>
      </c>
      <c r="AI507" s="310">
        <f t="shared" si="909"/>
        <v>0</v>
      </c>
      <c r="AJ507" s="310">
        <f t="shared" si="909"/>
        <v>0</v>
      </c>
      <c r="AK507" s="310">
        <f t="shared" si="909"/>
        <v>0</v>
      </c>
      <c r="AL507" s="310">
        <f t="shared" si="909"/>
        <v>0</v>
      </c>
      <c r="AM507" s="310">
        <f t="shared" si="909"/>
        <v>0</v>
      </c>
      <c r="AN507" s="310">
        <f t="shared" si="909"/>
        <v>0</v>
      </c>
      <c r="AO507" s="310">
        <f t="shared" si="909"/>
        <v>0</v>
      </c>
      <c r="AP507" s="310">
        <f t="shared" si="909"/>
        <v>0</v>
      </c>
      <c r="AQ507" s="310">
        <f t="shared" si="909"/>
        <v>0</v>
      </c>
      <c r="AR507" s="310">
        <f t="shared" si="909"/>
        <v>0</v>
      </c>
      <c r="AS507" s="310">
        <f t="shared" si="909"/>
        <v>0</v>
      </c>
      <c r="AT507" s="310">
        <f t="shared" si="909"/>
        <v>0</v>
      </c>
      <c r="AU507" s="310">
        <f t="shared" si="909"/>
        <v>0</v>
      </c>
      <c r="AV507" s="310">
        <f t="shared" si="909"/>
        <v>0</v>
      </c>
      <c r="AW507" s="310">
        <f t="shared" si="909"/>
        <v>0</v>
      </c>
      <c r="AX507" s="310">
        <f t="shared" si="909"/>
        <v>0</v>
      </c>
      <c r="AY507" s="310">
        <f t="shared" si="909"/>
        <v>0</v>
      </c>
      <c r="AZ507" s="310">
        <f t="shared" si="909"/>
        <v>0</v>
      </c>
      <c r="BA507" s="310">
        <f t="shared" si="909"/>
        <v>0</v>
      </c>
      <c r="BB507" s="310">
        <f t="shared" si="909"/>
        <v>0</v>
      </c>
      <c r="BC507" s="310">
        <f t="shared" si="909"/>
        <v>0</v>
      </c>
      <c r="BD507" s="310">
        <f t="shared" si="909"/>
        <v>0</v>
      </c>
      <c r="BE507" s="310">
        <f t="shared" si="909"/>
        <v>0</v>
      </c>
    </row>
    <row r="508" spans="1:57" hidden="1" outlineLevel="2" x14ac:dyDescent="0.2">
      <c r="E508" s="189"/>
      <c r="F508" s="189"/>
      <c r="G508" s="189"/>
      <c r="H508" s="189"/>
      <c r="I508" s="189"/>
      <c r="J508" s="189"/>
      <c r="K508" s="189"/>
      <c r="L508" s="189"/>
      <c r="M508" s="189"/>
      <c r="N508" s="189"/>
      <c r="O508" s="189"/>
      <c r="P508" s="189"/>
      <c r="Q508" s="189"/>
      <c r="R508" s="189"/>
      <c r="S508" s="189"/>
      <c r="T508" s="189"/>
      <c r="U508" s="189"/>
      <c r="V508" s="189"/>
      <c r="W508" s="189"/>
      <c r="X508" s="189"/>
      <c r="Y508" s="189"/>
      <c r="Z508" s="189"/>
      <c r="AA508" s="189"/>
      <c r="AB508" s="189"/>
      <c r="AC508" s="189"/>
      <c r="AD508" s="189"/>
      <c r="AE508" s="189"/>
      <c r="AF508" s="189"/>
      <c r="AG508" s="189"/>
      <c r="AH508" s="189"/>
      <c r="AI508" s="189"/>
      <c r="AJ508" s="189"/>
      <c r="AK508" s="189"/>
      <c r="AL508" s="189"/>
      <c r="AM508" s="189"/>
      <c r="AN508" s="189"/>
      <c r="AO508" s="189"/>
      <c r="AP508" s="189"/>
      <c r="AQ508" s="189"/>
      <c r="AR508" s="189"/>
      <c r="AS508" s="189"/>
      <c r="AT508" s="189"/>
      <c r="AU508" s="189"/>
      <c r="AV508" s="189"/>
      <c r="AW508" s="189"/>
      <c r="AX508" s="189"/>
      <c r="AY508" s="189"/>
      <c r="AZ508" s="189"/>
      <c r="BA508" s="189"/>
      <c r="BB508" s="189"/>
      <c r="BC508" s="189"/>
      <c r="BD508" s="189"/>
      <c r="BE508" s="189"/>
    </row>
    <row r="509" spans="1:57" s="495" customFormat="1" hidden="1" outlineLevel="2" x14ac:dyDescent="0.2">
      <c r="A509" s="15"/>
      <c r="B509" s="15"/>
      <c r="C509" s="21" t="s">
        <v>892</v>
      </c>
      <c r="D509" s="4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</row>
    <row r="510" spans="1:57" s="453" customFormat="1" hidden="1" outlineLevel="2" x14ac:dyDescent="0.2">
      <c r="A510" s="451"/>
      <c r="B510" s="451"/>
      <c r="C510" s="452"/>
      <c r="D510" s="316"/>
      <c r="E510" s="453" t="str">
        <f xml:space="preserve"> InpC!E$335</f>
        <v>Standby debt - T2 upfront fee amount</v>
      </c>
      <c r="F510" s="453">
        <f xml:space="preserve"> InpC!F$335</f>
        <v>2.1999999999999999E-2</v>
      </c>
      <c r="G510" s="453" t="str">
        <f xml:space="preserve"> InpC!G$335</f>
        <v>%</v>
      </c>
    </row>
    <row r="511" spans="1:57" s="77" customFormat="1" hidden="1" outlineLevel="2" x14ac:dyDescent="0.2">
      <c r="A511" s="85"/>
      <c r="B511" s="85"/>
      <c r="C511" s="86"/>
      <c r="D511" s="87"/>
      <c r="E511" s="68" t="str">
        <f xml:space="preserve"> InpC!E$323</f>
        <v>Standby debt - T2 - commitment amount</v>
      </c>
      <c r="F511" s="68">
        <f xml:space="preserve"> InpC!F$323</f>
        <v>2153.902910183057</v>
      </c>
      <c r="G511" s="68" t="str">
        <f xml:space="preserve"> InpC!G$323</f>
        <v>$ 000s</v>
      </c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</row>
    <row r="512" spans="1:57" hidden="1" outlineLevel="2" x14ac:dyDescent="0.2">
      <c r="E512" s="189" t="str">
        <f xml:space="preserve"> ConTime!E$64</f>
        <v>Financial close date flag - m</v>
      </c>
      <c r="F512" s="189">
        <f xml:space="preserve"> ConTime!F$64</f>
        <v>0</v>
      </c>
      <c r="G512" s="189" t="str">
        <f xml:space="preserve"> ConTime!G$64</f>
        <v>flag</v>
      </c>
      <c r="H512" s="189">
        <f xml:space="preserve"> ConTime!H$64</f>
        <v>1</v>
      </c>
      <c r="I512" s="189">
        <f xml:space="preserve"> ConTime!I$64</f>
        <v>0</v>
      </c>
      <c r="J512" s="189">
        <f xml:space="preserve"> ConTime!J$64</f>
        <v>0</v>
      </c>
      <c r="K512" s="189">
        <f xml:space="preserve"> ConTime!K$64</f>
        <v>0</v>
      </c>
      <c r="L512" s="189">
        <f xml:space="preserve"> ConTime!L$64</f>
        <v>0</v>
      </c>
      <c r="M512" s="189">
        <f xml:space="preserve"> ConTime!M$64</f>
        <v>1</v>
      </c>
      <c r="N512" s="189">
        <f xml:space="preserve"> ConTime!N$64</f>
        <v>0</v>
      </c>
      <c r="O512" s="189">
        <f xml:space="preserve"> ConTime!O$64</f>
        <v>0</v>
      </c>
      <c r="P512" s="189">
        <f xml:space="preserve"> ConTime!P$64</f>
        <v>0</v>
      </c>
      <c r="Q512" s="189">
        <f xml:space="preserve"> ConTime!Q$64</f>
        <v>0</v>
      </c>
      <c r="R512" s="189">
        <f xml:space="preserve"> ConTime!R$64</f>
        <v>0</v>
      </c>
      <c r="S512" s="189">
        <f xml:space="preserve"> ConTime!S$64</f>
        <v>0</v>
      </c>
      <c r="T512" s="189">
        <f xml:space="preserve"> ConTime!T$64</f>
        <v>0</v>
      </c>
      <c r="U512" s="189">
        <f xml:space="preserve"> ConTime!U$64</f>
        <v>0</v>
      </c>
      <c r="V512" s="189">
        <f xml:space="preserve"> ConTime!V$64</f>
        <v>0</v>
      </c>
      <c r="W512" s="189">
        <f xml:space="preserve"> ConTime!W$64</f>
        <v>0</v>
      </c>
      <c r="X512" s="189">
        <f xml:space="preserve"> ConTime!X$64</f>
        <v>0</v>
      </c>
      <c r="Y512" s="189">
        <f xml:space="preserve"> ConTime!Y$64</f>
        <v>0</v>
      </c>
      <c r="Z512" s="189">
        <f xml:space="preserve"> ConTime!Z$64</f>
        <v>0</v>
      </c>
      <c r="AA512" s="189">
        <f xml:space="preserve"> ConTime!AA$64</f>
        <v>0</v>
      </c>
      <c r="AB512" s="189">
        <f xml:space="preserve"> ConTime!AB$64</f>
        <v>0</v>
      </c>
      <c r="AC512" s="189">
        <f xml:space="preserve"> ConTime!AC$64</f>
        <v>0</v>
      </c>
      <c r="AD512" s="189">
        <f xml:space="preserve"> ConTime!AD$64</f>
        <v>0</v>
      </c>
      <c r="AE512" s="189">
        <f xml:space="preserve"> ConTime!AE$64</f>
        <v>0</v>
      </c>
      <c r="AF512" s="189">
        <f xml:space="preserve"> ConTime!AF$64</f>
        <v>0</v>
      </c>
      <c r="AG512" s="189">
        <f xml:space="preserve"> ConTime!AG$64</f>
        <v>0</v>
      </c>
      <c r="AH512" s="189">
        <f xml:space="preserve"> ConTime!AH$64</f>
        <v>0</v>
      </c>
      <c r="AI512" s="189">
        <f xml:space="preserve"> ConTime!AI$64</f>
        <v>0</v>
      </c>
      <c r="AJ512" s="189">
        <f xml:space="preserve"> ConTime!AJ$64</f>
        <v>0</v>
      </c>
      <c r="AK512" s="189">
        <f xml:space="preserve"> ConTime!AK$64</f>
        <v>0</v>
      </c>
      <c r="AL512" s="189">
        <f xml:space="preserve"> ConTime!AL$64</f>
        <v>0</v>
      </c>
      <c r="AM512" s="189">
        <f xml:space="preserve"> ConTime!AM$64</f>
        <v>0</v>
      </c>
      <c r="AN512" s="189">
        <f xml:space="preserve"> ConTime!AN$64</f>
        <v>0</v>
      </c>
      <c r="AO512" s="189">
        <f xml:space="preserve"> ConTime!AO$64</f>
        <v>0</v>
      </c>
      <c r="AP512" s="189">
        <f xml:space="preserve"> ConTime!AP$64</f>
        <v>0</v>
      </c>
      <c r="AQ512" s="189">
        <f xml:space="preserve"> ConTime!AQ$64</f>
        <v>0</v>
      </c>
      <c r="AR512" s="189">
        <f xml:space="preserve"> ConTime!AR$64</f>
        <v>0</v>
      </c>
      <c r="AS512" s="189">
        <f xml:space="preserve"> ConTime!AS$64</f>
        <v>0</v>
      </c>
      <c r="AT512" s="189">
        <f xml:space="preserve"> ConTime!AT$64</f>
        <v>0</v>
      </c>
      <c r="AU512" s="189">
        <f xml:space="preserve"> ConTime!AU$64</f>
        <v>0</v>
      </c>
      <c r="AV512" s="189">
        <f xml:space="preserve"> ConTime!AV$64</f>
        <v>0</v>
      </c>
      <c r="AW512" s="189">
        <f xml:space="preserve"> ConTime!AW$64</f>
        <v>0</v>
      </c>
      <c r="AX512" s="189">
        <f xml:space="preserve"> ConTime!AX$64</f>
        <v>0</v>
      </c>
      <c r="AY512" s="189">
        <f xml:space="preserve"> ConTime!AY$64</f>
        <v>0</v>
      </c>
      <c r="AZ512" s="189">
        <f xml:space="preserve"> ConTime!AZ$64</f>
        <v>0</v>
      </c>
      <c r="BA512" s="189">
        <f xml:space="preserve"> ConTime!BA$64</f>
        <v>0</v>
      </c>
      <c r="BB512" s="189">
        <f xml:space="preserve"> ConTime!BB$64</f>
        <v>0</v>
      </c>
      <c r="BC512" s="189">
        <f xml:space="preserve"> ConTime!BC$64</f>
        <v>0</v>
      </c>
      <c r="BD512" s="189">
        <f xml:space="preserve"> ConTime!BD$64</f>
        <v>0</v>
      </c>
      <c r="BE512" s="189">
        <f xml:space="preserve"> ConTime!BE$64</f>
        <v>0</v>
      </c>
    </row>
    <row r="513" spans="1:57" s="191" customFormat="1" hidden="1" outlineLevel="2" x14ac:dyDescent="0.2">
      <c r="A513" s="236"/>
      <c r="B513" s="236"/>
      <c r="C513" s="237"/>
      <c r="D513" s="238"/>
      <c r="E513" s="234" t="s">
        <v>1038</v>
      </c>
      <c r="F513" s="234"/>
      <c r="G513" s="234" t="str">
        <f xml:space="preserve"> SMU</f>
        <v>$ 000s</v>
      </c>
      <c r="H513" s="310">
        <f xml:space="preserve"> SUM(J513:BE513)</f>
        <v>47.385864024027249</v>
      </c>
      <c r="I513" s="310"/>
      <c r="J513" s="310">
        <f t="shared" ref="J513" si="910" xml:space="preserve"> $F510 * $F511 * J512</f>
        <v>0</v>
      </c>
      <c r="K513" s="310">
        <f t="shared" ref="K513" si="911" xml:space="preserve"> $F510 * $F511 * K512</f>
        <v>0</v>
      </c>
      <c r="L513" s="310">
        <f t="shared" ref="L513" si="912" xml:space="preserve"> $F510 * $F511 * L512</f>
        <v>0</v>
      </c>
      <c r="M513" s="310">
        <f t="shared" ref="M513" si="913" xml:space="preserve"> $F510 * $F511 * M512</f>
        <v>47.385864024027249</v>
      </c>
      <c r="N513" s="310">
        <f t="shared" ref="N513" si="914" xml:space="preserve"> $F510 * $F511 * N512</f>
        <v>0</v>
      </c>
      <c r="O513" s="310">
        <f t="shared" ref="O513" si="915" xml:space="preserve"> $F510 * $F511 * O512</f>
        <v>0</v>
      </c>
      <c r="P513" s="310">
        <f t="shared" ref="P513" si="916" xml:space="preserve"> $F510 * $F511 * P512</f>
        <v>0</v>
      </c>
      <c r="Q513" s="310">
        <f t="shared" ref="Q513" si="917" xml:space="preserve"> $F510 * $F511 * Q512</f>
        <v>0</v>
      </c>
      <c r="R513" s="310">
        <f t="shared" ref="R513" si="918" xml:space="preserve"> $F510 * $F511 * R512</f>
        <v>0</v>
      </c>
      <c r="S513" s="310">
        <f t="shared" ref="S513" si="919" xml:space="preserve"> $F510 * $F511 * S512</f>
        <v>0</v>
      </c>
      <c r="T513" s="310">
        <f t="shared" ref="T513" si="920" xml:space="preserve"> $F510 * $F511 * T512</f>
        <v>0</v>
      </c>
      <c r="U513" s="310">
        <f t="shared" ref="U513" si="921" xml:space="preserve"> $F510 * $F511 * U512</f>
        <v>0</v>
      </c>
      <c r="V513" s="310">
        <f t="shared" ref="V513" si="922" xml:space="preserve"> $F510 * $F511 * V512</f>
        <v>0</v>
      </c>
      <c r="W513" s="310">
        <f t="shared" ref="W513" si="923" xml:space="preserve"> $F510 * $F511 * W512</f>
        <v>0</v>
      </c>
      <c r="X513" s="310">
        <f t="shared" ref="X513" si="924" xml:space="preserve"> $F510 * $F511 * X512</f>
        <v>0</v>
      </c>
      <c r="Y513" s="310">
        <f t="shared" ref="Y513" si="925" xml:space="preserve"> $F510 * $F511 * Y512</f>
        <v>0</v>
      </c>
      <c r="Z513" s="310">
        <f t="shared" ref="Z513" si="926" xml:space="preserve"> $F510 * $F511 * Z512</f>
        <v>0</v>
      </c>
      <c r="AA513" s="310">
        <f t="shared" ref="AA513" si="927" xml:space="preserve"> $F510 * $F511 * AA512</f>
        <v>0</v>
      </c>
      <c r="AB513" s="310">
        <f t="shared" ref="AB513" si="928" xml:space="preserve"> $F510 * $F511 * AB512</f>
        <v>0</v>
      </c>
      <c r="AC513" s="310">
        <f t="shared" ref="AC513" si="929" xml:space="preserve"> $F510 * $F511 * AC512</f>
        <v>0</v>
      </c>
      <c r="AD513" s="310">
        <f t="shared" ref="AD513" si="930" xml:space="preserve"> $F510 * $F511 * AD512</f>
        <v>0</v>
      </c>
      <c r="AE513" s="310">
        <f t="shared" ref="AE513" si="931" xml:space="preserve"> $F510 * $F511 * AE512</f>
        <v>0</v>
      </c>
      <c r="AF513" s="310">
        <f t="shared" ref="AF513" si="932" xml:space="preserve"> $F510 * $F511 * AF512</f>
        <v>0</v>
      </c>
      <c r="AG513" s="310">
        <f t="shared" ref="AG513" si="933" xml:space="preserve"> $F510 * $F511 * AG512</f>
        <v>0</v>
      </c>
      <c r="AH513" s="310">
        <f t="shared" ref="AH513" si="934" xml:space="preserve"> $F510 * $F511 * AH512</f>
        <v>0</v>
      </c>
      <c r="AI513" s="310">
        <f t="shared" ref="AI513" si="935" xml:space="preserve"> $F510 * $F511 * AI512</f>
        <v>0</v>
      </c>
      <c r="AJ513" s="310">
        <f t="shared" ref="AJ513" si="936" xml:space="preserve"> $F510 * $F511 * AJ512</f>
        <v>0</v>
      </c>
      <c r="AK513" s="310">
        <f t="shared" ref="AK513" si="937" xml:space="preserve"> $F510 * $F511 * AK512</f>
        <v>0</v>
      </c>
      <c r="AL513" s="310">
        <f t="shared" ref="AL513" si="938" xml:space="preserve"> $F510 * $F511 * AL512</f>
        <v>0</v>
      </c>
      <c r="AM513" s="310">
        <f t="shared" ref="AM513" si="939" xml:space="preserve"> $F510 * $F511 * AM512</f>
        <v>0</v>
      </c>
      <c r="AN513" s="310">
        <f t="shared" ref="AN513" si="940" xml:space="preserve"> $F510 * $F511 * AN512</f>
        <v>0</v>
      </c>
      <c r="AO513" s="310">
        <f t="shared" ref="AO513" si="941" xml:space="preserve"> $F510 * $F511 * AO512</f>
        <v>0</v>
      </c>
      <c r="AP513" s="310">
        <f t="shared" ref="AP513" si="942" xml:space="preserve"> $F510 * $F511 * AP512</f>
        <v>0</v>
      </c>
      <c r="AQ513" s="310">
        <f t="shared" ref="AQ513" si="943" xml:space="preserve"> $F510 * $F511 * AQ512</f>
        <v>0</v>
      </c>
      <c r="AR513" s="310">
        <f t="shared" ref="AR513" si="944" xml:space="preserve"> $F510 * $F511 * AR512</f>
        <v>0</v>
      </c>
      <c r="AS513" s="310">
        <f t="shared" ref="AS513" si="945" xml:space="preserve"> $F510 * $F511 * AS512</f>
        <v>0</v>
      </c>
      <c r="AT513" s="310">
        <f t="shared" ref="AT513" si="946" xml:space="preserve"> $F510 * $F511 * AT512</f>
        <v>0</v>
      </c>
      <c r="AU513" s="310">
        <f t="shared" ref="AU513" si="947" xml:space="preserve"> $F510 * $F511 * AU512</f>
        <v>0</v>
      </c>
      <c r="AV513" s="310">
        <f t="shared" ref="AV513" si="948" xml:space="preserve"> $F510 * $F511 * AV512</f>
        <v>0</v>
      </c>
      <c r="AW513" s="310">
        <f t="shared" ref="AW513" si="949" xml:space="preserve"> $F510 * $F511 * AW512</f>
        <v>0</v>
      </c>
      <c r="AX513" s="310">
        <f t="shared" ref="AX513" si="950" xml:space="preserve"> $F510 * $F511 * AX512</f>
        <v>0</v>
      </c>
      <c r="AY513" s="310">
        <f t="shared" ref="AY513" si="951" xml:space="preserve"> $F510 * $F511 * AY512</f>
        <v>0</v>
      </c>
      <c r="AZ513" s="310">
        <f t="shared" ref="AZ513" si="952" xml:space="preserve"> $F510 * $F511 * AZ512</f>
        <v>0</v>
      </c>
      <c r="BA513" s="310">
        <f t="shared" ref="BA513" si="953" xml:space="preserve"> $F510 * $F511 * BA512</f>
        <v>0</v>
      </c>
      <c r="BB513" s="310">
        <f t="shared" ref="BB513" si="954" xml:space="preserve"> $F510 * $F511 * BB512</f>
        <v>0</v>
      </c>
      <c r="BC513" s="310">
        <f t="shared" ref="BC513" si="955" xml:space="preserve"> $F510 * $F511 * BC512</f>
        <v>0</v>
      </c>
      <c r="BD513" s="310">
        <f t="shared" ref="BD513" si="956" xml:space="preserve"> $F510 * $F511 * BD512</f>
        <v>0</v>
      </c>
      <c r="BE513" s="310">
        <f t="shared" ref="BE513" si="957" xml:space="preserve"> $F510 * $F511 * BE512</f>
        <v>0</v>
      </c>
    </row>
    <row r="514" spans="1:57" hidden="1" outlineLevel="2" x14ac:dyDescent="0.2">
      <c r="E514" s="189"/>
      <c r="F514" s="189"/>
      <c r="G514" s="189"/>
      <c r="H514" s="189"/>
      <c r="I514" s="189"/>
      <c r="J514" s="189"/>
      <c r="K514" s="189"/>
      <c r="L514" s="189"/>
      <c r="M514" s="189"/>
      <c r="N514" s="189"/>
      <c r="O514" s="189"/>
      <c r="P514" s="189"/>
      <c r="Q514" s="189"/>
      <c r="R514" s="189"/>
      <c r="S514" s="189"/>
      <c r="T514" s="189"/>
      <c r="U514" s="189"/>
      <c r="V514" s="189"/>
      <c r="W514" s="189"/>
      <c r="X514" s="189"/>
      <c r="Y514" s="189"/>
      <c r="Z514" s="189"/>
      <c r="AA514" s="189"/>
      <c r="AB514" s="189"/>
      <c r="AC514" s="189"/>
      <c r="AD514" s="189"/>
      <c r="AE514" s="189"/>
      <c r="AF514" s="189"/>
      <c r="AG514" s="189"/>
      <c r="AH514" s="189"/>
      <c r="AI514" s="189"/>
      <c r="AJ514" s="189"/>
      <c r="AK514" s="189"/>
      <c r="AL514" s="189"/>
      <c r="AM514" s="189"/>
      <c r="AN514" s="189"/>
      <c r="AO514" s="189"/>
      <c r="AP514" s="189"/>
      <c r="AQ514" s="189"/>
      <c r="AR514" s="189"/>
      <c r="AS514" s="189"/>
      <c r="AT514" s="189"/>
      <c r="AU514" s="189"/>
      <c r="AV514" s="189"/>
      <c r="AW514" s="189"/>
      <c r="AX514" s="189"/>
      <c r="AY514" s="189"/>
      <c r="AZ514" s="189"/>
      <c r="BA514" s="189"/>
      <c r="BB514" s="189"/>
      <c r="BC514" s="189"/>
      <c r="BD514" s="189"/>
      <c r="BE514" s="189"/>
    </row>
    <row r="515" spans="1:57" hidden="1" outlineLevel="2" x14ac:dyDescent="0.2">
      <c r="C515" s="21" t="s">
        <v>819</v>
      </c>
      <c r="E515" s="189"/>
      <c r="F515" s="189"/>
      <c r="G515" s="189"/>
      <c r="H515" s="189"/>
      <c r="I515" s="189"/>
      <c r="J515" s="189"/>
      <c r="K515" s="189"/>
      <c r="L515" s="189"/>
      <c r="M515" s="189"/>
      <c r="N515" s="189"/>
      <c r="O515" s="189"/>
      <c r="P515" s="189"/>
      <c r="Q515" s="189"/>
      <c r="R515" s="189"/>
      <c r="S515" s="189"/>
      <c r="T515" s="189"/>
      <c r="U515" s="189"/>
      <c r="V515" s="189"/>
      <c r="W515" s="189"/>
      <c r="X515" s="189"/>
      <c r="Y515" s="189"/>
      <c r="Z515" s="189"/>
      <c r="AA515" s="189"/>
      <c r="AB515" s="189"/>
      <c r="AC515" s="189"/>
      <c r="AD515" s="189"/>
      <c r="AE515" s="189"/>
      <c r="AF515" s="189"/>
      <c r="AG515" s="189"/>
      <c r="AH515" s="189"/>
      <c r="AI515" s="189"/>
      <c r="AJ515" s="189"/>
      <c r="AK515" s="189"/>
      <c r="AL515" s="189"/>
      <c r="AM515" s="189"/>
      <c r="AN515" s="189"/>
      <c r="AO515" s="189"/>
      <c r="AP515" s="189"/>
      <c r="AQ515" s="189"/>
      <c r="AR515" s="189"/>
      <c r="AS515" s="189"/>
      <c r="AT515" s="189"/>
      <c r="AU515" s="189"/>
      <c r="AV515" s="189"/>
      <c r="AW515" s="189"/>
      <c r="AX515" s="189"/>
      <c r="AY515" s="189"/>
      <c r="AZ515" s="189"/>
      <c r="BA515" s="189"/>
      <c r="BB515" s="189"/>
      <c r="BC515" s="189"/>
      <c r="BD515" s="189"/>
      <c r="BE515" s="189"/>
    </row>
    <row r="516" spans="1:57" hidden="1" outlineLevel="2" x14ac:dyDescent="0.2">
      <c r="E516" s="310" t="str">
        <f t="shared" ref="E516:AJ516" si="958" xml:space="preserve"> E$507</f>
        <v>Standby debt upfront fee - T1</v>
      </c>
      <c r="F516" s="310">
        <f t="shared" si="958"/>
        <v>0</v>
      </c>
      <c r="G516" s="310" t="str">
        <f t="shared" si="958"/>
        <v>$ 000s</v>
      </c>
      <c r="H516" s="310">
        <f t="shared" si="958"/>
        <v>43.078058203661143</v>
      </c>
      <c r="I516" s="310">
        <f t="shared" si="958"/>
        <v>0</v>
      </c>
      <c r="J516" s="310">
        <f t="shared" si="958"/>
        <v>0</v>
      </c>
      <c r="K516" s="310">
        <f t="shared" si="958"/>
        <v>0</v>
      </c>
      <c r="L516" s="310">
        <f t="shared" si="958"/>
        <v>0</v>
      </c>
      <c r="M516" s="310">
        <f t="shared" si="958"/>
        <v>43.078058203661143</v>
      </c>
      <c r="N516" s="310">
        <f t="shared" si="958"/>
        <v>0</v>
      </c>
      <c r="O516" s="310">
        <f t="shared" si="958"/>
        <v>0</v>
      </c>
      <c r="P516" s="310">
        <f t="shared" si="958"/>
        <v>0</v>
      </c>
      <c r="Q516" s="310">
        <f t="shared" si="958"/>
        <v>0</v>
      </c>
      <c r="R516" s="310">
        <f t="shared" si="958"/>
        <v>0</v>
      </c>
      <c r="S516" s="310">
        <f t="shared" si="958"/>
        <v>0</v>
      </c>
      <c r="T516" s="310">
        <f t="shared" si="958"/>
        <v>0</v>
      </c>
      <c r="U516" s="310">
        <f t="shared" si="958"/>
        <v>0</v>
      </c>
      <c r="V516" s="310">
        <f t="shared" si="958"/>
        <v>0</v>
      </c>
      <c r="W516" s="310">
        <f t="shared" si="958"/>
        <v>0</v>
      </c>
      <c r="X516" s="310">
        <f t="shared" si="958"/>
        <v>0</v>
      </c>
      <c r="Y516" s="310">
        <f t="shared" si="958"/>
        <v>0</v>
      </c>
      <c r="Z516" s="310">
        <f t="shared" si="958"/>
        <v>0</v>
      </c>
      <c r="AA516" s="310">
        <f t="shared" si="958"/>
        <v>0</v>
      </c>
      <c r="AB516" s="310">
        <f t="shared" si="958"/>
        <v>0</v>
      </c>
      <c r="AC516" s="310">
        <f t="shared" si="958"/>
        <v>0</v>
      </c>
      <c r="AD516" s="310">
        <f t="shared" si="958"/>
        <v>0</v>
      </c>
      <c r="AE516" s="310">
        <f t="shared" si="958"/>
        <v>0</v>
      </c>
      <c r="AF516" s="310">
        <f t="shared" si="958"/>
        <v>0</v>
      </c>
      <c r="AG516" s="310">
        <f t="shared" si="958"/>
        <v>0</v>
      </c>
      <c r="AH516" s="310">
        <f t="shared" si="958"/>
        <v>0</v>
      </c>
      <c r="AI516" s="310">
        <f t="shared" si="958"/>
        <v>0</v>
      </c>
      <c r="AJ516" s="310">
        <f t="shared" si="958"/>
        <v>0</v>
      </c>
      <c r="AK516" s="310">
        <f t="shared" ref="AK516:BE516" si="959" xml:space="preserve"> AK$507</f>
        <v>0</v>
      </c>
      <c r="AL516" s="310">
        <f t="shared" si="959"/>
        <v>0</v>
      </c>
      <c r="AM516" s="310">
        <f t="shared" si="959"/>
        <v>0</v>
      </c>
      <c r="AN516" s="310">
        <f t="shared" si="959"/>
        <v>0</v>
      </c>
      <c r="AO516" s="310">
        <f t="shared" si="959"/>
        <v>0</v>
      </c>
      <c r="AP516" s="310">
        <f t="shared" si="959"/>
        <v>0</v>
      </c>
      <c r="AQ516" s="310">
        <f t="shared" si="959"/>
        <v>0</v>
      </c>
      <c r="AR516" s="310">
        <f t="shared" si="959"/>
        <v>0</v>
      </c>
      <c r="AS516" s="310">
        <f t="shared" si="959"/>
        <v>0</v>
      </c>
      <c r="AT516" s="310">
        <f t="shared" si="959"/>
        <v>0</v>
      </c>
      <c r="AU516" s="310">
        <f t="shared" si="959"/>
        <v>0</v>
      </c>
      <c r="AV516" s="310">
        <f t="shared" si="959"/>
        <v>0</v>
      </c>
      <c r="AW516" s="310">
        <f t="shared" si="959"/>
        <v>0</v>
      </c>
      <c r="AX516" s="310">
        <f t="shared" si="959"/>
        <v>0</v>
      </c>
      <c r="AY516" s="310">
        <f t="shared" si="959"/>
        <v>0</v>
      </c>
      <c r="AZ516" s="310">
        <f t="shared" si="959"/>
        <v>0</v>
      </c>
      <c r="BA516" s="310">
        <f t="shared" si="959"/>
        <v>0</v>
      </c>
      <c r="BB516" s="310">
        <f t="shared" si="959"/>
        <v>0</v>
      </c>
      <c r="BC516" s="310">
        <f t="shared" si="959"/>
        <v>0</v>
      </c>
      <c r="BD516" s="310">
        <f t="shared" si="959"/>
        <v>0</v>
      </c>
      <c r="BE516" s="310">
        <f t="shared" si="959"/>
        <v>0</v>
      </c>
    </row>
    <row r="517" spans="1:57" hidden="1" outlineLevel="2" x14ac:dyDescent="0.2">
      <c r="E517" s="310" t="str">
        <f t="shared" ref="E517:AJ517" si="960" xml:space="preserve"> E$513</f>
        <v>Standby debt upfront fee - T2</v>
      </c>
      <c r="F517" s="310">
        <f t="shared" si="960"/>
        <v>0</v>
      </c>
      <c r="G517" s="310" t="str">
        <f t="shared" si="960"/>
        <v>$ 000s</v>
      </c>
      <c r="H517" s="310">
        <f t="shared" si="960"/>
        <v>47.385864024027249</v>
      </c>
      <c r="I517" s="310">
        <f t="shared" si="960"/>
        <v>0</v>
      </c>
      <c r="J517" s="310">
        <f t="shared" si="960"/>
        <v>0</v>
      </c>
      <c r="K517" s="310">
        <f t="shared" si="960"/>
        <v>0</v>
      </c>
      <c r="L517" s="310">
        <f t="shared" si="960"/>
        <v>0</v>
      </c>
      <c r="M517" s="310">
        <f t="shared" si="960"/>
        <v>47.385864024027249</v>
      </c>
      <c r="N517" s="310">
        <f t="shared" si="960"/>
        <v>0</v>
      </c>
      <c r="O517" s="310">
        <f t="shared" si="960"/>
        <v>0</v>
      </c>
      <c r="P517" s="310">
        <f t="shared" si="960"/>
        <v>0</v>
      </c>
      <c r="Q517" s="310">
        <f t="shared" si="960"/>
        <v>0</v>
      </c>
      <c r="R517" s="310">
        <f t="shared" si="960"/>
        <v>0</v>
      </c>
      <c r="S517" s="310">
        <f t="shared" si="960"/>
        <v>0</v>
      </c>
      <c r="T517" s="310">
        <f t="shared" si="960"/>
        <v>0</v>
      </c>
      <c r="U517" s="310">
        <f t="shared" si="960"/>
        <v>0</v>
      </c>
      <c r="V517" s="310">
        <f t="shared" si="960"/>
        <v>0</v>
      </c>
      <c r="W517" s="310">
        <f t="shared" si="960"/>
        <v>0</v>
      </c>
      <c r="X517" s="310">
        <f t="shared" si="960"/>
        <v>0</v>
      </c>
      <c r="Y517" s="310">
        <f t="shared" si="960"/>
        <v>0</v>
      </c>
      <c r="Z517" s="310">
        <f t="shared" si="960"/>
        <v>0</v>
      </c>
      <c r="AA517" s="310">
        <f t="shared" si="960"/>
        <v>0</v>
      </c>
      <c r="AB517" s="310">
        <f t="shared" si="960"/>
        <v>0</v>
      </c>
      <c r="AC517" s="310">
        <f t="shared" si="960"/>
        <v>0</v>
      </c>
      <c r="AD517" s="310">
        <f t="shared" si="960"/>
        <v>0</v>
      </c>
      <c r="AE517" s="310">
        <f t="shared" si="960"/>
        <v>0</v>
      </c>
      <c r="AF517" s="310">
        <f t="shared" si="960"/>
        <v>0</v>
      </c>
      <c r="AG517" s="310">
        <f t="shared" si="960"/>
        <v>0</v>
      </c>
      <c r="AH517" s="310">
        <f t="shared" si="960"/>
        <v>0</v>
      </c>
      <c r="AI517" s="310">
        <f t="shared" si="960"/>
        <v>0</v>
      </c>
      <c r="AJ517" s="310">
        <f t="shared" si="960"/>
        <v>0</v>
      </c>
      <c r="AK517" s="310">
        <f t="shared" ref="AK517:BE517" si="961" xml:space="preserve"> AK$513</f>
        <v>0</v>
      </c>
      <c r="AL517" s="310">
        <f t="shared" si="961"/>
        <v>0</v>
      </c>
      <c r="AM517" s="310">
        <f t="shared" si="961"/>
        <v>0</v>
      </c>
      <c r="AN517" s="310">
        <f t="shared" si="961"/>
        <v>0</v>
      </c>
      <c r="AO517" s="310">
        <f t="shared" si="961"/>
        <v>0</v>
      </c>
      <c r="AP517" s="310">
        <f t="shared" si="961"/>
        <v>0</v>
      </c>
      <c r="AQ517" s="310">
        <f t="shared" si="961"/>
        <v>0</v>
      </c>
      <c r="AR517" s="310">
        <f t="shared" si="961"/>
        <v>0</v>
      </c>
      <c r="AS517" s="310">
        <f t="shared" si="961"/>
        <v>0</v>
      </c>
      <c r="AT517" s="310">
        <f t="shared" si="961"/>
        <v>0</v>
      </c>
      <c r="AU517" s="310">
        <f t="shared" si="961"/>
        <v>0</v>
      </c>
      <c r="AV517" s="310">
        <f t="shared" si="961"/>
        <v>0</v>
      </c>
      <c r="AW517" s="310">
        <f t="shared" si="961"/>
        <v>0</v>
      </c>
      <c r="AX517" s="310">
        <f t="shared" si="961"/>
        <v>0</v>
      </c>
      <c r="AY517" s="310">
        <f t="shared" si="961"/>
        <v>0</v>
      </c>
      <c r="AZ517" s="310">
        <f t="shared" si="961"/>
        <v>0</v>
      </c>
      <c r="BA517" s="310">
        <f t="shared" si="961"/>
        <v>0</v>
      </c>
      <c r="BB517" s="310">
        <f t="shared" si="961"/>
        <v>0</v>
      </c>
      <c r="BC517" s="310">
        <f t="shared" si="961"/>
        <v>0</v>
      </c>
      <c r="BD517" s="310">
        <f t="shared" si="961"/>
        <v>0</v>
      </c>
      <c r="BE517" s="310">
        <f t="shared" si="961"/>
        <v>0</v>
      </c>
    </row>
    <row r="518" spans="1:57" s="188" customFormat="1" hidden="1" outlineLevel="2" x14ac:dyDescent="0.2">
      <c r="A518" s="141"/>
      <c r="B518" s="141"/>
      <c r="C518" s="142"/>
      <c r="D518" s="143"/>
      <c r="E518" s="496" t="s">
        <v>448</v>
      </c>
      <c r="F518" s="496"/>
      <c r="G518" s="496" t="str">
        <f xml:space="preserve"> SMU</f>
        <v>$ 000s</v>
      </c>
      <c r="H518" s="496">
        <f xml:space="preserve"> SUM(J518:BE518)</f>
        <v>90.463922227688386</v>
      </c>
      <c r="I518" s="497"/>
      <c r="J518" s="496">
        <f t="shared" ref="J518:BE518" si="962">SUM(J516:J517)</f>
        <v>0</v>
      </c>
      <c r="K518" s="496">
        <f t="shared" si="962"/>
        <v>0</v>
      </c>
      <c r="L518" s="496">
        <f t="shared" si="962"/>
        <v>0</v>
      </c>
      <c r="M518" s="496">
        <f t="shared" si="962"/>
        <v>90.463922227688386</v>
      </c>
      <c r="N518" s="496">
        <f t="shared" si="962"/>
        <v>0</v>
      </c>
      <c r="O518" s="496">
        <f t="shared" si="962"/>
        <v>0</v>
      </c>
      <c r="P518" s="496">
        <f t="shared" si="962"/>
        <v>0</v>
      </c>
      <c r="Q518" s="496">
        <f t="shared" si="962"/>
        <v>0</v>
      </c>
      <c r="R518" s="496">
        <f t="shared" si="962"/>
        <v>0</v>
      </c>
      <c r="S518" s="496">
        <f t="shared" si="962"/>
        <v>0</v>
      </c>
      <c r="T518" s="496">
        <f t="shared" si="962"/>
        <v>0</v>
      </c>
      <c r="U518" s="496">
        <f t="shared" si="962"/>
        <v>0</v>
      </c>
      <c r="V518" s="496">
        <f t="shared" si="962"/>
        <v>0</v>
      </c>
      <c r="W518" s="496">
        <f t="shared" si="962"/>
        <v>0</v>
      </c>
      <c r="X518" s="496">
        <f t="shared" si="962"/>
        <v>0</v>
      </c>
      <c r="Y518" s="496">
        <f t="shared" si="962"/>
        <v>0</v>
      </c>
      <c r="Z518" s="496">
        <f t="shared" si="962"/>
        <v>0</v>
      </c>
      <c r="AA518" s="496">
        <f t="shared" si="962"/>
        <v>0</v>
      </c>
      <c r="AB518" s="496">
        <f t="shared" si="962"/>
        <v>0</v>
      </c>
      <c r="AC518" s="496">
        <f t="shared" si="962"/>
        <v>0</v>
      </c>
      <c r="AD518" s="496">
        <f t="shared" si="962"/>
        <v>0</v>
      </c>
      <c r="AE518" s="496">
        <f t="shared" si="962"/>
        <v>0</v>
      </c>
      <c r="AF518" s="496">
        <f t="shared" si="962"/>
        <v>0</v>
      </c>
      <c r="AG518" s="496">
        <f t="shared" si="962"/>
        <v>0</v>
      </c>
      <c r="AH518" s="496">
        <f t="shared" si="962"/>
        <v>0</v>
      </c>
      <c r="AI518" s="496">
        <f t="shared" si="962"/>
        <v>0</v>
      </c>
      <c r="AJ518" s="496">
        <f t="shared" si="962"/>
        <v>0</v>
      </c>
      <c r="AK518" s="496">
        <f t="shared" si="962"/>
        <v>0</v>
      </c>
      <c r="AL518" s="496">
        <f t="shared" si="962"/>
        <v>0</v>
      </c>
      <c r="AM518" s="496">
        <f t="shared" si="962"/>
        <v>0</v>
      </c>
      <c r="AN518" s="496">
        <f t="shared" si="962"/>
        <v>0</v>
      </c>
      <c r="AO518" s="496">
        <f t="shared" si="962"/>
        <v>0</v>
      </c>
      <c r="AP518" s="496">
        <f t="shared" si="962"/>
        <v>0</v>
      </c>
      <c r="AQ518" s="496">
        <f t="shared" si="962"/>
        <v>0</v>
      </c>
      <c r="AR518" s="496">
        <f t="shared" si="962"/>
        <v>0</v>
      </c>
      <c r="AS518" s="496">
        <f t="shared" si="962"/>
        <v>0</v>
      </c>
      <c r="AT518" s="496">
        <f t="shared" si="962"/>
        <v>0</v>
      </c>
      <c r="AU518" s="496">
        <f t="shared" si="962"/>
        <v>0</v>
      </c>
      <c r="AV518" s="496">
        <f t="shared" si="962"/>
        <v>0</v>
      </c>
      <c r="AW518" s="496">
        <f t="shared" si="962"/>
        <v>0</v>
      </c>
      <c r="AX518" s="496">
        <f t="shared" si="962"/>
        <v>0</v>
      </c>
      <c r="AY518" s="496">
        <f t="shared" si="962"/>
        <v>0</v>
      </c>
      <c r="AZ518" s="496">
        <f t="shared" si="962"/>
        <v>0</v>
      </c>
      <c r="BA518" s="496">
        <f t="shared" si="962"/>
        <v>0</v>
      </c>
      <c r="BB518" s="496">
        <f t="shared" si="962"/>
        <v>0</v>
      </c>
      <c r="BC518" s="496">
        <f t="shared" si="962"/>
        <v>0</v>
      </c>
      <c r="BD518" s="496">
        <f t="shared" si="962"/>
        <v>0</v>
      </c>
      <c r="BE518" s="496">
        <f t="shared" si="962"/>
        <v>0</v>
      </c>
    </row>
    <row r="519" spans="1:57" s="495" customFormat="1" hidden="1" outlineLevel="1" x14ac:dyDescent="0.2">
      <c r="A519" s="15"/>
      <c r="B519" s="15"/>
      <c r="C519" s="21"/>
      <c r="D519" s="4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</row>
    <row r="520" spans="1:57" s="495" customFormat="1" hidden="1" outlineLevel="1" x14ac:dyDescent="0.2">
      <c r="A520" s="15"/>
      <c r="B520" s="15" t="s">
        <v>277</v>
      </c>
      <c r="C520" s="21"/>
      <c r="D520" s="4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</row>
    <row r="521" spans="1:57" s="495" customFormat="1" hidden="1" outlineLevel="2" x14ac:dyDescent="0.2">
      <c r="A521" s="15"/>
      <c r="B521" s="15"/>
      <c r="C521" s="21" t="s">
        <v>891</v>
      </c>
      <c r="D521" s="4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</row>
    <row r="522" spans="1:57" s="77" customFormat="1" hidden="1" outlineLevel="2" x14ac:dyDescent="0.2">
      <c r="A522" s="85"/>
      <c r="B522" s="85"/>
      <c r="C522" s="86"/>
      <c r="D522" s="87"/>
      <c r="E522" s="68" t="str">
        <f xml:space="preserve"> InpC!E$322</f>
        <v>Standby debt - T1 - commitment amount</v>
      </c>
      <c r="F522" s="68">
        <f xml:space="preserve"> InpC!F$322</f>
        <v>2153.902910183057</v>
      </c>
      <c r="G522" s="68" t="str">
        <f xml:space="preserve"> InpC!G$322</f>
        <v>$ 000s</v>
      </c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</row>
    <row r="523" spans="1:57" hidden="1" outlineLevel="2" x14ac:dyDescent="0.2">
      <c r="A523" s="522"/>
      <c r="B523" s="522"/>
      <c r="C523" s="523"/>
      <c r="D523" s="524"/>
      <c r="E523" s="525" t="str">
        <f t="shared" ref="E523:AJ523" si="963" xml:space="preserve"> E$472</f>
        <v>Standby debt - T1 balance BEG</v>
      </c>
      <c r="F523" s="525">
        <f t="shared" si="963"/>
        <v>0</v>
      </c>
      <c r="G523" s="525" t="str">
        <f t="shared" si="963"/>
        <v>$ 000s</v>
      </c>
      <c r="H523" s="525">
        <f t="shared" si="963"/>
        <v>0</v>
      </c>
      <c r="I523" s="525">
        <f t="shared" si="963"/>
        <v>0</v>
      </c>
      <c r="J523" s="525">
        <f t="shared" si="963"/>
        <v>0</v>
      </c>
      <c r="K523" s="525">
        <f t="shared" si="963"/>
        <v>0</v>
      </c>
      <c r="L523" s="525">
        <f t="shared" si="963"/>
        <v>0</v>
      </c>
      <c r="M523" s="525">
        <f t="shared" si="963"/>
        <v>0</v>
      </c>
      <c r="N523" s="525">
        <f t="shared" si="963"/>
        <v>0</v>
      </c>
      <c r="O523" s="525">
        <f t="shared" si="963"/>
        <v>0</v>
      </c>
      <c r="P523" s="525">
        <f t="shared" si="963"/>
        <v>0</v>
      </c>
      <c r="Q523" s="525">
        <f t="shared" si="963"/>
        <v>0</v>
      </c>
      <c r="R523" s="525">
        <f t="shared" si="963"/>
        <v>0</v>
      </c>
      <c r="S523" s="525">
        <f t="shared" si="963"/>
        <v>0</v>
      </c>
      <c r="T523" s="525">
        <f t="shared" si="963"/>
        <v>0</v>
      </c>
      <c r="U523" s="525">
        <f t="shared" si="963"/>
        <v>0</v>
      </c>
      <c r="V523" s="525">
        <f t="shared" si="963"/>
        <v>0</v>
      </c>
      <c r="W523" s="525">
        <f t="shared" si="963"/>
        <v>0</v>
      </c>
      <c r="X523" s="525">
        <f t="shared" si="963"/>
        <v>0</v>
      </c>
      <c r="Y523" s="525">
        <f t="shared" si="963"/>
        <v>0</v>
      </c>
      <c r="Z523" s="525">
        <f t="shared" si="963"/>
        <v>0</v>
      </c>
      <c r="AA523" s="525">
        <f t="shared" si="963"/>
        <v>0</v>
      </c>
      <c r="AB523" s="525">
        <f t="shared" si="963"/>
        <v>0</v>
      </c>
      <c r="AC523" s="525">
        <f t="shared" si="963"/>
        <v>0</v>
      </c>
      <c r="AD523" s="525">
        <f t="shared" si="963"/>
        <v>0</v>
      </c>
      <c r="AE523" s="525">
        <f t="shared" si="963"/>
        <v>0</v>
      </c>
      <c r="AF523" s="525">
        <f t="shared" si="963"/>
        <v>0</v>
      </c>
      <c r="AG523" s="525">
        <f t="shared" si="963"/>
        <v>0</v>
      </c>
      <c r="AH523" s="525">
        <f t="shared" si="963"/>
        <v>0</v>
      </c>
      <c r="AI523" s="525">
        <f t="shared" si="963"/>
        <v>0</v>
      </c>
      <c r="AJ523" s="525">
        <f t="shared" si="963"/>
        <v>0</v>
      </c>
      <c r="AK523" s="525">
        <f t="shared" ref="AK523:BE523" si="964" xml:space="preserve"> AK$472</f>
        <v>0</v>
      </c>
      <c r="AL523" s="525">
        <f t="shared" si="964"/>
        <v>0</v>
      </c>
      <c r="AM523" s="525">
        <f t="shared" si="964"/>
        <v>0</v>
      </c>
      <c r="AN523" s="525">
        <f t="shared" si="964"/>
        <v>0</v>
      </c>
      <c r="AO523" s="525">
        <f t="shared" si="964"/>
        <v>0</v>
      </c>
      <c r="AP523" s="525">
        <f t="shared" si="964"/>
        <v>0</v>
      </c>
      <c r="AQ523" s="525">
        <f t="shared" si="964"/>
        <v>0</v>
      </c>
      <c r="AR523" s="525">
        <f t="shared" si="964"/>
        <v>0</v>
      </c>
      <c r="AS523" s="525">
        <f t="shared" si="964"/>
        <v>0</v>
      </c>
      <c r="AT523" s="525">
        <f t="shared" si="964"/>
        <v>0</v>
      </c>
      <c r="AU523" s="525">
        <f t="shared" si="964"/>
        <v>0</v>
      </c>
      <c r="AV523" s="525">
        <f t="shared" si="964"/>
        <v>0</v>
      </c>
      <c r="AW523" s="525">
        <f t="shared" si="964"/>
        <v>0</v>
      </c>
      <c r="AX523" s="525">
        <f t="shared" si="964"/>
        <v>0</v>
      </c>
      <c r="AY523" s="525">
        <f t="shared" si="964"/>
        <v>0</v>
      </c>
      <c r="AZ523" s="525">
        <f t="shared" si="964"/>
        <v>0</v>
      </c>
      <c r="BA523" s="525">
        <f t="shared" si="964"/>
        <v>0</v>
      </c>
      <c r="BB523" s="525">
        <f t="shared" si="964"/>
        <v>0</v>
      </c>
      <c r="BC523" s="525">
        <f t="shared" si="964"/>
        <v>0</v>
      </c>
      <c r="BD523" s="525">
        <f t="shared" si="964"/>
        <v>0</v>
      </c>
      <c r="BE523" s="525">
        <f t="shared" si="964"/>
        <v>0</v>
      </c>
    </row>
    <row r="524" spans="1:57" hidden="1" outlineLevel="2" x14ac:dyDescent="0.2">
      <c r="A524" s="522"/>
      <c r="B524" s="522"/>
      <c r="C524" s="523"/>
      <c r="D524" s="524"/>
      <c r="E524" s="695" t="str">
        <f xml:space="preserve"> ConTime!E$82</f>
        <v>Construction period flag</v>
      </c>
      <c r="F524" s="695">
        <f xml:space="preserve"> ConTime!F$82</f>
        <v>0</v>
      </c>
      <c r="G524" s="695" t="str">
        <f xml:space="preserve"> ConTime!G$82</f>
        <v>flag</v>
      </c>
      <c r="H524" s="695">
        <f xml:space="preserve"> ConTime!H$82</f>
        <v>26</v>
      </c>
      <c r="I524" s="695">
        <f xml:space="preserve"> ConTime!I$82</f>
        <v>0</v>
      </c>
      <c r="J524" s="695">
        <f xml:space="preserve"> ConTime!J$82</f>
        <v>0</v>
      </c>
      <c r="K524" s="695">
        <f xml:space="preserve"> ConTime!K$82</f>
        <v>0</v>
      </c>
      <c r="L524" s="695">
        <f xml:space="preserve"> ConTime!L$82</f>
        <v>0</v>
      </c>
      <c r="M524" s="695">
        <f xml:space="preserve"> ConTime!M$82</f>
        <v>0</v>
      </c>
      <c r="N524" s="695">
        <f xml:space="preserve"> ConTime!N$82</f>
        <v>1</v>
      </c>
      <c r="O524" s="695">
        <f xml:space="preserve"> ConTime!O$82</f>
        <v>1</v>
      </c>
      <c r="P524" s="695">
        <f xml:space="preserve"> ConTime!P$82</f>
        <v>1</v>
      </c>
      <c r="Q524" s="695">
        <f xml:space="preserve"> ConTime!Q$82</f>
        <v>1</v>
      </c>
      <c r="R524" s="695">
        <f xml:space="preserve"> ConTime!R$82</f>
        <v>1</v>
      </c>
      <c r="S524" s="695">
        <f xml:space="preserve"> ConTime!S$82</f>
        <v>1</v>
      </c>
      <c r="T524" s="695">
        <f xml:space="preserve"> ConTime!T$82</f>
        <v>1</v>
      </c>
      <c r="U524" s="695">
        <f xml:space="preserve"> ConTime!U$82</f>
        <v>1</v>
      </c>
      <c r="V524" s="695">
        <f xml:space="preserve"> ConTime!V$82</f>
        <v>1</v>
      </c>
      <c r="W524" s="695">
        <f xml:space="preserve"> ConTime!W$82</f>
        <v>1</v>
      </c>
      <c r="X524" s="695">
        <f xml:space="preserve"> ConTime!X$82</f>
        <v>1</v>
      </c>
      <c r="Y524" s="695">
        <f xml:space="preserve"> ConTime!Y$82</f>
        <v>1</v>
      </c>
      <c r="Z524" s="695">
        <f xml:space="preserve"> ConTime!Z$82</f>
        <v>1</v>
      </c>
      <c r="AA524" s="695">
        <f xml:space="preserve"> ConTime!AA$82</f>
        <v>1</v>
      </c>
      <c r="AB524" s="695">
        <f xml:space="preserve"> ConTime!AB$82</f>
        <v>1</v>
      </c>
      <c r="AC524" s="695">
        <f xml:space="preserve"> ConTime!AC$82</f>
        <v>1</v>
      </c>
      <c r="AD524" s="695">
        <f xml:space="preserve"> ConTime!AD$82</f>
        <v>1</v>
      </c>
      <c r="AE524" s="695">
        <f xml:space="preserve"> ConTime!AE$82</f>
        <v>1</v>
      </c>
      <c r="AF524" s="695">
        <f xml:space="preserve"> ConTime!AF$82</f>
        <v>1</v>
      </c>
      <c r="AG524" s="695">
        <f xml:space="preserve"> ConTime!AG$82</f>
        <v>1</v>
      </c>
      <c r="AH524" s="695">
        <f xml:space="preserve"> ConTime!AH$82</f>
        <v>1</v>
      </c>
      <c r="AI524" s="695">
        <f xml:space="preserve"> ConTime!AI$82</f>
        <v>1</v>
      </c>
      <c r="AJ524" s="695">
        <f xml:space="preserve"> ConTime!AJ$82</f>
        <v>1</v>
      </c>
      <c r="AK524" s="695">
        <f xml:space="preserve"> ConTime!AK$82</f>
        <v>1</v>
      </c>
      <c r="AL524" s="695">
        <f xml:space="preserve"> ConTime!AL$82</f>
        <v>1</v>
      </c>
      <c r="AM524" s="695">
        <f xml:space="preserve"> ConTime!AM$82</f>
        <v>1</v>
      </c>
      <c r="AN524" s="695">
        <f xml:space="preserve"> ConTime!AN$82</f>
        <v>0</v>
      </c>
      <c r="AO524" s="695">
        <f xml:space="preserve"> ConTime!AO$82</f>
        <v>0</v>
      </c>
      <c r="AP524" s="695">
        <f xml:space="preserve"> ConTime!AP$82</f>
        <v>0</v>
      </c>
      <c r="AQ524" s="695">
        <f xml:space="preserve"> ConTime!AQ$82</f>
        <v>0</v>
      </c>
      <c r="AR524" s="695">
        <f xml:space="preserve"> ConTime!AR$82</f>
        <v>0</v>
      </c>
      <c r="AS524" s="695">
        <f xml:space="preserve"> ConTime!AS$82</f>
        <v>0</v>
      </c>
      <c r="AT524" s="695">
        <f xml:space="preserve"> ConTime!AT$82</f>
        <v>0</v>
      </c>
      <c r="AU524" s="695">
        <f xml:space="preserve"> ConTime!AU$82</f>
        <v>0</v>
      </c>
      <c r="AV524" s="695">
        <f xml:space="preserve"> ConTime!AV$82</f>
        <v>0</v>
      </c>
      <c r="AW524" s="695">
        <f xml:space="preserve"> ConTime!AW$82</f>
        <v>0</v>
      </c>
      <c r="AX524" s="695">
        <f xml:space="preserve"> ConTime!AX$82</f>
        <v>0</v>
      </c>
      <c r="AY524" s="695">
        <f xml:space="preserve"> ConTime!AY$82</f>
        <v>0</v>
      </c>
      <c r="AZ524" s="695">
        <f xml:space="preserve"> ConTime!AZ$82</f>
        <v>0</v>
      </c>
      <c r="BA524" s="695">
        <f xml:space="preserve"> ConTime!BA$82</f>
        <v>0</v>
      </c>
      <c r="BB524" s="695">
        <f xml:space="preserve"> ConTime!BB$82</f>
        <v>0</v>
      </c>
      <c r="BC524" s="695">
        <f xml:space="preserve"> ConTime!BC$82</f>
        <v>0</v>
      </c>
      <c r="BD524" s="695">
        <f xml:space="preserve"> ConTime!BD$82</f>
        <v>0</v>
      </c>
      <c r="BE524" s="695">
        <f xml:space="preserve"> ConTime!BE$82</f>
        <v>0</v>
      </c>
    </row>
    <row r="525" spans="1:57" hidden="1" outlineLevel="2" x14ac:dyDescent="0.2">
      <c r="A525" s="522"/>
      <c r="B525" s="522"/>
      <c r="C525" s="523"/>
      <c r="D525" s="524"/>
      <c r="E525" s="525" t="s">
        <v>1039</v>
      </c>
      <c r="F525" s="525"/>
      <c r="G525" s="525" t="str">
        <f xml:space="preserve"> SMU</f>
        <v>$ 000s</v>
      </c>
      <c r="H525" s="525"/>
      <c r="I525" s="526"/>
      <c r="J525" s="525">
        <f t="shared" ref="J525:BE525" si="965" xml:space="preserve"> ($F522 - J523) * J524</f>
        <v>0</v>
      </c>
      <c r="K525" s="525">
        <f t="shared" si="965"/>
        <v>0</v>
      </c>
      <c r="L525" s="525">
        <f t="shared" si="965"/>
        <v>0</v>
      </c>
      <c r="M525" s="525">
        <f t="shared" si="965"/>
        <v>0</v>
      </c>
      <c r="N525" s="525">
        <f t="shared" si="965"/>
        <v>2153.902910183057</v>
      </c>
      <c r="O525" s="525">
        <f t="shared" si="965"/>
        <v>2153.902910183057</v>
      </c>
      <c r="P525" s="525">
        <f t="shared" si="965"/>
        <v>2153.902910183057</v>
      </c>
      <c r="Q525" s="525">
        <f t="shared" si="965"/>
        <v>2153.902910183057</v>
      </c>
      <c r="R525" s="525">
        <f t="shared" si="965"/>
        <v>2153.902910183057</v>
      </c>
      <c r="S525" s="525">
        <f t="shared" si="965"/>
        <v>2153.902910183057</v>
      </c>
      <c r="T525" s="525">
        <f t="shared" si="965"/>
        <v>2153.902910183057</v>
      </c>
      <c r="U525" s="525">
        <f t="shared" si="965"/>
        <v>2153.902910183057</v>
      </c>
      <c r="V525" s="525">
        <f t="shared" si="965"/>
        <v>2153.902910183057</v>
      </c>
      <c r="W525" s="525">
        <f t="shared" si="965"/>
        <v>2153.902910183057</v>
      </c>
      <c r="X525" s="525">
        <f t="shared" si="965"/>
        <v>2153.902910183057</v>
      </c>
      <c r="Y525" s="525">
        <f t="shared" si="965"/>
        <v>2153.902910183057</v>
      </c>
      <c r="Z525" s="525">
        <f t="shared" si="965"/>
        <v>2153.902910183057</v>
      </c>
      <c r="AA525" s="525">
        <f t="shared" si="965"/>
        <v>2153.902910183057</v>
      </c>
      <c r="AB525" s="525">
        <f t="shared" si="965"/>
        <v>2153.902910183057</v>
      </c>
      <c r="AC525" s="525">
        <f t="shared" si="965"/>
        <v>2153.902910183057</v>
      </c>
      <c r="AD525" s="525">
        <f t="shared" si="965"/>
        <v>2153.902910183057</v>
      </c>
      <c r="AE525" s="525">
        <f t="shared" si="965"/>
        <v>2153.902910183057</v>
      </c>
      <c r="AF525" s="525">
        <f t="shared" si="965"/>
        <v>2153.902910183057</v>
      </c>
      <c r="AG525" s="525">
        <f t="shared" si="965"/>
        <v>2153.902910183057</v>
      </c>
      <c r="AH525" s="525">
        <f t="shared" si="965"/>
        <v>2153.902910183057</v>
      </c>
      <c r="AI525" s="525">
        <f t="shared" si="965"/>
        <v>2153.902910183057</v>
      </c>
      <c r="AJ525" s="525">
        <f t="shared" si="965"/>
        <v>2153.902910183057</v>
      </c>
      <c r="AK525" s="525">
        <f t="shared" si="965"/>
        <v>2153.902910183057</v>
      </c>
      <c r="AL525" s="525">
        <f t="shared" si="965"/>
        <v>2153.902910183057</v>
      </c>
      <c r="AM525" s="525">
        <f t="shared" si="965"/>
        <v>2153.902910183057</v>
      </c>
      <c r="AN525" s="525">
        <f t="shared" si="965"/>
        <v>0</v>
      </c>
      <c r="AO525" s="525">
        <f t="shared" si="965"/>
        <v>0</v>
      </c>
      <c r="AP525" s="525">
        <f t="shared" si="965"/>
        <v>0</v>
      </c>
      <c r="AQ525" s="525">
        <f t="shared" si="965"/>
        <v>0</v>
      </c>
      <c r="AR525" s="525">
        <f t="shared" si="965"/>
        <v>0</v>
      </c>
      <c r="AS525" s="525">
        <f t="shared" si="965"/>
        <v>0</v>
      </c>
      <c r="AT525" s="525">
        <f t="shared" si="965"/>
        <v>0</v>
      </c>
      <c r="AU525" s="525">
        <f t="shared" si="965"/>
        <v>0</v>
      </c>
      <c r="AV525" s="525">
        <f t="shared" si="965"/>
        <v>0</v>
      </c>
      <c r="AW525" s="525">
        <f t="shared" si="965"/>
        <v>0</v>
      </c>
      <c r="AX525" s="525">
        <f t="shared" si="965"/>
        <v>0</v>
      </c>
      <c r="AY525" s="525">
        <f t="shared" si="965"/>
        <v>0</v>
      </c>
      <c r="AZ525" s="525">
        <f t="shared" si="965"/>
        <v>0</v>
      </c>
      <c r="BA525" s="525">
        <f t="shared" si="965"/>
        <v>0</v>
      </c>
      <c r="BB525" s="525">
        <f t="shared" si="965"/>
        <v>0</v>
      </c>
      <c r="BC525" s="525">
        <f t="shared" si="965"/>
        <v>0</v>
      </c>
      <c r="BD525" s="525">
        <f t="shared" si="965"/>
        <v>0</v>
      </c>
      <c r="BE525" s="525">
        <f t="shared" si="965"/>
        <v>0</v>
      </c>
    </row>
    <row r="526" spans="1:57" hidden="1" outlineLevel="2" x14ac:dyDescent="0.2">
      <c r="A526" s="522"/>
      <c r="B526" s="522"/>
      <c r="C526" s="523"/>
      <c r="D526" s="524"/>
      <c r="E526" s="525"/>
      <c r="F526" s="525"/>
      <c r="G526" s="525"/>
      <c r="H526" s="525"/>
      <c r="I526" s="526"/>
      <c r="J526" s="525"/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</row>
    <row r="527" spans="1:57" hidden="1" outlineLevel="2" x14ac:dyDescent="0.2">
      <c r="A527" s="522"/>
      <c r="B527" s="522"/>
      <c r="C527" s="523"/>
      <c r="D527" s="524"/>
      <c r="E527" s="696" t="str">
        <f xml:space="preserve"> InpC!E$332</f>
        <v>Standby debt - T1 commitment fee %</v>
      </c>
      <c r="F527" s="696">
        <f xml:space="preserve"> InpC!F$332</f>
        <v>7.4999999999999997E-3</v>
      </c>
      <c r="G527" s="696" t="str">
        <f xml:space="preserve"> InpC!G$332</f>
        <v>% p.a.</v>
      </c>
      <c r="H527" s="663"/>
      <c r="I527" s="526"/>
      <c r="J527" s="525"/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</row>
    <row r="528" spans="1:57" hidden="1" outlineLevel="2" x14ac:dyDescent="0.2">
      <c r="A528" s="522"/>
      <c r="B528" s="522"/>
      <c r="C528" s="523"/>
      <c r="D528" s="524"/>
      <c r="E528" s="697" t="str">
        <f xml:space="preserve"> InpC!E$412</f>
        <v>Months in year</v>
      </c>
      <c r="F528" s="697">
        <f xml:space="preserve"> InpC!F$412</f>
        <v>12</v>
      </c>
      <c r="G528" s="697" t="str">
        <f xml:space="preserve"> InpC!G$412</f>
        <v>months</v>
      </c>
      <c r="H528" s="525"/>
      <c r="I528" s="526"/>
      <c r="J528" s="525"/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</row>
    <row r="529" spans="1:57" hidden="1" outlineLevel="2" x14ac:dyDescent="0.2">
      <c r="A529" s="522"/>
      <c r="B529" s="522"/>
      <c r="C529" s="523"/>
      <c r="D529" s="524"/>
      <c r="E529" s="525" t="str">
        <f t="shared" ref="E529:AJ529" si="966" xml:space="preserve"> E$525</f>
        <v>Standby debt undrawn amount - commitment fee calc - T1</v>
      </c>
      <c r="F529" s="525">
        <f t="shared" si="966"/>
        <v>0</v>
      </c>
      <c r="G529" s="525" t="str">
        <f t="shared" si="966"/>
        <v>$ 000s</v>
      </c>
      <c r="H529" s="525">
        <f t="shared" si="966"/>
        <v>0</v>
      </c>
      <c r="I529" s="525">
        <f t="shared" si="966"/>
        <v>0</v>
      </c>
      <c r="J529" s="525">
        <f t="shared" si="966"/>
        <v>0</v>
      </c>
      <c r="K529" s="525">
        <f t="shared" si="966"/>
        <v>0</v>
      </c>
      <c r="L529" s="525">
        <f t="shared" si="966"/>
        <v>0</v>
      </c>
      <c r="M529" s="525">
        <f t="shared" si="966"/>
        <v>0</v>
      </c>
      <c r="N529" s="525">
        <f t="shared" si="966"/>
        <v>2153.902910183057</v>
      </c>
      <c r="O529" s="525">
        <f t="shared" si="966"/>
        <v>2153.902910183057</v>
      </c>
      <c r="P529" s="525">
        <f t="shared" si="966"/>
        <v>2153.902910183057</v>
      </c>
      <c r="Q529" s="525">
        <f t="shared" si="966"/>
        <v>2153.902910183057</v>
      </c>
      <c r="R529" s="525">
        <f t="shared" si="966"/>
        <v>2153.902910183057</v>
      </c>
      <c r="S529" s="525">
        <f t="shared" si="966"/>
        <v>2153.902910183057</v>
      </c>
      <c r="T529" s="525">
        <f t="shared" si="966"/>
        <v>2153.902910183057</v>
      </c>
      <c r="U529" s="525">
        <f t="shared" si="966"/>
        <v>2153.902910183057</v>
      </c>
      <c r="V529" s="525">
        <f t="shared" si="966"/>
        <v>2153.902910183057</v>
      </c>
      <c r="W529" s="525">
        <f t="shared" si="966"/>
        <v>2153.902910183057</v>
      </c>
      <c r="X529" s="525">
        <f t="shared" si="966"/>
        <v>2153.902910183057</v>
      </c>
      <c r="Y529" s="525">
        <f t="shared" si="966"/>
        <v>2153.902910183057</v>
      </c>
      <c r="Z529" s="525">
        <f t="shared" si="966"/>
        <v>2153.902910183057</v>
      </c>
      <c r="AA529" s="525">
        <f t="shared" si="966"/>
        <v>2153.902910183057</v>
      </c>
      <c r="AB529" s="525">
        <f t="shared" si="966"/>
        <v>2153.902910183057</v>
      </c>
      <c r="AC529" s="525">
        <f t="shared" si="966"/>
        <v>2153.902910183057</v>
      </c>
      <c r="AD529" s="525">
        <f t="shared" si="966"/>
        <v>2153.902910183057</v>
      </c>
      <c r="AE529" s="525">
        <f t="shared" si="966"/>
        <v>2153.902910183057</v>
      </c>
      <c r="AF529" s="525">
        <f t="shared" si="966"/>
        <v>2153.902910183057</v>
      </c>
      <c r="AG529" s="525">
        <f t="shared" si="966"/>
        <v>2153.902910183057</v>
      </c>
      <c r="AH529" s="525">
        <f t="shared" si="966"/>
        <v>2153.902910183057</v>
      </c>
      <c r="AI529" s="525">
        <f t="shared" si="966"/>
        <v>2153.902910183057</v>
      </c>
      <c r="AJ529" s="525">
        <f t="shared" si="966"/>
        <v>2153.902910183057</v>
      </c>
      <c r="AK529" s="525">
        <f t="shared" ref="AK529:BE529" si="967" xml:space="preserve"> AK$525</f>
        <v>2153.902910183057</v>
      </c>
      <c r="AL529" s="525">
        <f t="shared" si="967"/>
        <v>2153.902910183057</v>
      </c>
      <c r="AM529" s="525">
        <f t="shared" si="967"/>
        <v>2153.902910183057</v>
      </c>
      <c r="AN529" s="525">
        <f t="shared" si="967"/>
        <v>0</v>
      </c>
      <c r="AO529" s="525">
        <f t="shared" si="967"/>
        <v>0</v>
      </c>
      <c r="AP529" s="525">
        <f t="shared" si="967"/>
        <v>0</v>
      </c>
      <c r="AQ529" s="525">
        <f t="shared" si="967"/>
        <v>0</v>
      </c>
      <c r="AR529" s="525">
        <f t="shared" si="967"/>
        <v>0</v>
      </c>
      <c r="AS529" s="525">
        <f t="shared" si="967"/>
        <v>0</v>
      </c>
      <c r="AT529" s="525">
        <f t="shared" si="967"/>
        <v>0</v>
      </c>
      <c r="AU529" s="525">
        <f t="shared" si="967"/>
        <v>0</v>
      </c>
      <c r="AV529" s="525">
        <f t="shared" si="967"/>
        <v>0</v>
      </c>
      <c r="AW529" s="525">
        <f t="shared" si="967"/>
        <v>0</v>
      </c>
      <c r="AX529" s="525">
        <f t="shared" si="967"/>
        <v>0</v>
      </c>
      <c r="AY529" s="525">
        <f t="shared" si="967"/>
        <v>0</v>
      </c>
      <c r="AZ529" s="525">
        <f t="shared" si="967"/>
        <v>0</v>
      </c>
      <c r="BA529" s="525">
        <f t="shared" si="967"/>
        <v>0</v>
      </c>
      <c r="BB529" s="525">
        <f t="shared" si="967"/>
        <v>0</v>
      </c>
      <c r="BC529" s="525">
        <f t="shared" si="967"/>
        <v>0</v>
      </c>
      <c r="BD529" s="525">
        <f t="shared" si="967"/>
        <v>0</v>
      </c>
      <c r="BE529" s="525">
        <f t="shared" si="967"/>
        <v>0</v>
      </c>
    </row>
    <row r="530" spans="1:57" hidden="1" outlineLevel="2" x14ac:dyDescent="0.2">
      <c r="A530" s="522"/>
      <c r="B530" s="522"/>
      <c r="C530" s="523"/>
      <c r="D530" s="524"/>
      <c r="E530" s="525" t="s">
        <v>1040</v>
      </c>
      <c r="F530" s="525"/>
      <c r="G530" s="525" t="str">
        <f xml:space="preserve"> SMU</f>
        <v>$ 000s</v>
      </c>
      <c r="H530" s="525">
        <f xml:space="preserve"> SUM(J530:BE530)</f>
        <v>35.000922290474684</v>
      </c>
      <c r="I530" s="525"/>
      <c r="J530" s="525">
        <f t="shared" ref="J530:BE530" si="968" xml:space="preserve"> $F527 / $F528 * J529</f>
        <v>0</v>
      </c>
      <c r="K530" s="525">
        <f t="shared" si="968"/>
        <v>0</v>
      </c>
      <c r="L530" s="525">
        <f t="shared" si="968"/>
        <v>0</v>
      </c>
      <c r="M530" s="525">
        <f t="shared" si="968"/>
        <v>0</v>
      </c>
      <c r="N530" s="525">
        <f t="shared" si="968"/>
        <v>1.3461893188644107</v>
      </c>
      <c r="O530" s="525">
        <f t="shared" si="968"/>
        <v>1.3461893188644107</v>
      </c>
      <c r="P530" s="525">
        <f t="shared" si="968"/>
        <v>1.3461893188644107</v>
      </c>
      <c r="Q530" s="525">
        <f t="shared" si="968"/>
        <v>1.3461893188644107</v>
      </c>
      <c r="R530" s="525">
        <f t="shared" si="968"/>
        <v>1.3461893188644107</v>
      </c>
      <c r="S530" s="525">
        <f t="shared" si="968"/>
        <v>1.3461893188644107</v>
      </c>
      <c r="T530" s="525">
        <f t="shared" si="968"/>
        <v>1.3461893188644107</v>
      </c>
      <c r="U530" s="525">
        <f t="shared" si="968"/>
        <v>1.3461893188644107</v>
      </c>
      <c r="V530" s="525">
        <f t="shared" si="968"/>
        <v>1.3461893188644107</v>
      </c>
      <c r="W530" s="525">
        <f t="shared" si="968"/>
        <v>1.3461893188644107</v>
      </c>
      <c r="X530" s="525">
        <f t="shared" si="968"/>
        <v>1.3461893188644107</v>
      </c>
      <c r="Y530" s="525">
        <f t="shared" si="968"/>
        <v>1.3461893188644107</v>
      </c>
      <c r="Z530" s="525">
        <f t="shared" si="968"/>
        <v>1.3461893188644107</v>
      </c>
      <c r="AA530" s="525">
        <f t="shared" si="968"/>
        <v>1.3461893188644107</v>
      </c>
      <c r="AB530" s="525">
        <f t="shared" si="968"/>
        <v>1.3461893188644107</v>
      </c>
      <c r="AC530" s="525">
        <f t="shared" si="968"/>
        <v>1.3461893188644107</v>
      </c>
      <c r="AD530" s="525">
        <f t="shared" si="968"/>
        <v>1.3461893188644107</v>
      </c>
      <c r="AE530" s="525">
        <f t="shared" si="968"/>
        <v>1.3461893188644107</v>
      </c>
      <c r="AF530" s="525">
        <f t="shared" si="968"/>
        <v>1.3461893188644107</v>
      </c>
      <c r="AG530" s="525">
        <f t="shared" si="968"/>
        <v>1.3461893188644107</v>
      </c>
      <c r="AH530" s="525">
        <f t="shared" si="968"/>
        <v>1.3461893188644107</v>
      </c>
      <c r="AI530" s="525">
        <f t="shared" si="968"/>
        <v>1.3461893188644107</v>
      </c>
      <c r="AJ530" s="525">
        <f t="shared" si="968"/>
        <v>1.3461893188644107</v>
      </c>
      <c r="AK530" s="525">
        <f t="shared" si="968"/>
        <v>1.3461893188644107</v>
      </c>
      <c r="AL530" s="525">
        <f t="shared" si="968"/>
        <v>1.3461893188644107</v>
      </c>
      <c r="AM530" s="525">
        <f t="shared" si="968"/>
        <v>1.3461893188644107</v>
      </c>
      <c r="AN530" s="525">
        <f t="shared" si="968"/>
        <v>0</v>
      </c>
      <c r="AO530" s="525">
        <f t="shared" si="968"/>
        <v>0</v>
      </c>
      <c r="AP530" s="525">
        <f t="shared" si="968"/>
        <v>0</v>
      </c>
      <c r="AQ530" s="525">
        <f t="shared" si="968"/>
        <v>0</v>
      </c>
      <c r="AR530" s="525">
        <f t="shared" si="968"/>
        <v>0</v>
      </c>
      <c r="AS530" s="525">
        <f t="shared" si="968"/>
        <v>0</v>
      </c>
      <c r="AT530" s="525">
        <f t="shared" si="968"/>
        <v>0</v>
      </c>
      <c r="AU530" s="525">
        <f t="shared" si="968"/>
        <v>0</v>
      </c>
      <c r="AV530" s="525">
        <f t="shared" si="968"/>
        <v>0</v>
      </c>
      <c r="AW530" s="525">
        <f t="shared" si="968"/>
        <v>0</v>
      </c>
      <c r="AX530" s="525">
        <f t="shared" si="968"/>
        <v>0</v>
      </c>
      <c r="AY530" s="525">
        <f t="shared" si="968"/>
        <v>0</v>
      </c>
      <c r="AZ530" s="525">
        <f t="shared" si="968"/>
        <v>0</v>
      </c>
      <c r="BA530" s="525">
        <f t="shared" si="968"/>
        <v>0</v>
      </c>
      <c r="BB530" s="525">
        <f t="shared" si="968"/>
        <v>0</v>
      </c>
      <c r="BC530" s="525">
        <f t="shared" si="968"/>
        <v>0</v>
      </c>
      <c r="BD530" s="525">
        <f t="shared" si="968"/>
        <v>0</v>
      </c>
      <c r="BE530" s="525">
        <f t="shared" si="968"/>
        <v>0</v>
      </c>
    </row>
    <row r="531" spans="1:57" hidden="1" outlineLevel="2" x14ac:dyDescent="0.2">
      <c r="A531" s="522"/>
      <c r="B531" s="522"/>
      <c r="C531" s="523"/>
      <c r="D531" s="524"/>
      <c r="E531" s="525"/>
      <c r="F531" s="525"/>
      <c r="G531" s="525"/>
      <c r="H531" s="525"/>
      <c r="I531" s="525"/>
      <c r="J531" s="525"/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</row>
    <row r="532" spans="1:57" s="495" customFormat="1" hidden="1" outlineLevel="2" x14ac:dyDescent="0.2">
      <c r="A532" s="15"/>
      <c r="B532" s="15"/>
      <c r="C532" s="21" t="s">
        <v>892</v>
      </c>
      <c r="D532" s="4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</row>
    <row r="533" spans="1:57" s="77" customFormat="1" hidden="1" outlineLevel="2" x14ac:dyDescent="0.2">
      <c r="A533" s="85"/>
      <c r="B533" s="85"/>
      <c r="C533" s="86"/>
      <c r="D533" s="87"/>
      <c r="E533" s="68" t="str">
        <f xml:space="preserve"> InpC!E$323</f>
        <v>Standby debt - T2 - commitment amount</v>
      </c>
      <c r="F533" s="68">
        <f xml:space="preserve"> InpC!F$323</f>
        <v>2153.902910183057</v>
      </c>
      <c r="G533" s="68" t="str">
        <f xml:space="preserve"> InpC!G$323</f>
        <v>$ 000s</v>
      </c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</row>
    <row r="534" spans="1:57" hidden="1" outlineLevel="2" x14ac:dyDescent="0.2">
      <c r="A534" s="522"/>
      <c r="B534" s="522"/>
      <c r="C534" s="523"/>
      <c r="D534" s="524"/>
      <c r="E534" s="525" t="str">
        <f t="shared" ref="E534:AJ534" si="969" xml:space="preserve"> E$492</f>
        <v>Standby debt - T2 balance BEG</v>
      </c>
      <c r="F534" s="525">
        <f t="shared" si="969"/>
        <v>0</v>
      </c>
      <c r="G534" s="525" t="str">
        <f t="shared" si="969"/>
        <v>$ 000s</v>
      </c>
      <c r="H534" s="525">
        <f t="shared" si="969"/>
        <v>0</v>
      </c>
      <c r="I534" s="525">
        <f t="shared" si="969"/>
        <v>0</v>
      </c>
      <c r="J534" s="525">
        <f t="shared" si="969"/>
        <v>0</v>
      </c>
      <c r="K534" s="525">
        <f t="shared" si="969"/>
        <v>0</v>
      </c>
      <c r="L534" s="525">
        <f t="shared" si="969"/>
        <v>0</v>
      </c>
      <c r="M534" s="525">
        <f t="shared" si="969"/>
        <v>0</v>
      </c>
      <c r="N534" s="525">
        <f t="shared" si="969"/>
        <v>0</v>
      </c>
      <c r="O534" s="525">
        <f t="shared" si="969"/>
        <v>0</v>
      </c>
      <c r="P534" s="525">
        <f t="shared" si="969"/>
        <v>0</v>
      </c>
      <c r="Q534" s="525">
        <f t="shared" si="969"/>
        <v>0</v>
      </c>
      <c r="R534" s="525">
        <f t="shared" si="969"/>
        <v>0</v>
      </c>
      <c r="S534" s="525">
        <f t="shared" si="969"/>
        <v>0</v>
      </c>
      <c r="T534" s="525">
        <f t="shared" si="969"/>
        <v>0</v>
      </c>
      <c r="U534" s="525">
        <f t="shared" si="969"/>
        <v>0</v>
      </c>
      <c r="V534" s="525">
        <f t="shared" si="969"/>
        <v>0</v>
      </c>
      <c r="W534" s="525">
        <f t="shared" si="969"/>
        <v>0</v>
      </c>
      <c r="X534" s="525">
        <f t="shared" si="969"/>
        <v>0</v>
      </c>
      <c r="Y534" s="525">
        <f t="shared" si="969"/>
        <v>0</v>
      </c>
      <c r="Z534" s="525">
        <f t="shared" si="969"/>
        <v>0</v>
      </c>
      <c r="AA534" s="525">
        <f t="shared" si="969"/>
        <v>0</v>
      </c>
      <c r="AB534" s="525">
        <f t="shared" si="969"/>
        <v>0</v>
      </c>
      <c r="AC534" s="525">
        <f t="shared" si="969"/>
        <v>0</v>
      </c>
      <c r="AD534" s="525">
        <f t="shared" si="969"/>
        <v>0</v>
      </c>
      <c r="AE534" s="525">
        <f t="shared" si="969"/>
        <v>0</v>
      </c>
      <c r="AF534" s="525">
        <f t="shared" si="969"/>
        <v>0</v>
      </c>
      <c r="AG534" s="525">
        <f t="shared" si="969"/>
        <v>0</v>
      </c>
      <c r="AH534" s="525">
        <f t="shared" si="969"/>
        <v>0</v>
      </c>
      <c r="AI534" s="525">
        <f t="shared" si="969"/>
        <v>0</v>
      </c>
      <c r="AJ534" s="525">
        <f t="shared" si="969"/>
        <v>0</v>
      </c>
      <c r="AK534" s="525">
        <f t="shared" ref="AK534:BE534" si="970" xml:space="preserve"> AK$492</f>
        <v>0</v>
      </c>
      <c r="AL534" s="525">
        <f t="shared" si="970"/>
        <v>0</v>
      </c>
      <c r="AM534" s="525">
        <f t="shared" si="970"/>
        <v>0</v>
      </c>
      <c r="AN534" s="525">
        <f t="shared" si="970"/>
        <v>0</v>
      </c>
      <c r="AO534" s="525">
        <f t="shared" si="970"/>
        <v>0</v>
      </c>
      <c r="AP534" s="525">
        <f t="shared" si="970"/>
        <v>0</v>
      </c>
      <c r="AQ534" s="525">
        <f t="shared" si="970"/>
        <v>0</v>
      </c>
      <c r="AR534" s="525">
        <f t="shared" si="970"/>
        <v>0</v>
      </c>
      <c r="AS534" s="525">
        <f t="shared" si="970"/>
        <v>0</v>
      </c>
      <c r="AT534" s="525">
        <f t="shared" si="970"/>
        <v>0</v>
      </c>
      <c r="AU534" s="525">
        <f t="shared" si="970"/>
        <v>0</v>
      </c>
      <c r="AV534" s="525">
        <f t="shared" si="970"/>
        <v>0</v>
      </c>
      <c r="AW534" s="525">
        <f t="shared" si="970"/>
        <v>0</v>
      </c>
      <c r="AX534" s="525">
        <f t="shared" si="970"/>
        <v>0</v>
      </c>
      <c r="AY534" s="525">
        <f t="shared" si="970"/>
        <v>0</v>
      </c>
      <c r="AZ534" s="525">
        <f t="shared" si="970"/>
        <v>0</v>
      </c>
      <c r="BA534" s="525">
        <f t="shared" si="970"/>
        <v>0</v>
      </c>
      <c r="BB534" s="525">
        <f t="shared" si="970"/>
        <v>0</v>
      </c>
      <c r="BC534" s="525">
        <f t="shared" si="970"/>
        <v>0</v>
      </c>
      <c r="BD534" s="525">
        <f t="shared" si="970"/>
        <v>0</v>
      </c>
      <c r="BE534" s="525">
        <f t="shared" si="970"/>
        <v>0</v>
      </c>
    </row>
    <row r="535" spans="1:57" hidden="1" outlineLevel="2" x14ac:dyDescent="0.2">
      <c r="A535" s="522"/>
      <c r="B535" s="522"/>
      <c r="C535" s="523"/>
      <c r="D535" s="524"/>
      <c r="E535" s="695" t="str">
        <f xml:space="preserve"> ConTime!E$82</f>
        <v>Construction period flag</v>
      </c>
      <c r="F535" s="695">
        <f xml:space="preserve"> ConTime!F$82</f>
        <v>0</v>
      </c>
      <c r="G535" s="695" t="str">
        <f xml:space="preserve"> ConTime!G$82</f>
        <v>flag</v>
      </c>
      <c r="H535" s="695">
        <f xml:space="preserve"> ConTime!H$82</f>
        <v>26</v>
      </c>
      <c r="I535" s="695">
        <f xml:space="preserve"> ConTime!I$82</f>
        <v>0</v>
      </c>
      <c r="J535" s="695">
        <f xml:space="preserve"> ConTime!J$82</f>
        <v>0</v>
      </c>
      <c r="K535" s="695">
        <f xml:space="preserve"> ConTime!K$82</f>
        <v>0</v>
      </c>
      <c r="L535" s="695">
        <f xml:space="preserve"> ConTime!L$82</f>
        <v>0</v>
      </c>
      <c r="M535" s="695">
        <f xml:space="preserve"> ConTime!M$82</f>
        <v>0</v>
      </c>
      <c r="N535" s="695">
        <f xml:space="preserve"> ConTime!N$82</f>
        <v>1</v>
      </c>
      <c r="O535" s="695">
        <f xml:space="preserve"> ConTime!O$82</f>
        <v>1</v>
      </c>
      <c r="P535" s="695">
        <f xml:space="preserve"> ConTime!P$82</f>
        <v>1</v>
      </c>
      <c r="Q535" s="695">
        <f xml:space="preserve"> ConTime!Q$82</f>
        <v>1</v>
      </c>
      <c r="R535" s="695">
        <f xml:space="preserve"> ConTime!R$82</f>
        <v>1</v>
      </c>
      <c r="S535" s="695">
        <f xml:space="preserve"> ConTime!S$82</f>
        <v>1</v>
      </c>
      <c r="T535" s="695">
        <f xml:space="preserve"> ConTime!T$82</f>
        <v>1</v>
      </c>
      <c r="U535" s="695">
        <f xml:space="preserve"> ConTime!U$82</f>
        <v>1</v>
      </c>
      <c r="V535" s="695">
        <f xml:space="preserve"> ConTime!V$82</f>
        <v>1</v>
      </c>
      <c r="W535" s="695">
        <f xml:space="preserve"> ConTime!W$82</f>
        <v>1</v>
      </c>
      <c r="X535" s="695">
        <f xml:space="preserve"> ConTime!X$82</f>
        <v>1</v>
      </c>
      <c r="Y535" s="695">
        <f xml:space="preserve"> ConTime!Y$82</f>
        <v>1</v>
      </c>
      <c r="Z535" s="695">
        <f xml:space="preserve"> ConTime!Z$82</f>
        <v>1</v>
      </c>
      <c r="AA535" s="695">
        <f xml:space="preserve"> ConTime!AA$82</f>
        <v>1</v>
      </c>
      <c r="AB535" s="695">
        <f xml:space="preserve"> ConTime!AB$82</f>
        <v>1</v>
      </c>
      <c r="AC535" s="695">
        <f xml:space="preserve"> ConTime!AC$82</f>
        <v>1</v>
      </c>
      <c r="AD535" s="695">
        <f xml:space="preserve"> ConTime!AD$82</f>
        <v>1</v>
      </c>
      <c r="AE535" s="695">
        <f xml:space="preserve"> ConTime!AE$82</f>
        <v>1</v>
      </c>
      <c r="AF535" s="695">
        <f xml:space="preserve"> ConTime!AF$82</f>
        <v>1</v>
      </c>
      <c r="AG535" s="695">
        <f xml:space="preserve"> ConTime!AG$82</f>
        <v>1</v>
      </c>
      <c r="AH535" s="695">
        <f xml:space="preserve"> ConTime!AH$82</f>
        <v>1</v>
      </c>
      <c r="AI535" s="695">
        <f xml:space="preserve"> ConTime!AI$82</f>
        <v>1</v>
      </c>
      <c r="AJ535" s="695">
        <f xml:space="preserve"> ConTime!AJ$82</f>
        <v>1</v>
      </c>
      <c r="AK535" s="695">
        <f xml:space="preserve"> ConTime!AK$82</f>
        <v>1</v>
      </c>
      <c r="AL535" s="695">
        <f xml:space="preserve"> ConTime!AL$82</f>
        <v>1</v>
      </c>
      <c r="AM535" s="695">
        <f xml:space="preserve"> ConTime!AM$82</f>
        <v>1</v>
      </c>
      <c r="AN535" s="695">
        <f xml:space="preserve"> ConTime!AN$82</f>
        <v>0</v>
      </c>
      <c r="AO535" s="695">
        <f xml:space="preserve"> ConTime!AO$82</f>
        <v>0</v>
      </c>
      <c r="AP535" s="695">
        <f xml:space="preserve"> ConTime!AP$82</f>
        <v>0</v>
      </c>
      <c r="AQ535" s="695">
        <f xml:space="preserve"> ConTime!AQ$82</f>
        <v>0</v>
      </c>
      <c r="AR535" s="695">
        <f xml:space="preserve"> ConTime!AR$82</f>
        <v>0</v>
      </c>
      <c r="AS535" s="695">
        <f xml:space="preserve"> ConTime!AS$82</f>
        <v>0</v>
      </c>
      <c r="AT535" s="695">
        <f xml:space="preserve"> ConTime!AT$82</f>
        <v>0</v>
      </c>
      <c r="AU535" s="695">
        <f xml:space="preserve"> ConTime!AU$82</f>
        <v>0</v>
      </c>
      <c r="AV535" s="695">
        <f xml:space="preserve"> ConTime!AV$82</f>
        <v>0</v>
      </c>
      <c r="AW535" s="695">
        <f xml:space="preserve"> ConTime!AW$82</f>
        <v>0</v>
      </c>
      <c r="AX535" s="695">
        <f xml:space="preserve"> ConTime!AX$82</f>
        <v>0</v>
      </c>
      <c r="AY535" s="695">
        <f xml:space="preserve"> ConTime!AY$82</f>
        <v>0</v>
      </c>
      <c r="AZ535" s="695">
        <f xml:space="preserve"> ConTime!AZ$82</f>
        <v>0</v>
      </c>
      <c r="BA535" s="695">
        <f xml:space="preserve"> ConTime!BA$82</f>
        <v>0</v>
      </c>
      <c r="BB535" s="695">
        <f xml:space="preserve"> ConTime!BB$82</f>
        <v>0</v>
      </c>
      <c r="BC535" s="695">
        <f xml:space="preserve"> ConTime!BC$82</f>
        <v>0</v>
      </c>
      <c r="BD535" s="695">
        <f xml:space="preserve"> ConTime!BD$82</f>
        <v>0</v>
      </c>
      <c r="BE535" s="695">
        <f xml:space="preserve"> ConTime!BE$82</f>
        <v>0</v>
      </c>
    </row>
    <row r="536" spans="1:57" hidden="1" outlineLevel="2" x14ac:dyDescent="0.2">
      <c r="A536" s="522"/>
      <c r="B536" s="522"/>
      <c r="C536" s="523"/>
      <c r="D536" s="524"/>
      <c r="E536" s="525" t="s">
        <v>1071</v>
      </c>
      <c r="F536" s="525"/>
      <c r="G536" s="525" t="str">
        <f xml:space="preserve"> SMU</f>
        <v>$ 000s</v>
      </c>
      <c r="H536" s="525"/>
      <c r="I536" s="526"/>
      <c r="J536" s="525">
        <f t="shared" ref="J536:BE536" si="971" xml:space="preserve"> ($F533 - J534) * J535</f>
        <v>0</v>
      </c>
      <c r="K536" s="525">
        <f t="shared" si="971"/>
        <v>0</v>
      </c>
      <c r="L536" s="525">
        <f t="shared" si="971"/>
        <v>0</v>
      </c>
      <c r="M536" s="525">
        <f t="shared" si="971"/>
        <v>0</v>
      </c>
      <c r="N536" s="525">
        <f t="shared" si="971"/>
        <v>2153.902910183057</v>
      </c>
      <c r="O536" s="525">
        <f t="shared" si="971"/>
        <v>2153.902910183057</v>
      </c>
      <c r="P536" s="525">
        <f t="shared" si="971"/>
        <v>2153.902910183057</v>
      </c>
      <c r="Q536" s="525">
        <f t="shared" si="971"/>
        <v>2153.902910183057</v>
      </c>
      <c r="R536" s="525">
        <f t="shared" si="971"/>
        <v>2153.902910183057</v>
      </c>
      <c r="S536" s="525">
        <f t="shared" si="971"/>
        <v>2153.902910183057</v>
      </c>
      <c r="T536" s="525">
        <f t="shared" si="971"/>
        <v>2153.902910183057</v>
      </c>
      <c r="U536" s="525">
        <f t="shared" si="971"/>
        <v>2153.902910183057</v>
      </c>
      <c r="V536" s="525">
        <f t="shared" si="971"/>
        <v>2153.902910183057</v>
      </c>
      <c r="W536" s="525">
        <f t="shared" si="971"/>
        <v>2153.902910183057</v>
      </c>
      <c r="X536" s="525">
        <f t="shared" si="971"/>
        <v>2153.902910183057</v>
      </c>
      <c r="Y536" s="525">
        <f t="shared" si="971"/>
        <v>2153.902910183057</v>
      </c>
      <c r="Z536" s="525">
        <f t="shared" si="971"/>
        <v>2153.902910183057</v>
      </c>
      <c r="AA536" s="525">
        <f t="shared" si="971"/>
        <v>2153.902910183057</v>
      </c>
      <c r="AB536" s="525">
        <f t="shared" si="971"/>
        <v>2153.902910183057</v>
      </c>
      <c r="AC536" s="525">
        <f t="shared" si="971"/>
        <v>2153.902910183057</v>
      </c>
      <c r="AD536" s="525">
        <f t="shared" si="971"/>
        <v>2153.902910183057</v>
      </c>
      <c r="AE536" s="525">
        <f t="shared" si="971"/>
        <v>2153.902910183057</v>
      </c>
      <c r="AF536" s="525">
        <f t="shared" si="971"/>
        <v>2153.902910183057</v>
      </c>
      <c r="AG536" s="525">
        <f t="shared" si="971"/>
        <v>2153.902910183057</v>
      </c>
      <c r="AH536" s="525">
        <f t="shared" si="971"/>
        <v>2153.902910183057</v>
      </c>
      <c r="AI536" s="525">
        <f t="shared" si="971"/>
        <v>2153.902910183057</v>
      </c>
      <c r="AJ536" s="525">
        <f t="shared" si="971"/>
        <v>2153.902910183057</v>
      </c>
      <c r="AK536" s="525">
        <f t="shared" si="971"/>
        <v>2153.902910183057</v>
      </c>
      <c r="AL536" s="525">
        <f t="shared" si="971"/>
        <v>2153.902910183057</v>
      </c>
      <c r="AM536" s="525">
        <f t="shared" si="971"/>
        <v>2153.902910183057</v>
      </c>
      <c r="AN536" s="525">
        <f t="shared" si="971"/>
        <v>0</v>
      </c>
      <c r="AO536" s="525">
        <f t="shared" si="971"/>
        <v>0</v>
      </c>
      <c r="AP536" s="525">
        <f t="shared" si="971"/>
        <v>0</v>
      </c>
      <c r="AQ536" s="525">
        <f t="shared" si="971"/>
        <v>0</v>
      </c>
      <c r="AR536" s="525">
        <f t="shared" si="971"/>
        <v>0</v>
      </c>
      <c r="AS536" s="525">
        <f t="shared" si="971"/>
        <v>0</v>
      </c>
      <c r="AT536" s="525">
        <f t="shared" si="971"/>
        <v>0</v>
      </c>
      <c r="AU536" s="525">
        <f t="shared" si="971"/>
        <v>0</v>
      </c>
      <c r="AV536" s="525">
        <f t="shared" si="971"/>
        <v>0</v>
      </c>
      <c r="AW536" s="525">
        <f t="shared" si="971"/>
        <v>0</v>
      </c>
      <c r="AX536" s="525">
        <f t="shared" si="971"/>
        <v>0</v>
      </c>
      <c r="AY536" s="525">
        <f t="shared" si="971"/>
        <v>0</v>
      </c>
      <c r="AZ536" s="525">
        <f t="shared" si="971"/>
        <v>0</v>
      </c>
      <c r="BA536" s="525">
        <f t="shared" si="971"/>
        <v>0</v>
      </c>
      <c r="BB536" s="525">
        <f t="shared" si="971"/>
        <v>0</v>
      </c>
      <c r="BC536" s="525">
        <f t="shared" si="971"/>
        <v>0</v>
      </c>
      <c r="BD536" s="525">
        <f t="shared" si="971"/>
        <v>0</v>
      </c>
      <c r="BE536" s="525">
        <f t="shared" si="971"/>
        <v>0</v>
      </c>
    </row>
    <row r="537" spans="1:57" hidden="1" outlineLevel="2" x14ac:dyDescent="0.2">
      <c r="A537" s="522"/>
      <c r="B537" s="522"/>
      <c r="C537" s="523"/>
      <c r="D537" s="524"/>
      <c r="E537" s="525"/>
      <c r="F537" s="525"/>
      <c r="G537" s="525"/>
      <c r="H537" s="525"/>
      <c r="I537" s="526"/>
      <c r="J537" s="525"/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</row>
    <row r="538" spans="1:57" hidden="1" outlineLevel="2" x14ac:dyDescent="0.2">
      <c r="A538" s="522"/>
      <c r="B538" s="522"/>
      <c r="C538" s="523"/>
      <c r="D538" s="524"/>
      <c r="E538" s="696" t="str">
        <f xml:space="preserve"> InpC!E$340</f>
        <v>Standby debt - T2 commitment fee %</v>
      </c>
      <c r="F538" s="696">
        <f xml:space="preserve"> InpC!F$340</f>
        <v>8.0999999999999996E-3</v>
      </c>
      <c r="G538" s="696" t="str">
        <f xml:space="preserve"> InpC!G$340</f>
        <v>% p.a.</v>
      </c>
      <c r="H538" s="663"/>
      <c r="I538" s="526"/>
      <c r="J538" s="525"/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</row>
    <row r="539" spans="1:57" hidden="1" outlineLevel="2" x14ac:dyDescent="0.2">
      <c r="A539" s="522"/>
      <c r="B539" s="522"/>
      <c r="C539" s="523"/>
      <c r="D539" s="524"/>
      <c r="E539" s="697" t="str">
        <f xml:space="preserve"> InpC!E$412</f>
        <v>Months in year</v>
      </c>
      <c r="F539" s="697">
        <f xml:space="preserve"> InpC!F$412</f>
        <v>12</v>
      </c>
      <c r="G539" s="697" t="str">
        <f xml:space="preserve"> InpC!G$412</f>
        <v>months</v>
      </c>
      <c r="H539" s="525"/>
      <c r="I539" s="526"/>
      <c r="J539" s="525"/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</row>
    <row r="540" spans="1:57" hidden="1" outlineLevel="2" x14ac:dyDescent="0.2">
      <c r="A540" s="522"/>
      <c r="B540" s="522"/>
      <c r="C540" s="523"/>
      <c r="D540" s="524"/>
      <c r="E540" s="525" t="str">
        <f t="shared" ref="E540:AJ540" si="972" xml:space="preserve"> E$536</f>
        <v>Standby debt undrawn amount - commitment fee calc - T2</v>
      </c>
      <c r="F540" s="525">
        <f t="shared" si="972"/>
        <v>0</v>
      </c>
      <c r="G540" s="525" t="str">
        <f t="shared" si="972"/>
        <v>$ 000s</v>
      </c>
      <c r="H540" s="525">
        <f t="shared" si="972"/>
        <v>0</v>
      </c>
      <c r="I540" s="525">
        <f t="shared" si="972"/>
        <v>0</v>
      </c>
      <c r="J540" s="525">
        <f t="shared" si="972"/>
        <v>0</v>
      </c>
      <c r="K540" s="525">
        <f t="shared" si="972"/>
        <v>0</v>
      </c>
      <c r="L540" s="525">
        <f t="shared" si="972"/>
        <v>0</v>
      </c>
      <c r="M540" s="525">
        <f t="shared" si="972"/>
        <v>0</v>
      </c>
      <c r="N540" s="525">
        <f t="shared" si="972"/>
        <v>2153.902910183057</v>
      </c>
      <c r="O540" s="525">
        <f t="shared" si="972"/>
        <v>2153.902910183057</v>
      </c>
      <c r="P540" s="525">
        <f t="shared" si="972"/>
        <v>2153.902910183057</v>
      </c>
      <c r="Q540" s="525">
        <f t="shared" si="972"/>
        <v>2153.902910183057</v>
      </c>
      <c r="R540" s="525">
        <f t="shared" si="972"/>
        <v>2153.902910183057</v>
      </c>
      <c r="S540" s="525">
        <f t="shared" si="972"/>
        <v>2153.902910183057</v>
      </c>
      <c r="T540" s="525">
        <f t="shared" si="972"/>
        <v>2153.902910183057</v>
      </c>
      <c r="U540" s="525">
        <f t="shared" si="972"/>
        <v>2153.902910183057</v>
      </c>
      <c r="V540" s="525">
        <f t="shared" si="972"/>
        <v>2153.902910183057</v>
      </c>
      <c r="W540" s="525">
        <f t="shared" si="972"/>
        <v>2153.902910183057</v>
      </c>
      <c r="X540" s="525">
        <f t="shared" si="972"/>
        <v>2153.902910183057</v>
      </c>
      <c r="Y540" s="525">
        <f t="shared" si="972"/>
        <v>2153.902910183057</v>
      </c>
      <c r="Z540" s="525">
        <f t="shared" si="972"/>
        <v>2153.902910183057</v>
      </c>
      <c r="AA540" s="525">
        <f t="shared" si="972"/>
        <v>2153.902910183057</v>
      </c>
      <c r="AB540" s="525">
        <f t="shared" si="972"/>
        <v>2153.902910183057</v>
      </c>
      <c r="AC540" s="525">
        <f t="shared" si="972"/>
        <v>2153.902910183057</v>
      </c>
      <c r="AD540" s="525">
        <f t="shared" si="972"/>
        <v>2153.902910183057</v>
      </c>
      <c r="AE540" s="525">
        <f t="shared" si="972"/>
        <v>2153.902910183057</v>
      </c>
      <c r="AF540" s="525">
        <f t="shared" si="972"/>
        <v>2153.902910183057</v>
      </c>
      <c r="AG540" s="525">
        <f t="shared" si="972"/>
        <v>2153.902910183057</v>
      </c>
      <c r="AH540" s="525">
        <f t="shared" si="972"/>
        <v>2153.902910183057</v>
      </c>
      <c r="AI540" s="525">
        <f t="shared" si="972"/>
        <v>2153.902910183057</v>
      </c>
      <c r="AJ540" s="525">
        <f t="shared" si="972"/>
        <v>2153.902910183057</v>
      </c>
      <c r="AK540" s="525">
        <f t="shared" ref="AK540:BE540" si="973" xml:space="preserve"> AK$536</f>
        <v>2153.902910183057</v>
      </c>
      <c r="AL540" s="525">
        <f t="shared" si="973"/>
        <v>2153.902910183057</v>
      </c>
      <c r="AM540" s="525">
        <f t="shared" si="973"/>
        <v>2153.902910183057</v>
      </c>
      <c r="AN540" s="525">
        <f t="shared" si="973"/>
        <v>0</v>
      </c>
      <c r="AO540" s="525">
        <f t="shared" si="973"/>
        <v>0</v>
      </c>
      <c r="AP540" s="525">
        <f t="shared" si="973"/>
        <v>0</v>
      </c>
      <c r="AQ540" s="525">
        <f t="shared" si="973"/>
        <v>0</v>
      </c>
      <c r="AR540" s="525">
        <f t="shared" si="973"/>
        <v>0</v>
      </c>
      <c r="AS540" s="525">
        <f t="shared" si="973"/>
        <v>0</v>
      </c>
      <c r="AT540" s="525">
        <f t="shared" si="973"/>
        <v>0</v>
      </c>
      <c r="AU540" s="525">
        <f t="shared" si="973"/>
        <v>0</v>
      </c>
      <c r="AV540" s="525">
        <f t="shared" si="973"/>
        <v>0</v>
      </c>
      <c r="AW540" s="525">
        <f t="shared" si="973"/>
        <v>0</v>
      </c>
      <c r="AX540" s="525">
        <f t="shared" si="973"/>
        <v>0</v>
      </c>
      <c r="AY540" s="525">
        <f t="shared" si="973"/>
        <v>0</v>
      </c>
      <c r="AZ540" s="525">
        <f t="shared" si="973"/>
        <v>0</v>
      </c>
      <c r="BA540" s="525">
        <f t="shared" si="973"/>
        <v>0</v>
      </c>
      <c r="BB540" s="525">
        <f t="shared" si="973"/>
        <v>0</v>
      </c>
      <c r="BC540" s="525">
        <f t="shared" si="973"/>
        <v>0</v>
      </c>
      <c r="BD540" s="525">
        <f t="shared" si="973"/>
        <v>0</v>
      </c>
      <c r="BE540" s="525">
        <f t="shared" si="973"/>
        <v>0</v>
      </c>
    </row>
    <row r="541" spans="1:57" hidden="1" outlineLevel="2" x14ac:dyDescent="0.2">
      <c r="A541" s="522"/>
      <c r="B541" s="522"/>
      <c r="C541" s="523"/>
      <c r="D541" s="524"/>
      <c r="E541" s="525" t="s">
        <v>1041</v>
      </c>
      <c r="F541" s="525"/>
      <c r="G541" s="525" t="str">
        <f xml:space="preserve"> SMU</f>
        <v>$ 000s</v>
      </c>
      <c r="H541" s="525">
        <f xml:space="preserve"> SUM(J541:BE541)</f>
        <v>37.800996073712646</v>
      </c>
      <c r="I541" s="525"/>
      <c r="J541" s="525">
        <f t="shared" ref="J541" si="974" xml:space="preserve"> $F538 / $F539 * J540</f>
        <v>0</v>
      </c>
      <c r="K541" s="525">
        <f t="shared" ref="K541" si="975" xml:space="preserve"> $F538 / $F539 * K540</f>
        <v>0</v>
      </c>
      <c r="L541" s="525">
        <f t="shared" ref="L541" si="976" xml:space="preserve"> $F538 / $F539 * L540</f>
        <v>0</v>
      </c>
      <c r="M541" s="525">
        <f t="shared" ref="M541" si="977" xml:space="preserve"> $F538 / $F539 * M540</f>
        <v>0</v>
      </c>
      <c r="N541" s="525">
        <f t="shared" ref="N541" si="978" xml:space="preserve"> $F538 / $F539 * N540</f>
        <v>1.4538844643735633</v>
      </c>
      <c r="O541" s="525">
        <f t="shared" ref="O541" si="979" xml:space="preserve"> $F538 / $F539 * O540</f>
        <v>1.4538844643735633</v>
      </c>
      <c r="P541" s="525">
        <f t="shared" ref="P541" si="980" xml:space="preserve"> $F538 / $F539 * P540</f>
        <v>1.4538844643735633</v>
      </c>
      <c r="Q541" s="525">
        <f t="shared" ref="Q541" si="981" xml:space="preserve"> $F538 / $F539 * Q540</f>
        <v>1.4538844643735633</v>
      </c>
      <c r="R541" s="525">
        <f t="shared" ref="R541" si="982" xml:space="preserve"> $F538 / $F539 * R540</f>
        <v>1.4538844643735633</v>
      </c>
      <c r="S541" s="525">
        <f t="shared" ref="S541" si="983" xml:space="preserve"> $F538 / $F539 * S540</f>
        <v>1.4538844643735633</v>
      </c>
      <c r="T541" s="525">
        <f t="shared" ref="T541" si="984" xml:space="preserve"> $F538 / $F539 * T540</f>
        <v>1.4538844643735633</v>
      </c>
      <c r="U541" s="525">
        <f t="shared" ref="U541" si="985" xml:space="preserve"> $F538 / $F539 * U540</f>
        <v>1.4538844643735633</v>
      </c>
      <c r="V541" s="525">
        <f t="shared" ref="V541" si="986" xml:space="preserve"> $F538 / $F539 * V540</f>
        <v>1.4538844643735633</v>
      </c>
      <c r="W541" s="525">
        <f t="shared" ref="W541" si="987" xml:space="preserve"> $F538 / $F539 * W540</f>
        <v>1.4538844643735633</v>
      </c>
      <c r="X541" s="525">
        <f t="shared" ref="X541" si="988" xml:space="preserve"> $F538 / $F539 * X540</f>
        <v>1.4538844643735633</v>
      </c>
      <c r="Y541" s="525">
        <f t="shared" ref="Y541" si="989" xml:space="preserve"> $F538 / $F539 * Y540</f>
        <v>1.4538844643735633</v>
      </c>
      <c r="Z541" s="525">
        <f t="shared" ref="Z541" si="990" xml:space="preserve"> $F538 / $F539 * Z540</f>
        <v>1.4538844643735633</v>
      </c>
      <c r="AA541" s="525">
        <f t="shared" ref="AA541" si="991" xml:space="preserve"> $F538 / $F539 * AA540</f>
        <v>1.4538844643735633</v>
      </c>
      <c r="AB541" s="525">
        <f t="shared" ref="AB541" si="992" xml:space="preserve"> $F538 / $F539 * AB540</f>
        <v>1.4538844643735633</v>
      </c>
      <c r="AC541" s="525">
        <f t="shared" ref="AC541" si="993" xml:space="preserve"> $F538 / $F539 * AC540</f>
        <v>1.4538844643735633</v>
      </c>
      <c r="AD541" s="525">
        <f t="shared" ref="AD541" si="994" xml:space="preserve"> $F538 / $F539 * AD540</f>
        <v>1.4538844643735633</v>
      </c>
      <c r="AE541" s="525">
        <f t="shared" ref="AE541" si="995" xml:space="preserve"> $F538 / $F539 * AE540</f>
        <v>1.4538844643735633</v>
      </c>
      <c r="AF541" s="525">
        <f t="shared" ref="AF541" si="996" xml:space="preserve"> $F538 / $F539 * AF540</f>
        <v>1.4538844643735633</v>
      </c>
      <c r="AG541" s="525">
        <f t="shared" ref="AG541" si="997" xml:space="preserve"> $F538 / $F539 * AG540</f>
        <v>1.4538844643735633</v>
      </c>
      <c r="AH541" s="525">
        <f t="shared" ref="AH541" si="998" xml:space="preserve"> $F538 / $F539 * AH540</f>
        <v>1.4538844643735633</v>
      </c>
      <c r="AI541" s="525">
        <f t="shared" ref="AI541" si="999" xml:space="preserve"> $F538 / $F539 * AI540</f>
        <v>1.4538844643735633</v>
      </c>
      <c r="AJ541" s="525">
        <f t="shared" ref="AJ541" si="1000" xml:space="preserve"> $F538 / $F539 * AJ540</f>
        <v>1.4538844643735633</v>
      </c>
      <c r="AK541" s="525">
        <f t="shared" ref="AK541" si="1001" xml:space="preserve"> $F538 / $F539 * AK540</f>
        <v>1.4538844643735633</v>
      </c>
      <c r="AL541" s="525">
        <f t="shared" ref="AL541" si="1002" xml:space="preserve"> $F538 / $F539 * AL540</f>
        <v>1.4538844643735633</v>
      </c>
      <c r="AM541" s="525">
        <f t="shared" ref="AM541" si="1003" xml:space="preserve"> $F538 / $F539 * AM540</f>
        <v>1.4538844643735633</v>
      </c>
      <c r="AN541" s="525">
        <f t="shared" ref="AN541" si="1004" xml:space="preserve"> $F538 / $F539 * AN540</f>
        <v>0</v>
      </c>
      <c r="AO541" s="525">
        <f t="shared" ref="AO541" si="1005" xml:space="preserve"> $F538 / $F539 * AO540</f>
        <v>0</v>
      </c>
      <c r="AP541" s="525">
        <f t="shared" ref="AP541" si="1006" xml:space="preserve"> $F538 / $F539 * AP540</f>
        <v>0</v>
      </c>
      <c r="AQ541" s="525">
        <f t="shared" ref="AQ541" si="1007" xml:space="preserve"> $F538 / $F539 * AQ540</f>
        <v>0</v>
      </c>
      <c r="AR541" s="525">
        <f t="shared" ref="AR541" si="1008" xml:space="preserve"> $F538 / $F539 * AR540</f>
        <v>0</v>
      </c>
      <c r="AS541" s="525">
        <f t="shared" ref="AS541" si="1009" xml:space="preserve"> $F538 / $F539 * AS540</f>
        <v>0</v>
      </c>
      <c r="AT541" s="525">
        <f t="shared" ref="AT541" si="1010" xml:space="preserve"> $F538 / $F539 * AT540</f>
        <v>0</v>
      </c>
      <c r="AU541" s="525">
        <f t="shared" ref="AU541" si="1011" xml:space="preserve"> $F538 / $F539 * AU540</f>
        <v>0</v>
      </c>
      <c r="AV541" s="525">
        <f t="shared" ref="AV541" si="1012" xml:space="preserve"> $F538 / $F539 * AV540</f>
        <v>0</v>
      </c>
      <c r="AW541" s="525">
        <f t="shared" ref="AW541" si="1013" xml:space="preserve"> $F538 / $F539 * AW540</f>
        <v>0</v>
      </c>
      <c r="AX541" s="525">
        <f t="shared" ref="AX541" si="1014" xml:space="preserve"> $F538 / $F539 * AX540</f>
        <v>0</v>
      </c>
      <c r="AY541" s="525">
        <f t="shared" ref="AY541" si="1015" xml:space="preserve"> $F538 / $F539 * AY540</f>
        <v>0</v>
      </c>
      <c r="AZ541" s="525">
        <f t="shared" ref="AZ541" si="1016" xml:space="preserve"> $F538 / $F539 * AZ540</f>
        <v>0</v>
      </c>
      <c r="BA541" s="525">
        <f t="shared" ref="BA541" si="1017" xml:space="preserve"> $F538 / $F539 * BA540</f>
        <v>0</v>
      </c>
      <c r="BB541" s="525">
        <f t="shared" ref="BB541" si="1018" xml:space="preserve"> $F538 / $F539 * BB540</f>
        <v>0</v>
      </c>
      <c r="BC541" s="525">
        <f t="shared" ref="BC541" si="1019" xml:space="preserve"> $F538 / $F539 * BC540</f>
        <v>0</v>
      </c>
      <c r="BD541" s="525">
        <f t="shared" ref="BD541" si="1020" xml:space="preserve"> $F538 / $F539 * BD540</f>
        <v>0</v>
      </c>
      <c r="BE541" s="525">
        <f t="shared" ref="BE541" si="1021" xml:space="preserve"> $F538 / $F539 * BE540</f>
        <v>0</v>
      </c>
    </row>
    <row r="542" spans="1:57" hidden="1" outlineLevel="2" x14ac:dyDescent="0.2">
      <c r="A542" s="522"/>
      <c r="B542" s="522"/>
      <c r="C542" s="523"/>
      <c r="D542" s="524"/>
      <c r="E542" s="525"/>
      <c r="F542" s="525"/>
      <c r="G542" s="525"/>
      <c r="H542" s="525"/>
      <c r="I542" s="525"/>
      <c r="J542" s="525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</row>
    <row r="543" spans="1:57" hidden="1" outlineLevel="2" x14ac:dyDescent="0.2">
      <c r="A543" s="522"/>
      <c r="B543" s="522"/>
      <c r="C543" s="21" t="s">
        <v>449</v>
      </c>
      <c r="D543" s="524"/>
      <c r="E543" s="525"/>
      <c r="F543" s="525"/>
      <c r="G543" s="525"/>
      <c r="H543" s="525"/>
      <c r="I543" s="525"/>
      <c r="J543" s="525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</row>
    <row r="544" spans="1:57" hidden="1" outlineLevel="2" x14ac:dyDescent="0.2">
      <c r="A544" s="522"/>
      <c r="B544" s="522"/>
      <c r="C544" s="523"/>
      <c r="D544" s="524"/>
      <c r="E544" s="525" t="str">
        <f t="shared" ref="E544:AJ544" si="1022" xml:space="preserve"> E$530</f>
        <v>Standby debt commitment fee - T1</v>
      </c>
      <c r="F544" s="525">
        <f t="shared" si="1022"/>
        <v>0</v>
      </c>
      <c r="G544" s="525" t="str">
        <f t="shared" si="1022"/>
        <v>$ 000s</v>
      </c>
      <c r="H544" s="525">
        <f t="shared" si="1022"/>
        <v>35.000922290474684</v>
      </c>
      <c r="I544" s="525">
        <f t="shared" si="1022"/>
        <v>0</v>
      </c>
      <c r="J544" s="525">
        <f t="shared" si="1022"/>
        <v>0</v>
      </c>
      <c r="K544" s="525">
        <f t="shared" si="1022"/>
        <v>0</v>
      </c>
      <c r="L544" s="525">
        <f t="shared" si="1022"/>
        <v>0</v>
      </c>
      <c r="M544" s="525">
        <f t="shared" si="1022"/>
        <v>0</v>
      </c>
      <c r="N544" s="525">
        <f t="shared" si="1022"/>
        <v>1.3461893188644107</v>
      </c>
      <c r="O544" s="525">
        <f t="shared" si="1022"/>
        <v>1.3461893188644107</v>
      </c>
      <c r="P544" s="525">
        <f t="shared" si="1022"/>
        <v>1.3461893188644107</v>
      </c>
      <c r="Q544" s="525">
        <f t="shared" si="1022"/>
        <v>1.3461893188644107</v>
      </c>
      <c r="R544" s="525">
        <f t="shared" si="1022"/>
        <v>1.3461893188644107</v>
      </c>
      <c r="S544" s="525">
        <f t="shared" si="1022"/>
        <v>1.3461893188644107</v>
      </c>
      <c r="T544" s="525">
        <f t="shared" si="1022"/>
        <v>1.3461893188644107</v>
      </c>
      <c r="U544" s="525">
        <f t="shared" si="1022"/>
        <v>1.3461893188644107</v>
      </c>
      <c r="V544" s="525">
        <f t="shared" si="1022"/>
        <v>1.3461893188644107</v>
      </c>
      <c r="W544" s="525">
        <f t="shared" si="1022"/>
        <v>1.3461893188644107</v>
      </c>
      <c r="X544" s="525">
        <f t="shared" si="1022"/>
        <v>1.3461893188644107</v>
      </c>
      <c r="Y544" s="525">
        <f t="shared" si="1022"/>
        <v>1.3461893188644107</v>
      </c>
      <c r="Z544" s="525">
        <f t="shared" si="1022"/>
        <v>1.3461893188644107</v>
      </c>
      <c r="AA544" s="525">
        <f t="shared" si="1022"/>
        <v>1.3461893188644107</v>
      </c>
      <c r="AB544" s="525">
        <f t="shared" si="1022"/>
        <v>1.3461893188644107</v>
      </c>
      <c r="AC544" s="525">
        <f t="shared" si="1022"/>
        <v>1.3461893188644107</v>
      </c>
      <c r="AD544" s="525">
        <f t="shared" si="1022"/>
        <v>1.3461893188644107</v>
      </c>
      <c r="AE544" s="525">
        <f t="shared" si="1022"/>
        <v>1.3461893188644107</v>
      </c>
      <c r="AF544" s="525">
        <f t="shared" si="1022"/>
        <v>1.3461893188644107</v>
      </c>
      <c r="AG544" s="525">
        <f t="shared" si="1022"/>
        <v>1.3461893188644107</v>
      </c>
      <c r="AH544" s="525">
        <f t="shared" si="1022"/>
        <v>1.3461893188644107</v>
      </c>
      <c r="AI544" s="525">
        <f t="shared" si="1022"/>
        <v>1.3461893188644107</v>
      </c>
      <c r="AJ544" s="525">
        <f t="shared" si="1022"/>
        <v>1.3461893188644107</v>
      </c>
      <c r="AK544" s="525">
        <f t="shared" ref="AK544:BE544" si="1023" xml:space="preserve"> AK$530</f>
        <v>1.3461893188644107</v>
      </c>
      <c r="AL544" s="525">
        <f t="shared" si="1023"/>
        <v>1.3461893188644107</v>
      </c>
      <c r="AM544" s="525">
        <f t="shared" si="1023"/>
        <v>1.3461893188644107</v>
      </c>
      <c r="AN544" s="525">
        <f t="shared" si="1023"/>
        <v>0</v>
      </c>
      <c r="AO544" s="525">
        <f t="shared" si="1023"/>
        <v>0</v>
      </c>
      <c r="AP544" s="525">
        <f t="shared" si="1023"/>
        <v>0</v>
      </c>
      <c r="AQ544" s="525">
        <f t="shared" si="1023"/>
        <v>0</v>
      </c>
      <c r="AR544" s="525">
        <f t="shared" si="1023"/>
        <v>0</v>
      </c>
      <c r="AS544" s="525">
        <f t="shared" si="1023"/>
        <v>0</v>
      </c>
      <c r="AT544" s="525">
        <f t="shared" si="1023"/>
        <v>0</v>
      </c>
      <c r="AU544" s="525">
        <f t="shared" si="1023"/>
        <v>0</v>
      </c>
      <c r="AV544" s="525">
        <f t="shared" si="1023"/>
        <v>0</v>
      </c>
      <c r="AW544" s="525">
        <f t="shared" si="1023"/>
        <v>0</v>
      </c>
      <c r="AX544" s="525">
        <f t="shared" si="1023"/>
        <v>0</v>
      </c>
      <c r="AY544" s="525">
        <f t="shared" si="1023"/>
        <v>0</v>
      </c>
      <c r="AZ544" s="525">
        <f t="shared" si="1023"/>
        <v>0</v>
      </c>
      <c r="BA544" s="525">
        <f t="shared" si="1023"/>
        <v>0</v>
      </c>
      <c r="BB544" s="525">
        <f t="shared" si="1023"/>
        <v>0</v>
      </c>
      <c r="BC544" s="525">
        <f t="shared" si="1023"/>
        <v>0</v>
      </c>
      <c r="BD544" s="525">
        <f t="shared" si="1023"/>
        <v>0</v>
      </c>
      <c r="BE544" s="525">
        <f t="shared" si="1023"/>
        <v>0</v>
      </c>
    </row>
    <row r="545" spans="1:57" hidden="1" outlineLevel="2" x14ac:dyDescent="0.2">
      <c r="A545" s="522"/>
      <c r="B545" s="522"/>
      <c r="C545" s="523"/>
      <c r="D545" s="524"/>
      <c r="E545" s="525" t="str">
        <f t="shared" ref="E545:AJ545" si="1024" xml:space="preserve"> E$541</f>
        <v>Standby debt commitment fee - T2</v>
      </c>
      <c r="F545" s="525">
        <f t="shared" si="1024"/>
        <v>0</v>
      </c>
      <c r="G545" s="525" t="str">
        <f t="shared" si="1024"/>
        <v>$ 000s</v>
      </c>
      <c r="H545" s="525">
        <f t="shared" si="1024"/>
        <v>37.800996073712646</v>
      </c>
      <c r="I545" s="525">
        <f t="shared" si="1024"/>
        <v>0</v>
      </c>
      <c r="J545" s="525">
        <f t="shared" si="1024"/>
        <v>0</v>
      </c>
      <c r="K545" s="525">
        <f t="shared" si="1024"/>
        <v>0</v>
      </c>
      <c r="L545" s="525">
        <f t="shared" si="1024"/>
        <v>0</v>
      </c>
      <c r="M545" s="525">
        <f t="shared" si="1024"/>
        <v>0</v>
      </c>
      <c r="N545" s="525">
        <f t="shared" si="1024"/>
        <v>1.4538844643735633</v>
      </c>
      <c r="O545" s="525">
        <f t="shared" si="1024"/>
        <v>1.4538844643735633</v>
      </c>
      <c r="P545" s="525">
        <f t="shared" si="1024"/>
        <v>1.4538844643735633</v>
      </c>
      <c r="Q545" s="525">
        <f t="shared" si="1024"/>
        <v>1.4538844643735633</v>
      </c>
      <c r="R545" s="525">
        <f t="shared" si="1024"/>
        <v>1.4538844643735633</v>
      </c>
      <c r="S545" s="525">
        <f t="shared" si="1024"/>
        <v>1.4538844643735633</v>
      </c>
      <c r="T545" s="525">
        <f t="shared" si="1024"/>
        <v>1.4538844643735633</v>
      </c>
      <c r="U545" s="525">
        <f t="shared" si="1024"/>
        <v>1.4538844643735633</v>
      </c>
      <c r="V545" s="525">
        <f t="shared" si="1024"/>
        <v>1.4538844643735633</v>
      </c>
      <c r="W545" s="525">
        <f t="shared" si="1024"/>
        <v>1.4538844643735633</v>
      </c>
      <c r="X545" s="525">
        <f t="shared" si="1024"/>
        <v>1.4538844643735633</v>
      </c>
      <c r="Y545" s="525">
        <f t="shared" si="1024"/>
        <v>1.4538844643735633</v>
      </c>
      <c r="Z545" s="525">
        <f t="shared" si="1024"/>
        <v>1.4538844643735633</v>
      </c>
      <c r="AA545" s="525">
        <f t="shared" si="1024"/>
        <v>1.4538844643735633</v>
      </c>
      <c r="AB545" s="525">
        <f t="shared" si="1024"/>
        <v>1.4538844643735633</v>
      </c>
      <c r="AC545" s="525">
        <f t="shared" si="1024"/>
        <v>1.4538844643735633</v>
      </c>
      <c r="AD545" s="525">
        <f t="shared" si="1024"/>
        <v>1.4538844643735633</v>
      </c>
      <c r="AE545" s="525">
        <f t="shared" si="1024"/>
        <v>1.4538844643735633</v>
      </c>
      <c r="AF545" s="525">
        <f t="shared" si="1024"/>
        <v>1.4538844643735633</v>
      </c>
      <c r="AG545" s="525">
        <f t="shared" si="1024"/>
        <v>1.4538844643735633</v>
      </c>
      <c r="AH545" s="525">
        <f t="shared" si="1024"/>
        <v>1.4538844643735633</v>
      </c>
      <c r="AI545" s="525">
        <f t="shared" si="1024"/>
        <v>1.4538844643735633</v>
      </c>
      <c r="AJ545" s="525">
        <f t="shared" si="1024"/>
        <v>1.4538844643735633</v>
      </c>
      <c r="AK545" s="525">
        <f t="shared" ref="AK545:BE545" si="1025" xml:space="preserve"> AK$541</f>
        <v>1.4538844643735633</v>
      </c>
      <c r="AL545" s="525">
        <f t="shared" si="1025"/>
        <v>1.4538844643735633</v>
      </c>
      <c r="AM545" s="525">
        <f t="shared" si="1025"/>
        <v>1.4538844643735633</v>
      </c>
      <c r="AN545" s="525">
        <f t="shared" si="1025"/>
        <v>0</v>
      </c>
      <c r="AO545" s="525">
        <f t="shared" si="1025"/>
        <v>0</v>
      </c>
      <c r="AP545" s="525">
        <f t="shared" si="1025"/>
        <v>0</v>
      </c>
      <c r="AQ545" s="525">
        <f t="shared" si="1025"/>
        <v>0</v>
      </c>
      <c r="AR545" s="525">
        <f t="shared" si="1025"/>
        <v>0</v>
      </c>
      <c r="AS545" s="525">
        <f t="shared" si="1025"/>
        <v>0</v>
      </c>
      <c r="AT545" s="525">
        <f t="shared" si="1025"/>
        <v>0</v>
      </c>
      <c r="AU545" s="525">
        <f t="shared" si="1025"/>
        <v>0</v>
      </c>
      <c r="AV545" s="525">
        <f t="shared" si="1025"/>
        <v>0</v>
      </c>
      <c r="AW545" s="525">
        <f t="shared" si="1025"/>
        <v>0</v>
      </c>
      <c r="AX545" s="525">
        <f t="shared" si="1025"/>
        <v>0</v>
      </c>
      <c r="AY545" s="525">
        <f t="shared" si="1025"/>
        <v>0</v>
      </c>
      <c r="AZ545" s="525">
        <f t="shared" si="1025"/>
        <v>0</v>
      </c>
      <c r="BA545" s="525">
        <f t="shared" si="1025"/>
        <v>0</v>
      </c>
      <c r="BB545" s="525">
        <f t="shared" si="1025"/>
        <v>0</v>
      </c>
      <c r="BC545" s="525">
        <f t="shared" si="1025"/>
        <v>0</v>
      </c>
      <c r="BD545" s="525">
        <f t="shared" si="1025"/>
        <v>0</v>
      </c>
      <c r="BE545" s="525">
        <f t="shared" si="1025"/>
        <v>0</v>
      </c>
    </row>
    <row r="546" spans="1:57" s="188" customFormat="1" hidden="1" outlineLevel="2" x14ac:dyDescent="0.2">
      <c r="A546" s="527"/>
      <c r="B546" s="527"/>
      <c r="C546" s="528"/>
      <c r="D546" s="529"/>
      <c r="E546" s="761" t="s">
        <v>449</v>
      </c>
      <c r="F546" s="761"/>
      <c r="G546" s="761" t="str">
        <f xml:space="preserve"> SMU</f>
        <v>$ 000s</v>
      </c>
      <c r="H546" s="761">
        <f xml:space="preserve"> SUM(J546:BE546)</f>
        <v>72.801918364187358</v>
      </c>
      <c r="I546" s="872"/>
      <c r="J546" s="761">
        <f t="shared" ref="J546:BE546" si="1026">SUM(J544:J545)</f>
        <v>0</v>
      </c>
      <c r="K546" s="761">
        <f t="shared" si="1026"/>
        <v>0</v>
      </c>
      <c r="L546" s="761">
        <f t="shared" si="1026"/>
        <v>0</v>
      </c>
      <c r="M546" s="761">
        <f t="shared" si="1026"/>
        <v>0</v>
      </c>
      <c r="N546" s="761">
        <f t="shared" si="1026"/>
        <v>2.8000737832379743</v>
      </c>
      <c r="O546" s="761">
        <f t="shared" si="1026"/>
        <v>2.8000737832379743</v>
      </c>
      <c r="P546" s="761">
        <f t="shared" si="1026"/>
        <v>2.8000737832379743</v>
      </c>
      <c r="Q546" s="761">
        <f t="shared" si="1026"/>
        <v>2.8000737832379743</v>
      </c>
      <c r="R546" s="761">
        <f t="shared" si="1026"/>
        <v>2.8000737832379743</v>
      </c>
      <c r="S546" s="761">
        <f t="shared" si="1026"/>
        <v>2.8000737832379743</v>
      </c>
      <c r="T546" s="761">
        <f t="shared" si="1026"/>
        <v>2.8000737832379743</v>
      </c>
      <c r="U546" s="761">
        <f t="shared" si="1026"/>
        <v>2.8000737832379743</v>
      </c>
      <c r="V546" s="761">
        <f t="shared" si="1026"/>
        <v>2.8000737832379743</v>
      </c>
      <c r="W546" s="761">
        <f t="shared" si="1026"/>
        <v>2.8000737832379743</v>
      </c>
      <c r="X546" s="761">
        <f t="shared" si="1026"/>
        <v>2.8000737832379743</v>
      </c>
      <c r="Y546" s="761">
        <f t="shared" si="1026"/>
        <v>2.8000737832379743</v>
      </c>
      <c r="Z546" s="761">
        <f t="shared" si="1026"/>
        <v>2.8000737832379743</v>
      </c>
      <c r="AA546" s="761">
        <f t="shared" si="1026"/>
        <v>2.8000737832379743</v>
      </c>
      <c r="AB546" s="761">
        <f t="shared" si="1026"/>
        <v>2.8000737832379743</v>
      </c>
      <c r="AC546" s="761">
        <f t="shared" si="1026"/>
        <v>2.8000737832379743</v>
      </c>
      <c r="AD546" s="761">
        <f t="shared" si="1026"/>
        <v>2.8000737832379743</v>
      </c>
      <c r="AE546" s="761">
        <f t="shared" si="1026"/>
        <v>2.8000737832379743</v>
      </c>
      <c r="AF546" s="761">
        <f t="shared" si="1026"/>
        <v>2.8000737832379743</v>
      </c>
      <c r="AG546" s="761">
        <f t="shared" si="1026"/>
        <v>2.8000737832379743</v>
      </c>
      <c r="AH546" s="761">
        <f t="shared" si="1026"/>
        <v>2.8000737832379743</v>
      </c>
      <c r="AI546" s="761">
        <f t="shared" si="1026"/>
        <v>2.8000737832379743</v>
      </c>
      <c r="AJ546" s="761">
        <f t="shared" si="1026"/>
        <v>2.8000737832379743</v>
      </c>
      <c r="AK546" s="761">
        <f t="shared" si="1026"/>
        <v>2.8000737832379743</v>
      </c>
      <c r="AL546" s="761">
        <f t="shared" si="1026"/>
        <v>2.8000737832379743</v>
      </c>
      <c r="AM546" s="761">
        <f t="shared" si="1026"/>
        <v>2.8000737832379743</v>
      </c>
      <c r="AN546" s="761">
        <f t="shared" si="1026"/>
        <v>0</v>
      </c>
      <c r="AO546" s="761">
        <f t="shared" si="1026"/>
        <v>0</v>
      </c>
      <c r="AP546" s="761">
        <f t="shared" si="1026"/>
        <v>0</v>
      </c>
      <c r="AQ546" s="761">
        <f t="shared" si="1026"/>
        <v>0</v>
      </c>
      <c r="AR546" s="761">
        <f t="shared" si="1026"/>
        <v>0</v>
      </c>
      <c r="AS546" s="761">
        <f t="shared" si="1026"/>
        <v>0</v>
      </c>
      <c r="AT546" s="761">
        <f t="shared" si="1026"/>
        <v>0</v>
      </c>
      <c r="AU546" s="761">
        <f t="shared" si="1026"/>
        <v>0</v>
      </c>
      <c r="AV546" s="761">
        <f t="shared" si="1026"/>
        <v>0</v>
      </c>
      <c r="AW546" s="761">
        <f t="shared" si="1026"/>
        <v>0</v>
      </c>
      <c r="AX546" s="761">
        <f t="shared" si="1026"/>
        <v>0</v>
      </c>
      <c r="AY546" s="761">
        <f t="shared" si="1026"/>
        <v>0</v>
      </c>
      <c r="AZ546" s="761">
        <f t="shared" si="1026"/>
        <v>0</v>
      </c>
      <c r="BA546" s="761">
        <f t="shared" si="1026"/>
        <v>0</v>
      </c>
      <c r="BB546" s="761">
        <f t="shared" si="1026"/>
        <v>0</v>
      </c>
      <c r="BC546" s="761">
        <f t="shared" si="1026"/>
        <v>0</v>
      </c>
      <c r="BD546" s="761">
        <f t="shared" si="1026"/>
        <v>0</v>
      </c>
      <c r="BE546" s="761">
        <f t="shared" si="1026"/>
        <v>0</v>
      </c>
    </row>
    <row r="547" spans="1:57" hidden="1" outlineLevel="2" x14ac:dyDescent="0.2">
      <c r="A547" s="522"/>
      <c r="B547" s="522"/>
      <c r="C547" s="523"/>
      <c r="D547" s="524"/>
      <c r="E547" s="525"/>
      <c r="F547" s="525"/>
      <c r="G547" s="525"/>
      <c r="H547" s="525"/>
      <c r="I547" s="526"/>
      <c r="J547" s="525"/>
      <c r="K547" s="525"/>
      <c r="L547" s="525"/>
      <c r="M547" s="525"/>
      <c r="N547" s="525"/>
      <c r="O547" s="525"/>
      <c r="P547" s="525"/>
      <c r="Q547" s="525"/>
      <c r="R547" s="525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</row>
    <row r="548" spans="1:57" hidden="1" outlineLevel="2" x14ac:dyDescent="0.2">
      <c r="A548" s="522"/>
      <c r="B548" s="522" t="s">
        <v>450</v>
      </c>
      <c r="C548" s="523"/>
      <c r="D548" s="524"/>
      <c r="E548" s="525"/>
      <c r="F548" s="525"/>
      <c r="G548" s="525"/>
      <c r="H548" s="525"/>
      <c r="I548" s="526"/>
      <c r="J548" s="525"/>
      <c r="K548" s="525"/>
      <c r="L548" s="525"/>
      <c r="M548" s="525"/>
      <c r="N548" s="525"/>
      <c r="O548" s="525"/>
      <c r="P548" s="525"/>
      <c r="Q548" s="525"/>
      <c r="R548" s="525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</row>
    <row r="549" spans="1:57" hidden="1" outlineLevel="2" x14ac:dyDescent="0.2">
      <c r="A549" s="522"/>
      <c r="B549" s="522"/>
      <c r="C549" s="523" t="s">
        <v>891</v>
      </c>
      <c r="D549" s="524"/>
      <c r="E549" s="525"/>
      <c r="F549" s="525"/>
      <c r="G549" s="525"/>
      <c r="H549" s="525"/>
      <c r="I549" s="526"/>
      <c r="J549" s="525"/>
      <c r="K549" s="525"/>
      <c r="L549" s="525"/>
      <c r="M549" s="525"/>
      <c r="N549" s="525"/>
      <c r="O549" s="525"/>
      <c r="P549" s="525"/>
      <c r="Q549" s="525"/>
      <c r="R549" s="525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</row>
    <row r="550" spans="1:57" hidden="1" outlineLevel="2" x14ac:dyDescent="0.2">
      <c r="A550" s="522"/>
      <c r="B550" s="522"/>
      <c r="C550" s="523"/>
      <c r="D550" s="524"/>
      <c r="E550" s="696" t="str">
        <f xml:space="preserve"> InpC!E$329</f>
        <v>Standby debt - T1 margin</v>
      </c>
      <c r="F550" s="696">
        <f xml:space="preserve"> InpC!F$329</f>
        <v>2.5000000000000001E-2</v>
      </c>
      <c r="G550" s="696" t="str">
        <f xml:space="preserve"> InpC!G$329</f>
        <v>% p.a.</v>
      </c>
      <c r="H550" s="663"/>
      <c r="I550" s="526"/>
      <c r="J550" s="525"/>
      <c r="K550" s="525"/>
      <c r="L550" s="525"/>
      <c r="M550" s="525"/>
      <c r="N550" s="525"/>
      <c r="O550" s="525"/>
      <c r="P550" s="525"/>
      <c r="Q550" s="525"/>
      <c r="R550" s="525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</row>
    <row r="551" spans="1:57" s="921" customFormat="1" ht="13.15" hidden="1" customHeight="1" outlineLevel="2" x14ac:dyDescent="0.2">
      <c r="A551" s="918"/>
      <c r="B551" s="918"/>
      <c r="C551" s="918"/>
      <c r="D551" s="918"/>
      <c r="E551" s="919" t="str">
        <f xml:space="preserve"> Sensitivity!E$16</f>
        <v>Interest rate - sensitivity</v>
      </c>
      <c r="F551" s="919">
        <f xml:space="preserve"> Sensitivity!F$16</f>
        <v>0</v>
      </c>
      <c r="G551" s="919" t="str">
        <f xml:space="preserve"> Sensitivity!G$16</f>
        <v>% p.a.</v>
      </c>
      <c r="H551" s="920"/>
      <c r="I551" s="920"/>
      <c r="J551" s="920"/>
      <c r="K551" s="920"/>
      <c r="L551" s="920"/>
      <c r="M551" s="920"/>
      <c r="N551" s="920"/>
      <c r="O551" s="920"/>
      <c r="P551" s="920"/>
      <c r="Q551" s="920"/>
      <c r="R551" s="920"/>
      <c r="S551" s="920"/>
      <c r="T551" s="920"/>
      <c r="U551" s="920"/>
      <c r="V551" s="920"/>
      <c r="W551" s="920"/>
      <c r="X551" s="920"/>
      <c r="Y551" s="920"/>
      <c r="Z551" s="920"/>
      <c r="AA551" s="920"/>
      <c r="AB551" s="920"/>
      <c r="AC551" s="920"/>
      <c r="AD551" s="920"/>
      <c r="AE551" s="920"/>
      <c r="AF551" s="920"/>
      <c r="AG551" s="920"/>
      <c r="AH551" s="920"/>
      <c r="AI551" s="920"/>
      <c r="AJ551" s="920"/>
      <c r="AK551" s="920"/>
      <c r="AL551" s="920"/>
      <c r="AM551" s="920"/>
      <c r="AN551" s="920"/>
      <c r="AO551" s="920"/>
      <c r="AP551" s="920"/>
      <c r="AQ551" s="920"/>
      <c r="AR551" s="920"/>
      <c r="AS551" s="920"/>
      <c r="AT551" s="920"/>
      <c r="AU551" s="920"/>
      <c r="AV551" s="920"/>
      <c r="AW551" s="920"/>
      <c r="AX551" s="920"/>
      <c r="AY551" s="920"/>
      <c r="AZ551" s="920"/>
      <c r="BA551" s="920"/>
      <c r="BB551" s="920"/>
      <c r="BC551" s="920"/>
      <c r="BD551" s="920"/>
      <c r="BE551" s="920"/>
    </row>
    <row r="552" spans="1:57" s="283" customFormat="1" hidden="1" outlineLevel="2" x14ac:dyDescent="0.2">
      <c r="A552" s="556"/>
      <c r="B552" s="556"/>
      <c r="C552" s="557"/>
      <c r="D552" s="115"/>
      <c r="E552" s="316" t="str">
        <f xml:space="preserve"> InpS!E$13</f>
        <v>Active debt forward curve</v>
      </c>
      <c r="F552" s="316">
        <f xml:space="preserve"> InpS!F$13</f>
        <v>0</v>
      </c>
      <c r="G552" s="316" t="str">
        <f xml:space="preserve"> InpS!G$13</f>
        <v>% p.a.</v>
      </c>
      <c r="H552" s="316">
        <f xml:space="preserve"> InpS!H$13</f>
        <v>0</v>
      </c>
      <c r="I552" s="316">
        <f xml:space="preserve"> InpS!I$13</f>
        <v>0</v>
      </c>
      <c r="J552" s="316">
        <f xml:space="preserve"> InpS!J$13</f>
        <v>2.0062E-2</v>
      </c>
      <c r="K552" s="316">
        <f xml:space="preserve"> InpS!K$13</f>
        <v>2.0124E-2</v>
      </c>
      <c r="L552" s="316">
        <f xml:space="preserve"> InpS!L$13</f>
        <v>2.0184000000000001E-2</v>
      </c>
      <c r="M552" s="316">
        <f xml:space="preserve"> InpS!M$13</f>
        <v>2.0241000000000002E-2</v>
      </c>
      <c r="N552" s="316">
        <f xml:space="preserve"> InpS!N$13</f>
        <v>2.0308000000000003E-2</v>
      </c>
      <c r="O552" s="316">
        <f xml:space="preserve"> InpS!O$13</f>
        <v>2.0375000000000004E-2</v>
      </c>
      <c r="P552" s="316">
        <f xml:space="preserve"> InpS!P$13</f>
        <v>2.0434000000000004E-2</v>
      </c>
      <c r="Q552" s="316">
        <f xml:space="preserve"> InpS!Q$13</f>
        <v>2.0506000000000003E-2</v>
      </c>
      <c r="R552" s="316">
        <f xml:space="preserve"> InpS!R$13</f>
        <v>2.0569000000000004E-2</v>
      </c>
      <c r="S552" s="316">
        <f xml:space="preserve"> InpS!S$13</f>
        <v>2.0620000000000003E-2</v>
      </c>
      <c r="T552" s="316">
        <f xml:space="preserve"> InpS!T$13</f>
        <v>2.0666000000000004E-2</v>
      </c>
      <c r="U552" s="316">
        <f xml:space="preserve"> InpS!U$13</f>
        <v>2.0719000000000005E-2</v>
      </c>
      <c r="V552" s="316">
        <f xml:space="preserve"> InpS!V$13</f>
        <v>2.0757000000000005E-2</v>
      </c>
      <c r="W552" s="316">
        <f xml:space="preserve"> InpS!W$13</f>
        <v>2.0795000000000004E-2</v>
      </c>
      <c r="X552" s="316">
        <f xml:space="preserve"> InpS!X$13</f>
        <v>2.0850000000000004E-2</v>
      </c>
      <c r="Y552" s="316">
        <f xml:space="preserve"> InpS!Y$13</f>
        <v>2.0888000000000004E-2</v>
      </c>
      <c r="Z552" s="316">
        <f xml:space="preserve"> InpS!Z$13</f>
        <v>2.0954000000000004E-2</v>
      </c>
      <c r="AA552" s="316">
        <f xml:space="preserve"> InpS!AA$13</f>
        <v>2.1024000000000004E-2</v>
      </c>
      <c r="AB552" s="316">
        <f xml:space="preserve"> InpS!AB$13</f>
        <v>2.1091000000000006E-2</v>
      </c>
      <c r="AC552" s="316">
        <f xml:space="preserve"> InpS!AC$13</f>
        <v>2.1134000000000007E-2</v>
      </c>
      <c r="AD552" s="316">
        <f xml:space="preserve"> InpS!AD$13</f>
        <v>2.1205000000000009E-2</v>
      </c>
      <c r="AE552" s="316">
        <f xml:space="preserve"> InpS!AE$13</f>
        <v>2.127900000000001E-2</v>
      </c>
      <c r="AF552" s="316">
        <f xml:space="preserve"> InpS!AF$13</f>
        <v>2.1316000000000009E-2</v>
      </c>
      <c r="AG552" s="316">
        <f xml:space="preserve"> InpS!AG$13</f>
        <v>2.1367000000000008E-2</v>
      </c>
      <c r="AH552" s="316">
        <f xml:space="preserve"> InpS!AH$13</f>
        <v>2.1421000000000006E-2</v>
      </c>
      <c r="AI552" s="316">
        <f xml:space="preserve"> InpS!AI$13</f>
        <v>2.1470000000000006E-2</v>
      </c>
      <c r="AJ552" s="316">
        <f xml:space="preserve"> InpS!AJ$13</f>
        <v>2.1516000000000007E-2</v>
      </c>
      <c r="AK552" s="316">
        <f xml:space="preserve"> InpS!AK$13</f>
        <v>2.1570000000000006E-2</v>
      </c>
      <c r="AL552" s="316">
        <f xml:space="preserve"> InpS!AL$13</f>
        <v>2.1639000000000005E-2</v>
      </c>
      <c r="AM552" s="316">
        <f xml:space="preserve"> InpS!AM$13</f>
        <v>2.1709000000000006E-2</v>
      </c>
      <c r="AN552" s="316">
        <f xml:space="preserve"> InpS!AN$13</f>
        <v>2.1772000000000007E-2</v>
      </c>
      <c r="AO552" s="316">
        <f xml:space="preserve"> InpS!AO$13</f>
        <v>2.1813000000000006E-2</v>
      </c>
      <c r="AP552" s="316">
        <f xml:space="preserve"> InpS!AP$13</f>
        <v>2.1858000000000006E-2</v>
      </c>
      <c r="AQ552" s="316">
        <f xml:space="preserve"> InpS!AQ$13</f>
        <v>2.1913000000000005E-2</v>
      </c>
      <c r="AR552" s="316">
        <f xml:space="preserve"> InpS!AR$13</f>
        <v>2.1986000000000006E-2</v>
      </c>
      <c r="AS552" s="316">
        <f xml:space="preserve"> InpS!AS$13</f>
        <v>2.2041000000000005E-2</v>
      </c>
      <c r="AT552" s="316">
        <f xml:space="preserve"> InpS!AT$13</f>
        <v>2.2089000000000004E-2</v>
      </c>
      <c r="AU552" s="316">
        <f xml:space="preserve"> InpS!AU$13</f>
        <v>2.2148000000000004E-2</v>
      </c>
      <c r="AV552" s="316">
        <f xml:space="preserve"> InpS!AV$13</f>
        <v>2.2216000000000003E-2</v>
      </c>
      <c r="AW552" s="316">
        <f xml:space="preserve"> InpS!AW$13</f>
        <v>2.2282000000000003E-2</v>
      </c>
      <c r="AX552" s="316">
        <f xml:space="preserve"> InpS!AX$13</f>
        <v>2.2351000000000003E-2</v>
      </c>
      <c r="AY552" s="316">
        <f xml:space="preserve"> InpS!AY$13</f>
        <v>2.2409000000000002E-2</v>
      </c>
      <c r="AZ552" s="316">
        <f xml:space="preserve"> InpS!AZ$13</f>
        <v>2.2445000000000003E-2</v>
      </c>
      <c r="BA552" s="316">
        <f xml:space="preserve"> InpS!BA$13</f>
        <v>2.2489000000000002E-2</v>
      </c>
      <c r="BB552" s="316">
        <f xml:space="preserve"> InpS!BB$13</f>
        <v>2.2535000000000003E-2</v>
      </c>
      <c r="BC552" s="316">
        <f xml:space="preserve"> InpS!BC$13</f>
        <v>2.2607000000000002E-2</v>
      </c>
      <c r="BD552" s="316">
        <f xml:space="preserve"> InpS!BD$13</f>
        <v>2.2647E-2</v>
      </c>
      <c r="BE552" s="316">
        <f xml:space="preserve"> InpS!BE$13</f>
        <v>2.2683999999999999E-2</v>
      </c>
    </row>
    <row r="553" spans="1:57" s="283" customFormat="1" hidden="1" outlineLevel="2" x14ac:dyDescent="0.2">
      <c r="A553" s="556"/>
      <c r="B553" s="556"/>
      <c r="C553" s="557"/>
      <c r="D553" s="115"/>
      <c r="E553" s="282" t="s">
        <v>1054</v>
      </c>
      <c r="F553" s="282"/>
      <c r="G553" s="282" t="s">
        <v>280</v>
      </c>
      <c r="H553" s="282"/>
      <c r="I553" s="112"/>
      <c r="J553" s="282">
        <f t="shared" ref="J553:BE553" si="1027" xml:space="preserve"> J552 + $F550 + $F551</f>
        <v>4.5062000000000005E-2</v>
      </c>
      <c r="K553" s="282">
        <f t="shared" si="1027"/>
        <v>4.5123999999999997E-2</v>
      </c>
      <c r="L553" s="282">
        <f t="shared" si="1027"/>
        <v>4.5184000000000002E-2</v>
      </c>
      <c r="M553" s="282">
        <f t="shared" si="1027"/>
        <v>4.5241000000000003E-2</v>
      </c>
      <c r="N553" s="282">
        <f t="shared" si="1027"/>
        <v>4.5308000000000001E-2</v>
      </c>
      <c r="O553" s="282">
        <f t="shared" si="1027"/>
        <v>4.5375000000000006E-2</v>
      </c>
      <c r="P553" s="282">
        <f t="shared" si="1027"/>
        <v>4.5434000000000002E-2</v>
      </c>
      <c r="Q553" s="282">
        <f t="shared" si="1027"/>
        <v>4.5506000000000005E-2</v>
      </c>
      <c r="R553" s="282">
        <f t="shared" si="1027"/>
        <v>4.5569000000000005E-2</v>
      </c>
      <c r="S553" s="282">
        <f t="shared" si="1027"/>
        <v>4.5620000000000008E-2</v>
      </c>
      <c r="T553" s="282">
        <f t="shared" si="1027"/>
        <v>4.5666000000000005E-2</v>
      </c>
      <c r="U553" s="282">
        <f t="shared" si="1027"/>
        <v>4.571900000000001E-2</v>
      </c>
      <c r="V553" s="282">
        <f t="shared" si="1027"/>
        <v>4.5757000000000006E-2</v>
      </c>
      <c r="W553" s="282">
        <f t="shared" si="1027"/>
        <v>4.5795000000000002E-2</v>
      </c>
      <c r="X553" s="282">
        <f t="shared" si="1027"/>
        <v>4.5850000000000002E-2</v>
      </c>
      <c r="Y553" s="282">
        <f t="shared" si="1027"/>
        <v>4.5888000000000005E-2</v>
      </c>
      <c r="Z553" s="282">
        <f t="shared" si="1027"/>
        <v>4.5954000000000009E-2</v>
      </c>
      <c r="AA553" s="282">
        <f t="shared" si="1027"/>
        <v>4.6024000000000009E-2</v>
      </c>
      <c r="AB553" s="282">
        <f t="shared" si="1027"/>
        <v>4.6091000000000007E-2</v>
      </c>
      <c r="AC553" s="282">
        <f t="shared" si="1027"/>
        <v>4.6134000000000008E-2</v>
      </c>
      <c r="AD553" s="282">
        <f t="shared" si="1027"/>
        <v>4.620500000000001E-2</v>
      </c>
      <c r="AE553" s="282">
        <f t="shared" si="1027"/>
        <v>4.6279000000000015E-2</v>
      </c>
      <c r="AF553" s="282">
        <f t="shared" si="1027"/>
        <v>4.631600000000001E-2</v>
      </c>
      <c r="AG553" s="282">
        <f t="shared" si="1027"/>
        <v>4.6367000000000005E-2</v>
      </c>
      <c r="AH553" s="282">
        <f t="shared" si="1027"/>
        <v>4.6421000000000004E-2</v>
      </c>
      <c r="AI553" s="282">
        <f t="shared" si="1027"/>
        <v>4.6470000000000011E-2</v>
      </c>
      <c r="AJ553" s="282">
        <f t="shared" si="1027"/>
        <v>4.6516000000000009E-2</v>
      </c>
      <c r="AK553" s="282">
        <f t="shared" si="1027"/>
        <v>4.6570000000000007E-2</v>
      </c>
      <c r="AL553" s="282">
        <f t="shared" si="1027"/>
        <v>4.6639000000000007E-2</v>
      </c>
      <c r="AM553" s="282">
        <f t="shared" si="1027"/>
        <v>4.6709000000000007E-2</v>
      </c>
      <c r="AN553" s="282">
        <f t="shared" si="1027"/>
        <v>4.6772000000000008E-2</v>
      </c>
      <c r="AO553" s="282">
        <f t="shared" si="1027"/>
        <v>4.6813000000000007E-2</v>
      </c>
      <c r="AP553" s="282">
        <f t="shared" si="1027"/>
        <v>4.6858000000000011E-2</v>
      </c>
      <c r="AQ553" s="282">
        <f t="shared" si="1027"/>
        <v>4.691300000000001E-2</v>
      </c>
      <c r="AR553" s="282">
        <f t="shared" si="1027"/>
        <v>4.6986000000000007E-2</v>
      </c>
      <c r="AS553" s="282">
        <f t="shared" si="1027"/>
        <v>4.7041000000000006E-2</v>
      </c>
      <c r="AT553" s="282">
        <f t="shared" si="1027"/>
        <v>4.7089000000000006E-2</v>
      </c>
      <c r="AU553" s="282">
        <f t="shared" si="1027"/>
        <v>4.7148000000000009E-2</v>
      </c>
      <c r="AV553" s="282">
        <f t="shared" si="1027"/>
        <v>4.7216000000000008E-2</v>
      </c>
      <c r="AW553" s="282">
        <f t="shared" si="1027"/>
        <v>4.7282000000000005E-2</v>
      </c>
      <c r="AX553" s="282">
        <f t="shared" si="1027"/>
        <v>4.7351000000000004E-2</v>
      </c>
      <c r="AY553" s="282">
        <f t="shared" si="1027"/>
        <v>4.7409000000000007E-2</v>
      </c>
      <c r="AZ553" s="282">
        <f t="shared" si="1027"/>
        <v>4.7445000000000001E-2</v>
      </c>
      <c r="BA553" s="282">
        <f t="shared" si="1027"/>
        <v>4.7489000000000003E-2</v>
      </c>
      <c r="BB553" s="282">
        <f t="shared" si="1027"/>
        <v>4.7535000000000008E-2</v>
      </c>
      <c r="BC553" s="282">
        <f t="shared" si="1027"/>
        <v>4.7607000000000003E-2</v>
      </c>
      <c r="BD553" s="282">
        <f t="shared" si="1027"/>
        <v>4.7647000000000002E-2</v>
      </c>
      <c r="BE553" s="282">
        <f t="shared" si="1027"/>
        <v>4.7684000000000004E-2</v>
      </c>
    </row>
    <row r="554" spans="1:57" hidden="1" outlineLevel="2" x14ac:dyDescent="0.2">
      <c r="A554" s="522"/>
      <c r="B554" s="522"/>
      <c r="C554" s="523"/>
      <c r="D554" s="524"/>
      <c r="E554" s="525"/>
      <c r="F554" s="525"/>
      <c r="G554" s="525"/>
      <c r="H554" s="525"/>
      <c r="I554" s="526"/>
      <c r="J554" s="525"/>
      <c r="K554" s="525"/>
      <c r="L554" s="525"/>
      <c r="M554" s="525"/>
      <c r="N554" s="525"/>
      <c r="O554" s="525"/>
      <c r="P554" s="525"/>
      <c r="Q554" s="525"/>
      <c r="R554" s="525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</row>
    <row r="555" spans="1:57" hidden="1" outlineLevel="2" x14ac:dyDescent="0.2">
      <c r="A555" s="522"/>
      <c r="B555" s="522"/>
      <c r="C555" s="523"/>
      <c r="D555" s="524"/>
      <c r="E555" s="695" t="str">
        <f xml:space="preserve"> InpC!E$344</f>
        <v>Standby debt - T1 day count convention</v>
      </c>
      <c r="F555" s="695">
        <f xml:space="preserve"> InpC!F$344</f>
        <v>360</v>
      </c>
      <c r="G555" s="695" t="str">
        <f xml:space="preserve"> InpC!G$344</f>
        <v>days</v>
      </c>
      <c r="H555" s="525"/>
      <c r="I555" s="526"/>
      <c r="J555" s="525"/>
      <c r="K555" s="525"/>
      <c r="L555" s="525"/>
      <c r="M555" s="525"/>
      <c r="N555" s="525"/>
      <c r="O555" s="525"/>
      <c r="P555" s="525"/>
      <c r="Q555" s="525"/>
      <c r="R555" s="525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</row>
    <row r="556" spans="1:57" hidden="1" outlineLevel="2" x14ac:dyDescent="0.2">
      <c r="A556" s="522"/>
      <c r="B556" s="522"/>
      <c r="C556" s="523"/>
      <c r="D556" s="524"/>
      <c r="E556" s="681" t="str">
        <f t="shared" ref="E556:AJ556" si="1028" xml:space="preserve"> E$553</f>
        <v>All in Standby debt interest rate - T1</v>
      </c>
      <c r="F556" s="681">
        <f t="shared" si="1028"/>
        <v>0</v>
      </c>
      <c r="G556" s="681" t="str">
        <f t="shared" si="1028"/>
        <v>p.a.</v>
      </c>
      <c r="H556" s="681">
        <f t="shared" si="1028"/>
        <v>0</v>
      </c>
      <c r="I556" s="681">
        <f t="shared" si="1028"/>
        <v>0</v>
      </c>
      <c r="J556" s="681">
        <f t="shared" si="1028"/>
        <v>4.5062000000000005E-2</v>
      </c>
      <c r="K556" s="681">
        <f t="shared" si="1028"/>
        <v>4.5123999999999997E-2</v>
      </c>
      <c r="L556" s="681">
        <f t="shared" si="1028"/>
        <v>4.5184000000000002E-2</v>
      </c>
      <c r="M556" s="681">
        <f t="shared" si="1028"/>
        <v>4.5241000000000003E-2</v>
      </c>
      <c r="N556" s="681">
        <f t="shared" si="1028"/>
        <v>4.5308000000000001E-2</v>
      </c>
      <c r="O556" s="681">
        <f t="shared" si="1028"/>
        <v>4.5375000000000006E-2</v>
      </c>
      <c r="P556" s="681">
        <f t="shared" si="1028"/>
        <v>4.5434000000000002E-2</v>
      </c>
      <c r="Q556" s="681">
        <f t="shared" si="1028"/>
        <v>4.5506000000000005E-2</v>
      </c>
      <c r="R556" s="681">
        <f t="shared" si="1028"/>
        <v>4.5569000000000005E-2</v>
      </c>
      <c r="S556" s="681">
        <f t="shared" si="1028"/>
        <v>4.5620000000000008E-2</v>
      </c>
      <c r="T556" s="681">
        <f t="shared" si="1028"/>
        <v>4.5666000000000005E-2</v>
      </c>
      <c r="U556" s="681">
        <f t="shared" si="1028"/>
        <v>4.571900000000001E-2</v>
      </c>
      <c r="V556" s="681">
        <f t="shared" si="1028"/>
        <v>4.5757000000000006E-2</v>
      </c>
      <c r="W556" s="681">
        <f t="shared" si="1028"/>
        <v>4.5795000000000002E-2</v>
      </c>
      <c r="X556" s="681">
        <f t="shared" si="1028"/>
        <v>4.5850000000000002E-2</v>
      </c>
      <c r="Y556" s="681">
        <f t="shared" si="1028"/>
        <v>4.5888000000000005E-2</v>
      </c>
      <c r="Z556" s="681">
        <f t="shared" si="1028"/>
        <v>4.5954000000000009E-2</v>
      </c>
      <c r="AA556" s="681">
        <f t="shared" si="1028"/>
        <v>4.6024000000000009E-2</v>
      </c>
      <c r="AB556" s="681">
        <f t="shared" si="1028"/>
        <v>4.6091000000000007E-2</v>
      </c>
      <c r="AC556" s="681">
        <f t="shared" si="1028"/>
        <v>4.6134000000000008E-2</v>
      </c>
      <c r="AD556" s="681">
        <f t="shared" si="1028"/>
        <v>4.620500000000001E-2</v>
      </c>
      <c r="AE556" s="681">
        <f t="shared" si="1028"/>
        <v>4.6279000000000015E-2</v>
      </c>
      <c r="AF556" s="681">
        <f t="shared" si="1028"/>
        <v>4.631600000000001E-2</v>
      </c>
      <c r="AG556" s="681">
        <f t="shared" si="1028"/>
        <v>4.6367000000000005E-2</v>
      </c>
      <c r="AH556" s="681">
        <f t="shared" si="1028"/>
        <v>4.6421000000000004E-2</v>
      </c>
      <c r="AI556" s="681">
        <f t="shared" si="1028"/>
        <v>4.6470000000000011E-2</v>
      </c>
      <c r="AJ556" s="681">
        <f t="shared" si="1028"/>
        <v>4.6516000000000009E-2</v>
      </c>
      <c r="AK556" s="681">
        <f t="shared" ref="AK556:BE556" si="1029" xml:space="preserve"> AK$553</f>
        <v>4.6570000000000007E-2</v>
      </c>
      <c r="AL556" s="681">
        <f t="shared" si="1029"/>
        <v>4.6639000000000007E-2</v>
      </c>
      <c r="AM556" s="681">
        <f t="shared" si="1029"/>
        <v>4.6709000000000007E-2</v>
      </c>
      <c r="AN556" s="681">
        <f t="shared" si="1029"/>
        <v>4.6772000000000008E-2</v>
      </c>
      <c r="AO556" s="681">
        <f t="shared" si="1029"/>
        <v>4.6813000000000007E-2</v>
      </c>
      <c r="AP556" s="681">
        <f t="shared" si="1029"/>
        <v>4.6858000000000011E-2</v>
      </c>
      <c r="AQ556" s="681">
        <f t="shared" si="1029"/>
        <v>4.691300000000001E-2</v>
      </c>
      <c r="AR556" s="681">
        <f t="shared" si="1029"/>
        <v>4.6986000000000007E-2</v>
      </c>
      <c r="AS556" s="681">
        <f t="shared" si="1029"/>
        <v>4.7041000000000006E-2</v>
      </c>
      <c r="AT556" s="681">
        <f t="shared" si="1029"/>
        <v>4.7089000000000006E-2</v>
      </c>
      <c r="AU556" s="681">
        <f t="shared" si="1029"/>
        <v>4.7148000000000009E-2</v>
      </c>
      <c r="AV556" s="681">
        <f t="shared" si="1029"/>
        <v>4.7216000000000008E-2</v>
      </c>
      <c r="AW556" s="681">
        <f t="shared" si="1029"/>
        <v>4.7282000000000005E-2</v>
      </c>
      <c r="AX556" s="681">
        <f t="shared" si="1029"/>
        <v>4.7351000000000004E-2</v>
      </c>
      <c r="AY556" s="681">
        <f t="shared" si="1029"/>
        <v>4.7409000000000007E-2</v>
      </c>
      <c r="AZ556" s="681">
        <f t="shared" si="1029"/>
        <v>4.7445000000000001E-2</v>
      </c>
      <c r="BA556" s="681">
        <f t="shared" si="1029"/>
        <v>4.7489000000000003E-2</v>
      </c>
      <c r="BB556" s="681">
        <f t="shared" si="1029"/>
        <v>4.7535000000000008E-2</v>
      </c>
      <c r="BC556" s="681">
        <f t="shared" si="1029"/>
        <v>4.7607000000000003E-2</v>
      </c>
      <c r="BD556" s="681">
        <f t="shared" si="1029"/>
        <v>4.7647000000000002E-2</v>
      </c>
      <c r="BE556" s="681">
        <f t="shared" si="1029"/>
        <v>4.7684000000000004E-2</v>
      </c>
    </row>
    <row r="557" spans="1:57" hidden="1" outlineLevel="2" x14ac:dyDescent="0.2">
      <c r="A557" s="522"/>
      <c r="B557" s="522"/>
      <c r="C557" s="523"/>
      <c r="D557" s="524"/>
      <c r="E557" s="695" t="str">
        <f xml:space="preserve"> ConTime!E$97</f>
        <v>Days in period - m</v>
      </c>
      <c r="F557" s="695">
        <f xml:space="preserve"> ConTime!F$97</f>
        <v>0</v>
      </c>
      <c r="G557" s="695" t="str">
        <f xml:space="preserve"> ConTime!G$97</f>
        <v>days</v>
      </c>
      <c r="H557" s="695">
        <f xml:space="preserve"> ConTime!H$97</f>
        <v>0</v>
      </c>
      <c r="I557" s="695">
        <f xml:space="preserve"> ConTime!I$97</f>
        <v>0</v>
      </c>
      <c r="J557" s="695">
        <f xml:space="preserve"> ConTime!J$97</f>
        <v>31</v>
      </c>
      <c r="K557" s="695">
        <f xml:space="preserve"> ConTime!K$97</f>
        <v>28</v>
      </c>
      <c r="L557" s="695">
        <f xml:space="preserve"> ConTime!L$97</f>
        <v>31</v>
      </c>
      <c r="M557" s="695">
        <f xml:space="preserve"> ConTime!M$97</f>
        <v>30</v>
      </c>
      <c r="N557" s="695">
        <f xml:space="preserve"> ConTime!N$97</f>
        <v>31</v>
      </c>
      <c r="O557" s="695">
        <f xml:space="preserve"> ConTime!O$97</f>
        <v>30</v>
      </c>
      <c r="P557" s="695">
        <f xml:space="preserve"> ConTime!P$97</f>
        <v>31</v>
      </c>
      <c r="Q557" s="695">
        <f xml:space="preserve"> ConTime!Q$97</f>
        <v>31</v>
      </c>
      <c r="R557" s="695">
        <f xml:space="preserve"> ConTime!R$97</f>
        <v>30</v>
      </c>
      <c r="S557" s="695">
        <f xml:space="preserve"> ConTime!S$97</f>
        <v>31</v>
      </c>
      <c r="T557" s="695">
        <f xml:space="preserve"> ConTime!T$97</f>
        <v>30</v>
      </c>
      <c r="U557" s="695">
        <f xml:space="preserve"> ConTime!U$97</f>
        <v>31</v>
      </c>
      <c r="V557" s="695">
        <f xml:space="preserve"> ConTime!V$97</f>
        <v>31</v>
      </c>
      <c r="W557" s="695">
        <f xml:space="preserve"> ConTime!W$97</f>
        <v>28</v>
      </c>
      <c r="X557" s="695">
        <f xml:space="preserve"> ConTime!X$97</f>
        <v>31</v>
      </c>
      <c r="Y557" s="695">
        <f xml:space="preserve"> ConTime!Y$97</f>
        <v>30</v>
      </c>
      <c r="Z557" s="695">
        <f xml:space="preserve"> ConTime!Z$97</f>
        <v>31</v>
      </c>
      <c r="AA557" s="695">
        <f xml:space="preserve"> ConTime!AA$97</f>
        <v>30</v>
      </c>
      <c r="AB557" s="695">
        <f xml:space="preserve"> ConTime!AB$97</f>
        <v>31</v>
      </c>
      <c r="AC557" s="695">
        <f xml:space="preserve"> ConTime!AC$97</f>
        <v>31</v>
      </c>
      <c r="AD557" s="695">
        <f xml:space="preserve"> ConTime!AD$97</f>
        <v>30</v>
      </c>
      <c r="AE557" s="695">
        <f xml:space="preserve"> ConTime!AE$97</f>
        <v>31</v>
      </c>
      <c r="AF557" s="695">
        <f xml:space="preserve"> ConTime!AF$97</f>
        <v>30</v>
      </c>
      <c r="AG557" s="695">
        <f xml:space="preserve"> ConTime!AG$97</f>
        <v>31</v>
      </c>
      <c r="AH557" s="695">
        <f xml:space="preserve"> ConTime!AH$97</f>
        <v>31</v>
      </c>
      <c r="AI557" s="695">
        <f xml:space="preserve"> ConTime!AI$97</f>
        <v>29</v>
      </c>
      <c r="AJ557" s="695">
        <f xml:space="preserve"> ConTime!AJ$97</f>
        <v>31</v>
      </c>
      <c r="AK557" s="695">
        <f xml:space="preserve"> ConTime!AK$97</f>
        <v>30</v>
      </c>
      <c r="AL557" s="695">
        <f xml:space="preserve"> ConTime!AL$97</f>
        <v>31</v>
      </c>
      <c r="AM557" s="695">
        <f xml:space="preserve"> ConTime!AM$97</f>
        <v>30</v>
      </c>
      <c r="AN557" s="695">
        <f xml:space="preserve"> ConTime!AN$97</f>
        <v>31</v>
      </c>
      <c r="AO557" s="695">
        <f xml:space="preserve"> ConTime!AO$97</f>
        <v>31</v>
      </c>
      <c r="AP557" s="695">
        <f xml:space="preserve"> ConTime!AP$97</f>
        <v>30</v>
      </c>
      <c r="AQ557" s="695">
        <f xml:space="preserve"> ConTime!AQ$97</f>
        <v>31</v>
      </c>
      <c r="AR557" s="695">
        <f xml:space="preserve"> ConTime!AR$97</f>
        <v>30</v>
      </c>
      <c r="AS557" s="695">
        <f xml:space="preserve"> ConTime!AS$97</f>
        <v>31</v>
      </c>
      <c r="AT557" s="695">
        <f xml:space="preserve"> ConTime!AT$97</f>
        <v>31</v>
      </c>
      <c r="AU557" s="695">
        <f xml:space="preserve"> ConTime!AU$97</f>
        <v>28</v>
      </c>
      <c r="AV557" s="695">
        <f xml:space="preserve"> ConTime!AV$97</f>
        <v>31</v>
      </c>
      <c r="AW557" s="695">
        <f xml:space="preserve"> ConTime!AW$97</f>
        <v>30</v>
      </c>
      <c r="AX557" s="695">
        <f xml:space="preserve"> ConTime!AX$97</f>
        <v>31</v>
      </c>
      <c r="AY557" s="695">
        <f xml:space="preserve"> ConTime!AY$97</f>
        <v>30</v>
      </c>
      <c r="AZ557" s="695">
        <f xml:space="preserve"> ConTime!AZ$97</f>
        <v>31</v>
      </c>
      <c r="BA557" s="695">
        <f xml:space="preserve"> ConTime!BA$97</f>
        <v>31</v>
      </c>
      <c r="BB557" s="695">
        <f xml:space="preserve"> ConTime!BB$97</f>
        <v>30</v>
      </c>
      <c r="BC557" s="695">
        <f xml:space="preserve"> ConTime!BC$97</f>
        <v>31</v>
      </c>
      <c r="BD557" s="695">
        <f xml:space="preserve"> ConTime!BD$97</f>
        <v>30</v>
      </c>
      <c r="BE557" s="695">
        <f xml:space="preserve"> ConTime!BE$97</f>
        <v>31</v>
      </c>
    </row>
    <row r="558" spans="1:57" hidden="1" outlineLevel="2" x14ac:dyDescent="0.2">
      <c r="A558" s="522"/>
      <c r="B558" s="522"/>
      <c r="C558" s="523"/>
      <c r="D558" s="524"/>
      <c r="E558" s="525" t="str">
        <f t="shared" ref="E558:AJ558" si="1030" xml:space="preserve"> E$472</f>
        <v>Standby debt - T1 balance BEG</v>
      </c>
      <c r="F558" s="525">
        <f t="shared" si="1030"/>
        <v>0</v>
      </c>
      <c r="G558" s="525" t="str">
        <f t="shared" si="1030"/>
        <v>$ 000s</v>
      </c>
      <c r="H558" s="525">
        <f t="shared" si="1030"/>
        <v>0</v>
      </c>
      <c r="I558" s="525">
        <f t="shared" si="1030"/>
        <v>0</v>
      </c>
      <c r="J558" s="525">
        <f t="shared" si="1030"/>
        <v>0</v>
      </c>
      <c r="K558" s="525">
        <f t="shared" si="1030"/>
        <v>0</v>
      </c>
      <c r="L558" s="525">
        <f t="shared" si="1030"/>
        <v>0</v>
      </c>
      <c r="M558" s="525">
        <f t="shared" si="1030"/>
        <v>0</v>
      </c>
      <c r="N558" s="525">
        <f t="shared" si="1030"/>
        <v>0</v>
      </c>
      <c r="O558" s="525">
        <f t="shared" si="1030"/>
        <v>0</v>
      </c>
      <c r="P558" s="525">
        <f t="shared" si="1030"/>
        <v>0</v>
      </c>
      <c r="Q558" s="525">
        <f t="shared" si="1030"/>
        <v>0</v>
      </c>
      <c r="R558" s="525">
        <f t="shared" si="1030"/>
        <v>0</v>
      </c>
      <c r="S558" s="525">
        <f t="shared" si="1030"/>
        <v>0</v>
      </c>
      <c r="T558" s="525">
        <f t="shared" si="1030"/>
        <v>0</v>
      </c>
      <c r="U558" s="525">
        <f t="shared" si="1030"/>
        <v>0</v>
      </c>
      <c r="V558" s="525">
        <f t="shared" si="1030"/>
        <v>0</v>
      </c>
      <c r="W558" s="525">
        <f t="shared" si="1030"/>
        <v>0</v>
      </c>
      <c r="X558" s="525">
        <f t="shared" si="1030"/>
        <v>0</v>
      </c>
      <c r="Y558" s="525">
        <f t="shared" si="1030"/>
        <v>0</v>
      </c>
      <c r="Z558" s="525">
        <f t="shared" si="1030"/>
        <v>0</v>
      </c>
      <c r="AA558" s="525">
        <f t="shared" si="1030"/>
        <v>0</v>
      </c>
      <c r="AB558" s="525">
        <f t="shared" si="1030"/>
        <v>0</v>
      </c>
      <c r="AC558" s="525">
        <f t="shared" si="1030"/>
        <v>0</v>
      </c>
      <c r="AD558" s="525">
        <f t="shared" si="1030"/>
        <v>0</v>
      </c>
      <c r="AE558" s="525">
        <f t="shared" si="1030"/>
        <v>0</v>
      </c>
      <c r="AF558" s="525">
        <f t="shared" si="1030"/>
        <v>0</v>
      </c>
      <c r="AG558" s="525">
        <f t="shared" si="1030"/>
        <v>0</v>
      </c>
      <c r="AH558" s="525">
        <f t="shared" si="1030"/>
        <v>0</v>
      </c>
      <c r="AI558" s="525">
        <f t="shared" si="1030"/>
        <v>0</v>
      </c>
      <c r="AJ558" s="525">
        <f t="shared" si="1030"/>
        <v>0</v>
      </c>
      <c r="AK558" s="525">
        <f t="shared" ref="AK558:BE558" si="1031" xml:space="preserve"> AK$472</f>
        <v>0</v>
      </c>
      <c r="AL558" s="525">
        <f t="shared" si="1031"/>
        <v>0</v>
      </c>
      <c r="AM558" s="525">
        <f t="shared" si="1031"/>
        <v>0</v>
      </c>
      <c r="AN558" s="525">
        <f t="shared" si="1031"/>
        <v>0</v>
      </c>
      <c r="AO558" s="525">
        <f t="shared" si="1031"/>
        <v>0</v>
      </c>
      <c r="AP558" s="525">
        <f t="shared" si="1031"/>
        <v>0</v>
      </c>
      <c r="AQ558" s="525">
        <f t="shared" si="1031"/>
        <v>0</v>
      </c>
      <c r="AR558" s="525">
        <f t="shared" si="1031"/>
        <v>0</v>
      </c>
      <c r="AS558" s="525">
        <f t="shared" si="1031"/>
        <v>0</v>
      </c>
      <c r="AT558" s="525">
        <f t="shared" si="1031"/>
        <v>0</v>
      </c>
      <c r="AU558" s="525">
        <f t="shared" si="1031"/>
        <v>0</v>
      </c>
      <c r="AV558" s="525">
        <f t="shared" si="1031"/>
        <v>0</v>
      </c>
      <c r="AW558" s="525">
        <f t="shared" si="1031"/>
        <v>0</v>
      </c>
      <c r="AX558" s="525">
        <f t="shared" si="1031"/>
        <v>0</v>
      </c>
      <c r="AY558" s="525">
        <f t="shared" si="1031"/>
        <v>0</v>
      </c>
      <c r="AZ558" s="525">
        <f t="shared" si="1031"/>
        <v>0</v>
      </c>
      <c r="BA558" s="525">
        <f t="shared" si="1031"/>
        <v>0</v>
      </c>
      <c r="BB558" s="525">
        <f t="shared" si="1031"/>
        <v>0</v>
      </c>
      <c r="BC558" s="525">
        <f t="shared" si="1031"/>
        <v>0</v>
      </c>
      <c r="BD558" s="525">
        <f t="shared" si="1031"/>
        <v>0</v>
      </c>
      <c r="BE558" s="525">
        <f t="shared" si="1031"/>
        <v>0</v>
      </c>
    </row>
    <row r="559" spans="1:57" hidden="1" outlineLevel="2" x14ac:dyDescent="0.2">
      <c r="A559" s="522"/>
      <c r="B559" s="522"/>
      <c r="C559" s="523"/>
      <c r="D559" s="524"/>
      <c r="E559" s="695" t="str">
        <f xml:space="preserve"> ConTime!E$82</f>
        <v>Construction period flag</v>
      </c>
      <c r="F559" s="695">
        <f xml:space="preserve"> ConTime!F$82</f>
        <v>0</v>
      </c>
      <c r="G559" s="695" t="str">
        <f xml:space="preserve"> ConTime!G$82</f>
        <v>flag</v>
      </c>
      <c r="H559" s="695">
        <f xml:space="preserve"> ConTime!H$82</f>
        <v>26</v>
      </c>
      <c r="I559" s="695">
        <f xml:space="preserve"> ConTime!I$82</f>
        <v>0</v>
      </c>
      <c r="J559" s="695">
        <f xml:space="preserve"> ConTime!J$82</f>
        <v>0</v>
      </c>
      <c r="K559" s="695">
        <f xml:space="preserve"> ConTime!K$82</f>
        <v>0</v>
      </c>
      <c r="L559" s="695">
        <f xml:space="preserve"> ConTime!L$82</f>
        <v>0</v>
      </c>
      <c r="M559" s="695">
        <f xml:space="preserve"> ConTime!M$82</f>
        <v>0</v>
      </c>
      <c r="N559" s="695">
        <f xml:space="preserve"> ConTime!N$82</f>
        <v>1</v>
      </c>
      <c r="O559" s="695">
        <f xml:space="preserve"> ConTime!O$82</f>
        <v>1</v>
      </c>
      <c r="P559" s="695">
        <f xml:space="preserve"> ConTime!P$82</f>
        <v>1</v>
      </c>
      <c r="Q559" s="695">
        <f xml:space="preserve"> ConTime!Q$82</f>
        <v>1</v>
      </c>
      <c r="R559" s="695">
        <f xml:space="preserve"> ConTime!R$82</f>
        <v>1</v>
      </c>
      <c r="S559" s="695">
        <f xml:space="preserve"> ConTime!S$82</f>
        <v>1</v>
      </c>
      <c r="T559" s="695">
        <f xml:space="preserve"> ConTime!T$82</f>
        <v>1</v>
      </c>
      <c r="U559" s="695">
        <f xml:space="preserve"> ConTime!U$82</f>
        <v>1</v>
      </c>
      <c r="V559" s="695">
        <f xml:space="preserve"> ConTime!V$82</f>
        <v>1</v>
      </c>
      <c r="W559" s="695">
        <f xml:space="preserve"> ConTime!W$82</f>
        <v>1</v>
      </c>
      <c r="X559" s="695">
        <f xml:space="preserve"> ConTime!X$82</f>
        <v>1</v>
      </c>
      <c r="Y559" s="695">
        <f xml:space="preserve"> ConTime!Y$82</f>
        <v>1</v>
      </c>
      <c r="Z559" s="695">
        <f xml:space="preserve"> ConTime!Z$82</f>
        <v>1</v>
      </c>
      <c r="AA559" s="695">
        <f xml:space="preserve"> ConTime!AA$82</f>
        <v>1</v>
      </c>
      <c r="AB559" s="695">
        <f xml:space="preserve"> ConTime!AB$82</f>
        <v>1</v>
      </c>
      <c r="AC559" s="695">
        <f xml:space="preserve"> ConTime!AC$82</f>
        <v>1</v>
      </c>
      <c r="AD559" s="695">
        <f xml:space="preserve"> ConTime!AD$82</f>
        <v>1</v>
      </c>
      <c r="AE559" s="695">
        <f xml:space="preserve"> ConTime!AE$82</f>
        <v>1</v>
      </c>
      <c r="AF559" s="695">
        <f xml:space="preserve"> ConTime!AF$82</f>
        <v>1</v>
      </c>
      <c r="AG559" s="695">
        <f xml:space="preserve"> ConTime!AG$82</f>
        <v>1</v>
      </c>
      <c r="AH559" s="695">
        <f xml:space="preserve"> ConTime!AH$82</f>
        <v>1</v>
      </c>
      <c r="AI559" s="695">
        <f xml:space="preserve"> ConTime!AI$82</f>
        <v>1</v>
      </c>
      <c r="AJ559" s="695">
        <f xml:space="preserve"> ConTime!AJ$82</f>
        <v>1</v>
      </c>
      <c r="AK559" s="695">
        <f xml:space="preserve"> ConTime!AK$82</f>
        <v>1</v>
      </c>
      <c r="AL559" s="695">
        <f xml:space="preserve"> ConTime!AL$82</f>
        <v>1</v>
      </c>
      <c r="AM559" s="695">
        <f xml:space="preserve"> ConTime!AM$82</f>
        <v>1</v>
      </c>
      <c r="AN559" s="695">
        <f xml:space="preserve"> ConTime!AN$82</f>
        <v>0</v>
      </c>
      <c r="AO559" s="695">
        <f xml:space="preserve"> ConTime!AO$82</f>
        <v>0</v>
      </c>
      <c r="AP559" s="695">
        <f xml:space="preserve"> ConTime!AP$82</f>
        <v>0</v>
      </c>
      <c r="AQ559" s="695">
        <f xml:space="preserve"> ConTime!AQ$82</f>
        <v>0</v>
      </c>
      <c r="AR559" s="695">
        <f xml:space="preserve"> ConTime!AR$82</f>
        <v>0</v>
      </c>
      <c r="AS559" s="695">
        <f xml:space="preserve"> ConTime!AS$82</f>
        <v>0</v>
      </c>
      <c r="AT559" s="695">
        <f xml:space="preserve"> ConTime!AT$82</f>
        <v>0</v>
      </c>
      <c r="AU559" s="695">
        <f xml:space="preserve"> ConTime!AU$82</f>
        <v>0</v>
      </c>
      <c r="AV559" s="695">
        <f xml:space="preserve"> ConTime!AV$82</f>
        <v>0</v>
      </c>
      <c r="AW559" s="695">
        <f xml:space="preserve"> ConTime!AW$82</f>
        <v>0</v>
      </c>
      <c r="AX559" s="695">
        <f xml:space="preserve"> ConTime!AX$82</f>
        <v>0</v>
      </c>
      <c r="AY559" s="695">
        <f xml:space="preserve"> ConTime!AY$82</f>
        <v>0</v>
      </c>
      <c r="AZ559" s="695">
        <f xml:space="preserve"> ConTime!AZ$82</f>
        <v>0</v>
      </c>
      <c r="BA559" s="695">
        <f xml:space="preserve"> ConTime!BA$82</f>
        <v>0</v>
      </c>
      <c r="BB559" s="695">
        <f xml:space="preserve"> ConTime!BB$82</f>
        <v>0</v>
      </c>
      <c r="BC559" s="695">
        <f xml:space="preserve"> ConTime!BC$82</f>
        <v>0</v>
      </c>
      <c r="BD559" s="695">
        <f xml:space="preserve"> ConTime!BD$82</f>
        <v>0</v>
      </c>
      <c r="BE559" s="695">
        <f xml:space="preserve"> ConTime!BE$82</f>
        <v>0</v>
      </c>
    </row>
    <row r="560" spans="1:57" s="191" customFormat="1" hidden="1" outlineLevel="2" x14ac:dyDescent="0.2">
      <c r="A560" s="700"/>
      <c r="B560" s="700"/>
      <c r="C560" s="701"/>
      <c r="D560" s="702"/>
      <c r="E560" s="666" t="s">
        <v>1056</v>
      </c>
      <c r="F560" s="666"/>
      <c r="G560" s="666" t="str">
        <f xml:space="preserve"> SMU</f>
        <v>$ 000s</v>
      </c>
      <c r="H560" s="666">
        <f xml:space="preserve"> SUM(J560:BE560)</f>
        <v>0</v>
      </c>
      <c r="I560" s="666"/>
      <c r="J560" s="666">
        <f t="shared" ref="J560:BE560" si="1032" xml:space="preserve"> J556 / $F555 * J557 * J558 * J559</f>
        <v>0</v>
      </c>
      <c r="K560" s="666">
        <f t="shared" si="1032"/>
        <v>0</v>
      </c>
      <c r="L560" s="666">
        <f t="shared" si="1032"/>
        <v>0</v>
      </c>
      <c r="M560" s="666">
        <f t="shared" si="1032"/>
        <v>0</v>
      </c>
      <c r="N560" s="666">
        <f t="shared" si="1032"/>
        <v>0</v>
      </c>
      <c r="O560" s="666">
        <f t="shared" si="1032"/>
        <v>0</v>
      </c>
      <c r="P560" s="666">
        <f t="shared" si="1032"/>
        <v>0</v>
      </c>
      <c r="Q560" s="666">
        <f t="shared" si="1032"/>
        <v>0</v>
      </c>
      <c r="R560" s="666">
        <f t="shared" si="1032"/>
        <v>0</v>
      </c>
      <c r="S560" s="666">
        <f t="shared" si="1032"/>
        <v>0</v>
      </c>
      <c r="T560" s="666">
        <f t="shared" si="1032"/>
        <v>0</v>
      </c>
      <c r="U560" s="666">
        <f t="shared" si="1032"/>
        <v>0</v>
      </c>
      <c r="V560" s="666">
        <f t="shared" si="1032"/>
        <v>0</v>
      </c>
      <c r="W560" s="666">
        <f t="shared" si="1032"/>
        <v>0</v>
      </c>
      <c r="X560" s="666">
        <f t="shared" si="1032"/>
        <v>0</v>
      </c>
      <c r="Y560" s="666">
        <f t="shared" si="1032"/>
        <v>0</v>
      </c>
      <c r="Z560" s="666">
        <f t="shared" si="1032"/>
        <v>0</v>
      </c>
      <c r="AA560" s="666">
        <f t="shared" si="1032"/>
        <v>0</v>
      </c>
      <c r="AB560" s="666">
        <f t="shared" si="1032"/>
        <v>0</v>
      </c>
      <c r="AC560" s="666">
        <f t="shared" si="1032"/>
        <v>0</v>
      </c>
      <c r="AD560" s="666">
        <f t="shared" si="1032"/>
        <v>0</v>
      </c>
      <c r="AE560" s="666">
        <f t="shared" si="1032"/>
        <v>0</v>
      </c>
      <c r="AF560" s="666">
        <f t="shared" si="1032"/>
        <v>0</v>
      </c>
      <c r="AG560" s="666">
        <f t="shared" si="1032"/>
        <v>0</v>
      </c>
      <c r="AH560" s="666">
        <f t="shared" si="1032"/>
        <v>0</v>
      </c>
      <c r="AI560" s="666">
        <f t="shared" si="1032"/>
        <v>0</v>
      </c>
      <c r="AJ560" s="666">
        <f t="shared" si="1032"/>
        <v>0</v>
      </c>
      <c r="AK560" s="666">
        <f t="shared" si="1032"/>
        <v>0</v>
      </c>
      <c r="AL560" s="666">
        <f t="shared" si="1032"/>
        <v>0</v>
      </c>
      <c r="AM560" s="666">
        <f t="shared" si="1032"/>
        <v>0</v>
      </c>
      <c r="AN560" s="666">
        <f t="shared" si="1032"/>
        <v>0</v>
      </c>
      <c r="AO560" s="666">
        <f t="shared" si="1032"/>
        <v>0</v>
      </c>
      <c r="AP560" s="666">
        <f t="shared" si="1032"/>
        <v>0</v>
      </c>
      <c r="AQ560" s="666">
        <f t="shared" si="1032"/>
        <v>0</v>
      </c>
      <c r="AR560" s="666">
        <f t="shared" si="1032"/>
        <v>0</v>
      </c>
      <c r="AS560" s="666">
        <f t="shared" si="1032"/>
        <v>0</v>
      </c>
      <c r="AT560" s="666">
        <f t="shared" si="1032"/>
        <v>0</v>
      </c>
      <c r="AU560" s="666">
        <f t="shared" si="1032"/>
        <v>0</v>
      </c>
      <c r="AV560" s="666">
        <f t="shared" si="1032"/>
        <v>0</v>
      </c>
      <c r="AW560" s="666">
        <f t="shared" si="1032"/>
        <v>0</v>
      </c>
      <c r="AX560" s="666">
        <f t="shared" si="1032"/>
        <v>0</v>
      </c>
      <c r="AY560" s="666">
        <f t="shared" si="1032"/>
        <v>0</v>
      </c>
      <c r="AZ560" s="666">
        <f t="shared" si="1032"/>
        <v>0</v>
      </c>
      <c r="BA560" s="666">
        <f t="shared" si="1032"/>
        <v>0</v>
      </c>
      <c r="BB560" s="666">
        <f t="shared" si="1032"/>
        <v>0</v>
      </c>
      <c r="BC560" s="666">
        <f t="shared" si="1032"/>
        <v>0</v>
      </c>
      <c r="BD560" s="666">
        <f t="shared" si="1032"/>
        <v>0</v>
      </c>
      <c r="BE560" s="666">
        <f t="shared" si="1032"/>
        <v>0</v>
      </c>
    </row>
    <row r="561" spans="1:57" hidden="1" outlineLevel="2" x14ac:dyDescent="0.2"/>
    <row r="562" spans="1:57" hidden="1" outlineLevel="2" x14ac:dyDescent="0.2">
      <c r="A562" s="522"/>
      <c r="B562" s="522"/>
      <c r="C562" s="523" t="s">
        <v>892</v>
      </c>
      <c r="D562" s="524"/>
      <c r="E562" s="525"/>
      <c r="F562" s="525"/>
      <c r="G562" s="525"/>
      <c r="H562" s="525"/>
      <c r="I562" s="526"/>
      <c r="J562" s="525"/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</row>
    <row r="563" spans="1:57" hidden="1" outlineLevel="2" x14ac:dyDescent="0.2">
      <c r="A563" s="522"/>
      <c r="B563" s="522"/>
      <c r="C563" s="523"/>
      <c r="D563" s="524"/>
      <c r="E563" s="696" t="str">
        <f xml:space="preserve"> InpC!E$337</f>
        <v>Standby debt - T2 margin</v>
      </c>
      <c r="F563" s="696">
        <f xml:space="preserve"> InpC!F$337</f>
        <v>2.7E-2</v>
      </c>
      <c r="G563" s="696" t="str">
        <f xml:space="preserve"> InpC!G$337</f>
        <v>% p.a.</v>
      </c>
      <c r="H563" s="663"/>
      <c r="I563" s="526"/>
      <c r="J563" s="525"/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</row>
    <row r="564" spans="1:57" s="921" customFormat="1" ht="13.15" hidden="1" customHeight="1" outlineLevel="2" x14ac:dyDescent="0.2">
      <c r="A564" s="918"/>
      <c r="B564" s="918"/>
      <c r="C564" s="918"/>
      <c r="D564" s="918"/>
      <c r="E564" s="919" t="str">
        <f xml:space="preserve"> Sensitivity!E$16</f>
        <v>Interest rate - sensitivity</v>
      </c>
      <c r="F564" s="919">
        <f xml:space="preserve"> Sensitivity!F$16</f>
        <v>0</v>
      </c>
      <c r="G564" s="919" t="str">
        <f xml:space="preserve"> Sensitivity!G$16</f>
        <v>% p.a.</v>
      </c>
      <c r="H564" s="920"/>
      <c r="I564" s="920"/>
      <c r="J564" s="920"/>
      <c r="K564" s="920"/>
      <c r="L564" s="920"/>
      <c r="M564" s="920"/>
      <c r="N564" s="920"/>
      <c r="O564" s="920"/>
      <c r="P564" s="920"/>
      <c r="Q564" s="920"/>
      <c r="R564" s="920"/>
      <c r="S564" s="920"/>
      <c r="T564" s="920"/>
      <c r="U564" s="920"/>
      <c r="V564" s="920"/>
      <c r="W564" s="920"/>
      <c r="X564" s="920"/>
      <c r="Y564" s="920"/>
      <c r="Z564" s="920"/>
      <c r="AA564" s="920"/>
      <c r="AB564" s="920"/>
      <c r="AC564" s="920"/>
      <c r="AD564" s="920"/>
      <c r="AE564" s="920"/>
      <c r="AF564" s="920"/>
      <c r="AG564" s="920"/>
      <c r="AH564" s="920"/>
      <c r="AI564" s="920"/>
      <c r="AJ564" s="920"/>
      <c r="AK564" s="920"/>
      <c r="AL564" s="920"/>
      <c r="AM564" s="920"/>
      <c r="AN564" s="920"/>
      <c r="AO564" s="920"/>
      <c r="AP564" s="920"/>
      <c r="AQ564" s="920"/>
      <c r="AR564" s="920"/>
      <c r="AS564" s="920"/>
      <c r="AT564" s="920"/>
      <c r="AU564" s="920"/>
      <c r="AV564" s="920"/>
      <c r="AW564" s="920"/>
      <c r="AX564" s="920"/>
      <c r="AY564" s="920"/>
      <c r="AZ564" s="920"/>
      <c r="BA564" s="920"/>
      <c r="BB564" s="920"/>
      <c r="BC564" s="920"/>
      <c r="BD564" s="920"/>
      <c r="BE564" s="920"/>
    </row>
    <row r="565" spans="1:57" s="283" customFormat="1" hidden="1" outlineLevel="2" x14ac:dyDescent="0.2">
      <c r="A565" s="556"/>
      <c r="B565" s="556"/>
      <c r="C565" s="557"/>
      <c r="D565" s="115"/>
      <c r="E565" s="316" t="str">
        <f xml:space="preserve"> InpS!E$13</f>
        <v>Active debt forward curve</v>
      </c>
      <c r="F565" s="316">
        <f xml:space="preserve"> InpS!F$13</f>
        <v>0</v>
      </c>
      <c r="G565" s="316" t="str">
        <f xml:space="preserve"> InpS!G$13</f>
        <v>% p.a.</v>
      </c>
      <c r="H565" s="316">
        <f xml:space="preserve"> InpS!H$13</f>
        <v>0</v>
      </c>
      <c r="I565" s="316">
        <f xml:space="preserve"> InpS!I$13</f>
        <v>0</v>
      </c>
      <c r="J565" s="316">
        <f xml:space="preserve"> InpS!J$13</f>
        <v>2.0062E-2</v>
      </c>
      <c r="K565" s="316">
        <f xml:space="preserve"> InpS!K$13</f>
        <v>2.0124E-2</v>
      </c>
      <c r="L565" s="316">
        <f xml:space="preserve"> InpS!L$13</f>
        <v>2.0184000000000001E-2</v>
      </c>
      <c r="M565" s="316">
        <f xml:space="preserve"> InpS!M$13</f>
        <v>2.0241000000000002E-2</v>
      </c>
      <c r="N565" s="316">
        <f xml:space="preserve"> InpS!N$13</f>
        <v>2.0308000000000003E-2</v>
      </c>
      <c r="O565" s="316">
        <f xml:space="preserve"> InpS!O$13</f>
        <v>2.0375000000000004E-2</v>
      </c>
      <c r="P565" s="316">
        <f xml:space="preserve"> InpS!P$13</f>
        <v>2.0434000000000004E-2</v>
      </c>
      <c r="Q565" s="316">
        <f xml:space="preserve"> InpS!Q$13</f>
        <v>2.0506000000000003E-2</v>
      </c>
      <c r="R565" s="316">
        <f xml:space="preserve"> InpS!R$13</f>
        <v>2.0569000000000004E-2</v>
      </c>
      <c r="S565" s="316">
        <f xml:space="preserve"> InpS!S$13</f>
        <v>2.0620000000000003E-2</v>
      </c>
      <c r="T565" s="316">
        <f xml:space="preserve"> InpS!T$13</f>
        <v>2.0666000000000004E-2</v>
      </c>
      <c r="U565" s="316">
        <f xml:space="preserve"> InpS!U$13</f>
        <v>2.0719000000000005E-2</v>
      </c>
      <c r="V565" s="316">
        <f xml:space="preserve"> InpS!V$13</f>
        <v>2.0757000000000005E-2</v>
      </c>
      <c r="W565" s="316">
        <f xml:space="preserve"> InpS!W$13</f>
        <v>2.0795000000000004E-2</v>
      </c>
      <c r="X565" s="316">
        <f xml:space="preserve"> InpS!X$13</f>
        <v>2.0850000000000004E-2</v>
      </c>
      <c r="Y565" s="316">
        <f xml:space="preserve"> InpS!Y$13</f>
        <v>2.0888000000000004E-2</v>
      </c>
      <c r="Z565" s="316">
        <f xml:space="preserve"> InpS!Z$13</f>
        <v>2.0954000000000004E-2</v>
      </c>
      <c r="AA565" s="316">
        <f xml:space="preserve"> InpS!AA$13</f>
        <v>2.1024000000000004E-2</v>
      </c>
      <c r="AB565" s="316">
        <f xml:space="preserve"> InpS!AB$13</f>
        <v>2.1091000000000006E-2</v>
      </c>
      <c r="AC565" s="316">
        <f xml:space="preserve"> InpS!AC$13</f>
        <v>2.1134000000000007E-2</v>
      </c>
      <c r="AD565" s="316">
        <f xml:space="preserve"> InpS!AD$13</f>
        <v>2.1205000000000009E-2</v>
      </c>
      <c r="AE565" s="316">
        <f xml:space="preserve"> InpS!AE$13</f>
        <v>2.127900000000001E-2</v>
      </c>
      <c r="AF565" s="316">
        <f xml:space="preserve"> InpS!AF$13</f>
        <v>2.1316000000000009E-2</v>
      </c>
      <c r="AG565" s="316">
        <f xml:space="preserve"> InpS!AG$13</f>
        <v>2.1367000000000008E-2</v>
      </c>
      <c r="AH565" s="316">
        <f xml:space="preserve"> InpS!AH$13</f>
        <v>2.1421000000000006E-2</v>
      </c>
      <c r="AI565" s="316">
        <f xml:space="preserve"> InpS!AI$13</f>
        <v>2.1470000000000006E-2</v>
      </c>
      <c r="AJ565" s="316">
        <f xml:space="preserve"> InpS!AJ$13</f>
        <v>2.1516000000000007E-2</v>
      </c>
      <c r="AK565" s="316">
        <f xml:space="preserve"> InpS!AK$13</f>
        <v>2.1570000000000006E-2</v>
      </c>
      <c r="AL565" s="316">
        <f xml:space="preserve"> InpS!AL$13</f>
        <v>2.1639000000000005E-2</v>
      </c>
      <c r="AM565" s="316">
        <f xml:space="preserve"> InpS!AM$13</f>
        <v>2.1709000000000006E-2</v>
      </c>
      <c r="AN565" s="316">
        <f xml:space="preserve"> InpS!AN$13</f>
        <v>2.1772000000000007E-2</v>
      </c>
      <c r="AO565" s="316">
        <f xml:space="preserve"> InpS!AO$13</f>
        <v>2.1813000000000006E-2</v>
      </c>
      <c r="AP565" s="316">
        <f xml:space="preserve"> InpS!AP$13</f>
        <v>2.1858000000000006E-2</v>
      </c>
      <c r="AQ565" s="316">
        <f xml:space="preserve"> InpS!AQ$13</f>
        <v>2.1913000000000005E-2</v>
      </c>
      <c r="AR565" s="316">
        <f xml:space="preserve"> InpS!AR$13</f>
        <v>2.1986000000000006E-2</v>
      </c>
      <c r="AS565" s="316">
        <f xml:space="preserve"> InpS!AS$13</f>
        <v>2.2041000000000005E-2</v>
      </c>
      <c r="AT565" s="316">
        <f xml:space="preserve"> InpS!AT$13</f>
        <v>2.2089000000000004E-2</v>
      </c>
      <c r="AU565" s="316">
        <f xml:space="preserve"> InpS!AU$13</f>
        <v>2.2148000000000004E-2</v>
      </c>
      <c r="AV565" s="316">
        <f xml:space="preserve"> InpS!AV$13</f>
        <v>2.2216000000000003E-2</v>
      </c>
      <c r="AW565" s="316">
        <f xml:space="preserve"> InpS!AW$13</f>
        <v>2.2282000000000003E-2</v>
      </c>
      <c r="AX565" s="316">
        <f xml:space="preserve"> InpS!AX$13</f>
        <v>2.2351000000000003E-2</v>
      </c>
      <c r="AY565" s="316">
        <f xml:space="preserve"> InpS!AY$13</f>
        <v>2.2409000000000002E-2</v>
      </c>
      <c r="AZ565" s="316">
        <f xml:space="preserve"> InpS!AZ$13</f>
        <v>2.2445000000000003E-2</v>
      </c>
      <c r="BA565" s="316">
        <f xml:space="preserve"> InpS!BA$13</f>
        <v>2.2489000000000002E-2</v>
      </c>
      <c r="BB565" s="316">
        <f xml:space="preserve"> InpS!BB$13</f>
        <v>2.2535000000000003E-2</v>
      </c>
      <c r="BC565" s="316">
        <f xml:space="preserve"> InpS!BC$13</f>
        <v>2.2607000000000002E-2</v>
      </c>
      <c r="BD565" s="316">
        <f xml:space="preserve"> InpS!BD$13</f>
        <v>2.2647E-2</v>
      </c>
      <c r="BE565" s="316">
        <f xml:space="preserve"> InpS!BE$13</f>
        <v>2.2683999999999999E-2</v>
      </c>
    </row>
    <row r="566" spans="1:57" s="283" customFormat="1" hidden="1" outlineLevel="2" x14ac:dyDescent="0.2">
      <c r="A566" s="556"/>
      <c r="B566" s="556"/>
      <c r="C566" s="557"/>
      <c r="D566" s="115"/>
      <c r="E566" s="282" t="s">
        <v>1055</v>
      </c>
      <c r="F566" s="282"/>
      <c r="G566" s="282" t="s">
        <v>280</v>
      </c>
      <c r="H566" s="282"/>
      <c r="I566" s="112"/>
      <c r="J566" s="282">
        <f t="shared" ref="J566:BE566" si="1033" xml:space="preserve"> J565 + $F563 + $F564</f>
        <v>4.7062E-2</v>
      </c>
      <c r="K566" s="282">
        <f t="shared" si="1033"/>
        <v>4.7123999999999999E-2</v>
      </c>
      <c r="L566" s="282">
        <f t="shared" si="1033"/>
        <v>4.7184000000000004E-2</v>
      </c>
      <c r="M566" s="282">
        <f t="shared" si="1033"/>
        <v>4.7241000000000005E-2</v>
      </c>
      <c r="N566" s="282">
        <f t="shared" si="1033"/>
        <v>4.7308000000000003E-2</v>
      </c>
      <c r="O566" s="282">
        <f t="shared" si="1033"/>
        <v>4.7375E-2</v>
      </c>
      <c r="P566" s="282">
        <f t="shared" si="1033"/>
        <v>4.7434000000000004E-2</v>
      </c>
      <c r="Q566" s="282">
        <f t="shared" si="1033"/>
        <v>4.7506000000000007E-2</v>
      </c>
      <c r="R566" s="282">
        <f t="shared" si="1033"/>
        <v>4.7569E-2</v>
      </c>
      <c r="S566" s="282">
        <f t="shared" si="1033"/>
        <v>4.7620000000000003E-2</v>
      </c>
      <c r="T566" s="282">
        <f t="shared" si="1033"/>
        <v>4.7666E-2</v>
      </c>
      <c r="U566" s="282">
        <f t="shared" si="1033"/>
        <v>4.7719000000000004E-2</v>
      </c>
      <c r="V566" s="282">
        <f t="shared" si="1033"/>
        <v>4.7757000000000008E-2</v>
      </c>
      <c r="W566" s="282">
        <f t="shared" si="1033"/>
        <v>4.7795000000000004E-2</v>
      </c>
      <c r="X566" s="282">
        <f t="shared" si="1033"/>
        <v>4.7850000000000004E-2</v>
      </c>
      <c r="Y566" s="282">
        <f t="shared" si="1033"/>
        <v>4.7888E-2</v>
      </c>
      <c r="Z566" s="282">
        <f t="shared" si="1033"/>
        <v>4.7954000000000004E-2</v>
      </c>
      <c r="AA566" s="282">
        <f t="shared" si="1033"/>
        <v>4.8024000000000004E-2</v>
      </c>
      <c r="AB566" s="282">
        <f t="shared" si="1033"/>
        <v>4.8091000000000009E-2</v>
      </c>
      <c r="AC566" s="282">
        <f t="shared" si="1033"/>
        <v>4.813400000000001E-2</v>
      </c>
      <c r="AD566" s="282">
        <f t="shared" si="1033"/>
        <v>4.8205000000000012E-2</v>
      </c>
      <c r="AE566" s="282">
        <f t="shared" si="1033"/>
        <v>4.8279000000000009E-2</v>
      </c>
      <c r="AF566" s="282">
        <f t="shared" si="1033"/>
        <v>4.8316000000000012E-2</v>
      </c>
      <c r="AG566" s="282">
        <f t="shared" si="1033"/>
        <v>4.8367000000000007E-2</v>
      </c>
      <c r="AH566" s="282">
        <f t="shared" si="1033"/>
        <v>4.8421000000000006E-2</v>
      </c>
      <c r="AI566" s="282">
        <f t="shared" si="1033"/>
        <v>4.8470000000000006E-2</v>
      </c>
      <c r="AJ566" s="282">
        <f t="shared" si="1033"/>
        <v>4.8516000000000004E-2</v>
      </c>
      <c r="AK566" s="282">
        <f t="shared" si="1033"/>
        <v>4.8570000000000002E-2</v>
      </c>
      <c r="AL566" s="282">
        <f t="shared" si="1033"/>
        <v>4.8639000000000002E-2</v>
      </c>
      <c r="AM566" s="282">
        <f t="shared" si="1033"/>
        <v>4.8709000000000002E-2</v>
      </c>
      <c r="AN566" s="282">
        <f t="shared" si="1033"/>
        <v>4.877200000000001E-2</v>
      </c>
      <c r="AO566" s="282">
        <f t="shared" si="1033"/>
        <v>4.8813000000000009E-2</v>
      </c>
      <c r="AP566" s="282">
        <f t="shared" si="1033"/>
        <v>4.8858000000000006E-2</v>
      </c>
      <c r="AQ566" s="282">
        <f t="shared" si="1033"/>
        <v>4.8913000000000005E-2</v>
      </c>
      <c r="AR566" s="282">
        <f t="shared" si="1033"/>
        <v>4.8986000000000002E-2</v>
      </c>
      <c r="AS566" s="282">
        <f t="shared" si="1033"/>
        <v>4.9041000000000001E-2</v>
      </c>
      <c r="AT566" s="282">
        <f t="shared" si="1033"/>
        <v>4.9089000000000008E-2</v>
      </c>
      <c r="AU566" s="282">
        <f t="shared" si="1033"/>
        <v>4.9148000000000004E-2</v>
      </c>
      <c r="AV566" s="282">
        <f t="shared" si="1033"/>
        <v>4.9216000000000003E-2</v>
      </c>
      <c r="AW566" s="282">
        <f t="shared" si="1033"/>
        <v>4.9282000000000006E-2</v>
      </c>
      <c r="AX566" s="282">
        <f t="shared" si="1033"/>
        <v>4.9351000000000006E-2</v>
      </c>
      <c r="AY566" s="282">
        <f t="shared" si="1033"/>
        <v>4.9409000000000002E-2</v>
      </c>
      <c r="AZ566" s="282">
        <f t="shared" si="1033"/>
        <v>4.9445000000000003E-2</v>
      </c>
      <c r="BA566" s="282">
        <f t="shared" si="1033"/>
        <v>4.9489000000000005E-2</v>
      </c>
      <c r="BB566" s="282">
        <f t="shared" si="1033"/>
        <v>4.9535000000000003E-2</v>
      </c>
      <c r="BC566" s="282">
        <f t="shared" si="1033"/>
        <v>4.9606999999999998E-2</v>
      </c>
      <c r="BD566" s="282">
        <f t="shared" si="1033"/>
        <v>4.9646999999999997E-2</v>
      </c>
      <c r="BE566" s="282">
        <f t="shared" si="1033"/>
        <v>4.9683999999999999E-2</v>
      </c>
    </row>
    <row r="567" spans="1:57" hidden="1" outlineLevel="2" x14ac:dyDescent="0.2">
      <c r="A567" s="522"/>
      <c r="B567" s="522"/>
      <c r="C567" s="523"/>
      <c r="D567" s="524"/>
      <c r="E567" s="525"/>
      <c r="F567" s="525"/>
      <c r="G567" s="525"/>
      <c r="H567" s="525"/>
      <c r="I567" s="526"/>
      <c r="J567" s="525"/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</row>
    <row r="568" spans="1:57" hidden="1" outlineLevel="2" x14ac:dyDescent="0.2">
      <c r="A568" s="522"/>
      <c r="B568" s="522"/>
      <c r="C568" s="523"/>
      <c r="D568" s="524"/>
      <c r="E568" s="695" t="str">
        <f xml:space="preserve"> InpC!E$347</f>
        <v>Standby debt - T2 day count convention</v>
      </c>
      <c r="F568" s="695">
        <f xml:space="preserve"> InpC!F$347</f>
        <v>360</v>
      </c>
      <c r="G568" s="695" t="str">
        <f xml:space="preserve"> InpC!G$347</f>
        <v>days</v>
      </c>
      <c r="H568" s="525"/>
      <c r="I568" s="526"/>
      <c r="J568" s="525"/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</row>
    <row r="569" spans="1:57" hidden="1" outlineLevel="2" x14ac:dyDescent="0.2">
      <c r="A569" s="522"/>
      <c r="B569" s="522"/>
      <c r="C569" s="523"/>
      <c r="D569" s="524"/>
      <c r="E569" s="681" t="str">
        <f t="shared" ref="E569:AJ569" si="1034" xml:space="preserve"> E$566</f>
        <v>All in Standby debt interest rate - T2</v>
      </c>
      <c r="F569" s="681">
        <f t="shared" si="1034"/>
        <v>0</v>
      </c>
      <c r="G569" s="681" t="str">
        <f t="shared" si="1034"/>
        <v>p.a.</v>
      </c>
      <c r="H569" s="681">
        <f t="shared" si="1034"/>
        <v>0</v>
      </c>
      <c r="I569" s="681">
        <f t="shared" si="1034"/>
        <v>0</v>
      </c>
      <c r="J569" s="681">
        <f t="shared" si="1034"/>
        <v>4.7062E-2</v>
      </c>
      <c r="K569" s="681">
        <f t="shared" si="1034"/>
        <v>4.7123999999999999E-2</v>
      </c>
      <c r="L569" s="681">
        <f t="shared" si="1034"/>
        <v>4.7184000000000004E-2</v>
      </c>
      <c r="M569" s="681">
        <f t="shared" si="1034"/>
        <v>4.7241000000000005E-2</v>
      </c>
      <c r="N569" s="681">
        <f t="shared" si="1034"/>
        <v>4.7308000000000003E-2</v>
      </c>
      <c r="O569" s="681">
        <f t="shared" si="1034"/>
        <v>4.7375E-2</v>
      </c>
      <c r="P569" s="681">
        <f t="shared" si="1034"/>
        <v>4.7434000000000004E-2</v>
      </c>
      <c r="Q569" s="681">
        <f t="shared" si="1034"/>
        <v>4.7506000000000007E-2</v>
      </c>
      <c r="R569" s="681">
        <f t="shared" si="1034"/>
        <v>4.7569E-2</v>
      </c>
      <c r="S569" s="681">
        <f t="shared" si="1034"/>
        <v>4.7620000000000003E-2</v>
      </c>
      <c r="T569" s="681">
        <f t="shared" si="1034"/>
        <v>4.7666E-2</v>
      </c>
      <c r="U569" s="681">
        <f t="shared" si="1034"/>
        <v>4.7719000000000004E-2</v>
      </c>
      <c r="V569" s="681">
        <f t="shared" si="1034"/>
        <v>4.7757000000000008E-2</v>
      </c>
      <c r="W569" s="681">
        <f t="shared" si="1034"/>
        <v>4.7795000000000004E-2</v>
      </c>
      <c r="X569" s="681">
        <f t="shared" si="1034"/>
        <v>4.7850000000000004E-2</v>
      </c>
      <c r="Y569" s="681">
        <f t="shared" si="1034"/>
        <v>4.7888E-2</v>
      </c>
      <c r="Z569" s="681">
        <f t="shared" si="1034"/>
        <v>4.7954000000000004E-2</v>
      </c>
      <c r="AA569" s="681">
        <f t="shared" si="1034"/>
        <v>4.8024000000000004E-2</v>
      </c>
      <c r="AB569" s="681">
        <f t="shared" si="1034"/>
        <v>4.8091000000000009E-2</v>
      </c>
      <c r="AC569" s="681">
        <f t="shared" si="1034"/>
        <v>4.813400000000001E-2</v>
      </c>
      <c r="AD569" s="681">
        <f t="shared" si="1034"/>
        <v>4.8205000000000012E-2</v>
      </c>
      <c r="AE569" s="681">
        <f t="shared" si="1034"/>
        <v>4.8279000000000009E-2</v>
      </c>
      <c r="AF569" s="681">
        <f t="shared" si="1034"/>
        <v>4.8316000000000012E-2</v>
      </c>
      <c r="AG569" s="681">
        <f t="shared" si="1034"/>
        <v>4.8367000000000007E-2</v>
      </c>
      <c r="AH569" s="681">
        <f t="shared" si="1034"/>
        <v>4.8421000000000006E-2</v>
      </c>
      <c r="AI569" s="681">
        <f t="shared" si="1034"/>
        <v>4.8470000000000006E-2</v>
      </c>
      <c r="AJ569" s="681">
        <f t="shared" si="1034"/>
        <v>4.8516000000000004E-2</v>
      </c>
      <c r="AK569" s="681">
        <f t="shared" ref="AK569:BE569" si="1035" xml:space="preserve"> AK$566</f>
        <v>4.8570000000000002E-2</v>
      </c>
      <c r="AL569" s="681">
        <f t="shared" si="1035"/>
        <v>4.8639000000000002E-2</v>
      </c>
      <c r="AM569" s="681">
        <f t="shared" si="1035"/>
        <v>4.8709000000000002E-2</v>
      </c>
      <c r="AN569" s="681">
        <f t="shared" si="1035"/>
        <v>4.877200000000001E-2</v>
      </c>
      <c r="AO569" s="681">
        <f t="shared" si="1035"/>
        <v>4.8813000000000009E-2</v>
      </c>
      <c r="AP569" s="681">
        <f t="shared" si="1035"/>
        <v>4.8858000000000006E-2</v>
      </c>
      <c r="AQ569" s="681">
        <f t="shared" si="1035"/>
        <v>4.8913000000000005E-2</v>
      </c>
      <c r="AR569" s="681">
        <f t="shared" si="1035"/>
        <v>4.8986000000000002E-2</v>
      </c>
      <c r="AS569" s="681">
        <f t="shared" si="1035"/>
        <v>4.9041000000000001E-2</v>
      </c>
      <c r="AT569" s="681">
        <f t="shared" si="1035"/>
        <v>4.9089000000000008E-2</v>
      </c>
      <c r="AU569" s="681">
        <f t="shared" si="1035"/>
        <v>4.9148000000000004E-2</v>
      </c>
      <c r="AV569" s="681">
        <f t="shared" si="1035"/>
        <v>4.9216000000000003E-2</v>
      </c>
      <c r="AW569" s="681">
        <f t="shared" si="1035"/>
        <v>4.9282000000000006E-2</v>
      </c>
      <c r="AX569" s="681">
        <f t="shared" si="1035"/>
        <v>4.9351000000000006E-2</v>
      </c>
      <c r="AY569" s="681">
        <f t="shared" si="1035"/>
        <v>4.9409000000000002E-2</v>
      </c>
      <c r="AZ569" s="681">
        <f t="shared" si="1035"/>
        <v>4.9445000000000003E-2</v>
      </c>
      <c r="BA569" s="681">
        <f t="shared" si="1035"/>
        <v>4.9489000000000005E-2</v>
      </c>
      <c r="BB569" s="681">
        <f t="shared" si="1035"/>
        <v>4.9535000000000003E-2</v>
      </c>
      <c r="BC569" s="681">
        <f t="shared" si="1035"/>
        <v>4.9606999999999998E-2</v>
      </c>
      <c r="BD569" s="681">
        <f t="shared" si="1035"/>
        <v>4.9646999999999997E-2</v>
      </c>
      <c r="BE569" s="681">
        <f t="shared" si="1035"/>
        <v>4.9683999999999999E-2</v>
      </c>
    </row>
    <row r="570" spans="1:57" hidden="1" outlineLevel="2" x14ac:dyDescent="0.2">
      <c r="A570" s="522"/>
      <c r="B570" s="522"/>
      <c r="C570" s="523"/>
      <c r="D570" s="524"/>
      <c r="E570" s="695" t="str">
        <f xml:space="preserve"> ConTime!E$97</f>
        <v>Days in period - m</v>
      </c>
      <c r="F570" s="695">
        <f xml:space="preserve"> ConTime!F$97</f>
        <v>0</v>
      </c>
      <c r="G570" s="695" t="str">
        <f xml:space="preserve"> ConTime!G$97</f>
        <v>days</v>
      </c>
      <c r="H570" s="695">
        <f xml:space="preserve"> ConTime!H$97</f>
        <v>0</v>
      </c>
      <c r="I570" s="695">
        <f xml:space="preserve"> ConTime!I$97</f>
        <v>0</v>
      </c>
      <c r="J570" s="695">
        <f xml:space="preserve"> ConTime!J$97</f>
        <v>31</v>
      </c>
      <c r="K570" s="695">
        <f xml:space="preserve"> ConTime!K$97</f>
        <v>28</v>
      </c>
      <c r="L570" s="695">
        <f xml:space="preserve"> ConTime!L$97</f>
        <v>31</v>
      </c>
      <c r="M570" s="695">
        <f xml:space="preserve"> ConTime!M$97</f>
        <v>30</v>
      </c>
      <c r="N570" s="695">
        <f xml:space="preserve"> ConTime!N$97</f>
        <v>31</v>
      </c>
      <c r="O570" s="695">
        <f xml:space="preserve"> ConTime!O$97</f>
        <v>30</v>
      </c>
      <c r="P570" s="695">
        <f xml:space="preserve"> ConTime!P$97</f>
        <v>31</v>
      </c>
      <c r="Q570" s="695">
        <f xml:space="preserve"> ConTime!Q$97</f>
        <v>31</v>
      </c>
      <c r="R570" s="695">
        <f xml:space="preserve"> ConTime!R$97</f>
        <v>30</v>
      </c>
      <c r="S570" s="695">
        <f xml:space="preserve"> ConTime!S$97</f>
        <v>31</v>
      </c>
      <c r="T570" s="695">
        <f xml:space="preserve"> ConTime!T$97</f>
        <v>30</v>
      </c>
      <c r="U570" s="695">
        <f xml:space="preserve"> ConTime!U$97</f>
        <v>31</v>
      </c>
      <c r="V570" s="695">
        <f xml:space="preserve"> ConTime!V$97</f>
        <v>31</v>
      </c>
      <c r="W570" s="695">
        <f xml:space="preserve"> ConTime!W$97</f>
        <v>28</v>
      </c>
      <c r="X570" s="695">
        <f xml:space="preserve"> ConTime!X$97</f>
        <v>31</v>
      </c>
      <c r="Y570" s="695">
        <f xml:space="preserve"> ConTime!Y$97</f>
        <v>30</v>
      </c>
      <c r="Z570" s="695">
        <f xml:space="preserve"> ConTime!Z$97</f>
        <v>31</v>
      </c>
      <c r="AA570" s="695">
        <f xml:space="preserve"> ConTime!AA$97</f>
        <v>30</v>
      </c>
      <c r="AB570" s="695">
        <f xml:space="preserve"> ConTime!AB$97</f>
        <v>31</v>
      </c>
      <c r="AC570" s="695">
        <f xml:space="preserve"> ConTime!AC$97</f>
        <v>31</v>
      </c>
      <c r="AD570" s="695">
        <f xml:space="preserve"> ConTime!AD$97</f>
        <v>30</v>
      </c>
      <c r="AE570" s="695">
        <f xml:space="preserve"> ConTime!AE$97</f>
        <v>31</v>
      </c>
      <c r="AF570" s="695">
        <f xml:space="preserve"> ConTime!AF$97</f>
        <v>30</v>
      </c>
      <c r="AG570" s="695">
        <f xml:space="preserve"> ConTime!AG$97</f>
        <v>31</v>
      </c>
      <c r="AH570" s="695">
        <f xml:space="preserve"> ConTime!AH$97</f>
        <v>31</v>
      </c>
      <c r="AI570" s="695">
        <f xml:space="preserve"> ConTime!AI$97</f>
        <v>29</v>
      </c>
      <c r="AJ570" s="695">
        <f xml:space="preserve"> ConTime!AJ$97</f>
        <v>31</v>
      </c>
      <c r="AK570" s="695">
        <f xml:space="preserve"> ConTime!AK$97</f>
        <v>30</v>
      </c>
      <c r="AL570" s="695">
        <f xml:space="preserve"> ConTime!AL$97</f>
        <v>31</v>
      </c>
      <c r="AM570" s="695">
        <f xml:space="preserve"> ConTime!AM$97</f>
        <v>30</v>
      </c>
      <c r="AN570" s="695">
        <f xml:space="preserve"> ConTime!AN$97</f>
        <v>31</v>
      </c>
      <c r="AO570" s="695">
        <f xml:space="preserve"> ConTime!AO$97</f>
        <v>31</v>
      </c>
      <c r="AP570" s="695">
        <f xml:space="preserve"> ConTime!AP$97</f>
        <v>30</v>
      </c>
      <c r="AQ570" s="695">
        <f xml:space="preserve"> ConTime!AQ$97</f>
        <v>31</v>
      </c>
      <c r="AR570" s="695">
        <f xml:space="preserve"> ConTime!AR$97</f>
        <v>30</v>
      </c>
      <c r="AS570" s="695">
        <f xml:space="preserve"> ConTime!AS$97</f>
        <v>31</v>
      </c>
      <c r="AT570" s="695">
        <f xml:space="preserve"> ConTime!AT$97</f>
        <v>31</v>
      </c>
      <c r="AU570" s="695">
        <f xml:space="preserve"> ConTime!AU$97</f>
        <v>28</v>
      </c>
      <c r="AV570" s="695">
        <f xml:space="preserve"> ConTime!AV$97</f>
        <v>31</v>
      </c>
      <c r="AW570" s="695">
        <f xml:space="preserve"> ConTime!AW$97</f>
        <v>30</v>
      </c>
      <c r="AX570" s="695">
        <f xml:space="preserve"> ConTime!AX$97</f>
        <v>31</v>
      </c>
      <c r="AY570" s="695">
        <f xml:space="preserve"> ConTime!AY$97</f>
        <v>30</v>
      </c>
      <c r="AZ570" s="695">
        <f xml:space="preserve"> ConTime!AZ$97</f>
        <v>31</v>
      </c>
      <c r="BA570" s="695">
        <f xml:space="preserve"> ConTime!BA$97</f>
        <v>31</v>
      </c>
      <c r="BB570" s="695">
        <f xml:space="preserve"> ConTime!BB$97</f>
        <v>30</v>
      </c>
      <c r="BC570" s="695">
        <f xml:space="preserve"> ConTime!BC$97</f>
        <v>31</v>
      </c>
      <c r="BD570" s="695">
        <f xml:space="preserve"> ConTime!BD$97</f>
        <v>30</v>
      </c>
      <c r="BE570" s="695">
        <f xml:space="preserve"> ConTime!BE$97</f>
        <v>31</v>
      </c>
    </row>
    <row r="571" spans="1:57" hidden="1" outlineLevel="2" x14ac:dyDescent="0.2">
      <c r="A571" s="522"/>
      <c r="B571" s="522"/>
      <c r="C571" s="523"/>
      <c r="D571" s="524"/>
      <c r="E571" s="525" t="str">
        <f t="shared" ref="E571:AJ571" si="1036" xml:space="preserve"> E$492</f>
        <v>Standby debt - T2 balance BEG</v>
      </c>
      <c r="F571" s="525">
        <f t="shared" si="1036"/>
        <v>0</v>
      </c>
      <c r="G571" s="525" t="str">
        <f t="shared" si="1036"/>
        <v>$ 000s</v>
      </c>
      <c r="H571" s="525">
        <f t="shared" si="1036"/>
        <v>0</v>
      </c>
      <c r="I571" s="525">
        <f t="shared" si="1036"/>
        <v>0</v>
      </c>
      <c r="J571" s="525">
        <f t="shared" si="1036"/>
        <v>0</v>
      </c>
      <c r="K571" s="525">
        <f t="shared" si="1036"/>
        <v>0</v>
      </c>
      <c r="L571" s="525">
        <f t="shared" si="1036"/>
        <v>0</v>
      </c>
      <c r="M571" s="525">
        <f t="shared" si="1036"/>
        <v>0</v>
      </c>
      <c r="N571" s="525">
        <f t="shared" si="1036"/>
        <v>0</v>
      </c>
      <c r="O571" s="525">
        <f t="shared" si="1036"/>
        <v>0</v>
      </c>
      <c r="P571" s="525">
        <f t="shared" si="1036"/>
        <v>0</v>
      </c>
      <c r="Q571" s="525">
        <f t="shared" si="1036"/>
        <v>0</v>
      </c>
      <c r="R571" s="525">
        <f t="shared" si="1036"/>
        <v>0</v>
      </c>
      <c r="S571" s="525">
        <f t="shared" si="1036"/>
        <v>0</v>
      </c>
      <c r="T571" s="525">
        <f t="shared" si="1036"/>
        <v>0</v>
      </c>
      <c r="U571" s="525">
        <f t="shared" si="1036"/>
        <v>0</v>
      </c>
      <c r="V571" s="525">
        <f t="shared" si="1036"/>
        <v>0</v>
      </c>
      <c r="W571" s="525">
        <f t="shared" si="1036"/>
        <v>0</v>
      </c>
      <c r="X571" s="525">
        <f t="shared" si="1036"/>
        <v>0</v>
      </c>
      <c r="Y571" s="525">
        <f t="shared" si="1036"/>
        <v>0</v>
      </c>
      <c r="Z571" s="525">
        <f t="shared" si="1036"/>
        <v>0</v>
      </c>
      <c r="AA571" s="525">
        <f t="shared" si="1036"/>
        <v>0</v>
      </c>
      <c r="AB571" s="525">
        <f t="shared" si="1036"/>
        <v>0</v>
      </c>
      <c r="AC571" s="525">
        <f t="shared" si="1036"/>
        <v>0</v>
      </c>
      <c r="AD571" s="525">
        <f t="shared" si="1036"/>
        <v>0</v>
      </c>
      <c r="AE571" s="525">
        <f t="shared" si="1036"/>
        <v>0</v>
      </c>
      <c r="AF571" s="525">
        <f t="shared" si="1036"/>
        <v>0</v>
      </c>
      <c r="AG571" s="525">
        <f t="shared" si="1036"/>
        <v>0</v>
      </c>
      <c r="AH571" s="525">
        <f t="shared" si="1036"/>
        <v>0</v>
      </c>
      <c r="AI571" s="525">
        <f t="shared" si="1036"/>
        <v>0</v>
      </c>
      <c r="AJ571" s="525">
        <f t="shared" si="1036"/>
        <v>0</v>
      </c>
      <c r="AK571" s="525">
        <f t="shared" ref="AK571:BE571" si="1037" xml:space="preserve"> AK$492</f>
        <v>0</v>
      </c>
      <c r="AL571" s="525">
        <f t="shared" si="1037"/>
        <v>0</v>
      </c>
      <c r="AM571" s="525">
        <f t="shared" si="1037"/>
        <v>0</v>
      </c>
      <c r="AN571" s="525">
        <f t="shared" si="1037"/>
        <v>0</v>
      </c>
      <c r="AO571" s="525">
        <f t="shared" si="1037"/>
        <v>0</v>
      </c>
      <c r="AP571" s="525">
        <f t="shared" si="1037"/>
        <v>0</v>
      </c>
      <c r="AQ571" s="525">
        <f t="shared" si="1037"/>
        <v>0</v>
      </c>
      <c r="AR571" s="525">
        <f t="shared" si="1037"/>
        <v>0</v>
      </c>
      <c r="AS571" s="525">
        <f t="shared" si="1037"/>
        <v>0</v>
      </c>
      <c r="AT571" s="525">
        <f t="shared" si="1037"/>
        <v>0</v>
      </c>
      <c r="AU571" s="525">
        <f t="shared" si="1037"/>
        <v>0</v>
      </c>
      <c r="AV571" s="525">
        <f t="shared" si="1037"/>
        <v>0</v>
      </c>
      <c r="AW571" s="525">
        <f t="shared" si="1037"/>
        <v>0</v>
      </c>
      <c r="AX571" s="525">
        <f t="shared" si="1037"/>
        <v>0</v>
      </c>
      <c r="AY571" s="525">
        <f t="shared" si="1037"/>
        <v>0</v>
      </c>
      <c r="AZ571" s="525">
        <f t="shared" si="1037"/>
        <v>0</v>
      </c>
      <c r="BA571" s="525">
        <f t="shared" si="1037"/>
        <v>0</v>
      </c>
      <c r="BB571" s="525">
        <f t="shared" si="1037"/>
        <v>0</v>
      </c>
      <c r="BC571" s="525">
        <f t="shared" si="1037"/>
        <v>0</v>
      </c>
      <c r="BD571" s="525">
        <f t="shared" si="1037"/>
        <v>0</v>
      </c>
      <c r="BE571" s="525">
        <f t="shared" si="1037"/>
        <v>0</v>
      </c>
    </row>
    <row r="572" spans="1:57" hidden="1" outlineLevel="2" x14ac:dyDescent="0.2">
      <c r="A572" s="522"/>
      <c r="B572" s="522"/>
      <c r="C572" s="523"/>
      <c r="D572" s="524"/>
      <c r="E572" s="695" t="str">
        <f xml:space="preserve"> ConTime!E$82</f>
        <v>Construction period flag</v>
      </c>
      <c r="F572" s="695">
        <f xml:space="preserve"> ConTime!F$82</f>
        <v>0</v>
      </c>
      <c r="G572" s="695" t="str">
        <f xml:space="preserve"> ConTime!G$82</f>
        <v>flag</v>
      </c>
      <c r="H572" s="695">
        <f xml:space="preserve"> ConTime!H$82</f>
        <v>26</v>
      </c>
      <c r="I572" s="695">
        <f xml:space="preserve"> ConTime!I$82</f>
        <v>0</v>
      </c>
      <c r="J572" s="695">
        <f xml:space="preserve"> ConTime!J$82</f>
        <v>0</v>
      </c>
      <c r="K572" s="695">
        <f xml:space="preserve"> ConTime!K$82</f>
        <v>0</v>
      </c>
      <c r="L572" s="695">
        <f xml:space="preserve"> ConTime!L$82</f>
        <v>0</v>
      </c>
      <c r="M572" s="695">
        <f xml:space="preserve"> ConTime!M$82</f>
        <v>0</v>
      </c>
      <c r="N572" s="695">
        <f xml:space="preserve"> ConTime!N$82</f>
        <v>1</v>
      </c>
      <c r="O572" s="695">
        <f xml:space="preserve"> ConTime!O$82</f>
        <v>1</v>
      </c>
      <c r="P572" s="695">
        <f xml:space="preserve"> ConTime!P$82</f>
        <v>1</v>
      </c>
      <c r="Q572" s="695">
        <f xml:space="preserve"> ConTime!Q$82</f>
        <v>1</v>
      </c>
      <c r="R572" s="695">
        <f xml:space="preserve"> ConTime!R$82</f>
        <v>1</v>
      </c>
      <c r="S572" s="695">
        <f xml:space="preserve"> ConTime!S$82</f>
        <v>1</v>
      </c>
      <c r="T572" s="695">
        <f xml:space="preserve"> ConTime!T$82</f>
        <v>1</v>
      </c>
      <c r="U572" s="695">
        <f xml:space="preserve"> ConTime!U$82</f>
        <v>1</v>
      </c>
      <c r="V572" s="695">
        <f xml:space="preserve"> ConTime!V$82</f>
        <v>1</v>
      </c>
      <c r="W572" s="695">
        <f xml:space="preserve"> ConTime!W$82</f>
        <v>1</v>
      </c>
      <c r="X572" s="695">
        <f xml:space="preserve"> ConTime!X$82</f>
        <v>1</v>
      </c>
      <c r="Y572" s="695">
        <f xml:space="preserve"> ConTime!Y$82</f>
        <v>1</v>
      </c>
      <c r="Z572" s="695">
        <f xml:space="preserve"> ConTime!Z$82</f>
        <v>1</v>
      </c>
      <c r="AA572" s="695">
        <f xml:space="preserve"> ConTime!AA$82</f>
        <v>1</v>
      </c>
      <c r="AB572" s="695">
        <f xml:space="preserve"> ConTime!AB$82</f>
        <v>1</v>
      </c>
      <c r="AC572" s="695">
        <f xml:space="preserve"> ConTime!AC$82</f>
        <v>1</v>
      </c>
      <c r="AD572" s="695">
        <f xml:space="preserve"> ConTime!AD$82</f>
        <v>1</v>
      </c>
      <c r="AE572" s="695">
        <f xml:space="preserve"> ConTime!AE$82</f>
        <v>1</v>
      </c>
      <c r="AF572" s="695">
        <f xml:space="preserve"> ConTime!AF$82</f>
        <v>1</v>
      </c>
      <c r="AG572" s="695">
        <f xml:space="preserve"> ConTime!AG$82</f>
        <v>1</v>
      </c>
      <c r="AH572" s="695">
        <f xml:space="preserve"> ConTime!AH$82</f>
        <v>1</v>
      </c>
      <c r="AI572" s="695">
        <f xml:space="preserve"> ConTime!AI$82</f>
        <v>1</v>
      </c>
      <c r="AJ572" s="695">
        <f xml:space="preserve"> ConTime!AJ$82</f>
        <v>1</v>
      </c>
      <c r="AK572" s="695">
        <f xml:space="preserve"> ConTime!AK$82</f>
        <v>1</v>
      </c>
      <c r="AL572" s="695">
        <f xml:space="preserve"> ConTime!AL$82</f>
        <v>1</v>
      </c>
      <c r="AM572" s="695">
        <f xml:space="preserve"> ConTime!AM$82</f>
        <v>1</v>
      </c>
      <c r="AN572" s="695">
        <f xml:space="preserve"> ConTime!AN$82</f>
        <v>0</v>
      </c>
      <c r="AO572" s="695">
        <f xml:space="preserve"> ConTime!AO$82</f>
        <v>0</v>
      </c>
      <c r="AP572" s="695">
        <f xml:space="preserve"> ConTime!AP$82</f>
        <v>0</v>
      </c>
      <c r="AQ572" s="695">
        <f xml:space="preserve"> ConTime!AQ$82</f>
        <v>0</v>
      </c>
      <c r="AR572" s="695">
        <f xml:space="preserve"> ConTime!AR$82</f>
        <v>0</v>
      </c>
      <c r="AS572" s="695">
        <f xml:space="preserve"> ConTime!AS$82</f>
        <v>0</v>
      </c>
      <c r="AT572" s="695">
        <f xml:space="preserve"> ConTime!AT$82</f>
        <v>0</v>
      </c>
      <c r="AU572" s="695">
        <f xml:space="preserve"> ConTime!AU$82</f>
        <v>0</v>
      </c>
      <c r="AV572" s="695">
        <f xml:space="preserve"> ConTime!AV$82</f>
        <v>0</v>
      </c>
      <c r="AW572" s="695">
        <f xml:space="preserve"> ConTime!AW$82</f>
        <v>0</v>
      </c>
      <c r="AX572" s="695">
        <f xml:space="preserve"> ConTime!AX$82</f>
        <v>0</v>
      </c>
      <c r="AY572" s="695">
        <f xml:space="preserve"> ConTime!AY$82</f>
        <v>0</v>
      </c>
      <c r="AZ572" s="695">
        <f xml:space="preserve"> ConTime!AZ$82</f>
        <v>0</v>
      </c>
      <c r="BA572" s="695">
        <f xml:space="preserve"> ConTime!BA$82</f>
        <v>0</v>
      </c>
      <c r="BB572" s="695">
        <f xml:space="preserve"> ConTime!BB$82</f>
        <v>0</v>
      </c>
      <c r="BC572" s="695">
        <f xml:space="preserve"> ConTime!BC$82</f>
        <v>0</v>
      </c>
      <c r="BD572" s="695">
        <f xml:space="preserve"> ConTime!BD$82</f>
        <v>0</v>
      </c>
      <c r="BE572" s="695">
        <f xml:space="preserve"> ConTime!BE$82</f>
        <v>0</v>
      </c>
    </row>
    <row r="573" spans="1:57" s="191" customFormat="1" hidden="1" outlineLevel="2" x14ac:dyDescent="0.2">
      <c r="A573" s="700"/>
      <c r="B573" s="700"/>
      <c r="C573" s="701"/>
      <c r="D573" s="702"/>
      <c r="E573" s="666" t="s">
        <v>1057</v>
      </c>
      <c r="F573" s="666"/>
      <c r="G573" s="666" t="str">
        <f xml:space="preserve"> SMU</f>
        <v>$ 000s</v>
      </c>
      <c r="H573" s="666">
        <f xml:space="preserve"> SUM(J573:BE573)</f>
        <v>0</v>
      </c>
      <c r="I573" s="703"/>
      <c r="J573" s="666">
        <f t="shared" ref="J573:BE573" si="1038" xml:space="preserve"> J569 / $F568 * J570 * J571 * J572</f>
        <v>0</v>
      </c>
      <c r="K573" s="666">
        <f t="shared" si="1038"/>
        <v>0</v>
      </c>
      <c r="L573" s="666">
        <f t="shared" si="1038"/>
        <v>0</v>
      </c>
      <c r="M573" s="666">
        <f t="shared" si="1038"/>
        <v>0</v>
      </c>
      <c r="N573" s="666">
        <f t="shared" si="1038"/>
        <v>0</v>
      </c>
      <c r="O573" s="666">
        <f t="shared" si="1038"/>
        <v>0</v>
      </c>
      <c r="P573" s="666">
        <f t="shared" si="1038"/>
        <v>0</v>
      </c>
      <c r="Q573" s="666">
        <f t="shared" si="1038"/>
        <v>0</v>
      </c>
      <c r="R573" s="666">
        <f t="shared" si="1038"/>
        <v>0</v>
      </c>
      <c r="S573" s="666">
        <f t="shared" si="1038"/>
        <v>0</v>
      </c>
      <c r="T573" s="666">
        <f t="shared" si="1038"/>
        <v>0</v>
      </c>
      <c r="U573" s="666">
        <f t="shared" si="1038"/>
        <v>0</v>
      </c>
      <c r="V573" s="666">
        <f t="shared" si="1038"/>
        <v>0</v>
      </c>
      <c r="W573" s="666">
        <f t="shared" si="1038"/>
        <v>0</v>
      </c>
      <c r="X573" s="666">
        <f t="shared" si="1038"/>
        <v>0</v>
      </c>
      <c r="Y573" s="666">
        <f t="shared" si="1038"/>
        <v>0</v>
      </c>
      <c r="Z573" s="666">
        <f t="shared" si="1038"/>
        <v>0</v>
      </c>
      <c r="AA573" s="666">
        <f t="shared" si="1038"/>
        <v>0</v>
      </c>
      <c r="AB573" s="666">
        <f t="shared" si="1038"/>
        <v>0</v>
      </c>
      <c r="AC573" s="666">
        <f t="shared" si="1038"/>
        <v>0</v>
      </c>
      <c r="AD573" s="666">
        <f t="shared" si="1038"/>
        <v>0</v>
      </c>
      <c r="AE573" s="666">
        <f t="shared" si="1038"/>
        <v>0</v>
      </c>
      <c r="AF573" s="666">
        <f t="shared" si="1038"/>
        <v>0</v>
      </c>
      <c r="AG573" s="666">
        <f t="shared" si="1038"/>
        <v>0</v>
      </c>
      <c r="AH573" s="666">
        <f t="shared" si="1038"/>
        <v>0</v>
      </c>
      <c r="AI573" s="666">
        <f t="shared" si="1038"/>
        <v>0</v>
      </c>
      <c r="AJ573" s="666">
        <f t="shared" si="1038"/>
        <v>0</v>
      </c>
      <c r="AK573" s="666">
        <f t="shared" si="1038"/>
        <v>0</v>
      </c>
      <c r="AL573" s="666">
        <f t="shared" si="1038"/>
        <v>0</v>
      </c>
      <c r="AM573" s="666">
        <f t="shared" si="1038"/>
        <v>0</v>
      </c>
      <c r="AN573" s="666">
        <f t="shared" si="1038"/>
        <v>0</v>
      </c>
      <c r="AO573" s="666">
        <f t="shared" si="1038"/>
        <v>0</v>
      </c>
      <c r="AP573" s="666">
        <f t="shared" si="1038"/>
        <v>0</v>
      </c>
      <c r="AQ573" s="666">
        <f t="shared" si="1038"/>
        <v>0</v>
      </c>
      <c r="AR573" s="666">
        <f t="shared" si="1038"/>
        <v>0</v>
      </c>
      <c r="AS573" s="666">
        <f t="shared" si="1038"/>
        <v>0</v>
      </c>
      <c r="AT573" s="666">
        <f t="shared" si="1038"/>
        <v>0</v>
      </c>
      <c r="AU573" s="666">
        <f t="shared" si="1038"/>
        <v>0</v>
      </c>
      <c r="AV573" s="666">
        <f t="shared" si="1038"/>
        <v>0</v>
      </c>
      <c r="AW573" s="666">
        <f t="shared" si="1038"/>
        <v>0</v>
      </c>
      <c r="AX573" s="666">
        <f t="shared" si="1038"/>
        <v>0</v>
      </c>
      <c r="AY573" s="666">
        <f t="shared" si="1038"/>
        <v>0</v>
      </c>
      <c r="AZ573" s="666">
        <f t="shared" si="1038"/>
        <v>0</v>
      </c>
      <c r="BA573" s="666">
        <f t="shared" si="1038"/>
        <v>0</v>
      </c>
      <c r="BB573" s="666">
        <f t="shared" si="1038"/>
        <v>0</v>
      </c>
      <c r="BC573" s="666">
        <f t="shared" si="1038"/>
        <v>0</v>
      </c>
      <c r="BD573" s="666">
        <f t="shared" si="1038"/>
        <v>0</v>
      </c>
      <c r="BE573" s="666">
        <f t="shared" si="1038"/>
        <v>0</v>
      </c>
    </row>
    <row r="574" spans="1:57" s="191" customFormat="1" hidden="1" outlineLevel="2" x14ac:dyDescent="0.2">
      <c r="A574" s="700"/>
      <c r="B574" s="700"/>
      <c r="C574" s="701"/>
      <c r="D574" s="702"/>
      <c r="E574" s="666"/>
      <c r="F574" s="666"/>
      <c r="G574" s="666"/>
      <c r="H574" s="666"/>
      <c r="I574" s="703"/>
      <c r="J574" s="666"/>
      <c r="K574" s="666"/>
      <c r="L574" s="666"/>
      <c r="M574" s="666"/>
      <c r="N574" s="666"/>
      <c r="O574" s="666"/>
      <c r="P574" s="666"/>
      <c r="Q574" s="666"/>
      <c r="R574" s="666"/>
      <c r="S574" s="666"/>
      <c r="T574" s="666"/>
      <c r="U574" s="666"/>
      <c r="V574" s="666"/>
      <c r="W574" s="666"/>
      <c r="X574" s="666"/>
      <c r="Y574" s="666"/>
      <c r="Z574" s="666"/>
      <c r="AA574" s="666"/>
      <c r="AB574" s="666"/>
      <c r="AC574" s="666"/>
      <c r="AD574" s="666"/>
      <c r="AE574" s="666"/>
      <c r="AF574" s="666"/>
      <c r="AG574" s="666"/>
      <c r="AH574" s="666"/>
      <c r="AI574" s="666"/>
      <c r="AJ574" s="666"/>
      <c r="AK574" s="666"/>
      <c r="AL574" s="666"/>
      <c r="AM574" s="666"/>
      <c r="AN574" s="666"/>
      <c r="AO574" s="666"/>
      <c r="AP574" s="666"/>
      <c r="AQ574" s="666"/>
      <c r="AR574" s="666"/>
      <c r="AS574" s="666"/>
      <c r="AT574" s="666"/>
      <c r="AU574" s="666"/>
      <c r="AV574" s="666"/>
      <c r="AW574" s="666"/>
      <c r="AX574" s="666"/>
      <c r="AY574" s="666"/>
      <c r="AZ574" s="666"/>
      <c r="BA574" s="666"/>
      <c r="BB574" s="666"/>
      <c r="BC574" s="666"/>
      <c r="BD574" s="666"/>
      <c r="BE574" s="666"/>
    </row>
    <row r="575" spans="1:57" s="191" customFormat="1" hidden="1" outlineLevel="2" x14ac:dyDescent="0.2">
      <c r="A575" s="700"/>
      <c r="B575" s="700"/>
      <c r="C575" s="523" t="s">
        <v>450</v>
      </c>
      <c r="D575" s="702"/>
      <c r="E575" s="666"/>
      <c r="F575" s="666"/>
      <c r="G575" s="666"/>
      <c r="H575" s="666"/>
      <c r="I575" s="703"/>
      <c r="J575" s="666"/>
      <c r="K575" s="666"/>
      <c r="L575" s="666"/>
      <c r="M575" s="666"/>
      <c r="N575" s="666"/>
      <c r="O575" s="666"/>
      <c r="P575" s="666"/>
      <c r="Q575" s="666"/>
      <c r="R575" s="666"/>
      <c r="S575" s="666"/>
      <c r="T575" s="666"/>
      <c r="U575" s="666"/>
      <c r="V575" s="666"/>
      <c r="W575" s="666"/>
      <c r="X575" s="666"/>
      <c r="Y575" s="666"/>
      <c r="Z575" s="666"/>
      <c r="AA575" s="666"/>
      <c r="AB575" s="666"/>
      <c r="AC575" s="666"/>
      <c r="AD575" s="666"/>
      <c r="AE575" s="666"/>
      <c r="AF575" s="666"/>
      <c r="AG575" s="666"/>
      <c r="AH575" s="666"/>
      <c r="AI575" s="666"/>
      <c r="AJ575" s="666"/>
      <c r="AK575" s="666"/>
      <c r="AL575" s="666"/>
      <c r="AM575" s="666"/>
      <c r="AN575" s="666"/>
      <c r="AO575" s="666"/>
      <c r="AP575" s="666"/>
      <c r="AQ575" s="666"/>
      <c r="AR575" s="666"/>
      <c r="AS575" s="666"/>
      <c r="AT575" s="666"/>
      <c r="AU575" s="666"/>
      <c r="AV575" s="666"/>
      <c r="AW575" s="666"/>
      <c r="AX575" s="666"/>
      <c r="AY575" s="666"/>
      <c r="AZ575" s="666"/>
      <c r="BA575" s="666"/>
      <c r="BB575" s="666"/>
      <c r="BC575" s="666"/>
      <c r="BD575" s="666"/>
      <c r="BE575" s="666"/>
    </row>
    <row r="576" spans="1:57" s="191" customFormat="1" hidden="1" outlineLevel="2" x14ac:dyDescent="0.2">
      <c r="A576" s="700"/>
      <c r="B576" s="700"/>
      <c r="C576" s="523"/>
      <c r="D576" s="702"/>
      <c r="E576" s="525" t="str">
        <f t="shared" ref="E576:AJ576" si="1039" xml:space="preserve"> E$560</f>
        <v>Standby debt interest - T1</v>
      </c>
      <c r="F576" s="525">
        <f t="shared" si="1039"/>
        <v>0</v>
      </c>
      <c r="G576" s="525" t="str">
        <f t="shared" si="1039"/>
        <v>$ 000s</v>
      </c>
      <c r="H576" s="525">
        <f t="shared" si="1039"/>
        <v>0</v>
      </c>
      <c r="I576" s="525">
        <f t="shared" si="1039"/>
        <v>0</v>
      </c>
      <c r="J576" s="525">
        <f t="shared" si="1039"/>
        <v>0</v>
      </c>
      <c r="K576" s="525">
        <f t="shared" si="1039"/>
        <v>0</v>
      </c>
      <c r="L576" s="525">
        <f t="shared" si="1039"/>
        <v>0</v>
      </c>
      <c r="M576" s="525">
        <f t="shared" si="1039"/>
        <v>0</v>
      </c>
      <c r="N576" s="525">
        <f t="shared" si="1039"/>
        <v>0</v>
      </c>
      <c r="O576" s="525">
        <f t="shared" si="1039"/>
        <v>0</v>
      </c>
      <c r="P576" s="525">
        <f t="shared" si="1039"/>
        <v>0</v>
      </c>
      <c r="Q576" s="525">
        <f t="shared" si="1039"/>
        <v>0</v>
      </c>
      <c r="R576" s="525">
        <f t="shared" si="1039"/>
        <v>0</v>
      </c>
      <c r="S576" s="525">
        <f t="shared" si="1039"/>
        <v>0</v>
      </c>
      <c r="T576" s="525">
        <f t="shared" si="1039"/>
        <v>0</v>
      </c>
      <c r="U576" s="525">
        <f t="shared" si="1039"/>
        <v>0</v>
      </c>
      <c r="V576" s="525">
        <f t="shared" si="1039"/>
        <v>0</v>
      </c>
      <c r="W576" s="525">
        <f t="shared" si="1039"/>
        <v>0</v>
      </c>
      <c r="X576" s="525">
        <f t="shared" si="1039"/>
        <v>0</v>
      </c>
      <c r="Y576" s="525">
        <f t="shared" si="1039"/>
        <v>0</v>
      </c>
      <c r="Z576" s="525">
        <f t="shared" si="1039"/>
        <v>0</v>
      </c>
      <c r="AA576" s="525">
        <f t="shared" si="1039"/>
        <v>0</v>
      </c>
      <c r="AB576" s="525">
        <f t="shared" si="1039"/>
        <v>0</v>
      </c>
      <c r="AC576" s="525">
        <f t="shared" si="1039"/>
        <v>0</v>
      </c>
      <c r="AD576" s="525">
        <f t="shared" si="1039"/>
        <v>0</v>
      </c>
      <c r="AE576" s="525">
        <f t="shared" si="1039"/>
        <v>0</v>
      </c>
      <c r="AF576" s="525">
        <f t="shared" si="1039"/>
        <v>0</v>
      </c>
      <c r="AG576" s="525">
        <f t="shared" si="1039"/>
        <v>0</v>
      </c>
      <c r="AH576" s="525">
        <f t="shared" si="1039"/>
        <v>0</v>
      </c>
      <c r="AI576" s="525">
        <f t="shared" si="1039"/>
        <v>0</v>
      </c>
      <c r="AJ576" s="525">
        <f t="shared" si="1039"/>
        <v>0</v>
      </c>
      <c r="AK576" s="525">
        <f t="shared" ref="AK576:BE576" si="1040" xml:space="preserve"> AK$560</f>
        <v>0</v>
      </c>
      <c r="AL576" s="525">
        <f t="shared" si="1040"/>
        <v>0</v>
      </c>
      <c r="AM576" s="525">
        <f t="shared" si="1040"/>
        <v>0</v>
      </c>
      <c r="AN576" s="525">
        <f t="shared" si="1040"/>
        <v>0</v>
      </c>
      <c r="AO576" s="525">
        <f t="shared" si="1040"/>
        <v>0</v>
      </c>
      <c r="AP576" s="525">
        <f t="shared" si="1040"/>
        <v>0</v>
      </c>
      <c r="AQ576" s="525">
        <f t="shared" si="1040"/>
        <v>0</v>
      </c>
      <c r="AR576" s="525">
        <f t="shared" si="1040"/>
        <v>0</v>
      </c>
      <c r="AS576" s="525">
        <f t="shared" si="1040"/>
        <v>0</v>
      </c>
      <c r="AT576" s="525">
        <f t="shared" si="1040"/>
        <v>0</v>
      </c>
      <c r="AU576" s="525">
        <f t="shared" si="1040"/>
        <v>0</v>
      </c>
      <c r="AV576" s="525">
        <f t="shared" si="1040"/>
        <v>0</v>
      </c>
      <c r="AW576" s="525">
        <f t="shared" si="1040"/>
        <v>0</v>
      </c>
      <c r="AX576" s="525">
        <f t="shared" si="1040"/>
        <v>0</v>
      </c>
      <c r="AY576" s="525">
        <f t="shared" si="1040"/>
        <v>0</v>
      </c>
      <c r="AZ576" s="525">
        <f t="shared" si="1040"/>
        <v>0</v>
      </c>
      <c r="BA576" s="525">
        <f t="shared" si="1040"/>
        <v>0</v>
      </c>
      <c r="BB576" s="525">
        <f t="shared" si="1040"/>
        <v>0</v>
      </c>
      <c r="BC576" s="525">
        <f t="shared" si="1040"/>
        <v>0</v>
      </c>
      <c r="BD576" s="525">
        <f t="shared" si="1040"/>
        <v>0</v>
      </c>
      <c r="BE576" s="525">
        <f t="shared" si="1040"/>
        <v>0</v>
      </c>
    </row>
    <row r="577" spans="1:57" hidden="1" outlineLevel="2" x14ac:dyDescent="0.2">
      <c r="E577" s="12" t="str">
        <f t="shared" ref="E577:AJ577" si="1041" xml:space="preserve"> E$573</f>
        <v>Standby debt interest - T2</v>
      </c>
      <c r="F577" s="12">
        <f t="shared" si="1041"/>
        <v>0</v>
      </c>
      <c r="G577" s="12" t="str">
        <f t="shared" si="1041"/>
        <v>$ 000s</v>
      </c>
      <c r="H577" s="12">
        <f t="shared" si="1041"/>
        <v>0</v>
      </c>
      <c r="I577" s="12">
        <f t="shared" si="1041"/>
        <v>0</v>
      </c>
      <c r="J577" s="12">
        <f t="shared" si="1041"/>
        <v>0</v>
      </c>
      <c r="K577" s="12">
        <f t="shared" si="1041"/>
        <v>0</v>
      </c>
      <c r="L577" s="12">
        <f t="shared" si="1041"/>
        <v>0</v>
      </c>
      <c r="M577" s="12">
        <f t="shared" si="1041"/>
        <v>0</v>
      </c>
      <c r="N577" s="12">
        <f t="shared" si="1041"/>
        <v>0</v>
      </c>
      <c r="O577" s="12">
        <f t="shared" si="1041"/>
        <v>0</v>
      </c>
      <c r="P577" s="12">
        <f t="shared" si="1041"/>
        <v>0</v>
      </c>
      <c r="Q577" s="12">
        <f t="shared" si="1041"/>
        <v>0</v>
      </c>
      <c r="R577" s="12">
        <f t="shared" si="1041"/>
        <v>0</v>
      </c>
      <c r="S577" s="12">
        <f t="shared" si="1041"/>
        <v>0</v>
      </c>
      <c r="T577" s="12">
        <f t="shared" si="1041"/>
        <v>0</v>
      </c>
      <c r="U577" s="12">
        <f t="shared" si="1041"/>
        <v>0</v>
      </c>
      <c r="V577" s="12">
        <f t="shared" si="1041"/>
        <v>0</v>
      </c>
      <c r="W577" s="12">
        <f t="shared" si="1041"/>
        <v>0</v>
      </c>
      <c r="X577" s="12">
        <f t="shared" si="1041"/>
        <v>0</v>
      </c>
      <c r="Y577" s="12">
        <f t="shared" si="1041"/>
        <v>0</v>
      </c>
      <c r="Z577" s="12">
        <f t="shared" si="1041"/>
        <v>0</v>
      </c>
      <c r="AA577" s="12">
        <f t="shared" si="1041"/>
        <v>0</v>
      </c>
      <c r="AB577" s="12">
        <f t="shared" si="1041"/>
        <v>0</v>
      </c>
      <c r="AC577" s="12">
        <f t="shared" si="1041"/>
        <v>0</v>
      </c>
      <c r="AD577" s="12">
        <f t="shared" si="1041"/>
        <v>0</v>
      </c>
      <c r="AE577" s="12">
        <f t="shared" si="1041"/>
        <v>0</v>
      </c>
      <c r="AF577" s="12">
        <f t="shared" si="1041"/>
        <v>0</v>
      </c>
      <c r="AG577" s="12">
        <f t="shared" si="1041"/>
        <v>0</v>
      </c>
      <c r="AH577" s="12">
        <f t="shared" si="1041"/>
        <v>0</v>
      </c>
      <c r="AI577" s="12">
        <f t="shared" si="1041"/>
        <v>0</v>
      </c>
      <c r="AJ577" s="12">
        <f t="shared" si="1041"/>
        <v>0</v>
      </c>
      <c r="AK577" s="12">
        <f t="shared" ref="AK577:BE577" si="1042" xml:space="preserve"> AK$573</f>
        <v>0</v>
      </c>
      <c r="AL577" s="12">
        <f t="shared" si="1042"/>
        <v>0</v>
      </c>
      <c r="AM577" s="12">
        <f t="shared" si="1042"/>
        <v>0</v>
      </c>
      <c r="AN577" s="12">
        <f t="shared" si="1042"/>
        <v>0</v>
      </c>
      <c r="AO577" s="12">
        <f t="shared" si="1042"/>
        <v>0</v>
      </c>
      <c r="AP577" s="12">
        <f t="shared" si="1042"/>
        <v>0</v>
      </c>
      <c r="AQ577" s="12">
        <f t="shared" si="1042"/>
        <v>0</v>
      </c>
      <c r="AR577" s="12">
        <f t="shared" si="1042"/>
        <v>0</v>
      </c>
      <c r="AS577" s="12">
        <f t="shared" si="1042"/>
        <v>0</v>
      </c>
      <c r="AT577" s="12">
        <f t="shared" si="1042"/>
        <v>0</v>
      </c>
      <c r="AU577" s="12">
        <f t="shared" si="1042"/>
        <v>0</v>
      </c>
      <c r="AV577" s="12">
        <f t="shared" si="1042"/>
        <v>0</v>
      </c>
      <c r="AW577" s="12">
        <f t="shared" si="1042"/>
        <v>0</v>
      </c>
      <c r="AX577" s="12">
        <f t="shared" si="1042"/>
        <v>0</v>
      </c>
      <c r="AY577" s="12">
        <f t="shared" si="1042"/>
        <v>0</v>
      </c>
      <c r="AZ577" s="12">
        <f t="shared" si="1042"/>
        <v>0</v>
      </c>
      <c r="BA577" s="12">
        <f t="shared" si="1042"/>
        <v>0</v>
      </c>
      <c r="BB577" s="12">
        <f t="shared" si="1042"/>
        <v>0</v>
      </c>
      <c r="BC577" s="12">
        <f t="shared" si="1042"/>
        <v>0</v>
      </c>
      <c r="BD577" s="12">
        <f t="shared" si="1042"/>
        <v>0</v>
      </c>
      <c r="BE577" s="12">
        <f t="shared" si="1042"/>
        <v>0</v>
      </c>
    </row>
    <row r="578" spans="1:57" s="188" customFormat="1" hidden="1" outlineLevel="2" x14ac:dyDescent="0.2">
      <c r="A578" s="527"/>
      <c r="B578" s="527"/>
      <c r="C578" s="528"/>
      <c r="D578" s="529"/>
      <c r="E578" s="761" t="s">
        <v>450</v>
      </c>
      <c r="F578" s="761"/>
      <c r="G578" s="761" t="str">
        <f xml:space="preserve"> SMU</f>
        <v>$ 000s</v>
      </c>
      <c r="H578" s="761">
        <f xml:space="preserve"> SUM(J578:BE578)</f>
        <v>0</v>
      </c>
      <c r="I578" s="872"/>
      <c r="J578" s="761">
        <f t="shared" ref="J578:BE578" si="1043">SUM(J576:J577)</f>
        <v>0</v>
      </c>
      <c r="K578" s="761">
        <f t="shared" si="1043"/>
        <v>0</v>
      </c>
      <c r="L578" s="761">
        <f t="shared" si="1043"/>
        <v>0</v>
      </c>
      <c r="M578" s="761">
        <f t="shared" si="1043"/>
        <v>0</v>
      </c>
      <c r="N578" s="761">
        <f t="shared" si="1043"/>
        <v>0</v>
      </c>
      <c r="O578" s="761">
        <f t="shared" si="1043"/>
        <v>0</v>
      </c>
      <c r="P578" s="761">
        <f t="shared" si="1043"/>
        <v>0</v>
      </c>
      <c r="Q578" s="761">
        <f t="shared" si="1043"/>
        <v>0</v>
      </c>
      <c r="R578" s="761">
        <f t="shared" si="1043"/>
        <v>0</v>
      </c>
      <c r="S578" s="761">
        <f t="shared" si="1043"/>
        <v>0</v>
      </c>
      <c r="T578" s="761">
        <f t="shared" si="1043"/>
        <v>0</v>
      </c>
      <c r="U578" s="761">
        <f t="shared" si="1043"/>
        <v>0</v>
      </c>
      <c r="V578" s="761">
        <f t="shared" si="1043"/>
        <v>0</v>
      </c>
      <c r="W578" s="761">
        <f t="shared" si="1043"/>
        <v>0</v>
      </c>
      <c r="X578" s="761">
        <f t="shared" si="1043"/>
        <v>0</v>
      </c>
      <c r="Y578" s="761">
        <f t="shared" si="1043"/>
        <v>0</v>
      </c>
      <c r="Z578" s="761">
        <f t="shared" si="1043"/>
        <v>0</v>
      </c>
      <c r="AA578" s="761">
        <f t="shared" si="1043"/>
        <v>0</v>
      </c>
      <c r="AB578" s="761">
        <f t="shared" si="1043"/>
        <v>0</v>
      </c>
      <c r="AC578" s="761">
        <f t="shared" si="1043"/>
        <v>0</v>
      </c>
      <c r="AD578" s="761">
        <f t="shared" si="1043"/>
        <v>0</v>
      </c>
      <c r="AE578" s="761">
        <f t="shared" si="1043"/>
        <v>0</v>
      </c>
      <c r="AF578" s="761">
        <f t="shared" si="1043"/>
        <v>0</v>
      </c>
      <c r="AG578" s="761">
        <f t="shared" si="1043"/>
        <v>0</v>
      </c>
      <c r="AH578" s="761">
        <f t="shared" si="1043"/>
        <v>0</v>
      </c>
      <c r="AI578" s="761">
        <f t="shared" si="1043"/>
        <v>0</v>
      </c>
      <c r="AJ578" s="761">
        <f t="shared" si="1043"/>
        <v>0</v>
      </c>
      <c r="AK578" s="761">
        <f t="shared" si="1043"/>
        <v>0</v>
      </c>
      <c r="AL578" s="761">
        <f t="shared" si="1043"/>
        <v>0</v>
      </c>
      <c r="AM578" s="761">
        <f t="shared" si="1043"/>
        <v>0</v>
      </c>
      <c r="AN578" s="761">
        <f t="shared" si="1043"/>
        <v>0</v>
      </c>
      <c r="AO578" s="761">
        <f t="shared" si="1043"/>
        <v>0</v>
      </c>
      <c r="AP578" s="761">
        <f t="shared" si="1043"/>
        <v>0</v>
      </c>
      <c r="AQ578" s="761">
        <f t="shared" si="1043"/>
        <v>0</v>
      </c>
      <c r="AR578" s="761">
        <f t="shared" si="1043"/>
        <v>0</v>
      </c>
      <c r="AS578" s="761">
        <f t="shared" si="1043"/>
        <v>0</v>
      </c>
      <c r="AT578" s="761">
        <f t="shared" si="1043"/>
        <v>0</v>
      </c>
      <c r="AU578" s="761">
        <f t="shared" si="1043"/>
        <v>0</v>
      </c>
      <c r="AV578" s="761">
        <f t="shared" si="1043"/>
        <v>0</v>
      </c>
      <c r="AW578" s="761">
        <f t="shared" si="1043"/>
        <v>0</v>
      </c>
      <c r="AX578" s="761">
        <f t="shared" si="1043"/>
        <v>0</v>
      </c>
      <c r="AY578" s="761">
        <f t="shared" si="1043"/>
        <v>0</v>
      </c>
      <c r="AZ578" s="761">
        <f t="shared" si="1043"/>
        <v>0</v>
      </c>
      <c r="BA578" s="761">
        <f t="shared" si="1043"/>
        <v>0</v>
      </c>
      <c r="BB578" s="761">
        <f t="shared" si="1043"/>
        <v>0</v>
      </c>
      <c r="BC578" s="761">
        <f t="shared" si="1043"/>
        <v>0</v>
      </c>
      <c r="BD578" s="761">
        <f t="shared" si="1043"/>
        <v>0</v>
      </c>
      <c r="BE578" s="761">
        <f t="shared" si="1043"/>
        <v>0</v>
      </c>
    </row>
    <row r="579" spans="1:57" s="188" customFormat="1" hidden="1" outlineLevel="2" x14ac:dyDescent="0.2">
      <c r="A579" s="527"/>
      <c r="B579" s="527"/>
      <c r="C579" s="528"/>
      <c r="D579" s="529"/>
      <c r="E579" s="530"/>
      <c r="F579" s="530"/>
      <c r="G579" s="530"/>
      <c r="H579" s="530"/>
      <c r="I579" s="531"/>
      <c r="J579" s="530"/>
      <c r="K579" s="530"/>
      <c r="L579" s="530"/>
      <c r="M579" s="530"/>
      <c r="N579" s="530"/>
      <c r="O579" s="530"/>
      <c r="P579" s="530"/>
      <c r="Q579" s="530"/>
      <c r="R579" s="530"/>
      <c r="S579" s="530"/>
      <c r="T579" s="530"/>
      <c r="U579" s="530"/>
      <c r="V579" s="530"/>
      <c r="W579" s="530"/>
      <c r="X579" s="530"/>
      <c r="Y579" s="530"/>
      <c r="Z579" s="530"/>
      <c r="AA579" s="530"/>
      <c r="AB579" s="530"/>
      <c r="AC579" s="530"/>
      <c r="AD579" s="530"/>
      <c r="AE579" s="530"/>
      <c r="AF579" s="530"/>
      <c r="AG579" s="530"/>
      <c r="AH579" s="530"/>
      <c r="AI579" s="530"/>
      <c r="AJ579" s="530"/>
      <c r="AK579" s="530"/>
      <c r="AL579" s="530"/>
      <c r="AM579" s="530"/>
      <c r="AN579" s="530"/>
      <c r="AO579" s="530"/>
      <c r="AP579" s="530"/>
      <c r="AQ579" s="530"/>
      <c r="AR579" s="530"/>
      <c r="AS579" s="530"/>
      <c r="AT579" s="530"/>
      <c r="AU579" s="530"/>
      <c r="AV579" s="530"/>
      <c r="AW579" s="530"/>
      <c r="AX579" s="530"/>
      <c r="AY579" s="530"/>
      <c r="AZ579" s="530"/>
      <c r="BA579" s="530"/>
      <c r="BB579" s="530"/>
      <c r="BC579" s="530"/>
      <c r="BD579" s="530"/>
      <c r="BE579" s="530"/>
    </row>
    <row r="580" spans="1:57" x14ac:dyDescent="0.2"/>
    <row r="581" spans="1:57" collapsed="1" x14ac:dyDescent="0.2">
      <c r="A581" s="15" t="s">
        <v>299</v>
      </c>
    </row>
    <row r="582" spans="1:57" hidden="1" outlineLevel="1" x14ac:dyDescent="0.2"/>
    <row r="583" spans="1:57" hidden="1" outlineLevel="1" x14ac:dyDescent="0.2">
      <c r="E583" s="12" t="str">
        <f t="shared" ref="E583:AJ583" si="1044" xml:space="preserve"> E$372</f>
        <v>Construction debt upfront fee</v>
      </c>
      <c r="F583" s="12">
        <f t="shared" si="1044"/>
        <v>0</v>
      </c>
      <c r="G583" s="12" t="str">
        <f t="shared" si="1044"/>
        <v>$ 000s</v>
      </c>
      <c r="H583" s="12">
        <f t="shared" si="1044"/>
        <v>5258.1868974664449</v>
      </c>
      <c r="I583" s="12">
        <f t="shared" si="1044"/>
        <v>0</v>
      </c>
      <c r="J583" s="12">
        <f t="shared" si="1044"/>
        <v>0</v>
      </c>
      <c r="K583" s="12">
        <f t="shared" si="1044"/>
        <v>0</v>
      </c>
      <c r="L583" s="12">
        <f t="shared" si="1044"/>
        <v>0</v>
      </c>
      <c r="M583" s="12">
        <f t="shared" si="1044"/>
        <v>5258.1868974664449</v>
      </c>
      <c r="N583" s="12">
        <f t="shared" si="1044"/>
        <v>0</v>
      </c>
      <c r="O583" s="12">
        <f t="shared" si="1044"/>
        <v>0</v>
      </c>
      <c r="P583" s="12">
        <f t="shared" si="1044"/>
        <v>0</v>
      </c>
      <c r="Q583" s="12">
        <f t="shared" si="1044"/>
        <v>0</v>
      </c>
      <c r="R583" s="12">
        <f t="shared" si="1044"/>
        <v>0</v>
      </c>
      <c r="S583" s="12">
        <f t="shared" si="1044"/>
        <v>0</v>
      </c>
      <c r="T583" s="12">
        <f t="shared" si="1044"/>
        <v>0</v>
      </c>
      <c r="U583" s="12">
        <f t="shared" si="1044"/>
        <v>0</v>
      </c>
      <c r="V583" s="12">
        <f t="shared" si="1044"/>
        <v>0</v>
      </c>
      <c r="W583" s="12">
        <f t="shared" si="1044"/>
        <v>0</v>
      </c>
      <c r="X583" s="12">
        <f t="shared" si="1044"/>
        <v>0</v>
      </c>
      <c r="Y583" s="12">
        <f t="shared" si="1044"/>
        <v>0</v>
      </c>
      <c r="Z583" s="12">
        <f t="shared" si="1044"/>
        <v>0</v>
      </c>
      <c r="AA583" s="12">
        <f t="shared" si="1044"/>
        <v>0</v>
      </c>
      <c r="AB583" s="12">
        <f t="shared" si="1044"/>
        <v>0</v>
      </c>
      <c r="AC583" s="12">
        <f t="shared" si="1044"/>
        <v>0</v>
      </c>
      <c r="AD583" s="12">
        <f t="shared" si="1044"/>
        <v>0</v>
      </c>
      <c r="AE583" s="12">
        <f t="shared" si="1044"/>
        <v>0</v>
      </c>
      <c r="AF583" s="12">
        <f t="shared" si="1044"/>
        <v>0</v>
      </c>
      <c r="AG583" s="12">
        <f t="shared" si="1044"/>
        <v>0</v>
      </c>
      <c r="AH583" s="12">
        <f t="shared" si="1044"/>
        <v>0</v>
      </c>
      <c r="AI583" s="12">
        <f t="shared" si="1044"/>
        <v>0</v>
      </c>
      <c r="AJ583" s="12">
        <f t="shared" si="1044"/>
        <v>0</v>
      </c>
      <c r="AK583" s="12">
        <f t="shared" ref="AK583:BE583" si="1045" xml:space="preserve"> AK$372</f>
        <v>0</v>
      </c>
      <c r="AL583" s="12">
        <f t="shared" si="1045"/>
        <v>0</v>
      </c>
      <c r="AM583" s="12">
        <f t="shared" si="1045"/>
        <v>0</v>
      </c>
      <c r="AN583" s="12">
        <f t="shared" si="1045"/>
        <v>0</v>
      </c>
      <c r="AO583" s="12">
        <f t="shared" si="1045"/>
        <v>0</v>
      </c>
      <c r="AP583" s="12">
        <f t="shared" si="1045"/>
        <v>0</v>
      </c>
      <c r="AQ583" s="12">
        <f t="shared" si="1045"/>
        <v>0</v>
      </c>
      <c r="AR583" s="12">
        <f t="shared" si="1045"/>
        <v>0</v>
      </c>
      <c r="AS583" s="12">
        <f t="shared" si="1045"/>
        <v>0</v>
      </c>
      <c r="AT583" s="12">
        <f t="shared" si="1045"/>
        <v>0</v>
      </c>
      <c r="AU583" s="12">
        <f t="shared" si="1045"/>
        <v>0</v>
      </c>
      <c r="AV583" s="12">
        <f t="shared" si="1045"/>
        <v>0</v>
      </c>
      <c r="AW583" s="12">
        <f t="shared" si="1045"/>
        <v>0</v>
      </c>
      <c r="AX583" s="12">
        <f t="shared" si="1045"/>
        <v>0</v>
      </c>
      <c r="AY583" s="12">
        <f t="shared" si="1045"/>
        <v>0</v>
      </c>
      <c r="AZ583" s="12">
        <f t="shared" si="1045"/>
        <v>0</v>
      </c>
      <c r="BA583" s="12">
        <f t="shared" si="1045"/>
        <v>0</v>
      </c>
      <c r="BB583" s="12">
        <f t="shared" si="1045"/>
        <v>0</v>
      </c>
      <c r="BC583" s="12">
        <f t="shared" si="1045"/>
        <v>0</v>
      </c>
      <c r="BD583" s="12">
        <f t="shared" si="1045"/>
        <v>0</v>
      </c>
      <c r="BE583" s="12">
        <f t="shared" si="1045"/>
        <v>0</v>
      </c>
    </row>
    <row r="584" spans="1:57" hidden="1" outlineLevel="1" x14ac:dyDescent="0.2">
      <c r="E584" s="12" t="str">
        <f t="shared" ref="E584:AJ584" si="1046" xml:space="preserve"> E$402</f>
        <v>Construction debt commitment fee</v>
      </c>
      <c r="F584" s="12">
        <f t="shared" si="1046"/>
        <v>0</v>
      </c>
      <c r="G584" s="12" t="str">
        <f t="shared" si="1046"/>
        <v>$ 000s</v>
      </c>
      <c r="H584" s="12">
        <f t="shared" si="1046"/>
        <v>2738.4570389187838</v>
      </c>
      <c r="I584" s="12">
        <f t="shared" si="1046"/>
        <v>0</v>
      </c>
      <c r="J584" s="12">
        <f t="shared" si="1046"/>
        <v>0</v>
      </c>
      <c r="K584" s="12">
        <f t="shared" si="1046"/>
        <v>0</v>
      </c>
      <c r="L584" s="12">
        <f t="shared" si="1046"/>
        <v>0</v>
      </c>
      <c r="M584" s="12">
        <f t="shared" si="1046"/>
        <v>0</v>
      </c>
      <c r="N584" s="12">
        <f t="shared" si="1046"/>
        <v>162.75340396919947</v>
      </c>
      <c r="O584" s="12">
        <f t="shared" si="1046"/>
        <v>162.75340396919947</v>
      </c>
      <c r="P584" s="12">
        <f t="shared" si="1046"/>
        <v>162.75340396919947</v>
      </c>
      <c r="Q584" s="12">
        <f t="shared" si="1046"/>
        <v>162.75340396919947</v>
      </c>
      <c r="R584" s="12">
        <f t="shared" si="1046"/>
        <v>162.75340396919947</v>
      </c>
      <c r="S584" s="12">
        <f t="shared" si="1046"/>
        <v>162.75340396919947</v>
      </c>
      <c r="T584" s="12">
        <f t="shared" si="1046"/>
        <v>162.71415764240061</v>
      </c>
      <c r="U584" s="12">
        <f t="shared" si="1046"/>
        <v>154.89340042056619</v>
      </c>
      <c r="V584" s="12">
        <f t="shared" si="1046"/>
        <v>147.04387650746716</v>
      </c>
      <c r="W584" s="12">
        <f t="shared" si="1046"/>
        <v>139.17174160467761</v>
      </c>
      <c r="X584" s="12">
        <f t="shared" si="1046"/>
        <v>131.30368993566771</v>
      </c>
      <c r="Y584" s="12">
        <f t="shared" si="1046"/>
        <v>123.3862145510528</v>
      </c>
      <c r="Z584" s="12">
        <f t="shared" si="1046"/>
        <v>115.45665002012004</v>
      </c>
      <c r="AA584" s="12">
        <f t="shared" si="1046"/>
        <v>107.49352635668669</v>
      </c>
      <c r="AB584" s="12">
        <f t="shared" si="1046"/>
        <v>99.519992055129833</v>
      </c>
      <c r="AC584" s="12">
        <f t="shared" si="1046"/>
        <v>91.510961963106894</v>
      </c>
      <c r="AD584" s="12">
        <f t="shared" si="1046"/>
        <v>83.478861414981807</v>
      </c>
      <c r="AE584" s="12">
        <f t="shared" si="1046"/>
        <v>75.438886540488411</v>
      </c>
      <c r="AF584" s="12">
        <f t="shared" si="1046"/>
        <v>67.360489486262281</v>
      </c>
      <c r="AG584" s="12">
        <f t="shared" si="1046"/>
        <v>59.275920449477304</v>
      </c>
      <c r="AH584" s="12">
        <f t="shared" si="1046"/>
        <v>51.150965073529349</v>
      </c>
      <c r="AI584" s="12">
        <f t="shared" si="1046"/>
        <v>44.296105312257296</v>
      </c>
      <c r="AJ584" s="12">
        <f t="shared" si="1046"/>
        <v>37.460949878672267</v>
      </c>
      <c r="AK584" s="12">
        <f t="shared" ref="AK584:BE584" si="1047" xml:space="preserve"> AK$402</f>
        <v>30.566655268119057</v>
      </c>
      <c r="AL584" s="12">
        <f t="shared" si="1047"/>
        <v>23.673789956770808</v>
      </c>
      <c r="AM584" s="12">
        <f t="shared" si="1047"/>
        <v>16.739780666152562</v>
      </c>
      <c r="AN584" s="12">
        <f t="shared" si="1047"/>
        <v>0</v>
      </c>
      <c r="AO584" s="12">
        <f t="shared" si="1047"/>
        <v>0</v>
      </c>
      <c r="AP584" s="12">
        <f t="shared" si="1047"/>
        <v>0</v>
      </c>
      <c r="AQ584" s="12">
        <f t="shared" si="1047"/>
        <v>0</v>
      </c>
      <c r="AR584" s="12">
        <f t="shared" si="1047"/>
        <v>0</v>
      </c>
      <c r="AS584" s="12">
        <f t="shared" si="1047"/>
        <v>0</v>
      </c>
      <c r="AT584" s="12">
        <f t="shared" si="1047"/>
        <v>0</v>
      </c>
      <c r="AU584" s="12">
        <f t="shared" si="1047"/>
        <v>0</v>
      </c>
      <c r="AV584" s="12">
        <f t="shared" si="1047"/>
        <v>0</v>
      </c>
      <c r="AW584" s="12">
        <f t="shared" si="1047"/>
        <v>0</v>
      </c>
      <c r="AX584" s="12">
        <f t="shared" si="1047"/>
        <v>0</v>
      </c>
      <c r="AY584" s="12">
        <f t="shared" si="1047"/>
        <v>0</v>
      </c>
      <c r="AZ584" s="12">
        <f t="shared" si="1047"/>
        <v>0</v>
      </c>
      <c r="BA584" s="12">
        <f t="shared" si="1047"/>
        <v>0</v>
      </c>
      <c r="BB584" s="12">
        <f t="shared" si="1047"/>
        <v>0</v>
      </c>
      <c r="BC584" s="12">
        <f t="shared" si="1047"/>
        <v>0</v>
      </c>
      <c r="BD584" s="12">
        <f t="shared" si="1047"/>
        <v>0</v>
      </c>
      <c r="BE584" s="12">
        <f t="shared" si="1047"/>
        <v>0</v>
      </c>
    </row>
    <row r="585" spans="1:57" hidden="1" outlineLevel="1" x14ac:dyDescent="0.2">
      <c r="E585" s="12" t="str">
        <f t="shared" ref="E585:AJ585" si="1048" xml:space="preserve"> E$434</f>
        <v>Construction debt interest</v>
      </c>
      <c r="F585" s="12">
        <f t="shared" si="1048"/>
        <v>0</v>
      </c>
      <c r="G585" s="12" t="str">
        <f t="shared" si="1048"/>
        <v>$ 000s</v>
      </c>
      <c r="H585" s="12">
        <f t="shared" si="1048"/>
        <v>7960.286958552726</v>
      </c>
      <c r="I585" s="12">
        <f t="shared" si="1048"/>
        <v>0</v>
      </c>
      <c r="J585" s="12">
        <f t="shared" si="1048"/>
        <v>0</v>
      </c>
      <c r="K585" s="12">
        <f t="shared" si="1048"/>
        <v>0</v>
      </c>
      <c r="L585" s="12">
        <f t="shared" si="1048"/>
        <v>0</v>
      </c>
      <c r="M585" s="12">
        <f t="shared" si="1048"/>
        <v>0</v>
      </c>
      <c r="N585" s="12">
        <f t="shared" si="1048"/>
        <v>0</v>
      </c>
      <c r="O585" s="12">
        <f t="shared" si="1048"/>
        <v>0</v>
      </c>
      <c r="P585" s="12">
        <f t="shared" si="1048"/>
        <v>0</v>
      </c>
      <c r="Q585" s="12">
        <f t="shared" si="1048"/>
        <v>0</v>
      </c>
      <c r="R585" s="12">
        <f t="shared" si="1048"/>
        <v>0</v>
      </c>
      <c r="S585" s="12">
        <f t="shared" si="1048"/>
        <v>0</v>
      </c>
      <c r="T585" s="12">
        <f t="shared" si="1048"/>
        <v>0.20629479471210121</v>
      </c>
      <c r="U585" s="12">
        <f t="shared" si="1048"/>
        <v>42.692583377405512</v>
      </c>
      <c r="V585" s="12">
        <f t="shared" si="1048"/>
        <v>85.328245315648545</v>
      </c>
      <c r="W585" s="12">
        <f t="shared" si="1048"/>
        <v>115.69123245500475</v>
      </c>
      <c r="X585" s="12">
        <f t="shared" si="1048"/>
        <v>170.82301938726005</v>
      </c>
      <c r="Y585" s="12">
        <f t="shared" si="1048"/>
        <v>206.9300982235915</v>
      </c>
      <c r="Z585" s="12">
        <f t="shared" si="1048"/>
        <v>256.89818063794866</v>
      </c>
      <c r="AA585" s="12">
        <f t="shared" si="1048"/>
        <v>290.46858745038764</v>
      </c>
      <c r="AB585" s="12">
        <f t="shared" si="1048"/>
        <v>343.46011343069443</v>
      </c>
      <c r="AC585" s="12">
        <f t="shared" si="1048"/>
        <v>386.96215294762249</v>
      </c>
      <c r="AD585" s="12">
        <f t="shared" si="1048"/>
        <v>416.69951855422107</v>
      </c>
      <c r="AE585" s="12">
        <f t="shared" si="1048"/>
        <v>474.25962244398181</v>
      </c>
      <c r="AF585" s="12">
        <f t="shared" si="1048"/>
        <v>501.4242940769775</v>
      </c>
      <c r="AG585" s="12">
        <f t="shared" si="1048"/>
        <v>562.05077586994389</v>
      </c>
      <c r="AH585" s="12">
        <f t="shared" si="1048"/>
        <v>606.18247793331921</v>
      </c>
      <c r="AI585" s="12">
        <f t="shared" si="1048"/>
        <v>601.90482095343691</v>
      </c>
      <c r="AJ585" s="12">
        <f t="shared" si="1048"/>
        <v>680.54149209000025</v>
      </c>
      <c r="AK585" s="12">
        <f t="shared" ref="AK585:BE585" si="1049" xml:space="preserve"> AK$434</f>
        <v>694.82778163388423</v>
      </c>
      <c r="AL585" s="12">
        <f t="shared" si="1049"/>
        <v>755.42815987092661</v>
      </c>
      <c r="AM585" s="12">
        <f t="shared" si="1049"/>
        <v>767.50750710575937</v>
      </c>
      <c r="AN585" s="12">
        <f t="shared" si="1049"/>
        <v>0</v>
      </c>
      <c r="AO585" s="12">
        <f t="shared" si="1049"/>
        <v>0</v>
      </c>
      <c r="AP585" s="12">
        <f t="shared" si="1049"/>
        <v>0</v>
      </c>
      <c r="AQ585" s="12">
        <f t="shared" si="1049"/>
        <v>0</v>
      </c>
      <c r="AR585" s="12">
        <f t="shared" si="1049"/>
        <v>0</v>
      </c>
      <c r="AS585" s="12">
        <f t="shared" si="1049"/>
        <v>0</v>
      </c>
      <c r="AT585" s="12">
        <f t="shared" si="1049"/>
        <v>0</v>
      </c>
      <c r="AU585" s="12">
        <f t="shared" si="1049"/>
        <v>0</v>
      </c>
      <c r="AV585" s="12">
        <f t="shared" si="1049"/>
        <v>0</v>
      </c>
      <c r="AW585" s="12">
        <f t="shared" si="1049"/>
        <v>0</v>
      </c>
      <c r="AX585" s="12">
        <f t="shared" si="1049"/>
        <v>0</v>
      </c>
      <c r="AY585" s="12">
        <f t="shared" si="1049"/>
        <v>0</v>
      </c>
      <c r="AZ585" s="12">
        <f t="shared" si="1049"/>
        <v>0</v>
      </c>
      <c r="BA585" s="12">
        <f t="shared" si="1049"/>
        <v>0</v>
      </c>
      <c r="BB585" s="12">
        <f t="shared" si="1049"/>
        <v>0</v>
      </c>
      <c r="BC585" s="12">
        <f t="shared" si="1049"/>
        <v>0</v>
      </c>
      <c r="BD585" s="12">
        <f t="shared" si="1049"/>
        <v>0</v>
      </c>
      <c r="BE585" s="12">
        <f t="shared" si="1049"/>
        <v>0</v>
      </c>
    </row>
    <row r="586" spans="1:57" hidden="1" outlineLevel="1" x14ac:dyDescent="0.2">
      <c r="E586" s="12" t="str">
        <f t="shared" ref="E586:AJ586" si="1050" xml:space="preserve"> E$518</f>
        <v xml:space="preserve">Standby debt upfront fee </v>
      </c>
      <c r="F586" s="12">
        <f t="shared" si="1050"/>
        <v>0</v>
      </c>
      <c r="G586" s="12" t="str">
        <f t="shared" si="1050"/>
        <v>$ 000s</v>
      </c>
      <c r="H586" s="12">
        <f t="shared" si="1050"/>
        <v>90.463922227688386</v>
      </c>
      <c r="I586" s="12">
        <f t="shared" si="1050"/>
        <v>0</v>
      </c>
      <c r="J586" s="12">
        <f t="shared" si="1050"/>
        <v>0</v>
      </c>
      <c r="K586" s="12">
        <f t="shared" si="1050"/>
        <v>0</v>
      </c>
      <c r="L586" s="12">
        <f t="shared" si="1050"/>
        <v>0</v>
      </c>
      <c r="M586" s="12">
        <f t="shared" si="1050"/>
        <v>90.463922227688386</v>
      </c>
      <c r="N586" s="12">
        <f t="shared" si="1050"/>
        <v>0</v>
      </c>
      <c r="O586" s="12">
        <f t="shared" si="1050"/>
        <v>0</v>
      </c>
      <c r="P586" s="12">
        <f t="shared" si="1050"/>
        <v>0</v>
      </c>
      <c r="Q586" s="12">
        <f t="shared" si="1050"/>
        <v>0</v>
      </c>
      <c r="R586" s="12">
        <f t="shared" si="1050"/>
        <v>0</v>
      </c>
      <c r="S586" s="12">
        <f t="shared" si="1050"/>
        <v>0</v>
      </c>
      <c r="T586" s="12">
        <f t="shared" si="1050"/>
        <v>0</v>
      </c>
      <c r="U586" s="12">
        <f t="shared" si="1050"/>
        <v>0</v>
      </c>
      <c r="V586" s="12">
        <f t="shared" si="1050"/>
        <v>0</v>
      </c>
      <c r="W586" s="12">
        <f t="shared" si="1050"/>
        <v>0</v>
      </c>
      <c r="X586" s="12">
        <f t="shared" si="1050"/>
        <v>0</v>
      </c>
      <c r="Y586" s="12">
        <f t="shared" si="1050"/>
        <v>0</v>
      </c>
      <c r="Z586" s="12">
        <f t="shared" si="1050"/>
        <v>0</v>
      </c>
      <c r="AA586" s="12">
        <f t="shared" si="1050"/>
        <v>0</v>
      </c>
      <c r="AB586" s="12">
        <f t="shared" si="1050"/>
        <v>0</v>
      </c>
      <c r="AC586" s="12">
        <f t="shared" si="1050"/>
        <v>0</v>
      </c>
      <c r="AD586" s="12">
        <f t="shared" si="1050"/>
        <v>0</v>
      </c>
      <c r="AE586" s="12">
        <f t="shared" si="1050"/>
        <v>0</v>
      </c>
      <c r="AF586" s="12">
        <f t="shared" si="1050"/>
        <v>0</v>
      </c>
      <c r="AG586" s="12">
        <f t="shared" si="1050"/>
        <v>0</v>
      </c>
      <c r="AH586" s="12">
        <f t="shared" si="1050"/>
        <v>0</v>
      </c>
      <c r="AI586" s="12">
        <f t="shared" si="1050"/>
        <v>0</v>
      </c>
      <c r="AJ586" s="12">
        <f t="shared" si="1050"/>
        <v>0</v>
      </c>
      <c r="AK586" s="12">
        <f t="shared" ref="AK586:BE586" si="1051" xml:space="preserve"> AK$518</f>
        <v>0</v>
      </c>
      <c r="AL586" s="12">
        <f t="shared" si="1051"/>
        <v>0</v>
      </c>
      <c r="AM586" s="12">
        <f t="shared" si="1051"/>
        <v>0</v>
      </c>
      <c r="AN586" s="12">
        <f t="shared" si="1051"/>
        <v>0</v>
      </c>
      <c r="AO586" s="12">
        <f t="shared" si="1051"/>
        <v>0</v>
      </c>
      <c r="AP586" s="12">
        <f t="shared" si="1051"/>
        <v>0</v>
      </c>
      <c r="AQ586" s="12">
        <f t="shared" si="1051"/>
        <v>0</v>
      </c>
      <c r="AR586" s="12">
        <f t="shared" si="1051"/>
        <v>0</v>
      </c>
      <c r="AS586" s="12">
        <f t="shared" si="1051"/>
        <v>0</v>
      </c>
      <c r="AT586" s="12">
        <f t="shared" si="1051"/>
        <v>0</v>
      </c>
      <c r="AU586" s="12">
        <f t="shared" si="1051"/>
        <v>0</v>
      </c>
      <c r="AV586" s="12">
        <f t="shared" si="1051"/>
        <v>0</v>
      </c>
      <c r="AW586" s="12">
        <f t="shared" si="1051"/>
        <v>0</v>
      </c>
      <c r="AX586" s="12">
        <f t="shared" si="1051"/>
        <v>0</v>
      </c>
      <c r="AY586" s="12">
        <f t="shared" si="1051"/>
        <v>0</v>
      </c>
      <c r="AZ586" s="12">
        <f t="shared" si="1051"/>
        <v>0</v>
      </c>
      <c r="BA586" s="12">
        <f t="shared" si="1051"/>
        <v>0</v>
      </c>
      <c r="BB586" s="12">
        <f t="shared" si="1051"/>
        <v>0</v>
      </c>
      <c r="BC586" s="12">
        <f t="shared" si="1051"/>
        <v>0</v>
      </c>
      <c r="BD586" s="12">
        <f t="shared" si="1051"/>
        <v>0</v>
      </c>
      <c r="BE586" s="12">
        <f t="shared" si="1051"/>
        <v>0</v>
      </c>
    </row>
    <row r="587" spans="1:57" hidden="1" outlineLevel="1" x14ac:dyDescent="0.2">
      <c r="E587" s="12" t="str">
        <f t="shared" ref="E587:AJ587" si="1052" xml:space="preserve"> E$546</f>
        <v>Standby debt commitment fee</v>
      </c>
      <c r="F587" s="12">
        <f t="shared" si="1052"/>
        <v>0</v>
      </c>
      <c r="G587" s="12" t="str">
        <f t="shared" si="1052"/>
        <v>$ 000s</v>
      </c>
      <c r="H587" s="12">
        <f t="shared" si="1052"/>
        <v>72.801918364187358</v>
      </c>
      <c r="I587" s="12">
        <f t="shared" si="1052"/>
        <v>0</v>
      </c>
      <c r="J587" s="12">
        <f t="shared" si="1052"/>
        <v>0</v>
      </c>
      <c r="K587" s="12">
        <f t="shared" si="1052"/>
        <v>0</v>
      </c>
      <c r="L587" s="12">
        <f t="shared" si="1052"/>
        <v>0</v>
      </c>
      <c r="M587" s="12">
        <f t="shared" si="1052"/>
        <v>0</v>
      </c>
      <c r="N587" s="12">
        <f t="shared" si="1052"/>
        <v>2.8000737832379743</v>
      </c>
      <c r="O587" s="12">
        <f t="shared" si="1052"/>
        <v>2.8000737832379743</v>
      </c>
      <c r="P587" s="12">
        <f t="shared" si="1052"/>
        <v>2.8000737832379743</v>
      </c>
      <c r="Q587" s="12">
        <f t="shared" si="1052"/>
        <v>2.8000737832379743</v>
      </c>
      <c r="R587" s="12">
        <f t="shared" si="1052"/>
        <v>2.8000737832379743</v>
      </c>
      <c r="S587" s="12">
        <f t="shared" si="1052"/>
        <v>2.8000737832379743</v>
      </c>
      <c r="T587" s="12">
        <f t="shared" si="1052"/>
        <v>2.8000737832379743</v>
      </c>
      <c r="U587" s="12">
        <f t="shared" si="1052"/>
        <v>2.8000737832379743</v>
      </c>
      <c r="V587" s="12">
        <f t="shared" si="1052"/>
        <v>2.8000737832379743</v>
      </c>
      <c r="W587" s="12">
        <f t="shared" si="1052"/>
        <v>2.8000737832379743</v>
      </c>
      <c r="X587" s="12">
        <f t="shared" si="1052"/>
        <v>2.8000737832379743</v>
      </c>
      <c r="Y587" s="12">
        <f t="shared" si="1052"/>
        <v>2.8000737832379743</v>
      </c>
      <c r="Z587" s="12">
        <f t="shared" si="1052"/>
        <v>2.8000737832379743</v>
      </c>
      <c r="AA587" s="12">
        <f t="shared" si="1052"/>
        <v>2.8000737832379743</v>
      </c>
      <c r="AB587" s="12">
        <f t="shared" si="1052"/>
        <v>2.8000737832379743</v>
      </c>
      <c r="AC587" s="12">
        <f t="shared" si="1052"/>
        <v>2.8000737832379743</v>
      </c>
      <c r="AD587" s="12">
        <f t="shared" si="1052"/>
        <v>2.8000737832379743</v>
      </c>
      <c r="AE587" s="12">
        <f t="shared" si="1052"/>
        <v>2.8000737832379743</v>
      </c>
      <c r="AF587" s="12">
        <f t="shared" si="1052"/>
        <v>2.8000737832379743</v>
      </c>
      <c r="AG587" s="12">
        <f t="shared" si="1052"/>
        <v>2.8000737832379743</v>
      </c>
      <c r="AH587" s="12">
        <f t="shared" si="1052"/>
        <v>2.8000737832379743</v>
      </c>
      <c r="AI587" s="12">
        <f t="shared" si="1052"/>
        <v>2.8000737832379743</v>
      </c>
      <c r="AJ587" s="12">
        <f t="shared" si="1052"/>
        <v>2.8000737832379743</v>
      </c>
      <c r="AK587" s="12">
        <f t="shared" ref="AK587:BE587" si="1053" xml:space="preserve"> AK$546</f>
        <v>2.8000737832379743</v>
      </c>
      <c r="AL587" s="12">
        <f t="shared" si="1053"/>
        <v>2.8000737832379743</v>
      </c>
      <c r="AM587" s="12">
        <f t="shared" si="1053"/>
        <v>2.8000737832379743</v>
      </c>
      <c r="AN587" s="12">
        <f t="shared" si="1053"/>
        <v>0</v>
      </c>
      <c r="AO587" s="12">
        <f t="shared" si="1053"/>
        <v>0</v>
      </c>
      <c r="AP587" s="12">
        <f t="shared" si="1053"/>
        <v>0</v>
      </c>
      <c r="AQ587" s="12">
        <f t="shared" si="1053"/>
        <v>0</v>
      </c>
      <c r="AR587" s="12">
        <f t="shared" si="1053"/>
        <v>0</v>
      </c>
      <c r="AS587" s="12">
        <f t="shared" si="1053"/>
        <v>0</v>
      </c>
      <c r="AT587" s="12">
        <f t="shared" si="1053"/>
        <v>0</v>
      </c>
      <c r="AU587" s="12">
        <f t="shared" si="1053"/>
        <v>0</v>
      </c>
      <c r="AV587" s="12">
        <f t="shared" si="1053"/>
        <v>0</v>
      </c>
      <c r="AW587" s="12">
        <f t="shared" si="1053"/>
        <v>0</v>
      </c>
      <c r="AX587" s="12">
        <f t="shared" si="1053"/>
        <v>0</v>
      </c>
      <c r="AY587" s="12">
        <f t="shared" si="1053"/>
        <v>0</v>
      </c>
      <c r="AZ587" s="12">
        <f t="shared" si="1053"/>
        <v>0</v>
      </c>
      <c r="BA587" s="12">
        <f t="shared" si="1053"/>
        <v>0</v>
      </c>
      <c r="BB587" s="12">
        <f t="shared" si="1053"/>
        <v>0</v>
      </c>
      <c r="BC587" s="12">
        <f t="shared" si="1053"/>
        <v>0</v>
      </c>
      <c r="BD587" s="12">
        <f t="shared" si="1053"/>
        <v>0</v>
      </c>
      <c r="BE587" s="12">
        <f t="shared" si="1053"/>
        <v>0</v>
      </c>
    </row>
    <row r="588" spans="1:57" hidden="1" outlineLevel="1" x14ac:dyDescent="0.2">
      <c r="E588" s="12" t="str">
        <f t="shared" ref="E588:AJ588" si="1054" xml:space="preserve"> E$578</f>
        <v>Standby debt interest</v>
      </c>
      <c r="F588" s="12">
        <f t="shared" si="1054"/>
        <v>0</v>
      </c>
      <c r="G588" s="12" t="str">
        <f t="shared" si="1054"/>
        <v>$ 000s</v>
      </c>
      <c r="H588" s="12">
        <f t="shared" si="1054"/>
        <v>0</v>
      </c>
      <c r="I588" s="12">
        <f t="shared" si="1054"/>
        <v>0</v>
      </c>
      <c r="J588" s="12">
        <f t="shared" si="1054"/>
        <v>0</v>
      </c>
      <c r="K588" s="12">
        <f t="shared" si="1054"/>
        <v>0</v>
      </c>
      <c r="L588" s="12">
        <f t="shared" si="1054"/>
        <v>0</v>
      </c>
      <c r="M588" s="12">
        <f t="shared" si="1054"/>
        <v>0</v>
      </c>
      <c r="N588" s="12">
        <f t="shared" si="1054"/>
        <v>0</v>
      </c>
      <c r="O588" s="12">
        <f t="shared" si="1054"/>
        <v>0</v>
      </c>
      <c r="P588" s="12">
        <f t="shared" si="1054"/>
        <v>0</v>
      </c>
      <c r="Q588" s="12">
        <f t="shared" si="1054"/>
        <v>0</v>
      </c>
      <c r="R588" s="12">
        <f t="shared" si="1054"/>
        <v>0</v>
      </c>
      <c r="S588" s="12">
        <f t="shared" si="1054"/>
        <v>0</v>
      </c>
      <c r="T588" s="12">
        <f t="shared" si="1054"/>
        <v>0</v>
      </c>
      <c r="U588" s="12">
        <f t="shared" si="1054"/>
        <v>0</v>
      </c>
      <c r="V588" s="12">
        <f t="shared" si="1054"/>
        <v>0</v>
      </c>
      <c r="W588" s="12">
        <f t="shared" si="1054"/>
        <v>0</v>
      </c>
      <c r="X588" s="12">
        <f t="shared" si="1054"/>
        <v>0</v>
      </c>
      <c r="Y588" s="12">
        <f t="shared" si="1054"/>
        <v>0</v>
      </c>
      <c r="Z588" s="12">
        <f t="shared" si="1054"/>
        <v>0</v>
      </c>
      <c r="AA588" s="12">
        <f t="shared" si="1054"/>
        <v>0</v>
      </c>
      <c r="AB588" s="12">
        <f t="shared" si="1054"/>
        <v>0</v>
      </c>
      <c r="AC588" s="12">
        <f t="shared" si="1054"/>
        <v>0</v>
      </c>
      <c r="AD588" s="12">
        <f t="shared" si="1054"/>
        <v>0</v>
      </c>
      <c r="AE588" s="12">
        <f t="shared" si="1054"/>
        <v>0</v>
      </c>
      <c r="AF588" s="12">
        <f t="shared" si="1054"/>
        <v>0</v>
      </c>
      <c r="AG588" s="12">
        <f t="shared" si="1054"/>
        <v>0</v>
      </c>
      <c r="AH588" s="12">
        <f t="shared" si="1054"/>
        <v>0</v>
      </c>
      <c r="AI588" s="12">
        <f t="shared" si="1054"/>
        <v>0</v>
      </c>
      <c r="AJ588" s="12">
        <f t="shared" si="1054"/>
        <v>0</v>
      </c>
      <c r="AK588" s="12">
        <f t="shared" ref="AK588:BE588" si="1055" xml:space="preserve"> AK$578</f>
        <v>0</v>
      </c>
      <c r="AL588" s="12">
        <f t="shared" si="1055"/>
        <v>0</v>
      </c>
      <c r="AM588" s="12">
        <f t="shared" si="1055"/>
        <v>0</v>
      </c>
      <c r="AN588" s="12">
        <f t="shared" si="1055"/>
        <v>0</v>
      </c>
      <c r="AO588" s="12">
        <f t="shared" si="1055"/>
        <v>0</v>
      </c>
      <c r="AP588" s="12">
        <f t="shared" si="1055"/>
        <v>0</v>
      </c>
      <c r="AQ588" s="12">
        <f t="shared" si="1055"/>
        <v>0</v>
      </c>
      <c r="AR588" s="12">
        <f t="shared" si="1055"/>
        <v>0</v>
      </c>
      <c r="AS588" s="12">
        <f t="shared" si="1055"/>
        <v>0</v>
      </c>
      <c r="AT588" s="12">
        <f t="shared" si="1055"/>
        <v>0</v>
      </c>
      <c r="AU588" s="12">
        <f t="shared" si="1055"/>
        <v>0</v>
      </c>
      <c r="AV588" s="12">
        <f t="shared" si="1055"/>
        <v>0</v>
      </c>
      <c r="AW588" s="12">
        <f t="shared" si="1055"/>
        <v>0</v>
      </c>
      <c r="AX588" s="12">
        <f t="shared" si="1055"/>
        <v>0</v>
      </c>
      <c r="AY588" s="12">
        <f t="shared" si="1055"/>
        <v>0</v>
      </c>
      <c r="AZ588" s="12">
        <f t="shared" si="1055"/>
        <v>0</v>
      </c>
      <c r="BA588" s="12">
        <f t="shared" si="1055"/>
        <v>0</v>
      </c>
      <c r="BB588" s="12">
        <f t="shared" si="1055"/>
        <v>0</v>
      </c>
      <c r="BC588" s="12">
        <f t="shared" si="1055"/>
        <v>0</v>
      </c>
      <c r="BD588" s="12">
        <f t="shared" si="1055"/>
        <v>0</v>
      </c>
      <c r="BE588" s="12">
        <f t="shared" si="1055"/>
        <v>0</v>
      </c>
    </row>
    <row r="589" spans="1:57" s="188" customFormat="1" hidden="1" outlineLevel="1" x14ac:dyDescent="0.2">
      <c r="A589" s="141"/>
      <c r="B589" s="141"/>
      <c r="C589" s="142"/>
      <c r="D589" s="143"/>
      <c r="E589" s="496" t="s">
        <v>560</v>
      </c>
      <c r="F589" s="496"/>
      <c r="G589" s="496" t="str">
        <f xml:space="preserve"> SMU</f>
        <v>$ 000s</v>
      </c>
      <c r="H589" s="496">
        <f xml:space="preserve"> SUM(J589:BE589)</f>
        <v>16120.196735529827</v>
      </c>
      <c r="I589" s="496"/>
      <c r="J589" s="496">
        <f t="shared" ref="J589:BE589" si="1056">SUM(J583:J588)</f>
        <v>0</v>
      </c>
      <c r="K589" s="496">
        <f t="shared" si="1056"/>
        <v>0</v>
      </c>
      <c r="L589" s="496">
        <f t="shared" si="1056"/>
        <v>0</v>
      </c>
      <c r="M589" s="496">
        <f t="shared" si="1056"/>
        <v>5348.6508196941331</v>
      </c>
      <c r="N589" s="496">
        <f t="shared" si="1056"/>
        <v>165.55347775243743</v>
      </c>
      <c r="O589" s="496">
        <f t="shared" si="1056"/>
        <v>165.55347775243743</v>
      </c>
      <c r="P589" s="496">
        <f t="shared" si="1056"/>
        <v>165.55347775243743</v>
      </c>
      <c r="Q589" s="496">
        <f t="shared" si="1056"/>
        <v>165.55347775243743</v>
      </c>
      <c r="R589" s="496">
        <f t="shared" si="1056"/>
        <v>165.55347775243743</v>
      </c>
      <c r="S589" s="496">
        <f t="shared" si="1056"/>
        <v>165.55347775243743</v>
      </c>
      <c r="T589" s="496">
        <f t="shared" si="1056"/>
        <v>165.72052622035068</v>
      </c>
      <c r="U589" s="496">
        <f t="shared" si="1056"/>
        <v>200.38605758120968</v>
      </c>
      <c r="V589" s="496">
        <f t="shared" si="1056"/>
        <v>235.17219560635368</v>
      </c>
      <c r="W589" s="496">
        <f t="shared" si="1056"/>
        <v>257.66304784292032</v>
      </c>
      <c r="X589" s="496">
        <f t="shared" si="1056"/>
        <v>304.92678310616571</v>
      </c>
      <c r="Y589" s="496">
        <f t="shared" si="1056"/>
        <v>333.11638655788227</v>
      </c>
      <c r="Z589" s="496">
        <f t="shared" si="1056"/>
        <v>375.15490444130666</v>
      </c>
      <c r="AA589" s="496">
        <f t="shared" si="1056"/>
        <v>400.76218759031229</v>
      </c>
      <c r="AB589" s="496">
        <f t="shared" si="1056"/>
        <v>445.78017926906222</v>
      </c>
      <c r="AC589" s="496">
        <f t="shared" si="1056"/>
        <v>481.27318869396731</v>
      </c>
      <c r="AD589" s="496">
        <f t="shared" si="1056"/>
        <v>502.97845375244083</v>
      </c>
      <c r="AE589" s="496">
        <f t="shared" si="1056"/>
        <v>552.49858276770817</v>
      </c>
      <c r="AF589" s="496">
        <f t="shared" si="1056"/>
        <v>571.58485734647775</v>
      </c>
      <c r="AG589" s="496">
        <f t="shared" si="1056"/>
        <v>624.12677010265918</v>
      </c>
      <c r="AH589" s="496">
        <f t="shared" si="1056"/>
        <v>660.13351679008656</v>
      </c>
      <c r="AI589" s="496">
        <f t="shared" si="1056"/>
        <v>649.00100004893216</v>
      </c>
      <c r="AJ589" s="496">
        <f t="shared" si="1056"/>
        <v>720.80251575191051</v>
      </c>
      <c r="AK589" s="496">
        <f t="shared" si="1056"/>
        <v>728.1945106852412</v>
      </c>
      <c r="AL589" s="496">
        <f t="shared" si="1056"/>
        <v>781.90202361093543</v>
      </c>
      <c r="AM589" s="496">
        <f t="shared" si="1056"/>
        <v>787.04736155514991</v>
      </c>
      <c r="AN589" s="496">
        <f t="shared" si="1056"/>
        <v>0</v>
      </c>
      <c r="AO589" s="496">
        <f t="shared" si="1056"/>
        <v>0</v>
      </c>
      <c r="AP589" s="496">
        <f t="shared" si="1056"/>
        <v>0</v>
      </c>
      <c r="AQ589" s="496">
        <f t="shared" si="1056"/>
        <v>0</v>
      </c>
      <c r="AR589" s="496">
        <f t="shared" si="1056"/>
        <v>0</v>
      </c>
      <c r="AS589" s="496">
        <f t="shared" si="1056"/>
        <v>0</v>
      </c>
      <c r="AT589" s="496">
        <f t="shared" si="1056"/>
        <v>0</v>
      </c>
      <c r="AU589" s="496">
        <f t="shared" si="1056"/>
        <v>0</v>
      </c>
      <c r="AV589" s="496">
        <f t="shared" si="1056"/>
        <v>0</v>
      </c>
      <c r="AW589" s="496">
        <f t="shared" si="1056"/>
        <v>0</v>
      </c>
      <c r="AX589" s="496">
        <f t="shared" si="1056"/>
        <v>0</v>
      </c>
      <c r="AY589" s="496">
        <f t="shared" si="1056"/>
        <v>0</v>
      </c>
      <c r="AZ589" s="496">
        <f t="shared" si="1056"/>
        <v>0</v>
      </c>
      <c r="BA589" s="496">
        <f t="shared" si="1056"/>
        <v>0</v>
      </c>
      <c r="BB589" s="496">
        <f t="shared" si="1056"/>
        <v>0</v>
      </c>
      <c r="BC589" s="496">
        <f t="shared" si="1056"/>
        <v>0</v>
      </c>
      <c r="BD589" s="496">
        <f t="shared" si="1056"/>
        <v>0</v>
      </c>
      <c r="BE589" s="496">
        <f t="shared" si="1056"/>
        <v>0</v>
      </c>
    </row>
    <row r="590" spans="1:57" hidden="1" outlineLevel="1" x14ac:dyDescent="0.2">
      <c r="I590" s="12"/>
    </row>
    <row r="591" spans="1:57" hidden="1" outlineLevel="1" x14ac:dyDescent="0.2">
      <c r="E591" s="12" t="str">
        <f t="shared" ref="E591:AJ591" si="1057" xml:space="preserve"> E$589</f>
        <v>Senior debt financing costs - m</v>
      </c>
      <c r="F591" s="12">
        <f t="shared" si="1057"/>
        <v>0</v>
      </c>
      <c r="G591" s="12" t="str">
        <f t="shared" si="1057"/>
        <v>$ 000s</v>
      </c>
      <c r="H591" s="12">
        <f t="shared" si="1057"/>
        <v>16120.196735529827</v>
      </c>
      <c r="I591" s="12">
        <f t="shared" si="1057"/>
        <v>0</v>
      </c>
      <c r="J591" s="12">
        <f t="shared" si="1057"/>
        <v>0</v>
      </c>
      <c r="K591" s="12">
        <f t="shared" si="1057"/>
        <v>0</v>
      </c>
      <c r="L591" s="12">
        <f t="shared" si="1057"/>
        <v>0</v>
      </c>
      <c r="M591" s="12">
        <f t="shared" si="1057"/>
        <v>5348.6508196941331</v>
      </c>
      <c r="N591" s="12">
        <f t="shared" si="1057"/>
        <v>165.55347775243743</v>
      </c>
      <c r="O591" s="12">
        <f t="shared" si="1057"/>
        <v>165.55347775243743</v>
      </c>
      <c r="P591" s="12">
        <f t="shared" si="1057"/>
        <v>165.55347775243743</v>
      </c>
      <c r="Q591" s="12">
        <f t="shared" si="1057"/>
        <v>165.55347775243743</v>
      </c>
      <c r="R591" s="12">
        <f t="shared" si="1057"/>
        <v>165.55347775243743</v>
      </c>
      <c r="S591" s="12">
        <f t="shared" si="1057"/>
        <v>165.55347775243743</v>
      </c>
      <c r="T591" s="12">
        <f t="shared" si="1057"/>
        <v>165.72052622035068</v>
      </c>
      <c r="U591" s="12">
        <f t="shared" si="1057"/>
        <v>200.38605758120968</v>
      </c>
      <c r="V591" s="12">
        <f t="shared" si="1057"/>
        <v>235.17219560635368</v>
      </c>
      <c r="W591" s="12">
        <f t="shared" si="1057"/>
        <v>257.66304784292032</v>
      </c>
      <c r="X591" s="12">
        <f t="shared" si="1057"/>
        <v>304.92678310616571</v>
      </c>
      <c r="Y591" s="12">
        <f t="shared" si="1057"/>
        <v>333.11638655788227</v>
      </c>
      <c r="Z591" s="12">
        <f t="shared" si="1057"/>
        <v>375.15490444130666</v>
      </c>
      <c r="AA591" s="12">
        <f t="shared" si="1057"/>
        <v>400.76218759031229</v>
      </c>
      <c r="AB591" s="12">
        <f t="shared" si="1057"/>
        <v>445.78017926906222</v>
      </c>
      <c r="AC591" s="12">
        <f t="shared" si="1057"/>
        <v>481.27318869396731</v>
      </c>
      <c r="AD591" s="12">
        <f t="shared" si="1057"/>
        <v>502.97845375244083</v>
      </c>
      <c r="AE591" s="12">
        <f t="shared" si="1057"/>
        <v>552.49858276770817</v>
      </c>
      <c r="AF591" s="12">
        <f t="shared" si="1057"/>
        <v>571.58485734647775</v>
      </c>
      <c r="AG591" s="12">
        <f t="shared" si="1057"/>
        <v>624.12677010265918</v>
      </c>
      <c r="AH591" s="12">
        <f t="shared" si="1057"/>
        <v>660.13351679008656</v>
      </c>
      <c r="AI591" s="12">
        <f t="shared" si="1057"/>
        <v>649.00100004893216</v>
      </c>
      <c r="AJ591" s="12">
        <f t="shared" si="1057"/>
        <v>720.80251575191051</v>
      </c>
      <c r="AK591" s="12">
        <f t="shared" ref="AK591:BE591" si="1058" xml:space="preserve"> AK$589</f>
        <v>728.1945106852412</v>
      </c>
      <c r="AL591" s="12">
        <f t="shared" si="1058"/>
        <v>781.90202361093543</v>
      </c>
      <c r="AM591" s="12">
        <f t="shared" si="1058"/>
        <v>787.04736155514991</v>
      </c>
      <c r="AN591" s="12">
        <f t="shared" si="1058"/>
        <v>0</v>
      </c>
      <c r="AO591" s="12">
        <f t="shared" si="1058"/>
        <v>0</v>
      </c>
      <c r="AP591" s="12">
        <f t="shared" si="1058"/>
        <v>0</v>
      </c>
      <c r="AQ591" s="12">
        <f t="shared" si="1058"/>
        <v>0</v>
      </c>
      <c r="AR591" s="12">
        <f t="shared" si="1058"/>
        <v>0</v>
      </c>
      <c r="AS591" s="12">
        <f t="shared" si="1058"/>
        <v>0</v>
      </c>
      <c r="AT591" s="12">
        <f t="shared" si="1058"/>
        <v>0</v>
      </c>
      <c r="AU591" s="12">
        <f t="shared" si="1058"/>
        <v>0</v>
      </c>
      <c r="AV591" s="12">
        <f t="shared" si="1058"/>
        <v>0</v>
      </c>
      <c r="AW591" s="12">
        <f t="shared" si="1058"/>
        <v>0</v>
      </c>
      <c r="AX591" s="12">
        <f t="shared" si="1058"/>
        <v>0</v>
      </c>
      <c r="AY591" s="12">
        <f t="shared" si="1058"/>
        <v>0</v>
      </c>
      <c r="AZ591" s="12">
        <f t="shared" si="1058"/>
        <v>0</v>
      </c>
      <c r="BA591" s="12">
        <f t="shared" si="1058"/>
        <v>0</v>
      </c>
      <c r="BB591" s="12">
        <f t="shared" si="1058"/>
        <v>0</v>
      </c>
      <c r="BC591" s="12">
        <f t="shared" si="1058"/>
        <v>0</v>
      </c>
      <c r="BD591" s="12">
        <f t="shared" si="1058"/>
        <v>0</v>
      </c>
      <c r="BE591" s="12">
        <f t="shared" si="1058"/>
        <v>0</v>
      </c>
    </row>
    <row r="592" spans="1:57" s="340" customFormat="1" hidden="1" outlineLevel="1" x14ac:dyDescent="0.2">
      <c r="A592" s="700"/>
      <c r="B592" s="700"/>
      <c r="C592" s="701"/>
      <c r="D592" s="702"/>
      <c r="E592" s="722" t="str">
        <f t="shared" ref="E592:AJ592" si="1059" xml:space="preserve"> E$168</f>
        <v>Equity bridge upfront fee - paid</v>
      </c>
      <c r="F592" s="722">
        <f t="shared" si="1059"/>
        <v>0</v>
      </c>
      <c r="G592" s="722" t="str">
        <f t="shared" si="1059"/>
        <v>$ 000s</v>
      </c>
      <c r="H592" s="722">
        <f t="shared" si="1059"/>
        <v>1294.7739489543146</v>
      </c>
      <c r="I592" s="722">
        <f t="shared" si="1059"/>
        <v>0</v>
      </c>
      <c r="J592" s="722">
        <f t="shared" si="1059"/>
        <v>0</v>
      </c>
      <c r="K592" s="722">
        <f t="shared" si="1059"/>
        <v>0</v>
      </c>
      <c r="L592" s="722">
        <f t="shared" si="1059"/>
        <v>0</v>
      </c>
      <c r="M592" s="722">
        <f t="shared" si="1059"/>
        <v>1294.7739489543146</v>
      </c>
      <c r="N592" s="722">
        <f t="shared" si="1059"/>
        <v>0</v>
      </c>
      <c r="O592" s="722">
        <f t="shared" si="1059"/>
        <v>0</v>
      </c>
      <c r="P592" s="722">
        <f t="shared" si="1059"/>
        <v>0</v>
      </c>
      <c r="Q592" s="722">
        <f t="shared" si="1059"/>
        <v>0</v>
      </c>
      <c r="R592" s="722">
        <f t="shared" si="1059"/>
        <v>0</v>
      </c>
      <c r="S592" s="722">
        <f t="shared" si="1059"/>
        <v>0</v>
      </c>
      <c r="T592" s="722">
        <f t="shared" si="1059"/>
        <v>0</v>
      </c>
      <c r="U592" s="722">
        <f t="shared" si="1059"/>
        <v>0</v>
      </c>
      <c r="V592" s="722">
        <f t="shared" si="1059"/>
        <v>0</v>
      </c>
      <c r="W592" s="722">
        <f t="shared" si="1059"/>
        <v>0</v>
      </c>
      <c r="X592" s="722">
        <f t="shared" si="1059"/>
        <v>0</v>
      </c>
      <c r="Y592" s="722">
        <f t="shared" si="1059"/>
        <v>0</v>
      </c>
      <c r="Z592" s="722">
        <f t="shared" si="1059"/>
        <v>0</v>
      </c>
      <c r="AA592" s="722">
        <f t="shared" si="1059"/>
        <v>0</v>
      </c>
      <c r="AB592" s="722">
        <f t="shared" si="1059"/>
        <v>0</v>
      </c>
      <c r="AC592" s="722">
        <f t="shared" si="1059"/>
        <v>0</v>
      </c>
      <c r="AD592" s="722">
        <f t="shared" si="1059"/>
        <v>0</v>
      </c>
      <c r="AE592" s="722">
        <f t="shared" si="1059"/>
        <v>0</v>
      </c>
      <c r="AF592" s="722">
        <f t="shared" si="1059"/>
        <v>0</v>
      </c>
      <c r="AG592" s="722">
        <f t="shared" si="1059"/>
        <v>0</v>
      </c>
      <c r="AH592" s="722">
        <f t="shared" si="1059"/>
        <v>0</v>
      </c>
      <c r="AI592" s="722">
        <f t="shared" si="1059"/>
        <v>0</v>
      </c>
      <c r="AJ592" s="722">
        <f t="shared" si="1059"/>
        <v>0</v>
      </c>
      <c r="AK592" s="722">
        <f t="shared" ref="AK592:BE592" si="1060" xml:space="preserve"> AK$168</f>
        <v>0</v>
      </c>
      <c r="AL592" s="722">
        <f t="shared" si="1060"/>
        <v>0</v>
      </c>
      <c r="AM592" s="722">
        <f t="shared" si="1060"/>
        <v>0</v>
      </c>
      <c r="AN592" s="722">
        <f t="shared" si="1060"/>
        <v>0</v>
      </c>
      <c r="AO592" s="722">
        <f t="shared" si="1060"/>
        <v>0</v>
      </c>
      <c r="AP592" s="722">
        <f t="shared" si="1060"/>
        <v>0</v>
      </c>
      <c r="AQ592" s="722">
        <f t="shared" si="1060"/>
        <v>0</v>
      </c>
      <c r="AR592" s="722">
        <f t="shared" si="1060"/>
        <v>0</v>
      </c>
      <c r="AS592" s="722">
        <f t="shared" si="1060"/>
        <v>0</v>
      </c>
      <c r="AT592" s="722">
        <f t="shared" si="1060"/>
        <v>0</v>
      </c>
      <c r="AU592" s="722">
        <f t="shared" si="1060"/>
        <v>0</v>
      </c>
      <c r="AV592" s="722">
        <f t="shared" si="1060"/>
        <v>0</v>
      </c>
      <c r="AW592" s="722">
        <f t="shared" si="1060"/>
        <v>0</v>
      </c>
      <c r="AX592" s="722">
        <f t="shared" si="1060"/>
        <v>0</v>
      </c>
      <c r="AY592" s="722">
        <f t="shared" si="1060"/>
        <v>0</v>
      </c>
      <c r="AZ592" s="722">
        <f t="shared" si="1060"/>
        <v>0</v>
      </c>
      <c r="BA592" s="722">
        <f t="shared" si="1060"/>
        <v>0</v>
      </c>
      <c r="BB592" s="722">
        <f t="shared" si="1060"/>
        <v>0</v>
      </c>
      <c r="BC592" s="722">
        <f t="shared" si="1060"/>
        <v>0</v>
      </c>
      <c r="BD592" s="722">
        <f t="shared" si="1060"/>
        <v>0</v>
      </c>
      <c r="BE592" s="722">
        <f t="shared" si="1060"/>
        <v>0</v>
      </c>
    </row>
    <row r="593" spans="1:57" s="340" customFormat="1" hidden="1" outlineLevel="1" x14ac:dyDescent="0.2">
      <c r="A593" s="700"/>
      <c r="B593" s="700"/>
      <c r="C593" s="701"/>
      <c r="D593" s="702"/>
      <c r="E593" s="722" t="str">
        <f t="shared" ref="E593:AJ593" si="1061" xml:space="preserve"> E$191</f>
        <v>Equity bridge commitment fee - paid</v>
      </c>
      <c r="F593" s="722">
        <f t="shared" si="1061"/>
        <v>0</v>
      </c>
      <c r="G593" s="722" t="str">
        <f t="shared" si="1061"/>
        <v>$ 000s</v>
      </c>
      <c r="H593" s="722">
        <f t="shared" si="1061"/>
        <v>160.09844613595186</v>
      </c>
      <c r="I593" s="722">
        <f t="shared" si="1061"/>
        <v>0</v>
      </c>
      <c r="J593" s="722">
        <f t="shared" si="1061"/>
        <v>0</v>
      </c>
      <c r="K593" s="722">
        <f t="shared" si="1061"/>
        <v>0</v>
      </c>
      <c r="L593" s="722">
        <f t="shared" si="1061"/>
        <v>0</v>
      </c>
      <c r="M593" s="722">
        <f t="shared" si="1061"/>
        <v>0</v>
      </c>
      <c r="N593" s="722">
        <f t="shared" si="1061"/>
        <v>46.160833193638979</v>
      </c>
      <c r="O593" s="722">
        <f t="shared" si="1061"/>
        <v>37.270944178119898</v>
      </c>
      <c r="P593" s="722">
        <f t="shared" si="1061"/>
        <v>30.847099566888641</v>
      </c>
      <c r="Q593" s="722">
        <f t="shared" si="1061"/>
        <v>23.156718172278122</v>
      </c>
      <c r="R593" s="722">
        <f t="shared" si="1061"/>
        <v>14.946594571813201</v>
      </c>
      <c r="S593" s="722">
        <f t="shared" si="1061"/>
        <v>7.716127800922667</v>
      </c>
      <c r="T593" s="722">
        <f t="shared" si="1061"/>
        <v>6.3479748587269577E-6</v>
      </c>
      <c r="U593" s="722">
        <f t="shared" si="1061"/>
        <v>6.5595740206845229E-6</v>
      </c>
      <c r="V593" s="722">
        <f t="shared" si="1061"/>
        <v>6.5595740206845229E-6</v>
      </c>
      <c r="W593" s="722">
        <f t="shared" si="1061"/>
        <v>5.9247765348118271E-6</v>
      </c>
      <c r="X593" s="722">
        <f t="shared" si="1061"/>
        <v>6.5595740206845229E-6</v>
      </c>
      <c r="Y593" s="722">
        <f t="shared" si="1061"/>
        <v>6.3479748587269577E-6</v>
      </c>
      <c r="Z593" s="722">
        <f t="shared" si="1061"/>
        <v>6.5595740206845229E-6</v>
      </c>
      <c r="AA593" s="722">
        <f t="shared" si="1061"/>
        <v>6.3479748587269577E-6</v>
      </c>
      <c r="AB593" s="722">
        <f t="shared" si="1061"/>
        <v>6.5595740206845229E-6</v>
      </c>
      <c r="AC593" s="722">
        <f t="shared" si="1061"/>
        <v>6.5595740206845229E-6</v>
      </c>
      <c r="AD593" s="722">
        <f t="shared" si="1061"/>
        <v>6.3479748587269577E-6</v>
      </c>
      <c r="AE593" s="722">
        <f t="shared" si="1061"/>
        <v>6.5595740206845229E-6</v>
      </c>
      <c r="AF593" s="722">
        <f t="shared" si="1061"/>
        <v>6.3479748587269577E-6</v>
      </c>
      <c r="AG593" s="722">
        <f t="shared" si="1061"/>
        <v>6.5595740206845229E-6</v>
      </c>
      <c r="AH593" s="722">
        <f t="shared" si="1061"/>
        <v>6.5595740206845229E-6</v>
      </c>
      <c r="AI593" s="722">
        <f t="shared" si="1061"/>
        <v>6.1363756967693924E-6</v>
      </c>
      <c r="AJ593" s="722">
        <f t="shared" si="1061"/>
        <v>6.5595740206845229E-6</v>
      </c>
      <c r="AK593" s="722">
        <f t="shared" ref="AK593:BE593" si="1062" xml:space="preserve"> AK$191</f>
        <v>6.3479748587269577E-6</v>
      </c>
      <c r="AL593" s="722">
        <f t="shared" si="1062"/>
        <v>6.5595740206845229E-6</v>
      </c>
      <c r="AM593" s="722">
        <f t="shared" si="1062"/>
        <v>6.3479748587269577E-6</v>
      </c>
      <c r="AN593" s="722">
        <f t="shared" si="1062"/>
        <v>0</v>
      </c>
      <c r="AO593" s="722">
        <f t="shared" si="1062"/>
        <v>0</v>
      </c>
      <c r="AP593" s="722">
        <f t="shared" si="1062"/>
        <v>0</v>
      </c>
      <c r="AQ593" s="722">
        <f t="shared" si="1062"/>
        <v>0</v>
      </c>
      <c r="AR593" s="722">
        <f t="shared" si="1062"/>
        <v>0</v>
      </c>
      <c r="AS593" s="722">
        <f t="shared" si="1062"/>
        <v>0</v>
      </c>
      <c r="AT593" s="722">
        <f t="shared" si="1062"/>
        <v>0</v>
      </c>
      <c r="AU593" s="722">
        <f t="shared" si="1062"/>
        <v>0</v>
      </c>
      <c r="AV593" s="722">
        <f t="shared" si="1062"/>
        <v>0</v>
      </c>
      <c r="AW593" s="722">
        <f t="shared" si="1062"/>
        <v>0</v>
      </c>
      <c r="AX593" s="722">
        <f t="shared" si="1062"/>
        <v>0</v>
      </c>
      <c r="AY593" s="722">
        <f t="shared" si="1062"/>
        <v>0</v>
      </c>
      <c r="AZ593" s="722">
        <f t="shared" si="1062"/>
        <v>0</v>
      </c>
      <c r="BA593" s="722">
        <f t="shared" si="1062"/>
        <v>0</v>
      </c>
      <c r="BB593" s="722">
        <f t="shared" si="1062"/>
        <v>0</v>
      </c>
      <c r="BC593" s="722">
        <f t="shared" si="1062"/>
        <v>0</v>
      </c>
      <c r="BD593" s="722">
        <f t="shared" si="1062"/>
        <v>0</v>
      </c>
      <c r="BE593" s="722">
        <f t="shared" si="1062"/>
        <v>0</v>
      </c>
    </row>
    <row r="594" spans="1:57" s="340" customFormat="1" hidden="1" outlineLevel="1" x14ac:dyDescent="0.2">
      <c r="A594" s="700"/>
      <c r="B594" s="700"/>
      <c r="C594" s="701"/>
      <c r="D594" s="702"/>
      <c r="E594" s="722" t="str">
        <f t="shared" ref="E594:AJ594" si="1063" xml:space="preserve"> E$154</f>
        <v>Equity bridge interest - paid</v>
      </c>
      <c r="F594" s="722">
        <f t="shared" si="1063"/>
        <v>0</v>
      </c>
      <c r="G594" s="722" t="str">
        <f t="shared" si="1063"/>
        <v>$ 000s</v>
      </c>
      <c r="H594" s="722">
        <f t="shared" si="1063"/>
        <v>6742.148787806902</v>
      </c>
      <c r="I594" s="722">
        <f t="shared" si="1063"/>
        <v>0</v>
      </c>
      <c r="J594" s="722">
        <f t="shared" si="1063"/>
        <v>0</v>
      </c>
      <c r="K594" s="722">
        <f t="shared" si="1063"/>
        <v>0</v>
      </c>
      <c r="L594" s="722">
        <f t="shared" si="1063"/>
        <v>0</v>
      </c>
      <c r="M594" s="722">
        <f t="shared" si="1063"/>
        <v>0</v>
      </c>
      <c r="N594" s="722">
        <f t="shared" si="1063"/>
        <v>51.127351986397699</v>
      </c>
      <c r="O594" s="722">
        <f t="shared" si="1063"/>
        <v>88.949175262097128</v>
      </c>
      <c r="P594" s="722">
        <f t="shared" si="1063"/>
        <v>132.80059799573283</v>
      </c>
      <c r="Q594" s="722">
        <f t="shared" si="1063"/>
        <v>173.81596543365558</v>
      </c>
      <c r="R594" s="722">
        <f t="shared" si="1063"/>
        <v>208.01237316239951</v>
      </c>
      <c r="S594" s="722">
        <f t="shared" si="1063"/>
        <v>256.16578074755137</v>
      </c>
      <c r="T594" s="722">
        <f t="shared" si="1063"/>
        <v>287.72751035620399</v>
      </c>
      <c r="U594" s="722">
        <f t="shared" si="1063"/>
        <v>297.31842736807749</v>
      </c>
      <c r="V594" s="722">
        <f t="shared" si="1063"/>
        <v>297.31842736807749</v>
      </c>
      <c r="W594" s="722">
        <f t="shared" si="1063"/>
        <v>268.54567633245711</v>
      </c>
      <c r="X594" s="722">
        <f t="shared" si="1063"/>
        <v>297.31842736807749</v>
      </c>
      <c r="Y594" s="722">
        <f t="shared" si="1063"/>
        <v>287.72751035620399</v>
      </c>
      <c r="Z594" s="722">
        <f t="shared" si="1063"/>
        <v>297.31842736807749</v>
      </c>
      <c r="AA594" s="722">
        <f t="shared" si="1063"/>
        <v>287.72751035620399</v>
      </c>
      <c r="AB594" s="722">
        <f t="shared" si="1063"/>
        <v>297.31842736807749</v>
      </c>
      <c r="AC594" s="722">
        <f t="shared" si="1063"/>
        <v>297.31842736807749</v>
      </c>
      <c r="AD594" s="722">
        <f t="shared" si="1063"/>
        <v>287.72751035620399</v>
      </c>
      <c r="AE594" s="722">
        <f t="shared" si="1063"/>
        <v>297.31842736807749</v>
      </c>
      <c r="AF594" s="722">
        <f t="shared" si="1063"/>
        <v>287.72751035620399</v>
      </c>
      <c r="AG594" s="722">
        <f t="shared" si="1063"/>
        <v>297.31842736807749</v>
      </c>
      <c r="AH594" s="722">
        <f t="shared" si="1063"/>
        <v>297.31842736807749</v>
      </c>
      <c r="AI594" s="722">
        <f t="shared" si="1063"/>
        <v>278.13659334433055</v>
      </c>
      <c r="AJ594" s="722">
        <f t="shared" si="1063"/>
        <v>297.31842736807749</v>
      </c>
      <c r="AK594" s="722">
        <f t="shared" ref="AK594:BE594" si="1064" xml:space="preserve"> AK$154</f>
        <v>287.72751035620399</v>
      </c>
      <c r="AL594" s="722">
        <f t="shared" si="1064"/>
        <v>297.31842736807749</v>
      </c>
      <c r="AM594" s="722">
        <f t="shared" si="1064"/>
        <v>287.72751035620399</v>
      </c>
      <c r="AN594" s="722">
        <f t="shared" si="1064"/>
        <v>0</v>
      </c>
      <c r="AO594" s="722">
        <f t="shared" si="1064"/>
        <v>0</v>
      </c>
      <c r="AP594" s="722">
        <f t="shared" si="1064"/>
        <v>0</v>
      </c>
      <c r="AQ594" s="722">
        <f t="shared" si="1064"/>
        <v>0</v>
      </c>
      <c r="AR594" s="722">
        <f t="shared" si="1064"/>
        <v>0</v>
      </c>
      <c r="AS594" s="722">
        <f t="shared" si="1064"/>
        <v>0</v>
      </c>
      <c r="AT594" s="722">
        <f t="shared" si="1064"/>
        <v>0</v>
      </c>
      <c r="AU594" s="722">
        <f t="shared" si="1064"/>
        <v>0</v>
      </c>
      <c r="AV594" s="722">
        <f t="shared" si="1064"/>
        <v>0</v>
      </c>
      <c r="AW594" s="722">
        <f t="shared" si="1064"/>
        <v>0</v>
      </c>
      <c r="AX594" s="722">
        <f t="shared" si="1064"/>
        <v>0</v>
      </c>
      <c r="AY594" s="722">
        <f t="shared" si="1064"/>
        <v>0</v>
      </c>
      <c r="AZ594" s="722">
        <f t="shared" si="1064"/>
        <v>0</v>
      </c>
      <c r="BA594" s="722">
        <f t="shared" si="1064"/>
        <v>0</v>
      </c>
      <c r="BB594" s="722">
        <f t="shared" si="1064"/>
        <v>0</v>
      </c>
      <c r="BC594" s="722">
        <f t="shared" si="1064"/>
        <v>0</v>
      </c>
      <c r="BD594" s="722">
        <f t="shared" si="1064"/>
        <v>0</v>
      </c>
      <c r="BE594" s="722">
        <f t="shared" si="1064"/>
        <v>0</v>
      </c>
    </row>
    <row r="595" spans="1:57" s="340" customFormat="1" hidden="1" outlineLevel="1" x14ac:dyDescent="0.2">
      <c r="A595" s="700"/>
      <c r="B595" s="700"/>
      <c r="C595" s="701"/>
      <c r="D595" s="702"/>
      <c r="E595" s="722" t="str">
        <f t="shared" ref="E595:AJ595" si="1065" xml:space="preserve"> E$271</f>
        <v>Standby equity LC fee</v>
      </c>
      <c r="F595" s="722">
        <f t="shared" si="1065"/>
        <v>0</v>
      </c>
      <c r="G595" s="722" t="str">
        <f t="shared" si="1065"/>
        <v>$ 000s</v>
      </c>
      <c r="H595" s="722">
        <f t="shared" si="1065"/>
        <v>18.33210361270044</v>
      </c>
      <c r="I595" s="722">
        <f t="shared" si="1065"/>
        <v>0</v>
      </c>
      <c r="J595" s="722">
        <f t="shared" si="1065"/>
        <v>0</v>
      </c>
      <c r="K595" s="722">
        <f t="shared" si="1065"/>
        <v>0</v>
      </c>
      <c r="L595" s="722">
        <f t="shared" si="1065"/>
        <v>0</v>
      </c>
      <c r="M595" s="722">
        <f t="shared" si="1065"/>
        <v>0</v>
      </c>
      <c r="N595" s="722">
        <f t="shared" si="1065"/>
        <v>0.70508090818078595</v>
      </c>
      <c r="O595" s="722">
        <f t="shared" si="1065"/>
        <v>0.70508090818078595</v>
      </c>
      <c r="P595" s="722">
        <f t="shared" si="1065"/>
        <v>0.70508090818078595</v>
      </c>
      <c r="Q595" s="722">
        <f t="shared" si="1065"/>
        <v>0.70508090818078595</v>
      </c>
      <c r="R595" s="722">
        <f t="shared" si="1065"/>
        <v>0.70508090818078595</v>
      </c>
      <c r="S595" s="722">
        <f t="shared" si="1065"/>
        <v>0.70508090818078595</v>
      </c>
      <c r="T595" s="722">
        <f t="shared" si="1065"/>
        <v>0.70508090818078595</v>
      </c>
      <c r="U595" s="722">
        <f t="shared" si="1065"/>
        <v>0.70508090818078595</v>
      </c>
      <c r="V595" s="722">
        <f t="shared" si="1065"/>
        <v>0.70508090818078595</v>
      </c>
      <c r="W595" s="722">
        <f t="shared" si="1065"/>
        <v>0.70508090818078595</v>
      </c>
      <c r="X595" s="722">
        <f t="shared" si="1065"/>
        <v>0.70508090818078595</v>
      </c>
      <c r="Y595" s="722">
        <f t="shared" si="1065"/>
        <v>0.70508090818078595</v>
      </c>
      <c r="Z595" s="722">
        <f t="shared" si="1065"/>
        <v>0.70508090818078595</v>
      </c>
      <c r="AA595" s="722">
        <f t="shared" si="1065"/>
        <v>0.70508090818078595</v>
      </c>
      <c r="AB595" s="722">
        <f t="shared" si="1065"/>
        <v>0.70508090818078595</v>
      </c>
      <c r="AC595" s="722">
        <f t="shared" si="1065"/>
        <v>0.70508090818078595</v>
      </c>
      <c r="AD595" s="722">
        <f t="shared" si="1065"/>
        <v>0.70508090818078595</v>
      </c>
      <c r="AE595" s="722">
        <f t="shared" si="1065"/>
        <v>0.70508090818078595</v>
      </c>
      <c r="AF595" s="722">
        <f t="shared" si="1065"/>
        <v>0.70508090818078595</v>
      </c>
      <c r="AG595" s="722">
        <f t="shared" si="1065"/>
        <v>0.70508090818078595</v>
      </c>
      <c r="AH595" s="722">
        <f t="shared" si="1065"/>
        <v>0.70508090818078595</v>
      </c>
      <c r="AI595" s="722">
        <f t="shared" si="1065"/>
        <v>0.70508090818078595</v>
      </c>
      <c r="AJ595" s="722">
        <f t="shared" si="1065"/>
        <v>0.70508090818078595</v>
      </c>
      <c r="AK595" s="722">
        <f t="shared" ref="AK595:BE595" si="1066" xml:space="preserve"> AK$271</f>
        <v>0.70508090818078595</v>
      </c>
      <c r="AL595" s="722">
        <f t="shared" si="1066"/>
        <v>0.70508090818078595</v>
      </c>
      <c r="AM595" s="722">
        <f t="shared" si="1066"/>
        <v>0.70508090818078595</v>
      </c>
      <c r="AN595" s="722">
        <f t="shared" si="1066"/>
        <v>0</v>
      </c>
      <c r="AO595" s="722">
        <f t="shared" si="1066"/>
        <v>0</v>
      </c>
      <c r="AP595" s="722">
        <f t="shared" si="1066"/>
        <v>0</v>
      </c>
      <c r="AQ595" s="722">
        <f t="shared" si="1066"/>
        <v>0</v>
      </c>
      <c r="AR595" s="722">
        <f t="shared" si="1066"/>
        <v>0</v>
      </c>
      <c r="AS595" s="722">
        <f t="shared" si="1066"/>
        <v>0</v>
      </c>
      <c r="AT595" s="722">
        <f t="shared" si="1066"/>
        <v>0</v>
      </c>
      <c r="AU595" s="722">
        <f t="shared" si="1066"/>
        <v>0</v>
      </c>
      <c r="AV595" s="722">
        <f t="shared" si="1066"/>
        <v>0</v>
      </c>
      <c r="AW595" s="722">
        <f t="shared" si="1066"/>
        <v>0</v>
      </c>
      <c r="AX595" s="722">
        <f t="shared" si="1066"/>
        <v>0</v>
      </c>
      <c r="AY595" s="722">
        <f t="shared" si="1066"/>
        <v>0</v>
      </c>
      <c r="AZ595" s="722">
        <f t="shared" si="1066"/>
        <v>0</v>
      </c>
      <c r="BA595" s="722">
        <f t="shared" si="1066"/>
        <v>0</v>
      </c>
      <c r="BB595" s="722">
        <f t="shared" si="1066"/>
        <v>0</v>
      </c>
      <c r="BC595" s="722">
        <f t="shared" si="1066"/>
        <v>0</v>
      </c>
      <c r="BD595" s="722">
        <f t="shared" si="1066"/>
        <v>0</v>
      </c>
      <c r="BE595" s="722">
        <f t="shared" si="1066"/>
        <v>0</v>
      </c>
    </row>
    <row r="596" spans="1:57" s="191" customFormat="1" hidden="1" outlineLevel="1" x14ac:dyDescent="0.2">
      <c r="A596" s="236"/>
      <c r="B596" s="236"/>
      <c r="C596" s="237"/>
      <c r="D596" s="238"/>
      <c r="E596" s="208" t="s">
        <v>300</v>
      </c>
      <c r="F596" s="208"/>
      <c r="G596" s="208" t="str">
        <f xml:space="preserve"> SMU</f>
        <v>$ 000s</v>
      </c>
      <c r="H596" s="208">
        <f xml:space="preserve"> SUM(J596:BE596)</f>
        <v>24335.550022039701</v>
      </c>
      <c r="I596" s="232"/>
      <c r="J596" s="208">
        <f t="shared" ref="J596:BE596" si="1067">SUM(J591:J595)</f>
        <v>0</v>
      </c>
      <c r="K596" s="208">
        <f t="shared" si="1067"/>
        <v>0</v>
      </c>
      <c r="L596" s="208">
        <f t="shared" si="1067"/>
        <v>0</v>
      </c>
      <c r="M596" s="208">
        <f t="shared" si="1067"/>
        <v>6643.4247686484478</v>
      </c>
      <c r="N596" s="208">
        <f t="shared" si="1067"/>
        <v>263.54674384065487</v>
      </c>
      <c r="O596" s="208">
        <f t="shared" si="1067"/>
        <v>292.47867810083522</v>
      </c>
      <c r="P596" s="208">
        <f t="shared" si="1067"/>
        <v>329.90625622323967</v>
      </c>
      <c r="Q596" s="208">
        <f t="shared" si="1067"/>
        <v>363.23124226655193</v>
      </c>
      <c r="R596" s="208">
        <f t="shared" si="1067"/>
        <v>389.21752639483088</v>
      </c>
      <c r="S596" s="208">
        <f t="shared" si="1067"/>
        <v>430.14046720909221</v>
      </c>
      <c r="T596" s="208">
        <f t="shared" si="1067"/>
        <v>454.15312383271032</v>
      </c>
      <c r="U596" s="208">
        <f t="shared" si="1067"/>
        <v>498.409572417042</v>
      </c>
      <c r="V596" s="208">
        <f t="shared" si="1067"/>
        <v>533.19571044218594</v>
      </c>
      <c r="W596" s="208">
        <f t="shared" si="1067"/>
        <v>526.91381100833473</v>
      </c>
      <c r="X596" s="208">
        <f t="shared" si="1067"/>
        <v>602.95029794199797</v>
      </c>
      <c r="Y596" s="208">
        <f t="shared" si="1067"/>
        <v>621.54898417024185</v>
      </c>
      <c r="Z596" s="208">
        <f t="shared" si="1067"/>
        <v>673.17841927713891</v>
      </c>
      <c r="AA596" s="208">
        <f t="shared" si="1067"/>
        <v>689.19478520267194</v>
      </c>
      <c r="AB596" s="208">
        <f t="shared" si="1067"/>
        <v>743.80369410489459</v>
      </c>
      <c r="AC596" s="208">
        <f t="shared" si="1067"/>
        <v>779.29670352979963</v>
      </c>
      <c r="AD596" s="208">
        <f t="shared" si="1067"/>
        <v>791.41105136480053</v>
      </c>
      <c r="AE596" s="208">
        <f t="shared" si="1067"/>
        <v>850.52209760354037</v>
      </c>
      <c r="AF596" s="208">
        <f t="shared" si="1067"/>
        <v>860.01745495883733</v>
      </c>
      <c r="AG596" s="208">
        <f t="shared" si="1067"/>
        <v>922.15028493849138</v>
      </c>
      <c r="AH596" s="208">
        <f t="shared" si="1067"/>
        <v>958.15703162591888</v>
      </c>
      <c r="AI596" s="208">
        <f t="shared" si="1067"/>
        <v>927.84268043781913</v>
      </c>
      <c r="AJ596" s="208">
        <f t="shared" si="1067"/>
        <v>1018.8260305877428</v>
      </c>
      <c r="AK596" s="208">
        <f t="shared" si="1067"/>
        <v>1016.6271082976008</v>
      </c>
      <c r="AL596" s="208">
        <f t="shared" si="1067"/>
        <v>1079.9255384467679</v>
      </c>
      <c r="AM596" s="208">
        <f t="shared" si="1067"/>
        <v>1075.4799591675096</v>
      </c>
      <c r="AN596" s="208">
        <f t="shared" si="1067"/>
        <v>0</v>
      </c>
      <c r="AO596" s="208">
        <f t="shared" si="1067"/>
        <v>0</v>
      </c>
      <c r="AP596" s="208">
        <f t="shared" si="1067"/>
        <v>0</v>
      </c>
      <c r="AQ596" s="208">
        <f t="shared" si="1067"/>
        <v>0</v>
      </c>
      <c r="AR596" s="208">
        <f t="shared" si="1067"/>
        <v>0</v>
      </c>
      <c r="AS596" s="208">
        <f t="shared" si="1067"/>
        <v>0</v>
      </c>
      <c r="AT596" s="208">
        <f t="shared" si="1067"/>
        <v>0</v>
      </c>
      <c r="AU596" s="208">
        <f t="shared" si="1067"/>
        <v>0</v>
      </c>
      <c r="AV596" s="208">
        <f t="shared" si="1067"/>
        <v>0</v>
      </c>
      <c r="AW596" s="208">
        <f t="shared" si="1067"/>
        <v>0</v>
      </c>
      <c r="AX596" s="208">
        <f t="shared" si="1067"/>
        <v>0</v>
      </c>
      <c r="AY596" s="208">
        <f t="shared" si="1067"/>
        <v>0</v>
      </c>
      <c r="AZ596" s="208">
        <f t="shared" si="1067"/>
        <v>0</v>
      </c>
      <c r="BA596" s="208">
        <f t="shared" si="1067"/>
        <v>0</v>
      </c>
      <c r="BB596" s="208">
        <f t="shared" si="1067"/>
        <v>0</v>
      </c>
      <c r="BC596" s="208">
        <f t="shared" si="1067"/>
        <v>0</v>
      </c>
      <c r="BD596" s="208">
        <f t="shared" si="1067"/>
        <v>0</v>
      </c>
      <c r="BE596" s="208">
        <f t="shared" si="1067"/>
        <v>0</v>
      </c>
    </row>
    <row r="597" spans="1:57" s="191" customFormat="1" hidden="1" outlineLevel="1" x14ac:dyDescent="0.2">
      <c r="A597" s="236"/>
      <c r="B597" s="236"/>
      <c r="C597" s="237"/>
      <c r="D597" s="238"/>
      <c r="E597" s="234" t="str">
        <f xml:space="preserve"> "Sum of " &amp; LOWER(E596)</f>
        <v>Sum of financing fees - m</v>
      </c>
      <c r="F597" s="234">
        <f xml:space="preserve"> SUM(J596:BE596)</f>
        <v>24335.550022039701</v>
      </c>
      <c r="G597" s="234" t="str">
        <f xml:space="preserve"> SMU</f>
        <v>$ 000s</v>
      </c>
      <c r="H597" s="827"/>
      <c r="I597" s="235"/>
      <c r="J597" s="234"/>
      <c r="K597" s="234"/>
      <c r="L597" s="234"/>
      <c r="M597" s="234"/>
      <c r="N597" s="234"/>
      <c r="O597" s="234"/>
      <c r="P597" s="234"/>
      <c r="Q597" s="234"/>
      <c r="R597" s="234"/>
      <c r="S597" s="234"/>
      <c r="T597" s="234"/>
      <c r="U597" s="234"/>
      <c r="V597" s="234"/>
      <c r="W597" s="234"/>
      <c r="X597" s="234"/>
      <c r="Y597" s="234"/>
      <c r="Z597" s="234"/>
      <c r="AA597" s="234"/>
      <c r="AB597" s="234"/>
      <c r="AC597" s="234"/>
      <c r="AD597" s="234"/>
      <c r="AE597" s="234"/>
      <c r="AF597" s="234"/>
      <c r="AG597" s="234"/>
      <c r="AH597" s="234"/>
      <c r="AI597" s="234"/>
      <c r="AJ597" s="234"/>
      <c r="AK597" s="234"/>
      <c r="AL597" s="234"/>
      <c r="AM597" s="234"/>
      <c r="AN597" s="234"/>
      <c r="AO597" s="234"/>
      <c r="AP597" s="234"/>
      <c r="AQ597" s="234"/>
      <c r="AR597" s="234"/>
      <c r="AS597" s="234"/>
      <c r="AT597" s="234"/>
      <c r="AU597" s="234"/>
      <c r="AV597" s="234"/>
      <c r="AW597" s="234"/>
      <c r="AX597" s="234"/>
      <c r="AY597" s="234"/>
      <c r="AZ597" s="234"/>
      <c r="BA597" s="234"/>
      <c r="BB597" s="234"/>
      <c r="BC597" s="234"/>
      <c r="BD597" s="234"/>
      <c r="BE597" s="234"/>
    </row>
    <row r="598" spans="1:57" hidden="1" outlineLevel="1" x14ac:dyDescent="0.2"/>
    <row r="599" spans="1:57" hidden="1" outlineLevel="1" x14ac:dyDescent="0.2">
      <c r="E599" s="12" t="str">
        <f t="shared" ref="E599:AJ599" si="1068" xml:space="preserve"> E$596</f>
        <v>Financing fees - m</v>
      </c>
      <c r="F599" s="12">
        <f t="shared" si="1068"/>
        <v>0</v>
      </c>
      <c r="G599" s="12" t="str">
        <f t="shared" si="1068"/>
        <v>$ 000s</v>
      </c>
      <c r="H599" s="12">
        <f t="shared" si="1068"/>
        <v>24335.550022039701</v>
      </c>
      <c r="I599" s="12">
        <f t="shared" si="1068"/>
        <v>0</v>
      </c>
      <c r="J599" s="12">
        <f t="shared" si="1068"/>
        <v>0</v>
      </c>
      <c r="K599" s="12">
        <f t="shared" si="1068"/>
        <v>0</v>
      </c>
      <c r="L599" s="12">
        <f t="shared" si="1068"/>
        <v>0</v>
      </c>
      <c r="M599" s="12">
        <f t="shared" si="1068"/>
        <v>6643.4247686484478</v>
      </c>
      <c r="N599" s="12">
        <f t="shared" si="1068"/>
        <v>263.54674384065487</v>
      </c>
      <c r="O599" s="12">
        <f t="shared" si="1068"/>
        <v>292.47867810083522</v>
      </c>
      <c r="P599" s="12">
        <f t="shared" si="1068"/>
        <v>329.90625622323967</v>
      </c>
      <c r="Q599" s="12">
        <f t="shared" si="1068"/>
        <v>363.23124226655193</v>
      </c>
      <c r="R599" s="12">
        <f t="shared" si="1068"/>
        <v>389.21752639483088</v>
      </c>
      <c r="S599" s="12">
        <f t="shared" si="1068"/>
        <v>430.14046720909221</v>
      </c>
      <c r="T599" s="12">
        <f t="shared" si="1068"/>
        <v>454.15312383271032</v>
      </c>
      <c r="U599" s="12">
        <f t="shared" si="1068"/>
        <v>498.409572417042</v>
      </c>
      <c r="V599" s="12">
        <f t="shared" si="1068"/>
        <v>533.19571044218594</v>
      </c>
      <c r="W599" s="12">
        <f t="shared" si="1068"/>
        <v>526.91381100833473</v>
      </c>
      <c r="X599" s="12">
        <f t="shared" si="1068"/>
        <v>602.95029794199797</v>
      </c>
      <c r="Y599" s="12">
        <f t="shared" si="1068"/>
        <v>621.54898417024185</v>
      </c>
      <c r="Z599" s="12">
        <f t="shared" si="1068"/>
        <v>673.17841927713891</v>
      </c>
      <c r="AA599" s="12">
        <f t="shared" si="1068"/>
        <v>689.19478520267194</v>
      </c>
      <c r="AB599" s="12">
        <f t="shared" si="1068"/>
        <v>743.80369410489459</v>
      </c>
      <c r="AC599" s="12">
        <f t="shared" si="1068"/>
        <v>779.29670352979963</v>
      </c>
      <c r="AD599" s="12">
        <f t="shared" si="1068"/>
        <v>791.41105136480053</v>
      </c>
      <c r="AE599" s="12">
        <f t="shared" si="1068"/>
        <v>850.52209760354037</v>
      </c>
      <c r="AF599" s="12">
        <f t="shared" si="1068"/>
        <v>860.01745495883733</v>
      </c>
      <c r="AG599" s="12">
        <f t="shared" si="1068"/>
        <v>922.15028493849138</v>
      </c>
      <c r="AH599" s="12">
        <f t="shared" si="1068"/>
        <v>958.15703162591888</v>
      </c>
      <c r="AI599" s="12">
        <f t="shared" si="1068"/>
        <v>927.84268043781913</v>
      </c>
      <c r="AJ599" s="12">
        <f t="shared" si="1068"/>
        <v>1018.8260305877428</v>
      </c>
      <c r="AK599" s="12">
        <f t="shared" ref="AK599:BE599" si="1069" xml:space="preserve"> AK$596</f>
        <v>1016.6271082976008</v>
      </c>
      <c r="AL599" s="12">
        <f t="shared" si="1069"/>
        <v>1079.9255384467679</v>
      </c>
      <c r="AM599" s="12">
        <f t="shared" si="1069"/>
        <v>1075.4799591675096</v>
      </c>
      <c r="AN599" s="12">
        <f t="shared" si="1069"/>
        <v>0</v>
      </c>
      <c r="AO599" s="12">
        <f t="shared" si="1069"/>
        <v>0</v>
      </c>
      <c r="AP599" s="12">
        <f t="shared" si="1069"/>
        <v>0</v>
      </c>
      <c r="AQ599" s="12">
        <f t="shared" si="1069"/>
        <v>0</v>
      </c>
      <c r="AR599" s="12">
        <f t="shared" si="1069"/>
        <v>0</v>
      </c>
      <c r="AS599" s="12">
        <f t="shared" si="1069"/>
        <v>0</v>
      </c>
      <c r="AT599" s="12">
        <f t="shared" si="1069"/>
        <v>0</v>
      </c>
      <c r="AU599" s="12">
        <f t="shared" si="1069"/>
        <v>0</v>
      </c>
      <c r="AV599" s="12">
        <f t="shared" si="1069"/>
        <v>0</v>
      </c>
      <c r="AW599" s="12">
        <f t="shared" si="1069"/>
        <v>0</v>
      </c>
      <c r="AX599" s="12">
        <f t="shared" si="1069"/>
        <v>0</v>
      </c>
      <c r="AY599" s="12">
        <f t="shared" si="1069"/>
        <v>0</v>
      </c>
      <c r="AZ599" s="12">
        <f t="shared" si="1069"/>
        <v>0</v>
      </c>
      <c r="BA599" s="12">
        <f t="shared" si="1069"/>
        <v>0</v>
      </c>
      <c r="BB599" s="12">
        <f t="shared" si="1069"/>
        <v>0</v>
      </c>
      <c r="BC599" s="12">
        <f t="shared" si="1069"/>
        <v>0</v>
      </c>
      <c r="BD599" s="12">
        <f t="shared" si="1069"/>
        <v>0</v>
      </c>
      <c r="BE599" s="12">
        <f t="shared" si="1069"/>
        <v>0</v>
      </c>
    </row>
    <row r="600" spans="1:57" hidden="1" outlineLevel="1" x14ac:dyDescent="0.2">
      <c r="E600" s="198" t="str">
        <f t="shared" ref="E600:AJ600" si="1070" xml:space="preserve"> E$208</f>
        <v>Equity bridge interest and fees rolled up - m</v>
      </c>
      <c r="F600" s="198">
        <f t="shared" si="1070"/>
        <v>0</v>
      </c>
      <c r="G600" s="198" t="str">
        <f t="shared" si="1070"/>
        <v>$ 000s</v>
      </c>
      <c r="H600" s="198">
        <f t="shared" si="1070"/>
        <v>0</v>
      </c>
      <c r="I600" s="198">
        <f t="shared" si="1070"/>
        <v>0</v>
      </c>
      <c r="J600" s="198">
        <f t="shared" si="1070"/>
        <v>0</v>
      </c>
      <c r="K600" s="198">
        <f t="shared" si="1070"/>
        <v>0</v>
      </c>
      <c r="L600" s="198">
        <f t="shared" si="1070"/>
        <v>0</v>
      </c>
      <c r="M600" s="198">
        <f t="shared" si="1070"/>
        <v>0</v>
      </c>
      <c r="N600" s="198">
        <f t="shared" si="1070"/>
        <v>0</v>
      </c>
      <c r="O600" s="198">
        <f t="shared" si="1070"/>
        <v>0</v>
      </c>
      <c r="P600" s="198">
        <f t="shared" si="1070"/>
        <v>0</v>
      </c>
      <c r="Q600" s="198">
        <f t="shared" si="1070"/>
        <v>0</v>
      </c>
      <c r="R600" s="198">
        <f t="shared" si="1070"/>
        <v>0</v>
      </c>
      <c r="S600" s="198">
        <f t="shared" si="1070"/>
        <v>0</v>
      </c>
      <c r="T600" s="198">
        <f t="shared" si="1070"/>
        <v>0</v>
      </c>
      <c r="U600" s="198">
        <f t="shared" si="1070"/>
        <v>0</v>
      </c>
      <c r="V600" s="198">
        <f t="shared" si="1070"/>
        <v>0</v>
      </c>
      <c r="W600" s="198">
        <f t="shared" si="1070"/>
        <v>0</v>
      </c>
      <c r="X600" s="198">
        <f t="shared" si="1070"/>
        <v>0</v>
      </c>
      <c r="Y600" s="198">
        <f t="shared" si="1070"/>
        <v>0</v>
      </c>
      <c r="Z600" s="198">
        <f t="shared" si="1070"/>
        <v>0</v>
      </c>
      <c r="AA600" s="198">
        <f t="shared" si="1070"/>
        <v>0</v>
      </c>
      <c r="AB600" s="198">
        <f t="shared" si="1070"/>
        <v>0</v>
      </c>
      <c r="AC600" s="198">
        <f t="shared" si="1070"/>
        <v>0</v>
      </c>
      <c r="AD600" s="198">
        <f t="shared" si="1070"/>
        <v>0</v>
      </c>
      <c r="AE600" s="198">
        <f t="shared" si="1070"/>
        <v>0</v>
      </c>
      <c r="AF600" s="198">
        <f t="shared" si="1070"/>
        <v>0</v>
      </c>
      <c r="AG600" s="198">
        <f t="shared" si="1070"/>
        <v>0</v>
      </c>
      <c r="AH600" s="198">
        <f t="shared" si="1070"/>
        <v>0</v>
      </c>
      <c r="AI600" s="198">
        <f t="shared" si="1070"/>
        <v>0</v>
      </c>
      <c r="AJ600" s="198">
        <f t="shared" si="1070"/>
        <v>0</v>
      </c>
      <c r="AK600" s="198">
        <f t="shared" ref="AK600:BE600" si="1071" xml:space="preserve"> AK$208</f>
        <v>0</v>
      </c>
      <c r="AL600" s="198">
        <f t="shared" si="1071"/>
        <v>0</v>
      </c>
      <c r="AM600" s="198">
        <f t="shared" si="1071"/>
        <v>0</v>
      </c>
      <c r="AN600" s="198">
        <f t="shared" si="1071"/>
        <v>0</v>
      </c>
      <c r="AO600" s="198">
        <f t="shared" si="1071"/>
        <v>0</v>
      </c>
      <c r="AP600" s="198">
        <f t="shared" si="1071"/>
        <v>0</v>
      </c>
      <c r="AQ600" s="198">
        <f t="shared" si="1071"/>
        <v>0</v>
      </c>
      <c r="AR600" s="198">
        <f t="shared" si="1071"/>
        <v>0</v>
      </c>
      <c r="AS600" s="198">
        <f t="shared" si="1071"/>
        <v>0</v>
      </c>
      <c r="AT600" s="198">
        <f t="shared" si="1071"/>
        <v>0</v>
      </c>
      <c r="AU600" s="198">
        <f t="shared" si="1071"/>
        <v>0</v>
      </c>
      <c r="AV600" s="198">
        <f t="shared" si="1071"/>
        <v>0</v>
      </c>
      <c r="AW600" s="198">
        <f t="shared" si="1071"/>
        <v>0</v>
      </c>
      <c r="AX600" s="198">
        <f t="shared" si="1071"/>
        <v>0</v>
      </c>
      <c r="AY600" s="198">
        <f t="shared" si="1071"/>
        <v>0</v>
      </c>
      <c r="AZ600" s="198">
        <f t="shared" si="1071"/>
        <v>0</v>
      </c>
      <c r="BA600" s="198">
        <f t="shared" si="1071"/>
        <v>0</v>
      </c>
      <c r="BB600" s="198">
        <f t="shared" si="1071"/>
        <v>0</v>
      </c>
      <c r="BC600" s="198">
        <f t="shared" si="1071"/>
        <v>0</v>
      </c>
      <c r="BD600" s="198">
        <f t="shared" si="1071"/>
        <v>0</v>
      </c>
      <c r="BE600" s="198">
        <f t="shared" si="1071"/>
        <v>0</v>
      </c>
    </row>
    <row r="601" spans="1:57" hidden="1" outlineLevel="1" x14ac:dyDescent="0.2">
      <c r="E601" s="1074" t="s">
        <v>833</v>
      </c>
      <c r="F601" s="1074"/>
      <c r="G601" s="1074" t="str">
        <f xml:space="preserve"> SMU</f>
        <v>$ 000s</v>
      </c>
      <c r="H601" s="1074">
        <f xml:space="preserve"> SUM(J601:BE601)</f>
        <v>24335.550022039701</v>
      </c>
      <c r="I601" s="1074"/>
      <c r="J601" s="1074">
        <f t="shared" ref="J601:BE601" si="1072">SUM(J599:J600)</f>
        <v>0</v>
      </c>
      <c r="K601" s="1074">
        <f t="shared" si="1072"/>
        <v>0</v>
      </c>
      <c r="L601" s="1074">
        <f t="shared" si="1072"/>
        <v>0</v>
      </c>
      <c r="M601" s="1074">
        <f t="shared" si="1072"/>
        <v>6643.4247686484478</v>
      </c>
      <c r="N601" s="1074">
        <f t="shared" si="1072"/>
        <v>263.54674384065487</v>
      </c>
      <c r="O601" s="1074">
        <f t="shared" si="1072"/>
        <v>292.47867810083522</v>
      </c>
      <c r="P601" s="1074">
        <f t="shared" si="1072"/>
        <v>329.90625622323967</v>
      </c>
      <c r="Q601" s="1074">
        <f t="shared" si="1072"/>
        <v>363.23124226655193</v>
      </c>
      <c r="R601" s="1074">
        <f t="shared" si="1072"/>
        <v>389.21752639483088</v>
      </c>
      <c r="S601" s="1074">
        <f t="shared" si="1072"/>
        <v>430.14046720909221</v>
      </c>
      <c r="T601" s="1074">
        <f t="shared" si="1072"/>
        <v>454.15312383271032</v>
      </c>
      <c r="U601" s="1074">
        <f t="shared" si="1072"/>
        <v>498.409572417042</v>
      </c>
      <c r="V601" s="1074">
        <f t="shared" si="1072"/>
        <v>533.19571044218594</v>
      </c>
      <c r="W601" s="1074">
        <f t="shared" si="1072"/>
        <v>526.91381100833473</v>
      </c>
      <c r="X601" s="1074">
        <f t="shared" si="1072"/>
        <v>602.95029794199797</v>
      </c>
      <c r="Y601" s="1074">
        <f t="shared" si="1072"/>
        <v>621.54898417024185</v>
      </c>
      <c r="Z601" s="1074">
        <f t="shared" si="1072"/>
        <v>673.17841927713891</v>
      </c>
      <c r="AA601" s="1074">
        <f t="shared" si="1072"/>
        <v>689.19478520267194</v>
      </c>
      <c r="AB601" s="1074">
        <f t="shared" si="1072"/>
        <v>743.80369410489459</v>
      </c>
      <c r="AC601" s="1074">
        <f t="shared" si="1072"/>
        <v>779.29670352979963</v>
      </c>
      <c r="AD601" s="1074">
        <f t="shared" si="1072"/>
        <v>791.41105136480053</v>
      </c>
      <c r="AE601" s="1074">
        <f t="shared" si="1072"/>
        <v>850.52209760354037</v>
      </c>
      <c r="AF601" s="1074">
        <f t="shared" si="1072"/>
        <v>860.01745495883733</v>
      </c>
      <c r="AG601" s="1074">
        <f t="shared" si="1072"/>
        <v>922.15028493849138</v>
      </c>
      <c r="AH601" s="1074">
        <f t="shared" si="1072"/>
        <v>958.15703162591888</v>
      </c>
      <c r="AI601" s="1074">
        <f t="shared" si="1072"/>
        <v>927.84268043781913</v>
      </c>
      <c r="AJ601" s="1074">
        <f t="shared" si="1072"/>
        <v>1018.8260305877428</v>
      </c>
      <c r="AK601" s="1074">
        <f t="shared" si="1072"/>
        <v>1016.6271082976008</v>
      </c>
      <c r="AL601" s="1074">
        <f t="shared" si="1072"/>
        <v>1079.9255384467679</v>
      </c>
      <c r="AM601" s="1074">
        <f t="shared" si="1072"/>
        <v>1075.4799591675096</v>
      </c>
      <c r="AN601" s="1074">
        <f t="shared" si="1072"/>
        <v>0</v>
      </c>
      <c r="AO601" s="1074">
        <f t="shared" si="1072"/>
        <v>0</v>
      </c>
      <c r="AP601" s="1074">
        <f t="shared" si="1072"/>
        <v>0</v>
      </c>
      <c r="AQ601" s="1074">
        <f t="shared" si="1072"/>
        <v>0</v>
      </c>
      <c r="AR601" s="1074">
        <f t="shared" si="1072"/>
        <v>0</v>
      </c>
      <c r="AS601" s="1074">
        <f t="shared" si="1072"/>
        <v>0</v>
      </c>
      <c r="AT601" s="1074">
        <f t="shared" si="1072"/>
        <v>0</v>
      </c>
      <c r="AU601" s="1074">
        <f t="shared" si="1072"/>
        <v>0</v>
      </c>
      <c r="AV601" s="1074">
        <f t="shared" si="1072"/>
        <v>0</v>
      </c>
      <c r="AW601" s="1074">
        <f t="shared" si="1072"/>
        <v>0</v>
      </c>
      <c r="AX601" s="1074">
        <f t="shared" si="1072"/>
        <v>0</v>
      </c>
      <c r="AY601" s="1074">
        <f t="shared" si="1072"/>
        <v>0</v>
      </c>
      <c r="AZ601" s="1074">
        <f t="shared" si="1072"/>
        <v>0</v>
      </c>
      <c r="BA601" s="1074">
        <f t="shared" si="1072"/>
        <v>0</v>
      </c>
      <c r="BB601" s="1074">
        <f t="shared" si="1072"/>
        <v>0</v>
      </c>
      <c r="BC601" s="1074">
        <f t="shared" si="1072"/>
        <v>0</v>
      </c>
      <c r="BD601" s="1074">
        <f t="shared" si="1072"/>
        <v>0</v>
      </c>
      <c r="BE601" s="1074">
        <f t="shared" si="1072"/>
        <v>0</v>
      </c>
    </row>
    <row r="602" spans="1:57" s="601" customFormat="1" hidden="1" outlineLevel="1" x14ac:dyDescent="0.2">
      <c r="A602" s="141"/>
      <c r="B602" s="141"/>
      <c r="C602" s="142"/>
      <c r="D602" s="143"/>
      <c r="E602" s="560" t="s">
        <v>561</v>
      </c>
      <c r="F602" s="560">
        <f xml:space="preserve"> SUM(J601:BE601)</f>
        <v>24335.550022039701</v>
      </c>
      <c r="G602" s="560" t="s">
        <v>105</v>
      </c>
      <c r="H602" s="560"/>
      <c r="I602" s="401"/>
      <c r="J602" s="560"/>
      <c r="K602" s="560"/>
      <c r="L602" s="560"/>
      <c r="M602" s="560"/>
      <c r="N602" s="560"/>
      <c r="O602" s="560"/>
      <c r="P602" s="560"/>
      <c r="Q602" s="560"/>
      <c r="R602" s="560"/>
      <c r="S602" s="560"/>
      <c r="T602" s="560"/>
      <c r="U602" s="560"/>
      <c r="V602" s="560"/>
      <c r="W602" s="560"/>
      <c r="X602" s="560"/>
      <c r="Y602" s="560"/>
      <c r="Z602" s="560"/>
      <c r="AA602" s="560"/>
      <c r="AB602" s="560"/>
      <c r="AC602" s="560"/>
      <c r="AD602" s="560"/>
      <c r="AE602" s="560"/>
      <c r="AF602" s="560"/>
      <c r="AG602" s="560"/>
      <c r="AH602" s="560"/>
      <c r="AI602" s="560"/>
      <c r="AJ602" s="560"/>
      <c r="AK602" s="560"/>
      <c r="AL602" s="560"/>
      <c r="AM602" s="560"/>
      <c r="AN602" s="560"/>
      <c r="AO602" s="560"/>
      <c r="AP602" s="560"/>
      <c r="AQ602" s="560"/>
      <c r="AR602" s="560"/>
      <c r="AS602" s="560"/>
      <c r="AT602" s="560"/>
      <c r="AU602" s="560"/>
      <c r="AV602" s="560"/>
      <c r="AW602" s="560"/>
      <c r="AX602" s="560"/>
      <c r="AY602" s="560"/>
      <c r="AZ602" s="560"/>
      <c r="BA602" s="560"/>
      <c r="BB602" s="560"/>
      <c r="BC602" s="560"/>
      <c r="BD602" s="560"/>
      <c r="BE602" s="560"/>
    </row>
    <row r="603" spans="1:57" hidden="1" outlineLevel="1" x14ac:dyDescent="0.2"/>
    <row r="604" spans="1:57" x14ac:dyDescent="0.2"/>
    <row r="605" spans="1:57" collapsed="1" x14ac:dyDescent="0.2">
      <c r="A605" s="15" t="s">
        <v>297</v>
      </c>
    </row>
    <row r="606" spans="1:57" hidden="1" outlineLevel="1" x14ac:dyDescent="0.2"/>
    <row r="607" spans="1:57" hidden="1" outlineLevel="1" x14ac:dyDescent="0.2">
      <c r="E607" s="538" t="str">
        <f xml:space="preserve"> Time!E$10</f>
        <v>Model column counter</v>
      </c>
      <c r="F607" s="538">
        <f xml:space="preserve"> Time!F$10</f>
        <v>0</v>
      </c>
      <c r="G607" s="538" t="str">
        <f xml:space="preserve"> Time!G$10</f>
        <v>counter</v>
      </c>
      <c r="H607" s="538">
        <f xml:space="preserve"> Time!H$10</f>
        <v>0</v>
      </c>
      <c r="I607" s="538">
        <f xml:space="preserve"> Time!I$10</f>
        <v>0</v>
      </c>
      <c r="J607" s="538">
        <f xml:space="preserve"> Time!J$10</f>
        <v>1</v>
      </c>
      <c r="K607" s="538">
        <f xml:space="preserve"> Time!K$10</f>
        <v>2</v>
      </c>
      <c r="L607" s="538">
        <f xml:space="preserve"> Time!L$10</f>
        <v>3</v>
      </c>
      <c r="M607" s="538">
        <f xml:space="preserve"> Time!M$10</f>
        <v>4</v>
      </c>
      <c r="N607" s="538">
        <f xml:space="preserve"> Time!N$10</f>
        <v>5</v>
      </c>
      <c r="O607" s="538">
        <f xml:space="preserve"> Time!O$10</f>
        <v>6</v>
      </c>
      <c r="P607" s="538">
        <f xml:space="preserve"> Time!P$10</f>
        <v>7</v>
      </c>
      <c r="Q607" s="538">
        <f xml:space="preserve"> Time!Q$10</f>
        <v>8</v>
      </c>
      <c r="R607" s="538">
        <f xml:space="preserve"> Time!R$10</f>
        <v>9</v>
      </c>
      <c r="S607" s="538">
        <f xml:space="preserve"> Time!S$10</f>
        <v>10</v>
      </c>
      <c r="T607" s="538">
        <f xml:space="preserve"> Time!T$10</f>
        <v>11</v>
      </c>
      <c r="U607" s="538">
        <f xml:space="preserve"> Time!U$10</f>
        <v>12</v>
      </c>
      <c r="V607" s="538">
        <f xml:space="preserve"> Time!V$10</f>
        <v>13</v>
      </c>
      <c r="W607" s="538">
        <f xml:space="preserve"> Time!W$10</f>
        <v>14</v>
      </c>
      <c r="X607" s="538">
        <f xml:space="preserve"> Time!X$10</f>
        <v>15</v>
      </c>
      <c r="Y607" s="538">
        <f xml:space="preserve"> Time!Y$10</f>
        <v>16</v>
      </c>
      <c r="Z607" s="538">
        <f xml:space="preserve"> Time!Z$10</f>
        <v>17</v>
      </c>
      <c r="AA607" s="538">
        <f xml:space="preserve"> Time!AA$10</f>
        <v>18</v>
      </c>
      <c r="AB607" s="538">
        <f xml:space="preserve"> Time!AB$10</f>
        <v>19</v>
      </c>
      <c r="AC607" s="538">
        <f xml:space="preserve"> Time!AC$10</f>
        <v>20</v>
      </c>
      <c r="AD607" s="538">
        <f xml:space="preserve"> Time!AD$10</f>
        <v>21</v>
      </c>
      <c r="AE607" s="538">
        <f xml:space="preserve"> Time!AE$10</f>
        <v>22</v>
      </c>
      <c r="AF607" s="538">
        <f xml:space="preserve"> Time!AF$10</f>
        <v>23</v>
      </c>
      <c r="AG607" s="538">
        <f xml:space="preserve"> Time!AG$10</f>
        <v>24</v>
      </c>
      <c r="AH607" s="538">
        <f xml:space="preserve"> Time!AH$10</f>
        <v>25</v>
      </c>
      <c r="AI607" s="538">
        <f xml:space="preserve"> Time!AI$10</f>
        <v>26</v>
      </c>
      <c r="AJ607" s="538">
        <f xml:space="preserve"> Time!AJ$10</f>
        <v>27</v>
      </c>
      <c r="AK607" s="538">
        <f xml:space="preserve"> Time!AK$10</f>
        <v>28</v>
      </c>
      <c r="AL607" s="538">
        <f xml:space="preserve"> Time!AL$10</f>
        <v>29</v>
      </c>
      <c r="AM607" s="538">
        <f xml:space="preserve"> Time!AM$10</f>
        <v>30</v>
      </c>
      <c r="AN607" s="538">
        <f xml:space="preserve"> Time!AN$10</f>
        <v>31</v>
      </c>
      <c r="AO607" s="538">
        <f xml:space="preserve"> Time!AO$10</f>
        <v>32</v>
      </c>
      <c r="AP607" s="538">
        <f xml:space="preserve"> Time!AP$10</f>
        <v>33</v>
      </c>
      <c r="AQ607" s="538">
        <f xml:space="preserve"> Time!AQ$10</f>
        <v>34</v>
      </c>
      <c r="AR607" s="538">
        <f xml:space="preserve"> Time!AR$10</f>
        <v>35</v>
      </c>
      <c r="AS607" s="538">
        <f xml:space="preserve"> Time!AS$10</f>
        <v>36</v>
      </c>
      <c r="AT607" s="538">
        <f xml:space="preserve"> Time!AT$10</f>
        <v>37</v>
      </c>
      <c r="AU607" s="538">
        <f xml:space="preserve"> Time!AU$10</f>
        <v>38</v>
      </c>
      <c r="AV607" s="538">
        <f xml:space="preserve"> Time!AV$10</f>
        <v>39</v>
      </c>
      <c r="AW607" s="538">
        <f xml:space="preserve"> Time!AW$10</f>
        <v>40</v>
      </c>
      <c r="AX607" s="538">
        <f xml:space="preserve"> Time!AX$10</f>
        <v>41</v>
      </c>
      <c r="AY607" s="538">
        <f xml:space="preserve"> Time!AY$10</f>
        <v>42</v>
      </c>
      <c r="AZ607" s="538">
        <f xml:space="preserve"> Time!AZ$10</f>
        <v>43</v>
      </c>
      <c r="BA607" s="538">
        <f xml:space="preserve"> Time!BA$10</f>
        <v>44</v>
      </c>
      <c r="BB607" s="538">
        <f xml:space="preserve"> Time!BB$10</f>
        <v>45</v>
      </c>
      <c r="BC607" s="538">
        <f xml:space="preserve"> Time!BC$10</f>
        <v>46</v>
      </c>
      <c r="BD607" s="538">
        <f xml:space="preserve"> Time!BD$10</f>
        <v>47</v>
      </c>
      <c r="BE607" s="538">
        <f xml:space="preserve"> Time!BE$10</f>
        <v>48</v>
      </c>
    </row>
    <row r="608" spans="1:57" hidden="1" outlineLevel="1" x14ac:dyDescent="0.2">
      <c r="E608" s="186" t="str">
        <f xml:space="preserve"> ConTime!E$56</f>
        <v>Model ops period counter - m</v>
      </c>
      <c r="F608" s="186">
        <f xml:space="preserve"> ConTime!F$56</f>
        <v>0</v>
      </c>
      <c r="G608" s="186" t="str">
        <f xml:space="preserve"> ConTime!G$56</f>
        <v>counter</v>
      </c>
      <c r="H608" s="186">
        <f xml:space="preserve"> ConTime!H$56</f>
        <v>0</v>
      </c>
      <c r="I608" s="186">
        <f xml:space="preserve"> ConTime!I$56</f>
        <v>0</v>
      </c>
      <c r="J608" s="186">
        <f xml:space="preserve"> ConTime!J$56</f>
        <v>1</v>
      </c>
      <c r="K608" s="186">
        <f xml:space="preserve"> ConTime!K$56</f>
        <v>1</v>
      </c>
      <c r="L608" s="186">
        <f xml:space="preserve"> ConTime!L$56</f>
        <v>1</v>
      </c>
      <c r="M608" s="186">
        <f xml:space="preserve"> ConTime!M$56</f>
        <v>1</v>
      </c>
      <c r="N608" s="186">
        <f xml:space="preserve"> ConTime!N$56</f>
        <v>1</v>
      </c>
      <c r="O608" s="186">
        <f xml:space="preserve"> ConTime!O$56</f>
        <v>1</v>
      </c>
      <c r="P608" s="186">
        <f xml:space="preserve"> ConTime!P$56</f>
        <v>2</v>
      </c>
      <c r="Q608" s="186">
        <f xml:space="preserve"> ConTime!Q$56</f>
        <v>2</v>
      </c>
      <c r="R608" s="186">
        <f xml:space="preserve"> ConTime!R$56</f>
        <v>2</v>
      </c>
      <c r="S608" s="186">
        <f xml:space="preserve"> ConTime!S$56</f>
        <v>2</v>
      </c>
      <c r="T608" s="186">
        <f xml:space="preserve"> ConTime!T$56</f>
        <v>2</v>
      </c>
      <c r="U608" s="186">
        <f xml:space="preserve"> ConTime!U$56</f>
        <v>2</v>
      </c>
      <c r="V608" s="186">
        <f xml:space="preserve"> ConTime!V$56</f>
        <v>3</v>
      </c>
      <c r="W608" s="186">
        <f xml:space="preserve"> ConTime!W$56</f>
        <v>3</v>
      </c>
      <c r="X608" s="186">
        <f xml:space="preserve"> ConTime!X$56</f>
        <v>3</v>
      </c>
      <c r="Y608" s="186">
        <f xml:space="preserve"> ConTime!Y$56</f>
        <v>3</v>
      </c>
      <c r="Z608" s="186">
        <f xml:space="preserve"> ConTime!Z$56</f>
        <v>3</v>
      </c>
      <c r="AA608" s="186">
        <f xml:space="preserve"> ConTime!AA$56</f>
        <v>3</v>
      </c>
      <c r="AB608" s="186">
        <f xml:space="preserve"> ConTime!AB$56</f>
        <v>4</v>
      </c>
      <c r="AC608" s="186">
        <f xml:space="preserve"> ConTime!AC$56</f>
        <v>4</v>
      </c>
      <c r="AD608" s="186">
        <f xml:space="preserve"> ConTime!AD$56</f>
        <v>4</v>
      </c>
      <c r="AE608" s="186">
        <f xml:space="preserve"> ConTime!AE$56</f>
        <v>4</v>
      </c>
      <c r="AF608" s="186">
        <f xml:space="preserve"> ConTime!AF$56</f>
        <v>4</v>
      </c>
      <c r="AG608" s="186">
        <f xml:space="preserve"> ConTime!AG$56</f>
        <v>4</v>
      </c>
      <c r="AH608" s="186">
        <f xml:space="preserve"> ConTime!AH$56</f>
        <v>5</v>
      </c>
      <c r="AI608" s="186">
        <f xml:space="preserve"> ConTime!AI$56</f>
        <v>5</v>
      </c>
      <c r="AJ608" s="186">
        <f xml:space="preserve"> ConTime!AJ$56</f>
        <v>5</v>
      </c>
      <c r="AK608" s="186">
        <f xml:space="preserve"> ConTime!AK$56</f>
        <v>5</v>
      </c>
      <c r="AL608" s="186">
        <f xml:space="preserve"> ConTime!AL$56</f>
        <v>5</v>
      </c>
      <c r="AM608" s="186">
        <f xml:space="preserve"> ConTime!AM$56</f>
        <v>5</v>
      </c>
      <c r="AN608" s="186">
        <f xml:space="preserve"> ConTime!AN$56</f>
        <v>6</v>
      </c>
      <c r="AO608" s="186">
        <f xml:space="preserve"> ConTime!AO$56</f>
        <v>6</v>
      </c>
      <c r="AP608" s="186">
        <f xml:space="preserve"> ConTime!AP$56</f>
        <v>6</v>
      </c>
      <c r="AQ608" s="186">
        <f xml:space="preserve"> ConTime!AQ$56</f>
        <v>6</v>
      </c>
      <c r="AR608" s="186">
        <f xml:space="preserve"> ConTime!AR$56</f>
        <v>6</v>
      </c>
      <c r="AS608" s="186">
        <f xml:space="preserve"> ConTime!AS$56</f>
        <v>6</v>
      </c>
      <c r="AT608" s="186">
        <f xml:space="preserve"> ConTime!AT$56</f>
        <v>7</v>
      </c>
      <c r="AU608" s="186">
        <f xml:space="preserve"> ConTime!AU$56</f>
        <v>7</v>
      </c>
      <c r="AV608" s="186">
        <f xml:space="preserve"> ConTime!AV$56</f>
        <v>7</v>
      </c>
      <c r="AW608" s="186">
        <f xml:space="preserve"> ConTime!AW$56</f>
        <v>7</v>
      </c>
      <c r="AX608" s="186">
        <f xml:space="preserve"> ConTime!AX$56</f>
        <v>7</v>
      </c>
      <c r="AY608" s="186">
        <f xml:space="preserve"> ConTime!AY$56</f>
        <v>7</v>
      </c>
      <c r="AZ608" s="186">
        <f xml:space="preserve"> ConTime!AZ$56</f>
        <v>8</v>
      </c>
      <c r="BA608" s="186">
        <f xml:space="preserve"> ConTime!BA$56</f>
        <v>8</v>
      </c>
      <c r="BB608" s="186">
        <f xml:space="preserve"> ConTime!BB$56</f>
        <v>8</v>
      </c>
      <c r="BC608" s="186">
        <f xml:space="preserve"> ConTime!BC$56</f>
        <v>8</v>
      </c>
      <c r="BD608" s="186">
        <f xml:space="preserve"> ConTime!BD$56</f>
        <v>8</v>
      </c>
      <c r="BE608" s="186">
        <f xml:space="preserve"> ConTime!BE$56</f>
        <v>8</v>
      </c>
    </row>
    <row r="609" spans="1:57" hidden="1" outlineLevel="1" x14ac:dyDescent="0.2">
      <c r="E609" s="12" t="str">
        <f t="shared" ref="E609:AJ609" si="1073" xml:space="preserve"> E$596</f>
        <v>Financing fees - m</v>
      </c>
      <c r="F609" s="12">
        <f t="shared" si="1073"/>
        <v>0</v>
      </c>
      <c r="G609" s="12" t="str">
        <f t="shared" si="1073"/>
        <v>$ 000s</v>
      </c>
      <c r="H609" s="12">
        <f t="shared" si="1073"/>
        <v>24335.550022039701</v>
      </c>
      <c r="I609" s="12">
        <f t="shared" si="1073"/>
        <v>0</v>
      </c>
      <c r="J609" s="12">
        <f t="shared" si="1073"/>
        <v>0</v>
      </c>
      <c r="K609" s="12">
        <f t="shared" si="1073"/>
        <v>0</v>
      </c>
      <c r="L609" s="12">
        <f t="shared" si="1073"/>
        <v>0</v>
      </c>
      <c r="M609" s="12">
        <f t="shared" si="1073"/>
        <v>6643.4247686484478</v>
      </c>
      <c r="N609" s="12">
        <f t="shared" si="1073"/>
        <v>263.54674384065487</v>
      </c>
      <c r="O609" s="12">
        <f t="shared" si="1073"/>
        <v>292.47867810083522</v>
      </c>
      <c r="P609" s="12">
        <f t="shared" si="1073"/>
        <v>329.90625622323967</v>
      </c>
      <c r="Q609" s="12">
        <f t="shared" si="1073"/>
        <v>363.23124226655193</v>
      </c>
      <c r="R609" s="12">
        <f t="shared" si="1073"/>
        <v>389.21752639483088</v>
      </c>
      <c r="S609" s="12">
        <f t="shared" si="1073"/>
        <v>430.14046720909221</v>
      </c>
      <c r="T609" s="12">
        <f t="shared" si="1073"/>
        <v>454.15312383271032</v>
      </c>
      <c r="U609" s="12">
        <f t="shared" si="1073"/>
        <v>498.409572417042</v>
      </c>
      <c r="V609" s="12">
        <f t="shared" si="1073"/>
        <v>533.19571044218594</v>
      </c>
      <c r="W609" s="12">
        <f t="shared" si="1073"/>
        <v>526.91381100833473</v>
      </c>
      <c r="X609" s="12">
        <f t="shared" si="1073"/>
        <v>602.95029794199797</v>
      </c>
      <c r="Y609" s="12">
        <f t="shared" si="1073"/>
        <v>621.54898417024185</v>
      </c>
      <c r="Z609" s="12">
        <f t="shared" si="1073"/>
        <v>673.17841927713891</v>
      </c>
      <c r="AA609" s="12">
        <f t="shared" si="1073"/>
        <v>689.19478520267194</v>
      </c>
      <c r="AB609" s="12">
        <f t="shared" si="1073"/>
        <v>743.80369410489459</v>
      </c>
      <c r="AC609" s="12">
        <f t="shared" si="1073"/>
        <v>779.29670352979963</v>
      </c>
      <c r="AD609" s="12">
        <f t="shared" si="1073"/>
        <v>791.41105136480053</v>
      </c>
      <c r="AE609" s="12">
        <f t="shared" si="1073"/>
        <v>850.52209760354037</v>
      </c>
      <c r="AF609" s="12">
        <f t="shared" si="1073"/>
        <v>860.01745495883733</v>
      </c>
      <c r="AG609" s="12">
        <f t="shared" si="1073"/>
        <v>922.15028493849138</v>
      </c>
      <c r="AH609" s="12">
        <f t="shared" si="1073"/>
        <v>958.15703162591888</v>
      </c>
      <c r="AI609" s="12">
        <f t="shared" si="1073"/>
        <v>927.84268043781913</v>
      </c>
      <c r="AJ609" s="12">
        <f t="shared" si="1073"/>
        <v>1018.8260305877428</v>
      </c>
      <c r="AK609" s="12">
        <f t="shared" ref="AK609:BE609" si="1074" xml:space="preserve"> AK$596</f>
        <v>1016.6271082976008</v>
      </c>
      <c r="AL609" s="12">
        <f t="shared" si="1074"/>
        <v>1079.9255384467679</v>
      </c>
      <c r="AM609" s="12">
        <f t="shared" si="1074"/>
        <v>1075.4799591675096</v>
      </c>
      <c r="AN609" s="12">
        <f t="shared" si="1074"/>
        <v>0</v>
      </c>
      <c r="AO609" s="12">
        <f t="shared" si="1074"/>
        <v>0</v>
      </c>
      <c r="AP609" s="12">
        <f t="shared" si="1074"/>
        <v>0</v>
      </c>
      <c r="AQ609" s="12">
        <f t="shared" si="1074"/>
        <v>0</v>
      </c>
      <c r="AR609" s="12">
        <f t="shared" si="1074"/>
        <v>0</v>
      </c>
      <c r="AS609" s="12">
        <f t="shared" si="1074"/>
        <v>0</v>
      </c>
      <c r="AT609" s="12">
        <f t="shared" si="1074"/>
        <v>0</v>
      </c>
      <c r="AU609" s="12">
        <f t="shared" si="1074"/>
        <v>0</v>
      </c>
      <c r="AV609" s="12">
        <f t="shared" si="1074"/>
        <v>0</v>
      </c>
      <c r="AW609" s="12">
        <f t="shared" si="1074"/>
        <v>0</v>
      </c>
      <c r="AX609" s="12">
        <f t="shared" si="1074"/>
        <v>0</v>
      </c>
      <c r="AY609" s="12">
        <f t="shared" si="1074"/>
        <v>0</v>
      </c>
      <c r="AZ609" s="12">
        <f t="shared" si="1074"/>
        <v>0</v>
      </c>
      <c r="BA609" s="12">
        <f t="shared" si="1074"/>
        <v>0</v>
      </c>
      <c r="BB609" s="12">
        <f t="shared" si="1074"/>
        <v>0</v>
      </c>
      <c r="BC609" s="12">
        <f t="shared" si="1074"/>
        <v>0</v>
      </c>
      <c r="BD609" s="12">
        <f t="shared" si="1074"/>
        <v>0</v>
      </c>
      <c r="BE609" s="12">
        <f t="shared" si="1074"/>
        <v>0</v>
      </c>
    </row>
    <row r="610" spans="1:57" s="80" customFormat="1" hidden="1" outlineLevel="1" x14ac:dyDescent="0.2">
      <c r="A610" s="542"/>
      <c r="B610" s="542"/>
      <c r="C610" s="543"/>
      <c r="D610" s="544"/>
      <c r="E610" s="845" t="s">
        <v>301</v>
      </c>
      <c r="F610" s="845"/>
      <c r="G610" s="845" t="str">
        <f xml:space="preserve"> SMU</f>
        <v>$ 000s</v>
      </c>
      <c r="H610" s="845">
        <f xml:space="preserve"> SUM(J610:BE610)</f>
        <v>24335.550022039701</v>
      </c>
      <c r="I610" s="846"/>
      <c r="J610" s="845">
        <f t="shared" ref="J610:BE610" si="1075" xml:space="preserve"> SUMIF($J608:$BE608, J607, $J609:$BE609)</f>
        <v>7199.4501905899378</v>
      </c>
      <c r="K610" s="845">
        <f t="shared" si="1075"/>
        <v>2465.058188343467</v>
      </c>
      <c r="L610" s="845">
        <f t="shared" si="1075"/>
        <v>3646.9820080425716</v>
      </c>
      <c r="M610" s="845">
        <f t="shared" si="1075"/>
        <v>4947.2012865003635</v>
      </c>
      <c r="N610" s="845">
        <f t="shared" si="1075"/>
        <v>6076.858348563359</v>
      </c>
      <c r="O610" s="845">
        <f t="shared" si="1075"/>
        <v>0</v>
      </c>
      <c r="P610" s="845">
        <f t="shared" si="1075"/>
        <v>0</v>
      </c>
      <c r="Q610" s="845">
        <f t="shared" si="1075"/>
        <v>0</v>
      </c>
      <c r="R610" s="845">
        <f t="shared" si="1075"/>
        <v>0</v>
      </c>
      <c r="S610" s="845">
        <f t="shared" si="1075"/>
        <v>0</v>
      </c>
      <c r="T610" s="845">
        <f t="shared" si="1075"/>
        <v>0</v>
      </c>
      <c r="U610" s="845">
        <f t="shared" si="1075"/>
        <v>0</v>
      </c>
      <c r="V610" s="845">
        <f t="shared" si="1075"/>
        <v>0</v>
      </c>
      <c r="W610" s="845">
        <f t="shared" si="1075"/>
        <v>0</v>
      </c>
      <c r="X610" s="845">
        <f t="shared" si="1075"/>
        <v>0</v>
      </c>
      <c r="Y610" s="845">
        <f t="shared" si="1075"/>
        <v>0</v>
      </c>
      <c r="Z610" s="845">
        <f t="shared" si="1075"/>
        <v>0</v>
      </c>
      <c r="AA610" s="845">
        <f t="shared" si="1075"/>
        <v>0</v>
      </c>
      <c r="AB610" s="845">
        <f t="shared" si="1075"/>
        <v>0</v>
      </c>
      <c r="AC610" s="845">
        <f t="shared" si="1075"/>
        <v>0</v>
      </c>
      <c r="AD610" s="845">
        <f t="shared" si="1075"/>
        <v>0</v>
      </c>
      <c r="AE610" s="845">
        <f t="shared" si="1075"/>
        <v>0</v>
      </c>
      <c r="AF610" s="845">
        <f t="shared" si="1075"/>
        <v>0</v>
      </c>
      <c r="AG610" s="845">
        <f t="shared" si="1075"/>
        <v>0</v>
      </c>
      <c r="AH610" s="845">
        <f t="shared" si="1075"/>
        <v>0</v>
      </c>
      <c r="AI610" s="845">
        <f t="shared" si="1075"/>
        <v>0</v>
      </c>
      <c r="AJ610" s="845">
        <f t="shared" si="1075"/>
        <v>0</v>
      </c>
      <c r="AK610" s="845">
        <f t="shared" si="1075"/>
        <v>0</v>
      </c>
      <c r="AL610" s="845">
        <f t="shared" si="1075"/>
        <v>0</v>
      </c>
      <c r="AM610" s="845">
        <f t="shared" si="1075"/>
        <v>0</v>
      </c>
      <c r="AN610" s="845">
        <f t="shared" si="1075"/>
        <v>0</v>
      </c>
      <c r="AO610" s="845">
        <f t="shared" si="1075"/>
        <v>0</v>
      </c>
      <c r="AP610" s="845">
        <f t="shared" si="1075"/>
        <v>0</v>
      </c>
      <c r="AQ610" s="845">
        <f t="shared" si="1075"/>
        <v>0</v>
      </c>
      <c r="AR610" s="845">
        <f t="shared" si="1075"/>
        <v>0</v>
      </c>
      <c r="AS610" s="845">
        <f t="shared" si="1075"/>
        <v>0</v>
      </c>
      <c r="AT610" s="845">
        <f t="shared" si="1075"/>
        <v>0</v>
      </c>
      <c r="AU610" s="845">
        <f t="shared" si="1075"/>
        <v>0</v>
      </c>
      <c r="AV610" s="845">
        <f t="shared" si="1075"/>
        <v>0</v>
      </c>
      <c r="AW610" s="845">
        <f t="shared" si="1075"/>
        <v>0</v>
      </c>
      <c r="AX610" s="845">
        <f t="shared" si="1075"/>
        <v>0</v>
      </c>
      <c r="AY610" s="845">
        <f t="shared" si="1075"/>
        <v>0</v>
      </c>
      <c r="AZ610" s="845">
        <f t="shared" si="1075"/>
        <v>0</v>
      </c>
      <c r="BA610" s="845">
        <f t="shared" si="1075"/>
        <v>0</v>
      </c>
      <c r="BB610" s="845">
        <f t="shared" si="1075"/>
        <v>0</v>
      </c>
      <c r="BC610" s="845">
        <f t="shared" si="1075"/>
        <v>0</v>
      </c>
      <c r="BD610" s="845">
        <f t="shared" si="1075"/>
        <v>0</v>
      </c>
      <c r="BE610" s="845">
        <f t="shared" si="1075"/>
        <v>0</v>
      </c>
    </row>
    <row r="611" spans="1:57" s="629" customFormat="1" hidden="1" outlineLevel="1" x14ac:dyDescent="0.2">
      <c r="A611" s="904"/>
      <c r="B611" s="904"/>
      <c r="C611" s="905"/>
      <c r="D611" s="906"/>
      <c r="E611" s="907" t="str">
        <f xml:space="preserve"> LEFT(E610, LEN(E610) - 4)</f>
        <v>Financing fees</v>
      </c>
      <c r="F611" s="907"/>
      <c r="G611" s="907" t="str">
        <f xml:space="preserve"> SMU</f>
        <v>$ 000s</v>
      </c>
      <c r="H611" s="907">
        <f xml:space="preserve"> SUM(J611:BE611)</f>
        <v>-24335.550022039701</v>
      </c>
      <c r="I611" s="908"/>
      <c r="J611" s="907">
        <f t="shared" ref="J611:BE611" si="1076" xml:space="preserve"> -1 * J610</f>
        <v>-7199.4501905899378</v>
      </c>
      <c r="K611" s="907">
        <f t="shared" si="1076"/>
        <v>-2465.058188343467</v>
      </c>
      <c r="L611" s="907">
        <f t="shared" si="1076"/>
        <v>-3646.9820080425716</v>
      </c>
      <c r="M611" s="907">
        <f t="shared" si="1076"/>
        <v>-4947.2012865003635</v>
      </c>
      <c r="N611" s="907">
        <f t="shared" si="1076"/>
        <v>-6076.858348563359</v>
      </c>
      <c r="O611" s="907">
        <f t="shared" si="1076"/>
        <v>0</v>
      </c>
      <c r="P611" s="907">
        <f t="shared" si="1076"/>
        <v>0</v>
      </c>
      <c r="Q611" s="907">
        <f t="shared" si="1076"/>
        <v>0</v>
      </c>
      <c r="R611" s="907">
        <f t="shared" si="1076"/>
        <v>0</v>
      </c>
      <c r="S611" s="907">
        <f t="shared" si="1076"/>
        <v>0</v>
      </c>
      <c r="T611" s="907">
        <f t="shared" si="1076"/>
        <v>0</v>
      </c>
      <c r="U611" s="907">
        <f t="shared" si="1076"/>
        <v>0</v>
      </c>
      <c r="V611" s="907">
        <f t="shared" si="1076"/>
        <v>0</v>
      </c>
      <c r="W611" s="907">
        <f t="shared" si="1076"/>
        <v>0</v>
      </c>
      <c r="X611" s="907">
        <f t="shared" si="1076"/>
        <v>0</v>
      </c>
      <c r="Y611" s="907">
        <f t="shared" si="1076"/>
        <v>0</v>
      </c>
      <c r="Z611" s="907">
        <f t="shared" si="1076"/>
        <v>0</v>
      </c>
      <c r="AA611" s="907">
        <f t="shared" si="1076"/>
        <v>0</v>
      </c>
      <c r="AB611" s="907">
        <f t="shared" si="1076"/>
        <v>0</v>
      </c>
      <c r="AC611" s="907">
        <f t="shared" si="1076"/>
        <v>0</v>
      </c>
      <c r="AD611" s="907">
        <f t="shared" si="1076"/>
        <v>0</v>
      </c>
      <c r="AE611" s="907">
        <f t="shared" si="1076"/>
        <v>0</v>
      </c>
      <c r="AF611" s="907">
        <f t="shared" si="1076"/>
        <v>0</v>
      </c>
      <c r="AG611" s="907">
        <f t="shared" si="1076"/>
        <v>0</v>
      </c>
      <c r="AH611" s="907">
        <f t="shared" si="1076"/>
        <v>0</v>
      </c>
      <c r="AI611" s="907">
        <f t="shared" si="1076"/>
        <v>0</v>
      </c>
      <c r="AJ611" s="907">
        <f t="shared" si="1076"/>
        <v>0</v>
      </c>
      <c r="AK611" s="907">
        <f t="shared" si="1076"/>
        <v>0</v>
      </c>
      <c r="AL611" s="907">
        <f t="shared" si="1076"/>
        <v>0</v>
      </c>
      <c r="AM611" s="907">
        <f t="shared" si="1076"/>
        <v>0</v>
      </c>
      <c r="AN611" s="907">
        <f t="shared" si="1076"/>
        <v>0</v>
      </c>
      <c r="AO611" s="907">
        <f t="shared" si="1076"/>
        <v>0</v>
      </c>
      <c r="AP611" s="907">
        <f t="shared" si="1076"/>
        <v>0</v>
      </c>
      <c r="AQ611" s="907">
        <f t="shared" si="1076"/>
        <v>0</v>
      </c>
      <c r="AR611" s="907">
        <f t="shared" si="1076"/>
        <v>0</v>
      </c>
      <c r="AS611" s="907">
        <f t="shared" si="1076"/>
        <v>0</v>
      </c>
      <c r="AT611" s="907">
        <f t="shared" si="1076"/>
        <v>0</v>
      </c>
      <c r="AU611" s="907">
        <f t="shared" si="1076"/>
        <v>0</v>
      </c>
      <c r="AV611" s="907">
        <f t="shared" si="1076"/>
        <v>0</v>
      </c>
      <c r="AW611" s="907">
        <f t="shared" si="1076"/>
        <v>0</v>
      </c>
      <c r="AX611" s="907">
        <f t="shared" si="1076"/>
        <v>0</v>
      </c>
      <c r="AY611" s="907">
        <f t="shared" si="1076"/>
        <v>0</v>
      </c>
      <c r="AZ611" s="907">
        <f t="shared" si="1076"/>
        <v>0</v>
      </c>
      <c r="BA611" s="907">
        <f t="shared" si="1076"/>
        <v>0</v>
      </c>
      <c r="BB611" s="907">
        <f t="shared" si="1076"/>
        <v>0</v>
      </c>
      <c r="BC611" s="907">
        <f t="shared" si="1076"/>
        <v>0</v>
      </c>
      <c r="BD611" s="907">
        <f t="shared" si="1076"/>
        <v>0</v>
      </c>
      <c r="BE611" s="907">
        <f t="shared" si="1076"/>
        <v>0</v>
      </c>
    </row>
    <row r="612" spans="1:57" s="188" customFormat="1" hidden="1" outlineLevel="1" x14ac:dyDescent="0.2">
      <c r="A612" s="141"/>
      <c r="B612" s="141"/>
      <c r="C612" s="142"/>
      <c r="D612" s="143"/>
      <c r="E612" s="187"/>
      <c r="F612" s="187"/>
      <c r="G612" s="187"/>
      <c r="H612" s="187"/>
      <c r="I612" s="144"/>
      <c r="J612" s="187"/>
      <c r="K612" s="187"/>
      <c r="L612" s="187"/>
      <c r="M612" s="187"/>
      <c r="N612" s="187"/>
      <c r="O612" s="187"/>
      <c r="P612" s="187"/>
      <c r="Q612" s="187"/>
      <c r="R612" s="187"/>
      <c r="S612" s="187"/>
      <c r="T612" s="187"/>
      <c r="U612" s="187"/>
      <c r="V612" s="187"/>
      <c r="W612" s="187"/>
      <c r="X612" s="187"/>
      <c r="Y612" s="187"/>
      <c r="Z612" s="187"/>
      <c r="AA612" s="187"/>
      <c r="AB612" s="187"/>
      <c r="AC612" s="187"/>
      <c r="AD612" s="187"/>
      <c r="AE612" s="187"/>
      <c r="AF612" s="187"/>
      <c r="AG612" s="187"/>
      <c r="AH612" s="187"/>
      <c r="AI612" s="187"/>
      <c r="AJ612" s="187"/>
      <c r="AK612" s="187"/>
      <c r="AL612" s="187"/>
      <c r="AM612" s="187"/>
      <c r="AN612" s="187"/>
      <c r="AO612" s="187"/>
      <c r="AP612" s="187"/>
      <c r="AQ612" s="187"/>
      <c r="AR612" s="187"/>
      <c r="AS612" s="187"/>
      <c r="AT612" s="187"/>
      <c r="AU612" s="187"/>
      <c r="AV612" s="187"/>
      <c r="AW612" s="187"/>
      <c r="AX612" s="187"/>
      <c r="AY612" s="187"/>
      <c r="AZ612" s="187"/>
      <c r="BA612" s="187"/>
      <c r="BB612" s="187"/>
      <c r="BC612" s="187"/>
      <c r="BD612" s="187"/>
      <c r="BE612" s="187"/>
    </row>
    <row r="613" spans="1:57" hidden="1" outlineLevel="1" x14ac:dyDescent="0.2">
      <c r="E613" s="538" t="str">
        <f xml:space="preserve"> Time!E$10</f>
        <v>Model column counter</v>
      </c>
      <c r="F613" s="538">
        <f xml:space="preserve"> Time!F$10</f>
        <v>0</v>
      </c>
      <c r="G613" s="538" t="str">
        <f xml:space="preserve"> Time!G$10</f>
        <v>counter</v>
      </c>
      <c r="H613" s="538">
        <f xml:space="preserve"> Time!H$10</f>
        <v>0</v>
      </c>
      <c r="I613" s="538">
        <f xml:space="preserve"> Time!I$10</f>
        <v>0</v>
      </c>
      <c r="J613" s="538">
        <f xml:space="preserve"> Time!J$10</f>
        <v>1</v>
      </c>
      <c r="K613" s="538">
        <f xml:space="preserve"> Time!K$10</f>
        <v>2</v>
      </c>
      <c r="L613" s="538">
        <f xml:space="preserve"> Time!L$10</f>
        <v>3</v>
      </c>
      <c r="M613" s="538">
        <f xml:space="preserve"> Time!M$10</f>
        <v>4</v>
      </c>
      <c r="N613" s="538">
        <f xml:space="preserve"> Time!N$10</f>
        <v>5</v>
      </c>
      <c r="O613" s="538">
        <f xml:space="preserve"> Time!O$10</f>
        <v>6</v>
      </c>
      <c r="P613" s="538">
        <f xml:space="preserve"> Time!P$10</f>
        <v>7</v>
      </c>
      <c r="Q613" s="538">
        <f xml:space="preserve"> Time!Q$10</f>
        <v>8</v>
      </c>
      <c r="R613" s="538">
        <f xml:space="preserve"> Time!R$10</f>
        <v>9</v>
      </c>
      <c r="S613" s="538">
        <f xml:space="preserve"> Time!S$10</f>
        <v>10</v>
      </c>
      <c r="T613" s="538">
        <f xml:space="preserve"> Time!T$10</f>
        <v>11</v>
      </c>
      <c r="U613" s="538">
        <f xml:space="preserve"> Time!U$10</f>
        <v>12</v>
      </c>
      <c r="V613" s="538">
        <f xml:space="preserve"> Time!V$10</f>
        <v>13</v>
      </c>
      <c r="W613" s="538">
        <f xml:space="preserve"> Time!W$10</f>
        <v>14</v>
      </c>
      <c r="X613" s="538">
        <f xml:space="preserve"> Time!X$10</f>
        <v>15</v>
      </c>
      <c r="Y613" s="538">
        <f xml:space="preserve"> Time!Y$10</f>
        <v>16</v>
      </c>
      <c r="Z613" s="538">
        <f xml:space="preserve"> Time!Z$10</f>
        <v>17</v>
      </c>
      <c r="AA613" s="538">
        <f xml:space="preserve"> Time!AA$10</f>
        <v>18</v>
      </c>
      <c r="AB613" s="538">
        <f xml:space="preserve"> Time!AB$10</f>
        <v>19</v>
      </c>
      <c r="AC613" s="538">
        <f xml:space="preserve"> Time!AC$10</f>
        <v>20</v>
      </c>
      <c r="AD613" s="538">
        <f xml:space="preserve"> Time!AD$10</f>
        <v>21</v>
      </c>
      <c r="AE613" s="538">
        <f xml:space="preserve"> Time!AE$10</f>
        <v>22</v>
      </c>
      <c r="AF613" s="538">
        <f xml:space="preserve"> Time!AF$10</f>
        <v>23</v>
      </c>
      <c r="AG613" s="538">
        <f xml:space="preserve"> Time!AG$10</f>
        <v>24</v>
      </c>
      <c r="AH613" s="538">
        <f xml:space="preserve"> Time!AH$10</f>
        <v>25</v>
      </c>
      <c r="AI613" s="538">
        <f xml:space="preserve"> Time!AI$10</f>
        <v>26</v>
      </c>
      <c r="AJ613" s="538">
        <f xml:space="preserve"> Time!AJ$10</f>
        <v>27</v>
      </c>
      <c r="AK613" s="538">
        <f xml:space="preserve"> Time!AK$10</f>
        <v>28</v>
      </c>
      <c r="AL613" s="538">
        <f xml:space="preserve"> Time!AL$10</f>
        <v>29</v>
      </c>
      <c r="AM613" s="538">
        <f xml:space="preserve"> Time!AM$10</f>
        <v>30</v>
      </c>
      <c r="AN613" s="538">
        <f xml:space="preserve"> Time!AN$10</f>
        <v>31</v>
      </c>
      <c r="AO613" s="538">
        <f xml:space="preserve"> Time!AO$10</f>
        <v>32</v>
      </c>
      <c r="AP613" s="538">
        <f xml:space="preserve"> Time!AP$10</f>
        <v>33</v>
      </c>
      <c r="AQ613" s="538">
        <f xml:space="preserve"> Time!AQ$10</f>
        <v>34</v>
      </c>
      <c r="AR613" s="538">
        <f xml:space="preserve"> Time!AR$10</f>
        <v>35</v>
      </c>
      <c r="AS613" s="538">
        <f xml:space="preserve"> Time!AS$10</f>
        <v>36</v>
      </c>
      <c r="AT613" s="538">
        <f xml:space="preserve"> Time!AT$10</f>
        <v>37</v>
      </c>
      <c r="AU613" s="538">
        <f xml:space="preserve"> Time!AU$10</f>
        <v>38</v>
      </c>
      <c r="AV613" s="538">
        <f xml:space="preserve"> Time!AV$10</f>
        <v>39</v>
      </c>
      <c r="AW613" s="538">
        <f xml:space="preserve"> Time!AW$10</f>
        <v>40</v>
      </c>
      <c r="AX613" s="538">
        <f xml:space="preserve"> Time!AX$10</f>
        <v>41</v>
      </c>
      <c r="AY613" s="538">
        <f xml:space="preserve"> Time!AY$10</f>
        <v>42</v>
      </c>
      <c r="AZ613" s="538">
        <f xml:space="preserve"> Time!AZ$10</f>
        <v>43</v>
      </c>
      <c r="BA613" s="538">
        <f xml:space="preserve"> Time!BA$10</f>
        <v>44</v>
      </c>
      <c r="BB613" s="538">
        <f xml:space="preserve"> Time!BB$10</f>
        <v>45</v>
      </c>
      <c r="BC613" s="538">
        <f xml:space="preserve"> Time!BC$10</f>
        <v>46</v>
      </c>
      <c r="BD613" s="538">
        <f xml:space="preserve"> Time!BD$10</f>
        <v>47</v>
      </c>
      <c r="BE613" s="538">
        <f xml:space="preserve"> Time!BE$10</f>
        <v>48</v>
      </c>
    </row>
    <row r="614" spans="1:57" hidden="1" outlineLevel="1" x14ac:dyDescent="0.2">
      <c r="E614" s="186" t="str">
        <f xml:space="preserve"> ConTime!E$56</f>
        <v>Model ops period counter - m</v>
      </c>
      <c r="F614" s="186">
        <f xml:space="preserve"> ConTime!F$56</f>
        <v>0</v>
      </c>
      <c r="G614" s="186" t="str">
        <f xml:space="preserve"> ConTime!G$56</f>
        <v>counter</v>
      </c>
      <c r="H614" s="186">
        <f xml:space="preserve"> ConTime!H$56</f>
        <v>0</v>
      </c>
      <c r="I614" s="186">
        <f xml:space="preserve"> ConTime!I$56</f>
        <v>0</v>
      </c>
      <c r="J614" s="186">
        <f xml:space="preserve"> ConTime!J$56</f>
        <v>1</v>
      </c>
      <c r="K614" s="186">
        <f xml:space="preserve"> ConTime!K$56</f>
        <v>1</v>
      </c>
      <c r="L614" s="186">
        <f xml:space="preserve"> ConTime!L$56</f>
        <v>1</v>
      </c>
      <c r="M614" s="186">
        <f xml:space="preserve"> ConTime!M$56</f>
        <v>1</v>
      </c>
      <c r="N614" s="186">
        <f xml:space="preserve"> ConTime!N$56</f>
        <v>1</v>
      </c>
      <c r="O614" s="186">
        <f xml:space="preserve"> ConTime!O$56</f>
        <v>1</v>
      </c>
      <c r="P614" s="186">
        <f xml:space="preserve"> ConTime!P$56</f>
        <v>2</v>
      </c>
      <c r="Q614" s="186">
        <f xml:space="preserve"> ConTime!Q$56</f>
        <v>2</v>
      </c>
      <c r="R614" s="186">
        <f xml:space="preserve"> ConTime!R$56</f>
        <v>2</v>
      </c>
      <c r="S614" s="186">
        <f xml:space="preserve"> ConTime!S$56</f>
        <v>2</v>
      </c>
      <c r="T614" s="186">
        <f xml:space="preserve"> ConTime!T$56</f>
        <v>2</v>
      </c>
      <c r="U614" s="186">
        <f xml:space="preserve"> ConTime!U$56</f>
        <v>2</v>
      </c>
      <c r="V614" s="186">
        <f xml:space="preserve"> ConTime!V$56</f>
        <v>3</v>
      </c>
      <c r="W614" s="186">
        <f xml:space="preserve"> ConTime!W$56</f>
        <v>3</v>
      </c>
      <c r="X614" s="186">
        <f xml:space="preserve"> ConTime!X$56</f>
        <v>3</v>
      </c>
      <c r="Y614" s="186">
        <f xml:space="preserve"> ConTime!Y$56</f>
        <v>3</v>
      </c>
      <c r="Z614" s="186">
        <f xml:space="preserve"> ConTime!Z$56</f>
        <v>3</v>
      </c>
      <c r="AA614" s="186">
        <f xml:space="preserve"> ConTime!AA$56</f>
        <v>3</v>
      </c>
      <c r="AB614" s="186">
        <f xml:space="preserve"> ConTime!AB$56</f>
        <v>4</v>
      </c>
      <c r="AC614" s="186">
        <f xml:space="preserve"> ConTime!AC$56</f>
        <v>4</v>
      </c>
      <c r="AD614" s="186">
        <f xml:space="preserve"> ConTime!AD$56</f>
        <v>4</v>
      </c>
      <c r="AE614" s="186">
        <f xml:space="preserve"> ConTime!AE$56</f>
        <v>4</v>
      </c>
      <c r="AF614" s="186">
        <f xml:space="preserve"> ConTime!AF$56</f>
        <v>4</v>
      </c>
      <c r="AG614" s="186">
        <f xml:space="preserve"> ConTime!AG$56</f>
        <v>4</v>
      </c>
      <c r="AH614" s="186">
        <f xml:space="preserve"> ConTime!AH$56</f>
        <v>5</v>
      </c>
      <c r="AI614" s="186">
        <f xml:space="preserve"> ConTime!AI$56</f>
        <v>5</v>
      </c>
      <c r="AJ614" s="186">
        <f xml:space="preserve"> ConTime!AJ$56</f>
        <v>5</v>
      </c>
      <c r="AK614" s="186">
        <f xml:space="preserve"> ConTime!AK$56</f>
        <v>5</v>
      </c>
      <c r="AL614" s="186">
        <f xml:space="preserve"> ConTime!AL$56</f>
        <v>5</v>
      </c>
      <c r="AM614" s="186">
        <f xml:space="preserve"> ConTime!AM$56</f>
        <v>5</v>
      </c>
      <c r="AN614" s="186">
        <f xml:space="preserve"> ConTime!AN$56</f>
        <v>6</v>
      </c>
      <c r="AO614" s="186">
        <f xml:space="preserve"> ConTime!AO$56</f>
        <v>6</v>
      </c>
      <c r="AP614" s="186">
        <f xml:space="preserve"> ConTime!AP$56</f>
        <v>6</v>
      </c>
      <c r="AQ614" s="186">
        <f xml:space="preserve"> ConTime!AQ$56</f>
        <v>6</v>
      </c>
      <c r="AR614" s="186">
        <f xml:space="preserve"> ConTime!AR$56</f>
        <v>6</v>
      </c>
      <c r="AS614" s="186">
        <f xml:space="preserve"> ConTime!AS$56</f>
        <v>6</v>
      </c>
      <c r="AT614" s="186">
        <f xml:space="preserve"> ConTime!AT$56</f>
        <v>7</v>
      </c>
      <c r="AU614" s="186">
        <f xml:space="preserve"> ConTime!AU$56</f>
        <v>7</v>
      </c>
      <c r="AV614" s="186">
        <f xml:space="preserve"> ConTime!AV$56</f>
        <v>7</v>
      </c>
      <c r="AW614" s="186">
        <f xml:space="preserve"> ConTime!AW$56</f>
        <v>7</v>
      </c>
      <c r="AX614" s="186">
        <f xml:space="preserve"> ConTime!AX$56</f>
        <v>7</v>
      </c>
      <c r="AY614" s="186">
        <f xml:space="preserve"> ConTime!AY$56</f>
        <v>7</v>
      </c>
      <c r="AZ614" s="186">
        <f xml:space="preserve"> ConTime!AZ$56</f>
        <v>8</v>
      </c>
      <c r="BA614" s="186">
        <f xml:space="preserve"> ConTime!BA$56</f>
        <v>8</v>
      </c>
      <c r="BB614" s="186">
        <f xml:space="preserve"> ConTime!BB$56</f>
        <v>8</v>
      </c>
      <c r="BC614" s="186">
        <f xml:space="preserve"> ConTime!BC$56</f>
        <v>8</v>
      </c>
      <c r="BD614" s="186">
        <f xml:space="preserve"> ConTime!BD$56</f>
        <v>8</v>
      </c>
      <c r="BE614" s="186">
        <f xml:space="preserve"> ConTime!BE$56</f>
        <v>8</v>
      </c>
    </row>
    <row r="615" spans="1:57" hidden="1" outlineLevel="1" x14ac:dyDescent="0.2">
      <c r="E615" s="198" t="str">
        <f t="shared" ref="E615:AJ615" si="1077" xml:space="preserve"> E$601</f>
        <v>Financing costs incl. rolled up costs - m</v>
      </c>
      <c r="F615" s="198">
        <f t="shared" si="1077"/>
        <v>0</v>
      </c>
      <c r="G615" s="198" t="str">
        <f t="shared" si="1077"/>
        <v>$ 000s</v>
      </c>
      <c r="H615" s="198">
        <f t="shared" si="1077"/>
        <v>24335.550022039701</v>
      </c>
      <c r="I615" s="198">
        <f t="shared" si="1077"/>
        <v>0</v>
      </c>
      <c r="J615" s="198">
        <f t="shared" si="1077"/>
        <v>0</v>
      </c>
      <c r="K615" s="198">
        <f t="shared" si="1077"/>
        <v>0</v>
      </c>
      <c r="L615" s="198">
        <f t="shared" si="1077"/>
        <v>0</v>
      </c>
      <c r="M615" s="198">
        <f t="shared" si="1077"/>
        <v>6643.4247686484478</v>
      </c>
      <c r="N615" s="198">
        <f t="shared" si="1077"/>
        <v>263.54674384065487</v>
      </c>
      <c r="O615" s="198">
        <f t="shared" si="1077"/>
        <v>292.47867810083522</v>
      </c>
      <c r="P615" s="198">
        <f t="shared" si="1077"/>
        <v>329.90625622323967</v>
      </c>
      <c r="Q615" s="198">
        <f t="shared" si="1077"/>
        <v>363.23124226655193</v>
      </c>
      <c r="R615" s="198">
        <f t="shared" si="1077"/>
        <v>389.21752639483088</v>
      </c>
      <c r="S615" s="198">
        <f t="shared" si="1077"/>
        <v>430.14046720909221</v>
      </c>
      <c r="T615" s="198">
        <f t="shared" si="1077"/>
        <v>454.15312383271032</v>
      </c>
      <c r="U615" s="198">
        <f t="shared" si="1077"/>
        <v>498.409572417042</v>
      </c>
      <c r="V615" s="198">
        <f t="shared" si="1077"/>
        <v>533.19571044218594</v>
      </c>
      <c r="W615" s="198">
        <f t="shared" si="1077"/>
        <v>526.91381100833473</v>
      </c>
      <c r="X615" s="198">
        <f t="shared" si="1077"/>
        <v>602.95029794199797</v>
      </c>
      <c r="Y615" s="198">
        <f t="shared" si="1077"/>
        <v>621.54898417024185</v>
      </c>
      <c r="Z615" s="198">
        <f t="shared" si="1077"/>
        <v>673.17841927713891</v>
      </c>
      <c r="AA615" s="198">
        <f t="shared" si="1077"/>
        <v>689.19478520267194</v>
      </c>
      <c r="AB615" s="198">
        <f t="shared" si="1077"/>
        <v>743.80369410489459</v>
      </c>
      <c r="AC615" s="198">
        <f t="shared" si="1077"/>
        <v>779.29670352979963</v>
      </c>
      <c r="AD615" s="198">
        <f t="shared" si="1077"/>
        <v>791.41105136480053</v>
      </c>
      <c r="AE615" s="198">
        <f t="shared" si="1077"/>
        <v>850.52209760354037</v>
      </c>
      <c r="AF615" s="198">
        <f t="shared" si="1077"/>
        <v>860.01745495883733</v>
      </c>
      <c r="AG615" s="198">
        <f t="shared" si="1077"/>
        <v>922.15028493849138</v>
      </c>
      <c r="AH615" s="198">
        <f t="shared" si="1077"/>
        <v>958.15703162591888</v>
      </c>
      <c r="AI615" s="198">
        <f t="shared" si="1077"/>
        <v>927.84268043781913</v>
      </c>
      <c r="AJ615" s="198">
        <f t="shared" si="1077"/>
        <v>1018.8260305877428</v>
      </c>
      <c r="AK615" s="198">
        <f t="shared" ref="AK615:BE615" si="1078" xml:space="preserve"> AK$601</f>
        <v>1016.6271082976008</v>
      </c>
      <c r="AL615" s="198">
        <f t="shared" si="1078"/>
        <v>1079.9255384467679</v>
      </c>
      <c r="AM615" s="198">
        <f t="shared" si="1078"/>
        <v>1075.4799591675096</v>
      </c>
      <c r="AN615" s="198">
        <f t="shared" si="1078"/>
        <v>0</v>
      </c>
      <c r="AO615" s="198">
        <f t="shared" si="1078"/>
        <v>0</v>
      </c>
      <c r="AP615" s="198">
        <f t="shared" si="1078"/>
        <v>0</v>
      </c>
      <c r="AQ615" s="198">
        <f t="shared" si="1078"/>
        <v>0</v>
      </c>
      <c r="AR615" s="198">
        <f t="shared" si="1078"/>
        <v>0</v>
      </c>
      <c r="AS615" s="198">
        <f t="shared" si="1078"/>
        <v>0</v>
      </c>
      <c r="AT615" s="198">
        <f t="shared" si="1078"/>
        <v>0</v>
      </c>
      <c r="AU615" s="198">
        <f t="shared" si="1078"/>
        <v>0</v>
      </c>
      <c r="AV615" s="198">
        <f t="shared" si="1078"/>
        <v>0</v>
      </c>
      <c r="AW615" s="198">
        <f t="shared" si="1078"/>
        <v>0</v>
      </c>
      <c r="AX615" s="198">
        <f t="shared" si="1078"/>
        <v>0</v>
      </c>
      <c r="AY615" s="198">
        <f t="shared" si="1078"/>
        <v>0</v>
      </c>
      <c r="AZ615" s="198">
        <f t="shared" si="1078"/>
        <v>0</v>
      </c>
      <c r="BA615" s="198">
        <f t="shared" si="1078"/>
        <v>0</v>
      </c>
      <c r="BB615" s="198">
        <f t="shared" si="1078"/>
        <v>0</v>
      </c>
      <c r="BC615" s="198">
        <f t="shared" si="1078"/>
        <v>0</v>
      </c>
      <c r="BD615" s="198">
        <f t="shared" si="1078"/>
        <v>0</v>
      </c>
      <c r="BE615" s="198">
        <f t="shared" si="1078"/>
        <v>0</v>
      </c>
    </row>
    <row r="616" spans="1:57" s="629" customFormat="1" hidden="1" outlineLevel="1" x14ac:dyDescent="0.2">
      <c r="A616" s="904"/>
      <c r="B616" s="904"/>
      <c r="C616" s="905"/>
      <c r="D616" s="906"/>
      <c r="E616" s="907" t="s">
        <v>834</v>
      </c>
      <c r="F616" s="907"/>
      <c r="G616" s="907" t="str">
        <f xml:space="preserve"> SMU</f>
        <v>$ 000s</v>
      </c>
      <c r="H616" s="907">
        <f xml:space="preserve"> SUM(J616:BE616)</f>
        <v>24335.550022039701</v>
      </c>
      <c r="I616" s="908"/>
      <c r="J616" s="907">
        <f t="shared" ref="J616:BE616" si="1079" xml:space="preserve"> SUMIF($J614:$BE614, J613, $J615:$BE615)</f>
        <v>7199.4501905899378</v>
      </c>
      <c r="K616" s="907">
        <f t="shared" si="1079"/>
        <v>2465.058188343467</v>
      </c>
      <c r="L616" s="907">
        <f t="shared" si="1079"/>
        <v>3646.9820080425716</v>
      </c>
      <c r="M616" s="907">
        <f t="shared" si="1079"/>
        <v>4947.2012865003635</v>
      </c>
      <c r="N616" s="907">
        <f t="shared" si="1079"/>
        <v>6076.858348563359</v>
      </c>
      <c r="O616" s="907">
        <f t="shared" si="1079"/>
        <v>0</v>
      </c>
      <c r="P616" s="907">
        <f t="shared" si="1079"/>
        <v>0</v>
      </c>
      <c r="Q616" s="907">
        <f t="shared" si="1079"/>
        <v>0</v>
      </c>
      <c r="R616" s="907">
        <f t="shared" si="1079"/>
        <v>0</v>
      </c>
      <c r="S616" s="907">
        <f t="shared" si="1079"/>
        <v>0</v>
      </c>
      <c r="T616" s="907">
        <f t="shared" si="1079"/>
        <v>0</v>
      </c>
      <c r="U616" s="907">
        <f t="shared" si="1079"/>
        <v>0</v>
      </c>
      <c r="V616" s="907">
        <f t="shared" si="1079"/>
        <v>0</v>
      </c>
      <c r="W616" s="907">
        <f t="shared" si="1079"/>
        <v>0</v>
      </c>
      <c r="X616" s="907">
        <f t="shared" si="1079"/>
        <v>0</v>
      </c>
      <c r="Y616" s="907">
        <f t="shared" si="1079"/>
        <v>0</v>
      </c>
      <c r="Z616" s="907">
        <f t="shared" si="1079"/>
        <v>0</v>
      </c>
      <c r="AA616" s="907">
        <f t="shared" si="1079"/>
        <v>0</v>
      </c>
      <c r="AB616" s="907">
        <f t="shared" si="1079"/>
        <v>0</v>
      </c>
      <c r="AC616" s="907">
        <f t="shared" si="1079"/>
        <v>0</v>
      </c>
      <c r="AD616" s="907">
        <f t="shared" si="1079"/>
        <v>0</v>
      </c>
      <c r="AE616" s="907">
        <f t="shared" si="1079"/>
        <v>0</v>
      </c>
      <c r="AF616" s="907">
        <f t="shared" si="1079"/>
        <v>0</v>
      </c>
      <c r="AG616" s="907">
        <f t="shared" si="1079"/>
        <v>0</v>
      </c>
      <c r="AH616" s="907">
        <f t="shared" si="1079"/>
        <v>0</v>
      </c>
      <c r="AI616" s="907">
        <f t="shared" si="1079"/>
        <v>0</v>
      </c>
      <c r="AJ616" s="907">
        <f t="shared" si="1079"/>
        <v>0</v>
      </c>
      <c r="AK616" s="907">
        <f t="shared" si="1079"/>
        <v>0</v>
      </c>
      <c r="AL616" s="907">
        <f t="shared" si="1079"/>
        <v>0</v>
      </c>
      <c r="AM616" s="907">
        <f t="shared" si="1079"/>
        <v>0</v>
      </c>
      <c r="AN616" s="907">
        <f t="shared" si="1079"/>
        <v>0</v>
      </c>
      <c r="AO616" s="907">
        <f t="shared" si="1079"/>
        <v>0</v>
      </c>
      <c r="AP616" s="907">
        <f t="shared" si="1079"/>
        <v>0</v>
      </c>
      <c r="AQ616" s="907">
        <f t="shared" si="1079"/>
        <v>0</v>
      </c>
      <c r="AR616" s="907">
        <f t="shared" si="1079"/>
        <v>0</v>
      </c>
      <c r="AS616" s="907">
        <f t="shared" si="1079"/>
        <v>0</v>
      </c>
      <c r="AT616" s="907">
        <f t="shared" si="1079"/>
        <v>0</v>
      </c>
      <c r="AU616" s="907">
        <f t="shared" si="1079"/>
        <v>0</v>
      </c>
      <c r="AV616" s="907">
        <f t="shared" si="1079"/>
        <v>0</v>
      </c>
      <c r="AW616" s="907">
        <f t="shared" si="1079"/>
        <v>0</v>
      </c>
      <c r="AX616" s="907">
        <f t="shared" si="1079"/>
        <v>0</v>
      </c>
      <c r="AY616" s="907">
        <f t="shared" si="1079"/>
        <v>0</v>
      </c>
      <c r="AZ616" s="907">
        <f t="shared" si="1079"/>
        <v>0</v>
      </c>
      <c r="BA616" s="907">
        <f t="shared" si="1079"/>
        <v>0</v>
      </c>
      <c r="BB616" s="907">
        <f t="shared" si="1079"/>
        <v>0</v>
      </c>
      <c r="BC616" s="907">
        <f t="shared" si="1079"/>
        <v>0</v>
      </c>
      <c r="BD616" s="907">
        <f t="shared" si="1079"/>
        <v>0</v>
      </c>
      <c r="BE616" s="907">
        <f t="shared" si="1079"/>
        <v>0</v>
      </c>
    </row>
    <row r="617" spans="1:57" s="188" customFormat="1" hidden="1" outlineLevel="1" x14ac:dyDescent="0.2">
      <c r="A617" s="141"/>
      <c r="B617" s="141"/>
      <c r="C617" s="142"/>
      <c r="D617" s="143"/>
      <c r="E617" s="187"/>
      <c r="F617" s="187"/>
      <c r="G617" s="187"/>
      <c r="H617" s="187"/>
      <c r="I617" s="144"/>
      <c r="J617" s="187"/>
      <c r="K617" s="187"/>
      <c r="L617" s="187"/>
      <c r="M617" s="187"/>
      <c r="N617" s="187"/>
      <c r="O617" s="187"/>
      <c r="P617" s="187"/>
      <c r="Q617" s="187"/>
      <c r="R617" s="187"/>
      <c r="S617" s="187"/>
      <c r="T617" s="187"/>
      <c r="U617" s="187"/>
      <c r="V617" s="187"/>
      <c r="W617" s="187"/>
      <c r="X617" s="187"/>
      <c r="Y617" s="187"/>
      <c r="Z617" s="187"/>
      <c r="AA617" s="187"/>
      <c r="AB617" s="187"/>
      <c r="AC617" s="187"/>
      <c r="AD617" s="187"/>
      <c r="AE617" s="187"/>
      <c r="AF617" s="187"/>
      <c r="AG617" s="187"/>
      <c r="AH617" s="187"/>
      <c r="AI617" s="187"/>
      <c r="AJ617" s="187"/>
      <c r="AK617" s="187"/>
      <c r="AL617" s="187"/>
      <c r="AM617" s="187"/>
      <c r="AN617" s="187"/>
      <c r="AO617" s="187"/>
      <c r="AP617" s="187"/>
      <c r="AQ617" s="187"/>
      <c r="AR617" s="187"/>
      <c r="AS617" s="187"/>
      <c r="AT617" s="187"/>
      <c r="AU617" s="187"/>
      <c r="AV617" s="187"/>
      <c r="AW617" s="187"/>
      <c r="AX617" s="187"/>
      <c r="AY617" s="187"/>
      <c r="AZ617" s="187"/>
      <c r="BA617" s="187"/>
      <c r="BB617" s="187"/>
      <c r="BC617" s="187"/>
      <c r="BD617" s="187"/>
      <c r="BE617" s="187"/>
    </row>
    <row r="618" spans="1:57" hidden="1" outlineLevel="1" x14ac:dyDescent="0.2">
      <c r="E618" s="538" t="str">
        <f xml:space="preserve"> Time!E$10</f>
        <v>Model column counter</v>
      </c>
      <c r="F618" s="538">
        <f xml:space="preserve"> Time!F$10</f>
        <v>0</v>
      </c>
      <c r="G618" s="538" t="str">
        <f xml:space="preserve"> Time!G$10</f>
        <v>counter</v>
      </c>
      <c r="H618" s="538">
        <f xml:space="preserve"> Time!H$10</f>
        <v>0</v>
      </c>
      <c r="I618" s="538">
        <f xml:space="preserve"> Time!I$10</f>
        <v>0</v>
      </c>
      <c r="J618" s="538">
        <f xml:space="preserve"> Time!J$10</f>
        <v>1</v>
      </c>
      <c r="K618" s="538">
        <f xml:space="preserve"> Time!K$10</f>
        <v>2</v>
      </c>
      <c r="L618" s="538">
        <f xml:space="preserve"> Time!L$10</f>
        <v>3</v>
      </c>
      <c r="M618" s="538">
        <f xml:space="preserve"> Time!M$10</f>
        <v>4</v>
      </c>
      <c r="N618" s="538">
        <f xml:space="preserve"> Time!N$10</f>
        <v>5</v>
      </c>
      <c r="O618" s="538">
        <f xml:space="preserve"> Time!O$10</f>
        <v>6</v>
      </c>
      <c r="P618" s="538">
        <f xml:space="preserve"> Time!P$10</f>
        <v>7</v>
      </c>
      <c r="Q618" s="538">
        <f xml:space="preserve"> Time!Q$10</f>
        <v>8</v>
      </c>
      <c r="R618" s="538">
        <f xml:space="preserve"> Time!R$10</f>
        <v>9</v>
      </c>
      <c r="S618" s="538">
        <f xml:space="preserve"> Time!S$10</f>
        <v>10</v>
      </c>
      <c r="T618" s="538">
        <f xml:space="preserve"> Time!T$10</f>
        <v>11</v>
      </c>
      <c r="U618" s="538">
        <f xml:space="preserve"> Time!U$10</f>
        <v>12</v>
      </c>
      <c r="V618" s="538">
        <f xml:space="preserve"> Time!V$10</f>
        <v>13</v>
      </c>
      <c r="W618" s="538">
        <f xml:space="preserve"> Time!W$10</f>
        <v>14</v>
      </c>
      <c r="X618" s="538">
        <f xml:space="preserve"> Time!X$10</f>
        <v>15</v>
      </c>
      <c r="Y618" s="538">
        <f xml:space="preserve"> Time!Y$10</f>
        <v>16</v>
      </c>
      <c r="Z618" s="538">
        <f xml:space="preserve"> Time!Z$10</f>
        <v>17</v>
      </c>
      <c r="AA618" s="538">
        <f xml:space="preserve"> Time!AA$10</f>
        <v>18</v>
      </c>
      <c r="AB618" s="538">
        <f xml:space="preserve"> Time!AB$10</f>
        <v>19</v>
      </c>
      <c r="AC618" s="538">
        <f xml:space="preserve"> Time!AC$10</f>
        <v>20</v>
      </c>
      <c r="AD618" s="538">
        <f xml:space="preserve"> Time!AD$10</f>
        <v>21</v>
      </c>
      <c r="AE618" s="538">
        <f xml:space="preserve"> Time!AE$10</f>
        <v>22</v>
      </c>
      <c r="AF618" s="538">
        <f xml:space="preserve"> Time!AF$10</f>
        <v>23</v>
      </c>
      <c r="AG618" s="538">
        <f xml:space="preserve"> Time!AG$10</f>
        <v>24</v>
      </c>
      <c r="AH618" s="538">
        <f xml:space="preserve"> Time!AH$10</f>
        <v>25</v>
      </c>
      <c r="AI618" s="538">
        <f xml:space="preserve"> Time!AI$10</f>
        <v>26</v>
      </c>
      <c r="AJ618" s="538">
        <f xml:space="preserve"> Time!AJ$10</f>
        <v>27</v>
      </c>
      <c r="AK618" s="538">
        <f xml:space="preserve"> Time!AK$10</f>
        <v>28</v>
      </c>
      <c r="AL618" s="538">
        <f xml:space="preserve"> Time!AL$10</f>
        <v>29</v>
      </c>
      <c r="AM618" s="538">
        <f xml:space="preserve"> Time!AM$10</f>
        <v>30</v>
      </c>
      <c r="AN618" s="538">
        <f xml:space="preserve"> Time!AN$10</f>
        <v>31</v>
      </c>
      <c r="AO618" s="538">
        <f xml:space="preserve"> Time!AO$10</f>
        <v>32</v>
      </c>
      <c r="AP618" s="538">
        <f xml:space="preserve"> Time!AP$10</f>
        <v>33</v>
      </c>
      <c r="AQ618" s="538">
        <f xml:space="preserve"> Time!AQ$10</f>
        <v>34</v>
      </c>
      <c r="AR618" s="538">
        <f xml:space="preserve"> Time!AR$10</f>
        <v>35</v>
      </c>
      <c r="AS618" s="538">
        <f xml:space="preserve"> Time!AS$10</f>
        <v>36</v>
      </c>
      <c r="AT618" s="538">
        <f xml:space="preserve"> Time!AT$10</f>
        <v>37</v>
      </c>
      <c r="AU618" s="538">
        <f xml:space="preserve"> Time!AU$10</f>
        <v>38</v>
      </c>
      <c r="AV618" s="538">
        <f xml:space="preserve"> Time!AV$10</f>
        <v>39</v>
      </c>
      <c r="AW618" s="538">
        <f xml:space="preserve"> Time!AW$10</f>
        <v>40</v>
      </c>
      <c r="AX618" s="538">
        <f xml:space="preserve"> Time!AX$10</f>
        <v>41</v>
      </c>
      <c r="AY618" s="538">
        <f xml:space="preserve"> Time!AY$10</f>
        <v>42</v>
      </c>
      <c r="AZ618" s="538">
        <f xml:space="preserve"> Time!AZ$10</f>
        <v>43</v>
      </c>
      <c r="BA618" s="538">
        <f xml:space="preserve"> Time!BA$10</f>
        <v>44</v>
      </c>
      <c r="BB618" s="538">
        <f xml:space="preserve"> Time!BB$10</f>
        <v>45</v>
      </c>
      <c r="BC618" s="538">
        <f xml:space="preserve"> Time!BC$10</f>
        <v>46</v>
      </c>
      <c r="BD618" s="538">
        <f xml:space="preserve"> Time!BD$10</f>
        <v>47</v>
      </c>
      <c r="BE618" s="538">
        <f xml:space="preserve"> Time!BE$10</f>
        <v>48</v>
      </c>
    </row>
    <row r="619" spans="1:57" hidden="1" outlineLevel="1" x14ac:dyDescent="0.2">
      <c r="E619" s="186" t="str">
        <f xml:space="preserve"> ConTime!E$56</f>
        <v>Model ops period counter - m</v>
      </c>
      <c r="F619" s="186">
        <f xml:space="preserve"> ConTime!F$56</f>
        <v>0</v>
      </c>
      <c r="G619" s="186" t="str">
        <f xml:space="preserve"> ConTime!G$56</f>
        <v>counter</v>
      </c>
      <c r="H619" s="186">
        <f xml:space="preserve"> ConTime!H$56</f>
        <v>0</v>
      </c>
      <c r="I619" s="186">
        <f xml:space="preserve"> ConTime!I$56</f>
        <v>0</v>
      </c>
      <c r="J619" s="186">
        <f xml:space="preserve"> ConTime!J$56</f>
        <v>1</v>
      </c>
      <c r="K619" s="186">
        <f xml:space="preserve"> ConTime!K$56</f>
        <v>1</v>
      </c>
      <c r="L619" s="186">
        <f xml:space="preserve"> ConTime!L$56</f>
        <v>1</v>
      </c>
      <c r="M619" s="186">
        <f xml:space="preserve"> ConTime!M$56</f>
        <v>1</v>
      </c>
      <c r="N619" s="186">
        <f xml:space="preserve"> ConTime!N$56</f>
        <v>1</v>
      </c>
      <c r="O619" s="186">
        <f xml:space="preserve"> ConTime!O$56</f>
        <v>1</v>
      </c>
      <c r="P619" s="186">
        <f xml:space="preserve"> ConTime!P$56</f>
        <v>2</v>
      </c>
      <c r="Q619" s="186">
        <f xml:space="preserve"> ConTime!Q$56</f>
        <v>2</v>
      </c>
      <c r="R619" s="186">
        <f xml:space="preserve"> ConTime!R$56</f>
        <v>2</v>
      </c>
      <c r="S619" s="186">
        <f xml:space="preserve"> ConTime!S$56</f>
        <v>2</v>
      </c>
      <c r="T619" s="186">
        <f xml:space="preserve"> ConTime!T$56</f>
        <v>2</v>
      </c>
      <c r="U619" s="186">
        <f xml:space="preserve"> ConTime!U$56</f>
        <v>2</v>
      </c>
      <c r="V619" s="186">
        <f xml:space="preserve"> ConTime!V$56</f>
        <v>3</v>
      </c>
      <c r="W619" s="186">
        <f xml:space="preserve"> ConTime!W$56</f>
        <v>3</v>
      </c>
      <c r="X619" s="186">
        <f xml:space="preserve"> ConTime!X$56</f>
        <v>3</v>
      </c>
      <c r="Y619" s="186">
        <f xml:space="preserve"> ConTime!Y$56</f>
        <v>3</v>
      </c>
      <c r="Z619" s="186">
        <f xml:space="preserve"> ConTime!Z$56</f>
        <v>3</v>
      </c>
      <c r="AA619" s="186">
        <f xml:space="preserve"> ConTime!AA$56</f>
        <v>3</v>
      </c>
      <c r="AB619" s="186">
        <f xml:space="preserve"> ConTime!AB$56</f>
        <v>4</v>
      </c>
      <c r="AC619" s="186">
        <f xml:space="preserve"> ConTime!AC$56</f>
        <v>4</v>
      </c>
      <c r="AD619" s="186">
        <f xml:space="preserve"> ConTime!AD$56</f>
        <v>4</v>
      </c>
      <c r="AE619" s="186">
        <f xml:space="preserve"> ConTime!AE$56</f>
        <v>4</v>
      </c>
      <c r="AF619" s="186">
        <f xml:space="preserve"> ConTime!AF$56</f>
        <v>4</v>
      </c>
      <c r="AG619" s="186">
        <f xml:space="preserve"> ConTime!AG$56</f>
        <v>4</v>
      </c>
      <c r="AH619" s="186">
        <f xml:space="preserve"> ConTime!AH$56</f>
        <v>5</v>
      </c>
      <c r="AI619" s="186">
        <f xml:space="preserve"> ConTime!AI$56</f>
        <v>5</v>
      </c>
      <c r="AJ619" s="186">
        <f xml:space="preserve"> ConTime!AJ$56</f>
        <v>5</v>
      </c>
      <c r="AK619" s="186">
        <f xml:space="preserve"> ConTime!AK$56</f>
        <v>5</v>
      </c>
      <c r="AL619" s="186">
        <f xml:space="preserve"> ConTime!AL$56</f>
        <v>5</v>
      </c>
      <c r="AM619" s="186">
        <f xml:space="preserve"> ConTime!AM$56</f>
        <v>5</v>
      </c>
      <c r="AN619" s="186">
        <f xml:space="preserve"> ConTime!AN$56</f>
        <v>6</v>
      </c>
      <c r="AO619" s="186">
        <f xml:space="preserve"> ConTime!AO$56</f>
        <v>6</v>
      </c>
      <c r="AP619" s="186">
        <f xml:space="preserve"> ConTime!AP$56</f>
        <v>6</v>
      </c>
      <c r="AQ619" s="186">
        <f xml:space="preserve"> ConTime!AQ$56</f>
        <v>6</v>
      </c>
      <c r="AR619" s="186">
        <f xml:space="preserve"> ConTime!AR$56</f>
        <v>6</v>
      </c>
      <c r="AS619" s="186">
        <f xml:space="preserve"> ConTime!AS$56</f>
        <v>6</v>
      </c>
      <c r="AT619" s="186">
        <f xml:space="preserve"> ConTime!AT$56</f>
        <v>7</v>
      </c>
      <c r="AU619" s="186">
        <f xml:space="preserve"> ConTime!AU$56</f>
        <v>7</v>
      </c>
      <c r="AV619" s="186">
        <f xml:space="preserve"> ConTime!AV$56</f>
        <v>7</v>
      </c>
      <c r="AW619" s="186">
        <f xml:space="preserve"> ConTime!AW$56</f>
        <v>7</v>
      </c>
      <c r="AX619" s="186">
        <f xml:space="preserve"> ConTime!AX$56</f>
        <v>7</v>
      </c>
      <c r="AY619" s="186">
        <f xml:space="preserve"> ConTime!AY$56</f>
        <v>7</v>
      </c>
      <c r="AZ619" s="186">
        <f xml:space="preserve"> ConTime!AZ$56</f>
        <v>8</v>
      </c>
      <c r="BA619" s="186">
        <f xml:space="preserve"> ConTime!BA$56</f>
        <v>8</v>
      </c>
      <c r="BB619" s="186">
        <f xml:space="preserve"> ConTime!BB$56</f>
        <v>8</v>
      </c>
      <c r="BC619" s="186">
        <f xml:space="preserve"> ConTime!BC$56</f>
        <v>8</v>
      </c>
      <c r="BD619" s="186">
        <f xml:space="preserve"> ConTime!BD$56</f>
        <v>8</v>
      </c>
      <c r="BE619" s="186">
        <f xml:space="preserve"> ConTime!BE$56</f>
        <v>8</v>
      </c>
    </row>
    <row r="620" spans="1:57" hidden="1" outlineLevel="1" x14ac:dyDescent="0.2">
      <c r="E620" s="12" t="str">
        <f t="shared" ref="E620:AJ620" si="1080" xml:space="preserve"> E$51</f>
        <v>Share capital drawdown - m</v>
      </c>
      <c r="F620" s="12">
        <f t="shared" si="1080"/>
        <v>0</v>
      </c>
      <c r="G620" s="12" t="str">
        <f t="shared" si="1080"/>
        <v>$ 000s</v>
      </c>
      <c r="H620" s="12">
        <f t="shared" si="1080"/>
        <v>100</v>
      </c>
      <c r="I620" s="12">
        <f t="shared" si="1080"/>
        <v>0</v>
      </c>
      <c r="J620" s="12">
        <f t="shared" si="1080"/>
        <v>0</v>
      </c>
      <c r="K620" s="12">
        <f t="shared" si="1080"/>
        <v>0</v>
      </c>
      <c r="L620" s="12">
        <f t="shared" si="1080"/>
        <v>0</v>
      </c>
      <c r="M620" s="12">
        <f t="shared" si="1080"/>
        <v>100</v>
      </c>
      <c r="N620" s="12">
        <f t="shared" si="1080"/>
        <v>0</v>
      </c>
      <c r="O620" s="12">
        <f t="shared" si="1080"/>
        <v>0</v>
      </c>
      <c r="P620" s="12">
        <f t="shared" si="1080"/>
        <v>0</v>
      </c>
      <c r="Q620" s="12">
        <f t="shared" si="1080"/>
        <v>0</v>
      </c>
      <c r="R620" s="12">
        <f t="shared" si="1080"/>
        <v>0</v>
      </c>
      <c r="S620" s="12">
        <f t="shared" si="1080"/>
        <v>0</v>
      </c>
      <c r="T620" s="12">
        <f t="shared" si="1080"/>
        <v>0</v>
      </c>
      <c r="U620" s="12">
        <f t="shared" si="1080"/>
        <v>0</v>
      </c>
      <c r="V620" s="12">
        <f t="shared" si="1080"/>
        <v>0</v>
      </c>
      <c r="W620" s="12">
        <f t="shared" si="1080"/>
        <v>0</v>
      </c>
      <c r="X620" s="12">
        <f t="shared" si="1080"/>
        <v>0</v>
      </c>
      <c r="Y620" s="12">
        <f t="shared" si="1080"/>
        <v>0</v>
      </c>
      <c r="Z620" s="12">
        <f t="shared" si="1080"/>
        <v>0</v>
      </c>
      <c r="AA620" s="12">
        <f t="shared" si="1080"/>
        <v>0</v>
      </c>
      <c r="AB620" s="12">
        <f t="shared" si="1080"/>
        <v>0</v>
      </c>
      <c r="AC620" s="12">
        <f t="shared" si="1080"/>
        <v>0</v>
      </c>
      <c r="AD620" s="12">
        <f t="shared" si="1080"/>
        <v>0</v>
      </c>
      <c r="AE620" s="12">
        <f t="shared" si="1080"/>
        <v>0</v>
      </c>
      <c r="AF620" s="12">
        <f t="shared" si="1080"/>
        <v>0</v>
      </c>
      <c r="AG620" s="12">
        <f t="shared" si="1080"/>
        <v>0</v>
      </c>
      <c r="AH620" s="12">
        <f t="shared" si="1080"/>
        <v>0</v>
      </c>
      <c r="AI620" s="12">
        <f t="shared" si="1080"/>
        <v>0</v>
      </c>
      <c r="AJ620" s="12">
        <f t="shared" si="1080"/>
        <v>0</v>
      </c>
      <c r="AK620" s="12">
        <f t="shared" ref="AK620:BE620" si="1081" xml:space="preserve"> AK$51</f>
        <v>0</v>
      </c>
      <c r="AL620" s="12">
        <f t="shared" si="1081"/>
        <v>0</v>
      </c>
      <c r="AM620" s="12">
        <f t="shared" si="1081"/>
        <v>0</v>
      </c>
      <c r="AN620" s="12">
        <f t="shared" si="1081"/>
        <v>0</v>
      </c>
      <c r="AO620" s="12">
        <f t="shared" si="1081"/>
        <v>0</v>
      </c>
      <c r="AP620" s="12">
        <f t="shared" si="1081"/>
        <v>0</v>
      </c>
      <c r="AQ620" s="12">
        <f t="shared" si="1081"/>
        <v>0</v>
      </c>
      <c r="AR620" s="12">
        <f t="shared" si="1081"/>
        <v>0</v>
      </c>
      <c r="AS620" s="12">
        <f t="shared" si="1081"/>
        <v>0</v>
      </c>
      <c r="AT620" s="12">
        <f t="shared" si="1081"/>
        <v>0</v>
      </c>
      <c r="AU620" s="12">
        <f t="shared" si="1081"/>
        <v>0</v>
      </c>
      <c r="AV620" s="12">
        <f t="shared" si="1081"/>
        <v>0</v>
      </c>
      <c r="AW620" s="12">
        <f t="shared" si="1081"/>
        <v>0</v>
      </c>
      <c r="AX620" s="12">
        <f t="shared" si="1081"/>
        <v>0</v>
      </c>
      <c r="AY620" s="12">
        <f t="shared" si="1081"/>
        <v>0</v>
      </c>
      <c r="AZ620" s="12">
        <f t="shared" si="1081"/>
        <v>0</v>
      </c>
      <c r="BA620" s="12">
        <f t="shared" si="1081"/>
        <v>0</v>
      </c>
      <c r="BB620" s="12">
        <f t="shared" si="1081"/>
        <v>0</v>
      </c>
      <c r="BC620" s="12">
        <f t="shared" si="1081"/>
        <v>0</v>
      </c>
      <c r="BD620" s="12">
        <f t="shared" si="1081"/>
        <v>0</v>
      </c>
      <c r="BE620" s="12">
        <f t="shared" si="1081"/>
        <v>0</v>
      </c>
    </row>
    <row r="621" spans="1:57" s="629" customFormat="1" hidden="1" outlineLevel="1" x14ac:dyDescent="0.2">
      <c r="A621" s="904"/>
      <c r="B621" s="904"/>
      <c r="C621" s="905"/>
      <c r="D621" s="906"/>
      <c r="E621" s="907" t="s">
        <v>147</v>
      </c>
      <c r="F621" s="907"/>
      <c r="G621" s="907" t="str">
        <f xml:space="preserve"> SMU</f>
        <v>$ 000s</v>
      </c>
      <c r="H621" s="907">
        <f xml:space="preserve"> SUM(J621:BE621)</f>
        <v>100</v>
      </c>
      <c r="I621" s="908"/>
      <c r="J621" s="907">
        <f t="shared" ref="J621" si="1082" xml:space="preserve"> SUMIF($J619:$BE619, J618, $J620:$BE620)</f>
        <v>100</v>
      </c>
      <c r="K621" s="907">
        <f t="shared" ref="K621" si="1083" xml:space="preserve"> SUMIF($J619:$BE619, K618, $J620:$BE620)</f>
        <v>0</v>
      </c>
      <c r="L621" s="907">
        <f t="shared" ref="L621" si="1084" xml:space="preserve"> SUMIF($J619:$BE619, L618, $J620:$BE620)</f>
        <v>0</v>
      </c>
      <c r="M621" s="907">
        <f t="shared" ref="M621" si="1085" xml:space="preserve"> SUMIF($J619:$BE619, M618, $J620:$BE620)</f>
        <v>0</v>
      </c>
      <c r="N621" s="907">
        <f t="shared" ref="N621" si="1086" xml:space="preserve"> SUMIF($J619:$BE619, N618, $J620:$BE620)</f>
        <v>0</v>
      </c>
      <c r="O621" s="907">
        <f t="shared" ref="O621" si="1087" xml:space="preserve"> SUMIF($J619:$BE619, O618, $J620:$BE620)</f>
        <v>0</v>
      </c>
      <c r="P621" s="907">
        <f t="shared" ref="P621" si="1088" xml:space="preserve"> SUMIF($J619:$BE619, P618, $J620:$BE620)</f>
        <v>0</v>
      </c>
      <c r="Q621" s="907">
        <f t="shared" ref="Q621" si="1089" xml:space="preserve"> SUMIF($J619:$BE619, Q618, $J620:$BE620)</f>
        <v>0</v>
      </c>
      <c r="R621" s="907">
        <f t="shared" ref="R621" si="1090" xml:space="preserve"> SUMIF($J619:$BE619, R618, $J620:$BE620)</f>
        <v>0</v>
      </c>
      <c r="S621" s="907">
        <f t="shared" ref="S621" si="1091" xml:space="preserve"> SUMIF($J619:$BE619, S618, $J620:$BE620)</f>
        <v>0</v>
      </c>
      <c r="T621" s="907">
        <f t="shared" ref="T621" si="1092" xml:space="preserve"> SUMIF($J619:$BE619, T618, $J620:$BE620)</f>
        <v>0</v>
      </c>
      <c r="U621" s="907">
        <f t="shared" ref="U621" si="1093" xml:space="preserve"> SUMIF($J619:$BE619, U618, $J620:$BE620)</f>
        <v>0</v>
      </c>
      <c r="V621" s="907">
        <f t="shared" ref="V621" si="1094" xml:space="preserve"> SUMIF($J619:$BE619, V618, $J620:$BE620)</f>
        <v>0</v>
      </c>
      <c r="W621" s="907">
        <f t="shared" ref="W621" si="1095" xml:space="preserve"> SUMIF($J619:$BE619, W618, $J620:$BE620)</f>
        <v>0</v>
      </c>
      <c r="X621" s="907">
        <f t="shared" ref="X621" si="1096" xml:space="preserve"> SUMIF($J619:$BE619, X618, $J620:$BE620)</f>
        <v>0</v>
      </c>
      <c r="Y621" s="907">
        <f t="shared" ref="Y621" si="1097" xml:space="preserve"> SUMIF($J619:$BE619, Y618, $J620:$BE620)</f>
        <v>0</v>
      </c>
      <c r="Z621" s="907">
        <f t="shared" ref="Z621" si="1098" xml:space="preserve"> SUMIF($J619:$BE619, Z618, $J620:$BE620)</f>
        <v>0</v>
      </c>
      <c r="AA621" s="907">
        <f t="shared" ref="AA621" si="1099" xml:space="preserve"> SUMIF($J619:$BE619, AA618, $J620:$BE620)</f>
        <v>0</v>
      </c>
      <c r="AB621" s="907">
        <f t="shared" ref="AB621" si="1100" xml:space="preserve"> SUMIF($J619:$BE619, AB618, $J620:$BE620)</f>
        <v>0</v>
      </c>
      <c r="AC621" s="907">
        <f t="shared" ref="AC621" si="1101" xml:space="preserve"> SUMIF($J619:$BE619, AC618, $J620:$BE620)</f>
        <v>0</v>
      </c>
      <c r="AD621" s="907">
        <f t="shared" ref="AD621" si="1102" xml:space="preserve"> SUMIF($J619:$BE619, AD618, $J620:$BE620)</f>
        <v>0</v>
      </c>
      <c r="AE621" s="907">
        <f t="shared" ref="AE621" si="1103" xml:space="preserve"> SUMIF($J619:$BE619, AE618, $J620:$BE620)</f>
        <v>0</v>
      </c>
      <c r="AF621" s="907">
        <f t="shared" ref="AF621" si="1104" xml:space="preserve"> SUMIF($J619:$BE619, AF618, $J620:$BE620)</f>
        <v>0</v>
      </c>
      <c r="AG621" s="907">
        <f t="shared" ref="AG621" si="1105" xml:space="preserve"> SUMIF($J619:$BE619, AG618, $J620:$BE620)</f>
        <v>0</v>
      </c>
      <c r="AH621" s="907">
        <f t="shared" ref="AH621" si="1106" xml:space="preserve"> SUMIF($J619:$BE619, AH618, $J620:$BE620)</f>
        <v>0</v>
      </c>
      <c r="AI621" s="907">
        <f t="shared" ref="AI621" si="1107" xml:space="preserve"> SUMIF($J619:$BE619, AI618, $J620:$BE620)</f>
        <v>0</v>
      </c>
      <c r="AJ621" s="907">
        <f t="shared" ref="AJ621" si="1108" xml:space="preserve"> SUMIF($J619:$BE619, AJ618, $J620:$BE620)</f>
        <v>0</v>
      </c>
      <c r="AK621" s="907">
        <f t="shared" ref="AK621" si="1109" xml:space="preserve"> SUMIF($J619:$BE619, AK618, $J620:$BE620)</f>
        <v>0</v>
      </c>
      <c r="AL621" s="907">
        <f t="shared" ref="AL621" si="1110" xml:space="preserve"> SUMIF($J619:$BE619, AL618, $J620:$BE620)</f>
        <v>0</v>
      </c>
      <c r="AM621" s="907">
        <f t="shared" ref="AM621" si="1111" xml:space="preserve"> SUMIF($J619:$BE619, AM618, $J620:$BE620)</f>
        <v>0</v>
      </c>
      <c r="AN621" s="907">
        <f t="shared" ref="AN621" si="1112" xml:space="preserve"> SUMIF($J619:$BE619, AN618, $J620:$BE620)</f>
        <v>0</v>
      </c>
      <c r="AO621" s="907">
        <f t="shared" ref="AO621" si="1113" xml:space="preserve"> SUMIF($J619:$BE619, AO618, $J620:$BE620)</f>
        <v>0</v>
      </c>
      <c r="AP621" s="907">
        <f t="shared" ref="AP621" si="1114" xml:space="preserve"> SUMIF($J619:$BE619, AP618, $J620:$BE620)</f>
        <v>0</v>
      </c>
      <c r="AQ621" s="907">
        <f t="shared" ref="AQ621" si="1115" xml:space="preserve"> SUMIF($J619:$BE619, AQ618, $J620:$BE620)</f>
        <v>0</v>
      </c>
      <c r="AR621" s="907">
        <f t="shared" ref="AR621" si="1116" xml:space="preserve"> SUMIF($J619:$BE619, AR618, $J620:$BE620)</f>
        <v>0</v>
      </c>
      <c r="AS621" s="907">
        <f t="shared" ref="AS621" si="1117" xml:space="preserve"> SUMIF($J619:$BE619, AS618, $J620:$BE620)</f>
        <v>0</v>
      </c>
      <c r="AT621" s="907">
        <f t="shared" ref="AT621" si="1118" xml:space="preserve"> SUMIF($J619:$BE619, AT618, $J620:$BE620)</f>
        <v>0</v>
      </c>
      <c r="AU621" s="907">
        <f t="shared" ref="AU621" si="1119" xml:space="preserve"> SUMIF($J619:$BE619, AU618, $J620:$BE620)</f>
        <v>0</v>
      </c>
      <c r="AV621" s="907">
        <f t="shared" ref="AV621" si="1120" xml:space="preserve"> SUMIF($J619:$BE619, AV618, $J620:$BE620)</f>
        <v>0</v>
      </c>
      <c r="AW621" s="907">
        <f t="shared" ref="AW621" si="1121" xml:space="preserve"> SUMIF($J619:$BE619, AW618, $J620:$BE620)</f>
        <v>0</v>
      </c>
      <c r="AX621" s="907">
        <f t="shared" ref="AX621" si="1122" xml:space="preserve"> SUMIF($J619:$BE619, AX618, $J620:$BE620)</f>
        <v>0</v>
      </c>
      <c r="AY621" s="907">
        <f t="shared" ref="AY621" si="1123" xml:space="preserve"> SUMIF($J619:$BE619, AY618, $J620:$BE620)</f>
        <v>0</v>
      </c>
      <c r="AZ621" s="907">
        <f t="shared" ref="AZ621" si="1124" xml:space="preserve"> SUMIF($J619:$BE619, AZ618, $J620:$BE620)</f>
        <v>0</v>
      </c>
      <c r="BA621" s="907">
        <f t="shared" ref="BA621" si="1125" xml:space="preserve"> SUMIF($J619:$BE619, BA618, $J620:$BE620)</f>
        <v>0</v>
      </c>
      <c r="BB621" s="907">
        <f t="shared" ref="BB621" si="1126" xml:space="preserve"> SUMIF($J619:$BE619, BB618, $J620:$BE620)</f>
        <v>0</v>
      </c>
      <c r="BC621" s="907">
        <f t="shared" ref="BC621" si="1127" xml:space="preserve"> SUMIF($J619:$BE619, BC618, $J620:$BE620)</f>
        <v>0</v>
      </c>
      <c r="BD621" s="907">
        <f t="shared" ref="BD621" si="1128" xml:space="preserve"> SUMIF($J619:$BE619, BD618, $J620:$BE620)</f>
        <v>0</v>
      </c>
      <c r="BE621" s="907">
        <f t="shared" ref="BE621" si="1129" xml:space="preserve"> SUMIF($J619:$BE619, BE618, $J620:$BE620)</f>
        <v>0</v>
      </c>
    </row>
    <row r="622" spans="1:57" s="188" customFormat="1" hidden="1" outlineLevel="1" x14ac:dyDescent="0.2">
      <c r="A622" s="141"/>
      <c r="B622" s="141"/>
      <c r="C622" s="142"/>
      <c r="D622" s="143"/>
      <c r="E622" s="187"/>
      <c r="F622" s="187"/>
      <c r="G622" s="187"/>
      <c r="H622" s="187"/>
      <c r="I622" s="144"/>
      <c r="J622" s="187"/>
      <c r="K622" s="187"/>
      <c r="L622" s="187"/>
      <c r="M622" s="187"/>
      <c r="N622" s="187"/>
      <c r="O622" s="187"/>
      <c r="P622" s="187"/>
      <c r="Q622" s="187"/>
      <c r="R622" s="187"/>
      <c r="S622" s="187"/>
      <c r="T622" s="187"/>
      <c r="U622" s="187"/>
      <c r="V622" s="187"/>
      <c r="W622" s="187"/>
      <c r="X622" s="187"/>
      <c r="Y622" s="187"/>
      <c r="Z622" s="187"/>
      <c r="AA622" s="187"/>
      <c r="AB622" s="187"/>
      <c r="AC622" s="187"/>
      <c r="AD622" s="187"/>
      <c r="AE622" s="187"/>
      <c r="AF622" s="187"/>
      <c r="AG622" s="187"/>
      <c r="AH622" s="187"/>
      <c r="AI622" s="187"/>
      <c r="AJ622" s="187"/>
      <c r="AK622" s="187"/>
      <c r="AL622" s="187"/>
      <c r="AM622" s="187"/>
      <c r="AN622" s="187"/>
      <c r="AO622" s="187"/>
      <c r="AP622" s="187"/>
      <c r="AQ622" s="187"/>
      <c r="AR622" s="187"/>
      <c r="AS622" s="187"/>
      <c r="AT622" s="187"/>
      <c r="AU622" s="187"/>
      <c r="AV622" s="187"/>
      <c r="AW622" s="187"/>
      <c r="AX622" s="187"/>
      <c r="AY622" s="187"/>
      <c r="AZ622" s="187"/>
      <c r="BA622" s="187"/>
      <c r="BB622" s="187"/>
      <c r="BC622" s="187"/>
      <c r="BD622" s="187"/>
      <c r="BE622" s="187"/>
    </row>
    <row r="623" spans="1:57" hidden="1" outlineLevel="1" x14ac:dyDescent="0.2">
      <c r="E623" s="538" t="str">
        <f xml:space="preserve"> Time!E$10</f>
        <v>Model column counter</v>
      </c>
      <c r="F623" s="538">
        <f xml:space="preserve"> Time!F$10</f>
        <v>0</v>
      </c>
      <c r="G623" s="538" t="str">
        <f xml:space="preserve"> Time!G$10</f>
        <v>counter</v>
      </c>
      <c r="H623" s="538">
        <f xml:space="preserve"> Time!H$10</f>
        <v>0</v>
      </c>
      <c r="I623" s="538">
        <f xml:space="preserve"> Time!I$10</f>
        <v>0</v>
      </c>
      <c r="J623" s="538">
        <f xml:space="preserve"> Time!J$10</f>
        <v>1</v>
      </c>
      <c r="K623" s="538">
        <f xml:space="preserve"> Time!K$10</f>
        <v>2</v>
      </c>
      <c r="L623" s="538">
        <f xml:space="preserve"> Time!L$10</f>
        <v>3</v>
      </c>
      <c r="M623" s="538">
        <f xml:space="preserve"> Time!M$10</f>
        <v>4</v>
      </c>
      <c r="N623" s="538">
        <f xml:space="preserve"> Time!N$10</f>
        <v>5</v>
      </c>
      <c r="O623" s="538">
        <f xml:space="preserve"> Time!O$10</f>
        <v>6</v>
      </c>
      <c r="P623" s="538">
        <f xml:space="preserve"> Time!P$10</f>
        <v>7</v>
      </c>
      <c r="Q623" s="538">
        <f xml:space="preserve"> Time!Q$10</f>
        <v>8</v>
      </c>
      <c r="R623" s="538">
        <f xml:space="preserve"> Time!R$10</f>
        <v>9</v>
      </c>
      <c r="S623" s="538">
        <f xml:space="preserve"> Time!S$10</f>
        <v>10</v>
      </c>
      <c r="T623" s="538">
        <f xml:space="preserve"> Time!T$10</f>
        <v>11</v>
      </c>
      <c r="U623" s="538">
        <f xml:space="preserve"> Time!U$10</f>
        <v>12</v>
      </c>
      <c r="V623" s="538">
        <f xml:space="preserve"> Time!V$10</f>
        <v>13</v>
      </c>
      <c r="W623" s="538">
        <f xml:space="preserve"> Time!W$10</f>
        <v>14</v>
      </c>
      <c r="X623" s="538">
        <f xml:space="preserve"> Time!X$10</f>
        <v>15</v>
      </c>
      <c r="Y623" s="538">
        <f xml:space="preserve"> Time!Y$10</f>
        <v>16</v>
      </c>
      <c r="Z623" s="538">
        <f xml:space="preserve"> Time!Z$10</f>
        <v>17</v>
      </c>
      <c r="AA623" s="538">
        <f xml:space="preserve"> Time!AA$10</f>
        <v>18</v>
      </c>
      <c r="AB623" s="538">
        <f xml:space="preserve"> Time!AB$10</f>
        <v>19</v>
      </c>
      <c r="AC623" s="538">
        <f xml:space="preserve"> Time!AC$10</f>
        <v>20</v>
      </c>
      <c r="AD623" s="538">
        <f xml:space="preserve"> Time!AD$10</f>
        <v>21</v>
      </c>
      <c r="AE623" s="538">
        <f xml:space="preserve"> Time!AE$10</f>
        <v>22</v>
      </c>
      <c r="AF623" s="538">
        <f xml:space="preserve"> Time!AF$10</f>
        <v>23</v>
      </c>
      <c r="AG623" s="538">
        <f xml:space="preserve"> Time!AG$10</f>
        <v>24</v>
      </c>
      <c r="AH623" s="538">
        <f xml:space="preserve"> Time!AH$10</f>
        <v>25</v>
      </c>
      <c r="AI623" s="538">
        <f xml:space="preserve"> Time!AI$10</f>
        <v>26</v>
      </c>
      <c r="AJ623" s="538">
        <f xml:space="preserve"> Time!AJ$10</f>
        <v>27</v>
      </c>
      <c r="AK623" s="538">
        <f xml:space="preserve"> Time!AK$10</f>
        <v>28</v>
      </c>
      <c r="AL623" s="538">
        <f xml:space="preserve"> Time!AL$10</f>
        <v>29</v>
      </c>
      <c r="AM623" s="538">
        <f xml:space="preserve"> Time!AM$10</f>
        <v>30</v>
      </c>
      <c r="AN623" s="538">
        <f xml:space="preserve"> Time!AN$10</f>
        <v>31</v>
      </c>
      <c r="AO623" s="538">
        <f xml:space="preserve"> Time!AO$10</f>
        <v>32</v>
      </c>
      <c r="AP623" s="538">
        <f xml:space="preserve"> Time!AP$10</f>
        <v>33</v>
      </c>
      <c r="AQ623" s="538">
        <f xml:space="preserve"> Time!AQ$10</f>
        <v>34</v>
      </c>
      <c r="AR623" s="538">
        <f xml:space="preserve"> Time!AR$10</f>
        <v>35</v>
      </c>
      <c r="AS623" s="538">
        <f xml:space="preserve"> Time!AS$10</f>
        <v>36</v>
      </c>
      <c r="AT623" s="538">
        <f xml:space="preserve"> Time!AT$10</f>
        <v>37</v>
      </c>
      <c r="AU623" s="538">
        <f xml:space="preserve"> Time!AU$10</f>
        <v>38</v>
      </c>
      <c r="AV623" s="538">
        <f xml:space="preserve"> Time!AV$10</f>
        <v>39</v>
      </c>
      <c r="AW623" s="538">
        <f xml:space="preserve"> Time!AW$10</f>
        <v>40</v>
      </c>
      <c r="AX623" s="538">
        <f xml:space="preserve"> Time!AX$10</f>
        <v>41</v>
      </c>
      <c r="AY623" s="538">
        <f xml:space="preserve"> Time!AY$10</f>
        <v>42</v>
      </c>
      <c r="AZ623" s="538">
        <f xml:space="preserve"> Time!AZ$10</f>
        <v>43</v>
      </c>
      <c r="BA623" s="538">
        <f xml:space="preserve"> Time!BA$10</f>
        <v>44</v>
      </c>
      <c r="BB623" s="538">
        <f xml:space="preserve"> Time!BB$10</f>
        <v>45</v>
      </c>
      <c r="BC623" s="538">
        <f xml:space="preserve"> Time!BC$10</f>
        <v>46</v>
      </c>
      <c r="BD623" s="538">
        <f xml:space="preserve"> Time!BD$10</f>
        <v>47</v>
      </c>
      <c r="BE623" s="538">
        <f xml:space="preserve"> Time!BE$10</f>
        <v>48</v>
      </c>
    </row>
    <row r="624" spans="1:57" hidden="1" outlineLevel="1" x14ac:dyDescent="0.2">
      <c r="E624" s="186" t="str">
        <f xml:space="preserve"> ConTime!E$56</f>
        <v>Model ops period counter - m</v>
      </c>
      <c r="F624" s="186">
        <f xml:space="preserve"> ConTime!F$56</f>
        <v>0</v>
      </c>
      <c r="G624" s="186" t="str">
        <f xml:space="preserve"> ConTime!G$56</f>
        <v>counter</v>
      </c>
      <c r="H624" s="186">
        <f xml:space="preserve"> ConTime!H$56</f>
        <v>0</v>
      </c>
      <c r="I624" s="186">
        <f xml:space="preserve"> ConTime!I$56</f>
        <v>0</v>
      </c>
      <c r="J624" s="186">
        <f xml:space="preserve"> ConTime!J$56</f>
        <v>1</v>
      </c>
      <c r="K624" s="186">
        <f xml:space="preserve"> ConTime!K$56</f>
        <v>1</v>
      </c>
      <c r="L624" s="186">
        <f xml:space="preserve"> ConTime!L$56</f>
        <v>1</v>
      </c>
      <c r="M624" s="186">
        <f xml:space="preserve"> ConTime!M$56</f>
        <v>1</v>
      </c>
      <c r="N624" s="186">
        <f xml:space="preserve"> ConTime!N$56</f>
        <v>1</v>
      </c>
      <c r="O624" s="186">
        <f xml:space="preserve"> ConTime!O$56</f>
        <v>1</v>
      </c>
      <c r="P624" s="186">
        <f xml:space="preserve"> ConTime!P$56</f>
        <v>2</v>
      </c>
      <c r="Q624" s="186">
        <f xml:space="preserve"> ConTime!Q$56</f>
        <v>2</v>
      </c>
      <c r="R624" s="186">
        <f xml:space="preserve"> ConTime!R$56</f>
        <v>2</v>
      </c>
      <c r="S624" s="186">
        <f xml:space="preserve"> ConTime!S$56</f>
        <v>2</v>
      </c>
      <c r="T624" s="186">
        <f xml:space="preserve"> ConTime!T$56</f>
        <v>2</v>
      </c>
      <c r="U624" s="186">
        <f xml:space="preserve"> ConTime!U$56</f>
        <v>2</v>
      </c>
      <c r="V624" s="186">
        <f xml:space="preserve"> ConTime!V$56</f>
        <v>3</v>
      </c>
      <c r="W624" s="186">
        <f xml:space="preserve"> ConTime!W$56</f>
        <v>3</v>
      </c>
      <c r="X624" s="186">
        <f xml:space="preserve"> ConTime!X$56</f>
        <v>3</v>
      </c>
      <c r="Y624" s="186">
        <f xml:space="preserve"> ConTime!Y$56</f>
        <v>3</v>
      </c>
      <c r="Z624" s="186">
        <f xml:space="preserve"> ConTime!Z$56</f>
        <v>3</v>
      </c>
      <c r="AA624" s="186">
        <f xml:space="preserve"> ConTime!AA$56</f>
        <v>3</v>
      </c>
      <c r="AB624" s="186">
        <f xml:space="preserve"> ConTime!AB$56</f>
        <v>4</v>
      </c>
      <c r="AC624" s="186">
        <f xml:space="preserve"> ConTime!AC$56</f>
        <v>4</v>
      </c>
      <c r="AD624" s="186">
        <f xml:space="preserve"> ConTime!AD$56</f>
        <v>4</v>
      </c>
      <c r="AE624" s="186">
        <f xml:space="preserve"> ConTime!AE$56</f>
        <v>4</v>
      </c>
      <c r="AF624" s="186">
        <f xml:space="preserve"> ConTime!AF$56</f>
        <v>4</v>
      </c>
      <c r="AG624" s="186">
        <f xml:space="preserve"> ConTime!AG$56</f>
        <v>4</v>
      </c>
      <c r="AH624" s="186">
        <f xml:space="preserve"> ConTime!AH$56</f>
        <v>5</v>
      </c>
      <c r="AI624" s="186">
        <f xml:space="preserve"> ConTime!AI$56</f>
        <v>5</v>
      </c>
      <c r="AJ624" s="186">
        <f xml:space="preserve"> ConTime!AJ$56</f>
        <v>5</v>
      </c>
      <c r="AK624" s="186">
        <f xml:space="preserve"> ConTime!AK$56</f>
        <v>5</v>
      </c>
      <c r="AL624" s="186">
        <f xml:space="preserve"> ConTime!AL$56</f>
        <v>5</v>
      </c>
      <c r="AM624" s="186">
        <f xml:space="preserve"> ConTime!AM$56</f>
        <v>5</v>
      </c>
      <c r="AN624" s="186">
        <f xml:space="preserve"> ConTime!AN$56</f>
        <v>6</v>
      </c>
      <c r="AO624" s="186">
        <f xml:space="preserve"> ConTime!AO$56</f>
        <v>6</v>
      </c>
      <c r="AP624" s="186">
        <f xml:space="preserve"> ConTime!AP$56</f>
        <v>6</v>
      </c>
      <c r="AQ624" s="186">
        <f xml:space="preserve"> ConTime!AQ$56</f>
        <v>6</v>
      </c>
      <c r="AR624" s="186">
        <f xml:space="preserve"> ConTime!AR$56</f>
        <v>6</v>
      </c>
      <c r="AS624" s="186">
        <f xml:space="preserve"> ConTime!AS$56</f>
        <v>6</v>
      </c>
      <c r="AT624" s="186">
        <f xml:space="preserve"> ConTime!AT$56</f>
        <v>7</v>
      </c>
      <c r="AU624" s="186">
        <f xml:space="preserve"> ConTime!AU$56</f>
        <v>7</v>
      </c>
      <c r="AV624" s="186">
        <f xml:space="preserve"> ConTime!AV$56</f>
        <v>7</v>
      </c>
      <c r="AW624" s="186">
        <f xml:space="preserve"> ConTime!AW$56</f>
        <v>7</v>
      </c>
      <c r="AX624" s="186">
        <f xml:space="preserve"> ConTime!AX$56</f>
        <v>7</v>
      </c>
      <c r="AY624" s="186">
        <f xml:space="preserve"> ConTime!AY$56</f>
        <v>7</v>
      </c>
      <c r="AZ624" s="186">
        <f xml:space="preserve"> ConTime!AZ$56</f>
        <v>8</v>
      </c>
      <c r="BA624" s="186">
        <f xml:space="preserve"> ConTime!BA$56</f>
        <v>8</v>
      </c>
      <c r="BB624" s="186">
        <f xml:space="preserve"> ConTime!BB$56</f>
        <v>8</v>
      </c>
      <c r="BC624" s="186">
        <f xml:space="preserve"> ConTime!BC$56</f>
        <v>8</v>
      </c>
      <c r="BD624" s="186">
        <f xml:space="preserve"> ConTime!BD$56</f>
        <v>8</v>
      </c>
      <c r="BE624" s="186">
        <f xml:space="preserve"> ConTime!BE$56</f>
        <v>8</v>
      </c>
    </row>
    <row r="625" spans="1:57" hidden="1" outlineLevel="1" x14ac:dyDescent="0.2">
      <c r="E625" s="12" t="str">
        <f t="shared" ref="E625:AJ625" si="1130" xml:space="preserve"> E$86</f>
        <v>Shareholder drawdown - m</v>
      </c>
      <c r="F625" s="12">
        <f t="shared" si="1130"/>
        <v>0</v>
      </c>
      <c r="G625" s="12" t="str">
        <f t="shared" si="1130"/>
        <v>$ 000s</v>
      </c>
      <c r="H625" s="12">
        <f t="shared" si="1130"/>
        <v>86318.253106861201</v>
      </c>
      <c r="I625" s="12">
        <f t="shared" si="1130"/>
        <v>0</v>
      </c>
      <c r="J625" s="12">
        <f t="shared" si="1130"/>
        <v>0</v>
      </c>
      <c r="K625" s="12">
        <f t="shared" si="1130"/>
        <v>0</v>
      </c>
      <c r="L625" s="12">
        <f t="shared" si="1130"/>
        <v>0</v>
      </c>
      <c r="M625" s="12">
        <f t="shared" si="1130"/>
        <v>0</v>
      </c>
      <c r="N625" s="12">
        <f t="shared" si="1130"/>
        <v>0</v>
      </c>
      <c r="O625" s="12">
        <f t="shared" si="1130"/>
        <v>0</v>
      </c>
      <c r="P625" s="12">
        <f t="shared" si="1130"/>
        <v>0</v>
      </c>
      <c r="Q625" s="12">
        <f t="shared" si="1130"/>
        <v>0</v>
      </c>
      <c r="R625" s="12">
        <f t="shared" si="1130"/>
        <v>0</v>
      </c>
      <c r="S625" s="12">
        <f t="shared" si="1130"/>
        <v>0</v>
      </c>
      <c r="T625" s="12">
        <f t="shared" si="1130"/>
        <v>0</v>
      </c>
      <c r="U625" s="12">
        <f t="shared" si="1130"/>
        <v>0</v>
      </c>
      <c r="V625" s="12">
        <f t="shared" si="1130"/>
        <v>0</v>
      </c>
      <c r="W625" s="12">
        <f t="shared" si="1130"/>
        <v>0</v>
      </c>
      <c r="X625" s="12">
        <f t="shared" si="1130"/>
        <v>0</v>
      </c>
      <c r="Y625" s="12">
        <f t="shared" si="1130"/>
        <v>0</v>
      </c>
      <c r="Z625" s="12">
        <f t="shared" si="1130"/>
        <v>0</v>
      </c>
      <c r="AA625" s="12">
        <f t="shared" si="1130"/>
        <v>0</v>
      </c>
      <c r="AB625" s="12">
        <f t="shared" si="1130"/>
        <v>0</v>
      </c>
      <c r="AC625" s="12">
        <f t="shared" si="1130"/>
        <v>0</v>
      </c>
      <c r="AD625" s="12">
        <f t="shared" si="1130"/>
        <v>0</v>
      </c>
      <c r="AE625" s="12">
        <f t="shared" si="1130"/>
        <v>0</v>
      </c>
      <c r="AF625" s="12">
        <f t="shared" si="1130"/>
        <v>0</v>
      </c>
      <c r="AG625" s="12">
        <f t="shared" si="1130"/>
        <v>0</v>
      </c>
      <c r="AH625" s="12">
        <f t="shared" si="1130"/>
        <v>0</v>
      </c>
      <c r="AI625" s="12">
        <f t="shared" si="1130"/>
        <v>0</v>
      </c>
      <c r="AJ625" s="12">
        <f t="shared" si="1130"/>
        <v>0</v>
      </c>
      <c r="AK625" s="12">
        <f t="shared" ref="AK625:BE625" si="1131" xml:space="preserve"> AK$86</f>
        <v>0</v>
      </c>
      <c r="AL625" s="12">
        <f t="shared" si="1131"/>
        <v>0</v>
      </c>
      <c r="AM625" s="12">
        <f t="shared" si="1131"/>
        <v>86318.253106861201</v>
      </c>
      <c r="AN625" s="12">
        <f t="shared" si="1131"/>
        <v>0</v>
      </c>
      <c r="AO625" s="12">
        <f t="shared" si="1131"/>
        <v>0</v>
      </c>
      <c r="AP625" s="12">
        <f t="shared" si="1131"/>
        <v>0</v>
      </c>
      <c r="AQ625" s="12">
        <f t="shared" si="1131"/>
        <v>0</v>
      </c>
      <c r="AR625" s="12">
        <f t="shared" si="1131"/>
        <v>0</v>
      </c>
      <c r="AS625" s="12">
        <f t="shared" si="1131"/>
        <v>0</v>
      </c>
      <c r="AT625" s="12">
        <f t="shared" si="1131"/>
        <v>0</v>
      </c>
      <c r="AU625" s="12">
        <f t="shared" si="1131"/>
        <v>0</v>
      </c>
      <c r="AV625" s="12">
        <f t="shared" si="1131"/>
        <v>0</v>
      </c>
      <c r="AW625" s="12">
        <f t="shared" si="1131"/>
        <v>0</v>
      </c>
      <c r="AX625" s="12">
        <f t="shared" si="1131"/>
        <v>0</v>
      </c>
      <c r="AY625" s="12">
        <f t="shared" si="1131"/>
        <v>0</v>
      </c>
      <c r="AZ625" s="12">
        <f t="shared" si="1131"/>
        <v>0</v>
      </c>
      <c r="BA625" s="12">
        <f t="shared" si="1131"/>
        <v>0</v>
      </c>
      <c r="BB625" s="12">
        <f t="shared" si="1131"/>
        <v>0</v>
      </c>
      <c r="BC625" s="12">
        <f t="shared" si="1131"/>
        <v>0</v>
      </c>
      <c r="BD625" s="12">
        <f t="shared" si="1131"/>
        <v>0</v>
      </c>
      <c r="BE625" s="12">
        <f t="shared" si="1131"/>
        <v>0</v>
      </c>
    </row>
    <row r="626" spans="1:57" s="629" customFormat="1" hidden="1" outlineLevel="1" x14ac:dyDescent="0.2">
      <c r="A626" s="904"/>
      <c r="B626" s="904"/>
      <c r="C626" s="905"/>
      <c r="D626" s="906"/>
      <c r="E626" s="907" t="s">
        <v>849</v>
      </c>
      <c r="F626" s="907"/>
      <c r="G626" s="907" t="str">
        <f xml:space="preserve"> SMU</f>
        <v>$ 000s</v>
      </c>
      <c r="H626" s="907">
        <f xml:space="preserve"> SUM(J626:BE626)</f>
        <v>86318.253106861201</v>
      </c>
      <c r="I626" s="908"/>
      <c r="J626" s="907">
        <f t="shared" ref="J626:BE626" si="1132" xml:space="preserve"> SUMIF($J624:$BE624, J623, $J625:$BE625)</f>
        <v>0</v>
      </c>
      <c r="K626" s="907">
        <f t="shared" si="1132"/>
        <v>0</v>
      </c>
      <c r="L626" s="907">
        <f t="shared" si="1132"/>
        <v>0</v>
      </c>
      <c r="M626" s="907">
        <f t="shared" si="1132"/>
        <v>0</v>
      </c>
      <c r="N626" s="907">
        <f t="shared" si="1132"/>
        <v>86318.253106861201</v>
      </c>
      <c r="O626" s="907">
        <f t="shared" si="1132"/>
        <v>0</v>
      </c>
      <c r="P626" s="907">
        <f t="shared" si="1132"/>
        <v>0</v>
      </c>
      <c r="Q626" s="907">
        <f t="shared" si="1132"/>
        <v>0</v>
      </c>
      <c r="R626" s="907">
        <f t="shared" si="1132"/>
        <v>0</v>
      </c>
      <c r="S626" s="907">
        <f t="shared" si="1132"/>
        <v>0</v>
      </c>
      <c r="T626" s="907">
        <f t="shared" si="1132"/>
        <v>0</v>
      </c>
      <c r="U626" s="907">
        <f t="shared" si="1132"/>
        <v>0</v>
      </c>
      <c r="V626" s="907">
        <f t="shared" si="1132"/>
        <v>0</v>
      </c>
      <c r="W626" s="907">
        <f t="shared" si="1132"/>
        <v>0</v>
      </c>
      <c r="X626" s="907">
        <f t="shared" si="1132"/>
        <v>0</v>
      </c>
      <c r="Y626" s="907">
        <f t="shared" si="1132"/>
        <v>0</v>
      </c>
      <c r="Z626" s="907">
        <f t="shared" si="1132"/>
        <v>0</v>
      </c>
      <c r="AA626" s="907">
        <f t="shared" si="1132"/>
        <v>0</v>
      </c>
      <c r="AB626" s="907">
        <f t="shared" si="1132"/>
        <v>0</v>
      </c>
      <c r="AC626" s="907">
        <f t="shared" si="1132"/>
        <v>0</v>
      </c>
      <c r="AD626" s="907">
        <f t="shared" si="1132"/>
        <v>0</v>
      </c>
      <c r="AE626" s="907">
        <f t="shared" si="1132"/>
        <v>0</v>
      </c>
      <c r="AF626" s="907">
        <f t="shared" si="1132"/>
        <v>0</v>
      </c>
      <c r="AG626" s="907">
        <f t="shared" si="1132"/>
        <v>0</v>
      </c>
      <c r="AH626" s="907">
        <f t="shared" si="1132"/>
        <v>0</v>
      </c>
      <c r="AI626" s="907">
        <f t="shared" si="1132"/>
        <v>0</v>
      </c>
      <c r="AJ626" s="907">
        <f t="shared" si="1132"/>
        <v>0</v>
      </c>
      <c r="AK626" s="907">
        <f t="shared" si="1132"/>
        <v>0</v>
      </c>
      <c r="AL626" s="907">
        <f t="shared" si="1132"/>
        <v>0</v>
      </c>
      <c r="AM626" s="907">
        <f t="shared" si="1132"/>
        <v>0</v>
      </c>
      <c r="AN626" s="907">
        <f t="shared" si="1132"/>
        <v>0</v>
      </c>
      <c r="AO626" s="907">
        <f t="shared" si="1132"/>
        <v>0</v>
      </c>
      <c r="AP626" s="907">
        <f t="shared" si="1132"/>
        <v>0</v>
      </c>
      <c r="AQ626" s="907">
        <f t="shared" si="1132"/>
        <v>0</v>
      </c>
      <c r="AR626" s="907">
        <f t="shared" si="1132"/>
        <v>0</v>
      </c>
      <c r="AS626" s="907">
        <f t="shared" si="1132"/>
        <v>0</v>
      </c>
      <c r="AT626" s="907">
        <f t="shared" si="1132"/>
        <v>0</v>
      </c>
      <c r="AU626" s="907">
        <f t="shared" si="1132"/>
        <v>0</v>
      </c>
      <c r="AV626" s="907">
        <f t="shared" si="1132"/>
        <v>0</v>
      </c>
      <c r="AW626" s="907">
        <f t="shared" si="1132"/>
        <v>0</v>
      </c>
      <c r="AX626" s="907">
        <f t="shared" si="1132"/>
        <v>0</v>
      </c>
      <c r="AY626" s="907">
        <f t="shared" si="1132"/>
        <v>0</v>
      </c>
      <c r="AZ626" s="907">
        <f t="shared" si="1132"/>
        <v>0</v>
      </c>
      <c r="BA626" s="907">
        <f t="shared" si="1132"/>
        <v>0</v>
      </c>
      <c r="BB626" s="907">
        <f t="shared" si="1132"/>
        <v>0</v>
      </c>
      <c r="BC626" s="907">
        <f t="shared" si="1132"/>
        <v>0</v>
      </c>
      <c r="BD626" s="907">
        <f t="shared" si="1132"/>
        <v>0</v>
      </c>
      <c r="BE626" s="907">
        <f t="shared" si="1132"/>
        <v>0</v>
      </c>
    </row>
    <row r="627" spans="1:57" s="188" customFormat="1" hidden="1" outlineLevel="1" x14ac:dyDescent="0.2">
      <c r="A627" s="141"/>
      <c r="B627" s="141"/>
      <c r="C627" s="142"/>
      <c r="D627" s="143"/>
      <c r="E627" s="187"/>
      <c r="F627" s="187"/>
      <c r="G627" s="187"/>
      <c r="H627" s="187"/>
      <c r="I627" s="144"/>
      <c r="J627" s="187"/>
      <c r="K627" s="187"/>
      <c r="L627" s="187"/>
      <c r="M627" s="187"/>
      <c r="N627" s="187"/>
      <c r="O627" s="187"/>
      <c r="P627" s="187"/>
      <c r="Q627" s="187"/>
      <c r="R627" s="187"/>
      <c r="S627" s="187"/>
      <c r="T627" s="187"/>
      <c r="U627" s="187"/>
      <c r="V627" s="187"/>
      <c r="W627" s="187"/>
      <c r="X627" s="187"/>
      <c r="Y627" s="187"/>
      <c r="Z627" s="187"/>
      <c r="AA627" s="187"/>
      <c r="AB627" s="187"/>
      <c r="AC627" s="187"/>
      <c r="AD627" s="187"/>
      <c r="AE627" s="187"/>
      <c r="AF627" s="187"/>
      <c r="AG627" s="187"/>
      <c r="AH627" s="187"/>
      <c r="AI627" s="187"/>
      <c r="AJ627" s="187"/>
      <c r="AK627" s="187"/>
      <c r="AL627" s="187"/>
      <c r="AM627" s="187"/>
      <c r="AN627" s="187"/>
      <c r="AO627" s="187"/>
      <c r="AP627" s="187"/>
      <c r="AQ627" s="187"/>
      <c r="AR627" s="187"/>
      <c r="AS627" s="187"/>
      <c r="AT627" s="187"/>
      <c r="AU627" s="187"/>
      <c r="AV627" s="187"/>
      <c r="AW627" s="187"/>
      <c r="AX627" s="187"/>
      <c r="AY627" s="187"/>
      <c r="AZ627" s="187"/>
      <c r="BA627" s="187"/>
      <c r="BB627" s="187"/>
      <c r="BC627" s="187"/>
      <c r="BD627" s="187"/>
      <c r="BE627" s="187"/>
    </row>
    <row r="628" spans="1:57" hidden="1" outlineLevel="1" x14ac:dyDescent="0.2">
      <c r="E628" s="538" t="str">
        <f xml:space="preserve"> Time!E$10</f>
        <v>Model column counter</v>
      </c>
      <c r="F628" s="538">
        <f xml:space="preserve"> Time!F$10</f>
        <v>0</v>
      </c>
      <c r="G628" s="538" t="str">
        <f xml:space="preserve"> Time!G$10</f>
        <v>counter</v>
      </c>
      <c r="H628" s="538">
        <f xml:space="preserve"> Time!H$10</f>
        <v>0</v>
      </c>
      <c r="I628" s="538">
        <f xml:space="preserve"> Time!I$10</f>
        <v>0</v>
      </c>
      <c r="J628" s="538">
        <f xml:space="preserve"> Time!J$10</f>
        <v>1</v>
      </c>
      <c r="K628" s="538">
        <f xml:space="preserve"> Time!K$10</f>
        <v>2</v>
      </c>
      <c r="L628" s="538">
        <f xml:space="preserve"> Time!L$10</f>
        <v>3</v>
      </c>
      <c r="M628" s="538">
        <f xml:space="preserve"> Time!M$10</f>
        <v>4</v>
      </c>
      <c r="N628" s="538">
        <f xml:space="preserve"> Time!N$10</f>
        <v>5</v>
      </c>
      <c r="O628" s="538">
        <f xml:space="preserve"> Time!O$10</f>
        <v>6</v>
      </c>
      <c r="P628" s="538">
        <f xml:space="preserve"> Time!P$10</f>
        <v>7</v>
      </c>
      <c r="Q628" s="538">
        <f xml:space="preserve"> Time!Q$10</f>
        <v>8</v>
      </c>
      <c r="R628" s="538">
        <f xml:space="preserve"> Time!R$10</f>
        <v>9</v>
      </c>
      <c r="S628" s="538">
        <f xml:space="preserve"> Time!S$10</f>
        <v>10</v>
      </c>
      <c r="T628" s="538">
        <f xml:space="preserve"> Time!T$10</f>
        <v>11</v>
      </c>
      <c r="U628" s="538">
        <f xml:space="preserve"> Time!U$10</f>
        <v>12</v>
      </c>
      <c r="V628" s="538">
        <f xml:space="preserve"> Time!V$10</f>
        <v>13</v>
      </c>
      <c r="W628" s="538">
        <f xml:space="preserve"> Time!W$10</f>
        <v>14</v>
      </c>
      <c r="X628" s="538">
        <f xml:space="preserve"> Time!X$10</f>
        <v>15</v>
      </c>
      <c r="Y628" s="538">
        <f xml:space="preserve"> Time!Y$10</f>
        <v>16</v>
      </c>
      <c r="Z628" s="538">
        <f xml:space="preserve"> Time!Z$10</f>
        <v>17</v>
      </c>
      <c r="AA628" s="538">
        <f xml:space="preserve"> Time!AA$10</f>
        <v>18</v>
      </c>
      <c r="AB628" s="538">
        <f xml:space="preserve"> Time!AB$10</f>
        <v>19</v>
      </c>
      <c r="AC628" s="538">
        <f xml:space="preserve"> Time!AC$10</f>
        <v>20</v>
      </c>
      <c r="AD628" s="538">
        <f xml:space="preserve"> Time!AD$10</f>
        <v>21</v>
      </c>
      <c r="AE628" s="538">
        <f xml:space="preserve"> Time!AE$10</f>
        <v>22</v>
      </c>
      <c r="AF628" s="538">
        <f xml:space="preserve"> Time!AF$10</f>
        <v>23</v>
      </c>
      <c r="AG628" s="538">
        <f xml:space="preserve"> Time!AG$10</f>
        <v>24</v>
      </c>
      <c r="AH628" s="538">
        <f xml:space="preserve"> Time!AH$10</f>
        <v>25</v>
      </c>
      <c r="AI628" s="538">
        <f xml:space="preserve"> Time!AI$10</f>
        <v>26</v>
      </c>
      <c r="AJ628" s="538">
        <f xml:space="preserve"> Time!AJ$10</f>
        <v>27</v>
      </c>
      <c r="AK628" s="538">
        <f xml:space="preserve"> Time!AK$10</f>
        <v>28</v>
      </c>
      <c r="AL628" s="538">
        <f xml:space="preserve"> Time!AL$10</f>
        <v>29</v>
      </c>
      <c r="AM628" s="538">
        <f xml:space="preserve"> Time!AM$10</f>
        <v>30</v>
      </c>
      <c r="AN628" s="538">
        <f xml:space="preserve"> Time!AN$10</f>
        <v>31</v>
      </c>
      <c r="AO628" s="538">
        <f xml:space="preserve"> Time!AO$10</f>
        <v>32</v>
      </c>
      <c r="AP628" s="538">
        <f xml:space="preserve"> Time!AP$10</f>
        <v>33</v>
      </c>
      <c r="AQ628" s="538">
        <f xml:space="preserve"> Time!AQ$10</f>
        <v>34</v>
      </c>
      <c r="AR628" s="538">
        <f xml:space="preserve"> Time!AR$10</f>
        <v>35</v>
      </c>
      <c r="AS628" s="538">
        <f xml:space="preserve"> Time!AS$10</f>
        <v>36</v>
      </c>
      <c r="AT628" s="538">
        <f xml:space="preserve"> Time!AT$10</f>
        <v>37</v>
      </c>
      <c r="AU628" s="538">
        <f xml:space="preserve"> Time!AU$10</f>
        <v>38</v>
      </c>
      <c r="AV628" s="538">
        <f xml:space="preserve"> Time!AV$10</f>
        <v>39</v>
      </c>
      <c r="AW628" s="538">
        <f xml:space="preserve"> Time!AW$10</f>
        <v>40</v>
      </c>
      <c r="AX628" s="538">
        <f xml:space="preserve"> Time!AX$10</f>
        <v>41</v>
      </c>
      <c r="AY628" s="538">
        <f xml:space="preserve"> Time!AY$10</f>
        <v>42</v>
      </c>
      <c r="AZ628" s="538">
        <f xml:space="preserve"> Time!AZ$10</f>
        <v>43</v>
      </c>
      <c r="BA628" s="538">
        <f xml:space="preserve"> Time!BA$10</f>
        <v>44</v>
      </c>
      <c r="BB628" s="538">
        <f xml:space="preserve"> Time!BB$10</f>
        <v>45</v>
      </c>
      <c r="BC628" s="538">
        <f xml:space="preserve"> Time!BC$10</f>
        <v>46</v>
      </c>
      <c r="BD628" s="538">
        <f xml:space="preserve"> Time!BD$10</f>
        <v>47</v>
      </c>
      <c r="BE628" s="538">
        <f xml:space="preserve"> Time!BE$10</f>
        <v>48</v>
      </c>
    </row>
    <row r="629" spans="1:57" hidden="1" outlineLevel="1" x14ac:dyDescent="0.2">
      <c r="E629" s="186" t="str">
        <f xml:space="preserve"> ConTime!E$56</f>
        <v>Model ops period counter - m</v>
      </c>
      <c r="F629" s="186">
        <f xml:space="preserve"> ConTime!F$56</f>
        <v>0</v>
      </c>
      <c r="G629" s="186" t="str">
        <f xml:space="preserve"> ConTime!G$56</f>
        <v>counter</v>
      </c>
      <c r="H629" s="186">
        <f xml:space="preserve"> ConTime!H$56</f>
        <v>0</v>
      </c>
      <c r="I629" s="186">
        <f xml:space="preserve"> ConTime!I$56</f>
        <v>0</v>
      </c>
      <c r="J629" s="186">
        <f xml:space="preserve"> ConTime!J$56</f>
        <v>1</v>
      </c>
      <c r="K629" s="186">
        <f xml:space="preserve"> ConTime!K$56</f>
        <v>1</v>
      </c>
      <c r="L629" s="186">
        <f xml:space="preserve"> ConTime!L$56</f>
        <v>1</v>
      </c>
      <c r="M629" s="186">
        <f xml:space="preserve"> ConTime!M$56</f>
        <v>1</v>
      </c>
      <c r="N629" s="186">
        <f xml:space="preserve"> ConTime!N$56</f>
        <v>1</v>
      </c>
      <c r="O629" s="186">
        <f xml:space="preserve"> ConTime!O$56</f>
        <v>1</v>
      </c>
      <c r="P629" s="186">
        <f xml:space="preserve"> ConTime!P$56</f>
        <v>2</v>
      </c>
      <c r="Q629" s="186">
        <f xml:space="preserve"> ConTime!Q$56</f>
        <v>2</v>
      </c>
      <c r="R629" s="186">
        <f xml:space="preserve"> ConTime!R$56</f>
        <v>2</v>
      </c>
      <c r="S629" s="186">
        <f xml:space="preserve"> ConTime!S$56</f>
        <v>2</v>
      </c>
      <c r="T629" s="186">
        <f xml:space="preserve"> ConTime!T$56</f>
        <v>2</v>
      </c>
      <c r="U629" s="186">
        <f xml:space="preserve"> ConTime!U$56</f>
        <v>2</v>
      </c>
      <c r="V629" s="186">
        <f xml:space="preserve"> ConTime!V$56</f>
        <v>3</v>
      </c>
      <c r="W629" s="186">
        <f xml:space="preserve"> ConTime!W$56</f>
        <v>3</v>
      </c>
      <c r="X629" s="186">
        <f xml:space="preserve"> ConTime!X$56</f>
        <v>3</v>
      </c>
      <c r="Y629" s="186">
        <f xml:space="preserve"> ConTime!Y$56</f>
        <v>3</v>
      </c>
      <c r="Z629" s="186">
        <f xml:space="preserve"> ConTime!Z$56</f>
        <v>3</v>
      </c>
      <c r="AA629" s="186">
        <f xml:space="preserve"> ConTime!AA$56</f>
        <v>3</v>
      </c>
      <c r="AB629" s="186">
        <f xml:space="preserve"> ConTime!AB$56</f>
        <v>4</v>
      </c>
      <c r="AC629" s="186">
        <f xml:space="preserve"> ConTime!AC$56</f>
        <v>4</v>
      </c>
      <c r="AD629" s="186">
        <f xml:space="preserve"> ConTime!AD$56</f>
        <v>4</v>
      </c>
      <c r="AE629" s="186">
        <f xml:space="preserve"> ConTime!AE$56</f>
        <v>4</v>
      </c>
      <c r="AF629" s="186">
        <f xml:space="preserve"> ConTime!AF$56</f>
        <v>4</v>
      </c>
      <c r="AG629" s="186">
        <f xml:space="preserve"> ConTime!AG$56</f>
        <v>4</v>
      </c>
      <c r="AH629" s="186">
        <f xml:space="preserve"> ConTime!AH$56</f>
        <v>5</v>
      </c>
      <c r="AI629" s="186">
        <f xml:space="preserve"> ConTime!AI$56</f>
        <v>5</v>
      </c>
      <c r="AJ629" s="186">
        <f xml:space="preserve"> ConTime!AJ$56</f>
        <v>5</v>
      </c>
      <c r="AK629" s="186">
        <f xml:space="preserve"> ConTime!AK$56</f>
        <v>5</v>
      </c>
      <c r="AL629" s="186">
        <f xml:space="preserve"> ConTime!AL$56</f>
        <v>5</v>
      </c>
      <c r="AM629" s="186">
        <f xml:space="preserve"> ConTime!AM$56</f>
        <v>5</v>
      </c>
      <c r="AN629" s="186">
        <f xml:space="preserve"> ConTime!AN$56</f>
        <v>6</v>
      </c>
      <c r="AO629" s="186">
        <f xml:space="preserve"> ConTime!AO$56</f>
        <v>6</v>
      </c>
      <c r="AP629" s="186">
        <f xml:space="preserve"> ConTime!AP$56</f>
        <v>6</v>
      </c>
      <c r="AQ629" s="186">
        <f xml:space="preserve"> ConTime!AQ$56</f>
        <v>6</v>
      </c>
      <c r="AR629" s="186">
        <f xml:space="preserve"> ConTime!AR$56</f>
        <v>6</v>
      </c>
      <c r="AS629" s="186">
        <f xml:space="preserve"> ConTime!AS$56</f>
        <v>6</v>
      </c>
      <c r="AT629" s="186">
        <f xml:space="preserve"> ConTime!AT$56</f>
        <v>7</v>
      </c>
      <c r="AU629" s="186">
        <f xml:space="preserve"> ConTime!AU$56</f>
        <v>7</v>
      </c>
      <c r="AV629" s="186">
        <f xml:space="preserve"> ConTime!AV$56</f>
        <v>7</v>
      </c>
      <c r="AW629" s="186">
        <f xml:space="preserve"> ConTime!AW$56</f>
        <v>7</v>
      </c>
      <c r="AX629" s="186">
        <f xml:space="preserve"> ConTime!AX$56</f>
        <v>7</v>
      </c>
      <c r="AY629" s="186">
        <f xml:space="preserve"> ConTime!AY$56</f>
        <v>7</v>
      </c>
      <c r="AZ629" s="186">
        <f xml:space="preserve"> ConTime!AZ$56</f>
        <v>8</v>
      </c>
      <c r="BA629" s="186">
        <f xml:space="preserve"> ConTime!BA$56</f>
        <v>8</v>
      </c>
      <c r="BB629" s="186">
        <f xml:space="preserve"> ConTime!BB$56</f>
        <v>8</v>
      </c>
      <c r="BC629" s="186">
        <f xml:space="preserve"> ConTime!BC$56</f>
        <v>8</v>
      </c>
      <c r="BD629" s="186">
        <f xml:space="preserve"> ConTime!BD$56</f>
        <v>8</v>
      </c>
      <c r="BE629" s="186">
        <f xml:space="preserve"> ConTime!BE$56</f>
        <v>8</v>
      </c>
    </row>
    <row r="630" spans="1:57" hidden="1" outlineLevel="1" x14ac:dyDescent="0.2">
      <c r="E630" s="12" t="str">
        <f t="shared" ref="E630:AJ630" si="1133" xml:space="preserve"> E$343</f>
        <v>Construction debt drawdown - m</v>
      </c>
      <c r="F630" s="12">
        <f t="shared" si="1133"/>
        <v>0</v>
      </c>
      <c r="G630" s="12" t="str">
        <f t="shared" si="1133"/>
        <v>$ 000s</v>
      </c>
      <c r="H630" s="12">
        <f t="shared" si="1133"/>
        <v>250389.85226030689</v>
      </c>
      <c r="I630" s="12">
        <f t="shared" si="1133"/>
        <v>0</v>
      </c>
      <c r="J630" s="12">
        <f t="shared" si="1133"/>
        <v>0</v>
      </c>
      <c r="K630" s="12">
        <f t="shared" si="1133"/>
        <v>0</v>
      </c>
      <c r="L630" s="12">
        <f t="shared" si="1133"/>
        <v>0</v>
      </c>
      <c r="M630" s="12">
        <f t="shared" si="1133"/>
        <v>0</v>
      </c>
      <c r="N630" s="12">
        <f t="shared" si="1133"/>
        <v>0</v>
      </c>
      <c r="O630" s="12">
        <f t="shared" si="1133"/>
        <v>0</v>
      </c>
      <c r="P630" s="12">
        <f t="shared" si="1133"/>
        <v>0</v>
      </c>
      <c r="Q630" s="12">
        <f t="shared" si="1133"/>
        <v>0</v>
      </c>
      <c r="R630" s="12">
        <f t="shared" si="1133"/>
        <v>0</v>
      </c>
      <c r="S630" s="12">
        <f t="shared" si="1133"/>
        <v>60.378964305980844</v>
      </c>
      <c r="T630" s="12">
        <f t="shared" si="1133"/>
        <v>12031.934187437519</v>
      </c>
      <c r="U630" s="12">
        <f t="shared" si="1133"/>
        <v>12076.190635536972</v>
      </c>
      <c r="V630" s="12">
        <f t="shared" si="1133"/>
        <v>12110.976773522409</v>
      </c>
      <c r="W630" s="12">
        <f t="shared" si="1133"/>
        <v>12104.694875399815</v>
      </c>
      <c r="X630" s="12">
        <f t="shared" si="1133"/>
        <v>12180.731360946033</v>
      </c>
      <c r="Y630" s="12">
        <f t="shared" si="1133"/>
        <v>12199.330047588888</v>
      </c>
      <c r="Z630" s="12">
        <f t="shared" si="1133"/>
        <v>12250.959482205111</v>
      </c>
      <c r="AA630" s="12">
        <f t="shared" si="1133"/>
        <v>12266.975848549024</v>
      </c>
      <c r="AB630" s="12">
        <f t="shared" si="1133"/>
        <v>12321.584756958357</v>
      </c>
      <c r="AC630" s="12">
        <f t="shared" si="1133"/>
        <v>12357.077766346292</v>
      </c>
      <c r="AD630" s="12">
        <f t="shared" si="1133"/>
        <v>12369.192114605235</v>
      </c>
      <c r="AE630" s="12">
        <f t="shared" si="1133"/>
        <v>12428.303160347879</v>
      </c>
      <c r="AF630" s="12">
        <f t="shared" si="1133"/>
        <v>12437.798518130739</v>
      </c>
      <c r="AG630" s="12">
        <f t="shared" si="1133"/>
        <v>12499.931347612244</v>
      </c>
      <c r="AH630" s="12">
        <f t="shared" si="1133"/>
        <v>10545.938094264708</v>
      </c>
      <c r="AI630" s="12">
        <f t="shared" si="1133"/>
        <v>10515.623743976959</v>
      </c>
      <c r="AJ630" s="12">
        <f t="shared" si="1133"/>
        <v>10606.607093158804</v>
      </c>
      <c r="AK630" s="12">
        <f t="shared" ref="AK630:BE630" si="1134" xml:space="preserve"> AK$343</f>
        <v>10604.408171304991</v>
      </c>
      <c r="AL630" s="12">
        <f t="shared" si="1134"/>
        <v>10667.706600951156</v>
      </c>
      <c r="AM630" s="12">
        <f t="shared" si="1134"/>
        <v>25753.508717157791</v>
      </c>
      <c r="AN630" s="12">
        <f t="shared" si="1134"/>
        <v>0</v>
      </c>
      <c r="AO630" s="12">
        <f t="shared" si="1134"/>
        <v>0</v>
      </c>
      <c r="AP630" s="12">
        <f t="shared" si="1134"/>
        <v>0</v>
      </c>
      <c r="AQ630" s="12">
        <f t="shared" si="1134"/>
        <v>0</v>
      </c>
      <c r="AR630" s="12">
        <f t="shared" si="1134"/>
        <v>0</v>
      </c>
      <c r="AS630" s="12">
        <f t="shared" si="1134"/>
        <v>0</v>
      </c>
      <c r="AT630" s="12">
        <f t="shared" si="1134"/>
        <v>0</v>
      </c>
      <c r="AU630" s="12">
        <f t="shared" si="1134"/>
        <v>0</v>
      </c>
      <c r="AV630" s="12">
        <f t="shared" si="1134"/>
        <v>0</v>
      </c>
      <c r="AW630" s="12">
        <f t="shared" si="1134"/>
        <v>0</v>
      </c>
      <c r="AX630" s="12">
        <f t="shared" si="1134"/>
        <v>0</v>
      </c>
      <c r="AY630" s="12">
        <f t="shared" si="1134"/>
        <v>0</v>
      </c>
      <c r="AZ630" s="12">
        <f t="shared" si="1134"/>
        <v>0</v>
      </c>
      <c r="BA630" s="12">
        <f t="shared" si="1134"/>
        <v>0</v>
      </c>
      <c r="BB630" s="12">
        <f t="shared" si="1134"/>
        <v>0</v>
      </c>
      <c r="BC630" s="12">
        <f t="shared" si="1134"/>
        <v>0</v>
      </c>
      <c r="BD630" s="12">
        <f t="shared" si="1134"/>
        <v>0</v>
      </c>
      <c r="BE630" s="12">
        <f t="shared" si="1134"/>
        <v>0</v>
      </c>
    </row>
    <row r="631" spans="1:57" s="629" customFormat="1" hidden="1" outlineLevel="1" x14ac:dyDescent="0.2">
      <c r="A631" s="904"/>
      <c r="B631" s="904"/>
      <c r="C631" s="905"/>
      <c r="D631" s="906"/>
      <c r="E631" s="907" t="s">
        <v>292</v>
      </c>
      <c r="F631" s="907"/>
      <c r="G631" s="907" t="str">
        <f xml:space="preserve"> SMU</f>
        <v>$ 000s</v>
      </c>
      <c r="H631" s="907">
        <f xml:space="preserve"> SUM(J631:BE631)</f>
        <v>250389.85226030689</v>
      </c>
      <c r="I631" s="908"/>
      <c r="J631" s="907">
        <f t="shared" ref="J631" si="1135" xml:space="preserve"> SUMIF($J629:$BE629, J628, $J630:$BE630)</f>
        <v>0</v>
      </c>
      <c r="K631" s="907">
        <f t="shared" ref="K631" si="1136" xml:space="preserve"> SUMIF($J629:$BE629, K628, $J630:$BE630)</f>
        <v>24168.503787280471</v>
      </c>
      <c r="L631" s="907">
        <f t="shared" ref="L631" si="1137" xml:space="preserve"> SUMIF($J629:$BE629, L628, $J630:$BE630)</f>
        <v>73113.668388211285</v>
      </c>
      <c r="M631" s="907">
        <f t="shared" ref="M631" si="1138" xml:space="preserve"> SUMIF($J629:$BE629, M628, $J630:$BE630)</f>
        <v>74413.887664000751</v>
      </c>
      <c r="N631" s="907">
        <f t="shared" ref="N631" si="1139" xml:space="preserve"> SUMIF($J629:$BE629, N628, $J630:$BE630)</f>
        <v>78693.792420814396</v>
      </c>
      <c r="O631" s="907">
        <f t="shared" ref="O631" si="1140" xml:space="preserve"> SUMIF($J629:$BE629, O628, $J630:$BE630)</f>
        <v>0</v>
      </c>
      <c r="P631" s="907">
        <f t="shared" ref="P631" si="1141" xml:space="preserve"> SUMIF($J629:$BE629, P628, $J630:$BE630)</f>
        <v>0</v>
      </c>
      <c r="Q631" s="907">
        <f t="shared" ref="Q631" si="1142" xml:space="preserve"> SUMIF($J629:$BE629, Q628, $J630:$BE630)</f>
        <v>0</v>
      </c>
      <c r="R631" s="907">
        <f t="shared" ref="R631" si="1143" xml:space="preserve"> SUMIF($J629:$BE629, R628, $J630:$BE630)</f>
        <v>0</v>
      </c>
      <c r="S631" s="907">
        <f t="shared" ref="S631" si="1144" xml:space="preserve"> SUMIF($J629:$BE629, S628, $J630:$BE630)</f>
        <v>0</v>
      </c>
      <c r="T631" s="907">
        <f t="shared" ref="T631" si="1145" xml:space="preserve"> SUMIF($J629:$BE629, T628, $J630:$BE630)</f>
        <v>0</v>
      </c>
      <c r="U631" s="907">
        <f t="shared" ref="U631" si="1146" xml:space="preserve"> SUMIF($J629:$BE629, U628, $J630:$BE630)</f>
        <v>0</v>
      </c>
      <c r="V631" s="907">
        <f t="shared" ref="V631" si="1147" xml:space="preserve"> SUMIF($J629:$BE629, V628, $J630:$BE630)</f>
        <v>0</v>
      </c>
      <c r="W631" s="907">
        <f t="shared" ref="W631" si="1148" xml:space="preserve"> SUMIF($J629:$BE629, W628, $J630:$BE630)</f>
        <v>0</v>
      </c>
      <c r="X631" s="907">
        <f t="shared" ref="X631" si="1149" xml:space="preserve"> SUMIF($J629:$BE629, X628, $J630:$BE630)</f>
        <v>0</v>
      </c>
      <c r="Y631" s="907">
        <f t="shared" ref="Y631" si="1150" xml:space="preserve"> SUMIF($J629:$BE629, Y628, $J630:$BE630)</f>
        <v>0</v>
      </c>
      <c r="Z631" s="907">
        <f t="shared" ref="Z631" si="1151" xml:space="preserve"> SUMIF($J629:$BE629, Z628, $J630:$BE630)</f>
        <v>0</v>
      </c>
      <c r="AA631" s="907">
        <f t="shared" ref="AA631" si="1152" xml:space="preserve"> SUMIF($J629:$BE629, AA628, $J630:$BE630)</f>
        <v>0</v>
      </c>
      <c r="AB631" s="907">
        <f t="shared" ref="AB631" si="1153" xml:space="preserve"> SUMIF($J629:$BE629, AB628, $J630:$BE630)</f>
        <v>0</v>
      </c>
      <c r="AC631" s="907">
        <f t="shared" ref="AC631" si="1154" xml:space="preserve"> SUMIF($J629:$BE629, AC628, $J630:$BE630)</f>
        <v>0</v>
      </c>
      <c r="AD631" s="907">
        <f t="shared" ref="AD631" si="1155" xml:space="preserve"> SUMIF($J629:$BE629, AD628, $J630:$BE630)</f>
        <v>0</v>
      </c>
      <c r="AE631" s="907">
        <f t="shared" ref="AE631" si="1156" xml:space="preserve"> SUMIF($J629:$BE629, AE628, $J630:$BE630)</f>
        <v>0</v>
      </c>
      <c r="AF631" s="907">
        <f t="shared" ref="AF631" si="1157" xml:space="preserve"> SUMIF($J629:$BE629, AF628, $J630:$BE630)</f>
        <v>0</v>
      </c>
      <c r="AG631" s="907">
        <f t="shared" ref="AG631" si="1158" xml:space="preserve"> SUMIF($J629:$BE629, AG628, $J630:$BE630)</f>
        <v>0</v>
      </c>
      <c r="AH631" s="907">
        <f t="shared" ref="AH631" si="1159" xml:space="preserve"> SUMIF($J629:$BE629, AH628, $J630:$BE630)</f>
        <v>0</v>
      </c>
      <c r="AI631" s="907">
        <f t="shared" ref="AI631" si="1160" xml:space="preserve"> SUMIF($J629:$BE629, AI628, $J630:$BE630)</f>
        <v>0</v>
      </c>
      <c r="AJ631" s="907">
        <f t="shared" ref="AJ631" si="1161" xml:space="preserve"> SUMIF($J629:$BE629, AJ628, $J630:$BE630)</f>
        <v>0</v>
      </c>
      <c r="AK631" s="907">
        <f t="shared" ref="AK631" si="1162" xml:space="preserve"> SUMIF($J629:$BE629, AK628, $J630:$BE630)</f>
        <v>0</v>
      </c>
      <c r="AL631" s="907">
        <f t="shared" ref="AL631" si="1163" xml:space="preserve"> SUMIF($J629:$BE629, AL628, $J630:$BE630)</f>
        <v>0</v>
      </c>
      <c r="AM631" s="907">
        <f t="shared" ref="AM631" si="1164" xml:space="preserve"> SUMIF($J629:$BE629, AM628, $J630:$BE630)</f>
        <v>0</v>
      </c>
      <c r="AN631" s="907">
        <f t="shared" ref="AN631" si="1165" xml:space="preserve"> SUMIF($J629:$BE629, AN628, $J630:$BE630)</f>
        <v>0</v>
      </c>
      <c r="AO631" s="907">
        <f t="shared" ref="AO631" si="1166" xml:space="preserve"> SUMIF($J629:$BE629, AO628, $J630:$BE630)</f>
        <v>0</v>
      </c>
      <c r="AP631" s="907">
        <f t="shared" ref="AP631" si="1167" xml:space="preserve"> SUMIF($J629:$BE629, AP628, $J630:$BE630)</f>
        <v>0</v>
      </c>
      <c r="AQ631" s="907">
        <f t="shared" ref="AQ631" si="1168" xml:space="preserve"> SUMIF($J629:$BE629, AQ628, $J630:$BE630)</f>
        <v>0</v>
      </c>
      <c r="AR631" s="907">
        <f t="shared" ref="AR631" si="1169" xml:space="preserve"> SUMIF($J629:$BE629, AR628, $J630:$BE630)</f>
        <v>0</v>
      </c>
      <c r="AS631" s="907">
        <f t="shared" ref="AS631" si="1170" xml:space="preserve"> SUMIF($J629:$BE629, AS628, $J630:$BE630)</f>
        <v>0</v>
      </c>
      <c r="AT631" s="907">
        <f t="shared" ref="AT631" si="1171" xml:space="preserve"> SUMIF($J629:$BE629, AT628, $J630:$BE630)</f>
        <v>0</v>
      </c>
      <c r="AU631" s="907">
        <f t="shared" ref="AU631" si="1172" xml:space="preserve"> SUMIF($J629:$BE629, AU628, $J630:$BE630)</f>
        <v>0</v>
      </c>
      <c r="AV631" s="907">
        <f t="shared" ref="AV631" si="1173" xml:space="preserve"> SUMIF($J629:$BE629, AV628, $J630:$BE630)</f>
        <v>0</v>
      </c>
      <c r="AW631" s="907">
        <f t="shared" ref="AW631" si="1174" xml:space="preserve"> SUMIF($J629:$BE629, AW628, $J630:$BE630)</f>
        <v>0</v>
      </c>
      <c r="AX631" s="907">
        <f t="shared" ref="AX631" si="1175" xml:space="preserve"> SUMIF($J629:$BE629, AX628, $J630:$BE630)</f>
        <v>0</v>
      </c>
      <c r="AY631" s="907">
        <f t="shared" ref="AY631" si="1176" xml:space="preserve"> SUMIF($J629:$BE629, AY628, $J630:$BE630)</f>
        <v>0</v>
      </c>
      <c r="AZ631" s="907">
        <f t="shared" ref="AZ631" si="1177" xml:space="preserve"> SUMIF($J629:$BE629, AZ628, $J630:$BE630)</f>
        <v>0</v>
      </c>
      <c r="BA631" s="907">
        <f t="shared" ref="BA631" si="1178" xml:space="preserve"> SUMIF($J629:$BE629, BA628, $J630:$BE630)</f>
        <v>0</v>
      </c>
      <c r="BB631" s="907">
        <f t="shared" ref="BB631" si="1179" xml:space="preserve"> SUMIF($J629:$BE629, BB628, $J630:$BE630)</f>
        <v>0</v>
      </c>
      <c r="BC631" s="907">
        <f t="shared" ref="BC631" si="1180" xml:space="preserve"> SUMIF($J629:$BE629, BC628, $J630:$BE630)</f>
        <v>0</v>
      </c>
      <c r="BD631" s="907">
        <f t="shared" ref="BD631" si="1181" xml:space="preserve"> SUMIF($J629:$BE629, BD628, $J630:$BE630)</f>
        <v>0</v>
      </c>
      <c r="BE631" s="907">
        <f t="shared" ref="BE631" si="1182" xml:space="preserve"> SUMIF($J629:$BE629, BE628, $J630:$BE630)</f>
        <v>0</v>
      </c>
    </row>
    <row r="632" spans="1:57" s="188" customFormat="1" hidden="1" outlineLevel="1" x14ac:dyDescent="0.2">
      <c r="A632" s="141"/>
      <c r="B632" s="141"/>
      <c r="C632" s="142"/>
      <c r="D632" s="143"/>
      <c r="E632" s="187"/>
      <c r="F632" s="187"/>
      <c r="G632" s="187"/>
      <c r="H632" s="187"/>
      <c r="I632" s="144"/>
      <c r="J632" s="187"/>
      <c r="K632" s="187"/>
      <c r="L632" s="187"/>
      <c r="M632" s="187"/>
      <c r="N632" s="187"/>
      <c r="O632" s="187"/>
      <c r="P632" s="187"/>
      <c r="Q632" s="187"/>
      <c r="R632" s="187"/>
      <c r="S632" s="187"/>
      <c r="T632" s="187"/>
      <c r="U632" s="187"/>
      <c r="V632" s="187"/>
      <c r="W632" s="187"/>
      <c r="X632" s="187"/>
      <c r="Y632" s="187"/>
      <c r="Z632" s="187"/>
      <c r="AA632" s="187"/>
      <c r="AB632" s="187"/>
      <c r="AC632" s="187"/>
      <c r="AD632" s="187"/>
      <c r="AE632" s="187"/>
      <c r="AF632" s="187"/>
      <c r="AG632" s="187"/>
      <c r="AH632" s="187"/>
      <c r="AI632" s="187"/>
      <c r="AJ632" s="187"/>
      <c r="AK632" s="187"/>
      <c r="AL632" s="187"/>
      <c r="AM632" s="187"/>
      <c r="AN632" s="187"/>
      <c r="AO632" s="187"/>
      <c r="AP632" s="187"/>
      <c r="AQ632" s="187"/>
      <c r="AR632" s="187"/>
      <c r="AS632" s="187"/>
      <c r="AT632" s="187"/>
      <c r="AU632" s="187"/>
      <c r="AV632" s="187"/>
      <c r="AW632" s="187"/>
      <c r="AX632" s="187"/>
      <c r="AY632" s="187"/>
      <c r="AZ632" s="187"/>
      <c r="BA632" s="187"/>
      <c r="BB632" s="187"/>
      <c r="BC632" s="187"/>
      <c r="BD632" s="187"/>
      <c r="BE632" s="187"/>
    </row>
    <row r="633" spans="1:57" hidden="1" outlineLevel="1" x14ac:dyDescent="0.2">
      <c r="E633" s="538" t="str">
        <f xml:space="preserve"> Time!E$10</f>
        <v>Model column counter</v>
      </c>
      <c r="F633" s="538">
        <f xml:space="preserve"> Time!F$10</f>
        <v>0</v>
      </c>
      <c r="G633" s="538" t="str">
        <f xml:space="preserve"> Time!G$10</f>
        <v>counter</v>
      </c>
      <c r="H633" s="538">
        <f xml:space="preserve"> Time!H$10</f>
        <v>0</v>
      </c>
      <c r="I633" s="538">
        <f xml:space="preserve"> Time!I$10</f>
        <v>0</v>
      </c>
      <c r="J633" s="538">
        <f xml:space="preserve"> Time!J$10</f>
        <v>1</v>
      </c>
      <c r="K633" s="538">
        <f xml:space="preserve"> Time!K$10</f>
        <v>2</v>
      </c>
      <c r="L633" s="538">
        <f xml:space="preserve"> Time!L$10</f>
        <v>3</v>
      </c>
      <c r="M633" s="538">
        <f xml:space="preserve"> Time!M$10</f>
        <v>4</v>
      </c>
      <c r="N633" s="538">
        <f xml:space="preserve"> Time!N$10</f>
        <v>5</v>
      </c>
      <c r="O633" s="538">
        <f xml:space="preserve"> Time!O$10</f>
        <v>6</v>
      </c>
      <c r="P633" s="538">
        <f xml:space="preserve"> Time!P$10</f>
        <v>7</v>
      </c>
      <c r="Q633" s="538">
        <f xml:space="preserve"> Time!Q$10</f>
        <v>8</v>
      </c>
      <c r="R633" s="538">
        <f xml:space="preserve"> Time!R$10</f>
        <v>9</v>
      </c>
      <c r="S633" s="538">
        <f xml:space="preserve"> Time!S$10</f>
        <v>10</v>
      </c>
      <c r="T633" s="538">
        <f xml:space="preserve"> Time!T$10</f>
        <v>11</v>
      </c>
      <c r="U633" s="538">
        <f xml:space="preserve"> Time!U$10</f>
        <v>12</v>
      </c>
      <c r="V633" s="538">
        <f xml:space="preserve"> Time!V$10</f>
        <v>13</v>
      </c>
      <c r="W633" s="538">
        <f xml:space="preserve"> Time!W$10</f>
        <v>14</v>
      </c>
      <c r="X633" s="538">
        <f xml:space="preserve"> Time!X$10</f>
        <v>15</v>
      </c>
      <c r="Y633" s="538">
        <f xml:space="preserve"> Time!Y$10</f>
        <v>16</v>
      </c>
      <c r="Z633" s="538">
        <f xml:space="preserve"> Time!Z$10</f>
        <v>17</v>
      </c>
      <c r="AA633" s="538">
        <f xml:space="preserve"> Time!AA$10</f>
        <v>18</v>
      </c>
      <c r="AB633" s="538">
        <f xml:space="preserve"> Time!AB$10</f>
        <v>19</v>
      </c>
      <c r="AC633" s="538">
        <f xml:space="preserve"> Time!AC$10</f>
        <v>20</v>
      </c>
      <c r="AD633" s="538">
        <f xml:space="preserve"> Time!AD$10</f>
        <v>21</v>
      </c>
      <c r="AE633" s="538">
        <f xml:space="preserve"> Time!AE$10</f>
        <v>22</v>
      </c>
      <c r="AF633" s="538">
        <f xml:space="preserve"> Time!AF$10</f>
        <v>23</v>
      </c>
      <c r="AG633" s="538">
        <f xml:space="preserve"> Time!AG$10</f>
        <v>24</v>
      </c>
      <c r="AH633" s="538">
        <f xml:space="preserve"> Time!AH$10</f>
        <v>25</v>
      </c>
      <c r="AI633" s="538">
        <f xml:space="preserve"> Time!AI$10</f>
        <v>26</v>
      </c>
      <c r="AJ633" s="538">
        <f xml:space="preserve"> Time!AJ$10</f>
        <v>27</v>
      </c>
      <c r="AK633" s="538">
        <f xml:space="preserve"> Time!AK$10</f>
        <v>28</v>
      </c>
      <c r="AL633" s="538">
        <f xml:space="preserve"> Time!AL$10</f>
        <v>29</v>
      </c>
      <c r="AM633" s="538">
        <f xml:space="preserve"> Time!AM$10</f>
        <v>30</v>
      </c>
      <c r="AN633" s="538">
        <f xml:space="preserve"> Time!AN$10</f>
        <v>31</v>
      </c>
      <c r="AO633" s="538">
        <f xml:space="preserve"> Time!AO$10</f>
        <v>32</v>
      </c>
      <c r="AP633" s="538">
        <f xml:space="preserve"> Time!AP$10</f>
        <v>33</v>
      </c>
      <c r="AQ633" s="538">
        <f xml:space="preserve"> Time!AQ$10</f>
        <v>34</v>
      </c>
      <c r="AR633" s="538">
        <f xml:space="preserve"> Time!AR$10</f>
        <v>35</v>
      </c>
      <c r="AS633" s="538">
        <f xml:space="preserve"> Time!AS$10</f>
        <v>36</v>
      </c>
      <c r="AT633" s="538">
        <f xml:space="preserve"> Time!AT$10</f>
        <v>37</v>
      </c>
      <c r="AU633" s="538">
        <f xml:space="preserve"> Time!AU$10</f>
        <v>38</v>
      </c>
      <c r="AV633" s="538">
        <f xml:space="preserve"> Time!AV$10</f>
        <v>39</v>
      </c>
      <c r="AW633" s="538">
        <f xml:space="preserve"> Time!AW$10</f>
        <v>40</v>
      </c>
      <c r="AX633" s="538">
        <f xml:space="preserve"> Time!AX$10</f>
        <v>41</v>
      </c>
      <c r="AY633" s="538">
        <f xml:space="preserve"> Time!AY$10</f>
        <v>42</v>
      </c>
      <c r="AZ633" s="538">
        <f xml:space="preserve"> Time!AZ$10</f>
        <v>43</v>
      </c>
      <c r="BA633" s="538">
        <f xml:space="preserve"> Time!BA$10</f>
        <v>44</v>
      </c>
      <c r="BB633" s="538">
        <f xml:space="preserve"> Time!BB$10</f>
        <v>45</v>
      </c>
      <c r="BC633" s="538">
        <f xml:space="preserve"> Time!BC$10</f>
        <v>46</v>
      </c>
      <c r="BD633" s="538">
        <f xml:space="preserve"> Time!BD$10</f>
        <v>47</v>
      </c>
      <c r="BE633" s="538">
        <f xml:space="preserve"> Time!BE$10</f>
        <v>48</v>
      </c>
    </row>
    <row r="634" spans="1:57" hidden="1" outlineLevel="1" x14ac:dyDescent="0.2">
      <c r="E634" s="186" t="str">
        <f xml:space="preserve"> ConTime!E$56</f>
        <v>Model ops period counter - m</v>
      </c>
      <c r="F634" s="186">
        <f xml:space="preserve"> ConTime!F$56</f>
        <v>0</v>
      </c>
      <c r="G634" s="186" t="str">
        <f xml:space="preserve"> ConTime!G$56</f>
        <v>counter</v>
      </c>
      <c r="H634" s="186">
        <f xml:space="preserve"> ConTime!H$56</f>
        <v>0</v>
      </c>
      <c r="I634" s="186">
        <f xml:space="preserve"> ConTime!I$56</f>
        <v>0</v>
      </c>
      <c r="J634" s="186">
        <f xml:space="preserve"> ConTime!J$56</f>
        <v>1</v>
      </c>
      <c r="K634" s="186">
        <f xml:space="preserve"> ConTime!K$56</f>
        <v>1</v>
      </c>
      <c r="L634" s="186">
        <f xml:space="preserve"> ConTime!L$56</f>
        <v>1</v>
      </c>
      <c r="M634" s="186">
        <f xml:space="preserve"> ConTime!M$56</f>
        <v>1</v>
      </c>
      <c r="N634" s="186">
        <f xml:space="preserve"> ConTime!N$56</f>
        <v>1</v>
      </c>
      <c r="O634" s="186">
        <f xml:space="preserve"> ConTime!O$56</f>
        <v>1</v>
      </c>
      <c r="P634" s="186">
        <f xml:space="preserve"> ConTime!P$56</f>
        <v>2</v>
      </c>
      <c r="Q634" s="186">
        <f xml:space="preserve"> ConTime!Q$56</f>
        <v>2</v>
      </c>
      <c r="R634" s="186">
        <f xml:space="preserve"> ConTime!R$56</f>
        <v>2</v>
      </c>
      <c r="S634" s="186">
        <f xml:space="preserve"> ConTime!S$56</f>
        <v>2</v>
      </c>
      <c r="T634" s="186">
        <f xml:space="preserve"> ConTime!T$56</f>
        <v>2</v>
      </c>
      <c r="U634" s="186">
        <f xml:space="preserve"> ConTime!U$56</f>
        <v>2</v>
      </c>
      <c r="V634" s="186">
        <f xml:space="preserve"> ConTime!V$56</f>
        <v>3</v>
      </c>
      <c r="W634" s="186">
        <f xml:space="preserve"> ConTime!W$56</f>
        <v>3</v>
      </c>
      <c r="X634" s="186">
        <f xml:space="preserve"> ConTime!X$56</f>
        <v>3</v>
      </c>
      <c r="Y634" s="186">
        <f xml:space="preserve"> ConTime!Y$56</f>
        <v>3</v>
      </c>
      <c r="Z634" s="186">
        <f xml:space="preserve"> ConTime!Z$56</f>
        <v>3</v>
      </c>
      <c r="AA634" s="186">
        <f xml:space="preserve"> ConTime!AA$56</f>
        <v>3</v>
      </c>
      <c r="AB634" s="186">
        <f xml:space="preserve"> ConTime!AB$56</f>
        <v>4</v>
      </c>
      <c r="AC634" s="186">
        <f xml:space="preserve"> ConTime!AC$56</f>
        <v>4</v>
      </c>
      <c r="AD634" s="186">
        <f xml:space="preserve"> ConTime!AD$56</f>
        <v>4</v>
      </c>
      <c r="AE634" s="186">
        <f xml:space="preserve"> ConTime!AE$56</f>
        <v>4</v>
      </c>
      <c r="AF634" s="186">
        <f xml:space="preserve"> ConTime!AF$56</f>
        <v>4</v>
      </c>
      <c r="AG634" s="186">
        <f xml:space="preserve"> ConTime!AG$56</f>
        <v>4</v>
      </c>
      <c r="AH634" s="186">
        <f xml:space="preserve"> ConTime!AH$56</f>
        <v>5</v>
      </c>
      <c r="AI634" s="186">
        <f xml:space="preserve"> ConTime!AI$56</f>
        <v>5</v>
      </c>
      <c r="AJ634" s="186">
        <f xml:space="preserve"> ConTime!AJ$56</f>
        <v>5</v>
      </c>
      <c r="AK634" s="186">
        <f xml:space="preserve"> ConTime!AK$56</f>
        <v>5</v>
      </c>
      <c r="AL634" s="186">
        <f xml:space="preserve"> ConTime!AL$56</f>
        <v>5</v>
      </c>
      <c r="AM634" s="186">
        <f xml:space="preserve"> ConTime!AM$56</f>
        <v>5</v>
      </c>
      <c r="AN634" s="186">
        <f xml:space="preserve"> ConTime!AN$56</f>
        <v>6</v>
      </c>
      <c r="AO634" s="186">
        <f xml:space="preserve"> ConTime!AO$56</f>
        <v>6</v>
      </c>
      <c r="AP634" s="186">
        <f xml:space="preserve"> ConTime!AP$56</f>
        <v>6</v>
      </c>
      <c r="AQ634" s="186">
        <f xml:space="preserve"> ConTime!AQ$56</f>
        <v>6</v>
      </c>
      <c r="AR634" s="186">
        <f xml:space="preserve"> ConTime!AR$56</f>
        <v>6</v>
      </c>
      <c r="AS634" s="186">
        <f xml:space="preserve"> ConTime!AS$56</f>
        <v>6</v>
      </c>
      <c r="AT634" s="186">
        <f xml:space="preserve"> ConTime!AT$56</f>
        <v>7</v>
      </c>
      <c r="AU634" s="186">
        <f xml:space="preserve"> ConTime!AU$56</f>
        <v>7</v>
      </c>
      <c r="AV634" s="186">
        <f xml:space="preserve"> ConTime!AV$56</f>
        <v>7</v>
      </c>
      <c r="AW634" s="186">
        <f xml:space="preserve"> ConTime!AW$56</f>
        <v>7</v>
      </c>
      <c r="AX634" s="186">
        <f xml:space="preserve"> ConTime!AX$56</f>
        <v>7</v>
      </c>
      <c r="AY634" s="186">
        <f xml:space="preserve"> ConTime!AY$56</f>
        <v>7</v>
      </c>
      <c r="AZ634" s="186">
        <f xml:space="preserve"> ConTime!AZ$56</f>
        <v>8</v>
      </c>
      <c r="BA634" s="186">
        <f xml:space="preserve"> ConTime!BA$56</f>
        <v>8</v>
      </c>
      <c r="BB634" s="186">
        <f xml:space="preserve"> ConTime!BB$56</f>
        <v>8</v>
      </c>
      <c r="BC634" s="186">
        <f xml:space="preserve"> ConTime!BC$56</f>
        <v>8</v>
      </c>
      <c r="BD634" s="186">
        <f xml:space="preserve"> ConTime!BD$56</f>
        <v>8</v>
      </c>
      <c r="BE634" s="186">
        <f xml:space="preserve"> ConTime!BE$56</f>
        <v>8</v>
      </c>
    </row>
    <row r="635" spans="1:57" hidden="1" outlineLevel="1" x14ac:dyDescent="0.2">
      <c r="E635" s="12" t="str">
        <f t="shared" ref="E635:AJ635" si="1183" xml:space="preserve"> E$311</f>
        <v>Construction debt drawdown - T1</v>
      </c>
      <c r="F635" s="12">
        <f t="shared" si="1183"/>
        <v>0</v>
      </c>
      <c r="G635" s="12" t="str">
        <f t="shared" si="1183"/>
        <v>$ 000s</v>
      </c>
      <c r="H635" s="12">
        <f t="shared" si="1183"/>
        <v>125194.92613015344</v>
      </c>
      <c r="I635" s="12">
        <f t="shared" si="1183"/>
        <v>0</v>
      </c>
      <c r="J635" s="12">
        <f t="shared" si="1183"/>
        <v>0</v>
      </c>
      <c r="K635" s="12">
        <f t="shared" si="1183"/>
        <v>0</v>
      </c>
      <c r="L635" s="12">
        <f t="shared" si="1183"/>
        <v>0</v>
      </c>
      <c r="M635" s="12">
        <f t="shared" si="1183"/>
        <v>0</v>
      </c>
      <c r="N635" s="12">
        <f t="shared" si="1183"/>
        <v>0</v>
      </c>
      <c r="O635" s="12">
        <f t="shared" si="1183"/>
        <v>0</v>
      </c>
      <c r="P635" s="12">
        <f t="shared" si="1183"/>
        <v>0</v>
      </c>
      <c r="Q635" s="12">
        <f t="shared" si="1183"/>
        <v>0</v>
      </c>
      <c r="R635" s="12">
        <f t="shared" si="1183"/>
        <v>0</v>
      </c>
      <c r="S635" s="12">
        <f t="shared" si="1183"/>
        <v>30.189482152990422</v>
      </c>
      <c r="T635" s="12">
        <f t="shared" si="1183"/>
        <v>6015.9670937187593</v>
      </c>
      <c r="U635" s="12">
        <f t="shared" si="1183"/>
        <v>6038.095317768486</v>
      </c>
      <c r="V635" s="12">
        <f t="shared" si="1183"/>
        <v>6055.4883867612043</v>
      </c>
      <c r="W635" s="12">
        <f t="shared" si="1183"/>
        <v>6052.3474376999075</v>
      </c>
      <c r="X635" s="12">
        <f t="shared" si="1183"/>
        <v>6090.3656804730163</v>
      </c>
      <c r="Y635" s="12">
        <f t="shared" si="1183"/>
        <v>6099.6650237944441</v>
      </c>
      <c r="Z635" s="12">
        <f t="shared" si="1183"/>
        <v>6125.4797411025556</v>
      </c>
      <c r="AA635" s="12">
        <f t="shared" si="1183"/>
        <v>6133.4879242745119</v>
      </c>
      <c r="AB635" s="12">
        <f t="shared" si="1183"/>
        <v>6160.7923784791783</v>
      </c>
      <c r="AC635" s="12">
        <f t="shared" si="1183"/>
        <v>6178.5388831731461</v>
      </c>
      <c r="AD635" s="12">
        <f t="shared" si="1183"/>
        <v>6184.5960573026177</v>
      </c>
      <c r="AE635" s="12">
        <f t="shared" si="1183"/>
        <v>6214.1515801739397</v>
      </c>
      <c r="AF635" s="12">
        <f t="shared" si="1183"/>
        <v>6218.8992590653697</v>
      </c>
      <c r="AG635" s="12">
        <f t="shared" si="1183"/>
        <v>6249.9656738061221</v>
      </c>
      <c r="AH635" s="12">
        <f t="shared" si="1183"/>
        <v>5272.9690471323538</v>
      </c>
      <c r="AI635" s="12">
        <f t="shared" si="1183"/>
        <v>5257.8118719884797</v>
      </c>
      <c r="AJ635" s="12">
        <f t="shared" si="1183"/>
        <v>5303.3035465794019</v>
      </c>
      <c r="AK635" s="12">
        <f t="shared" ref="AK635:BE635" si="1184" xml:space="preserve"> AK$311</f>
        <v>5302.2040856524955</v>
      </c>
      <c r="AL635" s="12">
        <f t="shared" si="1184"/>
        <v>5333.8533004755782</v>
      </c>
      <c r="AM635" s="12">
        <f t="shared" si="1184"/>
        <v>12876.754358578895</v>
      </c>
      <c r="AN635" s="12">
        <f t="shared" si="1184"/>
        <v>0</v>
      </c>
      <c r="AO635" s="12">
        <f t="shared" si="1184"/>
        <v>0</v>
      </c>
      <c r="AP635" s="12">
        <f t="shared" si="1184"/>
        <v>0</v>
      </c>
      <c r="AQ635" s="12">
        <f t="shared" si="1184"/>
        <v>0</v>
      </c>
      <c r="AR635" s="12">
        <f t="shared" si="1184"/>
        <v>0</v>
      </c>
      <c r="AS635" s="12">
        <f t="shared" si="1184"/>
        <v>0</v>
      </c>
      <c r="AT635" s="12">
        <f t="shared" si="1184"/>
        <v>0</v>
      </c>
      <c r="AU635" s="12">
        <f t="shared" si="1184"/>
        <v>0</v>
      </c>
      <c r="AV635" s="12">
        <f t="shared" si="1184"/>
        <v>0</v>
      </c>
      <c r="AW635" s="12">
        <f t="shared" si="1184"/>
        <v>0</v>
      </c>
      <c r="AX635" s="12">
        <f t="shared" si="1184"/>
        <v>0</v>
      </c>
      <c r="AY635" s="12">
        <f t="shared" si="1184"/>
        <v>0</v>
      </c>
      <c r="AZ635" s="12">
        <f t="shared" si="1184"/>
        <v>0</v>
      </c>
      <c r="BA635" s="12">
        <f t="shared" si="1184"/>
        <v>0</v>
      </c>
      <c r="BB635" s="12">
        <f t="shared" si="1184"/>
        <v>0</v>
      </c>
      <c r="BC635" s="12">
        <f t="shared" si="1184"/>
        <v>0</v>
      </c>
      <c r="BD635" s="12">
        <f t="shared" si="1184"/>
        <v>0</v>
      </c>
      <c r="BE635" s="12">
        <f t="shared" si="1184"/>
        <v>0</v>
      </c>
    </row>
    <row r="636" spans="1:57" s="629" customFormat="1" hidden="1" outlineLevel="1" x14ac:dyDescent="0.2">
      <c r="A636" s="904"/>
      <c r="B636" s="904"/>
      <c r="C636" s="905"/>
      <c r="D636" s="906"/>
      <c r="E636" s="907" t="s">
        <v>931</v>
      </c>
      <c r="F636" s="907"/>
      <c r="G636" s="907" t="str">
        <f xml:space="preserve"> SMU</f>
        <v>$ 000s</v>
      </c>
      <c r="H636" s="907">
        <f xml:space="preserve"> SUM(J636:BE636)</f>
        <v>125194.92613015344</v>
      </c>
      <c r="I636" s="908"/>
      <c r="J636" s="907">
        <f t="shared" ref="J636:BE636" si="1185" xml:space="preserve"> SUMIF($J634:$BE634, J633, $J635:$BE635)</f>
        <v>0</v>
      </c>
      <c r="K636" s="907">
        <f t="shared" si="1185"/>
        <v>12084.251893640236</v>
      </c>
      <c r="L636" s="907">
        <f t="shared" si="1185"/>
        <v>36556.834194105642</v>
      </c>
      <c r="M636" s="907">
        <f t="shared" si="1185"/>
        <v>37206.943832000376</v>
      </c>
      <c r="N636" s="907">
        <f t="shared" si="1185"/>
        <v>39346.896210407198</v>
      </c>
      <c r="O636" s="907">
        <f t="shared" si="1185"/>
        <v>0</v>
      </c>
      <c r="P636" s="907">
        <f t="shared" si="1185"/>
        <v>0</v>
      </c>
      <c r="Q636" s="907">
        <f t="shared" si="1185"/>
        <v>0</v>
      </c>
      <c r="R636" s="907">
        <f t="shared" si="1185"/>
        <v>0</v>
      </c>
      <c r="S636" s="907">
        <f t="shared" si="1185"/>
        <v>0</v>
      </c>
      <c r="T636" s="907">
        <f t="shared" si="1185"/>
        <v>0</v>
      </c>
      <c r="U636" s="907">
        <f t="shared" si="1185"/>
        <v>0</v>
      </c>
      <c r="V636" s="907">
        <f t="shared" si="1185"/>
        <v>0</v>
      </c>
      <c r="W636" s="907">
        <f t="shared" si="1185"/>
        <v>0</v>
      </c>
      <c r="X636" s="907">
        <f t="shared" si="1185"/>
        <v>0</v>
      </c>
      <c r="Y636" s="907">
        <f t="shared" si="1185"/>
        <v>0</v>
      </c>
      <c r="Z636" s="907">
        <f t="shared" si="1185"/>
        <v>0</v>
      </c>
      <c r="AA636" s="907">
        <f t="shared" si="1185"/>
        <v>0</v>
      </c>
      <c r="AB636" s="907">
        <f t="shared" si="1185"/>
        <v>0</v>
      </c>
      <c r="AC636" s="907">
        <f t="shared" si="1185"/>
        <v>0</v>
      </c>
      <c r="AD636" s="907">
        <f t="shared" si="1185"/>
        <v>0</v>
      </c>
      <c r="AE636" s="907">
        <f t="shared" si="1185"/>
        <v>0</v>
      </c>
      <c r="AF636" s="907">
        <f t="shared" si="1185"/>
        <v>0</v>
      </c>
      <c r="AG636" s="907">
        <f t="shared" si="1185"/>
        <v>0</v>
      </c>
      <c r="AH636" s="907">
        <f t="shared" si="1185"/>
        <v>0</v>
      </c>
      <c r="AI636" s="907">
        <f t="shared" si="1185"/>
        <v>0</v>
      </c>
      <c r="AJ636" s="907">
        <f t="shared" si="1185"/>
        <v>0</v>
      </c>
      <c r="AK636" s="907">
        <f t="shared" si="1185"/>
        <v>0</v>
      </c>
      <c r="AL636" s="907">
        <f t="shared" si="1185"/>
        <v>0</v>
      </c>
      <c r="AM636" s="907">
        <f t="shared" si="1185"/>
        <v>0</v>
      </c>
      <c r="AN636" s="907">
        <f t="shared" si="1185"/>
        <v>0</v>
      </c>
      <c r="AO636" s="907">
        <f t="shared" si="1185"/>
        <v>0</v>
      </c>
      <c r="AP636" s="907">
        <f t="shared" si="1185"/>
        <v>0</v>
      </c>
      <c r="AQ636" s="907">
        <f t="shared" si="1185"/>
        <v>0</v>
      </c>
      <c r="AR636" s="907">
        <f t="shared" si="1185"/>
        <v>0</v>
      </c>
      <c r="AS636" s="907">
        <f t="shared" si="1185"/>
        <v>0</v>
      </c>
      <c r="AT636" s="907">
        <f t="shared" si="1185"/>
        <v>0</v>
      </c>
      <c r="AU636" s="907">
        <f t="shared" si="1185"/>
        <v>0</v>
      </c>
      <c r="AV636" s="907">
        <f t="shared" si="1185"/>
        <v>0</v>
      </c>
      <c r="AW636" s="907">
        <f t="shared" si="1185"/>
        <v>0</v>
      </c>
      <c r="AX636" s="907">
        <f t="shared" si="1185"/>
        <v>0</v>
      </c>
      <c r="AY636" s="907">
        <f t="shared" si="1185"/>
        <v>0</v>
      </c>
      <c r="AZ636" s="907">
        <f t="shared" si="1185"/>
        <v>0</v>
      </c>
      <c r="BA636" s="907">
        <f t="shared" si="1185"/>
        <v>0</v>
      </c>
      <c r="BB636" s="907">
        <f t="shared" si="1185"/>
        <v>0</v>
      </c>
      <c r="BC636" s="907">
        <f t="shared" si="1185"/>
        <v>0</v>
      </c>
      <c r="BD636" s="907">
        <f t="shared" si="1185"/>
        <v>0</v>
      </c>
      <c r="BE636" s="907">
        <f t="shared" si="1185"/>
        <v>0</v>
      </c>
    </row>
    <row r="637" spans="1:57" s="188" customFormat="1" hidden="1" outlineLevel="1" x14ac:dyDescent="0.2">
      <c r="A637" s="141"/>
      <c r="B637" s="141"/>
      <c r="C637" s="142"/>
      <c r="D637" s="143"/>
      <c r="E637" s="187"/>
      <c r="F637" s="187"/>
      <c r="G637" s="187"/>
      <c r="H637" s="187"/>
      <c r="I637" s="144"/>
      <c r="J637" s="187"/>
      <c r="K637" s="187"/>
      <c r="L637" s="187"/>
      <c r="M637" s="187"/>
      <c r="N637" s="187"/>
      <c r="O637" s="187"/>
      <c r="P637" s="187"/>
      <c r="Q637" s="187"/>
      <c r="R637" s="187"/>
      <c r="S637" s="187"/>
      <c r="T637" s="187"/>
      <c r="U637" s="187"/>
      <c r="V637" s="187"/>
      <c r="W637" s="187"/>
      <c r="X637" s="187"/>
      <c r="Y637" s="187"/>
      <c r="Z637" s="187"/>
      <c r="AA637" s="187"/>
      <c r="AB637" s="187"/>
      <c r="AC637" s="187"/>
      <c r="AD637" s="187"/>
      <c r="AE637" s="187"/>
      <c r="AF637" s="187"/>
      <c r="AG637" s="187"/>
      <c r="AH637" s="187"/>
      <c r="AI637" s="187"/>
      <c r="AJ637" s="187"/>
      <c r="AK637" s="187"/>
      <c r="AL637" s="187"/>
      <c r="AM637" s="187"/>
      <c r="AN637" s="187"/>
      <c r="AO637" s="187"/>
      <c r="AP637" s="187"/>
      <c r="AQ637" s="187"/>
      <c r="AR637" s="187"/>
      <c r="AS637" s="187"/>
      <c r="AT637" s="187"/>
      <c r="AU637" s="187"/>
      <c r="AV637" s="187"/>
      <c r="AW637" s="187"/>
      <c r="AX637" s="187"/>
      <c r="AY637" s="187"/>
      <c r="AZ637" s="187"/>
      <c r="BA637" s="187"/>
      <c r="BB637" s="187"/>
      <c r="BC637" s="187"/>
      <c r="BD637" s="187"/>
      <c r="BE637" s="187"/>
    </row>
    <row r="638" spans="1:57" hidden="1" outlineLevel="1" x14ac:dyDescent="0.2">
      <c r="E638" s="538" t="str">
        <f xml:space="preserve"> Time!E$10</f>
        <v>Model column counter</v>
      </c>
      <c r="F638" s="538">
        <f xml:space="preserve"> Time!F$10</f>
        <v>0</v>
      </c>
      <c r="G638" s="538" t="str">
        <f xml:space="preserve"> Time!G$10</f>
        <v>counter</v>
      </c>
      <c r="H638" s="538">
        <f xml:space="preserve"> Time!H$10</f>
        <v>0</v>
      </c>
      <c r="I638" s="538">
        <f xml:space="preserve"> Time!I$10</f>
        <v>0</v>
      </c>
      <c r="J638" s="538">
        <f xml:space="preserve"> Time!J$10</f>
        <v>1</v>
      </c>
      <c r="K638" s="538">
        <f xml:space="preserve"> Time!K$10</f>
        <v>2</v>
      </c>
      <c r="L638" s="538">
        <f xml:space="preserve"> Time!L$10</f>
        <v>3</v>
      </c>
      <c r="M638" s="538">
        <f xml:space="preserve"> Time!M$10</f>
        <v>4</v>
      </c>
      <c r="N638" s="538">
        <f xml:space="preserve"> Time!N$10</f>
        <v>5</v>
      </c>
      <c r="O638" s="538">
        <f xml:space="preserve"> Time!O$10</f>
        <v>6</v>
      </c>
      <c r="P638" s="538">
        <f xml:space="preserve"> Time!P$10</f>
        <v>7</v>
      </c>
      <c r="Q638" s="538">
        <f xml:space="preserve"> Time!Q$10</f>
        <v>8</v>
      </c>
      <c r="R638" s="538">
        <f xml:space="preserve"> Time!R$10</f>
        <v>9</v>
      </c>
      <c r="S638" s="538">
        <f xml:space="preserve"> Time!S$10</f>
        <v>10</v>
      </c>
      <c r="T638" s="538">
        <f xml:space="preserve"> Time!T$10</f>
        <v>11</v>
      </c>
      <c r="U638" s="538">
        <f xml:space="preserve"> Time!U$10</f>
        <v>12</v>
      </c>
      <c r="V638" s="538">
        <f xml:space="preserve"> Time!V$10</f>
        <v>13</v>
      </c>
      <c r="W638" s="538">
        <f xml:space="preserve"> Time!W$10</f>
        <v>14</v>
      </c>
      <c r="X638" s="538">
        <f xml:space="preserve"> Time!X$10</f>
        <v>15</v>
      </c>
      <c r="Y638" s="538">
        <f xml:space="preserve"> Time!Y$10</f>
        <v>16</v>
      </c>
      <c r="Z638" s="538">
        <f xml:space="preserve"> Time!Z$10</f>
        <v>17</v>
      </c>
      <c r="AA638" s="538">
        <f xml:space="preserve"> Time!AA$10</f>
        <v>18</v>
      </c>
      <c r="AB638" s="538">
        <f xml:space="preserve"> Time!AB$10</f>
        <v>19</v>
      </c>
      <c r="AC638" s="538">
        <f xml:space="preserve"> Time!AC$10</f>
        <v>20</v>
      </c>
      <c r="AD638" s="538">
        <f xml:space="preserve"> Time!AD$10</f>
        <v>21</v>
      </c>
      <c r="AE638" s="538">
        <f xml:space="preserve"> Time!AE$10</f>
        <v>22</v>
      </c>
      <c r="AF638" s="538">
        <f xml:space="preserve"> Time!AF$10</f>
        <v>23</v>
      </c>
      <c r="AG638" s="538">
        <f xml:space="preserve"> Time!AG$10</f>
        <v>24</v>
      </c>
      <c r="AH638" s="538">
        <f xml:space="preserve"> Time!AH$10</f>
        <v>25</v>
      </c>
      <c r="AI638" s="538">
        <f xml:space="preserve"> Time!AI$10</f>
        <v>26</v>
      </c>
      <c r="AJ638" s="538">
        <f xml:space="preserve"> Time!AJ$10</f>
        <v>27</v>
      </c>
      <c r="AK638" s="538">
        <f xml:space="preserve"> Time!AK$10</f>
        <v>28</v>
      </c>
      <c r="AL638" s="538">
        <f xml:space="preserve"> Time!AL$10</f>
        <v>29</v>
      </c>
      <c r="AM638" s="538">
        <f xml:space="preserve"> Time!AM$10</f>
        <v>30</v>
      </c>
      <c r="AN638" s="538">
        <f xml:space="preserve"> Time!AN$10</f>
        <v>31</v>
      </c>
      <c r="AO638" s="538">
        <f xml:space="preserve"> Time!AO$10</f>
        <v>32</v>
      </c>
      <c r="AP638" s="538">
        <f xml:space="preserve"> Time!AP$10</f>
        <v>33</v>
      </c>
      <c r="AQ638" s="538">
        <f xml:space="preserve"> Time!AQ$10</f>
        <v>34</v>
      </c>
      <c r="AR638" s="538">
        <f xml:space="preserve"> Time!AR$10</f>
        <v>35</v>
      </c>
      <c r="AS638" s="538">
        <f xml:space="preserve"> Time!AS$10</f>
        <v>36</v>
      </c>
      <c r="AT638" s="538">
        <f xml:space="preserve"> Time!AT$10</f>
        <v>37</v>
      </c>
      <c r="AU638" s="538">
        <f xml:space="preserve"> Time!AU$10</f>
        <v>38</v>
      </c>
      <c r="AV638" s="538">
        <f xml:space="preserve"> Time!AV$10</f>
        <v>39</v>
      </c>
      <c r="AW638" s="538">
        <f xml:space="preserve"> Time!AW$10</f>
        <v>40</v>
      </c>
      <c r="AX638" s="538">
        <f xml:space="preserve"> Time!AX$10</f>
        <v>41</v>
      </c>
      <c r="AY638" s="538">
        <f xml:space="preserve"> Time!AY$10</f>
        <v>42</v>
      </c>
      <c r="AZ638" s="538">
        <f xml:space="preserve"> Time!AZ$10</f>
        <v>43</v>
      </c>
      <c r="BA638" s="538">
        <f xml:space="preserve"> Time!BA$10</f>
        <v>44</v>
      </c>
      <c r="BB638" s="538">
        <f xml:space="preserve"> Time!BB$10</f>
        <v>45</v>
      </c>
      <c r="BC638" s="538">
        <f xml:space="preserve"> Time!BC$10</f>
        <v>46</v>
      </c>
      <c r="BD638" s="538">
        <f xml:space="preserve"> Time!BD$10</f>
        <v>47</v>
      </c>
      <c r="BE638" s="538">
        <f xml:space="preserve"> Time!BE$10</f>
        <v>48</v>
      </c>
    </row>
    <row r="639" spans="1:57" hidden="1" outlineLevel="1" x14ac:dyDescent="0.2">
      <c r="E639" s="186" t="str">
        <f xml:space="preserve"> ConTime!E$56</f>
        <v>Model ops period counter - m</v>
      </c>
      <c r="F639" s="186">
        <f xml:space="preserve"> ConTime!F$56</f>
        <v>0</v>
      </c>
      <c r="G639" s="186" t="str">
        <f xml:space="preserve"> ConTime!G$56</f>
        <v>counter</v>
      </c>
      <c r="H639" s="186">
        <f xml:space="preserve"> ConTime!H$56</f>
        <v>0</v>
      </c>
      <c r="I639" s="186">
        <f xml:space="preserve"> ConTime!I$56</f>
        <v>0</v>
      </c>
      <c r="J639" s="186">
        <f xml:space="preserve"> ConTime!J$56</f>
        <v>1</v>
      </c>
      <c r="K639" s="186">
        <f xml:space="preserve"> ConTime!K$56</f>
        <v>1</v>
      </c>
      <c r="L639" s="186">
        <f xml:space="preserve"> ConTime!L$56</f>
        <v>1</v>
      </c>
      <c r="M639" s="186">
        <f xml:space="preserve"> ConTime!M$56</f>
        <v>1</v>
      </c>
      <c r="N639" s="186">
        <f xml:space="preserve"> ConTime!N$56</f>
        <v>1</v>
      </c>
      <c r="O639" s="186">
        <f xml:space="preserve"> ConTime!O$56</f>
        <v>1</v>
      </c>
      <c r="P639" s="186">
        <f xml:space="preserve"> ConTime!P$56</f>
        <v>2</v>
      </c>
      <c r="Q639" s="186">
        <f xml:space="preserve"> ConTime!Q$56</f>
        <v>2</v>
      </c>
      <c r="R639" s="186">
        <f xml:space="preserve"> ConTime!R$56</f>
        <v>2</v>
      </c>
      <c r="S639" s="186">
        <f xml:space="preserve"> ConTime!S$56</f>
        <v>2</v>
      </c>
      <c r="T639" s="186">
        <f xml:space="preserve"> ConTime!T$56</f>
        <v>2</v>
      </c>
      <c r="U639" s="186">
        <f xml:space="preserve"> ConTime!U$56</f>
        <v>2</v>
      </c>
      <c r="V639" s="186">
        <f xml:space="preserve"> ConTime!V$56</f>
        <v>3</v>
      </c>
      <c r="W639" s="186">
        <f xml:space="preserve"> ConTime!W$56</f>
        <v>3</v>
      </c>
      <c r="X639" s="186">
        <f xml:space="preserve"> ConTime!X$56</f>
        <v>3</v>
      </c>
      <c r="Y639" s="186">
        <f xml:space="preserve"> ConTime!Y$56</f>
        <v>3</v>
      </c>
      <c r="Z639" s="186">
        <f xml:space="preserve"> ConTime!Z$56</f>
        <v>3</v>
      </c>
      <c r="AA639" s="186">
        <f xml:space="preserve"> ConTime!AA$56</f>
        <v>3</v>
      </c>
      <c r="AB639" s="186">
        <f xml:space="preserve"> ConTime!AB$56</f>
        <v>4</v>
      </c>
      <c r="AC639" s="186">
        <f xml:space="preserve"> ConTime!AC$56</f>
        <v>4</v>
      </c>
      <c r="AD639" s="186">
        <f xml:space="preserve"> ConTime!AD$56</f>
        <v>4</v>
      </c>
      <c r="AE639" s="186">
        <f xml:space="preserve"> ConTime!AE$56</f>
        <v>4</v>
      </c>
      <c r="AF639" s="186">
        <f xml:space="preserve"> ConTime!AF$56</f>
        <v>4</v>
      </c>
      <c r="AG639" s="186">
        <f xml:space="preserve"> ConTime!AG$56</f>
        <v>4</v>
      </c>
      <c r="AH639" s="186">
        <f xml:space="preserve"> ConTime!AH$56</f>
        <v>5</v>
      </c>
      <c r="AI639" s="186">
        <f xml:space="preserve"> ConTime!AI$56</f>
        <v>5</v>
      </c>
      <c r="AJ639" s="186">
        <f xml:space="preserve"> ConTime!AJ$56</f>
        <v>5</v>
      </c>
      <c r="AK639" s="186">
        <f xml:space="preserve"> ConTime!AK$56</f>
        <v>5</v>
      </c>
      <c r="AL639" s="186">
        <f xml:space="preserve"> ConTime!AL$56</f>
        <v>5</v>
      </c>
      <c r="AM639" s="186">
        <f xml:space="preserve"> ConTime!AM$56</f>
        <v>5</v>
      </c>
      <c r="AN639" s="186">
        <f xml:space="preserve"> ConTime!AN$56</f>
        <v>6</v>
      </c>
      <c r="AO639" s="186">
        <f xml:space="preserve"> ConTime!AO$56</f>
        <v>6</v>
      </c>
      <c r="AP639" s="186">
        <f xml:space="preserve"> ConTime!AP$56</f>
        <v>6</v>
      </c>
      <c r="AQ639" s="186">
        <f xml:space="preserve"> ConTime!AQ$56</f>
        <v>6</v>
      </c>
      <c r="AR639" s="186">
        <f xml:space="preserve"> ConTime!AR$56</f>
        <v>6</v>
      </c>
      <c r="AS639" s="186">
        <f xml:space="preserve"> ConTime!AS$56</f>
        <v>6</v>
      </c>
      <c r="AT639" s="186">
        <f xml:space="preserve"> ConTime!AT$56</f>
        <v>7</v>
      </c>
      <c r="AU639" s="186">
        <f xml:space="preserve"> ConTime!AU$56</f>
        <v>7</v>
      </c>
      <c r="AV639" s="186">
        <f xml:space="preserve"> ConTime!AV$56</f>
        <v>7</v>
      </c>
      <c r="AW639" s="186">
        <f xml:space="preserve"> ConTime!AW$56</f>
        <v>7</v>
      </c>
      <c r="AX639" s="186">
        <f xml:space="preserve"> ConTime!AX$56</f>
        <v>7</v>
      </c>
      <c r="AY639" s="186">
        <f xml:space="preserve"> ConTime!AY$56</f>
        <v>7</v>
      </c>
      <c r="AZ639" s="186">
        <f xml:space="preserve"> ConTime!AZ$56</f>
        <v>8</v>
      </c>
      <c r="BA639" s="186">
        <f xml:space="preserve"> ConTime!BA$56</f>
        <v>8</v>
      </c>
      <c r="BB639" s="186">
        <f xml:space="preserve"> ConTime!BB$56</f>
        <v>8</v>
      </c>
      <c r="BC639" s="186">
        <f xml:space="preserve"> ConTime!BC$56</f>
        <v>8</v>
      </c>
      <c r="BD639" s="186">
        <f xml:space="preserve"> ConTime!BD$56</f>
        <v>8</v>
      </c>
      <c r="BE639" s="186">
        <f xml:space="preserve"> ConTime!BE$56</f>
        <v>8</v>
      </c>
    </row>
    <row r="640" spans="1:57" hidden="1" outlineLevel="1" x14ac:dyDescent="0.2">
      <c r="E640" s="12" t="str">
        <f t="shared" ref="E640:AJ640" si="1186" xml:space="preserve"> E$332</f>
        <v>Construction debt drawdown - T2</v>
      </c>
      <c r="F640" s="12">
        <f t="shared" si="1186"/>
        <v>0</v>
      </c>
      <c r="G640" s="12" t="str">
        <f t="shared" si="1186"/>
        <v>$ 000s</v>
      </c>
      <c r="H640" s="12">
        <f t="shared" si="1186"/>
        <v>125194.92613015344</v>
      </c>
      <c r="I640" s="12">
        <f t="shared" si="1186"/>
        <v>0</v>
      </c>
      <c r="J640" s="12">
        <f t="shared" si="1186"/>
        <v>0</v>
      </c>
      <c r="K640" s="12">
        <f t="shared" si="1186"/>
        <v>0</v>
      </c>
      <c r="L640" s="12">
        <f t="shared" si="1186"/>
        <v>0</v>
      </c>
      <c r="M640" s="12">
        <f t="shared" si="1186"/>
        <v>0</v>
      </c>
      <c r="N640" s="12">
        <f t="shared" si="1186"/>
        <v>0</v>
      </c>
      <c r="O640" s="12">
        <f t="shared" si="1186"/>
        <v>0</v>
      </c>
      <c r="P640" s="12">
        <f t="shared" si="1186"/>
        <v>0</v>
      </c>
      <c r="Q640" s="12">
        <f t="shared" si="1186"/>
        <v>0</v>
      </c>
      <c r="R640" s="12">
        <f t="shared" si="1186"/>
        <v>0</v>
      </c>
      <c r="S640" s="12">
        <f t="shared" si="1186"/>
        <v>30.189482152990422</v>
      </c>
      <c r="T640" s="12">
        <f t="shared" si="1186"/>
        <v>6015.9670937187593</v>
      </c>
      <c r="U640" s="12">
        <f t="shared" si="1186"/>
        <v>6038.095317768486</v>
      </c>
      <c r="V640" s="12">
        <f t="shared" si="1186"/>
        <v>6055.4883867612043</v>
      </c>
      <c r="W640" s="12">
        <f t="shared" si="1186"/>
        <v>6052.3474376999075</v>
      </c>
      <c r="X640" s="12">
        <f t="shared" si="1186"/>
        <v>6090.3656804730163</v>
      </c>
      <c r="Y640" s="12">
        <f t="shared" si="1186"/>
        <v>6099.6650237944441</v>
      </c>
      <c r="Z640" s="12">
        <f t="shared" si="1186"/>
        <v>6125.4797411025556</v>
      </c>
      <c r="AA640" s="12">
        <f t="shared" si="1186"/>
        <v>6133.4879242745119</v>
      </c>
      <c r="AB640" s="12">
        <f t="shared" si="1186"/>
        <v>6160.7923784791783</v>
      </c>
      <c r="AC640" s="12">
        <f t="shared" si="1186"/>
        <v>6178.5388831731461</v>
      </c>
      <c r="AD640" s="12">
        <f t="shared" si="1186"/>
        <v>6184.5960573026177</v>
      </c>
      <c r="AE640" s="12">
        <f t="shared" si="1186"/>
        <v>6214.1515801739397</v>
      </c>
      <c r="AF640" s="12">
        <f t="shared" si="1186"/>
        <v>6218.8992590653697</v>
      </c>
      <c r="AG640" s="12">
        <f t="shared" si="1186"/>
        <v>6249.9656738061221</v>
      </c>
      <c r="AH640" s="12">
        <f t="shared" si="1186"/>
        <v>5272.9690471323538</v>
      </c>
      <c r="AI640" s="12">
        <f t="shared" si="1186"/>
        <v>5257.8118719884797</v>
      </c>
      <c r="AJ640" s="12">
        <f t="shared" si="1186"/>
        <v>5303.3035465794019</v>
      </c>
      <c r="AK640" s="12">
        <f t="shared" ref="AK640:BE640" si="1187" xml:space="preserve"> AK$332</f>
        <v>5302.2040856524955</v>
      </c>
      <c r="AL640" s="12">
        <f t="shared" si="1187"/>
        <v>5333.8533004755782</v>
      </c>
      <c r="AM640" s="12">
        <f t="shared" si="1187"/>
        <v>12876.754358578895</v>
      </c>
      <c r="AN640" s="12">
        <f t="shared" si="1187"/>
        <v>0</v>
      </c>
      <c r="AO640" s="12">
        <f t="shared" si="1187"/>
        <v>0</v>
      </c>
      <c r="AP640" s="12">
        <f t="shared" si="1187"/>
        <v>0</v>
      </c>
      <c r="AQ640" s="12">
        <f t="shared" si="1187"/>
        <v>0</v>
      </c>
      <c r="AR640" s="12">
        <f t="shared" si="1187"/>
        <v>0</v>
      </c>
      <c r="AS640" s="12">
        <f t="shared" si="1187"/>
        <v>0</v>
      </c>
      <c r="AT640" s="12">
        <f t="shared" si="1187"/>
        <v>0</v>
      </c>
      <c r="AU640" s="12">
        <f t="shared" si="1187"/>
        <v>0</v>
      </c>
      <c r="AV640" s="12">
        <f t="shared" si="1187"/>
        <v>0</v>
      </c>
      <c r="AW640" s="12">
        <f t="shared" si="1187"/>
        <v>0</v>
      </c>
      <c r="AX640" s="12">
        <f t="shared" si="1187"/>
        <v>0</v>
      </c>
      <c r="AY640" s="12">
        <f t="shared" si="1187"/>
        <v>0</v>
      </c>
      <c r="AZ640" s="12">
        <f t="shared" si="1187"/>
        <v>0</v>
      </c>
      <c r="BA640" s="12">
        <f t="shared" si="1187"/>
        <v>0</v>
      </c>
      <c r="BB640" s="12">
        <f t="shared" si="1187"/>
        <v>0</v>
      </c>
      <c r="BC640" s="12">
        <f t="shared" si="1187"/>
        <v>0</v>
      </c>
      <c r="BD640" s="12">
        <f t="shared" si="1187"/>
        <v>0</v>
      </c>
      <c r="BE640" s="12">
        <f t="shared" si="1187"/>
        <v>0</v>
      </c>
    </row>
    <row r="641" spans="1:57" s="629" customFormat="1" hidden="1" outlineLevel="1" x14ac:dyDescent="0.2">
      <c r="A641" s="904"/>
      <c r="B641" s="904"/>
      <c r="C641" s="905"/>
      <c r="D641" s="906"/>
      <c r="E641" s="907" t="s">
        <v>933</v>
      </c>
      <c r="F641" s="907"/>
      <c r="G641" s="907" t="str">
        <f xml:space="preserve"> SMU</f>
        <v>$ 000s</v>
      </c>
      <c r="H641" s="907">
        <f xml:space="preserve"> SUM(J641:BE641)</f>
        <v>125194.92613015344</v>
      </c>
      <c r="I641" s="908"/>
      <c r="J641" s="907">
        <f t="shared" ref="J641:BE641" si="1188" xml:space="preserve"> SUMIF($J639:$BE639, J638, $J640:$BE640)</f>
        <v>0</v>
      </c>
      <c r="K641" s="907">
        <f t="shared" si="1188"/>
        <v>12084.251893640236</v>
      </c>
      <c r="L641" s="907">
        <f t="shared" si="1188"/>
        <v>36556.834194105642</v>
      </c>
      <c r="M641" s="907">
        <f t="shared" si="1188"/>
        <v>37206.943832000376</v>
      </c>
      <c r="N641" s="907">
        <f t="shared" si="1188"/>
        <v>39346.896210407198</v>
      </c>
      <c r="O641" s="907">
        <f t="shared" si="1188"/>
        <v>0</v>
      </c>
      <c r="P641" s="907">
        <f t="shared" si="1188"/>
        <v>0</v>
      </c>
      <c r="Q641" s="907">
        <f t="shared" si="1188"/>
        <v>0</v>
      </c>
      <c r="R641" s="907">
        <f t="shared" si="1188"/>
        <v>0</v>
      </c>
      <c r="S641" s="907">
        <f t="shared" si="1188"/>
        <v>0</v>
      </c>
      <c r="T641" s="907">
        <f t="shared" si="1188"/>
        <v>0</v>
      </c>
      <c r="U641" s="907">
        <f t="shared" si="1188"/>
        <v>0</v>
      </c>
      <c r="V641" s="907">
        <f t="shared" si="1188"/>
        <v>0</v>
      </c>
      <c r="W641" s="907">
        <f t="shared" si="1188"/>
        <v>0</v>
      </c>
      <c r="X641" s="907">
        <f t="shared" si="1188"/>
        <v>0</v>
      </c>
      <c r="Y641" s="907">
        <f t="shared" si="1188"/>
        <v>0</v>
      </c>
      <c r="Z641" s="907">
        <f t="shared" si="1188"/>
        <v>0</v>
      </c>
      <c r="AA641" s="907">
        <f t="shared" si="1188"/>
        <v>0</v>
      </c>
      <c r="AB641" s="907">
        <f t="shared" si="1188"/>
        <v>0</v>
      </c>
      <c r="AC641" s="907">
        <f t="shared" si="1188"/>
        <v>0</v>
      </c>
      <c r="AD641" s="907">
        <f t="shared" si="1188"/>
        <v>0</v>
      </c>
      <c r="AE641" s="907">
        <f t="shared" si="1188"/>
        <v>0</v>
      </c>
      <c r="AF641" s="907">
        <f t="shared" si="1188"/>
        <v>0</v>
      </c>
      <c r="AG641" s="907">
        <f t="shared" si="1188"/>
        <v>0</v>
      </c>
      <c r="AH641" s="907">
        <f t="shared" si="1188"/>
        <v>0</v>
      </c>
      <c r="AI641" s="907">
        <f t="shared" si="1188"/>
        <v>0</v>
      </c>
      <c r="AJ641" s="907">
        <f t="shared" si="1188"/>
        <v>0</v>
      </c>
      <c r="AK641" s="907">
        <f t="shared" si="1188"/>
        <v>0</v>
      </c>
      <c r="AL641" s="907">
        <f t="shared" si="1188"/>
        <v>0</v>
      </c>
      <c r="AM641" s="907">
        <f t="shared" si="1188"/>
        <v>0</v>
      </c>
      <c r="AN641" s="907">
        <f t="shared" si="1188"/>
        <v>0</v>
      </c>
      <c r="AO641" s="907">
        <f t="shared" si="1188"/>
        <v>0</v>
      </c>
      <c r="AP641" s="907">
        <f t="shared" si="1188"/>
        <v>0</v>
      </c>
      <c r="AQ641" s="907">
        <f t="shared" si="1188"/>
        <v>0</v>
      </c>
      <c r="AR641" s="907">
        <f t="shared" si="1188"/>
        <v>0</v>
      </c>
      <c r="AS641" s="907">
        <f t="shared" si="1188"/>
        <v>0</v>
      </c>
      <c r="AT641" s="907">
        <f t="shared" si="1188"/>
        <v>0</v>
      </c>
      <c r="AU641" s="907">
        <f t="shared" si="1188"/>
        <v>0</v>
      </c>
      <c r="AV641" s="907">
        <f t="shared" si="1188"/>
        <v>0</v>
      </c>
      <c r="AW641" s="907">
        <f t="shared" si="1188"/>
        <v>0</v>
      </c>
      <c r="AX641" s="907">
        <f t="shared" si="1188"/>
        <v>0</v>
      </c>
      <c r="AY641" s="907">
        <f t="shared" si="1188"/>
        <v>0</v>
      </c>
      <c r="AZ641" s="907">
        <f t="shared" si="1188"/>
        <v>0</v>
      </c>
      <c r="BA641" s="907">
        <f t="shared" si="1188"/>
        <v>0</v>
      </c>
      <c r="BB641" s="907">
        <f t="shared" si="1188"/>
        <v>0</v>
      </c>
      <c r="BC641" s="907">
        <f t="shared" si="1188"/>
        <v>0</v>
      </c>
      <c r="BD641" s="907">
        <f t="shared" si="1188"/>
        <v>0</v>
      </c>
      <c r="BE641" s="907">
        <f t="shared" si="1188"/>
        <v>0</v>
      </c>
    </row>
    <row r="642" spans="1:57" s="188" customFormat="1" hidden="1" outlineLevel="1" x14ac:dyDescent="0.2">
      <c r="A642" s="141"/>
      <c r="B642" s="141"/>
      <c r="C642" s="142"/>
      <c r="D642" s="143"/>
      <c r="E642" s="187"/>
      <c r="F642" s="187"/>
      <c r="G642" s="187"/>
      <c r="H642" s="187"/>
      <c r="I642" s="144"/>
      <c r="J642" s="187"/>
      <c r="K642" s="187"/>
      <c r="L642" s="187"/>
      <c r="M642" s="187"/>
      <c r="N642" s="187"/>
      <c r="O642" s="187"/>
      <c r="P642" s="187"/>
      <c r="Q642" s="187"/>
      <c r="R642" s="187"/>
      <c r="S642" s="187"/>
      <c r="T642" s="187"/>
      <c r="U642" s="187"/>
      <c r="V642" s="187"/>
      <c r="W642" s="187"/>
      <c r="X642" s="187"/>
      <c r="Y642" s="187"/>
      <c r="Z642" s="187"/>
      <c r="AA642" s="187"/>
      <c r="AB642" s="187"/>
      <c r="AC642" s="187"/>
      <c r="AD642" s="187"/>
      <c r="AE642" s="187"/>
      <c r="AF642" s="187"/>
      <c r="AG642" s="187"/>
      <c r="AH642" s="187"/>
      <c r="AI642" s="187"/>
      <c r="AJ642" s="187"/>
      <c r="AK642" s="187"/>
      <c r="AL642" s="187"/>
      <c r="AM642" s="187"/>
      <c r="AN642" s="187"/>
      <c r="AO642" s="187"/>
      <c r="AP642" s="187"/>
      <c r="AQ642" s="187"/>
      <c r="AR642" s="187"/>
      <c r="AS642" s="187"/>
      <c r="AT642" s="187"/>
      <c r="AU642" s="187"/>
      <c r="AV642" s="187"/>
      <c r="AW642" s="187"/>
      <c r="AX642" s="187"/>
      <c r="AY642" s="187"/>
      <c r="AZ642" s="187"/>
      <c r="BA642" s="187"/>
      <c r="BB642" s="187"/>
      <c r="BC642" s="187"/>
      <c r="BD642" s="187"/>
      <c r="BE642" s="187"/>
    </row>
    <row r="643" spans="1:57" hidden="1" outlineLevel="1" x14ac:dyDescent="0.2">
      <c r="E643" s="538" t="str">
        <f xml:space="preserve"> Time!E$10</f>
        <v>Model column counter</v>
      </c>
      <c r="F643" s="538">
        <f xml:space="preserve"> Time!F$10</f>
        <v>0</v>
      </c>
      <c r="G643" s="538" t="str">
        <f xml:space="preserve"> Time!G$10</f>
        <v>counter</v>
      </c>
      <c r="H643" s="538">
        <f xml:space="preserve"> Time!H$10</f>
        <v>0</v>
      </c>
      <c r="I643" s="538">
        <f xml:space="preserve"> Time!I$10</f>
        <v>0</v>
      </c>
      <c r="J643" s="538">
        <f xml:space="preserve"> Time!J$10</f>
        <v>1</v>
      </c>
      <c r="K643" s="538">
        <f xml:space="preserve"> Time!K$10</f>
        <v>2</v>
      </c>
      <c r="L643" s="538">
        <f xml:space="preserve"> Time!L$10</f>
        <v>3</v>
      </c>
      <c r="M643" s="538">
        <f xml:space="preserve"> Time!M$10</f>
        <v>4</v>
      </c>
      <c r="N643" s="538">
        <f xml:space="preserve"> Time!N$10</f>
        <v>5</v>
      </c>
      <c r="O643" s="538">
        <f xml:space="preserve"> Time!O$10</f>
        <v>6</v>
      </c>
      <c r="P643" s="538">
        <f xml:space="preserve"> Time!P$10</f>
        <v>7</v>
      </c>
      <c r="Q643" s="538">
        <f xml:space="preserve"> Time!Q$10</f>
        <v>8</v>
      </c>
      <c r="R643" s="538">
        <f xml:space="preserve"> Time!R$10</f>
        <v>9</v>
      </c>
      <c r="S643" s="538">
        <f xml:space="preserve"> Time!S$10</f>
        <v>10</v>
      </c>
      <c r="T643" s="538">
        <f xml:space="preserve"> Time!T$10</f>
        <v>11</v>
      </c>
      <c r="U643" s="538">
        <f xml:space="preserve"> Time!U$10</f>
        <v>12</v>
      </c>
      <c r="V643" s="538">
        <f xml:space="preserve"> Time!V$10</f>
        <v>13</v>
      </c>
      <c r="W643" s="538">
        <f xml:space="preserve"> Time!W$10</f>
        <v>14</v>
      </c>
      <c r="X643" s="538">
        <f xml:space="preserve"> Time!X$10</f>
        <v>15</v>
      </c>
      <c r="Y643" s="538">
        <f xml:space="preserve"> Time!Y$10</f>
        <v>16</v>
      </c>
      <c r="Z643" s="538">
        <f xml:space="preserve"> Time!Z$10</f>
        <v>17</v>
      </c>
      <c r="AA643" s="538">
        <f xml:space="preserve"> Time!AA$10</f>
        <v>18</v>
      </c>
      <c r="AB643" s="538">
        <f xml:space="preserve"> Time!AB$10</f>
        <v>19</v>
      </c>
      <c r="AC643" s="538">
        <f xml:space="preserve"> Time!AC$10</f>
        <v>20</v>
      </c>
      <c r="AD643" s="538">
        <f xml:space="preserve"> Time!AD$10</f>
        <v>21</v>
      </c>
      <c r="AE643" s="538">
        <f xml:space="preserve"> Time!AE$10</f>
        <v>22</v>
      </c>
      <c r="AF643" s="538">
        <f xml:space="preserve"> Time!AF$10</f>
        <v>23</v>
      </c>
      <c r="AG643" s="538">
        <f xml:space="preserve"> Time!AG$10</f>
        <v>24</v>
      </c>
      <c r="AH643" s="538">
        <f xml:space="preserve"> Time!AH$10</f>
        <v>25</v>
      </c>
      <c r="AI643" s="538">
        <f xml:space="preserve"> Time!AI$10</f>
        <v>26</v>
      </c>
      <c r="AJ643" s="538">
        <f xml:space="preserve"> Time!AJ$10</f>
        <v>27</v>
      </c>
      <c r="AK643" s="538">
        <f xml:space="preserve"> Time!AK$10</f>
        <v>28</v>
      </c>
      <c r="AL643" s="538">
        <f xml:space="preserve"> Time!AL$10</f>
        <v>29</v>
      </c>
      <c r="AM643" s="538">
        <f xml:space="preserve"> Time!AM$10</f>
        <v>30</v>
      </c>
      <c r="AN643" s="538">
        <f xml:space="preserve"> Time!AN$10</f>
        <v>31</v>
      </c>
      <c r="AO643" s="538">
        <f xml:space="preserve"> Time!AO$10</f>
        <v>32</v>
      </c>
      <c r="AP643" s="538">
        <f xml:space="preserve"> Time!AP$10</f>
        <v>33</v>
      </c>
      <c r="AQ643" s="538">
        <f xml:space="preserve"> Time!AQ$10</f>
        <v>34</v>
      </c>
      <c r="AR643" s="538">
        <f xml:space="preserve"> Time!AR$10</f>
        <v>35</v>
      </c>
      <c r="AS643" s="538">
        <f xml:space="preserve"> Time!AS$10</f>
        <v>36</v>
      </c>
      <c r="AT643" s="538">
        <f xml:space="preserve"> Time!AT$10</f>
        <v>37</v>
      </c>
      <c r="AU643" s="538">
        <f xml:space="preserve"> Time!AU$10</f>
        <v>38</v>
      </c>
      <c r="AV643" s="538">
        <f xml:space="preserve"> Time!AV$10</f>
        <v>39</v>
      </c>
      <c r="AW643" s="538">
        <f xml:space="preserve"> Time!AW$10</f>
        <v>40</v>
      </c>
      <c r="AX643" s="538">
        <f xml:space="preserve"> Time!AX$10</f>
        <v>41</v>
      </c>
      <c r="AY643" s="538">
        <f xml:space="preserve"> Time!AY$10</f>
        <v>42</v>
      </c>
      <c r="AZ643" s="538">
        <f xml:space="preserve"> Time!AZ$10</f>
        <v>43</v>
      </c>
      <c r="BA643" s="538">
        <f xml:space="preserve"> Time!BA$10</f>
        <v>44</v>
      </c>
      <c r="BB643" s="538">
        <f xml:space="preserve"> Time!BB$10</f>
        <v>45</v>
      </c>
      <c r="BC643" s="538">
        <f xml:space="preserve"> Time!BC$10</f>
        <v>46</v>
      </c>
      <c r="BD643" s="538">
        <f xml:space="preserve"> Time!BD$10</f>
        <v>47</v>
      </c>
      <c r="BE643" s="538">
        <f xml:space="preserve"> Time!BE$10</f>
        <v>48</v>
      </c>
    </row>
    <row r="644" spans="1:57" hidden="1" outlineLevel="1" x14ac:dyDescent="0.2">
      <c r="E644" s="186" t="str">
        <f xml:space="preserve"> ConTime!E$56</f>
        <v>Model ops period counter - m</v>
      </c>
      <c r="F644" s="186">
        <f xml:space="preserve"> ConTime!F$56</f>
        <v>0</v>
      </c>
      <c r="G644" s="186" t="str">
        <f xml:space="preserve"> ConTime!G$56</f>
        <v>counter</v>
      </c>
      <c r="H644" s="186">
        <f xml:space="preserve"> ConTime!H$56</f>
        <v>0</v>
      </c>
      <c r="I644" s="186">
        <f xml:space="preserve"> ConTime!I$56</f>
        <v>0</v>
      </c>
      <c r="J644" s="186">
        <f xml:space="preserve"> ConTime!J$56</f>
        <v>1</v>
      </c>
      <c r="K644" s="186">
        <f xml:space="preserve"> ConTime!K$56</f>
        <v>1</v>
      </c>
      <c r="L644" s="186">
        <f xml:space="preserve"> ConTime!L$56</f>
        <v>1</v>
      </c>
      <c r="M644" s="186">
        <f xml:space="preserve"> ConTime!M$56</f>
        <v>1</v>
      </c>
      <c r="N644" s="186">
        <f xml:space="preserve"> ConTime!N$56</f>
        <v>1</v>
      </c>
      <c r="O644" s="186">
        <f xml:space="preserve"> ConTime!O$56</f>
        <v>1</v>
      </c>
      <c r="P644" s="186">
        <f xml:space="preserve"> ConTime!P$56</f>
        <v>2</v>
      </c>
      <c r="Q644" s="186">
        <f xml:space="preserve"> ConTime!Q$56</f>
        <v>2</v>
      </c>
      <c r="R644" s="186">
        <f xml:space="preserve"> ConTime!R$56</f>
        <v>2</v>
      </c>
      <c r="S644" s="186">
        <f xml:space="preserve"> ConTime!S$56</f>
        <v>2</v>
      </c>
      <c r="T644" s="186">
        <f xml:space="preserve"> ConTime!T$56</f>
        <v>2</v>
      </c>
      <c r="U644" s="186">
        <f xml:space="preserve"> ConTime!U$56</f>
        <v>2</v>
      </c>
      <c r="V644" s="186">
        <f xml:space="preserve"> ConTime!V$56</f>
        <v>3</v>
      </c>
      <c r="W644" s="186">
        <f xml:space="preserve"> ConTime!W$56</f>
        <v>3</v>
      </c>
      <c r="X644" s="186">
        <f xml:space="preserve"> ConTime!X$56</f>
        <v>3</v>
      </c>
      <c r="Y644" s="186">
        <f xml:space="preserve"> ConTime!Y$56</f>
        <v>3</v>
      </c>
      <c r="Z644" s="186">
        <f xml:space="preserve"> ConTime!Z$56</f>
        <v>3</v>
      </c>
      <c r="AA644" s="186">
        <f xml:space="preserve"> ConTime!AA$56</f>
        <v>3</v>
      </c>
      <c r="AB644" s="186">
        <f xml:space="preserve"> ConTime!AB$56</f>
        <v>4</v>
      </c>
      <c r="AC644" s="186">
        <f xml:space="preserve"> ConTime!AC$56</f>
        <v>4</v>
      </c>
      <c r="AD644" s="186">
        <f xml:space="preserve"> ConTime!AD$56</f>
        <v>4</v>
      </c>
      <c r="AE644" s="186">
        <f xml:space="preserve"> ConTime!AE$56</f>
        <v>4</v>
      </c>
      <c r="AF644" s="186">
        <f xml:space="preserve"> ConTime!AF$56</f>
        <v>4</v>
      </c>
      <c r="AG644" s="186">
        <f xml:space="preserve"> ConTime!AG$56</f>
        <v>4</v>
      </c>
      <c r="AH644" s="186">
        <f xml:space="preserve"> ConTime!AH$56</f>
        <v>5</v>
      </c>
      <c r="AI644" s="186">
        <f xml:space="preserve"> ConTime!AI$56</f>
        <v>5</v>
      </c>
      <c r="AJ644" s="186">
        <f xml:space="preserve"> ConTime!AJ$56</f>
        <v>5</v>
      </c>
      <c r="AK644" s="186">
        <f xml:space="preserve"> ConTime!AK$56</f>
        <v>5</v>
      </c>
      <c r="AL644" s="186">
        <f xml:space="preserve"> ConTime!AL$56</f>
        <v>5</v>
      </c>
      <c r="AM644" s="186">
        <f xml:space="preserve"> ConTime!AM$56</f>
        <v>5</v>
      </c>
      <c r="AN644" s="186">
        <f xml:space="preserve"> ConTime!AN$56</f>
        <v>6</v>
      </c>
      <c r="AO644" s="186">
        <f xml:space="preserve"> ConTime!AO$56</f>
        <v>6</v>
      </c>
      <c r="AP644" s="186">
        <f xml:space="preserve"> ConTime!AP$56</f>
        <v>6</v>
      </c>
      <c r="AQ644" s="186">
        <f xml:space="preserve"> ConTime!AQ$56</f>
        <v>6</v>
      </c>
      <c r="AR644" s="186">
        <f xml:space="preserve"> ConTime!AR$56</f>
        <v>6</v>
      </c>
      <c r="AS644" s="186">
        <f xml:space="preserve"> ConTime!AS$56</f>
        <v>6</v>
      </c>
      <c r="AT644" s="186">
        <f xml:space="preserve"> ConTime!AT$56</f>
        <v>7</v>
      </c>
      <c r="AU644" s="186">
        <f xml:space="preserve"> ConTime!AU$56</f>
        <v>7</v>
      </c>
      <c r="AV644" s="186">
        <f xml:space="preserve"> ConTime!AV$56</f>
        <v>7</v>
      </c>
      <c r="AW644" s="186">
        <f xml:space="preserve"> ConTime!AW$56</f>
        <v>7</v>
      </c>
      <c r="AX644" s="186">
        <f xml:space="preserve"> ConTime!AX$56</f>
        <v>7</v>
      </c>
      <c r="AY644" s="186">
        <f xml:space="preserve"> ConTime!AY$56</f>
        <v>7</v>
      </c>
      <c r="AZ644" s="186">
        <f xml:space="preserve"> ConTime!AZ$56</f>
        <v>8</v>
      </c>
      <c r="BA644" s="186">
        <f xml:space="preserve"> ConTime!BA$56</f>
        <v>8</v>
      </c>
      <c r="BB644" s="186">
        <f xml:space="preserve"> ConTime!BB$56</f>
        <v>8</v>
      </c>
      <c r="BC644" s="186">
        <f xml:space="preserve"> ConTime!BC$56</f>
        <v>8</v>
      </c>
      <c r="BD644" s="186">
        <f xml:space="preserve"> ConTime!BD$56</f>
        <v>8</v>
      </c>
      <c r="BE644" s="186">
        <f xml:space="preserve"> ConTime!BE$56</f>
        <v>8</v>
      </c>
    </row>
    <row r="645" spans="1:57" hidden="1" outlineLevel="1" x14ac:dyDescent="0.2">
      <c r="E645" s="12" t="str">
        <f t="shared" ref="E645:AJ645" si="1189" xml:space="preserve"> E$255</f>
        <v>Standby equity drawdown - m</v>
      </c>
      <c r="F645" s="12">
        <f t="shared" si="1189"/>
        <v>0</v>
      </c>
      <c r="G645" s="12" t="str">
        <f t="shared" si="1189"/>
        <v>$ 000s</v>
      </c>
      <c r="H645" s="12">
        <f t="shared" si="1189"/>
        <v>0</v>
      </c>
      <c r="I645" s="12">
        <f t="shared" si="1189"/>
        <v>0</v>
      </c>
      <c r="J645" s="12">
        <f t="shared" si="1189"/>
        <v>0</v>
      </c>
      <c r="K645" s="12">
        <f t="shared" si="1189"/>
        <v>0</v>
      </c>
      <c r="L645" s="12">
        <f t="shared" si="1189"/>
        <v>0</v>
      </c>
      <c r="M645" s="12">
        <f t="shared" si="1189"/>
        <v>0</v>
      </c>
      <c r="N645" s="12">
        <f t="shared" si="1189"/>
        <v>0</v>
      </c>
      <c r="O645" s="12">
        <f t="shared" si="1189"/>
        <v>0</v>
      </c>
      <c r="P645" s="12">
        <f t="shared" si="1189"/>
        <v>0</v>
      </c>
      <c r="Q645" s="12">
        <f t="shared" si="1189"/>
        <v>0</v>
      </c>
      <c r="R645" s="12">
        <f t="shared" si="1189"/>
        <v>0</v>
      </c>
      <c r="S645" s="12">
        <f t="shared" si="1189"/>
        <v>0</v>
      </c>
      <c r="T645" s="12">
        <f t="shared" si="1189"/>
        <v>0</v>
      </c>
      <c r="U645" s="12">
        <f t="shared" si="1189"/>
        <v>0</v>
      </c>
      <c r="V645" s="12">
        <f t="shared" si="1189"/>
        <v>0</v>
      </c>
      <c r="W645" s="12">
        <f t="shared" si="1189"/>
        <v>0</v>
      </c>
      <c r="X645" s="12">
        <f t="shared" si="1189"/>
        <v>0</v>
      </c>
      <c r="Y645" s="12">
        <f t="shared" si="1189"/>
        <v>0</v>
      </c>
      <c r="Z645" s="12">
        <f t="shared" si="1189"/>
        <v>0</v>
      </c>
      <c r="AA645" s="12">
        <f t="shared" si="1189"/>
        <v>0</v>
      </c>
      <c r="AB645" s="12">
        <f t="shared" si="1189"/>
        <v>0</v>
      </c>
      <c r="AC645" s="12">
        <f t="shared" si="1189"/>
        <v>0</v>
      </c>
      <c r="AD645" s="12">
        <f t="shared" si="1189"/>
        <v>0</v>
      </c>
      <c r="AE645" s="12">
        <f t="shared" si="1189"/>
        <v>0</v>
      </c>
      <c r="AF645" s="12">
        <f t="shared" si="1189"/>
        <v>0</v>
      </c>
      <c r="AG645" s="12">
        <f t="shared" si="1189"/>
        <v>0</v>
      </c>
      <c r="AH645" s="12">
        <f t="shared" si="1189"/>
        <v>0</v>
      </c>
      <c r="AI645" s="12">
        <f t="shared" si="1189"/>
        <v>0</v>
      </c>
      <c r="AJ645" s="12">
        <f t="shared" si="1189"/>
        <v>0</v>
      </c>
      <c r="AK645" s="12">
        <f t="shared" ref="AK645:BE645" si="1190" xml:space="preserve"> AK$255</f>
        <v>0</v>
      </c>
      <c r="AL645" s="12">
        <f t="shared" si="1190"/>
        <v>0</v>
      </c>
      <c r="AM645" s="12">
        <f t="shared" si="1190"/>
        <v>0</v>
      </c>
      <c r="AN645" s="12">
        <f t="shared" si="1190"/>
        <v>0</v>
      </c>
      <c r="AO645" s="12">
        <f t="shared" si="1190"/>
        <v>0</v>
      </c>
      <c r="AP645" s="12">
        <f t="shared" si="1190"/>
        <v>0</v>
      </c>
      <c r="AQ645" s="12">
        <f t="shared" si="1190"/>
        <v>0</v>
      </c>
      <c r="AR645" s="12">
        <f t="shared" si="1190"/>
        <v>0</v>
      </c>
      <c r="AS645" s="12">
        <f t="shared" si="1190"/>
        <v>0</v>
      </c>
      <c r="AT645" s="12">
        <f t="shared" si="1190"/>
        <v>0</v>
      </c>
      <c r="AU645" s="12">
        <f t="shared" si="1190"/>
        <v>0</v>
      </c>
      <c r="AV645" s="12">
        <f t="shared" si="1190"/>
        <v>0</v>
      </c>
      <c r="AW645" s="12">
        <f t="shared" si="1190"/>
        <v>0</v>
      </c>
      <c r="AX645" s="12">
        <f t="shared" si="1190"/>
        <v>0</v>
      </c>
      <c r="AY645" s="12">
        <f t="shared" si="1190"/>
        <v>0</v>
      </c>
      <c r="AZ645" s="12">
        <f t="shared" si="1190"/>
        <v>0</v>
      </c>
      <c r="BA645" s="12">
        <f t="shared" si="1190"/>
        <v>0</v>
      </c>
      <c r="BB645" s="12">
        <f t="shared" si="1190"/>
        <v>0</v>
      </c>
      <c r="BC645" s="12">
        <f t="shared" si="1190"/>
        <v>0</v>
      </c>
      <c r="BD645" s="12">
        <f t="shared" si="1190"/>
        <v>0</v>
      </c>
      <c r="BE645" s="12">
        <f t="shared" si="1190"/>
        <v>0</v>
      </c>
    </row>
    <row r="646" spans="1:57" s="629" customFormat="1" hidden="1" outlineLevel="1" x14ac:dyDescent="0.2">
      <c r="A646" s="904"/>
      <c r="B646" s="904"/>
      <c r="C646" s="905"/>
      <c r="D646" s="906"/>
      <c r="E646" s="907" t="s">
        <v>462</v>
      </c>
      <c r="F646" s="907"/>
      <c r="G646" s="907" t="str">
        <f xml:space="preserve"> SMU</f>
        <v>$ 000s</v>
      </c>
      <c r="H646" s="907">
        <f xml:space="preserve"> SUM(J646:BE646)</f>
        <v>0</v>
      </c>
      <c r="I646" s="908"/>
      <c r="J646" s="907">
        <f t="shared" ref="J646:BE646" si="1191" xml:space="preserve"> SUMIF($J644:$BE644, J643, $J645:$BE645)</f>
        <v>0</v>
      </c>
      <c r="K646" s="907">
        <f t="shared" si="1191"/>
        <v>0</v>
      </c>
      <c r="L646" s="907">
        <f t="shared" si="1191"/>
        <v>0</v>
      </c>
      <c r="M646" s="907">
        <f t="shared" si="1191"/>
        <v>0</v>
      </c>
      <c r="N646" s="907">
        <f t="shared" si="1191"/>
        <v>0</v>
      </c>
      <c r="O646" s="907">
        <f t="shared" si="1191"/>
        <v>0</v>
      </c>
      <c r="P646" s="907">
        <f t="shared" si="1191"/>
        <v>0</v>
      </c>
      <c r="Q646" s="907">
        <f t="shared" si="1191"/>
        <v>0</v>
      </c>
      <c r="R646" s="907">
        <f t="shared" si="1191"/>
        <v>0</v>
      </c>
      <c r="S646" s="907">
        <f t="shared" si="1191"/>
        <v>0</v>
      </c>
      <c r="T646" s="907">
        <f t="shared" si="1191"/>
        <v>0</v>
      </c>
      <c r="U646" s="907">
        <f t="shared" si="1191"/>
        <v>0</v>
      </c>
      <c r="V646" s="907">
        <f t="shared" si="1191"/>
        <v>0</v>
      </c>
      <c r="W646" s="907">
        <f t="shared" si="1191"/>
        <v>0</v>
      </c>
      <c r="X646" s="907">
        <f t="shared" si="1191"/>
        <v>0</v>
      </c>
      <c r="Y646" s="907">
        <f t="shared" si="1191"/>
        <v>0</v>
      </c>
      <c r="Z646" s="907">
        <f t="shared" si="1191"/>
        <v>0</v>
      </c>
      <c r="AA646" s="907">
        <f t="shared" si="1191"/>
        <v>0</v>
      </c>
      <c r="AB646" s="907">
        <f t="shared" si="1191"/>
        <v>0</v>
      </c>
      <c r="AC646" s="907">
        <f t="shared" si="1191"/>
        <v>0</v>
      </c>
      <c r="AD646" s="907">
        <f t="shared" si="1191"/>
        <v>0</v>
      </c>
      <c r="AE646" s="907">
        <f t="shared" si="1191"/>
        <v>0</v>
      </c>
      <c r="AF646" s="907">
        <f t="shared" si="1191"/>
        <v>0</v>
      </c>
      <c r="AG646" s="907">
        <f t="shared" si="1191"/>
        <v>0</v>
      </c>
      <c r="AH646" s="907">
        <f t="shared" si="1191"/>
        <v>0</v>
      </c>
      <c r="AI646" s="907">
        <f t="shared" si="1191"/>
        <v>0</v>
      </c>
      <c r="AJ646" s="907">
        <f t="shared" si="1191"/>
        <v>0</v>
      </c>
      <c r="AK646" s="907">
        <f t="shared" si="1191"/>
        <v>0</v>
      </c>
      <c r="AL646" s="907">
        <f t="shared" si="1191"/>
        <v>0</v>
      </c>
      <c r="AM646" s="907">
        <f t="shared" si="1191"/>
        <v>0</v>
      </c>
      <c r="AN646" s="907">
        <f t="shared" si="1191"/>
        <v>0</v>
      </c>
      <c r="AO646" s="907">
        <f t="shared" si="1191"/>
        <v>0</v>
      </c>
      <c r="AP646" s="907">
        <f t="shared" si="1191"/>
        <v>0</v>
      </c>
      <c r="AQ646" s="907">
        <f t="shared" si="1191"/>
        <v>0</v>
      </c>
      <c r="AR646" s="907">
        <f t="shared" si="1191"/>
        <v>0</v>
      </c>
      <c r="AS646" s="907">
        <f t="shared" si="1191"/>
        <v>0</v>
      </c>
      <c r="AT646" s="907">
        <f t="shared" si="1191"/>
        <v>0</v>
      </c>
      <c r="AU646" s="907">
        <f t="shared" si="1191"/>
        <v>0</v>
      </c>
      <c r="AV646" s="907">
        <f t="shared" si="1191"/>
        <v>0</v>
      </c>
      <c r="AW646" s="907">
        <f t="shared" si="1191"/>
        <v>0</v>
      </c>
      <c r="AX646" s="907">
        <f t="shared" si="1191"/>
        <v>0</v>
      </c>
      <c r="AY646" s="907">
        <f t="shared" si="1191"/>
        <v>0</v>
      </c>
      <c r="AZ646" s="907">
        <f t="shared" si="1191"/>
        <v>0</v>
      </c>
      <c r="BA646" s="907">
        <f t="shared" si="1191"/>
        <v>0</v>
      </c>
      <c r="BB646" s="907">
        <f t="shared" si="1191"/>
        <v>0</v>
      </c>
      <c r="BC646" s="907">
        <f t="shared" si="1191"/>
        <v>0</v>
      </c>
      <c r="BD646" s="907">
        <f t="shared" si="1191"/>
        <v>0</v>
      </c>
      <c r="BE646" s="907">
        <f t="shared" si="1191"/>
        <v>0</v>
      </c>
    </row>
    <row r="647" spans="1:57" s="188" customFormat="1" hidden="1" outlineLevel="1" x14ac:dyDescent="0.2">
      <c r="A647" s="141"/>
      <c r="B647" s="141"/>
      <c r="C647" s="142"/>
      <c r="D647" s="143"/>
      <c r="E647" s="187"/>
      <c r="F647" s="187"/>
      <c r="G647" s="187"/>
      <c r="H647" s="187"/>
      <c r="I647" s="144"/>
      <c r="J647" s="187"/>
      <c r="K647" s="187"/>
      <c r="L647" s="187"/>
      <c r="M647" s="187"/>
      <c r="N647" s="187"/>
      <c r="O647" s="187"/>
      <c r="P647" s="187"/>
      <c r="Q647" s="187"/>
      <c r="R647" s="187"/>
      <c r="S647" s="187"/>
      <c r="T647" s="187"/>
      <c r="U647" s="187"/>
      <c r="V647" s="187"/>
      <c r="W647" s="187"/>
      <c r="X647" s="187"/>
      <c r="Y647" s="187"/>
      <c r="Z647" s="187"/>
      <c r="AA647" s="187"/>
      <c r="AB647" s="187"/>
      <c r="AC647" s="187"/>
      <c r="AD647" s="187"/>
      <c r="AE647" s="187"/>
      <c r="AF647" s="187"/>
      <c r="AG647" s="187"/>
      <c r="AH647" s="187"/>
      <c r="AI647" s="187"/>
      <c r="AJ647" s="187"/>
      <c r="AK647" s="187"/>
      <c r="AL647" s="187"/>
      <c r="AM647" s="187"/>
      <c r="AN647" s="187"/>
      <c r="AO647" s="187"/>
      <c r="AP647" s="187"/>
      <c r="AQ647" s="187"/>
      <c r="AR647" s="187"/>
      <c r="AS647" s="187"/>
      <c r="AT647" s="187"/>
      <c r="AU647" s="187"/>
      <c r="AV647" s="187"/>
      <c r="AW647" s="187"/>
      <c r="AX647" s="187"/>
      <c r="AY647" s="187"/>
      <c r="AZ647" s="187"/>
      <c r="BA647" s="187"/>
      <c r="BB647" s="187"/>
      <c r="BC647" s="187"/>
      <c r="BD647" s="187"/>
      <c r="BE647" s="187"/>
    </row>
    <row r="648" spans="1:57" hidden="1" outlineLevel="1" x14ac:dyDescent="0.2">
      <c r="E648" s="538" t="str">
        <f xml:space="preserve"> Time!E$10</f>
        <v>Model column counter</v>
      </c>
      <c r="F648" s="538">
        <f xml:space="preserve"> Time!F$10</f>
        <v>0</v>
      </c>
      <c r="G648" s="538" t="str">
        <f xml:space="preserve"> Time!G$10</f>
        <v>counter</v>
      </c>
      <c r="H648" s="538">
        <f xml:space="preserve"> Time!H$10</f>
        <v>0</v>
      </c>
      <c r="I648" s="538">
        <f xml:space="preserve"> Time!I$10</f>
        <v>0</v>
      </c>
      <c r="J648" s="538">
        <f xml:space="preserve"> Time!J$10</f>
        <v>1</v>
      </c>
      <c r="K648" s="538">
        <f xml:space="preserve"> Time!K$10</f>
        <v>2</v>
      </c>
      <c r="L648" s="538">
        <f xml:space="preserve"> Time!L$10</f>
        <v>3</v>
      </c>
      <c r="M648" s="538">
        <f xml:space="preserve"> Time!M$10</f>
        <v>4</v>
      </c>
      <c r="N648" s="538">
        <f xml:space="preserve"> Time!N$10</f>
        <v>5</v>
      </c>
      <c r="O648" s="538">
        <f xml:space="preserve"> Time!O$10</f>
        <v>6</v>
      </c>
      <c r="P648" s="538">
        <f xml:space="preserve"> Time!P$10</f>
        <v>7</v>
      </c>
      <c r="Q648" s="538">
        <f xml:space="preserve"> Time!Q$10</f>
        <v>8</v>
      </c>
      <c r="R648" s="538">
        <f xml:space="preserve"> Time!R$10</f>
        <v>9</v>
      </c>
      <c r="S648" s="538">
        <f xml:space="preserve"> Time!S$10</f>
        <v>10</v>
      </c>
      <c r="T648" s="538">
        <f xml:space="preserve"> Time!T$10</f>
        <v>11</v>
      </c>
      <c r="U648" s="538">
        <f xml:space="preserve"> Time!U$10</f>
        <v>12</v>
      </c>
      <c r="V648" s="538">
        <f xml:space="preserve"> Time!V$10</f>
        <v>13</v>
      </c>
      <c r="W648" s="538">
        <f xml:space="preserve"> Time!W$10</f>
        <v>14</v>
      </c>
      <c r="X648" s="538">
        <f xml:space="preserve"> Time!X$10</f>
        <v>15</v>
      </c>
      <c r="Y648" s="538">
        <f xml:space="preserve"> Time!Y$10</f>
        <v>16</v>
      </c>
      <c r="Z648" s="538">
        <f xml:space="preserve"> Time!Z$10</f>
        <v>17</v>
      </c>
      <c r="AA648" s="538">
        <f xml:space="preserve"> Time!AA$10</f>
        <v>18</v>
      </c>
      <c r="AB648" s="538">
        <f xml:space="preserve"> Time!AB$10</f>
        <v>19</v>
      </c>
      <c r="AC648" s="538">
        <f xml:space="preserve"> Time!AC$10</f>
        <v>20</v>
      </c>
      <c r="AD648" s="538">
        <f xml:space="preserve"> Time!AD$10</f>
        <v>21</v>
      </c>
      <c r="AE648" s="538">
        <f xml:space="preserve"> Time!AE$10</f>
        <v>22</v>
      </c>
      <c r="AF648" s="538">
        <f xml:space="preserve"> Time!AF$10</f>
        <v>23</v>
      </c>
      <c r="AG648" s="538">
        <f xml:space="preserve"> Time!AG$10</f>
        <v>24</v>
      </c>
      <c r="AH648" s="538">
        <f xml:space="preserve"> Time!AH$10</f>
        <v>25</v>
      </c>
      <c r="AI648" s="538">
        <f xml:space="preserve"> Time!AI$10</f>
        <v>26</v>
      </c>
      <c r="AJ648" s="538">
        <f xml:space="preserve"> Time!AJ$10</f>
        <v>27</v>
      </c>
      <c r="AK648" s="538">
        <f xml:space="preserve"> Time!AK$10</f>
        <v>28</v>
      </c>
      <c r="AL648" s="538">
        <f xml:space="preserve"> Time!AL$10</f>
        <v>29</v>
      </c>
      <c r="AM648" s="538">
        <f xml:space="preserve"> Time!AM$10</f>
        <v>30</v>
      </c>
      <c r="AN648" s="538">
        <f xml:space="preserve"> Time!AN$10</f>
        <v>31</v>
      </c>
      <c r="AO648" s="538">
        <f xml:space="preserve"> Time!AO$10</f>
        <v>32</v>
      </c>
      <c r="AP648" s="538">
        <f xml:space="preserve"> Time!AP$10</f>
        <v>33</v>
      </c>
      <c r="AQ648" s="538">
        <f xml:space="preserve"> Time!AQ$10</f>
        <v>34</v>
      </c>
      <c r="AR648" s="538">
        <f xml:space="preserve"> Time!AR$10</f>
        <v>35</v>
      </c>
      <c r="AS648" s="538">
        <f xml:space="preserve"> Time!AS$10</f>
        <v>36</v>
      </c>
      <c r="AT648" s="538">
        <f xml:space="preserve"> Time!AT$10</f>
        <v>37</v>
      </c>
      <c r="AU648" s="538">
        <f xml:space="preserve"> Time!AU$10</f>
        <v>38</v>
      </c>
      <c r="AV648" s="538">
        <f xml:space="preserve"> Time!AV$10</f>
        <v>39</v>
      </c>
      <c r="AW648" s="538">
        <f xml:space="preserve"> Time!AW$10</f>
        <v>40</v>
      </c>
      <c r="AX648" s="538">
        <f xml:space="preserve"> Time!AX$10</f>
        <v>41</v>
      </c>
      <c r="AY648" s="538">
        <f xml:space="preserve"> Time!AY$10</f>
        <v>42</v>
      </c>
      <c r="AZ648" s="538">
        <f xml:space="preserve"> Time!AZ$10</f>
        <v>43</v>
      </c>
      <c r="BA648" s="538">
        <f xml:space="preserve"> Time!BA$10</f>
        <v>44</v>
      </c>
      <c r="BB648" s="538">
        <f xml:space="preserve"> Time!BB$10</f>
        <v>45</v>
      </c>
      <c r="BC648" s="538">
        <f xml:space="preserve"> Time!BC$10</f>
        <v>46</v>
      </c>
      <c r="BD648" s="538">
        <f xml:space="preserve"> Time!BD$10</f>
        <v>47</v>
      </c>
      <c r="BE648" s="538">
        <f xml:space="preserve"> Time!BE$10</f>
        <v>48</v>
      </c>
    </row>
    <row r="649" spans="1:57" hidden="1" outlineLevel="1" x14ac:dyDescent="0.2">
      <c r="E649" s="186" t="str">
        <f xml:space="preserve"> ConTime!E$56</f>
        <v>Model ops period counter - m</v>
      </c>
      <c r="F649" s="186">
        <f xml:space="preserve"> ConTime!F$56</f>
        <v>0</v>
      </c>
      <c r="G649" s="186" t="str">
        <f xml:space="preserve"> ConTime!G$56</f>
        <v>counter</v>
      </c>
      <c r="H649" s="186">
        <f xml:space="preserve"> ConTime!H$56</f>
        <v>0</v>
      </c>
      <c r="I649" s="186">
        <f xml:space="preserve"> ConTime!I$56</f>
        <v>0</v>
      </c>
      <c r="J649" s="186">
        <f xml:space="preserve"> ConTime!J$56</f>
        <v>1</v>
      </c>
      <c r="K649" s="186">
        <f xml:space="preserve"> ConTime!K$56</f>
        <v>1</v>
      </c>
      <c r="L649" s="186">
        <f xml:space="preserve"> ConTime!L$56</f>
        <v>1</v>
      </c>
      <c r="M649" s="186">
        <f xml:space="preserve"> ConTime!M$56</f>
        <v>1</v>
      </c>
      <c r="N649" s="186">
        <f xml:space="preserve"> ConTime!N$56</f>
        <v>1</v>
      </c>
      <c r="O649" s="186">
        <f xml:space="preserve"> ConTime!O$56</f>
        <v>1</v>
      </c>
      <c r="P649" s="186">
        <f xml:space="preserve"> ConTime!P$56</f>
        <v>2</v>
      </c>
      <c r="Q649" s="186">
        <f xml:space="preserve"> ConTime!Q$56</f>
        <v>2</v>
      </c>
      <c r="R649" s="186">
        <f xml:space="preserve"> ConTime!R$56</f>
        <v>2</v>
      </c>
      <c r="S649" s="186">
        <f xml:space="preserve"> ConTime!S$56</f>
        <v>2</v>
      </c>
      <c r="T649" s="186">
        <f xml:space="preserve"> ConTime!T$56</f>
        <v>2</v>
      </c>
      <c r="U649" s="186">
        <f xml:space="preserve"> ConTime!U$56</f>
        <v>2</v>
      </c>
      <c r="V649" s="186">
        <f xml:space="preserve"> ConTime!V$56</f>
        <v>3</v>
      </c>
      <c r="W649" s="186">
        <f xml:space="preserve"> ConTime!W$56</f>
        <v>3</v>
      </c>
      <c r="X649" s="186">
        <f xml:space="preserve"> ConTime!X$56</f>
        <v>3</v>
      </c>
      <c r="Y649" s="186">
        <f xml:space="preserve"> ConTime!Y$56</f>
        <v>3</v>
      </c>
      <c r="Z649" s="186">
        <f xml:space="preserve"> ConTime!Z$56</f>
        <v>3</v>
      </c>
      <c r="AA649" s="186">
        <f xml:space="preserve"> ConTime!AA$56</f>
        <v>3</v>
      </c>
      <c r="AB649" s="186">
        <f xml:space="preserve"> ConTime!AB$56</f>
        <v>4</v>
      </c>
      <c r="AC649" s="186">
        <f xml:space="preserve"> ConTime!AC$56</f>
        <v>4</v>
      </c>
      <c r="AD649" s="186">
        <f xml:space="preserve"> ConTime!AD$56</f>
        <v>4</v>
      </c>
      <c r="AE649" s="186">
        <f xml:space="preserve"> ConTime!AE$56</f>
        <v>4</v>
      </c>
      <c r="AF649" s="186">
        <f xml:space="preserve"> ConTime!AF$56</f>
        <v>4</v>
      </c>
      <c r="AG649" s="186">
        <f xml:space="preserve"> ConTime!AG$56</f>
        <v>4</v>
      </c>
      <c r="AH649" s="186">
        <f xml:space="preserve"> ConTime!AH$56</f>
        <v>5</v>
      </c>
      <c r="AI649" s="186">
        <f xml:space="preserve"> ConTime!AI$56</f>
        <v>5</v>
      </c>
      <c r="AJ649" s="186">
        <f xml:space="preserve"> ConTime!AJ$56</f>
        <v>5</v>
      </c>
      <c r="AK649" s="186">
        <f xml:space="preserve"> ConTime!AK$56</f>
        <v>5</v>
      </c>
      <c r="AL649" s="186">
        <f xml:space="preserve"> ConTime!AL$56</f>
        <v>5</v>
      </c>
      <c r="AM649" s="186">
        <f xml:space="preserve"> ConTime!AM$56</f>
        <v>5</v>
      </c>
      <c r="AN649" s="186">
        <f xml:space="preserve"> ConTime!AN$56</f>
        <v>6</v>
      </c>
      <c r="AO649" s="186">
        <f xml:space="preserve"> ConTime!AO$56</f>
        <v>6</v>
      </c>
      <c r="AP649" s="186">
        <f xml:space="preserve"> ConTime!AP$56</f>
        <v>6</v>
      </c>
      <c r="AQ649" s="186">
        <f xml:space="preserve"> ConTime!AQ$56</f>
        <v>6</v>
      </c>
      <c r="AR649" s="186">
        <f xml:space="preserve"> ConTime!AR$56</f>
        <v>6</v>
      </c>
      <c r="AS649" s="186">
        <f xml:space="preserve"> ConTime!AS$56</f>
        <v>6</v>
      </c>
      <c r="AT649" s="186">
        <f xml:space="preserve"> ConTime!AT$56</f>
        <v>7</v>
      </c>
      <c r="AU649" s="186">
        <f xml:space="preserve"> ConTime!AU$56</f>
        <v>7</v>
      </c>
      <c r="AV649" s="186">
        <f xml:space="preserve"> ConTime!AV$56</f>
        <v>7</v>
      </c>
      <c r="AW649" s="186">
        <f xml:space="preserve"> ConTime!AW$56</f>
        <v>7</v>
      </c>
      <c r="AX649" s="186">
        <f xml:space="preserve"> ConTime!AX$56</f>
        <v>7</v>
      </c>
      <c r="AY649" s="186">
        <f xml:space="preserve"> ConTime!AY$56</f>
        <v>7</v>
      </c>
      <c r="AZ649" s="186">
        <f xml:space="preserve"> ConTime!AZ$56</f>
        <v>8</v>
      </c>
      <c r="BA649" s="186">
        <f xml:space="preserve"> ConTime!BA$56</f>
        <v>8</v>
      </c>
      <c r="BB649" s="186">
        <f xml:space="preserve"> ConTime!BB$56</f>
        <v>8</v>
      </c>
      <c r="BC649" s="186">
        <f xml:space="preserve"> ConTime!BC$56</f>
        <v>8</v>
      </c>
      <c r="BD649" s="186">
        <f xml:space="preserve"> ConTime!BD$56</f>
        <v>8</v>
      </c>
      <c r="BE649" s="186">
        <f xml:space="preserve"> ConTime!BE$56</f>
        <v>8</v>
      </c>
    </row>
    <row r="650" spans="1:57" hidden="1" outlineLevel="1" x14ac:dyDescent="0.2">
      <c r="E650" s="12" t="str">
        <f t="shared" ref="E650:AJ650" si="1192" xml:space="preserve"> E$500</f>
        <v>Standby debt drawdown</v>
      </c>
      <c r="F650" s="12">
        <f t="shared" si="1192"/>
        <v>0</v>
      </c>
      <c r="G650" s="12" t="str">
        <f t="shared" si="1192"/>
        <v>$ 000s</v>
      </c>
      <c r="H650" s="12">
        <f t="shared" si="1192"/>
        <v>0</v>
      </c>
      <c r="I650" s="12">
        <f t="shared" si="1192"/>
        <v>0</v>
      </c>
      <c r="J650" s="12">
        <f t="shared" si="1192"/>
        <v>0</v>
      </c>
      <c r="K650" s="12">
        <f t="shared" si="1192"/>
        <v>0</v>
      </c>
      <c r="L650" s="12">
        <f t="shared" si="1192"/>
        <v>0</v>
      </c>
      <c r="M650" s="12">
        <f t="shared" si="1192"/>
        <v>0</v>
      </c>
      <c r="N650" s="12">
        <f t="shared" si="1192"/>
        <v>0</v>
      </c>
      <c r="O650" s="12">
        <f t="shared" si="1192"/>
        <v>0</v>
      </c>
      <c r="P650" s="12">
        <f t="shared" si="1192"/>
        <v>0</v>
      </c>
      <c r="Q650" s="12">
        <f t="shared" si="1192"/>
        <v>0</v>
      </c>
      <c r="R650" s="12">
        <f t="shared" si="1192"/>
        <v>0</v>
      </c>
      <c r="S650" s="12">
        <f t="shared" si="1192"/>
        <v>0</v>
      </c>
      <c r="T650" s="12">
        <f t="shared" si="1192"/>
        <v>0</v>
      </c>
      <c r="U650" s="12">
        <f t="shared" si="1192"/>
        <v>0</v>
      </c>
      <c r="V650" s="12">
        <f t="shared" si="1192"/>
        <v>0</v>
      </c>
      <c r="W650" s="12">
        <f t="shared" si="1192"/>
        <v>0</v>
      </c>
      <c r="X650" s="12">
        <f t="shared" si="1192"/>
        <v>0</v>
      </c>
      <c r="Y650" s="12">
        <f t="shared" si="1192"/>
        <v>0</v>
      </c>
      <c r="Z650" s="12">
        <f t="shared" si="1192"/>
        <v>0</v>
      </c>
      <c r="AA650" s="12">
        <f t="shared" si="1192"/>
        <v>0</v>
      </c>
      <c r="AB650" s="12">
        <f t="shared" si="1192"/>
        <v>0</v>
      </c>
      <c r="AC650" s="12">
        <f t="shared" si="1192"/>
        <v>0</v>
      </c>
      <c r="AD650" s="12">
        <f t="shared" si="1192"/>
        <v>0</v>
      </c>
      <c r="AE650" s="12">
        <f t="shared" si="1192"/>
        <v>0</v>
      </c>
      <c r="AF650" s="12">
        <f t="shared" si="1192"/>
        <v>0</v>
      </c>
      <c r="AG650" s="12">
        <f t="shared" si="1192"/>
        <v>0</v>
      </c>
      <c r="AH650" s="12">
        <f t="shared" si="1192"/>
        <v>0</v>
      </c>
      <c r="AI650" s="12">
        <f t="shared" si="1192"/>
        <v>0</v>
      </c>
      <c r="AJ650" s="12">
        <f t="shared" si="1192"/>
        <v>0</v>
      </c>
      <c r="AK650" s="12">
        <f t="shared" ref="AK650:BE650" si="1193" xml:space="preserve"> AK$500</f>
        <v>0</v>
      </c>
      <c r="AL650" s="12">
        <f t="shared" si="1193"/>
        <v>0</v>
      </c>
      <c r="AM650" s="12">
        <f t="shared" si="1193"/>
        <v>0</v>
      </c>
      <c r="AN650" s="12">
        <f t="shared" si="1193"/>
        <v>0</v>
      </c>
      <c r="AO650" s="12">
        <f t="shared" si="1193"/>
        <v>0</v>
      </c>
      <c r="AP650" s="12">
        <f t="shared" si="1193"/>
        <v>0</v>
      </c>
      <c r="AQ650" s="12">
        <f t="shared" si="1193"/>
        <v>0</v>
      </c>
      <c r="AR650" s="12">
        <f t="shared" si="1193"/>
        <v>0</v>
      </c>
      <c r="AS650" s="12">
        <f t="shared" si="1193"/>
        <v>0</v>
      </c>
      <c r="AT650" s="12">
        <f t="shared" si="1193"/>
        <v>0</v>
      </c>
      <c r="AU650" s="12">
        <f t="shared" si="1193"/>
        <v>0</v>
      </c>
      <c r="AV650" s="12">
        <f t="shared" si="1193"/>
        <v>0</v>
      </c>
      <c r="AW650" s="12">
        <f t="shared" si="1193"/>
        <v>0</v>
      </c>
      <c r="AX650" s="12">
        <f t="shared" si="1193"/>
        <v>0</v>
      </c>
      <c r="AY650" s="12">
        <f t="shared" si="1193"/>
        <v>0</v>
      </c>
      <c r="AZ650" s="12">
        <f t="shared" si="1193"/>
        <v>0</v>
      </c>
      <c r="BA650" s="12">
        <f t="shared" si="1193"/>
        <v>0</v>
      </c>
      <c r="BB650" s="12">
        <f t="shared" si="1193"/>
        <v>0</v>
      </c>
      <c r="BC650" s="12">
        <f t="shared" si="1193"/>
        <v>0</v>
      </c>
      <c r="BD650" s="12">
        <f t="shared" si="1193"/>
        <v>0</v>
      </c>
      <c r="BE650" s="12">
        <f t="shared" si="1193"/>
        <v>0</v>
      </c>
    </row>
    <row r="651" spans="1:57" s="629" customFormat="1" hidden="1" outlineLevel="1" x14ac:dyDescent="0.2">
      <c r="A651" s="904"/>
      <c r="B651" s="904"/>
      <c r="C651" s="905"/>
      <c r="D651" s="906"/>
      <c r="E651" s="907" t="s">
        <v>463</v>
      </c>
      <c r="F651" s="907"/>
      <c r="G651" s="907" t="str">
        <f xml:space="preserve"> SMU</f>
        <v>$ 000s</v>
      </c>
      <c r="H651" s="907">
        <f xml:space="preserve"> SUM(J651:BE651)</f>
        <v>0</v>
      </c>
      <c r="I651" s="908"/>
      <c r="J651" s="907">
        <f t="shared" ref="J651:BE651" si="1194" xml:space="preserve"> SUMIF($J649:$BE649, J648, $J650:$BE650)</f>
        <v>0</v>
      </c>
      <c r="K651" s="907">
        <f t="shared" si="1194"/>
        <v>0</v>
      </c>
      <c r="L651" s="907">
        <f t="shared" si="1194"/>
        <v>0</v>
      </c>
      <c r="M651" s="907">
        <f t="shared" si="1194"/>
        <v>0</v>
      </c>
      <c r="N651" s="907">
        <f t="shared" si="1194"/>
        <v>0</v>
      </c>
      <c r="O651" s="907">
        <f t="shared" si="1194"/>
        <v>0</v>
      </c>
      <c r="P651" s="907">
        <f t="shared" si="1194"/>
        <v>0</v>
      </c>
      <c r="Q651" s="907">
        <f t="shared" si="1194"/>
        <v>0</v>
      </c>
      <c r="R651" s="907">
        <f t="shared" si="1194"/>
        <v>0</v>
      </c>
      <c r="S651" s="907">
        <f t="shared" si="1194"/>
        <v>0</v>
      </c>
      <c r="T651" s="907">
        <f t="shared" si="1194"/>
        <v>0</v>
      </c>
      <c r="U651" s="907">
        <f t="shared" si="1194"/>
        <v>0</v>
      </c>
      <c r="V651" s="907">
        <f t="shared" si="1194"/>
        <v>0</v>
      </c>
      <c r="W651" s="907">
        <f t="shared" si="1194"/>
        <v>0</v>
      </c>
      <c r="X651" s="907">
        <f t="shared" si="1194"/>
        <v>0</v>
      </c>
      <c r="Y651" s="907">
        <f t="shared" si="1194"/>
        <v>0</v>
      </c>
      <c r="Z651" s="907">
        <f t="shared" si="1194"/>
        <v>0</v>
      </c>
      <c r="AA651" s="907">
        <f t="shared" si="1194"/>
        <v>0</v>
      </c>
      <c r="AB651" s="907">
        <f t="shared" si="1194"/>
        <v>0</v>
      </c>
      <c r="AC651" s="907">
        <f t="shared" si="1194"/>
        <v>0</v>
      </c>
      <c r="AD651" s="907">
        <f t="shared" si="1194"/>
        <v>0</v>
      </c>
      <c r="AE651" s="907">
        <f t="shared" si="1194"/>
        <v>0</v>
      </c>
      <c r="AF651" s="907">
        <f t="shared" si="1194"/>
        <v>0</v>
      </c>
      <c r="AG651" s="907">
        <f t="shared" si="1194"/>
        <v>0</v>
      </c>
      <c r="AH651" s="907">
        <f t="shared" si="1194"/>
        <v>0</v>
      </c>
      <c r="AI651" s="907">
        <f t="shared" si="1194"/>
        <v>0</v>
      </c>
      <c r="AJ651" s="907">
        <f t="shared" si="1194"/>
        <v>0</v>
      </c>
      <c r="AK651" s="907">
        <f t="shared" si="1194"/>
        <v>0</v>
      </c>
      <c r="AL651" s="907">
        <f t="shared" si="1194"/>
        <v>0</v>
      </c>
      <c r="AM651" s="907">
        <f t="shared" si="1194"/>
        <v>0</v>
      </c>
      <c r="AN651" s="907">
        <f t="shared" si="1194"/>
        <v>0</v>
      </c>
      <c r="AO651" s="907">
        <f t="shared" si="1194"/>
        <v>0</v>
      </c>
      <c r="AP651" s="907">
        <f t="shared" si="1194"/>
        <v>0</v>
      </c>
      <c r="AQ651" s="907">
        <f t="shared" si="1194"/>
        <v>0</v>
      </c>
      <c r="AR651" s="907">
        <f t="shared" si="1194"/>
        <v>0</v>
      </c>
      <c r="AS651" s="907">
        <f t="shared" si="1194"/>
        <v>0</v>
      </c>
      <c r="AT651" s="907">
        <f t="shared" si="1194"/>
        <v>0</v>
      </c>
      <c r="AU651" s="907">
        <f t="shared" si="1194"/>
        <v>0</v>
      </c>
      <c r="AV651" s="907">
        <f t="shared" si="1194"/>
        <v>0</v>
      </c>
      <c r="AW651" s="907">
        <f t="shared" si="1194"/>
        <v>0</v>
      </c>
      <c r="AX651" s="907">
        <f t="shared" si="1194"/>
        <v>0</v>
      </c>
      <c r="AY651" s="907">
        <f t="shared" si="1194"/>
        <v>0</v>
      </c>
      <c r="AZ651" s="907">
        <f t="shared" si="1194"/>
        <v>0</v>
      </c>
      <c r="BA651" s="907">
        <f t="shared" si="1194"/>
        <v>0</v>
      </c>
      <c r="BB651" s="907">
        <f t="shared" si="1194"/>
        <v>0</v>
      </c>
      <c r="BC651" s="907">
        <f t="shared" si="1194"/>
        <v>0</v>
      </c>
      <c r="BD651" s="907">
        <f t="shared" si="1194"/>
        <v>0</v>
      </c>
      <c r="BE651" s="907">
        <f t="shared" si="1194"/>
        <v>0</v>
      </c>
    </row>
    <row r="652" spans="1:57" s="188" customFormat="1" hidden="1" outlineLevel="1" x14ac:dyDescent="0.2">
      <c r="A652" s="141"/>
      <c r="B652" s="141"/>
      <c r="C652" s="142"/>
      <c r="D652" s="143"/>
      <c r="E652" s="187"/>
      <c r="F652" s="187"/>
      <c r="G652" s="187"/>
      <c r="H652" s="187"/>
      <c r="I652" s="144"/>
      <c r="J652" s="187"/>
      <c r="K652" s="187"/>
      <c r="L652" s="187"/>
      <c r="M652" s="187"/>
      <c r="N652" s="187"/>
      <c r="O652" s="187"/>
      <c r="P652" s="187"/>
      <c r="Q652" s="187"/>
      <c r="R652" s="187"/>
      <c r="S652" s="187"/>
      <c r="T652" s="187"/>
      <c r="U652" s="187"/>
      <c r="V652" s="187"/>
      <c r="W652" s="187"/>
      <c r="X652" s="187"/>
      <c r="Y652" s="187"/>
      <c r="Z652" s="187"/>
      <c r="AA652" s="187"/>
      <c r="AB652" s="187"/>
      <c r="AC652" s="187"/>
      <c r="AD652" s="187"/>
      <c r="AE652" s="187"/>
      <c r="AF652" s="187"/>
      <c r="AG652" s="187"/>
      <c r="AH652" s="187"/>
      <c r="AI652" s="187"/>
      <c r="AJ652" s="187"/>
      <c r="AK652" s="187"/>
      <c r="AL652" s="187"/>
      <c r="AM652" s="187"/>
      <c r="AN652" s="187"/>
      <c r="AO652" s="187"/>
      <c r="AP652" s="187"/>
      <c r="AQ652" s="187"/>
      <c r="AR652" s="187"/>
      <c r="AS652" s="187"/>
      <c r="AT652" s="187"/>
      <c r="AU652" s="187"/>
      <c r="AV652" s="187"/>
      <c r="AW652" s="187"/>
      <c r="AX652" s="187"/>
      <c r="AY652" s="187"/>
      <c r="AZ652" s="187"/>
      <c r="BA652" s="187"/>
      <c r="BB652" s="187"/>
      <c r="BC652" s="187"/>
      <c r="BD652" s="187"/>
      <c r="BE652" s="187"/>
    </row>
    <row r="653" spans="1:57" hidden="1" outlineLevel="1" x14ac:dyDescent="0.2">
      <c r="E653" s="538" t="str">
        <f xml:space="preserve"> Time!E$10</f>
        <v>Model column counter</v>
      </c>
      <c r="F653" s="538">
        <f xml:space="preserve"> Time!F$10</f>
        <v>0</v>
      </c>
      <c r="G653" s="538" t="str">
        <f xml:space="preserve"> Time!G$10</f>
        <v>counter</v>
      </c>
      <c r="H653" s="538">
        <f xml:space="preserve"> Time!H$10</f>
        <v>0</v>
      </c>
      <c r="I653" s="538">
        <f xml:space="preserve"> Time!I$10</f>
        <v>0</v>
      </c>
      <c r="J653" s="538">
        <f xml:space="preserve"> Time!J$10</f>
        <v>1</v>
      </c>
      <c r="K653" s="538">
        <f xml:space="preserve"> Time!K$10</f>
        <v>2</v>
      </c>
      <c r="L653" s="538">
        <f xml:space="preserve"> Time!L$10</f>
        <v>3</v>
      </c>
      <c r="M653" s="538">
        <f xml:space="preserve"> Time!M$10</f>
        <v>4</v>
      </c>
      <c r="N653" s="538">
        <f xml:space="preserve"> Time!N$10</f>
        <v>5</v>
      </c>
      <c r="O653" s="538">
        <f xml:space="preserve"> Time!O$10</f>
        <v>6</v>
      </c>
      <c r="P653" s="538">
        <f xml:space="preserve"> Time!P$10</f>
        <v>7</v>
      </c>
      <c r="Q653" s="538">
        <f xml:space="preserve"> Time!Q$10</f>
        <v>8</v>
      </c>
      <c r="R653" s="538">
        <f xml:space="preserve"> Time!R$10</f>
        <v>9</v>
      </c>
      <c r="S653" s="538">
        <f xml:space="preserve"> Time!S$10</f>
        <v>10</v>
      </c>
      <c r="T653" s="538">
        <f xml:space="preserve"> Time!T$10</f>
        <v>11</v>
      </c>
      <c r="U653" s="538">
        <f xml:space="preserve"> Time!U$10</f>
        <v>12</v>
      </c>
      <c r="V653" s="538">
        <f xml:space="preserve"> Time!V$10</f>
        <v>13</v>
      </c>
      <c r="W653" s="538">
        <f xml:space="preserve"> Time!W$10</f>
        <v>14</v>
      </c>
      <c r="X653" s="538">
        <f xml:space="preserve"> Time!X$10</f>
        <v>15</v>
      </c>
      <c r="Y653" s="538">
        <f xml:space="preserve"> Time!Y$10</f>
        <v>16</v>
      </c>
      <c r="Z653" s="538">
        <f xml:space="preserve"> Time!Z$10</f>
        <v>17</v>
      </c>
      <c r="AA653" s="538">
        <f xml:space="preserve"> Time!AA$10</f>
        <v>18</v>
      </c>
      <c r="AB653" s="538">
        <f xml:space="preserve"> Time!AB$10</f>
        <v>19</v>
      </c>
      <c r="AC653" s="538">
        <f xml:space="preserve"> Time!AC$10</f>
        <v>20</v>
      </c>
      <c r="AD653" s="538">
        <f xml:space="preserve"> Time!AD$10</f>
        <v>21</v>
      </c>
      <c r="AE653" s="538">
        <f xml:space="preserve"> Time!AE$10</f>
        <v>22</v>
      </c>
      <c r="AF653" s="538">
        <f xml:space="preserve"> Time!AF$10</f>
        <v>23</v>
      </c>
      <c r="AG653" s="538">
        <f xml:space="preserve"> Time!AG$10</f>
        <v>24</v>
      </c>
      <c r="AH653" s="538">
        <f xml:space="preserve"> Time!AH$10</f>
        <v>25</v>
      </c>
      <c r="AI653" s="538">
        <f xml:space="preserve"> Time!AI$10</f>
        <v>26</v>
      </c>
      <c r="AJ653" s="538">
        <f xml:space="preserve"> Time!AJ$10</f>
        <v>27</v>
      </c>
      <c r="AK653" s="538">
        <f xml:space="preserve"> Time!AK$10</f>
        <v>28</v>
      </c>
      <c r="AL653" s="538">
        <f xml:space="preserve"> Time!AL$10</f>
        <v>29</v>
      </c>
      <c r="AM653" s="538">
        <f xml:space="preserve"> Time!AM$10</f>
        <v>30</v>
      </c>
      <c r="AN653" s="538">
        <f xml:space="preserve"> Time!AN$10</f>
        <v>31</v>
      </c>
      <c r="AO653" s="538">
        <f xml:space="preserve"> Time!AO$10</f>
        <v>32</v>
      </c>
      <c r="AP653" s="538">
        <f xml:space="preserve"> Time!AP$10</f>
        <v>33</v>
      </c>
      <c r="AQ653" s="538">
        <f xml:space="preserve"> Time!AQ$10</f>
        <v>34</v>
      </c>
      <c r="AR653" s="538">
        <f xml:space="preserve"> Time!AR$10</f>
        <v>35</v>
      </c>
      <c r="AS653" s="538">
        <f xml:space="preserve"> Time!AS$10</f>
        <v>36</v>
      </c>
      <c r="AT653" s="538">
        <f xml:space="preserve"> Time!AT$10</f>
        <v>37</v>
      </c>
      <c r="AU653" s="538">
        <f xml:space="preserve"> Time!AU$10</f>
        <v>38</v>
      </c>
      <c r="AV653" s="538">
        <f xml:space="preserve"> Time!AV$10</f>
        <v>39</v>
      </c>
      <c r="AW653" s="538">
        <f xml:space="preserve"> Time!AW$10</f>
        <v>40</v>
      </c>
      <c r="AX653" s="538">
        <f xml:space="preserve"> Time!AX$10</f>
        <v>41</v>
      </c>
      <c r="AY653" s="538">
        <f xml:space="preserve"> Time!AY$10</f>
        <v>42</v>
      </c>
      <c r="AZ653" s="538">
        <f xml:space="preserve"> Time!AZ$10</f>
        <v>43</v>
      </c>
      <c r="BA653" s="538">
        <f xml:space="preserve"> Time!BA$10</f>
        <v>44</v>
      </c>
      <c r="BB653" s="538">
        <f xml:space="preserve"> Time!BB$10</f>
        <v>45</v>
      </c>
      <c r="BC653" s="538">
        <f xml:space="preserve"> Time!BC$10</f>
        <v>46</v>
      </c>
      <c r="BD653" s="538">
        <f xml:space="preserve"> Time!BD$10</f>
        <v>47</v>
      </c>
      <c r="BE653" s="538">
        <f xml:space="preserve"> Time!BE$10</f>
        <v>48</v>
      </c>
    </row>
    <row r="654" spans="1:57" hidden="1" outlineLevel="1" x14ac:dyDescent="0.2">
      <c r="E654" s="186" t="str">
        <f xml:space="preserve"> ConTime!E$56</f>
        <v>Model ops period counter - m</v>
      </c>
      <c r="F654" s="186">
        <f xml:space="preserve"> ConTime!F$56</f>
        <v>0</v>
      </c>
      <c r="G654" s="186" t="str">
        <f xml:space="preserve"> ConTime!G$56</f>
        <v>counter</v>
      </c>
      <c r="H654" s="186">
        <f xml:space="preserve"> ConTime!H$56</f>
        <v>0</v>
      </c>
      <c r="I654" s="186">
        <f xml:space="preserve"> ConTime!I$56</f>
        <v>0</v>
      </c>
      <c r="J654" s="186">
        <f xml:space="preserve"> ConTime!J$56</f>
        <v>1</v>
      </c>
      <c r="K654" s="186">
        <f xml:space="preserve"> ConTime!K$56</f>
        <v>1</v>
      </c>
      <c r="L654" s="186">
        <f xml:space="preserve"> ConTime!L$56</f>
        <v>1</v>
      </c>
      <c r="M654" s="186">
        <f xml:space="preserve"> ConTime!M$56</f>
        <v>1</v>
      </c>
      <c r="N654" s="186">
        <f xml:space="preserve"> ConTime!N$56</f>
        <v>1</v>
      </c>
      <c r="O654" s="186">
        <f xml:space="preserve"> ConTime!O$56</f>
        <v>1</v>
      </c>
      <c r="P654" s="186">
        <f xml:space="preserve"> ConTime!P$56</f>
        <v>2</v>
      </c>
      <c r="Q654" s="186">
        <f xml:space="preserve"> ConTime!Q$56</f>
        <v>2</v>
      </c>
      <c r="R654" s="186">
        <f xml:space="preserve"> ConTime!R$56</f>
        <v>2</v>
      </c>
      <c r="S654" s="186">
        <f xml:space="preserve"> ConTime!S$56</f>
        <v>2</v>
      </c>
      <c r="T654" s="186">
        <f xml:space="preserve"> ConTime!T$56</f>
        <v>2</v>
      </c>
      <c r="U654" s="186">
        <f xml:space="preserve"> ConTime!U$56</f>
        <v>2</v>
      </c>
      <c r="V654" s="186">
        <f xml:space="preserve"> ConTime!V$56</f>
        <v>3</v>
      </c>
      <c r="W654" s="186">
        <f xml:space="preserve"> ConTime!W$56</f>
        <v>3</v>
      </c>
      <c r="X654" s="186">
        <f xml:space="preserve"> ConTime!X$56</f>
        <v>3</v>
      </c>
      <c r="Y654" s="186">
        <f xml:space="preserve"> ConTime!Y$56</f>
        <v>3</v>
      </c>
      <c r="Z654" s="186">
        <f xml:space="preserve"> ConTime!Z$56</f>
        <v>3</v>
      </c>
      <c r="AA654" s="186">
        <f xml:space="preserve"> ConTime!AA$56</f>
        <v>3</v>
      </c>
      <c r="AB654" s="186">
        <f xml:space="preserve"> ConTime!AB$56</f>
        <v>4</v>
      </c>
      <c r="AC654" s="186">
        <f xml:space="preserve"> ConTime!AC$56</f>
        <v>4</v>
      </c>
      <c r="AD654" s="186">
        <f xml:space="preserve"> ConTime!AD$56</f>
        <v>4</v>
      </c>
      <c r="AE654" s="186">
        <f xml:space="preserve"> ConTime!AE$56</f>
        <v>4</v>
      </c>
      <c r="AF654" s="186">
        <f xml:space="preserve"> ConTime!AF$56</f>
        <v>4</v>
      </c>
      <c r="AG654" s="186">
        <f xml:space="preserve"> ConTime!AG$56</f>
        <v>4</v>
      </c>
      <c r="AH654" s="186">
        <f xml:space="preserve"> ConTime!AH$56</f>
        <v>5</v>
      </c>
      <c r="AI654" s="186">
        <f xml:space="preserve"> ConTime!AI$56</f>
        <v>5</v>
      </c>
      <c r="AJ654" s="186">
        <f xml:space="preserve"> ConTime!AJ$56</f>
        <v>5</v>
      </c>
      <c r="AK654" s="186">
        <f xml:space="preserve"> ConTime!AK$56</f>
        <v>5</v>
      </c>
      <c r="AL654" s="186">
        <f xml:space="preserve"> ConTime!AL$56</f>
        <v>5</v>
      </c>
      <c r="AM654" s="186">
        <f xml:space="preserve"> ConTime!AM$56</f>
        <v>5</v>
      </c>
      <c r="AN654" s="186">
        <f xml:space="preserve"> ConTime!AN$56</f>
        <v>6</v>
      </c>
      <c r="AO654" s="186">
        <f xml:space="preserve"> ConTime!AO$56</f>
        <v>6</v>
      </c>
      <c r="AP654" s="186">
        <f xml:space="preserve"> ConTime!AP$56</f>
        <v>6</v>
      </c>
      <c r="AQ654" s="186">
        <f xml:space="preserve"> ConTime!AQ$56</f>
        <v>6</v>
      </c>
      <c r="AR654" s="186">
        <f xml:space="preserve"> ConTime!AR$56</f>
        <v>6</v>
      </c>
      <c r="AS654" s="186">
        <f xml:space="preserve"> ConTime!AS$56</f>
        <v>6</v>
      </c>
      <c r="AT654" s="186">
        <f xml:space="preserve"> ConTime!AT$56</f>
        <v>7</v>
      </c>
      <c r="AU654" s="186">
        <f xml:space="preserve"> ConTime!AU$56</f>
        <v>7</v>
      </c>
      <c r="AV654" s="186">
        <f xml:space="preserve"> ConTime!AV$56</f>
        <v>7</v>
      </c>
      <c r="AW654" s="186">
        <f xml:space="preserve"> ConTime!AW$56</f>
        <v>7</v>
      </c>
      <c r="AX654" s="186">
        <f xml:space="preserve"> ConTime!AX$56</f>
        <v>7</v>
      </c>
      <c r="AY654" s="186">
        <f xml:space="preserve"> ConTime!AY$56</f>
        <v>7</v>
      </c>
      <c r="AZ654" s="186">
        <f xml:space="preserve"> ConTime!AZ$56</f>
        <v>8</v>
      </c>
      <c r="BA654" s="186">
        <f xml:space="preserve"> ConTime!BA$56</f>
        <v>8</v>
      </c>
      <c r="BB654" s="186">
        <f xml:space="preserve"> ConTime!BB$56</f>
        <v>8</v>
      </c>
      <c r="BC654" s="186">
        <f xml:space="preserve"> ConTime!BC$56</f>
        <v>8</v>
      </c>
      <c r="BD654" s="186">
        <f xml:space="preserve"> ConTime!BD$56</f>
        <v>8</v>
      </c>
      <c r="BE654" s="186">
        <f xml:space="preserve"> ConTime!BE$56</f>
        <v>8</v>
      </c>
    </row>
    <row r="655" spans="1:57" hidden="1" outlineLevel="1" x14ac:dyDescent="0.2">
      <c r="E655" s="12" t="str">
        <f t="shared" ref="E655:AJ655" si="1195" xml:space="preserve"> E$469</f>
        <v>Standby debt - T1 drawdown - m</v>
      </c>
      <c r="F655" s="12">
        <f t="shared" si="1195"/>
        <v>0</v>
      </c>
      <c r="G655" s="12" t="str">
        <f t="shared" si="1195"/>
        <v>$ 000s</v>
      </c>
      <c r="H655" s="12">
        <f t="shared" si="1195"/>
        <v>0</v>
      </c>
      <c r="I655" s="12">
        <f t="shared" si="1195"/>
        <v>0</v>
      </c>
      <c r="J655" s="12">
        <f t="shared" si="1195"/>
        <v>0</v>
      </c>
      <c r="K655" s="12">
        <f t="shared" si="1195"/>
        <v>0</v>
      </c>
      <c r="L655" s="12">
        <f t="shared" si="1195"/>
        <v>0</v>
      </c>
      <c r="M655" s="12">
        <f t="shared" si="1195"/>
        <v>0</v>
      </c>
      <c r="N655" s="12">
        <f t="shared" si="1195"/>
        <v>0</v>
      </c>
      <c r="O655" s="12">
        <f t="shared" si="1195"/>
        <v>0</v>
      </c>
      <c r="P655" s="12">
        <f t="shared" si="1195"/>
        <v>0</v>
      </c>
      <c r="Q655" s="12">
        <f t="shared" si="1195"/>
        <v>0</v>
      </c>
      <c r="R655" s="12">
        <f t="shared" si="1195"/>
        <v>0</v>
      </c>
      <c r="S655" s="12">
        <f t="shared" si="1195"/>
        <v>0</v>
      </c>
      <c r="T655" s="12">
        <f t="shared" si="1195"/>
        <v>0</v>
      </c>
      <c r="U655" s="12">
        <f t="shared" si="1195"/>
        <v>0</v>
      </c>
      <c r="V655" s="12">
        <f t="shared" si="1195"/>
        <v>0</v>
      </c>
      <c r="W655" s="12">
        <f t="shared" si="1195"/>
        <v>0</v>
      </c>
      <c r="X655" s="12">
        <f t="shared" si="1195"/>
        <v>0</v>
      </c>
      <c r="Y655" s="12">
        <f t="shared" si="1195"/>
        <v>0</v>
      </c>
      <c r="Z655" s="12">
        <f t="shared" si="1195"/>
        <v>0</v>
      </c>
      <c r="AA655" s="12">
        <f t="shared" si="1195"/>
        <v>0</v>
      </c>
      <c r="AB655" s="12">
        <f t="shared" si="1195"/>
        <v>0</v>
      </c>
      <c r="AC655" s="12">
        <f t="shared" si="1195"/>
        <v>0</v>
      </c>
      <c r="AD655" s="12">
        <f t="shared" si="1195"/>
        <v>0</v>
      </c>
      <c r="AE655" s="12">
        <f t="shared" si="1195"/>
        <v>0</v>
      </c>
      <c r="AF655" s="12">
        <f t="shared" si="1195"/>
        <v>0</v>
      </c>
      <c r="AG655" s="12">
        <f t="shared" si="1195"/>
        <v>0</v>
      </c>
      <c r="AH655" s="12">
        <f t="shared" si="1195"/>
        <v>0</v>
      </c>
      <c r="AI655" s="12">
        <f t="shared" si="1195"/>
        <v>0</v>
      </c>
      <c r="AJ655" s="12">
        <f t="shared" si="1195"/>
        <v>0</v>
      </c>
      <c r="AK655" s="12">
        <f t="shared" ref="AK655:BE655" si="1196" xml:space="preserve"> AK$469</f>
        <v>0</v>
      </c>
      <c r="AL655" s="12">
        <f t="shared" si="1196"/>
        <v>0</v>
      </c>
      <c r="AM655" s="12">
        <f t="shared" si="1196"/>
        <v>0</v>
      </c>
      <c r="AN655" s="12">
        <f t="shared" si="1196"/>
        <v>0</v>
      </c>
      <c r="AO655" s="12">
        <f t="shared" si="1196"/>
        <v>0</v>
      </c>
      <c r="AP655" s="12">
        <f t="shared" si="1196"/>
        <v>0</v>
      </c>
      <c r="AQ655" s="12">
        <f t="shared" si="1196"/>
        <v>0</v>
      </c>
      <c r="AR655" s="12">
        <f t="shared" si="1196"/>
        <v>0</v>
      </c>
      <c r="AS655" s="12">
        <f t="shared" si="1196"/>
        <v>0</v>
      </c>
      <c r="AT655" s="12">
        <f t="shared" si="1196"/>
        <v>0</v>
      </c>
      <c r="AU655" s="12">
        <f t="shared" si="1196"/>
        <v>0</v>
      </c>
      <c r="AV655" s="12">
        <f t="shared" si="1196"/>
        <v>0</v>
      </c>
      <c r="AW655" s="12">
        <f t="shared" si="1196"/>
        <v>0</v>
      </c>
      <c r="AX655" s="12">
        <f t="shared" si="1196"/>
        <v>0</v>
      </c>
      <c r="AY655" s="12">
        <f t="shared" si="1196"/>
        <v>0</v>
      </c>
      <c r="AZ655" s="12">
        <f t="shared" si="1196"/>
        <v>0</v>
      </c>
      <c r="BA655" s="12">
        <f t="shared" si="1196"/>
        <v>0</v>
      </c>
      <c r="BB655" s="12">
        <f t="shared" si="1196"/>
        <v>0</v>
      </c>
      <c r="BC655" s="12">
        <f t="shared" si="1196"/>
        <v>0</v>
      </c>
      <c r="BD655" s="12">
        <f t="shared" si="1196"/>
        <v>0</v>
      </c>
      <c r="BE655" s="12">
        <f t="shared" si="1196"/>
        <v>0</v>
      </c>
    </row>
    <row r="656" spans="1:57" s="629" customFormat="1" hidden="1" outlineLevel="1" x14ac:dyDescent="0.2">
      <c r="A656" s="904"/>
      <c r="B656" s="904"/>
      <c r="C656" s="905"/>
      <c r="D656" s="906"/>
      <c r="E656" s="907" t="s">
        <v>1059</v>
      </c>
      <c r="F656" s="907"/>
      <c r="G656" s="907" t="str">
        <f xml:space="preserve"> SMU</f>
        <v>$ 000s</v>
      </c>
      <c r="H656" s="907">
        <f xml:space="preserve"> SUM(J656:BE656)</f>
        <v>0</v>
      </c>
      <c r="I656" s="908"/>
      <c r="J656" s="907">
        <f t="shared" ref="J656:BE656" si="1197" xml:space="preserve"> SUMIF($J654:$BE654, J653, $J655:$BE655)</f>
        <v>0</v>
      </c>
      <c r="K656" s="907">
        <f t="shared" si="1197"/>
        <v>0</v>
      </c>
      <c r="L656" s="907">
        <f t="shared" si="1197"/>
        <v>0</v>
      </c>
      <c r="M656" s="907">
        <f t="shared" si="1197"/>
        <v>0</v>
      </c>
      <c r="N656" s="907">
        <f t="shared" si="1197"/>
        <v>0</v>
      </c>
      <c r="O656" s="907">
        <f t="shared" si="1197"/>
        <v>0</v>
      </c>
      <c r="P656" s="907">
        <f t="shared" si="1197"/>
        <v>0</v>
      </c>
      <c r="Q656" s="907">
        <f t="shared" si="1197"/>
        <v>0</v>
      </c>
      <c r="R656" s="907">
        <f t="shared" si="1197"/>
        <v>0</v>
      </c>
      <c r="S656" s="907">
        <f t="shared" si="1197"/>
        <v>0</v>
      </c>
      <c r="T656" s="907">
        <f t="shared" si="1197"/>
        <v>0</v>
      </c>
      <c r="U656" s="907">
        <f t="shared" si="1197"/>
        <v>0</v>
      </c>
      <c r="V656" s="907">
        <f t="shared" si="1197"/>
        <v>0</v>
      </c>
      <c r="W656" s="907">
        <f t="shared" si="1197"/>
        <v>0</v>
      </c>
      <c r="X656" s="907">
        <f t="shared" si="1197"/>
        <v>0</v>
      </c>
      <c r="Y656" s="907">
        <f t="shared" si="1197"/>
        <v>0</v>
      </c>
      <c r="Z656" s="907">
        <f t="shared" si="1197"/>
        <v>0</v>
      </c>
      <c r="AA656" s="907">
        <f t="shared" si="1197"/>
        <v>0</v>
      </c>
      <c r="AB656" s="907">
        <f t="shared" si="1197"/>
        <v>0</v>
      </c>
      <c r="AC656" s="907">
        <f t="shared" si="1197"/>
        <v>0</v>
      </c>
      <c r="AD656" s="907">
        <f t="shared" si="1197"/>
        <v>0</v>
      </c>
      <c r="AE656" s="907">
        <f t="shared" si="1197"/>
        <v>0</v>
      </c>
      <c r="AF656" s="907">
        <f t="shared" si="1197"/>
        <v>0</v>
      </c>
      <c r="AG656" s="907">
        <f t="shared" si="1197"/>
        <v>0</v>
      </c>
      <c r="AH656" s="907">
        <f t="shared" si="1197"/>
        <v>0</v>
      </c>
      <c r="AI656" s="907">
        <f t="shared" si="1197"/>
        <v>0</v>
      </c>
      <c r="AJ656" s="907">
        <f t="shared" si="1197"/>
        <v>0</v>
      </c>
      <c r="AK656" s="907">
        <f t="shared" si="1197"/>
        <v>0</v>
      </c>
      <c r="AL656" s="907">
        <f t="shared" si="1197"/>
        <v>0</v>
      </c>
      <c r="AM656" s="907">
        <f t="shared" si="1197"/>
        <v>0</v>
      </c>
      <c r="AN656" s="907">
        <f t="shared" si="1197"/>
        <v>0</v>
      </c>
      <c r="AO656" s="907">
        <f t="shared" si="1197"/>
        <v>0</v>
      </c>
      <c r="AP656" s="907">
        <f t="shared" si="1197"/>
        <v>0</v>
      </c>
      <c r="AQ656" s="907">
        <f t="shared" si="1197"/>
        <v>0</v>
      </c>
      <c r="AR656" s="907">
        <f t="shared" si="1197"/>
        <v>0</v>
      </c>
      <c r="AS656" s="907">
        <f t="shared" si="1197"/>
        <v>0</v>
      </c>
      <c r="AT656" s="907">
        <f t="shared" si="1197"/>
        <v>0</v>
      </c>
      <c r="AU656" s="907">
        <f t="shared" si="1197"/>
        <v>0</v>
      </c>
      <c r="AV656" s="907">
        <f t="shared" si="1197"/>
        <v>0</v>
      </c>
      <c r="AW656" s="907">
        <f t="shared" si="1197"/>
        <v>0</v>
      </c>
      <c r="AX656" s="907">
        <f t="shared" si="1197"/>
        <v>0</v>
      </c>
      <c r="AY656" s="907">
        <f t="shared" si="1197"/>
        <v>0</v>
      </c>
      <c r="AZ656" s="907">
        <f t="shared" si="1197"/>
        <v>0</v>
      </c>
      <c r="BA656" s="907">
        <f t="shared" si="1197"/>
        <v>0</v>
      </c>
      <c r="BB656" s="907">
        <f t="shared" si="1197"/>
        <v>0</v>
      </c>
      <c r="BC656" s="907">
        <f t="shared" si="1197"/>
        <v>0</v>
      </c>
      <c r="BD656" s="907">
        <f t="shared" si="1197"/>
        <v>0</v>
      </c>
      <c r="BE656" s="907">
        <f t="shared" si="1197"/>
        <v>0</v>
      </c>
    </row>
    <row r="657" spans="1:57" s="188" customFormat="1" hidden="1" outlineLevel="1" x14ac:dyDescent="0.2">
      <c r="A657" s="141"/>
      <c r="B657" s="141"/>
      <c r="C657" s="142"/>
      <c r="D657" s="143"/>
      <c r="E657" s="187"/>
      <c r="F657" s="187"/>
      <c r="G657" s="187"/>
      <c r="H657" s="187"/>
      <c r="I657" s="144"/>
      <c r="J657" s="187"/>
      <c r="K657" s="187"/>
      <c r="L657" s="187"/>
      <c r="M657" s="187"/>
      <c r="N657" s="187"/>
      <c r="O657" s="187"/>
      <c r="P657" s="187"/>
      <c r="Q657" s="187"/>
      <c r="R657" s="187"/>
      <c r="S657" s="187"/>
      <c r="T657" s="187"/>
      <c r="U657" s="187"/>
      <c r="V657" s="187"/>
      <c r="W657" s="187"/>
      <c r="X657" s="187"/>
      <c r="Y657" s="187"/>
      <c r="Z657" s="187"/>
      <c r="AA657" s="187"/>
      <c r="AB657" s="187"/>
      <c r="AC657" s="187"/>
      <c r="AD657" s="187"/>
      <c r="AE657" s="187"/>
      <c r="AF657" s="187"/>
      <c r="AG657" s="187"/>
      <c r="AH657" s="187"/>
      <c r="AI657" s="187"/>
      <c r="AJ657" s="187"/>
      <c r="AK657" s="187"/>
      <c r="AL657" s="187"/>
      <c r="AM657" s="187"/>
      <c r="AN657" s="187"/>
      <c r="AO657" s="187"/>
      <c r="AP657" s="187"/>
      <c r="AQ657" s="187"/>
      <c r="AR657" s="187"/>
      <c r="AS657" s="187"/>
      <c r="AT657" s="187"/>
      <c r="AU657" s="187"/>
      <c r="AV657" s="187"/>
      <c r="AW657" s="187"/>
      <c r="AX657" s="187"/>
      <c r="AY657" s="187"/>
      <c r="AZ657" s="187"/>
      <c r="BA657" s="187"/>
      <c r="BB657" s="187"/>
      <c r="BC657" s="187"/>
      <c r="BD657" s="187"/>
      <c r="BE657" s="187"/>
    </row>
    <row r="658" spans="1:57" hidden="1" outlineLevel="1" x14ac:dyDescent="0.2">
      <c r="E658" s="538" t="str">
        <f xml:space="preserve"> Time!E$10</f>
        <v>Model column counter</v>
      </c>
      <c r="F658" s="538">
        <f xml:space="preserve"> Time!F$10</f>
        <v>0</v>
      </c>
      <c r="G658" s="538" t="str">
        <f xml:space="preserve"> Time!G$10</f>
        <v>counter</v>
      </c>
      <c r="H658" s="538">
        <f xml:space="preserve"> Time!H$10</f>
        <v>0</v>
      </c>
      <c r="I658" s="538">
        <f xml:space="preserve"> Time!I$10</f>
        <v>0</v>
      </c>
      <c r="J658" s="538">
        <f xml:space="preserve"> Time!J$10</f>
        <v>1</v>
      </c>
      <c r="K658" s="538">
        <f xml:space="preserve"> Time!K$10</f>
        <v>2</v>
      </c>
      <c r="L658" s="538">
        <f xml:space="preserve"> Time!L$10</f>
        <v>3</v>
      </c>
      <c r="M658" s="538">
        <f xml:space="preserve"> Time!M$10</f>
        <v>4</v>
      </c>
      <c r="N658" s="538">
        <f xml:space="preserve"> Time!N$10</f>
        <v>5</v>
      </c>
      <c r="O658" s="538">
        <f xml:space="preserve"> Time!O$10</f>
        <v>6</v>
      </c>
      <c r="P658" s="538">
        <f xml:space="preserve"> Time!P$10</f>
        <v>7</v>
      </c>
      <c r="Q658" s="538">
        <f xml:space="preserve"> Time!Q$10</f>
        <v>8</v>
      </c>
      <c r="R658" s="538">
        <f xml:space="preserve"> Time!R$10</f>
        <v>9</v>
      </c>
      <c r="S658" s="538">
        <f xml:space="preserve"> Time!S$10</f>
        <v>10</v>
      </c>
      <c r="T658" s="538">
        <f xml:space="preserve"> Time!T$10</f>
        <v>11</v>
      </c>
      <c r="U658" s="538">
        <f xml:space="preserve"> Time!U$10</f>
        <v>12</v>
      </c>
      <c r="V658" s="538">
        <f xml:space="preserve"> Time!V$10</f>
        <v>13</v>
      </c>
      <c r="W658" s="538">
        <f xml:space="preserve"> Time!W$10</f>
        <v>14</v>
      </c>
      <c r="X658" s="538">
        <f xml:space="preserve"> Time!X$10</f>
        <v>15</v>
      </c>
      <c r="Y658" s="538">
        <f xml:space="preserve"> Time!Y$10</f>
        <v>16</v>
      </c>
      <c r="Z658" s="538">
        <f xml:space="preserve"> Time!Z$10</f>
        <v>17</v>
      </c>
      <c r="AA658" s="538">
        <f xml:space="preserve"> Time!AA$10</f>
        <v>18</v>
      </c>
      <c r="AB658" s="538">
        <f xml:space="preserve"> Time!AB$10</f>
        <v>19</v>
      </c>
      <c r="AC658" s="538">
        <f xml:space="preserve"> Time!AC$10</f>
        <v>20</v>
      </c>
      <c r="AD658" s="538">
        <f xml:space="preserve"> Time!AD$10</f>
        <v>21</v>
      </c>
      <c r="AE658" s="538">
        <f xml:space="preserve"> Time!AE$10</f>
        <v>22</v>
      </c>
      <c r="AF658" s="538">
        <f xml:space="preserve"> Time!AF$10</f>
        <v>23</v>
      </c>
      <c r="AG658" s="538">
        <f xml:space="preserve"> Time!AG$10</f>
        <v>24</v>
      </c>
      <c r="AH658" s="538">
        <f xml:space="preserve"> Time!AH$10</f>
        <v>25</v>
      </c>
      <c r="AI658" s="538">
        <f xml:space="preserve"> Time!AI$10</f>
        <v>26</v>
      </c>
      <c r="AJ658" s="538">
        <f xml:space="preserve"> Time!AJ$10</f>
        <v>27</v>
      </c>
      <c r="AK658" s="538">
        <f xml:space="preserve"> Time!AK$10</f>
        <v>28</v>
      </c>
      <c r="AL658" s="538">
        <f xml:space="preserve"> Time!AL$10</f>
        <v>29</v>
      </c>
      <c r="AM658" s="538">
        <f xml:space="preserve"> Time!AM$10</f>
        <v>30</v>
      </c>
      <c r="AN658" s="538">
        <f xml:space="preserve"> Time!AN$10</f>
        <v>31</v>
      </c>
      <c r="AO658" s="538">
        <f xml:space="preserve"> Time!AO$10</f>
        <v>32</v>
      </c>
      <c r="AP658" s="538">
        <f xml:space="preserve"> Time!AP$10</f>
        <v>33</v>
      </c>
      <c r="AQ658" s="538">
        <f xml:space="preserve"> Time!AQ$10</f>
        <v>34</v>
      </c>
      <c r="AR658" s="538">
        <f xml:space="preserve"> Time!AR$10</f>
        <v>35</v>
      </c>
      <c r="AS658" s="538">
        <f xml:space="preserve"> Time!AS$10</f>
        <v>36</v>
      </c>
      <c r="AT658" s="538">
        <f xml:space="preserve"> Time!AT$10</f>
        <v>37</v>
      </c>
      <c r="AU658" s="538">
        <f xml:space="preserve"> Time!AU$10</f>
        <v>38</v>
      </c>
      <c r="AV658" s="538">
        <f xml:space="preserve"> Time!AV$10</f>
        <v>39</v>
      </c>
      <c r="AW658" s="538">
        <f xml:space="preserve"> Time!AW$10</f>
        <v>40</v>
      </c>
      <c r="AX658" s="538">
        <f xml:space="preserve"> Time!AX$10</f>
        <v>41</v>
      </c>
      <c r="AY658" s="538">
        <f xml:space="preserve"> Time!AY$10</f>
        <v>42</v>
      </c>
      <c r="AZ658" s="538">
        <f xml:space="preserve"> Time!AZ$10</f>
        <v>43</v>
      </c>
      <c r="BA658" s="538">
        <f xml:space="preserve"> Time!BA$10</f>
        <v>44</v>
      </c>
      <c r="BB658" s="538">
        <f xml:space="preserve"> Time!BB$10</f>
        <v>45</v>
      </c>
      <c r="BC658" s="538">
        <f xml:space="preserve"> Time!BC$10</f>
        <v>46</v>
      </c>
      <c r="BD658" s="538">
        <f xml:space="preserve"> Time!BD$10</f>
        <v>47</v>
      </c>
      <c r="BE658" s="538">
        <f xml:space="preserve"> Time!BE$10</f>
        <v>48</v>
      </c>
    </row>
    <row r="659" spans="1:57" hidden="1" outlineLevel="1" x14ac:dyDescent="0.2">
      <c r="E659" s="186" t="str">
        <f xml:space="preserve"> ConTime!E$56</f>
        <v>Model ops period counter - m</v>
      </c>
      <c r="F659" s="186">
        <f xml:space="preserve"> ConTime!F$56</f>
        <v>0</v>
      </c>
      <c r="G659" s="186" t="str">
        <f xml:space="preserve"> ConTime!G$56</f>
        <v>counter</v>
      </c>
      <c r="H659" s="186">
        <f xml:space="preserve"> ConTime!H$56</f>
        <v>0</v>
      </c>
      <c r="I659" s="186">
        <f xml:space="preserve"> ConTime!I$56</f>
        <v>0</v>
      </c>
      <c r="J659" s="186">
        <f xml:space="preserve"> ConTime!J$56</f>
        <v>1</v>
      </c>
      <c r="K659" s="186">
        <f xml:space="preserve"> ConTime!K$56</f>
        <v>1</v>
      </c>
      <c r="L659" s="186">
        <f xml:space="preserve"> ConTime!L$56</f>
        <v>1</v>
      </c>
      <c r="M659" s="186">
        <f xml:space="preserve"> ConTime!M$56</f>
        <v>1</v>
      </c>
      <c r="N659" s="186">
        <f xml:space="preserve"> ConTime!N$56</f>
        <v>1</v>
      </c>
      <c r="O659" s="186">
        <f xml:space="preserve"> ConTime!O$56</f>
        <v>1</v>
      </c>
      <c r="P659" s="186">
        <f xml:space="preserve"> ConTime!P$56</f>
        <v>2</v>
      </c>
      <c r="Q659" s="186">
        <f xml:space="preserve"> ConTime!Q$56</f>
        <v>2</v>
      </c>
      <c r="R659" s="186">
        <f xml:space="preserve"> ConTime!R$56</f>
        <v>2</v>
      </c>
      <c r="S659" s="186">
        <f xml:space="preserve"> ConTime!S$56</f>
        <v>2</v>
      </c>
      <c r="T659" s="186">
        <f xml:space="preserve"> ConTime!T$56</f>
        <v>2</v>
      </c>
      <c r="U659" s="186">
        <f xml:space="preserve"> ConTime!U$56</f>
        <v>2</v>
      </c>
      <c r="V659" s="186">
        <f xml:space="preserve"> ConTime!V$56</f>
        <v>3</v>
      </c>
      <c r="W659" s="186">
        <f xml:space="preserve"> ConTime!W$56</f>
        <v>3</v>
      </c>
      <c r="X659" s="186">
        <f xml:space="preserve"> ConTime!X$56</f>
        <v>3</v>
      </c>
      <c r="Y659" s="186">
        <f xml:space="preserve"> ConTime!Y$56</f>
        <v>3</v>
      </c>
      <c r="Z659" s="186">
        <f xml:space="preserve"> ConTime!Z$56</f>
        <v>3</v>
      </c>
      <c r="AA659" s="186">
        <f xml:space="preserve"> ConTime!AA$56</f>
        <v>3</v>
      </c>
      <c r="AB659" s="186">
        <f xml:space="preserve"> ConTime!AB$56</f>
        <v>4</v>
      </c>
      <c r="AC659" s="186">
        <f xml:space="preserve"> ConTime!AC$56</f>
        <v>4</v>
      </c>
      <c r="AD659" s="186">
        <f xml:space="preserve"> ConTime!AD$56</f>
        <v>4</v>
      </c>
      <c r="AE659" s="186">
        <f xml:space="preserve"> ConTime!AE$56</f>
        <v>4</v>
      </c>
      <c r="AF659" s="186">
        <f xml:space="preserve"> ConTime!AF$56</f>
        <v>4</v>
      </c>
      <c r="AG659" s="186">
        <f xml:space="preserve"> ConTime!AG$56</f>
        <v>4</v>
      </c>
      <c r="AH659" s="186">
        <f xml:space="preserve"> ConTime!AH$56</f>
        <v>5</v>
      </c>
      <c r="AI659" s="186">
        <f xml:space="preserve"> ConTime!AI$56</f>
        <v>5</v>
      </c>
      <c r="AJ659" s="186">
        <f xml:space="preserve"> ConTime!AJ$56</f>
        <v>5</v>
      </c>
      <c r="AK659" s="186">
        <f xml:space="preserve"> ConTime!AK$56</f>
        <v>5</v>
      </c>
      <c r="AL659" s="186">
        <f xml:space="preserve"> ConTime!AL$56</f>
        <v>5</v>
      </c>
      <c r="AM659" s="186">
        <f xml:space="preserve"> ConTime!AM$56</f>
        <v>5</v>
      </c>
      <c r="AN659" s="186">
        <f xml:space="preserve"> ConTime!AN$56</f>
        <v>6</v>
      </c>
      <c r="AO659" s="186">
        <f xml:space="preserve"> ConTime!AO$56</f>
        <v>6</v>
      </c>
      <c r="AP659" s="186">
        <f xml:space="preserve"> ConTime!AP$56</f>
        <v>6</v>
      </c>
      <c r="AQ659" s="186">
        <f xml:space="preserve"> ConTime!AQ$56</f>
        <v>6</v>
      </c>
      <c r="AR659" s="186">
        <f xml:space="preserve"> ConTime!AR$56</f>
        <v>6</v>
      </c>
      <c r="AS659" s="186">
        <f xml:space="preserve"> ConTime!AS$56</f>
        <v>6</v>
      </c>
      <c r="AT659" s="186">
        <f xml:space="preserve"> ConTime!AT$56</f>
        <v>7</v>
      </c>
      <c r="AU659" s="186">
        <f xml:space="preserve"> ConTime!AU$56</f>
        <v>7</v>
      </c>
      <c r="AV659" s="186">
        <f xml:space="preserve"> ConTime!AV$56</f>
        <v>7</v>
      </c>
      <c r="AW659" s="186">
        <f xml:space="preserve"> ConTime!AW$56</f>
        <v>7</v>
      </c>
      <c r="AX659" s="186">
        <f xml:space="preserve"> ConTime!AX$56</f>
        <v>7</v>
      </c>
      <c r="AY659" s="186">
        <f xml:space="preserve"> ConTime!AY$56</f>
        <v>7</v>
      </c>
      <c r="AZ659" s="186">
        <f xml:space="preserve"> ConTime!AZ$56</f>
        <v>8</v>
      </c>
      <c r="BA659" s="186">
        <f xml:space="preserve"> ConTime!BA$56</f>
        <v>8</v>
      </c>
      <c r="BB659" s="186">
        <f xml:space="preserve"> ConTime!BB$56</f>
        <v>8</v>
      </c>
      <c r="BC659" s="186">
        <f xml:space="preserve"> ConTime!BC$56</f>
        <v>8</v>
      </c>
      <c r="BD659" s="186">
        <f xml:space="preserve"> ConTime!BD$56</f>
        <v>8</v>
      </c>
      <c r="BE659" s="186">
        <f xml:space="preserve"> ConTime!BE$56</f>
        <v>8</v>
      </c>
    </row>
    <row r="660" spans="1:57" hidden="1" outlineLevel="1" x14ac:dyDescent="0.2">
      <c r="E660" s="12" t="str">
        <f t="shared" ref="E660:AJ660" si="1198" xml:space="preserve"> E$489</f>
        <v>Standby debt - T2 drawdown - m</v>
      </c>
      <c r="F660" s="12">
        <f t="shared" si="1198"/>
        <v>0</v>
      </c>
      <c r="G660" s="12" t="str">
        <f t="shared" si="1198"/>
        <v>$ 000s</v>
      </c>
      <c r="H660" s="12">
        <f t="shared" si="1198"/>
        <v>0</v>
      </c>
      <c r="I660" s="12">
        <f t="shared" si="1198"/>
        <v>0</v>
      </c>
      <c r="J660" s="12">
        <f t="shared" si="1198"/>
        <v>0</v>
      </c>
      <c r="K660" s="12">
        <f t="shared" si="1198"/>
        <v>0</v>
      </c>
      <c r="L660" s="12">
        <f t="shared" si="1198"/>
        <v>0</v>
      </c>
      <c r="M660" s="12">
        <f t="shared" si="1198"/>
        <v>0</v>
      </c>
      <c r="N660" s="12">
        <f t="shared" si="1198"/>
        <v>0</v>
      </c>
      <c r="O660" s="12">
        <f t="shared" si="1198"/>
        <v>0</v>
      </c>
      <c r="P660" s="12">
        <f t="shared" si="1198"/>
        <v>0</v>
      </c>
      <c r="Q660" s="12">
        <f t="shared" si="1198"/>
        <v>0</v>
      </c>
      <c r="R660" s="12">
        <f t="shared" si="1198"/>
        <v>0</v>
      </c>
      <c r="S660" s="12">
        <f t="shared" si="1198"/>
        <v>0</v>
      </c>
      <c r="T660" s="12">
        <f t="shared" si="1198"/>
        <v>0</v>
      </c>
      <c r="U660" s="12">
        <f t="shared" si="1198"/>
        <v>0</v>
      </c>
      <c r="V660" s="12">
        <f t="shared" si="1198"/>
        <v>0</v>
      </c>
      <c r="W660" s="12">
        <f t="shared" si="1198"/>
        <v>0</v>
      </c>
      <c r="X660" s="12">
        <f t="shared" si="1198"/>
        <v>0</v>
      </c>
      <c r="Y660" s="12">
        <f t="shared" si="1198"/>
        <v>0</v>
      </c>
      <c r="Z660" s="12">
        <f t="shared" si="1198"/>
        <v>0</v>
      </c>
      <c r="AA660" s="12">
        <f t="shared" si="1198"/>
        <v>0</v>
      </c>
      <c r="AB660" s="12">
        <f t="shared" si="1198"/>
        <v>0</v>
      </c>
      <c r="AC660" s="12">
        <f t="shared" si="1198"/>
        <v>0</v>
      </c>
      <c r="AD660" s="12">
        <f t="shared" si="1198"/>
        <v>0</v>
      </c>
      <c r="AE660" s="12">
        <f t="shared" si="1198"/>
        <v>0</v>
      </c>
      <c r="AF660" s="12">
        <f t="shared" si="1198"/>
        <v>0</v>
      </c>
      <c r="AG660" s="12">
        <f t="shared" si="1198"/>
        <v>0</v>
      </c>
      <c r="AH660" s="12">
        <f t="shared" si="1198"/>
        <v>0</v>
      </c>
      <c r="AI660" s="12">
        <f t="shared" si="1198"/>
        <v>0</v>
      </c>
      <c r="AJ660" s="12">
        <f t="shared" si="1198"/>
        <v>0</v>
      </c>
      <c r="AK660" s="12">
        <f t="shared" ref="AK660:BE660" si="1199" xml:space="preserve"> AK$489</f>
        <v>0</v>
      </c>
      <c r="AL660" s="12">
        <f t="shared" si="1199"/>
        <v>0</v>
      </c>
      <c r="AM660" s="12">
        <f t="shared" si="1199"/>
        <v>0</v>
      </c>
      <c r="AN660" s="12">
        <f t="shared" si="1199"/>
        <v>0</v>
      </c>
      <c r="AO660" s="12">
        <f t="shared" si="1199"/>
        <v>0</v>
      </c>
      <c r="AP660" s="12">
        <f t="shared" si="1199"/>
        <v>0</v>
      </c>
      <c r="AQ660" s="12">
        <f t="shared" si="1199"/>
        <v>0</v>
      </c>
      <c r="AR660" s="12">
        <f t="shared" si="1199"/>
        <v>0</v>
      </c>
      <c r="AS660" s="12">
        <f t="shared" si="1199"/>
        <v>0</v>
      </c>
      <c r="AT660" s="12">
        <f t="shared" si="1199"/>
        <v>0</v>
      </c>
      <c r="AU660" s="12">
        <f t="shared" si="1199"/>
        <v>0</v>
      </c>
      <c r="AV660" s="12">
        <f t="shared" si="1199"/>
        <v>0</v>
      </c>
      <c r="AW660" s="12">
        <f t="shared" si="1199"/>
        <v>0</v>
      </c>
      <c r="AX660" s="12">
        <f t="shared" si="1199"/>
        <v>0</v>
      </c>
      <c r="AY660" s="12">
        <f t="shared" si="1199"/>
        <v>0</v>
      </c>
      <c r="AZ660" s="12">
        <f t="shared" si="1199"/>
        <v>0</v>
      </c>
      <c r="BA660" s="12">
        <f t="shared" si="1199"/>
        <v>0</v>
      </c>
      <c r="BB660" s="12">
        <f t="shared" si="1199"/>
        <v>0</v>
      </c>
      <c r="BC660" s="12">
        <f t="shared" si="1199"/>
        <v>0</v>
      </c>
      <c r="BD660" s="12">
        <f t="shared" si="1199"/>
        <v>0</v>
      </c>
      <c r="BE660" s="12">
        <f t="shared" si="1199"/>
        <v>0</v>
      </c>
    </row>
    <row r="661" spans="1:57" s="629" customFormat="1" hidden="1" outlineLevel="1" x14ac:dyDescent="0.2">
      <c r="A661" s="904"/>
      <c r="B661" s="904"/>
      <c r="C661" s="905"/>
      <c r="D661" s="906"/>
      <c r="E661" s="907" t="s">
        <v>1060</v>
      </c>
      <c r="F661" s="907"/>
      <c r="G661" s="907" t="str">
        <f xml:space="preserve"> SMU</f>
        <v>$ 000s</v>
      </c>
      <c r="H661" s="907">
        <f xml:space="preserve"> SUM(J661:BE661)</f>
        <v>0</v>
      </c>
      <c r="I661" s="908"/>
      <c r="J661" s="907">
        <f t="shared" ref="J661:BE661" si="1200" xml:space="preserve"> SUMIF($J659:$BE659, J658, $J660:$BE660)</f>
        <v>0</v>
      </c>
      <c r="K661" s="907">
        <f t="shared" si="1200"/>
        <v>0</v>
      </c>
      <c r="L661" s="907">
        <f t="shared" si="1200"/>
        <v>0</v>
      </c>
      <c r="M661" s="907">
        <f t="shared" si="1200"/>
        <v>0</v>
      </c>
      <c r="N661" s="907">
        <f t="shared" si="1200"/>
        <v>0</v>
      </c>
      <c r="O661" s="907">
        <f t="shared" si="1200"/>
        <v>0</v>
      </c>
      <c r="P661" s="907">
        <f t="shared" si="1200"/>
        <v>0</v>
      </c>
      <c r="Q661" s="907">
        <f t="shared" si="1200"/>
        <v>0</v>
      </c>
      <c r="R661" s="907">
        <f t="shared" si="1200"/>
        <v>0</v>
      </c>
      <c r="S661" s="907">
        <f t="shared" si="1200"/>
        <v>0</v>
      </c>
      <c r="T661" s="907">
        <f t="shared" si="1200"/>
        <v>0</v>
      </c>
      <c r="U661" s="907">
        <f t="shared" si="1200"/>
        <v>0</v>
      </c>
      <c r="V661" s="907">
        <f t="shared" si="1200"/>
        <v>0</v>
      </c>
      <c r="W661" s="907">
        <f t="shared" si="1200"/>
        <v>0</v>
      </c>
      <c r="X661" s="907">
        <f t="shared" si="1200"/>
        <v>0</v>
      </c>
      <c r="Y661" s="907">
        <f t="shared" si="1200"/>
        <v>0</v>
      </c>
      <c r="Z661" s="907">
        <f t="shared" si="1200"/>
        <v>0</v>
      </c>
      <c r="AA661" s="907">
        <f t="shared" si="1200"/>
        <v>0</v>
      </c>
      <c r="AB661" s="907">
        <f t="shared" si="1200"/>
        <v>0</v>
      </c>
      <c r="AC661" s="907">
        <f t="shared" si="1200"/>
        <v>0</v>
      </c>
      <c r="AD661" s="907">
        <f t="shared" si="1200"/>
        <v>0</v>
      </c>
      <c r="AE661" s="907">
        <f t="shared" si="1200"/>
        <v>0</v>
      </c>
      <c r="AF661" s="907">
        <f t="shared" si="1200"/>
        <v>0</v>
      </c>
      <c r="AG661" s="907">
        <f t="shared" si="1200"/>
        <v>0</v>
      </c>
      <c r="AH661" s="907">
        <f t="shared" si="1200"/>
        <v>0</v>
      </c>
      <c r="AI661" s="907">
        <f t="shared" si="1200"/>
        <v>0</v>
      </c>
      <c r="AJ661" s="907">
        <f t="shared" si="1200"/>
        <v>0</v>
      </c>
      <c r="AK661" s="907">
        <f t="shared" si="1200"/>
        <v>0</v>
      </c>
      <c r="AL661" s="907">
        <f t="shared" si="1200"/>
        <v>0</v>
      </c>
      <c r="AM661" s="907">
        <f t="shared" si="1200"/>
        <v>0</v>
      </c>
      <c r="AN661" s="907">
        <f t="shared" si="1200"/>
        <v>0</v>
      </c>
      <c r="AO661" s="907">
        <f t="shared" si="1200"/>
        <v>0</v>
      </c>
      <c r="AP661" s="907">
        <f t="shared" si="1200"/>
        <v>0</v>
      </c>
      <c r="AQ661" s="907">
        <f t="shared" si="1200"/>
        <v>0</v>
      </c>
      <c r="AR661" s="907">
        <f t="shared" si="1200"/>
        <v>0</v>
      </c>
      <c r="AS661" s="907">
        <f t="shared" si="1200"/>
        <v>0</v>
      </c>
      <c r="AT661" s="907">
        <f t="shared" si="1200"/>
        <v>0</v>
      </c>
      <c r="AU661" s="907">
        <f t="shared" si="1200"/>
        <v>0</v>
      </c>
      <c r="AV661" s="907">
        <f t="shared" si="1200"/>
        <v>0</v>
      </c>
      <c r="AW661" s="907">
        <f t="shared" si="1200"/>
        <v>0</v>
      </c>
      <c r="AX661" s="907">
        <f t="shared" si="1200"/>
        <v>0</v>
      </c>
      <c r="AY661" s="907">
        <f t="shared" si="1200"/>
        <v>0</v>
      </c>
      <c r="AZ661" s="907">
        <f t="shared" si="1200"/>
        <v>0</v>
      </c>
      <c r="BA661" s="907">
        <f t="shared" si="1200"/>
        <v>0</v>
      </c>
      <c r="BB661" s="907">
        <f t="shared" si="1200"/>
        <v>0</v>
      </c>
      <c r="BC661" s="907">
        <f t="shared" si="1200"/>
        <v>0</v>
      </c>
      <c r="BD661" s="907">
        <f t="shared" si="1200"/>
        <v>0</v>
      </c>
      <c r="BE661" s="907">
        <f t="shared" si="1200"/>
        <v>0</v>
      </c>
    </row>
    <row r="662" spans="1:57" s="188" customFormat="1" hidden="1" outlineLevel="1" x14ac:dyDescent="0.2">
      <c r="A662" s="141"/>
      <c r="B662" s="141"/>
      <c r="C662" s="142"/>
      <c r="D662" s="143"/>
      <c r="E662" s="187"/>
      <c r="F662" s="187"/>
      <c r="G662" s="187"/>
      <c r="H662" s="187"/>
      <c r="I662" s="144"/>
      <c r="J662" s="187"/>
      <c r="K662" s="187"/>
      <c r="L662" s="187"/>
      <c r="M662" s="187"/>
      <c r="N662" s="187"/>
      <c r="O662" s="187"/>
      <c r="P662" s="187"/>
      <c r="Q662" s="187"/>
      <c r="R662" s="187"/>
      <c r="S662" s="187"/>
      <c r="T662" s="187"/>
      <c r="U662" s="187"/>
      <c r="V662" s="187"/>
      <c r="W662" s="187"/>
      <c r="X662" s="187"/>
      <c r="Y662" s="187"/>
      <c r="Z662" s="187"/>
      <c r="AA662" s="187"/>
      <c r="AB662" s="187"/>
      <c r="AC662" s="187"/>
      <c r="AD662" s="187"/>
      <c r="AE662" s="187"/>
      <c r="AF662" s="187"/>
      <c r="AG662" s="187"/>
      <c r="AH662" s="187"/>
      <c r="AI662" s="187"/>
      <c r="AJ662" s="187"/>
      <c r="AK662" s="187"/>
      <c r="AL662" s="187"/>
      <c r="AM662" s="187"/>
      <c r="AN662" s="187"/>
      <c r="AO662" s="187"/>
      <c r="AP662" s="187"/>
      <c r="AQ662" s="187"/>
      <c r="AR662" s="187"/>
      <c r="AS662" s="187"/>
      <c r="AT662" s="187"/>
      <c r="AU662" s="187"/>
      <c r="AV662" s="187"/>
      <c r="AW662" s="187"/>
      <c r="AX662" s="187"/>
      <c r="AY662" s="187"/>
      <c r="AZ662" s="187"/>
      <c r="BA662" s="187"/>
      <c r="BB662" s="187"/>
      <c r="BC662" s="187"/>
      <c r="BD662" s="187"/>
      <c r="BE662" s="187"/>
    </row>
    <row r="663" spans="1:57" hidden="1" outlineLevel="1" x14ac:dyDescent="0.2">
      <c r="E663" s="538" t="str">
        <f xml:space="preserve"> Time!E$10</f>
        <v>Model column counter</v>
      </c>
      <c r="F663" s="538">
        <f xml:space="preserve"> Time!F$10</f>
        <v>0</v>
      </c>
      <c r="G663" s="538" t="str">
        <f xml:space="preserve"> Time!G$10</f>
        <v>counter</v>
      </c>
      <c r="H663" s="538">
        <f xml:space="preserve"> Time!H$10</f>
        <v>0</v>
      </c>
      <c r="I663" s="538">
        <f xml:space="preserve"> Time!I$10</f>
        <v>0</v>
      </c>
      <c r="J663" s="538">
        <f xml:space="preserve"> Time!J$10</f>
        <v>1</v>
      </c>
      <c r="K663" s="538">
        <f xml:space="preserve"> Time!K$10</f>
        <v>2</v>
      </c>
      <c r="L663" s="538">
        <f xml:space="preserve"> Time!L$10</f>
        <v>3</v>
      </c>
      <c r="M663" s="538">
        <f xml:space="preserve"> Time!M$10</f>
        <v>4</v>
      </c>
      <c r="N663" s="538">
        <f xml:space="preserve"> Time!N$10</f>
        <v>5</v>
      </c>
      <c r="O663" s="538">
        <f xml:space="preserve"> Time!O$10</f>
        <v>6</v>
      </c>
      <c r="P663" s="538">
        <f xml:space="preserve"> Time!P$10</f>
        <v>7</v>
      </c>
      <c r="Q663" s="538">
        <f xml:space="preserve"> Time!Q$10</f>
        <v>8</v>
      </c>
      <c r="R663" s="538">
        <f xml:space="preserve"> Time!R$10</f>
        <v>9</v>
      </c>
      <c r="S663" s="538">
        <f xml:space="preserve"> Time!S$10</f>
        <v>10</v>
      </c>
      <c r="T663" s="538">
        <f xml:space="preserve"> Time!T$10</f>
        <v>11</v>
      </c>
      <c r="U663" s="538">
        <f xml:space="preserve"> Time!U$10</f>
        <v>12</v>
      </c>
      <c r="V663" s="538">
        <f xml:space="preserve"> Time!V$10</f>
        <v>13</v>
      </c>
      <c r="W663" s="538">
        <f xml:space="preserve"> Time!W$10</f>
        <v>14</v>
      </c>
      <c r="X663" s="538">
        <f xml:space="preserve"> Time!X$10</f>
        <v>15</v>
      </c>
      <c r="Y663" s="538">
        <f xml:space="preserve"> Time!Y$10</f>
        <v>16</v>
      </c>
      <c r="Z663" s="538">
        <f xml:space="preserve"> Time!Z$10</f>
        <v>17</v>
      </c>
      <c r="AA663" s="538">
        <f xml:space="preserve"> Time!AA$10</f>
        <v>18</v>
      </c>
      <c r="AB663" s="538">
        <f xml:space="preserve"> Time!AB$10</f>
        <v>19</v>
      </c>
      <c r="AC663" s="538">
        <f xml:space="preserve"> Time!AC$10</f>
        <v>20</v>
      </c>
      <c r="AD663" s="538">
        <f xml:space="preserve"> Time!AD$10</f>
        <v>21</v>
      </c>
      <c r="AE663" s="538">
        <f xml:space="preserve"> Time!AE$10</f>
        <v>22</v>
      </c>
      <c r="AF663" s="538">
        <f xml:space="preserve"> Time!AF$10</f>
        <v>23</v>
      </c>
      <c r="AG663" s="538">
        <f xml:space="preserve"> Time!AG$10</f>
        <v>24</v>
      </c>
      <c r="AH663" s="538">
        <f xml:space="preserve"> Time!AH$10</f>
        <v>25</v>
      </c>
      <c r="AI663" s="538">
        <f xml:space="preserve"> Time!AI$10</f>
        <v>26</v>
      </c>
      <c r="AJ663" s="538">
        <f xml:space="preserve"> Time!AJ$10</f>
        <v>27</v>
      </c>
      <c r="AK663" s="538">
        <f xml:space="preserve"> Time!AK$10</f>
        <v>28</v>
      </c>
      <c r="AL663" s="538">
        <f xml:space="preserve"> Time!AL$10</f>
        <v>29</v>
      </c>
      <c r="AM663" s="538">
        <f xml:space="preserve"> Time!AM$10</f>
        <v>30</v>
      </c>
      <c r="AN663" s="538">
        <f xml:space="preserve"> Time!AN$10</f>
        <v>31</v>
      </c>
      <c r="AO663" s="538">
        <f xml:space="preserve"> Time!AO$10</f>
        <v>32</v>
      </c>
      <c r="AP663" s="538">
        <f xml:space="preserve"> Time!AP$10</f>
        <v>33</v>
      </c>
      <c r="AQ663" s="538">
        <f xml:space="preserve"> Time!AQ$10</f>
        <v>34</v>
      </c>
      <c r="AR663" s="538">
        <f xml:space="preserve"> Time!AR$10</f>
        <v>35</v>
      </c>
      <c r="AS663" s="538">
        <f xml:space="preserve"> Time!AS$10</f>
        <v>36</v>
      </c>
      <c r="AT663" s="538">
        <f xml:space="preserve"> Time!AT$10</f>
        <v>37</v>
      </c>
      <c r="AU663" s="538">
        <f xml:space="preserve"> Time!AU$10</f>
        <v>38</v>
      </c>
      <c r="AV663" s="538">
        <f xml:space="preserve"> Time!AV$10</f>
        <v>39</v>
      </c>
      <c r="AW663" s="538">
        <f xml:space="preserve"> Time!AW$10</f>
        <v>40</v>
      </c>
      <c r="AX663" s="538">
        <f xml:space="preserve"> Time!AX$10</f>
        <v>41</v>
      </c>
      <c r="AY663" s="538">
        <f xml:space="preserve"> Time!AY$10</f>
        <v>42</v>
      </c>
      <c r="AZ663" s="538">
        <f xml:space="preserve"> Time!AZ$10</f>
        <v>43</v>
      </c>
      <c r="BA663" s="538">
        <f xml:space="preserve"> Time!BA$10</f>
        <v>44</v>
      </c>
      <c r="BB663" s="538">
        <f xml:space="preserve"> Time!BB$10</f>
        <v>45</v>
      </c>
      <c r="BC663" s="538">
        <f xml:space="preserve"> Time!BC$10</f>
        <v>46</v>
      </c>
      <c r="BD663" s="538">
        <f xml:space="preserve"> Time!BD$10</f>
        <v>47</v>
      </c>
      <c r="BE663" s="538">
        <f xml:space="preserve"> Time!BE$10</f>
        <v>48</v>
      </c>
    </row>
    <row r="664" spans="1:57" hidden="1" outlineLevel="1" x14ac:dyDescent="0.2">
      <c r="E664" s="186" t="str">
        <f xml:space="preserve"> ConTime!E$56</f>
        <v>Model ops period counter - m</v>
      </c>
      <c r="F664" s="186">
        <f xml:space="preserve"> ConTime!F$56</f>
        <v>0</v>
      </c>
      <c r="G664" s="186" t="str">
        <f xml:space="preserve"> ConTime!G$56</f>
        <v>counter</v>
      </c>
      <c r="H664" s="186">
        <f xml:space="preserve"> ConTime!H$56</f>
        <v>0</v>
      </c>
      <c r="I664" s="186">
        <f xml:space="preserve"> ConTime!I$56</f>
        <v>0</v>
      </c>
      <c r="J664" s="186">
        <f xml:space="preserve"> ConTime!J$56</f>
        <v>1</v>
      </c>
      <c r="K664" s="186">
        <f xml:space="preserve"> ConTime!K$56</f>
        <v>1</v>
      </c>
      <c r="L664" s="186">
        <f xml:space="preserve"> ConTime!L$56</f>
        <v>1</v>
      </c>
      <c r="M664" s="186">
        <f xml:space="preserve"> ConTime!M$56</f>
        <v>1</v>
      </c>
      <c r="N664" s="186">
        <f xml:space="preserve"> ConTime!N$56</f>
        <v>1</v>
      </c>
      <c r="O664" s="186">
        <f xml:space="preserve"> ConTime!O$56</f>
        <v>1</v>
      </c>
      <c r="P664" s="186">
        <f xml:space="preserve"> ConTime!P$56</f>
        <v>2</v>
      </c>
      <c r="Q664" s="186">
        <f xml:space="preserve"> ConTime!Q$56</f>
        <v>2</v>
      </c>
      <c r="R664" s="186">
        <f xml:space="preserve"> ConTime!R$56</f>
        <v>2</v>
      </c>
      <c r="S664" s="186">
        <f xml:space="preserve"> ConTime!S$56</f>
        <v>2</v>
      </c>
      <c r="T664" s="186">
        <f xml:space="preserve"> ConTime!T$56</f>
        <v>2</v>
      </c>
      <c r="U664" s="186">
        <f xml:space="preserve"> ConTime!U$56</f>
        <v>2</v>
      </c>
      <c r="V664" s="186">
        <f xml:space="preserve"> ConTime!V$56</f>
        <v>3</v>
      </c>
      <c r="W664" s="186">
        <f xml:space="preserve"> ConTime!W$56</f>
        <v>3</v>
      </c>
      <c r="X664" s="186">
        <f xml:space="preserve"> ConTime!X$56</f>
        <v>3</v>
      </c>
      <c r="Y664" s="186">
        <f xml:space="preserve"> ConTime!Y$56</f>
        <v>3</v>
      </c>
      <c r="Z664" s="186">
        <f xml:space="preserve"> ConTime!Z$56</f>
        <v>3</v>
      </c>
      <c r="AA664" s="186">
        <f xml:space="preserve"> ConTime!AA$56</f>
        <v>3</v>
      </c>
      <c r="AB664" s="186">
        <f xml:space="preserve"> ConTime!AB$56</f>
        <v>4</v>
      </c>
      <c r="AC664" s="186">
        <f xml:space="preserve"> ConTime!AC$56</f>
        <v>4</v>
      </c>
      <c r="AD664" s="186">
        <f xml:space="preserve"> ConTime!AD$56</f>
        <v>4</v>
      </c>
      <c r="AE664" s="186">
        <f xml:space="preserve"> ConTime!AE$56</f>
        <v>4</v>
      </c>
      <c r="AF664" s="186">
        <f xml:space="preserve"> ConTime!AF$56</f>
        <v>4</v>
      </c>
      <c r="AG664" s="186">
        <f xml:space="preserve"> ConTime!AG$56</f>
        <v>4</v>
      </c>
      <c r="AH664" s="186">
        <f xml:space="preserve"> ConTime!AH$56</f>
        <v>5</v>
      </c>
      <c r="AI664" s="186">
        <f xml:space="preserve"> ConTime!AI$56</f>
        <v>5</v>
      </c>
      <c r="AJ664" s="186">
        <f xml:space="preserve"> ConTime!AJ$56</f>
        <v>5</v>
      </c>
      <c r="AK664" s="186">
        <f xml:space="preserve"> ConTime!AK$56</f>
        <v>5</v>
      </c>
      <c r="AL664" s="186">
        <f xml:space="preserve"> ConTime!AL$56</f>
        <v>5</v>
      </c>
      <c r="AM664" s="186">
        <f xml:space="preserve"> ConTime!AM$56</f>
        <v>5</v>
      </c>
      <c r="AN664" s="186">
        <f xml:space="preserve"> ConTime!AN$56</f>
        <v>6</v>
      </c>
      <c r="AO664" s="186">
        <f xml:space="preserve"> ConTime!AO$56</f>
        <v>6</v>
      </c>
      <c r="AP664" s="186">
        <f xml:space="preserve"> ConTime!AP$56</f>
        <v>6</v>
      </c>
      <c r="AQ664" s="186">
        <f xml:space="preserve"> ConTime!AQ$56</f>
        <v>6</v>
      </c>
      <c r="AR664" s="186">
        <f xml:space="preserve"> ConTime!AR$56</f>
        <v>6</v>
      </c>
      <c r="AS664" s="186">
        <f xml:space="preserve"> ConTime!AS$56</f>
        <v>6</v>
      </c>
      <c r="AT664" s="186">
        <f xml:space="preserve"> ConTime!AT$56</f>
        <v>7</v>
      </c>
      <c r="AU664" s="186">
        <f xml:space="preserve"> ConTime!AU$56</f>
        <v>7</v>
      </c>
      <c r="AV664" s="186">
        <f xml:space="preserve"> ConTime!AV$56</f>
        <v>7</v>
      </c>
      <c r="AW664" s="186">
        <f xml:space="preserve"> ConTime!AW$56</f>
        <v>7</v>
      </c>
      <c r="AX664" s="186">
        <f xml:space="preserve"> ConTime!AX$56</f>
        <v>7</v>
      </c>
      <c r="AY664" s="186">
        <f xml:space="preserve"> ConTime!AY$56</f>
        <v>7</v>
      </c>
      <c r="AZ664" s="186">
        <f xml:space="preserve"> ConTime!AZ$56</f>
        <v>8</v>
      </c>
      <c r="BA664" s="186">
        <f xml:space="preserve"> ConTime!BA$56</f>
        <v>8</v>
      </c>
      <c r="BB664" s="186">
        <f xml:space="preserve"> ConTime!BB$56</f>
        <v>8</v>
      </c>
      <c r="BC664" s="186">
        <f xml:space="preserve"> ConTime!BC$56</f>
        <v>8</v>
      </c>
      <c r="BD664" s="186">
        <f xml:space="preserve"> ConTime!BD$56</f>
        <v>8</v>
      </c>
      <c r="BE664" s="186">
        <f xml:space="preserve"> ConTime!BE$56</f>
        <v>8</v>
      </c>
    </row>
    <row r="665" spans="1:57" hidden="1" outlineLevel="1" x14ac:dyDescent="0.2">
      <c r="E665" s="198" t="str">
        <f t="shared" ref="E665:AJ665" si="1201" xml:space="preserve"> E$116</f>
        <v>Equity bridge drawdown - m</v>
      </c>
      <c r="F665" s="198">
        <f t="shared" si="1201"/>
        <v>0</v>
      </c>
      <c r="G665" s="198" t="str">
        <f t="shared" si="1201"/>
        <v>$ 000s</v>
      </c>
      <c r="H665" s="198">
        <f t="shared" si="1201"/>
        <v>86318.253106861201</v>
      </c>
      <c r="I665" s="198">
        <f t="shared" si="1201"/>
        <v>0</v>
      </c>
      <c r="J665" s="198">
        <f t="shared" si="1201"/>
        <v>0</v>
      </c>
      <c r="K665" s="198">
        <f t="shared" si="1201"/>
        <v>0</v>
      </c>
      <c r="L665" s="198">
        <f t="shared" si="1201"/>
        <v>0</v>
      </c>
      <c r="M665" s="198">
        <f t="shared" si="1201"/>
        <v>14843.424770244494</v>
      </c>
      <c r="N665" s="198">
        <f t="shared" si="1201"/>
        <v>11841.327808384644</v>
      </c>
      <c r="O665" s="198">
        <f t="shared" si="1201"/>
        <v>11870.259742712651</v>
      </c>
      <c r="P665" s="198">
        <f t="shared" si="1201"/>
        <v>11907.687320687248</v>
      </c>
      <c r="Q665" s="198">
        <f t="shared" si="1201"/>
        <v>11941.012306690816</v>
      </c>
      <c r="R665" s="198">
        <f t="shared" si="1201"/>
        <v>11966.998590891828</v>
      </c>
      <c r="S665" s="198">
        <f t="shared" si="1201"/>
        <v>11947.542567249518</v>
      </c>
      <c r="T665" s="198">
        <f t="shared" si="1201"/>
        <v>0</v>
      </c>
      <c r="U665" s="198">
        <f t="shared" si="1201"/>
        <v>0</v>
      </c>
      <c r="V665" s="198">
        <f t="shared" si="1201"/>
        <v>0</v>
      </c>
      <c r="W665" s="198">
        <f t="shared" si="1201"/>
        <v>0</v>
      </c>
      <c r="X665" s="198">
        <f t="shared" si="1201"/>
        <v>0</v>
      </c>
      <c r="Y665" s="198">
        <f t="shared" si="1201"/>
        <v>0</v>
      </c>
      <c r="Z665" s="198">
        <f t="shared" si="1201"/>
        <v>0</v>
      </c>
      <c r="AA665" s="198">
        <f t="shared" si="1201"/>
        <v>0</v>
      </c>
      <c r="AB665" s="198">
        <f t="shared" si="1201"/>
        <v>0</v>
      </c>
      <c r="AC665" s="198">
        <f t="shared" si="1201"/>
        <v>0</v>
      </c>
      <c r="AD665" s="198">
        <f t="shared" si="1201"/>
        <v>0</v>
      </c>
      <c r="AE665" s="198">
        <f t="shared" si="1201"/>
        <v>0</v>
      </c>
      <c r="AF665" s="198">
        <f t="shared" si="1201"/>
        <v>0</v>
      </c>
      <c r="AG665" s="198">
        <f t="shared" si="1201"/>
        <v>0</v>
      </c>
      <c r="AH665" s="198">
        <f t="shared" si="1201"/>
        <v>0</v>
      </c>
      <c r="AI665" s="198">
        <f t="shared" si="1201"/>
        <v>0</v>
      </c>
      <c r="AJ665" s="198">
        <f t="shared" si="1201"/>
        <v>0</v>
      </c>
      <c r="AK665" s="198">
        <f t="shared" ref="AK665:BE665" si="1202" xml:space="preserve"> AK$116</f>
        <v>0</v>
      </c>
      <c r="AL665" s="198">
        <f t="shared" si="1202"/>
        <v>0</v>
      </c>
      <c r="AM665" s="198">
        <f t="shared" si="1202"/>
        <v>0</v>
      </c>
      <c r="AN665" s="198">
        <f t="shared" si="1202"/>
        <v>0</v>
      </c>
      <c r="AO665" s="198">
        <f t="shared" si="1202"/>
        <v>0</v>
      </c>
      <c r="AP665" s="198">
        <f t="shared" si="1202"/>
        <v>0</v>
      </c>
      <c r="AQ665" s="198">
        <f t="shared" si="1202"/>
        <v>0</v>
      </c>
      <c r="AR665" s="198">
        <f t="shared" si="1202"/>
        <v>0</v>
      </c>
      <c r="AS665" s="198">
        <f t="shared" si="1202"/>
        <v>0</v>
      </c>
      <c r="AT665" s="198">
        <f t="shared" si="1202"/>
        <v>0</v>
      </c>
      <c r="AU665" s="198">
        <f t="shared" si="1202"/>
        <v>0</v>
      </c>
      <c r="AV665" s="198">
        <f t="shared" si="1202"/>
        <v>0</v>
      </c>
      <c r="AW665" s="198">
        <f t="shared" si="1202"/>
        <v>0</v>
      </c>
      <c r="AX665" s="198">
        <f t="shared" si="1202"/>
        <v>0</v>
      </c>
      <c r="AY665" s="198">
        <f t="shared" si="1202"/>
        <v>0</v>
      </c>
      <c r="AZ665" s="198">
        <f t="shared" si="1202"/>
        <v>0</v>
      </c>
      <c r="BA665" s="198">
        <f t="shared" si="1202"/>
        <v>0</v>
      </c>
      <c r="BB665" s="198">
        <f t="shared" si="1202"/>
        <v>0</v>
      </c>
      <c r="BC665" s="198">
        <f t="shared" si="1202"/>
        <v>0</v>
      </c>
      <c r="BD665" s="198">
        <f t="shared" si="1202"/>
        <v>0</v>
      </c>
      <c r="BE665" s="198">
        <f t="shared" si="1202"/>
        <v>0</v>
      </c>
    </row>
    <row r="666" spans="1:57" s="629" customFormat="1" hidden="1" outlineLevel="1" x14ac:dyDescent="0.2">
      <c r="A666" s="904"/>
      <c r="B666" s="904"/>
      <c r="C666" s="905"/>
      <c r="D666" s="906"/>
      <c r="E666" s="907" t="s">
        <v>514</v>
      </c>
      <c r="F666" s="907"/>
      <c r="G666" s="907" t="str">
        <f xml:space="preserve"> SMU</f>
        <v>$ 000s</v>
      </c>
      <c r="H666" s="907">
        <f xml:space="preserve"> SUM(J666:BE666)</f>
        <v>86318.253106861201</v>
      </c>
      <c r="I666" s="908"/>
      <c r="J666" s="907">
        <f t="shared" ref="J666:BE666" si="1203" xml:space="preserve"> SUMIF($J664:$BE664, J663, $J665:$BE665)</f>
        <v>38555.01232134179</v>
      </c>
      <c r="K666" s="907">
        <f t="shared" si="1203"/>
        <v>47763.240785519411</v>
      </c>
      <c r="L666" s="907">
        <f t="shared" si="1203"/>
        <v>0</v>
      </c>
      <c r="M666" s="907">
        <f t="shared" si="1203"/>
        <v>0</v>
      </c>
      <c r="N666" s="907">
        <f t="shared" si="1203"/>
        <v>0</v>
      </c>
      <c r="O666" s="907">
        <f t="shared" si="1203"/>
        <v>0</v>
      </c>
      <c r="P666" s="907">
        <f t="shared" si="1203"/>
        <v>0</v>
      </c>
      <c r="Q666" s="907">
        <f t="shared" si="1203"/>
        <v>0</v>
      </c>
      <c r="R666" s="907">
        <f t="shared" si="1203"/>
        <v>0</v>
      </c>
      <c r="S666" s="907">
        <f t="shared" si="1203"/>
        <v>0</v>
      </c>
      <c r="T666" s="907">
        <f t="shared" si="1203"/>
        <v>0</v>
      </c>
      <c r="U666" s="907">
        <f t="shared" si="1203"/>
        <v>0</v>
      </c>
      <c r="V666" s="907">
        <f t="shared" si="1203"/>
        <v>0</v>
      </c>
      <c r="W666" s="907">
        <f t="shared" si="1203"/>
        <v>0</v>
      </c>
      <c r="X666" s="907">
        <f t="shared" si="1203"/>
        <v>0</v>
      </c>
      <c r="Y666" s="907">
        <f t="shared" si="1203"/>
        <v>0</v>
      </c>
      <c r="Z666" s="907">
        <f t="shared" si="1203"/>
        <v>0</v>
      </c>
      <c r="AA666" s="907">
        <f t="shared" si="1203"/>
        <v>0</v>
      </c>
      <c r="AB666" s="907">
        <f t="shared" si="1203"/>
        <v>0</v>
      </c>
      <c r="AC666" s="907">
        <f t="shared" si="1203"/>
        <v>0</v>
      </c>
      <c r="AD666" s="907">
        <f t="shared" si="1203"/>
        <v>0</v>
      </c>
      <c r="AE666" s="907">
        <f t="shared" si="1203"/>
        <v>0</v>
      </c>
      <c r="AF666" s="907">
        <f t="shared" si="1203"/>
        <v>0</v>
      </c>
      <c r="AG666" s="907">
        <f t="shared" si="1203"/>
        <v>0</v>
      </c>
      <c r="AH666" s="907">
        <f t="shared" si="1203"/>
        <v>0</v>
      </c>
      <c r="AI666" s="907">
        <f t="shared" si="1203"/>
        <v>0</v>
      </c>
      <c r="AJ666" s="907">
        <f t="shared" si="1203"/>
        <v>0</v>
      </c>
      <c r="AK666" s="907">
        <f t="shared" si="1203"/>
        <v>0</v>
      </c>
      <c r="AL666" s="907">
        <f t="shared" si="1203"/>
        <v>0</v>
      </c>
      <c r="AM666" s="907">
        <f t="shared" si="1203"/>
        <v>0</v>
      </c>
      <c r="AN666" s="907">
        <f t="shared" si="1203"/>
        <v>0</v>
      </c>
      <c r="AO666" s="907">
        <f t="shared" si="1203"/>
        <v>0</v>
      </c>
      <c r="AP666" s="907">
        <f t="shared" si="1203"/>
        <v>0</v>
      </c>
      <c r="AQ666" s="907">
        <f t="shared" si="1203"/>
        <v>0</v>
      </c>
      <c r="AR666" s="907">
        <f t="shared" si="1203"/>
        <v>0</v>
      </c>
      <c r="AS666" s="907">
        <f t="shared" si="1203"/>
        <v>0</v>
      </c>
      <c r="AT666" s="907">
        <f t="shared" si="1203"/>
        <v>0</v>
      </c>
      <c r="AU666" s="907">
        <f t="shared" si="1203"/>
        <v>0</v>
      </c>
      <c r="AV666" s="907">
        <f t="shared" si="1203"/>
        <v>0</v>
      </c>
      <c r="AW666" s="907">
        <f t="shared" si="1203"/>
        <v>0</v>
      </c>
      <c r="AX666" s="907">
        <f t="shared" si="1203"/>
        <v>0</v>
      </c>
      <c r="AY666" s="907">
        <f t="shared" si="1203"/>
        <v>0</v>
      </c>
      <c r="AZ666" s="907">
        <f t="shared" si="1203"/>
        <v>0</v>
      </c>
      <c r="BA666" s="907">
        <f t="shared" si="1203"/>
        <v>0</v>
      </c>
      <c r="BB666" s="907">
        <f t="shared" si="1203"/>
        <v>0</v>
      </c>
      <c r="BC666" s="907">
        <f t="shared" si="1203"/>
        <v>0</v>
      </c>
      <c r="BD666" s="907">
        <f t="shared" si="1203"/>
        <v>0</v>
      </c>
      <c r="BE666" s="907">
        <f t="shared" si="1203"/>
        <v>0</v>
      </c>
    </row>
    <row r="667" spans="1:57" s="188" customFormat="1" hidden="1" outlineLevel="1" x14ac:dyDescent="0.2">
      <c r="A667" s="141"/>
      <c r="B667" s="141"/>
      <c r="C667" s="142"/>
      <c r="D667" s="143"/>
      <c r="E667" s="187"/>
      <c r="F667" s="187"/>
      <c r="G667" s="187"/>
      <c r="H667" s="187"/>
      <c r="I667" s="144"/>
      <c r="J667" s="187"/>
      <c r="K667" s="187"/>
      <c r="L667" s="187"/>
      <c r="M667" s="187"/>
      <c r="N667" s="187"/>
      <c r="O667" s="187"/>
      <c r="P667" s="187"/>
      <c r="Q667" s="187"/>
      <c r="R667" s="187"/>
      <c r="S667" s="187"/>
      <c r="T667" s="187"/>
      <c r="U667" s="187"/>
      <c r="V667" s="187"/>
      <c r="W667" s="187"/>
      <c r="X667" s="187"/>
      <c r="Y667" s="187"/>
      <c r="Z667" s="187"/>
      <c r="AA667" s="187"/>
      <c r="AB667" s="187"/>
      <c r="AC667" s="187"/>
      <c r="AD667" s="187"/>
      <c r="AE667" s="187"/>
      <c r="AF667" s="187"/>
      <c r="AG667" s="187"/>
      <c r="AH667" s="187"/>
      <c r="AI667" s="187"/>
      <c r="AJ667" s="187"/>
      <c r="AK667" s="187"/>
      <c r="AL667" s="187"/>
      <c r="AM667" s="187"/>
      <c r="AN667" s="187"/>
      <c r="AO667" s="187"/>
      <c r="AP667" s="187"/>
      <c r="AQ667" s="187"/>
      <c r="AR667" s="187"/>
      <c r="AS667" s="187"/>
      <c r="AT667" s="187"/>
      <c r="AU667" s="187"/>
      <c r="AV667" s="187"/>
      <c r="AW667" s="187"/>
      <c r="AX667" s="187"/>
      <c r="AY667" s="187"/>
      <c r="AZ667" s="187"/>
      <c r="BA667" s="187"/>
      <c r="BB667" s="187"/>
      <c r="BC667" s="187"/>
      <c r="BD667" s="187"/>
      <c r="BE667" s="187"/>
    </row>
    <row r="668" spans="1:57" hidden="1" outlineLevel="1" x14ac:dyDescent="0.2">
      <c r="E668" s="538" t="str">
        <f xml:space="preserve"> Time!E$10</f>
        <v>Model column counter</v>
      </c>
      <c r="F668" s="538">
        <f xml:space="preserve"> Time!F$10</f>
        <v>0</v>
      </c>
      <c r="G668" s="538" t="str">
        <f xml:space="preserve"> Time!G$10</f>
        <v>counter</v>
      </c>
      <c r="H668" s="538">
        <f xml:space="preserve"> Time!H$10</f>
        <v>0</v>
      </c>
      <c r="I668" s="538">
        <f xml:space="preserve"> Time!I$10</f>
        <v>0</v>
      </c>
      <c r="J668" s="538">
        <f xml:space="preserve"> Time!J$10</f>
        <v>1</v>
      </c>
      <c r="K668" s="538">
        <f xml:space="preserve"> Time!K$10</f>
        <v>2</v>
      </c>
      <c r="L668" s="538">
        <f xml:space="preserve"> Time!L$10</f>
        <v>3</v>
      </c>
      <c r="M668" s="538">
        <f xml:space="preserve"> Time!M$10</f>
        <v>4</v>
      </c>
      <c r="N668" s="538">
        <f xml:space="preserve"> Time!N$10</f>
        <v>5</v>
      </c>
      <c r="O668" s="538">
        <f xml:space="preserve"> Time!O$10</f>
        <v>6</v>
      </c>
      <c r="P668" s="538">
        <f xml:space="preserve"> Time!P$10</f>
        <v>7</v>
      </c>
      <c r="Q668" s="538">
        <f xml:space="preserve"> Time!Q$10</f>
        <v>8</v>
      </c>
      <c r="R668" s="538">
        <f xml:space="preserve"> Time!R$10</f>
        <v>9</v>
      </c>
      <c r="S668" s="538">
        <f xml:space="preserve"> Time!S$10</f>
        <v>10</v>
      </c>
      <c r="T668" s="538">
        <f xml:space="preserve"> Time!T$10</f>
        <v>11</v>
      </c>
      <c r="U668" s="538">
        <f xml:space="preserve"> Time!U$10</f>
        <v>12</v>
      </c>
      <c r="V668" s="538">
        <f xml:space="preserve"> Time!V$10</f>
        <v>13</v>
      </c>
      <c r="W668" s="538">
        <f xml:space="preserve"> Time!W$10</f>
        <v>14</v>
      </c>
      <c r="X668" s="538">
        <f xml:space="preserve"> Time!X$10</f>
        <v>15</v>
      </c>
      <c r="Y668" s="538">
        <f xml:space="preserve"> Time!Y$10</f>
        <v>16</v>
      </c>
      <c r="Z668" s="538">
        <f xml:space="preserve"> Time!Z$10</f>
        <v>17</v>
      </c>
      <c r="AA668" s="538">
        <f xml:space="preserve"> Time!AA$10</f>
        <v>18</v>
      </c>
      <c r="AB668" s="538">
        <f xml:space="preserve"> Time!AB$10</f>
        <v>19</v>
      </c>
      <c r="AC668" s="538">
        <f xml:space="preserve"> Time!AC$10</f>
        <v>20</v>
      </c>
      <c r="AD668" s="538">
        <f xml:space="preserve"> Time!AD$10</f>
        <v>21</v>
      </c>
      <c r="AE668" s="538">
        <f xml:space="preserve"> Time!AE$10</f>
        <v>22</v>
      </c>
      <c r="AF668" s="538">
        <f xml:space="preserve"> Time!AF$10</f>
        <v>23</v>
      </c>
      <c r="AG668" s="538">
        <f xml:space="preserve"> Time!AG$10</f>
        <v>24</v>
      </c>
      <c r="AH668" s="538">
        <f xml:space="preserve"> Time!AH$10</f>
        <v>25</v>
      </c>
      <c r="AI668" s="538">
        <f xml:space="preserve"> Time!AI$10</f>
        <v>26</v>
      </c>
      <c r="AJ668" s="538">
        <f xml:space="preserve"> Time!AJ$10</f>
        <v>27</v>
      </c>
      <c r="AK668" s="538">
        <f xml:space="preserve"> Time!AK$10</f>
        <v>28</v>
      </c>
      <c r="AL668" s="538">
        <f xml:space="preserve"> Time!AL$10</f>
        <v>29</v>
      </c>
      <c r="AM668" s="538">
        <f xml:space="preserve"> Time!AM$10</f>
        <v>30</v>
      </c>
      <c r="AN668" s="538">
        <f xml:space="preserve"> Time!AN$10</f>
        <v>31</v>
      </c>
      <c r="AO668" s="538">
        <f xml:space="preserve"> Time!AO$10</f>
        <v>32</v>
      </c>
      <c r="AP668" s="538">
        <f xml:space="preserve"> Time!AP$10</f>
        <v>33</v>
      </c>
      <c r="AQ668" s="538">
        <f xml:space="preserve"> Time!AQ$10</f>
        <v>34</v>
      </c>
      <c r="AR668" s="538">
        <f xml:space="preserve"> Time!AR$10</f>
        <v>35</v>
      </c>
      <c r="AS668" s="538">
        <f xml:space="preserve"> Time!AS$10</f>
        <v>36</v>
      </c>
      <c r="AT668" s="538">
        <f xml:space="preserve"> Time!AT$10</f>
        <v>37</v>
      </c>
      <c r="AU668" s="538">
        <f xml:space="preserve"> Time!AU$10</f>
        <v>38</v>
      </c>
      <c r="AV668" s="538">
        <f xml:space="preserve"> Time!AV$10</f>
        <v>39</v>
      </c>
      <c r="AW668" s="538">
        <f xml:space="preserve"> Time!AW$10</f>
        <v>40</v>
      </c>
      <c r="AX668" s="538">
        <f xml:space="preserve"> Time!AX$10</f>
        <v>41</v>
      </c>
      <c r="AY668" s="538">
        <f xml:space="preserve"> Time!AY$10</f>
        <v>42</v>
      </c>
      <c r="AZ668" s="538">
        <f xml:space="preserve"> Time!AZ$10</f>
        <v>43</v>
      </c>
      <c r="BA668" s="538">
        <f xml:space="preserve"> Time!BA$10</f>
        <v>44</v>
      </c>
      <c r="BB668" s="538">
        <f xml:space="preserve"> Time!BB$10</f>
        <v>45</v>
      </c>
      <c r="BC668" s="538">
        <f xml:space="preserve"> Time!BC$10</f>
        <v>46</v>
      </c>
      <c r="BD668" s="538">
        <f xml:space="preserve"> Time!BD$10</f>
        <v>47</v>
      </c>
      <c r="BE668" s="538">
        <f xml:space="preserve"> Time!BE$10</f>
        <v>48</v>
      </c>
    </row>
    <row r="669" spans="1:57" hidden="1" outlineLevel="1" x14ac:dyDescent="0.2">
      <c r="E669" s="186" t="str">
        <f xml:space="preserve"> ConTime!E$56</f>
        <v>Model ops period counter - m</v>
      </c>
      <c r="F669" s="186">
        <f xml:space="preserve"> ConTime!F$56</f>
        <v>0</v>
      </c>
      <c r="G669" s="186" t="str">
        <f xml:space="preserve"> ConTime!G$56</f>
        <v>counter</v>
      </c>
      <c r="H669" s="186">
        <f xml:space="preserve"> ConTime!H$56</f>
        <v>0</v>
      </c>
      <c r="I669" s="186">
        <f xml:space="preserve"> ConTime!I$56</f>
        <v>0</v>
      </c>
      <c r="J669" s="186">
        <f xml:space="preserve"> ConTime!J$56</f>
        <v>1</v>
      </c>
      <c r="K669" s="186">
        <f xml:space="preserve"> ConTime!K$56</f>
        <v>1</v>
      </c>
      <c r="L669" s="186">
        <f xml:space="preserve"> ConTime!L$56</f>
        <v>1</v>
      </c>
      <c r="M669" s="186">
        <f xml:space="preserve"> ConTime!M$56</f>
        <v>1</v>
      </c>
      <c r="N669" s="186">
        <f xml:space="preserve"> ConTime!N$56</f>
        <v>1</v>
      </c>
      <c r="O669" s="186">
        <f xml:space="preserve"> ConTime!O$56</f>
        <v>1</v>
      </c>
      <c r="P669" s="186">
        <f xml:space="preserve"> ConTime!P$56</f>
        <v>2</v>
      </c>
      <c r="Q669" s="186">
        <f xml:space="preserve"> ConTime!Q$56</f>
        <v>2</v>
      </c>
      <c r="R669" s="186">
        <f xml:space="preserve"> ConTime!R$56</f>
        <v>2</v>
      </c>
      <c r="S669" s="186">
        <f xml:space="preserve"> ConTime!S$56</f>
        <v>2</v>
      </c>
      <c r="T669" s="186">
        <f xml:space="preserve"> ConTime!T$56</f>
        <v>2</v>
      </c>
      <c r="U669" s="186">
        <f xml:space="preserve"> ConTime!U$56</f>
        <v>2</v>
      </c>
      <c r="V669" s="186">
        <f xml:space="preserve"> ConTime!V$56</f>
        <v>3</v>
      </c>
      <c r="W669" s="186">
        <f xml:space="preserve"> ConTime!W$56</f>
        <v>3</v>
      </c>
      <c r="X669" s="186">
        <f xml:space="preserve"> ConTime!X$56</f>
        <v>3</v>
      </c>
      <c r="Y669" s="186">
        <f xml:space="preserve"> ConTime!Y$56</f>
        <v>3</v>
      </c>
      <c r="Z669" s="186">
        <f xml:space="preserve"> ConTime!Z$56</f>
        <v>3</v>
      </c>
      <c r="AA669" s="186">
        <f xml:space="preserve"> ConTime!AA$56</f>
        <v>3</v>
      </c>
      <c r="AB669" s="186">
        <f xml:space="preserve"> ConTime!AB$56</f>
        <v>4</v>
      </c>
      <c r="AC669" s="186">
        <f xml:space="preserve"> ConTime!AC$56</f>
        <v>4</v>
      </c>
      <c r="AD669" s="186">
        <f xml:space="preserve"> ConTime!AD$56</f>
        <v>4</v>
      </c>
      <c r="AE669" s="186">
        <f xml:space="preserve"> ConTime!AE$56</f>
        <v>4</v>
      </c>
      <c r="AF669" s="186">
        <f xml:space="preserve"> ConTime!AF$56</f>
        <v>4</v>
      </c>
      <c r="AG669" s="186">
        <f xml:space="preserve"> ConTime!AG$56</f>
        <v>4</v>
      </c>
      <c r="AH669" s="186">
        <f xml:space="preserve"> ConTime!AH$56</f>
        <v>5</v>
      </c>
      <c r="AI669" s="186">
        <f xml:space="preserve"> ConTime!AI$56</f>
        <v>5</v>
      </c>
      <c r="AJ669" s="186">
        <f xml:space="preserve"> ConTime!AJ$56</f>
        <v>5</v>
      </c>
      <c r="AK669" s="186">
        <f xml:space="preserve"> ConTime!AK$56</f>
        <v>5</v>
      </c>
      <c r="AL669" s="186">
        <f xml:space="preserve"> ConTime!AL$56</f>
        <v>5</v>
      </c>
      <c r="AM669" s="186">
        <f xml:space="preserve"> ConTime!AM$56</f>
        <v>5</v>
      </c>
      <c r="AN669" s="186">
        <f xml:space="preserve"> ConTime!AN$56</f>
        <v>6</v>
      </c>
      <c r="AO669" s="186">
        <f xml:space="preserve"> ConTime!AO$56</f>
        <v>6</v>
      </c>
      <c r="AP669" s="186">
        <f xml:space="preserve"> ConTime!AP$56</f>
        <v>6</v>
      </c>
      <c r="AQ669" s="186">
        <f xml:space="preserve"> ConTime!AQ$56</f>
        <v>6</v>
      </c>
      <c r="AR669" s="186">
        <f xml:space="preserve"> ConTime!AR$56</f>
        <v>6</v>
      </c>
      <c r="AS669" s="186">
        <f xml:space="preserve"> ConTime!AS$56</f>
        <v>6</v>
      </c>
      <c r="AT669" s="186">
        <f xml:space="preserve"> ConTime!AT$56</f>
        <v>7</v>
      </c>
      <c r="AU669" s="186">
        <f xml:space="preserve"> ConTime!AU$56</f>
        <v>7</v>
      </c>
      <c r="AV669" s="186">
        <f xml:space="preserve"> ConTime!AV$56</f>
        <v>7</v>
      </c>
      <c r="AW669" s="186">
        <f xml:space="preserve"> ConTime!AW$56</f>
        <v>7</v>
      </c>
      <c r="AX669" s="186">
        <f xml:space="preserve"> ConTime!AX$56</f>
        <v>7</v>
      </c>
      <c r="AY669" s="186">
        <f xml:space="preserve"> ConTime!AY$56</f>
        <v>7</v>
      </c>
      <c r="AZ669" s="186">
        <f xml:space="preserve"> ConTime!AZ$56</f>
        <v>8</v>
      </c>
      <c r="BA669" s="186">
        <f xml:space="preserve"> ConTime!BA$56</f>
        <v>8</v>
      </c>
      <c r="BB669" s="186">
        <f xml:space="preserve"> ConTime!BB$56</f>
        <v>8</v>
      </c>
      <c r="BC669" s="186">
        <f xml:space="preserve"> ConTime!BC$56</f>
        <v>8</v>
      </c>
      <c r="BD669" s="186">
        <f xml:space="preserve"> ConTime!BD$56</f>
        <v>8</v>
      </c>
      <c r="BE669" s="186">
        <f xml:space="preserve"> ConTime!BE$56</f>
        <v>8</v>
      </c>
    </row>
    <row r="670" spans="1:57" hidden="1" outlineLevel="1" x14ac:dyDescent="0.2">
      <c r="E670" s="198" t="str">
        <f t="shared" ref="E670:AJ670" si="1204" xml:space="preserve"> E$208</f>
        <v>Equity bridge interest and fees rolled up - m</v>
      </c>
      <c r="F670" s="198">
        <f t="shared" si="1204"/>
        <v>0</v>
      </c>
      <c r="G670" s="198" t="str">
        <f t="shared" si="1204"/>
        <v>$ 000s</v>
      </c>
      <c r="H670" s="198">
        <f t="shared" si="1204"/>
        <v>0</v>
      </c>
      <c r="I670" s="198">
        <f t="shared" si="1204"/>
        <v>0</v>
      </c>
      <c r="J670" s="198">
        <f t="shared" si="1204"/>
        <v>0</v>
      </c>
      <c r="K670" s="198">
        <f t="shared" si="1204"/>
        <v>0</v>
      </c>
      <c r="L670" s="198">
        <f t="shared" si="1204"/>
        <v>0</v>
      </c>
      <c r="M670" s="198">
        <f t="shared" si="1204"/>
        <v>0</v>
      </c>
      <c r="N670" s="198">
        <f t="shared" si="1204"/>
        <v>0</v>
      </c>
      <c r="O670" s="198">
        <f t="shared" si="1204"/>
        <v>0</v>
      </c>
      <c r="P670" s="198">
        <f t="shared" si="1204"/>
        <v>0</v>
      </c>
      <c r="Q670" s="198">
        <f t="shared" si="1204"/>
        <v>0</v>
      </c>
      <c r="R670" s="198">
        <f t="shared" si="1204"/>
        <v>0</v>
      </c>
      <c r="S670" s="198">
        <f t="shared" si="1204"/>
        <v>0</v>
      </c>
      <c r="T670" s="198">
        <f t="shared" si="1204"/>
        <v>0</v>
      </c>
      <c r="U670" s="198">
        <f t="shared" si="1204"/>
        <v>0</v>
      </c>
      <c r="V670" s="198">
        <f t="shared" si="1204"/>
        <v>0</v>
      </c>
      <c r="W670" s="198">
        <f t="shared" si="1204"/>
        <v>0</v>
      </c>
      <c r="X670" s="198">
        <f t="shared" si="1204"/>
        <v>0</v>
      </c>
      <c r="Y670" s="198">
        <f t="shared" si="1204"/>
        <v>0</v>
      </c>
      <c r="Z670" s="198">
        <f t="shared" si="1204"/>
        <v>0</v>
      </c>
      <c r="AA670" s="198">
        <f t="shared" si="1204"/>
        <v>0</v>
      </c>
      <c r="AB670" s="198">
        <f t="shared" si="1204"/>
        <v>0</v>
      </c>
      <c r="AC670" s="198">
        <f t="shared" si="1204"/>
        <v>0</v>
      </c>
      <c r="AD670" s="198">
        <f t="shared" si="1204"/>
        <v>0</v>
      </c>
      <c r="AE670" s="198">
        <f t="shared" si="1204"/>
        <v>0</v>
      </c>
      <c r="AF670" s="198">
        <f t="shared" si="1204"/>
        <v>0</v>
      </c>
      <c r="AG670" s="198">
        <f t="shared" si="1204"/>
        <v>0</v>
      </c>
      <c r="AH670" s="198">
        <f t="shared" si="1204"/>
        <v>0</v>
      </c>
      <c r="AI670" s="198">
        <f t="shared" si="1204"/>
        <v>0</v>
      </c>
      <c r="AJ670" s="198">
        <f t="shared" si="1204"/>
        <v>0</v>
      </c>
      <c r="AK670" s="198">
        <f t="shared" ref="AK670:BE670" si="1205" xml:space="preserve"> AK$208</f>
        <v>0</v>
      </c>
      <c r="AL670" s="198">
        <f t="shared" si="1205"/>
        <v>0</v>
      </c>
      <c r="AM670" s="198">
        <f t="shared" si="1205"/>
        <v>0</v>
      </c>
      <c r="AN670" s="198">
        <f t="shared" si="1205"/>
        <v>0</v>
      </c>
      <c r="AO670" s="198">
        <f t="shared" si="1205"/>
        <v>0</v>
      </c>
      <c r="AP670" s="198">
        <f t="shared" si="1205"/>
        <v>0</v>
      </c>
      <c r="AQ670" s="198">
        <f t="shared" si="1205"/>
        <v>0</v>
      </c>
      <c r="AR670" s="198">
        <f t="shared" si="1205"/>
        <v>0</v>
      </c>
      <c r="AS670" s="198">
        <f t="shared" si="1205"/>
        <v>0</v>
      </c>
      <c r="AT670" s="198">
        <f t="shared" si="1205"/>
        <v>0</v>
      </c>
      <c r="AU670" s="198">
        <f t="shared" si="1205"/>
        <v>0</v>
      </c>
      <c r="AV670" s="198">
        <f t="shared" si="1205"/>
        <v>0</v>
      </c>
      <c r="AW670" s="198">
        <f t="shared" si="1205"/>
        <v>0</v>
      </c>
      <c r="AX670" s="198">
        <f t="shared" si="1205"/>
        <v>0</v>
      </c>
      <c r="AY670" s="198">
        <f t="shared" si="1205"/>
        <v>0</v>
      </c>
      <c r="AZ670" s="198">
        <f t="shared" si="1205"/>
        <v>0</v>
      </c>
      <c r="BA670" s="198">
        <f t="shared" si="1205"/>
        <v>0</v>
      </c>
      <c r="BB670" s="198">
        <f t="shared" si="1205"/>
        <v>0</v>
      </c>
      <c r="BC670" s="198">
        <f t="shared" si="1205"/>
        <v>0</v>
      </c>
      <c r="BD670" s="198">
        <f t="shared" si="1205"/>
        <v>0</v>
      </c>
      <c r="BE670" s="198">
        <f t="shared" si="1205"/>
        <v>0</v>
      </c>
    </row>
    <row r="671" spans="1:57" s="629" customFormat="1" hidden="1" outlineLevel="1" x14ac:dyDescent="0.2">
      <c r="A671" s="904"/>
      <c r="B671" s="904"/>
      <c r="C671" s="905"/>
      <c r="D671" s="906"/>
      <c r="E671" s="908" t="s">
        <v>537</v>
      </c>
      <c r="F671" s="907"/>
      <c r="G671" s="907" t="str">
        <f xml:space="preserve"> SMU</f>
        <v>$ 000s</v>
      </c>
      <c r="H671" s="907">
        <f xml:space="preserve"> SUM(J671:BE671)</f>
        <v>0</v>
      </c>
      <c r="I671" s="908"/>
      <c r="J671" s="907">
        <f t="shared" ref="J671:BE671" si="1206" xml:space="preserve"> SUMIF($J669:$BE669, J668, $J670:$BE670)</f>
        <v>0</v>
      </c>
      <c r="K671" s="907">
        <f t="shared" si="1206"/>
        <v>0</v>
      </c>
      <c r="L671" s="907">
        <f t="shared" si="1206"/>
        <v>0</v>
      </c>
      <c r="M671" s="907">
        <f t="shared" si="1206"/>
        <v>0</v>
      </c>
      <c r="N671" s="907">
        <f t="shared" si="1206"/>
        <v>0</v>
      </c>
      <c r="O671" s="907">
        <f t="shared" si="1206"/>
        <v>0</v>
      </c>
      <c r="P671" s="907">
        <f t="shared" si="1206"/>
        <v>0</v>
      </c>
      <c r="Q671" s="907">
        <f t="shared" si="1206"/>
        <v>0</v>
      </c>
      <c r="R671" s="907">
        <f t="shared" si="1206"/>
        <v>0</v>
      </c>
      <c r="S671" s="907">
        <f t="shared" si="1206"/>
        <v>0</v>
      </c>
      <c r="T671" s="907">
        <f t="shared" si="1206"/>
        <v>0</v>
      </c>
      <c r="U671" s="907">
        <f t="shared" si="1206"/>
        <v>0</v>
      </c>
      <c r="V671" s="907">
        <f t="shared" si="1206"/>
        <v>0</v>
      </c>
      <c r="W671" s="907">
        <f t="shared" si="1206"/>
        <v>0</v>
      </c>
      <c r="X671" s="907">
        <f t="shared" si="1206"/>
        <v>0</v>
      </c>
      <c r="Y671" s="907">
        <f t="shared" si="1206"/>
        <v>0</v>
      </c>
      <c r="Z671" s="907">
        <f t="shared" si="1206"/>
        <v>0</v>
      </c>
      <c r="AA671" s="907">
        <f t="shared" si="1206"/>
        <v>0</v>
      </c>
      <c r="AB671" s="907">
        <f t="shared" si="1206"/>
        <v>0</v>
      </c>
      <c r="AC671" s="907">
        <f t="shared" si="1206"/>
        <v>0</v>
      </c>
      <c r="AD671" s="907">
        <f t="shared" si="1206"/>
        <v>0</v>
      </c>
      <c r="AE671" s="907">
        <f t="shared" si="1206"/>
        <v>0</v>
      </c>
      <c r="AF671" s="907">
        <f t="shared" si="1206"/>
        <v>0</v>
      </c>
      <c r="AG671" s="907">
        <f t="shared" si="1206"/>
        <v>0</v>
      </c>
      <c r="AH671" s="907">
        <f t="shared" si="1206"/>
        <v>0</v>
      </c>
      <c r="AI671" s="907">
        <f t="shared" si="1206"/>
        <v>0</v>
      </c>
      <c r="AJ671" s="907">
        <f t="shared" si="1206"/>
        <v>0</v>
      </c>
      <c r="AK671" s="907">
        <f t="shared" si="1206"/>
        <v>0</v>
      </c>
      <c r="AL671" s="907">
        <f t="shared" si="1206"/>
        <v>0</v>
      </c>
      <c r="AM671" s="907">
        <f t="shared" si="1206"/>
        <v>0</v>
      </c>
      <c r="AN671" s="907">
        <f t="shared" si="1206"/>
        <v>0</v>
      </c>
      <c r="AO671" s="907">
        <f t="shared" si="1206"/>
        <v>0</v>
      </c>
      <c r="AP671" s="907">
        <f t="shared" si="1206"/>
        <v>0</v>
      </c>
      <c r="AQ671" s="907">
        <f t="shared" si="1206"/>
        <v>0</v>
      </c>
      <c r="AR671" s="907">
        <f t="shared" si="1206"/>
        <v>0</v>
      </c>
      <c r="AS671" s="907">
        <f t="shared" si="1206"/>
        <v>0</v>
      </c>
      <c r="AT671" s="907">
        <f t="shared" si="1206"/>
        <v>0</v>
      </c>
      <c r="AU671" s="907">
        <f t="shared" si="1206"/>
        <v>0</v>
      </c>
      <c r="AV671" s="907">
        <f t="shared" si="1206"/>
        <v>0</v>
      </c>
      <c r="AW671" s="907">
        <f t="shared" si="1206"/>
        <v>0</v>
      </c>
      <c r="AX671" s="907">
        <f t="shared" si="1206"/>
        <v>0</v>
      </c>
      <c r="AY671" s="907">
        <f t="shared" si="1206"/>
        <v>0</v>
      </c>
      <c r="AZ671" s="907">
        <f t="shared" si="1206"/>
        <v>0</v>
      </c>
      <c r="BA671" s="907">
        <f t="shared" si="1206"/>
        <v>0</v>
      </c>
      <c r="BB671" s="907">
        <f t="shared" si="1206"/>
        <v>0</v>
      </c>
      <c r="BC671" s="907">
        <f t="shared" si="1206"/>
        <v>0</v>
      </c>
      <c r="BD671" s="907">
        <f t="shared" si="1206"/>
        <v>0</v>
      </c>
      <c r="BE671" s="907">
        <f t="shared" si="1206"/>
        <v>0</v>
      </c>
    </row>
    <row r="672" spans="1:57" s="188" customFormat="1" hidden="1" outlineLevel="1" x14ac:dyDescent="0.2">
      <c r="A672" s="141"/>
      <c r="B672" s="141"/>
      <c r="C672" s="142"/>
      <c r="D672" s="143"/>
      <c r="E672" s="187"/>
      <c r="F672" s="187"/>
      <c r="G672" s="187"/>
      <c r="H672" s="187"/>
      <c r="I672" s="144"/>
      <c r="J672" s="187"/>
      <c r="K672" s="187"/>
      <c r="L672" s="187"/>
      <c r="M672" s="187"/>
      <c r="N672" s="187"/>
      <c r="O672" s="187"/>
      <c r="P672" s="187"/>
      <c r="Q672" s="187"/>
      <c r="R672" s="187"/>
      <c r="S672" s="187"/>
      <c r="T672" s="187"/>
      <c r="U672" s="187"/>
      <c r="V672" s="187"/>
      <c r="W672" s="187"/>
      <c r="X672" s="187"/>
      <c r="Y672" s="187"/>
      <c r="Z672" s="187"/>
      <c r="AA672" s="187"/>
      <c r="AB672" s="187"/>
      <c r="AC672" s="187"/>
      <c r="AD672" s="187"/>
      <c r="AE672" s="187"/>
      <c r="AF672" s="187"/>
      <c r="AG672" s="187"/>
      <c r="AH672" s="187"/>
      <c r="AI672" s="187"/>
      <c r="AJ672" s="187"/>
      <c r="AK672" s="187"/>
      <c r="AL672" s="187"/>
      <c r="AM672" s="187"/>
      <c r="AN672" s="187"/>
      <c r="AO672" s="187"/>
      <c r="AP672" s="187"/>
      <c r="AQ672" s="187"/>
      <c r="AR672" s="187"/>
      <c r="AS672" s="187"/>
      <c r="AT672" s="187"/>
      <c r="AU672" s="187"/>
      <c r="AV672" s="187"/>
      <c r="AW672" s="187"/>
      <c r="AX672" s="187"/>
      <c r="AY672" s="187"/>
      <c r="AZ672" s="187"/>
      <c r="BA672" s="187"/>
      <c r="BB672" s="187"/>
      <c r="BC672" s="187"/>
      <c r="BD672" s="187"/>
      <c r="BE672" s="187"/>
    </row>
    <row r="673" spans="1:57" hidden="1" outlineLevel="1" x14ac:dyDescent="0.2">
      <c r="E673" s="538" t="str">
        <f xml:space="preserve"> Time!E$10</f>
        <v>Model column counter</v>
      </c>
      <c r="F673" s="538">
        <f xml:space="preserve"> Time!F$10</f>
        <v>0</v>
      </c>
      <c r="G673" s="538" t="str">
        <f xml:space="preserve"> Time!G$10</f>
        <v>counter</v>
      </c>
      <c r="H673" s="538">
        <f xml:space="preserve"> Time!H$10</f>
        <v>0</v>
      </c>
      <c r="I673" s="538">
        <f xml:space="preserve"> Time!I$10</f>
        <v>0</v>
      </c>
      <c r="J673" s="538">
        <f xml:space="preserve"> Time!J$10</f>
        <v>1</v>
      </c>
      <c r="K673" s="538">
        <f xml:space="preserve"> Time!K$10</f>
        <v>2</v>
      </c>
      <c r="L673" s="538">
        <f xml:space="preserve"> Time!L$10</f>
        <v>3</v>
      </c>
      <c r="M673" s="538">
        <f xml:space="preserve"> Time!M$10</f>
        <v>4</v>
      </c>
      <c r="N673" s="538">
        <f xml:space="preserve"> Time!N$10</f>
        <v>5</v>
      </c>
      <c r="O673" s="538">
        <f xml:space="preserve"> Time!O$10</f>
        <v>6</v>
      </c>
      <c r="P673" s="538">
        <f xml:space="preserve"> Time!P$10</f>
        <v>7</v>
      </c>
      <c r="Q673" s="538">
        <f xml:space="preserve"> Time!Q$10</f>
        <v>8</v>
      </c>
      <c r="R673" s="538">
        <f xml:space="preserve"> Time!R$10</f>
        <v>9</v>
      </c>
      <c r="S673" s="538">
        <f xml:space="preserve"> Time!S$10</f>
        <v>10</v>
      </c>
      <c r="T673" s="538">
        <f xml:space="preserve"> Time!T$10</f>
        <v>11</v>
      </c>
      <c r="U673" s="538">
        <f xml:space="preserve"> Time!U$10</f>
        <v>12</v>
      </c>
      <c r="V673" s="538">
        <f xml:space="preserve"> Time!V$10</f>
        <v>13</v>
      </c>
      <c r="W673" s="538">
        <f xml:space="preserve"> Time!W$10</f>
        <v>14</v>
      </c>
      <c r="X673" s="538">
        <f xml:space="preserve"> Time!X$10</f>
        <v>15</v>
      </c>
      <c r="Y673" s="538">
        <f xml:space="preserve"> Time!Y$10</f>
        <v>16</v>
      </c>
      <c r="Z673" s="538">
        <f xml:space="preserve"> Time!Z$10</f>
        <v>17</v>
      </c>
      <c r="AA673" s="538">
        <f xml:space="preserve"> Time!AA$10</f>
        <v>18</v>
      </c>
      <c r="AB673" s="538">
        <f xml:space="preserve"> Time!AB$10</f>
        <v>19</v>
      </c>
      <c r="AC673" s="538">
        <f xml:space="preserve"> Time!AC$10</f>
        <v>20</v>
      </c>
      <c r="AD673" s="538">
        <f xml:space="preserve"> Time!AD$10</f>
        <v>21</v>
      </c>
      <c r="AE673" s="538">
        <f xml:space="preserve"> Time!AE$10</f>
        <v>22</v>
      </c>
      <c r="AF673" s="538">
        <f xml:space="preserve"> Time!AF$10</f>
        <v>23</v>
      </c>
      <c r="AG673" s="538">
        <f xml:space="preserve"> Time!AG$10</f>
        <v>24</v>
      </c>
      <c r="AH673" s="538">
        <f xml:space="preserve"> Time!AH$10</f>
        <v>25</v>
      </c>
      <c r="AI673" s="538">
        <f xml:space="preserve"> Time!AI$10</f>
        <v>26</v>
      </c>
      <c r="AJ673" s="538">
        <f xml:space="preserve"> Time!AJ$10</f>
        <v>27</v>
      </c>
      <c r="AK673" s="538">
        <f xml:space="preserve"> Time!AK$10</f>
        <v>28</v>
      </c>
      <c r="AL673" s="538">
        <f xml:space="preserve"> Time!AL$10</f>
        <v>29</v>
      </c>
      <c r="AM673" s="538">
        <f xml:space="preserve"> Time!AM$10</f>
        <v>30</v>
      </c>
      <c r="AN673" s="538">
        <f xml:space="preserve"> Time!AN$10</f>
        <v>31</v>
      </c>
      <c r="AO673" s="538">
        <f xml:space="preserve"> Time!AO$10</f>
        <v>32</v>
      </c>
      <c r="AP673" s="538">
        <f xml:space="preserve"> Time!AP$10</f>
        <v>33</v>
      </c>
      <c r="AQ673" s="538">
        <f xml:space="preserve"> Time!AQ$10</f>
        <v>34</v>
      </c>
      <c r="AR673" s="538">
        <f xml:space="preserve"> Time!AR$10</f>
        <v>35</v>
      </c>
      <c r="AS673" s="538">
        <f xml:space="preserve"> Time!AS$10</f>
        <v>36</v>
      </c>
      <c r="AT673" s="538">
        <f xml:space="preserve"> Time!AT$10</f>
        <v>37</v>
      </c>
      <c r="AU673" s="538">
        <f xml:space="preserve"> Time!AU$10</f>
        <v>38</v>
      </c>
      <c r="AV673" s="538">
        <f xml:space="preserve"> Time!AV$10</f>
        <v>39</v>
      </c>
      <c r="AW673" s="538">
        <f xml:space="preserve"> Time!AW$10</f>
        <v>40</v>
      </c>
      <c r="AX673" s="538">
        <f xml:space="preserve"> Time!AX$10</f>
        <v>41</v>
      </c>
      <c r="AY673" s="538">
        <f xml:space="preserve"> Time!AY$10</f>
        <v>42</v>
      </c>
      <c r="AZ673" s="538">
        <f xml:space="preserve"> Time!AZ$10</f>
        <v>43</v>
      </c>
      <c r="BA673" s="538">
        <f xml:space="preserve"> Time!BA$10</f>
        <v>44</v>
      </c>
      <c r="BB673" s="538">
        <f xml:space="preserve"> Time!BB$10</f>
        <v>45</v>
      </c>
      <c r="BC673" s="538">
        <f xml:space="preserve"> Time!BC$10</f>
        <v>46</v>
      </c>
      <c r="BD673" s="538">
        <f xml:space="preserve"> Time!BD$10</f>
        <v>47</v>
      </c>
      <c r="BE673" s="538">
        <f xml:space="preserve"> Time!BE$10</f>
        <v>48</v>
      </c>
    </row>
    <row r="674" spans="1:57" hidden="1" outlineLevel="1" x14ac:dyDescent="0.2">
      <c r="E674" s="186" t="str">
        <f xml:space="preserve"> ConTime!E$56</f>
        <v>Model ops period counter - m</v>
      </c>
      <c r="F674" s="186">
        <f xml:space="preserve"> ConTime!F$56</f>
        <v>0</v>
      </c>
      <c r="G674" s="186" t="str">
        <f xml:space="preserve"> ConTime!G$56</f>
        <v>counter</v>
      </c>
      <c r="H674" s="186">
        <f xml:space="preserve"> ConTime!H$56</f>
        <v>0</v>
      </c>
      <c r="I674" s="186">
        <f xml:space="preserve"> ConTime!I$56</f>
        <v>0</v>
      </c>
      <c r="J674" s="186">
        <f xml:space="preserve"> ConTime!J$56</f>
        <v>1</v>
      </c>
      <c r="K674" s="186">
        <f xml:space="preserve"> ConTime!K$56</f>
        <v>1</v>
      </c>
      <c r="L674" s="186">
        <f xml:space="preserve"> ConTime!L$56</f>
        <v>1</v>
      </c>
      <c r="M674" s="186">
        <f xml:space="preserve"> ConTime!M$56</f>
        <v>1</v>
      </c>
      <c r="N674" s="186">
        <f xml:space="preserve"> ConTime!N$56</f>
        <v>1</v>
      </c>
      <c r="O674" s="186">
        <f xml:space="preserve"> ConTime!O$56</f>
        <v>1</v>
      </c>
      <c r="P674" s="186">
        <f xml:space="preserve"> ConTime!P$56</f>
        <v>2</v>
      </c>
      <c r="Q674" s="186">
        <f xml:space="preserve"> ConTime!Q$56</f>
        <v>2</v>
      </c>
      <c r="R674" s="186">
        <f xml:space="preserve"> ConTime!R$56</f>
        <v>2</v>
      </c>
      <c r="S674" s="186">
        <f xml:space="preserve"> ConTime!S$56</f>
        <v>2</v>
      </c>
      <c r="T674" s="186">
        <f xml:space="preserve"> ConTime!T$56</f>
        <v>2</v>
      </c>
      <c r="U674" s="186">
        <f xml:space="preserve"> ConTime!U$56</f>
        <v>2</v>
      </c>
      <c r="V674" s="186">
        <f xml:space="preserve"> ConTime!V$56</f>
        <v>3</v>
      </c>
      <c r="W674" s="186">
        <f xml:space="preserve"> ConTime!W$56</f>
        <v>3</v>
      </c>
      <c r="X674" s="186">
        <f xml:space="preserve"> ConTime!X$56</f>
        <v>3</v>
      </c>
      <c r="Y674" s="186">
        <f xml:space="preserve"> ConTime!Y$56</f>
        <v>3</v>
      </c>
      <c r="Z674" s="186">
        <f xml:space="preserve"> ConTime!Z$56</f>
        <v>3</v>
      </c>
      <c r="AA674" s="186">
        <f xml:space="preserve"> ConTime!AA$56</f>
        <v>3</v>
      </c>
      <c r="AB674" s="186">
        <f xml:space="preserve"> ConTime!AB$56</f>
        <v>4</v>
      </c>
      <c r="AC674" s="186">
        <f xml:space="preserve"> ConTime!AC$56</f>
        <v>4</v>
      </c>
      <c r="AD674" s="186">
        <f xml:space="preserve"> ConTime!AD$56</f>
        <v>4</v>
      </c>
      <c r="AE674" s="186">
        <f xml:space="preserve"> ConTime!AE$56</f>
        <v>4</v>
      </c>
      <c r="AF674" s="186">
        <f xml:space="preserve"> ConTime!AF$56</f>
        <v>4</v>
      </c>
      <c r="AG674" s="186">
        <f xml:space="preserve"> ConTime!AG$56</f>
        <v>4</v>
      </c>
      <c r="AH674" s="186">
        <f xml:space="preserve"> ConTime!AH$56</f>
        <v>5</v>
      </c>
      <c r="AI674" s="186">
        <f xml:space="preserve"> ConTime!AI$56</f>
        <v>5</v>
      </c>
      <c r="AJ674" s="186">
        <f xml:space="preserve"> ConTime!AJ$56</f>
        <v>5</v>
      </c>
      <c r="AK674" s="186">
        <f xml:space="preserve"> ConTime!AK$56</f>
        <v>5</v>
      </c>
      <c r="AL674" s="186">
        <f xml:space="preserve"> ConTime!AL$56</f>
        <v>5</v>
      </c>
      <c r="AM674" s="186">
        <f xml:space="preserve"> ConTime!AM$56</f>
        <v>5</v>
      </c>
      <c r="AN674" s="186">
        <f xml:space="preserve"> ConTime!AN$56</f>
        <v>6</v>
      </c>
      <c r="AO674" s="186">
        <f xml:space="preserve"> ConTime!AO$56</f>
        <v>6</v>
      </c>
      <c r="AP674" s="186">
        <f xml:space="preserve"> ConTime!AP$56</f>
        <v>6</v>
      </c>
      <c r="AQ674" s="186">
        <f xml:space="preserve"> ConTime!AQ$56</f>
        <v>6</v>
      </c>
      <c r="AR674" s="186">
        <f xml:space="preserve"> ConTime!AR$56</f>
        <v>6</v>
      </c>
      <c r="AS674" s="186">
        <f xml:space="preserve"> ConTime!AS$56</f>
        <v>6</v>
      </c>
      <c r="AT674" s="186">
        <f xml:space="preserve"> ConTime!AT$56</f>
        <v>7</v>
      </c>
      <c r="AU674" s="186">
        <f xml:space="preserve"> ConTime!AU$56</f>
        <v>7</v>
      </c>
      <c r="AV674" s="186">
        <f xml:space="preserve"> ConTime!AV$56</f>
        <v>7</v>
      </c>
      <c r="AW674" s="186">
        <f xml:space="preserve"> ConTime!AW$56</f>
        <v>7</v>
      </c>
      <c r="AX674" s="186">
        <f xml:space="preserve"> ConTime!AX$56</f>
        <v>7</v>
      </c>
      <c r="AY674" s="186">
        <f xml:space="preserve"> ConTime!AY$56</f>
        <v>7</v>
      </c>
      <c r="AZ674" s="186">
        <f xml:space="preserve"> ConTime!AZ$56</f>
        <v>8</v>
      </c>
      <c r="BA674" s="186">
        <f xml:space="preserve"> ConTime!BA$56</f>
        <v>8</v>
      </c>
      <c r="BB674" s="186">
        <f xml:space="preserve"> ConTime!BB$56</f>
        <v>8</v>
      </c>
      <c r="BC674" s="186">
        <f xml:space="preserve"> ConTime!BC$56</f>
        <v>8</v>
      </c>
      <c r="BD674" s="186">
        <f xml:space="preserve"> ConTime!BD$56</f>
        <v>8</v>
      </c>
      <c r="BE674" s="186">
        <f xml:space="preserve"> ConTime!BE$56</f>
        <v>8</v>
      </c>
    </row>
    <row r="675" spans="1:57" hidden="1" outlineLevel="1" x14ac:dyDescent="0.2">
      <c r="E675" s="12" t="str">
        <f t="shared" ref="E675:AJ675" si="1207" xml:space="preserve"> E$86</f>
        <v>Shareholder drawdown - m</v>
      </c>
      <c r="F675" s="12">
        <f t="shared" si="1207"/>
        <v>0</v>
      </c>
      <c r="G675" s="12" t="str">
        <f t="shared" si="1207"/>
        <v>$ 000s</v>
      </c>
      <c r="H675" s="12">
        <f t="shared" si="1207"/>
        <v>86318.253106861201</v>
      </c>
      <c r="I675" s="12">
        <f t="shared" si="1207"/>
        <v>0</v>
      </c>
      <c r="J675" s="12">
        <f t="shared" si="1207"/>
        <v>0</v>
      </c>
      <c r="K675" s="12">
        <f t="shared" si="1207"/>
        <v>0</v>
      </c>
      <c r="L675" s="12">
        <f t="shared" si="1207"/>
        <v>0</v>
      </c>
      <c r="M675" s="12">
        <f t="shared" si="1207"/>
        <v>0</v>
      </c>
      <c r="N675" s="12">
        <f t="shared" si="1207"/>
        <v>0</v>
      </c>
      <c r="O675" s="12">
        <f t="shared" si="1207"/>
        <v>0</v>
      </c>
      <c r="P675" s="12">
        <f t="shared" si="1207"/>
        <v>0</v>
      </c>
      <c r="Q675" s="12">
        <f t="shared" si="1207"/>
        <v>0</v>
      </c>
      <c r="R675" s="12">
        <f t="shared" si="1207"/>
        <v>0</v>
      </c>
      <c r="S675" s="12">
        <f t="shared" si="1207"/>
        <v>0</v>
      </c>
      <c r="T675" s="12">
        <f t="shared" si="1207"/>
        <v>0</v>
      </c>
      <c r="U675" s="12">
        <f t="shared" si="1207"/>
        <v>0</v>
      </c>
      <c r="V675" s="12">
        <f t="shared" si="1207"/>
        <v>0</v>
      </c>
      <c r="W675" s="12">
        <f t="shared" si="1207"/>
        <v>0</v>
      </c>
      <c r="X675" s="12">
        <f t="shared" si="1207"/>
        <v>0</v>
      </c>
      <c r="Y675" s="12">
        <f t="shared" si="1207"/>
        <v>0</v>
      </c>
      <c r="Z675" s="12">
        <f t="shared" si="1207"/>
        <v>0</v>
      </c>
      <c r="AA675" s="12">
        <f t="shared" si="1207"/>
        <v>0</v>
      </c>
      <c r="AB675" s="12">
        <f t="shared" si="1207"/>
        <v>0</v>
      </c>
      <c r="AC675" s="12">
        <f t="shared" si="1207"/>
        <v>0</v>
      </c>
      <c r="AD675" s="12">
        <f t="shared" si="1207"/>
        <v>0</v>
      </c>
      <c r="AE675" s="12">
        <f t="shared" si="1207"/>
        <v>0</v>
      </c>
      <c r="AF675" s="12">
        <f t="shared" si="1207"/>
        <v>0</v>
      </c>
      <c r="AG675" s="12">
        <f t="shared" si="1207"/>
        <v>0</v>
      </c>
      <c r="AH675" s="12">
        <f t="shared" si="1207"/>
        <v>0</v>
      </c>
      <c r="AI675" s="12">
        <f t="shared" si="1207"/>
        <v>0</v>
      </c>
      <c r="AJ675" s="12">
        <f t="shared" si="1207"/>
        <v>0</v>
      </c>
      <c r="AK675" s="12">
        <f t="shared" ref="AK675:BE675" si="1208" xml:space="preserve"> AK$86</f>
        <v>0</v>
      </c>
      <c r="AL675" s="12">
        <f t="shared" si="1208"/>
        <v>0</v>
      </c>
      <c r="AM675" s="12">
        <f t="shared" si="1208"/>
        <v>86318.253106861201</v>
      </c>
      <c r="AN675" s="12">
        <f t="shared" si="1208"/>
        <v>0</v>
      </c>
      <c r="AO675" s="12">
        <f t="shared" si="1208"/>
        <v>0</v>
      </c>
      <c r="AP675" s="12">
        <f t="shared" si="1208"/>
        <v>0</v>
      </c>
      <c r="AQ675" s="12">
        <f t="shared" si="1208"/>
        <v>0</v>
      </c>
      <c r="AR675" s="12">
        <f t="shared" si="1208"/>
        <v>0</v>
      </c>
      <c r="AS675" s="12">
        <f t="shared" si="1208"/>
        <v>0</v>
      </c>
      <c r="AT675" s="12">
        <f t="shared" si="1208"/>
        <v>0</v>
      </c>
      <c r="AU675" s="12">
        <f t="shared" si="1208"/>
        <v>0</v>
      </c>
      <c r="AV675" s="12">
        <f t="shared" si="1208"/>
        <v>0</v>
      </c>
      <c r="AW675" s="12">
        <f t="shared" si="1208"/>
        <v>0</v>
      </c>
      <c r="AX675" s="12">
        <f t="shared" si="1208"/>
        <v>0</v>
      </c>
      <c r="AY675" s="12">
        <f t="shared" si="1208"/>
        <v>0</v>
      </c>
      <c r="AZ675" s="12">
        <f t="shared" si="1208"/>
        <v>0</v>
      </c>
      <c r="BA675" s="12">
        <f t="shared" si="1208"/>
        <v>0</v>
      </c>
      <c r="BB675" s="12">
        <f t="shared" si="1208"/>
        <v>0</v>
      </c>
      <c r="BC675" s="12">
        <f t="shared" si="1208"/>
        <v>0</v>
      </c>
      <c r="BD675" s="12">
        <f t="shared" si="1208"/>
        <v>0</v>
      </c>
      <c r="BE675" s="12">
        <f t="shared" si="1208"/>
        <v>0</v>
      </c>
    </row>
    <row r="676" spans="1:57" s="629" customFormat="1" hidden="1" outlineLevel="1" x14ac:dyDescent="0.2">
      <c r="A676" s="904"/>
      <c r="B676" s="904"/>
      <c r="C676" s="905"/>
      <c r="D676" s="906"/>
      <c r="E676" s="907" t="s">
        <v>835</v>
      </c>
      <c r="F676" s="907"/>
      <c r="G676" s="907" t="str">
        <f xml:space="preserve"> SMU</f>
        <v>$ 000s</v>
      </c>
      <c r="H676" s="907">
        <f xml:space="preserve"> SUM(J676:BE676)</f>
        <v>86318.253106861201</v>
      </c>
      <c r="I676" s="908"/>
      <c r="J676" s="907">
        <f t="shared" ref="J676:BE676" si="1209" xml:space="preserve"> SUMIF($J674:$BE674, J673, $J675:$BE675)</f>
        <v>0</v>
      </c>
      <c r="K676" s="907">
        <f t="shared" si="1209"/>
        <v>0</v>
      </c>
      <c r="L676" s="907">
        <f t="shared" si="1209"/>
        <v>0</v>
      </c>
      <c r="M676" s="907">
        <f t="shared" si="1209"/>
        <v>0</v>
      </c>
      <c r="N676" s="907">
        <f t="shared" si="1209"/>
        <v>86318.253106861201</v>
      </c>
      <c r="O676" s="907">
        <f t="shared" si="1209"/>
        <v>0</v>
      </c>
      <c r="P676" s="907">
        <f t="shared" si="1209"/>
        <v>0</v>
      </c>
      <c r="Q676" s="907">
        <f t="shared" si="1209"/>
        <v>0</v>
      </c>
      <c r="R676" s="907">
        <f t="shared" si="1209"/>
        <v>0</v>
      </c>
      <c r="S676" s="907">
        <f t="shared" si="1209"/>
        <v>0</v>
      </c>
      <c r="T676" s="907">
        <f t="shared" si="1209"/>
        <v>0</v>
      </c>
      <c r="U676" s="907">
        <f t="shared" si="1209"/>
        <v>0</v>
      </c>
      <c r="V676" s="907">
        <f t="shared" si="1209"/>
        <v>0</v>
      </c>
      <c r="W676" s="907">
        <f t="shared" si="1209"/>
        <v>0</v>
      </c>
      <c r="X676" s="907">
        <f t="shared" si="1209"/>
        <v>0</v>
      </c>
      <c r="Y676" s="907">
        <f t="shared" si="1209"/>
        <v>0</v>
      </c>
      <c r="Z676" s="907">
        <f t="shared" si="1209"/>
        <v>0</v>
      </c>
      <c r="AA676" s="907">
        <f t="shared" si="1209"/>
        <v>0</v>
      </c>
      <c r="AB676" s="907">
        <f t="shared" si="1209"/>
        <v>0</v>
      </c>
      <c r="AC676" s="907">
        <f t="shared" si="1209"/>
        <v>0</v>
      </c>
      <c r="AD676" s="907">
        <f t="shared" si="1209"/>
        <v>0</v>
      </c>
      <c r="AE676" s="907">
        <f t="shared" si="1209"/>
        <v>0</v>
      </c>
      <c r="AF676" s="907">
        <f t="shared" si="1209"/>
        <v>0</v>
      </c>
      <c r="AG676" s="907">
        <f t="shared" si="1209"/>
        <v>0</v>
      </c>
      <c r="AH676" s="907">
        <f t="shared" si="1209"/>
        <v>0</v>
      </c>
      <c r="AI676" s="907">
        <f t="shared" si="1209"/>
        <v>0</v>
      </c>
      <c r="AJ676" s="907">
        <f t="shared" si="1209"/>
        <v>0</v>
      </c>
      <c r="AK676" s="907">
        <f t="shared" si="1209"/>
        <v>0</v>
      </c>
      <c r="AL676" s="907">
        <f t="shared" si="1209"/>
        <v>0</v>
      </c>
      <c r="AM676" s="907">
        <f t="shared" si="1209"/>
        <v>0</v>
      </c>
      <c r="AN676" s="907">
        <f t="shared" si="1209"/>
        <v>0</v>
      </c>
      <c r="AO676" s="907">
        <f t="shared" si="1209"/>
        <v>0</v>
      </c>
      <c r="AP676" s="907">
        <f t="shared" si="1209"/>
        <v>0</v>
      </c>
      <c r="AQ676" s="907">
        <f t="shared" si="1209"/>
        <v>0</v>
      </c>
      <c r="AR676" s="907">
        <f t="shared" si="1209"/>
        <v>0</v>
      </c>
      <c r="AS676" s="907">
        <f t="shared" si="1209"/>
        <v>0</v>
      </c>
      <c r="AT676" s="907">
        <f t="shared" si="1209"/>
        <v>0</v>
      </c>
      <c r="AU676" s="907">
        <f t="shared" si="1209"/>
        <v>0</v>
      </c>
      <c r="AV676" s="907">
        <f t="shared" si="1209"/>
        <v>0</v>
      </c>
      <c r="AW676" s="907">
        <f t="shared" si="1209"/>
        <v>0</v>
      </c>
      <c r="AX676" s="907">
        <f t="shared" si="1209"/>
        <v>0</v>
      </c>
      <c r="AY676" s="907">
        <f t="shared" si="1209"/>
        <v>0</v>
      </c>
      <c r="AZ676" s="907">
        <f t="shared" si="1209"/>
        <v>0</v>
      </c>
      <c r="BA676" s="907">
        <f t="shared" si="1209"/>
        <v>0</v>
      </c>
      <c r="BB676" s="907">
        <f t="shared" si="1209"/>
        <v>0</v>
      </c>
      <c r="BC676" s="907">
        <f t="shared" si="1209"/>
        <v>0</v>
      </c>
      <c r="BD676" s="907">
        <f t="shared" si="1209"/>
        <v>0</v>
      </c>
      <c r="BE676" s="907">
        <f t="shared" si="1209"/>
        <v>0</v>
      </c>
    </row>
    <row r="677" spans="1:57" s="188" customFormat="1" hidden="1" outlineLevel="1" x14ac:dyDescent="0.2">
      <c r="A677" s="141"/>
      <c r="B677" s="141"/>
      <c r="C677" s="142"/>
      <c r="D677" s="143"/>
      <c r="E677" s="187"/>
      <c r="F677" s="187"/>
      <c r="G677" s="187"/>
      <c r="H677" s="187"/>
      <c r="I677" s="144"/>
      <c r="J677" s="187"/>
      <c r="K677" s="187"/>
      <c r="L677" s="187"/>
      <c r="M677" s="187"/>
      <c r="N677" s="187"/>
      <c r="O677" s="187"/>
      <c r="P677" s="187"/>
      <c r="Q677" s="187"/>
      <c r="R677" s="187"/>
      <c r="S677" s="187"/>
      <c r="T677" s="187"/>
      <c r="U677" s="187"/>
      <c r="V677" s="187"/>
      <c r="W677" s="187"/>
      <c r="X677" s="187"/>
      <c r="Y677" s="187"/>
      <c r="Z677" s="187"/>
      <c r="AA677" s="187"/>
      <c r="AB677" s="187"/>
      <c r="AC677" s="187"/>
      <c r="AD677" s="187"/>
      <c r="AE677" s="187"/>
      <c r="AF677" s="187"/>
      <c r="AG677" s="187"/>
      <c r="AH677" s="187"/>
      <c r="AI677" s="187"/>
      <c r="AJ677" s="187"/>
      <c r="AK677" s="187"/>
      <c r="AL677" s="187"/>
      <c r="AM677" s="187"/>
      <c r="AN677" s="187"/>
      <c r="AO677" s="187"/>
      <c r="AP677" s="187"/>
      <c r="AQ677" s="187"/>
      <c r="AR677" s="187"/>
      <c r="AS677" s="187"/>
      <c r="AT677" s="187"/>
      <c r="AU677" s="187"/>
      <c r="AV677" s="187"/>
      <c r="AW677" s="187"/>
      <c r="AX677" s="187"/>
      <c r="AY677" s="187"/>
      <c r="AZ677" s="187"/>
      <c r="BA677" s="187"/>
      <c r="BB677" s="187"/>
      <c r="BC677" s="187"/>
      <c r="BD677" s="187"/>
      <c r="BE677" s="187"/>
    </row>
    <row r="678" spans="1:57" s="188" customFormat="1" x14ac:dyDescent="0.2">
      <c r="A678" s="141"/>
      <c r="B678" s="141"/>
      <c r="C678" s="142"/>
      <c r="D678" s="143"/>
      <c r="E678" s="187"/>
      <c r="F678" s="187"/>
      <c r="G678" s="187"/>
      <c r="H678" s="187"/>
      <c r="I678" s="144"/>
      <c r="J678" s="187"/>
      <c r="K678" s="187"/>
      <c r="L678" s="187"/>
      <c r="M678" s="187"/>
      <c r="N678" s="187"/>
      <c r="O678" s="187"/>
      <c r="P678" s="187"/>
      <c r="Q678" s="187"/>
      <c r="R678" s="187"/>
      <c r="S678" s="187"/>
      <c r="T678" s="187"/>
      <c r="U678" s="187"/>
      <c r="V678" s="187"/>
      <c r="W678" s="187"/>
      <c r="X678" s="187"/>
      <c r="Y678" s="187"/>
      <c r="Z678" s="187"/>
      <c r="AA678" s="187"/>
      <c r="AB678" s="187"/>
      <c r="AC678" s="187"/>
      <c r="AD678" s="187"/>
      <c r="AE678" s="187"/>
      <c r="AF678" s="187"/>
      <c r="AG678" s="187"/>
      <c r="AH678" s="187"/>
      <c r="AI678" s="187"/>
      <c r="AJ678" s="187"/>
      <c r="AK678" s="187"/>
      <c r="AL678" s="187"/>
      <c r="AM678" s="187"/>
      <c r="AN678" s="187"/>
      <c r="AO678" s="187"/>
      <c r="AP678" s="187"/>
      <c r="AQ678" s="187"/>
      <c r="AR678" s="187"/>
      <c r="AS678" s="187"/>
      <c r="AT678" s="187"/>
      <c r="AU678" s="187"/>
      <c r="AV678" s="187"/>
      <c r="AW678" s="187"/>
      <c r="AX678" s="187"/>
      <c r="AY678" s="187"/>
      <c r="AZ678" s="187"/>
      <c r="BA678" s="187"/>
      <c r="BB678" s="187"/>
      <c r="BC678" s="187"/>
      <c r="BD678" s="187"/>
      <c r="BE678" s="187"/>
    </row>
    <row r="679" spans="1:57" x14ac:dyDescent="0.2">
      <c r="A679" s="15" t="s">
        <v>62</v>
      </c>
    </row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</sheetData>
  <conditionalFormatting sqref="J3:BE3">
    <cfRule type="cellIs" dxfId="207" priority="8" stopIfTrue="1" operator="equal">
      <formula>"Construction"</formula>
    </cfRule>
    <cfRule type="cellIs" dxfId="206" priority="9" stopIfTrue="1" operator="equal">
      <formula>"Operations"</formula>
    </cfRule>
  </conditionalFormatting>
  <conditionalFormatting sqref="J3:BE3">
    <cfRule type="cellIs" dxfId="205" priority="7" operator="equal">
      <formula>"Fin Close"</formula>
    </cfRule>
  </conditionalFormatting>
  <conditionalFormatting sqref="J3:BE3">
    <cfRule type="cellIs" dxfId="204" priority="5" operator="equal">
      <formula>"PPA ext."</formula>
    </cfRule>
    <cfRule type="cellIs" dxfId="203" priority="6" operator="equal">
      <formula>"Delay"</formula>
    </cfRule>
  </conditionalFormatting>
  <conditionalFormatting sqref="F2:F4">
    <cfRule type="cellIs" dxfId="202" priority="1" stopIfTrue="1" operator="notEqual">
      <formula>0</formula>
    </cfRule>
    <cfRule type="cellIs" dxfId="201" priority="2" stopIfTrue="1" operator="equal">
      <formula>""</formula>
    </cfRule>
  </conditionalFormatting>
  <conditionalFormatting sqref="F2:F4">
    <cfRule type="cellIs" dxfId="200" priority="3" stopIfTrue="1" operator="notEqual">
      <formula>0</formula>
    </cfRule>
    <cfRule type="cellIs" dxfId="199" priority="4" stopIfTrue="1" operator="equal">
      <formula>""</formula>
    </cfRule>
  </conditionalFormatting>
  <dataValidations disablePrompts="1" count="1">
    <dataValidation allowBlank="1" showInputMessage="1" showErrorMessage="1" sqref="E552:H552 E98:H98 E382:H382 E376:H377 E45:H45 E63:H63 E527:H527 E406:H407 E550:H550 E356:H358 E363:H365 E394:H394 E388:H389 E419:H420 E538:H538 E565:H565 E563:H563" xr:uid="{AC3322FE-5296-4B76-B0BB-6BEA49830AA1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4E8-775E-431A-B524-1B5FBEB9E7AD}">
  <sheetPr codeName="Sheet2"/>
  <dimension ref="A1:A2"/>
  <sheetViews>
    <sheetView workbookViewId="0"/>
  </sheetViews>
  <sheetFormatPr defaultRowHeight="12.75" x14ac:dyDescent="0.2"/>
  <sheetData>
    <row r="1" spans="1:1" x14ac:dyDescent="0.2">
      <c r="A1" t="s">
        <v>422</v>
      </c>
    </row>
    <row r="2" spans="1:1" x14ac:dyDescent="0.2">
      <c r="A2" t="s">
        <v>423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GJ379"/>
  <sheetViews>
    <sheetView showFormulas="1" defaultGridColor="0" colorId="28" zoomScale="75" zoomScaleNormal="75" workbookViewId="0">
      <pane xSplit="9" ySplit="5" topLeftCell="J33" activePane="bottomRight" state="frozen"/>
      <selection activeCell="I9" sqref="I9"/>
      <selection pane="topRight" activeCell="I9" sqref="I9"/>
      <selection pane="bottomLeft" activeCell="I9" sqref="I9"/>
      <selection pane="bottomRight" activeCell="A90" sqref="A90:XFD90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Time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/>
    <row r="7" spans="1:100" x14ac:dyDescent="0.2">
      <c r="A7" s="15" t="s">
        <v>3</v>
      </c>
      <c r="E7" s="7"/>
      <c r="F7" s="7"/>
      <c r="G7" s="8"/>
      <c r="H7" s="7"/>
      <c r="I7" s="4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</row>
    <row r="8" spans="1:100" outlineLevel="1" x14ac:dyDescent="0.2">
      <c r="E8" s="7"/>
      <c r="F8" s="7"/>
      <c r="G8" s="8"/>
      <c r="H8" s="7"/>
      <c r="I8" s="4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</row>
    <row r="9" spans="1:100" outlineLevel="1" x14ac:dyDescent="0.2">
      <c r="B9" s="15" t="s">
        <v>78</v>
      </c>
      <c r="E9" s="7"/>
      <c r="F9" s="7"/>
      <c r="G9" s="8"/>
      <c r="H9" s="7"/>
      <c r="I9" s="46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</row>
    <row r="10" spans="1:100" s="188" customFormat="1" outlineLevel="2" x14ac:dyDescent="0.2">
      <c r="A10" s="532"/>
      <c r="B10" s="533"/>
      <c r="C10" s="534"/>
      <c r="D10" s="535"/>
      <c r="E10" s="536" t="s">
        <v>0</v>
      </c>
      <c r="F10" s="536"/>
      <c r="G10" s="536" t="s">
        <v>14</v>
      </c>
      <c r="H10" s="536"/>
      <c r="I10" s="537"/>
      <c r="J10" s="536">
        <f t="shared" ref="J10:BU10" si="0" xml:space="preserve"> I10 + 1</f>
        <v>1</v>
      </c>
      <c r="K10" s="536">
        <f t="shared" si="0"/>
        <v>2</v>
      </c>
      <c r="L10" s="536">
        <f t="shared" si="0"/>
        <v>3</v>
      </c>
      <c r="M10" s="536">
        <f t="shared" si="0"/>
        <v>4</v>
      </c>
      <c r="N10" s="536">
        <f t="shared" si="0"/>
        <v>5</v>
      </c>
      <c r="O10" s="536">
        <f t="shared" si="0"/>
        <v>6</v>
      </c>
      <c r="P10" s="536">
        <f t="shared" si="0"/>
        <v>7</v>
      </c>
      <c r="Q10" s="536">
        <f t="shared" si="0"/>
        <v>8</v>
      </c>
      <c r="R10" s="536">
        <f t="shared" si="0"/>
        <v>9</v>
      </c>
      <c r="S10" s="536">
        <f t="shared" si="0"/>
        <v>10</v>
      </c>
      <c r="T10" s="536">
        <f t="shared" si="0"/>
        <v>11</v>
      </c>
      <c r="U10" s="536">
        <f t="shared" si="0"/>
        <v>12</v>
      </c>
      <c r="V10" s="536">
        <f t="shared" si="0"/>
        <v>13</v>
      </c>
      <c r="W10" s="536">
        <f t="shared" si="0"/>
        <v>14</v>
      </c>
      <c r="X10" s="536">
        <f t="shared" si="0"/>
        <v>15</v>
      </c>
      <c r="Y10" s="536">
        <f t="shared" si="0"/>
        <v>16</v>
      </c>
      <c r="Z10" s="536">
        <f t="shared" si="0"/>
        <v>17</v>
      </c>
      <c r="AA10" s="536">
        <f t="shared" si="0"/>
        <v>18</v>
      </c>
      <c r="AB10" s="536">
        <f t="shared" si="0"/>
        <v>19</v>
      </c>
      <c r="AC10" s="536">
        <f t="shared" si="0"/>
        <v>20</v>
      </c>
      <c r="AD10" s="536">
        <f t="shared" si="0"/>
        <v>21</v>
      </c>
      <c r="AE10" s="536">
        <f t="shared" si="0"/>
        <v>22</v>
      </c>
      <c r="AF10" s="536">
        <f t="shared" si="0"/>
        <v>23</v>
      </c>
      <c r="AG10" s="536">
        <f t="shared" si="0"/>
        <v>24</v>
      </c>
      <c r="AH10" s="536">
        <f t="shared" si="0"/>
        <v>25</v>
      </c>
      <c r="AI10" s="536">
        <f t="shared" si="0"/>
        <v>26</v>
      </c>
      <c r="AJ10" s="536">
        <f t="shared" si="0"/>
        <v>27</v>
      </c>
      <c r="AK10" s="536">
        <f t="shared" si="0"/>
        <v>28</v>
      </c>
      <c r="AL10" s="536">
        <f t="shared" si="0"/>
        <v>29</v>
      </c>
      <c r="AM10" s="536">
        <f t="shared" si="0"/>
        <v>30</v>
      </c>
      <c r="AN10" s="536">
        <f t="shared" si="0"/>
        <v>31</v>
      </c>
      <c r="AO10" s="536">
        <f t="shared" si="0"/>
        <v>32</v>
      </c>
      <c r="AP10" s="536">
        <f t="shared" si="0"/>
        <v>33</v>
      </c>
      <c r="AQ10" s="536">
        <f t="shared" si="0"/>
        <v>34</v>
      </c>
      <c r="AR10" s="536">
        <f t="shared" si="0"/>
        <v>35</v>
      </c>
      <c r="AS10" s="536">
        <f t="shared" si="0"/>
        <v>36</v>
      </c>
      <c r="AT10" s="536">
        <f t="shared" si="0"/>
        <v>37</v>
      </c>
      <c r="AU10" s="536">
        <f t="shared" si="0"/>
        <v>38</v>
      </c>
      <c r="AV10" s="536">
        <f t="shared" si="0"/>
        <v>39</v>
      </c>
      <c r="AW10" s="536">
        <f t="shared" si="0"/>
        <v>40</v>
      </c>
      <c r="AX10" s="536">
        <f t="shared" si="0"/>
        <v>41</v>
      </c>
      <c r="AY10" s="536">
        <f t="shared" si="0"/>
        <v>42</v>
      </c>
      <c r="AZ10" s="536">
        <f t="shared" si="0"/>
        <v>43</v>
      </c>
      <c r="BA10" s="536">
        <f t="shared" si="0"/>
        <v>44</v>
      </c>
      <c r="BB10" s="536">
        <f t="shared" si="0"/>
        <v>45</v>
      </c>
      <c r="BC10" s="536">
        <f t="shared" si="0"/>
        <v>46</v>
      </c>
      <c r="BD10" s="536">
        <f t="shared" si="0"/>
        <v>47</v>
      </c>
      <c r="BE10" s="536">
        <f t="shared" si="0"/>
        <v>48</v>
      </c>
      <c r="BF10" s="536">
        <f t="shared" si="0"/>
        <v>49</v>
      </c>
      <c r="BG10" s="536">
        <f t="shared" si="0"/>
        <v>50</v>
      </c>
      <c r="BH10" s="536">
        <f t="shared" si="0"/>
        <v>51</v>
      </c>
      <c r="BI10" s="536">
        <f t="shared" si="0"/>
        <v>52</v>
      </c>
      <c r="BJ10" s="536">
        <f t="shared" si="0"/>
        <v>53</v>
      </c>
      <c r="BK10" s="536">
        <f t="shared" si="0"/>
        <v>54</v>
      </c>
      <c r="BL10" s="536">
        <f t="shared" si="0"/>
        <v>55</v>
      </c>
      <c r="BM10" s="536">
        <f t="shared" si="0"/>
        <v>56</v>
      </c>
      <c r="BN10" s="536">
        <f t="shared" si="0"/>
        <v>57</v>
      </c>
      <c r="BO10" s="536">
        <f t="shared" si="0"/>
        <v>58</v>
      </c>
      <c r="BP10" s="536">
        <f t="shared" si="0"/>
        <v>59</v>
      </c>
      <c r="BQ10" s="536">
        <f t="shared" si="0"/>
        <v>60</v>
      </c>
      <c r="BR10" s="536">
        <f t="shared" si="0"/>
        <v>61</v>
      </c>
      <c r="BS10" s="536">
        <f t="shared" si="0"/>
        <v>62</v>
      </c>
      <c r="BT10" s="536">
        <f t="shared" si="0"/>
        <v>63</v>
      </c>
      <c r="BU10" s="536">
        <f t="shared" si="0"/>
        <v>64</v>
      </c>
      <c r="BV10" s="536">
        <f t="shared" ref="BV10:CV10" si="1" xml:space="preserve"> BU10 + 1</f>
        <v>65</v>
      </c>
      <c r="BW10" s="536">
        <f t="shared" si="1"/>
        <v>66</v>
      </c>
      <c r="BX10" s="536">
        <f t="shared" si="1"/>
        <v>67</v>
      </c>
      <c r="BY10" s="536">
        <f t="shared" si="1"/>
        <v>68</v>
      </c>
      <c r="BZ10" s="536">
        <f t="shared" si="1"/>
        <v>69</v>
      </c>
      <c r="CA10" s="536">
        <f t="shared" si="1"/>
        <v>70</v>
      </c>
      <c r="CB10" s="536">
        <f t="shared" si="1"/>
        <v>71</v>
      </c>
      <c r="CC10" s="536">
        <f t="shared" si="1"/>
        <v>72</v>
      </c>
      <c r="CD10" s="536">
        <f t="shared" si="1"/>
        <v>73</v>
      </c>
      <c r="CE10" s="536">
        <f t="shared" si="1"/>
        <v>74</v>
      </c>
      <c r="CF10" s="536">
        <f t="shared" si="1"/>
        <v>75</v>
      </c>
      <c r="CG10" s="536">
        <f t="shared" si="1"/>
        <v>76</v>
      </c>
      <c r="CH10" s="536">
        <f t="shared" si="1"/>
        <v>77</v>
      </c>
      <c r="CI10" s="536">
        <f t="shared" si="1"/>
        <v>78</v>
      </c>
      <c r="CJ10" s="536">
        <f t="shared" si="1"/>
        <v>79</v>
      </c>
      <c r="CK10" s="536">
        <f t="shared" si="1"/>
        <v>80</v>
      </c>
      <c r="CL10" s="536">
        <f t="shared" si="1"/>
        <v>81</v>
      </c>
      <c r="CM10" s="536">
        <f t="shared" si="1"/>
        <v>82</v>
      </c>
      <c r="CN10" s="536">
        <f t="shared" si="1"/>
        <v>83</v>
      </c>
      <c r="CO10" s="536">
        <f t="shared" si="1"/>
        <v>84</v>
      </c>
      <c r="CP10" s="536">
        <f t="shared" si="1"/>
        <v>85</v>
      </c>
      <c r="CQ10" s="536">
        <f t="shared" si="1"/>
        <v>86</v>
      </c>
      <c r="CR10" s="536">
        <f t="shared" si="1"/>
        <v>87</v>
      </c>
      <c r="CS10" s="536">
        <f t="shared" si="1"/>
        <v>88</v>
      </c>
      <c r="CT10" s="536">
        <f t="shared" si="1"/>
        <v>89</v>
      </c>
      <c r="CU10" s="536">
        <f t="shared" si="1"/>
        <v>90</v>
      </c>
      <c r="CV10" s="536">
        <f t="shared" si="1"/>
        <v>91</v>
      </c>
    </row>
    <row r="11" spans="1:100" outlineLevel="2" x14ac:dyDescent="0.2">
      <c r="A11" s="53"/>
      <c r="B11" s="54"/>
      <c r="C11" s="55"/>
      <c r="D11" s="56"/>
      <c r="E11" s="29" t="s">
        <v>22</v>
      </c>
      <c r="F11" s="28">
        <f xml:space="preserve"> MAX(J10:CV10)</f>
        <v>91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</row>
    <row r="12" spans="1:100" outlineLevel="2" x14ac:dyDescent="0.2">
      <c r="D12" s="38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</row>
    <row r="13" spans="1:100" outlineLevel="2" x14ac:dyDescent="0.2">
      <c r="A13" s="53"/>
      <c r="B13" s="54"/>
      <c r="C13" s="55"/>
      <c r="D13" s="56"/>
      <c r="E13" s="28" t="str">
        <f t="shared" ref="E13:BP13" si="2" xml:space="preserve"> E$10</f>
        <v>Model column counter</v>
      </c>
      <c r="F13" s="28">
        <f t="shared" si="2"/>
        <v>0</v>
      </c>
      <c r="G13" s="28" t="str">
        <f t="shared" si="2"/>
        <v>counter</v>
      </c>
      <c r="H13" s="28">
        <f t="shared" si="2"/>
        <v>0</v>
      </c>
      <c r="I13" s="28">
        <f t="shared" si="2"/>
        <v>0</v>
      </c>
      <c r="J13" s="28">
        <f t="shared" si="2"/>
        <v>1</v>
      </c>
      <c r="K13" s="28">
        <f t="shared" si="2"/>
        <v>2</v>
      </c>
      <c r="L13" s="28">
        <f t="shared" si="2"/>
        <v>3</v>
      </c>
      <c r="M13" s="28">
        <f t="shared" si="2"/>
        <v>4</v>
      </c>
      <c r="N13" s="28">
        <f t="shared" si="2"/>
        <v>5</v>
      </c>
      <c r="O13" s="28">
        <f t="shared" si="2"/>
        <v>6</v>
      </c>
      <c r="P13" s="28">
        <f t="shared" si="2"/>
        <v>7</v>
      </c>
      <c r="Q13" s="28">
        <f t="shared" si="2"/>
        <v>8</v>
      </c>
      <c r="R13" s="28">
        <f t="shared" si="2"/>
        <v>9</v>
      </c>
      <c r="S13" s="28">
        <f t="shared" si="2"/>
        <v>10</v>
      </c>
      <c r="T13" s="28">
        <f t="shared" si="2"/>
        <v>11</v>
      </c>
      <c r="U13" s="28">
        <f t="shared" si="2"/>
        <v>12</v>
      </c>
      <c r="V13" s="28">
        <f t="shared" si="2"/>
        <v>13</v>
      </c>
      <c r="W13" s="28">
        <f t="shared" si="2"/>
        <v>14</v>
      </c>
      <c r="X13" s="28">
        <f t="shared" si="2"/>
        <v>15</v>
      </c>
      <c r="Y13" s="28">
        <f t="shared" si="2"/>
        <v>16</v>
      </c>
      <c r="Z13" s="28">
        <f t="shared" si="2"/>
        <v>17</v>
      </c>
      <c r="AA13" s="28">
        <f t="shared" si="2"/>
        <v>18</v>
      </c>
      <c r="AB13" s="28">
        <f t="shared" si="2"/>
        <v>19</v>
      </c>
      <c r="AC13" s="28">
        <f t="shared" si="2"/>
        <v>20</v>
      </c>
      <c r="AD13" s="28">
        <f t="shared" si="2"/>
        <v>21</v>
      </c>
      <c r="AE13" s="28">
        <f t="shared" si="2"/>
        <v>22</v>
      </c>
      <c r="AF13" s="28">
        <f t="shared" si="2"/>
        <v>23</v>
      </c>
      <c r="AG13" s="28">
        <f t="shared" si="2"/>
        <v>24</v>
      </c>
      <c r="AH13" s="28">
        <f t="shared" si="2"/>
        <v>25</v>
      </c>
      <c r="AI13" s="28">
        <f t="shared" si="2"/>
        <v>26</v>
      </c>
      <c r="AJ13" s="28">
        <f t="shared" si="2"/>
        <v>27</v>
      </c>
      <c r="AK13" s="28">
        <f t="shared" si="2"/>
        <v>28</v>
      </c>
      <c r="AL13" s="28">
        <f t="shared" si="2"/>
        <v>29</v>
      </c>
      <c r="AM13" s="28">
        <f t="shared" si="2"/>
        <v>30</v>
      </c>
      <c r="AN13" s="28">
        <f t="shared" si="2"/>
        <v>31</v>
      </c>
      <c r="AO13" s="28">
        <f t="shared" si="2"/>
        <v>32</v>
      </c>
      <c r="AP13" s="28">
        <f t="shared" si="2"/>
        <v>33</v>
      </c>
      <c r="AQ13" s="28">
        <f t="shared" si="2"/>
        <v>34</v>
      </c>
      <c r="AR13" s="28">
        <f t="shared" si="2"/>
        <v>35</v>
      </c>
      <c r="AS13" s="28">
        <f t="shared" si="2"/>
        <v>36</v>
      </c>
      <c r="AT13" s="28">
        <f t="shared" si="2"/>
        <v>37</v>
      </c>
      <c r="AU13" s="28">
        <f t="shared" si="2"/>
        <v>38</v>
      </c>
      <c r="AV13" s="28">
        <f t="shared" si="2"/>
        <v>39</v>
      </c>
      <c r="AW13" s="28">
        <f t="shared" si="2"/>
        <v>40</v>
      </c>
      <c r="AX13" s="28">
        <f t="shared" si="2"/>
        <v>41</v>
      </c>
      <c r="AY13" s="28">
        <f t="shared" si="2"/>
        <v>42</v>
      </c>
      <c r="AZ13" s="28">
        <f t="shared" si="2"/>
        <v>43</v>
      </c>
      <c r="BA13" s="28">
        <f t="shared" si="2"/>
        <v>44</v>
      </c>
      <c r="BB13" s="28">
        <f t="shared" si="2"/>
        <v>45</v>
      </c>
      <c r="BC13" s="28">
        <f t="shared" si="2"/>
        <v>46</v>
      </c>
      <c r="BD13" s="28">
        <f t="shared" si="2"/>
        <v>47</v>
      </c>
      <c r="BE13" s="28">
        <f t="shared" si="2"/>
        <v>48</v>
      </c>
      <c r="BF13" s="28">
        <f t="shared" si="2"/>
        <v>49</v>
      </c>
      <c r="BG13" s="28">
        <f t="shared" si="2"/>
        <v>50</v>
      </c>
      <c r="BH13" s="28">
        <f t="shared" si="2"/>
        <v>51</v>
      </c>
      <c r="BI13" s="28">
        <f t="shared" si="2"/>
        <v>52</v>
      </c>
      <c r="BJ13" s="28">
        <f t="shared" si="2"/>
        <v>53</v>
      </c>
      <c r="BK13" s="28">
        <f t="shared" si="2"/>
        <v>54</v>
      </c>
      <c r="BL13" s="28">
        <f t="shared" si="2"/>
        <v>55</v>
      </c>
      <c r="BM13" s="28">
        <f t="shared" si="2"/>
        <v>56</v>
      </c>
      <c r="BN13" s="28">
        <f t="shared" si="2"/>
        <v>57</v>
      </c>
      <c r="BO13" s="28">
        <f t="shared" si="2"/>
        <v>58</v>
      </c>
      <c r="BP13" s="28">
        <f t="shared" si="2"/>
        <v>59</v>
      </c>
      <c r="BQ13" s="28">
        <f t="shared" ref="BQ13:CV13" si="3" xml:space="preserve"> BQ$10</f>
        <v>60</v>
      </c>
      <c r="BR13" s="28">
        <f t="shared" si="3"/>
        <v>61</v>
      </c>
      <c r="BS13" s="28">
        <f t="shared" si="3"/>
        <v>62</v>
      </c>
      <c r="BT13" s="28">
        <f t="shared" si="3"/>
        <v>63</v>
      </c>
      <c r="BU13" s="28">
        <f t="shared" si="3"/>
        <v>64</v>
      </c>
      <c r="BV13" s="28">
        <f t="shared" si="3"/>
        <v>65</v>
      </c>
      <c r="BW13" s="28">
        <f t="shared" si="3"/>
        <v>66</v>
      </c>
      <c r="BX13" s="28">
        <f t="shared" si="3"/>
        <v>67</v>
      </c>
      <c r="BY13" s="28">
        <f t="shared" si="3"/>
        <v>68</v>
      </c>
      <c r="BZ13" s="28">
        <f t="shared" si="3"/>
        <v>69</v>
      </c>
      <c r="CA13" s="28">
        <f t="shared" si="3"/>
        <v>70</v>
      </c>
      <c r="CB13" s="28">
        <f t="shared" si="3"/>
        <v>71</v>
      </c>
      <c r="CC13" s="28">
        <f t="shared" si="3"/>
        <v>72</v>
      </c>
      <c r="CD13" s="28">
        <f t="shared" si="3"/>
        <v>73</v>
      </c>
      <c r="CE13" s="28">
        <f t="shared" si="3"/>
        <v>74</v>
      </c>
      <c r="CF13" s="28">
        <f t="shared" si="3"/>
        <v>75</v>
      </c>
      <c r="CG13" s="28">
        <f t="shared" si="3"/>
        <v>76</v>
      </c>
      <c r="CH13" s="28">
        <f t="shared" si="3"/>
        <v>77</v>
      </c>
      <c r="CI13" s="28">
        <f t="shared" si="3"/>
        <v>78</v>
      </c>
      <c r="CJ13" s="28">
        <f t="shared" si="3"/>
        <v>79</v>
      </c>
      <c r="CK13" s="28">
        <f t="shared" si="3"/>
        <v>80</v>
      </c>
      <c r="CL13" s="28">
        <f t="shared" si="3"/>
        <v>81</v>
      </c>
      <c r="CM13" s="28">
        <f t="shared" si="3"/>
        <v>82</v>
      </c>
      <c r="CN13" s="28">
        <f t="shared" si="3"/>
        <v>83</v>
      </c>
      <c r="CO13" s="28">
        <f t="shared" si="3"/>
        <v>84</v>
      </c>
      <c r="CP13" s="28">
        <f t="shared" si="3"/>
        <v>85</v>
      </c>
      <c r="CQ13" s="28">
        <f t="shared" si="3"/>
        <v>86</v>
      </c>
      <c r="CR13" s="28">
        <f t="shared" si="3"/>
        <v>87</v>
      </c>
      <c r="CS13" s="28">
        <f t="shared" si="3"/>
        <v>88</v>
      </c>
      <c r="CT13" s="28">
        <f t="shared" si="3"/>
        <v>89</v>
      </c>
      <c r="CU13" s="28">
        <f t="shared" si="3"/>
        <v>90</v>
      </c>
      <c r="CV13" s="28">
        <f t="shared" si="3"/>
        <v>91</v>
      </c>
    </row>
    <row r="14" spans="1:100" s="188" customFormat="1" outlineLevel="2" x14ac:dyDescent="0.2">
      <c r="A14" s="141"/>
      <c r="B14" s="141"/>
      <c r="C14" s="142"/>
      <c r="D14" s="143"/>
      <c r="E14" s="187" t="s">
        <v>1</v>
      </c>
      <c r="F14" s="187"/>
      <c r="G14" s="187" t="s">
        <v>5</v>
      </c>
      <c r="H14" s="188">
        <f xml:space="preserve"> SUM(J14:CV14)</f>
        <v>1</v>
      </c>
      <c r="I14" s="144"/>
      <c r="J14" s="187">
        <f t="shared" ref="J14:BU14" si="4" xml:space="preserve"> IF(J13 = 1, 1, 0)</f>
        <v>1</v>
      </c>
      <c r="K14" s="187">
        <f t="shared" si="4"/>
        <v>0</v>
      </c>
      <c r="L14" s="187">
        <f t="shared" si="4"/>
        <v>0</v>
      </c>
      <c r="M14" s="187">
        <f t="shared" si="4"/>
        <v>0</v>
      </c>
      <c r="N14" s="187">
        <f t="shared" si="4"/>
        <v>0</v>
      </c>
      <c r="O14" s="187">
        <f t="shared" si="4"/>
        <v>0</v>
      </c>
      <c r="P14" s="187">
        <f t="shared" si="4"/>
        <v>0</v>
      </c>
      <c r="Q14" s="187">
        <f t="shared" si="4"/>
        <v>0</v>
      </c>
      <c r="R14" s="187">
        <f t="shared" si="4"/>
        <v>0</v>
      </c>
      <c r="S14" s="187">
        <f t="shared" si="4"/>
        <v>0</v>
      </c>
      <c r="T14" s="187">
        <f t="shared" si="4"/>
        <v>0</v>
      </c>
      <c r="U14" s="187">
        <f t="shared" si="4"/>
        <v>0</v>
      </c>
      <c r="V14" s="187">
        <f t="shared" si="4"/>
        <v>0</v>
      </c>
      <c r="W14" s="187">
        <f t="shared" si="4"/>
        <v>0</v>
      </c>
      <c r="X14" s="187">
        <f t="shared" si="4"/>
        <v>0</v>
      </c>
      <c r="Y14" s="187">
        <f t="shared" si="4"/>
        <v>0</v>
      </c>
      <c r="Z14" s="187">
        <f t="shared" si="4"/>
        <v>0</v>
      </c>
      <c r="AA14" s="187">
        <f t="shared" si="4"/>
        <v>0</v>
      </c>
      <c r="AB14" s="187">
        <f t="shared" si="4"/>
        <v>0</v>
      </c>
      <c r="AC14" s="187">
        <f t="shared" si="4"/>
        <v>0</v>
      </c>
      <c r="AD14" s="187">
        <f t="shared" si="4"/>
        <v>0</v>
      </c>
      <c r="AE14" s="187">
        <f t="shared" si="4"/>
        <v>0</v>
      </c>
      <c r="AF14" s="187">
        <f t="shared" si="4"/>
        <v>0</v>
      </c>
      <c r="AG14" s="187">
        <f t="shared" si="4"/>
        <v>0</v>
      </c>
      <c r="AH14" s="187">
        <f t="shared" si="4"/>
        <v>0</v>
      </c>
      <c r="AI14" s="187">
        <f t="shared" si="4"/>
        <v>0</v>
      </c>
      <c r="AJ14" s="187">
        <f t="shared" si="4"/>
        <v>0</v>
      </c>
      <c r="AK14" s="187">
        <f t="shared" si="4"/>
        <v>0</v>
      </c>
      <c r="AL14" s="187">
        <f t="shared" si="4"/>
        <v>0</v>
      </c>
      <c r="AM14" s="187">
        <f t="shared" si="4"/>
        <v>0</v>
      </c>
      <c r="AN14" s="187">
        <f t="shared" si="4"/>
        <v>0</v>
      </c>
      <c r="AO14" s="187">
        <f t="shared" si="4"/>
        <v>0</v>
      </c>
      <c r="AP14" s="187">
        <f t="shared" si="4"/>
        <v>0</v>
      </c>
      <c r="AQ14" s="187">
        <f t="shared" si="4"/>
        <v>0</v>
      </c>
      <c r="AR14" s="187">
        <f t="shared" si="4"/>
        <v>0</v>
      </c>
      <c r="AS14" s="187">
        <f t="shared" si="4"/>
        <v>0</v>
      </c>
      <c r="AT14" s="187">
        <f t="shared" si="4"/>
        <v>0</v>
      </c>
      <c r="AU14" s="187">
        <f t="shared" si="4"/>
        <v>0</v>
      </c>
      <c r="AV14" s="187">
        <f t="shared" si="4"/>
        <v>0</v>
      </c>
      <c r="AW14" s="187">
        <f t="shared" si="4"/>
        <v>0</v>
      </c>
      <c r="AX14" s="187">
        <f t="shared" si="4"/>
        <v>0</v>
      </c>
      <c r="AY14" s="187">
        <f t="shared" si="4"/>
        <v>0</v>
      </c>
      <c r="AZ14" s="187">
        <f t="shared" si="4"/>
        <v>0</v>
      </c>
      <c r="BA14" s="187">
        <f t="shared" si="4"/>
        <v>0</v>
      </c>
      <c r="BB14" s="187">
        <f t="shared" si="4"/>
        <v>0</v>
      </c>
      <c r="BC14" s="187">
        <f t="shared" si="4"/>
        <v>0</v>
      </c>
      <c r="BD14" s="187">
        <f t="shared" si="4"/>
        <v>0</v>
      </c>
      <c r="BE14" s="187">
        <f t="shared" si="4"/>
        <v>0</v>
      </c>
      <c r="BF14" s="187">
        <f t="shared" si="4"/>
        <v>0</v>
      </c>
      <c r="BG14" s="187">
        <f t="shared" si="4"/>
        <v>0</v>
      </c>
      <c r="BH14" s="187">
        <f t="shared" si="4"/>
        <v>0</v>
      </c>
      <c r="BI14" s="187">
        <f t="shared" si="4"/>
        <v>0</v>
      </c>
      <c r="BJ14" s="187">
        <f t="shared" si="4"/>
        <v>0</v>
      </c>
      <c r="BK14" s="187">
        <f t="shared" si="4"/>
        <v>0</v>
      </c>
      <c r="BL14" s="187">
        <f t="shared" si="4"/>
        <v>0</v>
      </c>
      <c r="BM14" s="187">
        <f t="shared" si="4"/>
        <v>0</v>
      </c>
      <c r="BN14" s="187">
        <f t="shared" si="4"/>
        <v>0</v>
      </c>
      <c r="BO14" s="187">
        <f t="shared" si="4"/>
        <v>0</v>
      </c>
      <c r="BP14" s="187">
        <f t="shared" si="4"/>
        <v>0</v>
      </c>
      <c r="BQ14" s="187">
        <f t="shared" si="4"/>
        <v>0</v>
      </c>
      <c r="BR14" s="187">
        <f t="shared" si="4"/>
        <v>0</v>
      </c>
      <c r="BS14" s="187">
        <f t="shared" si="4"/>
        <v>0</v>
      </c>
      <c r="BT14" s="187">
        <f t="shared" si="4"/>
        <v>0</v>
      </c>
      <c r="BU14" s="187">
        <f t="shared" si="4"/>
        <v>0</v>
      </c>
      <c r="BV14" s="187">
        <f t="shared" ref="BV14:CV14" si="5" xml:space="preserve"> IF(BV13 = 1, 1, 0)</f>
        <v>0</v>
      </c>
      <c r="BW14" s="187">
        <f t="shared" si="5"/>
        <v>0</v>
      </c>
      <c r="BX14" s="187">
        <f t="shared" si="5"/>
        <v>0</v>
      </c>
      <c r="BY14" s="187">
        <f t="shared" si="5"/>
        <v>0</v>
      </c>
      <c r="BZ14" s="187">
        <f t="shared" si="5"/>
        <v>0</v>
      </c>
      <c r="CA14" s="187">
        <f t="shared" si="5"/>
        <v>0</v>
      </c>
      <c r="CB14" s="187">
        <f t="shared" si="5"/>
        <v>0</v>
      </c>
      <c r="CC14" s="187">
        <f t="shared" si="5"/>
        <v>0</v>
      </c>
      <c r="CD14" s="187">
        <f t="shared" si="5"/>
        <v>0</v>
      </c>
      <c r="CE14" s="187">
        <f t="shared" si="5"/>
        <v>0</v>
      </c>
      <c r="CF14" s="187">
        <f t="shared" si="5"/>
        <v>0</v>
      </c>
      <c r="CG14" s="187">
        <f t="shared" si="5"/>
        <v>0</v>
      </c>
      <c r="CH14" s="187">
        <f t="shared" si="5"/>
        <v>0</v>
      </c>
      <c r="CI14" s="187">
        <f t="shared" si="5"/>
        <v>0</v>
      </c>
      <c r="CJ14" s="187">
        <f t="shared" si="5"/>
        <v>0</v>
      </c>
      <c r="CK14" s="187">
        <f t="shared" si="5"/>
        <v>0</v>
      </c>
      <c r="CL14" s="187">
        <f t="shared" si="5"/>
        <v>0</v>
      </c>
      <c r="CM14" s="187">
        <f t="shared" si="5"/>
        <v>0</v>
      </c>
      <c r="CN14" s="187">
        <f t="shared" si="5"/>
        <v>0</v>
      </c>
      <c r="CO14" s="187">
        <f t="shared" si="5"/>
        <v>0</v>
      </c>
      <c r="CP14" s="187">
        <f t="shared" si="5"/>
        <v>0</v>
      </c>
      <c r="CQ14" s="187">
        <f t="shared" si="5"/>
        <v>0</v>
      </c>
      <c r="CR14" s="187">
        <f t="shared" si="5"/>
        <v>0</v>
      </c>
      <c r="CS14" s="187">
        <f t="shared" si="5"/>
        <v>0</v>
      </c>
      <c r="CT14" s="187">
        <f t="shared" si="5"/>
        <v>0</v>
      </c>
      <c r="CU14" s="187">
        <f t="shared" si="5"/>
        <v>0</v>
      </c>
      <c r="CV14" s="187">
        <f t="shared" si="5"/>
        <v>0</v>
      </c>
    </row>
    <row r="15" spans="1:100" outlineLevel="1" x14ac:dyDescent="0.2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</row>
    <row r="16" spans="1:100" outlineLevel="1" x14ac:dyDescent="0.2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</row>
    <row r="17" spans="1:100" outlineLevel="2" x14ac:dyDescent="0.2">
      <c r="A17" s="54"/>
      <c r="B17" s="54"/>
      <c r="C17" s="57"/>
      <c r="D17" s="58"/>
      <c r="E17" s="300" t="str">
        <f xml:space="preserve"> InpC!E$13</f>
        <v>First date of time rulers</v>
      </c>
      <c r="F17" s="300">
        <f xml:space="preserve"> InpC!F$13</f>
        <v>44562</v>
      </c>
      <c r="G17" s="300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</row>
    <row r="18" spans="1:100" outlineLevel="2" x14ac:dyDescent="0.2">
      <c r="E18" s="189" t="str">
        <f xml:space="preserve"> InpC!E$16</f>
        <v>Length of operating period</v>
      </c>
      <c r="F18" s="189">
        <f xml:space="preserve"> InpC!F$16</f>
        <v>6</v>
      </c>
      <c r="G18" s="189" t="str">
        <f xml:space="preserve"> InpC!G$16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</row>
    <row r="19" spans="1:100" outlineLevel="2" x14ac:dyDescent="0.2">
      <c r="B19" s="54"/>
      <c r="E19" s="2" t="str">
        <f t="shared" ref="E19:BP19" si="6" xml:space="preserve"> E$14</f>
        <v>First model column flag</v>
      </c>
      <c r="F19" s="2">
        <f t="shared" si="6"/>
        <v>0</v>
      </c>
      <c r="G19" s="2" t="str">
        <f t="shared" si="6"/>
        <v>flag</v>
      </c>
      <c r="H19" s="2">
        <f t="shared" si="6"/>
        <v>1</v>
      </c>
      <c r="I19" s="16">
        <f t="shared" si="6"/>
        <v>0</v>
      </c>
      <c r="J19" s="2">
        <f t="shared" si="6"/>
        <v>1</v>
      </c>
      <c r="K19" s="2">
        <f t="shared" si="6"/>
        <v>0</v>
      </c>
      <c r="L19" s="2">
        <f t="shared" si="6"/>
        <v>0</v>
      </c>
      <c r="M19" s="2">
        <f t="shared" si="6"/>
        <v>0</v>
      </c>
      <c r="N19" s="2">
        <f t="shared" si="6"/>
        <v>0</v>
      </c>
      <c r="O19" s="2">
        <f t="shared" si="6"/>
        <v>0</v>
      </c>
      <c r="P19" s="2">
        <f t="shared" si="6"/>
        <v>0</v>
      </c>
      <c r="Q19" s="2">
        <f t="shared" si="6"/>
        <v>0</v>
      </c>
      <c r="R19" s="2">
        <f t="shared" si="6"/>
        <v>0</v>
      </c>
      <c r="S19" s="2">
        <f t="shared" si="6"/>
        <v>0</v>
      </c>
      <c r="T19" s="2">
        <f t="shared" si="6"/>
        <v>0</v>
      </c>
      <c r="U19" s="2">
        <f t="shared" si="6"/>
        <v>0</v>
      </c>
      <c r="V19" s="2">
        <f t="shared" si="6"/>
        <v>0</v>
      </c>
      <c r="W19" s="2">
        <f t="shared" si="6"/>
        <v>0</v>
      </c>
      <c r="X19" s="2">
        <f t="shared" si="6"/>
        <v>0</v>
      </c>
      <c r="Y19" s="2">
        <f t="shared" si="6"/>
        <v>0</v>
      </c>
      <c r="Z19" s="2">
        <f t="shared" si="6"/>
        <v>0</v>
      </c>
      <c r="AA19" s="2">
        <f t="shared" si="6"/>
        <v>0</v>
      </c>
      <c r="AB19" s="2">
        <f t="shared" si="6"/>
        <v>0</v>
      </c>
      <c r="AC19" s="2">
        <f t="shared" si="6"/>
        <v>0</v>
      </c>
      <c r="AD19" s="2">
        <f t="shared" si="6"/>
        <v>0</v>
      </c>
      <c r="AE19" s="2">
        <f t="shared" si="6"/>
        <v>0</v>
      </c>
      <c r="AF19" s="2">
        <f t="shared" si="6"/>
        <v>0</v>
      </c>
      <c r="AG19" s="2">
        <f t="shared" si="6"/>
        <v>0</v>
      </c>
      <c r="AH19" s="2">
        <f t="shared" si="6"/>
        <v>0</v>
      </c>
      <c r="AI19" s="2">
        <f t="shared" si="6"/>
        <v>0</v>
      </c>
      <c r="AJ19" s="2">
        <f t="shared" si="6"/>
        <v>0</v>
      </c>
      <c r="AK19" s="2">
        <f t="shared" si="6"/>
        <v>0</v>
      </c>
      <c r="AL19" s="2">
        <f t="shared" si="6"/>
        <v>0</v>
      </c>
      <c r="AM19" s="2">
        <f t="shared" si="6"/>
        <v>0</v>
      </c>
      <c r="AN19" s="2">
        <f t="shared" si="6"/>
        <v>0</v>
      </c>
      <c r="AO19" s="2">
        <f t="shared" si="6"/>
        <v>0</v>
      </c>
      <c r="AP19" s="2">
        <f t="shared" si="6"/>
        <v>0</v>
      </c>
      <c r="AQ19" s="2">
        <f t="shared" si="6"/>
        <v>0</v>
      </c>
      <c r="AR19" s="2">
        <f t="shared" si="6"/>
        <v>0</v>
      </c>
      <c r="AS19" s="2">
        <f t="shared" si="6"/>
        <v>0</v>
      </c>
      <c r="AT19" s="2">
        <f t="shared" si="6"/>
        <v>0</v>
      </c>
      <c r="AU19" s="2">
        <f t="shared" si="6"/>
        <v>0</v>
      </c>
      <c r="AV19" s="2">
        <f t="shared" si="6"/>
        <v>0</v>
      </c>
      <c r="AW19" s="2">
        <f t="shared" si="6"/>
        <v>0</v>
      </c>
      <c r="AX19" s="2">
        <f t="shared" si="6"/>
        <v>0</v>
      </c>
      <c r="AY19" s="2">
        <f t="shared" si="6"/>
        <v>0</v>
      </c>
      <c r="AZ19" s="2">
        <f t="shared" si="6"/>
        <v>0</v>
      </c>
      <c r="BA19" s="2">
        <f t="shared" si="6"/>
        <v>0</v>
      </c>
      <c r="BB19" s="2">
        <f t="shared" si="6"/>
        <v>0</v>
      </c>
      <c r="BC19" s="2">
        <f t="shared" si="6"/>
        <v>0</v>
      </c>
      <c r="BD19" s="2">
        <f t="shared" si="6"/>
        <v>0</v>
      </c>
      <c r="BE19" s="2">
        <f t="shared" si="6"/>
        <v>0</v>
      </c>
      <c r="BF19" s="2">
        <f t="shared" si="6"/>
        <v>0</v>
      </c>
      <c r="BG19" s="2">
        <f t="shared" si="6"/>
        <v>0</v>
      </c>
      <c r="BH19" s="2">
        <f t="shared" si="6"/>
        <v>0</v>
      </c>
      <c r="BI19" s="2">
        <f t="shared" si="6"/>
        <v>0</v>
      </c>
      <c r="BJ19" s="2">
        <f t="shared" si="6"/>
        <v>0</v>
      </c>
      <c r="BK19" s="2">
        <f t="shared" si="6"/>
        <v>0</v>
      </c>
      <c r="BL19" s="2">
        <f t="shared" si="6"/>
        <v>0</v>
      </c>
      <c r="BM19" s="2">
        <f t="shared" si="6"/>
        <v>0</v>
      </c>
      <c r="BN19" s="2">
        <f t="shared" si="6"/>
        <v>0</v>
      </c>
      <c r="BO19" s="2">
        <f t="shared" si="6"/>
        <v>0</v>
      </c>
      <c r="BP19" s="2">
        <f t="shared" si="6"/>
        <v>0</v>
      </c>
      <c r="BQ19" s="2">
        <f t="shared" ref="BQ19:CV19" si="7" xml:space="preserve"> BQ$14</f>
        <v>0</v>
      </c>
      <c r="BR19" s="2">
        <f t="shared" si="7"/>
        <v>0</v>
      </c>
      <c r="BS19" s="2">
        <f t="shared" si="7"/>
        <v>0</v>
      </c>
      <c r="BT19" s="2">
        <f t="shared" si="7"/>
        <v>0</v>
      </c>
      <c r="BU19" s="2">
        <f t="shared" si="7"/>
        <v>0</v>
      </c>
      <c r="BV19" s="2">
        <f t="shared" si="7"/>
        <v>0</v>
      </c>
      <c r="BW19" s="2">
        <f t="shared" si="7"/>
        <v>0</v>
      </c>
      <c r="BX19" s="2">
        <f t="shared" si="7"/>
        <v>0</v>
      </c>
      <c r="BY19" s="2">
        <f t="shared" si="7"/>
        <v>0</v>
      </c>
      <c r="BZ19" s="2">
        <f t="shared" si="7"/>
        <v>0</v>
      </c>
      <c r="CA19" s="2">
        <f t="shared" si="7"/>
        <v>0</v>
      </c>
      <c r="CB19" s="2">
        <f t="shared" si="7"/>
        <v>0</v>
      </c>
      <c r="CC19" s="2">
        <f t="shared" si="7"/>
        <v>0</v>
      </c>
      <c r="CD19" s="2">
        <f t="shared" si="7"/>
        <v>0</v>
      </c>
      <c r="CE19" s="2">
        <f t="shared" si="7"/>
        <v>0</v>
      </c>
      <c r="CF19" s="2">
        <f t="shared" si="7"/>
        <v>0</v>
      </c>
      <c r="CG19" s="2">
        <f t="shared" si="7"/>
        <v>0</v>
      </c>
      <c r="CH19" s="2">
        <f t="shared" si="7"/>
        <v>0</v>
      </c>
      <c r="CI19" s="2">
        <f t="shared" si="7"/>
        <v>0</v>
      </c>
      <c r="CJ19" s="2">
        <f t="shared" si="7"/>
        <v>0</v>
      </c>
      <c r="CK19" s="2">
        <f t="shared" si="7"/>
        <v>0</v>
      </c>
      <c r="CL19" s="2">
        <f t="shared" si="7"/>
        <v>0</v>
      </c>
      <c r="CM19" s="2">
        <f t="shared" si="7"/>
        <v>0</v>
      </c>
      <c r="CN19" s="2">
        <f t="shared" si="7"/>
        <v>0</v>
      </c>
      <c r="CO19" s="2">
        <f t="shared" si="7"/>
        <v>0</v>
      </c>
      <c r="CP19" s="2">
        <f t="shared" si="7"/>
        <v>0</v>
      </c>
      <c r="CQ19" s="2">
        <f t="shared" si="7"/>
        <v>0</v>
      </c>
      <c r="CR19" s="2">
        <f t="shared" si="7"/>
        <v>0</v>
      </c>
      <c r="CS19" s="2">
        <f t="shared" si="7"/>
        <v>0</v>
      </c>
      <c r="CT19" s="2">
        <f t="shared" si="7"/>
        <v>0</v>
      </c>
      <c r="CU19" s="2">
        <f t="shared" si="7"/>
        <v>0</v>
      </c>
      <c r="CV19" s="2">
        <f t="shared" si="7"/>
        <v>0</v>
      </c>
    </row>
    <row r="20" spans="1:100" s="188" customFormat="1" outlineLevel="2" x14ac:dyDescent="0.2">
      <c r="A20" s="128"/>
      <c r="B20" s="533"/>
      <c r="C20" s="129"/>
      <c r="D20" s="193"/>
      <c r="E20" s="131" t="s">
        <v>16</v>
      </c>
      <c r="F20" s="131"/>
      <c r="G20" s="131" t="s">
        <v>6</v>
      </c>
      <c r="H20" s="131"/>
      <c r="I20" s="139"/>
      <c r="J20" s="131">
        <f t="shared" ref="J20:BU20" si="8" xml:space="preserve"> IF(J19 = 1, $F17, DATE(YEAR(I20), MONTH(I20) + $F18, DAY(1)))</f>
        <v>44562</v>
      </c>
      <c r="K20" s="131">
        <f t="shared" si="8"/>
        <v>44743</v>
      </c>
      <c r="L20" s="131">
        <f t="shared" si="8"/>
        <v>44927</v>
      </c>
      <c r="M20" s="131">
        <f t="shared" si="8"/>
        <v>45108</v>
      </c>
      <c r="N20" s="131">
        <f t="shared" si="8"/>
        <v>45292</v>
      </c>
      <c r="O20" s="131">
        <f t="shared" si="8"/>
        <v>45474</v>
      </c>
      <c r="P20" s="131">
        <f t="shared" si="8"/>
        <v>45658</v>
      </c>
      <c r="Q20" s="131">
        <f t="shared" si="8"/>
        <v>45839</v>
      </c>
      <c r="R20" s="131">
        <f t="shared" si="8"/>
        <v>46023</v>
      </c>
      <c r="S20" s="131">
        <f t="shared" si="8"/>
        <v>46204</v>
      </c>
      <c r="T20" s="131">
        <f t="shared" si="8"/>
        <v>46388</v>
      </c>
      <c r="U20" s="131">
        <f t="shared" si="8"/>
        <v>46569</v>
      </c>
      <c r="V20" s="131">
        <f t="shared" si="8"/>
        <v>46753</v>
      </c>
      <c r="W20" s="131">
        <f t="shared" si="8"/>
        <v>46935</v>
      </c>
      <c r="X20" s="131">
        <f t="shared" si="8"/>
        <v>47119</v>
      </c>
      <c r="Y20" s="131">
        <f t="shared" si="8"/>
        <v>47300</v>
      </c>
      <c r="Z20" s="131">
        <f t="shared" si="8"/>
        <v>47484</v>
      </c>
      <c r="AA20" s="131">
        <f t="shared" si="8"/>
        <v>47665</v>
      </c>
      <c r="AB20" s="131">
        <f t="shared" si="8"/>
        <v>47849</v>
      </c>
      <c r="AC20" s="131">
        <f t="shared" si="8"/>
        <v>48030</v>
      </c>
      <c r="AD20" s="131">
        <f t="shared" si="8"/>
        <v>48214</v>
      </c>
      <c r="AE20" s="131">
        <f t="shared" si="8"/>
        <v>48396</v>
      </c>
      <c r="AF20" s="131">
        <f t="shared" si="8"/>
        <v>48580</v>
      </c>
      <c r="AG20" s="131">
        <f t="shared" si="8"/>
        <v>48761</v>
      </c>
      <c r="AH20" s="131">
        <f t="shared" si="8"/>
        <v>48945</v>
      </c>
      <c r="AI20" s="131">
        <f t="shared" si="8"/>
        <v>49126</v>
      </c>
      <c r="AJ20" s="131">
        <f t="shared" si="8"/>
        <v>49310</v>
      </c>
      <c r="AK20" s="131">
        <f t="shared" si="8"/>
        <v>49491</v>
      </c>
      <c r="AL20" s="131">
        <f t="shared" si="8"/>
        <v>49675</v>
      </c>
      <c r="AM20" s="131">
        <f t="shared" si="8"/>
        <v>49857</v>
      </c>
      <c r="AN20" s="131">
        <f t="shared" si="8"/>
        <v>50041</v>
      </c>
      <c r="AO20" s="131">
        <f t="shared" si="8"/>
        <v>50222</v>
      </c>
      <c r="AP20" s="131">
        <f t="shared" si="8"/>
        <v>50406</v>
      </c>
      <c r="AQ20" s="131">
        <f t="shared" si="8"/>
        <v>50587</v>
      </c>
      <c r="AR20" s="131">
        <f t="shared" si="8"/>
        <v>50771</v>
      </c>
      <c r="AS20" s="131">
        <f t="shared" si="8"/>
        <v>50952</v>
      </c>
      <c r="AT20" s="131">
        <f t="shared" si="8"/>
        <v>51136</v>
      </c>
      <c r="AU20" s="131">
        <f t="shared" si="8"/>
        <v>51318</v>
      </c>
      <c r="AV20" s="131">
        <f t="shared" si="8"/>
        <v>51502</v>
      </c>
      <c r="AW20" s="131">
        <f t="shared" si="8"/>
        <v>51683</v>
      </c>
      <c r="AX20" s="131">
        <f t="shared" si="8"/>
        <v>51867</v>
      </c>
      <c r="AY20" s="131">
        <f t="shared" si="8"/>
        <v>52048</v>
      </c>
      <c r="AZ20" s="131">
        <f t="shared" si="8"/>
        <v>52232</v>
      </c>
      <c r="BA20" s="131">
        <f t="shared" si="8"/>
        <v>52413</v>
      </c>
      <c r="BB20" s="131">
        <f t="shared" si="8"/>
        <v>52597</v>
      </c>
      <c r="BC20" s="131">
        <f t="shared" si="8"/>
        <v>52779</v>
      </c>
      <c r="BD20" s="131">
        <f t="shared" si="8"/>
        <v>52963</v>
      </c>
      <c r="BE20" s="131">
        <f t="shared" si="8"/>
        <v>53144</v>
      </c>
      <c r="BF20" s="131">
        <f t="shared" si="8"/>
        <v>53328</v>
      </c>
      <c r="BG20" s="131">
        <f t="shared" si="8"/>
        <v>53509</v>
      </c>
      <c r="BH20" s="131">
        <f t="shared" si="8"/>
        <v>53693</v>
      </c>
      <c r="BI20" s="131">
        <f t="shared" si="8"/>
        <v>53874</v>
      </c>
      <c r="BJ20" s="131">
        <f t="shared" si="8"/>
        <v>54058</v>
      </c>
      <c r="BK20" s="131">
        <f t="shared" si="8"/>
        <v>54240</v>
      </c>
      <c r="BL20" s="131">
        <f t="shared" si="8"/>
        <v>54424</v>
      </c>
      <c r="BM20" s="131">
        <f t="shared" si="8"/>
        <v>54605</v>
      </c>
      <c r="BN20" s="131">
        <f t="shared" si="8"/>
        <v>54789</v>
      </c>
      <c r="BO20" s="131">
        <f t="shared" si="8"/>
        <v>54970</v>
      </c>
      <c r="BP20" s="131">
        <f t="shared" si="8"/>
        <v>55154</v>
      </c>
      <c r="BQ20" s="131">
        <f t="shared" si="8"/>
        <v>55335</v>
      </c>
      <c r="BR20" s="131">
        <f t="shared" si="8"/>
        <v>55519</v>
      </c>
      <c r="BS20" s="131">
        <f t="shared" si="8"/>
        <v>55701</v>
      </c>
      <c r="BT20" s="131">
        <f t="shared" si="8"/>
        <v>55885</v>
      </c>
      <c r="BU20" s="131">
        <f t="shared" si="8"/>
        <v>56066</v>
      </c>
      <c r="BV20" s="131">
        <f t="shared" ref="BV20:CV20" si="9" xml:space="preserve"> IF(BV19 = 1, $F17, DATE(YEAR(BU20), MONTH(BU20) + $F18, DAY(1)))</f>
        <v>56250</v>
      </c>
      <c r="BW20" s="131">
        <f t="shared" si="9"/>
        <v>56431</v>
      </c>
      <c r="BX20" s="131">
        <f t="shared" si="9"/>
        <v>56615</v>
      </c>
      <c r="BY20" s="131">
        <f t="shared" si="9"/>
        <v>56796</v>
      </c>
      <c r="BZ20" s="131">
        <f t="shared" si="9"/>
        <v>56980</v>
      </c>
      <c r="CA20" s="131">
        <f t="shared" si="9"/>
        <v>57162</v>
      </c>
      <c r="CB20" s="131">
        <f t="shared" si="9"/>
        <v>57346</v>
      </c>
      <c r="CC20" s="131">
        <f t="shared" si="9"/>
        <v>57527</v>
      </c>
      <c r="CD20" s="131">
        <f t="shared" si="9"/>
        <v>57711</v>
      </c>
      <c r="CE20" s="131">
        <f t="shared" si="9"/>
        <v>57892</v>
      </c>
      <c r="CF20" s="131">
        <f t="shared" si="9"/>
        <v>58076</v>
      </c>
      <c r="CG20" s="131">
        <f t="shared" si="9"/>
        <v>58257</v>
      </c>
      <c r="CH20" s="131">
        <f t="shared" si="9"/>
        <v>58441</v>
      </c>
      <c r="CI20" s="131">
        <f t="shared" si="9"/>
        <v>58623</v>
      </c>
      <c r="CJ20" s="131">
        <f t="shared" si="9"/>
        <v>58807</v>
      </c>
      <c r="CK20" s="131">
        <f t="shared" si="9"/>
        <v>58988</v>
      </c>
      <c r="CL20" s="131">
        <f t="shared" si="9"/>
        <v>59172</v>
      </c>
      <c r="CM20" s="131">
        <f t="shared" si="9"/>
        <v>59353</v>
      </c>
      <c r="CN20" s="131">
        <f t="shared" si="9"/>
        <v>59537</v>
      </c>
      <c r="CO20" s="131">
        <f t="shared" si="9"/>
        <v>59718</v>
      </c>
      <c r="CP20" s="131">
        <f t="shared" si="9"/>
        <v>59902</v>
      </c>
      <c r="CQ20" s="131">
        <f t="shared" si="9"/>
        <v>60084</v>
      </c>
      <c r="CR20" s="131">
        <f t="shared" si="9"/>
        <v>60268</v>
      </c>
      <c r="CS20" s="131">
        <f t="shared" si="9"/>
        <v>60449</v>
      </c>
      <c r="CT20" s="131">
        <f t="shared" si="9"/>
        <v>60633</v>
      </c>
      <c r="CU20" s="131">
        <f t="shared" si="9"/>
        <v>60814</v>
      </c>
      <c r="CV20" s="131">
        <f t="shared" si="9"/>
        <v>60998</v>
      </c>
    </row>
    <row r="21" spans="1:100" outlineLevel="1" x14ac:dyDescent="0.2">
      <c r="B21" s="54"/>
    </row>
    <row r="22" spans="1:100" outlineLevel="1" x14ac:dyDescent="0.2">
      <c r="B22" s="54" t="s">
        <v>11</v>
      </c>
    </row>
    <row r="23" spans="1:100" outlineLevel="2" x14ac:dyDescent="0.2">
      <c r="E23" s="189" t="str">
        <f xml:space="preserve"> InpC!E$16</f>
        <v>Length of operating period</v>
      </c>
      <c r="F23" s="189">
        <f xml:space="preserve"> InpC!F$16</f>
        <v>6</v>
      </c>
      <c r="G23" s="189" t="str">
        <f xml:space="preserve"> InpC!G$16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</row>
    <row r="24" spans="1:100" outlineLevel="2" x14ac:dyDescent="0.2">
      <c r="A24" s="49"/>
      <c r="C24" s="50"/>
      <c r="D24" s="51"/>
      <c r="E24" s="27" t="str">
        <f t="shared" ref="E24:BP24" si="10" xml:space="preserve"> E$20</f>
        <v>Model period beginning</v>
      </c>
      <c r="F24" s="27">
        <f t="shared" si="10"/>
        <v>0</v>
      </c>
      <c r="G24" s="27" t="str">
        <f t="shared" si="10"/>
        <v>date</v>
      </c>
      <c r="H24" s="27">
        <f t="shared" si="10"/>
        <v>0</v>
      </c>
      <c r="I24" s="135">
        <f t="shared" si="10"/>
        <v>0</v>
      </c>
      <c r="J24" s="27">
        <f t="shared" si="10"/>
        <v>44562</v>
      </c>
      <c r="K24" s="27">
        <f t="shared" si="10"/>
        <v>44743</v>
      </c>
      <c r="L24" s="27">
        <f t="shared" si="10"/>
        <v>44927</v>
      </c>
      <c r="M24" s="27">
        <f t="shared" si="10"/>
        <v>45108</v>
      </c>
      <c r="N24" s="27">
        <f t="shared" si="10"/>
        <v>45292</v>
      </c>
      <c r="O24" s="27">
        <f t="shared" si="10"/>
        <v>45474</v>
      </c>
      <c r="P24" s="27">
        <f t="shared" si="10"/>
        <v>45658</v>
      </c>
      <c r="Q24" s="27">
        <f t="shared" si="10"/>
        <v>45839</v>
      </c>
      <c r="R24" s="27">
        <f t="shared" si="10"/>
        <v>46023</v>
      </c>
      <c r="S24" s="27">
        <f t="shared" si="10"/>
        <v>46204</v>
      </c>
      <c r="T24" s="27">
        <f t="shared" si="10"/>
        <v>46388</v>
      </c>
      <c r="U24" s="27">
        <f t="shared" si="10"/>
        <v>46569</v>
      </c>
      <c r="V24" s="27">
        <f t="shared" si="10"/>
        <v>46753</v>
      </c>
      <c r="W24" s="27">
        <f t="shared" si="10"/>
        <v>46935</v>
      </c>
      <c r="X24" s="27">
        <f t="shared" si="10"/>
        <v>47119</v>
      </c>
      <c r="Y24" s="27">
        <f t="shared" si="10"/>
        <v>47300</v>
      </c>
      <c r="Z24" s="27">
        <f t="shared" si="10"/>
        <v>47484</v>
      </c>
      <c r="AA24" s="27">
        <f t="shared" si="10"/>
        <v>47665</v>
      </c>
      <c r="AB24" s="27">
        <f t="shared" si="10"/>
        <v>47849</v>
      </c>
      <c r="AC24" s="27">
        <f t="shared" si="10"/>
        <v>48030</v>
      </c>
      <c r="AD24" s="27">
        <f t="shared" si="10"/>
        <v>48214</v>
      </c>
      <c r="AE24" s="27">
        <f t="shared" si="10"/>
        <v>48396</v>
      </c>
      <c r="AF24" s="27">
        <f t="shared" si="10"/>
        <v>48580</v>
      </c>
      <c r="AG24" s="27">
        <f t="shared" si="10"/>
        <v>48761</v>
      </c>
      <c r="AH24" s="27">
        <f t="shared" si="10"/>
        <v>48945</v>
      </c>
      <c r="AI24" s="27">
        <f t="shared" si="10"/>
        <v>49126</v>
      </c>
      <c r="AJ24" s="27">
        <f t="shared" si="10"/>
        <v>49310</v>
      </c>
      <c r="AK24" s="27">
        <f t="shared" si="10"/>
        <v>49491</v>
      </c>
      <c r="AL24" s="27">
        <f t="shared" si="10"/>
        <v>49675</v>
      </c>
      <c r="AM24" s="27">
        <f t="shared" si="10"/>
        <v>49857</v>
      </c>
      <c r="AN24" s="27">
        <f t="shared" si="10"/>
        <v>50041</v>
      </c>
      <c r="AO24" s="27">
        <f t="shared" si="10"/>
        <v>50222</v>
      </c>
      <c r="AP24" s="27">
        <f t="shared" si="10"/>
        <v>50406</v>
      </c>
      <c r="AQ24" s="27">
        <f t="shared" si="10"/>
        <v>50587</v>
      </c>
      <c r="AR24" s="27">
        <f t="shared" si="10"/>
        <v>50771</v>
      </c>
      <c r="AS24" s="27">
        <f t="shared" si="10"/>
        <v>50952</v>
      </c>
      <c r="AT24" s="27">
        <f t="shared" si="10"/>
        <v>51136</v>
      </c>
      <c r="AU24" s="27">
        <f t="shared" si="10"/>
        <v>51318</v>
      </c>
      <c r="AV24" s="27">
        <f t="shared" si="10"/>
        <v>51502</v>
      </c>
      <c r="AW24" s="27">
        <f t="shared" si="10"/>
        <v>51683</v>
      </c>
      <c r="AX24" s="27">
        <f t="shared" si="10"/>
        <v>51867</v>
      </c>
      <c r="AY24" s="27">
        <f t="shared" si="10"/>
        <v>52048</v>
      </c>
      <c r="AZ24" s="27">
        <f t="shared" si="10"/>
        <v>52232</v>
      </c>
      <c r="BA24" s="27">
        <f t="shared" si="10"/>
        <v>52413</v>
      </c>
      <c r="BB24" s="27">
        <f t="shared" si="10"/>
        <v>52597</v>
      </c>
      <c r="BC24" s="27">
        <f t="shared" si="10"/>
        <v>52779</v>
      </c>
      <c r="BD24" s="27">
        <f t="shared" si="10"/>
        <v>52963</v>
      </c>
      <c r="BE24" s="27">
        <f t="shared" si="10"/>
        <v>53144</v>
      </c>
      <c r="BF24" s="27">
        <f t="shared" si="10"/>
        <v>53328</v>
      </c>
      <c r="BG24" s="27">
        <f t="shared" si="10"/>
        <v>53509</v>
      </c>
      <c r="BH24" s="27">
        <f t="shared" si="10"/>
        <v>53693</v>
      </c>
      <c r="BI24" s="27">
        <f t="shared" si="10"/>
        <v>53874</v>
      </c>
      <c r="BJ24" s="27">
        <f t="shared" si="10"/>
        <v>54058</v>
      </c>
      <c r="BK24" s="27">
        <f t="shared" si="10"/>
        <v>54240</v>
      </c>
      <c r="BL24" s="27">
        <f t="shared" si="10"/>
        <v>54424</v>
      </c>
      <c r="BM24" s="27">
        <f t="shared" si="10"/>
        <v>54605</v>
      </c>
      <c r="BN24" s="27">
        <f t="shared" si="10"/>
        <v>54789</v>
      </c>
      <c r="BO24" s="27">
        <f t="shared" si="10"/>
        <v>54970</v>
      </c>
      <c r="BP24" s="27">
        <f t="shared" si="10"/>
        <v>55154</v>
      </c>
      <c r="BQ24" s="27">
        <f t="shared" ref="BQ24:CV24" si="11" xml:space="preserve"> BQ$20</f>
        <v>55335</v>
      </c>
      <c r="BR24" s="27">
        <f t="shared" si="11"/>
        <v>55519</v>
      </c>
      <c r="BS24" s="27">
        <f t="shared" si="11"/>
        <v>55701</v>
      </c>
      <c r="BT24" s="27">
        <f t="shared" si="11"/>
        <v>55885</v>
      </c>
      <c r="BU24" s="27">
        <f t="shared" si="11"/>
        <v>56066</v>
      </c>
      <c r="BV24" s="27">
        <f t="shared" si="11"/>
        <v>56250</v>
      </c>
      <c r="BW24" s="27">
        <f t="shared" si="11"/>
        <v>56431</v>
      </c>
      <c r="BX24" s="27">
        <f t="shared" si="11"/>
        <v>56615</v>
      </c>
      <c r="BY24" s="27">
        <f t="shared" si="11"/>
        <v>56796</v>
      </c>
      <c r="BZ24" s="27">
        <f t="shared" si="11"/>
        <v>56980</v>
      </c>
      <c r="CA24" s="27">
        <f t="shared" si="11"/>
        <v>57162</v>
      </c>
      <c r="CB24" s="27">
        <f t="shared" si="11"/>
        <v>57346</v>
      </c>
      <c r="CC24" s="27">
        <f t="shared" si="11"/>
        <v>57527</v>
      </c>
      <c r="CD24" s="27">
        <f t="shared" si="11"/>
        <v>57711</v>
      </c>
      <c r="CE24" s="27">
        <f t="shared" si="11"/>
        <v>57892</v>
      </c>
      <c r="CF24" s="27">
        <f t="shared" si="11"/>
        <v>58076</v>
      </c>
      <c r="CG24" s="27">
        <f t="shared" si="11"/>
        <v>58257</v>
      </c>
      <c r="CH24" s="27">
        <f t="shared" si="11"/>
        <v>58441</v>
      </c>
      <c r="CI24" s="27">
        <f t="shared" si="11"/>
        <v>58623</v>
      </c>
      <c r="CJ24" s="27">
        <f t="shared" si="11"/>
        <v>58807</v>
      </c>
      <c r="CK24" s="27">
        <f t="shared" si="11"/>
        <v>58988</v>
      </c>
      <c r="CL24" s="27">
        <f t="shared" si="11"/>
        <v>59172</v>
      </c>
      <c r="CM24" s="27">
        <f t="shared" si="11"/>
        <v>59353</v>
      </c>
      <c r="CN24" s="27">
        <f t="shared" si="11"/>
        <v>59537</v>
      </c>
      <c r="CO24" s="27">
        <f t="shared" si="11"/>
        <v>59718</v>
      </c>
      <c r="CP24" s="27">
        <f t="shared" si="11"/>
        <v>59902</v>
      </c>
      <c r="CQ24" s="27">
        <f t="shared" si="11"/>
        <v>60084</v>
      </c>
      <c r="CR24" s="27">
        <f t="shared" si="11"/>
        <v>60268</v>
      </c>
      <c r="CS24" s="27">
        <f t="shared" si="11"/>
        <v>60449</v>
      </c>
      <c r="CT24" s="27">
        <f t="shared" si="11"/>
        <v>60633</v>
      </c>
      <c r="CU24" s="27">
        <f t="shared" si="11"/>
        <v>60814</v>
      </c>
      <c r="CV24" s="27">
        <f t="shared" si="11"/>
        <v>60998</v>
      </c>
    </row>
    <row r="25" spans="1:100" s="188" customFormat="1" outlineLevel="2" x14ac:dyDescent="0.2">
      <c r="A25" s="128"/>
      <c r="B25" s="141"/>
      <c r="C25" s="129"/>
      <c r="D25" s="193"/>
      <c r="E25" s="139" t="s">
        <v>11</v>
      </c>
      <c r="F25" s="139"/>
      <c r="G25" s="139" t="s">
        <v>6</v>
      </c>
      <c r="H25" s="139"/>
      <c r="I25" s="139"/>
      <c r="J25" s="139">
        <f t="shared" ref="J25:BU25" si="12" xml:space="preserve"> DATE(YEAR(J24), MONTH(J24) + $F23, DAY(J24) -1)</f>
        <v>44742</v>
      </c>
      <c r="K25" s="139">
        <f t="shared" si="12"/>
        <v>44926</v>
      </c>
      <c r="L25" s="139">
        <f t="shared" si="12"/>
        <v>45107</v>
      </c>
      <c r="M25" s="139">
        <f t="shared" si="12"/>
        <v>45291</v>
      </c>
      <c r="N25" s="139">
        <f t="shared" si="12"/>
        <v>45473</v>
      </c>
      <c r="O25" s="139">
        <f t="shared" si="12"/>
        <v>45657</v>
      </c>
      <c r="P25" s="139">
        <f t="shared" si="12"/>
        <v>45838</v>
      </c>
      <c r="Q25" s="139">
        <f t="shared" si="12"/>
        <v>46022</v>
      </c>
      <c r="R25" s="139">
        <f t="shared" si="12"/>
        <v>46203</v>
      </c>
      <c r="S25" s="139">
        <f t="shared" si="12"/>
        <v>46387</v>
      </c>
      <c r="T25" s="139">
        <f t="shared" si="12"/>
        <v>46568</v>
      </c>
      <c r="U25" s="139">
        <f t="shared" si="12"/>
        <v>46752</v>
      </c>
      <c r="V25" s="139">
        <f t="shared" si="12"/>
        <v>46934</v>
      </c>
      <c r="W25" s="139">
        <f t="shared" si="12"/>
        <v>47118</v>
      </c>
      <c r="X25" s="139">
        <f t="shared" si="12"/>
        <v>47299</v>
      </c>
      <c r="Y25" s="139">
        <f t="shared" si="12"/>
        <v>47483</v>
      </c>
      <c r="Z25" s="139">
        <f t="shared" si="12"/>
        <v>47664</v>
      </c>
      <c r="AA25" s="139">
        <f t="shared" si="12"/>
        <v>47848</v>
      </c>
      <c r="AB25" s="139">
        <f t="shared" si="12"/>
        <v>48029</v>
      </c>
      <c r="AC25" s="139">
        <f t="shared" si="12"/>
        <v>48213</v>
      </c>
      <c r="AD25" s="139">
        <f t="shared" si="12"/>
        <v>48395</v>
      </c>
      <c r="AE25" s="139">
        <f t="shared" si="12"/>
        <v>48579</v>
      </c>
      <c r="AF25" s="139">
        <f t="shared" si="12"/>
        <v>48760</v>
      </c>
      <c r="AG25" s="139">
        <f t="shared" si="12"/>
        <v>48944</v>
      </c>
      <c r="AH25" s="139">
        <f t="shared" si="12"/>
        <v>49125</v>
      </c>
      <c r="AI25" s="139">
        <f t="shared" si="12"/>
        <v>49309</v>
      </c>
      <c r="AJ25" s="139">
        <f t="shared" si="12"/>
        <v>49490</v>
      </c>
      <c r="AK25" s="139">
        <f t="shared" si="12"/>
        <v>49674</v>
      </c>
      <c r="AL25" s="139">
        <f t="shared" si="12"/>
        <v>49856</v>
      </c>
      <c r="AM25" s="139">
        <f t="shared" si="12"/>
        <v>50040</v>
      </c>
      <c r="AN25" s="139">
        <f t="shared" si="12"/>
        <v>50221</v>
      </c>
      <c r="AO25" s="139">
        <f t="shared" si="12"/>
        <v>50405</v>
      </c>
      <c r="AP25" s="139">
        <f t="shared" si="12"/>
        <v>50586</v>
      </c>
      <c r="AQ25" s="139">
        <f t="shared" si="12"/>
        <v>50770</v>
      </c>
      <c r="AR25" s="139">
        <f t="shared" si="12"/>
        <v>50951</v>
      </c>
      <c r="AS25" s="139">
        <f t="shared" si="12"/>
        <v>51135</v>
      </c>
      <c r="AT25" s="139">
        <f t="shared" si="12"/>
        <v>51317</v>
      </c>
      <c r="AU25" s="139">
        <f t="shared" si="12"/>
        <v>51501</v>
      </c>
      <c r="AV25" s="139">
        <f t="shared" si="12"/>
        <v>51682</v>
      </c>
      <c r="AW25" s="139">
        <f t="shared" si="12"/>
        <v>51866</v>
      </c>
      <c r="AX25" s="139">
        <f t="shared" si="12"/>
        <v>52047</v>
      </c>
      <c r="AY25" s="139">
        <f t="shared" si="12"/>
        <v>52231</v>
      </c>
      <c r="AZ25" s="139">
        <f t="shared" si="12"/>
        <v>52412</v>
      </c>
      <c r="BA25" s="139">
        <f t="shared" si="12"/>
        <v>52596</v>
      </c>
      <c r="BB25" s="139">
        <f t="shared" si="12"/>
        <v>52778</v>
      </c>
      <c r="BC25" s="139">
        <f t="shared" si="12"/>
        <v>52962</v>
      </c>
      <c r="BD25" s="139">
        <f t="shared" si="12"/>
        <v>53143</v>
      </c>
      <c r="BE25" s="139">
        <f t="shared" si="12"/>
        <v>53327</v>
      </c>
      <c r="BF25" s="139">
        <f t="shared" si="12"/>
        <v>53508</v>
      </c>
      <c r="BG25" s="139">
        <f t="shared" si="12"/>
        <v>53692</v>
      </c>
      <c r="BH25" s="139">
        <f t="shared" si="12"/>
        <v>53873</v>
      </c>
      <c r="BI25" s="139">
        <f t="shared" si="12"/>
        <v>54057</v>
      </c>
      <c r="BJ25" s="139">
        <f t="shared" si="12"/>
        <v>54239</v>
      </c>
      <c r="BK25" s="139">
        <f t="shared" si="12"/>
        <v>54423</v>
      </c>
      <c r="BL25" s="139">
        <f t="shared" si="12"/>
        <v>54604</v>
      </c>
      <c r="BM25" s="139">
        <f t="shared" si="12"/>
        <v>54788</v>
      </c>
      <c r="BN25" s="139">
        <f t="shared" si="12"/>
        <v>54969</v>
      </c>
      <c r="BO25" s="139">
        <f t="shared" si="12"/>
        <v>55153</v>
      </c>
      <c r="BP25" s="139">
        <f t="shared" si="12"/>
        <v>55334</v>
      </c>
      <c r="BQ25" s="139">
        <f t="shared" si="12"/>
        <v>55518</v>
      </c>
      <c r="BR25" s="139">
        <f t="shared" si="12"/>
        <v>55700</v>
      </c>
      <c r="BS25" s="139">
        <f t="shared" si="12"/>
        <v>55884</v>
      </c>
      <c r="BT25" s="139">
        <f t="shared" si="12"/>
        <v>56065</v>
      </c>
      <c r="BU25" s="139">
        <f t="shared" si="12"/>
        <v>56249</v>
      </c>
      <c r="BV25" s="139">
        <f t="shared" ref="BV25:CV25" si="13" xml:space="preserve"> DATE(YEAR(BV24), MONTH(BV24) + $F23, DAY(BV24) -1)</f>
        <v>56430</v>
      </c>
      <c r="BW25" s="139">
        <f t="shared" si="13"/>
        <v>56614</v>
      </c>
      <c r="BX25" s="139">
        <f t="shared" si="13"/>
        <v>56795</v>
      </c>
      <c r="BY25" s="139">
        <f t="shared" si="13"/>
        <v>56979</v>
      </c>
      <c r="BZ25" s="139">
        <f t="shared" si="13"/>
        <v>57161</v>
      </c>
      <c r="CA25" s="139">
        <f t="shared" si="13"/>
        <v>57345</v>
      </c>
      <c r="CB25" s="139">
        <f t="shared" si="13"/>
        <v>57526</v>
      </c>
      <c r="CC25" s="139">
        <f t="shared" si="13"/>
        <v>57710</v>
      </c>
      <c r="CD25" s="139">
        <f t="shared" si="13"/>
        <v>57891</v>
      </c>
      <c r="CE25" s="139">
        <f t="shared" si="13"/>
        <v>58075</v>
      </c>
      <c r="CF25" s="139">
        <f t="shared" si="13"/>
        <v>58256</v>
      </c>
      <c r="CG25" s="139">
        <f t="shared" si="13"/>
        <v>58440</v>
      </c>
      <c r="CH25" s="139">
        <f t="shared" si="13"/>
        <v>58622</v>
      </c>
      <c r="CI25" s="139">
        <f t="shared" si="13"/>
        <v>58806</v>
      </c>
      <c r="CJ25" s="139">
        <f t="shared" si="13"/>
        <v>58987</v>
      </c>
      <c r="CK25" s="139">
        <f t="shared" si="13"/>
        <v>59171</v>
      </c>
      <c r="CL25" s="139">
        <f t="shared" si="13"/>
        <v>59352</v>
      </c>
      <c r="CM25" s="139">
        <f t="shared" si="13"/>
        <v>59536</v>
      </c>
      <c r="CN25" s="139">
        <f t="shared" si="13"/>
        <v>59717</v>
      </c>
      <c r="CO25" s="139">
        <f t="shared" si="13"/>
        <v>59901</v>
      </c>
      <c r="CP25" s="139">
        <f t="shared" si="13"/>
        <v>60083</v>
      </c>
      <c r="CQ25" s="139">
        <f t="shared" si="13"/>
        <v>60267</v>
      </c>
      <c r="CR25" s="139">
        <f t="shared" si="13"/>
        <v>60448</v>
      </c>
      <c r="CS25" s="139">
        <f t="shared" si="13"/>
        <v>60632</v>
      </c>
      <c r="CT25" s="139">
        <f t="shared" si="13"/>
        <v>60813</v>
      </c>
      <c r="CU25" s="139">
        <f t="shared" si="13"/>
        <v>60997</v>
      </c>
      <c r="CV25" s="139">
        <f t="shared" si="13"/>
        <v>61178</v>
      </c>
    </row>
    <row r="26" spans="1:100" outlineLevel="1" x14ac:dyDescent="0.2">
      <c r="A26" s="49"/>
      <c r="C26" s="50"/>
      <c r="D26" s="5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</row>
    <row r="27" spans="1:100" outlineLevel="1" x14ac:dyDescent="0.2">
      <c r="A27" s="49"/>
      <c r="B27" s="15" t="s">
        <v>93</v>
      </c>
      <c r="C27" s="50"/>
      <c r="D27" s="51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</row>
    <row r="28" spans="1:100" outlineLevel="2" x14ac:dyDescent="0.2">
      <c r="E28" s="396" t="str">
        <f xml:space="preserve"> InpC!E$15</f>
        <v>Financial year end month number</v>
      </c>
      <c r="F28" s="396">
        <f xml:space="preserve"> InpC!F$15</f>
        <v>6</v>
      </c>
      <c r="G28" s="396" t="str">
        <f xml:space="preserve"> InpC!G$15</f>
        <v>month #</v>
      </c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</row>
    <row r="29" spans="1:100" outlineLevel="2" x14ac:dyDescent="0.2">
      <c r="A29" s="49"/>
      <c r="C29" s="50"/>
      <c r="D29" s="51"/>
      <c r="E29" s="11" t="str">
        <f t="shared" ref="E29:BP29" si="14" xml:space="preserve"> E$25</f>
        <v>Model period ending</v>
      </c>
      <c r="F29" s="11">
        <f t="shared" si="14"/>
        <v>0</v>
      </c>
      <c r="G29" s="11" t="str">
        <f t="shared" si="14"/>
        <v>date</v>
      </c>
      <c r="H29" s="11">
        <f t="shared" si="14"/>
        <v>0</v>
      </c>
      <c r="I29" s="136">
        <f t="shared" si="14"/>
        <v>0</v>
      </c>
      <c r="J29" s="11">
        <f t="shared" si="14"/>
        <v>44742</v>
      </c>
      <c r="K29" s="11">
        <f t="shared" si="14"/>
        <v>44926</v>
      </c>
      <c r="L29" s="11">
        <f t="shared" si="14"/>
        <v>45107</v>
      </c>
      <c r="M29" s="11">
        <f t="shared" si="14"/>
        <v>45291</v>
      </c>
      <c r="N29" s="11">
        <f t="shared" si="14"/>
        <v>45473</v>
      </c>
      <c r="O29" s="11">
        <f t="shared" si="14"/>
        <v>45657</v>
      </c>
      <c r="P29" s="11">
        <f t="shared" si="14"/>
        <v>45838</v>
      </c>
      <c r="Q29" s="11">
        <f t="shared" si="14"/>
        <v>46022</v>
      </c>
      <c r="R29" s="11">
        <f t="shared" si="14"/>
        <v>46203</v>
      </c>
      <c r="S29" s="11">
        <f t="shared" si="14"/>
        <v>46387</v>
      </c>
      <c r="T29" s="11">
        <f t="shared" si="14"/>
        <v>46568</v>
      </c>
      <c r="U29" s="11">
        <f t="shared" si="14"/>
        <v>46752</v>
      </c>
      <c r="V29" s="11">
        <f t="shared" si="14"/>
        <v>46934</v>
      </c>
      <c r="W29" s="11">
        <f t="shared" si="14"/>
        <v>47118</v>
      </c>
      <c r="X29" s="11">
        <f t="shared" si="14"/>
        <v>47299</v>
      </c>
      <c r="Y29" s="11">
        <f t="shared" si="14"/>
        <v>47483</v>
      </c>
      <c r="Z29" s="11">
        <f t="shared" si="14"/>
        <v>47664</v>
      </c>
      <c r="AA29" s="11">
        <f t="shared" si="14"/>
        <v>47848</v>
      </c>
      <c r="AB29" s="11">
        <f t="shared" si="14"/>
        <v>48029</v>
      </c>
      <c r="AC29" s="11">
        <f t="shared" si="14"/>
        <v>48213</v>
      </c>
      <c r="AD29" s="11">
        <f t="shared" si="14"/>
        <v>48395</v>
      </c>
      <c r="AE29" s="11">
        <f t="shared" si="14"/>
        <v>48579</v>
      </c>
      <c r="AF29" s="11">
        <f t="shared" si="14"/>
        <v>48760</v>
      </c>
      <c r="AG29" s="11">
        <f t="shared" si="14"/>
        <v>48944</v>
      </c>
      <c r="AH29" s="11">
        <f t="shared" si="14"/>
        <v>49125</v>
      </c>
      <c r="AI29" s="11">
        <f t="shared" si="14"/>
        <v>49309</v>
      </c>
      <c r="AJ29" s="11">
        <f t="shared" si="14"/>
        <v>49490</v>
      </c>
      <c r="AK29" s="11">
        <f t="shared" si="14"/>
        <v>49674</v>
      </c>
      <c r="AL29" s="11">
        <f t="shared" si="14"/>
        <v>49856</v>
      </c>
      <c r="AM29" s="11">
        <f t="shared" si="14"/>
        <v>50040</v>
      </c>
      <c r="AN29" s="11">
        <f t="shared" si="14"/>
        <v>50221</v>
      </c>
      <c r="AO29" s="11">
        <f t="shared" si="14"/>
        <v>50405</v>
      </c>
      <c r="AP29" s="11">
        <f t="shared" si="14"/>
        <v>50586</v>
      </c>
      <c r="AQ29" s="11">
        <f t="shared" si="14"/>
        <v>50770</v>
      </c>
      <c r="AR29" s="11">
        <f t="shared" si="14"/>
        <v>50951</v>
      </c>
      <c r="AS29" s="11">
        <f t="shared" si="14"/>
        <v>51135</v>
      </c>
      <c r="AT29" s="11">
        <f t="shared" si="14"/>
        <v>51317</v>
      </c>
      <c r="AU29" s="11">
        <f t="shared" si="14"/>
        <v>51501</v>
      </c>
      <c r="AV29" s="11">
        <f t="shared" si="14"/>
        <v>51682</v>
      </c>
      <c r="AW29" s="11">
        <f t="shared" si="14"/>
        <v>51866</v>
      </c>
      <c r="AX29" s="11">
        <f t="shared" si="14"/>
        <v>52047</v>
      </c>
      <c r="AY29" s="11">
        <f t="shared" si="14"/>
        <v>52231</v>
      </c>
      <c r="AZ29" s="11">
        <f t="shared" si="14"/>
        <v>52412</v>
      </c>
      <c r="BA29" s="11">
        <f t="shared" si="14"/>
        <v>52596</v>
      </c>
      <c r="BB29" s="11">
        <f t="shared" si="14"/>
        <v>52778</v>
      </c>
      <c r="BC29" s="11">
        <f t="shared" si="14"/>
        <v>52962</v>
      </c>
      <c r="BD29" s="11">
        <f t="shared" si="14"/>
        <v>53143</v>
      </c>
      <c r="BE29" s="11">
        <f t="shared" si="14"/>
        <v>53327</v>
      </c>
      <c r="BF29" s="11">
        <f t="shared" si="14"/>
        <v>53508</v>
      </c>
      <c r="BG29" s="11">
        <f t="shared" si="14"/>
        <v>53692</v>
      </c>
      <c r="BH29" s="11">
        <f t="shared" si="14"/>
        <v>53873</v>
      </c>
      <c r="BI29" s="11">
        <f t="shared" si="14"/>
        <v>54057</v>
      </c>
      <c r="BJ29" s="11">
        <f t="shared" si="14"/>
        <v>54239</v>
      </c>
      <c r="BK29" s="11">
        <f t="shared" si="14"/>
        <v>54423</v>
      </c>
      <c r="BL29" s="11">
        <f t="shared" si="14"/>
        <v>54604</v>
      </c>
      <c r="BM29" s="11">
        <f t="shared" si="14"/>
        <v>54788</v>
      </c>
      <c r="BN29" s="11">
        <f t="shared" si="14"/>
        <v>54969</v>
      </c>
      <c r="BO29" s="11">
        <f t="shared" si="14"/>
        <v>55153</v>
      </c>
      <c r="BP29" s="11">
        <f t="shared" si="14"/>
        <v>55334</v>
      </c>
      <c r="BQ29" s="11">
        <f t="shared" ref="BQ29:CV29" si="15" xml:space="preserve"> BQ$25</f>
        <v>55518</v>
      </c>
      <c r="BR29" s="11">
        <f t="shared" si="15"/>
        <v>55700</v>
      </c>
      <c r="BS29" s="11">
        <f t="shared" si="15"/>
        <v>55884</v>
      </c>
      <c r="BT29" s="11">
        <f t="shared" si="15"/>
        <v>56065</v>
      </c>
      <c r="BU29" s="11">
        <f t="shared" si="15"/>
        <v>56249</v>
      </c>
      <c r="BV29" s="11">
        <f t="shared" si="15"/>
        <v>56430</v>
      </c>
      <c r="BW29" s="11">
        <f t="shared" si="15"/>
        <v>56614</v>
      </c>
      <c r="BX29" s="11">
        <f t="shared" si="15"/>
        <v>56795</v>
      </c>
      <c r="BY29" s="11">
        <f t="shared" si="15"/>
        <v>56979</v>
      </c>
      <c r="BZ29" s="11">
        <f t="shared" si="15"/>
        <v>57161</v>
      </c>
      <c r="CA29" s="11">
        <f t="shared" si="15"/>
        <v>57345</v>
      </c>
      <c r="CB29" s="11">
        <f t="shared" si="15"/>
        <v>57526</v>
      </c>
      <c r="CC29" s="11">
        <f t="shared" si="15"/>
        <v>57710</v>
      </c>
      <c r="CD29" s="11">
        <f t="shared" si="15"/>
        <v>57891</v>
      </c>
      <c r="CE29" s="11">
        <f t="shared" si="15"/>
        <v>58075</v>
      </c>
      <c r="CF29" s="11">
        <f t="shared" si="15"/>
        <v>58256</v>
      </c>
      <c r="CG29" s="11">
        <f t="shared" si="15"/>
        <v>58440</v>
      </c>
      <c r="CH29" s="11">
        <f t="shared" si="15"/>
        <v>58622</v>
      </c>
      <c r="CI29" s="11">
        <f t="shared" si="15"/>
        <v>58806</v>
      </c>
      <c r="CJ29" s="11">
        <f t="shared" si="15"/>
        <v>58987</v>
      </c>
      <c r="CK29" s="11">
        <f t="shared" si="15"/>
        <v>59171</v>
      </c>
      <c r="CL29" s="11">
        <f t="shared" si="15"/>
        <v>59352</v>
      </c>
      <c r="CM29" s="11">
        <f t="shared" si="15"/>
        <v>59536</v>
      </c>
      <c r="CN29" s="11">
        <f t="shared" si="15"/>
        <v>59717</v>
      </c>
      <c r="CO29" s="11">
        <f t="shared" si="15"/>
        <v>59901</v>
      </c>
      <c r="CP29" s="11">
        <f t="shared" si="15"/>
        <v>60083</v>
      </c>
      <c r="CQ29" s="11">
        <f t="shared" si="15"/>
        <v>60267</v>
      </c>
      <c r="CR29" s="11">
        <f t="shared" si="15"/>
        <v>60448</v>
      </c>
      <c r="CS29" s="11">
        <f t="shared" si="15"/>
        <v>60632</v>
      </c>
      <c r="CT29" s="11">
        <f t="shared" si="15"/>
        <v>60813</v>
      </c>
      <c r="CU29" s="11">
        <f t="shared" si="15"/>
        <v>60997</v>
      </c>
      <c r="CV29" s="11">
        <f t="shared" si="15"/>
        <v>61178</v>
      </c>
    </row>
    <row r="30" spans="1:100" outlineLevel="2" x14ac:dyDescent="0.2">
      <c r="E30" s="9" t="s">
        <v>239</v>
      </c>
      <c r="F30" s="9"/>
      <c r="G30" s="9" t="s">
        <v>5</v>
      </c>
      <c r="H30" s="9">
        <f xml:space="preserve"> SUM(J30:CV30)</f>
        <v>46</v>
      </c>
      <c r="J30" s="9">
        <f t="shared" ref="J30:AO30" si="16" xml:space="preserve"> IF( MONTH(J29) = $F28, 1, 0)</f>
        <v>1</v>
      </c>
      <c r="K30" s="9">
        <f t="shared" si="16"/>
        <v>0</v>
      </c>
      <c r="L30" s="9">
        <f t="shared" si="16"/>
        <v>1</v>
      </c>
      <c r="M30" s="9">
        <f t="shared" si="16"/>
        <v>0</v>
      </c>
      <c r="N30" s="9">
        <f t="shared" si="16"/>
        <v>1</v>
      </c>
      <c r="O30" s="9">
        <f t="shared" si="16"/>
        <v>0</v>
      </c>
      <c r="P30" s="9">
        <f t="shared" si="16"/>
        <v>1</v>
      </c>
      <c r="Q30" s="9">
        <f t="shared" si="16"/>
        <v>0</v>
      </c>
      <c r="R30" s="9">
        <f t="shared" si="16"/>
        <v>1</v>
      </c>
      <c r="S30" s="9">
        <f t="shared" si="16"/>
        <v>0</v>
      </c>
      <c r="T30" s="9">
        <f t="shared" si="16"/>
        <v>1</v>
      </c>
      <c r="U30" s="9">
        <f t="shared" si="16"/>
        <v>0</v>
      </c>
      <c r="V30" s="9">
        <f t="shared" si="16"/>
        <v>1</v>
      </c>
      <c r="W30" s="9">
        <f t="shared" si="16"/>
        <v>0</v>
      </c>
      <c r="X30" s="9">
        <f t="shared" si="16"/>
        <v>1</v>
      </c>
      <c r="Y30" s="9">
        <f t="shared" si="16"/>
        <v>0</v>
      </c>
      <c r="Z30" s="9">
        <f t="shared" si="16"/>
        <v>1</v>
      </c>
      <c r="AA30" s="9">
        <f t="shared" si="16"/>
        <v>0</v>
      </c>
      <c r="AB30" s="9">
        <f t="shared" si="16"/>
        <v>1</v>
      </c>
      <c r="AC30" s="9">
        <f t="shared" si="16"/>
        <v>0</v>
      </c>
      <c r="AD30" s="9">
        <f t="shared" si="16"/>
        <v>1</v>
      </c>
      <c r="AE30" s="9">
        <f t="shared" si="16"/>
        <v>0</v>
      </c>
      <c r="AF30" s="9">
        <f t="shared" si="16"/>
        <v>1</v>
      </c>
      <c r="AG30" s="9">
        <f t="shared" si="16"/>
        <v>0</v>
      </c>
      <c r="AH30" s="9">
        <f t="shared" si="16"/>
        <v>1</v>
      </c>
      <c r="AI30" s="9">
        <f t="shared" si="16"/>
        <v>0</v>
      </c>
      <c r="AJ30" s="9">
        <f t="shared" si="16"/>
        <v>1</v>
      </c>
      <c r="AK30" s="9">
        <f t="shared" si="16"/>
        <v>0</v>
      </c>
      <c r="AL30" s="9">
        <f t="shared" si="16"/>
        <v>1</v>
      </c>
      <c r="AM30" s="9">
        <f t="shared" si="16"/>
        <v>0</v>
      </c>
      <c r="AN30" s="9">
        <f t="shared" si="16"/>
        <v>1</v>
      </c>
      <c r="AO30" s="9">
        <f t="shared" si="16"/>
        <v>0</v>
      </c>
      <c r="AP30" s="9">
        <f t="shared" ref="AP30:BU30" si="17" xml:space="preserve"> IF( MONTH(AP29) = $F28, 1, 0)</f>
        <v>1</v>
      </c>
      <c r="AQ30" s="9">
        <f t="shared" si="17"/>
        <v>0</v>
      </c>
      <c r="AR30" s="9">
        <f t="shared" si="17"/>
        <v>1</v>
      </c>
      <c r="AS30" s="9">
        <f t="shared" si="17"/>
        <v>0</v>
      </c>
      <c r="AT30" s="9">
        <f t="shared" si="17"/>
        <v>1</v>
      </c>
      <c r="AU30" s="9">
        <f t="shared" si="17"/>
        <v>0</v>
      </c>
      <c r="AV30" s="9">
        <f t="shared" si="17"/>
        <v>1</v>
      </c>
      <c r="AW30" s="9">
        <f t="shared" si="17"/>
        <v>0</v>
      </c>
      <c r="AX30" s="9">
        <f t="shared" si="17"/>
        <v>1</v>
      </c>
      <c r="AY30" s="9">
        <f t="shared" si="17"/>
        <v>0</v>
      </c>
      <c r="AZ30" s="9">
        <f t="shared" si="17"/>
        <v>1</v>
      </c>
      <c r="BA30" s="9">
        <f t="shared" si="17"/>
        <v>0</v>
      </c>
      <c r="BB30" s="9">
        <f t="shared" si="17"/>
        <v>1</v>
      </c>
      <c r="BC30" s="9">
        <f t="shared" si="17"/>
        <v>0</v>
      </c>
      <c r="BD30" s="9">
        <f t="shared" si="17"/>
        <v>1</v>
      </c>
      <c r="BE30" s="9">
        <f t="shared" si="17"/>
        <v>0</v>
      </c>
      <c r="BF30" s="9">
        <f t="shared" si="17"/>
        <v>1</v>
      </c>
      <c r="BG30" s="9">
        <f t="shared" si="17"/>
        <v>0</v>
      </c>
      <c r="BH30" s="9">
        <f t="shared" si="17"/>
        <v>1</v>
      </c>
      <c r="BI30" s="9">
        <f t="shared" si="17"/>
        <v>0</v>
      </c>
      <c r="BJ30" s="9">
        <f t="shared" si="17"/>
        <v>1</v>
      </c>
      <c r="BK30" s="9">
        <f t="shared" si="17"/>
        <v>0</v>
      </c>
      <c r="BL30" s="9">
        <f t="shared" si="17"/>
        <v>1</v>
      </c>
      <c r="BM30" s="9">
        <f t="shared" si="17"/>
        <v>0</v>
      </c>
      <c r="BN30" s="9">
        <f t="shared" si="17"/>
        <v>1</v>
      </c>
      <c r="BO30" s="9">
        <f t="shared" si="17"/>
        <v>0</v>
      </c>
      <c r="BP30" s="9">
        <f t="shared" si="17"/>
        <v>1</v>
      </c>
      <c r="BQ30" s="9">
        <f t="shared" si="17"/>
        <v>0</v>
      </c>
      <c r="BR30" s="9">
        <f t="shared" si="17"/>
        <v>1</v>
      </c>
      <c r="BS30" s="9">
        <f t="shared" si="17"/>
        <v>0</v>
      </c>
      <c r="BT30" s="9">
        <f t="shared" si="17"/>
        <v>1</v>
      </c>
      <c r="BU30" s="9">
        <f t="shared" si="17"/>
        <v>0</v>
      </c>
      <c r="BV30" s="9">
        <f t="shared" ref="BV30:CV30" si="18" xml:space="preserve"> IF( MONTH(BV29) = $F28, 1, 0)</f>
        <v>1</v>
      </c>
      <c r="BW30" s="9">
        <f t="shared" si="18"/>
        <v>0</v>
      </c>
      <c r="BX30" s="9">
        <f t="shared" si="18"/>
        <v>1</v>
      </c>
      <c r="BY30" s="9">
        <f t="shared" si="18"/>
        <v>0</v>
      </c>
      <c r="BZ30" s="9">
        <f t="shared" si="18"/>
        <v>1</v>
      </c>
      <c r="CA30" s="9">
        <f t="shared" si="18"/>
        <v>0</v>
      </c>
      <c r="CB30" s="9">
        <f t="shared" si="18"/>
        <v>1</v>
      </c>
      <c r="CC30" s="9">
        <f t="shared" si="18"/>
        <v>0</v>
      </c>
      <c r="CD30" s="9">
        <f t="shared" si="18"/>
        <v>1</v>
      </c>
      <c r="CE30" s="9">
        <f t="shared" si="18"/>
        <v>0</v>
      </c>
      <c r="CF30" s="9">
        <f t="shared" si="18"/>
        <v>1</v>
      </c>
      <c r="CG30" s="9">
        <f t="shared" si="18"/>
        <v>0</v>
      </c>
      <c r="CH30" s="9">
        <f t="shared" si="18"/>
        <v>1</v>
      </c>
      <c r="CI30" s="9">
        <f t="shared" si="18"/>
        <v>0</v>
      </c>
      <c r="CJ30" s="9">
        <f t="shared" si="18"/>
        <v>1</v>
      </c>
      <c r="CK30" s="9">
        <f t="shared" si="18"/>
        <v>0</v>
      </c>
      <c r="CL30" s="9">
        <f t="shared" si="18"/>
        <v>1</v>
      </c>
      <c r="CM30" s="9">
        <f t="shared" si="18"/>
        <v>0</v>
      </c>
      <c r="CN30" s="9">
        <f t="shared" si="18"/>
        <v>1</v>
      </c>
      <c r="CO30" s="9">
        <f t="shared" si="18"/>
        <v>0</v>
      </c>
      <c r="CP30" s="9">
        <f t="shared" si="18"/>
        <v>1</v>
      </c>
      <c r="CQ30" s="9">
        <f t="shared" si="18"/>
        <v>0</v>
      </c>
      <c r="CR30" s="9">
        <f t="shared" si="18"/>
        <v>1</v>
      </c>
      <c r="CS30" s="9">
        <f t="shared" si="18"/>
        <v>0</v>
      </c>
      <c r="CT30" s="9">
        <f t="shared" si="18"/>
        <v>1</v>
      </c>
      <c r="CU30" s="9">
        <f t="shared" si="18"/>
        <v>0</v>
      </c>
      <c r="CV30" s="9">
        <f t="shared" si="18"/>
        <v>1</v>
      </c>
    </row>
    <row r="31" spans="1:100" outlineLevel="2" x14ac:dyDescent="0.2">
      <c r="E31" s="9"/>
      <c r="F31" s="9"/>
      <c r="G31" s="9"/>
      <c r="H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</row>
    <row r="32" spans="1:100" outlineLevel="2" x14ac:dyDescent="0.2">
      <c r="A32" s="54"/>
      <c r="B32" s="54"/>
      <c r="C32" s="57"/>
      <c r="D32" s="69"/>
      <c r="E32" s="204" t="str">
        <f xml:space="preserve"> InpC!E$14</f>
        <v>Financial year end date of first model period</v>
      </c>
      <c r="F32" s="204">
        <f xml:space="preserve"> InpC!F$14</f>
        <v>44742</v>
      </c>
      <c r="G32" s="204" t="str">
        <f xml:space="preserve"> InpC!G$14</f>
        <v>date</v>
      </c>
      <c r="H32" s="69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</row>
    <row r="33" spans="1:100" outlineLevel="2" x14ac:dyDescent="0.2">
      <c r="A33" s="54"/>
      <c r="B33" s="54"/>
      <c r="C33" s="57"/>
      <c r="D33" s="69"/>
      <c r="E33" s="607" t="str">
        <f xml:space="preserve"> InpC!E$412</f>
        <v>Months in year</v>
      </c>
      <c r="F33" s="607">
        <f xml:space="preserve"> InpC!F$412</f>
        <v>12</v>
      </c>
      <c r="G33" s="607" t="str">
        <f xml:space="preserve"> InpC!G$412</f>
        <v>months</v>
      </c>
      <c r="H33" s="69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</row>
    <row r="34" spans="1:100" outlineLevel="2" x14ac:dyDescent="0.2">
      <c r="B34" s="54"/>
      <c r="E34" s="2" t="str">
        <f t="shared" ref="E34:BP34" si="19" xml:space="preserve"> E$14</f>
        <v>First model column flag</v>
      </c>
      <c r="F34" s="2">
        <f t="shared" si="19"/>
        <v>0</v>
      </c>
      <c r="G34" s="2" t="str">
        <f t="shared" si="19"/>
        <v>flag</v>
      </c>
      <c r="H34" s="2">
        <f t="shared" si="19"/>
        <v>1</v>
      </c>
      <c r="I34" s="16">
        <f t="shared" si="19"/>
        <v>0</v>
      </c>
      <c r="J34" s="2">
        <f t="shared" si="19"/>
        <v>1</v>
      </c>
      <c r="K34" s="2">
        <f t="shared" si="19"/>
        <v>0</v>
      </c>
      <c r="L34" s="2">
        <f t="shared" si="19"/>
        <v>0</v>
      </c>
      <c r="M34" s="2">
        <f t="shared" si="19"/>
        <v>0</v>
      </c>
      <c r="N34" s="2">
        <f t="shared" si="19"/>
        <v>0</v>
      </c>
      <c r="O34" s="2">
        <f t="shared" si="19"/>
        <v>0</v>
      </c>
      <c r="P34" s="2">
        <f t="shared" si="19"/>
        <v>0</v>
      </c>
      <c r="Q34" s="2">
        <f t="shared" si="19"/>
        <v>0</v>
      </c>
      <c r="R34" s="2">
        <f t="shared" si="19"/>
        <v>0</v>
      </c>
      <c r="S34" s="2">
        <f t="shared" si="19"/>
        <v>0</v>
      </c>
      <c r="T34" s="2">
        <f t="shared" si="19"/>
        <v>0</v>
      </c>
      <c r="U34" s="2">
        <f t="shared" si="19"/>
        <v>0</v>
      </c>
      <c r="V34" s="2">
        <f t="shared" si="19"/>
        <v>0</v>
      </c>
      <c r="W34" s="2">
        <f t="shared" si="19"/>
        <v>0</v>
      </c>
      <c r="X34" s="2">
        <f t="shared" si="19"/>
        <v>0</v>
      </c>
      <c r="Y34" s="2">
        <f t="shared" si="19"/>
        <v>0</v>
      </c>
      <c r="Z34" s="2">
        <f t="shared" si="19"/>
        <v>0</v>
      </c>
      <c r="AA34" s="2">
        <f t="shared" si="19"/>
        <v>0</v>
      </c>
      <c r="AB34" s="2">
        <f t="shared" si="19"/>
        <v>0</v>
      </c>
      <c r="AC34" s="2">
        <f t="shared" si="19"/>
        <v>0</v>
      </c>
      <c r="AD34" s="2">
        <f t="shared" si="19"/>
        <v>0</v>
      </c>
      <c r="AE34" s="2">
        <f t="shared" si="19"/>
        <v>0</v>
      </c>
      <c r="AF34" s="2">
        <f t="shared" si="19"/>
        <v>0</v>
      </c>
      <c r="AG34" s="2">
        <f t="shared" si="19"/>
        <v>0</v>
      </c>
      <c r="AH34" s="2">
        <f t="shared" si="19"/>
        <v>0</v>
      </c>
      <c r="AI34" s="2">
        <f t="shared" si="19"/>
        <v>0</v>
      </c>
      <c r="AJ34" s="2">
        <f t="shared" si="19"/>
        <v>0</v>
      </c>
      <c r="AK34" s="2">
        <f t="shared" si="19"/>
        <v>0</v>
      </c>
      <c r="AL34" s="2">
        <f t="shared" si="19"/>
        <v>0</v>
      </c>
      <c r="AM34" s="2">
        <f t="shared" si="19"/>
        <v>0</v>
      </c>
      <c r="AN34" s="2">
        <f t="shared" si="19"/>
        <v>0</v>
      </c>
      <c r="AO34" s="2">
        <f t="shared" si="19"/>
        <v>0</v>
      </c>
      <c r="AP34" s="2">
        <f t="shared" si="19"/>
        <v>0</v>
      </c>
      <c r="AQ34" s="2">
        <f t="shared" si="19"/>
        <v>0</v>
      </c>
      <c r="AR34" s="2">
        <f t="shared" si="19"/>
        <v>0</v>
      </c>
      <c r="AS34" s="2">
        <f t="shared" si="19"/>
        <v>0</v>
      </c>
      <c r="AT34" s="2">
        <f t="shared" si="19"/>
        <v>0</v>
      </c>
      <c r="AU34" s="2">
        <f t="shared" si="19"/>
        <v>0</v>
      </c>
      <c r="AV34" s="2">
        <f t="shared" si="19"/>
        <v>0</v>
      </c>
      <c r="AW34" s="2">
        <f t="shared" si="19"/>
        <v>0</v>
      </c>
      <c r="AX34" s="2">
        <f t="shared" si="19"/>
        <v>0</v>
      </c>
      <c r="AY34" s="2">
        <f t="shared" si="19"/>
        <v>0</v>
      </c>
      <c r="AZ34" s="2">
        <f t="shared" si="19"/>
        <v>0</v>
      </c>
      <c r="BA34" s="2">
        <f t="shared" si="19"/>
        <v>0</v>
      </c>
      <c r="BB34" s="2">
        <f t="shared" si="19"/>
        <v>0</v>
      </c>
      <c r="BC34" s="2">
        <f t="shared" si="19"/>
        <v>0</v>
      </c>
      <c r="BD34" s="2">
        <f t="shared" si="19"/>
        <v>0</v>
      </c>
      <c r="BE34" s="2">
        <f t="shared" si="19"/>
        <v>0</v>
      </c>
      <c r="BF34" s="2">
        <f t="shared" si="19"/>
        <v>0</v>
      </c>
      <c r="BG34" s="2">
        <f t="shared" si="19"/>
        <v>0</v>
      </c>
      <c r="BH34" s="2">
        <f t="shared" si="19"/>
        <v>0</v>
      </c>
      <c r="BI34" s="2">
        <f t="shared" si="19"/>
        <v>0</v>
      </c>
      <c r="BJ34" s="2">
        <f t="shared" si="19"/>
        <v>0</v>
      </c>
      <c r="BK34" s="2">
        <f t="shared" si="19"/>
        <v>0</v>
      </c>
      <c r="BL34" s="2">
        <f t="shared" si="19"/>
        <v>0</v>
      </c>
      <c r="BM34" s="2">
        <f t="shared" si="19"/>
        <v>0</v>
      </c>
      <c r="BN34" s="2">
        <f t="shared" si="19"/>
        <v>0</v>
      </c>
      <c r="BO34" s="2">
        <f t="shared" si="19"/>
        <v>0</v>
      </c>
      <c r="BP34" s="2">
        <f t="shared" si="19"/>
        <v>0</v>
      </c>
      <c r="BQ34" s="2">
        <f t="shared" ref="BQ34:CV34" si="20" xml:space="preserve"> BQ$14</f>
        <v>0</v>
      </c>
      <c r="BR34" s="2">
        <f t="shared" si="20"/>
        <v>0</v>
      </c>
      <c r="BS34" s="2">
        <f t="shared" si="20"/>
        <v>0</v>
      </c>
      <c r="BT34" s="2">
        <f t="shared" si="20"/>
        <v>0</v>
      </c>
      <c r="BU34" s="2">
        <f t="shared" si="20"/>
        <v>0</v>
      </c>
      <c r="BV34" s="2">
        <f t="shared" si="20"/>
        <v>0</v>
      </c>
      <c r="BW34" s="2">
        <f t="shared" si="20"/>
        <v>0</v>
      </c>
      <c r="BX34" s="2">
        <f t="shared" si="20"/>
        <v>0</v>
      </c>
      <c r="BY34" s="2">
        <f t="shared" si="20"/>
        <v>0</v>
      </c>
      <c r="BZ34" s="2">
        <f t="shared" si="20"/>
        <v>0</v>
      </c>
      <c r="CA34" s="2">
        <f t="shared" si="20"/>
        <v>0</v>
      </c>
      <c r="CB34" s="2">
        <f t="shared" si="20"/>
        <v>0</v>
      </c>
      <c r="CC34" s="2">
        <f t="shared" si="20"/>
        <v>0</v>
      </c>
      <c r="CD34" s="2">
        <f t="shared" si="20"/>
        <v>0</v>
      </c>
      <c r="CE34" s="2">
        <f t="shared" si="20"/>
        <v>0</v>
      </c>
      <c r="CF34" s="2">
        <f t="shared" si="20"/>
        <v>0</v>
      </c>
      <c r="CG34" s="2">
        <f t="shared" si="20"/>
        <v>0</v>
      </c>
      <c r="CH34" s="2">
        <f t="shared" si="20"/>
        <v>0</v>
      </c>
      <c r="CI34" s="2">
        <f t="shared" si="20"/>
        <v>0</v>
      </c>
      <c r="CJ34" s="2">
        <f t="shared" si="20"/>
        <v>0</v>
      </c>
      <c r="CK34" s="2">
        <f t="shared" si="20"/>
        <v>0</v>
      </c>
      <c r="CL34" s="2">
        <f t="shared" si="20"/>
        <v>0</v>
      </c>
      <c r="CM34" s="2">
        <f t="shared" si="20"/>
        <v>0</v>
      </c>
      <c r="CN34" s="2">
        <f t="shared" si="20"/>
        <v>0</v>
      </c>
      <c r="CO34" s="2">
        <f t="shared" si="20"/>
        <v>0</v>
      </c>
      <c r="CP34" s="2">
        <f t="shared" si="20"/>
        <v>0</v>
      </c>
      <c r="CQ34" s="2">
        <f t="shared" si="20"/>
        <v>0</v>
      </c>
      <c r="CR34" s="2">
        <f t="shared" si="20"/>
        <v>0</v>
      </c>
      <c r="CS34" s="2">
        <f t="shared" si="20"/>
        <v>0</v>
      </c>
      <c r="CT34" s="2">
        <f t="shared" si="20"/>
        <v>0</v>
      </c>
      <c r="CU34" s="2">
        <f t="shared" si="20"/>
        <v>0</v>
      </c>
      <c r="CV34" s="2">
        <f t="shared" si="20"/>
        <v>0</v>
      </c>
    </row>
    <row r="35" spans="1:100" outlineLevel="2" x14ac:dyDescent="0.2">
      <c r="B35" s="54"/>
      <c r="E35" s="198" t="str">
        <f t="shared" ref="E35:AJ35" si="21" xml:space="preserve"> E$30</f>
        <v>End of financial year flag</v>
      </c>
      <c r="F35" s="198">
        <f t="shared" si="21"/>
        <v>0</v>
      </c>
      <c r="G35" s="198" t="str">
        <f t="shared" si="21"/>
        <v>flag</v>
      </c>
      <c r="H35" s="198">
        <f t="shared" si="21"/>
        <v>46</v>
      </c>
      <c r="I35" s="198">
        <f t="shared" si="21"/>
        <v>0</v>
      </c>
      <c r="J35" s="198">
        <f t="shared" si="21"/>
        <v>1</v>
      </c>
      <c r="K35" s="198">
        <f t="shared" si="21"/>
        <v>0</v>
      </c>
      <c r="L35" s="198">
        <f t="shared" si="21"/>
        <v>1</v>
      </c>
      <c r="M35" s="198">
        <f t="shared" si="21"/>
        <v>0</v>
      </c>
      <c r="N35" s="198">
        <f t="shared" si="21"/>
        <v>1</v>
      </c>
      <c r="O35" s="198">
        <f t="shared" si="21"/>
        <v>0</v>
      </c>
      <c r="P35" s="198">
        <f t="shared" si="21"/>
        <v>1</v>
      </c>
      <c r="Q35" s="198">
        <f t="shared" si="21"/>
        <v>0</v>
      </c>
      <c r="R35" s="198">
        <f t="shared" si="21"/>
        <v>1</v>
      </c>
      <c r="S35" s="198">
        <f t="shared" si="21"/>
        <v>0</v>
      </c>
      <c r="T35" s="198">
        <f t="shared" si="21"/>
        <v>1</v>
      </c>
      <c r="U35" s="198">
        <f t="shared" si="21"/>
        <v>0</v>
      </c>
      <c r="V35" s="198">
        <f t="shared" si="21"/>
        <v>1</v>
      </c>
      <c r="W35" s="198">
        <f t="shared" si="21"/>
        <v>0</v>
      </c>
      <c r="X35" s="198">
        <f t="shared" si="21"/>
        <v>1</v>
      </c>
      <c r="Y35" s="198">
        <f t="shared" si="21"/>
        <v>0</v>
      </c>
      <c r="Z35" s="198">
        <f t="shared" si="21"/>
        <v>1</v>
      </c>
      <c r="AA35" s="198">
        <f t="shared" si="21"/>
        <v>0</v>
      </c>
      <c r="AB35" s="198">
        <f t="shared" si="21"/>
        <v>1</v>
      </c>
      <c r="AC35" s="198">
        <f t="shared" si="21"/>
        <v>0</v>
      </c>
      <c r="AD35" s="198">
        <f t="shared" si="21"/>
        <v>1</v>
      </c>
      <c r="AE35" s="198">
        <f t="shared" si="21"/>
        <v>0</v>
      </c>
      <c r="AF35" s="198">
        <f t="shared" si="21"/>
        <v>1</v>
      </c>
      <c r="AG35" s="198">
        <f t="shared" si="21"/>
        <v>0</v>
      </c>
      <c r="AH35" s="198">
        <f t="shared" si="21"/>
        <v>1</v>
      </c>
      <c r="AI35" s="198">
        <f t="shared" si="21"/>
        <v>0</v>
      </c>
      <c r="AJ35" s="198">
        <f t="shared" si="21"/>
        <v>1</v>
      </c>
      <c r="AK35" s="198">
        <f t="shared" ref="AK35:BP35" si="22" xml:space="preserve"> AK$30</f>
        <v>0</v>
      </c>
      <c r="AL35" s="198">
        <f t="shared" si="22"/>
        <v>1</v>
      </c>
      <c r="AM35" s="198">
        <f t="shared" si="22"/>
        <v>0</v>
      </c>
      <c r="AN35" s="198">
        <f t="shared" si="22"/>
        <v>1</v>
      </c>
      <c r="AO35" s="198">
        <f t="shared" si="22"/>
        <v>0</v>
      </c>
      <c r="AP35" s="198">
        <f t="shared" si="22"/>
        <v>1</v>
      </c>
      <c r="AQ35" s="198">
        <f t="shared" si="22"/>
        <v>0</v>
      </c>
      <c r="AR35" s="198">
        <f t="shared" si="22"/>
        <v>1</v>
      </c>
      <c r="AS35" s="198">
        <f t="shared" si="22"/>
        <v>0</v>
      </c>
      <c r="AT35" s="198">
        <f t="shared" si="22"/>
        <v>1</v>
      </c>
      <c r="AU35" s="198">
        <f t="shared" si="22"/>
        <v>0</v>
      </c>
      <c r="AV35" s="198">
        <f t="shared" si="22"/>
        <v>1</v>
      </c>
      <c r="AW35" s="198">
        <f t="shared" si="22"/>
        <v>0</v>
      </c>
      <c r="AX35" s="198">
        <f t="shared" si="22"/>
        <v>1</v>
      </c>
      <c r="AY35" s="198">
        <f t="shared" si="22"/>
        <v>0</v>
      </c>
      <c r="AZ35" s="198">
        <f t="shared" si="22"/>
        <v>1</v>
      </c>
      <c r="BA35" s="198">
        <f t="shared" si="22"/>
        <v>0</v>
      </c>
      <c r="BB35" s="198">
        <f t="shared" si="22"/>
        <v>1</v>
      </c>
      <c r="BC35" s="198">
        <f t="shared" si="22"/>
        <v>0</v>
      </c>
      <c r="BD35" s="198">
        <f t="shared" si="22"/>
        <v>1</v>
      </c>
      <c r="BE35" s="198">
        <f t="shared" si="22"/>
        <v>0</v>
      </c>
      <c r="BF35" s="198">
        <f t="shared" si="22"/>
        <v>1</v>
      </c>
      <c r="BG35" s="198">
        <f t="shared" si="22"/>
        <v>0</v>
      </c>
      <c r="BH35" s="198">
        <f t="shared" si="22"/>
        <v>1</v>
      </c>
      <c r="BI35" s="198">
        <f t="shared" si="22"/>
        <v>0</v>
      </c>
      <c r="BJ35" s="198">
        <f t="shared" si="22"/>
        <v>1</v>
      </c>
      <c r="BK35" s="198">
        <f t="shared" si="22"/>
        <v>0</v>
      </c>
      <c r="BL35" s="198">
        <f t="shared" si="22"/>
        <v>1</v>
      </c>
      <c r="BM35" s="198">
        <f t="shared" si="22"/>
        <v>0</v>
      </c>
      <c r="BN35" s="198">
        <f t="shared" si="22"/>
        <v>1</v>
      </c>
      <c r="BO35" s="198">
        <f t="shared" si="22"/>
        <v>0</v>
      </c>
      <c r="BP35" s="198">
        <f t="shared" si="22"/>
        <v>1</v>
      </c>
      <c r="BQ35" s="198">
        <f t="shared" ref="BQ35:CV35" si="23" xml:space="preserve"> BQ$30</f>
        <v>0</v>
      </c>
      <c r="BR35" s="198">
        <f t="shared" si="23"/>
        <v>1</v>
      </c>
      <c r="BS35" s="198">
        <f t="shared" si="23"/>
        <v>0</v>
      </c>
      <c r="BT35" s="198">
        <f t="shared" si="23"/>
        <v>1</v>
      </c>
      <c r="BU35" s="198">
        <f t="shared" si="23"/>
        <v>0</v>
      </c>
      <c r="BV35" s="198">
        <f t="shared" si="23"/>
        <v>1</v>
      </c>
      <c r="BW35" s="198">
        <f t="shared" si="23"/>
        <v>0</v>
      </c>
      <c r="BX35" s="198">
        <f t="shared" si="23"/>
        <v>1</v>
      </c>
      <c r="BY35" s="198">
        <f t="shared" si="23"/>
        <v>0</v>
      </c>
      <c r="BZ35" s="198">
        <f t="shared" si="23"/>
        <v>1</v>
      </c>
      <c r="CA35" s="198">
        <f t="shared" si="23"/>
        <v>0</v>
      </c>
      <c r="CB35" s="198">
        <f t="shared" si="23"/>
        <v>1</v>
      </c>
      <c r="CC35" s="198">
        <f t="shared" si="23"/>
        <v>0</v>
      </c>
      <c r="CD35" s="198">
        <f t="shared" si="23"/>
        <v>1</v>
      </c>
      <c r="CE35" s="198">
        <f t="shared" si="23"/>
        <v>0</v>
      </c>
      <c r="CF35" s="198">
        <f t="shared" si="23"/>
        <v>1</v>
      </c>
      <c r="CG35" s="198">
        <f t="shared" si="23"/>
        <v>0</v>
      </c>
      <c r="CH35" s="198">
        <f t="shared" si="23"/>
        <v>1</v>
      </c>
      <c r="CI35" s="198">
        <f t="shared" si="23"/>
        <v>0</v>
      </c>
      <c r="CJ35" s="198">
        <f t="shared" si="23"/>
        <v>1</v>
      </c>
      <c r="CK35" s="198">
        <f t="shared" si="23"/>
        <v>0</v>
      </c>
      <c r="CL35" s="198">
        <f t="shared" si="23"/>
        <v>1</v>
      </c>
      <c r="CM35" s="198">
        <f t="shared" si="23"/>
        <v>0</v>
      </c>
      <c r="CN35" s="198">
        <f t="shared" si="23"/>
        <v>1</v>
      </c>
      <c r="CO35" s="198">
        <f t="shared" si="23"/>
        <v>0</v>
      </c>
      <c r="CP35" s="198">
        <f t="shared" si="23"/>
        <v>1</v>
      </c>
      <c r="CQ35" s="198">
        <f t="shared" si="23"/>
        <v>0</v>
      </c>
      <c r="CR35" s="198">
        <f t="shared" si="23"/>
        <v>1</v>
      </c>
      <c r="CS35" s="198">
        <f t="shared" si="23"/>
        <v>0</v>
      </c>
      <c r="CT35" s="198">
        <f t="shared" si="23"/>
        <v>1</v>
      </c>
      <c r="CU35" s="198">
        <f t="shared" si="23"/>
        <v>0</v>
      </c>
      <c r="CV35" s="198">
        <f t="shared" si="23"/>
        <v>1</v>
      </c>
    </row>
    <row r="36" spans="1:100" s="11" customFormat="1" outlineLevel="2" x14ac:dyDescent="0.2">
      <c r="A36" s="49"/>
      <c r="B36" s="49"/>
      <c r="C36" s="50"/>
      <c r="D36" s="70"/>
      <c r="E36" s="137" t="s">
        <v>241</v>
      </c>
      <c r="F36" s="137"/>
      <c r="G36" s="137" t="s">
        <v>6</v>
      </c>
      <c r="H36" s="137"/>
      <c r="I36" s="137"/>
      <c r="J36" s="137">
        <f t="shared" ref="J36:AO36" si="24" xml:space="preserve"> IF( J34 = 1, $F32, IF( I35 = 1, EOMONTH(I36, $F33), I36))</f>
        <v>44742</v>
      </c>
      <c r="K36" s="137">
        <f t="shared" si="24"/>
        <v>45107</v>
      </c>
      <c r="L36" s="137">
        <f t="shared" si="24"/>
        <v>45107</v>
      </c>
      <c r="M36" s="137">
        <f t="shared" si="24"/>
        <v>45473</v>
      </c>
      <c r="N36" s="137">
        <f t="shared" si="24"/>
        <v>45473</v>
      </c>
      <c r="O36" s="137">
        <f t="shared" si="24"/>
        <v>45838</v>
      </c>
      <c r="P36" s="137">
        <f t="shared" si="24"/>
        <v>45838</v>
      </c>
      <c r="Q36" s="137">
        <f t="shared" si="24"/>
        <v>46203</v>
      </c>
      <c r="R36" s="137">
        <f t="shared" si="24"/>
        <v>46203</v>
      </c>
      <c r="S36" s="137">
        <f t="shared" si="24"/>
        <v>46568</v>
      </c>
      <c r="T36" s="137">
        <f t="shared" si="24"/>
        <v>46568</v>
      </c>
      <c r="U36" s="137">
        <f t="shared" si="24"/>
        <v>46934</v>
      </c>
      <c r="V36" s="137">
        <f t="shared" si="24"/>
        <v>46934</v>
      </c>
      <c r="W36" s="137">
        <f t="shared" si="24"/>
        <v>47299</v>
      </c>
      <c r="X36" s="137">
        <f t="shared" si="24"/>
        <v>47299</v>
      </c>
      <c r="Y36" s="137">
        <f t="shared" si="24"/>
        <v>47664</v>
      </c>
      <c r="Z36" s="137">
        <f t="shared" si="24"/>
        <v>47664</v>
      </c>
      <c r="AA36" s="137">
        <f t="shared" si="24"/>
        <v>48029</v>
      </c>
      <c r="AB36" s="137">
        <f t="shared" si="24"/>
        <v>48029</v>
      </c>
      <c r="AC36" s="137">
        <f t="shared" si="24"/>
        <v>48395</v>
      </c>
      <c r="AD36" s="137">
        <f t="shared" si="24"/>
        <v>48395</v>
      </c>
      <c r="AE36" s="137">
        <f t="shared" si="24"/>
        <v>48760</v>
      </c>
      <c r="AF36" s="137">
        <f t="shared" si="24"/>
        <v>48760</v>
      </c>
      <c r="AG36" s="137">
        <f t="shared" si="24"/>
        <v>49125</v>
      </c>
      <c r="AH36" s="137">
        <f t="shared" si="24"/>
        <v>49125</v>
      </c>
      <c r="AI36" s="137">
        <f t="shared" si="24"/>
        <v>49490</v>
      </c>
      <c r="AJ36" s="137">
        <f t="shared" si="24"/>
        <v>49490</v>
      </c>
      <c r="AK36" s="137">
        <f t="shared" si="24"/>
        <v>49856</v>
      </c>
      <c r="AL36" s="137">
        <f t="shared" si="24"/>
        <v>49856</v>
      </c>
      <c r="AM36" s="137">
        <f t="shared" si="24"/>
        <v>50221</v>
      </c>
      <c r="AN36" s="137">
        <f t="shared" si="24"/>
        <v>50221</v>
      </c>
      <c r="AO36" s="137">
        <f t="shared" si="24"/>
        <v>50586</v>
      </c>
      <c r="AP36" s="137">
        <f t="shared" ref="AP36:BU36" si="25" xml:space="preserve"> IF( AP34 = 1, $F32, IF( AO35 = 1, EOMONTH(AO36, $F33), AO36))</f>
        <v>50586</v>
      </c>
      <c r="AQ36" s="137">
        <f t="shared" si="25"/>
        <v>50951</v>
      </c>
      <c r="AR36" s="137">
        <f t="shared" si="25"/>
        <v>50951</v>
      </c>
      <c r="AS36" s="137">
        <f t="shared" si="25"/>
        <v>51317</v>
      </c>
      <c r="AT36" s="137">
        <f t="shared" si="25"/>
        <v>51317</v>
      </c>
      <c r="AU36" s="137">
        <f t="shared" si="25"/>
        <v>51682</v>
      </c>
      <c r="AV36" s="137">
        <f t="shared" si="25"/>
        <v>51682</v>
      </c>
      <c r="AW36" s="137">
        <f t="shared" si="25"/>
        <v>52047</v>
      </c>
      <c r="AX36" s="137">
        <f t="shared" si="25"/>
        <v>52047</v>
      </c>
      <c r="AY36" s="137">
        <f t="shared" si="25"/>
        <v>52412</v>
      </c>
      <c r="AZ36" s="137">
        <f t="shared" si="25"/>
        <v>52412</v>
      </c>
      <c r="BA36" s="137">
        <f t="shared" si="25"/>
        <v>52778</v>
      </c>
      <c r="BB36" s="137">
        <f t="shared" si="25"/>
        <v>52778</v>
      </c>
      <c r="BC36" s="137">
        <f t="shared" si="25"/>
        <v>53143</v>
      </c>
      <c r="BD36" s="137">
        <f t="shared" si="25"/>
        <v>53143</v>
      </c>
      <c r="BE36" s="137">
        <f t="shared" si="25"/>
        <v>53508</v>
      </c>
      <c r="BF36" s="137">
        <f t="shared" si="25"/>
        <v>53508</v>
      </c>
      <c r="BG36" s="137">
        <f t="shared" si="25"/>
        <v>53873</v>
      </c>
      <c r="BH36" s="137">
        <f t="shared" si="25"/>
        <v>53873</v>
      </c>
      <c r="BI36" s="137">
        <f t="shared" si="25"/>
        <v>54239</v>
      </c>
      <c r="BJ36" s="137">
        <f t="shared" si="25"/>
        <v>54239</v>
      </c>
      <c r="BK36" s="137">
        <f t="shared" si="25"/>
        <v>54604</v>
      </c>
      <c r="BL36" s="137">
        <f t="shared" si="25"/>
        <v>54604</v>
      </c>
      <c r="BM36" s="137">
        <f t="shared" si="25"/>
        <v>54969</v>
      </c>
      <c r="BN36" s="137">
        <f t="shared" si="25"/>
        <v>54969</v>
      </c>
      <c r="BO36" s="137">
        <f t="shared" si="25"/>
        <v>55334</v>
      </c>
      <c r="BP36" s="137">
        <f t="shared" si="25"/>
        <v>55334</v>
      </c>
      <c r="BQ36" s="137">
        <f t="shared" si="25"/>
        <v>55700</v>
      </c>
      <c r="BR36" s="137">
        <f t="shared" si="25"/>
        <v>55700</v>
      </c>
      <c r="BS36" s="137">
        <f t="shared" si="25"/>
        <v>56065</v>
      </c>
      <c r="BT36" s="137">
        <f t="shared" si="25"/>
        <v>56065</v>
      </c>
      <c r="BU36" s="137">
        <f t="shared" si="25"/>
        <v>56430</v>
      </c>
      <c r="BV36" s="137">
        <f t="shared" ref="BV36:CV36" si="26" xml:space="preserve"> IF( BV34 = 1, $F32, IF( BU35 = 1, EOMONTH(BU36, $F33), BU36))</f>
        <v>56430</v>
      </c>
      <c r="BW36" s="137">
        <f t="shared" si="26"/>
        <v>56795</v>
      </c>
      <c r="BX36" s="137">
        <f t="shared" si="26"/>
        <v>56795</v>
      </c>
      <c r="BY36" s="137">
        <f t="shared" si="26"/>
        <v>57161</v>
      </c>
      <c r="BZ36" s="137">
        <f t="shared" si="26"/>
        <v>57161</v>
      </c>
      <c r="CA36" s="137">
        <f t="shared" si="26"/>
        <v>57526</v>
      </c>
      <c r="CB36" s="137">
        <f t="shared" si="26"/>
        <v>57526</v>
      </c>
      <c r="CC36" s="137">
        <f t="shared" si="26"/>
        <v>57891</v>
      </c>
      <c r="CD36" s="137">
        <f t="shared" si="26"/>
        <v>57891</v>
      </c>
      <c r="CE36" s="137">
        <f t="shared" si="26"/>
        <v>58256</v>
      </c>
      <c r="CF36" s="137">
        <f t="shared" si="26"/>
        <v>58256</v>
      </c>
      <c r="CG36" s="137">
        <f t="shared" si="26"/>
        <v>58622</v>
      </c>
      <c r="CH36" s="137">
        <f t="shared" si="26"/>
        <v>58622</v>
      </c>
      <c r="CI36" s="137">
        <f t="shared" si="26"/>
        <v>58987</v>
      </c>
      <c r="CJ36" s="137">
        <f t="shared" si="26"/>
        <v>58987</v>
      </c>
      <c r="CK36" s="137">
        <f t="shared" si="26"/>
        <v>59352</v>
      </c>
      <c r="CL36" s="137">
        <f t="shared" si="26"/>
        <v>59352</v>
      </c>
      <c r="CM36" s="137">
        <f t="shared" si="26"/>
        <v>59717</v>
      </c>
      <c r="CN36" s="137">
        <f t="shared" si="26"/>
        <v>59717</v>
      </c>
      <c r="CO36" s="137">
        <f t="shared" si="26"/>
        <v>60083</v>
      </c>
      <c r="CP36" s="137">
        <f t="shared" si="26"/>
        <v>60083</v>
      </c>
      <c r="CQ36" s="137">
        <f t="shared" si="26"/>
        <v>60448</v>
      </c>
      <c r="CR36" s="137">
        <f t="shared" si="26"/>
        <v>60448</v>
      </c>
      <c r="CS36" s="137">
        <f t="shared" si="26"/>
        <v>60813</v>
      </c>
      <c r="CT36" s="137">
        <f t="shared" si="26"/>
        <v>60813</v>
      </c>
      <c r="CU36" s="137">
        <f t="shared" si="26"/>
        <v>61178</v>
      </c>
      <c r="CV36" s="137">
        <f t="shared" si="26"/>
        <v>61178</v>
      </c>
    </row>
    <row r="37" spans="1:100" outlineLevel="2" x14ac:dyDescent="0.2">
      <c r="E37" s="9"/>
      <c r="F37" s="9"/>
      <c r="G37" s="9"/>
      <c r="H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</row>
    <row r="38" spans="1:100" outlineLevel="2" x14ac:dyDescent="0.2">
      <c r="E38" s="140" t="str">
        <f t="shared" ref="E38:AJ38" si="27" xml:space="preserve"> E$36</f>
        <v>Financial year end applicable to period</v>
      </c>
      <c r="F38" s="140">
        <f t="shared" si="27"/>
        <v>0</v>
      </c>
      <c r="G38" s="140" t="str">
        <f t="shared" si="27"/>
        <v>date</v>
      </c>
      <c r="H38" s="140">
        <f t="shared" si="27"/>
        <v>0</v>
      </c>
      <c r="I38" s="140">
        <f t="shared" si="27"/>
        <v>0</v>
      </c>
      <c r="J38" s="140">
        <f t="shared" si="27"/>
        <v>44742</v>
      </c>
      <c r="K38" s="140">
        <f t="shared" si="27"/>
        <v>45107</v>
      </c>
      <c r="L38" s="140">
        <f t="shared" si="27"/>
        <v>45107</v>
      </c>
      <c r="M38" s="140">
        <f t="shared" si="27"/>
        <v>45473</v>
      </c>
      <c r="N38" s="140">
        <f t="shared" si="27"/>
        <v>45473</v>
      </c>
      <c r="O38" s="140">
        <f t="shared" si="27"/>
        <v>45838</v>
      </c>
      <c r="P38" s="140">
        <f t="shared" si="27"/>
        <v>45838</v>
      </c>
      <c r="Q38" s="140">
        <f t="shared" si="27"/>
        <v>46203</v>
      </c>
      <c r="R38" s="140">
        <f t="shared" si="27"/>
        <v>46203</v>
      </c>
      <c r="S38" s="140">
        <f t="shared" si="27"/>
        <v>46568</v>
      </c>
      <c r="T38" s="140">
        <f t="shared" si="27"/>
        <v>46568</v>
      </c>
      <c r="U38" s="140">
        <f t="shared" si="27"/>
        <v>46934</v>
      </c>
      <c r="V38" s="140">
        <f t="shared" si="27"/>
        <v>46934</v>
      </c>
      <c r="W38" s="140">
        <f t="shared" si="27"/>
        <v>47299</v>
      </c>
      <c r="X38" s="140">
        <f t="shared" si="27"/>
        <v>47299</v>
      </c>
      <c r="Y38" s="140">
        <f t="shared" si="27"/>
        <v>47664</v>
      </c>
      <c r="Z38" s="140">
        <f t="shared" si="27"/>
        <v>47664</v>
      </c>
      <c r="AA38" s="140">
        <f t="shared" si="27"/>
        <v>48029</v>
      </c>
      <c r="AB38" s="140">
        <f t="shared" si="27"/>
        <v>48029</v>
      </c>
      <c r="AC38" s="140">
        <f t="shared" si="27"/>
        <v>48395</v>
      </c>
      <c r="AD38" s="140">
        <f t="shared" si="27"/>
        <v>48395</v>
      </c>
      <c r="AE38" s="140">
        <f t="shared" si="27"/>
        <v>48760</v>
      </c>
      <c r="AF38" s="140">
        <f t="shared" si="27"/>
        <v>48760</v>
      </c>
      <c r="AG38" s="140">
        <f t="shared" si="27"/>
        <v>49125</v>
      </c>
      <c r="AH38" s="140">
        <f t="shared" si="27"/>
        <v>49125</v>
      </c>
      <c r="AI38" s="140">
        <f t="shared" si="27"/>
        <v>49490</v>
      </c>
      <c r="AJ38" s="140">
        <f t="shared" si="27"/>
        <v>49490</v>
      </c>
      <c r="AK38" s="140">
        <f t="shared" ref="AK38:BP38" si="28" xml:space="preserve"> AK$36</f>
        <v>49856</v>
      </c>
      <c r="AL38" s="140">
        <f t="shared" si="28"/>
        <v>49856</v>
      </c>
      <c r="AM38" s="140">
        <f t="shared" si="28"/>
        <v>50221</v>
      </c>
      <c r="AN38" s="140">
        <f t="shared" si="28"/>
        <v>50221</v>
      </c>
      <c r="AO38" s="140">
        <f t="shared" si="28"/>
        <v>50586</v>
      </c>
      <c r="AP38" s="140">
        <f t="shared" si="28"/>
        <v>50586</v>
      </c>
      <c r="AQ38" s="140">
        <f t="shared" si="28"/>
        <v>50951</v>
      </c>
      <c r="AR38" s="140">
        <f t="shared" si="28"/>
        <v>50951</v>
      </c>
      <c r="AS38" s="140">
        <f t="shared" si="28"/>
        <v>51317</v>
      </c>
      <c r="AT38" s="140">
        <f t="shared" si="28"/>
        <v>51317</v>
      </c>
      <c r="AU38" s="140">
        <f t="shared" si="28"/>
        <v>51682</v>
      </c>
      <c r="AV38" s="140">
        <f t="shared" si="28"/>
        <v>51682</v>
      </c>
      <c r="AW38" s="140">
        <f t="shared" si="28"/>
        <v>52047</v>
      </c>
      <c r="AX38" s="140">
        <f t="shared" si="28"/>
        <v>52047</v>
      </c>
      <c r="AY38" s="140">
        <f t="shared" si="28"/>
        <v>52412</v>
      </c>
      <c r="AZ38" s="140">
        <f t="shared" si="28"/>
        <v>52412</v>
      </c>
      <c r="BA38" s="140">
        <f t="shared" si="28"/>
        <v>52778</v>
      </c>
      <c r="BB38" s="140">
        <f t="shared" si="28"/>
        <v>52778</v>
      </c>
      <c r="BC38" s="140">
        <f t="shared" si="28"/>
        <v>53143</v>
      </c>
      <c r="BD38" s="140">
        <f t="shared" si="28"/>
        <v>53143</v>
      </c>
      <c r="BE38" s="140">
        <f t="shared" si="28"/>
        <v>53508</v>
      </c>
      <c r="BF38" s="140">
        <f t="shared" si="28"/>
        <v>53508</v>
      </c>
      <c r="BG38" s="140">
        <f t="shared" si="28"/>
        <v>53873</v>
      </c>
      <c r="BH38" s="140">
        <f t="shared" si="28"/>
        <v>53873</v>
      </c>
      <c r="BI38" s="140">
        <f t="shared" si="28"/>
        <v>54239</v>
      </c>
      <c r="BJ38" s="140">
        <f t="shared" si="28"/>
        <v>54239</v>
      </c>
      <c r="BK38" s="140">
        <f t="shared" si="28"/>
        <v>54604</v>
      </c>
      <c r="BL38" s="140">
        <f t="shared" si="28"/>
        <v>54604</v>
      </c>
      <c r="BM38" s="140">
        <f t="shared" si="28"/>
        <v>54969</v>
      </c>
      <c r="BN38" s="140">
        <f t="shared" si="28"/>
        <v>54969</v>
      </c>
      <c r="BO38" s="140">
        <f t="shared" si="28"/>
        <v>55334</v>
      </c>
      <c r="BP38" s="140">
        <f t="shared" si="28"/>
        <v>55334</v>
      </c>
      <c r="BQ38" s="140">
        <f t="shared" ref="BQ38:CV38" si="29" xml:space="preserve"> BQ$36</f>
        <v>55700</v>
      </c>
      <c r="BR38" s="140">
        <f t="shared" si="29"/>
        <v>55700</v>
      </c>
      <c r="BS38" s="140">
        <f t="shared" si="29"/>
        <v>56065</v>
      </c>
      <c r="BT38" s="140">
        <f t="shared" si="29"/>
        <v>56065</v>
      </c>
      <c r="BU38" s="140">
        <f t="shared" si="29"/>
        <v>56430</v>
      </c>
      <c r="BV38" s="140">
        <f t="shared" si="29"/>
        <v>56430</v>
      </c>
      <c r="BW38" s="140">
        <f t="shared" si="29"/>
        <v>56795</v>
      </c>
      <c r="BX38" s="140">
        <f t="shared" si="29"/>
        <v>56795</v>
      </c>
      <c r="BY38" s="140">
        <f t="shared" si="29"/>
        <v>57161</v>
      </c>
      <c r="BZ38" s="140">
        <f t="shared" si="29"/>
        <v>57161</v>
      </c>
      <c r="CA38" s="140">
        <f t="shared" si="29"/>
        <v>57526</v>
      </c>
      <c r="CB38" s="140">
        <f t="shared" si="29"/>
        <v>57526</v>
      </c>
      <c r="CC38" s="140">
        <f t="shared" si="29"/>
        <v>57891</v>
      </c>
      <c r="CD38" s="140">
        <f t="shared" si="29"/>
        <v>57891</v>
      </c>
      <c r="CE38" s="140">
        <f t="shared" si="29"/>
        <v>58256</v>
      </c>
      <c r="CF38" s="140">
        <f t="shared" si="29"/>
        <v>58256</v>
      </c>
      <c r="CG38" s="140">
        <f t="shared" si="29"/>
        <v>58622</v>
      </c>
      <c r="CH38" s="140">
        <f t="shared" si="29"/>
        <v>58622</v>
      </c>
      <c r="CI38" s="140">
        <f t="shared" si="29"/>
        <v>58987</v>
      </c>
      <c r="CJ38" s="140">
        <f t="shared" si="29"/>
        <v>58987</v>
      </c>
      <c r="CK38" s="140">
        <f t="shared" si="29"/>
        <v>59352</v>
      </c>
      <c r="CL38" s="140">
        <f t="shared" si="29"/>
        <v>59352</v>
      </c>
      <c r="CM38" s="140">
        <f t="shared" si="29"/>
        <v>59717</v>
      </c>
      <c r="CN38" s="140">
        <f t="shared" si="29"/>
        <v>59717</v>
      </c>
      <c r="CO38" s="140">
        <f t="shared" si="29"/>
        <v>60083</v>
      </c>
      <c r="CP38" s="140">
        <f t="shared" si="29"/>
        <v>60083</v>
      </c>
      <c r="CQ38" s="140">
        <f t="shared" si="29"/>
        <v>60448</v>
      </c>
      <c r="CR38" s="140">
        <f t="shared" si="29"/>
        <v>60448</v>
      </c>
      <c r="CS38" s="140">
        <f t="shared" si="29"/>
        <v>60813</v>
      </c>
      <c r="CT38" s="140">
        <f t="shared" si="29"/>
        <v>60813</v>
      </c>
      <c r="CU38" s="140">
        <f t="shared" si="29"/>
        <v>61178</v>
      </c>
      <c r="CV38" s="140">
        <f t="shared" si="29"/>
        <v>61178</v>
      </c>
    </row>
    <row r="39" spans="1:100" s="188" customFormat="1" outlineLevel="2" x14ac:dyDescent="0.2">
      <c r="A39" s="147"/>
      <c r="B39" s="147"/>
      <c r="C39" s="148"/>
      <c r="D39" s="149"/>
      <c r="E39" s="150" t="s">
        <v>1277</v>
      </c>
      <c r="F39" s="150"/>
      <c r="G39" s="150" t="s">
        <v>15</v>
      </c>
      <c r="H39" s="150"/>
      <c r="I39" s="150"/>
      <c r="J39" s="150">
        <f xml:space="preserve"> YEAR(J38)</f>
        <v>2022</v>
      </c>
      <c r="K39" s="150">
        <f t="shared" ref="K39:BV39" si="30" xml:space="preserve"> YEAR(K38)</f>
        <v>2023</v>
      </c>
      <c r="L39" s="150">
        <f t="shared" si="30"/>
        <v>2023</v>
      </c>
      <c r="M39" s="150">
        <f t="shared" si="30"/>
        <v>2024</v>
      </c>
      <c r="N39" s="150">
        <f t="shared" si="30"/>
        <v>2024</v>
      </c>
      <c r="O39" s="150">
        <f t="shared" si="30"/>
        <v>2025</v>
      </c>
      <c r="P39" s="150">
        <f t="shared" si="30"/>
        <v>2025</v>
      </c>
      <c r="Q39" s="150">
        <f t="shared" si="30"/>
        <v>2026</v>
      </c>
      <c r="R39" s="150">
        <f t="shared" si="30"/>
        <v>2026</v>
      </c>
      <c r="S39" s="150">
        <f t="shared" si="30"/>
        <v>2027</v>
      </c>
      <c r="T39" s="150">
        <f t="shared" si="30"/>
        <v>2027</v>
      </c>
      <c r="U39" s="150">
        <f t="shared" si="30"/>
        <v>2028</v>
      </c>
      <c r="V39" s="150">
        <f t="shared" si="30"/>
        <v>2028</v>
      </c>
      <c r="W39" s="150">
        <f t="shared" si="30"/>
        <v>2029</v>
      </c>
      <c r="X39" s="150">
        <f t="shared" si="30"/>
        <v>2029</v>
      </c>
      <c r="Y39" s="150">
        <f t="shared" si="30"/>
        <v>2030</v>
      </c>
      <c r="Z39" s="150">
        <f t="shared" si="30"/>
        <v>2030</v>
      </c>
      <c r="AA39" s="150">
        <f t="shared" si="30"/>
        <v>2031</v>
      </c>
      <c r="AB39" s="150">
        <f t="shared" si="30"/>
        <v>2031</v>
      </c>
      <c r="AC39" s="150">
        <f t="shared" si="30"/>
        <v>2032</v>
      </c>
      <c r="AD39" s="150">
        <f t="shared" si="30"/>
        <v>2032</v>
      </c>
      <c r="AE39" s="150">
        <f t="shared" si="30"/>
        <v>2033</v>
      </c>
      <c r="AF39" s="150">
        <f t="shared" si="30"/>
        <v>2033</v>
      </c>
      <c r="AG39" s="150">
        <f t="shared" si="30"/>
        <v>2034</v>
      </c>
      <c r="AH39" s="150">
        <f t="shared" si="30"/>
        <v>2034</v>
      </c>
      <c r="AI39" s="150">
        <f t="shared" si="30"/>
        <v>2035</v>
      </c>
      <c r="AJ39" s="150">
        <f t="shared" si="30"/>
        <v>2035</v>
      </c>
      <c r="AK39" s="150">
        <f t="shared" si="30"/>
        <v>2036</v>
      </c>
      <c r="AL39" s="150">
        <f t="shared" si="30"/>
        <v>2036</v>
      </c>
      <c r="AM39" s="150">
        <f t="shared" si="30"/>
        <v>2037</v>
      </c>
      <c r="AN39" s="150">
        <f t="shared" si="30"/>
        <v>2037</v>
      </c>
      <c r="AO39" s="150">
        <f t="shared" si="30"/>
        <v>2038</v>
      </c>
      <c r="AP39" s="150">
        <f t="shared" si="30"/>
        <v>2038</v>
      </c>
      <c r="AQ39" s="150">
        <f t="shared" si="30"/>
        <v>2039</v>
      </c>
      <c r="AR39" s="150">
        <f t="shared" si="30"/>
        <v>2039</v>
      </c>
      <c r="AS39" s="150">
        <f t="shared" si="30"/>
        <v>2040</v>
      </c>
      <c r="AT39" s="150">
        <f t="shared" si="30"/>
        <v>2040</v>
      </c>
      <c r="AU39" s="150">
        <f t="shared" si="30"/>
        <v>2041</v>
      </c>
      <c r="AV39" s="150">
        <f t="shared" si="30"/>
        <v>2041</v>
      </c>
      <c r="AW39" s="150">
        <f t="shared" si="30"/>
        <v>2042</v>
      </c>
      <c r="AX39" s="150">
        <f t="shared" si="30"/>
        <v>2042</v>
      </c>
      <c r="AY39" s="150">
        <f t="shared" si="30"/>
        <v>2043</v>
      </c>
      <c r="AZ39" s="150">
        <f t="shared" si="30"/>
        <v>2043</v>
      </c>
      <c r="BA39" s="150">
        <f t="shared" si="30"/>
        <v>2044</v>
      </c>
      <c r="BB39" s="150">
        <f t="shared" si="30"/>
        <v>2044</v>
      </c>
      <c r="BC39" s="150">
        <f t="shared" si="30"/>
        <v>2045</v>
      </c>
      <c r="BD39" s="150">
        <f t="shared" si="30"/>
        <v>2045</v>
      </c>
      <c r="BE39" s="150">
        <f t="shared" si="30"/>
        <v>2046</v>
      </c>
      <c r="BF39" s="150">
        <f t="shared" si="30"/>
        <v>2046</v>
      </c>
      <c r="BG39" s="150">
        <f t="shared" si="30"/>
        <v>2047</v>
      </c>
      <c r="BH39" s="150">
        <f t="shared" si="30"/>
        <v>2047</v>
      </c>
      <c r="BI39" s="150">
        <f t="shared" si="30"/>
        <v>2048</v>
      </c>
      <c r="BJ39" s="150">
        <f t="shared" si="30"/>
        <v>2048</v>
      </c>
      <c r="BK39" s="150">
        <f t="shared" si="30"/>
        <v>2049</v>
      </c>
      <c r="BL39" s="150">
        <f t="shared" si="30"/>
        <v>2049</v>
      </c>
      <c r="BM39" s="150">
        <f t="shared" si="30"/>
        <v>2050</v>
      </c>
      <c r="BN39" s="150">
        <f t="shared" si="30"/>
        <v>2050</v>
      </c>
      <c r="BO39" s="150">
        <f t="shared" si="30"/>
        <v>2051</v>
      </c>
      <c r="BP39" s="150">
        <f t="shared" si="30"/>
        <v>2051</v>
      </c>
      <c r="BQ39" s="150">
        <f t="shared" si="30"/>
        <v>2052</v>
      </c>
      <c r="BR39" s="150">
        <f t="shared" si="30"/>
        <v>2052</v>
      </c>
      <c r="BS39" s="150">
        <f t="shared" si="30"/>
        <v>2053</v>
      </c>
      <c r="BT39" s="150">
        <f t="shared" si="30"/>
        <v>2053</v>
      </c>
      <c r="BU39" s="150">
        <f t="shared" si="30"/>
        <v>2054</v>
      </c>
      <c r="BV39" s="150">
        <f t="shared" si="30"/>
        <v>2054</v>
      </c>
      <c r="BW39" s="150">
        <f t="shared" ref="BW39:CV39" si="31" xml:space="preserve"> YEAR(BW38)</f>
        <v>2055</v>
      </c>
      <c r="BX39" s="150">
        <f t="shared" si="31"/>
        <v>2055</v>
      </c>
      <c r="BY39" s="150">
        <f t="shared" si="31"/>
        <v>2056</v>
      </c>
      <c r="BZ39" s="150">
        <f t="shared" si="31"/>
        <v>2056</v>
      </c>
      <c r="CA39" s="150">
        <f t="shared" si="31"/>
        <v>2057</v>
      </c>
      <c r="CB39" s="150">
        <f t="shared" si="31"/>
        <v>2057</v>
      </c>
      <c r="CC39" s="150">
        <f t="shared" si="31"/>
        <v>2058</v>
      </c>
      <c r="CD39" s="150">
        <f t="shared" si="31"/>
        <v>2058</v>
      </c>
      <c r="CE39" s="150">
        <f t="shared" si="31"/>
        <v>2059</v>
      </c>
      <c r="CF39" s="150">
        <f t="shared" si="31"/>
        <v>2059</v>
      </c>
      <c r="CG39" s="150">
        <f t="shared" si="31"/>
        <v>2060</v>
      </c>
      <c r="CH39" s="150">
        <f t="shared" si="31"/>
        <v>2060</v>
      </c>
      <c r="CI39" s="150">
        <f t="shared" si="31"/>
        <v>2061</v>
      </c>
      <c r="CJ39" s="150">
        <f t="shared" si="31"/>
        <v>2061</v>
      </c>
      <c r="CK39" s="150">
        <f t="shared" si="31"/>
        <v>2062</v>
      </c>
      <c r="CL39" s="150">
        <f t="shared" si="31"/>
        <v>2062</v>
      </c>
      <c r="CM39" s="150">
        <f t="shared" si="31"/>
        <v>2063</v>
      </c>
      <c r="CN39" s="150">
        <f t="shared" si="31"/>
        <v>2063</v>
      </c>
      <c r="CO39" s="150">
        <f t="shared" si="31"/>
        <v>2064</v>
      </c>
      <c r="CP39" s="150">
        <f t="shared" si="31"/>
        <v>2064</v>
      </c>
      <c r="CQ39" s="150">
        <f t="shared" si="31"/>
        <v>2065</v>
      </c>
      <c r="CR39" s="150">
        <f t="shared" si="31"/>
        <v>2065</v>
      </c>
      <c r="CS39" s="150">
        <f t="shared" si="31"/>
        <v>2066</v>
      </c>
      <c r="CT39" s="150">
        <f t="shared" si="31"/>
        <v>2066</v>
      </c>
      <c r="CU39" s="150">
        <f t="shared" si="31"/>
        <v>2067</v>
      </c>
      <c r="CV39" s="150">
        <f t="shared" si="31"/>
        <v>2067</v>
      </c>
    </row>
    <row r="40" spans="1:100" outlineLevel="1" x14ac:dyDescent="0.2">
      <c r="E40" s="9"/>
      <c r="F40" s="9"/>
      <c r="G40" s="9"/>
      <c r="H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</row>
    <row r="41" spans="1:100" outlineLevel="1" x14ac:dyDescent="0.2">
      <c r="B41" s="15" t="s">
        <v>128</v>
      </c>
    </row>
    <row r="42" spans="1:100" outlineLevel="2" x14ac:dyDescent="0.2">
      <c r="A42" s="54"/>
      <c r="B42" s="54"/>
      <c r="C42" s="57"/>
      <c r="D42" s="69"/>
      <c r="E42" s="204" t="str">
        <f xml:space="preserve"> InpC!E$14</f>
        <v>Financial year end date of first model period</v>
      </c>
      <c r="F42" s="204">
        <f xml:space="preserve"> InpC!F$14</f>
        <v>44742</v>
      </c>
      <c r="G42" s="204" t="str">
        <f xml:space="preserve"> InpC!G$14</f>
        <v>date</v>
      </c>
      <c r="H42" s="69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</row>
    <row r="43" spans="1:100" outlineLevel="2" x14ac:dyDescent="0.2">
      <c r="A43" s="49"/>
      <c r="B43" s="49"/>
      <c r="C43" s="50"/>
      <c r="D43" s="70"/>
      <c r="E43" s="127" t="str">
        <f xml:space="preserve"> InpC!E$412</f>
        <v>Months in year</v>
      </c>
      <c r="F43" s="127">
        <f xml:space="preserve"> InpC!F$412</f>
        <v>12</v>
      </c>
      <c r="G43" s="127" t="str">
        <f xml:space="preserve"> InpC!G$412</f>
        <v>months</v>
      </c>
      <c r="H43" s="127"/>
      <c r="I43" s="138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27"/>
      <c r="CQ43" s="127"/>
      <c r="CR43" s="127"/>
      <c r="CS43" s="127"/>
      <c r="CT43" s="127"/>
      <c r="CU43" s="127"/>
      <c r="CV43" s="127"/>
    </row>
    <row r="44" spans="1:100" outlineLevel="2" x14ac:dyDescent="0.2">
      <c r="B44" s="54"/>
      <c r="E44" s="2" t="str">
        <f t="shared" ref="E44:BB44" si="32" xml:space="preserve"> E$14</f>
        <v>First model column flag</v>
      </c>
      <c r="F44" s="2">
        <f t="shared" si="32"/>
        <v>0</v>
      </c>
      <c r="G44" s="2" t="str">
        <f t="shared" si="32"/>
        <v>flag</v>
      </c>
      <c r="H44" s="2">
        <f t="shared" si="32"/>
        <v>1</v>
      </c>
      <c r="I44" s="16">
        <f t="shared" si="32"/>
        <v>0</v>
      </c>
      <c r="J44" s="2">
        <f t="shared" si="32"/>
        <v>1</v>
      </c>
      <c r="K44" s="2">
        <f t="shared" si="32"/>
        <v>0</v>
      </c>
      <c r="L44" s="2">
        <f t="shared" si="32"/>
        <v>0</v>
      </c>
      <c r="M44" s="2">
        <f t="shared" si="32"/>
        <v>0</v>
      </c>
      <c r="N44" s="2">
        <f t="shared" si="32"/>
        <v>0</v>
      </c>
      <c r="O44" s="2">
        <f t="shared" si="32"/>
        <v>0</v>
      </c>
      <c r="P44" s="2">
        <f t="shared" si="32"/>
        <v>0</v>
      </c>
      <c r="Q44" s="2">
        <f t="shared" si="32"/>
        <v>0</v>
      </c>
      <c r="R44" s="2">
        <f t="shared" si="32"/>
        <v>0</v>
      </c>
      <c r="S44" s="2">
        <f t="shared" si="32"/>
        <v>0</v>
      </c>
      <c r="T44" s="2">
        <f t="shared" si="32"/>
        <v>0</v>
      </c>
      <c r="U44" s="2">
        <f t="shared" si="32"/>
        <v>0</v>
      </c>
      <c r="V44" s="2">
        <f t="shared" si="32"/>
        <v>0</v>
      </c>
      <c r="W44" s="2">
        <f t="shared" si="32"/>
        <v>0</v>
      </c>
      <c r="X44" s="2">
        <f t="shared" si="32"/>
        <v>0</v>
      </c>
      <c r="Y44" s="2">
        <f t="shared" si="32"/>
        <v>0</v>
      </c>
      <c r="Z44" s="2">
        <f t="shared" si="32"/>
        <v>0</v>
      </c>
      <c r="AA44" s="2">
        <f t="shared" si="32"/>
        <v>0</v>
      </c>
      <c r="AB44" s="2">
        <f t="shared" si="32"/>
        <v>0</v>
      </c>
      <c r="AC44" s="2">
        <f t="shared" si="32"/>
        <v>0</v>
      </c>
      <c r="AD44" s="2">
        <f t="shared" si="32"/>
        <v>0</v>
      </c>
      <c r="AE44" s="2">
        <f t="shared" si="32"/>
        <v>0</v>
      </c>
      <c r="AF44" s="2">
        <f t="shared" si="32"/>
        <v>0</v>
      </c>
      <c r="AG44" s="2">
        <f t="shared" si="32"/>
        <v>0</v>
      </c>
      <c r="AH44" s="2">
        <f t="shared" si="32"/>
        <v>0</v>
      </c>
      <c r="AI44" s="2">
        <f t="shared" si="32"/>
        <v>0</v>
      </c>
      <c r="AJ44" s="2">
        <f t="shared" si="32"/>
        <v>0</v>
      </c>
      <c r="AK44" s="2">
        <f t="shared" si="32"/>
        <v>0</v>
      </c>
      <c r="AL44" s="2">
        <f t="shared" si="32"/>
        <v>0</v>
      </c>
      <c r="AM44" s="2">
        <f t="shared" si="32"/>
        <v>0</v>
      </c>
      <c r="AN44" s="2">
        <f t="shared" si="32"/>
        <v>0</v>
      </c>
      <c r="AO44" s="2">
        <f t="shared" si="32"/>
        <v>0</v>
      </c>
      <c r="AP44" s="2">
        <f t="shared" si="32"/>
        <v>0</v>
      </c>
      <c r="AQ44" s="2">
        <f t="shared" si="32"/>
        <v>0</v>
      </c>
      <c r="AR44" s="2">
        <f t="shared" si="32"/>
        <v>0</v>
      </c>
      <c r="AS44" s="2">
        <f t="shared" si="32"/>
        <v>0</v>
      </c>
      <c r="AT44" s="2">
        <f t="shared" si="32"/>
        <v>0</v>
      </c>
      <c r="AU44" s="2">
        <f t="shared" si="32"/>
        <v>0</v>
      </c>
      <c r="AV44" s="2">
        <f t="shared" si="32"/>
        <v>0</v>
      </c>
      <c r="AW44" s="2">
        <f t="shared" si="32"/>
        <v>0</v>
      </c>
      <c r="AX44" s="2">
        <f t="shared" si="32"/>
        <v>0</v>
      </c>
      <c r="AY44" s="2">
        <f t="shared" si="32"/>
        <v>0</v>
      </c>
      <c r="AZ44" s="2">
        <f t="shared" si="32"/>
        <v>0</v>
      </c>
      <c r="BA44" s="2">
        <f t="shared" si="32"/>
        <v>0</v>
      </c>
      <c r="BB44" s="2">
        <f t="shared" si="32"/>
        <v>0</v>
      </c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  <c r="BR44" s="154"/>
      <c r="BS44" s="154"/>
      <c r="BT44" s="154"/>
      <c r="BU44" s="154"/>
      <c r="BV44" s="154"/>
      <c r="BW44" s="154"/>
      <c r="BX44" s="154"/>
      <c r="BY44" s="154"/>
      <c r="BZ44" s="154"/>
      <c r="CA44" s="154"/>
      <c r="CB44" s="154"/>
      <c r="CC44" s="154"/>
      <c r="CD44" s="154"/>
      <c r="CE44" s="154"/>
      <c r="CF44" s="154"/>
      <c r="CG44" s="154"/>
      <c r="CH44" s="154"/>
      <c r="CI44" s="154"/>
      <c r="CJ44" s="154"/>
      <c r="CK44" s="154"/>
      <c r="CL44" s="154"/>
      <c r="CM44" s="154"/>
      <c r="CN44" s="154"/>
      <c r="CO44" s="154"/>
      <c r="CP44" s="154"/>
      <c r="CQ44" s="154"/>
      <c r="CR44" s="154"/>
      <c r="CS44" s="154"/>
      <c r="CT44" s="154"/>
      <c r="CU44" s="154"/>
      <c r="CV44" s="154"/>
    </row>
    <row r="45" spans="1:100" outlineLevel="2" x14ac:dyDescent="0.2">
      <c r="A45" s="128"/>
      <c r="B45" s="128"/>
      <c r="C45" s="129"/>
      <c r="D45" s="130"/>
      <c r="E45" s="131" t="s">
        <v>76</v>
      </c>
      <c r="F45" s="131"/>
      <c r="G45" s="131" t="s">
        <v>6</v>
      </c>
      <c r="H45" s="131"/>
      <c r="I45" s="139"/>
      <c r="J45" s="131">
        <f xml:space="preserve"> IF(J44 = 1, $F42, EOMONTH(I45, $F43))</f>
        <v>44742</v>
      </c>
      <c r="K45" s="131">
        <f t="shared" ref="K45:AO45" si="33" xml:space="preserve"> IF(K44 = 1, $F42, EOMONTH(J45, $F43))</f>
        <v>45107</v>
      </c>
      <c r="L45" s="131">
        <f t="shared" si="33"/>
        <v>45473</v>
      </c>
      <c r="M45" s="131">
        <f t="shared" si="33"/>
        <v>45838</v>
      </c>
      <c r="N45" s="131">
        <f t="shared" si="33"/>
        <v>46203</v>
      </c>
      <c r="O45" s="131">
        <f t="shared" si="33"/>
        <v>46568</v>
      </c>
      <c r="P45" s="131">
        <f t="shared" si="33"/>
        <v>46934</v>
      </c>
      <c r="Q45" s="131">
        <f t="shared" si="33"/>
        <v>47299</v>
      </c>
      <c r="R45" s="131">
        <f t="shared" si="33"/>
        <v>47664</v>
      </c>
      <c r="S45" s="131">
        <f t="shared" si="33"/>
        <v>48029</v>
      </c>
      <c r="T45" s="131">
        <f t="shared" si="33"/>
        <v>48395</v>
      </c>
      <c r="U45" s="131">
        <f t="shared" si="33"/>
        <v>48760</v>
      </c>
      <c r="V45" s="131">
        <f t="shared" si="33"/>
        <v>49125</v>
      </c>
      <c r="W45" s="131">
        <f t="shared" si="33"/>
        <v>49490</v>
      </c>
      <c r="X45" s="131">
        <f t="shared" si="33"/>
        <v>49856</v>
      </c>
      <c r="Y45" s="131">
        <f t="shared" si="33"/>
        <v>50221</v>
      </c>
      <c r="Z45" s="131">
        <f t="shared" si="33"/>
        <v>50586</v>
      </c>
      <c r="AA45" s="131">
        <f t="shared" si="33"/>
        <v>50951</v>
      </c>
      <c r="AB45" s="131">
        <f t="shared" si="33"/>
        <v>51317</v>
      </c>
      <c r="AC45" s="131">
        <f t="shared" si="33"/>
        <v>51682</v>
      </c>
      <c r="AD45" s="131">
        <f t="shared" si="33"/>
        <v>52047</v>
      </c>
      <c r="AE45" s="131">
        <f t="shared" si="33"/>
        <v>52412</v>
      </c>
      <c r="AF45" s="131">
        <f t="shared" si="33"/>
        <v>52778</v>
      </c>
      <c r="AG45" s="131">
        <f t="shared" si="33"/>
        <v>53143</v>
      </c>
      <c r="AH45" s="131">
        <f t="shared" si="33"/>
        <v>53508</v>
      </c>
      <c r="AI45" s="131">
        <f t="shared" si="33"/>
        <v>53873</v>
      </c>
      <c r="AJ45" s="131">
        <f t="shared" si="33"/>
        <v>54239</v>
      </c>
      <c r="AK45" s="131">
        <f t="shared" si="33"/>
        <v>54604</v>
      </c>
      <c r="AL45" s="131">
        <f t="shared" si="33"/>
        <v>54969</v>
      </c>
      <c r="AM45" s="131">
        <f t="shared" si="33"/>
        <v>55334</v>
      </c>
      <c r="AN45" s="131">
        <f t="shared" si="33"/>
        <v>55700</v>
      </c>
      <c r="AO45" s="131">
        <f t="shared" si="33"/>
        <v>56065</v>
      </c>
      <c r="AP45" s="131">
        <f t="shared" ref="AP45:BB45" si="34" xml:space="preserve"> IF(AP44 = 1, $F42, EOMONTH(AO45, $F43))</f>
        <v>56430</v>
      </c>
      <c r="AQ45" s="131">
        <f t="shared" si="34"/>
        <v>56795</v>
      </c>
      <c r="AR45" s="131">
        <f t="shared" si="34"/>
        <v>57161</v>
      </c>
      <c r="AS45" s="131">
        <f t="shared" si="34"/>
        <v>57526</v>
      </c>
      <c r="AT45" s="131">
        <f t="shared" si="34"/>
        <v>57891</v>
      </c>
      <c r="AU45" s="131">
        <f t="shared" si="34"/>
        <v>58256</v>
      </c>
      <c r="AV45" s="131">
        <f t="shared" si="34"/>
        <v>58622</v>
      </c>
      <c r="AW45" s="131">
        <f t="shared" si="34"/>
        <v>58987</v>
      </c>
      <c r="AX45" s="131">
        <f t="shared" si="34"/>
        <v>59352</v>
      </c>
      <c r="AY45" s="131">
        <f t="shared" si="34"/>
        <v>59717</v>
      </c>
      <c r="AZ45" s="131">
        <f t="shared" si="34"/>
        <v>60083</v>
      </c>
      <c r="BA45" s="131">
        <f t="shared" si="34"/>
        <v>60448</v>
      </c>
      <c r="BB45" s="131">
        <f t="shared" si="34"/>
        <v>60813</v>
      </c>
      <c r="BC45" s="472"/>
      <c r="BD45" s="472"/>
      <c r="BE45" s="472"/>
      <c r="BF45" s="472"/>
      <c r="BG45" s="472"/>
      <c r="BH45" s="472"/>
      <c r="BI45" s="472"/>
      <c r="BJ45" s="472"/>
      <c r="BK45" s="472"/>
      <c r="BL45" s="472"/>
      <c r="BM45" s="472"/>
      <c r="BN45" s="472"/>
      <c r="BO45" s="472"/>
      <c r="BP45" s="472"/>
      <c r="BQ45" s="472"/>
      <c r="BR45" s="472"/>
      <c r="BS45" s="472"/>
      <c r="BT45" s="472"/>
      <c r="BU45" s="472"/>
      <c r="BV45" s="472"/>
      <c r="BW45" s="472"/>
      <c r="BX45" s="472"/>
      <c r="BY45" s="472"/>
      <c r="BZ45" s="472"/>
      <c r="CA45" s="472"/>
      <c r="CB45" s="472"/>
      <c r="CC45" s="472"/>
      <c r="CD45" s="472"/>
      <c r="CE45" s="472"/>
      <c r="CF45" s="472"/>
      <c r="CG45" s="472"/>
      <c r="CH45" s="472"/>
      <c r="CI45" s="472"/>
      <c r="CJ45" s="472"/>
      <c r="CK45" s="472"/>
      <c r="CL45" s="472"/>
      <c r="CM45" s="472"/>
      <c r="CN45" s="472"/>
      <c r="CO45" s="472"/>
      <c r="CP45" s="472"/>
      <c r="CQ45" s="472"/>
      <c r="CR45" s="472"/>
      <c r="CS45" s="472"/>
      <c r="CT45" s="472"/>
      <c r="CU45" s="472"/>
      <c r="CV45" s="472"/>
    </row>
    <row r="46" spans="1:100" outlineLevel="2" x14ac:dyDescent="0.2">
      <c r="A46" s="141"/>
      <c r="B46" s="141"/>
      <c r="C46" s="142"/>
      <c r="D46" s="143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  <c r="CK46" s="144"/>
      <c r="CL46" s="144"/>
      <c r="CM46" s="144"/>
      <c r="CN46" s="144"/>
      <c r="CO46" s="144"/>
      <c r="CP46" s="144"/>
      <c r="CQ46" s="144"/>
      <c r="CR46" s="144"/>
      <c r="CS46" s="144"/>
      <c r="CT46" s="144"/>
      <c r="CU46" s="144"/>
      <c r="CV46" s="144"/>
    </row>
    <row r="47" spans="1:100" outlineLevel="2" x14ac:dyDescent="0.2">
      <c r="E47" s="151" t="str">
        <f t="shared" ref="E47:AJ47" si="35" xml:space="preserve"> E$64</f>
        <v>Timeline label</v>
      </c>
      <c r="F47" s="151">
        <f t="shared" si="35"/>
        <v>0</v>
      </c>
      <c r="G47" s="151" t="str">
        <f t="shared" si="35"/>
        <v>label</v>
      </c>
      <c r="H47" s="151">
        <f t="shared" si="35"/>
        <v>0</v>
      </c>
      <c r="I47" s="151">
        <f t="shared" si="35"/>
        <v>0</v>
      </c>
      <c r="J47" s="151" t="str">
        <f t="shared" si="35"/>
        <v>Fin Close</v>
      </c>
      <c r="K47" s="151" t="str">
        <f t="shared" si="35"/>
        <v>Construction</v>
      </c>
      <c r="L47" s="151" t="str">
        <f t="shared" si="35"/>
        <v>Construction</v>
      </c>
      <c r="M47" s="151" t="str">
        <f t="shared" si="35"/>
        <v>Construction</v>
      </c>
      <c r="N47" s="151" t="str">
        <f t="shared" si="35"/>
        <v>Construction</v>
      </c>
      <c r="O47" s="151" t="str">
        <f t="shared" si="35"/>
        <v>Operations</v>
      </c>
      <c r="P47" s="151" t="str">
        <f t="shared" si="35"/>
        <v>Operations</v>
      </c>
      <c r="Q47" s="151" t="str">
        <f t="shared" si="35"/>
        <v>Operations</v>
      </c>
      <c r="R47" s="151" t="str">
        <f t="shared" si="35"/>
        <v>Operations</v>
      </c>
      <c r="S47" s="151" t="str">
        <f t="shared" si="35"/>
        <v>Operations</v>
      </c>
      <c r="T47" s="151" t="str">
        <f t="shared" si="35"/>
        <v>Operations</v>
      </c>
      <c r="U47" s="151" t="str">
        <f t="shared" si="35"/>
        <v>Operations</v>
      </c>
      <c r="V47" s="151" t="str">
        <f t="shared" si="35"/>
        <v>Operations</v>
      </c>
      <c r="W47" s="151" t="str">
        <f t="shared" si="35"/>
        <v>Operations</v>
      </c>
      <c r="X47" s="151" t="str">
        <f t="shared" si="35"/>
        <v>Operations</v>
      </c>
      <c r="Y47" s="151" t="str">
        <f t="shared" si="35"/>
        <v>Operations</v>
      </c>
      <c r="Z47" s="151" t="str">
        <f t="shared" si="35"/>
        <v>Operations</v>
      </c>
      <c r="AA47" s="151" t="str">
        <f t="shared" si="35"/>
        <v>Operations</v>
      </c>
      <c r="AB47" s="151" t="str">
        <f t="shared" si="35"/>
        <v>Operations</v>
      </c>
      <c r="AC47" s="151" t="str">
        <f t="shared" si="35"/>
        <v>Operations</v>
      </c>
      <c r="AD47" s="151" t="str">
        <f t="shared" si="35"/>
        <v>Operations</v>
      </c>
      <c r="AE47" s="151" t="str">
        <f t="shared" si="35"/>
        <v>Operations</v>
      </c>
      <c r="AF47" s="151" t="str">
        <f t="shared" si="35"/>
        <v>Operations</v>
      </c>
      <c r="AG47" s="151" t="str">
        <f t="shared" si="35"/>
        <v>Operations</v>
      </c>
      <c r="AH47" s="151" t="str">
        <f t="shared" si="35"/>
        <v>Operations</v>
      </c>
      <c r="AI47" s="151" t="str">
        <f t="shared" si="35"/>
        <v>Operations</v>
      </c>
      <c r="AJ47" s="151" t="str">
        <f t="shared" si="35"/>
        <v>Operations</v>
      </c>
      <c r="AK47" s="151" t="str">
        <f t="shared" ref="AK47:BP47" si="36" xml:space="preserve"> AK$64</f>
        <v>Operations</v>
      </c>
      <c r="AL47" s="151" t="str">
        <f t="shared" si="36"/>
        <v>Operations</v>
      </c>
      <c r="AM47" s="151" t="str">
        <f t="shared" si="36"/>
        <v>Operations</v>
      </c>
      <c r="AN47" s="151" t="str">
        <f t="shared" si="36"/>
        <v>Operations</v>
      </c>
      <c r="AO47" s="151" t="str">
        <f t="shared" si="36"/>
        <v>Operations</v>
      </c>
      <c r="AP47" s="151" t="str">
        <f t="shared" si="36"/>
        <v>Operations</v>
      </c>
      <c r="AQ47" s="151" t="str">
        <f t="shared" si="36"/>
        <v>Operations</v>
      </c>
      <c r="AR47" s="151" t="str">
        <f t="shared" si="36"/>
        <v>Operations</v>
      </c>
      <c r="AS47" s="151" t="str">
        <f t="shared" si="36"/>
        <v>Operations</v>
      </c>
      <c r="AT47" s="151" t="str">
        <f t="shared" si="36"/>
        <v>Operations</v>
      </c>
      <c r="AU47" s="151" t="str">
        <f t="shared" si="36"/>
        <v>Operations</v>
      </c>
      <c r="AV47" s="151" t="str">
        <f t="shared" si="36"/>
        <v>Operations</v>
      </c>
      <c r="AW47" s="151" t="str">
        <f t="shared" si="36"/>
        <v>Operations</v>
      </c>
      <c r="AX47" s="151" t="str">
        <f t="shared" si="36"/>
        <v>Operations</v>
      </c>
      <c r="AY47" s="151" t="str">
        <f t="shared" si="36"/>
        <v>Operations</v>
      </c>
      <c r="AZ47" s="151" t="str">
        <f t="shared" si="36"/>
        <v>Operations</v>
      </c>
      <c r="BA47" s="151" t="str">
        <f t="shared" si="36"/>
        <v>Operations</v>
      </c>
      <c r="BB47" s="151" t="str">
        <f t="shared" si="36"/>
        <v>Operations</v>
      </c>
      <c r="BC47" s="151" t="str">
        <f t="shared" si="36"/>
        <v>Post ops</v>
      </c>
      <c r="BD47" s="151" t="str">
        <f t="shared" si="36"/>
        <v>Post ops</v>
      </c>
      <c r="BE47" s="151" t="str">
        <f t="shared" si="36"/>
        <v>Post ops</v>
      </c>
      <c r="BF47" s="151" t="str">
        <f t="shared" si="36"/>
        <v>Post ops</v>
      </c>
      <c r="BG47" s="151" t="str">
        <f t="shared" si="36"/>
        <v>Post ops</v>
      </c>
      <c r="BH47" s="151" t="str">
        <f t="shared" si="36"/>
        <v>Post ops</v>
      </c>
      <c r="BI47" s="151" t="str">
        <f t="shared" si="36"/>
        <v>Post ops</v>
      </c>
      <c r="BJ47" s="151" t="str">
        <f t="shared" si="36"/>
        <v>Post ops</v>
      </c>
      <c r="BK47" s="151" t="str">
        <f t="shared" si="36"/>
        <v>Post ops</v>
      </c>
      <c r="BL47" s="151" t="str">
        <f t="shared" si="36"/>
        <v>Post ops</v>
      </c>
      <c r="BM47" s="151" t="str">
        <f t="shared" si="36"/>
        <v>Post ops</v>
      </c>
      <c r="BN47" s="151" t="str">
        <f t="shared" si="36"/>
        <v>Post ops</v>
      </c>
      <c r="BO47" s="151" t="str">
        <f t="shared" si="36"/>
        <v>Post ops</v>
      </c>
      <c r="BP47" s="151" t="str">
        <f t="shared" si="36"/>
        <v>Post ops</v>
      </c>
      <c r="BQ47" s="151" t="str">
        <f t="shared" ref="BQ47:CV47" si="37" xml:space="preserve"> BQ$64</f>
        <v>Post ops</v>
      </c>
      <c r="BR47" s="151" t="str">
        <f t="shared" si="37"/>
        <v>Post ops</v>
      </c>
      <c r="BS47" s="151" t="str">
        <f t="shared" si="37"/>
        <v>Post ops</v>
      </c>
      <c r="BT47" s="151" t="str">
        <f t="shared" si="37"/>
        <v>Post ops</v>
      </c>
      <c r="BU47" s="151" t="str">
        <f t="shared" si="37"/>
        <v>Post ops</v>
      </c>
      <c r="BV47" s="151" t="str">
        <f t="shared" si="37"/>
        <v>Post ops</v>
      </c>
      <c r="BW47" s="151" t="str">
        <f t="shared" si="37"/>
        <v>Post ops</v>
      </c>
      <c r="BX47" s="151" t="str">
        <f t="shared" si="37"/>
        <v>Post ops</v>
      </c>
      <c r="BY47" s="151" t="str">
        <f t="shared" si="37"/>
        <v>Post ops</v>
      </c>
      <c r="BZ47" s="151" t="str">
        <f t="shared" si="37"/>
        <v>Post ops</v>
      </c>
      <c r="CA47" s="151" t="str">
        <f t="shared" si="37"/>
        <v>Post ops</v>
      </c>
      <c r="CB47" s="151" t="str">
        <f t="shared" si="37"/>
        <v>Post ops</v>
      </c>
      <c r="CC47" s="151" t="str">
        <f t="shared" si="37"/>
        <v>Post ops</v>
      </c>
      <c r="CD47" s="151" t="str">
        <f t="shared" si="37"/>
        <v>Post ops</v>
      </c>
      <c r="CE47" s="151" t="str">
        <f t="shared" si="37"/>
        <v>Post ops</v>
      </c>
      <c r="CF47" s="151" t="str">
        <f t="shared" si="37"/>
        <v>Post ops</v>
      </c>
      <c r="CG47" s="151" t="str">
        <f t="shared" si="37"/>
        <v>Post ops</v>
      </c>
      <c r="CH47" s="151" t="str">
        <f t="shared" si="37"/>
        <v>Post ops</v>
      </c>
      <c r="CI47" s="151" t="str">
        <f t="shared" si="37"/>
        <v>Post ops</v>
      </c>
      <c r="CJ47" s="151" t="str">
        <f t="shared" si="37"/>
        <v>Post ops</v>
      </c>
      <c r="CK47" s="151" t="str">
        <f t="shared" si="37"/>
        <v>Post ops</v>
      </c>
      <c r="CL47" s="151" t="str">
        <f t="shared" si="37"/>
        <v>Post ops</v>
      </c>
      <c r="CM47" s="151" t="str">
        <f t="shared" si="37"/>
        <v>Post ops</v>
      </c>
      <c r="CN47" s="151" t="str">
        <f t="shared" si="37"/>
        <v>Post ops</v>
      </c>
      <c r="CO47" s="151" t="str">
        <f t="shared" si="37"/>
        <v>Post ops</v>
      </c>
      <c r="CP47" s="151" t="str">
        <f t="shared" si="37"/>
        <v>Post ops</v>
      </c>
      <c r="CQ47" s="151" t="str">
        <f t="shared" si="37"/>
        <v>Post ops</v>
      </c>
      <c r="CR47" s="151" t="str">
        <f t="shared" si="37"/>
        <v>Post ops</v>
      </c>
      <c r="CS47" s="151" t="str">
        <f t="shared" si="37"/>
        <v>Post ops</v>
      </c>
      <c r="CT47" s="151" t="str">
        <f t="shared" si="37"/>
        <v>Post ops</v>
      </c>
      <c r="CU47" s="151" t="str">
        <f t="shared" si="37"/>
        <v>Post ops</v>
      </c>
      <c r="CV47" s="151" t="str">
        <f t="shared" si="37"/>
        <v>Post ops</v>
      </c>
    </row>
    <row r="48" spans="1:100" outlineLevel="2" x14ac:dyDescent="0.2">
      <c r="A48" s="49"/>
      <c r="B48" s="49"/>
      <c r="C48" s="50"/>
      <c r="D48" s="70"/>
      <c r="E48" s="70" t="str">
        <f t="shared" ref="E48:AJ48" si="38" xml:space="preserve"> E$45</f>
        <v>Model period ending - annual</v>
      </c>
      <c r="F48" s="70">
        <f t="shared" si="38"/>
        <v>0</v>
      </c>
      <c r="G48" s="70" t="str">
        <f t="shared" si="38"/>
        <v>date</v>
      </c>
      <c r="H48" s="70">
        <f t="shared" si="38"/>
        <v>0</v>
      </c>
      <c r="I48" s="70">
        <f t="shared" si="38"/>
        <v>0</v>
      </c>
      <c r="J48" s="70">
        <f t="shared" si="38"/>
        <v>44742</v>
      </c>
      <c r="K48" s="70">
        <f t="shared" si="38"/>
        <v>45107</v>
      </c>
      <c r="L48" s="70">
        <f t="shared" si="38"/>
        <v>45473</v>
      </c>
      <c r="M48" s="70">
        <f t="shared" si="38"/>
        <v>45838</v>
      </c>
      <c r="N48" s="70">
        <f t="shared" si="38"/>
        <v>46203</v>
      </c>
      <c r="O48" s="70">
        <f t="shared" si="38"/>
        <v>46568</v>
      </c>
      <c r="P48" s="70">
        <f t="shared" si="38"/>
        <v>46934</v>
      </c>
      <c r="Q48" s="70">
        <f t="shared" si="38"/>
        <v>47299</v>
      </c>
      <c r="R48" s="70">
        <f t="shared" si="38"/>
        <v>47664</v>
      </c>
      <c r="S48" s="70">
        <f t="shared" si="38"/>
        <v>48029</v>
      </c>
      <c r="T48" s="70">
        <f t="shared" si="38"/>
        <v>48395</v>
      </c>
      <c r="U48" s="70">
        <f t="shared" si="38"/>
        <v>48760</v>
      </c>
      <c r="V48" s="70">
        <f t="shared" si="38"/>
        <v>49125</v>
      </c>
      <c r="W48" s="70">
        <f t="shared" si="38"/>
        <v>49490</v>
      </c>
      <c r="X48" s="70">
        <f t="shared" si="38"/>
        <v>49856</v>
      </c>
      <c r="Y48" s="70">
        <f t="shared" si="38"/>
        <v>50221</v>
      </c>
      <c r="Z48" s="70">
        <f t="shared" si="38"/>
        <v>50586</v>
      </c>
      <c r="AA48" s="70">
        <f t="shared" si="38"/>
        <v>50951</v>
      </c>
      <c r="AB48" s="70">
        <f t="shared" si="38"/>
        <v>51317</v>
      </c>
      <c r="AC48" s="70">
        <f t="shared" si="38"/>
        <v>51682</v>
      </c>
      <c r="AD48" s="70">
        <f t="shared" si="38"/>
        <v>52047</v>
      </c>
      <c r="AE48" s="70">
        <f t="shared" si="38"/>
        <v>52412</v>
      </c>
      <c r="AF48" s="70">
        <f t="shared" si="38"/>
        <v>52778</v>
      </c>
      <c r="AG48" s="70">
        <f t="shared" si="38"/>
        <v>53143</v>
      </c>
      <c r="AH48" s="70">
        <f t="shared" si="38"/>
        <v>53508</v>
      </c>
      <c r="AI48" s="70">
        <f t="shared" si="38"/>
        <v>53873</v>
      </c>
      <c r="AJ48" s="70">
        <f t="shared" si="38"/>
        <v>54239</v>
      </c>
      <c r="AK48" s="70">
        <f t="shared" ref="AK48:BB48" si="39" xml:space="preserve"> AK$45</f>
        <v>54604</v>
      </c>
      <c r="AL48" s="70">
        <f t="shared" si="39"/>
        <v>54969</v>
      </c>
      <c r="AM48" s="70">
        <f t="shared" si="39"/>
        <v>55334</v>
      </c>
      <c r="AN48" s="70">
        <f t="shared" si="39"/>
        <v>55700</v>
      </c>
      <c r="AO48" s="70">
        <f t="shared" si="39"/>
        <v>56065</v>
      </c>
      <c r="AP48" s="70">
        <f t="shared" si="39"/>
        <v>56430</v>
      </c>
      <c r="AQ48" s="70">
        <f t="shared" si="39"/>
        <v>56795</v>
      </c>
      <c r="AR48" s="70">
        <f t="shared" si="39"/>
        <v>57161</v>
      </c>
      <c r="AS48" s="70">
        <f t="shared" si="39"/>
        <v>57526</v>
      </c>
      <c r="AT48" s="70">
        <f t="shared" si="39"/>
        <v>57891</v>
      </c>
      <c r="AU48" s="70">
        <f t="shared" si="39"/>
        <v>58256</v>
      </c>
      <c r="AV48" s="70">
        <f t="shared" si="39"/>
        <v>58622</v>
      </c>
      <c r="AW48" s="70">
        <f t="shared" si="39"/>
        <v>58987</v>
      </c>
      <c r="AX48" s="70">
        <f t="shared" si="39"/>
        <v>59352</v>
      </c>
      <c r="AY48" s="70">
        <f t="shared" si="39"/>
        <v>59717</v>
      </c>
      <c r="AZ48" s="70">
        <f t="shared" si="39"/>
        <v>60083</v>
      </c>
      <c r="BA48" s="70">
        <f t="shared" si="39"/>
        <v>60448</v>
      </c>
      <c r="BB48" s="70">
        <f t="shared" si="39"/>
        <v>60813</v>
      </c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1"/>
      <c r="CB48" s="471"/>
      <c r="CC48" s="471"/>
      <c r="CD48" s="471"/>
      <c r="CE48" s="471"/>
      <c r="CF48" s="471"/>
      <c r="CG48" s="471"/>
      <c r="CH48" s="471"/>
      <c r="CI48" s="471"/>
      <c r="CJ48" s="471"/>
      <c r="CK48" s="471"/>
      <c r="CL48" s="471"/>
      <c r="CM48" s="471"/>
      <c r="CN48" s="471"/>
      <c r="CO48" s="471"/>
      <c r="CP48" s="471"/>
      <c r="CQ48" s="471"/>
      <c r="CR48" s="471"/>
      <c r="CS48" s="471"/>
      <c r="CT48" s="471"/>
      <c r="CU48" s="471"/>
      <c r="CV48" s="471"/>
    </row>
    <row r="49" spans="1:100" outlineLevel="2" x14ac:dyDescent="0.2">
      <c r="E49" s="140" t="str">
        <f t="shared" ref="E49:AJ49" si="40" xml:space="preserve"> E$25</f>
        <v>Model period ending</v>
      </c>
      <c r="F49" s="140">
        <f t="shared" si="40"/>
        <v>0</v>
      </c>
      <c r="G49" s="140" t="str">
        <f t="shared" si="40"/>
        <v>date</v>
      </c>
      <c r="H49" s="140">
        <f t="shared" si="40"/>
        <v>0</v>
      </c>
      <c r="I49" s="140">
        <f t="shared" si="40"/>
        <v>0</v>
      </c>
      <c r="J49" s="140">
        <f t="shared" si="40"/>
        <v>44742</v>
      </c>
      <c r="K49" s="140">
        <f t="shared" si="40"/>
        <v>44926</v>
      </c>
      <c r="L49" s="140">
        <f t="shared" si="40"/>
        <v>45107</v>
      </c>
      <c r="M49" s="140">
        <f t="shared" si="40"/>
        <v>45291</v>
      </c>
      <c r="N49" s="140">
        <f t="shared" si="40"/>
        <v>45473</v>
      </c>
      <c r="O49" s="140">
        <f t="shared" si="40"/>
        <v>45657</v>
      </c>
      <c r="P49" s="140">
        <f t="shared" si="40"/>
        <v>45838</v>
      </c>
      <c r="Q49" s="140">
        <f t="shared" si="40"/>
        <v>46022</v>
      </c>
      <c r="R49" s="140">
        <f t="shared" si="40"/>
        <v>46203</v>
      </c>
      <c r="S49" s="140">
        <f t="shared" si="40"/>
        <v>46387</v>
      </c>
      <c r="T49" s="140">
        <f t="shared" si="40"/>
        <v>46568</v>
      </c>
      <c r="U49" s="140">
        <f t="shared" si="40"/>
        <v>46752</v>
      </c>
      <c r="V49" s="140">
        <f t="shared" si="40"/>
        <v>46934</v>
      </c>
      <c r="W49" s="140">
        <f t="shared" si="40"/>
        <v>47118</v>
      </c>
      <c r="X49" s="140">
        <f t="shared" si="40"/>
        <v>47299</v>
      </c>
      <c r="Y49" s="140">
        <f t="shared" si="40"/>
        <v>47483</v>
      </c>
      <c r="Z49" s="140">
        <f t="shared" si="40"/>
        <v>47664</v>
      </c>
      <c r="AA49" s="140">
        <f t="shared" si="40"/>
        <v>47848</v>
      </c>
      <c r="AB49" s="140">
        <f t="shared" si="40"/>
        <v>48029</v>
      </c>
      <c r="AC49" s="140">
        <f t="shared" si="40"/>
        <v>48213</v>
      </c>
      <c r="AD49" s="140">
        <f t="shared" si="40"/>
        <v>48395</v>
      </c>
      <c r="AE49" s="140">
        <f t="shared" si="40"/>
        <v>48579</v>
      </c>
      <c r="AF49" s="140">
        <f t="shared" si="40"/>
        <v>48760</v>
      </c>
      <c r="AG49" s="140">
        <f t="shared" si="40"/>
        <v>48944</v>
      </c>
      <c r="AH49" s="140">
        <f t="shared" si="40"/>
        <v>49125</v>
      </c>
      <c r="AI49" s="140">
        <f t="shared" si="40"/>
        <v>49309</v>
      </c>
      <c r="AJ49" s="140">
        <f t="shared" si="40"/>
        <v>49490</v>
      </c>
      <c r="AK49" s="140">
        <f t="shared" ref="AK49:BP49" si="41" xml:space="preserve"> AK$25</f>
        <v>49674</v>
      </c>
      <c r="AL49" s="140">
        <f t="shared" si="41"/>
        <v>49856</v>
      </c>
      <c r="AM49" s="140">
        <f t="shared" si="41"/>
        <v>50040</v>
      </c>
      <c r="AN49" s="140">
        <f t="shared" si="41"/>
        <v>50221</v>
      </c>
      <c r="AO49" s="140">
        <f t="shared" si="41"/>
        <v>50405</v>
      </c>
      <c r="AP49" s="140">
        <f t="shared" si="41"/>
        <v>50586</v>
      </c>
      <c r="AQ49" s="140">
        <f t="shared" si="41"/>
        <v>50770</v>
      </c>
      <c r="AR49" s="140">
        <f t="shared" si="41"/>
        <v>50951</v>
      </c>
      <c r="AS49" s="140">
        <f t="shared" si="41"/>
        <v>51135</v>
      </c>
      <c r="AT49" s="140">
        <f t="shared" si="41"/>
        <v>51317</v>
      </c>
      <c r="AU49" s="140">
        <f t="shared" si="41"/>
        <v>51501</v>
      </c>
      <c r="AV49" s="140">
        <f t="shared" si="41"/>
        <v>51682</v>
      </c>
      <c r="AW49" s="140">
        <f t="shared" si="41"/>
        <v>51866</v>
      </c>
      <c r="AX49" s="140">
        <f t="shared" si="41"/>
        <v>52047</v>
      </c>
      <c r="AY49" s="140">
        <f t="shared" si="41"/>
        <v>52231</v>
      </c>
      <c r="AZ49" s="140">
        <f t="shared" si="41"/>
        <v>52412</v>
      </c>
      <c r="BA49" s="140">
        <f t="shared" si="41"/>
        <v>52596</v>
      </c>
      <c r="BB49" s="140">
        <f t="shared" si="41"/>
        <v>52778</v>
      </c>
      <c r="BC49" s="140">
        <f t="shared" si="41"/>
        <v>52962</v>
      </c>
      <c r="BD49" s="140">
        <f t="shared" si="41"/>
        <v>53143</v>
      </c>
      <c r="BE49" s="140">
        <f t="shared" si="41"/>
        <v>53327</v>
      </c>
      <c r="BF49" s="140">
        <f t="shared" si="41"/>
        <v>53508</v>
      </c>
      <c r="BG49" s="140">
        <f t="shared" si="41"/>
        <v>53692</v>
      </c>
      <c r="BH49" s="140">
        <f t="shared" si="41"/>
        <v>53873</v>
      </c>
      <c r="BI49" s="140">
        <f t="shared" si="41"/>
        <v>54057</v>
      </c>
      <c r="BJ49" s="140">
        <f t="shared" si="41"/>
        <v>54239</v>
      </c>
      <c r="BK49" s="140">
        <f t="shared" si="41"/>
        <v>54423</v>
      </c>
      <c r="BL49" s="140">
        <f t="shared" si="41"/>
        <v>54604</v>
      </c>
      <c r="BM49" s="140">
        <f t="shared" si="41"/>
        <v>54788</v>
      </c>
      <c r="BN49" s="140">
        <f t="shared" si="41"/>
        <v>54969</v>
      </c>
      <c r="BO49" s="140">
        <f t="shared" si="41"/>
        <v>55153</v>
      </c>
      <c r="BP49" s="140">
        <f t="shared" si="41"/>
        <v>55334</v>
      </c>
      <c r="BQ49" s="140">
        <f t="shared" ref="BQ49:CV49" si="42" xml:space="preserve"> BQ$25</f>
        <v>55518</v>
      </c>
      <c r="BR49" s="140">
        <f t="shared" si="42"/>
        <v>55700</v>
      </c>
      <c r="BS49" s="140">
        <f t="shared" si="42"/>
        <v>55884</v>
      </c>
      <c r="BT49" s="140">
        <f t="shared" si="42"/>
        <v>56065</v>
      </c>
      <c r="BU49" s="140">
        <f t="shared" si="42"/>
        <v>56249</v>
      </c>
      <c r="BV49" s="140">
        <f t="shared" si="42"/>
        <v>56430</v>
      </c>
      <c r="BW49" s="140">
        <f t="shared" si="42"/>
        <v>56614</v>
      </c>
      <c r="BX49" s="140">
        <f t="shared" si="42"/>
        <v>56795</v>
      </c>
      <c r="BY49" s="140">
        <f t="shared" si="42"/>
        <v>56979</v>
      </c>
      <c r="BZ49" s="140">
        <f t="shared" si="42"/>
        <v>57161</v>
      </c>
      <c r="CA49" s="140">
        <f t="shared" si="42"/>
        <v>57345</v>
      </c>
      <c r="CB49" s="140">
        <f t="shared" si="42"/>
        <v>57526</v>
      </c>
      <c r="CC49" s="140">
        <f t="shared" si="42"/>
        <v>57710</v>
      </c>
      <c r="CD49" s="140">
        <f t="shared" si="42"/>
        <v>57891</v>
      </c>
      <c r="CE49" s="140">
        <f t="shared" si="42"/>
        <v>58075</v>
      </c>
      <c r="CF49" s="140">
        <f t="shared" si="42"/>
        <v>58256</v>
      </c>
      <c r="CG49" s="140">
        <f t="shared" si="42"/>
        <v>58440</v>
      </c>
      <c r="CH49" s="140">
        <f t="shared" si="42"/>
        <v>58622</v>
      </c>
      <c r="CI49" s="140">
        <f t="shared" si="42"/>
        <v>58806</v>
      </c>
      <c r="CJ49" s="140">
        <f t="shared" si="42"/>
        <v>58987</v>
      </c>
      <c r="CK49" s="140">
        <f t="shared" si="42"/>
        <v>59171</v>
      </c>
      <c r="CL49" s="140">
        <f t="shared" si="42"/>
        <v>59352</v>
      </c>
      <c r="CM49" s="140">
        <f t="shared" si="42"/>
        <v>59536</v>
      </c>
      <c r="CN49" s="140">
        <f t="shared" si="42"/>
        <v>59717</v>
      </c>
      <c r="CO49" s="140">
        <f t="shared" si="42"/>
        <v>59901</v>
      </c>
      <c r="CP49" s="140">
        <f t="shared" si="42"/>
        <v>60083</v>
      </c>
      <c r="CQ49" s="140">
        <f t="shared" si="42"/>
        <v>60267</v>
      </c>
      <c r="CR49" s="140">
        <f t="shared" si="42"/>
        <v>60448</v>
      </c>
      <c r="CS49" s="140">
        <f t="shared" si="42"/>
        <v>60632</v>
      </c>
      <c r="CT49" s="140">
        <f t="shared" si="42"/>
        <v>60813</v>
      </c>
      <c r="CU49" s="140">
        <f t="shared" si="42"/>
        <v>60997</v>
      </c>
      <c r="CV49" s="140">
        <f t="shared" si="42"/>
        <v>61178</v>
      </c>
    </row>
    <row r="50" spans="1:100" outlineLevel="2" x14ac:dyDescent="0.2">
      <c r="A50" s="141"/>
      <c r="B50" s="141"/>
      <c r="C50" s="142"/>
      <c r="D50" s="143"/>
      <c r="E50" s="144" t="s">
        <v>77</v>
      </c>
      <c r="F50" s="144"/>
      <c r="G50" s="144" t="s">
        <v>26</v>
      </c>
      <c r="H50" s="144"/>
      <c r="I50" s="144"/>
      <c r="J50" s="144" t="str">
        <f t="shared" ref="J50:BB50" si="43" xml:space="preserve"> INDEX($J$47:$CV$47, MATCH(J48, $J49:$CV49, 0))</f>
        <v>Fin Close</v>
      </c>
      <c r="K50" s="144" t="str">
        <f t="shared" si="43"/>
        <v>Construction</v>
      </c>
      <c r="L50" s="144" t="str">
        <f t="shared" si="43"/>
        <v>Construction</v>
      </c>
      <c r="M50" s="144" t="str">
        <f t="shared" si="43"/>
        <v>Operations</v>
      </c>
      <c r="N50" s="144" t="str">
        <f t="shared" si="43"/>
        <v>Operations</v>
      </c>
      <c r="O50" s="144" t="str">
        <f t="shared" si="43"/>
        <v>Operations</v>
      </c>
      <c r="P50" s="144" t="str">
        <f t="shared" si="43"/>
        <v>Operations</v>
      </c>
      <c r="Q50" s="144" t="str">
        <f t="shared" si="43"/>
        <v>Operations</v>
      </c>
      <c r="R50" s="144" t="str">
        <f t="shared" si="43"/>
        <v>Operations</v>
      </c>
      <c r="S50" s="144" t="str">
        <f t="shared" si="43"/>
        <v>Operations</v>
      </c>
      <c r="T50" s="144" t="str">
        <f t="shared" si="43"/>
        <v>Operations</v>
      </c>
      <c r="U50" s="144" t="str">
        <f t="shared" si="43"/>
        <v>Operations</v>
      </c>
      <c r="V50" s="144" t="str">
        <f t="shared" si="43"/>
        <v>Operations</v>
      </c>
      <c r="W50" s="144" t="str">
        <f t="shared" si="43"/>
        <v>Operations</v>
      </c>
      <c r="X50" s="144" t="str">
        <f t="shared" si="43"/>
        <v>Operations</v>
      </c>
      <c r="Y50" s="144" t="str">
        <f t="shared" si="43"/>
        <v>Operations</v>
      </c>
      <c r="Z50" s="144" t="str">
        <f t="shared" si="43"/>
        <v>Operations</v>
      </c>
      <c r="AA50" s="144" t="str">
        <f t="shared" si="43"/>
        <v>Operations</v>
      </c>
      <c r="AB50" s="144" t="str">
        <f t="shared" si="43"/>
        <v>Operations</v>
      </c>
      <c r="AC50" s="144" t="str">
        <f t="shared" si="43"/>
        <v>Operations</v>
      </c>
      <c r="AD50" s="144" t="str">
        <f t="shared" si="43"/>
        <v>Operations</v>
      </c>
      <c r="AE50" s="144" t="str">
        <f t="shared" si="43"/>
        <v>Operations</v>
      </c>
      <c r="AF50" s="144" t="str">
        <f t="shared" si="43"/>
        <v>Operations</v>
      </c>
      <c r="AG50" s="144" t="str">
        <f t="shared" si="43"/>
        <v>Post ops</v>
      </c>
      <c r="AH50" s="144" t="str">
        <f t="shared" si="43"/>
        <v>Post ops</v>
      </c>
      <c r="AI50" s="144" t="str">
        <f t="shared" si="43"/>
        <v>Post ops</v>
      </c>
      <c r="AJ50" s="144" t="str">
        <f t="shared" si="43"/>
        <v>Post ops</v>
      </c>
      <c r="AK50" s="144" t="str">
        <f t="shared" si="43"/>
        <v>Post ops</v>
      </c>
      <c r="AL50" s="144" t="str">
        <f t="shared" si="43"/>
        <v>Post ops</v>
      </c>
      <c r="AM50" s="144" t="str">
        <f t="shared" si="43"/>
        <v>Post ops</v>
      </c>
      <c r="AN50" s="144" t="str">
        <f t="shared" si="43"/>
        <v>Post ops</v>
      </c>
      <c r="AO50" s="144" t="str">
        <f t="shared" si="43"/>
        <v>Post ops</v>
      </c>
      <c r="AP50" s="144" t="str">
        <f t="shared" si="43"/>
        <v>Post ops</v>
      </c>
      <c r="AQ50" s="144" t="str">
        <f t="shared" si="43"/>
        <v>Post ops</v>
      </c>
      <c r="AR50" s="144" t="str">
        <f t="shared" si="43"/>
        <v>Post ops</v>
      </c>
      <c r="AS50" s="144" t="str">
        <f t="shared" si="43"/>
        <v>Post ops</v>
      </c>
      <c r="AT50" s="144" t="str">
        <f t="shared" si="43"/>
        <v>Post ops</v>
      </c>
      <c r="AU50" s="144" t="str">
        <f t="shared" si="43"/>
        <v>Post ops</v>
      </c>
      <c r="AV50" s="144" t="str">
        <f t="shared" si="43"/>
        <v>Post ops</v>
      </c>
      <c r="AW50" s="144" t="str">
        <f t="shared" si="43"/>
        <v>Post ops</v>
      </c>
      <c r="AX50" s="144" t="str">
        <f t="shared" si="43"/>
        <v>Post ops</v>
      </c>
      <c r="AY50" s="144" t="str">
        <f t="shared" si="43"/>
        <v>Post ops</v>
      </c>
      <c r="AZ50" s="144" t="str">
        <f t="shared" si="43"/>
        <v>Post ops</v>
      </c>
      <c r="BA50" s="144" t="str">
        <f t="shared" si="43"/>
        <v>Post ops</v>
      </c>
      <c r="BB50" s="144" t="str">
        <f t="shared" si="43"/>
        <v>Post ops</v>
      </c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  <c r="CK50" s="231"/>
      <c r="CL50" s="231"/>
      <c r="CM50" s="231"/>
      <c r="CN50" s="231"/>
      <c r="CO50" s="231"/>
      <c r="CP50" s="231"/>
      <c r="CQ50" s="231"/>
      <c r="CR50" s="231"/>
      <c r="CS50" s="231"/>
      <c r="CT50" s="231"/>
      <c r="CU50" s="231"/>
      <c r="CV50" s="231"/>
    </row>
    <row r="51" spans="1:100" outlineLevel="1" x14ac:dyDescent="0.2"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</row>
    <row r="52" spans="1:100" outlineLevel="1" x14ac:dyDescent="0.2">
      <c r="B52" s="15" t="s">
        <v>1275</v>
      </c>
    </row>
    <row r="53" spans="1:100" outlineLevel="2" x14ac:dyDescent="0.2">
      <c r="A53" s="33"/>
      <c r="B53" s="33"/>
      <c r="C53" s="30"/>
      <c r="D53" s="60"/>
      <c r="E53" s="32" t="str">
        <f xml:space="preserve"> E$72</f>
        <v>Financial close date flag</v>
      </c>
      <c r="F53" s="32">
        <f t="shared" ref="F53:BQ53" si="44" xml:space="preserve"> F$72</f>
        <v>0</v>
      </c>
      <c r="G53" s="32" t="str">
        <f t="shared" si="44"/>
        <v>flag</v>
      </c>
      <c r="H53" s="32">
        <f t="shared" si="44"/>
        <v>1</v>
      </c>
      <c r="I53" s="31">
        <f t="shared" si="44"/>
        <v>0</v>
      </c>
      <c r="J53" s="32">
        <f t="shared" si="44"/>
        <v>1</v>
      </c>
      <c r="K53" s="32">
        <f t="shared" si="44"/>
        <v>0</v>
      </c>
      <c r="L53" s="32">
        <f t="shared" si="44"/>
        <v>0</v>
      </c>
      <c r="M53" s="32">
        <f t="shared" si="44"/>
        <v>0</v>
      </c>
      <c r="N53" s="32">
        <f t="shared" si="44"/>
        <v>0</v>
      </c>
      <c r="O53" s="32">
        <f t="shared" si="44"/>
        <v>0</v>
      </c>
      <c r="P53" s="32">
        <f t="shared" si="44"/>
        <v>0</v>
      </c>
      <c r="Q53" s="32">
        <f t="shared" si="44"/>
        <v>0</v>
      </c>
      <c r="R53" s="32">
        <f t="shared" si="44"/>
        <v>0</v>
      </c>
      <c r="S53" s="32">
        <f t="shared" si="44"/>
        <v>0</v>
      </c>
      <c r="T53" s="32">
        <f t="shared" si="44"/>
        <v>0</v>
      </c>
      <c r="U53" s="32">
        <f t="shared" si="44"/>
        <v>0</v>
      </c>
      <c r="V53" s="32">
        <f t="shared" si="44"/>
        <v>0</v>
      </c>
      <c r="W53" s="32">
        <f t="shared" si="44"/>
        <v>0</v>
      </c>
      <c r="X53" s="32">
        <f t="shared" si="44"/>
        <v>0</v>
      </c>
      <c r="Y53" s="32">
        <f t="shared" si="44"/>
        <v>0</v>
      </c>
      <c r="Z53" s="32">
        <f t="shared" si="44"/>
        <v>0</v>
      </c>
      <c r="AA53" s="32">
        <f t="shared" si="44"/>
        <v>0</v>
      </c>
      <c r="AB53" s="32">
        <f t="shared" si="44"/>
        <v>0</v>
      </c>
      <c r="AC53" s="32">
        <f t="shared" si="44"/>
        <v>0</v>
      </c>
      <c r="AD53" s="32">
        <f t="shared" si="44"/>
        <v>0</v>
      </c>
      <c r="AE53" s="32">
        <f t="shared" si="44"/>
        <v>0</v>
      </c>
      <c r="AF53" s="32">
        <f t="shared" si="44"/>
        <v>0</v>
      </c>
      <c r="AG53" s="32">
        <f t="shared" si="44"/>
        <v>0</v>
      </c>
      <c r="AH53" s="32">
        <f t="shared" si="44"/>
        <v>0</v>
      </c>
      <c r="AI53" s="32">
        <f t="shared" si="44"/>
        <v>0</v>
      </c>
      <c r="AJ53" s="32">
        <f t="shared" si="44"/>
        <v>0</v>
      </c>
      <c r="AK53" s="32">
        <f t="shared" si="44"/>
        <v>0</v>
      </c>
      <c r="AL53" s="32">
        <f t="shared" si="44"/>
        <v>0</v>
      </c>
      <c r="AM53" s="32">
        <f t="shared" si="44"/>
        <v>0</v>
      </c>
      <c r="AN53" s="32">
        <f t="shared" si="44"/>
        <v>0</v>
      </c>
      <c r="AO53" s="32">
        <f t="shared" si="44"/>
        <v>0</v>
      </c>
      <c r="AP53" s="32">
        <f t="shared" si="44"/>
        <v>0</v>
      </c>
      <c r="AQ53" s="32">
        <f t="shared" si="44"/>
        <v>0</v>
      </c>
      <c r="AR53" s="32">
        <f t="shared" si="44"/>
        <v>0</v>
      </c>
      <c r="AS53" s="32">
        <f t="shared" si="44"/>
        <v>0</v>
      </c>
      <c r="AT53" s="32">
        <f t="shared" si="44"/>
        <v>0</v>
      </c>
      <c r="AU53" s="32">
        <f t="shared" si="44"/>
        <v>0</v>
      </c>
      <c r="AV53" s="32">
        <f t="shared" si="44"/>
        <v>0</v>
      </c>
      <c r="AW53" s="32">
        <f t="shared" si="44"/>
        <v>0</v>
      </c>
      <c r="AX53" s="32">
        <f t="shared" si="44"/>
        <v>0</v>
      </c>
      <c r="AY53" s="32">
        <f t="shared" si="44"/>
        <v>0</v>
      </c>
      <c r="AZ53" s="32">
        <f t="shared" si="44"/>
        <v>0</v>
      </c>
      <c r="BA53" s="32">
        <f t="shared" si="44"/>
        <v>0</v>
      </c>
      <c r="BB53" s="32">
        <f t="shared" si="44"/>
        <v>0</v>
      </c>
      <c r="BC53" s="32">
        <f t="shared" si="44"/>
        <v>0</v>
      </c>
      <c r="BD53" s="32">
        <f t="shared" si="44"/>
        <v>0</v>
      </c>
      <c r="BE53" s="32">
        <f t="shared" si="44"/>
        <v>0</v>
      </c>
      <c r="BF53" s="32">
        <f t="shared" si="44"/>
        <v>0</v>
      </c>
      <c r="BG53" s="32">
        <f t="shared" si="44"/>
        <v>0</v>
      </c>
      <c r="BH53" s="32">
        <f t="shared" si="44"/>
        <v>0</v>
      </c>
      <c r="BI53" s="32">
        <f t="shared" si="44"/>
        <v>0</v>
      </c>
      <c r="BJ53" s="32">
        <f t="shared" si="44"/>
        <v>0</v>
      </c>
      <c r="BK53" s="32">
        <f t="shared" si="44"/>
        <v>0</v>
      </c>
      <c r="BL53" s="32">
        <f t="shared" si="44"/>
        <v>0</v>
      </c>
      <c r="BM53" s="32">
        <f t="shared" si="44"/>
        <v>0</v>
      </c>
      <c r="BN53" s="32">
        <f t="shared" si="44"/>
        <v>0</v>
      </c>
      <c r="BO53" s="32">
        <f t="shared" si="44"/>
        <v>0</v>
      </c>
      <c r="BP53" s="32">
        <f t="shared" si="44"/>
        <v>0</v>
      </c>
      <c r="BQ53" s="32">
        <f t="shared" si="44"/>
        <v>0</v>
      </c>
      <c r="BR53" s="32">
        <f t="shared" ref="BR53:CV53" si="45" xml:space="preserve"> BR$72</f>
        <v>0</v>
      </c>
      <c r="BS53" s="32">
        <f t="shared" si="45"/>
        <v>0</v>
      </c>
      <c r="BT53" s="32">
        <f t="shared" si="45"/>
        <v>0</v>
      </c>
      <c r="BU53" s="32">
        <f t="shared" si="45"/>
        <v>0</v>
      </c>
      <c r="BV53" s="32">
        <f t="shared" si="45"/>
        <v>0</v>
      </c>
      <c r="BW53" s="32">
        <f t="shared" si="45"/>
        <v>0</v>
      </c>
      <c r="BX53" s="32">
        <f t="shared" si="45"/>
        <v>0</v>
      </c>
      <c r="BY53" s="32">
        <f t="shared" si="45"/>
        <v>0</v>
      </c>
      <c r="BZ53" s="32">
        <f t="shared" si="45"/>
        <v>0</v>
      </c>
      <c r="CA53" s="32">
        <f t="shared" si="45"/>
        <v>0</v>
      </c>
      <c r="CB53" s="32">
        <f t="shared" si="45"/>
        <v>0</v>
      </c>
      <c r="CC53" s="32">
        <f t="shared" si="45"/>
        <v>0</v>
      </c>
      <c r="CD53" s="32">
        <f t="shared" si="45"/>
        <v>0</v>
      </c>
      <c r="CE53" s="32">
        <f t="shared" si="45"/>
        <v>0</v>
      </c>
      <c r="CF53" s="32">
        <f t="shared" si="45"/>
        <v>0</v>
      </c>
      <c r="CG53" s="32">
        <f t="shared" si="45"/>
        <v>0</v>
      </c>
      <c r="CH53" s="32">
        <f t="shared" si="45"/>
        <v>0</v>
      </c>
      <c r="CI53" s="32">
        <f t="shared" si="45"/>
        <v>0</v>
      </c>
      <c r="CJ53" s="32">
        <f t="shared" si="45"/>
        <v>0</v>
      </c>
      <c r="CK53" s="32">
        <f t="shared" si="45"/>
        <v>0</v>
      </c>
      <c r="CL53" s="32">
        <f t="shared" si="45"/>
        <v>0</v>
      </c>
      <c r="CM53" s="32">
        <f t="shared" si="45"/>
        <v>0</v>
      </c>
      <c r="CN53" s="32">
        <f t="shared" si="45"/>
        <v>0</v>
      </c>
      <c r="CO53" s="32">
        <f t="shared" si="45"/>
        <v>0</v>
      </c>
      <c r="CP53" s="32">
        <f t="shared" si="45"/>
        <v>0</v>
      </c>
      <c r="CQ53" s="32">
        <f t="shared" si="45"/>
        <v>0</v>
      </c>
      <c r="CR53" s="32">
        <f t="shared" si="45"/>
        <v>0</v>
      </c>
      <c r="CS53" s="32">
        <f t="shared" si="45"/>
        <v>0</v>
      </c>
      <c r="CT53" s="32">
        <f t="shared" si="45"/>
        <v>0</v>
      </c>
      <c r="CU53" s="32">
        <f t="shared" si="45"/>
        <v>0</v>
      </c>
      <c r="CV53" s="32">
        <f t="shared" si="45"/>
        <v>0</v>
      </c>
    </row>
    <row r="54" spans="1:100" outlineLevel="2" x14ac:dyDescent="0.2">
      <c r="A54" s="33"/>
      <c r="B54" s="33"/>
      <c r="C54" s="30"/>
      <c r="D54" s="60"/>
      <c r="E54" s="32" t="str">
        <f t="shared" ref="E54:AJ54" si="46" xml:space="preserve"> E$76</f>
        <v>First construction period flag</v>
      </c>
      <c r="F54" s="32">
        <f t="shared" si="46"/>
        <v>0</v>
      </c>
      <c r="G54" s="32" t="str">
        <f t="shared" si="46"/>
        <v>flag</v>
      </c>
      <c r="H54" s="32">
        <f t="shared" si="46"/>
        <v>1</v>
      </c>
      <c r="I54" s="32">
        <f t="shared" si="46"/>
        <v>0</v>
      </c>
      <c r="J54" s="32">
        <f t="shared" si="46"/>
        <v>0</v>
      </c>
      <c r="K54" s="32">
        <f t="shared" si="46"/>
        <v>1</v>
      </c>
      <c r="L54" s="32">
        <f t="shared" si="46"/>
        <v>0</v>
      </c>
      <c r="M54" s="32">
        <f t="shared" si="46"/>
        <v>0</v>
      </c>
      <c r="N54" s="32">
        <f t="shared" si="46"/>
        <v>0</v>
      </c>
      <c r="O54" s="32">
        <f t="shared" si="46"/>
        <v>0</v>
      </c>
      <c r="P54" s="32">
        <f t="shared" si="46"/>
        <v>0</v>
      </c>
      <c r="Q54" s="32">
        <f t="shared" si="46"/>
        <v>0</v>
      </c>
      <c r="R54" s="32">
        <f t="shared" si="46"/>
        <v>0</v>
      </c>
      <c r="S54" s="32">
        <f t="shared" si="46"/>
        <v>0</v>
      </c>
      <c r="T54" s="32">
        <f t="shared" si="46"/>
        <v>0</v>
      </c>
      <c r="U54" s="32">
        <f t="shared" si="46"/>
        <v>0</v>
      </c>
      <c r="V54" s="32">
        <f t="shared" si="46"/>
        <v>0</v>
      </c>
      <c r="W54" s="32">
        <f t="shared" si="46"/>
        <v>0</v>
      </c>
      <c r="X54" s="32">
        <f t="shared" si="46"/>
        <v>0</v>
      </c>
      <c r="Y54" s="32">
        <f t="shared" si="46"/>
        <v>0</v>
      </c>
      <c r="Z54" s="32">
        <f t="shared" si="46"/>
        <v>0</v>
      </c>
      <c r="AA54" s="32">
        <f t="shared" si="46"/>
        <v>0</v>
      </c>
      <c r="AB54" s="32">
        <f t="shared" si="46"/>
        <v>0</v>
      </c>
      <c r="AC54" s="32">
        <f t="shared" si="46"/>
        <v>0</v>
      </c>
      <c r="AD54" s="32">
        <f t="shared" si="46"/>
        <v>0</v>
      </c>
      <c r="AE54" s="32">
        <f t="shared" si="46"/>
        <v>0</v>
      </c>
      <c r="AF54" s="32">
        <f t="shared" si="46"/>
        <v>0</v>
      </c>
      <c r="AG54" s="32">
        <f t="shared" si="46"/>
        <v>0</v>
      </c>
      <c r="AH54" s="32">
        <f t="shared" si="46"/>
        <v>0</v>
      </c>
      <c r="AI54" s="32">
        <f t="shared" si="46"/>
        <v>0</v>
      </c>
      <c r="AJ54" s="32">
        <f t="shared" si="46"/>
        <v>0</v>
      </c>
      <c r="AK54" s="32">
        <f t="shared" ref="AK54:BP54" si="47" xml:space="preserve"> AK$76</f>
        <v>0</v>
      </c>
      <c r="AL54" s="32">
        <f t="shared" si="47"/>
        <v>0</v>
      </c>
      <c r="AM54" s="32">
        <f t="shared" si="47"/>
        <v>0</v>
      </c>
      <c r="AN54" s="32">
        <f t="shared" si="47"/>
        <v>0</v>
      </c>
      <c r="AO54" s="32">
        <f t="shared" si="47"/>
        <v>0</v>
      </c>
      <c r="AP54" s="32">
        <f t="shared" si="47"/>
        <v>0</v>
      </c>
      <c r="AQ54" s="32">
        <f t="shared" si="47"/>
        <v>0</v>
      </c>
      <c r="AR54" s="32">
        <f t="shared" si="47"/>
        <v>0</v>
      </c>
      <c r="AS54" s="32">
        <f t="shared" si="47"/>
        <v>0</v>
      </c>
      <c r="AT54" s="32">
        <f t="shared" si="47"/>
        <v>0</v>
      </c>
      <c r="AU54" s="32">
        <f t="shared" si="47"/>
        <v>0</v>
      </c>
      <c r="AV54" s="32">
        <f t="shared" si="47"/>
        <v>0</v>
      </c>
      <c r="AW54" s="32">
        <f t="shared" si="47"/>
        <v>0</v>
      </c>
      <c r="AX54" s="32">
        <f t="shared" si="47"/>
        <v>0</v>
      </c>
      <c r="AY54" s="32">
        <f t="shared" si="47"/>
        <v>0</v>
      </c>
      <c r="AZ54" s="32">
        <f t="shared" si="47"/>
        <v>0</v>
      </c>
      <c r="BA54" s="32">
        <f t="shared" si="47"/>
        <v>0</v>
      </c>
      <c r="BB54" s="32">
        <f t="shared" si="47"/>
        <v>0</v>
      </c>
      <c r="BC54" s="32">
        <f t="shared" si="47"/>
        <v>0</v>
      </c>
      <c r="BD54" s="32">
        <f t="shared" si="47"/>
        <v>0</v>
      </c>
      <c r="BE54" s="32">
        <f t="shared" si="47"/>
        <v>0</v>
      </c>
      <c r="BF54" s="32">
        <f t="shared" si="47"/>
        <v>0</v>
      </c>
      <c r="BG54" s="32">
        <f t="shared" si="47"/>
        <v>0</v>
      </c>
      <c r="BH54" s="32">
        <f t="shared" si="47"/>
        <v>0</v>
      </c>
      <c r="BI54" s="32">
        <f t="shared" si="47"/>
        <v>0</v>
      </c>
      <c r="BJ54" s="32">
        <f t="shared" si="47"/>
        <v>0</v>
      </c>
      <c r="BK54" s="32">
        <f t="shared" si="47"/>
        <v>0</v>
      </c>
      <c r="BL54" s="32">
        <f t="shared" si="47"/>
        <v>0</v>
      </c>
      <c r="BM54" s="32">
        <f t="shared" si="47"/>
        <v>0</v>
      </c>
      <c r="BN54" s="32">
        <f t="shared" si="47"/>
        <v>0</v>
      </c>
      <c r="BO54" s="32">
        <f t="shared" si="47"/>
        <v>0</v>
      </c>
      <c r="BP54" s="32">
        <f t="shared" si="47"/>
        <v>0</v>
      </c>
      <c r="BQ54" s="32">
        <f t="shared" ref="BQ54:CV54" si="48" xml:space="preserve"> BQ$76</f>
        <v>0</v>
      </c>
      <c r="BR54" s="32">
        <f t="shared" si="48"/>
        <v>0</v>
      </c>
      <c r="BS54" s="32">
        <f t="shared" si="48"/>
        <v>0</v>
      </c>
      <c r="BT54" s="32">
        <f t="shared" si="48"/>
        <v>0</v>
      </c>
      <c r="BU54" s="32">
        <f t="shared" si="48"/>
        <v>0</v>
      </c>
      <c r="BV54" s="32">
        <f t="shared" si="48"/>
        <v>0</v>
      </c>
      <c r="BW54" s="32">
        <f t="shared" si="48"/>
        <v>0</v>
      </c>
      <c r="BX54" s="32">
        <f t="shared" si="48"/>
        <v>0</v>
      </c>
      <c r="BY54" s="32">
        <f t="shared" si="48"/>
        <v>0</v>
      </c>
      <c r="BZ54" s="32">
        <f t="shared" si="48"/>
        <v>0</v>
      </c>
      <c r="CA54" s="32">
        <f t="shared" si="48"/>
        <v>0</v>
      </c>
      <c r="CB54" s="32">
        <f t="shared" si="48"/>
        <v>0</v>
      </c>
      <c r="CC54" s="32">
        <f t="shared" si="48"/>
        <v>0</v>
      </c>
      <c r="CD54" s="32">
        <f t="shared" si="48"/>
        <v>0</v>
      </c>
      <c r="CE54" s="32">
        <f t="shared" si="48"/>
        <v>0</v>
      </c>
      <c r="CF54" s="32">
        <f t="shared" si="48"/>
        <v>0</v>
      </c>
      <c r="CG54" s="32">
        <f t="shared" si="48"/>
        <v>0</v>
      </c>
      <c r="CH54" s="32">
        <f t="shared" si="48"/>
        <v>0</v>
      </c>
      <c r="CI54" s="32">
        <f t="shared" si="48"/>
        <v>0</v>
      </c>
      <c r="CJ54" s="32">
        <f t="shared" si="48"/>
        <v>0</v>
      </c>
      <c r="CK54" s="32">
        <f t="shared" si="48"/>
        <v>0</v>
      </c>
      <c r="CL54" s="32">
        <f t="shared" si="48"/>
        <v>0</v>
      </c>
      <c r="CM54" s="32">
        <f t="shared" si="48"/>
        <v>0</v>
      </c>
      <c r="CN54" s="32">
        <f t="shared" si="48"/>
        <v>0</v>
      </c>
      <c r="CO54" s="32">
        <f t="shared" si="48"/>
        <v>0</v>
      </c>
      <c r="CP54" s="32">
        <f t="shared" si="48"/>
        <v>0</v>
      </c>
      <c r="CQ54" s="32">
        <f t="shared" si="48"/>
        <v>0</v>
      </c>
      <c r="CR54" s="32">
        <f t="shared" si="48"/>
        <v>0</v>
      </c>
      <c r="CS54" s="32">
        <f t="shared" si="48"/>
        <v>0</v>
      </c>
      <c r="CT54" s="32">
        <f t="shared" si="48"/>
        <v>0</v>
      </c>
      <c r="CU54" s="32">
        <f t="shared" si="48"/>
        <v>0</v>
      </c>
      <c r="CV54" s="32">
        <f t="shared" si="48"/>
        <v>0</v>
      </c>
    </row>
    <row r="55" spans="1:100" outlineLevel="2" x14ac:dyDescent="0.2">
      <c r="A55" s="33"/>
      <c r="B55" s="33"/>
      <c r="C55" s="30"/>
      <c r="D55" s="60"/>
      <c r="E55" s="32" t="str">
        <f t="shared" ref="E55:AJ55" si="49" xml:space="preserve"> E$90</f>
        <v>First operating period flag</v>
      </c>
      <c r="F55" s="32">
        <f t="shared" si="49"/>
        <v>0</v>
      </c>
      <c r="G55" s="32" t="str">
        <f t="shared" si="49"/>
        <v>flag</v>
      </c>
      <c r="H55" s="32">
        <f t="shared" si="49"/>
        <v>1</v>
      </c>
      <c r="I55" s="32">
        <f t="shared" si="49"/>
        <v>0</v>
      </c>
      <c r="J55" s="32">
        <f t="shared" si="49"/>
        <v>0</v>
      </c>
      <c r="K55" s="32">
        <f t="shared" si="49"/>
        <v>0</v>
      </c>
      <c r="L55" s="32">
        <f t="shared" si="49"/>
        <v>0</v>
      </c>
      <c r="M55" s="32">
        <f t="shared" si="49"/>
        <v>0</v>
      </c>
      <c r="N55" s="32">
        <f t="shared" si="49"/>
        <v>0</v>
      </c>
      <c r="O55" s="32">
        <f t="shared" si="49"/>
        <v>1</v>
      </c>
      <c r="P55" s="32">
        <f t="shared" si="49"/>
        <v>0</v>
      </c>
      <c r="Q55" s="32">
        <f t="shared" si="49"/>
        <v>0</v>
      </c>
      <c r="R55" s="32">
        <f t="shared" si="49"/>
        <v>0</v>
      </c>
      <c r="S55" s="32">
        <f t="shared" si="49"/>
        <v>0</v>
      </c>
      <c r="T55" s="32">
        <f t="shared" si="49"/>
        <v>0</v>
      </c>
      <c r="U55" s="32">
        <f t="shared" si="49"/>
        <v>0</v>
      </c>
      <c r="V55" s="32">
        <f t="shared" si="49"/>
        <v>0</v>
      </c>
      <c r="W55" s="32">
        <f t="shared" si="49"/>
        <v>0</v>
      </c>
      <c r="X55" s="32">
        <f t="shared" si="49"/>
        <v>0</v>
      </c>
      <c r="Y55" s="32">
        <f t="shared" si="49"/>
        <v>0</v>
      </c>
      <c r="Z55" s="32">
        <f t="shared" si="49"/>
        <v>0</v>
      </c>
      <c r="AA55" s="32">
        <f t="shared" si="49"/>
        <v>0</v>
      </c>
      <c r="AB55" s="32">
        <f t="shared" si="49"/>
        <v>0</v>
      </c>
      <c r="AC55" s="32">
        <f t="shared" si="49"/>
        <v>0</v>
      </c>
      <c r="AD55" s="32">
        <f t="shared" si="49"/>
        <v>0</v>
      </c>
      <c r="AE55" s="32">
        <f t="shared" si="49"/>
        <v>0</v>
      </c>
      <c r="AF55" s="32">
        <f t="shared" si="49"/>
        <v>0</v>
      </c>
      <c r="AG55" s="32">
        <f t="shared" si="49"/>
        <v>0</v>
      </c>
      <c r="AH55" s="32">
        <f t="shared" si="49"/>
        <v>0</v>
      </c>
      <c r="AI55" s="32">
        <f t="shared" si="49"/>
        <v>0</v>
      </c>
      <c r="AJ55" s="32">
        <f t="shared" si="49"/>
        <v>0</v>
      </c>
      <c r="AK55" s="32">
        <f t="shared" ref="AK55:BP55" si="50" xml:space="preserve"> AK$90</f>
        <v>0</v>
      </c>
      <c r="AL55" s="32">
        <f t="shared" si="50"/>
        <v>0</v>
      </c>
      <c r="AM55" s="32">
        <f t="shared" si="50"/>
        <v>0</v>
      </c>
      <c r="AN55" s="32">
        <f t="shared" si="50"/>
        <v>0</v>
      </c>
      <c r="AO55" s="32">
        <f t="shared" si="50"/>
        <v>0</v>
      </c>
      <c r="AP55" s="32">
        <f t="shared" si="50"/>
        <v>0</v>
      </c>
      <c r="AQ55" s="32">
        <f t="shared" si="50"/>
        <v>0</v>
      </c>
      <c r="AR55" s="32">
        <f t="shared" si="50"/>
        <v>0</v>
      </c>
      <c r="AS55" s="32">
        <f t="shared" si="50"/>
        <v>0</v>
      </c>
      <c r="AT55" s="32">
        <f t="shared" si="50"/>
        <v>0</v>
      </c>
      <c r="AU55" s="32">
        <f t="shared" si="50"/>
        <v>0</v>
      </c>
      <c r="AV55" s="32">
        <f t="shared" si="50"/>
        <v>0</v>
      </c>
      <c r="AW55" s="32">
        <f t="shared" si="50"/>
        <v>0</v>
      </c>
      <c r="AX55" s="32">
        <f t="shared" si="50"/>
        <v>0</v>
      </c>
      <c r="AY55" s="32">
        <f t="shared" si="50"/>
        <v>0</v>
      </c>
      <c r="AZ55" s="32">
        <f t="shared" si="50"/>
        <v>0</v>
      </c>
      <c r="BA55" s="32">
        <f t="shared" si="50"/>
        <v>0</v>
      </c>
      <c r="BB55" s="32">
        <f t="shared" si="50"/>
        <v>0</v>
      </c>
      <c r="BC55" s="32">
        <f t="shared" si="50"/>
        <v>0</v>
      </c>
      <c r="BD55" s="32">
        <f t="shared" si="50"/>
        <v>0</v>
      </c>
      <c r="BE55" s="32">
        <f t="shared" si="50"/>
        <v>0</v>
      </c>
      <c r="BF55" s="32">
        <f t="shared" si="50"/>
        <v>0</v>
      </c>
      <c r="BG55" s="32">
        <f t="shared" si="50"/>
        <v>0</v>
      </c>
      <c r="BH55" s="32">
        <f t="shared" si="50"/>
        <v>0</v>
      </c>
      <c r="BI55" s="32">
        <f t="shared" si="50"/>
        <v>0</v>
      </c>
      <c r="BJ55" s="32">
        <f t="shared" si="50"/>
        <v>0</v>
      </c>
      <c r="BK55" s="32">
        <f t="shared" si="50"/>
        <v>0</v>
      </c>
      <c r="BL55" s="32">
        <f t="shared" si="50"/>
        <v>0</v>
      </c>
      <c r="BM55" s="32">
        <f t="shared" si="50"/>
        <v>0</v>
      </c>
      <c r="BN55" s="32">
        <f t="shared" si="50"/>
        <v>0</v>
      </c>
      <c r="BO55" s="32">
        <f t="shared" si="50"/>
        <v>0</v>
      </c>
      <c r="BP55" s="32">
        <f t="shared" si="50"/>
        <v>0</v>
      </c>
      <c r="BQ55" s="32">
        <f t="shared" ref="BQ55:CV55" si="51" xml:space="preserve"> BQ$90</f>
        <v>0</v>
      </c>
      <c r="BR55" s="32">
        <f t="shared" si="51"/>
        <v>0</v>
      </c>
      <c r="BS55" s="32">
        <f t="shared" si="51"/>
        <v>0</v>
      </c>
      <c r="BT55" s="32">
        <f t="shared" si="51"/>
        <v>0</v>
      </c>
      <c r="BU55" s="32">
        <f t="shared" si="51"/>
        <v>0</v>
      </c>
      <c r="BV55" s="32">
        <f t="shared" si="51"/>
        <v>0</v>
      </c>
      <c r="BW55" s="32">
        <f t="shared" si="51"/>
        <v>0</v>
      </c>
      <c r="BX55" s="32">
        <f t="shared" si="51"/>
        <v>0</v>
      </c>
      <c r="BY55" s="32">
        <f t="shared" si="51"/>
        <v>0</v>
      </c>
      <c r="BZ55" s="32">
        <f t="shared" si="51"/>
        <v>0</v>
      </c>
      <c r="CA55" s="32">
        <f t="shared" si="51"/>
        <v>0</v>
      </c>
      <c r="CB55" s="32">
        <f t="shared" si="51"/>
        <v>0</v>
      </c>
      <c r="CC55" s="32">
        <f t="shared" si="51"/>
        <v>0</v>
      </c>
      <c r="CD55" s="32">
        <f t="shared" si="51"/>
        <v>0</v>
      </c>
      <c r="CE55" s="32">
        <f t="shared" si="51"/>
        <v>0</v>
      </c>
      <c r="CF55" s="32">
        <f t="shared" si="51"/>
        <v>0</v>
      </c>
      <c r="CG55" s="32">
        <f t="shared" si="51"/>
        <v>0</v>
      </c>
      <c r="CH55" s="32">
        <f t="shared" si="51"/>
        <v>0</v>
      </c>
      <c r="CI55" s="32">
        <f t="shared" si="51"/>
        <v>0</v>
      </c>
      <c r="CJ55" s="32">
        <f t="shared" si="51"/>
        <v>0</v>
      </c>
      <c r="CK55" s="32">
        <f t="shared" si="51"/>
        <v>0</v>
      </c>
      <c r="CL55" s="32">
        <f t="shared" si="51"/>
        <v>0</v>
      </c>
      <c r="CM55" s="32">
        <f t="shared" si="51"/>
        <v>0</v>
      </c>
      <c r="CN55" s="32">
        <f t="shared" si="51"/>
        <v>0</v>
      </c>
      <c r="CO55" s="32">
        <f t="shared" si="51"/>
        <v>0</v>
      </c>
      <c r="CP55" s="32">
        <f t="shared" si="51"/>
        <v>0</v>
      </c>
      <c r="CQ55" s="32">
        <f t="shared" si="51"/>
        <v>0</v>
      </c>
      <c r="CR55" s="32">
        <f t="shared" si="51"/>
        <v>0</v>
      </c>
      <c r="CS55" s="32">
        <f t="shared" si="51"/>
        <v>0</v>
      </c>
      <c r="CT55" s="32">
        <f t="shared" si="51"/>
        <v>0</v>
      </c>
      <c r="CU55" s="32">
        <f t="shared" si="51"/>
        <v>0</v>
      </c>
      <c r="CV55" s="32">
        <f t="shared" si="51"/>
        <v>0</v>
      </c>
    </row>
    <row r="56" spans="1:100" outlineLevel="2" x14ac:dyDescent="0.2">
      <c r="A56" s="33"/>
      <c r="B56" s="33"/>
      <c r="C56" s="30"/>
      <c r="D56" s="60"/>
      <c r="E56" s="32" t="str">
        <f t="shared" ref="E56:AJ56" si="52" xml:space="preserve"> E$110</f>
        <v>First post operating period flag</v>
      </c>
      <c r="F56" s="32">
        <f t="shared" si="52"/>
        <v>0</v>
      </c>
      <c r="G56" s="32" t="str">
        <f t="shared" si="52"/>
        <v>flag</v>
      </c>
      <c r="H56" s="32">
        <f t="shared" si="52"/>
        <v>1</v>
      </c>
      <c r="I56" s="32">
        <f t="shared" si="52"/>
        <v>0</v>
      </c>
      <c r="J56" s="32">
        <f t="shared" si="52"/>
        <v>0</v>
      </c>
      <c r="K56" s="32">
        <f t="shared" si="52"/>
        <v>0</v>
      </c>
      <c r="L56" s="32">
        <f t="shared" si="52"/>
        <v>0</v>
      </c>
      <c r="M56" s="32">
        <f t="shared" si="52"/>
        <v>0</v>
      </c>
      <c r="N56" s="32">
        <f t="shared" si="52"/>
        <v>0</v>
      </c>
      <c r="O56" s="32">
        <f t="shared" si="52"/>
        <v>0</v>
      </c>
      <c r="P56" s="32">
        <f t="shared" si="52"/>
        <v>0</v>
      </c>
      <c r="Q56" s="32">
        <f t="shared" si="52"/>
        <v>0</v>
      </c>
      <c r="R56" s="32">
        <f t="shared" si="52"/>
        <v>0</v>
      </c>
      <c r="S56" s="32">
        <f t="shared" si="52"/>
        <v>0</v>
      </c>
      <c r="T56" s="32">
        <f t="shared" si="52"/>
        <v>0</v>
      </c>
      <c r="U56" s="32">
        <f t="shared" si="52"/>
        <v>0</v>
      </c>
      <c r="V56" s="32">
        <f t="shared" si="52"/>
        <v>0</v>
      </c>
      <c r="W56" s="32">
        <f t="shared" si="52"/>
        <v>0</v>
      </c>
      <c r="X56" s="32">
        <f t="shared" si="52"/>
        <v>0</v>
      </c>
      <c r="Y56" s="32">
        <f t="shared" si="52"/>
        <v>0</v>
      </c>
      <c r="Z56" s="32">
        <f t="shared" si="52"/>
        <v>0</v>
      </c>
      <c r="AA56" s="32">
        <f t="shared" si="52"/>
        <v>0</v>
      </c>
      <c r="AB56" s="32">
        <f t="shared" si="52"/>
        <v>0</v>
      </c>
      <c r="AC56" s="32">
        <f t="shared" si="52"/>
        <v>0</v>
      </c>
      <c r="AD56" s="32">
        <f t="shared" si="52"/>
        <v>0</v>
      </c>
      <c r="AE56" s="32">
        <f t="shared" si="52"/>
        <v>0</v>
      </c>
      <c r="AF56" s="32">
        <f t="shared" si="52"/>
        <v>0</v>
      </c>
      <c r="AG56" s="32">
        <f t="shared" si="52"/>
        <v>0</v>
      </c>
      <c r="AH56" s="32">
        <f t="shared" si="52"/>
        <v>0</v>
      </c>
      <c r="AI56" s="32">
        <f t="shared" si="52"/>
        <v>0</v>
      </c>
      <c r="AJ56" s="32">
        <f t="shared" si="52"/>
        <v>0</v>
      </c>
      <c r="AK56" s="32">
        <f t="shared" ref="AK56:BP56" si="53" xml:space="preserve"> AK$110</f>
        <v>0</v>
      </c>
      <c r="AL56" s="32">
        <f t="shared" si="53"/>
        <v>0</v>
      </c>
      <c r="AM56" s="32">
        <f t="shared" si="53"/>
        <v>0</v>
      </c>
      <c r="AN56" s="32">
        <f t="shared" si="53"/>
        <v>0</v>
      </c>
      <c r="AO56" s="32">
        <f t="shared" si="53"/>
        <v>0</v>
      </c>
      <c r="AP56" s="32">
        <f t="shared" si="53"/>
        <v>0</v>
      </c>
      <c r="AQ56" s="32">
        <f t="shared" si="53"/>
        <v>0</v>
      </c>
      <c r="AR56" s="32">
        <f t="shared" si="53"/>
        <v>0</v>
      </c>
      <c r="AS56" s="32">
        <f t="shared" si="53"/>
        <v>0</v>
      </c>
      <c r="AT56" s="32">
        <f t="shared" si="53"/>
        <v>0</v>
      </c>
      <c r="AU56" s="32">
        <f t="shared" si="53"/>
        <v>0</v>
      </c>
      <c r="AV56" s="32">
        <f t="shared" si="53"/>
        <v>0</v>
      </c>
      <c r="AW56" s="32">
        <f t="shared" si="53"/>
        <v>0</v>
      </c>
      <c r="AX56" s="32">
        <f t="shared" si="53"/>
        <v>0</v>
      </c>
      <c r="AY56" s="32">
        <f t="shared" si="53"/>
        <v>0</v>
      </c>
      <c r="AZ56" s="32">
        <f t="shared" si="53"/>
        <v>0</v>
      </c>
      <c r="BA56" s="32">
        <f t="shared" si="53"/>
        <v>0</v>
      </c>
      <c r="BB56" s="32">
        <f t="shared" si="53"/>
        <v>0</v>
      </c>
      <c r="BC56" s="32">
        <f t="shared" si="53"/>
        <v>1</v>
      </c>
      <c r="BD56" s="32">
        <f t="shared" si="53"/>
        <v>0</v>
      </c>
      <c r="BE56" s="32">
        <f t="shared" si="53"/>
        <v>0</v>
      </c>
      <c r="BF56" s="32">
        <f t="shared" si="53"/>
        <v>0</v>
      </c>
      <c r="BG56" s="32">
        <f t="shared" si="53"/>
        <v>0</v>
      </c>
      <c r="BH56" s="32">
        <f t="shared" si="53"/>
        <v>0</v>
      </c>
      <c r="BI56" s="32">
        <f t="shared" si="53"/>
        <v>0</v>
      </c>
      <c r="BJ56" s="32">
        <f t="shared" si="53"/>
        <v>0</v>
      </c>
      <c r="BK56" s="32">
        <f t="shared" si="53"/>
        <v>0</v>
      </c>
      <c r="BL56" s="32">
        <f t="shared" si="53"/>
        <v>0</v>
      </c>
      <c r="BM56" s="32">
        <f t="shared" si="53"/>
        <v>0</v>
      </c>
      <c r="BN56" s="32">
        <f t="shared" si="53"/>
        <v>0</v>
      </c>
      <c r="BO56" s="32">
        <f t="shared" si="53"/>
        <v>0</v>
      </c>
      <c r="BP56" s="32">
        <f t="shared" si="53"/>
        <v>0</v>
      </c>
      <c r="BQ56" s="32">
        <f t="shared" ref="BQ56:CV56" si="54" xml:space="preserve"> BQ$110</f>
        <v>0</v>
      </c>
      <c r="BR56" s="32">
        <f t="shared" si="54"/>
        <v>0</v>
      </c>
      <c r="BS56" s="32">
        <f t="shared" si="54"/>
        <v>0</v>
      </c>
      <c r="BT56" s="32">
        <f t="shared" si="54"/>
        <v>0</v>
      </c>
      <c r="BU56" s="32">
        <f t="shared" si="54"/>
        <v>0</v>
      </c>
      <c r="BV56" s="32">
        <f t="shared" si="54"/>
        <v>0</v>
      </c>
      <c r="BW56" s="32">
        <f t="shared" si="54"/>
        <v>0</v>
      </c>
      <c r="BX56" s="32">
        <f t="shared" si="54"/>
        <v>0</v>
      </c>
      <c r="BY56" s="32">
        <f t="shared" si="54"/>
        <v>0</v>
      </c>
      <c r="BZ56" s="32">
        <f t="shared" si="54"/>
        <v>0</v>
      </c>
      <c r="CA56" s="32">
        <f t="shared" si="54"/>
        <v>0</v>
      </c>
      <c r="CB56" s="32">
        <f t="shared" si="54"/>
        <v>0</v>
      </c>
      <c r="CC56" s="32">
        <f t="shared" si="54"/>
        <v>0</v>
      </c>
      <c r="CD56" s="32">
        <f t="shared" si="54"/>
        <v>0</v>
      </c>
      <c r="CE56" s="32">
        <f t="shared" si="54"/>
        <v>0</v>
      </c>
      <c r="CF56" s="32">
        <f t="shared" si="54"/>
        <v>0</v>
      </c>
      <c r="CG56" s="32">
        <f t="shared" si="54"/>
        <v>0</v>
      </c>
      <c r="CH56" s="32">
        <f t="shared" si="54"/>
        <v>0</v>
      </c>
      <c r="CI56" s="32">
        <f t="shared" si="54"/>
        <v>0</v>
      </c>
      <c r="CJ56" s="32">
        <f t="shared" si="54"/>
        <v>0</v>
      </c>
      <c r="CK56" s="32">
        <f t="shared" si="54"/>
        <v>0</v>
      </c>
      <c r="CL56" s="32">
        <f t="shared" si="54"/>
        <v>0</v>
      </c>
      <c r="CM56" s="32">
        <f t="shared" si="54"/>
        <v>0</v>
      </c>
      <c r="CN56" s="32">
        <f t="shared" si="54"/>
        <v>0</v>
      </c>
      <c r="CO56" s="32">
        <f t="shared" si="54"/>
        <v>0</v>
      </c>
      <c r="CP56" s="32">
        <f t="shared" si="54"/>
        <v>0</v>
      </c>
      <c r="CQ56" s="32">
        <f t="shared" si="54"/>
        <v>0</v>
      </c>
      <c r="CR56" s="32">
        <f t="shared" si="54"/>
        <v>0</v>
      </c>
      <c r="CS56" s="32">
        <f t="shared" si="54"/>
        <v>0</v>
      </c>
      <c r="CT56" s="32">
        <f t="shared" si="54"/>
        <v>0</v>
      </c>
      <c r="CU56" s="32">
        <f t="shared" si="54"/>
        <v>0</v>
      </c>
      <c r="CV56" s="32">
        <f t="shared" si="54"/>
        <v>0</v>
      </c>
    </row>
    <row r="57" spans="1:100" outlineLevel="2" x14ac:dyDescent="0.2">
      <c r="A57" s="33"/>
      <c r="B57" s="33"/>
      <c r="C57" s="30"/>
      <c r="D57" s="32"/>
      <c r="E57" s="32" t="s">
        <v>28</v>
      </c>
      <c r="F57" s="32"/>
      <c r="G57" s="32" t="s">
        <v>14</v>
      </c>
      <c r="H57" s="32"/>
      <c r="I57" s="31"/>
      <c r="J57" s="32">
        <f t="shared" ref="J57:AO57" si="55" xml:space="preserve"> I57 + MAX(J53:J56)</f>
        <v>1</v>
      </c>
      <c r="K57" s="32">
        <f t="shared" si="55"/>
        <v>2</v>
      </c>
      <c r="L57" s="32">
        <f t="shared" si="55"/>
        <v>2</v>
      </c>
      <c r="M57" s="32">
        <f t="shared" si="55"/>
        <v>2</v>
      </c>
      <c r="N57" s="32">
        <f t="shared" si="55"/>
        <v>2</v>
      </c>
      <c r="O57" s="32">
        <f t="shared" si="55"/>
        <v>3</v>
      </c>
      <c r="P57" s="32">
        <f t="shared" si="55"/>
        <v>3</v>
      </c>
      <c r="Q57" s="32">
        <f t="shared" si="55"/>
        <v>3</v>
      </c>
      <c r="R57" s="32">
        <f t="shared" si="55"/>
        <v>3</v>
      </c>
      <c r="S57" s="32">
        <f t="shared" si="55"/>
        <v>3</v>
      </c>
      <c r="T57" s="32">
        <f t="shared" si="55"/>
        <v>3</v>
      </c>
      <c r="U57" s="32">
        <f t="shared" si="55"/>
        <v>3</v>
      </c>
      <c r="V57" s="32">
        <f t="shared" si="55"/>
        <v>3</v>
      </c>
      <c r="W57" s="32">
        <f t="shared" si="55"/>
        <v>3</v>
      </c>
      <c r="X57" s="32">
        <f t="shared" si="55"/>
        <v>3</v>
      </c>
      <c r="Y57" s="32">
        <f t="shared" si="55"/>
        <v>3</v>
      </c>
      <c r="Z57" s="32">
        <f t="shared" si="55"/>
        <v>3</v>
      </c>
      <c r="AA57" s="32">
        <f t="shared" si="55"/>
        <v>3</v>
      </c>
      <c r="AB57" s="32">
        <f t="shared" si="55"/>
        <v>3</v>
      </c>
      <c r="AC57" s="32">
        <f t="shared" si="55"/>
        <v>3</v>
      </c>
      <c r="AD57" s="32">
        <f t="shared" si="55"/>
        <v>3</v>
      </c>
      <c r="AE57" s="32">
        <f t="shared" si="55"/>
        <v>3</v>
      </c>
      <c r="AF57" s="32">
        <f t="shared" si="55"/>
        <v>3</v>
      </c>
      <c r="AG57" s="32">
        <f t="shared" si="55"/>
        <v>3</v>
      </c>
      <c r="AH57" s="32">
        <f t="shared" si="55"/>
        <v>3</v>
      </c>
      <c r="AI57" s="32">
        <f t="shared" si="55"/>
        <v>3</v>
      </c>
      <c r="AJ57" s="32">
        <f t="shared" si="55"/>
        <v>3</v>
      </c>
      <c r="AK57" s="32">
        <f t="shared" si="55"/>
        <v>3</v>
      </c>
      <c r="AL57" s="32">
        <f t="shared" si="55"/>
        <v>3</v>
      </c>
      <c r="AM57" s="32">
        <f t="shared" si="55"/>
        <v>3</v>
      </c>
      <c r="AN57" s="32">
        <f t="shared" si="55"/>
        <v>3</v>
      </c>
      <c r="AO57" s="32">
        <f t="shared" si="55"/>
        <v>3</v>
      </c>
      <c r="AP57" s="32">
        <f t="shared" ref="AP57:BU57" si="56" xml:space="preserve"> AO57 + MAX(AP53:AP56)</f>
        <v>3</v>
      </c>
      <c r="AQ57" s="32">
        <f t="shared" si="56"/>
        <v>3</v>
      </c>
      <c r="AR57" s="32">
        <f t="shared" si="56"/>
        <v>3</v>
      </c>
      <c r="AS57" s="32">
        <f t="shared" si="56"/>
        <v>3</v>
      </c>
      <c r="AT57" s="32">
        <f t="shared" si="56"/>
        <v>3</v>
      </c>
      <c r="AU57" s="32">
        <f t="shared" si="56"/>
        <v>3</v>
      </c>
      <c r="AV57" s="32">
        <f t="shared" si="56"/>
        <v>3</v>
      </c>
      <c r="AW57" s="32">
        <f t="shared" si="56"/>
        <v>3</v>
      </c>
      <c r="AX57" s="32">
        <f t="shared" si="56"/>
        <v>3</v>
      </c>
      <c r="AY57" s="32">
        <f t="shared" si="56"/>
        <v>3</v>
      </c>
      <c r="AZ57" s="32">
        <f t="shared" si="56"/>
        <v>3</v>
      </c>
      <c r="BA57" s="32">
        <f t="shared" si="56"/>
        <v>3</v>
      </c>
      <c r="BB57" s="32">
        <f t="shared" si="56"/>
        <v>3</v>
      </c>
      <c r="BC57" s="32">
        <f t="shared" si="56"/>
        <v>4</v>
      </c>
      <c r="BD57" s="32">
        <f t="shared" si="56"/>
        <v>4</v>
      </c>
      <c r="BE57" s="32">
        <f t="shared" si="56"/>
        <v>4</v>
      </c>
      <c r="BF57" s="32">
        <f t="shared" si="56"/>
        <v>4</v>
      </c>
      <c r="BG57" s="32">
        <f t="shared" si="56"/>
        <v>4</v>
      </c>
      <c r="BH57" s="32">
        <f t="shared" si="56"/>
        <v>4</v>
      </c>
      <c r="BI57" s="32">
        <f t="shared" si="56"/>
        <v>4</v>
      </c>
      <c r="BJ57" s="32">
        <f t="shared" si="56"/>
        <v>4</v>
      </c>
      <c r="BK57" s="32">
        <f t="shared" si="56"/>
        <v>4</v>
      </c>
      <c r="BL57" s="32">
        <f t="shared" si="56"/>
        <v>4</v>
      </c>
      <c r="BM57" s="32">
        <f t="shared" si="56"/>
        <v>4</v>
      </c>
      <c r="BN57" s="32">
        <f t="shared" si="56"/>
        <v>4</v>
      </c>
      <c r="BO57" s="32">
        <f t="shared" si="56"/>
        <v>4</v>
      </c>
      <c r="BP57" s="32">
        <f t="shared" si="56"/>
        <v>4</v>
      </c>
      <c r="BQ57" s="32">
        <f t="shared" si="56"/>
        <v>4</v>
      </c>
      <c r="BR57" s="32">
        <f t="shared" si="56"/>
        <v>4</v>
      </c>
      <c r="BS57" s="32">
        <f t="shared" si="56"/>
        <v>4</v>
      </c>
      <c r="BT57" s="32">
        <f t="shared" si="56"/>
        <v>4</v>
      </c>
      <c r="BU57" s="32">
        <f t="shared" si="56"/>
        <v>4</v>
      </c>
      <c r="BV57" s="32">
        <f t="shared" ref="BV57:CV57" si="57" xml:space="preserve"> BU57 + MAX(BV53:BV56)</f>
        <v>4</v>
      </c>
      <c r="BW57" s="32">
        <f t="shared" si="57"/>
        <v>4</v>
      </c>
      <c r="BX57" s="32">
        <f t="shared" si="57"/>
        <v>4</v>
      </c>
      <c r="BY57" s="32">
        <f t="shared" si="57"/>
        <v>4</v>
      </c>
      <c r="BZ57" s="32">
        <f t="shared" si="57"/>
        <v>4</v>
      </c>
      <c r="CA57" s="32">
        <f t="shared" si="57"/>
        <v>4</v>
      </c>
      <c r="CB57" s="32">
        <f t="shared" si="57"/>
        <v>4</v>
      </c>
      <c r="CC57" s="32">
        <f t="shared" si="57"/>
        <v>4</v>
      </c>
      <c r="CD57" s="32">
        <f t="shared" si="57"/>
        <v>4</v>
      </c>
      <c r="CE57" s="32">
        <f t="shared" si="57"/>
        <v>4</v>
      </c>
      <c r="CF57" s="32">
        <f t="shared" si="57"/>
        <v>4</v>
      </c>
      <c r="CG57" s="32">
        <f t="shared" si="57"/>
        <v>4</v>
      </c>
      <c r="CH57" s="32">
        <f t="shared" si="57"/>
        <v>4</v>
      </c>
      <c r="CI57" s="32">
        <f t="shared" si="57"/>
        <v>4</v>
      </c>
      <c r="CJ57" s="32">
        <f t="shared" si="57"/>
        <v>4</v>
      </c>
      <c r="CK57" s="32">
        <f t="shared" si="57"/>
        <v>4</v>
      </c>
      <c r="CL57" s="32">
        <f t="shared" si="57"/>
        <v>4</v>
      </c>
      <c r="CM57" s="32">
        <f t="shared" si="57"/>
        <v>4</v>
      </c>
      <c r="CN57" s="32">
        <f t="shared" si="57"/>
        <v>4</v>
      </c>
      <c r="CO57" s="32">
        <f t="shared" si="57"/>
        <v>4</v>
      </c>
      <c r="CP57" s="32">
        <f t="shared" si="57"/>
        <v>4</v>
      </c>
      <c r="CQ57" s="32">
        <f t="shared" si="57"/>
        <v>4</v>
      </c>
      <c r="CR57" s="32">
        <f t="shared" si="57"/>
        <v>4</v>
      </c>
      <c r="CS57" s="32">
        <f t="shared" si="57"/>
        <v>4</v>
      </c>
      <c r="CT57" s="32">
        <f t="shared" si="57"/>
        <v>4</v>
      </c>
      <c r="CU57" s="32">
        <f t="shared" si="57"/>
        <v>4</v>
      </c>
      <c r="CV57" s="32">
        <f t="shared" si="57"/>
        <v>4</v>
      </c>
    </row>
    <row r="58" spans="1:100" outlineLevel="2" x14ac:dyDescent="0.2">
      <c r="E58" s="9"/>
      <c r="F58" s="9"/>
      <c r="G58" s="9"/>
      <c r="H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</row>
    <row r="59" spans="1:100" outlineLevel="2" x14ac:dyDescent="0.2">
      <c r="E59" s="68" t="str">
        <f xml:space="preserve"> InpC!E$424</f>
        <v>Financial Close</v>
      </c>
      <c r="F59" s="68" t="str">
        <f xml:space="preserve"> InpC!F$424</f>
        <v>Fin Close</v>
      </c>
      <c r="G59" s="68" t="str">
        <f xml:space="preserve"> InpC!G$424</f>
        <v>label</v>
      </c>
      <c r="H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</row>
    <row r="60" spans="1:100" outlineLevel="2" x14ac:dyDescent="0.2">
      <c r="E60" s="68" t="str">
        <f xml:space="preserve"> InpC!E$425</f>
        <v>Construction</v>
      </c>
      <c r="F60" s="68" t="str">
        <f xml:space="preserve"> InpC!F$425</f>
        <v>Construction</v>
      </c>
      <c r="G60" s="68" t="str">
        <f xml:space="preserve"> InpC!G$425</f>
        <v>label</v>
      </c>
      <c r="H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</row>
    <row r="61" spans="1:100" outlineLevel="2" x14ac:dyDescent="0.2">
      <c r="E61" s="68" t="str">
        <f xml:space="preserve"> InpC!E$426</f>
        <v>Operations</v>
      </c>
      <c r="F61" s="68" t="str">
        <f xml:space="preserve"> InpC!F$426</f>
        <v>Operations</v>
      </c>
      <c r="G61" s="68" t="str">
        <f xml:space="preserve"> InpC!G$426</f>
        <v>label</v>
      </c>
      <c r="H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</row>
    <row r="62" spans="1:100" outlineLevel="2" x14ac:dyDescent="0.2">
      <c r="E62" s="68" t="str">
        <f xml:space="preserve"> InpC!E$427</f>
        <v>Post ops</v>
      </c>
      <c r="F62" s="68" t="str">
        <f xml:space="preserve"> InpC!F$427</f>
        <v>Post ops</v>
      </c>
      <c r="G62" s="68" t="str">
        <f xml:space="preserve"> InpC!G$427</f>
        <v>label</v>
      </c>
      <c r="H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</row>
    <row r="63" spans="1:100" outlineLevel="2" x14ac:dyDescent="0.2">
      <c r="A63" s="61"/>
      <c r="B63" s="61"/>
      <c r="C63" s="62"/>
      <c r="D63" s="64"/>
      <c r="E63" s="63" t="str">
        <f t="shared" ref="E63:AJ63" si="58" xml:space="preserve"> E$57</f>
        <v>Timeline label counter</v>
      </c>
      <c r="F63" s="63">
        <f t="shared" si="58"/>
        <v>0</v>
      </c>
      <c r="G63" s="63" t="str">
        <f t="shared" si="58"/>
        <v>counter</v>
      </c>
      <c r="H63" s="63">
        <f t="shared" si="58"/>
        <v>0</v>
      </c>
      <c r="I63" s="63">
        <f t="shared" si="58"/>
        <v>0</v>
      </c>
      <c r="J63" s="63">
        <f t="shared" si="58"/>
        <v>1</v>
      </c>
      <c r="K63" s="63">
        <f t="shared" si="58"/>
        <v>2</v>
      </c>
      <c r="L63" s="63">
        <f t="shared" si="58"/>
        <v>2</v>
      </c>
      <c r="M63" s="63">
        <f t="shared" si="58"/>
        <v>2</v>
      </c>
      <c r="N63" s="63">
        <f t="shared" si="58"/>
        <v>2</v>
      </c>
      <c r="O63" s="63">
        <f t="shared" si="58"/>
        <v>3</v>
      </c>
      <c r="P63" s="63">
        <f t="shared" si="58"/>
        <v>3</v>
      </c>
      <c r="Q63" s="63">
        <f t="shared" si="58"/>
        <v>3</v>
      </c>
      <c r="R63" s="63">
        <f t="shared" si="58"/>
        <v>3</v>
      </c>
      <c r="S63" s="63">
        <f t="shared" si="58"/>
        <v>3</v>
      </c>
      <c r="T63" s="63">
        <f t="shared" si="58"/>
        <v>3</v>
      </c>
      <c r="U63" s="63">
        <f t="shared" si="58"/>
        <v>3</v>
      </c>
      <c r="V63" s="63">
        <f t="shared" si="58"/>
        <v>3</v>
      </c>
      <c r="W63" s="63">
        <f t="shared" si="58"/>
        <v>3</v>
      </c>
      <c r="X63" s="63">
        <f t="shared" si="58"/>
        <v>3</v>
      </c>
      <c r="Y63" s="63">
        <f t="shared" si="58"/>
        <v>3</v>
      </c>
      <c r="Z63" s="63">
        <f t="shared" si="58"/>
        <v>3</v>
      </c>
      <c r="AA63" s="63">
        <f t="shared" si="58"/>
        <v>3</v>
      </c>
      <c r="AB63" s="63">
        <f t="shared" si="58"/>
        <v>3</v>
      </c>
      <c r="AC63" s="63">
        <f t="shared" si="58"/>
        <v>3</v>
      </c>
      <c r="AD63" s="63">
        <f t="shared" si="58"/>
        <v>3</v>
      </c>
      <c r="AE63" s="63">
        <f t="shared" si="58"/>
        <v>3</v>
      </c>
      <c r="AF63" s="63">
        <f t="shared" si="58"/>
        <v>3</v>
      </c>
      <c r="AG63" s="63">
        <f t="shared" si="58"/>
        <v>3</v>
      </c>
      <c r="AH63" s="63">
        <f t="shared" si="58"/>
        <v>3</v>
      </c>
      <c r="AI63" s="63">
        <f t="shared" si="58"/>
        <v>3</v>
      </c>
      <c r="AJ63" s="63">
        <f t="shared" si="58"/>
        <v>3</v>
      </c>
      <c r="AK63" s="63">
        <f t="shared" ref="AK63:BP63" si="59" xml:space="preserve"> AK$57</f>
        <v>3</v>
      </c>
      <c r="AL63" s="63">
        <f t="shared" si="59"/>
        <v>3</v>
      </c>
      <c r="AM63" s="63">
        <f t="shared" si="59"/>
        <v>3</v>
      </c>
      <c r="AN63" s="63">
        <f t="shared" si="59"/>
        <v>3</v>
      </c>
      <c r="AO63" s="63">
        <f t="shared" si="59"/>
        <v>3</v>
      </c>
      <c r="AP63" s="63">
        <f t="shared" si="59"/>
        <v>3</v>
      </c>
      <c r="AQ63" s="63">
        <f t="shared" si="59"/>
        <v>3</v>
      </c>
      <c r="AR63" s="63">
        <f t="shared" si="59"/>
        <v>3</v>
      </c>
      <c r="AS63" s="63">
        <f t="shared" si="59"/>
        <v>3</v>
      </c>
      <c r="AT63" s="63">
        <f t="shared" si="59"/>
        <v>3</v>
      </c>
      <c r="AU63" s="63">
        <f t="shared" si="59"/>
        <v>3</v>
      </c>
      <c r="AV63" s="63">
        <f t="shared" si="59"/>
        <v>3</v>
      </c>
      <c r="AW63" s="63">
        <f t="shared" si="59"/>
        <v>3</v>
      </c>
      <c r="AX63" s="63">
        <f t="shared" si="59"/>
        <v>3</v>
      </c>
      <c r="AY63" s="63">
        <f t="shared" si="59"/>
        <v>3</v>
      </c>
      <c r="AZ63" s="63">
        <f t="shared" si="59"/>
        <v>3</v>
      </c>
      <c r="BA63" s="63">
        <f t="shared" si="59"/>
        <v>3</v>
      </c>
      <c r="BB63" s="63">
        <f t="shared" si="59"/>
        <v>3</v>
      </c>
      <c r="BC63" s="63">
        <f t="shared" si="59"/>
        <v>4</v>
      </c>
      <c r="BD63" s="63">
        <f t="shared" si="59"/>
        <v>4</v>
      </c>
      <c r="BE63" s="63">
        <f t="shared" si="59"/>
        <v>4</v>
      </c>
      <c r="BF63" s="63">
        <f t="shared" si="59"/>
        <v>4</v>
      </c>
      <c r="BG63" s="63">
        <f t="shared" si="59"/>
        <v>4</v>
      </c>
      <c r="BH63" s="63">
        <f t="shared" si="59"/>
        <v>4</v>
      </c>
      <c r="BI63" s="63">
        <f t="shared" si="59"/>
        <v>4</v>
      </c>
      <c r="BJ63" s="63">
        <f t="shared" si="59"/>
        <v>4</v>
      </c>
      <c r="BK63" s="63">
        <f t="shared" si="59"/>
        <v>4</v>
      </c>
      <c r="BL63" s="63">
        <f t="shared" si="59"/>
        <v>4</v>
      </c>
      <c r="BM63" s="63">
        <f t="shared" si="59"/>
        <v>4</v>
      </c>
      <c r="BN63" s="63">
        <f t="shared" si="59"/>
        <v>4</v>
      </c>
      <c r="BO63" s="63">
        <f t="shared" si="59"/>
        <v>4</v>
      </c>
      <c r="BP63" s="63">
        <f t="shared" si="59"/>
        <v>4</v>
      </c>
      <c r="BQ63" s="63">
        <f t="shared" ref="BQ63:CV63" si="60" xml:space="preserve"> BQ$57</f>
        <v>4</v>
      </c>
      <c r="BR63" s="63">
        <f t="shared" si="60"/>
        <v>4</v>
      </c>
      <c r="BS63" s="63">
        <f t="shared" si="60"/>
        <v>4</v>
      </c>
      <c r="BT63" s="63">
        <f t="shared" si="60"/>
        <v>4</v>
      </c>
      <c r="BU63" s="63">
        <f t="shared" si="60"/>
        <v>4</v>
      </c>
      <c r="BV63" s="63">
        <f t="shared" si="60"/>
        <v>4</v>
      </c>
      <c r="BW63" s="63">
        <f t="shared" si="60"/>
        <v>4</v>
      </c>
      <c r="BX63" s="63">
        <f t="shared" si="60"/>
        <v>4</v>
      </c>
      <c r="BY63" s="63">
        <f t="shared" si="60"/>
        <v>4</v>
      </c>
      <c r="BZ63" s="63">
        <f t="shared" si="60"/>
        <v>4</v>
      </c>
      <c r="CA63" s="63">
        <f t="shared" si="60"/>
        <v>4</v>
      </c>
      <c r="CB63" s="63">
        <f t="shared" si="60"/>
        <v>4</v>
      </c>
      <c r="CC63" s="63">
        <f t="shared" si="60"/>
        <v>4</v>
      </c>
      <c r="CD63" s="63">
        <f t="shared" si="60"/>
        <v>4</v>
      </c>
      <c r="CE63" s="63">
        <f t="shared" si="60"/>
        <v>4</v>
      </c>
      <c r="CF63" s="63">
        <f t="shared" si="60"/>
        <v>4</v>
      </c>
      <c r="CG63" s="63">
        <f t="shared" si="60"/>
        <v>4</v>
      </c>
      <c r="CH63" s="63">
        <f t="shared" si="60"/>
        <v>4</v>
      </c>
      <c r="CI63" s="63">
        <f t="shared" si="60"/>
        <v>4</v>
      </c>
      <c r="CJ63" s="63">
        <f t="shared" si="60"/>
        <v>4</v>
      </c>
      <c r="CK63" s="63">
        <f t="shared" si="60"/>
        <v>4</v>
      </c>
      <c r="CL63" s="63">
        <f t="shared" si="60"/>
        <v>4</v>
      </c>
      <c r="CM63" s="63">
        <f t="shared" si="60"/>
        <v>4</v>
      </c>
      <c r="CN63" s="63">
        <f t="shared" si="60"/>
        <v>4</v>
      </c>
      <c r="CO63" s="63">
        <f t="shared" si="60"/>
        <v>4</v>
      </c>
      <c r="CP63" s="63">
        <f t="shared" si="60"/>
        <v>4</v>
      </c>
      <c r="CQ63" s="63">
        <f t="shared" si="60"/>
        <v>4</v>
      </c>
      <c r="CR63" s="63">
        <f t="shared" si="60"/>
        <v>4</v>
      </c>
      <c r="CS63" s="63">
        <f t="shared" si="60"/>
        <v>4</v>
      </c>
      <c r="CT63" s="63">
        <f t="shared" si="60"/>
        <v>4</v>
      </c>
      <c r="CU63" s="63">
        <f t="shared" si="60"/>
        <v>4</v>
      </c>
      <c r="CV63" s="63">
        <f t="shared" si="60"/>
        <v>4</v>
      </c>
    </row>
    <row r="64" spans="1:100" outlineLevel="2" x14ac:dyDescent="0.2">
      <c r="A64" s="65"/>
      <c r="B64" s="65"/>
      <c r="C64" s="66"/>
      <c r="D64" s="59"/>
      <c r="E64" s="67" t="s">
        <v>27</v>
      </c>
      <c r="F64" s="67"/>
      <c r="G64" s="67" t="s">
        <v>26</v>
      </c>
      <c r="H64" s="81"/>
      <c r="I64" s="81"/>
      <c r="J64" s="81" t="str">
        <f t="shared" ref="J64:AO64" si="61">INDEX($F59:$F62, J63)</f>
        <v>Fin Close</v>
      </c>
      <c r="K64" s="81" t="str">
        <f t="shared" si="61"/>
        <v>Construction</v>
      </c>
      <c r="L64" s="81" t="str">
        <f t="shared" si="61"/>
        <v>Construction</v>
      </c>
      <c r="M64" s="81" t="str">
        <f t="shared" si="61"/>
        <v>Construction</v>
      </c>
      <c r="N64" s="81" t="str">
        <f t="shared" si="61"/>
        <v>Construction</v>
      </c>
      <c r="O64" s="81" t="str">
        <f t="shared" si="61"/>
        <v>Operations</v>
      </c>
      <c r="P64" s="81" t="str">
        <f t="shared" si="61"/>
        <v>Operations</v>
      </c>
      <c r="Q64" s="81" t="str">
        <f t="shared" si="61"/>
        <v>Operations</v>
      </c>
      <c r="R64" s="81" t="str">
        <f t="shared" si="61"/>
        <v>Operations</v>
      </c>
      <c r="S64" s="81" t="str">
        <f t="shared" si="61"/>
        <v>Operations</v>
      </c>
      <c r="T64" s="81" t="str">
        <f t="shared" si="61"/>
        <v>Operations</v>
      </c>
      <c r="U64" s="81" t="str">
        <f t="shared" si="61"/>
        <v>Operations</v>
      </c>
      <c r="V64" s="81" t="str">
        <f t="shared" si="61"/>
        <v>Operations</v>
      </c>
      <c r="W64" s="81" t="str">
        <f t="shared" si="61"/>
        <v>Operations</v>
      </c>
      <c r="X64" s="81" t="str">
        <f t="shared" si="61"/>
        <v>Operations</v>
      </c>
      <c r="Y64" s="81" t="str">
        <f t="shared" si="61"/>
        <v>Operations</v>
      </c>
      <c r="Z64" s="81" t="str">
        <f t="shared" si="61"/>
        <v>Operations</v>
      </c>
      <c r="AA64" s="81" t="str">
        <f t="shared" si="61"/>
        <v>Operations</v>
      </c>
      <c r="AB64" s="81" t="str">
        <f t="shared" si="61"/>
        <v>Operations</v>
      </c>
      <c r="AC64" s="81" t="str">
        <f t="shared" si="61"/>
        <v>Operations</v>
      </c>
      <c r="AD64" s="81" t="str">
        <f t="shared" si="61"/>
        <v>Operations</v>
      </c>
      <c r="AE64" s="81" t="str">
        <f t="shared" si="61"/>
        <v>Operations</v>
      </c>
      <c r="AF64" s="81" t="str">
        <f t="shared" si="61"/>
        <v>Operations</v>
      </c>
      <c r="AG64" s="81" t="str">
        <f t="shared" si="61"/>
        <v>Operations</v>
      </c>
      <c r="AH64" s="81" t="str">
        <f t="shared" si="61"/>
        <v>Operations</v>
      </c>
      <c r="AI64" s="81" t="str">
        <f t="shared" si="61"/>
        <v>Operations</v>
      </c>
      <c r="AJ64" s="81" t="str">
        <f t="shared" si="61"/>
        <v>Operations</v>
      </c>
      <c r="AK64" s="81" t="str">
        <f t="shared" si="61"/>
        <v>Operations</v>
      </c>
      <c r="AL64" s="81" t="str">
        <f t="shared" si="61"/>
        <v>Operations</v>
      </c>
      <c r="AM64" s="81" t="str">
        <f t="shared" si="61"/>
        <v>Operations</v>
      </c>
      <c r="AN64" s="81" t="str">
        <f t="shared" si="61"/>
        <v>Operations</v>
      </c>
      <c r="AO64" s="81" t="str">
        <f t="shared" si="61"/>
        <v>Operations</v>
      </c>
      <c r="AP64" s="81" t="str">
        <f t="shared" ref="AP64:BU64" si="62">INDEX($F59:$F62, AP63)</f>
        <v>Operations</v>
      </c>
      <c r="AQ64" s="81" t="str">
        <f t="shared" si="62"/>
        <v>Operations</v>
      </c>
      <c r="AR64" s="81" t="str">
        <f t="shared" si="62"/>
        <v>Operations</v>
      </c>
      <c r="AS64" s="81" t="str">
        <f t="shared" si="62"/>
        <v>Operations</v>
      </c>
      <c r="AT64" s="81" t="str">
        <f t="shared" si="62"/>
        <v>Operations</v>
      </c>
      <c r="AU64" s="81" t="str">
        <f t="shared" si="62"/>
        <v>Operations</v>
      </c>
      <c r="AV64" s="81" t="str">
        <f t="shared" si="62"/>
        <v>Operations</v>
      </c>
      <c r="AW64" s="81" t="str">
        <f t="shared" si="62"/>
        <v>Operations</v>
      </c>
      <c r="AX64" s="81" t="str">
        <f t="shared" si="62"/>
        <v>Operations</v>
      </c>
      <c r="AY64" s="81" t="str">
        <f t="shared" si="62"/>
        <v>Operations</v>
      </c>
      <c r="AZ64" s="81" t="str">
        <f t="shared" si="62"/>
        <v>Operations</v>
      </c>
      <c r="BA64" s="81" t="str">
        <f t="shared" si="62"/>
        <v>Operations</v>
      </c>
      <c r="BB64" s="81" t="str">
        <f t="shared" si="62"/>
        <v>Operations</v>
      </c>
      <c r="BC64" s="81" t="str">
        <f t="shared" si="62"/>
        <v>Post ops</v>
      </c>
      <c r="BD64" s="81" t="str">
        <f t="shared" si="62"/>
        <v>Post ops</v>
      </c>
      <c r="BE64" s="81" t="str">
        <f t="shared" si="62"/>
        <v>Post ops</v>
      </c>
      <c r="BF64" s="81" t="str">
        <f t="shared" si="62"/>
        <v>Post ops</v>
      </c>
      <c r="BG64" s="81" t="str">
        <f t="shared" si="62"/>
        <v>Post ops</v>
      </c>
      <c r="BH64" s="81" t="str">
        <f t="shared" si="62"/>
        <v>Post ops</v>
      </c>
      <c r="BI64" s="81" t="str">
        <f t="shared" si="62"/>
        <v>Post ops</v>
      </c>
      <c r="BJ64" s="81" t="str">
        <f t="shared" si="62"/>
        <v>Post ops</v>
      </c>
      <c r="BK64" s="81" t="str">
        <f t="shared" si="62"/>
        <v>Post ops</v>
      </c>
      <c r="BL64" s="81" t="str">
        <f t="shared" si="62"/>
        <v>Post ops</v>
      </c>
      <c r="BM64" s="81" t="str">
        <f t="shared" si="62"/>
        <v>Post ops</v>
      </c>
      <c r="BN64" s="81" t="str">
        <f t="shared" si="62"/>
        <v>Post ops</v>
      </c>
      <c r="BO64" s="81" t="str">
        <f t="shared" si="62"/>
        <v>Post ops</v>
      </c>
      <c r="BP64" s="81" t="str">
        <f t="shared" si="62"/>
        <v>Post ops</v>
      </c>
      <c r="BQ64" s="81" t="str">
        <f t="shared" si="62"/>
        <v>Post ops</v>
      </c>
      <c r="BR64" s="81" t="str">
        <f t="shared" si="62"/>
        <v>Post ops</v>
      </c>
      <c r="BS64" s="81" t="str">
        <f t="shared" si="62"/>
        <v>Post ops</v>
      </c>
      <c r="BT64" s="81" t="str">
        <f t="shared" si="62"/>
        <v>Post ops</v>
      </c>
      <c r="BU64" s="81" t="str">
        <f t="shared" si="62"/>
        <v>Post ops</v>
      </c>
      <c r="BV64" s="81" t="str">
        <f t="shared" ref="BV64:CV64" si="63">INDEX($F59:$F62, BV63)</f>
        <v>Post ops</v>
      </c>
      <c r="BW64" s="81" t="str">
        <f t="shared" si="63"/>
        <v>Post ops</v>
      </c>
      <c r="BX64" s="81" t="str">
        <f t="shared" si="63"/>
        <v>Post ops</v>
      </c>
      <c r="BY64" s="81" t="str">
        <f t="shared" si="63"/>
        <v>Post ops</v>
      </c>
      <c r="BZ64" s="81" t="str">
        <f t="shared" si="63"/>
        <v>Post ops</v>
      </c>
      <c r="CA64" s="81" t="str">
        <f t="shared" si="63"/>
        <v>Post ops</v>
      </c>
      <c r="CB64" s="81" t="str">
        <f t="shared" si="63"/>
        <v>Post ops</v>
      </c>
      <c r="CC64" s="81" t="str">
        <f t="shared" si="63"/>
        <v>Post ops</v>
      </c>
      <c r="CD64" s="81" t="str">
        <f t="shared" si="63"/>
        <v>Post ops</v>
      </c>
      <c r="CE64" s="81" t="str">
        <f t="shared" si="63"/>
        <v>Post ops</v>
      </c>
      <c r="CF64" s="81" t="str">
        <f t="shared" si="63"/>
        <v>Post ops</v>
      </c>
      <c r="CG64" s="81" t="str">
        <f t="shared" si="63"/>
        <v>Post ops</v>
      </c>
      <c r="CH64" s="81" t="str">
        <f t="shared" si="63"/>
        <v>Post ops</v>
      </c>
      <c r="CI64" s="81" t="str">
        <f t="shared" si="63"/>
        <v>Post ops</v>
      </c>
      <c r="CJ64" s="81" t="str">
        <f t="shared" si="63"/>
        <v>Post ops</v>
      </c>
      <c r="CK64" s="81" t="str">
        <f t="shared" si="63"/>
        <v>Post ops</v>
      </c>
      <c r="CL64" s="81" t="str">
        <f t="shared" si="63"/>
        <v>Post ops</v>
      </c>
      <c r="CM64" s="81" t="str">
        <f t="shared" si="63"/>
        <v>Post ops</v>
      </c>
      <c r="CN64" s="81" t="str">
        <f t="shared" si="63"/>
        <v>Post ops</v>
      </c>
      <c r="CO64" s="81" t="str">
        <f t="shared" si="63"/>
        <v>Post ops</v>
      </c>
      <c r="CP64" s="81" t="str">
        <f t="shared" si="63"/>
        <v>Post ops</v>
      </c>
      <c r="CQ64" s="81" t="str">
        <f t="shared" si="63"/>
        <v>Post ops</v>
      </c>
      <c r="CR64" s="81" t="str">
        <f t="shared" si="63"/>
        <v>Post ops</v>
      </c>
      <c r="CS64" s="81" t="str">
        <f t="shared" si="63"/>
        <v>Post ops</v>
      </c>
      <c r="CT64" s="81" t="str">
        <f t="shared" si="63"/>
        <v>Post ops</v>
      </c>
      <c r="CU64" s="81" t="str">
        <f t="shared" si="63"/>
        <v>Post ops</v>
      </c>
      <c r="CV64" s="81" t="str">
        <f t="shared" si="63"/>
        <v>Post ops</v>
      </c>
    </row>
    <row r="65" spans="1:100" outlineLevel="2" x14ac:dyDescent="0.2">
      <c r="E65" s="9"/>
      <c r="F65" s="9"/>
      <c r="G65" s="9"/>
      <c r="H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</row>
    <row r="66" spans="1:100" x14ac:dyDescent="0.2">
      <c r="A66" s="49"/>
      <c r="C66" s="50"/>
      <c r="D66" s="51"/>
      <c r="E66" s="13"/>
      <c r="F66" s="13"/>
      <c r="G66" s="13"/>
      <c r="H66" s="13"/>
      <c r="I66" s="13"/>
      <c r="J66" s="16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</row>
    <row r="67" spans="1:100" x14ac:dyDescent="0.2">
      <c r="A67" s="49" t="s">
        <v>2</v>
      </c>
      <c r="C67" s="50"/>
      <c r="D67" s="51"/>
      <c r="E67" s="13"/>
      <c r="F67" s="13"/>
      <c r="G67" s="13"/>
      <c r="H67" s="13"/>
      <c r="I67" s="13"/>
      <c r="J67" s="16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</row>
    <row r="68" spans="1:100" outlineLevel="1" x14ac:dyDescent="0.2">
      <c r="A68" s="49"/>
      <c r="C68" s="50"/>
      <c r="D68" s="51"/>
      <c r="E68" s="13"/>
      <c r="F68" s="13"/>
      <c r="G68" s="13"/>
      <c r="H68" s="13"/>
      <c r="I68" s="13"/>
      <c r="J68" s="16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</row>
    <row r="69" spans="1:100" outlineLevel="1" x14ac:dyDescent="0.2">
      <c r="A69" s="49"/>
      <c r="B69" s="15" t="s">
        <v>42</v>
      </c>
      <c r="C69" s="50"/>
      <c r="D69" s="51"/>
      <c r="E69" s="13"/>
      <c r="F69" s="13"/>
      <c r="G69" s="13"/>
      <c r="H69" s="13"/>
      <c r="I69" s="13"/>
      <c r="J69" s="16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</row>
    <row r="70" spans="1:100" outlineLevel="2" x14ac:dyDescent="0.2">
      <c r="A70" s="54"/>
      <c r="C70" s="57"/>
      <c r="D70" s="58"/>
      <c r="E70" s="14" t="str">
        <f xml:space="preserve"> InpC!E$18</f>
        <v>Financial close date</v>
      </c>
      <c r="F70" s="14">
        <f xml:space="preserve"> InpC!F$18</f>
        <v>44681</v>
      </c>
      <c r="G70" s="14" t="str">
        <f xml:space="preserve"> InpC!G$18</f>
        <v>date</v>
      </c>
      <c r="H70" s="45"/>
      <c r="I70" s="26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45"/>
      <c r="BT70" s="45"/>
      <c r="BU70" s="45"/>
      <c r="BV70" s="45"/>
      <c r="BW70" s="45"/>
      <c r="BX70" s="45"/>
      <c r="BY70" s="45"/>
      <c r="BZ70" s="45"/>
      <c r="CA70" s="45"/>
      <c r="CB70" s="45"/>
      <c r="CC70" s="45"/>
      <c r="CD70" s="45"/>
      <c r="CE70" s="45"/>
      <c r="CF70" s="45"/>
      <c r="CG70" s="45"/>
      <c r="CH70" s="45"/>
      <c r="CI70" s="45"/>
      <c r="CJ70" s="45"/>
      <c r="CK70" s="45"/>
      <c r="CL70" s="45"/>
      <c r="CM70" s="45"/>
      <c r="CN70" s="45"/>
      <c r="CO70" s="45"/>
      <c r="CP70" s="45"/>
      <c r="CQ70" s="45"/>
      <c r="CR70" s="45"/>
      <c r="CS70" s="45"/>
      <c r="CT70" s="45"/>
      <c r="CU70" s="45"/>
      <c r="CV70" s="45"/>
    </row>
    <row r="71" spans="1:100" outlineLevel="2" x14ac:dyDescent="0.2">
      <c r="A71" s="49"/>
      <c r="C71" s="50"/>
      <c r="D71" s="51"/>
      <c r="E71" s="11" t="str">
        <f t="shared" ref="E71:BP71" si="64" xml:space="preserve"> E$25</f>
        <v>Model period ending</v>
      </c>
      <c r="F71" s="11">
        <f t="shared" si="64"/>
        <v>0</v>
      </c>
      <c r="G71" s="11" t="str">
        <f t="shared" si="64"/>
        <v>date</v>
      </c>
      <c r="H71" s="11">
        <f t="shared" si="64"/>
        <v>0</v>
      </c>
      <c r="I71" s="136">
        <f t="shared" si="64"/>
        <v>0</v>
      </c>
      <c r="J71" s="11">
        <f t="shared" si="64"/>
        <v>44742</v>
      </c>
      <c r="K71" s="11">
        <f t="shared" si="64"/>
        <v>44926</v>
      </c>
      <c r="L71" s="11">
        <f t="shared" si="64"/>
        <v>45107</v>
      </c>
      <c r="M71" s="11">
        <f t="shared" si="64"/>
        <v>45291</v>
      </c>
      <c r="N71" s="11">
        <f t="shared" si="64"/>
        <v>45473</v>
      </c>
      <c r="O71" s="11">
        <f t="shared" si="64"/>
        <v>45657</v>
      </c>
      <c r="P71" s="11">
        <f t="shared" si="64"/>
        <v>45838</v>
      </c>
      <c r="Q71" s="11">
        <f t="shared" si="64"/>
        <v>46022</v>
      </c>
      <c r="R71" s="11">
        <f t="shared" si="64"/>
        <v>46203</v>
      </c>
      <c r="S71" s="11">
        <f t="shared" si="64"/>
        <v>46387</v>
      </c>
      <c r="T71" s="11">
        <f t="shared" si="64"/>
        <v>46568</v>
      </c>
      <c r="U71" s="11">
        <f t="shared" si="64"/>
        <v>46752</v>
      </c>
      <c r="V71" s="11">
        <f t="shared" si="64"/>
        <v>46934</v>
      </c>
      <c r="W71" s="11">
        <f t="shared" si="64"/>
        <v>47118</v>
      </c>
      <c r="X71" s="11">
        <f t="shared" si="64"/>
        <v>47299</v>
      </c>
      <c r="Y71" s="11">
        <f t="shared" si="64"/>
        <v>47483</v>
      </c>
      <c r="Z71" s="11">
        <f t="shared" si="64"/>
        <v>47664</v>
      </c>
      <c r="AA71" s="11">
        <f t="shared" si="64"/>
        <v>47848</v>
      </c>
      <c r="AB71" s="11">
        <f t="shared" si="64"/>
        <v>48029</v>
      </c>
      <c r="AC71" s="11">
        <f t="shared" si="64"/>
        <v>48213</v>
      </c>
      <c r="AD71" s="11">
        <f t="shared" si="64"/>
        <v>48395</v>
      </c>
      <c r="AE71" s="11">
        <f t="shared" si="64"/>
        <v>48579</v>
      </c>
      <c r="AF71" s="11">
        <f t="shared" si="64"/>
        <v>48760</v>
      </c>
      <c r="AG71" s="11">
        <f t="shared" si="64"/>
        <v>48944</v>
      </c>
      <c r="AH71" s="11">
        <f t="shared" si="64"/>
        <v>49125</v>
      </c>
      <c r="AI71" s="11">
        <f t="shared" si="64"/>
        <v>49309</v>
      </c>
      <c r="AJ71" s="11">
        <f t="shared" si="64"/>
        <v>49490</v>
      </c>
      <c r="AK71" s="11">
        <f t="shared" si="64"/>
        <v>49674</v>
      </c>
      <c r="AL71" s="11">
        <f t="shared" si="64"/>
        <v>49856</v>
      </c>
      <c r="AM71" s="11">
        <f t="shared" si="64"/>
        <v>50040</v>
      </c>
      <c r="AN71" s="11">
        <f t="shared" si="64"/>
        <v>50221</v>
      </c>
      <c r="AO71" s="11">
        <f t="shared" si="64"/>
        <v>50405</v>
      </c>
      <c r="AP71" s="11">
        <f t="shared" si="64"/>
        <v>50586</v>
      </c>
      <c r="AQ71" s="11">
        <f t="shared" si="64"/>
        <v>50770</v>
      </c>
      <c r="AR71" s="11">
        <f t="shared" si="64"/>
        <v>50951</v>
      </c>
      <c r="AS71" s="11">
        <f t="shared" si="64"/>
        <v>51135</v>
      </c>
      <c r="AT71" s="11">
        <f t="shared" si="64"/>
        <v>51317</v>
      </c>
      <c r="AU71" s="11">
        <f t="shared" si="64"/>
        <v>51501</v>
      </c>
      <c r="AV71" s="11">
        <f t="shared" si="64"/>
        <v>51682</v>
      </c>
      <c r="AW71" s="11">
        <f t="shared" si="64"/>
        <v>51866</v>
      </c>
      <c r="AX71" s="11">
        <f t="shared" si="64"/>
        <v>52047</v>
      </c>
      <c r="AY71" s="11">
        <f t="shared" si="64"/>
        <v>52231</v>
      </c>
      <c r="AZ71" s="11">
        <f t="shared" si="64"/>
        <v>52412</v>
      </c>
      <c r="BA71" s="11">
        <f t="shared" si="64"/>
        <v>52596</v>
      </c>
      <c r="BB71" s="11">
        <f t="shared" si="64"/>
        <v>52778</v>
      </c>
      <c r="BC71" s="11">
        <f t="shared" si="64"/>
        <v>52962</v>
      </c>
      <c r="BD71" s="11">
        <f t="shared" si="64"/>
        <v>53143</v>
      </c>
      <c r="BE71" s="11">
        <f t="shared" si="64"/>
        <v>53327</v>
      </c>
      <c r="BF71" s="11">
        <f t="shared" si="64"/>
        <v>53508</v>
      </c>
      <c r="BG71" s="11">
        <f t="shared" si="64"/>
        <v>53692</v>
      </c>
      <c r="BH71" s="11">
        <f t="shared" si="64"/>
        <v>53873</v>
      </c>
      <c r="BI71" s="11">
        <f t="shared" si="64"/>
        <v>54057</v>
      </c>
      <c r="BJ71" s="11">
        <f t="shared" si="64"/>
        <v>54239</v>
      </c>
      <c r="BK71" s="11">
        <f t="shared" si="64"/>
        <v>54423</v>
      </c>
      <c r="BL71" s="11">
        <f t="shared" si="64"/>
        <v>54604</v>
      </c>
      <c r="BM71" s="11">
        <f t="shared" si="64"/>
        <v>54788</v>
      </c>
      <c r="BN71" s="11">
        <f t="shared" si="64"/>
        <v>54969</v>
      </c>
      <c r="BO71" s="11">
        <f t="shared" si="64"/>
        <v>55153</v>
      </c>
      <c r="BP71" s="11">
        <f t="shared" si="64"/>
        <v>55334</v>
      </c>
      <c r="BQ71" s="11">
        <f t="shared" ref="BQ71:CV71" si="65" xml:space="preserve"> BQ$25</f>
        <v>55518</v>
      </c>
      <c r="BR71" s="11">
        <f t="shared" si="65"/>
        <v>55700</v>
      </c>
      <c r="BS71" s="11">
        <f t="shared" si="65"/>
        <v>55884</v>
      </c>
      <c r="BT71" s="11">
        <f t="shared" si="65"/>
        <v>56065</v>
      </c>
      <c r="BU71" s="11">
        <f t="shared" si="65"/>
        <v>56249</v>
      </c>
      <c r="BV71" s="11">
        <f t="shared" si="65"/>
        <v>56430</v>
      </c>
      <c r="BW71" s="11">
        <f t="shared" si="65"/>
        <v>56614</v>
      </c>
      <c r="BX71" s="11">
        <f t="shared" si="65"/>
        <v>56795</v>
      </c>
      <c r="BY71" s="11">
        <f t="shared" si="65"/>
        <v>56979</v>
      </c>
      <c r="BZ71" s="11">
        <f t="shared" si="65"/>
        <v>57161</v>
      </c>
      <c r="CA71" s="11">
        <f t="shared" si="65"/>
        <v>57345</v>
      </c>
      <c r="CB71" s="11">
        <f t="shared" si="65"/>
        <v>57526</v>
      </c>
      <c r="CC71" s="11">
        <f t="shared" si="65"/>
        <v>57710</v>
      </c>
      <c r="CD71" s="11">
        <f t="shared" si="65"/>
        <v>57891</v>
      </c>
      <c r="CE71" s="11">
        <f t="shared" si="65"/>
        <v>58075</v>
      </c>
      <c r="CF71" s="11">
        <f t="shared" si="65"/>
        <v>58256</v>
      </c>
      <c r="CG71" s="11">
        <f t="shared" si="65"/>
        <v>58440</v>
      </c>
      <c r="CH71" s="11">
        <f t="shared" si="65"/>
        <v>58622</v>
      </c>
      <c r="CI71" s="11">
        <f t="shared" si="65"/>
        <v>58806</v>
      </c>
      <c r="CJ71" s="11">
        <f t="shared" si="65"/>
        <v>58987</v>
      </c>
      <c r="CK71" s="11">
        <f t="shared" si="65"/>
        <v>59171</v>
      </c>
      <c r="CL71" s="11">
        <f t="shared" si="65"/>
        <v>59352</v>
      </c>
      <c r="CM71" s="11">
        <f t="shared" si="65"/>
        <v>59536</v>
      </c>
      <c r="CN71" s="11">
        <f t="shared" si="65"/>
        <v>59717</v>
      </c>
      <c r="CO71" s="11">
        <f t="shared" si="65"/>
        <v>59901</v>
      </c>
      <c r="CP71" s="11">
        <f t="shared" si="65"/>
        <v>60083</v>
      </c>
      <c r="CQ71" s="11">
        <f t="shared" si="65"/>
        <v>60267</v>
      </c>
      <c r="CR71" s="11">
        <f t="shared" si="65"/>
        <v>60448</v>
      </c>
      <c r="CS71" s="11">
        <f t="shared" si="65"/>
        <v>60632</v>
      </c>
      <c r="CT71" s="11">
        <f t="shared" si="65"/>
        <v>60813</v>
      </c>
      <c r="CU71" s="11">
        <f t="shared" si="65"/>
        <v>60997</v>
      </c>
      <c r="CV71" s="11">
        <f t="shared" si="65"/>
        <v>61178</v>
      </c>
    </row>
    <row r="72" spans="1:100" s="191" customFormat="1" outlineLevel="2" x14ac:dyDescent="0.2">
      <c r="A72" s="429"/>
      <c r="B72" s="429"/>
      <c r="C72" s="430"/>
      <c r="D72" s="190"/>
      <c r="E72" s="191" t="s">
        <v>42</v>
      </c>
      <c r="G72" s="191" t="s">
        <v>5</v>
      </c>
      <c r="H72" s="191">
        <f xml:space="preserve"> SUM(J72:CV72)</f>
        <v>1</v>
      </c>
      <c r="I72" s="192"/>
      <c r="J72" s="191">
        <f xml:space="preserve"> IF(AND(I71 &lt; $F70, J71 &gt;= $F70), 1, 0)</f>
        <v>1</v>
      </c>
      <c r="K72" s="191">
        <f t="shared" ref="K72:BV72" si="66" xml:space="preserve"> IF(AND(J71 &lt; $F70, K71 &gt;= $F70), 1, 0)</f>
        <v>0</v>
      </c>
      <c r="L72" s="191">
        <f t="shared" si="66"/>
        <v>0</v>
      </c>
      <c r="M72" s="191">
        <f t="shared" si="66"/>
        <v>0</v>
      </c>
      <c r="N72" s="191">
        <f t="shared" si="66"/>
        <v>0</v>
      </c>
      <c r="O72" s="191">
        <f t="shared" si="66"/>
        <v>0</v>
      </c>
      <c r="P72" s="191">
        <f t="shared" si="66"/>
        <v>0</v>
      </c>
      <c r="Q72" s="191">
        <f t="shared" si="66"/>
        <v>0</v>
      </c>
      <c r="R72" s="191">
        <f t="shared" si="66"/>
        <v>0</v>
      </c>
      <c r="S72" s="191">
        <f t="shared" si="66"/>
        <v>0</v>
      </c>
      <c r="T72" s="191">
        <f t="shared" si="66"/>
        <v>0</v>
      </c>
      <c r="U72" s="191">
        <f t="shared" si="66"/>
        <v>0</v>
      </c>
      <c r="V72" s="191">
        <f t="shared" si="66"/>
        <v>0</v>
      </c>
      <c r="W72" s="191">
        <f t="shared" si="66"/>
        <v>0</v>
      </c>
      <c r="X72" s="191">
        <f t="shared" si="66"/>
        <v>0</v>
      </c>
      <c r="Y72" s="191">
        <f t="shared" si="66"/>
        <v>0</v>
      </c>
      <c r="Z72" s="191">
        <f t="shared" si="66"/>
        <v>0</v>
      </c>
      <c r="AA72" s="191">
        <f t="shared" si="66"/>
        <v>0</v>
      </c>
      <c r="AB72" s="191">
        <f t="shared" si="66"/>
        <v>0</v>
      </c>
      <c r="AC72" s="191">
        <f t="shared" si="66"/>
        <v>0</v>
      </c>
      <c r="AD72" s="191">
        <f t="shared" si="66"/>
        <v>0</v>
      </c>
      <c r="AE72" s="191">
        <f t="shared" si="66"/>
        <v>0</v>
      </c>
      <c r="AF72" s="191">
        <f t="shared" si="66"/>
        <v>0</v>
      </c>
      <c r="AG72" s="191">
        <f t="shared" si="66"/>
        <v>0</v>
      </c>
      <c r="AH72" s="191">
        <f t="shared" si="66"/>
        <v>0</v>
      </c>
      <c r="AI72" s="191">
        <f t="shared" si="66"/>
        <v>0</v>
      </c>
      <c r="AJ72" s="191">
        <f t="shared" si="66"/>
        <v>0</v>
      </c>
      <c r="AK72" s="191">
        <f t="shared" si="66"/>
        <v>0</v>
      </c>
      <c r="AL72" s="191">
        <f t="shared" si="66"/>
        <v>0</v>
      </c>
      <c r="AM72" s="191">
        <f t="shared" si="66"/>
        <v>0</v>
      </c>
      <c r="AN72" s="191">
        <f t="shared" si="66"/>
        <v>0</v>
      </c>
      <c r="AO72" s="191">
        <f t="shared" si="66"/>
        <v>0</v>
      </c>
      <c r="AP72" s="191">
        <f t="shared" si="66"/>
        <v>0</v>
      </c>
      <c r="AQ72" s="191">
        <f t="shared" si="66"/>
        <v>0</v>
      </c>
      <c r="AR72" s="191">
        <f t="shared" si="66"/>
        <v>0</v>
      </c>
      <c r="AS72" s="191">
        <f t="shared" si="66"/>
        <v>0</v>
      </c>
      <c r="AT72" s="191">
        <f t="shared" si="66"/>
        <v>0</v>
      </c>
      <c r="AU72" s="191">
        <f t="shared" si="66"/>
        <v>0</v>
      </c>
      <c r="AV72" s="191">
        <f t="shared" si="66"/>
        <v>0</v>
      </c>
      <c r="AW72" s="191">
        <f t="shared" si="66"/>
        <v>0</v>
      </c>
      <c r="AX72" s="191">
        <f t="shared" si="66"/>
        <v>0</v>
      </c>
      <c r="AY72" s="191">
        <f t="shared" si="66"/>
        <v>0</v>
      </c>
      <c r="AZ72" s="191">
        <f t="shared" si="66"/>
        <v>0</v>
      </c>
      <c r="BA72" s="191">
        <f t="shared" si="66"/>
        <v>0</v>
      </c>
      <c r="BB72" s="191">
        <f t="shared" si="66"/>
        <v>0</v>
      </c>
      <c r="BC72" s="191">
        <f t="shared" si="66"/>
        <v>0</v>
      </c>
      <c r="BD72" s="191">
        <f t="shared" si="66"/>
        <v>0</v>
      </c>
      <c r="BE72" s="191">
        <f t="shared" si="66"/>
        <v>0</v>
      </c>
      <c r="BF72" s="191">
        <f t="shared" si="66"/>
        <v>0</v>
      </c>
      <c r="BG72" s="191">
        <f t="shared" si="66"/>
        <v>0</v>
      </c>
      <c r="BH72" s="191">
        <f t="shared" si="66"/>
        <v>0</v>
      </c>
      <c r="BI72" s="191">
        <f t="shared" si="66"/>
        <v>0</v>
      </c>
      <c r="BJ72" s="191">
        <f t="shared" si="66"/>
        <v>0</v>
      </c>
      <c r="BK72" s="191">
        <f t="shared" si="66"/>
        <v>0</v>
      </c>
      <c r="BL72" s="191">
        <f t="shared" si="66"/>
        <v>0</v>
      </c>
      <c r="BM72" s="191">
        <f t="shared" si="66"/>
        <v>0</v>
      </c>
      <c r="BN72" s="191">
        <f t="shared" si="66"/>
        <v>0</v>
      </c>
      <c r="BO72" s="191">
        <f t="shared" si="66"/>
        <v>0</v>
      </c>
      <c r="BP72" s="191">
        <f t="shared" si="66"/>
        <v>0</v>
      </c>
      <c r="BQ72" s="191">
        <f t="shared" si="66"/>
        <v>0</v>
      </c>
      <c r="BR72" s="191">
        <f t="shared" si="66"/>
        <v>0</v>
      </c>
      <c r="BS72" s="191">
        <f t="shared" si="66"/>
        <v>0</v>
      </c>
      <c r="BT72" s="191">
        <f t="shared" si="66"/>
        <v>0</v>
      </c>
      <c r="BU72" s="191">
        <f t="shared" si="66"/>
        <v>0</v>
      </c>
      <c r="BV72" s="191">
        <f t="shared" si="66"/>
        <v>0</v>
      </c>
      <c r="BW72" s="191">
        <f t="shared" ref="BW72:CV72" si="67" xml:space="preserve"> IF(AND(BV71 &lt; $F70, BW71 &gt;= $F70), 1, 0)</f>
        <v>0</v>
      </c>
      <c r="BX72" s="191">
        <f t="shared" si="67"/>
        <v>0</v>
      </c>
      <c r="BY72" s="191">
        <f t="shared" si="67"/>
        <v>0</v>
      </c>
      <c r="BZ72" s="191">
        <f t="shared" si="67"/>
        <v>0</v>
      </c>
      <c r="CA72" s="191">
        <f t="shared" si="67"/>
        <v>0</v>
      </c>
      <c r="CB72" s="191">
        <f t="shared" si="67"/>
        <v>0</v>
      </c>
      <c r="CC72" s="191">
        <f t="shared" si="67"/>
        <v>0</v>
      </c>
      <c r="CD72" s="191">
        <f t="shared" si="67"/>
        <v>0</v>
      </c>
      <c r="CE72" s="191">
        <f t="shared" si="67"/>
        <v>0</v>
      </c>
      <c r="CF72" s="191">
        <f t="shared" si="67"/>
        <v>0</v>
      </c>
      <c r="CG72" s="191">
        <f t="shared" si="67"/>
        <v>0</v>
      </c>
      <c r="CH72" s="191">
        <f t="shared" si="67"/>
        <v>0</v>
      </c>
      <c r="CI72" s="191">
        <f t="shared" si="67"/>
        <v>0</v>
      </c>
      <c r="CJ72" s="191">
        <f t="shared" si="67"/>
        <v>0</v>
      </c>
      <c r="CK72" s="191">
        <f t="shared" si="67"/>
        <v>0</v>
      </c>
      <c r="CL72" s="191">
        <f t="shared" si="67"/>
        <v>0</v>
      </c>
      <c r="CM72" s="191">
        <f t="shared" si="67"/>
        <v>0</v>
      </c>
      <c r="CN72" s="191">
        <f t="shared" si="67"/>
        <v>0</v>
      </c>
      <c r="CO72" s="191">
        <f t="shared" si="67"/>
        <v>0</v>
      </c>
      <c r="CP72" s="191">
        <f t="shared" si="67"/>
        <v>0</v>
      </c>
      <c r="CQ72" s="191">
        <f t="shared" si="67"/>
        <v>0</v>
      </c>
      <c r="CR72" s="191">
        <f t="shared" si="67"/>
        <v>0</v>
      </c>
      <c r="CS72" s="191">
        <f t="shared" si="67"/>
        <v>0</v>
      </c>
      <c r="CT72" s="191">
        <f t="shared" si="67"/>
        <v>0</v>
      </c>
      <c r="CU72" s="191">
        <f t="shared" si="67"/>
        <v>0</v>
      </c>
      <c r="CV72" s="191">
        <f t="shared" si="67"/>
        <v>0</v>
      </c>
    </row>
    <row r="73" spans="1:100" outlineLevel="1" x14ac:dyDescent="0.2">
      <c r="E73" s="6"/>
      <c r="F73" s="6"/>
      <c r="G73" s="6"/>
      <c r="H73" s="6"/>
      <c r="I73" s="71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</row>
    <row r="74" spans="1:100" outlineLevel="1" x14ac:dyDescent="0.2">
      <c r="B74" s="15" t="s">
        <v>230</v>
      </c>
      <c r="E74" s="6"/>
      <c r="F74" s="6"/>
      <c r="G74" s="6"/>
      <c r="H74" s="6"/>
      <c r="I74" s="71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</row>
    <row r="75" spans="1:100" outlineLevel="2" x14ac:dyDescent="0.2">
      <c r="E75" s="198" t="str">
        <f t="shared" ref="E75:AJ75" si="68" xml:space="preserve"> E$72</f>
        <v>Financial close date flag</v>
      </c>
      <c r="F75" s="198">
        <f t="shared" si="68"/>
        <v>0</v>
      </c>
      <c r="G75" s="198" t="str">
        <f t="shared" si="68"/>
        <v>flag</v>
      </c>
      <c r="H75" s="198">
        <f t="shared" si="68"/>
        <v>1</v>
      </c>
      <c r="I75" s="198">
        <f t="shared" si="68"/>
        <v>0</v>
      </c>
      <c r="J75" s="198">
        <f t="shared" si="68"/>
        <v>1</v>
      </c>
      <c r="K75" s="198">
        <f t="shared" si="68"/>
        <v>0</v>
      </c>
      <c r="L75" s="198">
        <f t="shared" si="68"/>
        <v>0</v>
      </c>
      <c r="M75" s="198">
        <f t="shared" si="68"/>
        <v>0</v>
      </c>
      <c r="N75" s="198">
        <f t="shared" si="68"/>
        <v>0</v>
      </c>
      <c r="O75" s="198">
        <f t="shared" si="68"/>
        <v>0</v>
      </c>
      <c r="P75" s="198">
        <f t="shared" si="68"/>
        <v>0</v>
      </c>
      <c r="Q75" s="198">
        <f t="shared" si="68"/>
        <v>0</v>
      </c>
      <c r="R75" s="198">
        <f t="shared" si="68"/>
        <v>0</v>
      </c>
      <c r="S75" s="198">
        <f t="shared" si="68"/>
        <v>0</v>
      </c>
      <c r="T75" s="198">
        <f t="shared" si="68"/>
        <v>0</v>
      </c>
      <c r="U75" s="198">
        <f t="shared" si="68"/>
        <v>0</v>
      </c>
      <c r="V75" s="198">
        <f t="shared" si="68"/>
        <v>0</v>
      </c>
      <c r="W75" s="198">
        <f t="shared" si="68"/>
        <v>0</v>
      </c>
      <c r="X75" s="198">
        <f t="shared" si="68"/>
        <v>0</v>
      </c>
      <c r="Y75" s="198">
        <f t="shared" si="68"/>
        <v>0</v>
      </c>
      <c r="Z75" s="198">
        <f t="shared" si="68"/>
        <v>0</v>
      </c>
      <c r="AA75" s="198">
        <f t="shared" si="68"/>
        <v>0</v>
      </c>
      <c r="AB75" s="198">
        <f t="shared" si="68"/>
        <v>0</v>
      </c>
      <c r="AC75" s="198">
        <f t="shared" si="68"/>
        <v>0</v>
      </c>
      <c r="AD75" s="198">
        <f t="shared" si="68"/>
        <v>0</v>
      </c>
      <c r="AE75" s="198">
        <f t="shared" si="68"/>
        <v>0</v>
      </c>
      <c r="AF75" s="198">
        <f t="shared" si="68"/>
        <v>0</v>
      </c>
      <c r="AG75" s="198">
        <f t="shared" si="68"/>
        <v>0</v>
      </c>
      <c r="AH75" s="198">
        <f t="shared" si="68"/>
        <v>0</v>
      </c>
      <c r="AI75" s="198">
        <f t="shared" si="68"/>
        <v>0</v>
      </c>
      <c r="AJ75" s="198">
        <f t="shared" si="68"/>
        <v>0</v>
      </c>
      <c r="AK75" s="198">
        <f t="shared" ref="AK75:BP75" si="69" xml:space="preserve"> AK$72</f>
        <v>0</v>
      </c>
      <c r="AL75" s="198">
        <f t="shared" si="69"/>
        <v>0</v>
      </c>
      <c r="AM75" s="198">
        <f t="shared" si="69"/>
        <v>0</v>
      </c>
      <c r="AN75" s="198">
        <f t="shared" si="69"/>
        <v>0</v>
      </c>
      <c r="AO75" s="198">
        <f t="shared" si="69"/>
        <v>0</v>
      </c>
      <c r="AP75" s="198">
        <f t="shared" si="69"/>
        <v>0</v>
      </c>
      <c r="AQ75" s="198">
        <f t="shared" si="69"/>
        <v>0</v>
      </c>
      <c r="AR75" s="198">
        <f t="shared" si="69"/>
        <v>0</v>
      </c>
      <c r="AS75" s="198">
        <f t="shared" si="69"/>
        <v>0</v>
      </c>
      <c r="AT75" s="198">
        <f t="shared" si="69"/>
        <v>0</v>
      </c>
      <c r="AU75" s="198">
        <f t="shared" si="69"/>
        <v>0</v>
      </c>
      <c r="AV75" s="198">
        <f t="shared" si="69"/>
        <v>0</v>
      </c>
      <c r="AW75" s="198">
        <f t="shared" si="69"/>
        <v>0</v>
      </c>
      <c r="AX75" s="198">
        <f t="shared" si="69"/>
        <v>0</v>
      </c>
      <c r="AY75" s="198">
        <f t="shared" si="69"/>
        <v>0</v>
      </c>
      <c r="AZ75" s="198">
        <f t="shared" si="69"/>
        <v>0</v>
      </c>
      <c r="BA75" s="198">
        <f t="shared" si="69"/>
        <v>0</v>
      </c>
      <c r="BB75" s="198">
        <f t="shared" si="69"/>
        <v>0</v>
      </c>
      <c r="BC75" s="198">
        <f t="shared" si="69"/>
        <v>0</v>
      </c>
      <c r="BD75" s="198">
        <f t="shared" si="69"/>
        <v>0</v>
      </c>
      <c r="BE75" s="198">
        <f t="shared" si="69"/>
        <v>0</v>
      </c>
      <c r="BF75" s="198">
        <f t="shared" si="69"/>
        <v>0</v>
      </c>
      <c r="BG75" s="198">
        <f t="shared" si="69"/>
        <v>0</v>
      </c>
      <c r="BH75" s="198">
        <f t="shared" si="69"/>
        <v>0</v>
      </c>
      <c r="BI75" s="198">
        <f t="shared" si="69"/>
        <v>0</v>
      </c>
      <c r="BJ75" s="198">
        <f t="shared" si="69"/>
        <v>0</v>
      </c>
      <c r="BK75" s="198">
        <f t="shared" si="69"/>
        <v>0</v>
      </c>
      <c r="BL75" s="198">
        <f t="shared" si="69"/>
        <v>0</v>
      </c>
      <c r="BM75" s="198">
        <f t="shared" si="69"/>
        <v>0</v>
      </c>
      <c r="BN75" s="198">
        <f t="shared" si="69"/>
        <v>0</v>
      </c>
      <c r="BO75" s="198">
        <f t="shared" si="69"/>
        <v>0</v>
      </c>
      <c r="BP75" s="198">
        <f t="shared" si="69"/>
        <v>0</v>
      </c>
      <c r="BQ75" s="198">
        <f t="shared" ref="BQ75:CV75" si="70" xml:space="preserve"> BQ$72</f>
        <v>0</v>
      </c>
      <c r="BR75" s="198">
        <f t="shared" si="70"/>
        <v>0</v>
      </c>
      <c r="BS75" s="198">
        <f t="shared" si="70"/>
        <v>0</v>
      </c>
      <c r="BT75" s="198">
        <f t="shared" si="70"/>
        <v>0</v>
      </c>
      <c r="BU75" s="198">
        <f t="shared" si="70"/>
        <v>0</v>
      </c>
      <c r="BV75" s="198">
        <f t="shared" si="70"/>
        <v>0</v>
      </c>
      <c r="BW75" s="198">
        <f t="shared" si="70"/>
        <v>0</v>
      </c>
      <c r="BX75" s="198">
        <f t="shared" si="70"/>
        <v>0</v>
      </c>
      <c r="BY75" s="198">
        <f t="shared" si="70"/>
        <v>0</v>
      </c>
      <c r="BZ75" s="198">
        <f t="shared" si="70"/>
        <v>0</v>
      </c>
      <c r="CA75" s="198">
        <f t="shared" si="70"/>
        <v>0</v>
      </c>
      <c r="CB75" s="198">
        <f t="shared" si="70"/>
        <v>0</v>
      </c>
      <c r="CC75" s="198">
        <f t="shared" si="70"/>
        <v>0</v>
      </c>
      <c r="CD75" s="198">
        <f t="shared" si="70"/>
        <v>0</v>
      </c>
      <c r="CE75" s="198">
        <f t="shared" si="70"/>
        <v>0</v>
      </c>
      <c r="CF75" s="198">
        <f t="shared" si="70"/>
        <v>0</v>
      </c>
      <c r="CG75" s="198">
        <f t="shared" si="70"/>
        <v>0</v>
      </c>
      <c r="CH75" s="198">
        <f t="shared" si="70"/>
        <v>0</v>
      </c>
      <c r="CI75" s="198">
        <f t="shared" si="70"/>
        <v>0</v>
      </c>
      <c r="CJ75" s="198">
        <f t="shared" si="70"/>
        <v>0</v>
      </c>
      <c r="CK75" s="198">
        <f t="shared" si="70"/>
        <v>0</v>
      </c>
      <c r="CL75" s="198">
        <f t="shared" si="70"/>
        <v>0</v>
      </c>
      <c r="CM75" s="198">
        <f t="shared" si="70"/>
        <v>0</v>
      </c>
      <c r="CN75" s="198">
        <f t="shared" si="70"/>
        <v>0</v>
      </c>
      <c r="CO75" s="198">
        <f t="shared" si="70"/>
        <v>0</v>
      </c>
      <c r="CP75" s="198">
        <f t="shared" si="70"/>
        <v>0</v>
      </c>
      <c r="CQ75" s="198">
        <f t="shared" si="70"/>
        <v>0</v>
      </c>
      <c r="CR75" s="198">
        <f t="shared" si="70"/>
        <v>0</v>
      </c>
      <c r="CS75" s="198">
        <f t="shared" si="70"/>
        <v>0</v>
      </c>
      <c r="CT75" s="198">
        <f t="shared" si="70"/>
        <v>0</v>
      </c>
      <c r="CU75" s="198">
        <f t="shared" si="70"/>
        <v>0</v>
      </c>
      <c r="CV75" s="198">
        <f t="shared" si="70"/>
        <v>0</v>
      </c>
    </row>
    <row r="76" spans="1:100" outlineLevel="2" x14ac:dyDescent="0.2">
      <c r="E76" s="6" t="s">
        <v>230</v>
      </c>
      <c r="F76" s="6"/>
      <c r="G76" s="6" t="s">
        <v>5</v>
      </c>
      <c r="H76" s="6">
        <f xml:space="preserve"> SUM(J76:CV76)</f>
        <v>1</v>
      </c>
      <c r="I76" s="71"/>
      <c r="J76" s="6">
        <f t="shared" ref="J76:AO76" si="71" xml:space="preserve"> I75</f>
        <v>0</v>
      </c>
      <c r="K76" s="6">
        <f t="shared" si="71"/>
        <v>1</v>
      </c>
      <c r="L76" s="6">
        <f t="shared" si="71"/>
        <v>0</v>
      </c>
      <c r="M76" s="6">
        <f t="shared" si="71"/>
        <v>0</v>
      </c>
      <c r="N76" s="6">
        <f t="shared" si="71"/>
        <v>0</v>
      </c>
      <c r="O76" s="6">
        <f t="shared" si="71"/>
        <v>0</v>
      </c>
      <c r="P76" s="6">
        <f t="shared" si="71"/>
        <v>0</v>
      </c>
      <c r="Q76" s="6">
        <f t="shared" si="71"/>
        <v>0</v>
      </c>
      <c r="R76" s="6">
        <f t="shared" si="71"/>
        <v>0</v>
      </c>
      <c r="S76" s="6">
        <f t="shared" si="71"/>
        <v>0</v>
      </c>
      <c r="T76" s="6">
        <f t="shared" si="71"/>
        <v>0</v>
      </c>
      <c r="U76" s="6">
        <f t="shared" si="71"/>
        <v>0</v>
      </c>
      <c r="V76" s="6">
        <f t="shared" si="71"/>
        <v>0</v>
      </c>
      <c r="W76" s="6">
        <f t="shared" si="71"/>
        <v>0</v>
      </c>
      <c r="X76" s="6">
        <f t="shared" si="71"/>
        <v>0</v>
      </c>
      <c r="Y76" s="6">
        <f t="shared" si="71"/>
        <v>0</v>
      </c>
      <c r="Z76" s="6">
        <f t="shared" si="71"/>
        <v>0</v>
      </c>
      <c r="AA76" s="6">
        <f t="shared" si="71"/>
        <v>0</v>
      </c>
      <c r="AB76" s="6">
        <f t="shared" si="71"/>
        <v>0</v>
      </c>
      <c r="AC76" s="6">
        <f t="shared" si="71"/>
        <v>0</v>
      </c>
      <c r="AD76" s="6">
        <f t="shared" si="71"/>
        <v>0</v>
      </c>
      <c r="AE76" s="6">
        <f t="shared" si="71"/>
        <v>0</v>
      </c>
      <c r="AF76" s="6">
        <f t="shared" si="71"/>
        <v>0</v>
      </c>
      <c r="AG76" s="6">
        <f t="shared" si="71"/>
        <v>0</v>
      </c>
      <c r="AH76" s="6">
        <f t="shared" si="71"/>
        <v>0</v>
      </c>
      <c r="AI76" s="6">
        <f t="shared" si="71"/>
        <v>0</v>
      </c>
      <c r="AJ76" s="6">
        <f t="shared" si="71"/>
        <v>0</v>
      </c>
      <c r="AK76" s="6">
        <f t="shared" si="71"/>
        <v>0</v>
      </c>
      <c r="AL76" s="6">
        <f t="shared" si="71"/>
        <v>0</v>
      </c>
      <c r="AM76" s="6">
        <f t="shared" si="71"/>
        <v>0</v>
      </c>
      <c r="AN76" s="6">
        <f t="shared" si="71"/>
        <v>0</v>
      </c>
      <c r="AO76" s="6">
        <f t="shared" si="71"/>
        <v>0</v>
      </c>
      <c r="AP76" s="6">
        <f t="shared" ref="AP76:BU76" si="72" xml:space="preserve"> AO75</f>
        <v>0</v>
      </c>
      <c r="AQ76" s="6">
        <f t="shared" si="72"/>
        <v>0</v>
      </c>
      <c r="AR76" s="6">
        <f t="shared" si="72"/>
        <v>0</v>
      </c>
      <c r="AS76" s="6">
        <f t="shared" si="72"/>
        <v>0</v>
      </c>
      <c r="AT76" s="6">
        <f t="shared" si="72"/>
        <v>0</v>
      </c>
      <c r="AU76" s="6">
        <f t="shared" si="72"/>
        <v>0</v>
      </c>
      <c r="AV76" s="6">
        <f t="shared" si="72"/>
        <v>0</v>
      </c>
      <c r="AW76" s="6">
        <f t="shared" si="72"/>
        <v>0</v>
      </c>
      <c r="AX76" s="6">
        <f t="shared" si="72"/>
        <v>0</v>
      </c>
      <c r="AY76" s="6">
        <f t="shared" si="72"/>
        <v>0</v>
      </c>
      <c r="AZ76" s="6">
        <f t="shared" si="72"/>
        <v>0</v>
      </c>
      <c r="BA76" s="6">
        <f t="shared" si="72"/>
        <v>0</v>
      </c>
      <c r="BB76" s="6">
        <f t="shared" si="72"/>
        <v>0</v>
      </c>
      <c r="BC76" s="6">
        <f t="shared" si="72"/>
        <v>0</v>
      </c>
      <c r="BD76" s="6">
        <f t="shared" si="72"/>
        <v>0</v>
      </c>
      <c r="BE76" s="6">
        <f t="shared" si="72"/>
        <v>0</v>
      </c>
      <c r="BF76" s="6">
        <f t="shared" si="72"/>
        <v>0</v>
      </c>
      <c r="BG76" s="6">
        <f t="shared" si="72"/>
        <v>0</v>
      </c>
      <c r="BH76" s="6">
        <f t="shared" si="72"/>
        <v>0</v>
      </c>
      <c r="BI76" s="6">
        <f t="shared" si="72"/>
        <v>0</v>
      </c>
      <c r="BJ76" s="6">
        <f t="shared" si="72"/>
        <v>0</v>
      </c>
      <c r="BK76" s="6">
        <f t="shared" si="72"/>
        <v>0</v>
      </c>
      <c r="BL76" s="6">
        <f t="shared" si="72"/>
        <v>0</v>
      </c>
      <c r="BM76" s="6">
        <f t="shared" si="72"/>
        <v>0</v>
      </c>
      <c r="BN76" s="6">
        <f t="shared" si="72"/>
        <v>0</v>
      </c>
      <c r="BO76" s="6">
        <f t="shared" si="72"/>
        <v>0</v>
      </c>
      <c r="BP76" s="6">
        <f t="shared" si="72"/>
        <v>0</v>
      </c>
      <c r="BQ76" s="6">
        <f t="shared" si="72"/>
        <v>0</v>
      </c>
      <c r="BR76" s="6">
        <f t="shared" si="72"/>
        <v>0</v>
      </c>
      <c r="BS76" s="6">
        <f t="shared" si="72"/>
        <v>0</v>
      </c>
      <c r="BT76" s="6">
        <f t="shared" si="72"/>
        <v>0</v>
      </c>
      <c r="BU76" s="6">
        <f t="shared" si="72"/>
        <v>0</v>
      </c>
      <c r="BV76" s="6">
        <f t="shared" ref="BV76:CV76" si="73" xml:space="preserve"> BU75</f>
        <v>0</v>
      </c>
      <c r="BW76" s="6">
        <f t="shared" si="73"/>
        <v>0</v>
      </c>
      <c r="BX76" s="6">
        <f t="shared" si="73"/>
        <v>0</v>
      </c>
      <c r="BY76" s="6">
        <f t="shared" si="73"/>
        <v>0</v>
      </c>
      <c r="BZ76" s="6">
        <f t="shared" si="73"/>
        <v>0</v>
      </c>
      <c r="CA76" s="6">
        <f t="shared" si="73"/>
        <v>0</v>
      </c>
      <c r="CB76" s="6">
        <f t="shared" si="73"/>
        <v>0</v>
      </c>
      <c r="CC76" s="6">
        <f t="shared" si="73"/>
        <v>0</v>
      </c>
      <c r="CD76" s="6">
        <f t="shared" si="73"/>
        <v>0</v>
      </c>
      <c r="CE76" s="6">
        <f t="shared" si="73"/>
        <v>0</v>
      </c>
      <c r="CF76" s="6">
        <f t="shared" si="73"/>
        <v>0</v>
      </c>
      <c r="CG76" s="6">
        <f t="shared" si="73"/>
        <v>0</v>
      </c>
      <c r="CH76" s="6">
        <f t="shared" si="73"/>
        <v>0</v>
      </c>
      <c r="CI76" s="6">
        <f t="shared" si="73"/>
        <v>0</v>
      </c>
      <c r="CJ76" s="6">
        <f t="shared" si="73"/>
        <v>0</v>
      </c>
      <c r="CK76" s="6">
        <f t="shared" si="73"/>
        <v>0</v>
      </c>
      <c r="CL76" s="6">
        <f t="shared" si="73"/>
        <v>0</v>
      </c>
      <c r="CM76" s="6">
        <f t="shared" si="73"/>
        <v>0</v>
      </c>
      <c r="CN76" s="6">
        <f t="shared" si="73"/>
        <v>0</v>
      </c>
      <c r="CO76" s="6">
        <f t="shared" si="73"/>
        <v>0</v>
      </c>
      <c r="CP76" s="6">
        <f t="shared" si="73"/>
        <v>0</v>
      </c>
      <c r="CQ76" s="6">
        <f t="shared" si="73"/>
        <v>0</v>
      </c>
      <c r="CR76" s="6">
        <f t="shared" si="73"/>
        <v>0</v>
      </c>
      <c r="CS76" s="6">
        <f t="shared" si="73"/>
        <v>0</v>
      </c>
      <c r="CT76" s="6">
        <f t="shared" si="73"/>
        <v>0</v>
      </c>
      <c r="CU76" s="6">
        <f t="shared" si="73"/>
        <v>0</v>
      </c>
      <c r="CV76" s="6">
        <f t="shared" si="73"/>
        <v>0</v>
      </c>
    </row>
    <row r="77" spans="1:100" outlineLevel="1" x14ac:dyDescent="0.2">
      <c r="E77" s="6"/>
      <c r="F77" s="6"/>
      <c r="G77" s="6"/>
      <c r="H77" s="6"/>
      <c r="I77" s="71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</row>
    <row r="78" spans="1:100" outlineLevel="1" x14ac:dyDescent="0.2">
      <c r="B78" s="15" t="s">
        <v>229</v>
      </c>
      <c r="E78" s="6"/>
      <c r="F78" s="6"/>
      <c r="G78" s="6"/>
      <c r="H78" s="6"/>
      <c r="I78" s="71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</row>
    <row r="79" spans="1:100" outlineLevel="2" x14ac:dyDescent="0.2">
      <c r="A79" s="54"/>
      <c r="C79" s="57"/>
      <c r="D79" s="58"/>
      <c r="E79" s="300" t="str">
        <f xml:space="preserve"> ConTime!E$73</f>
        <v>End of construction period date</v>
      </c>
      <c r="F79" s="300">
        <f xml:space="preserve"> ConTime!F$73</f>
        <v>45473</v>
      </c>
      <c r="G79" s="300" t="str">
        <f xml:space="preserve"> ConTime!G$73</f>
        <v>date</v>
      </c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300"/>
      <c r="AJ79" s="300"/>
      <c r="AK79" s="300"/>
      <c r="AL79" s="300"/>
      <c r="AM79" s="300"/>
      <c r="AN79" s="300"/>
      <c r="AO79" s="300"/>
      <c r="AP79" s="300"/>
      <c r="AQ79" s="300"/>
      <c r="AR79" s="300"/>
      <c r="AS79" s="300"/>
      <c r="AT79" s="300"/>
      <c r="AU79" s="300"/>
      <c r="AV79" s="300"/>
      <c r="AW79" s="300"/>
      <c r="AX79" s="300"/>
      <c r="AY79" s="300"/>
      <c r="AZ79" s="300"/>
      <c r="BA79" s="300"/>
      <c r="BB79" s="300"/>
      <c r="BC79" s="300"/>
      <c r="BD79" s="300"/>
      <c r="BE79" s="300"/>
      <c r="BF79" s="300"/>
      <c r="BG79" s="300"/>
      <c r="BH79" s="300"/>
      <c r="BI79" s="300"/>
      <c r="BJ79" s="300"/>
      <c r="BK79" s="300"/>
      <c r="BL79" s="300"/>
      <c r="BM79" s="300"/>
      <c r="BN79" s="300"/>
      <c r="BO79" s="300"/>
      <c r="BP79" s="300"/>
      <c r="BQ79" s="300"/>
      <c r="BR79" s="300"/>
      <c r="BS79" s="300"/>
      <c r="BT79" s="300"/>
      <c r="BU79" s="300"/>
      <c r="BV79" s="300"/>
      <c r="BW79" s="300"/>
      <c r="BX79" s="300"/>
      <c r="BY79" s="300"/>
      <c r="BZ79" s="300"/>
      <c r="CA79" s="300"/>
      <c r="CB79" s="300"/>
      <c r="CC79" s="300"/>
      <c r="CD79" s="300"/>
      <c r="CE79" s="300"/>
      <c r="CF79" s="300"/>
      <c r="CG79" s="300"/>
      <c r="CH79" s="300"/>
      <c r="CI79" s="300"/>
      <c r="CJ79" s="300"/>
      <c r="CK79" s="300"/>
      <c r="CL79" s="300"/>
      <c r="CM79" s="300"/>
      <c r="CN79" s="300"/>
      <c r="CO79" s="300"/>
      <c r="CP79" s="300"/>
      <c r="CQ79" s="300"/>
      <c r="CR79" s="300"/>
      <c r="CS79" s="300"/>
      <c r="CT79" s="300"/>
      <c r="CU79" s="300"/>
      <c r="CV79" s="300"/>
    </row>
    <row r="80" spans="1:100" outlineLevel="2" x14ac:dyDescent="0.2">
      <c r="A80" s="49"/>
      <c r="C80" s="50"/>
      <c r="D80" s="51"/>
      <c r="E80" s="11" t="str">
        <f t="shared" ref="E80:BP80" si="74" xml:space="preserve"> E$25</f>
        <v>Model period ending</v>
      </c>
      <c r="F80" s="11">
        <f t="shared" si="74"/>
        <v>0</v>
      </c>
      <c r="G80" s="11" t="str">
        <f t="shared" si="74"/>
        <v>date</v>
      </c>
      <c r="H80" s="11">
        <f t="shared" si="74"/>
        <v>0</v>
      </c>
      <c r="I80" s="136">
        <f t="shared" si="74"/>
        <v>0</v>
      </c>
      <c r="J80" s="11">
        <f t="shared" si="74"/>
        <v>44742</v>
      </c>
      <c r="K80" s="11">
        <f t="shared" si="74"/>
        <v>44926</v>
      </c>
      <c r="L80" s="11">
        <f t="shared" si="74"/>
        <v>45107</v>
      </c>
      <c r="M80" s="11">
        <f t="shared" si="74"/>
        <v>45291</v>
      </c>
      <c r="N80" s="11">
        <f t="shared" si="74"/>
        <v>45473</v>
      </c>
      <c r="O80" s="11">
        <f t="shared" si="74"/>
        <v>45657</v>
      </c>
      <c r="P80" s="11">
        <f t="shared" si="74"/>
        <v>45838</v>
      </c>
      <c r="Q80" s="11">
        <f t="shared" si="74"/>
        <v>46022</v>
      </c>
      <c r="R80" s="11">
        <f t="shared" si="74"/>
        <v>46203</v>
      </c>
      <c r="S80" s="11">
        <f t="shared" si="74"/>
        <v>46387</v>
      </c>
      <c r="T80" s="11">
        <f t="shared" si="74"/>
        <v>46568</v>
      </c>
      <c r="U80" s="11">
        <f t="shared" si="74"/>
        <v>46752</v>
      </c>
      <c r="V80" s="11">
        <f t="shared" si="74"/>
        <v>46934</v>
      </c>
      <c r="W80" s="11">
        <f t="shared" si="74"/>
        <v>47118</v>
      </c>
      <c r="X80" s="11">
        <f t="shared" si="74"/>
        <v>47299</v>
      </c>
      <c r="Y80" s="11">
        <f t="shared" si="74"/>
        <v>47483</v>
      </c>
      <c r="Z80" s="11">
        <f t="shared" si="74"/>
        <v>47664</v>
      </c>
      <c r="AA80" s="11">
        <f t="shared" si="74"/>
        <v>47848</v>
      </c>
      <c r="AB80" s="11">
        <f t="shared" si="74"/>
        <v>48029</v>
      </c>
      <c r="AC80" s="11">
        <f t="shared" si="74"/>
        <v>48213</v>
      </c>
      <c r="AD80" s="11">
        <f t="shared" si="74"/>
        <v>48395</v>
      </c>
      <c r="AE80" s="11">
        <f t="shared" si="74"/>
        <v>48579</v>
      </c>
      <c r="AF80" s="11">
        <f t="shared" si="74"/>
        <v>48760</v>
      </c>
      <c r="AG80" s="11">
        <f t="shared" si="74"/>
        <v>48944</v>
      </c>
      <c r="AH80" s="11">
        <f t="shared" si="74"/>
        <v>49125</v>
      </c>
      <c r="AI80" s="11">
        <f t="shared" si="74"/>
        <v>49309</v>
      </c>
      <c r="AJ80" s="11">
        <f t="shared" si="74"/>
        <v>49490</v>
      </c>
      <c r="AK80" s="11">
        <f t="shared" si="74"/>
        <v>49674</v>
      </c>
      <c r="AL80" s="11">
        <f t="shared" si="74"/>
        <v>49856</v>
      </c>
      <c r="AM80" s="11">
        <f t="shared" si="74"/>
        <v>50040</v>
      </c>
      <c r="AN80" s="11">
        <f t="shared" si="74"/>
        <v>50221</v>
      </c>
      <c r="AO80" s="11">
        <f t="shared" si="74"/>
        <v>50405</v>
      </c>
      <c r="AP80" s="11">
        <f t="shared" si="74"/>
        <v>50586</v>
      </c>
      <c r="AQ80" s="11">
        <f t="shared" si="74"/>
        <v>50770</v>
      </c>
      <c r="AR80" s="11">
        <f t="shared" si="74"/>
        <v>50951</v>
      </c>
      <c r="AS80" s="11">
        <f t="shared" si="74"/>
        <v>51135</v>
      </c>
      <c r="AT80" s="11">
        <f t="shared" si="74"/>
        <v>51317</v>
      </c>
      <c r="AU80" s="11">
        <f t="shared" si="74"/>
        <v>51501</v>
      </c>
      <c r="AV80" s="11">
        <f t="shared" si="74"/>
        <v>51682</v>
      </c>
      <c r="AW80" s="11">
        <f t="shared" si="74"/>
        <v>51866</v>
      </c>
      <c r="AX80" s="11">
        <f t="shared" si="74"/>
        <v>52047</v>
      </c>
      <c r="AY80" s="11">
        <f t="shared" si="74"/>
        <v>52231</v>
      </c>
      <c r="AZ80" s="11">
        <f t="shared" si="74"/>
        <v>52412</v>
      </c>
      <c r="BA80" s="11">
        <f t="shared" si="74"/>
        <v>52596</v>
      </c>
      <c r="BB80" s="11">
        <f t="shared" si="74"/>
        <v>52778</v>
      </c>
      <c r="BC80" s="11">
        <f t="shared" si="74"/>
        <v>52962</v>
      </c>
      <c r="BD80" s="11">
        <f t="shared" si="74"/>
        <v>53143</v>
      </c>
      <c r="BE80" s="11">
        <f t="shared" si="74"/>
        <v>53327</v>
      </c>
      <c r="BF80" s="11">
        <f t="shared" si="74"/>
        <v>53508</v>
      </c>
      <c r="BG80" s="11">
        <f t="shared" si="74"/>
        <v>53692</v>
      </c>
      <c r="BH80" s="11">
        <f t="shared" si="74"/>
        <v>53873</v>
      </c>
      <c r="BI80" s="11">
        <f t="shared" si="74"/>
        <v>54057</v>
      </c>
      <c r="BJ80" s="11">
        <f t="shared" si="74"/>
        <v>54239</v>
      </c>
      <c r="BK80" s="11">
        <f t="shared" si="74"/>
        <v>54423</v>
      </c>
      <c r="BL80" s="11">
        <f t="shared" si="74"/>
        <v>54604</v>
      </c>
      <c r="BM80" s="11">
        <f t="shared" si="74"/>
        <v>54788</v>
      </c>
      <c r="BN80" s="11">
        <f t="shared" si="74"/>
        <v>54969</v>
      </c>
      <c r="BO80" s="11">
        <f t="shared" si="74"/>
        <v>55153</v>
      </c>
      <c r="BP80" s="11">
        <f t="shared" si="74"/>
        <v>55334</v>
      </c>
      <c r="BQ80" s="11">
        <f t="shared" ref="BQ80:CV80" si="75" xml:space="preserve"> BQ$25</f>
        <v>55518</v>
      </c>
      <c r="BR80" s="11">
        <f t="shared" si="75"/>
        <v>55700</v>
      </c>
      <c r="BS80" s="11">
        <f t="shared" si="75"/>
        <v>55884</v>
      </c>
      <c r="BT80" s="11">
        <f t="shared" si="75"/>
        <v>56065</v>
      </c>
      <c r="BU80" s="11">
        <f t="shared" si="75"/>
        <v>56249</v>
      </c>
      <c r="BV80" s="11">
        <f t="shared" si="75"/>
        <v>56430</v>
      </c>
      <c r="BW80" s="11">
        <f t="shared" si="75"/>
        <v>56614</v>
      </c>
      <c r="BX80" s="11">
        <f t="shared" si="75"/>
        <v>56795</v>
      </c>
      <c r="BY80" s="11">
        <f t="shared" si="75"/>
        <v>56979</v>
      </c>
      <c r="BZ80" s="11">
        <f t="shared" si="75"/>
        <v>57161</v>
      </c>
      <c r="CA80" s="11">
        <f t="shared" si="75"/>
        <v>57345</v>
      </c>
      <c r="CB80" s="11">
        <f t="shared" si="75"/>
        <v>57526</v>
      </c>
      <c r="CC80" s="11">
        <f t="shared" si="75"/>
        <v>57710</v>
      </c>
      <c r="CD80" s="11">
        <f t="shared" si="75"/>
        <v>57891</v>
      </c>
      <c r="CE80" s="11">
        <f t="shared" si="75"/>
        <v>58075</v>
      </c>
      <c r="CF80" s="11">
        <f t="shared" si="75"/>
        <v>58256</v>
      </c>
      <c r="CG80" s="11">
        <f t="shared" si="75"/>
        <v>58440</v>
      </c>
      <c r="CH80" s="11">
        <f t="shared" si="75"/>
        <v>58622</v>
      </c>
      <c r="CI80" s="11">
        <f t="shared" si="75"/>
        <v>58806</v>
      </c>
      <c r="CJ80" s="11">
        <f t="shared" si="75"/>
        <v>58987</v>
      </c>
      <c r="CK80" s="11">
        <f t="shared" si="75"/>
        <v>59171</v>
      </c>
      <c r="CL80" s="11">
        <f t="shared" si="75"/>
        <v>59352</v>
      </c>
      <c r="CM80" s="11">
        <f t="shared" si="75"/>
        <v>59536</v>
      </c>
      <c r="CN80" s="11">
        <f t="shared" si="75"/>
        <v>59717</v>
      </c>
      <c r="CO80" s="11">
        <f t="shared" si="75"/>
        <v>59901</v>
      </c>
      <c r="CP80" s="11">
        <f t="shared" si="75"/>
        <v>60083</v>
      </c>
      <c r="CQ80" s="11">
        <f t="shared" si="75"/>
        <v>60267</v>
      </c>
      <c r="CR80" s="11">
        <f t="shared" si="75"/>
        <v>60448</v>
      </c>
      <c r="CS80" s="11">
        <f t="shared" si="75"/>
        <v>60632</v>
      </c>
      <c r="CT80" s="11">
        <f t="shared" si="75"/>
        <v>60813</v>
      </c>
      <c r="CU80" s="11">
        <f t="shared" si="75"/>
        <v>60997</v>
      </c>
      <c r="CV80" s="11">
        <f t="shared" si="75"/>
        <v>61178</v>
      </c>
    </row>
    <row r="81" spans="1:100" s="188" customFormat="1" outlineLevel="2" x14ac:dyDescent="0.2">
      <c r="A81" s="227"/>
      <c r="B81" s="227"/>
      <c r="C81" s="228"/>
      <c r="D81" s="229"/>
      <c r="E81" s="188" t="s">
        <v>229</v>
      </c>
      <c r="G81" s="188" t="s">
        <v>5</v>
      </c>
      <c r="H81" s="188">
        <f xml:space="preserve"> SUM(J81:CV81)</f>
        <v>1</v>
      </c>
      <c r="I81" s="230"/>
      <c r="J81" s="188">
        <f xml:space="preserve"> IF(AND(I80 &lt; $F79, J80 &gt;= $F79), 1, 0)</f>
        <v>0</v>
      </c>
      <c r="K81" s="188">
        <f t="shared" ref="K81" si="76" xml:space="preserve"> IF(AND(J80 &lt; $F79, K80 &gt;= $F79), 1, 0)</f>
        <v>0</v>
      </c>
      <c r="L81" s="188">
        <f t="shared" ref="L81" si="77" xml:space="preserve"> IF(AND(K80 &lt; $F79, L80 &gt;= $F79), 1, 0)</f>
        <v>0</v>
      </c>
      <c r="M81" s="188">
        <f t="shared" ref="M81" si="78" xml:space="preserve"> IF(AND(L80 &lt; $F79, M80 &gt;= $F79), 1, 0)</f>
        <v>0</v>
      </c>
      <c r="N81" s="188">
        <f t="shared" ref="N81" si="79" xml:space="preserve"> IF(AND(M80 &lt; $F79, N80 &gt;= $F79), 1, 0)</f>
        <v>1</v>
      </c>
      <c r="O81" s="188">
        <f t="shared" ref="O81" si="80" xml:space="preserve"> IF(AND(N80 &lt; $F79, O80 &gt;= $F79), 1, 0)</f>
        <v>0</v>
      </c>
      <c r="P81" s="188">
        <f t="shared" ref="P81" si="81" xml:space="preserve"> IF(AND(O80 &lt; $F79, P80 &gt;= $F79), 1, 0)</f>
        <v>0</v>
      </c>
      <c r="Q81" s="188">
        <f t="shared" ref="Q81" si="82" xml:space="preserve"> IF(AND(P80 &lt; $F79, Q80 &gt;= $F79), 1, 0)</f>
        <v>0</v>
      </c>
      <c r="R81" s="188">
        <f t="shared" ref="R81" si="83" xml:space="preserve"> IF(AND(Q80 &lt; $F79, R80 &gt;= $F79), 1, 0)</f>
        <v>0</v>
      </c>
      <c r="S81" s="188">
        <f t="shared" ref="S81" si="84" xml:space="preserve"> IF(AND(R80 &lt; $F79, S80 &gt;= $F79), 1, 0)</f>
        <v>0</v>
      </c>
      <c r="T81" s="188">
        <f t="shared" ref="T81" si="85" xml:space="preserve"> IF(AND(S80 &lt; $F79, T80 &gt;= $F79), 1, 0)</f>
        <v>0</v>
      </c>
      <c r="U81" s="188">
        <f t="shared" ref="U81" si="86" xml:space="preserve"> IF(AND(T80 &lt; $F79, U80 &gt;= $F79), 1, 0)</f>
        <v>0</v>
      </c>
      <c r="V81" s="188">
        <f t="shared" ref="V81" si="87" xml:space="preserve"> IF(AND(U80 &lt; $F79, V80 &gt;= $F79), 1, 0)</f>
        <v>0</v>
      </c>
      <c r="W81" s="188">
        <f t="shared" ref="W81" si="88" xml:space="preserve"> IF(AND(V80 &lt; $F79, W80 &gt;= $F79), 1, 0)</f>
        <v>0</v>
      </c>
      <c r="X81" s="188">
        <f t="shared" ref="X81" si="89" xml:space="preserve"> IF(AND(W80 &lt; $F79, X80 &gt;= $F79), 1, 0)</f>
        <v>0</v>
      </c>
      <c r="Y81" s="188">
        <f t="shared" ref="Y81" si="90" xml:space="preserve"> IF(AND(X80 &lt; $F79, Y80 &gt;= $F79), 1, 0)</f>
        <v>0</v>
      </c>
      <c r="Z81" s="188">
        <f t="shared" ref="Z81" si="91" xml:space="preserve"> IF(AND(Y80 &lt; $F79, Z80 &gt;= $F79), 1, 0)</f>
        <v>0</v>
      </c>
      <c r="AA81" s="188">
        <f t="shared" ref="AA81" si="92" xml:space="preserve"> IF(AND(Z80 &lt; $F79, AA80 &gt;= $F79), 1, 0)</f>
        <v>0</v>
      </c>
      <c r="AB81" s="188">
        <f t="shared" ref="AB81" si="93" xml:space="preserve"> IF(AND(AA80 &lt; $F79, AB80 &gt;= $F79), 1, 0)</f>
        <v>0</v>
      </c>
      <c r="AC81" s="188">
        <f t="shared" ref="AC81" si="94" xml:space="preserve"> IF(AND(AB80 &lt; $F79, AC80 &gt;= $F79), 1, 0)</f>
        <v>0</v>
      </c>
      <c r="AD81" s="188">
        <f t="shared" ref="AD81" si="95" xml:space="preserve"> IF(AND(AC80 &lt; $F79, AD80 &gt;= $F79), 1, 0)</f>
        <v>0</v>
      </c>
      <c r="AE81" s="188">
        <f t="shared" ref="AE81" si="96" xml:space="preserve"> IF(AND(AD80 &lt; $F79, AE80 &gt;= $F79), 1, 0)</f>
        <v>0</v>
      </c>
      <c r="AF81" s="188">
        <f t="shared" ref="AF81" si="97" xml:space="preserve"> IF(AND(AE80 &lt; $F79, AF80 &gt;= $F79), 1, 0)</f>
        <v>0</v>
      </c>
      <c r="AG81" s="188">
        <f t="shared" ref="AG81" si="98" xml:space="preserve"> IF(AND(AF80 &lt; $F79, AG80 &gt;= $F79), 1, 0)</f>
        <v>0</v>
      </c>
      <c r="AH81" s="188">
        <f t="shared" ref="AH81" si="99" xml:space="preserve"> IF(AND(AG80 &lt; $F79, AH80 &gt;= $F79), 1, 0)</f>
        <v>0</v>
      </c>
      <c r="AI81" s="188">
        <f t="shared" ref="AI81" si="100" xml:space="preserve"> IF(AND(AH80 &lt; $F79, AI80 &gt;= $F79), 1, 0)</f>
        <v>0</v>
      </c>
      <c r="AJ81" s="188">
        <f t="shared" ref="AJ81" si="101" xml:space="preserve"> IF(AND(AI80 &lt; $F79, AJ80 &gt;= $F79), 1, 0)</f>
        <v>0</v>
      </c>
      <c r="AK81" s="188">
        <f t="shared" ref="AK81" si="102" xml:space="preserve"> IF(AND(AJ80 &lt; $F79, AK80 &gt;= $F79), 1, 0)</f>
        <v>0</v>
      </c>
      <c r="AL81" s="188">
        <f t="shared" ref="AL81" si="103" xml:space="preserve"> IF(AND(AK80 &lt; $F79, AL80 &gt;= $F79), 1, 0)</f>
        <v>0</v>
      </c>
      <c r="AM81" s="188">
        <f t="shared" ref="AM81" si="104" xml:space="preserve"> IF(AND(AL80 &lt; $F79, AM80 &gt;= $F79), 1, 0)</f>
        <v>0</v>
      </c>
      <c r="AN81" s="188">
        <f t="shared" ref="AN81" si="105" xml:space="preserve"> IF(AND(AM80 &lt; $F79, AN80 &gt;= $F79), 1, 0)</f>
        <v>0</v>
      </c>
      <c r="AO81" s="188">
        <f t="shared" ref="AO81" si="106" xml:space="preserve"> IF(AND(AN80 &lt; $F79, AO80 &gt;= $F79), 1, 0)</f>
        <v>0</v>
      </c>
      <c r="AP81" s="188">
        <f t="shared" ref="AP81" si="107" xml:space="preserve"> IF(AND(AO80 &lt; $F79, AP80 &gt;= $F79), 1, 0)</f>
        <v>0</v>
      </c>
      <c r="AQ81" s="188">
        <f t="shared" ref="AQ81" si="108" xml:space="preserve"> IF(AND(AP80 &lt; $F79, AQ80 &gt;= $F79), 1, 0)</f>
        <v>0</v>
      </c>
      <c r="AR81" s="188">
        <f t="shared" ref="AR81" si="109" xml:space="preserve"> IF(AND(AQ80 &lt; $F79, AR80 &gt;= $F79), 1, 0)</f>
        <v>0</v>
      </c>
      <c r="AS81" s="188">
        <f t="shared" ref="AS81" si="110" xml:space="preserve"> IF(AND(AR80 &lt; $F79, AS80 &gt;= $F79), 1, 0)</f>
        <v>0</v>
      </c>
      <c r="AT81" s="188">
        <f t="shared" ref="AT81" si="111" xml:space="preserve"> IF(AND(AS80 &lt; $F79, AT80 &gt;= $F79), 1, 0)</f>
        <v>0</v>
      </c>
      <c r="AU81" s="188">
        <f t="shared" ref="AU81" si="112" xml:space="preserve"> IF(AND(AT80 &lt; $F79, AU80 &gt;= $F79), 1, 0)</f>
        <v>0</v>
      </c>
      <c r="AV81" s="188">
        <f t="shared" ref="AV81" si="113" xml:space="preserve"> IF(AND(AU80 &lt; $F79, AV80 &gt;= $F79), 1, 0)</f>
        <v>0</v>
      </c>
      <c r="AW81" s="188">
        <f t="shared" ref="AW81" si="114" xml:space="preserve"> IF(AND(AV80 &lt; $F79, AW80 &gt;= $F79), 1, 0)</f>
        <v>0</v>
      </c>
      <c r="AX81" s="188">
        <f t="shared" ref="AX81" si="115" xml:space="preserve"> IF(AND(AW80 &lt; $F79, AX80 &gt;= $F79), 1, 0)</f>
        <v>0</v>
      </c>
      <c r="AY81" s="188">
        <f t="shared" ref="AY81" si="116" xml:space="preserve"> IF(AND(AX80 &lt; $F79, AY80 &gt;= $F79), 1, 0)</f>
        <v>0</v>
      </c>
      <c r="AZ81" s="188">
        <f t="shared" ref="AZ81" si="117" xml:space="preserve"> IF(AND(AY80 &lt; $F79, AZ80 &gt;= $F79), 1, 0)</f>
        <v>0</v>
      </c>
      <c r="BA81" s="188">
        <f t="shared" ref="BA81" si="118" xml:space="preserve"> IF(AND(AZ80 &lt; $F79, BA80 &gt;= $F79), 1, 0)</f>
        <v>0</v>
      </c>
      <c r="BB81" s="188">
        <f t="shared" ref="BB81" si="119" xml:space="preserve"> IF(AND(BA80 &lt; $F79, BB80 &gt;= $F79), 1, 0)</f>
        <v>0</v>
      </c>
      <c r="BC81" s="188">
        <f t="shared" ref="BC81" si="120" xml:space="preserve"> IF(AND(BB80 &lt; $F79, BC80 &gt;= $F79), 1, 0)</f>
        <v>0</v>
      </c>
      <c r="BD81" s="188">
        <f t="shared" ref="BD81" si="121" xml:space="preserve"> IF(AND(BC80 &lt; $F79, BD80 &gt;= $F79), 1, 0)</f>
        <v>0</v>
      </c>
      <c r="BE81" s="188">
        <f t="shared" ref="BE81" si="122" xml:space="preserve"> IF(AND(BD80 &lt; $F79, BE80 &gt;= $F79), 1, 0)</f>
        <v>0</v>
      </c>
      <c r="BF81" s="188">
        <f t="shared" ref="BF81" si="123" xml:space="preserve"> IF(AND(BE80 &lt; $F79, BF80 &gt;= $F79), 1, 0)</f>
        <v>0</v>
      </c>
      <c r="BG81" s="188">
        <f t="shared" ref="BG81" si="124" xml:space="preserve"> IF(AND(BF80 &lt; $F79, BG80 &gt;= $F79), 1, 0)</f>
        <v>0</v>
      </c>
      <c r="BH81" s="188">
        <f t="shared" ref="BH81" si="125" xml:space="preserve"> IF(AND(BG80 &lt; $F79, BH80 &gt;= $F79), 1, 0)</f>
        <v>0</v>
      </c>
      <c r="BI81" s="188">
        <f t="shared" ref="BI81" si="126" xml:space="preserve"> IF(AND(BH80 &lt; $F79, BI80 &gt;= $F79), 1, 0)</f>
        <v>0</v>
      </c>
      <c r="BJ81" s="188">
        <f t="shared" ref="BJ81" si="127" xml:space="preserve"> IF(AND(BI80 &lt; $F79, BJ80 &gt;= $F79), 1, 0)</f>
        <v>0</v>
      </c>
      <c r="BK81" s="188">
        <f t="shared" ref="BK81" si="128" xml:space="preserve"> IF(AND(BJ80 &lt; $F79, BK80 &gt;= $F79), 1, 0)</f>
        <v>0</v>
      </c>
      <c r="BL81" s="188">
        <f t="shared" ref="BL81" si="129" xml:space="preserve"> IF(AND(BK80 &lt; $F79, BL80 &gt;= $F79), 1, 0)</f>
        <v>0</v>
      </c>
      <c r="BM81" s="188">
        <f t="shared" ref="BM81" si="130" xml:space="preserve"> IF(AND(BL80 &lt; $F79, BM80 &gt;= $F79), 1, 0)</f>
        <v>0</v>
      </c>
      <c r="BN81" s="188">
        <f t="shared" ref="BN81" si="131" xml:space="preserve"> IF(AND(BM80 &lt; $F79, BN80 &gt;= $F79), 1, 0)</f>
        <v>0</v>
      </c>
      <c r="BO81" s="188">
        <f t="shared" ref="BO81" si="132" xml:space="preserve"> IF(AND(BN80 &lt; $F79, BO80 &gt;= $F79), 1, 0)</f>
        <v>0</v>
      </c>
      <c r="BP81" s="188">
        <f t="shared" ref="BP81" si="133" xml:space="preserve"> IF(AND(BO80 &lt; $F79, BP80 &gt;= $F79), 1, 0)</f>
        <v>0</v>
      </c>
      <c r="BQ81" s="188">
        <f t="shared" ref="BQ81" si="134" xml:space="preserve"> IF(AND(BP80 &lt; $F79, BQ80 &gt;= $F79), 1, 0)</f>
        <v>0</v>
      </c>
      <c r="BR81" s="188">
        <f t="shared" ref="BR81" si="135" xml:space="preserve"> IF(AND(BQ80 &lt; $F79, BR80 &gt;= $F79), 1, 0)</f>
        <v>0</v>
      </c>
      <c r="BS81" s="188">
        <f t="shared" ref="BS81" si="136" xml:space="preserve"> IF(AND(BR80 &lt; $F79, BS80 &gt;= $F79), 1, 0)</f>
        <v>0</v>
      </c>
      <c r="BT81" s="188">
        <f t="shared" ref="BT81" si="137" xml:space="preserve"> IF(AND(BS80 &lt; $F79, BT80 &gt;= $F79), 1, 0)</f>
        <v>0</v>
      </c>
      <c r="BU81" s="188">
        <f t="shared" ref="BU81" si="138" xml:space="preserve"> IF(AND(BT80 &lt; $F79, BU80 &gt;= $F79), 1, 0)</f>
        <v>0</v>
      </c>
      <c r="BV81" s="188">
        <f t="shared" ref="BV81" si="139" xml:space="preserve"> IF(AND(BU80 &lt; $F79, BV80 &gt;= $F79), 1, 0)</f>
        <v>0</v>
      </c>
      <c r="BW81" s="188">
        <f t="shared" ref="BW81" si="140" xml:space="preserve"> IF(AND(BV80 &lt; $F79, BW80 &gt;= $F79), 1, 0)</f>
        <v>0</v>
      </c>
      <c r="BX81" s="188">
        <f t="shared" ref="BX81" si="141" xml:space="preserve"> IF(AND(BW80 &lt; $F79, BX80 &gt;= $F79), 1, 0)</f>
        <v>0</v>
      </c>
      <c r="BY81" s="188">
        <f t="shared" ref="BY81" si="142" xml:space="preserve"> IF(AND(BX80 &lt; $F79, BY80 &gt;= $F79), 1, 0)</f>
        <v>0</v>
      </c>
      <c r="BZ81" s="188">
        <f t="shared" ref="BZ81" si="143" xml:space="preserve"> IF(AND(BY80 &lt; $F79, BZ80 &gt;= $F79), 1, 0)</f>
        <v>0</v>
      </c>
      <c r="CA81" s="188">
        <f t="shared" ref="CA81" si="144" xml:space="preserve"> IF(AND(BZ80 &lt; $F79, CA80 &gt;= $F79), 1, 0)</f>
        <v>0</v>
      </c>
      <c r="CB81" s="188">
        <f t="shared" ref="CB81" si="145" xml:space="preserve"> IF(AND(CA80 &lt; $F79, CB80 &gt;= $F79), 1, 0)</f>
        <v>0</v>
      </c>
      <c r="CC81" s="188">
        <f t="shared" ref="CC81" si="146" xml:space="preserve"> IF(AND(CB80 &lt; $F79, CC80 &gt;= $F79), 1, 0)</f>
        <v>0</v>
      </c>
      <c r="CD81" s="188">
        <f t="shared" ref="CD81" si="147" xml:space="preserve"> IF(AND(CC80 &lt; $F79, CD80 &gt;= $F79), 1, 0)</f>
        <v>0</v>
      </c>
      <c r="CE81" s="188">
        <f t="shared" ref="CE81" si="148" xml:space="preserve"> IF(AND(CD80 &lt; $F79, CE80 &gt;= $F79), 1, 0)</f>
        <v>0</v>
      </c>
      <c r="CF81" s="188">
        <f t="shared" ref="CF81" si="149" xml:space="preserve"> IF(AND(CE80 &lt; $F79, CF80 &gt;= $F79), 1, 0)</f>
        <v>0</v>
      </c>
      <c r="CG81" s="188">
        <f t="shared" ref="CG81" si="150" xml:space="preserve"> IF(AND(CF80 &lt; $F79, CG80 &gt;= $F79), 1, 0)</f>
        <v>0</v>
      </c>
      <c r="CH81" s="188">
        <f t="shared" ref="CH81" si="151" xml:space="preserve"> IF(AND(CG80 &lt; $F79, CH80 &gt;= $F79), 1, 0)</f>
        <v>0</v>
      </c>
      <c r="CI81" s="188">
        <f t="shared" ref="CI81" si="152" xml:space="preserve"> IF(AND(CH80 &lt; $F79, CI80 &gt;= $F79), 1, 0)</f>
        <v>0</v>
      </c>
      <c r="CJ81" s="188">
        <f t="shared" ref="CJ81" si="153" xml:space="preserve"> IF(AND(CI80 &lt; $F79, CJ80 &gt;= $F79), 1, 0)</f>
        <v>0</v>
      </c>
      <c r="CK81" s="188">
        <f t="shared" ref="CK81" si="154" xml:space="preserve"> IF(AND(CJ80 &lt; $F79, CK80 &gt;= $F79), 1, 0)</f>
        <v>0</v>
      </c>
      <c r="CL81" s="188">
        <f t="shared" ref="CL81" si="155" xml:space="preserve"> IF(AND(CK80 &lt; $F79, CL80 &gt;= $F79), 1, 0)</f>
        <v>0</v>
      </c>
      <c r="CM81" s="188">
        <f t="shared" ref="CM81" si="156" xml:space="preserve"> IF(AND(CL80 &lt; $F79, CM80 &gt;= $F79), 1, 0)</f>
        <v>0</v>
      </c>
      <c r="CN81" s="188">
        <f t="shared" ref="CN81" si="157" xml:space="preserve"> IF(AND(CM80 &lt; $F79, CN80 &gt;= $F79), 1, 0)</f>
        <v>0</v>
      </c>
      <c r="CO81" s="188">
        <f t="shared" ref="CO81" si="158" xml:space="preserve"> IF(AND(CN80 &lt; $F79, CO80 &gt;= $F79), 1, 0)</f>
        <v>0</v>
      </c>
      <c r="CP81" s="188">
        <f t="shared" ref="CP81" si="159" xml:space="preserve"> IF(AND(CO80 &lt; $F79, CP80 &gt;= $F79), 1, 0)</f>
        <v>0</v>
      </c>
      <c r="CQ81" s="188">
        <f t="shared" ref="CQ81" si="160" xml:space="preserve"> IF(AND(CP80 &lt; $F79, CQ80 &gt;= $F79), 1, 0)</f>
        <v>0</v>
      </c>
      <c r="CR81" s="188">
        <f t="shared" ref="CR81" si="161" xml:space="preserve"> IF(AND(CQ80 &lt; $F79, CR80 &gt;= $F79), 1, 0)</f>
        <v>0</v>
      </c>
      <c r="CS81" s="188">
        <f t="shared" ref="CS81" si="162" xml:space="preserve"> IF(AND(CR80 &lt; $F79, CS80 &gt;= $F79), 1, 0)</f>
        <v>0</v>
      </c>
      <c r="CT81" s="188">
        <f t="shared" ref="CT81" si="163" xml:space="preserve"> IF(AND(CS80 &lt; $F79, CT80 &gt;= $F79), 1, 0)</f>
        <v>0</v>
      </c>
      <c r="CU81" s="188">
        <f t="shared" ref="CU81" si="164" xml:space="preserve"> IF(AND(CT80 &lt; $F79, CU80 &gt;= $F79), 1, 0)</f>
        <v>0</v>
      </c>
      <c r="CV81" s="188">
        <f t="shared" ref="CV81" si="165" xml:space="preserve"> IF(AND(CU80 &lt; $F79, CV80 &gt;= $F79), 1, 0)</f>
        <v>0</v>
      </c>
    </row>
    <row r="82" spans="1:100" outlineLevel="1" x14ac:dyDescent="0.2">
      <c r="E82" s="6"/>
      <c r="F82" s="6"/>
      <c r="G82" s="6"/>
      <c r="H82" s="6"/>
      <c r="I82" s="71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</row>
    <row r="83" spans="1:100" outlineLevel="1" x14ac:dyDescent="0.2">
      <c r="B83" s="15" t="s">
        <v>228</v>
      </c>
      <c r="E83" s="6"/>
      <c r="F83" s="6"/>
      <c r="G83" s="6"/>
      <c r="H83" s="6"/>
      <c r="I83" s="71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</row>
    <row r="84" spans="1:100" outlineLevel="2" x14ac:dyDescent="0.2">
      <c r="E84" s="12" t="str">
        <f t="shared" ref="E84:AJ84" si="166" xml:space="preserve"> E$76</f>
        <v>First construction period flag</v>
      </c>
      <c r="F84" s="12">
        <f t="shared" si="166"/>
        <v>0</v>
      </c>
      <c r="G84" s="12" t="str">
        <f t="shared" si="166"/>
        <v>flag</v>
      </c>
      <c r="H84" s="12">
        <f t="shared" si="166"/>
        <v>1</v>
      </c>
      <c r="I84" s="12">
        <f t="shared" si="166"/>
        <v>0</v>
      </c>
      <c r="J84" s="12">
        <f t="shared" si="166"/>
        <v>0</v>
      </c>
      <c r="K84" s="12">
        <f t="shared" si="166"/>
        <v>1</v>
      </c>
      <c r="L84" s="12">
        <f t="shared" si="166"/>
        <v>0</v>
      </c>
      <c r="M84" s="12">
        <f t="shared" si="166"/>
        <v>0</v>
      </c>
      <c r="N84" s="12">
        <f t="shared" si="166"/>
        <v>0</v>
      </c>
      <c r="O84" s="12">
        <f t="shared" si="166"/>
        <v>0</v>
      </c>
      <c r="P84" s="12">
        <f t="shared" si="166"/>
        <v>0</v>
      </c>
      <c r="Q84" s="12">
        <f t="shared" si="166"/>
        <v>0</v>
      </c>
      <c r="R84" s="12">
        <f t="shared" si="166"/>
        <v>0</v>
      </c>
      <c r="S84" s="12">
        <f t="shared" si="166"/>
        <v>0</v>
      </c>
      <c r="T84" s="12">
        <f t="shared" si="166"/>
        <v>0</v>
      </c>
      <c r="U84" s="12">
        <f t="shared" si="166"/>
        <v>0</v>
      </c>
      <c r="V84" s="12">
        <f t="shared" si="166"/>
        <v>0</v>
      </c>
      <c r="W84" s="12">
        <f t="shared" si="166"/>
        <v>0</v>
      </c>
      <c r="X84" s="12">
        <f t="shared" si="166"/>
        <v>0</v>
      </c>
      <c r="Y84" s="12">
        <f t="shared" si="166"/>
        <v>0</v>
      </c>
      <c r="Z84" s="12">
        <f t="shared" si="166"/>
        <v>0</v>
      </c>
      <c r="AA84" s="12">
        <f t="shared" si="166"/>
        <v>0</v>
      </c>
      <c r="AB84" s="12">
        <f t="shared" si="166"/>
        <v>0</v>
      </c>
      <c r="AC84" s="12">
        <f t="shared" si="166"/>
        <v>0</v>
      </c>
      <c r="AD84" s="12">
        <f t="shared" si="166"/>
        <v>0</v>
      </c>
      <c r="AE84" s="12">
        <f t="shared" si="166"/>
        <v>0</v>
      </c>
      <c r="AF84" s="12">
        <f t="shared" si="166"/>
        <v>0</v>
      </c>
      <c r="AG84" s="12">
        <f t="shared" si="166"/>
        <v>0</v>
      </c>
      <c r="AH84" s="12">
        <f t="shared" si="166"/>
        <v>0</v>
      </c>
      <c r="AI84" s="12">
        <f t="shared" si="166"/>
        <v>0</v>
      </c>
      <c r="AJ84" s="12">
        <f t="shared" si="166"/>
        <v>0</v>
      </c>
      <c r="AK84" s="12">
        <f t="shared" ref="AK84:BP84" si="167" xml:space="preserve"> AK$76</f>
        <v>0</v>
      </c>
      <c r="AL84" s="12">
        <f t="shared" si="167"/>
        <v>0</v>
      </c>
      <c r="AM84" s="12">
        <f t="shared" si="167"/>
        <v>0</v>
      </c>
      <c r="AN84" s="12">
        <f t="shared" si="167"/>
        <v>0</v>
      </c>
      <c r="AO84" s="12">
        <f t="shared" si="167"/>
        <v>0</v>
      </c>
      <c r="AP84" s="12">
        <f t="shared" si="167"/>
        <v>0</v>
      </c>
      <c r="AQ84" s="12">
        <f t="shared" si="167"/>
        <v>0</v>
      </c>
      <c r="AR84" s="12">
        <f t="shared" si="167"/>
        <v>0</v>
      </c>
      <c r="AS84" s="12">
        <f t="shared" si="167"/>
        <v>0</v>
      </c>
      <c r="AT84" s="12">
        <f t="shared" si="167"/>
        <v>0</v>
      </c>
      <c r="AU84" s="12">
        <f t="shared" si="167"/>
        <v>0</v>
      </c>
      <c r="AV84" s="12">
        <f t="shared" si="167"/>
        <v>0</v>
      </c>
      <c r="AW84" s="12">
        <f t="shared" si="167"/>
        <v>0</v>
      </c>
      <c r="AX84" s="12">
        <f t="shared" si="167"/>
        <v>0</v>
      </c>
      <c r="AY84" s="12">
        <f t="shared" si="167"/>
        <v>0</v>
      </c>
      <c r="AZ84" s="12">
        <f t="shared" si="167"/>
        <v>0</v>
      </c>
      <c r="BA84" s="12">
        <f t="shared" si="167"/>
        <v>0</v>
      </c>
      <c r="BB84" s="12">
        <f t="shared" si="167"/>
        <v>0</v>
      </c>
      <c r="BC84" s="12">
        <f t="shared" si="167"/>
        <v>0</v>
      </c>
      <c r="BD84" s="12">
        <f t="shared" si="167"/>
        <v>0</v>
      </c>
      <c r="BE84" s="12">
        <f t="shared" si="167"/>
        <v>0</v>
      </c>
      <c r="BF84" s="12">
        <f t="shared" si="167"/>
        <v>0</v>
      </c>
      <c r="BG84" s="12">
        <f t="shared" si="167"/>
        <v>0</v>
      </c>
      <c r="BH84" s="12">
        <f t="shared" si="167"/>
        <v>0</v>
      </c>
      <c r="BI84" s="12">
        <f t="shared" si="167"/>
        <v>0</v>
      </c>
      <c r="BJ84" s="12">
        <f t="shared" si="167"/>
        <v>0</v>
      </c>
      <c r="BK84" s="12">
        <f t="shared" si="167"/>
        <v>0</v>
      </c>
      <c r="BL84" s="12">
        <f t="shared" si="167"/>
        <v>0</v>
      </c>
      <c r="BM84" s="12">
        <f t="shared" si="167"/>
        <v>0</v>
      </c>
      <c r="BN84" s="12">
        <f t="shared" si="167"/>
        <v>0</v>
      </c>
      <c r="BO84" s="12">
        <f t="shared" si="167"/>
        <v>0</v>
      </c>
      <c r="BP84" s="12">
        <f t="shared" si="167"/>
        <v>0</v>
      </c>
      <c r="BQ84" s="12">
        <f t="shared" ref="BQ84:CV84" si="168" xml:space="preserve"> BQ$76</f>
        <v>0</v>
      </c>
      <c r="BR84" s="12">
        <f t="shared" si="168"/>
        <v>0</v>
      </c>
      <c r="BS84" s="12">
        <f t="shared" si="168"/>
        <v>0</v>
      </c>
      <c r="BT84" s="12">
        <f t="shared" si="168"/>
        <v>0</v>
      </c>
      <c r="BU84" s="12">
        <f t="shared" si="168"/>
        <v>0</v>
      </c>
      <c r="BV84" s="12">
        <f t="shared" si="168"/>
        <v>0</v>
      </c>
      <c r="BW84" s="12">
        <f t="shared" si="168"/>
        <v>0</v>
      </c>
      <c r="BX84" s="12">
        <f t="shared" si="168"/>
        <v>0</v>
      </c>
      <c r="BY84" s="12">
        <f t="shared" si="168"/>
        <v>0</v>
      </c>
      <c r="BZ84" s="12">
        <f t="shared" si="168"/>
        <v>0</v>
      </c>
      <c r="CA84" s="12">
        <f t="shared" si="168"/>
        <v>0</v>
      </c>
      <c r="CB84" s="12">
        <f t="shared" si="168"/>
        <v>0</v>
      </c>
      <c r="CC84" s="12">
        <f t="shared" si="168"/>
        <v>0</v>
      </c>
      <c r="CD84" s="12">
        <f t="shared" si="168"/>
        <v>0</v>
      </c>
      <c r="CE84" s="12">
        <f t="shared" si="168"/>
        <v>0</v>
      </c>
      <c r="CF84" s="12">
        <f t="shared" si="168"/>
        <v>0</v>
      </c>
      <c r="CG84" s="12">
        <f t="shared" si="168"/>
        <v>0</v>
      </c>
      <c r="CH84" s="12">
        <f t="shared" si="168"/>
        <v>0</v>
      </c>
      <c r="CI84" s="12">
        <f t="shared" si="168"/>
        <v>0</v>
      </c>
      <c r="CJ84" s="12">
        <f t="shared" si="168"/>
        <v>0</v>
      </c>
      <c r="CK84" s="12">
        <f t="shared" si="168"/>
        <v>0</v>
      </c>
      <c r="CL84" s="12">
        <f t="shared" si="168"/>
        <v>0</v>
      </c>
      <c r="CM84" s="12">
        <f t="shared" si="168"/>
        <v>0</v>
      </c>
      <c r="CN84" s="12">
        <f t="shared" si="168"/>
        <v>0</v>
      </c>
      <c r="CO84" s="12">
        <f t="shared" si="168"/>
        <v>0</v>
      </c>
      <c r="CP84" s="12">
        <f t="shared" si="168"/>
        <v>0</v>
      </c>
      <c r="CQ84" s="12">
        <f t="shared" si="168"/>
        <v>0</v>
      </c>
      <c r="CR84" s="12">
        <f t="shared" si="168"/>
        <v>0</v>
      </c>
      <c r="CS84" s="12">
        <f t="shared" si="168"/>
        <v>0</v>
      </c>
      <c r="CT84" s="12">
        <f t="shared" si="168"/>
        <v>0</v>
      </c>
      <c r="CU84" s="12">
        <f t="shared" si="168"/>
        <v>0</v>
      </c>
      <c r="CV84" s="12">
        <f t="shared" si="168"/>
        <v>0</v>
      </c>
    </row>
    <row r="85" spans="1:100" outlineLevel="2" x14ac:dyDescent="0.2">
      <c r="E85" s="198" t="str">
        <f t="shared" ref="E85:AJ85" si="169" xml:space="preserve"> E$81</f>
        <v>End of construction period flag</v>
      </c>
      <c r="F85" s="198">
        <f t="shared" si="169"/>
        <v>0</v>
      </c>
      <c r="G85" s="198" t="str">
        <f t="shared" si="169"/>
        <v>flag</v>
      </c>
      <c r="H85" s="198">
        <f t="shared" si="169"/>
        <v>1</v>
      </c>
      <c r="I85" s="198">
        <f t="shared" si="169"/>
        <v>0</v>
      </c>
      <c r="J85" s="198">
        <f t="shared" si="169"/>
        <v>0</v>
      </c>
      <c r="K85" s="198">
        <f t="shared" si="169"/>
        <v>0</v>
      </c>
      <c r="L85" s="198">
        <f t="shared" si="169"/>
        <v>0</v>
      </c>
      <c r="M85" s="198">
        <f t="shared" si="169"/>
        <v>0</v>
      </c>
      <c r="N85" s="198">
        <f t="shared" si="169"/>
        <v>1</v>
      </c>
      <c r="O85" s="198">
        <f t="shared" si="169"/>
        <v>0</v>
      </c>
      <c r="P85" s="198">
        <f t="shared" si="169"/>
        <v>0</v>
      </c>
      <c r="Q85" s="198">
        <f t="shared" si="169"/>
        <v>0</v>
      </c>
      <c r="R85" s="198">
        <f t="shared" si="169"/>
        <v>0</v>
      </c>
      <c r="S85" s="198">
        <f t="shared" si="169"/>
        <v>0</v>
      </c>
      <c r="T85" s="198">
        <f t="shared" si="169"/>
        <v>0</v>
      </c>
      <c r="U85" s="198">
        <f t="shared" si="169"/>
        <v>0</v>
      </c>
      <c r="V85" s="198">
        <f t="shared" si="169"/>
        <v>0</v>
      </c>
      <c r="W85" s="198">
        <f t="shared" si="169"/>
        <v>0</v>
      </c>
      <c r="X85" s="198">
        <f t="shared" si="169"/>
        <v>0</v>
      </c>
      <c r="Y85" s="198">
        <f t="shared" si="169"/>
        <v>0</v>
      </c>
      <c r="Z85" s="198">
        <f t="shared" si="169"/>
        <v>0</v>
      </c>
      <c r="AA85" s="198">
        <f t="shared" si="169"/>
        <v>0</v>
      </c>
      <c r="AB85" s="198">
        <f t="shared" si="169"/>
        <v>0</v>
      </c>
      <c r="AC85" s="198">
        <f t="shared" si="169"/>
        <v>0</v>
      </c>
      <c r="AD85" s="198">
        <f t="shared" si="169"/>
        <v>0</v>
      </c>
      <c r="AE85" s="198">
        <f t="shared" si="169"/>
        <v>0</v>
      </c>
      <c r="AF85" s="198">
        <f t="shared" si="169"/>
        <v>0</v>
      </c>
      <c r="AG85" s="198">
        <f t="shared" si="169"/>
        <v>0</v>
      </c>
      <c r="AH85" s="198">
        <f t="shared" si="169"/>
        <v>0</v>
      </c>
      <c r="AI85" s="198">
        <f t="shared" si="169"/>
        <v>0</v>
      </c>
      <c r="AJ85" s="198">
        <f t="shared" si="169"/>
        <v>0</v>
      </c>
      <c r="AK85" s="198">
        <f t="shared" ref="AK85:BP85" si="170" xml:space="preserve"> AK$81</f>
        <v>0</v>
      </c>
      <c r="AL85" s="198">
        <f t="shared" si="170"/>
        <v>0</v>
      </c>
      <c r="AM85" s="198">
        <f t="shared" si="170"/>
        <v>0</v>
      </c>
      <c r="AN85" s="198">
        <f t="shared" si="170"/>
        <v>0</v>
      </c>
      <c r="AO85" s="198">
        <f t="shared" si="170"/>
        <v>0</v>
      </c>
      <c r="AP85" s="198">
        <f t="shared" si="170"/>
        <v>0</v>
      </c>
      <c r="AQ85" s="198">
        <f t="shared" si="170"/>
        <v>0</v>
      </c>
      <c r="AR85" s="198">
        <f t="shared" si="170"/>
        <v>0</v>
      </c>
      <c r="AS85" s="198">
        <f t="shared" si="170"/>
        <v>0</v>
      </c>
      <c r="AT85" s="198">
        <f t="shared" si="170"/>
        <v>0</v>
      </c>
      <c r="AU85" s="198">
        <f t="shared" si="170"/>
        <v>0</v>
      </c>
      <c r="AV85" s="198">
        <f t="shared" si="170"/>
        <v>0</v>
      </c>
      <c r="AW85" s="198">
        <f t="shared" si="170"/>
        <v>0</v>
      </c>
      <c r="AX85" s="198">
        <f t="shared" si="170"/>
        <v>0</v>
      </c>
      <c r="AY85" s="198">
        <f t="shared" si="170"/>
        <v>0</v>
      </c>
      <c r="AZ85" s="198">
        <f t="shared" si="170"/>
        <v>0</v>
      </c>
      <c r="BA85" s="198">
        <f t="shared" si="170"/>
        <v>0</v>
      </c>
      <c r="BB85" s="198">
        <f t="shared" si="170"/>
        <v>0</v>
      </c>
      <c r="BC85" s="198">
        <f t="shared" si="170"/>
        <v>0</v>
      </c>
      <c r="BD85" s="198">
        <f t="shared" si="170"/>
        <v>0</v>
      </c>
      <c r="BE85" s="198">
        <f t="shared" si="170"/>
        <v>0</v>
      </c>
      <c r="BF85" s="198">
        <f t="shared" si="170"/>
        <v>0</v>
      </c>
      <c r="BG85" s="198">
        <f t="shared" si="170"/>
        <v>0</v>
      </c>
      <c r="BH85" s="198">
        <f t="shared" si="170"/>
        <v>0</v>
      </c>
      <c r="BI85" s="198">
        <f t="shared" si="170"/>
        <v>0</v>
      </c>
      <c r="BJ85" s="198">
        <f t="shared" si="170"/>
        <v>0</v>
      </c>
      <c r="BK85" s="198">
        <f t="shared" si="170"/>
        <v>0</v>
      </c>
      <c r="BL85" s="198">
        <f t="shared" si="170"/>
        <v>0</v>
      </c>
      <c r="BM85" s="198">
        <f t="shared" si="170"/>
        <v>0</v>
      </c>
      <c r="BN85" s="198">
        <f t="shared" si="170"/>
        <v>0</v>
      </c>
      <c r="BO85" s="198">
        <f t="shared" si="170"/>
        <v>0</v>
      </c>
      <c r="BP85" s="198">
        <f t="shared" si="170"/>
        <v>0</v>
      </c>
      <c r="BQ85" s="198">
        <f t="shared" ref="BQ85:CV85" si="171" xml:space="preserve"> BQ$81</f>
        <v>0</v>
      </c>
      <c r="BR85" s="198">
        <f t="shared" si="171"/>
        <v>0</v>
      </c>
      <c r="BS85" s="198">
        <f t="shared" si="171"/>
        <v>0</v>
      </c>
      <c r="BT85" s="198">
        <f t="shared" si="171"/>
        <v>0</v>
      </c>
      <c r="BU85" s="198">
        <f t="shared" si="171"/>
        <v>0</v>
      </c>
      <c r="BV85" s="198">
        <f t="shared" si="171"/>
        <v>0</v>
      </c>
      <c r="BW85" s="198">
        <f t="shared" si="171"/>
        <v>0</v>
      </c>
      <c r="BX85" s="198">
        <f t="shared" si="171"/>
        <v>0</v>
      </c>
      <c r="BY85" s="198">
        <f t="shared" si="171"/>
        <v>0</v>
      </c>
      <c r="BZ85" s="198">
        <f t="shared" si="171"/>
        <v>0</v>
      </c>
      <c r="CA85" s="198">
        <f t="shared" si="171"/>
        <v>0</v>
      </c>
      <c r="CB85" s="198">
        <f t="shared" si="171"/>
        <v>0</v>
      </c>
      <c r="CC85" s="198">
        <f t="shared" si="171"/>
        <v>0</v>
      </c>
      <c r="CD85" s="198">
        <f t="shared" si="171"/>
        <v>0</v>
      </c>
      <c r="CE85" s="198">
        <f t="shared" si="171"/>
        <v>0</v>
      </c>
      <c r="CF85" s="198">
        <f t="shared" si="171"/>
        <v>0</v>
      </c>
      <c r="CG85" s="198">
        <f t="shared" si="171"/>
        <v>0</v>
      </c>
      <c r="CH85" s="198">
        <f t="shared" si="171"/>
        <v>0</v>
      </c>
      <c r="CI85" s="198">
        <f t="shared" si="171"/>
        <v>0</v>
      </c>
      <c r="CJ85" s="198">
        <f t="shared" si="171"/>
        <v>0</v>
      </c>
      <c r="CK85" s="198">
        <f t="shared" si="171"/>
        <v>0</v>
      </c>
      <c r="CL85" s="198">
        <f t="shared" si="171"/>
        <v>0</v>
      </c>
      <c r="CM85" s="198">
        <f t="shared" si="171"/>
        <v>0</v>
      </c>
      <c r="CN85" s="198">
        <f t="shared" si="171"/>
        <v>0</v>
      </c>
      <c r="CO85" s="198">
        <f t="shared" si="171"/>
        <v>0</v>
      </c>
      <c r="CP85" s="198">
        <f t="shared" si="171"/>
        <v>0</v>
      </c>
      <c r="CQ85" s="198">
        <f t="shared" si="171"/>
        <v>0</v>
      </c>
      <c r="CR85" s="198">
        <f t="shared" si="171"/>
        <v>0</v>
      </c>
      <c r="CS85" s="198">
        <f t="shared" si="171"/>
        <v>0</v>
      </c>
      <c r="CT85" s="198">
        <f t="shared" si="171"/>
        <v>0</v>
      </c>
      <c r="CU85" s="198">
        <f t="shared" si="171"/>
        <v>0</v>
      </c>
      <c r="CV85" s="198">
        <f t="shared" si="171"/>
        <v>0</v>
      </c>
    </row>
    <row r="86" spans="1:100" s="191" customFormat="1" outlineLevel="2" x14ac:dyDescent="0.2">
      <c r="A86" s="236"/>
      <c r="B86" s="236"/>
      <c r="C86" s="237"/>
      <c r="D86" s="238"/>
      <c r="E86" s="234" t="s">
        <v>228</v>
      </c>
      <c r="F86" s="234"/>
      <c r="G86" s="234" t="s">
        <v>5</v>
      </c>
      <c r="H86" s="234">
        <f xml:space="preserve"> SUM(J86:CV86)</f>
        <v>4</v>
      </c>
      <c r="I86" s="235"/>
      <c r="J86" s="234">
        <f t="shared" ref="J86:AO86" si="172" xml:space="preserve"> I86 + J84 - I85</f>
        <v>0</v>
      </c>
      <c r="K86" s="234">
        <f t="shared" si="172"/>
        <v>1</v>
      </c>
      <c r="L86" s="234">
        <f t="shared" si="172"/>
        <v>1</v>
      </c>
      <c r="M86" s="234">
        <f t="shared" si="172"/>
        <v>1</v>
      </c>
      <c r="N86" s="234">
        <f t="shared" si="172"/>
        <v>1</v>
      </c>
      <c r="O86" s="234">
        <f t="shared" si="172"/>
        <v>0</v>
      </c>
      <c r="P86" s="234">
        <f t="shared" si="172"/>
        <v>0</v>
      </c>
      <c r="Q86" s="234">
        <f t="shared" si="172"/>
        <v>0</v>
      </c>
      <c r="R86" s="234">
        <f t="shared" si="172"/>
        <v>0</v>
      </c>
      <c r="S86" s="234">
        <f t="shared" si="172"/>
        <v>0</v>
      </c>
      <c r="T86" s="234">
        <f t="shared" si="172"/>
        <v>0</v>
      </c>
      <c r="U86" s="234">
        <f t="shared" si="172"/>
        <v>0</v>
      </c>
      <c r="V86" s="234">
        <f t="shared" si="172"/>
        <v>0</v>
      </c>
      <c r="W86" s="234">
        <f t="shared" si="172"/>
        <v>0</v>
      </c>
      <c r="X86" s="234">
        <f t="shared" si="172"/>
        <v>0</v>
      </c>
      <c r="Y86" s="234">
        <f t="shared" si="172"/>
        <v>0</v>
      </c>
      <c r="Z86" s="234">
        <f t="shared" si="172"/>
        <v>0</v>
      </c>
      <c r="AA86" s="234">
        <f t="shared" si="172"/>
        <v>0</v>
      </c>
      <c r="AB86" s="234">
        <f t="shared" si="172"/>
        <v>0</v>
      </c>
      <c r="AC86" s="234">
        <f t="shared" si="172"/>
        <v>0</v>
      </c>
      <c r="AD86" s="234">
        <f t="shared" si="172"/>
        <v>0</v>
      </c>
      <c r="AE86" s="234">
        <f t="shared" si="172"/>
        <v>0</v>
      </c>
      <c r="AF86" s="234">
        <f t="shared" si="172"/>
        <v>0</v>
      </c>
      <c r="AG86" s="234">
        <f t="shared" si="172"/>
        <v>0</v>
      </c>
      <c r="AH86" s="234">
        <f t="shared" si="172"/>
        <v>0</v>
      </c>
      <c r="AI86" s="234">
        <f t="shared" si="172"/>
        <v>0</v>
      </c>
      <c r="AJ86" s="234">
        <f t="shared" si="172"/>
        <v>0</v>
      </c>
      <c r="AK86" s="234">
        <f t="shared" si="172"/>
        <v>0</v>
      </c>
      <c r="AL86" s="234">
        <f t="shared" si="172"/>
        <v>0</v>
      </c>
      <c r="AM86" s="234">
        <f t="shared" si="172"/>
        <v>0</v>
      </c>
      <c r="AN86" s="234">
        <f t="shared" si="172"/>
        <v>0</v>
      </c>
      <c r="AO86" s="234">
        <f t="shared" si="172"/>
        <v>0</v>
      </c>
      <c r="AP86" s="234">
        <f t="shared" ref="AP86:BU86" si="173" xml:space="preserve"> AO86 + AP84 - AO85</f>
        <v>0</v>
      </c>
      <c r="AQ86" s="234">
        <f t="shared" si="173"/>
        <v>0</v>
      </c>
      <c r="AR86" s="234">
        <f t="shared" si="173"/>
        <v>0</v>
      </c>
      <c r="AS86" s="234">
        <f t="shared" si="173"/>
        <v>0</v>
      </c>
      <c r="AT86" s="234">
        <f t="shared" si="173"/>
        <v>0</v>
      </c>
      <c r="AU86" s="234">
        <f t="shared" si="173"/>
        <v>0</v>
      </c>
      <c r="AV86" s="234">
        <f t="shared" si="173"/>
        <v>0</v>
      </c>
      <c r="AW86" s="234">
        <f t="shared" si="173"/>
        <v>0</v>
      </c>
      <c r="AX86" s="234">
        <f t="shared" si="173"/>
        <v>0</v>
      </c>
      <c r="AY86" s="234">
        <f t="shared" si="173"/>
        <v>0</v>
      </c>
      <c r="AZ86" s="234">
        <f t="shared" si="173"/>
        <v>0</v>
      </c>
      <c r="BA86" s="234">
        <f t="shared" si="173"/>
        <v>0</v>
      </c>
      <c r="BB86" s="234">
        <f t="shared" si="173"/>
        <v>0</v>
      </c>
      <c r="BC86" s="234">
        <f t="shared" si="173"/>
        <v>0</v>
      </c>
      <c r="BD86" s="234">
        <f t="shared" si="173"/>
        <v>0</v>
      </c>
      <c r="BE86" s="234">
        <f t="shared" si="173"/>
        <v>0</v>
      </c>
      <c r="BF86" s="234">
        <f t="shared" si="173"/>
        <v>0</v>
      </c>
      <c r="BG86" s="234">
        <f t="shared" si="173"/>
        <v>0</v>
      </c>
      <c r="BH86" s="234">
        <f t="shared" si="173"/>
        <v>0</v>
      </c>
      <c r="BI86" s="234">
        <f t="shared" si="173"/>
        <v>0</v>
      </c>
      <c r="BJ86" s="234">
        <f t="shared" si="173"/>
        <v>0</v>
      </c>
      <c r="BK86" s="234">
        <f t="shared" si="173"/>
        <v>0</v>
      </c>
      <c r="BL86" s="234">
        <f t="shared" si="173"/>
        <v>0</v>
      </c>
      <c r="BM86" s="234">
        <f t="shared" si="173"/>
        <v>0</v>
      </c>
      <c r="BN86" s="234">
        <f t="shared" si="173"/>
        <v>0</v>
      </c>
      <c r="BO86" s="234">
        <f t="shared" si="173"/>
        <v>0</v>
      </c>
      <c r="BP86" s="234">
        <f t="shared" si="173"/>
        <v>0</v>
      </c>
      <c r="BQ86" s="234">
        <f t="shared" si="173"/>
        <v>0</v>
      </c>
      <c r="BR86" s="234">
        <f t="shared" si="173"/>
        <v>0</v>
      </c>
      <c r="BS86" s="234">
        <f t="shared" si="173"/>
        <v>0</v>
      </c>
      <c r="BT86" s="234">
        <f t="shared" si="173"/>
        <v>0</v>
      </c>
      <c r="BU86" s="234">
        <f t="shared" si="173"/>
        <v>0</v>
      </c>
      <c r="BV86" s="234">
        <f t="shared" ref="BV86:CV86" si="174" xml:space="preserve"> BU86 + BV84 - BU85</f>
        <v>0</v>
      </c>
      <c r="BW86" s="234">
        <f t="shared" si="174"/>
        <v>0</v>
      </c>
      <c r="BX86" s="234">
        <f t="shared" si="174"/>
        <v>0</v>
      </c>
      <c r="BY86" s="234">
        <f t="shared" si="174"/>
        <v>0</v>
      </c>
      <c r="BZ86" s="234">
        <f t="shared" si="174"/>
        <v>0</v>
      </c>
      <c r="CA86" s="234">
        <f t="shared" si="174"/>
        <v>0</v>
      </c>
      <c r="CB86" s="234">
        <f t="shared" si="174"/>
        <v>0</v>
      </c>
      <c r="CC86" s="234">
        <f t="shared" si="174"/>
        <v>0</v>
      </c>
      <c r="CD86" s="234">
        <f t="shared" si="174"/>
        <v>0</v>
      </c>
      <c r="CE86" s="234">
        <f t="shared" si="174"/>
        <v>0</v>
      </c>
      <c r="CF86" s="234">
        <f t="shared" si="174"/>
        <v>0</v>
      </c>
      <c r="CG86" s="234">
        <f t="shared" si="174"/>
        <v>0</v>
      </c>
      <c r="CH86" s="234">
        <f t="shared" si="174"/>
        <v>0</v>
      </c>
      <c r="CI86" s="234">
        <f t="shared" si="174"/>
        <v>0</v>
      </c>
      <c r="CJ86" s="234">
        <f t="shared" si="174"/>
        <v>0</v>
      </c>
      <c r="CK86" s="234">
        <f t="shared" si="174"/>
        <v>0</v>
      </c>
      <c r="CL86" s="234">
        <f t="shared" si="174"/>
        <v>0</v>
      </c>
      <c r="CM86" s="234">
        <f t="shared" si="174"/>
        <v>0</v>
      </c>
      <c r="CN86" s="234">
        <f t="shared" si="174"/>
        <v>0</v>
      </c>
      <c r="CO86" s="234">
        <f t="shared" si="174"/>
        <v>0</v>
      </c>
      <c r="CP86" s="234">
        <f t="shared" si="174"/>
        <v>0</v>
      </c>
      <c r="CQ86" s="234">
        <f t="shared" si="174"/>
        <v>0</v>
      </c>
      <c r="CR86" s="234">
        <f t="shared" si="174"/>
        <v>0</v>
      </c>
      <c r="CS86" s="234">
        <f t="shared" si="174"/>
        <v>0</v>
      </c>
      <c r="CT86" s="234">
        <f t="shared" si="174"/>
        <v>0</v>
      </c>
      <c r="CU86" s="234">
        <f t="shared" si="174"/>
        <v>0</v>
      </c>
      <c r="CV86" s="234">
        <f t="shared" si="174"/>
        <v>0</v>
      </c>
    </row>
    <row r="87" spans="1:100" outlineLevel="1" x14ac:dyDescent="0.2">
      <c r="E87" s="6"/>
      <c r="F87" s="6"/>
      <c r="G87" s="6"/>
      <c r="H87" s="6"/>
      <c r="I87" s="71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</row>
    <row r="88" spans="1:100" outlineLevel="1" x14ac:dyDescent="0.2">
      <c r="A88" s="21"/>
      <c r="B88" s="15" t="s">
        <v>44</v>
      </c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</row>
    <row r="89" spans="1:100" outlineLevel="2" x14ac:dyDescent="0.2">
      <c r="E89" s="151" t="str">
        <f t="shared" ref="E89:AJ89" si="175" xml:space="preserve"> E$81</f>
        <v>End of construction period flag</v>
      </c>
      <c r="F89" s="151">
        <f t="shared" si="175"/>
        <v>0</v>
      </c>
      <c r="G89" s="151" t="str">
        <f t="shared" si="175"/>
        <v>flag</v>
      </c>
      <c r="H89" s="151">
        <f t="shared" si="175"/>
        <v>1</v>
      </c>
      <c r="I89" s="151">
        <f t="shared" si="175"/>
        <v>0</v>
      </c>
      <c r="J89" s="151">
        <f t="shared" si="175"/>
        <v>0</v>
      </c>
      <c r="K89" s="151">
        <f t="shared" si="175"/>
        <v>0</v>
      </c>
      <c r="L89" s="151">
        <f t="shared" si="175"/>
        <v>0</v>
      </c>
      <c r="M89" s="151">
        <f t="shared" si="175"/>
        <v>0</v>
      </c>
      <c r="N89" s="151">
        <f t="shared" si="175"/>
        <v>1</v>
      </c>
      <c r="O89" s="151">
        <f t="shared" si="175"/>
        <v>0</v>
      </c>
      <c r="P89" s="151">
        <f t="shared" si="175"/>
        <v>0</v>
      </c>
      <c r="Q89" s="151">
        <f t="shared" si="175"/>
        <v>0</v>
      </c>
      <c r="R89" s="151">
        <f t="shared" si="175"/>
        <v>0</v>
      </c>
      <c r="S89" s="151">
        <f t="shared" si="175"/>
        <v>0</v>
      </c>
      <c r="T89" s="151">
        <f t="shared" si="175"/>
        <v>0</v>
      </c>
      <c r="U89" s="151">
        <f t="shared" si="175"/>
        <v>0</v>
      </c>
      <c r="V89" s="151">
        <f t="shared" si="175"/>
        <v>0</v>
      </c>
      <c r="W89" s="151">
        <f t="shared" si="175"/>
        <v>0</v>
      </c>
      <c r="X89" s="151">
        <f t="shared" si="175"/>
        <v>0</v>
      </c>
      <c r="Y89" s="151">
        <f t="shared" si="175"/>
        <v>0</v>
      </c>
      <c r="Z89" s="151">
        <f t="shared" si="175"/>
        <v>0</v>
      </c>
      <c r="AA89" s="151">
        <f t="shared" si="175"/>
        <v>0</v>
      </c>
      <c r="AB89" s="151">
        <f t="shared" si="175"/>
        <v>0</v>
      </c>
      <c r="AC89" s="151">
        <f t="shared" si="175"/>
        <v>0</v>
      </c>
      <c r="AD89" s="151">
        <f t="shared" si="175"/>
        <v>0</v>
      </c>
      <c r="AE89" s="151">
        <f t="shared" si="175"/>
        <v>0</v>
      </c>
      <c r="AF89" s="151">
        <f t="shared" si="175"/>
        <v>0</v>
      </c>
      <c r="AG89" s="151">
        <f t="shared" si="175"/>
        <v>0</v>
      </c>
      <c r="AH89" s="151">
        <f t="shared" si="175"/>
        <v>0</v>
      </c>
      <c r="AI89" s="151">
        <f t="shared" si="175"/>
        <v>0</v>
      </c>
      <c r="AJ89" s="151">
        <f t="shared" si="175"/>
        <v>0</v>
      </c>
      <c r="AK89" s="151">
        <f t="shared" ref="AK89:BP89" si="176" xml:space="preserve"> AK$81</f>
        <v>0</v>
      </c>
      <c r="AL89" s="151">
        <f t="shared" si="176"/>
        <v>0</v>
      </c>
      <c r="AM89" s="151">
        <f t="shared" si="176"/>
        <v>0</v>
      </c>
      <c r="AN89" s="151">
        <f t="shared" si="176"/>
        <v>0</v>
      </c>
      <c r="AO89" s="151">
        <f t="shared" si="176"/>
        <v>0</v>
      </c>
      <c r="AP89" s="151">
        <f t="shared" si="176"/>
        <v>0</v>
      </c>
      <c r="AQ89" s="151">
        <f t="shared" si="176"/>
        <v>0</v>
      </c>
      <c r="AR89" s="151">
        <f t="shared" si="176"/>
        <v>0</v>
      </c>
      <c r="AS89" s="151">
        <f t="shared" si="176"/>
        <v>0</v>
      </c>
      <c r="AT89" s="151">
        <f t="shared" si="176"/>
        <v>0</v>
      </c>
      <c r="AU89" s="151">
        <f t="shared" si="176"/>
        <v>0</v>
      </c>
      <c r="AV89" s="151">
        <f t="shared" si="176"/>
        <v>0</v>
      </c>
      <c r="AW89" s="151">
        <f t="shared" si="176"/>
        <v>0</v>
      </c>
      <c r="AX89" s="151">
        <f t="shared" si="176"/>
        <v>0</v>
      </c>
      <c r="AY89" s="151">
        <f t="shared" si="176"/>
        <v>0</v>
      </c>
      <c r="AZ89" s="151">
        <f t="shared" si="176"/>
        <v>0</v>
      </c>
      <c r="BA89" s="151">
        <f t="shared" si="176"/>
        <v>0</v>
      </c>
      <c r="BB89" s="151">
        <f t="shared" si="176"/>
        <v>0</v>
      </c>
      <c r="BC89" s="151">
        <f t="shared" si="176"/>
        <v>0</v>
      </c>
      <c r="BD89" s="151">
        <f t="shared" si="176"/>
        <v>0</v>
      </c>
      <c r="BE89" s="151">
        <f t="shared" si="176"/>
        <v>0</v>
      </c>
      <c r="BF89" s="151">
        <f t="shared" si="176"/>
        <v>0</v>
      </c>
      <c r="BG89" s="151">
        <f t="shared" si="176"/>
        <v>0</v>
      </c>
      <c r="BH89" s="151">
        <f t="shared" si="176"/>
        <v>0</v>
      </c>
      <c r="BI89" s="151">
        <f t="shared" si="176"/>
        <v>0</v>
      </c>
      <c r="BJ89" s="151">
        <f t="shared" si="176"/>
        <v>0</v>
      </c>
      <c r="BK89" s="151">
        <f t="shared" si="176"/>
        <v>0</v>
      </c>
      <c r="BL89" s="151">
        <f t="shared" si="176"/>
        <v>0</v>
      </c>
      <c r="BM89" s="151">
        <f t="shared" si="176"/>
        <v>0</v>
      </c>
      <c r="BN89" s="151">
        <f t="shared" si="176"/>
        <v>0</v>
      </c>
      <c r="BO89" s="151">
        <f t="shared" si="176"/>
        <v>0</v>
      </c>
      <c r="BP89" s="151">
        <f t="shared" si="176"/>
        <v>0</v>
      </c>
      <c r="BQ89" s="151">
        <f t="shared" ref="BQ89:CV89" si="177" xml:space="preserve"> BQ$81</f>
        <v>0</v>
      </c>
      <c r="BR89" s="151">
        <f t="shared" si="177"/>
        <v>0</v>
      </c>
      <c r="BS89" s="151">
        <f t="shared" si="177"/>
        <v>0</v>
      </c>
      <c r="BT89" s="151">
        <f t="shared" si="177"/>
        <v>0</v>
      </c>
      <c r="BU89" s="151">
        <f t="shared" si="177"/>
        <v>0</v>
      </c>
      <c r="BV89" s="151">
        <f t="shared" si="177"/>
        <v>0</v>
      </c>
      <c r="BW89" s="151">
        <f t="shared" si="177"/>
        <v>0</v>
      </c>
      <c r="BX89" s="151">
        <f t="shared" si="177"/>
        <v>0</v>
      </c>
      <c r="BY89" s="151">
        <f t="shared" si="177"/>
        <v>0</v>
      </c>
      <c r="BZ89" s="151">
        <f t="shared" si="177"/>
        <v>0</v>
      </c>
      <c r="CA89" s="151">
        <f t="shared" si="177"/>
        <v>0</v>
      </c>
      <c r="CB89" s="151">
        <f t="shared" si="177"/>
        <v>0</v>
      </c>
      <c r="CC89" s="151">
        <f t="shared" si="177"/>
        <v>0</v>
      </c>
      <c r="CD89" s="151">
        <f t="shared" si="177"/>
        <v>0</v>
      </c>
      <c r="CE89" s="151">
        <f t="shared" si="177"/>
        <v>0</v>
      </c>
      <c r="CF89" s="151">
        <f t="shared" si="177"/>
        <v>0</v>
      </c>
      <c r="CG89" s="151">
        <f t="shared" si="177"/>
        <v>0</v>
      </c>
      <c r="CH89" s="151">
        <f t="shared" si="177"/>
        <v>0</v>
      </c>
      <c r="CI89" s="151">
        <f t="shared" si="177"/>
        <v>0</v>
      </c>
      <c r="CJ89" s="151">
        <f t="shared" si="177"/>
        <v>0</v>
      </c>
      <c r="CK89" s="151">
        <f t="shared" si="177"/>
        <v>0</v>
      </c>
      <c r="CL89" s="151">
        <f t="shared" si="177"/>
        <v>0</v>
      </c>
      <c r="CM89" s="151">
        <f t="shared" si="177"/>
        <v>0</v>
      </c>
      <c r="CN89" s="151">
        <f t="shared" si="177"/>
        <v>0</v>
      </c>
      <c r="CO89" s="151">
        <f t="shared" si="177"/>
        <v>0</v>
      </c>
      <c r="CP89" s="151">
        <f t="shared" si="177"/>
        <v>0</v>
      </c>
      <c r="CQ89" s="151">
        <f t="shared" si="177"/>
        <v>0</v>
      </c>
      <c r="CR89" s="151">
        <f t="shared" si="177"/>
        <v>0</v>
      </c>
      <c r="CS89" s="151">
        <f t="shared" si="177"/>
        <v>0</v>
      </c>
      <c r="CT89" s="151">
        <f t="shared" si="177"/>
        <v>0</v>
      </c>
      <c r="CU89" s="151">
        <f t="shared" si="177"/>
        <v>0</v>
      </c>
      <c r="CV89" s="151">
        <f t="shared" si="177"/>
        <v>0</v>
      </c>
    </row>
    <row r="90" spans="1:100" s="188" customFormat="1" outlineLevel="2" x14ac:dyDescent="0.2">
      <c r="A90" s="227"/>
      <c r="B90" s="227"/>
      <c r="C90" s="228"/>
      <c r="D90" s="229"/>
      <c r="E90" s="188" t="s">
        <v>44</v>
      </c>
      <c r="G90" s="188" t="s">
        <v>5</v>
      </c>
      <c r="H90" s="188">
        <f xml:space="preserve"> SUM(J90:CV90)</f>
        <v>1</v>
      </c>
      <c r="I90" s="230"/>
      <c r="J90" s="187">
        <f t="shared" ref="J90:AO90" si="178" xml:space="preserve"> I89</f>
        <v>0</v>
      </c>
      <c r="K90" s="187">
        <f t="shared" si="178"/>
        <v>0</v>
      </c>
      <c r="L90" s="187">
        <f t="shared" si="178"/>
        <v>0</v>
      </c>
      <c r="M90" s="187">
        <f t="shared" si="178"/>
        <v>0</v>
      </c>
      <c r="N90" s="187">
        <f t="shared" si="178"/>
        <v>0</v>
      </c>
      <c r="O90" s="187">
        <f xml:space="preserve"> N89</f>
        <v>1</v>
      </c>
      <c r="P90" s="187">
        <f t="shared" si="178"/>
        <v>0</v>
      </c>
      <c r="Q90" s="187">
        <f t="shared" si="178"/>
        <v>0</v>
      </c>
      <c r="R90" s="187">
        <f t="shared" si="178"/>
        <v>0</v>
      </c>
      <c r="S90" s="187">
        <f t="shared" si="178"/>
        <v>0</v>
      </c>
      <c r="T90" s="187">
        <f t="shared" si="178"/>
        <v>0</v>
      </c>
      <c r="U90" s="187">
        <f t="shared" si="178"/>
        <v>0</v>
      </c>
      <c r="V90" s="187">
        <f t="shared" si="178"/>
        <v>0</v>
      </c>
      <c r="W90" s="187">
        <f t="shared" si="178"/>
        <v>0</v>
      </c>
      <c r="X90" s="187">
        <f t="shared" si="178"/>
        <v>0</v>
      </c>
      <c r="Y90" s="187">
        <f t="shared" si="178"/>
        <v>0</v>
      </c>
      <c r="Z90" s="187">
        <f t="shared" si="178"/>
        <v>0</v>
      </c>
      <c r="AA90" s="187">
        <f t="shared" si="178"/>
        <v>0</v>
      </c>
      <c r="AB90" s="187">
        <f t="shared" si="178"/>
        <v>0</v>
      </c>
      <c r="AC90" s="187">
        <f t="shared" si="178"/>
        <v>0</v>
      </c>
      <c r="AD90" s="187">
        <f t="shared" si="178"/>
        <v>0</v>
      </c>
      <c r="AE90" s="187">
        <f t="shared" si="178"/>
        <v>0</v>
      </c>
      <c r="AF90" s="187">
        <f t="shared" si="178"/>
        <v>0</v>
      </c>
      <c r="AG90" s="187">
        <f t="shared" si="178"/>
        <v>0</v>
      </c>
      <c r="AH90" s="187">
        <f t="shared" si="178"/>
        <v>0</v>
      </c>
      <c r="AI90" s="187">
        <f t="shared" si="178"/>
        <v>0</v>
      </c>
      <c r="AJ90" s="187">
        <f t="shared" si="178"/>
        <v>0</v>
      </c>
      <c r="AK90" s="187">
        <f t="shared" si="178"/>
        <v>0</v>
      </c>
      <c r="AL90" s="187">
        <f t="shared" si="178"/>
        <v>0</v>
      </c>
      <c r="AM90" s="187">
        <f t="shared" si="178"/>
        <v>0</v>
      </c>
      <c r="AN90" s="187">
        <f t="shared" si="178"/>
        <v>0</v>
      </c>
      <c r="AO90" s="187">
        <f t="shared" si="178"/>
        <v>0</v>
      </c>
      <c r="AP90" s="187">
        <f t="shared" ref="AP90:BU90" si="179" xml:space="preserve"> AO89</f>
        <v>0</v>
      </c>
      <c r="AQ90" s="187">
        <f t="shared" si="179"/>
        <v>0</v>
      </c>
      <c r="AR90" s="187">
        <f t="shared" si="179"/>
        <v>0</v>
      </c>
      <c r="AS90" s="187">
        <f t="shared" si="179"/>
        <v>0</v>
      </c>
      <c r="AT90" s="187">
        <f t="shared" si="179"/>
        <v>0</v>
      </c>
      <c r="AU90" s="187">
        <f t="shared" si="179"/>
        <v>0</v>
      </c>
      <c r="AV90" s="187">
        <f t="shared" si="179"/>
        <v>0</v>
      </c>
      <c r="AW90" s="187">
        <f t="shared" si="179"/>
        <v>0</v>
      </c>
      <c r="AX90" s="187">
        <f t="shared" si="179"/>
        <v>0</v>
      </c>
      <c r="AY90" s="187">
        <f t="shared" si="179"/>
        <v>0</v>
      </c>
      <c r="AZ90" s="187">
        <f t="shared" si="179"/>
        <v>0</v>
      </c>
      <c r="BA90" s="187">
        <f t="shared" si="179"/>
        <v>0</v>
      </c>
      <c r="BB90" s="187">
        <f t="shared" si="179"/>
        <v>0</v>
      </c>
      <c r="BC90" s="187">
        <f t="shared" si="179"/>
        <v>0</v>
      </c>
      <c r="BD90" s="187">
        <f t="shared" si="179"/>
        <v>0</v>
      </c>
      <c r="BE90" s="187">
        <f t="shared" si="179"/>
        <v>0</v>
      </c>
      <c r="BF90" s="187">
        <f t="shared" si="179"/>
        <v>0</v>
      </c>
      <c r="BG90" s="187">
        <f t="shared" si="179"/>
        <v>0</v>
      </c>
      <c r="BH90" s="187">
        <f t="shared" si="179"/>
        <v>0</v>
      </c>
      <c r="BI90" s="187">
        <f t="shared" si="179"/>
        <v>0</v>
      </c>
      <c r="BJ90" s="187">
        <f t="shared" si="179"/>
        <v>0</v>
      </c>
      <c r="BK90" s="187">
        <f t="shared" si="179"/>
        <v>0</v>
      </c>
      <c r="BL90" s="187">
        <f t="shared" si="179"/>
        <v>0</v>
      </c>
      <c r="BM90" s="187">
        <f t="shared" si="179"/>
        <v>0</v>
      </c>
      <c r="BN90" s="187">
        <f t="shared" si="179"/>
        <v>0</v>
      </c>
      <c r="BO90" s="187">
        <f t="shared" si="179"/>
        <v>0</v>
      </c>
      <c r="BP90" s="187">
        <f t="shared" si="179"/>
        <v>0</v>
      </c>
      <c r="BQ90" s="187">
        <f t="shared" si="179"/>
        <v>0</v>
      </c>
      <c r="BR90" s="187">
        <f t="shared" si="179"/>
        <v>0</v>
      </c>
      <c r="BS90" s="187">
        <f t="shared" si="179"/>
        <v>0</v>
      </c>
      <c r="BT90" s="187">
        <f t="shared" si="179"/>
        <v>0</v>
      </c>
      <c r="BU90" s="187">
        <f t="shared" si="179"/>
        <v>0</v>
      </c>
      <c r="BV90" s="187">
        <f t="shared" ref="BV90:CV90" si="180" xml:space="preserve"> BU89</f>
        <v>0</v>
      </c>
      <c r="BW90" s="187">
        <f t="shared" si="180"/>
        <v>0</v>
      </c>
      <c r="BX90" s="187">
        <f t="shared" si="180"/>
        <v>0</v>
      </c>
      <c r="BY90" s="187">
        <f t="shared" si="180"/>
        <v>0</v>
      </c>
      <c r="BZ90" s="187">
        <f t="shared" si="180"/>
        <v>0</v>
      </c>
      <c r="CA90" s="187">
        <f t="shared" si="180"/>
        <v>0</v>
      </c>
      <c r="CB90" s="187">
        <f t="shared" si="180"/>
        <v>0</v>
      </c>
      <c r="CC90" s="187">
        <f t="shared" si="180"/>
        <v>0</v>
      </c>
      <c r="CD90" s="187">
        <f t="shared" si="180"/>
        <v>0</v>
      </c>
      <c r="CE90" s="187">
        <f t="shared" si="180"/>
        <v>0</v>
      </c>
      <c r="CF90" s="187">
        <f t="shared" si="180"/>
        <v>0</v>
      </c>
      <c r="CG90" s="187">
        <f t="shared" si="180"/>
        <v>0</v>
      </c>
      <c r="CH90" s="187">
        <f t="shared" si="180"/>
        <v>0</v>
      </c>
      <c r="CI90" s="187">
        <f t="shared" si="180"/>
        <v>0</v>
      </c>
      <c r="CJ90" s="187">
        <f t="shared" si="180"/>
        <v>0</v>
      </c>
      <c r="CK90" s="187">
        <f t="shared" si="180"/>
        <v>0</v>
      </c>
      <c r="CL90" s="187">
        <f t="shared" si="180"/>
        <v>0</v>
      </c>
      <c r="CM90" s="187">
        <f t="shared" si="180"/>
        <v>0</v>
      </c>
      <c r="CN90" s="187">
        <f t="shared" si="180"/>
        <v>0</v>
      </c>
      <c r="CO90" s="187">
        <f t="shared" si="180"/>
        <v>0</v>
      </c>
      <c r="CP90" s="187">
        <f t="shared" si="180"/>
        <v>0</v>
      </c>
      <c r="CQ90" s="187">
        <f t="shared" si="180"/>
        <v>0</v>
      </c>
      <c r="CR90" s="187">
        <f t="shared" si="180"/>
        <v>0</v>
      </c>
      <c r="CS90" s="187">
        <f t="shared" si="180"/>
        <v>0</v>
      </c>
      <c r="CT90" s="187">
        <f t="shared" si="180"/>
        <v>0</v>
      </c>
      <c r="CU90" s="187">
        <f t="shared" si="180"/>
        <v>0</v>
      </c>
      <c r="CV90" s="187">
        <f t="shared" si="180"/>
        <v>0</v>
      </c>
    </row>
    <row r="91" spans="1:100" outlineLevel="1" x14ac:dyDescent="0.2">
      <c r="E91" s="6"/>
      <c r="F91" s="6"/>
      <c r="G91" s="6"/>
      <c r="H91" s="6"/>
      <c r="I91" s="71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</row>
    <row r="92" spans="1:100" outlineLevel="1" x14ac:dyDescent="0.2">
      <c r="B92" s="15" t="s">
        <v>45</v>
      </c>
      <c r="E92" s="6"/>
      <c r="F92" s="6"/>
      <c r="G92" s="6"/>
      <c r="H92" s="6"/>
      <c r="I92" s="71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</row>
    <row r="93" spans="1:100" outlineLevel="2" x14ac:dyDescent="0.2">
      <c r="A93" s="54"/>
      <c r="C93" s="57"/>
      <c r="D93" s="58"/>
      <c r="E93" s="300" t="str">
        <f xml:space="preserve"> ConTime!E$73</f>
        <v>End of construction period date</v>
      </c>
      <c r="F93" s="300">
        <f xml:space="preserve"> ConTime!F$73</f>
        <v>45473</v>
      </c>
      <c r="G93" s="300" t="str">
        <f xml:space="preserve"> ConTime!G$73</f>
        <v>date</v>
      </c>
      <c r="H93" s="45"/>
      <c r="I93" s="26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  <c r="BD93" s="45"/>
      <c r="BE93" s="45"/>
      <c r="BF93" s="45"/>
      <c r="BG93" s="45"/>
      <c r="BH93" s="45"/>
      <c r="BI93" s="4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45"/>
      <c r="BZ93" s="45"/>
      <c r="CA93" s="45"/>
      <c r="CB93" s="45"/>
      <c r="CC93" s="45"/>
      <c r="CD93" s="45"/>
      <c r="CE93" s="45"/>
      <c r="CF93" s="45"/>
      <c r="CG93" s="45"/>
      <c r="CH93" s="45"/>
      <c r="CI93" s="45"/>
      <c r="CJ93" s="45"/>
      <c r="CK93" s="45"/>
      <c r="CL93" s="45"/>
      <c r="CM93" s="45"/>
      <c r="CN93" s="45"/>
      <c r="CO93" s="45"/>
      <c r="CP93" s="45"/>
      <c r="CQ93" s="45"/>
      <c r="CR93" s="45"/>
      <c r="CS93" s="45"/>
      <c r="CT93" s="45"/>
      <c r="CU93" s="45"/>
      <c r="CV93" s="45"/>
    </row>
    <row r="94" spans="1:100" outlineLevel="2" x14ac:dyDescent="0.2">
      <c r="A94" s="75"/>
      <c r="B94" s="75"/>
      <c r="C94" s="76"/>
      <c r="D94" s="77"/>
      <c r="E94" s="77" t="str">
        <f xml:space="preserve"> InpC!E$21</f>
        <v>Length of PPA</v>
      </c>
      <c r="F94" s="77">
        <f xml:space="preserve"> InpC!F$21</f>
        <v>20</v>
      </c>
      <c r="G94" s="77" t="str">
        <f xml:space="preserve"> InpC!G$21</f>
        <v>years</v>
      </c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  <c r="BF94" s="77"/>
      <c r="BG94" s="77"/>
      <c r="BH94" s="77"/>
      <c r="BI94" s="77"/>
      <c r="BJ94" s="77"/>
      <c r="BK94" s="77"/>
      <c r="BL94" s="77"/>
      <c r="BM94" s="77"/>
      <c r="BN94" s="77"/>
      <c r="BO94" s="77"/>
      <c r="BP94" s="77"/>
      <c r="BQ94" s="77"/>
      <c r="BR94" s="77"/>
      <c r="BS94" s="77"/>
      <c r="BT94" s="77"/>
      <c r="BU94" s="77"/>
      <c r="BV94" s="77"/>
      <c r="BW94" s="77"/>
      <c r="BX94" s="77"/>
      <c r="BY94" s="77"/>
      <c r="BZ94" s="77"/>
      <c r="CA94" s="77"/>
      <c r="CB94" s="77"/>
      <c r="CC94" s="77"/>
      <c r="CD94" s="77"/>
      <c r="CE94" s="77"/>
      <c r="CF94" s="77"/>
      <c r="CG94" s="77"/>
      <c r="CH94" s="77"/>
      <c r="CI94" s="77"/>
      <c r="CJ94" s="77"/>
      <c r="CK94" s="77"/>
      <c r="CL94" s="77"/>
      <c r="CM94" s="77"/>
      <c r="CN94" s="77"/>
      <c r="CO94" s="77"/>
      <c r="CP94" s="77"/>
      <c r="CQ94" s="77"/>
      <c r="CR94" s="77"/>
      <c r="CS94" s="77"/>
      <c r="CT94" s="77"/>
      <c r="CU94" s="77"/>
      <c r="CV94" s="77"/>
    </row>
    <row r="95" spans="1:100" outlineLevel="2" x14ac:dyDescent="0.2">
      <c r="A95" s="85"/>
      <c r="B95" s="85"/>
      <c r="C95" s="86"/>
      <c r="D95" s="87"/>
      <c r="E95" s="383" t="str">
        <f xml:space="preserve"> InpC!E$22</f>
        <v>Contract extension</v>
      </c>
      <c r="F95" s="383">
        <f xml:space="preserve"> InpC!F$22</f>
        <v>0</v>
      </c>
      <c r="G95" s="383" t="str">
        <f xml:space="preserve"> InpC!G$22</f>
        <v>years</v>
      </c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</row>
    <row r="96" spans="1:100" outlineLevel="2" x14ac:dyDescent="0.2">
      <c r="A96" s="75"/>
      <c r="B96" s="75"/>
      <c r="C96" s="76"/>
      <c r="D96" s="77"/>
      <c r="E96" s="77" t="str">
        <f xml:space="preserve"> InpC!E$412</f>
        <v>Months in year</v>
      </c>
      <c r="F96" s="77">
        <f xml:space="preserve"> InpC!F$412</f>
        <v>12</v>
      </c>
      <c r="G96" s="77" t="str">
        <f xml:space="preserve"> InpC!G$412</f>
        <v>months</v>
      </c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77"/>
      <c r="BT96" s="77"/>
      <c r="BU96" s="77"/>
      <c r="BV96" s="77"/>
      <c r="BW96" s="77"/>
      <c r="BX96" s="77"/>
      <c r="BY96" s="77"/>
      <c r="BZ96" s="77"/>
      <c r="CA96" s="77"/>
      <c r="CB96" s="77"/>
      <c r="CC96" s="77"/>
      <c r="CD96" s="77"/>
      <c r="CE96" s="77"/>
      <c r="CF96" s="77"/>
      <c r="CG96" s="77"/>
      <c r="CH96" s="77"/>
      <c r="CI96" s="77"/>
      <c r="CJ96" s="77"/>
      <c r="CK96" s="77"/>
      <c r="CL96" s="77"/>
      <c r="CM96" s="77"/>
      <c r="CN96" s="77"/>
      <c r="CO96" s="77"/>
      <c r="CP96" s="77"/>
      <c r="CQ96" s="77"/>
      <c r="CR96" s="77"/>
      <c r="CS96" s="77"/>
      <c r="CT96" s="77"/>
      <c r="CU96" s="77"/>
      <c r="CV96" s="77"/>
    </row>
    <row r="97" spans="1:100" outlineLevel="2" x14ac:dyDescent="0.2">
      <c r="A97" s="72"/>
      <c r="B97" s="72"/>
      <c r="C97" s="73"/>
      <c r="D97" s="74"/>
      <c r="E97" s="871" t="s">
        <v>122</v>
      </c>
      <c r="F97" s="871">
        <f xml:space="preserve"> EOMONTH(F93, ((F94 + F95) * F96))</f>
        <v>52778</v>
      </c>
      <c r="G97" s="871" t="s">
        <v>6</v>
      </c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</row>
    <row r="98" spans="1:100" outlineLevel="2" x14ac:dyDescent="0.2">
      <c r="E98" s="6"/>
      <c r="F98" s="6"/>
      <c r="G98" s="6"/>
      <c r="H98" s="6"/>
      <c r="I98" s="71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</row>
    <row r="99" spans="1:100" outlineLevel="2" x14ac:dyDescent="0.2">
      <c r="A99" s="54"/>
      <c r="B99" s="54"/>
      <c r="C99" s="57"/>
      <c r="D99" s="69"/>
      <c r="E99" s="26" t="str">
        <f xml:space="preserve"> E$97</f>
        <v>End of operating period</v>
      </c>
      <c r="F99" s="26">
        <f xml:space="preserve"> F$97</f>
        <v>52778</v>
      </c>
      <c r="G99" s="26" t="str">
        <f xml:space="preserve"> G$97</f>
        <v>date</v>
      </c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</row>
    <row r="100" spans="1:100" outlineLevel="2" x14ac:dyDescent="0.2">
      <c r="A100" s="49"/>
      <c r="C100" s="50"/>
      <c r="D100" s="51"/>
      <c r="E100" s="11" t="str">
        <f t="shared" ref="E100:BP100" si="181" xml:space="preserve"> E$25</f>
        <v>Model period ending</v>
      </c>
      <c r="F100" s="11">
        <f t="shared" si="181"/>
        <v>0</v>
      </c>
      <c r="G100" s="11" t="str">
        <f t="shared" si="181"/>
        <v>date</v>
      </c>
      <c r="H100" s="11">
        <f t="shared" si="181"/>
        <v>0</v>
      </c>
      <c r="I100" s="136">
        <f t="shared" si="181"/>
        <v>0</v>
      </c>
      <c r="J100" s="11">
        <f t="shared" si="181"/>
        <v>44742</v>
      </c>
      <c r="K100" s="11">
        <f t="shared" si="181"/>
        <v>44926</v>
      </c>
      <c r="L100" s="11">
        <f t="shared" si="181"/>
        <v>45107</v>
      </c>
      <c r="M100" s="11">
        <f t="shared" si="181"/>
        <v>45291</v>
      </c>
      <c r="N100" s="11">
        <f t="shared" si="181"/>
        <v>45473</v>
      </c>
      <c r="O100" s="11">
        <f t="shared" si="181"/>
        <v>45657</v>
      </c>
      <c r="P100" s="11">
        <f t="shared" si="181"/>
        <v>45838</v>
      </c>
      <c r="Q100" s="11">
        <f t="shared" si="181"/>
        <v>46022</v>
      </c>
      <c r="R100" s="11">
        <f t="shared" si="181"/>
        <v>46203</v>
      </c>
      <c r="S100" s="11">
        <f t="shared" si="181"/>
        <v>46387</v>
      </c>
      <c r="T100" s="11">
        <f t="shared" si="181"/>
        <v>46568</v>
      </c>
      <c r="U100" s="11">
        <f t="shared" si="181"/>
        <v>46752</v>
      </c>
      <c r="V100" s="11">
        <f t="shared" si="181"/>
        <v>46934</v>
      </c>
      <c r="W100" s="11">
        <f t="shared" si="181"/>
        <v>47118</v>
      </c>
      <c r="X100" s="11">
        <f t="shared" si="181"/>
        <v>47299</v>
      </c>
      <c r="Y100" s="11">
        <f t="shared" si="181"/>
        <v>47483</v>
      </c>
      <c r="Z100" s="11">
        <f t="shared" si="181"/>
        <v>47664</v>
      </c>
      <c r="AA100" s="11">
        <f t="shared" si="181"/>
        <v>47848</v>
      </c>
      <c r="AB100" s="11">
        <f t="shared" si="181"/>
        <v>48029</v>
      </c>
      <c r="AC100" s="11">
        <f t="shared" si="181"/>
        <v>48213</v>
      </c>
      <c r="AD100" s="11">
        <f t="shared" si="181"/>
        <v>48395</v>
      </c>
      <c r="AE100" s="11">
        <f t="shared" si="181"/>
        <v>48579</v>
      </c>
      <c r="AF100" s="11">
        <f t="shared" si="181"/>
        <v>48760</v>
      </c>
      <c r="AG100" s="11">
        <f t="shared" si="181"/>
        <v>48944</v>
      </c>
      <c r="AH100" s="11">
        <f t="shared" si="181"/>
        <v>49125</v>
      </c>
      <c r="AI100" s="11">
        <f t="shared" si="181"/>
        <v>49309</v>
      </c>
      <c r="AJ100" s="11">
        <f t="shared" si="181"/>
        <v>49490</v>
      </c>
      <c r="AK100" s="11">
        <f t="shared" si="181"/>
        <v>49674</v>
      </c>
      <c r="AL100" s="11">
        <f t="shared" si="181"/>
        <v>49856</v>
      </c>
      <c r="AM100" s="11">
        <f t="shared" si="181"/>
        <v>50040</v>
      </c>
      <c r="AN100" s="11">
        <f t="shared" si="181"/>
        <v>50221</v>
      </c>
      <c r="AO100" s="11">
        <f t="shared" si="181"/>
        <v>50405</v>
      </c>
      <c r="AP100" s="11">
        <f t="shared" si="181"/>
        <v>50586</v>
      </c>
      <c r="AQ100" s="11">
        <f t="shared" si="181"/>
        <v>50770</v>
      </c>
      <c r="AR100" s="11">
        <f t="shared" si="181"/>
        <v>50951</v>
      </c>
      <c r="AS100" s="11">
        <f t="shared" si="181"/>
        <v>51135</v>
      </c>
      <c r="AT100" s="11">
        <f t="shared" si="181"/>
        <v>51317</v>
      </c>
      <c r="AU100" s="11">
        <f t="shared" si="181"/>
        <v>51501</v>
      </c>
      <c r="AV100" s="11">
        <f t="shared" si="181"/>
        <v>51682</v>
      </c>
      <c r="AW100" s="11">
        <f t="shared" si="181"/>
        <v>51866</v>
      </c>
      <c r="AX100" s="11">
        <f t="shared" si="181"/>
        <v>52047</v>
      </c>
      <c r="AY100" s="11">
        <f t="shared" si="181"/>
        <v>52231</v>
      </c>
      <c r="AZ100" s="11">
        <f t="shared" si="181"/>
        <v>52412</v>
      </c>
      <c r="BA100" s="11">
        <f t="shared" si="181"/>
        <v>52596</v>
      </c>
      <c r="BB100" s="11">
        <f t="shared" si="181"/>
        <v>52778</v>
      </c>
      <c r="BC100" s="11">
        <f t="shared" si="181"/>
        <v>52962</v>
      </c>
      <c r="BD100" s="11">
        <f t="shared" si="181"/>
        <v>53143</v>
      </c>
      <c r="BE100" s="11">
        <f t="shared" si="181"/>
        <v>53327</v>
      </c>
      <c r="BF100" s="11">
        <f t="shared" si="181"/>
        <v>53508</v>
      </c>
      <c r="BG100" s="11">
        <f t="shared" si="181"/>
        <v>53692</v>
      </c>
      <c r="BH100" s="11">
        <f t="shared" si="181"/>
        <v>53873</v>
      </c>
      <c r="BI100" s="11">
        <f t="shared" si="181"/>
        <v>54057</v>
      </c>
      <c r="BJ100" s="11">
        <f t="shared" si="181"/>
        <v>54239</v>
      </c>
      <c r="BK100" s="11">
        <f t="shared" si="181"/>
        <v>54423</v>
      </c>
      <c r="BL100" s="11">
        <f t="shared" si="181"/>
        <v>54604</v>
      </c>
      <c r="BM100" s="11">
        <f t="shared" si="181"/>
        <v>54788</v>
      </c>
      <c r="BN100" s="11">
        <f t="shared" si="181"/>
        <v>54969</v>
      </c>
      <c r="BO100" s="11">
        <f t="shared" si="181"/>
        <v>55153</v>
      </c>
      <c r="BP100" s="11">
        <f t="shared" si="181"/>
        <v>55334</v>
      </c>
      <c r="BQ100" s="11">
        <f t="shared" ref="BQ100:CV100" si="182" xml:space="preserve"> BQ$25</f>
        <v>55518</v>
      </c>
      <c r="BR100" s="11">
        <f t="shared" si="182"/>
        <v>55700</v>
      </c>
      <c r="BS100" s="11">
        <f t="shared" si="182"/>
        <v>55884</v>
      </c>
      <c r="BT100" s="11">
        <f t="shared" si="182"/>
        <v>56065</v>
      </c>
      <c r="BU100" s="11">
        <f t="shared" si="182"/>
        <v>56249</v>
      </c>
      <c r="BV100" s="11">
        <f t="shared" si="182"/>
        <v>56430</v>
      </c>
      <c r="BW100" s="11">
        <f t="shared" si="182"/>
        <v>56614</v>
      </c>
      <c r="BX100" s="11">
        <f t="shared" si="182"/>
        <v>56795</v>
      </c>
      <c r="BY100" s="11">
        <f t="shared" si="182"/>
        <v>56979</v>
      </c>
      <c r="BZ100" s="11">
        <f t="shared" si="182"/>
        <v>57161</v>
      </c>
      <c r="CA100" s="11">
        <f t="shared" si="182"/>
        <v>57345</v>
      </c>
      <c r="CB100" s="11">
        <f t="shared" si="182"/>
        <v>57526</v>
      </c>
      <c r="CC100" s="11">
        <f t="shared" si="182"/>
        <v>57710</v>
      </c>
      <c r="CD100" s="11">
        <f t="shared" si="182"/>
        <v>57891</v>
      </c>
      <c r="CE100" s="11">
        <f t="shared" si="182"/>
        <v>58075</v>
      </c>
      <c r="CF100" s="11">
        <f t="shared" si="182"/>
        <v>58256</v>
      </c>
      <c r="CG100" s="11">
        <f t="shared" si="182"/>
        <v>58440</v>
      </c>
      <c r="CH100" s="11">
        <f t="shared" si="182"/>
        <v>58622</v>
      </c>
      <c r="CI100" s="11">
        <f t="shared" si="182"/>
        <v>58806</v>
      </c>
      <c r="CJ100" s="11">
        <f t="shared" si="182"/>
        <v>58987</v>
      </c>
      <c r="CK100" s="11">
        <f t="shared" si="182"/>
        <v>59171</v>
      </c>
      <c r="CL100" s="11">
        <f t="shared" si="182"/>
        <v>59352</v>
      </c>
      <c r="CM100" s="11">
        <f t="shared" si="182"/>
        <v>59536</v>
      </c>
      <c r="CN100" s="11">
        <f t="shared" si="182"/>
        <v>59717</v>
      </c>
      <c r="CO100" s="11">
        <f t="shared" si="182"/>
        <v>59901</v>
      </c>
      <c r="CP100" s="11">
        <f t="shared" si="182"/>
        <v>60083</v>
      </c>
      <c r="CQ100" s="11">
        <f t="shared" si="182"/>
        <v>60267</v>
      </c>
      <c r="CR100" s="11">
        <f t="shared" si="182"/>
        <v>60448</v>
      </c>
      <c r="CS100" s="11">
        <f t="shared" si="182"/>
        <v>60632</v>
      </c>
      <c r="CT100" s="11">
        <f t="shared" si="182"/>
        <v>60813</v>
      </c>
      <c r="CU100" s="11">
        <f t="shared" si="182"/>
        <v>60997</v>
      </c>
      <c r="CV100" s="11">
        <f t="shared" si="182"/>
        <v>61178</v>
      </c>
    </row>
    <row r="101" spans="1:100" s="188" customFormat="1" outlineLevel="2" x14ac:dyDescent="0.2">
      <c r="A101" s="227"/>
      <c r="B101" s="227"/>
      <c r="C101" s="228"/>
      <c r="D101" s="229"/>
      <c r="E101" s="188" t="s">
        <v>123</v>
      </c>
      <c r="G101" s="188" t="s">
        <v>5</v>
      </c>
      <c r="H101" s="188">
        <f xml:space="preserve"> SUM(J101:CV101)</f>
        <v>1</v>
      </c>
      <c r="I101" s="230"/>
      <c r="J101" s="187">
        <f t="shared" ref="J101:AO101" si="183" xml:space="preserve"> IF(J100 = $F99, 1, 0)</f>
        <v>0</v>
      </c>
      <c r="K101" s="187">
        <f t="shared" si="183"/>
        <v>0</v>
      </c>
      <c r="L101" s="187">
        <f t="shared" si="183"/>
        <v>0</v>
      </c>
      <c r="M101" s="187">
        <f t="shared" si="183"/>
        <v>0</v>
      </c>
      <c r="N101" s="187">
        <f t="shared" si="183"/>
        <v>0</v>
      </c>
      <c r="O101" s="187">
        <f t="shared" si="183"/>
        <v>0</v>
      </c>
      <c r="P101" s="187">
        <f t="shared" si="183"/>
        <v>0</v>
      </c>
      <c r="Q101" s="187">
        <f t="shared" si="183"/>
        <v>0</v>
      </c>
      <c r="R101" s="187">
        <f t="shared" si="183"/>
        <v>0</v>
      </c>
      <c r="S101" s="187">
        <f t="shared" si="183"/>
        <v>0</v>
      </c>
      <c r="T101" s="187">
        <f t="shared" si="183"/>
        <v>0</v>
      </c>
      <c r="U101" s="187">
        <f t="shared" si="183"/>
        <v>0</v>
      </c>
      <c r="V101" s="187">
        <f t="shared" si="183"/>
        <v>0</v>
      </c>
      <c r="W101" s="187">
        <f t="shared" si="183"/>
        <v>0</v>
      </c>
      <c r="X101" s="187">
        <f t="shared" si="183"/>
        <v>0</v>
      </c>
      <c r="Y101" s="187">
        <f t="shared" si="183"/>
        <v>0</v>
      </c>
      <c r="Z101" s="187">
        <f t="shared" si="183"/>
        <v>0</v>
      </c>
      <c r="AA101" s="187">
        <f t="shared" si="183"/>
        <v>0</v>
      </c>
      <c r="AB101" s="187">
        <f t="shared" si="183"/>
        <v>0</v>
      </c>
      <c r="AC101" s="187">
        <f t="shared" si="183"/>
        <v>0</v>
      </c>
      <c r="AD101" s="187">
        <f t="shared" si="183"/>
        <v>0</v>
      </c>
      <c r="AE101" s="187">
        <f t="shared" si="183"/>
        <v>0</v>
      </c>
      <c r="AF101" s="187">
        <f t="shared" si="183"/>
        <v>0</v>
      </c>
      <c r="AG101" s="187">
        <f t="shared" si="183"/>
        <v>0</v>
      </c>
      <c r="AH101" s="187">
        <f t="shared" si="183"/>
        <v>0</v>
      </c>
      <c r="AI101" s="187">
        <f t="shared" si="183"/>
        <v>0</v>
      </c>
      <c r="AJ101" s="187">
        <f t="shared" si="183"/>
        <v>0</v>
      </c>
      <c r="AK101" s="187">
        <f t="shared" si="183"/>
        <v>0</v>
      </c>
      <c r="AL101" s="187">
        <f t="shared" si="183"/>
        <v>0</v>
      </c>
      <c r="AM101" s="187">
        <f t="shared" si="183"/>
        <v>0</v>
      </c>
      <c r="AN101" s="187">
        <f t="shared" si="183"/>
        <v>0</v>
      </c>
      <c r="AO101" s="187">
        <f t="shared" si="183"/>
        <v>0</v>
      </c>
      <c r="AP101" s="187">
        <f t="shared" ref="AP101:BU101" si="184" xml:space="preserve"> IF(AP100 = $F99, 1, 0)</f>
        <v>0</v>
      </c>
      <c r="AQ101" s="187">
        <f t="shared" si="184"/>
        <v>0</v>
      </c>
      <c r="AR101" s="187">
        <f t="shared" si="184"/>
        <v>0</v>
      </c>
      <c r="AS101" s="187">
        <f t="shared" si="184"/>
        <v>0</v>
      </c>
      <c r="AT101" s="187">
        <f t="shared" si="184"/>
        <v>0</v>
      </c>
      <c r="AU101" s="187">
        <f t="shared" si="184"/>
        <v>0</v>
      </c>
      <c r="AV101" s="187">
        <f t="shared" si="184"/>
        <v>0</v>
      </c>
      <c r="AW101" s="187">
        <f t="shared" si="184"/>
        <v>0</v>
      </c>
      <c r="AX101" s="187">
        <f t="shared" si="184"/>
        <v>0</v>
      </c>
      <c r="AY101" s="187">
        <f t="shared" si="184"/>
        <v>0</v>
      </c>
      <c r="AZ101" s="187">
        <f t="shared" si="184"/>
        <v>0</v>
      </c>
      <c r="BA101" s="187">
        <f t="shared" si="184"/>
        <v>0</v>
      </c>
      <c r="BB101" s="187">
        <f t="shared" si="184"/>
        <v>1</v>
      </c>
      <c r="BC101" s="187">
        <f t="shared" si="184"/>
        <v>0</v>
      </c>
      <c r="BD101" s="187">
        <f t="shared" si="184"/>
        <v>0</v>
      </c>
      <c r="BE101" s="187">
        <f t="shared" si="184"/>
        <v>0</v>
      </c>
      <c r="BF101" s="187">
        <f t="shared" si="184"/>
        <v>0</v>
      </c>
      <c r="BG101" s="187">
        <f t="shared" si="184"/>
        <v>0</v>
      </c>
      <c r="BH101" s="187">
        <f t="shared" si="184"/>
        <v>0</v>
      </c>
      <c r="BI101" s="187">
        <f t="shared" si="184"/>
        <v>0</v>
      </c>
      <c r="BJ101" s="187">
        <f t="shared" si="184"/>
        <v>0</v>
      </c>
      <c r="BK101" s="187">
        <f t="shared" si="184"/>
        <v>0</v>
      </c>
      <c r="BL101" s="187">
        <f t="shared" si="184"/>
        <v>0</v>
      </c>
      <c r="BM101" s="187">
        <f t="shared" si="184"/>
        <v>0</v>
      </c>
      <c r="BN101" s="187">
        <f t="shared" si="184"/>
        <v>0</v>
      </c>
      <c r="BO101" s="187">
        <f t="shared" si="184"/>
        <v>0</v>
      </c>
      <c r="BP101" s="187">
        <f t="shared" si="184"/>
        <v>0</v>
      </c>
      <c r="BQ101" s="187">
        <f t="shared" si="184"/>
        <v>0</v>
      </c>
      <c r="BR101" s="187">
        <f t="shared" si="184"/>
        <v>0</v>
      </c>
      <c r="BS101" s="187">
        <f t="shared" si="184"/>
        <v>0</v>
      </c>
      <c r="BT101" s="187">
        <f t="shared" si="184"/>
        <v>0</v>
      </c>
      <c r="BU101" s="187">
        <f t="shared" si="184"/>
        <v>0</v>
      </c>
      <c r="BV101" s="187">
        <f t="shared" ref="BV101:CV101" si="185" xml:space="preserve"> IF(BV100 = $F99, 1, 0)</f>
        <v>0</v>
      </c>
      <c r="BW101" s="187">
        <f t="shared" si="185"/>
        <v>0</v>
      </c>
      <c r="BX101" s="187">
        <f t="shared" si="185"/>
        <v>0</v>
      </c>
      <c r="BY101" s="187">
        <f t="shared" si="185"/>
        <v>0</v>
      </c>
      <c r="BZ101" s="187">
        <f t="shared" si="185"/>
        <v>0</v>
      </c>
      <c r="CA101" s="187">
        <f t="shared" si="185"/>
        <v>0</v>
      </c>
      <c r="CB101" s="187">
        <f t="shared" si="185"/>
        <v>0</v>
      </c>
      <c r="CC101" s="187">
        <f t="shared" si="185"/>
        <v>0</v>
      </c>
      <c r="CD101" s="187">
        <f t="shared" si="185"/>
        <v>0</v>
      </c>
      <c r="CE101" s="187">
        <f t="shared" si="185"/>
        <v>0</v>
      </c>
      <c r="CF101" s="187">
        <f t="shared" si="185"/>
        <v>0</v>
      </c>
      <c r="CG101" s="187">
        <f t="shared" si="185"/>
        <v>0</v>
      </c>
      <c r="CH101" s="187">
        <f t="shared" si="185"/>
        <v>0</v>
      </c>
      <c r="CI101" s="187">
        <f t="shared" si="185"/>
        <v>0</v>
      </c>
      <c r="CJ101" s="187">
        <f t="shared" si="185"/>
        <v>0</v>
      </c>
      <c r="CK101" s="187">
        <f t="shared" si="185"/>
        <v>0</v>
      </c>
      <c r="CL101" s="187">
        <f t="shared" si="185"/>
        <v>0</v>
      </c>
      <c r="CM101" s="187">
        <f t="shared" si="185"/>
        <v>0</v>
      </c>
      <c r="CN101" s="187">
        <f t="shared" si="185"/>
        <v>0</v>
      </c>
      <c r="CO101" s="187">
        <f t="shared" si="185"/>
        <v>0</v>
      </c>
      <c r="CP101" s="187">
        <f t="shared" si="185"/>
        <v>0</v>
      </c>
      <c r="CQ101" s="187">
        <f t="shared" si="185"/>
        <v>0</v>
      </c>
      <c r="CR101" s="187">
        <f t="shared" si="185"/>
        <v>0</v>
      </c>
      <c r="CS101" s="187">
        <f t="shared" si="185"/>
        <v>0</v>
      </c>
      <c r="CT101" s="187">
        <f t="shared" si="185"/>
        <v>0</v>
      </c>
      <c r="CU101" s="187">
        <f t="shared" si="185"/>
        <v>0</v>
      </c>
      <c r="CV101" s="187">
        <f t="shared" si="185"/>
        <v>0</v>
      </c>
    </row>
    <row r="102" spans="1:100" outlineLevel="1" x14ac:dyDescent="0.2">
      <c r="E102" s="6"/>
      <c r="F102" s="6"/>
      <c r="G102" s="6"/>
      <c r="H102" s="6"/>
      <c r="I102" s="71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</row>
    <row r="103" spans="1:100" outlineLevel="1" x14ac:dyDescent="0.2">
      <c r="B103" s="15" t="s">
        <v>115</v>
      </c>
      <c r="E103" s="6"/>
      <c r="F103" s="6"/>
      <c r="G103" s="6"/>
      <c r="H103" s="6"/>
      <c r="I103" s="71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</row>
    <row r="104" spans="1:100" outlineLevel="2" x14ac:dyDescent="0.2">
      <c r="E104" s="198" t="str">
        <f xml:space="preserve"> E$90</f>
        <v>First operating period flag</v>
      </c>
      <c r="F104" s="198">
        <f t="shared" ref="F104:AJ104" si="186" xml:space="preserve"> F$90</f>
        <v>0</v>
      </c>
      <c r="G104" s="198" t="str">
        <f t="shared" si="186"/>
        <v>flag</v>
      </c>
      <c r="H104" s="198">
        <f t="shared" si="186"/>
        <v>1</v>
      </c>
      <c r="I104" s="198">
        <f t="shared" si="186"/>
        <v>0</v>
      </c>
      <c r="J104" s="198">
        <f t="shared" si="186"/>
        <v>0</v>
      </c>
      <c r="K104" s="198">
        <f t="shared" si="186"/>
        <v>0</v>
      </c>
      <c r="L104" s="198">
        <f t="shared" si="186"/>
        <v>0</v>
      </c>
      <c r="M104" s="198">
        <f t="shared" si="186"/>
        <v>0</v>
      </c>
      <c r="N104" s="198">
        <f t="shared" si="186"/>
        <v>0</v>
      </c>
      <c r="O104" s="198">
        <f t="shared" si="186"/>
        <v>1</v>
      </c>
      <c r="P104" s="198">
        <f t="shared" si="186"/>
        <v>0</v>
      </c>
      <c r="Q104" s="198">
        <f t="shared" si="186"/>
        <v>0</v>
      </c>
      <c r="R104" s="198">
        <f t="shared" si="186"/>
        <v>0</v>
      </c>
      <c r="S104" s="198">
        <f t="shared" si="186"/>
        <v>0</v>
      </c>
      <c r="T104" s="198">
        <f t="shared" si="186"/>
        <v>0</v>
      </c>
      <c r="U104" s="198">
        <f t="shared" si="186"/>
        <v>0</v>
      </c>
      <c r="V104" s="198">
        <f t="shared" si="186"/>
        <v>0</v>
      </c>
      <c r="W104" s="198">
        <f t="shared" si="186"/>
        <v>0</v>
      </c>
      <c r="X104" s="198">
        <f t="shared" si="186"/>
        <v>0</v>
      </c>
      <c r="Y104" s="198">
        <f t="shared" si="186"/>
        <v>0</v>
      </c>
      <c r="Z104" s="198">
        <f t="shared" si="186"/>
        <v>0</v>
      </c>
      <c r="AA104" s="198">
        <f t="shared" si="186"/>
        <v>0</v>
      </c>
      <c r="AB104" s="198">
        <f t="shared" si="186"/>
        <v>0</v>
      </c>
      <c r="AC104" s="198">
        <f t="shared" si="186"/>
        <v>0</v>
      </c>
      <c r="AD104" s="198">
        <f t="shared" si="186"/>
        <v>0</v>
      </c>
      <c r="AE104" s="198">
        <f t="shared" si="186"/>
        <v>0</v>
      </c>
      <c r="AF104" s="198">
        <f t="shared" si="186"/>
        <v>0</v>
      </c>
      <c r="AG104" s="198">
        <f t="shared" si="186"/>
        <v>0</v>
      </c>
      <c r="AH104" s="198">
        <f t="shared" si="186"/>
        <v>0</v>
      </c>
      <c r="AI104" s="198">
        <f t="shared" si="186"/>
        <v>0</v>
      </c>
      <c r="AJ104" s="198">
        <f t="shared" si="186"/>
        <v>0</v>
      </c>
      <c r="AK104" s="198">
        <f t="shared" ref="AK104:BP104" si="187" xml:space="preserve"> AK$90</f>
        <v>0</v>
      </c>
      <c r="AL104" s="198">
        <f t="shared" si="187"/>
        <v>0</v>
      </c>
      <c r="AM104" s="198">
        <f t="shared" si="187"/>
        <v>0</v>
      </c>
      <c r="AN104" s="198">
        <f t="shared" si="187"/>
        <v>0</v>
      </c>
      <c r="AO104" s="198">
        <f t="shared" si="187"/>
        <v>0</v>
      </c>
      <c r="AP104" s="198">
        <f t="shared" si="187"/>
        <v>0</v>
      </c>
      <c r="AQ104" s="198">
        <f t="shared" si="187"/>
        <v>0</v>
      </c>
      <c r="AR104" s="198">
        <f t="shared" si="187"/>
        <v>0</v>
      </c>
      <c r="AS104" s="198">
        <f t="shared" si="187"/>
        <v>0</v>
      </c>
      <c r="AT104" s="198">
        <f t="shared" si="187"/>
        <v>0</v>
      </c>
      <c r="AU104" s="198">
        <f t="shared" si="187"/>
        <v>0</v>
      </c>
      <c r="AV104" s="198">
        <f t="shared" si="187"/>
        <v>0</v>
      </c>
      <c r="AW104" s="198">
        <f t="shared" si="187"/>
        <v>0</v>
      </c>
      <c r="AX104" s="198">
        <f t="shared" si="187"/>
        <v>0</v>
      </c>
      <c r="AY104" s="198">
        <f t="shared" si="187"/>
        <v>0</v>
      </c>
      <c r="AZ104" s="198">
        <f t="shared" si="187"/>
        <v>0</v>
      </c>
      <c r="BA104" s="198">
        <f t="shared" si="187"/>
        <v>0</v>
      </c>
      <c r="BB104" s="198">
        <f t="shared" si="187"/>
        <v>0</v>
      </c>
      <c r="BC104" s="198">
        <f t="shared" si="187"/>
        <v>0</v>
      </c>
      <c r="BD104" s="198">
        <f t="shared" si="187"/>
        <v>0</v>
      </c>
      <c r="BE104" s="198">
        <f t="shared" si="187"/>
        <v>0</v>
      </c>
      <c r="BF104" s="198">
        <f t="shared" si="187"/>
        <v>0</v>
      </c>
      <c r="BG104" s="198">
        <f t="shared" si="187"/>
        <v>0</v>
      </c>
      <c r="BH104" s="198">
        <f t="shared" si="187"/>
        <v>0</v>
      </c>
      <c r="BI104" s="198">
        <f t="shared" si="187"/>
        <v>0</v>
      </c>
      <c r="BJ104" s="198">
        <f t="shared" si="187"/>
        <v>0</v>
      </c>
      <c r="BK104" s="198">
        <f t="shared" si="187"/>
        <v>0</v>
      </c>
      <c r="BL104" s="198">
        <f t="shared" si="187"/>
        <v>0</v>
      </c>
      <c r="BM104" s="198">
        <f t="shared" si="187"/>
        <v>0</v>
      </c>
      <c r="BN104" s="198">
        <f t="shared" si="187"/>
        <v>0</v>
      </c>
      <c r="BO104" s="198">
        <f t="shared" si="187"/>
        <v>0</v>
      </c>
      <c r="BP104" s="198">
        <f t="shared" si="187"/>
        <v>0</v>
      </c>
      <c r="BQ104" s="198">
        <f t="shared" ref="BQ104:CV104" si="188" xml:space="preserve"> BQ$90</f>
        <v>0</v>
      </c>
      <c r="BR104" s="198">
        <f t="shared" si="188"/>
        <v>0</v>
      </c>
      <c r="BS104" s="198">
        <f t="shared" si="188"/>
        <v>0</v>
      </c>
      <c r="BT104" s="198">
        <f t="shared" si="188"/>
        <v>0</v>
      </c>
      <c r="BU104" s="198">
        <f t="shared" si="188"/>
        <v>0</v>
      </c>
      <c r="BV104" s="198">
        <f t="shared" si="188"/>
        <v>0</v>
      </c>
      <c r="BW104" s="198">
        <f t="shared" si="188"/>
        <v>0</v>
      </c>
      <c r="BX104" s="198">
        <f t="shared" si="188"/>
        <v>0</v>
      </c>
      <c r="BY104" s="198">
        <f t="shared" si="188"/>
        <v>0</v>
      </c>
      <c r="BZ104" s="198">
        <f t="shared" si="188"/>
        <v>0</v>
      </c>
      <c r="CA104" s="198">
        <f t="shared" si="188"/>
        <v>0</v>
      </c>
      <c r="CB104" s="198">
        <f t="shared" si="188"/>
        <v>0</v>
      </c>
      <c r="CC104" s="198">
        <f t="shared" si="188"/>
        <v>0</v>
      </c>
      <c r="CD104" s="198">
        <f t="shared" si="188"/>
        <v>0</v>
      </c>
      <c r="CE104" s="198">
        <f t="shared" si="188"/>
        <v>0</v>
      </c>
      <c r="CF104" s="198">
        <f t="shared" si="188"/>
        <v>0</v>
      </c>
      <c r="CG104" s="198">
        <f t="shared" si="188"/>
        <v>0</v>
      </c>
      <c r="CH104" s="198">
        <f t="shared" si="188"/>
        <v>0</v>
      </c>
      <c r="CI104" s="198">
        <f t="shared" si="188"/>
        <v>0</v>
      </c>
      <c r="CJ104" s="198">
        <f t="shared" si="188"/>
        <v>0</v>
      </c>
      <c r="CK104" s="198">
        <f t="shared" si="188"/>
        <v>0</v>
      </c>
      <c r="CL104" s="198">
        <f t="shared" si="188"/>
        <v>0</v>
      </c>
      <c r="CM104" s="198">
        <f t="shared" si="188"/>
        <v>0</v>
      </c>
      <c r="CN104" s="198">
        <f t="shared" si="188"/>
        <v>0</v>
      </c>
      <c r="CO104" s="198">
        <f t="shared" si="188"/>
        <v>0</v>
      </c>
      <c r="CP104" s="198">
        <f t="shared" si="188"/>
        <v>0</v>
      </c>
      <c r="CQ104" s="198">
        <f t="shared" si="188"/>
        <v>0</v>
      </c>
      <c r="CR104" s="198">
        <f t="shared" si="188"/>
        <v>0</v>
      </c>
      <c r="CS104" s="198">
        <f t="shared" si="188"/>
        <v>0</v>
      </c>
      <c r="CT104" s="198">
        <f t="shared" si="188"/>
        <v>0</v>
      </c>
      <c r="CU104" s="198">
        <f t="shared" si="188"/>
        <v>0</v>
      </c>
      <c r="CV104" s="198">
        <f t="shared" si="188"/>
        <v>0</v>
      </c>
    </row>
    <row r="105" spans="1:100" outlineLevel="2" x14ac:dyDescent="0.2">
      <c r="E105" s="198" t="str">
        <f t="shared" ref="E105:AJ105" si="189" xml:space="preserve"> E$101</f>
        <v xml:space="preserve">Last operating period flag </v>
      </c>
      <c r="F105" s="198">
        <f t="shared" si="189"/>
        <v>0</v>
      </c>
      <c r="G105" s="198" t="str">
        <f t="shared" si="189"/>
        <v>flag</v>
      </c>
      <c r="H105" s="198">
        <f t="shared" si="189"/>
        <v>1</v>
      </c>
      <c r="I105" s="198">
        <f t="shared" si="189"/>
        <v>0</v>
      </c>
      <c r="J105" s="198">
        <f t="shared" si="189"/>
        <v>0</v>
      </c>
      <c r="K105" s="198">
        <f t="shared" si="189"/>
        <v>0</v>
      </c>
      <c r="L105" s="198">
        <f t="shared" si="189"/>
        <v>0</v>
      </c>
      <c r="M105" s="198">
        <f t="shared" si="189"/>
        <v>0</v>
      </c>
      <c r="N105" s="198">
        <f t="shared" si="189"/>
        <v>0</v>
      </c>
      <c r="O105" s="198">
        <f t="shared" si="189"/>
        <v>0</v>
      </c>
      <c r="P105" s="198">
        <f t="shared" si="189"/>
        <v>0</v>
      </c>
      <c r="Q105" s="198">
        <f t="shared" si="189"/>
        <v>0</v>
      </c>
      <c r="R105" s="198">
        <f t="shared" si="189"/>
        <v>0</v>
      </c>
      <c r="S105" s="198">
        <f t="shared" si="189"/>
        <v>0</v>
      </c>
      <c r="T105" s="198">
        <f t="shared" si="189"/>
        <v>0</v>
      </c>
      <c r="U105" s="198">
        <f t="shared" si="189"/>
        <v>0</v>
      </c>
      <c r="V105" s="198">
        <f t="shared" si="189"/>
        <v>0</v>
      </c>
      <c r="W105" s="198">
        <f t="shared" si="189"/>
        <v>0</v>
      </c>
      <c r="X105" s="198">
        <f t="shared" si="189"/>
        <v>0</v>
      </c>
      <c r="Y105" s="198">
        <f t="shared" si="189"/>
        <v>0</v>
      </c>
      <c r="Z105" s="198">
        <f t="shared" si="189"/>
        <v>0</v>
      </c>
      <c r="AA105" s="198">
        <f t="shared" si="189"/>
        <v>0</v>
      </c>
      <c r="AB105" s="198">
        <f t="shared" si="189"/>
        <v>0</v>
      </c>
      <c r="AC105" s="198">
        <f t="shared" si="189"/>
        <v>0</v>
      </c>
      <c r="AD105" s="198">
        <f t="shared" si="189"/>
        <v>0</v>
      </c>
      <c r="AE105" s="198">
        <f t="shared" si="189"/>
        <v>0</v>
      </c>
      <c r="AF105" s="198">
        <f t="shared" si="189"/>
        <v>0</v>
      </c>
      <c r="AG105" s="198">
        <f t="shared" si="189"/>
        <v>0</v>
      </c>
      <c r="AH105" s="198">
        <f t="shared" si="189"/>
        <v>0</v>
      </c>
      <c r="AI105" s="198">
        <f t="shared" si="189"/>
        <v>0</v>
      </c>
      <c r="AJ105" s="198">
        <f t="shared" si="189"/>
        <v>0</v>
      </c>
      <c r="AK105" s="198">
        <f t="shared" ref="AK105:BP105" si="190" xml:space="preserve"> AK$101</f>
        <v>0</v>
      </c>
      <c r="AL105" s="198">
        <f t="shared" si="190"/>
        <v>0</v>
      </c>
      <c r="AM105" s="198">
        <f t="shared" si="190"/>
        <v>0</v>
      </c>
      <c r="AN105" s="198">
        <f t="shared" si="190"/>
        <v>0</v>
      </c>
      <c r="AO105" s="198">
        <f t="shared" si="190"/>
        <v>0</v>
      </c>
      <c r="AP105" s="198">
        <f t="shared" si="190"/>
        <v>0</v>
      </c>
      <c r="AQ105" s="198">
        <f t="shared" si="190"/>
        <v>0</v>
      </c>
      <c r="AR105" s="198">
        <f t="shared" si="190"/>
        <v>0</v>
      </c>
      <c r="AS105" s="198">
        <f t="shared" si="190"/>
        <v>0</v>
      </c>
      <c r="AT105" s="198">
        <f t="shared" si="190"/>
        <v>0</v>
      </c>
      <c r="AU105" s="198">
        <f t="shared" si="190"/>
        <v>0</v>
      </c>
      <c r="AV105" s="198">
        <f t="shared" si="190"/>
        <v>0</v>
      </c>
      <c r="AW105" s="198">
        <f t="shared" si="190"/>
        <v>0</v>
      </c>
      <c r="AX105" s="198">
        <f t="shared" si="190"/>
        <v>0</v>
      </c>
      <c r="AY105" s="198">
        <f t="shared" si="190"/>
        <v>0</v>
      </c>
      <c r="AZ105" s="198">
        <f t="shared" si="190"/>
        <v>0</v>
      </c>
      <c r="BA105" s="198">
        <f t="shared" si="190"/>
        <v>0</v>
      </c>
      <c r="BB105" s="198">
        <f t="shared" si="190"/>
        <v>1</v>
      </c>
      <c r="BC105" s="198">
        <f t="shared" si="190"/>
        <v>0</v>
      </c>
      <c r="BD105" s="198">
        <f t="shared" si="190"/>
        <v>0</v>
      </c>
      <c r="BE105" s="198">
        <f t="shared" si="190"/>
        <v>0</v>
      </c>
      <c r="BF105" s="198">
        <f t="shared" si="190"/>
        <v>0</v>
      </c>
      <c r="BG105" s="198">
        <f t="shared" si="190"/>
        <v>0</v>
      </c>
      <c r="BH105" s="198">
        <f t="shared" si="190"/>
        <v>0</v>
      </c>
      <c r="BI105" s="198">
        <f t="shared" si="190"/>
        <v>0</v>
      </c>
      <c r="BJ105" s="198">
        <f t="shared" si="190"/>
        <v>0</v>
      </c>
      <c r="BK105" s="198">
        <f t="shared" si="190"/>
        <v>0</v>
      </c>
      <c r="BL105" s="198">
        <f t="shared" si="190"/>
        <v>0</v>
      </c>
      <c r="BM105" s="198">
        <f t="shared" si="190"/>
        <v>0</v>
      </c>
      <c r="BN105" s="198">
        <f t="shared" si="190"/>
        <v>0</v>
      </c>
      <c r="BO105" s="198">
        <f t="shared" si="190"/>
        <v>0</v>
      </c>
      <c r="BP105" s="198">
        <f t="shared" si="190"/>
        <v>0</v>
      </c>
      <c r="BQ105" s="198">
        <f t="shared" ref="BQ105:CV105" si="191" xml:space="preserve"> BQ$101</f>
        <v>0</v>
      </c>
      <c r="BR105" s="198">
        <f t="shared" si="191"/>
        <v>0</v>
      </c>
      <c r="BS105" s="198">
        <f t="shared" si="191"/>
        <v>0</v>
      </c>
      <c r="BT105" s="198">
        <f t="shared" si="191"/>
        <v>0</v>
      </c>
      <c r="BU105" s="198">
        <f t="shared" si="191"/>
        <v>0</v>
      </c>
      <c r="BV105" s="198">
        <f t="shared" si="191"/>
        <v>0</v>
      </c>
      <c r="BW105" s="198">
        <f t="shared" si="191"/>
        <v>0</v>
      </c>
      <c r="BX105" s="198">
        <f t="shared" si="191"/>
        <v>0</v>
      </c>
      <c r="BY105" s="198">
        <f t="shared" si="191"/>
        <v>0</v>
      </c>
      <c r="BZ105" s="198">
        <f t="shared" si="191"/>
        <v>0</v>
      </c>
      <c r="CA105" s="198">
        <f t="shared" si="191"/>
        <v>0</v>
      </c>
      <c r="CB105" s="198">
        <f t="shared" si="191"/>
        <v>0</v>
      </c>
      <c r="CC105" s="198">
        <f t="shared" si="191"/>
        <v>0</v>
      </c>
      <c r="CD105" s="198">
        <f t="shared" si="191"/>
        <v>0</v>
      </c>
      <c r="CE105" s="198">
        <f t="shared" si="191"/>
        <v>0</v>
      </c>
      <c r="CF105" s="198">
        <f t="shared" si="191"/>
        <v>0</v>
      </c>
      <c r="CG105" s="198">
        <f t="shared" si="191"/>
        <v>0</v>
      </c>
      <c r="CH105" s="198">
        <f t="shared" si="191"/>
        <v>0</v>
      </c>
      <c r="CI105" s="198">
        <f t="shared" si="191"/>
        <v>0</v>
      </c>
      <c r="CJ105" s="198">
        <f t="shared" si="191"/>
        <v>0</v>
      </c>
      <c r="CK105" s="198">
        <f t="shared" si="191"/>
        <v>0</v>
      </c>
      <c r="CL105" s="198">
        <f t="shared" si="191"/>
        <v>0</v>
      </c>
      <c r="CM105" s="198">
        <f t="shared" si="191"/>
        <v>0</v>
      </c>
      <c r="CN105" s="198">
        <f t="shared" si="191"/>
        <v>0</v>
      </c>
      <c r="CO105" s="198">
        <f t="shared" si="191"/>
        <v>0</v>
      </c>
      <c r="CP105" s="198">
        <f t="shared" si="191"/>
        <v>0</v>
      </c>
      <c r="CQ105" s="198">
        <f t="shared" si="191"/>
        <v>0</v>
      </c>
      <c r="CR105" s="198">
        <f t="shared" si="191"/>
        <v>0</v>
      </c>
      <c r="CS105" s="198">
        <f t="shared" si="191"/>
        <v>0</v>
      </c>
      <c r="CT105" s="198">
        <f t="shared" si="191"/>
        <v>0</v>
      </c>
      <c r="CU105" s="198">
        <f t="shared" si="191"/>
        <v>0</v>
      </c>
      <c r="CV105" s="198">
        <f t="shared" si="191"/>
        <v>0</v>
      </c>
    </row>
    <row r="106" spans="1:100" s="188" customFormat="1" outlineLevel="2" x14ac:dyDescent="0.2">
      <c r="A106" s="227"/>
      <c r="B106" s="227"/>
      <c r="C106" s="228"/>
      <c r="D106" s="229"/>
      <c r="E106" s="230" t="s">
        <v>115</v>
      </c>
      <c r="F106" s="397"/>
      <c r="G106" s="188" t="s">
        <v>5</v>
      </c>
      <c r="H106" s="188">
        <f xml:space="preserve"> SUM(J106:CV106)</f>
        <v>40</v>
      </c>
      <c r="I106" s="230"/>
      <c r="J106" s="230">
        <f t="shared" ref="J106:AO106" si="192" xml:space="preserve"> I106 + J104 - I105</f>
        <v>0</v>
      </c>
      <c r="K106" s="230">
        <f t="shared" si="192"/>
        <v>0</v>
      </c>
      <c r="L106" s="230">
        <f t="shared" si="192"/>
        <v>0</v>
      </c>
      <c r="M106" s="230">
        <f t="shared" si="192"/>
        <v>0</v>
      </c>
      <c r="N106" s="230">
        <f t="shared" si="192"/>
        <v>0</v>
      </c>
      <c r="O106" s="230">
        <f t="shared" si="192"/>
        <v>1</v>
      </c>
      <c r="P106" s="230">
        <f t="shared" si="192"/>
        <v>1</v>
      </c>
      <c r="Q106" s="230">
        <f t="shared" si="192"/>
        <v>1</v>
      </c>
      <c r="R106" s="230">
        <f t="shared" si="192"/>
        <v>1</v>
      </c>
      <c r="S106" s="230">
        <f t="shared" si="192"/>
        <v>1</v>
      </c>
      <c r="T106" s="230">
        <f t="shared" si="192"/>
        <v>1</v>
      </c>
      <c r="U106" s="230">
        <f t="shared" si="192"/>
        <v>1</v>
      </c>
      <c r="V106" s="230">
        <f t="shared" si="192"/>
        <v>1</v>
      </c>
      <c r="W106" s="230">
        <f t="shared" si="192"/>
        <v>1</v>
      </c>
      <c r="X106" s="230">
        <f t="shared" si="192"/>
        <v>1</v>
      </c>
      <c r="Y106" s="230">
        <f t="shared" si="192"/>
        <v>1</v>
      </c>
      <c r="Z106" s="230">
        <f t="shared" si="192"/>
        <v>1</v>
      </c>
      <c r="AA106" s="230">
        <f t="shared" si="192"/>
        <v>1</v>
      </c>
      <c r="AB106" s="230">
        <f t="shared" si="192"/>
        <v>1</v>
      </c>
      <c r="AC106" s="230">
        <f t="shared" si="192"/>
        <v>1</v>
      </c>
      <c r="AD106" s="230">
        <f t="shared" si="192"/>
        <v>1</v>
      </c>
      <c r="AE106" s="230">
        <f t="shared" si="192"/>
        <v>1</v>
      </c>
      <c r="AF106" s="230">
        <f t="shared" si="192"/>
        <v>1</v>
      </c>
      <c r="AG106" s="230">
        <f t="shared" si="192"/>
        <v>1</v>
      </c>
      <c r="AH106" s="230">
        <f t="shared" si="192"/>
        <v>1</v>
      </c>
      <c r="AI106" s="230">
        <f t="shared" si="192"/>
        <v>1</v>
      </c>
      <c r="AJ106" s="230">
        <f t="shared" si="192"/>
        <v>1</v>
      </c>
      <c r="AK106" s="230">
        <f t="shared" si="192"/>
        <v>1</v>
      </c>
      <c r="AL106" s="230">
        <f t="shared" si="192"/>
        <v>1</v>
      </c>
      <c r="AM106" s="230">
        <f t="shared" si="192"/>
        <v>1</v>
      </c>
      <c r="AN106" s="230">
        <f t="shared" si="192"/>
        <v>1</v>
      </c>
      <c r="AO106" s="230">
        <f t="shared" si="192"/>
        <v>1</v>
      </c>
      <c r="AP106" s="230">
        <f t="shared" ref="AP106:BU106" si="193" xml:space="preserve"> AO106 + AP104 - AO105</f>
        <v>1</v>
      </c>
      <c r="AQ106" s="230">
        <f t="shared" si="193"/>
        <v>1</v>
      </c>
      <c r="AR106" s="230">
        <f t="shared" si="193"/>
        <v>1</v>
      </c>
      <c r="AS106" s="230">
        <f t="shared" si="193"/>
        <v>1</v>
      </c>
      <c r="AT106" s="230">
        <f t="shared" si="193"/>
        <v>1</v>
      </c>
      <c r="AU106" s="230">
        <f t="shared" si="193"/>
        <v>1</v>
      </c>
      <c r="AV106" s="230">
        <f t="shared" si="193"/>
        <v>1</v>
      </c>
      <c r="AW106" s="230">
        <f t="shared" si="193"/>
        <v>1</v>
      </c>
      <c r="AX106" s="230">
        <f t="shared" si="193"/>
        <v>1</v>
      </c>
      <c r="AY106" s="230">
        <f t="shared" si="193"/>
        <v>1</v>
      </c>
      <c r="AZ106" s="230">
        <f t="shared" si="193"/>
        <v>1</v>
      </c>
      <c r="BA106" s="230">
        <f t="shared" si="193"/>
        <v>1</v>
      </c>
      <c r="BB106" s="230">
        <f t="shared" si="193"/>
        <v>1</v>
      </c>
      <c r="BC106" s="230">
        <f t="shared" si="193"/>
        <v>0</v>
      </c>
      <c r="BD106" s="230">
        <f t="shared" si="193"/>
        <v>0</v>
      </c>
      <c r="BE106" s="230">
        <f t="shared" si="193"/>
        <v>0</v>
      </c>
      <c r="BF106" s="230">
        <f t="shared" si="193"/>
        <v>0</v>
      </c>
      <c r="BG106" s="230">
        <f t="shared" si="193"/>
        <v>0</v>
      </c>
      <c r="BH106" s="230">
        <f t="shared" si="193"/>
        <v>0</v>
      </c>
      <c r="BI106" s="230">
        <f t="shared" si="193"/>
        <v>0</v>
      </c>
      <c r="BJ106" s="230">
        <f t="shared" si="193"/>
        <v>0</v>
      </c>
      <c r="BK106" s="230">
        <f t="shared" si="193"/>
        <v>0</v>
      </c>
      <c r="BL106" s="230">
        <f t="shared" si="193"/>
        <v>0</v>
      </c>
      <c r="BM106" s="230">
        <f t="shared" si="193"/>
        <v>0</v>
      </c>
      <c r="BN106" s="230">
        <f t="shared" si="193"/>
        <v>0</v>
      </c>
      <c r="BO106" s="230">
        <f t="shared" si="193"/>
        <v>0</v>
      </c>
      <c r="BP106" s="230">
        <f t="shared" si="193"/>
        <v>0</v>
      </c>
      <c r="BQ106" s="230">
        <f t="shared" si="193"/>
        <v>0</v>
      </c>
      <c r="BR106" s="230">
        <f t="shared" si="193"/>
        <v>0</v>
      </c>
      <c r="BS106" s="230">
        <f t="shared" si="193"/>
        <v>0</v>
      </c>
      <c r="BT106" s="230">
        <f t="shared" si="193"/>
        <v>0</v>
      </c>
      <c r="BU106" s="230">
        <f t="shared" si="193"/>
        <v>0</v>
      </c>
      <c r="BV106" s="230">
        <f t="shared" ref="BV106:CV106" si="194" xml:space="preserve"> BU106 + BV104 - BU105</f>
        <v>0</v>
      </c>
      <c r="BW106" s="230">
        <f t="shared" si="194"/>
        <v>0</v>
      </c>
      <c r="BX106" s="230">
        <f t="shared" si="194"/>
        <v>0</v>
      </c>
      <c r="BY106" s="230">
        <f t="shared" si="194"/>
        <v>0</v>
      </c>
      <c r="BZ106" s="230">
        <f t="shared" si="194"/>
        <v>0</v>
      </c>
      <c r="CA106" s="230">
        <f t="shared" si="194"/>
        <v>0</v>
      </c>
      <c r="CB106" s="230">
        <f t="shared" si="194"/>
        <v>0</v>
      </c>
      <c r="CC106" s="230">
        <f t="shared" si="194"/>
        <v>0</v>
      </c>
      <c r="CD106" s="230">
        <f t="shared" si="194"/>
        <v>0</v>
      </c>
      <c r="CE106" s="230">
        <f t="shared" si="194"/>
        <v>0</v>
      </c>
      <c r="CF106" s="230">
        <f t="shared" si="194"/>
        <v>0</v>
      </c>
      <c r="CG106" s="230">
        <f t="shared" si="194"/>
        <v>0</v>
      </c>
      <c r="CH106" s="230">
        <f t="shared" si="194"/>
        <v>0</v>
      </c>
      <c r="CI106" s="230">
        <f t="shared" si="194"/>
        <v>0</v>
      </c>
      <c r="CJ106" s="230">
        <f t="shared" si="194"/>
        <v>0</v>
      </c>
      <c r="CK106" s="230">
        <f t="shared" si="194"/>
        <v>0</v>
      </c>
      <c r="CL106" s="230">
        <f t="shared" si="194"/>
        <v>0</v>
      </c>
      <c r="CM106" s="230">
        <f t="shared" si="194"/>
        <v>0</v>
      </c>
      <c r="CN106" s="230">
        <f t="shared" si="194"/>
        <v>0</v>
      </c>
      <c r="CO106" s="230">
        <f t="shared" si="194"/>
        <v>0</v>
      </c>
      <c r="CP106" s="230">
        <f t="shared" si="194"/>
        <v>0</v>
      </c>
      <c r="CQ106" s="230">
        <f t="shared" si="194"/>
        <v>0</v>
      </c>
      <c r="CR106" s="230">
        <f t="shared" si="194"/>
        <v>0</v>
      </c>
      <c r="CS106" s="230">
        <f t="shared" si="194"/>
        <v>0</v>
      </c>
      <c r="CT106" s="230">
        <f t="shared" si="194"/>
        <v>0</v>
      </c>
      <c r="CU106" s="230">
        <f t="shared" si="194"/>
        <v>0</v>
      </c>
      <c r="CV106" s="230">
        <f t="shared" si="194"/>
        <v>0</v>
      </c>
    </row>
    <row r="107" spans="1:100" outlineLevel="1" x14ac:dyDescent="0.2">
      <c r="E107" s="6"/>
      <c r="F107" s="6"/>
      <c r="G107" s="6"/>
      <c r="H107" s="6"/>
      <c r="I107" s="71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</row>
    <row r="108" spans="1:100" outlineLevel="1" x14ac:dyDescent="0.2">
      <c r="B108" s="15" t="s">
        <v>120</v>
      </c>
      <c r="E108" s="6"/>
      <c r="F108" s="6"/>
      <c r="G108" s="6"/>
      <c r="H108" s="6"/>
      <c r="I108" s="71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</row>
    <row r="109" spans="1:100" outlineLevel="2" x14ac:dyDescent="0.2">
      <c r="E109" s="126" t="str">
        <f t="shared" ref="E109:AJ109" si="195" xml:space="preserve"> E$101</f>
        <v xml:space="preserve">Last operating period flag </v>
      </c>
      <c r="F109" s="126">
        <f t="shared" si="195"/>
        <v>0</v>
      </c>
      <c r="G109" s="126" t="str">
        <f t="shared" si="195"/>
        <v>flag</v>
      </c>
      <c r="H109" s="126">
        <f t="shared" si="195"/>
        <v>1</v>
      </c>
      <c r="I109" s="126">
        <f t="shared" si="195"/>
        <v>0</v>
      </c>
      <c r="J109" s="126">
        <f t="shared" si="195"/>
        <v>0</v>
      </c>
      <c r="K109" s="126">
        <f t="shared" si="195"/>
        <v>0</v>
      </c>
      <c r="L109" s="126">
        <f t="shared" si="195"/>
        <v>0</v>
      </c>
      <c r="M109" s="126">
        <f t="shared" si="195"/>
        <v>0</v>
      </c>
      <c r="N109" s="126">
        <f t="shared" si="195"/>
        <v>0</v>
      </c>
      <c r="O109" s="126">
        <f t="shared" si="195"/>
        <v>0</v>
      </c>
      <c r="P109" s="126">
        <f t="shared" si="195"/>
        <v>0</v>
      </c>
      <c r="Q109" s="126">
        <f t="shared" si="195"/>
        <v>0</v>
      </c>
      <c r="R109" s="126">
        <f t="shared" si="195"/>
        <v>0</v>
      </c>
      <c r="S109" s="126">
        <f t="shared" si="195"/>
        <v>0</v>
      </c>
      <c r="T109" s="126">
        <f t="shared" si="195"/>
        <v>0</v>
      </c>
      <c r="U109" s="126">
        <f t="shared" si="195"/>
        <v>0</v>
      </c>
      <c r="V109" s="126">
        <f t="shared" si="195"/>
        <v>0</v>
      </c>
      <c r="W109" s="126">
        <f t="shared" si="195"/>
        <v>0</v>
      </c>
      <c r="X109" s="126">
        <f t="shared" si="195"/>
        <v>0</v>
      </c>
      <c r="Y109" s="126">
        <f t="shared" si="195"/>
        <v>0</v>
      </c>
      <c r="Z109" s="126">
        <f t="shared" si="195"/>
        <v>0</v>
      </c>
      <c r="AA109" s="126">
        <f t="shared" si="195"/>
        <v>0</v>
      </c>
      <c r="AB109" s="126">
        <f t="shared" si="195"/>
        <v>0</v>
      </c>
      <c r="AC109" s="126">
        <f t="shared" si="195"/>
        <v>0</v>
      </c>
      <c r="AD109" s="126">
        <f t="shared" si="195"/>
        <v>0</v>
      </c>
      <c r="AE109" s="126">
        <f t="shared" si="195"/>
        <v>0</v>
      </c>
      <c r="AF109" s="126">
        <f t="shared" si="195"/>
        <v>0</v>
      </c>
      <c r="AG109" s="126">
        <f t="shared" si="195"/>
        <v>0</v>
      </c>
      <c r="AH109" s="126">
        <f t="shared" si="195"/>
        <v>0</v>
      </c>
      <c r="AI109" s="126">
        <f t="shared" si="195"/>
        <v>0</v>
      </c>
      <c r="AJ109" s="126">
        <f t="shared" si="195"/>
        <v>0</v>
      </c>
      <c r="AK109" s="126">
        <f t="shared" ref="AK109:BP109" si="196" xml:space="preserve"> AK$101</f>
        <v>0</v>
      </c>
      <c r="AL109" s="126">
        <f t="shared" si="196"/>
        <v>0</v>
      </c>
      <c r="AM109" s="126">
        <f t="shared" si="196"/>
        <v>0</v>
      </c>
      <c r="AN109" s="126">
        <f t="shared" si="196"/>
        <v>0</v>
      </c>
      <c r="AO109" s="126">
        <f t="shared" si="196"/>
        <v>0</v>
      </c>
      <c r="AP109" s="126">
        <f t="shared" si="196"/>
        <v>0</v>
      </c>
      <c r="AQ109" s="126">
        <f t="shared" si="196"/>
        <v>0</v>
      </c>
      <c r="AR109" s="126">
        <f t="shared" si="196"/>
        <v>0</v>
      </c>
      <c r="AS109" s="126">
        <f t="shared" si="196"/>
        <v>0</v>
      </c>
      <c r="AT109" s="126">
        <f t="shared" si="196"/>
        <v>0</v>
      </c>
      <c r="AU109" s="126">
        <f t="shared" si="196"/>
        <v>0</v>
      </c>
      <c r="AV109" s="126">
        <f t="shared" si="196"/>
        <v>0</v>
      </c>
      <c r="AW109" s="126">
        <f t="shared" si="196"/>
        <v>0</v>
      </c>
      <c r="AX109" s="126">
        <f t="shared" si="196"/>
        <v>0</v>
      </c>
      <c r="AY109" s="126">
        <f t="shared" si="196"/>
        <v>0</v>
      </c>
      <c r="AZ109" s="126">
        <f t="shared" si="196"/>
        <v>0</v>
      </c>
      <c r="BA109" s="126">
        <f t="shared" si="196"/>
        <v>0</v>
      </c>
      <c r="BB109" s="126">
        <f t="shared" si="196"/>
        <v>1</v>
      </c>
      <c r="BC109" s="126">
        <f t="shared" si="196"/>
        <v>0</v>
      </c>
      <c r="BD109" s="126">
        <f t="shared" si="196"/>
        <v>0</v>
      </c>
      <c r="BE109" s="126">
        <f t="shared" si="196"/>
        <v>0</v>
      </c>
      <c r="BF109" s="126">
        <f t="shared" si="196"/>
        <v>0</v>
      </c>
      <c r="BG109" s="126">
        <f t="shared" si="196"/>
        <v>0</v>
      </c>
      <c r="BH109" s="126">
        <f t="shared" si="196"/>
        <v>0</v>
      </c>
      <c r="BI109" s="126">
        <f t="shared" si="196"/>
        <v>0</v>
      </c>
      <c r="BJ109" s="126">
        <f t="shared" si="196"/>
        <v>0</v>
      </c>
      <c r="BK109" s="126">
        <f t="shared" si="196"/>
        <v>0</v>
      </c>
      <c r="BL109" s="126">
        <f t="shared" si="196"/>
        <v>0</v>
      </c>
      <c r="BM109" s="126">
        <f t="shared" si="196"/>
        <v>0</v>
      </c>
      <c r="BN109" s="126">
        <f t="shared" si="196"/>
        <v>0</v>
      </c>
      <c r="BO109" s="126">
        <f t="shared" si="196"/>
        <v>0</v>
      </c>
      <c r="BP109" s="126">
        <f t="shared" si="196"/>
        <v>0</v>
      </c>
      <c r="BQ109" s="126">
        <f t="shared" ref="BQ109:CV109" si="197" xml:space="preserve"> BQ$101</f>
        <v>0</v>
      </c>
      <c r="BR109" s="126">
        <f t="shared" si="197"/>
        <v>0</v>
      </c>
      <c r="BS109" s="126">
        <f t="shared" si="197"/>
        <v>0</v>
      </c>
      <c r="BT109" s="126">
        <f t="shared" si="197"/>
        <v>0</v>
      </c>
      <c r="BU109" s="126">
        <f t="shared" si="197"/>
        <v>0</v>
      </c>
      <c r="BV109" s="126">
        <f t="shared" si="197"/>
        <v>0</v>
      </c>
      <c r="BW109" s="126">
        <f t="shared" si="197"/>
        <v>0</v>
      </c>
      <c r="BX109" s="126">
        <f t="shared" si="197"/>
        <v>0</v>
      </c>
      <c r="BY109" s="126">
        <f t="shared" si="197"/>
        <v>0</v>
      </c>
      <c r="BZ109" s="126">
        <f t="shared" si="197"/>
        <v>0</v>
      </c>
      <c r="CA109" s="126">
        <f t="shared" si="197"/>
        <v>0</v>
      </c>
      <c r="CB109" s="126">
        <f t="shared" si="197"/>
        <v>0</v>
      </c>
      <c r="CC109" s="126">
        <f t="shared" si="197"/>
        <v>0</v>
      </c>
      <c r="CD109" s="126">
        <f t="shared" si="197"/>
        <v>0</v>
      </c>
      <c r="CE109" s="126">
        <f t="shared" si="197"/>
        <v>0</v>
      </c>
      <c r="CF109" s="126">
        <f t="shared" si="197"/>
        <v>0</v>
      </c>
      <c r="CG109" s="126">
        <f t="shared" si="197"/>
        <v>0</v>
      </c>
      <c r="CH109" s="126">
        <f t="shared" si="197"/>
        <v>0</v>
      </c>
      <c r="CI109" s="126">
        <f t="shared" si="197"/>
        <v>0</v>
      </c>
      <c r="CJ109" s="126">
        <f t="shared" si="197"/>
        <v>0</v>
      </c>
      <c r="CK109" s="126">
        <f t="shared" si="197"/>
        <v>0</v>
      </c>
      <c r="CL109" s="126">
        <f t="shared" si="197"/>
        <v>0</v>
      </c>
      <c r="CM109" s="126">
        <f t="shared" si="197"/>
        <v>0</v>
      </c>
      <c r="CN109" s="126">
        <f t="shared" si="197"/>
        <v>0</v>
      </c>
      <c r="CO109" s="126">
        <f t="shared" si="197"/>
        <v>0</v>
      </c>
      <c r="CP109" s="126">
        <f t="shared" si="197"/>
        <v>0</v>
      </c>
      <c r="CQ109" s="126">
        <f t="shared" si="197"/>
        <v>0</v>
      </c>
      <c r="CR109" s="126">
        <f t="shared" si="197"/>
        <v>0</v>
      </c>
      <c r="CS109" s="126">
        <f t="shared" si="197"/>
        <v>0</v>
      </c>
      <c r="CT109" s="126">
        <f t="shared" si="197"/>
        <v>0</v>
      </c>
      <c r="CU109" s="126">
        <f t="shared" si="197"/>
        <v>0</v>
      </c>
      <c r="CV109" s="126">
        <f t="shared" si="197"/>
        <v>0</v>
      </c>
    </row>
    <row r="110" spans="1:100" s="188" customFormat="1" outlineLevel="2" x14ac:dyDescent="0.2">
      <c r="A110" s="141"/>
      <c r="B110" s="141"/>
      <c r="C110" s="142"/>
      <c r="D110" s="143"/>
      <c r="E110" s="401" t="s">
        <v>120</v>
      </c>
      <c r="F110" s="401"/>
      <c r="G110" s="401" t="s">
        <v>5</v>
      </c>
      <c r="H110" s="401">
        <f xml:space="preserve"> SUM(J110:CV110)</f>
        <v>1</v>
      </c>
      <c r="I110" s="401"/>
      <c r="J110" s="401">
        <f t="shared" ref="J110:AO110" si="198" xml:space="preserve"> I109</f>
        <v>0</v>
      </c>
      <c r="K110" s="401">
        <f t="shared" si="198"/>
        <v>0</v>
      </c>
      <c r="L110" s="401">
        <f t="shared" si="198"/>
        <v>0</v>
      </c>
      <c r="M110" s="401">
        <f t="shared" si="198"/>
        <v>0</v>
      </c>
      <c r="N110" s="401">
        <f t="shared" si="198"/>
        <v>0</v>
      </c>
      <c r="O110" s="401">
        <f t="shared" si="198"/>
        <v>0</v>
      </c>
      <c r="P110" s="401">
        <f t="shared" si="198"/>
        <v>0</v>
      </c>
      <c r="Q110" s="401">
        <f t="shared" si="198"/>
        <v>0</v>
      </c>
      <c r="R110" s="401">
        <f t="shared" si="198"/>
        <v>0</v>
      </c>
      <c r="S110" s="401">
        <f t="shared" si="198"/>
        <v>0</v>
      </c>
      <c r="T110" s="401">
        <f t="shared" si="198"/>
        <v>0</v>
      </c>
      <c r="U110" s="401">
        <f t="shared" si="198"/>
        <v>0</v>
      </c>
      <c r="V110" s="401">
        <f t="shared" si="198"/>
        <v>0</v>
      </c>
      <c r="W110" s="401">
        <f t="shared" si="198"/>
        <v>0</v>
      </c>
      <c r="X110" s="401">
        <f t="shared" si="198"/>
        <v>0</v>
      </c>
      <c r="Y110" s="401">
        <f t="shared" si="198"/>
        <v>0</v>
      </c>
      <c r="Z110" s="401">
        <f t="shared" si="198"/>
        <v>0</v>
      </c>
      <c r="AA110" s="401">
        <f t="shared" si="198"/>
        <v>0</v>
      </c>
      <c r="AB110" s="401">
        <f t="shared" si="198"/>
        <v>0</v>
      </c>
      <c r="AC110" s="401">
        <f t="shared" si="198"/>
        <v>0</v>
      </c>
      <c r="AD110" s="401">
        <f t="shared" si="198"/>
        <v>0</v>
      </c>
      <c r="AE110" s="401">
        <f t="shared" si="198"/>
        <v>0</v>
      </c>
      <c r="AF110" s="401">
        <f t="shared" si="198"/>
        <v>0</v>
      </c>
      <c r="AG110" s="401">
        <f t="shared" si="198"/>
        <v>0</v>
      </c>
      <c r="AH110" s="401">
        <f t="shared" si="198"/>
        <v>0</v>
      </c>
      <c r="AI110" s="401">
        <f t="shared" si="198"/>
        <v>0</v>
      </c>
      <c r="AJ110" s="401">
        <f t="shared" si="198"/>
        <v>0</v>
      </c>
      <c r="AK110" s="401">
        <f t="shared" si="198"/>
        <v>0</v>
      </c>
      <c r="AL110" s="401">
        <f t="shared" si="198"/>
        <v>0</v>
      </c>
      <c r="AM110" s="401">
        <f t="shared" si="198"/>
        <v>0</v>
      </c>
      <c r="AN110" s="401">
        <f t="shared" si="198"/>
        <v>0</v>
      </c>
      <c r="AO110" s="401">
        <f t="shared" si="198"/>
        <v>0</v>
      </c>
      <c r="AP110" s="401">
        <f t="shared" ref="AP110:BU110" si="199" xml:space="preserve"> AO109</f>
        <v>0</v>
      </c>
      <c r="AQ110" s="401">
        <f t="shared" si="199"/>
        <v>0</v>
      </c>
      <c r="AR110" s="401">
        <f t="shared" si="199"/>
        <v>0</v>
      </c>
      <c r="AS110" s="401">
        <f t="shared" si="199"/>
        <v>0</v>
      </c>
      <c r="AT110" s="401">
        <f t="shared" si="199"/>
        <v>0</v>
      </c>
      <c r="AU110" s="401">
        <f t="shared" si="199"/>
        <v>0</v>
      </c>
      <c r="AV110" s="401">
        <f t="shared" si="199"/>
        <v>0</v>
      </c>
      <c r="AW110" s="401">
        <f t="shared" si="199"/>
        <v>0</v>
      </c>
      <c r="AX110" s="401">
        <f t="shared" si="199"/>
        <v>0</v>
      </c>
      <c r="AY110" s="401">
        <f t="shared" si="199"/>
        <v>0</v>
      </c>
      <c r="AZ110" s="401">
        <f t="shared" si="199"/>
        <v>0</v>
      </c>
      <c r="BA110" s="401">
        <f t="shared" si="199"/>
        <v>0</v>
      </c>
      <c r="BB110" s="401">
        <f t="shared" si="199"/>
        <v>0</v>
      </c>
      <c r="BC110" s="401">
        <f t="shared" si="199"/>
        <v>1</v>
      </c>
      <c r="BD110" s="401">
        <f t="shared" si="199"/>
        <v>0</v>
      </c>
      <c r="BE110" s="401">
        <f t="shared" si="199"/>
        <v>0</v>
      </c>
      <c r="BF110" s="401">
        <f t="shared" si="199"/>
        <v>0</v>
      </c>
      <c r="BG110" s="401">
        <f t="shared" si="199"/>
        <v>0</v>
      </c>
      <c r="BH110" s="401">
        <f t="shared" si="199"/>
        <v>0</v>
      </c>
      <c r="BI110" s="401">
        <f t="shared" si="199"/>
        <v>0</v>
      </c>
      <c r="BJ110" s="401">
        <f t="shared" si="199"/>
        <v>0</v>
      </c>
      <c r="BK110" s="401">
        <f t="shared" si="199"/>
        <v>0</v>
      </c>
      <c r="BL110" s="401">
        <f t="shared" si="199"/>
        <v>0</v>
      </c>
      <c r="BM110" s="401">
        <f t="shared" si="199"/>
        <v>0</v>
      </c>
      <c r="BN110" s="401">
        <f t="shared" si="199"/>
        <v>0</v>
      </c>
      <c r="BO110" s="401">
        <f t="shared" si="199"/>
        <v>0</v>
      </c>
      <c r="BP110" s="401">
        <f t="shared" si="199"/>
        <v>0</v>
      </c>
      <c r="BQ110" s="401">
        <f t="shared" si="199"/>
        <v>0</v>
      </c>
      <c r="BR110" s="401">
        <f t="shared" si="199"/>
        <v>0</v>
      </c>
      <c r="BS110" s="401">
        <f t="shared" si="199"/>
        <v>0</v>
      </c>
      <c r="BT110" s="401">
        <f t="shared" si="199"/>
        <v>0</v>
      </c>
      <c r="BU110" s="401">
        <f t="shared" si="199"/>
        <v>0</v>
      </c>
      <c r="BV110" s="401">
        <f t="shared" ref="BV110:CV110" si="200" xml:space="preserve"> BU109</f>
        <v>0</v>
      </c>
      <c r="BW110" s="401">
        <f t="shared" si="200"/>
        <v>0</v>
      </c>
      <c r="BX110" s="401">
        <f t="shared" si="200"/>
        <v>0</v>
      </c>
      <c r="BY110" s="401">
        <f t="shared" si="200"/>
        <v>0</v>
      </c>
      <c r="BZ110" s="401">
        <f t="shared" si="200"/>
        <v>0</v>
      </c>
      <c r="CA110" s="401">
        <f t="shared" si="200"/>
        <v>0</v>
      </c>
      <c r="CB110" s="401">
        <f t="shared" si="200"/>
        <v>0</v>
      </c>
      <c r="CC110" s="401">
        <f t="shared" si="200"/>
        <v>0</v>
      </c>
      <c r="CD110" s="401">
        <f t="shared" si="200"/>
        <v>0</v>
      </c>
      <c r="CE110" s="401">
        <f t="shared" si="200"/>
        <v>0</v>
      </c>
      <c r="CF110" s="401">
        <f t="shared" si="200"/>
        <v>0</v>
      </c>
      <c r="CG110" s="401">
        <f t="shared" si="200"/>
        <v>0</v>
      </c>
      <c r="CH110" s="401">
        <f t="shared" si="200"/>
        <v>0</v>
      </c>
      <c r="CI110" s="401">
        <f t="shared" si="200"/>
        <v>0</v>
      </c>
      <c r="CJ110" s="401">
        <f t="shared" si="200"/>
        <v>0</v>
      </c>
      <c r="CK110" s="401">
        <f t="shared" si="200"/>
        <v>0</v>
      </c>
      <c r="CL110" s="401">
        <f t="shared" si="200"/>
        <v>0</v>
      </c>
      <c r="CM110" s="401">
        <f t="shared" si="200"/>
        <v>0</v>
      </c>
      <c r="CN110" s="401">
        <f t="shared" si="200"/>
        <v>0</v>
      </c>
      <c r="CO110" s="401">
        <f t="shared" si="200"/>
        <v>0</v>
      </c>
      <c r="CP110" s="401">
        <f t="shared" si="200"/>
        <v>0</v>
      </c>
      <c r="CQ110" s="401">
        <f t="shared" si="200"/>
        <v>0</v>
      </c>
      <c r="CR110" s="401">
        <f t="shared" si="200"/>
        <v>0</v>
      </c>
      <c r="CS110" s="401">
        <f t="shared" si="200"/>
        <v>0</v>
      </c>
      <c r="CT110" s="401">
        <f t="shared" si="200"/>
        <v>0</v>
      </c>
      <c r="CU110" s="401">
        <f t="shared" si="200"/>
        <v>0</v>
      </c>
      <c r="CV110" s="401">
        <f t="shared" si="200"/>
        <v>0</v>
      </c>
    </row>
    <row r="111" spans="1:100" outlineLevel="1" x14ac:dyDescent="0.2"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</row>
    <row r="112" spans="1:100" outlineLevel="1" x14ac:dyDescent="0.2">
      <c r="B112" s="15" t="s">
        <v>141</v>
      </c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</row>
    <row r="113" spans="1:100" outlineLevel="2" x14ac:dyDescent="0.2">
      <c r="A113" s="54"/>
      <c r="C113" s="57"/>
      <c r="D113" s="58"/>
      <c r="E113" s="300" t="str">
        <f xml:space="preserve"> ConTime!E$73</f>
        <v>End of construction period date</v>
      </c>
      <c r="F113" s="300">
        <f xml:space="preserve"> ConTime!F$73</f>
        <v>45473</v>
      </c>
      <c r="G113" s="300" t="str">
        <f xml:space="preserve"> ConTime!G$73</f>
        <v>date</v>
      </c>
      <c r="H113" s="300"/>
      <c r="I113" s="300"/>
      <c r="J113" s="300"/>
      <c r="K113" s="300"/>
      <c r="L113" s="300"/>
      <c r="M113" s="300"/>
      <c r="N113" s="300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  <c r="AF113" s="300"/>
      <c r="AG113" s="300"/>
      <c r="AH113" s="300"/>
      <c r="AI113" s="300"/>
      <c r="AJ113" s="300"/>
      <c r="AK113" s="300"/>
      <c r="AL113" s="300"/>
      <c r="AM113" s="300"/>
      <c r="AN113" s="300"/>
      <c r="AO113" s="300"/>
      <c r="AP113" s="300"/>
      <c r="AQ113" s="300"/>
      <c r="AR113" s="300"/>
      <c r="AS113" s="300"/>
      <c r="AT113" s="300"/>
      <c r="AU113" s="300"/>
      <c r="AV113" s="300"/>
      <c r="AW113" s="300"/>
      <c r="AX113" s="300"/>
      <c r="AY113" s="300"/>
      <c r="AZ113" s="300"/>
      <c r="BA113" s="300"/>
      <c r="BB113" s="300"/>
      <c r="BC113" s="300"/>
      <c r="BD113" s="300"/>
      <c r="BE113" s="300"/>
      <c r="BF113" s="300"/>
      <c r="BG113" s="300"/>
      <c r="BH113" s="300"/>
      <c r="BI113" s="300"/>
      <c r="BJ113" s="300"/>
      <c r="BK113" s="300"/>
      <c r="BL113" s="300"/>
      <c r="BM113" s="300"/>
      <c r="BN113" s="300"/>
      <c r="BO113" s="300"/>
      <c r="BP113" s="300"/>
      <c r="BQ113" s="300"/>
      <c r="BR113" s="300"/>
      <c r="BS113" s="300"/>
      <c r="BT113" s="300"/>
      <c r="BU113" s="300"/>
      <c r="BV113" s="300"/>
      <c r="BW113" s="300"/>
      <c r="BX113" s="300"/>
      <c r="BY113" s="300"/>
      <c r="BZ113" s="300"/>
      <c r="CA113" s="300"/>
      <c r="CB113" s="300"/>
      <c r="CC113" s="300"/>
      <c r="CD113" s="300"/>
      <c r="CE113" s="300"/>
      <c r="CF113" s="300"/>
      <c r="CG113" s="300"/>
      <c r="CH113" s="300"/>
      <c r="CI113" s="300"/>
      <c r="CJ113" s="300"/>
      <c r="CK113" s="300"/>
      <c r="CL113" s="300"/>
      <c r="CM113" s="300"/>
      <c r="CN113" s="300"/>
      <c r="CO113" s="300"/>
      <c r="CP113" s="300"/>
      <c r="CQ113" s="300"/>
      <c r="CR113" s="300"/>
      <c r="CS113" s="300"/>
      <c r="CT113" s="300"/>
      <c r="CU113" s="300"/>
      <c r="CV113" s="300"/>
    </row>
    <row r="114" spans="1:100" outlineLevel="2" x14ac:dyDescent="0.2">
      <c r="E114" s="390" t="str">
        <f xml:space="preserve"> InpC!E$394</f>
        <v>Useful life of solar asset</v>
      </c>
      <c r="F114" s="390">
        <f xml:space="preserve"> InpC!F$394</f>
        <v>20</v>
      </c>
      <c r="G114" s="390" t="str">
        <f xml:space="preserve"> InpC!G$394</f>
        <v>years</v>
      </c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</row>
    <row r="115" spans="1:100" outlineLevel="2" x14ac:dyDescent="0.2">
      <c r="A115" s="75"/>
      <c r="B115" s="75"/>
      <c r="C115" s="76"/>
      <c r="D115" s="77"/>
      <c r="E115" s="77" t="str">
        <f xml:space="preserve"> InpC!E$412</f>
        <v>Months in year</v>
      </c>
      <c r="F115" s="77">
        <f xml:space="preserve"> InpC!F$412</f>
        <v>12</v>
      </c>
      <c r="G115" s="77" t="str">
        <f xml:space="preserve"> InpC!G$412</f>
        <v>months</v>
      </c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77"/>
      <c r="BS115" s="77"/>
      <c r="BT115" s="77"/>
      <c r="BU115" s="77"/>
      <c r="BV115" s="77"/>
      <c r="BW115" s="77"/>
      <c r="BX115" s="77"/>
      <c r="BY115" s="77"/>
      <c r="BZ115" s="77"/>
      <c r="CA115" s="77"/>
      <c r="CB115" s="77"/>
      <c r="CC115" s="77"/>
      <c r="CD115" s="77"/>
      <c r="CE115" s="77"/>
      <c r="CF115" s="77"/>
      <c r="CG115" s="77"/>
      <c r="CH115" s="77"/>
      <c r="CI115" s="77"/>
      <c r="CJ115" s="77"/>
      <c r="CK115" s="77"/>
      <c r="CL115" s="77"/>
      <c r="CM115" s="77"/>
      <c r="CN115" s="77"/>
      <c r="CO115" s="77"/>
      <c r="CP115" s="77"/>
      <c r="CQ115" s="77"/>
      <c r="CR115" s="77"/>
      <c r="CS115" s="77"/>
      <c r="CT115" s="77"/>
      <c r="CU115" s="77"/>
      <c r="CV115" s="77"/>
    </row>
    <row r="116" spans="1:100" outlineLevel="2" x14ac:dyDescent="0.2">
      <c r="A116" s="72"/>
      <c r="B116" s="72"/>
      <c r="C116" s="73"/>
      <c r="D116" s="74"/>
      <c r="E116" s="26" t="s">
        <v>142</v>
      </c>
      <c r="F116" s="26">
        <f xml:space="preserve"> EOMONTH(F113, (F114 * F115))</f>
        <v>52778</v>
      </c>
      <c r="G116" s="26" t="s">
        <v>6</v>
      </c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</row>
    <row r="117" spans="1:100" outlineLevel="2" x14ac:dyDescent="0.2">
      <c r="E117" s="6"/>
      <c r="F117" s="6"/>
      <c r="G117" s="6"/>
      <c r="H117" s="6"/>
      <c r="I117" s="7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</row>
    <row r="118" spans="1:100" outlineLevel="2" x14ac:dyDescent="0.2">
      <c r="A118" s="54"/>
      <c r="B118" s="54"/>
      <c r="C118" s="57"/>
      <c r="D118" s="69"/>
      <c r="E118" s="26" t="str">
        <f xml:space="preserve"> E$116</f>
        <v>End of useful life of solar asset</v>
      </c>
      <c r="F118" s="26">
        <f xml:space="preserve"> F$116</f>
        <v>52778</v>
      </c>
      <c r="G118" s="26" t="str">
        <f xml:space="preserve"> G$116</f>
        <v>date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</row>
    <row r="119" spans="1:100" outlineLevel="2" x14ac:dyDescent="0.2">
      <c r="A119" s="49"/>
      <c r="C119" s="50"/>
      <c r="D119" s="51"/>
      <c r="E119" s="11" t="str">
        <f t="shared" ref="E119:BP119" si="201" xml:space="preserve"> E$25</f>
        <v>Model period ending</v>
      </c>
      <c r="F119" s="11">
        <f t="shared" si="201"/>
        <v>0</v>
      </c>
      <c r="G119" s="11" t="str">
        <f t="shared" si="201"/>
        <v>date</v>
      </c>
      <c r="H119" s="11">
        <f t="shared" si="201"/>
        <v>0</v>
      </c>
      <c r="I119" s="136">
        <f t="shared" si="201"/>
        <v>0</v>
      </c>
      <c r="J119" s="11">
        <f t="shared" si="201"/>
        <v>44742</v>
      </c>
      <c r="K119" s="11">
        <f t="shared" si="201"/>
        <v>44926</v>
      </c>
      <c r="L119" s="11">
        <f t="shared" si="201"/>
        <v>45107</v>
      </c>
      <c r="M119" s="11">
        <f t="shared" si="201"/>
        <v>45291</v>
      </c>
      <c r="N119" s="11">
        <f t="shared" si="201"/>
        <v>45473</v>
      </c>
      <c r="O119" s="11">
        <f t="shared" si="201"/>
        <v>45657</v>
      </c>
      <c r="P119" s="11">
        <f t="shared" si="201"/>
        <v>45838</v>
      </c>
      <c r="Q119" s="11">
        <f t="shared" si="201"/>
        <v>46022</v>
      </c>
      <c r="R119" s="11">
        <f t="shared" si="201"/>
        <v>46203</v>
      </c>
      <c r="S119" s="11">
        <f t="shared" si="201"/>
        <v>46387</v>
      </c>
      <c r="T119" s="11">
        <f t="shared" si="201"/>
        <v>46568</v>
      </c>
      <c r="U119" s="11">
        <f t="shared" si="201"/>
        <v>46752</v>
      </c>
      <c r="V119" s="11">
        <f t="shared" si="201"/>
        <v>46934</v>
      </c>
      <c r="W119" s="11">
        <f t="shared" si="201"/>
        <v>47118</v>
      </c>
      <c r="X119" s="11">
        <f t="shared" si="201"/>
        <v>47299</v>
      </c>
      <c r="Y119" s="11">
        <f t="shared" si="201"/>
        <v>47483</v>
      </c>
      <c r="Z119" s="11">
        <f t="shared" si="201"/>
        <v>47664</v>
      </c>
      <c r="AA119" s="11">
        <f t="shared" si="201"/>
        <v>47848</v>
      </c>
      <c r="AB119" s="11">
        <f t="shared" si="201"/>
        <v>48029</v>
      </c>
      <c r="AC119" s="11">
        <f t="shared" si="201"/>
        <v>48213</v>
      </c>
      <c r="AD119" s="11">
        <f t="shared" si="201"/>
        <v>48395</v>
      </c>
      <c r="AE119" s="11">
        <f t="shared" si="201"/>
        <v>48579</v>
      </c>
      <c r="AF119" s="11">
        <f t="shared" si="201"/>
        <v>48760</v>
      </c>
      <c r="AG119" s="11">
        <f t="shared" si="201"/>
        <v>48944</v>
      </c>
      <c r="AH119" s="11">
        <f t="shared" si="201"/>
        <v>49125</v>
      </c>
      <c r="AI119" s="11">
        <f t="shared" si="201"/>
        <v>49309</v>
      </c>
      <c r="AJ119" s="11">
        <f t="shared" si="201"/>
        <v>49490</v>
      </c>
      <c r="AK119" s="11">
        <f t="shared" si="201"/>
        <v>49674</v>
      </c>
      <c r="AL119" s="11">
        <f t="shared" si="201"/>
        <v>49856</v>
      </c>
      <c r="AM119" s="11">
        <f t="shared" si="201"/>
        <v>50040</v>
      </c>
      <c r="AN119" s="11">
        <f t="shared" si="201"/>
        <v>50221</v>
      </c>
      <c r="AO119" s="11">
        <f t="shared" si="201"/>
        <v>50405</v>
      </c>
      <c r="AP119" s="11">
        <f t="shared" si="201"/>
        <v>50586</v>
      </c>
      <c r="AQ119" s="11">
        <f t="shared" si="201"/>
        <v>50770</v>
      </c>
      <c r="AR119" s="11">
        <f t="shared" si="201"/>
        <v>50951</v>
      </c>
      <c r="AS119" s="11">
        <f t="shared" si="201"/>
        <v>51135</v>
      </c>
      <c r="AT119" s="11">
        <f t="shared" si="201"/>
        <v>51317</v>
      </c>
      <c r="AU119" s="11">
        <f t="shared" si="201"/>
        <v>51501</v>
      </c>
      <c r="AV119" s="11">
        <f t="shared" si="201"/>
        <v>51682</v>
      </c>
      <c r="AW119" s="11">
        <f t="shared" si="201"/>
        <v>51866</v>
      </c>
      <c r="AX119" s="11">
        <f t="shared" si="201"/>
        <v>52047</v>
      </c>
      <c r="AY119" s="11">
        <f t="shared" si="201"/>
        <v>52231</v>
      </c>
      <c r="AZ119" s="11">
        <f t="shared" si="201"/>
        <v>52412</v>
      </c>
      <c r="BA119" s="11">
        <f t="shared" si="201"/>
        <v>52596</v>
      </c>
      <c r="BB119" s="11">
        <f t="shared" si="201"/>
        <v>52778</v>
      </c>
      <c r="BC119" s="11">
        <f t="shared" si="201"/>
        <v>52962</v>
      </c>
      <c r="BD119" s="11">
        <f t="shared" si="201"/>
        <v>53143</v>
      </c>
      <c r="BE119" s="11">
        <f t="shared" si="201"/>
        <v>53327</v>
      </c>
      <c r="BF119" s="11">
        <f t="shared" si="201"/>
        <v>53508</v>
      </c>
      <c r="BG119" s="11">
        <f t="shared" si="201"/>
        <v>53692</v>
      </c>
      <c r="BH119" s="11">
        <f t="shared" si="201"/>
        <v>53873</v>
      </c>
      <c r="BI119" s="11">
        <f t="shared" si="201"/>
        <v>54057</v>
      </c>
      <c r="BJ119" s="11">
        <f t="shared" si="201"/>
        <v>54239</v>
      </c>
      <c r="BK119" s="11">
        <f t="shared" si="201"/>
        <v>54423</v>
      </c>
      <c r="BL119" s="11">
        <f t="shared" si="201"/>
        <v>54604</v>
      </c>
      <c r="BM119" s="11">
        <f t="shared" si="201"/>
        <v>54788</v>
      </c>
      <c r="BN119" s="11">
        <f t="shared" si="201"/>
        <v>54969</v>
      </c>
      <c r="BO119" s="11">
        <f t="shared" si="201"/>
        <v>55153</v>
      </c>
      <c r="BP119" s="11">
        <f t="shared" si="201"/>
        <v>55334</v>
      </c>
      <c r="BQ119" s="11">
        <f t="shared" ref="BQ119:CV119" si="202" xml:space="preserve"> BQ$25</f>
        <v>55518</v>
      </c>
      <c r="BR119" s="11">
        <f t="shared" si="202"/>
        <v>55700</v>
      </c>
      <c r="BS119" s="11">
        <f t="shared" si="202"/>
        <v>55884</v>
      </c>
      <c r="BT119" s="11">
        <f t="shared" si="202"/>
        <v>56065</v>
      </c>
      <c r="BU119" s="11">
        <f t="shared" si="202"/>
        <v>56249</v>
      </c>
      <c r="BV119" s="11">
        <f t="shared" si="202"/>
        <v>56430</v>
      </c>
      <c r="BW119" s="11">
        <f t="shared" si="202"/>
        <v>56614</v>
      </c>
      <c r="BX119" s="11">
        <f t="shared" si="202"/>
        <v>56795</v>
      </c>
      <c r="BY119" s="11">
        <f t="shared" si="202"/>
        <v>56979</v>
      </c>
      <c r="BZ119" s="11">
        <f t="shared" si="202"/>
        <v>57161</v>
      </c>
      <c r="CA119" s="11">
        <f t="shared" si="202"/>
        <v>57345</v>
      </c>
      <c r="CB119" s="11">
        <f t="shared" si="202"/>
        <v>57526</v>
      </c>
      <c r="CC119" s="11">
        <f t="shared" si="202"/>
        <v>57710</v>
      </c>
      <c r="CD119" s="11">
        <f t="shared" si="202"/>
        <v>57891</v>
      </c>
      <c r="CE119" s="11">
        <f t="shared" si="202"/>
        <v>58075</v>
      </c>
      <c r="CF119" s="11">
        <f t="shared" si="202"/>
        <v>58256</v>
      </c>
      <c r="CG119" s="11">
        <f t="shared" si="202"/>
        <v>58440</v>
      </c>
      <c r="CH119" s="11">
        <f t="shared" si="202"/>
        <v>58622</v>
      </c>
      <c r="CI119" s="11">
        <f t="shared" si="202"/>
        <v>58806</v>
      </c>
      <c r="CJ119" s="11">
        <f t="shared" si="202"/>
        <v>58987</v>
      </c>
      <c r="CK119" s="11">
        <f t="shared" si="202"/>
        <v>59171</v>
      </c>
      <c r="CL119" s="11">
        <f t="shared" si="202"/>
        <v>59352</v>
      </c>
      <c r="CM119" s="11">
        <f t="shared" si="202"/>
        <v>59536</v>
      </c>
      <c r="CN119" s="11">
        <f t="shared" si="202"/>
        <v>59717</v>
      </c>
      <c r="CO119" s="11">
        <f t="shared" si="202"/>
        <v>59901</v>
      </c>
      <c r="CP119" s="11">
        <f t="shared" si="202"/>
        <v>60083</v>
      </c>
      <c r="CQ119" s="11">
        <f t="shared" si="202"/>
        <v>60267</v>
      </c>
      <c r="CR119" s="11">
        <f t="shared" si="202"/>
        <v>60448</v>
      </c>
      <c r="CS119" s="11">
        <f t="shared" si="202"/>
        <v>60632</v>
      </c>
      <c r="CT119" s="11">
        <f t="shared" si="202"/>
        <v>60813</v>
      </c>
      <c r="CU119" s="11">
        <f t="shared" si="202"/>
        <v>60997</v>
      </c>
      <c r="CV119" s="11">
        <f t="shared" si="202"/>
        <v>61178</v>
      </c>
    </row>
    <row r="120" spans="1:100" outlineLevel="2" x14ac:dyDescent="0.2">
      <c r="A120" s="429"/>
      <c r="B120" s="429"/>
      <c r="C120" s="430"/>
      <c r="D120" s="190"/>
      <c r="E120" s="191" t="s">
        <v>231</v>
      </c>
      <c r="F120" s="191"/>
      <c r="G120" s="191" t="s">
        <v>5</v>
      </c>
      <c r="H120" s="191">
        <f xml:space="preserve"> SUM(J120:CV120)</f>
        <v>1</v>
      </c>
      <c r="I120" s="192"/>
      <c r="J120" s="234">
        <f t="shared" ref="J120:BU120" si="203" xml:space="preserve"> IF(J119 = $F118, 1, 0)</f>
        <v>0</v>
      </c>
      <c r="K120" s="234">
        <f t="shared" si="203"/>
        <v>0</v>
      </c>
      <c r="L120" s="234">
        <f t="shared" si="203"/>
        <v>0</v>
      </c>
      <c r="M120" s="234">
        <f t="shared" si="203"/>
        <v>0</v>
      </c>
      <c r="N120" s="234">
        <f t="shared" si="203"/>
        <v>0</v>
      </c>
      <c r="O120" s="234">
        <f t="shared" si="203"/>
        <v>0</v>
      </c>
      <c r="P120" s="234">
        <f t="shared" si="203"/>
        <v>0</v>
      </c>
      <c r="Q120" s="234">
        <f t="shared" si="203"/>
        <v>0</v>
      </c>
      <c r="R120" s="234">
        <f t="shared" si="203"/>
        <v>0</v>
      </c>
      <c r="S120" s="234">
        <f t="shared" si="203"/>
        <v>0</v>
      </c>
      <c r="T120" s="234">
        <f t="shared" si="203"/>
        <v>0</v>
      </c>
      <c r="U120" s="234">
        <f t="shared" si="203"/>
        <v>0</v>
      </c>
      <c r="V120" s="234">
        <f t="shared" si="203"/>
        <v>0</v>
      </c>
      <c r="W120" s="234">
        <f t="shared" si="203"/>
        <v>0</v>
      </c>
      <c r="X120" s="234">
        <f t="shared" si="203"/>
        <v>0</v>
      </c>
      <c r="Y120" s="234">
        <f t="shared" si="203"/>
        <v>0</v>
      </c>
      <c r="Z120" s="234">
        <f t="shared" si="203"/>
        <v>0</v>
      </c>
      <c r="AA120" s="234">
        <f t="shared" si="203"/>
        <v>0</v>
      </c>
      <c r="AB120" s="234">
        <f t="shared" si="203"/>
        <v>0</v>
      </c>
      <c r="AC120" s="234">
        <f t="shared" si="203"/>
        <v>0</v>
      </c>
      <c r="AD120" s="234">
        <f t="shared" si="203"/>
        <v>0</v>
      </c>
      <c r="AE120" s="234">
        <f t="shared" si="203"/>
        <v>0</v>
      </c>
      <c r="AF120" s="234">
        <f t="shared" si="203"/>
        <v>0</v>
      </c>
      <c r="AG120" s="234">
        <f t="shared" si="203"/>
        <v>0</v>
      </c>
      <c r="AH120" s="234">
        <f t="shared" si="203"/>
        <v>0</v>
      </c>
      <c r="AI120" s="234">
        <f t="shared" si="203"/>
        <v>0</v>
      </c>
      <c r="AJ120" s="234">
        <f t="shared" si="203"/>
        <v>0</v>
      </c>
      <c r="AK120" s="234">
        <f t="shared" si="203"/>
        <v>0</v>
      </c>
      <c r="AL120" s="234">
        <f t="shared" si="203"/>
        <v>0</v>
      </c>
      <c r="AM120" s="234">
        <f t="shared" si="203"/>
        <v>0</v>
      </c>
      <c r="AN120" s="234">
        <f t="shared" si="203"/>
        <v>0</v>
      </c>
      <c r="AO120" s="234">
        <f t="shared" si="203"/>
        <v>0</v>
      </c>
      <c r="AP120" s="234">
        <f t="shared" si="203"/>
        <v>0</v>
      </c>
      <c r="AQ120" s="234">
        <f t="shared" si="203"/>
        <v>0</v>
      </c>
      <c r="AR120" s="234">
        <f t="shared" si="203"/>
        <v>0</v>
      </c>
      <c r="AS120" s="234">
        <f t="shared" si="203"/>
        <v>0</v>
      </c>
      <c r="AT120" s="234">
        <f t="shared" si="203"/>
        <v>0</v>
      </c>
      <c r="AU120" s="234">
        <f t="shared" si="203"/>
        <v>0</v>
      </c>
      <c r="AV120" s="234">
        <f t="shared" si="203"/>
        <v>0</v>
      </c>
      <c r="AW120" s="234">
        <f t="shared" si="203"/>
        <v>0</v>
      </c>
      <c r="AX120" s="234">
        <f t="shared" si="203"/>
        <v>0</v>
      </c>
      <c r="AY120" s="234">
        <f t="shared" si="203"/>
        <v>0</v>
      </c>
      <c r="AZ120" s="234">
        <f t="shared" si="203"/>
        <v>0</v>
      </c>
      <c r="BA120" s="234">
        <f t="shared" si="203"/>
        <v>0</v>
      </c>
      <c r="BB120" s="234">
        <f t="shared" si="203"/>
        <v>1</v>
      </c>
      <c r="BC120" s="234">
        <f t="shared" si="203"/>
        <v>0</v>
      </c>
      <c r="BD120" s="234">
        <f t="shared" si="203"/>
        <v>0</v>
      </c>
      <c r="BE120" s="234">
        <f t="shared" si="203"/>
        <v>0</v>
      </c>
      <c r="BF120" s="234">
        <f t="shared" si="203"/>
        <v>0</v>
      </c>
      <c r="BG120" s="234">
        <f t="shared" si="203"/>
        <v>0</v>
      </c>
      <c r="BH120" s="234">
        <f t="shared" si="203"/>
        <v>0</v>
      </c>
      <c r="BI120" s="234">
        <f t="shared" si="203"/>
        <v>0</v>
      </c>
      <c r="BJ120" s="234">
        <f t="shared" si="203"/>
        <v>0</v>
      </c>
      <c r="BK120" s="234">
        <f t="shared" si="203"/>
        <v>0</v>
      </c>
      <c r="BL120" s="234">
        <f t="shared" si="203"/>
        <v>0</v>
      </c>
      <c r="BM120" s="234">
        <f t="shared" si="203"/>
        <v>0</v>
      </c>
      <c r="BN120" s="234">
        <f t="shared" si="203"/>
        <v>0</v>
      </c>
      <c r="BO120" s="234">
        <f t="shared" si="203"/>
        <v>0</v>
      </c>
      <c r="BP120" s="234">
        <f t="shared" si="203"/>
        <v>0</v>
      </c>
      <c r="BQ120" s="234">
        <f t="shared" si="203"/>
        <v>0</v>
      </c>
      <c r="BR120" s="234">
        <f t="shared" si="203"/>
        <v>0</v>
      </c>
      <c r="BS120" s="234">
        <f t="shared" si="203"/>
        <v>0</v>
      </c>
      <c r="BT120" s="234">
        <f t="shared" si="203"/>
        <v>0</v>
      </c>
      <c r="BU120" s="234">
        <f t="shared" si="203"/>
        <v>0</v>
      </c>
      <c r="BV120" s="234">
        <f t="shared" ref="BV120:CV120" si="204" xml:space="preserve"> IF(BV119 = $F118, 1, 0)</f>
        <v>0</v>
      </c>
      <c r="BW120" s="234">
        <f t="shared" si="204"/>
        <v>0</v>
      </c>
      <c r="BX120" s="234">
        <f t="shared" si="204"/>
        <v>0</v>
      </c>
      <c r="BY120" s="234">
        <f t="shared" si="204"/>
        <v>0</v>
      </c>
      <c r="BZ120" s="234">
        <f t="shared" si="204"/>
        <v>0</v>
      </c>
      <c r="CA120" s="234">
        <f t="shared" si="204"/>
        <v>0</v>
      </c>
      <c r="CB120" s="234">
        <f t="shared" si="204"/>
        <v>0</v>
      </c>
      <c r="CC120" s="234">
        <f t="shared" si="204"/>
        <v>0</v>
      </c>
      <c r="CD120" s="234">
        <f t="shared" si="204"/>
        <v>0</v>
      </c>
      <c r="CE120" s="234">
        <f t="shared" si="204"/>
        <v>0</v>
      </c>
      <c r="CF120" s="234">
        <f t="shared" si="204"/>
        <v>0</v>
      </c>
      <c r="CG120" s="234">
        <f t="shared" si="204"/>
        <v>0</v>
      </c>
      <c r="CH120" s="234">
        <f t="shared" si="204"/>
        <v>0</v>
      </c>
      <c r="CI120" s="234">
        <f t="shared" si="204"/>
        <v>0</v>
      </c>
      <c r="CJ120" s="234">
        <f t="shared" si="204"/>
        <v>0</v>
      </c>
      <c r="CK120" s="234">
        <f t="shared" si="204"/>
        <v>0</v>
      </c>
      <c r="CL120" s="234">
        <f t="shared" si="204"/>
        <v>0</v>
      </c>
      <c r="CM120" s="234">
        <f t="shared" si="204"/>
        <v>0</v>
      </c>
      <c r="CN120" s="234">
        <f t="shared" si="204"/>
        <v>0</v>
      </c>
      <c r="CO120" s="234">
        <f t="shared" si="204"/>
        <v>0</v>
      </c>
      <c r="CP120" s="234">
        <f t="shared" si="204"/>
        <v>0</v>
      </c>
      <c r="CQ120" s="234">
        <f t="shared" si="204"/>
        <v>0</v>
      </c>
      <c r="CR120" s="234">
        <f t="shared" si="204"/>
        <v>0</v>
      </c>
      <c r="CS120" s="234">
        <f t="shared" si="204"/>
        <v>0</v>
      </c>
      <c r="CT120" s="234">
        <f t="shared" si="204"/>
        <v>0</v>
      </c>
      <c r="CU120" s="234">
        <f t="shared" si="204"/>
        <v>0</v>
      </c>
      <c r="CV120" s="234">
        <f t="shared" si="204"/>
        <v>0</v>
      </c>
    </row>
    <row r="121" spans="1:100" outlineLevel="2" x14ac:dyDescent="0.2">
      <c r="E121" s="6"/>
      <c r="F121" s="6"/>
      <c r="G121" s="6"/>
      <c r="H121" s="6"/>
      <c r="I121" s="7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</row>
    <row r="122" spans="1:100" outlineLevel="2" x14ac:dyDescent="0.2">
      <c r="E122" s="198" t="str">
        <f t="shared" ref="E122:AJ122" si="205" xml:space="preserve"> E$90</f>
        <v>First operating period flag</v>
      </c>
      <c r="F122" s="198">
        <f t="shared" si="205"/>
        <v>0</v>
      </c>
      <c r="G122" s="198" t="str">
        <f t="shared" si="205"/>
        <v>flag</v>
      </c>
      <c r="H122" s="198">
        <f t="shared" si="205"/>
        <v>1</v>
      </c>
      <c r="I122" s="198">
        <f t="shared" si="205"/>
        <v>0</v>
      </c>
      <c r="J122" s="198">
        <f t="shared" si="205"/>
        <v>0</v>
      </c>
      <c r="K122" s="198">
        <f t="shared" si="205"/>
        <v>0</v>
      </c>
      <c r="L122" s="198">
        <f t="shared" si="205"/>
        <v>0</v>
      </c>
      <c r="M122" s="198">
        <f t="shared" si="205"/>
        <v>0</v>
      </c>
      <c r="N122" s="198">
        <f t="shared" si="205"/>
        <v>0</v>
      </c>
      <c r="O122" s="198">
        <f t="shared" si="205"/>
        <v>1</v>
      </c>
      <c r="P122" s="198">
        <f t="shared" si="205"/>
        <v>0</v>
      </c>
      <c r="Q122" s="198">
        <f t="shared" si="205"/>
        <v>0</v>
      </c>
      <c r="R122" s="198">
        <f t="shared" si="205"/>
        <v>0</v>
      </c>
      <c r="S122" s="198">
        <f t="shared" si="205"/>
        <v>0</v>
      </c>
      <c r="T122" s="198">
        <f t="shared" si="205"/>
        <v>0</v>
      </c>
      <c r="U122" s="198">
        <f t="shared" si="205"/>
        <v>0</v>
      </c>
      <c r="V122" s="198">
        <f t="shared" si="205"/>
        <v>0</v>
      </c>
      <c r="W122" s="198">
        <f t="shared" si="205"/>
        <v>0</v>
      </c>
      <c r="X122" s="198">
        <f t="shared" si="205"/>
        <v>0</v>
      </c>
      <c r="Y122" s="198">
        <f t="shared" si="205"/>
        <v>0</v>
      </c>
      <c r="Z122" s="198">
        <f t="shared" si="205"/>
        <v>0</v>
      </c>
      <c r="AA122" s="198">
        <f t="shared" si="205"/>
        <v>0</v>
      </c>
      <c r="AB122" s="198">
        <f t="shared" si="205"/>
        <v>0</v>
      </c>
      <c r="AC122" s="198">
        <f t="shared" si="205"/>
        <v>0</v>
      </c>
      <c r="AD122" s="198">
        <f t="shared" si="205"/>
        <v>0</v>
      </c>
      <c r="AE122" s="198">
        <f t="shared" si="205"/>
        <v>0</v>
      </c>
      <c r="AF122" s="198">
        <f t="shared" si="205"/>
        <v>0</v>
      </c>
      <c r="AG122" s="198">
        <f t="shared" si="205"/>
        <v>0</v>
      </c>
      <c r="AH122" s="198">
        <f t="shared" si="205"/>
        <v>0</v>
      </c>
      <c r="AI122" s="198">
        <f t="shared" si="205"/>
        <v>0</v>
      </c>
      <c r="AJ122" s="198">
        <f t="shared" si="205"/>
        <v>0</v>
      </c>
      <c r="AK122" s="198">
        <f t="shared" ref="AK122:BP122" si="206" xml:space="preserve"> AK$90</f>
        <v>0</v>
      </c>
      <c r="AL122" s="198">
        <f t="shared" si="206"/>
        <v>0</v>
      </c>
      <c r="AM122" s="198">
        <f t="shared" si="206"/>
        <v>0</v>
      </c>
      <c r="AN122" s="198">
        <f t="shared" si="206"/>
        <v>0</v>
      </c>
      <c r="AO122" s="198">
        <f t="shared" si="206"/>
        <v>0</v>
      </c>
      <c r="AP122" s="198">
        <f t="shared" si="206"/>
        <v>0</v>
      </c>
      <c r="AQ122" s="198">
        <f t="shared" si="206"/>
        <v>0</v>
      </c>
      <c r="AR122" s="198">
        <f t="shared" si="206"/>
        <v>0</v>
      </c>
      <c r="AS122" s="198">
        <f t="shared" si="206"/>
        <v>0</v>
      </c>
      <c r="AT122" s="198">
        <f t="shared" si="206"/>
        <v>0</v>
      </c>
      <c r="AU122" s="198">
        <f t="shared" si="206"/>
        <v>0</v>
      </c>
      <c r="AV122" s="198">
        <f t="shared" si="206"/>
        <v>0</v>
      </c>
      <c r="AW122" s="198">
        <f t="shared" si="206"/>
        <v>0</v>
      </c>
      <c r="AX122" s="198">
        <f t="shared" si="206"/>
        <v>0</v>
      </c>
      <c r="AY122" s="198">
        <f t="shared" si="206"/>
        <v>0</v>
      </c>
      <c r="AZ122" s="198">
        <f t="shared" si="206"/>
        <v>0</v>
      </c>
      <c r="BA122" s="198">
        <f t="shared" si="206"/>
        <v>0</v>
      </c>
      <c r="BB122" s="198">
        <f t="shared" si="206"/>
        <v>0</v>
      </c>
      <c r="BC122" s="198">
        <f t="shared" si="206"/>
        <v>0</v>
      </c>
      <c r="BD122" s="198">
        <f t="shared" si="206"/>
        <v>0</v>
      </c>
      <c r="BE122" s="198">
        <f t="shared" si="206"/>
        <v>0</v>
      </c>
      <c r="BF122" s="198">
        <f t="shared" si="206"/>
        <v>0</v>
      </c>
      <c r="BG122" s="198">
        <f t="shared" si="206"/>
        <v>0</v>
      </c>
      <c r="BH122" s="198">
        <f t="shared" si="206"/>
        <v>0</v>
      </c>
      <c r="BI122" s="198">
        <f t="shared" si="206"/>
        <v>0</v>
      </c>
      <c r="BJ122" s="198">
        <f t="shared" si="206"/>
        <v>0</v>
      </c>
      <c r="BK122" s="198">
        <f t="shared" si="206"/>
        <v>0</v>
      </c>
      <c r="BL122" s="198">
        <f t="shared" si="206"/>
        <v>0</v>
      </c>
      <c r="BM122" s="198">
        <f t="shared" si="206"/>
        <v>0</v>
      </c>
      <c r="BN122" s="198">
        <f t="shared" si="206"/>
        <v>0</v>
      </c>
      <c r="BO122" s="198">
        <f t="shared" si="206"/>
        <v>0</v>
      </c>
      <c r="BP122" s="198">
        <f t="shared" si="206"/>
        <v>0</v>
      </c>
      <c r="BQ122" s="198">
        <f t="shared" ref="BQ122:CV122" si="207" xml:space="preserve"> BQ$90</f>
        <v>0</v>
      </c>
      <c r="BR122" s="198">
        <f t="shared" si="207"/>
        <v>0</v>
      </c>
      <c r="BS122" s="198">
        <f t="shared" si="207"/>
        <v>0</v>
      </c>
      <c r="BT122" s="198">
        <f t="shared" si="207"/>
        <v>0</v>
      </c>
      <c r="BU122" s="198">
        <f t="shared" si="207"/>
        <v>0</v>
      </c>
      <c r="BV122" s="198">
        <f t="shared" si="207"/>
        <v>0</v>
      </c>
      <c r="BW122" s="198">
        <f t="shared" si="207"/>
        <v>0</v>
      </c>
      <c r="BX122" s="198">
        <f t="shared" si="207"/>
        <v>0</v>
      </c>
      <c r="BY122" s="198">
        <f t="shared" si="207"/>
        <v>0</v>
      </c>
      <c r="BZ122" s="198">
        <f t="shared" si="207"/>
        <v>0</v>
      </c>
      <c r="CA122" s="198">
        <f t="shared" si="207"/>
        <v>0</v>
      </c>
      <c r="CB122" s="198">
        <f t="shared" si="207"/>
        <v>0</v>
      </c>
      <c r="CC122" s="198">
        <f t="shared" si="207"/>
        <v>0</v>
      </c>
      <c r="CD122" s="198">
        <f t="shared" si="207"/>
        <v>0</v>
      </c>
      <c r="CE122" s="198">
        <f t="shared" si="207"/>
        <v>0</v>
      </c>
      <c r="CF122" s="198">
        <f t="shared" si="207"/>
        <v>0</v>
      </c>
      <c r="CG122" s="198">
        <f t="shared" si="207"/>
        <v>0</v>
      </c>
      <c r="CH122" s="198">
        <f t="shared" si="207"/>
        <v>0</v>
      </c>
      <c r="CI122" s="198">
        <f t="shared" si="207"/>
        <v>0</v>
      </c>
      <c r="CJ122" s="198">
        <f t="shared" si="207"/>
        <v>0</v>
      </c>
      <c r="CK122" s="198">
        <f t="shared" si="207"/>
        <v>0</v>
      </c>
      <c r="CL122" s="198">
        <f t="shared" si="207"/>
        <v>0</v>
      </c>
      <c r="CM122" s="198">
        <f t="shared" si="207"/>
        <v>0</v>
      </c>
      <c r="CN122" s="198">
        <f t="shared" si="207"/>
        <v>0</v>
      </c>
      <c r="CO122" s="198">
        <f t="shared" si="207"/>
        <v>0</v>
      </c>
      <c r="CP122" s="198">
        <f t="shared" si="207"/>
        <v>0</v>
      </c>
      <c r="CQ122" s="198">
        <f t="shared" si="207"/>
        <v>0</v>
      </c>
      <c r="CR122" s="198">
        <f t="shared" si="207"/>
        <v>0</v>
      </c>
      <c r="CS122" s="198">
        <f t="shared" si="207"/>
        <v>0</v>
      </c>
      <c r="CT122" s="198">
        <f t="shared" si="207"/>
        <v>0</v>
      </c>
      <c r="CU122" s="198">
        <f t="shared" si="207"/>
        <v>0</v>
      </c>
      <c r="CV122" s="198">
        <f t="shared" si="207"/>
        <v>0</v>
      </c>
    </row>
    <row r="123" spans="1:100" outlineLevel="2" x14ac:dyDescent="0.2">
      <c r="A123" s="49"/>
      <c r="C123" s="50"/>
      <c r="D123" s="51"/>
      <c r="E123" s="469" t="str">
        <f t="shared" ref="E123:AJ123" si="208" xml:space="preserve"> E$120</f>
        <v>End of useful life of solar asset flag</v>
      </c>
      <c r="F123" s="469">
        <f t="shared" si="208"/>
        <v>0</v>
      </c>
      <c r="G123" s="469" t="str">
        <f t="shared" si="208"/>
        <v>flag</v>
      </c>
      <c r="H123" s="469">
        <f t="shared" si="208"/>
        <v>1</v>
      </c>
      <c r="I123" s="469">
        <f t="shared" si="208"/>
        <v>0</v>
      </c>
      <c r="J123" s="469">
        <f t="shared" si="208"/>
        <v>0</v>
      </c>
      <c r="K123" s="469">
        <f t="shared" si="208"/>
        <v>0</v>
      </c>
      <c r="L123" s="469">
        <f t="shared" si="208"/>
        <v>0</v>
      </c>
      <c r="M123" s="469">
        <f t="shared" si="208"/>
        <v>0</v>
      </c>
      <c r="N123" s="469">
        <f t="shared" si="208"/>
        <v>0</v>
      </c>
      <c r="O123" s="469">
        <f t="shared" si="208"/>
        <v>0</v>
      </c>
      <c r="P123" s="469">
        <f t="shared" si="208"/>
        <v>0</v>
      </c>
      <c r="Q123" s="469">
        <f t="shared" si="208"/>
        <v>0</v>
      </c>
      <c r="R123" s="469">
        <f t="shared" si="208"/>
        <v>0</v>
      </c>
      <c r="S123" s="469">
        <f t="shared" si="208"/>
        <v>0</v>
      </c>
      <c r="T123" s="469">
        <f t="shared" si="208"/>
        <v>0</v>
      </c>
      <c r="U123" s="469">
        <f t="shared" si="208"/>
        <v>0</v>
      </c>
      <c r="V123" s="469">
        <f t="shared" si="208"/>
        <v>0</v>
      </c>
      <c r="W123" s="469">
        <f t="shared" si="208"/>
        <v>0</v>
      </c>
      <c r="X123" s="469">
        <f t="shared" si="208"/>
        <v>0</v>
      </c>
      <c r="Y123" s="469">
        <f t="shared" si="208"/>
        <v>0</v>
      </c>
      <c r="Z123" s="469">
        <f t="shared" si="208"/>
        <v>0</v>
      </c>
      <c r="AA123" s="469">
        <f t="shared" si="208"/>
        <v>0</v>
      </c>
      <c r="AB123" s="469">
        <f t="shared" si="208"/>
        <v>0</v>
      </c>
      <c r="AC123" s="469">
        <f t="shared" si="208"/>
        <v>0</v>
      </c>
      <c r="AD123" s="469">
        <f t="shared" si="208"/>
        <v>0</v>
      </c>
      <c r="AE123" s="469">
        <f t="shared" si="208"/>
        <v>0</v>
      </c>
      <c r="AF123" s="469">
        <f t="shared" si="208"/>
        <v>0</v>
      </c>
      <c r="AG123" s="469">
        <f t="shared" si="208"/>
        <v>0</v>
      </c>
      <c r="AH123" s="469">
        <f t="shared" si="208"/>
        <v>0</v>
      </c>
      <c r="AI123" s="469">
        <f t="shared" si="208"/>
        <v>0</v>
      </c>
      <c r="AJ123" s="469">
        <f t="shared" si="208"/>
        <v>0</v>
      </c>
      <c r="AK123" s="469">
        <f t="shared" ref="AK123:BP123" si="209" xml:space="preserve"> AK$120</f>
        <v>0</v>
      </c>
      <c r="AL123" s="469">
        <f t="shared" si="209"/>
        <v>0</v>
      </c>
      <c r="AM123" s="469">
        <f t="shared" si="209"/>
        <v>0</v>
      </c>
      <c r="AN123" s="469">
        <f t="shared" si="209"/>
        <v>0</v>
      </c>
      <c r="AO123" s="469">
        <f t="shared" si="209"/>
        <v>0</v>
      </c>
      <c r="AP123" s="469">
        <f t="shared" si="209"/>
        <v>0</v>
      </c>
      <c r="AQ123" s="469">
        <f t="shared" si="209"/>
        <v>0</v>
      </c>
      <c r="AR123" s="469">
        <f t="shared" si="209"/>
        <v>0</v>
      </c>
      <c r="AS123" s="469">
        <f t="shared" si="209"/>
        <v>0</v>
      </c>
      <c r="AT123" s="469">
        <f t="shared" si="209"/>
        <v>0</v>
      </c>
      <c r="AU123" s="469">
        <f t="shared" si="209"/>
        <v>0</v>
      </c>
      <c r="AV123" s="469">
        <f t="shared" si="209"/>
        <v>0</v>
      </c>
      <c r="AW123" s="469">
        <f t="shared" si="209"/>
        <v>0</v>
      </c>
      <c r="AX123" s="469">
        <f t="shared" si="209"/>
        <v>0</v>
      </c>
      <c r="AY123" s="469">
        <f t="shared" si="209"/>
        <v>0</v>
      </c>
      <c r="AZ123" s="469">
        <f t="shared" si="209"/>
        <v>0</v>
      </c>
      <c r="BA123" s="469">
        <f t="shared" si="209"/>
        <v>0</v>
      </c>
      <c r="BB123" s="469">
        <f t="shared" si="209"/>
        <v>1</v>
      </c>
      <c r="BC123" s="469">
        <f t="shared" si="209"/>
        <v>0</v>
      </c>
      <c r="BD123" s="469">
        <f t="shared" si="209"/>
        <v>0</v>
      </c>
      <c r="BE123" s="469">
        <f t="shared" si="209"/>
        <v>0</v>
      </c>
      <c r="BF123" s="469">
        <f t="shared" si="209"/>
        <v>0</v>
      </c>
      <c r="BG123" s="469">
        <f t="shared" si="209"/>
        <v>0</v>
      </c>
      <c r="BH123" s="469">
        <f t="shared" si="209"/>
        <v>0</v>
      </c>
      <c r="BI123" s="469">
        <f t="shared" si="209"/>
        <v>0</v>
      </c>
      <c r="BJ123" s="469">
        <f t="shared" si="209"/>
        <v>0</v>
      </c>
      <c r="BK123" s="469">
        <f t="shared" si="209"/>
        <v>0</v>
      </c>
      <c r="BL123" s="469">
        <f t="shared" si="209"/>
        <v>0</v>
      </c>
      <c r="BM123" s="469">
        <f t="shared" si="209"/>
        <v>0</v>
      </c>
      <c r="BN123" s="469">
        <f t="shared" si="209"/>
        <v>0</v>
      </c>
      <c r="BO123" s="469">
        <f t="shared" si="209"/>
        <v>0</v>
      </c>
      <c r="BP123" s="469">
        <f t="shared" si="209"/>
        <v>0</v>
      </c>
      <c r="BQ123" s="469">
        <f t="shared" ref="BQ123:CV123" si="210" xml:space="preserve"> BQ$120</f>
        <v>0</v>
      </c>
      <c r="BR123" s="469">
        <f t="shared" si="210"/>
        <v>0</v>
      </c>
      <c r="BS123" s="469">
        <f t="shared" si="210"/>
        <v>0</v>
      </c>
      <c r="BT123" s="469">
        <f t="shared" si="210"/>
        <v>0</v>
      </c>
      <c r="BU123" s="469">
        <f t="shared" si="210"/>
        <v>0</v>
      </c>
      <c r="BV123" s="469">
        <f t="shared" si="210"/>
        <v>0</v>
      </c>
      <c r="BW123" s="469">
        <f t="shared" si="210"/>
        <v>0</v>
      </c>
      <c r="BX123" s="469">
        <f t="shared" si="210"/>
        <v>0</v>
      </c>
      <c r="BY123" s="469">
        <f t="shared" si="210"/>
        <v>0</v>
      </c>
      <c r="BZ123" s="469">
        <f t="shared" si="210"/>
        <v>0</v>
      </c>
      <c r="CA123" s="469">
        <f t="shared" si="210"/>
        <v>0</v>
      </c>
      <c r="CB123" s="469">
        <f t="shared" si="210"/>
        <v>0</v>
      </c>
      <c r="CC123" s="469">
        <f t="shared" si="210"/>
        <v>0</v>
      </c>
      <c r="CD123" s="469">
        <f t="shared" si="210"/>
        <v>0</v>
      </c>
      <c r="CE123" s="469">
        <f t="shared" si="210"/>
        <v>0</v>
      </c>
      <c r="CF123" s="469">
        <f t="shared" si="210"/>
        <v>0</v>
      </c>
      <c r="CG123" s="469">
        <f t="shared" si="210"/>
        <v>0</v>
      </c>
      <c r="CH123" s="469">
        <f t="shared" si="210"/>
        <v>0</v>
      </c>
      <c r="CI123" s="469">
        <f t="shared" si="210"/>
        <v>0</v>
      </c>
      <c r="CJ123" s="469">
        <f t="shared" si="210"/>
        <v>0</v>
      </c>
      <c r="CK123" s="469">
        <f t="shared" si="210"/>
        <v>0</v>
      </c>
      <c r="CL123" s="469">
        <f t="shared" si="210"/>
        <v>0</v>
      </c>
      <c r="CM123" s="469">
        <f t="shared" si="210"/>
        <v>0</v>
      </c>
      <c r="CN123" s="469">
        <f t="shared" si="210"/>
        <v>0</v>
      </c>
      <c r="CO123" s="469">
        <f t="shared" si="210"/>
        <v>0</v>
      </c>
      <c r="CP123" s="469">
        <f t="shared" si="210"/>
        <v>0</v>
      </c>
      <c r="CQ123" s="469">
        <f t="shared" si="210"/>
        <v>0</v>
      </c>
      <c r="CR123" s="469">
        <f t="shared" si="210"/>
        <v>0</v>
      </c>
      <c r="CS123" s="469">
        <f t="shared" si="210"/>
        <v>0</v>
      </c>
      <c r="CT123" s="469">
        <f t="shared" si="210"/>
        <v>0</v>
      </c>
      <c r="CU123" s="469">
        <f t="shared" si="210"/>
        <v>0</v>
      </c>
      <c r="CV123" s="469">
        <f t="shared" si="210"/>
        <v>0</v>
      </c>
    </row>
    <row r="124" spans="1:100" outlineLevel="2" x14ac:dyDescent="0.2">
      <c r="A124" s="227"/>
      <c r="B124" s="227"/>
      <c r="C124" s="228"/>
      <c r="D124" s="229"/>
      <c r="E124" s="230" t="s">
        <v>141</v>
      </c>
      <c r="F124" s="397"/>
      <c r="G124" s="188" t="s">
        <v>5</v>
      </c>
      <c r="H124" s="188">
        <f xml:space="preserve"> SUM(J124:CV124)</f>
        <v>40</v>
      </c>
      <c r="I124" s="230"/>
      <c r="J124" s="230">
        <f t="shared" ref="J124:AO124" si="211" xml:space="preserve"> I124 + J122 - I123</f>
        <v>0</v>
      </c>
      <c r="K124" s="230">
        <f t="shared" si="211"/>
        <v>0</v>
      </c>
      <c r="L124" s="230">
        <f t="shared" si="211"/>
        <v>0</v>
      </c>
      <c r="M124" s="230">
        <f t="shared" si="211"/>
        <v>0</v>
      </c>
      <c r="N124" s="230">
        <f t="shared" si="211"/>
        <v>0</v>
      </c>
      <c r="O124" s="230">
        <f t="shared" si="211"/>
        <v>1</v>
      </c>
      <c r="P124" s="230">
        <f t="shared" si="211"/>
        <v>1</v>
      </c>
      <c r="Q124" s="230">
        <f t="shared" si="211"/>
        <v>1</v>
      </c>
      <c r="R124" s="230">
        <f t="shared" si="211"/>
        <v>1</v>
      </c>
      <c r="S124" s="230">
        <f t="shared" si="211"/>
        <v>1</v>
      </c>
      <c r="T124" s="230">
        <f t="shared" si="211"/>
        <v>1</v>
      </c>
      <c r="U124" s="230">
        <f t="shared" si="211"/>
        <v>1</v>
      </c>
      <c r="V124" s="230">
        <f t="shared" si="211"/>
        <v>1</v>
      </c>
      <c r="W124" s="230">
        <f t="shared" si="211"/>
        <v>1</v>
      </c>
      <c r="X124" s="230">
        <f t="shared" si="211"/>
        <v>1</v>
      </c>
      <c r="Y124" s="230">
        <f t="shared" si="211"/>
        <v>1</v>
      </c>
      <c r="Z124" s="230">
        <f t="shared" si="211"/>
        <v>1</v>
      </c>
      <c r="AA124" s="230">
        <f t="shared" si="211"/>
        <v>1</v>
      </c>
      <c r="AB124" s="230">
        <f t="shared" si="211"/>
        <v>1</v>
      </c>
      <c r="AC124" s="230">
        <f t="shared" si="211"/>
        <v>1</v>
      </c>
      <c r="AD124" s="230">
        <f t="shared" si="211"/>
        <v>1</v>
      </c>
      <c r="AE124" s="230">
        <f t="shared" si="211"/>
        <v>1</v>
      </c>
      <c r="AF124" s="230">
        <f t="shared" si="211"/>
        <v>1</v>
      </c>
      <c r="AG124" s="230">
        <f t="shared" si="211"/>
        <v>1</v>
      </c>
      <c r="AH124" s="230">
        <f t="shared" si="211"/>
        <v>1</v>
      </c>
      <c r="AI124" s="230">
        <f t="shared" si="211"/>
        <v>1</v>
      </c>
      <c r="AJ124" s="230">
        <f t="shared" si="211"/>
        <v>1</v>
      </c>
      <c r="AK124" s="230">
        <f t="shared" si="211"/>
        <v>1</v>
      </c>
      <c r="AL124" s="230">
        <f t="shared" si="211"/>
        <v>1</v>
      </c>
      <c r="AM124" s="230">
        <f t="shared" si="211"/>
        <v>1</v>
      </c>
      <c r="AN124" s="230">
        <f t="shared" si="211"/>
        <v>1</v>
      </c>
      <c r="AO124" s="230">
        <f t="shared" si="211"/>
        <v>1</v>
      </c>
      <c r="AP124" s="230">
        <f t="shared" ref="AP124:BU124" si="212" xml:space="preserve"> AO124 + AP122 - AO123</f>
        <v>1</v>
      </c>
      <c r="AQ124" s="230">
        <f t="shared" si="212"/>
        <v>1</v>
      </c>
      <c r="AR124" s="230">
        <f t="shared" si="212"/>
        <v>1</v>
      </c>
      <c r="AS124" s="230">
        <f t="shared" si="212"/>
        <v>1</v>
      </c>
      <c r="AT124" s="230">
        <f t="shared" si="212"/>
        <v>1</v>
      </c>
      <c r="AU124" s="230">
        <f t="shared" si="212"/>
        <v>1</v>
      </c>
      <c r="AV124" s="230">
        <f t="shared" si="212"/>
        <v>1</v>
      </c>
      <c r="AW124" s="230">
        <f t="shared" si="212"/>
        <v>1</v>
      </c>
      <c r="AX124" s="230">
        <f t="shared" si="212"/>
        <v>1</v>
      </c>
      <c r="AY124" s="230">
        <f t="shared" si="212"/>
        <v>1</v>
      </c>
      <c r="AZ124" s="230">
        <f t="shared" si="212"/>
        <v>1</v>
      </c>
      <c r="BA124" s="230">
        <f t="shared" si="212"/>
        <v>1</v>
      </c>
      <c r="BB124" s="230">
        <f t="shared" si="212"/>
        <v>1</v>
      </c>
      <c r="BC124" s="230">
        <f t="shared" si="212"/>
        <v>0</v>
      </c>
      <c r="BD124" s="230">
        <f t="shared" si="212"/>
        <v>0</v>
      </c>
      <c r="BE124" s="230">
        <f t="shared" si="212"/>
        <v>0</v>
      </c>
      <c r="BF124" s="230">
        <f t="shared" si="212"/>
        <v>0</v>
      </c>
      <c r="BG124" s="230">
        <f t="shared" si="212"/>
        <v>0</v>
      </c>
      <c r="BH124" s="230">
        <f t="shared" si="212"/>
        <v>0</v>
      </c>
      <c r="BI124" s="230">
        <f t="shared" si="212"/>
        <v>0</v>
      </c>
      <c r="BJ124" s="230">
        <f t="shared" si="212"/>
        <v>0</v>
      </c>
      <c r="BK124" s="230">
        <f t="shared" si="212"/>
        <v>0</v>
      </c>
      <c r="BL124" s="230">
        <f t="shared" si="212"/>
        <v>0</v>
      </c>
      <c r="BM124" s="230">
        <f t="shared" si="212"/>
        <v>0</v>
      </c>
      <c r="BN124" s="230">
        <f t="shared" si="212"/>
        <v>0</v>
      </c>
      <c r="BO124" s="230">
        <f t="shared" si="212"/>
        <v>0</v>
      </c>
      <c r="BP124" s="230">
        <f t="shared" si="212"/>
        <v>0</v>
      </c>
      <c r="BQ124" s="230">
        <f t="shared" si="212"/>
        <v>0</v>
      </c>
      <c r="BR124" s="230">
        <f t="shared" si="212"/>
        <v>0</v>
      </c>
      <c r="BS124" s="230">
        <f t="shared" si="212"/>
        <v>0</v>
      </c>
      <c r="BT124" s="230">
        <f t="shared" si="212"/>
        <v>0</v>
      </c>
      <c r="BU124" s="230">
        <f t="shared" si="212"/>
        <v>0</v>
      </c>
      <c r="BV124" s="230">
        <f t="shared" ref="BV124:CV124" si="213" xml:space="preserve"> BU124 + BV122 - BU123</f>
        <v>0</v>
      </c>
      <c r="BW124" s="230">
        <f t="shared" si="213"/>
        <v>0</v>
      </c>
      <c r="BX124" s="230">
        <f t="shared" si="213"/>
        <v>0</v>
      </c>
      <c r="BY124" s="230">
        <f t="shared" si="213"/>
        <v>0</v>
      </c>
      <c r="BZ124" s="230">
        <f t="shared" si="213"/>
        <v>0</v>
      </c>
      <c r="CA124" s="230">
        <f t="shared" si="213"/>
        <v>0</v>
      </c>
      <c r="CB124" s="230">
        <f t="shared" si="213"/>
        <v>0</v>
      </c>
      <c r="CC124" s="230">
        <f t="shared" si="213"/>
        <v>0</v>
      </c>
      <c r="CD124" s="230">
        <f t="shared" si="213"/>
        <v>0</v>
      </c>
      <c r="CE124" s="230">
        <f t="shared" si="213"/>
        <v>0</v>
      </c>
      <c r="CF124" s="230">
        <f t="shared" si="213"/>
        <v>0</v>
      </c>
      <c r="CG124" s="230">
        <f t="shared" si="213"/>
        <v>0</v>
      </c>
      <c r="CH124" s="230">
        <f t="shared" si="213"/>
        <v>0</v>
      </c>
      <c r="CI124" s="230">
        <f t="shared" si="213"/>
        <v>0</v>
      </c>
      <c r="CJ124" s="230">
        <f t="shared" si="213"/>
        <v>0</v>
      </c>
      <c r="CK124" s="230">
        <f t="shared" si="213"/>
        <v>0</v>
      </c>
      <c r="CL124" s="230">
        <f t="shared" si="213"/>
        <v>0</v>
      </c>
      <c r="CM124" s="230">
        <f t="shared" si="213"/>
        <v>0</v>
      </c>
      <c r="CN124" s="230">
        <f t="shared" si="213"/>
        <v>0</v>
      </c>
      <c r="CO124" s="230">
        <f t="shared" si="213"/>
        <v>0</v>
      </c>
      <c r="CP124" s="230">
        <f t="shared" si="213"/>
        <v>0</v>
      </c>
      <c r="CQ124" s="230">
        <f t="shared" si="213"/>
        <v>0</v>
      </c>
      <c r="CR124" s="230">
        <f t="shared" si="213"/>
        <v>0</v>
      </c>
      <c r="CS124" s="230">
        <f t="shared" si="213"/>
        <v>0</v>
      </c>
      <c r="CT124" s="230">
        <f t="shared" si="213"/>
        <v>0</v>
      </c>
      <c r="CU124" s="230">
        <f t="shared" si="213"/>
        <v>0</v>
      </c>
      <c r="CV124" s="230">
        <f t="shared" si="213"/>
        <v>0</v>
      </c>
    </row>
    <row r="125" spans="1:100" outlineLevel="1" x14ac:dyDescent="0.2">
      <c r="E125" s="6"/>
      <c r="F125" s="6"/>
      <c r="G125" s="6"/>
      <c r="H125" s="6"/>
      <c r="I125" s="7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</row>
    <row r="126" spans="1:100" outlineLevel="1" x14ac:dyDescent="0.2">
      <c r="A126" s="522"/>
      <c r="B126" s="522" t="s">
        <v>947</v>
      </c>
      <c r="C126" s="523"/>
      <c r="D126" s="524"/>
      <c r="E126" s="663"/>
      <c r="F126" s="663"/>
      <c r="G126" s="663"/>
      <c r="H126" s="663"/>
      <c r="I126" s="663"/>
      <c r="J126" s="663"/>
      <c r="K126" s="663"/>
      <c r="L126" s="663"/>
      <c r="M126" s="663"/>
      <c r="N126" s="663"/>
      <c r="O126" s="663"/>
      <c r="P126" s="663"/>
      <c r="Q126" s="663"/>
      <c r="R126" s="663"/>
      <c r="S126" s="663"/>
      <c r="T126" s="663"/>
      <c r="U126" s="663"/>
      <c r="V126" s="663"/>
      <c r="W126" s="663"/>
      <c r="X126" s="663"/>
      <c r="Y126" s="663"/>
      <c r="Z126" s="663"/>
      <c r="AA126" s="663"/>
      <c r="AB126" s="663"/>
      <c r="AC126" s="663"/>
      <c r="AD126" s="663"/>
      <c r="AE126" s="663"/>
      <c r="AF126" s="663"/>
      <c r="AG126" s="663"/>
      <c r="AH126" s="663"/>
      <c r="AI126" s="663"/>
      <c r="AJ126" s="663"/>
      <c r="AK126" s="663"/>
      <c r="AL126" s="663"/>
      <c r="AM126" s="663"/>
      <c r="AN126" s="663"/>
      <c r="AO126" s="663"/>
      <c r="AP126" s="663"/>
      <c r="AQ126" s="663"/>
      <c r="AR126" s="663"/>
      <c r="AS126" s="663"/>
      <c r="AT126" s="663"/>
      <c r="AU126" s="663"/>
      <c r="AV126" s="663"/>
      <c r="AW126" s="663"/>
      <c r="AX126" s="663"/>
      <c r="AY126" s="663"/>
      <c r="AZ126" s="663"/>
      <c r="BA126" s="663"/>
      <c r="BB126" s="663"/>
      <c r="BC126" s="663"/>
      <c r="BD126" s="663"/>
      <c r="BE126" s="663"/>
      <c r="BF126" s="663"/>
      <c r="BG126" s="663"/>
      <c r="BH126" s="663"/>
      <c r="BI126" s="663"/>
      <c r="BJ126" s="663"/>
      <c r="BK126" s="663"/>
      <c r="BL126" s="663"/>
      <c r="BM126" s="663"/>
      <c r="BN126" s="663"/>
      <c r="BO126" s="663"/>
      <c r="BP126" s="663"/>
      <c r="BQ126" s="663"/>
      <c r="BR126" s="663"/>
      <c r="BS126" s="663"/>
      <c r="BT126" s="663"/>
      <c r="BU126" s="663"/>
      <c r="BV126" s="663"/>
      <c r="BW126" s="663"/>
      <c r="BX126" s="663"/>
      <c r="BY126" s="663"/>
      <c r="BZ126" s="663"/>
      <c r="CA126" s="663"/>
      <c r="CB126" s="663"/>
      <c r="CC126" s="663"/>
      <c r="CD126" s="663"/>
      <c r="CE126" s="663"/>
      <c r="CF126" s="663"/>
      <c r="CG126" s="663"/>
      <c r="CH126" s="663"/>
      <c r="CI126" s="663"/>
      <c r="CJ126" s="663"/>
      <c r="CK126" s="663"/>
      <c r="CL126" s="663"/>
      <c r="CM126" s="663"/>
      <c r="CN126" s="663"/>
      <c r="CO126" s="663"/>
      <c r="CP126" s="663"/>
      <c r="CQ126" s="663"/>
      <c r="CR126" s="663"/>
      <c r="CS126" s="663"/>
      <c r="CT126" s="663"/>
      <c r="CU126" s="663"/>
      <c r="CV126" s="663"/>
    </row>
    <row r="127" spans="1:100" outlineLevel="2" x14ac:dyDescent="0.2">
      <c r="A127" s="54"/>
      <c r="B127" s="522"/>
      <c r="C127" s="57"/>
      <c r="D127" s="58"/>
      <c r="E127" s="300" t="str">
        <f xml:space="preserve"> ConTime!E$73</f>
        <v>End of construction period date</v>
      </c>
      <c r="F127" s="300">
        <f xml:space="preserve"> ConTime!F$73</f>
        <v>45473</v>
      </c>
      <c r="G127" s="300" t="str">
        <f xml:space="preserve"> ConTime!G$73</f>
        <v>date</v>
      </c>
      <c r="H127" s="300"/>
      <c r="I127" s="300"/>
      <c r="J127" s="300"/>
      <c r="K127" s="300"/>
      <c r="L127" s="300"/>
      <c r="M127" s="300"/>
      <c r="N127" s="300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  <c r="AF127" s="300"/>
      <c r="AG127" s="300"/>
      <c r="AH127" s="300"/>
      <c r="AI127" s="300"/>
      <c r="AJ127" s="300"/>
      <c r="AK127" s="300"/>
      <c r="AL127" s="300"/>
      <c r="AM127" s="300"/>
      <c r="AN127" s="300"/>
      <c r="AO127" s="300"/>
      <c r="AP127" s="300"/>
      <c r="AQ127" s="300"/>
      <c r="AR127" s="300"/>
      <c r="AS127" s="300"/>
      <c r="AT127" s="300"/>
      <c r="AU127" s="300"/>
      <c r="AV127" s="300"/>
      <c r="AW127" s="300"/>
      <c r="AX127" s="300"/>
      <c r="AY127" s="300"/>
      <c r="AZ127" s="300"/>
      <c r="BA127" s="300"/>
      <c r="BB127" s="300"/>
      <c r="BC127" s="300"/>
      <c r="BD127" s="300"/>
      <c r="BE127" s="300"/>
      <c r="BF127" s="300"/>
      <c r="BG127" s="300"/>
      <c r="BH127" s="300"/>
      <c r="BI127" s="300"/>
      <c r="BJ127" s="300"/>
      <c r="BK127" s="300"/>
      <c r="BL127" s="300"/>
      <c r="BM127" s="300"/>
      <c r="BN127" s="300"/>
      <c r="BO127" s="300"/>
      <c r="BP127" s="300"/>
      <c r="BQ127" s="300"/>
      <c r="BR127" s="300"/>
      <c r="BS127" s="300"/>
      <c r="BT127" s="300"/>
      <c r="BU127" s="300"/>
      <c r="BV127" s="300"/>
      <c r="BW127" s="300"/>
      <c r="BX127" s="300"/>
      <c r="BY127" s="300"/>
      <c r="BZ127" s="300"/>
      <c r="CA127" s="300"/>
      <c r="CB127" s="300"/>
      <c r="CC127" s="300"/>
      <c r="CD127" s="300"/>
      <c r="CE127" s="300"/>
      <c r="CF127" s="300"/>
      <c r="CG127" s="300"/>
      <c r="CH127" s="300"/>
      <c r="CI127" s="300"/>
      <c r="CJ127" s="300"/>
      <c r="CK127" s="300"/>
      <c r="CL127" s="300"/>
      <c r="CM127" s="300"/>
      <c r="CN127" s="300"/>
      <c r="CO127" s="300"/>
      <c r="CP127" s="300"/>
      <c r="CQ127" s="300"/>
      <c r="CR127" s="300"/>
      <c r="CS127" s="300"/>
      <c r="CT127" s="300"/>
      <c r="CU127" s="300"/>
      <c r="CV127" s="300"/>
    </row>
    <row r="128" spans="1:100" outlineLevel="2" x14ac:dyDescent="0.2">
      <c r="A128" s="522"/>
      <c r="B128" s="522"/>
      <c r="C128" s="523"/>
      <c r="D128" s="524"/>
      <c r="E128" s="667" t="s">
        <v>954</v>
      </c>
      <c r="F128" s="667">
        <f xml:space="preserve"> F127 + 1</f>
        <v>45474</v>
      </c>
      <c r="G128" s="667" t="s">
        <v>6</v>
      </c>
      <c r="H128" s="663"/>
      <c r="I128" s="663"/>
      <c r="J128" s="663"/>
      <c r="K128" s="663"/>
      <c r="L128" s="663"/>
      <c r="M128" s="663"/>
      <c r="N128" s="663"/>
      <c r="O128" s="663"/>
      <c r="P128" s="663"/>
      <c r="Q128" s="663"/>
      <c r="R128" s="663"/>
      <c r="S128" s="663"/>
      <c r="T128" s="663"/>
      <c r="U128" s="663"/>
      <c r="V128" s="663"/>
      <c r="W128" s="663"/>
      <c r="X128" s="663"/>
      <c r="Y128" s="663"/>
      <c r="Z128" s="663"/>
      <c r="AA128" s="663"/>
      <c r="AB128" s="663"/>
      <c r="AC128" s="663"/>
      <c r="AD128" s="663"/>
      <c r="AE128" s="663"/>
      <c r="AF128" s="663"/>
      <c r="AG128" s="663"/>
      <c r="AH128" s="663"/>
      <c r="AI128" s="663"/>
      <c r="AJ128" s="663"/>
      <c r="AK128" s="663"/>
      <c r="AL128" s="663"/>
      <c r="AM128" s="663"/>
      <c r="AN128" s="663"/>
      <c r="AO128" s="663"/>
      <c r="AP128" s="663"/>
      <c r="AQ128" s="663"/>
      <c r="AR128" s="663"/>
      <c r="AS128" s="663"/>
      <c r="AT128" s="663"/>
      <c r="AU128" s="663"/>
      <c r="AV128" s="663"/>
      <c r="AW128" s="663"/>
      <c r="AX128" s="663"/>
      <c r="AY128" s="663"/>
      <c r="AZ128" s="663"/>
      <c r="BA128" s="663"/>
      <c r="BB128" s="663"/>
      <c r="BC128" s="663"/>
      <c r="BD128" s="663"/>
      <c r="BE128" s="663"/>
      <c r="BF128" s="663"/>
      <c r="BG128" s="663"/>
      <c r="BH128" s="663"/>
      <c r="BI128" s="663"/>
      <c r="BJ128" s="663"/>
      <c r="BK128" s="663"/>
      <c r="BL128" s="663"/>
      <c r="BM128" s="663"/>
      <c r="BN128" s="663"/>
      <c r="BO128" s="663"/>
      <c r="BP128" s="663"/>
      <c r="BQ128" s="663"/>
      <c r="BR128" s="663"/>
      <c r="BS128" s="663"/>
      <c r="BT128" s="663"/>
      <c r="BU128" s="663"/>
      <c r="BV128" s="663"/>
      <c r="BW128" s="663"/>
      <c r="BX128" s="663"/>
      <c r="BY128" s="663"/>
      <c r="BZ128" s="663"/>
      <c r="CA128" s="663"/>
      <c r="CB128" s="663"/>
      <c r="CC128" s="663"/>
      <c r="CD128" s="663"/>
      <c r="CE128" s="663"/>
      <c r="CF128" s="663"/>
      <c r="CG128" s="663"/>
      <c r="CH128" s="663"/>
      <c r="CI128" s="663"/>
      <c r="CJ128" s="663"/>
      <c r="CK128" s="663"/>
      <c r="CL128" s="663"/>
      <c r="CM128" s="663"/>
      <c r="CN128" s="663"/>
      <c r="CO128" s="663"/>
      <c r="CP128" s="663"/>
      <c r="CQ128" s="663"/>
      <c r="CR128" s="663"/>
      <c r="CS128" s="663"/>
      <c r="CT128" s="663"/>
      <c r="CU128" s="663"/>
      <c r="CV128" s="663"/>
    </row>
    <row r="129" spans="1:100" outlineLevel="2" x14ac:dyDescent="0.2">
      <c r="A129" s="522"/>
      <c r="B129" s="522"/>
      <c r="C129" s="523"/>
      <c r="D129" s="524"/>
      <c r="E129" s="663"/>
      <c r="F129" s="663"/>
      <c r="G129" s="663"/>
      <c r="H129" s="663"/>
      <c r="I129" s="663"/>
      <c r="J129" s="663"/>
      <c r="K129" s="663"/>
      <c r="L129" s="663"/>
      <c r="M129" s="663"/>
      <c r="N129" s="663"/>
      <c r="O129" s="663"/>
      <c r="P129" s="663"/>
      <c r="Q129" s="663"/>
      <c r="R129" s="663"/>
      <c r="S129" s="663"/>
      <c r="T129" s="663"/>
      <c r="U129" s="663"/>
      <c r="V129" s="663"/>
      <c r="W129" s="663"/>
      <c r="X129" s="663"/>
      <c r="Y129" s="663"/>
      <c r="Z129" s="663"/>
      <c r="AA129" s="663"/>
      <c r="AB129" s="663"/>
      <c r="AC129" s="663"/>
      <c r="AD129" s="663"/>
      <c r="AE129" s="663"/>
      <c r="AF129" s="663"/>
      <c r="AG129" s="663"/>
      <c r="AH129" s="663"/>
      <c r="AI129" s="663"/>
      <c r="AJ129" s="663"/>
      <c r="AK129" s="663"/>
      <c r="AL129" s="663"/>
      <c r="AM129" s="663"/>
      <c r="AN129" s="663"/>
      <c r="AO129" s="663"/>
      <c r="AP129" s="663"/>
      <c r="AQ129" s="663"/>
      <c r="AR129" s="663"/>
      <c r="AS129" s="663"/>
      <c r="AT129" s="663"/>
      <c r="AU129" s="663"/>
      <c r="AV129" s="663"/>
      <c r="AW129" s="663"/>
      <c r="AX129" s="663"/>
      <c r="AY129" s="663"/>
      <c r="AZ129" s="663"/>
      <c r="BA129" s="663"/>
      <c r="BB129" s="663"/>
      <c r="BC129" s="663"/>
      <c r="BD129" s="663"/>
      <c r="BE129" s="663"/>
      <c r="BF129" s="663"/>
      <c r="BG129" s="663"/>
      <c r="BH129" s="663"/>
      <c r="BI129" s="663"/>
      <c r="BJ129" s="663"/>
      <c r="BK129" s="663"/>
      <c r="BL129" s="663"/>
      <c r="BM129" s="663"/>
      <c r="BN129" s="663"/>
      <c r="BO129" s="663"/>
      <c r="BP129" s="663"/>
      <c r="BQ129" s="663"/>
      <c r="BR129" s="663"/>
      <c r="BS129" s="663"/>
      <c r="BT129" s="663"/>
      <c r="BU129" s="663"/>
      <c r="BV129" s="663"/>
      <c r="BW129" s="663"/>
      <c r="BX129" s="663"/>
      <c r="BY129" s="663"/>
      <c r="BZ129" s="663"/>
      <c r="CA129" s="663"/>
      <c r="CB129" s="663"/>
      <c r="CC129" s="663"/>
      <c r="CD129" s="663"/>
      <c r="CE129" s="663"/>
      <c r="CF129" s="663"/>
      <c r="CG129" s="663"/>
      <c r="CH129" s="663"/>
      <c r="CI129" s="663"/>
      <c r="CJ129" s="663"/>
      <c r="CK129" s="663"/>
      <c r="CL129" s="663"/>
      <c r="CM129" s="663"/>
      <c r="CN129" s="663"/>
      <c r="CO129" s="663"/>
      <c r="CP129" s="663"/>
      <c r="CQ129" s="663"/>
      <c r="CR129" s="663"/>
      <c r="CS129" s="663"/>
      <c r="CT129" s="663"/>
      <c r="CU129" s="663"/>
      <c r="CV129" s="663"/>
    </row>
    <row r="130" spans="1:100" outlineLevel="2" x14ac:dyDescent="0.2">
      <c r="A130" s="54"/>
      <c r="C130" s="57"/>
      <c r="D130" s="58"/>
      <c r="E130" s="300" t="str">
        <f xml:space="preserve"> ConTime!E$73</f>
        <v>End of construction period date</v>
      </c>
      <c r="F130" s="300">
        <f xml:space="preserve"> ConTime!F$73</f>
        <v>45473</v>
      </c>
      <c r="G130" s="300" t="str">
        <f xml:space="preserve"> ConTime!G$73</f>
        <v>date</v>
      </c>
      <c r="H130" s="300"/>
      <c r="I130" s="300"/>
      <c r="J130" s="300"/>
      <c r="K130" s="300"/>
      <c r="L130" s="300"/>
      <c r="M130" s="300"/>
      <c r="N130" s="300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  <c r="AF130" s="300"/>
      <c r="AG130" s="300"/>
      <c r="AH130" s="300"/>
      <c r="AI130" s="300"/>
      <c r="AJ130" s="300"/>
      <c r="AK130" s="300"/>
      <c r="AL130" s="300"/>
      <c r="AM130" s="300"/>
      <c r="AN130" s="300"/>
      <c r="AO130" s="300"/>
      <c r="AP130" s="300"/>
      <c r="AQ130" s="300"/>
      <c r="AR130" s="300"/>
      <c r="AS130" s="300"/>
      <c r="AT130" s="300"/>
      <c r="AU130" s="300"/>
      <c r="AV130" s="300"/>
      <c r="AW130" s="300"/>
      <c r="AX130" s="300"/>
      <c r="AY130" s="300"/>
      <c r="AZ130" s="300"/>
      <c r="BA130" s="300"/>
      <c r="BB130" s="300"/>
      <c r="BC130" s="300"/>
      <c r="BD130" s="300"/>
      <c r="BE130" s="300"/>
      <c r="BF130" s="300"/>
      <c r="BG130" s="300"/>
      <c r="BH130" s="300"/>
      <c r="BI130" s="300"/>
      <c r="BJ130" s="300"/>
      <c r="BK130" s="300"/>
      <c r="BL130" s="300"/>
      <c r="BM130" s="300"/>
      <c r="BN130" s="300"/>
      <c r="BO130" s="300"/>
      <c r="BP130" s="300"/>
      <c r="BQ130" s="300"/>
      <c r="BR130" s="300"/>
      <c r="BS130" s="300"/>
      <c r="BT130" s="300"/>
      <c r="BU130" s="300"/>
      <c r="BV130" s="300"/>
      <c r="BW130" s="300"/>
      <c r="BX130" s="300"/>
      <c r="BY130" s="300"/>
      <c r="BZ130" s="300"/>
      <c r="CA130" s="300"/>
      <c r="CB130" s="300"/>
      <c r="CC130" s="300"/>
      <c r="CD130" s="300"/>
      <c r="CE130" s="300"/>
      <c r="CF130" s="300"/>
      <c r="CG130" s="300"/>
      <c r="CH130" s="300"/>
      <c r="CI130" s="300"/>
      <c r="CJ130" s="300"/>
      <c r="CK130" s="300"/>
      <c r="CL130" s="300"/>
      <c r="CM130" s="300"/>
      <c r="CN130" s="300"/>
      <c r="CO130" s="300"/>
      <c r="CP130" s="300"/>
      <c r="CQ130" s="300"/>
      <c r="CR130" s="300"/>
      <c r="CS130" s="300"/>
      <c r="CT130" s="300"/>
      <c r="CU130" s="300"/>
      <c r="CV130" s="300"/>
    </row>
    <row r="131" spans="1:100" outlineLevel="2" x14ac:dyDescent="0.2">
      <c r="E131" s="390" t="str">
        <f xml:space="preserve"> InpC!E$261</f>
        <v>Senior debt - T1 repayment term post COD</v>
      </c>
      <c r="F131" s="390">
        <f xml:space="preserve"> InpC!F$261</f>
        <v>17</v>
      </c>
      <c r="G131" s="390" t="str">
        <f xml:space="preserve"> InpC!G$261</f>
        <v>years</v>
      </c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Q131" s="38"/>
      <c r="CR131" s="38"/>
      <c r="CS131" s="38"/>
      <c r="CT131" s="38"/>
      <c r="CU131" s="38"/>
      <c r="CV131" s="38"/>
    </row>
    <row r="132" spans="1:100" outlineLevel="2" x14ac:dyDescent="0.2">
      <c r="A132" s="75"/>
      <c r="B132" s="75"/>
      <c r="C132" s="76"/>
      <c r="D132" s="77"/>
      <c r="E132" s="77" t="str">
        <f xml:space="preserve"> InpC!E$412</f>
        <v>Months in year</v>
      </c>
      <c r="F132" s="77">
        <f xml:space="preserve"> InpC!F$412</f>
        <v>12</v>
      </c>
      <c r="G132" s="77" t="str">
        <f xml:space="preserve"> InpC!G$412</f>
        <v>months</v>
      </c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77"/>
      <c r="AY132" s="77"/>
      <c r="AZ132" s="77"/>
      <c r="BA132" s="77"/>
      <c r="BB132" s="77"/>
      <c r="BC132" s="77"/>
      <c r="BD132" s="77"/>
      <c r="BE132" s="77"/>
      <c r="BF132" s="77"/>
      <c r="BG132" s="77"/>
      <c r="BH132" s="77"/>
      <c r="BI132" s="77"/>
      <c r="BJ132" s="77"/>
      <c r="BK132" s="77"/>
      <c r="BL132" s="77"/>
      <c r="BM132" s="77"/>
      <c r="BN132" s="77"/>
      <c r="BO132" s="77"/>
      <c r="BP132" s="77"/>
      <c r="BQ132" s="77"/>
      <c r="BR132" s="77"/>
      <c r="BS132" s="77"/>
      <c r="BT132" s="77"/>
      <c r="BU132" s="77"/>
      <c r="BV132" s="77"/>
      <c r="BW132" s="77"/>
      <c r="BX132" s="77"/>
      <c r="BY132" s="77"/>
      <c r="BZ132" s="77"/>
      <c r="CA132" s="77"/>
      <c r="CB132" s="77"/>
      <c r="CC132" s="77"/>
      <c r="CD132" s="77"/>
      <c r="CE132" s="77"/>
      <c r="CF132" s="77"/>
      <c r="CG132" s="77"/>
      <c r="CH132" s="77"/>
      <c r="CI132" s="77"/>
      <c r="CJ132" s="77"/>
      <c r="CK132" s="77"/>
      <c r="CL132" s="77"/>
      <c r="CM132" s="77"/>
      <c r="CN132" s="77"/>
      <c r="CO132" s="77"/>
      <c r="CP132" s="77"/>
      <c r="CQ132" s="77"/>
      <c r="CR132" s="77"/>
      <c r="CS132" s="77"/>
      <c r="CT132" s="77"/>
      <c r="CU132" s="77"/>
      <c r="CV132" s="77"/>
    </row>
    <row r="133" spans="1:100" outlineLevel="2" x14ac:dyDescent="0.2">
      <c r="A133" s="72"/>
      <c r="B133" s="72"/>
      <c r="C133" s="73"/>
      <c r="D133" s="74"/>
      <c r="E133" s="26" t="s">
        <v>953</v>
      </c>
      <c r="F133" s="26">
        <f xml:space="preserve"> EOMONTH(F130, (F131 * F132))</f>
        <v>51682</v>
      </c>
      <c r="G133" s="26" t="s">
        <v>6</v>
      </c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</row>
    <row r="134" spans="1:100" outlineLevel="2" x14ac:dyDescent="0.2">
      <c r="E134" s="6"/>
      <c r="F134" s="6"/>
      <c r="G134" s="6"/>
      <c r="H134" s="6"/>
      <c r="I134" s="7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</row>
    <row r="135" spans="1:100" outlineLevel="2" x14ac:dyDescent="0.2">
      <c r="A135" s="54"/>
      <c r="B135" s="54"/>
      <c r="C135" s="57"/>
      <c r="D135" s="69"/>
      <c r="E135" s="26" t="str">
        <f t="shared" ref="E135:G135" si="214" xml:space="preserve"> E$128</f>
        <v>Senior debt service start date - T1</v>
      </c>
      <c r="F135" s="26">
        <f t="shared" si="214"/>
        <v>45474</v>
      </c>
      <c r="G135" s="26" t="str">
        <f t="shared" si="214"/>
        <v>date</v>
      </c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</row>
    <row r="136" spans="1:100" outlineLevel="2" x14ac:dyDescent="0.2">
      <c r="A136" s="49"/>
      <c r="B136" s="522"/>
      <c r="C136" s="50"/>
      <c r="D136" s="51"/>
      <c r="E136" s="11" t="str">
        <f t="shared" ref="E136:BP136" si="215" xml:space="preserve"> E$25</f>
        <v>Model period ending</v>
      </c>
      <c r="F136" s="11">
        <f t="shared" si="215"/>
        <v>0</v>
      </c>
      <c r="G136" s="11" t="str">
        <f t="shared" si="215"/>
        <v>date</v>
      </c>
      <c r="H136" s="11">
        <f t="shared" si="215"/>
        <v>0</v>
      </c>
      <c r="I136" s="136">
        <f t="shared" si="215"/>
        <v>0</v>
      </c>
      <c r="J136" s="11">
        <f t="shared" si="215"/>
        <v>44742</v>
      </c>
      <c r="K136" s="11">
        <f t="shared" si="215"/>
        <v>44926</v>
      </c>
      <c r="L136" s="11">
        <f t="shared" si="215"/>
        <v>45107</v>
      </c>
      <c r="M136" s="11">
        <f t="shared" si="215"/>
        <v>45291</v>
      </c>
      <c r="N136" s="11">
        <f t="shared" si="215"/>
        <v>45473</v>
      </c>
      <c r="O136" s="11">
        <f t="shared" si="215"/>
        <v>45657</v>
      </c>
      <c r="P136" s="11">
        <f t="shared" si="215"/>
        <v>45838</v>
      </c>
      <c r="Q136" s="11">
        <f t="shared" si="215"/>
        <v>46022</v>
      </c>
      <c r="R136" s="11">
        <f t="shared" si="215"/>
        <v>46203</v>
      </c>
      <c r="S136" s="11">
        <f t="shared" si="215"/>
        <v>46387</v>
      </c>
      <c r="T136" s="11">
        <f t="shared" si="215"/>
        <v>46568</v>
      </c>
      <c r="U136" s="11">
        <f t="shared" si="215"/>
        <v>46752</v>
      </c>
      <c r="V136" s="11">
        <f t="shared" si="215"/>
        <v>46934</v>
      </c>
      <c r="W136" s="11">
        <f t="shared" si="215"/>
        <v>47118</v>
      </c>
      <c r="X136" s="11">
        <f t="shared" si="215"/>
        <v>47299</v>
      </c>
      <c r="Y136" s="11">
        <f t="shared" si="215"/>
        <v>47483</v>
      </c>
      <c r="Z136" s="11">
        <f t="shared" si="215"/>
        <v>47664</v>
      </c>
      <c r="AA136" s="11">
        <f t="shared" si="215"/>
        <v>47848</v>
      </c>
      <c r="AB136" s="11">
        <f t="shared" si="215"/>
        <v>48029</v>
      </c>
      <c r="AC136" s="11">
        <f t="shared" si="215"/>
        <v>48213</v>
      </c>
      <c r="AD136" s="11">
        <f t="shared" si="215"/>
        <v>48395</v>
      </c>
      <c r="AE136" s="11">
        <f t="shared" si="215"/>
        <v>48579</v>
      </c>
      <c r="AF136" s="11">
        <f t="shared" si="215"/>
        <v>48760</v>
      </c>
      <c r="AG136" s="11">
        <f t="shared" si="215"/>
        <v>48944</v>
      </c>
      <c r="AH136" s="11">
        <f t="shared" si="215"/>
        <v>49125</v>
      </c>
      <c r="AI136" s="11">
        <f t="shared" si="215"/>
        <v>49309</v>
      </c>
      <c r="AJ136" s="11">
        <f t="shared" si="215"/>
        <v>49490</v>
      </c>
      <c r="AK136" s="11">
        <f t="shared" si="215"/>
        <v>49674</v>
      </c>
      <c r="AL136" s="11">
        <f t="shared" si="215"/>
        <v>49856</v>
      </c>
      <c r="AM136" s="11">
        <f t="shared" si="215"/>
        <v>50040</v>
      </c>
      <c r="AN136" s="11">
        <f t="shared" si="215"/>
        <v>50221</v>
      </c>
      <c r="AO136" s="11">
        <f t="shared" si="215"/>
        <v>50405</v>
      </c>
      <c r="AP136" s="11">
        <f t="shared" si="215"/>
        <v>50586</v>
      </c>
      <c r="AQ136" s="11">
        <f t="shared" si="215"/>
        <v>50770</v>
      </c>
      <c r="AR136" s="11">
        <f t="shared" si="215"/>
        <v>50951</v>
      </c>
      <c r="AS136" s="11">
        <f t="shared" si="215"/>
        <v>51135</v>
      </c>
      <c r="AT136" s="11">
        <f t="shared" si="215"/>
        <v>51317</v>
      </c>
      <c r="AU136" s="11">
        <f t="shared" si="215"/>
        <v>51501</v>
      </c>
      <c r="AV136" s="11">
        <f t="shared" si="215"/>
        <v>51682</v>
      </c>
      <c r="AW136" s="11">
        <f t="shared" si="215"/>
        <v>51866</v>
      </c>
      <c r="AX136" s="11">
        <f t="shared" si="215"/>
        <v>52047</v>
      </c>
      <c r="AY136" s="11">
        <f t="shared" si="215"/>
        <v>52231</v>
      </c>
      <c r="AZ136" s="11">
        <f t="shared" si="215"/>
        <v>52412</v>
      </c>
      <c r="BA136" s="11">
        <f t="shared" si="215"/>
        <v>52596</v>
      </c>
      <c r="BB136" s="11">
        <f t="shared" si="215"/>
        <v>52778</v>
      </c>
      <c r="BC136" s="11">
        <f t="shared" si="215"/>
        <v>52962</v>
      </c>
      <c r="BD136" s="11">
        <f t="shared" si="215"/>
        <v>53143</v>
      </c>
      <c r="BE136" s="11">
        <f t="shared" si="215"/>
        <v>53327</v>
      </c>
      <c r="BF136" s="11">
        <f t="shared" si="215"/>
        <v>53508</v>
      </c>
      <c r="BG136" s="11">
        <f t="shared" si="215"/>
        <v>53692</v>
      </c>
      <c r="BH136" s="11">
        <f t="shared" si="215"/>
        <v>53873</v>
      </c>
      <c r="BI136" s="11">
        <f t="shared" si="215"/>
        <v>54057</v>
      </c>
      <c r="BJ136" s="11">
        <f t="shared" si="215"/>
        <v>54239</v>
      </c>
      <c r="BK136" s="11">
        <f t="shared" si="215"/>
        <v>54423</v>
      </c>
      <c r="BL136" s="11">
        <f t="shared" si="215"/>
        <v>54604</v>
      </c>
      <c r="BM136" s="11">
        <f t="shared" si="215"/>
        <v>54788</v>
      </c>
      <c r="BN136" s="11">
        <f t="shared" si="215"/>
        <v>54969</v>
      </c>
      <c r="BO136" s="11">
        <f t="shared" si="215"/>
        <v>55153</v>
      </c>
      <c r="BP136" s="11">
        <f t="shared" si="215"/>
        <v>55334</v>
      </c>
      <c r="BQ136" s="11">
        <f t="shared" ref="BQ136:CV136" si="216" xml:space="preserve"> BQ$25</f>
        <v>55518</v>
      </c>
      <c r="BR136" s="11">
        <f t="shared" si="216"/>
        <v>55700</v>
      </c>
      <c r="BS136" s="11">
        <f t="shared" si="216"/>
        <v>55884</v>
      </c>
      <c r="BT136" s="11">
        <f t="shared" si="216"/>
        <v>56065</v>
      </c>
      <c r="BU136" s="11">
        <f t="shared" si="216"/>
        <v>56249</v>
      </c>
      <c r="BV136" s="11">
        <f t="shared" si="216"/>
        <v>56430</v>
      </c>
      <c r="BW136" s="11">
        <f t="shared" si="216"/>
        <v>56614</v>
      </c>
      <c r="BX136" s="11">
        <f t="shared" si="216"/>
        <v>56795</v>
      </c>
      <c r="BY136" s="11">
        <f t="shared" si="216"/>
        <v>56979</v>
      </c>
      <c r="BZ136" s="11">
        <f t="shared" si="216"/>
        <v>57161</v>
      </c>
      <c r="CA136" s="11">
        <f t="shared" si="216"/>
        <v>57345</v>
      </c>
      <c r="CB136" s="11">
        <f t="shared" si="216"/>
        <v>57526</v>
      </c>
      <c r="CC136" s="11">
        <f t="shared" si="216"/>
        <v>57710</v>
      </c>
      <c r="CD136" s="11">
        <f t="shared" si="216"/>
        <v>57891</v>
      </c>
      <c r="CE136" s="11">
        <f t="shared" si="216"/>
        <v>58075</v>
      </c>
      <c r="CF136" s="11">
        <f t="shared" si="216"/>
        <v>58256</v>
      </c>
      <c r="CG136" s="11">
        <f t="shared" si="216"/>
        <v>58440</v>
      </c>
      <c r="CH136" s="11">
        <f t="shared" si="216"/>
        <v>58622</v>
      </c>
      <c r="CI136" s="11">
        <f t="shared" si="216"/>
        <v>58806</v>
      </c>
      <c r="CJ136" s="11">
        <f t="shared" si="216"/>
        <v>58987</v>
      </c>
      <c r="CK136" s="11">
        <f t="shared" si="216"/>
        <v>59171</v>
      </c>
      <c r="CL136" s="11">
        <f t="shared" si="216"/>
        <v>59352</v>
      </c>
      <c r="CM136" s="11">
        <f t="shared" si="216"/>
        <v>59536</v>
      </c>
      <c r="CN136" s="11">
        <f t="shared" si="216"/>
        <v>59717</v>
      </c>
      <c r="CO136" s="11">
        <f t="shared" si="216"/>
        <v>59901</v>
      </c>
      <c r="CP136" s="11">
        <f t="shared" si="216"/>
        <v>60083</v>
      </c>
      <c r="CQ136" s="11">
        <f t="shared" si="216"/>
        <v>60267</v>
      </c>
      <c r="CR136" s="11">
        <f t="shared" si="216"/>
        <v>60448</v>
      </c>
      <c r="CS136" s="11">
        <f t="shared" si="216"/>
        <v>60632</v>
      </c>
      <c r="CT136" s="11">
        <f t="shared" si="216"/>
        <v>60813</v>
      </c>
      <c r="CU136" s="11">
        <f t="shared" si="216"/>
        <v>60997</v>
      </c>
      <c r="CV136" s="11">
        <f t="shared" si="216"/>
        <v>61178</v>
      </c>
    </row>
    <row r="137" spans="1:100" s="191" customFormat="1" outlineLevel="2" x14ac:dyDescent="0.2">
      <c r="A137" s="429"/>
      <c r="B137" s="429"/>
      <c r="C137" s="430"/>
      <c r="D137" s="190"/>
      <c r="E137" s="191" t="s">
        <v>949</v>
      </c>
      <c r="G137" s="191" t="s">
        <v>5</v>
      </c>
      <c r="H137" s="191">
        <f xml:space="preserve"> SUM(J137:CV137)</f>
        <v>1</v>
      </c>
      <c r="I137" s="192"/>
      <c r="J137" s="666">
        <f t="shared" ref="J137:BU137" si="217" xml:space="preserve"> IF(AND(I136 &lt; $F135, J136 &gt;= $F135), 1, 0)</f>
        <v>0</v>
      </c>
      <c r="K137" s="666">
        <f t="shared" si="217"/>
        <v>0</v>
      </c>
      <c r="L137" s="666">
        <f t="shared" si="217"/>
        <v>0</v>
      </c>
      <c r="M137" s="666">
        <f t="shared" si="217"/>
        <v>0</v>
      </c>
      <c r="N137" s="666">
        <f t="shared" si="217"/>
        <v>0</v>
      </c>
      <c r="O137" s="666">
        <f t="shared" si="217"/>
        <v>1</v>
      </c>
      <c r="P137" s="666">
        <f t="shared" si="217"/>
        <v>0</v>
      </c>
      <c r="Q137" s="666">
        <f t="shared" si="217"/>
        <v>0</v>
      </c>
      <c r="R137" s="666">
        <f t="shared" si="217"/>
        <v>0</v>
      </c>
      <c r="S137" s="666">
        <f t="shared" si="217"/>
        <v>0</v>
      </c>
      <c r="T137" s="666">
        <f t="shared" si="217"/>
        <v>0</v>
      </c>
      <c r="U137" s="666">
        <f t="shared" si="217"/>
        <v>0</v>
      </c>
      <c r="V137" s="666">
        <f t="shared" si="217"/>
        <v>0</v>
      </c>
      <c r="W137" s="666">
        <f t="shared" si="217"/>
        <v>0</v>
      </c>
      <c r="X137" s="666">
        <f t="shared" si="217"/>
        <v>0</v>
      </c>
      <c r="Y137" s="666">
        <f t="shared" si="217"/>
        <v>0</v>
      </c>
      <c r="Z137" s="666">
        <f t="shared" si="217"/>
        <v>0</v>
      </c>
      <c r="AA137" s="666">
        <f t="shared" si="217"/>
        <v>0</v>
      </c>
      <c r="AB137" s="666">
        <f t="shared" si="217"/>
        <v>0</v>
      </c>
      <c r="AC137" s="666">
        <f t="shared" si="217"/>
        <v>0</v>
      </c>
      <c r="AD137" s="666">
        <f t="shared" si="217"/>
        <v>0</v>
      </c>
      <c r="AE137" s="666">
        <f t="shared" si="217"/>
        <v>0</v>
      </c>
      <c r="AF137" s="666">
        <f t="shared" si="217"/>
        <v>0</v>
      </c>
      <c r="AG137" s="666">
        <f t="shared" si="217"/>
        <v>0</v>
      </c>
      <c r="AH137" s="666">
        <f t="shared" si="217"/>
        <v>0</v>
      </c>
      <c r="AI137" s="666">
        <f t="shared" si="217"/>
        <v>0</v>
      </c>
      <c r="AJ137" s="666">
        <f t="shared" si="217"/>
        <v>0</v>
      </c>
      <c r="AK137" s="666">
        <f t="shared" si="217"/>
        <v>0</v>
      </c>
      <c r="AL137" s="666">
        <f t="shared" si="217"/>
        <v>0</v>
      </c>
      <c r="AM137" s="666">
        <f t="shared" si="217"/>
        <v>0</v>
      </c>
      <c r="AN137" s="666">
        <f t="shared" si="217"/>
        <v>0</v>
      </c>
      <c r="AO137" s="666">
        <f t="shared" si="217"/>
        <v>0</v>
      </c>
      <c r="AP137" s="666">
        <f t="shared" si="217"/>
        <v>0</v>
      </c>
      <c r="AQ137" s="666">
        <f t="shared" si="217"/>
        <v>0</v>
      </c>
      <c r="AR137" s="666">
        <f t="shared" si="217"/>
        <v>0</v>
      </c>
      <c r="AS137" s="666">
        <f t="shared" si="217"/>
        <v>0</v>
      </c>
      <c r="AT137" s="666">
        <f t="shared" si="217"/>
        <v>0</v>
      </c>
      <c r="AU137" s="666">
        <f t="shared" si="217"/>
        <v>0</v>
      </c>
      <c r="AV137" s="666">
        <f t="shared" si="217"/>
        <v>0</v>
      </c>
      <c r="AW137" s="666">
        <f t="shared" si="217"/>
        <v>0</v>
      </c>
      <c r="AX137" s="666">
        <f t="shared" si="217"/>
        <v>0</v>
      </c>
      <c r="AY137" s="666">
        <f t="shared" si="217"/>
        <v>0</v>
      </c>
      <c r="AZ137" s="666">
        <f t="shared" si="217"/>
        <v>0</v>
      </c>
      <c r="BA137" s="666">
        <f t="shared" si="217"/>
        <v>0</v>
      </c>
      <c r="BB137" s="666">
        <f t="shared" si="217"/>
        <v>0</v>
      </c>
      <c r="BC137" s="666">
        <f t="shared" si="217"/>
        <v>0</v>
      </c>
      <c r="BD137" s="666">
        <f t="shared" si="217"/>
        <v>0</v>
      </c>
      <c r="BE137" s="666">
        <f t="shared" si="217"/>
        <v>0</v>
      </c>
      <c r="BF137" s="666">
        <f t="shared" si="217"/>
        <v>0</v>
      </c>
      <c r="BG137" s="666">
        <f t="shared" si="217"/>
        <v>0</v>
      </c>
      <c r="BH137" s="666">
        <f t="shared" si="217"/>
        <v>0</v>
      </c>
      <c r="BI137" s="666">
        <f t="shared" si="217"/>
        <v>0</v>
      </c>
      <c r="BJ137" s="666">
        <f t="shared" si="217"/>
        <v>0</v>
      </c>
      <c r="BK137" s="666">
        <f t="shared" si="217"/>
        <v>0</v>
      </c>
      <c r="BL137" s="666">
        <f t="shared" si="217"/>
        <v>0</v>
      </c>
      <c r="BM137" s="666">
        <f t="shared" si="217"/>
        <v>0</v>
      </c>
      <c r="BN137" s="666">
        <f t="shared" si="217"/>
        <v>0</v>
      </c>
      <c r="BO137" s="666">
        <f t="shared" si="217"/>
        <v>0</v>
      </c>
      <c r="BP137" s="666">
        <f t="shared" si="217"/>
        <v>0</v>
      </c>
      <c r="BQ137" s="666">
        <f t="shared" si="217"/>
        <v>0</v>
      </c>
      <c r="BR137" s="666">
        <f t="shared" si="217"/>
        <v>0</v>
      </c>
      <c r="BS137" s="666">
        <f t="shared" si="217"/>
        <v>0</v>
      </c>
      <c r="BT137" s="666">
        <f t="shared" si="217"/>
        <v>0</v>
      </c>
      <c r="BU137" s="666">
        <f t="shared" si="217"/>
        <v>0</v>
      </c>
      <c r="BV137" s="666">
        <f t="shared" ref="BV137:CV137" si="218" xml:space="preserve"> IF(AND(BU136 &lt; $F135, BV136 &gt;= $F135), 1, 0)</f>
        <v>0</v>
      </c>
      <c r="BW137" s="666">
        <f t="shared" si="218"/>
        <v>0</v>
      </c>
      <c r="BX137" s="666">
        <f t="shared" si="218"/>
        <v>0</v>
      </c>
      <c r="BY137" s="666">
        <f t="shared" si="218"/>
        <v>0</v>
      </c>
      <c r="BZ137" s="666">
        <f t="shared" si="218"/>
        <v>0</v>
      </c>
      <c r="CA137" s="666">
        <f t="shared" si="218"/>
        <v>0</v>
      </c>
      <c r="CB137" s="666">
        <f t="shared" si="218"/>
        <v>0</v>
      </c>
      <c r="CC137" s="666">
        <f t="shared" si="218"/>
        <v>0</v>
      </c>
      <c r="CD137" s="666">
        <f t="shared" si="218"/>
        <v>0</v>
      </c>
      <c r="CE137" s="666">
        <f t="shared" si="218"/>
        <v>0</v>
      </c>
      <c r="CF137" s="666">
        <f t="shared" si="218"/>
        <v>0</v>
      </c>
      <c r="CG137" s="666">
        <f t="shared" si="218"/>
        <v>0</v>
      </c>
      <c r="CH137" s="666">
        <f t="shared" si="218"/>
        <v>0</v>
      </c>
      <c r="CI137" s="666">
        <f t="shared" si="218"/>
        <v>0</v>
      </c>
      <c r="CJ137" s="666">
        <f t="shared" si="218"/>
        <v>0</v>
      </c>
      <c r="CK137" s="666">
        <f t="shared" si="218"/>
        <v>0</v>
      </c>
      <c r="CL137" s="666">
        <f t="shared" si="218"/>
        <v>0</v>
      </c>
      <c r="CM137" s="666">
        <f t="shared" si="218"/>
        <v>0</v>
      </c>
      <c r="CN137" s="666">
        <f t="shared" si="218"/>
        <v>0</v>
      </c>
      <c r="CO137" s="666">
        <f t="shared" si="218"/>
        <v>0</v>
      </c>
      <c r="CP137" s="666">
        <f t="shared" si="218"/>
        <v>0</v>
      </c>
      <c r="CQ137" s="666">
        <f t="shared" si="218"/>
        <v>0</v>
      </c>
      <c r="CR137" s="666">
        <f t="shared" si="218"/>
        <v>0</v>
      </c>
      <c r="CS137" s="666">
        <f t="shared" si="218"/>
        <v>0</v>
      </c>
      <c r="CT137" s="666">
        <f t="shared" si="218"/>
        <v>0</v>
      </c>
      <c r="CU137" s="666">
        <f t="shared" si="218"/>
        <v>0</v>
      </c>
      <c r="CV137" s="666">
        <f t="shared" si="218"/>
        <v>0</v>
      </c>
    </row>
    <row r="138" spans="1:100" outlineLevel="2" x14ac:dyDescent="0.2">
      <c r="A138" s="522"/>
      <c r="B138" s="522"/>
      <c r="C138" s="523"/>
      <c r="D138" s="524"/>
      <c r="E138" s="664"/>
      <c r="F138" s="664"/>
      <c r="G138" s="664"/>
      <c r="H138" s="664"/>
      <c r="I138" s="665"/>
      <c r="J138" s="664"/>
      <c r="K138" s="664"/>
      <c r="L138" s="664"/>
      <c r="M138" s="664"/>
      <c r="N138" s="664"/>
      <c r="O138" s="664"/>
      <c r="P138" s="664"/>
      <c r="Q138" s="664"/>
      <c r="R138" s="664"/>
      <c r="S138" s="664"/>
      <c r="T138" s="664"/>
      <c r="U138" s="664"/>
      <c r="V138" s="664"/>
      <c r="W138" s="664"/>
      <c r="X138" s="664"/>
      <c r="Y138" s="664"/>
      <c r="Z138" s="664"/>
      <c r="AA138" s="664"/>
      <c r="AB138" s="664"/>
      <c r="AC138" s="664"/>
      <c r="AD138" s="664"/>
      <c r="AE138" s="664"/>
      <c r="AF138" s="664"/>
      <c r="AG138" s="664"/>
      <c r="AH138" s="664"/>
      <c r="AI138" s="664"/>
      <c r="AJ138" s="664"/>
      <c r="AK138" s="664"/>
      <c r="AL138" s="664"/>
      <c r="AM138" s="664"/>
      <c r="AN138" s="664"/>
      <c r="AO138" s="664"/>
      <c r="AP138" s="664"/>
      <c r="AQ138" s="664"/>
      <c r="AR138" s="664"/>
      <c r="AS138" s="664"/>
      <c r="AT138" s="664"/>
      <c r="AU138" s="664"/>
      <c r="AV138" s="664"/>
      <c r="AW138" s="664"/>
      <c r="AX138" s="664"/>
      <c r="AY138" s="664"/>
      <c r="AZ138" s="664"/>
      <c r="BA138" s="664"/>
      <c r="BB138" s="664"/>
      <c r="BC138" s="664"/>
      <c r="BD138" s="664"/>
      <c r="BE138" s="664"/>
      <c r="BF138" s="664"/>
      <c r="BG138" s="664"/>
      <c r="BH138" s="664"/>
      <c r="BI138" s="664"/>
      <c r="BJ138" s="664"/>
      <c r="BK138" s="664"/>
      <c r="BL138" s="664"/>
      <c r="BM138" s="664"/>
      <c r="BN138" s="664"/>
      <c r="BO138" s="664"/>
      <c r="BP138" s="664"/>
      <c r="BQ138" s="664"/>
      <c r="BR138" s="664"/>
      <c r="BS138" s="664"/>
      <c r="BT138" s="664"/>
      <c r="BU138" s="664"/>
      <c r="BV138" s="664"/>
      <c r="BW138" s="664"/>
      <c r="BX138" s="664"/>
      <c r="BY138" s="664"/>
      <c r="BZ138" s="664"/>
      <c r="CA138" s="664"/>
      <c r="CB138" s="664"/>
      <c r="CC138" s="664"/>
      <c r="CD138" s="664"/>
      <c r="CE138" s="664"/>
      <c r="CF138" s="664"/>
      <c r="CG138" s="664"/>
      <c r="CH138" s="664"/>
      <c r="CI138" s="664"/>
      <c r="CJ138" s="664"/>
      <c r="CK138" s="664"/>
      <c r="CL138" s="664"/>
      <c r="CM138" s="664"/>
      <c r="CN138" s="664"/>
      <c r="CO138" s="664"/>
      <c r="CP138" s="664"/>
      <c r="CQ138" s="664"/>
      <c r="CR138" s="664"/>
      <c r="CS138" s="664"/>
      <c r="CT138" s="664"/>
      <c r="CU138" s="664"/>
      <c r="CV138" s="664"/>
    </row>
    <row r="139" spans="1:100" outlineLevel="2" x14ac:dyDescent="0.2">
      <c r="A139" s="54"/>
      <c r="B139" s="54"/>
      <c r="C139" s="57"/>
      <c r="D139" s="69"/>
      <c r="E139" s="26" t="str">
        <f t="shared" ref="E139:G139" si="219" xml:space="preserve"> E$133</f>
        <v>Senior debt service end date - T1</v>
      </c>
      <c r="F139" s="26">
        <f t="shared" si="219"/>
        <v>51682</v>
      </c>
      <c r="G139" s="26" t="str">
        <f t="shared" si="219"/>
        <v>date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</row>
    <row r="140" spans="1:100" outlineLevel="2" x14ac:dyDescent="0.2">
      <c r="A140" s="49"/>
      <c r="B140" s="522"/>
      <c r="C140" s="50"/>
      <c r="D140" s="51"/>
      <c r="E140" s="11" t="str">
        <f t="shared" ref="E140:BP140" si="220" xml:space="preserve"> E$25</f>
        <v>Model period ending</v>
      </c>
      <c r="F140" s="11">
        <f t="shared" si="220"/>
        <v>0</v>
      </c>
      <c r="G140" s="11" t="str">
        <f t="shared" si="220"/>
        <v>date</v>
      </c>
      <c r="H140" s="11">
        <f t="shared" si="220"/>
        <v>0</v>
      </c>
      <c r="I140" s="136">
        <f t="shared" si="220"/>
        <v>0</v>
      </c>
      <c r="J140" s="11">
        <f t="shared" si="220"/>
        <v>44742</v>
      </c>
      <c r="K140" s="11">
        <f t="shared" si="220"/>
        <v>44926</v>
      </c>
      <c r="L140" s="11">
        <f t="shared" si="220"/>
        <v>45107</v>
      </c>
      <c r="M140" s="11">
        <f t="shared" si="220"/>
        <v>45291</v>
      </c>
      <c r="N140" s="11">
        <f t="shared" si="220"/>
        <v>45473</v>
      </c>
      <c r="O140" s="11">
        <f t="shared" si="220"/>
        <v>45657</v>
      </c>
      <c r="P140" s="11">
        <f t="shared" si="220"/>
        <v>45838</v>
      </c>
      <c r="Q140" s="11">
        <f t="shared" si="220"/>
        <v>46022</v>
      </c>
      <c r="R140" s="11">
        <f t="shared" si="220"/>
        <v>46203</v>
      </c>
      <c r="S140" s="11">
        <f t="shared" si="220"/>
        <v>46387</v>
      </c>
      <c r="T140" s="11">
        <f t="shared" si="220"/>
        <v>46568</v>
      </c>
      <c r="U140" s="11">
        <f t="shared" si="220"/>
        <v>46752</v>
      </c>
      <c r="V140" s="11">
        <f t="shared" si="220"/>
        <v>46934</v>
      </c>
      <c r="W140" s="11">
        <f t="shared" si="220"/>
        <v>47118</v>
      </c>
      <c r="X140" s="11">
        <f t="shared" si="220"/>
        <v>47299</v>
      </c>
      <c r="Y140" s="11">
        <f t="shared" si="220"/>
        <v>47483</v>
      </c>
      <c r="Z140" s="11">
        <f t="shared" si="220"/>
        <v>47664</v>
      </c>
      <c r="AA140" s="11">
        <f t="shared" si="220"/>
        <v>47848</v>
      </c>
      <c r="AB140" s="11">
        <f t="shared" si="220"/>
        <v>48029</v>
      </c>
      <c r="AC140" s="11">
        <f t="shared" si="220"/>
        <v>48213</v>
      </c>
      <c r="AD140" s="11">
        <f t="shared" si="220"/>
        <v>48395</v>
      </c>
      <c r="AE140" s="11">
        <f t="shared" si="220"/>
        <v>48579</v>
      </c>
      <c r="AF140" s="11">
        <f t="shared" si="220"/>
        <v>48760</v>
      </c>
      <c r="AG140" s="11">
        <f t="shared" si="220"/>
        <v>48944</v>
      </c>
      <c r="AH140" s="11">
        <f t="shared" si="220"/>
        <v>49125</v>
      </c>
      <c r="AI140" s="11">
        <f t="shared" si="220"/>
        <v>49309</v>
      </c>
      <c r="AJ140" s="11">
        <f t="shared" si="220"/>
        <v>49490</v>
      </c>
      <c r="AK140" s="11">
        <f t="shared" si="220"/>
        <v>49674</v>
      </c>
      <c r="AL140" s="11">
        <f t="shared" si="220"/>
        <v>49856</v>
      </c>
      <c r="AM140" s="11">
        <f t="shared" si="220"/>
        <v>50040</v>
      </c>
      <c r="AN140" s="11">
        <f t="shared" si="220"/>
        <v>50221</v>
      </c>
      <c r="AO140" s="11">
        <f t="shared" si="220"/>
        <v>50405</v>
      </c>
      <c r="AP140" s="11">
        <f t="shared" si="220"/>
        <v>50586</v>
      </c>
      <c r="AQ140" s="11">
        <f t="shared" si="220"/>
        <v>50770</v>
      </c>
      <c r="AR140" s="11">
        <f t="shared" si="220"/>
        <v>50951</v>
      </c>
      <c r="AS140" s="11">
        <f t="shared" si="220"/>
        <v>51135</v>
      </c>
      <c r="AT140" s="11">
        <f t="shared" si="220"/>
        <v>51317</v>
      </c>
      <c r="AU140" s="11">
        <f t="shared" si="220"/>
        <v>51501</v>
      </c>
      <c r="AV140" s="11">
        <f t="shared" si="220"/>
        <v>51682</v>
      </c>
      <c r="AW140" s="11">
        <f t="shared" si="220"/>
        <v>51866</v>
      </c>
      <c r="AX140" s="11">
        <f t="shared" si="220"/>
        <v>52047</v>
      </c>
      <c r="AY140" s="11">
        <f t="shared" si="220"/>
        <v>52231</v>
      </c>
      <c r="AZ140" s="11">
        <f t="shared" si="220"/>
        <v>52412</v>
      </c>
      <c r="BA140" s="11">
        <f t="shared" si="220"/>
        <v>52596</v>
      </c>
      <c r="BB140" s="11">
        <f t="shared" si="220"/>
        <v>52778</v>
      </c>
      <c r="BC140" s="11">
        <f t="shared" si="220"/>
        <v>52962</v>
      </c>
      <c r="BD140" s="11">
        <f t="shared" si="220"/>
        <v>53143</v>
      </c>
      <c r="BE140" s="11">
        <f t="shared" si="220"/>
        <v>53327</v>
      </c>
      <c r="BF140" s="11">
        <f t="shared" si="220"/>
        <v>53508</v>
      </c>
      <c r="BG140" s="11">
        <f t="shared" si="220"/>
        <v>53692</v>
      </c>
      <c r="BH140" s="11">
        <f t="shared" si="220"/>
        <v>53873</v>
      </c>
      <c r="BI140" s="11">
        <f t="shared" si="220"/>
        <v>54057</v>
      </c>
      <c r="BJ140" s="11">
        <f t="shared" si="220"/>
        <v>54239</v>
      </c>
      <c r="BK140" s="11">
        <f t="shared" si="220"/>
        <v>54423</v>
      </c>
      <c r="BL140" s="11">
        <f t="shared" si="220"/>
        <v>54604</v>
      </c>
      <c r="BM140" s="11">
        <f t="shared" si="220"/>
        <v>54788</v>
      </c>
      <c r="BN140" s="11">
        <f t="shared" si="220"/>
        <v>54969</v>
      </c>
      <c r="BO140" s="11">
        <f t="shared" si="220"/>
        <v>55153</v>
      </c>
      <c r="BP140" s="11">
        <f t="shared" si="220"/>
        <v>55334</v>
      </c>
      <c r="BQ140" s="11">
        <f t="shared" ref="BQ140:CV140" si="221" xml:space="preserve"> BQ$25</f>
        <v>55518</v>
      </c>
      <c r="BR140" s="11">
        <f t="shared" si="221"/>
        <v>55700</v>
      </c>
      <c r="BS140" s="11">
        <f t="shared" si="221"/>
        <v>55884</v>
      </c>
      <c r="BT140" s="11">
        <f t="shared" si="221"/>
        <v>56065</v>
      </c>
      <c r="BU140" s="11">
        <f t="shared" si="221"/>
        <v>56249</v>
      </c>
      <c r="BV140" s="11">
        <f t="shared" si="221"/>
        <v>56430</v>
      </c>
      <c r="BW140" s="11">
        <f t="shared" si="221"/>
        <v>56614</v>
      </c>
      <c r="BX140" s="11">
        <f t="shared" si="221"/>
        <v>56795</v>
      </c>
      <c r="BY140" s="11">
        <f t="shared" si="221"/>
        <v>56979</v>
      </c>
      <c r="BZ140" s="11">
        <f t="shared" si="221"/>
        <v>57161</v>
      </c>
      <c r="CA140" s="11">
        <f t="shared" si="221"/>
        <v>57345</v>
      </c>
      <c r="CB140" s="11">
        <f t="shared" si="221"/>
        <v>57526</v>
      </c>
      <c r="CC140" s="11">
        <f t="shared" si="221"/>
        <v>57710</v>
      </c>
      <c r="CD140" s="11">
        <f t="shared" si="221"/>
        <v>57891</v>
      </c>
      <c r="CE140" s="11">
        <f t="shared" si="221"/>
        <v>58075</v>
      </c>
      <c r="CF140" s="11">
        <f t="shared" si="221"/>
        <v>58256</v>
      </c>
      <c r="CG140" s="11">
        <f t="shared" si="221"/>
        <v>58440</v>
      </c>
      <c r="CH140" s="11">
        <f t="shared" si="221"/>
        <v>58622</v>
      </c>
      <c r="CI140" s="11">
        <f t="shared" si="221"/>
        <v>58806</v>
      </c>
      <c r="CJ140" s="11">
        <f t="shared" si="221"/>
        <v>58987</v>
      </c>
      <c r="CK140" s="11">
        <f t="shared" si="221"/>
        <v>59171</v>
      </c>
      <c r="CL140" s="11">
        <f t="shared" si="221"/>
        <v>59352</v>
      </c>
      <c r="CM140" s="11">
        <f t="shared" si="221"/>
        <v>59536</v>
      </c>
      <c r="CN140" s="11">
        <f t="shared" si="221"/>
        <v>59717</v>
      </c>
      <c r="CO140" s="11">
        <f t="shared" si="221"/>
        <v>59901</v>
      </c>
      <c r="CP140" s="11">
        <f t="shared" si="221"/>
        <v>60083</v>
      </c>
      <c r="CQ140" s="11">
        <f t="shared" si="221"/>
        <v>60267</v>
      </c>
      <c r="CR140" s="11">
        <f t="shared" si="221"/>
        <v>60448</v>
      </c>
      <c r="CS140" s="11">
        <f t="shared" si="221"/>
        <v>60632</v>
      </c>
      <c r="CT140" s="11">
        <f t="shared" si="221"/>
        <v>60813</v>
      </c>
      <c r="CU140" s="11">
        <f t="shared" si="221"/>
        <v>60997</v>
      </c>
      <c r="CV140" s="11">
        <f t="shared" si="221"/>
        <v>61178</v>
      </c>
    </row>
    <row r="141" spans="1:100" s="191" customFormat="1" outlineLevel="2" x14ac:dyDescent="0.2">
      <c r="A141" s="429"/>
      <c r="B141" s="429"/>
      <c r="C141" s="430"/>
      <c r="D141" s="190"/>
      <c r="E141" s="191" t="s">
        <v>950</v>
      </c>
      <c r="G141" s="191" t="s">
        <v>5</v>
      </c>
      <c r="H141" s="191">
        <f xml:space="preserve"> SUM(J141:CV141)</f>
        <v>1</v>
      </c>
      <c r="I141" s="192"/>
      <c r="J141" s="666">
        <f t="shared" ref="J141:BU141" si="222" xml:space="preserve"> IF(AND(I140 &lt; $F139, J140 &gt;= $F139), 1, 0)</f>
        <v>0</v>
      </c>
      <c r="K141" s="666">
        <f t="shared" si="222"/>
        <v>0</v>
      </c>
      <c r="L141" s="666">
        <f t="shared" si="222"/>
        <v>0</v>
      </c>
      <c r="M141" s="666">
        <f t="shared" si="222"/>
        <v>0</v>
      </c>
      <c r="N141" s="666">
        <f t="shared" si="222"/>
        <v>0</v>
      </c>
      <c r="O141" s="666">
        <f t="shared" si="222"/>
        <v>0</v>
      </c>
      <c r="P141" s="666">
        <f t="shared" si="222"/>
        <v>0</v>
      </c>
      <c r="Q141" s="666">
        <f t="shared" si="222"/>
        <v>0</v>
      </c>
      <c r="R141" s="666">
        <f t="shared" si="222"/>
        <v>0</v>
      </c>
      <c r="S141" s="666">
        <f t="shared" si="222"/>
        <v>0</v>
      </c>
      <c r="T141" s="666">
        <f t="shared" si="222"/>
        <v>0</v>
      </c>
      <c r="U141" s="666">
        <f t="shared" si="222"/>
        <v>0</v>
      </c>
      <c r="V141" s="666">
        <f t="shared" si="222"/>
        <v>0</v>
      </c>
      <c r="W141" s="666">
        <f t="shared" si="222"/>
        <v>0</v>
      </c>
      <c r="X141" s="666">
        <f t="shared" si="222"/>
        <v>0</v>
      </c>
      <c r="Y141" s="666">
        <f t="shared" si="222"/>
        <v>0</v>
      </c>
      <c r="Z141" s="666">
        <f t="shared" si="222"/>
        <v>0</v>
      </c>
      <c r="AA141" s="666">
        <f t="shared" si="222"/>
        <v>0</v>
      </c>
      <c r="AB141" s="666">
        <f t="shared" si="222"/>
        <v>0</v>
      </c>
      <c r="AC141" s="666">
        <f t="shared" si="222"/>
        <v>0</v>
      </c>
      <c r="AD141" s="666">
        <f t="shared" si="222"/>
        <v>0</v>
      </c>
      <c r="AE141" s="666">
        <f t="shared" si="222"/>
        <v>0</v>
      </c>
      <c r="AF141" s="666">
        <f t="shared" si="222"/>
        <v>0</v>
      </c>
      <c r="AG141" s="666">
        <f t="shared" si="222"/>
        <v>0</v>
      </c>
      <c r="AH141" s="666">
        <f t="shared" si="222"/>
        <v>0</v>
      </c>
      <c r="AI141" s="666">
        <f t="shared" si="222"/>
        <v>0</v>
      </c>
      <c r="AJ141" s="666">
        <f t="shared" si="222"/>
        <v>0</v>
      </c>
      <c r="AK141" s="666">
        <f t="shared" si="222"/>
        <v>0</v>
      </c>
      <c r="AL141" s="666">
        <f t="shared" si="222"/>
        <v>0</v>
      </c>
      <c r="AM141" s="666">
        <f t="shared" si="222"/>
        <v>0</v>
      </c>
      <c r="AN141" s="666">
        <f t="shared" si="222"/>
        <v>0</v>
      </c>
      <c r="AO141" s="666">
        <f t="shared" si="222"/>
        <v>0</v>
      </c>
      <c r="AP141" s="666">
        <f t="shared" si="222"/>
        <v>0</v>
      </c>
      <c r="AQ141" s="666">
        <f t="shared" si="222"/>
        <v>0</v>
      </c>
      <c r="AR141" s="666">
        <f t="shared" si="222"/>
        <v>0</v>
      </c>
      <c r="AS141" s="666">
        <f t="shared" si="222"/>
        <v>0</v>
      </c>
      <c r="AT141" s="666">
        <f t="shared" si="222"/>
        <v>0</v>
      </c>
      <c r="AU141" s="666">
        <f t="shared" si="222"/>
        <v>0</v>
      </c>
      <c r="AV141" s="666">
        <f t="shared" si="222"/>
        <v>1</v>
      </c>
      <c r="AW141" s="666">
        <f t="shared" si="222"/>
        <v>0</v>
      </c>
      <c r="AX141" s="666">
        <f t="shared" si="222"/>
        <v>0</v>
      </c>
      <c r="AY141" s="666">
        <f t="shared" si="222"/>
        <v>0</v>
      </c>
      <c r="AZ141" s="666">
        <f t="shared" si="222"/>
        <v>0</v>
      </c>
      <c r="BA141" s="666">
        <f t="shared" si="222"/>
        <v>0</v>
      </c>
      <c r="BB141" s="666">
        <f t="shared" si="222"/>
        <v>0</v>
      </c>
      <c r="BC141" s="666">
        <f t="shared" si="222"/>
        <v>0</v>
      </c>
      <c r="BD141" s="666">
        <f t="shared" si="222"/>
        <v>0</v>
      </c>
      <c r="BE141" s="666">
        <f t="shared" si="222"/>
        <v>0</v>
      </c>
      <c r="BF141" s="666">
        <f t="shared" si="222"/>
        <v>0</v>
      </c>
      <c r="BG141" s="666">
        <f t="shared" si="222"/>
        <v>0</v>
      </c>
      <c r="BH141" s="666">
        <f t="shared" si="222"/>
        <v>0</v>
      </c>
      <c r="BI141" s="666">
        <f t="shared" si="222"/>
        <v>0</v>
      </c>
      <c r="BJ141" s="666">
        <f t="shared" si="222"/>
        <v>0</v>
      </c>
      <c r="BK141" s="666">
        <f t="shared" si="222"/>
        <v>0</v>
      </c>
      <c r="BL141" s="666">
        <f t="shared" si="222"/>
        <v>0</v>
      </c>
      <c r="BM141" s="666">
        <f t="shared" si="222"/>
        <v>0</v>
      </c>
      <c r="BN141" s="666">
        <f t="shared" si="222"/>
        <v>0</v>
      </c>
      <c r="BO141" s="666">
        <f t="shared" si="222"/>
        <v>0</v>
      </c>
      <c r="BP141" s="666">
        <f t="shared" si="222"/>
        <v>0</v>
      </c>
      <c r="BQ141" s="666">
        <f t="shared" si="222"/>
        <v>0</v>
      </c>
      <c r="BR141" s="666">
        <f t="shared" si="222"/>
        <v>0</v>
      </c>
      <c r="BS141" s="666">
        <f t="shared" si="222"/>
        <v>0</v>
      </c>
      <c r="BT141" s="666">
        <f t="shared" si="222"/>
        <v>0</v>
      </c>
      <c r="BU141" s="666">
        <f t="shared" si="222"/>
        <v>0</v>
      </c>
      <c r="BV141" s="666">
        <f t="shared" ref="BV141:CV141" si="223" xml:space="preserve"> IF(AND(BU140 &lt; $F139, BV140 &gt;= $F139), 1, 0)</f>
        <v>0</v>
      </c>
      <c r="BW141" s="666">
        <f t="shared" si="223"/>
        <v>0</v>
      </c>
      <c r="BX141" s="666">
        <f t="shared" si="223"/>
        <v>0</v>
      </c>
      <c r="BY141" s="666">
        <f t="shared" si="223"/>
        <v>0</v>
      </c>
      <c r="BZ141" s="666">
        <f t="shared" si="223"/>
        <v>0</v>
      </c>
      <c r="CA141" s="666">
        <f t="shared" si="223"/>
        <v>0</v>
      </c>
      <c r="CB141" s="666">
        <f t="shared" si="223"/>
        <v>0</v>
      </c>
      <c r="CC141" s="666">
        <f t="shared" si="223"/>
        <v>0</v>
      </c>
      <c r="CD141" s="666">
        <f t="shared" si="223"/>
        <v>0</v>
      </c>
      <c r="CE141" s="666">
        <f t="shared" si="223"/>
        <v>0</v>
      </c>
      <c r="CF141" s="666">
        <f t="shared" si="223"/>
        <v>0</v>
      </c>
      <c r="CG141" s="666">
        <f t="shared" si="223"/>
        <v>0</v>
      </c>
      <c r="CH141" s="666">
        <f t="shared" si="223"/>
        <v>0</v>
      </c>
      <c r="CI141" s="666">
        <f t="shared" si="223"/>
        <v>0</v>
      </c>
      <c r="CJ141" s="666">
        <f t="shared" si="223"/>
        <v>0</v>
      </c>
      <c r="CK141" s="666">
        <f t="shared" si="223"/>
        <v>0</v>
      </c>
      <c r="CL141" s="666">
        <f t="shared" si="223"/>
        <v>0</v>
      </c>
      <c r="CM141" s="666">
        <f t="shared" si="223"/>
        <v>0</v>
      </c>
      <c r="CN141" s="666">
        <f t="shared" si="223"/>
        <v>0</v>
      </c>
      <c r="CO141" s="666">
        <f t="shared" si="223"/>
        <v>0</v>
      </c>
      <c r="CP141" s="666">
        <f t="shared" si="223"/>
        <v>0</v>
      </c>
      <c r="CQ141" s="666">
        <f t="shared" si="223"/>
        <v>0</v>
      </c>
      <c r="CR141" s="666">
        <f t="shared" si="223"/>
        <v>0</v>
      </c>
      <c r="CS141" s="666">
        <f t="shared" si="223"/>
        <v>0</v>
      </c>
      <c r="CT141" s="666">
        <f t="shared" si="223"/>
        <v>0</v>
      </c>
      <c r="CU141" s="666">
        <f t="shared" si="223"/>
        <v>0</v>
      </c>
      <c r="CV141" s="666">
        <f t="shared" si="223"/>
        <v>0</v>
      </c>
    </row>
    <row r="142" spans="1:100" outlineLevel="2" x14ac:dyDescent="0.2">
      <c r="A142" s="522"/>
      <c r="B142" s="522"/>
      <c r="C142" s="523"/>
      <c r="D142" s="524"/>
      <c r="E142" s="664"/>
      <c r="F142" s="664"/>
      <c r="G142" s="664"/>
      <c r="H142" s="664"/>
      <c r="I142" s="665"/>
      <c r="J142" s="664"/>
      <c r="K142" s="664"/>
      <c r="L142" s="664"/>
      <c r="M142" s="664"/>
      <c r="N142" s="664"/>
      <c r="O142" s="664"/>
      <c r="P142" s="664"/>
      <c r="Q142" s="664"/>
      <c r="R142" s="664"/>
      <c r="S142" s="664"/>
      <c r="T142" s="664"/>
      <c r="U142" s="664"/>
      <c r="V142" s="664"/>
      <c r="W142" s="664"/>
      <c r="X142" s="664"/>
      <c r="Y142" s="664"/>
      <c r="Z142" s="664"/>
      <c r="AA142" s="664"/>
      <c r="AB142" s="664"/>
      <c r="AC142" s="664"/>
      <c r="AD142" s="664"/>
      <c r="AE142" s="664"/>
      <c r="AF142" s="664"/>
      <c r="AG142" s="664"/>
      <c r="AH142" s="664"/>
      <c r="AI142" s="664"/>
      <c r="AJ142" s="664"/>
      <c r="AK142" s="664"/>
      <c r="AL142" s="664"/>
      <c r="AM142" s="664"/>
      <c r="AN142" s="664"/>
      <c r="AO142" s="664"/>
      <c r="AP142" s="664"/>
      <c r="AQ142" s="664"/>
      <c r="AR142" s="664"/>
      <c r="AS142" s="664"/>
      <c r="AT142" s="664"/>
      <c r="AU142" s="664"/>
      <c r="AV142" s="664"/>
      <c r="AW142" s="664"/>
      <c r="AX142" s="664"/>
      <c r="AY142" s="664"/>
      <c r="AZ142" s="664"/>
      <c r="BA142" s="664"/>
      <c r="BB142" s="664"/>
      <c r="BC142" s="664"/>
      <c r="BD142" s="664"/>
      <c r="BE142" s="664"/>
      <c r="BF142" s="664"/>
      <c r="BG142" s="664"/>
      <c r="BH142" s="664"/>
      <c r="BI142" s="664"/>
      <c r="BJ142" s="664"/>
      <c r="BK142" s="664"/>
      <c r="BL142" s="664"/>
      <c r="BM142" s="664"/>
      <c r="BN142" s="664"/>
      <c r="BO142" s="664"/>
      <c r="BP142" s="664"/>
      <c r="BQ142" s="664"/>
      <c r="BR142" s="664"/>
      <c r="BS142" s="664"/>
      <c r="BT142" s="664"/>
      <c r="BU142" s="664"/>
      <c r="BV142" s="664"/>
      <c r="BW142" s="664"/>
      <c r="BX142" s="664"/>
      <c r="BY142" s="664"/>
      <c r="BZ142" s="664"/>
      <c r="CA142" s="664"/>
      <c r="CB142" s="664"/>
      <c r="CC142" s="664"/>
      <c r="CD142" s="664"/>
      <c r="CE142" s="664"/>
      <c r="CF142" s="664"/>
      <c r="CG142" s="664"/>
      <c r="CH142" s="664"/>
      <c r="CI142" s="664"/>
      <c r="CJ142" s="664"/>
      <c r="CK142" s="664"/>
      <c r="CL142" s="664"/>
      <c r="CM142" s="664"/>
      <c r="CN142" s="664"/>
      <c r="CO142" s="664"/>
      <c r="CP142" s="664"/>
      <c r="CQ142" s="664"/>
      <c r="CR142" s="664"/>
      <c r="CS142" s="664"/>
      <c r="CT142" s="664"/>
      <c r="CU142" s="664"/>
      <c r="CV142" s="664"/>
    </row>
    <row r="143" spans="1:100" outlineLevel="2" x14ac:dyDescent="0.2">
      <c r="A143" s="522"/>
      <c r="B143" s="522"/>
      <c r="C143" s="523"/>
      <c r="D143" s="524"/>
      <c r="E143" s="668" t="str">
        <f t="shared" ref="E143:BP143" si="224" xml:space="preserve"> E$137</f>
        <v>Senior debt service period start flag - T1</v>
      </c>
      <c r="F143" s="668">
        <f t="shared" si="224"/>
        <v>0</v>
      </c>
      <c r="G143" s="668" t="str">
        <f t="shared" si="224"/>
        <v>flag</v>
      </c>
      <c r="H143" s="668">
        <f t="shared" si="224"/>
        <v>1</v>
      </c>
      <c r="I143" s="668">
        <f t="shared" si="224"/>
        <v>0</v>
      </c>
      <c r="J143" s="668">
        <f t="shared" si="224"/>
        <v>0</v>
      </c>
      <c r="K143" s="668">
        <f t="shared" si="224"/>
        <v>0</v>
      </c>
      <c r="L143" s="668">
        <f t="shared" si="224"/>
        <v>0</v>
      </c>
      <c r="M143" s="668">
        <f t="shared" si="224"/>
        <v>0</v>
      </c>
      <c r="N143" s="668">
        <f t="shared" si="224"/>
        <v>0</v>
      </c>
      <c r="O143" s="668">
        <f t="shared" si="224"/>
        <v>1</v>
      </c>
      <c r="P143" s="668">
        <f t="shared" si="224"/>
        <v>0</v>
      </c>
      <c r="Q143" s="668">
        <f t="shared" si="224"/>
        <v>0</v>
      </c>
      <c r="R143" s="668">
        <f t="shared" si="224"/>
        <v>0</v>
      </c>
      <c r="S143" s="668">
        <f t="shared" si="224"/>
        <v>0</v>
      </c>
      <c r="T143" s="668">
        <f t="shared" si="224"/>
        <v>0</v>
      </c>
      <c r="U143" s="668">
        <f t="shared" si="224"/>
        <v>0</v>
      </c>
      <c r="V143" s="668">
        <f t="shared" si="224"/>
        <v>0</v>
      </c>
      <c r="W143" s="668">
        <f t="shared" si="224"/>
        <v>0</v>
      </c>
      <c r="X143" s="668">
        <f t="shared" si="224"/>
        <v>0</v>
      </c>
      <c r="Y143" s="668">
        <f t="shared" si="224"/>
        <v>0</v>
      </c>
      <c r="Z143" s="668">
        <f t="shared" si="224"/>
        <v>0</v>
      </c>
      <c r="AA143" s="668">
        <f t="shared" si="224"/>
        <v>0</v>
      </c>
      <c r="AB143" s="668">
        <f t="shared" si="224"/>
        <v>0</v>
      </c>
      <c r="AC143" s="668">
        <f t="shared" si="224"/>
        <v>0</v>
      </c>
      <c r="AD143" s="668">
        <f t="shared" si="224"/>
        <v>0</v>
      </c>
      <c r="AE143" s="668">
        <f t="shared" si="224"/>
        <v>0</v>
      </c>
      <c r="AF143" s="668">
        <f t="shared" si="224"/>
        <v>0</v>
      </c>
      <c r="AG143" s="668">
        <f t="shared" si="224"/>
        <v>0</v>
      </c>
      <c r="AH143" s="668">
        <f t="shared" si="224"/>
        <v>0</v>
      </c>
      <c r="AI143" s="668">
        <f t="shared" si="224"/>
        <v>0</v>
      </c>
      <c r="AJ143" s="668">
        <f t="shared" si="224"/>
        <v>0</v>
      </c>
      <c r="AK143" s="668">
        <f t="shared" si="224"/>
        <v>0</v>
      </c>
      <c r="AL143" s="668">
        <f t="shared" si="224"/>
        <v>0</v>
      </c>
      <c r="AM143" s="668">
        <f t="shared" si="224"/>
        <v>0</v>
      </c>
      <c r="AN143" s="668">
        <f t="shared" si="224"/>
        <v>0</v>
      </c>
      <c r="AO143" s="668">
        <f t="shared" si="224"/>
        <v>0</v>
      </c>
      <c r="AP143" s="668">
        <f t="shared" si="224"/>
        <v>0</v>
      </c>
      <c r="AQ143" s="668">
        <f t="shared" si="224"/>
        <v>0</v>
      </c>
      <c r="AR143" s="668">
        <f t="shared" si="224"/>
        <v>0</v>
      </c>
      <c r="AS143" s="668">
        <f t="shared" si="224"/>
        <v>0</v>
      </c>
      <c r="AT143" s="668">
        <f t="shared" si="224"/>
        <v>0</v>
      </c>
      <c r="AU143" s="668">
        <f t="shared" si="224"/>
        <v>0</v>
      </c>
      <c r="AV143" s="668">
        <f t="shared" si="224"/>
        <v>0</v>
      </c>
      <c r="AW143" s="668">
        <f t="shared" si="224"/>
        <v>0</v>
      </c>
      <c r="AX143" s="668">
        <f t="shared" si="224"/>
        <v>0</v>
      </c>
      <c r="AY143" s="668">
        <f t="shared" si="224"/>
        <v>0</v>
      </c>
      <c r="AZ143" s="668">
        <f t="shared" si="224"/>
        <v>0</v>
      </c>
      <c r="BA143" s="668">
        <f t="shared" si="224"/>
        <v>0</v>
      </c>
      <c r="BB143" s="668">
        <f t="shared" si="224"/>
        <v>0</v>
      </c>
      <c r="BC143" s="668">
        <f t="shared" si="224"/>
        <v>0</v>
      </c>
      <c r="BD143" s="668">
        <f t="shared" si="224"/>
        <v>0</v>
      </c>
      <c r="BE143" s="668">
        <f t="shared" si="224"/>
        <v>0</v>
      </c>
      <c r="BF143" s="668">
        <f t="shared" si="224"/>
        <v>0</v>
      </c>
      <c r="BG143" s="668">
        <f t="shared" si="224"/>
        <v>0</v>
      </c>
      <c r="BH143" s="668">
        <f t="shared" si="224"/>
        <v>0</v>
      </c>
      <c r="BI143" s="668">
        <f t="shared" si="224"/>
        <v>0</v>
      </c>
      <c r="BJ143" s="668">
        <f t="shared" si="224"/>
        <v>0</v>
      </c>
      <c r="BK143" s="668">
        <f t="shared" si="224"/>
        <v>0</v>
      </c>
      <c r="BL143" s="668">
        <f t="shared" si="224"/>
        <v>0</v>
      </c>
      <c r="BM143" s="668">
        <f t="shared" si="224"/>
        <v>0</v>
      </c>
      <c r="BN143" s="668">
        <f t="shared" si="224"/>
        <v>0</v>
      </c>
      <c r="BO143" s="668">
        <f t="shared" si="224"/>
        <v>0</v>
      </c>
      <c r="BP143" s="668">
        <f t="shared" si="224"/>
        <v>0</v>
      </c>
      <c r="BQ143" s="668">
        <f t="shared" ref="BQ143:CV143" si="225" xml:space="preserve"> BQ$137</f>
        <v>0</v>
      </c>
      <c r="BR143" s="668">
        <f t="shared" si="225"/>
        <v>0</v>
      </c>
      <c r="BS143" s="668">
        <f t="shared" si="225"/>
        <v>0</v>
      </c>
      <c r="BT143" s="668">
        <f t="shared" si="225"/>
        <v>0</v>
      </c>
      <c r="BU143" s="668">
        <f t="shared" si="225"/>
        <v>0</v>
      </c>
      <c r="BV143" s="668">
        <f t="shared" si="225"/>
        <v>0</v>
      </c>
      <c r="BW143" s="668">
        <f t="shared" si="225"/>
        <v>0</v>
      </c>
      <c r="BX143" s="668">
        <f t="shared" si="225"/>
        <v>0</v>
      </c>
      <c r="BY143" s="668">
        <f t="shared" si="225"/>
        <v>0</v>
      </c>
      <c r="BZ143" s="668">
        <f t="shared" si="225"/>
        <v>0</v>
      </c>
      <c r="CA143" s="668">
        <f t="shared" si="225"/>
        <v>0</v>
      </c>
      <c r="CB143" s="668">
        <f t="shared" si="225"/>
        <v>0</v>
      </c>
      <c r="CC143" s="668">
        <f t="shared" si="225"/>
        <v>0</v>
      </c>
      <c r="CD143" s="668">
        <f t="shared" si="225"/>
        <v>0</v>
      </c>
      <c r="CE143" s="668">
        <f t="shared" si="225"/>
        <v>0</v>
      </c>
      <c r="CF143" s="668">
        <f t="shared" si="225"/>
        <v>0</v>
      </c>
      <c r="CG143" s="668">
        <f t="shared" si="225"/>
        <v>0</v>
      </c>
      <c r="CH143" s="668">
        <f t="shared" si="225"/>
        <v>0</v>
      </c>
      <c r="CI143" s="668">
        <f t="shared" si="225"/>
        <v>0</v>
      </c>
      <c r="CJ143" s="668">
        <f t="shared" si="225"/>
        <v>0</v>
      </c>
      <c r="CK143" s="668">
        <f t="shared" si="225"/>
        <v>0</v>
      </c>
      <c r="CL143" s="668">
        <f t="shared" si="225"/>
        <v>0</v>
      </c>
      <c r="CM143" s="668">
        <f t="shared" si="225"/>
        <v>0</v>
      </c>
      <c r="CN143" s="668">
        <f t="shared" si="225"/>
        <v>0</v>
      </c>
      <c r="CO143" s="668">
        <f t="shared" si="225"/>
        <v>0</v>
      </c>
      <c r="CP143" s="668">
        <f t="shared" si="225"/>
        <v>0</v>
      </c>
      <c r="CQ143" s="668">
        <f t="shared" si="225"/>
        <v>0</v>
      </c>
      <c r="CR143" s="668">
        <f t="shared" si="225"/>
        <v>0</v>
      </c>
      <c r="CS143" s="668">
        <f t="shared" si="225"/>
        <v>0</v>
      </c>
      <c r="CT143" s="668">
        <f t="shared" si="225"/>
        <v>0</v>
      </c>
      <c r="CU143" s="668">
        <f t="shared" si="225"/>
        <v>0</v>
      </c>
      <c r="CV143" s="668">
        <f t="shared" si="225"/>
        <v>0</v>
      </c>
    </row>
    <row r="144" spans="1:100" outlineLevel="2" x14ac:dyDescent="0.2">
      <c r="A144" s="49"/>
      <c r="B144" s="522"/>
      <c r="C144" s="50"/>
      <c r="D144" s="51"/>
      <c r="E144" s="469" t="str">
        <f t="shared" ref="E144:BP144" si="226" xml:space="preserve"> E$141</f>
        <v>Senior debt service period end flag - T1</v>
      </c>
      <c r="F144" s="469">
        <f t="shared" si="226"/>
        <v>0</v>
      </c>
      <c r="G144" s="469" t="str">
        <f t="shared" si="226"/>
        <v>flag</v>
      </c>
      <c r="H144" s="469">
        <f t="shared" si="226"/>
        <v>1</v>
      </c>
      <c r="I144" s="469">
        <f t="shared" si="226"/>
        <v>0</v>
      </c>
      <c r="J144" s="469">
        <f t="shared" si="226"/>
        <v>0</v>
      </c>
      <c r="K144" s="469">
        <f t="shared" si="226"/>
        <v>0</v>
      </c>
      <c r="L144" s="469">
        <f t="shared" si="226"/>
        <v>0</v>
      </c>
      <c r="M144" s="469">
        <f t="shared" si="226"/>
        <v>0</v>
      </c>
      <c r="N144" s="469">
        <f t="shared" si="226"/>
        <v>0</v>
      </c>
      <c r="O144" s="469">
        <f t="shared" si="226"/>
        <v>0</v>
      </c>
      <c r="P144" s="469">
        <f t="shared" si="226"/>
        <v>0</v>
      </c>
      <c r="Q144" s="469">
        <f t="shared" si="226"/>
        <v>0</v>
      </c>
      <c r="R144" s="469">
        <f t="shared" si="226"/>
        <v>0</v>
      </c>
      <c r="S144" s="469">
        <f t="shared" si="226"/>
        <v>0</v>
      </c>
      <c r="T144" s="469">
        <f t="shared" si="226"/>
        <v>0</v>
      </c>
      <c r="U144" s="469">
        <f t="shared" si="226"/>
        <v>0</v>
      </c>
      <c r="V144" s="469">
        <f t="shared" si="226"/>
        <v>0</v>
      </c>
      <c r="W144" s="469">
        <f t="shared" si="226"/>
        <v>0</v>
      </c>
      <c r="X144" s="469">
        <f t="shared" si="226"/>
        <v>0</v>
      </c>
      <c r="Y144" s="469">
        <f t="shared" si="226"/>
        <v>0</v>
      </c>
      <c r="Z144" s="469">
        <f t="shared" si="226"/>
        <v>0</v>
      </c>
      <c r="AA144" s="469">
        <f t="shared" si="226"/>
        <v>0</v>
      </c>
      <c r="AB144" s="469">
        <f t="shared" si="226"/>
        <v>0</v>
      </c>
      <c r="AC144" s="469">
        <f t="shared" si="226"/>
        <v>0</v>
      </c>
      <c r="AD144" s="469">
        <f t="shared" si="226"/>
        <v>0</v>
      </c>
      <c r="AE144" s="469">
        <f t="shared" si="226"/>
        <v>0</v>
      </c>
      <c r="AF144" s="469">
        <f t="shared" si="226"/>
        <v>0</v>
      </c>
      <c r="AG144" s="469">
        <f t="shared" si="226"/>
        <v>0</v>
      </c>
      <c r="AH144" s="469">
        <f t="shared" si="226"/>
        <v>0</v>
      </c>
      <c r="AI144" s="469">
        <f t="shared" si="226"/>
        <v>0</v>
      </c>
      <c r="AJ144" s="469">
        <f t="shared" si="226"/>
        <v>0</v>
      </c>
      <c r="AK144" s="469">
        <f t="shared" si="226"/>
        <v>0</v>
      </c>
      <c r="AL144" s="469">
        <f t="shared" si="226"/>
        <v>0</v>
      </c>
      <c r="AM144" s="469">
        <f t="shared" si="226"/>
        <v>0</v>
      </c>
      <c r="AN144" s="469">
        <f t="shared" si="226"/>
        <v>0</v>
      </c>
      <c r="AO144" s="469">
        <f t="shared" si="226"/>
        <v>0</v>
      </c>
      <c r="AP144" s="469">
        <f t="shared" si="226"/>
        <v>0</v>
      </c>
      <c r="AQ144" s="469">
        <f t="shared" si="226"/>
        <v>0</v>
      </c>
      <c r="AR144" s="469">
        <f t="shared" si="226"/>
        <v>0</v>
      </c>
      <c r="AS144" s="469">
        <f t="shared" si="226"/>
        <v>0</v>
      </c>
      <c r="AT144" s="469">
        <f t="shared" si="226"/>
        <v>0</v>
      </c>
      <c r="AU144" s="469">
        <f t="shared" si="226"/>
        <v>0</v>
      </c>
      <c r="AV144" s="469">
        <f t="shared" si="226"/>
        <v>1</v>
      </c>
      <c r="AW144" s="469">
        <f t="shared" si="226"/>
        <v>0</v>
      </c>
      <c r="AX144" s="469">
        <f t="shared" si="226"/>
        <v>0</v>
      </c>
      <c r="AY144" s="469">
        <f t="shared" si="226"/>
        <v>0</v>
      </c>
      <c r="AZ144" s="469">
        <f t="shared" si="226"/>
        <v>0</v>
      </c>
      <c r="BA144" s="469">
        <f t="shared" si="226"/>
        <v>0</v>
      </c>
      <c r="BB144" s="469">
        <f t="shared" si="226"/>
        <v>0</v>
      </c>
      <c r="BC144" s="469">
        <f t="shared" si="226"/>
        <v>0</v>
      </c>
      <c r="BD144" s="469">
        <f t="shared" si="226"/>
        <v>0</v>
      </c>
      <c r="BE144" s="469">
        <f t="shared" si="226"/>
        <v>0</v>
      </c>
      <c r="BF144" s="469">
        <f t="shared" si="226"/>
        <v>0</v>
      </c>
      <c r="BG144" s="469">
        <f t="shared" si="226"/>
        <v>0</v>
      </c>
      <c r="BH144" s="469">
        <f t="shared" si="226"/>
        <v>0</v>
      </c>
      <c r="BI144" s="469">
        <f t="shared" si="226"/>
        <v>0</v>
      </c>
      <c r="BJ144" s="469">
        <f t="shared" si="226"/>
        <v>0</v>
      </c>
      <c r="BK144" s="469">
        <f t="shared" si="226"/>
        <v>0</v>
      </c>
      <c r="BL144" s="469">
        <f t="shared" si="226"/>
        <v>0</v>
      </c>
      <c r="BM144" s="469">
        <f t="shared" si="226"/>
        <v>0</v>
      </c>
      <c r="BN144" s="469">
        <f t="shared" si="226"/>
        <v>0</v>
      </c>
      <c r="BO144" s="469">
        <f t="shared" si="226"/>
        <v>0</v>
      </c>
      <c r="BP144" s="469">
        <f t="shared" si="226"/>
        <v>0</v>
      </c>
      <c r="BQ144" s="469">
        <f t="shared" ref="BQ144:CV144" si="227" xml:space="preserve"> BQ$141</f>
        <v>0</v>
      </c>
      <c r="BR144" s="469">
        <f t="shared" si="227"/>
        <v>0</v>
      </c>
      <c r="BS144" s="469">
        <f t="shared" si="227"/>
        <v>0</v>
      </c>
      <c r="BT144" s="469">
        <f t="shared" si="227"/>
        <v>0</v>
      </c>
      <c r="BU144" s="469">
        <f t="shared" si="227"/>
        <v>0</v>
      </c>
      <c r="BV144" s="469">
        <f t="shared" si="227"/>
        <v>0</v>
      </c>
      <c r="BW144" s="469">
        <f t="shared" si="227"/>
        <v>0</v>
      </c>
      <c r="BX144" s="469">
        <f t="shared" si="227"/>
        <v>0</v>
      </c>
      <c r="BY144" s="469">
        <f t="shared" si="227"/>
        <v>0</v>
      </c>
      <c r="BZ144" s="469">
        <f t="shared" si="227"/>
        <v>0</v>
      </c>
      <c r="CA144" s="469">
        <f t="shared" si="227"/>
        <v>0</v>
      </c>
      <c r="CB144" s="469">
        <f t="shared" si="227"/>
        <v>0</v>
      </c>
      <c r="CC144" s="469">
        <f t="shared" si="227"/>
        <v>0</v>
      </c>
      <c r="CD144" s="469">
        <f t="shared" si="227"/>
        <v>0</v>
      </c>
      <c r="CE144" s="469">
        <f t="shared" si="227"/>
        <v>0</v>
      </c>
      <c r="CF144" s="469">
        <f t="shared" si="227"/>
        <v>0</v>
      </c>
      <c r="CG144" s="469">
        <f t="shared" si="227"/>
        <v>0</v>
      </c>
      <c r="CH144" s="469">
        <f t="shared" si="227"/>
        <v>0</v>
      </c>
      <c r="CI144" s="469">
        <f t="shared" si="227"/>
        <v>0</v>
      </c>
      <c r="CJ144" s="469">
        <f t="shared" si="227"/>
        <v>0</v>
      </c>
      <c r="CK144" s="469">
        <f t="shared" si="227"/>
        <v>0</v>
      </c>
      <c r="CL144" s="469">
        <f t="shared" si="227"/>
        <v>0</v>
      </c>
      <c r="CM144" s="469">
        <f t="shared" si="227"/>
        <v>0</v>
      </c>
      <c r="CN144" s="469">
        <f t="shared" si="227"/>
        <v>0</v>
      </c>
      <c r="CO144" s="469">
        <f t="shared" si="227"/>
        <v>0</v>
      </c>
      <c r="CP144" s="469">
        <f t="shared" si="227"/>
        <v>0</v>
      </c>
      <c r="CQ144" s="469">
        <f t="shared" si="227"/>
        <v>0</v>
      </c>
      <c r="CR144" s="469">
        <f t="shared" si="227"/>
        <v>0</v>
      </c>
      <c r="CS144" s="469">
        <f t="shared" si="227"/>
        <v>0</v>
      </c>
      <c r="CT144" s="469">
        <f t="shared" si="227"/>
        <v>0</v>
      </c>
      <c r="CU144" s="469">
        <f t="shared" si="227"/>
        <v>0</v>
      </c>
      <c r="CV144" s="469">
        <f t="shared" si="227"/>
        <v>0</v>
      </c>
    </row>
    <row r="145" spans="1:100" s="191" customFormat="1" outlineLevel="2" x14ac:dyDescent="0.2">
      <c r="A145" s="429"/>
      <c r="B145" s="429"/>
      <c r="C145" s="430"/>
      <c r="D145" s="190"/>
      <c r="E145" s="192" t="s">
        <v>947</v>
      </c>
      <c r="F145" s="431"/>
      <c r="G145" s="191" t="s">
        <v>5</v>
      </c>
      <c r="H145" s="191">
        <f xml:space="preserve"> SUM(J145:CV145)</f>
        <v>34</v>
      </c>
      <c r="I145" s="192"/>
      <c r="J145" s="192">
        <f t="shared" ref="J145:BU145" si="228" xml:space="preserve"> I145 + J143 - I144</f>
        <v>0</v>
      </c>
      <c r="K145" s="192">
        <f t="shared" si="228"/>
        <v>0</v>
      </c>
      <c r="L145" s="192">
        <f t="shared" si="228"/>
        <v>0</v>
      </c>
      <c r="M145" s="192">
        <f t="shared" si="228"/>
        <v>0</v>
      </c>
      <c r="N145" s="192">
        <f t="shared" si="228"/>
        <v>0</v>
      </c>
      <c r="O145" s="192">
        <f t="shared" si="228"/>
        <v>1</v>
      </c>
      <c r="P145" s="192">
        <f t="shared" si="228"/>
        <v>1</v>
      </c>
      <c r="Q145" s="192">
        <f t="shared" si="228"/>
        <v>1</v>
      </c>
      <c r="R145" s="192">
        <f t="shared" si="228"/>
        <v>1</v>
      </c>
      <c r="S145" s="192">
        <f t="shared" si="228"/>
        <v>1</v>
      </c>
      <c r="T145" s="192">
        <f t="shared" si="228"/>
        <v>1</v>
      </c>
      <c r="U145" s="192">
        <f t="shared" si="228"/>
        <v>1</v>
      </c>
      <c r="V145" s="192">
        <f t="shared" si="228"/>
        <v>1</v>
      </c>
      <c r="W145" s="192">
        <f t="shared" si="228"/>
        <v>1</v>
      </c>
      <c r="X145" s="192">
        <f t="shared" si="228"/>
        <v>1</v>
      </c>
      <c r="Y145" s="192">
        <f t="shared" si="228"/>
        <v>1</v>
      </c>
      <c r="Z145" s="192">
        <f t="shared" si="228"/>
        <v>1</v>
      </c>
      <c r="AA145" s="192">
        <f t="shared" si="228"/>
        <v>1</v>
      </c>
      <c r="AB145" s="192">
        <f t="shared" si="228"/>
        <v>1</v>
      </c>
      <c r="AC145" s="192">
        <f t="shared" si="228"/>
        <v>1</v>
      </c>
      <c r="AD145" s="192">
        <f t="shared" si="228"/>
        <v>1</v>
      </c>
      <c r="AE145" s="192">
        <f t="shared" si="228"/>
        <v>1</v>
      </c>
      <c r="AF145" s="192">
        <f t="shared" si="228"/>
        <v>1</v>
      </c>
      <c r="AG145" s="192">
        <f t="shared" si="228"/>
        <v>1</v>
      </c>
      <c r="AH145" s="192">
        <f t="shared" si="228"/>
        <v>1</v>
      </c>
      <c r="AI145" s="192">
        <f t="shared" si="228"/>
        <v>1</v>
      </c>
      <c r="AJ145" s="192">
        <f t="shared" si="228"/>
        <v>1</v>
      </c>
      <c r="AK145" s="192">
        <f t="shared" si="228"/>
        <v>1</v>
      </c>
      <c r="AL145" s="192">
        <f t="shared" si="228"/>
        <v>1</v>
      </c>
      <c r="AM145" s="192">
        <f t="shared" si="228"/>
        <v>1</v>
      </c>
      <c r="AN145" s="192">
        <f t="shared" si="228"/>
        <v>1</v>
      </c>
      <c r="AO145" s="192">
        <f t="shared" si="228"/>
        <v>1</v>
      </c>
      <c r="AP145" s="192">
        <f t="shared" si="228"/>
        <v>1</v>
      </c>
      <c r="AQ145" s="192">
        <f t="shared" si="228"/>
        <v>1</v>
      </c>
      <c r="AR145" s="192">
        <f t="shared" si="228"/>
        <v>1</v>
      </c>
      <c r="AS145" s="192">
        <f t="shared" si="228"/>
        <v>1</v>
      </c>
      <c r="AT145" s="192">
        <f t="shared" si="228"/>
        <v>1</v>
      </c>
      <c r="AU145" s="192">
        <f t="shared" si="228"/>
        <v>1</v>
      </c>
      <c r="AV145" s="192">
        <f t="shared" si="228"/>
        <v>1</v>
      </c>
      <c r="AW145" s="192">
        <f t="shared" si="228"/>
        <v>0</v>
      </c>
      <c r="AX145" s="192">
        <f t="shared" si="228"/>
        <v>0</v>
      </c>
      <c r="AY145" s="192">
        <f t="shared" si="228"/>
        <v>0</v>
      </c>
      <c r="AZ145" s="192">
        <f t="shared" si="228"/>
        <v>0</v>
      </c>
      <c r="BA145" s="192">
        <f t="shared" si="228"/>
        <v>0</v>
      </c>
      <c r="BB145" s="192">
        <f t="shared" si="228"/>
        <v>0</v>
      </c>
      <c r="BC145" s="192">
        <f t="shared" si="228"/>
        <v>0</v>
      </c>
      <c r="BD145" s="192">
        <f t="shared" si="228"/>
        <v>0</v>
      </c>
      <c r="BE145" s="192">
        <f t="shared" si="228"/>
        <v>0</v>
      </c>
      <c r="BF145" s="192">
        <f t="shared" si="228"/>
        <v>0</v>
      </c>
      <c r="BG145" s="192">
        <f t="shared" si="228"/>
        <v>0</v>
      </c>
      <c r="BH145" s="192">
        <f t="shared" si="228"/>
        <v>0</v>
      </c>
      <c r="BI145" s="192">
        <f t="shared" si="228"/>
        <v>0</v>
      </c>
      <c r="BJ145" s="192">
        <f t="shared" si="228"/>
        <v>0</v>
      </c>
      <c r="BK145" s="192">
        <f t="shared" si="228"/>
        <v>0</v>
      </c>
      <c r="BL145" s="192">
        <f t="shared" si="228"/>
        <v>0</v>
      </c>
      <c r="BM145" s="192">
        <f t="shared" si="228"/>
        <v>0</v>
      </c>
      <c r="BN145" s="192">
        <f t="shared" si="228"/>
        <v>0</v>
      </c>
      <c r="BO145" s="192">
        <f t="shared" si="228"/>
        <v>0</v>
      </c>
      <c r="BP145" s="192">
        <f t="shared" si="228"/>
        <v>0</v>
      </c>
      <c r="BQ145" s="192">
        <f t="shared" si="228"/>
        <v>0</v>
      </c>
      <c r="BR145" s="192">
        <f t="shared" si="228"/>
        <v>0</v>
      </c>
      <c r="BS145" s="192">
        <f t="shared" si="228"/>
        <v>0</v>
      </c>
      <c r="BT145" s="192">
        <f t="shared" si="228"/>
        <v>0</v>
      </c>
      <c r="BU145" s="192">
        <f t="shared" si="228"/>
        <v>0</v>
      </c>
      <c r="BV145" s="192">
        <f t="shared" ref="BV145:CV145" si="229" xml:space="preserve"> BU145 + BV143 - BU144</f>
        <v>0</v>
      </c>
      <c r="BW145" s="192">
        <f t="shared" si="229"/>
        <v>0</v>
      </c>
      <c r="BX145" s="192">
        <f t="shared" si="229"/>
        <v>0</v>
      </c>
      <c r="BY145" s="192">
        <f t="shared" si="229"/>
        <v>0</v>
      </c>
      <c r="BZ145" s="192">
        <f t="shared" si="229"/>
        <v>0</v>
      </c>
      <c r="CA145" s="192">
        <f t="shared" si="229"/>
        <v>0</v>
      </c>
      <c r="CB145" s="192">
        <f t="shared" si="229"/>
        <v>0</v>
      </c>
      <c r="CC145" s="192">
        <f t="shared" si="229"/>
        <v>0</v>
      </c>
      <c r="CD145" s="192">
        <f t="shared" si="229"/>
        <v>0</v>
      </c>
      <c r="CE145" s="192">
        <f t="shared" si="229"/>
        <v>0</v>
      </c>
      <c r="CF145" s="192">
        <f t="shared" si="229"/>
        <v>0</v>
      </c>
      <c r="CG145" s="192">
        <f t="shared" si="229"/>
        <v>0</v>
      </c>
      <c r="CH145" s="192">
        <f t="shared" si="229"/>
        <v>0</v>
      </c>
      <c r="CI145" s="192">
        <f t="shared" si="229"/>
        <v>0</v>
      </c>
      <c r="CJ145" s="192">
        <f t="shared" si="229"/>
        <v>0</v>
      </c>
      <c r="CK145" s="192">
        <f t="shared" si="229"/>
        <v>0</v>
      </c>
      <c r="CL145" s="192">
        <f t="shared" si="229"/>
        <v>0</v>
      </c>
      <c r="CM145" s="192">
        <f t="shared" si="229"/>
        <v>0</v>
      </c>
      <c r="CN145" s="192">
        <f t="shared" si="229"/>
        <v>0</v>
      </c>
      <c r="CO145" s="192">
        <f t="shared" si="229"/>
        <v>0</v>
      </c>
      <c r="CP145" s="192">
        <f t="shared" si="229"/>
        <v>0</v>
      </c>
      <c r="CQ145" s="192">
        <f t="shared" si="229"/>
        <v>0</v>
      </c>
      <c r="CR145" s="192">
        <f t="shared" si="229"/>
        <v>0</v>
      </c>
      <c r="CS145" s="192">
        <f t="shared" si="229"/>
        <v>0</v>
      </c>
      <c r="CT145" s="192">
        <f t="shared" si="229"/>
        <v>0</v>
      </c>
      <c r="CU145" s="192">
        <f t="shared" si="229"/>
        <v>0</v>
      </c>
      <c r="CV145" s="192">
        <f t="shared" si="229"/>
        <v>0</v>
      </c>
    </row>
    <row r="146" spans="1:100" outlineLevel="1" x14ac:dyDescent="0.2">
      <c r="A146" s="227"/>
      <c r="B146" s="227"/>
      <c r="C146" s="228"/>
      <c r="D146" s="229"/>
      <c r="E146" s="230"/>
      <c r="F146" s="397"/>
      <c r="G146" s="188"/>
      <c r="H146" s="188"/>
      <c r="I146" s="230"/>
      <c r="J146" s="230"/>
      <c r="K146" s="230"/>
      <c r="L146" s="230"/>
      <c r="M146" s="230"/>
      <c r="N146" s="230"/>
      <c r="O146" s="230"/>
      <c r="P146" s="230"/>
      <c r="Q146" s="230"/>
      <c r="R146" s="230"/>
      <c r="S146" s="230"/>
      <c r="T146" s="230"/>
      <c r="U146" s="230"/>
      <c r="V146" s="230"/>
      <c r="W146" s="230"/>
      <c r="X146" s="230"/>
      <c r="Y146" s="230"/>
      <c r="Z146" s="230"/>
      <c r="AA146" s="230"/>
      <c r="AB146" s="230"/>
      <c r="AC146" s="230"/>
      <c r="AD146" s="230"/>
      <c r="AE146" s="230"/>
      <c r="AF146" s="230"/>
      <c r="AG146" s="230"/>
      <c r="AH146" s="230"/>
      <c r="AI146" s="230"/>
      <c r="AJ146" s="230"/>
      <c r="AK146" s="230"/>
      <c r="AL146" s="230"/>
      <c r="AM146" s="230"/>
      <c r="AN146" s="230"/>
      <c r="AO146" s="230"/>
      <c r="AP146" s="230"/>
      <c r="AQ146" s="230"/>
      <c r="AR146" s="230"/>
      <c r="AS146" s="230"/>
      <c r="AT146" s="230"/>
      <c r="AU146" s="230"/>
      <c r="AV146" s="230"/>
      <c r="AW146" s="230"/>
      <c r="AX146" s="230"/>
      <c r="AY146" s="230"/>
      <c r="AZ146" s="230"/>
      <c r="BA146" s="230"/>
      <c r="BB146" s="230"/>
      <c r="BC146" s="230"/>
      <c r="BD146" s="230"/>
      <c r="BE146" s="230"/>
      <c r="BF146" s="230"/>
      <c r="BG146" s="230"/>
      <c r="BH146" s="230"/>
      <c r="BI146" s="230"/>
      <c r="BJ146" s="230"/>
      <c r="BK146" s="230"/>
      <c r="BL146" s="230"/>
      <c r="BM146" s="230"/>
      <c r="BN146" s="230"/>
      <c r="BO146" s="230"/>
      <c r="BP146" s="230"/>
      <c r="BQ146" s="230"/>
      <c r="BR146" s="230"/>
      <c r="BS146" s="230"/>
      <c r="BT146" s="230"/>
      <c r="BU146" s="230"/>
      <c r="BV146" s="230"/>
      <c r="BW146" s="230"/>
      <c r="BX146" s="230"/>
      <c r="BY146" s="230"/>
      <c r="BZ146" s="230"/>
      <c r="CA146" s="230"/>
      <c r="CB146" s="230"/>
      <c r="CC146" s="230"/>
      <c r="CD146" s="230"/>
      <c r="CE146" s="230"/>
      <c r="CF146" s="230"/>
      <c r="CG146" s="230"/>
      <c r="CH146" s="230"/>
      <c r="CI146" s="230"/>
      <c r="CJ146" s="230"/>
      <c r="CK146" s="230"/>
      <c r="CL146" s="230"/>
      <c r="CM146" s="230"/>
      <c r="CN146" s="230"/>
      <c r="CO146" s="230"/>
      <c r="CP146" s="230"/>
      <c r="CQ146" s="230"/>
      <c r="CR146" s="230"/>
      <c r="CS146" s="230"/>
      <c r="CT146" s="230"/>
      <c r="CU146" s="230"/>
      <c r="CV146" s="230"/>
    </row>
    <row r="147" spans="1:100" outlineLevel="1" x14ac:dyDescent="0.2">
      <c r="B147" s="15" t="s">
        <v>948</v>
      </c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</row>
    <row r="148" spans="1:100" outlineLevel="2" x14ac:dyDescent="0.2">
      <c r="A148" s="54"/>
      <c r="B148" s="522"/>
      <c r="C148" s="57"/>
      <c r="D148" s="58"/>
      <c r="E148" s="300" t="str">
        <f xml:space="preserve"> ConTime!E$73</f>
        <v>End of construction period date</v>
      </c>
      <c r="F148" s="300">
        <f xml:space="preserve"> ConTime!F$73</f>
        <v>45473</v>
      </c>
      <c r="G148" s="300" t="str">
        <f xml:space="preserve"> ConTime!G$73</f>
        <v>date</v>
      </c>
      <c r="H148" s="300"/>
      <c r="I148" s="300"/>
      <c r="J148" s="300"/>
      <c r="K148" s="300"/>
      <c r="L148" s="300"/>
      <c r="M148" s="300"/>
      <c r="N148" s="300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  <c r="AF148" s="300"/>
      <c r="AG148" s="300"/>
      <c r="AH148" s="300"/>
      <c r="AI148" s="300"/>
      <c r="AJ148" s="300"/>
      <c r="AK148" s="300"/>
      <c r="AL148" s="300"/>
      <c r="AM148" s="300"/>
      <c r="AN148" s="300"/>
      <c r="AO148" s="300"/>
      <c r="AP148" s="300"/>
      <c r="AQ148" s="300"/>
      <c r="AR148" s="300"/>
      <c r="AS148" s="300"/>
      <c r="AT148" s="300"/>
      <c r="AU148" s="300"/>
      <c r="AV148" s="300"/>
      <c r="AW148" s="300"/>
      <c r="AX148" s="300"/>
      <c r="AY148" s="300"/>
      <c r="AZ148" s="300"/>
      <c r="BA148" s="300"/>
      <c r="BB148" s="300"/>
      <c r="BC148" s="300"/>
      <c r="BD148" s="300"/>
      <c r="BE148" s="300"/>
      <c r="BF148" s="300"/>
      <c r="BG148" s="300"/>
      <c r="BH148" s="300"/>
      <c r="BI148" s="300"/>
      <c r="BJ148" s="300"/>
      <c r="BK148" s="300"/>
      <c r="BL148" s="300"/>
      <c r="BM148" s="300"/>
      <c r="BN148" s="300"/>
      <c r="BO148" s="300"/>
      <c r="BP148" s="300"/>
      <c r="BQ148" s="300"/>
      <c r="BR148" s="300"/>
      <c r="BS148" s="300"/>
      <c r="BT148" s="300"/>
      <c r="BU148" s="300"/>
      <c r="BV148" s="300"/>
      <c r="BW148" s="300"/>
      <c r="BX148" s="300"/>
      <c r="BY148" s="300"/>
      <c r="BZ148" s="300"/>
      <c r="CA148" s="300"/>
      <c r="CB148" s="300"/>
      <c r="CC148" s="300"/>
      <c r="CD148" s="300"/>
      <c r="CE148" s="300"/>
      <c r="CF148" s="300"/>
      <c r="CG148" s="300"/>
      <c r="CH148" s="300"/>
      <c r="CI148" s="300"/>
      <c r="CJ148" s="300"/>
      <c r="CK148" s="300"/>
      <c r="CL148" s="300"/>
      <c r="CM148" s="300"/>
      <c r="CN148" s="300"/>
      <c r="CO148" s="300"/>
      <c r="CP148" s="300"/>
      <c r="CQ148" s="300"/>
      <c r="CR148" s="300"/>
      <c r="CS148" s="300"/>
      <c r="CT148" s="300"/>
      <c r="CU148" s="300"/>
      <c r="CV148" s="300"/>
    </row>
    <row r="149" spans="1:100" outlineLevel="2" x14ac:dyDescent="0.2">
      <c r="A149" s="522"/>
      <c r="B149" s="522"/>
      <c r="C149" s="523"/>
      <c r="D149" s="524"/>
      <c r="E149" s="662" t="str">
        <f xml:space="preserve"> InpC!E$257</f>
        <v>Senior debt - T1 grace period</v>
      </c>
      <c r="F149" s="662">
        <f xml:space="preserve"> InpC!F$257</f>
        <v>6</v>
      </c>
      <c r="G149" s="662" t="str">
        <f xml:space="preserve"> InpC!G$257</f>
        <v>months</v>
      </c>
      <c r="H149" s="663"/>
      <c r="I149" s="663"/>
      <c r="J149" s="663"/>
      <c r="K149" s="663"/>
      <c r="L149" s="663"/>
      <c r="M149" s="663"/>
      <c r="N149" s="663"/>
      <c r="O149" s="663"/>
      <c r="P149" s="663"/>
      <c r="Q149" s="663"/>
      <c r="R149" s="663"/>
      <c r="S149" s="663"/>
      <c r="T149" s="663"/>
      <c r="U149" s="663"/>
      <c r="V149" s="663"/>
      <c r="W149" s="663"/>
      <c r="X149" s="663"/>
      <c r="Y149" s="663"/>
      <c r="Z149" s="663"/>
      <c r="AA149" s="663"/>
      <c r="AB149" s="663"/>
      <c r="AC149" s="663"/>
      <c r="AD149" s="663"/>
      <c r="AE149" s="663"/>
      <c r="AF149" s="663"/>
      <c r="AG149" s="663"/>
      <c r="AH149" s="663"/>
      <c r="AI149" s="663"/>
      <c r="AJ149" s="663"/>
      <c r="AK149" s="663"/>
      <c r="AL149" s="663"/>
      <c r="AM149" s="663"/>
      <c r="AN149" s="663"/>
      <c r="AO149" s="663"/>
      <c r="AP149" s="663"/>
      <c r="AQ149" s="663"/>
      <c r="AR149" s="663"/>
      <c r="AS149" s="663"/>
      <c r="AT149" s="663"/>
      <c r="AU149" s="663"/>
      <c r="AV149" s="663"/>
      <c r="AW149" s="663"/>
      <c r="AX149" s="663"/>
      <c r="AY149" s="663"/>
      <c r="AZ149" s="663"/>
      <c r="BA149" s="663"/>
      <c r="BB149" s="663"/>
      <c r="BC149" s="663"/>
      <c r="BD149" s="663"/>
      <c r="BE149" s="663"/>
      <c r="BF149" s="663"/>
      <c r="BG149" s="663"/>
      <c r="BH149" s="663"/>
      <c r="BI149" s="663"/>
      <c r="BJ149" s="663"/>
      <c r="BK149" s="663"/>
      <c r="BL149" s="663"/>
      <c r="BM149" s="663"/>
      <c r="BN149" s="663"/>
      <c r="BO149" s="663"/>
      <c r="BP149" s="663"/>
      <c r="BQ149" s="663"/>
      <c r="BR149" s="663"/>
      <c r="BS149" s="663"/>
      <c r="BT149" s="663"/>
      <c r="BU149" s="663"/>
      <c r="BV149" s="663"/>
      <c r="BW149" s="663"/>
      <c r="BX149" s="663"/>
      <c r="BY149" s="663"/>
      <c r="BZ149" s="663"/>
      <c r="CA149" s="663"/>
      <c r="CB149" s="663"/>
      <c r="CC149" s="663"/>
      <c r="CD149" s="663"/>
      <c r="CE149" s="663"/>
      <c r="CF149" s="663"/>
      <c r="CG149" s="663"/>
      <c r="CH149" s="663"/>
      <c r="CI149" s="663"/>
      <c r="CJ149" s="663"/>
      <c r="CK149" s="663"/>
      <c r="CL149" s="663"/>
      <c r="CM149" s="663"/>
      <c r="CN149" s="663"/>
      <c r="CO149" s="663"/>
      <c r="CP149" s="663"/>
      <c r="CQ149" s="663"/>
      <c r="CR149" s="663"/>
      <c r="CS149" s="663"/>
      <c r="CT149" s="663"/>
      <c r="CU149" s="663"/>
      <c r="CV149" s="663"/>
    </row>
    <row r="150" spans="1:100" outlineLevel="2" x14ac:dyDescent="0.2">
      <c r="A150" s="522"/>
      <c r="B150" s="522"/>
      <c r="C150" s="523"/>
      <c r="D150" s="524"/>
      <c r="E150" s="662" t="str">
        <f xml:space="preserve"> InpC!E$16</f>
        <v>Length of operating period</v>
      </c>
      <c r="F150" s="662">
        <f xml:space="preserve"> InpC!F$16</f>
        <v>6</v>
      </c>
      <c r="G150" s="662" t="str">
        <f xml:space="preserve"> InpC!G$16</f>
        <v>months</v>
      </c>
      <c r="H150" s="663"/>
      <c r="I150" s="663"/>
      <c r="J150" s="663"/>
      <c r="K150" s="663"/>
      <c r="L150" s="663"/>
      <c r="M150" s="663"/>
      <c r="N150" s="663"/>
      <c r="O150" s="663"/>
      <c r="P150" s="663"/>
      <c r="Q150" s="663"/>
      <c r="R150" s="663"/>
      <c r="S150" s="663"/>
      <c r="T150" s="663"/>
      <c r="U150" s="663"/>
      <c r="V150" s="663"/>
      <c r="W150" s="663"/>
      <c r="X150" s="663"/>
      <c r="Y150" s="663"/>
      <c r="Z150" s="663"/>
      <c r="AA150" s="663"/>
      <c r="AB150" s="663"/>
      <c r="AC150" s="663"/>
      <c r="AD150" s="663"/>
      <c r="AE150" s="663"/>
      <c r="AF150" s="663"/>
      <c r="AG150" s="663"/>
      <c r="AH150" s="663"/>
      <c r="AI150" s="663"/>
      <c r="AJ150" s="663"/>
      <c r="AK150" s="663"/>
      <c r="AL150" s="663"/>
      <c r="AM150" s="663"/>
      <c r="AN150" s="663"/>
      <c r="AO150" s="663"/>
      <c r="AP150" s="663"/>
      <c r="AQ150" s="663"/>
      <c r="AR150" s="663"/>
      <c r="AS150" s="663"/>
      <c r="AT150" s="663"/>
      <c r="AU150" s="663"/>
      <c r="AV150" s="663"/>
      <c r="AW150" s="663"/>
      <c r="AX150" s="663"/>
      <c r="AY150" s="663"/>
      <c r="AZ150" s="663"/>
      <c r="BA150" s="663"/>
      <c r="BB150" s="663"/>
      <c r="BC150" s="663"/>
      <c r="BD150" s="663"/>
      <c r="BE150" s="663"/>
      <c r="BF150" s="663"/>
      <c r="BG150" s="663"/>
      <c r="BH150" s="663"/>
      <c r="BI150" s="663"/>
      <c r="BJ150" s="663"/>
      <c r="BK150" s="663"/>
      <c r="BL150" s="663"/>
      <c r="BM150" s="663"/>
      <c r="BN150" s="663"/>
      <c r="BO150" s="663"/>
      <c r="BP150" s="663"/>
      <c r="BQ150" s="663"/>
      <c r="BR150" s="663"/>
      <c r="BS150" s="663"/>
      <c r="BT150" s="663"/>
      <c r="BU150" s="663"/>
      <c r="BV150" s="663"/>
      <c r="BW150" s="663"/>
      <c r="BX150" s="663"/>
      <c r="BY150" s="663"/>
      <c r="BZ150" s="663"/>
      <c r="CA150" s="663"/>
      <c r="CB150" s="663"/>
      <c r="CC150" s="663"/>
      <c r="CD150" s="663"/>
      <c r="CE150" s="663"/>
      <c r="CF150" s="663"/>
      <c r="CG150" s="663"/>
      <c r="CH150" s="663"/>
      <c r="CI150" s="663"/>
      <c r="CJ150" s="663"/>
      <c r="CK150" s="663"/>
      <c r="CL150" s="663"/>
      <c r="CM150" s="663"/>
      <c r="CN150" s="663"/>
      <c r="CO150" s="663"/>
      <c r="CP150" s="663"/>
      <c r="CQ150" s="663"/>
      <c r="CR150" s="663"/>
      <c r="CS150" s="663"/>
      <c r="CT150" s="663"/>
      <c r="CU150" s="663"/>
      <c r="CV150" s="663"/>
    </row>
    <row r="151" spans="1:100" outlineLevel="2" x14ac:dyDescent="0.2">
      <c r="A151" s="522"/>
      <c r="B151" s="522"/>
      <c r="C151" s="523"/>
      <c r="D151" s="524"/>
      <c r="E151" s="26" t="s">
        <v>955</v>
      </c>
      <c r="F151" s="26">
        <f xml:space="preserve"> EOMONTH(F148, IF(F149 &lt;&gt; 0, F149, F150))</f>
        <v>45657</v>
      </c>
      <c r="G151" s="26" t="s">
        <v>6</v>
      </c>
      <c r="H151" s="663"/>
      <c r="I151" s="663"/>
      <c r="J151" s="663"/>
      <c r="K151" s="663"/>
      <c r="L151" s="663"/>
      <c r="M151" s="663"/>
      <c r="N151" s="663"/>
      <c r="O151" s="663"/>
      <c r="P151" s="663"/>
      <c r="Q151" s="663"/>
      <c r="R151" s="663"/>
      <c r="S151" s="663"/>
      <c r="T151" s="663"/>
      <c r="U151" s="663"/>
      <c r="V151" s="663"/>
      <c r="W151" s="663"/>
      <c r="X151" s="663"/>
      <c r="Y151" s="663"/>
      <c r="Z151" s="663"/>
      <c r="AA151" s="663"/>
      <c r="AB151" s="663"/>
      <c r="AC151" s="663"/>
      <c r="AD151" s="663"/>
      <c r="AE151" s="663"/>
      <c r="AF151" s="663"/>
      <c r="AG151" s="663"/>
      <c r="AH151" s="663"/>
      <c r="AI151" s="663"/>
      <c r="AJ151" s="663"/>
      <c r="AK151" s="663"/>
      <c r="AL151" s="663"/>
      <c r="AM151" s="663"/>
      <c r="AN151" s="663"/>
      <c r="AO151" s="663"/>
      <c r="AP151" s="663"/>
      <c r="AQ151" s="663"/>
      <c r="AR151" s="663"/>
      <c r="AS151" s="663"/>
      <c r="AT151" s="663"/>
      <c r="AU151" s="663"/>
      <c r="AV151" s="663"/>
      <c r="AW151" s="663"/>
      <c r="AX151" s="663"/>
      <c r="AY151" s="663"/>
      <c r="AZ151" s="663"/>
      <c r="BA151" s="663"/>
      <c r="BB151" s="663"/>
      <c r="BC151" s="663"/>
      <c r="BD151" s="663"/>
      <c r="BE151" s="663"/>
      <c r="BF151" s="663"/>
      <c r="BG151" s="663"/>
      <c r="BH151" s="663"/>
      <c r="BI151" s="663"/>
      <c r="BJ151" s="663"/>
      <c r="BK151" s="663"/>
      <c r="BL151" s="663"/>
      <c r="BM151" s="663"/>
      <c r="BN151" s="663"/>
      <c r="BO151" s="663"/>
      <c r="BP151" s="663"/>
      <c r="BQ151" s="663"/>
      <c r="BR151" s="663"/>
      <c r="BS151" s="663"/>
      <c r="BT151" s="663"/>
      <c r="BU151" s="663"/>
      <c r="BV151" s="663"/>
      <c r="BW151" s="663"/>
      <c r="BX151" s="663"/>
      <c r="BY151" s="663"/>
      <c r="BZ151" s="663"/>
      <c r="CA151" s="663"/>
      <c r="CB151" s="663"/>
      <c r="CC151" s="663"/>
      <c r="CD151" s="663"/>
      <c r="CE151" s="663"/>
      <c r="CF151" s="663"/>
      <c r="CG151" s="663"/>
      <c r="CH151" s="663"/>
      <c r="CI151" s="663"/>
      <c r="CJ151" s="663"/>
      <c r="CK151" s="663"/>
      <c r="CL151" s="663"/>
      <c r="CM151" s="663"/>
      <c r="CN151" s="663"/>
      <c r="CO151" s="663"/>
      <c r="CP151" s="663"/>
      <c r="CQ151" s="663"/>
      <c r="CR151" s="663"/>
      <c r="CS151" s="663"/>
      <c r="CT151" s="663"/>
      <c r="CU151" s="663"/>
      <c r="CV151" s="663"/>
    </row>
    <row r="152" spans="1:100" outlineLevel="2" x14ac:dyDescent="0.2">
      <c r="A152" s="522"/>
      <c r="B152" s="522"/>
      <c r="C152" s="523"/>
      <c r="D152" s="524"/>
      <c r="E152" s="663"/>
      <c r="F152" s="663"/>
      <c r="G152" s="663"/>
      <c r="H152" s="663"/>
      <c r="I152" s="663"/>
      <c r="J152" s="663"/>
      <c r="K152" s="663"/>
      <c r="L152" s="663"/>
      <c r="M152" s="663"/>
      <c r="N152" s="663"/>
      <c r="O152" s="663"/>
      <c r="P152" s="663"/>
      <c r="Q152" s="663"/>
      <c r="R152" s="663"/>
      <c r="S152" s="663"/>
      <c r="T152" s="663"/>
      <c r="U152" s="663"/>
      <c r="V152" s="663"/>
      <c r="W152" s="663"/>
      <c r="X152" s="663"/>
      <c r="Y152" s="663"/>
      <c r="Z152" s="663"/>
      <c r="AA152" s="663"/>
      <c r="AB152" s="663"/>
      <c r="AC152" s="663"/>
      <c r="AD152" s="663"/>
      <c r="AE152" s="663"/>
      <c r="AF152" s="663"/>
      <c r="AG152" s="663"/>
      <c r="AH152" s="663"/>
      <c r="AI152" s="663"/>
      <c r="AJ152" s="663"/>
      <c r="AK152" s="663"/>
      <c r="AL152" s="663"/>
      <c r="AM152" s="663"/>
      <c r="AN152" s="663"/>
      <c r="AO152" s="663"/>
      <c r="AP152" s="663"/>
      <c r="AQ152" s="663"/>
      <c r="AR152" s="663"/>
      <c r="AS152" s="663"/>
      <c r="AT152" s="663"/>
      <c r="AU152" s="663"/>
      <c r="AV152" s="663"/>
      <c r="AW152" s="663"/>
      <c r="AX152" s="663"/>
      <c r="AY152" s="663"/>
      <c r="AZ152" s="663"/>
      <c r="BA152" s="663"/>
      <c r="BB152" s="663"/>
      <c r="BC152" s="663"/>
      <c r="BD152" s="663"/>
      <c r="BE152" s="663"/>
      <c r="BF152" s="663"/>
      <c r="BG152" s="663"/>
      <c r="BH152" s="663"/>
      <c r="BI152" s="663"/>
      <c r="BJ152" s="663"/>
      <c r="BK152" s="663"/>
      <c r="BL152" s="663"/>
      <c r="BM152" s="663"/>
      <c r="BN152" s="663"/>
      <c r="BO152" s="663"/>
      <c r="BP152" s="663"/>
      <c r="BQ152" s="663"/>
      <c r="BR152" s="663"/>
      <c r="BS152" s="663"/>
      <c r="BT152" s="663"/>
      <c r="BU152" s="663"/>
      <c r="BV152" s="663"/>
      <c r="BW152" s="663"/>
      <c r="BX152" s="663"/>
      <c r="BY152" s="663"/>
      <c r="BZ152" s="663"/>
      <c r="CA152" s="663"/>
      <c r="CB152" s="663"/>
      <c r="CC152" s="663"/>
      <c r="CD152" s="663"/>
      <c r="CE152" s="663"/>
      <c r="CF152" s="663"/>
      <c r="CG152" s="663"/>
      <c r="CH152" s="663"/>
      <c r="CI152" s="663"/>
      <c r="CJ152" s="663"/>
      <c r="CK152" s="663"/>
      <c r="CL152" s="663"/>
      <c r="CM152" s="663"/>
      <c r="CN152" s="663"/>
      <c r="CO152" s="663"/>
      <c r="CP152" s="663"/>
      <c r="CQ152" s="663"/>
      <c r="CR152" s="663"/>
      <c r="CS152" s="663"/>
      <c r="CT152" s="663"/>
      <c r="CU152" s="663"/>
      <c r="CV152" s="663"/>
    </row>
    <row r="153" spans="1:100" outlineLevel="2" x14ac:dyDescent="0.2">
      <c r="A153" s="54"/>
      <c r="B153" s="54"/>
      <c r="C153" s="57"/>
      <c r="D153" s="69"/>
      <c r="E153" s="26" t="str">
        <f t="shared" ref="E153:G153" si="230" xml:space="preserve"> E$151</f>
        <v>Senior repayment start date - T1</v>
      </c>
      <c r="F153" s="26">
        <f t="shared" si="230"/>
        <v>45657</v>
      </c>
      <c r="G153" s="26" t="str">
        <f t="shared" si="230"/>
        <v>date</v>
      </c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</row>
    <row r="154" spans="1:100" outlineLevel="2" x14ac:dyDescent="0.2">
      <c r="A154" s="49"/>
      <c r="B154" s="522"/>
      <c r="C154" s="50"/>
      <c r="D154" s="51"/>
      <c r="E154" s="11" t="str">
        <f t="shared" ref="E154:BP154" si="231" xml:space="preserve"> E$25</f>
        <v>Model period ending</v>
      </c>
      <c r="F154" s="11">
        <f t="shared" si="231"/>
        <v>0</v>
      </c>
      <c r="G154" s="11" t="str">
        <f t="shared" si="231"/>
        <v>date</v>
      </c>
      <c r="H154" s="11">
        <f t="shared" si="231"/>
        <v>0</v>
      </c>
      <c r="I154" s="136">
        <f t="shared" si="231"/>
        <v>0</v>
      </c>
      <c r="J154" s="11">
        <f t="shared" si="231"/>
        <v>44742</v>
      </c>
      <c r="K154" s="11">
        <f t="shared" si="231"/>
        <v>44926</v>
      </c>
      <c r="L154" s="11">
        <f t="shared" si="231"/>
        <v>45107</v>
      </c>
      <c r="M154" s="11">
        <f t="shared" si="231"/>
        <v>45291</v>
      </c>
      <c r="N154" s="11">
        <f t="shared" si="231"/>
        <v>45473</v>
      </c>
      <c r="O154" s="11">
        <f t="shared" si="231"/>
        <v>45657</v>
      </c>
      <c r="P154" s="11">
        <f t="shared" si="231"/>
        <v>45838</v>
      </c>
      <c r="Q154" s="11">
        <f t="shared" si="231"/>
        <v>46022</v>
      </c>
      <c r="R154" s="11">
        <f t="shared" si="231"/>
        <v>46203</v>
      </c>
      <c r="S154" s="11">
        <f t="shared" si="231"/>
        <v>46387</v>
      </c>
      <c r="T154" s="11">
        <f t="shared" si="231"/>
        <v>46568</v>
      </c>
      <c r="U154" s="11">
        <f t="shared" si="231"/>
        <v>46752</v>
      </c>
      <c r="V154" s="11">
        <f t="shared" si="231"/>
        <v>46934</v>
      </c>
      <c r="W154" s="11">
        <f t="shared" si="231"/>
        <v>47118</v>
      </c>
      <c r="X154" s="11">
        <f t="shared" si="231"/>
        <v>47299</v>
      </c>
      <c r="Y154" s="11">
        <f t="shared" si="231"/>
        <v>47483</v>
      </c>
      <c r="Z154" s="11">
        <f t="shared" si="231"/>
        <v>47664</v>
      </c>
      <c r="AA154" s="11">
        <f t="shared" si="231"/>
        <v>47848</v>
      </c>
      <c r="AB154" s="11">
        <f t="shared" si="231"/>
        <v>48029</v>
      </c>
      <c r="AC154" s="11">
        <f t="shared" si="231"/>
        <v>48213</v>
      </c>
      <c r="AD154" s="11">
        <f t="shared" si="231"/>
        <v>48395</v>
      </c>
      <c r="AE154" s="11">
        <f t="shared" si="231"/>
        <v>48579</v>
      </c>
      <c r="AF154" s="11">
        <f t="shared" si="231"/>
        <v>48760</v>
      </c>
      <c r="AG154" s="11">
        <f t="shared" si="231"/>
        <v>48944</v>
      </c>
      <c r="AH154" s="11">
        <f t="shared" si="231"/>
        <v>49125</v>
      </c>
      <c r="AI154" s="11">
        <f t="shared" si="231"/>
        <v>49309</v>
      </c>
      <c r="AJ154" s="11">
        <f t="shared" si="231"/>
        <v>49490</v>
      </c>
      <c r="AK154" s="11">
        <f t="shared" si="231"/>
        <v>49674</v>
      </c>
      <c r="AL154" s="11">
        <f t="shared" si="231"/>
        <v>49856</v>
      </c>
      <c r="AM154" s="11">
        <f t="shared" si="231"/>
        <v>50040</v>
      </c>
      <c r="AN154" s="11">
        <f t="shared" si="231"/>
        <v>50221</v>
      </c>
      <c r="AO154" s="11">
        <f t="shared" si="231"/>
        <v>50405</v>
      </c>
      <c r="AP154" s="11">
        <f t="shared" si="231"/>
        <v>50586</v>
      </c>
      <c r="AQ154" s="11">
        <f t="shared" si="231"/>
        <v>50770</v>
      </c>
      <c r="AR154" s="11">
        <f t="shared" si="231"/>
        <v>50951</v>
      </c>
      <c r="AS154" s="11">
        <f t="shared" si="231"/>
        <v>51135</v>
      </c>
      <c r="AT154" s="11">
        <f t="shared" si="231"/>
        <v>51317</v>
      </c>
      <c r="AU154" s="11">
        <f t="shared" si="231"/>
        <v>51501</v>
      </c>
      <c r="AV154" s="11">
        <f t="shared" si="231"/>
        <v>51682</v>
      </c>
      <c r="AW154" s="11">
        <f t="shared" si="231"/>
        <v>51866</v>
      </c>
      <c r="AX154" s="11">
        <f t="shared" si="231"/>
        <v>52047</v>
      </c>
      <c r="AY154" s="11">
        <f t="shared" si="231"/>
        <v>52231</v>
      </c>
      <c r="AZ154" s="11">
        <f t="shared" si="231"/>
        <v>52412</v>
      </c>
      <c r="BA154" s="11">
        <f t="shared" si="231"/>
        <v>52596</v>
      </c>
      <c r="BB154" s="11">
        <f t="shared" si="231"/>
        <v>52778</v>
      </c>
      <c r="BC154" s="11">
        <f t="shared" si="231"/>
        <v>52962</v>
      </c>
      <c r="BD154" s="11">
        <f t="shared" si="231"/>
        <v>53143</v>
      </c>
      <c r="BE154" s="11">
        <f t="shared" si="231"/>
        <v>53327</v>
      </c>
      <c r="BF154" s="11">
        <f t="shared" si="231"/>
        <v>53508</v>
      </c>
      <c r="BG154" s="11">
        <f t="shared" si="231"/>
        <v>53692</v>
      </c>
      <c r="BH154" s="11">
        <f t="shared" si="231"/>
        <v>53873</v>
      </c>
      <c r="BI154" s="11">
        <f t="shared" si="231"/>
        <v>54057</v>
      </c>
      <c r="BJ154" s="11">
        <f t="shared" si="231"/>
        <v>54239</v>
      </c>
      <c r="BK154" s="11">
        <f t="shared" si="231"/>
        <v>54423</v>
      </c>
      <c r="BL154" s="11">
        <f t="shared" si="231"/>
        <v>54604</v>
      </c>
      <c r="BM154" s="11">
        <f t="shared" si="231"/>
        <v>54788</v>
      </c>
      <c r="BN154" s="11">
        <f t="shared" si="231"/>
        <v>54969</v>
      </c>
      <c r="BO154" s="11">
        <f t="shared" si="231"/>
        <v>55153</v>
      </c>
      <c r="BP154" s="11">
        <f t="shared" si="231"/>
        <v>55334</v>
      </c>
      <c r="BQ154" s="11">
        <f t="shared" ref="BQ154:CV154" si="232" xml:space="preserve"> BQ$25</f>
        <v>55518</v>
      </c>
      <c r="BR154" s="11">
        <f t="shared" si="232"/>
        <v>55700</v>
      </c>
      <c r="BS154" s="11">
        <f t="shared" si="232"/>
        <v>55884</v>
      </c>
      <c r="BT154" s="11">
        <f t="shared" si="232"/>
        <v>56065</v>
      </c>
      <c r="BU154" s="11">
        <f t="shared" si="232"/>
        <v>56249</v>
      </c>
      <c r="BV154" s="11">
        <f t="shared" si="232"/>
        <v>56430</v>
      </c>
      <c r="BW154" s="11">
        <f t="shared" si="232"/>
        <v>56614</v>
      </c>
      <c r="BX154" s="11">
        <f t="shared" si="232"/>
        <v>56795</v>
      </c>
      <c r="BY154" s="11">
        <f t="shared" si="232"/>
        <v>56979</v>
      </c>
      <c r="BZ154" s="11">
        <f t="shared" si="232"/>
        <v>57161</v>
      </c>
      <c r="CA154" s="11">
        <f t="shared" si="232"/>
        <v>57345</v>
      </c>
      <c r="CB154" s="11">
        <f t="shared" si="232"/>
        <v>57526</v>
      </c>
      <c r="CC154" s="11">
        <f t="shared" si="232"/>
        <v>57710</v>
      </c>
      <c r="CD154" s="11">
        <f t="shared" si="232"/>
        <v>57891</v>
      </c>
      <c r="CE154" s="11">
        <f t="shared" si="232"/>
        <v>58075</v>
      </c>
      <c r="CF154" s="11">
        <f t="shared" si="232"/>
        <v>58256</v>
      </c>
      <c r="CG154" s="11">
        <f t="shared" si="232"/>
        <v>58440</v>
      </c>
      <c r="CH154" s="11">
        <f t="shared" si="232"/>
        <v>58622</v>
      </c>
      <c r="CI154" s="11">
        <f t="shared" si="232"/>
        <v>58806</v>
      </c>
      <c r="CJ154" s="11">
        <f t="shared" si="232"/>
        <v>58987</v>
      </c>
      <c r="CK154" s="11">
        <f t="shared" si="232"/>
        <v>59171</v>
      </c>
      <c r="CL154" s="11">
        <f t="shared" si="232"/>
        <v>59352</v>
      </c>
      <c r="CM154" s="11">
        <f t="shared" si="232"/>
        <v>59536</v>
      </c>
      <c r="CN154" s="11">
        <f t="shared" si="232"/>
        <v>59717</v>
      </c>
      <c r="CO154" s="11">
        <f t="shared" si="232"/>
        <v>59901</v>
      </c>
      <c r="CP154" s="11">
        <f t="shared" si="232"/>
        <v>60083</v>
      </c>
      <c r="CQ154" s="11">
        <f t="shared" si="232"/>
        <v>60267</v>
      </c>
      <c r="CR154" s="11">
        <f t="shared" si="232"/>
        <v>60448</v>
      </c>
      <c r="CS154" s="11">
        <f t="shared" si="232"/>
        <v>60632</v>
      </c>
      <c r="CT154" s="11">
        <f t="shared" si="232"/>
        <v>60813</v>
      </c>
      <c r="CU154" s="11">
        <f t="shared" si="232"/>
        <v>60997</v>
      </c>
      <c r="CV154" s="11">
        <f t="shared" si="232"/>
        <v>61178</v>
      </c>
    </row>
    <row r="155" spans="1:100" s="188" customFormat="1" outlineLevel="2" x14ac:dyDescent="0.2">
      <c r="A155" s="227"/>
      <c r="B155" s="227"/>
      <c r="C155" s="228"/>
      <c r="D155" s="229"/>
      <c r="E155" s="188" t="s">
        <v>951</v>
      </c>
      <c r="G155" s="188" t="s">
        <v>5</v>
      </c>
      <c r="H155" s="188">
        <f xml:space="preserve"> SUM(J155:CV155)</f>
        <v>1</v>
      </c>
      <c r="I155" s="230"/>
      <c r="J155" s="530">
        <f t="shared" ref="J155:BU155" si="233" xml:space="preserve"> IF(AND(I154 &lt; $F153, J154 &gt;= $F153), 1, 0)</f>
        <v>0</v>
      </c>
      <c r="K155" s="530">
        <f t="shared" si="233"/>
        <v>0</v>
      </c>
      <c r="L155" s="530">
        <f t="shared" si="233"/>
        <v>0</v>
      </c>
      <c r="M155" s="530">
        <f t="shared" si="233"/>
        <v>0</v>
      </c>
      <c r="N155" s="530">
        <f t="shared" si="233"/>
        <v>0</v>
      </c>
      <c r="O155" s="530">
        <f t="shared" si="233"/>
        <v>1</v>
      </c>
      <c r="P155" s="530">
        <f t="shared" si="233"/>
        <v>0</v>
      </c>
      <c r="Q155" s="530">
        <f t="shared" si="233"/>
        <v>0</v>
      </c>
      <c r="R155" s="530">
        <f t="shared" si="233"/>
        <v>0</v>
      </c>
      <c r="S155" s="530">
        <f t="shared" si="233"/>
        <v>0</v>
      </c>
      <c r="T155" s="530">
        <f t="shared" si="233"/>
        <v>0</v>
      </c>
      <c r="U155" s="530">
        <f t="shared" si="233"/>
        <v>0</v>
      </c>
      <c r="V155" s="530">
        <f t="shared" si="233"/>
        <v>0</v>
      </c>
      <c r="W155" s="530">
        <f t="shared" si="233"/>
        <v>0</v>
      </c>
      <c r="X155" s="530">
        <f t="shared" si="233"/>
        <v>0</v>
      </c>
      <c r="Y155" s="530">
        <f t="shared" si="233"/>
        <v>0</v>
      </c>
      <c r="Z155" s="530">
        <f t="shared" si="233"/>
        <v>0</v>
      </c>
      <c r="AA155" s="530">
        <f t="shared" si="233"/>
        <v>0</v>
      </c>
      <c r="AB155" s="530">
        <f t="shared" si="233"/>
        <v>0</v>
      </c>
      <c r="AC155" s="530">
        <f t="shared" si="233"/>
        <v>0</v>
      </c>
      <c r="AD155" s="530">
        <f t="shared" si="233"/>
        <v>0</v>
      </c>
      <c r="AE155" s="530">
        <f t="shared" si="233"/>
        <v>0</v>
      </c>
      <c r="AF155" s="530">
        <f t="shared" si="233"/>
        <v>0</v>
      </c>
      <c r="AG155" s="530">
        <f t="shared" si="233"/>
        <v>0</v>
      </c>
      <c r="AH155" s="530">
        <f t="shared" si="233"/>
        <v>0</v>
      </c>
      <c r="AI155" s="530">
        <f t="shared" si="233"/>
        <v>0</v>
      </c>
      <c r="AJ155" s="530">
        <f t="shared" si="233"/>
        <v>0</v>
      </c>
      <c r="AK155" s="530">
        <f t="shared" si="233"/>
        <v>0</v>
      </c>
      <c r="AL155" s="530">
        <f t="shared" si="233"/>
        <v>0</v>
      </c>
      <c r="AM155" s="530">
        <f t="shared" si="233"/>
        <v>0</v>
      </c>
      <c r="AN155" s="530">
        <f t="shared" si="233"/>
        <v>0</v>
      </c>
      <c r="AO155" s="530">
        <f t="shared" si="233"/>
        <v>0</v>
      </c>
      <c r="AP155" s="530">
        <f t="shared" si="233"/>
        <v>0</v>
      </c>
      <c r="AQ155" s="530">
        <f t="shared" si="233"/>
        <v>0</v>
      </c>
      <c r="AR155" s="530">
        <f t="shared" si="233"/>
        <v>0</v>
      </c>
      <c r="AS155" s="530">
        <f t="shared" si="233"/>
        <v>0</v>
      </c>
      <c r="AT155" s="530">
        <f t="shared" si="233"/>
        <v>0</v>
      </c>
      <c r="AU155" s="530">
        <f t="shared" si="233"/>
        <v>0</v>
      </c>
      <c r="AV155" s="530">
        <f t="shared" si="233"/>
        <v>0</v>
      </c>
      <c r="AW155" s="530">
        <f t="shared" si="233"/>
        <v>0</v>
      </c>
      <c r="AX155" s="530">
        <f t="shared" si="233"/>
        <v>0</v>
      </c>
      <c r="AY155" s="530">
        <f t="shared" si="233"/>
        <v>0</v>
      </c>
      <c r="AZ155" s="530">
        <f t="shared" si="233"/>
        <v>0</v>
      </c>
      <c r="BA155" s="530">
        <f t="shared" si="233"/>
        <v>0</v>
      </c>
      <c r="BB155" s="530">
        <f t="shared" si="233"/>
        <v>0</v>
      </c>
      <c r="BC155" s="530">
        <f t="shared" si="233"/>
        <v>0</v>
      </c>
      <c r="BD155" s="530">
        <f t="shared" si="233"/>
        <v>0</v>
      </c>
      <c r="BE155" s="530">
        <f t="shared" si="233"/>
        <v>0</v>
      </c>
      <c r="BF155" s="530">
        <f t="shared" si="233"/>
        <v>0</v>
      </c>
      <c r="BG155" s="530">
        <f t="shared" si="233"/>
        <v>0</v>
      </c>
      <c r="BH155" s="530">
        <f t="shared" si="233"/>
        <v>0</v>
      </c>
      <c r="BI155" s="530">
        <f t="shared" si="233"/>
        <v>0</v>
      </c>
      <c r="BJ155" s="530">
        <f t="shared" si="233"/>
        <v>0</v>
      </c>
      <c r="BK155" s="530">
        <f t="shared" si="233"/>
        <v>0</v>
      </c>
      <c r="BL155" s="530">
        <f t="shared" si="233"/>
        <v>0</v>
      </c>
      <c r="BM155" s="530">
        <f t="shared" si="233"/>
        <v>0</v>
      </c>
      <c r="BN155" s="530">
        <f t="shared" si="233"/>
        <v>0</v>
      </c>
      <c r="BO155" s="530">
        <f t="shared" si="233"/>
        <v>0</v>
      </c>
      <c r="BP155" s="530">
        <f t="shared" si="233"/>
        <v>0</v>
      </c>
      <c r="BQ155" s="530">
        <f t="shared" si="233"/>
        <v>0</v>
      </c>
      <c r="BR155" s="530">
        <f t="shared" si="233"/>
        <v>0</v>
      </c>
      <c r="BS155" s="530">
        <f t="shared" si="233"/>
        <v>0</v>
      </c>
      <c r="BT155" s="530">
        <f t="shared" si="233"/>
        <v>0</v>
      </c>
      <c r="BU155" s="530">
        <f t="shared" si="233"/>
        <v>0</v>
      </c>
      <c r="BV155" s="530">
        <f t="shared" ref="BV155:CV155" si="234" xml:space="preserve"> IF(AND(BU154 &lt; $F153, BV154 &gt;= $F153), 1, 0)</f>
        <v>0</v>
      </c>
      <c r="BW155" s="530">
        <f t="shared" si="234"/>
        <v>0</v>
      </c>
      <c r="BX155" s="530">
        <f t="shared" si="234"/>
        <v>0</v>
      </c>
      <c r="BY155" s="530">
        <f t="shared" si="234"/>
        <v>0</v>
      </c>
      <c r="BZ155" s="530">
        <f t="shared" si="234"/>
        <v>0</v>
      </c>
      <c r="CA155" s="530">
        <f t="shared" si="234"/>
        <v>0</v>
      </c>
      <c r="CB155" s="530">
        <f t="shared" si="234"/>
        <v>0</v>
      </c>
      <c r="CC155" s="530">
        <f t="shared" si="234"/>
        <v>0</v>
      </c>
      <c r="CD155" s="530">
        <f t="shared" si="234"/>
        <v>0</v>
      </c>
      <c r="CE155" s="530">
        <f t="shared" si="234"/>
        <v>0</v>
      </c>
      <c r="CF155" s="530">
        <f t="shared" si="234"/>
        <v>0</v>
      </c>
      <c r="CG155" s="530">
        <f t="shared" si="234"/>
        <v>0</v>
      </c>
      <c r="CH155" s="530">
        <f t="shared" si="234"/>
        <v>0</v>
      </c>
      <c r="CI155" s="530">
        <f t="shared" si="234"/>
        <v>0</v>
      </c>
      <c r="CJ155" s="530">
        <f t="shared" si="234"/>
        <v>0</v>
      </c>
      <c r="CK155" s="530">
        <f t="shared" si="234"/>
        <v>0</v>
      </c>
      <c r="CL155" s="530">
        <f t="shared" si="234"/>
        <v>0</v>
      </c>
      <c r="CM155" s="530">
        <f t="shared" si="234"/>
        <v>0</v>
      </c>
      <c r="CN155" s="530">
        <f t="shared" si="234"/>
        <v>0</v>
      </c>
      <c r="CO155" s="530">
        <f t="shared" si="234"/>
        <v>0</v>
      </c>
      <c r="CP155" s="530">
        <f t="shared" si="234"/>
        <v>0</v>
      </c>
      <c r="CQ155" s="530">
        <f t="shared" si="234"/>
        <v>0</v>
      </c>
      <c r="CR155" s="530">
        <f t="shared" si="234"/>
        <v>0</v>
      </c>
      <c r="CS155" s="530">
        <f t="shared" si="234"/>
        <v>0</v>
      </c>
      <c r="CT155" s="530">
        <f t="shared" si="234"/>
        <v>0</v>
      </c>
      <c r="CU155" s="530">
        <f t="shared" si="234"/>
        <v>0</v>
      </c>
      <c r="CV155" s="530">
        <f t="shared" si="234"/>
        <v>0</v>
      </c>
    </row>
    <row r="156" spans="1:100" outlineLevel="2" x14ac:dyDescent="0.2">
      <c r="A156" s="522"/>
      <c r="B156" s="522"/>
      <c r="C156" s="523"/>
      <c r="D156" s="524"/>
      <c r="E156" s="664"/>
      <c r="F156" s="664"/>
      <c r="G156" s="664"/>
      <c r="H156" s="664"/>
      <c r="I156" s="665"/>
      <c r="J156" s="664"/>
      <c r="K156" s="664"/>
      <c r="L156" s="664"/>
      <c r="M156" s="664"/>
      <c r="N156" s="664"/>
      <c r="O156" s="664"/>
      <c r="P156" s="664"/>
      <c r="Q156" s="664"/>
      <c r="R156" s="664"/>
      <c r="S156" s="664"/>
      <c r="T156" s="664"/>
      <c r="U156" s="664"/>
      <c r="V156" s="664"/>
      <c r="W156" s="664"/>
      <c r="X156" s="664"/>
      <c r="Y156" s="664"/>
      <c r="Z156" s="664"/>
      <c r="AA156" s="664"/>
      <c r="AB156" s="664"/>
      <c r="AC156" s="664"/>
      <c r="AD156" s="664"/>
      <c r="AE156" s="664"/>
      <c r="AF156" s="664"/>
      <c r="AG156" s="664"/>
      <c r="AH156" s="664"/>
      <c r="AI156" s="664"/>
      <c r="AJ156" s="664"/>
      <c r="AK156" s="664"/>
      <c r="AL156" s="664"/>
      <c r="AM156" s="664"/>
      <c r="AN156" s="664"/>
      <c r="AO156" s="664"/>
      <c r="AP156" s="664"/>
      <c r="AQ156" s="664"/>
      <c r="AR156" s="664"/>
      <c r="AS156" s="664"/>
      <c r="AT156" s="664"/>
      <c r="AU156" s="664"/>
      <c r="AV156" s="664"/>
      <c r="AW156" s="664"/>
      <c r="AX156" s="664"/>
      <c r="AY156" s="664"/>
      <c r="AZ156" s="664"/>
      <c r="BA156" s="664"/>
      <c r="BB156" s="664"/>
      <c r="BC156" s="664"/>
      <c r="BD156" s="664"/>
      <c r="BE156" s="664"/>
      <c r="BF156" s="664"/>
      <c r="BG156" s="664"/>
      <c r="BH156" s="664"/>
      <c r="BI156" s="664"/>
      <c r="BJ156" s="664"/>
      <c r="BK156" s="664"/>
      <c r="BL156" s="664"/>
      <c r="BM156" s="664"/>
      <c r="BN156" s="664"/>
      <c r="BO156" s="664"/>
      <c r="BP156" s="664"/>
      <c r="BQ156" s="664"/>
      <c r="BR156" s="664"/>
      <c r="BS156" s="664"/>
      <c r="BT156" s="664"/>
      <c r="BU156" s="664"/>
      <c r="BV156" s="664"/>
      <c r="BW156" s="664"/>
      <c r="BX156" s="664"/>
      <c r="BY156" s="664"/>
      <c r="BZ156" s="664"/>
      <c r="CA156" s="664"/>
      <c r="CB156" s="664"/>
      <c r="CC156" s="664"/>
      <c r="CD156" s="664"/>
      <c r="CE156" s="664"/>
      <c r="CF156" s="664"/>
      <c r="CG156" s="664"/>
      <c r="CH156" s="664"/>
      <c r="CI156" s="664"/>
      <c r="CJ156" s="664"/>
      <c r="CK156" s="664"/>
      <c r="CL156" s="664"/>
      <c r="CM156" s="664"/>
      <c r="CN156" s="664"/>
      <c r="CO156" s="664"/>
      <c r="CP156" s="664"/>
      <c r="CQ156" s="664"/>
      <c r="CR156" s="664"/>
      <c r="CS156" s="664"/>
      <c r="CT156" s="664"/>
      <c r="CU156" s="664"/>
      <c r="CV156" s="664"/>
    </row>
    <row r="157" spans="1:100" outlineLevel="2" x14ac:dyDescent="0.2">
      <c r="A157" s="54"/>
      <c r="B157" s="54"/>
      <c r="C157" s="57"/>
      <c r="D157" s="69"/>
      <c r="E157" s="26" t="str">
        <f t="shared" ref="E157:G157" si="235" xml:space="preserve"> E$133</f>
        <v>Senior debt service end date - T1</v>
      </c>
      <c r="F157" s="26">
        <f t="shared" si="235"/>
        <v>51682</v>
      </c>
      <c r="G157" s="26" t="str">
        <f t="shared" si="235"/>
        <v>date</v>
      </c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</row>
    <row r="158" spans="1:100" outlineLevel="2" x14ac:dyDescent="0.2">
      <c r="A158" s="49"/>
      <c r="C158" s="50"/>
      <c r="D158" s="51"/>
      <c r="E158" s="11" t="str">
        <f t="shared" ref="E158:BP158" si="236" xml:space="preserve"> E$25</f>
        <v>Model period ending</v>
      </c>
      <c r="F158" s="11">
        <f t="shared" si="236"/>
        <v>0</v>
      </c>
      <c r="G158" s="11" t="str">
        <f t="shared" si="236"/>
        <v>date</v>
      </c>
      <c r="H158" s="11">
        <f t="shared" si="236"/>
        <v>0</v>
      </c>
      <c r="I158" s="136">
        <f t="shared" si="236"/>
        <v>0</v>
      </c>
      <c r="J158" s="11">
        <f t="shared" si="236"/>
        <v>44742</v>
      </c>
      <c r="K158" s="11">
        <f t="shared" si="236"/>
        <v>44926</v>
      </c>
      <c r="L158" s="11">
        <f t="shared" si="236"/>
        <v>45107</v>
      </c>
      <c r="M158" s="11">
        <f t="shared" si="236"/>
        <v>45291</v>
      </c>
      <c r="N158" s="11">
        <f t="shared" si="236"/>
        <v>45473</v>
      </c>
      <c r="O158" s="11">
        <f t="shared" si="236"/>
        <v>45657</v>
      </c>
      <c r="P158" s="11">
        <f t="shared" si="236"/>
        <v>45838</v>
      </c>
      <c r="Q158" s="11">
        <f t="shared" si="236"/>
        <v>46022</v>
      </c>
      <c r="R158" s="11">
        <f t="shared" si="236"/>
        <v>46203</v>
      </c>
      <c r="S158" s="11">
        <f t="shared" si="236"/>
        <v>46387</v>
      </c>
      <c r="T158" s="11">
        <f t="shared" si="236"/>
        <v>46568</v>
      </c>
      <c r="U158" s="11">
        <f t="shared" si="236"/>
        <v>46752</v>
      </c>
      <c r="V158" s="11">
        <f t="shared" si="236"/>
        <v>46934</v>
      </c>
      <c r="W158" s="11">
        <f t="shared" si="236"/>
        <v>47118</v>
      </c>
      <c r="X158" s="11">
        <f t="shared" si="236"/>
        <v>47299</v>
      </c>
      <c r="Y158" s="11">
        <f t="shared" si="236"/>
        <v>47483</v>
      </c>
      <c r="Z158" s="11">
        <f t="shared" si="236"/>
        <v>47664</v>
      </c>
      <c r="AA158" s="11">
        <f t="shared" si="236"/>
        <v>47848</v>
      </c>
      <c r="AB158" s="11">
        <f t="shared" si="236"/>
        <v>48029</v>
      </c>
      <c r="AC158" s="11">
        <f t="shared" si="236"/>
        <v>48213</v>
      </c>
      <c r="AD158" s="11">
        <f t="shared" si="236"/>
        <v>48395</v>
      </c>
      <c r="AE158" s="11">
        <f t="shared" si="236"/>
        <v>48579</v>
      </c>
      <c r="AF158" s="11">
        <f t="shared" si="236"/>
        <v>48760</v>
      </c>
      <c r="AG158" s="11">
        <f t="shared" si="236"/>
        <v>48944</v>
      </c>
      <c r="AH158" s="11">
        <f t="shared" si="236"/>
        <v>49125</v>
      </c>
      <c r="AI158" s="11">
        <f t="shared" si="236"/>
        <v>49309</v>
      </c>
      <c r="AJ158" s="11">
        <f t="shared" si="236"/>
        <v>49490</v>
      </c>
      <c r="AK158" s="11">
        <f t="shared" si="236"/>
        <v>49674</v>
      </c>
      <c r="AL158" s="11">
        <f t="shared" si="236"/>
        <v>49856</v>
      </c>
      <c r="AM158" s="11">
        <f t="shared" si="236"/>
        <v>50040</v>
      </c>
      <c r="AN158" s="11">
        <f t="shared" si="236"/>
        <v>50221</v>
      </c>
      <c r="AO158" s="11">
        <f t="shared" si="236"/>
        <v>50405</v>
      </c>
      <c r="AP158" s="11">
        <f t="shared" si="236"/>
        <v>50586</v>
      </c>
      <c r="AQ158" s="11">
        <f t="shared" si="236"/>
        <v>50770</v>
      </c>
      <c r="AR158" s="11">
        <f t="shared" si="236"/>
        <v>50951</v>
      </c>
      <c r="AS158" s="11">
        <f t="shared" si="236"/>
        <v>51135</v>
      </c>
      <c r="AT158" s="11">
        <f t="shared" si="236"/>
        <v>51317</v>
      </c>
      <c r="AU158" s="11">
        <f t="shared" si="236"/>
        <v>51501</v>
      </c>
      <c r="AV158" s="11">
        <f t="shared" si="236"/>
        <v>51682</v>
      </c>
      <c r="AW158" s="11">
        <f t="shared" si="236"/>
        <v>51866</v>
      </c>
      <c r="AX158" s="11">
        <f t="shared" si="236"/>
        <v>52047</v>
      </c>
      <c r="AY158" s="11">
        <f t="shared" si="236"/>
        <v>52231</v>
      </c>
      <c r="AZ158" s="11">
        <f t="shared" si="236"/>
        <v>52412</v>
      </c>
      <c r="BA158" s="11">
        <f t="shared" si="236"/>
        <v>52596</v>
      </c>
      <c r="BB158" s="11">
        <f t="shared" si="236"/>
        <v>52778</v>
      </c>
      <c r="BC158" s="11">
        <f t="shared" si="236"/>
        <v>52962</v>
      </c>
      <c r="BD158" s="11">
        <f t="shared" si="236"/>
        <v>53143</v>
      </c>
      <c r="BE158" s="11">
        <f t="shared" si="236"/>
        <v>53327</v>
      </c>
      <c r="BF158" s="11">
        <f t="shared" si="236"/>
        <v>53508</v>
      </c>
      <c r="BG158" s="11">
        <f t="shared" si="236"/>
        <v>53692</v>
      </c>
      <c r="BH158" s="11">
        <f t="shared" si="236"/>
        <v>53873</v>
      </c>
      <c r="BI158" s="11">
        <f t="shared" si="236"/>
        <v>54057</v>
      </c>
      <c r="BJ158" s="11">
        <f t="shared" si="236"/>
        <v>54239</v>
      </c>
      <c r="BK158" s="11">
        <f t="shared" si="236"/>
        <v>54423</v>
      </c>
      <c r="BL158" s="11">
        <f t="shared" si="236"/>
        <v>54604</v>
      </c>
      <c r="BM158" s="11">
        <f t="shared" si="236"/>
        <v>54788</v>
      </c>
      <c r="BN158" s="11">
        <f t="shared" si="236"/>
        <v>54969</v>
      </c>
      <c r="BO158" s="11">
        <f t="shared" si="236"/>
        <v>55153</v>
      </c>
      <c r="BP158" s="11">
        <f t="shared" si="236"/>
        <v>55334</v>
      </c>
      <c r="BQ158" s="11">
        <f t="shared" ref="BQ158:CV158" si="237" xml:space="preserve"> BQ$25</f>
        <v>55518</v>
      </c>
      <c r="BR158" s="11">
        <f t="shared" si="237"/>
        <v>55700</v>
      </c>
      <c r="BS158" s="11">
        <f t="shared" si="237"/>
        <v>55884</v>
      </c>
      <c r="BT158" s="11">
        <f t="shared" si="237"/>
        <v>56065</v>
      </c>
      <c r="BU158" s="11">
        <f t="shared" si="237"/>
        <v>56249</v>
      </c>
      <c r="BV158" s="11">
        <f t="shared" si="237"/>
        <v>56430</v>
      </c>
      <c r="BW158" s="11">
        <f t="shared" si="237"/>
        <v>56614</v>
      </c>
      <c r="BX158" s="11">
        <f t="shared" si="237"/>
        <v>56795</v>
      </c>
      <c r="BY158" s="11">
        <f t="shared" si="237"/>
        <v>56979</v>
      </c>
      <c r="BZ158" s="11">
        <f t="shared" si="237"/>
        <v>57161</v>
      </c>
      <c r="CA158" s="11">
        <f t="shared" si="237"/>
        <v>57345</v>
      </c>
      <c r="CB158" s="11">
        <f t="shared" si="237"/>
        <v>57526</v>
      </c>
      <c r="CC158" s="11">
        <f t="shared" si="237"/>
        <v>57710</v>
      </c>
      <c r="CD158" s="11">
        <f t="shared" si="237"/>
        <v>57891</v>
      </c>
      <c r="CE158" s="11">
        <f t="shared" si="237"/>
        <v>58075</v>
      </c>
      <c r="CF158" s="11">
        <f t="shared" si="237"/>
        <v>58256</v>
      </c>
      <c r="CG158" s="11">
        <f t="shared" si="237"/>
        <v>58440</v>
      </c>
      <c r="CH158" s="11">
        <f t="shared" si="237"/>
        <v>58622</v>
      </c>
      <c r="CI158" s="11">
        <f t="shared" si="237"/>
        <v>58806</v>
      </c>
      <c r="CJ158" s="11">
        <f t="shared" si="237"/>
        <v>58987</v>
      </c>
      <c r="CK158" s="11">
        <f t="shared" si="237"/>
        <v>59171</v>
      </c>
      <c r="CL158" s="11">
        <f t="shared" si="237"/>
        <v>59352</v>
      </c>
      <c r="CM158" s="11">
        <f t="shared" si="237"/>
        <v>59536</v>
      </c>
      <c r="CN158" s="11">
        <f t="shared" si="237"/>
        <v>59717</v>
      </c>
      <c r="CO158" s="11">
        <f t="shared" si="237"/>
        <v>59901</v>
      </c>
      <c r="CP158" s="11">
        <f t="shared" si="237"/>
        <v>60083</v>
      </c>
      <c r="CQ158" s="11">
        <f t="shared" si="237"/>
        <v>60267</v>
      </c>
      <c r="CR158" s="11">
        <f t="shared" si="237"/>
        <v>60448</v>
      </c>
      <c r="CS158" s="11">
        <f t="shared" si="237"/>
        <v>60632</v>
      </c>
      <c r="CT158" s="11">
        <f t="shared" si="237"/>
        <v>60813</v>
      </c>
      <c r="CU158" s="11">
        <f t="shared" si="237"/>
        <v>60997</v>
      </c>
      <c r="CV158" s="11">
        <f t="shared" si="237"/>
        <v>61178</v>
      </c>
    </row>
    <row r="159" spans="1:100" s="191" customFormat="1" outlineLevel="2" x14ac:dyDescent="0.2">
      <c r="A159" s="429"/>
      <c r="B159" s="429"/>
      <c r="C159" s="430"/>
      <c r="D159" s="190"/>
      <c r="E159" s="191" t="s">
        <v>956</v>
      </c>
      <c r="G159" s="191" t="s">
        <v>5</v>
      </c>
      <c r="H159" s="191">
        <f xml:space="preserve"> SUM(J159:CV159)</f>
        <v>1</v>
      </c>
      <c r="I159" s="192"/>
      <c r="J159" s="234">
        <f t="shared" ref="J159:BU159" si="238" xml:space="preserve"> IF(J158 = $F157, 1, 0)</f>
        <v>0</v>
      </c>
      <c r="K159" s="234">
        <f t="shared" si="238"/>
        <v>0</v>
      </c>
      <c r="L159" s="234">
        <f t="shared" si="238"/>
        <v>0</v>
      </c>
      <c r="M159" s="234">
        <f t="shared" si="238"/>
        <v>0</v>
      </c>
      <c r="N159" s="234">
        <f t="shared" si="238"/>
        <v>0</v>
      </c>
      <c r="O159" s="234">
        <f t="shared" si="238"/>
        <v>0</v>
      </c>
      <c r="P159" s="234">
        <f t="shared" si="238"/>
        <v>0</v>
      </c>
      <c r="Q159" s="234">
        <f t="shared" si="238"/>
        <v>0</v>
      </c>
      <c r="R159" s="234">
        <f t="shared" si="238"/>
        <v>0</v>
      </c>
      <c r="S159" s="234">
        <f t="shared" si="238"/>
        <v>0</v>
      </c>
      <c r="T159" s="234">
        <f t="shared" si="238"/>
        <v>0</v>
      </c>
      <c r="U159" s="234">
        <f t="shared" si="238"/>
        <v>0</v>
      </c>
      <c r="V159" s="234">
        <f t="shared" si="238"/>
        <v>0</v>
      </c>
      <c r="W159" s="234">
        <f t="shared" si="238"/>
        <v>0</v>
      </c>
      <c r="X159" s="234">
        <f t="shared" si="238"/>
        <v>0</v>
      </c>
      <c r="Y159" s="234">
        <f t="shared" si="238"/>
        <v>0</v>
      </c>
      <c r="Z159" s="234">
        <f t="shared" si="238"/>
        <v>0</v>
      </c>
      <c r="AA159" s="234">
        <f t="shared" si="238"/>
        <v>0</v>
      </c>
      <c r="AB159" s="234">
        <f t="shared" si="238"/>
        <v>0</v>
      </c>
      <c r="AC159" s="234">
        <f t="shared" si="238"/>
        <v>0</v>
      </c>
      <c r="AD159" s="234">
        <f t="shared" si="238"/>
        <v>0</v>
      </c>
      <c r="AE159" s="234">
        <f t="shared" si="238"/>
        <v>0</v>
      </c>
      <c r="AF159" s="234">
        <f t="shared" si="238"/>
        <v>0</v>
      </c>
      <c r="AG159" s="234">
        <f t="shared" si="238"/>
        <v>0</v>
      </c>
      <c r="AH159" s="234">
        <f t="shared" si="238"/>
        <v>0</v>
      </c>
      <c r="AI159" s="234">
        <f t="shared" si="238"/>
        <v>0</v>
      </c>
      <c r="AJ159" s="234">
        <f t="shared" si="238"/>
        <v>0</v>
      </c>
      <c r="AK159" s="234">
        <f t="shared" si="238"/>
        <v>0</v>
      </c>
      <c r="AL159" s="234">
        <f t="shared" si="238"/>
        <v>0</v>
      </c>
      <c r="AM159" s="234">
        <f t="shared" si="238"/>
        <v>0</v>
      </c>
      <c r="AN159" s="234">
        <f t="shared" si="238"/>
        <v>0</v>
      </c>
      <c r="AO159" s="234">
        <f t="shared" si="238"/>
        <v>0</v>
      </c>
      <c r="AP159" s="234">
        <f t="shared" si="238"/>
        <v>0</v>
      </c>
      <c r="AQ159" s="234">
        <f t="shared" si="238"/>
        <v>0</v>
      </c>
      <c r="AR159" s="234">
        <f t="shared" si="238"/>
        <v>0</v>
      </c>
      <c r="AS159" s="234">
        <f t="shared" si="238"/>
        <v>0</v>
      </c>
      <c r="AT159" s="234">
        <f t="shared" si="238"/>
        <v>0</v>
      </c>
      <c r="AU159" s="234">
        <f t="shared" si="238"/>
        <v>0</v>
      </c>
      <c r="AV159" s="234">
        <f t="shared" si="238"/>
        <v>1</v>
      </c>
      <c r="AW159" s="234">
        <f t="shared" si="238"/>
        <v>0</v>
      </c>
      <c r="AX159" s="234">
        <f t="shared" si="238"/>
        <v>0</v>
      </c>
      <c r="AY159" s="234">
        <f t="shared" si="238"/>
        <v>0</v>
      </c>
      <c r="AZ159" s="234">
        <f t="shared" si="238"/>
        <v>0</v>
      </c>
      <c r="BA159" s="234">
        <f t="shared" si="238"/>
        <v>0</v>
      </c>
      <c r="BB159" s="234">
        <f t="shared" si="238"/>
        <v>0</v>
      </c>
      <c r="BC159" s="234">
        <f t="shared" si="238"/>
        <v>0</v>
      </c>
      <c r="BD159" s="234">
        <f t="shared" si="238"/>
        <v>0</v>
      </c>
      <c r="BE159" s="234">
        <f t="shared" si="238"/>
        <v>0</v>
      </c>
      <c r="BF159" s="234">
        <f t="shared" si="238"/>
        <v>0</v>
      </c>
      <c r="BG159" s="234">
        <f t="shared" si="238"/>
        <v>0</v>
      </c>
      <c r="BH159" s="234">
        <f t="shared" si="238"/>
        <v>0</v>
      </c>
      <c r="BI159" s="234">
        <f t="shared" si="238"/>
        <v>0</v>
      </c>
      <c r="BJ159" s="234">
        <f t="shared" si="238"/>
        <v>0</v>
      </c>
      <c r="BK159" s="234">
        <f t="shared" si="238"/>
        <v>0</v>
      </c>
      <c r="BL159" s="234">
        <f t="shared" si="238"/>
        <v>0</v>
      </c>
      <c r="BM159" s="234">
        <f t="shared" si="238"/>
        <v>0</v>
      </c>
      <c r="BN159" s="234">
        <f t="shared" si="238"/>
        <v>0</v>
      </c>
      <c r="BO159" s="234">
        <f t="shared" si="238"/>
        <v>0</v>
      </c>
      <c r="BP159" s="234">
        <f t="shared" si="238"/>
        <v>0</v>
      </c>
      <c r="BQ159" s="234">
        <f t="shared" si="238"/>
        <v>0</v>
      </c>
      <c r="BR159" s="234">
        <f t="shared" si="238"/>
        <v>0</v>
      </c>
      <c r="BS159" s="234">
        <f t="shared" si="238"/>
        <v>0</v>
      </c>
      <c r="BT159" s="234">
        <f t="shared" si="238"/>
        <v>0</v>
      </c>
      <c r="BU159" s="234">
        <f t="shared" si="238"/>
        <v>0</v>
      </c>
      <c r="BV159" s="234">
        <f t="shared" ref="BV159:CV159" si="239" xml:space="preserve"> IF(BV158 = $F157, 1, 0)</f>
        <v>0</v>
      </c>
      <c r="BW159" s="234">
        <f t="shared" si="239"/>
        <v>0</v>
      </c>
      <c r="BX159" s="234">
        <f t="shared" si="239"/>
        <v>0</v>
      </c>
      <c r="BY159" s="234">
        <f t="shared" si="239"/>
        <v>0</v>
      </c>
      <c r="BZ159" s="234">
        <f t="shared" si="239"/>
        <v>0</v>
      </c>
      <c r="CA159" s="234">
        <f t="shared" si="239"/>
        <v>0</v>
      </c>
      <c r="CB159" s="234">
        <f t="shared" si="239"/>
        <v>0</v>
      </c>
      <c r="CC159" s="234">
        <f t="shared" si="239"/>
        <v>0</v>
      </c>
      <c r="CD159" s="234">
        <f t="shared" si="239"/>
        <v>0</v>
      </c>
      <c r="CE159" s="234">
        <f t="shared" si="239"/>
        <v>0</v>
      </c>
      <c r="CF159" s="234">
        <f t="shared" si="239"/>
        <v>0</v>
      </c>
      <c r="CG159" s="234">
        <f t="shared" si="239"/>
        <v>0</v>
      </c>
      <c r="CH159" s="234">
        <f t="shared" si="239"/>
        <v>0</v>
      </c>
      <c r="CI159" s="234">
        <f t="shared" si="239"/>
        <v>0</v>
      </c>
      <c r="CJ159" s="234">
        <f t="shared" si="239"/>
        <v>0</v>
      </c>
      <c r="CK159" s="234">
        <f t="shared" si="239"/>
        <v>0</v>
      </c>
      <c r="CL159" s="234">
        <f t="shared" si="239"/>
        <v>0</v>
      </c>
      <c r="CM159" s="234">
        <f t="shared" si="239"/>
        <v>0</v>
      </c>
      <c r="CN159" s="234">
        <f t="shared" si="239"/>
        <v>0</v>
      </c>
      <c r="CO159" s="234">
        <f t="shared" si="239"/>
        <v>0</v>
      </c>
      <c r="CP159" s="234">
        <f t="shared" si="239"/>
        <v>0</v>
      </c>
      <c r="CQ159" s="234">
        <f t="shared" si="239"/>
        <v>0</v>
      </c>
      <c r="CR159" s="234">
        <f t="shared" si="239"/>
        <v>0</v>
      </c>
      <c r="CS159" s="234">
        <f t="shared" si="239"/>
        <v>0</v>
      </c>
      <c r="CT159" s="234">
        <f t="shared" si="239"/>
        <v>0</v>
      </c>
      <c r="CU159" s="234">
        <f t="shared" si="239"/>
        <v>0</v>
      </c>
      <c r="CV159" s="234">
        <f t="shared" si="239"/>
        <v>0</v>
      </c>
    </row>
    <row r="160" spans="1:100" outlineLevel="2" x14ac:dyDescent="0.2">
      <c r="E160" s="6"/>
      <c r="F160" s="6"/>
      <c r="G160" s="6"/>
      <c r="H160" s="6"/>
      <c r="I160" s="71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</row>
    <row r="161" spans="1:100" outlineLevel="2" x14ac:dyDescent="0.2">
      <c r="E161" s="198" t="str">
        <f t="shared" ref="E161:AJ161" si="240" xml:space="preserve"> E$155</f>
        <v>Senior debt repayment period start flag - T1</v>
      </c>
      <c r="F161" s="198">
        <f t="shared" si="240"/>
        <v>0</v>
      </c>
      <c r="G161" s="198" t="str">
        <f t="shared" si="240"/>
        <v>flag</v>
      </c>
      <c r="H161" s="198">
        <f t="shared" si="240"/>
        <v>1</v>
      </c>
      <c r="I161" s="198">
        <f t="shared" si="240"/>
        <v>0</v>
      </c>
      <c r="J161" s="198">
        <f t="shared" si="240"/>
        <v>0</v>
      </c>
      <c r="K161" s="198">
        <f t="shared" si="240"/>
        <v>0</v>
      </c>
      <c r="L161" s="198">
        <f t="shared" si="240"/>
        <v>0</v>
      </c>
      <c r="M161" s="198">
        <f t="shared" si="240"/>
        <v>0</v>
      </c>
      <c r="N161" s="198">
        <f t="shared" si="240"/>
        <v>0</v>
      </c>
      <c r="O161" s="198">
        <f t="shared" si="240"/>
        <v>1</v>
      </c>
      <c r="P161" s="198">
        <f t="shared" si="240"/>
        <v>0</v>
      </c>
      <c r="Q161" s="198">
        <f t="shared" si="240"/>
        <v>0</v>
      </c>
      <c r="R161" s="198">
        <f t="shared" si="240"/>
        <v>0</v>
      </c>
      <c r="S161" s="198">
        <f t="shared" si="240"/>
        <v>0</v>
      </c>
      <c r="T161" s="198">
        <f t="shared" si="240"/>
        <v>0</v>
      </c>
      <c r="U161" s="198">
        <f t="shared" si="240"/>
        <v>0</v>
      </c>
      <c r="V161" s="198">
        <f t="shared" si="240"/>
        <v>0</v>
      </c>
      <c r="W161" s="198">
        <f t="shared" si="240"/>
        <v>0</v>
      </c>
      <c r="X161" s="198">
        <f t="shared" si="240"/>
        <v>0</v>
      </c>
      <c r="Y161" s="198">
        <f t="shared" si="240"/>
        <v>0</v>
      </c>
      <c r="Z161" s="198">
        <f t="shared" si="240"/>
        <v>0</v>
      </c>
      <c r="AA161" s="198">
        <f t="shared" si="240"/>
        <v>0</v>
      </c>
      <c r="AB161" s="198">
        <f t="shared" si="240"/>
        <v>0</v>
      </c>
      <c r="AC161" s="198">
        <f t="shared" si="240"/>
        <v>0</v>
      </c>
      <c r="AD161" s="198">
        <f t="shared" si="240"/>
        <v>0</v>
      </c>
      <c r="AE161" s="198">
        <f t="shared" si="240"/>
        <v>0</v>
      </c>
      <c r="AF161" s="198">
        <f t="shared" si="240"/>
        <v>0</v>
      </c>
      <c r="AG161" s="198">
        <f t="shared" si="240"/>
        <v>0</v>
      </c>
      <c r="AH161" s="198">
        <f t="shared" si="240"/>
        <v>0</v>
      </c>
      <c r="AI161" s="198">
        <f t="shared" si="240"/>
        <v>0</v>
      </c>
      <c r="AJ161" s="198">
        <f t="shared" si="240"/>
        <v>0</v>
      </c>
      <c r="AK161" s="198">
        <f t="shared" ref="AK161:BP161" si="241" xml:space="preserve"> AK$155</f>
        <v>0</v>
      </c>
      <c r="AL161" s="198">
        <f t="shared" si="241"/>
        <v>0</v>
      </c>
      <c r="AM161" s="198">
        <f t="shared" si="241"/>
        <v>0</v>
      </c>
      <c r="AN161" s="198">
        <f t="shared" si="241"/>
        <v>0</v>
      </c>
      <c r="AO161" s="198">
        <f t="shared" si="241"/>
        <v>0</v>
      </c>
      <c r="AP161" s="198">
        <f t="shared" si="241"/>
        <v>0</v>
      </c>
      <c r="AQ161" s="198">
        <f t="shared" si="241"/>
        <v>0</v>
      </c>
      <c r="AR161" s="198">
        <f t="shared" si="241"/>
        <v>0</v>
      </c>
      <c r="AS161" s="198">
        <f t="shared" si="241"/>
        <v>0</v>
      </c>
      <c r="AT161" s="198">
        <f t="shared" si="241"/>
        <v>0</v>
      </c>
      <c r="AU161" s="198">
        <f t="shared" si="241"/>
        <v>0</v>
      </c>
      <c r="AV161" s="198">
        <f t="shared" si="241"/>
        <v>0</v>
      </c>
      <c r="AW161" s="198">
        <f t="shared" si="241"/>
        <v>0</v>
      </c>
      <c r="AX161" s="198">
        <f t="shared" si="241"/>
        <v>0</v>
      </c>
      <c r="AY161" s="198">
        <f t="shared" si="241"/>
        <v>0</v>
      </c>
      <c r="AZ161" s="198">
        <f t="shared" si="241"/>
        <v>0</v>
      </c>
      <c r="BA161" s="198">
        <f t="shared" si="241"/>
        <v>0</v>
      </c>
      <c r="BB161" s="198">
        <f t="shared" si="241"/>
        <v>0</v>
      </c>
      <c r="BC161" s="198">
        <f t="shared" si="241"/>
        <v>0</v>
      </c>
      <c r="BD161" s="198">
        <f t="shared" si="241"/>
        <v>0</v>
      </c>
      <c r="BE161" s="198">
        <f t="shared" si="241"/>
        <v>0</v>
      </c>
      <c r="BF161" s="198">
        <f t="shared" si="241"/>
        <v>0</v>
      </c>
      <c r="BG161" s="198">
        <f t="shared" si="241"/>
        <v>0</v>
      </c>
      <c r="BH161" s="198">
        <f t="shared" si="241"/>
        <v>0</v>
      </c>
      <c r="BI161" s="198">
        <f t="shared" si="241"/>
        <v>0</v>
      </c>
      <c r="BJ161" s="198">
        <f t="shared" si="241"/>
        <v>0</v>
      </c>
      <c r="BK161" s="198">
        <f t="shared" si="241"/>
        <v>0</v>
      </c>
      <c r="BL161" s="198">
        <f t="shared" si="241"/>
        <v>0</v>
      </c>
      <c r="BM161" s="198">
        <f t="shared" si="241"/>
        <v>0</v>
      </c>
      <c r="BN161" s="198">
        <f t="shared" si="241"/>
        <v>0</v>
      </c>
      <c r="BO161" s="198">
        <f t="shared" si="241"/>
        <v>0</v>
      </c>
      <c r="BP161" s="198">
        <f t="shared" si="241"/>
        <v>0</v>
      </c>
      <c r="BQ161" s="198">
        <f t="shared" ref="BQ161:CV161" si="242" xml:space="preserve"> BQ$155</f>
        <v>0</v>
      </c>
      <c r="BR161" s="198">
        <f t="shared" si="242"/>
        <v>0</v>
      </c>
      <c r="BS161" s="198">
        <f t="shared" si="242"/>
        <v>0</v>
      </c>
      <c r="BT161" s="198">
        <f t="shared" si="242"/>
        <v>0</v>
      </c>
      <c r="BU161" s="198">
        <f t="shared" si="242"/>
        <v>0</v>
      </c>
      <c r="BV161" s="198">
        <f t="shared" si="242"/>
        <v>0</v>
      </c>
      <c r="BW161" s="198">
        <f t="shared" si="242"/>
        <v>0</v>
      </c>
      <c r="BX161" s="198">
        <f t="shared" si="242"/>
        <v>0</v>
      </c>
      <c r="BY161" s="198">
        <f t="shared" si="242"/>
        <v>0</v>
      </c>
      <c r="BZ161" s="198">
        <f t="shared" si="242"/>
        <v>0</v>
      </c>
      <c r="CA161" s="198">
        <f t="shared" si="242"/>
        <v>0</v>
      </c>
      <c r="CB161" s="198">
        <f t="shared" si="242"/>
        <v>0</v>
      </c>
      <c r="CC161" s="198">
        <f t="shared" si="242"/>
        <v>0</v>
      </c>
      <c r="CD161" s="198">
        <f t="shared" si="242"/>
        <v>0</v>
      </c>
      <c r="CE161" s="198">
        <f t="shared" si="242"/>
        <v>0</v>
      </c>
      <c r="CF161" s="198">
        <f t="shared" si="242"/>
        <v>0</v>
      </c>
      <c r="CG161" s="198">
        <f t="shared" si="242"/>
        <v>0</v>
      </c>
      <c r="CH161" s="198">
        <f t="shared" si="242"/>
        <v>0</v>
      </c>
      <c r="CI161" s="198">
        <f t="shared" si="242"/>
        <v>0</v>
      </c>
      <c r="CJ161" s="198">
        <f t="shared" si="242"/>
        <v>0</v>
      </c>
      <c r="CK161" s="198">
        <f t="shared" si="242"/>
        <v>0</v>
      </c>
      <c r="CL161" s="198">
        <f t="shared" si="242"/>
        <v>0</v>
      </c>
      <c r="CM161" s="198">
        <f t="shared" si="242"/>
        <v>0</v>
      </c>
      <c r="CN161" s="198">
        <f t="shared" si="242"/>
        <v>0</v>
      </c>
      <c r="CO161" s="198">
        <f t="shared" si="242"/>
        <v>0</v>
      </c>
      <c r="CP161" s="198">
        <f t="shared" si="242"/>
        <v>0</v>
      </c>
      <c r="CQ161" s="198">
        <f t="shared" si="242"/>
        <v>0</v>
      </c>
      <c r="CR161" s="198">
        <f t="shared" si="242"/>
        <v>0</v>
      </c>
      <c r="CS161" s="198">
        <f t="shared" si="242"/>
        <v>0</v>
      </c>
      <c r="CT161" s="198">
        <f t="shared" si="242"/>
        <v>0</v>
      </c>
      <c r="CU161" s="198">
        <f t="shared" si="242"/>
        <v>0</v>
      </c>
      <c r="CV161" s="198">
        <f t="shared" si="242"/>
        <v>0</v>
      </c>
    </row>
    <row r="162" spans="1:100" outlineLevel="2" x14ac:dyDescent="0.2">
      <c r="A162" s="49"/>
      <c r="C162" s="50"/>
      <c r="D162" s="51"/>
      <c r="E162" s="469" t="str">
        <f t="shared" ref="E162:AJ162" si="243" xml:space="preserve"> E$159</f>
        <v>Senior debt repayment period end flag - T1</v>
      </c>
      <c r="F162" s="469">
        <f t="shared" si="243"/>
        <v>0</v>
      </c>
      <c r="G162" s="469" t="str">
        <f t="shared" si="243"/>
        <v>flag</v>
      </c>
      <c r="H162" s="469">
        <f t="shared" si="243"/>
        <v>1</v>
      </c>
      <c r="I162" s="469">
        <f t="shared" si="243"/>
        <v>0</v>
      </c>
      <c r="J162" s="469">
        <f t="shared" si="243"/>
        <v>0</v>
      </c>
      <c r="K162" s="469">
        <f t="shared" si="243"/>
        <v>0</v>
      </c>
      <c r="L162" s="469">
        <f t="shared" si="243"/>
        <v>0</v>
      </c>
      <c r="M162" s="469">
        <f t="shared" si="243"/>
        <v>0</v>
      </c>
      <c r="N162" s="469">
        <f t="shared" si="243"/>
        <v>0</v>
      </c>
      <c r="O162" s="469">
        <f t="shared" si="243"/>
        <v>0</v>
      </c>
      <c r="P162" s="469">
        <f t="shared" si="243"/>
        <v>0</v>
      </c>
      <c r="Q162" s="469">
        <f t="shared" si="243"/>
        <v>0</v>
      </c>
      <c r="R162" s="469">
        <f t="shared" si="243"/>
        <v>0</v>
      </c>
      <c r="S162" s="469">
        <f t="shared" si="243"/>
        <v>0</v>
      </c>
      <c r="T162" s="469">
        <f t="shared" si="243"/>
        <v>0</v>
      </c>
      <c r="U162" s="469">
        <f t="shared" si="243"/>
        <v>0</v>
      </c>
      <c r="V162" s="469">
        <f t="shared" si="243"/>
        <v>0</v>
      </c>
      <c r="W162" s="469">
        <f t="shared" si="243"/>
        <v>0</v>
      </c>
      <c r="X162" s="469">
        <f t="shared" si="243"/>
        <v>0</v>
      </c>
      <c r="Y162" s="469">
        <f t="shared" si="243"/>
        <v>0</v>
      </c>
      <c r="Z162" s="469">
        <f t="shared" si="243"/>
        <v>0</v>
      </c>
      <c r="AA162" s="469">
        <f t="shared" si="243"/>
        <v>0</v>
      </c>
      <c r="AB162" s="469">
        <f t="shared" si="243"/>
        <v>0</v>
      </c>
      <c r="AC162" s="469">
        <f t="shared" si="243"/>
        <v>0</v>
      </c>
      <c r="AD162" s="469">
        <f t="shared" si="243"/>
        <v>0</v>
      </c>
      <c r="AE162" s="469">
        <f t="shared" si="243"/>
        <v>0</v>
      </c>
      <c r="AF162" s="469">
        <f t="shared" si="243"/>
        <v>0</v>
      </c>
      <c r="AG162" s="469">
        <f t="shared" si="243"/>
        <v>0</v>
      </c>
      <c r="AH162" s="469">
        <f t="shared" si="243"/>
        <v>0</v>
      </c>
      <c r="AI162" s="469">
        <f t="shared" si="243"/>
        <v>0</v>
      </c>
      <c r="AJ162" s="469">
        <f t="shared" si="243"/>
        <v>0</v>
      </c>
      <c r="AK162" s="469">
        <f t="shared" ref="AK162:BP162" si="244" xml:space="preserve"> AK$159</f>
        <v>0</v>
      </c>
      <c r="AL162" s="469">
        <f t="shared" si="244"/>
        <v>0</v>
      </c>
      <c r="AM162" s="469">
        <f t="shared" si="244"/>
        <v>0</v>
      </c>
      <c r="AN162" s="469">
        <f t="shared" si="244"/>
        <v>0</v>
      </c>
      <c r="AO162" s="469">
        <f t="shared" si="244"/>
        <v>0</v>
      </c>
      <c r="AP162" s="469">
        <f t="shared" si="244"/>
        <v>0</v>
      </c>
      <c r="AQ162" s="469">
        <f t="shared" si="244"/>
        <v>0</v>
      </c>
      <c r="AR162" s="469">
        <f t="shared" si="244"/>
        <v>0</v>
      </c>
      <c r="AS162" s="469">
        <f t="shared" si="244"/>
        <v>0</v>
      </c>
      <c r="AT162" s="469">
        <f t="shared" si="244"/>
        <v>0</v>
      </c>
      <c r="AU162" s="469">
        <f t="shared" si="244"/>
        <v>0</v>
      </c>
      <c r="AV162" s="469">
        <f t="shared" si="244"/>
        <v>1</v>
      </c>
      <c r="AW162" s="469">
        <f t="shared" si="244"/>
        <v>0</v>
      </c>
      <c r="AX162" s="469">
        <f t="shared" si="244"/>
        <v>0</v>
      </c>
      <c r="AY162" s="469">
        <f t="shared" si="244"/>
        <v>0</v>
      </c>
      <c r="AZ162" s="469">
        <f t="shared" si="244"/>
        <v>0</v>
      </c>
      <c r="BA162" s="469">
        <f t="shared" si="244"/>
        <v>0</v>
      </c>
      <c r="BB162" s="469">
        <f t="shared" si="244"/>
        <v>0</v>
      </c>
      <c r="BC162" s="469">
        <f t="shared" si="244"/>
        <v>0</v>
      </c>
      <c r="BD162" s="469">
        <f t="shared" si="244"/>
        <v>0</v>
      </c>
      <c r="BE162" s="469">
        <f t="shared" si="244"/>
        <v>0</v>
      </c>
      <c r="BF162" s="469">
        <f t="shared" si="244"/>
        <v>0</v>
      </c>
      <c r="BG162" s="469">
        <f t="shared" si="244"/>
        <v>0</v>
      </c>
      <c r="BH162" s="469">
        <f t="shared" si="244"/>
        <v>0</v>
      </c>
      <c r="BI162" s="469">
        <f t="shared" si="244"/>
        <v>0</v>
      </c>
      <c r="BJ162" s="469">
        <f t="shared" si="244"/>
        <v>0</v>
      </c>
      <c r="BK162" s="469">
        <f t="shared" si="244"/>
        <v>0</v>
      </c>
      <c r="BL162" s="469">
        <f t="shared" si="244"/>
        <v>0</v>
      </c>
      <c r="BM162" s="469">
        <f t="shared" si="244"/>
        <v>0</v>
      </c>
      <c r="BN162" s="469">
        <f t="shared" si="244"/>
        <v>0</v>
      </c>
      <c r="BO162" s="469">
        <f t="shared" si="244"/>
        <v>0</v>
      </c>
      <c r="BP162" s="469">
        <f t="shared" si="244"/>
        <v>0</v>
      </c>
      <c r="BQ162" s="469">
        <f t="shared" ref="BQ162:CV162" si="245" xml:space="preserve"> BQ$159</f>
        <v>0</v>
      </c>
      <c r="BR162" s="469">
        <f t="shared" si="245"/>
        <v>0</v>
      </c>
      <c r="BS162" s="469">
        <f t="shared" si="245"/>
        <v>0</v>
      </c>
      <c r="BT162" s="469">
        <f t="shared" si="245"/>
        <v>0</v>
      </c>
      <c r="BU162" s="469">
        <f t="shared" si="245"/>
        <v>0</v>
      </c>
      <c r="BV162" s="469">
        <f t="shared" si="245"/>
        <v>0</v>
      </c>
      <c r="BW162" s="469">
        <f t="shared" si="245"/>
        <v>0</v>
      </c>
      <c r="BX162" s="469">
        <f t="shared" si="245"/>
        <v>0</v>
      </c>
      <c r="BY162" s="469">
        <f t="shared" si="245"/>
        <v>0</v>
      </c>
      <c r="BZ162" s="469">
        <f t="shared" si="245"/>
        <v>0</v>
      </c>
      <c r="CA162" s="469">
        <f t="shared" si="245"/>
        <v>0</v>
      </c>
      <c r="CB162" s="469">
        <f t="shared" si="245"/>
        <v>0</v>
      </c>
      <c r="CC162" s="469">
        <f t="shared" si="245"/>
        <v>0</v>
      </c>
      <c r="CD162" s="469">
        <f t="shared" si="245"/>
        <v>0</v>
      </c>
      <c r="CE162" s="469">
        <f t="shared" si="245"/>
        <v>0</v>
      </c>
      <c r="CF162" s="469">
        <f t="shared" si="245"/>
        <v>0</v>
      </c>
      <c r="CG162" s="469">
        <f t="shared" si="245"/>
        <v>0</v>
      </c>
      <c r="CH162" s="469">
        <f t="shared" si="245"/>
        <v>0</v>
      </c>
      <c r="CI162" s="469">
        <f t="shared" si="245"/>
        <v>0</v>
      </c>
      <c r="CJ162" s="469">
        <f t="shared" si="245"/>
        <v>0</v>
      </c>
      <c r="CK162" s="469">
        <f t="shared" si="245"/>
        <v>0</v>
      </c>
      <c r="CL162" s="469">
        <f t="shared" si="245"/>
        <v>0</v>
      </c>
      <c r="CM162" s="469">
        <f t="shared" si="245"/>
        <v>0</v>
      </c>
      <c r="CN162" s="469">
        <f t="shared" si="245"/>
        <v>0</v>
      </c>
      <c r="CO162" s="469">
        <f t="shared" si="245"/>
        <v>0</v>
      </c>
      <c r="CP162" s="469">
        <f t="shared" si="245"/>
        <v>0</v>
      </c>
      <c r="CQ162" s="469">
        <f t="shared" si="245"/>
        <v>0</v>
      </c>
      <c r="CR162" s="469">
        <f t="shared" si="245"/>
        <v>0</v>
      </c>
      <c r="CS162" s="469">
        <f t="shared" si="245"/>
        <v>0</v>
      </c>
      <c r="CT162" s="469">
        <f t="shared" si="245"/>
        <v>0</v>
      </c>
      <c r="CU162" s="469">
        <f t="shared" si="245"/>
        <v>0</v>
      </c>
      <c r="CV162" s="469">
        <f t="shared" si="245"/>
        <v>0</v>
      </c>
    </row>
    <row r="163" spans="1:100" s="188" customFormat="1" outlineLevel="2" x14ac:dyDescent="0.2">
      <c r="A163" s="227"/>
      <c r="B163" s="227"/>
      <c r="C163" s="228"/>
      <c r="D163" s="229"/>
      <c r="E163" s="230" t="s">
        <v>948</v>
      </c>
      <c r="F163" s="397"/>
      <c r="G163" s="188" t="s">
        <v>5</v>
      </c>
      <c r="H163" s="188">
        <f xml:space="preserve"> SUM(J163:CV163)</f>
        <v>34</v>
      </c>
      <c r="I163" s="230"/>
      <c r="J163" s="230">
        <f t="shared" ref="J163:AO163" si="246" xml:space="preserve"> I163 + J161 - I162</f>
        <v>0</v>
      </c>
      <c r="K163" s="230">
        <f t="shared" si="246"/>
        <v>0</v>
      </c>
      <c r="L163" s="230">
        <f t="shared" si="246"/>
        <v>0</v>
      </c>
      <c r="M163" s="230">
        <f t="shared" si="246"/>
        <v>0</v>
      </c>
      <c r="N163" s="230">
        <f t="shared" si="246"/>
        <v>0</v>
      </c>
      <c r="O163" s="230">
        <f t="shared" si="246"/>
        <v>1</v>
      </c>
      <c r="P163" s="230">
        <f t="shared" si="246"/>
        <v>1</v>
      </c>
      <c r="Q163" s="230">
        <f t="shared" si="246"/>
        <v>1</v>
      </c>
      <c r="R163" s="230">
        <f t="shared" si="246"/>
        <v>1</v>
      </c>
      <c r="S163" s="230">
        <f t="shared" si="246"/>
        <v>1</v>
      </c>
      <c r="T163" s="230">
        <f t="shared" si="246"/>
        <v>1</v>
      </c>
      <c r="U163" s="230">
        <f t="shared" si="246"/>
        <v>1</v>
      </c>
      <c r="V163" s="230">
        <f t="shared" si="246"/>
        <v>1</v>
      </c>
      <c r="W163" s="230">
        <f t="shared" si="246"/>
        <v>1</v>
      </c>
      <c r="X163" s="230">
        <f t="shared" si="246"/>
        <v>1</v>
      </c>
      <c r="Y163" s="230">
        <f t="shared" si="246"/>
        <v>1</v>
      </c>
      <c r="Z163" s="230">
        <f t="shared" si="246"/>
        <v>1</v>
      </c>
      <c r="AA163" s="230">
        <f t="shared" si="246"/>
        <v>1</v>
      </c>
      <c r="AB163" s="230">
        <f t="shared" si="246"/>
        <v>1</v>
      </c>
      <c r="AC163" s="230">
        <f t="shared" si="246"/>
        <v>1</v>
      </c>
      <c r="AD163" s="230">
        <f t="shared" si="246"/>
        <v>1</v>
      </c>
      <c r="AE163" s="230">
        <f t="shared" si="246"/>
        <v>1</v>
      </c>
      <c r="AF163" s="230">
        <f t="shared" si="246"/>
        <v>1</v>
      </c>
      <c r="AG163" s="230">
        <f t="shared" si="246"/>
        <v>1</v>
      </c>
      <c r="AH163" s="230">
        <f t="shared" si="246"/>
        <v>1</v>
      </c>
      <c r="AI163" s="230">
        <f t="shared" si="246"/>
        <v>1</v>
      </c>
      <c r="AJ163" s="230">
        <f t="shared" si="246"/>
        <v>1</v>
      </c>
      <c r="AK163" s="230">
        <f t="shared" si="246"/>
        <v>1</v>
      </c>
      <c r="AL163" s="230">
        <f t="shared" si="246"/>
        <v>1</v>
      </c>
      <c r="AM163" s="230">
        <f t="shared" si="246"/>
        <v>1</v>
      </c>
      <c r="AN163" s="230">
        <f t="shared" si="246"/>
        <v>1</v>
      </c>
      <c r="AO163" s="230">
        <f t="shared" si="246"/>
        <v>1</v>
      </c>
      <c r="AP163" s="230">
        <f t="shared" ref="AP163:BU163" si="247" xml:space="preserve"> AO163 + AP161 - AO162</f>
        <v>1</v>
      </c>
      <c r="AQ163" s="230">
        <f t="shared" si="247"/>
        <v>1</v>
      </c>
      <c r="AR163" s="230">
        <f t="shared" si="247"/>
        <v>1</v>
      </c>
      <c r="AS163" s="230">
        <f t="shared" si="247"/>
        <v>1</v>
      </c>
      <c r="AT163" s="230">
        <f t="shared" si="247"/>
        <v>1</v>
      </c>
      <c r="AU163" s="230">
        <f t="shared" si="247"/>
        <v>1</v>
      </c>
      <c r="AV163" s="230">
        <f t="shared" si="247"/>
        <v>1</v>
      </c>
      <c r="AW163" s="230">
        <f t="shared" si="247"/>
        <v>0</v>
      </c>
      <c r="AX163" s="230">
        <f t="shared" si="247"/>
        <v>0</v>
      </c>
      <c r="AY163" s="230">
        <f t="shared" si="247"/>
        <v>0</v>
      </c>
      <c r="AZ163" s="230">
        <f t="shared" si="247"/>
        <v>0</v>
      </c>
      <c r="BA163" s="230">
        <f t="shared" si="247"/>
        <v>0</v>
      </c>
      <c r="BB163" s="230">
        <f t="shared" si="247"/>
        <v>0</v>
      </c>
      <c r="BC163" s="230">
        <f t="shared" si="247"/>
        <v>0</v>
      </c>
      <c r="BD163" s="230">
        <f t="shared" si="247"/>
        <v>0</v>
      </c>
      <c r="BE163" s="230">
        <f t="shared" si="247"/>
        <v>0</v>
      </c>
      <c r="BF163" s="230">
        <f t="shared" si="247"/>
        <v>0</v>
      </c>
      <c r="BG163" s="230">
        <f t="shared" si="247"/>
        <v>0</v>
      </c>
      <c r="BH163" s="230">
        <f t="shared" si="247"/>
        <v>0</v>
      </c>
      <c r="BI163" s="230">
        <f t="shared" si="247"/>
        <v>0</v>
      </c>
      <c r="BJ163" s="230">
        <f t="shared" si="247"/>
        <v>0</v>
      </c>
      <c r="BK163" s="230">
        <f t="shared" si="247"/>
        <v>0</v>
      </c>
      <c r="BL163" s="230">
        <f t="shared" si="247"/>
        <v>0</v>
      </c>
      <c r="BM163" s="230">
        <f t="shared" si="247"/>
        <v>0</v>
      </c>
      <c r="BN163" s="230">
        <f t="shared" si="247"/>
        <v>0</v>
      </c>
      <c r="BO163" s="230">
        <f t="shared" si="247"/>
        <v>0</v>
      </c>
      <c r="BP163" s="230">
        <f t="shared" si="247"/>
        <v>0</v>
      </c>
      <c r="BQ163" s="230">
        <f t="shared" si="247"/>
        <v>0</v>
      </c>
      <c r="BR163" s="230">
        <f t="shared" si="247"/>
        <v>0</v>
      </c>
      <c r="BS163" s="230">
        <f t="shared" si="247"/>
        <v>0</v>
      </c>
      <c r="BT163" s="230">
        <f t="shared" si="247"/>
        <v>0</v>
      </c>
      <c r="BU163" s="230">
        <f t="shared" si="247"/>
        <v>0</v>
      </c>
      <c r="BV163" s="230">
        <f t="shared" ref="BV163:CV163" si="248" xml:space="preserve"> BU163 + BV161 - BU162</f>
        <v>0</v>
      </c>
      <c r="BW163" s="230">
        <f t="shared" si="248"/>
        <v>0</v>
      </c>
      <c r="BX163" s="230">
        <f t="shared" si="248"/>
        <v>0</v>
      </c>
      <c r="BY163" s="230">
        <f t="shared" si="248"/>
        <v>0</v>
      </c>
      <c r="BZ163" s="230">
        <f t="shared" si="248"/>
        <v>0</v>
      </c>
      <c r="CA163" s="230">
        <f t="shared" si="248"/>
        <v>0</v>
      </c>
      <c r="CB163" s="230">
        <f t="shared" si="248"/>
        <v>0</v>
      </c>
      <c r="CC163" s="230">
        <f t="shared" si="248"/>
        <v>0</v>
      </c>
      <c r="CD163" s="230">
        <f t="shared" si="248"/>
        <v>0</v>
      </c>
      <c r="CE163" s="230">
        <f t="shared" si="248"/>
        <v>0</v>
      </c>
      <c r="CF163" s="230">
        <f t="shared" si="248"/>
        <v>0</v>
      </c>
      <c r="CG163" s="230">
        <f t="shared" si="248"/>
        <v>0</v>
      </c>
      <c r="CH163" s="230">
        <f t="shared" si="248"/>
        <v>0</v>
      </c>
      <c r="CI163" s="230">
        <f t="shared" si="248"/>
        <v>0</v>
      </c>
      <c r="CJ163" s="230">
        <f t="shared" si="248"/>
        <v>0</v>
      </c>
      <c r="CK163" s="230">
        <f t="shared" si="248"/>
        <v>0</v>
      </c>
      <c r="CL163" s="230">
        <f t="shared" si="248"/>
        <v>0</v>
      </c>
      <c r="CM163" s="230">
        <f t="shared" si="248"/>
        <v>0</v>
      </c>
      <c r="CN163" s="230">
        <f t="shared" si="248"/>
        <v>0</v>
      </c>
      <c r="CO163" s="230">
        <f t="shared" si="248"/>
        <v>0</v>
      </c>
      <c r="CP163" s="230">
        <f t="shared" si="248"/>
        <v>0</v>
      </c>
      <c r="CQ163" s="230">
        <f t="shared" si="248"/>
        <v>0</v>
      </c>
      <c r="CR163" s="230">
        <f t="shared" si="248"/>
        <v>0</v>
      </c>
      <c r="CS163" s="230">
        <f t="shared" si="248"/>
        <v>0</v>
      </c>
      <c r="CT163" s="230">
        <f t="shared" si="248"/>
        <v>0</v>
      </c>
      <c r="CU163" s="230">
        <f t="shared" si="248"/>
        <v>0</v>
      </c>
      <c r="CV163" s="230">
        <f t="shared" si="248"/>
        <v>0</v>
      </c>
    </row>
    <row r="164" spans="1:100" s="188" customFormat="1" outlineLevel="2" x14ac:dyDescent="0.2">
      <c r="A164" s="227"/>
      <c r="B164" s="227"/>
      <c r="C164" s="228"/>
      <c r="D164" s="229"/>
      <c r="E164" s="230" t="s">
        <v>952</v>
      </c>
      <c r="F164" s="188">
        <f xml:space="preserve"> SUM(J163:CV163)</f>
        <v>34</v>
      </c>
      <c r="G164" s="188" t="s">
        <v>87</v>
      </c>
      <c r="I164" s="230"/>
      <c r="J164" s="230"/>
      <c r="K164" s="230"/>
      <c r="L164" s="230"/>
      <c r="M164" s="230"/>
      <c r="N164" s="230"/>
      <c r="O164" s="230"/>
      <c r="P164" s="230"/>
      <c r="Q164" s="230"/>
      <c r="R164" s="230"/>
      <c r="S164" s="230"/>
      <c r="T164" s="230"/>
      <c r="U164" s="230"/>
      <c r="V164" s="230"/>
      <c r="W164" s="230"/>
      <c r="X164" s="230"/>
      <c r="Y164" s="230"/>
      <c r="Z164" s="230"/>
      <c r="AA164" s="230"/>
      <c r="AB164" s="230"/>
      <c r="AC164" s="230"/>
      <c r="AD164" s="230"/>
      <c r="AE164" s="230"/>
      <c r="AF164" s="230"/>
      <c r="AG164" s="230"/>
      <c r="AH164" s="230"/>
      <c r="AI164" s="230"/>
      <c r="AJ164" s="230"/>
      <c r="AK164" s="230"/>
      <c r="AL164" s="230"/>
      <c r="AM164" s="230"/>
      <c r="AN164" s="230"/>
      <c r="AO164" s="230"/>
      <c r="AP164" s="230"/>
      <c r="AQ164" s="230"/>
      <c r="AR164" s="230"/>
      <c r="AS164" s="230"/>
      <c r="AT164" s="230"/>
      <c r="AU164" s="230"/>
      <c r="AV164" s="230"/>
      <c r="AW164" s="230"/>
      <c r="AX164" s="230"/>
      <c r="AY164" s="230"/>
      <c r="AZ164" s="230"/>
      <c r="BA164" s="230"/>
      <c r="BB164" s="230"/>
      <c r="BC164" s="230"/>
      <c r="BD164" s="230"/>
      <c r="BE164" s="230"/>
      <c r="BF164" s="230"/>
      <c r="BG164" s="230"/>
      <c r="BH164" s="230"/>
      <c r="BI164" s="230"/>
      <c r="BJ164" s="230"/>
      <c r="BK164" s="230"/>
      <c r="BL164" s="230"/>
      <c r="BM164" s="230"/>
      <c r="BN164" s="230"/>
      <c r="BO164" s="230"/>
      <c r="BP164" s="230"/>
      <c r="BQ164" s="230"/>
      <c r="BR164" s="230"/>
      <c r="BS164" s="230"/>
      <c r="BT164" s="230"/>
      <c r="BU164" s="230"/>
      <c r="BV164" s="230"/>
      <c r="BW164" s="230"/>
      <c r="BX164" s="230"/>
      <c r="BY164" s="230"/>
      <c r="BZ164" s="230"/>
      <c r="CA164" s="230"/>
      <c r="CB164" s="230"/>
      <c r="CC164" s="230"/>
      <c r="CD164" s="230"/>
      <c r="CE164" s="230"/>
      <c r="CF164" s="230"/>
      <c r="CG164" s="230"/>
      <c r="CH164" s="230"/>
      <c r="CI164" s="230"/>
      <c r="CJ164" s="230"/>
      <c r="CK164" s="230"/>
      <c r="CL164" s="230"/>
      <c r="CM164" s="230"/>
      <c r="CN164" s="230"/>
      <c r="CO164" s="230"/>
      <c r="CP164" s="230"/>
      <c r="CQ164" s="230"/>
      <c r="CR164" s="230"/>
      <c r="CS164" s="230"/>
      <c r="CT164" s="230"/>
      <c r="CU164" s="230"/>
      <c r="CV164" s="230"/>
    </row>
    <row r="165" spans="1:100" outlineLevel="1" x14ac:dyDescent="0.2">
      <c r="A165" s="227"/>
      <c r="B165" s="227"/>
      <c r="C165" s="228"/>
      <c r="D165" s="229"/>
      <c r="E165" s="230"/>
      <c r="F165" s="397"/>
      <c r="G165" s="188"/>
      <c r="H165" s="188"/>
      <c r="I165" s="230"/>
      <c r="J165" s="230"/>
      <c r="K165" s="230"/>
      <c r="L165" s="230"/>
      <c r="M165" s="230"/>
      <c r="N165" s="230"/>
      <c r="O165" s="230"/>
      <c r="P165" s="230"/>
      <c r="Q165" s="230"/>
      <c r="R165" s="230"/>
      <c r="S165" s="230"/>
      <c r="T165" s="230"/>
      <c r="U165" s="230"/>
      <c r="V165" s="230"/>
      <c r="W165" s="230"/>
      <c r="X165" s="230"/>
      <c r="Y165" s="230"/>
      <c r="Z165" s="230"/>
      <c r="AA165" s="230"/>
      <c r="AB165" s="230"/>
      <c r="AC165" s="230"/>
      <c r="AD165" s="230"/>
      <c r="AE165" s="230"/>
      <c r="AF165" s="230"/>
      <c r="AG165" s="230"/>
      <c r="AH165" s="230"/>
      <c r="AI165" s="230"/>
      <c r="AJ165" s="230"/>
      <c r="AK165" s="230"/>
      <c r="AL165" s="230"/>
      <c r="AM165" s="230"/>
      <c r="AN165" s="230"/>
      <c r="AO165" s="230"/>
      <c r="AP165" s="230"/>
      <c r="AQ165" s="230"/>
      <c r="AR165" s="230"/>
      <c r="AS165" s="230"/>
      <c r="AT165" s="230"/>
      <c r="AU165" s="230"/>
      <c r="AV165" s="230"/>
      <c r="AW165" s="230"/>
      <c r="AX165" s="230"/>
      <c r="AY165" s="230"/>
      <c r="AZ165" s="230"/>
      <c r="BA165" s="230"/>
      <c r="BB165" s="230"/>
      <c r="BC165" s="230"/>
      <c r="BD165" s="230"/>
      <c r="BE165" s="230"/>
      <c r="BF165" s="230"/>
      <c r="BG165" s="230"/>
      <c r="BH165" s="230"/>
      <c r="BI165" s="230"/>
      <c r="BJ165" s="230"/>
      <c r="BK165" s="230"/>
      <c r="BL165" s="230"/>
      <c r="BM165" s="230"/>
      <c r="BN165" s="230"/>
      <c r="BO165" s="230"/>
      <c r="BP165" s="230"/>
      <c r="BQ165" s="230"/>
      <c r="BR165" s="230"/>
      <c r="BS165" s="230"/>
      <c r="BT165" s="230"/>
      <c r="BU165" s="230"/>
      <c r="BV165" s="230"/>
      <c r="BW165" s="230"/>
      <c r="BX165" s="230"/>
      <c r="BY165" s="230"/>
      <c r="BZ165" s="230"/>
      <c r="CA165" s="230"/>
      <c r="CB165" s="230"/>
      <c r="CC165" s="230"/>
      <c r="CD165" s="230"/>
      <c r="CE165" s="230"/>
      <c r="CF165" s="230"/>
      <c r="CG165" s="230"/>
      <c r="CH165" s="230"/>
      <c r="CI165" s="230"/>
      <c r="CJ165" s="230"/>
      <c r="CK165" s="230"/>
      <c r="CL165" s="230"/>
      <c r="CM165" s="230"/>
      <c r="CN165" s="230"/>
      <c r="CO165" s="230"/>
      <c r="CP165" s="230"/>
      <c r="CQ165" s="230"/>
      <c r="CR165" s="230"/>
      <c r="CS165" s="230"/>
      <c r="CT165" s="230"/>
      <c r="CU165" s="230"/>
      <c r="CV165" s="230"/>
    </row>
    <row r="166" spans="1:100" outlineLevel="1" x14ac:dyDescent="0.2">
      <c r="A166" s="522"/>
      <c r="B166" s="522" t="s">
        <v>957</v>
      </c>
      <c r="C166" s="523"/>
      <c r="D166" s="524"/>
      <c r="E166" s="663"/>
      <c r="F166" s="663"/>
      <c r="G166" s="663"/>
      <c r="H166" s="663"/>
      <c r="I166" s="663"/>
      <c r="J166" s="663"/>
      <c r="K166" s="663"/>
      <c r="L166" s="663"/>
      <c r="M166" s="663"/>
      <c r="N166" s="663"/>
      <c r="O166" s="663"/>
      <c r="P166" s="663"/>
      <c r="Q166" s="663"/>
      <c r="R166" s="663"/>
      <c r="S166" s="663"/>
      <c r="T166" s="663"/>
      <c r="U166" s="663"/>
      <c r="V166" s="663"/>
      <c r="W166" s="663"/>
      <c r="X166" s="663"/>
      <c r="Y166" s="663"/>
      <c r="Z166" s="663"/>
      <c r="AA166" s="663"/>
      <c r="AB166" s="663"/>
      <c r="AC166" s="663"/>
      <c r="AD166" s="663"/>
      <c r="AE166" s="663"/>
      <c r="AF166" s="663"/>
      <c r="AG166" s="663"/>
      <c r="AH166" s="663"/>
      <c r="AI166" s="663"/>
      <c r="AJ166" s="663"/>
      <c r="AK166" s="663"/>
      <c r="AL166" s="663"/>
      <c r="AM166" s="663"/>
      <c r="AN166" s="663"/>
      <c r="AO166" s="663"/>
      <c r="AP166" s="663"/>
      <c r="AQ166" s="663"/>
      <c r="AR166" s="663"/>
      <c r="AS166" s="663"/>
      <c r="AT166" s="663"/>
      <c r="AU166" s="663"/>
      <c r="AV166" s="663"/>
      <c r="AW166" s="663"/>
      <c r="AX166" s="663"/>
      <c r="AY166" s="663"/>
      <c r="AZ166" s="663"/>
      <c r="BA166" s="663"/>
      <c r="BB166" s="663"/>
      <c r="BC166" s="663"/>
      <c r="BD166" s="663"/>
      <c r="BE166" s="663"/>
      <c r="BF166" s="663"/>
      <c r="BG166" s="663"/>
      <c r="BH166" s="663"/>
      <c r="BI166" s="663"/>
      <c r="BJ166" s="663"/>
      <c r="BK166" s="663"/>
      <c r="BL166" s="663"/>
      <c r="BM166" s="663"/>
      <c r="BN166" s="663"/>
      <c r="BO166" s="663"/>
      <c r="BP166" s="663"/>
      <c r="BQ166" s="663"/>
      <c r="BR166" s="663"/>
      <c r="BS166" s="663"/>
      <c r="BT166" s="663"/>
      <c r="BU166" s="663"/>
      <c r="BV166" s="663"/>
      <c r="BW166" s="663"/>
      <c r="BX166" s="663"/>
      <c r="BY166" s="663"/>
      <c r="BZ166" s="663"/>
      <c r="CA166" s="663"/>
      <c r="CB166" s="663"/>
      <c r="CC166" s="663"/>
      <c r="CD166" s="663"/>
      <c r="CE166" s="663"/>
      <c r="CF166" s="663"/>
      <c r="CG166" s="663"/>
      <c r="CH166" s="663"/>
      <c r="CI166" s="663"/>
      <c r="CJ166" s="663"/>
      <c r="CK166" s="663"/>
      <c r="CL166" s="663"/>
      <c r="CM166" s="663"/>
      <c r="CN166" s="663"/>
      <c r="CO166" s="663"/>
      <c r="CP166" s="663"/>
      <c r="CQ166" s="663"/>
      <c r="CR166" s="663"/>
      <c r="CS166" s="663"/>
      <c r="CT166" s="663"/>
      <c r="CU166" s="663"/>
      <c r="CV166" s="663"/>
    </row>
    <row r="167" spans="1:100" outlineLevel="2" x14ac:dyDescent="0.2">
      <c r="A167" s="54"/>
      <c r="B167" s="522"/>
      <c r="C167" s="57"/>
      <c r="D167" s="58"/>
      <c r="E167" s="300" t="str">
        <f xml:space="preserve"> ConTime!E$73</f>
        <v>End of construction period date</v>
      </c>
      <c r="F167" s="300">
        <f xml:space="preserve"> ConTime!F$73</f>
        <v>45473</v>
      </c>
      <c r="G167" s="300" t="str">
        <f xml:space="preserve"> ConTime!G$73</f>
        <v>date</v>
      </c>
      <c r="H167" s="300"/>
      <c r="I167" s="300"/>
      <c r="J167" s="300"/>
      <c r="K167" s="300"/>
      <c r="L167" s="300"/>
      <c r="M167" s="300"/>
      <c r="N167" s="300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  <c r="AF167" s="300"/>
      <c r="AG167" s="300"/>
      <c r="AH167" s="300"/>
      <c r="AI167" s="300"/>
      <c r="AJ167" s="300"/>
      <c r="AK167" s="300"/>
      <c r="AL167" s="300"/>
      <c r="AM167" s="300"/>
      <c r="AN167" s="300"/>
      <c r="AO167" s="300"/>
      <c r="AP167" s="300"/>
      <c r="AQ167" s="300"/>
      <c r="AR167" s="300"/>
      <c r="AS167" s="300"/>
      <c r="AT167" s="300"/>
      <c r="AU167" s="300"/>
      <c r="AV167" s="300"/>
      <c r="AW167" s="300"/>
      <c r="AX167" s="300"/>
      <c r="AY167" s="300"/>
      <c r="AZ167" s="300"/>
      <c r="BA167" s="300"/>
      <c r="BB167" s="300"/>
      <c r="BC167" s="300"/>
      <c r="BD167" s="300"/>
      <c r="BE167" s="300"/>
      <c r="BF167" s="300"/>
      <c r="BG167" s="300"/>
      <c r="BH167" s="300"/>
      <c r="BI167" s="300"/>
      <c r="BJ167" s="300"/>
      <c r="BK167" s="300"/>
      <c r="BL167" s="300"/>
      <c r="BM167" s="300"/>
      <c r="BN167" s="300"/>
      <c r="BO167" s="300"/>
      <c r="BP167" s="300"/>
      <c r="BQ167" s="300"/>
      <c r="BR167" s="300"/>
      <c r="BS167" s="300"/>
      <c r="BT167" s="300"/>
      <c r="BU167" s="300"/>
      <c r="BV167" s="300"/>
      <c r="BW167" s="300"/>
      <c r="BX167" s="300"/>
      <c r="BY167" s="300"/>
      <c r="BZ167" s="300"/>
      <c r="CA167" s="300"/>
      <c r="CB167" s="300"/>
      <c r="CC167" s="300"/>
      <c r="CD167" s="300"/>
      <c r="CE167" s="300"/>
      <c r="CF167" s="300"/>
      <c r="CG167" s="300"/>
      <c r="CH167" s="300"/>
      <c r="CI167" s="300"/>
      <c r="CJ167" s="300"/>
      <c r="CK167" s="300"/>
      <c r="CL167" s="300"/>
      <c r="CM167" s="300"/>
      <c r="CN167" s="300"/>
      <c r="CO167" s="300"/>
      <c r="CP167" s="300"/>
      <c r="CQ167" s="300"/>
      <c r="CR167" s="300"/>
      <c r="CS167" s="300"/>
      <c r="CT167" s="300"/>
      <c r="CU167" s="300"/>
      <c r="CV167" s="300"/>
    </row>
    <row r="168" spans="1:100" outlineLevel="2" x14ac:dyDescent="0.2">
      <c r="A168" s="522"/>
      <c r="B168" s="522"/>
      <c r="C168" s="523"/>
      <c r="D168" s="524"/>
      <c r="E168" s="667" t="s">
        <v>959</v>
      </c>
      <c r="F168" s="667">
        <f xml:space="preserve"> F167 + 1</f>
        <v>45474</v>
      </c>
      <c r="G168" s="667" t="s">
        <v>6</v>
      </c>
      <c r="H168" s="663"/>
      <c r="I168" s="663"/>
      <c r="J168" s="663"/>
      <c r="K168" s="663"/>
      <c r="L168" s="663"/>
      <c r="M168" s="663"/>
      <c r="N168" s="663"/>
      <c r="O168" s="663"/>
      <c r="P168" s="663"/>
      <c r="Q168" s="663"/>
      <c r="R168" s="663"/>
      <c r="S168" s="663"/>
      <c r="T168" s="663"/>
      <c r="U168" s="663"/>
      <c r="V168" s="663"/>
      <c r="W168" s="663"/>
      <c r="X168" s="663"/>
      <c r="Y168" s="663"/>
      <c r="Z168" s="663"/>
      <c r="AA168" s="663"/>
      <c r="AB168" s="663"/>
      <c r="AC168" s="663"/>
      <c r="AD168" s="663"/>
      <c r="AE168" s="663"/>
      <c r="AF168" s="663"/>
      <c r="AG168" s="663"/>
      <c r="AH168" s="663"/>
      <c r="AI168" s="663"/>
      <c r="AJ168" s="663"/>
      <c r="AK168" s="663"/>
      <c r="AL168" s="663"/>
      <c r="AM168" s="663"/>
      <c r="AN168" s="663"/>
      <c r="AO168" s="663"/>
      <c r="AP168" s="663"/>
      <c r="AQ168" s="663"/>
      <c r="AR168" s="663"/>
      <c r="AS168" s="663"/>
      <c r="AT168" s="663"/>
      <c r="AU168" s="663"/>
      <c r="AV168" s="663"/>
      <c r="AW168" s="663"/>
      <c r="AX168" s="663"/>
      <c r="AY168" s="663"/>
      <c r="AZ168" s="663"/>
      <c r="BA168" s="663"/>
      <c r="BB168" s="663"/>
      <c r="BC168" s="663"/>
      <c r="BD168" s="663"/>
      <c r="BE168" s="663"/>
      <c r="BF168" s="663"/>
      <c r="BG168" s="663"/>
      <c r="BH168" s="663"/>
      <c r="BI168" s="663"/>
      <c r="BJ168" s="663"/>
      <c r="BK168" s="663"/>
      <c r="BL168" s="663"/>
      <c r="BM168" s="663"/>
      <c r="BN168" s="663"/>
      <c r="BO168" s="663"/>
      <c r="BP168" s="663"/>
      <c r="BQ168" s="663"/>
      <c r="BR168" s="663"/>
      <c r="BS168" s="663"/>
      <c r="BT168" s="663"/>
      <c r="BU168" s="663"/>
      <c r="BV168" s="663"/>
      <c r="BW168" s="663"/>
      <c r="BX168" s="663"/>
      <c r="BY168" s="663"/>
      <c r="BZ168" s="663"/>
      <c r="CA168" s="663"/>
      <c r="CB168" s="663"/>
      <c r="CC168" s="663"/>
      <c r="CD168" s="663"/>
      <c r="CE168" s="663"/>
      <c r="CF168" s="663"/>
      <c r="CG168" s="663"/>
      <c r="CH168" s="663"/>
      <c r="CI168" s="663"/>
      <c r="CJ168" s="663"/>
      <c r="CK168" s="663"/>
      <c r="CL168" s="663"/>
      <c r="CM168" s="663"/>
      <c r="CN168" s="663"/>
      <c r="CO168" s="663"/>
      <c r="CP168" s="663"/>
      <c r="CQ168" s="663"/>
      <c r="CR168" s="663"/>
      <c r="CS168" s="663"/>
      <c r="CT168" s="663"/>
      <c r="CU168" s="663"/>
      <c r="CV168" s="663"/>
    </row>
    <row r="169" spans="1:100" outlineLevel="2" x14ac:dyDescent="0.2">
      <c r="A169" s="522"/>
      <c r="B169" s="522"/>
      <c r="C169" s="523"/>
      <c r="D169" s="524"/>
      <c r="E169" s="663"/>
      <c r="F169" s="663"/>
      <c r="G169" s="663"/>
      <c r="H169" s="663"/>
      <c r="I169" s="663"/>
      <c r="J169" s="663"/>
      <c r="K169" s="663"/>
      <c r="L169" s="663"/>
      <c r="M169" s="663"/>
      <c r="N169" s="663"/>
      <c r="O169" s="663"/>
      <c r="P169" s="663"/>
      <c r="Q169" s="663"/>
      <c r="R169" s="663"/>
      <c r="S169" s="663"/>
      <c r="T169" s="663"/>
      <c r="U169" s="663"/>
      <c r="V169" s="663"/>
      <c r="W169" s="663"/>
      <c r="X169" s="663"/>
      <c r="Y169" s="663"/>
      <c r="Z169" s="663"/>
      <c r="AA169" s="663"/>
      <c r="AB169" s="663"/>
      <c r="AC169" s="663"/>
      <c r="AD169" s="663"/>
      <c r="AE169" s="663"/>
      <c r="AF169" s="663"/>
      <c r="AG169" s="663"/>
      <c r="AH169" s="663"/>
      <c r="AI169" s="663"/>
      <c r="AJ169" s="663"/>
      <c r="AK169" s="663"/>
      <c r="AL169" s="663"/>
      <c r="AM169" s="663"/>
      <c r="AN169" s="663"/>
      <c r="AO169" s="663"/>
      <c r="AP169" s="663"/>
      <c r="AQ169" s="663"/>
      <c r="AR169" s="663"/>
      <c r="AS169" s="663"/>
      <c r="AT169" s="663"/>
      <c r="AU169" s="663"/>
      <c r="AV169" s="663"/>
      <c r="AW169" s="663"/>
      <c r="AX169" s="663"/>
      <c r="AY169" s="663"/>
      <c r="AZ169" s="663"/>
      <c r="BA169" s="663"/>
      <c r="BB169" s="663"/>
      <c r="BC169" s="663"/>
      <c r="BD169" s="663"/>
      <c r="BE169" s="663"/>
      <c r="BF169" s="663"/>
      <c r="BG169" s="663"/>
      <c r="BH169" s="663"/>
      <c r="BI169" s="663"/>
      <c r="BJ169" s="663"/>
      <c r="BK169" s="663"/>
      <c r="BL169" s="663"/>
      <c r="BM169" s="663"/>
      <c r="BN169" s="663"/>
      <c r="BO169" s="663"/>
      <c r="BP169" s="663"/>
      <c r="BQ169" s="663"/>
      <c r="BR169" s="663"/>
      <c r="BS169" s="663"/>
      <c r="BT169" s="663"/>
      <c r="BU169" s="663"/>
      <c r="BV169" s="663"/>
      <c r="BW169" s="663"/>
      <c r="BX169" s="663"/>
      <c r="BY169" s="663"/>
      <c r="BZ169" s="663"/>
      <c r="CA169" s="663"/>
      <c r="CB169" s="663"/>
      <c r="CC169" s="663"/>
      <c r="CD169" s="663"/>
      <c r="CE169" s="663"/>
      <c r="CF169" s="663"/>
      <c r="CG169" s="663"/>
      <c r="CH169" s="663"/>
      <c r="CI169" s="663"/>
      <c r="CJ169" s="663"/>
      <c r="CK169" s="663"/>
      <c r="CL169" s="663"/>
      <c r="CM169" s="663"/>
      <c r="CN169" s="663"/>
      <c r="CO169" s="663"/>
      <c r="CP169" s="663"/>
      <c r="CQ169" s="663"/>
      <c r="CR169" s="663"/>
      <c r="CS169" s="663"/>
      <c r="CT169" s="663"/>
      <c r="CU169" s="663"/>
      <c r="CV169" s="663"/>
    </row>
    <row r="170" spans="1:100" outlineLevel="2" x14ac:dyDescent="0.2">
      <c r="A170" s="54"/>
      <c r="C170" s="57"/>
      <c r="D170" s="58"/>
      <c r="E170" s="300" t="str">
        <f xml:space="preserve"> ConTime!E$73</f>
        <v>End of construction period date</v>
      </c>
      <c r="F170" s="300">
        <f xml:space="preserve"> ConTime!F$73</f>
        <v>45473</v>
      </c>
      <c r="G170" s="300" t="str">
        <f xml:space="preserve"> ConTime!G$73</f>
        <v>date</v>
      </c>
      <c r="H170" s="300"/>
      <c r="I170" s="300"/>
      <c r="J170" s="300"/>
      <c r="K170" s="300"/>
      <c r="L170" s="300"/>
      <c r="M170" s="300"/>
      <c r="N170" s="300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  <c r="AF170" s="300"/>
      <c r="AG170" s="300"/>
      <c r="AH170" s="300"/>
      <c r="AI170" s="300"/>
      <c r="AJ170" s="300"/>
      <c r="AK170" s="300"/>
      <c r="AL170" s="300"/>
      <c r="AM170" s="300"/>
      <c r="AN170" s="300"/>
      <c r="AO170" s="300"/>
      <c r="AP170" s="300"/>
      <c r="AQ170" s="300"/>
      <c r="AR170" s="300"/>
      <c r="AS170" s="300"/>
      <c r="AT170" s="300"/>
      <c r="AU170" s="300"/>
      <c r="AV170" s="300"/>
      <c r="AW170" s="300"/>
      <c r="AX170" s="300"/>
      <c r="AY170" s="300"/>
      <c r="AZ170" s="300"/>
      <c r="BA170" s="300"/>
      <c r="BB170" s="300"/>
      <c r="BC170" s="300"/>
      <c r="BD170" s="300"/>
      <c r="BE170" s="300"/>
      <c r="BF170" s="300"/>
      <c r="BG170" s="300"/>
      <c r="BH170" s="300"/>
      <c r="BI170" s="300"/>
      <c r="BJ170" s="300"/>
      <c r="BK170" s="300"/>
      <c r="BL170" s="300"/>
      <c r="BM170" s="300"/>
      <c r="BN170" s="300"/>
      <c r="BO170" s="300"/>
      <c r="BP170" s="300"/>
      <c r="BQ170" s="300"/>
      <c r="BR170" s="300"/>
      <c r="BS170" s="300"/>
      <c r="BT170" s="300"/>
      <c r="BU170" s="300"/>
      <c r="BV170" s="300"/>
      <c r="BW170" s="300"/>
      <c r="BX170" s="300"/>
      <c r="BY170" s="300"/>
      <c r="BZ170" s="300"/>
      <c r="CA170" s="300"/>
      <c r="CB170" s="300"/>
      <c r="CC170" s="300"/>
      <c r="CD170" s="300"/>
      <c r="CE170" s="300"/>
      <c r="CF170" s="300"/>
      <c r="CG170" s="300"/>
      <c r="CH170" s="300"/>
      <c r="CI170" s="300"/>
      <c r="CJ170" s="300"/>
      <c r="CK170" s="300"/>
      <c r="CL170" s="300"/>
      <c r="CM170" s="300"/>
      <c r="CN170" s="300"/>
      <c r="CO170" s="300"/>
      <c r="CP170" s="300"/>
      <c r="CQ170" s="300"/>
      <c r="CR170" s="300"/>
      <c r="CS170" s="300"/>
      <c r="CT170" s="300"/>
      <c r="CU170" s="300"/>
      <c r="CV170" s="300"/>
    </row>
    <row r="171" spans="1:100" outlineLevel="2" x14ac:dyDescent="0.2">
      <c r="E171" s="390" t="str">
        <f xml:space="preserve"> InpC!E$301</f>
        <v>Senior debt - T2 repayment term post COD</v>
      </c>
      <c r="F171" s="390">
        <f xml:space="preserve"> InpC!F$301</f>
        <v>15</v>
      </c>
      <c r="G171" s="390" t="str">
        <f xml:space="preserve"> InpC!G$301</f>
        <v>years</v>
      </c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</row>
    <row r="172" spans="1:100" outlineLevel="2" x14ac:dyDescent="0.2">
      <c r="A172" s="75"/>
      <c r="B172" s="75"/>
      <c r="C172" s="76"/>
      <c r="D172" s="77"/>
      <c r="E172" s="77" t="str">
        <f xml:space="preserve"> InpC!E$412</f>
        <v>Months in year</v>
      </c>
      <c r="F172" s="77">
        <f xml:space="preserve"> InpC!F$412</f>
        <v>12</v>
      </c>
      <c r="G172" s="77" t="str">
        <f xml:space="preserve"> InpC!G$412</f>
        <v>months</v>
      </c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77"/>
      <c r="BS172" s="77"/>
      <c r="BT172" s="77"/>
      <c r="BU172" s="77"/>
      <c r="BV172" s="77"/>
      <c r="BW172" s="77"/>
      <c r="BX172" s="77"/>
      <c r="BY172" s="77"/>
      <c r="BZ172" s="77"/>
      <c r="CA172" s="77"/>
      <c r="CB172" s="77"/>
      <c r="CC172" s="77"/>
      <c r="CD172" s="77"/>
      <c r="CE172" s="77"/>
      <c r="CF172" s="77"/>
      <c r="CG172" s="77"/>
      <c r="CH172" s="77"/>
      <c r="CI172" s="77"/>
      <c r="CJ172" s="77"/>
      <c r="CK172" s="77"/>
      <c r="CL172" s="77"/>
      <c r="CM172" s="77"/>
      <c r="CN172" s="77"/>
      <c r="CO172" s="77"/>
      <c r="CP172" s="77"/>
      <c r="CQ172" s="77"/>
      <c r="CR172" s="77"/>
      <c r="CS172" s="77"/>
      <c r="CT172" s="77"/>
      <c r="CU172" s="77"/>
      <c r="CV172" s="77"/>
    </row>
    <row r="173" spans="1:100" outlineLevel="2" x14ac:dyDescent="0.2">
      <c r="A173" s="72"/>
      <c r="B173" s="72"/>
      <c r="C173" s="73"/>
      <c r="D173" s="74"/>
      <c r="E173" s="26" t="s">
        <v>960</v>
      </c>
      <c r="F173" s="26">
        <f xml:space="preserve"> EOMONTH(F170, (F171 * F172))</f>
        <v>50951</v>
      </c>
      <c r="G173" s="26" t="s">
        <v>6</v>
      </c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</row>
    <row r="174" spans="1:100" outlineLevel="2" x14ac:dyDescent="0.2">
      <c r="E174" s="6"/>
      <c r="F174" s="6"/>
      <c r="G174" s="6"/>
      <c r="H174" s="6"/>
      <c r="I174" s="71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</row>
    <row r="175" spans="1:100" outlineLevel="2" x14ac:dyDescent="0.2">
      <c r="A175" s="54"/>
      <c r="B175" s="54"/>
      <c r="C175" s="57"/>
      <c r="D175" s="69"/>
      <c r="E175" s="26" t="str">
        <f t="shared" ref="E175:G175" si="249" xml:space="preserve"> E$168</f>
        <v>Senior debt service start date - T2</v>
      </c>
      <c r="F175" s="26">
        <f t="shared" si="249"/>
        <v>45474</v>
      </c>
      <c r="G175" s="26" t="str">
        <f t="shared" si="249"/>
        <v>date</v>
      </c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</row>
    <row r="176" spans="1:100" outlineLevel="2" x14ac:dyDescent="0.2">
      <c r="A176" s="49"/>
      <c r="B176" s="522"/>
      <c r="C176" s="50"/>
      <c r="D176" s="51"/>
      <c r="E176" s="11" t="str">
        <f t="shared" ref="E176:BP176" si="250" xml:space="preserve"> E$25</f>
        <v>Model period ending</v>
      </c>
      <c r="F176" s="11">
        <f t="shared" si="250"/>
        <v>0</v>
      </c>
      <c r="G176" s="11" t="str">
        <f t="shared" si="250"/>
        <v>date</v>
      </c>
      <c r="H176" s="11">
        <f t="shared" si="250"/>
        <v>0</v>
      </c>
      <c r="I176" s="136">
        <f t="shared" si="250"/>
        <v>0</v>
      </c>
      <c r="J176" s="11">
        <f t="shared" si="250"/>
        <v>44742</v>
      </c>
      <c r="K176" s="11">
        <f t="shared" si="250"/>
        <v>44926</v>
      </c>
      <c r="L176" s="11">
        <f t="shared" si="250"/>
        <v>45107</v>
      </c>
      <c r="M176" s="11">
        <f t="shared" si="250"/>
        <v>45291</v>
      </c>
      <c r="N176" s="11">
        <f t="shared" si="250"/>
        <v>45473</v>
      </c>
      <c r="O176" s="11">
        <f t="shared" si="250"/>
        <v>45657</v>
      </c>
      <c r="P176" s="11">
        <f t="shared" si="250"/>
        <v>45838</v>
      </c>
      <c r="Q176" s="11">
        <f t="shared" si="250"/>
        <v>46022</v>
      </c>
      <c r="R176" s="11">
        <f t="shared" si="250"/>
        <v>46203</v>
      </c>
      <c r="S176" s="11">
        <f t="shared" si="250"/>
        <v>46387</v>
      </c>
      <c r="T176" s="11">
        <f t="shared" si="250"/>
        <v>46568</v>
      </c>
      <c r="U176" s="11">
        <f t="shared" si="250"/>
        <v>46752</v>
      </c>
      <c r="V176" s="11">
        <f t="shared" si="250"/>
        <v>46934</v>
      </c>
      <c r="W176" s="11">
        <f t="shared" si="250"/>
        <v>47118</v>
      </c>
      <c r="X176" s="11">
        <f t="shared" si="250"/>
        <v>47299</v>
      </c>
      <c r="Y176" s="11">
        <f t="shared" si="250"/>
        <v>47483</v>
      </c>
      <c r="Z176" s="11">
        <f t="shared" si="250"/>
        <v>47664</v>
      </c>
      <c r="AA176" s="11">
        <f t="shared" si="250"/>
        <v>47848</v>
      </c>
      <c r="AB176" s="11">
        <f t="shared" si="250"/>
        <v>48029</v>
      </c>
      <c r="AC176" s="11">
        <f t="shared" si="250"/>
        <v>48213</v>
      </c>
      <c r="AD176" s="11">
        <f t="shared" si="250"/>
        <v>48395</v>
      </c>
      <c r="AE176" s="11">
        <f t="shared" si="250"/>
        <v>48579</v>
      </c>
      <c r="AF176" s="11">
        <f t="shared" si="250"/>
        <v>48760</v>
      </c>
      <c r="AG176" s="11">
        <f t="shared" si="250"/>
        <v>48944</v>
      </c>
      <c r="AH176" s="11">
        <f t="shared" si="250"/>
        <v>49125</v>
      </c>
      <c r="AI176" s="11">
        <f t="shared" si="250"/>
        <v>49309</v>
      </c>
      <c r="AJ176" s="11">
        <f t="shared" si="250"/>
        <v>49490</v>
      </c>
      <c r="AK176" s="11">
        <f t="shared" si="250"/>
        <v>49674</v>
      </c>
      <c r="AL176" s="11">
        <f t="shared" si="250"/>
        <v>49856</v>
      </c>
      <c r="AM176" s="11">
        <f t="shared" si="250"/>
        <v>50040</v>
      </c>
      <c r="AN176" s="11">
        <f t="shared" si="250"/>
        <v>50221</v>
      </c>
      <c r="AO176" s="11">
        <f t="shared" si="250"/>
        <v>50405</v>
      </c>
      <c r="AP176" s="11">
        <f t="shared" si="250"/>
        <v>50586</v>
      </c>
      <c r="AQ176" s="11">
        <f t="shared" si="250"/>
        <v>50770</v>
      </c>
      <c r="AR176" s="11">
        <f t="shared" si="250"/>
        <v>50951</v>
      </c>
      <c r="AS176" s="11">
        <f t="shared" si="250"/>
        <v>51135</v>
      </c>
      <c r="AT176" s="11">
        <f t="shared" si="250"/>
        <v>51317</v>
      </c>
      <c r="AU176" s="11">
        <f t="shared" si="250"/>
        <v>51501</v>
      </c>
      <c r="AV176" s="11">
        <f t="shared" si="250"/>
        <v>51682</v>
      </c>
      <c r="AW176" s="11">
        <f t="shared" si="250"/>
        <v>51866</v>
      </c>
      <c r="AX176" s="11">
        <f t="shared" si="250"/>
        <v>52047</v>
      </c>
      <c r="AY176" s="11">
        <f t="shared" si="250"/>
        <v>52231</v>
      </c>
      <c r="AZ176" s="11">
        <f t="shared" si="250"/>
        <v>52412</v>
      </c>
      <c r="BA176" s="11">
        <f t="shared" si="250"/>
        <v>52596</v>
      </c>
      <c r="BB176" s="11">
        <f t="shared" si="250"/>
        <v>52778</v>
      </c>
      <c r="BC176" s="11">
        <f t="shared" si="250"/>
        <v>52962</v>
      </c>
      <c r="BD176" s="11">
        <f t="shared" si="250"/>
        <v>53143</v>
      </c>
      <c r="BE176" s="11">
        <f t="shared" si="250"/>
        <v>53327</v>
      </c>
      <c r="BF176" s="11">
        <f t="shared" si="250"/>
        <v>53508</v>
      </c>
      <c r="BG176" s="11">
        <f t="shared" si="250"/>
        <v>53692</v>
      </c>
      <c r="BH176" s="11">
        <f t="shared" si="250"/>
        <v>53873</v>
      </c>
      <c r="BI176" s="11">
        <f t="shared" si="250"/>
        <v>54057</v>
      </c>
      <c r="BJ176" s="11">
        <f t="shared" si="250"/>
        <v>54239</v>
      </c>
      <c r="BK176" s="11">
        <f t="shared" si="250"/>
        <v>54423</v>
      </c>
      <c r="BL176" s="11">
        <f t="shared" si="250"/>
        <v>54604</v>
      </c>
      <c r="BM176" s="11">
        <f t="shared" si="250"/>
        <v>54788</v>
      </c>
      <c r="BN176" s="11">
        <f t="shared" si="250"/>
        <v>54969</v>
      </c>
      <c r="BO176" s="11">
        <f t="shared" si="250"/>
        <v>55153</v>
      </c>
      <c r="BP176" s="11">
        <f t="shared" si="250"/>
        <v>55334</v>
      </c>
      <c r="BQ176" s="11">
        <f t="shared" ref="BQ176:CV176" si="251" xml:space="preserve"> BQ$25</f>
        <v>55518</v>
      </c>
      <c r="BR176" s="11">
        <f t="shared" si="251"/>
        <v>55700</v>
      </c>
      <c r="BS176" s="11">
        <f t="shared" si="251"/>
        <v>55884</v>
      </c>
      <c r="BT176" s="11">
        <f t="shared" si="251"/>
        <v>56065</v>
      </c>
      <c r="BU176" s="11">
        <f t="shared" si="251"/>
        <v>56249</v>
      </c>
      <c r="BV176" s="11">
        <f t="shared" si="251"/>
        <v>56430</v>
      </c>
      <c r="BW176" s="11">
        <f t="shared" si="251"/>
        <v>56614</v>
      </c>
      <c r="BX176" s="11">
        <f t="shared" si="251"/>
        <v>56795</v>
      </c>
      <c r="BY176" s="11">
        <f t="shared" si="251"/>
        <v>56979</v>
      </c>
      <c r="BZ176" s="11">
        <f t="shared" si="251"/>
        <v>57161</v>
      </c>
      <c r="CA176" s="11">
        <f t="shared" si="251"/>
        <v>57345</v>
      </c>
      <c r="CB176" s="11">
        <f t="shared" si="251"/>
        <v>57526</v>
      </c>
      <c r="CC176" s="11">
        <f t="shared" si="251"/>
        <v>57710</v>
      </c>
      <c r="CD176" s="11">
        <f t="shared" si="251"/>
        <v>57891</v>
      </c>
      <c r="CE176" s="11">
        <f t="shared" si="251"/>
        <v>58075</v>
      </c>
      <c r="CF176" s="11">
        <f t="shared" si="251"/>
        <v>58256</v>
      </c>
      <c r="CG176" s="11">
        <f t="shared" si="251"/>
        <v>58440</v>
      </c>
      <c r="CH176" s="11">
        <f t="shared" si="251"/>
        <v>58622</v>
      </c>
      <c r="CI176" s="11">
        <f t="shared" si="251"/>
        <v>58806</v>
      </c>
      <c r="CJ176" s="11">
        <f t="shared" si="251"/>
        <v>58987</v>
      </c>
      <c r="CK176" s="11">
        <f t="shared" si="251"/>
        <v>59171</v>
      </c>
      <c r="CL176" s="11">
        <f t="shared" si="251"/>
        <v>59352</v>
      </c>
      <c r="CM176" s="11">
        <f t="shared" si="251"/>
        <v>59536</v>
      </c>
      <c r="CN176" s="11">
        <f t="shared" si="251"/>
        <v>59717</v>
      </c>
      <c r="CO176" s="11">
        <f t="shared" si="251"/>
        <v>59901</v>
      </c>
      <c r="CP176" s="11">
        <f t="shared" si="251"/>
        <v>60083</v>
      </c>
      <c r="CQ176" s="11">
        <f t="shared" si="251"/>
        <v>60267</v>
      </c>
      <c r="CR176" s="11">
        <f t="shared" si="251"/>
        <v>60448</v>
      </c>
      <c r="CS176" s="11">
        <f t="shared" si="251"/>
        <v>60632</v>
      </c>
      <c r="CT176" s="11">
        <f t="shared" si="251"/>
        <v>60813</v>
      </c>
      <c r="CU176" s="11">
        <f t="shared" si="251"/>
        <v>60997</v>
      </c>
      <c r="CV176" s="11">
        <f t="shared" si="251"/>
        <v>61178</v>
      </c>
    </row>
    <row r="177" spans="1:100" s="191" customFormat="1" outlineLevel="2" x14ac:dyDescent="0.2">
      <c r="A177" s="429"/>
      <c r="B177" s="429"/>
      <c r="C177" s="430"/>
      <c r="D177" s="190"/>
      <c r="E177" s="191" t="s">
        <v>962</v>
      </c>
      <c r="G177" s="191" t="s">
        <v>5</v>
      </c>
      <c r="H177" s="191">
        <f xml:space="preserve"> SUM(J177:CV177)</f>
        <v>1</v>
      </c>
      <c r="I177" s="192"/>
      <c r="J177" s="666">
        <f t="shared" ref="J177" si="252" xml:space="preserve"> IF(AND(I176 &lt; $F175, J176 &gt;= $F175), 1, 0)</f>
        <v>0</v>
      </c>
      <c r="K177" s="666">
        <f t="shared" ref="K177" si="253" xml:space="preserve"> IF(AND(J176 &lt; $F175, K176 &gt;= $F175), 1, 0)</f>
        <v>0</v>
      </c>
      <c r="L177" s="666">
        <f t="shared" ref="L177" si="254" xml:space="preserve"> IF(AND(K176 &lt; $F175, L176 &gt;= $F175), 1, 0)</f>
        <v>0</v>
      </c>
      <c r="M177" s="666">
        <f t="shared" ref="M177" si="255" xml:space="preserve"> IF(AND(L176 &lt; $F175, M176 &gt;= $F175), 1, 0)</f>
        <v>0</v>
      </c>
      <c r="N177" s="666">
        <f t="shared" ref="N177" si="256" xml:space="preserve"> IF(AND(M176 &lt; $F175, N176 &gt;= $F175), 1, 0)</f>
        <v>0</v>
      </c>
      <c r="O177" s="666">
        <f t="shared" ref="O177" si="257" xml:space="preserve"> IF(AND(N176 &lt; $F175, O176 &gt;= $F175), 1, 0)</f>
        <v>1</v>
      </c>
      <c r="P177" s="666">
        <f t="shared" ref="P177" si="258" xml:space="preserve"> IF(AND(O176 &lt; $F175, P176 &gt;= $F175), 1, 0)</f>
        <v>0</v>
      </c>
      <c r="Q177" s="666">
        <f t="shared" ref="Q177" si="259" xml:space="preserve"> IF(AND(P176 &lt; $F175, Q176 &gt;= $F175), 1, 0)</f>
        <v>0</v>
      </c>
      <c r="R177" s="666">
        <f t="shared" ref="R177" si="260" xml:space="preserve"> IF(AND(Q176 &lt; $F175, R176 &gt;= $F175), 1, 0)</f>
        <v>0</v>
      </c>
      <c r="S177" s="666">
        <f t="shared" ref="S177" si="261" xml:space="preserve"> IF(AND(R176 &lt; $F175, S176 &gt;= $F175), 1, 0)</f>
        <v>0</v>
      </c>
      <c r="T177" s="666">
        <f t="shared" ref="T177" si="262" xml:space="preserve"> IF(AND(S176 &lt; $F175, T176 &gt;= $F175), 1, 0)</f>
        <v>0</v>
      </c>
      <c r="U177" s="666">
        <f t="shared" ref="U177" si="263" xml:space="preserve"> IF(AND(T176 &lt; $F175, U176 &gt;= $F175), 1, 0)</f>
        <v>0</v>
      </c>
      <c r="V177" s="666">
        <f t="shared" ref="V177" si="264" xml:space="preserve"> IF(AND(U176 &lt; $F175, V176 &gt;= $F175), 1, 0)</f>
        <v>0</v>
      </c>
      <c r="W177" s="666">
        <f t="shared" ref="W177" si="265" xml:space="preserve"> IF(AND(V176 &lt; $F175, W176 &gt;= $F175), 1, 0)</f>
        <v>0</v>
      </c>
      <c r="X177" s="666">
        <f t="shared" ref="X177" si="266" xml:space="preserve"> IF(AND(W176 &lt; $F175, X176 &gt;= $F175), 1, 0)</f>
        <v>0</v>
      </c>
      <c r="Y177" s="666">
        <f t="shared" ref="Y177" si="267" xml:space="preserve"> IF(AND(X176 &lt; $F175, Y176 &gt;= $F175), 1, 0)</f>
        <v>0</v>
      </c>
      <c r="Z177" s="666">
        <f t="shared" ref="Z177" si="268" xml:space="preserve"> IF(AND(Y176 &lt; $F175, Z176 &gt;= $F175), 1, 0)</f>
        <v>0</v>
      </c>
      <c r="AA177" s="666">
        <f t="shared" ref="AA177" si="269" xml:space="preserve"> IF(AND(Z176 &lt; $F175, AA176 &gt;= $F175), 1, 0)</f>
        <v>0</v>
      </c>
      <c r="AB177" s="666">
        <f t="shared" ref="AB177" si="270" xml:space="preserve"> IF(AND(AA176 &lt; $F175, AB176 &gt;= $F175), 1, 0)</f>
        <v>0</v>
      </c>
      <c r="AC177" s="666">
        <f t="shared" ref="AC177" si="271" xml:space="preserve"> IF(AND(AB176 &lt; $F175, AC176 &gt;= $F175), 1, 0)</f>
        <v>0</v>
      </c>
      <c r="AD177" s="666">
        <f t="shared" ref="AD177" si="272" xml:space="preserve"> IF(AND(AC176 &lt; $F175, AD176 &gt;= $F175), 1, 0)</f>
        <v>0</v>
      </c>
      <c r="AE177" s="666">
        <f t="shared" ref="AE177" si="273" xml:space="preserve"> IF(AND(AD176 &lt; $F175, AE176 &gt;= $F175), 1, 0)</f>
        <v>0</v>
      </c>
      <c r="AF177" s="666">
        <f t="shared" ref="AF177" si="274" xml:space="preserve"> IF(AND(AE176 &lt; $F175, AF176 &gt;= $F175), 1, 0)</f>
        <v>0</v>
      </c>
      <c r="AG177" s="666">
        <f t="shared" ref="AG177" si="275" xml:space="preserve"> IF(AND(AF176 &lt; $F175, AG176 &gt;= $F175), 1, 0)</f>
        <v>0</v>
      </c>
      <c r="AH177" s="666">
        <f t="shared" ref="AH177" si="276" xml:space="preserve"> IF(AND(AG176 &lt; $F175, AH176 &gt;= $F175), 1, 0)</f>
        <v>0</v>
      </c>
      <c r="AI177" s="666">
        <f t="shared" ref="AI177" si="277" xml:space="preserve"> IF(AND(AH176 &lt; $F175, AI176 &gt;= $F175), 1, 0)</f>
        <v>0</v>
      </c>
      <c r="AJ177" s="666">
        <f t="shared" ref="AJ177" si="278" xml:space="preserve"> IF(AND(AI176 &lt; $F175, AJ176 &gt;= $F175), 1, 0)</f>
        <v>0</v>
      </c>
      <c r="AK177" s="666">
        <f t="shared" ref="AK177" si="279" xml:space="preserve"> IF(AND(AJ176 &lt; $F175, AK176 &gt;= $F175), 1, 0)</f>
        <v>0</v>
      </c>
      <c r="AL177" s="666">
        <f t="shared" ref="AL177" si="280" xml:space="preserve"> IF(AND(AK176 &lt; $F175, AL176 &gt;= $F175), 1, 0)</f>
        <v>0</v>
      </c>
      <c r="AM177" s="666">
        <f t="shared" ref="AM177" si="281" xml:space="preserve"> IF(AND(AL176 &lt; $F175, AM176 &gt;= $F175), 1, 0)</f>
        <v>0</v>
      </c>
      <c r="AN177" s="666">
        <f t="shared" ref="AN177" si="282" xml:space="preserve"> IF(AND(AM176 &lt; $F175, AN176 &gt;= $F175), 1, 0)</f>
        <v>0</v>
      </c>
      <c r="AO177" s="666">
        <f t="shared" ref="AO177" si="283" xml:space="preserve"> IF(AND(AN176 &lt; $F175, AO176 &gt;= $F175), 1, 0)</f>
        <v>0</v>
      </c>
      <c r="AP177" s="666">
        <f t="shared" ref="AP177" si="284" xml:space="preserve"> IF(AND(AO176 &lt; $F175, AP176 &gt;= $F175), 1, 0)</f>
        <v>0</v>
      </c>
      <c r="AQ177" s="666">
        <f t="shared" ref="AQ177" si="285" xml:space="preserve"> IF(AND(AP176 &lt; $F175, AQ176 &gt;= $F175), 1, 0)</f>
        <v>0</v>
      </c>
      <c r="AR177" s="666">
        <f t="shared" ref="AR177" si="286" xml:space="preserve"> IF(AND(AQ176 &lt; $F175, AR176 &gt;= $F175), 1, 0)</f>
        <v>0</v>
      </c>
      <c r="AS177" s="666">
        <f t="shared" ref="AS177" si="287" xml:space="preserve"> IF(AND(AR176 &lt; $F175, AS176 &gt;= $F175), 1, 0)</f>
        <v>0</v>
      </c>
      <c r="AT177" s="666">
        <f t="shared" ref="AT177" si="288" xml:space="preserve"> IF(AND(AS176 &lt; $F175, AT176 &gt;= $F175), 1, 0)</f>
        <v>0</v>
      </c>
      <c r="AU177" s="666">
        <f t="shared" ref="AU177" si="289" xml:space="preserve"> IF(AND(AT176 &lt; $F175, AU176 &gt;= $F175), 1, 0)</f>
        <v>0</v>
      </c>
      <c r="AV177" s="666">
        <f t="shared" ref="AV177" si="290" xml:space="preserve"> IF(AND(AU176 &lt; $F175, AV176 &gt;= $F175), 1, 0)</f>
        <v>0</v>
      </c>
      <c r="AW177" s="666">
        <f t="shared" ref="AW177" si="291" xml:space="preserve"> IF(AND(AV176 &lt; $F175, AW176 &gt;= $F175), 1, 0)</f>
        <v>0</v>
      </c>
      <c r="AX177" s="666">
        <f t="shared" ref="AX177" si="292" xml:space="preserve"> IF(AND(AW176 &lt; $F175, AX176 &gt;= $F175), 1, 0)</f>
        <v>0</v>
      </c>
      <c r="AY177" s="666">
        <f t="shared" ref="AY177" si="293" xml:space="preserve"> IF(AND(AX176 &lt; $F175, AY176 &gt;= $F175), 1, 0)</f>
        <v>0</v>
      </c>
      <c r="AZ177" s="666">
        <f t="shared" ref="AZ177" si="294" xml:space="preserve"> IF(AND(AY176 &lt; $F175, AZ176 &gt;= $F175), 1, 0)</f>
        <v>0</v>
      </c>
      <c r="BA177" s="666">
        <f t="shared" ref="BA177" si="295" xml:space="preserve"> IF(AND(AZ176 &lt; $F175, BA176 &gt;= $F175), 1, 0)</f>
        <v>0</v>
      </c>
      <c r="BB177" s="666">
        <f t="shared" ref="BB177" si="296" xml:space="preserve"> IF(AND(BA176 &lt; $F175, BB176 &gt;= $F175), 1, 0)</f>
        <v>0</v>
      </c>
      <c r="BC177" s="666">
        <f t="shared" ref="BC177" si="297" xml:space="preserve"> IF(AND(BB176 &lt; $F175, BC176 &gt;= $F175), 1, 0)</f>
        <v>0</v>
      </c>
      <c r="BD177" s="666">
        <f t="shared" ref="BD177" si="298" xml:space="preserve"> IF(AND(BC176 &lt; $F175, BD176 &gt;= $F175), 1, 0)</f>
        <v>0</v>
      </c>
      <c r="BE177" s="666">
        <f t="shared" ref="BE177" si="299" xml:space="preserve"> IF(AND(BD176 &lt; $F175, BE176 &gt;= $F175), 1, 0)</f>
        <v>0</v>
      </c>
      <c r="BF177" s="666">
        <f t="shared" ref="BF177" si="300" xml:space="preserve"> IF(AND(BE176 &lt; $F175, BF176 &gt;= $F175), 1, 0)</f>
        <v>0</v>
      </c>
      <c r="BG177" s="666">
        <f t="shared" ref="BG177" si="301" xml:space="preserve"> IF(AND(BF176 &lt; $F175, BG176 &gt;= $F175), 1, 0)</f>
        <v>0</v>
      </c>
      <c r="BH177" s="666">
        <f t="shared" ref="BH177" si="302" xml:space="preserve"> IF(AND(BG176 &lt; $F175, BH176 &gt;= $F175), 1, 0)</f>
        <v>0</v>
      </c>
      <c r="BI177" s="666">
        <f t="shared" ref="BI177" si="303" xml:space="preserve"> IF(AND(BH176 &lt; $F175, BI176 &gt;= $F175), 1, 0)</f>
        <v>0</v>
      </c>
      <c r="BJ177" s="666">
        <f t="shared" ref="BJ177" si="304" xml:space="preserve"> IF(AND(BI176 &lt; $F175, BJ176 &gt;= $F175), 1, 0)</f>
        <v>0</v>
      </c>
      <c r="BK177" s="666">
        <f t="shared" ref="BK177" si="305" xml:space="preserve"> IF(AND(BJ176 &lt; $F175, BK176 &gt;= $F175), 1, 0)</f>
        <v>0</v>
      </c>
      <c r="BL177" s="666">
        <f t="shared" ref="BL177" si="306" xml:space="preserve"> IF(AND(BK176 &lt; $F175, BL176 &gt;= $F175), 1, 0)</f>
        <v>0</v>
      </c>
      <c r="BM177" s="666">
        <f t="shared" ref="BM177" si="307" xml:space="preserve"> IF(AND(BL176 &lt; $F175, BM176 &gt;= $F175), 1, 0)</f>
        <v>0</v>
      </c>
      <c r="BN177" s="666">
        <f t="shared" ref="BN177" si="308" xml:space="preserve"> IF(AND(BM176 &lt; $F175, BN176 &gt;= $F175), 1, 0)</f>
        <v>0</v>
      </c>
      <c r="BO177" s="666">
        <f t="shared" ref="BO177" si="309" xml:space="preserve"> IF(AND(BN176 &lt; $F175, BO176 &gt;= $F175), 1, 0)</f>
        <v>0</v>
      </c>
      <c r="BP177" s="666">
        <f t="shared" ref="BP177" si="310" xml:space="preserve"> IF(AND(BO176 &lt; $F175, BP176 &gt;= $F175), 1, 0)</f>
        <v>0</v>
      </c>
      <c r="BQ177" s="666">
        <f t="shared" ref="BQ177" si="311" xml:space="preserve"> IF(AND(BP176 &lt; $F175, BQ176 &gt;= $F175), 1, 0)</f>
        <v>0</v>
      </c>
      <c r="BR177" s="666">
        <f t="shared" ref="BR177" si="312" xml:space="preserve"> IF(AND(BQ176 &lt; $F175, BR176 &gt;= $F175), 1, 0)</f>
        <v>0</v>
      </c>
      <c r="BS177" s="666">
        <f t="shared" ref="BS177" si="313" xml:space="preserve"> IF(AND(BR176 &lt; $F175, BS176 &gt;= $F175), 1, 0)</f>
        <v>0</v>
      </c>
      <c r="BT177" s="666">
        <f t="shared" ref="BT177" si="314" xml:space="preserve"> IF(AND(BS176 &lt; $F175, BT176 &gt;= $F175), 1, 0)</f>
        <v>0</v>
      </c>
      <c r="BU177" s="666">
        <f t="shared" ref="BU177" si="315" xml:space="preserve"> IF(AND(BT176 &lt; $F175, BU176 &gt;= $F175), 1, 0)</f>
        <v>0</v>
      </c>
      <c r="BV177" s="666">
        <f t="shared" ref="BV177" si="316" xml:space="preserve"> IF(AND(BU176 &lt; $F175, BV176 &gt;= $F175), 1, 0)</f>
        <v>0</v>
      </c>
      <c r="BW177" s="666">
        <f t="shared" ref="BW177" si="317" xml:space="preserve"> IF(AND(BV176 &lt; $F175, BW176 &gt;= $F175), 1, 0)</f>
        <v>0</v>
      </c>
      <c r="BX177" s="666">
        <f t="shared" ref="BX177" si="318" xml:space="preserve"> IF(AND(BW176 &lt; $F175, BX176 &gt;= $F175), 1, 0)</f>
        <v>0</v>
      </c>
      <c r="BY177" s="666">
        <f t="shared" ref="BY177" si="319" xml:space="preserve"> IF(AND(BX176 &lt; $F175, BY176 &gt;= $F175), 1, 0)</f>
        <v>0</v>
      </c>
      <c r="BZ177" s="666">
        <f t="shared" ref="BZ177" si="320" xml:space="preserve"> IF(AND(BY176 &lt; $F175, BZ176 &gt;= $F175), 1, 0)</f>
        <v>0</v>
      </c>
      <c r="CA177" s="666">
        <f t="shared" ref="CA177" si="321" xml:space="preserve"> IF(AND(BZ176 &lt; $F175, CA176 &gt;= $F175), 1, 0)</f>
        <v>0</v>
      </c>
      <c r="CB177" s="666">
        <f t="shared" ref="CB177" si="322" xml:space="preserve"> IF(AND(CA176 &lt; $F175, CB176 &gt;= $F175), 1, 0)</f>
        <v>0</v>
      </c>
      <c r="CC177" s="666">
        <f t="shared" ref="CC177" si="323" xml:space="preserve"> IF(AND(CB176 &lt; $F175, CC176 &gt;= $F175), 1, 0)</f>
        <v>0</v>
      </c>
      <c r="CD177" s="666">
        <f t="shared" ref="CD177" si="324" xml:space="preserve"> IF(AND(CC176 &lt; $F175, CD176 &gt;= $F175), 1, 0)</f>
        <v>0</v>
      </c>
      <c r="CE177" s="666">
        <f t="shared" ref="CE177" si="325" xml:space="preserve"> IF(AND(CD176 &lt; $F175, CE176 &gt;= $F175), 1, 0)</f>
        <v>0</v>
      </c>
      <c r="CF177" s="666">
        <f t="shared" ref="CF177" si="326" xml:space="preserve"> IF(AND(CE176 &lt; $F175, CF176 &gt;= $F175), 1, 0)</f>
        <v>0</v>
      </c>
      <c r="CG177" s="666">
        <f t="shared" ref="CG177" si="327" xml:space="preserve"> IF(AND(CF176 &lt; $F175, CG176 &gt;= $F175), 1, 0)</f>
        <v>0</v>
      </c>
      <c r="CH177" s="666">
        <f t="shared" ref="CH177" si="328" xml:space="preserve"> IF(AND(CG176 &lt; $F175, CH176 &gt;= $F175), 1, 0)</f>
        <v>0</v>
      </c>
      <c r="CI177" s="666">
        <f t="shared" ref="CI177" si="329" xml:space="preserve"> IF(AND(CH176 &lt; $F175, CI176 &gt;= $F175), 1, 0)</f>
        <v>0</v>
      </c>
      <c r="CJ177" s="666">
        <f t="shared" ref="CJ177" si="330" xml:space="preserve"> IF(AND(CI176 &lt; $F175, CJ176 &gt;= $F175), 1, 0)</f>
        <v>0</v>
      </c>
      <c r="CK177" s="666">
        <f t="shared" ref="CK177" si="331" xml:space="preserve"> IF(AND(CJ176 &lt; $F175, CK176 &gt;= $F175), 1, 0)</f>
        <v>0</v>
      </c>
      <c r="CL177" s="666">
        <f t="shared" ref="CL177" si="332" xml:space="preserve"> IF(AND(CK176 &lt; $F175, CL176 &gt;= $F175), 1, 0)</f>
        <v>0</v>
      </c>
      <c r="CM177" s="666">
        <f t="shared" ref="CM177" si="333" xml:space="preserve"> IF(AND(CL176 &lt; $F175, CM176 &gt;= $F175), 1, 0)</f>
        <v>0</v>
      </c>
      <c r="CN177" s="666">
        <f t="shared" ref="CN177" si="334" xml:space="preserve"> IF(AND(CM176 &lt; $F175, CN176 &gt;= $F175), 1, 0)</f>
        <v>0</v>
      </c>
      <c r="CO177" s="666">
        <f t="shared" ref="CO177" si="335" xml:space="preserve"> IF(AND(CN176 &lt; $F175, CO176 &gt;= $F175), 1, 0)</f>
        <v>0</v>
      </c>
      <c r="CP177" s="666">
        <f t="shared" ref="CP177" si="336" xml:space="preserve"> IF(AND(CO176 &lt; $F175, CP176 &gt;= $F175), 1, 0)</f>
        <v>0</v>
      </c>
      <c r="CQ177" s="666">
        <f t="shared" ref="CQ177" si="337" xml:space="preserve"> IF(AND(CP176 &lt; $F175, CQ176 &gt;= $F175), 1, 0)</f>
        <v>0</v>
      </c>
      <c r="CR177" s="666">
        <f t="shared" ref="CR177" si="338" xml:space="preserve"> IF(AND(CQ176 &lt; $F175, CR176 &gt;= $F175), 1, 0)</f>
        <v>0</v>
      </c>
      <c r="CS177" s="666">
        <f t="shared" ref="CS177" si="339" xml:space="preserve"> IF(AND(CR176 &lt; $F175, CS176 &gt;= $F175), 1, 0)</f>
        <v>0</v>
      </c>
      <c r="CT177" s="666">
        <f t="shared" ref="CT177" si="340" xml:space="preserve"> IF(AND(CS176 &lt; $F175, CT176 &gt;= $F175), 1, 0)</f>
        <v>0</v>
      </c>
      <c r="CU177" s="666">
        <f t="shared" ref="CU177" si="341" xml:space="preserve"> IF(AND(CT176 &lt; $F175, CU176 &gt;= $F175), 1, 0)</f>
        <v>0</v>
      </c>
      <c r="CV177" s="666">
        <f t="shared" ref="CV177" si="342" xml:space="preserve"> IF(AND(CU176 &lt; $F175, CV176 &gt;= $F175), 1, 0)</f>
        <v>0</v>
      </c>
    </row>
    <row r="178" spans="1:100" outlineLevel="2" x14ac:dyDescent="0.2">
      <c r="A178" s="522"/>
      <c r="B178" s="522"/>
      <c r="C178" s="523"/>
      <c r="D178" s="524"/>
      <c r="E178" s="664"/>
      <c r="F178" s="664"/>
      <c r="G178" s="664"/>
      <c r="H178" s="664"/>
      <c r="I178" s="665"/>
      <c r="J178" s="664"/>
      <c r="K178" s="664"/>
      <c r="L178" s="664"/>
      <c r="M178" s="664"/>
      <c r="N178" s="664"/>
      <c r="O178" s="664"/>
      <c r="P178" s="664"/>
      <c r="Q178" s="664"/>
      <c r="R178" s="664"/>
      <c r="S178" s="664"/>
      <c r="T178" s="664"/>
      <c r="U178" s="664"/>
      <c r="V178" s="664"/>
      <c r="W178" s="664"/>
      <c r="X178" s="664"/>
      <c r="Y178" s="664"/>
      <c r="Z178" s="664"/>
      <c r="AA178" s="664"/>
      <c r="AB178" s="664"/>
      <c r="AC178" s="664"/>
      <c r="AD178" s="664"/>
      <c r="AE178" s="664"/>
      <c r="AF178" s="664"/>
      <c r="AG178" s="664"/>
      <c r="AH178" s="664"/>
      <c r="AI178" s="664"/>
      <c r="AJ178" s="664"/>
      <c r="AK178" s="664"/>
      <c r="AL178" s="664"/>
      <c r="AM178" s="664"/>
      <c r="AN178" s="664"/>
      <c r="AO178" s="664"/>
      <c r="AP178" s="664"/>
      <c r="AQ178" s="664"/>
      <c r="AR178" s="664"/>
      <c r="AS178" s="664"/>
      <c r="AT178" s="664"/>
      <c r="AU178" s="664"/>
      <c r="AV178" s="664"/>
      <c r="AW178" s="664"/>
      <c r="AX178" s="664"/>
      <c r="AY178" s="664"/>
      <c r="AZ178" s="664"/>
      <c r="BA178" s="664"/>
      <c r="BB178" s="664"/>
      <c r="BC178" s="664"/>
      <c r="BD178" s="664"/>
      <c r="BE178" s="664"/>
      <c r="BF178" s="664"/>
      <c r="BG178" s="664"/>
      <c r="BH178" s="664"/>
      <c r="BI178" s="664"/>
      <c r="BJ178" s="664"/>
      <c r="BK178" s="664"/>
      <c r="BL178" s="664"/>
      <c r="BM178" s="664"/>
      <c r="BN178" s="664"/>
      <c r="BO178" s="664"/>
      <c r="BP178" s="664"/>
      <c r="BQ178" s="664"/>
      <c r="BR178" s="664"/>
      <c r="BS178" s="664"/>
      <c r="BT178" s="664"/>
      <c r="BU178" s="664"/>
      <c r="BV178" s="664"/>
      <c r="BW178" s="664"/>
      <c r="BX178" s="664"/>
      <c r="BY178" s="664"/>
      <c r="BZ178" s="664"/>
      <c r="CA178" s="664"/>
      <c r="CB178" s="664"/>
      <c r="CC178" s="664"/>
      <c r="CD178" s="664"/>
      <c r="CE178" s="664"/>
      <c r="CF178" s="664"/>
      <c r="CG178" s="664"/>
      <c r="CH178" s="664"/>
      <c r="CI178" s="664"/>
      <c r="CJ178" s="664"/>
      <c r="CK178" s="664"/>
      <c r="CL178" s="664"/>
      <c r="CM178" s="664"/>
      <c r="CN178" s="664"/>
      <c r="CO178" s="664"/>
      <c r="CP178" s="664"/>
      <c r="CQ178" s="664"/>
      <c r="CR178" s="664"/>
      <c r="CS178" s="664"/>
      <c r="CT178" s="664"/>
      <c r="CU178" s="664"/>
      <c r="CV178" s="664"/>
    </row>
    <row r="179" spans="1:100" outlineLevel="2" x14ac:dyDescent="0.2">
      <c r="A179" s="54"/>
      <c r="B179" s="54"/>
      <c r="C179" s="57"/>
      <c r="D179" s="69"/>
      <c r="E179" s="26" t="str">
        <f t="shared" ref="E179:G179" si="343" xml:space="preserve"> E$173</f>
        <v>Senior debt service end date - T2</v>
      </c>
      <c r="F179" s="26">
        <f t="shared" si="343"/>
        <v>50951</v>
      </c>
      <c r="G179" s="26" t="str">
        <f t="shared" si="343"/>
        <v>date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</row>
    <row r="180" spans="1:100" outlineLevel="2" x14ac:dyDescent="0.2">
      <c r="A180" s="49"/>
      <c r="B180" s="522"/>
      <c r="C180" s="50"/>
      <c r="D180" s="51"/>
      <c r="E180" s="11" t="str">
        <f t="shared" ref="E180:BP180" si="344" xml:space="preserve"> E$25</f>
        <v>Model period ending</v>
      </c>
      <c r="F180" s="11">
        <f t="shared" si="344"/>
        <v>0</v>
      </c>
      <c r="G180" s="11" t="str">
        <f t="shared" si="344"/>
        <v>date</v>
      </c>
      <c r="H180" s="11">
        <f t="shared" si="344"/>
        <v>0</v>
      </c>
      <c r="I180" s="136">
        <f t="shared" si="344"/>
        <v>0</v>
      </c>
      <c r="J180" s="11">
        <f t="shared" si="344"/>
        <v>44742</v>
      </c>
      <c r="K180" s="11">
        <f t="shared" si="344"/>
        <v>44926</v>
      </c>
      <c r="L180" s="11">
        <f t="shared" si="344"/>
        <v>45107</v>
      </c>
      <c r="M180" s="11">
        <f t="shared" si="344"/>
        <v>45291</v>
      </c>
      <c r="N180" s="11">
        <f t="shared" si="344"/>
        <v>45473</v>
      </c>
      <c r="O180" s="11">
        <f t="shared" si="344"/>
        <v>45657</v>
      </c>
      <c r="P180" s="11">
        <f t="shared" si="344"/>
        <v>45838</v>
      </c>
      <c r="Q180" s="11">
        <f t="shared" si="344"/>
        <v>46022</v>
      </c>
      <c r="R180" s="11">
        <f t="shared" si="344"/>
        <v>46203</v>
      </c>
      <c r="S180" s="11">
        <f t="shared" si="344"/>
        <v>46387</v>
      </c>
      <c r="T180" s="11">
        <f t="shared" si="344"/>
        <v>46568</v>
      </c>
      <c r="U180" s="11">
        <f t="shared" si="344"/>
        <v>46752</v>
      </c>
      <c r="V180" s="11">
        <f t="shared" si="344"/>
        <v>46934</v>
      </c>
      <c r="W180" s="11">
        <f t="shared" si="344"/>
        <v>47118</v>
      </c>
      <c r="X180" s="11">
        <f t="shared" si="344"/>
        <v>47299</v>
      </c>
      <c r="Y180" s="11">
        <f t="shared" si="344"/>
        <v>47483</v>
      </c>
      <c r="Z180" s="11">
        <f t="shared" si="344"/>
        <v>47664</v>
      </c>
      <c r="AA180" s="11">
        <f t="shared" si="344"/>
        <v>47848</v>
      </c>
      <c r="AB180" s="11">
        <f t="shared" si="344"/>
        <v>48029</v>
      </c>
      <c r="AC180" s="11">
        <f t="shared" si="344"/>
        <v>48213</v>
      </c>
      <c r="AD180" s="11">
        <f t="shared" si="344"/>
        <v>48395</v>
      </c>
      <c r="AE180" s="11">
        <f t="shared" si="344"/>
        <v>48579</v>
      </c>
      <c r="AF180" s="11">
        <f t="shared" si="344"/>
        <v>48760</v>
      </c>
      <c r="AG180" s="11">
        <f t="shared" si="344"/>
        <v>48944</v>
      </c>
      <c r="AH180" s="11">
        <f t="shared" si="344"/>
        <v>49125</v>
      </c>
      <c r="AI180" s="11">
        <f t="shared" si="344"/>
        <v>49309</v>
      </c>
      <c r="AJ180" s="11">
        <f t="shared" si="344"/>
        <v>49490</v>
      </c>
      <c r="AK180" s="11">
        <f t="shared" si="344"/>
        <v>49674</v>
      </c>
      <c r="AL180" s="11">
        <f t="shared" si="344"/>
        <v>49856</v>
      </c>
      <c r="AM180" s="11">
        <f t="shared" si="344"/>
        <v>50040</v>
      </c>
      <c r="AN180" s="11">
        <f t="shared" si="344"/>
        <v>50221</v>
      </c>
      <c r="AO180" s="11">
        <f t="shared" si="344"/>
        <v>50405</v>
      </c>
      <c r="AP180" s="11">
        <f t="shared" si="344"/>
        <v>50586</v>
      </c>
      <c r="AQ180" s="11">
        <f t="shared" si="344"/>
        <v>50770</v>
      </c>
      <c r="AR180" s="11">
        <f t="shared" si="344"/>
        <v>50951</v>
      </c>
      <c r="AS180" s="11">
        <f t="shared" si="344"/>
        <v>51135</v>
      </c>
      <c r="AT180" s="11">
        <f t="shared" si="344"/>
        <v>51317</v>
      </c>
      <c r="AU180" s="11">
        <f t="shared" si="344"/>
        <v>51501</v>
      </c>
      <c r="AV180" s="11">
        <f t="shared" si="344"/>
        <v>51682</v>
      </c>
      <c r="AW180" s="11">
        <f t="shared" si="344"/>
        <v>51866</v>
      </c>
      <c r="AX180" s="11">
        <f t="shared" si="344"/>
        <v>52047</v>
      </c>
      <c r="AY180" s="11">
        <f t="shared" si="344"/>
        <v>52231</v>
      </c>
      <c r="AZ180" s="11">
        <f t="shared" si="344"/>
        <v>52412</v>
      </c>
      <c r="BA180" s="11">
        <f t="shared" si="344"/>
        <v>52596</v>
      </c>
      <c r="BB180" s="11">
        <f t="shared" si="344"/>
        <v>52778</v>
      </c>
      <c r="BC180" s="11">
        <f t="shared" si="344"/>
        <v>52962</v>
      </c>
      <c r="BD180" s="11">
        <f t="shared" si="344"/>
        <v>53143</v>
      </c>
      <c r="BE180" s="11">
        <f t="shared" si="344"/>
        <v>53327</v>
      </c>
      <c r="BF180" s="11">
        <f t="shared" si="344"/>
        <v>53508</v>
      </c>
      <c r="BG180" s="11">
        <f t="shared" si="344"/>
        <v>53692</v>
      </c>
      <c r="BH180" s="11">
        <f t="shared" si="344"/>
        <v>53873</v>
      </c>
      <c r="BI180" s="11">
        <f t="shared" si="344"/>
        <v>54057</v>
      </c>
      <c r="BJ180" s="11">
        <f t="shared" si="344"/>
        <v>54239</v>
      </c>
      <c r="BK180" s="11">
        <f t="shared" si="344"/>
        <v>54423</v>
      </c>
      <c r="BL180" s="11">
        <f t="shared" si="344"/>
        <v>54604</v>
      </c>
      <c r="BM180" s="11">
        <f t="shared" si="344"/>
        <v>54788</v>
      </c>
      <c r="BN180" s="11">
        <f t="shared" si="344"/>
        <v>54969</v>
      </c>
      <c r="BO180" s="11">
        <f t="shared" si="344"/>
        <v>55153</v>
      </c>
      <c r="BP180" s="11">
        <f t="shared" si="344"/>
        <v>55334</v>
      </c>
      <c r="BQ180" s="11">
        <f t="shared" ref="BQ180:CV180" si="345" xml:space="preserve"> BQ$25</f>
        <v>55518</v>
      </c>
      <c r="BR180" s="11">
        <f t="shared" si="345"/>
        <v>55700</v>
      </c>
      <c r="BS180" s="11">
        <f t="shared" si="345"/>
        <v>55884</v>
      </c>
      <c r="BT180" s="11">
        <f t="shared" si="345"/>
        <v>56065</v>
      </c>
      <c r="BU180" s="11">
        <f t="shared" si="345"/>
        <v>56249</v>
      </c>
      <c r="BV180" s="11">
        <f t="shared" si="345"/>
        <v>56430</v>
      </c>
      <c r="BW180" s="11">
        <f t="shared" si="345"/>
        <v>56614</v>
      </c>
      <c r="BX180" s="11">
        <f t="shared" si="345"/>
        <v>56795</v>
      </c>
      <c r="BY180" s="11">
        <f t="shared" si="345"/>
        <v>56979</v>
      </c>
      <c r="BZ180" s="11">
        <f t="shared" si="345"/>
        <v>57161</v>
      </c>
      <c r="CA180" s="11">
        <f t="shared" si="345"/>
        <v>57345</v>
      </c>
      <c r="CB180" s="11">
        <f t="shared" si="345"/>
        <v>57526</v>
      </c>
      <c r="CC180" s="11">
        <f t="shared" si="345"/>
        <v>57710</v>
      </c>
      <c r="CD180" s="11">
        <f t="shared" si="345"/>
        <v>57891</v>
      </c>
      <c r="CE180" s="11">
        <f t="shared" si="345"/>
        <v>58075</v>
      </c>
      <c r="CF180" s="11">
        <f t="shared" si="345"/>
        <v>58256</v>
      </c>
      <c r="CG180" s="11">
        <f t="shared" si="345"/>
        <v>58440</v>
      </c>
      <c r="CH180" s="11">
        <f t="shared" si="345"/>
        <v>58622</v>
      </c>
      <c r="CI180" s="11">
        <f t="shared" si="345"/>
        <v>58806</v>
      </c>
      <c r="CJ180" s="11">
        <f t="shared" si="345"/>
        <v>58987</v>
      </c>
      <c r="CK180" s="11">
        <f t="shared" si="345"/>
        <v>59171</v>
      </c>
      <c r="CL180" s="11">
        <f t="shared" si="345"/>
        <v>59352</v>
      </c>
      <c r="CM180" s="11">
        <f t="shared" si="345"/>
        <v>59536</v>
      </c>
      <c r="CN180" s="11">
        <f t="shared" si="345"/>
        <v>59717</v>
      </c>
      <c r="CO180" s="11">
        <f t="shared" si="345"/>
        <v>59901</v>
      </c>
      <c r="CP180" s="11">
        <f t="shared" si="345"/>
        <v>60083</v>
      </c>
      <c r="CQ180" s="11">
        <f t="shared" si="345"/>
        <v>60267</v>
      </c>
      <c r="CR180" s="11">
        <f t="shared" si="345"/>
        <v>60448</v>
      </c>
      <c r="CS180" s="11">
        <f t="shared" si="345"/>
        <v>60632</v>
      </c>
      <c r="CT180" s="11">
        <f t="shared" si="345"/>
        <v>60813</v>
      </c>
      <c r="CU180" s="11">
        <f t="shared" si="345"/>
        <v>60997</v>
      </c>
      <c r="CV180" s="11">
        <f t="shared" si="345"/>
        <v>61178</v>
      </c>
    </row>
    <row r="181" spans="1:100" s="191" customFormat="1" outlineLevel="2" x14ac:dyDescent="0.2">
      <c r="A181" s="429"/>
      <c r="B181" s="429"/>
      <c r="C181" s="430"/>
      <c r="D181" s="190"/>
      <c r="E181" s="191" t="s">
        <v>961</v>
      </c>
      <c r="G181" s="191" t="s">
        <v>5</v>
      </c>
      <c r="H181" s="191">
        <f xml:space="preserve"> SUM(J181:CV181)</f>
        <v>1</v>
      </c>
      <c r="I181" s="192"/>
      <c r="J181" s="666">
        <f t="shared" ref="J181" si="346" xml:space="preserve"> IF(AND(I180 &lt; $F179, J180 &gt;= $F179), 1, 0)</f>
        <v>0</v>
      </c>
      <c r="K181" s="666">
        <f t="shared" ref="K181" si="347" xml:space="preserve"> IF(AND(J180 &lt; $F179, K180 &gt;= $F179), 1, 0)</f>
        <v>0</v>
      </c>
      <c r="L181" s="666">
        <f t="shared" ref="L181" si="348" xml:space="preserve"> IF(AND(K180 &lt; $F179, L180 &gt;= $F179), 1, 0)</f>
        <v>0</v>
      </c>
      <c r="M181" s="666">
        <f t="shared" ref="M181" si="349" xml:space="preserve"> IF(AND(L180 &lt; $F179, M180 &gt;= $F179), 1, 0)</f>
        <v>0</v>
      </c>
      <c r="N181" s="666">
        <f t="shared" ref="N181" si="350" xml:space="preserve"> IF(AND(M180 &lt; $F179, N180 &gt;= $F179), 1, 0)</f>
        <v>0</v>
      </c>
      <c r="O181" s="666">
        <f t="shared" ref="O181" si="351" xml:space="preserve"> IF(AND(N180 &lt; $F179, O180 &gt;= $F179), 1, 0)</f>
        <v>0</v>
      </c>
      <c r="P181" s="666">
        <f t="shared" ref="P181" si="352" xml:space="preserve"> IF(AND(O180 &lt; $F179, P180 &gt;= $F179), 1, 0)</f>
        <v>0</v>
      </c>
      <c r="Q181" s="666">
        <f t="shared" ref="Q181" si="353" xml:space="preserve"> IF(AND(P180 &lt; $F179, Q180 &gt;= $F179), 1, 0)</f>
        <v>0</v>
      </c>
      <c r="R181" s="666">
        <f t="shared" ref="R181" si="354" xml:space="preserve"> IF(AND(Q180 &lt; $F179, R180 &gt;= $F179), 1, 0)</f>
        <v>0</v>
      </c>
      <c r="S181" s="666">
        <f t="shared" ref="S181" si="355" xml:space="preserve"> IF(AND(R180 &lt; $F179, S180 &gt;= $F179), 1, 0)</f>
        <v>0</v>
      </c>
      <c r="T181" s="666">
        <f t="shared" ref="T181" si="356" xml:space="preserve"> IF(AND(S180 &lt; $F179, T180 &gt;= $F179), 1, 0)</f>
        <v>0</v>
      </c>
      <c r="U181" s="666">
        <f t="shared" ref="U181" si="357" xml:space="preserve"> IF(AND(T180 &lt; $F179, U180 &gt;= $F179), 1, 0)</f>
        <v>0</v>
      </c>
      <c r="V181" s="666">
        <f t="shared" ref="V181" si="358" xml:space="preserve"> IF(AND(U180 &lt; $F179, V180 &gt;= $F179), 1, 0)</f>
        <v>0</v>
      </c>
      <c r="W181" s="666">
        <f t="shared" ref="W181" si="359" xml:space="preserve"> IF(AND(V180 &lt; $F179, W180 &gt;= $F179), 1, 0)</f>
        <v>0</v>
      </c>
      <c r="X181" s="666">
        <f t="shared" ref="X181" si="360" xml:space="preserve"> IF(AND(W180 &lt; $F179, X180 &gt;= $F179), 1, 0)</f>
        <v>0</v>
      </c>
      <c r="Y181" s="666">
        <f t="shared" ref="Y181" si="361" xml:space="preserve"> IF(AND(X180 &lt; $F179, Y180 &gt;= $F179), 1, 0)</f>
        <v>0</v>
      </c>
      <c r="Z181" s="666">
        <f t="shared" ref="Z181" si="362" xml:space="preserve"> IF(AND(Y180 &lt; $F179, Z180 &gt;= $F179), 1, 0)</f>
        <v>0</v>
      </c>
      <c r="AA181" s="666">
        <f t="shared" ref="AA181" si="363" xml:space="preserve"> IF(AND(Z180 &lt; $F179, AA180 &gt;= $F179), 1, 0)</f>
        <v>0</v>
      </c>
      <c r="AB181" s="666">
        <f t="shared" ref="AB181" si="364" xml:space="preserve"> IF(AND(AA180 &lt; $F179, AB180 &gt;= $F179), 1, 0)</f>
        <v>0</v>
      </c>
      <c r="AC181" s="666">
        <f t="shared" ref="AC181" si="365" xml:space="preserve"> IF(AND(AB180 &lt; $F179, AC180 &gt;= $F179), 1, 0)</f>
        <v>0</v>
      </c>
      <c r="AD181" s="666">
        <f t="shared" ref="AD181" si="366" xml:space="preserve"> IF(AND(AC180 &lt; $F179, AD180 &gt;= $F179), 1, 0)</f>
        <v>0</v>
      </c>
      <c r="AE181" s="666">
        <f t="shared" ref="AE181" si="367" xml:space="preserve"> IF(AND(AD180 &lt; $F179, AE180 &gt;= $F179), 1, 0)</f>
        <v>0</v>
      </c>
      <c r="AF181" s="666">
        <f t="shared" ref="AF181" si="368" xml:space="preserve"> IF(AND(AE180 &lt; $F179, AF180 &gt;= $F179), 1, 0)</f>
        <v>0</v>
      </c>
      <c r="AG181" s="666">
        <f t="shared" ref="AG181" si="369" xml:space="preserve"> IF(AND(AF180 &lt; $F179, AG180 &gt;= $F179), 1, 0)</f>
        <v>0</v>
      </c>
      <c r="AH181" s="666">
        <f t="shared" ref="AH181" si="370" xml:space="preserve"> IF(AND(AG180 &lt; $F179, AH180 &gt;= $F179), 1, 0)</f>
        <v>0</v>
      </c>
      <c r="AI181" s="666">
        <f t="shared" ref="AI181" si="371" xml:space="preserve"> IF(AND(AH180 &lt; $F179, AI180 &gt;= $F179), 1, 0)</f>
        <v>0</v>
      </c>
      <c r="AJ181" s="666">
        <f t="shared" ref="AJ181" si="372" xml:space="preserve"> IF(AND(AI180 &lt; $F179, AJ180 &gt;= $F179), 1, 0)</f>
        <v>0</v>
      </c>
      <c r="AK181" s="666">
        <f t="shared" ref="AK181" si="373" xml:space="preserve"> IF(AND(AJ180 &lt; $F179, AK180 &gt;= $F179), 1, 0)</f>
        <v>0</v>
      </c>
      <c r="AL181" s="666">
        <f t="shared" ref="AL181" si="374" xml:space="preserve"> IF(AND(AK180 &lt; $F179, AL180 &gt;= $F179), 1, 0)</f>
        <v>0</v>
      </c>
      <c r="AM181" s="666">
        <f t="shared" ref="AM181" si="375" xml:space="preserve"> IF(AND(AL180 &lt; $F179, AM180 &gt;= $F179), 1, 0)</f>
        <v>0</v>
      </c>
      <c r="AN181" s="666">
        <f t="shared" ref="AN181" si="376" xml:space="preserve"> IF(AND(AM180 &lt; $F179, AN180 &gt;= $F179), 1, 0)</f>
        <v>0</v>
      </c>
      <c r="AO181" s="666">
        <f t="shared" ref="AO181" si="377" xml:space="preserve"> IF(AND(AN180 &lt; $F179, AO180 &gt;= $F179), 1, 0)</f>
        <v>0</v>
      </c>
      <c r="AP181" s="666">
        <f t="shared" ref="AP181" si="378" xml:space="preserve"> IF(AND(AO180 &lt; $F179, AP180 &gt;= $F179), 1, 0)</f>
        <v>0</v>
      </c>
      <c r="AQ181" s="666">
        <f t="shared" ref="AQ181" si="379" xml:space="preserve"> IF(AND(AP180 &lt; $F179, AQ180 &gt;= $F179), 1, 0)</f>
        <v>0</v>
      </c>
      <c r="AR181" s="666">
        <f t="shared" ref="AR181" si="380" xml:space="preserve"> IF(AND(AQ180 &lt; $F179, AR180 &gt;= $F179), 1, 0)</f>
        <v>1</v>
      </c>
      <c r="AS181" s="666">
        <f t="shared" ref="AS181" si="381" xml:space="preserve"> IF(AND(AR180 &lt; $F179, AS180 &gt;= $F179), 1, 0)</f>
        <v>0</v>
      </c>
      <c r="AT181" s="666">
        <f t="shared" ref="AT181" si="382" xml:space="preserve"> IF(AND(AS180 &lt; $F179, AT180 &gt;= $F179), 1, 0)</f>
        <v>0</v>
      </c>
      <c r="AU181" s="666">
        <f t="shared" ref="AU181" si="383" xml:space="preserve"> IF(AND(AT180 &lt; $F179, AU180 &gt;= $F179), 1, 0)</f>
        <v>0</v>
      </c>
      <c r="AV181" s="666">
        <f t="shared" ref="AV181" si="384" xml:space="preserve"> IF(AND(AU180 &lt; $F179, AV180 &gt;= $F179), 1, 0)</f>
        <v>0</v>
      </c>
      <c r="AW181" s="666">
        <f t="shared" ref="AW181" si="385" xml:space="preserve"> IF(AND(AV180 &lt; $F179, AW180 &gt;= $F179), 1, 0)</f>
        <v>0</v>
      </c>
      <c r="AX181" s="666">
        <f t="shared" ref="AX181" si="386" xml:space="preserve"> IF(AND(AW180 &lt; $F179, AX180 &gt;= $F179), 1, 0)</f>
        <v>0</v>
      </c>
      <c r="AY181" s="666">
        <f t="shared" ref="AY181" si="387" xml:space="preserve"> IF(AND(AX180 &lt; $F179, AY180 &gt;= $F179), 1, 0)</f>
        <v>0</v>
      </c>
      <c r="AZ181" s="666">
        <f t="shared" ref="AZ181" si="388" xml:space="preserve"> IF(AND(AY180 &lt; $F179, AZ180 &gt;= $F179), 1, 0)</f>
        <v>0</v>
      </c>
      <c r="BA181" s="666">
        <f t="shared" ref="BA181" si="389" xml:space="preserve"> IF(AND(AZ180 &lt; $F179, BA180 &gt;= $F179), 1, 0)</f>
        <v>0</v>
      </c>
      <c r="BB181" s="666">
        <f t="shared" ref="BB181" si="390" xml:space="preserve"> IF(AND(BA180 &lt; $F179, BB180 &gt;= $F179), 1, 0)</f>
        <v>0</v>
      </c>
      <c r="BC181" s="666">
        <f t="shared" ref="BC181" si="391" xml:space="preserve"> IF(AND(BB180 &lt; $F179, BC180 &gt;= $F179), 1, 0)</f>
        <v>0</v>
      </c>
      <c r="BD181" s="666">
        <f t="shared" ref="BD181" si="392" xml:space="preserve"> IF(AND(BC180 &lt; $F179, BD180 &gt;= $F179), 1, 0)</f>
        <v>0</v>
      </c>
      <c r="BE181" s="666">
        <f t="shared" ref="BE181" si="393" xml:space="preserve"> IF(AND(BD180 &lt; $F179, BE180 &gt;= $F179), 1, 0)</f>
        <v>0</v>
      </c>
      <c r="BF181" s="666">
        <f t="shared" ref="BF181" si="394" xml:space="preserve"> IF(AND(BE180 &lt; $F179, BF180 &gt;= $F179), 1, 0)</f>
        <v>0</v>
      </c>
      <c r="BG181" s="666">
        <f t="shared" ref="BG181" si="395" xml:space="preserve"> IF(AND(BF180 &lt; $F179, BG180 &gt;= $F179), 1, 0)</f>
        <v>0</v>
      </c>
      <c r="BH181" s="666">
        <f t="shared" ref="BH181" si="396" xml:space="preserve"> IF(AND(BG180 &lt; $F179, BH180 &gt;= $F179), 1, 0)</f>
        <v>0</v>
      </c>
      <c r="BI181" s="666">
        <f t="shared" ref="BI181" si="397" xml:space="preserve"> IF(AND(BH180 &lt; $F179, BI180 &gt;= $F179), 1, 0)</f>
        <v>0</v>
      </c>
      <c r="BJ181" s="666">
        <f t="shared" ref="BJ181" si="398" xml:space="preserve"> IF(AND(BI180 &lt; $F179, BJ180 &gt;= $F179), 1, 0)</f>
        <v>0</v>
      </c>
      <c r="BK181" s="666">
        <f t="shared" ref="BK181" si="399" xml:space="preserve"> IF(AND(BJ180 &lt; $F179, BK180 &gt;= $F179), 1, 0)</f>
        <v>0</v>
      </c>
      <c r="BL181" s="666">
        <f t="shared" ref="BL181" si="400" xml:space="preserve"> IF(AND(BK180 &lt; $F179, BL180 &gt;= $F179), 1, 0)</f>
        <v>0</v>
      </c>
      <c r="BM181" s="666">
        <f t="shared" ref="BM181" si="401" xml:space="preserve"> IF(AND(BL180 &lt; $F179, BM180 &gt;= $F179), 1, 0)</f>
        <v>0</v>
      </c>
      <c r="BN181" s="666">
        <f t="shared" ref="BN181" si="402" xml:space="preserve"> IF(AND(BM180 &lt; $F179, BN180 &gt;= $F179), 1, 0)</f>
        <v>0</v>
      </c>
      <c r="BO181" s="666">
        <f t="shared" ref="BO181" si="403" xml:space="preserve"> IF(AND(BN180 &lt; $F179, BO180 &gt;= $F179), 1, 0)</f>
        <v>0</v>
      </c>
      <c r="BP181" s="666">
        <f t="shared" ref="BP181" si="404" xml:space="preserve"> IF(AND(BO180 &lt; $F179, BP180 &gt;= $F179), 1, 0)</f>
        <v>0</v>
      </c>
      <c r="BQ181" s="666">
        <f t="shared" ref="BQ181" si="405" xml:space="preserve"> IF(AND(BP180 &lt; $F179, BQ180 &gt;= $F179), 1, 0)</f>
        <v>0</v>
      </c>
      <c r="BR181" s="666">
        <f t="shared" ref="BR181" si="406" xml:space="preserve"> IF(AND(BQ180 &lt; $F179, BR180 &gt;= $F179), 1, 0)</f>
        <v>0</v>
      </c>
      <c r="BS181" s="666">
        <f t="shared" ref="BS181" si="407" xml:space="preserve"> IF(AND(BR180 &lt; $F179, BS180 &gt;= $F179), 1, 0)</f>
        <v>0</v>
      </c>
      <c r="BT181" s="666">
        <f t="shared" ref="BT181" si="408" xml:space="preserve"> IF(AND(BS180 &lt; $F179, BT180 &gt;= $F179), 1, 0)</f>
        <v>0</v>
      </c>
      <c r="BU181" s="666">
        <f t="shared" ref="BU181" si="409" xml:space="preserve"> IF(AND(BT180 &lt; $F179, BU180 &gt;= $F179), 1, 0)</f>
        <v>0</v>
      </c>
      <c r="BV181" s="666">
        <f t="shared" ref="BV181" si="410" xml:space="preserve"> IF(AND(BU180 &lt; $F179, BV180 &gt;= $F179), 1, 0)</f>
        <v>0</v>
      </c>
      <c r="BW181" s="666">
        <f t="shared" ref="BW181" si="411" xml:space="preserve"> IF(AND(BV180 &lt; $F179, BW180 &gt;= $F179), 1, 0)</f>
        <v>0</v>
      </c>
      <c r="BX181" s="666">
        <f t="shared" ref="BX181" si="412" xml:space="preserve"> IF(AND(BW180 &lt; $F179, BX180 &gt;= $F179), 1, 0)</f>
        <v>0</v>
      </c>
      <c r="BY181" s="666">
        <f t="shared" ref="BY181" si="413" xml:space="preserve"> IF(AND(BX180 &lt; $F179, BY180 &gt;= $F179), 1, 0)</f>
        <v>0</v>
      </c>
      <c r="BZ181" s="666">
        <f t="shared" ref="BZ181" si="414" xml:space="preserve"> IF(AND(BY180 &lt; $F179, BZ180 &gt;= $F179), 1, 0)</f>
        <v>0</v>
      </c>
      <c r="CA181" s="666">
        <f t="shared" ref="CA181" si="415" xml:space="preserve"> IF(AND(BZ180 &lt; $F179, CA180 &gt;= $F179), 1, 0)</f>
        <v>0</v>
      </c>
      <c r="CB181" s="666">
        <f t="shared" ref="CB181" si="416" xml:space="preserve"> IF(AND(CA180 &lt; $F179, CB180 &gt;= $F179), 1, 0)</f>
        <v>0</v>
      </c>
      <c r="CC181" s="666">
        <f t="shared" ref="CC181" si="417" xml:space="preserve"> IF(AND(CB180 &lt; $F179, CC180 &gt;= $F179), 1, 0)</f>
        <v>0</v>
      </c>
      <c r="CD181" s="666">
        <f t="shared" ref="CD181" si="418" xml:space="preserve"> IF(AND(CC180 &lt; $F179, CD180 &gt;= $F179), 1, 0)</f>
        <v>0</v>
      </c>
      <c r="CE181" s="666">
        <f t="shared" ref="CE181" si="419" xml:space="preserve"> IF(AND(CD180 &lt; $F179, CE180 &gt;= $F179), 1, 0)</f>
        <v>0</v>
      </c>
      <c r="CF181" s="666">
        <f t="shared" ref="CF181" si="420" xml:space="preserve"> IF(AND(CE180 &lt; $F179, CF180 &gt;= $F179), 1, 0)</f>
        <v>0</v>
      </c>
      <c r="CG181" s="666">
        <f t="shared" ref="CG181" si="421" xml:space="preserve"> IF(AND(CF180 &lt; $F179, CG180 &gt;= $F179), 1, 0)</f>
        <v>0</v>
      </c>
      <c r="CH181" s="666">
        <f t="shared" ref="CH181" si="422" xml:space="preserve"> IF(AND(CG180 &lt; $F179, CH180 &gt;= $F179), 1, 0)</f>
        <v>0</v>
      </c>
      <c r="CI181" s="666">
        <f t="shared" ref="CI181" si="423" xml:space="preserve"> IF(AND(CH180 &lt; $F179, CI180 &gt;= $F179), 1, 0)</f>
        <v>0</v>
      </c>
      <c r="CJ181" s="666">
        <f t="shared" ref="CJ181" si="424" xml:space="preserve"> IF(AND(CI180 &lt; $F179, CJ180 &gt;= $F179), 1, 0)</f>
        <v>0</v>
      </c>
      <c r="CK181" s="666">
        <f t="shared" ref="CK181" si="425" xml:space="preserve"> IF(AND(CJ180 &lt; $F179, CK180 &gt;= $F179), 1, 0)</f>
        <v>0</v>
      </c>
      <c r="CL181" s="666">
        <f t="shared" ref="CL181" si="426" xml:space="preserve"> IF(AND(CK180 &lt; $F179, CL180 &gt;= $F179), 1, 0)</f>
        <v>0</v>
      </c>
      <c r="CM181" s="666">
        <f t="shared" ref="CM181" si="427" xml:space="preserve"> IF(AND(CL180 &lt; $F179, CM180 &gt;= $F179), 1, 0)</f>
        <v>0</v>
      </c>
      <c r="CN181" s="666">
        <f t="shared" ref="CN181" si="428" xml:space="preserve"> IF(AND(CM180 &lt; $F179, CN180 &gt;= $F179), 1, 0)</f>
        <v>0</v>
      </c>
      <c r="CO181" s="666">
        <f t="shared" ref="CO181" si="429" xml:space="preserve"> IF(AND(CN180 &lt; $F179, CO180 &gt;= $F179), 1, 0)</f>
        <v>0</v>
      </c>
      <c r="CP181" s="666">
        <f t="shared" ref="CP181" si="430" xml:space="preserve"> IF(AND(CO180 &lt; $F179, CP180 &gt;= $F179), 1, 0)</f>
        <v>0</v>
      </c>
      <c r="CQ181" s="666">
        <f t="shared" ref="CQ181" si="431" xml:space="preserve"> IF(AND(CP180 &lt; $F179, CQ180 &gt;= $F179), 1, 0)</f>
        <v>0</v>
      </c>
      <c r="CR181" s="666">
        <f t="shared" ref="CR181" si="432" xml:space="preserve"> IF(AND(CQ180 &lt; $F179, CR180 &gt;= $F179), 1, 0)</f>
        <v>0</v>
      </c>
      <c r="CS181" s="666">
        <f t="shared" ref="CS181" si="433" xml:space="preserve"> IF(AND(CR180 &lt; $F179, CS180 &gt;= $F179), 1, 0)</f>
        <v>0</v>
      </c>
      <c r="CT181" s="666">
        <f t="shared" ref="CT181" si="434" xml:space="preserve"> IF(AND(CS180 &lt; $F179, CT180 &gt;= $F179), 1, 0)</f>
        <v>0</v>
      </c>
      <c r="CU181" s="666">
        <f t="shared" ref="CU181" si="435" xml:space="preserve"> IF(AND(CT180 &lt; $F179, CU180 &gt;= $F179), 1, 0)</f>
        <v>0</v>
      </c>
      <c r="CV181" s="666">
        <f t="shared" ref="CV181" si="436" xml:space="preserve"> IF(AND(CU180 &lt; $F179, CV180 &gt;= $F179), 1, 0)</f>
        <v>0</v>
      </c>
    </row>
    <row r="182" spans="1:100" outlineLevel="2" x14ac:dyDescent="0.2">
      <c r="A182" s="522"/>
      <c r="B182" s="522"/>
      <c r="C182" s="523"/>
      <c r="D182" s="524"/>
      <c r="E182" s="664"/>
      <c r="F182" s="664"/>
      <c r="G182" s="664"/>
      <c r="H182" s="664"/>
      <c r="I182" s="665"/>
      <c r="J182" s="664"/>
      <c r="K182" s="664"/>
      <c r="L182" s="664"/>
      <c r="M182" s="664"/>
      <c r="N182" s="664"/>
      <c r="O182" s="664"/>
      <c r="P182" s="664"/>
      <c r="Q182" s="664"/>
      <c r="R182" s="664"/>
      <c r="S182" s="664"/>
      <c r="T182" s="664"/>
      <c r="U182" s="664"/>
      <c r="V182" s="664"/>
      <c r="W182" s="664"/>
      <c r="X182" s="664"/>
      <c r="Y182" s="664"/>
      <c r="Z182" s="664"/>
      <c r="AA182" s="664"/>
      <c r="AB182" s="664"/>
      <c r="AC182" s="664"/>
      <c r="AD182" s="664"/>
      <c r="AE182" s="664"/>
      <c r="AF182" s="664"/>
      <c r="AG182" s="664"/>
      <c r="AH182" s="664"/>
      <c r="AI182" s="664"/>
      <c r="AJ182" s="664"/>
      <c r="AK182" s="664"/>
      <c r="AL182" s="664"/>
      <c r="AM182" s="664"/>
      <c r="AN182" s="664"/>
      <c r="AO182" s="664"/>
      <c r="AP182" s="664"/>
      <c r="AQ182" s="664"/>
      <c r="AR182" s="664"/>
      <c r="AS182" s="664"/>
      <c r="AT182" s="664"/>
      <c r="AU182" s="664"/>
      <c r="AV182" s="664"/>
      <c r="AW182" s="664"/>
      <c r="AX182" s="664"/>
      <c r="AY182" s="664"/>
      <c r="AZ182" s="664"/>
      <c r="BA182" s="664"/>
      <c r="BB182" s="664"/>
      <c r="BC182" s="664"/>
      <c r="BD182" s="664"/>
      <c r="BE182" s="664"/>
      <c r="BF182" s="664"/>
      <c r="BG182" s="664"/>
      <c r="BH182" s="664"/>
      <c r="BI182" s="664"/>
      <c r="BJ182" s="664"/>
      <c r="BK182" s="664"/>
      <c r="BL182" s="664"/>
      <c r="BM182" s="664"/>
      <c r="BN182" s="664"/>
      <c r="BO182" s="664"/>
      <c r="BP182" s="664"/>
      <c r="BQ182" s="664"/>
      <c r="BR182" s="664"/>
      <c r="BS182" s="664"/>
      <c r="BT182" s="664"/>
      <c r="BU182" s="664"/>
      <c r="BV182" s="664"/>
      <c r="BW182" s="664"/>
      <c r="BX182" s="664"/>
      <c r="BY182" s="664"/>
      <c r="BZ182" s="664"/>
      <c r="CA182" s="664"/>
      <c r="CB182" s="664"/>
      <c r="CC182" s="664"/>
      <c r="CD182" s="664"/>
      <c r="CE182" s="664"/>
      <c r="CF182" s="664"/>
      <c r="CG182" s="664"/>
      <c r="CH182" s="664"/>
      <c r="CI182" s="664"/>
      <c r="CJ182" s="664"/>
      <c r="CK182" s="664"/>
      <c r="CL182" s="664"/>
      <c r="CM182" s="664"/>
      <c r="CN182" s="664"/>
      <c r="CO182" s="664"/>
      <c r="CP182" s="664"/>
      <c r="CQ182" s="664"/>
      <c r="CR182" s="664"/>
      <c r="CS182" s="664"/>
      <c r="CT182" s="664"/>
      <c r="CU182" s="664"/>
      <c r="CV182" s="664"/>
    </row>
    <row r="183" spans="1:100" outlineLevel="2" x14ac:dyDescent="0.2">
      <c r="A183" s="522"/>
      <c r="B183" s="522"/>
      <c r="C183" s="523"/>
      <c r="D183" s="524"/>
      <c r="E183" s="668" t="str">
        <f t="shared" ref="E183:AJ183" si="437" xml:space="preserve"> E$177</f>
        <v>Senior debt service period start flag - T2</v>
      </c>
      <c r="F183" s="668">
        <f t="shared" si="437"/>
        <v>0</v>
      </c>
      <c r="G183" s="668" t="str">
        <f t="shared" si="437"/>
        <v>flag</v>
      </c>
      <c r="H183" s="668">
        <f t="shared" si="437"/>
        <v>1</v>
      </c>
      <c r="I183" s="668">
        <f t="shared" si="437"/>
        <v>0</v>
      </c>
      <c r="J183" s="668">
        <f t="shared" si="437"/>
        <v>0</v>
      </c>
      <c r="K183" s="668">
        <f t="shared" si="437"/>
        <v>0</v>
      </c>
      <c r="L183" s="668">
        <f t="shared" si="437"/>
        <v>0</v>
      </c>
      <c r="M183" s="668">
        <f t="shared" si="437"/>
        <v>0</v>
      </c>
      <c r="N183" s="668">
        <f t="shared" si="437"/>
        <v>0</v>
      </c>
      <c r="O183" s="668">
        <f t="shared" si="437"/>
        <v>1</v>
      </c>
      <c r="P183" s="668">
        <f t="shared" si="437"/>
        <v>0</v>
      </c>
      <c r="Q183" s="668">
        <f t="shared" si="437"/>
        <v>0</v>
      </c>
      <c r="R183" s="668">
        <f t="shared" si="437"/>
        <v>0</v>
      </c>
      <c r="S183" s="668">
        <f t="shared" si="437"/>
        <v>0</v>
      </c>
      <c r="T183" s="668">
        <f t="shared" si="437"/>
        <v>0</v>
      </c>
      <c r="U183" s="668">
        <f t="shared" si="437"/>
        <v>0</v>
      </c>
      <c r="V183" s="668">
        <f t="shared" si="437"/>
        <v>0</v>
      </c>
      <c r="W183" s="668">
        <f t="shared" si="437"/>
        <v>0</v>
      </c>
      <c r="X183" s="668">
        <f t="shared" si="437"/>
        <v>0</v>
      </c>
      <c r="Y183" s="668">
        <f t="shared" si="437"/>
        <v>0</v>
      </c>
      <c r="Z183" s="668">
        <f t="shared" si="437"/>
        <v>0</v>
      </c>
      <c r="AA183" s="668">
        <f t="shared" si="437"/>
        <v>0</v>
      </c>
      <c r="AB183" s="668">
        <f t="shared" si="437"/>
        <v>0</v>
      </c>
      <c r="AC183" s="668">
        <f t="shared" si="437"/>
        <v>0</v>
      </c>
      <c r="AD183" s="668">
        <f t="shared" si="437"/>
        <v>0</v>
      </c>
      <c r="AE183" s="668">
        <f t="shared" si="437"/>
        <v>0</v>
      </c>
      <c r="AF183" s="668">
        <f t="shared" si="437"/>
        <v>0</v>
      </c>
      <c r="AG183" s="668">
        <f t="shared" si="437"/>
        <v>0</v>
      </c>
      <c r="AH183" s="668">
        <f t="shared" si="437"/>
        <v>0</v>
      </c>
      <c r="AI183" s="668">
        <f t="shared" si="437"/>
        <v>0</v>
      </c>
      <c r="AJ183" s="668">
        <f t="shared" si="437"/>
        <v>0</v>
      </c>
      <c r="AK183" s="668">
        <f t="shared" ref="AK183:BP183" si="438" xml:space="preserve"> AK$177</f>
        <v>0</v>
      </c>
      <c r="AL183" s="668">
        <f t="shared" si="438"/>
        <v>0</v>
      </c>
      <c r="AM183" s="668">
        <f t="shared" si="438"/>
        <v>0</v>
      </c>
      <c r="AN183" s="668">
        <f t="shared" si="438"/>
        <v>0</v>
      </c>
      <c r="AO183" s="668">
        <f t="shared" si="438"/>
        <v>0</v>
      </c>
      <c r="AP183" s="668">
        <f t="shared" si="438"/>
        <v>0</v>
      </c>
      <c r="AQ183" s="668">
        <f t="shared" si="438"/>
        <v>0</v>
      </c>
      <c r="AR183" s="668">
        <f t="shared" si="438"/>
        <v>0</v>
      </c>
      <c r="AS183" s="668">
        <f t="shared" si="438"/>
        <v>0</v>
      </c>
      <c r="AT183" s="668">
        <f t="shared" si="438"/>
        <v>0</v>
      </c>
      <c r="AU183" s="668">
        <f t="shared" si="438"/>
        <v>0</v>
      </c>
      <c r="AV183" s="668">
        <f t="shared" si="438"/>
        <v>0</v>
      </c>
      <c r="AW183" s="668">
        <f t="shared" si="438"/>
        <v>0</v>
      </c>
      <c r="AX183" s="668">
        <f t="shared" si="438"/>
        <v>0</v>
      </c>
      <c r="AY183" s="668">
        <f t="shared" si="438"/>
        <v>0</v>
      </c>
      <c r="AZ183" s="668">
        <f t="shared" si="438"/>
        <v>0</v>
      </c>
      <c r="BA183" s="668">
        <f t="shared" si="438"/>
        <v>0</v>
      </c>
      <c r="BB183" s="668">
        <f t="shared" si="438"/>
        <v>0</v>
      </c>
      <c r="BC183" s="668">
        <f t="shared" si="438"/>
        <v>0</v>
      </c>
      <c r="BD183" s="668">
        <f t="shared" si="438"/>
        <v>0</v>
      </c>
      <c r="BE183" s="668">
        <f t="shared" si="438"/>
        <v>0</v>
      </c>
      <c r="BF183" s="668">
        <f t="shared" si="438"/>
        <v>0</v>
      </c>
      <c r="BG183" s="668">
        <f t="shared" si="438"/>
        <v>0</v>
      </c>
      <c r="BH183" s="668">
        <f t="shared" si="438"/>
        <v>0</v>
      </c>
      <c r="BI183" s="668">
        <f t="shared" si="438"/>
        <v>0</v>
      </c>
      <c r="BJ183" s="668">
        <f t="shared" si="438"/>
        <v>0</v>
      </c>
      <c r="BK183" s="668">
        <f t="shared" si="438"/>
        <v>0</v>
      </c>
      <c r="BL183" s="668">
        <f t="shared" si="438"/>
        <v>0</v>
      </c>
      <c r="BM183" s="668">
        <f t="shared" si="438"/>
        <v>0</v>
      </c>
      <c r="BN183" s="668">
        <f t="shared" si="438"/>
        <v>0</v>
      </c>
      <c r="BO183" s="668">
        <f t="shared" si="438"/>
        <v>0</v>
      </c>
      <c r="BP183" s="668">
        <f t="shared" si="438"/>
        <v>0</v>
      </c>
      <c r="BQ183" s="668">
        <f t="shared" ref="BQ183:CV183" si="439" xml:space="preserve"> BQ$177</f>
        <v>0</v>
      </c>
      <c r="BR183" s="668">
        <f t="shared" si="439"/>
        <v>0</v>
      </c>
      <c r="BS183" s="668">
        <f t="shared" si="439"/>
        <v>0</v>
      </c>
      <c r="BT183" s="668">
        <f t="shared" si="439"/>
        <v>0</v>
      </c>
      <c r="BU183" s="668">
        <f t="shared" si="439"/>
        <v>0</v>
      </c>
      <c r="BV183" s="668">
        <f t="shared" si="439"/>
        <v>0</v>
      </c>
      <c r="BW183" s="668">
        <f t="shared" si="439"/>
        <v>0</v>
      </c>
      <c r="BX183" s="668">
        <f t="shared" si="439"/>
        <v>0</v>
      </c>
      <c r="BY183" s="668">
        <f t="shared" si="439"/>
        <v>0</v>
      </c>
      <c r="BZ183" s="668">
        <f t="shared" si="439"/>
        <v>0</v>
      </c>
      <c r="CA183" s="668">
        <f t="shared" si="439"/>
        <v>0</v>
      </c>
      <c r="CB183" s="668">
        <f t="shared" si="439"/>
        <v>0</v>
      </c>
      <c r="CC183" s="668">
        <f t="shared" si="439"/>
        <v>0</v>
      </c>
      <c r="CD183" s="668">
        <f t="shared" si="439"/>
        <v>0</v>
      </c>
      <c r="CE183" s="668">
        <f t="shared" si="439"/>
        <v>0</v>
      </c>
      <c r="CF183" s="668">
        <f t="shared" si="439"/>
        <v>0</v>
      </c>
      <c r="CG183" s="668">
        <f t="shared" si="439"/>
        <v>0</v>
      </c>
      <c r="CH183" s="668">
        <f t="shared" si="439"/>
        <v>0</v>
      </c>
      <c r="CI183" s="668">
        <f t="shared" si="439"/>
        <v>0</v>
      </c>
      <c r="CJ183" s="668">
        <f t="shared" si="439"/>
        <v>0</v>
      </c>
      <c r="CK183" s="668">
        <f t="shared" si="439"/>
        <v>0</v>
      </c>
      <c r="CL183" s="668">
        <f t="shared" si="439"/>
        <v>0</v>
      </c>
      <c r="CM183" s="668">
        <f t="shared" si="439"/>
        <v>0</v>
      </c>
      <c r="CN183" s="668">
        <f t="shared" si="439"/>
        <v>0</v>
      </c>
      <c r="CO183" s="668">
        <f t="shared" si="439"/>
        <v>0</v>
      </c>
      <c r="CP183" s="668">
        <f t="shared" si="439"/>
        <v>0</v>
      </c>
      <c r="CQ183" s="668">
        <f t="shared" si="439"/>
        <v>0</v>
      </c>
      <c r="CR183" s="668">
        <f t="shared" si="439"/>
        <v>0</v>
      </c>
      <c r="CS183" s="668">
        <f t="shared" si="439"/>
        <v>0</v>
      </c>
      <c r="CT183" s="668">
        <f t="shared" si="439"/>
        <v>0</v>
      </c>
      <c r="CU183" s="668">
        <f t="shared" si="439"/>
        <v>0</v>
      </c>
      <c r="CV183" s="668">
        <f t="shared" si="439"/>
        <v>0</v>
      </c>
    </row>
    <row r="184" spans="1:100" outlineLevel="2" x14ac:dyDescent="0.2">
      <c r="A184" s="49"/>
      <c r="B184" s="522"/>
      <c r="C184" s="50"/>
      <c r="D184" s="51"/>
      <c r="E184" s="469" t="str">
        <f t="shared" ref="E184:AJ184" si="440" xml:space="preserve"> E$181</f>
        <v>Senior debt service period end flag - T2</v>
      </c>
      <c r="F184" s="469">
        <f t="shared" si="440"/>
        <v>0</v>
      </c>
      <c r="G184" s="469" t="str">
        <f t="shared" si="440"/>
        <v>flag</v>
      </c>
      <c r="H184" s="469">
        <f t="shared" si="440"/>
        <v>1</v>
      </c>
      <c r="I184" s="469">
        <f t="shared" si="440"/>
        <v>0</v>
      </c>
      <c r="J184" s="469">
        <f t="shared" si="440"/>
        <v>0</v>
      </c>
      <c r="K184" s="469">
        <f t="shared" si="440"/>
        <v>0</v>
      </c>
      <c r="L184" s="469">
        <f t="shared" si="440"/>
        <v>0</v>
      </c>
      <c r="M184" s="469">
        <f t="shared" si="440"/>
        <v>0</v>
      </c>
      <c r="N184" s="469">
        <f t="shared" si="440"/>
        <v>0</v>
      </c>
      <c r="O184" s="469">
        <f t="shared" si="440"/>
        <v>0</v>
      </c>
      <c r="P184" s="469">
        <f t="shared" si="440"/>
        <v>0</v>
      </c>
      <c r="Q184" s="469">
        <f t="shared" si="440"/>
        <v>0</v>
      </c>
      <c r="R184" s="469">
        <f t="shared" si="440"/>
        <v>0</v>
      </c>
      <c r="S184" s="469">
        <f t="shared" si="440"/>
        <v>0</v>
      </c>
      <c r="T184" s="469">
        <f t="shared" si="440"/>
        <v>0</v>
      </c>
      <c r="U184" s="469">
        <f t="shared" si="440"/>
        <v>0</v>
      </c>
      <c r="V184" s="469">
        <f t="shared" si="440"/>
        <v>0</v>
      </c>
      <c r="W184" s="469">
        <f t="shared" si="440"/>
        <v>0</v>
      </c>
      <c r="X184" s="469">
        <f t="shared" si="440"/>
        <v>0</v>
      </c>
      <c r="Y184" s="469">
        <f t="shared" si="440"/>
        <v>0</v>
      </c>
      <c r="Z184" s="469">
        <f t="shared" si="440"/>
        <v>0</v>
      </c>
      <c r="AA184" s="469">
        <f t="shared" si="440"/>
        <v>0</v>
      </c>
      <c r="AB184" s="469">
        <f t="shared" si="440"/>
        <v>0</v>
      </c>
      <c r="AC184" s="469">
        <f t="shared" si="440"/>
        <v>0</v>
      </c>
      <c r="AD184" s="469">
        <f t="shared" si="440"/>
        <v>0</v>
      </c>
      <c r="AE184" s="469">
        <f t="shared" si="440"/>
        <v>0</v>
      </c>
      <c r="AF184" s="469">
        <f t="shared" si="440"/>
        <v>0</v>
      </c>
      <c r="AG184" s="469">
        <f t="shared" si="440"/>
        <v>0</v>
      </c>
      <c r="AH184" s="469">
        <f t="shared" si="440"/>
        <v>0</v>
      </c>
      <c r="AI184" s="469">
        <f t="shared" si="440"/>
        <v>0</v>
      </c>
      <c r="AJ184" s="469">
        <f t="shared" si="440"/>
        <v>0</v>
      </c>
      <c r="AK184" s="469">
        <f t="shared" ref="AK184:BP184" si="441" xml:space="preserve"> AK$181</f>
        <v>0</v>
      </c>
      <c r="AL184" s="469">
        <f t="shared" si="441"/>
        <v>0</v>
      </c>
      <c r="AM184" s="469">
        <f t="shared" si="441"/>
        <v>0</v>
      </c>
      <c r="AN184" s="469">
        <f t="shared" si="441"/>
        <v>0</v>
      </c>
      <c r="AO184" s="469">
        <f t="shared" si="441"/>
        <v>0</v>
      </c>
      <c r="AP184" s="469">
        <f t="shared" si="441"/>
        <v>0</v>
      </c>
      <c r="AQ184" s="469">
        <f t="shared" si="441"/>
        <v>0</v>
      </c>
      <c r="AR184" s="469">
        <f t="shared" si="441"/>
        <v>1</v>
      </c>
      <c r="AS184" s="469">
        <f t="shared" si="441"/>
        <v>0</v>
      </c>
      <c r="AT184" s="469">
        <f t="shared" si="441"/>
        <v>0</v>
      </c>
      <c r="AU184" s="469">
        <f t="shared" si="441"/>
        <v>0</v>
      </c>
      <c r="AV184" s="469">
        <f t="shared" si="441"/>
        <v>0</v>
      </c>
      <c r="AW184" s="469">
        <f t="shared" si="441"/>
        <v>0</v>
      </c>
      <c r="AX184" s="469">
        <f t="shared" si="441"/>
        <v>0</v>
      </c>
      <c r="AY184" s="469">
        <f t="shared" si="441"/>
        <v>0</v>
      </c>
      <c r="AZ184" s="469">
        <f t="shared" si="441"/>
        <v>0</v>
      </c>
      <c r="BA184" s="469">
        <f t="shared" si="441"/>
        <v>0</v>
      </c>
      <c r="BB184" s="469">
        <f t="shared" si="441"/>
        <v>0</v>
      </c>
      <c r="BC184" s="469">
        <f t="shared" si="441"/>
        <v>0</v>
      </c>
      <c r="BD184" s="469">
        <f t="shared" si="441"/>
        <v>0</v>
      </c>
      <c r="BE184" s="469">
        <f t="shared" si="441"/>
        <v>0</v>
      </c>
      <c r="BF184" s="469">
        <f t="shared" si="441"/>
        <v>0</v>
      </c>
      <c r="BG184" s="469">
        <f t="shared" si="441"/>
        <v>0</v>
      </c>
      <c r="BH184" s="469">
        <f t="shared" si="441"/>
        <v>0</v>
      </c>
      <c r="BI184" s="469">
        <f t="shared" si="441"/>
        <v>0</v>
      </c>
      <c r="BJ184" s="469">
        <f t="shared" si="441"/>
        <v>0</v>
      </c>
      <c r="BK184" s="469">
        <f t="shared" si="441"/>
        <v>0</v>
      </c>
      <c r="BL184" s="469">
        <f t="shared" si="441"/>
        <v>0</v>
      </c>
      <c r="BM184" s="469">
        <f t="shared" si="441"/>
        <v>0</v>
      </c>
      <c r="BN184" s="469">
        <f t="shared" si="441"/>
        <v>0</v>
      </c>
      <c r="BO184" s="469">
        <f t="shared" si="441"/>
        <v>0</v>
      </c>
      <c r="BP184" s="469">
        <f t="shared" si="441"/>
        <v>0</v>
      </c>
      <c r="BQ184" s="469">
        <f t="shared" ref="BQ184:CV184" si="442" xml:space="preserve"> BQ$181</f>
        <v>0</v>
      </c>
      <c r="BR184" s="469">
        <f t="shared" si="442"/>
        <v>0</v>
      </c>
      <c r="BS184" s="469">
        <f t="shared" si="442"/>
        <v>0</v>
      </c>
      <c r="BT184" s="469">
        <f t="shared" si="442"/>
        <v>0</v>
      </c>
      <c r="BU184" s="469">
        <f t="shared" si="442"/>
        <v>0</v>
      </c>
      <c r="BV184" s="469">
        <f t="shared" si="442"/>
        <v>0</v>
      </c>
      <c r="BW184" s="469">
        <f t="shared" si="442"/>
        <v>0</v>
      </c>
      <c r="BX184" s="469">
        <f t="shared" si="442"/>
        <v>0</v>
      </c>
      <c r="BY184" s="469">
        <f t="shared" si="442"/>
        <v>0</v>
      </c>
      <c r="BZ184" s="469">
        <f t="shared" si="442"/>
        <v>0</v>
      </c>
      <c r="CA184" s="469">
        <f t="shared" si="442"/>
        <v>0</v>
      </c>
      <c r="CB184" s="469">
        <f t="shared" si="442"/>
        <v>0</v>
      </c>
      <c r="CC184" s="469">
        <f t="shared" si="442"/>
        <v>0</v>
      </c>
      <c r="CD184" s="469">
        <f t="shared" si="442"/>
        <v>0</v>
      </c>
      <c r="CE184" s="469">
        <f t="shared" si="442"/>
        <v>0</v>
      </c>
      <c r="CF184" s="469">
        <f t="shared" si="442"/>
        <v>0</v>
      </c>
      <c r="CG184" s="469">
        <f t="shared" si="442"/>
        <v>0</v>
      </c>
      <c r="CH184" s="469">
        <f t="shared" si="442"/>
        <v>0</v>
      </c>
      <c r="CI184" s="469">
        <f t="shared" si="442"/>
        <v>0</v>
      </c>
      <c r="CJ184" s="469">
        <f t="shared" si="442"/>
        <v>0</v>
      </c>
      <c r="CK184" s="469">
        <f t="shared" si="442"/>
        <v>0</v>
      </c>
      <c r="CL184" s="469">
        <f t="shared" si="442"/>
        <v>0</v>
      </c>
      <c r="CM184" s="469">
        <f t="shared" si="442"/>
        <v>0</v>
      </c>
      <c r="CN184" s="469">
        <f t="shared" si="442"/>
        <v>0</v>
      </c>
      <c r="CO184" s="469">
        <f t="shared" si="442"/>
        <v>0</v>
      </c>
      <c r="CP184" s="469">
        <f t="shared" si="442"/>
        <v>0</v>
      </c>
      <c r="CQ184" s="469">
        <f t="shared" si="442"/>
        <v>0</v>
      </c>
      <c r="CR184" s="469">
        <f t="shared" si="442"/>
        <v>0</v>
      </c>
      <c r="CS184" s="469">
        <f t="shared" si="442"/>
        <v>0</v>
      </c>
      <c r="CT184" s="469">
        <f t="shared" si="442"/>
        <v>0</v>
      </c>
      <c r="CU184" s="469">
        <f t="shared" si="442"/>
        <v>0</v>
      </c>
      <c r="CV184" s="469">
        <f t="shared" si="442"/>
        <v>0</v>
      </c>
    </row>
    <row r="185" spans="1:100" s="191" customFormat="1" outlineLevel="2" x14ac:dyDescent="0.2">
      <c r="A185" s="429"/>
      <c r="B185" s="429"/>
      <c r="C185" s="430"/>
      <c r="D185" s="190"/>
      <c r="E185" s="192" t="s">
        <v>957</v>
      </c>
      <c r="F185" s="431"/>
      <c r="G185" s="191" t="s">
        <v>5</v>
      </c>
      <c r="H185" s="191">
        <f xml:space="preserve"> SUM(J185:CV185)</f>
        <v>30</v>
      </c>
      <c r="I185" s="192"/>
      <c r="J185" s="192">
        <f t="shared" ref="J185" si="443" xml:space="preserve"> I185 + J183 - I184</f>
        <v>0</v>
      </c>
      <c r="K185" s="192">
        <f t="shared" ref="K185" si="444" xml:space="preserve"> J185 + K183 - J184</f>
        <v>0</v>
      </c>
      <c r="L185" s="192">
        <f t="shared" ref="L185" si="445" xml:space="preserve"> K185 + L183 - K184</f>
        <v>0</v>
      </c>
      <c r="M185" s="192">
        <f t="shared" ref="M185" si="446" xml:space="preserve"> L185 + M183 - L184</f>
        <v>0</v>
      </c>
      <c r="N185" s="192">
        <f t="shared" ref="N185" si="447" xml:space="preserve"> M185 + N183 - M184</f>
        <v>0</v>
      </c>
      <c r="O185" s="192">
        <f t="shared" ref="O185" si="448" xml:space="preserve"> N185 + O183 - N184</f>
        <v>1</v>
      </c>
      <c r="P185" s="192">
        <f t="shared" ref="P185" si="449" xml:space="preserve"> O185 + P183 - O184</f>
        <v>1</v>
      </c>
      <c r="Q185" s="192">
        <f t="shared" ref="Q185" si="450" xml:space="preserve"> P185 + Q183 - P184</f>
        <v>1</v>
      </c>
      <c r="R185" s="192">
        <f t="shared" ref="R185" si="451" xml:space="preserve"> Q185 + R183 - Q184</f>
        <v>1</v>
      </c>
      <c r="S185" s="192">
        <f t="shared" ref="S185" si="452" xml:space="preserve"> R185 + S183 - R184</f>
        <v>1</v>
      </c>
      <c r="T185" s="192">
        <f t="shared" ref="T185" si="453" xml:space="preserve"> S185 + T183 - S184</f>
        <v>1</v>
      </c>
      <c r="U185" s="192">
        <f t="shared" ref="U185" si="454" xml:space="preserve"> T185 + U183 - T184</f>
        <v>1</v>
      </c>
      <c r="V185" s="192">
        <f t="shared" ref="V185" si="455" xml:space="preserve"> U185 + V183 - U184</f>
        <v>1</v>
      </c>
      <c r="W185" s="192">
        <f t="shared" ref="W185" si="456" xml:space="preserve"> V185 + W183 - V184</f>
        <v>1</v>
      </c>
      <c r="X185" s="192">
        <f t="shared" ref="X185" si="457" xml:space="preserve"> W185 + X183 - W184</f>
        <v>1</v>
      </c>
      <c r="Y185" s="192">
        <f t="shared" ref="Y185" si="458" xml:space="preserve"> X185 + Y183 - X184</f>
        <v>1</v>
      </c>
      <c r="Z185" s="192">
        <f t="shared" ref="Z185" si="459" xml:space="preserve"> Y185 + Z183 - Y184</f>
        <v>1</v>
      </c>
      <c r="AA185" s="192">
        <f t="shared" ref="AA185" si="460" xml:space="preserve"> Z185 + AA183 - Z184</f>
        <v>1</v>
      </c>
      <c r="AB185" s="192">
        <f t="shared" ref="AB185" si="461" xml:space="preserve"> AA185 + AB183 - AA184</f>
        <v>1</v>
      </c>
      <c r="AC185" s="192">
        <f t="shared" ref="AC185" si="462" xml:space="preserve"> AB185 + AC183 - AB184</f>
        <v>1</v>
      </c>
      <c r="AD185" s="192">
        <f t="shared" ref="AD185" si="463" xml:space="preserve"> AC185 + AD183 - AC184</f>
        <v>1</v>
      </c>
      <c r="AE185" s="192">
        <f t="shared" ref="AE185" si="464" xml:space="preserve"> AD185 + AE183 - AD184</f>
        <v>1</v>
      </c>
      <c r="AF185" s="192">
        <f t="shared" ref="AF185" si="465" xml:space="preserve"> AE185 + AF183 - AE184</f>
        <v>1</v>
      </c>
      <c r="AG185" s="192">
        <f t="shared" ref="AG185" si="466" xml:space="preserve"> AF185 + AG183 - AF184</f>
        <v>1</v>
      </c>
      <c r="AH185" s="192">
        <f t="shared" ref="AH185" si="467" xml:space="preserve"> AG185 + AH183 - AG184</f>
        <v>1</v>
      </c>
      <c r="AI185" s="192">
        <f t="shared" ref="AI185" si="468" xml:space="preserve"> AH185 + AI183 - AH184</f>
        <v>1</v>
      </c>
      <c r="AJ185" s="192">
        <f t="shared" ref="AJ185" si="469" xml:space="preserve"> AI185 + AJ183 - AI184</f>
        <v>1</v>
      </c>
      <c r="AK185" s="192">
        <f t="shared" ref="AK185" si="470" xml:space="preserve"> AJ185 + AK183 - AJ184</f>
        <v>1</v>
      </c>
      <c r="AL185" s="192">
        <f t="shared" ref="AL185" si="471" xml:space="preserve"> AK185 + AL183 - AK184</f>
        <v>1</v>
      </c>
      <c r="AM185" s="192">
        <f t="shared" ref="AM185" si="472" xml:space="preserve"> AL185 + AM183 - AL184</f>
        <v>1</v>
      </c>
      <c r="AN185" s="192">
        <f t="shared" ref="AN185" si="473" xml:space="preserve"> AM185 + AN183 - AM184</f>
        <v>1</v>
      </c>
      <c r="AO185" s="192">
        <f t="shared" ref="AO185" si="474" xml:space="preserve"> AN185 + AO183 - AN184</f>
        <v>1</v>
      </c>
      <c r="AP185" s="192">
        <f t="shared" ref="AP185" si="475" xml:space="preserve"> AO185 + AP183 - AO184</f>
        <v>1</v>
      </c>
      <c r="AQ185" s="192">
        <f t="shared" ref="AQ185" si="476" xml:space="preserve"> AP185 + AQ183 - AP184</f>
        <v>1</v>
      </c>
      <c r="AR185" s="192">
        <f t="shared" ref="AR185" si="477" xml:space="preserve"> AQ185 + AR183 - AQ184</f>
        <v>1</v>
      </c>
      <c r="AS185" s="192">
        <f t="shared" ref="AS185" si="478" xml:space="preserve"> AR185 + AS183 - AR184</f>
        <v>0</v>
      </c>
      <c r="AT185" s="192">
        <f t="shared" ref="AT185" si="479" xml:space="preserve"> AS185 + AT183 - AS184</f>
        <v>0</v>
      </c>
      <c r="AU185" s="192">
        <f t="shared" ref="AU185" si="480" xml:space="preserve"> AT185 + AU183 - AT184</f>
        <v>0</v>
      </c>
      <c r="AV185" s="192">
        <f t="shared" ref="AV185" si="481" xml:space="preserve"> AU185 + AV183 - AU184</f>
        <v>0</v>
      </c>
      <c r="AW185" s="192">
        <f t="shared" ref="AW185" si="482" xml:space="preserve"> AV185 + AW183 - AV184</f>
        <v>0</v>
      </c>
      <c r="AX185" s="192">
        <f t="shared" ref="AX185" si="483" xml:space="preserve"> AW185 + AX183 - AW184</f>
        <v>0</v>
      </c>
      <c r="AY185" s="192">
        <f t="shared" ref="AY185" si="484" xml:space="preserve"> AX185 + AY183 - AX184</f>
        <v>0</v>
      </c>
      <c r="AZ185" s="192">
        <f t="shared" ref="AZ185" si="485" xml:space="preserve"> AY185 + AZ183 - AY184</f>
        <v>0</v>
      </c>
      <c r="BA185" s="192">
        <f t="shared" ref="BA185" si="486" xml:space="preserve"> AZ185 + BA183 - AZ184</f>
        <v>0</v>
      </c>
      <c r="BB185" s="192">
        <f t="shared" ref="BB185" si="487" xml:space="preserve"> BA185 + BB183 - BA184</f>
        <v>0</v>
      </c>
      <c r="BC185" s="192">
        <f t="shared" ref="BC185" si="488" xml:space="preserve"> BB185 + BC183 - BB184</f>
        <v>0</v>
      </c>
      <c r="BD185" s="192">
        <f t="shared" ref="BD185" si="489" xml:space="preserve"> BC185 + BD183 - BC184</f>
        <v>0</v>
      </c>
      <c r="BE185" s="192">
        <f t="shared" ref="BE185" si="490" xml:space="preserve"> BD185 + BE183 - BD184</f>
        <v>0</v>
      </c>
      <c r="BF185" s="192">
        <f t="shared" ref="BF185" si="491" xml:space="preserve"> BE185 + BF183 - BE184</f>
        <v>0</v>
      </c>
      <c r="BG185" s="192">
        <f t="shared" ref="BG185" si="492" xml:space="preserve"> BF185 + BG183 - BF184</f>
        <v>0</v>
      </c>
      <c r="BH185" s="192">
        <f t="shared" ref="BH185" si="493" xml:space="preserve"> BG185 + BH183 - BG184</f>
        <v>0</v>
      </c>
      <c r="BI185" s="192">
        <f t="shared" ref="BI185" si="494" xml:space="preserve"> BH185 + BI183 - BH184</f>
        <v>0</v>
      </c>
      <c r="BJ185" s="192">
        <f t="shared" ref="BJ185" si="495" xml:space="preserve"> BI185 + BJ183 - BI184</f>
        <v>0</v>
      </c>
      <c r="BK185" s="192">
        <f t="shared" ref="BK185" si="496" xml:space="preserve"> BJ185 + BK183 - BJ184</f>
        <v>0</v>
      </c>
      <c r="BL185" s="192">
        <f t="shared" ref="BL185" si="497" xml:space="preserve"> BK185 + BL183 - BK184</f>
        <v>0</v>
      </c>
      <c r="BM185" s="192">
        <f t="shared" ref="BM185" si="498" xml:space="preserve"> BL185 + BM183 - BL184</f>
        <v>0</v>
      </c>
      <c r="BN185" s="192">
        <f t="shared" ref="BN185" si="499" xml:space="preserve"> BM185 + BN183 - BM184</f>
        <v>0</v>
      </c>
      <c r="BO185" s="192">
        <f t="shared" ref="BO185" si="500" xml:space="preserve"> BN185 + BO183 - BN184</f>
        <v>0</v>
      </c>
      <c r="BP185" s="192">
        <f t="shared" ref="BP185" si="501" xml:space="preserve"> BO185 + BP183 - BO184</f>
        <v>0</v>
      </c>
      <c r="BQ185" s="192">
        <f t="shared" ref="BQ185" si="502" xml:space="preserve"> BP185 + BQ183 - BP184</f>
        <v>0</v>
      </c>
      <c r="BR185" s="192">
        <f t="shared" ref="BR185" si="503" xml:space="preserve"> BQ185 + BR183 - BQ184</f>
        <v>0</v>
      </c>
      <c r="BS185" s="192">
        <f t="shared" ref="BS185" si="504" xml:space="preserve"> BR185 + BS183 - BR184</f>
        <v>0</v>
      </c>
      <c r="BT185" s="192">
        <f t="shared" ref="BT185" si="505" xml:space="preserve"> BS185 + BT183 - BS184</f>
        <v>0</v>
      </c>
      <c r="BU185" s="192">
        <f t="shared" ref="BU185" si="506" xml:space="preserve"> BT185 + BU183 - BT184</f>
        <v>0</v>
      </c>
      <c r="BV185" s="192">
        <f t="shared" ref="BV185" si="507" xml:space="preserve"> BU185 + BV183 - BU184</f>
        <v>0</v>
      </c>
      <c r="BW185" s="192">
        <f t="shared" ref="BW185" si="508" xml:space="preserve"> BV185 + BW183 - BV184</f>
        <v>0</v>
      </c>
      <c r="BX185" s="192">
        <f t="shared" ref="BX185" si="509" xml:space="preserve"> BW185 + BX183 - BW184</f>
        <v>0</v>
      </c>
      <c r="BY185" s="192">
        <f t="shared" ref="BY185" si="510" xml:space="preserve"> BX185 + BY183 - BX184</f>
        <v>0</v>
      </c>
      <c r="BZ185" s="192">
        <f t="shared" ref="BZ185" si="511" xml:space="preserve"> BY185 + BZ183 - BY184</f>
        <v>0</v>
      </c>
      <c r="CA185" s="192">
        <f t="shared" ref="CA185" si="512" xml:space="preserve"> BZ185 + CA183 - BZ184</f>
        <v>0</v>
      </c>
      <c r="CB185" s="192">
        <f t="shared" ref="CB185" si="513" xml:space="preserve"> CA185 + CB183 - CA184</f>
        <v>0</v>
      </c>
      <c r="CC185" s="192">
        <f t="shared" ref="CC185" si="514" xml:space="preserve"> CB185 + CC183 - CB184</f>
        <v>0</v>
      </c>
      <c r="CD185" s="192">
        <f t="shared" ref="CD185" si="515" xml:space="preserve"> CC185 + CD183 - CC184</f>
        <v>0</v>
      </c>
      <c r="CE185" s="192">
        <f t="shared" ref="CE185" si="516" xml:space="preserve"> CD185 + CE183 - CD184</f>
        <v>0</v>
      </c>
      <c r="CF185" s="192">
        <f t="shared" ref="CF185" si="517" xml:space="preserve"> CE185 + CF183 - CE184</f>
        <v>0</v>
      </c>
      <c r="CG185" s="192">
        <f t="shared" ref="CG185" si="518" xml:space="preserve"> CF185 + CG183 - CF184</f>
        <v>0</v>
      </c>
      <c r="CH185" s="192">
        <f t="shared" ref="CH185" si="519" xml:space="preserve"> CG185 + CH183 - CG184</f>
        <v>0</v>
      </c>
      <c r="CI185" s="192">
        <f t="shared" ref="CI185" si="520" xml:space="preserve"> CH185 + CI183 - CH184</f>
        <v>0</v>
      </c>
      <c r="CJ185" s="192">
        <f t="shared" ref="CJ185" si="521" xml:space="preserve"> CI185 + CJ183 - CI184</f>
        <v>0</v>
      </c>
      <c r="CK185" s="192">
        <f t="shared" ref="CK185" si="522" xml:space="preserve"> CJ185 + CK183 - CJ184</f>
        <v>0</v>
      </c>
      <c r="CL185" s="192">
        <f t="shared" ref="CL185" si="523" xml:space="preserve"> CK185 + CL183 - CK184</f>
        <v>0</v>
      </c>
      <c r="CM185" s="192">
        <f t="shared" ref="CM185" si="524" xml:space="preserve"> CL185 + CM183 - CL184</f>
        <v>0</v>
      </c>
      <c r="CN185" s="192">
        <f t="shared" ref="CN185" si="525" xml:space="preserve"> CM185 + CN183 - CM184</f>
        <v>0</v>
      </c>
      <c r="CO185" s="192">
        <f t="shared" ref="CO185" si="526" xml:space="preserve"> CN185 + CO183 - CN184</f>
        <v>0</v>
      </c>
      <c r="CP185" s="192">
        <f t="shared" ref="CP185" si="527" xml:space="preserve"> CO185 + CP183 - CO184</f>
        <v>0</v>
      </c>
      <c r="CQ185" s="192">
        <f t="shared" ref="CQ185" si="528" xml:space="preserve"> CP185 + CQ183 - CP184</f>
        <v>0</v>
      </c>
      <c r="CR185" s="192">
        <f t="shared" ref="CR185" si="529" xml:space="preserve"> CQ185 + CR183 - CQ184</f>
        <v>0</v>
      </c>
      <c r="CS185" s="192">
        <f t="shared" ref="CS185" si="530" xml:space="preserve"> CR185 + CS183 - CR184</f>
        <v>0</v>
      </c>
      <c r="CT185" s="192">
        <f t="shared" ref="CT185" si="531" xml:space="preserve"> CS185 + CT183 - CS184</f>
        <v>0</v>
      </c>
      <c r="CU185" s="192">
        <f t="shared" ref="CU185" si="532" xml:space="preserve"> CT185 + CU183 - CT184</f>
        <v>0</v>
      </c>
      <c r="CV185" s="192">
        <f t="shared" ref="CV185" si="533" xml:space="preserve"> CU185 + CV183 - CU184</f>
        <v>0</v>
      </c>
    </row>
    <row r="186" spans="1:100" outlineLevel="1" x14ac:dyDescent="0.2">
      <c r="A186" s="227"/>
      <c r="B186" s="227"/>
      <c r="C186" s="228"/>
      <c r="D186" s="229"/>
      <c r="E186" s="230"/>
      <c r="F186" s="397"/>
      <c r="G186" s="188"/>
      <c r="H186" s="188"/>
      <c r="I186" s="230"/>
      <c r="J186" s="230"/>
      <c r="K186" s="230"/>
      <c r="L186" s="230"/>
      <c r="M186" s="230"/>
      <c r="N186" s="230"/>
      <c r="O186" s="230"/>
      <c r="P186" s="230"/>
      <c r="Q186" s="230"/>
      <c r="R186" s="230"/>
      <c r="S186" s="230"/>
      <c r="T186" s="230"/>
      <c r="U186" s="230"/>
      <c r="V186" s="230"/>
      <c r="W186" s="230"/>
      <c r="X186" s="230"/>
      <c r="Y186" s="230"/>
      <c r="Z186" s="230"/>
      <c r="AA186" s="230"/>
      <c r="AB186" s="230"/>
      <c r="AC186" s="230"/>
      <c r="AD186" s="230"/>
      <c r="AE186" s="230"/>
      <c r="AF186" s="230"/>
      <c r="AG186" s="230"/>
      <c r="AH186" s="230"/>
      <c r="AI186" s="230"/>
      <c r="AJ186" s="230"/>
      <c r="AK186" s="230"/>
      <c r="AL186" s="230"/>
      <c r="AM186" s="230"/>
      <c r="AN186" s="230"/>
      <c r="AO186" s="230"/>
      <c r="AP186" s="230"/>
      <c r="AQ186" s="230"/>
      <c r="AR186" s="230"/>
      <c r="AS186" s="230"/>
      <c r="AT186" s="230"/>
      <c r="AU186" s="230"/>
      <c r="AV186" s="230"/>
      <c r="AW186" s="230"/>
      <c r="AX186" s="230"/>
      <c r="AY186" s="230"/>
      <c r="AZ186" s="230"/>
      <c r="BA186" s="230"/>
      <c r="BB186" s="230"/>
      <c r="BC186" s="230"/>
      <c r="BD186" s="230"/>
      <c r="BE186" s="230"/>
      <c r="BF186" s="230"/>
      <c r="BG186" s="230"/>
      <c r="BH186" s="230"/>
      <c r="BI186" s="230"/>
      <c r="BJ186" s="230"/>
      <c r="BK186" s="230"/>
      <c r="BL186" s="230"/>
      <c r="BM186" s="230"/>
      <c r="BN186" s="230"/>
      <c r="BO186" s="230"/>
      <c r="BP186" s="230"/>
      <c r="BQ186" s="230"/>
      <c r="BR186" s="230"/>
      <c r="BS186" s="230"/>
      <c r="BT186" s="230"/>
      <c r="BU186" s="230"/>
      <c r="BV186" s="230"/>
      <c r="BW186" s="230"/>
      <c r="BX186" s="230"/>
      <c r="BY186" s="230"/>
      <c r="BZ186" s="230"/>
      <c r="CA186" s="230"/>
      <c r="CB186" s="230"/>
      <c r="CC186" s="230"/>
      <c r="CD186" s="230"/>
      <c r="CE186" s="230"/>
      <c r="CF186" s="230"/>
      <c r="CG186" s="230"/>
      <c r="CH186" s="230"/>
      <c r="CI186" s="230"/>
      <c r="CJ186" s="230"/>
      <c r="CK186" s="230"/>
      <c r="CL186" s="230"/>
      <c r="CM186" s="230"/>
      <c r="CN186" s="230"/>
      <c r="CO186" s="230"/>
      <c r="CP186" s="230"/>
      <c r="CQ186" s="230"/>
      <c r="CR186" s="230"/>
      <c r="CS186" s="230"/>
      <c r="CT186" s="230"/>
      <c r="CU186" s="230"/>
      <c r="CV186" s="230"/>
    </row>
    <row r="187" spans="1:100" outlineLevel="1" x14ac:dyDescent="0.2">
      <c r="B187" s="15" t="s">
        <v>958</v>
      </c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</row>
    <row r="188" spans="1:100" outlineLevel="2" x14ac:dyDescent="0.2">
      <c r="A188" s="54"/>
      <c r="B188" s="522"/>
      <c r="C188" s="57"/>
      <c r="D188" s="58"/>
      <c r="E188" s="300" t="str">
        <f xml:space="preserve"> ConTime!E$73</f>
        <v>End of construction period date</v>
      </c>
      <c r="F188" s="300">
        <f xml:space="preserve"> ConTime!F$73</f>
        <v>45473</v>
      </c>
      <c r="G188" s="300" t="str">
        <f xml:space="preserve"> ConTime!G$73</f>
        <v>date</v>
      </c>
      <c r="H188" s="300"/>
      <c r="I188" s="300"/>
      <c r="J188" s="300"/>
      <c r="K188" s="300"/>
      <c r="L188" s="300"/>
      <c r="M188" s="300"/>
      <c r="N188" s="300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  <c r="AF188" s="300"/>
      <c r="AG188" s="300"/>
      <c r="AH188" s="300"/>
      <c r="AI188" s="300"/>
      <c r="AJ188" s="300"/>
      <c r="AK188" s="300"/>
      <c r="AL188" s="300"/>
      <c r="AM188" s="300"/>
      <c r="AN188" s="300"/>
      <c r="AO188" s="300"/>
      <c r="AP188" s="300"/>
      <c r="AQ188" s="300"/>
      <c r="AR188" s="300"/>
      <c r="AS188" s="300"/>
      <c r="AT188" s="300"/>
      <c r="AU188" s="300"/>
      <c r="AV188" s="300"/>
      <c r="AW188" s="300"/>
      <c r="AX188" s="300"/>
      <c r="AY188" s="300"/>
      <c r="AZ188" s="300"/>
      <c r="BA188" s="300"/>
      <c r="BB188" s="300"/>
      <c r="BC188" s="300"/>
      <c r="BD188" s="300"/>
      <c r="BE188" s="300"/>
      <c r="BF188" s="300"/>
      <c r="BG188" s="300"/>
      <c r="BH188" s="300"/>
      <c r="BI188" s="300"/>
      <c r="BJ188" s="300"/>
      <c r="BK188" s="300"/>
      <c r="BL188" s="300"/>
      <c r="BM188" s="300"/>
      <c r="BN188" s="300"/>
      <c r="BO188" s="300"/>
      <c r="BP188" s="300"/>
      <c r="BQ188" s="300"/>
      <c r="BR188" s="300"/>
      <c r="BS188" s="300"/>
      <c r="BT188" s="300"/>
      <c r="BU188" s="300"/>
      <c r="BV188" s="300"/>
      <c r="BW188" s="300"/>
      <c r="BX188" s="300"/>
      <c r="BY188" s="300"/>
      <c r="BZ188" s="300"/>
      <c r="CA188" s="300"/>
      <c r="CB188" s="300"/>
      <c r="CC188" s="300"/>
      <c r="CD188" s="300"/>
      <c r="CE188" s="300"/>
      <c r="CF188" s="300"/>
      <c r="CG188" s="300"/>
      <c r="CH188" s="300"/>
      <c r="CI188" s="300"/>
      <c r="CJ188" s="300"/>
      <c r="CK188" s="300"/>
      <c r="CL188" s="300"/>
      <c r="CM188" s="300"/>
      <c r="CN188" s="300"/>
      <c r="CO188" s="300"/>
      <c r="CP188" s="300"/>
      <c r="CQ188" s="300"/>
      <c r="CR188" s="300"/>
      <c r="CS188" s="300"/>
      <c r="CT188" s="300"/>
      <c r="CU188" s="300"/>
      <c r="CV188" s="300"/>
    </row>
    <row r="189" spans="1:100" outlineLevel="2" x14ac:dyDescent="0.2">
      <c r="A189" s="522"/>
      <c r="B189" s="522"/>
      <c r="C189" s="523"/>
      <c r="D189" s="524"/>
      <c r="E189" s="662" t="str">
        <f xml:space="preserve"> InpC!E$295</f>
        <v>Senior debt - T2 grace period</v>
      </c>
      <c r="F189" s="662">
        <f xml:space="preserve"> InpC!F$295</f>
        <v>6</v>
      </c>
      <c r="G189" s="662" t="str">
        <f xml:space="preserve"> InpC!G$295</f>
        <v>months</v>
      </c>
      <c r="H189" s="663"/>
      <c r="I189" s="663"/>
      <c r="J189" s="663"/>
      <c r="K189" s="663"/>
      <c r="L189" s="663"/>
      <c r="M189" s="663"/>
      <c r="N189" s="663"/>
      <c r="O189" s="663"/>
      <c r="P189" s="663"/>
      <c r="Q189" s="663"/>
      <c r="R189" s="663"/>
      <c r="S189" s="663"/>
      <c r="T189" s="663"/>
      <c r="U189" s="663"/>
      <c r="V189" s="663"/>
      <c r="W189" s="663"/>
      <c r="X189" s="663"/>
      <c r="Y189" s="663"/>
      <c r="Z189" s="663"/>
      <c r="AA189" s="663"/>
      <c r="AB189" s="663"/>
      <c r="AC189" s="663"/>
      <c r="AD189" s="663"/>
      <c r="AE189" s="663"/>
      <c r="AF189" s="663"/>
      <c r="AG189" s="663"/>
      <c r="AH189" s="663"/>
      <c r="AI189" s="663"/>
      <c r="AJ189" s="663"/>
      <c r="AK189" s="663"/>
      <c r="AL189" s="663"/>
      <c r="AM189" s="663"/>
      <c r="AN189" s="663"/>
      <c r="AO189" s="663"/>
      <c r="AP189" s="663"/>
      <c r="AQ189" s="663"/>
      <c r="AR189" s="663"/>
      <c r="AS189" s="663"/>
      <c r="AT189" s="663"/>
      <c r="AU189" s="663"/>
      <c r="AV189" s="663"/>
      <c r="AW189" s="663"/>
      <c r="AX189" s="663"/>
      <c r="AY189" s="663"/>
      <c r="AZ189" s="663"/>
      <c r="BA189" s="663"/>
      <c r="BB189" s="663"/>
      <c r="BC189" s="663"/>
      <c r="BD189" s="663"/>
      <c r="BE189" s="663"/>
      <c r="BF189" s="663"/>
      <c r="BG189" s="663"/>
      <c r="BH189" s="663"/>
      <c r="BI189" s="663"/>
      <c r="BJ189" s="663"/>
      <c r="BK189" s="663"/>
      <c r="BL189" s="663"/>
      <c r="BM189" s="663"/>
      <c r="BN189" s="663"/>
      <c r="BO189" s="663"/>
      <c r="BP189" s="663"/>
      <c r="BQ189" s="663"/>
      <c r="BR189" s="663"/>
      <c r="BS189" s="663"/>
      <c r="BT189" s="663"/>
      <c r="BU189" s="663"/>
      <c r="BV189" s="663"/>
      <c r="BW189" s="663"/>
      <c r="BX189" s="663"/>
      <c r="BY189" s="663"/>
      <c r="BZ189" s="663"/>
      <c r="CA189" s="663"/>
      <c r="CB189" s="663"/>
      <c r="CC189" s="663"/>
      <c r="CD189" s="663"/>
      <c r="CE189" s="663"/>
      <c r="CF189" s="663"/>
      <c r="CG189" s="663"/>
      <c r="CH189" s="663"/>
      <c r="CI189" s="663"/>
      <c r="CJ189" s="663"/>
      <c r="CK189" s="663"/>
      <c r="CL189" s="663"/>
      <c r="CM189" s="663"/>
      <c r="CN189" s="663"/>
      <c r="CO189" s="663"/>
      <c r="CP189" s="663"/>
      <c r="CQ189" s="663"/>
      <c r="CR189" s="663"/>
      <c r="CS189" s="663"/>
      <c r="CT189" s="663"/>
      <c r="CU189" s="663"/>
      <c r="CV189" s="663"/>
    </row>
    <row r="190" spans="1:100" outlineLevel="2" x14ac:dyDescent="0.2">
      <c r="A190" s="522"/>
      <c r="B190" s="522"/>
      <c r="C190" s="523"/>
      <c r="D190" s="524"/>
      <c r="E190" s="662" t="str">
        <f xml:space="preserve"> InpC!E$16</f>
        <v>Length of operating period</v>
      </c>
      <c r="F190" s="662">
        <f xml:space="preserve"> InpC!F$16</f>
        <v>6</v>
      </c>
      <c r="G190" s="662" t="str">
        <f xml:space="preserve"> InpC!G$16</f>
        <v>months</v>
      </c>
      <c r="H190" s="663"/>
      <c r="I190" s="663"/>
      <c r="J190" s="663"/>
      <c r="K190" s="663"/>
      <c r="L190" s="663"/>
      <c r="M190" s="663"/>
      <c r="N190" s="663"/>
      <c r="O190" s="663"/>
      <c r="P190" s="663"/>
      <c r="Q190" s="663"/>
      <c r="R190" s="663"/>
      <c r="S190" s="663"/>
      <c r="T190" s="663"/>
      <c r="U190" s="663"/>
      <c r="V190" s="663"/>
      <c r="W190" s="663"/>
      <c r="X190" s="663"/>
      <c r="Y190" s="663"/>
      <c r="Z190" s="663"/>
      <c r="AA190" s="663"/>
      <c r="AB190" s="663"/>
      <c r="AC190" s="663"/>
      <c r="AD190" s="663"/>
      <c r="AE190" s="663"/>
      <c r="AF190" s="663"/>
      <c r="AG190" s="663"/>
      <c r="AH190" s="663"/>
      <c r="AI190" s="663"/>
      <c r="AJ190" s="663"/>
      <c r="AK190" s="663"/>
      <c r="AL190" s="663"/>
      <c r="AM190" s="663"/>
      <c r="AN190" s="663"/>
      <c r="AO190" s="663"/>
      <c r="AP190" s="663"/>
      <c r="AQ190" s="663"/>
      <c r="AR190" s="663"/>
      <c r="AS190" s="663"/>
      <c r="AT190" s="663"/>
      <c r="AU190" s="663"/>
      <c r="AV190" s="663"/>
      <c r="AW190" s="663"/>
      <c r="AX190" s="663"/>
      <c r="AY190" s="663"/>
      <c r="AZ190" s="663"/>
      <c r="BA190" s="663"/>
      <c r="BB190" s="663"/>
      <c r="BC190" s="663"/>
      <c r="BD190" s="663"/>
      <c r="BE190" s="663"/>
      <c r="BF190" s="663"/>
      <c r="BG190" s="663"/>
      <c r="BH190" s="663"/>
      <c r="BI190" s="663"/>
      <c r="BJ190" s="663"/>
      <c r="BK190" s="663"/>
      <c r="BL190" s="663"/>
      <c r="BM190" s="663"/>
      <c r="BN190" s="663"/>
      <c r="BO190" s="663"/>
      <c r="BP190" s="663"/>
      <c r="BQ190" s="663"/>
      <c r="BR190" s="663"/>
      <c r="BS190" s="663"/>
      <c r="BT190" s="663"/>
      <c r="BU190" s="663"/>
      <c r="BV190" s="663"/>
      <c r="BW190" s="663"/>
      <c r="BX190" s="663"/>
      <c r="BY190" s="663"/>
      <c r="BZ190" s="663"/>
      <c r="CA190" s="663"/>
      <c r="CB190" s="663"/>
      <c r="CC190" s="663"/>
      <c r="CD190" s="663"/>
      <c r="CE190" s="663"/>
      <c r="CF190" s="663"/>
      <c r="CG190" s="663"/>
      <c r="CH190" s="663"/>
      <c r="CI190" s="663"/>
      <c r="CJ190" s="663"/>
      <c r="CK190" s="663"/>
      <c r="CL190" s="663"/>
      <c r="CM190" s="663"/>
      <c r="CN190" s="663"/>
      <c r="CO190" s="663"/>
      <c r="CP190" s="663"/>
      <c r="CQ190" s="663"/>
      <c r="CR190" s="663"/>
      <c r="CS190" s="663"/>
      <c r="CT190" s="663"/>
      <c r="CU190" s="663"/>
      <c r="CV190" s="663"/>
    </row>
    <row r="191" spans="1:100" outlineLevel="2" x14ac:dyDescent="0.2">
      <c r="A191" s="522"/>
      <c r="B191" s="522"/>
      <c r="C191" s="523"/>
      <c r="D191" s="524"/>
      <c r="E191" s="26" t="s">
        <v>963</v>
      </c>
      <c r="F191" s="26">
        <f xml:space="preserve"> EOMONTH(F188, IF(F189 &lt;&gt; 0, F189, F190))</f>
        <v>45657</v>
      </c>
      <c r="G191" s="26" t="s">
        <v>6</v>
      </c>
      <c r="H191" s="663"/>
      <c r="I191" s="663"/>
      <c r="J191" s="663"/>
      <c r="K191" s="663"/>
      <c r="L191" s="663"/>
      <c r="M191" s="663"/>
      <c r="N191" s="663"/>
      <c r="O191" s="663"/>
      <c r="P191" s="663"/>
      <c r="Q191" s="663"/>
      <c r="R191" s="663"/>
      <c r="S191" s="663"/>
      <c r="T191" s="663"/>
      <c r="U191" s="663"/>
      <c r="V191" s="663"/>
      <c r="W191" s="663"/>
      <c r="X191" s="663"/>
      <c r="Y191" s="663"/>
      <c r="Z191" s="663"/>
      <c r="AA191" s="663"/>
      <c r="AB191" s="663"/>
      <c r="AC191" s="663"/>
      <c r="AD191" s="663"/>
      <c r="AE191" s="663"/>
      <c r="AF191" s="663"/>
      <c r="AG191" s="663"/>
      <c r="AH191" s="663"/>
      <c r="AI191" s="663"/>
      <c r="AJ191" s="663"/>
      <c r="AK191" s="663"/>
      <c r="AL191" s="663"/>
      <c r="AM191" s="663"/>
      <c r="AN191" s="663"/>
      <c r="AO191" s="663"/>
      <c r="AP191" s="663"/>
      <c r="AQ191" s="663"/>
      <c r="AR191" s="663"/>
      <c r="AS191" s="663"/>
      <c r="AT191" s="663"/>
      <c r="AU191" s="663"/>
      <c r="AV191" s="663"/>
      <c r="AW191" s="663"/>
      <c r="AX191" s="663"/>
      <c r="AY191" s="663"/>
      <c r="AZ191" s="663"/>
      <c r="BA191" s="663"/>
      <c r="BB191" s="663"/>
      <c r="BC191" s="663"/>
      <c r="BD191" s="663"/>
      <c r="BE191" s="663"/>
      <c r="BF191" s="663"/>
      <c r="BG191" s="663"/>
      <c r="BH191" s="663"/>
      <c r="BI191" s="663"/>
      <c r="BJ191" s="663"/>
      <c r="BK191" s="663"/>
      <c r="BL191" s="663"/>
      <c r="BM191" s="663"/>
      <c r="BN191" s="663"/>
      <c r="BO191" s="663"/>
      <c r="BP191" s="663"/>
      <c r="BQ191" s="663"/>
      <c r="BR191" s="663"/>
      <c r="BS191" s="663"/>
      <c r="BT191" s="663"/>
      <c r="BU191" s="663"/>
      <c r="BV191" s="663"/>
      <c r="BW191" s="663"/>
      <c r="BX191" s="663"/>
      <c r="BY191" s="663"/>
      <c r="BZ191" s="663"/>
      <c r="CA191" s="663"/>
      <c r="CB191" s="663"/>
      <c r="CC191" s="663"/>
      <c r="CD191" s="663"/>
      <c r="CE191" s="663"/>
      <c r="CF191" s="663"/>
      <c r="CG191" s="663"/>
      <c r="CH191" s="663"/>
      <c r="CI191" s="663"/>
      <c r="CJ191" s="663"/>
      <c r="CK191" s="663"/>
      <c r="CL191" s="663"/>
      <c r="CM191" s="663"/>
      <c r="CN191" s="663"/>
      <c r="CO191" s="663"/>
      <c r="CP191" s="663"/>
      <c r="CQ191" s="663"/>
      <c r="CR191" s="663"/>
      <c r="CS191" s="663"/>
      <c r="CT191" s="663"/>
      <c r="CU191" s="663"/>
      <c r="CV191" s="663"/>
    </row>
    <row r="192" spans="1:100" outlineLevel="2" x14ac:dyDescent="0.2">
      <c r="A192" s="522"/>
      <c r="B192" s="522"/>
      <c r="C192" s="523"/>
      <c r="D192" s="524"/>
      <c r="E192" s="663"/>
      <c r="F192" s="663"/>
      <c r="G192" s="663"/>
      <c r="H192" s="663"/>
      <c r="I192" s="663"/>
      <c r="J192" s="663"/>
      <c r="K192" s="663"/>
      <c r="L192" s="663"/>
      <c r="M192" s="663"/>
      <c r="N192" s="663"/>
      <c r="O192" s="663"/>
      <c r="P192" s="663"/>
      <c r="Q192" s="663"/>
      <c r="R192" s="663"/>
      <c r="S192" s="663"/>
      <c r="T192" s="663"/>
      <c r="U192" s="663"/>
      <c r="V192" s="663"/>
      <c r="W192" s="663"/>
      <c r="X192" s="663"/>
      <c r="Y192" s="663"/>
      <c r="Z192" s="663"/>
      <c r="AA192" s="663"/>
      <c r="AB192" s="663"/>
      <c r="AC192" s="663"/>
      <c r="AD192" s="663"/>
      <c r="AE192" s="663"/>
      <c r="AF192" s="663"/>
      <c r="AG192" s="663"/>
      <c r="AH192" s="663"/>
      <c r="AI192" s="663"/>
      <c r="AJ192" s="663"/>
      <c r="AK192" s="663"/>
      <c r="AL192" s="663"/>
      <c r="AM192" s="663"/>
      <c r="AN192" s="663"/>
      <c r="AO192" s="663"/>
      <c r="AP192" s="663"/>
      <c r="AQ192" s="663"/>
      <c r="AR192" s="663"/>
      <c r="AS192" s="663"/>
      <c r="AT192" s="663"/>
      <c r="AU192" s="663"/>
      <c r="AV192" s="663"/>
      <c r="AW192" s="663"/>
      <c r="AX192" s="663"/>
      <c r="AY192" s="663"/>
      <c r="AZ192" s="663"/>
      <c r="BA192" s="663"/>
      <c r="BB192" s="663"/>
      <c r="BC192" s="663"/>
      <c r="BD192" s="663"/>
      <c r="BE192" s="663"/>
      <c r="BF192" s="663"/>
      <c r="BG192" s="663"/>
      <c r="BH192" s="663"/>
      <c r="BI192" s="663"/>
      <c r="BJ192" s="663"/>
      <c r="BK192" s="663"/>
      <c r="BL192" s="663"/>
      <c r="BM192" s="663"/>
      <c r="BN192" s="663"/>
      <c r="BO192" s="663"/>
      <c r="BP192" s="663"/>
      <c r="BQ192" s="663"/>
      <c r="BR192" s="663"/>
      <c r="BS192" s="663"/>
      <c r="BT192" s="663"/>
      <c r="BU192" s="663"/>
      <c r="BV192" s="663"/>
      <c r="BW192" s="663"/>
      <c r="BX192" s="663"/>
      <c r="BY192" s="663"/>
      <c r="BZ192" s="663"/>
      <c r="CA192" s="663"/>
      <c r="CB192" s="663"/>
      <c r="CC192" s="663"/>
      <c r="CD192" s="663"/>
      <c r="CE192" s="663"/>
      <c r="CF192" s="663"/>
      <c r="CG192" s="663"/>
      <c r="CH192" s="663"/>
      <c r="CI192" s="663"/>
      <c r="CJ192" s="663"/>
      <c r="CK192" s="663"/>
      <c r="CL192" s="663"/>
      <c r="CM192" s="663"/>
      <c r="CN192" s="663"/>
      <c r="CO192" s="663"/>
      <c r="CP192" s="663"/>
      <c r="CQ192" s="663"/>
      <c r="CR192" s="663"/>
      <c r="CS192" s="663"/>
      <c r="CT192" s="663"/>
      <c r="CU192" s="663"/>
      <c r="CV192" s="663"/>
    </row>
    <row r="193" spans="1:100" outlineLevel="2" x14ac:dyDescent="0.2">
      <c r="A193" s="54"/>
      <c r="B193" s="54"/>
      <c r="C193" s="57"/>
      <c r="D193" s="69"/>
      <c r="E193" s="26" t="str">
        <f t="shared" ref="E193:G193" si="534" xml:space="preserve"> E$191</f>
        <v>Senior repayment start date - T2</v>
      </c>
      <c r="F193" s="26">
        <f t="shared" si="534"/>
        <v>45657</v>
      </c>
      <c r="G193" s="26" t="str">
        <f t="shared" si="534"/>
        <v>date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</row>
    <row r="194" spans="1:100" outlineLevel="2" x14ac:dyDescent="0.2">
      <c r="A194" s="49"/>
      <c r="B194" s="522"/>
      <c r="C194" s="50"/>
      <c r="D194" s="51"/>
      <c r="E194" s="11" t="str">
        <f t="shared" ref="E194:BP194" si="535" xml:space="preserve"> E$25</f>
        <v>Model period ending</v>
      </c>
      <c r="F194" s="11">
        <f t="shared" si="535"/>
        <v>0</v>
      </c>
      <c r="G194" s="11" t="str">
        <f t="shared" si="535"/>
        <v>date</v>
      </c>
      <c r="H194" s="11">
        <f t="shared" si="535"/>
        <v>0</v>
      </c>
      <c r="I194" s="136">
        <f t="shared" si="535"/>
        <v>0</v>
      </c>
      <c r="J194" s="11">
        <f t="shared" si="535"/>
        <v>44742</v>
      </c>
      <c r="K194" s="11">
        <f t="shared" si="535"/>
        <v>44926</v>
      </c>
      <c r="L194" s="11">
        <f t="shared" si="535"/>
        <v>45107</v>
      </c>
      <c r="M194" s="11">
        <f t="shared" si="535"/>
        <v>45291</v>
      </c>
      <c r="N194" s="11">
        <f t="shared" si="535"/>
        <v>45473</v>
      </c>
      <c r="O194" s="11">
        <f t="shared" si="535"/>
        <v>45657</v>
      </c>
      <c r="P194" s="11">
        <f t="shared" si="535"/>
        <v>45838</v>
      </c>
      <c r="Q194" s="11">
        <f t="shared" si="535"/>
        <v>46022</v>
      </c>
      <c r="R194" s="11">
        <f t="shared" si="535"/>
        <v>46203</v>
      </c>
      <c r="S194" s="11">
        <f t="shared" si="535"/>
        <v>46387</v>
      </c>
      <c r="T194" s="11">
        <f t="shared" si="535"/>
        <v>46568</v>
      </c>
      <c r="U194" s="11">
        <f t="shared" si="535"/>
        <v>46752</v>
      </c>
      <c r="V194" s="11">
        <f t="shared" si="535"/>
        <v>46934</v>
      </c>
      <c r="W194" s="11">
        <f t="shared" si="535"/>
        <v>47118</v>
      </c>
      <c r="X194" s="11">
        <f t="shared" si="535"/>
        <v>47299</v>
      </c>
      <c r="Y194" s="11">
        <f t="shared" si="535"/>
        <v>47483</v>
      </c>
      <c r="Z194" s="11">
        <f t="shared" si="535"/>
        <v>47664</v>
      </c>
      <c r="AA194" s="11">
        <f t="shared" si="535"/>
        <v>47848</v>
      </c>
      <c r="AB194" s="11">
        <f t="shared" si="535"/>
        <v>48029</v>
      </c>
      <c r="AC194" s="11">
        <f t="shared" si="535"/>
        <v>48213</v>
      </c>
      <c r="AD194" s="11">
        <f t="shared" si="535"/>
        <v>48395</v>
      </c>
      <c r="AE194" s="11">
        <f t="shared" si="535"/>
        <v>48579</v>
      </c>
      <c r="AF194" s="11">
        <f t="shared" si="535"/>
        <v>48760</v>
      </c>
      <c r="AG194" s="11">
        <f t="shared" si="535"/>
        <v>48944</v>
      </c>
      <c r="AH194" s="11">
        <f t="shared" si="535"/>
        <v>49125</v>
      </c>
      <c r="AI194" s="11">
        <f t="shared" si="535"/>
        <v>49309</v>
      </c>
      <c r="AJ194" s="11">
        <f t="shared" si="535"/>
        <v>49490</v>
      </c>
      <c r="AK194" s="11">
        <f t="shared" si="535"/>
        <v>49674</v>
      </c>
      <c r="AL194" s="11">
        <f t="shared" si="535"/>
        <v>49856</v>
      </c>
      <c r="AM194" s="11">
        <f t="shared" si="535"/>
        <v>50040</v>
      </c>
      <c r="AN194" s="11">
        <f t="shared" si="535"/>
        <v>50221</v>
      </c>
      <c r="AO194" s="11">
        <f t="shared" si="535"/>
        <v>50405</v>
      </c>
      <c r="AP194" s="11">
        <f t="shared" si="535"/>
        <v>50586</v>
      </c>
      <c r="AQ194" s="11">
        <f t="shared" si="535"/>
        <v>50770</v>
      </c>
      <c r="AR194" s="11">
        <f t="shared" si="535"/>
        <v>50951</v>
      </c>
      <c r="AS194" s="11">
        <f t="shared" si="535"/>
        <v>51135</v>
      </c>
      <c r="AT194" s="11">
        <f t="shared" si="535"/>
        <v>51317</v>
      </c>
      <c r="AU194" s="11">
        <f t="shared" si="535"/>
        <v>51501</v>
      </c>
      <c r="AV194" s="11">
        <f t="shared" si="535"/>
        <v>51682</v>
      </c>
      <c r="AW194" s="11">
        <f t="shared" si="535"/>
        <v>51866</v>
      </c>
      <c r="AX194" s="11">
        <f t="shared" si="535"/>
        <v>52047</v>
      </c>
      <c r="AY194" s="11">
        <f t="shared" si="535"/>
        <v>52231</v>
      </c>
      <c r="AZ194" s="11">
        <f t="shared" si="535"/>
        <v>52412</v>
      </c>
      <c r="BA194" s="11">
        <f t="shared" si="535"/>
        <v>52596</v>
      </c>
      <c r="BB194" s="11">
        <f t="shared" si="535"/>
        <v>52778</v>
      </c>
      <c r="BC194" s="11">
        <f t="shared" si="535"/>
        <v>52962</v>
      </c>
      <c r="BD194" s="11">
        <f t="shared" si="535"/>
        <v>53143</v>
      </c>
      <c r="BE194" s="11">
        <f t="shared" si="535"/>
        <v>53327</v>
      </c>
      <c r="BF194" s="11">
        <f t="shared" si="535"/>
        <v>53508</v>
      </c>
      <c r="BG194" s="11">
        <f t="shared" si="535"/>
        <v>53692</v>
      </c>
      <c r="BH194" s="11">
        <f t="shared" si="535"/>
        <v>53873</v>
      </c>
      <c r="BI194" s="11">
        <f t="shared" si="535"/>
        <v>54057</v>
      </c>
      <c r="BJ194" s="11">
        <f t="shared" si="535"/>
        <v>54239</v>
      </c>
      <c r="BK194" s="11">
        <f t="shared" si="535"/>
        <v>54423</v>
      </c>
      <c r="BL194" s="11">
        <f t="shared" si="535"/>
        <v>54604</v>
      </c>
      <c r="BM194" s="11">
        <f t="shared" si="535"/>
        <v>54788</v>
      </c>
      <c r="BN194" s="11">
        <f t="shared" si="535"/>
        <v>54969</v>
      </c>
      <c r="BO194" s="11">
        <f t="shared" si="535"/>
        <v>55153</v>
      </c>
      <c r="BP194" s="11">
        <f t="shared" si="535"/>
        <v>55334</v>
      </c>
      <c r="BQ194" s="11">
        <f t="shared" ref="BQ194:CV194" si="536" xml:space="preserve"> BQ$25</f>
        <v>55518</v>
      </c>
      <c r="BR194" s="11">
        <f t="shared" si="536"/>
        <v>55700</v>
      </c>
      <c r="BS194" s="11">
        <f t="shared" si="536"/>
        <v>55884</v>
      </c>
      <c r="BT194" s="11">
        <f t="shared" si="536"/>
        <v>56065</v>
      </c>
      <c r="BU194" s="11">
        <f t="shared" si="536"/>
        <v>56249</v>
      </c>
      <c r="BV194" s="11">
        <f t="shared" si="536"/>
        <v>56430</v>
      </c>
      <c r="BW194" s="11">
        <f t="shared" si="536"/>
        <v>56614</v>
      </c>
      <c r="BX194" s="11">
        <f t="shared" si="536"/>
        <v>56795</v>
      </c>
      <c r="BY194" s="11">
        <f t="shared" si="536"/>
        <v>56979</v>
      </c>
      <c r="BZ194" s="11">
        <f t="shared" si="536"/>
        <v>57161</v>
      </c>
      <c r="CA194" s="11">
        <f t="shared" si="536"/>
        <v>57345</v>
      </c>
      <c r="CB194" s="11">
        <f t="shared" si="536"/>
        <v>57526</v>
      </c>
      <c r="CC194" s="11">
        <f t="shared" si="536"/>
        <v>57710</v>
      </c>
      <c r="CD194" s="11">
        <f t="shared" si="536"/>
        <v>57891</v>
      </c>
      <c r="CE194" s="11">
        <f t="shared" si="536"/>
        <v>58075</v>
      </c>
      <c r="CF194" s="11">
        <f t="shared" si="536"/>
        <v>58256</v>
      </c>
      <c r="CG194" s="11">
        <f t="shared" si="536"/>
        <v>58440</v>
      </c>
      <c r="CH194" s="11">
        <f t="shared" si="536"/>
        <v>58622</v>
      </c>
      <c r="CI194" s="11">
        <f t="shared" si="536"/>
        <v>58806</v>
      </c>
      <c r="CJ194" s="11">
        <f t="shared" si="536"/>
        <v>58987</v>
      </c>
      <c r="CK194" s="11">
        <f t="shared" si="536"/>
        <v>59171</v>
      </c>
      <c r="CL194" s="11">
        <f t="shared" si="536"/>
        <v>59352</v>
      </c>
      <c r="CM194" s="11">
        <f t="shared" si="536"/>
        <v>59536</v>
      </c>
      <c r="CN194" s="11">
        <f t="shared" si="536"/>
        <v>59717</v>
      </c>
      <c r="CO194" s="11">
        <f t="shared" si="536"/>
        <v>59901</v>
      </c>
      <c r="CP194" s="11">
        <f t="shared" si="536"/>
        <v>60083</v>
      </c>
      <c r="CQ194" s="11">
        <f t="shared" si="536"/>
        <v>60267</v>
      </c>
      <c r="CR194" s="11">
        <f t="shared" si="536"/>
        <v>60448</v>
      </c>
      <c r="CS194" s="11">
        <f t="shared" si="536"/>
        <v>60632</v>
      </c>
      <c r="CT194" s="11">
        <f t="shared" si="536"/>
        <v>60813</v>
      </c>
      <c r="CU194" s="11">
        <f t="shared" si="536"/>
        <v>60997</v>
      </c>
      <c r="CV194" s="11">
        <f t="shared" si="536"/>
        <v>61178</v>
      </c>
    </row>
    <row r="195" spans="1:100" s="188" customFormat="1" outlineLevel="2" x14ac:dyDescent="0.2">
      <c r="A195" s="227"/>
      <c r="B195" s="227"/>
      <c r="C195" s="228"/>
      <c r="D195" s="229"/>
      <c r="E195" s="188" t="s">
        <v>964</v>
      </c>
      <c r="G195" s="188" t="s">
        <v>5</v>
      </c>
      <c r="H195" s="188">
        <f xml:space="preserve"> SUM(J195:CV195)</f>
        <v>1</v>
      </c>
      <c r="I195" s="230"/>
      <c r="J195" s="530">
        <f t="shared" ref="J195" si="537" xml:space="preserve"> IF(AND(I194 &lt; $F193, J194 &gt;= $F193), 1, 0)</f>
        <v>0</v>
      </c>
      <c r="K195" s="530">
        <f t="shared" ref="K195" si="538" xml:space="preserve"> IF(AND(J194 &lt; $F193, K194 &gt;= $F193), 1, 0)</f>
        <v>0</v>
      </c>
      <c r="L195" s="530">
        <f t="shared" ref="L195" si="539" xml:space="preserve"> IF(AND(K194 &lt; $F193, L194 &gt;= $F193), 1, 0)</f>
        <v>0</v>
      </c>
      <c r="M195" s="530">
        <f t="shared" ref="M195" si="540" xml:space="preserve"> IF(AND(L194 &lt; $F193, M194 &gt;= $F193), 1, 0)</f>
        <v>0</v>
      </c>
      <c r="N195" s="530">
        <f t="shared" ref="N195" si="541" xml:space="preserve"> IF(AND(M194 &lt; $F193, N194 &gt;= $F193), 1, 0)</f>
        <v>0</v>
      </c>
      <c r="O195" s="530">
        <f t="shared" ref="O195" si="542" xml:space="preserve"> IF(AND(N194 &lt; $F193, O194 &gt;= $F193), 1, 0)</f>
        <v>1</v>
      </c>
      <c r="P195" s="530">
        <f t="shared" ref="P195" si="543" xml:space="preserve"> IF(AND(O194 &lt; $F193, P194 &gt;= $F193), 1, 0)</f>
        <v>0</v>
      </c>
      <c r="Q195" s="530">
        <f t="shared" ref="Q195" si="544" xml:space="preserve"> IF(AND(P194 &lt; $F193, Q194 &gt;= $F193), 1, 0)</f>
        <v>0</v>
      </c>
      <c r="R195" s="530">
        <f t="shared" ref="R195" si="545" xml:space="preserve"> IF(AND(Q194 &lt; $F193, R194 &gt;= $F193), 1, 0)</f>
        <v>0</v>
      </c>
      <c r="S195" s="530">
        <f t="shared" ref="S195" si="546" xml:space="preserve"> IF(AND(R194 &lt; $F193, S194 &gt;= $F193), 1, 0)</f>
        <v>0</v>
      </c>
      <c r="T195" s="530">
        <f t="shared" ref="T195" si="547" xml:space="preserve"> IF(AND(S194 &lt; $F193, T194 &gt;= $F193), 1, 0)</f>
        <v>0</v>
      </c>
      <c r="U195" s="530">
        <f t="shared" ref="U195" si="548" xml:space="preserve"> IF(AND(T194 &lt; $F193, U194 &gt;= $F193), 1, 0)</f>
        <v>0</v>
      </c>
      <c r="V195" s="530">
        <f t="shared" ref="V195" si="549" xml:space="preserve"> IF(AND(U194 &lt; $F193, V194 &gt;= $F193), 1, 0)</f>
        <v>0</v>
      </c>
      <c r="W195" s="530">
        <f t="shared" ref="W195" si="550" xml:space="preserve"> IF(AND(V194 &lt; $F193, W194 &gt;= $F193), 1, 0)</f>
        <v>0</v>
      </c>
      <c r="X195" s="530">
        <f t="shared" ref="X195" si="551" xml:space="preserve"> IF(AND(W194 &lt; $F193, X194 &gt;= $F193), 1, 0)</f>
        <v>0</v>
      </c>
      <c r="Y195" s="530">
        <f t="shared" ref="Y195" si="552" xml:space="preserve"> IF(AND(X194 &lt; $F193, Y194 &gt;= $F193), 1, 0)</f>
        <v>0</v>
      </c>
      <c r="Z195" s="530">
        <f t="shared" ref="Z195" si="553" xml:space="preserve"> IF(AND(Y194 &lt; $F193, Z194 &gt;= $F193), 1, 0)</f>
        <v>0</v>
      </c>
      <c r="AA195" s="530">
        <f t="shared" ref="AA195" si="554" xml:space="preserve"> IF(AND(Z194 &lt; $F193, AA194 &gt;= $F193), 1, 0)</f>
        <v>0</v>
      </c>
      <c r="AB195" s="530">
        <f t="shared" ref="AB195" si="555" xml:space="preserve"> IF(AND(AA194 &lt; $F193, AB194 &gt;= $F193), 1, 0)</f>
        <v>0</v>
      </c>
      <c r="AC195" s="530">
        <f t="shared" ref="AC195" si="556" xml:space="preserve"> IF(AND(AB194 &lt; $F193, AC194 &gt;= $F193), 1, 0)</f>
        <v>0</v>
      </c>
      <c r="AD195" s="530">
        <f t="shared" ref="AD195" si="557" xml:space="preserve"> IF(AND(AC194 &lt; $F193, AD194 &gt;= $F193), 1, 0)</f>
        <v>0</v>
      </c>
      <c r="AE195" s="530">
        <f t="shared" ref="AE195" si="558" xml:space="preserve"> IF(AND(AD194 &lt; $F193, AE194 &gt;= $F193), 1, 0)</f>
        <v>0</v>
      </c>
      <c r="AF195" s="530">
        <f t="shared" ref="AF195" si="559" xml:space="preserve"> IF(AND(AE194 &lt; $F193, AF194 &gt;= $F193), 1, 0)</f>
        <v>0</v>
      </c>
      <c r="AG195" s="530">
        <f t="shared" ref="AG195" si="560" xml:space="preserve"> IF(AND(AF194 &lt; $F193, AG194 &gt;= $F193), 1, 0)</f>
        <v>0</v>
      </c>
      <c r="AH195" s="530">
        <f t="shared" ref="AH195" si="561" xml:space="preserve"> IF(AND(AG194 &lt; $F193, AH194 &gt;= $F193), 1, 0)</f>
        <v>0</v>
      </c>
      <c r="AI195" s="530">
        <f t="shared" ref="AI195" si="562" xml:space="preserve"> IF(AND(AH194 &lt; $F193, AI194 &gt;= $F193), 1, 0)</f>
        <v>0</v>
      </c>
      <c r="AJ195" s="530">
        <f t="shared" ref="AJ195" si="563" xml:space="preserve"> IF(AND(AI194 &lt; $F193, AJ194 &gt;= $F193), 1, 0)</f>
        <v>0</v>
      </c>
      <c r="AK195" s="530">
        <f t="shared" ref="AK195" si="564" xml:space="preserve"> IF(AND(AJ194 &lt; $F193, AK194 &gt;= $F193), 1, 0)</f>
        <v>0</v>
      </c>
      <c r="AL195" s="530">
        <f t="shared" ref="AL195" si="565" xml:space="preserve"> IF(AND(AK194 &lt; $F193, AL194 &gt;= $F193), 1, 0)</f>
        <v>0</v>
      </c>
      <c r="AM195" s="530">
        <f t="shared" ref="AM195" si="566" xml:space="preserve"> IF(AND(AL194 &lt; $F193, AM194 &gt;= $F193), 1, 0)</f>
        <v>0</v>
      </c>
      <c r="AN195" s="530">
        <f t="shared" ref="AN195" si="567" xml:space="preserve"> IF(AND(AM194 &lt; $F193, AN194 &gt;= $F193), 1, 0)</f>
        <v>0</v>
      </c>
      <c r="AO195" s="530">
        <f t="shared" ref="AO195" si="568" xml:space="preserve"> IF(AND(AN194 &lt; $F193, AO194 &gt;= $F193), 1, 0)</f>
        <v>0</v>
      </c>
      <c r="AP195" s="530">
        <f t="shared" ref="AP195" si="569" xml:space="preserve"> IF(AND(AO194 &lt; $F193, AP194 &gt;= $F193), 1, 0)</f>
        <v>0</v>
      </c>
      <c r="AQ195" s="530">
        <f t="shared" ref="AQ195" si="570" xml:space="preserve"> IF(AND(AP194 &lt; $F193, AQ194 &gt;= $F193), 1, 0)</f>
        <v>0</v>
      </c>
      <c r="AR195" s="530">
        <f t="shared" ref="AR195" si="571" xml:space="preserve"> IF(AND(AQ194 &lt; $F193, AR194 &gt;= $F193), 1, 0)</f>
        <v>0</v>
      </c>
      <c r="AS195" s="530">
        <f t="shared" ref="AS195" si="572" xml:space="preserve"> IF(AND(AR194 &lt; $F193, AS194 &gt;= $F193), 1, 0)</f>
        <v>0</v>
      </c>
      <c r="AT195" s="530">
        <f t="shared" ref="AT195" si="573" xml:space="preserve"> IF(AND(AS194 &lt; $F193, AT194 &gt;= $F193), 1, 0)</f>
        <v>0</v>
      </c>
      <c r="AU195" s="530">
        <f t="shared" ref="AU195" si="574" xml:space="preserve"> IF(AND(AT194 &lt; $F193, AU194 &gt;= $F193), 1, 0)</f>
        <v>0</v>
      </c>
      <c r="AV195" s="530">
        <f t="shared" ref="AV195" si="575" xml:space="preserve"> IF(AND(AU194 &lt; $F193, AV194 &gt;= $F193), 1, 0)</f>
        <v>0</v>
      </c>
      <c r="AW195" s="530">
        <f t="shared" ref="AW195" si="576" xml:space="preserve"> IF(AND(AV194 &lt; $F193, AW194 &gt;= $F193), 1, 0)</f>
        <v>0</v>
      </c>
      <c r="AX195" s="530">
        <f t="shared" ref="AX195" si="577" xml:space="preserve"> IF(AND(AW194 &lt; $F193, AX194 &gt;= $F193), 1, 0)</f>
        <v>0</v>
      </c>
      <c r="AY195" s="530">
        <f t="shared" ref="AY195" si="578" xml:space="preserve"> IF(AND(AX194 &lt; $F193, AY194 &gt;= $F193), 1, 0)</f>
        <v>0</v>
      </c>
      <c r="AZ195" s="530">
        <f t="shared" ref="AZ195" si="579" xml:space="preserve"> IF(AND(AY194 &lt; $F193, AZ194 &gt;= $F193), 1, 0)</f>
        <v>0</v>
      </c>
      <c r="BA195" s="530">
        <f t="shared" ref="BA195" si="580" xml:space="preserve"> IF(AND(AZ194 &lt; $F193, BA194 &gt;= $F193), 1, 0)</f>
        <v>0</v>
      </c>
      <c r="BB195" s="530">
        <f t="shared" ref="BB195" si="581" xml:space="preserve"> IF(AND(BA194 &lt; $F193, BB194 &gt;= $F193), 1, 0)</f>
        <v>0</v>
      </c>
      <c r="BC195" s="530">
        <f t="shared" ref="BC195" si="582" xml:space="preserve"> IF(AND(BB194 &lt; $F193, BC194 &gt;= $F193), 1, 0)</f>
        <v>0</v>
      </c>
      <c r="BD195" s="530">
        <f t="shared" ref="BD195" si="583" xml:space="preserve"> IF(AND(BC194 &lt; $F193, BD194 &gt;= $F193), 1, 0)</f>
        <v>0</v>
      </c>
      <c r="BE195" s="530">
        <f t="shared" ref="BE195" si="584" xml:space="preserve"> IF(AND(BD194 &lt; $F193, BE194 &gt;= $F193), 1, 0)</f>
        <v>0</v>
      </c>
      <c r="BF195" s="530">
        <f t="shared" ref="BF195" si="585" xml:space="preserve"> IF(AND(BE194 &lt; $F193, BF194 &gt;= $F193), 1, 0)</f>
        <v>0</v>
      </c>
      <c r="BG195" s="530">
        <f t="shared" ref="BG195" si="586" xml:space="preserve"> IF(AND(BF194 &lt; $F193, BG194 &gt;= $F193), 1, 0)</f>
        <v>0</v>
      </c>
      <c r="BH195" s="530">
        <f t="shared" ref="BH195" si="587" xml:space="preserve"> IF(AND(BG194 &lt; $F193, BH194 &gt;= $F193), 1, 0)</f>
        <v>0</v>
      </c>
      <c r="BI195" s="530">
        <f t="shared" ref="BI195" si="588" xml:space="preserve"> IF(AND(BH194 &lt; $F193, BI194 &gt;= $F193), 1, 0)</f>
        <v>0</v>
      </c>
      <c r="BJ195" s="530">
        <f t="shared" ref="BJ195" si="589" xml:space="preserve"> IF(AND(BI194 &lt; $F193, BJ194 &gt;= $F193), 1, 0)</f>
        <v>0</v>
      </c>
      <c r="BK195" s="530">
        <f t="shared" ref="BK195" si="590" xml:space="preserve"> IF(AND(BJ194 &lt; $F193, BK194 &gt;= $F193), 1, 0)</f>
        <v>0</v>
      </c>
      <c r="BL195" s="530">
        <f t="shared" ref="BL195" si="591" xml:space="preserve"> IF(AND(BK194 &lt; $F193, BL194 &gt;= $F193), 1, 0)</f>
        <v>0</v>
      </c>
      <c r="BM195" s="530">
        <f t="shared" ref="BM195" si="592" xml:space="preserve"> IF(AND(BL194 &lt; $F193, BM194 &gt;= $F193), 1, 0)</f>
        <v>0</v>
      </c>
      <c r="BN195" s="530">
        <f t="shared" ref="BN195" si="593" xml:space="preserve"> IF(AND(BM194 &lt; $F193, BN194 &gt;= $F193), 1, 0)</f>
        <v>0</v>
      </c>
      <c r="BO195" s="530">
        <f t="shared" ref="BO195" si="594" xml:space="preserve"> IF(AND(BN194 &lt; $F193, BO194 &gt;= $F193), 1, 0)</f>
        <v>0</v>
      </c>
      <c r="BP195" s="530">
        <f t="shared" ref="BP195" si="595" xml:space="preserve"> IF(AND(BO194 &lt; $F193, BP194 &gt;= $F193), 1, 0)</f>
        <v>0</v>
      </c>
      <c r="BQ195" s="530">
        <f t="shared" ref="BQ195" si="596" xml:space="preserve"> IF(AND(BP194 &lt; $F193, BQ194 &gt;= $F193), 1, 0)</f>
        <v>0</v>
      </c>
      <c r="BR195" s="530">
        <f t="shared" ref="BR195" si="597" xml:space="preserve"> IF(AND(BQ194 &lt; $F193, BR194 &gt;= $F193), 1, 0)</f>
        <v>0</v>
      </c>
      <c r="BS195" s="530">
        <f t="shared" ref="BS195" si="598" xml:space="preserve"> IF(AND(BR194 &lt; $F193, BS194 &gt;= $F193), 1, 0)</f>
        <v>0</v>
      </c>
      <c r="BT195" s="530">
        <f t="shared" ref="BT195" si="599" xml:space="preserve"> IF(AND(BS194 &lt; $F193, BT194 &gt;= $F193), 1, 0)</f>
        <v>0</v>
      </c>
      <c r="BU195" s="530">
        <f t="shared" ref="BU195" si="600" xml:space="preserve"> IF(AND(BT194 &lt; $F193, BU194 &gt;= $F193), 1, 0)</f>
        <v>0</v>
      </c>
      <c r="BV195" s="530">
        <f t="shared" ref="BV195" si="601" xml:space="preserve"> IF(AND(BU194 &lt; $F193, BV194 &gt;= $F193), 1, 0)</f>
        <v>0</v>
      </c>
      <c r="BW195" s="530">
        <f t="shared" ref="BW195" si="602" xml:space="preserve"> IF(AND(BV194 &lt; $F193, BW194 &gt;= $F193), 1, 0)</f>
        <v>0</v>
      </c>
      <c r="BX195" s="530">
        <f t="shared" ref="BX195" si="603" xml:space="preserve"> IF(AND(BW194 &lt; $F193, BX194 &gt;= $F193), 1, 0)</f>
        <v>0</v>
      </c>
      <c r="BY195" s="530">
        <f t="shared" ref="BY195" si="604" xml:space="preserve"> IF(AND(BX194 &lt; $F193, BY194 &gt;= $F193), 1, 0)</f>
        <v>0</v>
      </c>
      <c r="BZ195" s="530">
        <f t="shared" ref="BZ195" si="605" xml:space="preserve"> IF(AND(BY194 &lt; $F193, BZ194 &gt;= $F193), 1, 0)</f>
        <v>0</v>
      </c>
      <c r="CA195" s="530">
        <f t="shared" ref="CA195" si="606" xml:space="preserve"> IF(AND(BZ194 &lt; $F193, CA194 &gt;= $F193), 1, 0)</f>
        <v>0</v>
      </c>
      <c r="CB195" s="530">
        <f t="shared" ref="CB195" si="607" xml:space="preserve"> IF(AND(CA194 &lt; $F193, CB194 &gt;= $F193), 1, 0)</f>
        <v>0</v>
      </c>
      <c r="CC195" s="530">
        <f t="shared" ref="CC195" si="608" xml:space="preserve"> IF(AND(CB194 &lt; $F193, CC194 &gt;= $F193), 1, 0)</f>
        <v>0</v>
      </c>
      <c r="CD195" s="530">
        <f t="shared" ref="CD195" si="609" xml:space="preserve"> IF(AND(CC194 &lt; $F193, CD194 &gt;= $F193), 1, 0)</f>
        <v>0</v>
      </c>
      <c r="CE195" s="530">
        <f t="shared" ref="CE195" si="610" xml:space="preserve"> IF(AND(CD194 &lt; $F193, CE194 &gt;= $F193), 1, 0)</f>
        <v>0</v>
      </c>
      <c r="CF195" s="530">
        <f t="shared" ref="CF195" si="611" xml:space="preserve"> IF(AND(CE194 &lt; $F193, CF194 &gt;= $F193), 1, 0)</f>
        <v>0</v>
      </c>
      <c r="CG195" s="530">
        <f t="shared" ref="CG195" si="612" xml:space="preserve"> IF(AND(CF194 &lt; $F193, CG194 &gt;= $F193), 1, 0)</f>
        <v>0</v>
      </c>
      <c r="CH195" s="530">
        <f t="shared" ref="CH195" si="613" xml:space="preserve"> IF(AND(CG194 &lt; $F193, CH194 &gt;= $F193), 1, 0)</f>
        <v>0</v>
      </c>
      <c r="CI195" s="530">
        <f t="shared" ref="CI195" si="614" xml:space="preserve"> IF(AND(CH194 &lt; $F193, CI194 &gt;= $F193), 1, 0)</f>
        <v>0</v>
      </c>
      <c r="CJ195" s="530">
        <f t="shared" ref="CJ195" si="615" xml:space="preserve"> IF(AND(CI194 &lt; $F193, CJ194 &gt;= $F193), 1, 0)</f>
        <v>0</v>
      </c>
      <c r="CK195" s="530">
        <f t="shared" ref="CK195" si="616" xml:space="preserve"> IF(AND(CJ194 &lt; $F193, CK194 &gt;= $F193), 1, 0)</f>
        <v>0</v>
      </c>
      <c r="CL195" s="530">
        <f t="shared" ref="CL195" si="617" xml:space="preserve"> IF(AND(CK194 &lt; $F193, CL194 &gt;= $F193), 1, 0)</f>
        <v>0</v>
      </c>
      <c r="CM195" s="530">
        <f t="shared" ref="CM195" si="618" xml:space="preserve"> IF(AND(CL194 &lt; $F193, CM194 &gt;= $F193), 1, 0)</f>
        <v>0</v>
      </c>
      <c r="CN195" s="530">
        <f t="shared" ref="CN195" si="619" xml:space="preserve"> IF(AND(CM194 &lt; $F193, CN194 &gt;= $F193), 1, 0)</f>
        <v>0</v>
      </c>
      <c r="CO195" s="530">
        <f t="shared" ref="CO195" si="620" xml:space="preserve"> IF(AND(CN194 &lt; $F193, CO194 &gt;= $F193), 1, 0)</f>
        <v>0</v>
      </c>
      <c r="CP195" s="530">
        <f t="shared" ref="CP195" si="621" xml:space="preserve"> IF(AND(CO194 &lt; $F193, CP194 &gt;= $F193), 1, 0)</f>
        <v>0</v>
      </c>
      <c r="CQ195" s="530">
        <f t="shared" ref="CQ195" si="622" xml:space="preserve"> IF(AND(CP194 &lt; $F193, CQ194 &gt;= $F193), 1, 0)</f>
        <v>0</v>
      </c>
      <c r="CR195" s="530">
        <f t="shared" ref="CR195" si="623" xml:space="preserve"> IF(AND(CQ194 &lt; $F193, CR194 &gt;= $F193), 1, 0)</f>
        <v>0</v>
      </c>
      <c r="CS195" s="530">
        <f t="shared" ref="CS195" si="624" xml:space="preserve"> IF(AND(CR194 &lt; $F193, CS194 &gt;= $F193), 1, 0)</f>
        <v>0</v>
      </c>
      <c r="CT195" s="530">
        <f t="shared" ref="CT195" si="625" xml:space="preserve"> IF(AND(CS194 &lt; $F193, CT194 &gt;= $F193), 1, 0)</f>
        <v>0</v>
      </c>
      <c r="CU195" s="530">
        <f t="shared" ref="CU195" si="626" xml:space="preserve"> IF(AND(CT194 &lt; $F193, CU194 &gt;= $F193), 1, 0)</f>
        <v>0</v>
      </c>
      <c r="CV195" s="530">
        <f t="shared" ref="CV195" si="627" xml:space="preserve"> IF(AND(CU194 &lt; $F193, CV194 &gt;= $F193), 1, 0)</f>
        <v>0</v>
      </c>
    </row>
    <row r="196" spans="1:100" outlineLevel="2" x14ac:dyDescent="0.2">
      <c r="A196" s="522"/>
      <c r="B196" s="522"/>
      <c r="C196" s="523"/>
      <c r="D196" s="524"/>
      <c r="E196" s="664"/>
      <c r="F196" s="664"/>
      <c r="G196" s="664"/>
      <c r="H196" s="664"/>
      <c r="I196" s="665"/>
      <c r="J196" s="664"/>
      <c r="K196" s="664"/>
      <c r="L196" s="664"/>
      <c r="M196" s="664"/>
      <c r="N196" s="664"/>
      <c r="O196" s="664"/>
      <c r="P196" s="664"/>
      <c r="Q196" s="664"/>
      <c r="R196" s="664"/>
      <c r="S196" s="664"/>
      <c r="T196" s="664"/>
      <c r="U196" s="664"/>
      <c r="V196" s="664"/>
      <c r="W196" s="664"/>
      <c r="X196" s="664"/>
      <c r="Y196" s="664"/>
      <c r="Z196" s="664"/>
      <c r="AA196" s="664"/>
      <c r="AB196" s="664"/>
      <c r="AC196" s="664"/>
      <c r="AD196" s="664"/>
      <c r="AE196" s="664"/>
      <c r="AF196" s="664"/>
      <c r="AG196" s="664"/>
      <c r="AH196" s="664"/>
      <c r="AI196" s="664"/>
      <c r="AJ196" s="664"/>
      <c r="AK196" s="664"/>
      <c r="AL196" s="664"/>
      <c r="AM196" s="664"/>
      <c r="AN196" s="664"/>
      <c r="AO196" s="664"/>
      <c r="AP196" s="664"/>
      <c r="AQ196" s="664"/>
      <c r="AR196" s="664"/>
      <c r="AS196" s="664"/>
      <c r="AT196" s="664"/>
      <c r="AU196" s="664"/>
      <c r="AV196" s="664"/>
      <c r="AW196" s="664"/>
      <c r="AX196" s="664"/>
      <c r="AY196" s="664"/>
      <c r="AZ196" s="664"/>
      <c r="BA196" s="664"/>
      <c r="BB196" s="664"/>
      <c r="BC196" s="664"/>
      <c r="BD196" s="664"/>
      <c r="BE196" s="664"/>
      <c r="BF196" s="664"/>
      <c r="BG196" s="664"/>
      <c r="BH196" s="664"/>
      <c r="BI196" s="664"/>
      <c r="BJ196" s="664"/>
      <c r="BK196" s="664"/>
      <c r="BL196" s="664"/>
      <c r="BM196" s="664"/>
      <c r="BN196" s="664"/>
      <c r="BO196" s="664"/>
      <c r="BP196" s="664"/>
      <c r="BQ196" s="664"/>
      <c r="BR196" s="664"/>
      <c r="BS196" s="664"/>
      <c r="BT196" s="664"/>
      <c r="BU196" s="664"/>
      <c r="BV196" s="664"/>
      <c r="BW196" s="664"/>
      <c r="BX196" s="664"/>
      <c r="BY196" s="664"/>
      <c r="BZ196" s="664"/>
      <c r="CA196" s="664"/>
      <c r="CB196" s="664"/>
      <c r="CC196" s="664"/>
      <c r="CD196" s="664"/>
      <c r="CE196" s="664"/>
      <c r="CF196" s="664"/>
      <c r="CG196" s="664"/>
      <c r="CH196" s="664"/>
      <c r="CI196" s="664"/>
      <c r="CJ196" s="664"/>
      <c r="CK196" s="664"/>
      <c r="CL196" s="664"/>
      <c r="CM196" s="664"/>
      <c r="CN196" s="664"/>
      <c r="CO196" s="664"/>
      <c r="CP196" s="664"/>
      <c r="CQ196" s="664"/>
      <c r="CR196" s="664"/>
      <c r="CS196" s="664"/>
      <c r="CT196" s="664"/>
      <c r="CU196" s="664"/>
      <c r="CV196" s="664"/>
    </row>
    <row r="197" spans="1:100" outlineLevel="2" x14ac:dyDescent="0.2">
      <c r="A197" s="54"/>
      <c r="B197" s="54"/>
      <c r="C197" s="57"/>
      <c r="D197" s="69"/>
      <c r="E197" s="26" t="str">
        <f t="shared" ref="E197:G197" si="628" xml:space="preserve"> E$173</f>
        <v>Senior debt service end date - T2</v>
      </c>
      <c r="F197" s="26">
        <f t="shared" si="628"/>
        <v>50951</v>
      </c>
      <c r="G197" s="26" t="str">
        <f t="shared" si="628"/>
        <v>date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</row>
    <row r="198" spans="1:100" outlineLevel="2" x14ac:dyDescent="0.2">
      <c r="A198" s="49"/>
      <c r="C198" s="50"/>
      <c r="D198" s="51"/>
      <c r="E198" s="11" t="str">
        <f t="shared" ref="E198:BP198" si="629" xml:space="preserve"> E$25</f>
        <v>Model period ending</v>
      </c>
      <c r="F198" s="11">
        <f t="shared" si="629"/>
        <v>0</v>
      </c>
      <c r="G198" s="11" t="str">
        <f t="shared" si="629"/>
        <v>date</v>
      </c>
      <c r="H198" s="11">
        <f t="shared" si="629"/>
        <v>0</v>
      </c>
      <c r="I198" s="136">
        <f t="shared" si="629"/>
        <v>0</v>
      </c>
      <c r="J198" s="11">
        <f t="shared" si="629"/>
        <v>44742</v>
      </c>
      <c r="K198" s="11">
        <f t="shared" si="629"/>
        <v>44926</v>
      </c>
      <c r="L198" s="11">
        <f t="shared" si="629"/>
        <v>45107</v>
      </c>
      <c r="M198" s="11">
        <f t="shared" si="629"/>
        <v>45291</v>
      </c>
      <c r="N198" s="11">
        <f t="shared" si="629"/>
        <v>45473</v>
      </c>
      <c r="O198" s="11">
        <f t="shared" si="629"/>
        <v>45657</v>
      </c>
      <c r="P198" s="11">
        <f t="shared" si="629"/>
        <v>45838</v>
      </c>
      <c r="Q198" s="11">
        <f t="shared" si="629"/>
        <v>46022</v>
      </c>
      <c r="R198" s="11">
        <f t="shared" si="629"/>
        <v>46203</v>
      </c>
      <c r="S198" s="11">
        <f t="shared" si="629"/>
        <v>46387</v>
      </c>
      <c r="T198" s="11">
        <f t="shared" si="629"/>
        <v>46568</v>
      </c>
      <c r="U198" s="11">
        <f t="shared" si="629"/>
        <v>46752</v>
      </c>
      <c r="V198" s="11">
        <f t="shared" si="629"/>
        <v>46934</v>
      </c>
      <c r="W198" s="11">
        <f t="shared" si="629"/>
        <v>47118</v>
      </c>
      <c r="X198" s="11">
        <f t="shared" si="629"/>
        <v>47299</v>
      </c>
      <c r="Y198" s="11">
        <f t="shared" si="629"/>
        <v>47483</v>
      </c>
      <c r="Z198" s="11">
        <f t="shared" si="629"/>
        <v>47664</v>
      </c>
      <c r="AA198" s="11">
        <f t="shared" si="629"/>
        <v>47848</v>
      </c>
      <c r="AB198" s="11">
        <f t="shared" si="629"/>
        <v>48029</v>
      </c>
      <c r="AC198" s="11">
        <f t="shared" si="629"/>
        <v>48213</v>
      </c>
      <c r="AD198" s="11">
        <f t="shared" si="629"/>
        <v>48395</v>
      </c>
      <c r="AE198" s="11">
        <f t="shared" si="629"/>
        <v>48579</v>
      </c>
      <c r="AF198" s="11">
        <f t="shared" si="629"/>
        <v>48760</v>
      </c>
      <c r="AG198" s="11">
        <f t="shared" si="629"/>
        <v>48944</v>
      </c>
      <c r="AH198" s="11">
        <f t="shared" si="629"/>
        <v>49125</v>
      </c>
      <c r="AI198" s="11">
        <f t="shared" si="629"/>
        <v>49309</v>
      </c>
      <c r="AJ198" s="11">
        <f t="shared" si="629"/>
        <v>49490</v>
      </c>
      <c r="AK198" s="11">
        <f t="shared" si="629"/>
        <v>49674</v>
      </c>
      <c r="AL198" s="11">
        <f t="shared" si="629"/>
        <v>49856</v>
      </c>
      <c r="AM198" s="11">
        <f t="shared" si="629"/>
        <v>50040</v>
      </c>
      <c r="AN198" s="11">
        <f t="shared" si="629"/>
        <v>50221</v>
      </c>
      <c r="AO198" s="11">
        <f t="shared" si="629"/>
        <v>50405</v>
      </c>
      <c r="AP198" s="11">
        <f t="shared" si="629"/>
        <v>50586</v>
      </c>
      <c r="AQ198" s="11">
        <f t="shared" si="629"/>
        <v>50770</v>
      </c>
      <c r="AR198" s="11">
        <f t="shared" si="629"/>
        <v>50951</v>
      </c>
      <c r="AS198" s="11">
        <f t="shared" si="629"/>
        <v>51135</v>
      </c>
      <c r="AT198" s="11">
        <f t="shared" si="629"/>
        <v>51317</v>
      </c>
      <c r="AU198" s="11">
        <f t="shared" si="629"/>
        <v>51501</v>
      </c>
      <c r="AV198" s="11">
        <f t="shared" si="629"/>
        <v>51682</v>
      </c>
      <c r="AW198" s="11">
        <f t="shared" si="629"/>
        <v>51866</v>
      </c>
      <c r="AX198" s="11">
        <f t="shared" si="629"/>
        <v>52047</v>
      </c>
      <c r="AY198" s="11">
        <f t="shared" si="629"/>
        <v>52231</v>
      </c>
      <c r="AZ198" s="11">
        <f t="shared" si="629"/>
        <v>52412</v>
      </c>
      <c r="BA198" s="11">
        <f t="shared" si="629"/>
        <v>52596</v>
      </c>
      <c r="BB198" s="11">
        <f t="shared" si="629"/>
        <v>52778</v>
      </c>
      <c r="BC198" s="11">
        <f t="shared" si="629"/>
        <v>52962</v>
      </c>
      <c r="BD198" s="11">
        <f t="shared" si="629"/>
        <v>53143</v>
      </c>
      <c r="BE198" s="11">
        <f t="shared" si="629"/>
        <v>53327</v>
      </c>
      <c r="BF198" s="11">
        <f t="shared" si="629"/>
        <v>53508</v>
      </c>
      <c r="BG198" s="11">
        <f t="shared" si="629"/>
        <v>53692</v>
      </c>
      <c r="BH198" s="11">
        <f t="shared" si="629"/>
        <v>53873</v>
      </c>
      <c r="BI198" s="11">
        <f t="shared" si="629"/>
        <v>54057</v>
      </c>
      <c r="BJ198" s="11">
        <f t="shared" si="629"/>
        <v>54239</v>
      </c>
      <c r="BK198" s="11">
        <f t="shared" si="629"/>
        <v>54423</v>
      </c>
      <c r="BL198" s="11">
        <f t="shared" si="629"/>
        <v>54604</v>
      </c>
      <c r="BM198" s="11">
        <f t="shared" si="629"/>
        <v>54788</v>
      </c>
      <c r="BN198" s="11">
        <f t="shared" si="629"/>
        <v>54969</v>
      </c>
      <c r="BO198" s="11">
        <f t="shared" si="629"/>
        <v>55153</v>
      </c>
      <c r="BP198" s="11">
        <f t="shared" si="629"/>
        <v>55334</v>
      </c>
      <c r="BQ198" s="11">
        <f t="shared" ref="BQ198:CV198" si="630" xml:space="preserve"> BQ$25</f>
        <v>55518</v>
      </c>
      <c r="BR198" s="11">
        <f t="shared" si="630"/>
        <v>55700</v>
      </c>
      <c r="BS198" s="11">
        <f t="shared" si="630"/>
        <v>55884</v>
      </c>
      <c r="BT198" s="11">
        <f t="shared" si="630"/>
        <v>56065</v>
      </c>
      <c r="BU198" s="11">
        <f t="shared" si="630"/>
        <v>56249</v>
      </c>
      <c r="BV198" s="11">
        <f t="shared" si="630"/>
        <v>56430</v>
      </c>
      <c r="BW198" s="11">
        <f t="shared" si="630"/>
        <v>56614</v>
      </c>
      <c r="BX198" s="11">
        <f t="shared" si="630"/>
        <v>56795</v>
      </c>
      <c r="BY198" s="11">
        <f t="shared" si="630"/>
        <v>56979</v>
      </c>
      <c r="BZ198" s="11">
        <f t="shared" si="630"/>
        <v>57161</v>
      </c>
      <c r="CA198" s="11">
        <f t="shared" si="630"/>
        <v>57345</v>
      </c>
      <c r="CB198" s="11">
        <f t="shared" si="630"/>
        <v>57526</v>
      </c>
      <c r="CC198" s="11">
        <f t="shared" si="630"/>
        <v>57710</v>
      </c>
      <c r="CD198" s="11">
        <f t="shared" si="630"/>
        <v>57891</v>
      </c>
      <c r="CE198" s="11">
        <f t="shared" si="630"/>
        <v>58075</v>
      </c>
      <c r="CF198" s="11">
        <f t="shared" si="630"/>
        <v>58256</v>
      </c>
      <c r="CG198" s="11">
        <f t="shared" si="630"/>
        <v>58440</v>
      </c>
      <c r="CH198" s="11">
        <f t="shared" si="630"/>
        <v>58622</v>
      </c>
      <c r="CI198" s="11">
        <f t="shared" si="630"/>
        <v>58806</v>
      </c>
      <c r="CJ198" s="11">
        <f t="shared" si="630"/>
        <v>58987</v>
      </c>
      <c r="CK198" s="11">
        <f t="shared" si="630"/>
        <v>59171</v>
      </c>
      <c r="CL198" s="11">
        <f t="shared" si="630"/>
        <v>59352</v>
      </c>
      <c r="CM198" s="11">
        <f t="shared" si="630"/>
        <v>59536</v>
      </c>
      <c r="CN198" s="11">
        <f t="shared" si="630"/>
        <v>59717</v>
      </c>
      <c r="CO198" s="11">
        <f t="shared" si="630"/>
        <v>59901</v>
      </c>
      <c r="CP198" s="11">
        <f t="shared" si="630"/>
        <v>60083</v>
      </c>
      <c r="CQ198" s="11">
        <f t="shared" si="630"/>
        <v>60267</v>
      </c>
      <c r="CR198" s="11">
        <f t="shared" si="630"/>
        <v>60448</v>
      </c>
      <c r="CS198" s="11">
        <f t="shared" si="630"/>
        <v>60632</v>
      </c>
      <c r="CT198" s="11">
        <f t="shared" si="630"/>
        <v>60813</v>
      </c>
      <c r="CU198" s="11">
        <f t="shared" si="630"/>
        <v>60997</v>
      </c>
      <c r="CV198" s="11">
        <f t="shared" si="630"/>
        <v>61178</v>
      </c>
    </row>
    <row r="199" spans="1:100" s="191" customFormat="1" outlineLevel="2" x14ac:dyDescent="0.2">
      <c r="A199" s="429"/>
      <c r="B199" s="429"/>
      <c r="C199" s="430"/>
      <c r="D199" s="190"/>
      <c r="E199" s="191" t="s">
        <v>965</v>
      </c>
      <c r="G199" s="191" t="s">
        <v>5</v>
      </c>
      <c r="H199" s="191">
        <f xml:space="preserve"> SUM(J199:CV199)</f>
        <v>1</v>
      </c>
      <c r="I199" s="192"/>
      <c r="J199" s="234">
        <f t="shared" ref="J199:BU199" si="631" xml:space="preserve"> IF(J198 = $F197, 1, 0)</f>
        <v>0</v>
      </c>
      <c r="K199" s="234">
        <f t="shared" si="631"/>
        <v>0</v>
      </c>
      <c r="L199" s="234">
        <f t="shared" si="631"/>
        <v>0</v>
      </c>
      <c r="M199" s="234">
        <f t="shared" si="631"/>
        <v>0</v>
      </c>
      <c r="N199" s="234">
        <f t="shared" si="631"/>
        <v>0</v>
      </c>
      <c r="O199" s="234">
        <f t="shared" si="631"/>
        <v>0</v>
      </c>
      <c r="P199" s="234">
        <f t="shared" si="631"/>
        <v>0</v>
      </c>
      <c r="Q199" s="234">
        <f t="shared" si="631"/>
        <v>0</v>
      </c>
      <c r="R199" s="234">
        <f t="shared" si="631"/>
        <v>0</v>
      </c>
      <c r="S199" s="234">
        <f t="shared" si="631"/>
        <v>0</v>
      </c>
      <c r="T199" s="234">
        <f t="shared" si="631"/>
        <v>0</v>
      </c>
      <c r="U199" s="234">
        <f t="shared" si="631"/>
        <v>0</v>
      </c>
      <c r="V199" s="234">
        <f t="shared" si="631"/>
        <v>0</v>
      </c>
      <c r="W199" s="234">
        <f t="shared" si="631"/>
        <v>0</v>
      </c>
      <c r="X199" s="234">
        <f t="shared" si="631"/>
        <v>0</v>
      </c>
      <c r="Y199" s="234">
        <f t="shared" si="631"/>
        <v>0</v>
      </c>
      <c r="Z199" s="234">
        <f t="shared" si="631"/>
        <v>0</v>
      </c>
      <c r="AA199" s="234">
        <f t="shared" si="631"/>
        <v>0</v>
      </c>
      <c r="AB199" s="234">
        <f t="shared" si="631"/>
        <v>0</v>
      </c>
      <c r="AC199" s="234">
        <f t="shared" si="631"/>
        <v>0</v>
      </c>
      <c r="AD199" s="234">
        <f t="shared" si="631"/>
        <v>0</v>
      </c>
      <c r="AE199" s="234">
        <f t="shared" si="631"/>
        <v>0</v>
      </c>
      <c r="AF199" s="234">
        <f t="shared" si="631"/>
        <v>0</v>
      </c>
      <c r="AG199" s="234">
        <f t="shared" si="631"/>
        <v>0</v>
      </c>
      <c r="AH199" s="234">
        <f t="shared" si="631"/>
        <v>0</v>
      </c>
      <c r="AI199" s="234">
        <f t="shared" si="631"/>
        <v>0</v>
      </c>
      <c r="AJ199" s="234">
        <f t="shared" si="631"/>
        <v>0</v>
      </c>
      <c r="AK199" s="234">
        <f t="shared" si="631"/>
        <v>0</v>
      </c>
      <c r="AL199" s="234">
        <f t="shared" si="631"/>
        <v>0</v>
      </c>
      <c r="AM199" s="234">
        <f t="shared" si="631"/>
        <v>0</v>
      </c>
      <c r="AN199" s="234">
        <f t="shared" si="631"/>
        <v>0</v>
      </c>
      <c r="AO199" s="234">
        <f t="shared" si="631"/>
        <v>0</v>
      </c>
      <c r="AP199" s="234">
        <f t="shared" si="631"/>
        <v>0</v>
      </c>
      <c r="AQ199" s="234">
        <f t="shared" si="631"/>
        <v>0</v>
      </c>
      <c r="AR199" s="234">
        <f t="shared" si="631"/>
        <v>1</v>
      </c>
      <c r="AS199" s="234">
        <f t="shared" si="631"/>
        <v>0</v>
      </c>
      <c r="AT199" s="234">
        <f t="shared" si="631"/>
        <v>0</v>
      </c>
      <c r="AU199" s="234">
        <f t="shared" si="631"/>
        <v>0</v>
      </c>
      <c r="AV199" s="234">
        <f t="shared" si="631"/>
        <v>0</v>
      </c>
      <c r="AW199" s="234">
        <f t="shared" si="631"/>
        <v>0</v>
      </c>
      <c r="AX199" s="234">
        <f t="shared" si="631"/>
        <v>0</v>
      </c>
      <c r="AY199" s="234">
        <f t="shared" si="631"/>
        <v>0</v>
      </c>
      <c r="AZ199" s="234">
        <f t="shared" si="631"/>
        <v>0</v>
      </c>
      <c r="BA199" s="234">
        <f t="shared" si="631"/>
        <v>0</v>
      </c>
      <c r="BB199" s="234">
        <f t="shared" si="631"/>
        <v>0</v>
      </c>
      <c r="BC199" s="234">
        <f t="shared" si="631"/>
        <v>0</v>
      </c>
      <c r="BD199" s="234">
        <f t="shared" si="631"/>
        <v>0</v>
      </c>
      <c r="BE199" s="234">
        <f t="shared" si="631"/>
        <v>0</v>
      </c>
      <c r="BF199" s="234">
        <f t="shared" si="631"/>
        <v>0</v>
      </c>
      <c r="BG199" s="234">
        <f t="shared" si="631"/>
        <v>0</v>
      </c>
      <c r="BH199" s="234">
        <f t="shared" si="631"/>
        <v>0</v>
      </c>
      <c r="BI199" s="234">
        <f t="shared" si="631"/>
        <v>0</v>
      </c>
      <c r="BJ199" s="234">
        <f t="shared" si="631"/>
        <v>0</v>
      </c>
      <c r="BK199" s="234">
        <f t="shared" si="631"/>
        <v>0</v>
      </c>
      <c r="BL199" s="234">
        <f t="shared" si="631"/>
        <v>0</v>
      </c>
      <c r="BM199" s="234">
        <f t="shared" si="631"/>
        <v>0</v>
      </c>
      <c r="BN199" s="234">
        <f t="shared" si="631"/>
        <v>0</v>
      </c>
      <c r="BO199" s="234">
        <f t="shared" si="631"/>
        <v>0</v>
      </c>
      <c r="BP199" s="234">
        <f t="shared" si="631"/>
        <v>0</v>
      </c>
      <c r="BQ199" s="234">
        <f t="shared" si="631"/>
        <v>0</v>
      </c>
      <c r="BR199" s="234">
        <f t="shared" si="631"/>
        <v>0</v>
      </c>
      <c r="BS199" s="234">
        <f t="shared" si="631"/>
        <v>0</v>
      </c>
      <c r="BT199" s="234">
        <f t="shared" si="631"/>
        <v>0</v>
      </c>
      <c r="BU199" s="234">
        <f t="shared" si="631"/>
        <v>0</v>
      </c>
      <c r="BV199" s="234">
        <f t="shared" ref="BV199:CV199" si="632" xml:space="preserve"> IF(BV198 = $F197, 1, 0)</f>
        <v>0</v>
      </c>
      <c r="BW199" s="234">
        <f t="shared" si="632"/>
        <v>0</v>
      </c>
      <c r="BX199" s="234">
        <f t="shared" si="632"/>
        <v>0</v>
      </c>
      <c r="BY199" s="234">
        <f t="shared" si="632"/>
        <v>0</v>
      </c>
      <c r="BZ199" s="234">
        <f t="shared" si="632"/>
        <v>0</v>
      </c>
      <c r="CA199" s="234">
        <f t="shared" si="632"/>
        <v>0</v>
      </c>
      <c r="CB199" s="234">
        <f t="shared" si="632"/>
        <v>0</v>
      </c>
      <c r="CC199" s="234">
        <f t="shared" si="632"/>
        <v>0</v>
      </c>
      <c r="CD199" s="234">
        <f t="shared" si="632"/>
        <v>0</v>
      </c>
      <c r="CE199" s="234">
        <f t="shared" si="632"/>
        <v>0</v>
      </c>
      <c r="CF199" s="234">
        <f t="shared" si="632"/>
        <v>0</v>
      </c>
      <c r="CG199" s="234">
        <f t="shared" si="632"/>
        <v>0</v>
      </c>
      <c r="CH199" s="234">
        <f t="shared" si="632"/>
        <v>0</v>
      </c>
      <c r="CI199" s="234">
        <f t="shared" si="632"/>
        <v>0</v>
      </c>
      <c r="CJ199" s="234">
        <f t="shared" si="632"/>
        <v>0</v>
      </c>
      <c r="CK199" s="234">
        <f t="shared" si="632"/>
        <v>0</v>
      </c>
      <c r="CL199" s="234">
        <f t="shared" si="632"/>
        <v>0</v>
      </c>
      <c r="CM199" s="234">
        <f t="shared" si="632"/>
        <v>0</v>
      </c>
      <c r="CN199" s="234">
        <f t="shared" si="632"/>
        <v>0</v>
      </c>
      <c r="CO199" s="234">
        <f t="shared" si="632"/>
        <v>0</v>
      </c>
      <c r="CP199" s="234">
        <f t="shared" si="632"/>
        <v>0</v>
      </c>
      <c r="CQ199" s="234">
        <f t="shared" si="632"/>
        <v>0</v>
      </c>
      <c r="CR199" s="234">
        <f t="shared" si="632"/>
        <v>0</v>
      </c>
      <c r="CS199" s="234">
        <f t="shared" si="632"/>
        <v>0</v>
      </c>
      <c r="CT199" s="234">
        <f t="shared" si="632"/>
        <v>0</v>
      </c>
      <c r="CU199" s="234">
        <f t="shared" si="632"/>
        <v>0</v>
      </c>
      <c r="CV199" s="234">
        <f t="shared" si="632"/>
        <v>0</v>
      </c>
    </row>
    <row r="200" spans="1:100" outlineLevel="2" x14ac:dyDescent="0.2">
      <c r="E200" s="6"/>
      <c r="F200" s="6"/>
      <c r="G200" s="6"/>
      <c r="H200" s="6"/>
      <c r="I200" s="71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  <c r="CP200" s="6"/>
      <c r="CQ200" s="6"/>
      <c r="CR200" s="6"/>
      <c r="CS200" s="6"/>
      <c r="CT200" s="6"/>
      <c r="CU200" s="6"/>
      <c r="CV200" s="6"/>
    </row>
    <row r="201" spans="1:100" outlineLevel="2" x14ac:dyDescent="0.2">
      <c r="E201" s="198" t="str">
        <f t="shared" ref="E201:AJ201" si="633" xml:space="preserve"> E$195</f>
        <v>Senior debt repayment period start flag - T2</v>
      </c>
      <c r="F201" s="198">
        <f t="shared" si="633"/>
        <v>0</v>
      </c>
      <c r="G201" s="198" t="str">
        <f t="shared" si="633"/>
        <v>flag</v>
      </c>
      <c r="H201" s="198">
        <f t="shared" si="633"/>
        <v>1</v>
      </c>
      <c r="I201" s="198">
        <f t="shared" si="633"/>
        <v>0</v>
      </c>
      <c r="J201" s="198">
        <f t="shared" si="633"/>
        <v>0</v>
      </c>
      <c r="K201" s="198">
        <f t="shared" si="633"/>
        <v>0</v>
      </c>
      <c r="L201" s="198">
        <f t="shared" si="633"/>
        <v>0</v>
      </c>
      <c r="M201" s="198">
        <f t="shared" si="633"/>
        <v>0</v>
      </c>
      <c r="N201" s="198">
        <f t="shared" si="633"/>
        <v>0</v>
      </c>
      <c r="O201" s="198">
        <f t="shared" si="633"/>
        <v>1</v>
      </c>
      <c r="P201" s="198">
        <f t="shared" si="633"/>
        <v>0</v>
      </c>
      <c r="Q201" s="198">
        <f t="shared" si="633"/>
        <v>0</v>
      </c>
      <c r="R201" s="198">
        <f t="shared" si="633"/>
        <v>0</v>
      </c>
      <c r="S201" s="198">
        <f t="shared" si="633"/>
        <v>0</v>
      </c>
      <c r="T201" s="198">
        <f t="shared" si="633"/>
        <v>0</v>
      </c>
      <c r="U201" s="198">
        <f t="shared" si="633"/>
        <v>0</v>
      </c>
      <c r="V201" s="198">
        <f t="shared" si="633"/>
        <v>0</v>
      </c>
      <c r="W201" s="198">
        <f t="shared" si="633"/>
        <v>0</v>
      </c>
      <c r="X201" s="198">
        <f t="shared" si="633"/>
        <v>0</v>
      </c>
      <c r="Y201" s="198">
        <f t="shared" si="633"/>
        <v>0</v>
      </c>
      <c r="Z201" s="198">
        <f t="shared" si="633"/>
        <v>0</v>
      </c>
      <c r="AA201" s="198">
        <f t="shared" si="633"/>
        <v>0</v>
      </c>
      <c r="AB201" s="198">
        <f t="shared" si="633"/>
        <v>0</v>
      </c>
      <c r="AC201" s="198">
        <f t="shared" si="633"/>
        <v>0</v>
      </c>
      <c r="AD201" s="198">
        <f t="shared" si="633"/>
        <v>0</v>
      </c>
      <c r="AE201" s="198">
        <f t="shared" si="633"/>
        <v>0</v>
      </c>
      <c r="AF201" s="198">
        <f t="shared" si="633"/>
        <v>0</v>
      </c>
      <c r="AG201" s="198">
        <f t="shared" si="633"/>
        <v>0</v>
      </c>
      <c r="AH201" s="198">
        <f t="shared" si="633"/>
        <v>0</v>
      </c>
      <c r="AI201" s="198">
        <f t="shared" si="633"/>
        <v>0</v>
      </c>
      <c r="AJ201" s="198">
        <f t="shared" si="633"/>
        <v>0</v>
      </c>
      <c r="AK201" s="198">
        <f t="shared" ref="AK201:BP201" si="634" xml:space="preserve"> AK$195</f>
        <v>0</v>
      </c>
      <c r="AL201" s="198">
        <f t="shared" si="634"/>
        <v>0</v>
      </c>
      <c r="AM201" s="198">
        <f t="shared" si="634"/>
        <v>0</v>
      </c>
      <c r="AN201" s="198">
        <f t="shared" si="634"/>
        <v>0</v>
      </c>
      <c r="AO201" s="198">
        <f t="shared" si="634"/>
        <v>0</v>
      </c>
      <c r="AP201" s="198">
        <f t="shared" si="634"/>
        <v>0</v>
      </c>
      <c r="AQ201" s="198">
        <f t="shared" si="634"/>
        <v>0</v>
      </c>
      <c r="AR201" s="198">
        <f t="shared" si="634"/>
        <v>0</v>
      </c>
      <c r="AS201" s="198">
        <f t="shared" si="634"/>
        <v>0</v>
      </c>
      <c r="AT201" s="198">
        <f t="shared" si="634"/>
        <v>0</v>
      </c>
      <c r="AU201" s="198">
        <f t="shared" si="634"/>
        <v>0</v>
      </c>
      <c r="AV201" s="198">
        <f t="shared" si="634"/>
        <v>0</v>
      </c>
      <c r="AW201" s="198">
        <f t="shared" si="634"/>
        <v>0</v>
      </c>
      <c r="AX201" s="198">
        <f t="shared" si="634"/>
        <v>0</v>
      </c>
      <c r="AY201" s="198">
        <f t="shared" si="634"/>
        <v>0</v>
      </c>
      <c r="AZ201" s="198">
        <f t="shared" si="634"/>
        <v>0</v>
      </c>
      <c r="BA201" s="198">
        <f t="shared" si="634"/>
        <v>0</v>
      </c>
      <c r="BB201" s="198">
        <f t="shared" si="634"/>
        <v>0</v>
      </c>
      <c r="BC201" s="198">
        <f t="shared" si="634"/>
        <v>0</v>
      </c>
      <c r="BD201" s="198">
        <f t="shared" si="634"/>
        <v>0</v>
      </c>
      <c r="BE201" s="198">
        <f t="shared" si="634"/>
        <v>0</v>
      </c>
      <c r="BF201" s="198">
        <f t="shared" si="634"/>
        <v>0</v>
      </c>
      <c r="BG201" s="198">
        <f t="shared" si="634"/>
        <v>0</v>
      </c>
      <c r="BH201" s="198">
        <f t="shared" si="634"/>
        <v>0</v>
      </c>
      <c r="BI201" s="198">
        <f t="shared" si="634"/>
        <v>0</v>
      </c>
      <c r="BJ201" s="198">
        <f t="shared" si="634"/>
        <v>0</v>
      </c>
      <c r="BK201" s="198">
        <f t="shared" si="634"/>
        <v>0</v>
      </c>
      <c r="BL201" s="198">
        <f t="shared" si="634"/>
        <v>0</v>
      </c>
      <c r="BM201" s="198">
        <f t="shared" si="634"/>
        <v>0</v>
      </c>
      <c r="BN201" s="198">
        <f t="shared" si="634"/>
        <v>0</v>
      </c>
      <c r="BO201" s="198">
        <f t="shared" si="634"/>
        <v>0</v>
      </c>
      <c r="BP201" s="198">
        <f t="shared" si="634"/>
        <v>0</v>
      </c>
      <c r="BQ201" s="198">
        <f t="shared" ref="BQ201:CV201" si="635" xml:space="preserve"> BQ$195</f>
        <v>0</v>
      </c>
      <c r="BR201" s="198">
        <f t="shared" si="635"/>
        <v>0</v>
      </c>
      <c r="BS201" s="198">
        <f t="shared" si="635"/>
        <v>0</v>
      </c>
      <c r="BT201" s="198">
        <f t="shared" si="635"/>
        <v>0</v>
      </c>
      <c r="BU201" s="198">
        <f t="shared" si="635"/>
        <v>0</v>
      </c>
      <c r="BV201" s="198">
        <f t="shared" si="635"/>
        <v>0</v>
      </c>
      <c r="BW201" s="198">
        <f t="shared" si="635"/>
        <v>0</v>
      </c>
      <c r="BX201" s="198">
        <f t="shared" si="635"/>
        <v>0</v>
      </c>
      <c r="BY201" s="198">
        <f t="shared" si="635"/>
        <v>0</v>
      </c>
      <c r="BZ201" s="198">
        <f t="shared" si="635"/>
        <v>0</v>
      </c>
      <c r="CA201" s="198">
        <f t="shared" si="635"/>
        <v>0</v>
      </c>
      <c r="CB201" s="198">
        <f t="shared" si="635"/>
        <v>0</v>
      </c>
      <c r="CC201" s="198">
        <f t="shared" si="635"/>
        <v>0</v>
      </c>
      <c r="CD201" s="198">
        <f t="shared" si="635"/>
        <v>0</v>
      </c>
      <c r="CE201" s="198">
        <f t="shared" si="635"/>
        <v>0</v>
      </c>
      <c r="CF201" s="198">
        <f t="shared" si="635"/>
        <v>0</v>
      </c>
      <c r="CG201" s="198">
        <f t="shared" si="635"/>
        <v>0</v>
      </c>
      <c r="CH201" s="198">
        <f t="shared" si="635"/>
        <v>0</v>
      </c>
      <c r="CI201" s="198">
        <f t="shared" si="635"/>
        <v>0</v>
      </c>
      <c r="CJ201" s="198">
        <f t="shared" si="635"/>
        <v>0</v>
      </c>
      <c r="CK201" s="198">
        <f t="shared" si="635"/>
        <v>0</v>
      </c>
      <c r="CL201" s="198">
        <f t="shared" si="635"/>
        <v>0</v>
      </c>
      <c r="CM201" s="198">
        <f t="shared" si="635"/>
        <v>0</v>
      </c>
      <c r="CN201" s="198">
        <f t="shared" si="635"/>
        <v>0</v>
      </c>
      <c r="CO201" s="198">
        <f t="shared" si="635"/>
        <v>0</v>
      </c>
      <c r="CP201" s="198">
        <f t="shared" si="635"/>
        <v>0</v>
      </c>
      <c r="CQ201" s="198">
        <f t="shared" si="635"/>
        <v>0</v>
      </c>
      <c r="CR201" s="198">
        <f t="shared" si="635"/>
        <v>0</v>
      </c>
      <c r="CS201" s="198">
        <f t="shared" si="635"/>
        <v>0</v>
      </c>
      <c r="CT201" s="198">
        <f t="shared" si="635"/>
        <v>0</v>
      </c>
      <c r="CU201" s="198">
        <f t="shared" si="635"/>
        <v>0</v>
      </c>
      <c r="CV201" s="198">
        <f t="shared" si="635"/>
        <v>0</v>
      </c>
    </row>
    <row r="202" spans="1:100" outlineLevel="2" x14ac:dyDescent="0.2">
      <c r="A202" s="49"/>
      <c r="C202" s="50"/>
      <c r="D202" s="51"/>
      <c r="E202" s="469" t="str">
        <f t="shared" ref="E202:AJ202" si="636" xml:space="preserve"> E$199</f>
        <v>Senior debt repayment period end flag - T2</v>
      </c>
      <c r="F202" s="469">
        <f t="shared" si="636"/>
        <v>0</v>
      </c>
      <c r="G202" s="469" t="str">
        <f t="shared" si="636"/>
        <v>flag</v>
      </c>
      <c r="H202" s="469">
        <f t="shared" si="636"/>
        <v>1</v>
      </c>
      <c r="I202" s="469">
        <f t="shared" si="636"/>
        <v>0</v>
      </c>
      <c r="J202" s="469">
        <f t="shared" si="636"/>
        <v>0</v>
      </c>
      <c r="K202" s="469">
        <f t="shared" si="636"/>
        <v>0</v>
      </c>
      <c r="L202" s="469">
        <f t="shared" si="636"/>
        <v>0</v>
      </c>
      <c r="M202" s="469">
        <f t="shared" si="636"/>
        <v>0</v>
      </c>
      <c r="N202" s="469">
        <f t="shared" si="636"/>
        <v>0</v>
      </c>
      <c r="O202" s="469">
        <f t="shared" si="636"/>
        <v>0</v>
      </c>
      <c r="P202" s="469">
        <f t="shared" si="636"/>
        <v>0</v>
      </c>
      <c r="Q202" s="469">
        <f t="shared" si="636"/>
        <v>0</v>
      </c>
      <c r="R202" s="469">
        <f t="shared" si="636"/>
        <v>0</v>
      </c>
      <c r="S202" s="469">
        <f t="shared" si="636"/>
        <v>0</v>
      </c>
      <c r="T202" s="469">
        <f t="shared" si="636"/>
        <v>0</v>
      </c>
      <c r="U202" s="469">
        <f t="shared" si="636"/>
        <v>0</v>
      </c>
      <c r="V202" s="469">
        <f t="shared" si="636"/>
        <v>0</v>
      </c>
      <c r="W202" s="469">
        <f t="shared" si="636"/>
        <v>0</v>
      </c>
      <c r="X202" s="469">
        <f t="shared" si="636"/>
        <v>0</v>
      </c>
      <c r="Y202" s="469">
        <f t="shared" si="636"/>
        <v>0</v>
      </c>
      <c r="Z202" s="469">
        <f t="shared" si="636"/>
        <v>0</v>
      </c>
      <c r="AA202" s="469">
        <f t="shared" si="636"/>
        <v>0</v>
      </c>
      <c r="AB202" s="469">
        <f t="shared" si="636"/>
        <v>0</v>
      </c>
      <c r="AC202" s="469">
        <f t="shared" si="636"/>
        <v>0</v>
      </c>
      <c r="AD202" s="469">
        <f t="shared" si="636"/>
        <v>0</v>
      </c>
      <c r="AE202" s="469">
        <f t="shared" si="636"/>
        <v>0</v>
      </c>
      <c r="AF202" s="469">
        <f t="shared" si="636"/>
        <v>0</v>
      </c>
      <c r="AG202" s="469">
        <f t="shared" si="636"/>
        <v>0</v>
      </c>
      <c r="AH202" s="469">
        <f t="shared" si="636"/>
        <v>0</v>
      </c>
      <c r="AI202" s="469">
        <f t="shared" si="636"/>
        <v>0</v>
      </c>
      <c r="AJ202" s="469">
        <f t="shared" si="636"/>
        <v>0</v>
      </c>
      <c r="AK202" s="469">
        <f t="shared" ref="AK202:BP202" si="637" xml:space="preserve"> AK$199</f>
        <v>0</v>
      </c>
      <c r="AL202" s="469">
        <f t="shared" si="637"/>
        <v>0</v>
      </c>
      <c r="AM202" s="469">
        <f t="shared" si="637"/>
        <v>0</v>
      </c>
      <c r="AN202" s="469">
        <f t="shared" si="637"/>
        <v>0</v>
      </c>
      <c r="AO202" s="469">
        <f t="shared" si="637"/>
        <v>0</v>
      </c>
      <c r="AP202" s="469">
        <f t="shared" si="637"/>
        <v>0</v>
      </c>
      <c r="AQ202" s="469">
        <f t="shared" si="637"/>
        <v>0</v>
      </c>
      <c r="AR202" s="469">
        <f t="shared" si="637"/>
        <v>1</v>
      </c>
      <c r="AS202" s="469">
        <f t="shared" si="637"/>
        <v>0</v>
      </c>
      <c r="AT202" s="469">
        <f t="shared" si="637"/>
        <v>0</v>
      </c>
      <c r="AU202" s="469">
        <f t="shared" si="637"/>
        <v>0</v>
      </c>
      <c r="AV202" s="469">
        <f t="shared" si="637"/>
        <v>0</v>
      </c>
      <c r="AW202" s="469">
        <f t="shared" si="637"/>
        <v>0</v>
      </c>
      <c r="AX202" s="469">
        <f t="shared" si="637"/>
        <v>0</v>
      </c>
      <c r="AY202" s="469">
        <f t="shared" si="637"/>
        <v>0</v>
      </c>
      <c r="AZ202" s="469">
        <f t="shared" si="637"/>
        <v>0</v>
      </c>
      <c r="BA202" s="469">
        <f t="shared" si="637"/>
        <v>0</v>
      </c>
      <c r="BB202" s="469">
        <f t="shared" si="637"/>
        <v>0</v>
      </c>
      <c r="BC202" s="469">
        <f t="shared" si="637"/>
        <v>0</v>
      </c>
      <c r="BD202" s="469">
        <f t="shared" si="637"/>
        <v>0</v>
      </c>
      <c r="BE202" s="469">
        <f t="shared" si="637"/>
        <v>0</v>
      </c>
      <c r="BF202" s="469">
        <f t="shared" si="637"/>
        <v>0</v>
      </c>
      <c r="BG202" s="469">
        <f t="shared" si="637"/>
        <v>0</v>
      </c>
      <c r="BH202" s="469">
        <f t="shared" si="637"/>
        <v>0</v>
      </c>
      <c r="BI202" s="469">
        <f t="shared" si="637"/>
        <v>0</v>
      </c>
      <c r="BJ202" s="469">
        <f t="shared" si="637"/>
        <v>0</v>
      </c>
      <c r="BK202" s="469">
        <f t="shared" si="637"/>
        <v>0</v>
      </c>
      <c r="BL202" s="469">
        <f t="shared" si="637"/>
        <v>0</v>
      </c>
      <c r="BM202" s="469">
        <f t="shared" si="637"/>
        <v>0</v>
      </c>
      <c r="BN202" s="469">
        <f t="shared" si="637"/>
        <v>0</v>
      </c>
      <c r="BO202" s="469">
        <f t="shared" si="637"/>
        <v>0</v>
      </c>
      <c r="BP202" s="469">
        <f t="shared" si="637"/>
        <v>0</v>
      </c>
      <c r="BQ202" s="469">
        <f t="shared" ref="BQ202:CV202" si="638" xml:space="preserve"> BQ$199</f>
        <v>0</v>
      </c>
      <c r="BR202" s="469">
        <f t="shared" si="638"/>
        <v>0</v>
      </c>
      <c r="BS202" s="469">
        <f t="shared" si="638"/>
        <v>0</v>
      </c>
      <c r="BT202" s="469">
        <f t="shared" si="638"/>
        <v>0</v>
      </c>
      <c r="BU202" s="469">
        <f t="shared" si="638"/>
        <v>0</v>
      </c>
      <c r="BV202" s="469">
        <f t="shared" si="638"/>
        <v>0</v>
      </c>
      <c r="BW202" s="469">
        <f t="shared" si="638"/>
        <v>0</v>
      </c>
      <c r="BX202" s="469">
        <f t="shared" si="638"/>
        <v>0</v>
      </c>
      <c r="BY202" s="469">
        <f t="shared" si="638"/>
        <v>0</v>
      </c>
      <c r="BZ202" s="469">
        <f t="shared" si="638"/>
        <v>0</v>
      </c>
      <c r="CA202" s="469">
        <f t="shared" si="638"/>
        <v>0</v>
      </c>
      <c r="CB202" s="469">
        <f t="shared" si="638"/>
        <v>0</v>
      </c>
      <c r="CC202" s="469">
        <f t="shared" si="638"/>
        <v>0</v>
      </c>
      <c r="CD202" s="469">
        <f t="shared" si="638"/>
        <v>0</v>
      </c>
      <c r="CE202" s="469">
        <f t="shared" si="638"/>
        <v>0</v>
      </c>
      <c r="CF202" s="469">
        <f t="shared" si="638"/>
        <v>0</v>
      </c>
      <c r="CG202" s="469">
        <f t="shared" si="638"/>
        <v>0</v>
      </c>
      <c r="CH202" s="469">
        <f t="shared" si="638"/>
        <v>0</v>
      </c>
      <c r="CI202" s="469">
        <f t="shared" si="638"/>
        <v>0</v>
      </c>
      <c r="CJ202" s="469">
        <f t="shared" si="638"/>
        <v>0</v>
      </c>
      <c r="CK202" s="469">
        <f t="shared" si="638"/>
        <v>0</v>
      </c>
      <c r="CL202" s="469">
        <f t="shared" si="638"/>
        <v>0</v>
      </c>
      <c r="CM202" s="469">
        <f t="shared" si="638"/>
        <v>0</v>
      </c>
      <c r="CN202" s="469">
        <f t="shared" si="638"/>
        <v>0</v>
      </c>
      <c r="CO202" s="469">
        <f t="shared" si="638"/>
        <v>0</v>
      </c>
      <c r="CP202" s="469">
        <f t="shared" si="638"/>
        <v>0</v>
      </c>
      <c r="CQ202" s="469">
        <f t="shared" si="638"/>
        <v>0</v>
      </c>
      <c r="CR202" s="469">
        <f t="shared" si="638"/>
        <v>0</v>
      </c>
      <c r="CS202" s="469">
        <f t="shared" si="638"/>
        <v>0</v>
      </c>
      <c r="CT202" s="469">
        <f t="shared" si="638"/>
        <v>0</v>
      </c>
      <c r="CU202" s="469">
        <f t="shared" si="638"/>
        <v>0</v>
      </c>
      <c r="CV202" s="469">
        <f t="shared" si="638"/>
        <v>0</v>
      </c>
    </row>
    <row r="203" spans="1:100" s="188" customFormat="1" outlineLevel="2" x14ac:dyDescent="0.2">
      <c r="A203" s="227"/>
      <c r="B203" s="227"/>
      <c r="C203" s="228"/>
      <c r="D203" s="229"/>
      <c r="E203" s="230" t="s">
        <v>958</v>
      </c>
      <c r="F203" s="397"/>
      <c r="G203" s="188" t="s">
        <v>5</v>
      </c>
      <c r="H203" s="188">
        <f xml:space="preserve"> SUM(J203:CV203)</f>
        <v>30</v>
      </c>
      <c r="I203" s="230"/>
      <c r="J203" s="230">
        <f t="shared" ref="J203" si="639" xml:space="preserve"> I203 + J201 - I202</f>
        <v>0</v>
      </c>
      <c r="K203" s="230">
        <f t="shared" ref="K203" si="640" xml:space="preserve"> J203 + K201 - J202</f>
        <v>0</v>
      </c>
      <c r="L203" s="230">
        <f t="shared" ref="L203" si="641" xml:space="preserve"> K203 + L201 - K202</f>
        <v>0</v>
      </c>
      <c r="M203" s="230">
        <f t="shared" ref="M203" si="642" xml:space="preserve"> L203 + M201 - L202</f>
        <v>0</v>
      </c>
      <c r="N203" s="230">
        <f t="shared" ref="N203" si="643" xml:space="preserve"> M203 + N201 - M202</f>
        <v>0</v>
      </c>
      <c r="O203" s="230">
        <f t="shared" ref="O203" si="644" xml:space="preserve"> N203 + O201 - N202</f>
        <v>1</v>
      </c>
      <c r="P203" s="230">
        <f t="shared" ref="P203" si="645" xml:space="preserve"> O203 + P201 - O202</f>
        <v>1</v>
      </c>
      <c r="Q203" s="230">
        <f t="shared" ref="Q203" si="646" xml:space="preserve"> P203 + Q201 - P202</f>
        <v>1</v>
      </c>
      <c r="R203" s="230">
        <f t="shared" ref="R203" si="647" xml:space="preserve"> Q203 + R201 - Q202</f>
        <v>1</v>
      </c>
      <c r="S203" s="230">
        <f t="shared" ref="S203" si="648" xml:space="preserve"> R203 + S201 - R202</f>
        <v>1</v>
      </c>
      <c r="T203" s="230">
        <f t="shared" ref="T203" si="649" xml:space="preserve"> S203 + T201 - S202</f>
        <v>1</v>
      </c>
      <c r="U203" s="230">
        <f t="shared" ref="U203" si="650" xml:space="preserve"> T203 + U201 - T202</f>
        <v>1</v>
      </c>
      <c r="V203" s="230">
        <f t="shared" ref="V203" si="651" xml:space="preserve"> U203 + V201 - U202</f>
        <v>1</v>
      </c>
      <c r="W203" s="230">
        <f t="shared" ref="W203" si="652" xml:space="preserve"> V203 + W201 - V202</f>
        <v>1</v>
      </c>
      <c r="X203" s="230">
        <f t="shared" ref="X203" si="653" xml:space="preserve"> W203 + X201 - W202</f>
        <v>1</v>
      </c>
      <c r="Y203" s="230">
        <f t="shared" ref="Y203" si="654" xml:space="preserve"> X203 + Y201 - X202</f>
        <v>1</v>
      </c>
      <c r="Z203" s="230">
        <f t="shared" ref="Z203" si="655" xml:space="preserve"> Y203 + Z201 - Y202</f>
        <v>1</v>
      </c>
      <c r="AA203" s="230">
        <f t="shared" ref="AA203" si="656" xml:space="preserve"> Z203 + AA201 - Z202</f>
        <v>1</v>
      </c>
      <c r="AB203" s="230">
        <f t="shared" ref="AB203" si="657" xml:space="preserve"> AA203 + AB201 - AA202</f>
        <v>1</v>
      </c>
      <c r="AC203" s="230">
        <f t="shared" ref="AC203" si="658" xml:space="preserve"> AB203 + AC201 - AB202</f>
        <v>1</v>
      </c>
      <c r="AD203" s="230">
        <f t="shared" ref="AD203" si="659" xml:space="preserve"> AC203 + AD201 - AC202</f>
        <v>1</v>
      </c>
      <c r="AE203" s="230">
        <f t="shared" ref="AE203" si="660" xml:space="preserve"> AD203 + AE201 - AD202</f>
        <v>1</v>
      </c>
      <c r="AF203" s="230">
        <f t="shared" ref="AF203" si="661" xml:space="preserve"> AE203 + AF201 - AE202</f>
        <v>1</v>
      </c>
      <c r="AG203" s="230">
        <f t="shared" ref="AG203" si="662" xml:space="preserve"> AF203 + AG201 - AF202</f>
        <v>1</v>
      </c>
      <c r="AH203" s="230">
        <f t="shared" ref="AH203" si="663" xml:space="preserve"> AG203 + AH201 - AG202</f>
        <v>1</v>
      </c>
      <c r="AI203" s="230">
        <f t="shared" ref="AI203" si="664" xml:space="preserve"> AH203 + AI201 - AH202</f>
        <v>1</v>
      </c>
      <c r="AJ203" s="230">
        <f t="shared" ref="AJ203" si="665" xml:space="preserve"> AI203 + AJ201 - AI202</f>
        <v>1</v>
      </c>
      <c r="AK203" s="230">
        <f t="shared" ref="AK203" si="666" xml:space="preserve"> AJ203 + AK201 - AJ202</f>
        <v>1</v>
      </c>
      <c r="AL203" s="230">
        <f t="shared" ref="AL203" si="667" xml:space="preserve"> AK203 + AL201 - AK202</f>
        <v>1</v>
      </c>
      <c r="AM203" s="230">
        <f t="shared" ref="AM203" si="668" xml:space="preserve"> AL203 + AM201 - AL202</f>
        <v>1</v>
      </c>
      <c r="AN203" s="230">
        <f t="shared" ref="AN203" si="669" xml:space="preserve"> AM203 + AN201 - AM202</f>
        <v>1</v>
      </c>
      <c r="AO203" s="230">
        <f t="shared" ref="AO203" si="670" xml:space="preserve"> AN203 + AO201 - AN202</f>
        <v>1</v>
      </c>
      <c r="AP203" s="230">
        <f t="shared" ref="AP203" si="671" xml:space="preserve"> AO203 + AP201 - AO202</f>
        <v>1</v>
      </c>
      <c r="AQ203" s="230">
        <f t="shared" ref="AQ203" si="672" xml:space="preserve"> AP203 + AQ201 - AP202</f>
        <v>1</v>
      </c>
      <c r="AR203" s="230">
        <f t="shared" ref="AR203" si="673" xml:space="preserve"> AQ203 + AR201 - AQ202</f>
        <v>1</v>
      </c>
      <c r="AS203" s="230">
        <f t="shared" ref="AS203" si="674" xml:space="preserve"> AR203 + AS201 - AR202</f>
        <v>0</v>
      </c>
      <c r="AT203" s="230">
        <f t="shared" ref="AT203" si="675" xml:space="preserve"> AS203 + AT201 - AS202</f>
        <v>0</v>
      </c>
      <c r="AU203" s="230">
        <f t="shared" ref="AU203" si="676" xml:space="preserve"> AT203 + AU201 - AT202</f>
        <v>0</v>
      </c>
      <c r="AV203" s="230">
        <f t="shared" ref="AV203" si="677" xml:space="preserve"> AU203 + AV201 - AU202</f>
        <v>0</v>
      </c>
      <c r="AW203" s="230">
        <f t="shared" ref="AW203" si="678" xml:space="preserve"> AV203 + AW201 - AV202</f>
        <v>0</v>
      </c>
      <c r="AX203" s="230">
        <f t="shared" ref="AX203" si="679" xml:space="preserve"> AW203 + AX201 - AW202</f>
        <v>0</v>
      </c>
      <c r="AY203" s="230">
        <f t="shared" ref="AY203" si="680" xml:space="preserve"> AX203 + AY201 - AX202</f>
        <v>0</v>
      </c>
      <c r="AZ203" s="230">
        <f t="shared" ref="AZ203" si="681" xml:space="preserve"> AY203 + AZ201 - AY202</f>
        <v>0</v>
      </c>
      <c r="BA203" s="230">
        <f t="shared" ref="BA203" si="682" xml:space="preserve"> AZ203 + BA201 - AZ202</f>
        <v>0</v>
      </c>
      <c r="BB203" s="230">
        <f t="shared" ref="BB203" si="683" xml:space="preserve"> BA203 + BB201 - BA202</f>
        <v>0</v>
      </c>
      <c r="BC203" s="230">
        <f t="shared" ref="BC203" si="684" xml:space="preserve"> BB203 + BC201 - BB202</f>
        <v>0</v>
      </c>
      <c r="BD203" s="230">
        <f t="shared" ref="BD203" si="685" xml:space="preserve"> BC203 + BD201 - BC202</f>
        <v>0</v>
      </c>
      <c r="BE203" s="230">
        <f t="shared" ref="BE203" si="686" xml:space="preserve"> BD203 + BE201 - BD202</f>
        <v>0</v>
      </c>
      <c r="BF203" s="230">
        <f t="shared" ref="BF203" si="687" xml:space="preserve"> BE203 + BF201 - BE202</f>
        <v>0</v>
      </c>
      <c r="BG203" s="230">
        <f t="shared" ref="BG203" si="688" xml:space="preserve"> BF203 + BG201 - BF202</f>
        <v>0</v>
      </c>
      <c r="BH203" s="230">
        <f t="shared" ref="BH203" si="689" xml:space="preserve"> BG203 + BH201 - BG202</f>
        <v>0</v>
      </c>
      <c r="BI203" s="230">
        <f t="shared" ref="BI203" si="690" xml:space="preserve"> BH203 + BI201 - BH202</f>
        <v>0</v>
      </c>
      <c r="BJ203" s="230">
        <f t="shared" ref="BJ203" si="691" xml:space="preserve"> BI203 + BJ201 - BI202</f>
        <v>0</v>
      </c>
      <c r="BK203" s="230">
        <f t="shared" ref="BK203" si="692" xml:space="preserve"> BJ203 + BK201 - BJ202</f>
        <v>0</v>
      </c>
      <c r="BL203" s="230">
        <f t="shared" ref="BL203" si="693" xml:space="preserve"> BK203 + BL201 - BK202</f>
        <v>0</v>
      </c>
      <c r="BM203" s="230">
        <f t="shared" ref="BM203" si="694" xml:space="preserve"> BL203 + BM201 - BL202</f>
        <v>0</v>
      </c>
      <c r="BN203" s="230">
        <f t="shared" ref="BN203" si="695" xml:space="preserve"> BM203 + BN201 - BM202</f>
        <v>0</v>
      </c>
      <c r="BO203" s="230">
        <f t="shared" ref="BO203" si="696" xml:space="preserve"> BN203 + BO201 - BN202</f>
        <v>0</v>
      </c>
      <c r="BP203" s="230">
        <f t="shared" ref="BP203" si="697" xml:space="preserve"> BO203 + BP201 - BO202</f>
        <v>0</v>
      </c>
      <c r="BQ203" s="230">
        <f t="shared" ref="BQ203" si="698" xml:space="preserve"> BP203 + BQ201 - BP202</f>
        <v>0</v>
      </c>
      <c r="BR203" s="230">
        <f t="shared" ref="BR203" si="699" xml:space="preserve"> BQ203 + BR201 - BQ202</f>
        <v>0</v>
      </c>
      <c r="BS203" s="230">
        <f t="shared" ref="BS203" si="700" xml:space="preserve"> BR203 + BS201 - BR202</f>
        <v>0</v>
      </c>
      <c r="BT203" s="230">
        <f t="shared" ref="BT203" si="701" xml:space="preserve"> BS203 + BT201 - BS202</f>
        <v>0</v>
      </c>
      <c r="BU203" s="230">
        <f t="shared" ref="BU203" si="702" xml:space="preserve"> BT203 + BU201 - BT202</f>
        <v>0</v>
      </c>
      <c r="BV203" s="230">
        <f t="shared" ref="BV203" si="703" xml:space="preserve"> BU203 + BV201 - BU202</f>
        <v>0</v>
      </c>
      <c r="BW203" s="230">
        <f t="shared" ref="BW203" si="704" xml:space="preserve"> BV203 + BW201 - BV202</f>
        <v>0</v>
      </c>
      <c r="BX203" s="230">
        <f t="shared" ref="BX203" si="705" xml:space="preserve"> BW203 + BX201 - BW202</f>
        <v>0</v>
      </c>
      <c r="BY203" s="230">
        <f t="shared" ref="BY203" si="706" xml:space="preserve"> BX203 + BY201 - BX202</f>
        <v>0</v>
      </c>
      <c r="BZ203" s="230">
        <f t="shared" ref="BZ203" si="707" xml:space="preserve"> BY203 + BZ201 - BY202</f>
        <v>0</v>
      </c>
      <c r="CA203" s="230">
        <f t="shared" ref="CA203" si="708" xml:space="preserve"> BZ203 + CA201 - BZ202</f>
        <v>0</v>
      </c>
      <c r="CB203" s="230">
        <f t="shared" ref="CB203" si="709" xml:space="preserve"> CA203 + CB201 - CA202</f>
        <v>0</v>
      </c>
      <c r="CC203" s="230">
        <f t="shared" ref="CC203" si="710" xml:space="preserve"> CB203 + CC201 - CB202</f>
        <v>0</v>
      </c>
      <c r="CD203" s="230">
        <f t="shared" ref="CD203" si="711" xml:space="preserve"> CC203 + CD201 - CC202</f>
        <v>0</v>
      </c>
      <c r="CE203" s="230">
        <f t="shared" ref="CE203" si="712" xml:space="preserve"> CD203 + CE201 - CD202</f>
        <v>0</v>
      </c>
      <c r="CF203" s="230">
        <f t="shared" ref="CF203" si="713" xml:space="preserve"> CE203 + CF201 - CE202</f>
        <v>0</v>
      </c>
      <c r="CG203" s="230">
        <f t="shared" ref="CG203" si="714" xml:space="preserve"> CF203 + CG201 - CF202</f>
        <v>0</v>
      </c>
      <c r="CH203" s="230">
        <f t="shared" ref="CH203" si="715" xml:space="preserve"> CG203 + CH201 - CG202</f>
        <v>0</v>
      </c>
      <c r="CI203" s="230">
        <f t="shared" ref="CI203" si="716" xml:space="preserve"> CH203 + CI201 - CH202</f>
        <v>0</v>
      </c>
      <c r="CJ203" s="230">
        <f t="shared" ref="CJ203" si="717" xml:space="preserve"> CI203 + CJ201 - CI202</f>
        <v>0</v>
      </c>
      <c r="CK203" s="230">
        <f t="shared" ref="CK203" si="718" xml:space="preserve"> CJ203 + CK201 - CJ202</f>
        <v>0</v>
      </c>
      <c r="CL203" s="230">
        <f t="shared" ref="CL203" si="719" xml:space="preserve"> CK203 + CL201 - CK202</f>
        <v>0</v>
      </c>
      <c r="CM203" s="230">
        <f t="shared" ref="CM203" si="720" xml:space="preserve"> CL203 + CM201 - CL202</f>
        <v>0</v>
      </c>
      <c r="CN203" s="230">
        <f t="shared" ref="CN203" si="721" xml:space="preserve"> CM203 + CN201 - CM202</f>
        <v>0</v>
      </c>
      <c r="CO203" s="230">
        <f t="shared" ref="CO203" si="722" xml:space="preserve"> CN203 + CO201 - CN202</f>
        <v>0</v>
      </c>
      <c r="CP203" s="230">
        <f t="shared" ref="CP203" si="723" xml:space="preserve"> CO203 + CP201 - CO202</f>
        <v>0</v>
      </c>
      <c r="CQ203" s="230">
        <f t="shared" ref="CQ203" si="724" xml:space="preserve"> CP203 + CQ201 - CP202</f>
        <v>0</v>
      </c>
      <c r="CR203" s="230">
        <f t="shared" ref="CR203" si="725" xml:space="preserve"> CQ203 + CR201 - CQ202</f>
        <v>0</v>
      </c>
      <c r="CS203" s="230">
        <f t="shared" ref="CS203" si="726" xml:space="preserve"> CR203 + CS201 - CR202</f>
        <v>0</v>
      </c>
      <c r="CT203" s="230">
        <f t="shared" ref="CT203" si="727" xml:space="preserve"> CS203 + CT201 - CS202</f>
        <v>0</v>
      </c>
      <c r="CU203" s="230">
        <f t="shared" ref="CU203" si="728" xml:space="preserve"> CT203 + CU201 - CT202</f>
        <v>0</v>
      </c>
      <c r="CV203" s="230">
        <f t="shared" ref="CV203" si="729" xml:space="preserve"> CU203 + CV201 - CU202</f>
        <v>0</v>
      </c>
    </row>
    <row r="204" spans="1:100" s="188" customFormat="1" outlineLevel="2" x14ac:dyDescent="0.2">
      <c r="A204" s="227"/>
      <c r="B204" s="227"/>
      <c r="C204" s="228"/>
      <c r="D204" s="229"/>
      <c r="E204" s="230" t="s">
        <v>966</v>
      </c>
      <c r="F204" s="188">
        <f xml:space="preserve"> SUM(J203:CV203)</f>
        <v>30</v>
      </c>
      <c r="G204" s="188" t="s">
        <v>87</v>
      </c>
      <c r="I204" s="230"/>
      <c r="J204" s="230"/>
      <c r="K204" s="230"/>
      <c r="L204" s="230"/>
      <c r="M204" s="230"/>
      <c r="N204" s="230"/>
      <c r="O204" s="230"/>
      <c r="P204" s="230"/>
      <c r="Q204" s="230"/>
      <c r="R204" s="230"/>
      <c r="S204" s="230"/>
      <c r="T204" s="230"/>
      <c r="U204" s="230"/>
      <c r="V204" s="230"/>
      <c r="W204" s="230"/>
      <c r="X204" s="230"/>
      <c r="Y204" s="230"/>
      <c r="Z204" s="230"/>
      <c r="AA204" s="230"/>
      <c r="AB204" s="230"/>
      <c r="AC204" s="230"/>
      <c r="AD204" s="230"/>
      <c r="AE204" s="230"/>
      <c r="AF204" s="230"/>
      <c r="AG204" s="230"/>
      <c r="AH204" s="230"/>
      <c r="AI204" s="230"/>
      <c r="AJ204" s="230"/>
      <c r="AK204" s="230"/>
      <c r="AL204" s="230"/>
      <c r="AM204" s="230"/>
      <c r="AN204" s="230"/>
      <c r="AO204" s="230"/>
      <c r="AP204" s="230"/>
      <c r="AQ204" s="230"/>
      <c r="AR204" s="230"/>
      <c r="AS204" s="230"/>
      <c r="AT204" s="230"/>
      <c r="AU204" s="230"/>
      <c r="AV204" s="230"/>
      <c r="AW204" s="230"/>
      <c r="AX204" s="230"/>
      <c r="AY204" s="230"/>
      <c r="AZ204" s="230"/>
      <c r="BA204" s="230"/>
      <c r="BB204" s="230"/>
      <c r="BC204" s="230"/>
      <c r="BD204" s="230"/>
      <c r="BE204" s="230"/>
      <c r="BF204" s="230"/>
      <c r="BG204" s="230"/>
      <c r="BH204" s="230"/>
      <c r="BI204" s="230"/>
      <c r="BJ204" s="230"/>
      <c r="BK204" s="230"/>
      <c r="BL204" s="230"/>
      <c r="BM204" s="230"/>
      <c r="BN204" s="230"/>
      <c r="BO204" s="230"/>
      <c r="BP204" s="230"/>
      <c r="BQ204" s="230"/>
      <c r="BR204" s="230"/>
      <c r="BS204" s="230"/>
      <c r="BT204" s="230"/>
      <c r="BU204" s="230"/>
      <c r="BV204" s="230"/>
      <c r="BW204" s="230"/>
      <c r="BX204" s="230"/>
      <c r="BY204" s="230"/>
      <c r="BZ204" s="230"/>
      <c r="CA204" s="230"/>
      <c r="CB204" s="230"/>
      <c r="CC204" s="230"/>
      <c r="CD204" s="230"/>
      <c r="CE204" s="230"/>
      <c r="CF204" s="230"/>
      <c r="CG204" s="230"/>
      <c r="CH204" s="230"/>
      <c r="CI204" s="230"/>
      <c r="CJ204" s="230"/>
      <c r="CK204" s="230"/>
      <c r="CL204" s="230"/>
      <c r="CM204" s="230"/>
      <c r="CN204" s="230"/>
      <c r="CO204" s="230"/>
      <c r="CP204" s="230"/>
      <c r="CQ204" s="230"/>
      <c r="CR204" s="230"/>
      <c r="CS204" s="230"/>
      <c r="CT204" s="230"/>
      <c r="CU204" s="230"/>
      <c r="CV204" s="230"/>
    </row>
    <row r="205" spans="1:100" outlineLevel="1" x14ac:dyDescent="0.2">
      <c r="A205" s="227"/>
      <c r="B205" s="227"/>
      <c r="C205" s="228"/>
      <c r="D205" s="229"/>
      <c r="E205" s="230"/>
      <c r="F205" s="397"/>
      <c r="G205" s="188"/>
      <c r="H205" s="188"/>
      <c r="I205" s="230"/>
      <c r="J205" s="230"/>
      <c r="K205" s="230"/>
      <c r="L205" s="230"/>
      <c r="M205" s="230"/>
      <c r="N205" s="230"/>
      <c r="O205" s="230"/>
      <c r="P205" s="230"/>
      <c r="Q205" s="230"/>
      <c r="R205" s="230"/>
      <c r="S205" s="230"/>
      <c r="T205" s="230"/>
      <c r="U205" s="230"/>
      <c r="V205" s="230"/>
      <c r="W205" s="230"/>
      <c r="X205" s="230"/>
      <c r="Y205" s="230"/>
      <c r="Z205" s="230"/>
      <c r="AA205" s="230"/>
      <c r="AB205" s="230"/>
      <c r="AC205" s="230"/>
      <c r="AD205" s="230"/>
      <c r="AE205" s="230"/>
      <c r="AF205" s="230"/>
      <c r="AG205" s="230"/>
      <c r="AH205" s="230"/>
      <c r="AI205" s="230"/>
      <c r="AJ205" s="230"/>
      <c r="AK205" s="230"/>
      <c r="AL205" s="230"/>
      <c r="AM205" s="230"/>
      <c r="AN205" s="230"/>
      <c r="AO205" s="230"/>
      <c r="AP205" s="230"/>
      <c r="AQ205" s="230"/>
      <c r="AR205" s="230"/>
      <c r="AS205" s="230"/>
      <c r="AT205" s="230"/>
      <c r="AU205" s="230"/>
      <c r="AV205" s="230"/>
      <c r="AW205" s="230"/>
      <c r="AX205" s="230"/>
      <c r="AY205" s="230"/>
      <c r="AZ205" s="230"/>
      <c r="BA205" s="230"/>
      <c r="BB205" s="230"/>
      <c r="BC205" s="230"/>
      <c r="BD205" s="230"/>
      <c r="BE205" s="230"/>
      <c r="BF205" s="230"/>
      <c r="BG205" s="230"/>
      <c r="BH205" s="230"/>
      <c r="BI205" s="230"/>
      <c r="BJ205" s="230"/>
      <c r="BK205" s="230"/>
      <c r="BL205" s="230"/>
      <c r="BM205" s="230"/>
      <c r="BN205" s="230"/>
      <c r="BO205" s="230"/>
      <c r="BP205" s="230"/>
      <c r="BQ205" s="230"/>
      <c r="BR205" s="230"/>
      <c r="BS205" s="230"/>
      <c r="BT205" s="230"/>
      <c r="BU205" s="230"/>
      <c r="BV205" s="230"/>
      <c r="BW205" s="230"/>
      <c r="BX205" s="230"/>
      <c r="BY205" s="230"/>
      <c r="BZ205" s="230"/>
      <c r="CA205" s="230"/>
      <c r="CB205" s="230"/>
      <c r="CC205" s="230"/>
      <c r="CD205" s="230"/>
      <c r="CE205" s="230"/>
      <c r="CF205" s="230"/>
      <c r="CG205" s="230"/>
      <c r="CH205" s="230"/>
      <c r="CI205" s="230"/>
      <c r="CJ205" s="230"/>
      <c r="CK205" s="230"/>
      <c r="CL205" s="230"/>
      <c r="CM205" s="230"/>
      <c r="CN205" s="230"/>
      <c r="CO205" s="230"/>
      <c r="CP205" s="230"/>
      <c r="CQ205" s="230"/>
      <c r="CR205" s="230"/>
      <c r="CS205" s="230"/>
      <c r="CT205" s="230"/>
      <c r="CU205" s="230"/>
      <c r="CV205" s="230"/>
    </row>
    <row r="206" spans="1:100" outlineLevel="1" x14ac:dyDescent="0.2">
      <c r="A206" s="227"/>
      <c r="B206" s="15" t="s">
        <v>883</v>
      </c>
      <c r="C206" s="228"/>
      <c r="D206" s="229"/>
      <c r="E206" s="230"/>
      <c r="F206" s="397"/>
      <c r="G206" s="188"/>
      <c r="H206" s="188"/>
      <c r="I206" s="230"/>
      <c r="J206" s="230"/>
      <c r="K206" s="230"/>
      <c r="L206" s="230"/>
      <c r="M206" s="230"/>
      <c r="N206" s="230"/>
      <c r="O206" s="230"/>
      <c r="P206" s="230"/>
      <c r="Q206" s="230"/>
      <c r="R206" s="230"/>
      <c r="S206" s="230"/>
      <c r="T206" s="230"/>
      <c r="U206" s="230"/>
      <c r="V206" s="230"/>
      <c r="W206" s="230"/>
      <c r="X206" s="230"/>
      <c r="Y206" s="230"/>
      <c r="Z206" s="230"/>
      <c r="AA206" s="230"/>
      <c r="AB206" s="230"/>
      <c r="AC206" s="230"/>
      <c r="AD206" s="230"/>
      <c r="AE206" s="230"/>
      <c r="AF206" s="230"/>
      <c r="AG206" s="230"/>
      <c r="AH206" s="230"/>
      <c r="AI206" s="230"/>
      <c r="AJ206" s="230"/>
      <c r="AK206" s="230"/>
      <c r="AL206" s="230"/>
      <c r="AM206" s="230"/>
      <c r="AN206" s="230"/>
      <c r="AO206" s="230"/>
      <c r="AP206" s="230"/>
      <c r="AQ206" s="230"/>
      <c r="AR206" s="230"/>
      <c r="AS206" s="230"/>
      <c r="AT206" s="230"/>
      <c r="AU206" s="230"/>
      <c r="AV206" s="230"/>
      <c r="AW206" s="230"/>
      <c r="AX206" s="230"/>
      <c r="AY206" s="230"/>
      <c r="AZ206" s="230"/>
      <c r="BA206" s="230"/>
      <c r="BB206" s="230"/>
      <c r="BC206" s="230"/>
      <c r="BD206" s="230"/>
      <c r="BE206" s="230"/>
      <c r="BF206" s="230"/>
      <c r="BG206" s="230"/>
      <c r="BH206" s="230"/>
      <c r="BI206" s="230"/>
      <c r="BJ206" s="230"/>
      <c r="BK206" s="230"/>
      <c r="BL206" s="230"/>
      <c r="BM206" s="230"/>
      <c r="BN206" s="230"/>
      <c r="BO206" s="230"/>
      <c r="BP206" s="230"/>
      <c r="BQ206" s="230"/>
      <c r="BR206" s="230"/>
      <c r="BS206" s="230"/>
      <c r="BT206" s="230"/>
      <c r="BU206" s="230"/>
      <c r="BV206" s="230"/>
      <c r="BW206" s="230"/>
      <c r="BX206" s="230"/>
      <c r="BY206" s="230"/>
      <c r="BZ206" s="230"/>
      <c r="CA206" s="230"/>
      <c r="CB206" s="230"/>
      <c r="CC206" s="230"/>
      <c r="CD206" s="230"/>
      <c r="CE206" s="230"/>
      <c r="CF206" s="230"/>
      <c r="CG206" s="230"/>
      <c r="CH206" s="230"/>
      <c r="CI206" s="230"/>
      <c r="CJ206" s="230"/>
      <c r="CK206" s="230"/>
      <c r="CL206" s="230"/>
      <c r="CM206" s="230"/>
      <c r="CN206" s="230"/>
      <c r="CO206" s="230"/>
      <c r="CP206" s="230"/>
      <c r="CQ206" s="230"/>
      <c r="CR206" s="230"/>
      <c r="CS206" s="230"/>
      <c r="CT206" s="230"/>
      <c r="CU206" s="230"/>
      <c r="CV206" s="230"/>
    </row>
    <row r="207" spans="1:100" s="191" customFormat="1" outlineLevel="2" x14ac:dyDescent="0.2">
      <c r="A207" s="429"/>
      <c r="B207" s="429"/>
      <c r="C207" s="430"/>
      <c r="D207" s="190"/>
      <c r="E207" s="192" t="str">
        <f t="shared" ref="E207:AJ207" si="730" xml:space="preserve"> E$145</f>
        <v>Senior debt service period flag - T1</v>
      </c>
      <c r="F207" s="192">
        <f t="shared" si="730"/>
        <v>0</v>
      </c>
      <c r="G207" s="192" t="str">
        <f t="shared" si="730"/>
        <v>flag</v>
      </c>
      <c r="H207" s="192">
        <f t="shared" si="730"/>
        <v>34</v>
      </c>
      <c r="I207" s="192">
        <f t="shared" si="730"/>
        <v>0</v>
      </c>
      <c r="J207" s="192">
        <f t="shared" si="730"/>
        <v>0</v>
      </c>
      <c r="K207" s="192">
        <f t="shared" si="730"/>
        <v>0</v>
      </c>
      <c r="L207" s="192">
        <f t="shared" si="730"/>
        <v>0</v>
      </c>
      <c r="M207" s="192">
        <f t="shared" si="730"/>
        <v>0</v>
      </c>
      <c r="N207" s="192">
        <f t="shared" si="730"/>
        <v>0</v>
      </c>
      <c r="O207" s="192">
        <f t="shared" si="730"/>
        <v>1</v>
      </c>
      <c r="P207" s="192">
        <f t="shared" si="730"/>
        <v>1</v>
      </c>
      <c r="Q207" s="192">
        <f t="shared" si="730"/>
        <v>1</v>
      </c>
      <c r="R207" s="192">
        <f t="shared" si="730"/>
        <v>1</v>
      </c>
      <c r="S207" s="192">
        <f t="shared" si="730"/>
        <v>1</v>
      </c>
      <c r="T207" s="192">
        <f t="shared" si="730"/>
        <v>1</v>
      </c>
      <c r="U207" s="192">
        <f t="shared" si="730"/>
        <v>1</v>
      </c>
      <c r="V207" s="192">
        <f t="shared" si="730"/>
        <v>1</v>
      </c>
      <c r="W207" s="192">
        <f t="shared" si="730"/>
        <v>1</v>
      </c>
      <c r="X207" s="192">
        <f t="shared" si="730"/>
        <v>1</v>
      </c>
      <c r="Y207" s="192">
        <f t="shared" si="730"/>
        <v>1</v>
      </c>
      <c r="Z207" s="192">
        <f t="shared" si="730"/>
        <v>1</v>
      </c>
      <c r="AA207" s="192">
        <f t="shared" si="730"/>
        <v>1</v>
      </c>
      <c r="AB207" s="192">
        <f t="shared" si="730"/>
        <v>1</v>
      </c>
      <c r="AC207" s="192">
        <f t="shared" si="730"/>
        <v>1</v>
      </c>
      <c r="AD207" s="192">
        <f t="shared" si="730"/>
        <v>1</v>
      </c>
      <c r="AE207" s="192">
        <f t="shared" si="730"/>
        <v>1</v>
      </c>
      <c r="AF207" s="192">
        <f t="shared" si="730"/>
        <v>1</v>
      </c>
      <c r="AG207" s="192">
        <f t="shared" si="730"/>
        <v>1</v>
      </c>
      <c r="AH207" s="192">
        <f t="shared" si="730"/>
        <v>1</v>
      </c>
      <c r="AI207" s="192">
        <f t="shared" si="730"/>
        <v>1</v>
      </c>
      <c r="AJ207" s="192">
        <f t="shared" si="730"/>
        <v>1</v>
      </c>
      <c r="AK207" s="192">
        <f t="shared" ref="AK207:BP207" si="731" xml:space="preserve"> AK$145</f>
        <v>1</v>
      </c>
      <c r="AL207" s="192">
        <f t="shared" si="731"/>
        <v>1</v>
      </c>
      <c r="AM207" s="192">
        <f t="shared" si="731"/>
        <v>1</v>
      </c>
      <c r="AN207" s="192">
        <f t="shared" si="731"/>
        <v>1</v>
      </c>
      <c r="AO207" s="192">
        <f t="shared" si="731"/>
        <v>1</v>
      </c>
      <c r="AP207" s="192">
        <f t="shared" si="731"/>
        <v>1</v>
      </c>
      <c r="AQ207" s="192">
        <f t="shared" si="731"/>
        <v>1</v>
      </c>
      <c r="AR207" s="192">
        <f t="shared" si="731"/>
        <v>1</v>
      </c>
      <c r="AS207" s="192">
        <f t="shared" si="731"/>
        <v>1</v>
      </c>
      <c r="AT207" s="192">
        <f t="shared" si="731"/>
        <v>1</v>
      </c>
      <c r="AU207" s="192">
        <f t="shared" si="731"/>
        <v>1</v>
      </c>
      <c r="AV207" s="192">
        <f t="shared" si="731"/>
        <v>1</v>
      </c>
      <c r="AW207" s="192">
        <f t="shared" si="731"/>
        <v>0</v>
      </c>
      <c r="AX207" s="192">
        <f t="shared" si="731"/>
        <v>0</v>
      </c>
      <c r="AY207" s="192">
        <f t="shared" si="731"/>
        <v>0</v>
      </c>
      <c r="AZ207" s="192">
        <f t="shared" si="731"/>
        <v>0</v>
      </c>
      <c r="BA207" s="192">
        <f t="shared" si="731"/>
        <v>0</v>
      </c>
      <c r="BB207" s="192">
        <f t="shared" si="731"/>
        <v>0</v>
      </c>
      <c r="BC207" s="192">
        <f t="shared" si="731"/>
        <v>0</v>
      </c>
      <c r="BD207" s="192">
        <f t="shared" si="731"/>
        <v>0</v>
      </c>
      <c r="BE207" s="192">
        <f t="shared" si="731"/>
        <v>0</v>
      </c>
      <c r="BF207" s="192">
        <f t="shared" si="731"/>
        <v>0</v>
      </c>
      <c r="BG207" s="192">
        <f t="shared" si="731"/>
        <v>0</v>
      </c>
      <c r="BH207" s="192">
        <f t="shared" si="731"/>
        <v>0</v>
      </c>
      <c r="BI207" s="192">
        <f t="shared" si="731"/>
        <v>0</v>
      </c>
      <c r="BJ207" s="192">
        <f t="shared" si="731"/>
        <v>0</v>
      </c>
      <c r="BK207" s="192">
        <f t="shared" si="731"/>
        <v>0</v>
      </c>
      <c r="BL207" s="192">
        <f t="shared" si="731"/>
        <v>0</v>
      </c>
      <c r="BM207" s="192">
        <f t="shared" si="731"/>
        <v>0</v>
      </c>
      <c r="BN207" s="192">
        <f t="shared" si="731"/>
        <v>0</v>
      </c>
      <c r="BO207" s="192">
        <f t="shared" si="731"/>
        <v>0</v>
      </c>
      <c r="BP207" s="192">
        <f t="shared" si="731"/>
        <v>0</v>
      </c>
      <c r="BQ207" s="192">
        <f t="shared" ref="BQ207:CV207" si="732" xml:space="preserve"> BQ$145</f>
        <v>0</v>
      </c>
      <c r="BR207" s="192">
        <f t="shared" si="732"/>
        <v>0</v>
      </c>
      <c r="BS207" s="192">
        <f t="shared" si="732"/>
        <v>0</v>
      </c>
      <c r="BT207" s="192">
        <f t="shared" si="732"/>
        <v>0</v>
      </c>
      <c r="BU207" s="192">
        <f t="shared" si="732"/>
        <v>0</v>
      </c>
      <c r="BV207" s="192">
        <f t="shared" si="732"/>
        <v>0</v>
      </c>
      <c r="BW207" s="192">
        <f t="shared" si="732"/>
        <v>0</v>
      </c>
      <c r="BX207" s="192">
        <f t="shared" si="732"/>
        <v>0</v>
      </c>
      <c r="BY207" s="192">
        <f t="shared" si="732"/>
        <v>0</v>
      </c>
      <c r="BZ207" s="192">
        <f t="shared" si="732"/>
        <v>0</v>
      </c>
      <c r="CA207" s="192">
        <f t="shared" si="732"/>
        <v>0</v>
      </c>
      <c r="CB207" s="192">
        <f t="shared" si="732"/>
        <v>0</v>
      </c>
      <c r="CC207" s="192">
        <f t="shared" si="732"/>
        <v>0</v>
      </c>
      <c r="CD207" s="192">
        <f t="shared" si="732"/>
        <v>0</v>
      </c>
      <c r="CE207" s="192">
        <f t="shared" si="732"/>
        <v>0</v>
      </c>
      <c r="CF207" s="192">
        <f t="shared" si="732"/>
        <v>0</v>
      </c>
      <c r="CG207" s="192">
        <f t="shared" si="732"/>
        <v>0</v>
      </c>
      <c r="CH207" s="192">
        <f t="shared" si="732"/>
        <v>0</v>
      </c>
      <c r="CI207" s="192">
        <f t="shared" si="732"/>
        <v>0</v>
      </c>
      <c r="CJ207" s="192">
        <f t="shared" si="732"/>
        <v>0</v>
      </c>
      <c r="CK207" s="192">
        <f t="shared" si="732"/>
        <v>0</v>
      </c>
      <c r="CL207" s="192">
        <f t="shared" si="732"/>
        <v>0</v>
      </c>
      <c r="CM207" s="192">
        <f t="shared" si="732"/>
        <v>0</v>
      </c>
      <c r="CN207" s="192">
        <f t="shared" si="732"/>
        <v>0</v>
      </c>
      <c r="CO207" s="192">
        <f t="shared" si="732"/>
        <v>0</v>
      </c>
      <c r="CP207" s="192">
        <f t="shared" si="732"/>
        <v>0</v>
      </c>
      <c r="CQ207" s="192">
        <f t="shared" si="732"/>
        <v>0</v>
      </c>
      <c r="CR207" s="192">
        <f t="shared" si="732"/>
        <v>0</v>
      </c>
      <c r="CS207" s="192">
        <f t="shared" si="732"/>
        <v>0</v>
      </c>
      <c r="CT207" s="192">
        <f t="shared" si="732"/>
        <v>0</v>
      </c>
      <c r="CU207" s="192">
        <f t="shared" si="732"/>
        <v>0</v>
      </c>
      <c r="CV207" s="192">
        <f t="shared" si="732"/>
        <v>0</v>
      </c>
    </row>
    <row r="208" spans="1:100" outlineLevel="2" x14ac:dyDescent="0.2">
      <c r="A208" s="227"/>
      <c r="B208" s="227"/>
      <c r="C208" s="228"/>
      <c r="D208" s="229"/>
      <c r="E208" s="192" t="str">
        <f t="shared" ref="E208:AJ208" si="733" xml:space="preserve"> E$185</f>
        <v>Senior debt service period flag - T2</v>
      </c>
      <c r="F208" s="192">
        <f t="shared" si="733"/>
        <v>0</v>
      </c>
      <c r="G208" s="192" t="str">
        <f t="shared" si="733"/>
        <v>flag</v>
      </c>
      <c r="H208" s="192">
        <f t="shared" si="733"/>
        <v>30</v>
      </c>
      <c r="I208" s="192">
        <f t="shared" si="733"/>
        <v>0</v>
      </c>
      <c r="J208" s="192">
        <f t="shared" si="733"/>
        <v>0</v>
      </c>
      <c r="K208" s="192">
        <f t="shared" si="733"/>
        <v>0</v>
      </c>
      <c r="L208" s="192">
        <f t="shared" si="733"/>
        <v>0</v>
      </c>
      <c r="M208" s="192">
        <f t="shared" si="733"/>
        <v>0</v>
      </c>
      <c r="N208" s="192">
        <f t="shared" si="733"/>
        <v>0</v>
      </c>
      <c r="O208" s="192">
        <f t="shared" si="733"/>
        <v>1</v>
      </c>
      <c r="P208" s="192">
        <f t="shared" si="733"/>
        <v>1</v>
      </c>
      <c r="Q208" s="192">
        <f t="shared" si="733"/>
        <v>1</v>
      </c>
      <c r="R208" s="192">
        <f t="shared" si="733"/>
        <v>1</v>
      </c>
      <c r="S208" s="192">
        <f t="shared" si="733"/>
        <v>1</v>
      </c>
      <c r="T208" s="192">
        <f t="shared" si="733"/>
        <v>1</v>
      </c>
      <c r="U208" s="192">
        <f t="shared" si="733"/>
        <v>1</v>
      </c>
      <c r="V208" s="192">
        <f t="shared" si="733"/>
        <v>1</v>
      </c>
      <c r="W208" s="192">
        <f t="shared" si="733"/>
        <v>1</v>
      </c>
      <c r="X208" s="192">
        <f t="shared" si="733"/>
        <v>1</v>
      </c>
      <c r="Y208" s="192">
        <f t="shared" si="733"/>
        <v>1</v>
      </c>
      <c r="Z208" s="192">
        <f t="shared" si="733"/>
        <v>1</v>
      </c>
      <c r="AA208" s="192">
        <f t="shared" si="733"/>
        <v>1</v>
      </c>
      <c r="AB208" s="192">
        <f t="shared" si="733"/>
        <v>1</v>
      </c>
      <c r="AC208" s="192">
        <f t="shared" si="733"/>
        <v>1</v>
      </c>
      <c r="AD208" s="192">
        <f t="shared" si="733"/>
        <v>1</v>
      </c>
      <c r="AE208" s="192">
        <f t="shared" si="733"/>
        <v>1</v>
      </c>
      <c r="AF208" s="192">
        <f t="shared" si="733"/>
        <v>1</v>
      </c>
      <c r="AG208" s="192">
        <f t="shared" si="733"/>
        <v>1</v>
      </c>
      <c r="AH208" s="192">
        <f t="shared" si="733"/>
        <v>1</v>
      </c>
      <c r="AI208" s="192">
        <f t="shared" si="733"/>
        <v>1</v>
      </c>
      <c r="AJ208" s="192">
        <f t="shared" si="733"/>
        <v>1</v>
      </c>
      <c r="AK208" s="192">
        <f t="shared" ref="AK208:BP208" si="734" xml:space="preserve"> AK$185</f>
        <v>1</v>
      </c>
      <c r="AL208" s="192">
        <f t="shared" si="734"/>
        <v>1</v>
      </c>
      <c r="AM208" s="192">
        <f t="shared" si="734"/>
        <v>1</v>
      </c>
      <c r="AN208" s="192">
        <f t="shared" si="734"/>
        <v>1</v>
      </c>
      <c r="AO208" s="192">
        <f t="shared" si="734"/>
        <v>1</v>
      </c>
      <c r="AP208" s="192">
        <f t="shared" si="734"/>
        <v>1</v>
      </c>
      <c r="AQ208" s="192">
        <f t="shared" si="734"/>
        <v>1</v>
      </c>
      <c r="AR208" s="192">
        <f t="shared" si="734"/>
        <v>1</v>
      </c>
      <c r="AS208" s="192">
        <f t="shared" si="734"/>
        <v>0</v>
      </c>
      <c r="AT208" s="192">
        <f t="shared" si="734"/>
        <v>0</v>
      </c>
      <c r="AU208" s="192">
        <f t="shared" si="734"/>
        <v>0</v>
      </c>
      <c r="AV208" s="192">
        <f t="shared" si="734"/>
        <v>0</v>
      </c>
      <c r="AW208" s="192">
        <f t="shared" si="734"/>
        <v>0</v>
      </c>
      <c r="AX208" s="192">
        <f t="shared" si="734"/>
        <v>0</v>
      </c>
      <c r="AY208" s="192">
        <f t="shared" si="734"/>
        <v>0</v>
      </c>
      <c r="AZ208" s="192">
        <f t="shared" si="734"/>
        <v>0</v>
      </c>
      <c r="BA208" s="192">
        <f t="shared" si="734"/>
        <v>0</v>
      </c>
      <c r="BB208" s="192">
        <f t="shared" si="734"/>
        <v>0</v>
      </c>
      <c r="BC208" s="192">
        <f t="shared" si="734"/>
        <v>0</v>
      </c>
      <c r="BD208" s="192">
        <f t="shared" si="734"/>
        <v>0</v>
      </c>
      <c r="BE208" s="192">
        <f t="shared" si="734"/>
        <v>0</v>
      </c>
      <c r="BF208" s="192">
        <f t="shared" si="734"/>
        <v>0</v>
      </c>
      <c r="BG208" s="192">
        <f t="shared" si="734"/>
        <v>0</v>
      </c>
      <c r="BH208" s="192">
        <f t="shared" si="734"/>
        <v>0</v>
      </c>
      <c r="BI208" s="192">
        <f t="shared" si="734"/>
        <v>0</v>
      </c>
      <c r="BJ208" s="192">
        <f t="shared" si="734"/>
        <v>0</v>
      </c>
      <c r="BK208" s="192">
        <f t="shared" si="734"/>
        <v>0</v>
      </c>
      <c r="BL208" s="192">
        <f t="shared" si="734"/>
        <v>0</v>
      </c>
      <c r="BM208" s="192">
        <f t="shared" si="734"/>
        <v>0</v>
      </c>
      <c r="BN208" s="192">
        <f t="shared" si="734"/>
        <v>0</v>
      </c>
      <c r="BO208" s="192">
        <f t="shared" si="734"/>
        <v>0</v>
      </c>
      <c r="BP208" s="192">
        <f t="shared" si="734"/>
        <v>0</v>
      </c>
      <c r="BQ208" s="192">
        <f t="shared" ref="BQ208:CV208" si="735" xml:space="preserve"> BQ$185</f>
        <v>0</v>
      </c>
      <c r="BR208" s="192">
        <f t="shared" si="735"/>
        <v>0</v>
      </c>
      <c r="BS208" s="192">
        <f t="shared" si="735"/>
        <v>0</v>
      </c>
      <c r="BT208" s="192">
        <f t="shared" si="735"/>
        <v>0</v>
      </c>
      <c r="BU208" s="192">
        <f t="shared" si="735"/>
        <v>0</v>
      </c>
      <c r="BV208" s="192">
        <f t="shared" si="735"/>
        <v>0</v>
      </c>
      <c r="BW208" s="192">
        <f t="shared" si="735"/>
        <v>0</v>
      </c>
      <c r="BX208" s="192">
        <f t="shared" si="735"/>
        <v>0</v>
      </c>
      <c r="BY208" s="192">
        <f t="shared" si="735"/>
        <v>0</v>
      </c>
      <c r="BZ208" s="192">
        <f t="shared" si="735"/>
        <v>0</v>
      </c>
      <c r="CA208" s="192">
        <f t="shared" si="735"/>
        <v>0</v>
      </c>
      <c r="CB208" s="192">
        <f t="shared" si="735"/>
        <v>0</v>
      </c>
      <c r="CC208" s="192">
        <f t="shared" si="735"/>
        <v>0</v>
      </c>
      <c r="CD208" s="192">
        <f t="shared" si="735"/>
        <v>0</v>
      </c>
      <c r="CE208" s="192">
        <f t="shared" si="735"/>
        <v>0</v>
      </c>
      <c r="CF208" s="192">
        <f t="shared" si="735"/>
        <v>0</v>
      </c>
      <c r="CG208" s="192">
        <f t="shared" si="735"/>
        <v>0</v>
      </c>
      <c r="CH208" s="192">
        <f t="shared" si="735"/>
        <v>0</v>
      </c>
      <c r="CI208" s="192">
        <f t="shared" si="735"/>
        <v>0</v>
      </c>
      <c r="CJ208" s="192">
        <f t="shared" si="735"/>
        <v>0</v>
      </c>
      <c r="CK208" s="192">
        <f t="shared" si="735"/>
        <v>0</v>
      </c>
      <c r="CL208" s="192">
        <f t="shared" si="735"/>
        <v>0</v>
      </c>
      <c r="CM208" s="192">
        <f t="shared" si="735"/>
        <v>0</v>
      </c>
      <c r="CN208" s="192">
        <f t="shared" si="735"/>
        <v>0</v>
      </c>
      <c r="CO208" s="192">
        <f t="shared" si="735"/>
        <v>0</v>
      </c>
      <c r="CP208" s="192">
        <f t="shared" si="735"/>
        <v>0</v>
      </c>
      <c r="CQ208" s="192">
        <f t="shared" si="735"/>
        <v>0</v>
      </c>
      <c r="CR208" s="192">
        <f t="shared" si="735"/>
        <v>0</v>
      </c>
      <c r="CS208" s="192">
        <f t="shared" si="735"/>
        <v>0</v>
      </c>
      <c r="CT208" s="192">
        <f t="shared" si="735"/>
        <v>0</v>
      </c>
      <c r="CU208" s="192">
        <f t="shared" si="735"/>
        <v>0</v>
      </c>
      <c r="CV208" s="192">
        <f t="shared" si="735"/>
        <v>0</v>
      </c>
    </row>
    <row r="209" spans="1:100" outlineLevel="2" x14ac:dyDescent="0.2">
      <c r="A209" s="227"/>
      <c r="B209" s="227"/>
      <c r="C209" s="228"/>
      <c r="D209" s="229"/>
      <c r="E209" s="1104" t="s">
        <v>883</v>
      </c>
      <c r="F209" s="1105"/>
      <c r="G209" s="1106" t="s">
        <v>5</v>
      </c>
      <c r="H209" s="1106">
        <f xml:space="preserve"> SUM(J209:CV209)</f>
        <v>34</v>
      </c>
      <c r="I209" s="1104"/>
      <c r="J209" s="1104">
        <f t="shared" ref="J209:AO209" si="736" xml:space="preserve"> MAX(J207:J208)</f>
        <v>0</v>
      </c>
      <c r="K209" s="1104">
        <f t="shared" si="736"/>
        <v>0</v>
      </c>
      <c r="L209" s="1104">
        <f t="shared" si="736"/>
        <v>0</v>
      </c>
      <c r="M209" s="1104">
        <f t="shared" si="736"/>
        <v>0</v>
      </c>
      <c r="N209" s="1104">
        <f t="shared" si="736"/>
        <v>0</v>
      </c>
      <c r="O209" s="1104">
        <f t="shared" si="736"/>
        <v>1</v>
      </c>
      <c r="P209" s="1104">
        <f t="shared" si="736"/>
        <v>1</v>
      </c>
      <c r="Q209" s="1104">
        <f t="shared" si="736"/>
        <v>1</v>
      </c>
      <c r="R209" s="1104">
        <f t="shared" si="736"/>
        <v>1</v>
      </c>
      <c r="S209" s="1104">
        <f t="shared" si="736"/>
        <v>1</v>
      </c>
      <c r="T209" s="1104">
        <f t="shared" si="736"/>
        <v>1</v>
      </c>
      <c r="U209" s="1104">
        <f t="shared" si="736"/>
        <v>1</v>
      </c>
      <c r="V209" s="1104">
        <f t="shared" si="736"/>
        <v>1</v>
      </c>
      <c r="W209" s="1104">
        <f t="shared" si="736"/>
        <v>1</v>
      </c>
      <c r="X209" s="1104">
        <f t="shared" si="736"/>
        <v>1</v>
      </c>
      <c r="Y209" s="1104">
        <f t="shared" si="736"/>
        <v>1</v>
      </c>
      <c r="Z209" s="1104">
        <f t="shared" si="736"/>
        <v>1</v>
      </c>
      <c r="AA209" s="1104">
        <f t="shared" si="736"/>
        <v>1</v>
      </c>
      <c r="AB209" s="1104">
        <f t="shared" si="736"/>
        <v>1</v>
      </c>
      <c r="AC209" s="1104">
        <f t="shared" si="736"/>
        <v>1</v>
      </c>
      <c r="AD209" s="1104">
        <f t="shared" si="736"/>
        <v>1</v>
      </c>
      <c r="AE209" s="1104">
        <f t="shared" si="736"/>
        <v>1</v>
      </c>
      <c r="AF209" s="1104">
        <f t="shared" si="736"/>
        <v>1</v>
      </c>
      <c r="AG209" s="1104">
        <f t="shared" si="736"/>
        <v>1</v>
      </c>
      <c r="AH209" s="1104">
        <f t="shared" si="736"/>
        <v>1</v>
      </c>
      <c r="AI209" s="1104">
        <f t="shared" si="736"/>
        <v>1</v>
      </c>
      <c r="AJ209" s="1104">
        <f t="shared" si="736"/>
        <v>1</v>
      </c>
      <c r="AK209" s="1104">
        <f t="shared" si="736"/>
        <v>1</v>
      </c>
      <c r="AL209" s="1104">
        <f t="shared" si="736"/>
        <v>1</v>
      </c>
      <c r="AM209" s="1104">
        <f t="shared" si="736"/>
        <v>1</v>
      </c>
      <c r="AN209" s="1104">
        <f t="shared" si="736"/>
        <v>1</v>
      </c>
      <c r="AO209" s="1104">
        <f t="shared" si="736"/>
        <v>1</v>
      </c>
      <c r="AP209" s="1104">
        <f t="shared" ref="AP209:BU209" si="737" xml:space="preserve"> MAX(AP207:AP208)</f>
        <v>1</v>
      </c>
      <c r="AQ209" s="1104">
        <f t="shared" si="737"/>
        <v>1</v>
      </c>
      <c r="AR209" s="1104">
        <f t="shared" si="737"/>
        <v>1</v>
      </c>
      <c r="AS209" s="1104">
        <f t="shared" si="737"/>
        <v>1</v>
      </c>
      <c r="AT209" s="1104">
        <f t="shared" si="737"/>
        <v>1</v>
      </c>
      <c r="AU209" s="1104">
        <f t="shared" si="737"/>
        <v>1</v>
      </c>
      <c r="AV209" s="1104">
        <f t="shared" si="737"/>
        <v>1</v>
      </c>
      <c r="AW209" s="1104">
        <f t="shared" si="737"/>
        <v>0</v>
      </c>
      <c r="AX209" s="1104">
        <f t="shared" si="737"/>
        <v>0</v>
      </c>
      <c r="AY209" s="1104">
        <f t="shared" si="737"/>
        <v>0</v>
      </c>
      <c r="AZ209" s="1104">
        <f t="shared" si="737"/>
        <v>0</v>
      </c>
      <c r="BA209" s="1104">
        <f t="shared" si="737"/>
        <v>0</v>
      </c>
      <c r="BB209" s="1104">
        <f t="shared" si="737"/>
        <v>0</v>
      </c>
      <c r="BC209" s="1104">
        <f t="shared" si="737"/>
        <v>0</v>
      </c>
      <c r="BD209" s="1104">
        <f t="shared" si="737"/>
        <v>0</v>
      </c>
      <c r="BE209" s="1104">
        <f t="shared" si="737"/>
        <v>0</v>
      </c>
      <c r="BF209" s="1104">
        <f t="shared" si="737"/>
        <v>0</v>
      </c>
      <c r="BG209" s="1104">
        <f t="shared" si="737"/>
        <v>0</v>
      </c>
      <c r="BH209" s="1104">
        <f t="shared" si="737"/>
        <v>0</v>
      </c>
      <c r="BI209" s="1104">
        <f t="shared" si="737"/>
        <v>0</v>
      </c>
      <c r="BJ209" s="1104">
        <f t="shared" si="737"/>
        <v>0</v>
      </c>
      <c r="BK209" s="1104">
        <f t="shared" si="737"/>
        <v>0</v>
      </c>
      <c r="BL209" s="1104">
        <f t="shared" si="737"/>
        <v>0</v>
      </c>
      <c r="BM209" s="1104">
        <f t="shared" si="737"/>
        <v>0</v>
      </c>
      <c r="BN209" s="1104">
        <f t="shared" si="737"/>
        <v>0</v>
      </c>
      <c r="BO209" s="1104">
        <f t="shared" si="737"/>
        <v>0</v>
      </c>
      <c r="BP209" s="1104">
        <f t="shared" si="737"/>
        <v>0</v>
      </c>
      <c r="BQ209" s="1104">
        <f t="shared" si="737"/>
        <v>0</v>
      </c>
      <c r="BR209" s="1104">
        <f t="shared" si="737"/>
        <v>0</v>
      </c>
      <c r="BS209" s="1104">
        <f t="shared" si="737"/>
        <v>0</v>
      </c>
      <c r="BT209" s="1104">
        <f t="shared" si="737"/>
        <v>0</v>
      </c>
      <c r="BU209" s="1104">
        <f t="shared" si="737"/>
        <v>0</v>
      </c>
      <c r="BV209" s="1104">
        <f t="shared" ref="BV209:CV209" si="738" xml:space="preserve"> MAX(BV207:BV208)</f>
        <v>0</v>
      </c>
      <c r="BW209" s="1104">
        <f t="shared" si="738"/>
        <v>0</v>
      </c>
      <c r="BX209" s="1104">
        <f t="shared" si="738"/>
        <v>0</v>
      </c>
      <c r="BY209" s="1104">
        <f t="shared" si="738"/>
        <v>0</v>
      </c>
      <c r="BZ209" s="1104">
        <f t="shared" si="738"/>
        <v>0</v>
      </c>
      <c r="CA209" s="1104">
        <f t="shared" si="738"/>
        <v>0</v>
      </c>
      <c r="CB209" s="1104">
        <f t="shared" si="738"/>
        <v>0</v>
      </c>
      <c r="CC209" s="1104">
        <f t="shared" si="738"/>
        <v>0</v>
      </c>
      <c r="CD209" s="1104">
        <f t="shared" si="738"/>
        <v>0</v>
      </c>
      <c r="CE209" s="1104">
        <f t="shared" si="738"/>
        <v>0</v>
      </c>
      <c r="CF209" s="1104">
        <f t="shared" si="738"/>
        <v>0</v>
      </c>
      <c r="CG209" s="1104">
        <f t="shared" si="738"/>
        <v>0</v>
      </c>
      <c r="CH209" s="1104">
        <f t="shared" si="738"/>
        <v>0</v>
      </c>
      <c r="CI209" s="1104">
        <f t="shared" si="738"/>
        <v>0</v>
      </c>
      <c r="CJ209" s="1104">
        <f t="shared" si="738"/>
        <v>0</v>
      </c>
      <c r="CK209" s="1104">
        <f t="shared" si="738"/>
        <v>0</v>
      </c>
      <c r="CL209" s="1104">
        <f t="shared" si="738"/>
        <v>0</v>
      </c>
      <c r="CM209" s="1104">
        <f t="shared" si="738"/>
        <v>0</v>
      </c>
      <c r="CN209" s="1104">
        <f t="shared" si="738"/>
        <v>0</v>
      </c>
      <c r="CO209" s="1104">
        <f t="shared" si="738"/>
        <v>0</v>
      </c>
      <c r="CP209" s="1104">
        <f t="shared" si="738"/>
        <v>0</v>
      </c>
      <c r="CQ209" s="1104">
        <f t="shared" si="738"/>
        <v>0</v>
      </c>
      <c r="CR209" s="1104">
        <f t="shared" si="738"/>
        <v>0</v>
      </c>
      <c r="CS209" s="1104">
        <f t="shared" si="738"/>
        <v>0</v>
      </c>
      <c r="CT209" s="1104">
        <f t="shared" si="738"/>
        <v>0</v>
      </c>
      <c r="CU209" s="1104">
        <f t="shared" si="738"/>
        <v>0</v>
      </c>
      <c r="CV209" s="1104">
        <f t="shared" si="738"/>
        <v>0</v>
      </c>
    </row>
    <row r="210" spans="1:100" outlineLevel="1" x14ac:dyDescent="0.2">
      <c r="A210" s="227"/>
      <c r="B210" s="227"/>
      <c r="C210" s="228"/>
      <c r="D210" s="229"/>
      <c r="E210" s="230"/>
      <c r="F210" s="397"/>
      <c r="G210" s="188"/>
      <c r="H210" s="188"/>
      <c r="I210" s="230"/>
      <c r="J210" s="230"/>
      <c r="K210" s="230"/>
      <c r="L210" s="230"/>
      <c r="M210" s="230"/>
      <c r="N210" s="230"/>
      <c r="O210" s="230"/>
      <c r="P210" s="230"/>
      <c r="Q210" s="230"/>
      <c r="R210" s="230"/>
      <c r="S210" s="230"/>
      <c r="T210" s="230"/>
      <c r="U210" s="230"/>
      <c r="V210" s="230"/>
      <c r="W210" s="230"/>
      <c r="X210" s="230"/>
      <c r="Y210" s="230"/>
      <c r="Z210" s="230"/>
      <c r="AA210" s="230"/>
      <c r="AB210" s="230"/>
      <c r="AC210" s="230"/>
      <c r="AD210" s="230"/>
      <c r="AE210" s="230"/>
      <c r="AF210" s="230"/>
      <c r="AG210" s="230"/>
      <c r="AH210" s="230"/>
      <c r="AI210" s="230"/>
      <c r="AJ210" s="230"/>
      <c r="AK210" s="230"/>
      <c r="AL210" s="230"/>
      <c r="AM210" s="230"/>
      <c r="AN210" s="230"/>
      <c r="AO210" s="230"/>
      <c r="AP210" s="230"/>
      <c r="AQ210" s="230"/>
      <c r="AR210" s="230"/>
      <c r="AS210" s="230"/>
      <c r="AT210" s="230"/>
      <c r="AU210" s="230"/>
      <c r="AV210" s="230"/>
      <c r="AW210" s="230"/>
      <c r="AX210" s="230"/>
      <c r="AY210" s="230"/>
      <c r="AZ210" s="230"/>
      <c r="BA210" s="230"/>
      <c r="BB210" s="230"/>
      <c r="BC210" s="230"/>
      <c r="BD210" s="230"/>
      <c r="BE210" s="230"/>
      <c r="BF210" s="230"/>
      <c r="BG210" s="230"/>
      <c r="BH210" s="230"/>
      <c r="BI210" s="230"/>
      <c r="BJ210" s="230"/>
      <c r="BK210" s="230"/>
      <c r="BL210" s="230"/>
      <c r="BM210" s="230"/>
      <c r="BN210" s="230"/>
      <c r="BO210" s="230"/>
      <c r="BP210" s="230"/>
      <c r="BQ210" s="230"/>
      <c r="BR210" s="230"/>
      <c r="BS210" s="230"/>
      <c r="BT210" s="230"/>
      <c r="BU210" s="230"/>
      <c r="BV210" s="230"/>
      <c r="BW210" s="230"/>
      <c r="BX210" s="230"/>
      <c r="BY210" s="230"/>
      <c r="BZ210" s="230"/>
      <c r="CA210" s="230"/>
      <c r="CB210" s="230"/>
      <c r="CC210" s="230"/>
      <c r="CD210" s="230"/>
      <c r="CE210" s="230"/>
      <c r="CF210" s="230"/>
      <c r="CG210" s="230"/>
      <c r="CH210" s="230"/>
      <c r="CI210" s="230"/>
      <c r="CJ210" s="230"/>
      <c r="CK210" s="230"/>
      <c r="CL210" s="230"/>
      <c r="CM210" s="230"/>
      <c r="CN210" s="230"/>
      <c r="CO210" s="230"/>
      <c r="CP210" s="230"/>
      <c r="CQ210" s="230"/>
      <c r="CR210" s="230"/>
      <c r="CS210" s="230"/>
      <c r="CT210" s="230"/>
      <c r="CU210" s="230"/>
      <c r="CV210" s="230"/>
    </row>
    <row r="211" spans="1:100" outlineLevel="1" x14ac:dyDescent="0.2">
      <c r="A211" s="227"/>
      <c r="B211" s="15" t="s">
        <v>884</v>
      </c>
      <c r="C211" s="228"/>
      <c r="D211" s="229"/>
      <c r="E211" s="230"/>
      <c r="F211" s="397"/>
      <c r="G211" s="188"/>
      <c r="H211" s="188"/>
      <c r="I211" s="230"/>
      <c r="J211" s="230"/>
      <c r="K211" s="230"/>
      <c r="L211" s="230"/>
      <c r="M211" s="230"/>
      <c r="N211" s="230"/>
      <c r="O211" s="230"/>
      <c r="P211" s="230"/>
      <c r="Q211" s="230"/>
      <c r="R211" s="230"/>
      <c r="S211" s="230"/>
      <c r="T211" s="230"/>
      <c r="U211" s="230"/>
      <c r="V211" s="230"/>
      <c r="W211" s="230"/>
      <c r="X211" s="230"/>
      <c r="Y211" s="230"/>
      <c r="Z211" s="230"/>
      <c r="AA211" s="230"/>
      <c r="AB211" s="230"/>
      <c r="AC211" s="230"/>
      <c r="AD211" s="230"/>
      <c r="AE211" s="230"/>
      <c r="AF211" s="230"/>
      <c r="AG211" s="230"/>
      <c r="AH211" s="230"/>
      <c r="AI211" s="230"/>
      <c r="AJ211" s="230"/>
      <c r="AK211" s="230"/>
      <c r="AL211" s="230"/>
      <c r="AM211" s="230"/>
      <c r="AN211" s="230"/>
      <c r="AO211" s="230"/>
      <c r="AP211" s="230"/>
      <c r="AQ211" s="230"/>
      <c r="AR211" s="230"/>
      <c r="AS211" s="230"/>
      <c r="AT211" s="230"/>
      <c r="AU211" s="230"/>
      <c r="AV211" s="230"/>
      <c r="AW211" s="230"/>
      <c r="AX211" s="230"/>
      <c r="AY211" s="230"/>
      <c r="AZ211" s="230"/>
      <c r="BA211" s="230"/>
      <c r="BB211" s="230"/>
      <c r="BC211" s="230"/>
      <c r="BD211" s="230"/>
      <c r="BE211" s="230"/>
      <c r="BF211" s="230"/>
      <c r="BG211" s="230"/>
      <c r="BH211" s="230"/>
      <c r="BI211" s="230"/>
      <c r="BJ211" s="230"/>
      <c r="BK211" s="230"/>
      <c r="BL211" s="230"/>
      <c r="BM211" s="230"/>
      <c r="BN211" s="230"/>
      <c r="BO211" s="230"/>
      <c r="BP211" s="230"/>
      <c r="BQ211" s="230"/>
      <c r="BR211" s="230"/>
      <c r="BS211" s="230"/>
      <c r="BT211" s="230"/>
      <c r="BU211" s="230"/>
      <c r="BV211" s="230"/>
      <c r="BW211" s="230"/>
      <c r="BX211" s="230"/>
      <c r="BY211" s="230"/>
      <c r="BZ211" s="230"/>
      <c r="CA211" s="230"/>
      <c r="CB211" s="230"/>
      <c r="CC211" s="230"/>
      <c r="CD211" s="230"/>
      <c r="CE211" s="230"/>
      <c r="CF211" s="230"/>
      <c r="CG211" s="230"/>
      <c r="CH211" s="230"/>
      <c r="CI211" s="230"/>
      <c r="CJ211" s="230"/>
      <c r="CK211" s="230"/>
      <c r="CL211" s="230"/>
      <c r="CM211" s="230"/>
      <c r="CN211" s="230"/>
      <c r="CO211" s="230"/>
      <c r="CP211" s="230"/>
      <c r="CQ211" s="230"/>
      <c r="CR211" s="230"/>
      <c r="CS211" s="230"/>
      <c r="CT211" s="230"/>
      <c r="CU211" s="230"/>
      <c r="CV211" s="230"/>
    </row>
    <row r="212" spans="1:100" s="191" customFormat="1" outlineLevel="2" x14ac:dyDescent="0.2">
      <c r="A212" s="429"/>
      <c r="B212" s="429"/>
      <c r="C212" s="430"/>
      <c r="D212" s="190"/>
      <c r="E212" s="192" t="str">
        <f t="shared" ref="E212:AJ212" si="739" xml:space="preserve"> E$163</f>
        <v>Senior debt repayment period flag - T1</v>
      </c>
      <c r="F212" s="192">
        <f t="shared" si="739"/>
        <v>0</v>
      </c>
      <c r="G212" s="192" t="str">
        <f t="shared" si="739"/>
        <v>flag</v>
      </c>
      <c r="H212" s="192">
        <f t="shared" si="739"/>
        <v>34</v>
      </c>
      <c r="I212" s="192">
        <f t="shared" si="739"/>
        <v>0</v>
      </c>
      <c r="J212" s="192">
        <f t="shared" si="739"/>
        <v>0</v>
      </c>
      <c r="K212" s="192">
        <f t="shared" si="739"/>
        <v>0</v>
      </c>
      <c r="L212" s="192">
        <f t="shared" si="739"/>
        <v>0</v>
      </c>
      <c r="M212" s="192">
        <f t="shared" si="739"/>
        <v>0</v>
      </c>
      <c r="N212" s="192">
        <f t="shared" si="739"/>
        <v>0</v>
      </c>
      <c r="O212" s="192">
        <f t="shared" si="739"/>
        <v>1</v>
      </c>
      <c r="P212" s="192">
        <f t="shared" si="739"/>
        <v>1</v>
      </c>
      <c r="Q212" s="192">
        <f t="shared" si="739"/>
        <v>1</v>
      </c>
      <c r="R212" s="192">
        <f t="shared" si="739"/>
        <v>1</v>
      </c>
      <c r="S212" s="192">
        <f t="shared" si="739"/>
        <v>1</v>
      </c>
      <c r="T212" s="192">
        <f t="shared" si="739"/>
        <v>1</v>
      </c>
      <c r="U212" s="192">
        <f t="shared" si="739"/>
        <v>1</v>
      </c>
      <c r="V212" s="192">
        <f t="shared" si="739"/>
        <v>1</v>
      </c>
      <c r="W212" s="192">
        <f t="shared" si="739"/>
        <v>1</v>
      </c>
      <c r="X212" s="192">
        <f t="shared" si="739"/>
        <v>1</v>
      </c>
      <c r="Y212" s="192">
        <f t="shared" si="739"/>
        <v>1</v>
      </c>
      <c r="Z212" s="192">
        <f t="shared" si="739"/>
        <v>1</v>
      </c>
      <c r="AA212" s="192">
        <f t="shared" si="739"/>
        <v>1</v>
      </c>
      <c r="AB212" s="192">
        <f t="shared" si="739"/>
        <v>1</v>
      </c>
      <c r="AC212" s="192">
        <f t="shared" si="739"/>
        <v>1</v>
      </c>
      <c r="AD212" s="192">
        <f t="shared" si="739"/>
        <v>1</v>
      </c>
      <c r="AE212" s="192">
        <f t="shared" si="739"/>
        <v>1</v>
      </c>
      <c r="AF212" s="192">
        <f t="shared" si="739"/>
        <v>1</v>
      </c>
      <c r="AG212" s="192">
        <f t="shared" si="739"/>
        <v>1</v>
      </c>
      <c r="AH212" s="192">
        <f t="shared" si="739"/>
        <v>1</v>
      </c>
      <c r="AI212" s="192">
        <f t="shared" si="739"/>
        <v>1</v>
      </c>
      <c r="AJ212" s="192">
        <f t="shared" si="739"/>
        <v>1</v>
      </c>
      <c r="AK212" s="192">
        <f t="shared" ref="AK212:BP212" si="740" xml:space="preserve"> AK$163</f>
        <v>1</v>
      </c>
      <c r="AL212" s="192">
        <f t="shared" si="740"/>
        <v>1</v>
      </c>
      <c r="AM212" s="192">
        <f t="shared" si="740"/>
        <v>1</v>
      </c>
      <c r="AN212" s="192">
        <f t="shared" si="740"/>
        <v>1</v>
      </c>
      <c r="AO212" s="192">
        <f t="shared" si="740"/>
        <v>1</v>
      </c>
      <c r="AP212" s="192">
        <f t="shared" si="740"/>
        <v>1</v>
      </c>
      <c r="AQ212" s="192">
        <f t="shared" si="740"/>
        <v>1</v>
      </c>
      <c r="AR212" s="192">
        <f t="shared" si="740"/>
        <v>1</v>
      </c>
      <c r="AS212" s="192">
        <f t="shared" si="740"/>
        <v>1</v>
      </c>
      <c r="AT212" s="192">
        <f t="shared" si="740"/>
        <v>1</v>
      </c>
      <c r="AU212" s="192">
        <f t="shared" si="740"/>
        <v>1</v>
      </c>
      <c r="AV212" s="192">
        <f t="shared" si="740"/>
        <v>1</v>
      </c>
      <c r="AW212" s="192">
        <f t="shared" si="740"/>
        <v>0</v>
      </c>
      <c r="AX212" s="192">
        <f t="shared" si="740"/>
        <v>0</v>
      </c>
      <c r="AY212" s="192">
        <f t="shared" si="740"/>
        <v>0</v>
      </c>
      <c r="AZ212" s="192">
        <f t="shared" si="740"/>
        <v>0</v>
      </c>
      <c r="BA212" s="192">
        <f t="shared" si="740"/>
        <v>0</v>
      </c>
      <c r="BB212" s="192">
        <f t="shared" si="740"/>
        <v>0</v>
      </c>
      <c r="BC212" s="192">
        <f t="shared" si="740"/>
        <v>0</v>
      </c>
      <c r="BD212" s="192">
        <f t="shared" si="740"/>
        <v>0</v>
      </c>
      <c r="BE212" s="192">
        <f t="shared" si="740"/>
        <v>0</v>
      </c>
      <c r="BF212" s="192">
        <f t="shared" si="740"/>
        <v>0</v>
      </c>
      <c r="BG212" s="192">
        <f t="shared" si="740"/>
        <v>0</v>
      </c>
      <c r="BH212" s="192">
        <f t="shared" si="740"/>
        <v>0</v>
      </c>
      <c r="BI212" s="192">
        <f t="shared" si="740"/>
        <v>0</v>
      </c>
      <c r="BJ212" s="192">
        <f t="shared" si="740"/>
        <v>0</v>
      </c>
      <c r="BK212" s="192">
        <f t="shared" si="740"/>
        <v>0</v>
      </c>
      <c r="BL212" s="192">
        <f t="shared" si="740"/>
        <v>0</v>
      </c>
      <c r="BM212" s="192">
        <f t="shared" si="740"/>
        <v>0</v>
      </c>
      <c r="BN212" s="192">
        <f t="shared" si="740"/>
        <v>0</v>
      </c>
      <c r="BO212" s="192">
        <f t="shared" si="740"/>
        <v>0</v>
      </c>
      <c r="BP212" s="192">
        <f t="shared" si="740"/>
        <v>0</v>
      </c>
      <c r="BQ212" s="192">
        <f t="shared" ref="BQ212:CV212" si="741" xml:space="preserve"> BQ$163</f>
        <v>0</v>
      </c>
      <c r="BR212" s="192">
        <f t="shared" si="741"/>
        <v>0</v>
      </c>
      <c r="BS212" s="192">
        <f t="shared" si="741"/>
        <v>0</v>
      </c>
      <c r="BT212" s="192">
        <f t="shared" si="741"/>
        <v>0</v>
      </c>
      <c r="BU212" s="192">
        <f t="shared" si="741"/>
        <v>0</v>
      </c>
      <c r="BV212" s="192">
        <f t="shared" si="741"/>
        <v>0</v>
      </c>
      <c r="BW212" s="192">
        <f t="shared" si="741"/>
        <v>0</v>
      </c>
      <c r="BX212" s="192">
        <f t="shared" si="741"/>
        <v>0</v>
      </c>
      <c r="BY212" s="192">
        <f t="shared" si="741"/>
        <v>0</v>
      </c>
      <c r="BZ212" s="192">
        <f t="shared" si="741"/>
        <v>0</v>
      </c>
      <c r="CA212" s="192">
        <f t="shared" si="741"/>
        <v>0</v>
      </c>
      <c r="CB212" s="192">
        <f t="shared" si="741"/>
        <v>0</v>
      </c>
      <c r="CC212" s="192">
        <f t="shared" si="741"/>
        <v>0</v>
      </c>
      <c r="CD212" s="192">
        <f t="shared" si="741"/>
        <v>0</v>
      </c>
      <c r="CE212" s="192">
        <f t="shared" si="741"/>
        <v>0</v>
      </c>
      <c r="CF212" s="192">
        <f t="shared" si="741"/>
        <v>0</v>
      </c>
      <c r="CG212" s="192">
        <f t="shared" si="741"/>
        <v>0</v>
      </c>
      <c r="CH212" s="192">
        <f t="shared" si="741"/>
        <v>0</v>
      </c>
      <c r="CI212" s="192">
        <f t="shared" si="741"/>
        <v>0</v>
      </c>
      <c r="CJ212" s="192">
        <f t="shared" si="741"/>
        <v>0</v>
      </c>
      <c r="CK212" s="192">
        <f t="shared" si="741"/>
        <v>0</v>
      </c>
      <c r="CL212" s="192">
        <f t="shared" si="741"/>
        <v>0</v>
      </c>
      <c r="CM212" s="192">
        <f t="shared" si="741"/>
        <v>0</v>
      </c>
      <c r="CN212" s="192">
        <f t="shared" si="741"/>
        <v>0</v>
      </c>
      <c r="CO212" s="192">
        <f t="shared" si="741"/>
        <v>0</v>
      </c>
      <c r="CP212" s="192">
        <f t="shared" si="741"/>
        <v>0</v>
      </c>
      <c r="CQ212" s="192">
        <f t="shared" si="741"/>
        <v>0</v>
      </c>
      <c r="CR212" s="192">
        <f t="shared" si="741"/>
        <v>0</v>
      </c>
      <c r="CS212" s="192">
        <f t="shared" si="741"/>
        <v>0</v>
      </c>
      <c r="CT212" s="192">
        <f t="shared" si="741"/>
        <v>0</v>
      </c>
      <c r="CU212" s="192">
        <f t="shared" si="741"/>
        <v>0</v>
      </c>
      <c r="CV212" s="192">
        <f t="shared" si="741"/>
        <v>0</v>
      </c>
    </row>
    <row r="213" spans="1:100" outlineLevel="2" x14ac:dyDescent="0.2">
      <c r="A213" s="227"/>
      <c r="B213" s="227"/>
      <c r="C213" s="228"/>
      <c r="D213" s="229"/>
      <c r="E213" s="192" t="str">
        <f t="shared" ref="E213:AJ213" si="742" xml:space="preserve"> E$203</f>
        <v>Senior debt repayment period flag - T2</v>
      </c>
      <c r="F213" s="192">
        <f t="shared" si="742"/>
        <v>0</v>
      </c>
      <c r="G213" s="192" t="str">
        <f t="shared" si="742"/>
        <v>flag</v>
      </c>
      <c r="H213" s="192">
        <f t="shared" si="742"/>
        <v>30</v>
      </c>
      <c r="I213" s="192">
        <f t="shared" si="742"/>
        <v>0</v>
      </c>
      <c r="J213" s="192">
        <f t="shared" si="742"/>
        <v>0</v>
      </c>
      <c r="K213" s="192">
        <f t="shared" si="742"/>
        <v>0</v>
      </c>
      <c r="L213" s="192">
        <f t="shared" si="742"/>
        <v>0</v>
      </c>
      <c r="M213" s="192">
        <f t="shared" si="742"/>
        <v>0</v>
      </c>
      <c r="N213" s="192">
        <f t="shared" si="742"/>
        <v>0</v>
      </c>
      <c r="O213" s="192">
        <f t="shared" si="742"/>
        <v>1</v>
      </c>
      <c r="P213" s="192">
        <f t="shared" si="742"/>
        <v>1</v>
      </c>
      <c r="Q213" s="192">
        <f t="shared" si="742"/>
        <v>1</v>
      </c>
      <c r="R213" s="192">
        <f t="shared" si="742"/>
        <v>1</v>
      </c>
      <c r="S213" s="192">
        <f t="shared" si="742"/>
        <v>1</v>
      </c>
      <c r="T213" s="192">
        <f t="shared" si="742"/>
        <v>1</v>
      </c>
      <c r="U213" s="192">
        <f t="shared" si="742"/>
        <v>1</v>
      </c>
      <c r="V213" s="192">
        <f t="shared" si="742"/>
        <v>1</v>
      </c>
      <c r="W213" s="192">
        <f t="shared" si="742"/>
        <v>1</v>
      </c>
      <c r="X213" s="192">
        <f t="shared" si="742"/>
        <v>1</v>
      </c>
      <c r="Y213" s="192">
        <f t="shared" si="742"/>
        <v>1</v>
      </c>
      <c r="Z213" s="192">
        <f t="shared" si="742"/>
        <v>1</v>
      </c>
      <c r="AA213" s="192">
        <f t="shared" si="742"/>
        <v>1</v>
      </c>
      <c r="AB213" s="192">
        <f t="shared" si="742"/>
        <v>1</v>
      </c>
      <c r="AC213" s="192">
        <f t="shared" si="742"/>
        <v>1</v>
      </c>
      <c r="AD213" s="192">
        <f t="shared" si="742"/>
        <v>1</v>
      </c>
      <c r="AE213" s="192">
        <f t="shared" si="742"/>
        <v>1</v>
      </c>
      <c r="AF213" s="192">
        <f t="shared" si="742"/>
        <v>1</v>
      </c>
      <c r="AG213" s="192">
        <f t="shared" si="742"/>
        <v>1</v>
      </c>
      <c r="AH213" s="192">
        <f t="shared" si="742"/>
        <v>1</v>
      </c>
      <c r="AI213" s="192">
        <f t="shared" si="742"/>
        <v>1</v>
      </c>
      <c r="AJ213" s="192">
        <f t="shared" si="742"/>
        <v>1</v>
      </c>
      <c r="AK213" s="192">
        <f t="shared" ref="AK213:BP213" si="743" xml:space="preserve"> AK$203</f>
        <v>1</v>
      </c>
      <c r="AL213" s="192">
        <f t="shared" si="743"/>
        <v>1</v>
      </c>
      <c r="AM213" s="192">
        <f t="shared" si="743"/>
        <v>1</v>
      </c>
      <c r="AN213" s="192">
        <f t="shared" si="743"/>
        <v>1</v>
      </c>
      <c r="AO213" s="192">
        <f t="shared" si="743"/>
        <v>1</v>
      </c>
      <c r="AP213" s="192">
        <f t="shared" si="743"/>
        <v>1</v>
      </c>
      <c r="AQ213" s="192">
        <f t="shared" si="743"/>
        <v>1</v>
      </c>
      <c r="AR213" s="192">
        <f t="shared" si="743"/>
        <v>1</v>
      </c>
      <c r="AS213" s="192">
        <f t="shared" si="743"/>
        <v>0</v>
      </c>
      <c r="AT213" s="192">
        <f t="shared" si="743"/>
        <v>0</v>
      </c>
      <c r="AU213" s="192">
        <f t="shared" si="743"/>
        <v>0</v>
      </c>
      <c r="AV213" s="192">
        <f t="shared" si="743"/>
        <v>0</v>
      </c>
      <c r="AW213" s="192">
        <f t="shared" si="743"/>
        <v>0</v>
      </c>
      <c r="AX213" s="192">
        <f t="shared" si="743"/>
        <v>0</v>
      </c>
      <c r="AY213" s="192">
        <f t="shared" si="743"/>
        <v>0</v>
      </c>
      <c r="AZ213" s="192">
        <f t="shared" si="743"/>
        <v>0</v>
      </c>
      <c r="BA213" s="192">
        <f t="shared" si="743"/>
        <v>0</v>
      </c>
      <c r="BB213" s="192">
        <f t="shared" si="743"/>
        <v>0</v>
      </c>
      <c r="BC213" s="192">
        <f t="shared" si="743"/>
        <v>0</v>
      </c>
      <c r="BD213" s="192">
        <f t="shared" si="743"/>
        <v>0</v>
      </c>
      <c r="BE213" s="192">
        <f t="shared" si="743"/>
        <v>0</v>
      </c>
      <c r="BF213" s="192">
        <f t="shared" si="743"/>
        <v>0</v>
      </c>
      <c r="BG213" s="192">
        <f t="shared" si="743"/>
        <v>0</v>
      </c>
      <c r="BH213" s="192">
        <f t="shared" si="743"/>
        <v>0</v>
      </c>
      <c r="BI213" s="192">
        <f t="shared" si="743"/>
        <v>0</v>
      </c>
      <c r="BJ213" s="192">
        <f t="shared" si="743"/>
        <v>0</v>
      </c>
      <c r="BK213" s="192">
        <f t="shared" si="743"/>
        <v>0</v>
      </c>
      <c r="BL213" s="192">
        <f t="shared" si="743"/>
        <v>0</v>
      </c>
      <c r="BM213" s="192">
        <f t="shared" si="743"/>
        <v>0</v>
      </c>
      <c r="BN213" s="192">
        <f t="shared" si="743"/>
        <v>0</v>
      </c>
      <c r="BO213" s="192">
        <f t="shared" si="743"/>
        <v>0</v>
      </c>
      <c r="BP213" s="192">
        <f t="shared" si="743"/>
        <v>0</v>
      </c>
      <c r="BQ213" s="192">
        <f t="shared" ref="BQ213:CV213" si="744" xml:space="preserve"> BQ$203</f>
        <v>0</v>
      </c>
      <c r="BR213" s="192">
        <f t="shared" si="744"/>
        <v>0</v>
      </c>
      <c r="BS213" s="192">
        <f t="shared" si="744"/>
        <v>0</v>
      </c>
      <c r="BT213" s="192">
        <f t="shared" si="744"/>
        <v>0</v>
      </c>
      <c r="BU213" s="192">
        <f t="shared" si="744"/>
        <v>0</v>
      </c>
      <c r="BV213" s="192">
        <f t="shared" si="744"/>
        <v>0</v>
      </c>
      <c r="BW213" s="192">
        <f t="shared" si="744"/>
        <v>0</v>
      </c>
      <c r="BX213" s="192">
        <f t="shared" si="744"/>
        <v>0</v>
      </c>
      <c r="BY213" s="192">
        <f t="shared" si="744"/>
        <v>0</v>
      </c>
      <c r="BZ213" s="192">
        <f t="shared" si="744"/>
        <v>0</v>
      </c>
      <c r="CA213" s="192">
        <f t="shared" si="744"/>
        <v>0</v>
      </c>
      <c r="CB213" s="192">
        <f t="shared" si="744"/>
        <v>0</v>
      </c>
      <c r="CC213" s="192">
        <f t="shared" si="744"/>
        <v>0</v>
      </c>
      <c r="CD213" s="192">
        <f t="shared" si="744"/>
        <v>0</v>
      </c>
      <c r="CE213" s="192">
        <f t="shared" si="744"/>
        <v>0</v>
      </c>
      <c r="CF213" s="192">
        <f t="shared" si="744"/>
        <v>0</v>
      </c>
      <c r="CG213" s="192">
        <f t="shared" si="744"/>
        <v>0</v>
      </c>
      <c r="CH213" s="192">
        <f t="shared" si="744"/>
        <v>0</v>
      </c>
      <c r="CI213" s="192">
        <f t="shared" si="744"/>
        <v>0</v>
      </c>
      <c r="CJ213" s="192">
        <f t="shared" si="744"/>
        <v>0</v>
      </c>
      <c r="CK213" s="192">
        <f t="shared" si="744"/>
        <v>0</v>
      </c>
      <c r="CL213" s="192">
        <f t="shared" si="744"/>
        <v>0</v>
      </c>
      <c r="CM213" s="192">
        <f t="shared" si="744"/>
        <v>0</v>
      </c>
      <c r="CN213" s="192">
        <f t="shared" si="744"/>
        <v>0</v>
      </c>
      <c r="CO213" s="192">
        <f t="shared" si="744"/>
        <v>0</v>
      </c>
      <c r="CP213" s="192">
        <f t="shared" si="744"/>
        <v>0</v>
      </c>
      <c r="CQ213" s="192">
        <f t="shared" si="744"/>
        <v>0</v>
      </c>
      <c r="CR213" s="192">
        <f t="shared" si="744"/>
        <v>0</v>
      </c>
      <c r="CS213" s="192">
        <f t="shared" si="744"/>
        <v>0</v>
      </c>
      <c r="CT213" s="192">
        <f t="shared" si="744"/>
        <v>0</v>
      </c>
      <c r="CU213" s="192">
        <f t="shared" si="744"/>
        <v>0</v>
      </c>
      <c r="CV213" s="192">
        <f t="shared" si="744"/>
        <v>0</v>
      </c>
    </row>
    <row r="214" spans="1:100" outlineLevel="2" x14ac:dyDescent="0.2">
      <c r="A214" s="227"/>
      <c r="B214" s="227"/>
      <c r="C214" s="228"/>
      <c r="D214" s="229"/>
      <c r="E214" s="1104" t="s">
        <v>884</v>
      </c>
      <c r="F214" s="1105"/>
      <c r="G214" s="1106" t="s">
        <v>5</v>
      </c>
      <c r="H214" s="1106">
        <f xml:space="preserve"> SUM(J214:CV214)</f>
        <v>34</v>
      </c>
      <c r="I214" s="1104"/>
      <c r="J214" s="1104">
        <f t="shared" ref="J214" si="745" xml:space="preserve"> MAX(J212:J213)</f>
        <v>0</v>
      </c>
      <c r="K214" s="1104">
        <f t="shared" ref="K214" si="746" xml:space="preserve"> MAX(K212:K213)</f>
        <v>0</v>
      </c>
      <c r="L214" s="1104">
        <f t="shared" ref="L214" si="747" xml:space="preserve"> MAX(L212:L213)</f>
        <v>0</v>
      </c>
      <c r="M214" s="1104">
        <f t="shared" ref="M214" si="748" xml:space="preserve"> MAX(M212:M213)</f>
        <v>0</v>
      </c>
      <c r="N214" s="1104">
        <f t="shared" ref="N214" si="749" xml:space="preserve"> MAX(N212:N213)</f>
        <v>0</v>
      </c>
      <c r="O214" s="1104">
        <f t="shared" ref="O214" si="750" xml:space="preserve"> MAX(O212:O213)</f>
        <v>1</v>
      </c>
      <c r="P214" s="1104">
        <f t="shared" ref="P214" si="751" xml:space="preserve"> MAX(P212:P213)</f>
        <v>1</v>
      </c>
      <c r="Q214" s="1104">
        <f t="shared" ref="Q214" si="752" xml:space="preserve"> MAX(Q212:Q213)</f>
        <v>1</v>
      </c>
      <c r="R214" s="1104">
        <f t="shared" ref="R214" si="753" xml:space="preserve"> MAX(R212:R213)</f>
        <v>1</v>
      </c>
      <c r="S214" s="1104">
        <f t="shared" ref="S214" si="754" xml:space="preserve"> MAX(S212:S213)</f>
        <v>1</v>
      </c>
      <c r="T214" s="1104">
        <f t="shared" ref="T214" si="755" xml:space="preserve"> MAX(T212:T213)</f>
        <v>1</v>
      </c>
      <c r="U214" s="1104">
        <f t="shared" ref="U214" si="756" xml:space="preserve"> MAX(U212:U213)</f>
        <v>1</v>
      </c>
      <c r="V214" s="1104">
        <f t="shared" ref="V214" si="757" xml:space="preserve"> MAX(V212:V213)</f>
        <v>1</v>
      </c>
      <c r="W214" s="1104">
        <f t="shared" ref="W214" si="758" xml:space="preserve"> MAX(W212:W213)</f>
        <v>1</v>
      </c>
      <c r="X214" s="1104">
        <f t="shared" ref="X214" si="759" xml:space="preserve"> MAX(X212:X213)</f>
        <v>1</v>
      </c>
      <c r="Y214" s="1104">
        <f t="shared" ref="Y214" si="760" xml:space="preserve"> MAX(Y212:Y213)</f>
        <v>1</v>
      </c>
      <c r="Z214" s="1104">
        <f t="shared" ref="Z214" si="761" xml:space="preserve"> MAX(Z212:Z213)</f>
        <v>1</v>
      </c>
      <c r="AA214" s="1104">
        <f t="shared" ref="AA214" si="762" xml:space="preserve"> MAX(AA212:AA213)</f>
        <v>1</v>
      </c>
      <c r="AB214" s="1104">
        <f t="shared" ref="AB214" si="763" xml:space="preserve"> MAX(AB212:AB213)</f>
        <v>1</v>
      </c>
      <c r="AC214" s="1104">
        <f t="shared" ref="AC214" si="764" xml:space="preserve"> MAX(AC212:AC213)</f>
        <v>1</v>
      </c>
      <c r="AD214" s="1104">
        <f t="shared" ref="AD214" si="765" xml:space="preserve"> MAX(AD212:AD213)</f>
        <v>1</v>
      </c>
      <c r="AE214" s="1104">
        <f t="shared" ref="AE214" si="766" xml:space="preserve"> MAX(AE212:AE213)</f>
        <v>1</v>
      </c>
      <c r="AF214" s="1104">
        <f t="shared" ref="AF214" si="767" xml:space="preserve"> MAX(AF212:AF213)</f>
        <v>1</v>
      </c>
      <c r="AG214" s="1104">
        <f t="shared" ref="AG214" si="768" xml:space="preserve"> MAX(AG212:AG213)</f>
        <v>1</v>
      </c>
      <c r="AH214" s="1104">
        <f t="shared" ref="AH214" si="769" xml:space="preserve"> MAX(AH212:AH213)</f>
        <v>1</v>
      </c>
      <c r="AI214" s="1104">
        <f t="shared" ref="AI214" si="770" xml:space="preserve"> MAX(AI212:AI213)</f>
        <v>1</v>
      </c>
      <c r="AJ214" s="1104">
        <f t="shared" ref="AJ214" si="771" xml:space="preserve"> MAX(AJ212:AJ213)</f>
        <v>1</v>
      </c>
      <c r="AK214" s="1104">
        <f t="shared" ref="AK214" si="772" xml:space="preserve"> MAX(AK212:AK213)</f>
        <v>1</v>
      </c>
      <c r="AL214" s="1104">
        <f t="shared" ref="AL214" si="773" xml:space="preserve"> MAX(AL212:AL213)</f>
        <v>1</v>
      </c>
      <c r="AM214" s="1104">
        <f t="shared" ref="AM214" si="774" xml:space="preserve"> MAX(AM212:AM213)</f>
        <v>1</v>
      </c>
      <c r="AN214" s="1104">
        <f t="shared" ref="AN214" si="775" xml:space="preserve"> MAX(AN212:AN213)</f>
        <v>1</v>
      </c>
      <c r="AO214" s="1104">
        <f t="shared" ref="AO214" si="776" xml:space="preserve"> MAX(AO212:AO213)</f>
        <v>1</v>
      </c>
      <c r="AP214" s="1104">
        <f t="shared" ref="AP214" si="777" xml:space="preserve"> MAX(AP212:AP213)</f>
        <v>1</v>
      </c>
      <c r="AQ214" s="1104">
        <f t="shared" ref="AQ214" si="778" xml:space="preserve"> MAX(AQ212:AQ213)</f>
        <v>1</v>
      </c>
      <c r="AR214" s="1104">
        <f t="shared" ref="AR214" si="779" xml:space="preserve"> MAX(AR212:AR213)</f>
        <v>1</v>
      </c>
      <c r="AS214" s="1104">
        <f t="shared" ref="AS214" si="780" xml:space="preserve"> MAX(AS212:AS213)</f>
        <v>1</v>
      </c>
      <c r="AT214" s="1104">
        <f t="shared" ref="AT214" si="781" xml:space="preserve"> MAX(AT212:AT213)</f>
        <v>1</v>
      </c>
      <c r="AU214" s="1104">
        <f t="shared" ref="AU214" si="782" xml:space="preserve"> MAX(AU212:AU213)</f>
        <v>1</v>
      </c>
      <c r="AV214" s="1104">
        <f t="shared" ref="AV214" si="783" xml:space="preserve"> MAX(AV212:AV213)</f>
        <v>1</v>
      </c>
      <c r="AW214" s="1104">
        <f t="shared" ref="AW214" si="784" xml:space="preserve"> MAX(AW212:AW213)</f>
        <v>0</v>
      </c>
      <c r="AX214" s="1104">
        <f t="shared" ref="AX214" si="785" xml:space="preserve"> MAX(AX212:AX213)</f>
        <v>0</v>
      </c>
      <c r="AY214" s="1104">
        <f t="shared" ref="AY214" si="786" xml:space="preserve"> MAX(AY212:AY213)</f>
        <v>0</v>
      </c>
      <c r="AZ214" s="1104">
        <f t="shared" ref="AZ214" si="787" xml:space="preserve"> MAX(AZ212:AZ213)</f>
        <v>0</v>
      </c>
      <c r="BA214" s="1104">
        <f t="shared" ref="BA214" si="788" xml:space="preserve"> MAX(BA212:BA213)</f>
        <v>0</v>
      </c>
      <c r="BB214" s="1104">
        <f t="shared" ref="BB214" si="789" xml:space="preserve"> MAX(BB212:BB213)</f>
        <v>0</v>
      </c>
      <c r="BC214" s="1104">
        <f t="shared" ref="BC214" si="790" xml:space="preserve"> MAX(BC212:BC213)</f>
        <v>0</v>
      </c>
      <c r="BD214" s="1104">
        <f t="shared" ref="BD214" si="791" xml:space="preserve"> MAX(BD212:BD213)</f>
        <v>0</v>
      </c>
      <c r="BE214" s="1104">
        <f t="shared" ref="BE214" si="792" xml:space="preserve"> MAX(BE212:BE213)</f>
        <v>0</v>
      </c>
      <c r="BF214" s="1104">
        <f t="shared" ref="BF214" si="793" xml:space="preserve"> MAX(BF212:BF213)</f>
        <v>0</v>
      </c>
      <c r="BG214" s="1104">
        <f t="shared" ref="BG214" si="794" xml:space="preserve"> MAX(BG212:BG213)</f>
        <v>0</v>
      </c>
      <c r="BH214" s="1104">
        <f t="shared" ref="BH214" si="795" xml:space="preserve"> MAX(BH212:BH213)</f>
        <v>0</v>
      </c>
      <c r="BI214" s="1104">
        <f t="shared" ref="BI214" si="796" xml:space="preserve"> MAX(BI212:BI213)</f>
        <v>0</v>
      </c>
      <c r="BJ214" s="1104">
        <f t="shared" ref="BJ214" si="797" xml:space="preserve"> MAX(BJ212:BJ213)</f>
        <v>0</v>
      </c>
      <c r="BK214" s="1104">
        <f t="shared" ref="BK214" si="798" xml:space="preserve"> MAX(BK212:BK213)</f>
        <v>0</v>
      </c>
      <c r="BL214" s="1104">
        <f t="shared" ref="BL214" si="799" xml:space="preserve"> MAX(BL212:BL213)</f>
        <v>0</v>
      </c>
      <c r="BM214" s="1104">
        <f t="shared" ref="BM214" si="800" xml:space="preserve"> MAX(BM212:BM213)</f>
        <v>0</v>
      </c>
      <c r="BN214" s="1104">
        <f t="shared" ref="BN214" si="801" xml:space="preserve"> MAX(BN212:BN213)</f>
        <v>0</v>
      </c>
      <c r="BO214" s="1104">
        <f t="shared" ref="BO214" si="802" xml:space="preserve"> MAX(BO212:BO213)</f>
        <v>0</v>
      </c>
      <c r="BP214" s="1104">
        <f t="shared" ref="BP214" si="803" xml:space="preserve"> MAX(BP212:BP213)</f>
        <v>0</v>
      </c>
      <c r="BQ214" s="1104">
        <f t="shared" ref="BQ214" si="804" xml:space="preserve"> MAX(BQ212:BQ213)</f>
        <v>0</v>
      </c>
      <c r="BR214" s="1104">
        <f t="shared" ref="BR214" si="805" xml:space="preserve"> MAX(BR212:BR213)</f>
        <v>0</v>
      </c>
      <c r="BS214" s="1104">
        <f t="shared" ref="BS214" si="806" xml:space="preserve"> MAX(BS212:BS213)</f>
        <v>0</v>
      </c>
      <c r="BT214" s="1104">
        <f t="shared" ref="BT214" si="807" xml:space="preserve"> MAX(BT212:BT213)</f>
        <v>0</v>
      </c>
      <c r="BU214" s="1104">
        <f t="shared" ref="BU214" si="808" xml:space="preserve"> MAX(BU212:BU213)</f>
        <v>0</v>
      </c>
      <c r="BV214" s="1104">
        <f t="shared" ref="BV214" si="809" xml:space="preserve"> MAX(BV212:BV213)</f>
        <v>0</v>
      </c>
      <c r="BW214" s="1104">
        <f t="shared" ref="BW214" si="810" xml:space="preserve"> MAX(BW212:BW213)</f>
        <v>0</v>
      </c>
      <c r="BX214" s="1104">
        <f t="shared" ref="BX214" si="811" xml:space="preserve"> MAX(BX212:BX213)</f>
        <v>0</v>
      </c>
      <c r="BY214" s="1104">
        <f t="shared" ref="BY214" si="812" xml:space="preserve"> MAX(BY212:BY213)</f>
        <v>0</v>
      </c>
      <c r="BZ214" s="1104">
        <f t="shared" ref="BZ214" si="813" xml:space="preserve"> MAX(BZ212:BZ213)</f>
        <v>0</v>
      </c>
      <c r="CA214" s="1104">
        <f t="shared" ref="CA214" si="814" xml:space="preserve"> MAX(CA212:CA213)</f>
        <v>0</v>
      </c>
      <c r="CB214" s="1104">
        <f t="shared" ref="CB214" si="815" xml:space="preserve"> MAX(CB212:CB213)</f>
        <v>0</v>
      </c>
      <c r="CC214" s="1104">
        <f t="shared" ref="CC214" si="816" xml:space="preserve"> MAX(CC212:CC213)</f>
        <v>0</v>
      </c>
      <c r="CD214" s="1104">
        <f t="shared" ref="CD214" si="817" xml:space="preserve"> MAX(CD212:CD213)</f>
        <v>0</v>
      </c>
      <c r="CE214" s="1104">
        <f t="shared" ref="CE214" si="818" xml:space="preserve"> MAX(CE212:CE213)</f>
        <v>0</v>
      </c>
      <c r="CF214" s="1104">
        <f t="shared" ref="CF214" si="819" xml:space="preserve"> MAX(CF212:CF213)</f>
        <v>0</v>
      </c>
      <c r="CG214" s="1104">
        <f t="shared" ref="CG214" si="820" xml:space="preserve"> MAX(CG212:CG213)</f>
        <v>0</v>
      </c>
      <c r="CH214" s="1104">
        <f t="shared" ref="CH214" si="821" xml:space="preserve"> MAX(CH212:CH213)</f>
        <v>0</v>
      </c>
      <c r="CI214" s="1104">
        <f t="shared" ref="CI214" si="822" xml:space="preserve"> MAX(CI212:CI213)</f>
        <v>0</v>
      </c>
      <c r="CJ214" s="1104">
        <f t="shared" ref="CJ214" si="823" xml:space="preserve"> MAX(CJ212:CJ213)</f>
        <v>0</v>
      </c>
      <c r="CK214" s="1104">
        <f t="shared" ref="CK214" si="824" xml:space="preserve"> MAX(CK212:CK213)</f>
        <v>0</v>
      </c>
      <c r="CL214" s="1104">
        <f t="shared" ref="CL214" si="825" xml:space="preserve"> MAX(CL212:CL213)</f>
        <v>0</v>
      </c>
      <c r="CM214" s="1104">
        <f t="shared" ref="CM214" si="826" xml:space="preserve"> MAX(CM212:CM213)</f>
        <v>0</v>
      </c>
      <c r="CN214" s="1104">
        <f t="shared" ref="CN214" si="827" xml:space="preserve"> MAX(CN212:CN213)</f>
        <v>0</v>
      </c>
      <c r="CO214" s="1104">
        <f t="shared" ref="CO214" si="828" xml:space="preserve"> MAX(CO212:CO213)</f>
        <v>0</v>
      </c>
      <c r="CP214" s="1104">
        <f t="shared" ref="CP214" si="829" xml:space="preserve"> MAX(CP212:CP213)</f>
        <v>0</v>
      </c>
      <c r="CQ214" s="1104">
        <f t="shared" ref="CQ214" si="830" xml:space="preserve"> MAX(CQ212:CQ213)</f>
        <v>0</v>
      </c>
      <c r="CR214" s="1104">
        <f t="shared" ref="CR214" si="831" xml:space="preserve"> MAX(CR212:CR213)</f>
        <v>0</v>
      </c>
      <c r="CS214" s="1104">
        <f t="shared" ref="CS214" si="832" xml:space="preserve"> MAX(CS212:CS213)</f>
        <v>0</v>
      </c>
      <c r="CT214" s="1104">
        <f t="shared" ref="CT214" si="833" xml:space="preserve"> MAX(CT212:CT213)</f>
        <v>0</v>
      </c>
      <c r="CU214" s="1104">
        <f t="shared" ref="CU214" si="834" xml:space="preserve"> MAX(CU212:CU213)</f>
        <v>0</v>
      </c>
      <c r="CV214" s="1104">
        <f t="shared" ref="CV214" si="835" xml:space="preserve"> MAX(CV212:CV213)</f>
        <v>0</v>
      </c>
    </row>
    <row r="215" spans="1:100" outlineLevel="1" x14ac:dyDescent="0.2">
      <c r="A215" s="227"/>
      <c r="B215" s="227"/>
      <c r="C215" s="228"/>
      <c r="D215" s="229"/>
      <c r="E215" s="230"/>
      <c r="F215" s="397"/>
      <c r="G215" s="188"/>
      <c r="H215" s="188"/>
      <c r="I215" s="230"/>
      <c r="J215" s="230"/>
      <c r="K215" s="230"/>
      <c r="L215" s="230"/>
      <c r="M215" s="230"/>
      <c r="N215" s="230"/>
      <c r="O215" s="230"/>
      <c r="P215" s="230"/>
      <c r="Q215" s="230"/>
      <c r="R215" s="230"/>
      <c r="S215" s="230"/>
      <c r="T215" s="230"/>
      <c r="U215" s="230"/>
      <c r="V215" s="230"/>
      <c r="W215" s="230"/>
      <c r="X215" s="230"/>
      <c r="Y215" s="230"/>
      <c r="Z215" s="230"/>
      <c r="AA215" s="230"/>
      <c r="AB215" s="230"/>
      <c r="AC215" s="230"/>
      <c r="AD215" s="230"/>
      <c r="AE215" s="230"/>
      <c r="AF215" s="230"/>
      <c r="AG215" s="230"/>
      <c r="AH215" s="230"/>
      <c r="AI215" s="230"/>
      <c r="AJ215" s="230"/>
      <c r="AK215" s="230"/>
      <c r="AL215" s="230"/>
      <c r="AM215" s="230"/>
      <c r="AN215" s="230"/>
      <c r="AO215" s="230"/>
      <c r="AP215" s="230"/>
      <c r="AQ215" s="230"/>
      <c r="AR215" s="230"/>
      <c r="AS215" s="230"/>
      <c r="AT215" s="230"/>
      <c r="AU215" s="230"/>
      <c r="AV215" s="230"/>
      <c r="AW215" s="230"/>
      <c r="AX215" s="230"/>
      <c r="AY215" s="230"/>
      <c r="AZ215" s="230"/>
      <c r="BA215" s="230"/>
      <c r="BB215" s="230"/>
      <c r="BC215" s="230"/>
      <c r="BD215" s="230"/>
      <c r="BE215" s="230"/>
      <c r="BF215" s="230"/>
      <c r="BG215" s="230"/>
      <c r="BH215" s="230"/>
      <c r="BI215" s="230"/>
      <c r="BJ215" s="230"/>
      <c r="BK215" s="230"/>
      <c r="BL215" s="230"/>
      <c r="BM215" s="230"/>
      <c r="BN215" s="230"/>
      <c r="BO215" s="230"/>
      <c r="BP215" s="230"/>
      <c r="BQ215" s="230"/>
      <c r="BR215" s="230"/>
      <c r="BS215" s="230"/>
      <c r="BT215" s="230"/>
      <c r="BU215" s="230"/>
      <c r="BV215" s="230"/>
      <c r="BW215" s="230"/>
      <c r="BX215" s="230"/>
      <c r="BY215" s="230"/>
      <c r="BZ215" s="230"/>
      <c r="CA215" s="230"/>
      <c r="CB215" s="230"/>
      <c r="CC215" s="230"/>
      <c r="CD215" s="230"/>
      <c r="CE215" s="230"/>
      <c r="CF215" s="230"/>
      <c r="CG215" s="230"/>
      <c r="CH215" s="230"/>
      <c r="CI215" s="230"/>
      <c r="CJ215" s="230"/>
      <c r="CK215" s="230"/>
      <c r="CL215" s="230"/>
      <c r="CM215" s="230"/>
      <c r="CN215" s="230"/>
      <c r="CO215" s="230"/>
      <c r="CP215" s="230"/>
      <c r="CQ215" s="230"/>
      <c r="CR215" s="230"/>
      <c r="CS215" s="230"/>
      <c r="CT215" s="230"/>
      <c r="CU215" s="230"/>
      <c r="CV215" s="230"/>
    </row>
    <row r="216" spans="1:100" s="191" customFormat="1" outlineLevel="1" x14ac:dyDescent="0.2">
      <c r="A216" s="429"/>
      <c r="B216" s="429" t="s">
        <v>402</v>
      </c>
      <c r="C216" s="430"/>
      <c r="D216" s="190"/>
      <c r="E216" s="192"/>
      <c r="F216" s="431"/>
      <c r="I216" s="192"/>
      <c r="J216" s="192"/>
      <c r="K216" s="192"/>
      <c r="L216" s="192"/>
      <c r="M216" s="192"/>
      <c r="N216" s="192"/>
      <c r="O216" s="192"/>
      <c r="P216" s="192"/>
      <c r="Q216" s="192"/>
      <c r="R216" s="192"/>
      <c r="S216" s="192"/>
      <c r="T216" s="192"/>
      <c r="U216" s="192"/>
      <c r="V216" s="192"/>
      <c r="W216" s="192"/>
      <c r="X216" s="192"/>
      <c r="Y216" s="192"/>
      <c r="Z216" s="192"/>
      <c r="AA216" s="192"/>
      <c r="AB216" s="192"/>
      <c r="AC216" s="192"/>
      <c r="AD216" s="192"/>
      <c r="AE216" s="192"/>
      <c r="AF216" s="192"/>
      <c r="AG216" s="192"/>
      <c r="AH216" s="192"/>
      <c r="AI216" s="192"/>
      <c r="AJ216" s="192"/>
      <c r="AK216" s="192"/>
      <c r="AL216" s="192"/>
      <c r="AM216" s="192"/>
      <c r="AN216" s="192"/>
      <c r="AO216" s="192"/>
      <c r="AP216" s="192"/>
      <c r="AQ216" s="192"/>
      <c r="AR216" s="192"/>
      <c r="AS216" s="192"/>
      <c r="AT216" s="192"/>
      <c r="AU216" s="192"/>
      <c r="AV216" s="192"/>
      <c r="AW216" s="192"/>
      <c r="AX216" s="192"/>
      <c r="AY216" s="192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192"/>
      <c r="CU216" s="192"/>
      <c r="CV216" s="192"/>
    </row>
    <row r="217" spans="1:100" s="191" customFormat="1" outlineLevel="2" x14ac:dyDescent="0.2">
      <c r="A217" s="429"/>
      <c r="B217" s="429"/>
      <c r="C217" s="430"/>
      <c r="D217" s="190"/>
      <c r="E217" s="32" t="str">
        <f t="shared" ref="E217:AJ217" si="836" xml:space="preserve"> E$214</f>
        <v>Senior debt repayment period flag</v>
      </c>
      <c r="F217" s="32">
        <f t="shared" si="836"/>
        <v>0</v>
      </c>
      <c r="G217" s="32" t="str">
        <f t="shared" si="836"/>
        <v>flag</v>
      </c>
      <c r="H217" s="32">
        <f t="shared" si="836"/>
        <v>34</v>
      </c>
      <c r="I217" s="32">
        <f t="shared" si="836"/>
        <v>0</v>
      </c>
      <c r="J217" s="32">
        <f t="shared" si="836"/>
        <v>0</v>
      </c>
      <c r="K217" s="32">
        <f t="shared" si="836"/>
        <v>0</v>
      </c>
      <c r="L217" s="32">
        <f t="shared" si="836"/>
        <v>0</v>
      </c>
      <c r="M217" s="32">
        <f t="shared" si="836"/>
        <v>0</v>
      </c>
      <c r="N217" s="32">
        <f t="shared" si="836"/>
        <v>0</v>
      </c>
      <c r="O217" s="32">
        <f t="shared" si="836"/>
        <v>1</v>
      </c>
      <c r="P217" s="32">
        <f t="shared" si="836"/>
        <v>1</v>
      </c>
      <c r="Q217" s="32">
        <f t="shared" si="836"/>
        <v>1</v>
      </c>
      <c r="R217" s="32">
        <f t="shared" si="836"/>
        <v>1</v>
      </c>
      <c r="S217" s="32">
        <f t="shared" si="836"/>
        <v>1</v>
      </c>
      <c r="T217" s="32">
        <f t="shared" si="836"/>
        <v>1</v>
      </c>
      <c r="U217" s="32">
        <f t="shared" si="836"/>
        <v>1</v>
      </c>
      <c r="V217" s="32">
        <f t="shared" si="836"/>
        <v>1</v>
      </c>
      <c r="W217" s="32">
        <f t="shared" si="836"/>
        <v>1</v>
      </c>
      <c r="X217" s="32">
        <f t="shared" si="836"/>
        <v>1</v>
      </c>
      <c r="Y217" s="32">
        <f t="shared" si="836"/>
        <v>1</v>
      </c>
      <c r="Z217" s="32">
        <f t="shared" si="836"/>
        <v>1</v>
      </c>
      <c r="AA217" s="32">
        <f t="shared" si="836"/>
        <v>1</v>
      </c>
      <c r="AB217" s="32">
        <f t="shared" si="836"/>
        <v>1</v>
      </c>
      <c r="AC217" s="32">
        <f t="shared" si="836"/>
        <v>1</v>
      </c>
      <c r="AD217" s="32">
        <f t="shared" si="836"/>
        <v>1</v>
      </c>
      <c r="AE217" s="32">
        <f t="shared" si="836"/>
        <v>1</v>
      </c>
      <c r="AF217" s="32">
        <f t="shared" si="836"/>
        <v>1</v>
      </c>
      <c r="AG217" s="32">
        <f t="shared" si="836"/>
        <v>1</v>
      </c>
      <c r="AH217" s="32">
        <f t="shared" si="836"/>
        <v>1</v>
      </c>
      <c r="AI217" s="32">
        <f t="shared" si="836"/>
        <v>1</v>
      </c>
      <c r="AJ217" s="32">
        <f t="shared" si="836"/>
        <v>1</v>
      </c>
      <c r="AK217" s="32">
        <f t="shared" ref="AK217:BP217" si="837" xml:space="preserve"> AK$214</f>
        <v>1</v>
      </c>
      <c r="AL217" s="32">
        <f t="shared" si="837"/>
        <v>1</v>
      </c>
      <c r="AM217" s="32">
        <f t="shared" si="837"/>
        <v>1</v>
      </c>
      <c r="AN217" s="32">
        <f t="shared" si="837"/>
        <v>1</v>
      </c>
      <c r="AO217" s="32">
        <f t="shared" si="837"/>
        <v>1</v>
      </c>
      <c r="AP217" s="32">
        <f t="shared" si="837"/>
        <v>1</v>
      </c>
      <c r="AQ217" s="32">
        <f t="shared" si="837"/>
        <v>1</v>
      </c>
      <c r="AR217" s="32">
        <f t="shared" si="837"/>
        <v>1</v>
      </c>
      <c r="AS217" s="32">
        <f t="shared" si="837"/>
        <v>1</v>
      </c>
      <c r="AT217" s="32">
        <f t="shared" si="837"/>
        <v>1</v>
      </c>
      <c r="AU217" s="32">
        <f t="shared" si="837"/>
        <v>1</v>
      </c>
      <c r="AV217" s="32">
        <f t="shared" si="837"/>
        <v>1</v>
      </c>
      <c r="AW217" s="32">
        <f t="shared" si="837"/>
        <v>0</v>
      </c>
      <c r="AX217" s="32">
        <f t="shared" si="837"/>
        <v>0</v>
      </c>
      <c r="AY217" s="32">
        <f t="shared" si="837"/>
        <v>0</v>
      </c>
      <c r="AZ217" s="32">
        <f t="shared" si="837"/>
        <v>0</v>
      </c>
      <c r="BA217" s="32">
        <f t="shared" si="837"/>
        <v>0</v>
      </c>
      <c r="BB217" s="32">
        <f t="shared" si="837"/>
        <v>0</v>
      </c>
      <c r="BC217" s="32">
        <f t="shared" si="837"/>
        <v>0</v>
      </c>
      <c r="BD217" s="32">
        <f t="shared" si="837"/>
        <v>0</v>
      </c>
      <c r="BE217" s="32">
        <f t="shared" si="837"/>
        <v>0</v>
      </c>
      <c r="BF217" s="32">
        <f t="shared" si="837"/>
        <v>0</v>
      </c>
      <c r="BG217" s="32">
        <f t="shared" si="837"/>
        <v>0</v>
      </c>
      <c r="BH217" s="32">
        <f t="shared" si="837"/>
        <v>0</v>
      </c>
      <c r="BI217" s="32">
        <f t="shared" si="837"/>
        <v>0</v>
      </c>
      <c r="BJ217" s="32">
        <f t="shared" si="837"/>
        <v>0</v>
      </c>
      <c r="BK217" s="32">
        <f t="shared" si="837"/>
        <v>0</v>
      </c>
      <c r="BL217" s="32">
        <f t="shared" si="837"/>
        <v>0</v>
      </c>
      <c r="BM217" s="32">
        <f t="shared" si="837"/>
        <v>0</v>
      </c>
      <c r="BN217" s="32">
        <f t="shared" si="837"/>
        <v>0</v>
      </c>
      <c r="BO217" s="32">
        <f t="shared" si="837"/>
        <v>0</v>
      </c>
      <c r="BP217" s="32">
        <f t="shared" si="837"/>
        <v>0</v>
      </c>
      <c r="BQ217" s="32">
        <f t="shared" ref="BQ217:CV217" si="838" xml:space="preserve"> BQ$214</f>
        <v>0</v>
      </c>
      <c r="BR217" s="32">
        <f t="shared" si="838"/>
        <v>0</v>
      </c>
      <c r="BS217" s="32">
        <f t="shared" si="838"/>
        <v>0</v>
      </c>
      <c r="BT217" s="32">
        <f t="shared" si="838"/>
        <v>0</v>
      </c>
      <c r="BU217" s="32">
        <f t="shared" si="838"/>
        <v>0</v>
      </c>
      <c r="BV217" s="32">
        <f t="shared" si="838"/>
        <v>0</v>
      </c>
      <c r="BW217" s="32">
        <f t="shared" si="838"/>
        <v>0</v>
      </c>
      <c r="BX217" s="32">
        <f t="shared" si="838"/>
        <v>0</v>
      </c>
      <c r="BY217" s="32">
        <f t="shared" si="838"/>
        <v>0</v>
      </c>
      <c r="BZ217" s="32">
        <f t="shared" si="838"/>
        <v>0</v>
      </c>
      <c r="CA217" s="32">
        <f t="shared" si="838"/>
        <v>0</v>
      </c>
      <c r="CB217" s="32">
        <f t="shared" si="838"/>
        <v>0</v>
      </c>
      <c r="CC217" s="32">
        <f t="shared" si="838"/>
        <v>0</v>
      </c>
      <c r="CD217" s="32">
        <f t="shared" si="838"/>
        <v>0</v>
      </c>
      <c r="CE217" s="32">
        <f t="shared" si="838"/>
        <v>0</v>
      </c>
      <c r="CF217" s="32">
        <f t="shared" si="838"/>
        <v>0</v>
      </c>
      <c r="CG217" s="32">
        <f t="shared" si="838"/>
        <v>0</v>
      </c>
      <c r="CH217" s="32">
        <f t="shared" si="838"/>
        <v>0</v>
      </c>
      <c r="CI217" s="32">
        <f t="shared" si="838"/>
        <v>0</v>
      </c>
      <c r="CJ217" s="32">
        <f t="shared" si="838"/>
        <v>0</v>
      </c>
      <c r="CK217" s="32">
        <f t="shared" si="838"/>
        <v>0</v>
      </c>
      <c r="CL217" s="32">
        <f t="shared" si="838"/>
        <v>0</v>
      </c>
      <c r="CM217" s="32">
        <f t="shared" si="838"/>
        <v>0</v>
      </c>
      <c r="CN217" s="32">
        <f t="shared" si="838"/>
        <v>0</v>
      </c>
      <c r="CO217" s="32">
        <f t="shared" si="838"/>
        <v>0</v>
      </c>
      <c r="CP217" s="32">
        <f t="shared" si="838"/>
        <v>0</v>
      </c>
      <c r="CQ217" s="32">
        <f t="shared" si="838"/>
        <v>0</v>
      </c>
      <c r="CR217" s="32">
        <f t="shared" si="838"/>
        <v>0</v>
      </c>
      <c r="CS217" s="32">
        <f t="shared" si="838"/>
        <v>0</v>
      </c>
      <c r="CT217" s="32">
        <f t="shared" si="838"/>
        <v>0</v>
      </c>
      <c r="CU217" s="32">
        <f t="shared" si="838"/>
        <v>0</v>
      </c>
      <c r="CV217" s="32">
        <f t="shared" si="838"/>
        <v>0</v>
      </c>
    </row>
    <row r="218" spans="1:100" s="188" customFormat="1" outlineLevel="2" x14ac:dyDescent="0.2">
      <c r="A218" s="227"/>
      <c r="B218" s="227"/>
      <c r="C218" s="228"/>
      <c r="D218" s="229"/>
      <c r="E218" s="230" t="s">
        <v>402</v>
      </c>
      <c r="F218" s="397"/>
      <c r="G218" s="188" t="s">
        <v>5</v>
      </c>
      <c r="H218" s="188">
        <f xml:space="preserve"> SUM(J218:CV218)</f>
        <v>34</v>
      </c>
      <c r="I218" s="230"/>
      <c r="J218" s="230">
        <f t="shared" ref="J218:AO218" si="839" xml:space="preserve"> K217</f>
        <v>0</v>
      </c>
      <c r="K218" s="230">
        <f t="shared" si="839"/>
        <v>0</v>
      </c>
      <c r="L218" s="230">
        <f t="shared" si="839"/>
        <v>0</v>
      </c>
      <c r="M218" s="230">
        <f t="shared" si="839"/>
        <v>0</v>
      </c>
      <c r="N218" s="230">
        <f t="shared" si="839"/>
        <v>1</v>
      </c>
      <c r="O218" s="230">
        <f t="shared" si="839"/>
        <v>1</v>
      </c>
      <c r="P218" s="230">
        <f t="shared" si="839"/>
        <v>1</v>
      </c>
      <c r="Q218" s="230">
        <f t="shared" si="839"/>
        <v>1</v>
      </c>
      <c r="R218" s="230">
        <f t="shared" si="839"/>
        <v>1</v>
      </c>
      <c r="S218" s="230">
        <f t="shared" si="839"/>
        <v>1</v>
      </c>
      <c r="T218" s="230">
        <f t="shared" si="839"/>
        <v>1</v>
      </c>
      <c r="U218" s="230">
        <f t="shared" si="839"/>
        <v>1</v>
      </c>
      <c r="V218" s="230">
        <f t="shared" si="839"/>
        <v>1</v>
      </c>
      <c r="W218" s="230">
        <f t="shared" si="839"/>
        <v>1</v>
      </c>
      <c r="X218" s="230">
        <f t="shared" si="839"/>
        <v>1</v>
      </c>
      <c r="Y218" s="230">
        <f t="shared" si="839"/>
        <v>1</v>
      </c>
      <c r="Z218" s="230">
        <f t="shared" si="839"/>
        <v>1</v>
      </c>
      <c r="AA218" s="230">
        <f t="shared" si="839"/>
        <v>1</v>
      </c>
      <c r="AB218" s="230">
        <f t="shared" si="839"/>
        <v>1</v>
      </c>
      <c r="AC218" s="230">
        <f t="shared" si="839"/>
        <v>1</v>
      </c>
      <c r="AD218" s="230">
        <f t="shared" si="839"/>
        <v>1</v>
      </c>
      <c r="AE218" s="230">
        <f t="shared" si="839"/>
        <v>1</v>
      </c>
      <c r="AF218" s="230">
        <f t="shared" si="839"/>
        <v>1</v>
      </c>
      <c r="AG218" s="230">
        <f t="shared" si="839"/>
        <v>1</v>
      </c>
      <c r="AH218" s="230">
        <f t="shared" si="839"/>
        <v>1</v>
      </c>
      <c r="AI218" s="230">
        <f t="shared" si="839"/>
        <v>1</v>
      </c>
      <c r="AJ218" s="230">
        <f t="shared" si="839"/>
        <v>1</v>
      </c>
      <c r="AK218" s="230">
        <f t="shared" si="839"/>
        <v>1</v>
      </c>
      <c r="AL218" s="230">
        <f t="shared" si="839"/>
        <v>1</v>
      </c>
      <c r="AM218" s="230">
        <f t="shared" si="839"/>
        <v>1</v>
      </c>
      <c r="AN218" s="230">
        <f t="shared" si="839"/>
        <v>1</v>
      </c>
      <c r="AO218" s="230">
        <f t="shared" si="839"/>
        <v>1</v>
      </c>
      <c r="AP218" s="230">
        <f t="shared" ref="AP218:BU218" si="840" xml:space="preserve"> AQ217</f>
        <v>1</v>
      </c>
      <c r="AQ218" s="230">
        <f t="shared" si="840"/>
        <v>1</v>
      </c>
      <c r="AR218" s="230">
        <f t="shared" si="840"/>
        <v>1</v>
      </c>
      <c r="AS218" s="230">
        <f t="shared" si="840"/>
        <v>1</v>
      </c>
      <c r="AT218" s="230">
        <f t="shared" si="840"/>
        <v>1</v>
      </c>
      <c r="AU218" s="230">
        <f t="shared" si="840"/>
        <v>1</v>
      </c>
      <c r="AV218" s="230">
        <f t="shared" si="840"/>
        <v>0</v>
      </c>
      <c r="AW218" s="230">
        <f t="shared" si="840"/>
        <v>0</v>
      </c>
      <c r="AX218" s="230">
        <f t="shared" si="840"/>
        <v>0</v>
      </c>
      <c r="AY218" s="230">
        <f t="shared" si="840"/>
        <v>0</v>
      </c>
      <c r="AZ218" s="230">
        <f t="shared" si="840"/>
        <v>0</v>
      </c>
      <c r="BA218" s="230">
        <f t="shared" si="840"/>
        <v>0</v>
      </c>
      <c r="BB218" s="230">
        <f t="shared" si="840"/>
        <v>0</v>
      </c>
      <c r="BC218" s="230">
        <f t="shared" si="840"/>
        <v>0</v>
      </c>
      <c r="BD218" s="230">
        <f t="shared" si="840"/>
        <v>0</v>
      </c>
      <c r="BE218" s="230">
        <f t="shared" si="840"/>
        <v>0</v>
      </c>
      <c r="BF218" s="230">
        <f t="shared" si="840"/>
        <v>0</v>
      </c>
      <c r="BG218" s="230">
        <f t="shared" si="840"/>
        <v>0</v>
      </c>
      <c r="BH218" s="230">
        <f t="shared" si="840"/>
        <v>0</v>
      </c>
      <c r="BI218" s="230">
        <f t="shared" si="840"/>
        <v>0</v>
      </c>
      <c r="BJ218" s="230">
        <f t="shared" si="840"/>
        <v>0</v>
      </c>
      <c r="BK218" s="230">
        <f t="shared" si="840"/>
        <v>0</v>
      </c>
      <c r="BL218" s="230">
        <f t="shared" si="840"/>
        <v>0</v>
      </c>
      <c r="BM218" s="230">
        <f t="shared" si="840"/>
        <v>0</v>
      </c>
      <c r="BN218" s="230">
        <f t="shared" si="840"/>
        <v>0</v>
      </c>
      <c r="BO218" s="230">
        <f t="shared" si="840"/>
        <v>0</v>
      </c>
      <c r="BP218" s="230">
        <f t="shared" si="840"/>
        <v>0</v>
      </c>
      <c r="BQ218" s="230">
        <f t="shared" si="840"/>
        <v>0</v>
      </c>
      <c r="BR218" s="230">
        <f t="shared" si="840"/>
        <v>0</v>
      </c>
      <c r="BS218" s="230">
        <f t="shared" si="840"/>
        <v>0</v>
      </c>
      <c r="BT218" s="230">
        <f t="shared" si="840"/>
        <v>0</v>
      </c>
      <c r="BU218" s="230">
        <f t="shared" si="840"/>
        <v>0</v>
      </c>
      <c r="BV218" s="230">
        <f t="shared" ref="BV218:CV218" si="841" xml:space="preserve"> BW217</f>
        <v>0</v>
      </c>
      <c r="BW218" s="230">
        <f t="shared" si="841"/>
        <v>0</v>
      </c>
      <c r="BX218" s="230">
        <f t="shared" si="841"/>
        <v>0</v>
      </c>
      <c r="BY218" s="230">
        <f t="shared" si="841"/>
        <v>0</v>
      </c>
      <c r="BZ218" s="230">
        <f t="shared" si="841"/>
        <v>0</v>
      </c>
      <c r="CA218" s="230">
        <f t="shared" si="841"/>
        <v>0</v>
      </c>
      <c r="CB218" s="230">
        <f t="shared" si="841"/>
        <v>0</v>
      </c>
      <c r="CC218" s="230">
        <f t="shared" si="841"/>
        <v>0</v>
      </c>
      <c r="CD218" s="230">
        <f t="shared" si="841"/>
        <v>0</v>
      </c>
      <c r="CE218" s="230">
        <f t="shared" si="841"/>
        <v>0</v>
      </c>
      <c r="CF218" s="230">
        <f t="shared" si="841"/>
        <v>0</v>
      </c>
      <c r="CG218" s="230">
        <f t="shared" si="841"/>
        <v>0</v>
      </c>
      <c r="CH218" s="230">
        <f t="shared" si="841"/>
        <v>0</v>
      </c>
      <c r="CI218" s="230">
        <f t="shared" si="841"/>
        <v>0</v>
      </c>
      <c r="CJ218" s="230">
        <f t="shared" si="841"/>
        <v>0</v>
      </c>
      <c r="CK218" s="230">
        <f t="shared" si="841"/>
        <v>0</v>
      </c>
      <c r="CL218" s="230">
        <f t="shared" si="841"/>
        <v>0</v>
      </c>
      <c r="CM218" s="230">
        <f t="shared" si="841"/>
        <v>0</v>
      </c>
      <c r="CN218" s="230">
        <f t="shared" si="841"/>
        <v>0</v>
      </c>
      <c r="CO218" s="230">
        <f t="shared" si="841"/>
        <v>0</v>
      </c>
      <c r="CP218" s="230">
        <f t="shared" si="841"/>
        <v>0</v>
      </c>
      <c r="CQ218" s="230">
        <f t="shared" si="841"/>
        <v>0</v>
      </c>
      <c r="CR218" s="230">
        <f t="shared" si="841"/>
        <v>0</v>
      </c>
      <c r="CS218" s="230">
        <f t="shared" si="841"/>
        <v>0</v>
      </c>
      <c r="CT218" s="230">
        <f t="shared" si="841"/>
        <v>0</v>
      </c>
      <c r="CU218" s="230">
        <f t="shared" si="841"/>
        <v>0</v>
      </c>
      <c r="CV218" s="230">
        <f t="shared" si="841"/>
        <v>0</v>
      </c>
    </row>
    <row r="219" spans="1:100" s="191" customFormat="1" outlineLevel="2" x14ac:dyDescent="0.2">
      <c r="A219" s="429"/>
      <c r="B219" s="429"/>
      <c r="C219" s="430"/>
      <c r="D219" s="190"/>
      <c r="E219" s="192"/>
      <c r="F219" s="431"/>
      <c r="I219" s="192"/>
      <c r="J219" s="192"/>
      <c r="K219" s="192"/>
      <c r="L219" s="192"/>
      <c r="M219" s="192"/>
      <c r="N219" s="192"/>
      <c r="O219" s="192"/>
      <c r="P219" s="192"/>
      <c r="Q219" s="192"/>
      <c r="R219" s="192"/>
      <c r="S219" s="192"/>
      <c r="T219" s="192"/>
      <c r="U219" s="192"/>
      <c r="V219" s="192"/>
      <c r="W219" s="192"/>
      <c r="X219" s="192"/>
      <c r="Y219" s="192"/>
      <c r="Z219" s="192"/>
      <c r="AA219" s="192"/>
      <c r="AB219" s="192"/>
      <c r="AC219" s="192"/>
      <c r="AD219" s="192"/>
      <c r="AE219" s="192"/>
      <c r="AF219" s="192"/>
      <c r="AG219" s="192"/>
      <c r="AH219" s="192"/>
      <c r="AI219" s="192"/>
      <c r="AJ219" s="192"/>
      <c r="AK219" s="192"/>
      <c r="AL219" s="192"/>
      <c r="AM219" s="192"/>
      <c r="AN219" s="192"/>
      <c r="AO219" s="192"/>
      <c r="AP219" s="192"/>
      <c r="AQ219" s="192"/>
      <c r="AR219" s="192"/>
      <c r="AS219" s="192"/>
      <c r="AT219" s="192"/>
      <c r="AU219" s="192"/>
      <c r="AV219" s="192"/>
      <c r="AW219" s="192"/>
      <c r="AX219" s="192"/>
      <c r="AY219" s="192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192"/>
      <c r="CU219" s="192"/>
      <c r="CV219" s="192"/>
    </row>
    <row r="220" spans="1:100" outlineLevel="1" x14ac:dyDescent="0.2">
      <c r="A220" s="429"/>
      <c r="B220" s="429" t="s">
        <v>219</v>
      </c>
      <c r="C220" s="430"/>
      <c r="D220" s="190"/>
      <c r="E220" s="192"/>
      <c r="F220" s="431"/>
      <c r="G220" s="191"/>
      <c r="H220" s="191"/>
      <c r="I220" s="192"/>
      <c r="J220" s="192"/>
      <c r="K220" s="192"/>
      <c r="L220" s="192"/>
      <c r="M220" s="192"/>
      <c r="N220" s="192"/>
      <c r="O220" s="192"/>
      <c r="P220" s="192"/>
      <c r="Q220" s="192"/>
      <c r="R220" s="192"/>
      <c r="S220" s="192"/>
      <c r="T220" s="192"/>
      <c r="U220" s="192"/>
      <c r="V220" s="192"/>
      <c r="W220" s="192"/>
      <c r="X220" s="192"/>
      <c r="Y220" s="192"/>
      <c r="Z220" s="192"/>
      <c r="AA220" s="192"/>
      <c r="AB220" s="192"/>
      <c r="AC220" s="192"/>
      <c r="AD220" s="192"/>
      <c r="AE220" s="192"/>
      <c r="AF220" s="192"/>
      <c r="AG220" s="192"/>
      <c r="AH220" s="192"/>
      <c r="AI220" s="192"/>
      <c r="AJ220" s="192"/>
      <c r="AK220" s="192"/>
      <c r="AL220" s="192"/>
      <c r="AM220" s="192"/>
      <c r="AN220" s="192"/>
      <c r="AO220" s="192"/>
      <c r="AP220" s="192"/>
      <c r="AQ220" s="192"/>
      <c r="AR220" s="192"/>
      <c r="AS220" s="192"/>
      <c r="AT220" s="192"/>
      <c r="AU220" s="192"/>
      <c r="AV220" s="192"/>
      <c r="AW220" s="192"/>
      <c r="AX220" s="192"/>
      <c r="AY220" s="192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192"/>
      <c r="CU220" s="192"/>
      <c r="CV220" s="192"/>
    </row>
    <row r="221" spans="1:100" outlineLevel="2" x14ac:dyDescent="0.2">
      <c r="A221" s="429"/>
      <c r="B221" s="429"/>
      <c r="C221" s="430"/>
      <c r="D221" s="190"/>
      <c r="E221" s="300" t="str">
        <f xml:space="preserve"> ConTime!E$73</f>
        <v>End of construction period date</v>
      </c>
      <c r="F221" s="300">
        <f xml:space="preserve"> ConTime!F$73</f>
        <v>45473</v>
      </c>
      <c r="G221" s="300" t="str">
        <f xml:space="preserve"> ConTime!G$73</f>
        <v>date</v>
      </c>
      <c r="H221" s="191"/>
      <c r="I221" s="192"/>
      <c r="J221" s="192"/>
      <c r="K221" s="192"/>
      <c r="L221" s="192"/>
      <c r="M221" s="192"/>
      <c r="N221" s="192"/>
      <c r="O221" s="192"/>
      <c r="P221" s="192"/>
      <c r="Q221" s="192"/>
      <c r="R221" s="192"/>
      <c r="S221" s="192"/>
      <c r="T221" s="192"/>
      <c r="U221" s="192"/>
      <c r="V221" s="192"/>
      <c r="W221" s="192"/>
      <c r="X221" s="192"/>
      <c r="Y221" s="192"/>
      <c r="Z221" s="192"/>
      <c r="AA221" s="192"/>
      <c r="AB221" s="192"/>
      <c r="AC221" s="192"/>
      <c r="AD221" s="192"/>
      <c r="AE221" s="192"/>
      <c r="AF221" s="192"/>
      <c r="AG221" s="192"/>
      <c r="AH221" s="192"/>
      <c r="AI221" s="192"/>
      <c r="AJ221" s="192"/>
      <c r="AK221" s="192"/>
      <c r="AL221" s="192"/>
      <c r="AM221" s="192"/>
      <c r="AN221" s="192"/>
      <c r="AO221" s="192"/>
      <c r="AP221" s="192"/>
      <c r="AQ221" s="192"/>
      <c r="AR221" s="192"/>
      <c r="AS221" s="192"/>
      <c r="AT221" s="192"/>
      <c r="AU221" s="192"/>
      <c r="AV221" s="192"/>
      <c r="AW221" s="192"/>
      <c r="AX221" s="192"/>
      <c r="AY221" s="192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192"/>
      <c r="CU221" s="192"/>
      <c r="CV221" s="192"/>
    </row>
    <row r="222" spans="1:100" s="188" customFormat="1" outlineLevel="2" x14ac:dyDescent="0.2">
      <c r="A222" s="227"/>
      <c r="B222" s="227"/>
      <c r="C222" s="228"/>
      <c r="D222" s="229"/>
      <c r="E222" s="1113" t="s">
        <v>606</v>
      </c>
      <c r="F222" s="191">
        <f xml:space="preserve"> IF(MONTH(F221) = 12, 1, MONTH(F221) + 1)</f>
        <v>7</v>
      </c>
      <c r="G222" s="1113" t="s">
        <v>85</v>
      </c>
      <c r="I222" s="230"/>
      <c r="J222" s="230"/>
      <c r="K222" s="230"/>
      <c r="L222" s="230"/>
      <c r="M222" s="230"/>
      <c r="N222" s="230"/>
      <c r="O222" s="230"/>
      <c r="P222" s="230"/>
      <c r="Q222" s="230"/>
      <c r="R222" s="230"/>
      <c r="S222" s="230"/>
      <c r="T222" s="230"/>
      <c r="U222" s="230"/>
      <c r="V222" s="230"/>
      <c r="W222" s="230"/>
      <c r="X222" s="230"/>
      <c r="Y222" s="230"/>
      <c r="Z222" s="230"/>
      <c r="AA222" s="230"/>
      <c r="AB222" s="230"/>
      <c r="AC222" s="230"/>
      <c r="AD222" s="230"/>
      <c r="AE222" s="230"/>
      <c r="AF222" s="230"/>
      <c r="AG222" s="230"/>
      <c r="AH222" s="230"/>
      <c r="AI222" s="230"/>
      <c r="AJ222" s="230"/>
      <c r="AK222" s="230"/>
      <c r="AL222" s="230"/>
      <c r="AM222" s="230"/>
      <c r="AN222" s="230"/>
      <c r="AO222" s="230"/>
      <c r="AP222" s="230"/>
      <c r="AQ222" s="230"/>
      <c r="AR222" s="230"/>
      <c r="AS222" s="230"/>
      <c r="AT222" s="230"/>
      <c r="AU222" s="230"/>
      <c r="AV222" s="230"/>
      <c r="AW222" s="230"/>
      <c r="AX222" s="230"/>
      <c r="AY222" s="230"/>
      <c r="AZ222" s="230"/>
      <c r="BA222" s="230"/>
      <c r="BB222" s="230"/>
      <c r="BC222" s="230"/>
      <c r="BD222" s="230"/>
      <c r="BE222" s="230"/>
      <c r="BF222" s="230"/>
      <c r="BG222" s="230"/>
      <c r="BH222" s="230"/>
      <c r="BI222" s="230"/>
      <c r="BJ222" s="230"/>
      <c r="BK222" s="230"/>
      <c r="BL222" s="230"/>
      <c r="BM222" s="230"/>
      <c r="BN222" s="230"/>
      <c r="BO222" s="230"/>
      <c r="BP222" s="230"/>
      <c r="BQ222" s="230"/>
      <c r="BR222" s="230"/>
      <c r="BS222" s="230"/>
      <c r="BT222" s="230"/>
      <c r="BU222" s="230"/>
      <c r="BV222" s="230"/>
      <c r="BW222" s="230"/>
      <c r="BX222" s="230"/>
      <c r="BY222" s="230"/>
      <c r="BZ222" s="230"/>
      <c r="CA222" s="230"/>
      <c r="CB222" s="230"/>
      <c r="CC222" s="230"/>
      <c r="CD222" s="230"/>
      <c r="CE222" s="230"/>
      <c r="CF222" s="230"/>
      <c r="CG222" s="230"/>
      <c r="CH222" s="230"/>
      <c r="CI222" s="230"/>
      <c r="CJ222" s="230"/>
      <c r="CK222" s="230"/>
      <c r="CL222" s="230"/>
      <c r="CM222" s="230"/>
      <c r="CN222" s="230"/>
      <c r="CO222" s="230"/>
      <c r="CP222" s="230"/>
      <c r="CQ222" s="230"/>
      <c r="CR222" s="230"/>
      <c r="CS222" s="230"/>
      <c r="CT222" s="230"/>
      <c r="CU222" s="230"/>
      <c r="CV222" s="230"/>
    </row>
    <row r="223" spans="1:100" outlineLevel="2" x14ac:dyDescent="0.2">
      <c r="A223" s="429"/>
      <c r="B223" s="429"/>
      <c r="C223" s="430"/>
      <c r="D223" s="190"/>
      <c r="E223" s="192"/>
      <c r="F223" s="431"/>
      <c r="G223" s="191"/>
      <c r="H223" s="191"/>
      <c r="I223" s="192"/>
      <c r="J223" s="192"/>
      <c r="K223" s="192"/>
      <c r="L223" s="192"/>
      <c r="M223" s="192"/>
      <c r="N223" s="192"/>
      <c r="O223" s="192"/>
      <c r="P223" s="192"/>
      <c r="Q223" s="192"/>
      <c r="R223" s="192"/>
      <c r="S223" s="192"/>
      <c r="T223" s="192"/>
      <c r="U223" s="192"/>
      <c r="V223" s="192"/>
      <c r="W223" s="192"/>
      <c r="X223" s="192"/>
      <c r="Y223" s="192"/>
      <c r="Z223" s="192"/>
      <c r="AA223" s="192"/>
      <c r="AB223" s="192"/>
      <c r="AC223" s="192"/>
      <c r="AD223" s="192"/>
      <c r="AE223" s="192"/>
      <c r="AF223" s="192"/>
      <c r="AG223" s="192"/>
      <c r="AH223" s="192"/>
      <c r="AI223" s="192"/>
      <c r="AJ223" s="192"/>
      <c r="AK223" s="192"/>
      <c r="AL223" s="192"/>
      <c r="AM223" s="192"/>
      <c r="AN223" s="192"/>
      <c r="AO223" s="192"/>
      <c r="AP223" s="192"/>
      <c r="AQ223" s="192"/>
      <c r="AR223" s="192"/>
      <c r="AS223" s="192"/>
      <c r="AT223" s="192"/>
      <c r="AU223" s="192"/>
      <c r="AV223" s="192"/>
      <c r="AW223" s="192"/>
      <c r="AX223" s="192"/>
      <c r="AY223" s="192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192"/>
      <c r="BS223" s="192"/>
      <c r="BT223" s="192"/>
      <c r="BU223" s="19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192"/>
      <c r="CU223" s="192"/>
      <c r="CV223" s="192"/>
    </row>
    <row r="224" spans="1:100" s="169" customFormat="1" outlineLevel="2" x14ac:dyDescent="0.2">
      <c r="A224" s="853"/>
      <c r="B224" s="853"/>
      <c r="C224" s="854"/>
      <c r="D224" s="855"/>
      <c r="E224" s="78" t="str">
        <f t="shared" ref="E224:G224" si="842" xml:space="preserve"> E$222</f>
        <v>Escalation period start month</v>
      </c>
      <c r="F224" s="78">
        <f t="shared" si="842"/>
        <v>7</v>
      </c>
      <c r="G224" s="78" t="str">
        <f t="shared" si="842"/>
        <v>month</v>
      </c>
      <c r="H224" s="388"/>
      <c r="I224" s="386"/>
      <c r="J224" s="388"/>
      <c r="K224" s="388"/>
      <c r="L224" s="388"/>
      <c r="M224" s="388"/>
      <c r="N224" s="388"/>
      <c r="O224" s="388"/>
      <c r="P224" s="388"/>
      <c r="Q224" s="388"/>
      <c r="R224" s="388"/>
      <c r="S224" s="388"/>
      <c r="T224" s="388"/>
      <c r="U224" s="388"/>
      <c r="V224" s="388"/>
      <c r="W224" s="388"/>
      <c r="X224" s="388"/>
      <c r="Y224" s="388"/>
      <c r="Z224" s="388"/>
      <c r="AA224" s="388"/>
      <c r="AB224" s="388"/>
      <c r="AC224" s="388"/>
      <c r="AD224" s="388"/>
      <c r="AE224" s="388"/>
      <c r="AF224" s="388"/>
      <c r="AG224" s="388"/>
      <c r="AH224" s="388"/>
      <c r="AI224" s="388"/>
      <c r="AJ224" s="388"/>
      <c r="AK224" s="388"/>
      <c r="AL224" s="388"/>
      <c r="AM224" s="388"/>
      <c r="AN224" s="388"/>
      <c r="AO224" s="388"/>
      <c r="AP224" s="388"/>
      <c r="AQ224" s="388"/>
      <c r="AR224" s="388"/>
      <c r="AS224" s="388"/>
      <c r="AT224" s="388"/>
      <c r="AU224" s="388"/>
      <c r="AV224" s="388"/>
      <c r="AW224" s="388"/>
      <c r="AX224" s="388"/>
      <c r="AY224" s="388"/>
      <c r="AZ224" s="388"/>
      <c r="BA224" s="388"/>
      <c r="BB224" s="388"/>
      <c r="BC224" s="388"/>
      <c r="BD224" s="388"/>
      <c r="BE224" s="388"/>
      <c r="BF224" s="388"/>
      <c r="BG224" s="388"/>
      <c r="BH224" s="388"/>
      <c r="BI224" s="388"/>
      <c r="BJ224" s="388"/>
      <c r="BK224" s="388"/>
      <c r="BL224" s="388"/>
      <c r="BM224" s="388"/>
      <c r="BN224" s="388"/>
      <c r="BO224" s="388"/>
      <c r="BP224" s="388"/>
      <c r="BQ224" s="388"/>
      <c r="BR224" s="388"/>
      <c r="BS224" s="388"/>
      <c r="BT224" s="388"/>
      <c r="BU224" s="388"/>
      <c r="BV224" s="388"/>
      <c r="BW224" s="388"/>
      <c r="BX224" s="388"/>
      <c r="BY224" s="388"/>
      <c r="BZ224" s="388"/>
      <c r="CA224" s="388"/>
      <c r="CB224" s="388"/>
      <c r="CC224" s="388"/>
      <c r="CD224" s="388"/>
      <c r="CE224" s="388"/>
      <c r="CF224" s="388"/>
      <c r="CG224" s="388"/>
      <c r="CH224" s="388"/>
      <c r="CI224" s="388"/>
      <c r="CJ224" s="388"/>
      <c r="CK224" s="388"/>
      <c r="CL224" s="388"/>
      <c r="CM224" s="388"/>
      <c r="CN224" s="388"/>
      <c r="CO224" s="388"/>
      <c r="CP224" s="388"/>
      <c r="CQ224" s="388"/>
      <c r="CR224" s="388"/>
      <c r="CS224" s="388"/>
      <c r="CT224" s="388"/>
      <c r="CU224" s="388"/>
      <c r="CV224" s="388"/>
    </row>
    <row r="225" spans="1:100" outlineLevel="2" x14ac:dyDescent="0.2">
      <c r="A225" s="49"/>
      <c r="C225" s="50"/>
      <c r="D225" s="51"/>
      <c r="E225" s="11" t="str">
        <f t="shared" ref="E225:F225" si="843" xml:space="preserve"> E$24</f>
        <v>Model period beginning</v>
      </c>
      <c r="F225" s="11">
        <f t="shared" si="843"/>
        <v>0</v>
      </c>
      <c r="G225" s="11" t="str">
        <f t="shared" ref="G225:AL225" si="844" xml:space="preserve"> G$24</f>
        <v>date</v>
      </c>
      <c r="H225" s="11">
        <f t="shared" si="844"/>
        <v>0</v>
      </c>
      <c r="I225" s="11">
        <f t="shared" si="844"/>
        <v>0</v>
      </c>
      <c r="J225" s="11">
        <f t="shared" si="844"/>
        <v>44562</v>
      </c>
      <c r="K225" s="11">
        <f t="shared" si="844"/>
        <v>44743</v>
      </c>
      <c r="L225" s="11">
        <f t="shared" si="844"/>
        <v>44927</v>
      </c>
      <c r="M225" s="11">
        <f t="shared" si="844"/>
        <v>45108</v>
      </c>
      <c r="N225" s="11">
        <f t="shared" si="844"/>
        <v>45292</v>
      </c>
      <c r="O225" s="11">
        <f t="shared" si="844"/>
        <v>45474</v>
      </c>
      <c r="P225" s="11">
        <f t="shared" si="844"/>
        <v>45658</v>
      </c>
      <c r="Q225" s="11">
        <f t="shared" si="844"/>
        <v>45839</v>
      </c>
      <c r="R225" s="11">
        <f t="shared" si="844"/>
        <v>46023</v>
      </c>
      <c r="S225" s="11">
        <f t="shared" si="844"/>
        <v>46204</v>
      </c>
      <c r="T225" s="11">
        <f t="shared" si="844"/>
        <v>46388</v>
      </c>
      <c r="U225" s="11">
        <f t="shared" si="844"/>
        <v>46569</v>
      </c>
      <c r="V225" s="11">
        <f t="shared" si="844"/>
        <v>46753</v>
      </c>
      <c r="W225" s="11">
        <f t="shared" si="844"/>
        <v>46935</v>
      </c>
      <c r="X225" s="11">
        <f t="shared" si="844"/>
        <v>47119</v>
      </c>
      <c r="Y225" s="11">
        <f t="shared" si="844"/>
        <v>47300</v>
      </c>
      <c r="Z225" s="11">
        <f t="shared" si="844"/>
        <v>47484</v>
      </c>
      <c r="AA225" s="11">
        <f t="shared" si="844"/>
        <v>47665</v>
      </c>
      <c r="AB225" s="11">
        <f t="shared" si="844"/>
        <v>47849</v>
      </c>
      <c r="AC225" s="11">
        <f t="shared" si="844"/>
        <v>48030</v>
      </c>
      <c r="AD225" s="11">
        <f t="shared" si="844"/>
        <v>48214</v>
      </c>
      <c r="AE225" s="11">
        <f t="shared" si="844"/>
        <v>48396</v>
      </c>
      <c r="AF225" s="11">
        <f t="shared" si="844"/>
        <v>48580</v>
      </c>
      <c r="AG225" s="11">
        <f t="shared" si="844"/>
        <v>48761</v>
      </c>
      <c r="AH225" s="11">
        <f t="shared" si="844"/>
        <v>48945</v>
      </c>
      <c r="AI225" s="11">
        <f t="shared" si="844"/>
        <v>49126</v>
      </c>
      <c r="AJ225" s="11">
        <f t="shared" si="844"/>
        <v>49310</v>
      </c>
      <c r="AK225" s="11">
        <f t="shared" si="844"/>
        <v>49491</v>
      </c>
      <c r="AL225" s="11">
        <f t="shared" si="844"/>
        <v>49675</v>
      </c>
      <c r="AM225" s="11">
        <f t="shared" ref="AM225:BR225" si="845" xml:space="preserve"> AM$24</f>
        <v>49857</v>
      </c>
      <c r="AN225" s="11">
        <f t="shared" si="845"/>
        <v>50041</v>
      </c>
      <c r="AO225" s="11">
        <f t="shared" si="845"/>
        <v>50222</v>
      </c>
      <c r="AP225" s="11">
        <f t="shared" si="845"/>
        <v>50406</v>
      </c>
      <c r="AQ225" s="11">
        <f t="shared" si="845"/>
        <v>50587</v>
      </c>
      <c r="AR225" s="11">
        <f t="shared" si="845"/>
        <v>50771</v>
      </c>
      <c r="AS225" s="11">
        <f t="shared" si="845"/>
        <v>50952</v>
      </c>
      <c r="AT225" s="11">
        <f t="shared" si="845"/>
        <v>51136</v>
      </c>
      <c r="AU225" s="11">
        <f t="shared" si="845"/>
        <v>51318</v>
      </c>
      <c r="AV225" s="11">
        <f t="shared" si="845"/>
        <v>51502</v>
      </c>
      <c r="AW225" s="11">
        <f t="shared" si="845"/>
        <v>51683</v>
      </c>
      <c r="AX225" s="11">
        <f t="shared" si="845"/>
        <v>51867</v>
      </c>
      <c r="AY225" s="11">
        <f t="shared" si="845"/>
        <v>52048</v>
      </c>
      <c r="AZ225" s="11">
        <f t="shared" si="845"/>
        <v>52232</v>
      </c>
      <c r="BA225" s="11">
        <f t="shared" si="845"/>
        <v>52413</v>
      </c>
      <c r="BB225" s="11">
        <f t="shared" si="845"/>
        <v>52597</v>
      </c>
      <c r="BC225" s="11">
        <f t="shared" si="845"/>
        <v>52779</v>
      </c>
      <c r="BD225" s="11">
        <f t="shared" si="845"/>
        <v>52963</v>
      </c>
      <c r="BE225" s="11">
        <f t="shared" si="845"/>
        <v>53144</v>
      </c>
      <c r="BF225" s="11">
        <f t="shared" si="845"/>
        <v>53328</v>
      </c>
      <c r="BG225" s="11">
        <f t="shared" si="845"/>
        <v>53509</v>
      </c>
      <c r="BH225" s="11">
        <f t="shared" si="845"/>
        <v>53693</v>
      </c>
      <c r="BI225" s="11">
        <f t="shared" si="845"/>
        <v>53874</v>
      </c>
      <c r="BJ225" s="11">
        <f t="shared" si="845"/>
        <v>54058</v>
      </c>
      <c r="BK225" s="11">
        <f t="shared" si="845"/>
        <v>54240</v>
      </c>
      <c r="BL225" s="11">
        <f t="shared" si="845"/>
        <v>54424</v>
      </c>
      <c r="BM225" s="11">
        <f t="shared" si="845"/>
        <v>54605</v>
      </c>
      <c r="BN225" s="11">
        <f t="shared" si="845"/>
        <v>54789</v>
      </c>
      <c r="BO225" s="11">
        <f t="shared" si="845"/>
        <v>54970</v>
      </c>
      <c r="BP225" s="11">
        <f t="shared" si="845"/>
        <v>55154</v>
      </c>
      <c r="BQ225" s="11">
        <f t="shared" si="845"/>
        <v>55335</v>
      </c>
      <c r="BR225" s="11">
        <f t="shared" si="845"/>
        <v>55519</v>
      </c>
      <c r="BS225" s="11">
        <f t="shared" ref="BS225:CV225" si="846" xml:space="preserve"> BS$24</f>
        <v>55701</v>
      </c>
      <c r="BT225" s="11">
        <f t="shared" si="846"/>
        <v>55885</v>
      </c>
      <c r="BU225" s="11">
        <f t="shared" si="846"/>
        <v>56066</v>
      </c>
      <c r="BV225" s="11">
        <f t="shared" si="846"/>
        <v>56250</v>
      </c>
      <c r="BW225" s="11">
        <f t="shared" si="846"/>
        <v>56431</v>
      </c>
      <c r="BX225" s="11">
        <f t="shared" si="846"/>
        <v>56615</v>
      </c>
      <c r="BY225" s="11">
        <f t="shared" si="846"/>
        <v>56796</v>
      </c>
      <c r="BZ225" s="11">
        <f t="shared" si="846"/>
        <v>56980</v>
      </c>
      <c r="CA225" s="11">
        <f t="shared" si="846"/>
        <v>57162</v>
      </c>
      <c r="CB225" s="11">
        <f t="shared" si="846"/>
        <v>57346</v>
      </c>
      <c r="CC225" s="11">
        <f t="shared" si="846"/>
        <v>57527</v>
      </c>
      <c r="CD225" s="11">
        <f t="shared" si="846"/>
        <v>57711</v>
      </c>
      <c r="CE225" s="11">
        <f t="shared" si="846"/>
        <v>57892</v>
      </c>
      <c r="CF225" s="11">
        <f t="shared" si="846"/>
        <v>58076</v>
      </c>
      <c r="CG225" s="11">
        <f t="shared" si="846"/>
        <v>58257</v>
      </c>
      <c r="CH225" s="11">
        <f t="shared" si="846"/>
        <v>58441</v>
      </c>
      <c r="CI225" s="11">
        <f t="shared" si="846"/>
        <v>58623</v>
      </c>
      <c r="CJ225" s="11">
        <f t="shared" si="846"/>
        <v>58807</v>
      </c>
      <c r="CK225" s="11">
        <f t="shared" si="846"/>
        <v>58988</v>
      </c>
      <c r="CL225" s="11">
        <f t="shared" si="846"/>
        <v>59172</v>
      </c>
      <c r="CM225" s="11">
        <f t="shared" si="846"/>
        <v>59353</v>
      </c>
      <c r="CN225" s="11">
        <f t="shared" si="846"/>
        <v>59537</v>
      </c>
      <c r="CO225" s="11">
        <f t="shared" si="846"/>
        <v>59718</v>
      </c>
      <c r="CP225" s="11">
        <f t="shared" si="846"/>
        <v>59902</v>
      </c>
      <c r="CQ225" s="11">
        <f t="shared" si="846"/>
        <v>60084</v>
      </c>
      <c r="CR225" s="11">
        <f t="shared" si="846"/>
        <v>60268</v>
      </c>
      <c r="CS225" s="11">
        <f t="shared" si="846"/>
        <v>60449</v>
      </c>
      <c r="CT225" s="11">
        <f t="shared" si="846"/>
        <v>60633</v>
      </c>
      <c r="CU225" s="11">
        <f t="shared" si="846"/>
        <v>60814</v>
      </c>
      <c r="CV225" s="11">
        <f t="shared" si="846"/>
        <v>60998</v>
      </c>
    </row>
    <row r="226" spans="1:100" outlineLevel="2" x14ac:dyDescent="0.2">
      <c r="A226" s="141"/>
      <c r="B226" s="141"/>
      <c r="C226" s="142"/>
      <c r="D226" s="143"/>
      <c r="E226" s="187" t="s">
        <v>607</v>
      </c>
      <c r="F226" s="187"/>
      <c r="G226" s="187" t="s">
        <v>5</v>
      </c>
      <c r="H226" s="187">
        <f xml:space="preserve"> SUM(J226:CV226)</f>
        <v>45</v>
      </c>
      <c r="I226" s="144"/>
      <c r="J226" s="187">
        <f t="shared" ref="J226:AO226" si="847" xml:space="preserve"> IF(MONTH(J225) = $F224, 1, 0)</f>
        <v>0</v>
      </c>
      <c r="K226" s="187">
        <f t="shared" si="847"/>
        <v>1</v>
      </c>
      <c r="L226" s="187">
        <f t="shared" si="847"/>
        <v>0</v>
      </c>
      <c r="M226" s="187">
        <f t="shared" si="847"/>
        <v>1</v>
      </c>
      <c r="N226" s="187">
        <f t="shared" si="847"/>
        <v>0</v>
      </c>
      <c r="O226" s="187">
        <f t="shared" si="847"/>
        <v>1</v>
      </c>
      <c r="P226" s="187">
        <f t="shared" si="847"/>
        <v>0</v>
      </c>
      <c r="Q226" s="187">
        <f t="shared" si="847"/>
        <v>1</v>
      </c>
      <c r="R226" s="187">
        <f t="shared" si="847"/>
        <v>0</v>
      </c>
      <c r="S226" s="187">
        <f t="shared" si="847"/>
        <v>1</v>
      </c>
      <c r="T226" s="187">
        <f t="shared" si="847"/>
        <v>0</v>
      </c>
      <c r="U226" s="187">
        <f t="shared" si="847"/>
        <v>1</v>
      </c>
      <c r="V226" s="187">
        <f t="shared" si="847"/>
        <v>0</v>
      </c>
      <c r="W226" s="187">
        <f t="shared" si="847"/>
        <v>1</v>
      </c>
      <c r="X226" s="187">
        <f t="shared" si="847"/>
        <v>0</v>
      </c>
      <c r="Y226" s="187">
        <f t="shared" si="847"/>
        <v>1</v>
      </c>
      <c r="Z226" s="187">
        <f t="shared" si="847"/>
        <v>0</v>
      </c>
      <c r="AA226" s="187">
        <f t="shared" si="847"/>
        <v>1</v>
      </c>
      <c r="AB226" s="187">
        <f t="shared" si="847"/>
        <v>0</v>
      </c>
      <c r="AC226" s="187">
        <f t="shared" si="847"/>
        <v>1</v>
      </c>
      <c r="AD226" s="187">
        <f t="shared" si="847"/>
        <v>0</v>
      </c>
      <c r="AE226" s="187">
        <f t="shared" si="847"/>
        <v>1</v>
      </c>
      <c r="AF226" s="187">
        <f t="shared" si="847"/>
        <v>0</v>
      </c>
      <c r="AG226" s="187">
        <f t="shared" si="847"/>
        <v>1</v>
      </c>
      <c r="AH226" s="187">
        <f t="shared" si="847"/>
        <v>0</v>
      </c>
      <c r="AI226" s="187">
        <f t="shared" si="847"/>
        <v>1</v>
      </c>
      <c r="AJ226" s="187">
        <f t="shared" si="847"/>
        <v>0</v>
      </c>
      <c r="AK226" s="187">
        <f t="shared" si="847"/>
        <v>1</v>
      </c>
      <c r="AL226" s="187">
        <f t="shared" si="847"/>
        <v>0</v>
      </c>
      <c r="AM226" s="187">
        <f t="shared" si="847"/>
        <v>1</v>
      </c>
      <c r="AN226" s="187">
        <f t="shared" si="847"/>
        <v>0</v>
      </c>
      <c r="AO226" s="187">
        <f t="shared" si="847"/>
        <v>1</v>
      </c>
      <c r="AP226" s="187">
        <f t="shared" ref="AP226:BU226" si="848" xml:space="preserve"> IF(MONTH(AP225) = $F224, 1, 0)</f>
        <v>0</v>
      </c>
      <c r="AQ226" s="187">
        <f t="shared" si="848"/>
        <v>1</v>
      </c>
      <c r="AR226" s="187">
        <f t="shared" si="848"/>
        <v>0</v>
      </c>
      <c r="AS226" s="187">
        <f t="shared" si="848"/>
        <v>1</v>
      </c>
      <c r="AT226" s="187">
        <f t="shared" si="848"/>
        <v>0</v>
      </c>
      <c r="AU226" s="187">
        <f t="shared" si="848"/>
        <v>1</v>
      </c>
      <c r="AV226" s="187">
        <f t="shared" si="848"/>
        <v>0</v>
      </c>
      <c r="AW226" s="187">
        <f t="shared" si="848"/>
        <v>1</v>
      </c>
      <c r="AX226" s="187">
        <f t="shared" si="848"/>
        <v>0</v>
      </c>
      <c r="AY226" s="187">
        <f t="shared" si="848"/>
        <v>1</v>
      </c>
      <c r="AZ226" s="187">
        <f t="shared" si="848"/>
        <v>0</v>
      </c>
      <c r="BA226" s="187">
        <f t="shared" si="848"/>
        <v>1</v>
      </c>
      <c r="BB226" s="187">
        <f t="shared" si="848"/>
        <v>0</v>
      </c>
      <c r="BC226" s="187">
        <f t="shared" si="848"/>
        <v>1</v>
      </c>
      <c r="BD226" s="187">
        <f t="shared" si="848"/>
        <v>0</v>
      </c>
      <c r="BE226" s="187">
        <f t="shared" si="848"/>
        <v>1</v>
      </c>
      <c r="BF226" s="187">
        <f t="shared" si="848"/>
        <v>0</v>
      </c>
      <c r="BG226" s="187">
        <f t="shared" si="848"/>
        <v>1</v>
      </c>
      <c r="BH226" s="187">
        <f t="shared" si="848"/>
        <v>0</v>
      </c>
      <c r="BI226" s="187">
        <f t="shared" si="848"/>
        <v>1</v>
      </c>
      <c r="BJ226" s="187">
        <f t="shared" si="848"/>
        <v>0</v>
      </c>
      <c r="BK226" s="187">
        <f t="shared" si="848"/>
        <v>1</v>
      </c>
      <c r="BL226" s="187">
        <f t="shared" si="848"/>
        <v>0</v>
      </c>
      <c r="BM226" s="187">
        <f t="shared" si="848"/>
        <v>1</v>
      </c>
      <c r="BN226" s="187">
        <f t="shared" si="848"/>
        <v>0</v>
      </c>
      <c r="BO226" s="187">
        <f t="shared" si="848"/>
        <v>1</v>
      </c>
      <c r="BP226" s="187">
        <f t="shared" si="848"/>
        <v>0</v>
      </c>
      <c r="BQ226" s="187">
        <f t="shared" si="848"/>
        <v>1</v>
      </c>
      <c r="BR226" s="187">
        <f t="shared" si="848"/>
        <v>0</v>
      </c>
      <c r="BS226" s="187">
        <f t="shared" si="848"/>
        <v>1</v>
      </c>
      <c r="BT226" s="187">
        <f t="shared" si="848"/>
        <v>0</v>
      </c>
      <c r="BU226" s="187">
        <f t="shared" si="848"/>
        <v>1</v>
      </c>
      <c r="BV226" s="187">
        <f t="shared" ref="BV226:CV226" si="849" xml:space="preserve"> IF(MONTH(BV225) = $F224, 1, 0)</f>
        <v>0</v>
      </c>
      <c r="BW226" s="187">
        <f t="shared" si="849"/>
        <v>1</v>
      </c>
      <c r="BX226" s="187">
        <f t="shared" si="849"/>
        <v>0</v>
      </c>
      <c r="BY226" s="187">
        <f t="shared" si="849"/>
        <v>1</v>
      </c>
      <c r="BZ226" s="187">
        <f t="shared" si="849"/>
        <v>0</v>
      </c>
      <c r="CA226" s="187">
        <f t="shared" si="849"/>
        <v>1</v>
      </c>
      <c r="CB226" s="187">
        <f t="shared" si="849"/>
        <v>0</v>
      </c>
      <c r="CC226" s="187">
        <f t="shared" si="849"/>
        <v>1</v>
      </c>
      <c r="CD226" s="187">
        <f t="shared" si="849"/>
        <v>0</v>
      </c>
      <c r="CE226" s="187">
        <f t="shared" si="849"/>
        <v>1</v>
      </c>
      <c r="CF226" s="187">
        <f t="shared" si="849"/>
        <v>0</v>
      </c>
      <c r="CG226" s="187">
        <f t="shared" si="849"/>
        <v>1</v>
      </c>
      <c r="CH226" s="187">
        <f t="shared" si="849"/>
        <v>0</v>
      </c>
      <c r="CI226" s="187">
        <f t="shared" si="849"/>
        <v>1</v>
      </c>
      <c r="CJ226" s="187">
        <f t="shared" si="849"/>
        <v>0</v>
      </c>
      <c r="CK226" s="187">
        <f t="shared" si="849"/>
        <v>1</v>
      </c>
      <c r="CL226" s="187">
        <f t="shared" si="849"/>
        <v>0</v>
      </c>
      <c r="CM226" s="187">
        <f t="shared" si="849"/>
        <v>1</v>
      </c>
      <c r="CN226" s="187">
        <f t="shared" si="849"/>
        <v>0</v>
      </c>
      <c r="CO226" s="187">
        <f t="shared" si="849"/>
        <v>1</v>
      </c>
      <c r="CP226" s="187">
        <f t="shared" si="849"/>
        <v>0</v>
      </c>
      <c r="CQ226" s="187">
        <f t="shared" si="849"/>
        <v>1</v>
      </c>
      <c r="CR226" s="187">
        <f t="shared" si="849"/>
        <v>0</v>
      </c>
      <c r="CS226" s="187">
        <f t="shared" si="849"/>
        <v>1</v>
      </c>
      <c r="CT226" s="187">
        <f t="shared" si="849"/>
        <v>0</v>
      </c>
      <c r="CU226" s="187">
        <f t="shared" si="849"/>
        <v>1</v>
      </c>
      <c r="CV226" s="187">
        <f t="shared" si="849"/>
        <v>0</v>
      </c>
    </row>
    <row r="227" spans="1:100" outlineLevel="2" x14ac:dyDescent="0.2">
      <c r="E227" s="9"/>
      <c r="F227" s="9"/>
      <c r="G227" s="9"/>
      <c r="H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</row>
    <row r="228" spans="1:100" x14ac:dyDescent="0.2">
      <c r="E228" s="9"/>
      <c r="F228" s="9"/>
      <c r="G228" s="9"/>
      <c r="H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</row>
    <row r="229" spans="1:100" x14ac:dyDescent="0.2">
      <c r="A229" s="15" t="s">
        <v>126</v>
      </c>
      <c r="E229" s="9"/>
      <c r="F229" s="9"/>
      <c r="G229" s="9"/>
      <c r="H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</row>
    <row r="230" spans="1:100" outlineLevel="1" x14ac:dyDescent="0.2">
      <c r="E230" s="9"/>
      <c r="F230" s="9"/>
      <c r="G230" s="9"/>
      <c r="H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</row>
    <row r="231" spans="1:100" outlineLevel="1" x14ac:dyDescent="0.2">
      <c r="B231" s="15" t="s">
        <v>127</v>
      </c>
      <c r="E231" s="9"/>
      <c r="F231" s="9"/>
      <c r="G231" s="9"/>
      <c r="H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</row>
    <row r="232" spans="1:100" outlineLevel="2" x14ac:dyDescent="0.2">
      <c r="E232" s="68" t="str">
        <f xml:space="preserve"> InpC!E$415</f>
        <v>Number of periods in a year</v>
      </c>
      <c r="F232" s="68">
        <f xml:space="preserve"> InpC!F$415</f>
        <v>2</v>
      </c>
      <c r="G232" s="68" t="str">
        <f xml:space="preserve"> InpC!G$415</f>
        <v>periods</v>
      </c>
      <c r="H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</row>
    <row r="233" spans="1:100" outlineLevel="2" x14ac:dyDescent="0.2">
      <c r="E233" s="151" t="str">
        <f t="shared" ref="E233:BP233" si="850" xml:space="preserve"> E$106</f>
        <v>Operating period flag</v>
      </c>
      <c r="F233" s="151">
        <f t="shared" si="850"/>
        <v>0</v>
      </c>
      <c r="G233" s="151" t="str">
        <f t="shared" si="850"/>
        <v>flag</v>
      </c>
      <c r="H233" s="151">
        <f t="shared" si="850"/>
        <v>40</v>
      </c>
      <c r="I233" s="151">
        <f t="shared" si="850"/>
        <v>0</v>
      </c>
      <c r="J233" s="151">
        <f t="shared" si="850"/>
        <v>0</v>
      </c>
      <c r="K233" s="151">
        <f t="shared" si="850"/>
        <v>0</v>
      </c>
      <c r="L233" s="151">
        <f t="shared" si="850"/>
        <v>0</v>
      </c>
      <c r="M233" s="151">
        <f t="shared" si="850"/>
        <v>0</v>
      </c>
      <c r="N233" s="151">
        <f t="shared" si="850"/>
        <v>0</v>
      </c>
      <c r="O233" s="151">
        <f t="shared" si="850"/>
        <v>1</v>
      </c>
      <c r="P233" s="151">
        <f t="shared" si="850"/>
        <v>1</v>
      </c>
      <c r="Q233" s="151">
        <f t="shared" si="850"/>
        <v>1</v>
      </c>
      <c r="R233" s="151">
        <f t="shared" si="850"/>
        <v>1</v>
      </c>
      <c r="S233" s="151">
        <f t="shared" si="850"/>
        <v>1</v>
      </c>
      <c r="T233" s="151">
        <f t="shared" si="850"/>
        <v>1</v>
      </c>
      <c r="U233" s="151">
        <f t="shared" si="850"/>
        <v>1</v>
      </c>
      <c r="V233" s="151">
        <f t="shared" si="850"/>
        <v>1</v>
      </c>
      <c r="W233" s="151">
        <f t="shared" si="850"/>
        <v>1</v>
      </c>
      <c r="X233" s="151">
        <f t="shared" si="850"/>
        <v>1</v>
      </c>
      <c r="Y233" s="151">
        <f t="shared" si="850"/>
        <v>1</v>
      </c>
      <c r="Z233" s="151">
        <f t="shared" si="850"/>
        <v>1</v>
      </c>
      <c r="AA233" s="151">
        <f t="shared" si="850"/>
        <v>1</v>
      </c>
      <c r="AB233" s="151">
        <f t="shared" si="850"/>
        <v>1</v>
      </c>
      <c r="AC233" s="151">
        <f t="shared" si="850"/>
        <v>1</v>
      </c>
      <c r="AD233" s="151">
        <f t="shared" si="850"/>
        <v>1</v>
      </c>
      <c r="AE233" s="151">
        <f t="shared" si="850"/>
        <v>1</v>
      </c>
      <c r="AF233" s="151">
        <f t="shared" si="850"/>
        <v>1</v>
      </c>
      <c r="AG233" s="151">
        <f t="shared" si="850"/>
        <v>1</v>
      </c>
      <c r="AH233" s="151">
        <f t="shared" si="850"/>
        <v>1</v>
      </c>
      <c r="AI233" s="151">
        <f t="shared" si="850"/>
        <v>1</v>
      </c>
      <c r="AJ233" s="151">
        <f t="shared" si="850"/>
        <v>1</v>
      </c>
      <c r="AK233" s="151">
        <f t="shared" si="850"/>
        <v>1</v>
      </c>
      <c r="AL233" s="151">
        <f t="shared" si="850"/>
        <v>1</v>
      </c>
      <c r="AM233" s="151">
        <f t="shared" si="850"/>
        <v>1</v>
      </c>
      <c r="AN233" s="151">
        <f t="shared" si="850"/>
        <v>1</v>
      </c>
      <c r="AO233" s="151">
        <f t="shared" si="850"/>
        <v>1</v>
      </c>
      <c r="AP233" s="151">
        <f t="shared" si="850"/>
        <v>1</v>
      </c>
      <c r="AQ233" s="151">
        <f t="shared" si="850"/>
        <v>1</v>
      </c>
      <c r="AR233" s="151">
        <f t="shared" si="850"/>
        <v>1</v>
      </c>
      <c r="AS233" s="151">
        <f t="shared" si="850"/>
        <v>1</v>
      </c>
      <c r="AT233" s="151">
        <f t="shared" si="850"/>
        <v>1</v>
      </c>
      <c r="AU233" s="151">
        <f t="shared" si="850"/>
        <v>1</v>
      </c>
      <c r="AV233" s="151">
        <f t="shared" si="850"/>
        <v>1</v>
      </c>
      <c r="AW233" s="151">
        <f t="shared" si="850"/>
        <v>1</v>
      </c>
      <c r="AX233" s="151">
        <f t="shared" si="850"/>
        <v>1</v>
      </c>
      <c r="AY233" s="151">
        <f t="shared" si="850"/>
        <v>1</v>
      </c>
      <c r="AZ233" s="151">
        <f t="shared" si="850"/>
        <v>1</v>
      </c>
      <c r="BA233" s="151">
        <f t="shared" si="850"/>
        <v>1</v>
      </c>
      <c r="BB233" s="151">
        <f t="shared" si="850"/>
        <v>1</v>
      </c>
      <c r="BC233" s="151">
        <f t="shared" si="850"/>
        <v>0</v>
      </c>
      <c r="BD233" s="151">
        <f t="shared" si="850"/>
        <v>0</v>
      </c>
      <c r="BE233" s="151">
        <f t="shared" si="850"/>
        <v>0</v>
      </c>
      <c r="BF233" s="151">
        <f t="shared" si="850"/>
        <v>0</v>
      </c>
      <c r="BG233" s="151">
        <f t="shared" si="850"/>
        <v>0</v>
      </c>
      <c r="BH233" s="151">
        <f t="shared" si="850"/>
        <v>0</v>
      </c>
      <c r="BI233" s="151">
        <f t="shared" si="850"/>
        <v>0</v>
      </c>
      <c r="BJ233" s="151">
        <f t="shared" si="850"/>
        <v>0</v>
      </c>
      <c r="BK233" s="151">
        <f t="shared" si="850"/>
        <v>0</v>
      </c>
      <c r="BL233" s="151">
        <f t="shared" si="850"/>
        <v>0</v>
      </c>
      <c r="BM233" s="151">
        <f t="shared" si="850"/>
        <v>0</v>
      </c>
      <c r="BN233" s="151">
        <f t="shared" si="850"/>
        <v>0</v>
      </c>
      <c r="BO233" s="151">
        <f t="shared" si="850"/>
        <v>0</v>
      </c>
      <c r="BP233" s="151">
        <f t="shared" si="850"/>
        <v>0</v>
      </c>
      <c r="BQ233" s="151">
        <f t="shared" ref="BQ233:CV233" si="851" xml:space="preserve"> BQ$106</f>
        <v>0</v>
      </c>
      <c r="BR233" s="151">
        <f t="shared" si="851"/>
        <v>0</v>
      </c>
      <c r="BS233" s="151">
        <f t="shared" si="851"/>
        <v>0</v>
      </c>
      <c r="BT233" s="151">
        <f t="shared" si="851"/>
        <v>0</v>
      </c>
      <c r="BU233" s="151">
        <f t="shared" si="851"/>
        <v>0</v>
      </c>
      <c r="BV233" s="151">
        <f t="shared" si="851"/>
        <v>0</v>
      </c>
      <c r="BW233" s="151">
        <f t="shared" si="851"/>
        <v>0</v>
      </c>
      <c r="BX233" s="151">
        <f t="shared" si="851"/>
        <v>0</v>
      </c>
      <c r="BY233" s="151">
        <f t="shared" si="851"/>
        <v>0</v>
      </c>
      <c r="BZ233" s="151">
        <f t="shared" si="851"/>
        <v>0</v>
      </c>
      <c r="CA233" s="151">
        <f t="shared" si="851"/>
        <v>0</v>
      </c>
      <c r="CB233" s="151">
        <f t="shared" si="851"/>
        <v>0</v>
      </c>
      <c r="CC233" s="151">
        <f t="shared" si="851"/>
        <v>0</v>
      </c>
      <c r="CD233" s="151">
        <f t="shared" si="851"/>
        <v>0</v>
      </c>
      <c r="CE233" s="151">
        <f t="shared" si="851"/>
        <v>0</v>
      </c>
      <c r="CF233" s="151">
        <f t="shared" si="851"/>
        <v>0</v>
      </c>
      <c r="CG233" s="151">
        <f t="shared" si="851"/>
        <v>0</v>
      </c>
      <c r="CH233" s="151">
        <f t="shared" si="851"/>
        <v>0</v>
      </c>
      <c r="CI233" s="151">
        <f t="shared" si="851"/>
        <v>0</v>
      </c>
      <c r="CJ233" s="151">
        <f t="shared" si="851"/>
        <v>0</v>
      </c>
      <c r="CK233" s="151">
        <f t="shared" si="851"/>
        <v>0</v>
      </c>
      <c r="CL233" s="151">
        <f t="shared" si="851"/>
        <v>0</v>
      </c>
      <c r="CM233" s="151">
        <f t="shared" si="851"/>
        <v>0</v>
      </c>
      <c r="CN233" s="151">
        <f t="shared" si="851"/>
        <v>0</v>
      </c>
      <c r="CO233" s="151">
        <f t="shared" si="851"/>
        <v>0</v>
      </c>
      <c r="CP233" s="151">
        <f t="shared" si="851"/>
        <v>0</v>
      </c>
      <c r="CQ233" s="151">
        <f t="shared" si="851"/>
        <v>0</v>
      </c>
      <c r="CR233" s="151">
        <f t="shared" si="851"/>
        <v>0</v>
      </c>
      <c r="CS233" s="151">
        <f t="shared" si="851"/>
        <v>0</v>
      </c>
      <c r="CT233" s="151">
        <f t="shared" si="851"/>
        <v>0</v>
      </c>
      <c r="CU233" s="151">
        <f t="shared" si="851"/>
        <v>0</v>
      </c>
      <c r="CV233" s="151">
        <f t="shared" si="851"/>
        <v>0</v>
      </c>
    </row>
    <row r="234" spans="1:100" outlineLevel="2" x14ac:dyDescent="0.2">
      <c r="A234" s="141"/>
      <c r="B234" s="141"/>
      <c r="C234" s="142"/>
      <c r="D234" s="143"/>
      <c r="E234" s="144" t="s">
        <v>1276</v>
      </c>
      <c r="F234" s="144"/>
      <c r="G234" s="144" t="s">
        <v>14</v>
      </c>
      <c r="H234" s="144"/>
      <c r="I234" s="144"/>
      <c r="J234" s="144">
        <f t="shared" ref="J234:AO234" si="852" xml:space="preserve"> IF( I234 = $F232, 1, I234 + 1) * J233</f>
        <v>0</v>
      </c>
      <c r="K234" s="144">
        <f t="shared" si="852"/>
        <v>0</v>
      </c>
      <c r="L234" s="144">
        <f t="shared" si="852"/>
        <v>0</v>
      </c>
      <c r="M234" s="144">
        <f t="shared" si="852"/>
        <v>0</v>
      </c>
      <c r="N234" s="144">
        <f t="shared" si="852"/>
        <v>0</v>
      </c>
      <c r="O234" s="144">
        <f t="shared" si="852"/>
        <v>1</v>
      </c>
      <c r="P234" s="144">
        <f t="shared" si="852"/>
        <v>2</v>
      </c>
      <c r="Q234" s="144">
        <f t="shared" si="852"/>
        <v>1</v>
      </c>
      <c r="R234" s="144">
        <f t="shared" si="852"/>
        <v>2</v>
      </c>
      <c r="S234" s="144">
        <f t="shared" si="852"/>
        <v>1</v>
      </c>
      <c r="T234" s="144">
        <f t="shared" si="852"/>
        <v>2</v>
      </c>
      <c r="U234" s="144">
        <f t="shared" si="852"/>
        <v>1</v>
      </c>
      <c r="V234" s="144">
        <f t="shared" si="852"/>
        <v>2</v>
      </c>
      <c r="W234" s="144">
        <f t="shared" si="852"/>
        <v>1</v>
      </c>
      <c r="X234" s="144">
        <f t="shared" si="852"/>
        <v>2</v>
      </c>
      <c r="Y234" s="144">
        <f t="shared" si="852"/>
        <v>1</v>
      </c>
      <c r="Z234" s="144">
        <f t="shared" si="852"/>
        <v>2</v>
      </c>
      <c r="AA234" s="144">
        <f t="shared" si="852"/>
        <v>1</v>
      </c>
      <c r="AB234" s="144">
        <f t="shared" si="852"/>
        <v>2</v>
      </c>
      <c r="AC234" s="144">
        <f t="shared" si="852"/>
        <v>1</v>
      </c>
      <c r="AD234" s="144">
        <f t="shared" si="852"/>
        <v>2</v>
      </c>
      <c r="AE234" s="144">
        <f t="shared" si="852"/>
        <v>1</v>
      </c>
      <c r="AF234" s="144">
        <f t="shared" si="852"/>
        <v>2</v>
      </c>
      <c r="AG234" s="144">
        <f t="shared" si="852"/>
        <v>1</v>
      </c>
      <c r="AH234" s="144">
        <f t="shared" si="852"/>
        <v>2</v>
      </c>
      <c r="AI234" s="144">
        <f t="shared" si="852"/>
        <v>1</v>
      </c>
      <c r="AJ234" s="144">
        <f t="shared" si="852"/>
        <v>2</v>
      </c>
      <c r="AK234" s="144">
        <f t="shared" si="852"/>
        <v>1</v>
      </c>
      <c r="AL234" s="144">
        <f t="shared" si="852"/>
        <v>2</v>
      </c>
      <c r="AM234" s="144">
        <f t="shared" si="852"/>
        <v>1</v>
      </c>
      <c r="AN234" s="144">
        <f t="shared" si="852"/>
        <v>2</v>
      </c>
      <c r="AO234" s="144">
        <f t="shared" si="852"/>
        <v>1</v>
      </c>
      <c r="AP234" s="144">
        <f t="shared" ref="AP234:BU234" si="853" xml:space="preserve"> IF( AO234 = $F232, 1, AO234 + 1) * AP233</f>
        <v>2</v>
      </c>
      <c r="AQ234" s="144">
        <f t="shared" si="853"/>
        <v>1</v>
      </c>
      <c r="AR234" s="144">
        <f t="shared" si="853"/>
        <v>2</v>
      </c>
      <c r="AS234" s="144">
        <f t="shared" si="853"/>
        <v>1</v>
      </c>
      <c r="AT234" s="144">
        <f t="shared" si="853"/>
        <v>2</v>
      </c>
      <c r="AU234" s="144">
        <f t="shared" si="853"/>
        <v>1</v>
      </c>
      <c r="AV234" s="144">
        <f t="shared" si="853"/>
        <v>2</v>
      </c>
      <c r="AW234" s="144">
        <f t="shared" si="853"/>
        <v>1</v>
      </c>
      <c r="AX234" s="144">
        <f t="shared" si="853"/>
        <v>2</v>
      </c>
      <c r="AY234" s="144">
        <f t="shared" si="853"/>
        <v>1</v>
      </c>
      <c r="AZ234" s="144">
        <f t="shared" si="853"/>
        <v>2</v>
      </c>
      <c r="BA234" s="144">
        <f t="shared" si="853"/>
        <v>1</v>
      </c>
      <c r="BB234" s="144">
        <f t="shared" si="853"/>
        <v>2</v>
      </c>
      <c r="BC234" s="144">
        <f t="shared" si="853"/>
        <v>0</v>
      </c>
      <c r="BD234" s="144">
        <f t="shared" si="853"/>
        <v>0</v>
      </c>
      <c r="BE234" s="144">
        <f t="shared" si="853"/>
        <v>0</v>
      </c>
      <c r="BF234" s="144">
        <f t="shared" si="853"/>
        <v>0</v>
      </c>
      <c r="BG234" s="144">
        <f t="shared" si="853"/>
        <v>0</v>
      </c>
      <c r="BH234" s="144">
        <f t="shared" si="853"/>
        <v>0</v>
      </c>
      <c r="BI234" s="144">
        <f t="shared" si="853"/>
        <v>0</v>
      </c>
      <c r="BJ234" s="144">
        <f t="shared" si="853"/>
        <v>0</v>
      </c>
      <c r="BK234" s="144">
        <f t="shared" si="853"/>
        <v>0</v>
      </c>
      <c r="BL234" s="144">
        <f t="shared" si="853"/>
        <v>0</v>
      </c>
      <c r="BM234" s="144">
        <f t="shared" si="853"/>
        <v>0</v>
      </c>
      <c r="BN234" s="144">
        <f t="shared" si="853"/>
        <v>0</v>
      </c>
      <c r="BO234" s="144">
        <f t="shared" si="853"/>
        <v>0</v>
      </c>
      <c r="BP234" s="144">
        <f t="shared" si="853"/>
        <v>0</v>
      </c>
      <c r="BQ234" s="144">
        <f t="shared" si="853"/>
        <v>0</v>
      </c>
      <c r="BR234" s="144">
        <f t="shared" si="853"/>
        <v>0</v>
      </c>
      <c r="BS234" s="144">
        <f t="shared" si="853"/>
        <v>0</v>
      </c>
      <c r="BT234" s="144">
        <f t="shared" si="853"/>
        <v>0</v>
      </c>
      <c r="BU234" s="144">
        <f t="shared" si="853"/>
        <v>0</v>
      </c>
      <c r="BV234" s="144">
        <f t="shared" ref="BV234:CV234" si="854" xml:space="preserve"> IF( BU234 = $F232, 1, BU234 + 1) * BV233</f>
        <v>0</v>
      </c>
      <c r="BW234" s="144">
        <f t="shared" si="854"/>
        <v>0</v>
      </c>
      <c r="BX234" s="144">
        <f t="shared" si="854"/>
        <v>0</v>
      </c>
      <c r="BY234" s="144">
        <f t="shared" si="854"/>
        <v>0</v>
      </c>
      <c r="BZ234" s="144">
        <f t="shared" si="854"/>
        <v>0</v>
      </c>
      <c r="CA234" s="144">
        <f t="shared" si="854"/>
        <v>0</v>
      </c>
      <c r="CB234" s="144">
        <f t="shared" si="854"/>
        <v>0</v>
      </c>
      <c r="CC234" s="144">
        <f t="shared" si="854"/>
        <v>0</v>
      </c>
      <c r="CD234" s="144">
        <f t="shared" si="854"/>
        <v>0</v>
      </c>
      <c r="CE234" s="144">
        <f t="shared" si="854"/>
        <v>0</v>
      </c>
      <c r="CF234" s="144">
        <f t="shared" si="854"/>
        <v>0</v>
      </c>
      <c r="CG234" s="144">
        <f t="shared" si="854"/>
        <v>0</v>
      </c>
      <c r="CH234" s="144">
        <f t="shared" si="854"/>
        <v>0</v>
      </c>
      <c r="CI234" s="144">
        <f t="shared" si="854"/>
        <v>0</v>
      </c>
      <c r="CJ234" s="144">
        <f t="shared" si="854"/>
        <v>0</v>
      </c>
      <c r="CK234" s="144">
        <f t="shared" si="854"/>
        <v>0</v>
      </c>
      <c r="CL234" s="144">
        <f t="shared" si="854"/>
        <v>0</v>
      </c>
      <c r="CM234" s="144">
        <f t="shared" si="854"/>
        <v>0</v>
      </c>
      <c r="CN234" s="144">
        <f t="shared" si="854"/>
        <v>0</v>
      </c>
      <c r="CO234" s="144">
        <f t="shared" si="854"/>
        <v>0</v>
      </c>
      <c r="CP234" s="144">
        <f t="shared" si="854"/>
        <v>0</v>
      </c>
      <c r="CQ234" s="144">
        <f t="shared" si="854"/>
        <v>0</v>
      </c>
      <c r="CR234" s="144">
        <f t="shared" si="854"/>
        <v>0</v>
      </c>
      <c r="CS234" s="144">
        <f t="shared" si="854"/>
        <v>0</v>
      </c>
      <c r="CT234" s="144">
        <f t="shared" si="854"/>
        <v>0</v>
      </c>
      <c r="CU234" s="144">
        <f t="shared" si="854"/>
        <v>0</v>
      </c>
      <c r="CV234" s="144">
        <f t="shared" si="854"/>
        <v>0</v>
      </c>
    </row>
    <row r="235" spans="1:100" outlineLevel="1" x14ac:dyDescent="0.2">
      <c r="A235" s="141"/>
      <c r="B235" s="141"/>
      <c r="C235" s="142"/>
      <c r="D235" s="143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  <c r="AF235" s="144"/>
      <c r="AG235" s="144"/>
      <c r="AH235" s="144"/>
      <c r="AI235" s="144"/>
      <c r="AJ235" s="144"/>
      <c r="AK235" s="144"/>
      <c r="AL235" s="144"/>
      <c r="AM235" s="144"/>
      <c r="AN235" s="144"/>
      <c r="AO235" s="144"/>
      <c r="AP235" s="144"/>
      <c r="AQ235" s="144"/>
      <c r="AR235" s="144"/>
      <c r="AS235" s="144"/>
      <c r="AT235" s="144"/>
      <c r="AU235" s="144"/>
      <c r="AV235" s="144"/>
      <c r="AW235" s="144"/>
      <c r="AX235" s="144"/>
      <c r="AY235" s="144"/>
      <c r="AZ235" s="144"/>
      <c r="BA235" s="144"/>
      <c r="BB235" s="144"/>
      <c r="BC235" s="144"/>
      <c r="BD235" s="144"/>
      <c r="BE235" s="144"/>
      <c r="BF235" s="144"/>
      <c r="BG235" s="144"/>
      <c r="BH235" s="144"/>
      <c r="BI235" s="144"/>
      <c r="BJ235" s="144"/>
      <c r="BK235" s="144"/>
      <c r="BL235" s="144"/>
      <c r="BM235" s="144"/>
      <c r="BN235" s="144"/>
      <c r="BO235" s="144"/>
      <c r="BP235" s="144"/>
      <c r="BQ235" s="144"/>
      <c r="BR235" s="144"/>
      <c r="BS235" s="144"/>
      <c r="BT235" s="144"/>
      <c r="BU235" s="144"/>
      <c r="BV235" s="144"/>
      <c r="BW235" s="144"/>
      <c r="BX235" s="144"/>
      <c r="BY235" s="144"/>
      <c r="BZ235" s="144"/>
      <c r="CA235" s="144"/>
      <c r="CB235" s="144"/>
      <c r="CC235" s="144"/>
      <c r="CD235" s="144"/>
      <c r="CE235" s="144"/>
      <c r="CF235" s="144"/>
      <c r="CG235" s="144"/>
      <c r="CH235" s="144"/>
      <c r="CI235" s="144"/>
      <c r="CJ235" s="144"/>
      <c r="CK235" s="144"/>
      <c r="CL235" s="144"/>
      <c r="CM235" s="144"/>
      <c r="CN235" s="144"/>
      <c r="CO235" s="144"/>
      <c r="CP235" s="144"/>
      <c r="CQ235" s="144"/>
      <c r="CR235" s="144"/>
      <c r="CS235" s="144"/>
      <c r="CT235" s="144"/>
      <c r="CU235" s="144"/>
      <c r="CV235" s="144"/>
    </row>
    <row r="236" spans="1:100" outlineLevel="1" x14ac:dyDescent="0.2">
      <c r="A236" s="236"/>
      <c r="B236" s="236" t="s">
        <v>124</v>
      </c>
      <c r="C236" s="237"/>
      <c r="D236" s="238"/>
      <c r="E236" s="235"/>
      <c r="F236" s="235"/>
      <c r="G236" s="235"/>
      <c r="H236" s="235"/>
      <c r="I236" s="235"/>
      <c r="J236" s="235"/>
      <c r="K236" s="235"/>
      <c r="L236" s="235"/>
      <c r="M236" s="235"/>
      <c r="N236" s="235"/>
      <c r="O236" s="235"/>
      <c r="P236" s="235"/>
      <c r="Q236" s="235"/>
      <c r="R236" s="235"/>
      <c r="S236" s="235"/>
      <c r="T236" s="235"/>
      <c r="U236" s="235"/>
      <c r="V236" s="235"/>
      <c r="W236" s="235"/>
      <c r="X236" s="235"/>
      <c r="Y236" s="235"/>
      <c r="Z236" s="235"/>
      <c r="AA236" s="235"/>
      <c r="AB236" s="235"/>
      <c r="AC236" s="235"/>
      <c r="AD236" s="235"/>
      <c r="AE236" s="235"/>
      <c r="AF236" s="235"/>
      <c r="AG236" s="235"/>
      <c r="AH236" s="235"/>
      <c r="AI236" s="235"/>
      <c r="AJ236" s="235"/>
      <c r="AK236" s="235"/>
      <c r="AL236" s="235"/>
      <c r="AM236" s="235"/>
      <c r="AN236" s="235"/>
      <c r="AO236" s="235"/>
      <c r="AP236" s="235"/>
      <c r="AQ236" s="235"/>
      <c r="AR236" s="235"/>
      <c r="AS236" s="235"/>
      <c r="AT236" s="235"/>
      <c r="AU236" s="235"/>
      <c r="AV236" s="235"/>
      <c r="AW236" s="235"/>
      <c r="AX236" s="235"/>
      <c r="AY236" s="235"/>
      <c r="AZ236" s="235"/>
      <c r="BA236" s="235"/>
      <c r="BB236" s="235"/>
      <c r="BC236" s="235"/>
      <c r="BD236" s="235"/>
      <c r="BE236" s="235"/>
      <c r="BF236" s="235"/>
      <c r="BG236" s="235"/>
      <c r="BH236" s="235"/>
      <c r="BI236" s="235"/>
      <c r="BJ236" s="235"/>
      <c r="BK236" s="235"/>
      <c r="BL236" s="235"/>
      <c r="BM236" s="235"/>
      <c r="BN236" s="235"/>
      <c r="BO236" s="235"/>
      <c r="BP236" s="235"/>
      <c r="BQ236" s="235"/>
      <c r="BR236" s="235"/>
      <c r="BS236" s="235"/>
      <c r="BT236" s="235"/>
      <c r="BU236" s="235"/>
      <c r="BV236" s="235"/>
      <c r="BW236" s="235"/>
      <c r="BX236" s="235"/>
      <c r="BY236" s="235"/>
      <c r="BZ236" s="235"/>
      <c r="CA236" s="235"/>
      <c r="CB236" s="235"/>
      <c r="CC236" s="235"/>
      <c r="CD236" s="235"/>
      <c r="CE236" s="235"/>
      <c r="CF236" s="235"/>
      <c r="CG236" s="235"/>
      <c r="CH236" s="235"/>
      <c r="CI236" s="235"/>
      <c r="CJ236" s="235"/>
      <c r="CK236" s="235"/>
      <c r="CL236" s="235"/>
      <c r="CM236" s="235"/>
      <c r="CN236" s="235"/>
      <c r="CO236" s="235"/>
      <c r="CP236" s="235"/>
      <c r="CQ236" s="235"/>
      <c r="CR236" s="235"/>
      <c r="CS236" s="235"/>
      <c r="CT236" s="235"/>
      <c r="CU236" s="235"/>
      <c r="CV236" s="235"/>
    </row>
    <row r="237" spans="1:100" outlineLevel="2" x14ac:dyDescent="0.2">
      <c r="A237" s="52"/>
      <c r="B237" s="52"/>
      <c r="C237" s="34"/>
      <c r="D237" s="35"/>
      <c r="E237" s="31" t="str">
        <f t="shared" ref="E237:AJ237" si="855" xml:space="preserve"> E$30</f>
        <v>End of financial year flag</v>
      </c>
      <c r="F237" s="31">
        <f t="shared" si="855"/>
        <v>0</v>
      </c>
      <c r="G237" s="31" t="str">
        <f t="shared" si="855"/>
        <v>flag</v>
      </c>
      <c r="H237" s="31">
        <f t="shared" si="855"/>
        <v>46</v>
      </c>
      <c r="I237" s="31">
        <f t="shared" si="855"/>
        <v>0</v>
      </c>
      <c r="J237" s="31">
        <f t="shared" si="855"/>
        <v>1</v>
      </c>
      <c r="K237" s="31">
        <f t="shared" si="855"/>
        <v>0</v>
      </c>
      <c r="L237" s="31">
        <f t="shared" si="855"/>
        <v>1</v>
      </c>
      <c r="M237" s="31">
        <f t="shared" si="855"/>
        <v>0</v>
      </c>
      <c r="N237" s="31">
        <f t="shared" si="855"/>
        <v>1</v>
      </c>
      <c r="O237" s="31">
        <f t="shared" si="855"/>
        <v>0</v>
      </c>
      <c r="P237" s="31">
        <f t="shared" si="855"/>
        <v>1</v>
      </c>
      <c r="Q237" s="31">
        <f t="shared" si="855"/>
        <v>0</v>
      </c>
      <c r="R237" s="31">
        <f t="shared" si="855"/>
        <v>1</v>
      </c>
      <c r="S237" s="31">
        <f t="shared" si="855"/>
        <v>0</v>
      </c>
      <c r="T237" s="31">
        <f t="shared" si="855"/>
        <v>1</v>
      </c>
      <c r="U237" s="31">
        <f t="shared" si="855"/>
        <v>0</v>
      </c>
      <c r="V237" s="31">
        <f t="shared" si="855"/>
        <v>1</v>
      </c>
      <c r="W237" s="31">
        <f t="shared" si="855"/>
        <v>0</v>
      </c>
      <c r="X237" s="31">
        <f t="shared" si="855"/>
        <v>1</v>
      </c>
      <c r="Y237" s="31">
        <f t="shared" si="855"/>
        <v>0</v>
      </c>
      <c r="Z237" s="31">
        <f t="shared" si="855"/>
        <v>1</v>
      </c>
      <c r="AA237" s="31">
        <f t="shared" si="855"/>
        <v>0</v>
      </c>
      <c r="AB237" s="31">
        <f t="shared" si="855"/>
        <v>1</v>
      </c>
      <c r="AC237" s="31">
        <f t="shared" si="855"/>
        <v>0</v>
      </c>
      <c r="AD237" s="31">
        <f t="shared" si="855"/>
        <v>1</v>
      </c>
      <c r="AE237" s="31">
        <f t="shared" si="855"/>
        <v>0</v>
      </c>
      <c r="AF237" s="31">
        <f t="shared" si="855"/>
        <v>1</v>
      </c>
      <c r="AG237" s="31">
        <f t="shared" si="855"/>
        <v>0</v>
      </c>
      <c r="AH237" s="31">
        <f t="shared" si="855"/>
        <v>1</v>
      </c>
      <c r="AI237" s="31">
        <f t="shared" si="855"/>
        <v>0</v>
      </c>
      <c r="AJ237" s="31">
        <f t="shared" si="855"/>
        <v>1</v>
      </c>
      <c r="AK237" s="31">
        <f t="shared" ref="AK237:BP237" si="856" xml:space="preserve"> AK$30</f>
        <v>0</v>
      </c>
      <c r="AL237" s="31">
        <f t="shared" si="856"/>
        <v>1</v>
      </c>
      <c r="AM237" s="31">
        <f t="shared" si="856"/>
        <v>0</v>
      </c>
      <c r="AN237" s="31">
        <f t="shared" si="856"/>
        <v>1</v>
      </c>
      <c r="AO237" s="31">
        <f t="shared" si="856"/>
        <v>0</v>
      </c>
      <c r="AP237" s="31">
        <f t="shared" si="856"/>
        <v>1</v>
      </c>
      <c r="AQ237" s="31">
        <f t="shared" si="856"/>
        <v>0</v>
      </c>
      <c r="AR237" s="31">
        <f t="shared" si="856"/>
        <v>1</v>
      </c>
      <c r="AS237" s="31">
        <f t="shared" si="856"/>
        <v>0</v>
      </c>
      <c r="AT237" s="31">
        <f t="shared" si="856"/>
        <v>1</v>
      </c>
      <c r="AU237" s="31">
        <f t="shared" si="856"/>
        <v>0</v>
      </c>
      <c r="AV237" s="31">
        <f t="shared" si="856"/>
        <v>1</v>
      </c>
      <c r="AW237" s="31">
        <f t="shared" si="856"/>
        <v>0</v>
      </c>
      <c r="AX237" s="31">
        <f t="shared" si="856"/>
        <v>1</v>
      </c>
      <c r="AY237" s="31">
        <f t="shared" si="856"/>
        <v>0</v>
      </c>
      <c r="AZ237" s="31">
        <f t="shared" si="856"/>
        <v>1</v>
      </c>
      <c r="BA237" s="31">
        <f t="shared" si="856"/>
        <v>0</v>
      </c>
      <c r="BB237" s="31">
        <f t="shared" si="856"/>
        <v>1</v>
      </c>
      <c r="BC237" s="31">
        <f t="shared" si="856"/>
        <v>0</v>
      </c>
      <c r="BD237" s="31">
        <f t="shared" si="856"/>
        <v>1</v>
      </c>
      <c r="BE237" s="31">
        <f t="shared" si="856"/>
        <v>0</v>
      </c>
      <c r="BF237" s="31">
        <f t="shared" si="856"/>
        <v>1</v>
      </c>
      <c r="BG237" s="31">
        <f t="shared" si="856"/>
        <v>0</v>
      </c>
      <c r="BH237" s="31">
        <f t="shared" si="856"/>
        <v>1</v>
      </c>
      <c r="BI237" s="31">
        <f t="shared" si="856"/>
        <v>0</v>
      </c>
      <c r="BJ237" s="31">
        <f t="shared" si="856"/>
        <v>1</v>
      </c>
      <c r="BK237" s="31">
        <f t="shared" si="856"/>
        <v>0</v>
      </c>
      <c r="BL237" s="31">
        <f t="shared" si="856"/>
        <v>1</v>
      </c>
      <c r="BM237" s="31">
        <f t="shared" si="856"/>
        <v>0</v>
      </c>
      <c r="BN237" s="31">
        <f t="shared" si="856"/>
        <v>1</v>
      </c>
      <c r="BO237" s="31">
        <f t="shared" si="856"/>
        <v>0</v>
      </c>
      <c r="BP237" s="31">
        <f t="shared" si="856"/>
        <v>1</v>
      </c>
      <c r="BQ237" s="31">
        <f t="shared" ref="BQ237:CV237" si="857" xml:space="preserve"> BQ$30</f>
        <v>0</v>
      </c>
      <c r="BR237" s="31">
        <f t="shared" si="857"/>
        <v>1</v>
      </c>
      <c r="BS237" s="31">
        <f t="shared" si="857"/>
        <v>0</v>
      </c>
      <c r="BT237" s="31">
        <f t="shared" si="857"/>
        <v>1</v>
      </c>
      <c r="BU237" s="31">
        <f t="shared" si="857"/>
        <v>0</v>
      </c>
      <c r="BV237" s="31">
        <f t="shared" si="857"/>
        <v>1</v>
      </c>
      <c r="BW237" s="31">
        <f t="shared" si="857"/>
        <v>0</v>
      </c>
      <c r="BX237" s="31">
        <f t="shared" si="857"/>
        <v>1</v>
      </c>
      <c r="BY237" s="31">
        <f t="shared" si="857"/>
        <v>0</v>
      </c>
      <c r="BZ237" s="31">
        <f t="shared" si="857"/>
        <v>1</v>
      </c>
      <c r="CA237" s="31">
        <f t="shared" si="857"/>
        <v>0</v>
      </c>
      <c r="CB237" s="31">
        <f t="shared" si="857"/>
        <v>1</v>
      </c>
      <c r="CC237" s="31">
        <f t="shared" si="857"/>
        <v>0</v>
      </c>
      <c r="CD237" s="31">
        <f t="shared" si="857"/>
        <v>1</v>
      </c>
      <c r="CE237" s="31">
        <f t="shared" si="857"/>
        <v>0</v>
      </c>
      <c r="CF237" s="31">
        <f t="shared" si="857"/>
        <v>1</v>
      </c>
      <c r="CG237" s="31">
        <f t="shared" si="857"/>
        <v>0</v>
      </c>
      <c r="CH237" s="31">
        <f t="shared" si="857"/>
        <v>1</v>
      </c>
      <c r="CI237" s="31">
        <f t="shared" si="857"/>
        <v>0</v>
      </c>
      <c r="CJ237" s="31">
        <f t="shared" si="857"/>
        <v>1</v>
      </c>
      <c r="CK237" s="31">
        <f t="shared" si="857"/>
        <v>0</v>
      </c>
      <c r="CL237" s="31">
        <f t="shared" si="857"/>
        <v>1</v>
      </c>
      <c r="CM237" s="31">
        <f t="shared" si="857"/>
        <v>0</v>
      </c>
      <c r="CN237" s="31">
        <f t="shared" si="857"/>
        <v>1</v>
      </c>
      <c r="CO237" s="31">
        <f t="shared" si="857"/>
        <v>0</v>
      </c>
      <c r="CP237" s="31">
        <f t="shared" si="857"/>
        <v>1</v>
      </c>
      <c r="CQ237" s="31">
        <f t="shared" si="857"/>
        <v>0</v>
      </c>
      <c r="CR237" s="31">
        <f t="shared" si="857"/>
        <v>1</v>
      </c>
      <c r="CS237" s="31">
        <f t="shared" si="857"/>
        <v>0</v>
      </c>
      <c r="CT237" s="31">
        <f t="shared" si="857"/>
        <v>1</v>
      </c>
      <c r="CU237" s="31">
        <f t="shared" si="857"/>
        <v>0</v>
      </c>
      <c r="CV237" s="31">
        <f t="shared" si="857"/>
        <v>1</v>
      </c>
    </row>
    <row r="238" spans="1:100" outlineLevel="2" x14ac:dyDescent="0.2">
      <c r="A238" s="52"/>
      <c r="B238" s="52"/>
      <c r="C238" s="34"/>
      <c r="D238" s="35"/>
      <c r="E238" s="31" t="str">
        <f t="shared" ref="E238:BP238" si="858" xml:space="preserve"> E$106</f>
        <v>Operating period flag</v>
      </c>
      <c r="F238" s="31">
        <f t="shared" si="858"/>
        <v>0</v>
      </c>
      <c r="G238" s="31" t="str">
        <f t="shared" si="858"/>
        <v>flag</v>
      </c>
      <c r="H238" s="31">
        <f t="shared" si="858"/>
        <v>40</v>
      </c>
      <c r="I238" s="31">
        <f t="shared" si="858"/>
        <v>0</v>
      </c>
      <c r="J238" s="31">
        <f t="shared" si="858"/>
        <v>0</v>
      </c>
      <c r="K238" s="31">
        <f t="shared" si="858"/>
        <v>0</v>
      </c>
      <c r="L238" s="31">
        <f t="shared" si="858"/>
        <v>0</v>
      </c>
      <c r="M238" s="31">
        <f t="shared" si="858"/>
        <v>0</v>
      </c>
      <c r="N238" s="31">
        <f t="shared" si="858"/>
        <v>0</v>
      </c>
      <c r="O238" s="31">
        <f t="shared" si="858"/>
        <v>1</v>
      </c>
      <c r="P238" s="31">
        <f t="shared" si="858"/>
        <v>1</v>
      </c>
      <c r="Q238" s="31">
        <f t="shared" si="858"/>
        <v>1</v>
      </c>
      <c r="R238" s="31">
        <f t="shared" si="858"/>
        <v>1</v>
      </c>
      <c r="S238" s="31">
        <f t="shared" si="858"/>
        <v>1</v>
      </c>
      <c r="T238" s="31">
        <f t="shared" si="858"/>
        <v>1</v>
      </c>
      <c r="U238" s="31">
        <f t="shared" si="858"/>
        <v>1</v>
      </c>
      <c r="V238" s="31">
        <f t="shared" si="858"/>
        <v>1</v>
      </c>
      <c r="W238" s="31">
        <f t="shared" si="858"/>
        <v>1</v>
      </c>
      <c r="X238" s="31">
        <f t="shared" si="858"/>
        <v>1</v>
      </c>
      <c r="Y238" s="31">
        <f t="shared" si="858"/>
        <v>1</v>
      </c>
      <c r="Z238" s="31">
        <f t="shared" si="858"/>
        <v>1</v>
      </c>
      <c r="AA238" s="31">
        <f t="shared" si="858"/>
        <v>1</v>
      </c>
      <c r="AB238" s="31">
        <f t="shared" si="858"/>
        <v>1</v>
      </c>
      <c r="AC238" s="31">
        <f t="shared" si="858"/>
        <v>1</v>
      </c>
      <c r="AD238" s="31">
        <f t="shared" si="858"/>
        <v>1</v>
      </c>
      <c r="AE238" s="31">
        <f t="shared" si="858"/>
        <v>1</v>
      </c>
      <c r="AF238" s="31">
        <f t="shared" si="858"/>
        <v>1</v>
      </c>
      <c r="AG238" s="31">
        <f t="shared" si="858"/>
        <v>1</v>
      </c>
      <c r="AH238" s="31">
        <f t="shared" si="858"/>
        <v>1</v>
      </c>
      <c r="AI238" s="31">
        <f t="shared" si="858"/>
        <v>1</v>
      </c>
      <c r="AJ238" s="31">
        <f t="shared" si="858"/>
        <v>1</v>
      </c>
      <c r="AK238" s="31">
        <f t="shared" si="858"/>
        <v>1</v>
      </c>
      <c r="AL238" s="31">
        <f t="shared" si="858"/>
        <v>1</v>
      </c>
      <c r="AM238" s="31">
        <f t="shared" si="858"/>
        <v>1</v>
      </c>
      <c r="AN238" s="31">
        <f t="shared" si="858"/>
        <v>1</v>
      </c>
      <c r="AO238" s="31">
        <f t="shared" si="858"/>
        <v>1</v>
      </c>
      <c r="AP238" s="31">
        <f t="shared" si="858"/>
        <v>1</v>
      </c>
      <c r="AQ238" s="31">
        <f t="shared" si="858"/>
        <v>1</v>
      </c>
      <c r="AR238" s="31">
        <f t="shared" si="858"/>
        <v>1</v>
      </c>
      <c r="AS238" s="31">
        <f t="shared" si="858"/>
        <v>1</v>
      </c>
      <c r="AT238" s="31">
        <f t="shared" si="858"/>
        <v>1</v>
      </c>
      <c r="AU238" s="31">
        <f t="shared" si="858"/>
        <v>1</v>
      </c>
      <c r="AV238" s="31">
        <f t="shared" si="858"/>
        <v>1</v>
      </c>
      <c r="AW238" s="31">
        <f t="shared" si="858"/>
        <v>1</v>
      </c>
      <c r="AX238" s="31">
        <f t="shared" si="858"/>
        <v>1</v>
      </c>
      <c r="AY238" s="31">
        <f t="shared" si="858"/>
        <v>1</v>
      </c>
      <c r="AZ238" s="31">
        <f t="shared" si="858"/>
        <v>1</v>
      </c>
      <c r="BA238" s="31">
        <f t="shared" si="858"/>
        <v>1</v>
      </c>
      <c r="BB238" s="31">
        <f t="shared" si="858"/>
        <v>1</v>
      </c>
      <c r="BC238" s="31">
        <f t="shared" si="858"/>
        <v>0</v>
      </c>
      <c r="BD238" s="31">
        <f t="shared" si="858"/>
        <v>0</v>
      </c>
      <c r="BE238" s="31">
        <f t="shared" si="858"/>
        <v>0</v>
      </c>
      <c r="BF238" s="31">
        <f t="shared" si="858"/>
        <v>0</v>
      </c>
      <c r="BG238" s="31">
        <f t="shared" si="858"/>
        <v>0</v>
      </c>
      <c r="BH238" s="31">
        <f t="shared" si="858"/>
        <v>0</v>
      </c>
      <c r="BI238" s="31">
        <f t="shared" si="858"/>
        <v>0</v>
      </c>
      <c r="BJ238" s="31">
        <f t="shared" si="858"/>
        <v>0</v>
      </c>
      <c r="BK238" s="31">
        <f t="shared" si="858"/>
        <v>0</v>
      </c>
      <c r="BL238" s="31">
        <f t="shared" si="858"/>
        <v>0</v>
      </c>
      <c r="BM238" s="31">
        <f t="shared" si="858"/>
        <v>0</v>
      </c>
      <c r="BN238" s="31">
        <f t="shared" si="858"/>
        <v>0</v>
      </c>
      <c r="BO238" s="31">
        <f t="shared" si="858"/>
        <v>0</v>
      </c>
      <c r="BP238" s="31">
        <f t="shared" si="858"/>
        <v>0</v>
      </c>
      <c r="BQ238" s="31">
        <f t="shared" ref="BQ238:CV238" si="859" xml:space="preserve"> BQ$106</f>
        <v>0</v>
      </c>
      <c r="BR238" s="31">
        <f t="shared" si="859"/>
        <v>0</v>
      </c>
      <c r="BS238" s="31">
        <f t="shared" si="859"/>
        <v>0</v>
      </c>
      <c r="BT238" s="31">
        <f t="shared" si="859"/>
        <v>0</v>
      </c>
      <c r="BU238" s="31">
        <f t="shared" si="859"/>
        <v>0</v>
      </c>
      <c r="BV238" s="31">
        <f t="shared" si="859"/>
        <v>0</v>
      </c>
      <c r="BW238" s="31">
        <f t="shared" si="859"/>
        <v>0</v>
      </c>
      <c r="BX238" s="31">
        <f t="shared" si="859"/>
        <v>0</v>
      </c>
      <c r="BY238" s="31">
        <f t="shared" si="859"/>
        <v>0</v>
      </c>
      <c r="BZ238" s="31">
        <f t="shared" si="859"/>
        <v>0</v>
      </c>
      <c r="CA238" s="31">
        <f t="shared" si="859"/>
        <v>0</v>
      </c>
      <c r="CB238" s="31">
        <f t="shared" si="859"/>
        <v>0</v>
      </c>
      <c r="CC238" s="31">
        <f t="shared" si="859"/>
        <v>0</v>
      </c>
      <c r="CD238" s="31">
        <f t="shared" si="859"/>
        <v>0</v>
      </c>
      <c r="CE238" s="31">
        <f t="shared" si="859"/>
        <v>0</v>
      </c>
      <c r="CF238" s="31">
        <f t="shared" si="859"/>
        <v>0</v>
      </c>
      <c r="CG238" s="31">
        <f t="shared" si="859"/>
        <v>0</v>
      </c>
      <c r="CH238" s="31">
        <f t="shared" si="859"/>
        <v>0</v>
      </c>
      <c r="CI238" s="31">
        <f t="shared" si="859"/>
        <v>0</v>
      </c>
      <c r="CJ238" s="31">
        <f t="shared" si="859"/>
        <v>0</v>
      </c>
      <c r="CK238" s="31">
        <f t="shared" si="859"/>
        <v>0</v>
      </c>
      <c r="CL238" s="31">
        <f t="shared" si="859"/>
        <v>0</v>
      </c>
      <c r="CM238" s="31">
        <f t="shared" si="859"/>
        <v>0</v>
      </c>
      <c r="CN238" s="31">
        <f t="shared" si="859"/>
        <v>0</v>
      </c>
      <c r="CO238" s="31">
        <f t="shared" si="859"/>
        <v>0</v>
      </c>
      <c r="CP238" s="31">
        <f t="shared" si="859"/>
        <v>0</v>
      </c>
      <c r="CQ238" s="31">
        <f t="shared" si="859"/>
        <v>0</v>
      </c>
      <c r="CR238" s="31">
        <f t="shared" si="859"/>
        <v>0</v>
      </c>
      <c r="CS238" s="31">
        <f t="shared" si="859"/>
        <v>0</v>
      </c>
      <c r="CT238" s="31">
        <f t="shared" si="859"/>
        <v>0</v>
      </c>
      <c r="CU238" s="31">
        <f t="shared" si="859"/>
        <v>0</v>
      </c>
      <c r="CV238" s="31">
        <f t="shared" si="859"/>
        <v>0</v>
      </c>
    </row>
    <row r="239" spans="1:100" outlineLevel="2" x14ac:dyDescent="0.2">
      <c r="A239" s="227"/>
      <c r="B239" s="227"/>
      <c r="C239" s="228"/>
      <c r="D239" s="229"/>
      <c r="E239" s="230" t="s">
        <v>124</v>
      </c>
      <c r="F239" s="230"/>
      <c r="G239" s="230" t="s">
        <v>14</v>
      </c>
      <c r="H239" s="230"/>
      <c r="I239" s="230"/>
      <c r="J239" s="230">
        <f t="shared" ref="J239:AO239" si="860" xml:space="preserve"> (I239 + I237) * J238</f>
        <v>0</v>
      </c>
      <c r="K239" s="230">
        <f t="shared" si="860"/>
        <v>0</v>
      </c>
      <c r="L239" s="230">
        <f t="shared" si="860"/>
        <v>0</v>
      </c>
      <c r="M239" s="230">
        <f t="shared" si="860"/>
        <v>0</v>
      </c>
      <c r="N239" s="230">
        <f t="shared" si="860"/>
        <v>0</v>
      </c>
      <c r="O239" s="230">
        <f t="shared" si="860"/>
        <v>1</v>
      </c>
      <c r="P239" s="230">
        <f t="shared" si="860"/>
        <v>1</v>
      </c>
      <c r="Q239" s="230">
        <f t="shared" si="860"/>
        <v>2</v>
      </c>
      <c r="R239" s="230">
        <f t="shared" si="860"/>
        <v>2</v>
      </c>
      <c r="S239" s="230">
        <f t="shared" si="860"/>
        <v>3</v>
      </c>
      <c r="T239" s="230">
        <f t="shared" si="860"/>
        <v>3</v>
      </c>
      <c r="U239" s="230">
        <f t="shared" si="860"/>
        <v>4</v>
      </c>
      <c r="V239" s="230">
        <f t="shared" si="860"/>
        <v>4</v>
      </c>
      <c r="W239" s="230">
        <f t="shared" si="860"/>
        <v>5</v>
      </c>
      <c r="X239" s="230">
        <f t="shared" si="860"/>
        <v>5</v>
      </c>
      <c r="Y239" s="230">
        <f t="shared" si="860"/>
        <v>6</v>
      </c>
      <c r="Z239" s="230">
        <f t="shared" si="860"/>
        <v>6</v>
      </c>
      <c r="AA239" s="230">
        <f t="shared" si="860"/>
        <v>7</v>
      </c>
      <c r="AB239" s="230">
        <f t="shared" si="860"/>
        <v>7</v>
      </c>
      <c r="AC239" s="230">
        <f t="shared" si="860"/>
        <v>8</v>
      </c>
      <c r="AD239" s="230">
        <f t="shared" si="860"/>
        <v>8</v>
      </c>
      <c r="AE239" s="230">
        <f t="shared" si="860"/>
        <v>9</v>
      </c>
      <c r="AF239" s="230">
        <f t="shared" si="860"/>
        <v>9</v>
      </c>
      <c r="AG239" s="230">
        <f t="shared" si="860"/>
        <v>10</v>
      </c>
      <c r="AH239" s="230">
        <f t="shared" si="860"/>
        <v>10</v>
      </c>
      <c r="AI239" s="230">
        <f t="shared" si="860"/>
        <v>11</v>
      </c>
      <c r="AJ239" s="230">
        <f t="shared" si="860"/>
        <v>11</v>
      </c>
      <c r="AK239" s="230">
        <f t="shared" si="860"/>
        <v>12</v>
      </c>
      <c r="AL239" s="230">
        <f t="shared" si="860"/>
        <v>12</v>
      </c>
      <c r="AM239" s="230">
        <f t="shared" si="860"/>
        <v>13</v>
      </c>
      <c r="AN239" s="230">
        <f t="shared" si="860"/>
        <v>13</v>
      </c>
      <c r="AO239" s="230">
        <f t="shared" si="860"/>
        <v>14</v>
      </c>
      <c r="AP239" s="230">
        <f t="shared" ref="AP239:BU239" si="861" xml:space="preserve"> (AO239 + AO237) * AP238</f>
        <v>14</v>
      </c>
      <c r="AQ239" s="230">
        <f t="shared" si="861"/>
        <v>15</v>
      </c>
      <c r="AR239" s="230">
        <f t="shared" si="861"/>
        <v>15</v>
      </c>
      <c r="AS239" s="230">
        <f t="shared" si="861"/>
        <v>16</v>
      </c>
      <c r="AT239" s="230">
        <f t="shared" si="861"/>
        <v>16</v>
      </c>
      <c r="AU239" s="230">
        <f t="shared" si="861"/>
        <v>17</v>
      </c>
      <c r="AV239" s="230">
        <f t="shared" si="861"/>
        <v>17</v>
      </c>
      <c r="AW239" s="230">
        <f t="shared" si="861"/>
        <v>18</v>
      </c>
      <c r="AX239" s="230">
        <f t="shared" si="861"/>
        <v>18</v>
      </c>
      <c r="AY239" s="230">
        <f t="shared" si="861"/>
        <v>19</v>
      </c>
      <c r="AZ239" s="230">
        <f t="shared" si="861"/>
        <v>19</v>
      </c>
      <c r="BA239" s="230">
        <f t="shared" si="861"/>
        <v>20</v>
      </c>
      <c r="BB239" s="230">
        <f t="shared" si="861"/>
        <v>20</v>
      </c>
      <c r="BC239" s="230">
        <f t="shared" si="861"/>
        <v>0</v>
      </c>
      <c r="BD239" s="230">
        <f t="shared" si="861"/>
        <v>0</v>
      </c>
      <c r="BE239" s="230">
        <f t="shared" si="861"/>
        <v>0</v>
      </c>
      <c r="BF239" s="230">
        <f t="shared" si="861"/>
        <v>0</v>
      </c>
      <c r="BG239" s="230">
        <f t="shared" si="861"/>
        <v>0</v>
      </c>
      <c r="BH239" s="230">
        <f t="shared" si="861"/>
        <v>0</v>
      </c>
      <c r="BI239" s="230">
        <f t="shared" si="861"/>
        <v>0</v>
      </c>
      <c r="BJ239" s="230">
        <f t="shared" si="861"/>
        <v>0</v>
      </c>
      <c r="BK239" s="230">
        <f t="shared" si="861"/>
        <v>0</v>
      </c>
      <c r="BL239" s="230">
        <f t="shared" si="861"/>
        <v>0</v>
      </c>
      <c r="BM239" s="230">
        <f t="shared" si="861"/>
        <v>0</v>
      </c>
      <c r="BN239" s="230">
        <f t="shared" si="861"/>
        <v>0</v>
      </c>
      <c r="BO239" s="230">
        <f t="shared" si="861"/>
        <v>0</v>
      </c>
      <c r="BP239" s="230">
        <f t="shared" si="861"/>
        <v>0</v>
      </c>
      <c r="BQ239" s="230">
        <f t="shared" si="861"/>
        <v>0</v>
      </c>
      <c r="BR239" s="230">
        <f t="shared" si="861"/>
        <v>0</v>
      </c>
      <c r="BS239" s="230">
        <f t="shared" si="861"/>
        <v>0</v>
      </c>
      <c r="BT239" s="230">
        <f t="shared" si="861"/>
        <v>0</v>
      </c>
      <c r="BU239" s="230">
        <f t="shared" si="861"/>
        <v>0</v>
      </c>
      <c r="BV239" s="230">
        <f t="shared" ref="BV239:CV239" si="862" xml:space="preserve"> (BU239 + BU237) * BV238</f>
        <v>0</v>
      </c>
      <c r="BW239" s="230">
        <f t="shared" si="862"/>
        <v>0</v>
      </c>
      <c r="BX239" s="230">
        <f t="shared" si="862"/>
        <v>0</v>
      </c>
      <c r="BY239" s="230">
        <f t="shared" si="862"/>
        <v>0</v>
      </c>
      <c r="BZ239" s="230">
        <f t="shared" si="862"/>
        <v>0</v>
      </c>
      <c r="CA239" s="230">
        <f t="shared" si="862"/>
        <v>0</v>
      </c>
      <c r="CB239" s="230">
        <f t="shared" si="862"/>
        <v>0</v>
      </c>
      <c r="CC239" s="230">
        <f t="shared" si="862"/>
        <v>0</v>
      </c>
      <c r="CD239" s="230">
        <f t="shared" si="862"/>
        <v>0</v>
      </c>
      <c r="CE239" s="230">
        <f t="shared" si="862"/>
        <v>0</v>
      </c>
      <c r="CF239" s="230">
        <f t="shared" si="862"/>
        <v>0</v>
      </c>
      <c r="CG239" s="230">
        <f t="shared" si="862"/>
        <v>0</v>
      </c>
      <c r="CH239" s="230">
        <f t="shared" si="862"/>
        <v>0</v>
      </c>
      <c r="CI239" s="230">
        <f t="shared" si="862"/>
        <v>0</v>
      </c>
      <c r="CJ239" s="230">
        <f t="shared" si="862"/>
        <v>0</v>
      </c>
      <c r="CK239" s="230">
        <f t="shared" si="862"/>
        <v>0</v>
      </c>
      <c r="CL239" s="230">
        <f t="shared" si="862"/>
        <v>0</v>
      </c>
      <c r="CM239" s="230">
        <f t="shared" si="862"/>
        <v>0</v>
      </c>
      <c r="CN239" s="230">
        <f t="shared" si="862"/>
        <v>0</v>
      </c>
      <c r="CO239" s="230">
        <f t="shared" si="862"/>
        <v>0</v>
      </c>
      <c r="CP239" s="230">
        <f t="shared" si="862"/>
        <v>0</v>
      </c>
      <c r="CQ239" s="230">
        <f t="shared" si="862"/>
        <v>0</v>
      </c>
      <c r="CR239" s="230">
        <f t="shared" si="862"/>
        <v>0</v>
      </c>
      <c r="CS239" s="230">
        <f t="shared" si="862"/>
        <v>0</v>
      </c>
      <c r="CT239" s="230">
        <f t="shared" si="862"/>
        <v>0</v>
      </c>
      <c r="CU239" s="230">
        <f t="shared" si="862"/>
        <v>0</v>
      </c>
      <c r="CV239" s="230">
        <f t="shared" si="862"/>
        <v>0</v>
      </c>
    </row>
    <row r="240" spans="1:100" outlineLevel="1" x14ac:dyDescent="0.2">
      <c r="A240" s="49"/>
      <c r="C240" s="50"/>
      <c r="D240" s="51"/>
      <c r="E240" s="11"/>
      <c r="F240" s="11"/>
      <c r="G240" s="11"/>
      <c r="H240" s="11"/>
      <c r="I240" s="136"/>
      <c r="J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</row>
    <row r="241" spans="1:100" x14ac:dyDescent="0.2">
      <c r="E241" s="9"/>
      <c r="F241" s="9"/>
      <c r="G241" s="9"/>
      <c r="H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</row>
    <row r="242" spans="1:100" x14ac:dyDescent="0.2">
      <c r="A242" s="15" t="s">
        <v>160</v>
      </c>
    </row>
    <row r="243" spans="1:100" outlineLevel="1" x14ac:dyDescent="0.2">
      <c r="E243" s="9"/>
      <c r="F243" s="9"/>
      <c r="G243" s="9"/>
      <c r="H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</row>
    <row r="244" spans="1:100" outlineLevel="1" x14ac:dyDescent="0.2">
      <c r="A244" s="49"/>
      <c r="C244" s="50"/>
      <c r="D244" s="51"/>
      <c r="E244" s="27" t="str">
        <f t="shared" ref="E244:BP244" si="863" xml:space="preserve"> E$20</f>
        <v>Model period beginning</v>
      </c>
      <c r="F244" s="27">
        <f t="shared" si="863"/>
        <v>0</v>
      </c>
      <c r="G244" s="27" t="str">
        <f t="shared" si="863"/>
        <v>date</v>
      </c>
      <c r="H244" s="27">
        <f t="shared" si="863"/>
        <v>0</v>
      </c>
      <c r="I244" s="135">
        <f t="shared" si="863"/>
        <v>0</v>
      </c>
      <c r="J244" s="27">
        <f t="shared" si="863"/>
        <v>44562</v>
      </c>
      <c r="K244" s="27">
        <f t="shared" si="863"/>
        <v>44743</v>
      </c>
      <c r="L244" s="27">
        <f t="shared" si="863"/>
        <v>44927</v>
      </c>
      <c r="M244" s="27">
        <f t="shared" si="863"/>
        <v>45108</v>
      </c>
      <c r="N244" s="27">
        <f t="shared" si="863"/>
        <v>45292</v>
      </c>
      <c r="O244" s="27">
        <f t="shared" si="863"/>
        <v>45474</v>
      </c>
      <c r="P244" s="27">
        <f t="shared" si="863"/>
        <v>45658</v>
      </c>
      <c r="Q244" s="27">
        <f t="shared" si="863"/>
        <v>45839</v>
      </c>
      <c r="R244" s="27">
        <f t="shared" si="863"/>
        <v>46023</v>
      </c>
      <c r="S244" s="27">
        <f t="shared" si="863"/>
        <v>46204</v>
      </c>
      <c r="T244" s="27">
        <f t="shared" si="863"/>
        <v>46388</v>
      </c>
      <c r="U244" s="27">
        <f t="shared" si="863"/>
        <v>46569</v>
      </c>
      <c r="V244" s="27">
        <f t="shared" si="863"/>
        <v>46753</v>
      </c>
      <c r="W244" s="27">
        <f t="shared" si="863"/>
        <v>46935</v>
      </c>
      <c r="X244" s="27">
        <f t="shared" si="863"/>
        <v>47119</v>
      </c>
      <c r="Y244" s="27">
        <f t="shared" si="863"/>
        <v>47300</v>
      </c>
      <c r="Z244" s="27">
        <f t="shared" si="863"/>
        <v>47484</v>
      </c>
      <c r="AA244" s="27">
        <f t="shared" si="863"/>
        <v>47665</v>
      </c>
      <c r="AB244" s="27">
        <f t="shared" si="863"/>
        <v>47849</v>
      </c>
      <c r="AC244" s="27">
        <f t="shared" si="863"/>
        <v>48030</v>
      </c>
      <c r="AD244" s="27">
        <f t="shared" si="863"/>
        <v>48214</v>
      </c>
      <c r="AE244" s="27">
        <f t="shared" si="863"/>
        <v>48396</v>
      </c>
      <c r="AF244" s="27">
        <f t="shared" si="863"/>
        <v>48580</v>
      </c>
      <c r="AG244" s="27">
        <f t="shared" si="863"/>
        <v>48761</v>
      </c>
      <c r="AH244" s="27">
        <f t="shared" si="863"/>
        <v>48945</v>
      </c>
      <c r="AI244" s="27">
        <f t="shared" si="863"/>
        <v>49126</v>
      </c>
      <c r="AJ244" s="27">
        <f t="shared" si="863"/>
        <v>49310</v>
      </c>
      <c r="AK244" s="27">
        <f t="shared" si="863"/>
        <v>49491</v>
      </c>
      <c r="AL244" s="27">
        <f t="shared" si="863"/>
        <v>49675</v>
      </c>
      <c r="AM244" s="27">
        <f t="shared" si="863"/>
        <v>49857</v>
      </c>
      <c r="AN244" s="27">
        <f t="shared" si="863"/>
        <v>50041</v>
      </c>
      <c r="AO244" s="27">
        <f t="shared" si="863"/>
        <v>50222</v>
      </c>
      <c r="AP244" s="27">
        <f t="shared" si="863"/>
        <v>50406</v>
      </c>
      <c r="AQ244" s="27">
        <f t="shared" si="863"/>
        <v>50587</v>
      </c>
      <c r="AR244" s="27">
        <f t="shared" si="863"/>
        <v>50771</v>
      </c>
      <c r="AS244" s="27">
        <f t="shared" si="863"/>
        <v>50952</v>
      </c>
      <c r="AT244" s="27">
        <f t="shared" si="863"/>
        <v>51136</v>
      </c>
      <c r="AU244" s="27">
        <f t="shared" si="863"/>
        <v>51318</v>
      </c>
      <c r="AV244" s="27">
        <f t="shared" si="863"/>
        <v>51502</v>
      </c>
      <c r="AW244" s="27">
        <f t="shared" si="863"/>
        <v>51683</v>
      </c>
      <c r="AX244" s="27">
        <f t="shared" si="863"/>
        <v>51867</v>
      </c>
      <c r="AY244" s="27">
        <f t="shared" si="863"/>
        <v>52048</v>
      </c>
      <c r="AZ244" s="27">
        <f t="shared" si="863"/>
        <v>52232</v>
      </c>
      <c r="BA244" s="27">
        <f t="shared" si="863"/>
        <v>52413</v>
      </c>
      <c r="BB244" s="27">
        <f t="shared" si="863"/>
        <v>52597</v>
      </c>
      <c r="BC244" s="27">
        <f t="shared" si="863"/>
        <v>52779</v>
      </c>
      <c r="BD244" s="27">
        <f t="shared" si="863"/>
        <v>52963</v>
      </c>
      <c r="BE244" s="27">
        <f t="shared" si="863"/>
        <v>53144</v>
      </c>
      <c r="BF244" s="27">
        <f t="shared" si="863"/>
        <v>53328</v>
      </c>
      <c r="BG244" s="27">
        <f t="shared" si="863"/>
        <v>53509</v>
      </c>
      <c r="BH244" s="27">
        <f t="shared" si="863"/>
        <v>53693</v>
      </c>
      <c r="BI244" s="27">
        <f t="shared" si="863"/>
        <v>53874</v>
      </c>
      <c r="BJ244" s="27">
        <f t="shared" si="863"/>
        <v>54058</v>
      </c>
      <c r="BK244" s="27">
        <f t="shared" si="863"/>
        <v>54240</v>
      </c>
      <c r="BL244" s="27">
        <f t="shared" si="863"/>
        <v>54424</v>
      </c>
      <c r="BM244" s="27">
        <f t="shared" si="863"/>
        <v>54605</v>
      </c>
      <c r="BN244" s="27">
        <f t="shared" si="863"/>
        <v>54789</v>
      </c>
      <c r="BO244" s="27">
        <f t="shared" si="863"/>
        <v>54970</v>
      </c>
      <c r="BP244" s="27">
        <f t="shared" si="863"/>
        <v>55154</v>
      </c>
      <c r="BQ244" s="27">
        <f t="shared" ref="BQ244:CV244" si="864" xml:space="preserve"> BQ$20</f>
        <v>55335</v>
      </c>
      <c r="BR244" s="27">
        <f t="shared" si="864"/>
        <v>55519</v>
      </c>
      <c r="BS244" s="27">
        <f t="shared" si="864"/>
        <v>55701</v>
      </c>
      <c r="BT244" s="27">
        <f t="shared" si="864"/>
        <v>55885</v>
      </c>
      <c r="BU244" s="27">
        <f t="shared" si="864"/>
        <v>56066</v>
      </c>
      <c r="BV244" s="27">
        <f t="shared" si="864"/>
        <v>56250</v>
      </c>
      <c r="BW244" s="27">
        <f t="shared" si="864"/>
        <v>56431</v>
      </c>
      <c r="BX244" s="27">
        <f t="shared" si="864"/>
        <v>56615</v>
      </c>
      <c r="BY244" s="27">
        <f t="shared" si="864"/>
        <v>56796</v>
      </c>
      <c r="BZ244" s="27">
        <f t="shared" si="864"/>
        <v>56980</v>
      </c>
      <c r="CA244" s="27">
        <f t="shared" si="864"/>
        <v>57162</v>
      </c>
      <c r="CB244" s="27">
        <f t="shared" si="864"/>
        <v>57346</v>
      </c>
      <c r="CC244" s="27">
        <f t="shared" si="864"/>
        <v>57527</v>
      </c>
      <c r="CD244" s="27">
        <f t="shared" si="864"/>
        <v>57711</v>
      </c>
      <c r="CE244" s="27">
        <f t="shared" si="864"/>
        <v>57892</v>
      </c>
      <c r="CF244" s="27">
        <f t="shared" si="864"/>
        <v>58076</v>
      </c>
      <c r="CG244" s="27">
        <f t="shared" si="864"/>
        <v>58257</v>
      </c>
      <c r="CH244" s="27">
        <f t="shared" si="864"/>
        <v>58441</v>
      </c>
      <c r="CI244" s="27">
        <f t="shared" si="864"/>
        <v>58623</v>
      </c>
      <c r="CJ244" s="27">
        <f t="shared" si="864"/>
        <v>58807</v>
      </c>
      <c r="CK244" s="27">
        <f t="shared" si="864"/>
        <v>58988</v>
      </c>
      <c r="CL244" s="27">
        <f t="shared" si="864"/>
        <v>59172</v>
      </c>
      <c r="CM244" s="27">
        <f t="shared" si="864"/>
        <v>59353</v>
      </c>
      <c r="CN244" s="27">
        <f t="shared" si="864"/>
        <v>59537</v>
      </c>
      <c r="CO244" s="27">
        <f t="shared" si="864"/>
        <v>59718</v>
      </c>
      <c r="CP244" s="27">
        <f t="shared" si="864"/>
        <v>59902</v>
      </c>
      <c r="CQ244" s="27">
        <f t="shared" si="864"/>
        <v>60084</v>
      </c>
      <c r="CR244" s="27">
        <f t="shared" si="864"/>
        <v>60268</v>
      </c>
      <c r="CS244" s="27">
        <f t="shared" si="864"/>
        <v>60449</v>
      </c>
      <c r="CT244" s="27">
        <f t="shared" si="864"/>
        <v>60633</v>
      </c>
      <c r="CU244" s="27">
        <f t="shared" si="864"/>
        <v>60814</v>
      </c>
      <c r="CV244" s="27">
        <f t="shared" si="864"/>
        <v>60998</v>
      </c>
    </row>
    <row r="245" spans="1:100" outlineLevel="1" x14ac:dyDescent="0.2">
      <c r="A245" s="49"/>
      <c r="B245" s="49"/>
      <c r="C245" s="50"/>
      <c r="D245" s="70"/>
      <c r="E245" s="11" t="str">
        <f t="shared" ref="E245:BP245" si="865" xml:space="preserve"> E$25</f>
        <v>Model period ending</v>
      </c>
      <c r="F245" s="11">
        <f t="shared" si="865"/>
        <v>0</v>
      </c>
      <c r="G245" s="11" t="str">
        <f t="shared" si="865"/>
        <v>date</v>
      </c>
      <c r="H245" s="11">
        <f t="shared" si="865"/>
        <v>0</v>
      </c>
      <c r="I245" s="136">
        <f t="shared" si="865"/>
        <v>0</v>
      </c>
      <c r="J245" s="11">
        <f t="shared" si="865"/>
        <v>44742</v>
      </c>
      <c r="K245" s="11">
        <f t="shared" si="865"/>
        <v>44926</v>
      </c>
      <c r="L245" s="11">
        <f t="shared" si="865"/>
        <v>45107</v>
      </c>
      <c r="M245" s="11">
        <f t="shared" si="865"/>
        <v>45291</v>
      </c>
      <c r="N245" s="11">
        <f t="shared" si="865"/>
        <v>45473</v>
      </c>
      <c r="O245" s="11">
        <f t="shared" si="865"/>
        <v>45657</v>
      </c>
      <c r="P245" s="11">
        <f t="shared" si="865"/>
        <v>45838</v>
      </c>
      <c r="Q245" s="11">
        <f t="shared" si="865"/>
        <v>46022</v>
      </c>
      <c r="R245" s="11">
        <f t="shared" si="865"/>
        <v>46203</v>
      </c>
      <c r="S245" s="11">
        <f t="shared" si="865"/>
        <v>46387</v>
      </c>
      <c r="T245" s="11">
        <f t="shared" si="865"/>
        <v>46568</v>
      </c>
      <c r="U245" s="11">
        <f t="shared" si="865"/>
        <v>46752</v>
      </c>
      <c r="V245" s="11">
        <f t="shared" si="865"/>
        <v>46934</v>
      </c>
      <c r="W245" s="11">
        <f t="shared" si="865"/>
        <v>47118</v>
      </c>
      <c r="X245" s="11">
        <f t="shared" si="865"/>
        <v>47299</v>
      </c>
      <c r="Y245" s="11">
        <f t="shared" si="865"/>
        <v>47483</v>
      </c>
      <c r="Z245" s="11">
        <f t="shared" si="865"/>
        <v>47664</v>
      </c>
      <c r="AA245" s="11">
        <f t="shared" si="865"/>
        <v>47848</v>
      </c>
      <c r="AB245" s="11">
        <f t="shared" si="865"/>
        <v>48029</v>
      </c>
      <c r="AC245" s="11">
        <f t="shared" si="865"/>
        <v>48213</v>
      </c>
      <c r="AD245" s="11">
        <f t="shared" si="865"/>
        <v>48395</v>
      </c>
      <c r="AE245" s="11">
        <f t="shared" si="865"/>
        <v>48579</v>
      </c>
      <c r="AF245" s="11">
        <f t="shared" si="865"/>
        <v>48760</v>
      </c>
      <c r="AG245" s="11">
        <f t="shared" si="865"/>
        <v>48944</v>
      </c>
      <c r="AH245" s="11">
        <f t="shared" si="865"/>
        <v>49125</v>
      </c>
      <c r="AI245" s="11">
        <f t="shared" si="865"/>
        <v>49309</v>
      </c>
      <c r="AJ245" s="11">
        <f t="shared" si="865"/>
        <v>49490</v>
      </c>
      <c r="AK245" s="11">
        <f t="shared" si="865"/>
        <v>49674</v>
      </c>
      <c r="AL245" s="11">
        <f t="shared" si="865"/>
        <v>49856</v>
      </c>
      <c r="AM245" s="11">
        <f t="shared" si="865"/>
        <v>50040</v>
      </c>
      <c r="AN245" s="11">
        <f t="shared" si="865"/>
        <v>50221</v>
      </c>
      <c r="AO245" s="11">
        <f t="shared" si="865"/>
        <v>50405</v>
      </c>
      <c r="AP245" s="11">
        <f t="shared" si="865"/>
        <v>50586</v>
      </c>
      <c r="AQ245" s="11">
        <f t="shared" si="865"/>
        <v>50770</v>
      </c>
      <c r="AR245" s="11">
        <f t="shared" si="865"/>
        <v>50951</v>
      </c>
      <c r="AS245" s="11">
        <f t="shared" si="865"/>
        <v>51135</v>
      </c>
      <c r="AT245" s="11">
        <f t="shared" si="865"/>
        <v>51317</v>
      </c>
      <c r="AU245" s="11">
        <f t="shared" si="865"/>
        <v>51501</v>
      </c>
      <c r="AV245" s="11">
        <f t="shared" si="865"/>
        <v>51682</v>
      </c>
      <c r="AW245" s="11">
        <f t="shared" si="865"/>
        <v>51866</v>
      </c>
      <c r="AX245" s="11">
        <f t="shared" si="865"/>
        <v>52047</v>
      </c>
      <c r="AY245" s="11">
        <f t="shared" si="865"/>
        <v>52231</v>
      </c>
      <c r="AZ245" s="11">
        <f t="shared" si="865"/>
        <v>52412</v>
      </c>
      <c r="BA245" s="11">
        <f t="shared" si="865"/>
        <v>52596</v>
      </c>
      <c r="BB245" s="11">
        <f t="shared" si="865"/>
        <v>52778</v>
      </c>
      <c r="BC245" s="11">
        <f t="shared" si="865"/>
        <v>52962</v>
      </c>
      <c r="BD245" s="11">
        <f t="shared" si="865"/>
        <v>53143</v>
      </c>
      <c r="BE245" s="11">
        <f t="shared" si="865"/>
        <v>53327</v>
      </c>
      <c r="BF245" s="11">
        <f t="shared" si="865"/>
        <v>53508</v>
      </c>
      <c r="BG245" s="11">
        <f t="shared" si="865"/>
        <v>53692</v>
      </c>
      <c r="BH245" s="11">
        <f t="shared" si="865"/>
        <v>53873</v>
      </c>
      <c r="BI245" s="11">
        <f t="shared" si="865"/>
        <v>54057</v>
      </c>
      <c r="BJ245" s="11">
        <f t="shared" si="865"/>
        <v>54239</v>
      </c>
      <c r="BK245" s="11">
        <f t="shared" si="865"/>
        <v>54423</v>
      </c>
      <c r="BL245" s="11">
        <f t="shared" si="865"/>
        <v>54604</v>
      </c>
      <c r="BM245" s="11">
        <f t="shared" si="865"/>
        <v>54788</v>
      </c>
      <c r="BN245" s="11">
        <f t="shared" si="865"/>
        <v>54969</v>
      </c>
      <c r="BO245" s="11">
        <f t="shared" si="865"/>
        <v>55153</v>
      </c>
      <c r="BP245" s="11">
        <f t="shared" si="865"/>
        <v>55334</v>
      </c>
      <c r="BQ245" s="11">
        <f t="shared" ref="BQ245:CV245" si="866" xml:space="preserve"> BQ$25</f>
        <v>55518</v>
      </c>
      <c r="BR245" s="11">
        <f t="shared" si="866"/>
        <v>55700</v>
      </c>
      <c r="BS245" s="11">
        <f t="shared" si="866"/>
        <v>55884</v>
      </c>
      <c r="BT245" s="11">
        <f t="shared" si="866"/>
        <v>56065</v>
      </c>
      <c r="BU245" s="11">
        <f t="shared" si="866"/>
        <v>56249</v>
      </c>
      <c r="BV245" s="11">
        <f t="shared" si="866"/>
        <v>56430</v>
      </c>
      <c r="BW245" s="11">
        <f t="shared" si="866"/>
        <v>56614</v>
      </c>
      <c r="BX245" s="11">
        <f t="shared" si="866"/>
        <v>56795</v>
      </c>
      <c r="BY245" s="11">
        <f t="shared" si="866"/>
        <v>56979</v>
      </c>
      <c r="BZ245" s="11">
        <f t="shared" si="866"/>
        <v>57161</v>
      </c>
      <c r="CA245" s="11">
        <f t="shared" si="866"/>
        <v>57345</v>
      </c>
      <c r="CB245" s="11">
        <f t="shared" si="866"/>
        <v>57526</v>
      </c>
      <c r="CC245" s="11">
        <f t="shared" si="866"/>
        <v>57710</v>
      </c>
      <c r="CD245" s="11">
        <f t="shared" si="866"/>
        <v>57891</v>
      </c>
      <c r="CE245" s="11">
        <f t="shared" si="866"/>
        <v>58075</v>
      </c>
      <c r="CF245" s="11">
        <f t="shared" si="866"/>
        <v>58256</v>
      </c>
      <c r="CG245" s="11">
        <f t="shared" si="866"/>
        <v>58440</v>
      </c>
      <c r="CH245" s="11">
        <f t="shared" si="866"/>
        <v>58622</v>
      </c>
      <c r="CI245" s="11">
        <f t="shared" si="866"/>
        <v>58806</v>
      </c>
      <c r="CJ245" s="11">
        <f t="shared" si="866"/>
        <v>58987</v>
      </c>
      <c r="CK245" s="11">
        <f t="shared" si="866"/>
        <v>59171</v>
      </c>
      <c r="CL245" s="11">
        <f t="shared" si="866"/>
        <v>59352</v>
      </c>
      <c r="CM245" s="11">
        <f t="shared" si="866"/>
        <v>59536</v>
      </c>
      <c r="CN245" s="11">
        <f t="shared" si="866"/>
        <v>59717</v>
      </c>
      <c r="CO245" s="11">
        <f t="shared" si="866"/>
        <v>59901</v>
      </c>
      <c r="CP245" s="11">
        <f t="shared" si="866"/>
        <v>60083</v>
      </c>
      <c r="CQ245" s="11">
        <f t="shared" si="866"/>
        <v>60267</v>
      </c>
      <c r="CR245" s="11">
        <f t="shared" si="866"/>
        <v>60448</v>
      </c>
      <c r="CS245" s="11">
        <f t="shared" si="866"/>
        <v>60632</v>
      </c>
      <c r="CT245" s="11">
        <f t="shared" si="866"/>
        <v>60813</v>
      </c>
      <c r="CU245" s="11">
        <f t="shared" si="866"/>
        <v>60997</v>
      </c>
      <c r="CV245" s="11">
        <f t="shared" si="866"/>
        <v>61178</v>
      </c>
    </row>
    <row r="246" spans="1:100" s="188" customFormat="1" outlineLevel="1" x14ac:dyDescent="0.2">
      <c r="A246" s="141"/>
      <c r="B246" s="141"/>
      <c r="C246" s="142"/>
      <c r="D246" s="143"/>
      <c r="E246" s="187" t="s">
        <v>162</v>
      </c>
      <c r="F246" s="187"/>
      <c r="G246" s="187" t="s">
        <v>161</v>
      </c>
      <c r="H246" s="187"/>
      <c r="I246" s="144"/>
      <c r="J246" s="144">
        <f t="shared" ref="J246:AO246" si="867" xml:space="preserve"> J245 - J244 + 1</f>
        <v>181</v>
      </c>
      <c r="K246" s="144">
        <f t="shared" si="867"/>
        <v>184</v>
      </c>
      <c r="L246" s="144">
        <f t="shared" si="867"/>
        <v>181</v>
      </c>
      <c r="M246" s="144">
        <f t="shared" si="867"/>
        <v>184</v>
      </c>
      <c r="N246" s="144">
        <f t="shared" si="867"/>
        <v>182</v>
      </c>
      <c r="O246" s="144">
        <f t="shared" si="867"/>
        <v>184</v>
      </c>
      <c r="P246" s="144">
        <f t="shared" si="867"/>
        <v>181</v>
      </c>
      <c r="Q246" s="144">
        <f t="shared" si="867"/>
        <v>184</v>
      </c>
      <c r="R246" s="144">
        <f t="shared" si="867"/>
        <v>181</v>
      </c>
      <c r="S246" s="144">
        <f t="shared" si="867"/>
        <v>184</v>
      </c>
      <c r="T246" s="144">
        <f t="shared" si="867"/>
        <v>181</v>
      </c>
      <c r="U246" s="144">
        <f t="shared" si="867"/>
        <v>184</v>
      </c>
      <c r="V246" s="144">
        <f t="shared" si="867"/>
        <v>182</v>
      </c>
      <c r="W246" s="144">
        <f t="shared" si="867"/>
        <v>184</v>
      </c>
      <c r="X246" s="144">
        <f t="shared" si="867"/>
        <v>181</v>
      </c>
      <c r="Y246" s="144">
        <f t="shared" si="867"/>
        <v>184</v>
      </c>
      <c r="Z246" s="144">
        <f t="shared" si="867"/>
        <v>181</v>
      </c>
      <c r="AA246" s="144">
        <f t="shared" si="867"/>
        <v>184</v>
      </c>
      <c r="AB246" s="144">
        <f t="shared" si="867"/>
        <v>181</v>
      </c>
      <c r="AC246" s="144">
        <f t="shared" si="867"/>
        <v>184</v>
      </c>
      <c r="AD246" s="144">
        <f t="shared" si="867"/>
        <v>182</v>
      </c>
      <c r="AE246" s="144">
        <f t="shared" si="867"/>
        <v>184</v>
      </c>
      <c r="AF246" s="144">
        <f t="shared" si="867"/>
        <v>181</v>
      </c>
      <c r="AG246" s="144">
        <f t="shared" si="867"/>
        <v>184</v>
      </c>
      <c r="AH246" s="144">
        <f t="shared" si="867"/>
        <v>181</v>
      </c>
      <c r="AI246" s="144">
        <f t="shared" si="867"/>
        <v>184</v>
      </c>
      <c r="AJ246" s="144">
        <f t="shared" si="867"/>
        <v>181</v>
      </c>
      <c r="AK246" s="144">
        <f t="shared" si="867"/>
        <v>184</v>
      </c>
      <c r="AL246" s="144">
        <f t="shared" si="867"/>
        <v>182</v>
      </c>
      <c r="AM246" s="144">
        <f t="shared" si="867"/>
        <v>184</v>
      </c>
      <c r="AN246" s="144">
        <f t="shared" si="867"/>
        <v>181</v>
      </c>
      <c r="AO246" s="144">
        <f t="shared" si="867"/>
        <v>184</v>
      </c>
      <c r="AP246" s="144">
        <f t="shared" ref="AP246:BU246" si="868" xml:space="preserve"> AP245 - AP244 + 1</f>
        <v>181</v>
      </c>
      <c r="AQ246" s="144">
        <f t="shared" si="868"/>
        <v>184</v>
      </c>
      <c r="AR246" s="144">
        <f t="shared" si="868"/>
        <v>181</v>
      </c>
      <c r="AS246" s="144">
        <f t="shared" si="868"/>
        <v>184</v>
      </c>
      <c r="AT246" s="144">
        <f t="shared" si="868"/>
        <v>182</v>
      </c>
      <c r="AU246" s="144">
        <f t="shared" si="868"/>
        <v>184</v>
      </c>
      <c r="AV246" s="144">
        <f t="shared" si="868"/>
        <v>181</v>
      </c>
      <c r="AW246" s="144">
        <f t="shared" si="868"/>
        <v>184</v>
      </c>
      <c r="AX246" s="144">
        <f t="shared" si="868"/>
        <v>181</v>
      </c>
      <c r="AY246" s="144">
        <f t="shared" si="868"/>
        <v>184</v>
      </c>
      <c r="AZ246" s="144">
        <f t="shared" si="868"/>
        <v>181</v>
      </c>
      <c r="BA246" s="144">
        <f t="shared" si="868"/>
        <v>184</v>
      </c>
      <c r="BB246" s="144">
        <f t="shared" si="868"/>
        <v>182</v>
      </c>
      <c r="BC246" s="144">
        <f t="shared" si="868"/>
        <v>184</v>
      </c>
      <c r="BD246" s="144">
        <f t="shared" si="868"/>
        <v>181</v>
      </c>
      <c r="BE246" s="144">
        <f t="shared" si="868"/>
        <v>184</v>
      </c>
      <c r="BF246" s="144">
        <f t="shared" si="868"/>
        <v>181</v>
      </c>
      <c r="BG246" s="144">
        <f t="shared" si="868"/>
        <v>184</v>
      </c>
      <c r="BH246" s="144">
        <f t="shared" si="868"/>
        <v>181</v>
      </c>
      <c r="BI246" s="144">
        <f t="shared" si="868"/>
        <v>184</v>
      </c>
      <c r="BJ246" s="144">
        <f t="shared" si="868"/>
        <v>182</v>
      </c>
      <c r="BK246" s="144">
        <f t="shared" si="868"/>
        <v>184</v>
      </c>
      <c r="BL246" s="144">
        <f t="shared" si="868"/>
        <v>181</v>
      </c>
      <c r="BM246" s="144">
        <f t="shared" si="868"/>
        <v>184</v>
      </c>
      <c r="BN246" s="144">
        <f t="shared" si="868"/>
        <v>181</v>
      </c>
      <c r="BO246" s="144">
        <f t="shared" si="868"/>
        <v>184</v>
      </c>
      <c r="BP246" s="144">
        <f t="shared" si="868"/>
        <v>181</v>
      </c>
      <c r="BQ246" s="144">
        <f t="shared" si="868"/>
        <v>184</v>
      </c>
      <c r="BR246" s="144">
        <f t="shared" si="868"/>
        <v>182</v>
      </c>
      <c r="BS246" s="144">
        <f t="shared" si="868"/>
        <v>184</v>
      </c>
      <c r="BT246" s="144">
        <f t="shared" si="868"/>
        <v>181</v>
      </c>
      <c r="BU246" s="144">
        <f t="shared" si="868"/>
        <v>184</v>
      </c>
      <c r="BV246" s="144">
        <f t="shared" ref="BV246:CV246" si="869" xml:space="preserve"> BV245 - BV244 + 1</f>
        <v>181</v>
      </c>
      <c r="BW246" s="144">
        <f t="shared" si="869"/>
        <v>184</v>
      </c>
      <c r="BX246" s="144">
        <f t="shared" si="869"/>
        <v>181</v>
      </c>
      <c r="BY246" s="144">
        <f t="shared" si="869"/>
        <v>184</v>
      </c>
      <c r="BZ246" s="144">
        <f t="shared" si="869"/>
        <v>182</v>
      </c>
      <c r="CA246" s="144">
        <f t="shared" si="869"/>
        <v>184</v>
      </c>
      <c r="CB246" s="144">
        <f t="shared" si="869"/>
        <v>181</v>
      </c>
      <c r="CC246" s="144">
        <f t="shared" si="869"/>
        <v>184</v>
      </c>
      <c r="CD246" s="144">
        <f t="shared" si="869"/>
        <v>181</v>
      </c>
      <c r="CE246" s="144">
        <f t="shared" si="869"/>
        <v>184</v>
      </c>
      <c r="CF246" s="144">
        <f t="shared" si="869"/>
        <v>181</v>
      </c>
      <c r="CG246" s="144">
        <f t="shared" si="869"/>
        <v>184</v>
      </c>
      <c r="CH246" s="144">
        <f t="shared" si="869"/>
        <v>182</v>
      </c>
      <c r="CI246" s="144">
        <f t="shared" si="869"/>
        <v>184</v>
      </c>
      <c r="CJ246" s="144">
        <f t="shared" si="869"/>
        <v>181</v>
      </c>
      <c r="CK246" s="144">
        <f t="shared" si="869"/>
        <v>184</v>
      </c>
      <c r="CL246" s="144">
        <f t="shared" si="869"/>
        <v>181</v>
      </c>
      <c r="CM246" s="144">
        <f t="shared" si="869"/>
        <v>184</v>
      </c>
      <c r="CN246" s="144">
        <f t="shared" si="869"/>
        <v>181</v>
      </c>
      <c r="CO246" s="144">
        <f t="shared" si="869"/>
        <v>184</v>
      </c>
      <c r="CP246" s="144">
        <f t="shared" si="869"/>
        <v>182</v>
      </c>
      <c r="CQ246" s="144">
        <f t="shared" si="869"/>
        <v>184</v>
      </c>
      <c r="CR246" s="144">
        <f t="shared" si="869"/>
        <v>181</v>
      </c>
      <c r="CS246" s="144">
        <f t="shared" si="869"/>
        <v>184</v>
      </c>
      <c r="CT246" s="144">
        <f t="shared" si="869"/>
        <v>181</v>
      </c>
      <c r="CU246" s="144">
        <f t="shared" si="869"/>
        <v>184</v>
      </c>
      <c r="CV246" s="144">
        <f t="shared" si="869"/>
        <v>181</v>
      </c>
    </row>
    <row r="247" spans="1:100" outlineLevel="1" x14ac:dyDescent="0.2"/>
    <row r="248" spans="1:100" x14ac:dyDescent="0.2">
      <c r="E248" s="9"/>
    </row>
    <row r="249" spans="1:100" s="734" customFormat="1" ht="13.15" customHeight="1" x14ac:dyDescent="0.2">
      <c r="A249" s="522" t="s">
        <v>541</v>
      </c>
      <c r="B249" s="763"/>
      <c r="C249" s="732"/>
      <c r="D249" s="732"/>
      <c r="E249" s="732"/>
      <c r="F249" s="732"/>
      <c r="G249" s="732"/>
      <c r="H249" s="114"/>
      <c r="I249" s="114"/>
      <c r="J249" s="114"/>
      <c r="K249" s="114"/>
      <c r="L249" s="114"/>
      <c r="M249" s="114"/>
      <c r="N249" s="114"/>
      <c r="O249" s="114"/>
      <c r="P249" s="114"/>
      <c r="Q249" s="114"/>
      <c r="R249" s="114"/>
      <c r="S249" s="114"/>
      <c r="T249" s="114"/>
      <c r="U249" s="114"/>
      <c r="V249" s="114"/>
      <c r="W249" s="114"/>
      <c r="X249" s="114"/>
      <c r="Y249" s="114"/>
      <c r="Z249" s="114"/>
      <c r="AA249" s="114"/>
      <c r="AB249" s="114"/>
      <c r="AC249" s="114"/>
      <c r="AD249" s="114"/>
      <c r="AE249" s="114"/>
      <c r="AF249" s="114"/>
      <c r="AG249" s="114"/>
      <c r="AH249" s="114"/>
      <c r="AI249" s="114"/>
      <c r="AJ249" s="114"/>
      <c r="AK249" s="114"/>
      <c r="AL249" s="114"/>
      <c r="AM249" s="114"/>
      <c r="AN249" s="114"/>
      <c r="AO249" s="114"/>
      <c r="AP249" s="114"/>
      <c r="AQ249" s="114"/>
      <c r="AR249" s="114"/>
      <c r="AS249" s="114"/>
      <c r="AT249" s="114"/>
      <c r="AU249" s="114"/>
      <c r="AV249" s="114"/>
      <c r="AW249" s="114"/>
      <c r="AX249" s="114"/>
      <c r="AY249" s="114"/>
      <c r="AZ249" s="114"/>
      <c r="BA249" s="114"/>
      <c r="BB249" s="114"/>
      <c r="BC249" s="114"/>
      <c r="BD249" s="114"/>
      <c r="BE249" s="114"/>
      <c r="BF249" s="114"/>
      <c r="BG249" s="114"/>
      <c r="BH249" s="114"/>
      <c r="BI249" s="114"/>
      <c r="BJ249" s="114"/>
      <c r="BK249" s="114"/>
      <c r="BL249" s="114"/>
      <c r="BM249" s="114"/>
      <c r="BN249" s="114"/>
      <c r="BO249" s="114"/>
      <c r="BP249" s="114"/>
      <c r="BQ249" s="114"/>
      <c r="BR249" s="114"/>
      <c r="BS249" s="114"/>
      <c r="BT249" s="114"/>
      <c r="BU249" s="114"/>
      <c r="BV249" s="114"/>
      <c r="BW249" s="114"/>
      <c r="BX249" s="114"/>
      <c r="BY249" s="114"/>
      <c r="BZ249" s="114"/>
      <c r="CA249" s="114"/>
      <c r="CB249" s="114"/>
      <c r="CC249" s="114"/>
      <c r="CD249" s="114"/>
      <c r="CE249" s="114"/>
      <c r="CF249" s="114"/>
      <c r="CG249" s="114"/>
      <c r="CH249" s="114"/>
      <c r="CI249" s="114"/>
      <c r="CJ249" s="114"/>
      <c r="CK249" s="114"/>
      <c r="CL249" s="114"/>
      <c r="CM249" s="114"/>
      <c r="CN249" s="114"/>
      <c r="CO249" s="114"/>
      <c r="CP249" s="114"/>
      <c r="CQ249" s="114"/>
      <c r="CR249" s="114"/>
      <c r="CS249" s="114"/>
      <c r="CT249" s="114"/>
      <c r="CU249" s="114"/>
      <c r="CV249" s="114"/>
    </row>
    <row r="250" spans="1:100" s="734" customFormat="1" ht="13.15" customHeight="1" outlineLevel="1" x14ac:dyDescent="0.2">
      <c r="A250" s="522"/>
      <c r="B250" s="763"/>
      <c r="C250" s="732"/>
      <c r="D250" s="732"/>
      <c r="E250" s="732"/>
      <c r="F250" s="732"/>
      <c r="G250" s="732"/>
      <c r="H250" s="114"/>
      <c r="I250" s="114"/>
      <c r="J250" s="114"/>
      <c r="K250" s="114"/>
      <c r="L250" s="114"/>
      <c r="M250" s="114"/>
      <c r="N250" s="114"/>
      <c r="O250" s="114"/>
      <c r="P250" s="114"/>
      <c r="Q250" s="114"/>
      <c r="R250" s="114"/>
      <c r="S250" s="114"/>
      <c r="T250" s="114"/>
      <c r="U250" s="114"/>
      <c r="V250" s="114"/>
      <c r="W250" s="114"/>
      <c r="X250" s="114"/>
      <c r="Y250" s="114"/>
      <c r="Z250" s="114"/>
      <c r="AA250" s="114"/>
      <c r="AB250" s="114"/>
      <c r="AC250" s="114"/>
      <c r="AD250" s="114"/>
      <c r="AE250" s="114"/>
      <c r="AF250" s="114"/>
      <c r="AG250" s="114"/>
      <c r="AH250" s="114"/>
      <c r="AI250" s="114"/>
      <c r="AJ250" s="114"/>
      <c r="AK250" s="114"/>
      <c r="AL250" s="114"/>
      <c r="AM250" s="114"/>
      <c r="AN250" s="114"/>
      <c r="AO250" s="114"/>
      <c r="AP250" s="114"/>
      <c r="AQ250" s="114"/>
      <c r="AR250" s="114"/>
      <c r="AS250" s="114"/>
      <c r="AT250" s="114"/>
      <c r="AU250" s="114"/>
      <c r="AV250" s="114"/>
      <c r="AW250" s="114"/>
      <c r="AX250" s="114"/>
      <c r="AY250" s="114"/>
      <c r="AZ250" s="114"/>
      <c r="BA250" s="114"/>
      <c r="BB250" s="114"/>
      <c r="BC250" s="114"/>
      <c r="BD250" s="114"/>
      <c r="BE250" s="114"/>
      <c r="BF250" s="114"/>
      <c r="BG250" s="114"/>
      <c r="BH250" s="114"/>
      <c r="BI250" s="114"/>
      <c r="BJ250" s="114"/>
      <c r="BK250" s="114"/>
      <c r="BL250" s="114"/>
      <c r="BM250" s="114"/>
      <c r="BN250" s="114"/>
      <c r="BO250" s="114"/>
      <c r="BP250" s="114"/>
      <c r="BQ250" s="114"/>
      <c r="BR250" s="114"/>
      <c r="BS250" s="114"/>
      <c r="BT250" s="114"/>
      <c r="BU250" s="114"/>
      <c r="BV250" s="114"/>
      <c r="BW250" s="114"/>
      <c r="BX250" s="114"/>
      <c r="BY250" s="114"/>
      <c r="BZ250" s="114"/>
      <c r="CA250" s="114"/>
      <c r="CB250" s="114"/>
      <c r="CC250" s="114"/>
      <c r="CD250" s="114"/>
      <c r="CE250" s="114"/>
      <c r="CF250" s="114"/>
      <c r="CG250" s="114"/>
      <c r="CH250" s="114"/>
      <c r="CI250" s="114"/>
      <c r="CJ250" s="114"/>
      <c r="CK250" s="114"/>
      <c r="CL250" s="114"/>
      <c r="CM250" s="114"/>
      <c r="CN250" s="114"/>
      <c r="CO250" s="114"/>
      <c r="CP250" s="114"/>
      <c r="CQ250" s="114"/>
      <c r="CR250" s="114"/>
      <c r="CS250" s="114"/>
      <c r="CT250" s="114"/>
      <c r="CU250" s="114"/>
      <c r="CV250" s="114"/>
    </row>
    <row r="251" spans="1:100" s="734" customFormat="1" ht="13.15" customHeight="1" outlineLevel="1" x14ac:dyDescent="0.2">
      <c r="A251" s="522"/>
      <c r="B251" s="763"/>
      <c r="C251" s="732"/>
      <c r="D251" s="732"/>
      <c r="E251" s="802" t="str">
        <f xml:space="preserve"> InpC!E$159</f>
        <v>Equity bridge repaid at end construction?</v>
      </c>
      <c r="F251" s="802">
        <f xml:space="preserve"> InpC!F$159</f>
        <v>1</v>
      </c>
      <c r="G251" s="802" t="str">
        <f xml:space="preserve"> InpC!G$159</f>
        <v>1 = yes, 0 = no</v>
      </c>
      <c r="H251" s="114"/>
      <c r="I251" s="114"/>
      <c r="J251" s="114"/>
      <c r="K251" s="114"/>
      <c r="L251" s="114"/>
      <c r="M251" s="114"/>
      <c r="N251" s="114"/>
      <c r="O251" s="114"/>
      <c r="P251" s="114"/>
      <c r="Q251" s="114"/>
      <c r="R251" s="114"/>
      <c r="S251" s="114"/>
      <c r="T251" s="114"/>
      <c r="U251" s="114"/>
      <c r="V251" s="114"/>
      <c r="W251" s="114"/>
      <c r="X251" s="114"/>
      <c r="Y251" s="114"/>
      <c r="Z251" s="114"/>
      <c r="AA251" s="114"/>
      <c r="AB251" s="114"/>
      <c r="AC251" s="114"/>
      <c r="AD251" s="114"/>
      <c r="AE251" s="114"/>
      <c r="AF251" s="114"/>
      <c r="AG251" s="114"/>
      <c r="AH251" s="114"/>
      <c r="AI251" s="114"/>
      <c r="AJ251" s="114"/>
      <c r="AK251" s="114"/>
      <c r="AL251" s="114"/>
      <c r="AM251" s="114"/>
      <c r="AN251" s="114"/>
      <c r="AO251" s="114"/>
      <c r="AP251" s="114"/>
      <c r="AQ251" s="114"/>
      <c r="AR251" s="114"/>
      <c r="AS251" s="114"/>
      <c r="AT251" s="114"/>
      <c r="AU251" s="114"/>
      <c r="AV251" s="114"/>
      <c r="AW251" s="114"/>
      <c r="AX251" s="114"/>
      <c r="AY251" s="114"/>
      <c r="AZ251" s="114"/>
      <c r="BA251" s="114"/>
      <c r="BB251" s="114"/>
      <c r="BC251" s="114"/>
      <c r="BD251" s="114"/>
      <c r="BE251" s="114"/>
      <c r="BF251" s="114"/>
      <c r="BG251" s="114"/>
      <c r="BH251" s="114"/>
      <c r="BI251" s="114"/>
      <c r="BJ251" s="114"/>
      <c r="BK251" s="114"/>
      <c r="BL251" s="114"/>
      <c r="BM251" s="114"/>
      <c r="BN251" s="114"/>
      <c r="BO251" s="114"/>
      <c r="BP251" s="114"/>
      <c r="BQ251" s="114"/>
      <c r="BR251" s="114"/>
      <c r="BS251" s="114"/>
      <c r="BT251" s="114"/>
      <c r="BU251" s="114"/>
      <c r="BV251" s="114"/>
      <c r="BW251" s="114"/>
      <c r="BX251" s="114"/>
      <c r="BY251" s="114"/>
      <c r="BZ251" s="114"/>
      <c r="CA251" s="114"/>
      <c r="CB251" s="114"/>
      <c r="CC251" s="114"/>
      <c r="CD251" s="114"/>
      <c r="CE251" s="114"/>
      <c r="CF251" s="114"/>
      <c r="CG251" s="114"/>
      <c r="CH251" s="114"/>
      <c r="CI251" s="114"/>
      <c r="CJ251" s="114"/>
      <c r="CK251" s="114"/>
      <c r="CL251" s="114"/>
      <c r="CM251" s="114"/>
      <c r="CN251" s="114"/>
      <c r="CO251" s="114"/>
      <c r="CP251" s="114"/>
      <c r="CQ251" s="114"/>
      <c r="CR251" s="114"/>
      <c r="CS251" s="114"/>
      <c r="CT251" s="114"/>
      <c r="CU251" s="114"/>
      <c r="CV251" s="114"/>
    </row>
    <row r="252" spans="1:100" s="734" customFormat="1" ht="13.15" customHeight="1" outlineLevel="1" x14ac:dyDescent="0.2">
      <c r="A252" s="787"/>
      <c r="B252" s="787"/>
      <c r="C252" s="787"/>
      <c r="D252" s="787"/>
      <c r="E252" s="803" t="str">
        <f xml:space="preserve"> ConTime!E$73</f>
        <v>End of construction period date</v>
      </c>
      <c r="F252" s="803">
        <f xml:space="preserve"> ConTime!F$73</f>
        <v>45473</v>
      </c>
      <c r="G252" s="803" t="str">
        <f xml:space="preserve"> ConTime!G$73</f>
        <v>date</v>
      </c>
      <c r="H252" s="788"/>
      <c r="I252" s="788"/>
      <c r="J252" s="788"/>
      <c r="K252" s="788"/>
      <c r="L252" s="788"/>
      <c r="M252" s="788"/>
      <c r="N252" s="788"/>
      <c r="O252" s="788"/>
      <c r="P252" s="788"/>
      <c r="Q252" s="788"/>
      <c r="R252" s="788"/>
      <c r="S252" s="788"/>
      <c r="T252" s="788"/>
      <c r="U252" s="788"/>
      <c r="V252" s="788"/>
      <c r="W252" s="788"/>
      <c r="X252" s="788"/>
      <c r="Y252" s="788"/>
      <c r="Z252" s="788"/>
      <c r="AA252" s="788"/>
      <c r="AB252" s="788"/>
      <c r="AC252" s="788"/>
      <c r="AD252" s="788"/>
      <c r="AE252" s="788"/>
      <c r="AF252" s="788"/>
      <c r="AG252" s="788"/>
      <c r="AH252" s="788"/>
      <c r="AI252" s="788"/>
      <c r="AJ252" s="788"/>
      <c r="AK252" s="788"/>
      <c r="AL252" s="788"/>
      <c r="AM252" s="788"/>
      <c r="AN252" s="788"/>
      <c r="AO252" s="788"/>
      <c r="AP252" s="788"/>
      <c r="AQ252" s="788"/>
      <c r="AR252" s="788"/>
      <c r="AS252" s="788"/>
      <c r="AT252" s="788"/>
      <c r="AU252" s="788"/>
      <c r="AV252" s="788"/>
      <c r="AW252" s="788"/>
      <c r="AX252" s="788"/>
      <c r="AY252" s="788"/>
      <c r="AZ252" s="788"/>
      <c r="BA252" s="788"/>
      <c r="BB252" s="788"/>
      <c r="BC252" s="788"/>
      <c r="BD252" s="788"/>
      <c r="BE252" s="788"/>
      <c r="BF252" s="788"/>
      <c r="BG252" s="788"/>
      <c r="BH252" s="788"/>
      <c r="BI252" s="788"/>
      <c r="BJ252" s="788"/>
      <c r="BK252" s="788"/>
      <c r="BL252" s="788"/>
      <c r="BM252" s="788"/>
      <c r="BN252" s="788"/>
      <c r="BO252" s="788"/>
      <c r="BP252" s="788"/>
      <c r="BQ252" s="788"/>
      <c r="BR252" s="788"/>
      <c r="BS252" s="788"/>
      <c r="BT252" s="788"/>
      <c r="BU252" s="788"/>
      <c r="BV252" s="788"/>
      <c r="BW252" s="788"/>
      <c r="BX252" s="788"/>
      <c r="BY252" s="788"/>
      <c r="BZ252" s="788"/>
      <c r="CA252" s="788"/>
      <c r="CB252" s="788"/>
      <c r="CC252" s="788"/>
      <c r="CD252" s="788"/>
      <c r="CE252" s="788"/>
      <c r="CF252" s="788"/>
      <c r="CG252" s="788"/>
      <c r="CH252" s="788"/>
      <c r="CI252" s="788"/>
      <c r="CJ252" s="788"/>
      <c r="CK252" s="788"/>
      <c r="CL252" s="788"/>
      <c r="CM252" s="788"/>
      <c r="CN252" s="788"/>
      <c r="CO252" s="788"/>
      <c r="CP252" s="788"/>
      <c r="CQ252" s="788"/>
      <c r="CR252" s="788"/>
      <c r="CS252" s="788"/>
      <c r="CT252" s="788"/>
      <c r="CU252" s="788"/>
      <c r="CV252" s="788"/>
    </row>
    <row r="253" spans="1:100" s="734" customFormat="1" ht="13.15" customHeight="1" outlineLevel="1" x14ac:dyDescent="0.2">
      <c r="A253" s="787"/>
      <c r="B253" s="787"/>
      <c r="C253" s="787"/>
      <c r="D253" s="787"/>
      <c r="E253" s="792" t="str">
        <f xml:space="preserve"> InpC!E$160</f>
        <v>Term of equity bridge beyond PCOD</v>
      </c>
      <c r="F253" s="792">
        <f xml:space="preserve"> InpC!F$160</f>
        <v>0</v>
      </c>
      <c r="G253" s="792" t="str">
        <f xml:space="preserve"> InpC!G$160</f>
        <v>years</v>
      </c>
      <c r="H253" s="788"/>
      <c r="I253" s="788"/>
      <c r="J253" s="788"/>
      <c r="K253" s="788"/>
      <c r="L253" s="788"/>
      <c r="M253" s="788"/>
      <c r="N253" s="788"/>
      <c r="O253" s="788"/>
      <c r="P253" s="788"/>
      <c r="Q253" s="788"/>
      <c r="R253" s="788"/>
      <c r="S253" s="788"/>
      <c r="T253" s="788"/>
      <c r="U253" s="788"/>
      <c r="V253" s="788"/>
      <c r="W253" s="788"/>
      <c r="X253" s="788"/>
      <c r="Y253" s="788"/>
      <c r="Z253" s="788"/>
      <c r="AA253" s="788"/>
      <c r="AB253" s="788"/>
      <c r="AC253" s="788"/>
      <c r="AD253" s="788"/>
      <c r="AE253" s="788"/>
      <c r="AF253" s="788"/>
      <c r="AG253" s="788"/>
      <c r="AH253" s="788"/>
      <c r="AI253" s="788"/>
      <c r="AJ253" s="788"/>
      <c r="AK253" s="788"/>
      <c r="AL253" s="788"/>
      <c r="AM253" s="788"/>
      <c r="AN253" s="788"/>
      <c r="AO253" s="788"/>
      <c r="AP253" s="788"/>
      <c r="AQ253" s="788"/>
      <c r="AR253" s="788"/>
      <c r="AS253" s="788"/>
      <c r="AT253" s="788"/>
      <c r="AU253" s="788"/>
      <c r="AV253" s="788"/>
      <c r="AW253" s="788"/>
      <c r="AX253" s="788"/>
      <c r="AY253" s="788"/>
      <c r="AZ253" s="788"/>
      <c r="BA253" s="788"/>
      <c r="BB253" s="788"/>
      <c r="BC253" s="788"/>
      <c r="BD253" s="788"/>
      <c r="BE253" s="788"/>
      <c r="BF253" s="788"/>
      <c r="BG253" s="788"/>
      <c r="BH253" s="788"/>
      <c r="BI253" s="788"/>
      <c r="BJ253" s="788"/>
      <c r="BK253" s="788"/>
      <c r="BL253" s="788"/>
      <c r="BM253" s="788"/>
      <c r="BN253" s="788"/>
      <c r="BO253" s="788"/>
      <c r="BP253" s="788"/>
      <c r="BQ253" s="788"/>
      <c r="BR253" s="788"/>
      <c r="BS253" s="788"/>
      <c r="BT253" s="788"/>
      <c r="BU253" s="788"/>
      <c r="BV253" s="788"/>
      <c r="BW253" s="788"/>
      <c r="BX253" s="788"/>
      <c r="BY253" s="788"/>
      <c r="BZ253" s="788"/>
      <c r="CA253" s="788"/>
      <c r="CB253" s="788"/>
      <c r="CC253" s="788"/>
      <c r="CD253" s="788"/>
      <c r="CE253" s="788"/>
      <c r="CF253" s="788"/>
      <c r="CG253" s="788"/>
      <c r="CH253" s="788"/>
      <c r="CI253" s="788"/>
      <c r="CJ253" s="788"/>
      <c r="CK253" s="788"/>
      <c r="CL253" s="788"/>
      <c r="CM253" s="788"/>
      <c r="CN253" s="788"/>
      <c r="CO253" s="788"/>
      <c r="CP253" s="788"/>
      <c r="CQ253" s="788"/>
      <c r="CR253" s="788"/>
      <c r="CS253" s="788"/>
      <c r="CT253" s="788"/>
      <c r="CU253" s="788"/>
      <c r="CV253" s="788"/>
    </row>
    <row r="254" spans="1:100" s="734" customFormat="1" ht="13.15" customHeight="1" outlineLevel="1" x14ac:dyDescent="0.2">
      <c r="A254" s="787"/>
      <c r="B254" s="787"/>
      <c r="C254" s="787"/>
      <c r="D254" s="787"/>
      <c r="E254" s="792" t="str">
        <f xml:space="preserve"> InpC!E$412</f>
        <v>Months in year</v>
      </c>
      <c r="F254" s="792">
        <f xml:space="preserve"> InpC!F$412</f>
        <v>12</v>
      </c>
      <c r="G254" s="792" t="str">
        <f xml:space="preserve"> InpC!G$412</f>
        <v>months</v>
      </c>
      <c r="H254" s="788"/>
      <c r="I254" s="788"/>
      <c r="J254" s="788"/>
      <c r="K254" s="788"/>
      <c r="L254" s="788"/>
      <c r="M254" s="788"/>
      <c r="N254" s="788"/>
      <c r="O254" s="788"/>
      <c r="P254" s="788"/>
      <c r="Q254" s="788"/>
      <c r="R254" s="788"/>
      <c r="S254" s="788"/>
      <c r="T254" s="788"/>
      <c r="U254" s="788"/>
      <c r="V254" s="788"/>
      <c r="W254" s="788"/>
      <c r="X254" s="788"/>
      <c r="Y254" s="788"/>
      <c r="Z254" s="788"/>
      <c r="AA254" s="788"/>
      <c r="AB254" s="788"/>
      <c r="AC254" s="788"/>
      <c r="AD254" s="788"/>
      <c r="AE254" s="788"/>
      <c r="AF254" s="788"/>
      <c r="AG254" s="788"/>
      <c r="AH254" s="788"/>
      <c r="AI254" s="788"/>
      <c r="AJ254" s="788"/>
      <c r="AK254" s="788"/>
      <c r="AL254" s="788"/>
      <c r="AM254" s="788"/>
      <c r="AN254" s="788"/>
      <c r="AO254" s="788"/>
      <c r="AP254" s="788"/>
      <c r="AQ254" s="788"/>
      <c r="AR254" s="788"/>
      <c r="AS254" s="788"/>
      <c r="AT254" s="788"/>
      <c r="AU254" s="788"/>
      <c r="AV254" s="788"/>
      <c r="AW254" s="788"/>
      <c r="AX254" s="788"/>
      <c r="AY254" s="788"/>
      <c r="AZ254" s="788"/>
      <c r="BA254" s="788"/>
      <c r="BB254" s="788"/>
      <c r="BC254" s="788"/>
      <c r="BD254" s="788"/>
      <c r="BE254" s="788"/>
      <c r="BF254" s="788"/>
      <c r="BG254" s="788"/>
      <c r="BH254" s="788"/>
      <c r="BI254" s="788"/>
      <c r="BJ254" s="788"/>
      <c r="BK254" s="788"/>
      <c r="BL254" s="788"/>
      <c r="BM254" s="788"/>
      <c r="BN254" s="788"/>
      <c r="BO254" s="788"/>
      <c r="BP254" s="788"/>
      <c r="BQ254" s="788"/>
      <c r="BR254" s="788"/>
      <c r="BS254" s="788"/>
      <c r="BT254" s="788"/>
      <c r="BU254" s="788"/>
      <c r="BV254" s="788"/>
      <c r="BW254" s="788"/>
      <c r="BX254" s="788"/>
      <c r="BY254" s="788"/>
      <c r="BZ254" s="788"/>
      <c r="CA254" s="788"/>
      <c r="CB254" s="788"/>
      <c r="CC254" s="788"/>
      <c r="CD254" s="788"/>
      <c r="CE254" s="788"/>
      <c r="CF254" s="788"/>
      <c r="CG254" s="788"/>
      <c r="CH254" s="788"/>
      <c r="CI254" s="788"/>
      <c r="CJ254" s="788"/>
      <c r="CK254" s="788"/>
      <c r="CL254" s="788"/>
      <c r="CM254" s="788"/>
      <c r="CN254" s="788"/>
      <c r="CO254" s="788"/>
      <c r="CP254" s="788"/>
      <c r="CQ254" s="788"/>
      <c r="CR254" s="788"/>
      <c r="CS254" s="788"/>
      <c r="CT254" s="788"/>
      <c r="CU254" s="788"/>
      <c r="CV254" s="788"/>
    </row>
    <row r="255" spans="1:100" s="340" customFormat="1" ht="13.15" customHeight="1" outlineLevel="1" x14ac:dyDescent="0.2">
      <c r="A255" s="331"/>
      <c r="B255" s="331"/>
      <c r="C255" s="331"/>
      <c r="D255" s="331"/>
      <c r="E255" s="873" t="s">
        <v>542</v>
      </c>
      <c r="F255" s="442">
        <f xml:space="preserve"> IF(F251 = 1, F252, EOMONTH(F252, F253 * F254))</f>
        <v>45473</v>
      </c>
      <c r="G255" s="873" t="s">
        <v>6</v>
      </c>
    </row>
    <row r="256" spans="1:100" s="734" customFormat="1" ht="13.15" customHeight="1" outlineLevel="1" x14ac:dyDescent="0.2">
      <c r="A256" s="732"/>
      <c r="B256" s="732"/>
      <c r="C256" s="732"/>
      <c r="D256" s="732"/>
      <c r="E256" s="732"/>
      <c r="F256" s="732"/>
      <c r="G256" s="732"/>
      <c r="H256" s="114"/>
      <c r="I256" s="114"/>
      <c r="J256" s="114"/>
      <c r="K256" s="114"/>
      <c r="L256" s="114"/>
      <c r="M256" s="114"/>
      <c r="N256" s="114"/>
      <c r="O256" s="114"/>
      <c r="P256" s="114"/>
      <c r="Q256" s="114"/>
      <c r="R256" s="114"/>
      <c r="S256" s="114"/>
      <c r="T256" s="114"/>
      <c r="U256" s="114"/>
      <c r="V256" s="114"/>
      <c r="W256" s="114"/>
      <c r="X256" s="114"/>
      <c r="Y256" s="114"/>
      <c r="Z256" s="114"/>
      <c r="AA256" s="114"/>
      <c r="AB256" s="114"/>
      <c r="AC256" s="114"/>
      <c r="AD256" s="114"/>
      <c r="AE256" s="114"/>
      <c r="AF256" s="114"/>
      <c r="AG256" s="114"/>
      <c r="AH256" s="114"/>
      <c r="AI256" s="114"/>
      <c r="AJ256" s="114"/>
      <c r="AK256" s="114"/>
      <c r="AL256" s="114"/>
      <c r="AM256" s="114"/>
      <c r="AN256" s="114"/>
      <c r="AO256" s="114"/>
      <c r="AP256" s="114"/>
      <c r="AQ256" s="114"/>
      <c r="AR256" s="114"/>
      <c r="AS256" s="114"/>
      <c r="AT256" s="114"/>
      <c r="AU256" s="114"/>
      <c r="AV256" s="114"/>
      <c r="AW256" s="114"/>
      <c r="AX256" s="114"/>
      <c r="AY256" s="114"/>
      <c r="AZ256" s="114"/>
      <c r="BA256" s="114"/>
      <c r="BB256" s="114"/>
      <c r="BC256" s="114"/>
      <c r="BD256" s="114"/>
      <c r="BE256" s="114"/>
      <c r="BF256" s="114"/>
      <c r="BG256" s="114"/>
      <c r="BH256" s="114"/>
      <c r="BI256" s="114"/>
      <c r="BJ256" s="114"/>
      <c r="BK256" s="114"/>
      <c r="BL256" s="114"/>
      <c r="BM256" s="114"/>
      <c r="BN256" s="114"/>
      <c r="BO256" s="114"/>
      <c r="BP256" s="114"/>
      <c r="BQ256" s="114"/>
      <c r="BR256" s="114"/>
      <c r="BS256" s="114"/>
      <c r="BT256" s="114"/>
      <c r="BU256" s="114"/>
      <c r="BV256" s="114"/>
      <c r="BW256" s="114"/>
      <c r="BX256" s="114"/>
      <c r="BY256" s="114"/>
      <c r="BZ256" s="114"/>
      <c r="CA256" s="114"/>
      <c r="CB256" s="114"/>
      <c r="CC256" s="114"/>
      <c r="CD256" s="114"/>
      <c r="CE256" s="114"/>
      <c r="CF256" s="114"/>
      <c r="CG256" s="114"/>
      <c r="CH256" s="114"/>
      <c r="CI256" s="114"/>
      <c r="CJ256" s="114"/>
      <c r="CK256" s="114"/>
      <c r="CL256" s="114"/>
      <c r="CM256" s="114"/>
      <c r="CN256" s="114"/>
      <c r="CO256" s="114"/>
      <c r="CP256" s="114"/>
      <c r="CQ256" s="114"/>
      <c r="CR256" s="114"/>
      <c r="CS256" s="114"/>
      <c r="CT256" s="114"/>
      <c r="CU256" s="114"/>
      <c r="CV256" s="114"/>
    </row>
    <row r="257" spans="1:100" s="734" customFormat="1" ht="13.15" customHeight="1" outlineLevel="1" x14ac:dyDescent="0.2">
      <c r="A257" s="732"/>
      <c r="B257" s="732"/>
      <c r="C257" s="732"/>
      <c r="D257" s="732"/>
      <c r="E257" s="137" t="str">
        <f xml:space="preserve"> E$255</f>
        <v>Equity bridge repayment date</v>
      </c>
      <c r="F257" s="137">
        <f xml:space="preserve"> F$255</f>
        <v>45473</v>
      </c>
      <c r="G257" s="137" t="str">
        <f xml:space="preserve"> G$255</f>
        <v>date</v>
      </c>
      <c r="H257" s="114"/>
      <c r="I257" s="114"/>
      <c r="J257" s="114"/>
      <c r="K257" s="114"/>
      <c r="L257" s="114"/>
      <c r="M257" s="114"/>
      <c r="N257" s="114"/>
      <c r="O257" s="114"/>
      <c r="P257" s="114"/>
      <c r="Q257" s="114"/>
      <c r="R257" s="114"/>
      <c r="S257" s="114"/>
      <c r="T257" s="114"/>
      <c r="U257" s="114"/>
      <c r="V257" s="114"/>
      <c r="W257" s="114"/>
      <c r="X257" s="114"/>
      <c r="Y257" s="114"/>
      <c r="Z257" s="114"/>
      <c r="AA257" s="114"/>
      <c r="AB257" s="114"/>
      <c r="AC257" s="114"/>
      <c r="AD257" s="114"/>
      <c r="AE257" s="114"/>
      <c r="AF257" s="114"/>
      <c r="AG257" s="114"/>
      <c r="AH257" s="114"/>
      <c r="AI257" s="114"/>
      <c r="AJ257" s="114"/>
      <c r="AK257" s="114"/>
      <c r="AL257" s="114"/>
      <c r="AM257" s="114"/>
      <c r="AN257" s="114"/>
      <c r="AO257" s="114"/>
      <c r="AP257" s="114"/>
      <c r="AQ257" s="114"/>
      <c r="AR257" s="114"/>
      <c r="AS257" s="114"/>
      <c r="AT257" s="114"/>
      <c r="AU257" s="114"/>
      <c r="AV257" s="114"/>
      <c r="AW257" s="114"/>
      <c r="AX257" s="114"/>
      <c r="AY257" s="114"/>
      <c r="AZ257" s="114"/>
      <c r="BA257" s="114"/>
      <c r="BB257" s="114"/>
      <c r="BC257" s="114"/>
      <c r="BD257" s="114"/>
      <c r="BE257" s="114"/>
      <c r="BF257" s="114"/>
      <c r="BG257" s="114"/>
      <c r="BH257" s="114"/>
      <c r="BI257" s="114"/>
      <c r="BJ257" s="114"/>
      <c r="BK257" s="114"/>
      <c r="BL257" s="114"/>
      <c r="BM257" s="114"/>
      <c r="BN257" s="114"/>
      <c r="BO257" s="114"/>
      <c r="BP257" s="114"/>
      <c r="BQ257" s="114"/>
      <c r="BR257" s="114"/>
      <c r="BS257" s="114"/>
      <c r="BT257" s="114"/>
      <c r="BU257" s="114"/>
      <c r="BV257" s="114"/>
      <c r="BW257" s="114"/>
      <c r="BX257" s="114"/>
      <c r="BY257" s="114"/>
      <c r="BZ257" s="114"/>
      <c r="CA257" s="114"/>
      <c r="CB257" s="114"/>
      <c r="CC257" s="114"/>
      <c r="CD257" s="114"/>
      <c r="CE257" s="114"/>
      <c r="CF257" s="114"/>
      <c r="CG257" s="114"/>
      <c r="CH257" s="114"/>
      <c r="CI257" s="114"/>
      <c r="CJ257" s="114"/>
      <c r="CK257" s="114"/>
      <c r="CL257" s="114"/>
      <c r="CM257" s="114"/>
      <c r="CN257" s="114"/>
      <c r="CO257" s="114"/>
      <c r="CP257" s="114"/>
      <c r="CQ257" s="114"/>
      <c r="CR257" s="114"/>
      <c r="CS257" s="114"/>
      <c r="CT257" s="114"/>
      <c r="CU257" s="114"/>
      <c r="CV257" s="114"/>
    </row>
    <row r="258" spans="1:100" s="114" customFormat="1" outlineLevel="1" x14ac:dyDescent="0.2">
      <c r="A258" s="49"/>
      <c r="B258" s="49"/>
      <c r="C258" s="50"/>
      <c r="D258" s="70"/>
      <c r="E258" s="136" t="str">
        <f xml:space="preserve"> Time!E$25</f>
        <v>Model period ending</v>
      </c>
      <c r="F258" s="11">
        <f xml:space="preserve"> Time!F$25</f>
        <v>0</v>
      </c>
      <c r="G258" s="11" t="str">
        <f xml:space="preserve"> Time!G$25</f>
        <v>date</v>
      </c>
      <c r="H258" s="11">
        <f xml:space="preserve"> Time!H$25</f>
        <v>0</v>
      </c>
      <c r="I258" s="136">
        <f xml:space="preserve"> Time!I$25</f>
        <v>0</v>
      </c>
      <c r="J258" s="11">
        <f xml:space="preserve"> Time!J$25</f>
        <v>44742</v>
      </c>
      <c r="K258" s="11">
        <f xml:space="preserve"> Time!K$25</f>
        <v>44926</v>
      </c>
      <c r="L258" s="11">
        <f xml:space="preserve"> Time!L$25</f>
        <v>45107</v>
      </c>
      <c r="M258" s="11">
        <f xml:space="preserve"> Time!M$25</f>
        <v>45291</v>
      </c>
      <c r="N258" s="11">
        <f xml:space="preserve"> Time!N$25</f>
        <v>45473</v>
      </c>
      <c r="O258" s="11">
        <f xml:space="preserve"> Time!O$25</f>
        <v>45657</v>
      </c>
      <c r="P258" s="11">
        <f xml:space="preserve"> Time!P$25</f>
        <v>45838</v>
      </c>
      <c r="Q258" s="11">
        <f xml:space="preserve"> Time!Q$25</f>
        <v>46022</v>
      </c>
      <c r="R258" s="11">
        <f xml:space="preserve"> Time!R$25</f>
        <v>46203</v>
      </c>
      <c r="S258" s="11">
        <f xml:space="preserve"> Time!S$25</f>
        <v>46387</v>
      </c>
      <c r="T258" s="11">
        <f xml:space="preserve"> Time!T$25</f>
        <v>46568</v>
      </c>
      <c r="U258" s="11">
        <f xml:space="preserve"> Time!U$25</f>
        <v>46752</v>
      </c>
      <c r="V258" s="11">
        <f xml:space="preserve"> Time!V$25</f>
        <v>46934</v>
      </c>
      <c r="W258" s="11">
        <f xml:space="preserve"> Time!W$25</f>
        <v>47118</v>
      </c>
      <c r="X258" s="11">
        <f xml:space="preserve"> Time!X$25</f>
        <v>47299</v>
      </c>
      <c r="Y258" s="11">
        <f xml:space="preserve"> Time!Y$25</f>
        <v>47483</v>
      </c>
      <c r="Z258" s="11">
        <f xml:space="preserve"> Time!Z$25</f>
        <v>47664</v>
      </c>
      <c r="AA258" s="11">
        <f xml:space="preserve"> Time!AA$25</f>
        <v>47848</v>
      </c>
      <c r="AB258" s="11">
        <f xml:space="preserve"> Time!AB$25</f>
        <v>48029</v>
      </c>
      <c r="AC258" s="11">
        <f xml:space="preserve"> Time!AC$25</f>
        <v>48213</v>
      </c>
      <c r="AD258" s="11">
        <f xml:space="preserve"> Time!AD$25</f>
        <v>48395</v>
      </c>
      <c r="AE258" s="11">
        <f xml:space="preserve"> Time!AE$25</f>
        <v>48579</v>
      </c>
      <c r="AF258" s="11">
        <f xml:space="preserve"> Time!AF$25</f>
        <v>48760</v>
      </c>
      <c r="AG258" s="11">
        <f xml:space="preserve"> Time!AG$25</f>
        <v>48944</v>
      </c>
      <c r="AH258" s="11">
        <f xml:space="preserve"> Time!AH$25</f>
        <v>49125</v>
      </c>
      <c r="AI258" s="11">
        <f xml:space="preserve"> Time!AI$25</f>
        <v>49309</v>
      </c>
      <c r="AJ258" s="11">
        <f xml:space="preserve"> Time!AJ$25</f>
        <v>49490</v>
      </c>
      <c r="AK258" s="11">
        <f xml:space="preserve"> Time!AK$25</f>
        <v>49674</v>
      </c>
      <c r="AL258" s="11">
        <f xml:space="preserve"> Time!AL$25</f>
        <v>49856</v>
      </c>
      <c r="AM258" s="11">
        <f xml:space="preserve"> Time!AM$25</f>
        <v>50040</v>
      </c>
      <c r="AN258" s="11">
        <f xml:space="preserve"> Time!AN$25</f>
        <v>50221</v>
      </c>
      <c r="AO258" s="11">
        <f xml:space="preserve"> Time!AO$25</f>
        <v>50405</v>
      </c>
      <c r="AP258" s="11">
        <f xml:space="preserve"> Time!AP$25</f>
        <v>50586</v>
      </c>
      <c r="AQ258" s="11">
        <f xml:space="preserve"> Time!AQ$25</f>
        <v>50770</v>
      </c>
      <c r="AR258" s="11">
        <f xml:space="preserve"> Time!AR$25</f>
        <v>50951</v>
      </c>
      <c r="AS258" s="11">
        <f xml:space="preserve"> Time!AS$25</f>
        <v>51135</v>
      </c>
      <c r="AT258" s="11">
        <f xml:space="preserve"> Time!AT$25</f>
        <v>51317</v>
      </c>
      <c r="AU258" s="11">
        <f xml:space="preserve"> Time!AU$25</f>
        <v>51501</v>
      </c>
      <c r="AV258" s="11">
        <f xml:space="preserve"> Time!AV$25</f>
        <v>51682</v>
      </c>
      <c r="AW258" s="11">
        <f xml:space="preserve"> Time!AW$25</f>
        <v>51866</v>
      </c>
      <c r="AX258" s="11">
        <f xml:space="preserve"> Time!AX$25</f>
        <v>52047</v>
      </c>
      <c r="AY258" s="11">
        <f xml:space="preserve"> Time!AY$25</f>
        <v>52231</v>
      </c>
      <c r="AZ258" s="11">
        <f xml:space="preserve"> Time!AZ$25</f>
        <v>52412</v>
      </c>
      <c r="BA258" s="11">
        <f xml:space="preserve"> Time!BA$25</f>
        <v>52596</v>
      </c>
      <c r="BB258" s="11">
        <f xml:space="preserve"> Time!BB$25</f>
        <v>52778</v>
      </c>
      <c r="BC258" s="11">
        <f xml:space="preserve"> Time!BC$25</f>
        <v>52962</v>
      </c>
      <c r="BD258" s="11">
        <f xml:space="preserve"> Time!BD$25</f>
        <v>53143</v>
      </c>
      <c r="BE258" s="11">
        <f xml:space="preserve"> Time!BE$25</f>
        <v>53327</v>
      </c>
      <c r="BF258" s="11">
        <f xml:space="preserve"> Time!BF$25</f>
        <v>53508</v>
      </c>
      <c r="BG258" s="11">
        <f xml:space="preserve"> Time!BG$25</f>
        <v>53692</v>
      </c>
      <c r="BH258" s="11">
        <f xml:space="preserve"> Time!BH$25</f>
        <v>53873</v>
      </c>
      <c r="BI258" s="11">
        <f xml:space="preserve"> Time!BI$25</f>
        <v>54057</v>
      </c>
      <c r="BJ258" s="11">
        <f xml:space="preserve"> Time!BJ$25</f>
        <v>54239</v>
      </c>
      <c r="BK258" s="11">
        <f xml:space="preserve"> Time!BK$25</f>
        <v>54423</v>
      </c>
      <c r="BL258" s="11">
        <f xml:space="preserve"> Time!BL$25</f>
        <v>54604</v>
      </c>
      <c r="BM258" s="11">
        <f xml:space="preserve"> Time!BM$25</f>
        <v>54788</v>
      </c>
      <c r="BN258" s="11">
        <f xml:space="preserve"> Time!BN$25</f>
        <v>54969</v>
      </c>
      <c r="BO258" s="11">
        <f xml:space="preserve"> Time!BO$25</f>
        <v>55153</v>
      </c>
      <c r="BP258" s="11">
        <f xml:space="preserve"> Time!BP$25</f>
        <v>55334</v>
      </c>
      <c r="BQ258" s="11">
        <f xml:space="preserve"> Time!BQ$25</f>
        <v>55518</v>
      </c>
      <c r="BR258" s="11">
        <f xml:space="preserve"> Time!BR$25</f>
        <v>55700</v>
      </c>
      <c r="BS258" s="11">
        <f xml:space="preserve"> Time!BS$25</f>
        <v>55884</v>
      </c>
      <c r="BT258" s="11">
        <f xml:space="preserve"> Time!BT$25</f>
        <v>56065</v>
      </c>
      <c r="BU258" s="11">
        <f xml:space="preserve"> Time!BU$25</f>
        <v>56249</v>
      </c>
      <c r="BV258" s="11">
        <f xml:space="preserve"> Time!BV$25</f>
        <v>56430</v>
      </c>
      <c r="BW258" s="11">
        <f xml:space="preserve"> Time!BW$25</f>
        <v>56614</v>
      </c>
      <c r="BX258" s="11">
        <f xml:space="preserve"> Time!BX$25</f>
        <v>56795</v>
      </c>
      <c r="BY258" s="11">
        <f xml:space="preserve"> Time!BY$25</f>
        <v>56979</v>
      </c>
      <c r="BZ258" s="11">
        <f xml:space="preserve"> Time!BZ$25</f>
        <v>57161</v>
      </c>
      <c r="CA258" s="11">
        <f xml:space="preserve"> Time!CA$25</f>
        <v>57345</v>
      </c>
      <c r="CB258" s="11">
        <f xml:space="preserve"> Time!CB$25</f>
        <v>57526</v>
      </c>
      <c r="CC258" s="11">
        <f xml:space="preserve"> Time!CC$25</f>
        <v>57710</v>
      </c>
      <c r="CD258" s="11">
        <f xml:space="preserve"> Time!CD$25</f>
        <v>57891</v>
      </c>
      <c r="CE258" s="11">
        <f xml:space="preserve"> Time!CE$25</f>
        <v>58075</v>
      </c>
      <c r="CF258" s="11">
        <f xml:space="preserve"> Time!CF$25</f>
        <v>58256</v>
      </c>
      <c r="CG258" s="11">
        <f xml:space="preserve"> Time!CG$25</f>
        <v>58440</v>
      </c>
      <c r="CH258" s="11">
        <f xml:space="preserve"> Time!CH$25</f>
        <v>58622</v>
      </c>
      <c r="CI258" s="11">
        <f xml:space="preserve"> Time!CI$25</f>
        <v>58806</v>
      </c>
      <c r="CJ258" s="11">
        <f xml:space="preserve"> Time!CJ$25</f>
        <v>58987</v>
      </c>
      <c r="CK258" s="11">
        <f xml:space="preserve"> Time!CK$25</f>
        <v>59171</v>
      </c>
      <c r="CL258" s="11">
        <f xml:space="preserve"> Time!CL$25</f>
        <v>59352</v>
      </c>
      <c r="CM258" s="11">
        <f xml:space="preserve"> Time!CM$25</f>
        <v>59536</v>
      </c>
      <c r="CN258" s="11">
        <f xml:space="preserve"> Time!CN$25</f>
        <v>59717</v>
      </c>
      <c r="CO258" s="11">
        <f xml:space="preserve"> Time!CO$25</f>
        <v>59901</v>
      </c>
      <c r="CP258" s="11">
        <f xml:space="preserve"> Time!CP$25</f>
        <v>60083</v>
      </c>
      <c r="CQ258" s="11">
        <f xml:space="preserve"> Time!CQ$25</f>
        <v>60267</v>
      </c>
      <c r="CR258" s="11">
        <f xml:space="preserve"> Time!CR$25</f>
        <v>60448</v>
      </c>
      <c r="CS258" s="11">
        <f xml:space="preserve"> Time!CS$25</f>
        <v>60632</v>
      </c>
      <c r="CT258" s="11">
        <f xml:space="preserve"> Time!CT$25</f>
        <v>60813</v>
      </c>
      <c r="CU258" s="11">
        <f xml:space="preserve"> Time!CU$25</f>
        <v>60997</v>
      </c>
      <c r="CV258" s="11">
        <f xml:space="preserve"> Time!CV$25</f>
        <v>61178</v>
      </c>
    </row>
    <row r="259" spans="1:100" s="757" customFormat="1" ht="13.15" customHeight="1" outlineLevel="1" x14ac:dyDescent="0.2">
      <c r="A259" s="1114"/>
      <c r="B259" s="1114"/>
      <c r="C259" s="1114"/>
      <c r="D259" s="1114"/>
      <c r="E259" s="800" t="s">
        <v>543</v>
      </c>
      <c r="F259" s="1114"/>
      <c r="G259" s="800" t="s">
        <v>5</v>
      </c>
      <c r="H259" s="770">
        <f xml:space="preserve"> SUM(J259:CV259)</f>
        <v>1</v>
      </c>
      <c r="J259" s="770">
        <f t="shared" ref="J259:AO259" si="870" xml:space="preserve"> IF(AND($F257 &gt; I258, $F257 &lt;= J258), 1, 0)</f>
        <v>0</v>
      </c>
      <c r="K259" s="770">
        <f t="shared" si="870"/>
        <v>0</v>
      </c>
      <c r="L259" s="770">
        <f t="shared" si="870"/>
        <v>0</v>
      </c>
      <c r="M259" s="770">
        <f t="shared" si="870"/>
        <v>0</v>
      </c>
      <c r="N259" s="770">
        <f t="shared" si="870"/>
        <v>1</v>
      </c>
      <c r="O259" s="770">
        <f t="shared" si="870"/>
        <v>0</v>
      </c>
      <c r="P259" s="770">
        <f t="shared" si="870"/>
        <v>0</v>
      </c>
      <c r="Q259" s="770">
        <f t="shared" si="870"/>
        <v>0</v>
      </c>
      <c r="R259" s="770">
        <f t="shared" si="870"/>
        <v>0</v>
      </c>
      <c r="S259" s="770">
        <f t="shared" si="870"/>
        <v>0</v>
      </c>
      <c r="T259" s="770">
        <f t="shared" si="870"/>
        <v>0</v>
      </c>
      <c r="U259" s="770">
        <f t="shared" si="870"/>
        <v>0</v>
      </c>
      <c r="V259" s="770">
        <f t="shared" si="870"/>
        <v>0</v>
      </c>
      <c r="W259" s="770">
        <f t="shared" si="870"/>
        <v>0</v>
      </c>
      <c r="X259" s="770">
        <f t="shared" si="870"/>
        <v>0</v>
      </c>
      <c r="Y259" s="770">
        <f t="shared" si="870"/>
        <v>0</v>
      </c>
      <c r="Z259" s="770">
        <f t="shared" si="870"/>
        <v>0</v>
      </c>
      <c r="AA259" s="770">
        <f t="shared" si="870"/>
        <v>0</v>
      </c>
      <c r="AB259" s="770">
        <f t="shared" si="870"/>
        <v>0</v>
      </c>
      <c r="AC259" s="770">
        <f t="shared" si="870"/>
        <v>0</v>
      </c>
      <c r="AD259" s="770">
        <f t="shared" si="870"/>
        <v>0</v>
      </c>
      <c r="AE259" s="770">
        <f t="shared" si="870"/>
        <v>0</v>
      </c>
      <c r="AF259" s="770">
        <f t="shared" si="870"/>
        <v>0</v>
      </c>
      <c r="AG259" s="770">
        <f t="shared" si="870"/>
        <v>0</v>
      </c>
      <c r="AH259" s="770">
        <f t="shared" si="870"/>
        <v>0</v>
      </c>
      <c r="AI259" s="770">
        <f t="shared" si="870"/>
        <v>0</v>
      </c>
      <c r="AJ259" s="770">
        <f t="shared" si="870"/>
        <v>0</v>
      </c>
      <c r="AK259" s="770">
        <f t="shared" si="870"/>
        <v>0</v>
      </c>
      <c r="AL259" s="770">
        <f t="shared" si="870"/>
        <v>0</v>
      </c>
      <c r="AM259" s="770">
        <f t="shared" si="870"/>
        <v>0</v>
      </c>
      <c r="AN259" s="770">
        <f t="shared" si="870"/>
        <v>0</v>
      </c>
      <c r="AO259" s="770">
        <f t="shared" si="870"/>
        <v>0</v>
      </c>
      <c r="AP259" s="770">
        <f t="shared" ref="AP259:BU259" si="871" xml:space="preserve"> IF(AND($F257 &gt; AO258, $F257 &lt;= AP258), 1, 0)</f>
        <v>0</v>
      </c>
      <c r="AQ259" s="770">
        <f t="shared" si="871"/>
        <v>0</v>
      </c>
      <c r="AR259" s="770">
        <f t="shared" si="871"/>
        <v>0</v>
      </c>
      <c r="AS259" s="770">
        <f t="shared" si="871"/>
        <v>0</v>
      </c>
      <c r="AT259" s="770">
        <f t="shared" si="871"/>
        <v>0</v>
      </c>
      <c r="AU259" s="770">
        <f t="shared" si="871"/>
        <v>0</v>
      </c>
      <c r="AV259" s="770">
        <f t="shared" si="871"/>
        <v>0</v>
      </c>
      <c r="AW259" s="770">
        <f t="shared" si="871"/>
        <v>0</v>
      </c>
      <c r="AX259" s="770">
        <f t="shared" si="871"/>
        <v>0</v>
      </c>
      <c r="AY259" s="770">
        <f t="shared" si="871"/>
        <v>0</v>
      </c>
      <c r="AZ259" s="770">
        <f t="shared" si="871"/>
        <v>0</v>
      </c>
      <c r="BA259" s="770">
        <f t="shared" si="871"/>
        <v>0</v>
      </c>
      <c r="BB259" s="770">
        <f t="shared" si="871"/>
        <v>0</v>
      </c>
      <c r="BC259" s="770">
        <f t="shared" si="871"/>
        <v>0</v>
      </c>
      <c r="BD259" s="770">
        <f t="shared" si="871"/>
        <v>0</v>
      </c>
      <c r="BE259" s="770">
        <f t="shared" si="871"/>
        <v>0</v>
      </c>
      <c r="BF259" s="770">
        <f t="shared" si="871"/>
        <v>0</v>
      </c>
      <c r="BG259" s="770">
        <f t="shared" si="871"/>
        <v>0</v>
      </c>
      <c r="BH259" s="770">
        <f t="shared" si="871"/>
        <v>0</v>
      </c>
      <c r="BI259" s="770">
        <f t="shared" si="871"/>
        <v>0</v>
      </c>
      <c r="BJ259" s="770">
        <f t="shared" si="871"/>
        <v>0</v>
      </c>
      <c r="BK259" s="770">
        <f t="shared" si="871"/>
        <v>0</v>
      </c>
      <c r="BL259" s="770">
        <f t="shared" si="871"/>
        <v>0</v>
      </c>
      <c r="BM259" s="770">
        <f t="shared" si="871"/>
        <v>0</v>
      </c>
      <c r="BN259" s="770">
        <f t="shared" si="871"/>
        <v>0</v>
      </c>
      <c r="BO259" s="770">
        <f t="shared" si="871"/>
        <v>0</v>
      </c>
      <c r="BP259" s="770">
        <f t="shared" si="871"/>
        <v>0</v>
      </c>
      <c r="BQ259" s="770">
        <f t="shared" si="871"/>
        <v>0</v>
      </c>
      <c r="BR259" s="770">
        <f t="shared" si="871"/>
        <v>0</v>
      </c>
      <c r="BS259" s="770">
        <f t="shared" si="871"/>
        <v>0</v>
      </c>
      <c r="BT259" s="770">
        <f t="shared" si="871"/>
        <v>0</v>
      </c>
      <c r="BU259" s="770">
        <f t="shared" si="871"/>
        <v>0</v>
      </c>
      <c r="BV259" s="770">
        <f t="shared" ref="BV259:CV259" si="872" xml:space="preserve"> IF(AND($F257 &gt; BU258, $F257 &lt;= BV258), 1, 0)</f>
        <v>0</v>
      </c>
      <c r="BW259" s="770">
        <f t="shared" si="872"/>
        <v>0</v>
      </c>
      <c r="BX259" s="770">
        <f t="shared" si="872"/>
        <v>0</v>
      </c>
      <c r="BY259" s="770">
        <f t="shared" si="872"/>
        <v>0</v>
      </c>
      <c r="BZ259" s="770">
        <f t="shared" si="872"/>
        <v>0</v>
      </c>
      <c r="CA259" s="770">
        <f t="shared" si="872"/>
        <v>0</v>
      </c>
      <c r="CB259" s="770">
        <f t="shared" si="872"/>
        <v>0</v>
      </c>
      <c r="CC259" s="770">
        <f t="shared" si="872"/>
        <v>0</v>
      </c>
      <c r="CD259" s="770">
        <f t="shared" si="872"/>
        <v>0</v>
      </c>
      <c r="CE259" s="770">
        <f t="shared" si="872"/>
        <v>0</v>
      </c>
      <c r="CF259" s="770">
        <f t="shared" si="872"/>
        <v>0</v>
      </c>
      <c r="CG259" s="770">
        <f t="shared" si="872"/>
        <v>0</v>
      </c>
      <c r="CH259" s="770">
        <f t="shared" si="872"/>
        <v>0</v>
      </c>
      <c r="CI259" s="770">
        <f t="shared" si="872"/>
        <v>0</v>
      </c>
      <c r="CJ259" s="770">
        <f t="shared" si="872"/>
        <v>0</v>
      </c>
      <c r="CK259" s="770">
        <f t="shared" si="872"/>
        <v>0</v>
      </c>
      <c r="CL259" s="770">
        <f t="shared" si="872"/>
        <v>0</v>
      </c>
      <c r="CM259" s="770">
        <f t="shared" si="872"/>
        <v>0</v>
      </c>
      <c r="CN259" s="770">
        <f t="shared" si="872"/>
        <v>0</v>
      </c>
      <c r="CO259" s="770">
        <f t="shared" si="872"/>
        <v>0</v>
      </c>
      <c r="CP259" s="770">
        <f t="shared" si="872"/>
        <v>0</v>
      </c>
      <c r="CQ259" s="770">
        <f t="shared" si="872"/>
        <v>0</v>
      </c>
      <c r="CR259" s="770">
        <f t="shared" si="872"/>
        <v>0</v>
      </c>
      <c r="CS259" s="770">
        <f t="shared" si="872"/>
        <v>0</v>
      </c>
      <c r="CT259" s="770">
        <f t="shared" si="872"/>
        <v>0</v>
      </c>
      <c r="CU259" s="770">
        <f t="shared" si="872"/>
        <v>0</v>
      </c>
      <c r="CV259" s="770">
        <f t="shared" si="872"/>
        <v>0</v>
      </c>
    </row>
    <row r="260" spans="1:100" s="734" customFormat="1" ht="13.15" customHeight="1" outlineLevel="1" x14ac:dyDescent="0.2">
      <c r="A260" s="732"/>
      <c r="B260" s="732"/>
      <c r="C260" s="732"/>
      <c r="D260" s="732"/>
      <c r="E260" s="732"/>
      <c r="F260" s="732"/>
      <c r="G260" s="732"/>
      <c r="H260" s="114"/>
      <c r="I260" s="114"/>
      <c r="J260" s="114"/>
      <c r="K260" s="114"/>
      <c r="L260" s="114"/>
      <c r="M260" s="114"/>
      <c r="N260" s="114"/>
      <c r="O260" s="114"/>
      <c r="P260" s="114"/>
      <c r="Q260" s="114"/>
      <c r="R260" s="114"/>
      <c r="S260" s="114"/>
      <c r="T260" s="114"/>
      <c r="U260" s="114"/>
      <c r="V260" s="114"/>
      <c r="W260" s="114"/>
      <c r="X260" s="114"/>
      <c r="Y260" s="114"/>
      <c r="Z260" s="114"/>
      <c r="AA260" s="114"/>
      <c r="AB260" s="114"/>
      <c r="AC260" s="114"/>
      <c r="AD260" s="114"/>
      <c r="AE260" s="114"/>
      <c r="AF260" s="114"/>
      <c r="AG260" s="114"/>
      <c r="AH260" s="114"/>
      <c r="AI260" s="114"/>
      <c r="AJ260" s="114"/>
      <c r="AK260" s="114"/>
      <c r="AL260" s="114"/>
      <c r="AM260" s="114"/>
      <c r="AN260" s="114"/>
      <c r="AO260" s="114"/>
      <c r="AP260" s="114"/>
      <c r="AQ260" s="114"/>
      <c r="AR260" s="114"/>
      <c r="AS260" s="114"/>
      <c r="AT260" s="114"/>
      <c r="AU260" s="114"/>
      <c r="AV260" s="114"/>
      <c r="AW260" s="114"/>
      <c r="AX260" s="114"/>
      <c r="AY260" s="114"/>
      <c r="AZ260" s="114"/>
      <c r="BA260" s="114"/>
      <c r="BB260" s="114"/>
      <c r="BC260" s="114"/>
      <c r="BD260" s="114"/>
      <c r="BE260" s="114"/>
      <c r="BF260" s="114"/>
      <c r="BG260" s="114"/>
      <c r="BH260" s="114"/>
      <c r="BI260" s="114"/>
      <c r="BJ260" s="114"/>
      <c r="BK260" s="114"/>
      <c r="BL260" s="114"/>
      <c r="BM260" s="114"/>
      <c r="BN260" s="114"/>
      <c r="BO260" s="114"/>
      <c r="BP260" s="114"/>
      <c r="BQ260" s="114"/>
      <c r="BR260" s="114"/>
      <c r="BS260" s="114"/>
      <c r="BT260" s="114"/>
      <c r="BU260" s="114"/>
      <c r="BV260" s="114"/>
      <c r="BW260" s="114"/>
      <c r="BX260" s="114"/>
      <c r="BY260" s="114"/>
      <c r="BZ260" s="114"/>
      <c r="CA260" s="114"/>
      <c r="CB260" s="114"/>
      <c r="CC260" s="114"/>
      <c r="CD260" s="114"/>
      <c r="CE260" s="114"/>
      <c r="CF260" s="114"/>
      <c r="CG260" s="114"/>
      <c r="CH260" s="114"/>
      <c r="CI260" s="114"/>
      <c r="CJ260" s="114"/>
      <c r="CK260" s="114"/>
      <c r="CL260" s="114"/>
      <c r="CM260" s="114"/>
      <c r="CN260" s="114"/>
      <c r="CO260" s="114"/>
      <c r="CP260" s="114"/>
      <c r="CQ260" s="114"/>
      <c r="CR260" s="114"/>
      <c r="CS260" s="114"/>
      <c r="CT260" s="114"/>
      <c r="CU260" s="114"/>
      <c r="CV260" s="114"/>
    </row>
    <row r="261" spans="1:100" s="764" customFormat="1" ht="13.15" customHeight="1" outlineLevel="1" x14ac:dyDescent="0.2">
      <c r="A261" s="732"/>
      <c r="B261" s="732"/>
      <c r="C261" s="732"/>
      <c r="D261" s="732"/>
      <c r="E261" s="768" t="str">
        <f xml:space="preserve"> Time!E$90</f>
        <v>First operating period flag</v>
      </c>
      <c r="F261" s="768">
        <f xml:space="preserve"> Time!F$90</f>
        <v>0</v>
      </c>
      <c r="G261" s="768" t="str">
        <f xml:space="preserve"> Time!G$90</f>
        <v>flag</v>
      </c>
      <c r="H261" s="768">
        <f xml:space="preserve"> Time!H$90</f>
        <v>1</v>
      </c>
      <c r="I261" s="768">
        <f xml:space="preserve"> Time!I$90</f>
        <v>0</v>
      </c>
      <c r="J261" s="768">
        <f xml:space="preserve"> Time!J$90</f>
        <v>0</v>
      </c>
      <c r="K261" s="768">
        <f xml:space="preserve"> Time!K$90</f>
        <v>0</v>
      </c>
      <c r="L261" s="768">
        <f xml:space="preserve"> Time!L$90</f>
        <v>0</v>
      </c>
      <c r="M261" s="768">
        <f xml:space="preserve"> Time!M$90</f>
        <v>0</v>
      </c>
      <c r="N261" s="768">
        <f xml:space="preserve"> Time!N$90</f>
        <v>0</v>
      </c>
      <c r="O261" s="768">
        <f xml:space="preserve"> Time!O$90</f>
        <v>1</v>
      </c>
      <c r="P261" s="768">
        <f xml:space="preserve"> Time!P$90</f>
        <v>0</v>
      </c>
      <c r="Q261" s="768">
        <f xml:space="preserve"> Time!Q$90</f>
        <v>0</v>
      </c>
      <c r="R261" s="768">
        <f xml:space="preserve"> Time!R$90</f>
        <v>0</v>
      </c>
      <c r="S261" s="768">
        <f xml:space="preserve"> Time!S$90</f>
        <v>0</v>
      </c>
      <c r="T261" s="768">
        <f xml:space="preserve"> Time!T$90</f>
        <v>0</v>
      </c>
      <c r="U261" s="768">
        <f xml:space="preserve"> Time!U$90</f>
        <v>0</v>
      </c>
      <c r="V261" s="768">
        <f xml:space="preserve"> Time!V$90</f>
        <v>0</v>
      </c>
      <c r="W261" s="768">
        <f xml:space="preserve"> Time!W$90</f>
        <v>0</v>
      </c>
      <c r="X261" s="768">
        <f xml:space="preserve"> Time!X$90</f>
        <v>0</v>
      </c>
      <c r="Y261" s="768">
        <f xml:space="preserve"> Time!Y$90</f>
        <v>0</v>
      </c>
      <c r="Z261" s="768">
        <f xml:space="preserve"> Time!Z$90</f>
        <v>0</v>
      </c>
      <c r="AA261" s="768">
        <f xml:space="preserve"> Time!AA$90</f>
        <v>0</v>
      </c>
      <c r="AB261" s="768">
        <f xml:space="preserve"> Time!AB$90</f>
        <v>0</v>
      </c>
      <c r="AC261" s="768">
        <f xml:space="preserve"> Time!AC$90</f>
        <v>0</v>
      </c>
      <c r="AD261" s="768">
        <f xml:space="preserve"> Time!AD$90</f>
        <v>0</v>
      </c>
      <c r="AE261" s="768">
        <f xml:space="preserve"> Time!AE$90</f>
        <v>0</v>
      </c>
      <c r="AF261" s="768">
        <f xml:space="preserve"> Time!AF$90</f>
        <v>0</v>
      </c>
      <c r="AG261" s="768">
        <f xml:space="preserve"> Time!AG$90</f>
        <v>0</v>
      </c>
      <c r="AH261" s="768">
        <f xml:space="preserve"> Time!AH$90</f>
        <v>0</v>
      </c>
      <c r="AI261" s="768">
        <f xml:space="preserve"> Time!AI$90</f>
        <v>0</v>
      </c>
      <c r="AJ261" s="768">
        <f xml:space="preserve"> Time!AJ$90</f>
        <v>0</v>
      </c>
      <c r="AK261" s="768">
        <f xml:space="preserve"> Time!AK$90</f>
        <v>0</v>
      </c>
      <c r="AL261" s="768">
        <f xml:space="preserve"> Time!AL$90</f>
        <v>0</v>
      </c>
      <c r="AM261" s="768">
        <f xml:space="preserve"> Time!AM$90</f>
        <v>0</v>
      </c>
      <c r="AN261" s="768">
        <f xml:space="preserve"> Time!AN$90</f>
        <v>0</v>
      </c>
      <c r="AO261" s="768">
        <f xml:space="preserve"> Time!AO$90</f>
        <v>0</v>
      </c>
      <c r="AP261" s="768">
        <f xml:space="preserve"> Time!AP$90</f>
        <v>0</v>
      </c>
      <c r="AQ261" s="768">
        <f xml:space="preserve"> Time!AQ$90</f>
        <v>0</v>
      </c>
      <c r="AR261" s="768">
        <f xml:space="preserve"> Time!AR$90</f>
        <v>0</v>
      </c>
      <c r="AS261" s="768">
        <f xml:space="preserve"> Time!AS$90</f>
        <v>0</v>
      </c>
      <c r="AT261" s="768">
        <f xml:space="preserve"> Time!AT$90</f>
        <v>0</v>
      </c>
      <c r="AU261" s="768">
        <f xml:space="preserve"> Time!AU$90</f>
        <v>0</v>
      </c>
      <c r="AV261" s="768">
        <f xml:space="preserve"> Time!AV$90</f>
        <v>0</v>
      </c>
      <c r="AW261" s="768">
        <f xml:space="preserve"> Time!AW$90</f>
        <v>0</v>
      </c>
      <c r="AX261" s="768">
        <f xml:space="preserve"> Time!AX$90</f>
        <v>0</v>
      </c>
      <c r="AY261" s="768">
        <f xml:space="preserve"> Time!AY$90</f>
        <v>0</v>
      </c>
      <c r="AZ261" s="768">
        <f xml:space="preserve"> Time!AZ$90</f>
        <v>0</v>
      </c>
      <c r="BA261" s="768">
        <f xml:space="preserve"> Time!BA$90</f>
        <v>0</v>
      </c>
      <c r="BB261" s="768">
        <f xml:space="preserve"> Time!BB$90</f>
        <v>0</v>
      </c>
      <c r="BC261" s="768">
        <f xml:space="preserve"> Time!BC$90</f>
        <v>0</v>
      </c>
      <c r="BD261" s="768">
        <f xml:space="preserve"> Time!BD$90</f>
        <v>0</v>
      </c>
      <c r="BE261" s="768">
        <f xml:space="preserve"> Time!BE$90</f>
        <v>0</v>
      </c>
      <c r="BF261" s="768">
        <f xml:space="preserve"> Time!BF$90</f>
        <v>0</v>
      </c>
      <c r="BG261" s="768">
        <f xml:space="preserve"> Time!BG$90</f>
        <v>0</v>
      </c>
      <c r="BH261" s="768">
        <f xml:space="preserve"> Time!BH$90</f>
        <v>0</v>
      </c>
      <c r="BI261" s="768">
        <f xml:space="preserve"> Time!BI$90</f>
        <v>0</v>
      </c>
      <c r="BJ261" s="768">
        <f xml:space="preserve"> Time!BJ$90</f>
        <v>0</v>
      </c>
      <c r="BK261" s="768">
        <f xml:space="preserve"> Time!BK$90</f>
        <v>0</v>
      </c>
      <c r="BL261" s="768">
        <f xml:space="preserve"> Time!BL$90</f>
        <v>0</v>
      </c>
      <c r="BM261" s="768">
        <f xml:space="preserve"> Time!BM$90</f>
        <v>0</v>
      </c>
      <c r="BN261" s="768">
        <f xml:space="preserve"> Time!BN$90</f>
        <v>0</v>
      </c>
      <c r="BO261" s="768">
        <f xml:space="preserve"> Time!BO$90</f>
        <v>0</v>
      </c>
      <c r="BP261" s="768">
        <f xml:space="preserve"> Time!BP$90</f>
        <v>0</v>
      </c>
      <c r="BQ261" s="768">
        <f xml:space="preserve"> Time!BQ$90</f>
        <v>0</v>
      </c>
      <c r="BR261" s="768">
        <f xml:space="preserve"> Time!BR$90</f>
        <v>0</v>
      </c>
      <c r="BS261" s="768">
        <f xml:space="preserve"> Time!BS$90</f>
        <v>0</v>
      </c>
      <c r="BT261" s="768">
        <f xml:space="preserve"> Time!BT$90</f>
        <v>0</v>
      </c>
      <c r="BU261" s="768">
        <f xml:space="preserve"> Time!BU$90</f>
        <v>0</v>
      </c>
      <c r="BV261" s="768">
        <f xml:space="preserve"> Time!BV$90</f>
        <v>0</v>
      </c>
      <c r="BW261" s="768">
        <f xml:space="preserve"> Time!BW$90</f>
        <v>0</v>
      </c>
      <c r="BX261" s="768">
        <f xml:space="preserve"> Time!BX$90</f>
        <v>0</v>
      </c>
      <c r="BY261" s="768">
        <f xml:space="preserve"> Time!BY$90</f>
        <v>0</v>
      </c>
      <c r="BZ261" s="768">
        <f xml:space="preserve"> Time!BZ$90</f>
        <v>0</v>
      </c>
      <c r="CA261" s="768">
        <f xml:space="preserve"> Time!CA$90</f>
        <v>0</v>
      </c>
      <c r="CB261" s="768">
        <f xml:space="preserve"> Time!CB$90</f>
        <v>0</v>
      </c>
      <c r="CC261" s="768">
        <f xml:space="preserve"> Time!CC$90</f>
        <v>0</v>
      </c>
      <c r="CD261" s="768">
        <f xml:space="preserve"> Time!CD$90</f>
        <v>0</v>
      </c>
      <c r="CE261" s="768">
        <f xml:space="preserve"> Time!CE$90</f>
        <v>0</v>
      </c>
      <c r="CF261" s="768">
        <f xml:space="preserve"> Time!CF$90</f>
        <v>0</v>
      </c>
      <c r="CG261" s="768">
        <f xml:space="preserve"> Time!CG$90</f>
        <v>0</v>
      </c>
      <c r="CH261" s="768">
        <f xml:space="preserve"> Time!CH$90</f>
        <v>0</v>
      </c>
      <c r="CI261" s="768">
        <f xml:space="preserve"> Time!CI$90</f>
        <v>0</v>
      </c>
      <c r="CJ261" s="768">
        <f xml:space="preserve"> Time!CJ$90</f>
        <v>0</v>
      </c>
      <c r="CK261" s="768">
        <f xml:space="preserve"> Time!CK$90</f>
        <v>0</v>
      </c>
      <c r="CL261" s="768">
        <f xml:space="preserve"> Time!CL$90</f>
        <v>0</v>
      </c>
      <c r="CM261" s="768">
        <f xml:space="preserve"> Time!CM$90</f>
        <v>0</v>
      </c>
      <c r="CN261" s="768">
        <f xml:space="preserve"> Time!CN$90</f>
        <v>0</v>
      </c>
      <c r="CO261" s="768">
        <f xml:space="preserve"> Time!CO$90</f>
        <v>0</v>
      </c>
      <c r="CP261" s="768">
        <f xml:space="preserve"> Time!CP$90</f>
        <v>0</v>
      </c>
      <c r="CQ261" s="768">
        <f xml:space="preserve"> Time!CQ$90</f>
        <v>0</v>
      </c>
      <c r="CR261" s="768">
        <f xml:space="preserve"> Time!CR$90</f>
        <v>0</v>
      </c>
      <c r="CS261" s="768">
        <f xml:space="preserve"> Time!CS$90</f>
        <v>0</v>
      </c>
      <c r="CT261" s="768">
        <f xml:space="preserve"> Time!CT$90</f>
        <v>0</v>
      </c>
      <c r="CU261" s="768">
        <f xml:space="preserve"> Time!CU$90</f>
        <v>0</v>
      </c>
      <c r="CV261" s="768">
        <f xml:space="preserve"> Time!CV$90</f>
        <v>0</v>
      </c>
    </row>
    <row r="262" spans="1:100" s="734" customFormat="1" ht="13.15" customHeight="1" outlineLevel="1" x14ac:dyDescent="0.2">
      <c r="A262" s="732"/>
      <c r="B262" s="732"/>
      <c r="C262" s="732"/>
      <c r="D262" s="732"/>
      <c r="E262" s="768" t="str">
        <f t="shared" ref="E262:AJ262" si="873" xml:space="preserve"> E$259</f>
        <v>Equity bridge repayment date flag</v>
      </c>
      <c r="F262" s="768">
        <f t="shared" si="873"/>
        <v>0</v>
      </c>
      <c r="G262" s="768" t="str">
        <f t="shared" si="873"/>
        <v>flag</v>
      </c>
      <c r="H262" s="742">
        <f t="shared" si="873"/>
        <v>1</v>
      </c>
      <c r="I262" s="804">
        <f t="shared" si="873"/>
        <v>0</v>
      </c>
      <c r="J262" s="742">
        <f t="shared" si="873"/>
        <v>0</v>
      </c>
      <c r="K262" s="742">
        <f t="shared" si="873"/>
        <v>0</v>
      </c>
      <c r="L262" s="742">
        <f t="shared" si="873"/>
        <v>0</v>
      </c>
      <c r="M262" s="742">
        <f t="shared" si="873"/>
        <v>0</v>
      </c>
      <c r="N262" s="742">
        <f t="shared" si="873"/>
        <v>1</v>
      </c>
      <c r="O262" s="742">
        <f t="shared" si="873"/>
        <v>0</v>
      </c>
      <c r="P262" s="742">
        <f t="shared" si="873"/>
        <v>0</v>
      </c>
      <c r="Q262" s="742">
        <f t="shared" si="873"/>
        <v>0</v>
      </c>
      <c r="R262" s="742">
        <f t="shared" si="873"/>
        <v>0</v>
      </c>
      <c r="S262" s="742">
        <f t="shared" si="873"/>
        <v>0</v>
      </c>
      <c r="T262" s="742">
        <f t="shared" si="873"/>
        <v>0</v>
      </c>
      <c r="U262" s="742">
        <f t="shared" si="873"/>
        <v>0</v>
      </c>
      <c r="V262" s="742">
        <f t="shared" si="873"/>
        <v>0</v>
      </c>
      <c r="W262" s="742">
        <f t="shared" si="873"/>
        <v>0</v>
      </c>
      <c r="X262" s="742">
        <f t="shared" si="873"/>
        <v>0</v>
      </c>
      <c r="Y262" s="742">
        <f t="shared" si="873"/>
        <v>0</v>
      </c>
      <c r="Z262" s="742">
        <f t="shared" si="873"/>
        <v>0</v>
      </c>
      <c r="AA262" s="742">
        <f t="shared" si="873"/>
        <v>0</v>
      </c>
      <c r="AB262" s="742">
        <f t="shared" si="873"/>
        <v>0</v>
      </c>
      <c r="AC262" s="742">
        <f t="shared" si="873"/>
        <v>0</v>
      </c>
      <c r="AD262" s="742">
        <f t="shared" si="873"/>
        <v>0</v>
      </c>
      <c r="AE262" s="742">
        <f t="shared" si="873"/>
        <v>0</v>
      </c>
      <c r="AF262" s="742">
        <f t="shared" si="873"/>
        <v>0</v>
      </c>
      <c r="AG262" s="742">
        <f t="shared" si="873"/>
        <v>0</v>
      </c>
      <c r="AH262" s="742">
        <f t="shared" si="873"/>
        <v>0</v>
      </c>
      <c r="AI262" s="742">
        <f t="shared" si="873"/>
        <v>0</v>
      </c>
      <c r="AJ262" s="742">
        <f t="shared" si="873"/>
        <v>0</v>
      </c>
      <c r="AK262" s="742">
        <f t="shared" ref="AK262:BP262" si="874" xml:space="preserve"> AK$259</f>
        <v>0</v>
      </c>
      <c r="AL262" s="742">
        <f t="shared" si="874"/>
        <v>0</v>
      </c>
      <c r="AM262" s="742">
        <f t="shared" si="874"/>
        <v>0</v>
      </c>
      <c r="AN262" s="742">
        <f t="shared" si="874"/>
        <v>0</v>
      </c>
      <c r="AO262" s="742">
        <f t="shared" si="874"/>
        <v>0</v>
      </c>
      <c r="AP262" s="742">
        <f t="shared" si="874"/>
        <v>0</v>
      </c>
      <c r="AQ262" s="742">
        <f t="shared" si="874"/>
        <v>0</v>
      </c>
      <c r="AR262" s="742">
        <f t="shared" si="874"/>
        <v>0</v>
      </c>
      <c r="AS262" s="742">
        <f t="shared" si="874"/>
        <v>0</v>
      </c>
      <c r="AT262" s="742">
        <f t="shared" si="874"/>
        <v>0</v>
      </c>
      <c r="AU262" s="742">
        <f t="shared" si="874"/>
        <v>0</v>
      </c>
      <c r="AV262" s="742">
        <f t="shared" si="874"/>
        <v>0</v>
      </c>
      <c r="AW262" s="742">
        <f t="shared" si="874"/>
        <v>0</v>
      </c>
      <c r="AX262" s="742">
        <f t="shared" si="874"/>
        <v>0</v>
      </c>
      <c r="AY262" s="742">
        <f t="shared" si="874"/>
        <v>0</v>
      </c>
      <c r="AZ262" s="742">
        <f t="shared" si="874"/>
        <v>0</v>
      </c>
      <c r="BA262" s="742">
        <f t="shared" si="874"/>
        <v>0</v>
      </c>
      <c r="BB262" s="742">
        <f t="shared" si="874"/>
        <v>0</v>
      </c>
      <c r="BC262" s="742">
        <f t="shared" si="874"/>
        <v>0</v>
      </c>
      <c r="BD262" s="742">
        <f t="shared" si="874"/>
        <v>0</v>
      </c>
      <c r="BE262" s="742">
        <f t="shared" si="874"/>
        <v>0</v>
      </c>
      <c r="BF262" s="742">
        <f t="shared" si="874"/>
        <v>0</v>
      </c>
      <c r="BG262" s="742">
        <f t="shared" si="874"/>
        <v>0</v>
      </c>
      <c r="BH262" s="742">
        <f t="shared" si="874"/>
        <v>0</v>
      </c>
      <c r="BI262" s="742">
        <f t="shared" si="874"/>
        <v>0</v>
      </c>
      <c r="BJ262" s="742">
        <f t="shared" si="874"/>
        <v>0</v>
      </c>
      <c r="BK262" s="742">
        <f t="shared" si="874"/>
        <v>0</v>
      </c>
      <c r="BL262" s="742">
        <f t="shared" si="874"/>
        <v>0</v>
      </c>
      <c r="BM262" s="742">
        <f t="shared" si="874"/>
        <v>0</v>
      </c>
      <c r="BN262" s="742">
        <f t="shared" si="874"/>
        <v>0</v>
      </c>
      <c r="BO262" s="742">
        <f t="shared" si="874"/>
        <v>0</v>
      </c>
      <c r="BP262" s="742">
        <f t="shared" si="874"/>
        <v>0</v>
      </c>
      <c r="BQ262" s="742">
        <f t="shared" ref="BQ262:CV262" si="875" xml:space="preserve"> BQ$259</f>
        <v>0</v>
      </c>
      <c r="BR262" s="742">
        <f t="shared" si="875"/>
        <v>0</v>
      </c>
      <c r="BS262" s="742">
        <f t="shared" si="875"/>
        <v>0</v>
      </c>
      <c r="BT262" s="742">
        <f t="shared" si="875"/>
        <v>0</v>
      </c>
      <c r="BU262" s="742">
        <f t="shared" si="875"/>
        <v>0</v>
      </c>
      <c r="BV262" s="742">
        <f t="shared" si="875"/>
        <v>0</v>
      </c>
      <c r="BW262" s="742">
        <f t="shared" si="875"/>
        <v>0</v>
      </c>
      <c r="BX262" s="742">
        <f t="shared" si="875"/>
        <v>0</v>
      </c>
      <c r="BY262" s="742">
        <f t="shared" si="875"/>
        <v>0</v>
      </c>
      <c r="BZ262" s="742">
        <f t="shared" si="875"/>
        <v>0</v>
      </c>
      <c r="CA262" s="742">
        <f t="shared" si="875"/>
        <v>0</v>
      </c>
      <c r="CB262" s="742">
        <f t="shared" si="875"/>
        <v>0</v>
      </c>
      <c r="CC262" s="742">
        <f t="shared" si="875"/>
        <v>0</v>
      </c>
      <c r="CD262" s="742">
        <f t="shared" si="875"/>
        <v>0</v>
      </c>
      <c r="CE262" s="742">
        <f t="shared" si="875"/>
        <v>0</v>
      </c>
      <c r="CF262" s="742">
        <f t="shared" si="875"/>
        <v>0</v>
      </c>
      <c r="CG262" s="742">
        <f t="shared" si="875"/>
        <v>0</v>
      </c>
      <c r="CH262" s="742">
        <f t="shared" si="875"/>
        <v>0</v>
      </c>
      <c r="CI262" s="742">
        <f t="shared" si="875"/>
        <v>0</v>
      </c>
      <c r="CJ262" s="742">
        <f t="shared" si="875"/>
        <v>0</v>
      </c>
      <c r="CK262" s="742">
        <f t="shared" si="875"/>
        <v>0</v>
      </c>
      <c r="CL262" s="742">
        <f t="shared" si="875"/>
        <v>0</v>
      </c>
      <c r="CM262" s="742">
        <f t="shared" si="875"/>
        <v>0</v>
      </c>
      <c r="CN262" s="742">
        <f t="shared" si="875"/>
        <v>0</v>
      </c>
      <c r="CO262" s="742">
        <f t="shared" si="875"/>
        <v>0</v>
      </c>
      <c r="CP262" s="742">
        <f t="shared" si="875"/>
        <v>0</v>
      </c>
      <c r="CQ262" s="742">
        <f t="shared" si="875"/>
        <v>0</v>
      </c>
      <c r="CR262" s="742">
        <f t="shared" si="875"/>
        <v>0</v>
      </c>
      <c r="CS262" s="742">
        <f t="shared" si="875"/>
        <v>0</v>
      </c>
      <c r="CT262" s="742">
        <f t="shared" si="875"/>
        <v>0</v>
      </c>
      <c r="CU262" s="742">
        <f t="shared" si="875"/>
        <v>0</v>
      </c>
      <c r="CV262" s="742">
        <f t="shared" si="875"/>
        <v>0</v>
      </c>
    </row>
    <row r="263" spans="1:100" s="340" customFormat="1" ht="13.15" customHeight="1" outlineLevel="1" x14ac:dyDescent="0.2">
      <c r="A263" s="331"/>
      <c r="B263" s="331"/>
      <c r="C263" s="331"/>
      <c r="D263" s="331"/>
      <c r="E263" s="873" t="s">
        <v>544</v>
      </c>
      <c r="F263" s="331"/>
      <c r="G263" s="873" t="s">
        <v>5</v>
      </c>
      <c r="H263" s="746">
        <f xml:space="preserve"> SUM(J263:CV263)</f>
        <v>0</v>
      </c>
      <c r="I263" s="347"/>
      <c r="J263" s="746">
        <f t="shared" ref="J263:AO263" si="876" xml:space="preserve"> J261 + I263 - I262</f>
        <v>0</v>
      </c>
      <c r="K263" s="746">
        <f t="shared" si="876"/>
        <v>0</v>
      </c>
      <c r="L263" s="746">
        <f t="shared" si="876"/>
        <v>0</v>
      </c>
      <c r="M263" s="746">
        <f t="shared" si="876"/>
        <v>0</v>
      </c>
      <c r="N263" s="746">
        <f t="shared" si="876"/>
        <v>0</v>
      </c>
      <c r="O263" s="746">
        <f t="shared" si="876"/>
        <v>0</v>
      </c>
      <c r="P263" s="746">
        <f t="shared" si="876"/>
        <v>0</v>
      </c>
      <c r="Q263" s="746">
        <f t="shared" si="876"/>
        <v>0</v>
      </c>
      <c r="R263" s="746">
        <f t="shared" si="876"/>
        <v>0</v>
      </c>
      <c r="S263" s="746">
        <f t="shared" si="876"/>
        <v>0</v>
      </c>
      <c r="T263" s="746">
        <f t="shared" si="876"/>
        <v>0</v>
      </c>
      <c r="U263" s="746">
        <f t="shared" si="876"/>
        <v>0</v>
      </c>
      <c r="V263" s="746">
        <f t="shared" si="876"/>
        <v>0</v>
      </c>
      <c r="W263" s="746">
        <f t="shared" si="876"/>
        <v>0</v>
      </c>
      <c r="X263" s="746">
        <f t="shared" si="876"/>
        <v>0</v>
      </c>
      <c r="Y263" s="746">
        <f t="shared" si="876"/>
        <v>0</v>
      </c>
      <c r="Z263" s="746">
        <f t="shared" si="876"/>
        <v>0</v>
      </c>
      <c r="AA263" s="746">
        <f t="shared" si="876"/>
        <v>0</v>
      </c>
      <c r="AB263" s="746">
        <f t="shared" si="876"/>
        <v>0</v>
      </c>
      <c r="AC263" s="746">
        <f t="shared" si="876"/>
        <v>0</v>
      </c>
      <c r="AD263" s="746">
        <f t="shared" si="876"/>
        <v>0</v>
      </c>
      <c r="AE263" s="746">
        <f t="shared" si="876"/>
        <v>0</v>
      </c>
      <c r="AF263" s="746">
        <f t="shared" si="876"/>
        <v>0</v>
      </c>
      <c r="AG263" s="746">
        <f t="shared" si="876"/>
        <v>0</v>
      </c>
      <c r="AH263" s="746">
        <f t="shared" si="876"/>
        <v>0</v>
      </c>
      <c r="AI263" s="746">
        <f t="shared" si="876"/>
        <v>0</v>
      </c>
      <c r="AJ263" s="746">
        <f t="shared" si="876"/>
        <v>0</v>
      </c>
      <c r="AK263" s="746">
        <f t="shared" si="876"/>
        <v>0</v>
      </c>
      <c r="AL263" s="746">
        <f t="shared" si="876"/>
        <v>0</v>
      </c>
      <c r="AM263" s="746">
        <f t="shared" si="876"/>
        <v>0</v>
      </c>
      <c r="AN263" s="746">
        <f t="shared" si="876"/>
        <v>0</v>
      </c>
      <c r="AO263" s="746">
        <f t="shared" si="876"/>
        <v>0</v>
      </c>
      <c r="AP263" s="746">
        <f t="shared" ref="AP263:BU263" si="877" xml:space="preserve"> AP261 + AO263 - AO262</f>
        <v>0</v>
      </c>
      <c r="AQ263" s="746">
        <f t="shared" si="877"/>
        <v>0</v>
      </c>
      <c r="AR263" s="746">
        <f t="shared" si="877"/>
        <v>0</v>
      </c>
      <c r="AS263" s="746">
        <f t="shared" si="877"/>
        <v>0</v>
      </c>
      <c r="AT263" s="746">
        <f t="shared" si="877"/>
        <v>0</v>
      </c>
      <c r="AU263" s="746">
        <f t="shared" si="877"/>
        <v>0</v>
      </c>
      <c r="AV263" s="746">
        <f t="shared" si="877"/>
        <v>0</v>
      </c>
      <c r="AW263" s="746">
        <f t="shared" si="877"/>
        <v>0</v>
      </c>
      <c r="AX263" s="746">
        <f t="shared" si="877"/>
        <v>0</v>
      </c>
      <c r="AY263" s="746">
        <f t="shared" si="877"/>
        <v>0</v>
      </c>
      <c r="AZ263" s="746">
        <f t="shared" si="877"/>
        <v>0</v>
      </c>
      <c r="BA263" s="746">
        <f t="shared" si="877"/>
        <v>0</v>
      </c>
      <c r="BB263" s="746">
        <f t="shared" si="877"/>
        <v>0</v>
      </c>
      <c r="BC263" s="746">
        <f t="shared" si="877"/>
        <v>0</v>
      </c>
      <c r="BD263" s="746">
        <f t="shared" si="877"/>
        <v>0</v>
      </c>
      <c r="BE263" s="746">
        <f t="shared" si="877"/>
        <v>0</v>
      </c>
      <c r="BF263" s="746">
        <f t="shared" si="877"/>
        <v>0</v>
      </c>
      <c r="BG263" s="746">
        <f t="shared" si="877"/>
        <v>0</v>
      </c>
      <c r="BH263" s="746">
        <f t="shared" si="877"/>
        <v>0</v>
      </c>
      <c r="BI263" s="746">
        <f t="shared" si="877"/>
        <v>0</v>
      </c>
      <c r="BJ263" s="746">
        <f t="shared" si="877"/>
        <v>0</v>
      </c>
      <c r="BK263" s="746">
        <f t="shared" si="877"/>
        <v>0</v>
      </c>
      <c r="BL263" s="746">
        <f t="shared" si="877"/>
        <v>0</v>
      </c>
      <c r="BM263" s="746">
        <f t="shared" si="877"/>
        <v>0</v>
      </c>
      <c r="BN263" s="746">
        <f t="shared" si="877"/>
        <v>0</v>
      </c>
      <c r="BO263" s="746">
        <f t="shared" si="877"/>
        <v>0</v>
      </c>
      <c r="BP263" s="746">
        <f t="shared" si="877"/>
        <v>0</v>
      </c>
      <c r="BQ263" s="746">
        <f t="shared" si="877"/>
        <v>0</v>
      </c>
      <c r="BR263" s="746">
        <f t="shared" si="877"/>
        <v>0</v>
      </c>
      <c r="BS263" s="746">
        <f t="shared" si="877"/>
        <v>0</v>
      </c>
      <c r="BT263" s="746">
        <f t="shared" si="877"/>
        <v>0</v>
      </c>
      <c r="BU263" s="746">
        <f t="shared" si="877"/>
        <v>0</v>
      </c>
      <c r="BV263" s="746">
        <f t="shared" ref="BV263:CV263" si="878" xml:space="preserve"> BV261 + BU263 - BU262</f>
        <v>0</v>
      </c>
      <c r="BW263" s="746">
        <f t="shared" si="878"/>
        <v>0</v>
      </c>
      <c r="BX263" s="746">
        <f t="shared" si="878"/>
        <v>0</v>
      </c>
      <c r="BY263" s="746">
        <f t="shared" si="878"/>
        <v>0</v>
      </c>
      <c r="BZ263" s="746">
        <f t="shared" si="878"/>
        <v>0</v>
      </c>
      <c r="CA263" s="746">
        <f t="shared" si="878"/>
        <v>0</v>
      </c>
      <c r="CB263" s="746">
        <f t="shared" si="878"/>
        <v>0</v>
      </c>
      <c r="CC263" s="746">
        <f t="shared" si="878"/>
        <v>0</v>
      </c>
      <c r="CD263" s="746">
        <f t="shared" si="878"/>
        <v>0</v>
      </c>
      <c r="CE263" s="746">
        <f t="shared" si="878"/>
        <v>0</v>
      </c>
      <c r="CF263" s="746">
        <f t="shared" si="878"/>
        <v>0</v>
      </c>
      <c r="CG263" s="746">
        <f t="shared" si="878"/>
        <v>0</v>
      </c>
      <c r="CH263" s="746">
        <f t="shared" si="878"/>
        <v>0</v>
      </c>
      <c r="CI263" s="746">
        <f t="shared" si="878"/>
        <v>0</v>
      </c>
      <c r="CJ263" s="746">
        <f t="shared" si="878"/>
        <v>0</v>
      </c>
      <c r="CK263" s="746">
        <f t="shared" si="878"/>
        <v>0</v>
      </c>
      <c r="CL263" s="746">
        <f t="shared" si="878"/>
        <v>0</v>
      </c>
      <c r="CM263" s="746">
        <f t="shared" si="878"/>
        <v>0</v>
      </c>
      <c r="CN263" s="746">
        <f t="shared" si="878"/>
        <v>0</v>
      </c>
      <c r="CO263" s="746">
        <f t="shared" si="878"/>
        <v>0</v>
      </c>
      <c r="CP263" s="746">
        <f t="shared" si="878"/>
        <v>0</v>
      </c>
      <c r="CQ263" s="746">
        <f t="shared" si="878"/>
        <v>0</v>
      </c>
      <c r="CR263" s="746">
        <f t="shared" si="878"/>
        <v>0</v>
      </c>
      <c r="CS263" s="746">
        <f t="shared" si="878"/>
        <v>0</v>
      </c>
      <c r="CT263" s="746">
        <f t="shared" si="878"/>
        <v>0</v>
      </c>
      <c r="CU263" s="746">
        <f t="shared" si="878"/>
        <v>0</v>
      </c>
      <c r="CV263" s="746">
        <f t="shared" si="878"/>
        <v>0</v>
      </c>
    </row>
    <row r="264" spans="1:100" x14ac:dyDescent="0.2">
      <c r="E264" s="9"/>
    </row>
    <row r="265" spans="1:100" x14ac:dyDescent="0.2">
      <c r="A265" s="15" t="s">
        <v>62</v>
      </c>
    </row>
    <row r="269" spans="1:100" x14ac:dyDescent="0.2"/>
    <row r="270" spans="1:100" x14ac:dyDescent="0.2"/>
    <row r="271" spans="1:100" x14ac:dyDescent="0.2"/>
    <row r="272" spans="1:100" x14ac:dyDescent="0.2"/>
    <row r="285" x14ac:dyDescent="0.2"/>
    <row r="286" x14ac:dyDescent="0.2"/>
    <row r="287" x14ac:dyDescent="0.2"/>
    <row r="288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</sheetData>
  <conditionalFormatting sqref="J3:CV3">
    <cfRule type="cellIs" dxfId="198" priority="8" stopIfTrue="1" operator="equal">
      <formula>"Construction"</formula>
    </cfRule>
    <cfRule type="cellIs" dxfId="197" priority="9" stopIfTrue="1" operator="equal">
      <formula>"Operations"</formula>
    </cfRule>
  </conditionalFormatting>
  <conditionalFormatting sqref="J3:CV3">
    <cfRule type="cellIs" dxfId="196" priority="7" operator="equal">
      <formula>"Fin Close"</formula>
    </cfRule>
  </conditionalFormatting>
  <conditionalFormatting sqref="J3:CV3">
    <cfRule type="cellIs" dxfId="195" priority="5" operator="equal">
      <formula>"PPA ext."</formula>
    </cfRule>
    <cfRule type="cellIs" dxfId="194" priority="6" operator="equal">
      <formula>"Delay"</formula>
    </cfRule>
  </conditionalFormatting>
  <conditionalFormatting sqref="F2:F4">
    <cfRule type="cellIs" dxfId="193" priority="1" stopIfTrue="1" operator="notEqual">
      <formula>0</formula>
    </cfRule>
    <cfRule type="cellIs" dxfId="192" priority="2" stopIfTrue="1" operator="equal">
      <formula>""</formula>
    </cfRule>
  </conditionalFormatting>
  <conditionalFormatting sqref="F2:F4">
    <cfRule type="cellIs" dxfId="191" priority="3" stopIfTrue="1" operator="notEqual">
      <formula>0</formula>
    </cfRule>
    <cfRule type="cellIs" dxfId="190" priority="4" stopIfTrue="1" operator="equal">
      <formula>""</formula>
    </cfRule>
  </conditionalFormatting>
  <dataValidations count="1">
    <dataValidation allowBlank="1" showInputMessage="1" showErrorMessage="1" sqref="E42:H42 E32:H3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58"/>
  <sheetViews>
    <sheetView showFormulas="1" defaultGridColor="0" colorId="8" zoomScale="75" zoomScaleNormal="75" workbookViewId="0">
      <pane xSplit="9" ySplit="5" topLeftCell="AQ46" activePane="bottomRight" state="frozen"/>
      <selection activeCell="F117" sqref="F117"/>
      <selection pane="topRight" activeCell="F117" sqref="F117"/>
      <selection pane="bottomLeft" activeCell="F117" sqref="F117"/>
      <selection pane="bottomRight" activeCell="O55" sqref="O55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Esc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/>
    <row r="7" spans="1:100" x14ac:dyDescent="0.2">
      <c r="A7" s="15" t="s">
        <v>629</v>
      </c>
    </row>
    <row r="8" spans="1:100" outlineLevel="1" x14ac:dyDescent="0.2"/>
    <row r="9" spans="1:100" outlineLevel="1" x14ac:dyDescent="0.2">
      <c r="E9" s="125" t="str">
        <f xml:space="preserve"> InpC!E$123</f>
        <v>Escalation uplift month</v>
      </c>
      <c r="F9" s="125">
        <f xml:space="preserve"> InpC!F$123</f>
        <v>1</v>
      </c>
      <c r="G9" s="125" t="str">
        <f xml:space="preserve"> InpC!G$123</f>
        <v>month</v>
      </c>
    </row>
    <row r="10" spans="1:100" outlineLevel="1" x14ac:dyDescent="0.2">
      <c r="E10" s="848" t="str">
        <f xml:space="preserve"> Time!E$20</f>
        <v>Model period beginning</v>
      </c>
      <c r="F10" s="848">
        <f xml:space="preserve"> Time!F$20</f>
        <v>0</v>
      </c>
      <c r="G10" s="848" t="str">
        <f xml:space="preserve"> Time!G$20</f>
        <v>date</v>
      </c>
      <c r="H10" s="848">
        <f xml:space="preserve"> Time!H$20</f>
        <v>0</v>
      </c>
      <c r="I10" s="848">
        <f xml:space="preserve"> Time!I$20</f>
        <v>0</v>
      </c>
      <c r="J10" s="848">
        <f xml:space="preserve"> Time!J$20</f>
        <v>44562</v>
      </c>
      <c r="K10" s="848">
        <f xml:space="preserve"> Time!K$20</f>
        <v>44743</v>
      </c>
      <c r="L10" s="848">
        <f xml:space="preserve"> Time!L$20</f>
        <v>44927</v>
      </c>
      <c r="M10" s="848">
        <f xml:space="preserve"> Time!M$20</f>
        <v>45108</v>
      </c>
      <c r="N10" s="848">
        <f xml:space="preserve"> Time!N$20</f>
        <v>45292</v>
      </c>
      <c r="O10" s="848">
        <f xml:space="preserve"> Time!O$20</f>
        <v>45474</v>
      </c>
      <c r="P10" s="848">
        <f xml:space="preserve"> Time!P$20</f>
        <v>45658</v>
      </c>
      <c r="Q10" s="848">
        <f xml:space="preserve"> Time!Q$20</f>
        <v>45839</v>
      </c>
      <c r="R10" s="848">
        <f xml:space="preserve"> Time!R$20</f>
        <v>46023</v>
      </c>
      <c r="S10" s="848">
        <f xml:space="preserve"> Time!S$20</f>
        <v>46204</v>
      </c>
      <c r="T10" s="848">
        <f xml:space="preserve"> Time!T$20</f>
        <v>46388</v>
      </c>
      <c r="U10" s="848">
        <f xml:space="preserve"> Time!U$20</f>
        <v>46569</v>
      </c>
      <c r="V10" s="848">
        <f xml:space="preserve"> Time!V$20</f>
        <v>46753</v>
      </c>
      <c r="W10" s="848">
        <f xml:space="preserve"> Time!W$20</f>
        <v>46935</v>
      </c>
      <c r="X10" s="848">
        <f xml:space="preserve"> Time!X$20</f>
        <v>47119</v>
      </c>
      <c r="Y10" s="848">
        <f xml:space="preserve"> Time!Y$20</f>
        <v>47300</v>
      </c>
      <c r="Z10" s="848">
        <f xml:space="preserve"> Time!Z$20</f>
        <v>47484</v>
      </c>
      <c r="AA10" s="848">
        <f xml:space="preserve"> Time!AA$20</f>
        <v>47665</v>
      </c>
      <c r="AB10" s="848">
        <f xml:space="preserve"> Time!AB$20</f>
        <v>47849</v>
      </c>
      <c r="AC10" s="848">
        <f xml:space="preserve"> Time!AC$20</f>
        <v>48030</v>
      </c>
      <c r="AD10" s="848">
        <f xml:space="preserve"> Time!AD$20</f>
        <v>48214</v>
      </c>
      <c r="AE10" s="848">
        <f xml:space="preserve"> Time!AE$20</f>
        <v>48396</v>
      </c>
      <c r="AF10" s="848">
        <f xml:space="preserve"> Time!AF$20</f>
        <v>48580</v>
      </c>
      <c r="AG10" s="848">
        <f xml:space="preserve"> Time!AG$20</f>
        <v>48761</v>
      </c>
      <c r="AH10" s="848">
        <f xml:space="preserve"> Time!AH$20</f>
        <v>48945</v>
      </c>
      <c r="AI10" s="848">
        <f xml:space="preserve"> Time!AI$20</f>
        <v>49126</v>
      </c>
      <c r="AJ10" s="848">
        <f xml:space="preserve"> Time!AJ$20</f>
        <v>49310</v>
      </c>
      <c r="AK10" s="848">
        <f xml:space="preserve"> Time!AK$20</f>
        <v>49491</v>
      </c>
      <c r="AL10" s="848">
        <f xml:space="preserve"> Time!AL$20</f>
        <v>49675</v>
      </c>
      <c r="AM10" s="848">
        <f xml:space="preserve"> Time!AM$20</f>
        <v>49857</v>
      </c>
      <c r="AN10" s="848">
        <f xml:space="preserve"> Time!AN$20</f>
        <v>50041</v>
      </c>
      <c r="AO10" s="848">
        <f xml:space="preserve"> Time!AO$20</f>
        <v>50222</v>
      </c>
      <c r="AP10" s="848">
        <f xml:space="preserve"> Time!AP$20</f>
        <v>50406</v>
      </c>
      <c r="AQ10" s="848">
        <f xml:space="preserve"> Time!AQ$20</f>
        <v>50587</v>
      </c>
      <c r="AR10" s="848">
        <f xml:space="preserve"> Time!AR$20</f>
        <v>50771</v>
      </c>
      <c r="AS10" s="848">
        <f xml:space="preserve"> Time!AS$20</f>
        <v>50952</v>
      </c>
      <c r="AT10" s="848">
        <f xml:space="preserve"> Time!AT$20</f>
        <v>51136</v>
      </c>
      <c r="AU10" s="848">
        <f xml:space="preserve"> Time!AU$20</f>
        <v>51318</v>
      </c>
      <c r="AV10" s="848">
        <f xml:space="preserve"> Time!AV$20</f>
        <v>51502</v>
      </c>
      <c r="AW10" s="848">
        <f xml:space="preserve"> Time!AW$20</f>
        <v>51683</v>
      </c>
      <c r="AX10" s="848">
        <f xml:space="preserve"> Time!AX$20</f>
        <v>51867</v>
      </c>
      <c r="AY10" s="848">
        <f xml:space="preserve"> Time!AY$20</f>
        <v>52048</v>
      </c>
      <c r="AZ10" s="848">
        <f xml:space="preserve"> Time!AZ$20</f>
        <v>52232</v>
      </c>
      <c r="BA10" s="848">
        <f xml:space="preserve"> Time!BA$20</f>
        <v>52413</v>
      </c>
      <c r="BB10" s="848">
        <f xml:space="preserve"> Time!BB$20</f>
        <v>52597</v>
      </c>
      <c r="BC10" s="848">
        <f xml:space="preserve"> Time!BC$20</f>
        <v>52779</v>
      </c>
      <c r="BD10" s="848">
        <f xml:space="preserve"> Time!BD$20</f>
        <v>52963</v>
      </c>
      <c r="BE10" s="848">
        <f xml:space="preserve"> Time!BE$20</f>
        <v>53144</v>
      </c>
      <c r="BF10" s="848">
        <f xml:space="preserve"> Time!BF$20</f>
        <v>53328</v>
      </c>
      <c r="BG10" s="848">
        <f xml:space="preserve"> Time!BG$20</f>
        <v>53509</v>
      </c>
      <c r="BH10" s="848">
        <f xml:space="preserve"> Time!BH$20</f>
        <v>53693</v>
      </c>
      <c r="BI10" s="848">
        <f xml:space="preserve"> Time!BI$20</f>
        <v>53874</v>
      </c>
      <c r="BJ10" s="848">
        <f xml:space="preserve"> Time!BJ$20</f>
        <v>54058</v>
      </c>
      <c r="BK10" s="848">
        <f xml:space="preserve"> Time!BK$20</f>
        <v>54240</v>
      </c>
      <c r="BL10" s="848">
        <f xml:space="preserve"> Time!BL$20</f>
        <v>54424</v>
      </c>
      <c r="BM10" s="848">
        <f xml:space="preserve"> Time!BM$20</f>
        <v>54605</v>
      </c>
      <c r="BN10" s="848">
        <f xml:space="preserve"> Time!BN$20</f>
        <v>54789</v>
      </c>
      <c r="BO10" s="848">
        <f xml:space="preserve"> Time!BO$20</f>
        <v>54970</v>
      </c>
      <c r="BP10" s="848">
        <f xml:space="preserve"> Time!BP$20</f>
        <v>55154</v>
      </c>
      <c r="BQ10" s="848">
        <f xml:space="preserve"> Time!BQ$20</f>
        <v>55335</v>
      </c>
      <c r="BR10" s="848">
        <f xml:space="preserve"> Time!BR$20</f>
        <v>55519</v>
      </c>
      <c r="BS10" s="848">
        <f xml:space="preserve"> Time!BS$20</f>
        <v>55701</v>
      </c>
      <c r="BT10" s="848">
        <f xml:space="preserve"> Time!BT$20</f>
        <v>55885</v>
      </c>
      <c r="BU10" s="848">
        <f xml:space="preserve"> Time!BU$20</f>
        <v>56066</v>
      </c>
      <c r="BV10" s="848">
        <f xml:space="preserve"> Time!BV$20</f>
        <v>56250</v>
      </c>
      <c r="BW10" s="848">
        <f xml:space="preserve"> Time!BW$20</f>
        <v>56431</v>
      </c>
      <c r="BX10" s="848">
        <f xml:space="preserve"> Time!BX$20</f>
        <v>56615</v>
      </c>
      <c r="BY10" s="848">
        <f xml:space="preserve"> Time!BY$20</f>
        <v>56796</v>
      </c>
      <c r="BZ10" s="848">
        <f xml:space="preserve"> Time!BZ$20</f>
        <v>56980</v>
      </c>
      <c r="CA10" s="848">
        <f xml:space="preserve"> Time!CA$20</f>
        <v>57162</v>
      </c>
      <c r="CB10" s="848">
        <f xml:space="preserve"> Time!CB$20</f>
        <v>57346</v>
      </c>
      <c r="CC10" s="848">
        <f xml:space="preserve"> Time!CC$20</f>
        <v>57527</v>
      </c>
      <c r="CD10" s="848">
        <f xml:space="preserve"> Time!CD$20</f>
        <v>57711</v>
      </c>
      <c r="CE10" s="848">
        <f xml:space="preserve"> Time!CE$20</f>
        <v>57892</v>
      </c>
      <c r="CF10" s="848">
        <f xml:space="preserve"> Time!CF$20</f>
        <v>58076</v>
      </c>
      <c r="CG10" s="848">
        <f xml:space="preserve"> Time!CG$20</f>
        <v>58257</v>
      </c>
      <c r="CH10" s="848">
        <f xml:space="preserve"> Time!CH$20</f>
        <v>58441</v>
      </c>
      <c r="CI10" s="848">
        <f xml:space="preserve"> Time!CI$20</f>
        <v>58623</v>
      </c>
      <c r="CJ10" s="848">
        <f xml:space="preserve"> Time!CJ$20</f>
        <v>58807</v>
      </c>
      <c r="CK10" s="848">
        <f xml:space="preserve"> Time!CK$20</f>
        <v>58988</v>
      </c>
      <c r="CL10" s="848">
        <f xml:space="preserve"> Time!CL$20</f>
        <v>59172</v>
      </c>
      <c r="CM10" s="848">
        <f xml:space="preserve"> Time!CM$20</f>
        <v>59353</v>
      </c>
      <c r="CN10" s="848">
        <f xml:space="preserve"> Time!CN$20</f>
        <v>59537</v>
      </c>
      <c r="CO10" s="848">
        <f xml:space="preserve"> Time!CO$20</f>
        <v>59718</v>
      </c>
      <c r="CP10" s="848">
        <f xml:space="preserve"> Time!CP$20</f>
        <v>59902</v>
      </c>
      <c r="CQ10" s="848">
        <f xml:space="preserve"> Time!CQ$20</f>
        <v>60084</v>
      </c>
      <c r="CR10" s="848">
        <f xml:space="preserve"> Time!CR$20</f>
        <v>60268</v>
      </c>
      <c r="CS10" s="848">
        <f xml:space="preserve"> Time!CS$20</f>
        <v>60449</v>
      </c>
      <c r="CT10" s="848">
        <f xml:space="preserve"> Time!CT$20</f>
        <v>60633</v>
      </c>
      <c r="CU10" s="848">
        <f xml:space="preserve"> Time!CU$20</f>
        <v>60814</v>
      </c>
      <c r="CV10" s="848">
        <f xml:space="preserve"> Time!CV$20</f>
        <v>60998</v>
      </c>
    </row>
    <row r="11" spans="1:100" outlineLevel="1" x14ac:dyDescent="0.2">
      <c r="E11" s="125" t="str">
        <f xml:space="preserve"> Time!E$226</f>
        <v>Escalation period flag</v>
      </c>
      <c r="F11" s="125">
        <f xml:space="preserve"> Time!F$226</f>
        <v>0</v>
      </c>
      <c r="G11" s="125" t="str">
        <f xml:space="preserve"> Time!G$226</f>
        <v>flag</v>
      </c>
      <c r="H11" s="125">
        <f xml:space="preserve"> Time!H$226</f>
        <v>45</v>
      </c>
      <c r="I11" s="125">
        <f xml:space="preserve"> Time!I$226</f>
        <v>0</v>
      </c>
      <c r="J11" s="125">
        <f xml:space="preserve"> Time!J$226</f>
        <v>0</v>
      </c>
      <c r="K11" s="125">
        <f xml:space="preserve"> Time!K$226</f>
        <v>1</v>
      </c>
      <c r="L11" s="125">
        <f xml:space="preserve"> Time!L$226</f>
        <v>0</v>
      </c>
      <c r="M11" s="125">
        <f xml:space="preserve"> Time!M$226</f>
        <v>1</v>
      </c>
      <c r="N11" s="125">
        <f xml:space="preserve"> Time!N$226</f>
        <v>0</v>
      </c>
      <c r="O11" s="125">
        <f xml:space="preserve"> Time!O$226</f>
        <v>1</v>
      </c>
      <c r="P11" s="125">
        <f xml:space="preserve"> Time!P$226</f>
        <v>0</v>
      </c>
      <c r="Q11" s="125">
        <f xml:space="preserve"> Time!Q$226</f>
        <v>1</v>
      </c>
      <c r="R11" s="125">
        <f xml:space="preserve"> Time!R$226</f>
        <v>0</v>
      </c>
      <c r="S11" s="125">
        <f xml:space="preserve"> Time!S$226</f>
        <v>1</v>
      </c>
      <c r="T11" s="125">
        <f xml:space="preserve"> Time!T$226</f>
        <v>0</v>
      </c>
      <c r="U11" s="125">
        <f xml:space="preserve"> Time!U$226</f>
        <v>1</v>
      </c>
      <c r="V11" s="125">
        <f xml:space="preserve"> Time!V$226</f>
        <v>0</v>
      </c>
      <c r="W11" s="125">
        <f xml:space="preserve"> Time!W$226</f>
        <v>1</v>
      </c>
      <c r="X11" s="125">
        <f xml:space="preserve"> Time!X$226</f>
        <v>0</v>
      </c>
      <c r="Y11" s="125">
        <f xml:space="preserve"> Time!Y$226</f>
        <v>1</v>
      </c>
      <c r="Z11" s="125">
        <f xml:space="preserve"> Time!Z$226</f>
        <v>0</v>
      </c>
      <c r="AA11" s="125">
        <f xml:space="preserve"> Time!AA$226</f>
        <v>1</v>
      </c>
      <c r="AB11" s="125">
        <f xml:space="preserve"> Time!AB$226</f>
        <v>0</v>
      </c>
      <c r="AC11" s="125">
        <f xml:space="preserve"> Time!AC$226</f>
        <v>1</v>
      </c>
      <c r="AD11" s="125">
        <f xml:space="preserve"> Time!AD$226</f>
        <v>0</v>
      </c>
      <c r="AE11" s="125">
        <f xml:space="preserve"> Time!AE$226</f>
        <v>1</v>
      </c>
      <c r="AF11" s="125">
        <f xml:space="preserve"> Time!AF$226</f>
        <v>0</v>
      </c>
      <c r="AG11" s="125">
        <f xml:space="preserve"> Time!AG$226</f>
        <v>1</v>
      </c>
      <c r="AH11" s="125">
        <f xml:space="preserve"> Time!AH$226</f>
        <v>0</v>
      </c>
      <c r="AI11" s="125">
        <f xml:space="preserve"> Time!AI$226</f>
        <v>1</v>
      </c>
      <c r="AJ11" s="125">
        <f xml:space="preserve"> Time!AJ$226</f>
        <v>0</v>
      </c>
      <c r="AK11" s="125">
        <f xml:space="preserve"> Time!AK$226</f>
        <v>1</v>
      </c>
      <c r="AL11" s="125">
        <f xml:space="preserve"> Time!AL$226</f>
        <v>0</v>
      </c>
      <c r="AM11" s="125">
        <f xml:space="preserve"> Time!AM$226</f>
        <v>1</v>
      </c>
      <c r="AN11" s="125">
        <f xml:space="preserve"> Time!AN$226</f>
        <v>0</v>
      </c>
      <c r="AO11" s="125">
        <f xml:space="preserve"> Time!AO$226</f>
        <v>1</v>
      </c>
      <c r="AP11" s="125">
        <f xml:space="preserve"> Time!AP$226</f>
        <v>0</v>
      </c>
      <c r="AQ11" s="125">
        <f xml:space="preserve"> Time!AQ$226</f>
        <v>1</v>
      </c>
      <c r="AR11" s="125">
        <f xml:space="preserve"> Time!AR$226</f>
        <v>0</v>
      </c>
      <c r="AS11" s="125">
        <f xml:space="preserve"> Time!AS$226</f>
        <v>1</v>
      </c>
      <c r="AT11" s="125">
        <f xml:space="preserve"> Time!AT$226</f>
        <v>0</v>
      </c>
      <c r="AU11" s="125">
        <f xml:space="preserve"> Time!AU$226</f>
        <v>1</v>
      </c>
      <c r="AV11" s="125">
        <f xml:space="preserve"> Time!AV$226</f>
        <v>0</v>
      </c>
      <c r="AW11" s="125">
        <f xml:space="preserve"> Time!AW$226</f>
        <v>1</v>
      </c>
      <c r="AX11" s="125">
        <f xml:space="preserve"> Time!AX$226</f>
        <v>0</v>
      </c>
      <c r="AY11" s="125">
        <f xml:space="preserve"> Time!AY$226</f>
        <v>1</v>
      </c>
      <c r="AZ11" s="125">
        <f xml:space="preserve"> Time!AZ$226</f>
        <v>0</v>
      </c>
      <c r="BA11" s="125">
        <f xml:space="preserve"> Time!BA$226</f>
        <v>1</v>
      </c>
      <c r="BB11" s="125">
        <f xml:space="preserve"> Time!BB$226</f>
        <v>0</v>
      </c>
      <c r="BC11" s="125">
        <f xml:space="preserve"> Time!BC$226</f>
        <v>1</v>
      </c>
      <c r="BD11" s="125">
        <f xml:space="preserve"> Time!BD$226</f>
        <v>0</v>
      </c>
      <c r="BE11" s="125">
        <f xml:space="preserve"> Time!BE$226</f>
        <v>1</v>
      </c>
      <c r="BF11" s="125">
        <f xml:space="preserve"> Time!BF$226</f>
        <v>0</v>
      </c>
      <c r="BG11" s="125">
        <f xml:space="preserve"> Time!BG$226</f>
        <v>1</v>
      </c>
      <c r="BH11" s="125">
        <f xml:space="preserve"> Time!BH$226</f>
        <v>0</v>
      </c>
      <c r="BI11" s="125">
        <f xml:space="preserve"> Time!BI$226</f>
        <v>1</v>
      </c>
      <c r="BJ11" s="125">
        <f xml:space="preserve"> Time!BJ$226</f>
        <v>0</v>
      </c>
      <c r="BK11" s="125">
        <f xml:space="preserve"> Time!BK$226</f>
        <v>1</v>
      </c>
      <c r="BL11" s="125">
        <f xml:space="preserve"> Time!BL$226</f>
        <v>0</v>
      </c>
      <c r="BM11" s="125">
        <f xml:space="preserve"> Time!BM$226</f>
        <v>1</v>
      </c>
      <c r="BN11" s="125">
        <f xml:space="preserve"> Time!BN$226</f>
        <v>0</v>
      </c>
      <c r="BO11" s="125">
        <f xml:space="preserve"> Time!BO$226</f>
        <v>1</v>
      </c>
      <c r="BP11" s="125">
        <f xml:space="preserve"> Time!BP$226</f>
        <v>0</v>
      </c>
      <c r="BQ11" s="125">
        <f xml:space="preserve"> Time!BQ$226</f>
        <v>1</v>
      </c>
      <c r="BR11" s="125">
        <f xml:space="preserve"> Time!BR$226</f>
        <v>0</v>
      </c>
      <c r="BS11" s="125">
        <f xml:space="preserve"> Time!BS$226</f>
        <v>1</v>
      </c>
      <c r="BT11" s="125">
        <f xml:space="preserve"> Time!BT$226</f>
        <v>0</v>
      </c>
      <c r="BU11" s="125">
        <f xml:space="preserve"> Time!BU$226</f>
        <v>1</v>
      </c>
      <c r="BV11" s="125">
        <f xml:space="preserve"> Time!BV$226</f>
        <v>0</v>
      </c>
      <c r="BW11" s="125">
        <f xml:space="preserve"> Time!BW$226</f>
        <v>1</v>
      </c>
      <c r="BX11" s="125">
        <f xml:space="preserve"> Time!BX$226</f>
        <v>0</v>
      </c>
      <c r="BY11" s="125">
        <f xml:space="preserve"> Time!BY$226</f>
        <v>1</v>
      </c>
      <c r="BZ11" s="125">
        <f xml:space="preserve"> Time!BZ$226</f>
        <v>0</v>
      </c>
      <c r="CA11" s="125">
        <f xml:space="preserve"> Time!CA$226</f>
        <v>1</v>
      </c>
      <c r="CB11" s="125">
        <f xml:space="preserve"> Time!CB$226</f>
        <v>0</v>
      </c>
      <c r="CC11" s="125">
        <f xml:space="preserve"> Time!CC$226</f>
        <v>1</v>
      </c>
      <c r="CD11" s="125">
        <f xml:space="preserve"> Time!CD$226</f>
        <v>0</v>
      </c>
      <c r="CE11" s="125">
        <f xml:space="preserve"> Time!CE$226</f>
        <v>1</v>
      </c>
      <c r="CF11" s="125">
        <f xml:space="preserve"> Time!CF$226</f>
        <v>0</v>
      </c>
      <c r="CG11" s="125">
        <f xml:space="preserve"> Time!CG$226</f>
        <v>1</v>
      </c>
      <c r="CH11" s="125">
        <f xml:space="preserve"> Time!CH$226</f>
        <v>0</v>
      </c>
      <c r="CI11" s="125">
        <f xml:space="preserve"> Time!CI$226</f>
        <v>1</v>
      </c>
      <c r="CJ11" s="125">
        <f xml:space="preserve"> Time!CJ$226</f>
        <v>0</v>
      </c>
      <c r="CK11" s="125">
        <f xml:space="preserve"> Time!CK$226</f>
        <v>1</v>
      </c>
      <c r="CL11" s="125">
        <f xml:space="preserve"> Time!CL$226</f>
        <v>0</v>
      </c>
      <c r="CM11" s="125">
        <f xml:space="preserve"> Time!CM$226</f>
        <v>1</v>
      </c>
      <c r="CN11" s="125">
        <f xml:space="preserve"> Time!CN$226</f>
        <v>0</v>
      </c>
      <c r="CO11" s="125">
        <f xml:space="preserve"> Time!CO$226</f>
        <v>1</v>
      </c>
      <c r="CP11" s="125">
        <f xml:space="preserve"> Time!CP$226</f>
        <v>0</v>
      </c>
      <c r="CQ11" s="125">
        <f xml:space="preserve"> Time!CQ$226</f>
        <v>1</v>
      </c>
      <c r="CR11" s="125">
        <f xml:space="preserve"> Time!CR$226</f>
        <v>0</v>
      </c>
      <c r="CS11" s="125">
        <f xml:space="preserve"> Time!CS$226</f>
        <v>1</v>
      </c>
      <c r="CT11" s="125">
        <f xml:space="preserve"> Time!CT$226</f>
        <v>0</v>
      </c>
      <c r="CU11" s="125">
        <f xml:space="preserve"> Time!CU$226</f>
        <v>1</v>
      </c>
      <c r="CV11" s="125">
        <f xml:space="preserve"> Time!CV$226</f>
        <v>0</v>
      </c>
    </row>
    <row r="12" spans="1:100" s="191" customFormat="1" outlineLevel="1" x14ac:dyDescent="0.2">
      <c r="A12" s="236"/>
      <c r="B12" s="236"/>
      <c r="C12" s="237"/>
      <c r="D12" s="238"/>
      <c r="E12" s="194" t="s">
        <v>608</v>
      </c>
      <c r="F12" s="194"/>
      <c r="G12" s="194" t="s">
        <v>6</v>
      </c>
      <c r="H12" s="194"/>
      <c r="I12" s="194"/>
      <c r="J12" s="194">
        <f t="shared" ref="J12:AO12" si="0" xml:space="preserve"> IF(J11 = 1, DATE(YEAR(J10), $F9, 1), I12)</f>
        <v>0</v>
      </c>
      <c r="K12" s="194">
        <f t="shared" si="0"/>
        <v>44562</v>
      </c>
      <c r="L12" s="194">
        <f t="shared" si="0"/>
        <v>44562</v>
      </c>
      <c r="M12" s="194">
        <f t="shared" si="0"/>
        <v>44927</v>
      </c>
      <c r="N12" s="194">
        <f t="shared" si="0"/>
        <v>44927</v>
      </c>
      <c r="O12" s="194">
        <f t="shared" si="0"/>
        <v>45292</v>
      </c>
      <c r="P12" s="194">
        <f t="shared" si="0"/>
        <v>45292</v>
      </c>
      <c r="Q12" s="194">
        <f t="shared" si="0"/>
        <v>45658</v>
      </c>
      <c r="R12" s="194">
        <f t="shared" si="0"/>
        <v>45658</v>
      </c>
      <c r="S12" s="194">
        <f t="shared" si="0"/>
        <v>46023</v>
      </c>
      <c r="T12" s="194">
        <f t="shared" si="0"/>
        <v>46023</v>
      </c>
      <c r="U12" s="194">
        <f t="shared" si="0"/>
        <v>46388</v>
      </c>
      <c r="V12" s="194">
        <f t="shared" si="0"/>
        <v>46388</v>
      </c>
      <c r="W12" s="194">
        <f t="shared" si="0"/>
        <v>46753</v>
      </c>
      <c r="X12" s="194">
        <f t="shared" si="0"/>
        <v>46753</v>
      </c>
      <c r="Y12" s="194">
        <f t="shared" si="0"/>
        <v>47119</v>
      </c>
      <c r="Z12" s="194">
        <f t="shared" si="0"/>
        <v>47119</v>
      </c>
      <c r="AA12" s="194">
        <f t="shared" si="0"/>
        <v>47484</v>
      </c>
      <c r="AB12" s="194">
        <f t="shared" si="0"/>
        <v>47484</v>
      </c>
      <c r="AC12" s="194">
        <f t="shared" si="0"/>
        <v>47849</v>
      </c>
      <c r="AD12" s="194">
        <f t="shared" si="0"/>
        <v>47849</v>
      </c>
      <c r="AE12" s="194">
        <f t="shared" si="0"/>
        <v>48214</v>
      </c>
      <c r="AF12" s="194">
        <f t="shared" si="0"/>
        <v>48214</v>
      </c>
      <c r="AG12" s="194">
        <f t="shared" si="0"/>
        <v>48580</v>
      </c>
      <c r="AH12" s="194">
        <f t="shared" si="0"/>
        <v>48580</v>
      </c>
      <c r="AI12" s="194">
        <f t="shared" si="0"/>
        <v>48945</v>
      </c>
      <c r="AJ12" s="194">
        <f t="shared" si="0"/>
        <v>48945</v>
      </c>
      <c r="AK12" s="194">
        <f t="shared" si="0"/>
        <v>49310</v>
      </c>
      <c r="AL12" s="194">
        <f t="shared" si="0"/>
        <v>49310</v>
      </c>
      <c r="AM12" s="194">
        <f t="shared" si="0"/>
        <v>49675</v>
      </c>
      <c r="AN12" s="194">
        <f t="shared" si="0"/>
        <v>49675</v>
      </c>
      <c r="AO12" s="194">
        <f t="shared" si="0"/>
        <v>50041</v>
      </c>
      <c r="AP12" s="194">
        <f t="shared" ref="AP12:BU12" si="1" xml:space="preserve"> IF(AP11 = 1, DATE(YEAR(AP10), $F9, 1), AO12)</f>
        <v>50041</v>
      </c>
      <c r="AQ12" s="194">
        <f t="shared" si="1"/>
        <v>50406</v>
      </c>
      <c r="AR12" s="194">
        <f t="shared" si="1"/>
        <v>50406</v>
      </c>
      <c r="AS12" s="194">
        <f t="shared" si="1"/>
        <v>50771</v>
      </c>
      <c r="AT12" s="194">
        <f t="shared" si="1"/>
        <v>50771</v>
      </c>
      <c r="AU12" s="194">
        <f t="shared" si="1"/>
        <v>51136</v>
      </c>
      <c r="AV12" s="194">
        <f t="shared" si="1"/>
        <v>51136</v>
      </c>
      <c r="AW12" s="194">
        <f t="shared" si="1"/>
        <v>51502</v>
      </c>
      <c r="AX12" s="194">
        <f t="shared" si="1"/>
        <v>51502</v>
      </c>
      <c r="AY12" s="194">
        <f t="shared" si="1"/>
        <v>51867</v>
      </c>
      <c r="AZ12" s="194">
        <f t="shared" si="1"/>
        <v>51867</v>
      </c>
      <c r="BA12" s="194">
        <f t="shared" si="1"/>
        <v>52232</v>
      </c>
      <c r="BB12" s="194">
        <f t="shared" si="1"/>
        <v>52232</v>
      </c>
      <c r="BC12" s="194">
        <f t="shared" si="1"/>
        <v>52597</v>
      </c>
      <c r="BD12" s="194">
        <f t="shared" si="1"/>
        <v>52597</v>
      </c>
      <c r="BE12" s="194">
        <f t="shared" si="1"/>
        <v>52963</v>
      </c>
      <c r="BF12" s="194">
        <f t="shared" si="1"/>
        <v>52963</v>
      </c>
      <c r="BG12" s="194">
        <f t="shared" si="1"/>
        <v>53328</v>
      </c>
      <c r="BH12" s="194">
        <f t="shared" si="1"/>
        <v>53328</v>
      </c>
      <c r="BI12" s="194">
        <f t="shared" si="1"/>
        <v>53693</v>
      </c>
      <c r="BJ12" s="194">
        <f t="shared" si="1"/>
        <v>53693</v>
      </c>
      <c r="BK12" s="194">
        <f t="shared" si="1"/>
        <v>54058</v>
      </c>
      <c r="BL12" s="194">
        <f t="shared" si="1"/>
        <v>54058</v>
      </c>
      <c r="BM12" s="194">
        <f t="shared" si="1"/>
        <v>54424</v>
      </c>
      <c r="BN12" s="194">
        <f t="shared" si="1"/>
        <v>54424</v>
      </c>
      <c r="BO12" s="194">
        <f t="shared" si="1"/>
        <v>54789</v>
      </c>
      <c r="BP12" s="194">
        <f t="shared" si="1"/>
        <v>54789</v>
      </c>
      <c r="BQ12" s="194">
        <f t="shared" si="1"/>
        <v>55154</v>
      </c>
      <c r="BR12" s="194">
        <f t="shared" si="1"/>
        <v>55154</v>
      </c>
      <c r="BS12" s="194">
        <f t="shared" si="1"/>
        <v>55519</v>
      </c>
      <c r="BT12" s="194">
        <f t="shared" si="1"/>
        <v>55519</v>
      </c>
      <c r="BU12" s="194">
        <f t="shared" si="1"/>
        <v>55885</v>
      </c>
      <c r="BV12" s="194">
        <f t="shared" ref="BV12:CV12" si="2" xml:space="preserve"> IF(BV11 = 1, DATE(YEAR(BV10), $F9, 1), BU12)</f>
        <v>55885</v>
      </c>
      <c r="BW12" s="194">
        <f t="shared" si="2"/>
        <v>56250</v>
      </c>
      <c r="BX12" s="194">
        <f t="shared" si="2"/>
        <v>56250</v>
      </c>
      <c r="BY12" s="194">
        <f t="shared" si="2"/>
        <v>56615</v>
      </c>
      <c r="BZ12" s="194">
        <f t="shared" si="2"/>
        <v>56615</v>
      </c>
      <c r="CA12" s="194">
        <f t="shared" si="2"/>
        <v>56980</v>
      </c>
      <c r="CB12" s="194">
        <f t="shared" si="2"/>
        <v>56980</v>
      </c>
      <c r="CC12" s="194">
        <f t="shared" si="2"/>
        <v>57346</v>
      </c>
      <c r="CD12" s="194">
        <f t="shared" si="2"/>
        <v>57346</v>
      </c>
      <c r="CE12" s="194">
        <f t="shared" si="2"/>
        <v>57711</v>
      </c>
      <c r="CF12" s="194">
        <f t="shared" si="2"/>
        <v>57711</v>
      </c>
      <c r="CG12" s="194">
        <f t="shared" si="2"/>
        <v>58076</v>
      </c>
      <c r="CH12" s="194">
        <f t="shared" si="2"/>
        <v>58076</v>
      </c>
      <c r="CI12" s="194">
        <f t="shared" si="2"/>
        <v>58441</v>
      </c>
      <c r="CJ12" s="194">
        <f t="shared" si="2"/>
        <v>58441</v>
      </c>
      <c r="CK12" s="194">
        <f t="shared" si="2"/>
        <v>58807</v>
      </c>
      <c r="CL12" s="194">
        <f t="shared" si="2"/>
        <v>58807</v>
      </c>
      <c r="CM12" s="194">
        <f t="shared" si="2"/>
        <v>59172</v>
      </c>
      <c r="CN12" s="194">
        <f t="shared" si="2"/>
        <v>59172</v>
      </c>
      <c r="CO12" s="194">
        <f t="shared" si="2"/>
        <v>59537</v>
      </c>
      <c r="CP12" s="194">
        <f t="shared" si="2"/>
        <v>59537</v>
      </c>
      <c r="CQ12" s="194">
        <f t="shared" si="2"/>
        <v>59902</v>
      </c>
      <c r="CR12" s="194">
        <f t="shared" si="2"/>
        <v>59902</v>
      </c>
      <c r="CS12" s="194">
        <f t="shared" si="2"/>
        <v>60268</v>
      </c>
      <c r="CT12" s="194">
        <f t="shared" si="2"/>
        <v>60268</v>
      </c>
      <c r="CU12" s="194">
        <f t="shared" si="2"/>
        <v>60633</v>
      </c>
      <c r="CV12" s="194">
        <f t="shared" si="2"/>
        <v>60633</v>
      </c>
    </row>
    <row r="13" spans="1:100" outlineLevel="1" x14ac:dyDescent="0.2"/>
    <row r="14" spans="1:100" s="667" customFormat="1" outlineLevel="1" x14ac:dyDescent="0.2">
      <c r="A14" s="54"/>
      <c r="B14" s="54"/>
      <c r="C14" s="57"/>
      <c r="D14" s="69"/>
      <c r="E14" s="204" t="str">
        <f xml:space="preserve"> InpC!E$126</f>
        <v>RW CPI base date for reference index</v>
      </c>
      <c r="F14" s="204">
        <f xml:space="preserve"> InpC!F$126</f>
        <v>43831</v>
      </c>
      <c r="G14" s="204" t="str">
        <f xml:space="preserve"> InpC!G$126</f>
        <v>date</v>
      </c>
      <c r="H14" s="45"/>
      <c r="I14" s="26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</row>
    <row r="15" spans="1:100" outlineLevel="1" x14ac:dyDescent="0.2">
      <c r="E15" s="856" t="str">
        <f t="shared" ref="E15:BP15" si="3" xml:space="preserve"> E$12</f>
        <v>Escalation uplift date</v>
      </c>
      <c r="F15" s="856">
        <f t="shared" si="3"/>
        <v>0</v>
      </c>
      <c r="G15" s="856" t="str">
        <f t="shared" si="3"/>
        <v>date</v>
      </c>
      <c r="H15" s="856">
        <f t="shared" si="3"/>
        <v>0</v>
      </c>
      <c r="I15" s="856">
        <f t="shared" si="3"/>
        <v>0</v>
      </c>
      <c r="J15" s="856">
        <f t="shared" si="3"/>
        <v>0</v>
      </c>
      <c r="K15" s="856">
        <f t="shared" si="3"/>
        <v>44562</v>
      </c>
      <c r="L15" s="856">
        <f t="shared" si="3"/>
        <v>44562</v>
      </c>
      <c r="M15" s="856">
        <f t="shared" si="3"/>
        <v>44927</v>
      </c>
      <c r="N15" s="856">
        <f t="shared" si="3"/>
        <v>44927</v>
      </c>
      <c r="O15" s="856">
        <f t="shared" si="3"/>
        <v>45292</v>
      </c>
      <c r="P15" s="856">
        <f t="shared" si="3"/>
        <v>45292</v>
      </c>
      <c r="Q15" s="856">
        <f t="shared" si="3"/>
        <v>45658</v>
      </c>
      <c r="R15" s="856">
        <f t="shared" si="3"/>
        <v>45658</v>
      </c>
      <c r="S15" s="856">
        <f t="shared" si="3"/>
        <v>46023</v>
      </c>
      <c r="T15" s="856">
        <f t="shared" si="3"/>
        <v>46023</v>
      </c>
      <c r="U15" s="856">
        <f t="shared" si="3"/>
        <v>46388</v>
      </c>
      <c r="V15" s="856">
        <f t="shared" si="3"/>
        <v>46388</v>
      </c>
      <c r="W15" s="856">
        <f t="shared" si="3"/>
        <v>46753</v>
      </c>
      <c r="X15" s="856">
        <f t="shared" si="3"/>
        <v>46753</v>
      </c>
      <c r="Y15" s="856">
        <f t="shared" si="3"/>
        <v>47119</v>
      </c>
      <c r="Z15" s="856">
        <f t="shared" si="3"/>
        <v>47119</v>
      </c>
      <c r="AA15" s="856">
        <f t="shared" si="3"/>
        <v>47484</v>
      </c>
      <c r="AB15" s="856">
        <f t="shared" si="3"/>
        <v>47484</v>
      </c>
      <c r="AC15" s="856">
        <f t="shared" si="3"/>
        <v>47849</v>
      </c>
      <c r="AD15" s="856">
        <f t="shared" si="3"/>
        <v>47849</v>
      </c>
      <c r="AE15" s="856">
        <f t="shared" si="3"/>
        <v>48214</v>
      </c>
      <c r="AF15" s="856">
        <f t="shared" si="3"/>
        <v>48214</v>
      </c>
      <c r="AG15" s="856">
        <f t="shared" si="3"/>
        <v>48580</v>
      </c>
      <c r="AH15" s="856">
        <f t="shared" si="3"/>
        <v>48580</v>
      </c>
      <c r="AI15" s="856">
        <f t="shared" si="3"/>
        <v>48945</v>
      </c>
      <c r="AJ15" s="856">
        <f t="shared" si="3"/>
        <v>48945</v>
      </c>
      <c r="AK15" s="856">
        <f t="shared" si="3"/>
        <v>49310</v>
      </c>
      <c r="AL15" s="856">
        <f t="shared" si="3"/>
        <v>49310</v>
      </c>
      <c r="AM15" s="856">
        <f t="shared" si="3"/>
        <v>49675</v>
      </c>
      <c r="AN15" s="856">
        <f t="shared" si="3"/>
        <v>49675</v>
      </c>
      <c r="AO15" s="856">
        <f t="shared" si="3"/>
        <v>50041</v>
      </c>
      <c r="AP15" s="856">
        <f t="shared" si="3"/>
        <v>50041</v>
      </c>
      <c r="AQ15" s="856">
        <f t="shared" si="3"/>
        <v>50406</v>
      </c>
      <c r="AR15" s="856">
        <f t="shared" si="3"/>
        <v>50406</v>
      </c>
      <c r="AS15" s="856">
        <f t="shared" si="3"/>
        <v>50771</v>
      </c>
      <c r="AT15" s="856">
        <f t="shared" si="3"/>
        <v>50771</v>
      </c>
      <c r="AU15" s="856">
        <f t="shared" si="3"/>
        <v>51136</v>
      </c>
      <c r="AV15" s="856">
        <f t="shared" si="3"/>
        <v>51136</v>
      </c>
      <c r="AW15" s="856">
        <f t="shared" si="3"/>
        <v>51502</v>
      </c>
      <c r="AX15" s="856">
        <f t="shared" si="3"/>
        <v>51502</v>
      </c>
      <c r="AY15" s="856">
        <f t="shared" si="3"/>
        <v>51867</v>
      </c>
      <c r="AZ15" s="856">
        <f t="shared" si="3"/>
        <v>51867</v>
      </c>
      <c r="BA15" s="856">
        <f t="shared" si="3"/>
        <v>52232</v>
      </c>
      <c r="BB15" s="856">
        <f t="shared" si="3"/>
        <v>52232</v>
      </c>
      <c r="BC15" s="856">
        <f t="shared" si="3"/>
        <v>52597</v>
      </c>
      <c r="BD15" s="856">
        <f t="shared" si="3"/>
        <v>52597</v>
      </c>
      <c r="BE15" s="856">
        <f t="shared" si="3"/>
        <v>52963</v>
      </c>
      <c r="BF15" s="856">
        <f t="shared" si="3"/>
        <v>52963</v>
      </c>
      <c r="BG15" s="856">
        <f t="shared" si="3"/>
        <v>53328</v>
      </c>
      <c r="BH15" s="856">
        <f t="shared" si="3"/>
        <v>53328</v>
      </c>
      <c r="BI15" s="856">
        <f t="shared" si="3"/>
        <v>53693</v>
      </c>
      <c r="BJ15" s="856">
        <f t="shared" si="3"/>
        <v>53693</v>
      </c>
      <c r="BK15" s="856">
        <f t="shared" si="3"/>
        <v>54058</v>
      </c>
      <c r="BL15" s="856">
        <f t="shared" si="3"/>
        <v>54058</v>
      </c>
      <c r="BM15" s="856">
        <f t="shared" si="3"/>
        <v>54424</v>
      </c>
      <c r="BN15" s="856">
        <f t="shared" si="3"/>
        <v>54424</v>
      </c>
      <c r="BO15" s="856">
        <f t="shared" si="3"/>
        <v>54789</v>
      </c>
      <c r="BP15" s="856">
        <f t="shared" si="3"/>
        <v>54789</v>
      </c>
      <c r="BQ15" s="856">
        <f t="shared" ref="BQ15:CV15" si="4" xml:space="preserve"> BQ$12</f>
        <v>55154</v>
      </c>
      <c r="BR15" s="856">
        <f t="shared" si="4"/>
        <v>55154</v>
      </c>
      <c r="BS15" s="856">
        <f t="shared" si="4"/>
        <v>55519</v>
      </c>
      <c r="BT15" s="856">
        <f t="shared" si="4"/>
        <v>55519</v>
      </c>
      <c r="BU15" s="856">
        <f t="shared" si="4"/>
        <v>55885</v>
      </c>
      <c r="BV15" s="856">
        <f t="shared" si="4"/>
        <v>55885</v>
      </c>
      <c r="BW15" s="856">
        <f t="shared" si="4"/>
        <v>56250</v>
      </c>
      <c r="BX15" s="856">
        <f t="shared" si="4"/>
        <v>56250</v>
      </c>
      <c r="BY15" s="856">
        <f t="shared" si="4"/>
        <v>56615</v>
      </c>
      <c r="BZ15" s="856">
        <f t="shared" si="4"/>
        <v>56615</v>
      </c>
      <c r="CA15" s="856">
        <f t="shared" si="4"/>
        <v>56980</v>
      </c>
      <c r="CB15" s="856">
        <f t="shared" si="4"/>
        <v>56980</v>
      </c>
      <c r="CC15" s="856">
        <f t="shared" si="4"/>
        <v>57346</v>
      </c>
      <c r="CD15" s="856">
        <f t="shared" si="4"/>
        <v>57346</v>
      </c>
      <c r="CE15" s="856">
        <f t="shared" si="4"/>
        <v>57711</v>
      </c>
      <c r="CF15" s="856">
        <f t="shared" si="4"/>
        <v>57711</v>
      </c>
      <c r="CG15" s="856">
        <f t="shared" si="4"/>
        <v>58076</v>
      </c>
      <c r="CH15" s="856">
        <f t="shared" si="4"/>
        <v>58076</v>
      </c>
      <c r="CI15" s="856">
        <f t="shared" si="4"/>
        <v>58441</v>
      </c>
      <c r="CJ15" s="856">
        <f t="shared" si="4"/>
        <v>58441</v>
      </c>
      <c r="CK15" s="856">
        <f t="shared" si="4"/>
        <v>58807</v>
      </c>
      <c r="CL15" s="856">
        <f t="shared" si="4"/>
        <v>58807</v>
      </c>
      <c r="CM15" s="856">
        <f t="shared" si="4"/>
        <v>59172</v>
      </c>
      <c r="CN15" s="856">
        <f t="shared" si="4"/>
        <v>59172</v>
      </c>
      <c r="CO15" s="856">
        <f t="shared" si="4"/>
        <v>59537</v>
      </c>
      <c r="CP15" s="856">
        <f t="shared" si="4"/>
        <v>59537</v>
      </c>
      <c r="CQ15" s="856">
        <f t="shared" si="4"/>
        <v>59902</v>
      </c>
      <c r="CR15" s="856">
        <f t="shared" si="4"/>
        <v>59902</v>
      </c>
      <c r="CS15" s="856">
        <f t="shared" si="4"/>
        <v>60268</v>
      </c>
      <c r="CT15" s="856">
        <f t="shared" si="4"/>
        <v>60268</v>
      </c>
      <c r="CU15" s="856">
        <f t="shared" si="4"/>
        <v>60633</v>
      </c>
      <c r="CV15" s="856">
        <f t="shared" si="4"/>
        <v>60633</v>
      </c>
    </row>
    <row r="16" spans="1:100" outlineLevel="1" x14ac:dyDescent="0.2">
      <c r="E16" s="186" t="str">
        <f xml:space="preserve"> Time!E$106</f>
        <v>Operating period flag</v>
      </c>
      <c r="F16" s="186">
        <f xml:space="preserve"> Time!F$106</f>
        <v>0</v>
      </c>
      <c r="G16" s="186" t="str">
        <f xml:space="preserve"> Time!G$106</f>
        <v>flag</v>
      </c>
      <c r="H16" s="186">
        <f xml:space="preserve"> Time!H$106</f>
        <v>40</v>
      </c>
      <c r="I16" s="186">
        <f xml:space="preserve"> Time!I$106</f>
        <v>0</v>
      </c>
      <c r="J16" s="186">
        <f xml:space="preserve"> Time!J$106</f>
        <v>0</v>
      </c>
      <c r="K16" s="186">
        <f xml:space="preserve"> Time!K$106</f>
        <v>0</v>
      </c>
      <c r="L16" s="186">
        <f xml:space="preserve"> Time!L$106</f>
        <v>0</v>
      </c>
      <c r="M16" s="186">
        <f xml:space="preserve"> Time!M$106</f>
        <v>0</v>
      </c>
      <c r="N16" s="186">
        <f xml:space="preserve"> Time!N$106</f>
        <v>0</v>
      </c>
      <c r="O16" s="186">
        <f xml:space="preserve"> Time!O$106</f>
        <v>1</v>
      </c>
      <c r="P16" s="186">
        <f xml:space="preserve"> Time!P$106</f>
        <v>1</v>
      </c>
      <c r="Q16" s="186">
        <f xml:space="preserve"> Time!Q$106</f>
        <v>1</v>
      </c>
      <c r="R16" s="186">
        <f xml:space="preserve"> Time!R$106</f>
        <v>1</v>
      </c>
      <c r="S16" s="186">
        <f xml:space="preserve"> Time!S$106</f>
        <v>1</v>
      </c>
      <c r="T16" s="186">
        <f xml:space="preserve"> Time!T$106</f>
        <v>1</v>
      </c>
      <c r="U16" s="186">
        <f xml:space="preserve"> Time!U$106</f>
        <v>1</v>
      </c>
      <c r="V16" s="186">
        <f xml:space="preserve"> Time!V$106</f>
        <v>1</v>
      </c>
      <c r="W16" s="186">
        <f xml:space="preserve"> Time!W$106</f>
        <v>1</v>
      </c>
      <c r="X16" s="186">
        <f xml:space="preserve"> Time!X$106</f>
        <v>1</v>
      </c>
      <c r="Y16" s="186">
        <f xml:space="preserve"> Time!Y$106</f>
        <v>1</v>
      </c>
      <c r="Z16" s="186">
        <f xml:space="preserve"> Time!Z$106</f>
        <v>1</v>
      </c>
      <c r="AA16" s="186">
        <f xml:space="preserve"> Time!AA$106</f>
        <v>1</v>
      </c>
      <c r="AB16" s="186">
        <f xml:space="preserve"> Time!AB$106</f>
        <v>1</v>
      </c>
      <c r="AC16" s="186">
        <f xml:space="preserve"> Time!AC$106</f>
        <v>1</v>
      </c>
      <c r="AD16" s="186">
        <f xml:space="preserve"> Time!AD$106</f>
        <v>1</v>
      </c>
      <c r="AE16" s="186">
        <f xml:space="preserve"> Time!AE$106</f>
        <v>1</v>
      </c>
      <c r="AF16" s="186">
        <f xml:space="preserve"> Time!AF$106</f>
        <v>1</v>
      </c>
      <c r="AG16" s="186">
        <f xml:space="preserve"> Time!AG$106</f>
        <v>1</v>
      </c>
      <c r="AH16" s="186">
        <f xml:space="preserve"> Time!AH$106</f>
        <v>1</v>
      </c>
      <c r="AI16" s="186">
        <f xml:space="preserve"> Time!AI$106</f>
        <v>1</v>
      </c>
      <c r="AJ16" s="186">
        <f xml:space="preserve"> Time!AJ$106</f>
        <v>1</v>
      </c>
      <c r="AK16" s="186">
        <f xml:space="preserve"> Time!AK$106</f>
        <v>1</v>
      </c>
      <c r="AL16" s="186">
        <f xml:space="preserve"> Time!AL$106</f>
        <v>1</v>
      </c>
      <c r="AM16" s="186">
        <f xml:space="preserve"> Time!AM$106</f>
        <v>1</v>
      </c>
      <c r="AN16" s="186">
        <f xml:space="preserve"> Time!AN$106</f>
        <v>1</v>
      </c>
      <c r="AO16" s="186">
        <f xml:space="preserve"> Time!AO$106</f>
        <v>1</v>
      </c>
      <c r="AP16" s="186">
        <f xml:space="preserve"> Time!AP$106</f>
        <v>1</v>
      </c>
      <c r="AQ16" s="186">
        <f xml:space="preserve"> Time!AQ$106</f>
        <v>1</v>
      </c>
      <c r="AR16" s="186">
        <f xml:space="preserve"> Time!AR$106</f>
        <v>1</v>
      </c>
      <c r="AS16" s="186">
        <f xml:space="preserve"> Time!AS$106</f>
        <v>1</v>
      </c>
      <c r="AT16" s="186">
        <f xml:space="preserve"> Time!AT$106</f>
        <v>1</v>
      </c>
      <c r="AU16" s="186">
        <f xml:space="preserve"> Time!AU$106</f>
        <v>1</v>
      </c>
      <c r="AV16" s="186">
        <f xml:space="preserve"> Time!AV$106</f>
        <v>1</v>
      </c>
      <c r="AW16" s="186">
        <f xml:space="preserve"> Time!AW$106</f>
        <v>1</v>
      </c>
      <c r="AX16" s="186">
        <f xml:space="preserve"> Time!AX$106</f>
        <v>1</v>
      </c>
      <c r="AY16" s="186">
        <f xml:space="preserve"> Time!AY$106</f>
        <v>1</v>
      </c>
      <c r="AZ16" s="186">
        <f xml:space="preserve"> Time!AZ$106</f>
        <v>1</v>
      </c>
      <c r="BA16" s="186">
        <f xml:space="preserve"> Time!BA$106</f>
        <v>1</v>
      </c>
      <c r="BB16" s="186">
        <f xml:space="preserve"> Time!BB$106</f>
        <v>1</v>
      </c>
      <c r="BC16" s="186">
        <f xml:space="preserve"> Time!BC$106</f>
        <v>0</v>
      </c>
      <c r="BD16" s="186">
        <f xml:space="preserve"> Time!BD$106</f>
        <v>0</v>
      </c>
      <c r="BE16" s="186">
        <f xml:space="preserve"> Time!BE$106</f>
        <v>0</v>
      </c>
      <c r="BF16" s="186">
        <f xml:space="preserve"> Time!BF$106</f>
        <v>0</v>
      </c>
      <c r="BG16" s="186">
        <f xml:space="preserve"> Time!BG$106</f>
        <v>0</v>
      </c>
      <c r="BH16" s="186">
        <f xml:space="preserve"> Time!BH$106</f>
        <v>0</v>
      </c>
      <c r="BI16" s="186">
        <f xml:space="preserve"> Time!BI$106</f>
        <v>0</v>
      </c>
      <c r="BJ16" s="186">
        <f xml:space="preserve"> Time!BJ$106</f>
        <v>0</v>
      </c>
      <c r="BK16" s="186">
        <f xml:space="preserve"> Time!BK$106</f>
        <v>0</v>
      </c>
      <c r="BL16" s="186">
        <f xml:space="preserve"> Time!BL$106</f>
        <v>0</v>
      </c>
      <c r="BM16" s="186">
        <f xml:space="preserve"> Time!BM$106</f>
        <v>0</v>
      </c>
      <c r="BN16" s="186">
        <f xml:space="preserve"> Time!BN$106</f>
        <v>0</v>
      </c>
      <c r="BO16" s="186">
        <f xml:space="preserve"> Time!BO$106</f>
        <v>0</v>
      </c>
      <c r="BP16" s="186">
        <f xml:space="preserve"> Time!BP$106</f>
        <v>0</v>
      </c>
      <c r="BQ16" s="186">
        <f xml:space="preserve"> Time!BQ$106</f>
        <v>0</v>
      </c>
      <c r="BR16" s="186">
        <f xml:space="preserve"> Time!BR$106</f>
        <v>0</v>
      </c>
      <c r="BS16" s="186">
        <f xml:space="preserve"> Time!BS$106</f>
        <v>0</v>
      </c>
      <c r="BT16" s="186">
        <f xml:space="preserve"> Time!BT$106</f>
        <v>0</v>
      </c>
      <c r="BU16" s="186">
        <f xml:space="preserve"> Time!BU$106</f>
        <v>0</v>
      </c>
      <c r="BV16" s="186">
        <f xml:space="preserve"> Time!BV$106</f>
        <v>0</v>
      </c>
      <c r="BW16" s="186">
        <f xml:space="preserve"> Time!BW$106</f>
        <v>0</v>
      </c>
      <c r="BX16" s="186">
        <f xml:space="preserve"> Time!BX$106</f>
        <v>0</v>
      </c>
      <c r="BY16" s="186">
        <f xml:space="preserve"> Time!BY$106</f>
        <v>0</v>
      </c>
      <c r="BZ16" s="186">
        <f xml:space="preserve"> Time!BZ$106</f>
        <v>0</v>
      </c>
      <c r="CA16" s="186">
        <f xml:space="preserve"> Time!CA$106</f>
        <v>0</v>
      </c>
      <c r="CB16" s="186">
        <f xml:space="preserve"> Time!CB$106</f>
        <v>0</v>
      </c>
      <c r="CC16" s="186">
        <f xml:space="preserve"> Time!CC$106</f>
        <v>0</v>
      </c>
      <c r="CD16" s="186">
        <f xml:space="preserve"> Time!CD$106</f>
        <v>0</v>
      </c>
      <c r="CE16" s="186">
        <f xml:space="preserve"> Time!CE$106</f>
        <v>0</v>
      </c>
      <c r="CF16" s="186">
        <f xml:space="preserve"> Time!CF$106</f>
        <v>0</v>
      </c>
      <c r="CG16" s="186">
        <f xml:space="preserve"> Time!CG$106</f>
        <v>0</v>
      </c>
      <c r="CH16" s="186">
        <f xml:space="preserve"> Time!CH$106</f>
        <v>0</v>
      </c>
      <c r="CI16" s="186">
        <f xml:space="preserve"> Time!CI$106</f>
        <v>0</v>
      </c>
      <c r="CJ16" s="186">
        <f xml:space="preserve"> Time!CJ$106</f>
        <v>0</v>
      </c>
      <c r="CK16" s="186">
        <f xml:space="preserve"> Time!CK$106</f>
        <v>0</v>
      </c>
      <c r="CL16" s="186">
        <f xml:space="preserve"> Time!CL$106</f>
        <v>0</v>
      </c>
      <c r="CM16" s="186">
        <f xml:space="preserve"> Time!CM$106</f>
        <v>0</v>
      </c>
      <c r="CN16" s="186">
        <f xml:space="preserve"> Time!CN$106</f>
        <v>0</v>
      </c>
      <c r="CO16" s="186">
        <f xml:space="preserve"> Time!CO$106</f>
        <v>0</v>
      </c>
      <c r="CP16" s="186">
        <f xml:space="preserve"> Time!CP$106</f>
        <v>0</v>
      </c>
      <c r="CQ16" s="186">
        <f xml:space="preserve"> Time!CQ$106</f>
        <v>0</v>
      </c>
      <c r="CR16" s="186">
        <f xml:space="preserve"> Time!CR$106</f>
        <v>0</v>
      </c>
      <c r="CS16" s="186">
        <f xml:space="preserve"> Time!CS$106</f>
        <v>0</v>
      </c>
      <c r="CT16" s="186">
        <f xml:space="preserve"> Time!CT$106</f>
        <v>0</v>
      </c>
      <c r="CU16" s="186">
        <f xml:space="preserve"> Time!CU$106</f>
        <v>0</v>
      </c>
      <c r="CV16" s="186">
        <f xml:space="preserve"> Time!CV$106</f>
        <v>0</v>
      </c>
    </row>
    <row r="17" spans="1:100" s="280" customFormat="1" outlineLevel="1" x14ac:dyDescent="0.2">
      <c r="A17" s="278"/>
      <c r="B17" s="278"/>
      <c r="C17" s="410"/>
      <c r="D17" s="279"/>
      <c r="E17" s="82" t="s">
        <v>615</v>
      </c>
      <c r="F17" s="82"/>
      <c r="G17" s="82" t="s">
        <v>29</v>
      </c>
      <c r="H17" s="82"/>
      <c r="I17" s="455"/>
      <c r="J17" s="82">
        <f t="shared" ref="J17" si="5" xml:space="preserve"> J16 * YEARFRAC($F14, J15)</f>
        <v>0</v>
      </c>
      <c r="K17" s="82">
        <f t="shared" ref="K17" si="6" xml:space="preserve"> K16 * YEARFRAC($F14, K15)</f>
        <v>0</v>
      </c>
      <c r="L17" s="82">
        <f t="shared" ref="L17" si="7" xml:space="preserve"> L16 * YEARFRAC($F14, L15)</f>
        <v>0</v>
      </c>
      <c r="M17" s="82">
        <f t="shared" ref="M17" si="8" xml:space="preserve"> M16 * YEARFRAC($F14, M15)</f>
        <v>0</v>
      </c>
      <c r="N17" s="82">
        <f t="shared" ref="N17" si="9" xml:space="preserve"> N16 * YEARFRAC($F14, N15)</f>
        <v>0</v>
      </c>
      <c r="O17" s="82">
        <f t="shared" ref="O17" si="10" xml:space="preserve"> O16 * YEARFRAC($F14, O15)</f>
        <v>4</v>
      </c>
      <c r="P17" s="82">
        <f t="shared" ref="P17" si="11" xml:space="preserve"> P16 * YEARFRAC($F14, P15)</f>
        <v>4</v>
      </c>
      <c r="Q17" s="82">
        <f t="shared" ref="Q17" si="12" xml:space="preserve"> Q16 * YEARFRAC($F14, Q15)</f>
        <v>5</v>
      </c>
      <c r="R17" s="82">
        <f t="shared" ref="R17" si="13" xml:space="preserve"> R16 * YEARFRAC($F14, R15)</f>
        <v>5</v>
      </c>
      <c r="S17" s="82">
        <f t="shared" ref="S17" si="14" xml:space="preserve"> S16 * YEARFRAC($F14, S15)</f>
        <v>6</v>
      </c>
      <c r="T17" s="82">
        <f t="shared" ref="T17" si="15" xml:space="preserve"> T16 * YEARFRAC($F14, T15)</f>
        <v>6</v>
      </c>
      <c r="U17" s="82">
        <f t="shared" ref="U17" si="16" xml:space="preserve"> U16 * YEARFRAC($F14, U15)</f>
        <v>7</v>
      </c>
      <c r="V17" s="82">
        <f t="shared" ref="V17" si="17" xml:space="preserve"> V16 * YEARFRAC($F14, V15)</f>
        <v>7</v>
      </c>
      <c r="W17" s="82">
        <f t="shared" ref="W17" si="18" xml:space="preserve"> W16 * YEARFRAC($F14, W15)</f>
        <v>8</v>
      </c>
      <c r="X17" s="82">
        <f t="shared" ref="X17" si="19" xml:space="preserve"> X16 * YEARFRAC($F14, X15)</f>
        <v>8</v>
      </c>
      <c r="Y17" s="82">
        <f t="shared" ref="Y17" si="20" xml:space="preserve"> Y16 * YEARFRAC($F14, Y15)</f>
        <v>9</v>
      </c>
      <c r="Z17" s="82">
        <f t="shared" ref="Z17" si="21" xml:space="preserve"> Z16 * YEARFRAC($F14, Z15)</f>
        <v>9</v>
      </c>
      <c r="AA17" s="82">
        <f t="shared" ref="AA17" si="22" xml:space="preserve"> AA16 * YEARFRAC($F14, AA15)</f>
        <v>10</v>
      </c>
      <c r="AB17" s="82">
        <f t="shared" ref="AB17" si="23" xml:space="preserve"> AB16 * YEARFRAC($F14, AB15)</f>
        <v>10</v>
      </c>
      <c r="AC17" s="82">
        <f t="shared" ref="AC17" si="24" xml:space="preserve"> AC16 * YEARFRAC($F14, AC15)</f>
        <v>11</v>
      </c>
      <c r="AD17" s="82">
        <f t="shared" ref="AD17" si="25" xml:space="preserve"> AD16 * YEARFRAC($F14, AD15)</f>
        <v>11</v>
      </c>
      <c r="AE17" s="82">
        <f t="shared" ref="AE17" si="26" xml:space="preserve"> AE16 * YEARFRAC($F14, AE15)</f>
        <v>12</v>
      </c>
      <c r="AF17" s="82">
        <f t="shared" ref="AF17" si="27" xml:space="preserve"> AF16 * YEARFRAC($F14, AF15)</f>
        <v>12</v>
      </c>
      <c r="AG17" s="82">
        <f t="shared" ref="AG17" si="28" xml:space="preserve"> AG16 * YEARFRAC($F14, AG15)</f>
        <v>13</v>
      </c>
      <c r="AH17" s="82">
        <f t="shared" ref="AH17" si="29" xml:space="preserve"> AH16 * YEARFRAC($F14, AH15)</f>
        <v>13</v>
      </c>
      <c r="AI17" s="82">
        <f t="shared" ref="AI17" si="30" xml:space="preserve"> AI16 * YEARFRAC($F14, AI15)</f>
        <v>14</v>
      </c>
      <c r="AJ17" s="82">
        <f t="shared" ref="AJ17" si="31" xml:space="preserve"> AJ16 * YEARFRAC($F14, AJ15)</f>
        <v>14</v>
      </c>
      <c r="AK17" s="82">
        <f t="shared" ref="AK17" si="32" xml:space="preserve"> AK16 * YEARFRAC($F14, AK15)</f>
        <v>15</v>
      </c>
      <c r="AL17" s="82">
        <f t="shared" ref="AL17" si="33" xml:space="preserve"> AL16 * YEARFRAC($F14, AL15)</f>
        <v>15</v>
      </c>
      <c r="AM17" s="82">
        <f t="shared" ref="AM17" si="34" xml:space="preserve"> AM16 * YEARFRAC($F14, AM15)</f>
        <v>16</v>
      </c>
      <c r="AN17" s="82">
        <f t="shared" ref="AN17" si="35" xml:space="preserve"> AN16 * YEARFRAC($F14, AN15)</f>
        <v>16</v>
      </c>
      <c r="AO17" s="82">
        <f t="shared" ref="AO17" si="36" xml:space="preserve"> AO16 * YEARFRAC($F14, AO15)</f>
        <v>17</v>
      </c>
      <c r="AP17" s="82">
        <f t="shared" ref="AP17" si="37" xml:space="preserve"> AP16 * YEARFRAC($F14, AP15)</f>
        <v>17</v>
      </c>
      <c r="AQ17" s="82">
        <f t="shared" ref="AQ17" si="38" xml:space="preserve"> AQ16 * YEARFRAC($F14, AQ15)</f>
        <v>18</v>
      </c>
      <c r="AR17" s="82">
        <f t="shared" ref="AR17" si="39" xml:space="preserve"> AR16 * YEARFRAC($F14, AR15)</f>
        <v>18</v>
      </c>
      <c r="AS17" s="82">
        <f t="shared" ref="AS17" si="40" xml:space="preserve"> AS16 * YEARFRAC($F14, AS15)</f>
        <v>19</v>
      </c>
      <c r="AT17" s="82">
        <f t="shared" ref="AT17" si="41" xml:space="preserve"> AT16 * YEARFRAC($F14, AT15)</f>
        <v>19</v>
      </c>
      <c r="AU17" s="82">
        <f t="shared" ref="AU17" si="42" xml:space="preserve"> AU16 * YEARFRAC($F14, AU15)</f>
        <v>20</v>
      </c>
      <c r="AV17" s="82">
        <f t="shared" ref="AV17" si="43" xml:space="preserve"> AV16 * YEARFRAC($F14, AV15)</f>
        <v>20</v>
      </c>
      <c r="AW17" s="82">
        <f t="shared" ref="AW17" si="44" xml:space="preserve"> AW16 * YEARFRAC($F14, AW15)</f>
        <v>21</v>
      </c>
      <c r="AX17" s="82">
        <f t="shared" ref="AX17" si="45" xml:space="preserve"> AX16 * YEARFRAC($F14, AX15)</f>
        <v>21</v>
      </c>
      <c r="AY17" s="82">
        <f t="shared" ref="AY17" si="46" xml:space="preserve"> AY16 * YEARFRAC($F14, AY15)</f>
        <v>22</v>
      </c>
      <c r="AZ17" s="82">
        <f t="shared" ref="AZ17" si="47" xml:space="preserve"> AZ16 * YEARFRAC($F14, AZ15)</f>
        <v>22</v>
      </c>
      <c r="BA17" s="82">
        <f t="shared" ref="BA17" si="48" xml:space="preserve"> BA16 * YEARFRAC($F14, BA15)</f>
        <v>23</v>
      </c>
      <c r="BB17" s="82">
        <f t="shared" ref="BB17" si="49" xml:space="preserve"> BB16 * YEARFRAC($F14, BB15)</f>
        <v>23</v>
      </c>
      <c r="BC17" s="82">
        <f t="shared" ref="BC17" si="50" xml:space="preserve"> BC16 * YEARFRAC($F14, BC15)</f>
        <v>0</v>
      </c>
      <c r="BD17" s="82">
        <f t="shared" ref="BD17" si="51" xml:space="preserve"> BD16 * YEARFRAC($F14, BD15)</f>
        <v>0</v>
      </c>
      <c r="BE17" s="82">
        <f t="shared" ref="BE17" si="52" xml:space="preserve"> BE16 * YEARFRAC($F14, BE15)</f>
        <v>0</v>
      </c>
      <c r="BF17" s="82">
        <f t="shared" ref="BF17" si="53" xml:space="preserve"> BF16 * YEARFRAC($F14, BF15)</f>
        <v>0</v>
      </c>
      <c r="BG17" s="82">
        <f t="shared" ref="BG17" si="54" xml:space="preserve"> BG16 * YEARFRAC($F14, BG15)</f>
        <v>0</v>
      </c>
      <c r="BH17" s="82">
        <f t="shared" ref="BH17" si="55" xml:space="preserve"> BH16 * YEARFRAC($F14, BH15)</f>
        <v>0</v>
      </c>
      <c r="BI17" s="82">
        <f t="shared" ref="BI17" si="56" xml:space="preserve"> BI16 * YEARFRAC($F14, BI15)</f>
        <v>0</v>
      </c>
      <c r="BJ17" s="82">
        <f t="shared" ref="BJ17" si="57" xml:space="preserve"> BJ16 * YEARFRAC($F14, BJ15)</f>
        <v>0</v>
      </c>
      <c r="BK17" s="82">
        <f t="shared" ref="BK17" si="58" xml:space="preserve"> BK16 * YEARFRAC($F14, BK15)</f>
        <v>0</v>
      </c>
      <c r="BL17" s="82">
        <f t="shared" ref="BL17" si="59" xml:space="preserve"> BL16 * YEARFRAC($F14, BL15)</f>
        <v>0</v>
      </c>
      <c r="BM17" s="82">
        <f t="shared" ref="BM17" si="60" xml:space="preserve"> BM16 * YEARFRAC($F14, BM15)</f>
        <v>0</v>
      </c>
      <c r="BN17" s="82">
        <f t="shared" ref="BN17" si="61" xml:space="preserve"> BN16 * YEARFRAC($F14, BN15)</f>
        <v>0</v>
      </c>
      <c r="BO17" s="82">
        <f t="shared" ref="BO17" si="62" xml:space="preserve"> BO16 * YEARFRAC($F14, BO15)</f>
        <v>0</v>
      </c>
      <c r="BP17" s="82">
        <f t="shared" ref="BP17" si="63" xml:space="preserve"> BP16 * YEARFRAC($F14, BP15)</f>
        <v>0</v>
      </c>
      <c r="BQ17" s="82">
        <f t="shared" ref="BQ17" si="64" xml:space="preserve"> BQ16 * YEARFRAC($F14, BQ15)</f>
        <v>0</v>
      </c>
      <c r="BR17" s="82">
        <f t="shared" ref="BR17" si="65" xml:space="preserve"> BR16 * YEARFRAC($F14, BR15)</f>
        <v>0</v>
      </c>
      <c r="BS17" s="82">
        <f t="shared" ref="BS17" si="66" xml:space="preserve"> BS16 * YEARFRAC($F14, BS15)</f>
        <v>0</v>
      </c>
      <c r="BT17" s="82">
        <f t="shared" ref="BT17" si="67" xml:space="preserve"> BT16 * YEARFRAC($F14, BT15)</f>
        <v>0</v>
      </c>
      <c r="BU17" s="82">
        <f t="shared" ref="BU17" si="68" xml:space="preserve"> BU16 * YEARFRAC($F14, BU15)</f>
        <v>0</v>
      </c>
      <c r="BV17" s="82">
        <f t="shared" ref="BV17" si="69" xml:space="preserve"> BV16 * YEARFRAC($F14, BV15)</f>
        <v>0</v>
      </c>
      <c r="BW17" s="82">
        <f t="shared" ref="BW17" si="70" xml:space="preserve"> BW16 * YEARFRAC($F14, BW15)</f>
        <v>0</v>
      </c>
      <c r="BX17" s="82">
        <f t="shared" ref="BX17" si="71" xml:space="preserve"> BX16 * YEARFRAC($F14, BX15)</f>
        <v>0</v>
      </c>
      <c r="BY17" s="82">
        <f t="shared" ref="BY17" si="72" xml:space="preserve"> BY16 * YEARFRAC($F14, BY15)</f>
        <v>0</v>
      </c>
      <c r="BZ17" s="82">
        <f t="shared" ref="BZ17" si="73" xml:space="preserve"> BZ16 * YEARFRAC($F14, BZ15)</f>
        <v>0</v>
      </c>
      <c r="CA17" s="82">
        <f t="shared" ref="CA17" si="74" xml:space="preserve"> CA16 * YEARFRAC($F14, CA15)</f>
        <v>0</v>
      </c>
      <c r="CB17" s="82">
        <f t="shared" ref="CB17" si="75" xml:space="preserve"> CB16 * YEARFRAC($F14, CB15)</f>
        <v>0</v>
      </c>
      <c r="CC17" s="82">
        <f t="shared" ref="CC17" si="76" xml:space="preserve"> CC16 * YEARFRAC($F14, CC15)</f>
        <v>0</v>
      </c>
      <c r="CD17" s="82">
        <f t="shared" ref="CD17" si="77" xml:space="preserve"> CD16 * YEARFRAC($F14, CD15)</f>
        <v>0</v>
      </c>
      <c r="CE17" s="82">
        <f t="shared" ref="CE17" si="78" xml:space="preserve"> CE16 * YEARFRAC($F14, CE15)</f>
        <v>0</v>
      </c>
      <c r="CF17" s="82">
        <f t="shared" ref="CF17" si="79" xml:space="preserve"> CF16 * YEARFRAC($F14, CF15)</f>
        <v>0</v>
      </c>
      <c r="CG17" s="82">
        <f t="shared" ref="CG17" si="80" xml:space="preserve"> CG16 * YEARFRAC($F14, CG15)</f>
        <v>0</v>
      </c>
      <c r="CH17" s="82">
        <f t="shared" ref="CH17" si="81" xml:space="preserve"> CH16 * YEARFRAC($F14, CH15)</f>
        <v>0</v>
      </c>
      <c r="CI17" s="82">
        <f t="shared" ref="CI17" si="82" xml:space="preserve"> CI16 * YEARFRAC($F14, CI15)</f>
        <v>0</v>
      </c>
      <c r="CJ17" s="82">
        <f t="shared" ref="CJ17" si="83" xml:space="preserve"> CJ16 * YEARFRAC($F14, CJ15)</f>
        <v>0</v>
      </c>
      <c r="CK17" s="82">
        <f t="shared" ref="CK17" si="84" xml:space="preserve"> CK16 * YEARFRAC($F14, CK15)</f>
        <v>0</v>
      </c>
      <c r="CL17" s="82">
        <f t="shared" ref="CL17" si="85" xml:space="preserve"> CL16 * YEARFRAC($F14, CL15)</f>
        <v>0</v>
      </c>
      <c r="CM17" s="82">
        <f t="shared" ref="CM17" si="86" xml:space="preserve"> CM16 * YEARFRAC($F14, CM15)</f>
        <v>0</v>
      </c>
      <c r="CN17" s="82">
        <f t="shared" ref="CN17" si="87" xml:space="preserve"> CN16 * YEARFRAC($F14, CN15)</f>
        <v>0</v>
      </c>
      <c r="CO17" s="82">
        <f t="shared" ref="CO17" si="88" xml:space="preserve"> CO16 * YEARFRAC($F14, CO15)</f>
        <v>0</v>
      </c>
      <c r="CP17" s="82">
        <f t="shared" ref="CP17" si="89" xml:space="preserve"> CP16 * YEARFRAC($F14, CP15)</f>
        <v>0</v>
      </c>
      <c r="CQ17" s="82">
        <f t="shared" ref="CQ17" si="90" xml:space="preserve"> CQ16 * YEARFRAC($F14, CQ15)</f>
        <v>0</v>
      </c>
      <c r="CR17" s="82">
        <f t="shared" ref="CR17" si="91" xml:space="preserve"> CR16 * YEARFRAC($F14, CR15)</f>
        <v>0</v>
      </c>
      <c r="CS17" s="82">
        <f t="shared" ref="CS17" si="92" xml:space="preserve"> CS16 * YEARFRAC($F14, CS15)</f>
        <v>0</v>
      </c>
      <c r="CT17" s="82">
        <f t="shared" ref="CT17" si="93" xml:space="preserve"> CT16 * YEARFRAC($F14, CT15)</f>
        <v>0</v>
      </c>
      <c r="CU17" s="82">
        <f t="shared" ref="CU17" si="94" xml:space="preserve"> CU16 * YEARFRAC($F14, CU15)</f>
        <v>0</v>
      </c>
      <c r="CV17" s="82">
        <f t="shared" ref="CV17" si="95" xml:space="preserve"> CV16 * YEARFRAC($F14, CV15)</f>
        <v>0</v>
      </c>
    </row>
    <row r="18" spans="1:100" outlineLevel="1" x14ac:dyDescent="0.2">
      <c r="P18" s="82"/>
    </row>
    <row r="19" spans="1:100" outlineLevel="1" x14ac:dyDescent="0.2">
      <c r="E19" s="145" t="str">
        <f xml:space="preserve"> InpC!E$125</f>
        <v>RW CPI inflation rate</v>
      </c>
      <c r="F19" s="316">
        <f xml:space="preserve"> InpC!F$125</f>
        <v>0.02</v>
      </c>
      <c r="G19" s="145" t="str">
        <f xml:space="preserve"> InpC!G$125</f>
        <v>% p.a.</v>
      </c>
      <c r="H19" s="38"/>
    </row>
    <row r="20" spans="1:100" s="283" customFormat="1" outlineLevel="1" x14ac:dyDescent="0.2">
      <c r="A20" s="556"/>
      <c r="B20" s="556"/>
      <c r="C20" s="557"/>
      <c r="D20" s="115"/>
      <c r="E20" s="316" t="str">
        <f xml:space="preserve"> Sensitivity!E$18</f>
        <v>Inflation - sensitivity</v>
      </c>
      <c r="F20" s="316">
        <f xml:space="preserve"> Sensitivity!F$18</f>
        <v>0</v>
      </c>
      <c r="G20" s="316" t="str">
        <f xml:space="preserve"> Sensitivity!G$18</f>
        <v>%</v>
      </c>
      <c r="H20" s="115"/>
      <c r="I20" s="11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2"/>
      <c r="CB20" s="282"/>
      <c r="CC20" s="282"/>
      <c r="CD20" s="282"/>
      <c r="CE20" s="282"/>
      <c r="CF20" s="282"/>
      <c r="CG20" s="282"/>
      <c r="CH20" s="282"/>
      <c r="CI20" s="282"/>
      <c r="CJ20" s="282"/>
      <c r="CK20" s="282"/>
      <c r="CL20" s="282"/>
      <c r="CM20" s="282"/>
      <c r="CN20" s="282"/>
      <c r="CO20" s="282"/>
      <c r="CP20" s="282"/>
      <c r="CQ20" s="282"/>
      <c r="CR20" s="282"/>
      <c r="CS20" s="282"/>
      <c r="CT20" s="282"/>
      <c r="CU20" s="282"/>
      <c r="CV20" s="282"/>
    </row>
    <row r="21" spans="1:100" outlineLevel="1" x14ac:dyDescent="0.2">
      <c r="E21" s="186" t="str">
        <f xml:space="preserve"> Time!E$226</f>
        <v>Escalation period flag</v>
      </c>
      <c r="F21" s="186">
        <f xml:space="preserve"> Time!F$226</f>
        <v>0</v>
      </c>
      <c r="G21" s="186" t="str">
        <f xml:space="preserve"> Time!G$226</f>
        <v>flag</v>
      </c>
      <c r="H21" s="186">
        <f xml:space="preserve"> Time!H$226</f>
        <v>45</v>
      </c>
      <c r="I21" s="186">
        <f xml:space="preserve"> Time!I$226</f>
        <v>0</v>
      </c>
      <c r="J21" s="186">
        <f xml:space="preserve"> Time!J$226</f>
        <v>0</v>
      </c>
      <c r="K21" s="186">
        <f xml:space="preserve"> Time!K$226</f>
        <v>1</v>
      </c>
      <c r="L21" s="186">
        <f xml:space="preserve"> Time!L$226</f>
        <v>0</v>
      </c>
      <c r="M21" s="186">
        <f xml:space="preserve"> Time!M$226</f>
        <v>1</v>
      </c>
      <c r="N21" s="186">
        <f xml:space="preserve"> Time!N$226</f>
        <v>0</v>
      </c>
      <c r="O21" s="186">
        <f xml:space="preserve"> Time!O$226</f>
        <v>1</v>
      </c>
      <c r="P21" s="186">
        <f xml:space="preserve"> Time!P$226</f>
        <v>0</v>
      </c>
      <c r="Q21" s="186">
        <f xml:space="preserve"> Time!Q$226</f>
        <v>1</v>
      </c>
      <c r="R21" s="186">
        <f xml:space="preserve"> Time!R$226</f>
        <v>0</v>
      </c>
      <c r="S21" s="186">
        <f xml:space="preserve"> Time!S$226</f>
        <v>1</v>
      </c>
      <c r="T21" s="186">
        <f xml:space="preserve"> Time!T$226</f>
        <v>0</v>
      </c>
      <c r="U21" s="186">
        <f xml:space="preserve"> Time!U$226</f>
        <v>1</v>
      </c>
      <c r="V21" s="186">
        <f xml:space="preserve"> Time!V$226</f>
        <v>0</v>
      </c>
      <c r="W21" s="186">
        <f xml:space="preserve"> Time!W$226</f>
        <v>1</v>
      </c>
      <c r="X21" s="186">
        <f xml:space="preserve"> Time!X$226</f>
        <v>0</v>
      </c>
      <c r="Y21" s="186">
        <f xml:space="preserve"> Time!Y$226</f>
        <v>1</v>
      </c>
      <c r="Z21" s="186">
        <f xml:space="preserve"> Time!Z$226</f>
        <v>0</v>
      </c>
      <c r="AA21" s="186">
        <f xml:space="preserve"> Time!AA$226</f>
        <v>1</v>
      </c>
      <c r="AB21" s="186">
        <f xml:space="preserve"> Time!AB$226</f>
        <v>0</v>
      </c>
      <c r="AC21" s="186">
        <f xml:space="preserve"> Time!AC$226</f>
        <v>1</v>
      </c>
      <c r="AD21" s="186">
        <f xml:space="preserve"> Time!AD$226</f>
        <v>0</v>
      </c>
      <c r="AE21" s="186">
        <f xml:space="preserve"> Time!AE$226</f>
        <v>1</v>
      </c>
      <c r="AF21" s="186">
        <f xml:space="preserve"> Time!AF$226</f>
        <v>0</v>
      </c>
      <c r="AG21" s="186">
        <f xml:space="preserve"> Time!AG$226</f>
        <v>1</v>
      </c>
      <c r="AH21" s="186">
        <f xml:space="preserve"> Time!AH$226</f>
        <v>0</v>
      </c>
      <c r="AI21" s="186">
        <f xml:space="preserve"> Time!AI$226</f>
        <v>1</v>
      </c>
      <c r="AJ21" s="186">
        <f xml:space="preserve"> Time!AJ$226</f>
        <v>0</v>
      </c>
      <c r="AK21" s="186">
        <f xml:space="preserve"> Time!AK$226</f>
        <v>1</v>
      </c>
      <c r="AL21" s="186">
        <f xml:space="preserve"> Time!AL$226</f>
        <v>0</v>
      </c>
      <c r="AM21" s="186">
        <f xml:space="preserve"> Time!AM$226</f>
        <v>1</v>
      </c>
      <c r="AN21" s="186">
        <f xml:space="preserve"> Time!AN$226</f>
        <v>0</v>
      </c>
      <c r="AO21" s="186">
        <f xml:space="preserve"> Time!AO$226</f>
        <v>1</v>
      </c>
      <c r="AP21" s="186">
        <f xml:space="preserve"> Time!AP$226</f>
        <v>0</v>
      </c>
      <c r="AQ21" s="186">
        <f xml:space="preserve"> Time!AQ$226</f>
        <v>1</v>
      </c>
      <c r="AR21" s="186">
        <f xml:space="preserve"> Time!AR$226</f>
        <v>0</v>
      </c>
      <c r="AS21" s="186">
        <f xml:space="preserve"> Time!AS$226</f>
        <v>1</v>
      </c>
      <c r="AT21" s="186">
        <f xml:space="preserve"> Time!AT$226</f>
        <v>0</v>
      </c>
      <c r="AU21" s="186">
        <f xml:space="preserve"> Time!AU$226</f>
        <v>1</v>
      </c>
      <c r="AV21" s="186">
        <f xml:space="preserve"> Time!AV$226</f>
        <v>0</v>
      </c>
      <c r="AW21" s="186">
        <f xml:space="preserve"> Time!AW$226</f>
        <v>1</v>
      </c>
      <c r="AX21" s="186">
        <f xml:space="preserve"> Time!AX$226</f>
        <v>0</v>
      </c>
      <c r="AY21" s="186">
        <f xml:space="preserve"> Time!AY$226</f>
        <v>1</v>
      </c>
      <c r="AZ21" s="186">
        <f xml:space="preserve"> Time!AZ$226</f>
        <v>0</v>
      </c>
      <c r="BA21" s="186">
        <f xml:space="preserve"> Time!BA$226</f>
        <v>1</v>
      </c>
      <c r="BB21" s="186">
        <f xml:space="preserve"> Time!BB$226</f>
        <v>0</v>
      </c>
      <c r="BC21" s="186">
        <f xml:space="preserve"> Time!BC$226</f>
        <v>1</v>
      </c>
      <c r="BD21" s="186">
        <f xml:space="preserve"> Time!BD$226</f>
        <v>0</v>
      </c>
      <c r="BE21" s="186">
        <f xml:space="preserve"> Time!BE$226</f>
        <v>1</v>
      </c>
      <c r="BF21" s="186">
        <f xml:space="preserve"> Time!BF$226</f>
        <v>0</v>
      </c>
      <c r="BG21" s="186">
        <f xml:space="preserve"> Time!BG$226</f>
        <v>1</v>
      </c>
      <c r="BH21" s="186">
        <f xml:space="preserve"> Time!BH$226</f>
        <v>0</v>
      </c>
      <c r="BI21" s="186">
        <f xml:space="preserve"> Time!BI$226</f>
        <v>1</v>
      </c>
      <c r="BJ21" s="186">
        <f xml:space="preserve"> Time!BJ$226</f>
        <v>0</v>
      </c>
      <c r="BK21" s="186">
        <f xml:space="preserve"> Time!BK$226</f>
        <v>1</v>
      </c>
      <c r="BL21" s="186">
        <f xml:space="preserve"> Time!BL$226</f>
        <v>0</v>
      </c>
      <c r="BM21" s="186">
        <f xml:space="preserve"> Time!BM$226</f>
        <v>1</v>
      </c>
      <c r="BN21" s="186">
        <f xml:space="preserve"> Time!BN$226</f>
        <v>0</v>
      </c>
      <c r="BO21" s="186">
        <f xml:space="preserve"> Time!BO$226</f>
        <v>1</v>
      </c>
      <c r="BP21" s="186">
        <f xml:space="preserve"> Time!BP$226</f>
        <v>0</v>
      </c>
      <c r="BQ21" s="186">
        <f xml:space="preserve"> Time!BQ$226</f>
        <v>1</v>
      </c>
      <c r="BR21" s="186">
        <f xml:space="preserve"> Time!BR$226</f>
        <v>0</v>
      </c>
      <c r="BS21" s="186">
        <f xml:space="preserve"> Time!BS$226</f>
        <v>1</v>
      </c>
      <c r="BT21" s="186">
        <f xml:space="preserve"> Time!BT$226</f>
        <v>0</v>
      </c>
      <c r="BU21" s="186">
        <f xml:space="preserve"> Time!BU$226</f>
        <v>1</v>
      </c>
      <c r="BV21" s="186">
        <f xml:space="preserve"> Time!BV$226</f>
        <v>0</v>
      </c>
      <c r="BW21" s="186">
        <f xml:space="preserve"> Time!BW$226</f>
        <v>1</v>
      </c>
      <c r="BX21" s="186">
        <f xml:space="preserve"> Time!BX$226</f>
        <v>0</v>
      </c>
      <c r="BY21" s="186">
        <f xml:space="preserve"> Time!BY$226</f>
        <v>1</v>
      </c>
      <c r="BZ21" s="186">
        <f xml:space="preserve"> Time!BZ$226</f>
        <v>0</v>
      </c>
      <c r="CA21" s="186">
        <f xml:space="preserve"> Time!CA$226</f>
        <v>1</v>
      </c>
      <c r="CB21" s="186">
        <f xml:space="preserve"> Time!CB$226</f>
        <v>0</v>
      </c>
      <c r="CC21" s="186">
        <f xml:space="preserve"> Time!CC$226</f>
        <v>1</v>
      </c>
      <c r="CD21" s="186">
        <f xml:space="preserve"> Time!CD$226</f>
        <v>0</v>
      </c>
      <c r="CE21" s="186">
        <f xml:space="preserve"> Time!CE$226</f>
        <v>1</v>
      </c>
      <c r="CF21" s="186">
        <f xml:space="preserve"> Time!CF$226</f>
        <v>0</v>
      </c>
      <c r="CG21" s="186">
        <f xml:space="preserve"> Time!CG$226</f>
        <v>1</v>
      </c>
      <c r="CH21" s="186">
        <f xml:space="preserve"> Time!CH$226</f>
        <v>0</v>
      </c>
      <c r="CI21" s="186">
        <f xml:space="preserve"> Time!CI$226</f>
        <v>1</v>
      </c>
      <c r="CJ21" s="186">
        <f xml:space="preserve"> Time!CJ$226</f>
        <v>0</v>
      </c>
      <c r="CK21" s="186">
        <f xml:space="preserve"> Time!CK$226</f>
        <v>1</v>
      </c>
      <c r="CL21" s="186">
        <f xml:space="preserve"> Time!CL$226</f>
        <v>0</v>
      </c>
      <c r="CM21" s="186">
        <f xml:space="preserve"> Time!CM$226</f>
        <v>1</v>
      </c>
      <c r="CN21" s="186">
        <f xml:space="preserve"> Time!CN$226</f>
        <v>0</v>
      </c>
      <c r="CO21" s="186">
        <f xml:space="preserve"> Time!CO$226</f>
        <v>1</v>
      </c>
      <c r="CP21" s="186">
        <f xml:space="preserve"> Time!CP$226</f>
        <v>0</v>
      </c>
      <c r="CQ21" s="186">
        <f xml:space="preserve"> Time!CQ$226</f>
        <v>1</v>
      </c>
      <c r="CR21" s="186">
        <f xml:space="preserve"> Time!CR$226</f>
        <v>0</v>
      </c>
      <c r="CS21" s="186">
        <f xml:space="preserve"> Time!CS$226</f>
        <v>1</v>
      </c>
      <c r="CT21" s="186">
        <f xml:space="preserve"> Time!CT$226</f>
        <v>0</v>
      </c>
      <c r="CU21" s="186">
        <f xml:space="preserve"> Time!CU$226</f>
        <v>1</v>
      </c>
      <c r="CV21" s="186">
        <f xml:space="preserve"> Time!CV$226</f>
        <v>0</v>
      </c>
    </row>
    <row r="22" spans="1:100" s="280" customFormat="1" outlineLevel="1" x14ac:dyDescent="0.2">
      <c r="A22" s="278"/>
      <c r="B22" s="278"/>
      <c r="C22" s="410"/>
      <c r="D22" s="279"/>
      <c r="E22" s="82" t="str">
        <f t="shared" ref="E22:AJ22" si="96" xml:space="preserve"> E$17</f>
        <v>Years elapsed since RW CPI escalation base date</v>
      </c>
      <c r="F22" s="82">
        <f t="shared" si="96"/>
        <v>0</v>
      </c>
      <c r="G22" s="82" t="str">
        <f t="shared" si="96"/>
        <v>years</v>
      </c>
      <c r="H22" s="82">
        <f t="shared" si="96"/>
        <v>0</v>
      </c>
      <c r="I22" s="82">
        <f t="shared" si="96"/>
        <v>0</v>
      </c>
      <c r="J22" s="82">
        <f t="shared" si="96"/>
        <v>0</v>
      </c>
      <c r="K22" s="82">
        <f t="shared" si="96"/>
        <v>0</v>
      </c>
      <c r="L22" s="82">
        <f t="shared" si="96"/>
        <v>0</v>
      </c>
      <c r="M22" s="82">
        <f t="shared" si="96"/>
        <v>0</v>
      </c>
      <c r="N22" s="82">
        <f t="shared" si="96"/>
        <v>0</v>
      </c>
      <c r="O22" s="82">
        <f t="shared" si="96"/>
        <v>4</v>
      </c>
      <c r="P22" s="82">
        <f t="shared" si="96"/>
        <v>4</v>
      </c>
      <c r="Q22" s="82">
        <f t="shared" si="96"/>
        <v>5</v>
      </c>
      <c r="R22" s="82">
        <f t="shared" si="96"/>
        <v>5</v>
      </c>
      <c r="S22" s="82">
        <f t="shared" si="96"/>
        <v>6</v>
      </c>
      <c r="T22" s="82">
        <f t="shared" si="96"/>
        <v>6</v>
      </c>
      <c r="U22" s="82">
        <f t="shared" si="96"/>
        <v>7</v>
      </c>
      <c r="V22" s="82">
        <f t="shared" si="96"/>
        <v>7</v>
      </c>
      <c r="W22" s="82">
        <f t="shared" si="96"/>
        <v>8</v>
      </c>
      <c r="X22" s="82">
        <f t="shared" si="96"/>
        <v>8</v>
      </c>
      <c r="Y22" s="82">
        <f t="shared" si="96"/>
        <v>9</v>
      </c>
      <c r="Z22" s="82">
        <f t="shared" si="96"/>
        <v>9</v>
      </c>
      <c r="AA22" s="82">
        <f t="shared" si="96"/>
        <v>10</v>
      </c>
      <c r="AB22" s="82">
        <f t="shared" si="96"/>
        <v>10</v>
      </c>
      <c r="AC22" s="82">
        <f t="shared" si="96"/>
        <v>11</v>
      </c>
      <c r="AD22" s="82">
        <f t="shared" si="96"/>
        <v>11</v>
      </c>
      <c r="AE22" s="82">
        <f t="shared" si="96"/>
        <v>12</v>
      </c>
      <c r="AF22" s="82">
        <f t="shared" si="96"/>
        <v>12</v>
      </c>
      <c r="AG22" s="82">
        <f t="shared" si="96"/>
        <v>13</v>
      </c>
      <c r="AH22" s="82">
        <f t="shared" si="96"/>
        <v>13</v>
      </c>
      <c r="AI22" s="82">
        <f t="shared" si="96"/>
        <v>14</v>
      </c>
      <c r="AJ22" s="82">
        <f t="shared" si="96"/>
        <v>14</v>
      </c>
      <c r="AK22" s="82">
        <f t="shared" ref="AK22:BP22" si="97" xml:space="preserve"> AK$17</f>
        <v>15</v>
      </c>
      <c r="AL22" s="82">
        <f t="shared" si="97"/>
        <v>15</v>
      </c>
      <c r="AM22" s="82">
        <f t="shared" si="97"/>
        <v>16</v>
      </c>
      <c r="AN22" s="82">
        <f t="shared" si="97"/>
        <v>16</v>
      </c>
      <c r="AO22" s="82">
        <f t="shared" si="97"/>
        <v>17</v>
      </c>
      <c r="AP22" s="82">
        <f t="shared" si="97"/>
        <v>17</v>
      </c>
      <c r="AQ22" s="82">
        <f t="shared" si="97"/>
        <v>18</v>
      </c>
      <c r="AR22" s="82">
        <f t="shared" si="97"/>
        <v>18</v>
      </c>
      <c r="AS22" s="82">
        <f t="shared" si="97"/>
        <v>19</v>
      </c>
      <c r="AT22" s="82">
        <f t="shared" si="97"/>
        <v>19</v>
      </c>
      <c r="AU22" s="82">
        <f t="shared" si="97"/>
        <v>20</v>
      </c>
      <c r="AV22" s="82">
        <f t="shared" si="97"/>
        <v>20</v>
      </c>
      <c r="AW22" s="82">
        <f t="shared" si="97"/>
        <v>21</v>
      </c>
      <c r="AX22" s="82">
        <f t="shared" si="97"/>
        <v>21</v>
      </c>
      <c r="AY22" s="82">
        <f t="shared" si="97"/>
        <v>22</v>
      </c>
      <c r="AZ22" s="82">
        <f t="shared" si="97"/>
        <v>22</v>
      </c>
      <c r="BA22" s="82">
        <f t="shared" si="97"/>
        <v>23</v>
      </c>
      <c r="BB22" s="82">
        <f t="shared" si="97"/>
        <v>23</v>
      </c>
      <c r="BC22" s="82">
        <f t="shared" si="97"/>
        <v>0</v>
      </c>
      <c r="BD22" s="82">
        <f t="shared" si="97"/>
        <v>0</v>
      </c>
      <c r="BE22" s="82">
        <f t="shared" si="97"/>
        <v>0</v>
      </c>
      <c r="BF22" s="82">
        <f t="shared" si="97"/>
        <v>0</v>
      </c>
      <c r="BG22" s="82">
        <f t="shared" si="97"/>
        <v>0</v>
      </c>
      <c r="BH22" s="82">
        <f t="shared" si="97"/>
        <v>0</v>
      </c>
      <c r="BI22" s="82">
        <f t="shared" si="97"/>
        <v>0</v>
      </c>
      <c r="BJ22" s="82">
        <f t="shared" si="97"/>
        <v>0</v>
      </c>
      <c r="BK22" s="82">
        <f t="shared" si="97"/>
        <v>0</v>
      </c>
      <c r="BL22" s="82">
        <f t="shared" si="97"/>
        <v>0</v>
      </c>
      <c r="BM22" s="82">
        <f t="shared" si="97"/>
        <v>0</v>
      </c>
      <c r="BN22" s="82">
        <f t="shared" si="97"/>
        <v>0</v>
      </c>
      <c r="BO22" s="82">
        <f t="shared" si="97"/>
        <v>0</v>
      </c>
      <c r="BP22" s="82">
        <f t="shared" si="97"/>
        <v>0</v>
      </c>
      <c r="BQ22" s="82">
        <f t="shared" ref="BQ22:CV22" si="98" xml:space="preserve"> BQ$17</f>
        <v>0</v>
      </c>
      <c r="BR22" s="82">
        <f t="shared" si="98"/>
        <v>0</v>
      </c>
      <c r="BS22" s="82">
        <f t="shared" si="98"/>
        <v>0</v>
      </c>
      <c r="BT22" s="82">
        <f t="shared" si="98"/>
        <v>0</v>
      </c>
      <c r="BU22" s="82">
        <f t="shared" si="98"/>
        <v>0</v>
      </c>
      <c r="BV22" s="82">
        <f t="shared" si="98"/>
        <v>0</v>
      </c>
      <c r="BW22" s="82">
        <f t="shared" si="98"/>
        <v>0</v>
      </c>
      <c r="BX22" s="82">
        <f t="shared" si="98"/>
        <v>0</v>
      </c>
      <c r="BY22" s="82">
        <f t="shared" si="98"/>
        <v>0</v>
      </c>
      <c r="BZ22" s="82">
        <f t="shared" si="98"/>
        <v>0</v>
      </c>
      <c r="CA22" s="82">
        <f t="shared" si="98"/>
        <v>0</v>
      </c>
      <c r="CB22" s="82">
        <f t="shared" si="98"/>
        <v>0</v>
      </c>
      <c r="CC22" s="82">
        <f t="shared" si="98"/>
        <v>0</v>
      </c>
      <c r="CD22" s="82">
        <f t="shared" si="98"/>
        <v>0</v>
      </c>
      <c r="CE22" s="82">
        <f t="shared" si="98"/>
        <v>0</v>
      </c>
      <c r="CF22" s="82">
        <f t="shared" si="98"/>
        <v>0</v>
      </c>
      <c r="CG22" s="82">
        <f t="shared" si="98"/>
        <v>0</v>
      </c>
      <c r="CH22" s="82">
        <f t="shared" si="98"/>
        <v>0</v>
      </c>
      <c r="CI22" s="82">
        <f t="shared" si="98"/>
        <v>0</v>
      </c>
      <c r="CJ22" s="82">
        <f t="shared" si="98"/>
        <v>0</v>
      </c>
      <c r="CK22" s="82">
        <f t="shared" si="98"/>
        <v>0</v>
      </c>
      <c r="CL22" s="82">
        <f t="shared" si="98"/>
        <v>0</v>
      </c>
      <c r="CM22" s="82">
        <f t="shared" si="98"/>
        <v>0</v>
      </c>
      <c r="CN22" s="82">
        <f t="shared" si="98"/>
        <v>0</v>
      </c>
      <c r="CO22" s="82">
        <f t="shared" si="98"/>
        <v>0</v>
      </c>
      <c r="CP22" s="82">
        <f t="shared" si="98"/>
        <v>0</v>
      </c>
      <c r="CQ22" s="82">
        <f t="shared" si="98"/>
        <v>0</v>
      </c>
      <c r="CR22" s="82">
        <f t="shared" si="98"/>
        <v>0</v>
      </c>
      <c r="CS22" s="82">
        <f t="shared" si="98"/>
        <v>0</v>
      </c>
      <c r="CT22" s="82">
        <f t="shared" si="98"/>
        <v>0</v>
      </c>
      <c r="CU22" s="82">
        <f t="shared" si="98"/>
        <v>0</v>
      </c>
      <c r="CV22" s="82">
        <f t="shared" si="98"/>
        <v>0</v>
      </c>
    </row>
    <row r="23" spans="1:100" outlineLevel="1" x14ac:dyDescent="0.2">
      <c r="E23" s="125" t="str">
        <f xml:space="preserve"> Time!E$14</f>
        <v>First model column flag</v>
      </c>
      <c r="F23" s="125">
        <f xml:space="preserve"> Time!F$14</f>
        <v>0</v>
      </c>
      <c r="G23" s="125" t="str">
        <f xml:space="preserve"> Time!G$14</f>
        <v>flag</v>
      </c>
      <c r="H23" s="125">
        <f xml:space="preserve"> Time!H$14</f>
        <v>1</v>
      </c>
      <c r="I23" s="125">
        <f xml:space="preserve"> Time!I$14</f>
        <v>0</v>
      </c>
      <c r="J23" s="125">
        <f xml:space="preserve"> Time!J$14</f>
        <v>1</v>
      </c>
      <c r="K23" s="125">
        <f xml:space="preserve"> Time!K$14</f>
        <v>0</v>
      </c>
      <c r="L23" s="125">
        <f xml:space="preserve"> Time!L$14</f>
        <v>0</v>
      </c>
      <c r="M23" s="125">
        <f xml:space="preserve"> Time!M$14</f>
        <v>0</v>
      </c>
      <c r="N23" s="125">
        <f xml:space="preserve"> Time!N$14</f>
        <v>0</v>
      </c>
      <c r="O23" s="125">
        <f xml:space="preserve"> Time!O$14</f>
        <v>0</v>
      </c>
      <c r="P23" s="125">
        <f xml:space="preserve"> Time!P$14</f>
        <v>0</v>
      </c>
      <c r="Q23" s="125">
        <f xml:space="preserve"> Time!Q$14</f>
        <v>0</v>
      </c>
      <c r="R23" s="125">
        <f xml:space="preserve"> Time!R$14</f>
        <v>0</v>
      </c>
      <c r="S23" s="125">
        <f xml:space="preserve"> Time!S$14</f>
        <v>0</v>
      </c>
      <c r="T23" s="125">
        <f xml:space="preserve"> Time!T$14</f>
        <v>0</v>
      </c>
      <c r="U23" s="125">
        <f xml:space="preserve"> Time!U$14</f>
        <v>0</v>
      </c>
      <c r="V23" s="125">
        <f xml:space="preserve"> Time!V$14</f>
        <v>0</v>
      </c>
      <c r="W23" s="125">
        <f xml:space="preserve"> Time!W$14</f>
        <v>0</v>
      </c>
      <c r="X23" s="125">
        <f xml:space="preserve"> Time!X$14</f>
        <v>0</v>
      </c>
      <c r="Y23" s="125">
        <f xml:space="preserve"> Time!Y$14</f>
        <v>0</v>
      </c>
      <c r="Z23" s="125">
        <f xml:space="preserve"> Time!Z$14</f>
        <v>0</v>
      </c>
      <c r="AA23" s="125">
        <f xml:space="preserve"> Time!AA$14</f>
        <v>0</v>
      </c>
      <c r="AB23" s="125">
        <f xml:space="preserve"> Time!AB$14</f>
        <v>0</v>
      </c>
      <c r="AC23" s="125">
        <f xml:space="preserve"> Time!AC$14</f>
        <v>0</v>
      </c>
      <c r="AD23" s="125">
        <f xml:space="preserve"> Time!AD$14</f>
        <v>0</v>
      </c>
      <c r="AE23" s="125">
        <f xml:space="preserve"> Time!AE$14</f>
        <v>0</v>
      </c>
      <c r="AF23" s="125">
        <f xml:space="preserve"> Time!AF$14</f>
        <v>0</v>
      </c>
      <c r="AG23" s="125">
        <f xml:space="preserve"> Time!AG$14</f>
        <v>0</v>
      </c>
      <c r="AH23" s="125">
        <f xml:space="preserve"> Time!AH$14</f>
        <v>0</v>
      </c>
      <c r="AI23" s="125">
        <f xml:space="preserve"> Time!AI$14</f>
        <v>0</v>
      </c>
      <c r="AJ23" s="125">
        <f xml:space="preserve"> Time!AJ$14</f>
        <v>0</v>
      </c>
      <c r="AK23" s="125">
        <f xml:space="preserve"> Time!AK$14</f>
        <v>0</v>
      </c>
      <c r="AL23" s="125">
        <f xml:space="preserve"> Time!AL$14</f>
        <v>0</v>
      </c>
      <c r="AM23" s="125">
        <f xml:space="preserve"> Time!AM$14</f>
        <v>0</v>
      </c>
      <c r="AN23" s="125">
        <f xml:space="preserve"> Time!AN$14</f>
        <v>0</v>
      </c>
      <c r="AO23" s="125">
        <f xml:space="preserve"> Time!AO$14</f>
        <v>0</v>
      </c>
      <c r="AP23" s="125">
        <f xml:space="preserve"> Time!AP$14</f>
        <v>0</v>
      </c>
      <c r="AQ23" s="125">
        <f xml:space="preserve"> Time!AQ$14</f>
        <v>0</v>
      </c>
      <c r="AR23" s="125">
        <f xml:space="preserve"> Time!AR$14</f>
        <v>0</v>
      </c>
      <c r="AS23" s="125">
        <f xml:space="preserve"> Time!AS$14</f>
        <v>0</v>
      </c>
      <c r="AT23" s="125">
        <f xml:space="preserve"> Time!AT$14</f>
        <v>0</v>
      </c>
      <c r="AU23" s="125">
        <f xml:space="preserve"> Time!AU$14</f>
        <v>0</v>
      </c>
      <c r="AV23" s="125">
        <f xml:space="preserve"> Time!AV$14</f>
        <v>0</v>
      </c>
      <c r="AW23" s="125">
        <f xml:space="preserve"> Time!AW$14</f>
        <v>0</v>
      </c>
      <c r="AX23" s="125">
        <f xml:space="preserve"> Time!AX$14</f>
        <v>0</v>
      </c>
      <c r="AY23" s="125">
        <f xml:space="preserve"> Time!AY$14</f>
        <v>0</v>
      </c>
      <c r="AZ23" s="125">
        <f xml:space="preserve"> Time!AZ$14</f>
        <v>0</v>
      </c>
      <c r="BA23" s="125">
        <f xml:space="preserve"> Time!BA$14</f>
        <v>0</v>
      </c>
      <c r="BB23" s="125">
        <f xml:space="preserve"> Time!BB$14</f>
        <v>0</v>
      </c>
      <c r="BC23" s="125">
        <f xml:space="preserve"> Time!BC$14</f>
        <v>0</v>
      </c>
      <c r="BD23" s="125">
        <f xml:space="preserve"> Time!BD$14</f>
        <v>0</v>
      </c>
      <c r="BE23" s="125">
        <f xml:space="preserve"> Time!BE$14</f>
        <v>0</v>
      </c>
      <c r="BF23" s="125">
        <f xml:space="preserve"> Time!BF$14</f>
        <v>0</v>
      </c>
      <c r="BG23" s="125">
        <f xml:space="preserve"> Time!BG$14</f>
        <v>0</v>
      </c>
      <c r="BH23" s="125">
        <f xml:space="preserve"> Time!BH$14</f>
        <v>0</v>
      </c>
      <c r="BI23" s="125">
        <f xml:space="preserve"> Time!BI$14</f>
        <v>0</v>
      </c>
      <c r="BJ23" s="125">
        <f xml:space="preserve"> Time!BJ$14</f>
        <v>0</v>
      </c>
      <c r="BK23" s="125">
        <f xml:space="preserve"> Time!BK$14</f>
        <v>0</v>
      </c>
      <c r="BL23" s="125">
        <f xml:space="preserve"> Time!BL$14</f>
        <v>0</v>
      </c>
      <c r="BM23" s="125">
        <f xml:space="preserve"> Time!BM$14</f>
        <v>0</v>
      </c>
      <c r="BN23" s="125">
        <f xml:space="preserve"> Time!BN$14</f>
        <v>0</v>
      </c>
      <c r="BO23" s="125">
        <f xml:space="preserve"> Time!BO$14</f>
        <v>0</v>
      </c>
      <c r="BP23" s="125">
        <f xml:space="preserve"> Time!BP$14</f>
        <v>0</v>
      </c>
      <c r="BQ23" s="125">
        <f xml:space="preserve"> Time!BQ$14</f>
        <v>0</v>
      </c>
      <c r="BR23" s="125">
        <f xml:space="preserve"> Time!BR$14</f>
        <v>0</v>
      </c>
      <c r="BS23" s="125">
        <f xml:space="preserve"> Time!BS$14</f>
        <v>0</v>
      </c>
      <c r="BT23" s="125">
        <f xml:space="preserve"> Time!BT$14</f>
        <v>0</v>
      </c>
      <c r="BU23" s="125">
        <f xml:space="preserve"> Time!BU$14</f>
        <v>0</v>
      </c>
      <c r="BV23" s="125">
        <f xml:space="preserve"> Time!BV$14</f>
        <v>0</v>
      </c>
      <c r="BW23" s="125">
        <f xml:space="preserve"> Time!BW$14</f>
        <v>0</v>
      </c>
      <c r="BX23" s="125">
        <f xml:space="preserve"> Time!BX$14</f>
        <v>0</v>
      </c>
      <c r="BY23" s="125">
        <f xml:space="preserve"> Time!BY$14</f>
        <v>0</v>
      </c>
      <c r="BZ23" s="125">
        <f xml:space="preserve"> Time!BZ$14</f>
        <v>0</v>
      </c>
      <c r="CA23" s="125">
        <f xml:space="preserve"> Time!CA$14</f>
        <v>0</v>
      </c>
      <c r="CB23" s="125">
        <f xml:space="preserve"> Time!CB$14</f>
        <v>0</v>
      </c>
      <c r="CC23" s="125">
        <f xml:space="preserve"> Time!CC$14</f>
        <v>0</v>
      </c>
      <c r="CD23" s="125">
        <f xml:space="preserve"> Time!CD$14</f>
        <v>0</v>
      </c>
      <c r="CE23" s="125">
        <f xml:space="preserve"> Time!CE$14</f>
        <v>0</v>
      </c>
      <c r="CF23" s="125">
        <f xml:space="preserve"> Time!CF$14</f>
        <v>0</v>
      </c>
      <c r="CG23" s="125">
        <f xml:space="preserve"> Time!CG$14</f>
        <v>0</v>
      </c>
      <c r="CH23" s="125">
        <f xml:space="preserve"> Time!CH$14</f>
        <v>0</v>
      </c>
      <c r="CI23" s="125">
        <f xml:space="preserve"> Time!CI$14</f>
        <v>0</v>
      </c>
      <c r="CJ23" s="125">
        <f xml:space="preserve"> Time!CJ$14</f>
        <v>0</v>
      </c>
      <c r="CK23" s="125">
        <f xml:space="preserve"> Time!CK$14</f>
        <v>0</v>
      </c>
      <c r="CL23" s="125">
        <f xml:space="preserve"> Time!CL$14</f>
        <v>0</v>
      </c>
      <c r="CM23" s="125">
        <f xml:space="preserve"> Time!CM$14</f>
        <v>0</v>
      </c>
      <c r="CN23" s="125">
        <f xml:space="preserve"> Time!CN$14</f>
        <v>0</v>
      </c>
      <c r="CO23" s="125">
        <f xml:space="preserve"> Time!CO$14</f>
        <v>0</v>
      </c>
      <c r="CP23" s="125">
        <f xml:space="preserve"> Time!CP$14</f>
        <v>0</v>
      </c>
      <c r="CQ23" s="125">
        <f xml:space="preserve"> Time!CQ$14</f>
        <v>0</v>
      </c>
      <c r="CR23" s="125">
        <f xml:space="preserve"> Time!CR$14</f>
        <v>0</v>
      </c>
      <c r="CS23" s="125">
        <f xml:space="preserve"> Time!CS$14</f>
        <v>0</v>
      </c>
      <c r="CT23" s="125">
        <f xml:space="preserve"> Time!CT$14</f>
        <v>0</v>
      </c>
      <c r="CU23" s="125">
        <f xml:space="preserve"> Time!CU$14</f>
        <v>0</v>
      </c>
      <c r="CV23" s="125">
        <f xml:space="preserve"> Time!CV$14</f>
        <v>0</v>
      </c>
    </row>
    <row r="24" spans="1:100" s="188" customFormat="1" outlineLevel="1" x14ac:dyDescent="0.2">
      <c r="A24" s="141"/>
      <c r="B24" s="141"/>
      <c r="C24" s="142"/>
      <c r="D24" s="143"/>
      <c r="E24" s="187" t="s">
        <v>611</v>
      </c>
      <c r="F24" s="187"/>
      <c r="G24" s="187" t="s">
        <v>204</v>
      </c>
      <c r="H24" s="187"/>
      <c r="I24" s="144"/>
      <c r="J24" s="411">
        <f t="shared" ref="J24:AO24" si="99" xml:space="preserve"> (J23 +  IF(J21 = 1, (1 + $F19 + $F20) ^ J22, I24))</f>
        <v>1</v>
      </c>
      <c r="K24" s="411">
        <f t="shared" si="99"/>
        <v>1</v>
      </c>
      <c r="L24" s="411">
        <f t="shared" si="99"/>
        <v>1</v>
      </c>
      <c r="M24" s="411">
        <f t="shared" si="99"/>
        <v>1</v>
      </c>
      <c r="N24" s="411">
        <f t="shared" si="99"/>
        <v>1</v>
      </c>
      <c r="O24" s="411">
        <f t="shared" si="99"/>
        <v>1.08243216</v>
      </c>
      <c r="P24" s="411">
        <f t="shared" si="99"/>
        <v>1.08243216</v>
      </c>
      <c r="Q24" s="411">
        <f t="shared" si="99"/>
        <v>1.1040808032</v>
      </c>
      <c r="R24" s="411">
        <f t="shared" si="99"/>
        <v>1.1040808032</v>
      </c>
      <c r="S24" s="411">
        <f t="shared" si="99"/>
        <v>1.1261624192640001</v>
      </c>
      <c r="T24" s="411">
        <f t="shared" si="99"/>
        <v>1.1261624192640001</v>
      </c>
      <c r="U24" s="411">
        <f t="shared" si="99"/>
        <v>1.1486856676492798</v>
      </c>
      <c r="V24" s="411">
        <f t="shared" si="99"/>
        <v>1.1486856676492798</v>
      </c>
      <c r="W24" s="411">
        <f t="shared" si="99"/>
        <v>1.1716593810022655</v>
      </c>
      <c r="X24" s="411">
        <f t="shared" si="99"/>
        <v>1.1716593810022655</v>
      </c>
      <c r="Y24" s="411">
        <f t="shared" si="99"/>
        <v>1.1950925686223108</v>
      </c>
      <c r="Z24" s="411">
        <f t="shared" si="99"/>
        <v>1.1950925686223108</v>
      </c>
      <c r="AA24" s="411">
        <f t="shared" si="99"/>
        <v>1.2189944199947571</v>
      </c>
      <c r="AB24" s="411">
        <f t="shared" si="99"/>
        <v>1.2189944199947571</v>
      </c>
      <c r="AC24" s="411">
        <f t="shared" si="99"/>
        <v>1.243374308394652</v>
      </c>
      <c r="AD24" s="411">
        <f t="shared" si="99"/>
        <v>1.243374308394652</v>
      </c>
      <c r="AE24" s="411">
        <f t="shared" si="99"/>
        <v>1.2682417945625453</v>
      </c>
      <c r="AF24" s="411">
        <f t="shared" si="99"/>
        <v>1.2682417945625453</v>
      </c>
      <c r="AG24" s="411">
        <f t="shared" si="99"/>
        <v>1.2936066304537961</v>
      </c>
      <c r="AH24" s="411">
        <f t="shared" si="99"/>
        <v>1.2936066304537961</v>
      </c>
      <c r="AI24" s="411">
        <f t="shared" si="99"/>
        <v>1.3194787630628722</v>
      </c>
      <c r="AJ24" s="411">
        <f t="shared" si="99"/>
        <v>1.3194787630628722</v>
      </c>
      <c r="AK24" s="411">
        <f t="shared" si="99"/>
        <v>1.3458683383241292</v>
      </c>
      <c r="AL24" s="411">
        <f t="shared" si="99"/>
        <v>1.3458683383241292</v>
      </c>
      <c r="AM24" s="411">
        <f t="shared" si="99"/>
        <v>1.372785705090612</v>
      </c>
      <c r="AN24" s="411">
        <f t="shared" si="99"/>
        <v>1.372785705090612</v>
      </c>
      <c r="AO24" s="411">
        <f t="shared" si="99"/>
        <v>1.4002414191924244</v>
      </c>
      <c r="AP24" s="411">
        <f t="shared" ref="AP24:BU24" si="100" xml:space="preserve"> (AP23 +  IF(AP21 = 1, (1 + $F19 + $F20) ^ AP22, AO24))</f>
        <v>1.4002414191924244</v>
      </c>
      <c r="AQ24" s="411">
        <f t="shared" si="100"/>
        <v>1.4282462475762727</v>
      </c>
      <c r="AR24" s="411">
        <f t="shared" si="100"/>
        <v>1.4282462475762727</v>
      </c>
      <c r="AS24" s="411">
        <f t="shared" si="100"/>
        <v>1.4568111725277981</v>
      </c>
      <c r="AT24" s="411">
        <f t="shared" si="100"/>
        <v>1.4568111725277981</v>
      </c>
      <c r="AU24" s="411">
        <f t="shared" si="100"/>
        <v>1.4859473959783542</v>
      </c>
      <c r="AV24" s="411">
        <f t="shared" si="100"/>
        <v>1.4859473959783542</v>
      </c>
      <c r="AW24" s="411">
        <f t="shared" si="100"/>
        <v>1.5156663438979212</v>
      </c>
      <c r="AX24" s="411">
        <f t="shared" si="100"/>
        <v>1.5156663438979212</v>
      </c>
      <c r="AY24" s="411">
        <f t="shared" si="100"/>
        <v>1.5459796707758797</v>
      </c>
      <c r="AZ24" s="411">
        <f t="shared" si="100"/>
        <v>1.5459796707758797</v>
      </c>
      <c r="BA24" s="411">
        <f t="shared" si="100"/>
        <v>1.576899264191397</v>
      </c>
      <c r="BB24" s="411">
        <f t="shared" si="100"/>
        <v>1.576899264191397</v>
      </c>
      <c r="BC24" s="411">
        <f t="shared" si="100"/>
        <v>1</v>
      </c>
      <c r="BD24" s="411">
        <f t="shared" si="100"/>
        <v>1</v>
      </c>
      <c r="BE24" s="411">
        <f t="shared" si="100"/>
        <v>1</v>
      </c>
      <c r="BF24" s="411">
        <f t="shared" si="100"/>
        <v>1</v>
      </c>
      <c r="BG24" s="411">
        <f t="shared" si="100"/>
        <v>1</v>
      </c>
      <c r="BH24" s="411">
        <f t="shared" si="100"/>
        <v>1</v>
      </c>
      <c r="BI24" s="411">
        <f t="shared" si="100"/>
        <v>1</v>
      </c>
      <c r="BJ24" s="411">
        <f t="shared" si="100"/>
        <v>1</v>
      </c>
      <c r="BK24" s="411">
        <f t="shared" si="100"/>
        <v>1</v>
      </c>
      <c r="BL24" s="411">
        <f t="shared" si="100"/>
        <v>1</v>
      </c>
      <c r="BM24" s="411">
        <f t="shared" si="100"/>
        <v>1</v>
      </c>
      <c r="BN24" s="411">
        <f t="shared" si="100"/>
        <v>1</v>
      </c>
      <c r="BO24" s="411">
        <f t="shared" si="100"/>
        <v>1</v>
      </c>
      <c r="BP24" s="411">
        <f t="shared" si="100"/>
        <v>1</v>
      </c>
      <c r="BQ24" s="411">
        <f t="shared" si="100"/>
        <v>1</v>
      </c>
      <c r="BR24" s="411">
        <f t="shared" si="100"/>
        <v>1</v>
      </c>
      <c r="BS24" s="411">
        <f t="shared" si="100"/>
        <v>1</v>
      </c>
      <c r="BT24" s="411">
        <f t="shared" si="100"/>
        <v>1</v>
      </c>
      <c r="BU24" s="411">
        <f t="shared" si="100"/>
        <v>1</v>
      </c>
      <c r="BV24" s="411">
        <f t="shared" ref="BV24:CV24" si="101" xml:space="preserve"> (BV23 +  IF(BV21 = 1, (1 + $F19 + $F20) ^ BV22, BU24))</f>
        <v>1</v>
      </c>
      <c r="BW24" s="411">
        <f t="shared" si="101"/>
        <v>1</v>
      </c>
      <c r="BX24" s="411">
        <f t="shared" si="101"/>
        <v>1</v>
      </c>
      <c r="BY24" s="411">
        <f t="shared" si="101"/>
        <v>1</v>
      </c>
      <c r="BZ24" s="411">
        <f t="shared" si="101"/>
        <v>1</v>
      </c>
      <c r="CA24" s="411">
        <f t="shared" si="101"/>
        <v>1</v>
      </c>
      <c r="CB24" s="411">
        <f t="shared" si="101"/>
        <v>1</v>
      </c>
      <c r="CC24" s="411">
        <f t="shared" si="101"/>
        <v>1</v>
      </c>
      <c r="CD24" s="411">
        <f t="shared" si="101"/>
        <v>1</v>
      </c>
      <c r="CE24" s="411">
        <f t="shared" si="101"/>
        <v>1</v>
      </c>
      <c r="CF24" s="411">
        <f t="shared" si="101"/>
        <v>1</v>
      </c>
      <c r="CG24" s="411">
        <f t="shared" si="101"/>
        <v>1</v>
      </c>
      <c r="CH24" s="411">
        <f t="shared" si="101"/>
        <v>1</v>
      </c>
      <c r="CI24" s="411">
        <f t="shared" si="101"/>
        <v>1</v>
      </c>
      <c r="CJ24" s="411">
        <f t="shared" si="101"/>
        <v>1</v>
      </c>
      <c r="CK24" s="411">
        <f t="shared" si="101"/>
        <v>1</v>
      </c>
      <c r="CL24" s="411">
        <f t="shared" si="101"/>
        <v>1</v>
      </c>
      <c r="CM24" s="411">
        <f t="shared" si="101"/>
        <v>1</v>
      </c>
      <c r="CN24" s="411">
        <f t="shared" si="101"/>
        <v>1</v>
      </c>
      <c r="CO24" s="411">
        <f t="shared" si="101"/>
        <v>1</v>
      </c>
      <c r="CP24" s="411">
        <f t="shared" si="101"/>
        <v>1</v>
      </c>
      <c r="CQ24" s="411">
        <f t="shared" si="101"/>
        <v>1</v>
      </c>
      <c r="CR24" s="411">
        <f t="shared" si="101"/>
        <v>1</v>
      </c>
      <c r="CS24" s="411">
        <f t="shared" si="101"/>
        <v>1</v>
      </c>
      <c r="CT24" s="411">
        <f t="shared" si="101"/>
        <v>1</v>
      </c>
      <c r="CU24" s="411">
        <f t="shared" si="101"/>
        <v>1</v>
      </c>
      <c r="CV24" s="411">
        <f t="shared" si="101"/>
        <v>1</v>
      </c>
    </row>
    <row r="25" spans="1:100" outlineLevel="1" x14ac:dyDescent="0.2">
      <c r="P25" s="82"/>
      <c r="S25" s="604"/>
      <c r="T25" s="604"/>
      <c r="U25" s="604"/>
      <c r="V25" s="604"/>
      <c r="W25" s="604"/>
      <c r="X25" s="604"/>
      <c r="Y25" s="604"/>
      <c r="Z25" s="604"/>
      <c r="AA25" s="604"/>
      <c r="AB25" s="604"/>
      <c r="AC25" s="604"/>
      <c r="AD25" s="604"/>
      <c r="AE25" s="604"/>
      <c r="AF25" s="604"/>
      <c r="AG25" s="604"/>
      <c r="AH25" s="604"/>
      <c r="AI25" s="604"/>
      <c r="AJ25" s="604"/>
      <c r="AK25" s="604"/>
      <c r="AL25" s="604"/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AW25" s="604"/>
      <c r="AX25" s="604"/>
      <c r="AY25" s="604"/>
      <c r="AZ25" s="604"/>
      <c r="BA25" s="604"/>
      <c r="BB25" s="604"/>
      <c r="BC25" s="604"/>
      <c r="BD25" s="604"/>
      <c r="BE25" s="604"/>
      <c r="BF25" s="604"/>
      <c r="BG25" s="604"/>
      <c r="BH25" s="604"/>
      <c r="BI25" s="604"/>
      <c r="BJ25" s="604"/>
      <c r="BK25" s="604"/>
      <c r="BL25" s="604"/>
      <c r="BM25" s="604"/>
      <c r="BN25" s="604"/>
      <c r="BO25" s="604"/>
      <c r="BP25" s="604"/>
      <c r="BQ25" s="604"/>
      <c r="BR25" s="604"/>
      <c r="BS25" s="604"/>
      <c r="BT25" s="604"/>
      <c r="BU25" s="604"/>
      <c r="BV25" s="604"/>
      <c r="BW25" s="604"/>
      <c r="BX25" s="604"/>
      <c r="BY25" s="604"/>
      <c r="BZ25" s="604"/>
      <c r="CA25" s="604"/>
      <c r="CB25" s="604"/>
      <c r="CC25" s="604"/>
      <c r="CD25" s="604"/>
      <c r="CE25" s="604"/>
      <c r="CF25" s="604"/>
      <c r="CG25" s="604"/>
      <c r="CH25" s="604"/>
      <c r="CI25" s="604"/>
      <c r="CJ25" s="604"/>
      <c r="CK25" s="604"/>
      <c r="CL25" s="604"/>
      <c r="CM25" s="604"/>
      <c r="CN25" s="604"/>
      <c r="CO25" s="604"/>
      <c r="CP25" s="604"/>
      <c r="CQ25" s="604"/>
      <c r="CR25" s="604"/>
      <c r="CS25" s="604"/>
      <c r="CT25" s="604"/>
      <c r="CU25" s="604"/>
      <c r="CV25" s="604"/>
    </row>
    <row r="26" spans="1:100" x14ac:dyDescent="0.2">
      <c r="P26" s="82"/>
    </row>
    <row r="27" spans="1:100" x14ac:dyDescent="0.2">
      <c r="A27" s="15" t="s">
        <v>612</v>
      </c>
      <c r="P27" s="82"/>
    </row>
    <row r="28" spans="1:100" outlineLevel="1" x14ac:dyDescent="0.2">
      <c r="P28" s="82"/>
    </row>
    <row r="29" spans="1:100" s="667" customFormat="1" outlineLevel="1" x14ac:dyDescent="0.2">
      <c r="A29" s="54"/>
      <c r="B29" s="54"/>
      <c r="C29" s="57"/>
      <c r="D29" s="69"/>
      <c r="E29" s="204" t="str">
        <f xml:space="preserve"> InpC!E$129</f>
        <v>US PPI base date for reference index</v>
      </c>
      <c r="F29" s="204">
        <f xml:space="preserve"> InpC!F$129</f>
        <v>43831</v>
      </c>
      <c r="G29" s="204" t="str">
        <f xml:space="preserve"> InpC!G$129</f>
        <v>date</v>
      </c>
      <c r="H29" s="45"/>
      <c r="I29" s="26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  <c r="CU29" s="45"/>
      <c r="CV29" s="45"/>
    </row>
    <row r="30" spans="1:100" outlineLevel="1" x14ac:dyDescent="0.2">
      <c r="E30" s="856" t="str">
        <f t="shared" ref="E30:BP30" si="102" xml:space="preserve"> E$12</f>
        <v>Escalation uplift date</v>
      </c>
      <c r="F30" s="856">
        <f t="shared" si="102"/>
        <v>0</v>
      </c>
      <c r="G30" s="856" t="str">
        <f t="shared" si="102"/>
        <v>date</v>
      </c>
      <c r="H30" s="856">
        <f t="shared" si="102"/>
        <v>0</v>
      </c>
      <c r="I30" s="856">
        <f t="shared" si="102"/>
        <v>0</v>
      </c>
      <c r="J30" s="856">
        <f t="shared" si="102"/>
        <v>0</v>
      </c>
      <c r="K30" s="856">
        <f t="shared" si="102"/>
        <v>44562</v>
      </c>
      <c r="L30" s="856">
        <f t="shared" si="102"/>
        <v>44562</v>
      </c>
      <c r="M30" s="856">
        <f t="shared" si="102"/>
        <v>44927</v>
      </c>
      <c r="N30" s="856">
        <f t="shared" si="102"/>
        <v>44927</v>
      </c>
      <c r="O30" s="856">
        <f t="shared" si="102"/>
        <v>45292</v>
      </c>
      <c r="P30" s="856">
        <f t="shared" si="102"/>
        <v>45292</v>
      </c>
      <c r="Q30" s="856">
        <f t="shared" si="102"/>
        <v>45658</v>
      </c>
      <c r="R30" s="856">
        <f t="shared" si="102"/>
        <v>45658</v>
      </c>
      <c r="S30" s="856">
        <f t="shared" si="102"/>
        <v>46023</v>
      </c>
      <c r="T30" s="856">
        <f t="shared" si="102"/>
        <v>46023</v>
      </c>
      <c r="U30" s="856">
        <f t="shared" si="102"/>
        <v>46388</v>
      </c>
      <c r="V30" s="856">
        <f t="shared" si="102"/>
        <v>46388</v>
      </c>
      <c r="W30" s="856">
        <f t="shared" si="102"/>
        <v>46753</v>
      </c>
      <c r="X30" s="856">
        <f t="shared" si="102"/>
        <v>46753</v>
      </c>
      <c r="Y30" s="856">
        <f t="shared" si="102"/>
        <v>47119</v>
      </c>
      <c r="Z30" s="856">
        <f t="shared" si="102"/>
        <v>47119</v>
      </c>
      <c r="AA30" s="856">
        <f t="shared" si="102"/>
        <v>47484</v>
      </c>
      <c r="AB30" s="856">
        <f t="shared" si="102"/>
        <v>47484</v>
      </c>
      <c r="AC30" s="856">
        <f t="shared" si="102"/>
        <v>47849</v>
      </c>
      <c r="AD30" s="856">
        <f t="shared" si="102"/>
        <v>47849</v>
      </c>
      <c r="AE30" s="856">
        <f t="shared" si="102"/>
        <v>48214</v>
      </c>
      <c r="AF30" s="856">
        <f t="shared" si="102"/>
        <v>48214</v>
      </c>
      <c r="AG30" s="856">
        <f t="shared" si="102"/>
        <v>48580</v>
      </c>
      <c r="AH30" s="856">
        <f t="shared" si="102"/>
        <v>48580</v>
      </c>
      <c r="AI30" s="856">
        <f t="shared" si="102"/>
        <v>48945</v>
      </c>
      <c r="AJ30" s="856">
        <f t="shared" si="102"/>
        <v>48945</v>
      </c>
      <c r="AK30" s="856">
        <f t="shared" si="102"/>
        <v>49310</v>
      </c>
      <c r="AL30" s="856">
        <f t="shared" si="102"/>
        <v>49310</v>
      </c>
      <c r="AM30" s="856">
        <f t="shared" si="102"/>
        <v>49675</v>
      </c>
      <c r="AN30" s="856">
        <f t="shared" si="102"/>
        <v>49675</v>
      </c>
      <c r="AO30" s="856">
        <f t="shared" si="102"/>
        <v>50041</v>
      </c>
      <c r="AP30" s="856">
        <f t="shared" si="102"/>
        <v>50041</v>
      </c>
      <c r="AQ30" s="856">
        <f t="shared" si="102"/>
        <v>50406</v>
      </c>
      <c r="AR30" s="856">
        <f t="shared" si="102"/>
        <v>50406</v>
      </c>
      <c r="AS30" s="856">
        <f t="shared" si="102"/>
        <v>50771</v>
      </c>
      <c r="AT30" s="856">
        <f t="shared" si="102"/>
        <v>50771</v>
      </c>
      <c r="AU30" s="856">
        <f t="shared" si="102"/>
        <v>51136</v>
      </c>
      <c r="AV30" s="856">
        <f t="shared" si="102"/>
        <v>51136</v>
      </c>
      <c r="AW30" s="856">
        <f t="shared" si="102"/>
        <v>51502</v>
      </c>
      <c r="AX30" s="856">
        <f t="shared" si="102"/>
        <v>51502</v>
      </c>
      <c r="AY30" s="856">
        <f t="shared" si="102"/>
        <v>51867</v>
      </c>
      <c r="AZ30" s="856">
        <f t="shared" si="102"/>
        <v>51867</v>
      </c>
      <c r="BA30" s="856">
        <f t="shared" si="102"/>
        <v>52232</v>
      </c>
      <c r="BB30" s="856">
        <f t="shared" si="102"/>
        <v>52232</v>
      </c>
      <c r="BC30" s="856">
        <f t="shared" si="102"/>
        <v>52597</v>
      </c>
      <c r="BD30" s="856">
        <f t="shared" si="102"/>
        <v>52597</v>
      </c>
      <c r="BE30" s="856">
        <f t="shared" si="102"/>
        <v>52963</v>
      </c>
      <c r="BF30" s="856">
        <f t="shared" si="102"/>
        <v>52963</v>
      </c>
      <c r="BG30" s="856">
        <f t="shared" si="102"/>
        <v>53328</v>
      </c>
      <c r="BH30" s="856">
        <f t="shared" si="102"/>
        <v>53328</v>
      </c>
      <c r="BI30" s="856">
        <f t="shared" si="102"/>
        <v>53693</v>
      </c>
      <c r="BJ30" s="856">
        <f t="shared" si="102"/>
        <v>53693</v>
      </c>
      <c r="BK30" s="856">
        <f t="shared" si="102"/>
        <v>54058</v>
      </c>
      <c r="BL30" s="856">
        <f t="shared" si="102"/>
        <v>54058</v>
      </c>
      <c r="BM30" s="856">
        <f t="shared" si="102"/>
        <v>54424</v>
      </c>
      <c r="BN30" s="856">
        <f t="shared" si="102"/>
        <v>54424</v>
      </c>
      <c r="BO30" s="856">
        <f t="shared" si="102"/>
        <v>54789</v>
      </c>
      <c r="BP30" s="856">
        <f t="shared" si="102"/>
        <v>54789</v>
      </c>
      <c r="BQ30" s="856">
        <f t="shared" ref="BQ30:CV30" si="103" xml:space="preserve"> BQ$12</f>
        <v>55154</v>
      </c>
      <c r="BR30" s="856">
        <f t="shared" si="103"/>
        <v>55154</v>
      </c>
      <c r="BS30" s="856">
        <f t="shared" si="103"/>
        <v>55519</v>
      </c>
      <c r="BT30" s="856">
        <f t="shared" si="103"/>
        <v>55519</v>
      </c>
      <c r="BU30" s="856">
        <f t="shared" si="103"/>
        <v>55885</v>
      </c>
      <c r="BV30" s="856">
        <f t="shared" si="103"/>
        <v>55885</v>
      </c>
      <c r="BW30" s="856">
        <f t="shared" si="103"/>
        <v>56250</v>
      </c>
      <c r="BX30" s="856">
        <f t="shared" si="103"/>
        <v>56250</v>
      </c>
      <c r="BY30" s="856">
        <f t="shared" si="103"/>
        <v>56615</v>
      </c>
      <c r="BZ30" s="856">
        <f t="shared" si="103"/>
        <v>56615</v>
      </c>
      <c r="CA30" s="856">
        <f t="shared" si="103"/>
        <v>56980</v>
      </c>
      <c r="CB30" s="856">
        <f t="shared" si="103"/>
        <v>56980</v>
      </c>
      <c r="CC30" s="856">
        <f t="shared" si="103"/>
        <v>57346</v>
      </c>
      <c r="CD30" s="856">
        <f t="shared" si="103"/>
        <v>57346</v>
      </c>
      <c r="CE30" s="856">
        <f t="shared" si="103"/>
        <v>57711</v>
      </c>
      <c r="CF30" s="856">
        <f t="shared" si="103"/>
        <v>57711</v>
      </c>
      <c r="CG30" s="856">
        <f t="shared" si="103"/>
        <v>58076</v>
      </c>
      <c r="CH30" s="856">
        <f t="shared" si="103"/>
        <v>58076</v>
      </c>
      <c r="CI30" s="856">
        <f t="shared" si="103"/>
        <v>58441</v>
      </c>
      <c r="CJ30" s="856">
        <f t="shared" si="103"/>
        <v>58441</v>
      </c>
      <c r="CK30" s="856">
        <f t="shared" si="103"/>
        <v>58807</v>
      </c>
      <c r="CL30" s="856">
        <f t="shared" si="103"/>
        <v>58807</v>
      </c>
      <c r="CM30" s="856">
        <f t="shared" si="103"/>
        <v>59172</v>
      </c>
      <c r="CN30" s="856">
        <f t="shared" si="103"/>
        <v>59172</v>
      </c>
      <c r="CO30" s="856">
        <f t="shared" si="103"/>
        <v>59537</v>
      </c>
      <c r="CP30" s="856">
        <f t="shared" si="103"/>
        <v>59537</v>
      </c>
      <c r="CQ30" s="856">
        <f t="shared" si="103"/>
        <v>59902</v>
      </c>
      <c r="CR30" s="856">
        <f t="shared" si="103"/>
        <v>59902</v>
      </c>
      <c r="CS30" s="856">
        <f t="shared" si="103"/>
        <v>60268</v>
      </c>
      <c r="CT30" s="856">
        <f t="shared" si="103"/>
        <v>60268</v>
      </c>
      <c r="CU30" s="856">
        <f t="shared" si="103"/>
        <v>60633</v>
      </c>
      <c r="CV30" s="856">
        <f t="shared" si="103"/>
        <v>60633</v>
      </c>
    </row>
    <row r="31" spans="1:100" outlineLevel="1" x14ac:dyDescent="0.2">
      <c r="E31" s="186" t="str">
        <f xml:space="preserve"> Time!E$106</f>
        <v>Operating period flag</v>
      </c>
      <c r="F31" s="186">
        <f xml:space="preserve"> Time!F$106</f>
        <v>0</v>
      </c>
      <c r="G31" s="186" t="str">
        <f xml:space="preserve"> Time!G$106</f>
        <v>flag</v>
      </c>
      <c r="H31" s="186">
        <f xml:space="preserve"> Time!H$106</f>
        <v>40</v>
      </c>
      <c r="I31" s="186">
        <f xml:space="preserve"> Time!I$106</f>
        <v>0</v>
      </c>
      <c r="J31" s="186">
        <f xml:space="preserve"> Time!J$106</f>
        <v>0</v>
      </c>
      <c r="K31" s="186">
        <f xml:space="preserve"> Time!K$106</f>
        <v>0</v>
      </c>
      <c r="L31" s="186">
        <f xml:space="preserve"> Time!L$106</f>
        <v>0</v>
      </c>
      <c r="M31" s="186">
        <f xml:space="preserve"> Time!M$106</f>
        <v>0</v>
      </c>
      <c r="N31" s="186">
        <f xml:space="preserve"> Time!N$106</f>
        <v>0</v>
      </c>
      <c r="O31" s="186">
        <f xml:space="preserve"> Time!O$106</f>
        <v>1</v>
      </c>
      <c r="P31" s="186">
        <f xml:space="preserve"> Time!P$106</f>
        <v>1</v>
      </c>
      <c r="Q31" s="186">
        <f xml:space="preserve"> Time!Q$106</f>
        <v>1</v>
      </c>
      <c r="R31" s="186">
        <f xml:space="preserve"> Time!R$106</f>
        <v>1</v>
      </c>
      <c r="S31" s="186">
        <f xml:space="preserve"> Time!S$106</f>
        <v>1</v>
      </c>
      <c r="T31" s="186">
        <f xml:space="preserve"> Time!T$106</f>
        <v>1</v>
      </c>
      <c r="U31" s="186">
        <f xml:space="preserve"> Time!U$106</f>
        <v>1</v>
      </c>
      <c r="V31" s="186">
        <f xml:space="preserve"> Time!V$106</f>
        <v>1</v>
      </c>
      <c r="W31" s="186">
        <f xml:space="preserve"> Time!W$106</f>
        <v>1</v>
      </c>
      <c r="X31" s="186">
        <f xml:space="preserve"> Time!X$106</f>
        <v>1</v>
      </c>
      <c r="Y31" s="186">
        <f xml:space="preserve"> Time!Y$106</f>
        <v>1</v>
      </c>
      <c r="Z31" s="186">
        <f xml:space="preserve"> Time!Z$106</f>
        <v>1</v>
      </c>
      <c r="AA31" s="186">
        <f xml:space="preserve"> Time!AA$106</f>
        <v>1</v>
      </c>
      <c r="AB31" s="186">
        <f xml:space="preserve"> Time!AB$106</f>
        <v>1</v>
      </c>
      <c r="AC31" s="186">
        <f xml:space="preserve"> Time!AC$106</f>
        <v>1</v>
      </c>
      <c r="AD31" s="186">
        <f xml:space="preserve"> Time!AD$106</f>
        <v>1</v>
      </c>
      <c r="AE31" s="186">
        <f xml:space="preserve"> Time!AE$106</f>
        <v>1</v>
      </c>
      <c r="AF31" s="186">
        <f xml:space="preserve"> Time!AF$106</f>
        <v>1</v>
      </c>
      <c r="AG31" s="186">
        <f xml:space="preserve"> Time!AG$106</f>
        <v>1</v>
      </c>
      <c r="AH31" s="186">
        <f xml:space="preserve"> Time!AH$106</f>
        <v>1</v>
      </c>
      <c r="AI31" s="186">
        <f xml:space="preserve"> Time!AI$106</f>
        <v>1</v>
      </c>
      <c r="AJ31" s="186">
        <f xml:space="preserve"> Time!AJ$106</f>
        <v>1</v>
      </c>
      <c r="AK31" s="186">
        <f xml:space="preserve"> Time!AK$106</f>
        <v>1</v>
      </c>
      <c r="AL31" s="186">
        <f xml:space="preserve"> Time!AL$106</f>
        <v>1</v>
      </c>
      <c r="AM31" s="186">
        <f xml:space="preserve"> Time!AM$106</f>
        <v>1</v>
      </c>
      <c r="AN31" s="186">
        <f xml:space="preserve"> Time!AN$106</f>
        <v>1</v>
      </c>
      <c r="AO31" s="186">
        <f xml:space="preserve"> Time!AO$106</f>
        <v>1</v>
      </c>
      <c r="AP31" s="186">
        <f xml:space="preserve"> Time!AP$106</f>
        <v>1</v>
      </c>
      <c r="AQ31" s="186">
        <f xml:space="preserve"> Time!AQ$106</f>
        <v>1</v>
      </c>
      <c r="AR31" s="186">
        <f xml:space="preserve"> Time!AR$106</f>
        <v>1</v>
      </c>
      <c r="AS31" s="186">
        <f xml:space="preserve"> Time!AS$106</f>
        <v>1</v>
      </c>
      <c r="AT31" s="186">
        <f xml:space="preserve"> Time!AT$106</f>
        <v>1</v>
      </c>
      <c r="AU31" s="186">
        <f xml:space="preserve"> Time!AU$106</f>
        <v>1</v>
      </c>
      <c r="AV31" s="186">
        <f xml:space="preserve"> Time!AV$106</f>
        <v>1</v>
      </c>
      <c r="AW31" s="186">
        <f xml:space="preserve"> Time!AW$106</f>
        <v>1</v>
      </c>
      <c r="AX31" s="186">
        <f xml:space="preserve"> Time!AX$106</f>
        <v>1</v>
      </c>
      <c r="AY31" s="186">
        <f xml:space="preserve"> Time!AY$106</f>
        <v>1</v>
      </c>
      <c r="AZ31" s="186">
        <f xml:space="preserve"> Time!AZ$106</f>
        <v>1</v>
      </c>
      <c r="BA31" s="186">
        <f xml:space="preserve"> Time!BA$106</f>
        <v>1</v>
      </c>
      <c r="BB31" s="186">
        <f xml:space="preserve"> Time!BB$106</f>
        <v>1</v>
      </c>
      <c r="BC31" s="186">
        <f xml:space="preserve"> Time!BC$106</f>
        <v>0</v>
      </c>
      <c r="BD31" s="186">
        <f xml:space="preserve"> Time!BD$106</f>
        <v>0</v>
      </c>
      <c r="BE31" s="186">
        <f xml:space="preserve"> Time!BE$106</f>
        <v>0</v>
      </c>
      <c r="BF31" s="186">
        <f xml:space="preserve"> Time!BF$106</f>
        <v>0</v>
      </c>
      <c r="BG31" s="186">
        <f xml:space="preserve"> Time!BG$106</f>
        <v>0</v>
      </c>
      <c r="BH31" s="186">
        <f xml:space="preserve"> Time!BH$106</f>
        <v>0</v>
      </c>
      <c r="BI31" s="186">
        <f xml:space="preserve"> Time!BI$106</f>
        <v>0</v>
      </c>
      <c r="BJ31" s="186">
        <f xml:space="preserve"> Time!BJ$106</f>
        <v>0</v>
      </c>
      <c r="BK31" s="186">
        <f xml:space="preserve"> Time!BK$106</f>
        <v>0</v>
      </c>
      <c r="BL31" s="186">
        <f xml:space="preserve"> Time!BL$106</f>
        <v>0</v>
      </c>
      <c r="BM31" s="186">
        <f xml:space="preserve"> Time!BM$106</f>
        <v>0</v>
      </c>
      <c r="BN31" s="186">
        <f xml:space="preserve"> Time!BN$106</f>
        <v>0</v>
      </c>
      <c r="BO31" s="186">
        <f xml:space="preserve"> Time!BO$106</f>
        <v>0</v>
      </c>
      <c r="BP31" s="186">
        <f xml:space="preserve"> Time!BP$106</f>
        <v>0</v>
      </c>
      <c r="BQ31" s="186">
        <f xml:space="preserve"> Time!BQ$106</f>
        <v>0</v>
      </c>
      <c r="BR31" s="186">
        <f xml:space="preserve"> Time!BR$106</f>
        <v>0</v>
      </c>
      <c r="BS31" s="186">
        <f xml:space="preserve"> Time!BS$106</f>
        <v>0</v>
      </c>
      <c r="BT31" s="186">
        <f xml:space="preserve"> Time!BT$106</f>
        <v>0</v>
      </c>
      <c r="BU31" s="186">
        <f xml:space="preserve"> Time!BU$106</f>
        <v>0</v>
      </c>
      <c r="BV31" s="186">
        <f xml:space="preserve"> Time!BV$106</f>
        <v>0</v>
      </c>
      <c r="BW31" s="186">
        <f xml:space="preserve"> Time!BW$106</f>
        <v>0</v>
      </c>
      <c r="BX31" s="186">
        <f xml:space="preserve"> Time!BX$106</f>
        <v>0</v>
      </c>
      <c r="BY31" s="186">
        <f xml:space="preserve"> Time!BY$106</f>
        <v>0</v>
      </c>
      <c r="BZ31" s="186">
        <f xml:space="preserve"> Time!BZ$106</f>
        <v>0</v>
      </c>
      <c r="CA31" s="186">
        <f xml:space="preserve"> Time!CA$106</f>
        <v>0</v>
      </c>
      <c r="CB31" s="186">
        <f xml:space="preserve"> Time!CB$106</f>
        <v>0</v>
      </c>
      <c r="CC31" s="186">
        <f xml:space="preserve"> Time!CC$106</f>
        <v>0</v>
      </c>
      <c r="CD31" s="186">
        <f xml:space="preserve"> Time!CD$106</f>
        <v>0</v>
      </c>
      <c r="CE31" s="186">
        <f xml:space="preserve"> Time!CE$106</f>
        <v>0</v>
      </c>
      <c r="CF31" s="186">
        <f xml:space="preserve"> Time!CF$106</f>
        <v>0</v>
      </c>
      <c r="CG31" s="186">
        <f xml:space="preserve"> Time!CG$106</f>
        <v>0</v>
      </c>
      <c r="CH31" s="186">
        <f xml:space="preserve"> Time!CH$106</f>
        <v>0</v>
      </c>
      <c r="CI31" s="186">
        <f xml:space="preserve"> Time!CI$106</f>
        <v>0</v>
      </c>
      <c r="CJ31" s="186">
        <f xml:space="preserve"> Time!CJ$106</f>
        <v>0</v>
      </c>
      <c r="CK31" s="186">
        <f xml:space="preserve"> Time!CK$106</f>
        <v>0</v>
      </c>
      <c r="CL31" s="186">
        <f xml:space="preserve"> Time!CL$106</f>
        <v>0</v>
      </c>
      <c r="CM31" s="186">
        <f xml:space="preserve"> Time!CM$106</f>
        <v>0</v>
      </c>
      <c r="CN31" s="186">
        <f xml:space="preserve"> Time!CN$106</f>
        <v>0</v>
      </c>
      <c r="CO31" s="186">
        <f xml:space="preserve"> Time!CO$106</f>
        <v>0</v>
      </c>
      <c r="CP31" s="186">
        <f xml:space="preserve"> Time!CP$106</f>
        <v>0</v>
      </c>
      <c r="CQ31" s="186">
        <f xml:space="preserve"> Time!CQ$106</f>
        <v>0</v>
      </c>
      <c r="CR31" s="186">
        <f xml:space="preserve"> Time!CR$106</f>
        <v>0</v>
      </c>
      <c r="CS31" s="186">
        <f xml:space="preserve"> Time!CS$106</f>
        <v>0</v>
      </c>
      <c r="CT31" s="186">
        <f xml:space="preserve"> Time!CT$106</f>
        <v>0</v>
      </c>
      <c r="CU31" s="186">
        <f xml:space="preserve"> Time!CU$106</f>
        <v>0</v>
      </c>
      <c r="CV31" s="186">
        <f xml:space="preserve"> Time!CV$106</f>
        <v>0</v>
      </c>
    </row>
    <row r="32" spans="1:100" s="280" customFormat="1" outlineLevel="1" x14ac:dyDescent="0.2">
      <c r="A32" s="278"/>
      <c r="B32" s="278"/>
      <c r="C32" s="410"/>
      <c r="D32" s="279"/>
      <c r="E32" s="82" t="s">
        <v>614</v>
      </c>
      <c r="F32" s="82"/>
      <c r="G32" s="82" t="s">
        <v>29</v>
      </c>
      <c r="H32" s="82"/>
      <c r="I32" s="455"/>
      <c r="J32" s="82">
        <f t="shared" ref="J32" si="104" xml:space="preserve"> J31 * YEARFRAC($F29, J30)</f>
        <v>0</v>
      </c>
      <c r="K32" s="82">
        <f t="shared" ref="K32" si="105" xml:space="preserve"> K31 * YEARFRAC($F29, K30)</f>
        <v>0</v>
      </c>
      <c r="L32" s="82">
        <f t="shared" ref="L32" si="106" xml:space="preserve"> L31 * YEARFRAC($F29, L30)</f>
        <v>0</v>
      </c>
      <c r="M32" s="82">
        <f t="shared" ref="M32" si="107" xml:space="preserve"> M31 * YEARFRAC($F29, M30)</f>
        <v>0</v>
      </c>
      <c r="N32" s="82">
        <f t="shared" ref="N32" si="108" xml:space="preserve"> N31 * YEARFRAC($F29, N30)</f>
        <v>0</v>
      </c>
      <c r="O32" s="82">
        <f t="shared" ref="O32" si="109" xml:space="preserve"> O31 * YEARFRAC($F29, O30)</f>
        <v>4</v>
      </c>
      <c r="P32" s="82">
        <f t="shared" ref="P32" si="110" xml:space="preserve"> P31 * YEARFRAC($F29, P30)</f>
        <v>4</v>
      </c>
      <c r="Q32" s="82">
        <f t="shared" ref="Q32" si="111" xml:space="preserve"> Q31 * YEARFRAC($F29, Q30)</f>
        <v>5</v>
      </c>
      <c r="R32" s="82">
        <f t="shared" ref="R32" si="112" xml:space="preserve"> R31 * YEARFRAC($F29, R30)</f>
        <v>5</v>
      </c>
      <c r="S32" s="82">
        <f t="shared" ref="S32" si="113" xml:space="preserve"> S31 * YEARFRAC($F29, S30)</f>
        <v>6</v>
      </c>
      <c r="T32" s="82">
        <f t="shared" ref="T32" si="114" xml:space="preserve"> T31 * YEARFRAC($F29, T30)</f>
        <v>6</v>
      </c>
      <c r="U32" s="82">
        <f t="shared" ref="U32" si="115" xml:space="preserve"> U31 * YEARFRAC($F29, U30)</f>
        <v>7</v>
      </c>
      <c r="V32" s="82">
        <f t="shared" ref="V32" si="116" xml:space="preserve"> V31 * YEARFRAC($F29, V30)</f>
        <v>7</v>
      </c>
      <c r="W32" s="82">
        <f t="shared" ref="W32" si="117" xml:space="preserve"> W31 * YEARFRAC($F29, W30)</f>
        <v>8</v>
      </c>
      <c r="X32" s="82">
        <f t="shared" ref="X32" si="118" xml:space="preserve"> X31 * YEARFRAC($F29, X30)</f>
        <v>8</v>
      </c>
      <c r="Y32" s="82">
        <f t="shared" ref="Y32" si="119" xml:space="preserve"> Y31 * YEARFRAC($F29, Y30)</f>
        <v>9</v>
      </c>
      <c r="Z32" s="82">
        <f t="shared" ref="Z32" si="120" xml:space="preserve"> Z31 * YEARFRAC($F29, Z30)</f>
        <v>9</v>
      </c>
      <c r="AA32" s="82">
        <f t="shared" ref="AA32" si="121" xml:space="preserve"> AA31 * YEARFRAC($F29, AA30)</f>
        <v>10</v>
      </c>
      <c r="AB32" s="82">
        <f t="shared" ref="AB32" si="122" xml:space="preserve"> AB31 * YEARFRAC($F29, AB30)</f>
        <v>10</v>
      </c>
      <c r="AC32" s="82">
        <f t="shared" ref="AC32" si="123" xml:space="preserve"> AC31 * YEARFRAC($F29, AC30)</f>
        <v>11</v>
      </c>
      <c r="AD32" s="82">
        <f t="shared" ref="AD32" si="124" xml:space="preserve"> AD31 * YEARFRAC($F29, AD30)</f>
        <v>11</v>
      </c>
      <c r="AE32" s="82">
        <f t="shared" ref="AE32" si="125" xml:space="preserve"> AE31 * YEARFRAC($F29, AE30)</f>
        <v>12</v>
      </c>
      <c r="AF32" s="82">
        <f t="shared" ref="AF32" si="126" xml:space="preserve"> AF31 * YEARFRAC($F29, AF30)</f>
        <v>12</v>
      </c>
      <c r="AG32" s="82">
        <f t="shared" ref="AG32" si="127" xml:space="preserve"> AG31 * YEARFRAC($F29, AG30)</f>
        <v>13</v>
      </c>
      <c r="AH32" s="82">
        <f t="shared" ref="AH32" si="128" xml:space="preserve"> AH31 * YEARFRAC($F29, AH30)</f>
        <v>13</v>
      </c>
      <c r="AI32" s="82">
        <f t="shared" ref="AI32" si="129" xml:space="preserve"> AI31 * YEARFRAC($F29, AI30)</f>
        <v>14</v>
      </c>
      <c r="AJ32" s="82">
        <f t="shared" ref="AJ32" si="130" xml:space="preserve"> AJ31 * YEARFRAC($F29, AJ30)</f>
        <v>14</v>
      </c>
      <c r="AK32" s="82">
        <f t="shared" ref="AK32" si="131" xml:space="preserve"> AK31 * YEARFRAC($F29, AK30)</f>
        <v>15</v>
      </c>
      <c r="AL32" s="82">
        <f t="shared" ref="AL32" si="132" xml:space="preserve"> AL31 * YEARFRAC($F29, AL30)</f>
        <v>15</v>
      </c>
      <c r="AM32" s="82">
        <f t="shared" ref="AM32" si="133" xml:space="preserve"> AM31 * YEARFRAC($F29, AM30)</f>
        <v>16</v>
      </c>
      <c r="AN32" s="82">
        <f t="shared" ref="AN32" si="134" xml:space="preserve"> AN31 * YEARFRAC($F29, AN30)</f>
        <v>16</v>
      </c>
      <c r="AO32" s="82">
        <f t="shared" ref="AO32" si="135" xml:space="preserve"> AO31 * YEARFRAC($F29, AO30)</f>
        <v>17</v>
      </c>
      <c r="AP32" s="82">
        <f t="shared" ref="AP32" si="136" xml:space="preserve"> AP31 * YEARFRAC($F29, AP30)</f>
        <v>17</v>
      </c>
      <c r="AQ32" s="82">
        <f t="shared" ref="AQ32" si="137" xml:space="preserve"> AQ31 * YEARFRAC($F29, AQ30)</f>
        <v>18</v>
      </c>
      <c r="AR32" s="82">
        <f t="shared" ref="AR32" si="138" xml:space="preserve"> AR31 * YEARFRAC($F29, AR30)</f>
        <v>18</v>
      </c>
      <c r="AS32" s="82">
        <f t="shared" ref="AS32" si="139" xml:space="preserve"> AS31 * YEARFRAC($F29, AS30)</f>
        <v>19</v>
      </c>
      <c r="AT32" s="82">
        <f t="shared" ref="AT32" si="140" xml:space="preserve"> AT31 * YEARFRAC($F29, AT30)</f>
        <v>19</v>
      </c>
      <c r="AU32" s="82">
        <f t="shared" ref="AU32" si="141" xml:space="preserve"> AU31 * YEARFRAC($F29, AU30)</f>
        <v>20</v>
      </c>
      <c r="AV32" s="82">
        <f t="shared" ref="AV32" si="142" xml:space="preserve"> AV31 * YEARFRAC($F29, AV30)</f>
        <v>20</v>
      </c>
      <c r="AW32" s="82">
        <f t="shared" ref="AW32" si="143" xml:space="preserve"> AW31 * YEARFRAC($F29, AW30)</f>
        <v>21</v>
      </c>
      <c r="AX32" s="82">
        <f t="shared" ref="AX32" si="144" xml:space="preserve"> AX31 * YEARFRAC($F29, AX30)</f>
        <v>21</v>
      </c>
      <c r="AY32" s="82">
        <f t="shared" ref="AY32" si="145" xml:space="preserve"> AY31 * YEARFRAC($F29, AY30)</f>
        <v>22</v>
      </c>
      <c r="AZ32" s="82">
        <f t="shared" ref="AZ32" si="146" xml:space="preserve"> AZ31 * YEARFRAC($F29, AZ30)</f>
        <v>22</v>
      </c>
      <c r="BA32" s="82">
        <f t="shared" ref="BA32" si="147" xml:space="preserve"> BA31 * YEARFRAC($F29, BA30)</f>
        <v>23</v>
      </c>
      <c r="BB32" s="82">
        <f t="shared" ref="BB32" si="148" xml:space="preserve"> BB31 * YEARFRAC($F29, BB30)</f>
        <v>23</v>
      </c>
      <c r="BC32" s="82">
        <f t="shared" ref="BC32" si="149" xml:space="preserve"> BC31 * YEARFRAC($F29, BC30)</f>
        <v>0</v>
      </c>
      <c r="BD32" s="82">
        <f t="shared" ref="BD32" si="150" xml:space="preserve"> BD31 * YEARFRAC($F29, BD30)</f>
        <v>0</v>
      </c>
      <c r="BE32" s="82">
        <f t="shared" ref="BE32" si="151" xml:space="preserve"> BE31 * YEARFRAC($F29, BE30)</f>
        <v>0</v>
      </c>
      <c r="BF32" s="82">
        <f t="shared" ref="BF32" si="152" xml:space="preserve"> BF31 * YEARFRAC($F29, BF30)</f>
        <v>0</v>
      </c>
      <c r="BG32" s="82">
        <f t="shared" ref="BG32" si="153" xml:space="preserve"> BG31 * YEARFRAC($F29, BG30)</f>
        <v>0</v>
      </c>
      <c r="BH32" s="82">
        <f t="shared" ref="BH32" si="154" xml:space="preserve"> BH31 * YEARFRAC($F29, BH30)</f>
        <v>0</v>
      </c>
      <c r="BI32" s="82">
        <f t="shared" ref="BI32" si="155" xml:space="preserve"> BI31 * YEARFRAC($F29, BI30)</f>
        <v>0</v>
      </c>
      <c r="BJ32" s="82">
        <f t="shared" ref="BJ32" si="156" xml:space="preserve"> BJ31 * YEARFRAC($F29, BJ30)</f>
        <v>0</v>
      </c>
      <c r="BK32" s="82">
        <f t="shared" ref="BK32" si="157" xml:space="preserve"> BK31 * YEARFRAC($F29, BK30)</f>
        <v>0</v>
      </c>
      <c r="BL32" s="82">
        <f t="shared" ref="BL32" si="158" xml:space="preserve"> BL31 * YEARFRAC($F29, BL30)</f>
        <v>0</v>
      </c>
      <c r="BM32" s="82">
        <f t="shared" ref="BM32" si="159" xml:space="preserve"> BM31 * YEARFRAC($F29, BM30)</f>
        <v>0</v>
      </c>
      <c r="BN32" s="82">
        <f t="shared" ref="BN32" si="160" xml:space="preserve"> BN31 * YEARFRAC($F29, BN30)</f>
        <v>0</v>
      </c>
      <c r="BO32" s="82">
        <f t="shared" ref="BO32" si="161" xml:space="preserve"> BO31 * YEARFRAC($F29, BO30)</f>
        <v>0</v>
      </c>
      <c r="BP32" s="82">
        <f t="shared" ref="BP32" si="162" xml:space="preserve"> BP31 * YEARFRAC($F29, BP30)</f>
        <v>0</v>
      </c>
      <c r="BQ32" s="82">
        <f t="shared" ref="BQ32" si="163" xml:space="preserve"> BQ31 * YEARFRAC($F29, BQ30)</f>
        <v>0</v>
      </c>
      <c r="BR32" s="82">
        <f t="shared" ref="BR32" si="164" xml:space="preserve"> BR31 * YEARFRAC($F29, BR30)</f>
        <v>0</v>
      </c>
      <c r="BS32" s="82">
        <f t="shared" ref="BS32" si="165" xml:space="preserve"> BS31 * YEARFRAC($F29, BS30)</f>
        <v>0</v>
      </c>
      <c r="BT32" s="82">
        <f t="shared" ref="BT32" si="166" xml:space="preserve"> BT31 * YEARFRAC($F29, BT30)</f>
        <v>0</v>
      </c>
      <c r="BU32" s="82">
        <f t="shared" ref="BU32" si="167" xml:space="preserve"> BU31 * YEARFRAC($F29, BU30)</f>
        <v>0</v>
      </c>
      <c r="BV32" s="82">
        <f t="shared" ref="BV32" si="168" xml:space="preserve"> BV31 * YEARFRAC($F29, BV30)</f>
        <v>0</v>
      </c>
      <c r="BW32" s="82">
        <f t="shared" ref="BW32" si="169" xml:space="preserve"> BW31 * YEARFRAC($F29, BW30)</f>
        <v>0</v>
      </c>
      <c r="BX32" s="82">
        <f t="shared" ref="BX32" si="170" xml:space="preserve"> BX31 * YEARFRAC($F29, BX30)</f>
        <v>0</v>
      </c>
      <c r="BY32" s="82">
        <f t="shared" ref="BY32" si="171" xml:space="preserve"> BY31 * YEARFRAC($F29, BY30)</f>
        <v>0</v>
      </c>
      <c r="BZ32" s="82">
        <f t="shared" ref="BZ32" si="172" xml:space="preserve"> BZ31 * YEARFRAC($F29, BZ30)</f>
        <v>0</v>
      </c>
      <c r="CA32" s="82">
        <f t="shared" ref="CA32" si="173" xml:space="preserve"> CA31 * YEARFRAC($F29, CA30)</f>
        <v>0</v>
      </c>
      <c r="CB32" s="82">
        <f t="shared" ref="CB32" si="174" xml:space="preserve"> CB31 * YEARFRAC($F29, CB30)</f>
        <v>0</v>
      </c>
      <c r="CC32" s="82">
        <f t="shared" ref="CC32" si="175" xml:space="preserve"> CC31 * YEARFRAC($F29, CC30)</f>
        <v>0</v>
      </c>
      <c r="CD32" s="82">
        <f t="shared" ref="CD32" si="176" xml:space="preserve"> CD31 * YEARFRAC($F29, CD30)</f>
        <v>0</v>
      </c>
      <c r="CE32" s="82">
        <f t="shared" ref="CE32" si="177" xml:space="preserve"> CE31 * YEARFRAC($F29, CE30)</f>
        <v>0</v>
      </c>
      <c r="CF32" s="82">
        <f t="shared" ref="CF32" si="178" xml:space="preserve"> CF31 * YEARFRAC($F29, CF30)</f>
        <v>0</v>
      </c>
      <c r="CG32" s="82">
        <f t="shared" ref="CG32" si="179" xml:space="preserve"> CG31 * YEARFRAC($F29, CG30)</f>
        <v>0</v>
      </c>
      <c r="CH32" s="82">
        <f t="shared" ref="CH32" si="180" xml:space="preserve"> CH31 * YEARFRAC($F29, CH30)</f>
        <v>0</v>
      </c>
      <c r="CI32" s="82">
        <f t="shared" ref="CI32" si="181" xml:space="preserve"> CI31 * YEARFRAC($F29, CI30)</f>
        <v>0</v>
      </c>
      <c r="CJ32" s="82">
        <f t="shared" ref="CJ32" si="182" xml:space="preserve"> CJ31 * YEARFRAC($F29, CJ30)</f>
        <v>0</v>
      </c>
      <c r="CK32" s="82">
        <f t="shared" ref="CK32" si="183" xml:space="preserve"> CK31 * YEARFRAC($F29, CK30)</f>
        <v>0</v>
      </c>
      <c r="CL32" s="82">
        <f t="shared" ref="CL32" si="184" xml:space="preserve"> CL31 * YEARFRAC($F29, CL30)</f>
        <v>0</v>
      </c>
      <c r="CM32" s="82">
        <f t="shared" ref="CM32" si="185" xml:space="preserve"> CM31 * YEARFRAC($F29, CM30)</f>
        <v>0</v>
      </c>
      <c r="CN32" s="82">
        <f t="shared" ref="CN32" si="186" xml:space="preserve"> CN31 * YEARFRAC($F29, CN30)</f>
        <v>0</v>
      </c>
      <c r="CO32" s="82">
        <f t="shared" ref="CO32" si="187" xml:space="preserve"> CO31 * YEARFRAC($F29, CO30)</f>
        <v>0</v>
      </c>
      <c r="CP32" s="82">
        <f t="shared" ref="CP32" si="188" xml:space="preserve"> CP31 * YEARFRAC($F29, CP30)</f>
        <v>0</v>
      </c>
      <c r="CQ32" s="82">
        <f t="shared" ref="CQ32" si="189" xml:space="preserve"> CQ31 * YEARFRAC($F29, CQ30)</f>
        <v>0</v>
      </c>
      <c r="CR32" s="82">
        <f t="shared" ref="CR32" si="190" xml:space="preserve"> CR31 * YEARFRAC($F29, CR30)</f>
        <v>0</v>
      </c>
      <c r="CS32" s="82">
        <f t="shared" ref="CS32" si="191" xml:space="preserve"> CS31 * YEARFRAC($F29, CS30)</f>
        <v>0</v>
      </c>
      <c r="CT32" s="82">
        <f t="shared" ref="CT32" si="192" xml:space="preserve"> CT31 * YEARFRAC($F29, CT30)</f>
        <v>0</v>
      </c>
      <c r="CU32" s="82">
        <f t="shared" ref="CU32" si="193" xml:space="preserve"> CU31 * YEARFRAC($F29, CU30)</f>
        <v>0</v>
      </c>
      <c r="CV32" s="82">
        <f t="shared" ref="CV32" si="194" xml:space="preserve"> CV31 * YEARFRAC($F29, CV30)</f>
        <v>0</v>
      </c>
    </row>
    <row r="33" spans="1:100" outlineLevel="1" x14ac:dyDescent="0.2">
      <c r="P33" s="82"/>
    </row>
    <row r="34" spans="1:100" outlineLevel="1" x14ac:dyDescent="0.2">
      <c r="E34" s="316" t="str">
        <f xml:space="preserve"> InpC!E$128</f>
        <v>US PPI inflation rate</v>
      </c>
      <c r="F34" s="316">
        <f xml:space="preserve"> InpC!F$128</f>
        <v>0.02</v>
      </c>
      <c r="G34" s="316" t="str">
        <f xml:space="preserve"> InpC!G$128</f>
        <v>% p.a.</v>
      </c>
      <c r="H34" s="38"/>
      <c r="P34" s="82"/>
    </row>
    <row r="35" spans="1:100" s="283" customFormat="1" outlineLevel="1" x14ac:dyDescent="0.2">
      <c r="A35" s="556"/>
      <c r="B35" s="556"/>
      <c r="C35" s="557"/>
      <c r="D35" s="115"/>
      <c r="E35" s="316" t="str">
        <f xml:space="preserve"> Sensitivity!E$18</f>
        <v>Inflation - sensitivity</v>
      </c>
      <c r="F35" s="316">
        <f xml:space="preserve"> Sensitivity!F$18</f>
        <v>0</v>
      </c>
      <c r="G35" s="316" t="str">
        <f xml:space="preserve"> Sensitivity!G$18</f>
        <v>%</v>
      </c>
      <c r="H35" s="115"/>
      <c r="I35" s="11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  <c r="AK35" s="282"/>
      <c r="AL35" s="282"/>
      <c r="AM35" s="282"/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282"/>
      <c r="BQ35" s="282"/>
      <c r="BR35" s="282"/>
      <c r="BS35" s="282"/>
      <c r="BT35" s="282"/>
      <c r="BU35" s="282"/>
      <c r="BV35" s="282"/>
      <c r="BW35" s="282"/>
      <c r="BX35" s="282"/>
      <c r="BY35" s="282"/>
      <c r="BZ35" s="282"/>
      <c r="CA35" s="282"/>
      <c r="CB35" s="282"/>
      <c r="CC35" s="282"/>
      <c r="CD35" s="282"/>
      <c r="CE35" s="282"/>
      <c r="CF35" s="282"/>
      <c r="CG35" s="282"/>
      <c r="CH35" s="282"/>
      <c r="CI35" s="282"/>
      <c r="CJ35" s="282"/>
      <c r="CK35" s="282"/>
      <c r="CL35" s="282"/>
      <c r="CM35" s="282"/>
      <c r="CN35" s="282"/>
      <c r="CO35" s="282"/>
      <c r="CP35" s="282"/>
      <c r="CQ35" s="282"/>
      <c r="CR35" s="282"/>
      <c r="CS35" s="282"/>
      <c r="CT35" s="282"/>
      <c r="CU35" s="282"/>
      <c r="CV35" s="282"/>
    </row>
    <row r="36" spans="1:100" outlineLevel="1" x14ac:dyDescent="0.2">
      <c r="E36" s="186" t="str">
        <f xml:space="preserve"> Time!E$226</f>
        <v>Escalation period flag</v>
      </c>
      <c r="F36" s="186">
        <f xml:space="preserve"> Time!F$226</f>
        <v>0</v>
      </c>
      <c r="G36" s="186" t="str">
        <f xml:space="preserve"> Time!G$226</f>
        <v>flag</v>
      </c>
      <c r="H36" s="186">
        <f xml:space="preserve"> Time!H$226</f>
        <v>45</v>
      </c>
      <c r="I36" s="186">
        <f xml:space="preserve"> Time!I$226</f>
        <v>0</v>
      </c>
      <c r="J36" s="186">
        <f xml:space="preserve"> Time!J$226</f>
        <v>0</v>
      </c>
      <c r="K36" s="186">
        <f xml:space="preserve"> Time!K$226</f>
        <v>1</v>
      </c>
      <c r="L36" s="186">
        <f xml:space="preserve"> Time!L$226</f>
        <v>0</v>
      </c>
      <c r="M36" s="186">
        <f xml:space="preserve"> Time!M$226</f>
        <v>1</v>
      </c>
      <c r="N36" s="186">
        <f xml:space="preserve"> Time!N$226</f>
        <v>0</v>
      </c>
      <c r="O36" s="186">
        <f xml:space="preserve"> Time!O$226</f>
        <v>1</v>
      </c>
      <c r="P36" s="186">
        <f xml:space="preserve"> Time!P$226</f>
        <v>0</v>
      </c>
      <c r="Q36" s="186">
        <f xml:space="preserve"> Time!Q$226</f>
        <v>1</v>
      </c>
      <c r="R36" s="186">
        <f xml:space="preserve"> Time!R$226</f>
        <v>0</v>
      </c>
      <c r="S36" s="186">
        <f xml:space="preserve"> Time!S$226</f>
        <v>1</v>
      </c>
      <c r="T36" s="186">
        <f xml:space="preserve"> Time!T$226</f>
        <v>0</v>
      </c>
      <c r="U36" s="186">
        <f xml:space="preserve"> Time!U$226</f>
        <v>1</v>
      </c>
      <c r="V36" s="186">
        <f xml:space="preserve"> Time!V$226</f>
        <v>0</v>
      </c>
      <c r="W36" s="186">
        <f xml:space="preserve"> Time!W$226</f>
        <v>1</v>
      </c>
      <c r="X36" s="186">
        <f xml:space="preserve"> Time!X$226</f>
        <v>0</v>
      </c>
      <c r="Y36" s="186">
        <f xml:space="preserve"> Time!Y$226</f>
        <v>1</v>
      </c>
      <c r="Z36" s="186">
        <f xml:space="preserve"> Time!Z$226</f>
        <v>0</v>
      </c>
      <c r="AA36" s="186">
        <f xml:space="preserve"> Time!AA$226</f>
        <v>1</v>
      </c>
      <c r="AB36" s="186">
        <f xml:space="preserve"> Time!AB$226</f>
        <v>0</v>
      </c>
      <c r="AC36" s="186">
        <f xml:space="preserve"> Time!AC$226</f>
        <v>1</v>
      </c>
      <c r="AD36" s="186">
        <f xml:space="preserve"> Time!AD$226</f>
        <v>0</v>
      </c>
      <c r="AE36" s="186">
        <f xml:space="preserve"> Time!AE$226</f>
        <v>1</v>
      </c>
      <c r="AF36" s="186">
        <f xml:space="preserve"> Time!AF$226</f>
        <v>0</v>
      </c>
      <c r="AG36" s="186">
        <f xml:space="preserve"> Time!AG$226</f>
        <v>1</v>
      </c>
      <c r="AH36" s="186">
        <f xml:space="preserve"> Time!AH$226</f>
        <v>0</v>
      </c>
      <c r="AI36" s="186">
        <f xml:space="preserve"> Time!AI$226</f>
        <v>1</v>
      </c>
      <c r="AJ36" s="186">
        <f xml:space="preserve"> Time!AJ$226</f>
        <v>0</v>
      </c>
      <c r="AK36" s="186">
        <f xml:space="preserve"> Time!AK$226</f>
        <v>1</v>
      </c>
      <c r="AL36" s="186">
        <f xml:space="preserve"> Time!AL$226</f>
        <v>0</v>
      </c>
      <c r="AM36" s="186">
        <f xml:space="preserve"> Time!AM$226</f>
        <v>1</v>
      </c>
      <c r="AN36" s="186">
        <f xml:space="preserve"> Time!AN$226</f>
        <v>0</v>
      </c>
      <c r="AO36" s="186">
        <f xml:space="preserve"> Time!AO$226</f>
        <v>1</v>
      </c>
      <c r="AP36" s="186">
        <f xml:space="preserve"> Time!AP$226</f>
        <v>0</v>
      </c>
      <c r="AQ36" s="186">
        <f xml:space="preserve"> Time!AQ$226</f>
        <v>1</v>
      </c>
      <c r="AR36" s="186">
        <f xml:space="preserve"> Time!AR$226</f>
        <v>0</v>
      </c>
      <c r="AS36" s="186">
        <f xml:space="preserve"> Time!AS$226</f>
        <v>1</v>
      </c>
      <c r="AT36" s="186">
        <f xml:space="preserve"> Time!AT$226</f>
        <v>0</v>
      </c>
      <c r="AU36" s="186">
        <f xml:space="preserve"> Time!AU$226</f>
        <v>1</v>
      </c>
      <c r="AV36" s="186">
        <f xml:space="preserve"> Time!AV$226</f>
        <v>0</v>
      </c>
      <c r="AW36" s="186">
        <f xml:space="preserve"> Time!AW$226</f>
        <v>1</v>
      </c>
      <c r="AX36" s="186">
        <f xml:space="preserve"> Time!AX$226</f>
        <v>0</v>
      </c>
      <c r="AY36" s="186">
        <f xml:space="preserve"> Time!AY$226</f>
        <v>1</v>
      </c>
      <c r="AZ36" s="186">
        <f xml:space="preserve"> Time!AZ$226</f>
        <v>0</v>
      </c>
      <c r="BA36" s="186">
        <f xml:space="preserve"> Time!BA$226</f>
        <v>1</v>
      </c>
      <c r="BB36" s="186">
        <f xml:space="preserve"> Time!BB$226</f>
        <v>0</v>
      </c>
      <c r="BC36" s="186">
        <f xml:space="preserve"> Time!BC$226</f>
        <v>1</v>
      </c>
      <c r="BD36" s="186">
        <f xml:space="preserve"> Time!BD$226</f>
        <v>0</v>
      </c>
      <c r="BE36" s="186">
        <f xml:space="preserve"> Time!BE$226</f>
        <v>1</v>
      </c>
      <c r="BF36" s="186">
        <f xml:space="preserve"> Time!BF$226</f>
        <v>0</v>
      </c>
      <c r="BG36" s="186">
        <f xml:space="preserve"> Time!BG$226</f>
        <v>1</v>
      </c>
      <c r="BH36" s="186">
        <f xml:space="preserve"> Time!BH$226</f>
        <v>0</v>
      </c>
      <c r="BI36" s="186">
        <f xml:space="preserve"> Time!BI$226</f>
        <v>1</v>
      </c>
      <c r="BJ36" s="186">
        <f xml:space="preserve"> Time!BJ$226</f>
        <v>0</v>
      </c>
      <c r="BK36" s="186">
        <f xml:space="preserve"> Time!BK$226</f>
        <v>1</v>
      </c>
      <c r="BL36" s="186">
        <f xml:space="preserve"> Time!BL$226</f>
        <v>0</v>
      </c>
      <c r="BM36" s="186">
        <f xml:space="preserve"> Time!BM$226</f>
        <v>1</v>
      </c>
      <c r="BN36" s="186">
        <f xml:space="preserve"> Time!BN$226</f>
        <v>0</v>
      </c>
      <c r="BO36" s="186">
        <f xml:space="preserve"> Time!BO$226</f>
        <v>1</v>
      </c>
      <c r="BP36" s="186">
        <f xml:space="preserve"> Time!BP$226</f>
        <v>0</v>
      </c>
      <c r="BQ36" s="186">
        <f xml:space="preserve"> Time!BQ$226</f>
        <v>1</v>
      </c>
      <c r="BR36" s="186">
        <f xml:space="preserve"> Time!BR$226</f>
        <v>0</v>
      </c>
      <c r="BS36" s="186">
        <f xml:space="preserve"> Time!BS$226</f>
        <v>1</v>
      </c>
      <c r="BT36" s="186">
        <f xml:space="preserve"> Time!BT$226</f>
        <v>0</v>
      </c>
      <c r="BU36" s="186">
        <f xml:space="preserve"> Time!BU$226</f>
        <v>1</v>
      </c>
      <c r="BV36" s="186">
        <f xml:space="preserve"> Time!BV$226</f>
        <v>0</v>
      </c>
      <c r="BW36" s="186">
        <f xml:space="preserve"> Time!BW$226</f>
        <v>1</v>
      </c>
      <c r="BX36" s="186">
        <f xml:space="preserve"> Time!BX$226</f>
        <v>0</v>
      </c>
      <c r="BY36" s="186">
        <f xml:space="preserve"> Time!BY$226</f>
        <v>1</v>
      </c>
      <c r="BZ36" s="186">
        <f xml:space="preserve"> Time!BZ$226</f>
        <v>0</v>
      </c>
      <c r="CA36" s="186">
        <f xml:space="preserve"> Time!CA$226</f>
        <v>1</v>
      </c>
      <c r="CB36" s="186">
        <f xml:space="preserve"> Time!CB$226</f>
        <v>0</v>
      </c>
      <c r="CC36" s="186">
        <f xml:space="preserve"> Time!CC$226</f>
        <v>1</v>
      </c>
      <c r="CD36" s="186">
        <f xml:space="preserve"> Time!CD$226</f>
        <v>0</v>
      </c>
      <c r="CE36" s="186">
        <f xml:space="preserve"> Time!CE$226</f>
        <v>1</v>
      </c>
      <c r="CF36" s="186">
        <f xml:space="preserve"> Time!CF$226</f>
        <v>0</v>
      </c>
      <c r="CG36" s="186">
        <f xml:space="preserve"> Time!CG$226</f>
        <v>1</v>
      </c>
      <c r="CH36" s="186">
        <f xml:space="preserve"> Time!CH$226</f>
        <v>0</v>
      </c>
      <c r="CI36" s="186">
        <f xml:space="preserve"> Time!CI$226</f>
        <v>1</v>
      </c>
      <c r="CJ36" s="186">
        <f xml:space="preserve"> Time!CJ$226</f>
        <v>0</v>
      </c>
      <c r="CK36" s="186">
        <f xml:space="preserve"> Time!CK$226</f>
        <v>1</v>
      </c>
      <c r="CL36" s="186">
        <f xml:space="preserve"> Time!CL$226</f>
        <v>0</v>
      </c>
      <c r="CM36" s="186">
        <f xml:space="preserve"> Time!CM$226</f>
        <v>1</v>
      </c>
      <c r="CN36" s="186">
        <f xml:space="preserve"> Time!CN$226</f>
        <v>0</v>
      </c>
      <c r="CO36" s="186">
        <f xml:space="preserve"> Time!CO$226</f>
        <v>1</v>
      </c>
      <c r="CP36" s="186">
        <f xml:space="preserve"> Time!CP$226</f>
        <v>0</v>
      </c>
      <c r="CQ36" s="186">
        <f xml:space="preserve"> Time!CQ$226</f>
        <v>1</v>
      </c>
      <c r="CR36" s="186">
        <f xml:space="preserve"> Time!CR$226</f>
        <v>0</v>
      </c>
      <c r="CS36" s="186">
        <f xml:space="preserve"> Time!CS$226</f>
        <v>1</v>
      </c>
      <c r="CT36" s="186">
        <f xml:space="preserve"> Time!CT$226</f>
        <v>0</v>
      </c>
      <c r="CU36" s="186">
        <f xml:space="preserve"> Time!CU$226</f>
        <v>1</v>
      </c>
      <c r="CV36" s="186">
        <f xml:space="preserve"> Time!CV$226</f>
        <v>0</v>
      </c>
    </row>
    <row r="37" spans="1:100" s="280" customFormat="1" outlineLevel="1" x14ac:dyDescent="0.2">
      <c r="A37" s="278"/>
      <c r="B37" s="278"/>
      <c r="C37" s="410"/>
      <c r="D37" s="279"/>
      <c r="E37" s="82" t="str">
        <f t="shared" ref="E37:AJ37" si="195" xml:space="preserve"> E$32</f>
        <v>Years elapsed since US PPI escalation base date</v>
      </c>
      <c r="F37" s="82">
        <f t="shared" si="195"/>
        <v>0</v>
      </c>
      <c r="G37" s="82" t="str">
        <f t="shared" si="195"/>
        <v>years</v>
      </c>
      <c r="H37" s="82">
        <f t="shared" si="195"/>
        <v>0</v>
      </c>
      <c r="I37" s="82">
        <f t="shared" si="195"/>
        <v>0</v>
      </c>
      <c r="J37" s="82">
        <f t="shared" si="195"/>
        <v>0</v>
      </c>
      <c r="K37" s="82">
        <f t="shared" si="195"/>
        <v>0</v>
      </c>
      <c r="L37" s="82">
        <f t="shared" si="195"/>
        <v>0</v>
      </c>
      <c r="M37" s="82">
        <f t="shared" si="195"/>
        <v>0</v>
      </c>
      <c r="N37" s="82">
        <f t="shared" si="195"/>
        <v>0</v>
      </c>
      <c r="O37" s="82">
        <f t="shared" si="195"/>
        <v>4</v>
      </c>
      <c r="P37" s="82">
        <f t="shared" si="195"/>
        <v>4</v>
      </c>
      <c r="Q37" s="82">
        <f t="shared" si="195"/>
        <v>5</v>
      </c>
      <c r="R37" s="82">
        <f t="shared" si="195"/>
        <v>5</v>
      </c>
      <c r="S37" s="82">
        <f t="shared" si="195"/>
        <v>6</v>
      </c>
      <c r="T37" s="82">
        <f t="shared" si="195"/>
        <v>6</v>
      </c>
      <c r="U37" s="82">
        <f t="shared" si="195"/>
        <v>7</v>
      </c>
      <c r="V37" s="82">
        <f t="shared" si="195"/>
        <v>7</v>
      </c>
      <c r="W37" s="82">
        <f t="shared" si="195"/>
        <v>8</v>
      </c>
      <c r="X37" s="82">
        <f t="shared" si="195"/>
        <v>8</v>
      </c>
      <c r="Y37" s="82">
        <f t="shared" si="195"/>
        <v>9</v>
      </c>
      <c r="Z37" s="82">
        <f t="shared" si="195"/>
        <v>9</v>
      </c>
      <c r="AA37" s="82">
        <f t="shared" si="195"/>
        <v>10</v>
      </c>
      <c r="AB37" s="82">
        <f t="shared" si="195"/>
        <v>10</v>
      </c>
      <c r="AC37" s="82">
        <f t="shared" si="195"/>
        <v>11</v>
      </c>
      <c r="AD37" s="82">
        <f t="shared" si="195"/>
        <v>11</v>
      </c>
      <c r="AE37" s="82">
        <f t="shared" si="195"/>
        <v>12</v>
      </c>
      <c r="AF37" s="82">
        <f t="shared" si="195"/>
        <v>12</v>
      </c>
      <c r="AG37" s="82">
        <f t="shared" si="195"/>
        <v>13</v>
      </c>
      <c r="AH37" s="82">
        <f t="shared" si="195"/>
        <v>13</v>
      </c>
      <c r="AI37" s="82">
        <f t="shared" si="195"/>
        <v>14</v>
      </c>
      <c r="AJ37" s="82">
        <f t="shared" si="195"/>
        <v>14</v>
      </c>
      <c r="AK37" s="82">
        <f t="shared" ref="AK37:BP37" si="196" xml:space="preserve"> AK$32</f>
        <v>15</v>
      </c>
      <c r="AL37" s="82">
        <f t="shared" si="196"/>
        <v>15</v>
      </c>
      <c r="AM37" s="82">
        <f t="shared" si="196"/>
        <v>16</v>
      </c>
      <c r="AN37" s="82">
        <f t="shared" si="196"/>
        <v>16</v>
      </c>
      <c r="AO37" s="82">
        <f t="shared" si="196"/>
        <v>17</v>
      </c>
      <c r="AP37" s="82">
        <f t="shared" si="196"/>
        <v>17</v>
      </c>
      <c r="AQ37" s="82">
        <f t="shared" si="196"/>
        <v>18</v>
      </c>
      <c r="AR37" s="82">
        <f t="shared" si="196"/>
        <v>18</v>
      </c>
      <c r="AS37" s="82">
        <f t="shared" si="196"/>
        <v>19</v>
      </c>
      <c r="AT37" s="82">
        <f t="shared" si="196"/>
        <v>19</v>
      </c>
      <c r="AU37" s="82">
        <f t="shared" si="196"/>
        <v>20</v>
      </c>
      <c r="AV37" s="82">
        <f t="shared" si="196"/>
        <v>20</v>
      </c>
      <c r="AW37" s="82">
        <f t="shared" si="196"/>
        <v>21</v>
      </c>
      <c r="AX37" s="82">
        <f t="shared" si="196"/>
        <v>21</v>
      </c>
      <c r="AY37" s="82">
        <f t="shared" si="196"/>
        <v>22</v>
      </c>
      <c r="AZ37" s="82">
        <f t="shared" si="196"/>
        <v>22</v>
      </c>
      <c r="BA37" s="82">
        <f t="shared" si="196"/>
        <v>23</v>
      </c>
      <c r="BB37" s="82">
        <f t="shared" si="196"/>
        <v>23</v>
      </c>
      <c r="BC37" s="82">
        <f t="shared" si="196"/>
        <v>0</v>
      </c>
      <c r="BD37" s="82">
        <f t="shared" si="196"/>
        <v>0</v>
      </c>
      <c r="BE37" s="82">
        <f t="shared" si="196"/>
        <v>0</v>
      </c>
      <c r="BF37" s="82">
        <f t="shared" si="196"/>
        <v>0</v>
      </c>
      <c r="BG37" s="82">
        <f t="shared" si="196"/>
        <v>0</v>
      </c>
      <c r="BH37" s="82">
        <f t="shared" si="196"/>
        <v>0</v>
      </c>
      <c r="BI37" s="82">
        <f t="shared" si="196"/>
        <v>0</v>
      </c>
      <c r="BJ37" s="82">
        <f t="shared" si="196"/>
        <v>0</v>
      </c>
      <c r="BK37" s="82">
        <f t="shared" si="196"/>
        <v>0</v>
      </c>
      <c r="BL37" s="82">
        <f t="shared" si="196"/>
        <v>0</v>
      </c>
      <c r="BM37" s="82">
        <f t="shared" si="196"/>
        <v>0</v>
      </c>
      <c r="BN37" s="82">
        <f t="shared" si="196"/>
        <v>0</v>
      </c>
      <c r="BO37" s="82">
        <f t="shared" si="196"/>
        <v>0</v>
      </c>
      <c r="BP37" s="82">
        <f t="shared" si="196"/>
        <v>0</v>
      </c>
      <c r="BQ37" s="82">
        <f t="shared" ref="BQ37:CV37" si="197" xml:space="preserve"> BQ$32</f>
        <v>0</v>
      </c>
      <c r="BR37" s="82">
        <f t="shared" si="197"/>
        <v>0</v>
      </c>
      <c r="BS37" s="82">
        <f t="shared" si="197"/>
        <v>0</v>
      </c>
      <c r="BT37" s="82">
        <f t="shared" si="197"/>
        <v>0</v>
      </c>
      <c r="BU37" s="82">
        <f t="shared" si="197"/>
        <v>0</v>
      </c>
      <c r="BV37" s="82">
        <f t="shared" si="197"/>
        <v>0</v>
      </c>
      <c r="BW37" s="82">
        <f t="shared" si="197"/>
        <v>0</v>
      </c>
      <c r="BX37" s="82">
        <f t="shared" si="197"/>
        <v>0</v>
      </c>
      <c r="BY37" s="82">
        <f t="shared" si="197"/>
        <v>0</v>
      </c>
      <c r="BZ37" s="82">
        <f t="shared" si="197"/>
        <v>0</v>
      </c>
      <c r="CA37" s="82">
        <f t="shared" si="197"/>
        <v>0</v>
      </c>
      <c r="CB37" s="82">
        <f t="shared" si="197"/>
        <v>0</v>
      </c>
      <c r="CC37" s="82">
        <f t="shared" si="197"/>
        <v>0</v>
      </c>
      <c r="CD37" s="82">
        <f t="shared" si="197"/>
        <v>0</v>
      </c>
      <c r="CE37" s="82">
        <f t="shared" si="197"/>
        <v>0</v>
      </c>
      <c r="CF37" s="82">
        <f t="shared" si="197"/>
        <v>0</v>
      </c>
      <c r="CG37" s="82">
        <f t="shared" si="197"/>
        <v>0</v>
      </c>
      <c r="CH37" s="82">
        <f t="shared" si="197"/>
        <v>0</v>
      </c>
      <c r="CI37" s="82">
        <f t="shared" si="197"/>
        <v>0</v>
      </c>
      <c r="CJ37" s="82">
        <f t="shared" si="197"/>
        <v>0</v>
      </c>
      <c r="CK37" s="82">
        <f t="shared" si="197"/>
        <v>0</v>
      </c>
      <c r="CL37" s="82">
        <f t="shared" si="197"/>
        <v>0</v>
      </c>
      <c r="CM37" s="82">
        <f t="shared" si="197"/>
        <v>0</v>
      </c>
      <c r="CN37" s="82">
        <f t="shared" si="197"/>
        <v>0</v>
      </c>
      <c r="CO37" s="82">
        <f t="shared" si="197"/>
        <v>0</v>
      </c>
      <c r="CP37" s="82">
        <f t="shared" si="197"/>
        <v>0</v>
      </c>
      <c r="CQ37" s="82">
        <f t="shared" si="197"/>
        <v>0</v>
      </c>
      <c r="CR37" s="82">
        <f t="shared" si="197"/>
        <v>0</v>
      </c>
      <c r="CS37" s="82">
        <f t="shared" si="197"/>
        <v>0</v>
      </c>
      <c r="CT37" s="82">
        <f t="shared" si="197"/>
        <v>0</v>
      </c>
      <c r="CU37" s="82">
        <f t="shared" si="197"/>
        <v>0</v>
      </c>
      <c r="CV37" s="82">
        <f t="shared" si="197"/>
        <v>0</v>
      </c>
    </row>
    <row r="38" spans="1:100" s="125" customFormat="1" outlineLevel="1" x14ac:dyDescent="0.2">
      <c r="A38" s="857"/>
      <c r="B38" s="857"/>
      <c r="C38" s="858"/>
      <c r="D38" s="578"/>
      <c r="E38" s="125" t="str">
        <f xml:space="preserve"> Time!E$14</f>
        <v>First model column flag</v>
      </c>
      <c r="F38" s="125">
        <f xml:space="preserve"> Time!F$14</f>
        <v>0</v>
      </c>
      <c r="G38" s="125" t="str">
        <f xml:space="preserve"> Time!G$14</f>
        <v>flag</v>
      </c>
      <c r="H38" s="125">
        <f xml:space="preserve"> Time!H$14</f>
        <v>1</v>
      </c>
      <c r="I38" s="125">
        <f xml:space="preserve"> Time!I$14</f>
        <v>0</v>
      </c>
      <c r="J38" s="125">
        <f xml:space="preserve"> Time!J$14</f>
        <v>1</v>
      </c>
      <c r="K38" s="125">
        <f xml:space="preserve"> Time!K$14</f>
        <v>0</v>
      </c>
      <c r="L38" s="125">
        <f xml:space="preserve"> Time!L$14</f>
        <v>0</v>
      </c>
      <c r="M38" s="125">
        <f xml:space="preserve"> Time!M$14</f>
        <v>0</v>
      </c>
      <c r="N38" s="125">
        <f xml:space="preserve"> Time!N$14</f>
        <v>0</v>
      </c>
      <c r="O38" s="125">
        <f xml:space="preserve"> Time!O$14</f>
        <v>0</v>
      </c>
      <c r="P38" s="125">
        <f xml:space="preserve"> Time!P$14</f>
        <v>0</v>
      </c>
      <c r="Q38" s="125">
        <f xml:space="preserve"> Time!Q$14</f>
        <v>0</v>
      </c>
      <c r="R38" s="125">
        <f xml:space="preserve"> Time!R$14</f>
        <v>0</v>
      </c>
      <c r="S38" s="125">
        <f xml:space="preserve"> Time!S$14</f>
        <v>0</v>
      </c>
      <c r="T38" s="125">
        <f xml:space="preserve"> Time!T$14</f>
        <v>0</v>
      </c>
      <c r="U38" s="125">
        <f xml:space="preserve"> Time!U$14</f>
        <v>0</v>
      </c>
      <c r="V38" s="125">
        <f xml:space="preserve"> Time!V$14</f>
        <v>0</v>
      </c>
      <c r="W38" s="125">
        <f xml:space="preserve"> Time!W$14</f>
        <v>0</v>
      </c>
      <c r="X38" s="125">
        <f xml:space="preserve"> Time!X$14</f>
        <v>0</v>
      </c>
      <c r="Y38" s="125">
        <f xml:space="preserve"> Time!Y$14</f>
        <v>0</v>
      </c>
      <c r="Z38" s="125">
        <f xml:space="preserve"> Time!Z$14</f>
        <v>0</v>
      </c>
      <c r="AA38" s="125">
        <f xml:space="preserve"> Time!AA$14</f>
        <v>0</v>
      </c>
      <c r="AB38" s="125">
        <f xml:space="preserve"> Time!AB$14</f>
        <v>0</v>
      </c>
      <c r="AC38" s="125">
        <f xml:space="preserve"> Time!AC$14</f>
        <v>0</v>
      </c>
      <c r="AD38" s="125">
        <f xml:space="preserve"> Time!AD$14</f>
        <v>0</v>
      </c>
      <c r="AE38" s="125">
        <f xml:space="preserve"> Time!AE$14</f>
        <v>0</v>
      </c>
      <c r="AF38" s="125">
        <f xml:space="preserve"> Time!AF$14</f>
        <v>0</v>
      </c>
      <c r="AG38" s="125">
        <f xml:space="preserve"> Time!AG$14</f>
        <v>0</v>
      </c>
      <c r="AH38" s="125">
        <f xml:space="preserve"> Time!AH$14</f>
        <v>0</v>
      </c>
      <c r="AI38" s="125">
        <f xml:space="preserve"> Time!AI$14</f>
        <v>0</v>
      </c>
      <c r="AJ38" s="125">
        <f xml:space="preserve"> Time!AJ$14</f>
        <v>0</v>
      </c>
      <c r="AK38" s="125">
        <f xml:space="preserve"> Time!AK$14</f>
        <v>0</v>
      </c>
      <c r="AL38" s="125">
        <f xml:space="preserve"> Time!AL$14</f>
        <v>0</v>
      </c>
      <c r="AM38" s="125">
        <f xml:space="preserve"> Time!AM$14</f>
        <v>0</v>
      </c>
      <c r="AN38" s="125">
        <f xml:space="preserve"> Time!AN$14</f>
        <v>0</v>
      </c>
      <c r="AO38" s="125">
        <f xml:space="preserve"> Time!AO$14</f>
        <v>0</v>
      </c>
      <c r="AP38" s="125">
        <f xml:space="preserve"> Time!AP$14</f>
        <v>0</v>
      </c>
      <c r="AQ38" s="125">
        <f xml:space="preserve"> Time!AQ$14</f>
        <v>0</v>
      </c>
      <c r="AR38" s="125">
        <f xml:space="preserve"> Time!AR$14</f>
        <v>0</v>
      </c>
      <c r="AS38" s="125">
        <f xml:space="preserve"> Time!AS$14</f>
        <v>0</v>
      </c>
      <c r="AT38" s="125">
        <f xml:space="preserve"> Time!AT$14</f>
        <v>0</v>
      </c>
      <c r="AU38" s="125">
        <f xml:space="preserve"> Time!AU$14</f>
        <v>0</v>
      </c>
      <c r="AV38" s="125">
        <f xml:space="preserve"> Time!AV$14</f>
        <v>0</v>
      </c>
      <c r="AW38" s="125">
        <f xml:space="preserve"> Time!AW$14</f>
        <v>0</v>
      </c>
      <c r="AX38" s="125">
        <f xml:space="preserve"> Time!AX$14</f>
        <v>0</v>
      </c>
      <c r="AY38" s="125">
        <f xml:space="preserve"> Time!AY$14</f>
        <v>0</v>
      </c>
      <c r="AZ38" s="125">
        <f xml:space="preserve"> Time!AZ$14</f>
        <v>0</v>
      </c>
      <c r="BA38" s="125">
        <f xml:space="preserve"> Time!BA$14</f>
        <v>0</v>
      </c>
      <c r="BB38" s="125">
        <f xml:space="preserve"> Time!BB$14</f>
        <v>0</v>
      </c>
      <c r="BC38" s="125">
        <f xml:space="preserve"> Time!BC$14</f>
        <v>0</v>
      </c>
      <c r="BD38" s="125">
        <f xml:space="preserve"> Time!BD$14</f>
        <v>0</v>
      </c>
      <c r="BE38" s="125">
        <f xml:space="preserve"> Time!BE$14</f>
        <v>0</v>
      </c>
      <c r="BF38" s="125">
        <f xml:space="preserve"> Time!BF$14</f>
        <v>0</v>
      </c>
      <c r="BG38" s="125">
        <f xml:space="preserve"> Time!BG$14</f>
        <v>0</v>
      </c>
      <c r="BH38" s="125">
        <f xml:space="preserve"> Time!BH$14</f>
        <v>0</v>
      </c>
      <c r="BI38" s="125">
        <f xml:space="preserve"> Time!BI$14</f>
        <v>0</v>
      </c>
      <c r="BJ38" s="125">
        <f xml:space="preserve"> Time!BJ$14</f>
        <v>0</v>
      </c>
      <c r="BK38" s="125">
        <f xml:space="preserve"> Time!BK$14</f>
        <v>0</v>
      </c>
      <c r="BL38" s="125">
        <f xml:space="preserve"> Time!BL$14</f>
        <v>0</v>
      </c>
      <c r="BM38" s="125">
        <f xml:space="preserve"> Time!BM$14</f>
        <v>0</v>
      </c>
      <c r="BN38" s="125">
        <f xml:space="preserve"> Time!BN$14</f>
        <v>0</v>
      </c>
      <c r="BO38" s="125">
        <f xml:space="preserve"> Time!BO$14</f>
        <v>0</v>
      </c>
      <c r="BP38" s="125">
        <f xml:space="preserve"> Time!BP$14</f>
        <v>0</v>
      </c>
      <c r="BQ38" s="125">
        <f xml:space="preserve"> Time!BQ$14</f>
        <v>0</v>
      </c>
      <c r="BR38" s="125">
        <f xml:space="preserve"> Time!BR$14</f>
        <v>0</v>
      </c>
      <c r="BS38" s="125">
        <f xml:space="preserve"> Time!BS$14</f>
        <v>0</v>
      </c>
      <c r="BT38" s="125">
        <f xml:space="preserve"> Time!BT$14</f>
        <v>0</v>
      </c>
      <c r="BU38" s="125">
        <f xml:space="preserve"> Time!BU$14</f>
        <v>0</v>
      </c>
      <c r="BV38" s="125">
        <f xml:space="preserve"> Time!BV$14</f>
        <v>0</v>
      </c>
      <c r="BW38" s="125">
        <f xml:space="preserve"> Time!BW$14</f>
        <v>0</v>
      </c>
      <c r="BX38" s="125">
        <f xml:space="preserve"> Time!BX$14</f>
        <v>0</v>
      </c>
      <c r="BY38" s="125">
        <f xml:space="preserve"> Time!BY$14</f>
        <v>0</v>
      </c>
      <c r="BZ38" s="125">
        <f xml:space="preserve"> Time!BZ$14</f>
        <v>0</v>
      </c>
      <c r="CA38" s="125">
        <f xml:space="preserve"> Time!CA$14</f>
        <v>0</v>
      </c>
      <c r="CB38" s="125">
        <f xml:space="preserve"> Time!CB$14</f>
        <v>0</v>
      </c>
      <c r="CC38" s="125">
        <f xml:space="preserve"> Time!CC$14</f>
        <v>0</v>
      </c>
      <c r="CD38" s="125">
        <f xml:space="preserve"> Time!CD$14</f>
        <v>0</v>
      </c>
      <c r="CE38" s="125">
        <f xml:space="preserve"> Time!CE$14</f>
        <v>0</v>
      </c>
      <c r="CF38" s="125">
        <f xml:space="preserve"> Time!CF$14</f>
        <v>0</v>
      </c>
      <c r="CG38" s="125">
        <f xml:space="preserve"> Time!CG$14</f>
        <v>0</v>
      </c>
      <c r="CH38" s="125">
        <f xml:space="preserve"> Time!CH$14</f>
        <v>0</v>
      </c>
      <c r="CI38" s="125">
        <f xml:space="preserve"> Time!CI$14</f>
        <v>0</v>
      </c>
      <c r="CJ38" s="125">
        <f xml:space="preserve"> Time!CJ$14</f>
        <v>0</v>
      </c>
      <c r="CK38" s="125">
        <f xml:space="preserve"> Time!CK$14</f>
        <v>0</v>
      </c>
      <c r="CL38" s="125">
        <f xml:space="preserve"> Time!CL$14</f>
        <v>0</v>
      </c>
      <c r="CM38" s="125">
        <f xml:space="preserve"> Time!CM$14</f>
        <v>0</v>
      </c>
      <c r="CN38" s="125">
        <f xml:space="preserve"> Time!CN$14</f>
        <v>0</v>
      </c>
      <c r="CO38" s="125">
        <f xml:space="preserve"> Time!CO$14</f>
        <v>0</v>
      </c>
      <c r="CP38" s="125">
        <f xml:space="preserve"> Time!CP$14</f>
        <v>0</v>
      </c>
      <c r="CQ38" s="125">
        <f xml:space="preserve"> Time!CQ$14</f>
        <v>0</v>
      </c>
      <c r="CR38" s="125">
        <f xml:space="preserve"> Time!CR$14</f>
        <v>0</v>
      </c>
      <c r="CS38" s="125">
        <f xml:space="preserve"> Time!CS$14</f>
        <v>0</v>
      </c>
      <c r="CT38" s="125">
        <f xml:space="preserve"> Time!CT$14</f>
        <v>0</v>
      </c>
      <c r="CU38" s="125">
        <f xml:space="preserve"> Time!CU$14</f>
        <v>0</v>
      </c>
      <c r="CV38" s="125">
        <f xml:space="preserve"> Time!CV$14</f>
        <v>0</v>
      </c>
    </row>
    <row r="39" spans="1:100" outlineLevel="1" x14ac:dyDescent="0.2">
      <c r="A39" s="141"/>
      <c r="B39" s="141"/>
      <c r="C39" s="142"/>
      <c r="D39" s="143"/>
      <c r="E39" s="187" t="s">
        <v>613</v>
      </c>
      <c r="F39" s="187"/>
      <c r="G39" s="187" t="s">
        <v>187</v>
      </c>
      <c r="H39" s="187"/>
      <c r="I39" s="144"/>
      <c r="J39" s="411">
        <f t="shared" ref="J39:AO39" si="198" xml:space="preserve"> (J38 +  IF(J36 = 1, (1 + $F34 + $F35) ^ J37, I39))</f>
        <v>1</v>
      </c>
      <c r="K39" s="411">
        <f t="shared" si="198"/>
        <v>1</v>
      </c>
      <c r="L39" s="411">
        <f t="shared" si="198"/>
        <v>1</v>
      </c>
      <c r="M39" s="411">
        <f t="shared" si="198"/>
        <v>1</v>
      </c>
      <c r="N39" s="411">
        <f t="shared" si="198"/>
        <v>1</v>
      </c>
      <c r="O39" s="411">
        <f t="shared" si="198"/>
        <v>1.08243216</v>
      </c>
      <c r="P39" s="411">
        <f t="shared" si="198"/>
        <v>1.08243216</v>
      </c>
      <c r="Q39" s="411">
        <f t="shared" si="198"/>
        <v>1.1040808032</v>
      </c>
      <c r="R39" s="411">
        <f t="shared" si="198"/>
        <v>1.1040808032</v>
      </c>
      <c r="S39" s="411">
        <f t="shared" si="198"/>
        <v>1.1261624192640001</v>
      </c>
      <c r="T39" s="411">
        <f t="shared" si="198"/>
        <v>1.1261624192640001</v>
      </c>
      <c r="U39" s="411">
        <f t="shared" si="198"/>
        <v>1.1486856676492798</v>
      </c>
      <c r="V39" s="411">
        <f t="shared" si="198"/>
        <v>1.1486856676492798</v>
      </c>
      <c r="W39" s="411">
        <f t="shared" si="198"/>
        <v>1.1716593810022655</v>
      </c>
      <c r="X39" s="411">
        <f t="shared" si="198"/>
        <v>1.1716593810022655</v>
      </c>
      <c r="Y39" s="411">
        <f t="shared" si="198"/>
        <v>1.1950925686223108</v>
      </c>
      <c r="Z39" s="411">
        <f t="shared" si="198"/>
        <v>1.1950925686223108</v>
      </c>
      <c r="AA39" s="411">
        <f t="shared" si="198"/>
        <v>1.2189944199947571</v>
      </c>
      <c r="AB39" s="411">
        <f t="shared" si="198"/>
        <v>1.2189944199947571</v>
      </c>
      <c r="AC39" s="411">
        <f t="shared" si="198"/>
        <v>1.243374308394652</v>
      </c>
      <c r="AD39" s="411">
        <f t="shared" si="198"/>
        <v>1.243374308394652</v>
      </c>
      <c r="AE39" s="411">
        <f t="shared" si="198"/>
        <v>1.2682417945625453</v>
      </c>
      <c r="AF39" s="411">
        <f t="shared" si="198"/>
        <v>1.2682417945625453</v>
      </c>
      <c r="AG39" s="411">
        <f t="shared" si="198"/>
        <v>1.2936066304537961</v>
      </c>
      <c r="AH39" s="411">
        <f t="shared" si="198"/>
        <v>1.2936066304537961</v>
      </c>
      <c r="AI39" s="411">
        <f t="shared" si="198"/>
        <v>1.3194787630628722</v>
      </c>
      <c r="AJ39" s="411">
        <f t="shared" si="198"/>
        <v>1.3194787630628722</v>
      </c>
      <c r="AK39" s="411">
        <f t="shared" si="198"/>
        <v>1.3458683383241292</v>
      </c>
      <c r="AL39" s="411">
        <f t="shared" si="198"/>
        <v>1.3458683383241292</v>
      </c>
      <c r="AM39" s="411">
        <f t="shared" si="198"/>
        <v>1.372785705090612</v>
      </c>
      <c r="AN39" s="411">
        <f t="shared" si="198"/>
        <v>1.372785705090612</v>
      </c>
      <c r="AO39" s="411">
        <f t="shared" si="198"/>
        <v>1.4002414191924244</v>
      </c>
      <c r="AP39" s="411">
        <f t="shared" ref="AP39:BU39" si="199" xml:space="preserve"> (AP38 +  IF(AP36 = 1, (1 + $F34 + $F35) ^ AP37, AO39))</f>
        <v>1.4002414191924244</v>
      </c>
      <c r="AQ39" s="411">
        <f t="shared" si="199"/>
        <v>1.4282462475762727</v>
      </c>
      <c r="AR39" s="411">
        <f t="shared" si="199"/>
        <v>1.4282462475762727</v>
      </c>
      <c r="AS39" s="411">
        <f t="shared" si="199"/>
        <v>1.4568111725277981</v>
      </c>
      <c r="AT39" s="411">
        <f t="shared" si="199"/>
        <v>1.4568111725277981</v>
      </c>
      <c r="AU39" s="411">
        <f t="shared" si="199"/>
        <v>1.4859473959783542</v>
      </c>
      <c r="AV39" s="411">
        <f t="shared" si="199"/>
        <v>1.4859473959783542</v>
      </c>
      <c r="AW39" s="411">
        <f t="shared" si="199"/>
        <v>1.5156663438979212</v>
      </c>
      <c r="AX39" s="411">
        <f t="shared" si="199"/>
        <v>1.5156663438979212</v>
      </c>
      <c r="AY39" s="411">
        <f t="shared" si="199"/>
        <v>1.5459796707758797</v>
      </c>
      <c r="AZ39" s="411">
        <f t="shared" si="199"/>
        <v>1.5459796707758797</v>
      </c>
      <c r="BA39" s="411">
        <f t="shared" si="199"/>
        <v>1.576899264191397</v>
      </c>
      <c r="BB39" s="411">
        <f t="shared" si="199"/>
        <v>1.576899264191397</v>
      </c>
      <c r="BC39" s="411">
        <f t="shared" si="199"/>
        <v>1</v>
      </c>
      <c r="BD39" s="411">
        <f t="shared" si="199"/>
        <v>1</v>
      </c>
      <c r="BE39" s="411">
        <f t="shared" si="199"/>
        <v>1</v>
      </c>
      <c r="BF39" s="411">
        <f t="shared" si="199"/>
        <v>1</v>
      </c>
      <c r="BG39" s="411">
        <f t="shared" si="199"/>
        <v>1</v>
      </c>
      <c r="BH39" s="411">
        <f t="shared" si="199"/>
        <v>1</v>
      </c>
      <c r="BI39" s="411">
        <f t="shared" si="199"/>
        <v>1</v>
      </c>
      <c r="BJ39" s="411">
        <f t="shared" si="199"/>
        <v>1</v>
      </c>
      <c r="BK39" s="411">
        <f t="shared" si="199"/>
        <v>1</v>
      </c>
      <c r="BL39" s="411">
        <f t="shared" si="199"/>
        <v>1</v>
      </c>
      <c r="BM39" s="411">
        <f t="shared" si="199"/>
        <v>1</v>
      </c>
      <c r="BN39" s="411">
        <f t="shared" si="199"/>
        <v>1</v>
      </c>
      <c r="BO39" s="411">
        <f t="shared" si="199"/>
        <v>1</v>
      </c>
      <c r="BP39" s="411">
        <f t="shared" si="199"/>
        <v>1</v>
      </c>
      <c r="BQ39" s="411">
        <f t="shared" si="199"/>
        <v>1</v>
      </c>
      <c r="BR39" s="411">
        <f t="shared" si="199"/>
        <v>1</v>
      </c>
      <c r="BS39" s="411">
        <f t="shared" si="199"/>
        <v>1</v>
      </c>
      <c r="BT39" s="411">
        <f t="shared" si="199"/>
        <v>1</v>
      </c>
      <c r="BU39" s="411">
        <f t="shared" si="199"/>
        <v>1</v>
      </c>
      <c r="BV39" s="411">
        <f t="shared" ref="BV39:CV39" si="200" xml:space="preserve"> (BV38 +  IF(BV36 = 1, (1 + $F34 + $F35) ^ BV37, BU39))</f>
        <v>1</v>
      </c>
      <c r="BW39" s="411">
        <f t="shared" si="200"/>
        <v>1</v>
      </c>
      <c r="BX39" s="411">
        <f t="shared" si="200"/>
        <v>1</v>
      </c>
      <c r="BY39" s="411">
        <f t="shared" si="200"/>
        <v>1</v>
      </c>
      <c r="BZ39" s="411">
        <f t="shared" si="200"/>
        <v>1</v>
      </c>
      <c r="CA39" s="411">
        <f t="shared" si="200"/>
        <v>1</v>
      </c>
      <c r="CB39" s="411">
        <f t="shared" si="200"/>
        <v>1</v>
      </c>
      <c r="CC39" s="411">
        <f t="shared" si="200"/>
        <v>1</v>
      </c>
      <c r="CD39" s="411">
        <f t="shared" si="200"/>
        <v>1</v>
      </c>
      <c r="CE39" s="411">
        <f t="shared" si="200"/>
        <v>1</v>
      </c>
      <c r="CF39" s="411">
        <f t="shared" si="200"/>
        <v>1</v>
      </c>
      <c r="CG39" s="411">
        <f t="shared" si="200"/>
        <v>1</v>
      </c>
      <c r="CH39" s="411">
        <f t="shared" si="200"/>
        <v>1</v>
      </c>
      <c r="CI39" s="411">
        <f t="shared" si="200"/>
        <v>1</v>
      </c>
      <c r="CJ39" s="411">
        <f t="shared" si="200"/>
        <v>1</v>
      </c>
      <c r="CK39" s="411">
        <f t="shared" si="200"/>
        <v>1</v>
      </c>
      <c r="CL39" s="411">
        <f t="shared" si="200"/>
        <v>1</v>
      </c>
      <c r="CM39" s="411">
        <f t="shared" si="200"/>
        <v>1</v>
      </c>
      <c r="CN39" s="411">
        <f t="shared" si="200"/>
        <v>1</v>
      </c>
      <c r="CO39" s="411">
        <f t="shared" si="200"/>
        <v>1</v>
      </c>
      <c r="CP39" s="411">
        <f t="shared" si="200"/>
        <v>1</v>
      </c>
      <c r="CQ39" s="411">
        <f t="shared" si="200"/>
        <v>1</v>
      </c>
      <c r="CR39" s="411">
        <f t="shared" si="200"/>
        <v>1</v>
      </c>
      <c r="CS39" s="411">
        <f t="shared" si="200"/>
        <v>1</v>
      </c>
      <c r="CT39" s="411">
        <f t="shared" si="200"/>
        <v>1</v>
      </c>
      <c r="CU39" s="411">
        <f t="shared" si="200"/>
        <v>1</v>
      </c>
      <c r="CV39" s="411">
        <f t="shared" si="200"/>
        <v>1</v>
      </c>
    </row>
    <row r="40" spans="1:100" outlineLevel="1" x14ac:dyDescent="0.2"/>
    <row r="41" spans="1:100" x14ac:dyDescent="0.2"/>
    <row r="42" spans="1:100" x14ac:dyDescent="0.2">
      <c r="A42" s="15" t="s">
        <v>207</v>
      </c>
      <c r="P42" s="82"/>
    </row>
    <row r="43" spans="1:100" outlineLevel="1" x14ac:dyDescent="0.2">
      <c r="P43" s="82"/>
    </row>
    <row r="44" spans="1:100" outlineLevel="1" x14ac:dyDescent="0.2">
      <c r="B44" s="15" t="s">
        <v>205</v>
      </c>
      <c r="P44" s="82"/>
    </row>
    <row r="45" spans="1:100" s="667" customFormat="1" outlineLevel="2" x14ac:dyDescent="0.2">
      <c r="A45" s="54"/>
      <c r="B45" s="54"/>
      <c r="C45" s="57"/>
      <c r="D45" s="69"/>
      <c r="E45" s="204" t="str">
        <f xml:space="preserve"> InpC!E$131</f>
        <v>O&amp;M costs indexation base date</v>
      </c>
      <c r="F45" s="204">
        <f xml:space="preserve"> InpC!F$131</f>
        <v>43831</v>
      </c>
      <c r="G45" s="204" t="str">
        <f xml:space="preserve"> InpC!G$131</f>
        <v>date</v>
      </c>
      <c r="H45" s="45"/>
      <c r="I45" s="26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</row>
    <row r="46" spans="1:100" outlineLevel="2" x14ac:dyDescent="0.2">
      <c r="E46" s="856" t="str">
        <f t="shared" ref="E46:AJ46" si="201" xml:space="preserve"> E$12</f>
        <v>Escalation uplift date</v>
      </c>
      <c r="F46" s="856">
        <f t="shared" si="201"/>
        <v>0</v>
      </c>
      <c r="G46" s="856" t="str">
        <f t="shared" si="201"/>
        <v>date</v>
      </c>
      <c r="H46" s="856">
        <f t="shared" si="201"/>
        <v>0</v>
      </c>
      <c r="I46" s="856">
        <f t="shared" si="201"/>
        <v>0</v>
      </c>
      <c r="J46" s="856">
        <f t="shared" si="201"/>
        <v>0</v>
      </c>
      <c r="K46" s="856">
        <f t="shared" si="201"/>
        <v>44562</v>
      </c>
      <c r="L46" s="856">
        <f t="shared" si="201"/>
        <v>44562</v>
      </c>
      <c r="M46" s="856">
        <f t="shared" si="201"/>
        <v>44927</v>
      </c>
      <c r="N46" s="856">
        <f t="shared" si="201"/>
        <v>44927</v>
      </c>
      <c r="O46" s="856">
        <f t="shared" si="201"/>
        <v>45292</v>
      </c>
      <c r="P46" s="856">
        <f t="shared" si="201"/>
        <v>45292</v>
      </c>
      <c r="Q46" s="856">
        <f t="shared" si="201"/>
        <v>45658</v>
      </c>
      <c r="R46" s="856">
        <f t="shared" si="201"/>
        <v>45658</v>
      </c>
      <c r="S46" s="856">
        <f t="shared" si="201"/>
        <v>46023</v>
      </c>
      <c r="T46" s="856">
        <f t="shared" si="201"/>
        <v>46023</v>
      </c>
      <c r="U46" s="856">
        <f t="shared" si="201"/>
        <v>46388</v>
      </c>
      <c r="V46" s="856">
        <f t="shared" si="201"/>
        <v>46388</v>
      </c>
      <c r="W46" s="856">
        <f t="shared" si="201"/>
        <v>46753</v>
      </c>
      <c r="X46" s="856">
        <f t="shared" si="201"/>
        <v>46753</v>
      </c>
      <c r="Y46" s="856">
        <f t="shared" si="201"/>
        <v>47119</v>
      </c>
      <c r="Z46" s="856">
        <f t="shared" si="201"/>
        <v>47119</v>
      </c>
      <c r="AA46" s="856">
        <f t="shared" si="201"/>
        <v>47484</v>
      </c>
      <c r="AB46" s="856">
        <f t="shared" si="201"/>
        <v>47484</v>
      </c>
      <c r="AC46" s="856">
        <f t="shared" si="201"/>
        <v>47849</v>
      </c>
      <c r="AD46" s="856">
        <f t="shared" si="201"/>
        <v>47849</v>
      </c>
      <c r="AE46" s="856">
        <f t="shared" si="201"/>
        <v>48214</v>
      </c>
      <c r="AF46" s="856">
        <f t="shared" si="201"/>
        <v>48214</v>
      </c>
      <c r="AG46" s="856">
        <f t="shared" si="201"/>
        <v>48580</v>
      </c>
      <c r="AH46" s="856">
        <f t="shared" si="201"/>
        <v>48580</v>
      </c>
      <c r="AI46" s="856">
        <f t="shared" si="201"/>
        <v>48945</v>
      </c>
      <c r="AJ46" s="856">
        <f t="shared" si="201"/>
        <v>48945</v>
      </c>
      <c r="AK46" s="856">
        <f t="shared" ref="AK46:BP46" si="202" xml:space="preserve"> AK$12</f>
        <v>49310</v>
      </c>
      <c r="AL46" s="856">
        <f t="shared" si="202"/>
        <v>49310</v>
      </c>
      <c r="AM46" s="856">
        <f t="shared" si="202"/>
        <v>49675</v>
      </c>
      <c r="AN46" s="856">
        <f t="shared" si="202"/>
        <v>49675</v>
      </c>
      <c r="AO46" s="856">
        <f t="shared" si="202"/>
        <v>50041</v>
      </c>
      <c r="AP46" s="856">
        <f t="shared" si="202"/>
        <v>50041</v>
      </c>
      <c r="AQ46" s="856">
        <f t="shared" si="202"/>
        <v>50406</v>
      </c>
      <c r="AR46" s="856">
        <f t="shared" si="202"/>
        <v>50406</v>
      </c>
      <c r="AS46" s="856">
        <f t="shared" si="202"/>
        <v>50771</v>
      </c>
      <c r="AT46" s="856">
        <f t="shared" si="202"/>
        <v>50771</v>
      </c>
      <c r="AU46" s="856">
        <f t="shared" si="202"/>
        <v>51136</v>
      </c>
      <c r="AV46" s="856">
        <f t="shared" si="202"/>
        <v>51136</v>
      </c>
      <c r="AW46" s="856">
        <f t="shared" si="202"/>
        <v>51502</v>
      </c>
      <c r="AX46" s="856">
        <f t="shared" si="202"/>
        <v>51502</v>
      </c>
      <c r="AY46" s="856">
        <f t="shared" si="202"/>
        <v>51867</v>
      </c>
      <c r="AZ46" s="856">
        <f t="shared" si="202"/>
        <v>51867</v>
      </c>
      <c r="BA46" s="856">
        <f t="shared" si="202"/>
        <v>52232</v>
      </c>
      <c r="BB46" s="856">
        <f t="shared" si="202"/>
        <v>52232</v>
      </c>
      <c r="BC46" s="856">
        <f t="shared" si="202"/>
        <v>52597</v>
      </c>
      <c r="BD46" s="856">
        <f t="shared" si="202"/>
        <v>52597</v>
      </c>
      <c r="BE46" s="856">
        <f t="shared" si="202"/>
        <v>52963</v>
      </c>
      <c r="BF46" s="856">
        <f t="shared" si="202"/>
        <v>52963</v>
      </c>
      <c r="BG46" s="856">
        <f t="shared" si="202"/>
        <v>53328</v>
      </c>
      <c r="BH46" s="856">
        <f t="shared" si="202"/>
        <v>53328</v>
      </c>
      <c r="BI46" s="856">
        <f t="shared" si="202"/>
        <v>53693</v>
      </c>
      <c r="BJ46" s="856">
        <f t="shared" si="202"/>
        <v>53693</v>
      </c>
      <c r="BK46" s="856">
        <f t="shared" si="202"/>
        <v>54058</v>
      </c>
      <c r="BL46" s="856">
        <f t="shared" si="202"/>
        <v>54058</v>
      </c>
      <c r="BM46" s="856">
        <f t="shared" si="202"/>
        <v>54424</v>
      </c>
      <c r="BN46" s="856">
        <f t="shared" si="202"/>
        <v>54424</v>
      </c>
      <c r="BO46" s="856">
        <f t="shared" si="202"/>
        <v>54789</v>
      </c>
      <c r="BP46" s="856">
        <f t="shared" si="202"/>
        <v>54789</v>
      </c>
      <c r="BQ46" s="856">
        <f t="shared" ref="BQ46:CV46" si="203" xml:space="preserve"> BQ$12</f>
        <v>55154</v>
      </c>
      <c r="BR46" s="856">
        <f t="shared" si="203"/>
        <v>55154</v>
      </c>
      <c r="BS46" s="856">
        <f t="shared" si="203"/>
        <v>55519</v>
      </c>
      <c r="BT46" s="856">
        <f t="shared" si="203"/>
        <v>55519</v>
      </c>
      <c r="BU46" s="856">
        <f t="shared" si="203"/>
        <v>55885</v>
      </c>
      <c r="BV46" s="856">
        <f t="shared" si="203"/>
        <v>55885</v>
      </c>
      <c r="BW46" s="856">
        <f t="shared" si="203"/>
        <v>56250</v>
      </c>
      <c r="BX46" s="856">
        <f t="shared" si="203"/>
        <v>56250</v>
      </c>
      <c r="BY46" s="856">
        <f t="shared" si="203"/>
        <v>56615</v>
      </c>
      <c r="BZ46" s="856">
        <f t="shared" si="203"/>
        <v>56615</v>
      </c>
      <c r="CA46" s="856">
        <f t="shared" si="203"/>
        <v>56980</v>
      </c>
      <c r="CB46" s="856">
        <f t="shared" si="203"/>
        <v>56980</v>
      </c>
      <c r="CC46" s="856">
        <f t="shared" si="203"/>
        <v>57346</v>
      </c>
      <c r="CD46" s="856">
        <f t="shared" si="203"/>
        <v>57346</v>
      </c>
      <c r="CE46" s="856">
        <f t="shared" si="203"/>
        <v>57711</v>
      </c>
      <c r="CF46" s="856">
        <f t="shared" si="203"/>
        <v>57711</v>
      </c>
      <c r="CG46" s="856">
        <f t="shared" si="203"/>
        <v>58076</v>
      </c>
      <c r="CH46" s="856">
        <f t="shared" si="203"/>
        <v>58076</v>
      </c>
      <c r="CI46" s="856">
        <f t="shared" si="203"/>
        <v>58441</v>
      </c>
      <c r="CJ46" s="856">
        <f t="shared" si="203"/>
        <v>58441</v>
      </c>
      <c r="CK46" s="856">
        <f t="shared" si="203"/>
        <v>58807</v>
      </c>
      <c r="CL46" s="856">
        <f t="shared" si="203"/>
        <v>58807</v>
      </c>
      <c r="CM46" s="856">
        <f t="shared" si="203"/>
        <v>59172</v>
      </c>
      <c r="CN46" s="856">
        <f t="shared" si="203"/>
        <v>59172</v>
      </c>
      <c r="CO46" s="856">
        <f t="shared" si="203"/>
        <v>59537</v>
      </c>
      <c r="CP46" s="856">
        <f t="shared" si="203"/>
        <v>59537</v>
      </c>
      <c r="CQ46" s="856">
        <f t="shared" si="203"/>
        <v>59902</v>
      </c>
      <c r="CR46" s="856">
        <f t="shared" si="203"/>
        <v>59902</v>
      </c>
      <c r="CS46" s="856">
        <f t="shared" si="203"/>
        <v>60268</v>
      </c>
      <c r="CT46" s="856">
        <f t="shared" si="203"/>
        <v>60268</v>
      </c>
      <c r="CU46" s="856">
        <f t="shared" si="203"/>
        <v>60633</v>
      </c>
      <c r="CV46" s="856">
        <f t="shared" si="203"/>
        <v>60633</v>
      </c>
    </row>
    <row r="47" spans="1:100" outlineLevel="2" x14ac:dyDescent="0.2">
      <c r="E47" s="186" t="str">
        <f xml:space="preserve"> Time!E$106</f>
        <v>Operating period flag</v>
      </c>
      <c r="F47" s="186">
        <f xml:space="preserve"> Time!F$106</f>
        <v>0</v>
      </c>
      <c r="G47" s="186" t="str">
        <f xml:space="preserve"> Time!G$106</f>
        <v>flag</v>
      </c>
      <c r="H47" s="186">
        <f xml:space="preserve"> Time!H$106</f>
        <v>40</v>
      </c>
      <c r="I47" s="186">
        <f xml:space="preserve"> Time!I$106</f>
        <v>0</v>
      </c>
      <c r="J47" s="186">
        <f xml:space="preserve"> Time!J$106</f>
        <v>0</v>
      </c>
      <c r="K47" s="186">
        <f xml:space="preserve"> Time!K$106</f>
        <v>0</v>
      </c>
      <c r="L47" s="186">
        <f xml:space="preserve"> Time!L$106</f>
        <v>0</v>
      </c>
      <c r="M47" s="186">
        <f xml:space="preserve"> Time!M$106</f>
        <v>0</v>
      </c>
      <c r="N47" s="186">
        <f xml:space="preserve"> Time!N$106</f>
        <v>0</v>
      </c>
      <c r="O47" s="186">
        <f xml:space="preserve"> Time!O$106</f>
        <v>1</v>
      </c>
      <c r="P47" s="186">
        <f xml:space="preserve"> Time!P$106</f>
        <v>1</v>
      </c>
      <c r="Q47" s="186">
        <f xml:space="preserve"> Time!Q$106</f>
        <v>1</v>
      </c>
      <c r="R47" s="186">
        <f xml:space="preserve"> Time!R$106</f>
        <v>1</v>
      </c>
      <c r="S47" s="186">
        <f xml:space="preserve"> Time!S$106</f>
        <v>1</v>
      </c>
      <c r="T47" s="186">
        <f xml:space="preserve"> Time!T$106</f>
        <v>1</v>
      </c>
      <c r="U47" s="186">
        <f xml:space="preserve"> Time!U$106</f>
        <v>1</v>
      </c>
      <c r="V47" s="186">
        <f xml:space="preserve"> Time!V$106</f>
        <v>1</v>
      </c>
      <c r="W47" s="186">
        <f xml:space="preserve"> Time!W$106</f>
        <v>1</v>
      </c>
      <c r="X47" s="186">
        <f xml:space="preserve"> Time!X$106</f>
        <v>1</v>
      </c>
      <c r="Y47" s="186">
        <f xml:space="preserve"> Time!Y$106</f>
        <v>1</v>
      </c>
      <c r="Z47" s="186">
        <f xml:space="preserve"> Time!Z$106</f>
        <v>1</v>
      </c>
      <c r="AA47" s="186">
        <f xml:space="preserve"> Time!AA$106</f>
        <v>1</v>
      </c>
      <c r="AB47" s="186">
        <f xml:space="preserve"> Time!AB$106</f>
        <v>1</v>
      </c>
      <c r="AC47" s="186">
        <f xml:space="preserve"> Time!AC$106</f>
        <v>1</v>
      </c>
      <c r="AD47" s="186">
        <f xml:space="preserve"> Time!AD$106</f>
        <v>1</v>
      </c>
      <c r="AE47" s="186">
        <f xml:space="preserve"> Time!AE$106</f>
        <v>1</v>
      </c>
      <c r="AF47" s="186">
        <f xml:space="preserve"> Time!AF$106</f>
        <v>1</v>
      </c>
      <c r="AG47" s="186">
        <f xml:space="preserve"> Time!AG$106</f>
        <v>1</v>
      </c>
      <c r="AH47" s="186">
        <f xml:space="preserve"> Time!AH$106</f>
        <v>1</v>
      </c>
      <c r="AI47" s="186">
        <f xml:space="preserve"> Time!AI$106</f>
        <v>1</v>
      </c>
      <c r="AJ47" s="186">
        <f xml:space="preserve"> Time!AJ$106</f>
        <v>1</v>
      </c>
      <c r="AK47" s="186">
        <f xml:space="preserve"> Time!AK$106</f>
        <v>1</v>
      </c>
      <c r="AL47" s="186">
        <f xml:space="preserve"> Time!AL$106</f>
        <v>1</v>
      </c>
      <c r="AM47" s="186">
        <f xml:space="preserve"> Time!AM$106</f>
        <v>1</v>
      </c>
      <c r="AN47" s="186">
        <f xml:space="preserve"> Time!AN$106</f>
        <v>1</v>
      </c>
      <c r="AO47" s="186">
        <f xml:space="preserve"> Time!AO$106</f>
        <v>1</v>
      </c>
      <c r="AP47" s="186">
        <f xml:space="preserve"> Time!AP$106</f>
        <v>1</v>
      </c>
      <c r="AQ47" s="186">
        <f xml:space="preserve"> Time!AQ$106</f>
        <v>1</v>
      </c>
      <c r="AR47" s="186">
        <f xml:space="preserve"> Time!AR$106</f>
        <v>1</v>
      </c>
      <c r="AS47" s="186">
        <f xml:space="preserve"> Time!AS$106</f>
        <v>1</v>
      </c>
      <c r="AT47" s="186">
        <f xml:space="preserve"> Time!AT$106</f>
        <v>1</v>
      </c>
      <c r="AU47" s="186">
        <f xml:space="preserve"> Time!AU$106</f>
        <v>1</v>
      </c>
      <c r="AV47" s="186">
        <f xml:space="preserve"> Time!AV$106</f>
        <v>1</v>
      </c>
      <c r="AW47" s="186">
        <f xml:space="preserve"> Time!AW$106</f>
        <v>1</v>
      </c>
      <c r="AX47" s="186">
        <f xml:space="preserve"> Time!AX$106</f>
        <v>1</v>
      </c>
      <c r="AY47" s="186">
        <f xml:space="preserve"> Time!AY$106</f>
        <v>1</v>
      </c>
      <c r="AZ47" s="186">
        <f xml:space="preserve"> Time!AZ$106</f>
        <v>1</v>
      </c>
      <c r="BA47" s="186">
        <f xml:space="preserve"> Time!BA$106</f>
        <v>1</v>
      </c>
      <c r="BB47" s="186">
        <f xml:space="preserve"> Time!BB$106</f>
        <v>1</v>
      </c>
      <c r="BC47" s="186">
        <f xml:space="preserve"> Time!BC$106</f>
        <v>0</v>
      </c>
      <c r="BD47" s="186">
        <f xml:space="preserve"> Time!BD$106</f>
        <v>0</v>
      </c>
      <c r="BE47" s="186">
        <f xml:space="preserve"> Time!BE$106</f>
        <v>0</v>
      </c>
      <c r="BF47" s="186">
        <f xml:space="preserve"> Time!BF$106</f>
        <v>0</v>
      </c>
      <c r="BG47" s="186">
        <f xml:space="preserve"> Time!BG$106</f>
        <v>0</v>
      </c>
      <c r="BH47" s="186">
        <f xml:space="preserve"> Time!BH$106</f>
        <v>0</v>
      </c>
      <c r="BI47" s="186">
        <f xml:space="preserve"> Time!BI$106</f>
        <v>0</v>
      </c>
      <c r="BJ47" s="186">
        <f xml:space="preserve"> Time!BJ$106</f>
        <v>0</v>
      </c>
      <c r="BK47" s="186">
        <f xml:space="preserve"> Time!BK$106</f>
        <v>0</v>
      </c>
      <c r="BL47" s="186">
        <f xml:space="preserve"> Time!BL$106</f>
        <v>0</v>
      </c>
      <c r="BM47" s="186">
        <f xml:space="preserve"> Time!BM$106</f>
        <v>0</v>
      </c>
      <c r="BN47" s="186">
        <f xml:space="preserve"> Time!BN$106</f>
        <v>0</v>
      </c>
      <c r="BO47" s="186">
        <f xml:space="preserve"> Time!BO$106</f>
        <v>0</v>
      </c>
      <c r="BP47" s="186">
        <f xml:space="preserve"> Time!BP$106</f>
        <v>0</v>
      </c>
      <c r="BQ47" s="186">
        <f xml:space="preserve"> Time!BQ$106</f>
        <v>0</v>
      </c>
      <c r="BR47" s="186">
        <f xml:space="preserve"> Time!BR$106</f>
        <v>0</v>
      </c>
      <c r="BS47" s="186">
        <f xml:space="preserve"> Time!BS$106</f>
        <v>0</v>
      </c>
      <c r="BT47" s="186">
        <f xml:space="preserve"> Time!BT$106</f>
        <v>0</v>
      </c>
      <c r="BU47" s="186">
        <f xml:space="preserve"> Time!BU$106</f>
        <v>0</v>
      </c>
      <c r="BV47" s="186">
        <f xml:space="preserve"> Time!BV$106</f>
        <v>0</v>
      </c>
      <c r="BW47" s="186">
        <f xml:space="preserve"> Time!BW$106</f>
        <v>0</v>
      </c>
      <c r="BX47" s="186">
        <f xml:space="preserve"> Time!BX$106</f>
        <v>0</v>
      </c>
      <c r="BY47" s="186">
        <f xml:space="preserve"> Time!BY$106</f>
        <v>0</v>
      </c>
      <c r="BZ47" s="186">
        <f xml:space="preserve"> Time!BZ$106</f>
        <v>0</v>
      </c>
      <c r="CA47" s="186">
        <f xml:space="preserve"> Time!CA$106</f>
        <v>0</v>
      </c>
      <c r="CB47" s="186">
        <f xml:space="preserve"> Time!CB$106</f>
        <v>0</v>
      </c>
      <c r="CC47" s="186">
        <f xml:space="preserve"> Time!CC$106</f>
        <v>0</v>
      </c>
      <c r="CD47" s="186">
        <f xml:space="preserve"> Time!CD$106</f>
        <v>0</v>
      </c>
      <c r="CE47" s="186">
        <f xml:space="preserve"> Time!CE$106</f>
        <v>0</v>
      </c>
      <c r="CF47" s="186">
        <f xml:space="preserve"> Time!CF$106</f>
        <v>0</v>
      </c>
      <c r="CG47" s="186">
        <f xml:space="preserve"> Time!CG$106</f>
        <v>0</v>
      </c>
      <c r="CH47" s="186">
        <f xml:space="preserve"> Time!CH$106</f>
        <v>0</v>
      </c>
      <c r="CI47" s="186">
        <f xml:space="preserve"> Time!CI$106</f>
        <v>0</v>
      </c>
      <c r="CJ47" s="186">
        <f xml:space="preserve"> Time!CJ$106</f>
        <v>0</v>
      </c>
      <c r="CK47" s="186">
        <f xml:space="preserve"> Time!CK$106</f>
        <v>0</v>
      </c>
      <c r="CL47" s="186">
        <f xml:space="preserve"> Time!CL$106</f>
        <v>0</v>
      </c>
      <c r="CM47" s="186">
        <f xml:space="preserve"> Time!CM$106</f>
        <v>0</v>
      </c>
      <c r="CN47" s="186">
        <f xml:space="preserve"> Time!CN$106</f>
        <v>0</v>
      </c>
      <c r="CO47" s="186">
        <f xml:space="preserve"> Time!CO$106</f>
        <v>0</v>
      </c>
      <c r="CP47" s="186">
        <f xml:space="preserve"> Time!CP$106</f>
        <v>0</v>
      </c>
      <c r="CQ47" s="186">
        <f xml:space="preserve"> Time!CQ$106</f>
        <v>0</v>
      </c>
      <c r="CR47" s="186">
        <f xml:space="preserve"> Time!CR$106</f>
        <v>0</v>
      </c>
      <c r="CS47" s="186">
        <f xml:space="preserve"> Time!CS$106</f>
        <v>0</v>
      </c>
      <c r="CT47" s="186">
        <f xml:space="preserve"> Time!CT$106</f>
        <v>0</v>
      </c>
      <c r="CU47" s="186">
        <f xml:space="preserve"> Time!CU$106</f>
        <v>0</v>
      </c>
      <c r="CV47" s="186">
        <f xml:space="preserve"> Time!CV$106</f>
        <v>0</v>
      </c>
    </row>
    <row r="48" spans="1:100" s="280" customFormat="1" outlineLevel="2" x14ac:dyDescent="0.2">
      <c r="A48" s="278"/>
      <c r="B48" s="278"/>
      <c r="C48" s="410"/>
      <c r="D48" s="279"/>
      <c r="E48" s="82" t="s">
        <v>609</v>
      </c>
      <c r="F48" s="82"/>
      <c r="G48" s="82" t="s">
        <v>29</v>
      </c>
      <c r="H48" s="82"/>
      <c r="I48" s="455"/>
      <c r="J48" s="82">
        <f t="shared" ref="J48:AO48" si="204" xml:space="preserve"> J47 * YEARFRAC($F45, J46)</f>
        <v>0</v>
      </c>
      <c r="K48" s="82">
        <f t="shared" si="204"/>
        <v>0</v>
      </c>
      <c r="L48" s="82">
        <f t="shared" si="204"/>
        <v>0</v>
      </c>
      <c r="M48" s="82">
        <f t="shared" si="204"/>
        <v>0</v>
      </c>
      <c r="N48" s="82">
        <f t="shared" si="204"/>
        <v>0</v>
      </c>
      <c r="O48" s="82">
        <f t="shared" si="204"/>
        <v>4</v>
      </c>
      <c r="P48" s="82">
        <f t="shared" si="204"/>
        <v>4</v>
      </c>
      <c r="Q48" s="82">
        <f t="shared" si="204"/>
        <v>5</v>
      </c>
      <c r="R48" s="82">
        <f t="shared" si="204"/>
        <v>5</v>
      </c>
      <c r="S48" s="82">
        <f t="shared" si="204"/>
        <v>6</v>
      </c>
      <c r="T48" s="82">
        <f t="shared" si="204"/>
        <v>6</v>
      </c>
      <c r="U48" s="82">
        <f t="shared" si="204"/>
        <v>7</v>
      </c>
      <c r="V48" s="82">
        <f t="shared" si="204"/>
        <v>7</v>
      </c>
      <c r="W48" s="82">
        <f t="shared" si="204"/>
        <v>8</v>
      </c>
      <c r="X48" s="82">
        <f t="shared" si="204"/>
        <v>8</v>
      </c>
      <c r="Y48" s="82">
        <f t="shared" si="204"/>
        <v>9</v>
      </c>
      <c r="Z48" s="82">
        <f t="shared" si="204"/>
        <v>9</v>
      </c>
      <c r="AA48" s="82">
        <f t="shared" si="204"/>
        <v>10</v>
      </c>
      <c r="AB48" s="82">
        <f t="shared" si="204"/>
        <v>10</v>
      </c>
      <c r="AC48" s="82">
        <f t="shared" si="204"/>
        <v>11</v>
      </c>
      <c r="AD48" s="82">
        <f t="shared" si="204"/>
        <v>11</v>
      </c>
      <c r="AE48" s="82">
        <f t="shared" si="204"/>
        <v>12</v>
      </c>
      <c r="AF48" s="82">
        <f t="shared" si="204"/>
        <v>12</v>
      </c>
      <c r="AG48" s="82">
        <f t="shared" si="204"/>
        <v>13</v>
      </c>
      <c r="AH48" s="82">
        <f t="shared" si="204"/>
        <v>13</v>
      </c>
      <c r="AI48" s="82">
        <f t="shared" si="204"/>
        <v>14</v>
      </c>
      <c r="AJ48" s="82">
        <f t="shared" si="204"/>
        <v>14</v>
      </c>
      <c r="AK48" s="82">
        <f t="shared" si="204"/>
        <v>15</v>
      </c>
      <c r="AL48" s="82">
        <f t="shared" si="204"/>
        <v>15</v>
      </c>
      <c r="AM48" s="82">
        <f t="shared" si="204"/>
        <v>16</v>
      </c>
      <c r="AN48" s="82">
        <f t="shared" si="204"/>
        <v>16</v>
      </c>
      <c r="AO48" s="82">
        <f t="shared" si="204"/>
        <v>17</v>
      </c>
      <c r="AP48" s="82">
        <f t="shared" ref="AP48:BU48" si="205" xml:space="preserve"> AP47 * YEARFRAC($F45, AP46)</f>
        <v>17</v>
      </c>
      <c r="AQ48" s="82">
        <f t="shared" si="205"/>
        <v>18</v>
      </c>
      <c r="AR48" s="82">
        <f t="shared" si="205"/>
        <v>18</v>
      </c>
      <c r="AS48" s="82">
        <f t="shared" si="205"/>
        <v>19</v>
      </c>
      <c r="AT48" s="82">
        <f t="shared" si="205"/>
        <v>19</v>
      </c>
      <c r="AU48" s="82">
        <f t="shared" si="205"/>
        <v>20</v>
      </c>
      <c r="AV48" s="82">
        <f t="shared" si="205"/>
        <v>20</v>
      </c>
      <c r="AW48" s="82">
        <f t="shared" si="205"/>
        <v>21</v>
      </c>
      <c r="AX48" s="82">
        <f t="shared" si="205"/>
        <v>21</v>
      </c>
      <c r="AY48" s="82">
        <f t="shared" si="205"/>
        <v>22</v>
      </c>
      <c r="AZ48" s="82">
        <f t="shared" si="205"/>
        <v>22</v>
      </c>
      <c r="BA48" s="82">
        <f t="shared" si="205"/>
        <v>23</v>
      </c>
      <c r="BB48" s="82">
        <f t="shared" si="205"/>
        <v>23</v>
      </c>
      <c r="BC48" s="82">
        <f t="shared" si="205"/>
        <v>0</v>
      </c>
      <c r="BD48" s="82">
        <f t="shared" si="205"/>
        <v>0</v>
      </c>
      <c r="BE48" s="82">
        <f t="shared" si="205"/>
        <v>0</v>
      </c>
      <c r="BF48" s="82">
        <f t="shared" si="205"/>
        <v>0</v>
      </c>
      <c r="BG48" s="82">
        <f t="shared" si="205"/>
        <v>0</v>
      </c>
      <c r="BH48" s="82">
        <f t="shared" si="205"/>
        <v>0</v>
      </c>
      <c r="BI48" s="82">
        <f t="shared" si="205"/>
        <v>0</v>
      </c>
      <c r="BJ48" s="82">
        <f t="shared" si="205"/>
        <v>0</v>
      </c>
      <c r="BK48" s="82">
        <f t="shared" si="205"/>
        <v>0</v>
      </c>
      <c r="BL48" s="82">
        <f t="shared" si="205"/>
        <v>0</v>
      </c>
      <c r="BM48" s="82">
        <f t="shared" si="205"/>
        <v>0</v>
      </c>
      <c r="BN48" s="82">
        <f t="shared" si="205"/>
        <v>0</v>
      </c>
      <c r="BO48" s="82">
        <f t="shared" si="205"/>
        <v>0</v>
      </c>
      <c r="BP48" s="82">
        <f t="shared" si="205"/>
        <v>0</v>
      </c>
      <c r="BQ48" s="82">
        <f t="shared" si="205"/>
        <v>0</v>
      </c>
      <c r="BR48" s="82">
        <f t="shared" si="205"/>
        <v>0</v>
      </c>
      <c r="BS48" s="82">
        <f t="shared" si="205"/>
        <v>0</v>
      </c>
      <c r="BT48" s="82">
        <f t="shared" si="205"/>
        <v>0</v>
      </c>
      <c r="BU48" s="82">
        <f t="shared" si="205"/>
        <v>0</v>
      </c>
      <c r="BV48" s="82">
        <f t="shared" ref="BV48:CV48" si="206" xml:space="preserve"> BV47 * YEARFRAC($F45, BV46)</f>
        <v>0</v>
      </c>
      <c r="BW48" s="82">
        <f t="shared" si="206"/>
        <v>0</v>
      </c>
      <c r="BX48" s="82">
        <f t="shared" si="206"/>
        <v>0</v>
      </c>
      <c r="BY48" s="82">
        <f t="shared" si="206"/>
        <v>0</v>
      </c>
      <c r="BZ48" s="82">
        <f t="shared" si="206"/>
        <v>0</v>
      </c>
      <c r="CA48" s="82">
        <f t="shared" si="206"/>
        <v>0</v>
      </c>
      <c r="CB48" s="82">
        <f t="shared" si="206"/>
        <v>0</v>
      </c>
      <c r="CC48" s="82">
        <f t="shared" si="206"/>
        <v>0</v>
      </c>
      <c r="CD48" s="82">
        <f t="shared" si="206"/>
        <v>0</v>
      </c>
      <c r="CE48" s="82">
        <f t="shared" si="206"/>
        <v>0</v>
      </c>
      <c r="CF48" s="82">
        <f t="shared" si="206"/>
        <v>0</v>
      </c>
      <c r="CG48" s="82">
        <f t="shared" si="206"/>
        <v>0</v>
      </c>
      <c r="CH48" s="82">
        <f t="shared" si="206"/>
        <v>0</v>
      </c>
      <c r="CI48" s="82">
        <f t="shared" si="206"/>
        <v>0</v>
      </c>
      <c r="CJ48" s="82">
        <f t="shared" si="206"/>
        <v>0</v>
      </c>
      <c r="CK48" s="82">
        <f t="shared" si="206"/>
        <v>0</v>
      </c>
      <c r="CL48" s="82">
        <f t="shared" si="206"/>
        <v>0</v>
      </c>
      <c r="CM48" s="82">
        <f t="shared" si="206"/>
        <v>0</v>
      </c>
      <c r="CN48" s="82">
        <f t="shared" si="206"/>
        <v>0</v>
      </c>
      <c r="CO48" s="82">
        <f t="shared" si="206"/>
        <v>0</v>
      </c>
      <c r="CP48" s="82">
        <f t="shared" si="206"/>
        <v>0</v>
      </c>
      <c r="CQ48" s="82">
        <f t="shared" si="206"/>
        <v>0</v>
      </c>
      <c r="CR48" s="82">
        <f t="shared" si="206"/>
        <v>0</v>
      </c>
      <c r="CS48" s="82">
        <f t="shared" si="206"/>
        <v>0</v>
      </c>
      <c r="CT48" s="82">
        <f t="shared" si="206"/>
        <v>0</v>
      </c>
      <c r="CU48" s="82">
        <f t="shared" si="206"/>
        <v>0</v>
      </c>
      <c r="CV48" s="82">
        <f t="shared" si="206"/>
        <v>0</v>
      </c>
    </row>
    <row r="49" spans="1:100" outlineLevel="2" x14ac:dyDescent="0.2">
      <c r="P49" s="82"/>
    </row>
    <row r="50" spans="1:100" outlineLevel="2" x14ac:dyDescent="0.2">
      <c r="E50" s="316" t="str">
        <f xml:space="preserve"> InpC!E$128</f>
        <v>US PPI inflation rate</v>
      </c>
      <c r="F50" s="316">
        <f xml:space="preserve"> InpC!F$128</f>
        <v>0.02</v>
      </c>
      <c r="G50" s="316" t="str">
        <f xml:space="preserve"> InpC!G$128</f>
        <v>% p.a.</v>
      </c>
      <c r="H50" s="38"/>
      <c r="P50" s="82"/>
    </row>
    <row r="51" spans="1:100" s="283" customFormat="1" outlineLevel="2" x14ac:dyDescent="0.2">
      <c r="A51" s="556"/>
      <c r="B51" s="556"/>
      <c r="C51" s="557"/>
      <c r="D51" s="115"/>
      <c r="E51" s="316" t="str">
        <f xml:space="preserve"> Sensitivity!E$18</f>
        <v>Inflation - sensitivity</v>
      </c>
      <c r="F51" s="316">
        <f xml:space="preserve"> Sensitivity!F$18</f>
        <v>0</v>
      </c>
      <c r="G51" s="316" t="str">
        <f xml:space="preserve"> Sensitivity!G$18</f>
        <v>%</v>
      </c>
      <c r="H51" s="115"/>
      <c r="I51" s="112"/>
      <c r="J51" s="282"/>
      <c r="K51" s="282"/>
      <c r="L51" s="282"/>
      <c r="M51" s="282"/>
      <c r="N51" s="282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2"/>
      <c r="BI51" s="282"/>
      <c r="BJ51" s="282"/>
      <c r="BK51" s="282"/>
      <c r="BL51" s="282"/>
      <c r="BM51" s="282"/>
      <c r="BN51" s="282"/>
      <c r="BO51" s="282"/>
      <c r="BP51" s="282"/>
      <c r="BQ51" s="282"/>
      <c r="BR51" s="282"/>
      <c r="BS51" s="282"/>
      <c r="BT51" s="282"/>
      <c r="BU51" s="282"/>
      <c r="BV51" s="282"/>
      <c r="BW51" s="282"/>
      <c r="BX51" s="282"/>
      <c r="BY51" s="282"/>
      <c r="BZ51" s="282"/>
      <c r="CA51" s="282"/>
      <c r="CB51" s="282"/>
      <c r="CC51" s="282"/>
      <c r="CD51" s="282"/>
      <c r="CE51" s="282"/>
      <c r="CF51" s="282"/>
      <c r="CG51" s="282"/>
      <c r="CH51" s="282"/>
      <c r="CI51" s="282"/>
      <c r="CJ51" s="282"/>
      <c r="CK51" s="282"/>
      <c r="CL51" s="282"/>
      <c r="CM51" s="282"/>
      <c r="CN51" s="282"/>
      <c r="CO51" s="282"/>
      <c r="CP51" s="282"/>
      <c r="CQ51" s="282"/>
      <c r="CR51" s="282"/>
      <c r="CS51" s="282"/>
      <c r="CT51" s="282"/>
      <c r="CU51" s="282"/>
      <c r="CV51" s="282"/>
    </row>
    <row r="52" spans="1:100" outlineLevel="2" x14ac:dyDescent="0.2">
      <c r="E52" s="186" t="str">
        <f xml:space="preserve"> Time!E$226</f>
        <v>Escalation period flag</v>
      </c>
      <c r="F52" s="186">
        <f xml:space="preserve"> Time!F$226</f>
        <v>0</v>
      </c>
      <c r="G52" s="186" t="str">
        <f xml:space="preserve"> Time!G$226</f>
        <v>flag</v>
      </c>
      <c r="H52" s="186">
        <f xml:space="preserve"> Time!H$226</f>
        <v>45</v>
      </c>
      <c r="I52" s="186">
        <f xml:space="preserve"> Time!I$226</f>
        <v>0</v>
      </c>
      <c r="J52" s="186">
        <f xml:space="preserve"> Time!J$226</f>
        <v>0</v>
      </c>
      <c r="K52" s="186">
        <f xml:space="preserve"> Time!K$226</f>
        <v>1</v>
      </c>
      <c r="L52" s="186">
        <f xml:space="preserve"> Time!L$226</f>
        <v>0</v>
      </c>
      <c r="M52" s="186">
        <f xml:space="preserve"> Time!M$226</f>
        <v>1</v>
      </c>
      <c r="N52" s="186">
        <f xml:space="preserve"> Time!N$226</f>
        <v>0</v>
      </c>
      <c r="O52" s="186">
        <f xml:space="preserve"> Time!O$226</f>
        <v>1</v>
      </c>
      <c r="P52" s="186">
        <f xml:space="preserve"> Time!P$226</f>
        <v>0</v>
      </c>
      <c r="Q52" s="186">
        <f xml:space="preserve"> Time!Q$226</f>
        <v>1</v>
      </c>
      <c r="R52" s="186">
        <f xml:space="preserve"> Time!R$226</f>
        <v>0</v>
      </c>
      <c r="S52" s="186">
        <f xml:space="preserve"> Time!S$226</f>
        <v>1</v>
      </c>
      <c r="T52" s="186">
        <f xml:space="preserve"> Time!T$226</f>
        <v>0</v>
      </c>
      <c r="U52" s="186">
        <f xml:space="preserve"> Time!U$226</f>
        <v>1</v>
      </c>
      <c r="V52" s="186">
        <f xml:space="preserve"> Time!V$226</f>
        <v>0</v>
      </c>
      <c r="W52" s="186">
        <f xml:space="preserve"> Time!W$226</f>
        <v>1</v>
      </c>
      <c r="X52" s="186">
        <f xml:space="preserve"> Time!X$226</f>
        <v>0</v>
      </c>
      <c r="Y52" s="186">
        <f xml:space="preserve"> Time!Y$226</f>
        <v>1</v>
      </c>
      <c r="Z52" s="186">
        <f xml:space="preserve"> Time!Z$226</f>
        <v>0</v>
      </c>
      <c r="AA52" s="186">
        <f xml:space="preserve"> Time!AA$226</f>
        <v>1</v>
      </c>
      <c r="AB52" s="186">
        <f xml:space="preserve"> Time!AB$226</f>
        <v>0</v>
      </c>
      <c r="AC52" s="186">
        <f xml:space="preserve"> Time!AC$226</f>
        <v>1</v>
      </c>
      <c r="AD52" s="186">
        <f xml:space="preserve"> Time!AD$226</f>
        <v>0</v>
      </c>
      <c r="AE52" s="186">
        <f xml:space="preserve"> Time!AE$226</f>
        <v>1</v>
      </c>
      <c r="AF52" s="186">
        <f xml:space="preserve"> Time!AF$226</f>
        <v>0</v>
      </c>
      <c r="AG52" s="186">
        <f xml:space="preserve"> Time!AG$226</f>
        <v>1</v>
      </c>
      <c r="AH52" s="186">
        <f xml:space="preserve"> Time!AH$226</f>
        <v>0</v>
      </c>
      <c r="AI52" s="186">
        <f xml:space="preserve"> Time!AI$226</f>
        <v>1</v>
      </c>
      <c r="AJ52" s="186">
        <f xml:space="preserve"> Time!AJ$226</f>
        <v>0</v>
      </c>
      <c r="AK52" s="186">
        <f xml:space="preserve"> Time!AK$226</f>
        <v>1</v>
      </c>
      <c r="AL52" s="186">
        <f xml:space="preserve"> Time!AL$226</f>
        <v>0</v>
      </c>
      <c r="AM52" s="186">
        <f xml:space="preserve"> Time!AM$226</f>
        <v>1</v>
      </c>
      <c r="AN52" s="186">
        <f xml:space="preserve"> Time!AN$226</f>
        <v>0</v>
      </c>
      <c r="AO52" s="186">
        <f xml:space="preserve"> Time!AO$226</f>
        <v>1</v>
      </c>
      <c r="AP52" s="186">
        <f xml:space="preserve"> Time!AP$226</f>
        <v>0</v>
      </c>
      <c r="AQ52" s="186">
        <f xml:space="preserve"> Time!AQ$226</f>
        <v>1</v>
      </c>
      <c r="AR52" s="186">
        <f xml:space="preserve"> Time!AR$226</f>
        <v>0</v>
      </c>
      <c r="AS52" s="186">
        <f xml:space="preserve"> Time!AS$226</f>
        <v>1</v>
      </c>
      <c r="AT52" s="186">
        <f xml:space="preserve"> Time!AT$226</f>
        <v>0</v>
      </c>
      <c r="AU52" s="186">
        <f xml:space="preserve"> Time!AU$226</f>
        <v>1</v>
      </c>
      <c r="AV52" s="186">
        <f xml:space="preserve"> Time!AV$226</f>
        <v>0</v>
      </c>
      <c r="AW52" s="186">
        <f xml:space="preserve"> Time!AW$226</f>
        <v>1</v>
      </c>
      <c r="AX52" s="186">
        <f xml:space="preserve"> Time!AX$226</f>
        <v>0</v>
      </c>
      <c r="AY52" s="186">
        <f xml:space="preserve"> Time!AY$226</f>
        <v>1</v>
      </c>
      <c r="AZ52" s="186">
        <f xml:space="preserve"> Time!AZ$226</f>
        <v>0</v>
      </c>
      <c r="BA52" s="186">
        <f xml:space="preserve"> Time!BA$226</f>
        <v>1</v>
      </c>
      <c r="BB52" s="186">
        <f xml:space="preserve"> Time!BB$226</f>
        <v>0</v>
      </c>
      <c r="BC52" s="186">
        <f xml:space="preserve"> Time!BC$226</f>
        <v>1</v>
      </c>
      <c r="BD52" s="186">
        <f xml:space="preserve"> Time!BD$226</f>
        <v>0</v>
      </c>
      <c r="BE52" s="186">
        <f xml:space="preserve"> Time!BE$226</f>
        <v>1</v>
      </c>
      <c r="BF52" s="186">
        <f xml:space="preserve"> Time!BF$226</f>
        <v>0</v>
      </c>
      <c r="BG52" s="186">
        <f xml:space="preserve"> Time!BG$226</f>
        <v>1</v>
      </c>
      <c r="BH52" s="186">
        <f xml:space="preserve"> Time!BH$226</f>
        <v>0</v>
      </c>
      <c r="BI52" s="186">
        <f xml:space="preserve"> Time!BI$226</f>
        <v>1</v>
      </c>
      <c r="BJ52" s="186">
        <f xml:space="preserve"> Time!BJ$226</f>
        <v>0</v>
      </c>
      <c r="BK52" s="186">
        <f xml:space="preserve"> Time!BK$226</f>
        <v>1</v>
      </c>
      <c r="BL52" s="186">
        <f xml:space="preserve"> Time!BL$226</f>
        <v>0</v>
      </c>
      <c r="BM52" s="186">
        <f xml:space="preserve"> Time!BM$226</f>
        <v>1</v>
      </c>
      <c r="BN52" s="186">
        <f xml:space="preserve"> Time!BN$226</f>
        <v>0</v>
      </c>
      <c r="BO52" s="186">
        <f xml:space="preserve"> Time!BO$226</f>
        <v>1</v>
      </c>
      <c r="BP52" s="186">
        <f xml:space="preserve"> Time!BP$226</f>
        <v>0</v>
      </c>
      <c r="BQ52" s="186">
        <f xml:space="preserve"> Time!BQ$226</f>
        <v>1</v>
      </c>
      <c r="BR52" s="186">
        <f xml:space="preserve"> Time!BR$226</f>
        <v>0</v>
      </c>
      <c r="BS52" s="186">
        <f xml:space="preserve"> Time!BS$226</f>
        <v>1</v>
      </c>
      <c r="BT52" s="186">
        <f xml:space="preserve"> Time!BT$226</f>
        <v>0</v>
      </c>
      <c r="BU52" s="186">
        <f xml:space="preserve"> Time!BU$226</f>
        <v>1</v>
      </c>
      <c r="BV52" s="186">
        <f xml:space="preserve"> Time!BV$226</f>
        <v>0</v>
      </c>
      <c r="BW52" s="186">
        <f xml:space="preserve"> Time!BW$226</f>
        <v>1</v>
      </c>
      <c r="BX52" s="186">
        <f xml:space="preserve"> Time!BX$226</f>
        <v>0</v>
      </c>
      <c r="BY52" s="186">
        <f xml:space="preserve"> Time!BY$226</f>
        <v>1</v>
      </c>
      <c r="BZ52" s="186">
        <f xml:space="preserve"> Time!BZ$226</f>
        <v>0</v>
      </c>
      <c r="CA52" s="186">
        <f xml:space="preserve"> Time!CA$226</f>
        <v>1</v>
      </c>
      <c r="CB52" s="186">
        <f xml:space="preserve"> Time!CB$226</f>
        <v>0</v>
      </c>
      <c r="CC52" s="186">
        <f xml:space="preserve"> Time!CC$226</f>
        <v>1</v>
      </c>
      <c r="CD52" s="186">
        <f xml:space="preserve"> Time!CD$226</f>
        <v>0</v>
      </c>
      <c r="CE52" s="186">
        <f xml:space="preserve"> Time!CE$226</f>
        <v>1</v>
      </c>
      <c r="CF52" s="186">
        <f xml:space="preserve"> Time!CF$226</f>
        <v>0</v>
      </c>
      <c r="CG52" s="186">
        <f xml:space="preserve"> Time!CG$226</f>
        <v>1</v>
      </c>
      <c r="CH52" s="186">
        <f xml:space="preserve"> Time!CH$226</f>
        <v>0</v>
      </c>
      <c r="CI52" s="186">
        <f xml:space="preserve"> Time!CI$226</f>
        <v>1</v>
      </c>
      <c r="CJ52" s="186">
        <f xml:space="preserve"> Time!CJ$226</f>
        <v>0</v>
      </c>
      <c r="CK52" s="186">
        <f xml:space="preserve"> Time!CK$226</f>
        <v>1</v>
      </c>
      <c r="CL52" s="186">
        <f xml:space="preserve"> Time!CL$226</f>
        <v>0</v>
      </c>
      <c r="CM52" s="186">
        <f xml:space="preserve"> Time!CM$226</f>
        <v>1</v>
      </c>
      <c r="CN52" s="186">
        <f xml:space="preserve"> Time!CN$226</f>
        <v>0</v>
      </c>
      <c r="CO52" s="186">
        <f xml:space="preserve"> Time!CO$226</f>
        <v>1</v>
      </c>
      <c r="CP52" s="186">
        <f xml:space="preserve"> Time!CP$226</f>
        <v>0</v>
      </c>
      <c r="CQ52" s="186">
        <f xml:space="preserve"> Time!CQ$226</f>
        <v>1</v>
      </c>
      <c r="CR52" s="186">
        <f xml:space="preserve"> Time!CR$226</f>
        <v>0</v>
      </c>
      <c r="CS52" s="186">
        <f xml:space="preserve"> Time!CS$226</f>
        <v>1</v>
      </c>
      <c r="CT52" s="186">
        <f xml:space="preserve"> Time!CT$226</f>
        <v>0</v>
      </c>
      <c r="CU52" s="186">
        <f xml:space="preserve"> Time!CU$226</f>
        <v>1</v>
      </c>
      <c r="CV52" s="186">
        <f xml:space="preserve"> Time!CV$226</f>
        <v>0</v>
      </c>
    </row>
    <row r="53" spans="1:100" outlineLevel="2" x14ac:dyDescent="0.2">
      <c r="A53" s="278"/>
      <c r="B53" s="278"/>
      <c r="C53" s="410"/>
      <c r="D53" s="279"/>
      <c r="E53" s="82" t="str">
        <f t="shared" ref="E53:AJ53" si="207" xml:space="preserve"> E$48</f>
        <v>Years elapsed since O&amp;M cost escalation base date</v>
      </c>
      <c r="F53" s="82">
        <f t="shared" si="207"/>
        <v>0</v>
      </c>
      <c r="G53" s="82" t="str">
        <f t="shared" si="207"/>
        <v>years</v>
      </c>
      <c r="H53" s="82">
        <f t="shared" si="207"/>
        <v>0</v>
      </c>
      <c r="I53" s="82">
        <f t="shared" si="207"/>
        <v>0</v>
      </c>
      <c r="J53" s="82">
        <f t="shared" si="207"/>
        <v>0</v>
      </c>
      <c r="K53" s="82">
        <f t="shared" si="207"/>
        <v>0</v>
      </c>
      <c r="L53" s="82">
        <f t="shared" si="207"/>
        <v>0</v>
      </c>
      <c r="M53" s="82">
        <f t="shared" si="207"/>
        <v>0</v>
      </c>
      <c r="N53" s="82">
        <f t="shared" si="207"/>
        <v>0</v>
      </c>
      <c r="O53" s="82">
        <f t="shared" si="207"/>
        <v>4</v>
      </c>
      <c r="P53" s="82">
        <f t="shared" si="207"/>
        <v>4</v>
      </c>
      <c r="Q53" s="82">
        <f t="shared" si="207"/>
        <v>5</v>
      </c>
      <c r="R53" s="82">
        <f t="shared" si="207"/>
        <v>5</v>
      </c>
      <c r="S53" s="82">
        <f t="shared" si="207"/>
        <v>6</v>
      </c>
      <c r="T53" s="82">
        <f t="shared" si="207"/>
        <v>6</v>
      </c>
      <c r="U53" s="82">
        <f t="shared" si="207"/>
        <v>7</v>
      </c>
      <c r="V53" s="82">
        <f t="shared" si="207"/>
        <v>7</v>
      </c>
      <c r="W53" s="82">
        <f t="shared" si="207"/>
        <v>8</v>
      </c>
      <c r="X53" s="82">
        <f t="shared" si="207"/>
        <v>8</v>
      </c>
      <c r="Y53" s="82">
        <f t="shared" si="207"/>
        <v>9</v>
      </c>
      <c r="Z53" s="82">
        <f t="shared" si="207"/>
        <v>9</v>
      </c>
      <c r="AA53" s="82">
        <f t="shared" si="207"/>
        <v>10</v>
      </c>
      <c r="AB53" s="82">
        <f t="shared" si="207"/>
        <v>10</v>
      </c>
      <c r="AC53" s="82">
        <f t="shared" si="207"/>
        <v>11</v>
      </c>
      <c r="AD53" s="82">
        <f t="shared" si="207"/>
        <v>11</v>
      </c>
      <c r="AE53" s="82">
        <f t="shared" si="207"/>
        <v>12</v>
      </c>
      <c r="AF53" s="82">
        <f t="shared" si="207"/>
        <v>12</v>
      </c>
      <c r="AG53" s="82">
        <f t="shared" si="207"/>
        <v>13</v>
      </c>
      <c r="AH53" s="82">
        <f t="shared" si="207"/>
        <v>13</v>
      </c>
      <c r="AI53" s="82">
        <f t="shared" si="207"/>
        <v>14</v>
      </c>
      <c r="AJ53" s="82">
        <f t="shared" si="207"/>
        <v>14</v>
      </c>
      <c r="AK53" s="82">
        <f t="shared" ref="AK53:BP53" si="208" xml:space="preserve"> AK$48</f>
        <v>15</v>
      </c>
      <c r="AL53" s="82">
        <f t="shared" si="208"/>
        <v>15</v>
      </c>
      <c r="AM53" s="82">
        <f t="shared" si="208"/>
        <v>16</v>
      </c>
      <c r="AN53" s="82">
        <f t="shared" si="208"/>
        <v>16</v>
      </c>
      <c r="AO53" s="82">
        <f t="shared" si="208"/>
        <v>17</v>
      </c>
      <c r="AP53" s="82">
        <f t="shared" si="208"/>
        <v>17</v>
      </c>
      <c r="AQ53" s="82">
        <f t="shared" si="208"/>
        <v>18</v>
      </c>
      <c r="AR53" s="82">
        <f t="shared" si="208"/>
        <v>18</v>
      </c>
      <c r="AS53" s="82">
        <f t="shared" si="208"/>
        <v>19</v>
      </c>
      <c r="AT53" s="82">
        <f t="shared" si="208"/>
        <v>19</v>
      </c>
      <c r="AU53" s="82">
        <f t="shared" si="208"/>
        <v>20</v>
      </c>
      <c r="AV53" s="82">
        <f t="shared" si="208"/>
        <v>20</v>
      </c>
      <c r="AW53" s="82">
        <f t="shared" si="208"/>
        <v>21</v>
      </c>
      <c r="AX53" s="82">
        <f t="shared" si="208"/>
        <v>21</v>
      </c>
      <c r="AY53" s="82">
        <f t="shared" si="208"/>
        <v>22</v>
      </c>
      <c r="AZ53" s="82">
        <f t="shared" si="208"/>
        <v>22</v>
      </c>
      <c r="BA53" s="82">
        <f t="shared" si="208"/>
        <v>23</v>
      </c>
      <c r="BB53" s="82">
        <f t="shared" si="208"/>
        <v>23</v>
      </c>
      <c r="BC53" s="82">
        <f t="shared" si="208"/>
        <v>0</v>
      </c>
      <c r="BD53" s="82">
        <f t="shared" si="208"/>
        <v>0</v>
      </c>
      <c r="BE53" s="82">
        <f t="shared" si="208"/>
        <v>0</v>
      </c>
      <c r="BF53" s="82">
        <f t="shared" si="208"/>
        <v>0</v>
      </c>
      <c r="BG53" s="82">
        <f t="shared" si="208"/>
        <v>0</v>
      </c>
      <c r="BH53" s="82">
        <f t="shared" si="208"/>
        <v>0</v>
      </c>
      <c r="BI53" s="82">
        <f t="shared" si="208"/>
        <v>0</v>
      </c>
      <c r="BJ53" s="82">
        <f t="shared" si="208"/>
        <v>0</v>
      </c>
      <c r="BK53" s="82">
        <f t="shared" si="208"/>
        <v>0</v>
      </c>
      <c r="BL53" s="82">
        <f t="shared" si="208"/>
        <v>0</v>
      </c>
      <c r="BM53" s="82">
        <f t="shared" si="208"/>
        <v>0</v>
      </c>
      <c r="BN53" s="82">
        <f t="shared" si="208"/>
        <v>0</v>
      </c>
      <c r="BO53" s="82">
        <f t="shared" si="208"/>
        <v>0</v>
      </c>
      <c r="BP53" s="82">
        <f t="shared" si="208"/>
        <v>0</v>
      </c>
      <c r="BQ53" s="82">
        <f t="shared" ref="BQ53:CV53" si="209" xml:space="preserve"> BQ$48</f>
        <v>0</v>
      </c>
      <c r="BR53" s="82">
        <f t="shared" si="209"/>
        <v>0</v>
      </c>
      <c r="BS53" s="82">
        <f t="shared" si="209"/>
        <v>0</v>
      </c>
      <c r="BT53" s="82">
        <f t="shared" si="209"/>
        <v>0</v>
      </c>
      <c r="BU53" s="82">
        <f t="shared" si="209"/>
        <v>0</v>
      </c>
      <c r="BV53" s="82">
        <f t="shared" si="209"/>
        <v>0</v>
      </c>
      <c r="BW53" s="82">
        <f t="shared" si="209"/>
        <v>0</v>
      </c>
      <c r="BX53" s="82">
        <f t="shared" si="209"/>
        <v>0</v>
      </c>
      <c r="BY53" s="82">
        <f t="shared" si="209"/>
        <v>0</v>
      </c>
      <c r="BZ53" s="82">
        <f t="shared" si="209"/>
        <v>0</v>
      </c>
      <c r="CA53" s="82">
        <f t="shared" si="209"/>
        <v>0</v>
      </c>
      <c r="CB53" s="82">
        <f t="shared" si="209"/>
        <v>0</v>
      </c>
      <c r="CC53" s="82">
        <f t="shared" si="209"/>
        <v>0</v>
      </c>
      <c r="CD53" s="82">
        <f t="shared" si="209"/>
        <v>0</v>
      </c>
      <c r="CE53" s="82">
        <f t="shared" si="209"/>
        <v>0</v>
      </c>
      <c r="CF53" s="82">
        <f t="shared" si="209"/>
        <v>0</v>
      </c>
      <c r="CG53" s="82">
        <f t="shared" si="209"/>
        <v>0</v>
      </c>
      <c r="CH53" s="82">
        <f t="shared" si="209"/>
        <v>0</v>
      </c>
      <c r="CI53" s="82">
        <f t="shared" si="209"/>
        <v>0</v>
      </c>
      <c r="CJ53" s="82">
        <f t="shared" si="209"/>
        <v>0</v>
      </c>
      <c r="CK53" s="82">
        <f t="shared" si="209"/>
        <v>0</v>
      </c>
      <c r="CL53" s="82">
        <f t="shared" si="209"/>
        <v>0</v>
      </c>
      <c r="CM53" s="82">
        <f t="shared" si="209"/>
        <v>0</v>
      </c>
      <c r="CN53" s="82">
        <f t="shared" si="209"/>
        <v>0</v>
      </c>
      <c r="CO53" s="82">
        <f t="shared" si="209"/>
        <v>0</v>
      </c>
      <c r="CP53" s="82">
        <f t="shared" si="209"/>
        <v>0</v>
      </c>
      <c r="CQ53" s="82">
        <f t="shared" si="209"/>
        <v>0</v>
      </c>
      <c r="CR53" s="82">
        <f t="shared" si="209"/>
        <v>0</v>
      </c>
      <c r="CS53" s="82">
        <f t="shared" si="209"/>
        <v>0</v>
      </c>
      <c r="CT53" s="82">
        <f t="shared" si="209"/>
        <v>0</v>
      </c>
      <c r="CU53" s="82">
        <f t="shared" si="209"/>
        <v>0</v>
      </c>
      <c r="CV53" s="82">
        <f t="shared" si="209"/>
        <v>0</v>
      </c>
    </row>
    <row r="54" spans="1:100" s="125" customFormat="1" outlineLevel="2" x14ac:dyDescent="0.2">
      <c r="A54" s="857"/>
      <c r="B54" s="857"/>
      <c r="C54" s="858"/>
      <c r="D54" s="578"/>
      <c r="E54" s="125" t="str">
        <f xml:space="preserve"> Time!E$14</f>
        <v>First model column flag</v>
      </c>
      <c r="F54" s="125">
        <f xml:space="preserve"> Time!F$14</f>
        <v>0</v>
      </c>
      <c r="G54" s="125" t="str">
        <f xml:space="preserve"> Time!G$14</f>
        <v>flag</v>
      </c>
      <c r="H54" s="125">
        <f xml:space="preserve"> Time!H$14</f>
        <v>1</v>
      </c>
      <c r="I54" s="125">
        <f xml:space="preserve"> Time!I$14</f>
        <v>0</v>
      </c>
      <c r="J54" s="125">
        <f xml:space="preserve"> Time!J$14</f>
        <v>1</v>
      </c>
      <c r="K54" s="125">
        <f xml:space="preserve"> Time!K$14</f>
        <v>0</v>
      </c>
      <c r="L54" s="125">
        <f xml:space="preserve"> Time!L$14</f>
        <v>0</v>
      </c>
      <c r="M54" s="125">
        <f xml:space="preserve"> Time!M$14</f>
        <v>0</v>
      </c>
      <c r="N54" s="125">
        <f xml:space="preserve"> Time!N$14</f>
        <v>0</v>
      </c>
      <c r="O54" s="125">
        <f xml:space="preserve"> Time!O$14</f>
        <v>0</v>
      </c>
      <c r="P54" s="125">
        <f xml:space="preserve"> Time!P$14</f>
        <v>0</v>
      </c>
      <c r="Q54" s="125">
        <f xml:space="preserve"> Time!Q$14</f>
        <v>0</v>
      </c>
      <c r="R54" s="125">
        <f xml:space="preserve"> Time!R$14</f>
        <v>0</v>
      </c>
      <c r="S54" s="125">
        <f xml:space="preserve"> Time!S$14</f>
        <v>0</v>
      </c>
      <c r="T54" s="125">
        <f xml:space="preserve"> Time!T$14</f>
        <v>0</v>
      </c>
      <c r="U54" s="125">
        <f xml:space="preserve"> Time!U$14</f>
        <v>0</v>
      </c>
      <c r="V54" s="125">
        <f xml:space="preserve"> Time!V$14</f>
        <v>0</v>
      </c>
      <c r="W54" s="125">
        <f xml:space="preserve"> Time!W$14</f>
        <v>0</v>
      </c>
      <c r="X54" s="125">
        <f xml:space="preserve"> Time!X$14</f>
        <v>0</v>
      </c>
      <c r="Y54" s="125">
        <f xml:space="preserve"> Time!Y$14</f>
        <v>0</v>
      </c>
      <c r="Z54" s="125">
        <f xml:space="preserve"> Time!Z$14</f>
        <v>0</v>
      </c>
      <c r="AA54" s="125">
        <f xml:space="preserve"> Time!AA$14</f>
        <v>0</v>
      </c>
      <c r="AB54" s="125">
        <f xml:space="preserve"> Time!AB$14</f>
        <v>0</v>
      </c>
      <c r="AC54" s="125">
        <f xml:space="preserve"> Time!AC$14</f>
        <v>0</v>
      </c>
      <c r="AD54" s="125">
        <f xml:space="preserve"> Time!AD$14</f>
        <v>0</v>
      </c>
      <c r="AE54" s="125">
        <f xml:space="preserve"> Time!AE$14</f>
        <v>0</v>
      </c>
      <c r="AF54" s="125">
        <f xml:space="preserve"> Time!AF$14</f>
        <v>0</v>
      </c>
      <c r="AG54" s="125">
        <f xml:space="preserve"> Time!AG$14</f>
        <v>0</v>
      </c>
      <c r="AH54" s="125">
        <f xml:space="preserve"> Time!AH$14</f>
        <v>0</v>
      </c>
      <c r="AI54" s="125">
        <f xml:space="preserve"> Time!AI$14</f>
        <v>0</v>
      </c>
      <c r="AJ54" s="125">
        <f xml:space="preserve"> Time!AJ$14</f>
        <v>0</v>
      </c>
      <c r="AK54" s="125">
        <f xml:space="preserve"> Time!AK$14</f>
        <v>0</v>
      </c>
      <c r="AL54" s="125">
        <f xml:space="preserve"> Time!AL$14</f>
        <v>0</v>
      </c>
      <c r="AM54" s="125">
        <f xml:space="preserve"> Time!AM$14</f>
        <v>0</v>
      </c>
      <c r="AN54" s="125">
        <f xml:space="preserve"> Time!AN$14</f>
        <v>0</v>
      </c>
      <c r="AO54" s="125">
        <f xml:space="preserve"> Time!AO$14</f>
        <v>0</v>
      </c>
      <c r="AP54" s="125">
        <f xml:space="preserve"> Time!AP$14</f>
        <v>0</v>
      </c>
      <c r="AQ54" s="125">
        <f xml:space="preserve"> Time!AQ$14</f>
        <v>0</v>
      </c>
      <c r="AR54" s="125">
        <f xml:space="preserve"> Time!AR$14</f>
        <v>0</v>
      </c>
      <c r="AS54" s="125">
        <f xml:space="preserve"> Time!AS$14</f>
        <v>0</v>
      </c>
      <c r="AT54" s="125">
        <f xml:space="preserve"> Time!AT$14</f>
        <v>0</v>
      </c>
      <c r="AU54" s="125">
        <f xml:space="preserve"> Time!AU$14</f>
        <v>0</v>
      </c>
      <c r="AV54" s="125">
        <f xml:space="preserve"> Time!AV$14</f>
        <v>0</v>
      </c>
      <c r="AW54" s="125">
        <f xml:space="preserve"> Time!AW$14</f>
        <v>0</v>
      </c>
      <c r="AX54" s="125">
        <f xml:space="preserve"> Time!AX$14</f>
        <v>0</v>
      </c>
      <c r="AY54" s="125">
        <f xml:space="preserve"> Time!AY$14</f>
        <v>0</v>
      </c>
      <c r="AZ54" s="125">
        <f xml:space="preserve"> Time!AZ$14</f>
        <v>0</v>
      </c>
      <c r="BA54" s="125">
        <f xml:space="preserve"> Time!BA$14</f>
        <v>0</v>
      </c>
      <c r="BB54" s="125">
        <f xml:space="preserve"> Time!BB$14</f>
        <v>0</v>
      </c>
      <c r="BC54" s="125">
        <f xml:space="preserve"> Time!BC$14</f>
        <v>0</v>
      </c>
      <c r="BD54" s="125">
        <f xml:space="preserve"> Time!BD$14</f>
        <v>0</v>
      </c>
      <c r="BE54" s="125">
        <f xml:space="preserve"> Time!BE$14</f>
        <v>0</v>
      </c>
      <c r="BF54" s="125">
        <f xml:space="preserve"> Time!BF$14</f>
        <v>0</v>
      </c>
      <c r="BG54" s="125">
        <f xml:space="preserve"> Time!BG$14</f>
        <v>0</v>
      </c>
      <c r="BH54" s="125">
        <f xml:space="preserve"> Time!BH$14</f>
        <v>0</v>
      </c>
      <c r="BI54" s="125">
        <f xml:space="preserve"> Time!BI$14</f>
        <v>0</v>
      </c>
      <c r="BJ54" s="125">
        <f xml:space="preserve"> Time!BJ$14</f>
        <v>0</v>
      </c>
      <c r="BK54" s="125">
        <f xml:space="preserve"> Time!BK$14</f>
        <v>0</v>
      </c>
      <c r="BL54" s="125">
        <f xml:space="preserve"> Time!BL$14</f>
        <v>0</v>
      </c>
      <c r="BM54" s="125">
        <f xml:space="preserve"> Time!BM$14</f>
        <v>0</v>
      </c>
      <c r="BN54" s="125">
        <f xml:space="preserve"> Time!BN$14</f>
        <v>0</v>
      </c>
      <c r="BO54" s="125">
        <f xml:space="preserve"> Time!BO$14</f>
        <v>0</v>
      </c>
      <c r="BP54" s="125">
        <f xml:space="preserve"> Time!BP$14</f>
        <v>0</v>
      </c>
      <c r="BQ54" s="125">
        <f xml:space="preserve"> Time!BQ$14</f>
        <v>0</v>
      </c>
      <c r="BR54" s="125">
        <f xml:space="preserve"> Time!BR$14</f>
        <v>0</v>
      </c>
      <c r="BS54" s="125">
        <f xml:space="preserve"> Time!BS$14</f>
        <v>0</v>
      </c>
      <c r="BT54" s="125">
        <f xml:space="preserve"> Time!BT$14</f>
        <v>0</v>
      </c>
      <c r="BU54" s="125">
        <f xml:space="preserve"> Time!BU$14</f>
        <v>0</v>
      </c>
      <c r="BV54" s="125">
        <f xml:space="preserve"> Time!BV$14</f>
        <v>0</v>
      </c>
      <c r="BW54" s="125">
        <f xml:space="preserve"> Time!BW$14</f>
        <v>0</v>
      </c>
      <c r="BX54" s="125">
        <f xml:space="preserve"> Time!BX$14</f>
        <v>0</v>
      </c>
      <c r="BY54" s="125">
        <f xml:space="preserve"> Time!BY$14</f>
        <v>0</v>
      </c>
      <c r="BZ54" s="125">
        <f xml:space="preserve"> Time!BZ$14</f>
        <v>0</v>
      </c>
      <c r="CA54" s="125">
        <f xml:space="preserve"> Time!CA$14</f>
        <v>0</v>
      </c>
      <c r="CB54" s="125">
        <f xml:space="preserve"> Time!CB$14</f>
        <v>0</v>
      </c>
      <c r="CC54" s="125">
        <f xml:space="preserve"> Time!CC$14</f>
        <v>0</v>
      </c>
      <c r="CD54" s="125">
        <f xml:space="preserve"> Time!CD$14</f>
        <v>0</v>
      </c>
      <c r="CE54" s="125">
        <f xml:space="preserve"> Time!CE$14</f>
        <v>0</v>
      </c>
      <c r="CF54" s="125">
        <f xml:space="preserve"> Time!CF$14</f>
        <v>0</v>
      </c>
      <c r="CG54" s="125">
        <f xml:space="preserve"> Time!CG$14</f>
        <v>0</v>
      </c>
      <c r="CH54" s="125">
        <f xml:space="preserve"> Time!CH$14</f>
        <v>0</v>
      </c>
      <c r="CI54" s="125">
        <f xml:space="preserve"> Time!CI$14</f>
        <v>0</v>
      </c>
      <c r="CJ54" s="125">
        <f xml:space="preserve"> Time!CJ$14</f>
        <v>0</v>
      </c>
      <c r="CK54" s="125">
        <f xml:space="preserve"> Time!CK$14</f>
        <v>0</v>
      </c>
      <c r="CL54" s="125">
        <f xml:space="preserve"> Time!CL$14</f>
        <v>0</v>
      </c>
      <c r="CM54" s="125">
        <f xml:space="preserve"> Time!CM$14</f>
        <v>0</v>
      </c>
      <c r="CN54" s="125">
        <f xml:space="preserve"> Time!CN$14</f>
        <v>0</v>
      </c>
      <c r="CO54" s="125">
        <f xml:space="preserve"> Time!CO$14</f>
        <v>0</v>
      </c>
      <c r="CP54" s="125">
        <f xml:space="preserve"> Time!CP$14</f>
        <v>0</v>
      </c>
      <c r="CQ54" s="125">
        <f xml:space="preserve"> Time!CQ$14</f>
        <v>0</v>
      </c>
      <c r="CR54" s="125">
        <f xml:space="preserve"> Time!CR$14</f>
        <v>0</v>
      </c>
      <c r="CS54" s="125">
        <f xml:space="preserve"> Time!CS$14</f>
        <v>0</v>
      </c>
      <c r="CT54" s="125">
        <f xml:space="preserve"> Time!CT$14</f>
        <v>0</v>
      </c>
      <c r="CU54" s="125">
        <f xml:space="preserve"> Time!CU$14</f>
        <v>0</v>
      </c>
      <c r="CV54" s="125">
        <f xml:space="preserve"> Time!CV$14</f>
        <v>0</v>
      </c>
    </row>
    <row r="55" spans="1:100" s="188" customFormat="1" outlineLevel="2" x14ac:dyDescent="0.2">
      <c r="A55" s="141"/>
      <c r="B55" s="141"/>
      <c r="C55" s="142"/>
      <c r="D55" s="143"/>
      <c r="E55" s="187" t="s">
        <v>205</v>
      </c>
      <c r="F55" s="187"/>
      <c r="G55" s="187" t="s">
        <v>187</v>
      </c>
      <c r="H55" s="187"/>
      <c r="I55" s="144"/>
      <c r="J55" s="411">
        <f t="shared" ref="J55:AO55" si="210" xml:space="preserve"> (J54 +  IF(J52 = 1, (1 + $F50 + $F51) ^ J53, I55))</f>
        <v>1</v>
      </c>
      <c r="K55" s="411">
        <f t="shared" si="210"/>
        <v>1</v>
      </c>
      <c r="L55" s="411">
        <f t="shared" si="210"/>
        <v>1</v>
      </c>
      <c r="M55" s="411">
        <f t="shared" si="210"/>
        <v>1</v>
      </c>
      <c r="N55" s="411">
        <f t="shared" si="210"/>
        <v>1</v>
      </c>
      <c r="O55" s="411">
        <f t="shared" si="210"/>
        <v>1.08243216</v>
      </c>
      <c r="P55" s="411">
        <f t="shared" si="210"/>
        <v>1.08243216</v>
      </c>
      <c r="Q55" s="411">
        <f t="shared" si="210"/>
        <v>1.1040808032</v>
      </c>
      <c r="R55" s="411">
        <f t="shared" si="210"/>
        <v>1.1040808032</v>
      </c>
      <c r="S55" s="411">
        <f t="shared" si="210"/>
        <v>1.1261624192640001</v>
      </c>
      <c r="T55" s="411">
        <f t="shared" si="210"/>
        <v>1.1261624192640001</v>
      </c>
      <c r="U55" s="411">
        <f t="shared" si="210"/>
        <v>1.1486856676492798</v>
      </c>
      <c r="V55" s="411">
        <f t="shared" si="210"/>
        <v>1.1486856676492798</v>
      </c>
      <c r="W55" s="411">
        <f t="shared" si="210"/>
        <v>1.1716593810022655</v>
      </c>
      <c r="X55" s="411">
        <f t="shared" si="210"/>
        <v>1.1716593810022655</v>
      </c>
      <c r="Y55" s="411">
        <f t="shared" si="210"/>
        <v>1.1950925686223108</v>
      </c>
      <c r="Z55" s="411">
        <f t="shared" si="210"/>
        <v>1.1950925686223108</v>
      </c>
      <c r="AA55" s="411">
        <f t="shared" si="210"/>
        <v>1.2189944199947571</v>
      </c>
      <c r="AB55" s="411">
        <f t="shared" si="210"/>
        <v>1.2189944199947571</v>
      </c>
      <c r="AC55" s="411">
        <f t="shared" si="210"/>
        <v>1.243374308394652</v>
      </c>
      <c r="AD55" s="411">
        <f t="shared" si="210"/>
        <v>1.243374308394652</v>
      </c>
      <c r="AE55" s="411">
        <f t="shared" si="210"/>
        <v>1.2682417945625453</v>
      </c>
      <c r="AF55" s="411">
        <f t="shared" si="210"/>
        <v>1.2682417945625453</v>
      </c>
      <c r="AG55" s="411">
        <f t="shared" si="210"/>
        <v>1.2936066304537961</v>
      </c>
      <c r="AH55" s="411">
        <f t="shared" si="210"/>
        <v>1.2936066304537961</v>
      </c>
      <c r="AI55" s="411">
        <f t="shared" si="210"/>
        <v>1.3194787630628722</v>
      </c>
      <c r="AJ55" s="411">
        <f t="shared" si="210"/>
        <v>1.3194787630628722</v>
      </c>
      <c r="AK55" s="411">
        <f t="shared" si="210"/>
        <v>1.3458683383241292</v>
      </c>
      <c r="AL55" s="411">
        <f t="shared" si="210"/>
        <v>1.3458683383241292</v>
      </c>
      <c r="AM55" s="411">
        <f t="shared" si="210"/>
        <v>1.372785705090612</v>
      </c>
      <c r="AN55" s="411">
        <f t="shared" si="210"/>
        <v>1.372785705090612</v>
      </c>
      <c r="AO55" s="411">
        <f t="shared" si="210"/>
        <v>1.4002414191924244</v>
      </c>
      <c r="AP55" s="411">
        <f t="shared" ref="AP55:BU55" si="211" xml:space="preserve"> (AP54 +  IF(AP52 = 1, (1 + $F50 + $F51) ^ AP53, AO55))</f>
        <v>1.4002414191924244</v>
      </c>
      <c r="AQ55" s="411">
        <f t="shared" si="211"/>
        <v>1.4282462475762727</v>
      </c>
      <c r="AR55" s="411">
        <f t="shared" si="211"/>
        <v>1.4282462475762727</v>
      </c>
      <c r="AS55" s="411">
        <f t="shared" si="211"/>
        <v>1.4568111725277981</v>
      </c>
      <c r="AT55" s="411">
        <f t="shared" si="211"/>
        <v>1.4568111725277981</v>
      </c>
      <c r="AU55" s="411">
        <f t="shared" si="211"/>
        <v>1.4859473959783542</v>
      </c>
      <c r="AV55" s="411">
        <f t="shared" si="211"/>
        <v>1.4859473959783542</v>
      </c>
      <c r="AW55" s="411">
        <f t="shared" si="211"/>
        <v>1.5156663438979212</v>
      </c>
      <c r="AX55" s="411">
        <f t="shared" si="211"/>
        <v>1.5156663438979212</v>
      </c>
      <c r="AY55" s="411">
        <f t="shared" si="211"/>
        <v>1.5459796707758797</v>
      </c>
      <c r="AZ55" s="411">
        <f t="shared" si="211"/>
        <v>1.5459796707758797</v>
      </c>
      <c r="BA55" s="411">
        <f t="shared" si="211"/>
        <v>1.576899264191397</v>
      </c>
      <c r="BB55" s="411">
        <f t="shared" si="211"/>
        <v>1.576899264191397</v>
      </c>
      <c r="BC55" s="411">
        <f t="shared" si="211"/>
        <v>1</v>
      </c>
      <c r="BD55" s="411">
        <f t="shared" si="211"/>
        <v>1</v>
      </c>
      <c r="BE55" s="411">
        <f t="shared" si="211"/>
        <v>1</v>
      </c>
      <c r="BF55" s="411">
        <f t="shared" si="211"/>
        <v>1</v>
      </c>
      <c r="BG55" s="411">
        <f t="shared" si="211"/>
        <v>1</v>
      </c>
      <c r="BH55" s="411">
        <f t="shared" si="211"/>
        <v>1</v>
      </c>
      <c r="BI55" s="411">
        <f t="shared" si="211"/>
        <v>1</v>
      </c>
      <c r="BJ55" s="411">
        <f t="shared" si="211"/>
        <v>1</v>
      </c>
      <c r="BK55" s="411">
        <f t="shared" si="211"/>
        <v>1</v>
      </c>
      <c r="BL55" s="411">
        <f t="shared" si="211"/>
        <v>1</v>
      </c>
      <c r="BM55" s="411">
        <f t="shared" si="211"/>
        <v>1</v>
      </c>
      <c r="BN55" s="411">
        <f t="shared" si="211"/>
        <v>1</v>
      </c>
      <c r="BO55" s="411">
        <f t="shared" si="211"/>
        <v>1</v>
      </c>
      <c r="BP55" s="411">
        <f t="shared" si="211"/>
        <v>1</v>
      </c>
      <c r="BQ55" s="411">
        <f t="shared" si="211"/>
        <v>1</v>
      </c>
      <c r="BR55" s="411">
        <f t="shared" si="211"/>
        <v>1</v>
      </c>
      <c r="BS55" s="411">
        <f t="shared" si="211"/>
        <v>1</v>
      </c>
      <c r="BT55" s="411">
        <f t="shared" si="211"/>
        <v>1</v>
      </c>
      <c r="BU55" s="411">
        <f t="shared" si="211"/>
        <v>1</v>
      </c>
      <c r="BV55" s="411">
        <f t="shared" ref="BV55:CV55" si="212" xml:space="preserve"> (BV54 +  IF(BV52 = 1, (1 + $F50 + $F51) ^ BV53, BU55))</f>
        <v>1</v>
      </c>
      <c r="BW55" s="411">
        <f t="shared" si="212"/>
        <v>1</v>
      </c>
      <c r="BX55" s="411">
        <f t="shared" si="212"/>
        <v>1</v>
      </c>
      <c r="BY55" s="411">
        <f t="shared" si="212"/>
        <v>1</v>
      </c>
      <c r="BZ55" s="411">
        <f t="shared" si="212"/>
        <v>1</v>
      </c>
      <c r="CA55" s="411">
        <f t="shared" si="212"/>
        <v>1</v>
      </c>
      <c r="CB55" s="411">
        <f t="shared" si="212"/>
        <v>1</v>
      </c>
      <c r="CC55" s="411">
        <f t="shared" si="212"/>
        <v>1</v>
      </c>
      <c r="CD55" s="411">
        <f t="shared" si="212"/>
        <v>1</v>
      </c>
      <c r="CE55" s="411">
        <f t="shared" si="212"/>
        <v>1</v>
      </c>
      <c r="CF55" s="411">
        <f t="shared" si="212"/>
        <v>1</v>
      </c>
      <c r="CG55" s="411">
        <f t="shared" si="212"/>
        <v>1</v>
      </c>
      <c r="CH55" s="411">
        <f t="shared" si="212"/>
        <v>1</v>
      </c>
      <c r="CI55" s="411">
        <f t="shared" si="212"/>
        <v>1</v>
      </c>
      <c r="CJ55" s="411">
        <f t="shared" si="212"/>
        <v>1</v>
      </c>
      <c r="CK55" s="411">
        <f t="shared" si="212"/>
        <v>1</v>
      </c>
      <c r="CL55" s="411">
        <f t="shared" si="212"/>
        <v>1</v>
      </c>
      <c r="CM55" s="411">
        <f t="shared" si="212"/>
        <v>1</v>
      </c>
      <c r="CN55" s="411">
        <f t="shared" si="212"/>
        <v>1</v>
      </c>
      <c r="CO55" s="411">
        <f t="shared" si="212"/>
        <v>1</v>
      </c>
      <c r="CP55" s="411">
        <f t="shared" si="212"/>
        <v>1</v>
      </c>
      <c r="CQ55" s="411">
        <f t="shared" si="212"/>
        <v>1</v>
      </c>
      <c r="CR55" s="411">
        <f t="shared" si="212"/>
        <v>1</v>
      </c>
      <c r="CS55" s="411">
        <f t="shared" si="212"/>
        <v>1</v>
      </c>
      <c r="CT55" s="411">
        <f t="shared" si="212"/>
        <v>1</v>
      </c>
      <c r="CU55" s="411">
        <f t="shared" si="212"/>
        <v>1</v>
      </c>
      <c r="CV55" s="411">
        <f t="shared" si="212"/>
        <v>1</v>
      </c>
    </row>
    <row r="56" spans="1:100" outlineLevel="2" x14ac:dyDescent="0.2"/>
    <row r="57" spans="1:100" x14ac:dyDescent="0.2"/>
    <row r="58" spans="1:100" x14ac:dyDescent="0.2">
      <c r="A58" s="236" t="s">
        <v>62</v>
      </c>
      <c r="B58" s="236"/>
      <c r="C58" s="237"/>
      <c r="D58" s="238"/>
      <c r="E58" s="235"/>
      <c r="F58" s="235"/>
      <c r="G58" s="235"/>
      <c r="H58" s="235"/>
      <c r="I58" s="235"/>
      <c r="J58" s="235"/>
      <c r="K58" s="235"/>
      <c r="L58" s="235"/>
      <c r="M58" s="235"/>
      <c r="N58" s="235"/>
      <c r="O58" s="235"/>
      <c r="P58" s="235"/>
      <c r="Q58" s="235"/>
      <c r="R58" s="235"/>
      <c r="S58" s="235"/>
      <c r="T58" s="235"/>
      <c r="U58" s="235"/>
      <c r="V58" s="235"/>
      <c r="W58" s="235"/>
      <c r="X58" s="235"/>
      <c r="Y58" s="235"/>
      <c r="Z58" s="235"/>
      <c r="AA58" s="235"/>
      <c r="AB58" s="235"/>
      <c r="AC58" s="235"/>
      <c r="AD58" s="235"/>
      <c r="AE58" s="235"/>
      <c r="AF58" s="235"/>
      <c r="AG58" s="235"/>
      <c r="AH58" s="235"/>
      <c r="AI58" s="235"/>
      <c r="AJ58" s="235"/>
      <c r="AK58" s="235"/>
      <c r="AL58" s="235"/>
      <c r="AM58" s="235"/>
      <c r="AN58" s="235"/>
      <c r="AO58" s="235"/>
      <c r="AP58" s="235"/>
      <c r="AQ58" s="235"/>
      <c r="AR58" s="235"/>
      <c r="AS58" s="235"/>
      <c r="AT58" s="235"/>
      <c r="AU58" s="235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235"/>
      <c r="BG58" s="235"/>
      <c r="BH58" s="235"/>
      <c r="BI58" s="235"/>
      <c r="BJ58" s="235"/>
      <c r="BK58" s="235"/>
      <c r="BL58" s="235"/>
      <c r="BM58" s="235"/>
      <c r="BN58" s="235"/>
      <c r="BO58" s="235"/>
      <c r="BP58" s="235"/>
      <c r="BQ58" s="235"/>
      <c r="BR58" s="235"/>
      <c r="BS58" s="235"/>
      <c r="BT58" s="235"/>
      <c r="BU58" s="235"/>
      <c r="BV58" s="235"/>
      <c r="BW58" s="235"/>
      <c r="BX58" s="235"/>
      <c r="BY58" s="235"/>
      <c r="BZ58" s="235"/>
      <c r="CA58" s="235"/>
      <c r="CB58" s="235"/>
      <c r="CC58" s="235"/>
      <c r="CD58" s="235"/>
      <c r="CE58" s="235"/>
      <c r="CF58" s="235"/>
      <c r="CG58" s="235"/>
      <c r="CH58" s="235"/>
      <c r="CI58" s="235"/>
      <c r="CJ58" s="235"/>
      <c r="CK58" s="235"/>
      <c r="CL58" s="235"/>
      <c r="CM58" s="235"/>
      <c r="CN58" s="235"/>
      <c r="CO58" s="235"/>
      <c r="CP58" s="235"/>
      <c r="CQ58" s="235"/>
      <c r="CR58" s="235"/>
      <c r="CS58" s="235"/>
      <c r="CT58" s="235"/>
      <c r="CU58" s="235"/>
      <c r="CV58" s="235"/>
    </row>
  </sheetData>
  <conditionalFormatting sqref="J3:CV3">
    <cfRule type="cellIs" dxfId="189" priority="8" stopIfTrue="1" operator="equal">
      <formula>"Construction"</formula>
    </cfRule>
    <cfRule type="cellIs" dxfId="188" priority="9" stopIfTrue="1" operator="equal">
      <formula>"Operations"</formula>
    </cfRule>
  </conditionalFormatting>
  <conditionalFormatting sqref="J3:CV3">
    <cfRule type="cellIs" dxfId="187" priority="7" operator="equal">
      <formula>"Fin Close"</formula>
    </cfRule>
  </conditionalFormatting>
  <conditionalFormatting sqref="J3:CV3">
    <cfRule type="cellIs" dxfId="186" priority="5" operator="equal">
      <formula>"PPA ext."</formula>
    </cfRule>
    <cfRule type="cellIs" dxfId="185" priority="6" operator="equal">
      <formula>"Delay"</formula>
    </cfRule>
  </conditionalFormatting>
  <conditionalFormatting sqref="F2:F4">
    <cfRule type="cellIs" dxfId="184" priority="1" stopIfTrue="1" operator="notEqual">
      <formula>0</formula>
    </cfRule>
    <cfRule type="cellIs" dxfId="183" priority="2" stopIfTrue="1" operator="equal">
      <formula>""</formula>
    </cfRule>
  </conditionalFormatting>
  <conditionalFormatting sqref="F2:F4">
    <cfRule type="cellIs" dxfId="182" priority="3" stopIfTrue="1" operator="notEqual">
      <formula>0</formula>
    </cfRule>
    <cfRule type="cellIs" dxfId="181" priority="4" stopIfTrue="1" operator="equal">
      <formula>""</formula>
    </cfRule>
  </conditionalFormatting>
  <dataValidations count="1">
    <dataValidation allowBlank="1" showInputMessage="1" showErrorMessage="1" sqref="E34:H36 E45 E14 E19:H22 E29 E50:H52" xr:uid="{7E016C84-68A5-46A6-9B79-BFE00A1CBF0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CV508"/>
  <sheetViews>
    <sheetView showFormulas="1" defaultGridColor="0" colorId="8" zoomScale="90" zoomScaleNormal="9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E118" sqref="E118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7" width="16.7109375" style="12" customWidth="1"/>
    <col min="8" max="8" width="11.5703125" style="12" customWidth="1"/>
    <col min="9" max="9" width="2.5703125" style="9" customWidth="1"/>
    <col min="10" max="100" width="11.5703125" style="12" customWidth="1"/>
    <col min="101" max="192" width="0" hidden="1" customWidth="1"/>
  </cols>
  <sheetData>
    <row r="1" spans="1:100" ht="26.25" x14ac:dyDescent="0.2">
      <c r="A1" s="290" t="str">
        <f ca="1" xml:space="preserve"> RIGHT(CELL("filename", A1), LEN(CELL("filename", A1)) - SEARCH("]", CELL("filename", A1))) &amp; " - " &amp; InpC!F3</f>
        <v>Ops - Base case 1</v>
      </c>
      <c r="B1" s="236"/>
      <c r="C1" s="237"/>
      <c r="D1" s="238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>
      <c r="A6" s="236"/>
      <c r="B6" s="236"/>
      <c r="C6" s="237"/>
      <c r="D6" s="238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">
      <c r="A7" s="236" t="s">
        <v>430</v>
      </c>
      <c r="B7" s="236"/>
      <c r="C7" s="237"/>
      <c r="D7" s="238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">
      <c r="A8" s="236"/>
      <c r="B8" s="236"/>
      <c r="C8" s="237"/>
      <c r="D8" s="238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">
      <c r="A9" s="236"/>
      <c r="B9" s="236" t="s">
        <v>209</v>
      </c>
      <c r="C9" s="237"/>
      <c r="D9" s="238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5"/>
      <c r="AQ9" s="235"/>
      <c r="AR9" s="235"/>
      <c r="AS9" s="235"/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  <c r="BH9" s="235"/>
      <c r="BI9" s="235"/>
      <c r="BJ9" s="235"/>
      <c r="BK9" s="235"/>
      <c r="BL9" s="235"/>
      <c r="BM9" s="235"/>
      <c r="BN9" s="235"/>
      <c r="BO9" s="235"/>
      <c r="BP9" s="235"/>
      <c r="BQ9" s="235"/>
      <c r="BR9" s="235"/>
      <c r="BS9" s="235"/>
      <c r="BT9" s="235"/>
      <c r="BU9" s="235"/>
      <c r="BV9" s="235"/>
      <c r="BW9" s="235"/>
      <c r="BX9" s="235"/>
      <c r="BY9" s="235"/>
      <c r="BZ9" s="235"/>
      <c r="CA9" s="235"/>
      <c r="CB9" s="235"/>
      <c r="CC9" s="235"/>
      <c r="CD9" s="235"/>
      <c r="CE9" s="235"/>
      <c r="CF9" s="235"/>
      <c r="CG9" s="235"/>
      <c r="CH9" s="235"/>
      <c r="CI9" s="235"/>
      <c r="CJ9" s="235"/>
      <c r="CK9" s="235"/>
      <c r="CL9" s="235"/>
      <c r="CM9" s="235"/>
      <c r="CN9" s="235"/>
      <c r="CO9" s="235"/>
      <c r="CP9" s="235"/>
      <c r="CQ9" s="235"/>
      <c r="CR9" s="235"/>
      <c r="CS9" s="235"/>
      <c r="CT9" s="235"/>
      <c r="CU9" s="235"/>
      <c r="CV9" s="235"/>
    </row>
    <row r="10" spans="1:100" outlineLevel="2" x14ac:dyDescent="0.2">
      <c r="A10" s="451"/>
      <c r="B10" s="451"/>
      <c r="C10" s="452"/>
      <c r="D10" s="316"/>
      <c r="E10" s="316" t="str">
        <f xml:space="preserve"> InpC!E$80</f>
        <v>Annual degradation</v>
      </c>
      <c r="F10" s="316">
        <f xml:space="preserve"> InpC!F$80</f>
        <v>2E-3</v>
      </c>
      <c r="G10" s="316" t="str">
        <f xml:space="preserve"> InpC!G$80</f>
        <v>% p.a.</v>
      </c>
      <c r="H10" s="316"/>
      <c r="I10" s="453"/>
      <c r="J10" s="453"/>
      <c r="K10" s="453"/>
      <c r="L10" s="453"/>
      <c r="M10" s="453"/>
      <c r="N10" s="453"/>
      <c r="O10" s="453"/>
      <c r="P10" s="453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  <c r="AE10" s="453"/>
      <c r="AF10" s="453"/>
      <c r="AG10" s="453"/>
      <c r="AH10" s="453"/>
      <c r="AI10" s="453"/>
      <c r="AJ10" s="453"/>
      <c r="AK10" s="453"/>
      <c r="AL10" s="453"/>
      <c r="AM10" s="453"/>
      <c r="AN10" s="453"/>
      <c r="AO10" s="453"/>
      <c r="AP10" s="453"/>
      <c r="AQ10" s="453"/>
      <c r="AR10" s="453"/>
      <c r="AS10" s="453"/>
      <c r="AT10" s="453"/>
      <c r="AU10" s="453"/>
      <c r="AV10" s="453"/>
      <c r="AW10" s="453"/>
      <c r="AX10" s="453"/>
      <c r="AY10" s="453"/>
      <c r="AZ10" s="453"/>
      <c r="BA10" s="453"/>
      <c r="BB10" s="453"/>
      <c r="BC10" s="453"/>
      <c r="BD10" s="453"/>
      <c r="BE10" s="453"/>
      <c r="BF10" s="453"/>
      <c r="BG10" s="453"/>
      <c r="BH10" s="453"/>
      <c r="BI10" s="453"/>
      <c r="BJ10" s="453"/>
      <c r="BK10" s="453"/>
      <c r="BL10" s="453"/>
      <c r="BM10" s="453"/>
      <c r="BN10" s="453"/>
      <c r="BO10" s="453"/>
      <c r="BP10" s="453"/>
      <c r="BQ10" s="453"/>
      <c r="BR10" s="453"/>
      <c r="BS10" s="453"/>
      <c r="BT10" s="453"/>
      <c r="BU10" s="453"/>
      <c r="BV10" s="453"/>
      <c r="BW10" s="453"/>
      <c r="BX10" s="453"/>
      <c r="BY10" s="453"/>
      <c r="BZ10" s="453"/>
      <c r="CA10" s="453"/>
      <c r="CB10" s="453"/>
      <c r="CC10" s="453"/>
      <c r="CD10" s="453"/>
      <c r="CE10" s="453"/>
      <c r="CF10" s="453"/>
      <c r="CG10" s="453"/>
      <c r="CH10" s="453"/>
      <c r="CI10" s="453"/>
      <c r="CJ10" s="453"/>
      <c r="CK10" s="453"/>
      <c r="CL10" s="453"/>
      <c r="CM10" s="453"/>
      <c r="CN10" s="453"/>
      <c r="CO10" s="453"/>
      <c r="CP10" s="453"/>
      <c r="CQ10" s="453"/>
      <c r="CR10" s="453"/>
      <c r="CS10" s="453"/>
      <c r="CT10" s="453"/>
      <c r="CU10" s="453"/>
      <c r="CV10" s="453"/>
    </row>
    <row r="11" spans="1:100" outlineLevel="2" x14ac:dyDescent="0.2">
      <c r="A11" s="85"/>
      <c r="B11" s="85"/>
      <c r="C11" s="86"/>
      <c r="D11" s="87"/>
      <c r="E11" s="390" t="str">
        <f xml:space="preserve"> Time!E$239</f>
        <v>Contract year number</v>
      </c>
      <c r="F11" s="390">
        <f xml:space="preserve"> Time!F$239</f>
        <v>0</v>
      </c>
      <c r="G11" s="390" t="str">
        <f xml:space="preserve"> Time!G$239</f>
        <v>counter</v>
      </c>
      <c r="H11" s="390">
        <f xml:space="preserve"> Time!H$239</f>
        <v>0</v>
      </c>
      <c r="I11" s="390">
        <f xml:space="preserve"> Time!I$239</f>
        <v>0</v>
      </c>
      <c r="J11" s="390">
        <f xml:space="preserve"> Time!J$239</f>
        <v>0</v>
      </c>
      <c r="K11" s="390">
        <f xml:space="preserve"> Time!K$239</f>
        <v>0</v>
      </c>
      <c r="L11" s="390">
        <f xml:space="preserve"> Time!L$239</f>
        <v>0</v>
      </c>
      <c r="M11" s="390">
        <f xml:space="preserve"> Time!M$239</f>
        <v>0</v>
      </c>
      <c r="N11" s="390">
        <f xml:space="preserve"> Time!N$239</f>
        <v>0</v>
      </c>
      <c r="O11" s="390">
        <f xml:space="preserve"> Time!O$239</f>
        <v>1</v>
      </c>
      <c r="P11" s="390">
        <f xml:space="preserve"> Time!P$239</f>
        <v>1</v>
      </c>
      <c r="Q11" s="390">
        <f xml:space="preserve"> Time!Q$239</f>
        <v>2</v>
      </c>
      <c r="R11" s="390">
        <f xml:space="preserve"> Time!R$239</f>
        <v>2</v>
      </c>
      <c r="S11" s="390">
        <f xml:space="preserve"> Time!S$239</f>
        <v>3</v>
      </c>
      <c r="T11" s="390">
        <f xml:space="preserve"> Time!T$239</f>
        <v>3</v>
      </c>
      <c r="U11" s="390">
        <f xml:space="preserve"> Time!U$239</f>
        <v>4</v>
      </c>
      <c r="V11" s="390">
        <f xml:space="preserve"> Time!V$239</f>
        <v>4</v>
      </c>
      <c r="W11" s="390">
        <f xml:space="preserve"> Time!W$239</f>
        <v>5</v>
      </c>
      <c r="X11" s="390">
        <f xml:space="preserve"> Time!X$239</f>
        <v>5</v>
      </c>
      <c r="Y11" s="390">
        <f xml:space="preserve"> Time!Y$239</f>
        <v>6</v>
      </c>
      <c r="Z11" s="390">
        <f xml:space="preserve"> Time!Z$239</f>
        <v>6</v>
      </c>
      <c r="AA11" s="390">
        <f xml:space="preserve"> Time!AA$239</f>
        <v>7</v>
      </c>
      <c r="AB11" s="390">
        <f xml:space="preserve"> Time!AB$239</f>
        <v>7</v>
      </c>
      <c r="AC11" s="390">
        <f xml:space="preserve"> Time!AC$239</f>
        <v>8</v>
      </c>
      <c r="AD11" s="390">
        <f xml:space="preserve"> Time!AD$239</f>
        <v>8</v>
      </c>
      <c r="AE11" s="390">
        <f xml:space="preserve"> Time!AE$239</f>
        <v>9</v>
      </c>
      <c r="AF11" s="390">
        <f xml:space="preserve"> Time!AF$239</f>
        <v>9</v>
      </c>
      <c r="AG11" s="390">
        <f xml:space="preserve"> Time!AG$239</f>
        <v>10</v>
      </c>
      <c r="AH11" s="390">
        <f xml:space="preserve"> Time!AH$239</f>
        <v>10</v>
      </c>
      <c r="AI11" s="390">
        <f xml:space="preserve"> Time!AI$239</f>
        <v>11</v>
      </c>
      <c r="AJ11" s="390">
        <f xml:space="preserve"> Time!AJ$239</f>
        <v>11</v>
      </c>
      <c r="AK11" s="390">
        <f xml:space="preserve"> Time!AK$239</f>
        <v>12</v>
      </c>
      <c r="AL11" s="390">
        <f xml:space="preserve"> Time!AL$239</f>
        <v>12</v>
      </c>
      <c r="AM11" s="390">
        <f xml:space="preserve"> Time!AM$239</f>
        <v>13</v>
      </c>
      <c r="AN11" s="390">
        <f xml:space="preserve"> Time!AN$239</f>
        <v>13</v>
      </c>
      <c r="AO11" s="390">
        <f xml:space="preserve"> Time!AO$239</f>
        <v>14</v>
      </c>
      <c r="AP11" s="390">
        <f xml:space="preserve"> Time!AP$239</f>
        <v>14</v>
      </c>
      <c r="AQ11" s="390">
        <f xml:space="preserve"> Time!AQ$239</f>
        <v>15</v>
      </c>
      <c r="AR11" s="390">
        <f xml:space="preserve"> Time!AR$239</f>
        <v>15</v>
      </c>
      <c r="AS11" s="390">
        <f xml:space="preserve"> Time!AS$239</f>
        <v>16</v>
      </c>
      <c r="AT11" s="390">
        <f xml:space="preserve"> Time!AT$239</f>
        <v>16</v>
      </c>
      <c r="AU11" s="390">
        <f xml:space="preserve"> Time!AU$239</f>
        <v>17</v>
      </c>
      <c r="AV11" s="390">
        <f xml:space="preserve"> Time!AV$239</f>
        <v>17</v>
      </c>
      <c r="AW11" s="390">
        <f xml:space="preserve"> Time!AW$239</f>
        <v>18</v>
      </c>
      <c r="AX11" s="390">
        <f xml:space="preserve"> Time!AX$239</f>
        <v>18</v>
      </c>
      <c r="AY11" s="390">
        <f xml:space="preserve"> Time!AY$239</f>
        <v>19</v>
      </c>
      <c r="AZ11" s="390">
        <f xml:space="preserve"> Time!AZ$239</f>
        <v>19</v>
      </c>
      <c r="BA11" s="390">
        <f xml:space="preserve"> Time!BA$239</f>
        <v>20</v>
      </c>
      <c r="BB11" s="390">
        <f xml:space="preserve"> Time!BB$239</f>
        <v>20</v>
      </c>
      <c r="BC11" s="390">
        <f xml:space="preserve"> Time!BC$239</f>
        <v>0</v>
      </c>
      <c r="BD11" s="390">
        <f xml:space="preserve"> Time!BD$239</f>
        <v>0</v>
      </c>
      <c r="BE11" s="390">
        <f xml:space="preserve"> Time!BE$239</f>
        <v>0</v>
      </c>
      <c r="BF11" s="390">
        <f xml:space="preserve"> Time!BF$239</f>
        <v>0</v>
      </c>
      <c r="BG11" s="390">
        <f xml:space="preserve"> Time!BG$239</f>
        <v>0</v>
      </c>
      <c r="BH11" s="390">
        <f xml:space="preserve"> Time!BH$239</f>
        <v>0</v>
      </c>
      <c r="BI11" s="390">
        <f xml:space="preserve"> Time!BI$239</f>
        <v>0</v>
      </c>
      <c r="BJ11" s="390">
        <f xml:space="preserve"> Time!BJ$239</f>
        <v>0</v>
      </c>
      <c r="BK11" s="390">
        <f xml:space="preserve"> Time!BK$239</f>
        <v>0</v>
      </c>
      <c r="BL11" s="390">
        <f xml:space="preserve"> Time!BL$239</f>
        <v>0</v>
      </c>
      <c r="BM11" s="390">
        <f xml:space="preserve"> Time!BM$239</f>
        <v>0</v>
      </c>
      <c r="BN11" s="390">
        <f xml:space="preserve"> Time!BN$239</f>
        <v>0</v>
      </c>
      <c r="BO11" s="390">
        <f xml:space="preserve"> Time!BO$239</f>
        <v>0</v>
      </c>
      <c r="BP11" s="390">
        <f xml:space="preserve"> Time!BP$239</f>
        <v>0</v>
      </c>
      <c r="BQ11" s="390">
        <f xml:space="preserve"> Time!BQ$239</f>
        <v>0</v>
      </c>
      <c r="BR11" s="390">
        <f xml:space="preserve"> Time!BR$239</f>
        <v>0</v>
      </c>
      <c r="BS11" s="390">
        <f xml:space="preserve"> Time!BS$239</f>
        <v>0</v>
      </c>
      <c r="BT11" s="390">
        <f xml:space="preserve"> Time!BT$239</f>
        <v>0</v>
      </c>
      <c r="BU11" s="390">
        <f xml:space="preserve"> Time!BU$239</f>
        <v>0</v>
      </c>
      <c r="BV11" s="390">
        <f xml:space="preserve"> Time!BV$239</f>
        <v>0</v>
      </c>
      <c r="BW11" s="390">
        <f xml:space="preserve"> Time!BW$239</f>
        <v>0</v>
      </c>
      <c r="BX11" s="390">
        <f xml:space="preserve"> Time!BX$239</f>
        <v>0</v>
      </c>
      <c r="BY11" s="390">
        <f xml:space="preserve"> Time!BY$239</f>
        <v>0</v>
      </c>
      <c r="BZ11" s="390">
        <f xml:space="preserve"> Time!BZ$239</f>
        <v>0</v>
      </c>
      <c r="CA11" s="390">
        <f xml:space="preserve"> Time!CA$239</f>
        <v>0</v>
      </c>
      <c r="CB11" s="390">
        <f xml:space="preserve"> Time!CB$239</f>
        <v>0</v>
      </c>
      <c r="CC11" s="390">
        <f xml:space="preserve"> Time!CC$239</f>
        <v>0</v>
      </c>
      <c r="CD11" s="390">
        <f xml:space="preserve"> Time!CD$239</f>
        <v>0</v>
      </c>
      <c r="CE11" s="390">
        <f xml:space="preserve"> Time!CE$239</f>
        <v>0</v>
      </c>
      <c r="CF11" s="390">
        <f xml:space="preserve"> Time!CF$239</f>
        <v>0</v>
      </c>
      <c r="CG11" s="390">
        <f xml:space="preserve"> Time!CG$239</f>
        <v>0</v>
      </c>
      <c r="CH11" s="390">
        <f xml:space="preserve"> Time!CH$239</f>
        <v>0</v>
      </c>
      <c r="CI11" s="390">
        <f xml:space="preserve"> Time!CI$239</f>
        <v>0</v>
      </c>
      <c r="CJ11" s="390">
        <f xml:space="preserve"> Time!CJ$239</f>
        <v>0</v>
      </c>
      <c r="CK11" s="390">
        <f xml:space="preserve"> Time!CK$239</f>
        <v>0</v>
      </c>
      <c r="CL11" s="390">
        <f xml:space="preserve"> Time!CL$239</f>
        <v>0</v>
      </c>
      <c r="CM11" s="390">
        <f xml:space="preserve"> Time!CM$239</f>
        <v>0</v>
      </c>
      <c r="CN11" s="390">
        <f xml:space="preserve"> Time!CN$239</f>
        <v>0</v>
      </c>
      <c r="CO11" s="390">
        <f xml:space="preserve"> Time!CO$239</f>
        <v>0</v>
      </c>
      <c r="CP11" s="390">
        <f xml:space="preserve"> Time!CP$239</f>
        <v>0</v>
      </c>
      <c r="CQ11" s="390">
        <f xml:space="preserve"> Time!CQ$239</f>
        <v>0</v>
      </c>
      <c r="CR11" s="390">
        <f xml:space="preserve"> Time!CR$239</f>
        <v>0</v>
      </c>
      <c r="CS11" s="390">
        <f xml:space="preserve"> Time!CS$239</f>
        <v>0</v>
      </c>
      <c r="CT11" s="390">
        <f xml:space="preserve"> Time!CT$239</f>
        <v>0</v>
      </c>
      <c r="CU11" s="390">
        <f xml:space="preserve"> Time!CU$239</f>
        <v>0</v>
      </c>
      <c r="CV11" s="390">
        <f xml:space="preserve"> Time!CV$239</f>
        <v>0</v>
      </c>
    </row>
    <row r="12" spans="1:100" outlineLevel="2" x14ac:dyDescent="0.2">
      <c r="A12" s="85"/>
      <c r="B12" s="85"/>
      <c r="C12" s="86"/>
      <c r="D12" s="87"/>
      <c r="E12" s="390" t="str">
        <f xml:space="preserve"> Time!E$106</f>
        <v>Operating period flag</v>
      </c>
      <c r="F12" s="390">
        <f xml:space="preserve"> Time!F$106</f>
        <v>0</v>
      </c>
      <c r="G12" s="390" t="str">
        <f xml:space="preserve"> Time!G$106</f>
        <v>flag</v>
      </c>
      <c r="H12" s="390">
        <f xml:space="preserve"> Time!H$106</f>
        <v>40</v>
      </c>
      <c r="I12" s="390">
        <f xml:space="preserve"> Time!I$106</f>
        <v>0</v>
      </c>
      <c r="J12" s="390">
        <f xml:space="preserve"> Time!J$106</f>
        <v>0</v>
      </c>
      <c r="K12" s="390">
        <f xml:space="preserve"> Time!K$106</f>
        <v>0</v>
      </c>
      <c r="L12" s="390">
        <f xml:space="preserve"> Time!L$106</f>
        <v>0</v>
      </c>
      <c r="M12" s="390">
        <f xml:space="preserve"> Time!M$106</f>
        <v>0</v>
      </c>
      <c r="N12" s="390">
        <f xml:space="preserve"> Time!N$106</f>
        <v>0</v>
      </c>
      <c r="O12" s="390">
        <f xml:space="preserve"> Time!O$106</f>
        <v>1</v>
      </c>
      <c r="P12" s="390">
        <f xml:space="preserve"> Time!P$106</f>
        <v>1</v>
      </c>
      <c r="Q12" s="390">
        <f xml:space="preserve"> Time!Q$106</f>
        <v>1</v>
      </c>
      <c r="R12" s="390">
        <f xml:space="preserve"> Time!R$106</f>
        <v>1</v>
      </c>
      <c r="S12" s="390">
        <f xml:space="preserve"> Time!S$106</f>
        <v>1</v>
      </c>
      <c r="T12" s="390">
        <f xml:space="preserve"> Time!T$106</f>
        <v>1</v>
      </c>
      <c r="U12" s="390">
        <f xml:space="preserve"> Time!U$106</f>
        <v>1</v>
      </c>
      <c r="V12" s="390">
        <f xml:space="preserve"> Time!V$106</f>
        <v>1</v>
      </c>
      <c r="W12" s="390">
        <f xml:space="preserve"> Time!W$106</f>
        <v>1</v>
      </c>
      <c r="X12" s="390">
        <f xml:space="preserve"> Time!X$106</f>
        <v>1</v>
      </c>
      <c r="Y12" s="390">
        <f xml:space="preserve"> Time!Y$106</f>
        <v>1</v>
      </c>
      <c r="Z12" s="390">
        <f xml:space="preserve"> Time!Z$106</f>
        <v>1</v>
      </c>
      <c r="AA12" s="390">
        <f xml:space="preserve"> Time!AA$106</f>
        <v>1</v>
      </c>
      <c r="AB12" s="390">
        <f xml:space="preserve"> Time!AB$106</f>
        <v>1</v>
      </c>
      <c r="AC12" s="390">
        <f xml:space="preserve"> Time!AC$106</f>
        <v>1</v>
      </c>
      <c r="AD12" s="390">
        <f xml:space="preserve"> Time!AD$106</f>
        <v>1</v>
      </c>
      <c r="AE12" s="390">
        <f xml:space="preserve"> Time!AE$106</f>
        <v>1</v>
      </c>
      <c r="AF12" s="390">
        <f xml:space="preserve"> Time!AF$106</f>
        <v>1</v>
      </c>
      <c r="AG12" s="390">
        <f xml:space="preserve"> Time!AG$106</f>
        <v>1</v>
      </c>
      <c r="AH12" s="390">
        <f xml:space="preserve"> Time!AH$106</f>
        <v>1</v>
      </c>
      <c r="AI12" s="390">
        <f xml:space="preserve"> Time!AI$106</f>
        <v>1</v>
      </c>
      <c r="AJ12" s="390">
        <f xml:space="preserve"> Time!AJ$106</f>
        <v>1</v>
      </c>
      <c r="AK12" s="390">
        <f xml:space="preserve"> Time!AK$106</f>
        <v>1</v>
      </c>
      <c r="AL12" s="390">
        <f xml:space="preserve"> Time!AL$106</f>
        <v>1</v>
      </c>
      <c r="AM12" s="390">
        <f xml:space="preserve"> Time!AM$106</f>
        <v>1</v>
      </c>
      <c r="AN12" s="390">
        <f xml:space="preserve"> Time!AN$106</f>
        <v>1</v>
      </c>
      <c r="AO12" s="390">
        <f xml:space="preserve"> Time!AO$106</f>
        <v>1</v>
      </c>
      <c r="AP12" s="390">
        <f xml:space="preserve"> Time!AP$106</f>
        <v>1</v>
      </c>
      <c r="AQ12" s="390">
        <f xml:space="preserve"> Time!AQ$106</f>
        <v>1</v>
      </c>
      <c r="AR12" s="390">
        <f xml:space="preserve"> Time!AR$106</f>
        <v>1</v>
      </c>
      <c r="AS12" s="390">
        <f xml:space="preserve"> Time!AS$106</f>
        <v>1</v>
      </c>
      <c r="AT12" s="390">
        <f xml:space="preserve"> Time!AT$106</f>
        <v>1</v>
      </c>
      <c r="AU12" s="390">
        <f xml:space="preserve"> Time!AU$106</f>
        <v>1</v>
      </c>
      <c r="AV12" s="390">
        <f xml:space="preserve"> Time!AV$106</f>
        <v>1</v>
      </c>
      <c r="AW12" s="390">
        <f xml:space="preserve"> Time!AW$106</f>
        <v>1</v>
      </c>
      <c r="AX12" s="390">
        <f xml:space="preserve"> Time!AX$106</f>
        <v>1</v>
      </c>
      <c r="AY12" s="390">
        <f xml:space="preserve"> Time!AY$106</f>
        <v>1</v>
      </c>
      <c r="AZ12" s="390">
        <f xml:space="preserve"> Time!AZ$106</f>
        <v>1</v>
      </c>
      <c r="BA12" s="390">
        <f xml:space="preserve"> Time!BA$106</f>
        <v>1</v>
      </c>
      <c r="BB12" s="390">
        <f xml:space="preserve"> Time!BB$106</f>
        <v>1</v>
      </c>
      <c r="BC12" s="390">
        <f xml:space="preserve"> Time!BC$106</f>
        <v>0</v>
      </c>
      <c r="BD12" s="390">
        <f xml:space="preserve"> Time!BD$106</f>
        <v>0</v>
      </c>
      <c r="BE12" s="390">
        <f xml:space="preserve"> Time!BE$106</f>
        <v>0</v>
      </c>
      <c r="BF12" s="390">
        <f xml:space="preserve"> Time!BF$106</f>
        <v>0</v>
      </c>
      <c r="BG12" s="390">
        <f xml:space="preserve"> Time!BG$106</f>
        <v>0</v>
      </c>
      <c r="BH12" s="390">
        <f xml:space="preserve"> Time!BH$106</f>
        <v>0</v>
      </c>
      <c r="BI12" s="390">
        <f xml:space="preserve"> Time!BI$106</f>
        <v>0</v>
      </c>
      <c r="BJ12" s="390">
        <f xml:space="preserve"> Time!BJ$106</f>
        <v>0</v>
      </c>
      <c r="BK12" s="390">
        <f xml:space="preserve"> Time!BK$106</f>
        <v>0</v>
      </c>
      <c r="BL12" s="390">
        <f xml:space="preserve"> Time!BL$106</f>
        <v>0</v>
      </c>
      <c r="BM12" s="390">
        <f xml:space="preserve"> Time!BM$106</f>
        <v>0</v>
      </c>
      <c r="BN12" s="390">
        <f xml:space="preserve"> Time!BN$106</f>
        <v>0</v>
      </c>
      <c r="BO12" s="390">
        <f xml:space="preserve"> Time!BO$106</f>
        <v>0</v>
      </c>
      <c r="BP12" s="390">
        <f xml:space="preserve"> Time!BP$106</f>
        <v>0</v>
      </c>
      <c r="BQ12" s="390">
        <f xml:space="preserve"> Time!BQ$106</f>
        <v>0</v>
      </c>
      <c r="BR12" s="390">
        <f xml:space="preserve"> Time!BR$106</f>
        <v>0</v>
      </c>
      <c r="BS12" s="390">
        <f xml:space="preserve"> Time!BS$106</f>
        <v>0</v>
      </c>
      <c r="BT12" s="390">
        <f xml:space="preserve"> Time!BT$106</f>
        <v>0</v>
      </c>
      <c r="BU12" s="390">
        <f xml:space="preserve"> Time!BU$106</f>
        <v>0</v>
      </c>
      <c r="BV12" s="390">
        <f xml:space="preserve"> Time!BV$106</f>
        <v>0</v>
      </c>
      <c r="BW12" s="390">
        <f xml:space="preserve"> Time!BW$106</f>
        <v>0</v>
      </c>
      <c r="BX12" s="390">
        <f xml:space="preserve"> Time!BX$106</f>
        <v>0</v>
      </c>
      <c r="BY12" s="390">
        <f xml:space="preserve"> Time!BY$106</f>
        <v>0</v>
      </c>
      <c r="BZ12" s="390">
        <f xml:space="preserve"> Time!BZ$106</f>
        <v>0</v>
      </c>
      <c r="CA12" s="390">
        <f xml:space="preserve"> Time!CA$106</f>
        <v>0</v>
      </c>
      <c r="CB12" s="390">
        <f xml:space="preserve"> Time!CB$106</f>
        <v>0</v>
      </c>
      <c r="CC12" s="390">
        <f xml:space="preserve"> Time!CC$106</f>
        <v>0</v>
      </c>
      <c r="CD12" s="390">
        <f xml:space="preserve"> Time!CD$106</f>
        <v>0</v>
      </c>
      <c r="CE12" s="390">
        <f xml:space="preserve"> Time!CE$106</f>
        <v>0</v>
      </c>
      <c r="CF12" s="390">
        <f xml:space="preserve"> Time!CF$106</f>
        <v>0</v>
      </c>
      <c r="CG12" s="390">
        <f xml:space="preserve"> Time!CG$106</f>
        <v>0</v>
      </c>
      <c r="CH12" s="390">
        <f xml:space="preserve"> Time!CH$106</f>
        <v>0</v>
      </c>
      <c r="CI12" s="390">
        <f xml:space="preserve"> Time!CI$106</f>
        <v>0</v>
      </c>
      <c r="CJ12" s="390">
        <f xml:space="preserve"> Time!CJ$106</f>
        <v>0</v>
      </c>
      <c r="CK12" s="390">
        <f xml:space="preserve"> Time!CK$106</f>
        <v>0</v>
      </c>
      <c r="CL12" s="390">
        <f xml:space="preserve"> Time!CL$106</f>
        <v>0</v>
      </c>
      <c r="CM12" s="390">
        <f xml:space="preserve"> Time!CM$106</f>
        <v>0</v>
      </c>
      <c r="CN12" s="390">
        <f xml:space="preserve"> Time!CN$106</f>
        <v>0</v>
      </c>
      <c r="CO12" s="390">
        <f xml:space="preserve"> Time!CO$106</f>
        <v>0</v>
      </c>
      <c r="CP12" s="390">
        <f xml:space="preserve"> Time!CP$106</f>
        <v>0</v>
      </c>
      <c r="CQ12" s="390">
        <f xml:space="preserve"> Time!CQ$106</f>
        <v>0</v>
      </c>
      <c r="CR12" s="390">
        <f xml:space="preserve"> Time!CR$106</f>
        <v>0</v>
      </c>
      <c r="CS12" s="390">
        <f xml:space="preserve"> Time!CS$106</f>
        <v>0</v>
      </c>
      <c r="CT12" s="390">
        <f xml:space="preserve"> Time!CT$106</f>
        <v>0</v>
      </c>
      <c r="CU12" s="390">
        <f xml:space="preserve"> Time!CU$106</f>
        <v>0</v>
      </c>
      <c r="CV12" s="390">
        <f xml:space="preserve"> Time!CV$106</f>
        <v>0</v>
      </c>
    </row>
    <row r="13" spans="1:100" outlineLevel="2" x14ac:dyDescent="0.2">
      <c r="A13" s="236"/>
      <c r="B13" s="236"/>
      <c r="C13" s="237"/>
      <c r="D13" s="238"/>
      <c r="E13" s="235" t="s">
        <v>211</v>
      </c>
      <c r="F13" s="235"/>
      <c r="G13" s="235" t="s">
        <v>103</v>
      </c>
      <c r="H13" s="235"/>
      <c r="I13" s="235"/>
      <c r="J13" s="315">
        <f t="shared" ref="J13:AO13" si="0" xml:space="preserve"> IF( J12 = 1, 1 / ((1 + $F10) ^ (J11 - 1)), 0)</f>
        <v>0</v>
      </c>
      <c r="K13" s="315">
        <f t="shared" si="0"/>
        <v>0</v>
      </c>
      <c r="L13" s="315">
        <f t="shared" si="0"/>
        <v>0</v>
      </c>
      <c r="M13" s="315">
        <f t="shared" si="0"/>
        <v>0</v>
      </c>
      <c r="N13" s="315">
        <f t="shared" si="0"/>
        <v>0</v>
      </c>
      <c r="O13" s="315">
        <f t="shared" si="0"/>
        <v>1</v>
      </c>
      <c r="P13" s="315">
        <f t="shared" si="0"/>
        <v>1</v>
      </c>
      <c r="Q13" s="315">
        <f t="shared" si="0"/>
        <v>0.99800399201596801</v>
      </c>
      <c r="R13" s="315">
        <f t="shared" si="0"/>
        <v>0.99800399201596801</v>
      </c>
      <c r="S13" s="315">
        <f t="shared" si="0"/>
        <v>0.99601196807980852</v>
      </c>
      <c r="T13" s="315">
        <f t="shared" si="0"/>
        <v>0.99601196807980852</v>
      </c>
      <c r="U13" s="315">
        <f t="shared" si="0"/>
        <v>0.99402392023932984</v>
      </c>
      <c r="V13" s="315">
        <f t="shared" si="0"/>
        <v>0.99402392023932984</v>
      </c>
      <c r="W13" s="315">
        <f t="shared" si="0"/>
        <v>0.99203984055821348</v>
      </c>
      <c r="X13" s="315">
        <f t="shared" si="0"/>
        <v>0.99203984055821348</v>
      </c>
      <c r="Y13" s="315">
        <f t="shared" si="0"/>
        <v>0.99005972111598139</v>
      </c>
      <c r="Z13" s="315">
        <f t="shared" si="0"/>
        <v>0.99005972111598139</v>
      </c>
      <c r="AA13" s="315">
        <f t="shared" si="0"/>
        <v>0.98808355400796577</v>
      </c>
      <c r="AB13" s="315">
        <f t="shared" si="0"/>
        <v>0.98808355400796577</v>
      </c>
      <c r="AC13" s="315">
        <f t="shared" si="0"/>
        <v>0.98611133134527518</v>
      </c>
      <c r="AD13" s="315">
        <f t="shared" si="0"/>
        <v>0.98611133134527518</v>
      </c>
      <c r="AE13" s="315">
        <f t="shared" si="0"/>
        <v>0.98414304525476548</v>
      </c>
      <c r="AF13" s="315">
        <f t="shared" si="0"/>
        <v>0.98414304525476548</v>
      </c>
      <c r="AG13" s="315">
        <f t="shared" si="0"/>
        <v>0.98217868787900742</v>
      </c>
      <c r="AH13" s="315">
        <f t="shared" si="0"/>
        <v>0.98217868787900742</v>
      </c>
      <c r="AI13" s="315">
        <f t="shared" si="0"/>
        <v>0.98021825137625518</v>
      </c>
      <c r="AJ13" s="315">
        <f t="shared" si="0"/>
        <v>0.98021825137625518</v>
      </c>
      <c r="AK13" s="315">
        <f t="shared" si="0"/>
        <v>0.97826172792041433</v>
      </c>
      <c r="AL13" s="315">
        <f t="shared" si="0"/>
        <v>0.97826172792041433</v>
      </c>
      <c r="AM13" s="315">
        <f t="shared" si="0"/>
        <v>0.97630910970101226</v>
      </c>
      <c r="AN13" s="315">
        <f t="shared" si="0"/>
        <v>0.97630910970101226</v>
      </c>
      <c r="AO13" s="315">
        <f t="shared" si="0"/>
        <v>0.97436038892316579</v>
      </c>
      <c r="AP13" s="315">
        <f t="shared" ref="AP13:BU13" si="1" xml:space="preserve"> IF( AP12 = 1, 1 / ((1 + $F10) ^ (AP11 - 1)), 0)</f>
        <v>0.97436038892316579</v>
      </c>
      <c r="AQ13" s="315">
        <f t="shared" si="1"/>
        <v>0.97241555780755107</v>
      </c>
      <c r="AR13" s="315">
        <f t="shared" si="1"/>
        <v>0.97241555780755107</v>
      </c>
      <c r="AS13" s="315">
        <f t="shared" si="1"/>
        <v>0.97047460859037005</v>
      </c>
      <c r="AT13" s="315">
        <f t="shared" si="1"/>
        <v>0.97047460859037005</v>
      </c>
      <c r="AU13" s="315">
        <f t="shared" si="1"/>
        <v>0.9685375335233235</v>
      </c>
      <c r="AV13" s="315">
        <f t="shared" si="1"/>
        <v>0.9685375335233235</v>
      </c>
      <c r="AW13" s="315">
        <f t="shared" si="1"/>
        <v>0.96660432487357628</v>
      </c>
      <c r="AX13" s="315">
        <f t="shared" si="1"/>
        <v>0.96660432487357628</v>
      </c>
      <c r="AY13" s="315">
        <f t="shared" si="1"/>
        <v>0.964674974923729</v>
      </c>
      <c r="AZ13" s="315">
        <f t="shared" si="1"/>
        <v>0.964674974923729</v>
      </c>
      <c r="BA13" s="315">
        <f t="shared" si="1"/>
        <v>0.9627494759717854</v>
      </c>
      <c r="BB13" s="315">
        <f t="shared" si="1"/>
        <v>0.9627494759717854</v>
      </c>
      <c r="BC13" s="315">
        <f t="shared" si="1"/>
        <v>0</v>
      </c>
      <c r="BD13" s="315">
        <f t="shared" si="1"/>
        <v>0</v>
      </c>
      <c r="BE13" s="315">
        <f t="shared" si="1"/>
        <v>0</v>
      </c>
      <c r="BF13" s="315">
        <f t="shared" si="1"/>
        <v>0</v>
      </c>
      <c r="BG13" s="315">
        <f t="shared" si="1"/>
        <v>0</v>
      </c>
      <c r="BH13" s="315">
        <f t="shared" si="1"/>
        <v>0</v>
      </c>
      <c r="BI13" s="315">
        <f t="shared" si="1"/>
        <v>0</v>
      </c>
      <c r="BJ13" s="315">
        <f t="shared" si="1"/>
        <v>0</v>
      </c>
      <c r="BK13" s="315">
        <f t="shared" si="1"/>
        <v>0</v>
      </c>
      <c r="BL13" s="315">
        <f t="shared" si="1"/>
        <v>0</v>
      </c>
      <c r="BM13" s="315">
        <f t="shared" si="1"/>
        <v>0</v>
      </c>
      <c r="BN13" s="315">
        <f t="shared" si="1"/>
        <v>0</v>
      </c>
      <c r="BO13" s="315">
        <f t="shared" si="1"/>
        <v>0</v>
      </c>
      <c r="BP13" s="315">
        <f t="shared" si="1"/>
        <v>0</v>
      </c>
      <c r="BQ13" s="315">
        <f t="shared" si="1"/>
        <v>0</v>
      </c>
      <c r="BR13" s="315">
        <f t="shared" si="1"/>
        <v>0</v>
      </c>
      <c r="BS13" s="315">
        <f t="shared" si="1"/>
        <v>0</v>
      </c>
      <c r="BT13" s="315">
        <f t="shared" si="1"/>
        <v>0</v>
      </c>
      <c r="BU13" s="315">
        <f t="shared" si="1"/>
        <v>0</v>
      </c>
      <c r="BV13" s="315">
        <f t="shared" ref="BV13:CV13" si="2" xml:space="preserve"> IF( BV12 = 1, 1 / ((1 + $F10) ^ (BV11 - 1)), 0)</f>
        <v>0</v>
      </c>
      <c r="BW13" s="315">
        <f t="shared" si="2"/>
        <v>0</v>
      </c>
      <c r="BX13" s="315">
        <f t="shared" si="2"/>
        <v>0</v>
      </c>
      <c r="BY13" s="315">
        <f t="shared" si="2"/>
        <v>0</v>
      </c>
      <c r="BZ13" s="315">
        <f t="shared" si="2"/>
        <v>0</v>
      </c>
      <c r="CA13" s="315">
        <f t="shared" si="2"/>
        <v>0</v>
      </c>
      <c r="CB13" s="315">
        <f t="shared" si="2"/>
        <v>0</v>
      </c>
      <c r="CC13" s="315">
        <f t="shared" si="2"/>
        <v>0</v>
      </c>
      <c r="CD13" s="315">
        <f t="shared" si="2"/>
        <v>0</v>
      </c>
      <c r="CE13" s="315">
        <f t="shared" si="2"/>
        <v>0</v>
      </c>
      <c r="CF13" s="315">
        <f t="shared" si="2"/>
        <v>0</v>
      </c>
      <c r="CG13" s="315">
        <f t="shared" si="2"/>
        <v>0</v>
      </c>
      <c r="CH13" s="315">
        <f t="shared" si="2"/>
        <v>0</v>
      </c>
      <c r="CI13" s="315">
        <f t="shared" si="2"/>
        <v>0</v>
      </c>
      <c r="CJ13" s="315">
        <f t="shared" si="2"/>
        <v>0</v>
      </c>
      <c r="CK13" s="315">
        <f t="shared" si="2"/>
        <v>0</v>
      </c>
      <c r="CL13" s="315">
        <f t="shared" si="2"/>
        <v>0</v>
      </c>
      <c r="CM13" s="315">
        <f t="shared" si="2"/>
        <v>0</v>
      </c>
      <c r="CN13" s="315">
        <f t="shared" si="2"/>
        <v>0</v>
      </c>
      <c r="CO13" s="315">
        <f t="shared" si="2"/>
        <v>0</v>
      </c>
      <c r="CP13" s="315">
        <f t="shared" si="2"/>
        <v>0</v>
      </c>
      <c r="CQ13" s="315">
        <f t="shared" si="2"/>
        <v>0</v>
      </c>
      <c r="CR13" s="315">
        <f t="shared" si="2"/>
        <v>0</v>
      </c>
      <c r="CS13" s="315">
        <f t="shared" si="2"/>
        <v>0</v>
      </c>
      <c r="CT13" s="315">
        <f t="shared" si="2"/>
        <v>0</v>
      </c>
      <c r="CU13" s="315">
        <f t="shared" si="2"/>
        <v>0</v>
      </c>
      <c r="CV13" s="315">
        <f t="shared" si="2"/>
        <v>0</v>
      </c>
    </row>
    <row r="14" spans="1:100" outlineLevel="2" x14ac:dyDescent="0.2">
      <c r="A14" s="236"/>
      <c r="B14" s="236"/>
      <c r="C14" s="237"/>
      <c r="D14" s="238"/>
      <c r="E14" s="235"/>
      <c r="F14" s="235"/>
      <c r="G14" s="235"/>
      <c r="H14" s="235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5"/>
      <c r="AH14" s="235"/>
      <c r="AI14" s="235"/>
      <c r="AJ14" s="235"/>
      <c r="AK14" s="235"/>
      <c r="AL14" s="235"/>
      <c r="AM14" s="235"/>
      <c r="AN14" s="235"/>
      <c r="AO14" s="235"/>
      <c r="AP14" s="235"/>
      <c r="AQ14" s="235"/>
      <c r="AR14" s="235"/>
      <c r="AS14" s="235"/>
      <c r="AT14" s="235"/>
      <c r="AU14" s="235"/>
      <c r="AV14" s="235"/>
      <c r="AW14" s="235"/>
      <c r="AX14" s="235"/>
      <c r="AY14" s="235"/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  <c r="BV14" s="235"/>
      <c r="BW14" s="235"/>
      <c r="BX14" s="235"/>
      <c r="BY14" s="235"/>
      <c r="BZ14" s="235"/>
      <c r="CA14" s="235"/>
      <c r="CB14" s="235"/>
      <c r="CC14" s="235"/>
      <c r="CD14" s="235"/>
      <c r="CE14" s="235"/>
      <c r="CF14" s="235"/>
      <c r="CG14" s="235"/>
      <c r="CH14" s="235"/>
      <c r="CI14" s="235"/>
      <c r="CJ14" s="235"/>
      <c r="CK14" s="235"/>
      <c r="CL14" s="235"/>
      <c r="CM14" s="235"/>
      <c r="CN14" s="235"/>
      <c r="CO14" s="235"/>
      <c r="CP14" s="235"/>
      <c r="CQ14" s="235"/>
      <c r="CR14" s="235"/>
      <c r="CS14" s="235"/>
      <c r="CT14" s="235"/>
      <c r="CU14" s="235"/>
      <c r="CV14" s="235"/>
    </row>
    <row r="15" spans="1:100" outlineLevel="2" x14ac:dyDescent="0.2">
      <c r="A15" s="451"/>
      <c r="B15" s="451"/>
      <c r="C15" s="452"/>
      <c r="D15" s="316"/>
      <c r="E15" s="316" t="str">
        <f xml:space="preserve"> InpC!E$76</f>
        <v>S1 seasonal adjustment</v>
      </c>
      <c r="F15" s="316">
        <f xml:space="preserve"> InpC!F$76</f>
        <v>0.5</v>
      </c>
      <c r="G15" s="316" t="str">
        <f xml:space="preserve"> InpC!G$76</f>
        <v>% of annual yield</v>
      </c>
      <c r="H15" s="316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G15" s="453"/>
      <c r="AH15" s="453"/>
      <c r="AI15" s="453"/>
      <c r="AJ15" s="453"/>
      <c r="AK15" s="453"/>
      <c r="AL15" s="453"/>
      <c r="AM15" s="453"/>
      <c r="AN15" s="453"/>
      <c r="AO15" s="453"/>
      <c r="AP15" s="453"/>
      <c r="AQ15" s="453"/>
      <c r="AR15" s="453"/>
      <c r="AS15" s="453"/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3"/>
      <c r="BH15" s="453"/>
      <c r="BI15" s="453"/>
      <c r="BJ15" s="453"/>
      <c r="BK15" s="453"/>
      <c r="BL15" s="453"/>
      <c r="BM15" s="453"/>
      <c r="BN15" s="453"/>
      <c r="BO15" s="453"/>
      <c r="BP15" s="453"/>
      <c r="BQ15" s="453"/>
      <c r="BR15" s="453"/>
      <c r="BS15" s="453"/>
      <c r="BT15" s="453"/>
      <c r="BU15" s="453"/>
      <c r="BV15" s="453"/>
      <c r="BW15" s="453"/>
      <c r="BX15" s="453"/>
      <c r="BY15" s="453"/>
      <c r="BZ15" s="453"/>
      <c r="CA15" s="453"/>
      <c r="CB15" s="453"/>
      <c r="CC15" s="453"/>
      <c r="CD15" s="453"/>
      <c r="CE15" s="453"/>
      <c r="CF15" s="453"/>
      <c r="CG15" s="453"/>
      <c r="CH15" s="453"/>
      <c r="CI15" s="453"/>
      <c r="CJ15" s="453"/>
      <c r="CK15" s="453"/>
      <c r="CL15" s="453"/>
      <c r="CM15" s="453"/>
      <c r="CN15" s="453"/>
      <c r="CO15" s="453"/>
      <c r="CP15" s="453"/>
      <c r="CQ15" s="453"/>
      <c r="CR15" s="453"/>
      <c r="CS15" s="453"/>
      <c r="CT15" s="453"/>
      <c r="CU15" s="453"/>
      <c r="CV15" s="453"/>
    </row>
    <row r="16" spans="1:100" outlineLevel="2" x14ac:dyDescent="0.2">
      <c r="A16" s="451"/>
      <c r="B16" s="451"/>
      <c r="C16" s="452"/>
      <c r="D16" s="316"/>
      <c r="E16" s="316" t="str">
        <f xml:space="preserve"> InpC!E$77</f>
        <v>S2 seasonal adjustment</v>
      </c>
      <c r="F16" s="316">
        <f xml:space="preserve"> InpC!F$77</f>
        <v>0.5</v>
      </c>
      <c r="G16" s="316" t="str">
        <f xml:space="preserve"> InpC!G$77</f>
        <v>% of annual yield</v>
      </c>
      <c r="H16" s="316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  <c r="AE16" s="453"/>
      <c r="AF16" s="453"/>
      <c r="AG16" s="453"/>
      <c r="AH16" s="453"/>
      <c r="AI16" s="453"/>
      <c r="AJ16" s="453"/>
      <c r="AK16" s="453"/>
      <c r="AL16" s="453"/>
      <c r="AM16" s="453"/>
      <c r="AN16" s="453"/>
      <c r="AO16" s="453"/>
      <c r="AP16" s="453"/>
      <c r="AQ16" s="453"/>
      <c r="AR16" s="453"/>
      <c r="AS16" s="453"/>
      <c r="AT16" s="453"/>
      <c r="AU16" s="453"/>
      <c r="AV16" s="453"/>
      <c r="AW16" s="453"/>
      <c r="AX16" s="453"/>
      <c r="AY16" s="453"/>
      <c r="AZ16" s="453"/>
      <c r="BA16" s="453"/>
      <c r="BB16" s="453"/>
      <c r="BC16" s="453"/>
      <c r="BD16" s="453"/>
      <c r="BE16" s="453"/>
      <c r="BF16" s="453"/>
      <c r="BG16" s="453"/>
      <c r="BH16" s="453"/>
      <c r="BI16" s="453"/>
      <c r="BJ16" s="453"/>
      <c r="BK16" s="453"/>
      <c r="BL16" s="453"/>
      <c r="BM16" s="453"/>
      <c r="BN16" s="453"/>
      <c r="BO16" s="453"/>
      <c r="BP16" s="453"/>
      <c r="BQ16" s="453"/>
      <c r="BR16" s="453"/>
      <c r="BS16" s="453"/>
      <c r="BT16" s="453"/>
      <c r="BU16" s="453"/>
      <c r="BV16" s="453"/>
      <c r="BW16" s="453"/>
      <c r="BX16" s="453"/>
      <c r="BY16" s="453"/>
      <c r="BZ16" s="453"/>
      <c r="CA16" s="453"/>
      <c r="CB16" s="453"/>
      <c r="CC16" s="453"/>
      <c r="CD16" s="453"/>
      <c r="CE16" s="453"/>
      <c r="CF16" s="453"/>
      <c r="CG16" s="453"/>
      <c r="CH16" s="453"/>
      <c r="CI16" s="453"/>
      <c r="CJ16" s="453"/>
      <c r="CK16" s="453"/>
      <c r="CL16" s="453"/>
      <c r="CM16" s="453"/>
      <c r="CN16" s="453"/>
      <c r="CO16" s="453"/>
      <c r="CP16" s="453"/>
      <c r="CQ16" s="453"/>
      <c r="CR16" s="453"/>
      <c r="CS16" s="453"/>
      <c r="CT16" s="453"/>
      <c r="CU16" s="453"/>
      <c r="CV16" s="453"/>
    </row>
    <row r="17" spans="1:100" outlineLevel="2" x14ac:dyDescent="0.2">
      <c r="A17" s="85"/>
      <c r="B17" s="85"/>
      <c r="C17" s="86"/>
      <c r="D17" s="87"/>
      <c r="E17" s="77" t="str">
        <f xml:space="preserve"> Time!E$234</f>
        <v>Contract year semi-annual period</v>
      </c>
      <c r="F17" s="77">
        <f xml:space="preserve"> Time!F$234</f>
        <v>0</v>
      </c>
      <c r="G17" s="77" t="str">
        <f xml:space="preserve"> Time!G$234</f>
        <v>counter</v>
      </c>
      <c r="H17" s="77">
        <f xml:space="preserve"> Time!H$234</f>
        <v>0</v>
      </c>
      <c r="I17" s="77">
        <f xml:space="preserve"> Time!I$234</f>
        <v>0</v>
      </c>
      <c r="J17" s="77">
        <f xml:space="preserve"> Time!J$234</f>
        <v>0</v>
      </c>
      <c r="K17" s="77">
        <f xml:space="preserve"> Time!K$234</f>
        <v>0</v>
      </c>
      <c r="L17" s="77">
        <f xml:space="preserve"> Time!L$234</f>
        <v>0</v>
      </c>
      <c r="M17" s="77">
        <f xml:space="preserve"> Time!M$234</f>
        <v>0</v>
      </c>
      <c r="N17" s="77">
        <f xml:space="preserve"> Time!N$234</f>
        <v>0</v>
      </c>
      <c r="O17" s="77">
        <f xml:space="preserve"> Time!O$234</f>
        <v>1</v>
      </c>
      <c r="P17" s="77">
        <f xml:space="preserve"> Time!P$234</f>
        <v>2</v>
      </c>
      <c r="Q17" s="77">
        <f xml:space="preserve"> Time!Q$234</f>
        <v>1</v>
      </c>
      <c r="R17" s="77">
        <f xml:space="preserve"> Time!R$234</f>
        <v>2</v>
      </c>
      <c r="S17" s="77">
        <f xml:space="preserve"> Time!S$234</f>
        <v>1</v>
      </c>
      <c r="T17" s="77">
        <f xml:space="preserve"> Time!T$234</f>
        <v>2</v>
      </c>
      <c r="U17" s="77">
        <f xml:space="preserve"> Time!U$234</f>
        <v>1</v>
      </c>
      <c r="V17" s="77">
        <f xml:space="preserve"> Time!V$234</f>
        <v>2</v>
      </c>
      <c r="W17" s="77">
        <f xml:space="preserve"> Time!W$234</f>
        <v>1</v>
      </c>
      <c r="X17" s="77">
        <f xml:space="preserve"> Time!X$234</f>
        <v>2</v>
      </c>
      <c r="Y17" s="77">
        <f xml:space="preserve"> Time!Y$234</f>
        <v>1</v>
      </c>
      <c r="Z17" s="77">
        <f xml:space="preserve"> Time!Z$234</f>
        <v>2</v>
      </c>
      <c r="AA17" s="77">
        <f xml:space="preserve"> Time!AA$234</f>
        <v>1</v>
      </c>
      <c r="AB17" s="77">
        <f xml:space="preserve"> Time!AB$234</f>
        <v>2</v>
      </c>
      <c r="AC17" s="77">
        <f xml:space="preserve"> Time!AC$234</f>
        <v>1</v>
      </c>
      <c r="AD17" s="77">
        <f xml:space="preserve"> Time!AD$234</f>
        <v>2</v>
      </c>
      <c r="AE17" s="77">
        <f xml:space="preserve"> Time!AE$234</f>
        <v>1</v>
      </c>
      <c r="AF17" s="77">
        <f xml:space="preserve"> Time!AF$234</f>
        <v>2</v>
      </c>
      <c r="AG17" s="77">
        <f xml:space="preserve"> Time!AG$234</f>
        <v>1</v>
      </c>
      <c r="AH17" s="77">
        <f xml:space="preserve"> Time!AH$234</f>
        <v>2</v>
      </c>
      <c r="AI17" s="77">
        <f xml:space="preserve"> Time!AI$234</f>
        <v>1</v>
      </c>
      <c r="AJ17" s="77">
        <f xml:space="preserve"> Time!AJ$234</f>
        <v>2</v>
      </c>
      <c r="AK17" s="77">
        <f xml:space="preserve"> Time!AK$234</f>
        <v>1</v>
      </c>
      <c r="AL17" s="77">
        <f xml:space="preserve"> Time!AL$234</f>
        <v>2</v>
      </c>
      <c r="AM17" s="77">
        <f xml:space="preserve"> Time!AM$234</f>
        <v>1</v>
      </c>
      <c r="AN17" s="77">
        <f xml:space="preserve"> Time!AN$234</f>
        <v>2</v>
      </c>
      <c r="AO17" s="77">
        <f xml:space="preserve"> Time!AO$234</f>
        <v>1</v>
      </c>
      <c r="AP17" s="77">
        <f xml:space="preserve"> Time!AP$234</f>
        <v>2</v>
      </c>
      <c r="AQ17" s="77">
        <f xml:space="preserve"> Time!AQ$234</f>
        <v>1</v>
      </c>
      <c r="AR17" s="77">
        <f xml:space="preserve"> Time!AR$234</f>
        <v>2</v>
      </c>
      <c r="AS17" s="77">
        <f xml:space="preserve"> Time!AS$234</f>
        <v>1</v>
      </c>
      <c r="AT17" s="77">
        <f xml:space="preserve"> Time!AT$234</f>
        <v>2</v>
      </c>
      <c r="AU17" s="77">
        <f xml:space="preserve"> Time!AU$234</f>
        <v>1</v>
      </c>
      <c r="AV17" s="77">
        <f xml:space="preserve"> Time!AV$234</f>
        <v>2</v>
      </c>
      <c r="AW17" s="77">
        <f xml:space="preserve"> Time!AW$234</f>
        <v>1</v>
      </c>
      <c r="AX17" s="77">
        <f xml:space="preserve"> Time!AX$234</f>
        <v>2</v>
      </c>
      <c r="AY17" s="77">
        <f xml:space="preserve"> Time!AY$234</f>
        <v>1</v>
      </c>
      <c r="AZ17" s="77">
        <f xml:space="preserve"> Time!AZ$234</f>
        <v>2</v>
      </c>
      <c r="BA17" s="77">
        <f xml:space="preserve"> Time!BA$234</f>
        <v>1</v>
      </c>
      <c r="BB17" s="77">
        <f xml:space="preserve"> Time!BB$234</f>
        <v>2</v>
      </c>
      <c r="BC17" s="77">
        <f xml:space="preserve"> Time!BC$234</f>
        <v>0</v>
      </c>
      <c r="BD17" s="77">
        <f xml:space="preserve"> Time!BD$234</f>
        <v>0</v>
      </c>
      <c r="BE17" s="77">
        <f xml:space="preserve"> Time!BE$234</f>
        <v>0</v>
      </c>
      <c r="BF17" s="77">
        <f xml:space="preserve"> Time!BF$234</f>
        <v>0</v>
      </c>
      <c r="BG17" s="77">
        <f xml:space="preserve"> Time!BG$234</f>
        <v>0</v>
      </c>
      <c r="BH17" s="77">
        <f xml:space="preserve"> Time!BH$234</f>
        <v>0</v>
      </c>
      <c r="BI17" s="77">
        <f xml:space="preserve"> Time!BI$234</f>
        <v>0</v>
      </c>
      <c r="BJ17" s="77">
        <f xml:space="preserve"> Time!BJ$234</f>
        <v>0</v>
      </c>
      <c r="BK17" s="77">
        <f xml:space="preserve"> Time!BK$234</f>
        <v>0</v>
      </c>
      <c r="BL17" s="77">
        <f xml:space="preserve"> Time!BL$234</f>
        <v>0</v>
      </c>
      <c r="BM17" s="77">
        <f xml:space="preserve"> Time!BM$234</f>
        <v>0</v>
      </c>
      <c r="BN17" s="77">
        <f xml:space="preserve"> Time!BN$234</f>
        <v>0</v>
      </c>
      <c r="BO17" s="77">
        <f xml:space="preserve"> Time!BO$234</f>
        <v>0</v>
      </c>
      <c r="BP17" s="77">
        <f xml:space="preserve"> Time!BP$234</f>
        <v>0</v>
      </c>
      <c r="BQ17" s="77">
        <f xml:space="preserve"> Time!BQ$234</f>
        <v>0</v>
      </c>
      <c r="BR17" s="77">
        <f xml:space="preserve"> Time!BR$234</f>
        <v>0</v>
      </c>
      <c r="BS17" s="77">
        <f xml:space="preserve"> Time!BS$234</f>
        <v>0</v>
      </c>
      <c r="BT17" s="77">
        <f xml:space="preserve"> Time!BT$234</f>
        <v>0</v>
      </c>
      <c r="BU17" s="77">
        <f xml:space="preserve"> Time!BU$234</f>
        <v>0</v>
      </c>
      <c r="BV17" s="77">
        <f xml:space="preserve"> Time!BV$234</f>
        <v>0</v>
      </c>
      <c r="BW17" s="77">
        <f xml:space="preserve"> Time!BW$234</f>
        <v>0</v>
      </c>
      <c r="BX17" s="77">
        <f xml:space="preserve"> Time!BX$234</f>
        <v>0</v>
      </c>
      <c r="BY17" s="77">
        <f xml:space="preserve"> Time!BY$234</f>
        <v>0</v>
      </c>
      <c r="BZ17" s="77">
        <f xml:space="preserve"> Time!BZ$234</f>
        <v>0</v>
      </c>
      <c r="CA17" s="77">
        <f xml:space="preserve"> Time!CA$234</f>
        <v>0</v>
      </c>
      <c r="CB17" s="77">
        <f xml:space="preserve"> Time!CB$234</f>
        <v>0</v>
      </c>
      <c r="CC17" s="77">
        <f xml:space="preserve"> Time!CC$234</f>
        <v>0</v>
      </c>
      <c r="CD17" s="77">
        <f xml:space="preserve"> Time!CD$234</f>
        <v>0</v>
      </c>
      <c r="CE17" s="77">
        <f xml:space="preserve"> Time!CE$234</f>
        <v>0</v>
      </c>
      <c r="CF17" s="77">
        <f xml:space="preserve"> Time!CF$234</f>
        <v>0</v>
      </c>
      <c r="CG17" s="77">
        <f xml:space="preserve"> Time!CG$234</f>
        <v>0</v>
      </c>
      <c r="CH17" s="77">
        <f xml:space="preserve"> Time!CH$234</f>
        <v>0</v>
      </c>
      <c r="CI17" s="77">
        <f xml:space="preserve"> Time!CI$234</f>
        <v>0</v>
      </c>
      <c r="CJ17" s="77">
        <f xml:space="preserve"> Time!CJ$234</f>
        <v>0</v>
      </c>
      <c r="CK17" s="77">
        <f xml:space="preserve"> Time!CK$234</f>
        <v>0</v>
      </c>
      <c r="CL17" s="77">
        <f xml:space="preserve"> Time!CL$234</f>
        <v>0</v>
      </c>
      <c r="CM17" s="77">
        <f xml:space="preserve"> Time!CM$234</f>
        <v>0</v>
      </c>
      <c r="CN17" s="77">
        <f xml:space="preserve"> Time!CN$234</f>
        <v>0</v>
      </c>
      <c r="CO17" s="77">
        <f xml:space="preserve"> Time!CO$234</f>
        <v>0</v>
      </c>
      <c r="CP17" s="77">
        <f xml:space="preserve"> Time!CP$234</f>
        <v>0</v>
      </c>
      <c r="CQ17" s="77">
        <f xml:space="preserve"> Time!CQ$234</f>
        <v>0</v>
      </c>
      <c r="CR17" s="77">
        <f xml:space="preserve"> Time!CR$234</f>
        <v>0</v>
      </c>
      <c r="CS17" s="77">
        <f xml:space="preserve"> Time!CS$234</f>
        <v>0</v>
      </c>
      <c r="CT17" s="77">
        <f xml:space="preserve"> Time!CT$234</f>
        <v>0</v>
      </c>
      <c r="CU17" s="77">
        <f xml:space="preserve"> Time!CU$234</f>
        <v>0</v>
      </c>
      <c r="CV17" s="77">
        <f xml:space="preserve"> Time!CV$234</f>
        <v>0</v>
      </c>
    </row>
    <row r="18" spans="1:100" outlineLevel="2" x14ac:dyDescent="0.2">
      <c r="A18" s="85"/>
      <c r="B18" s="85"/>
      <c r="C18" s="86"/>
      <c r="D18" s="87"/>
      <c r="E18" s="390" t="str">
        <f xml:space="preserve"> Time!E$106</f>
        <v>Operating period flag</v>
      </c>
      <c r="F18" s="390">
        <f xml:space="preserve"> Time!F$106</f>
        <v>0</v>
      </c>
      <c r="G18" s="390" t="str">
        <f xml:space="preserve"> Time!G$106</f>
        <v>flag</v>
      </c>
      <c r="H18" s="390">
        <f xml:space="preserve"> Time!H$106</f>
        <v>40</v>
      </c>
      <c r="I18" s="390">
        <f xml:space="preserve"> Time!I$106</f>
        <v>0</v>
      </c>
      <c r="J18" s="390">
        <f xml:space="preserve"> Time!J$106</f>
        <v>0</v>
      </c>
      <c r="K18" s="390">
        <f xml:space="preserve"> Time!K$106</f>
        <v>0</v>
      </c>
      <c r="L18" s="390">
        <f xml:space="preserve"> Time!L$106</f>
        <v>0</v>
      </c>
      <c r="M18" s="390">
        <f xml:space="preserve"> Time!M$106</f>
        <v>0</v>
      </c>
      <c r="N18" s="390">
        <f xml:space="preserve"> Time!N$106</f>
        <v>0</v>
      </c>
      <c r="O18" s="390">
        <f xml:space="preserve"> Time!O$106</f>
        <v>1</v>
      </c>
      <c r="P18" s="390">
        <f xml:space="preserve"> Time!P$106</f>
        <v>1</v>
      </c>
      <c r="Q18" s="390">
        <f xml:space="preserve"> Time!Q$106</f>
        <v>1</v>
      </c>
      <c r="R18" s="390">
        <f xml:space="preserve"> Time!R$106</f>
        <v>1</v>
      </c>
      <c r="S18" s="390">
        <f xml:space="preserve"> Time!S$106</f>
        <v>1</v>
      </c>
      <c r="T18" s="390">
        <f xml:space="preserve"> Time!T$106</f>
        <v>1</v>
      </c>
      <c r="U18" s="390">
        <f xml:space="preserve"> Time!U$106</f>
        <v>1</v>
      </c>
      <c r="V18" s="390">
        <f xml:space="preserve"> Time!V$106</f>
        <v>1</v>
      </c>
      <c r="W18" s="390">
        <f xml:space="preserve"> Time!W$106</f>
        <v>1</v>
      </c>
      <c r="X18" s="390">
        <f xml:space="preserve"> Time!X$106</f>
        <v>1</v>
      </c>
      <c r="Y18" s="390">
        <f xml:space="preserve"> Time!Y$106</f>
        <v>1</v>
      </c>
      <c r="Z18" s="390">
        <f xml:space="preserve"> Time!Z$106</f>
        <v>1</v>
      </c>
      <c r="AA18" s="390">
        <f xml:space="preserve"> Time!AA$106</f>
        <v>1</v>
      </c>
      <c r="AB18" s="390">
        <f xml:space="preserve"> Time!AB$106</f>
        <v>1</v>
      </c>
      <c r="AC18" s="390">
        <f xml:space="preserve"> Time!AC$106</f>
        <v>1</v>
      </c>
      <c r="AD18" s="390">
        <f xml:space="preserve"> Time!AD$106</f>
        <v>1</v>
      </c>
      <c r="AE18" s="390">
        <f xml:space="preserve"> Time!AE$106</f>
        <v>1</v>
      </c>
      <c r="AF18" s="390">
        <f xml:space="preserve"> Time!AF$106</f>
        <v>1</v>
      </c>
      <c r="AG18" s="390">
        <f xml:space="preserve"> Time!AG$106</f>
        <v>1</v>
      </c>
      <c r="AH18" s="390">
        <f xml:space="preserve"> Time!AH$106</f>
        <v>1</v>
      </c>
      <c r="AI18" s="390">
        <f xml:space="preserve"> Time!AI$106</f>
        <v>1</v>
      </c>
      <c r="AJ18" s="390">
        <f xml:space="preserve"> Time!AJ$106</f>
        <v>1</v>
      </c>
      <c r="AK18" s="390">
        <f xml:space="preserve"> Time!AK$106</f>
        <v>1</v>
      </c>
      <c r="AL18" s="390">
        <f xml:space="preserve"> Time!AL$106</f>
        <v>1</v>
      </c>
      <c r="AM18" s="390">
        <f xml:space="preserve"> Time!AM$106</f>
        <v>1</v>
      </c>
      <c r="AN18" s="390">
        <f xml:space="preserve"> Time!AN$106</f>
        <v>1</v>
      </c>
      <c r="AO18" s="390">
        <f xml:space="preserve"> Time!AO$106</f>
        <v>1</v>
      </c>
      <c r="AP18" s="390">
        <f xml:space="preserve"> Time!AP$106</f>
        <v>1</v>
      </c>
      <c r="AQ18" s="390">
        <f xml:space="preserve"> Time!AQ$106</f>
        <v>1</v>
      </c>
      <c r="AR18" s="390">
        <f xml:space="preserve"> Time!AR$106</f>
        <v>1</v>
      </c>
      <c r="AS18" s="390">
        <f xml:space="preserve"> Time!AS$106</f>
        <v>1</v>
      </c>
      <c r="AT18" s="390">
        <f xml:space="preserve"> Time!AT$106</f>
        <v>1</v>
      </c>
      <c r="AU18" s="390">
        <f xml:space="preserve"> Time!AU$106</f>
        <v>1</v>
      </c>
      <c r="AV18" s="390">
        <f xml:space="preserve"> Time!AV$106</f>
        <v>1</v>
      </c>
      <c r="AW18" s="390">
        <f xml:space="preserve"> Time!AW$106</f>
        <v>1</v>
      </c>
      <c r="AX18" s="390">
        <f xml:space="preserve"> Time!AX$106</f>
        <v>1</v>
      </c>
      <c r="AY18" s="390">
        <f xml:space="preserve"> Time!AY$106</f>
        <v>1</v>
      </c>
      <c r="AZ18" s="390">
        <f xml:space="preserve"> Time!AZ$106</f>
        <v>1</v>
      </c>
      <c r="BA18" s="390">
        <f xml:space="preserve"> Time!BA$106</f>
        <v>1</v>
      </c>
      <c r="BB18" s="390">
        <f xml:space="preserve"> Time!BB$106</f>
        <v>1</v>
      </c>
      <c r="BC18" s="390">
        <f xml:space="preserve"> Time!BC$106</f>
        <v>0</v>
      </c>
      <c r="BD18" s="390">
        <f xml:space="preserve"> Time!BD$106</f>
        <v>0</v>
      </c>
      <c r="BE18" s="390">
        <f xml:space="preserve"> Time!BE$106</f>
        <v>0</v>
      </c>
      <c r="BF18" s="390">
        <f xml:space="preserve"> Time!BF$106</f>
        <v>0</v>
      </c>
      <c r="BG18" s="390">
        <f xml:space="preserve"> Time!BG$106</f>
        <v>0</v>
      </c>
      <c r="BH18" s="390">
        <f xml:space="preserve"> Time!BH$106</f>
        <v>0</v>
      </c>
      <c r="BI18" s="390">
        <f xml:space="preserve"> Time!BI$106</f>
        <v>0</v>
      </c>
      <c r="BJ18" s="390">
        <f xml:space="preserve"> Time!BJ$106</f>
        <v>0</v>
      </c>
      <c r="BK18" s="390">
        <f xml:space="preserve"> Time!BK$106</f>
        <v>0</v>
      </c>
      <c r="BL18" s="390">
        <f xml:space="preserve"> Time!BL$106</f>
        <v>0</v>
      </c>
      <c r="BM18" s="390">
        <f xml:space="preserve"> Time!BM$106</f>
        <v>0</v>
      </c>
      <c r="BN18" s="390">
        <f xml:space="preserve"> Time!BN$106</f>
        <v>0</v>
      </c>
      <c r="BO18" s="390">
        <f xml:space="preserve"> Time!BO$106</f>
        <v>0</v>
      </c>
      <c r="BP18" s="390">
        <f xml:space="preserve"> Time!BP$106</f>
        <v>0</v>
      </c>
      <c r="BQ18" s="390">
        <f xml:space="preserve"> Time!BQ$106</f>
        <v>0</v>
      </c>
      <c r="BR18" s="390">
        <f xml:space="preserve"> Time!BR$106</f>
        <v>0</v>
      </c>
      <c r="BS18" s="390">
        <f xml:space="preserve"> Time!BS$106</f>
        <v>0</v>
      </c>
      <c r="BT18" s="390">
        <f xml:space="preserve"> Time!BT$106</f>
        <v>0</v>
      </c>
      <c r="BU18" s="390">
        <f xml:space="preserve"> Time!BU$106</f>
        <v>0</v>
      </c>
      <c r="BV18" s="390">
        <f xml:space="preserve"> Time!BV$106</f>
        <v>0</v>
      </c>
      <c r="BW18" s="390">
        <f xml:space="preserve"> Time!BW$106</f>
        <v>0</v>
      </c>
      <c r="BX18" s="390">
        <f xml:space="preserve"> Time!BX$106</f>
        <v>0</v>
      </c>
      <c r="BY18" s="390">
        <f xml:space="preserve"> Time!BY$106</f>
        <v>0</v>
      </c>
      <c r="BZ18" s="390">
        <f xml:space="preserve"> Time!BZ$106</f>
        <v>0</v>
      </c>
      <c r="CA18" s="390">
        <f xml:space="preserve"> Time!CA$106</f>
        <v>0</v>
      </c>
      <c r="CB18" s="390">
        <f xml:space="preserve"> Time!CB$106</f>
        <v>0</v>
      </c>
      <c r="CC18" s="390">
        <f xml:space="preserve"> Time!CC$106</f>
        <v>0</v>
      </c>
      <c r="CD18" s="390">
        <f xml:space="preserve"> Time!CD$106</f>
        <v>0</v>
      </c>
      <c r="CE18" s="390">
        <f xml:space="preserve"> Time!CE$106</f>
        <v>0</v>
      </c>
      <c r="CF18" s="390">
        <f xml:space="preserve"> Time!CF$106</f>
        <v>0</v>
      </c>
      <c r="CG18" s="390">
        <f xml:space="preserve"> Time!CG$106</f>
        <v>0</v>
      </c>
      <c r="CH18" s="390">
        <f xml:space="preserve"> Time!CH$106</f>
        <v>0</v>
      </c>
      <c r="CI18" s="390">
        <f xml:space="preserve"> Time!CI$106</f>
        <v>0</v>
      </c>
      <c r="CJ18" s="390">
        <f xml:space="preserve"> Time!CJ$106</f>
        <v>0</v>
      </c>
      <c r="CK18" s="390">
        <f xml:space="preserve"> Time!CK$106</f>
        <v>0</v>
      </c>
      <c r="CL18" s="390">
        <f xml:space="preserve"> Time!CL$106</f>
        <v>0</v>
      </c>
      <c r="CM18" s="390">
        <f xml:space="preserve"> Time!CM$106</f>
        <v>0</v>
      </c>
      <c r="CN18" s="390">
        <f xml:space="preserve"> Time!CN$106</f>
        <v>0</v>
      </c>
      <c r="CO18" s="390">
        <f xml:space="preserve"> Time!CO$106</f>
        <v>0</v>
      </c>
      <c r="CP18" s="390">
        <f xml:space="preserve"> Time!CP$106</f>
        <v>0</v>
      </c>
      <c r="CQ18" s="390">
        <f xml:space="preserve"> Time!CQ$106</f>
        <v>0</v>
      </c>
      <c r="CR18" s="390">
        <f xml:space="preserve"> Time!CR$106</f>
        <v>0</v>
      </c>
      <c r="CS18" s="390">
        <f xml:space="preserve"> Time!CS$106</f>
        <v>0</v>
      </c>
      <c r="CT18" s="390">
        <f xml:space="preserve"> Time!CT$106</f>
        <v>0</v>
      </c>
      <c r="CU18" s="390">
        <f xml:space="preserve"> Time!CU$106</f>
        <v>0</v>
      </c>
      <c r="CV18" s="390">
        <f xml:space="preserve"> Time!CV$106</f>
        <v>0</v>
      </c>
    </row>
    <row r="19" spans="1:100" outlineLevel="2" x14ac:dyDescent="0.2">
      <c r="A19" s="236"/>
      <c r="B19" s="236"/>
      <c r="C19" s="237"/>
      <c r="D19" s="238"/>
      <c r="E19" s="235" t="s">
        <v>117</v>
      </c>
      <c r="F19" s="235"/>
      <c r="G19" s="235" t="s">
        <v>103</v>
      </c>
      <c r="H19" s="235"/>
      <c r="I19" s="235"/>
      <c r="J19" s="315">
        <f t="shared" ref="J19:AO19" si="3" xml:space="preserve"> IF(J18 = 1, INDEX($F15:$F16, J17), 0)</f>
        <v>0</v>
      </c>
      <c r="K19" s="315">
        <f t="shared" si="3"/>
        <v>0</v>
      </c>
      <c r="L19" s="315">
        <f t="shared" si="3"/>
        <v>0</v>
      </c>
      <c r="M19" s="315">
        <f t="shared" si="3"/>
        <v>0</v>
      </c>
      <c r="N19" s="315">
        <f t="shared" si="3"/>
        <v>0</v>
      </c>
      <c r="O19" s="315">
        <f t="shared" si="3"/>
        <v>0.5</v>
      </c>
      <c r="P19" s="315">
        <f t="shared" si="3"/>
        <v>0.5</v>
      </c>
      <c r="Q19" s="315">
        <f t="shared" si="3"/>
        <v>0.5</v>
      </c>
      <c r="R19" s="315">
        <f t="shared" si="3"/>
        <v>0.5</v>
      </c>
      <c r="S19" s="315">
        <f t="shared" si="3"/>
        <v>0.5</v>
      </c>
      <c r="T19" s="315">
        <f t="shared" si="3"/>
        <v>0.5</v>
      </c>
      <c r="U19" s="315">
        <f t="shared" si="3"/>
        <v>0.5</v>
      </c>
      <c r="V19" s="315">
        <f t="shared" si="3"/>
        <v>0.5</v>
      </c>
      <c r="W19" s="315">
        <f t="shared" si="3"/>
        <v>0.5</v>
      </c>
      <c r="X19" s="315">
        <f t="shared" si="3"/>
        <v>0.5</v>
      </c>
      <c r="Y19" s="315">
        <f t="shared" si="3"/>
        <v>0.5</v>
      </c>
      <c r="Z19" s="315">
        <f t="shared" si="3"/>
        <v>0.5</v>
      </c>
      <c r="AA19" s="315">
        <f t="shared" si="3"/>
        <v>0.5</v>
      </c>
      <c r="AB19" s="315">
        <f t="shared" si="3"/>
        <v>0.5</v>
      </c>
      <c r="AC19" s="315">
        <f t="shared" si="3"/>
        <v>0.5</v>
      </c>
      <c r="AD19" s="315">
        <f t="shared" si="3"/>
        <v>0.5</v>
      </c>
      <c r="AE19" s="315">
        <f t="shared" si="3"/>
        <v>0.5</v>
      </c>
      <c r="AF19" s="315">
        <f t="shared" si="3"/>
        <v>0.5</v>
      </c>
      <c r="AG19" s="315">
        <f t="shared" si="3"/>
        <v>0.5</v>
      </c>
      <c r="AH19" s="315">
        <f t="shared" si="3"/>
        <v>0.5</v>
      </c>
      <c r="AI19" s="315">
        <f t="shared" si="3"/>
        <v>0.5</v>
      </c>
      <c r="AJ19" s="315">
        <f t="shared" si="3"/>
        <v>0.5</v>
      </c>
      <c r="AK19" s="315">
        <f t="shared" si="3"/>
        <v>0.5</v>
      </c>
      <c r="AL19" s="315">
        <f t="shared" si="3"/>
        <v>0.5</v>
      </c>
      <c r="AM19" s="315">
        <f t="shared" si="3"/>
        <v>0.5</v>
      </c>
      <c r="AN19" s="315">
        <f t="shared" si="3"/>
        <v>0.5</v>
      </c>
      <c r="AO19" s="315">
        <f t="shared" si="3"/>
        <v>0.5</v>
      </c>
      <c r="AP19" s="315">
        <f t="shared" ref="AP19:BU19" si="4" xml:space="preserve"> IF(AP18 = 1, INDEX($F15:$F16, AP17), 0)</f>
        <v>0.5</v>
      </c>
      <c r="AQ19" s="315">
        <f t="shared" si="4"/>
        <v>0.5</v>
      </c>
      <c r="AR19" s="315">
        <f t="shared" si="4"/>
        <v>0.5</v>
      </c>
      <c r="AS19" s="315">
        <f t="shared" si="4"/>
        <v>0.5</v>
      </c>
      <c r="AT19" s="315">
        <f t="shared" si="4"/>
        <v>0.5</v>
      </c>
      <c r="AU19" s="315">
        <f t="shared" si="4"/>
        <v>0.5</v>
      </c>
      <c r="AV19" s="315">
        <f t="shared" si="4"/>
        <v>0.5</v>
      </c>
      <c r="AW19" s="315">
        <f t="shared" si="4"/>
        <v>0.5</v>
      </c>
      <c r="AX19" s="315">
        <f t="shared" si="4"/>
        <v>0.5</v>
      </c>
      <c r="AY19" s="315">
        <f t="shared" si="4"/>
        <v>0.5</v>
      </c>
      <c r="AZ19" s="315">
        <f t="shared" si="4"/>
        <v>0.5</v>
      </c>
      <c r="BA19" s="315">
        <f t="shared" si="4"/>
        <v>0.5</v>
      </c>
      <c r="BB19" s="315">
        <f t="shared" si="4"/>
        <v>0.5</v>
      </c>
      <c r="BC19" s="315">
        <f t="shared" si="4"/>
        <v>0</v>
      </c>
      <c r="BD19" s="315">
        <f t="shared" si="4"/>
        <v>0</v>
      </c>
      <c r="BE19" s="315">
        <f t="shared" si="4"/>
        <v>0</v>
      </c>
      <c r="BF19" s="315">
        <f t="shared" si="4"/>
        <v>0</v>
      </c>
      <c r="BG19" s="315">
        <f t="shared" si="4"/>
        <v>0</v>
      </c>
      <c r="BH19" s="315">
        <f t="shared" si="4"/>
        <v>0</v>
      </c>
      <c r="BI19" s="315">
        <f t="shared" si="4"/>
        <v>0</v>
      </c>
      <c r="BJ19" s="315">
        <f t="shared" si="4"/>
        <v>0</v>
      </c>
      <c r="BK19" s="315">
        <f t="shared" si="4"/>
        <v>0</v>
      </c>
      <c r="BL19" s="315">
        <f t="shared" si="4"/>
        <v>0</v>
      </c>
      <c r="BM19" s="315">
        <f t="shared" si="4"/>
        <v>0</v>
      </c>
      <c r="BN19" s="315">
        <f t="shared" si="4"/>
        <v>0</v>
      </c>
      <c r="BO19" s="315">
        <f t="shared" si="4"/>
        <v>0</v>
      </c>
      <c r="BP19" s="315">
        <f t="shared" si="4"/>
        <v>0</v>
      </c>
      <c r="BQ19" s="315">
        <f t="shared" si="4"/>
        <v>0</v>
      </c>
      <c r="BR19" s="315">
        <f t="shared" si="4"/>
        <v>0</v>
      </c>
      <c r="BS19" s="315">
        <f t="shared" si="4"/>
        <v>0</v>
      </c>
      <c r="BT19" s="315">
        <f t="shared" si="4"/>
        <v>0</v>
      </c>
      <c r="BU19" s="315">
        <f t="shared" si="4"/>
        <v>0</v>
      </c>
      <c r="BV19" s="315">
        <f t="shared" ref="BV19:CV19" si="5" xml:space="preserve"> IF(BV18 = 1, INDEX($F15:$F16, BV17), 0)</f>
        <v>0</v>
      </c>
      <c r="BW19" s="315">
        <f t="shared" si="5"/>
        <v>0</v>
      </c>
      <c r="BX19" s="315">
        <f t="shared" si="5"/>
        <v>0</v>
      </c>
      <c r="BY19" s="315">
        <f t="shared" si="5"/>
        <v>0</v>
      </c>
      <c r="BZ19" s="315">
        <f t="shared" si="5"/>
        <v>0</v>
      </c>
      <c r="CA19" s="315">
        <f t="shared" si="5"/>
        <v>0</v>
      </c>
      <c r="CB19" s="315">
        <f t="shared" si="5"/>
        <v>0</v>
      </c>
      <c r="CC19" s="315">
        <f t="shared" si="5"/>
        <v>0</v>
      </c>
      <c r="CD19" s="315">
        <f t="shared" si="5"/>
        <v>0</v>
      </c>
      <c r="CE19" s="315">
        <f t="shared" si="5"/>
        <v>0</v>
      </c>
      <c r="CF19" s="315">
        <f t="shared" si="5"/>
        <v>0</v>
      </c>
      <c r="CG19" s="315">
        <f t="shared" si="5"/>
        <v>0</v>
      </c>
      <c r="CH19" s="315">
        <f t="shared" si="5"/>
        <v>0</v>
      </c>
      <c r="CI19" s="315">
        <f t="shared" si="5"/>
        <v>0</v>
      </c>
      <c r="CJ19" s="315">
        <f t="shared" si="5"/>
        <v>0</v>
      </c>
      <c r="CK19" s="315">
        <f t="shared" si="5"/>
        <v>0</v>
      </c>
      <c r="CL19" s="315">
        <f t="shared" si="5"/>
        <v>0</v>
      </c>
      <c r="CM19" s="315">
        <f t="shared" si="5"/>
        <v>0</v>
      </c>
      <c r="CN19" s="315">
        <f t="shared" si="5"/>
        <v>0</v>
      </c>
      <c r="CO19" s="315">
        <f t="shared" si="5"/>
        <v>0</v>
      </c>
      <c r="CP19" s="315">
        <f t="shared" si="5"/>
        <v>0</v>
      </c>
      <c r="CQ19" s="315">
        <f t="shared" si="5"/>
        <v>0</v>
      </c>
      <c r="CR19" s="315">
        <f t="shared" si="5"/>
        <v>0</v>
      </c>
      <c r="CS19" s="315">
        <f t="shared" si="5"/>
        <v>0</v>
      </c>
      <c r="CT19" s="315">
        <f t="shared" si="5"/>
        <v>0</v>
      </c>
      <c r="CU19" s="315">
        <f t="shared" si="5"/>
        <v>0</v>
      </c>
      <c r="CV19" s="315">
        <f t="shared" si="5"/>
        <v>0</v>
      </c>
    </row>
    <row r="20" spans="1:100" outlineLevel="2" x14ac:dyDescent="0.2">
      <c r="A20" s="236"/>
      <c r="B20" s="236"/>
      <c r="C20" s="237"/>
      <c r="D20" s="238"/>
      <c r="E20" s="235"/>
      <c r="F20" s="235"/>
      <c r="G20" s="235"/>
      <c r="H20" s="235"/>
      <c r="I20" s="235"/>
      <c r="J20" s="235"/>
      <c r="K20" s="235"/>
      <c r="L20" s="235"/>
      <c r="M20" s="235"/>
      <c r="N20" s="235"/>
      <c r="O20" s="235"/>
      <c r="P20" s="235"/>
      <c r="Q20" s="235"/>
      <c r="R20" s="235"/>
      <c r="S20" s="235"/>
      <c r="T20" s="235"/>
      <c r="U20" s="235"/>
      <c r="V20" s="235"/>
      <c r="W20" s="235"/>
      <c r="X20" s="235"/>
      <c r="Y20" s="235"/>
      <c r="Z20" s="235"/>
      <c r="AA20" s="235"/>
      <c r="AB20" s="235"/>
      <c r="AC20" s="235"/>
      <c r="AD20" s="235"/>
      <c r="AE20" s="235"/>
      <c r="AF20" s="235"/>
      <c r="AG20" s="235"/>
      <c r="AH20" s="235"/>
      <c r="AI20" s="235"/>
      <c r="AJ20" s="235"/>
      <c r="AK20" s="235"/>
      <c r="AL20" s="235"/>
      <c r="AM20" s="235"/>
      <c r="AN20" s="235"/>
      <c r="AO20" s="235"/>
      <c r="AP20" s="235"/>
      <c r="AQ20" s="235"/>
      <c r="AR20" s="235"/>
      <c r="AS20" s="235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  <c r="BV20" s="235"/>
      <c r="BW20" s="235"/>
      <c r="BX20" s="235"/>
      <c r="BY20" s="235"/>
      <c r="BZ20" s="235"/>
      <c r="CA20" s="235"/>
      <c r="CB20" s="235"/>
      <c r="CC20" s="235"/>
      <c r="CD20" s="235"/>
      <c r="CE20" s="235"/>
      <c r="CF20" s="235"/>
      <c r="CG20" s="235"/>
      <c r="CH20" s="235"/>
      <c r="CI20" s="235"/>
      <c r="CJ20" s="235"/>
      <c r="CK20" s="235"/>
      <c r="CL20" s="235"/>
      <c r="CM20" s="235"/>
      <c r="CN20" s="235"/>
      <c r="CO20" s="235"/>
      <c r="CP20" s="235"/>
      <c r="CQ20" s="235"/>
      <c r="CR20" s="235"/>
      <c r="CS20" s="235"/>
      <c r="CT20" s="235"/>
      <c r="CU20" s="235"/>
      <c r="CV20" s="235"/>
    </row>
    <row r="21" spans="1:100" outlineLevel="2" x14ac:dyDescent="0.2">
      <c r="A21" s="236"/>
      <c r="B21" s="236"/>
      <c r="C21" s="237"/>
      <c r="D21" s="238"/>
      <c r="E21" s="383" t="str">
        <f xml:space="preserve"> InpC!E$36</f>
        <v>Contracted plant capacity</v>
      </c>
      <c r="F21" s="383">
        <f xml:space="preserve"> InpC!F$36</f>
        <v>300</v>
      </c>
      <c r="G21" s="383" t="str">
        <f xml:space="preserve"> InpC!G$36</f>
        <v>MW</v>
      </c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  <c r="Z21" s="235"/>
      <c r="AA21" s="235"/>
      <c r="AB21" s="235"/>
      <c r="AC21" s="235"/>
      <c r="AD21" s="235"/>
      <c r="AE21" s="235"/>
      <c r="AF21" s="235"/>
      <c r="AG21" s="235"/>
      <c r="AH21" s="235"/>
      <c r="AI21" s="235"/>
      <c r="AJ21" s="235"/>
      <c r="AK21" s="235"/>
      <c r="AL21" s="235"/>
      <c r="AM21" s="235"/>
      <c r="AN21" s="235"/>
      <c r="AO21" s="235"/>
      <c r="AP21" s="235"/>
      <c r="AQ21" s="235"/>
      <c r="AR21" s="235"/>
      <c r="AS21" s="235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BJ21" s="235"/>
      <c r="BK21" s="235"/>
      <c r="BL21" s="235"/>
      <c r="BM21" s="235"/>
      <c r="BN21" s="235"/>
      <c r="BO21" s="235"/>
      <c r="BP21" s="235"/>
      <c r="BQ21" s="235"/>
      <c r="BR21" s="235"/>
      <c r="BS21" s="235"/>
      <c r="BT21" s="235"/>
      <c r="BU21" s="235"/>
      <c r="BV21" s="235"/>
      <c r="BW21" s="235"/>
      <c r="BX21" s="235"/>
      <c r="BY21" s="235"/>
      <c r="BZ21" s="235"/>
      <c r="CA21" s="235"/>
      <c r="CB21" s="235"/>
      <c r="CC21" s="235"/>
      <c r="CD21" s="235"/>
      <c r="CE21" s="235"/>
      <c r="CF21" s="235"/>
      <c r="CG21" s="235"/>
      <c r="CH21" s="235"/>
      <c r="CI21" s="235"/>
      <c r="CJ21" s="235"/>
      <c r="CK21" s="235"/>
      <c r="CL21" s="235"/>
      <c r="CM21" s="235"/>
      <c r="CN21" s="235"/>
      <c r="CO21" s="235"/>
      <c r="CP21" s="235"/>
      <c r="CQ21" s="235"/>
      <c r="CR21" s="235"/>
      <c r="CS21" s="235"/>
      <c r="CT21" s="235"/>
      <c r="CU21" s="235"/>
      <c r="CV21" s="235"/>
    </row>
    <row r="22" spans="1:100" s="283" customFormat="1" outlineLevel="2" x14ac:dyDescent="0.2">
      <c r="A22" s="311"/>
      <c r="B22" s="311"/>
      <c r="C22" s="312"/>
      <c r="D22" s="313"/>
      <c r="E22" s="453" t="str">
        <f xml:space="preserve"> InpC!E$37</f>
        <v>Plant P50 capacity factor</v>
      </c>
      <c r="F22" s="453">
        <f xml:space="preserve"> InpC!F$37</f>
        <v>0.4</v>
      </c>
      <c r="G22" s="453" t="str">
        <f xml:space="preserve"> InpC!G$37</f>
        <v>%</v>
      </c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  <c r="V22" s="315"/>
      <c r="W22" s="315"/>
      <c r="X22" s="315"/>
      <c r="Y22" s="315"/>
      <c r="Z22" s="315"/>
      <c r="AA22" s="315"/>
      <c r="AB22" s="315"/>
      <c r="AC22" s="315"/>
      <c r="AD22" s="315"/>
      <c r="AE22" s="315"/>
      <c r="AF22" s="315"/>
      <c r="AG22" s="315"/>
      <c r="AH22" s="315"/>
      <c r="AI22" s="315"/>
      <c r="AJ22" s="315"/>
      <c r="AK22" s="315"/>
      <c r="AL22" s="315"/>
      <c r="AM22" s="315"/>
      <c r="AN22" s="315"/>
      <c r="AO22" s="315"/>
      <c r="AP22" s="315"/>
      <c r="AQ22" s="315"/>
      <c r="AR22" s="315"/>
      <c r="AS22" s="315"/>
      <c r="AT22" s="315"/>
      <c r="AU22" s="315"/>
      <c r="AV22" s="315"/>
      <c r="AW22" s="315"/>
      <c r="AX22" s="315"/>
      <c r="AY22" s="315"/>
      <c r="AZ22" s="315"/>
      <c r="BA22" s="315"/>
      <c r="BB22" s="315"/>
      <c r="BC22" s="315"/>
      <c r="BD22" s="315"/>
      <c r="BE22" s="315"/>
      <c r="BF22" s="315"/>
      <c r="BG22" s="315"/>
      <c r="BH22" s="315"/>
      <c r="BI22" s="315"/>
      <c r="BJ22" s="315"/>
      <c r="BK22" s="315"/>
      <c r="BL22" s="315"/>
      <c r="BM22" s="315"/>
      <c r="BN22" s="315"/>
      <c r="BO22" s="315"/>
      <c r="BP22" s="315"/>
      <c r="BQ22" s="315"/>
      <c r="BR22" s="315"/>
      <c r="BS22" s="315"/>
      <c r="BT22" s="315"/>
      <c r="BU22" s="315"/>
      <c r="BV22" s="315"/>
      <c r="BW22" s="315"/>
      <c r="BX22" s="315"/>
      <c r="BY22" s="315"/>
      <c r="BZ22" s="315"/>
      <c r="CA22" s="315"/>
      <c r="CB22" s="315"/>
      <c r="CC22" s="315"/>
      <c r="CD22" s="315"/>
      <c r="CE22" s="315"/>
      <c r="CF22" s="315"/>
      <c r="CG22" s="315"/>
      <c r="CH22" s="315"/>
      <c r="CI22" s="315"/>
      <c r="CJ22" s="315"/>
      <c r="CK22" s="315"/>
      <c r="CL22" s="315"/>
      <c r="CM22" s="315"/>
      <c r="CN22" s="315"/>
      <c r="CO22" s="315"/>
      <c r="CP22" s="315"/>
      <c r="CQ22" s="315"/>
      <c r="CR22" s="315"/>
      <c r="CS22" s="315"/>
      <c r="CT22" s="315"/>
      <c r="CU22" s="315"/>
      <c r="CV22" s="315"/>
    </row>
    <row r="23" spans="1:100" outlineLevel="2" x14ac:dyDescent="0.2">
      <c r="A23" s="236"/>
      <c r="B23" s="236"/>
      <c r="C23" s="237"/>
      <c r="D23" s="238"/>
      <c r="E23" s="68" t="str">
        <f xml:space="preserve"> InpC!E$414</f>
        <v>Hours in a day</v>
      </c>
      <c r="F23" s="68">
        <f xml:space="preserve"> InpC!F$414</f>
        <v>24</v>
      </c>
      <c r="G23" s="68" t="str">
        <f xml:space="preserve"> InpC!G$414</f>
        <v>hours</v>
      </c>
      <c r="H23" s="235"/>
      <c r="I23" s="235"/>
      <c r="J23" s="235"/>
      <c r="K23" s="235"/>
      <c r="L23" s="235"/>
      <c r="M23" s="235"/>
      <c r="N23" s="235"/>
      <c r="O23" s="235"/>
      <c r="P23" s="235"/>
      <c r="Q23" s="235"/>
      <c r="R23" s="235"/>
      <c r="S23" s="235"/>
      <c r="T23" s="235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5"/>
      <c r="AI23" s="235"/>
      <c r="AJ23" s="235"/>
      <c r="AK23" s="235"/>
      <c r="AL23" s="235"/>
      <c r="AM23" s="235"/>
      <c r="AN23" s="235"/>
      <c r="AO23" s="235"/>
      <c r="AP23" s="235"/>
      <c r="AQ23" s="235"/>
      <c r="AR23" s="235"/>
      <c r="AS23" s="235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BJ23" s="235"/>
      <c r="BK23" s="235"/>
      <c r="BL23" s="235"/>
      <c r="BM23" s="235"/>
      <c r="BN23" s="235"/>
      <c r="BO23" s="235"/>
      <c r="BP23" s="235"/>
      <c r="BQ23" s="235"/>
      <c r="BR23" s="235"/>
      <c r="BS23" s="235"/>
      <c r="BT23" s="235"/>
      <c r="BU23" s="235"/>
      <c r="BV23" s="235"/>
      <c r="BW23" s="235"/>
      <c r="BX23" s="235"/>
      <c r="BY23" s="235"/>
      <c r="BZ23" s="235"/>
      <c r="CA23" s="235"/>
      <c r="CB23" s="235"/>
      <c r="CC23" s="235"/>
      <c r="CD23" s="235"/>
      <c r="CE23" s="235"/>
      <c r="CF23" s="235"/>
      <c r="CG23" s="235"/>
      <c r="CH23" s="235"/>
      <c r="CI23" s="235"/>
      <c r="CJ23" s="235"/>
      <c r="CK23" s="235"/>
      <c r="CL23" s="235"/>
      <c r="CM23" s="235"/>
      <c r="CN23" s="235"/>
      <c r="CO23" s="235"/>
      <c r="CP23" s="235"/>
      <c r="CQ23" s="235"/>
      <c r="CR23" s="235"/>
      <c r="CS23" s="235"/>
      <c r="CT23" s="235"/>
      <c r="CU23" s="235"/>
      <c r="CV23" s="235"/>
    </row>
    <row r="24" spans="1:100" outlineLevel="2" x14ac:dyDescent="0.2">
      <c r="A24" s="236"/>
      <c r="B24" s="236"/>
      <c r="C24" s="237"/>
      <c r="D24" s="238"/>
      <c r="E24" s="68" t="str">
        <f xml:space="preserve"> InpC!E$413</f>
        <v>Days in year</v>
      </c>
      <c r="F24" s="68">
        <f xml:space="preserve"> InpC!F$413</f>
        <v>365</v>
      </c>
      <c r="G24" s="68" t="str">
        <f xml:space="preserve"> InpC!G$413</f>
        <v>days</v>
      </c>
      <c r="H24" s="235"/>
      <c r="I24" s="235"/>
      <c r="J24" s="235"/>
      <c r="K24" s="235"/>
      <c r="L24" s="235"/>
      <c r="M24" s="235"/>
      <c r="N24" s="235"/>
      <c r="O24" s="235"/>
      <c r="P24" s="235"/>
      <c r="Q24" s="235"/>
      <c r="R24" s="235"/>
      <c r="S24" s="235"/>
      <c r="T24" s="235"/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5"/>
      <c r="AI24" s="235"/>
      <c r="AJ24" s="235"/>
      <c r="AK24" s="235"/>
      <c r="AL24" s="235"/>
      <c r="AM24" s="235"/>
      <c r="AN24" s="235"/>
      <c r="AO24" s="235"/>
      <c r="AP24" s="235"/>
      <c r="AQ24" s="235"/>
      <c r="AR24" s="235"/>
      <c r="AS24" s="235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BJ24" s="235"/>
      <c r="BK24" s="235"/>
      <c r="BL24" s="235"/>
      <c r="BM24" s="235"/>
      <c r="BN24" s="235"/>
      <c r="BO24" s="235"/>
      <c r="BP24" s="235"/>
      <c r="BQ24" s="235"/>
      <c r="BR24" s="235"/>
      <c r="BS24" s="235"/>
      <c r="BT24" s="235"/>
      <c r="BU24" s="235"/>
      <c r="BV24" s="235"/>
      <c r="BW24" s="235"/>
      <c r="BX24" s="235"/>
      <c r="BY24" s="235"/>
      <c r="BZ24" s="235"/>
      <c r="CA24" s="235"/>
      <c r="CB24" s="235"/>
      <c r="CC24" s="235"/>
      <c r="CD24" s="235"/>
      <c r="CE24" s="235"/>
      <c r="CF24" s="235"/>
      <c r="CG24" s="235"/>
      <c r="CH24" s="235"/>
      <c r="CI24" s="235"/>
      <c r="CJ24" s="235"/>
      <c r="CK24" s="235"/>
      <c r="CL24" s="235"/>
      <c r="CM24" s="235"/>
      <c r="CN24" s="235"/>
      <c r="CO24" s="235"/>
      <c r="CP24" s="235"/>
      <c r="CQ24" s="235"/>
      <c r="CR24" s="235"/>
      <c r="CS24" s="235"/>
      <c r="CT24" s="235"/>
      <c r="CU24" s="235"/>
      <c r="CV24" s="235"/>
    </row>
    <row r="25" spans="1:100" outlineLevel="2" x14ac:dyDescent="0.2">
      <c r="A25" s="236"/>
      <c r="B25" s="236"/>
      <c r="C25" s="237"/>
      <c r="D25" s="238"/>
      <c r="E25" s="396" t="str">
        <f xml:space="preserve"> InpC!E$419</f>
        <v>Units in a thousand</v>
      </c>
      <c r="F25" s="396">
        <f xml:space="preserve"> InpC!F$419</f>
        <v>1000</v>
      </c>
      <c r="G25" s="396" t="str">
        <f xml:space="preserve"> InpC!G$419</f>
        <v>units</v>
      </c>
      <c r="H25" s="235"/>
      <c r="I25" s="235"/>
      <c r="J25" s="235"/>
      <c r="K25" s="235"/>
      <c r="L25" s="235"/>
      <c r="M25" s="235"/>
      <c r="N25" s="235"/>
      <c r="O25" s="235"/>
      <c r="P25" s="235"/>
      <c r="Q25" s="235"/>
      <c r="R25" s="235"/>
      <c r="S25" s="235"/>
      <c r="T25" s="235"/>
      <c r="U25" s="235"/>
      <c r="V25" s="235"/>
      <c r="W25" s="235"/>
      <c r="X25" s="235"/>
      <c r="Y25" s="235"/>
      <c r="Z25" s="235"/>
      <c r="AA25" s="235"/>
      <c r="AB25" s="235"/>
      <c r="AC25" s="235"/>
      <c r="AD25" s="235"/>
      <c r="AE25" s="235"/>
      <c r="AF25" s="235"/>
      <c r="AG25" s="235"/>
      <c r="AH25" s="235"/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BJ25" s="235"/>
      <c r="BK25" s="235"/>
      <c r="BL25" s="235"/>
      <c r="BM25" s="235"/>
      <c r="BN25" s="235"/>
      <c r="BO25" s="235"/>
      <c r="BP25" s="235"/>
      <c r="BQ25" s="235"/>
      <c r="BR25" s="235"/>
      <c r="BS25" s="235"/>
      <c r="BT25" s="235"/>
      <c r="BU25" s="235"/>
      <c r="BV25" s="235"/>
      <c r="BW25" s="235"/>
      <c r="BX25" s="235"/>
      <c r="BY25" s="235"/>
      <c r="BZ25" s="235"/>
      <c r="CA25" s="235"/>
      <c r="CB25" s="235"/>
      <c r="CC25" s="235"/>
      <c r="CD25" s="235"/>
      <c r="CE25" s="235"/>
      <c r="CF25" s="235"/>
      <c r="CG25" s="235"/>
      <c r="CH25" s="235"/>
      <c r="CI25" s="235"/>
      <c r="CJ25" s="235"/>
      <c r="CK25" s="235"/>
      <c r="CL25" s="235"/>
      <c r="CM25" s="235"/>
      <c r="CN25" s="235"/>
      <c r="CO25" s="235"/>
      <c r="CP25" s="235"/>
      <c r="CQ25" s="235"/>
      <c r="CR25" s="235"/>
      <c r="CS25" s="235"/>
      <c r="CT25" s="235"/>
      <c r="CU25" s="235"/>
      <c r="CV25" s="235"/>
    </row>
    <row r="26" spans="1:100" s="188" customFormat="1" outlineLevel="2" x14ac:dyDescent="0.2">
      <c r="A26" s="141"/>
      <c r="B26" s="141"/>
      <c r="C26" s="142"/>
      <c r="D26" s="143"/>
      <c r="E26" s="144" t="s">
        <v>156</v>
      </c>
      <c r="F26" s="144">
        <f xml:space="preserve"> F21 * F22 * F23 * F24 / F25</f>
        <v>1051.2</v>
      </c>
      <c r="G26" s="144" t="s">
        <v>408</v>
      </c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</row>
    <row r="27" spans="1:100" outlineLevel="2" x14ac:dyDescent="0.2">
      <c r="A27" s="236"/>
      <c r="B27" s="236"/>
      <c r="C27" s="237"/>
      <c r="D27" s="238"/>
      <c r="E27" s="235"/>
      <c r="F27" s="235"/>
      <c r="G27" s="235"/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5"/>
      <c r="AI27" s="235"/>
      <c r="AJ27" s="235"/>
      <c r="AK27" s="235"/>
      <c r="AL27" s="235"/>
      <c r="AM27" s="235"/>
      <c r="AN27" s="235"/>
      <c r="AO27" s="235"/>
      <c r="AP27" s="235"/>
      <c r="AQ27" s="235"/>
      <c r="AR27" s="235"/>
      <c r="AS27" s="235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  <c r="BG27" s="235"/>
      <c r="BH27" s="235"/>
      <c r="BI27" s="235"/>
      <c r="BJ27" s="235"/>
      <c r="BK27" s="235"/>
      <c r="BL27" s="235"/>
      <c r="BM27" s="235"/>
      <c r="BN27" s="235"/>
      <c r="BO27" s="235"/>
      <c r="BP27" s="235"/>
      <c r="BQ27" s="235"/>
      <c r="BR27" s="235"/>
      <c r="BS27" s="235"/>
      <c r="BT27" s="235"/>
      <c r="BU27" s="235"/>
      <c r="BV27" s="235"/>
      <c r="BW27" s="235"/>
      <c r="BX27" s="235"/>
      <c r="BY27" s="235"/>
      <c r="BZ27" s="235"/>
      <c r="CA27" s="235"/>
      <c r="CB27" s="235"/>
      <c r="CC27" s="235"/>
      <c r="CD27" s="235"/>
      <c r="CE27" s="235"/>
      <c r="CF27" s="235"/>
      <c r="CG27" s="235"/>
      <c r="CH27" s="235"/>
      <c r="CI27" s="235"/>
      <c r="CJ27" s="235"/>
      <c r="CK27" s="235"/>
      <c r="CL27" s="235"/>
      <c r="CM27" s="235"/>
      <c r="CN27" s="235"/>
      <c r="CO27" s="235"/>
      <c r="CP27" s="235"/>
      <c r="CQ27" s="235"/>
      <c r="CR27" s="235"/>
      <c r="CS27" s="235"/>
      <c r="CT27" s="235"/>
      <c r="CU27" s="235"/>
      <c r="CV27" s="235"/>
    </row>
    <row r="28" spans="1:100" outlineLevel="2" x14ac:dyDescent="0.2">
      <c r="A28" s="85"/>
      <c r="B28" s="85"/>
      <c r="C28" s="86"/>
      <c r="D28" s="87"/>
      <c r="E28" s="38" t="str">
        <f t="shared" ref="E28:G28" si="6" xml:space="preserve"> E$26</f>
        <v>Year 1 P50 production</v>
      </c>
      <c r="F28" s="38">
        <f t="shared" si="6"/>
        <v>1051.2</v>
      </c>
      <c r="G28" s="38" t="str">
        <f t="shared" si="6"/>
        <v>GWh p.a.</v>
      </c>
      <c r="H28" s="145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  <c r="CR28" s="68"/>
      <c r="CS28" s="68"/>
      <c r="CT28" s="68"/>
      <c r="CU28" s="68"/>
      <c r="CV28" s="68"/>
    </row>
    <row r="29" spans="1:100" outlineLevel="2" x14ac:dyDescent="0.2">
      <c r="A29" s="85"/>
      <c r="B29" s="85"/>
      <c r="C29" s="86"/>
      <c r="D29" s="87"/>
      <c r="E29" s="145" t="str">
        <f xml:space="preserve"> Sensitivity!E$19</f>
        <v>Wind yield - sensitivity</v>
      </c>
      <c r="F29" s="145">
        <f xml:space="preserve"> Sensitivity!F$19</f>
        <v>0</v>
      </c>
      <c r="G29" s="145" t="str">
        <f xml:space="preserve"> Sensitivity!G$19</f>
        <v>%</v>
      </c>
      <c r="H29" s="145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/>
      <c r="CN29" s="68"/>
      <c r="CO29" s="68"/>
      <c r="CP29" s="68"/>
      <c r="CQ29" s="68"/>
      <c r="CR29" s="68"/>
      <c r="CS29" s="68"/>
      <c r="CT29" s="68"/>
      <c r="CU29" s="68"/>
      <c r="CV29" s="68"/>
    </row>
    <row r="30" spans="1:100" outlineLevel="2" x14ac:dyDescent="0.2">
      <c r="A30" s="85"/>
      <c r="B30" s="85"/>
      <c r="C30" s="86"/>
      <c r="D30" s="87"/>
      <c r="E30" s="454" t="str">
        <f xml:space="preserve"> InpC!E$81</f>
        <v xml:space="preserve">Availability </v>
      </c>
      <c r="F30" s="454">
        <f xml:space="preserve"> InpC!F$81</f>
        <v>0.98</v>
      </c>
      <c r="G30" s="454" t="str">
        <f xml:space="preserve"> InpC!G$81</f>
        <v>%</v>
      </c>
      <c r="H30" s="145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</row>
    <row r="31" spans="1:100" outlineLevel="2" x14ac:dyDescent="0.2">
      <c r="A31" s="85"/>
      <c r="B31" s="85"/>
      <c r="C31" s="86"/>
      <c r="D31" s="87"/>
      <c r="E31" s="454" t="str">
        <f xml:space="preserve"> Sensitivity!E$15</f>
        <v>Change in availability - sensitivity</v>
      </c>
      <c r="F31" s="454">
        <f xml:space="preserve"> Sensitivity!F$15</f>
        <v>0</v>
      </c>
      <c r="G31" s="454" t="str">
        <f xml:space="preserve"> Sensitivity!G$15</f>
        <v>%</v>
      </c>
      <c r="H31" s="145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68"/>
      <c r="CJ31" s="68"/>
      <c r="CK31" s="68"/>
      <c r="CL31" s="68"/>
      <c r="CM31" s="68"/>
      <c r="CN31" s="68"/>
      <c r="CO31" s="68"/>
      <c r="CP31" s="68"/>
      <c r="CQ31" s="68"/>
      <c r="CR31" s="68"/>
      <c r="CS31" s="68"/>
      <c r="CT31" s="68"/>
      <c r="CU31" s="68"/>
      <c r="CV31" s="68"/>
    </row>
    <row r="32" spans="1:100" outlineLevel="2" x14ac:dyDescent="0.2">
      <c r="A32" s="311"/>
      <c r="B32" s="311"/>
      <c r="C32" s="312"/>
      <c r="D32" s="313"/>
      <c r="E32" s="315" t="str">
        <f t="shared" ref="E32:AJ32" si="7" xml:space="preserve"> E$13</f>
        <v>Compound degradation</v>
      </c>
      <c r="F32" s="315">
        <f t="shared" si="7"/>
        <v>0</v>
      </c>
      <c r="G32" s="315" t="str">
        <f t="shared" si="7"/>
        <v>%</v>
      </c>
      <c r="H32" s="315">
        <f t="shared" si="7"/>
        <v>0</v>
      </c>
      <c r="I32" s="315">
        <f t="shared" si="7"/>
        <v>0</v>
      </c>
      <c r="J32" s="315">
        <f t="shared" si="7"/>
        <v>0</v>
      </c>
      <c r="K32" s="315">
        <f t="shared" si="7"/>
        <v>0</v>
      </c>
      <c r="L32" s="315">
        <f t="shared" si="7"/>
        <v>0</v>
      </c>
      <c r="M32" s="315">
        <f t="shared" si="7"/>
        <v>0</v>
      </c>
      <c r="N32" s="315">
        <f t="shared" si="7"/>
        <v>0</v>
      </c>
      <c r="O32" s="315">
        <f t="shared" si="7"/>
        <v>1</v>
      </c>
      <c r="P32" s="315">
        <f t="shared" si="7"/>
        <v>1</v>
      </c>
      <c r="Q32" s="315">
        <f t="shared" si="7"/>
        <v>0.99800399201596801</v>
      </c>
      <c r="R32" s="315">
        <f t="shared" si="7"/>
        <v>0.99800399201596801</v>
      </c>
      <c r="S32" s="315">
        <f t="shared" si="7"/>
        <v>0.99601196807980852</v>
      </c>
      <c r="T32" s="315">
        <f t="shared" si="7"/>
        <v>0.99601196807980852</v>
      </c>
      <c r="U32" s="315">
        <f t="shared" si="7"/>
        <v>0.99402392023932984</v>
      </c>
      <c r="V32" s="315">
        <f t="shared" si="7"/>
        <v>0.99402392023932984</v>
      </c>
      <c r="W32" s="315">
        <f t="shared" si="7"/>
        <v>0.99203984055821348</v>
      </c>
      <c r="X32" s="315">
        <f t="shared" si="7"/>
        <v>0.99203984055821348</v>
      </c>
      <c r="Y32" s="315">
        <f t="shared" si="7"/>
        <v>0.99005972111598139</v>
      </c>
      <c r="Z32" s="315">
        <f t="shared" si="7"/>
        <v>0.99005972111598139</v>
      </c>
      <c r="AA32" s="315">
        <f t="shared" si="7"/>
        <v>0.98808355400796577</v>
      </c>
      <c r="AB32" s="315">
        <f t="shared" si="7"/>
        <v>0.98808355400796577</v>
      </c>
      <c r="AC32" s="315">
        <f t="shared" si="7"/>
        <v>0.98611133134527518</v>
      </c>
      <c r="AD32" s="315">
        <f t="shared" si="7"/>
        <v>0.98611133134527518</v>
      </c>
      <c r="AE32" s="315">
        <f t="shared" si="7"/>
        <v>0.98414304525476548</v>
      </c>
      <c r="AF32" s="315">
        <f t="shared" si="7"/>
        <v>0.98414304525476548</v>
      </c>
      <c r="AG32" s="315">
        <f t="shared" si="7"/>
        <v>0.98217868787900742</v>
      </c>
      <c r="AH32" s="315">
        <f t="shared" si="7"/>
        <v>0.98217868787900742</v>
      </c>
      <c r="AI32" s="315">
        <f t="shared" si="7"/>
        <v>0.98021825137625518</v>
      </c>
      <c r="AJ32" s="315">
        <f t="shared" si="7"/>
        <v>0.98021825137625518</v>
      </c>
      <c r="AK32" s="315">
        <f t="shared" ref="AK32:BP32" si="8" xml:space="preserve"> AK$13</f>
        <v>0.97826172792041433</v>
      </c>
      <c r="AL32" s="315">
        <f t="shared" si="8"/>
        <v>0.97826172792041433</v>
      </c>
      <c r="AM32" s="315">
        <f t="shared" si="8"/>
        <v>0.97630910970101226</v>
      </c>
      <c r="AN32" s="315">
        <f t="shared" si="8"/>
        <v>0.97630910970101226</v>
      </c>
      <c r="AO32" s="315">
        <f t="shared" si="8"/>
        <v>0.97436038892316579</v>
      </c>
      <c r="AP32" s="315">
        <f t="shared" si="8"/>
        <v>0.97436038892316579</v>
      </c>
      <c r="AQ32" s="315">
        <f t="shared" si="8"/>
        <v>0.97241555780755107</v>
      </c>
      <c r="AR32" s="315">
        <f t="shared" si="8"/>
        <v>0.97241555780755107</v>
      </c>
      <c r="AS32" s="315">
        <f t="shared" si="8"/>
        <v>0.97047460859037005</v>
      </c>
      <c r="AT32" s="315">
        <f t="shared" si="8"/>
        <v>0.97047460859037005</v>
      </c>
      <c r="AU32" s="315">
        <f t="shared" si="8"/>
        <v>0.9685375335233235</v>
      </c>
      <c r="AV32" s="315">
        <f t="shared" si="8"/>
        <v>0.9685375335233235</v>
      </c>
      <c r="AW32" s="315">
        <f t="shared" si="8"/>
        <v>0.96660432487357628</v>
      </c>
      <c r="AX32" s="315">
        <f t="shared" si="8"/>
        <v>0.96660432487357628</v>
      </c>
      <c r="AY32" s="315">
        <f t="shared" si="8"/>
        <v>0.964674974923729</v>
      </c>
      <c r="AZ32" s="315">
        <f t="shared" si="8"/>
        <v>0.964674974923729</v>
      </c>
      <c r="BA32" s="315">
        <f t="shared" si="8"/>
        <v>0.9627494759717854</v>
      </c>
      <c r="BB32" s="315">
        <f t="shared" si="8"/>
        <v>0.9627494759717854</v>
      </c>
      <c r="BC32" s="315">
        <f t="shared" si="8"/>
        <v>0</v>
      </c>
      <c r="BD32" s="315">
        <f t="shared" si="8"/>
        <v>0</v>
      </c>
      <c r="BE32" s="315">
        <f t="shared" si="8"/>
        <v>0</v>
      </c>
      <c r="BF32" s="315">
        <f t="shared" si="8"/>
        <v>0</v>
      </c>
      <c r="BG32" s="315">
        <f t="shared" si="8"/>
        <v>0</v>
      </c>
      <c r="BH32" s="315">
        <f t="shared" si="8"/>
        <v>0</v>
      </c>
      <c r="BI32" s="315">
        <f t="shared" si="8"/>
        <v>0</v>
      </c>
      <c r="BJ32" s="315">
        <f t="shared" si="8"/>
        <v>0</v>
      </c>
      <c r="BK32" s="315">
        <f t="shared" si="8"/>
        <v>0</v>
      </c>
      <c r="BL32" s="315">
        <f t="shared" si="8"/>
        <v>0</v>
      </c>
      <c r="BM32" s="315">
        <f t="shared" si="8"/>
        <v>0</v>
      </c>
      <c r="BN32" s="315">
        <f t="shared" si="8"/>
        <v>0</v>
      </c>
      <c r="BO32" s="315">
        <f t="shared" si="8"/>
        <v>0</v>
      </c>
      <c r="BP32" s="315">
        <f t="shared" si="8"/>
        <v>0</v>
      </c>
      <c r="BQ32" s="315">
        <f t="shared" ref="BQ32:CV32" si="9" xml:space="preserve"> BQ$13</f>
        <v>0</v>
      </c>
      <c r="BR32" s="315">
        <f t="shared" si="9"/>
        <v>0</v>
      </c>
      <c r="BS32" s="315">
        <f t="shared" si="9"/>
        <v>0</v>
      </c>
      <c r="BT32" s="315">
        <f t="shared" si="9"/>
        <v>0</v>
      </c>
      <c r="BU32" s="315">
        <f t="shared" si="9"/>
        <v>0</v>
      </c>
      <c r="BV32" s="315">
        <f t="shared" si="9"/>
        <v>0</v>
      </c>
      <c r="BW32" s="315">
        <f t="shared" si="9"/>
        <v>0</v>
      </c>
      <c r="BX32" s="315">
        <f t="shared" si="9"/>
        <v>0</v>
      </c>
      <c r="BY32" s="315">
        <f t="shared" si="9"/>
        <v>0</v>
      </c>
      <c r="BZ32" s="315">
        <f t="shared" si="9"/>
        <v>0</v>
      </c>
      <c r="CA32" s="315">
        <f t="shared" si="9"/>
        <v>0</v>
      </c>
      <c r="CB32" s="315">
        <f t="shared" si="9"/>
        <v>0</v>
      </c>
      <c r="CC32" s="315">
        <f t="shared" si="9"/>
        <v>0</v>
      </c>
      <c r="CD32" s="315">
        <f t="shared" si="9"/>
        <v>0</v>
      </c>
      <c r="CE32" s="315">
        <f t="shared" si="9"/>
        <v>0</v>
      </c>
      <c r="CF32" s="315">
        <f t="shared" si="9"/>
        <v>0</v>
      </c>
      <c r="CG32" s="315">
        <f t="shared" si="9"/>
        <v>0</v>
      </c>
      <c r="CH32" s="315">
        <f t="shared" si="9"/>
        <v>0</v>
      </c>
      <c r="CI32" s="315">
        <f t="shared" si="9"/>
        <v>0</v>
      </c>
      <c r="CJ32" s="315">
        <f t="shared" si="9"/>
        <v>0</v>
      </c>
      <c r="CK32" s="315">
        <f t="shared" si="9"/>
        <v>0</v>
      </c>
      <c r="CL32" s="315">
        <f t="shared" si="9"/>
        <v>0</v>
      </c>
      <c r="CM32" s="315">
        <f t="shared" si="9"/>
        <v>0</v>
      </c>
      <c r="CN32" s="315">
        <f t="shared" si="9"/>
        <v>0</v>
      </c>
      <c r="CO32" s="315">
        <f t="shared" si="9"/>
        <v>0</v>
      </c>
      <c r="CP32" s="315">
        <f t="shared" si="9"/>
        <v>0</v>
      </c>
      <c r="CQ32" s="315">
        <f t="shared" si="9"/>
        <v>0</v>
      </c>
      <c r="CR32" s="315">
        <f t="shared" si="9"/>
        <v>0</v>
      </c>
      <c r="CS32" s="315">
        <f t="shared" si="9"/>
        <v>0</v>
      </c>
      <c r="CT32" s="315">
        <f t="shared" si="9"/>
        <v>0</v>
      </c>
      <c r="CU32" s="315">
        <f t="shared" si="9"/>
        <v>0</v>
      </c>
      <c r="CV32" s="315">
        <f t="shared" si="9"/>
        <v>0</v>
      </c>
    </row>
    <row r="33" spans="1:100" outlineLevel="2" x14ac:dyDescent="0.2">
      <c r="A33" s="311"/>
      <c r="B33" s="311"/>
      <c r="C33" s="312"/>
      <c r="D33" s="313"/>
      <c r="E33" s="315" t="str">
        <f t="shared" ref="E33:AJ33" si="10" xml:space="preserve"> E$19</f>
        <v>Seasonality adjustment</v>
      </c>
      <c r="F33" s="315">
        <f xml:space="preserve"> F$19</f>
        <v>0</v>
      </c>
      <c r="G33" s="315" t="str">
        <f t="shared" si="10"/>
        <v>%</v>
      </c>
      <c r="H33" s="315">
        <f t="shared" si="10"/>
        <v>0</v>
      </c>
      <c r="I33" s="315">
        <f t="shared" si="10"/>
        <v>0</v>
      </c>
      <c r="J33" s="315">
        <f t="shared" si="10"/>
        <v>0</v>
      </c>
      <c r="K33" s="315">
        <f t="shared" si="10"/>
        <v>0</v>
      </c>
      <c r="L33" s="315">
        <f t="shared" si="10"/>
        <v>0</v>
      </c>
      <c r="M33" s="315">
        <f t="shared" si="10"/>
        <v>0</v>
      </c>
      <c r="N33" s="315">
        <f t="shared" si="10"/>
        <v>0</v>
      </c>
      <c r="O33" s="315">
        <f t="shared" si="10"/>
        <v>0.5</v>
      </c>
      <c r="P33" s="315">
        <f t="shared" si="10"/>
        <v>0.5</v>
      </c>
      <c r="Q33" s="315">
        <f t="shared" si="10"/>
        <v>0.5</v>
      </c>
      <c r="R33" s="315">
        <f t="shared" si="10"/>
        <v>0.5</v>
      </c>
      <c r="S33" s="315">
        <f t="shared" si="10"/>
        <v>0.5</v>
      </c>
      <c r="T33" s="315">
        <f t="shared" si="10"/>
        <v>0.5</v>
      </c>
      <c r="U33" s="315">
        <f t="shared" si="10"/>
        <v>0.5</v>
      </c>
      <c r="V33" s="315">
        <f t="shared" si="10"/>
        <v>0.5</v>
      </c>
      <c r="W33" s="315">
        <f t="shared" si="10"/>
        <v>0.5</v>
      </c>
      <c r="X33" s="315">
        <f t="shared" si="10"/>
        <v>0.5</v>
      </c>
      <c r="Y33" s="315">
        <f t="shared" si="10"/>
        <v>0.5</v>
      </c>
      <c r="Z33" s="315">
        <f t="shared" si="10"/>
        <v>0.5</v>
      </c>
      <c r="AA33" s="315">
        <f t="shared" si="10"/>
        <v>0.5</v>
      </c>
      <c r="AB33" s="315">
        <f t="shared" si="10"/>
        <v>0.5</v>
      </c>
      <c r="AC33" s="315">
        <f t="shared" si="10"/>
        <v>0.5</v>
      </c>
      <c r="AD33" s="315">
        <f t="shared" si="10"/>
        <v>0.5</v>
      </c>
      <c r="AE33" s="315">
        <f t="shared" si="10"/>
        <v>0.5</v>
      </c>
      <c r="AF33" s="315">
        <f t="shared" si="10"/>
        <v>0.5</v>
      </c>
      <c r="AG33" s="315">
        <f t="shared" si="10"/>
        <v>0.5</v>
      </c>
      <c r="AH33" s="315">
        <f t="shared" si="10"/>
        <v>0.5</v>
      </c>
      <c r="AI33" s="315">
        <f t="shared" si="10"/>
        <v>0.5</v>
      </c>
      <c r="AJ33" s="315">
        <f t="shared" si="10"/>
        <v>0.5</v>
      </c>
      <c r="AK33" s="315">
        <f t="shared" ref="AK33:BP33" si="11" xml:space="preserve"> AK$19</f>
        <v>0.5</v>
      </c>
      <c r="AL33" s="315">
        <f t="shared" si="11"/>
        <v>0.5</v>
      </c>
      <c r="AM33" s="315">
        <f t="shared" si="11"/>
        <v>0.5</v>
      </c>
      <c r="AN33" s="315">
        <f t="shared" si="11"/>
        <v>0.5</v>
      </c>
      <c r="AO33" s="315">
        <f t="shared" si="11"/>
        <v>0.5</v>
      </c>
      <c r="AP33" s="315">
        <f t="shared" si="11"/>
        <v>0.5</v>
      </c>
      <c r="AQ33" s="315">
        <f t="shared" si="11"/>
        <v>0.5</v>
      </c>
      <c r="AR33" s="315">
        <f t="shared" si="11"/>
        <v>0.5</v>
      </c>
      <c r="AS33" s="315">
        <f t="shared" si="11"/>
        <v>0.5</v>
      </c>
      <c r="AT33" s="315">
        <f t="shared" si="11"/>
        <v>0.5</v>
      </c>
      <c r="AU33" s="315">
        <f t="shared" si="11"/>
        <v>0.5</v>
      </c>
      <c r="AV33" s="315">
        <f t="shared" si="11"/>
        <v>0.5</v>
      </c>
      <c r="AW33" s="315">
        <f t="shared" si="11"/>
        <v>0.5</v>
      </c>
      <c r="AX33" s="315">
        <f t="shared" si="11"/>
        <v>0.5</v>
      </c>
      <c r="AY33" s="315">
        <f t="shared" si="11"/>
        <v>0.5</v>
      </c>
      <c r="AZ33" s="315">
        <f t="shared" si="11"/>
        <v>0.5</v>
      </c>
      <c r="BA33" s="315">
        <f t="shared" si="11"/>
        <v>0.5</v>
      </c>
      <c r="BB33" s="315">
        <f t="shared" si="11"/>
        <v>0.5</v>
      </c>
      <c r="BC33" s="315">
        <f t="shared" si="11"/>
        <v>0</v>
      </c>
      <c r="BD33" s="315">
        <f t="shared" si="11"/>
        <v>0</v>
      </c>
      <c r="BE33" s="315">
        <f t="shared" si="11"/>
        <v>0</v>
      </c>
      <c r="BF33" s="315">
        <f t="shared" si="11"/>
        <v>0</v>
      </c>
      <c r="BG33" s="315">
        <f t="shared" si="11"/>
        <v>0</v>
      </c>
      <c r="BH33" s="315">
        <f t="shared" si="11"/>
        <v>0</v>
      </c>
      <c r="BI33" s="315">
        <f t="shared" si="11"/>
        <v>0</v>
      </c>
      <c r="BJ33" s="315">
        <f t="shared" si="11"/>
        <v>0</v>
      </c>
      <c r="BK33" s="315">
        <f t="shared" si="11"/>
        <v>0</v>
      </c>
      <c r="BL33" s="315">
        <f t="shared" si="11"/>
        <v>0</v>
      </c>
      <c r="BM33" s="315">
        <f t="shared" si="11"/>
        <v>0</v>
      </c>
      <c r="BN33" s="315">
        <f t="shared" si="11"/>
        <v>0</v>
      </c>
      <c r="BO33" s="315">
        <f t="shared" si="11"/>
        <v>0</v>
      </c>
      <c r="BP33" s="315">
        <f t="shared" si="11"/>
        <v>0</v>
      </c>
      <c r="BQ33" s="315">
        <f t="shared" ref="BQ33:CV33" si="12" xml:space="preserve"> BQ$19</f>
        <v>0</v>
      </c>
      <c r="BR33" s="315">
        <f t="shared" si="12"/>
        <v>0</v>
      </c>
      <c r="BS33" s="315">
        <f t="shared" si="12"/>
        <v>0</v>
      </c>
      <c r="BT33" s="315">
        <f t="shared" si="12"/>
        <v>0</v>
      </c>
      <c r="BU33" s="315">
        <f t="shared" si="12"/>
        <v>0</v>
      </c>
      <c r="BV33" s="315">
        <f t="shared" si="12"/>
        <v>0</v>
      </c>
      <c r="BW33" s="315">
        <f t="shared" si="12"/>
        <v>0</v>
      </c>
      <c r="BX33" s="315">
        <f t="shared" si="12"/>
        <v>0</v>
      </c>
      <c r="BY33" s="315">
        <f t="shared" si="12"/>
        <v>0</v>
      </c>
      <c r="BZ33" s="315">
        <f t="shared" si="12"/>
        <v>0</v>
      </c>
      <c r="CA33" s="315">
        <f t="shared" si="12"/>
        <v>0</v>
      </c>
      <c r="CB33" s="315">
        <f t="shared" si="12"/>
        <v>0</v>
      </c>
      <c r="CC33" s="315">
        <f t="shared" si="12"/>
        <v>0</v>
      </c>
      <c r="CD33" s="315">
        <f t="shared" si="12"/>
        <v>0</v>
      </c>
      <c r="CE33" s="315">
        <f t="shared" si="12"/>
        <v>0</v>
      </c>
      <c r="CF33" s="315">
        <f t="shared" si="12"/>
        <v>0</v>
      </c>
      <c r="CG33" s="315">
        <f t="shared" si="12"/>
        <v>0</v>
      </c>
      <c r="CH33" s="315">
        <f t="shared" si="12"/>
        <v>0</v>
      </c>
      <c r="CI33" s="315">
        <f t="shared" si="12"/>
        <v>0</v>
      </c>
      <c r="CJ33" s="315">
        <f t="shared" si="12"/>
        <v>0</v>
      </c>
      <c r="CK33" s="315">
        <f t="shared" si="12"/>
        <v>0</v>
      </c>
      <c r="CL33" s="315">
        <f t="shared" si="12"/>
        <v>0</v>
      </c>
      <c r="CM33" s="315">
        <f t="shared" si="12"/>
        <v>0</v>
      </c>
      <c r="CN33" s="315">
        <f t="shared" si="12"/>
        <v>0</v>
      </c>
      <c r="CO33" s="315">
        <f t="shared" si="12"/>
        <v>0</v>
      </c>
      <c r="CP33" s="315">
        <f t="shared" si="12"/>
        <v>0</v>
      </c>
      <c r="CQ33" s="315">
        <f t="shared" si="12"/>
        <v>0</v>
      </c>
      <c r="CR33" s="315">
        <f t="shared" si="12"/>
        <v>0</v>
      </c>
      <c r="CS33" s="315">
        <f t="shared" si="12"/>
        <v>0</v>
      </c>
      <c r="CT33" s="315">
        <f t="shared" si="12"/>
        <v>0</v>
      </c>
      <c r="CU33" s="315">
        <f t="shared" si="12"/>
        <v>0</v>
      </c>
      <c r="CV33" s="315">
        <f t="shared" si="12"/>
        <v>0</v>
      </c>
    </row>
    <row r="34" spans="1:100" s="188" customFormat="1" outlineLevel="2" x14ac:dyDescent="0.2">
      <c r="A34" s="227"/>
      <c r="B34" s="227"/>
      <c r="C34" s="228"/>
      <c r="D34" s="229"/>
      <c r="E34" s="230" t="s">
        <v>633</v>
      </c>
      <c r="F34" s="230"/>
      <c r="G34" s="230" t="s">
        <v>118</v>
      </c>
      <c r="H34" s="230">
        <f xml:space="preserve"> SUM(J34:CV34)</f>
        <v>20217.473920645203</v>
      </c>
      <c r="I34" s="230"/>
      <c r="J34" s="230">
        <f t="shared" ref="J34:AO34" si="13" xml:space="preserve"> $F28 * (1 + $F29) * ($F30 + $F31) * J32 * J33</f>
        <v>0</v>
      </c>
      <c r="K34" s="230">
        <f t="shared" si="13"/>
        <v>0</v>
      </c>
      <c r="L34" s="230">
        <f t="shared" si="13"/>
        <v>0</v>
      </c>
      <c r="M34" s="230">
        <f t="shared" si="13"/>
        <v>0</v>
      </c>
      <c r="N34" s="230">
        <f t="shared" si="13"/>
        <v>0</v>
      </c>
      <c r="O34" s="230">
        <f xml:space="preserve"> $F28 * (1 + $F29) * ($F30 + $F31) * O32 * O33</f>
        <v>515.08799999999997</v>
      </c>
      <c r="P34" s="230">
        <f t="shared" si="13"/>
        <v>515.08799999999997</v>
      </c>
      <c r="Q34" s="230">
        <f t="shared" si="13"/>
        <v>514.05988023952091</v>
      </c>
      <c r="R34" s="230">
        <f t="shared" si="13"/>
        <v>514.05988023952091</v>
      </c>
      <c r="S34" s="230">
        <f t="shared" si="13"/>
        <v>513.0338126142924</v>
      </c>
      <c r="T34" s="230">
        <f t="shared" si="13"/>
        <v>513.0338126142924</v>
      </c>
      <c r="U34" s="230">
        <f t="shared" si="13"/>
        <v>512.00979302823589</v>
      </c>
      <c r="V34" s="230">
        <f t="shared" si="13"/>
        <v>512.00979302823589</v>
      </c>
      <c r="W34" s="230">
        <f t="shared" si="13"/>
        <v>510.98781739344901</v>
      </c>
      <c r="X34" s="230">
        <f t="shared" si="13"/>
        <v>510.98781739344901</v>
      </c>
      <c r="Y34" s="230">
        <f t="shared" si="13"/>
        <v>509.96788163018857</v>
      </c>
      <c r="Z34" s="230">
        <f t="shared" si="13"/>
        <v>509.96788163018857</v>
      </c>
      <c r="AA34" s="230">
        <f t="shared" si="13"/>
        <v>508.94998166685502</v>
      </c>
      <c r="AB34" s="230">
        <f t="shared" si="13"/>
        <v>508.94998166685502</v>
      </c>
      <c r="AC34" s="230">
        <f t="shared" si="13"/>
        <v>507.93411343997508</v>
      </c>
      <c r="AD34" s="230">
        <f t="shared" si="13"/>
        <v>507.93411343997508</v>
      </c>
      <c r="AE34" s="230">
        <f t="shared" si="13"/>
        <v>506.92027289418661</v>
      </c>
      <c r="AF34" s="230">
        <f t="shared" si="13"/>
        <v>506.92027289418661</v>
      </c>
      <c r="AG34" s="230">
        <f t="shared" si="13"/>
        <v>505.90845598222216</v>
      </c>
      <c r="AH34" s="230">
        <f t="shared" si="13"/>
        <v>505.90845598222216</v>
      </c>
      <c r="AI34" s="230">
        <f t="shared" si="13"/>
        <v>504.89865866489248</v>
      </c>
      <c r="AJ34" s="230">
        <f t="shared" si="13"/>
        <v>504.89865866489248</v>
      </c>
      <c r="AK34" s="230">
        <f t="shared" si="13"/>
        <v>503.89087691107034</v>
      </c>
      <c r="AL34" s="230">
        <f t="shared" si="13"/>
        <v>503.89087691107034</v>
      </c>
      <c r="AM34" s="230">
        <f t="shared" si="13"/>
        <v>502.88510669767498</v>
      </c>
      <c r="AN34" s="230">
        <f t="shared" si="13"/>
        <v>502.88510669767498</v>
      </c>
      <c r="AO34" s="230">
        <f t="shared" si="13"/>
        <v>501.88134400965561</v>
      </c>
      <c r="AP34" s="230">
        <f t="shared" ref="AP34:BU34" si="14" xml:space="preserve"> $F28 * (1 + $F29) * ($F30 + $F31) * AP32 * AP33</f>
        <v>501.88134400965561</v>
      </c>
      <c r="AQ34" s="230">
        <f t="shared" si="14"/>
        <v>500.87958483997585</v>
      </c>
      <c r="AR34" s="230">
        <f t="shared" si="14"/>
        <v>500.87958483997585</v>
      </c>
      <c r="AS34" s="230">
        <f t="shared" si="14"/>
        <v>499.87982518959649</v>
      </c>
      <c r="AT34" s="230">
        <f t="shared" si="14"/>
        <v>499.87982518959649</v>
      </c>
      <c r="AU34" s="230">
        <f t="shared" si="14"/>
        <v>498.88206106746162</v>
      </c>
      <c r="AV34" s="230">
        <f t="shared" si="14"/>
        <v>498.88206106746162</v>
      </c>
      <c r="AW34" s="230">
        <f t="shared" si="14"/>
        <v>497.88628849048064</v>
      </c>
      <c r="AX34" s="230">
        <f t="shared" si="14"/>
        <v>497.88628849048064</v>
      </c>
      <c r="AY34" s="230">
        <f t="shared" si="14"/>
        <v>496.89250348351368</v>
      </c>
      <c r="AZ34" s="230">
        <f t="shared" si="14"/>
        <v>496.89250348351368</v>
      </c>
      <c r="BA34" s="230">
        <f t="shared" si="14"/>
        <v>495.90070207935497</v>
      </c>
      <c r="BB34" s="230">
        <f t="shared" si="14"/>
        <v>495.90070207935497</v>
      </c>
      <c r="BC34" s="230">
        <f t="shared" si="14"/>
        <v>0</v>
      </c>
      <c r="BD34" s="230">
        <f t="shared" si="14"/>
        <v>0</v>
      </c>
      <c r="BE34" s="230">
        <f t="shared" si="14"/>
        <v>0</v>
      </c>
      <c r="BF34" s="230">
        <f t="shared" si="14"/>
        <v>0</v>
      </c>
      <c r="BG34" s="230">
        <f t="shared" si="14"/>
        <v>0</v>
      </c>
      <c r="BH34" s="230">
        <f t="shared" si="14"/>
        <v>0</v>
      </c>
      <c r="BI34" s="230">
        <f t="shared" si="14"/>
        <v>0</v>
      </c>
      <c r="BJ34" s="230">
        <f t="shared" si="14"/>
        <v>0</v>
      </c>
      <c r="BK34" s="230">
        <f t="shared" si="14"/>
        <v>0</v>
      </c>
      <c r="BL34" s="230">
        <f t="shared" si="14"/>
        <v>0</v>
      </c>
      <c r="BM34" s="230">
        <f t="shared" si="14"/>
        <v>0</v>
      </c>
      <c r="BN34" s="230">
        <f t="shared" si="14"/>
        <v>0</v>
      </c>
      <c r="BO34" s="230">
        <f t="shared" si="14"/>
        <v>0</v>
      </c>
      <c r="BP34" s="230">
        <f t="shared" si="14"/>
        <v>0</v>
      </c>
      <c r="BQ34" s="230">
        <f t="shared" si="14"/>
        <v>0</v>
      </c>
      <c r="BR34" s="230">
        <f t="shared" si="14"/>
        <v>0</v>
      </c>
      <c r="BS34" s="230">
        <f t="shared" si="14"/>
        <v>0</v>
      </c>
      <c r="BT34" s="230">
        <f t="shared" si="14"/>
        <v>0</v>
      </c>
      <c r="BU34" s="230">
        <f t="shared" si="14"/>
        <v>0</v>
      </c>
      <c r="BV34" s="230">
        <f t="shared" ref="BV34:CV34" si="15" xml:space="preserve"> $F28 * (1 + $F29) * ($F30 + $F31) * BV32 * BV33</f>
        <v>0</v>
      </c>
      <c r="BW34" s="230">
        <f t="shared" si="15"/>
        <v>0</v>
      </c>
      <c r="BX34" s="230">
        <f t="shared" si="15"/>
        <v>0</v>
      </c>
      <c r="BY34" s="230">
        <f t="shared" si="15"/>
        <v>0</v>
      </c>
      <c r="BZ34" s="230">
        <f t="shared" si="15"/>
        <v>0</v>
      </c>
      <c r="CA34" s="230">
        <f t="shared" si="15"/>
        <v>0</v>
      </c>
      <c r="CB34" s="230">
        <f t="shared" si="15"/>
        <v>0</v>
      </c>
      <c r="CC34" s="230">
        <f t="shared" si="15"/>
        <v>0</v>
      </c>
      <c r="CD34" s="230">
        <f t="shared" si="15"/>
        <v>0</v>
      </c>
      <c r="CE34" s="230">
        <f t="shared" si="15"/>
        <v>0</v>
      </c>
      <c r="CF34" s="230">
        <f t="shared" si="15"/>
        <v>0</v>
      </c>
      <c r="CG34" s="230">
        <f t="shared" si="15"/>
        <v>0</v>
      </c>
      <c r="CH34" s="230">
        <f t="shared" si="15"/>
        <v>0</v>
      </c>
      <c r="CI34" s="230">
        <f t="shared" si="15"/>
        <v>0</v>
      </c>
      <c r="CJ34" s="230">
        <f t="shared" si="15"/>
        <v>0</v>
      </c>
      <c r="CK34" s="230">
        <f t="shared" si="15"/>
        <v>0</v>
      </c>
      <c r="CL34" s="230">
        <f t="shared" si="15"/>
        <v>0</v>
      </c>
      <c r="CM34" s="230">
        <f t="shared" si="15"/>
        <v>0</v>
      </c>
      <c r="CN34" s="230">
        <f t="shared" si="15"/>
        <v>0</v>
      </c>
      <c r="CO34" s="230">
        <f t="shared" si="15"/>
        <v>0</v>
      </c>
      <c r="CP34" s="230">
        <f t="shared" si="15"/>
        <v>0</v>
      </c>
      <c r="CQ34" s="230">
        <f t="shared" si="15"/>
        <v>0</v>
      </c>
      <c r="CR34" s="230">
        <f t="shared" si="15"/>
        <v>0</v>
      </c>
      <c r="CS34" s="230">
        <f t="shared" si="15"/>
        <v>0</v>
      </c>
      <c r="CT34" s="230">
        <f t="shared" si="15"/>
        <v>0</v>
      </c>
      <c r="CU34" s="230">
        <f t="shared" si="15"/>
        <v>0</v>
      </c>
      <c r="CV34" s="230">
        <f t="shared" si="15"/>
        <v>0</v>
      </c>
    </row>
    <row r="35" spans="1:100" outlineLevel="1" x14ac:dyDescent="0.2">
      <c r="A35" s="236"/>
      <c r="B35" s="236"/>
      <c r="C35" s="237"/>
      <c r="D35" s="238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00" outlineLevel="1" x14ac:dyDescent="0.2">
      <c r="A36" s="236"/>
      <c r="B36" s="236" t="s">
        <v>619</v>
      </c>
      <c r="C36" s="237"/>
      <c r="D36" s="238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00" s="280" customFormat="1" outlineLevel="2" x14ac:dyDescent="0.2">
      <c r="A37" s="412"/>
      <c r="B37" s="412"/>
      <c r="C37" s="860"/>
      <c r="D37" s="413"/>
      <c r="E37" s="476" t="str">
        <f xml:space="preserve"> InpC!E$120</f>
        <v>USD / WID exchange rate - sensitised</v>
      </c>
      <c r="F37" s="476">
        <f xml:space="preserve"> InpC!F$120</f>
        <v>5</v>
      </c>
      <c r="G37" s="476" t="str">
        <f xml:space="preserve"> InpC!G$120</f>
        <v>WIDs</v>
      </c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192"/>
      <c r="U37" s="192"/>
      <c r="V37" s="192"/>
      <c r="W37" s="416"/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  <c r="AH37" s="416"/>
      <c r="AI37" s="416"/>
      <c r="AJ37" s="416"/>
      <c r="AK37" s="416"/>
      <c r="AL37" s="416"/>
      <c r="AM37" s="416"/>
      <c r="AN37" s="416"/>
      <c r="AO37" s="416"/>
      <c r="AP37" s="416"/>
      <c r="AQ37" s="416"/>
      <c r="AR37" s="416"/>
      <c r="AS37" s="416"/>
      <c r="AT37" s="416"/>
      <c r="AU37" s="416"/>
      <c r="AV37" s="416"/>
      <c r="AW37" s="416"/>
      <c r="AX37" s="416"/>
      <c r="AY37" s="416"/>
      <c r="AZ37" s="416"/>
      <c r="BA37" s="416"/>
      <c r="BB37" s="416"/>
      <c r="BC37" s="416"/>
      <c r="BD37" s="416"/>
      <c r="BE37" s="416"/>
      <c r="BF37" s="416"/>
      <c r="BG37" s="416"/>
      <c r="BH37" s="416"/>
      <c r="BI37" s="416"/>
      <c r="BJ37" s="416"/>
      <c r="BK37" s="416"/>
      <c r="BL37" s="416"/>
      <c r="BM37" s="416"/>
      <c r="BN37" s="416"/>
      <c r="BO37" s="416"/>
      <c r="BP37" s="416"/>
      <c r="BQ37" s="416"/>
      <c r="BR37" s="416"/>
      <c r="BS37" s="416"/>
      <c r="BT37" s="416"/>
      <c r="BU37" s="416"/>
      <c r="BV37" s="416"/>
      <c r="BW37" s="416"/>
      <c r="BX37" s="416"/>
      <c r="BY37" s="416"/>
      <c r="BZ37" s="416"/>
      <c r="CA37" s="416"/>
      <c r="CB37" s="416"/>
      <c r="CC37" s="416"/>
      <c r="CD37" s="416"/>
      <c r="CE37" s="416"/>
      <c r="CF37" s="416"/>
      <c r="CG37" s="416"/>
      <c r="CH37" s="416"/>
      <c r="CI37" s="416"/>
      <c r="CJ37" s="416"/>
      <c r="CK37" s="416"/>
      <c r="CL37" s="416"/>
      <c r="CM37" s="416"/>
      <c r="CN37" s="416"/>
      <c r="CO37" s="416"/>
      <c r="CP37" s="416"/>
      <c r="CQ37" s="416"/>
      <c r="CR37" s="416"/>
      <c r="CS37" s="416"/>
      <c r="CT37" s="416"/>
      <c r="CU37" s="416"/>
      <c r="CV37" s="416"/>
    </row>
    <row r="38" spans="1:100" s="450" customFormat="1" outlineLevel="2" x14ac:dyDescent="0.2">
      <c r="A38" s="451"/>
      <c r="B38" s="451"/>
      <c r="C38" s="452"/>
      <c r="D38" s="316"/>
      <c r="E38" s="453" t="str">
        <f xml:space="preserve"> InpS!E$18</f>
        <v>Exchange rate fluctuation - per RFP</v>
      </c>
      <c r="F38" s="453">
        <f xml:space="preserve"> InpS!F$18</f>
        <v>0</v>
      </c>
      <c r="G38" s="453" t="str">
        <f xml:space="preserve"> InpS!G$18</f>
        <v>%</v>
      </c>
      <c r="H38" s="453">
        <f xml:space="preserve"> InpS!H$18</f>
        <v>0</v>
      </c>
      <c r="I38" s="453">
        <f xml:space="preserve"> InpS!I$18</f>
        <v>0</v>
      </c>
      <c r="J38" s="453">
        <f xml:space="preserve"> InpS!J$18</f>
        <v>0</v>
      </c>
      <c r="K38" s="453">
        <f xml:space="preserve"> InpS!K$18</f>
        <v>0</v>
      </c>
      <c r="L38" s="453">
        <f xml:space="preserve"> InpS!L$18</f>
        <v>0</v>
      </c>
      <c r="M38" s="453">
        <f xml:space="preserve"> InpS!M$18</f>
        <v>0</v>
      </c>
      <c r="N38" s="453">
        <f xml:space="preserve"> InpS!N$18</f>
        <v>0</v>
      </c>
      <c r="O38" s="453">
        <f xml:space="preserve"> InpS!O$18</f>
        <v>0</v>
      </c>
      <c r="P38" s="453">
        <f xml:space="preserve"> InpS!P$18</f>
        <v>0</v>
      </c>
      <c r="Q38" s="453">
        <f xml:space="preserve"> InpS!Q$18</f>
        <v>0</v>
      </c>
      <c r="R38" s="453">
        <f xml:space="preserve"> InpS!R$18</f>
        <v>0</v>
      </c>
      <c r="S38" s="453">
        <f xml:space="preserve"> InpS!S$18</f>
        <v>0</v>
      </c>
      <c r="T38" s="453">
        <f xml:space="preserve"> InpS!T$18</f>
        <v>0</v>
      </c>
      <c r="U38" s="453">
        <f xml:space="preserve"> InpS!U$18</f>
        <v>0</v>
      </c>
      <c r="V38" s="453">
        <f xml:space="preserve"> InpS!V$18</f>
        <v>0</v>
      </c>
      <c r="W38" s="453">
        <f xml:space="preserve"> InpS!W$18</f>
        <v>0</v>
      </c>
      <c r="X38" s="453">
        <f xml:space="preserve"> InpS!X$18</f>
        <v>0</v>
      </c>
      <c r="Y38" s="453">
        <f xml:space="preserve"> InpS!Y$18</f>
        <v>0</v>
      </c>
      <c r="Z38" s="453">
        <f xml:space="preserve"> InpS!Z$18</f>
        <v>0</v>
      </c>
      <c r="AA38" s="453">
        <f xml:space="preserve"> InpS!AA$18</f>
        <v>0</v>
      </c>
      <c r="AB38" s="453">
        <f xml:space="preserve"> InpS!AB$18</f>
        <v>0</v>
      </c>
      <c r="AC38" s="453">
        <f xml:space="preserve"> InpS!AC$18</f>
        <v>0</v>
      </c>
      <c r="AD38" s="453">
        <f xml:space="preserve"> InpS!AD$18</f>
        <v>0</v>
      </c>
      <c r="AE38" s="453">
        <f xml:space="preserve"> InpS!AE$18</f>
        <v>0</v>
      </c>
      <c r="AF38" s="453">
        <f xml:space="preserve"> InpS!AF$18</f>
        <v>0</v>
      </c>
      <c r="AG38" s="453">
        <f xml:space="preserve"> InpS!AG$18</f>
        <v>0</v>
      </c>
      <c r="AH38" s="453">
        <f xml:space="preserve"> InpS!AH$18</f>
        <v>0</v>
      </c>
      <c r="AI38" s="453">
        <f xml:space="preserve"> InpS!AI$18</f>
        <v>0</v>
      </c>
      <c r="AJ38" s="453">
        <f xml:space="preserve"> InpS!AJ$18</f>
        <v>0</v>
      </c>
      <c r="AK38" s="453">
        <f xml:space="preserve"> InpS!AK$18</f>
        <v>0</v>
      </c>
      <c r="AL38" s="453">
        <f xml:space="preserve"> InpS!AL$18</f>
        <v>0</v>
      </c>
      <c r="AM38" s="453">
        <f xml:space="preserve"> InpS!AM$18</f>
        <v>0</v>
      </c>
      <c r="AN38" s="453">
        <f xml:space="preserve"> InpS!AN$18</f>
        <v>0</v>
      </c>
      <c r="AO38" s="453">
        <f xml:space="preserve"> InpS!AO$18</f>
        <v>0</v>
      </c>
      <c r="AP38" s="453">
        <f xml:space="preserve"> InpS!AP$18</f>
        <v>0</v>
      </c>
      <c r="AQ38" s="453">
        <f xml:space="preserve"> InpS!AQ$18</f>
        <v>0</v>
      </c>
      <c r="AR38" s="453">
        <f xml:space="preserve"> InpS!AR$18</f>
        <v>0</v>
      </c>
      <c r="AS38" s="453">
        <f xml:space="preserve"> InpS!AS$18</f>
        <v>0</v>
      </c>
      <c r="AT38" s="453">
        <f xml:space="preserve"> InpS!AT$18</f>
        <v>0</v>
      </c>
      <c r="AU38" s="453">
        <f xml:space="preserve"> InpS!AU$18</f>
        <v>0</v>
      </c>
      <c r="AV38" s="453">
        <f xml:space="preserve"> InpS!AV$18</f>
        <v>0</v>
      </c>
      <c r="AW38" s="453">
        <f xml:space="preserve"> InpS!AW$18</f>
        <v>0</v>
      </c>
      <c r="AX38" s="453">
        <f xml:space="preserve"> InpS!AX$18</f>
        <v>0</v>
      </c>
      <c r="AY38" s="453">
        <f xml:space="preserve"> InpS!AY$18</f>
        <v>0</v>
      </c>
      <c r="AZ38" s="453">
        <f xml:space="preserve"> InpS!AZ$18</f>
        <v>0</v>
      </c>
      <c r="BA38" s="453">
        <f xml:space="preserve"> InpS!BA$18</f>
        <v>0</v>
      </c>
      <c r="BB38" s="453">
        <f xml:space="preserve"> InpS!BB$18</f>
        <v>0</v>
      </c>
      <c r="BC38" s="453">
        <f xml:space="preserve"> InpS!BC$18</f>
        <v>0</v>
      </c>
      <c r="BD38" s="453">
        <f xml:space="preserve"> InpS!BD$18</f>
        <v>0</v>
      </c>
      <c r="BE38" s="453">
        <f xml:space="preserve"> InpS!BE$18</f>
        <v>0</v>
      </c>
      <c r="BF38" s="453">
        <f xml:space="preserve"> InpS!BF$18</f>
        <v>0</v>
      </c>
      <c r="BG38" s="453">
        <f xml:space="preserve"> InpS!BG$18</f>
        <v>0</v>
      </c>
      <c r="BH38" s="453">
        <f xml:space="preserve"> InpS!BH$18</f>
        <v>0</v>
      </c>
      <c r="BI38" s="453">
        <f xml:space="preserve"> InpS!BI$18</f>
        <v>0</v>
      </c>
      <c r="BJ38" s="453">
        <f xml:space="preserve"> InpS!BJ$18</f>
        <v>0</v>
      </c>
      <c r="BK38" s="453">
        <f xml:space="preserve"> InpS!BK$18</f>
        <v>0</v>
      </c>
      <c r="BL38" s="453">
        <f xml:space="preserve"> InpS!BL$18</f>
        <v>0</v>
      </c>
      <c r="BM38" s="453">
        <f xml:space="preserve"> InpS!BM$18</f>
        <v>0</v>
      </c>
      <c r="BN38" s="453">
        <f xml:space="preserve"> InpS!BN$18</f>
        <v>0</v>
      </c>
      <c r="BO38" s="453">
        <f xml:space="preserve"> InpS!BO$18</f>
        <v>0</v>
      </c>
      <c r="BP38" s="453">
        <f xml:space="preserve"> InpS!BP$18</f>
        <v>0</v>
      </c>
      <c r="BQ38" s="453">
        <f xml:space="preserve"> InpS!BQ$18</f>
        <v>0</v>
      </c>
      <c r="BR38" s="453">
        <f xml:space="preserve"> InpS!BR$18</f>
        <v>0</v>
      </c>
      <c r="BS38" s="453">
        <f xml:space="preserve"> InpS!BS$18</f>
        <v>0</v>
      </c>
      <c r="BT38" s="453">
        <f xml:space="preserve"> InpS!BT$18</f>
        <v>0</v>
      </c>
      <c r="BU38" s="453">
        <f xml:space="preserve"> InpS!BU$18</f>
        <v>0</v>
      </c>
      <c r="BV38" s="453">
        <f xml:space="preserve"> InpS!BV$18</f>
        <v>0</v>
      </c>
      <c r="BW38" s="453">
        <f xml:space="preserve"> InpS!BW$18</f>
        <v>0</v>
      </c>
      <c r="BX38" s="453">
        <f xml:space="preserve"> InpS!BX$18</f>
        <v>0</v>
      </c>
      <c r="BY38" s="453">
        <f xml:space="preserve"> InpS!BY$18</f>
        <v>0</v>
      </c>
      <c r="BZ38" s="453">
        <f xml:space="preserve"> InpS!BZ$18</f>
        <v>0</v>
      </c>
      <c r="CA38" s="453">
        <f xml:space="preserve"> InpS!CA$18</f>
        <v>0</v>
      </c>
      <c r="CB38" s="453">
        <f xml:space="preserve"> InpS!CB$18</f>
        <v>0</v>
      </c>
      <c r="CC38" s="453">
        <f xml:space="preserve"> InpS!CC$18</f>
        <v>0</v>
      </c>
      <c r="CD38" s="453">
        <f xml:space="preserve"> InpS!CD$18</f>
        <v>0</v>
      </c>
      <c r="CE38" s="453">
        <f xml:space="preserve"> InpS!CE$18</f>
        <v>0</v>
      </c>
      <c r="CF38" s="453">
        <f xml:space="preserve"> InpS!CF$18</f>
        <v>0</v>
      </c>
      <c r="CG38" s="453">
        <f xml:space="preserve"> InpS!CG$18</f>
        <v>0</v>
      </c>
      <c r="CH38" s="453">
        <f xml:space="preserve"> InpS!CH$18</f>
        <v>0</v>
      </c>
      <c r="CI38" s="453">
        <f xml:space="preserve"> InpS!CI$18</f>
        <v>0</v>
      </c>
      <c r="CJ38" s="453">
        <f xml:space="preserve"> InpS!CJ$18</f>
        <v>0</v>
      </c>
      <c r="CK38" s="453">
        <f xml:space="preserve"> InpS!CK$18</f>
        <v>0</v>
      </c>
      <c r="CL38" s="453">
        <f xml:space="preserve"> InpS!CL$18</f>
        <v>0</v>
      </c>
      <c r="CM38" s="453">
        <f xml:space="preserve"> InpS!CM$18</f>
        <v>0</v>
      </c>
      <c r="CN38" s="453">
        <f xml:space="preserve"> InpS!CN$18</f>
        <v>0</v>
      </c>
      <c r="CO38" s="453">
        <f xml:space="preserve"> InpS!CO$18</f>
        <v>0</v>
      </c>
      <c r="CP38" s="453">
        <f xml:space="preserve"> InpS!CP$18</f>
        <v>0</v>
      </c>
      <c r="CQ38" s="453">
        <f xml:space="preserve"> InpS!CQ$18</f>
        <v>0</v>
      </c>
      <c r="CR38" s="453">
        <f xml:space="preserve"> InpS!CR$18</f>
        <v>0</v>
      </c>
      <c r="CS38" s="453">
        <f xml:space="preserve"> InpS!CS$18</f>
        <v>0</v>
      </c>
      <c r="CT38" s="453">
        <f xml:space="preserve"> InpS!CT$18</f>
        <v>0</v>
      </c>
      <c r="CU38" s="453">
        <f xml:space="preserve"> InpS!CU$18</f>
        <v>0</v>
      </c>
      <c r="CV38" s="453">
        <f xml:space="preserve"> InpS!CV$18</f>
        <v>0</v>
      </c>
    </row>
    <row r="39" spans="1:100" s="280" customFormat="1" outlineLevel="2" x14ac:dyDescent="0.2">
      <c r="A39" s="412"/>
      <c r="B39" s="412"/>
      <c r="C39" s="860"/>
      <c r="D39" s="413"/>
      <c r="E39" s="416" t="s">
        <v>620</v>
      </c>
      <c r="F39" s="416"/>
      <c r="G39" s="416" t="s">
        <v>585</v>
      </c>
      <c r="H39" s="416"/>
      <c r="I39" s="416"/>
      <c r="J39" s="416">
        <f xml:space="preserve"> $F37 * (1 + J38)</f>
        <v>5</v>
      </c>
      <c r="K39" s="416">
        <f t="shared" ref="K39:BV39" si="16" xml:space="preserve"> $F37 * (1 + K38)</f>
        <v>5</v>
      </c>
      <c r="L39" s="416">
        <f t="shared" si="16"/>
        <v>5</v>
      </c>
      <c r="M39" s="416">
        <f t="shared" si="16"/>
        <v>5</v>
      </c>
      <c r="N39" s="416">
        <f t="shared" si="16"/>
        <v>5</v>
      </c>
      <c r="O39" s="416">
        <f t="shared" si="16"/>
        <v>5</v>
      </c>
      <c r="P39" s="416">
        <f t="shared" si="16"/>
        <v>5</v>
      </c>
      <c r="Q39" s="416">
        <f t="shared" si="16"/>
        <v>5</v>
      </c>
      <c r="R39" s="416">
        <f t="shared" si="16"/>
        <v>5</v>
      </c>
      <c r="S39" s="416">
        <f t="shared" si="16"/>
        <v>5</v>
      </c>
      <c r="T39" s="416">
        <f t="shared" si="16"/>
        <v>5</v>
      </c>
      <c r="U39" s="416">
        <f t="shared" si="16"/>
        <v>5</v>
      </c>
      <c r="V39" s="416">
        <f t="shared" si="16"/>
        <v>5</v>
      </c>
      <c r="W39" s="416">
        <f t="shared" si="16"/>
        <v>5</v>
      </c>
      <c r="X39" s="416">
        <f t="shared" si="16"/>
        <v>5</v>
      </c>
      <c r="Y39" s="416">
        <f t="shared" si="16"/>
        <v>5</v>
      </c>
      <c r="Z39" s="416">
        <f t="shared" si="16"/>
        <v>5</v>
      </c>
      <c r="AA39" s="416">
        <f t="shared" si="16"/>
        <v>5</v>
      </c>
      <c r="AB39" s="416">
        <f t="shared" si="16"/>
        <v>5</v>
      </c>
      <c r="AC39" s="416">
        <f t="shared" si="16"/>
        <v>5</v>
      </c>
      <c r="AD39" s="416">
        <f t="shared" si="16"/>
        <v>5</v>
      </c>
      <c r="AE39" s="416">
        <f t="shared" si="16"/>
        <v>5</v>
      </c>
      <c r="AF39" s="416">
        <f t="shared" si="16"/>
        <v>5</v>
      </c>
      <c r="AG39" s="416">
        <f t="shared" si="16"/>
        <v>5</v>
      </c>
      <c r="AH39" s="416">
        <f t="shared" si="16"/>
        <v>5</v>
      </c>
      <c r="AI39" s="416">
        <f t="shared" si="16"/>
        <v>5</v>
      </c>
      <c r="AJ39" s="416">
        <f t="shared" si="16"/>
        <v>5</v>
      </c>
      <c r="AK39" s="416">
        <f t="shared" si="16"/>
        <v>5</v>
      </c>
      <c r="AL39" s="416">
        <f t="shared" si="16"/>
        <v>5</v>
      </c>
      <c r="AM39" s="416">
        <f t="shared" si="16"/>
        <v>5</v>
      </c>
      <c r="AN39" s="416">
        <f t="shared" si="16"/>
        <v>5</v>
      </c>
      <c r="AO39" s="416">
        <f t="shared" si="16"/>
        <v>5</v>
      </c>
      <c r="AP39" s="416">
        <f t="shared" si="16"/>
        <v>5</v>
      </c>
      <c r="AQ39" s="416">
        <f t="shared" si="16"/>
        <v>5</v>
      </c>
      <c r="AR39" s="416">
        <f t="shared" si="16"/>
        <v>5</v>
      </c>
      <c r="AS39" s="416">
        <f t="shared" si="16"/>
        <v>5</v>
      </c>
      <c r="AT39" s="416">
        <f t="shared" si="16"/>
        <v>5</v>
      </c>
      <c r="AU39" s="416">
        <f t="shared" si="16"/>
        <v>5</v>
      </c>
      <c r="AV39" s="416">
        <f t="shared" si="16"/>
        <v>5</v>
      </c>
      <c r="AW39" s="416">
        <f t="shared" si="16"/>
        <v>5</v>
      </c>
      <c r="AX39" s="416">
        <f t="shared" si="16"/>
        <v>5</v>
      </c>
      <c r="AY39" s="416">
        <f t="shared" si="16"/>
        <v>5</v>
      </c>
      <c r="AZ39" s="416">
        <f t="shared" si="16"/>
        <v>5</v>
      </c>
      <c r="BA39" s="416">
        <f t="shared" si="16"/>
        <v>5</v>
      </c>
      <c r="BB39" s="416">
        <f t="shared" si="16"/>
        <v>5</v>
      </c>
      <c r="BC39" s="416">
        <f t="shared" si="16"/>
        <v>5</v>
      </c>
      <c r="BD39" s="416">
        <f t="shared" si="16"/>
        <v>5</v>
      </c>
      <c r="BE39" s="416">
        <f t="shared" si="16"/>
        <v>5</v>
      </c>
      <c r="BF39" s="416">
        <f t="shared" si="16"/>
        <v>5</v>
      </c>
      <c r="BG39" s="416">
        <f t="shared" si="16"/>
        <v>5</v>
      </c>
      <c r="BH39" s="416">
        <f t="shared" si="16"/>
        <v>5</v>
      </c>
      <c r="BI39" s="416">
        <f t="shared" si="16"/>
        <v>5</v>
      </c>
      <c r="BJ39" s="416">
        <f t="shared" si="16"/>
        <v>5</v>
      </c>
      <c r="BK39" s="416">
        <f t="shared" si="16"/>
        <v>5</v>
      </c>
      <c r="BL39" s="416">
        <f t="shared" si="16"/>
        <v>5</v>
      </c>
      <c r="BM39" s="416">
        <f t="shared" si="16"/>
        <v>5</v>
      </c>
      <c r="BN39" s="416">
        <f t="shared" si="16"/>
        <v>5</v>
      </c>
      <c r="BO39" s="416">
        <f t="shared" si="16"/>
        <v>5</v>
      </c>
      <c r="BP39" s="416">
        <f t="shared" si="16"/>
        <v>5</v>
      </c>
      <c r="BQ39" s="416">
        <f t="shared" si="16"/>
        <v>5</v>
      </c>
      <c r="BR39" s="416">
        <f t="shared" si="16"/>
        <v>5</v>
      </c>
      <c r="BS39" s="416">
        <f t="shared" si="16"/>
        <v>5</v>
      </c>
      <c r="BT39" s="416">
        <f t="shared" si="16"/>
        <v>5</v>
      </c>
      <c r="BU39" s="416">
        <f t="shared" si="16"/>
        <v>5</v>
      </c>
      <c r="BV39" s="416">
        <f t="shared" si="16"/>
        <v>5</v>
      </c>
      <c r="BW39" s="416">
        <f t="shared" ref="BW39:CV39" si="17" xml:space="preserve"> $F37 * (1 + BW38)</f>
        <v>5</v>
      </c>
      <c r="BX39" s="416">
        <f t="shared" si="17"/>
        <v>5</v>
      </c>
      <c r="BY39" s="416">
        <f t="shared" si="17"/>
        <v>5</v>
      </c>
      <c r="BZ39" s="416">
        <f t="shared" si="17"/>
        <v>5</v>
      </c>
      <c r="CA39" s="416">
        <f t="shared" si="17"/>
        <v>5</v>
      </c>
      <c r="CB39" s="416">
        <f t="shared" si="17"/>
        <v>5</v>
      </c>
      <c r="CC39" s="416">
        <f t="shared" si="17"/>
        <v>5</v>
      </c>
      <c r="CD39" s="416">
        <f t="shared" si="17"/>
        <v>5</v>
      </c>
      <c r="CE39" s="416">
        <f t="shared" si="17"/>
        <v>5</v>
      </c>
      <c r="CF39" s="416">
        <f t="shared" si="17"/>
        <v>5</v>
      </c>
      <c r="CG39" s="416">
        <f t="shared" si="17"/>
        <v>5</v>
      </c>
      <c r="CH39" s="416">
        <f t="shared" si="17"/>
        <v>5</v>
      </c>
      <c r="CI39" s="416">
        <f t="shared" si="17"/>
        <v>5</v>
      </c>
      <c r="CJ39" s="416">
        <f t="shared" si="17"/>
        <v>5</v>
      </c>
      <c r="CK39" s="416">
        <f t="shared" si="17"/>
        <v>5</v>
      </c>
      <c r="CL39" s="416">
        <f t="shared" si="17"/>
        <v>5</v>
      </c>
      <c r="CM39" s="416">
        <f t="shared" si="17"/>
        <v>5</v>
      </c>
      <c r="CN39" s="416">
        <f t="shared" si="17"/>
        <v>5</v>
      </c>
      <c r="CO39" s="416">
        <f t="shared" si="17"/>
        <v>5</v>
      </c>
      <c r="CP39" s="416">
        <f t="shared" si="17"/>
        <v>5</v>
      </c>
      <c r="CQ39" s="416">
        <f t="shared" si="17"/>
        <v>5</v>
      </c>
      <c r="CR39" s="416">
        <f t="shared" si="17"/>
        <v>5</v>
      </c>
      <c r="CS39" s="416">
        <f t="shared" si="17"/>
        <v>5</v>
      </c>
      <c r="CT39" s="416">
        <f t="shared" si="17"/>
        <v>5</v>
      </c>
      <c r="CU39" s="416">
        <f t="shared" si="17"/>
        <v>5</v>
      </c>
      <c r="CV39" s="416">
        <f t="shared" si="17"/>
        <v>5</v>
      </c>
    </row>
    <row r="40" spans="1:100" outlineLevel="2" x14ac:dyDescent="0.2">
      <c r="A40" s="236"/>
      <c r="B40" s="236"/>
      <c r="C40" s="237"/>
      <c r="D40" s="238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35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  <c r="BJ40" s="235"/>
      <c r="BK40" s="235"/>
      <c r="BL40" s="235"/>
      <c r="BM40" s="235"/>
      <c r="BN40" s="235"/>
      <c r="BO40" s="235"/>
      <c r="BP40" s="235"/>
      <c r="BQ40" s="235"/>
      <c r="BR40" s="235"/>
      <c r="BS40" s="235"/>
      <c r="BT40" s="235"/>
      <c r="BU40" s="235"/>
      <c r="BV40" s="235"/>
      <c r="BW40" s="235"/>
      <c r="BX40" s="235"/>
      <c r="BY40" s="235"/>
      <c r="BZ40" s="235"/>
      <c r="CA40" s="235"/>
      <c r="CB40" s="235"/>
      <c r="CC40" s="235"/>
      <c r="CD40" s="235"/>
      <c r="CE40" s="235"/>
      <c r="CF40" s="235"/>
      <c r="CG40" s="235"/>
      <c r="CH40" s="235"/>
      <c r="CI40" s="235"/>
      <c r="CJ40" s="235"/>
      <c r="CK40" s="235"/>
      <c r="CL40" s="235"/>
      <c r="CM40" s="235"/>
      <c r="CN40" s="235"/>
      <c r="CO40" s="235"/>
      <c r="CP40" s="235"/>
      <c r="CQ40" s="235"/>
      <c r="CR40" s="235"/>
      <c r="CS40" s="235"/>
      <c r="CT40" s="235"/>
      <c r="CU40" s="235"/>
      <c r="CV40" s="235"/>
    </row>
    <row r="41" spans="1:100" outlineLevel="2" x14ac:dyDescent="0.2">
      <c r="A41" s="85"/>
      <c r="B41" s="85"/>
      <c r="C41" s="86"/>
      <c r="D41" s="87"/>
      <c r="E41" s="475" t="str">
        <f xml:space="preserve"> Solve!E$48</f>
        <v>Power tariff (fixed)</v>
      </c>
      <c r="F41" s="475">
        <f xml:space="preserve"> Solve!F$48</f>
        <v>19.483770556130601</v>
      </c>
      <c r="G41" s="475" t="str">
        <f xml:space="preserve"> Solve!G$48</f>
        <v>WID Cents / kWh</v>
      </c>
      <c r="H41" s="145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68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</row>
    <row r="42" spans="1:100" outlineLevel="2" x14ac:dyDescent="0.2">
      <c r="A42" s="85"/>
      <c r="B42" s="85"/>
      <c r="C42" s="86"/>
      <c r="D42" s="87"/>
      <c r="E42" s="1161" t="str">
        <f t="shared" ref="E42:G42" si="18" xml:space="preserve"> E$132</f>
        <v>O&amp;M component of tariff</v>
      </c>
      <c r="F42" s="1162">
        <f t="shared" si="18"/>
        <v>0.34567875760153699</v>
      </c>
      <c r="G42" s="1161" t="str">
        <f t="shared" si="18"/>
        <v>WID Cents / kWh</v>
      </c>
      <c r="H42" s="145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8"/>
      <c r="BO42" s="68"/>
      <c r="BP42" s="68"/>
      <c r="BQ42" s="68"/>
      <c r="BR42" s="68"/>
      <c r="BS42" s="68"/>
      <c r="BT42" s="68"/>
      <c r="BU42" s="68"/>
      <c r="BV42" s="68"/>
      <c r="BW42" s="68"/>
      <c r="BX42" s="68"/>
      <c r="BY42" s="68"/>
      <c r="BZ42" s="68"/>
      <c r="CA42" s="68"/>
      <c r="CB42" s="68"/>
      <c r="CC42" s="68"/>
      <c r="CD42" s="68"/>
      <c r="CE42" s="68"/>
      <c r="CF42" s="68"/>
      <c r="CG42" s="68"/>
      <c r="CH42" s="68"/>
      <c r="CI42" s="68"/>
      <c r="CJ42" s="68"/>
      <c r="CK42" s="68"/>
      <c r="CL42" s="68"/>
      <c r="CM42" s="68"/>
      <c r="CN42" s="68"/>
      <c r="CO42" s="68"/>
      <c r="CP42" s="68"/>
      <c r="CQ42" s="68"/>
      <c r="CR42" s="68"/>
      <c r="CS42" s="68"/>
      <c r="CT42" s="68"/>
      <c r="CU42" s="68"/>
      <c r="CV42" s="68"/>
    </row>
    <row r="43" spans="1:100" outlineLevel="2" x14ac:dyDescent="0.2">
      <c r="A43" s="236"/>
      <c r="B43" s="236"/>
      <c r="C43" s="237"/>
      <c r="D43" s="238"/>
      <c r="E43" s="416" t="s">
        <v>621</v>
      </c>
      <c r="F43" s="416">
        <f xml:space="preserve"> F41 - F42</f>
        <v>19.138091798529064</v>
      </c>
      <c r="G43" s="416" t="s">
        <v>622</v>
      </c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35"/>
      <c r="AP43" s="235"/>
      <c r="AQ43" s="235"/>
      <c r="AR43" s="235"/>
      <c r="AS43" s="235"/>
      <c r="AT43" s="235"/>
      <c r="AU43" s="235"/>
      <c r="AV43" s="235"/>
      <c r="AW43" s="235"/>
      <c r="AX43" s="235"/>
      <c r="AY43" s="235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BJ43" s="235"/>
      <c r="BK43" s="235"/>
      <c r="BL43" s="235"/>
      <c r="BM43" s="235"/>
      <c r="BN43" s="235"/>
      <c r="BO43" s="235"/>
      <c r="BP43" s="235"/>
      <c r="BQ43" s="235"/>
      <c r="BR43" s="235"/>
      <c r="BS43" s="235"/>
      <c r="BT43" s="235"/>
      <c r="BU43" s="235"/>
      <c r="BV43" s="235"/>
      <c r="BW43" s="235"/>
      <c r="BX43" s="235"/>
      <c r="BY43" s="235"/>
      <c r="BZ43" s="235"/>
      <c r="CA43" s="235"/>
      <c r="CB43" s="235"/>
      <c r="CC43" s="235"/>
      <c r="CD43" s="235"/>
      <c r="CE43" s="235"/>
      <c r="CF43" s="235"/>
      <c r="CG43" s="235"/>
      <c r="CH43" s="235"/>
      <c r="CI43" s="235"/>
      <c r="CJ43" s="235"/>
      <c r="CK43" s="235"/>
      <c r="CL43" s="235"/>
      <c r="CM43" s="235"/>
      <c r="CN43" s="235"/>
      <c r="CO43" s="235"/>
      <c r="CP43" s="235"/>
      <c r="CQ43" s="235"/>
      <c r="CR43" s="235"/>
      <c r="CS43" s="235"/>
      <c r="CT43" s="235"/>
      <c r="CU43" s="235"/>
      <c r="CV43" s="235"/>
    </row>
    <row r="44" spans="1:100" outlineLevel="2" x14ac:dyDescent="0.2">
      <c r="A44" s="85"/>
      <c r="B44" s="85"/>
      <c r="C44" s="86"/>
      <c r="D44" s="87"/>
      <c r="E44" s="475" t="str">
        <f xml:space="preserve"> Solve!E$48</f>
        <v>Power tariff (fixed)</v>
      </c>
      <c r="F44" s="475">
        <f xml:space="preserve"> Solve!F$48</f>
        <v>19.483770556130601</v>
      </c>
      <c r="G44" s="475" t="str">
        <f xml:space="preserve"> Solve!G$48</f>
        <v>WID Cents / kWh</v>
      </c>
      <c r="H44" s="145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  <c r="BM44" s="68"/>
      <c r="BN44" s="68"/>
      <c r="BO44" s="68"/>
      <c r="BP44" s="68"/>
      <c r="BQ44" s="68"/>
      <c r="BR44" s="68"/>
      <c r="BS44" s="68"/>
      <c r="BT44" s="68"/>
      <c r="BU44" s="68"/>
      <c r="BV44" s="68"/>
      <c r="BW44" s="68"/>
      <c r="BX44" s="68"/>
      <c r="BY44" s="68"/>
      <c r="BZ44" s="68"/>
      <c r="CA44" s="68"/>
      <c r="CB44" s="68"/>
      <c r="CC44" s="68"/>
      <c r="CD44" s="68"/>
      <c r="CE44" s="68"/>
      <c r="CF44" s="68"/>
      <c r="CG44" s="68"/>
      <c r="CH44" s="68"/>
      <c r="CI44" s="68"/>
      <c r="CJ44" s="68"/>
      <c r="CK44" s="68"/>
      <c r="CL44" s="68"/>
      <c r="CM44" s="68"/>
      <c r="CN44" s="68"/>
      <c r="CO44" s="68"/>
      <c r="CP44" s="68"/>
      <c r="CQ44" s="68"/>
      <c r="CR44" s="68"/>
      <c r="CS44" s="68"/>
      <c r="CT44" s="68"/>
      <c r="CU44" s="68"/>
      <c r="CV44" s="68"/>
    </row>
    <row r="45" spans="1:100" outlineLevel="2" x14ac:dyDescent="0.2">
      <c r="A45" s="700"/>
      <c r="B45" s="700"/>
      <c r="C45" s="701"/>
      <c r="D45" s="702"/>
      <c r="E45" s="703"/>
      <c r="F45" s="703"/>
      <c r="G45" s="703"/>
      <c r="H45" s="703"/>
      <c r="I45" s="703"/>
      <c r="J45" s="703"/>
      <c r="K45" s="703"/>
      <c r="L45" s="703"/>
      <c r="M45" s="703"/>
      <c r="N45" s="703"/>
      <c r="O45" s="703"/>
      <c r="P45" s="703"/>
      <c r="Q45" s="703"/>
      <c r="R45" s="703"/>
      <c r="S45" s="703"/>
      <c r="T45" s="703"/>
      <c r="U45" s="703"/>
      <c r="V45" s="703"/>
      <c r="W45" s="703"/>
      <c r="X45" s="703"/>
      <c r="Y45" s="703"/>
      <c r="Z45" s="703"/>
      <c r="AA45" s="703"/>
      <c r="AB45" s="703"/>
      <c r="AC45" s="703"/>
      <c r="AD45" s="703"/>
      <c r="AE45" s="703"/>
      <c r="AF45" s="703"/>
      <c r="AG45" s="703"/>
      <c r="AH45" s="703"/>
      <c r="AI45" s="703"/>
      <c r="AJ45" s="703"/>
      <c r="AK45" s="703"/>
      <c r="AL45" s="703"/>
      <c r="AM45" s="703"/>
      <c r="AN45" s="703"/>
      <c r="AO45" s="703"/>
      <c r="AP45" s="703"/>
      <c r="AQ45" s="703"/>
      <c r="AR45" s="703"/>
      <c r="AS45" s="703"/>
      <c r="AT45" s="703"/>
      <c r="AU45" s="703"/>
      <c r="AV45" s="703"/>
      <c r="AW45" s="703"/>
      <c r="AX45" s="703"/>
      <c r="AY45" s="703"/>
      <c r="AZ45" s="703"/>
      <c r="BA45" s="703"/>
      <c r="BB45" s="703"/>
      <c r="BC45" s="703"/>
      <c r="BD45" s="703"/>
      <c r="BE45" s="703"/>
      <c r="BF45" s="703"/>
      <c r="BG45" s="703"/>
      <c r="BH45" s="703"/>
      <c r="BI45" s="703"/>
      <c r="BJ45" s="703"/>
      <c r="BK45" s="703"/>
      <c r="BL45" s="703"/>
      <c r="BM45" s="703"/>
      <c r="BN45" s="703"/>
      <c r="BO45" s="703"/>
      <c r="BP45" s="703"/>
      <c r="BQ45" s="703"/>
      <c r="BR45" s="703"/>
      <c r="BS45" s="703"/>
      <c r="BT45" s="703"/>
      <c r="BU45" s="703"/>
      <c r="BV45" s="703"/>
      <c r="BW45" s="703"/>
      <c r="BX45" s="703"/>
      <c r="BY45" s="703"/>
      <c r="BZ45" s="703"/>
      <c r="CA45" s="703"/>
      <c r="CB45" s="703"/>
      <c r="CC45" s="703"/>
      <c r="CD45" s="703"/>
      <c r="CE45" s="703"/>
      <c r="CF45" s="703"/>
      <c r="CG45" s="703"/>
      <c r="CH45" s="703"/>
      <c r="CI45" s="703"/>
      <c r="CJ45" s="703"/>
      <c r="CK45" s="703"/>
      <c r="CL45" s="703"/>
      <c r="CM45" s="703"/>
      <c r="CN45" s="703"/>
      <c r="CO45" s="703"/>
      <c r="CP45" s="703"/>
      <c r="CQ45" s="703"/>
      <c r="CR45" s="703"/>
      <c r="CS45" s="703"/>
      <c r="CT45" s="703"/>
      <c r="CU45" s="703"/>
      <c r="CV45" s="703"/>
    </row>
    <row r="46" spans="1:100" outlineLevel="2" x14ac:dyDescent="0.2">
      <c r="A46" s="700"/>
      <c r="B46" s="700"/>
      <c r="C46" s="701"/>
      <c r="D46" s="702"/>
      <c r="E46" s="279" t="str">
        <f xml:space="preserve"> E$43</f>
        <v>Power tariff - fixed</v>
      </c>
      <c r="F46" s="279">
        <f xml:space="preserve"> F$43</f>
        <v>19.138091798529064</v>
      </c>
      <c r="G46" s="279" t="str">
        <f xml:space="preserve"> G$43</f>
        <v>WID Cents / kWh</v>
      </c>
      <c r="H46" s="703"/>
      <c r="I46" s="703"/>
      <c r="J46" s="703"/>
      <c r="K46" s="703"/>
      <c r="L46" s="703"/>
      <c r="M46" s="703"/>
      <c r="N46" s="703"/>
      <c r="O46" s="703"/>
      <c r="P46" s="703"/>
      <c r="Q46" s="703"/>
      <c r="R46" s="703"/>
      <c r="S46" s="703"/>
      <c r="T46" s="703"/>
      <c r="U46" s="703"/>
      <c r="V46" s="703"/>
      <c r="W46" s="703"/>
      <c r="X46" s="703"/>
      <c r="Y46" s="703"/>
      <c r="Z46" s="703"/>
      <c r="AA46" s="703"/>
      <c r="AB46" s="703"/>
      <c r="AC46" s="703"/>
      <c r="AD46" s="703"/>
      <c r="AE46" s="703"/>
      <c r="AF46" s="703"/>
      <c r="AG46" s="703"/>
      <c r="AH46" s="703"/>
      <c r="AI46" s="703"/>
      <c r="AJ46" s="703"/>
      <c r="AK46" s="703"/>
      <c r="AL46" s="703"/>
      <c r="AM46" s="703"/>
      <c r="AN46" s="703"/>
      <c r="AO46" s="703"/>
      <c r="AP46" s="703"/>
      <c r="AQ46" s="703"/>
      <c r="AR46" s="703"/>
      <c r="AS46" s="703"/>
      <c r="AT46" s="703"/>
      <c r="AU46" s="703"/>
      <c r="AV46" s="703"/>
      <c r="AW46" s="703"/>
      <c r="AX46" s="703"/>
      <c r="AY46" s="703"/>
      <c r="AZ46" s="703"/>
      <c r="BA46" s="703"/>
      <c r="BB46" s="703"/>
      <c r="BC46" s="703"/>
      <c r="BD46" s="703"/>
      <c r="BE46" s="703"/>
      <c r="BF46" s="703"/>
      <c r="BG46" s="703"/>
      <c r="BH46" s="703"/>
      <c r="BI46" s="703"/>
      <c r="BJ46" s="703"/>
      <c r="BK46" s="703"/>
      <c r="BL46" s="703"/>
      <c r="BM46" s="703"/>
      <c r="BN46" s="703"/>
      <c r="BO46" s="703"/>
      <c r="BP46" s="703"/>
      <c r="BQ46" s="703"/>
      <c r="BR46" s="703"/>
      <c r="BS46" s="703"/>
      <c r="BT46" s="703"/>
      <c r="BU46" s="703"/>
      <c r="BV46" s="703"/>
      <c r="BW46" s="703"/>
      <c r="BX46" s="703"/>
      <c r="BY46" s="703"/>
      <c r="BZ46" s="703"/>
      <c r="CA46" s="703"/>
      <c r="CB46" s="703"/>
      <c r="CC46" s="703"/>
      <c r="CD46" s="703"/>
      <c r="CE46" s="703"/>
      <c r="CF46" s="703"/>
      <c r="CG46" s="703"/>
      <c r="CH46" s="703"/>
      <c r="CI46" s="703"/>
      <c r="CJ46" s="703"/>
      <c r="CK46" s="703"/>
      <c r="CL46" s="703"/>
      <c r="CM46" s="703"/>
      <c r="CN46" s="703"/>
      <c r="CO46" s="703"/>
      <c r="CP46" s="703"/>
      <c r="CQ46" s="703"/>
      <c r="CR46" s="703"/>
      <c r="CS46" s="703"/>
      <c r="CT46" s="703"/>
      <c r="CU46" s="703"/>
      <c r="CV46" s="703"/>
    </row>
    <row r="47" spans="1:100" s="280" customFormat="1" outlineLevel="2" x14ac:dyDescent="0.2">
      <c r="A47" s="412"/>
      <c r="B47" s="412"/>
      <c r="C47" s="860"/>
      <c r="D47" s="413"/>
      <c r="E47" s="476" t="str">
        <f xml:space="preserve"> InpC!E$120</f>
        <v>USD / WID exchange rate - sensitised</v>
      </c>
      <c r="F47" s="476">
        <f xml:space="preserve"> InpC!F$120</f>
        <v>5</v>
      </c>
      <c r="G47" s="476" t="str">
        <f xml:space="preserve"> InpC!G$120</f>
        <v>WIDs</v>
      </c>
      <c r="H47" s="416"/>
      <c r="I47" s="416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16"/>
      <c r="AN47" s="416"/>
      <c r="AO47" s="416"/>
      <c r="AP47" s="416"/>
      <c r="AQ47" s="416"/>
      <c r="AR47" s="416"/>
      <c r="AS47" s="416"/>
      <c r="AT47" s="416"/>
      <c r="AU47" s="416"/>
      <c r="AV47" s="416"/>
      <c r="AW47" s="416"/>
      <c r="AX47" s="416"/>
      <c r="AY47" s="416"/>
      <c r="AZ47" s="416"/>
      <c r="BA47" s="416"/>
      <c r="BB47" s="416"/>
      <c r="BC47" s="416"/>
      <c r="BD47" s="416"/>
      <c r="BE47" s="416"/>
      <c r="BF47" s="416"/>
      <c r="BG47" s="416"/>
      <c r="BH47" s="416"/>
      <c r="BI47" s="416"/>
      <c r="BJ47" s="416"/>
      <c r="BK47" s="416"/>
      <c r="BL47" s="416"/>
      <c r="BM47" s="416"/>
      <c r="BN47" s="416"/>
      <c r="BO47" s="416"/>
      <c r="BP47" s="416"/>
      <c r="BQ47" s="416"/>
      <c r="BR47" s="416"/>
      <c r="BS47" s="416"/>
      <c r="BT47" s="416"/>
      <c r="BU47" s="416"/>
      <c r="BV47" s="416"/>
      <c r="BW47" s="416"/>
      <c r="BX47" s="416"/>
      <c r="BY47" s="416"/>
      <c r="BZ47" s="416"/>
      <c r="CA47" s="416"/>
      <c r="CB47" s="416"/>
      <c r="CC47" s="416"/>
      <c r="CD47" s="416"/>
      <c r="CE47" s="416"/>
      <c r="CF47" s="416"/>
      <c r="CG47" s="416"/>
      <c r="CH47" s="416"/>
      <c r="CI47" s="416"/>
      <c r="CJ47" s="416"/>
      <c r="CK47" s="416"/>
      <c r="CL47" s="416"/>
      <c r="CM47" s="416"/>
      <c r="CN47" s="416"/>
      <c r="CO47" s="416"/>
      <c r="CP47" s="416"/>
      <c r="CQ47" s="416"/>
      <c r="CR47" s="416"/>
      <c r="CS47" s="416"/>
      <c r="CT47" s="416"/>
      <c r="CU47" s="416"/>
      <c r="CV47" s="416"/>
    </row>
    <row r="48" spans="1:100" outlineLevel="2" x14ac:dyDescent="0.2">
      <c r="A48" s="700"/>
      <c r="B48" s="700"/>
      <c r="C48" s="701"/>
      <c r="D48" s="702"/>
      <c r="E48" s="861" t="str">
        <f t="shared" ref="E48:AJ48" si="19" xml:space="preserve"> E$39</f>
        <v>USD / WID periodic exchange rate</v>
      </c>
      <c r="F48" s="861">
        <f t="shared" si="19"/>
        <v>0</v>
      </c>
      <c r="G48" s="861" t="str">
        <f t="shared" si="19"/>
        <v>WIDs</v>
      </c>
      <c r="H48" s="861">
        <f t="shared" si="19"/>
        <v>0</v>
      </c>
      <c r="I48" s="861">
        <f t="shared" si="19"/>
        <v>0</v>
      </c>
      <c r="J48" s="861">
        <f t="shared" si="19"/>
        <v>5</v>
      </c>
      <c r="K48" s="861">
        <f t="shared" si="19"/>
        <v>5</v>
      </c>
      <c r="L48" s="861">
        <f t="shared" si="19"/>
        <v>5</v>
      </c>
      <c r="M48" s="861">
        <f t="shared" si="19"/>
        <v>5</v>
      </c>
      <c r="N48" s="861">
        <f t="shared" si="19"/>
        <v>5</v>
      </c>
      <c r="O48" s="861">
        <f t="shared" si="19"/>
        <v>5</v>
      </c>
      <c r="P48" s="861">
        <f t="shared" si="19"/>
        <v>5</v>
      </c>
      <c r="Q48" s="861">
        <f t="shared" si="19"/>
        <v>5</v>
      </c>
      <c r="R48" s="861">
        <f t="shared" si="19"/>
        <v>5</v>
      </c>
      <c r="S48" s="861">
        <f t="shared" si="19"/>
        <v>5</v>
      </c>
      <c r="T48" s="861">
        <f t="shared" si="19"/>
        <v>5</v>
      </c>
      <c r="U48" s="861">
        <f t="shared" si="19"/>
        <v>5</v>
      </c>
      <c r="V48" s="861">
        <f t="shared" si="19"/>
        <v>5</v>
      </c>
      <c r="W48" s="861">
        <f t="shared" si="19"/>
        <v>5</v>
      </c>
      <c r="X48" s="861">
        <f t="shared" si="19"/>
        <v>5</v>
      </c>
      <c r="Y48" s="861">
        <f t="shared" si="19"/>
        <v>5</v>
      </c>
      <c r="Z48" s="861">
        <f t="shared" si="19"/>
        <v>5</v>
      </c>
      <c r="AA48" s="861">
        <f t="shared" si="19"/>
        <v>5</v>
      </c>
      <c r="AB48" s="861">
        <f t="shared" si="19"/>
        <v>5</v>
      </c>
      <c r="AC48" s="861">
        <f t="shared" si="19"/>
        <v>5</v>
      </c>
      <c r="AD48" s="861">
        <f t="shared" si="19"/>
        <v>5</v>
      </c>
      <c r="AE48" s="861">
        <f t="shared" si="19"/>
        <v>5</v>
      </c>
      <c r="AF48" s="861">
        <f t="shared" si="19"/>
        <v>5</v>
      </c>
      <c r="AG48" s="861">
        <f t="shared" si="19"/>
        <v>5</v>
      </c>
      <c r="AH48" s="861">
        <f t="shared" si="19"/>
        <v>5</v>
      </c>
      <c r="AI48" s="861">
        <f t="shared" si="19"/>
        <v>5</v>
      </c>
      <c r="AJ48" s="861">
        <f t="shared" si="19"/>
        <v>5</v>
      </c>
      <c r="AK48" s="861">
        <f t="shared" ref="AK48:BP48" si="20" xml:space="preserve"> AK$39</f>
        <v>5</v>
      </c>
      <c r="AL48" s="861">
        <f t="shared" si="20"/>
        <v>5</v>
      </c>
      <c r="AM48" s="861">
        <f t="shared" si="20"/>
        <v>5</v>
      </c>
      <c r="AN48" s="861">
        <f t="shared" si="20"/>
        <v>5</v>
      </c>
      <c r="AO48" s="861">
        <f t="shared" si="20"/>
        <v>5</v>
      </c>
      <c r="AP48" s="861">
        <f t="shared" si="20"/>
        <v>5</v>
      </c>
      <c r="AQ48" s="861">
        <f t="shared" si="20"/>
        <v>5</v>
      </c>
      <c r="AR48" s="861">
        <f t="shared" si="20"/>
        <v>5</v>
      </c>
      <c r="AS48" s="861">
        <f t="shared" si="20"/>
        <v>5</v>
      </c>
      <c r="AT48" s="861">
        <f t="shared" si="20"/>
        <v>5</v>
      </c>
      <c r="AU48" s="861">
        <f t="shared" si="20"/>
        <v>5</v>
      </c>
      <c r="AV48" s="861">
        <f t="shared" si="20"/>
        <v>5</v>
      </c>
      <c r="AW48" s="861">
        <f t="shared" si="20"/>
        <v>5</v>
      </c>
      <c r="AX48" s="861">
        <f t="shared" si="20"/>
        <v>5</v>
      </c>
      <c r="AY48" s="861">
        <f t="shared" si="20"/>
        <v>5</v>
      </c>
      <c r="AZ48" s="861">
        <f t="shared" si="20"/>
        <v>5</v>
      </c>
      <c r="BA48" s="861">
        <f t="shared" si="20"/>
        <v>5</v>
      </c>
      <c r="BB48" s="861">
        <f t="shared" si="20"/>
        <v>5</v>
      </c>
      <c r="BC48" s="861">
        <f t="shared" si="20"/>
        <v>5</v>
      </c>
      <c r="BD48" s="861">
        <f t="shared" si="20"/>
        <v>5</v>
      </c>
      <c r="BE48" s="861">
        <f t="shared" si="20"/>
        <v>5</v>
      </c>
      <c r="BF48" s="861">
        <f t="shared" si="20"/>
        <v>5</v>
      </c>
      <c r="BG48" s="861">
        <f t="shared" si="20"/>
        <v>5</v>
      </c>
      <c r="BH48" s="861">
        <f t="shared" si="20"/>
        <v>5</v>
      </c>
      <c r="BI48" s="861">
        <f t="shared" si="20"/>
        <v>5</v>
      </c>
      <c r="BJ48" s="861">
        <f t="shared" si="20"/>
        <v>5</v>
      </c>
      <c r="BK48" s="861">
        <f t="shared" si="20"/>
        <v>5</v>
      </c>
      <c r="BL48" s="861">
        <f t="shared" si="20"/>
        <v>5</v>
      </c>
      <c r="BM48" s="861">
        <f t="shared" si="20"/>
        <v>5</v>
      </c>
      <c r="BN48" s="861">
        <f t="shared" si="20"/>
        <v>5</v>
      </c>
      <c r="BO48" s="861">
        <f t="shared" si="20"/>
        <v>5</v>
      </c>
      <c r="BP48" s="861">
        <f t="shared" si="20"/>
        <v>5</v>
      </c>
      <c r="BQ48" s="861">
        <f t="shared" ref="BQ48:CV48" si="21" xml:space="preserve"> BQ$39</f>
        <v>5</v>
      </c>
      <c r="BR48" s="861">
        <f t="shared" si="21"/>
        <v>5</v>
      </c>
      <c r="BS48" s="861">
        <f t="shared" si="21"/>
        <v>5</v>
      </c>
      <c r="BT48" s="861">
        <f t="shared" si="21"/>
        <v>5</v>
      </c>
      <c r="BU48" s="861">
        <f t="shared" si="21"/>
        <v>5</v>
      </c>
      <c r="BV48" s="861">
        <f t="shared" si="21"/>
        <v>5</v>
      </c>
      <c r="BW48" s="861">
        <f t="shared" si="21"/>
        <v>5</v>
      </c>
      <c r="BX48" s="861">
        <f t="shared" si="21"/>
        <v>5</v>
      </c>
      <c r="BY48" s="861">
        <f t="shared" si="21"/>
        <v>5</v>
      </c>
      <c r="BZ48" s="861">
        <f t="shared" si="21"/>
        <v>5</v>
      </c>
      <c r="CA48" s="861">
        <f t="shared" si="21"/>
        <v>5</v>
      </c>
      <c r="CB48" s="861">
        <f t="shared" si="21"/>
        <v>5</v>
      </c>
      <c r="CC48" s="861">
        <f t="shared" si="21"/>
        <v>5</v>
      </c>
      <c r="CD48" s="861">
        <f t="shared" si="21"/>
        <v>5</v>
      </c>
      <c r="CE48" s="861">
        <f t="shared" si="21"/>
        <v>5</v>
      </c>
      <c r="CF48" s="861">
        <f t="shared" si="21"/>
        <v>5</v>
      </c>
      <c r="CG48" s="861">
        <f t="shared" si="21"/>
        <v>5</v>
      </c>
      <c r="CH48" s="861">
        <f t="shared" si="21"/>
        <v>5</v>
      </c>
      <c r="CI48" s="861">
        <f t="shared" si="21"/>
        <v>5</v>
      </c>
      <c r="CJ48" s="861">
        <f t="shared" si="21"/>
        <v>5</v>
      </c>
      <c r="CK48" s="861">
        <f t="shared" si="21"/>
        <v>5</v>
      </c>
      <c r="CL48" s="861">
        <f t="shared" si="21"/>
        <v>5</v>
      </c>
      <c r="CM48" s="861">
        <f t="shared" si="21"/>
        <v>5</v>
      </c>
      <c r="CN48" s="861">
        <f t="shared" si="21"/>
        <v>5</v>
      </c>
      <c r="CO48" s="861">
        <f t="shared" si="21"/>
        <v>5</v>
      </c>
      <c r="CP48" s="861">
        <f t="shared" si="21"/>
        <v>5</v>
      </c>
      <c r="CQ48" s="861">
        <f t="shared" si="21"/>
        <v>5</v>
      </c>
      <c r="CR48" s="861">
        <f t="shared" si="21"/>
        <v>5</v>
      </c>
      <c r="CS48" s="861">
        <f t="shared" si="21"/>
        <v>5</v>
      </c>
      <c r="CT48" s="861">
        <f t="shared" si="21"/>
        <v>5</v>
      </c>
      <c r="CU48" s="861">
        <f t="shared" si="21"/>
        <v>5</v>
      </c>
      <c r="CV48" s="861">
        <f t="shared" si="21"/>
        <v>5</v>
      </c>
    </row>
    <row r="49" spans="1:100" outlineLevel="2" x14ac:dyDescent="0.2">
      <c r="A49" s="818"/>
      <c r="B49" s="818"/>
      <c r="C49" s="819"/>
      <c r="D49" s="820"/>
      <c r="E49" s="662" t="str">
        <f xml:space="preserve"> Time!E$106</f>
        <v>Operating period flag</v>
      </c>
      <c r="F49" s="662">
        <f xml:space="preserve"> Time!F$106</f>
        <v>0</v>
      </c>
      <c r="G49" s="662" t="str">
        <f xml:space="preserve"> Time!G$106</f>
        <v>flag</v>
      </c>
      <c r="H49" s="662">
        <f xml:space="preserve"> Time!H$106</f>
        <v>40</v>
      </c>
      <c r="I49" s="662">
        <f xml:space="preserve"> Time!I$106</f>
        <v>0</v>
      </c>
      <c r="J49" s="662">
        <f xml:space="preserve"> Time!J$106</f>
        <v>0</v>
      </c>
      <c r="K49" s="662">
        <f xml:space="preserve"> Time!K$106</f>
        <v>0</v>
      </c>
      <c r="L49" s="662">
        <f xml:space="preserve"> Time!L$106</f>
        <v>0</v>
      </c>
      <c r="M49" s="662">
        <f xml:space="preserve"> Time!M$106</f>
        <v>0</v>
      </c>
      <c r="N49" s="662">
        <f xml:space="preserve"> Time!N$106</f>
        <v>0</v>
      </c>
      <c r="O49" s="662">
        <f xml:space="preserve"> Time!O$106</f>
        <v>1</v>
      </c>
      <c r="P49" s="662">
        <f xml:space="preserve"> Time!P$106</f>
        <v>1</v>
      </c>
      <c r="Q49" s="662">
        <f xml:space="preserve"> Time!Q$106</f>
        <v>1</v>
      </c>
      <c r="R49" s="662">
        <f xml:space="preserve"> Time!R$106</f>
        <v>1</v>
      </c>
      <c r="S49" s="662">
        <f xml:space="preserve"> Time!S$106</f>
        <v>1</v>
      </c>
      <c r="T49" s="662">
        <f xml:space="preserve"> Time!T$106</f>
        <v>1</v>
      </c>
      <c r="U49" s="662">
        <f xml:space="preserve"> Time!U$106</f>
        <v>1</v>
      </c>
      <c r="V49" s="662">
        <f xml:space="preserve"> Time!V$106</f>
        <v>1</v>
      </c>
      <c r="W49" s="662">
        <f xml:space="preserve"> Time!W$106</f>
        <v>1</v>
      </c>
      <c r="X49" s="662">
        <f xml:space="preserve"> Time!X$106</f>
        <v>1</v>
      </c>
      <c r="Y49" s="662">
        <f xml:space="preserve"> Time!Y$106</f>
        <v>1</v>
      </c>
      <c r="Z49" s="662">
        <f xml:space="preserve"> Time!Z$106</f>
        <v>1</v>
      </c>
      <c r="AA49" s="662">
        <f xml:space="preserve"> Time!AA$106</f>
        <v>1</v>
      </c>
      <c r="AB49" s="662">
        <f xml:space="preserve"> Time!AB$106</f>
        <v>1</v>
      </c>
      <c r="AC49" s="662">
        <f xml:space="preserve"> Time!AC$106</f>
        <v>1</v>
      </c>
      <c r="AD49" s="662">
        <f xml:space="preserve"> Time!AD$106</f>
        <v>1</v>
      </c>
      <c r="AE49" s="662">
        <f xml:space="preserve"> Time!AE$106</f>
        <v>1</v>
      </c>
      <c r="AF49" s="662">
        <f xml:space="preserve"> Time!AF$106</f>
        <v>1</v>
      </c>
      <c r="AG49" s="662">
        <f xml:space="preserve"> Time!AG$106</f>
        <v>1</v>
      </c>
      <c r="AH49" s="662">
        <f xml:space="preserve"> Time!AH$106</f>
        <v>1</v>
      </c>
      <c r="AI49" s="662">
        <f xml:space="preserve"> Time!AI$106</f>
        <v>1</v>
      </c>
      <c r="AJ49" s="662">
        <f xml:space="preserve"> Time!AJ$106</f>
        <v>1</v>
      </c>
      <c r="AK49" s="662">
        <f xml:space="preserve"> Time!AK$106</f>
        <v>1</v>
      </c>
      <c r="AL49" s="662">
        <f xml:space="preserve"> Time!AL$106</f>
        <v>1</v>
      </c>
      <c r="AM49" s="662">
        <f xml:space="preserve"> Time!AM$106</f>
        <v>1</v>
      </c>
      <c r="AN49" s="662">
        <f xml:space="preserve"> Time!AN$106</f>
        <v>1</v>
      </c>
      <c r="AO49" s="662">
        <f xml:space="preserve"> Time!AO$106</f>
        <v>1</v>
      </c>
      <c r="AP49" s="662">
        <f xml:space="preserve"> Time!AP$106</f>
        <v>1</v>
      </c>
      <c r="AQ49" s="662">
        <f xml:space="preserve"> Time!AQ$106</f>
        <v>1</v>
      </c>
      <c r="AR49" s="662">
        <f xml:space="preserve"> Time!AR$106</f>
        <v>1</v>
      </c>
      <c r="AS49" s="662">
        <f xml:space="preserve"> Time!AS$106</f>
        <v>1</v>
      </c>
      <c r="AT49" s="662">
        <f xml:space="preserve"> Time!AT$106</f>
        <v>1</v>
      </c>
      <c r="AU49" s="662">
        <f xml:space="preserve"> Time!AU$106</f>
        <v>1</v>
      </c>
      <c r="AV49" s="662">
        <f xml:space="preserve"> Time!AV$106</f>
        <v>1</v>
      </c>
      <c r="AW49" s="662">
        <f xml:space="preserve"> Time!AW$106</f>
        <v>1</v>
      </c>
      <c r="AX49" s="662">
        <f xml:space="preserve"> Time!AX$106</f>
        <v>1</v>
      </c>
      <c r="AY49" s="662">
        <f xml:space="preserve"> Time!AY$106</f>
        <v>1</v>
      </c>
      <c r="AZ49" s="662">
        <f xml:space="preserve"> Time!AZ$106</f>
        <v>1</v>
      </c>
      <c r="BA49" s="662">
        <f xml:space="preserve"> Time!BA$106</f>
        <v>1</v>
      </c>
      <c r="BB49" s="662">
        <f xml:space="preserve"> Time!BB$106</f>
        <v>1</v>
      </c>
      <c r="BC49" s="662">
        <f xml:space="preserve"> Time!BC$106</f>
        <v>0</v>
      </c>
      <c r="BD49" s="662">
        <f xml:space="preserve"> Time!BD$106</f>
        <v>0</v>
      </c>
      <c r="BE49" s="662">
        <f xml:space="preserve"> Time!BE$106</f>
        <v>0</v>
      </c>
      <c r="BF49" s="662">
        <f xml:space="preserve"> Time!BF$106</f>
        <v>0</v>
      </c>
      <c r="BG49" s="662">
        <f xml:space="preserve"> Time!BG$106</f>
        <v>0</v>
      </c>
      <c r="BH49" s="662">
        <f xml:space="preserve"> Time!BH$106</f>
        <v>0</v>
      </c>
      <c r="BI49" s="662">
        <f xml:space="preserve"> Time!BI$106</f>
        <v>0</v>
      </c>
      <c r="BJ49" s="662">
        <f xml:space="preserve"> Time!BJ$106</f>
        <v>0</v>
      </c>
      <c r="BK49" s="662">
        <f xml:space="preserve"> Time!BK$106</f>
        <v>0</v>
      </c>
      <c r="BL49" s="662">
        <f xml:space="preserve"> Time!BL$106</f>
        <v>0</v>
      </c>
      <c r="BM49" s="662">
        <f xml:space="preserve"> Time!BM$106</f>
        <v>0</v>
      </c>
      <c r="BN49" s="662">
        <f xml:space="preserve"> Time!BN$106</f>
        <v>0</v>
      </c>
      <c r="BO49" s="662">
        <f xml:space="preserve"> Time!BO$106</f>
        <v>0</v>
      </c>
      <c r="BP49" s="662">
        <f xml:space="preserve"> Time!BP$106</f>
        <v>0</v>
      </c>
      <c r="BQ49" s="662">
        <f xml:space="preserve"> Time!BQ$106</f>
        <v>0</v>
      </c>
      <c r="BR49" s="662">
        <f xml:space="preserve"> Time!BR$106</f>
        <v>0</v>
      </c>
      <c r="BS49" s="662">
        <f xml:space="preserve"> Time!BS$106</f>
        <v>0</v>
      </c>
      <c r="BT49" s="662">
        <f xml:space="preserve"> Time!BT$106</f>
        <v>0</v>
      </c>
      <c r="BU49" s="662">
        <f xml:space="preserve"> Time!BU$106</f>
        <v>0</v>
      </c>
      <c r="BV49" s="662">
        <f xml:space="preserve"> Time!BV$106</f>
        <v>0</v>
      </c>
      <c r="BW49" s="662">
        <f xml:space="preserve"> Time!BW$106</f>
        <v>0</v>
      </c>
      <c r="BX49" s="662">
        <f xml:space="preserve"> Time!BX$106</f>
        <v>0</v>
      </c>
      <c r="BY49" s="662">
        <f xml:space="preserve"> Time!BY$106</f>
        <v>0</v>
      </c>
      <c r="BZ49" s="662">
        <f xml:space="preserve"> Time!BZ$106</f>
        <v>0</v>
      </c>
      <c r="CA49" s="662">
        <f xml:space="preserve"> Time!CA$106</f>
        <v>0</v>
      </c>
      <c r="CB49" s="662">
        <f xml:space="preserve"> Time!CB$106</f>
        <v>0</v>
      </c>
      <c r="CC49" s="662">
        <f xml:space="preserve"> Time!CC$106</f>
        <v>0</v>
      </c>
      <c r="CD49" s="662">
        <f xml:space="preserve"> Time!CD$106</f>
        <v>0</v>
      </c>
      <c r="CE49" s="662">
        <f xml:space="preserve"> Time!CE$106</f>
        <v>0</v>
      </c>
      <c r="CF49" s="662">
        <f xml:space="preserve"> Time!CF$106</f>
        <v>0</v>
      </c>
      <c r="CG49" s="662">
        <f xml:space="preserve"> Time!CG$106</f>
        <v>0</v>
      </c>
      <c r="CH49" s="662">
        <f xml:space="preserve"> Time!CH$106</f>
        <v>0</v>
      </c>
      <c r="CI49" s="662">
        <f xml:space="preserve"> Time!CI$106</f>
        <v>0</v>
      </c>
      <c r="CJ49" s="662">
        <f xml:space="preserve"> Time!CJ$106</f>
        <v>0</v>
      </c>
      <c r="CK49" s="662">
        <f xml:space="preserve"> Time!CK$106</f>
        <v>0</v>
      </c>
      <c r="CL49" s="662">
        <f xml:space="preserve"> Time!CL$106</f>
        <v>0</v>
      </c>
      <c r="CM49" s="662">
        <f xml:space="preserve"> Time!CM$106</f>
        <v>0</v>
      </c>
      <c r="CN49" s="662">
        <f xml:space="preserve"> Time!CN$106</f>
        <v>0</v>
      </c>
      <c r="CO49" s="662">
        <f xml:space="preserve"> Time!CO$106</f>
        <v>0</v>
      </c>
      <c r="CP49" s="662">
        <f xml:space="preserve"> Time!CP$106</f>
        <v>0</v>
      </c>
      <c r="CQ49" s="662">
        <f xml:space="preserve"> Time!CQ$106</f>
        <v>0</v>
      </c>
      <c r="CR49" s="662">
        <f xml:space="preserve"> Time!CR$106</f>
        <v>0</v>
      </c>
      <c r="CS49" s="662">
        <f xml:space="preserve"> Time!CS$106</f>
        <v>0</v>
      </c>
      <c r="CT49" s="662">
        <f xml:space="preserve"> Time!CT$106</f>
        <v>0</v>
      </c>
      <c r="CU49" s="662">
        <f xml:space="preserve"> Time!CU$106</f>
        <v>0</v>
      </c>
      <c r="CV49" s="662">
        <f xml:space="preserve"> Time!CV$106</f>
        <v>0</v>
      </c>
    </row>
    <row r="50" spans="1:100" outlineLevel="2" x14ac:dyDescent="0.2">
      <c r="A50" s="700"/>
      <c r="B50" s="700"/>
      <c r="C50" s="701"/>
      <c r="D50" s="702"/>
      <c r="E50" s="703" t="s">
        <v>623</v>
      </c>
      <c r="F50" s="703"/>
      <c r="G50" s="703" t="s">
        <v>622</v>
      </c>
      <c r="H50" s="703"/>
      <c r="I50" s="703"/>
      <c r="J50" s="416">
        <f t="shared" ref="J50:BU50" si="22" xml:space="preserve"> $F46 * (J48 / $F47) * J49</f>
        <v>0</v>
      </c>
      <c r="K50" s="416">
        <f t="shared" si="22"/>
        <v>0</v>
      </c>
      <c r="L50" s="416">
        <f t="shared" si="22"/>
        <v>0</v>
      </c>
      <c r="M50" s="416">
        <f t="shared" si="22"/>
        <v>0</v>
      </c>
      <c r="N50" s="416">
        <f t="shared" si="22"/>
        <v>0</v>
      </c>
      <c r="O50" s="416">
        <f t="shared" si="22"/>
        <v>19.138091798529064</v>
      </c>
      <c r="P50" s="416">
        <f t="shared" si="22"/>
        <v>19.138091798529064</v>
      </c>
      <c r="Q50" s="416">
        <f t="shared" si="22"/>
        <v>19.138091798529064</v>
      </c>
      <c r="R50" s="416">
        <f t="shared" si="22"/>
        <v>19.138091798529064</v>
      </c>
      <c r="S50" s="416">
        <f t="shared" si="22"/>
        <v>19.138091798529064</v>
      </c>
      <c r="T50" s="416">
        <f t="shared" si="22"/>
        <v>19.138091798529064</v>
      </c>
      <c r="U50" s="416">
        <f t="shared" si="22"/>
        <v>19.138091798529064</v>
      </c>
      <c r="V50" s="416">
        <f t="shared" si="22"/>
        <v>19.138091798529064</v>
      </c>
      <c r="W50" s="416">
        <f t="shared" si="22"/>
        <v>19.138091798529064</v>
      </c>
      <c r="X50" s="416">
        <f t="shared" si="22"/>
        <v>19.138091798529064</v>
      </c>
      <c r="Y50" s="416">
        <f t="shared" si="22"/>
        <v>19.138091798529064</v>
      </c>
      <c r="Z50" s="416">
        <f t="shared" si="22"/>
        <v>19.138091798529064</v>
      </c>
      <c r="AA50" s="416">
        <f t="shared" si="22"/>
        <v>19.138091798529064</v>
      </c>
      <c r="AB50" s="416">
        <f t="shared" si="22"/>
        <v>19.138091798529064</v>
      </c>
      <c r="AC50" s="416">
        <f t="shared" si="22"/>
        <v>19.138091798529064</v>
      </c>
      <c r="AD50" s="416">
        <f t="shared" si="22"/>
        <v>19.138091798529064</v>
      </c>
      <c r="AE50" s="416">
        <f t="shared" si="22"/>
        <v>19.138091798529064</v>
      </c>
      <c r="AF50" s="416">
        <f t="shared" si="22"/>
        <v>19.138091798529064</v>
      </c>
      <c r="AG50" s="416">
        <f t="shared" si="22"/>
        <v>19.138091798529064</v>
      </c>
      <c r="AH50" s="416">
        <f t="shared" si="22"/>
        <v>19.138091798529064</v>
      </c>
      <c r="AI50" s="416">
        <f t="shared" si="22"/>
        <v>19.138091798529064</v>
      </c>
      <c r="AJ50" s="416">
        <f t="shared" si="22"/>
        <v>19.138091798529064</v>
      </c>
      <c r="AK50" s="416">
        <f t="shared" si="22"/>
        <v>19.138091798529064</v>
      </c>
      <c r="AL50" s="416">
        <f t="shared" si="22"/>
        <v>19.138091798529064</v>
      </c>
      <c r="AM50" s="416">
        <f t="shared" si="22"/>
        <v>19.138091798529064</v>
      </c>
      <c r="AN50" s="416">
        <f t="shared" si="22"/>
        <v>19.138091798529064</v>
      </c>
      <c r="AO50" s="416">
        <f t="shared" si="22"/>
        <v>19.138091798529064</v>
      </c>
      <c r="AP50" s="416">
        <f t="shared" si="22"/>
        <v>19.138091798529064</v>
      </c>
      <c r="AQ50" s="416">
        <f t="shared" si="22"/>
        <v>19.138091798529064</v>
      </c>
      <c r="AR50" s="416">
        <f t="shared" si="22"/>
        <v>19.138091798529064</v>
      </c>
      <c r="AS50" s="416">
        <f t="shared" si="22"/>
        <v>19.138091798529064</v>
      </c>
      <c r="AT50" s="416">
        <f t="shared" si="22"/>
        <v>19.138091798529064</v>
      </c>
      <c r="AU50" s="416">
        <f t="shared" si="22"/>
        <v>19.138091798529064</v>
      </c>
      <c r="AV50" s="416">
        <f t="shared" si="22"/>
        <v>19.138091798529064</v>
      </c>
      <c r="AW50" s="416">
        <f t="shared" si="22"/>
        <v>19.138091798529064</v>
      </c>
      <c r="AX50" s="416">
        <f t="shared" si="22"/>
        <v>19.138091798529064</v>
      </c>
      <c r="AY50" s="416">
        <f t="shared" si="22"/>
        <v>19.138091798529064</v>
      </c>
      <c r="AZ50" s="416">
        <f t="shared" si="22"/>
        <v>19.138091798529064</v>
      </c>
      <c r="BA50" s="416">
        <f t="shared" si="22"/>
        <v>19.138091798529064</v>
      </c>
      <c r="BB50" s="416">
        <f t="shared" si="22"/>
        <v>19.138091798529064</v>
      </c>
      <c r="BC50" s="416">
        <f t="shared" si="22"/>
        <v>0</v>
      </c>
      <c r="BD50" s="416">
        <f t="shared" si="22"/>
        <v>0</v>
      </c>
      <c r="BE50" s="416">
        <f t="shared" si="22"/>
        <v>0</v>
      </c>
      <c r="BF50" s="416">
        <f t="shared" si="22"/>
        <v>0</v>
      </c>
      <c r="BG50" s="416">
        <f t="shared" si="22"/>
        <v>0</v>
      </c>
      <c r="BH50" s="416">
        <f t="shared" si="22"/>
        <v>0</v>
      </c>
      <c r="BI50" s="416">
        <f t="shared" si="22"/>
        <v>0</v>
      </c>
      <c r="BJ50" s="416">
        <f t="shared" si="22"/>
        <v>0</v>
      </c>
      <c r="BK50" s="416">
        <f t="shared" si="22"/>
        <v>0</v>
      </c>
      <c r="BL50" s="416">
        <f t="shared" si="22"/>
        <v>0</v>
      </c>
      <c r="BM50" s="416">
        <f t="shared" si="22"/>
        <v>0</v>
      </c>
      <c r="BN50" s="416">
        <f t="shared" si="22"/>
        <v>0</v>
      </c>
      <c r="BO50" s="416">
        <f t="shared" si="22"/>
        <v>0</v>
      </c>
      <c r="BP50" s="416">
        <f t="shared" si="22"/>
        <v>0</v>
      </c>
      <c r="BQ50" s="416">
        <f t="shared" si="22"/>
        <v>0</v>
      </c>
      <c r="BR50" s="416">
        <f t="shared" si="22"/>
        <v>0</v>
      </c>
      <c r="BS50" s="416">
        <f t="shared" si="22"/>
        <v>0</v>
      </c>
      <c r="BT50" s="416">
        <f t="shared" si="22"/>
        <v>0</v>
      </c>
      <c r="BU50" s="416">
        <f t="shared" si="22"/>
        <v>0</v>
      </c>
      <c r="BV50" s="416">
        <f t="shared" ref="BV50:CV50" si="23" xml:space="preserve"> $F46 * (BV48 / $F47) * BV49</f>
        <v>0</v>
      </c>
      <c r="BW50" s="416">
        <f t="shared" si="23"/>
        <v>0</v>
      </c>
      <c r="BX50" s="416">
        <f t="shared" si="23"/>
        <v>0</v>
      </c>
      <c r="BY50" s="416">
        <f t="shared" si="23"/>
        <v>0</v>
      </c>
      <c r="BZ50" s="416">
        <f t="shared" si="23"/>
        <v>0</v>
      </c>
      <c r="CA50" s="416">
        <f t="shared" si="23"/>
        <v>0</v>
      </c>
      <c r="CB50" s="416">
        <f t="shared" si="23"/>
        <v>0</v>
      </c>
      <c r="CC50" s="416">
        <f t="shared" si="23"/>
        <v>0</v>
      </c>
      <c r="CD50" s="416">
        <f t="shared" si="23"/>
        <v>0</v>
      </c>
      <c r="CE50" s="416">
        <f t="shared" si="23"/>
        <v>0</v>
      </c>
      <c r="CF50" s="416">
        <f t="shared" si="23"/>
        <v>0</v>
      </c>
      <c r="CG50" s="416">
        <f t="shared" si="23"/>
        <v>0</v>
      </c>
      <c r="CH50" s="416">
        <f t="shared" si="23"/>
        <v>0</v>
      </c>
      <c r="CI50" s="416">
        <f t="shared" si="23"/>
        <v>0</v>
      </c>
      <c r="CJ50" s="416">
        <f t="shared" si="23"/>
        <v>0</v>
      </c>
      <c r="CK50" s="416">
        <f t="shared" si="23"/>
        <v>0</v>
      </c>
      <c r="CL50" s="416">
        <f t="shared" si="23"/>
        <v>0</v>
      </c>
      <c r="CM50" s="416">
        <f t="shared" si="23"/>
        <v>0</v>
      </c>
      <c r="CN50" s="416">
        <f t="shared" si="23"/>
        <v>0</v>
      </c>
      <c r="CO50" s="416">
        <f t="shared" si="23"/>
        <v>0</v>
      </c>
      <c r="CP50" s="416">
        <f t="shared" si="23"/>
        <v>0</v>
      </c>
      <c r="CQ50" s="416">
        <f t="shared" si="23"/>
        <v>0</v>
      </c>
      <c r="CR50" s="416">
        <f t="shared" si="23"/>
        <v>0</v>
      </c>
      <c r="CS50" s="416">
        <f t="shared" si="23"/>
        <v>0</v>
      </c>
      <c r="CT50" s="416">
        <f t="shared" si="23"/>
        <v>0</v>
      </c>
      <c r="CU50" s="416">
        <f t="shared" si="23"/>
        <v>0</v>
      </c>
      <c r="CV50" s="416">
        <f t="shared" si="23"/>
        <v>0</v>
      </c>
    </row>
    <row r="51" spans="1:100" outlineLevel="2" x14ac:dyDescent="0.2">
      <c r="A51" s="700"/>
      <c r="B51" s="700"/>
      <c r="C51" s="701"/>
      <c r="D51" s="702"/>
      <c r="E51" s="703"/>
      <c r="F51" s="703"/>
      <c r="G51" s="703"/>
      <c r="H51" s="703"/>
      <c r="I51" s="703"/>
      <c r="J51" s="703"/>
      <c r="K51" s="703"/>
      <c r="L51" s="703"/>
      <c r="M51" s="703"/>
      <c r="N51" s="703"/>
      <c r="O51" s="703"/>
      <c r="P51" s="703"/>
      <c r="Q51" s="703"/>
      <c r="R51" s="703"/>
      <c r="S51" s="703"/>
      <c r="T51" s="703"/>
      <c r="U51" s="703"/>
      <c r="V51" s="703"/>
      <c r="W51" s="703"/>
      <c r="X51" s="703"/>
      <c r="Y51" s="703"/>
      <c r="Z51" s="703"/>
      <c r="AA51" s="703"/>
      <c r="AB51" s="703"/>
      <c r="AC51" s="703"/>
      <c r="AD51" s="703"/>
      <c r="AE51" s="703"/>
      <c r="AF51" s="703"/>
      <c r="AG51" s="703"/>
      <c r="AH51" s="703"/>
      <c r="AI51" s="703"/>
      <c r="AJ51" s="703"/>
      <c r="AK51" s="703"/>
      <c r="AL51" s="703"/>
      <c r="AM51" s="703"/>
      <c r="AN51" s="703"/>
      <c r="AO51" s="703"/>
      <c r="AP51" s="703"/>
      <c r="AQ51" s="703"/>
      <c r="AR51" s="703"/>
      <c r="AS51" s="703"/>
      <c r="AT51" s="703"/>
      <c r="AU51" s="703"/>
      <c r="AV51" s="703"/>
      <c r="AW51" s="703"/>
      <c r="AX51" s="703"/>
      <c r="AY51" s="703"/>
      <c r="AZ51" s="703"/>
      <c r="BA51" s="703"/>
      <c r="BB51" s="703"/>
      <c r="BC51" s="703"/>
      <c r="BD51" s="703"/>
      <c r="BE51" s="703"/>
      <c r="BF51" s="703"/>
      <c r="BG51" s="703"/>
      <c r="BH51" s="703"/>
      <c r="BI51" s="703"/>
      <c r="BJ51" s="703"/>
      <c r="BK51" s="703"/>
      <c r="BL51" s="703"/>
      <c r="BM51" s="703"/>
      <c r="BN51" s="703"/>
      <c r="BO51" s="703"/>
      <c r="BP51" s="703"/>
      <c r="BQ51" s="703"/>
      <c r="BR51" s="703"/>
      <c r="BS51" s="703"/>
      <c r="BT51" s="703"/>
      <c r="BU51" s="703"/>
      <c r="BV51" s="703"/>
      <c r="BW51" s="703"/>
      <c r="BX51" s="703"/>
      <c r="BY51" s="703"/>
      <c r="BZ51" s="703"/>
      <c r="CA51" s="703"/>
      <c r="CB51" s="703"/>
      <c r="CC51" s="703"/>
      <c r="CD51" s="703"/>
      <c r="CE51" s="703"/>
      <c r="CF51" s="703"/>
      <c r="CG51" s="703"/>
      <c r="CH51" s="703"/>
      <c r="CI51" s="703"/>
      <c r="CJ51" s="703"/>
      <c r="CK51" s="703"/>
      <c r="CL51" s="703"/>
      <c r="CM51" s="703"/>
      <c r="CN51" s="703"/>
      <c r="CO51" s="703"/>
      <c r="CP51" s="703"/>
      <c r="CQ51" s="703"/>
      <c r="CR51" s="703"/>
      <c r="CS51" s="703"/>
      <c r="CT51" s="703"/>
      <c r="CU51" s="703"/>
      <c r="CV51" s="703"/>
    </row>
    <row r="52" spans="1:100" outlineLevel="2" x14ac:dyDescent="0.2">
      <c r="A52" s="700"/>
      <c r="B52" s="700"/>
      <c r="C52" s="701"/>
      <c r="D52" s="702"/>
      <c r="E52" s="1161" t="str">
        <f t="shared" ref="E52:G52" si="24" xml:space="preserve"> E$132</f>
        <v>O&amp;M component of tariff</v>
      </c>
      <c r="F52" s="1162">
        <f t="shared" si="24"/>
        <v>0.34567875760153699</v>
      </c>
      <c r="G52" s="1161" t="str">
        <f t="shared" si="24"/>
        <v>WID Cents / kWh</v>
      </c>
      <c r="H52" s="703"/>
      <c r="I52" s="703"/>
      <c r="J52" s="703"/>
      <c r="K52" s="703"/>
      <c r="L52" s="703"/>
      <c r="M52" s="703"/>
      <c r="N52" s="703"/>
      <c r="O52" s="703"/>
      <c r="P52" s="703"/>
      <c r="Q52" s="703"/>
      <c r="R52" s="703"/>
      <c r="S52" s="703"/>
      <c r="T52" s="703"/>
      <c r="U52" s="703"/>
      <c r="V52" s="703"/>
      <c r="W52" s="703"/>
      <c r="X52" s="703"/>
      <c r="Y52" s="703"/>
      <c r="Z52" s="703"/>
      <c r="AA52" s="703"/>
      <c r="AB52" s="703"/>
      <c r="AC52" s="703"/>
      <c r="AD52" s="703"/>
      <c r="AE52" s="703"/>
      <c r="AF52" s="703"/>
      <c r="AG52" s="703"/>
      <c r="AH52" s="703"/>
      <c r="AI52" s="703"/>
      <c r="AJ52" s="703"/>
      <c r="AK52" s="703"/>
      <c r="AL52" s="703"/>
      <c r="AM52" s="703"/>
      <c r="AN52" s="703"/>
      <c r="AO52" s="703"/>
      <c r="AP52" s="703"/>
      <c r="AQ52" s="703"/>
      <c r="AR52" s="703"/>
      <c r="AS52" s="703"/>
      <c r="AT52" s="703"/>
      <c r="AU52" s="703"/>
      <c r="AV52" s="703"/>
      <c r="AW52" s="703"/>
      <c r="AX52" s="703"/>
      <c r="AY52" s="703"/>
      <c r="AZ52" s="703"/>
      <c r="BA52" s="703"/>
      <c r="BB52" s="703"/>
      <c r="BC52" s="703"/>
      <c r="BD52" s="703"/>
      <c r="BE52" s="703"/>
      <c r="BF52" s="703"/>
      <c r="BG52" s="703"/>
      <c r="BH52" s="703"/>
      <c r="BI52" s="703"/>
      <c r="BJ52" s="703"/>
      <c r="BK52" s="703"/>
      <c r="BL52" s="703"/>
      <c r="BM52" s="703"/>
      <c r="BN52" s="703"/>
      <c r="BO52" s="703"/>
      <c r="BP52" s="703"/>
      <c r="BQ52" s="703"/>
      <c r="BR52" s="703"/>
      <c r="BS52" s="703"/>
      <c r="BT52" s="703"/>
      <c r="BU52" s="703"/>
      <c r="BV52" s="703"/>
      <c r="BW52" s="703"/>
      <c r="BX52" s="703"/>
      <c r="BY52" s="703"/>
      <c r="BZ52" s="703"/>
      <c r="CA52" s="703"/>
      <c r="CB52" s="703"/>
      <c r="CC52" s="703"/>
      <c r="CD52" s="703"/>
      <c r="CE52" s="703"/>
      <c r="CF52" s="703"/>
      <c r="CG52" s="703"/>
      <c r="CH52" s="703"/>
      <c r="CI52" s="703"/>
      <c r="CJ52" s="703"/>
      <c r="CK52" s="703"/>
      <c r="CL52" s="703"/>
      <c r="CM52" s="703"/>
      <c r="CN52" s="703"/>
      <c r="CO52" s="703"/>
      <c r="CP52" s="703"/>
      <c r="CQ52" s="703"/>
      <c r="CR52" s="703"/>
      <c r="CS52" s="703"/>
      <c r="CT52" s="703"/>
      <c r="CU52" s="703"/>
      <c r="CV52" s="703"/>
    </row>
    <row r="53" spans="1:100" s="280" customFormat="1" outlineLevel="2" x14ac:dyDescent="0.2">
      <c r="A53" s="412"/>
      <c r="B53" s="412"/>
      <c r="C53" s="860"/>
      <c r="D53" s="413"/>
      <c r="E53" s="476" t="str">
        <f xml:space="preserve"> InpC!E$120</f>
        <v>USD / WID exchange rate - sensitised</v>
      </c>
      <c r="F53" s="476">
        <f xml:space="preserve"> InpC!F$120</f>
        <v>5</v>
      </c>
      <c r="G53" s="476" t="str">
        <f xml:space="preserve"> InpC!G$120</f>
        <v>WIDs</v>
      </c>
      <c r="H53" s="416"/>
      <c r="I53" s="416"/>
      <c r="J53" s="416"/>
      <c r="K53" s="416"/>
      <c r="L53" s="416"/>
      <c r="M53" s="416"/>
      <c r="N53" s="416"/>
      <c r="O53" s="416"/>
      <c r="P53" s="416"/>
      <c r="Q53" s="416"/>
      <c r="R53" s="416"/>
      <c r="S53" s="416"/>
      <c r="T53" s="416"/>
      <c r="U53" s="416"/>
      <c r="V53" s="416"/>
      <c r="W53" s="416"/>
      <c r="X53" s="416"/>
      <c r="Y53" s="416"/>
      <c r="Z53" s="416"/>
      <c r="AA53" s="416"/>
      <c r="AB53" s="416"/>
      <c r="AC53" s="416"/>
      <c r="AD53" s="416"/>
      <c r="AE53" s="416"/>
      <c r="AF53" s="416"/>
      <c r="AG53" s="416"/>
      <c r="AH53" s="416"/>
      <c r="AI53" s="416"/>
      <c r="AJ53" s="416"/>
      <c r="AK53" s="416"/>
      <c r="AL53" s="416"/>
      <c r="AM53" s="416"/>
      <c r="AN53" s="416"/>
      <c r="AO53" s="416"/>
      <c r="AP53" s="416"/>
      <c r="AQ53" s="416"/>
      <c r="AR53" s="416"/>
      <c r="AS53" s="416"/>
      <c r="AT53" s="416"/>
      <c r="AU53" s="416"/>
      <c r="AV53" s="416"/>
      <c r="AW53" s="416"/>
      <c r="AX53" s="416"/>
      <c r="AY53" s="416"/>
      <c r="AZ53" s="416"/>
      <c r="BA53" s="416"/>
      <c r="BB53" s="416"/>
      <c r="BC53" s="416"/>
      <c r="BD53" s="416"/>
      <c r="BE53" s="416"/>
      <c r="BF53" s="416"/>
      <c r="BG53" s="416"/>
      <c r="BH53" s="416"/>
      <c r="BI53" s="416"/>
      <c r="BJ53" s="416"/>
      <c r="BK53" s="416"/>
      <c r="BL53" s="416"/>
      <c r="BM53" s="416"/>
      <c r="BN53" s="416"/>
      <c r="BO53" s="416"/>
      <c r="BP53" s="416"/>
      <c r="BQ53" s="416"/>
      <c r="BR53" s="416"/>
      <c r="BS53" s="416"/>
      <c r="BT53" s="416"/>
      <c r="BU53" s="416"/>
      <c r="BV53" s="416"/>
      <c r="BW53" s="416"/>
      <c r="BX53" s="416"/>
      <c r="BY53" s="416"/>
      <c r="BZ53" s="416"/>
      <c r="CA53" s="416"/>
      <c r="CB53" s="416"/>
      <c r="CC53" s="416"/>
      <c r="CD53" s="416"/>
      <c r="CE53" s="416"/>
      <c r="CF53" s="416"/>
      <c r="CG53" s="416"/>
      <c r="CH53" s="416"/>
      <c r="CI53" s="416"/>
      <c r="CJ53" s="416"/>
      <c r="CK53" s="416"/>
      <c r="CL53" s="416"/>
      <c r="CM53" s="416"/>
      <c r="CN53" s="416"/>
      <c r="CO53" s="416"/>
      <c r="CP53" s="416"/>
      <c r="CQ53" s="416"/>
      <c r="CR53" s="416"/>
      <c r="CS53" s="416"/>
      <c r="CT53" s="416"/>
      <c r="CU53" s="416"/>
      <c r="CV53" s="416"/>
    </row>
    <row r="54" spans="1:100" outlineLevel="2" x14ac:dyDescent="0.2">
      <c r="A54" s="700"/>
      <c r="B54" s="700"/>
      <c r="C54" s="701"/>
      <c r="D54" s="702"/>
      <c r="E54" s="861" t="str">
        <f t="shared" ref="E54:AJ54" si="25" xml:space="preserve"> E$39</f>
        <v>USD / WID periodic exchange rate</v>
      </c>
      <c r="F54" s="861">
        <f t="shared" si="25"/>
        <v>0</v>
      </c>
      <c r="G54" s="861" t="str">
        <f t="shared" si="25"/>
        <v>WIDs</v>
      </c>
      <c r="H54" s="861">
        <f t="shared" si="25"/>
        <v>0</v>
      </c>
      <c r="I54" s="861">
        <f t="shared" si="25"/>
        <v>0</v>
      </c>
      <c r="J54" s="861">
        <f t="shared" si="25"/>
        <v>5</v>
      </c>
      <c r="K54" s="861">
        <f t="shared" si="25"/>
        <v>5</v>
      </c>
      <c r="L54" s="861">
        <f t="shared" si="25"/>
        <v>5</v>
      </c>
      <c r="M54" s="861">
        <f t="shared" si="25"/>
        <v>5</v>
      </c>
      <c r="N54" s="861">
        <f t="shared" si="25"/>
        <v>5</v>
      </c>
      <c r="O54" s="861">
        <f t="shared" si="25"/>
        <v>5</v>
      </c>
      <c r="P54" s="861">
        <f t="shared" si="25"/>
        <v>5</v>
      </c>
      <c r="Q54" s="861">
        <f t="shared" si="25"/>
        <v>5</v>
      </c>
      <c r="R54" s="861">
        <f t="shared" si="25"/>
        <v>5</v>
      </c>
      <c r="S54" s="861">
        <f t="shared" si="25"/>
        <v>5</v>
      </c>
      <c r="T54" s="861">
        <f t="shared" si="25"/>
        <v>5</v>
      </c>
      <c r="U54" s="861">
        <f t="shared" si="25"/>
        <v>5</v>
      </c>
      <c r="V54" s="861">
        <f t="shared" si="25"/>
        <v>5</v>
      </c>
      <c r="W54" s="861">
        <f t="shared" si="25"/>
        <v>5</v>
      </c>
      <c r="X54" s="861">
        <f t="shared" si="25"/>
        <v>5</v>
      </c>
      <c r="Y54" s="861">
        <f t="shared" si="25"/>
        <v>5</v>
      </c>
      <c r="Z54" s="861">
        <f t="shared" si="25"/>
        <v>5</v>
      </c>
      <c r="AA54" s="861">
        <f t="shared" si="25"/>
        <v>5</v>
      </c>
      <c r="AB54" s="861">
        <f t="shared" si="25"/>
        <v>5</v>
      </c>
      <c r="AC54" s="861">
        <f t="shared" si="25"/>
        <v>5</v>
      </c>
      <c r="AD54" s="861">
        <f t="shared" si="25"/>
        <v>5</v>
      </c>
      <c r="AE54" s="861">
        <f t="shared" si="25"/>
        <v>5</v>
      </c>
      <c r="AF54" s="861">
        <f t="shared" si="25"/>
        <v>5</v>
      </c>
      <c r="AG54" s="861">
        <f t="shared" si="25"/>
        <v>5</v>
      </c>
      <c r="AH54" s="861">
        <f t="shared" si="25"/>
        <v>5</v>
      </c>
      <c r="AI54" s="861">
        <f t="shared" si="25"/>
        <v>5</v>
      </c>
      <c r="AJ54" s="861">
        <f t="shared" si="25"/>
        <v>5</v>
      </c>
      <c r="AK54" s="861">
        <f t="shared" ref="AK54:BP54" si="26" xml:space="preserve"> AK$39</f>
        <v>5</v>
      </c>
      <c r="AL54" s="861">
        <f t="shared" si="26"/>
        <v>5</v>
      </c>
      <c r="AM54" s="861">
        <f t="shared" si="26"/>
        <v>5</v>
      </c>
      <c r="AN54" s="861">
        <f t="shared" si="26"/>
        <v>5</v>
      </c>
      <c r="AO54" s="861">
        <f t="shared" si="26"/>
        <v>5</v>
      </c>
      <c r="AP54" s="861">
        <f t="shared" si="26"/>
        <v>5</v>
      </c>
      <c r="AQ54" s="861">
        <f t="shared" si="26"/>
        <v>5</v>
      </c>
      <c r="AR54" s="861">
        <f t="shared" si="26"/>
        <v>5</v>
      </c>
      <c r="AS54" s="861">
        <f t="shared" si="26"/>
        <v>5</v>
      </c>
      <c r="AT54" s="861">
        <f t="shared" si="26"/>
        <v>5</v>
      </c>
      <c r="AU54" s="861">
        <f t="shared" si="26"/>
        <v>5</v>
      </c>
      <c r="AV54" s="861">
        <f t="shared" si="26"/>
        <v>5</v>
      </c>
      <c r="AW54" s="861">
        <f t="shared" si="26"/>
        <v>5</v>
      </c>
      <c r="AX54" s="861">
        <f t="shared" si="26"/>
        <v>5</v>
      </c>
      <c r="AY54" s="861">
        <f t="shared" si="26"/>
        <v>5</v>
      </c>
      <c r="AZ54" s="861">
        <f t="shared" si="26"/>
        <v>5</v>
      </c>
      <c r="BA54" s="861">
        <f t="shared" si="26"/>
        <v>5</v>
      </c>
      <c r="BB54" s="861">
        <f t="shared" si="26"/>
        <v>5</v>
      </c>
      <c r="BC54" s="861">
        <f t="shared" si="26"/>
        <v>5</v>
      </c>
      <c r="BD54" s="861">
        <f t="shared" si="26"/>
        <v>5</v>
      </c>
      <c r="BE54" s="861">
        <f t="shared" si="26"/>
        <v>5</v>
      </c>
      <c r="BF54" s="861">
        <f t="shared" si="26"/>
        <v>5</v>
      </c>
      <c r="BG54" s="861">
        <f t="shared" si="26"/>
        <v>5</v>
      </c>
      <c r="BH54" s="861">
        <f t="shared" si="26"/>
        <v>5</v>
      </c>
      <c r="BI54" s="861">
        <f t="shared" si="26"/>
        <v>5</v>
      </c>
      <c r="BJ54" s="861">
        <f t="shared" si="26"/>
        <v>5</v>
      </c>
      <c r="BK54" s="861">
        <f t="shared" si="26"/>
        <v>5</v>
      </c>
      <c r="BL54" s="861">
        <f t="shared" si="26"/>
        <v>5</v>
      </c>
      <c r="BM54" s="861">
        <f t="shared" si="26"/>
        <v>5</v>
      </c>
      <c r="BN54" s="861">
        <f t="shared" si="26"/>
        <v>5</v>
      </c>
      <c r="BO54" s="861">
        <f t="shared" si="26"/>
        <v>5</v>
      </c>
      <c r="BP54" s="861">
        <f t="shared" si="26"/>
        <v>5</v>
      </c>
      <c r="BQ54" s="861">
        <f t="shared" ref="BQ54:CV54" si="27" xml:space="preserve"> BQ$39</f>
        <v>5</v>
      </c>
      <c r="BR54" s="861">
        <f t="shared" si="27"/>
        <v>5</v>
      </c>
      <c r="BS54" s="861">
        <f t="shared" si="27"/>
        <v>5</v>
      </c>
      <c r="BT54" s="861">
        <f t="shared" si="27"/>
        <v>5</v>
      </c>
      <c r="BU54" s="861">
        <f t="shared" si="27"/>
        <v>5</v>
      </c>
      <c r="BV54" s="861">
        <f t="shared" si="27"/>
        <v>5</v>
      </c>
      <c r="BW54" s="861">
        <f t="shared" si="27"/>
        <v>5</v>
      </c>
      <c r="BX54" s="861">
        <f t="shared" si="27"/>
        <v>5</v>
      </c>
      <c r="BY54" s="861">
        <f t="shared" si="27"/>
        <v>5</v>
      </c>
      <c r="BZ54" s="861">
        <f t="shared" si="27"/>
        <v>5</v>
      </c>
      <c r="CA54" s="861">
        <f t="shared" si="27"/>
        <v>5</v>
      </c>
      <c r="CB54" s="861">
        <f t="shared" si="27"/>
        <v>5</v>
      </c>
      <c r="CC54" s="861">
        <f t="shared" si="27"/>
        <v>5</v>
      </c>
      <c r="CD54" s="861">
        <f t="shared" si="27"/>
        <v>5</v>
      </c>
      <c r="CE54" s="861">
        <f t="shared" si="27"/>
        <v>5</v>
      </c>
      <c r="CF54" s="861">
        <f t="shared" si="27"/>
        <v>5</v>
      </c>
      <c r="CG54" s="861">
        <f t="shared" si="27"/>
        <v>5</v>
      </c>
      <c r="CH54" s="861">
        <f t="shared" si="27"/>
        <v>5</v>
      </c>
      <c r="CI54" s="861">
        <f t="shared" si="27"/>
        <v>5</v>
      </c>
      <c r="CJ54" s="861">
        <f t="shared" si="27"/>
        <v>5</v>
      </c>
      <c r="CK54" s="861">
        <f t="shared" si="27"/>
        <v>5</v>
      </c>
      <c r="CL54" s="861">
        <f t="shared" si="27"/>
        <v>5</v>
      </c>
      <c r="CM54" s="861">
        <f t="shared" si="27"/>
        <v>5</v>
      </c>
      <c r="CN54" s="861">
        <f t="shared" si="27"/>
        <v>5</v>
      </c>
      <c r="CO54" s="861">
        <f t="shared" si="27"/>
        <v>5</v>
      </c>
      <c r="CP54" s="861">
        <f t="shared" si="27"/>
        <v>5</v>
      </c>
      <c r="CQ54" s="861">
        <f t="shared" si="27"/>
        <v>5</v>
      </c>
      <c r="CR54" s="861">
        <f t="shared" si="27"/>
        <v>5</v>
      </c>
      <c r="CS54" s="861">
        <f t="shared" si="27"/>
        <v>5</v>
      </c>
      <c r="CT54" s="861">
        <f t="shared" si="27"/>
        <v>5</v>
      </c>
      <c r="CU54" s="861">
        <f t="shared" si="27"/>
        <v>5</v>
      </c>
      <c r="CV54" s="861">
        <f t="shared" si="27"/>
        <v>5</v>
      </c>
    </row>
    <row r="55" spans="1:100" s="280" customFormat="1" outlineLevel="2" x14ac:dyDescent="0.2">
      <c r="A55" s="412"/>
      <c r="B55" s="412"/>
      <c r="C55" s="860"/>
      <c r="D55" s="413"/>
      <c r="E55" s="476" t="str">
        <f xml:space="preserve"> Esc!E$24</f>
        <v>RW CPI escalation factor</v>
      </c>
      <c r="F55" s="476">
        <f xml:space="preserve"> Esc!F$24</f>
        <v>0</v>
      </c>
      <c r="G55" s="476" t="str">
        <f xml:space="preserve"> Esc!G$24</f>
        <v>index</v>
      </c>
      <c r="H55" s="476">
        <f xml:space="preserve"> Esc!H$24</f>
        <v>0</v>
      </c>
      <c r="I55" s="476">
        <f xml:space="preserve"> Esc!I$24</f>
        <v>0</v>
      </c>
      <c r="J55" s="476">
        <f xml:space="preserve"> Esc!J$24</f>
        <v>1</v>
      </c>
      <c r="K55" s="476">
        <f xml:space="preserve"> Esc!K$24</f>
        <v>1</v>
      </c>
      <c r="L55" s="476">
        <f xml:space="preserve"> Esc!L$24</f>
        <v>1</v>
      </c>
      <c r="M55" s="476">
        <f xml:space="preserve"> Esc!M$24</f>
        <v>1</v>
      </c>
      <c r="N55" s="476">
        <f xml:space="preserve"> Esc!N$24</f>
        <v>1</v>
      </c>
      <c r="O55" s="476">
        <f xml:space="preserve"> Esc!O$24</f>
        <v>1.08243216</v>
      </c>
      <c r="P55" s="476">
        <f xml:space="preserve"> Esc!P$24</f>
        <v>1.08243216</v>
      </c>
      <c r="Q55" s="476">
        <f xml:space="preserve"> Esc!Q$24</f>
        <v>1.1040808032</v>
      </c>
      <c r="R55" s="476">
        <f xml:space="preserve"> Esc!R$24</f>
        <v>1.1040808032</v>
      </c>
      <c r="S55" s="476">
        <f xml:space="preserve"> Esc!S$24</f>
        <v>1.1261624192640001</v>
      </c>
      <c r="T55" s="476">
        <f xml:space="preserve"> Esc!T$24</f>
        <v>1.1261624192640001</v>
      </c>
      <c r="U55" s="476">
        <f xml:space="preserve"> Esc!U$24</f>
        <v>1.1486856676492798</v>
      </c>
      <c r="V55" s="476">
        <f xml:space="preserve"> Esc!V$24</f>
        <v>1.1486856676492798</v>
      </c>
      <c r="W55" s="476">
        <f xml:space="preserve"> Esc!W$24</f>
        <v>1.1716593810022655</v>
      </c>
      <c r="X55" s="476">
        <f xml:space="preserve"> Esc!X$24</f>
        <v>1.1716593810022655</v>
      </c>
      <c r="Y55" s="476">
        <f xml:space="preserve"> Esc!Y$24</f>
        <v>1.1950925686223108</v>
      </c>
      <c r="Z55" s="476">
        <f xml:space="preserve"> Esc!Z$24</f>
        <v>1.1950925686223108</v>
      </c>
      <c r="AA55" s="476">
        <f xml:space="preserve"> Esc!AA$24</f>
        <v>1.2189944199947571</v>
      </c>
      <c r="AB55" s="476">
        <f xml:space="preserve"> Esc!AB$24</f>
        <v>1.2189944199947571</v>
      </c>
      <c r="AC55" s="476">
        <f xml:space="preserve"> Esc!AC$24</f>
        <v>1.243374308394652</v>
      </c>
      <c r="AD55" s="476">
        <f xml:space="preserve"> Esc!AD$24</f>
        <v>1.243374308394652</v>
      </c>
      <c r="AE55" s="476">
        <f xml:space="preserve"> Esc!AE$24</f>
        <v>1.2682417945625453</v>
      </c>
      <c r="AF55" s="476">
        <f xml:space="preserve"> Esc!AF$24</f>
        <v>1.2682417945625453</v>
      </c>
      <c r="AG55" s="476">
        <f xml:space="preserve"> Esc!AG$24</f>
        <v>1.2936066304537961</v>
      </c>
      <c r="AH55" s="476">
        <f xml:space="preserve"> Esc!AH$24</f>
        <v>1.2936066304537961</v>
      </c>
      <c r="AI55" s="476">
        <f xml:space="preserve"> Esc!AI$24</f>
        <v>1.3194787630628722</v>
      </c>
      <c r="AJ55" s="476">
        <f xml:space="preserve"> Esc!AJ$24</f>
        <v>1.3194787630628722</v>
      </c>
      <c r="AK55" s="476">
        <f xml:space="preserve"> Esc!AK$24</f>
        <v>1.3458683383241292</v>
      </c>
      <c r="AL55" s="476">
        <f xml:space="preserve"> Esc!AL$24</f>
        <v>1.3458683383241292</v>
      </c>
      <c r="AM55" s="476">
        <f xml:space="preserve"> Esc!AM$24</f>
        <v>1.372785705090612</v>
      </c>
      <c r="AN55" s="476">
        <f xml:space="preserve"> Esc!AN$24</f>
        <v>1.372785705090612</v>
      </c>
      <c r="AO55" s="476">
        <f xml:space="preserve"> Esc!AO$24</f>
        <v>1.4002414191924244</v>
      </c>
      <c r="AP55" s="476">
        <f xml:space="preserve"> Esc!AP$24</f>
        <v>1.4002414191924244</v>
      </c>
      <c r="AQ55" s="476">
        <f xml:space="preserve"> Esc!AQ$24</f>
        <v>1.4282462475762727</v>
      </c>
      <c r="AR55" s="476">
        <f xml:space="preserve"> Esc!AR$24</f>
        <v>1.4282462475762727</v>
      </c>
      <c r="AS55" s="476">
        <f xml:space="preserve"> Esc!AS$24</f>
        <v>1.4568111725277981</v>
      </c>
      <c r="AT55" s="476">
        <f xml:space="preserve"> Esc!AT$24</f>
        <v>1.4568111725277981</v>
      </c>
      <c r="AU55" s="476">
        <f xml:space="preserve"> Esc!AU$24</f>
        <v>1.4859473959783542</v>
      </c>
      <c r="AV55" s="476">
        <f xml:space="preserve"> Esc!AV$24</f>
        <v>1.4859473959783542</v>
      </c>
      <c r="AW55" s="476">
        <f xml:space="preserve"> Esc!AW$24</f>
        <v>1.5156663438979212</v>
      </c>
      <c r="AX55" s="476">
        <f xml:space="preserve"> Esc!AX$24</f>
        <v>1.5156663438979212</v>
      </c>
      <c r="AY55" s="476">
        <f xml:space="preserve"> Esc!AY$24</f>
        <v>1.5459796707758797</v>
      </c>
      <c r="AZ55" s="476">
        <f xml:space="preserve"> Esc!AZ$24</f>
        <v>1.5459796707758797</v>
      </c>
      <c r="BA55" s="476">
        <f xml:space="preserve"> Esc!BA$24</f>
        <v>1.576899264191397</v>
      </c>
      <c r="BB55" s="476">
        <f xml:space="preserve"> Esc!BB$24</f>
        <v>1.576899264191397</v>
      </c>
      <c r="BC55" s="476">
        <f xml:space="preserve"> Esc!BC$24</f>
        <v>1</v>
      </c>
      <c r="BD55" s="476">
        <f xml:space="preserve"> Esc!BD$24</f>
        <v>1</v>
      </c>
      <c r="BE55" s="476">
        <f xml:space="preserve"> Esc!BE$24</f>
        <v>1</v>
      </c>
      <c r="BF55" s="476">
        <f xml:space="preserve"> Esc!BF$24</f>
        <v>1</v>
      </c>
      <c r="BG55" s="476">
        <f xml:space="preserve"> Esc!BG$24</f>
        <v>1</v>
      </c>
      <c r="BH55" s="476">
        <f xml:space="preserve"> Esc!BH$24</f>
        <v>1</v>
      </c>
      <c r="BI55" s="476">
        <f xml:space="preserve"> Esc!BI$24</f>
        <v>1</v>
      </c>
      <c r="BJ55" s="476">
        <f xml:space="preserve"> Esc!BJ$24</f>
        <v>1</v>
      </c>
      <c r="BK55" s="476">
        <f xml:space="preserve"> Esc!BK$24</f>
        <v>1</v>
      </c>
      <c r="BL55" s="476">
        <f xml:space="preserve"> Esc!BL$24</f>
        <v>1</v>
      </c>
      <c r="BM55" s="476">
        <f xml:space="preserve"> Esc!BM$24</f>
        <v>1</v>
      </c>
      <c r="BN55" s="476">
        <f xml:space="preserve"> Esc!BN$24</f>
        <v>1</v>
      </c>
      <c r="BO55" s="476">
        <f xml:space="preserve"> Esc!BO$24</f>
        <v>1</v>
      </c>
      <c r="BP55" s="476">
        <f xml:space="preserve"> Esc!BP$24</f>
        <v>1</v>
      </c>
      <c r="BQ55" s="476">
        <f xml:space="preserve"> Esc!BQ$24</f>
        <v>1</v>
      </c>
      <c r="BR55" s="476">
        <f xml:space="preserve"> Esc!BR$24</f>
        <v>1</v>
      </c>
      <c r="BS55" s="476">
        <f xml:space="preserve"> Esc!BS$24</f>
        <v>1</v>
      </c>
      <c r="BT55" s="476">
        <f xml:space="preserve"> Esc!BT$24</f>
        <v>1</v>
      </c>
      <c r="BU55" s="476">
        <f xml:space="preserve"> Esc!BU$24</f>
        <v>1</v>
      </c>
      <c r="BV55" s="476">
        <f xml:space="preserve"> Esc!BV$24</f>
        <v>1</v>
      </c>
      <c r="BW55" s="476">
        <f xml:space="preserve"> Esc!BW$24</f>
        <v>1</v>
      </c>
      <c r="BX55" s="476">
        <f xml:space="preserve"> Esc!BX$24</f>
        <v>1</v>
      </c>
      <c r="BY55" s="476">
        <f xml:space="preserve"> Esc!BY$24</f>
        <v>1</v>
      </c>
      <c r="BZ55" s="476">
        <f xml:space="preserve"> Esc!BZ$24</f>
        <v>1</v>
      </c>
      <c r="CA55" s="476">
        <f xml:space="preserve"> Esc!CA$24</f>
        <v>1</v>
      </c>
      <c r="CB55" s="476">
        <f xml:space="preserve"> Esc!CB$24</f>
        <v>1</v>
      </c>
      <c r="CC55" s="476">
        <f xml:space="preserve"> Esc!CC$24</f>
        <v>1</v>
      </c>
      <c r="CD55" s="476">
        <f xml:space="preserve"> Esc!CD$24</f>
        <v>1</v>
      </c>
      <c r="CE55" s="476">
        <f xml:space="preserve"> Esc!CE$24</f>
        <v>1</v>
      </c>
      <c r="CF55" s="476">
        <f xml:space="preserve"> Esc!CF$24</f>
        <v>1</v>
      </c>
      <c r="CG55" s="476">
        <f xml:space="preserve"> Esc!CG$24</f>
        <v>1</v>
      </c>
      <c r="CH55" s="476">
        <f xml:space="preserve"> Esc!CH$24</f>
        <v>1</v>
      </c>
      <c r="CI55" s="476">
        <f xml:space="preserve"> Esc!CI$24</f>
        <v>1</v>
      </c>
      <c r="CJ55" s="476">
        <f xml:space="preserve"> Esc!CJ$24</f>
        <v>1</v>
      </c>
      <c r="CK55" s="476">
        <f xml:space="preserve"> Esc!CK$24</f>
        <v>1</v>
      </c>
      <c r="CL55" s="476">
        <f xml:space="preserve"> Esc!CL$24</f>
        <v>1</v>
      </c>
      <c r="CM55" s="476">
        <f xml:space="preserve"> Esc!CM$24</f>
        <v>1</v>
      </c>
      <c r="CN55" s="476">
        <f xml:space="preserve"> Esc!CN$24</f>
        <v>1</v>
      </c>
      <c r="CO55" s="476">
        <f xml:space="preserve"> Esc!CO$24</f>
        <v>1</v>
      </c>
      <c r="CP55" s="476">
        <f xml:space="preserve"> Esc!CP$24</f>
        <v>1</v>
      </c>
      <c r="CQ55" s="476">
        <f xml:space="preserve"> Esc!CQ$24</f>
        <v>1</v>
      </c>
      <c r="CR55" s="476">
        <f xml:space="preserve"> Esc!CR$24</f>
        <v>1</v>
      </c>
      <c r="CS55" s="476">
        <f xml:space="preserve"> Esc!CS$24</f>
        <v>1</v>
      </c>
      <c r="CT55" s="476">
        <f xml:space="preserve"> Esc!CT$24</f>
        <v>1</v>
      </c>
      <c r="CU55" s="476">
        <f xml:space="preserve"> Esc!CU$24</f>
        <v>1</v>
      </c>
      <c r="CV55" s="476">
        <f xml:space="preserve"> Esc!CV$24</f>
        <v>1</v>
      </c>
    </row>
    <row r="56" spans="1:100" outlineLevel="2" x14ac:dyDescent="0.2">
      <c r="A56" s="818"/>
      <c r="B56" s="818"/>
      <c r="C56" s="819"/>
      <c r="D56" s="820"/>
      <c r="E56" s="662" t="str">
        <f xml:space="preserve"> Time!E$106</f>
        <v>Operating period flag</v>
      </c>
      <c r="F56" s="662">
        <f xml:space="preserve"> Time!F$106</f>
        <v>0</v>
      </c>
      <c r="G56" s="662" t="str">
        <f xml:space="preserve"> Time!G$106</f>
        <v>flag</v>
      </c>
      <c r="H56" s="662">
        <f xml:space="preserve"> Time!H$106</f>
        <v>40</v>
      </c>
      <c r="I56" s="662">
        <f xml:space="preserve"> Time!I$106</f>
        <v>0</v>
      </c>
      <c r="J56" s="662">
        <f xml:space="preserve"> Time!J$106</f>
        <v>0</v>
      </c>
      <c r="K56" s="662">
        <f xml:space="preserve"> Time!K$106</f>
        <v>0</v>
      </c>
      <c r="L56" s="662">
        <f xml:space="preserve"> Time!L$106</f>
        <v>0</v>
      </c>
      <c r="M56" s="662">
        <f xml:space="preserve"> Time!M$106</f>
        <v>0</v>
      </c>
      <c r="N56" s="662">
        <f xml:space="preserve"> Time!N$106</f>
        <v>0</v>
      </c>
      <c r="O56" s="662">
        <f xml:space="preserve"> Time!O$106</f>
        <v>1</v>
      </c>
      <c r="P56" s="662">
        <f xml:space="preserve"> Time!P$106</f>
        <v>1</v>
      </c>
      <c r="Q56" s="662">
        <f xml:space="preserve"> Time!Q$106</f>
        <v>1</v>
      </c>
      <c r="R56" s="662">
        <f xml:space="preserve"> Time!R$106</f>
        <v>1</v>
      </c>
      <c r="S56" s="662">
        <f xml:space="preserve"> Time!S$106</f>
        <v>1</v>
      </c>
      <c r="T56" s="662">
        <f xml:space="preserve"> Time!T$106</f>
        <v>1</v>
      </c>
      <c r="U56" s="662">
        <f xml:space="preserve"> Time!U$106</f>
        <v>1</v>
      </c>
      <c r="V56" s="662">
        <f xml:space="preserve"> Time!V$106</f>
        <v>1</v>
      </c>
      <c r="W56" s="662">
        <f xml:space="preserve"> Time!W$106</f>
        <v>1</v>
      </c>
      <c r="X56" s="662">
        <f xml:space="preserve"> Time!X$106</f>
        <v>1</v>
      </c>
      <c r="Y56" s="662">
        <f xml:space="preserve"> Time!Y$106</f>
        <v>1</v>
      </c>
      <c r="Z56" s="662">
        <f xml:space="preserve"> Time!Z$106</f>
        <v>1</v>
      </c>
      <c r="AA56" s="662">
        <f xml:space="preserve"> Time!AA$106</f>
        <v>1</v>
      </c>
      <c r="AB56" s="662">
        <f xml:space="preserve"> Time!AB$106</f>
        <v>1</v>
      </c>
      <c r="AC56" s="662">
        <f xml:space="preserve"> Time!AC$106</f>
        <v>1</v>
      </c>
      <c r="AD56" s="662">
        <f xml:space="preserve"> Time!AD$106</f>
        <v>1</v>
      </c>
      <c r="AE56" s="662">
        <f xml:space="preserve"> Time!AE$106</f>
        <v>1</v>
      </c>
      <c r="AF56" s="662">
        <f xml:space="preserve"> Time!AF$106</f>
        <v>1</v>
      </c>
      <c r="AG56" s="662">
        <f xml:space="preserve"> Time!AG$106</f>
        <v>1</v>
      </c>
      <c r="AH56" s="662">
        <f xml:space="preserve"> Time!AH$106</f>
        <v>1</v>
      </c>
      <c r="AI56" s="662">
        <f xml:space="preserve"> Time!AI$106</f>
        <v>1</v>
      </c>
      <c r="AJ56" s="662">
        <f xml:space="preserve"> Time!AJ$106</f>
        <v>1</v>
      </c>
      <c r="AK56" s="662">
        <f xml:space="preserve"> Time!AK$106</f>
        <v>1</v>
      </c>
      <c r="AL56" s="662">
        <f xml:space="preserve"> Time!AL$106</f>
        <v>1</v>
      </c>
      <c r="AM56" s="662">
        <f xml:space="preserve"> Time!AM$106</f>
        <v>1</v>
      </c>
      <c r="AN56" s="662">
        <f xml:space="preserve"> Time!AN$106</f>
        <v>1</v>
      </c>
      <c r="AO56" s="662">
        <f xml:space="preserve"> Time!AO$106</f>
        <v>1</v>
      </c>
      <c r="AP56" s="662">
        <f xml:space="preserve"> Time!AP$106</f>
        <v>1</v>
      </c>
      <c r="AQ56" s="662">
        <f xml:space="preserve"> Time!AQ$106</f>
        <v>1</v>
      </c>
      <c r="AR56" s="662">
        <f xml:space="preserve"> Time!AR$106</f>
        <v>1</v>
      </c>
      <c r="AS56" s="662">
        <f xml:space="preserve"> Time!AS$106</f>
        <v>1</v>
      </c>
      <c r="AT56" s="662">
        <f xml:space="preserve"> Time!AT$106</f>
        <v>1</v>
      </c>
      <c r="AU56" s="662">
        <f xml:space="preserve"> Time!AU$106</f>
        <v>1</v>
      </c>
      <c r="AV56" s="662">
        <f xml:space="preserve"> Time!AV$106</f>
        <v>1</v>
      </c>
      <c r="AW56" s="662">
        <f xml:space="preserve"> Time!AW$106</f>
        <v>1</v>
      </c>
      <c r="AX56" s="662">
        <f xml:space="preserve"> Time!AX$106</f>
        <v>1</v>
      </c>
      <c r="AY56" s="662">
        <f xml:space="preserve"> Time!AY$106</f>
        <v>1</v>
      </c>
      <c r="AZ56" s="662">
        <f xml:space="preserve"> Time!AZ$106</f>
        <v>1</v>
      </c>
      <c r="BA56" s="662">
        <f xml:space="preserve"> Time!BA$106</f>
        <v>1</v>
      </c>
      <c r="BB56" s="662">
        <f xml:space="preserve"> Time!BB$106</f>
        <v>1</v>
      </c>
      <c r="BC56" s="662">
        <f xml:space="preserve"> Time!BC$106</f>
        <v>0</v>
      </c>
      <c r="BD56" s="662">
        <f xml:space="preserve"> Time!BD$106</f>
        <v>0</v>
      </c>
      <c r="BE56" s="662">
        <f xml:space="preserve"> Time!BE$106</f>
        <v>0</v>
      </c>
      <c r="BF56" s="662">
        <f xml:space="preserve"> Time!BF$106</f>
        <v>0</v>
      </c>
      <c r="BG56" s="662">
        <f xml:space="preserve"> Time!BG$106</f>
        <v>0</v>
      </c>
      <c r="BH56" s="662">
        <f xml:space="preserve"> Time!BH$106</f>
        <v>0</v>
      </c>
      <c r="BI56" s="662">
        <f xml:space="preserve"> Time!BI$106</f>
        <v>0</v>
      </c>
      <c r="BJ56" s="662">
        <f xml:space="preserve"> Time!BJ$106</f>
        <v>0</v>
      </c>
      <c r="BK56" s="662">
        <f xml:space="preserve"> Time!BK$106</f>
        <v>0</v>
      </c>
      <c r="BL56" s="662">
        <f xml:space="preserve"> Time!BL$106</f>
        <v>0</v>
      </c>
      <c r="BM56" s="662">
        <f xml:space="preserve"> Time!BM$106</f>
        <v>0</v>
      </c>
      <c r="BN56" s="662">
        <f xml:space="preserve"> Time!BN$106</f>
        <v>0</v>
      </c>
      <c r="BO56" s="662">
        <f xml:space="preserve"> Time!BO$106</f>
        <v>0</v>
      </c>
      <c r="BP56" s="662">
        <f xml:space="preserve"> Time!BP$106</f>
        <v>0</v>
      </c>
      <c r="BQ56" s="662">
        <f xml:space="preserve"> Time!BQ$106</f>
        <v>0</v>
      </c>
      <c r="BR56" s="662">
        <f xml:space="preserve"> Time!BR$106</f>
        <v>0</v>
      </c>
      <c r="BS56" s="662">
        <f xml:space="preserve"> Time!BS$106</f>
        <v>0</v>
      </c>
      <c r="BT56" s="662">
        <f xml:space="preserve"> Time!BT$106</f>
        <v>0</v>
      </c>
      <c r="BU56" s="662">
        <f xml:space="preserve"> Time!BU$106</f>
        <v>0</v>
      </c>
      <c r="BV56" s="662">
        <f xml:space="preserve"> Time!BV$106</f>
        <v>0</v>
      </c>
      <c r="BW56" s="662">
        <f xml:space="preserve"> Time!BW$106</f>
        <v>0</v>
      </c>
      <c r="BX56" s="662">
        <f xml:space="preserve"> Time!BX$106</f>
        <v>0</v>
      </c>
      <c r="BY56" s="662">
        <f xml:space="preserve"> Time!BY$106</f>
        <v>0</v>
      </c>
      <c r="BZ56" s="662">
        <f xml:space="preserve"> Time!BZ$106</f>
        <v>0</v>
      </c>
      <c r="CA56" s="662">
        <f xml:space="preserve"> Time!CA$106</f>
        <v>0</v>
      </c>
      <c r="CB56" s="662">
        <f xml:space="preserve"> Time!CB$106</f>
        <v>0</v>
      </c>
      <c r="CC56" s="662">
        <f xml:space="preserve"> Time!CC$106</f>
        <v>0</v>
      </c>
      <c r="CD56" s="662">
        <f xml:space="preserve"> Time!CD$106</f>
        <v>0</v>
      </c>
      <c r="CE56" s="662">
        <f xml:space="preserve"> Time!CE$106</f>
        <v>0</v>
      </c>
      <c r="CF56" s="662">
        <f xml:space="preserve"> Time!CF$106</f>
        <v>0</v>
      </c>
      <c r="CG56" s="662">
        <f xml:space="preserve"> Time!CG$106</f>
        <v>0</v>
      </c>
      <c r="CH56" s="662">
        <f xml:space="preserve"> Time!CH$106</f>
        <v>0</v>
      </c>
      <c r="CI56" s="662">
        <f xml:space="preserve"> Time!CI$106</f>
        <v>0</v>
      </c>
      <c r="CJ56" s="662">
        <f xml:space="preserve"> Time!CJ$106</f>
        <v>0</v>
      </c>
      <c r="CK56" s="662">
        <f xml:space="preserve"> Time!CK$106</f>
        <v>0</v>
      </c>
      <c r="CL56" s="662">
        <f xml:space="preserve"> Time!CL$106</f>
        <v>0</v>
      </c>
      <c r="CM56" s="662">
        <f xml:space="preserve"> Time!CM$106</f>
        <v>0</v>
      </c>
      <c r="CN56" s="662">
        <f xml:space="preserve"> Time!CN$106</f>
        <v>0</v>
      </c>
      <c r="CO56" s="662">
        <f xml:space="preserve"> Time!CO$106</f>
        <v>0</v>
      </c>
      <c r="CP56" s="662">
        <f xml:space="preserve"> Time!CP$106</f>
        <v>0</v>
      </c>
      <c r="CQ56" s="662">
        <f xml:space="preserve"> Time!CQ$106</f>
        <v>0</v>
      </c>
      <c r="CR56" s="662">
        <f xml:space="preserve"> Time!CR$106</f>
        <v>0</v>
      </c>
      <c r="CS56" s="662">
        <f xml:space="preserve"> Time!CS$106</f>
        <v>0</v>
      </c>
      <c r="CT56" s="662">
        <f xml:space="preserve"> Time!CT$106</f>
        <v>0</v>
      </c>
      <c r="CU56" s="662">
        <f xml:space="preserve"> Time!CU$106</f>
        <v>0</v>
      </c>
      <c r="CV56" s="662">
        <f xml:space="preserve"> Time!CV$106</f>
        <v>0</v>
      </c>
    </row>
    <row r="57" spans="1:100" outlineLevel="2" x14ac:dyDescent="0.2">
      <c r="A57" s="700"/>
      <c r="B57" s="700"/>
      <c r="C57" s="701"/>
      <c r="D57" s="702"/>
      <c r="E57" s="703" t="s">
        <v>1336</v>
      </c>
      <c r="F57" s="703"/>
      <c r="G57" s="703" t="s">
        <v>622</v>
      </c>
      <c r="H57" s="703"/>
      <c r="I57" s="703"/>
      <c r="J57" s="416">
        <f t="shared" ref="J57:BU57" si="28" xml:space="preserve"> $F52 * (J54 / $F53) * J55 * J56</f>
        <v>0</v>
      </c>
      <c r="K57" s="416">
        <f t="shared" si="28"/>
        <v>0</v>
      </c>
      <c r="L57" s="416">
        <f t="shared" si="28"/>
        <v>0</v>
      </c>
      <c r="M57" s="416">
        <f t="shared" si="28"/>
        <v>0</v>
      </c>
      <c r="N57" s="416">
        <f t="shared" si="28"/>
        <v>0</v>
      </c>
      <c r="O57" s="416">
        <f xml:space="preserve"> $F52 * (O54 / $F53) * O55 * O56</f>
        <v>0.37417380425674812</v>
      </c>
      <c r="P57" s="416">
        <f t="shared" si="28"/>
        <v>0.37417380425674812</v>
      </c>
      <c r="Q57" s="416">
        <f t="shared" si="28"/>
        <v>0.38165728034188307</v>
      </c>
      <c r="R57" s="416">
        <f t="shared" si="28"/>
        <v>0.38165728034188307</v>
      </c>
      <c r="S57" s="416">
        <f t="shared" si="28"/>
        <v>0.38929042594872076</v>
      </c>
      <c r="T57" s="416">
        <f t="shared" si="28"/>
        <v>0.38929042594872076</v>
      </c>
      <c r="U57" s="416">
        <f t="shared" si="28"/>
        <v>0.39707623446769508</v>
      </c>
      <c r="V57" s="416">
        <f t="shared" si="28"/>
        <v>0.39707623446769508</v>
      </c>
      <c r="W57" s="416">
        <f t="shared" si="28"/>
        <v>0.40501775915704902</v>
      </c>
      <c r="X57" s="416">
        <f t="shared" si="28"/>
        <v>0.40501775915704902</v>
      </c>
      <c r="Y57" s="416">
        <f t="shared" si="28"/>
        <v>0.41311811434019002</v>
      </c>
      <c r="Z57" s="416">
        <f t="shared" si="28"/>
        <v>0.41311811434019002</v>
      </c>
      <c r="AA57" s="416">
        <f t="shared" si="28"/>
        <v>0.42138047662699379</v>
      </c>
      <c r="AB57" s="416">
        <f t="shared" si="28"/>
        <v>0.42138047662699379</v>
      </c>
      <c r="AC57" s="416">
        <f t="shared" si="28"/>
        <v>0.42980808615953359</v>
      </c>
      <c r="AD57" s="416">
        <f t="shared" si="28"/>
        <v>0.42980808615953359</v>
      </c>
      <c r="AE57" s="416">
        <f t="shared" si="28"/>
        <v>0.43840424788272436</v>
      </c>
      <c r="AF57" s="416">
        <f t="shared" si="28"/>
        <v>0.43840424788272436</v>
      </c>
      <c r="AG57" s="416">
        <f t="shared" si="28"/>
        <v>0.44717233284037883</v>
      </c>
      <c r="AH57" s="416">
        <f t="shared" si="28"/>
        <v>0.44717233284037883</v>
      </c>
      <c r="AI57" s="416">
        <f t="shared" si="28"/>
        <v>0.45611577949718646</v>
      </c>
      <c r="AJ57" s="416">
        <f t="shared" si="28"/>
        <v>0.45611577949718646</v>
      </c>
      <c r="AK57" s="416">
        <f t="shared" si="28"/>
        <v>0.46523809508713004</v>
      </c>
      <c r="AL57" s="416">
        <f t="shared" si="28"/>
        <v>0.46523809508713004</v>
      </c>
      <c r="AM57" s="416">
        <f t="shared" si="28"/>
        <v>0.47454285698887272</v>
      </c>
      <c r="AN57" s="416">
        <f t="shared" si="28"/>
        <v>0.47454285698887272</v>
      </c>
      <c r="AO57" s="416">
        <f t="shared" si="28"/>
        <v>0.48403371412865021</v>
      </c>
      <c r="AP57" s="416">
        <f t="shared" si="28"/>
        <v>0.48403371412865021</v>
      </c>
      <c r="AQ57" s="416">
        <f t="shared" si="28"/>
        <v>0.49371438841122317</v>
      </c>
      <c r="AR57" s="416">
        <f t="shared" si="28"/>
        <v>0.49371438841122317</v>
      </c>
      <c r="AS57" s="416">
        <f t="shared" si="28"/>
        <v>0.50358867617944758</v>
      </c>
      <c r="AT57" s="416">
        <f t="shared" si="28"/>
        <v>0.50358867617944758</v>
      </c>
      <c r="AU57" s="416">
        <f t="shared" si="28"/>
        <v>0.51366044970303659</v>
      </c>
      <c r="AV57" s="416">
        <f t="shared" si="28"/>
        <v>0.51366044970303659</v>
      </c>
      <c r="AW57" s="416">
        <f t="shared" si="28"/>
        <v>0.52393365869709729</v>
      </c>
      <c r="AX57" s="416">
        <f t="shared" si="28"/>
        <v>0.52393365869709729</v>
      </c>
      <c r="AY57" s="416">
        <f t="shared" si="28"/>
        <v>0.53441233187103931</v>
      </c>
      <c r="AZ57" s="416">
        <f t="shared" si="28"/>
        <v>0.53441233187103931</v>
      </c>
      <c r="BA57" s="416">
        <f t="shared" si="28"/>
        <v>0.54510057850845994</v>
      </c>
      <c r="BB57" s="416">
        <f t="shared" si="28"/>
        <v>0.54510057850845994</v>
      </c>
      <c r="BC57" s="416">
        <f t="shared" si="28"/>
        <v>0</v>
      </c>
      <c r="BD57" s="416">
        <f t="shared" si="28"/>
        <v>0</v>
      </c>
      <c r="BE57" s="416">
        <f t="shared" si="28"/>
        <v>0</v>
      </c>
      <c r="BF57" s="416">
        <f t="shared" si="28"/>
        <v>0</v>
      </c>
      <c r="BG57" s="416">
        <f t="shared" si="28"/>
        <v>0</v>
      </c>
      <c r="BH57" s="416">
        <f t="shared" si="28"/>
        <v>0</v>
      </c>
      <c r="BI57" s="416">
        <f t="shared" si="28"/>
        <v>0</v>
      </c>
      <c r="BJ57" s="416">
        <f t="shared" si="28"/>
        <v>0</v>
      </c>
      <c r="BK57" s="416">
        <f t="shared" si="28"/>
        <v>0</v>
      </c>
      <c r="BL57" s="416">
        <f t="shared" si="28"/>
        <v>0</v>
      </c>
      <c r="BM57" s="416">
        <f t="shared" si="28"/>
        <v>0</v>
      </c>
      <c r="BN57" s="416">
        <f t="shared" si="28"/>
        <v>0</v>
      </c>
      <c r="BO57" s="416">
        <f t="shared" si="28"/>
        <v>0</v>
      </c>
      <c r="BP57" s="416">
        <f t="shared" si="28"/>
        <v>0</v>
      </c>
      <c r="BQ57" s="416">
        <f t="shared" si="28"/>
        <v>0</v>
      </c>
      <c r="BR57" s="416">
        <f t="shared" si="28"/>
        <v>0</v>
      </c>
      <c r="BS57" s="416">
        <f t="shared" si="28"/>
        <v>0</v>
      </c>
      <c r="BT57" s="416">
        <f t="shared" si="28"/>
        <v>0</v>
      </c>
      <c r="BU57" s="416">
        <f t="shared" si="28"/>
        <v>0</v>
      </c>
      <c r="BV57" s="416">
        <f t="shared" ref="BV57:CV57" si="29" xml:space="preserve"> $F52 * (BV54 / $F53) * BV55 * BV56</f>
        <v>0</v>
      </c>
      <c r="BW57" s="416">
        <f t="shared" si="29"/>
        <v>0</v>
      </c>
      <c r="BX57" s="416">
        <f t="shared" si="29"/>
        <v>0</v>
      </c>
      <c r="BY57" s="416">
        <f t="shared" si="29"/>
        <v>0</v>
      </c>
      <c r="BZ57" s="416">
        <f t="shared" si="29"/>
        <v>0</v>
      </c>
      <c r="CA57" s="416">
        <f t="shared" si="29"/>
        <v>0</v>
      </c>
      <c r="CB57" s="416">
        <f t="shared" si="29"/>
        <v>0</v>
      </c>
      <c r="CC57" s="416">
        <f t="shared" si="29"/>
        <v>0</v>
      </c>
      <c r="CD57" s="416">
        <f t="shared" si="29"/>
        <v>0</v>
      </c>
      <c r="CE57" s="416">
        <f t="shared" si="29"/>
        <v>0</v>
      </c>
      <c r="CF57" s="416">
        <f t="shared" si="29"/>
        <v>0</v>
      </c>
      <c r="CG57" s="416">
        <f t="shared" si="29"/>
        <v>0</v>
      </c>
      <c r="CH57" s="416">
        <f t="shared" si="29"/>
        <v>0</v>
      </c>
      <c r="CI57" s="416">
        <f t="shared" si="29"/>
        <v>0</v>
      </c>
      <c r="CJ57" s="416">
        <f t="shared" si="29"/>
        <v>0</v>
      </c>
      <c r="CK57" s="416">
        <f t="shared" si="29"/>
        <v>0</v>
      </c>
      <c r="CL57" s="416">
        <f t="shared" si="29"/>
        <v>0</v>
      </c>
      <c r="CM57" s="416">
        <f t="shared" si="29"/>
        <v>0</v>
      </c>
      <c r="CN57" s="416">
        <f t="shared" si="29"/>
        <v>0</v>
      </c>
      <c r="CO57" s="416">
        <f t="shared" si="29"/>
        <v>0</v>
      </c>
      <c r="CP57" s="416">
        <f t="shared" si="29"/>
        <v>0</v>
      </c>
      <c r="CQ57" s="416">
        <f t="shared" si="29"/>
        <v>0</v>
      </c>
      <c r="CR57" s="416">
        <f t="shared" si="29"/>
        <v>0</v>
      </c>
      <c r="CS57" s="416">
        <f t="shared" si="29"/>
        <v>0</v>
      </c>
      <c r="CT57" s="416">
        <f t="shared" si="29"/>
        <v>0</v>
      </c>
      <c r="CU57" s="416">
        <f t="shared" si="29"/>
        <v>0</v>
      </c>
      <c r="CV57" s="416">
        <f t="shared" si="29"/>
        <v>0</v>
      </c>
    </row>
    <row r="58" spans="1:100" outlineLevel="2" x14ac:dyDescent="0.2">
      <c r="A58" s="700"/>
      <c r="B58" s="700"/>
      <c r="C58" s="701"/>
      <c r="D58" s="702"/>
      <c r="E58" s="703"/>
      <c r="F58" s="703"/>
      <c r="G58" s="703"/>
      <c r="H58" s="703"/>
      <c r="I58" s="703"/>
      <c r="J58" s="703"/>
      <c r="K58" s="703"/>
      <c r="L58" s="703"/>
      <c r="M58" s="703"/>
      <c r="N58" s="703"/>
      <c r="O58" s="703"/>
      <c r="P58" s="703"/>
      <c r="Q58" s="703"/>
      <c r="R58" s="703"/>
      <c r="S58" s="703"/>
      <c r="T58" s="703"/>
      <c r="U58" s="703"/>
      <c r="V58" s="703"/>
      <c r="W58" s="703"/>
      <c r="X58" s="703"/>
      <c r="Y58" s="703"/>
      <c r="Z58" s="703"/>
      <c r="AA58" s="703"/>
      <c r="AB58" s="703"/>
      <c r="AC58" s="703"/>
      <c r="AD58" s="703"/>
      <c r="AE58" s="703"/>
      <c r="AF58" s="703"/>
      <c r="AG58" s="703"/>
      <c r="AH58" s="703"/>
      <c r="AI58" s="703"/>
      <c r="AJ58" s="703"/>
      <c r="AK58" s="703"/>
      <c r="AL58" s="703"/>
      <c r="AM58" s="703"/>
      <c r="AN58" s="703"/>
      <c r="AO58" s="703"/>
      <c r="AP58" s="703"/>
      <c r="AQ58" s="703"/>
      <c r="AR58" s="703"/>
      <c r="AS58" s="703"/>
      <c r="AT58" s="703"/>
      <c r="AU58" s="703"/>
      <c r="AV58" s="703"/>
      <c r="AW58" s="703"/>
      <c r="AX58" s="703"/>
      <c r="AY58" s="703"/>
      <c r="AZ58" s="703"/>
      <c r="BA58" s="703"/>
      <c r="BB58" s="703"/>
      <c r="BC58" s="703"/>
      <c r="BD58" s="703"/>
      <c r="BE58" s="703"/>
      <c r="BF58" s="703"/>
      <c r="BG58" s="703"/>
      <c r="BH58" s="703"/>
      <c r="BI58" s="703"/>
      <c r="BJ58" s="703"/>
      <c r="BK58" s="703"/>
      <c r="BL58" s="703"/>
      <c r="BM58" s="703"/>
      <c r="BN58" s="703"/>
      <c r="BO58" s="703"/>
      <c r="BP58" s="703"/>
      <c r="BQ58" s="703"/>
      <c r="BR58" s="703"/>
      <c r="BS58" s="703"/>
      <c r="BT58" s="703"/>
      <c r="BU58" s="703"/>
      <c r="BV58" s="703"/>
      <c r="BW58" s="703"/>
      <c r="BX58" s="703"/>
      <c r="BY58" s="703"/>
      <c r="BZ58" s="703"/>
      <c r="CA58" s="703"/>
      <c r="CB58" s="703"/>
      <c r="CC58" s="703"/>
      <c r="CD58" s="703"/>
      <c r="CE58" s="703"/>
      <c r="CF58" s="703"/>
      <c r="CG58" s="703"/>
      <c r="CH58" s="703"/>
      <c r="CI58" s="703"/>
      <c r="CJ58" s="703"/>
      <c r="CK58" s="703"/>
      <c r="CL58" s="703"/>
      <c r="CM58" s="703"/>
      <c r="CN58" s="703"/>
      <c r="CO58" s="703"/>
      <c r="CP58" s="703"/>
      <c r="CQ58" s="703"/>
      <c r="CR58" s="703"/>
      <c r="CS58" s="703"/>
      <c r="CT58" s="703"/>
      <c r="CU58" s="703"/>
      <c r="CV58" s="703"/>
    </row>
    <row r="59" spans="1:100" s="280" customFormat="1" outlineLevel="2" x14ac:dyDescent="0.2">
      <c r="A59" s="412"/>
      <c r="B59" s="412"/>
      <c r="C59" s="860"/>
      <c r="D59" s="413"/>
      <c r="E59" s="455" t="str">
        <f t="shared" ref="E59:AJ59" si="30" xml:space="preserve"> E$50</f>
        <v>Power tariff - fixed component (TF)</v>
      </c>
      <c r="F59" s="455">
        <f t="shared" si="30"/>
        <v>0</v>
      </c>
      <c r="G59" s="455" t="str">
        <f t="shared" si="30"/>
        <v>WID Cents / kWh</v>
      </c>
      <c r="H59" s="455">
        <f t="shared" si="30"/>
        <v>0</v>
      </c>
      <c r="I59" s="455">
        <f t="shared" si="30"/>
        <v>0</v>
      </c>
      <c r="J59" s="455">
        <f t="shared" si="30"/>
        <v>0</v>
      </c>
      <c r="K59" s="455">
        <f t="shared" si="30"/>
        <v>0</v>
      </c>
      <c r="L59" s="455">
        <f t="shared" si="30"/>
        <v>0</v>
      </c>
      <c r="M59" s="455">
        <f t="shared" si="30"/>
        <v>0</v>
      </c>
      <c r="N59" s="455">
        <f t="shared" si="30"/>
        <v>0</v>
      </c>
      <c r="O59" s="455">
        <f t="shared" si="30"/>
        <v>19.138091798529064</v>
      </c>
      <c r="P59" s="455">
        <f t="shared" si="30"/>
        <v>19.138091798529064</v>
      </c>
      <c r="Q59" s="455">
        <f t="shared" si="30"/>
        <v>19.138091798529064</v>
      </c>
      <c r="R59" s="455">
        <f t="shared" si="30"/>
        <v>19.138091798529064</v>
      </c>
      <c r="S59" s="455">
        <f t="shared" si="30"/>
        <v>19.138091798529064</v>
      </c>
      <c r="T59" s="455">
        <f t="shared" si="30"/>
        <v>19.138091798529064</v>
      </c>
      <c r="U59" s="455">
        <f t="shared" si="30"/>
        <v>19.138091798529064</v>
      </c>
      <c r="V59" s="455">
        <f t="shared" si="30"/>
        <v>19.138091798529064</v>
      </c>
      <c r="W59" s="455">
        <f t="shared" si="30"/>
        <v>19.138091798529064</v>
      </c>
      <c r="X59" s="455">
        <f t="shared" si="30"/>
        <v>19.138091798529064</v>
      </c>
      <c r="Y59" s="455">
        <f t="shared" si="30"/>
        <v>19.138091798529064</v>
      </c>
      <c r="Z59" s="455">
        <f t="shared" si="30"/>
        <v>19.138091798529064</v>
      </c>
      <c r="AA59" s="455">
        <f t="shared" si="30"/>
        <v>19.138091798529064</v>
      </c>
      <c r="AB59" s="455">
        <f t="shared" si="30"/>
        <v>19.138091798529064</v>
      </c>
      <c r="AC59" s="455">
        <f t="shared" si="30"/>
        <v>19.138091798529064</v>
      </c>
      <c r="AD59" s="455">
        <f t="shared" si="30"/>
        <v>19.138091798529064</v>
      </c>
      <c r="AE59" s="455">
        <f t="shared" si="30"/>
        <v>19.138091798529064</v>
      </c>
      <c r="AF59" s="455">
        <f t="shared" si="30"/>
        <v>19.138091798529064</v>
      </c>
      <c r="AG59" s="455">
        <f t="shared" si="30"/>
        <v>19.138091798529064</v>
      </c>
      <c r="AH59" s="455">
        <f t="shared" si="30"/>
        <v>19.138091798529064</v>
      </c>
      <c r="AI59" s="455">
        <f t="shared" si="30"/>
        <v>19.138091798529064</v>
      </c>
      <c r="AJ59" s="455">
        <f t="shared" si="30"/>
        <v>19.138091798529064</v>
      </c>
      <c r="AK59" s="455">
        <f t="shared" ref="AK59:BP59" si="31" xml:space="preserve"> AK$50</f>
        <v>19.138091798529064</v>
      </c>
      <c r="AL59" s="455">
        <f t="shared" si="31"/>
        <v>19.138091798529064</v>
      </c>
      <c r="AM59" s="455">
        <f t="shared" si="31"/>
        <v>19.138091798529064</v>
      </c>
      <c r="AN59" s="455">
        <f t="shared" si="31"/>
        <v>19.138091798529064</v>
      </c>
      <c r="AO59" s="455">
        <f t="shared" si="31"/>
        <v>19.138091798529064</v>
      </c>
      <c r="AP59" s="455">
        <f t="shared" si="31"/>
        <v>19.138091798529064</v>
      </c>
      <c r="AQ59" s="455">
        <f t="shared" si="31"/>
        <v>19.138091798529064</v>
      </c>
      <c r="AR59" s="455">
        <f t="shared" si="31"/>
        <v>19.138091798529064</v>
      </c>
      <c r="AS59" s="455">
        <f t="shared" si="31"/>
        <v>19.138091798529064</v>
      </c>
      <c r="AT59" s="455">
        <f t="shared" si="31"/>
        <v>19.138091798529064</v>
      </c>
      <c r="AU59" s="455">
        <f t="shared" si="31"/>
        <v>19.138091798529064</v>
      </c>
      <c r="AV59" s="455">
        <f t="shared" si="31"/>
        <v>19.138091798529064</v>
      </c>
      <c r="AW59" s="455">
        <f t="shared" si="31"/>
        <v>19.138091798529064</v>
      </c>
      <c r="AX59" s="455">
        <f t="shared" si="31"/>
        <v>19.138091798529064</v>
      </c>
      <c r="AY59" s="455">
        <f t="shared" si="31"/>
        <v>19.138091798529064</v>
      </c>
      <c r="AZ59" s="455">
        <f t="shared" si="31"/>
        <v>19.138091798529064</v>
      </c>
      <c r="BA59" s="455">
        <f t="shared" si="31"/>
        <v>19.138091798529064</v>
      </c>
      <c r="BB59" s="455">
        <f t="shared" si="31"/>
        <v>19.138091798529064</v>
      </c>
      <c r="BC59" s="455">
        <f t="shared" si="31"/>
        <v>0</v>
      </c>
      <c r="BD59" s="455">
        <f t="shared" si="31"/>
        <v>0</v>
      </c>
      <c r="BE59" s="455">
        <f t="shared" si="31"/>
        <v>0</v>
      </c>
      <c r="BF59" s="455">
        <f t="shared" si="31"/>
        <v>0</v>
      </c>
      <c r="BG59" s="455">
        <f t="shared" si="31"/>
        <v>0</v>
      </c>
      <c r="BH59" s="455">
        <f t="shared" si="31"/>
        <v>0</v>
      </c>
      <c r="BI59" s="455">
        <f t="shared" si="31"/>
        <v>0</v>
      </c>
      <c r="BJ59" s="455">
        <f t="shared" si="31"/>
        <v>0</v>
      </c>
      <c r="BK59" s="455">
        <f t="shared" si="31"/>
        <v>0</v>
      </c>
      <c r="BL59" s="455">
        <f t="shared" si="31"/>
        <v>0</v>
      </c>
      <c r="BM59" s="455">
        <f t="shared" si="31"/>
        <v>0</v>
      </c>
      <c r="BN59" s="455">
        <f t="shared" si="31"/>
        <v>0</v>
      </c>
      <c r="BO59" s="455">
        <f t="shared" si="31"/>
        <v>0</v>
      </c>
      <c r="BP59" s="455">
        <f t="shared" si="31"/>
        <v>0</v>
      </c>
      <c r="BQ59" s="455">
        <f t="shared" ref="BQ59:CV59" si="32" xml:space="preserve"> BQ$50</f>
        <v>0</v>
      </c>
      <c r="BR59" s="455">
        <f t="shared" si="32"/>
        <v>0</v>
      </c>
      <c r="BS59" s="455">
        <f t="shared" si="32"/>
        <v>0</v>
      </c>
      <c r="BT59" s="455">
        <f t="shared" si="32"/>
        <v>0</v>
      </c>
      <c r="BU59" s="455">
        <f t="shared" si="32"/>
        <v>0</v>
      </c>
      <c r="BV59" s="455">
        <f t="shared" si="32"/>
        <v>0</v>
      </c>
      <c r="BW59" s="455">
        <f t="shared" si="32"/>
        <v>0</v>
      </c>
      <c r="BX59" s="455">
        <f t="shared" si="32"/>
        <v>0</v>
      </c>
      <c r="BY59" s="455">
        <f t="shared" si="32"/>
        <v>0</v>
      </c>
      <c r="BZ59" s="455">
        <f t="shared" si="32"/>
        <v>0</v>
      </c>
      <c r="CA59" s="455">
        <f t="shared" si="32"/>
        <v>0</v>
      </c>
      <c r="CB59" s="455">
        <f t="shared" si="32"/>
        <v>0</v>
      </c>
      <c r="CC59" s="455">
        <f t="shared" si="32"/>
        <v>0</v>
      </c>
      <c r="CD59" s="455">
        <f t="shared" si="32"/>
        <v>0</v>
      </c>
      <c r="CE59" s="455">
        <f t="shared" si="32"/>
        <v>0</v>
      </c>
      <c r="CF59" s="455">
        <f t="shared" si="32"/>
        <v>0</v>
      </c>
      <c r="CG59" s="455">
        <f t="shared" si="32"/>
        <v>0</v>
      </c>
      <c r="CH59" s="455">
        <f t="shared" si="32"/>
        <v>0</v>
      </c>
      <c r="CI59" s="455">
        <f t="shared" si="32"/>
        <v>0</v>
      </c>
      <c r="CJ59" s="455">
        <f t="shared" si="32"/>
        <v>0</v>
      </c>
      <c r="CK59" s="455">
        <f t="shared" si="32"/>
        <v>0</v>
      </c>
      <c r="CL59" s="455">
        <f t="shared" si="32"/>
        <v>0</v>
      </c>
      <c r="CM59" s="455">
        <f t="shared" si="32"/>
        <v>0</v>
      </c>
      <c r="CN59" s="455">
        <f t="shared" si="32"/>
        <v>0</v>
      </c>
      <c r="CO59" s="455">
        <f t="shared" si="32"/>
        <v>0</v>
      </c>
      <c r="CP59" s="455">
        <f t="shared" si="32"/>
        <v>0</v>
      </c>
      <c r="CQ59" s="455">
        <f t="shared" si="32"/>
        <v>0</v>
      </c>
      <c r="CR59" s="455">
        <f t="shared" si="32"/>
        <v>0</v>
      </c>
      <c r="CS59" s="455">
        <f t="shared" si="32"/>
        <v>0</v>
      </c>
      <c r="CT59" s="455">
        <f t="shared" si="32"/>
        <v>0</v>
      </c>
      <c r="CU59" s="455">
        <f t="shared" si="32"/>
        <v>0</v>
      </c>
      <c r="CV59" s="455">
        <f t="shared" si="32"/>
        <v>0</v>
      </c>
    </row>
    <row r="60" spans="1:100" s="280" customFormat="1" outlineLevel="2" x14ac:dyDescent="0.2">
      <c r="A60" s="412"/>
      <c r="B60" s="412"/>
      <c r="C60" s="860"/>
      <c r="D60" s="413"/>
      <c r="E60" s="455" t="str">
        <f xml:space="preserve"> E$57</f>
        <v>Power tariff - O&amp;M indexed component (TIn)</v>
      </c>
      <c r="F60" s="455">
        <f t="shared" ref="F60:AJ60" si="33" xml:space="preserve"> F$57</f>
        <v>0</v>
      </c>
      <c r="G60" s="455" t="str">
        <f t="shared" si="33"/>
        <v>WID Cents / kWh</v>
      </c>
      <c r="H60" s="455">
        <f t="shared" si="33"/>
        <v>0</v>
      </c>
      <c r="I60" s="455">
        <f t="shared" si="33"/>
        <v>0</v>
      </c>
      <c r="J60" s="455">
        <f t="shared" si="33"/>
        <v>0</v>
      </c>
      <c r="K60" s="455">
        <f t="shared" si="33"/>
        <v>0</v>
      </c>
      <c r="L60" s="455">
        <f t="shared" si="33"/>
        <v>0</v>
      </c>
      <c r="M60" s="455">
        <f t="shared" si="33"/>
        <v>0</v>
      </c>
      <c r="N60" s="455">
        <f t="shared" si="33"/>
        <v>0</v>
      </c>
      <c r="O60" s="455">
        <f xml:space="preserve"> O$57</f>
        <v>0.37417380425674812</v>
      </c>
      <c r="P60" s="455">
        <f t="shared" si="33"/>
        <v>0.37417380425674812</v>
      </c>
      <c r="Q60" s="455">
        <f t="shared" si="33"/>
        <v>0.38165728034188307</v>
      </c>
      <c r="R60" s="455">
        <f t="shared" si="33"/>
        <v>0.38165728034188307</v>
      </c>
      <c r="S60" s="455">
        <f t="shared" si="33"/>
        <v>0.38929042594872076</v>
      </c>
      <c r="T60" s="455">
        <f t="shared" si="33"/>
        <v>0.38929042594872076</v>
      </c>
      <c r="U60" s="455">
        <f t="shared" si="33"/>
        <v>0.39707623446769508</v>
      </c>
      <c r="V60" s="455">
        <f t="shared" si="33"/>
        <v>0.39707623446769508</v>
      </c>
      <c r="W60" s="455">
        <f t="shared" si="33"/>
        <v>0.40501775915704902</v>
      </c>
      <c r="X60" s="455">
        <f t="shared" si="33"/>
        <v>0.40501775915704902</v>
      </c>
      <c r="Y60" s="455">
        <f t="shared" si="33"/>
        <v>0.41311811434019002</v>
      </c>
      <c r="Z60" s="455">
        <f t="shared" si="33"/>
        <v>0.41311811434019002</v>
      </c>
      <c r="AA60" s="455">
        <f t="shared" si="33"/>
        <v>0.42138047662699379</v>
      </c>
      <c r="AB60" s="455">
        <f t="shared" si="33"/>
        <v>0.42138047662699379</v>
      </c>
      <c r="AC60" s="455">
        <f t="shared" si="33"/>
        <v>0.42980808615953359</v>
      </c>
      <c r="AD60" s="455">
        <f t="shared" si="33"/>
        <v>0.42980808615953359</v>
      </c>
      <c r="AE60" s="455">
        <f t="shared" si="33"/>
        <v>0.43840424788272436</v>
      </c>
      <c r="AF60" s="455">
        <f t="shared" si="33"/>
        <v>0.43840424788272436</v>
      </c>
      <c r="AG60" s="455">
        <f t="shared" si="33"/>
        <v>0.44717233284037883</v>
      </c>
      <c r="AH60" s="455">
        <f t="shared" si="33"/>
        <v>0.44717233284037883</v>
      </c>
      <c r="AI60" s="455">
        <f t="shared" si="33"/>
        <v>0.45611577949718646</v>
      </c>
      <c r="AJ60" s="455">
        <f t="shared" si="33"/>
        <v>0.45611577949718646</v>
      </c>
      <c r="AK60" s="455">
        <f t="shared" ref="AK60:BP60" si="34" xml:space="preserve"> AK$57</f>
        <v>0.46523809508713004</v>
      </c>
      <c r="AL60" s="455">
        <f t="shared" si="34"/>
        <v>0.46523809508713004</v>
      </c>
      <c r="AM60" s="455">
        <f t="shared" si="34"/>
        <v>0.47454285698887272</v>
      </c>
      <c r="AN60" s="455">
        <f t="shared" si="34"/>
        <v>0.47454285698887272</v>
      </c>
      <c r="AO60" s="455">
        <f t="shared" si="34"/>
        <v>0.48403371412865021</v>
      </c>
      <c r="AP60" s="455">
        <f t="shared" si="34"/>
        <v>0.48403371412865021</v>
      </c>
      <c r="AQ60" s="455">
        <f t="shared" si="34"/>
        <v>0.49371438841122317</v>
      </c>
      <c r="AR60" s="455">
        <f t="shared" si="34"/>
        <v>0.49371438841122317</v>
      </c>
      <c r="AS60" s="455">
        <f t="shared" si="34"/>
        <v>0.50358867617944758</v>
      </c>
      <c r="AT60" s="455">
        <f t="shared" si="34"/>
        <v>0.50358867617944758</v>
      </c>
      <c r="AU60" s="455">
        <f t="shared" si="34"/>
        <v>0.51366044970303659</v>
      </c>
      <c r="AV60" s="455">
        <f t="shared" si="34"/>
        <v>0.51366044970303659</v>
      </c>
      <c r="AW60" s="455">
        <f t="shared" si="34"/>
        <v>0.52393365869709729</v>
      </c>
      <c r="AX60" s="455">
        <f t="shared" si="34"/>
        <v>0.52393365869709729</v>
      </c>
      <c r="AY60" s="455">
        <f t="shared" si="34"/>
        <v>0.53441233187103931</v>
      </c>
      <c r="AZ60" s="455">
        <f t="shared" si="34"/>
        <v>0.53441233187103931</v>
      </c>
      <c r="BA60" s="455">
        <f t="shared" si="34"/>
        <v>0.54510057850845994</v>
      </c>
      <c r="BB60" s="455">
        <f t="shared" si="34"/>
        <v>0.54510057850845994</v>
      </c>
      <c r="BC60" s="455">
        <f t="shared" si="34"/>
        <v>0</v>
      </c>
      <c r="BD60" s="455">
        <f t="shared" si="34"/>
        <v>0</v>
      </c>
      <c r="BE60" s="455">
        <f t="shared" si="34"/>
        <v>0</v>
      </c>
      <c r="BF60" s="455">
        <f t="shared" si="34"/>
        <v>0</v>
      </c>
      <c r="BG60" s="455">
        <f t="shared" si="34"/>
        <v>0</v>
      </c>
      <c r="BH60" s="455">
        <f t="shared" si="34"/>
        <v>0</v>
      </c>
      <c r="BI60" s="455">
        <f t="shared" si="34"/>
        <v>0</v>
      </c>
      <c r="BJ60" s="455">
        <f t="shared" si="34"/>
        <v>0</v>
      </c>
      <c r="BK60" s="455">
        <f t="shared" si="34"/>
        <v>0</v>
      </c>
      <c r="BL60" s="455">
        <f t="shared" si="34"/>
        <v>0</v>
      </c>
      <c r="BM60" s="455">
        <f t="shared" si="34"/>
        <v>0</v>
      </c>
      <c r="BN60" s="455">
        <f t="shared" si="34"/>
        <v>0</v>
      </c>
      <c r="BO60" s="455">
        <f t="shared" si="34"/>
        <v>0</v>
      </c>
      <c r="BP60" s="455">
        <f t="shared" si="34"/>
        <v>0</v>
      </c>
      <c r="BQ60" s="455">
        <f t="shared" ref="BQ60:CV60" si="35" xml:space="preserve"> BQ$57</f>
        <v>0</v>
      </c>
      <c r="BR60" s="455">
        <f t="shared" si="35"/>
        <v>0</v>
      </c>
      <c r="BS60" s="455">
        <f t="shared" si="35"/>
        <v>0</v>
      </c>
      <c r="BT60" s="455">
        <f t="shared" si="35"/>
        <v>0</v>
      </c>
      <c r="BU60" s="455">
        <f t="shared" si="35"/>
        <v>0</v>
      </c>
      <c r="BV60" s="455">
        <f t="shared" si="35"/>
        <v>0</v>
      </c>
      <c r="BW60" s="455">
        <f t="shared" si="35"/>
        <v>0</v>
      </c>
      <c r="BX60" s="455">
        <f t="shared" si="35"/>
        <v>0</v>
      </c>
      <c r="BY60" s="455">
        <f t="shared" si="35"/>
        <v>0</v>
      </c>
      <c r="BZ60" s="455">
        <f t="shared" si="35"/>
        <v>0</v>
      </c>
      <c r="CA60" s="455">
        <f t="shared" si="35"/>
        <v>0</v>
      </c>
      <c r="CB60" s="455">
        <f t="shared" si="35"/>
        <v>0</v>
      </c>
      <c r="CC60" s="455">
        <f t="shared" si="35"/>
        <v>0</v>
      </c>
      <c r="CD60" s="455">
        <f t="shared" si="35"/>
        <v>0</v>
      </c>
      <c r="CE60" s="455">
        <f t="shared" si="35"/>
        <v>0</v>
      </c>
      <c r="CF60" s="455">
        <f t="shared" si="35"/>
        <v>0</v>
      </c>
      <c r="CG60" s="455">
        <f t="shared" si="35"/>
        <v>0</v>
      </c>
      <c r="CH60" s="455">
        <f t="shared" si="35"/>
        <v>0</v>
      </c>
      <c r="CI60" s="455">
        <f t="shared" si="35"/>
        <v>0</v>
      </c>
      <c r="CJ60" s="455">
        <f t="shared" si="35"/>
        <v>0</v>
      </c>
      <c r="CK60" s="455">
        <f t="shared" si="35"/>
        <v>0</v>
      </c>
      <c r="CL60" s="455">
        <f t="shared" si="35"/>
        <v>0</v>
      </c>
      <c r="CM60" s="455">
        <f t="shared" si="35"/>
        <v>0</v>
      </c>
      <c r="CN60" s="455">
        <f t="shared" si="35"/>
        <v>0</v>
      </c>
      <c r="CO60" s="455">
        <f t="shared" si="35"/>
        <v>0</v>
      </c>
      <c r="CP60" s="455">
        <f t="shared" si="35"/>
        <v>0</v>
      </c>
      <c r="CQ60" s="455">
        <f t="shared" si="35"/>
        <v>0</v>
      </c>
      <c r="CR60" s="455">
        <f t="shared" si="35"/>
        <v>0</v>
      </c>
      <c r="CS60" s="455">
        <f t="shared" si="35"/>
        <v>0</v>
      </c>
      <c r="CT60" s="455">
        <f t="shared" si="35"/>
        <v>0</v>
      </c>
      <c r="CU60" s="455">
        <f t="shared" si="35"/>
        <v>0</v>
      </c>
      <c r="CV60" s="455">
        <f t="shared" si="35"/>
        <v>0</v>
      </c>
    </row>
    <row r="61" spans="1:100" s="280" customFormat="1" outlineLevel="2" x14ac:dyDescent="0.2">
      <c r="A61" s="412"/>
      <c r="B61" s="412"/>
      <c r="C61" s="860"/>
      <c r="D61" s="413"/>
      <c r="E61" s="862" t="s">
        <v>624</v>
      </c>
      <c r="F61" s="862"/>
      <c r="G61" s="862" t="s">
        <v>622</v>
      </c>
      <c r="H61" s="862"/>
      <c r="I61" s="862"/>
      <c r="J61" s="862">
        <f t="shared" ref="J61:AO61" si="36">SUM(J59:J60)</f>
        <v>0</v>
      </c>
      <c r="K61" s="862">
        <f t="shared" si="36"/>
        <v>0</v>
      </c>
      <c r="L61" s="862">
        <f t="shared" si="36"/>
        <v>0</v>
      </c>
      <c r="M61" s="862">
        <f t="shared" si="36"/>
        <v>0</v>
      </c>
      <c r="N61" s="862">
        <f t="shared" si="36"/>
        <v>0</v>
      </c>
      <c r="O61" s="862">
        <f t="shared" si="36"/>
        <v>19.512265602785813</v>
      </c>
      <c r="P61" s="862">
        <f t="shared" si="36"/>
        <v>19.512265602785813</v>
      </c>
      <c r="Q61" s="862">
        <f t="shared" si="36"/>
        <v>19.519749078870948</v>
      </c>
      <c r="R61" s="862">
        <f t="shared" si="36"/>
        <v>19.519749078870948</v>
      </c>
      <c r="S61" s="862">
        <f t="shared" si="36"/>
        <v>19.527382224477787</v>
      </c>
      <c r="T61" s="862">
        <f t="shared" si="36"/>
        <v>19.527382224477787</v>
      </c>
      <c r="U61" s="862">
        <f t="shared" si="36"/>
        <v>19.535168032996758</v>
      </c>
      <c r="V61" s="862">
        <f t="shared" si="36"/>
        <v>19.535168032996758</v>
      </c>
      <c r="W61" s="862">
        <f t="shared" si="36"/>
        <v>19.543109557686112</v>
      </c>
      <c r="X61" s="862">
        <f t="shared" si="36"/>
        <v>19.543109557686112</v>
      </c>
      <c r="Y61" s="862">
        <f t="shared" si="36"/>
        <v>19.551209912869254</v>
      </c>
      <c r="Z61" s="862">
        <f t="shared" si="36"/>
        <v>19.551209912869254</v>
      </c>
      <c r="AA61" s="862">
        <f t="shared" si="36"/>
        <v>19.559472275156057</v>
      </c>
      <c r="AB61" s="862">
        <f t="shared" si="36"/>
        <v>19.559472275156057</v>
      </c>
      <c r="AC61" s="862">
        <f t="shared" si="36"/>
        <v>19.567899884688597</v>
      </c>
      <c r="AD61" s="862">
        <f t="shared" si="36"/>
        <v>19.567899884688597</v>
      </c>
      <c r="AE61" s="862">
        <f t="shared" si="36"/>
        <v>19.576496046411791</v>
      </c>
      <c r="AF61" s="862">
        <f t="shared" si="36"/>
        <v>19.576496046411791</v>
      </c>
      <c r="AG61" s="862">
        <f t="shared" si="36"/>
        <v>19.585264131369442</v>
      </c>
      <c r="AH61" s="862">
        <f t="shared" si="36"/>
        <v>19.585264131369442</v>
      </c>
      <c r="AI61" s="862">
        <f t="shared" si="36"/>
        <v>19.59420757802625</v>
      </c>
      <c r="AJ61" s="862">
        <f t="shared" si="36"/>
        <v>19.59420757802625</v>
      </c>
      <c r="AK61" s="862">
        <f t="shared" si="36"/>
        <v>19.603329893616195</v>
      </c>
      <c r="AL61" s="862">
        <f t="shared" si="36"/>
        <v>19.603329893616195</v>
      </c>
      <c r="AM61" s="862">
        <f t="shared" si="36"/>
        <v>19.612634655517937</v>
      </c>
      <c r="AN61" s="862">
        <f t="shared" si="36"/>
        <v>19.612634655517937</v>
      </c>
      <c r="AO61" s="862">
        <f t="shared" si="36"/>
        <v>19.622125512657714</v>
      </c>
      <c r="AP61" s="862">
        <f t="shared" ref="AP61:CV61" si="37">SUM(AP59:AP60)</f>
        <v>19.622125512657714</v>
      </c>
      <c r="AQ61" s="862">
        <f t="shared" si="37"/>
        <v>19.631806186940288</v>
      </c>
      <c r="AR61" s="862">
        <f t="shared" si="37"/>
        <v>19.631806186940288</v>
      </c>
      <c r="AS61" s="862">
        <f t="shared" si="37"/>
        <v>19.641680474708512</v>
      </c>
      <c r="AT61" s="862">
        <f t="shared" si="37"/>
        <v>19.641680474708512</v>
      </c>
      <c r="AU61" s="862">
        <f t="shared" si="37"/>
        <v>19.6517522482321</v>
      </c>
      <c r="AV61" s="862">
        <f t="shared" si="37"/>
        <v>19.6517522482321</v>
      </c>
      <c r="AW61" s="862">
        <f t="shared" si="37"/>
        <v>19.662025457226161</v>
      </c>
      <c r="AX61" s="862">
        <f t="shared" si="37"/>
        <v>19.662025457226161</v>
      </c>
      <c r="AY61" s="862">
        <f t="shared" si="37"/>
        <v>19.672504130400103</v>
      </c>
      <c r="AZ61" s="862">
        <f t="shared" si="37"/>
        <v>19.672504130400103</v>
      </c>
      <c r="BA61" s="862">
        <f t="shared" si="37"/>
        <v>19.683192377037525</v>
      </c>
      <c r="BB61" s="862">
        <f t="shared" si="37"/>
        <v>19.683192377037525</v>
      </c>
      <c r="BC61" s="862">
        <f t="shared" si="37"/>
        <v>0</v>
      </c>
      <c r="BD61" s="862">
        <f t="shared" si="37"/>
        <v>0</v>
      </c>
      <c r="BE61" s="862">
        <f t="shared" si="37"/>
        <v>0</v>
      </c>
      <c r="BF61" s="862">
        <f t="shared" si="37"/>
        <v>0</v>
      </c>
      <c r="BG61" s="862">
        <f t="shared" si="37"/>
        <v>0</v>
      </c>
      <c r="BH61" s="862">
        <f t="shared" si="37"/>
        <v>0</v>
      </c>
      <c r="BI61" s="862">
        <f t="shared" si="37"/>
        <v>0</v>
      </c>
      <c r="BJ61" s="862">
        <f t="shared" si="37"/>
        <v>0</v>
      </c>
      <c r="BK61" s="862">
        <f t="shared" si="37"/>
        <v>0</v>
      </c>
      <c r="BL61" s="862">
        <f t="shared" si="37"/>
        <v>0</v>
      </c>
      <c r="BM61" s="862">
        <f t="shared" si="37"/>
        <v>0</v>
      </c>
      <c r="BN61" s="862">
        <f t="shared" si="37"/>
        <v>0</v>
      </c>
      <c r="BO61" s="862">
        <f t="shared" si="37"/>
        <v>0</v>
      </c>
      <c r="BP61" s="862">
        <f t="shared" si="37"/>
        <v>0</v>
      </c>
      <c r="BQ61" s="862">
        <f t="shared" si="37"/>
        <v>0</v>
      </c>
      <c r="BR61" s="862">
        <f t="shared" si="37"/>
        <v>0</v>
      </c>
      <c r="BS61" s="862">
        <f t="shared" si="37"/>
        <v>0</v>
      </c>
      <c r="BT61" s="862">
        <f t="shared" si="37"/>
        <v>0</v>
      </c>
      <c r="BU61" s="862">
        <f t="shared" si="37"/>
        <v>0</v>
      </c>
      <c r="BV61" s="862">
        <f t="shared" si="37"/>
        <v>0</v>
      </c>
      <c r="BW61" s="862">
        <f t="shared" si="37"/>
        <v>0</v>
      </c>
      <c r="BX61" s="862">
        <f t="shared" si="37"/>
        <v>0</v>
      </c>
      <c r="BY61" s="862">
        <f t="shared" si="37"/>
        <v>0</v>
      </c>
      <c r="BZ61" s="862">
        <f t="shared" si="37"/>
        <v>0</v>
      </c>
      <c r="CA61" s="862">
        <f t="shared" si="37"/>
        <v>0</v>
      </c>
      <c r="CB61" s="862">
        <f t="shared" si="37"/>
        <v>0</v>
      </c>
      <c r="CC61" s="862">
        <f t="shared" si="37"/>
        <v>0</v>
      </c>
      <c r="CD61" s="862">
        <f t="shared" si="37"/>
        <v>0</v>
      </c>
      <c r="CE61" s="862">
        <f t="shared" si="37"/>
        <v>0</v>
      </c>
      <c r="CF61" s="862">
        <f t="shared" si="37"/>
        <v>0</v>
      </c>
      <c r="CG61" s="862">
        <f t="shared" si="37"/>
        <v>0</v>
      </c>
      <c r="CH61" s="862">
        <f t="shared" si="37"/>
        <v>0</v>
      </c>
      <c r="CI61" s="862">
        <f t="shared" si="37"/>
        <v>0</v>
      </c>
      <c r="CJ61" s="862">
        <f t="shared" si="37"/>
        <v>0</v>
      </c>
      <c r="CK61" s="862">
        <f t="shared" si="37"/>
        <v>0</v>
      </c>
      <c r="CL61" s="862">
        <f t="shared" si="37"/>
        <v>0</v>
      </c>
      <c r="CM61" s="862">
        <f t="shared" si="37"/>
        <v>0</v>
      </c>
      <c r="CN61" s="862">
        <f t="shared" si="37"/>
        <v>0</v>
      </c>
      <c r="CO61" s="862">
        <f t="shared" si="37"/>
        <v>0</v>
      </c>
      <c r="CP61" s="862">
        <f t="shared" si="37"/>
        <v>0</v>
      </c>
      <c r="CQ61" s="862">
        <f t="shared" si="37"/>
        <v>0</v>
      </c>
      <c r="CR61" s="862">
        <f t="shared" si="37"/>
        <v>0</v>
      </c>
      <c r="CS61" s="862">
        <f t="shared" si="37"/>
        <v>0</v>
      </c>
      <c r="CT61" s="862">
        <f t="shared" si="37"/>
        <v>0</v>
      </c>
      <c r="CU61" s="862">
        <f t="shared" si="37"/>
        <v>0</v>
      </c>
      <c r="CV61" s="862">
        <f t="shared" si="37"/>
        <v>0</v>
      </c>
    </row>
    <row r="62" spans="1:100" outlineLevel="1" x14ac:dyDescent="0.2">
      <c r="A62" s="700"/>
      <c r="B62" s="700"/>
      <c r="C62" s="701"/>
      <c r="D62" s="702"/>
      <c r="E62" s="703"/>
      <c r="F62" s="703"/>
      <c r="G62" s="703"/>
      <c r="H62" s="703"/>
      <c r="I62" s="703"/>
      <c r="J62" s="703"/>
      <c r="K62" s="703"/>
      <c r="L62" s="703"/>
      <c r="M62" s="703"/>
      <c r="N62" s="703"/>
      <c r="O62" s="703"/>
      <c r="P62" s="703"/>
      <c r="Q62" s="703"/>
      <c r="R62" s="703"/>
      <c r="S62" s="703"/>
      <c r="T62" s="901"/>
      <c r="U62" s="703"/>
      <c r="V62" s="703"/>
      <c r="W62" s="703"/>
      <c r="X62" s="703"/>
      <c r="Y62" s="703"/>
      <c r="Z62" s="703"/>
      <c r="AA62" s="703"/>
      <c r="AB62" s="703"/>
      <c r="AC62" s="703"/>
      <c r="AD62" s="703"/>
      <c r="AE62" s="703"/>
      <c r="AF62" s="703"/>
      <c r="AG62" s="703"/>
      <c r="AH62" s="703"/>
      <c r="AI62" s="703"/>
      <c r="AJ62" s="703"/>
      <c r="AK62" s="703"/>
      <c r="AL62" s="703"/>
      <c r="AM62" s="703"/>
      <c r="AN62" s="703"/>
      <c r="AO62" s="703"/>
      <c r="AP62" s="703"/>
      <c r="AQ62" s="703"/>
      <c r="AR62" s="703"/>
      <c r="AS62" s="703"/>
      <c r="AT62" s="703"/>
      <c r="AU62" s="703"/>
      <c r="AV62" s="703"/>
      <c r="AW62" s="703"/>
      <c r="AX62" s="703"/>
      <c r="AY62" s="703"/>
      <c r="AZ62" s="703"/>
      <c r="BA62" s="703"/>
      <c r="BB62" s="703"/>
      <c r="BC62" s="703"/>
      <c r="BD62" s="703"/>
      <c r="BE62" s="703"/>
      <c r="BF62" s="703"/>
      <c r="BG62" s="703"/>
      <c r="BH62" s="703"/>
      <c r="BI62" s="703"/>
      <c r="BJ62" s="703"/>
      <c r="BK62" s="703"/>
      <c r="BL62" s="703"/>
      <c r="BM62" s="703"/>
      <c r="BN62" s="703"/>
      <c r="BO62" s="703"/>
      <c r="BP62" s="703"/>
      <c r="BQ62" s="703"/>
      <c r="BR62" s="703"/>
      <c r="BS62" s="703"/>
      <c r="BT62" s="703"/>
      <c r="BU62" s="703"/>
      <c r="BV62" s="703"/>
      <c r="BW62" s="703"/>
      <c r="BX62" s="703"/>
      <c r="BY62" s="703"/>
      <c r="BZ62" s="703"/>
      <c r="CA62" s="703"/>
      <c r="CB62" s="703"/>
      <c r="CC62" s="703"/>
      <c r="CD62" s="703"/>
      <c r="CE62" s="703"/>
      <c r="CF62" s="703"/>
      <c r="CG62" s="703"/>
      <c r="CH62" s="703"/>
      <c r="CI62" s="703"/>
      <c r="CJ62" s="703"/>
      <c r="CK62" s="703"/>
      <c r="CL62" s="703"/>
      <c r="CM62" s="703"/>
      <c r="CN62" s="703"/>
      <c r="CO62" s="703"/>
      <c r="CP62" s="703"/>
      <c r="CQ62" s="703"/>
      <c r="CR62" s="703"/>
      <c r="CS62" s="703"/>
      <c r="CT62" s="703"/>
      <c r="CU62" s="703"/>
      <c r="CV62" s="703"/>
    </row>
    <row r="63" spans="1:100" outlineLevel="1" x14ac:dyDescent="0.2">
      <c r="A63" s="236"/>
      <c r="B63" s="236" t="s">
        <v>137</v>
      </c>
      <c r="C63" s="237"/>
      <c r="D63" s="238"/>
      <c r="E63" s="235"/>
      <c r="F63" s="235"/>
      <c r="G63" s="235"/>
      <c r="H63" s="235"/>
      <c r="I63" s="235"/>
      <c r="J63" s="235"/>
      <c r="K63" s="235"/>
      <c r="L63" s="235"/>
      <c r="M63" s="235"/>
      <c r="N63" s="235"/>
      <c r="O63" s="235"/>
      <c r="P63" s="235"/>
      <c r="Q63" s="235"/>
      <c r="R63" s="235"/>
      <c r="S63" s="235"/>
      <c r="T63" s="235"/>
      <c r="U63" s="235"/>
      <c r="V63" s="235"/>
      <c r="W63" s="235"/>
      <c r="X63" s="235"/>
      <c r="Y63" s="235"/>
      <c r="Z63" s="235"/>
      <c r="AA63" s="235"/>
      <c r="AB63" s="235"/>
      <c r="AC63" s="235"/>
      <c r="AD63" s="235"/>
      <c r="AE63" s="235"/>
      <c r="AF63" s="235"/>
      <c r="AG63" s="235"/>
      <c r="AH63" s="235"/>
      <c r="AI63" s="235"/>
      <c r="AJ63" s="235"/>
      <c r="AK63" s="235"/>
      <c r="AL63" s="235"/>
      <c r="AM63" s="235"/>
      <c r="AN63" s="235"/>
      <c r="AO63" s="235"/>
      <c r="AP63" s="235"/>
      <c r="AQ63" s="235"/>
      <c r="AR63" s="235"/>
      <c r="AS63" s="235"/>
      <c r="AT63" s="235"/>
      <c r="AU63" s="235"/>
      <c r="AV63" s="235"/>
      <c r="AW63" s="235"/>
      <c r="AX63" s="235"/>
      <c r="AY63" s="235"/>
      <c r="AZ63" s="235"/>
      <c r="BA63" s="235"/>
      <c r="BB63" s="235"/>
      <c r="BC63" s="235"/>
      <c r="BD63" s="235"/>
      <c r="BE63" s="235"/>
      <c r="BF63" s="235"/>
      <c r="BG63" s="235"/>
      <c r="BH63" s="235"/>
      <c r="BI63" s="235"/>
      <c r="BJ63" s="235"/>
      <c r="BK63" s="235"/>
      <c r="BL63" s="235"/>
      <c r="BM63" s="235"/>
      <c r="BN63" s="235"/>
      <c r="BO63" s="235"/>
      <c r="BP63" s="235"/>
      <c r="BQ63" s="235"/>
      <c r="BR63" s="235"/>
      <c r="BS63" s="235"/>
      <c r="BT63" s="235"/>
      <c r="BU63" s="235"/>
      <c r="BV63" s="235"/>
      <c r="BW63" s="235"/>
      <c r="BX63" s="235"/>
      <c r="BY63" s="235"/>
      <c r="BZ63" s="235"/>
      <c r="CA63" s="235"/>
      <c r="CB63" s="235"/>
      <c r="CC63" s="235"/>
      <c r="CD63" s="235"/>
      <c r="CE63" s="235"/>
      <c r="CF63" s="235"/>
      <c r="CG63" s="235"/>
      <c r="CH63" s="235"/>
      <c r="CI63" s="235"/>
      <c r="CJ63" s="235"/>
      <c r="CK63" s="235"/>
      <c r="CL63" s="235"/>
      <c r="CM63" s="235"/>
      <c r="CN63" s="235"/>
      <c r="CO63" s="235"/>
      <c r="CP63" s="235"/>
      <c r="CQ63" s="235"/>
      <c r="CR63" s="235"/>
      <c r="CS63" s="235"/>
      <c r="CT63" s="235"/>
      <c r="CU63" s="235"/>
      <c r="CV63" s="235"/>
    </row>
    <row r="64" spans="1:100" outlineLevel="2" x14ac:dyDescent="0.2">
      <c r="A64" s="236"/>
      <c r="B64" s="236"/>
      <c r="C64" s="237"/>
      <c r="D64" s="238"/>
      <c r="E64" s="68" t="str">
        <f xml:space="preserve"> InpC!E$417</f>
        <v>US$c / US$</v>
      </c>
      <c r="F64" s="68">
        <f xml:space="preserve"> InpC!F$417</f>
        <v>100</v>
      </c>
      <c r="G64" s="68" t="str">
        <f xml:space="preserve"> InpC!G$417</f>
        <v>US$c / US$</v>
      </c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35"/>
      <c r="U64" s="235"/>
      <c r="V64" s="235"/>
      <c r="W64" s="235"/>
      <c r="X64" s="235"/>
      <c r="Y64" s="235"/>
      <c r="Z64" s="235"/>
      <c r="AA64" s="235"/>
      <c r="AB64" s="235"/>
      <c r="AC64" s="235"/>
      <c r="AD64" s="235"/>
      <c r="AE64" s="235"/>
      <c r="AF64" s="235"/>
      <c r="AG64" s="235"/>
      <c r="AH64" s="235"/>
      <c r="AI64" s="235"/>
      <c r="AJ64" s="235"/>
      <c r="AK64" s="235"/>
      <c r="AL64" s="235"/>
      <c r="AM64" s="235"/>
      <c r="AN64" s="235"/>
      <c r="AO64" s="235"/>
      <c r="AP64" s="235"/>
      <c r="AQ64" s="235"/>
      <c r="AR64" s="235"/>
      <c r="AS64" s="235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  <c r="BG64" s="235"/>
      <c r="BH64" s="235"/>
      <c r="BI64" s="235"/>
      <c r="BJ64" s="235"/>
      <c r="BK64" s="235"/>
      <c r="BL64" s="235"/>
      <c r="BM64" s="235"/>
      <c r="BN64" s="235"/>
      <c r="BO64" s="235"/>
      <c r="BP64" s="235"/>
      <c r="BQ64" s="235"/>
      <c r="BR64" s="235"/>
      <c r="BS64" s="235"/>
      <c r="BT64" s="235"/>
      <c r="BU64" s="235"/>
      <c r="BV64" s="235"/>
      <c r="BW64" s="235"/>
      <c r="BX64" s="235"/>
      <c r="BY64" s="235"/>
      <c r="BZ64" s="235"/>
      <c r="CA64" s="235"/>
      <c r="CB64" s="235"/>
      <c r="CC64" s="235"/>
      <c r="CD64" s="235"/>
      <c r="CE64" s="235"/>
      <c r="CF64" s="235"/>
      <c r="CG64" s="235"/>
      <c r="CH64" s="235"/>
      <c r="CI64" s="235"/>
      <c r="CJ64" s="235"/>
      <c r="CK64" s="235"/>
      <c r="CL64" s="235"/>
      <c r="CM64" s="235"/>
      <c r="CN64" s="235"/>
      <c r="CO64" s="235"/>
      <c r="CP64" s="235"/>
      <c r="CQ64" s="235"/>
      <c r="CR64" s="235"/>
      <c r="CS64" s="235"/>
      <c r="CT64" s="235"/>
      <c r="CU64" s="235"/>
      <c r="CV64" s="235"/>
    </row>
    <row r="65" spans="1:100" outlineLevel="2" x14ac:dyDescent="0.2">
      <c r="A65" s="85"/>
      <c r="B65" s="85"/>
      <c r="C65" s="86"/>
      <c r="D65" s="87"/>
      <c r="E65" s="390" t="str">
        <f xml:space="preserve"> InpC!E$419</f>
        <v>Units in a thousand</v>
      </c>
      <c r="F65" s="390">
        <f xml:space="preserve"> InpC!F$419</f>
        <v>1000</v>
      </c>
      <c r="G65" s="390" t="str">
        <f xml:space="preserve"> InpC!G$419</f>
        <v>units</v>
      </c>
      <c r="H65" s="390"/>
      <c r="I65" s="390"/>
      <c r="J65" s="390"/>
      <c r="K65" s="390"/>
      <c r="L65" s="390"/>
      <c r="M65" s="390"/>
      <c r="N65" s="390"/>
      <c r="O65" s="390"/>
      <c r="P65" s="390"/>
      <c r="Q65" s="390"/>
      <c r="R65" s="390"/>
      <c r="S65" s="390"/>
      <c r="T65" s="390"/>
      <c r="U65" s="390"/>
      <c r="V65" s="390"/>
      <c r="W65" s="390"/>
      <c r="X65" s="390"/>
      <c r="Y65" s="390"/>
      <c r="Z65" s="390"/>
      <c r="AA65" s="390"/>
      <c r="AB65" s="390"/>
      <c r="AC65" s="390"/>
      <c r="AD65" s="390"/>
      <c r="AE65" s="390"/>
      <c r="AF65" s="390"/>
      <c r="AG65" s="390"/>
      <c r="AH65" s="390"/>
      <c r="AI65" s="390"/>
      <c r="AJ65" s="390"/>
      <c r="AK65" s="390"/>
      <c r="AL65" s="390"/>
      <c r="AM65" s="390"/>
      <c r="AN65" s="390"/>
      <c r="AO65" s="390"/>
      <c r="AP65" s="390"/>
      <c r="AQ65" s="390"/>
      <c r="AR65" s="390"/>
      <c r="AS65" s="390"/>
      <c r="AT65" s="390"/>
      <c r="AU65" s="390"/>
      <c r="AV65" s="390"/>
      <c r="AW65" s="390"/>
      <c r="AX65" s="390"/>
      <c r="AY65" s="390"/>
      <c r="AZ65" s="390"/>
      <c r="BA65" s="390"/>
      <c r="BB65" s="390"/>
      <c r="BC65" s="390"/>
      <c r="BD65" s="390"/>
      <c r="BE65" s="390"/>
      <c r="BF65" s="390"/>
      <c r="BG65" s="390"/>
      <c r="BH65" s="390"/>
      <c r="BI65" s="390"/>
      <c r="BJ65" s="390"/>
      <c r="BK65" s="390"/>
      <c r="BL65" s="390"/>
      <c r="BM65" s="390"/>
      <c r="BN65" s="390"/>
      <c r="BO65" s="390"/>
      <c r="BP65" s="390"/>
      <c r="BQ65" s="390"/>
      <c r="BR65" s="390"/>
      <c r="BS65" s="390"/>
      <c r="BT65" s="390"/>
      <c r="BU65" s="390"/>
      <c r="BV65" s="390"/>
      <c r="BW65" s="390"/>
      <c r="BX65" s="390"/>
      <c r="BY65" s="390"/>
      <c r="BZ65" s="390"/>
      <c r="CA65" s="390"/>
      <c r="CB65" s="390"/>
      <c r="CC65" s="390"/>
      <c r="CD65" s="390"/>
      <c r="CE65" s="390"/>
      <c r="CF65" s="390"/>
      <c r="CG65" s="390"/>
      <c r="CH65" s="390"/>
      <c r="CI65" s="390"/>
      <c r="CJ65" s="390"/>
      <c r="CK65" s="390"/>
      <c r="CL65" s="390"/>
      <c r="CM65" s="390"/>
      <c r="CN65" s="390"/>
      <c r="CO65" s="390"/>
      <c r="CP65" s="390"/>
      <c r="CQ65" s="390"/>
      <c r="CR65" s="390"/>
      <c r="CS65" s="390"/>
      <c r="CT65" s="390"/>
      <c r="CU65" s="390"/>
      <c r="CV65" s="390"/>
    </row>
    <row r="66" spans="1:100" outlineLevel="2" x14ac:dyDescent="0.2">
      <c r="A66" s="85"/>
      <c r="B66" s="85"/>
      <c r="C66" s="86"/>
      <c r="D66" s="87"/>
      <c r="E66" s="390" t="str">
        <f xml:space="preserve"> InpC!E$418</f>
        <v>GWh to KWh conversion</v>
      </c>
      <c r="F66" s="390">
        <f xml:space="preserve"> InpC!F$418</f>
        <v>1000000</v>
      </c>
      <c r="G66" s="390" t="str">
        <f xml:space="preserve"> InpC!G$418</f>
        <v>KWh / GWh</v>
      </c>
      <c r="H66" s="145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</row>
    <row r="67" spans="1:100" s="415" customFormat="1" outlineLevel="2" x14ac:dyDescent="0.2">
      <c r="A67" s="412"/>
      <c r="B67" s="412"/>
      <c r="C67" s="860"/>
      <c r="D67" s="413"/>
      <c r="E67" s="413" t="str">
        <f t="shared" ref="E67:R67" si="38" xml:space="preserve"> E$61</f>
        <v>Power tariff applicable (Tn)</v>
      </c>
      <c r="F67" s="413">
        <f t="shared" si="38"/>
        <v>0</v>
      </c>
      <c r="G67" s="413" t="str">
        <f t="shared" si="38"/>
        <v>WID Cents / kWh</v>
      </c>
      <c r="H67" s="413">
        <f t="shared" si="38"/>
        <v>0</v>
      </c>
      <c r="I67" s="413">
        <f t="shared" si="38"/>
        <v>0</v>
      </c>
      <c r="J67" s="413">
        <f t="shared" si="38"/>
        <v>0</v>
      </c>
      <c r="K67" s="413">
        <f t="shared" si="38"/>
        <v>0</v>
      </c>
      <c r="L67" s="413">
        <f t="shared" si="38"/>
        <v>0</v>
      </c>
      <c r="M67" s="413">
        <f t="shared" si="38"/>
        <v>0</v>
      </c>
      <c r="N67" s="413">
        <f t="shared" si="38"/>
        <v>0</v>
      </c>
      <c r="O67" s="413">
        <f xml:space="preserve"> O$61</f>
        <v>19.512265602785813</v>
      </c>
      <c r="P67" s="413">
        <f t="shared" si="38"/>
        <v>19.512265602785813</v>
      </c>
      <c r="Q67" s="413">
        <f t="shared" si="38"/>
        <v>19.519749078870948</v>
      </c>
      <c r="R67" s="413">
        <f t="shared" si="38"/>
        <v>19.519749078870948</v>
      </c>
      <c r="S67" s="413">
        <f t="shared" ref="S67:AX67" si="39" xml:space="preserve"> S$61</f>
        <v>19.527382224477787</v>
      </c>
      <c r="T67" s="413">
        <f t="shared" si="39"/>
        <v>19.527382224477787</v>
      </c>
      <c r="U67" s="413">
        <f t="shared" si="39"/>
        <v>19.535168032996758</v>
      </c>
      <c r="V67" s="413">
        <f t="shared" si="39"/>
        <v>19.535168032996758</v>
      </c>
      <c r="W67" s="413">
        <f t="shared" si="39"/>
        <v>19.543109557686112</v>
      </c>
      <c r="X67" s="413">
        <f t="shared" si="39"/>
        <v>19.543109557686112</v>
      </c>
      <c r="Y67" s="413">
        <f t="shared" si="39"/>
        <v>19.551209912869254</v>
      </c>
      <c r="Z67" s="413">
        <f t="shared" si="39"/>
        <v>19.551209912869254</v>
      </c>
      <c r="AA67" s="413">
        <f t="shared" si="39"/>
        <v>19.559472275156057</v>
      </c>
      <c r="AB67" s="413">
        <f t="shared" si="39"/>
        <v>19.559472275156057</v>
      </c>
      <c r="AC67" s="413">
        <f t="shared" si="39"/>
        <v>19.567899884688597</v>
      </c>
      <c r="AD67" s="413">
        <f t="shared" si="39"/>
        <v>19.567899884688597</v>
      </c>
      <c r="AE67" s="413">
        <f t="shared" si="39"/>
        <v>19.576496046411791</v>
      </c>
      <c r="AF67" s="413">
        <f t="shared" si="39"/>
        <v>19.576496046411791</v>
      </c>
      <c r="AG67" s="413">
        <f t="shared" si="39"/>
        <v>19.585264131369442</v>
      </c>
      <c r="AH67" s="413">
        <f t="shared" si="39"/>
        <v>19.585264131369442</v>
      </c>
      <c r="AI67" s="413">
        <f t="shared" si="39"/>
        <v>19.59420757802625</v>
      </c>
      <c r="AJ67" s="413">
        <f t="shared" si="39"/>
        <v>19.59420757802625</v>
      </c>
      <c r="AK67" s="413">
        <f t="shared" si="39"/>
        <v>19.603329893616195</v>
      </c>
      <c r="AL67" s="413">
        <f t="shared" si="39"/>
        <v>19.603329893616195</v>
      </c>
      <c r="AM67" s="413">
        <f t="shared" si="39"/>
        <v>19.612634655517937</v>
      </c>
      <c r="AN67" s="413">
        <f t="shared" si="39"/>
        <v>19.612634655517937</v>
      </c>
      <c r="AO67" s="413">
        <f t="shared" si="39"/>
        <v>19.622125512657714</v>
      </c>
      <c r="AP67" s="413">
        <f t="shared" si="39"/>
        <v>19.622125512657714</v>
      </c>
      <c r="AQ67" s="413">
        <f t="shared" si="39"/>
        <v>19.631806186940288</v>
      </c>
      <c r="AR67" s="413">
        <f t="shared" si="39"/>
        <v>19.631806186940288</v>
      </c>
      <c r="AS67" s="413">
        <f t="shared" si="39"/>
        <v>19.641680474708512</v>
      </c>
      <c r="AT67" s="413">
        <f t="shared" si="39"/>
        <v>19.641680474708512</v>
      </c>
      <c r="AU67" s="413">
        <f t="shared" si="39"/>
        <v>19.6517522482321</v>
      </c>
      <c r="AV67" s="413">
        <f t="shared" si="39"/>
        <v>19.6517522482321</v>
      </c>
      <c r="AW67" s="413">
        <f t="shared" si="39"/>
        <v>19.662025457226161</v>
      </c>
      <c r="AX67" s="413">
        <f t="shared" si="39"/>
        <v>19.662025457226161</v>
      </c>
      <c r="AY67" s="413">
        <f t="shared" ref="AY67:CD67" si="40" xml:space="preserve"> AY$61</f>
        <v>19.672504130400103</v>
      </c>
      <c r="AZ67" s="413">
        <f t="shared" si="40"/>
        <v>19.672504130400103</v>
      </c>
      <c r="BA67" s="413">
        <f t="shared" si="40"/>
        <v>19.683192377037525</v>
      </c>
      <c r="BB67" s="413">
        <f t="shared" si="40"/>
        <v>19.683192377037525</v>
      </c>
      <c r="BC67" s="413">
        <f t="shared" si="40"/>
        <v>0</v>
      </c>
      <c r="BD67" s="413">
        <f t="shared" si="40"/>
        <v>0</v>
      </c>
      <c r="BE67" s="413">
        <f t="shared" si="40"/>
        <v>0</v>
      </c>
      <c r="BF67" s="413">
        <f t="shared" si="40"/>
        <v>0</v>
      </c>
      <c r="BG67" s="413">
        <f t="shared" si="40"/>
        <v>0</v>
      </c>
      <c r="BH67" s="413">
        <f t="shared" si="40"/>
        <v>0</v>
      </c>
      <c r="BI67" s="413">
        <f t="shared" si="40"/>
        <v>0</v>
      </c>
      <c r="BJ67" s="413">
        <f t="shared" si="40"/>
        <v>0</v>
      </c>
      <c r="BK67" s="413">
        <f t="shared" si="40"/>
        <v>0</v>
      </c>
      <c r="BL67" s="413">
        <f t="shared" si="40"/>
        <v>0</v>
      </c>
      <c r="BM67" s="413">
        <f t="shared" si="40"/>
        <v>0</v>
      </c>
      <c r="BN67" s="413">
        <f t="shared" si="40"/>
        <v>0</v>
      </c>
      <c r="BO67" s="413">
        <f t="shared" si="40"/>
        <v>0</v>
      </c>
      <c r="BP67" s="413">
        <f t="shared" si="40"/>
        <v>0</v>
      </c>
      <c r="BQ67" s="413">
        <f t="shared" si="40"/>
        <v>0</v>
      </c>
      <c r="BR67" s="413">
        <f t="shared" si="40"/>
        <v>0</v>
      </c>
      <c r="BS67" s="413">
        <f t="shared" si="40"/>
        <v>0</v>
      </c>
      <c r="BT67" s="413">
        <f t="shared" si="40"/>
        <v>0</v>
      </c>
      <c r="BU67" s="413">
        <f t="shared" si="40"/>
        <v>0</v>
      </c>
      <c r="BV67" s="413">
        <f t="shared" si="40"/>
        <v>0</v>
      </c>
      <c r="BW67" s="413">
        <f t="shared" si="40"/>
        <v>0</v>
      </c>
      <c r="BX67" s="413">
        <f t="shared" si="40"/>
        <v>0</v>
      </c>
      <c r="BY67" s="413">
        <f t="shared" si="40"/>
        <v>0</v>
      </c>
      <c r="BZ67" s="413">
        <f t="shared" si="40"/>
        <v>0</v>
      </c>
      <c r="CA67" s="413">
        <f t="shared" si="40"/>
        <v>0</v>
      </c>
      <c r="CB67" s="413">
        <f t="shared" si="40"/>
        <v>0</v>
      </c>
      <c r="CC67" s="413">
        <f t="shared" si="40"/>
        <v>0</v>
      </c>
      <c r="CD67" s="413">
        <f t="shared" si="40"/>
        <v>0</v>
      </c>
      <c r="CE67" s="413">
        <f t="shared" ref="CE67:CV67" si="41" xml:space="preserve"> CE$61</f>
        <v>0</v>
      </c>
      <c r="CF67" s="413">
        <f t="shared" si="41"/>
        <v>0</v>
      </c>
      <c r="CG67" s="413">
        <f t="shared" si="41"/>
        <v>0</v>
      </c>
      <c r="CH67" s="413">
        <f t="shared" si="41"/>
        <v>0</v>
      </c>
      <c r="CI67" s="413">
        <f t="shared" si="41"/>
        <v>0</v>
      </c>
      <c r="CJ67" s="413">
        <f t="shared" si="41"/>
        <v>0</v>
      </c>
      <c r="CK67" s="413">
        <f t="shared" si="41"/>
        <v>0</v>
      </c>
      <c r="CL67" s="413">
        <f t="shared" si="41"/>
        <v>0</v>
      </c>
      <c r="CM67" s="413">
        <f t="shared" si="41"/>
        <v>0</v>
      </c>
      <c r="CN67" s="413">
        <f t="shared" si="41"/>
        <v>0</v>
      </c>
      <c r="CO67" s="413">
        <f t="shared" si="41"/>
        <v>0</v>
      </c>
      <c r="CP67" s="413">
        <f t="shared" si="41"/>
        <v>0</v>
      </c>
      <c r="CQ67" s="413">
        <f t="shared" si="41"/>
        <v>0</v>
      </c>
      <c r="CR67" s="413">
        <f t="shared" si="41"/>
        <v>0</v>
      </c>
      <c r="CS67" s="413">
        <f t="shared" si="41"/>
        <v>0</v>
      </c>
      <c r="CT67" s="413">
        <f t="shared" si="41"/>
        <v>0</v>
      </c>
      <c r="CU67" s="413">
        <f t="shared" si="41"/>
        <v>0</v>
      </c>
      <c r="CV67" s="413">
        <f t="shared" si="41"/>
        <v>0</v>
      </c>
    </row>
    <row r="68" spans="1:100" outlineLevel="2" x14ac:dyDescent="0.2">
      <c r="A68" s="236"/>
      <c r="B68" s="236"/>
      <c r="C68" s="237"/>
      <c r="D68" s="238"/>
      <c r="E68" s="288" t="str">
        <f t="shared" ref="E68:AJ68" si="42" xml:space="preserve"> E$34</f>
        <v>Electricity generation (ESn)</v>
      </c>
      <c r="F68" s="288">
        <f t="shared" si="42"/>
        <v>0</v>
      </c>
      <c r="G68" s="288" t="str">
        <f t="shared" si="42"/>
        <v>GWh</v>
      </c>
      <c r="H68" s="288">
        <f t="shared" si="42"/>
        <v>20217.473920645203</v>
      </c>
      <c r="I68" s="288">
        <f t="shared" si="42"/>
        <v>0</v>
      </c>
      <c r="J68" s="288">
        <f t="shared" si="42"/>
        <v>0</v>
      </c>
      <c r="K68" s="288">
        <f t="shared" si="42"/>
        <v>0</v>
      </c>
      <c r="L68" s="288">
        <f t="shared" si="42"/>
        <v>0</v>
      </c>
      <c r="M68" s="288">
        <f t="shared" si="42"/>
        <v>0</v>
      </c>
      <c r="N68" s="288">
        <f t="shared" si="42"/>
        <v>0</v>
      </c>
      <c r="O68" s="288">
        <f t="shared" si="42"/>
        <v>515.08799999999997</v>
      </c>
      <c r="P68" s="288">
        <f t="shared" si="42"/>
        <v>515.08799999999997</v>
      </c>
      <c r="Q68" s="288">
        <f t="shared" si="42"/>
        <v>514.05988023952091</v>
      </c>
      <c r="R68" s="288">
        <f t="shared" si="42"/>
        <v>514.05988023952091</v>
      </c>
      <c r="S68" s="288">
        <f t="shared" si="42"/>
        <v>513.0338126142924</v>
      </c>
      <c r="T68" s="288">
        <f t="shared" si="42"/>
        <v>513.0338126142924</v>
      </c>
      <c r="U68" s="288">
        <f t="shared" si="42"/>
        <v>512.00979302823589</v>
      </c>
      <c r="V68" s="288">
        <f t="shared" si="42"/>
        <v>512.00979302823589</v>
      </c>
      <c r="W68" s="288">
        <f t="shared" si="42"/>
        <v>510.98781739344901</v>
      </c>
      <c r="X68" s="288">
        <f t="shared" si="42"/>
        <v>510.98781739344901</v>
      </c>
      <c r="Y68" s="288">
        <f t="shared" si="42"/>
        <v>509.96788163018857</v>
      </c>
      <c r="Z68" s="288">
        <f t="shared" si="42"/>
        <v>509.96788163018857</v>
      </c>
      <c r="AA68" s="288">
        <f t="shared" si="42"/>
        <v>508.94998166685502</v>
      </c>
      <c r="AB68" s="288">
        <f t="shared" si="42"/>
        <v>508.94998166685502</v>
      </c>
      <c r="AC68" s="288">
        <f t="shared" si="42"/>
        <v>507.93411343997508</v>
      </c>
      <c r="AD68" s="288">
        <f t="shared" si="42"/>
        <v>507.93411343997508</v>
      </c>
      <c r="AE68" s="288">
        <f t="shared" si="42"/>
        <v>506.92027289418661</v>
      </c>
      <c r="AF68" s="288">
        <f t="shared" si="42"/>
        <v>506.92027289418661</v>
      </c>
      <c r="AG68" s="288">
        <f t="shared" si="42"/>
        <v>505.90845598222216</v>
      </c>
      <c r="AH68" s="288">
        <f t="shared" si="42"/>
        <v>505.90845598222216</v>
      </c>
      <c r="AI68" s="288">
        <f t="shared" si="42"/>
        <v>504.89865866489248</v>
      </c>
      <c r="AJ68" s="288">
        <f t="shared" si="42"/>
        <v>504.89865866489248</v>
      </c>
      <c r="AK68" s="288">
        <f t="shared" ref="AK68:BP68" si="43" xml:space="preserve"> AK$34</f>
        <v>503.89087691107034</v>
      </c>
      <c r="AL68" s="288">
        <f t="shared" si="43"/>
        <v>503.89087691107034</v>
      </c>
      <c r="AM68" s="288">
        <f t="shared" si="43"/>
        <v>502.88510669767498</v>
      </c>
      <c r="AN68" s="288">
        <f t="shared" si="43"/>
        <v>502.88510669767498</v>
      </c>
      <c r="AO68" s="288">
        <f t="shared" si="43"/>
        <v>501.88134400965561</v>
      </c>
      <c r="AP68" s="288">
        <f t="shared" si="43"/>
        <v>501.88134400965561</v>
      </c>
      <c r="AQ68" s="288">
        <f t="shared" si="43"/>
        <v>500.87958483997585</v>
      </c>
      <c r="AR68" s="288">
        <f t="shared" si="43"/>
        <v>500.87958483997585</v>
      </c>
      <c r="AS68" s="288">
        <f t="shared" si="43"/>
        <v>499.87982518959649</v>
      </c>
      <c r="AT68" s="288">
        <f t="shared" si="43"/>
        <v>499.87982518959649</v>
      </c>
      <c r="AU68" s="288">
        <f t="shared" si="43"/>
        <v>498.88206106746162</v>
      </c>
      <c r="AV68" s="288">
        <f t="shared" si="43"/>
        <v>498.88206106746162</v>
      </c>
      <c r="AW68" s="288">
        <f t="shared" si="43"/>
        <v>497.88628849048064</v>
      </c>
      <c r="AX68" s="288">
        <f t="shared" si="43"/>
        <v>497.88628849048064</v>
      </c>
      <c r="AY68" s="288">
        <f t="shared" si="43"/>
        <v>496.89250348351368</v>
      </c>
      <c r="AZ68" s="288">
        <f t="shared" si="43"/>
        <v>496.89250348351368</v>
      </c>
      <c r="BA68" s="288">
        <f t="shared" si="43"/>
        <v>495.90070207935497</v>
      </c>
      <c r="BB68" s="288">
        <f t="shared" si="43"/>
        <v>495.90070207935497</v>
      </c>
      <c r="BC68" s="288">
        <f t="shared" si="43"/>
        <v>0</v>
      </c>
      <c r="BD68" s="288">
        <f t="shared" si="43"/>
        <v>0</v>
      </c>
      <c r="BE68" s="288">
        <f t="shared" si="43"/>
        <v>0</v>
      </c>
      <c r="BF68" s="288">
        <f t="shared" si="43"/>
        <v>0</v>
      </c>
      <c r="BG68" s="288">
        <f t="shared" si="43"/>
        <v>0</v>
      </c>
      <c r="BH68" s="288">
        <f t="shared" si="43"/>
        <v>0</v>
      </c>
      <c r="BI68" s="288">
        <f t="shared" si="43"/>
        <v>0</v>
      </c>
      <c r="BJ68" s="288">
        <f t="shared" si="43"/>
        <v>0</v>
      </c>
      <c r="BK68" s="288">
        <f t="shared" si="43"/>
        <v>0</v>
      </c>
      <c r="BL68" s="288">
        <f t="shared" si="43"/>
        <v>0</v>
      </c>
      <c r="BM68" s="288">
        <f t="shared" si="43"/>
        <v>0</v>
      </c>
      <c r="BN68" s="288">
        <f t="shared" si="43"/>
        <v>0</v>
      </c>
      <c r="BO68" s="288">
        <f t="shared" si="43"/>
        <v>0</v>
      </c>
      <c r="BP68" s="288">
        <f t="shared" si="43"/>
        <v>0</v>
      </c>
      <c r="BQ68" s="288">
        <f t="shared" ref="BQ68:CV68" si="44" xml:space="preserve"> BQ$34</f>
        <v>0</v>
      </c>
      <c r="BR68" s="288">
        <f t="shared" si="44"/>
        <v>0</v>
      </c>
      <c r="BS68" s="288">
        <f t="shared" si="44"/>
        <v>0</v>
      </c>
      <c r="BT68" s="288">
        <f t="shared" si="44"/>
        <v>0</v>
      </c>
      <c r="BU68" s="288">
        <f t="shared" si="44"/>
        <v>0</v>
      </c>
      <c r="BV68" s="288">
        <f t="shared" si="44"/>
        <v>0</v>
      </c>
      <c r="BW68" s="288">
        <f t="shared" si="44"/>
        <v>0</v>
      </c>
      <c r="BX68" s="288">
        <f t="shared" si="44"/>
        <v>0</v>
      </c>
      <c r="BY68" s="288">
        <f t="shared" si="44"/>
        <v>0</v>
      </c>
      <c r="BZ68" s="288">
        <f t="shared" si="44"/>
        <v>0</v>
      </c>
      <c r="CA68" s="288">
        <f t="shared" si="44"/>
        <v>0</v>
      </c>
      <c r="CB68" s="288">
        <f t="shared" si="44"/>
        <v>0</v>
      </c>
      <c r="CC68" s="288">
        <f t="shared" si="44"/>
        <v>0</v>
      </c>
      <c r="CD68" s="288">
        <f t="shared" si="44"/>
        <v>0</v>
      </c>
      <c r="CE68" s="288">
        <f t="shared" si="44"/>
        <v>0</v>
      </c>
      <c r="CF68" s="288">
        <f t="shared" si="44"/>
        <v>0</v>
      </c>
      <c r="CG68" s="288">
        <f t="shared" si="44"/>
        <v>0</v>
      </c>
      <c r="CH68" s="288">
        <f t="shared" si="44"/>
        <v>0</v>
      </c>
      <c r="CI68" s="288">
        <f t="shared" si="44"/>
        <v>0</v>
      </c>
      <c r="CJ68" s="288">
        <f t="shared" si="44"/>
        <v>0</v>
      </c>
      <c r="CK68" s="288">
        <f t="shared" si="44"/>
        <v>0</v>
      </c>
      <c r="CL68" s="288">
        <f t="shared" si="44"/>
        <v>0</v>
      </c>
      <c r="CM68" s="288">
        <f t="shared" si="44"/>
        <v>0</v>
      </c>
      <c r="CN68" s="288">
        <f t="shared" si="44"/>
        <v>0</v>
      </c>
      <c r="CO68" s="288">
        <f t="shared" si="44"/>
        <v>0</v>
      </c>
      <c r="CP68" s="288">
        <f t="shared" si="44"/>
        <v>0</v>
      </c>
      <c r="CQ68" s="288">
        <f t="shared" si="44"/>
        <v>0</v>
      </c>
      <c r="CR68" s="288">
        <f t="shared" si="44"/>
        <v>0</v>
      </c>
      <c r="CS68" s="288">
        <f t="shared" si="44"/>
        <v>0</v>
      </c>
      <c r="CT68" s="288">
        <f t="shared" si="44"/>
        <v>0</v>
      </c>
      <c r="CU68" s="288">
        <f t="shared" si="44"/>
        <v>0</v>
      </c>
      <c r="CV68" s="288">
        <f t="shared" si="44"/>
        <v>0</v>
      </c>
    </row>
    <row r="69" spans="1:100" s="867" customFormat="1" outlineLevel="2" x14ac:dyDescent="0.2">
      <c r="A69" s="863"/>
      <c r="B69" s="863"/>
      <c r="C69" s="864"/>
      <c r="D69" s="865"/>
      <c r="E69" s="866" t="s">
        <v>1298</v>
      </c>
      <c r="F69" s="866"/>
      <c r="G69" s="866" t="s">
        <v>118</v>
      </c>
      <c r="H69" s="866"/>
      <c r="I69" s="866"/>
      <c r="J69" s="866"/>
      <c r="K69" s="866"/>
      <c r="L69" s="866"/>
      <c r="M69" s="866"/>
      <c r="N69" s="866"/>
      <c r="O69" s="866"/>
      <c r="P69" s="866"/>
      <c r="Q69" s="866"/>
      <c r="R69" s="866"/>
      <c r="S69" s="866"/>
      <c r="T69" s="866"/>
      <c r="U69" s="866"/>
      <c r="V69" s="866"/>
      <c r="W69" s="866"/>
      <c r="X69" s="866"/>
      <c r="Y69" s="866"/>
      <c r="Z69" s="866"/>
      <c r="AA69" s="866"/>
      <c r="AB69" s="866"/>
      <c r="AC69" s="866"/>
      <c r="AD69" s="866"/>
      <c r="AE69" s="866"/>
      <c r="AF69" s="866"/>
      <c r="AG69" s="866"/>
      <c r="AH69" s="866"/>
      <c r="AI69" s="866"/>
      <c r="AJ69" s="866"/>
      <c r="AK69" s="866"/>
      <c r="AL69" s="866"/>
      <c r="AM69" s="866"/>
      <c r="AN69" s="866"/>
      <c r="AO69" s="866"/>
      <c r="AP69" s="866"/>
      <c r="AQ69" s="866"/>
      <c r="AR69" s="866"/>
      <c r="AS69" s="866"/>
      <c r="AT69" s="866"/>
      <c r="AU69" s="866"/>
      <c r="AV69" s="866"/>
      <c r="AW69" s="866"/>
      <c r="AX69" s="866"/>
      <c r="AY69" s="866"/>
      <c r="AZ69" s="866"/>
      <c r="BA69" s="866"/>
      <c r="BB69" s="866"/>
      <c r="BC69" s="866"/>
      <c r="BD69" s="866"/>
      <c r="BE69" s="866"/>
      <c r="BF69" s="866"/>
      <c r="BG69" s="866"/>
      <c r="BH69" s="866"/>
      <c r="BI69" s="866"/>
      <c r="BJ69" s="866"/>
      <c r="BK69" s="866"/>
      <c r="BL69" s="866"/>
      <c r="BM69" s="866"/>
      <c r="BN69" s="866"/>
      <c r="BO69" s="866"/>
      <c r="BP69" s="866"/>
      <c r="BQ69" s="866"/>
      <c r="BR69" s="866"/>
      <c r="BS69" s="866"/>
      <c r="BT69" s="866"/>
      <c r="BU69" s="866"/>
      <c r="BV69" s="866"/>
      <c r="BW69" s="866"/>
      <c r="BX69" s="866"/>
      <c r="BY69" s="866"/>
      <c r="BZ69" s="866"/>
      <c r="CA69" s="866"/>
      <c r="CB69" s="866"/>
      <c r="CC69" s="866"/>
      <c r="CD69" s="866"/>
      <c r="CE69" s="866"/>
      <c r="CF69" s="866"/>
      <c r="CG69" s="866"/>
      <c r="CH69" s="866"/>
      <c r="CI69" s="866"/>
      <c r="CJ69" s="866"/>
      <c r="CK69" s="866"/>
      <c r="CL69" s="866"/>
      <c r="CM69" s="866"/>
      <c r="CN69" s="866"/>
      <c r="CO69" s="866"/>
      <c r="CP69" s="866"/>
      <c r="CQ69" s="866"/>
      <c r="CR69" s="866"/>
      <c r="CS69" s="866"/>
      <c r="CT69" s="866"/>
      <c r="CU69" s="866"/>
      <c r="CV69" s="866"/>
    </row>
    <row r="70" spans="1:100" outlineLevel="2" x14ac:dyDescent="0.2">
      <c r="A70" s="85"/>
      <c r="B70" s="85"/>
      <c r="C70" s="86"/>
      <c r="D70" s="87"/>
      <c r="E70" s="390" t="str">
        <f xml:space="preserve"> Time!E$106</f>
        <v>Operating period flag</v>
      </c>
      <c r="F70" s="390">
        <f xml:space="preserve"> Time!F$106</f>
        <v>0</v>
      </c>
      <c r="G70" s="390" t="str">
        <f xml:space="preserve"> Time!G$106</f>
        <v>flag</v>
      </c>
      <c r="H70" s="390">
        <f xml:space="preserve"> Time!H$106</f>
        <v>40</v>
      </c>
      <c r="I70" s="390">
        <f xml:space="preserve"> Time!I$106</f>
        <v>0</v>
      </c>
      <c r="J70" s="390">
        <f xml:space="preserve"> Time!J$106</f>
        <v>0</v>
      </c>
      <c r="K70" s="390">
        <f xml:space="preserve"> Time!K$106</f>
        <v>0</v>
      </c>
      <c r="L70" s="390">
        <f xml:space="preserve"> Time!L$106</f>
        <v>0</v>
      </c>
      <c r="M70" s="390">
        <f xml:space="preserve"> Time!M$106</f>
        <v>0</v>
      </c>
      <c r="N70" s="390">
        <f xml:space="preserve"> Time!N$106</f>
        <v>0</v>
      </c>
      <c r="O70" s="390">
        <f xml:space="preserve"> Time!O$106</f>
        <v>1</v>
      </c>
      <c r="P70" s="390">
        <f xml:space="preserve"> Time!P$106</f>
        <v>1</v>
      </c>
      <c r="Q70" s="390">
        <f xml:space="preserve"> Time!Q$106</f>
        <v>1</v>
      </c>
      <c r="R70" s="390">
        <f xml:space="preserve"> Time!R$106</f>
        <v>1</v>
      </c>
      <c r="S70" s="390">
        <f xml:space="preserve"> Time!S$106</f>
        <v>1</v>
      </c>
      <c r="T70" s="390">
        <f xml:space="preserve"> Time!T$106</f>
        <v>1</v>
      </c>
      <c r="U70" s="390">
        <f xml:space="preserve"> Time!U$106</f>
        <v>1</v>
      </c>
      <c r="V70" s="390">
        <f xml:space="preserve"> Time!V$106</f>
        <v>1</v>
      </c>
      <c r="W70" s="390">
        <f xml:space="preserve"> Time!W$106</f>
        <v>1</v>
      </c>
      <c r="X70" s="390">
        <f xml:space="preserve"> Time!X$106</f>
        <v>1</v>
      </c>
      <c r="Y70" s="390">
        <f xml:space="preserve"> Time!Y$106</f>
        <v>1</v>
      </c>
      <c r="Z70" s="390">
        <f xml:space="preserve"> Time!Z$106</f>
        <v>1</v>
      </c>
      <c r="AA70" s="390">
        <f xml:space="preserve"> Time!AA$106</f>
        <v>1</v>
      </c>
      <c r="AB70" s="390">
        <f xml:space="preserve"> Time!AB$106</f>
        <v>1</v>
      </c>
      <c r="AC70" s="390">
        <f xml:space="preserve"> Time!AC$106</f>
        <v>1</v>
      </c>
      <c r="AD70" s="390">
        <f xml:space="preserve"> Time!AD$106</f>
        <v>1</v>
      </c>
      <c r="AE70" s="390">
        <f xml:space="preserve"> Time!AE$106</f>
        <v>1</v>
      </c>
      <c r="AF70" s="390">
        <f xml:space="preserve"> Time!AF$106</f>
        <v>1</v>
      </c>
      <c r="AG70" s="390">
        <f xml:space="preserve"> Time!AG$106</f>
        <v>1</v>
      </c>
      <c r="AH70" s="390">
        <f xml:space="preserve"> Time!AH$106</f>
        <v>1</v>
      </c>
      <c r="AI70" s="390">
        <f xml:space="preserve"> Time!AI$106</f>
        <v>1</v>
      </c>
      <c r="AJ70" s="390">
        <f xml:space="preserve"> Time!AJ$106</f>
        <v>1</v>
      </c>
      <c r="AK70" s="390">
        <f xml:space="preserve"> Time!AK$106</f>
        <v>1</v>
      </c>
      <c r="AL70" s="390">
        <f xml:space="preserve"> Time!AL$106</f>
        <v>1</v>
      </c>
      <c r="AM70" s="390">
        <f xml:space="preserve"> Time!AM$106</f>
        <v>1</v>
      </c>
      <c r="AN70" s="390">
        <f xml:space="preserve"> Time!AN$106</f>
        <v>1</v>
      </c>
      <c r="AO70" s="390">
        <f xml:space="preserve"> Time!AO$106</f>
        <v>1</v>
      </c>
      <c r="AP70" s="390">
        <f xml:space="preserve"> Time!AP$106</f>
        <v>1</v>
      </c>
      <c r="AQ70" s="390">
        <f xml:space="preserve"> Time!AQ$106</f>
        <v>1</v>
      </c>
      <c r="AR70" s="390">
        <f xml:space="preserve"> Time!AR$106</f>
        <v>1</v>
      </c>
      <c r="AS70" s="390">
        <f xml:space="preserve"> Time!AS$106</f>
        <v>1</v>
      </c>
      <c r="AT70" s="390">
        <f xml:space="preserve"> Time!AT$106</f>
        <v>1</v>
      </c>
      <c r="AU70" s="390">
        <f xml:space="preserve"> Time!AU$106</f>
        <v>1</v>
      </c>
      <c r="AV70" s="390">
        <f xml:space="preserve"> Time!AV$106</f>
        <v>1</v>
      </c>
      <c r="AW70" s="390">
        <f xml:space="preserve"> Time!AW$106</f>
        <v>1</v>
      </c>
      <c r="AX70" s="390">
        <f xml:space="preserve"> Time!AX$106</f>
        <v>1</v>
      </c>
      <c r="AY70" s="390">
        <f xml:space="preserve"> Time!AY$106</f>
        <v>1</v>
      </c>
      <c r="AZ70" s="390">
        <f xml:space="preserve"> Time!AZ$106</f>
        <v>1</v>
      </c>
      <c r="BA70" s="390">
        <f xml:space="preserve"> Time!BA$106</f>
        <v>1</v>
      </c>
      <c r="BB70" s="390">
        <f xml:space="preserve"> Time!BB$106</f>
        <v>1</v>
      </c>
      <c r="BC70" s="390">
        <f xml:space="preserve"> Time!BC$106</f>
        <v>0</v>
      </c>
      <c r="BD70" s="390">
        <f xml:space="preserve"> Time!BD$106</f>
        <v>0</v>
      </c>
      <c r="BE70" s="390">
        <f xml:space="preserve"> Time!BE$106</f>
        <v>0</v>
      </c>
      <c r="BF70" s="390">
        <f xml:space="preserve"> Time!BF$106</f>
        <v>0</v>
      </c>
      <c r="BG70" s="390">
        <f xml:space="preserve"> Time!BG$106</f>
        <v>0</v>
      </c>
      <c r="BH70" s="390">
        <f xml:space="preserve"> Time!BH$106</f>
        <v>0</v>
      </c>
      <c r="BI70" s="390">
        <f xml:space="preserve"> Time!BI$106</f>
        <v>0</v>
      </c>
      <c r="BJ70" s="390">
        <f xml:space="preserve"> Time!BJ$106</f>
        <v>0</v>
      </c>
      <c r="BK70" s="390">
        <f xml:space="preserve"> Time!BK$106</f>
        <v>0</v>
      </c>
      <c r="BL70" s="390">
        <f xml:space="preserve"> Time!BL$106</f>
        <v>0</v>
      </c>
      <c r="BM70" s="390">
        <f xml:space="preserve"> Time!BM$106</f>
        <v>0</v>
      </c>
      <c r="BN70" s="390">
        <f xml:space="preserve"> Time!BN$106</f>
        <v>0</v>
      </c>
      <c r="BO70" s="390">
        <f xml:space="preserve"> Time!BO$106</f>
        <v>0</v>
      </c>
      <c r="BP70" s="390">
        <f xml:space="preserve"> Time!BP$106</f>
        <v>0</v>
      </c>
      <c r="BQ70" s="390">
        <f xml:space="preserve"> Time!BQ$106</f>
        <v>0</v>
      </c>
      <c r="BR70" s="390">
        <f xml:space="preserve"> Time!BR$106</f>
        <v>0</v>
      </c>
      <c r="BS70" s="390">
        <f xml:space="preserve"> Time!BS$106</f>
        <v>0</v>
      </c>
      <c r="BT70" s="390">
        <f xml:space="preserve"> Time!BT$106</f>
        <v>0</v>
      </c>
      <c r="BU70" s="390">
        <f xml:space="preserve"> Time!BU$106</f>
        <v>0</v>
      </c>
      <c r="BV70" s="390">
        <f xml:space="preserve"> Time!BV$106</f>
        <v>0</v>
      </c>
      <c r="BW70" s="390">
        <f xml:space="preserve"> Time!BW$106</f>
        <v>0</v>
      </c>
      <c r="BX70" s="390">
        <f xml:space="preserve"> Time!BX$106</f>
        <v>0</v>
      </c>
      <c r="BY70" s="390">
        <f xml:space="preserve"> Time!BY$106</f>
        <v>0</v>
      </c>
      <c r="BZ70" s="390">
        <f xml:space="preserve"> Time!BZ$106</f>
        <v>0</v>
      </c>
      <c r="CA70" s="390">
        <f xml:space="preserve"> Time!CA$106</f>
        <v>0</v>
      </c>
      <c r="CB70" s="390">
        <f xml:space="preserve"> Time!CB$106</f>
        <v>0</v>
      </c>
      <c r="CC70" s="390">
        <f xml:space="preserve"> Time!CC$106</f>
        <v>0</v>
      </c>
      <c r="CD70" s="390">
        <f xml:space="preserve"> Time!CD$106</f>
        <v>0</v>
      </c>
      <c r="CE70" s="390">
        <f xml:space="preserve"> Time!CE$106</f>
        <v>0</v>
      </c>
      <c r="CF70" s="390">
        <f xml:space="preserve"> Time!CF$106</f>
        <v>0</v>
      </c>
      <c r="CG70" s="390">
        <f xml:space="preserve"> Time!CG$106</f>
        <v>0</v>
      </c>
      <c r="CH70" s="390">
        <f xml:space="preserve"> Time!CH$106</f>
        <v>0</v>
      </c>
      <c r="CI70" s="390">
        <f xml:space="preserve"> Time!CI$106</f>
        <v>0</v>
      </c>
      <c r="CJ70" s="390">
        <f xml:space="preserve"> Time!CJ$106</f>
        <v>0</v>
      </c>
      <c r="CK70" s="390">
        <f xml:space="preserve"> Time!CK$106</f>
        <v>0</v>
      </c>
      <c r="CL70" s="390">
        <f xml:space="preserve"> Time!CL$106</f>
        <v>0</v>
      </c>
      <c r="CM70" s="390">
        <f xml:space="preserve"> Time!CM$106</f>
        <v>0</v>
      </c>
      <c r="CN70" s="390">
        <f xml:space="preserve"> Time!CN$106</f>
        <v>0</v>
      </c>
      <c r="CO70" s="390">
        <f xml:space="preserve"> Time!CO$106</f>
        <v>0</v>
      </c>
      <c r="CP70" s="390">
        <f xml:space="preserve"> Time!CP$106</f>
        <v>0</v>
      </c>
      <c r="CQ70" s="390">
        <f xml:space="preserve"> Time!CQ$106</f>
        <v>0</v>
      </c>
      <c r="CR70" s="390">
        <f xml:space="preserve"> Time!CR$106</f>
        <v>0</v>
      </c>
      <c r="CS70" s="390">
        <f xml:space="preserve"> Time!CS$106</f>
        <v>0</v>
      </c>
      <c r="CT70" s="390">
        <f xml:space="preserve"> Time!CT$106</f>
        <v>0</v>
      </c>
      <c r="CU70" s="390">
        <f xml:space="preserve"> Time!CU$106</f>
        <v>0</v>
      </c>
      <c r="CV70" s="390">
        <f xml:space="preserve"> Time!CV$106</f>
        <v>0</v>
      </c>
    </row>
    <row r="71" spans="1:100" s="191" customFormat="1" outlineLevel="2" x14ac:dyDescent="0.2">
      <c r="A71" s="700"/>
      <c r="B71" s="700"/>
      <c r="C71" s="701"/>
      <c r="D71" s="702"/>
      <c r="E71" s="703" t="s">
        <v>625</v>
      </c>
      <c r="F71" s="703"/>
      <c r="G71" s="703" t="s">
        <v>626</v>
      </c>
      <c r="H71" s="703">
        <f xml:space="preserve"> SUM(J71:CV71)</f>
        <v>3961021.1331855939</v>
      </c>
      <c r="I71" s="703"/>
      <c r="J71" s="703">
        <f t="shared" ref="J71:AO71" si="45" xml:space="preserve"> J67 / $F64 * $F66 * (J68 + J69) / $F65 * J70</f>
        <v>0</v>
      </c>
      <c r="K71" s="703">
        <f t="shared" si="45"/>
        <v>0</v>
      </c>
      <c r="L71" s="703">
        <f t="shared" si="45"/>
        <v>0</v>
      </c>
      <c r="M71" s="703">
        <f t="shared" si="45"/>
        <v>0</v>
      </c>
      <c r="N71" s="703">
        <f t="shared" si="45"/>
        <v>0</v>
      </c>
      <c r="O71" s="703">
        <f xml:space="preserve"> O67 / $F64 * $F66 * (O68 + O69) / $F65 * O70</f>
        <v>100505.33864807738</v>
      </c>
      <c r="P71" s="703">
        <f t="shared" si="45"/>
        <v>100505.33864807738</v>
      </c>
      <c r="Q71" s="703">
        <f t="shared" si="45"/>
        <v>100343.19873789899</v>
      </c>
      <c r="R71" s="703">
        <f t="shared" si="45"/>
        <v>100343.19873789899</v>
      </c>
      <c r="S71" s="703">
        <f t="shared" si="45"/>
        <v>100182.07353000401</v>
      </c>
      <c r="T71" s="703">
        <f t="shared" si="45"/>
        <v>100182.07353000401</v>
      </c>
      <c r="U71" s="703">
        <f t="shared" si="45"/>
        <v>100021.9734134648</v>
      </c>
      <c r="V71" s="703">
        <f t="shared" si="45"/>
        <v>100021.9734134648</v>
      </c>
      <c r="W71" s="703">
        <f t="shared" si="45"/>
        <v>99862.908979630782</v>
      </c>
      <c r="X71" s="703">
        <f t="shared" si="45"/>
        <v>99862.908979630782</v>
      </c>
      <c r="Y71" s="703">
        <f t="shared" si="45"/>
        <v>99704.891025730773</v>
      </c>
      <c r="Z71" s="703">
        <f t="shared" si="45"/>
        <v>99704.891025730773</v>
      </c>
      <c r="AA71" s="703">
        <f t="shared" si="45"/>
        <v>99547.930558540349</v>
      </c>
      <c r="AB71" s="703">
        <f t="shared" si="45"/>
        <v>99547.930558540349</v>
      </c>
      <c r="AC71" s="703">
        <f t="shared" si="45"/>
        <v>99392.03879811494</v>
      </c>
      <c r="AD71" s="703">
        <f t="shared" si="45"/>
        <v>99392.03879811494</v>
      </c>
      <c r="AE71" s="703">
        <f t="shared" si="45"/>
        <v>99237.227181590308</v>
      </c>
      <c r="AF71" s="703">
        <f t="shared" si="45"/>
        <v>99237.227181590308</v>
      </c>
      <c r="AG71" s="703">
        <f t="shared" si="45"/>
        <v>99083.507367051119</v>
      </c>
      <c r="AH71" s="703">
        <f t="shared" si="45"/>
        <v>99083.507367051119</v>
      </c>
      <c r="AI71" s="703">
        <f t="shared" si="45"/>
        <v>98930.891237469259</v>
      </c>
      <c r="AJ71" s="703">
        <f t="shared" si="45"/>
        <v>98930.891237469259</v>
      </c>
      <c r="AK71" s="703">
        <f t="shared" si="45"/>
        <v>98779.390904712636</v>
      </c>
      <c r="AL71" s="703">
        <f t="shared" si="45"/>
        <v>98779.390904712636</v>
      </c>
      <c r="AM71" s="703">
        <f t="shared" si="45"/>
        <v>98629.018713626545</v>
      </c>
      <c r="AN71" s="703">
        <f t="shared" si="45"/>
        <v>98629.018713626545</v>
      </c>
      <c r="AO71" s="703">
        <f t="shared" si="45"/>
        <v>98479.787246188076</v>
      </c>
      <c r="AP71" s="703">
        <f t="shared" ref="AP71:BU71" si="46" xml:space="preserve"> AP67 / $F64 * $F66 * (AP68 + AP69) / $F65 * AP70</f>
        <v>98479.787246188076</v>
      </c>
      <c r="AQ71" s="703">
        <f t="shared" si="46"/>
        <v>98331.70932573521</v>
      </c>
      <c r="AR71" s="703">
        <f t="shared" si="46"/>
        <v>98331.70932573521</v>
      </c>
      <c r="AS71" s="703">
        <f t="shared" si="46"/>
        <v>98184.798021272014</v>
      </c>
      <c r="AT71" s="703">
        <f t="shared" si="46"/>
        <v>98184.798021272014</v>
      </c>
      <c r="AU71" s="703">
        <f t="shared" si="46"/>
        <v>98039.066651851521</v>
      </c>
      <c r="AV71" s="703">
        <f t="shared" si="46"/>
        <v>98039.066651851521</v>
      </c>
      <c r="AW71" s="703">
        <f t="shared" si="46"/>
        <v>97894.528791036806</v>
      </c>
      <c r="AX71" s="703">
        <f t="shared" si="46"/>
        <v>97894.528791036806</v>
      </c>
      <c r="AY71" s="703">
        <f t="shared" si="46"/>
        <v>97751.198271442714</v>
      </c>
      <c r="AZ71" s="703">
        <f t="shared" si="46"/>
        <v>97751.198271442714</v>
      </c>
      <c r="BA71" s="703">
        <f t="shared" si="46"/>
        <v>97609.089189359176</v>
      </c>
      <c r="BB71" s="703">
        <f t="shared" si="46"/>
        <v>97609.089189359176</v>
      </c>
      <c r="BC71" s="703">
        <f t="shared" si="46"/>
        <v>0</v>
      </c>
      <c r="BD71" s="703">
        <f t="shared" si="46"/>
        <v>0</v>
      </c>
      <c r="BE71" s="703">
        <f t="shared" si="46"/>
        <v>0</v>
      </c>
      <c r="BF71" s="703">
        <f t="shared" si="46"/>
        <v>0</v>
      </c>
      <c r="BG71" s="703">
        <f t="shared" si="46"/>
        <v>0</v>
      </c>
      <c r="BH71" s="703">
        <f t="shared" si="46"/>
        <v>0</v>
      </c>
      <c r="BI71" s="703">
        <f t="shared" si="46"/>
        <v>0</v>
      </c>
      <c r="BJ71" s="703">
        <f t="shared" si="46"/>
        <v>0</v>
      </c>
      <c r="BK71" s="703">
        <f t="shared" si="46"/>
        <v>0</v>
      </c>
      <c r="BL71" s="703">
        <f t="shared" si="46"/>
        <v>0</v>
      </c>
      <c r="BM71" s="703">
        <f t="shared" si="46"/>
        <v>0</v>
      </c>
      <c r="BN71" s="703">
        <f t="shared" si="46"/>
        <v>0</v>
      </c>
      <c r="BO71" s="703">
        <f t="shared" si="46"/>
        <v>0</v>
      </c>
      <c r="BP71" s="703">
        <f t="shared" si="46"/>
        <v>0</v>
      </c>
      <c r="BQ71" s="703">
        <f t="shared" si="46"/>
        <v>0</v>
      </c>
      <c r="BR71" s="703">
        <f t="shared" si="46"/>
        <v>0</v>
      </c>
      <c r="BS71" s="703">
        <f t="shared" si="46"/>
        <v>0</v>
      </c>
      <c r="BT71" s="703">
        <f t="shared" si="46"/>
        <v>0</v>
      </c>
      <c r="BU71" s="703">
        <f t="shared" si="46"/>
        <v>0</v>
      </c>
      <c r="BV71" s="703">
        <f t="shared" ref="BV71:CV71" si="47" xml:space="preserve"> BV67 / $F64 * $F66 * (BV68 + BV69) / $F65 * BV70</f>
        <v>0</v>
      </c>
      <c r="BW71" s="703">
        <f t="shared" si="47"/>
        <v>0</v>
      </c>
      <c r="BX71" s="703">
        <f t="shared" si="47"/>
        <v>0</v>
      </c>
      <c r="BY71" s="703">
        <f t="shared" si="47"/>
        <v>0</v>
      </c>
      <c r="BZ71" s="703">
        <f t="shared" si="47"/>
        <v>0</v>
      </c>
      <c r="CA71" s="703">
        <f t="shared" si="47"/>
        <v>0</v>
      </c>
      <c r="CB71" s="703">
        <f t="shared" si="47"/>
        <v>0</v>
      </c>
      <c r="CC71" s="703">
        <f t="shared" si="47"/>
        <v>0</v>
      </c>
      <c r="CD71" s="703">
        <f t="shared" si="47"/>
        <v>0</v>
      </c>
      <c r="CE71" s="703">
        <f t="shared" si="47"/>
        <v>0</v>
      </c>
      <c r="CF71" s="703">
        <f t="shared" si="47"/>
        <v>0</v>
      </c>
      <c r="CG71" s="703">
        <f t="shared" si="47"/>
        <v>0</v>
      </c>
      <c r="CH71" s="703">
        <f t="shared" si="47"/>
        <v>0</v>
      </c>
      <c r="CI71" s="703">
        <f t="shared" si="47"/>
        <v>0</v>
      </c>
      <c r="CJ71" s="703">
        <f t="shared" si="47"/>
        <v>0</v>
      </c>
      <c r="CK71" s="703">
        <f t="shared" si="47"/>
        <v>0</v>
      </c>
      <c r="CL71" s="703">
        <f t="shared" si="47"/>
        <v>0</v>
      </c>
      <c r="CM71" s="703">
        <f t="shared" si="47"/>
        <v>0</v>
      </c>
      <c r="CN71" s="703">
        <f t="shared" si="47"/>
        <v>0</v>
      </c>
      <c r="CO71" s="703">
        <f t="shared" si="47"/>
        <v>0</v>
      </c>
      <c r="CP71" s="703">
        <f t="shared" si="47"/>
        <v>0</v>
      </c>
      <c r="CQ71" s="703">
        <f t="shared" si="47"/>
        <v>0</v>
      </c>
      <c r="CR71" s="703">
        <f t="shared" si="47"/>
        <v>0</v>
      </c>
      <c r="CS71" s="703">
        <f t="shared" si="47"/>
        <v>0</v>
      </c>
      <c r="CT71" s="703">
        <f t="shared" si="47"/>
        <v>0</v>
      </c>
      <c r="CU71" s="703">
        <f t="shared" si="47"/>
        <v>0</v>
      </c>
      <c r="CV71" s="703">
        <f t="shared" si="47"/>
        <v>0</v>
      </c>
    </row>
    <row r="72" spans="1:100" outlineLevel="2" x14ac:dyDescent="0.2">
      <c r="A72" s="85"/>
      <c r="B72" s="85"/>
      <c r="C72" s="86"/>
      <c r="D72" s="87"/>
      <c r="E72" s="390"/>
      <c r="F72" s="390"/>
      <c r="G72" s="390"/>
      <c r="H72" s="390"/>
      <c r="I72" s="390"/>
      <c r="J72" s="390"/>
      <c r="K72" s="390"/>
      <c r="L72" s="390"/>
      <c r="M72" s="390"/>
      <c r="N72" s="390"/>
      <c r="O72" s="390"/>
      <c r="P72" s="390"/>
      <c r="Q72" s="390"/>
      <c r="R72" s="390"/>
      <c r="S72" s="390"/>
      <c r="T72" s="390"/>
      <c r="U72" s="390"/>
      <c r="V72" s="390"/>
      <c r="W72" s="390"/>
      <c r="X72" s="390"/>
      <c r="Y72" s="390"/>
      <c r="Z72" s="390"/>
      <c r="AA72" s="390"/>
      <c r="AB72" s="390"/>
      <c r="AC72" s="390"/>
      <c r="AD72" s="390"/>
      <c r="AE72" s="390"/>
      <c r="AF72" s="390"/>
      <c r="AG72" s="390"/>
      <c r="AH72" s="390"/>
      <c r="AI72" s="390"/>
      <c r="AJ72" s="390"/>
      <c r="AK72" s="390"/>
      <c r="AL72" s="390"/>
      <c r="AM72" s="390"/>
      <c r="AN72" s="390"/>
      <c r="AO72" s="390"/>
      <c r="AP72" s="390"/>
      <c r="AQ72" s="390"/>
      <c r="AR72" s="390"/>
      <c r="AS72" s="390"/>
      <c r="AT72" s="390"/>
      <c r="AU72" s="390"/>
      <c r="AV72" s="390"/>
      <c r="AW72" s="390"/>
      <c r="AX72" s="390"/>
      <c r="AY72" s="390"/>
      <c r="AZ72" s="390"/>
      <c r="BA72" s="390"/>
      <c r="BB72" s="390"/>
      <c r="BC72" s="390"/>
      <c r="BD72" s="390"/>
      <c r="BE72" s="390"/>
      <c r="BF72" s="390"/>
      <c r="BG72" s="390"/>
      <c r="BH72" s="390"/>
      <c r="BI72" s="390"/>
      <c r="BJ72" s="390"/>
      <c r="BK72" s="390"/>
      <c r="BL72" s="390"/>
      <c r="BM72" s="390"/>
      <c r="BN72" s="390"/>
      <c r="BO72" s="390"/>
      <c r="BP72" s="390"/>
      <c r="BQ72" s="390"/>
      <c r="BR72" s="390"/>
      <c r="BS72" s="390"/>
      <c r="BT72" s="390"/>
      <c r="BU72" s="390"/>
      <c r="BV72" s="390"/>
      <c r="BW72" s="390"/>
      <c r="BX72" s="390"/>
      <c r="BY72" s="390"/>
      <c r="BZ72" s="390"/>
      <c r="CA72" s="390"/>
      <c r="CB72" s="390"/>
      <c r="CC72" s="390"/>
      <c r="CD72" s="390"/>
      <c r="CE72" s="390"/>
      <c r="CF72" s="390"/>
      <c r="CG72" s="390"/>
      <c r="CH72" s="390"/>
      <c r="CI72" s="390"/>
      <c r="CJ72" s="390"/>
      <c r="CK72" s="390"/>
      <c r="CL72" s="390"/>
      <c r="CM72" s="390"/>
      <c r="CN72" s="390"/>
      <c r="CO72" s="390"/>
      <c r="CP72" s="390"/>
      <c r="CQ72" s="390"/>
      <c r="CR72" s="390"/>
      <c r="CS72" s="390"/>
      <c r="CT72" s="390"/>
      <c r="CU72" s="390"/>
      <c r="CV72" s="390"/>
    </row>
    <row r="73" spans="1:100" s="280" customFormat="1" outlineLevel="2" x14ac:dyDescent="0.2">
      <c r="A73" s="412"/>
      <c r="B73" s="412"/>
      <c r="C73" s="860"/>
      <c r="D73" s="413"/>
      <c r="E73" s="476" t="str">
        <f xml:space="preserve"> InpC!E$120</f>
        <v>USD / WID exchange rate - sensitised</v>
      </c>
      <c r="F73" s="476">
        <f xml:space="preserve"> InpC!F$120</f>
        <v>5</v>
      </c>
      <c r="G73" s="476" t="str">
        <f xml:space="preserve"> InpC!G$120</f>
        <v>WIDs</v>
      </c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6"/>
      <c r="AJ73" s="416"/>
      <c r="AK73" s="416"/>
      <c r="AL73" s="416"/>
      <c r="AM73" s="416"/>
      <c r="AN73" s="416"/>
      <c r="AO73" s="416"/>
      <c r="AP73" s="416"/>
      <c r="AQ73" s="416"/>
      <c r="AR73" s="416"/>
      <c r="AS73" s="416"/>
      <c r="AT73" s="416"/>
      <c r="AU73" s="416"/>
      <c r="AV73" s="416"/>
      <c r="AW73" s="416"/>
      <c r="AX73" s="416"/>
      <c r="AY73" s="416"/>
      <c r="AZ73" s="416"/>
      <c r="BA73" s="416"/>
      <c r="BB73" s="416"/>
      <c r="BC73" s="416"/>
      <c r="BD73" s="416"/>
      <c r="BE73" s="416"/>
      <c r="BF73" s="416"/>
      <c r="BG73" s="416"/>
      <c r="BH73" s="416"/>
      <c r="BI73" s="416"/>
      <c r="BJ73" s="416"/>
      <c r="BK73" s="416"/>
      <c r="BL73" s="416"/>
      <c r="BM73" s="416"/>
      <c r="BN73" s="416"/>
      <c r="BO73" s="416"/>
      <c r="BP73" s="416"/>
      <c r="BQ73" s="416"/>
      <c r="BR73" s="416"/>
      <c r="BS73" s="416"/>
      <c r="BT73" s="416"/>
      <c r="BU73" s="416"/>
      <c r="BV73" s="416"/>
      <c r="BW73" s="416"/>
      <c r="BX73" s="416"/>
      <c r="BY73" s="416"/>
      <c r="BZ73" s="416"/>
      <c r="CA73" s="416"/>
      <c r="CB73" s="416"/>
      <c r="CC73" s="416"/>
      <c r="CD73" s="416"/>
      <c r="CE73" s="416"/>
      <c r="CF73" s="416"/>
      <c r="CG73" s="416"/>
      <c r="CH73" s="416"/>
      <c r="CI73" s="416"/>
      <c r="CJ73" s="416"/>
      <c r="CK73" s="416"/>
      <c r="CL73" s="416"/>
      <c r="CM73" s="416"/>
      <c r="CN73" s="416"/>
      <c r="CO73" s="416"/>
      <c r="CP73" s="416"/>
      <c r="CQ73" s="416"/>
      <c r="CR73" s="416"/>
      <c r="CS73" s="416"/>
      <c r="CT73" s="416"/>
      <c r="CU73" s="416"/>
      <c r="CV73" s="416"/>
    </row>
    <row r="74" spans="1:100" outlineLevel="2" x14ac:dyDescent="0.2">
      <c r="A74" s="85"/>
      <c r="B74" s="85"/>
      <c r="C74" s="86"/>
      <c r="D74" s="87"/>
      <c r="E74" s="38" t="str">
        <f t="shared" ref="E74:AJ74" si="48" xml:space="preserve"> E$71</f>
        <v>Electricity generation revenue - WID</v>
      </c>
      <c r="F74" s="38">
        <f t="shared" si="48"/>
        <v>0</v>
      </c>
      <c r="G74" s="38" t="str">
        <f t="shared" si="48"/>
        <v>WID 000s</v>
      </c>
      <c r="H74" s="38">
        <f t="shared" si="48"/>
        <v>3961021.1331855939</v>
      </c>
      <c r="I74" s="38">
        <f t="shared" si="48"/>
        <v>0</v>
      </c>
      <c r="J74" s="38">
        <f t="shared" si="48"/>
        <v>0</v>
      </c>
      <c r="K74" s="38">
        <f t="shared" si="48"/>
        <v>0</v>
      </c>
      <c r="L74" s="38">
        <f t="shared" si="48"/>
        <v>0</v>
      </c>
      <c r="M74" s="38">
        <f t="shared" si="48"/>
        <v>0</v>
      </c>
      <c r="N74" s="38">
        <f t="shared" si="48"/>
        <v>0</v>
      </c>
      <c r="O74" s="38">
        <f t="shared" si="48"/>
        <v>100505.33864807738</v>
      </c>
      <c r="P74" s="38">
        <f t="shared" si="48"/>
        <v>100505.33864807738</v>
      </c>
      <c r="Q74" s="38">
        <f t="shared" si="48"/>
        <v>100343.19873789899</v>
      </c>
      <c r="R74" s="38">
        <f t="shared" si="48"/>
        <v>100343.19873789899</v>
      </c>
      <c r="S74" s="38">
        <f t="shared" si="48"/>
        <v>100182.07353000401</v>
      </c>
      <c r="T74" s="38">
        <f t="shared" si="48"/>
        <v>100182.07353000401</v>
      </c>
      <c r="U74" s="38">
        <f t="shared" si="48"/>
        <v>100021.9734134648</v>
      </c>
      <c r="V74" s="38">
        <f t="shared" si="48"/>
        <v>100021.9734134648</v>
      </c>
      <c r="W74" s="38">
        <f t="shared" si="48"/>
        <v>99862.908979630782</v>
      </c>
      <c r="X74" s="38">
        <f t="shared" si="48"/>
        <v>99862.908979630782</v>
      </c>
      <c r="Y74" s="38">
        <f t="shared" si="48"/>
        <v>99704.891025730773</v>
      </c>
      <c r="Z74" s="38">
        <f t="shared" si="48"/>
        <v>99704.891025730773</v>
      </c>
      <c r="AA74" s="38">
        <f t="shared" si="48"/>
        <v>99547.930558540349</v>
      </c>
      <c r="AB74" s="38">
        <f t="shared" si="48"/>
        <v>99547.930558540349</v>
      </c>
      <c r="AC74" s="38">
        <f t="shared" si="48"/>
        <v>99392.03879811494</v>
      </c>
      <c r="AD74" s="38">
        <f t="shared" si="48"/>
        <v>99392.03879811494</v>
      </c>
      <c r="AE74" s="38">
        <f t="shared" si="48"/>
        <v>99237.227181590308</v>
      </c>
      <c r="AF74" s="38">
        <f t="shared" si="48"/>
        <v>99237.227181590308</v>
      </c>
      <c r="AG74" s="38">
        <f t="shared" si="48"/>
        <v>99083.507367051119</v>
      </c>
      <c r="AH74" s="38">
        <f t="shared" si="48"/>
        <v>99083.507367051119</v>
      </c>
      <c r="AI74" s="38">
        <f t="shared" si="48"/>
        <v>98930.891237469259</v>
      </c>
      <c r="AJ74" s="38">
        <f t="shared" si="48"/>
        <v>98930.891237469259</v>
      </c>
      <c r="AK74" s="38">
        <f t="shared" ref="AK74:BP74" si="49" xml:space="preserve"> AK$71</f>
        <v>98779.390904712636</v>
      </c>
      <c r="AL74" s="38">
        <f t="shared" si="49"/>
        <v>98779.390904712636</v>
      </c>
      <c r="AM74" s="38">
        <f t="shared" si="49"/>
        <v>98629.018713626545</v>
      </c>
      <c r="AN74" s="38">
        <f t="shared" si="49"/>
        <v>98629.018713626545</v>
      </c>
      <c r="AO74" s="38">
        <f t="shared" si="49"/>
        <v>98479.787246188076</v>
      </c>
      <c r="AP74" s="38">
        <f t="shared" si="49"/>
        <v>98479.787246188076</v>
      </c>
      <c r="AQ74" s="38">
        <f t="shared" si="49"/>
        <v>98331.70932573521</v>
      </c>
      <c r="AR74" s="38">
        <f t="shared" si="49"/>
        <v>98331.70932573521</v>
      </c>
      <c r="AS74" s="38">
        <f t="shared" si="49"/>
        <v>98184.798021272014</v>
      </c>
      <c r="AT74" s="38">
        <f t="shared" si="49"/>
        <v>98184.798021272014</v>
      </c>
      <c r="AU74" s="38">
        <f t="shared" si="49"/>
        <v>98039.066651851521</v>
      </c>
      <c r="AV74" s="38">
        <f t="shared" si="49"/>
        <v>98039.066651851521</v>
      </c>
      <c r="AW74" s="38">
        <f t="shared" si="49"/>
        <v>97894.528791036806</v>
      </c>
      <c r="AX74" s="38">
        <f t="shared" si="49"/>
        <v>97894.528791036806</v>
      </c>
      <c r="AY74" s="38">
        <f t="shared" si="49"/>
        <v>97751.198271442714</v>
      </c>
      <c r="AZ74" s="38">
        <f t="shared" si="49"/>
        <v>97751.198271442714</v>
      </c>
      <c r="BA74" s="38">
        <f t="shared" si="49"/>
        <v>97609.089189359176</v>
      </c>
      <c r="BB74" s="38">
        <f t="shared" si="49"/>
        <v>97609.089189359176</v>
      </c>
      <c r="BC74" s="38">
        <f t="shared" si="49"/>
        <v>0</v>
      </c>
      <c r="BD74" s="38">
        <f t="shared" si="49"/>
        <v>0</v>
      </c>
      <c r="BE74" s="38">
        <f t="shared" si="49"/>
        <v>0</v>
      </c>
      <c r="BF74" s="38">
        <f t="shared" si="49"/>
        <v>0</v>
      </c>
      <c r="BG74" s="38">
        <f t="shared" si="49"/>
        <v>0</v>
      </c>
      <c r="BH74" s="38">
        <f t="shared" si="49"/>
        <v>0</v>
      </c>
      <c r="BI74" s="38">
        <f t="shared" si="49"/>
        <v>0</v>
      </c>
      <c r="BJ74" s="38">
        <f t="shared" si="49"/>
        <v>0</v>
      </c>
      <c r="BK74" s="38">
        <f t="shared" si="49"/>
        <v>0</v>
      </c>
      <c r="BL74" s="38">
        <f t="shared" si="49"/>
        <v>0</v>
      </c>
      <c r="BM74" s="38">
        <f t="shared" si="49"/>
        <v>0</v>
      </c>
      <c r="BN74" s="38">
        <f t="shared" si="49"/>
        <v>0</v>
      </c>
      <c r="BO74" s="38">
        <f t="shared" si="49"/>
        <v>0</v>
      </c>
      <c r="BP74" s="38">
        <f t="shared" si="49"/>
        <v>0</v>
      </c>
      <c r="BQ74" s="38">
        <f t="shared" ref="BQ74:CV74" si="50" xml:space="preserve"> BQ$71</f>
        <v>0</v>
      </c>
      <c r="BR74" s="38">
        <f t="shared" si="50"/>
        <v>0</v>
      </c>
      <c r="BS74" s="38">
        <f t="shared" si="50"/>
        <v>0</v>
      </c>
      <c r="BT74" s="38">
        <f t="shared" si="50"/>
        <v>0</v>
      </c>
      <c r="BU74" s="38">
        <f t="shared" si="50"/>
        <v>0</v>
      </c>
      <c r="BV74" s="38">
        <f t="shared" si="50"/>
        <v>0</v>
      </c>
      <c r="BW74" s="38">
        <f t="shared" si="50"/>
        <v>0</v>
      </c>
      <c r="BX74" s="38">
        <f t="shared" si="50"/>
        <v>0</v>
      </c>
      <c r="BY74" s="38">
        <f t="shared" si="50"/>
        <v>0</v>
      </c>
      <c r="BZ74" s="38">
        <f t="shared" si="50"/>
        <v>0</v>
      </c>
      <c r="CA74" s="38">
        <f t="shared" si="50"/>
        <v>0</v>
      </c>
      <c r="CB74" s="38">
        <f t="shared" si="50"/>
        <v>0</v>
      </c>
      <c r="CC74" s="38">
        <f t="shared" si="50"/>
        <v>0</v>
      </c>
      <c r="CD74" s="38">
        <f t="shared" si="50"/>
        <v>0</v>
      </c>
      <c r="CE74" s="38">
        <f t="shared" si="50"/>
        <v>0</v>
      </c>
      <c r="CF74" s="38">
        <f t="shared" si="50"/>
        <v>0</v>
      </c>
      <c r="CG74" s="38">
        <f t="shared" si="50"/>
        <v>0</v>
      </c>
      <c r="CH74" s="38">
        <f t="shared" si="50"/>
        <v>0</v>
      </c>
      <c r="CI74" s="38">
        <f t="shared" si="50"/>
        <v>0</v>
      </c>
      <c r="CJ74" s="38">
        <f t="shared" si="50"/>
        <v>0</v>
      </c>
      <c r="CK74" s="38">
        <f t="shared" si="50"/>
        <v>0</v>
      </c>
      <c r="CL74" s="38">
        <f t="shared" si="50"/>
        <v>0</v>
      </c>
      <c r="CM74" s="38">
        <f t="shared" si="50"/>
        <v>0</v>
      </c>
      <c r="CN74" s="38">
        <f t="shared" si="50"/>
        <v>0</v>
      </c>
      <c r="CO74" s="38">
        <f t="shared" si="50"/>
        <v>0</v>
      </c>
      <c r="CP74" s="38">
        <f t="shared" si="50"/>
        <v>0</v>
      </c>
      <c r="CQ74" s="38">
        <f t="shared" si="50"/>
        <v>0</v>
      </c>
      <c r="CR74" s="38">
        <f t="shared" si="50"/>
        <v>0</v>
      </c>
      <c r="CS74" s="38">
        <f t="shared" si="50"/>
        <v>0</v>
      </c>
      <c r="CT74" s="38">
        <f t="shared" si="50"/>
        <v>0</v>
      </c>
      <c r="CU74" s="38">
        <f t="shared" si="50"/>
        <v>0</v>
      </c>
      <c r="CV74" s="38">
        <f t="shared" si="50"/>
        <v>0</v>
      </c>
    </row>
    <row r="75" spans="1:100" outlineLevel="2" x14ac:dyDescent="0.2">
      <c r="A75" s="141"/>
      <c r="B75" s="141"/>
      <c r="C75" s="142"/>
      <c r="D75" s="143"/>
      <c r="E75" s="144" t="s">
        <v>627</v>
      </c>
      <c r="F75" s="144"/>
      <c r="G75" s="144" t="str">
        <f xml:space="preserve"> SMU</f>
        <v>$ 000s</v>
      </c>
      <c r="H75" s="144">
        <f xml:space="preserve"> SUM(J75:CV75)</f>
        <v>792204.22663711873</v>
      </c>
      <c r="I75" s="144"/>
      <c r="J75" s="144">
        <f t="shared" ref="J75:AO75" si="51" xml:space="preserve"> J74 / $F73</f>
        <v>0</v>
      </c>
      <c r="K75" s="144">
        <f t="shared" si="51"/>
        <v>0</v>
      </c>
      <c r="L75" s="144">
        <f t="shared" si="51"/>
        <v>0</v>
      </c>
      <c r="M75" s="144">
        <f t="shared" si="51"/>
        <v>0</v>
      </c>
      <c r="N75" s="144">
        <f t="shared" si="51"/>
        <v>0</v>
      </c>
      <c r="O75" s="144">
        <f xml:space="preserve"> O74 / $F73</f>
        <v>20101.067729615475</v>
      </c>
      <c r="P75" s="144">
        <f t="shared" si="51"/>
        <v>20101.067729615475</v>
      </c>
      <c r="Q75" s="144">
        <f t="shared" si="51"/>
        <v>20068.639747579797</v>
      </c>
      <c r="R75" s="144">
        <f t="shared" si="51"/>
        <v>20068.639747579797</v>
      </c>
      <c r="S75" s="144">
        <f t="shared" si="51"/>
        <v>20036.414706000804</v>
      </c>
      <c r="T75" s="144">
        <f t="shared" si="51"/>
        <v>20036.414706000804</v>
      </c>
      <c r="U75" s="144">
        <f t="shared" si="51"/>
        <v>20004.39468269296</v>
      </c>
      <c r="V75" s="144">
        <f t="shared" si="51"/>
        <v>20004.39468269296</v>
      </c>
      <c r="W75" s="144">
        <f t="shared" si="51"/>
        <v>19972.581795926155</v>
      </c>
      <c r="X75" s="144">
        <f t="shared" si="51"/>
        <v>19972.581795926155</v>
      </c>
      <c r="Y75" s="144">
        <f t="shared" si="51"/>
        <v>19940.978205146155</v>
      </c>
      <c r="Z75" s="144">
        <f t="shared" si="51"/>
        <v>19940.978205146155</v>
      </c>
      <c r="AA75" s="144">
        <f t="shared" si="51"/>
        <v>19909.586111708071</v>
      </c>
      <c r="AB75" s="144">
        <f t="shared" si="51"/>
        <v>19909.586111708071</v>
      </c>
      <c r="AC75" s="144">
        <f t="shared" si="51"/>
        <v>19878.407759622987</v>
      </c>
      <c r="AD75" s="144">
        <f t="shared" si="51"/>
        <v>19878.407759622987</v>
      </c>
      <c r="AE75" s="144">
        <f t="shared" si="51"/>
        <v>19847.445436318063</v>
      </c>
      <c r="AF75" s="144">
        <f t="shared" si="51"/>
        <v>19847.445436318063</v>
      </c>
      <c r="AG75" s="144">
        <f t="shared" si="51"/>
        <v>19816.701473410223</v>
      </c>
      <c r="AH75" s="144">
        <f t="shared" si="51"/>
        <v>19816.701473410223</v>
      </c>
      <c r="AI75" s="144">
        <f t="shared" si="51"/>
        <v>19786.178247493852</v>
      </c>
      <c r="AJ75" s="144">
        <f t="shared" si="51"/>
        <v>19786.178247493852</v>
      </c>
      <c r="AK75" s="144">
        <f t="shared" si="51"/>
        <v>19755.878180942527</v>
      </c>
      <c r="AL75" s="144">
        <f t="shared" si="51"/>
        <v>19755.878180942527</v>
      </c>
      <c r="AM75" s="144">
        <f t="shared" si="51"/>
        <v>19725.803742725308</v>
      </c>
      <c r="AN75" s="144">
        <f t="shared" si="51"/>
        <v>19725.803742725308</v>
      </c>
      <c r="AO75" s="144">
        <f t="shared" si="51"/>
        <v>19695.957449237616</v>
      </c>
      <c r="AP75" s="144">
        <f t="shared" ref="AP75:BU75" si="52" xml:space="preserve"> AP74 / $F73</f>
        <v>19695.957449237616</v>
      </c>
      <c r="AQ75" s="144">
        <f t="shared" si="52"/>
        <v>19666.341865147042</v>
      </c>
      <c r="AR75" s="144">
        <f t="shared" si="52"/>
        <v>19666.341865147042</v>
      </c>
      <c r="AS75" s="144">
        <f t="shared" si="52"/>
        <v>19636.959604254404</v>
      </c>
      <c r="AT75" s="144">
        <f t="shared" si="52"/>
        <v>19636.959604254404</v>
      </c>
      <c r="AU75" s="144">
        <f t="shared" si="52"/>
        <v>19607.813330370303</v>
      </c>
      <c r="AV75" s="144">
        <f t="shared" si="52"/>
        <v>19607.813330370303</v>
      </c>
      <c r="AW75" s="144">
        <f t="shared" si="52"/>
        <v>19578.905758207362</v>
      </c>
      <c r="AX75" s="144">
        <f t="shared" si="52"/>
        <v>19578.905758207362</v>
      </c>
      <c r="AY75" s="144">
        <f t="shared" si="52"/>
        <v>19550.239654288544</v>
      </c>
      <c r="AZ75" s="144">
        <f t="shared" si="52"/>
        <v>19550.239654288544</v>
      </c>
      <c r="BA75" s="144">
        <f t="shared" si="52"/>
        <v>19521.817837871837</v>
      </c>
      <c r="BB75" s="144">
        <f t="shared" si="52"/>
        <v>19521.817837871837</v>
      </c>
      <c r="BC75" s="144">
        <f t="shared" si="52"/>
        <v>0</v>
      </c>
      <c r="BD75" s="144">
        <f t="shared" si="52"/>
        <v>0</v>
      </c>
      <c r="BE75" s="144">
        <f t="shared" si="52"/>
        <v>0</v>
      </c>
      <c r="BF75" s="144">
        <f t="shared" si="52"/>
        <v>0</v>
      </c>
      <c r="BG75" s="144">
        <f t="shared" si="52"/>
        <v>0</v>
      </c>
      <c r="BH75" s="144">
        <f t="shared" si="52"/>
        <v>0</v>
      </c>
      <c r="BI75" s="144">
        <f t="shared" si="52"/>
        <v>0</v>
      </c>
      <c r="BJ75" s="144">
        <f t="shared" si="52"/>
        <v>0</v>
      </c>
      <c r="BK75" s="144">
        <f t="shared" si="52"/>
        <v>0</v>
      </c>
      <c r="BL75" s="144">
        <f t="shared" si="52"/>
        <v>0</v>
      </c>
      <c r="BM75" s="144">
        <f t="shared" si="52"/>
        <v>0</v>
      </c>
      <c r="BN75" s="144">
        <f t="shared" si="52"/>
        <v>0</v>
      </c>
      <c r="BO75" s="144">
        <f t="shared" si="52"/>
        <v>0</v>
      </c>
      <c r="BP75" s="144">
        <f t="shared" si="52"/>
        <v>0</v>
      </c>
      <c r="BQ75" s="144">
        <f t="shared" si="52"/>
        <v>0</v>
      </c>
      <c r="BR75" s="144">
        <f t="shared" si="52"/>
        <v>0</v>
      </c>
      <c r="BS75" s="144">
        <f t="shared" si="52"/>
        <v>0</v>
      </c>
      <c r="BT75" s="144">
        <f t="shared" si="52"/>
        <v>0</v>
      </c>
      <c r="BU75" s="144">
        <f t="shared" si="52"/>
        <v>0</v>
      </c>
      <c r="BV75" s="144">
        <f t="shared" ref="BV75:CV75" si="53" xml:space="preserve"> BV74 / $F73</f>
        <v>0</v>
      </c>
      <c r="BW75" s="144">
        <f t="shared" si="53"/>
        <v>0</v>
      </c>
      <c r="BX75" s="144">
        <f t="shared" si="53"/>
        <v>0</v>
      </c>
      <c r="BY75" s="144">
        <f t="shared" si="53"/>
        <v>0</v>
      </c>
      <c r="BZ75" s="144">
        <f t="shared" si="53"/>
        <v>0</v>
      </c>
      <c r="CA75" s="144">
        <f t="shared" si="53"/>
        <v>0</v>
      </c>
      <c r="CB75" s="144">
        <f t="shared" si="53"/>
        <v>0</v>
      </c>
      <c r="CC75" s="144">
        <f t="shared" si="53"/>
        <v>0</v>
      </c>
      <c r="CD75" s="144">
        <f t="shared" si="53"/>
        <v>0</v>
      </c>
      <c r="CE75" s="144">
        <f t="shared" si="53"/>
        <v>0</v>
      </c>
      <c r="CF75" s="144">
        <f t="shared" si="53"/>
        <v>0</v>
      </c>
      <c r="CG75" s="144">
        <f t="shared" si="53"/>
        <v>0</v>
      </c>
      <c r="CH75" s="144">
        <f t="shared" si="53"/>
        <v>0</v>
      </c>
      <c r="CI75" s="144">
        <f t="shared" si="53"/>
        <v>0</v>
      </c>
      <c r="CJ75" s="144">
        <f t="shared" si="53"/>
        <v>0</v>
      </c>
      <c r="CK75" s="144">
        <f t="shared" si="53"/>
        <v>0</v>
      </c>
      <c r="CL75" s="144">
        <f t="shared" si="53"/>
        <v>0</v>
      </c>
      <c r="CM75" s="144">
        <f t="shared" si="53"/>
        <v>0</v>
      </c>
      <c r="CN75" s="144">
        <f t="shared" si="53"/>
        <v>0</v>
      </c>
      <c r="CO75" s="144">
        <f t="shared" si="53"/>
        <v>0</v>
      </c>
      <c r="CP75" s="144">
        <f t="shared" si="53"/>
        <v>0</v>
      </c>
      <c r="CQ75" s="144">
        <f t="shared" si="53"/>
        <v>0</v>
      </c>
      <c r="CR75" s="144">
        <f t="shared" si="53"/>
        <v>0</v>
      </c>
      <c r="CS75" s="144">
        <f t="shared" si="53"/>
        <v>0</v>
      </c>
      <c r="CT75" s="144">
        <f t="shared" si="53"/>
        <v>0</v>
      </c>
      <c r="CU75" s="144">
        <f t="shared" si="53"/>
        <v>0</v>
      </c>
      <c r="CV75" s="144">
        <f t="shared" si="53"/>
        <v>0</v>
      </c>
    </row>
    <row r="76" spans="1:100" outlineLevel="2" x14ac:dyDescent="0.2">
      <c r="A76" s="236"/>
      <c r="B76" s="236"/>
      <c r="C76" s="237"/>
      <c r="D76" s="238"/>
      <c r="E76" s="235"/>
      <c r="F76" s="235"/>
      <c r="G76" s="235"/>
      <c r="H76" s="235"/>
      <c r="I76" s="235"/>
      <c r="J76" s="235"/>
      <c r="K76" s="235"/>
      <c r="L76" s="235"/>
      <c r="M76" s="235"/>
      <c r="N76" s="235"/>
      <c r="O76" s="235"/>
      <c r="P76" s="235"/>
      <c r="Q76" s="235"/>
      <c r="R76" s="235"/>
      <c r="S76" s="235"/>
      <c r="T76" s="235"/>
      <c r="U76" s="235"/>
      <c r="V76" s="235"/>
      <c r="W76" s="235"/>
      <c r="X76" s="235"/>
      <c r="Y76" s="235"/>
      <c r="Z76" s="235"/>
      <c r="AA76" s="235"/>
      <c r="AB76" s="235"/>
      <c r="AC76" s="235"/>
      <c r="AD76" s="235"/>
      <c r="AE76" s="235"/>
      <c r="AF76" s="235"/>
      <c r="AG76" s="235"/>
      <c r="AH76" s="235"/>
      <c r="AI76" s="235"/>
      <c r="AJ76" s="235"/>
      <c r="AK76" s="235"/>
      <c r="AL76" s="235"/>
      <c r="AM76" s="235"/>
      <c r="AN76" s="235"/>
      <c r="AO76" s="235"/>
      <c r="AP76" s="235"/>
      <c r="AQ76" s="235"/>
      <c r="AR76" s="235"/>
      <c r="AS76" s="235"/>
      <c r="AT76" s="235"/>
      <c r="AU76" s="235"/>
      <c r="AV76" s="235"/>
      <c r="AW76" s="235"/>
      <c r="AX76" s="235"/>
      <c r="AY76" s="235"/>
      <c r="AZ76" s="235"/>
      <c r="BA76" s="235"/>
      <c r="BB76" s="235"/>
      <c r="BC76" s="235"/>
      <c r="BD76" s="235"/>
      <c r="BE76" s="235"/>
      <c r="BF76" s="235"/>
      <c r="BG76" s="235"/>
      <c r="BH76" s="235"/>
      <c r="BI76" s="235"/>
      <c r="BJ76" s="235"/>
      <c r="BK76" s="235"/>
      <c r="BL76" s="235"/>
      <c r="BM76" s="235"/>
      <c r="BN76" s="235"/>
      <c r="BO76" s="235"/>
      <c r="BP76" s="235"/>
      <c r="BQ76" s="235"/>
      <c r="BR76" s="235"/>
      <c r="BS76" s="235"/>
      <c r="BT76" s="235"/>
      <c r="BU76" s="235"/>
      <c r="BV76" s="235"/>
      <c r="BW76" s="235"/>
      <c r="BX76" s="235"/>
      <c r="BY76" s="235"/>
      <c r="BZ76" s="235"/>
      <c r="CA76" s="235"/>
      <c r="CB76" s="235"/>
      <c r="CC76" s="235"/>
      <c r="CD76" s="235"/>
      <c r="CE76" s="235"/>
      <c r="CF76" s="235"/>
      <c r="CG76" s="235"/>
      <c r="CH76" s="235"/>
      <c r="CI76" s="235"/>
      <c r="CJ76" s="235"/>
      <c r="CK76" s="235"/>
      <c r="CL76" s="235"/>
      <c r="CM76" s="235"/>
      <c r="CN76" s="235"/>
      <c r="CO76" s="235"/>
      <c r="CP76" s="235"/>
      <c r="CQ76" s="235"/>
      <c r="CR76" s="235"/>
      <c r="CS76" s="235"/>
      <c r="CT76" s="235"/>
      <c r="CU76" s="235"/>
      <c r="CV76" s="235"/>
    </row>
    <row r="77" spans="1:100" x14ac:dyDescent="0.2">
      <c r="A77" s="236"/>
      <c r="B77" s="236"/>
      <c r="C77" s="237"/>
      <c r="D77" s="238"/>
      <c r="E77" s="235"/>
      <c r="F77" s="235"/>
      <c r="G77" s="235"/>
      <c r="H77" s="235"/>
      <c r="I77" s="235"/>
      <c r="J77" s="235"/>
      <c r="K77" s="235"/>
      <c r="L77" s="235"/>
      <c r="M77" s="235"/>
      <c r="N77" s="235"/>
      <c r="O77" s="235"/>
      <c r="P77" s="235"/>
      <c r="Q77" s="235"/>
      <c r="R77" s="235"/>
      <c r="S77" s="235"/>
      <c r="T77" s="235"/>
      <c r="U77" s="235"/>
      <c r="V77" s="235"/>
      <c r="W77" s="235"/>
      <c r="X77" s="235"/>
      <c r="Y77" s="235"/>
      <c r="Z77" s="235"/>
      <c r="AA77" s="235"/>
      <c r="AB77" s="235"/>
      <c r="AC77" s="235"/>
      <c r="AD77" s="235"/>
      <c r="AE77" s="235"/>
      <c r="AF77" s="235"/>
      <c r="AG77" s="235"/>
      <c r="AH77" s="235"/>
      <c r="AI77" s="235"/>
      <c r="AJ77" s="235"/>
      <c r="AK77" s="235"/>
      <c r="AL77" s="235"/>
      <c r="AM77" s="235"/>
      <c r="AN77" s="235"/>
      <c r="AO77" s="235"/>
      <c r="AP77" s="235"/>
      <c r="AQ77" s="235"/>
      <c r="AR77" s="235"/>
      <c r="AS77" s="235"/>
      <c r="AT77" s="235"/>
      <c r="AU77" s="235"/>
      <c r="AV77" s="235"/>
      <c r="AW77" s="235"/>
      <c r="AX77" s="235"/>
      <c r="AY77" s="235"/>
      <c r="AZ77" s="235"/>
      <c r="BA77" s="235"/>
      <c r="BB77" s="235"/>
      <c r="BC77" s="235"/>
      <c r="BD77" s="235"/>
      <c r="BE77" s="235"/>
      <c r="BF77" s="235"/>
      <c r="BG77" s="235"/>
      <c r="BH77" s="235"/>
      <c r="BI77" s="235"/>
      <c r="BJ77" s="235"/>
      <c r="BK77" s="235"/>
      <c r="BL77" s="235"/>
      <c r="BM77" s="235"/>
      <c r="BN77" s="235"/>
      <c r="BO77" s="235"/>
      <c r="BP77" s="235"/>
      <c r="BQ77" s="235"/>
      <c r="BR77" s="235"/>
      <c r="BS77" s="235"/>
      <c r="BT77" s="235"/>
      <c r="BU77" s="235"/>
      <c r="BV77" s="235"/>
      <c r="BW77" s="235"/>
      <c r="BX77" s="235"/>
      <c r="BY77" s="235"/>
      <c r="BZ77" s="235"/>
      <c r="CA77" s="235"/>
      <c r="CB77" s="235"/>
      <c r="CC77" s="235"/>
      <c r="CD77" s="235"/>
      <c r="CE77" s="235"/>
      <c r="CF77" s="235"/>
      <c r="CG77" s="235"/>
      <c r="CH77" s="235"/>
      <c r="CI77" s="235"/>
      <c r="CJ77" s="235"/>
      <c r="CK77" s="235"/>
      <c r="CL77" s="235"/>
      <c r="CM77" s="235"/>
      <c r="CN77" s="235"/>
      <c r="CO77" s="235"/>
      <c r="CP77" s="235"/>
      <c r="CQ77" s="235"/>
      <c r="CR77" s="235"/>
      <c r="CS77" s="235"/>
      <c r="CT77" s="235"/>
      <c r="CU77" s="235"/>
      <c r="CV77" s="235"/>
    </row>
    <row r="78" spans="1:100" x14ac:dyDescent="0.2">
      <c r="A78" s="236" t="s">
        <v>1166</v>
      </c>
      <c r="B78" s="236"/>
      <c r="C78" s="237"/>
      <c r="D78" s="238"/>
      <c r="E78" s="235"/>
      <c r="F78" s="235"/>
      <c r="G78" s="235"/>
      <c r="H78" s="235"/>
      <c r="I78" s="235"/>
      <c r="J78" s="235"/>
      <c r="K78" s="235"/>
      <c r="L78" s="235"/>
      <c r="M78" s="235"/>
      <c r="N78" s="235"/>
      <c r="O78" s="235"/>
      <c r="P78" s="235"/>
      <c r="Q78" s="235"/>
      <c r="R78" s="235"/>
      <c r="S78" s="235"/>
      <c r="T78" s="235"/>
      <c r="U78" s="235"/>
      <c r="V78" s="235"/>
      <c r="W78" s="235"/>
      <c r="X78" s="235"/>
      <c r="Y78" s="235"/>
      <c r="Z78" s="235"/>
      <c r="AA78" s="235"/>
      <c r="AB78" s="235"/>
      <c r="AC78" s="235"/>
      <c r="AD78" s="235"/>
      <c r="AE78" s="235"/>
      <c r="AF78" s="235"/>
      <c r="AG78" s="235"/>
      <c r="AH78" s="235"/>
      <c r="AI78" s="235"/>
      <c r="AJ78" s="235"/>
      <c r="AK78" s="235"/>
      <c r="AL78" s="235"/>
      <c r="AM78" s="235"/>
      <c r="AN78" s="235"/>
      <c r="AO78" s="235"/>
      <c r="AP78" s="235"/>
      <c r="AQ78" s="235"/>
      <c r="AR78" s="235"/>
      <c r="AS78" s="235"/>
      <c r="AT78" s="235"/>
      <c r="AU78" s="235"/>
      <c r="AV78" s="235"/>
      <c r="AW78" s="235"/>
      <c r="AX78" s="235"/>
      <c r="AY78" s="235"/>
      <c r="AZ78" s="235"/>
      <c r="BA78" s="235"/>
      <c r="BB78" s="235"/>
      <c r="BC78" s="235"/>
      <c r="BD78" s="235"/>
      <c r="BE78" s="235"/>
      <c r="BF78" s="235"/>
      <c r="BG78" s="235"/>
      <c r="BH78" s="235"/>
      <c r="BI78" s="235"/>
      <c r="BJ78" s="235"/>
      <c r="BK78" s="235"/>
      <c r="BL78" s="235"/>
      <c r="BM78" s="235"/>
      <c r="BN78" s="235"/>
      <c r="BO78" s="235"/>
      <c r="BP78" s="235"/>
      <c r="BQ78" s="235"/>
      <c r="BR78" s="235"/>
      <c r="BS78" s="235"/>
      <c r="BT78" s="235"/>
      <c r="BU78" s="235"/>
      <c r="BV78" s="235"/>
      <c r="BW78" s="235"/>
      <c r="BX78" s="235"/>
      <c r="BY78" s="235"/>
      <c r="BZ78" s="235"/>
      <c r="CA78" s="235"/>
      <c r="CB78" s="235"/>
      <c r="CC78" s="235"/>
      <c r="CD78" s="235"/>
      <c r="CE78" s="235"/>
      <c r="CF78" s="235"/>
      <c r="CG78" s="235"/>
      <c r="CH78" s="235"/>
      <c r="CI78" s="235"/>
      <c r="CJ78" s="235"/>
      <c r="CK78" s="235"/>
      <c r="CL78" s="235"/>
      <c r="CM78" s="235"/>
      <c r="CN78" s="235"/>
      <c r="CO78" s="235"/>
      <c r="CP78" s="235"/>
      <c r="CQ78" s="235"/>
      <c r="CR78" s="235"/>
      <c r="CS78" s="235"/>
      <c r="CT78" s="235"/>
      <c r="CU78" s="235"/>
      <c r="CV78" s="235"/>
    </row>
    <row r="79" spans="1:100" outlineLevel="1" x14ac:dyDescent="0.2">
      <c r="A79" s="236"/>
      <c r="B79" s="236"/>
      <c r="C79" s="237"/>
      <c r="D79" s="238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  <c r="BG79" s="235"/>
      <c r="BH79" s="235"/>
      <c r="BI79" s="235"/>
      <c r="BJ79" s="235"/>
      <c r="BK79" s="235"/>
      <c r="BL79" s="235"/>
      <c r="BM79" s="235"/>
      <c r="BN79" s="235"/>
      <c r="BO79" s="235"/>
      <c r="BP79" s="235"/>
      <c r="BQ79" s="235"/>
      <c r="BR79" s="235"/>
      <c r="BS79" s="235"/>
      <c r="BT79" s="235"/>
      <c r="BU79" s="235"/>
      <c r="BV79" s="235"/>
      <c r="BW79" s="235"/>
      <c r="BX79" s="235"/>
      <c r="BY79" s="235"/>
      <c r="BZ79" s="235"/>
      <c r="CA79" s="235"/>
      <c r="CB79" s="235"/>
      <c r="CC79" s="235"/>
      <c r="CD79" s="235"/>
      <c r="CE79" s="235"/>
      <c r="CF79" s="235"/>
      <c r="CG79" s="235"/>
      <c r="CH79" s="235"/>
      <c r="CI79" s="235"/>
      <c r="CJ79" s="235"/>
      <c r="CK79" s="235"/>
      <c r="CL79" s="235"/>
      <c r="CM79" s="235"/>
      <c r="CN79" s="235"/>
      <c r="CO79" s="235"/>
      <c r="CP79" s="235"/>
      <c r="CQ79" s="235"/>
      <c r="CR79" s="235"/>
      <c r="CS79" s="235"/>
      <c r="CT79" s="235"/>
      <c r="CU79" s="235"/>
      <c r="CV79" s="235"/>
    </row>
    <row r="80" spans="1:100" outlineLevel="1" x14ac:dyDescent="0.2">
      <c r="A80" s="236"/>
      <c r="B80" s="236"/>
      <c r="C80" s="237"/>
      <c r="D80" s="238"/>
      <c r="E80" s="9" t="str">
        <f t="shared" ref="E80:G80" si="54" xml:space="preserve"> E$26</f>
        <v>Year 1 P50 production</v>
      </c>
      <c r="F80" s="9">
        <f t="shared" si="54"/>
        <v>1051.2</v>
      </c>
      <c r="G80" s="9" t="str">
        <f t="shared" si="54"/>
        <v>GWh p.a.</v>
      </c>
      <c r="H80" s="235"/>
      <c r="I80" s="235"/>
      <c r="J80" s="235"/>
      <c r="K80" s="235"/>
      <c r="L80" s="235"/>
      <c r="M80" s="235"/>
      <c r="N80" s="235"/>
      <c r="O80" s="235"/>
      <c r="P80" s="235"/>
      <c r="Q80" s="235"/>
      <c r="R80" s="235"/>
      <c r="S80" s="235"/>
      <c r="T80" s="235"/>
      <c r="U80" s="235"/>
      <c r="V80" s="235"/>
      <c r="W80" s="235"/>
      <c r="X80" s="235"/>
      <c r="Y80" s="235"/>
      <c r="Z80" s="235"/>
      <c r="AA80" s="235"/>
      <c r="AB80" s="235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5"/>
      <c r="AN80" s="235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  <c r="BD80" s="235"/>
      <c r="BE80" s="235"/>
      <c r="BF80" s="235"/>
      <c r="BG80" s="235"/>
      <c r="BH80" s="235"/>
      <c r="BI80" s="235"/>
      <c r="BJ80" s="235"/>
      <c r="BK80" s="235"/>
      <c r="BL80" s="235"/>
      <c r="BM80" s="235"/>
      <c r="BN80" s="235"/>
      <c r="BO80" s="235"/>
      <c r="BP80" s="235"/>
      <c r="BQ80" s="235"/>
      <c r="BR80" s="235"/>
      <c r="BS80" s="235"/>
      <c r="BT80" s="235"/>
      <c r="BU80" s="235"/>
      <c r="BV80" s="235"/>
      <c r="BW80" s="235"/>
      <c r="BX80" s="235"/>
      <c r="BY80" s="235"/>
      <c r="BZ80" s="235"/>
      <c r="CA80" s="235"/>
      <c r="CB80" s="235"/>
      <c r="CC80" s="235"/>
      <c r="CD80" s="235"/>
      <c r="CE80" s="235"/>
      <c r="CF80" s="235"/>
      <c r="CG80" s="235"/>
      <c r="CH80" s="235"/>
      <c r="CI80" s="235"/>
      <c r="CJ80" s="235"/>
      <c r="CK80" s="235"/>
      <c r="CL80" s="235"/>
      <c r="CM80" s="235"/>
      <c r="CN80" s="235"/>
      <c r="CO80" s="235"/>
      <c r="CP80" s="235"/>
      <c r="CQ80" s="235"/>
      <c r="CR80" s="235"/>
      <c r="CS80" s="235"/>
      <c r="CT80" s="235"/>
      <c r="CU80" s="235"/>
      <c r="CV80" s="235"/>
    </row>
    <row r="81" spans="1:100" outlineLevel="1" x14ac:dyDescent="0.2">
      <c r="A81" s="236"/>
      <c r="B81" s="236"/>
      <c r="C81" s="237"/>
      <c r="D81" s="238"/>
      <c r="E81" s="145" t="str">
        <f xml:space="preserve"> InpC!E$39</f>
        <v>Yield uncertainty (1std deviation)</v>
      </c>
      <c r="F81" s="316">
        <f xml:space="preserve"> InpC!F$39</f>
        <v>0.08</v>
      </c>
      <c r="G81" s="145" t="str">
        <f xml:space="preserve"> InpC!G$39</f>
        <v>%</v>
      </c>
      <c r="H81" s="281"/>
      <c r="I81" s="235"/>
      <c r="J81" s="235"/>
      <c r="K81" s="235"/>
      <c r="L81" s="235"/>
      <c r="M81" s="235"/>
      <c r="N81" s="235"/>
      <c r="O81" s="235"/>
      <c r="P81" s="235"/>
      <c r="Q81" s="235"/>
      <c r="R81" s="235"/>
      <c r="S81" s="235"/>
      <c r="T81" s="235"/>
      <c r="U81" s="235"/>
      <c r="V81" s="235"/>
      <c r="W81" s="235"/>
      <c r="X81" s="235"/>
      <c r="Y81" s="235"/>
      <c r="Z81" s="235"/>
      <c r="AA81" s="235"/>
      <c r="AB81" s="235"/>
      <c r="AC81" s="235"/>
      <c r="AD81" s="235"/>
      <c r="AE81" s="235"/>
      <c r="AF81" s="235"/>
      <c r="AG81" s="235"/>
      <c r="AH81" s="235"/>
      <c r="AI81" s="235"/>
      <c r="AJ81" s="235"/>
      <c r="AK81" s="235"/>
      <c r="AL81" s="235"/>
      <c r="AM81" s="235"/>
      <c r="AN81" s="235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  <c r="BD81" s="235"/>
      <c r="BE81" s="235"/>
      <c r="BF81" s="235"/>
      <c r="BG81" s="235"/>
      <c r="BH81" s="235"/>
      <c r="BI81" s="235"/>
      <c r="BJ81" s="235"/>
      <c r="BK81" s="235"/>
      <c r="BL81" s="235"/>
      <c r="BM81" s="235"/>
      <c r="BN81" s="235"/>
      <c r="BO81" s="235"/>
      <c r="BP81" s="235"/>
      <c r="BQ81" s="235"/>
      <c r="BR81" s="235"/>
      <c r="BS81" s="235"/>
      <c r="BT81" s="235"/>
      <c r="BU81" s="235"/>
      <c r="BV81" s="235"/>
      <c r="BW81" s="235"/>
      <c r="BX81" s="235"/>
      <c r="BY81" s="235"/>
      <c r="BZ81" s="235"/>
      <c r="CA81" s="235"/>
      <c r="CB81" s="235"/>
      <c r="CC81" s="235"/>
      <c r="CD81" s="235"/>
      <c r="CE81" s="235"/>
      <c r="CF81" s="235"/>
      <c r="CG81" s="235"/>
      <c r="CH81" s="235"/>
      <c r="CI81" s="235"/>
      <c r="CJ81" s="235"/>
      <c r="CK81" s="235"/>
      <c r="CL81" s="235"/>
      <c r="CM81" s="235"/>
      <c r="CN81" s="235"/>
      <c r="CO81" s="235"/>
      <c r="CP81" s="235"/>
      <c r="CQ81" s="235"/>
      <c r="CR81" s="235"/>
      <c r="CS81" s="235"/>
      <c r="CT81" s="235"/>
      <c r="CU81" s="235"/>
      <c r="CV81" s="235"/>
    </row>
    <row r="82" spans="1:100" outlineLevel="1" x14ac:dyDescent="0.2">
      <c r="A82" s="236"/>
      <c r="B82" s="236"/>
      <c r="C82" s="237"/>
      <c r="D82" s="238"/>
      <c r="E82" s="145" t="str">
        <f xml:space="preserve"> InpC!E$40</f>
        <v>P99 probability</v>
      </c>
      <c r="F82" s="316">
        <f xml:space="preserve"> InpC!F$40</f>
        <v>0.01</v>
      </c>
      <c r="G82" s="145" t="str">
        <f xml:space="preserve"> InpC!G$40</f>
        <v>%</v>
      </c>
      <c r="H82" s="281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s="188" customFormat="1" outlineLevel="1" x14ac:dyDescent="0.2">
      <c r="A83" s="141"/>
      <c r="B83" s="141"/>
      <c r="C83" s="142"/>
      <c r="D83" s="143"/>
      <c r="E83" s="144" t="s">
        <v>1165</v>
      </c>
      <c r="F83" s="144">
        <f xml:space="preserve"> _xlfn.NORM.INV(F82, F80, F80 * F81)</f>
        <v>855.56344918466152</v>
      </c>
      <c r="G83" s="144" t="s">
        <v>408</v>
      </c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  <c r="AH83" s="144"/>
      <c r="AI83" s="144"/>
      <c r="AJ83" s="144"/>
      <c r="AK83" s="144"/>
      <c r="AL83" s="144"/>
      <c r="AM83" s="144"/>
      <c r="AN83" s="144"/>
      <c r="AO83" s="144"/>
      <c r="AP83" s="144"/>
      <c r="AQ83" s="144"/>
      <c r="AR83" s="144"/>
      <c r="AS83" s="144"/>
      <c r="AT83" s="144"/>
      <c r="AU83" s="144"/>
      <c r="AV83" s="144"/>
      <c r="AW83" s="144"/>
      <c r="AX83" s="144"/>
      <c r="AY83" s="144"/>
      <c r="AZ83" s="144"/>
      <c r="BA83" s="144"/>
      <c r="BB83" s="144"/>
      <c r="BC83" s="144"/>
      <c r="BD83" s="144"/>
      <c r="BE83" s="144"/>
      <c r="BF83" s="144"/>
      <c r="BG83" s="144"/>
      <c r="BH83" s="144"/>
      <c r="BI83" s="144"/>
      <c r="BJ83" s="144"/>
      <c r="BK83" s="144"/>
      <c r="BL83" s="144"/>
      <c r="BM83" s="144"/>
      <c r="BN83" s="144"/>
      <c r="BO83" s="144"/>
      <c r="BP83" s="144"/>
      <c r="BQ83" s="144"/>
      <c r="BR83" s="144"/>
      <c r="BS83" s="144"/>
      <c r="BT83" s="144"/>
      <c r="BU83" s="144"/>
      <c r="BV83" s="144"/>
      <c r="BW83" s="144"/>
      <c r="BX83" s="144"/>
      <c r="BY83" s="144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  <c r="CP83" s="144"/>
      <c r="CQ83" s="144"/>
      <c r="CR83" s="144"/>
      <c r="CS83" s="144"/>
      <c r="CT83" s="144"/>
      <c r="CU83" s="144"/>
      <c r="CV83" s="144"/>
    </row>
    <row r="84" spans="1:100" outlineLevel="1" x14ac:dyDescent="0.2">
      <c r="A84" s="236"/>
      <c r="B84" s="236"/>
      <c r="C84" s="237"/>
      <c r="D84" s="238"/>
      <c r="E84" s="235"/>
      <c r="F84" s="235"/>
      <c r="G84" s="235"/>
      <c r="H84" s="235"/>
      <c r="I84" s="235"/>
      <c r="J84" s="235"/>
      <c r="K84" s="235"/>
      <c r="L84" s="235"/>
      <c r="M84" s="235"/>
      <c r="N84" s="235"/>
      <c r="O84" s="235"/>
      <c r="P84" s="235"/>
      <c r="Q84" s="235"/>
      <c r="R84" s="235"/>
      <c r="S84" s="235"/>
      <c r="T84" s="235"/>
      <c r="U84" s="235"/>
      <c r="V84" s="235"/>
      <c r="W84" s="235"/>
      <c r="X84" s="235"/>
      <c r="Y84" s="235"/>
      <c r="Z84" s="235"/>
      <c r="AA84" s="235"/>
      <c r="AB84" s="235"/>
      <c r="AC84" s="235"/>
      <c r="AD84" s="235"/>
      <c r="AE84" s="235"/>
      <c r="AF84" s="235"/>
      <c r="AG84" s="235"/>
      <c r="AH84" s="235"/>
      <c r="AI84" s="235"/>
      <c r="AJ84" s="235"/>
      <c r="AK84" s="235"/>
      <c r="AL84" s="235"/>
      <c r="AM84" s="235"/>
      <c r="AN84" s="235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  <c r="BD84" s="235"/>
      <c r="BE84" s="235"/>
      <c r="BF84" s="235"/>
      <c r="BG84" s="235"/>
      <c r="BH84" s="235"/>
      <c r="BI84" s="235"/>
      <c r="BJ84" s="235"/>
      <c r="BK84" s="235"/>
      <c r="BL84" s="235"/>
      <c r="BM84" s="235"/>
      <c r="BN84" s="235"/>
      <c r="BO84" s="235"/>
      <c r="BP84" s="235"/>
      <c r="BQ84" s="235"/>
      <c r="BR84" s="235"/>
      <c r="BS84" s="235"/>
      <c r="BT84" s="235"/>
      <c r="BU84" s="235"/>
      <c r="BV84" s="235"/>
      <c r="BW84" s="235"/>
      <c r="BX84" s="235"/>
      <c r="BY84" s="235"/>
      <c r="BZ84" s="235"/>
      <c r="CA84" s="235"/>
      <c r="CB84" s="235"/>
      <c r="CC84" s="235"/>
      <c r="CD84" s="235"/>
      <c r="CE84" s="235"/>
      <c r="CF84" s="235"/>
      <c r="CG84" s="235"/>
      <c r="CH84" s="235"/>
      <c r="CI84" s="235"/>
      <c r="CJ84" s="235"/>
      <c r="CK84" s="235"/>
      <c r="CL84" s="235"/>
      <c r="CM84" s="235"/>
      <c r="CN84" s="235"/>
      <c r="CO84" s="235"/>
      <c r="CP84" s="235"/>
      <c r="CQ84" s="235"/>
      <c r="CR84" s="235"/>
      <c r="CS84" s="235"/>
      <c r="CT84" s="235"/>
      <c r="CU84" s="235"/>
      <c r="CV84" s="235"/>
    </row>
    <row r="85" spans="1:100" outlineLevel="1" x14ac:dyDescent="0.2">
      <c r="A85" s="236"/>
      <c r="B85" s="236"/>
      <c r="C85" s="237"/>
      <c r="D85" s="238"/>
      <c r="E85" s="235"/>
      <c r="F85" s="235"/>
      <c r="G85" s="235"/>
      <c r="H85" s="235"/>
      <c r="I85" s="235"/>
      <c r="J85" s="235"/>
      <c r="K85" s="235"/>
      <c r="L85" s="235"/>
      <c r="M85" s="235"/>
      <c r="N85" s="235"/>
      <c r="O85" s="235"/>
      <c r="P85" s="235"/>
      <c r="Q85" s="235"/>
      <c r="R85" s="235"/>
      <c r="S85" s="235"/>
      <c r="T85" s="235"/>
      <c r="U85" s="235"/>
      <c r="V85" s="235"/>
      <c r="W85" s="235"/>
      <c r="X85" s="235"/>
      <c r="Y85" s="235"/>
      <c r="Z85" s="235"/>
      <c r="AA85" s="235"/>
      <c r="AB85" s="235"/>
      <c r="AC85" s="235"/>
      <c r="AD85" s="235"/>
      <c r="AE85" s="235"/>
      <c r="AF85" s="235"/>
      <c r="AG85" s="235"/>
      <c r="AH85" s="235"/>
      <c r="AI85" s="235"/>
      <c r="AJ85" s="235"/>
      <c r="AK85" s="235"/>
      <c r="AL85" s="235"/>
      <c r="AM85" s="235"/>
      <c r="AN85" s="235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  <c r="BD85" s="235"/>
      <c r="BE85" s="235"/>
      <c r="BF85" s="235"/>
      <c r="BG85" s="235"/>
      <c r="BH85" s="235"/>
      <c r="BI85" s="235"/>
      <c r="BJ85" s="235"/>
      <c r="BK85" s="235"/>
      <c r="BL85" s="235"/>
      <c r="BM85" s="235"/>
      <c r="BN85" s="235"/>
      <c r="BO85" s="235"/>
      <c r="BP85" s="235"/>
      <c r="BQ85" s="235"/>
      <c r="BR85" s="235"/>
      <c r="BS85" s="235"/>
      <c r="BT85" s="235"/>
      <c r="BU85" s="235"/>
      <c r="BV85" s="235"/>
      <c r="BW85" s="235"/>
      <c r="BX85" s="235"/>
      <c r="BY85" s="235"/>
      <c r="BZ85" s="235"/>
      <c r="CA85" s="235"/>
      <c r="CB85" s="235"/>
      <c r="CC85" s="235"/>
      <c r="CD85" s="235"/>
      <c r="CE85" s="235"/>
      <c r="CF85" s="235"/>
      <c r="CG85" s="235"/>
      <c r="CH85" s="235"/>
      <c r="CI85" s="235"/>
      <c r="CJ85" s="235"/>
      <c r="CK85" s="235"/>
      <c r="CL85" s="235"/>
      <c r="CM85" s="235"/>
      <c r="CN85" s="235"/>
      <c r="CO85" s="235"/>
      <c r="CP85" s="235"/>
      <c r="CQ85" s="235"/>
      <c r="CR85" s="235"/>
      <c r="CS85" s="235"/>
      <c r="CT85" s="235"/>
      <c r="CU85" s="235"/>
      <c r="CV85" s="235"/>
    </row>
    <row r="86" spans="1:100" outlineLevel="1" x14ac:dyDescent="0.2">
      <c r="A86" s="85"/>
      <c r="B86" s="85"/>
      <c r="C86" s="86"/>
      <c r="D86" s="87"/>
      <c r="E86" s="38" t="str">
        <f t="shared" ref="E86:G86" si="55" xml:space="preserve"> E$83</f>
        <v>Year 1 P99 production</v>
      </c>
      <c r="F86" s="38">
        <f t="shared" si="55"/>
        <v>855.56344918466152</v>
      </c>
      <c r="G86" s="38" t="str">
        <f t="shared" si="55"/>
        <v>GWh p.a.</v>
      </c>
      <c r="H86" s="145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  <c r="BJ86" s="68"/>
      <c r="BK86" s="68"/>
      <c r="BL86" s="68"/>
      <c r="BM86" s="68"/>
      <c r="BN86" s="68"/>
      <c r="BO86" s="68"/>
      <c r="BP86" s="68"/>
      <c r="BQ86" s="68"/>
      <c r="BR86" s="68"/>
      <c r="BS86" s="68"/>
      <c r="BT86" s="68"/>
      <c r="BU86" s="68"/>
      <c r="BV86" s="68"/>
      <c r="BW86" s="68"/>
      <c r="BX86" s="68"/>
      <c r="BY86" s="68"/>
      <c r="BZ86" s="68"/>
      <c r="CA86" s="68"/>
      <c r="CB86" s="68"/>
      <c r="CC86" s="68"/>
      <c r="CD86" s="68"/>
      <c r="CE86" s="68"/>
      <c r="CF86" s="68"/>
      <c r="CG86" s="68"/>
      <c r="CH86" s="68"/>
      <c r="CI86" s="68"/>
      <c r="CJ86" s="68"/>
      <c r="CK86" s="68"/>
      <c r="CL86" s="68"/>
      <c r="CM86" s="68"/>
      <c r="CN86" s="68"/>
      <c r="CO86" s="68"/>
      <c r="CP86" s="68"/>
      <c r="CQ86" s="68"/>
      <c r="CR86" s="68"/>
      <c r="CS86" s="68"/>
      <c r="CT86" s="68"/>
      <c r="CU86" s="68"/>
      <c r="CV86" s="68"/>
    </row>
    <row r="87" spans="1:100" outlineLevel="1" x14ac:dyDescent="0.2">
      <c r="A87" s="85"/>
      <c r="B87" s="85"/>
      <c r="C87" s="86"/>
      <c r="D87" s="87"/>
      <c r="E87" s="145" t="str">
        <f xml:space="preserve"> Sensitivity!E$19</f>
        <v>Wind yield - sensitivity</v>
      </c>
      <c r="F87" s="145">
        <f xml:space="preserve"> Sensitivity!F$19</f>
        <v>0</v>
      </c>
      <c r="G87" s="145" t="str">
        <f xml:space="preserve"> Sensitivity!G$19</f>
        <v>%</v>
      </c>
      <c r="H87" s="145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  <c r="BJ87" s="68"/>
      <c r="BK87" s="68"/>
      <c r="BL87" s="68"/>
      <c r="BM87" s="68"/>
      <c r="BN87" s="68"/>
      <c r="BO87" s="68"/>
      <c r="BP87" s="68"/>
      <c r="BQ87" s="68"/>
      <c r="BR87" s="68"/>
      <c r="BS87" s="68"/>
      <c r="BT87" s="68"/>
      <c r="BU87" s="68"/>
      <c r="BV87" s="68"/>
      <c r="BW87" s="68"/>
      <c r="BX87" s="68"/>
      <c r="BY87" s="68"/>
      <c r="BZ87" s="68"/>
      <c r="CA87" s="68"/>
      <c r="CB87" s="68"/>
      <c r="CC87" s="68"/>
      <c r="CD87" s="68"/>
      <c r="CE87" s="68"/>
      <c r="CF87" s="68"/>
      <c r="CG87" s="68"/>
      <c r="CH87" s="68"/>
      <c r="CI87" s="68"/>
      <c r="CJ87" s="68"/>
      <c r="CK87" s="68"/>
      <c r="CL87" s="68"/>
      <c r="CM87" s="68"/>
      <c r="CN87" s="68"/>
      <c r="CO87" s="68"/>
      <c r="CP87" s="68"/>
      <c r="CQ87" s="68"/>
      <c r="CR87" s="68"/>
      <c r="CS87" s="68"/>
      <c r="CT87" s="68"/>
      <c r="CU87" s="68"/>
      <c r="CV87" s="68"/>
    </row>
    <row r="88" spans="1:100" outlineLevel="1" x14ac:dyDescent="0.2">
      <c r="A88" s="85"/>
      <c r="B88" s="85"/>
      <c r="C88" s="86"/>
      <c r="D88" s="87"/>
      <c r="E88" s="454" t="str">
        <f xml:space="preserve"> InpC!E$81</f>
        <v xml:space="preserve">Availability </v>
      </c>
      <c r="F88" s="454">
        <f xml:space="preserve"> InpC!F$81</f>
        <v>0.98</v>
      </c>
      <c r="G88" s="454" t="str">
        <f xml:space="preserve"> InpC!G$81</f>
        <v>%</v>
      </c>
      <c r="H88" s="145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  <c r="BM88" s="68"/>
      <c r="BN88" s="68"/>
      <c r="BO88" s="68"/>
      <c r="BP88" s="68"/>
      <c r="BQ88" s="68"/>
      <c r="BR88" s="68"/>
      <c r="BS88" s="68"/>
      <c r="BT88" s="68"/>
      <c r="BU88" s="68"/>
      <c r="BV88" s="68"/>
      <c r="BW88" s="68"/>
      <c r="BX88" s="68"/>
      <c r="BY88" s="68"/>
      <c r="BZ88" s="68"/>
      <c r="CA88" s="68"/>
      <c r="CB88" s="68"/>
      <c r="CC88" s="68"/>
      <c r="CD88" s="68"/>
      <c r="CE88" s="68"/>
      <c r="CF88" s="68"/>
      <c r="CG88" s="68"/>
      <c r="CH88" s="68"/>
      <c r="CI88" s="68"/>
      <c r="CJ88" s="68"/>
      <c r="CK88" s="68"/>
      <c r="CL88" s="68"/>
      <c r="CM88" s="68"/>
      <c r="CN88" s="68"/>
      <c r="CO88" s="68"/>
      <c r="CP88" s="68"/>
      <c r="CQ88" s="68"/>
      <c r="CR88" s="68"/>
      <c r="CS88" s="68"/>
      <c r="CT88" s="68"/>
      <c r="CU88" s="68"/>
      <c r="CV88" s="68"/>
    </row>
    <row r="89" spans="1:100" outlineLevel="1" x14ac:dyDescent="0.2">
      <c r="A89" s="85"/>
      <c r="B89" s="85"/>
      <c r="C89" s="86"/>
      <c r="D89" s="87"/>
      <c r="E89" s="454" t="str">
        <f xml:space="preserve"> Sensitivity!E$15</f>
        <v>Change in availability - sensitivity</v>
      </c>
      <c r="F89" s="454">
        <f xml:space="preserve"> Sensitivity!F$15</f>
        <v>0</v>
      </c>
      <c r="G89" s="454" t="str">
        <f xml:space="preserve"> Sensitivity!G$15</f>
        <v>%</v>
      </c>
      <c r="H89" s="145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BP89" s="68"/>
      <c r="BQ89" s="68"/>
      <c r="BR89" s="68"/>
      <c r="BS89" s="68"/>
      <c r="BT89" s="68"/>
      <c r="BU89" s="68"/>
      <c r="BV89" s="68"/>
      <c r="BW89" s="68"/>
      <c r="BX89" s="68"/>
      <c r="BY89" s="68"/>
      <c r="BZ89" s="68"/>
      <c r="CA89" s="68"/>
      <c r="CB89" s="68"/>
      <c r="CC89" s="68"/>
      <c r="CD89" s="68"/>
      <c r="CE89" s="68"/>
      <c r="CF89" s="68"/>
      <c r="CG89" s="68"/>
      <c r="CH89" s="68"/>
      <c r="CI89" s="68"/>
      <c r="CJ89" s="68"/>
      <c r="CK89" s="68"/>
      <c r="CL89" s="68"/>
      <c r="CM89" s="68"/>
      <c r="CN89" s="68"/>
      <c r="CO89" s="68"/>
      <c r="CP89" s="68"/>
      <c r="CQ89" s="68"/>
      <c r="CR89" s="68"/>
      <c r="CS89" s="68"/>
      <c r="CT89" s="68"/>
      <c r="CU89" s="68"/>
      <c r="CV89" s="68"/>
    </row>
    <row r="90" spans="1:100" s="283" customFormat="1" outlineLevel="1" x14ac:dyDescent="0.2">
      <c r="A90" s="311"/>
      <c r="B90" s="311"/>
      <c r="C90" s="312"/>
      <c r="D90" s="313"/>
      <c r="E90" s="112" t="str">
        <f t="shared" ref="E90:AJ90" si="56" xml:space="preserve"> E$13</f>
        <v>Compound degradation</v>
      </c>
      <c r="F90" s="112">
        <f t="shared" si="56"/>
        <v>0</v>
      </c>
      <c r="G90" s="112" t="str">
        <f t="shared" si="56"/>
        <v>%</v>
      </c>
      <c r="H90" s="112">
        <f t="shared" si="56"/>
        <v>0</v>
      </c>
      <c r="I90" s="112">
        <f t="shared" si="56"/>
        <v>0</v>
      </c>
      <c r="J90" s="112">
        <f t="shared" si="56"/>
        <v>0</v>
      </c>
      <c r="K90" s="112">
        <f t="shared" si="56"/>
        <v>0</v>
      </c>
      <c r="L90" s="112">
        <f t="shared" si="56"/>
        <v>0</v>
      </c>
      <c r="M90" s="112">
        <f t="shared" si="56"/>
        <v>0</v>
      </c>
      <c r="N90" s="112">
        <f t="shared" si="56"/>
        <v>0</v>
      </c>
      <c r="O90" s="112">
        <f t="shared" si="56"/>
        <v>1</v>
      </c>
      <c r="P90" s="112">
        <f t="shared" si="56"/>
        <v>1</v>
      </c>
      <c r="Q90" s="112">
        <f t="shared" si="56"/>
        <v>0.99800399201596801</v>
      </c>
      <c r="R90" s="112">
        <f t="shared" si="56"/>
        <v>0.99800399201596801</v>
      </c>
      <c r="S90" s="112">
        <f t="shared" si="56"/>
        <v>0.99601196807980852</v>
      </c>
      <c r="T90" s="112">
        <f t="shared" si="56"/>
        <v>0.99601196807980852</v>
      </c>
      <c r="U90" s="112">
        <f t="shared" si="56"/>
        <v>0.99402392023932984</v>
      </c>
      <c r="V90" s="112">
        <f t="shared" si="56"/>
        <v>0.99402392023932984</v>
      </c>
      <c r="W90" s="112">
        <f t="shared" si="56"/>
        <v>0.99203984055821348</v>
      </c>
      <c r="X90" s="112">
        <f t="shared" si="56"/>
        <v>0.99203984055821348</v>
      </c>
      <c r="Y90" s="112">
        <f t="shared" si="56"/>
        <v>0.99005972111598139</v>
      </c>
      <c r="Z90" s="112">
        <f t="shared" si="56"/>
        <v>0.99005972111598139</v>
      </c>
      <c r="AA90" s="112">
        <f t="shared" si="56"/>
        <v>0.98808355400796577</v>
      </c>
      <c r="AB90" s="112">
        <f t="shared" si="56"/>
        <v>0.98808355400796577</v>
      </c>
      <c r="AC90" s="112">
        <f t="shared" si="56"/>
        <v>0.98611133134527518</v>
      </c>
      <c r="AD90" s="112">
        <f t="shared" si="56"/>
        <v>0.98611133134527518</v>
      </c>
      <c r="AE90" s="112">
        <f t="shared" si="56"/>
        <v>0.98414304525476548</v>
      </c>
      <c r="AF90" s="112">
        <f t="shared" si="56"/>
        <v>0.98414304525476548</v>
      </c>
      <c r="AG90" s="112">
        <f t="shared" si="56"/>
        <v>0.98217868787900742</v>
      </c>
      <c r="AH90" s="112">
        <f t="shared" si="56"/>
        <v>0.98217868787900742</v>
      </c>
      <c r="AI90" s="112">
        <f t="shared" si="56"/>
        <v>0.98021825137625518</v>
      </c>
      <c r="AJ90" s="112">
        <f t="shared" si="56"/>
        <v>0.98021825137625518</v>
      </c>
      <c r="AK90" s="112">
        <f t="shared" ref="AK90:BP90" si="57" xml:space="preserve"> AK$13</f>
        <v>0.97826172792041433</v>
      </c>
      <c r="AL90" s="112">
        <f t="shared" si="57"/>
        <v>0.97826172792041433</v>
      </c>
      <c r="AM90" s="112">
        <f t="shared" si="57"/>
        <v>0.97630910970101226</v>
      </c>
      <c r="AN90" s="112">
        <f t="shared" si="57"/>
        <v>0.97630910970101226</v>
      </c>
      <c r="AO90" s="112">
        <f t="shared" si="57"/>
        <v>0.97436038892316579</v>
      </c>
      <c r="AP90" s="112">
        <f t="shared" si="57"/>
        <v>0.97436038892316579</v>
      </c>
      <c r="AQ90" s="112">
        <f t="shared" si="57"/>
        <v>0.97241555780755107</v>
      </c>
      <c r="AR90" s="112">
        <f t="shared" si="57"/>
        <v>0.97241555780755107</v>
      </c>
      <c r="AS90" s="112">
        <f t="shared" si="57"/>
        <v>0.97047460859037005</v>
      </c>
      <c r="AT90" s="112">
        <f t="shared" si="57"/>
        <v>0.97047460859037005</v>
      </c>
      <c r="AU90" s="112">
        <f t="shared" si="57"/>
        <v>0.9685375335233235</v>
      </c>
      <c r="AV90" s="112">
        <f t="shared" si="57"/>
        <v>0.9685375335233235</v>
      </c>
      <c r="AW90" s="112">
        <f t="shared" si="57"/>
        <v>0.96660432487357628</v>
      </c>
      <c r="AX90" s="112">
        <f t="shared" si="57"/>
        <v>0.96660432487357628</v>
      </c>
      <c r="AY90" s="112">
        <f t="shared" si="57"/>
        <v>0.964674974923729</v>
      </c>
      <c r="AZ90" s="112">
        <f t="shared" si="57"/>
        <v>0.964674974923729</v>
      </c>
      <c r="BA90" s="112">
        <f t="shared" si="57"/>
        <v>0.9627494759717854</v>
      </c>
      <c r="BB90" s="112">
        <f t="shared" si="57"/>
        <v>0.9627494759717854</v>
      </c>
      <c r="BC90" s="112">
        <f t="shared" si="57"/>
        <v>0</v>
      </c>
      <c r="BD90" s="112">
        <f t="shared" si="57"/>
        <v>0</v>
      </c>
      <c r="BE90" s="112">
        <f t="shared" si="57"/>
        <v>0</v>
      </c>
      <c r="BF90" s="112">
        <f t="shared" si="57"/>
        <v>0</v>
      </c>
      <c r="BG90" s="112">
        <f t="shared" si="57"/>
        <v>0</v>
      </c>
      <c r="BH90" s="112">
        <f t="shared" si="57"/>
        <v>0</v>
      </c>
      <c r="BI90" s="112">
        <f t="shared" si="57"/>
        <v>0</v>
      </c>
      <c r="BJ90" s="112">
        <f t="shared" si="57"/>
        <v>0</v>
      </c>
      <c r="BK90" s="112">
        <f t="shared" si="57"/>
        <v>0</v>
      </c>
      <c r="BL90" s="112">
        <f t="shared" si="57"/>
        <v>0</v>
      </c>
      <c r="BM90" s="112">
        <f t="shared" si="57"/>
        <v>0</v>
      </c>
      <c r="BN90" s="112">
        <f t="shared" si="57"/>
        <v>0</v>
      </c>
      <c r="BO90" s="112">
        <f t="shared" si="57"/>
        <v>0</v>
      </c>
      <c r="BP90" s="112">
        <f t="shared" si="57"/>
        <v>0</v>
      </c>
      <c r="BQ90" s="112">
        <f t="shared" ref="BQ90:CV90" si="58" xml:space="preserve"> BQ$13</f>
        <v>0</v>
      </c>
      <c r="BR90" s="112">
        <f t="shared" si="58"/>
        <v>0</v>
      </c>
      <c r="BS90" s="112">
        <f t="shared" si="58"/>
        <v>0</v>
      </c>
      <c r="BT90" s="112">
        <f t="shared" si="58"/>
        <v>0</v>
      </c>
      <c r="BU90" s="112">
        <f t="shared" si="58"/>
        <v>0</v>
      </c>
      <c r="BV90" s="112">
        <f t="shared" si="58"/>
        <v>0</v>
      </c>
      <c r="BW90" s="112">
        <f t="shared" si="58"/>
        <v>0</v>
      </c>
      <c r="BX90" s="112">
        <f t="shared" si="58"/>
        <v>0</v>
      </c>
      <c r="BY90" s="112">
        <f t="shared" si="58"/>
        <v>0</v>
      </c>
      <c r="BZ90" s="112">
        <f t="shared" si="58"/>
        <v>0</v>
      </c>
      <c r="CA90" s="112">
        <f t="shared" si="58"/>
        <v>0</v>
      </c>
      <c r="CB90" s="112">
        <f t="shared" si="58"/>
        <v>0</v>
      </c>
      <c r="CC90" s="112">
        <f t="shared" si="58"/>
        <v>0</v>
      </c>
      <c r="CD90" s="112">
        <f t="shared" si="58"/>
        <v>0</v>
      </c>
      <c r="CE90" s="112">
        <f t="shared" si="58"/>
        <v>0</v>
      </c>
      <c r="CF90" s="112">
        <f t="shared" si="58"/>
        <v>0</v>
      </c>
      <c r="CG90" s="112">
        <f t="shared" si="58"/>
        <v>0</v>
      </c>
      <c r="CH90" s="112">
        <f t="shared" si="58"/>
        <v>0</v>
      </c>
      <c r="CI90" s="112">
        <f t="shared" si="58"/>
        <v>0</v>
      </c>
      <c r="CJ90" s="112">
        <f t="shared" si="58"/>
        <v>0</v>
      </c>
      <c r="CK90" s="112">
        <f t="shared" si="58"/>
        <v>0</v>
      </c>
      <c r="CL90" s="112">
        <f t="shared" si="58"/>
        <v>0</v>
      </c>
      <c r="CM90" s="112">
        <f t="shared" si="58"/>
        <v>0</v>
      </c>
      <c r="CN90" s="112">
        <f t="shared" si="58"/>
        <v>0</v>
      </c>
      <c r="CO90" s="112">
        <f t="shared" si="58"/>
        <v>0</v>
      </c>
      <c r="CP90" s="112">
        <f t="shared" si="58"/>
        <v>0</v>
      </c>
      <c r="CQ90" s="112">
        <f t="shared" si="58"/>
        <v>0</v>
      </c>
      <c r="CR90" s="112">
        <f t="shared" si="58"/>
        <v>0</v>
      </c>
      <c r="CS90" s="112">
        <f t="shared" si="58"/>
        <v>0</v>
      </c>
      <c r="CT90" s="112">
        <f t="shared" si="58"/>
        <v>0</v>
      </c>
      <c r="CU90" s="112">
        <f t="shared" si="58"/>
        <v>0</v>
      </c>
      <c r="CV90" s="112">
        <f t="shared" si="58"/>
        <v>0</v>
      </c>
    </row>
    <row r="91" spans="1:100" s="283" customFormat="1" outlineLevel="1" x14ac:dyDescent="0.2">
      <c r="A91" s="311"/>
      <c r="B91" s="311"/>
      <c r="C91" s="312"/>
      <c r="D91" s="313"/>
      <c r="E91" s="112" t="str">
        <f t="shared" ref="E91:AJ91" si="59" xml:space="preserve"> E$19</f>
        <v>Seasonality adjustment</v>
      </c>
      <c r="F91" s="112">
        <f t="shared" si="59"/>
        <v>0</v>
      </c>
      <c r="G91" s="112" t="str">
        <f t="shared" si="59"/>
        <v>%</v>
      </c>
      <c r="H91" s="112">
        <f t="shared" si="59"/>
        <v>0</v>
      </c>
      <c r="I91" s="112">
        <f t="shared" si="59"/>
        <v>0</v>
      </c>
      <c r="J91" s="112">
        <f t="shared" si="59"/>
        <v>0</v>
      </c>
      <c r="K91" s="112">
        <f t="shared" si="59"/>
        <v>0</v>
      </c>
      <c r="L91" s="112">
        <f t="shared" si="59"/>
        <v>0</v>
      </c>
      <c r="M91" s="112">
        <f t="shared" si="59"/>
        <v>0</v>
      </c>
      <c r="N91" s="112">
        <f t="shared" si="59"/>
        <v>0</v>
      </c>
      <c r="O91" s="112">
        <f t="shared" si="59"/>
        <v>0.5</v>
      </c>
      <c r="P91" s="112">
        <f t="shared" si="59"/>
        <v>0.5</v>
      </c>
      <c r="Q91" s="112">
        <f t="shared" si="59"/>
        <v>0.5</v>
      </c>
      <c r="R91" s="112">
        <f t="shared" si="59"/>
        <v>0.5</v>
      </c>
      <c r="S91" s="112">
        <f t="shared" si="59"/>
        <v>0.5</v>
      </c>
      <c r="T91" s="112">
        <f t="shared" si="59"/>
        <v>0.5</v>
      </c>
      <c r="U91" s="112">
        <f t="shared" si="59"/>
        <v>0.5</v>
      </c>
      <c r="V91" s="112">
        <f t="shared" si="59"/>
        <v>0.5</v>
      </c>
      <c r="W91" s="112">
        <f t="shared" si="59"/>
        <v>0.5</v>
      </c>
      <c r="X91" s="112">
        <f t="shared" si="59"/>
        <v>0.5</v>
      </c>
      <c r="Y91" s="112">
        <f t="shared" si="59"/>
        <v>0.5</v>
      </c>
      <c r="Z91" s="112">
        <f t="shared" si="59"/>
        <v>0.5</v>
      </c>
      <c r="AA91" s="112">
        <f t="shared" si="59"/>
        <v>0.5</v>
      </c>
      <c r="AB91" s="112">
        <f t="shared" si="59"/>
        <v>0.5</v>
      </c>
      <c r="AC91" s="112">
        <f t="shared" si="59"/>
        <v>0.5</v>
      </c>
      <c r="AD91" s="112">
        <f t="shared" si="59"/>
        <v>0.5</v>
      </c>
      <c r="AE91" s="112">
        <f t="shared" si="59"/>
        <v>0.5</v>
      </c>
      <c r="AF91" s="112">
        <f t="shared" si="59"/>
        <v>0.5</v>
      </c>
      <c r="AG91" s="112">
        <f t="shared" si="59"/>
        <v>0.5</v>
      </c>
      <c r="AH91" s="112">
        <f t="shared" si="59"/>
        <v>0.5</v>
      </c>
      <c r="AI91" s="112">
        <f t="shared" si="59"/>
        <v>0.5</v>
      </c>
      <c r="AJ91" s="112">
        <f t="shared" si="59"/>
        <v>0.5</v>
      </c>
      <c r="AK91" s="112">
        <f t="shared" ref="AK91:BP91" si="60" xml:space="preserve"> AK$19</f>
        <v>0.5</v>
      </c>
      <c r="AL91" s="112">
        <f t="shared" si="60"/>
        <v>0.5</v>
      </c>
      <c r="AM91" s="112">
        <f t="shared" si="60"/>
        <v>0.5</v>
      </c>
      <c r="AN91" s="112">
        <f t="shared" si="60"/>
        <v>0.5</v>
      </c>
      <c r="AO91" s="112">
        <f t="shared" si="60"/>
        <v>0.5</v>
      </c>
      <c r="AP91" s="112">
        <f t="shared" si="60"/>
        <v>0.5</v>
      </c>
      <c r="AQ91" s="112">
        <f t="shared" si="60"/>
        <v>0.5</v>
      </c>
      <c r="AR91" s="112">
        <f t="shared" si="60"/>
        <v>0.5</v>
      </c>
      <c r="AS91" s="112">
        <f t="shared" si="60"/>
        <v>0.5</v>
      </c>
      <c r="AT91" s="112">
        <f t="shared" si="60"/>
        <v>0.5</v>
      </c>
      <c r="AU91" s="112">
        <f t="shared" si="60"/>
        <v>0.5</v>
      </c>
      <c r="AV91" s="112">
        <f t="shared" si="60"/>
        <v>0.5</v>
      </c>
      <c r="AW91" s="112">
        <f t="shared" si="60"/>
        <v>0.5</v>
      </c>
      <c r="AX91" s="112">
        <f t="shared" si="60"/>
        <v>0.5</v>
      </c>
      <c r="AY91" s="112">
        <f t="shared" si="60"/>
        <v>0.5</v>
      </c>
      <c r="AZ91" s="112">
        <f t="shared" si="60"/>
        <v>0.5</v>
      </c>
      <c r="BA91" s="112">
        <f t="shared" si="60"/>
        <v>0.5</v>
      </c>
      <c r="BB91" s="112">
        <f t="shared" si="60"/>
        <v>0.5</v>
      </c>
      <c r="BC91" s="112">
        <f t="shared" si="60"/>
        <v>0</v>
      </c>
      <c r="BD91" s="112">
        <f t="shared" si="60"/>
        <v>0</v>
      </c>
      <c r="BE91" s="112">
        <f t="shared" si="60"/>
        <v>0</v>
      </c>
      <c r="BF91" s="112">
        <f t="shared" si="60"/>
        <v>0</v>
      </c>
      <c r="BG91" s="112">
        <f t="shared" si="60"/>
        <v>0</v>
      </c>
      <c r="BH91" s="112">
        <f t="shared" si="60"/>
        <v>0</v>
      </c>
      <c r="BI91" s="112">
        <f t="shared" si="60"/>
        <v>0</v>
      </c>
      <c r="BJ91" s="112">
        <f t="shared" si="60"/>
        <v>0</v>
      </c>
      <c r="BK91" s="112">
        <f t="shared" si="60"/>
        <v>0</v>
      </c>
      <c r="BL91" s="112">
        <f t="shared" si="60"/>
        <v>0</v>
      </c>
      <c r="BM91" s="112">
        <f t="shared" si="60"/>
        <v>0</v>
      </c>
      <c r="BN91" s="112">
        <f t="shared" si="60"/>
        <v>0</v>
      </c>
      <c r="BO91" s="112">
        <f t="shared" si="60"/>
        <v>0</v>
      </c>
      <c r="BP91" s="112">
        <f t="shared" si="60"/>
        <v>0</v>
      </c>
      <c r="BQ91" s="112">
        <f t="shared" ref="BQ91:CV91" si="61" xml:space="preserve"> BQ$19</f>
        <v>0</v>
      </c>
      <c r="BR91" s="112">
        <f t="shared" si="61"/>
        <v>0</v>
      </c>
      <c r="BS91" s="112">
        <f t="shared" si="61"/>
        <v>0</v>
      </c>
      <c r="BT91" s="112">
        <f t="shared" si="61"/>
        <v>0</v>
      </c>
      <c r="BU91" s="112">
        <f t="shared" si="61"/>
        <v>0</v>
      </c>
      <c r="BV91" s="112">
        <f t="shared" si="61"/>
        <v>0</v>
      </c>
      <c r="BW91" s="112">
        <f t="shared" si="61"/>
        <v>0</v>
      </c>
      <c r="BX91" s="112">
        <f t="shared" si="61"/>
        <v>0</v>
      </c>
      <c r="BY91" s="112">
        <f t="shared" si="61"/>
        <v>0</v>
      </c>
      <c r="BZ91" s="112">
        <f t="shared" si="61"/>
        <v>0</v>
      </c>
      <c r="CA91" s="112">
        <f t="shared" si="61"/>
        <v>0</v>
      </c>
      <c r="CB91" s="112">
        <f t="shared" si="61"/>
        <v>0</v>
      </c>
      <c r="CC91" s="112">
        <f t="shared" si="61"/>
        <v>0</v>
      </c>
      <c r="CD91" s="112">
        <f t="shared" si="61"/>
        <v>0</v>
      </c>
      <c r="CE91" s="112">
        <f t="shared" si="61"/>
        <v>0</v>
      </c>
      <c r="CF91" s="112">
        <f t="shared" si="61"/>
        <v>0</v>
      </c>
      <c r="CG91" s="112">
        <f t="shared" si="61"/>
        <v>0</v>
      </c>
      <c r="CH91" s="112">
        <f t="shared" si="61"/>
        <v>0</v>
      </c>
      <c r="CI91" s="112">
        <f t="shared" si="61"/>
        <v>0</v>
      </c>
      <c r="CJ91" s="112">
        <f t="shared" si="61"/>
        <v>0</v>
      </c>
      <c r="CK91" s="112">
        <f t="shared" si="61"/>
        <v>0</v>
      </c>
      <c r="CL91" s="112">
        <f t="shared" si="61"/>
        <v>0</v>
      </c>
      <c r="CM91" s="112">
        <f t="shared" si="61"/>
        <v>0</v>
      </c>
      <c r="CN91" s="112">
        <f t="shared" si="61"/>
        <v>0</v>
      </c>
      <c r="CO91" s="112">
        <f t="shared" si="61"/>
        <v>0</v>
      </c>
      <c r="CP91" s="112">
        <f t="shared" si="61"/>
        <v>0</v>
      </c>
      <c r="CQ91" s="112">
        <f t="shared" si="61"/>
        <v>0</v>
      </c>
      <c r="CR91" s="112">
        <f t="shared" si="61"/>
        <v>0</v>
      </c>
      <c r="CS91" s="112">
        <f t="shared" si="61"/>
        <v>0</v>
      </c>
      <c r="CT91" s="112">
        <f t="shared" si="61"/>
        <v>0</v>
      </c>
      <c r="CU91" s="112">
        <f t="shared" si="61"/>
        <v>0</v>
      </c>
      <c r="CV91" s="112">
        <f t="shared" si="61"/>
        <v>0</v>
      </c>
    </row>
    <row r="92" spans="1:100" s="188" customFormat="1" outlineLevel="1" x14ac:dyDescent="0.2">
      <c r="A92" s="227"/>
      <c r="B92" s="227"/>
      <c r="C92" s="228"/>
      <c r="D92" s="229"/>
      <c r="E92" s="230" t="s">
        <v>1167</v>
      </c>
      <c r="F92" s="230"/>
      <c r="G92" s="230" t="s">
        <v>118</v>
      </c>
      <c r="H92" s="230">
        <f xml:space="preserve"> SUM(J92:CV92)</f>
        <v>16454.843722743681</v>
      </c>
      <c r="I92" s="230"/>
      <c r="J92" s="230">
        <f t="shared" ref="J92:AO92" si="62" xml:space="preserve"> $F86 * (1 + $F87) * ($F88 + $F89) * J90 * J91</f>
        <v>0</v>
      </c>
      <c r="K92" s="230">
        <f t="shared" si="62"/>
        <v>0</v>
      </c>
      <c r="L92" s="230">
        <f t="shared" si="62"/>
        <v>0</v>
      </c>
      <c r="M92" s="230">
        <f t="shared" si="62"/>
        <v>0</v>
      </c>
      <c r="N92" s="230">
        <f t="shared" si="62"/>
        <v>0</v>
      </c>
      <c r="O92" s="230">
        <f t="shared" si="62"/>
        <v>419.22609010048416</v>
      </c>
      <c r="P92" s="230">
        <f t="shared" si="62"/>
        <v>419.22609010048416</v>
      </c>
      <c r="Q92" s="230">
        <f t="shared" si="62"/>
        <v>418.38931147752908</v>
      </c>
      <c r="R92" s="230">
        <f t="shared" si="62"/>
        <v>418.38931147752908</v>
      </c>
      <c r="S92" s="230">
        <f t="shared" si="62"/>
        <v>417.55420307138638</v>
      </c>
      <c r="T92" s="230">
        <f t="shared" si="62"/>
        <v>417.55420307138638</v>
      </c>
      <c r="U92" s="230">
        <f t="shared" si="62"/>
        <v>416.72076154828977</v>
      </c>
      <c r="V92" s="230">
        <f t="shared" si="62"/>
        <v>416.72076154828977</v>
      </c>
      <c r="W92" s="230">
        <f t="shared" si="62"/>
        <v>415.88898358112755</v>
      </c>
      <c r="X92" s="230">
        <f t="shared" si="62"/>
        <v>415.88898358112755</v>
      </c>
      <c r="Y92" s="230">
        <f t="shared" si="62"/>
        <v>415.05886584942863</v>
      </c>
      <c r="Z92" s="230">
        <f t="shared" si="62"/>
        <v>415.05886584942863</v>
      </c>
      <c r="AA92" s="230">
        <f t="shared" si="62"/>
        <v>414.23040503935005</v>
      </c>
      <c r="AB92" s="230">
        <f t="shared" si="62"/>
        <v>414.23040503935005</v>
      </c>
      <c r="AC92" s="230">
        <f t="shared" si="62"/>
        <v>413.40359784366274</v>
      </c>
      <c r="AD92" s="230">
        <f t="shared" si="62"/>
        <v>413.40359784366274</v>
      </c>
      <c r="AE92" s="230">
        <f t="shared" si="62"/>
        <v>412.57844096173915</v>
      </c>
      <c r="AF92" s="230">
        <f t="shared" si="62"/>
        <v>412.57844096173915</v>
      </c>
      <c r="AG92" s="230">
        <f t="shared" si="62"/>
        <v>411.75493109954004</v>
      </c>
      <c r="AH92" s="230">
        <f t="shared" si="62"/>
        <v>411.75493109954004</v>
      </c>
      <c r="AI92" s="230">
        <f t="shared" si="62"/>
        <v>410.93306496960099</v>
      </c>
      <c r="AJ92" s="230">
        <f t="shared" si="62"/>
        <v>410.93306496960099</v>
      </c>
      <c r="AK92" s="230">
        <f t="shared" si="62"/>
        <v>410.11283929101893</v>
      </c>
      <c r="AL92" s="230">
        <f t="shared" si="62"/>
        <v>410.11283929101893</v>
      </c>
      <c r="AM92" s="230">
        <f t="shared" si="62"/>
        <v>409.29425078944001</v>
      </c>
      <c r="AN92" s="230">
        <f t="shared" si="62"/>
        <v>409.29425078944001</v>
      </c>
      <c r="AO92" s="230">
        <f t="shared" si="62"/>
        <v>408.47729619704586</v>
      </c>
      <c r="AP92" s="230">
        <f t="shared" ref="AP92:BU92" si="63" xml:space="preserve"> $F86 * (1 + $F87) * ($F88 + $F89) * AP90 * AP91</f>
        <v>408.47729619704586</v>
      </c>
      <c r="AQ92" s="230">
        <f t="shared" si="63"/>
        <v>407.66197225254098</v>
      </c>
      <c r="AR92" s="230">
        <f t="shared" si="63"/>
        <v>407.66197225254098</v>
      </c>
      <c r="AS92" s="230">
        <f t="shared" si="63"/>
        <v>406.84827570113856</v>
      </c>
      <c r="AT92" s="230">
        <f t="shared" si="63"/>
        <v>406.84827570113856</v>
      </c>
      <c r="AU92" s="230">
        <f t="shared" si="63"/>
        <v>406.03620329454952</v>
      </c>
      <c r="AV92" s="230">
        <f t="shared" si="63"/>
        <v>406.03620329454952</v>
      </c>
      <c r="AW92" s="230">
        <f t="shared" si="63"/>
        <v>405.22575179096754</v>
      </c>
      <c r="AX92" s="230">
        <f t="shared" si="63"/>
        <v>405.22575179096754</v>
      </c>
      <c r="AY92" s="230">
        <f t="shared" si="63"/>
        <v>404.4169179550575</v>
      </c>
      <c r="AZ92" s="230">
        <f t="shared" si="63"/>
        <v>404.4169179550575</v>
      </c>
      <c r="BA92" s="230">
        <f t="shared" si="63"/>
        <v>403.60969855794161</v>
      </c>
      <c r="BB92" s="230">
        <f t="shared" si="63"/>
        <v>403.60969855794161</v>
      </c>
      <c r="BC92" s="230">
        <f t="shared" si="63"/>
        <v>0</v>
      </c>
      <c r="BD92" s="230">
        <f t="shared" si="63"/>
        <v>0</v>
      </c>
      <c r="BE92" s="230">
        <f t="shared" si="63"/>
        <v>0</v>
      </c>
      <c r="BF92" s="230">
        <f t="shared" si="63"/>
        <v>0</v>
      </c>
      <c r="BG92" s="230">
        <f t="shared" si="63"/>
        <v>0</v>
      </c>
      <c r="BH92" s="230">
        <f t="shared" si="63"/>
        <v>0</v>
      </c>
      <c r="BI92" s="230">
        <f t="shared" si="63"/>
        <v>0</v>
      </c>
      <c r="BJ92" s="230">
        <f t="shared" si="63"/>
        <v>0</v>
      </c>
      <c r="BK92" s="230">
        <f t="shared" si="63"/>
        <v>0</v>
      </c>
      <c r="BL92" s="230">
        <f t="shared" si="63"/>
        <v>0</v>
      </c>
      <c r="BM92" s="230">
        <f t="shared" si="63"/>
        <v>0</v>
      </c>
      <c r="BN92" s="230">
        <f t="shared" si="63"/>
        <v>0</v>
      </c>
      <c r="BO92" s="230">
        <f t="shared" si="63"/>
        <v>0</v>
      </c>
      <c r="BP92" s="230">
        <f t="shared" si="63"/>
        <v>0</v>
      </c>
      <c r="BQ92" s="230">
        <f t="shared" si="63"/>
        <v>0</v>
      </c>
      <c r="BR92" s="230">
        <f t="shared" si="63"/>
        <v>0</v>
      </c>
      <c r="BS92" s="230">
        <f t="shared" si="63"/>
        <v>0</v>
      </c>
      <c r="BT92" s="230">
        <f t="shared" si="63"/>
        <v>0</v>
      </c>
      <c r="BU92" s="230">
        <f t="shared" si="63"/>
        <v>0</v>
      </c>
      <c r="BV92" s="230">
        <f t="shared" ref="BV92:CV92" si="64" xml:space="preserve"> $F86 * (1 + $F87) * ($F88 + $F89) * BV90 * BV91</f>
        <v>0</v>
      </c>
      <c r="BW92" s="230">
        <f t="shared" si="64"/>
        <v>0</v>
      </c>
      <c r="BX92" s="230">
        <f t="shared" si="64"/>
        <v>0</v>
      </c>
      <c r="BY92" s="230">
        <f t="shared" si="64"/>
        <v>0</v>
      </c>
      <c r="BZ92" s="230">
        <f t="shared" si="64"/>
        <v>0</v>
      </c>
      <c r="CA92" s="230">
        <f t="shared" si="64"/>
        <v>0</v>
      </c>
      <c r="CB92" s="230">
        <f t="shared" si="64"/>
        <v>0</v>
      </c>
      <c r="CC92" s="230">
        <f t="shared" si="64"/>
        <v>0</v>
      </c>
      <c r="CD92" s="230">
        <f t="shared" si="64"/>
        <v>0</v>
      </c>
      <c r="CE92" s="230">
        <f t="shared" si="64"/>
        <v>0</v>
      </c>
      <c r="CF92" s="230">
        <f t="shared" si="64"/>
        <v>0</v>
      </c>
      <c r="CG92" s="230">
        <f t="shared" si="64"/>
        <v>0</v>
      </c>
      <c r="CH92" s="230">
        <f t="shared" si="64"/>
        <v>0</v>
      </c>
      <c r="CI92" s="230">
        <f t="shared" si="64"/>
        <v>0</v>
      </c>
      <c r="CJ92" s="230">
        <f t="shared" si="64"/>
        <v>0</v>
      </c>
      <c r="CK92" s="230">
        <f t="shared" si="64"/>
        <v>0</v>
      </c>
      <c r="CL92" s="230">
        <f t="shared" si="64"/>
        <v>0</v>
      </c>
      <c r="CM92" s="230">
        <f t="shared" si="64"/>
        <v>0</v>
      </c>
      <c r="CN92" s="230">
        <f t="shared" si="64"/>
        <v>0</v>
      </c>
      <c r="CO92" s="230">
        <f t="shared" si="64"/>
        <v>0</v>
      </c>
      <c r="CP92" s="230">
        <f t="shared" si="64"/>
        <v>0</v>
      </c>
      <c r="CQ92" s="230">
        <f t="shared" si="64"/>
        <v>0</v>
      </c>
      <c r="CR92" s="230">
        <f t="shared" si="64"/>
        <v>0</v>
      </c>
      <c r="CS92" s="230">
        <f t="shared" si="64"/>
        <v>0</v>
      </c>
      <c r="CT92" s="230">
        <f t="shared" si="64"/>
        <v>0</v>
      </c>
      <c r="CU92" s="230">
        <f t="shared" si="64"/>
        <v>0</v>
      </c>
      <c r="CV92" s="230">
        <f t="shared" si="64"/>
        <v>0</v>
      </c>
    </row>
    <row r="93" spans="1:100" outlineLevel="1" x14ac:dyDescent="0.2">
      <c r="A93" s="236"/>
      <c r="B93" s="236"/>
      <c r="C93" s="237"/>
      <c r="D93" s="238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  <c r="AG93" s="235"/>
      <c r="AH93" s="235"/>
      <c r="AI93" s="235"/>
      <c r="AJ93" s="235"/>
      <c r="AK93" s="235"/>
      <c r="AL93" s="235"/>
      <c r="AM93" s="235"/>
      <c r="AN93" s="235"/>
      <c r="AO93" s="235"/>
      <c r="AP93" s="235"/>
      <c r="AQ93" s="235"/>
      <c r="AR93" s="235"/>
      <c r="AS93" s="235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  <c r="BG93" s="235"/>
      <c r="BH93" s="235"/>
      <c r="BI93" s="235"/>
      <c r="BJ93" s="235"/>
      <c r="BK93" s="235"/>
      <c r="BL93" s="235"/>
      <c r="BM93" s="235"/>
      <c r="BN93" s="235"/>
      <c r="BO93" s="235"/>
      <c r="BP93" s="235"/>
      <c r="BQ93" s="235"/>
      <c r="BR93" s="235"/>
      <c r="BS93" s="235"/>
      <c r="BT93" s="235"/>
      <c r="BU93" s="235"/>
      <c r="BV93" s="235"/>
      <c r="BW93" s="235"/>
      <c r="BX93" s="235"/>
      <c r="BY93" s="235"/>
      <c r="BZ93" s="235"/>
      <c r="CA93" s="235"/>
      <c r="CB93" s="235"/>
      <c r="CC93" s="235"/>
      <c r="CD93" s="235"/>
      <c r="CE93" s="235"/>
      <c r="CF93" s="235"/>
      <c r="CG93" s="235"/>
      <c r="CH93" s="235"/>
      <c r="CI93" s="235"/>
      <c r="CJ93" s="235"/>
      <c r="CK93" s="235"/>
      <c r="CL93" s="235"/>
      <c r="CM93" s="235"/>
      <c r="CN93" s="235"/>
      <c r="CO93" s="235"/>
      <c r="CP93" s="235"/>
      <c r="CQ93" s="235"/>
      <c r="CR93" s="235"/>
      <c r="CS93" s="235"/>
      <c r="CT93" s="235"/>
      <c r="CU93" s="235"/>
      <c r="CV93" s="235"/>
    </row>
    <row r="94" spans="1:100" outlineLevel="1" x14ac:dyDescent="0.2">
      <c r="A94" s="236"/>
      <c r="B94" s="236"/>
      <c r="C94" s="237"/>
      <c r="D94" s="238"/>
      <c r="E94" s="68" t="str">
        <f xml:space="preserve"> InpC!E$417</f>
        <v>US$c / US$</v>
      </c>
      <c r="F94" s="68">
        <f xml:space="preserve"> InpC!F$417</f>
        <v>100</v>
      </c>
      <c r="G94" s="68" t="str">
        <f xml:space="preserve"> InpC!G$417</f>
        <v>US$c / US$</v>
      </c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5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  <c r="BG94" s="235"/>
      <c r="BH94" s="235"/>
      <c r="BI94" s="235"/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5"/>
      <c r="BW94" s="235"/>
      <c r="BX94" s="235"/>
      <c r="BY94" s="235"/>
      <c r="BZ94" s="235"/>
      <c r="CA94" s="235"/>
      <c r="CB94" s="235"/>
      <c r="CC94" s="235"/>
      <c r="CD94" s="235"/>
      <c r="CE94" s="235"/>
      <c r="CF94" s="235"/>
      <c r="CG94" s="235"/>
      <c r="CH94" s="235"/>
      <c r="CI94" s="235"/>
      <c r="CJ94" s="235"/>
      <c r="CK94" s="235"/>
      <c r="CL94" s="235"/>
      <c r="CM94" s="235"/>
      <c r="CN94" s="235"/>
      <c r="CO94" s="235"/>
      <c r="CP94" s="235"/>
      <c r="CQ94" s="235"/>
      <c r="CR94" s="235"/>
      <c r="CS94" s="235"/>
      <c r="CT94" s="235"/>
      <c r="CU94" s="235"/>
      <c r="CV94" s="235"/>
    </row>
    <row r="95" spans="1:100" outlineLevel="1" x14ac:dyDescent="0.2">
      <c r="A95" s="85"/>
      <c r="B95" s="85"/>
      <c r="C95" s="86"/>
      <c r="D95" s="87"/>
      <c r="E95" s="390" t="str">
        <f xml:space="preserve"> InpC!E$419</f>
        <v>Units in a thousand</v>
      </c>
      <c r="F95" s="390">
        <f xml:space="preserve"> InpC!F$419</f>
        <v>1000</v>
      </c>
      <c r="G95" s="390" t="str">
        <f xml:space="preserve"> InpC!G$419</f>
        <v>units</v>
      </c>
      <c r="H95" s="390"/>
      <c r="I95" s="390"/>
      <c r="J95" s="390"/>
      <c r="K95" s="390"/>
      <c r="L95" s="390"/>
      <c r="M95" s="390"/>
      <c r="N95" s="390"/>
      <c r="P95" s="390"/>
      <c r="Q95" s="390"/>
      <c r="R95" s="390"/>
      <c r="S95" s="390"/>
      <c r="T95" s="390"/>
      <c r="U95" s="390"/>
      <c r="V95" s="390"/>
      <c r="W95" s="390"/>
      <c r="X95" s="390"/>
      <c r="Y95" s="390"/>
      <c r="Z95" s="390"/>
      <c r="AA95" s="390"/>
      <c r="AB95" s="390"/>
      <c r="AC95" s="390"/>
      <c r="AD95" s="390"/>
      <c r="AE95" s="390"/>
      <c r="AF95" s="390"/>
      <c r="AG95" s="390"/>
      <c r="AH95" s="390"/>
      <c r="AI95" s="390"/>
      <c r="AJ95" s="390"/>
      <c r="AK95" s="390"/>
      <c r="AL95" s="390"/>
      <c r="AM95" s="390"/>
      <c r="AN95" s="390"/>
      <c r="AO95" s="390"/>
      <c r="AP95" s="390"/>
      <c r="AQ95" s="390"/>
      <c r="AR95" s="390"/>
      <c r="AS95" s="390"/>
      <c r="AT95" s="390"/>
      <c r="AU95" s="390"/>
      <c r="AV95" s="390"/>
      <c r="AW95" s="390"/>
      <c r="AX95" s="390"/>
      <c r="AY95" s="390"/>
      <c r="AZ95" s="390"/>
      <c r="BA95" s="390"/>
      <c r="BB95" s="390"/>
      <c r="BC95" s="390"/>
      <c r="BD95" s="390"/>
      <c r="BE95" s="390"/>
      <c r="BF95" s="390"/>
      <c r="BG95" s="390"/>
      <c r="BH95" s="390"/>
      <c r="BI95" s="390"/>
      <c r="BJ95" s="390"/>
      <c r="BK95" s="390"/>
      <c r="BL95" s="390"/>
      <c r="BM95" s="390"/>
      <c r="BN95" s="390"/>
      <c r="BO95" s="390"/>
      <c r="BP95" s="390"/>
      <c r="BQ95" s="390"/>
      <c r="BR95" s="390"/>
      <c r="BS95" s="390"/>
      <c r="BT95" s="390"/>
      <c r="BU95" s="390"/>
      <c r="BV95" s="390"/>
      <c r="BW95" s="390"/>
      <c r="BX95" s="390"/>
      <c r="BY95" s="390"/>
      <c r="BZ95" s="390"/>
      <c r="CA95" s="390"/>
      <c r="CB95" s="390"/>
      <c r="CC95" s="390"/>
      <c r="CD95" s="390"/>
      <c r="CE95" s="390"/>
      <c r="CF95" s="390"/>
      <c r="CG95" s="390"/>
      <c r="CH95" s="390"/>
      <c r="CI95" s="390"/>
      <c r="CJ95" s="390"/>
      <c r="CK95" s="390"/>
      <c r="CL95" s="390"/>
      <c r="CM95" s="390"/>
      <c r="CN95" s="390"/>
      <c r="CO95" s="390"/>
      <c r="CP95" s="390"/>
      <c r="CQ95" s="390"/>
      <c r="CR95" s="390"/>
      <c r="CS95" s="390"/>
      <c r="CT95" s="390"/>
      <c r="CU95" s="390"/>
      <c r="CV95" s="390"/>
    </row>
    <row r="96" spans="1:100" outlineLevel="1" x14ac:dyDescent="0.2">
      <c r="A96" s="85"/>
      <c r="B96" s="85"/>
      <c r="C96" s="86"/>
      <c r="D96" s="87"/>
      <c r="E96" s="390" t="str">
        <f xml:space="preserve"> InpC!E$418</f>
        <v>GWh to KWh conversion</v>
      </c>
      <c r="F96" s="390">
        <f xml:space="preserve"> InpC!F$418</f>
        <v>1000000</v>
      </c>
      <c r="G96" s="390" t="str">
        <f xml:space="preserve"> InpC!G$418</f>
        <v>KWh / GWh</v>
      </c>
      <c r="H96" s="145"/>
      <c r="I96" s="68"/>
      <c r="J96" s="68"/>
      <c r="K96" s="68"/>
      <c r="L96" s="68"/>
      <c r="M96" s="68"/>
      <c r="N96" s="68"/>
      <c r="O96" s="390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  <c r="BM96" s="68"/>
      <c r="BN96" s="68"/>
      <c r="BO96" s="68"/>
      <c r="BP96" s="68"/>
      <c r="BQ96" s="68"/>
      <c r="BR96" s="68"/>
      <c r="BS96" s="68"/>
      <c r="BT96" s="68"/>
      <c r="BU96" s="68"/>
      <c r="BV96" s="68"/>
      <c r="BW96" s="68"/>
      <c r="BX96" s="68"/>
      <c r="BY96" s="68"/>
      <c r="BZ96" s="68"/>
      <c r="CA96" s="68"/>
      <c r="CB96" s="68"/>
      <c r="CC96" s="68"/>
      <c r="CD96" s="68"/>
      <c r="CE96" s="68"/>
      <c r="CF96" s="68"/>
      <c r="CG96" s="68"/>
      <c r="CH96" s="68"/>
      <c r="CI96" s="68"/>
      <c r="CJ96" s="68"/>
      <c r="CK96" s="68"/>
      <c r="CL96" s="68"/>
      <c r="CM96" s="68"/>
      <c r="CN96" s="68"/>
      <c r="CO96" s="68"/>
      <c r="CP96" s="68"/>
      <c r="CQ96" s="68"/>
      <c r="CR96" s="68"/>
      <c r="CS96" s="68"/>
      <c r="CT96" s="68"/>
      <c r="CU96" s="68"/>
      <c r="CV96" s="68"/>
    </row>
    <row r="97" spans="1:100" s="415" customFormat="1" outlineLevel="1" x14ac:dyDescent="0.2">
      <c r="A97" s="412"/>
      <c r="B97" s="412"/>
      <c r="C97" s="860"/>
      <c r="D97" s="413"/>
      <c r="E97" s="413" t="str">
        <f t="shared" ref="E97:BP97" si="65" xml:space="preserve"> E$61</f>
        <v>Power tariff applicable (Tn)</v>
      </c>
      <c r="F97" s="413">
        <f t="shared" si="65"/>
        <v>0</v>
      </c>
      <c r="G97" s="413" t="str">
        <f t="shared" si="65"/>
        <v>WID Cents / kWh</v>
      </c>
      <c r="H97" s="413">
        <f t="shared" si="65"/>
        <v>0</v>
      </c>
      <c r="I97" s="413">
        <f t="shared" si="65"/>
        <v>0</v>
      </c>
      <c r="J97" s="413">
        <f t="shared" si="65"/>
        <v>0</v>
      </c>
      <c r="K97" s="413">
        <f t="shared" si="65"/>
        <v>0</v>
      </c>
      <c r="L97" s="413">
        <f t="shared" si="65"/>
        <v>0</v>
      </c>
      <c r="M97" s="413">
        <f t="shared" si="65"/>
        <v>0</v>
      </c>
      <c r="N97" s="413">
        <f t="shared" si="65"/>
        <v>0</v>
      </c>
      <c r="O97" s="413">
        <f t="shared" si="65"/>
        <v>19.512265602785813</v>
      </c>
      <c r="P97" s="413">
        <f t="shared" si="65"/>
        <v>19.512265602785813</v>
      </c>
      <c r="Q97" s="413">
        <f t="shared" si="65"/>
        <v>19.519749078870948</v>
      </c>
      <c r="R97" s="413">
        <f t="shared" si="65"/>
        <v>19.519749078870948</v>
      </c>
      <c r="S97" s="413">
        <f t="shared" si="65"/>
        <v>19.527382224477787</v>
      </c>
      <c r="T97" s="413">
        <f t="shared" si="65"/>
        <v>19.527382224477787</v>
      </c>
      <c r="U97" s="413">
        <f t="shared" si="65"/>
        <v>19.535168032996758</v>
      </c>
      <c r="V97" s="413">
        <f t="shared" si="65"/>
        <v>19.535168032996758</v>
      </c>
      <c r="W97" s="413">
        <f t="shared" si="65"/>
        <v>19.543109557686112</v>
      </c>
      <c r="X97" s="413">
        <f t="shared" si="65"/>
        <v>19.543109557686112</v>
      </c>
      <c r="Y97" s="413">
        <f t="shared" si="65"/>
        <v>19.551209912869254</v>
      </c>
      <c r="Z97" s="413">
        <f t="shared" si="65"/>
        <v>19.551209912869254</v>
      </c>
      <c r="AA97" s="413">
        <f t="shared" si="65"/>
        <v>19.559472275156057</v>
      </c>
      <c r="AB97" s="413">
        <f t="shared" si="65"/>
        <v>19.559472275156057</v>
      </c>
      <c r="AC97" s="413">
        <f t="shared" si="65"/>
        <v>19.567899884688597</v>
      </c>
      <c r="AD97" s="413">
        <f t="shared" si="65"/>
        <v>19.567899884688597</v>
      </c>
      <c r="AE97" s="413">
        <f t="shared" si="65"/>
        <v>19.576496046411791</v>
      </c>
      <c r="AF97" s="413">
        <f t="shared" si="65"/>
        <v>19.576496046411791</v>
      </c>
      <c r="AG97" s="413">
        <f t="shared" si="65"/>
        <v>19.585264131369442</v>
      </c>
      <c r="AH97" s="413">
        <f t="shared" si="65"/>
        <v>19.585264131369442</v>
      </c>
      <c r="AI97" s="413">
        <f t="shared" si="65"/>
        <v>19.59420757802625</v>
      </c>
      <c r="AJ97" s="413">
        <f t="shared" si="65"/>
        <v>19.59420757802625</v>
      </c>
      <c r="AK97" s="413">
        <f t="shared" si="65"/>
        <v>19.603329893616195</v>
      </c>
      <c r="AL97" s="413">
        <f t="shared" si="65"/>
        <v>19.603329893616195</v>
      </c>
      <c r="AM97" s="413">
        <f t="shared" si="65"/>
        <v>19.612634655517937</v>
      </c>
      <c r="AN97" s="413">
        <f t="shared" si="65"/>
        <v>19.612634655517937</v>
      </c>
      <c r="AO97" s="413">
        <f t="shared" si="65"/>
        <v>19.622125512657714</v>
      </c>
      <c r="AP97" s="413">
        <f t="shared" si="65"/>
        <v>19.622125512657714</v>
      </c>
      <c r="AQ97" s="413">
        <f t="shared" si="65"/>
        <v>19.631806186940288</v>
      </c>
      <c r="AR97" s="413">
        <f t="shared" si="65"/>
        <v>19.631806186940288</v>
      </c>
      <c r="AS97" s="413">
        <f t="shared" si="65"/>
        <v>19.641680474708512</v>
      </c>
      <c r="AT97" s="413">
        <f t="shared" si="65"/>
        <v>19.641680474708512</v>
      </c>
      <c r="AU97" s="413">
        <f t="shared" si="65"/>
        <v>19.6517522482321</v>
      </c>
      <c r="AV97" s="413">
        <f t="shared" si="65"/>
        <v>19.6517522482321</v>
      </c>
      <c r="AW97" s="413">
        <f t="shared" si="65"/>
        <v>19.662025457226161</v>
      </c>
      <c r="AX97" s="413">
        <f t="shared" si="65"/>
        <v>19.662025457226161</v>
      </c>
      <c r="AY97" s="413">
        <f t="shared" si="65"/>
        <v>19.672504130400103</v>
      </c>
      <c r="AZ97" s="413">
        <f t="shared" si="65"/>
        <v>19.672504130400103</v>
      </c>
      <c r="BA97" s="413">
        <f t="shared" si="65"/>
        <v>19.683192377037525</v>
      </c>
      <c r="BB97" s="413">
        <f t="shared" si="65"/>
        <v>19.683192377037525</v>
      </c>
      <c r="BC97" s="413">
        <f t="shared" si="65"/>
        <v>0</v>
      </c>
      <c r="BD97" s="413">
        <f t="shared" si="65"/>
        <v>0</v>
      </c>
      <c r="BE97" s="413">
        <f t="shared" si="65"/>
        <v>0</v>
      </c>
      <c r="BF97" s="413">
        <f t="shared" si="65"/>
        <v>0</v>
      </c>
      <c r="BG97" s="413">
        <f t="shared" si="65"/>
        <v>0</v>
      </c>
      <c r="BH97" s="413">
        <f t="shared" si="65"/>
        <v>0</v>
      </c>
      <c r="BI97" s="413">
        <f t="shared" si="65"/>
        <v>0</v>
      </c>
      <c r="BJ97" s="413">
        <f t="shared" si="65"/>
        <v>0</v>
      </c>
      <c r="BK97" s="413">
        <f t="shared" si="65"/>
        <v>0</v>
      </c>
      <c r="BL97" s="413">
        <f t="shared" si="65"/>
        <v>0</v>
      </c>
      <c r="BM97" s="413">
        <f t="shared" si="65"/>
        <v>0</v>
      </c>
      <c r="BN97" s="413">
        <f t="shared" si="65"/>
        <v>0</v>
      </c>
      <c r="BO97" s="413">
        <f t="shared" si="65"/>
        <v>0</v>
      </c>
      <c r="BP97" s="413">
        <f t="shared" si="65"/>
        <v>0</v>
      </c>
      <c r="BQ97" s="413">
        <f t="shared" ref="BQ97:CV97" si="66" xml:space="preserve"> BQ$61</f>
        <v>0</v>
      </c>
      <c r="BR97" s="413">
        <f t="shared" si="66"/>
        <v>0</v>
      </c>
      <c r="BS97" s="413">
        <f t="shared" si="66"/>
        <v>0</v>
      </c>
      <c r="BT97" s="413">
        <f t="shared" si="66"/>
        <v>0</v>
      </c>
      <c r="BU97" s="413">
        <f t="shared" si="66"/>
        <v>0</v>
      </c>
      <c r="BV97" s="413">
        <f t="shared" si="66"/>
        <v>0</v>
      </c>
      <c r="BW97" s="413">
        <f t="shared" si="66"/>
        <v>0</v>
      </c>
      <c r="BX97" s="413">
        <f t="shared" si="66"/>
        <v>0</v>
      </c>
      <c r="BY97" s="413">
        <f t="shared" si="66"/>
        <v>0</v>
      </c>
      <c r="BZ97" s="413">
        <f t="shared" si="66"/>
        <v>0</v>
      </c>
      <c r="CA97" s="413">
        <f t="shared" si="66"/>
        <v>0</v>
      </c>
      <c r="CB97" s="413">
        <f t="shared" si="66"/>
        <v>0</v>
      </c>
      <c r="CC97" s="413">
        <f t="shared" si="66"/>
        <v>0</v>
      </c>
      <c r="CD97" s="413">
        <f t="shared" si="66"/>
        <v>0</v>
      </c>
      <c r="CE97" s="413">
        <f t="shared" si="66"/>
        <v>0</v>
      </c>
      <c r="CF97" s="413">
        <f t="shared" si="66"/>
        <v>0</v>
      </c>
      <c r="CG97" s="413">
        <f t="shared" si="66"/>
        <v>0</v>
      </c>
      <c r="CH97" s="413">
        <f t="shared" si="66"/>
        <v>0</v>
      </c>
      <c r="CI97" s="413">
        <f t="shared" si="66"/>
        <v>0</v>
      </c>
      <c r="CJ97" s="413">
        <f t="shared" si="66"/>
        <v>0</v>
      </c>
      <c r="CK97" s="413">
        <f t="shared" si="66"/>
        <v>0</v>
      </c>
      <c r="CL97" s="413">
        <f t="shared" si="66"/>
        <v>0</v>
      </c>
      <c r="CM97" s="413">
        <f t="shared" si="66"/>
        <v>0</v>
      </c>
      <c r="CN97" s="413">
        <f t="shared" si="66"/>
        <v>0</v>
      </c>
      <c r="CO97" s="413">
        <f t="shared" si="66"/>
        <v>0</v>
      </c>
      <c r="CP97" s="413">
        <f t="shared" si="66"/>
        <v>0</v>
      </c>
      <c r="CQ97" s="413">
        <f t="shared" si="66"/>
        <v>0</v>
      </c>
      <c r="CR97" s="413">
        <f t="shared" si="66"/>
        <v>0</v>
      </c>
      <c r="CS97" s="413">
        <f t="shared" si="66"/>
        <v>0</v>
      </c>
      <c r="CT97" s="413">
        <f t="shared" si="66"/>
        <v>0</v>
      </c>
      <c r="CU97" s="413">
        <f t="shared" si="66"/>
        <v>0</v>
      </c>
      <c r="CV97" s="413">
        <f t="shared" si="66"/>
        <v>0</v>
      </c>
    </row>
    <row r="98" spans="1:100" outlineLevel="1" x14ac:dyDescent="0.2">
      <c r="A98" s="236"/>
      <c r="B98" s="236"/>
      <c r="C98" s="237"/>
      <c r="D98" s="238"/>
      <c r="E98" s="151" t="str">
        <f t="shared" ref="E98:AJ98" si="67" xml:space="preserve"> E$92</f>
        <v>Electricity generation (Esn) - P99</v>
      </c>
      <c r="F98" s="151">
        <f t="shared" si="67"/>
        <v>0</v>
      </c>
      <c r="G98" s="151" t="str">
        <f t="shared" si="67"/>
        <v>GWh</v>
      </c>
      <c r="H98" s="151">
        <f t="shared" si="67"/>
        <v>16454.843722743681</v>
      </c>
      <c r="I98" s="151">
        <f t="shared" si="67"/>
        <v>0</v>
      </c>
      <c r="J98" s="151">
        <f t="shared" si="67"/>
        <v>0</v>
      </c>
      <c r="K98" s="151">
        <f t="shared" si="67"/>
        <v>0</v>
      </c>
      <c r="L98" s="151">
        <f t="shared" si="67"/>
        <v>0</v>
      </c>
      <c r="M98" s="151">
        <f t="shared" si="67"/>
        <v>0</v>
      </c>
      <c r="N98" s="151">
        <f t="shared" si="67"/>
        <v>0</v>
      </c>
      <c r="O98" s="151">
        <f t="shared" si="67"/>
        <v>419.22609010048416</v>
      </c>
      <c r="P98" s="151">
        <f t="shared" si="67"/>
        <v>419.22609010048416</v>
      </c>
      <c r="Q98" s="151">
        <f t="shared" si="67"/>
        <v>418.38931147752908</v>
      </c>
      <c r="R98" s="151">
        <f t="shared" si="67"/>
        <v>418.38931147752908</v>
      </c>
      <c r="S98" s="151">
        <f t="shared" si="67"/>
        <v>417.55420307138638</v>
      </c>
      <c r="T98" s="151">
        <f t="shared" si="67"/>
        <v>417.55420307138638</v>
      </c>
      <c r="U98" s="151">
        <f t="shared" si="67"/>
        <v>416.72076154828977</v>
      </c>
      <c r="V98" s="151">
        <f t="shared" si="67"/>
        <v>416.72076154828977</v>
      </c>
      <c r="W98" s="151">
        <f t="shared" si="67"/>
        <v>415.88898358112755</v>
      </c>
      <c r="X98" s="151">
        <f t="shared" si="67"/>
        <v>415.88898358112755</v>
      </c>
      <c r="Y98" s="151">
        <f t="shared" si="67"/>
        <v>415.05886584942863</v>
      </c>
      <c r="Z98" s="151">
        <f t="shared" si="67"/>
        <v>415.05886584942863</v>
      </c>
      <c r="AA98" s="151">
        <f t="shared" si="67"/>
        <v>414.23040503935005</v>
      </c>
      <c r="AB98" s="151">
        <f t="shared" si="67"/>
        <v>414.23040503935005</v>
      </c>
      <c r="AC98" s="151">
        <f t="shared" si="67"/>
        <v>413.40359784366274</v>
      </c>
      <c r="AD98" s="151">
        <f t="shared" si="67"/>
        <v>413.40359784366274</v>
      </c>
      <c r="AE98" s="151">
        <f t="shared" si="67"/>
        <v>412.57844096173915</v>
      </c>
      <c r="AF98" s="151">
        <f t="shared" si="67"/>
        <v>412.57844096173915</v>
      </c>
      <c r="AG98" s="151">
        <f t="shared" si="67"/>
        <v>411.75493109954004</v>
      </c>
      <c r="AH98" s="151">
        <f t="shared" si="67"/>
        <v>411.75493109954004</v>
      </c>
      <c r="AI98" s="151">
        <f t="shared" si="67"/>
        <v>410.93306496960099</v>
      </c>
      <c r="AJ98" s="151">
        <f t="shared" si="67"/>
        <v>410.93306496960099</v>
      </c>
      <c r="AK98" s="151">
        <f t="shared" ref="AK98:BP98" si="68" xml:space="preserve"> AK$92</f>
        <v>410.11283929101893</v>
      </c>
      <c r="AL98" s="151">
        <f t="shared" si="68"/>
        <v>410.11283929101893</v>
      </c>
      <c r="AM98" s="151">
        <f t="shared" si="68"/>
        <v>409.29425078944001</v>
      </c>
      <c r="AN98" s="151">
        <f t="shared" si="68"/>
        <v>409.29425078944001</v>
      </c>
      <c r="AO98" s="151">
        <f t="shared" si="68"/>
        <v>408.47729619704586</v>
      </c>
      <c r="AP98" s="151">
        <f t="shared" si="68"/>
        <v>408.47729619704586</v>
      </c>
      <c r="AQ98" s="151">
        <f t="shared" si="68"/>
        <v>407.66197225254098</v>
      </c>
      <c r="AR98" s="151">
        <f t="shared" si="68"/>
        <v>407.66197225254098</v>
      </c>
      <c r="AS98" s="151">
        <f t="shared" si="68"/>
        <v>406.84827570113856</v>
      </c>
      <c r="AT98" s="151">
        <f t="shared" si="68"/>
        <v>406.84827570113856</v>
      </c>
      <c r="AU98" s="151">
        <f t="shared" si="68"/>
        <v>406.03620329454952</v>
      </c>
      <c r="AV98" s="151">
        <f t="shared" si="68"/>
        <v>406.03620329454952</v>
      </c>
      <c r="AW98" s="151">
        <f t="shared" si="68"/>
        <v>405.22575179096754</v>
      </c>
      <c r="AX98" s="151">
        <f t="shared" si="68"/>
        <v>405.22575179096754</v>
      </c>
      <c r="AY98" s="151">
        <f t="shared" si="68"/>
        <v>404.4169179550575</v>
      </c>
      <c r="AZ98" s="151">
        <f t="shared" si="68"/>
        <v>404.4169179550575</v>
      </c>
      <c r="BA98" s="151">
        <f t="shared" si="68"/>
        <v>403.60969855794161</v>
      </c>
      <c r="BB98" s="151">
        <f t="shared" si="68"/>
        <v>403.60969855794161</v>
      </c>
      <c r="BC98" s="151">
        <f t="shared" si="68"/>
        <v>0</v>
      </c>
      <c r="BD98" s="151">
        <f t="shared" si="68"/>
        <v>0</v>
      </c>
      <c r="BE98" s="151">
        <f t="shared" si="68"/>
        <v>0</v>
      </c>
      <c r="BF98" s="151">
        <f t="shared" si="68"/>
        <v>0</v>
      </c>
      <c r="BG98" s="151">
        <f t="shared" si="68"/>
        <v>0</v>
      </c>
      <c r="BH98" s="151">
        <f t="shared" si="68"/>
        <v>0</v>
      </c>
      <c r="BI98" s="151">
        <f t="shared" si="68"/>
        <v>0</v>
      </c>
      <c r="BJ98" s="151">
        <f t="shared" si="68"/>
        <v>0</v>
      </c>
      <c r="BK98" s="151">
        <f t="shared" si="68"/>
        <v>0</v>
      </c>
      <c r="BL98" s="151">
        <f t="shared" si="68"/>
        <v>0</v>
      </c>
      <c r="BM98" s="151">
        <f t="shared" si="68"/>
        <v>0</v>
      </c>
      <c r="BN98" s="151">
        <f t="shared" si="68"/>
        <v>0</v>
      </c>
      <c r="BO98" s="151">
        <f t="shared" si="68"/>
        <v>0</v>
      </c>
      <c r="BP98" s="151">
        <f t="shared" si="68"/>
        <v>0</v>
      </c>
      <c r="BQ98" s="151">
        <f t="shared" ref="BQ98:CV98" si="69" xml:space="preserve"> BQ$92</f>
        <v>0</v>
      </c>
      <c r="BR98" s="151">
        <f t="shared" si="69"/>
        <v>0</v>
      </c>
      <c r="BS98" s="151">
        <f t="shared" si="69"/>
        <v>0</v>
      </c>
      <c r="BT98" s="151">
        <f t="shared" si="69"/>
        <v>0</v>
      </c>
      <c r="BU98" s="151">
        <f t="shared" si="69"/>
        <v>0</v>
      </c>
      <c r="BV98" s="151">
        <f t="shared" si="69"/>
        <v>0</v>
      </c>
      <c r="BW98" s="151">
        <f t="shared" si="69"/>
        <v>0</v>
      </c>
      <c r="BX98" s="151">
        <f t="shared" si="69"/>
        <v>0</v>
      </c>
      <c r="BY98" s="151">
        <f t="shared" si="69"/>
        <v>0</v>
      </c>
      <c r="BZ98" s="151">
        <f t="shared" si="69"/>
        <v>0</v>
      </c>
      <c r="CA98" s="151">
        <f t="shared" si="69"/>
        <v>0</v>
      </c>
      <c r="CB98" s="151">
        <f t="shared" si="69"/>
        <v>0</v>
      </c>
      <c r="CC98" s="151">
        <f t="shared" si="69"/>
        <v>0</v>
      </c>
      <c r="CD98" s="151">
        <f t="shared" si="69"/>
        <v>0</v>
      </c>
      <c r="CE98" s="151">
        <f t="shared" si="69"/>
        <v>0</v>
      </c>
      <c r="CF98" s="151">
        <f t="shared" si="69"/>
        <v>0</v>
      </c>
      <c r="CG98" s="151">
        <f t="shared" si="69"/>
        <v>0</v>
      </c>
      <c r="CH98" s="151">
        <f t="shared" si="69"/>
        <v>0</v>
      </c>
      <c r="CI98" s="151">
        <f t="shared" si="69"/>
        <v>0</v>
      </c>
      <c r="CJ98" s="151">
        <f t="shared" si="69"/>
        <v>0</v>
      </c>
      <c r="CK98" s="151">
        <f t="shared" si="69"/>
        <v>0</v>
      </c>
      <c r="CL98" s="151">
        <f t="shared" si="69"/>
        <v>0</v>
      </c>
      <c r="CM98" s="151">
        <f t="shared" si="69"/>
        <v>0</v>
      </c>
      <c r="CN98" s="151">
        <f t="shared" si="69"/>
        <v>0</v>
      </c>
      <c r="CO98" s="151">
        <f t="shared" si="69"/>
        <v>0</v>
      </c>
      <c r="CP98" s="151">
        <f t="shared" si="69"/>
        <v>0</v>
      </c>
      <c r="CQ98" s="151">
        <f t="shared" si="69"/>
        <v>0</v>
      </c>
      <c r="CR98" s="151">
        <f t="shared" si="69"/>
        <v>0</v>
      </c>
      <c r="CS98" s="151">
        <f t="shared" si="69"/>
        <v>0</v>
      </c>
      <c r="CT98" s="151">
        <f t="shared" si="69"/>
        <v>0</v>
      </c>
      <c r="CU98" s="151">
        <f t="shared" si="69"/>
        <v>0</v>
      </c>
      <c r="CV98" s="151">
        <f t="shared" si="69"/>
        <v>0</v>
      </c>
    </row>
    <row r="99" spans="1:100" s="867" customFormat="1" outlineLevel="1" x14ac:dyDescent="0.2">
      <c r="A99" s="863"/>
      <c r="B99" s="863"/>
      <c r="C99" s="864"/>
      <c r="D99" s="865"/>
      <c r="E99" s="866" t="s">
        <v>1168</v>
      </c>
      <c r="F99" s="866"/>
      <c r="G99" s="866" t="s">
        <v>118</v>
      </c>
      <c r="H99" s="866"/>
      <c r="I99" s="866"/>
      <c r="J99" s="866"/>
      <c r="K99" s="866"/>
      <c r="L99" s="866"/>
      <c r="M99" s="866"/>
      <c r="N99" s="866"/>
      <c r="O99" s="866"/>
      <c r="P99" s="866"/>
      <c r="Q99" s="866"/>
      <c r="R99" s="866"/>
      <c r="S99" s="866"/>
      <c r="T99" s="866"/>
      <c r="U99" s="866"/>
      <c r="V99" s="866"/>
      <c r="W99" s="866"/>
      <c r="X99" s="866"/>
      <c r="Y99" s="866"/>
      <c r="Z99" s="866"/>
      <c r="AA99" s="866"/>
      <c r="AB99" s="866"/>
      <c r="AC99" s="866"/>
      <c r="AD99" s="866"/>
      <c r="AE99" s="866"/>
      <c r="AF99" s="866"/>
      <c r="AG99" s="866"/>
      <c r="AH99" s="866"/>
      <c r="AI99" s="866"/>
      <c r="AJ99" s="866"/>
      <c r="AK99" s="866"/>
      <c r="AL99" s="866"/>
      <c r="AM99" s="866"/>
      <c r="AN99" s="866"/>
      <c r="AO99" s="866"/>
      <c r="AP99" s="866"/>
      <c r="AQ99" s="866"/>
      <c r="AR99" s="866"/>
      <c r="AS99" s="866"/>
      <c r="AT99" s="866"/>
      <c r="AU99" s="866"/>
      <c r="AV99" s="866"/>
      <c r="AW99" s="866"/>
      <c r="AX99" s="866"/>
      <c r="AY99" s="866"/>
      <c r="AZ99" s="866"/>
      <c r="BA99" s="866"/>
      <c r="BB99" s="866"/>
      <c r="BC99" s="866"/>
      <c r="BD99" s="866"/>
      <c r="BE99" s="866"/>
      <c r="BF99" s="866"/>
      <c r="BG99" s="866"/>
      <c r="BH99" s="866"/>
      <c r="BI99" s="866"/>
      <c r="BJ99" s="866"/>
      <c r="BK99" s="866"/>
      <c r="BL99" s="866"/>
      <c r="BM99" s="866"/>
      <c r="BN99" s="866"/>
      <c r="BO99" s="866"/>
      <c r="BP99" s="866"/>
      <c r="BQ99" s="866"/>
      <c r="BR99" s="866"/>
      <c r="BS99" s="866"/>
      <c r="BT99" s="866"/>
      <c r="BU99" s="866"/>
      <c r="BV99" s="866"/>
      <c r="BW99" s="866"/>
      <c r="BX99" s="866"/>
      <c r="BY99" s="866"/>
      <c r="BZ99" s="866"/>
      <c r="CA99" s="866"/>
      <c r="CB99" s="866"/>
      <c r="CC99" s="866"/>
      <c r="CD99" s="866"/>
      <c r="CE99" s="866"/>
      <c r="CF99" s="866"/>
      <c r="CG99" s="866"/>
      <c r="CH99" s="866"/>
      <c r="CI99" s="866"/>
      <c r="CJ99" s="866"/>
      <c r="CK99" s="866"/>
      <c r="CL99" s="866"/>
      <c r="CM99" s="866"/>
      <c r="CN99" s="866"/>
      <c r="CO99" s="866"/>
      <c r="CP99" s="866"/>
      <c r="CQ99" s="866"/>
      <c r="CR99" s="866"/>
      <c r="CS99" s="866"/>
      <c r="CT99" s="866"/>
      <c r="CU99" s="866"/>
      <c r="CV99" s="866"/>
    </row>
    <row r="100" spans="1:100" outlineLevel="1" x14ac:dyDescent="0.2">
      <c r="A100" s="85"/>
      <c r="B100" s="85"/>
      <c r="C100" s="86"/>
      <c r="D100" s="87"/>
      <c r="E100" s="390" t="str">
        <f xml:space="preserve"> Time!E$106</f>
        <v>Operating period flag</v>
      </c>
      <c r="F100" s="390">
        <f xml:space="preserve"> Time!F$106</f>
        <v>0</v>
      </c>
      <c r="G100" s="390" t="str">
        <f xml:space="preserve"> Time!G$106</f>
        <v>flag</v>
      </c>
      <c r="H100" s="390">
        <f xml:space="preserve"> Time!H$106</f>
        <v>40</v>
      </c>
      <c r="I100" s="390">
        <f xml:space="preserve"> Time!I$106</f>
        <v>0</v>
      </c>
      <c r="J100" s="390">
        <f xml:space="preserve"> Time!J$106</f>
        <v>0</v>
      </c>
      <c r="K100" s="390">
        <f xml:space="preserve"> Time!K$106</f>
        <v>0</v>
      </c>
      <c r="L100" s="390">
        <f xml:space="preserve"> Time!L$106</f>
        <v>0</v>
      </c>
      <c r="M100" s="390">
        <f xml:space="preserve"> Time!M$106</f>
        <v>0</v>
      </c>
      <c r="N100" s="390">
        <f xml:space="preserve"> Time!N$106</f>
        <v>0</v>
      </c>
      <c r="O100" s="390">
        <f xml:space="preserve"> Time!O$106</f>
        <v>1</v>
      </c>
      <c r="P100" s="390">
        <f xml:space="preserve"> Time!P$106</f>
        <v>1</v>
      </c>
      <c r="Q100" s="390">
        <f xml:space="preserve"> Time!Q$106</f>
        <v>1</v>
      </c>
      <c r="R100" s="390">
        <f xml:space="preserve"> Time!R$106</f>
        <v>1</v>
      </c>
      <c r="S100" s="390">
        <f xml:space="preserve"> Time!S$106</f>
        <v>1</v>
      </c>
      <c r="T100" s="390">
        <f xml:space="preserve"> Time!T$106</f>
        <v>1</v>
      </c>
      <c r="U100" s="390">
        <f xml:space="preserve"> Time!U$106</f>
        <v>1</v>
      </c>
      <c r="V100" s="390">
        <f xml:space="preserve"> Time!V$106</f>
        <v>1</v>
      </c>
      <c r="W100" s="390">
        <f xml:space="preserve"> Time!W$106</f>
        <v>1</v>
      </c>
      <c r="X100" s="390">
        <f xml:space="preserve"> Time!X$106</f>
        <v>1</v>
      </c>
      <c r="Y100" s="390">
        <f xml:space="preserve"> Time!Y$106</f>
        <v>1</v>
      </c>
      <c r="Z100" s="390">
        <f xml:space="preserve"> Time!Z$106</f>
        <v>1</v>
      </c>
      <c r="AA100" s="390">
        <f xml:space="preserve"> Time!AA$106</f>
        <v>1</v>
      </c>
      <c r="AB100" s="390">
        <f xml:space="preserve"> Time!AB$106</f>
        <v>1</v>
      </c>
      <c r="AC100" s="390">
        <f xml:space="preserve"> Time!AC$106</f>
        <v>1</v>
      </c>
      <c r="AD100" s="390">
        <f xml:space="preserve"> Time!AD$106</f>
        <v>1</v>
      </c>
      <c r="AE100" s="390">
        <f xml:space="preserve"> Time!AE$106</f>
        <v>1</v>
      </c>
      <c r="AF100" s="390">
        <f xml:space="preserve"> Time!AF$106</f>
        <v>1</v>
      </c>
      <c r="AG100" s="390">
        <f xml:space="preserve"> Time!AG$106</f>
        <v>1</v>
      </c>
      <c r="AH100" s="390">
        <f xml:space="preserve"> Time!AH$106</f>
        <v>1</v>
      </c>
      <c r="AI100" s="390">
        <f xml:space="preserve"> Time!AI$106</f>
        <v>1</v>
      </c>
      <c r="AJ100" s="390">
        <f xml:space="preserve"> Time!AJ$106</f>
        <v>1</v>
      </c>
      <c r="AK100" s="390">
        <f xml:space="preserve"> Time!AK$106</f>
        <v>1</v>
      </c>
      <c r="AL100" s="390">
        <f xml:space="preserve"> Time!AL$106</f>
        <v>1</v>
      </c>
      <c r="AM100" s="390">
        <f xml:space="preserve"> Time!AM$106</f>
        <v>1</v>
      </c>
      <c r="AN100" s="390">
        <f xml:space="preserve"> Time!AN$106</f>
        <v>1</v>
      </c>
      <c r="AO100" s="390">
        <f xml:space="preserve"> Time!AO$106</f>
        <v>1</v>
      </c>
      <c r="AP100" s="390">
        <f xml:space="preserve"> Time!AP$106</f>
        <v>1</v>
      </c>
      <c r="AQ100" s="390">
        <f xml:space="preserve"> Time!AQ$106</f>
        <v>1</v>
      </c>
      <c r="AR100" s="390">
        <f xml:space="preserve"> Time!AR$106</f>
        <v>1</v>
      </c>
      <c r="AS100" s="390">
        <f xml:space="preserve"> Time!AS$106</f>
        <v>1</v>
      </c>
      <c r="AT100" s="390">
        <f xml:space="preserve"> Time!AT$106</f>
        <v>1</v>
      </c>
      <c r="AU100" s="390">
        <f xml:space="preserve"> Time!AU$106</f>
        <v>1</v>
      </c>
      <c r="AV100" s="390">
        <f xml:space="preserve"> Time!AV$106</f>
        <v>1</v>
      </c>
      <c r="AW100" s="390">
        <f xml:space="preserve"> Time!AW$106</f>
        <v>1</v>
      </c>
      <c r="AX100" s="390">
        <f xml:space="preserve"> Time!AX$106</f>
        <v>1</v>
      </c>
      <c r="AY100" s="390">
        <f xml:space="preserve"> Time!AY$106</f>
        <v>1</v>
      </c>
      <c r="AZ100" s="390">
        <f xml:space="preserve"> Time!AZ$106</f>
        <v>1</v>
      </c>
      <c r="BA100" s="390">
        <f xml:space="preserve"> Time!BA$106</f>
        <v>1</v>
      </c>
      <c r="BB100" s="390">
        <f xml:space="preserve"> Time!BB$106</f>
        <v>1</v>
      </c>
      <c r="BC100" s="390">
        <f xml:space="preserve"> Time!BC$106</f>
        <v>0</v>
      </c>
      <c r="BD100" s="390">
        <f xml:space="preserve"> Time!BD$106</f>
        <v>0</v>
      </c>
      <c r="BE100" s="390">
        <f xml:space="preserve"> Time!BE$106</f>
        <v>0</v>
      </c>
      <c r="BF100" s="390">
        <f xml:space="preserve"> Time!BF$106</f>
        <v>0</v>
      </c>
      <c r="BG100" s="390">
        <f xml:space="preserve"> Time!BG$106</f>
        <v>0</v>
      </c>
      <c r="BH100" s="390">
        <f xml:space="preserve"> Time!BH$106</f>
        <v>0</v>
      </c>
      <c r="BI100" s="390">
        <f xml:space="preserve"> Time!BI$106</f>
        <v>0</v>
      </c>
      <c r="BJ100" s="390">
        <f xml:space="preserve"> Time!BJ$106</f>
        <v>0</v>
      </c>
      <c r="BK100" s="390">
        <f xml:space="preserve"> Time!BK$106</f>
        <v>0</v>
      </c>
      <c r="BL100" s="390">
        <f xml:space="preserve"> Time!BL$106</f>
        <v>0</v>
      </c>
      <c r="BM100" s="390">
        <f xml:space="preserve"> Time!BM$106</f>
        <v>0</v>
      </c>
      <c r="BN100" s="390">
        <f xml:space="preserve"> Time!BN$106</f>
        <v>0</v>
      </c>
      <c r="BO100" s="390">
        <f xml:space="preserve"> Time!BO$106</f>
        <v>0</v>
      </c>
      <c r="BP100" s="390">
        <f xml:space="preserve"> Time!BP$106</f>
        <v>0</v>
      </c>
      <c r="BQ100" s="390">
        <f xml:space="preserve"> Time!BQ$106</f>
        <v>0</v>
      </c>
      <c r="BR100" s="390">
        <f xml:space="preserve"> Time!BR$106</f>
        <v>0</v>
      </c>
      <c r="BS100" s="390">
        <f xml:space="preserve"> Time!BS$106</f>
        <v>0</v>
      </c>
      <c r="BT100" s="390">
        <f xml:space="preserve"> Time!BT$106</f>
        <v>0</v>
      </c>
      <c r="BU100" s="390">
        <f xml:space="preserve"> Time!BU$106</f>
        <v>0</v>
      </c>
      <c r="BV100" s="390">
        <f xml:space="preserve"> Time!BV$106</f>
        <v>0</v>
      </c>
      <c r="BW100" s="390">
        <f xml:space="preserve"> Time!BW$106</f>
        <v>0</v>
      </c>
      <c r="BX100" s="390">
        <f xml:space="preserve"> Time!BX$106</f>
        <v>0</v>
      </c>
      <c r="BY100" s="390">
        <f xml:space="preserve"> Time!BY$106</f>
        <v>0</v>
      </c>
      <c r="BZ100" s="390">
        <f xml:space="preserve"> Time!BZ$106</f>
        <v>0</v>
      </c>
      <c r="CA100" s="390">
        <f xml:space="preserve"> Time!CA$106</f>
        <v>0</v>
      </c>
      <c r="CB100" s="390">
        <f xml:space="preserve"> Time!CB$106</f>
        <v>0</v>
      </c>
      <c r="CC100" s="390">
        <f xml:space="preserve"> Time!CC$106</f>
        <v>0</v>
      </c>
      <c r="CD100" s="390">
        <f xml:space="preserve"> Time!CD$106</f>
        <v>0</v>
      </c>
      <c r="CE100" s="390">
        <f xml:space="preserve"> Time!CE$106</f>
        <v>0</v>
      </c>
      <c r="CF100" s="390">
        <f xml:space="preserve"> Time!CF$106</f>
        <v>0</v>
      </c>
      <c r="CG100" s="390">
        <f xml:space="preserve"> Time!CG$106</f>
        <v>0</v>
      </c>
      <c r="CH100" s="390">
        <f xml:space="preserve"> Time!CH$106</f>
        <v>0</v>
      </c>
      <c r="CI100" s="390">
        <f xml:space="preserve"> Time!CI$106</f>
        <v>0</v>
      </c>
      <c r="CJ100" s="390">
        <f xml:space="preserve"> Time!CJ$106</f>
        <v>0</v>
      </c>
      <c r="CK100" s="390">
        <f xml:space="preserve"> Time!CK$106</f>
        <v>0</v>
      </c>
      <c r="CL100" s="390">
        <f xml:space="preserve"> Time!CL$106</f>
        <v>0</v>
      </c>
      <c r="CM100" s="390">
        <f xml:space="preserve"> Time!CM$106</f>
        <v>0</v>
      </c>
      <c r="CN100" s="390">
        <f xml:space="preserve"> Time!CN$106</f>
        <v>0</v>
      </c>
      <c r="CO100" s="390">
        <f xml:space="preserve"> Time!CO$106</f>
        <v>0</v>
      </c>
      <c r="CP100" s="390">
        <f xml:space="preserve"> Time!CP$106</f>
        <v>0</v>
      </c>
      <c r="CQ100" s="390">
        <f xml:space="preserve"> Time!CQ$106</f>
        <v>0</v>
      </c>
      <c r="CR100" s="390">
        <f xml:space="preserve"> Time!CR$106</f>
        <v>0</v>
      </c>
      <c r="CS100" s="390">
        <f xml:space="preserve"> Time!CS$106</f>
        <v>0</v>
      </c>
      <c r="CT100" s="390">
        <f xml:space="preserve"> Time!CT$106</f>
        <v>0</v>
      </c>
      <c r="CU100" s="390">
        <f xml:space="preserve"> Time!CU$106</f>
        <v>0</v>
      </c>
      <c r="CV100" s="390">
        <f xml:space="preserve"> Time!CV$106</f>
        <v>0</v>
      </c>
    </row>
    <row r="101" spans="1:100" s="191" customFormat="1" outlineLevel="1" x14ac:dyDescent="0.2">
      <c r="A101" s="700"/>
      <c r="B101" s="700"/>
      <c r="C101" s="701"/>
      <c r="D101" s="702"/>
      <c r="E101" s="703" t="s">
        <v>1169</v>
      </c>
      <c r="F101" s="703"/>
      <c r="G101" s="703" t="s">
        <v>626</v>
      </c>
      <c r="H101" s="703">
        <f xml:space="preserve"> SUM(J101:CV101)</f>
        <v>3223844.0858082226</v>
      </c>
      <c r="I101" s="703"/>
      <c r="J101" s="703">
        <f t="shared" ref="J101:AO101" si="70" xml:space="preserve"> J97 / $F94 * $F96 * (J98 + J99) / $F95 * J100</f>
        <v>0</v>
      </c>
      <c r="K101" s="703">
        <f t="shared" si="70"/>
        <v>0</v>
      </c>
      <c r="L101" s="703">
        <f t="shared" si="70"/>
        <v>0</v>
      </c>
      <c r="M101" s="703">
        <f t="shared" si="70"/>
        <v>0</v>
      </c>
      <c r="N101" s="703">
        <f t="shared" si="70"/>
        <v>0</v>
      </c>
      <c r="O101" s="703">
        <f t="shared" si="70"/>
        <v>81800.508176580639</v>
      </c>
      <c r="P101" s="703">
        <f t="shared" si="70"/>
        <v>81800.508176580639</v>
      </c>
      <c r="Q101" s="703">
        <f t="shared" si="70"/>
        <v>81668.543773229481</v>
      </c>
      <c r="R101" s="703">
        <f t="shared" si="70"/>
        <v>81668.543773229481</v>
      </c>
      <c r="S101" s="703">
        <f t="shared" si="70"/>
        <v>81537.405228121788</v>
      </c>
      <c r="T101" s="703">
        <f t="shared" si="70"/>
        <v>81537.405228121788</v>
      </c>
      <c r="U101" s="703">
        <f t="shared" si="70"/>
        <v>81407.100996842142</v>
      </c>
      <c r="V101" s="703">
        <f t="shared" si="70"/>
        <v>81407.100996842142</v>
      </c>
      <c r="W101" s="703">
        <f t="shared" si="70"/>
        <v>81277.639699606952</v>
      </c>
      <c r="X101" s="703">
        <f t="shared" si="70"/>
        <v>81277.639699606952</v>
      </c>
      <c r="Y101" s="703">
        <f t="shared" si="70"/>
        <v>81149.030124196201</v>
      </c>
      <c r="Z101" s="703">
        <f t="shared" si="70"/>
        <v>81149.030124196201</v>
      </c>
      <c r="AA101" s="703">
        <f t="shared" si="70"/>
        <v>81021.281228938315</v>
      </c>
      <c r="AB101" s="703">
        <f t="shared" si="70"/>
        <v>81021.281228938315</v>
      </c>
      <c r="AC101" s="703">
        <f t="shared" si="70"/>
        <v>80894.402145748594</v>
      </c>
      <c r="AD101" s="703">
        <f t="shared" si="70"/>
        <v>80894.402145748594</v>
      </c>
      <c r="AE101" s="703">
        <f t="shared" si="70"/>
        <v>80768.402183222264</v>
      </c>
      <c r="AF101" s="703">
        <f t="shared" si="70"/>
        <v>80768.402183222264</v>
      </c>
      <c r="AG101" s="703">
        <f t="shared" si="70"/>
        <v>80643.290829783175</v>
      </c>
      <c r="AH101" s="703">
        <f t="shared" si="70"/>
        <v>80643.290829783175</v>
      </c>
      <c r="AI101" s="703">
        <f t="shared" si="70"/>
        <v>80519.077756889092</v>
      </c>
      <c r="AJ101" s="703">
        <f t="shared" si="70"/>
        <v>80519.077756889092</v>
      </c>
      <c r="AK101" s="703">
        <f t="shared" si="70"/>
        <v>80395.772822294457</v>
      </c>
      <c r="AL101" s="703">
        <f t="shared" si="70"/>
        <v>80395.772822294457</v>
      </c>
      <c r="AM101" s="703">
        <f t="shared" si="70"/>
        <v>80273.386073372196</v>
      </c>
      <c r="AN101" s="703">
        <f t="shared" si="70"/>
        <v>80273.386073372196</v>
      </c>
      <c r="AO101" s="703">
        <f t="shared" si="70"/>
        <v>80151.927750494957</v>
      </c>
      <c r="AP101" s="703">
        <f t="shared" ref="AP101:BU101" si="71" xml:space="preserve"> AP97 / $F94 * $F96 * (AP98 + AP99) / $F95 * AP100</f>
        <v>80151.927750494957</v>
      </c>
      <c r="AQ101" s="703">
        <f t="shared" si="71"/>
        <v>80031.408290477135</v>
      </c>
      <c r="AR101" s="703">
        <f t="shared" si="71"/>
        <v>80031.408290477135</v>
      </c>
      <c r="AS101" s="703">
        <f t="shared" si="71"/>
        <v>79911.838330078783</v>
      </c>
      <c r="AT101" s="703">
        <f t="shared" si="71"/>
        <v>79911.838330078783</v>
      </c>
      <c r="AU101" s="703">
        <f t="shared" si="71"/>
        <v>79793.228709572897</v>
      </c>
      <c r="AV101" s="703">
        <f t="shared" si="71"/>
        <v>79793.228709572897</v>
      </c>
      <c r="AW101" s="703">
        <f t="shared" si="71"/>
        <v>79675.590476376135</v>
      </c>
      <c r="AX101" s="703">
        <f t="shared" si="71"/>
        <v>79675.590476376135</v>
      </c>
      <c r="AY101" s="703">
        <f t="shared" si="71"/>
        <v>79558.934888745483</v>
      </c>
      <c r="AZ101" s="703">
        <f t="shared" si="71"/>
        <v>79558.934888745483</v>
      </c>
      <c r="BA101" s="703">
        <f t="shared" si="71"/>
        <v>79443.273419540899</v>
      </c>
      <c r="BB101" s="703">
        <f t="shared" si="71"/>
        <v>79443.273419540899</v>
      </c>
      <c r="BC101" s="703">
        <f t="shared" si="71"/>
        <v>0</v>
      </c>
      <c r="BD101" s="703">
        <f t="shared" si="71"/>
        <v>0</v>
      </c>
      <c r="BE101" s="703">
        <f t="shared" si="71"/>
        <v>0</v>
      </c>
      <c r="BF101" s="703">
        <f t="shared" si="71"/>
        <v>0</v>
      </c>
      <c r="BG101" s="703">
        <f t="shared" si="71"/>
        <v>0</v>
      </c>
      <c r="BH101" s="703">
        <f t="shared" si="71"/>
        <v>0</v>
      </c>
      <c r="BI101" s="703">
        <f t="shared" si="71"/>
        <v>0</v>
      </c>
      <c r="BJ101" s="703">
        <f t="shared" si="71"/>
        <v>0</v>
      </c>
      <c r="BK101" s="703">
        <f t="shared" si="71"/>
        <v>0</v>
      </c>
      <c r="BL101" s="703">
        <f t="shared" si="71"/>
        <v>0</v>
      </c>
      <c r="BM101" s="703">
        <f t="shared" si="71"/>
        <v>0</v>
      </c>
      <c r="BN101" s="703">
        <f t="shared" si="71"/>
        <v>0</v>
      </c>
      <c r="BO101" s="703">
        <f t="shared" si="71"/>
        <v>0</v>
      </c>
      <c r="BP101" s="703">
        <f t="shared" si="71"/>
        <v>0</v>
      </c>
      <c r="BQ101" s="703">
        <f t="shared" si="71"/>
        <v>0</v>
      </c>
      <c r="BR101" s="703">
        <f t="shared" si="71"/>
        <v>0</v>
      </c>
      <c r="BS101" s="703">
        <f t="shared" si="71"/>
        <v>0</v>
      </c>
      <c r="BT101" s="703">
        <f t="shared" si="71"/>
        <v>0</v>
      </c>
      <c r="BU101" s="703">
        <f t="shared" si="71"/>
        <v>0</v>
      </c>
      <c r="BV101" s="703">
        <f t="shared" ref="BV101:CV101" si="72" xml:space="preserve"> BV97 / $F94 * $F96 * (BV98 + BV99) / $F95 * BV100</f>
        <v>0</v>
      </c>
      <c r="BW101" s="703">
        <f t="shared" si="72"/>
        <v>0</v>
      </c>
      <c r="BX101" s="703">
        <f t="shared" si="72"/>
        <v>0</v>
      </c>
      <c r="BY101" s="703">
        <f t="shared" si="72"/>
        <v>0</v>
      </c>
      <c r="BZ101" s="703">
        <f t="shared" si="72"/>
        <v>0</v>
      </c>
      <c r="CA101" s="703">
        <f t="shared" si="72"/>
        <v>0</v>
      </c>
      <c r="CB101" s="703">
        <f t="shared" si="72"/>
        <v>0</v>
      </c>
      <c r="CC101" s="703">
        <f t="shared" si="72"/>
        <v>0</v>
      </c>
      <c r="CD101" s="703">
        <f t="shared" si="72"/>
        <v>0</v>
      </c>
      <c r="CE101" s="703">
        <f t="shared" si="72"/>
        <v>0</v>
      </c>
      <c r="CF101" s="703">
        <f t="shared" si="72"/>
        <v>0</v>
      </c>
      <c r="CG101" s="703">
        <f t="shared" si="72"/>
        <v>0</v>
      </c>
      <c r="CH101" s="703">
        <f t="shared" si="72"/>
        <v>0</v>
      </c>
      <c r="CI101" s="703">
        <f t="shared" si="72"/>
        <v>0</v>
      </c>
      <c r="CJ101" s="703">
        <f t="shared" si="72"/>
        <v>0</v>
      </c>
      <c r="CK101" s="703">
        <f t="shared" si="72"/>
        <v>0</v>
      </c>
      <c r="CL101" s="703">
        <f t="shared" si="72"/>
        <v>0</v>
      </c>
      <c r="CM101" s="703">
        <f t="shared" si="72"/>
        <v>0</v>
      </c>
      <c r="CN101" s="703">
        <f t="shared" si="72"/>
        <v>0</v>
      </c>
      <c r="CO101" s="703">
        <f t="shared" si="72"/>
        <v>0</v>
      </c>
      <c r="CP101" s="703">
        <f t="shared" si="72"/>
        <v>0</v>
      </c>
      <c r="CQ101" s="703">
        <f t="shared" si="72"/>
        <v>0</v>
      </c>
      <c r="CR101" s="703">
        <f t="shared" si="72"/>
        <v>0</v>
      </c>
      <c r="CS101" s="703">
        <f t="shared" si="72"/>
        <v>0</v>
      </c>
      <c r="CT101" s="703">
        <f t="shared" si="72"/>
        <v>0</v>
      </c>
      <c r="CU101" s="703">
        <f t="shared" si="72"/>
        <v>0</v>
      </c>
      <c r="CV101" s="703">
        <f t="shared" si="72"/>
        <v>0</v>
      </c>
    </row>
    <row r="102" spans="1:100" outlineLevel="1" x14ac:dyDescent="0.2">
      <c r="A102" s="85"/>
      <c r="B102" s="85"/>
      <c r="C102" s="86"/>
      <c r="D102" s="87"/>
      <c r="E102" s="390"/>
      <c r="F102" s="390"/>
      <c r="G102" s="390"/>
      <c r="H102" s="390"/>
      <c r="I102" s="390"/>
      <c r="J102" s="390"/>
      <c r="K102" s="390"/>
      <c r="L102" s="390"/>
      <c r="M102" s="390"/>
      <c r="N102" s="390"/>
      <c r="O102" s="390"/>
      <c r="P102" s="390"/>
      <c r="Q102" s="390"/>
      <c r="R102" s="390"/>
      <c r="S102" s="390"/>
      <c r="T102" s="390"/>
      <c r="U102" s="390"/>
      <c r="V102" s="390"/>
      <c r="W102" s="390"/>
      <c r="X102" s="390"/>
      <c r="Y102" s="390"/>
      <c r="Z102" s="390"/>
      <c r="AA102" s="390"/>
      <c r="AB102" s="390"/>
      <c r="AC102" s="390"/>
      <c r="AD102" s="390"/>
      <c r="AE102" s="390"/>
      <c r="AF102" s="390"/>
      <c r="AG102" s="390"/>
      <c r="AH102" s="390"/>
      <c r="AI102" s="390"/>
      <c r="AJ102" s="390"/>
      <c r="AK102" s="390"/>
      <c r="AL102" s="390"/>
      <c r="AM102" s="390"/>
      <c r="AN102" s="390"/>
      <c r="AO102" s="390"/>
      <c r="AP102" s="390"/>
      <c r="AQ102" s="390"/>
      <c r="AR102" s="390"/>
      <c r="AS102" s="390"/>
      <c r="AT102" s="390"/>
      <c r="AU102" s="390"/>
      <c r="AV102" s="390"/>
      <c r="AW102" s="390"/>
      <c r="AX102" s="390"/>
      <c r="AY102" s="390"/>
      <c r="AZ102" s="390"/>
      <c r="BA102" s="390"/>
      <c r="BB102" s="390"/>
      <c r="BC102" s="390"/>
      <c r="BD102" s="390"/>
      <c r="BE102" s="390"/>
      <c r="BF102" s="390"/>
      <c r="BG102" s="390"/>
      <c r="BH102" s="390"/>
      <c r="BI102" s="390"/>
      <c r="BJ102" s="390"/>
      <c r="BK102" s="390"/>
      <c r="BL102" s="390"/>
      <c r="BM102" s="390"/>
      <c r="BN102" s="390"/>
      <c r="BO102" s="390"/>
      <c r="BP102" s="390"/>
      <c r="BQ102" s="390"/>
      <c r="BR102" s="390"/>
      <c r="BS102" s="390"/>
      <c r="BT102" s="390"/>
      <c r="BU102" s="390"/>
      <c r="BV102" s="390"/>
      <c r="BW102" s="390"/>
      <c r="BX102" s="390"/>
      <c r="BY102" s="390"/>
      <c r="BZ102" s="390"/>
      <c r="CA102" s="390"/>
      <c r="CB102" s="390"/>
      <c r="CC102" s="390"/>
      <c r="CD102" s="390"/>
      <c r="CE102" s="390"/>
      <c r="CF102" s="390"/>
      <c r="CG102" s="390"/>
      <c r="CH102" s="390"/>
      <c r="CI102" s="390"/>
      <c r="CJ102" s="390"/>
      <c r="CK102" s="390"/>
      <c r="CL102" s="390"/>
      <c r="CM102" s="390"/>
      <c r="CN102" s="390"/>
      <c r="CO102" s="390"/>
      <c r="CP102" s="390"/>
      <c r="CQ102" s="390"/>
      <c r="CR102" s="390"/>
      <c r="CS102" s="390"/>
      <c r="CT102" s="390"/>
      <c r="CU102" s="390"/>
      <c r="CV102" s="390"/>
    </row>
    <row r="103" spans="1:100" s="280" customFormat="1" outlineLevel="1" x14ac:dyDescent="0.2">
      <c r="A103" s="412"/>
      <c r="B103" s="412"/>
      <c r="C103" s="860"/>
      <c r="D103" s="413"/>
      <c r="E103" s="476" t="str">
        <f xml:space="preserve"> InpC!E$120</f>
        <v>USD / WID exchange rate - sensitised</v>
      </c>
      <c r="F103" s="476">
        <f xml:space="preserve"> InpC!F$120</f>
        <v>5</v>
      </c>
      <c r="G103" s="476" t="str">
        <f xml:space="preserve"> InpC!G$120</f>
        <v>WIDs</v>
      </c>
      <c r="H103" s="416"/>
      <c r="I103" s="416"/>
      <c r="J103" s="416"/>
      <c r="K103" s="416"/>
      <c r="L103" s="416"/>
      <c r="M103" s="416"/>
      <c r="N103" s="416"/>
      <c r="O103" s="416"/>
      <c r="P103" s="416"/>
      <c r="Q103" s="416"/>
      <c r="R103" s="416"/>
      <c r="S103" s="416"/>
      <c r="T103" s="416"/>
      <c r="U103" s="416"/>
      <c r="V103" s="416"/>
      <c r="W103" s="416"/>
      <c r="X103" s="416"/>
      <c r="Y103" s="416"/>
      <c r="Z103" s="416"/>
      <c r="AA103" s="416"/>
      <c r="AB103" s="416"/>
      <c r="AC103" s="416"/>
      <c r="AD103" s="416"/>
      <c r="AE103" s="416"/>
      <c r="AF103" s="416"/>
      <c r="AG103" s="416"/>
      <c r="AH103" s="416"/>
      <c r="AI103" s="416"/>
      <c r="AJ103" s="416"/>
      <c r="AK103" s="416"/>
      <c r="AL103" s="416"/>
      <c r="AM103" s="416"/>
      <c r="AN103" s="416"/>
      <c r="AO103" s="416"/>
      <c r="AP103" s="416"/>
      <c r="AQ103" s="416"/>
      <c r="AR103" s="416"/>
      <c r="AS103" s="416"/>
      <c r="AT103" s="416"/>
      <c r="AU103" s="416"/>
      <c r="AV103" s="416"/>
      <c r="AW103" s="416"/>
      <c r="AX103" s="416"/>
      <c r="AY103" s="416"/>
      <c r="AZ103" s="416"/>
      <c r="BA103" s="416"/>
      <c r="BB103" s="416"/>
      <c r="BC103" s="416"/>
      <c r="BD103" s="416"/>
      <c r="BE103" s="416"/>
      <c r="BF103" s="416"/>
      <c r="BG103" s="416"/>
      <c r="BH103" s="416"/>
      <c r="BI103" s="416"/>
      <c r="BJ103" s="416"/>
      <c r="BK103" s="416"/>
      <c r="BL103" s="416"/>
      <c r="BM103" s="416"/>
      <c r="BN103" s="416"/>
      <c r="BO103" s="416"/>
      <c r="BP103" s="416"/>
      <c r="BQ103" s="416"/>
      <c r="BR103" s="416"/>
      <c r="BS103" s="416"/>
      <c r="BT103" s="416"/>
      <c r="BU103" s="416"/>
      <c r="BV103" s="416"/>
      <c r="BW103" s="416"/>
      <c r="BX103" s="416"/>
      <c r="BY103" s="416"/>
      <c r="BZ103" s="416"/>
      <c r="CA103" s="416"/>
      <c r="CB103" s="416"/>
      <c r="CC103" s="416"/>
      <c r="CD103" s="416"/>
      <c r="CE103" s="416"/>
      <c r="CF103" s="416"/>
      <c r="CG103" s="416"/>
      <c r="CH103" s="416"/>
      <c r="CI103" s="416"/>
      <c r="CJ103" s="416"/>
      <c r="CK103" s="416"/>
      <c r="CL103" s="416"/>
      <c r="CM103" s="416"/>
      <c r="CN103" s="416"/>
      <c r="CO103" s="416"/>
      <c r="CP103" s="416"/>
      <c r="CQ103" s="416"/>
      <c r="CR103" s="416"/>
      <c r="CS103" s="416"/>
      <c r="CT103" s="416"/>
      <c r="CU103" s="416"/>
      <c r="CV103" s="416"/>
    </row>
    <row r="104" spans="1:100" outlineLevel="1" x14ac:dyDescent="0.2">
      <c r="A104" s="85"/>
      <c r="B104" s="85"/>
      <c r="C104" s="86"/>
      <c r="D104" s="87"/>
      <c r="E104" s="38" t="str">
        <f t="shared" ref="E104:AJ104" si="73" xml:space="preserve"> E$101</f>
        <v>Electricity generation revenue - WID - P99</v>
      </c>
      <c r="F104" s="38">
        <f t="shared" si="73"/>
        <v>0</v>
      </c>
      <c r="G104" s="38" t="str">
        <f t="shared" si="73"/>
        <v>WID 000s</v>
      </c>
      <c r="H104" s="38">
        <f t="shared" si="73"/>
        <v>3223844.0858082226</v>
      </c>
      <c r="I104" s="38">
        <f t="shared" si="73"/>
        <v>0</v>
      </c>
      <c r="J104" s="38">
        <f t="shared" si="73"/>
        <v>0</v>
      </c>
      <c r="K104" s="38">
        <f t="shared" si="73"/>
        <v>0</v>
      </c>
      <c r="L104" s="38">
        <f t="shared" si="73"/>
        <v>0</v>
      </c>
      <c r="M104" s="38">
        <f t="shared" si="73"/>
        <v>0</v>
      </c>
      <c r="N104" s="38">
        <f t="shared" si="73"/>
        <v>0</v>
      </c>
      <c r="O104" s="38">
        <f t="shared" si="73"/>
        <v>81800.508176580639</v>
      </c>
      <c r="P104" s="38">
        <f t="shared" si="73"/>
        <v>81800.508176580639</v>
      </c>
      <c r="Q104" s="38">
        <f t="shared" si="73"/>
        <v>81668.543773229481</v>
      </c>
      <c r="R104" s="38">
        <f t="shared" si="73"/>
        <v>81668.543773229481</v>
      </c>
      <c r="S104" s="38">
        <f t="shared" si="73"/>
        <v>81537.405228121788</v>
      </c>
      <c r="T104" s="38">
        <f t="shared" si="73"/>
        <v>81537.405228121788</v>
      </c>
      <c r="U104" s="38">
        <f t="shared" si="73"/>
        <v>81407.100996842142</v>
      </c>
      <c r="V104" s="38">
        <f t="shared" si="73"/>
        <v>81407.100996842142</v>
      </c>
      <c r="W104" s="38">
        <f t="shared" si="73"/>
        <v>81277.639699606952</v>
      </c>
      <c r="X104" s="38">
        <f t="shared" si="73"/>
        <v>81277.639699606952</v>
      </c>
      <c r="Y104" s="38">
        <f t="shared" si="73"/>
        <v>81149.030124196201</v>
      </c>
      <c r="Z104" s="38">
        <f t="shared" si="73"/>
        <v>81149.030124196201</v>
      </c>
      <c r="AA104" s="38">
        <f t="shared" si="73"/>
        <v>81021.281228938315</v>
      </c>
      <c r="AB104" s="38">
        <f t="shared" si="73"/>
        <v>81021.281228938315</v>
      </c>
      <c r="AC104" s="38">
        <f t="shared" si="73"/>
        <v>80894.402145748594</v>
      </c>
      <c r="AD104" s="38">
        <f t="shared" si="73"/>
        <v>80894.402145748594</v>
      </c>
      <c r="AE104" s="38">
        <f t="shared" si="73"/>
        <v>80768.402183222264</v>
      </c>
      <c r="AF104" s="38">
        <f t="shared" si="73"/>
        <v>80768.402183222264</v>
      </c>
      <c r="AG104" s="38">
        <f t="shared" si="73"/>
        <v>80643.290829783175</v>
      </c>
      <c r="AH104" s="38">
        <f t="shared" si="73"/>
        <v>80643.290829783175</v>
      </c>
      <c r="AI104" s="38">
        <f t="shared" si="73"/>
        <v>80519.077756889092</v>
      </c>
      <c r="AJ104" s="38">
        <f t="shared" si="73"/>
        <v>80519.077756889092</v>
      </c>
      <c r="AK104" s="38">
        <f t="shared" ref="AK104:BP104" si="74" xml:space="preserve"> AK$101</f>
        <v>80395.772822294457</v>
      </c>
      <c r="AL104" s="38">
        <f t="shared" si="74"/>
        <v>80395.772822294457</v>
      </c>
      <c r="AM104" s="38">
        <f t="shared" si="74"/>
        <v>80273.386073372196</v>
      </c>
      <c r="AN104" s="38">
        <f t="shared" si="74"/>
        <v>80273.386073372196</v>
      </c>
      <c r="AO104" s="38">
        <f t="shared" si="74"/>
        <v>80151.927750494957</v>
      </c>
      <c r="AP104" s="38">
        <f t="shared" si="74"/>
        <v>80151.927750494957</v>
      </c>
      <c r="AQ104" s="38">
        <f t="shared" si="74"/>
        <v>80031.408290477135</v>
      </c>
      <c r="AR104" s="38">
        <f t="shared" si="74"/>
        <v>80031.408290477135</v>
      </c>
      <c r="AS104" s="38">
        <f t="shared" si="74"/>
        <v>79911.838330078783</v>
      </c>
      <c r="AT104" s="38">
        <f t="shared" si="74"/>
        <v>79911.838330078783</v>
      </c>
      <c r="AU104" s="38">
        <f t="shared" si="74"/>
        <v>79793.228709572897</v>
      </c>
      <c r="AV104" s="38">
        <f t="shared" si="74"/>
        <v>79793.228709572897</v>
      </c>
      <c r="AW104" s="38">
        <f t="shared" si="74"/>
        <v>79675.590476376135</v>
      </c>
      <c r="AX104" s="38">
        <f t="shared" si="74"/>
        <v>79675.590476376135</v>
      </c>
      <c r="AY104" s="38">
        <f t="shared" si="74"/>
        <v>79558.934888745483</v>
      </c>
      <c r="AZ104" s="38">
        <f t="shared" si="74"/>
        <v>79558.934888745483</v>
      </c>
      <c r="BA104" s="38">
        <f t="shared" si="74"/>
        <v>79443.273419540899</v>
      </c>
      <c r="BB104" s="38">
        <f t="shared" si="74"/>
        <v>79443.273419540899</v>
      </c>
      <c r="BC104" s="38">
        <f t="shared" si="74"/>
        <v>0</v>
      </c>
      <c r="BD104" s="38">
        <f t="shared" si="74"/>
        <v>0</v>
      </c>
      <c r="BE104" s="38">
        <f t="shared" si="74"/>
        <v>0</v>
      </c>
      <c r="BF104" s="38">
        <f t="shared" si="74"/>
        <v>0</v>
      </c>
      <c r="BG104" s="38">
        <f t="shared" si="74"/>
        <v>0</v>
      </c>
      <c r="BH104" s="38">
        <f t="shared" si="74"/>
        <v>0</v>
      </c>
      <c r="BI104" s="38">
        <f t="shared" si="74"/>
        <v>0</v>
      </c>
      <c r="BJ104" s="38">
        <f t="shared" si="74"/>
        <v>0</v>
      </c>
      <c r="BK104" s="38">
        <f t="shared" si="74"/>
        <v>0</v>
      </c>
      <c r="BL104" s="38">
        <f t="shared" si="74"/>
        <v>0</v>
      </c>
      <c r="BM104" s="38">
        <f t="shared" si="74"/>
        <v>0</v>
      </c>
      <c r="BN104" s="38">
        <f t="shared" si="74"/>
        <v>0</v>
      </c>
      <c r="BO104" s="38">
        <f t="shared" si="74"/>
        <v>0</v>
      </c>
      <c r="BP104" s="38">
        <f t="shared" si="74"/>
        <v>0</v>
      </c>
      <c r="BQ104" s="38">
        <f t="shared" ref="BQ104:CV104" si="75" xml:space="preserve"> BQ$101</f>
        <v>0</v>
      </c>
      <c r="BR104" s="38">
        <f t="shared" si="75"/>
        <v>0</v>
      </c>
      <c r="BS104" s="38">
        <f t="shared" si="75"/>
        <v>0</v>
      </c>
      <c r="BT104" s="38">
        <f t="shared" si="75"/>
        <v>0</v>
      </c>
      <c r="BU104" s="38">
        <f t="shared" si="75"/>
        <v>0</v>
      </c>
      <c r="BV104" s="38">
        <f t="shared" si="75"/>
        <v>0</v>
      </c>
      <c r="BW104" s="38">
        <f t="shared" si="75"/>
        <v>0</v>
      </c>
      <c r="BX104" s="38">
        <f t="shared" si="75"/>
        <v>0</v>
      </c>
      <c r="BY104" s="38">
        <f t="shared" si="75"/>
        <v>0</v>
      </c>
      <c r="BZ104" s="38">
        <f t="shared" si="75"/>
        <v>0</v>
      </c>
      <c r="CA104" s="38">
        <f t="shared" si="75"/>
        <v>0</v>
      </c>
      <c r="CB104" s="38">
        <f t="shared" si="75"/>
        <v>0</v>
      </c>
      <c r="CC104" s="38">
        <f t="shared" si="75"/>
        <v>0</v>
      </c>
      <c r="CD104" s="38">
        <f t="shared" si="75"/>
        <v>0</v>
      </c>
      <c r="CE104" s="38">
        <f t="shared" si="75"/>
        <v>0</v>
      </c>
      <c r="CF104" s="38">
        <f t="shared" si="75"/>
        <v>0</v>
      </c>
      <c r="CG104" s="38">
        <f t="shared" si="75"/>
        <v>0</v>
      </c>
      <c r="CH104" s="38">
        <f t="shared" si="75"/>
        <v>0</v>
      </c>
      <c r="CI104" s="38">
        <f t="shared" si="75"/>
        <v>0</v>
      </c>
      <c r="CJ104" s="38">
        <f t="shared" si="75"/>
        <v>0</v>
      </c>
      <c r="CK104" s="38">
        <f t="shared" si="75"/>
        <v>0</v>
      </c>
      <c r="CL104" s="38">
        <f t="shared" si="75"/>
        <v>0</v>
      </c>
      <c r="CM104" s="38">
        <f t="shared" si="75"/>
        <v>0</v>
      </c>
      <c r="CN104" s="38">
        <f t="shared" si="75"/>
        <v>0</v>
      </c>
      <c r="CO104" s="38">
        <f t="shared" si="75"/>
        <v>0</v>
      </c>
      <c r="CP104" s="38">
        <f t="shared" si="75"/>
        <v>0</v>
      </c>
      <c r="CQ104" s="38">
        <f t="shared" si="75"/>
        <v>0</v>
      </c>
      <c r="CR104" s="38">
        <f t="shared" si="75"/>
        <v>0</v>
      </c>
      <c r="CS104" s="38">
        <f t="shared" si="75"/>
        <v>0</v>
      </c>
      <c r="CT104" s="38">
        <f t="shared" si="75"/>
        <v>0</v>
      </c>
      <c r="CU104" s="38">
        <f t="shared" si="75"/>
        <v>0</v>
      </c>
      <c r="CV104" s="38">
        <f t="shared" si="75"/>
        <v>0</v>
      </c>
    </row>
    <row r="105" spans="1:100" outlineLevel="1" x14ac:dyDescent="0.2">
      <c r="A105" s="141"/>
      <c r="B105" s="141"/>
      <c r="C105" s="142"/>
      <c r="D105" s="143"/>
      <c r="E105" s="144" t="s">
        <v>1170</v>
      </c>
      <c r="F105" s="144"/>
      <c r="G105" s="144" t="str">
        <f xml:space="preserve"> SMU</f>
        <v>$ 000s</v>
      </c>
      <c r="H105" s="144">
        <f xml:space="preserve"> SUM(J105:CV105)</f>
        <v>644768.81716164469</v>
      </c>
      <c r="I105" s="144"/>
      <c r="J105" s="144">
        <f t="shared" ref="J105:AO105" si="76" xml:space="preserve"> J104 / $F103</f>
        <v>0</v>
      </c>
      <c r="K105" s="144">
        <f t="shared" si="76"/>
        <v>0</v>
      </c>
      <c r="L105" s="144">
        <f t="shared" si="76"/>
        <v>0</v>
      </c>
      <c r="M105" s="144">
        <f t="shared" si="76"/>
        <v>0</v>
      </c>
      <c r="N105" s="144">
        <f t="shared" si="76"/>
        <v>0</v>
      </c>
      <c r="O105" s="144">
        <f t="shared" si="76"/>
        <v>16360.101635316129</v>
      </c>
      <c r="P105" s="144">
        <f t="shared" si="76"/>
        <v>16360.101635316129</v>
      </c>
      <c r="Q105" s="144">
        <f t="shared" si="76"/>
        <v>16333.708754645897</v>
      </c>
      <c r="R105" s="144">
        <f t="shared" si="76"/>
        <v>16333.708754645897</v>
      </c>
      <c r="S105" s="144">
        <f t="shared" si="76"/>
        <v>16307.481045624358</v>
      </c>
      <c r="T105" s="144">
        <f t="shared" si="76"/>
        <v>16307.481045624358</v>
      </c>
      <c r="U105" s="144">
        <f t="shared" si="76"/>
        <v>16281.420199368429</v>
      </c>
      <c r="V105" s="144">
        <f t="shared" si="76"/>
        <v>16281.420199368429</v>
      </c>
      <c r="W105" s="144">
        <f t="shared" si="76"/>
        <v>16255.52793992139</v>
      </c>
      <c r="X105" s="144">
        <f t="shared" si="76"/>
        <v>16255.52793992139</v>
      </c>
      <c r="Y105" s="144">
        <f t="shared" si="76"/>
        <v>16229.806024839239</v>
      </c>
      <c r="Z105" s="144">
        <f t="shared" si="76"/>
        <v>16229.806024839239</v>
      </c>
      <c r="AA105" s="144">
        <f t="shared" si="76"/>
        <v>16204.256245787663</v>
      </c>
      <c r="AB105" s="144">
        <f t="shared" si="76"/>
        <v>16204.256245787663</v>
      </c>
      <c r="AC105" s="144">
        <f t="shared" si="76"/>
        <v>16178.880429149718</v>
      </c>
      <c r="AD105" s="144">
        <f t="shared" si="76"/>
        <v>16178.880429149718</v>
      </c>
      <c r="AE105" s="144">
        <f t="shared" si="76"/>
        <v>16153.680436644452</v>
      </c>
      <c r="AF105" s="144">
        <f t="shared" si="76"/>
        <v>16153.680436644452</v>
      </c>
      <c r="AG105" s="144">
        <f t="shared" si="76"/>
        <v>16128.658165956635</v>
      </c>
      <c r="AH105" s="144">
        <f t="shared" si="76"/>
        <v>16128.658165956635</v>
      </c>
      <c r="AI105" s="144">
        <f t="shared" si="76"/>
        <v>16103.815551377818</v>
      </c>
      <c r="AJ105" s="144">
        <f t="shared" si="76"/>
        <v>16103.815551377818</v>
      </c>
      <c r="AK105" s="144">
        <f t="shared" si="76"/>
        <v>16079.154564458891</v>
      </c>
      <c r="AL105" s="144">
        <f t="shared" si="76"/>
        <v>16079.154564458891</v>
      </c>
      <c r="AM105" s="144">
        <f t="shared" si="76"/>
        <v>16054.677214674439</v>
      </c>
      <c r="AN105" s="144">
        <f t="shared" si="76"/>
        <v>16054.677214674439</v>
      </c>
      <c r="AO105" s="144">
        <f t="shared" si="76"/>
        <v>16030.385550098992</v>
      </c>
      <c r="AP105" s="144">
        <f t="shared" ref="AP105:BU105" si="77" xml:space="preserve"> AP104 / $F103</f>
        <v>16030.385550098992</v>
      </c>
      <c r="AQ105" s="144">
        <f t="shared" si="77"/>
        <v>16006.281658095428</v>
      </c>
      <c r="AR105" s="144">
        <f t="shared" si="77"/>
        <v>16006.281658095428</v>
      </c>
      <c r="AS105" s="144">
        <f t="shared" si="77"/>
        <v>15982.367666015756</v>
      </c>
      <c r="AT105" s="144">
        <f t="shared" si="77"/>
        <v>15982.367666015756</v>
      </c>
      <c r="AU105" s="144">
        <f t="shared" si="77"/>
        <v>15958.645741914579</v>
      </c>
      <c r="AV105" s="144">
        <f t="shared" si="77"/>
        <v>15958.645741914579</v>
      </c>
      <c r="AW105" s="144">
        <f t="shared" si="77"/>
        <v>15935.118095275227</v>
      </c>
      <c r="AX105" s="144">
        <f t="shared" si="77"/>
        <v>15935.118095275227</v>
      </c>
      <c r="AY105" s="144">
        <f t="shared" si="77"/>
        <v>15911.786977749096</v>
      </c>
      <c r="AZ105" s="144">
        <f t="shared" si="77"/>
        <v>15911.786977749096</v>
      </c>
      <c r="BA105" s="144">
        <f t="shared" si="77"/>
        <v>15888.65468390818</v>
      </c>
      <c r="BB105" s="144">
        <f t="shared" si="77"/>
        <v>15888.65468390818</v>
      </c>
      <c r="BC105" s="144">
        <f t="shared" si="77"/>
        <v>0</v>
      </c>
      <c r="BD105" s="144">
        <f t="shared" si="77"/>
        <v>0</v>
      </c>
      <c r="BE105" s="144">
        <f t="shared" si="77"/>
        <v>0</v>
      </c>
      <c r="BF105" s="144">
        <f t="shared" si="77"/>
        <v>0</v>
      </c>
      <c r="BG105" s="144">
        <f t="shared" si="77"/>
        <v>0</v>
      </c>
      <c r="BH105" s="144">
        <f t="shared" si="77"/>
        <v>0</v>
      </c>
      <c r="BI105" s="144">
        <f t="shared" si="77"/>
        <v>0</v>
      </c>
      <c r="BJ105" s="144">
        <f t="shared" si="77"/>
        <v>0</v>
      </c>
      <c r="BK105" s="144">
        <f t="shared" si="77"/>
        <v>0</v>
      </c>
      <c r="BL105" s="144">
        <f t="shared" si="77"/>
        <v>0</v>
      </c>
      <c r="BM105" s="144">
        <f t="shared" si="77"/>
        <v>0</v>
      </c>
      <c r="BN105" s="144">
        <f t="shared" si="77"/>
        <v>0</v>
      </c>
      <c r="BO105" s="144">
        <f t="shared" si="77"/>
        <v>0</v>
      </c>
      <c r="BP105" s="144">
        <f t="shared" si="77"/>
        <v>0</v>
      </c>
      <c r="BQ105" s="144">
        <f t="shared" si="77"/>
        <v>0</v>
      </c>
      <c r="BR105" s="144">
        <f t="shared" si="77"/>
        <v>0</v>
      </c>
      <c r="BS105" s="144">
        <f t="shared" si="77"/>
        <v>0</v>
      </c>
      <c r="BT105" s="144">
        <f t="shared" si="77"/>
        <v>0</v>
      </c>
      <c r="BU105" s="144">
        <f t="shared" si="77"/>
        <v>0</v>
      </c>
      <c r="BV105" s="144">
        <f t="shared" ref="BV105:CV105" si="78" xml:space="preserve"> BV104 / $F103</f>
        <v>0</v>
      </c>
      <c r="BW105" s="144">
        <f t="shared" si="78"/>
        <v>0</v>
      </c>
      <c r="BX105" s="144">
        <f t="shared" si="78"/>
        <v>0</v>
      </c>
      <c r="BY105" s="144">
        <f t="shared" si="78"/>
        <v>0</v>
      </c>
      <c r="BZ105" s="144">
        <f t="shared" si="78"/>
        <v>0</v>
      </c>
      <c r="CA105" s="144">
        <f t="shared" si="78"/>
        <v>0</v>
      </c>
      <c r="CB105" s="144">
        <f t="shared" si="78"/>
        <v>0</v>
      </c>
      <c r="CC105" s="144">
        <f t="shared" si="78"/>
        <v>0</v>
      </c>
      <c r="CD105" s="144">
        <f t="shared" si="78"/>
        <v>0</v>
      </c>
      <c r="CE105" s="144">
        <f t="shared" si="78"/>
        <v>0</v>
      </c>
      <c r="CF105" s="144">
        <f t="shared" si="78"/>
        <v>0</v>
      </c>
      <c r="CG105" s="144">
        <f t="shared" si="78"/>
        <v>0</v>
      </c>
      <c r="CH105" s="144">
        <f t="shared" si="78"/>
        <v>0</v>
      </c>
      <c r="CI105" s="144">
        <f t="shared" si="78"/>
        <v>0</v>
      </c>
      <c r="CJ105" s="144">
        <f t="shared" si="78"/>
        <v>0</v>
      </c>
      <c r="CK105" s="144">
        <f t="shared" si="78"/>
        <v>0</v>
      </c>
      <c r="CL105" s="144">
        <f t="shared" si="78"/>
        <v>0</v>
      </c>
      <c r="CM105" s="144">
        <f t="shared" si="78"/>
        <v>0</v>
      </c>
      <c r="CN105" s="144">
        <f t="shared" si="78"/>
        <v>0</v>
      </c>
      <c r="CO105" s="144">
        <f t="shared" si="78"/>
        <v>0</v>
      </c>
      <c r="CP105" s="144">
        <f t="shared" si="78"/>
        <v>0</v>
      </c>
      <c r="CQ105" s="144">
        <f t="shared" si="78"/>
        <v>0</v>
      </c>
      <c r="CR105" s="144">
        <f t="shared" si="78"/>
        <v>0</v>
      </c>
      <c r="CS105" s="144">
        <f t="shared" si="78"/>
        <v>0</v>
      </c>
      <c r="CT105" s="144">
        <f t="shared" si="78"/>
        <v>0</v>
      </c>
      <c r="CU105" s="144">
        <f t="shared" si="78"/>
        <v>0</v>
      </c>
      <c r="CV105" s="144">
        <f t="shared" si="78"/>
        <v>0</v>
      </c>
    </row>
    <row r="106" spans="1:100" outlineLevel="1" x14ac:dyDescent="0.2">
      <c r="A106" s="141"/>
      <c r="B106" s="141"/>
      <c r="C106" s="142"/>
      <c r="D106" s="143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  <c r="AF106" s="144"/>
      <c r="AG106" s="144"/>
      <c r="AH106" s="144"/>
      <c r="AI106" s="144"/>
      <c r="AJ106" s="144"/>
      <c r="AK106" s="144"/>
      <c r="AL106" s="144"/>
      <c r="AM106" s="144"/>
      <c r="AN106" s="144"/>
      <c r="AO106" s="144"/>
      <c r="AP106" s="144"/>
      <c r="AQ106" s="144"/>
      <c r="AR106" s="144"/>
      <c r="AS106" s="144"/>
      <c r="AT106" s="144"/>
      <c r="AU106" s="144"/>
      <c r="AV106" s="144"/>
      <c r="AW106" s="144"/>
      <c r="AX106" s="144"/>
      <c r="AY106" s="144"/>
      <c r="AZ106" s="144"/>
      <c r="BA106" s="144"/>
      <c r="BB106" s="144"/>
      <c r="BC106" s="144"/>
      <c r="BD106" s="144"/>
      <c r="BE106" s="144"/>
      <c r="BF106" s="144"/>
      <c r="BG106" s="144"/>
      <c r="BH106" s="144"/>
      <c r="BI106" s="144"/>
      <c r="BJ106" s="144"/>
      <c r="BK106" s="144"/>
      <c r="BL106" s="144"/>
      <c r="BM106" s="144"/>
      <c r="BN106" s="144"/>
      <c r="BO106" s="144"/>
      <c r="BP106" s="144"/>
      <c r="BQ106" s="144"/>
      <c r="BR106" s="144"/>
      <c r="BS106" s="144"/>
      <c r="BT106" s="144"/>
      <c r="BU106" s="144"/>
      <c r="BV106" s="144"/>
      <c r="BW106" s="144"/>
      <c r="BX106" s="144"/>
      <c r="BY106" s="144"/>
      <c r="BZ106" s="144"/>
      <c r="CA106" s="144"/>
      <c r="CB106" s="144"/>
      <c r="CC106" s="144"/>
      <c r="CD106" s="144"/>
      <c r="CE106" s="144"/>
      <c r="CF106" s="144"/>
      <c r="CG106" s="144"/>
      <c r="CH106" s="144"/>
      <c r="CI106" s="144"/>
      <c r="CJ106" s="144"/>
      <c r="CK106" s="144"/>
      <c r="CL106" s="144"/>
      <c r="CM106" s="144"/>
      <c r="CN106" s="144"/>
      <c r="CO106" s="144"/>
      <c r="CP106" s="144"/>
      <c r="CQ106" s="144"/>
      <c r="CR106" s="144"/>
      <c r="CS106" s="144"/>
      <c r="CT106" s="144"/>
      <c r="CU106" s="144"/>
      <c r="CV106" s="144"/>
    </row>
    <row r="107" spans="1:100" x14ac:dyDescent="0.2">
      <c r="A107" s="236"/>
      <c r="B107" s="236"/>
      <c r="C107" s="237"/>
      <c r="D107" s="238"/>
      <c r="E107" s="235"/>
      <c r="F107" s="661"/>
      <c r="G107" s="235"/>
      <c r="H107" s="235"/>
      <c r="I107" s="235"/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X107" s="235"/>
      <c r="Y107" s="235"/>
      <c r="Z107" s="235"/>
      <c r="AA107" s="235"/>
      <c r="AB107" s="235"/>
      <c r="AC107" s="235"/>
      <c r="AD107" s="235"/>
      <c r="AE107" s="235"/>
      <c r="AF107" s="235"/>
      <c r="AG107" s="235"/>
      <c r="AH107" s="235"/>
      <c r="AI107" s="235"/>
      <c r="AJ107" s="235"/>
      <c r="AK107" s="235"/>
      <c r="AL107" s="235"/>
      <c r="AM107" s="235"/>
      <c r="AN107" s="235"/>
      <c r="AO107" s="235"/>
      <c r="AP107" s="235"/>
      <c r="AQ107" s="235"/>
      <c r="AR107" s="235"/>
      <c r="AS107" s="235"/>
      <c r="AT107" s="235"/>
      <c r="AU107" s="235"/>
      <c r="AV107" s="235"/>
      <c r="AW107" s="235"/>
      <c r="AX107" s="235"/>
      <c r="AY107" s="235"/>
      <c r="AZ107" s="235"/>
      <c r="BA107" s="235"/>
      <c r="BB107" s="235"/>
      <c r="BC107" s="235"/>
      <c r="BD107" s="235"/>
      <c r="BE107" s="235"/>
      <c r="BF107" s="235"/>
      <c r="BG107" s="235"/>
      <c r="BH107" s="235"/>
      <c r="BI107" s="235"/>
      <c r="BJ107" s="235"/>
      <c r="BK107" s="235"/>
      <c r="BL107" s="235"/>
      <c r="BM107" s="235"/>
      <c r="BN107" s="235"/>
      <c r="BO107" s="235"/>
      <c r="BP107" s="235"/>
      <c r="BQ107" s="235"/>
      <c r="BR107" s="235"/>
      <c r="BS107" s="235"/>
      <c r="BT107" s="235"/>
      <c r="BU107" s="235"/>
      <c r="BV107" s="235"/>
      <c r="BW107" s="235"/>
      <c r="BX107" s="235"/>
      <c r="BY107" s="235"/>
      <c r="BZ107" s="235"/>
      <c r="CA107" s="235"/>
      <c r="CB107" s="235"/>
      <c r="CC107" s="235"/>
      <c r="CD107" s="235"/>
      <c r="CE107" s="235"/>
      <c r="CF107" s="235"/>
      <c r="CG107" s="235"/>
      <c r="CH107" s="235"/>
      <c r="CI107" s="235"/>
      <c r="CJ107" s="235"/>
      <c r="CK107" s="235"/>
      <c r="CL107" s="235"/>
      <c r="CM107" s="235"/>
      <c r="CN107" s="235"/>
      <c r="CO107" s="235"/>
      <c r="CP107" s="235"/>
      <c r="CQ107" s="235"/>
      <c r="CR107" s="235"/>
      <c r="CS107" s="235"/>
      <c r="CT107" s="235"/>
      <c r="CU107" s="235"/>
      <c r="CV107" s="235"/>
    </row>
    <row r="108" spans="1:100" x14ac:dyDescent="0.2">
      <c r="A108" s="236" t="s">
        <v>136</v>
      </c>
      <c r="B108" s="236"/>
      <c r="C108" s="237"/>
      <c r="D108" s="238"/>
      <c r="E108" s="235"/>
      <c r="F108" s="235"/>
      <c r="G108" s="235"/>
      <c r="H108" s="235"/>
      <c r="I108" s="235"/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235"/>
      <c r="BY108" s="235"/>
      <c r="BZ108" s="235"/>
      <c r="CA108" s="235"/>
      <c r="CB108" s="235"/>
      <c r="CC108" s="235"/>
      <c r="CD108" s="235"/>
      <c r="CE108" s="235"/>
      <c r="CF108" s="235"/>
      <c r="CG108" s="235"/>
      <c r="CH108" s="235"/>
      <c r="CI108" s="235"/>
      <c r="CJ108" s="235"/>
      <c r="CK108" s="235"/>
      <c r="CL108" s="235"/>
      <c r="CM108" s="235"/>
      <c r="CN108" s="235"/>
      <c r="CO108" s="235"/>
      <c r="CP108" s="235"/>
      <c r="CQ108" s="235"/>
      <c r="CR108" s="235"/>
      <c r="CS108" s="235"/>
      <c r="CT108" s="235"/>
      <c r="CU108" s="235"/>
      <c r="CV108" s="235"/>
    </row>
    <row r="109" spans="1:100" outlineLevel="1" x14ac:dyDescent="0.2">
      <c r="A109" s="236"/>
      <c r="B109" s="236"/>
      <c r="C109" s="237"/>
      <c r="D109" s="238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235"/>
      <c r="CA109" s="235"/>
      <c r="CB109" s="235"/>
      <c r="CC109" s="235"/>
      <c r="CD109" s="235"/>
      <c r="CE109" s="235"/>
      <c r="CF109" s="235"/>
      <c r="CG109" s="235"/>
      <c r="CH109" s="235"/>
      <c r="CI109" s="235"/>
      <c r="CJ109" s="235"/>
      <c r="CK109" s="235"/>
      <c r="CL109" s="235"/>
      <c r="CM109" s="235"/>
      <c r="CN109" s="235"/>
      <c r="CO109" s="235"/>
      <c r="CP109" s="235"/>
      <c r="CQ109" s="235"/>
      <c r="CR109" s="235"/>
      <c r="CS109" s="235"/>
      <c r="CT109" s="235"/>
      <c r="CU109" s="235"/>
      <c r="CV109" s="235"/>
    </row>
    <row r="110" spans="1:100" outlineLevel="1" x14ac:dyDescent="0.2">
      <c r="A110" s="236"/>
      <c r="B110" s="236" t="s">
        <v>568</v>
      </c>
      <c r="C110" s="237"/>
      <c r="D110" s="238"/>
      <c r="E110" s="235"/>
      <c r="F110" s="235"/>
      <c r="G110" s="235"/>
      <c r="H110" s="235"/>
      <c r="I110" s="23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235"/>
      <c r="BY110" s="235"/>
      <c r="BZ110" s="235"/>
      <c r="CA110" s="235"/>
      <c r="CB110" s="235"/>
      <c r="CC110" s="235"/>
      <c r="CD110" s="235"/>
      <c r="CE110" s="235"/>
      <c r="CF110" s="235"/>
      <c r="CG110" s="235"/>
      <c r="CH110" s="235"/>
      <c r="CI110" s="235"/>
      <c r="CJ110" s="235"/>
      <c r="CK110" s="235"/>
      <c r="CL110" s="235"/>
      <c r="CM110" s="235"/>
      <c r="CN110" s="235"/>
      <c r="CO110" s="235"/>
      <c r="CP110" s="235"/>
      <c r="CQ110" s="235"/>
      <c r="CR110" s="235"/>
      <c r="CS110" s="235"/>
      <c r="CT110" s="235"/>
      <c r="CU110" s="235"/>
      <c r="CV110" s="235"/>
    </row>
    <row r="111" spans="1:100" s="450" customFormat="1" outlineLevel="2" x14ac:dyDescent="0.2">
      <c r="A111" s="451"/>
      <c r="B111" s="451"/>
      <c r="C111" s="452"/>
      <c r="D111" s="316"/>
      <c r="E111" s="453" t="str">
        <f xml:space="preserve"> Sensitivity!E$14</f>
        <v>O&amp;M cost - sensitivity</v>
      </c>
      <c r="F111" s="453">
        <f xml:space="preserve"> Sensitivity!F$14</f>
        <v>0</v>
      </c>
      <c r="G111" s="453" t="str">
        <f xml:space="preserve"> Sensitivity!G$14</f>
        <v>%</v>
      </c>
      <c r="H111" s="453"/>
      <c r="I111" s="453"/>
      <c r="J111" s="453"/>
      <c r="K111" s="453"/>
      <c r="L111" s="453"/>
      <c r="M111" s="453"/>
      <c r="N111" s="453"/>
      <c r="O111" s="453"/>
      <c r="P111" s="453"/>
      <c r="Q111" s="453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C111" s="453"/>
      <c r="AD111" s="453"/>
      <c r="AE111" s="453"/>
      <c r="AF111" s="453"/>
      <c r="AG111" s="453"/>
      <c r="AH111" s="453"/>
      <c r="AI111" s="453"/>
      <c r="AJ111" s="453"/>
      <c r="AK111" s="453"/>
      <c r="AL111" s="453"/>
      <c r="AM111" s="453"/>
      <c r="AN111" s="453"/>
      <c r="AO111" s="453"/>
      <c r="AP111" s="453"/>
      <c r="AQ111" s="453"/>
      <c r="AR111" s="453"/>
      <c r="AS111" s="453"/>
      <c r="AT111" s="453"/>
      <c r="AU111" s="453"/>
      <c r="AV111" s="453"/>
      <c r="AW111" s="453"/>
      <c r="AX111" s="453"/>
      <c r="AY111" s="453"/>
      <c r="AZ111" s="453"/>
      <c r="BA111" s="453"/>
      <c r="BB111" s="453"/>
      <c r="BC111" s="453"/>
      <c r="BD111" s="453"/>
      <c r="BE111" s="453"/>
      <c r="BF111" s="453"/>
      <c r="BG111" s="453"/>
      <c r="BH111" s="453"/>
      <c r="BI111" s="453"/>
      <c r="BJ111" s="453"/>
      <c r="BK111" s="453"/>
      <c r="BL111" s="453"/>
      <c r="BM111" s="453"/>
      <c r="BN111" s="453"/>
      <c r="BO111" s="453"/>
      <c r="BP111" s="453"/>
      <c r="BQ111" s="453"/>
      <c r="BR111" s="453"/>
      <c r="BS111" s="453"/>
      <c r="BT111" s="453"/>
      <c r="BU111" s="453"/>
      <c r="BV111" s="453"/>
      <c r="BW111" s="453"/>
      <c r="BX111" s="453"/>
      <c r="BY111" s="453"/>
      <c r="BZ111" s="453"/>
      <c r="CA111" s="453"/>
      <c r="CB111" s="453"/>
      <c r="CC111" s="453"/>
      <c r="CD111" s="453"/>
      <c r="CE111" s="453"/>
      <c r="CF111" s="453"/>
      <c r="CG111" s="453"/>
      <c r="CH111" s="453"/>
      <c r="CI111" s="453"/>
      <c r="CJ111" s="453"/>
      <c r="CK111" s="453"/>
      <c r="CL111" s="453"/>
      <c r="CM111" s="453"/>
      <c r="CN111" s="453"/>
      <c r="CO111" s="453"/>
      <c r="CP111" s="453"/>
      <c r="CQ111" s="453"/>
      <c r="CR111" s="453"/>
      <c r="CS111" s="453"/>
      <c r="CT111" s="453"/>
      <c r="CU111" s="453"/>
      <c r="CV111" s="453"/>
    </row>
    <row r="112" spans="1:100" outlineLevel="2" x14ac:dyDescent="0.2">
      <c r="A112" s="85"/>
      <c r="B112" s="85"/>
      <c r="C112" s="86"/>
      <c r="D112" s="87"/>
      <c r="E112" s="145" t="str">
        <f xml:space="preserve"> InpC!E$114</f>
        <v>Annual Fixed O&amp;M cost</v>
      </c>
      <c r="F112" s="145">
        <f xml:space="preserve"> InpC!F$114</f>
        <v>7500</v>
      </c>
      <c r="G112" s="145" t="str">
        <f xml:space="preserve"> InpC!G$114</f>
        <v>$ 000s p.a.</v>
      </c>
      <c r="H112" s="145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  <c r="BM112" s="68"/>
      <c r="BN112" s="68"/>
      <c r="BO112" s="68"/>
      <c r="BP112" s="68"/>
      <c r="BQ112" s="68"/>
      <c r="BR112" s="68"/>
      <c r="BS112" s="68"/>
      <c r="BT112" s="68"/>
      <c r="BU112" s="68"/>
      <c r="BV112" s="68"/>
      <c r="BW112" s="68"/>
      <c r="BX112" s="68"/>
      <c r="BY112" s="68"/>
      <c r="BZ112" s="68"/>
      <c r="CA112" s="68"/>
      <c r="CB112" s="68"/>
      <c r="CC112" s="68"/>
      <c r="CD112" s="68"/>
      <c r="CE112" s="68"/>
      <c r="CF112" s="68"/>
      <c r="CG112" s="68"/>
      <c r="CH112" s="68"/>
      <c r="CI112" s="68"/>
      <c r="CJ112" s="68"/>
      <c r="CK112" s="68"/>
      <c r="CL112" s="68"/>
      <c r="CM112" s="68"/>
      <c r="CN112" s="68"/>
      <c r="CO112" s="68"/>
      <c r="CP112" s="68"/>
      <c r="CQ112" s="68"/>
      <c r="CR112" s="68"/>
      <c r="CS112" s="68"/>
      <c r="CT112" s="68"/>
      <c r="CU112" s="68"/>
      <c r="CV112" s="68"/>
    </row>
    <row r="113" spans="1:100" outlineLevel="2" x14ac:dyDescent="0.2">
      <c r="A113" s="85"/>
      <c r="B113" s="85"/>
      <c r="C113" s="86"/>
      <c r="D113" s="87"/>
      <c r="E113" s="396" t="str">
        <f xml:space="preserve"> InpC!E$415</f>
        <v>Number of periods in a year</v>
      </c>
      <c r="F113" s="396">
        <f xml:space="preserve"> InpC!F$415</f>
        <v>2</v>
      </c>
      <c r="G113" s="396" t="str">
        <f xml:space="preserve"> InpC!G$415</f>
        <v>periods</v>
      </c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  <c r="BP113" s="68"/>
      <c r="BQ113" s="68"/>
      <c r="BR113" s="68"/>
      <c r="BS113" s="68"/>
      <c r="BT113" s="68"/>
      <c r="BU113" s="68"/>
      <c r="BV113" s="68"/>
      <c r="BW113" s="68"/>
      <c r="BX113" s="68"/>
      <c r="BY113" s="68"/>
      <c r="BZ113" s="68"/>
      <c r="CA113" s="68"/>
      <c r="CB113" s="68"/>
      <c r="CC113" s="68"/>
      <c r="CD113" s="68"/>
      <c r="CE113" s="68"/>
      <c r="CF113" s="68"/>
      <c r="CG113" s="68"/>
      <c r="CH113" s="68"/>
      <c r="CI113" s="68"/>
      <c r="CJ113" s="68"/>
      <c r="CK113" s="68"/>
      <c r="CL113" s="68"/>
      <c r="CM113" s="68"/>
      <c r="CN113" s="68"/>
      <c r="CO113" s="68"/>
      <c r="CP113" s="68"/>
      <c r="CQ113" s="68"/>
      <c r="CR113" s="68"/>
      <c r="CS113" s="68"/>
      <c r="CT113" s="68"/>
      <c r="CU113" s="68"/>
      <c r="CV113" s="68"/>
    </row>
    <row r="114" spans="1:100" s="280" customFormat="1" outlineLevel="2" x14ac:dyDescent="0.2">
      <c r="A114" s="473"/>
      <c r="B114" s="473"/>
      <c r="C114" s="474"/>
      <c r="D114" s="475"/>
      <c r="E114" s="476" t="str">
        <f xml:space="preserve"> Esc!E$55</f>
        <v>O&amp;M escalation factor</v>
      </c>
      <c r="F114" s="476">
        <f xml:space="preserve"> Esc!F$55</f>
        <v>0</v>
      </c>
      <c r="G114" s="476" t="str">
        <f xml:space="preserve"> Esc!G$55</f>
        <v>factor</v>
      </c>
      <c r="H114" s="476">
        <f xml:space="preserve"> Esc!H$55</f>
        <v>0</v>
      </c>
      <c r="I114" s="476">
        <f xml:space="preserve"> Esc!I$55</f>
        <v>0</v>
      </c>
      <c r="J114" s="476">
        <f xml:space="preserve"> Esc!J$55</f>
        <v>1</v>
      </c>
      <c r="K114" s="476">
        <f xml:space="preserve"> Esc!K$55</f>
        <v>1</v>
      </c>
      <c r="L114" s="476">
        <f xml:space="preserve"> Esc!L$55</f>
        <v>1</v>
      </c>
      <c r="M114" s="476">
        <f xml:space="preserve"> Esc!M$55</f>
        <v>1</v>
      </c>
      <c r="N114" s="476">
        <f xml:space="preserve"> Esc!N$55</f>
        <v>1</v>
      </c>
      <c r="O114" s="476">
        <f xml:space="preserve"> Esc!O$55</f>
        <v>1.08243216</v>
      </c>
      <c r="P114" s="476">
        <f xml:space="preserve"> Esc!P$55</f>
        <v>1.08243216</v>
      </c>
      <c r="Q114" s="476">
        <f xml:space="preserve"> Esc!Q$55</f>
        <v>1.1040808032</v>
      </c>
      <c r="R114" s="476">
        <f xml:space="preserve"> Esc!R$55</f>
        <v>1.1040808032</v>
      </c>
      <c r="S114" s="476">
        <f xml:space="preserve"> Esc!S$55</f>
        <v>1.1261624192640001</v>
      </c>
      <c r="T114" s="476">
        <f xml:space="preserve"> Esc!T$55</f>
        <v>1.1261624192640001</v>
      </c>
      <c r="U114" s="476">
        <f xml:space="preserve"> Esc!U$55</f>
        <v>1.1486856676492798</v>
      </c>
      <c r="V114" s="476">
        <f xml:space="preserve"> Esc!V$55</f>
        <v>1.1486856676492798</v>
      </c>
      <c r="W114" s="476">
        <f xml:space="preserve"> Esc!W$55</f>
        <v>1.1716593810022655</v>
      </c>
      <c r="X114" s="476">
        <f xml:space="preserve"> Esc!X$55</f>
        <v>1.1716593810022655</v>
      </c>
      <c r="Y114" s="476">
        <f xml:space="preserve"> Esc!Y$55</f>
        <v>1.1950925686223108</v>
      </c>
      <c r="Z114" s="476">
        <f xml:space="preserve"> Esc!Z$55</f>
        <v>1.1950925686223108</v>
      </c>
      <c r="AA114" s="476">
        <f xml:space="preserve"> Esc!AA$55</f>
        <v>1.2189944199947571</v>
      </c>
      <c r="AB114" s="476">
        <f xml:space="preserve"> Esc!AB$55</f>
        <v>1.2189944199947571</v>
      </c>
      <c r="AC114" s="476">
        <f xml:space="preserve"> Esc!AC$55</f>
        <v>1.243374308394652</v>
      </c>
      <c r="AD114" s="476">
        <f xml:space="preserve"> Esc!AD$55</f>
        <v>1.243374308394652</v>
      </c>
      <c r="AE114" s="476">
        <f xml:space="preserve"> Esc!AE$55</f>
        <v>1.2682417945625453</v>
      </c>
      <c r="AF114" s="476">
        <f xml:space="preserve"> Esc!AF$55</f>
        <v>1.2682417945625453</v>
      </c>
      <c r="AG114" s="476">
        <f xml:space="preserve"> Esc!AG$55</f>
        <v>1.2936066304537961</v>
      </c>
      <c r="AH114" s="476">
        <f xml:space="preserve"> Esc!AH$55</f>
        <v>1.2936066304537961</v>
      </c>
      <c r="AI114" s="476">
        <f xml:space="preserve"> Esc!AI$55</f>
        <v>1.3194787630628722</v>
      </c>
      <c r="AJ114" s="476">
        <f xml:space="preserve"> Esc!AJ$55</f>
        <v>1.3194787630628722</v>
      </c>
      <c r="AK114" s="476">
        <f xml:space="preserve"> Esc!AK$55</f>
        <v>1.3458683383241292</v>
      </c>
      <c r="AL114" s="476">
        <f xml:space="preserve"> Esc!AL$55</f>
        <v>1.3458683383241292</v>
      </c>
      <c r="AM114" s="476">
        <f xml:space="preserve"> Esc!AM$55</f>
        <v>1.372785705090612</v>
      </c>
      <c r="AN114" s="476">
        <f xml:space="preserve"> Esc!AN$55</f>
        <v>1.372785705090612</v>
      </c>
      <c r="AO114" s="476">
        <f xml:space="preserve"> Esc!AO$55</f>
        <v>1.4002414191924244</v>
      </c>
      <c r="AP114" s="476">
        <f xml:space="preserve"> Esc!AP$55</f>
        <v>1.4002414191924244</v>
      </c>
      <c r="AQ114" s="476">
        <f xml:space="preserve"> Esc!AQ$55</f>
        <v>1.4282462475762727</v>
      </c>
      <c r="AR114" s="476">
        <f xml:space="preserve"> Esc!AR$55</f>
        <v>1.4282462475762727</v>
      </c>
      <c r="AS114" s="476">
        <f xml:space="preserve"> Esc!AS$55</f>
        <v>1.4568111725277981</v>
      </c>
      <c r="AT114" s="476">
        <f xml:space="preserve"> Esc!AT$55</f>
        <v>1.4568111725277981</v>
      </c>
      <c r="AU114" s="476">
        <f xml:space="preserve"> Esc!AU$55</f>
        <v>1.4859473959783542</v>
      </c>
      <c r="AV114" s="476">
        <f xml:space="preserve"> Esc!AV$55</f>
        <v>1.4859473959783542</v>
      </c>
      <c r="AW114" s="476">
        <f xml:space="preserve"> Esc!AW$55</f>
        <v>1.5156663438979212</v>
      </c>
      <c r="AX114" s="476">
        <f xml:space="preserve"> Esc!AX$55</f>
        <v>1.5156663438979212</v>
      </c>
      <c r="AY114" s="476">
        <f xml:space="preserve"> Esc!AY$55</f>
        <v>1.5459796707758797</v>
      </c>
      <c r="AZ114" s="476">
        <f xml:space="preserve"> Esc!AZ$55</f>
        <v>1.5459796707758797</v>
      </c>
      <c r="BA114" s="476">
        <f xml:space="preserve"> Esc!BA$55</f>
        <v>1.576899264191397</v>
      </c>
      <c r="BB114" s="476">
        <f xml:space="preserve"> Esc!BB$55</f>
        <v>1.576899264191397</v>
      </c>
      <c r="BC114" s="476">
        <f xml:space="preserve"> Esc!BC$55</f>
        <v>1</v>
      </c>
      <c r="BD114" s="476">
        <f xml:space="preserve"> Esc!BD$55</f>
        <v>1</v>
      </c>
      <c r="BE114" s="476">
        <f xml:space="preserve"> Esc!BE$55</f>
        <v>1</v>
      </c>
      <c r="BF114" s="476">
        <f xml:space="preserve"> Esc!BF$55</f>
        <v>1</v>
      </c>
      <c r="BG114" s="476">
        <f xml:space="preserve"> Esc!BG$55</f>
        <v>1</v>
      </c>
      <c r="BH114" s="476">
        <f xml:space="preserve"> Esc!BH$55</f>
        <v>1</v>
      </c>
      <c r="BI114" s="476">
        <f xml:space="preserve"> Esc!BI$55</f>
        <v>1</v>
      </c>
      <c r="BJ114" s="476">
        <f xml:space="preserve"> Esc!BJ$55</f>
        <v>1</v>
      </c>
      <c r="BK114" s="476">
        <f xml:space="preserve"> Esc!BK$55</f>
        <v>1</v>
      </c>
      <c r="BL114" s="476">
        <f xml:space="preserve"> Esc!BL$55</f>
        <v>1</v>
      </c>
      <c r="BM114" s="476">
        <f xml:space="preserve"> Esc!BM$55</f>
        <v>1</v>
      </c>
      <c r="BN114" s="476">
        <f xml:space="preserve"> Esc!BN$55</f>
        <v>1</v>
      </c>
      <c r="BO114" s="476">
        <f xml:space="preserve"> Esc!BO$55</f>
        <v>1</v>
      </c>
      <c r="BP114" s="476">
        <f xml:space="preserve"> Esc!BP$55</f>
        <v>1</v>
      </c>
      <c r="BQ114" s="476">
        <f xml:space="preserve"> Esc!BQ$55</f>
        <v>1</v>
      </c>
      <c r="BR114" s="476">
        <f xml:space="preserve"> Esc!BR$55</f>
        <v>1</v>
      </c>
      <c r="BS114" s="476">
        <f xml:space="preserve"> Esc!BS$55</f>
        <v>1</v>
      </c>
      <c r="BT114" s="476">
        <f xml:space="preserve"> Esc!BT$55</f>
        <v>1</v>
      </c>
      <c r="BU114" s="476">
        <f xml:space="preserve"> Esc!BU$55</f>
        <v>1</v>
      </c>
      <c r="BV114" s="476">
        <f xml:space="preserve"> Esc!BV$55</f>
        <v>1</v>
      </c>
      <c r="BW114" s="476">
        <f xml:space="preserve"> Esc!BW$55</f>
        <v>1</v>
      </c>
      <c r="BX114" s="476">
        <f xml:space="preserve"> Esc!BX$55</f>
        <v>1</v>
      </c>
      <c r="BY114" s="476">
        <f xml:space="preserve"> Esc!BY$55</f>
        <v>1</v>
      </c>
      <c r="BZ114" s="476">
        <f xml:space="preserve"> Esc!BZ$55</f>
        <v>1</v>
      </c>
      <c r="CA114" s="476">
        <f xml:space="preserve"> Esc!CA$55</f>
        <v>1</v>
      </c>
      <c r="CB114" s="476">
        <f xml:space="preserve"> Esc!CB$55</f>
        <v>1</v>
      </c>
      <c r="CC114" s="476">
        <f xml:space="preserve"> Esc!CC$55</f>
        <v>1</v>
      </c>
      <c r="CD114" s="476">
        <f xml:space="preserve"> Esc!CD$55</f>
        <v>1</v>
      </c>
      <c r="CE114" s="476">
        <f xml:space="preserve"> Esc!CE$55</f>
        <v>1</v>
      </c>
      <c r="CF114" s="476">
        <f xml:space="preserve"> Esc!CF$55</f>
        <v>1</v>
      </c>
      <c r="CG114" s="476">
        <f xml:space="preserve"> Esc!CG$55</f>
        <v>1</v>
      </c>
      <c r="CH114" s="476">
        <f xml:space="preserve"> Esc!CH$55</f>
        <v>1</v>
      </c>
      <c r="CI114" s="476">
        <f xml:space="preserve"> Esc!CI$55</f>
        <v>1</v>
      </c>
      <c r="CJ114" s="476">
        <f xml:space="preserve"> Esc!CJ$55</f>
        <v>1</v>
      </c>
      <c r="CK114" s="476">
        <f xml:space="preserve"> Esc!CK$55</f>
        <v>1</v>
      </c>
      <c r="CL114" s="476">
        <f xml:space="preserve"> Esc!CL$55</f>
        <v>1</v>
      </c>
      <c r="CM114" s="476">
        <f xml:space="preserve"> Esc!CM$55</f>
        <v>1</v>
      </c>
      <c r="CN114" s="476">
        <f xml:space="preserve"> Esc!CN$55</f>
        <v>1</v>
      </c>
      <c r="CO114" s="476">
        <f xml:space="preserve"> Esc!CO$55</f>
        <v>1</v>
      </c>
      <c r="CP114" s="476">
        <f xml:space="preserve"> Esc!CP$55</f>
        <v>1</v>
      </c>
      <c r="CQ114" s="476">
        <f xml:space="preserve"> Esc!CQ$55</f>
        <v>1</v>
      </c>
      <c r="CR114" s="476">
        <f xml:space="preserve"> Esc!CR$55</f>
        <v>1</v>
      </c>
      <c r="CS114" s="476">
        <f xml:space="preserve"> Esc!CS$55</f>
        <v>1</v>
      </c>
      <c r="CT114" s="476">
        <f xml:space="preserve"> Esc!CT$55</f>
        <v>1</v>
      </c>
      <c r="CU114" s="476">
        <f xml:space="preserve"> Esc!CU$55</f>
        <v>1</v>
      </c>
      <c r="CV114" s="476">
        <f xml:space="preserve"> Esc!CV$55</f>
        <v>1</v>
      </c>
    </row>
    <row r="115" spans="1:100" outlineLevel="2" x14ac:dyDescent="0.2">
      <c r="A115" s="85"/>
      <c r="B115" s="85"/>
      <c r="C115" s="86"/>
      <c r="D115" s="87"/>
      <c r="E115" s="390" t="str">
        <f xml:space="preserve"> Time!E$106</f>
        <v>Operating period flag</v>
      </c>
      <c r="F115" s="390">
        <f xml:space="preserve"> Time!F$106</f>
        <v>0</v>
      </c>
      <c r="G115" s="390" t="str">
        <f xml:space="preserve"> Time!G$106</f>
        <v>flag</v>
      </c>
      <c r="H115" s="390">
        <f xml:space="preserve"> Time!H$106</f>
        <v>40</v>
      </c>
      <c r="I115" s="390">
        <f xml:space="preserve"> Time!I$106</f>
        <v>0</v>
      </c>
      <c r="J115" s="390">
        <f xml:space="preserve"> Time!J$106</f>
        <v>0</v>
      </c>
      <c r="K115" s="390">
        <f xml:space="preserve"> Time!K$106</f>
        <v>0</v>
      </c>
      <c r="L115" s="390">
        <f xml:space="preserve"> Time!L$106</f>
        <v>0</v>
      </c>
      <c r="M115" s="390">
        <f xml:space="preserve"> Time!M$106</f>
        <v>0</v>
      </c>
      <c r="N115" s="390">
        <f xml:space="preserve"> Time!N$106</f>
        <v>0</v>
      </c>
      <c r="O115" s="390">
        <f xml:space="preserve"> Time!O$106</f>
        <v>1</v>
      </c>
      <c r="P115" s="390">
        <f xml:space="preserve"> Time!P$106</f>
        <v>1</v>
      </c>
      <c r="Q115" s="390">
        <f xml:space="preserve"> Time!Q$106</f>
        <v>1</v>
      </c>
      <c r="R115" s="390">
        <f xml:space="preserve"> Time!R$106</f>
        <v>1</v>
      </c>
      <c r="S115" s="390">
        <f xml:space="preserve"> Time!S$106</f>
        <v>1</v>
      </c>
      <c r="T115" s="390">
        <f xml:space="preserve"> Time!T$106</f>
        <v>1</v>
      </c>
      <c r="U115" s="390">
        <f xml:space="preserve"> Time!U$106</f>
        <v>1</v>
      </c>
      <c r="V115" s="390">
        <f xml:space="preserve"> Time!V$106</f>
        <v>1</v>
      </c>
      <c r="W115" s="390">
        <f xml:space="preserve"> Time!W$106</f>
        <v>1</v>
      </c>
      <c r="X115" s="390">
        <f xml:space="preserve"> Time!X$106</f>
        <v>1</v>
      </c>
      <c r="Y115" s="390">
        <f xml:space="preserve"> Time!Y$106</f>
        <v>1</v>
      </c>
      <c r="Z115" s="390">
        <f xml:space="preserve"> Time!Z$106</f>
        <v>1</v>
      </c>
      <c r="AA115" s="390">
        <f xml:space="preserve"> Time!AA$106</f>
        <v>1</v>
      </c>
      <c r="AB115" s="390">
        <f xml:space="preserve"> Time!AB$106</f>
        <v>1</v>
      </c>
      <c r="AC115" s="390">
        <f xml:space="preserve"> Time!AC$106</f>
        <v>1</v>
      </c>
      <c r="AD115" s="390">
        <f xml:space="preserve"> Time!AD$106</f>
        <v>1</v>
      </c>
      <c r="AE115" s="390">
        <f xml:space="preserve"> Time!AE$106</f>
        <v>1</v>
      </c>
      <c r="AF115" s="390">
        <f xml:space="preserve"> Time!AF$106</f>
        <v>1</v>
      </c>
      <c r="AG115" s="390">
        <f xml:space="preserve"> Time!AG$106</f>
        <v>1</v>
      </c>
      <c r="AH115" s="390">
        <f xml:space="preserve"> Time!AH$106</f>
        <v>1</v>
      </c>
      <c r="AI115" s="390">
        <f xml:space="preserve"> Time!AI$106</f>
        <v>1</v>
      </c>
      <c r="AJ115" s="390">
        <f xml:space="preserve"> Time!AJ$106</f>
        <v>1</v>
      </c>
      <c r="AK115" s="390">
        <f xml:space="preserve"> Time!AK$106</f>
        <v>1</v>
      </c>
      <c r="AL115" s="390">
        <f xml:space="preserve"> Time!AL$106</f>
        <v>1</v>
      </c>
      <c r="AM115" s="390">
        <f xml:space="preserve"> Time!AM$106</f>
        <v>1</v>
      </c>
      <c r="AN115" s="390">
        <f xml:space="preserve"> Time!AN$106</f>
        <v>1</v>
      </c>
      <c r="AO115" s="390">
        <f xml:space="preserve"> Time!AO$106</f>
        <v>1</v>
      </c>
      <c r="AP115" s="390">
        <f xml:space="preserve"> Time!AP$106</f>
        <v>1</v>
      </c>
      <c r="AQ115" s="390">
        <f xml:space="preserve"> Time!AQ$106</f>
        <v>1</v>
      </c>
      <c r="AR115" s="390">
        <f xml:space="preserve"> Time!AR$106</f>
        <v>1</v>
      </c>
      <c r="AS115" s="390">
        <f xml:space="preserve"> Time!AS$106</f>
        <v>1</v>
      </c>
      <c r="AT115" s="390">
        <f xml:space="preserve"> Time!AT$106</f>
        <v>1</v>
      </c>
      <c r="AU115" s="390">
        <f xml:space="preserve"> Time!AU$106</f>
        <v>1</v>
      </c>
      <c r="AV115" s="390">
        <f xml:space="preserve"> Time!AV$106</f>
        <v>1</v>
      </c>
      <c r="AW115" s="390">
        <f xml:space="preserve"> Time!AW$106</f>
        <v>1</v>
      </c>
      <c r="AX115" s="390">
        <f xml:space="preserve"> Time!AX$106</f>
        <v>1</v>
      </c>
      <c r="AY115" s="390">
        <f xml:space="preserve"> Time!AY$106</f>
        <v>1</v>
      </c>
      <c r="AZ115" s="390">
        <f xml:space="preserve"> Time!AZ$106</f>
        <v>1</v>
      </c>
      <c r="BA115" s="390">
        <f xml:space="preserve"> Time!BA$106</f>
        <v>1</v>
      </c>
      <c r="BB115" s="390">
        <f xml:space="preserve"> Time!BB$106</f>
        <v>1</v>
      </c>
      <c r="BC115" s="390">
        <f xml:space="preserve"> Time!BC$106</f>
        <v>0</v>
      </c>
      <c r="BD115" s="390">
        <f xml:space="preserve"> Time!BD$106</f>
        <v>0</v>
      </c>
      <c r="BE115" s="390">
        <f xml:space="preserve"> Time!BE$106</f>
        <v>0</v>
      </c>
      <c r="BF115" s="390">
        <f xml:space="preserve"> Time!BF$106</f>
        <v>0</v>
      </c>
      <c r="BG115" s="390">
        <f xml:space="preserve"> Time!BG$106</f>
        <v>0</v>
      </c>
      <c r="BH115" s="390">
        <f xml:space="preserve"> Time!BH$106</f>
        <v>0</v>
      </c>
      <c r="BI115" s="390">
        <f xml:space="preserve"> Time!BI$106</f>
        <v>0</v>
      </c>
      <c r="BJ115" s="390">
        <f xml:space="preserve"> Time!BJ$106</f>
        <v>0</v>
      </c>
      <c r="BK115" s="390">
        <f xml:space="preserve"> Time!BK$106</f>
        <v>0</v>
      </c>
      <c r="BL115" s="390">
        <f xml:space="preserve"> Time!BL$106</f>
        <v>0</v>
      </c>
      <c r="BM115" s="390">
        <f xml:space="preserve"> Time!BM$106</f>
        <v>0</v>
      </c>
      <c r="BN115" s="390">
        <f xml:space="preserve"> Time!BN$106</f>
        <v>0</v>
      </c>
      <c r="BO115" s="390">
        <f xml:space="preserve"> Time!BO$106</f>
        <v>0</v>
      </c>
      <c r="BP115" s="390">
        <f xml:space="preserve"> Time!BP$106</f>
        <v>0</v>
      </c>
      <c r="BQ115" s="390">
        <f xml:space="preserve"> Time!BQ$106</f>
        <v>0</v>
      </c>
      <c r="BR115" s="390">
        <f xml:space="preserve"> Time!BR$106</f>
        <v>0</v>
      </c>
      <c r="BS115" s="390">
        <f xml:space="preserve"> Time!BS$106</f>
        <v>0</v>
      </c>
      <c r="BT115" s="390">
        <f xml:space="preserve"> Time!BT$106</f>
        <v>0</v>
      </c>
      <c r="BU115" s="390">
        <f xml:space="preserve"> Time!BU$106</f>
        <v>0</v>
      </c>
      <c r="BV115" s="390">
        <f xml:space="preserve"> Time!BV$106</f>
        <v>0</v>
      </c>
      <c r="BW115" s="390">
        <f xml:space="preserve"> Time!BW$106</f>
        <v>0</v>
      </c>
      <c r="BX115" s="390">
        <f xml:space="preserve"> Time!BX$106</f>
        <v>0</v>
      </c>
      <c r="BY115" s="390">
        <f xml:space="preserve"> Time!BY$106</f>
        <v>0</v>
      </c>
      <c r="BZ115" s="390">
        <f xml:space="preserve"> Time!BZ$106</f>
        <v>0</v>
      </c>
      <c r="CA115" s="390">
        <f xml:space="preserve"> Time!CA$106</f>
        <v>0</v>
      </c>
      <c r="CB115" s="390">
        <f xml:space="preserve"> Time!CB$106</f>
        <v>0</v>
      </c>
      <c r="CC115" s="390">
        <f xml:space="preserve"> Time!CC$106</f>
        <v>0</v>
      </c>
      <c r="CD115" s="390">
        <f xml:space="preserve"> Time!CD$106</f>
        <v>0</v>
      </c>
      <c r="CE115" s="390">
        <f xml:space="preserve"> Time!CE$106</f>
        <v>0</v>
      </c>
      <c r="CF115" s="390">
        <f xml:space="preserve"> Time!CF$106</f>
        <v>0</v>
      </c>
      <c r="CG115" s="390">
        <f xml:space="preserve"> Time!CG$106</f>
        <v>0</v>
      </c>
      <c r="CH115" s="390">
        <f xml:space="preserve"> Time!CH$106</f>
        <v>0</v>
      </c>
      <c r="CI115" s="390">
        <f xml:space="preserve"> Time!CI$106</f>
        <v>0</v>
      </c>
      <c r="CJ115" s="390">
        <f xml:space="preserve"> Time!CJ$106</f>
        <v>0</v>
      </c>
      <c r="CK115" s="390">
        <f xml:space="preserve"> Time!CK$106</f>
        <v>0</v>
      </c>
      <c r="CL115" s="390">
        <f xml:space="preserve"> Time!CL$106</f>
        <v>0</v>
      </c>
      <c r="CM115" s="390">
        <f xml:space="preserve"> Time!CM$106</f>
        <v>0</v>
      </c>
      <c r="CN115" s="390">
        <f xml:space="preserve"> Time!CN$106</f>
        <v>0</v>
      </c>
      <c r="CO115" s="390">
        <f xml:space="preserve"> Time!CO$106</f>
        <v>0</v>
      </c>
      <c r="CP115" s="390">
        <f xml:space="preserve"> Time!CP$106</f>
        <v>0</v>
      </c>
      <c r="CQ115" s="390">
        <f xml:space="preserve"> Time!CQ$106</f>
        <v>0</v>
      </c>
      <c r="CR115" s="390">
        <f xml:space="preserve"> Time!CR$106</f>
        <v>0</v>
      </c>
      <c r="CS115" s="390">
        <f xml:space="preserve"> Time!CS$106</f>
        <v>0</v>
      </c>
      <c r="CT115" s="390">
        <f xml:space="preserve"> Time!CT$106</f>
        <v>0</v>
      </c>
      <c r="CU115" s="390">
        <f xml:space="preserve"> Time!CU$106</f>
        <v>0</v>
      </c>
      <c r="CV115" s="390">
        <f xml:space="preserve"> Time!CV$106</f>
        <v>0</v>
      </c>
    </row>
    <row r="116" spans="1:100" s="188" customFormat="1" outlineLevel="2" x14ac:dyDescent="0.2">
      <c r="A116" s="141"/>
      <c r="B116" s="141"/>
      <c r="C116" s="142"/>
      <c r="D116" s="143"/>
      <c r="E116" s="1160" t="s">
        <v>570</v>
      </c>
      <c r="F116" s="1160"/>
      <c r="G116" s="1160" t="s">
        <v>626</v>
      </c>
      <c r="H116" s="1160">
        <f xml:space="preserve"> SUM(J116:CV116)</f>
        <v>197251.90855320951</v>
      </c>
      <c r="I116" s="1072"/>
      <c r="J116" s="1072">
        <f t="shared" ref="J116:AO116" si="79" xml:space="preserve"> $F112 / $F113 * J114 * J115 * (1 + $F111)</f>
        <v>0</v>
      </c>
      <c r="K116" s="1072">
        <f t="shared" si="79"/>
        <v>0</v>
      </c>
      <c r="L116" s="1072">
        <f t="shared" si="79"/>
        <v>0</v>
      </c>
      <c r="M116" s="1072">
        <f t="shared" si="79"/>
        <v>0</v>
      </c>
      <c r="N116" s="1072">
        <f t="shared" si="79"/>
        <v>0</v>
      </c>
      <c r="O116" s="1072">
        <f t="shared" si="79"/>
        <v>4059.1205999999997</v>
      </c>
      <c r="P116" s="1072">
        <f t="shared" si="79"/>
        <v>4059.1205999999997</v>
      </c>
      <c r="Q116" s="1072">
        <f t="shared" si="79"/>
        <v>4140.3030120000003</v>
      </c>
      <c r="R116" s="1072">
        <f t="shared" si="79"/>
        <v>4140.3030120000003</v>
      </c>
      <c r="S116" s="1072">
        <f t="shared" si="79"/>
        <v>4223.1090722400004</v>
      </c>
      <c r="T116" s="1072">
        <f t="shared" si="79"/>
        <v>4223.1090722400004</v>
      </c>
      <c r="U116" s="1072">
        <f t="shared" si="79"/>
        <v>4307.5712536847996</v>
      </c>
      <c r="V116" s="1072">
        <f t="shared" si="79"/>
        <v>4307.5712536847996</v>
      </c>
      <c r="W116" s="1072">
        <f t="shared" si="79"/>
        <v>4393.7226787584959</v>
      </c>
      <c r="X116" s="1072">
        <f t="shared" si="79"/>
        <v>4393.7226787584959</v>
      </c>
      <c r="Y116" s="1072">
        <f t="shared" si="79"/>
        <v>4481.5971323336653</v>
      </c>
      <c r="Z116" s="1072">
        <f t="shared" si="79"/>
        <v>4481.5971323336653</v>
      </c>
      <c r="AA116" s="1072">
        <f t="shared" si="79"/>
        <v>4571.2290749803387</v>
      </c>
      <c r="AB116" s="1072">
        <f t="shared" si="79"/>
        <v>4571.2290749803387</v>
      </c>
      <c r="AC116" s="1072">
        <f t="shared" si="79"/>
        <v>4662.6536564799453</v>
      </c>
      <c r="AD116" s="1072">
        <f t="shared" si="79"/>
        <v>4662.6536564799453</v>
      </c>
      <c r="AE116" s="1072">
        <f t="shared" si="79"/>
        <v>4755.9067296095445</v>
      </c>
      <c r="AF116" s="1072">
        <f t="shared" si="79"/>
        <v>4755.9067296095445</v>
      </c>
      <c r="AG116" s="1072">
        <f t="shared" si="79"/>
        <v>4851.024864201735</v>
      </c>
      <c r="AH116" s="1072">
        <f t="shared" si="79"/>
        <v>4851.024864201735</v>
      </c>
      <c r="AI116" s="1072">
        <f t="shared" si="79"/>
        <v>4948.0453614857706</v>
      </c>
      <c r="AJ116" s="1072">
        <f t="shared" si="79"/>
        <v>4948.0453614857706</v>
      </c>
      <c r="AK116" s="1072">
        <f t="shared" si="79"/>
        <v>5047.006268715485</v>
      </c>
      <c r="AL116" s="1072">
        <f t="shared" si="79"/>
        <v>5047.006268715485</v>
      </c>
      <c r="AM116" s="1072">
        <f t="shared" si="79"/>
        <v>5147.9463940897949</v>
      </c>
      <c r="AN116" s="1072">
        <f t="shared" si="79"/>
        <v>5147.9463940897949</v>
      </c>
      <c r="AO116" s="1072">
        <f t="shared" si="79"/>
        <v>5250.9053219715915</v>
      </c>
      <c r="AP116" s="1072">
        <f t="shared" ref="AP116:BU116" si="80" xml:space="preserve"> $F112 / $F113 * AP114 * AP115 * (1 + $F111)</f>
        <v>5250.9053219715915</v>
      </c>
      <c r="AQ116" s="1072">
        <f t="shared" si="80"/>
        <v>5355.9234284110225</v>
      </c>
      <c r="AR116" s="1072">
        <f t="shared" si="80"/>
        <v>5355.9234284110225</v>
      </c>
      <c r="AS116" s="1072">
        <f t="shared" si="80"/>
        <v>5463.0418969792427</v>
      </c>
      <c r="AT116" s="1072">
        <f t="shared" si="80"/>
        <v>5463.0418969792427</v>
      </c>
      <c r="AU116" s="1072">
        <f t="shared" si="80"/>
        <v>5572.3027349188287</v>
      </c>
      <c r="AV116" s="1072">
        <f t="shared" si="80"/>
        <v>5572.3027349188287</v>
      </c>
      <c r="AW116" s="1072">
        <f t="shared" si="80"/>
        <v>5683.7487896172042</v>
      </c>
      <c r="AX116" s="1072">
        <f t="shared" si="80"/>
        <v>5683.7487896172042</v>
      </c>
      <c r="AY116" s="1072">
        <f t="shared" si="80"/>
        <v>5797.4237654095487</v>
      </c>
      <c r="AZ116" s="1072">
        <f t="shared" si="80"/>
        <v>5797.4237654095487</v>
      </c>
      <c r="BA116" s="1072">
        <f t="shared" si="80"/>
        <v>5913.3722407177393</v>
      </c>
      <c r="BB116" s="1072">
        <f t="shared" si="80"/>
        <v>5913.3722407177393</v>
      </c>
      <c r="BC116" s="1072">
        <f t="shared" si="80"/>
        <v>0</v>
      </c>
      <c r="BD116" s="1072">
        <f t="shared" si="80"/>
        <v>0</v>
      </c>
      <c r="BE116" s="1072">
        <f t="shared" si="80"/>
        <v>0</v>
      </c>
      <c r="BF116" s="1072">
        <f t="shared" si="80"/>
        <v>0</v>
      </c>
      <c r="BG116" s="1072">
        <f t="shared" si="80"/>
        <v>0</v>
      </c>
      <c r="BH116" s="1072">
        <f t="shared" si="80"/>
        <v>0</v>
      </c>
      <c r="BI116" s="1072">
        <f t="shared" si="80"/>
        <v>0</v>
      </c>
      <c r="BJ116" s="1072">
        <f t="shared" si="80"/>
        <v>0</v>
      </c>
      <c r="BK116" s="1072">
        <f t="shared" si="80"/>
        <v>0</v>
      </c>
      <c r="BL116" s="1072">
        <f t="shared" si="80"/>
        <v>0</v>
      </c>
      <c r="BM116" s="1072">
        <f t="shared" si="80"/>
        <v>0</v>
      </c>
      <c r="BN116" s="1072">
        <f t="shared" si="80"/>
        <v>0</v>
      </c>
      <c r="BO116" s="1072">
        <f t="shared" si="80"/>
        <v>0</v>
      </c>
      <c r="BP116" s="1072">
        <f t="shared" si="80"/>
        <v>0</v>
      </c>
      <c r="BQ116" s="1072">
        <f t="shared" si="80"/>
        <v>0</v>
      </c>
      <c r="BR116" s="1072">
        <f t="shared" si="80"/>
        <v>0</v>
      </c>
      <c r="BS116" s="1072">
        <f t="shared" si="80"/>
        <v>0</v>
      </c>
      <c r="BT116" s="1072">
        <f t="shared" si="80"/>
        <v>0</v>
      </c>
      <c r="BU116" s="1072">
        <f t="shared" si="80"/>
        <v>0</v>
      </c>
      <c r="BV116" s="1072">
        <f t="shared" ref="BV116:CV116" si="81" xml:space="preserve"> $F112 / $F113 * BV114 * BV115 * (1 + $F111)</f>
        <v>0</v>
      </c>
      <c r="BW116" s="1072">
        <f t="shared" si="81"/>
        <v>0</v>
      </c>
      <c r="BX116" s="1072">
        <f t="shared" si="81"/>
        <v>0</v>
      </c>
      <c r="BY116" s="1072">
        <f t="shared" si="81"/>
        <v>0</v>
      </c>
      <c r="BZ116" s="1072">
        <f t="shared" si="81"/>
        <v>0</v>
      </c>
      <c r="CA116" s="1072">
        <f t="shared" si="81"/>
        <v>0</v>
      </c>
      <c r="CB116" s="1072">
        <f t="shared" si="81"/>
        <v>0</v>
      </c>
      <c r="CC116" s="1072">
        <f t="shared" si="81"/>
        <v>0</v>
      </c>
      <c r="CD116" s="1072">
        <f t="shared" si="81"/>
        <v>0</v>
      </c>
      <c r="CE116" s="1072">
        <f t="shared" si="81"/>
        <v>0</v>
      </c>
      <c r="CF116" s="1072">
        <f t="shared" si="81"/>
        <v>0</v>
      </c>
      <c r="CG116" s="1072">
        <f t="shared" si="81"/>
        <v>0</v>
      </c>
      <c r="CH116" s="1072">
        <f t="shared" si="81"/>
        <v>0</v>
      </c>
      <c r="CI116" s="1072">
        <f t="shared" si="81"/>
        <v>0</v>
      </c>
      <c r="CJ116" s="1072">
        <f t="shared" si="81"/>
        <v>0</v>
      </c>
      <c r="CK116" s="1072">
        <f t="shared" si="81"/>
        <v>0</v>
      </c>
      <c r="CL116" s="1072">
        <f t="shared" si="81"/>
        <v>0</v>
      </c>
      <c r="CM116" s="1072">
        <f t="shared" si="81"/>
        <v>0</v>
      </c>
      <c r="CN116" s="1072">
        <f t="shared" si="81"/>
        <v>0</v>
      </c>
      <c r="CO116" s="1072">
        <f t="shared" si="81"/>
        <v>0</v>
      </c>
      <c r="CP116" s="1072">
        <f t="shared" si="81"/>
        <v>0</v>
      </c>
      <c r="CQ116" s="1072">
        <f t="shared" si="81"/>
        <v>0</v>
      </c>
      <c r="CR116" s="1072">
        <f t="shared" si="81"/>
        <v>0</v>
      </c>
      <c r="CS116" s="1072">
        <f t="shared" si="81"/>
        <v>0</v>
      </c>
      <c r="CT116" s="1072">
        <f t="shared" si="81"/>
        <v>0</v>
      </c>
      <c r="CU116" s="1072">
        <f t="shared" si="81"/>
        <v>0</v>
      </c>
      <c r="CV116" s="1072">
        <f t="shared" si="81"/>
        <v>0</v>
      </c>
    </row>
    <row r="117" spans="1:100" s="188" customFormat="1" outlineLevel="2" x14ac:dyDescent="0.2">
      <c r="A117" s="141"/>
      <c r="B117" s="141"/>
      <c r="C117" s="142"/>
      <c r="D117" s="143"/>
      <c r="E117" s="1072"/>
      <c r="F117" s="1072"/>
      <c r="G117" s="1072"/>
      <c r="H117" s="1072"/>
      <c r="I117" s="1072"/>
      <c r="J117" s="1072"/>
      <c r="K117" s="1072"/>
      <c r="L117" s="1072"/>
      <c r="M117" s="1072"/>
      <c r="N117" s="1072"/>
      <c r="O117" s="1072"/>
      <c r="P117" s="1072"/>
      <c r="Q117" s="1072"/>
      <c r="R117" s="1072"/>
      <c r="S117" s="1072"/>
      <c r="T117" s="1072"/>
      <c r="U117" s="1072"/>
      <c r="V117" s="1072"/>
      <c r="W117" s="1072"/>
      <c r="X117" s="1072"/>
      <c r="Y117" s="1072"/>
      <c r="Z117" s="1072"/>
      <c r="AA117" s="1072"/>
      <c r="AB117" s="1072"/>
      <c r="AC117" s="1072"/>
      <c r="AD117" s="1072"/>
      <c r="AE117" s="1072"/>
      <c r="AF117" s="1072"/>
      <c r="AG117" s="1072"/>
      <c r="AH117" s="1072"/>
      <c r="AI117" s="1072"/>
      <c r="AJ117" s="1072"/>
      <c r="AK117" s="1072"/>
      <c r="AL117" s="1072"/>
      <c r="AM117" s="1072"/>
      <c r="AN117" s="1072"/>
      <c r="AO117" s="1072"/>
      <c r="AP117" s="1072"/>
      <c r="AQ117" s="1072"/>
      <c r="AR117" s="1072"/>
      <c r="AS117" s="1072"/>
      <c r="AT117" s="1072"/>
      <c r="AU117" s="1072"/>
      <c r="AV117" s="1072"/>
      <c r="AW117" s="1072"/>
      <c r="AX117" s="1072"/>
      <c r="AY117" s="1072"/>
      <c r="AZ117" s="1072"/>
      <c r="BA117" s="1072"/>
      <c r="BB117" s="1072"/>
      <c r="BC117" s="1072"/>
      <c r="BD117" s="1072"/>
      <c r="BE117" s="1072"/>
      <c r="BF117" s="1072"/>
      <c r="BG117" s="1072"/>
      <c r="BH117" s="1072"/>
      <c r="BI117" s="1072"/>
      <c r="BJ117" s="1072"/>
      <c r="BK117" s="1072"/>
      <c r="BL117" s="1072"/>
      <c r="BM117" s="1072"/>
      <c r="BN117" s="1072"/>
      <c r="BO117" s="1072"/>
      <c r="BP117" s="1072"/>
      <c r="BQ117" s="1072"/>
      <c r="BR117" s="1072"/>
      <c r="BS117" s="1072"/>
      <c r="BT117" s="1072"/>
      <c r="BU117" s="1072"/>
      <c r="BV117" s="1072"/>
      <c r="BW117" s="1072"/>
      <c r="BX117" s="1072"/>
      <c r="BY117" s="1072"/>
      <c r="BZ117" s="1072"/>
      <c r="CA117" s="1072"/>
      <c r="CB117" s="1072"/>
      <c r="CC117" s="1072"/>
      <c r="CD117" s="1072"/>
      <c r="CE117" s="1072"/>
      <c r="CF117" s="1072"/>
      <c r="CG117" s="1072"/>
      <c r="CH117" s="1072"/>
      <c r="CI117" s="1072"/>
      <c r="CJ117" s="1072"/>
      <c r="CK117" s="1072"/>
      <c r="CL117" s="1072"/>
      <c r="CM117" s="1072"/>
      <c r="CN117" s="1072"/>
      <c r="CO117" s="1072"/>
      <c r="CP117" s="1072"/>
      <c r="CQ117" s="1072"/>
      <c r="CR117" s="1072"/>
      <c r="CS117" s="1072"/>
      <c r="CT117" s="1072"/>
      <c r="CU117" s="1072"/>
      <c r="CV117" s="1072"/>
    </row>
    <row r="118" spans="1:100" s="188" customFormat="1" ht="15" outlineLevel="2" x14ac:dyDescent="0.2">
      <c r="A118" s="141"/>
      <c r="B118" s="141"/>
      <c r="C118" s="142"/>
      <c r="D118" s="143"/>
      <c r="E118" s="1147" t="s">
        <v>1348</v>
      </c>
      <c r="F118" s="1152">
        <v>0.1</v>
      </c>
      <c r="G118" s="1147" t="s">
        <v>103</v>
      </c>
      <c r="H118" s="540"/>
      <c r="I118" s="1072"/>
      <c r="J118" s="1072"/>
      <c r="K118" s="1072"/>
      <c r="L118" s="1072"/>
      <c r="M118" s="1072"/>
      <c r="N118" s="1072"/>
      <c r="O118" s="1072"/>
      <c r="P118" s="1072"/>
      <c r="Q118" s="1072"/>
      <c r="R118" s="1072"/>
      <c r="S118" s="1072"/>
      <c r="T118" s="1072"/>
      <c r="U118" s="1072"/>
      <c r="V118" s="1072"/>
      <c r="W118" s="1072"/>
      <c r="X118" s="1072"/>
      <c r="Y118" s="1072"/>
      <c r="Z118" s="1072"/>
      <c r="AA118" s="1072"/>
      <c r="AB118" s="1072"/>
      <c r="AC118" s="1072"/>
      <c r="AD118" s="1072"/>
      <c r="AE118" s="1072"/>
      <c r="AF118" s="1072"/>
      <c r="AG118" s="1072"/>
      <c r="AH118" s="1072"/>
      <c r="AI118" s="1072"/>
      <c r="AJ118" s="1072"/>
      <c r="AK118" s="1072"/>
      <c r="AL118" s="1072"/>
      <c r="AM118" s="1072"/>
      <c r="AN118" s="1072"/>
      <c r="AO118" s="1072"/>
      <c r="AP118" s="1072"/>
      <c r="AQ118" s="1072"/>
      <c r="AR118" s="1072"/>
      <c r="AS118" s="1072"/>
      <c r="AT118" s="1072"/>
      <c r="AU118" s="1072"/>
      <c r="AV118" s="1072"/>
      <c r="AW118" s="1072"/>
      <c r="AX118" s="1072"/>
      <c r="AY118" s="1072"/>
      <c r="AZ118" s="1072"/>
      <c r="BA118" s="1072"/>
      <c r="BB118" s="1072"/>
      <c r="BC118" s="1072"/>
      <c r="BD118" s="1072"/>
      <c r="BE118" s="1072"/>
      <c r="BF118" s="1072"/>
      <c r="BG118" s="1072"/>
      <c r="BH118" s="1072"/>
      <c r="BI118" s="1072"/>
      <c r="BJ118" s="1072"/>
      <c r="BK118" s="1072"/>
      <c r="BL118" s="1072"/>
      <c r="BM118" s="1072"/>
      <c r="BN118" s="1072"/>
      <c r="BO118" s="1072"/>
      <c r="BP118" s="1072"/>
      <c r="BQ118" s="1072"/>
      <c r="BR118" s="1072"/>
      <c r="BS118" s="1072"/>
      <c r="BT118" s="1072"/>
      <c r="BU118" s="1072"/>
      <c r="BV118" s="1072"/>
      <c r="BW118" s="1072"/>
      <c r="BX118" s="1072"/>
      <c r="BY118" s="1072"/>
      <c r="BZ118" s="1072"/>
      <c r="CA118" s="1072"/>
      <c r="CB118" s="1072"/>
      <c r="CC118" s="1072"/>
      <c r="CD118" s="1072"/>
      <c r="CE118" s="1072"/>
      <c r="CF118" s="1072"/>
      <c r="CG118" s="1072"/>
      <c r="CH118" s="1072"/>
      <c r="CI118" s="1072"/>
      <c r="CJ118" s="1072"/>
      <c r="CK118" s="1072"/>
      <c r="CL118" s="1072"/>
      <c r="CM118" s="1072"/>
      <c r="CN118" s="1072"/>
      <c r="CO118" s="1072"/>
      <c r="CP118" s="1072"/>
      <c r="CQ118" s="1072"/>
      <c r="CR118" s="1072"/>
      <c r="CS118" s="1072"/>
      <c r="CT118" s="1072"/>
      <c r="CU118" s="1072"/>
      <c r="CV118" s="1072"/>
    </row>
    <row r="119" spans="1:100" s="188" customFormat="1" outlineLevel="2" x14ac:dyDescent="0.2">
      <c r="A119" s="227"/>
      <c r="B119" s="227"/>
      <c r="C119" s="228"/>
      <c r="D119" s="229"/>
      <c r="E119" s="188" t="s">
        <v>44</v>
      </c>
      <c r="G119" s="188" t="s">
        <v>5</v>
      </c>
      <c r="H119" s="188">
        <v>1</v>
      </c>
      <c r="I119" s="230"/>
      <c r="J119" s="187">
        <v>0</v>
      </c>
      <c r="K119" s="187">
        <v>0</v>
      </c>
      <c r="L119" s="187">
        <v>0</v>
      </c>
      <c r="M119" s="187">
        <v>0</v>
      </c>
      <c r="N119" s="187">
        <v>0</v>
      </c>
      <c r="O119" s="187">
        <v>1</v>
      </c>
      <c r="P119" s="187">
        <v>0</v>
      </c>
      <c r="Q119" s="187">
        <v>0</v>
      </c>
      <c r="R119" s="187">
        <v>0</v>
      </c>
      <c r="S119" s="187">
        <v>0</v>
      </c>
      <c r="T119" s="187">
        <v>0</v>
      </c>
      <c r="U119" s="187">
        <v>0</v>
      </c>
      <c r="V119" s="187">
        <v>0</v>
      </c>
      <c r="W119" s="187">
        <v>0</v>
      </c>
      <c r="X119" s="187">
        <v>0</v>
      </c>
      <c r="Y119" s="187">
        <v>0</v>
      </c>
      <c r="Z119" s="187">
        <v>0</v>
      </c>
      <c r="AA119" s="187">
        <v>0</v>
      </c>
      <c r="AB119" s="187">
        <v>0</v>
      </c>
      <c r="AC119" s="187">
        <v>0</v>
      </c>
      <c r="AD119" s="187">
        <v>0</v>
      </c>
      <c r="AE119" s="187">
        <v>0</v>
      </c>
      <c r="AF119" s="187">
        <v>0</v>
      </c>
      <c r="AG119" s="187">
        <v>0</v>
      </c>
      <c r="AH119" s="187">
        <v>0</v>
      </c>
      <c r="AI119" s="187">
        <v>0</v>
      </c>
      <c r="AJ119" s="187">
        <v>0</v>
      </c>
      <c r="AK119" s="187">
        <v>0</v>
      </c>
      <c r="AL119" s="187">
        <v>0</v>
      </c>
      <c r="AM119" s="187">
        <v>0</v>
      </c>
      <c r="AN119" s="187">
        <v>0</v>
      </c>
      <c r="AO119" s="187">
        <v>0</v>
      </c>
      <c r="AP119" s="187">
        <v>0</v>
      </c>
      <c r="AQ119" s="187">
        <v>0</v>
      </c>
      <c r="AR119" s="187">
        <v>0</v>
      </c>
      <c r="AS119" s="187">
        <v>0</v>
      </c>
      <c r="AT119" s="187">
        <v>0</v>
      </c>
      <c r="AU119" s="187">
        <v>0</v>
      </c>
      <c r="AV119" s="187">
        <v>0</v>
      </c>
      <c r="AW119" s="187">
        <v>0</v>
      </c>
      <c r="AX119" s="187">
        <v>0</v>
      </c>
      <c r="AY119" s="187">
        <v>0</v>
      </c>
      <c r="AZ119" s="187">
        <v>0</v>
      </c>
      <c r="BA119" s="187">
        <v>0</v>
      </c>
      <c r="BB119" s="187">
        <v>0</v>
      </c>
      <c r="BC119" s="187">
        <v>0</v>
      </c>
      <c r="BD119" s="187">
        <v>0</v>
      </c>
      <c r="BE119" s="187">
        <v>0</v>
      </c>
      <c r="BF119" s="187">
        <v>0</v>
      </c>
      <c r="BG119" s="187">
        <v>0</v>
      </c>
      <c r="BH119" s="187">
        <v>0</v>
      </c>
      <c r="BI119" s="187">
        <v>0</v>
      </c>
      <c r="BJ119" s="187">
        <v>0</v>
      </c>
      <c r="BK119" s="187">
        <v>0</v>
      </c>
      <c r="BL119" s="187">
        <v>0</v>
      </c>
      <c r="BM119" s="187">
        <v>0</v>
      </c>
      <c r="BN119" s="187">
        <v>0</v>
      </c>
      <c r="BO119" s="187">
        <v>0</v>
      </c>
      <c r="BP119" s="187">
        <v>0</v>
      </c>
      <c r="BQ119" s="187">
        <v>0</v>
      </c>
      <c r="BR119" s="187">
        <v>0</v>
      </c>
      <c r="BS119" s="187">
        <v>0</v>
      </c>
      <c r="BT119" s="187">
        <v>0</v>
      </c>
      <c r="BU119" s="187">
        <v>0</v>
      </c>
      <c r="BV119" s="187">
        <v>0</v>
      </c>
      <c r="BW119" s="187">
        <v>0</v>
      </c>
      <c r="BX119" s="187">
        <v>0</v>
      </c>
      <c r="BY119" s="187">
        <v>0</v>
      </c>
      <c r="BZ119" s="187">
        <v>0</v>
      </c>
      <c r="CA119" s="187">
        <v>0</v>
      </c>
      <c r="CB119" s="187">
        <v>0</v>
      </c>
      <c r="CC119" s="187">
        <v>0</v>
      </c>
      <c r="CD119" s="187">
        <v>0</v>
      </c>
      <c r="CE119" s="187">
        <v>0</v>
      </c>
      <c r="CF119" s="187">
        <v>0</v>
      </c>
      <c r="CG119" s="187">
        <v>0</v>
      </c>
      <c r="CH119" s="187">
        <v>0</v>
      </c>
      <c r="CI119" s="187">
        <v>0</v>
      </c>
      <c r="CJ119" s="187">
        <v>0</v>
      </c>
      <c r="CK119" s="187">
        <v>0</v>
      </c>
      <c r="CL119" s="187">
        <v>0</v>
      </c>
      <c r="CM119" s="187">
        <v>0</v>
      </c>
      <c r="CN119" s="187">
        <v>0</v>
      </c>
      <c r="CO119" s="187">
        <v>0</v>
      </c>
      <c r="CP119" s="187">
        <v>0</v>
      </c>
      <c r="CQ119" s="187">
        <v>0</v>
      </c>
      <c r="CR119" s="187">
        <v>0</v>
      </c>
      <c r="CS119" s="187">
        <v>0</v>
      </c>
      <c r="CT119" s="187">
        <v>0</v>
      </c>
      <c r="CU119" s="187">
        <v>0</v>
      </c>
      <c r="CV119" s="187">
        <v>0</v>
      </c>
    </row>
    <row r="120" spans="1:100" s="188" customFormat="1" outlineLevel="2" x14ac:dyDescent="0.2">
      <c r="A120" s="141"/>
      <c r="B120" s="141"/>
      <c r="C120" s="142"/>
      <c r="D120" s="143"/>
      <c r="E120" t="s">
        <v>1328</v>
      </c>
      <c r="F120"/>
      <c r="G120" t="s">
        <v>187</v>
      </c>
      <c r="H120"/>
      <c r="I120" s="1072"/>
      <c r="J120" s="280">
        <f>IF(J119=1,1,I120/(1+$F118))</f>
        <v>0</v>
      </c>
      <c r="K120" s="280">
        <f>IF(K119=1,1,J120/(1+$F118))</f>
        <v>0</v>
      </c>
      <c r="L120" s="280">
        <f>IF(L119=1,1,K120/(1+$F118))</f>
        <v>0</v>
      </c>
      <c r="M120" s="280">
        <f t="shared" ref="M120:BV120" si="82">IF(M119=1,1,L120/(1+$F118))</f>
        <v>0</v>
      </c>
      <c r="N120" s="280">
        <f t="shared" si="82"/>
        <v>0</v>
      </c>
      <c r="O120" s="280">
        <f t="shared" si="82"/>
        <v>1</v>
      </c>
      <c r="P120" s="280">
        <f t="shared" si="82"/>
        <v>0.90909090909090906</v>
      </c>
      <c r="Q120" s="280">
        <f t="shared" si="82"/>
        <v>0.82644628099173545</v>
      </c>
      <c r="R120" s="280">
        <f t="shared" si="82"/>
        <v>0.75131480090157765</v>
      </c>
      <c r="S120" s="280">
        <f t="shared" si="82"/>
        <v>0.68301345536507052</v>
      </c>
      <c r="T120" s="280">
        <f t="shared" si="82"/>
        <v>0.62092132305915493</v>
      </c>
      <c r="U120" s="280">
        <f t="shared" si="82"/>
        <v>0.56447393005377711</v>
      </c>
      <c r="V120" s="280">
        <f t="shared" si="82"/>
        <v>0.51315811823070645</v>
      </c>
      <c r="W120" s="280">
        <f t="shared" si="82"/>
        <v>0.46650738020973309</v>
      </c>
      <c r="X120" s="280">
        <f t="shared" si="82"/>
        <v>0.42409761837248461</v>
      </c>
      <c r="Y120" s="280">
        <f t="shared" si="82"/>
        <v>0.38554328942953142</v>
      </c>
      <c r="Z120" s="280">
        <f t="shared" si="82"/>
        <v>0.35049389948139215</v>
      </c>
      <c r="AA120" s="280">
        <f t="shared" si="82"/>
        <v>0.31863081771035645</v>
      </c>
      <c r="AB120" s="280">
        <f t="shared" si="82"/>
        <v>0.28966437973668768</v>
      </c>
      <c r="AC120" s="280">
        <f t="shared" si="82"/>
        <v>0.26333125430607968</v>
      </c>
      <c r="AD120" s="280">
        <f t="shared" si="82"/>
        <v>0.23939204936916333</v>
      </c>
      <c r="AE120" s="280">
        <f t="shared" si="82"/>
        <v>0.21762913579014848</v>
      </c>
      <c r="AF120" s="280">
        <f t="shared" si="82"/>
        <v>0.19784466890013497</v>
      </c>
      <c r="AG120" s="280">
        <f t="shared" si="82"/>
        <v>0.17985878990921358</v>
      </c>
      <c r="AH120" s="280">
        <f t="shared" si="82"/>
        <v>0.16350799082655779</v>
      </c>
      <c r="AI120" s="280">
        <f t="shared" si="82"/>
        <v>0.14864362802414344</v>
      </c>
      <c r="AJ120" s="280">
        <f t="shared" si="82"/>
        <v>0.13513057093103947</v>
      </c>
      <c r="AK120" s="280">
        <f t="shared" si="82"/>
        <v>0.12284597357367223</v>
      </c>
      <c r="AL120" s="280">
        <f t="shared" si="82"/>
        <v>0.11167815779424747</v>
      </c>
      <c r="AM120" s="280">
        <f t="shared" si="82"/>
        <v>0.10152559799477043</v>
      </c>
      <c r="AN120" s="280">
        <f t="shared" si="82"/>
        <v>9.229599817706402E-2</v>
      </c>
      <c r="AO120" s="280">
        <f t="shared" si="82"/>
        <v>8.3905452888240015E-2</v>
      </c>
      <c r="AP120" s="280">
        <f t="shared" si="82"/>
        <v>7.6277684443854549E-2</v>
      </c>
      <c r="AQ120" s="280">
        <f t="shared" si="82"/>
        <v>6.9343349494413217E-2</v>
      </c>
      <c r="AR120" s="280">
        <f t="shared" si="82"/>
        <v>6.3039408631284738E-2</v>
      </c>
      <c r="AS120" s="280">
        <f t="shared" si="82"/>
        <v>5.7308553301167936E-2</v>
      </c>
      <c r="AT120" s="280">
        <f t="shared" si="82"/>
        <v>5.2098684819243575E-2</v>
      </c>
      <c r="AU120" s="280">
        <f t="shared" si="82"/>
        <v>4.7362440744766886E-2</v>
      </c>
      <c r="AV120" s="280">
        <f t="shared" si="82"/>
        <v>4.3056764313424437E-2</v>
      </c>
      <c r="AW120" s="280">
        <f t="shared" si="82"/>
        <v>3.9142513012204033E-2</v>
      </c>
      <c r="AX120" s="280">
        <f t="shared" si="82"/>
        <v>3.5584102738367297E-2</v>
      </c>
      <c r="AY120" s="280">
        <f t="shared" si="82"/>
        <v>3.2349184307606631E-2</v>
      </c>
      <c r="AZ120" s="280">
        <f t="shared" si="82"/>
        <v>2.9408349370551479E-2</v>
      </c>
      <c r="BA120" s="280">
        <f t="shared" si="82"/>
        <v>2.6734863064137707E-2</v>
      </c>
      <c r="BB120" s="280">
        <f t="shared" si="82"/>
        <v>2.4304420967397912E-2</v>
      </c>
      <c r="BC120" s="280">
        <v>0</v>
      </c>
      <c r="BD120" s="280">
        <f t="shared" si="82"/>
        <v>0</v>
      </c>
      <c r="BE120" s="280">
        <f t="shared" si="82"/>
        <v>0</v>
      </c>
      <c r="BF120" s="280">
        <f t="shared" si="82"/>
        <v>0</v>
      </c>
      <c r="BG120" s="280">
        <f t="shared" si="82"/>
        <v>0</v>
      </c>
      <c r="BH120" s="280">
        <f t="shared" si="82"/>
        <v>0</v>
      </c>
      <c r="BI120" s="280">
        <f t="shared" si="82"/>
        <v>0</v>
      </c>
      <c r="BJ120" s="280">
        <f t="shared" si="82"/>
        <v>0</v>
      </c>
      <c r="BK120" s="280">
        <f t="shared" si="82"/>
        <v>0</v>
      </c>
      <c r="BL120" s="280">
        <f t="shared" si="82"/>
        <v>0</v>
      </c>
      <c r="BM120" s="280">
        <f t="shared" si="82"/>
        <v>0</v>
      </c>
      <c r="BN120" s="280">
        <f t="shared" si="82"/>
        <v>0</v>
      </c>
      <c r="BO120" s="280">
        <f t="shared" si="82"/>
        <v>0</v>
      </c>
      <c r="BP120" s="280">
        <f t="shared" si="82"/>
        <v>0</v>
      </c>
      <c r="BQ120" s="280">
        <f t="shared" si="82"/>
        <v>0</v>
      </c>
      <c r="BR120" s="280">
        <f t="shared" si="82"/>
        <v>0</v>
      </c>
      <c r="BS120" s="280">
        <f t="shared" si="82"/>
        <v>0</v>
      </c>
      <c r="BT120" s="280">
        <f t="shared" si="82"/>
        <v>0</v>
      </c>
      <c r="BU120" s="280">
        <f t="shared" si="82"/>
        <v>0</v>
      </c>
      <c r="BV120" s="280">
        <f t="shared" si="82"/>
        <v>0</v>
      </c>
      <c r="BW120" s="280">
        <f t="shared" ref="BW120:CV120" si="83">IF(BW119=1,1,BV120/(1+$F118))</f>
        <v>0</v>
      </c>
      <c r="BX120" s="280">
        <f t="shared" si="83"/>
        <v>0</v>
      </c>
      <c r="BY120" s="280">
        <f t="shared" si="83"/>
        <v>0</v>
      </c>
      <c r="BZ120" s="280">
        <f t="shared" si="83"/>
        <v>0</v>
      </c>
      <c r="CA120" s="280">
        <f t="shared" si="83"/>
        <v>0</v>
      </c>
      <c r="CB120" s="280">
        <f t="shared" si="83"/>
        <v>0</v>
      </c>
      <c r="CC120" s="280">
        <f t="shared" si="83"/>
        <v>0</v>
      </c>
      <c r="CD120" s="280">
        <f t="shared" si="83"/>
        <v>0</v>
      </c>
      <c r="CE120" s="280">
        <f t="shared" si="83"/>
        <v>0</v>
      </c>
      <c r="CF120" s="280">
        <f t="shared" si="83"/>
        <v>0</v>
      </c>
      <c r="CG120" s="280">
        <f t="shared" si="83"/>
        <v>0</v>
      </c>
      <c r="CH120" s="280">
        <f t="shared" si="83"/>
        <v>0</v>
      </c>
      <c r="CI120" s="280">
        <f t="shared" si="83"/>
        <v>0</v>
      </c>
      <c r="CJ120" s="280">
        <f t="shared" si="83"/>
        <v>0</v>
      </c>
      <c r="CK120" s="280">
        <f t="shared" si="83"/>
        <v>0</v>
      </c>
      <c r="CL120" s="280">
        <f t="shared" si="83"/>
        <v>0</v>
      </c>
      <c r="CM120" s="280">
        <f t="shared" si="83"/>
        <v>0</v>
      </c>
      <c r="CN120" s="280">
        <f t="shared" si="83"/>
        <v>0</v>
      </c>
      <c r="CO120" s="280">
        <f t="shared" si="83"/>
        <v>0</v>
      </c>
      <c r="CP120" s="280">
        <f t="shared" si="83"/>
        <v>0</v>
      </c>
      <c r="CQ120" s="280">
        <f t="shared" si="83"/>
        <v>0</v>
      </c>
      <c r="CR120" s="280">
        <f t="shared" si="83"/>
        <v>0</v>
      </c>
      <c r="CS120" s="280">
        <f t="shared" si="83"/>
        <v>0</v>
      </c>
      <c r="CT120" s="280">
        <f t="shared" si="83"/>
        <v>0</v>
      </c>
      <c r="CU120" s="280">
        <f t="shared" si="83"/>
        <v>0</v>
      </c>
      <c r="CV120" s="280">
        <f t="shared" si="83"/>
        <v>0</v>
      </c>
    </row>
    <row r="121" spans="1:100" s="188" customFormat="1" outlineLevel="2" x14ac:dyDescent="0.2">
      <c r="A121" s="141"/>
      <c r="B121" s="141"/>
      <c r="C121" s="142"/>
      <c r="D121" s="143"/>
      <c r="E121"/>
      <c r="F121"/>
      <c r="G121"/>
      <c r="H121"/>
      <c r="I121" s="1072"/>
      <c r="J121" s="1072"/>
      <c r="K121" s="1072"/>
      <c r="L121" s="1072"/>
      <c r="M121" s="1072"/>
      <c r="N121" s="1072"/>
      <c r="O121" s="1072"/>
      <c r="P121" s="1072"/>
      <c r="Q121" s="1072"/>
      <c r="R121" s="1072"/>
      <c r="S121" s="1072"/>
      <c r="T121" s="1072"/>
      <c r="U121" s="1072"/>
      <c r="V121" s="1072"/>
      <c r="W121" s="1072"/>
      <c r="X121" s="1072"/>
      <c r="Y121" s="1072"/>
      <c r="Z121" s="1072"/>
      <c r="AA121" s="1072"/>
      <c r="AB121" s="1072"/>
      <c r="AC121" s="1072"/>
      <c r="AD121" s="1072"/>
      <c r="AE121" s="1072"/>
      <c r="AF121" s="1072"/>
      <c r="AG121" s="1072"/>
      <c r="AH121" s="1072"/>
      <c r="AI121" s="1072"/>
      <c r="AJ121" s="1072"/>
      <c r="AK121" s="1072"/>
      <c r="AL121" s="1072"/>
      <c r="AM121" s="1072"/>
      <c r="AN121" s="1072"/>
      <c r="AO121" s="1072"/>
      <c r="AP121" s="1072"/>
      <c r="AQ121" s="1072"/>
      <c r="AR121" s="1072"/>
      <c r="AS121" s="1072"/>
      <c r="AT121" s="1072"/>
      <c r="AU121" s="1072"/>
      <c r="AV121" s="1072"/>
      <c r="AW121" s="1072"/>
      <c r="AX121" s="1072"/>
      <c r="AY121" s="1072"/>
      <c r="AZ121" s="1072"/>
      <c r="BA121" s="1072"/>
      <c r="BB121" s="1072"/>
      <c r="BC121" s="1072"/>
      <c r="BD121" s="1072"/>
      <c r="BE121" s="1072"/>
      <c r="BF121" s="1072"/>
      <c r="BG121" s="1072"/>
      <c r="BH121" s="1072"/>
      <c r="BI121" s="1072"/>
      <c r="BJ121" s="1072"/>
      <c r="BK121" s="1072"/>
      <c r="BL121" s="1072"/>
      <c r="BM121" s="1072"/>
      <c r="BN121" s="1072"/>
      <c r="BO121" s="1072"/>
      <c r="BP121" s="1072"/>
      <c r="BQ121" s="1072"/>
      <c r="BR121" s="1072"/>
      <c r="BS121" s="1072"/>
      <c r="BT121" s="1072"/>
      <c r="BU121" s="1072"/>
      <c r="BV121" s="1072"/>
      <c r="BW121" s="1072"/>
      <c r="BX121" s="1072"/>
      <c r="BY121" s="1072"/>
      <c r="BZ121" s="1072"/>
      <c r="CA121" s="1072"/>
      <c r="CB121" s="1072"/>
      <c r="CC121" s="1072"/>
      <c r="CD121" s="1072"/>
      <c r="CE121" s="1072"/>
      <c r="CF121" s="1072"/>
      <c r="CG121" s="1072"/>
      <c r="CH121" s="1072"/>
      <c r="CI121" s="1072"/>
      <c r="CJ121" s="1072"/>
      <c r="CK121" s="1072"/>
      <c r="CL121" s="1072"/>
      <c r="CM121" s="1072"/>
      <c r="CN121" s="1072"/>
      <c r="CO121" s="1072"/>
      <c r="CP121" s="1072"/>
      <c r="CQ121" s="1072"/>
      <c r="CR121" s="1072"/>
      <c r="CS121" s="1072"/>
      <c r="CT121" s="1072"/>
      <c r="CU121" s="1072"/>
      <c r="CV121" s="1072"/>
    </row>
    <row r="122" spans="1:100" s="188" customFormat="1" outlineLevel="2" x14ac:dyDescent="0.2">
      <c r="A122" s="141"/>
      <c r="B122" s="141"/>
      <c r="C122" s="142"/>
      <c r="D122" s="143"/>
      <c r="E122" s="1072" t="s">
        <v>1331</v>
      </c>
      <c r="F122" s="1072"/>
      <c r="G122" s="144" t="str">
        <f xml:space="preserve"> SMU</f>
        <v>$ 000s</v>
      </c>
      <c r="H122" s="1072">
        <f>SUMPRODUCT(J116:BB116,J120:BB120)</f>
        <v>47730.094815338074</v>
      </c>
      <c r="I122" s="1072"/>
      <c r="J122" s="1072"/>
      <c r="K122" s="1072"/>
      <c r="L122" s="1072"/>
      <c r="M122" s="1072"/>
      <c r="N122" s="1072"/>
      <c r="O122" s="1072"/>
      <c r="P122" s="1072"/>
      <c r="Q122" s="1072"/>
      <c r="R122" s="1072"/>
      <c r="S122" s="1072"/>
      <c r="T122" s="1072"/>
      <c r="U122" s="1072"/>
      <c r="V122" s="1072"/>
      <c r="W122" s="1072"/>
      <c r="X122" s="1072"/>
      <c r="Y122" s="1072"/>
      <c r="Z122" s="1072"/>
      <c r="AA122" s="1072"/>
      <c r="AB122" s="1072"/>
      <c r="AC122" s="1072"/>
      <c r="AD122" s="1072"/>
      <c r="AE122" s="1072"/>
      <c r="AF122" s="1072"/>
      <c r="AG122" s="1072"/>
      <c r="AH122" s="1072"/>
      <c r="AI122" s="1072"/>
      <c r="AJ122" s="1072"/>
      <c r="AK122" s="1072"/>
      <c r="AL122" s="1072"/>
      <c r="AM122" s="1072"/>
      <c r="AN122" s="1072"/>
      <c r="AO122" s="1072"/>
      <c r="AP122" s="1072"/>
      <c r="AQ122" s="1072"/>
      <c r="AR122" s="1072"/>
      <c r="AS122" s="1072"/>
      <c r="AT122" s="1072"/>
      <c r="AU122" s="1072"/>
      <c r="AV122" s="1072"/>
      <c r="AW122" s="1072"/>
      <c r="AX122" s="1072"/>
      <c r="AY122" s="1072"/>
      <c r="AZ122" s="1072"/>
      <c r="BA122" s="1072"/>
      <c r="BB122" s="1072"/>
      <c r="BC122" s="1072"/>
      <c r="BD122" s="1072"/>
      <c r="BE122" s="1072"/>
      <c r="BF122" s="1072"/>
      <c r="BG122" s="1072"/>
      <c r="BH122" s="1072"/>
      <c r="BI122" s="1072"/>
      <c r="BJ122" s="1072"/>
      <c r="BK122" s="1072"/>
      <c r="BL122" s="1072"/>
      <c r="BM122" s="1072"/>
      <c r="BN122" s="1072"/>
      <c r="BO122" s="1072"/>
      <c r="BP122" s="1072"/>
      <c r="BQ122" s="1072"/>
      <c r="BR122" s="1072"/>
      <c r="BS122" s="1072"/>
      <c r="BT122" s="1072"/>
      <c r="BU122" s="1072"/>
      <c r="BV122" s="1072"/>
      <c r="BW122" s="1072"/>
      <c r="BX122" s="1072"/>
      <c r="BY122" s="1072"/>
      <c r="BZ122" s="1072"/>
      <c r="CA122" s="1072"/>
      <c r="CB122" s="1072"/>
      <c r="CC122" s="1072"/>
      <c r="CD122" s="1072"/>
      <c r="CE122" s="1072"/>
      <c r="CF122" s="1072"/>
      <c r="CG122" s="1072"/>
      <c r="CH122" s="1072"/>
      <c r="CI122" s="1072"/>
      <c r="CJ122" s="1072"/>
      <c r="CK122" s="1072"/>
      <c r="CL122" s="1072"/>
      <c r="CM122" s="1072"/>
      <c r="CN122" s="1072"/>
      <c r="CO122" s="1072"/>
      <c r="CP122" s="1072"/>
      <c r="CQ122" s="1072"/>
      <c r="CR122" s="1072"/>
      <c r="CS122" s="1072"/>
      <c r="CT122" s="1072"/>
      <c r="CU122" s="1072"/>
      <c r="CV122" s="1072"/>
    </row>
    <row r="123" spans="1:100" s="188" customFormat="1" outlineLevel="2" x14ac:dyDescent="0.2">
      <c r="A123" s="141"/>
      <c r="B123" s="141"/>
      <c r="C123" s="142"/>
      <c r="D123" s="143"/>
      <c r="E123" s="1072"/>
      <c r="F123" s="1072"/>
      <c r="G123" s="1072"/>
      <c r="H123" s="1072"/>
      <c r="I123" s="1072"/>
      <c r="J123" s="1072"/>
      <c r="K123" s="1072"/>
      <c r="L123" s="1072"/>
      <c r="M123" s="1072"/>
      <c r="N123" s="1072"/>
      <c r="O123" s="1072"/>
      <c r="P123" s="1072"/>
      <c r="Q123" s="1072"/>
      <c r="R123" s="1072"/>
      <c r="S123" s="1072"/>
      <c r="T123" s="1072"/>
      <c r="U123" s="1072"/>
      <c r="V123" s="1072"/>
      <c r="W123" s="1072"/>
      <c r="X123" s="1072"/>
      <c r="Y123" s="1072"/>
      <c r="Z123" s="1072"/>
      <c r="AA123" s="1072"/>
      <c r="AB123" s="1072"/>
      <c r="AC123" s="1072"/>
      <c r="AD123" s="1072"/>
      <c r="AE123" s="1072"/>
      <c r="AF123" s="1072"/>
      <c r="AG123" s="1072"/>
      <c r="AH123" s="1072"/>
      <c r="AI123" s="1072"/>
      <c r="AJ123" s="1072"/>
      <c r="AK123" s="1072"/>
      <c r="AL123" s="1072"/>
      <c r="AM123" s="1072"/>
      <c r="AN123" s="1072"/>
      <c r="AO123" s="1072"/>
      <c r="AP123" s="1072"/>
      <c r="AQ123" s="1072"/>
      <c r="AR123" s="1072"/>
      <c r="AS123" s="1072"/>
      <c r="AT123" s="1072"/>
      <c r="AU123" s="1072"/>
      <c r="AV123" s="1072"/>
      <c r="AW123" s="1072"/>
      <c r="AX123" s="1072"/>
      <c r="AY123" s="1072"/>
      <c r="AZ123" s="1072"/>
      <c r="BA123" s="1072"/>
      <c r="BB123" s="1072"/>
      <c r="BC123" s="1072"/>
      <c r="BD123" s="1072"/>
      <c r="BE123" s="1072"/>
      <c r="BF123" s="1072"/>
      <c r="BG123" s="1072"/>
      <c r="BH123" s="1072"/>
      <c r="BI123" s="1072"/>
      <c r="BJ123" s="1072"/>
      <c r="BK123" s="1072"/>
      <c r="BL123" s="1072"/>
      <c r="BM123" s="1072"/>
      <c r="BN123" s="1072"/>
      <c r="BO123" s="1072"/>
      <c r="BP123" s="1072"/>
      <c r="BQ123" s="1072"/>
      <c r="BR123" s="1072"/>
      <c r="BS123" s="1072"/>
      <c r="BT123" s="1072"/>
      <c r="BU123" s="1072"/>
      <c r="BV123" s="1072"/>
      <c r="BW123" s="1072"/>
      <c r="BX123" s="1072"/>
      <c r="BY123" s="1072"/>
      <c r="BZ123" s="1072"/>
      <c r="CA123" s="1072"/>
      <c r="CB123" s="1072"/>
      <c r="CC123" s="1072"/>
      <c r="CD123" s="1072"/>
      <c r="CE123" s="1072"/>
      <c r="CF123" s="1072"/>
      <c r="CG123" s="1072"/>
      <c r="CH123" s="1072"/>
      <c r="CI123" s="1072"/>
      <c r="CJ123" s="1072"/>
      <c r="CK123" s="1072"/>
      <c r="CL123" s="1072"/>
      <c r="CM123" s="1072"/>
      <c r="CN123" s="1072"/>
      <c r="CO123" s="1072"/>
      <c r="CP123" s="1072"/>
      <c r="CQ123" s="1072"/>
      <c r="CR123" s="1072"/>
      <c r="CS123" s="1072"/>
      <c r="CT123" s="1072"/>
      <c r="CU123" s="1072"/>
      <c r="CV123" s="1072"/>
    </row>
    <row r="124" spans="1:100" s="188" customFormat="1" ht="15" outlineLevel="2" x14ac:dyDescent="0.2">
      <c r="A124" s="141"/>
      <c r="B124" s="1146" t="s">
        <v>1327</v>
      </c>
      <c r="C124"/>
      <c r="D124"/>
      <c r="E124"/>
      <c r="F124"/>
      <c r="G124"/>
      <c r="H124"/>
      <c r="I124" s="1072"/>
      <c r="J124" s="1072"/>
      <c r="K124" s="1072"/>
      <c r="L124" s="1072"/>
      <c r="M124" s="1072"/>
      <c r="N124" s="1072"/>
      <c r="O124" s="1072"/>
      <c r="P124" s="1072"/>
      <c r="Q124" s="1072"/>
      <c r="R124" s="1072"/>
      <c r="S124" s="1072"/>
      <c r="T124" s="1072"/>
      <c r="U124" s="1072"/>
      <c r="V124" s="1072"/>
      <c r="W124" s="1072"/>
      <c r="X124" s="1072"/>
      <c r="Y124" s="1072"/>
      <c r="Z124" s="1072"/>
      <c r="AA124" s="1072"/>
      <c r="AB124" s="1072"/>
      <c r="AC124" s="1072"/>
      <c r="AD124" s="1072"/>
      <c r="AE124" s="1072"/>
      <c r="AF124" s="1072"/>
      <c r="AG124" s="1072"/>
      <c r="AH124" s="1072"/>
      <c r="AI124" s="1072"/>
      <c r="AJ124" s="1072"/>
      <c r="AK124" s="1072"/>
      <c r="AL124" s="1072"/>
      <c r="AM124" s="1072"/>
      <c r="AN124" s="1072"/>
      <c r="AO124" s="1072"/>
      <c r="AP124" s="1072"/>
      <c r="AQ124" s="1072"/>
      <c r="AR124" s="1072"/>
      <c r="AS124" s="1072"/>
      <c r="AT124" s="1072"/>
      <c r="AU124" s="1072"/>
      <c r="AV124" s="1072"/>
      <c r="AW124" s="1072"/>
      <c r="AX124" s="1072"/>
      <c r="AY124" s="1072"/>
      <c r="AZ124" s="1072"/>
      <c r="BA124" s="1072"/>
      <c r="BB124" s="1072"/>
      <c r="BC124" s="1072"/>
      <c r="BD124" s="1072"/>
      <c r="BE124" s="1072"/>
      <c r="BF124" s="1072"/>
      <c r="BG124" s="1072"/>
      <c r="BH124" s="1072"/>
      <c r="BI124" s="1072"/>
      <c r="BJ124" s="1072"/>
      <c r="BK124" s="1072"/>
      <c r="BL124" s="1072"/>
      <c r="BM124" s="1072"/>
      <c r="BN124" s="1072"/>
      <c r="BO124" s="1072"/>
      <c r="BP124" s="1072"/>
      <c r="BQ124" s="1072"/>
      <c r="BR124" s="1072"/>
      <c r="BS124" s="1072"/>
      <c r="BT124" s="1072"/>
      <c r="BU124" s="1072"/>
      <c r="BV124" s="1072"/>
      <c r="BW124" s="1072"/>
      <c r="BX124" s="1072"/>
      <c r="BY124" s="1072"/>
      <c r="BZ124" s="1072"/>
      <c r="CA124" s="1072"/>
      <c r="CB124" s="1072"/>
      <c r="CC124" s="1072"/>
      <c r="CD124" s="1072"/>
      <c r="CE124" s="1072"/>
      <c r="CF124" s="1072"/>
      <c r="CG124" s="1072"/>
      <c r="CH124" s="1072"/>
      <c r="CI124" s="1072"/>
      <c r="CJ124" s="1072"/>
      <c r="CK124" s="1072"/>
      <c r="CL124" s="1072"/>
      <c r="CM124" s="1072"/>
      <c r="CN124" s="1072"/>
      <c r="CO124" s="1072"/>
      <c r="CP124" s="1072"/>
      <c r="CQ124" s="1072"/>
      <c r="CR124" s="1072"/>
      <c r="CS124" s="1072"/>
      <c r="CT124" s="1072"/>
      <c r="CU124" s="1072"/>
      <c r="CV124" s="1072"/>
    </row>
    <row r="125" spans="1:100" s="188" customFormat="1" ht="15" outlineLevel="2" x14ac:dyDescent="0.2">
      <c r="A125" s="141"/>
      <c r="B125" s="1146"/>
      <c r="C125"/>
      <c r="D125"/>
      <c r="E125" s="1147" t="s">
        <v>1348</v>
      </c>
      <c r="F125" s="1152">
        <v>0.1</v>
      </c>
      <c r="G125" s="1147" t="s">
        <v>103</v>
      </c>
      <c r="H125" s="540"/>
      <c r="I125" s="1072"/>
      <c r="J125" s="1072"/>
      <c r="K125" s="1072"/>
      <c r="L125" s="1072"/>
      <c r="M125" s="1072"/>
      <c r="N125" s="1072"/>
      <c r="O125" s="1072"/>
      <c r="P125" s="1072"/>
      <c r="Q125" s="1072"/>
      <c r="R125" s="1072"/>
      <c r="S125" s="1072"/>
      <c r="T125" s="1072"/>
      <c r="U125" s="1072"/>
      <c r="V125" s="1072"/>
      <c r="W125" s="1072"/>
      <c r="X125" s="1072"/>
      <c r="Y125" s="1072"/>
      <c r="Z125" s="1072"/>
      <c r="AA125" s="1072"/>
      <c r="AB125" s="1072"/>
      <c r="AC125" s="1072"/>
      <c r="AD125" s="1072"/>
      <c r="AE125" s="1072"/>
      <c r="AF125" s="1072"/>
      <c r="AG125" s="1072"/>
      <c r="AH125" s="1072"/>
      <c r="AI125" s="1072"/>
      <c r="AJ125" s="1072"/>
      <c r="AK125" s="1072"/>
      <c r="AL125" s="1072"/>
      <c r="AM125" s="1072"/>
      <c r="AN125" s="1072"/>
      <c r="AO125" s="1072"/>
      <c r="AP125" s="1072"/>
      <c r="AQ125" s="1072"/>
      <c r="AR125" s="1072"/>
      <c r="AS125" s="1072"/>
      <c r="AT125" s="1072"/>
      <c r="AU125" s="1072"/>
      <c r="AV125" s="1072"/>
      <c r="AW125" s="1072"/>
      <c r="AX125" s="1072"/>
      <c r="AY125" s="1072"/>
      <c r="AZ125" s="1072"/>
      <c r="BA125" s="1072"/>
      <c r="BB125" s="1072"/>
      <c r="BC125" s="1072"/>
      <c r="BD125" s="1072"/>
      <c r="BE125" s="1072"/>
      <c r="BF125" s="1072"/>
      <c r="BG125" s="1072"/>
      <c r="BH125" s="1072"/>
      <c r="BI125" s="1072"/>
      <c r="BJ125" s="1072"/>
      <c r="BK125" s="1072"/>
      <c r="BL125" s="1072"/>
      <c r="BM125" s="1072"/>
      <c r="BN125" s="1072"/>
      <c r="BO125" s="1072"/>
      <c r="BP125" s="1072"/>
      <c r="BQ125" s="1072"/>
      <c r="BR125" s="1072"/>
      <c r="BS125" s="1072"/>
      <c r="BT125" s="1072"/>
      <c r="BU125" s="1072"/>
      <c r="BV125" s="1072"/>
      <c r="BW125" s="1072"/>
      <c r="BX125" s="1072"/>
      <c r="BY125" s="1072"/>
      <c r="BZ125" s="1072"/>
      <c r="CA125" s="1072"/>
      <c r="CB125" s="1072"/>
      <c r="CC125" s="1072"/>
      <c r="CD125" s="1072"/>
      <c r="CE125" s="1072"/>
      <c r="CF125" s="1072"/>
      <c r="CG125" s="1072"/>
      <c r="CH125" s="1072"/>
      <c r="CI125" s="1072"/>
      <c r="CJ125" s="1072"/>
      <c r="CK125" s="1072"/>
      <c r="CL125" s="1072"/>
      <c r="CM125" s="1072"/>
      <c r="CN125" s="1072"/>
      <c r="CO125" s="1072"/>
      <c r="CP125" s="1072"/>
      <c r="CQ125" s="1072"/>
      <c r="CR125" s="1072"/>
      <c r="CS125" s="1072"/>
      <c r="CT125" s="1072"/>
      <c r="CU125" s="1072"/>
      <c r="CV125" s="1072"/>
    </row>
    <row r="126" spans="1:100" s="188" customFormat="1" ht="15" outlineLevel="2" x14ac:dyDescent="0.2">
      <c r="A126" s="141"/>
      <c r="B126" s="1146"/>
      <c r="C126"/>
      <c r="D126"/>
      <c r="E126" s="1148" t="s">
        <v>1349</v>
      </c>
      <c r="F126" s="1148">
        <v>0</v>
      </c>
      <c r="G126" s="1148" t="s">
        <v>5</v>
      </c>
      <c r="H126" s="1148">
        <v>1</v>
      </c>
      <c r="I126" s="1072"/>
      <c r="J126" s="1072"/>
      <c r="K126" s="1072"/>
      <c r="L126" s="1072"/>
      <c r="M126" s="1072"/>
      <c r="N126" s="1072"/>
      <c r="O126" s="1072"/>
      <c r="P126" s="1072"/>
      <c r="Q126" s="1072"/>
      <c r="R126" s="1072"/>
      <c r="S126" s="1072"/>
      <c r="T126" s="1072"/>
      <c r="U126" s="1072"/>
      <c r="V126" s="1072"/>
      <c r="W126" s="1072"/>
      <c r="X126" s="1072"/>
      <c r="Y126" s="1072"/>
      <c r="Z126" s="1072"/>
      <c r="AA126" s="1072"/>
      <c r="AB126" s="1072"/>
      <c r="AC126" s="1072"/>
      <c r="AD126" s="1072"/>
      <c r="AE126" s="1072"/>
      <c r="AF126" s="1072"/>
      <c r="AG126" s="1072"/>
      <c r="AH126" s="1072"/>
      <c r="AI126" s="1072"/>
      <c r="AJ126" s="1072"/>
      <c r="AK126" s="1072"/>
      <c r="AL126" s="1072"/>
      <c r="AM126" s="1072"/>
      <c r="AN126" s="1072"/>
      <c r="AO126" s="1072"/>
      <c r="AP126" s="1072"/>
      <c r="AQ126" s="1072"/>
      <c r="AR126" s="1072"/>
      <c r="AS126" s="1072"/>
      <c r="AT126" s="1072"/>
      <c r="AU126" s="1072"/>
      <c r="AV126" s="1072"/>
      <c r="AW126" s="1072"/>
      <c r="AX126" s="1072"/>
      <c r="AY126" s="1072"/>
      <c r="AZ126" s="1072"/>
      <c r="BA126" s="1072"/>
      <c r="BB126" s="1072"/>
      <c r="BC126" s="1072"/>
      <c r="BD126" s="1072"/>
      <c r="BE126" s="1072"/>
      <c r="BF126" s="1072"/>
      <c r="BG126" s="1072"/>
      <c r="BH126" s="1072"/>
      <c r="BI126" s="1072"/>
      <c r="BJ126" s="1072"/>
      <c r="BK126" s="1072"/>
      <c r="BL126" s="1072"/>
      <c r="BM126" s="1072"/>
      <c r="BN126" s="1072"/>
      <c r="BO126" s="1072"/>
      <c r="BP126" s="1072"/>
      <c r="BQ126" s="1072"/>
      <c r="BR126" s="1072"/>
      <c r="BS126" s="1072"/>
      <c r="BT126" s="1072"/>
      <c r="BU126" s="1072"/>
      <c r="BV126" s="1072"/>
      <c r="BW126" s="1072"/>
      <c r="BX126" s="1072"/>
      <c r="BY126" s="1072"/>
      <c r="BZ126" s="1072"/>
      <c r="CA126" s="1072"/>
      <c r="CB126" s="1072"/>
      <c r="CC126" s="1072"/>
      <c r="CD126" s="1072"/>
      <c r="CE126" s="1072"/>
      <c r="CF126" s="1072"/>
      <c r="CG126" s="1072"/>
      <c r="CH126" s="1072"/>
      <c r="CI126" s="1072"/>
      <c r="CJ126" s="1072"/>
      <c r="CK126" s="1072"/>
      <c r="CL126" s="1072"/>
      <c r="CM126" s="1072"/>
      <c r="CN126" s="1072"/>
      <c r="CO126" s="1072"/>
      <c r="CP126" s="1072"/>
      <c r="CQ126" s="1072"/>
      <c r="CR126" s="1072"/>
      <c r="CS126" s="1072"/>
      <c r="CT126" s="1072"/>
      <c r="CU126" s="1072"/>
      <c r="CV126" s="1072"/>
    </row>
    <row r="127" spans="1:100" s="188" customFormat="1" ht="15" outlineLevel="2" x14ac:dyDescent="0.2">
      <c r="A127" s="141"/>
      <c r="B127" s="1146"/>
      <c r="C127"/>
      <c r="D127"/>
      <c r="E127" s="32" t="str">
        <f t="shared" ref="E127:AJ127" si="84" xml:space="preserve"> E$120</f>
        <v>Operating cost component of tariff discount factor</v>
      </c>
      <c r="F127" s="32">
        <f t="shared" si="84"/>
        <v>0</v>
      </c>
      <c r="G127" s="32" t="str">
        <f t="shared" si="84"/>
        <v>factor</v>
      </c>
      <c r="H127" s="32">
        <f t="shared" si="84"/>
        <v>0</v>
      </c>
      <c r="I127" s="32">
        <f t="shared" si="84"/>
        <v>0</v>
      </c>
      <c r="J127" s="32">
        <f t="shared" si="84"/>
        <v>0</v>
      </c>
      <c r="K127" s="32">
        <f t="shared" si="84"/>
        <v>0</v>
      </c>
      <c r="L127" s="32">
        <f t="shared" si="84"/>
        <v>0</v>
      </c>
      <c r="M127" s="32">
        <f t="shared" si="84"/>
        <v>0</v>
      </c>
      <c r="N127" s="32">
        <f t="shared" si="84"/>
        <v>0</v>
      </c>
      <c r="O127" s="32">
        <f t="shared" si="84"/>
        <v>1</v>
      </c>
      <c r="P127" s="32">
        <f t="shared" si="84"/>
        <v>0.90909090909090906</v>
      </c>
      <c r="Q127" s="32">
        <f t="shared" si="84"/>
        <v>0.82644628099173545</v>
      </c>
      <c r="R127" s="32">
        <f t="shared" si="84"/>
        <v>0.75131480090157765</v>
      </c>
      <c r="S127" s="32">
        <f t="shared" si="84"/>
        <v>0.68301345536507052</v>
      </c>
      <c r="T127" s="32">
        <f t="shared" si="84"/>
        <v>0.62092132305915493</v>
      </c>
      <c r="U127" s="32">
        <f t="shared" si="84"/>
        <v>0.56447393005377711</v>
      </c>
      <c r="V127" s="32">
        <f t="shared" si="84"/>
        <v>0.51315811823070645</v>
      </c>
      <c r="W127" s="32">
        <f t="shared" si="84"/>
        <v>0.46650738020973309</v>
      </c>
      <c r="X127" s="32">
        <f t="shared" si="84"/>
        <v>0.42409761837248461</v>
      </c>
      <c r="Y127" s="32">
        <f t="shared" si="84"/>
        <v>0.38554328942953142</v>
      </c>
      <c r="Z127" s="32">
        <f t="shared" si="84"/>
        <v>0.35049389948139215</v>
      </c>
      <c r="AA127" s="32">
        <f t="shared" si="84"/>
        <v>0.31863081771035645</v>
      </c>
      <c r="AB127" s="32">
        <f t="shared" si="84"/>
        <v>0.28966437973668768</v>
      </c>
      <c r="AC127" s="32">
        <f t="shared" si="84"/>
        <v>0.26333125430607968</v>
      </c>
      <c r="AD127" s="32">
        <f t="shared" si="84"/>
        <v>0.23939204936916333</v>
      </c>
      <c r="AE127" s="32">
        <f t="shared" si="84"/>
        <v>0.21762913579014848</v>
      </c>
      <c r="AF127" s="32">
        <f t="shared" si="84"/>
        <v>0.19784466890013497</v>
      </c>
      <c r="AG127" s="32">
        <f t="shared" si="84"/>
        <v>0.17985878990921358</v>
      </c>
      <c r="AH127" s="32">
        <f t="shared" si="84"/>
        <v>0.16350799082655779</v>
      </c>
      <c r="AI127" s="32">
        <f t="shared" si="84"/>
        <v>0.14864362802414344</v>
      </c>
      <c r="AJ127" s="32">
        <f t="shared" si="84"/>
        <v>0.13513057093103947</v>
      </c>
      <c r="AK127" s="32">
        <f t="shared" ref="AK127:BP127" si="85" xml:space="preserve"> AK$120</f>
        <v>0.12284597357367223</v>
      </c>
      <c r="AL127" s="32">
        <f t="shared" si="85"/>
        <v>0.11167815779424747</v>
      </c>
      <c r="AM127" s="32">
        <f t="shared" si="85"/>
        <v>0.10152559799477043</v>
      </c>
      <c r="AN127" s="32">
        <f t="shared" si="85"/>
        <v>9.229599817706402E-2</v>
      </c>
      <c r="AO127" s="32">
        <f t="shared" si="85"/>
        <v>8.3905452888240015E-2</v>
      </c>
      <c r="AP127" s="32">
        <f t="shared" si="85"/>
        <v>7.6277684443854549E-2</v>
      </c>
      <c r="AQ127" s="32">
        <f t="shared" si="85"/>
        <v>6.9343349494413217E-2</v>
      </c>
      <c r="AR127" s="32">
        <f t="shared" si="85"/>
        <v>6.3039408631284738E-2</v>
      </c>
      <c r="AS127" s="32">
        <f t="shared" si="85"/>
        <v>5.7308553301167936E-2</v>
      </c>
      <c r="AT127" s="32">
        <f t="shared" si="85"/>
        <v>5.2098684819243575E-2</v>
      </c>
      <c r="AU127" s="32">
        <f t="shared" si="85"/>
        <v>4.7362440744766886E-2</v>
      </c>
      <c r="AV127" s="32">
        <f t="shared" si="85"/>
        <v>4.3056764313424437E-2</v>
      </c>
      <c r="AW127" s="32">
        <f t="shared" si="85"/>
        <v>3.9142513012204033E-2</v>
      </c>
      <c r="AX127" s="32">
        <f t="shared" si="85"/>
        <v>3.5584102738367297E-2</v>
      </c>
      <c r="AY127" s="32">
        <f t="shared" si="85"/>
        <v>3.2349184307606631E-2</v>
      </c>
      <c r="AZ127" s="32">
        <f t="shared" si="85"/>
        <v>2.9408349370551479E-2</v>
      </c>
      <c r="BA127" s="32">
        <f t="shared" si="85"/>
        <v>2.6734863064137707E-2</v>
      </c>
      <c r="BB127" s="32">
        <f t="shared" si="85"/>
        <v>2.4304420967397912E-2</v>
      </c>
      <c r="BC127" s="32">
        <f t="shared" si="85"/>
        <v>0</v>
      </c>
      <c r="BD127" s="32">
        <f t="shared" si="85"/>
        <v>0</v>
      </c>
      <c r="BE127" s="32">
        <f t="shared" si="85"/>
        <v>0</v>
      </c>
      <c r="BF127" s="32">
        <f t="shared" si="85"/>
        <v>0</v>
      </c>
      <c r="BG127" s="32">
        <f t="shared" si="85"/>
        <v>0</v>
      </c>
      <c r="BH127" s="32">
        <f t="shared" si="85"/>
        <v>0</v>
      </c>
      <c r="BI127" s="32">
        <f t="shared" si="85"/>
        <v>0</v>
      </c>
      <c r="BJ127" s="32">
        <f t="shared" si="85"/>
        <v>0</v>
      </c>
      <c r="BK127" s="32">
        <f t="shared" si="85"/>
        <v>0</v>
      </c>
      <c r="BL127" s="32">
        <f t="shared" si="85"/>
        <v>0</v>
      </c>
      <c r="BM127" s="32">
        <f t="shared" si="85"/>
        <v>0</v>
      </c>
      <c r="BN127" s="32">
        <f t="shared" si="85"/>
        <v>0</v>
      </c>
      <c r="BO127" s="32">
        <f t="shared" si="85"/>
        <v>0</v>
      </c>
      <c r="BP127" s="32">
        <f t="shared" si="85"/>
        <v>0</v>
      </c>
      <c r="BQ127" s="32">
        <f t="shared" ref="BQ127:CV127" si="86" xml:space="preserve"> BQ$120</f>
        <v>0</v>
      </c>
      <c r="BR127" s="32">
        <f t="shared" si="86"/>
        <v>0</v>
      </c>
      <c r="BS127" s="32">
        <f t="shared" si="86"/>
        <v>0</v>
      </c>
      <c r="BT127" s="32">
        <f t="shared" si="86"/>
        <v>0</v>
      </c>
      <c r="BU127" s="32">
        <f t="shared" si="86"/>
        <v>0</v>
      </c>
      <c r="BV127" s="32">
        <f t="shared" si="86"/>
        <v>0</v>
      </c>
      <c r="BW127" s="32">
        <f t="shared" si="86"/>
        <v>0</v>
      </c>
      <c r="BX127" s="32">
        <f t="shared" si="86"/>
        <v>0</v>
      </c>
      <c r="BY127" s="32">
        <f t="shared" si="86"/>
        <v>0</v>
      </c>
      <c r="BZ127" s="32">
        <f t="shared" si="86"/>
        <v>0</v>
      </c>
      <c r="CA127" s="32">
        <f t="shared" si="86"/>
        <v>0</v>
      </c>
      <c r="CB127" s="32">
        <f t="shared" si="86"/>
        <v>0</v>
      </c>
      <c r="CC127" s="32">
        <f t="shared" si="86"/>
        <v>0</v>
      </c>
      <c r="CD127" s="32">
        <f t="shared" si="86"/>
        <v>0</v>
      </c>
      <c r="CE127" s="32">
        <f t="shared" si="86"/>
        <v>0</v>
      </c>
      <c r="CF127" s="32">
        <f t="shared" si="86"/>
        <v>0</v>
      </c>
      <c r="CG127" s="32">
        <f t="shared" si="86"/>
        <v>0</v>
      </c>
      <c r="CH127" s="32">
        <f t="shared" si="86"/>
        <v>0</v>
      </c>
      <c r="CI127" s="32">
        <f t="shared" si="86"/>
        <v>0</v>
      </c>
      <c r="CJ127" s="32">
        <f t="shared" si="86"/>
        <v>0</v>
      </c>
      <c r="CK127" s="32">
        <f t="shared" si="86"/>
        <v>0</v>
      </c>
      <c r="CL127" s="32">
        <f t="shared" si="86"/>
        <v>0</v>
      </c>
      <c r="CM127" s="32">
        <f t="shared" si="86"/>
        <v>0</v>
      </c>
      <c r="CN127" s="32">
        <f t="shared" si="86"/>
        <v>0</v>
      </c>
      <c r="CO127" s="32">
        <f t="shared" si="86"/>
        <v>0</v>
      </c>
      <c r="CP127" s="32">
        <f t="shared" si="86"/>
        <v>0</v>
      </c>
      <c r="CQ127" s="32">
        <f t="shared" si="86"/>
        <v>0</v>
      </c>
      <c r="CR127" s="32">
        <f t="shared" si="86"/>
        <v>0</v>
      </c>
      <c r="CS127" s="32">
        <f t="shared" si="86"/>
        <v>0</v>
      </c>
      <c r="CT127" s="32">
        <f t="shared" si="86"/>
        <v>0</v>
      </c>
      <c r="CU127" s="32">
        <f t="shared" si="86"/>
        <v>0</v>
      </c>
      <c r="CV127" s="32">
        <f t="shared" si="86"/>
        <v>0</v>
      </c>
    </row>
    <row r="128" spans="1:100" s="188" customFormat="1" ht="15" outlineLevel="2" x14ac:dyDescent="0.2">
      <c r="A128" s="141"/>
      <c r="B128" s="1146"/>
      <c r="C128"/>
      <c r="D128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 s="32"/>
      <c r="CP128" s="32"/>
      <c r="CQ128" s="32"/>
      <c r="CR128" s="32"/>
      <c r="CS128" s="32"/>
      <c r="CT128" s="32"/>
      <c r="CU128" s="32"/>
      <c r="CV128" s="32"/>
    </row>
    <row r="129" spans="1:100" s="188" customFormat="1" ht="15" outlineLevel="2" x14ac:dyDescent="0.2">
      <c r="A129" s="141"/>
      <c r="B129" s="1146"/>
      <c r="C129"/>
      <c r="D129"/>
      <c r="E129" s="1155" t="str">
        <f xml:space="preserve"> InpC!E$417</f>
        <v>US$c / US$</v>
      </c>
      <c r="F129" s="1155">
        <f xml:space="preserve"> InpC!F$417</f>
        <v>100</v>
      </c>
      <c r="G129" s="1155" t="str">
        <f xml:space="preserve"> InpC!G$417</f>
        <v>US$c / US$</v>
      </c>
      <c r="H129"/>
      <c r="I129" s="1072"/>
      <c r="J129" s="1072"/>
      <c r="K129" s="1072"/>
      <c r="L129" s="1072"/>
      <c r="M129" s="1072"/>
      <c r="N129" s="1072"/>
      <c r="O129" s="1072"/>
      <c r="P129" s="1072"/>
      <c r="Q129" s="1072"/>
      <c r="R129" s="1072"/>
      <c r="S129" s="1072"/>
      <c r="T129" s="1072"/>
      <c r="U129" s="1072"/>
      <c r="V129" s="1072"/>
      <c r="W129" s="1072"/>
      <c r="X129" s="1072"/>
      <c r="Y129" s="1072"/>
      <c r="Z129" s="1072"/>
      <c r="AA129" s="1072"/>
      <c r="AB129" s="1072"/>
      <c r="AC129" s="1072"/>
      <c r="AD129" s="1072"/>
      <c r="AE129" s="1072"/>
      <c r="AF129" s="1072"/>
      <c r="AG129" s="1072"/>
      <c r="AH129" s="1072"/>
      <c r="AI129" s="1072"/>
      <c r="AJ129" s="1072"/>
      <c r="AK129" s="1072"/>
      <c r="AL129" s="1072"/>
      <c r="AM129" s="1072"/>
      <c r="AN129" s="1072"/>
      <c r="AO129" s="1072"/>
      <c r="AP129" s="1072"/>
      <c r="AQ129" s="1072"/>
      <c r="AR129" s="1072"/>
      <c r="AS129" s="1072"/>
      <c r="AT129" s="1072"/>
      <c r="AU129" s="1072"/>
      <c r="AV129" s="1072"/>
      <c r="AW129" s="1072"/>
      <c r="AX129" s="1072"/>
      <c r="AY129" s="1072"/>
      <c r="AZ129" s="1072"/>
      <c r="BA129" s="1072"/>
      <c r="BB129" s="1072"/>
      <c r="BC129" s="1072"/>
      <c r="BD129" s="1072"/>
      <c r="BE129" s="1072"/>
      <c r="BF129" s="1072"/>
      <c r="BG129" s="1072"/>
      <c r="BH129" s="1072"/>
      <c r="BI129" s="1072"/>
      <c r="BJ129" s="1072"/>
      <c r="BK129" s="1072"/>
      <c r="BL129" s="1072"/>
      <c r="BM129" s="1072"/>
      <c r="BN129" s="1072"/>
      <c r="BO129" s="1072"/>
      <c r="BP129" s="1072"/>
      <c r="BQ129" s="1072"/>
      <c r="BR129" s="1072"/>
      <c r="BS129" s="1072"/>
      <c r="BT129" s="1072"/>
      <c r="BU129" s="1072"/>
      <c r="BV129" s="1072"/>
      <c r="BW129" s="1072"/>
      <c r="BX129" s="1072"/>
      <c r="BY129" s="1072"/>
      <c r="BZ129" s="1072"/>
      <c r="CA129" s="1072"/>
      <c r="CB129" s="1072"/>
      <c r="CC129" s="1072"/>
      <c r="CD129" s="1072"/>
      <c r="CE129" s="1072"/>
      <c r="CF129" s="1072"/>
      <c r="CG129" s="1072"/>
      <c r="CH129" s="1072"/>
      <c r="CI129" s="1072"/>
      <c r="CJ129" s="1072"/>
      <c r="CK129" s="1072"/>
      <c r="CL129" s="1072"/>
      <c r="CM129" s="1072"/>
      <c r="CN129" s="1072"/>
      <c r="CO129" s="1072"/>
      <c r="CP129" s="1072"/>
      <c r="CQ129" s="1072"/>
      <c r="CR129" s="1072"/>
      <c r="CS129" s="1072"/>
      <c r="CT129" s="1072"/>
      <c r="CU129" s="1072"/>
      <c r="CV129" s="1072"/>
    </row>
    <row r="130" spans="1:100" s="188" customFormat="1" ht="15" outlineLevel="2" x14ac:dyDescent="0.2">
      <c r="A130" s="141"/>
      <c r="B130" s="1146"/>
      <c r="C130"/>
      <c r="D130"/>
      <c r="E130" s="1155" t="str">
        <f xml:space="preserve"> InpC!E$419</f>
        <v>Units in a thousand</v>
      </c>
      <c r="F130" s="1155">
        <f xml:space="preserve"> InpC!F$419</f>
        <v>1000</v>
      </c>
      <c r="G130" s="1155" t="str">
        <f xml:space="preserve"> InpC!G$419</f>
        <v>units</v>
      </c>
      <c r="H130"/>
      <c r="I130" s="1072"/>
      <c r="J130" s="1072"/>
      <c r="K130" s="1072"/>
      <c r="L130" s="1072"/>
      <c r="M130" s="1072"/>
      <c r="N130" s="1072"/>
      <c r="O130" s="1072"/>
      <c r="P130" s="1072"/>
      <c r="Q130" s="1072"/>
      <c r="R130" s="1072"/>
      <c r="S130" s="1072"/>
      <c r="T130" s="1072"/>
      <c r="U130" s="1072"/>
      <c r="V130" s="1072"/>
      <c r="W130" s="1072"/>
      <c r="X130" s="1072"/>
      <c r="Y130" s="1072"/>
      <c r="Z130" s="1072"/>
      <c r="AA130" s="1072"/>
      <c r="AB130" s="1072"/>
      <c r="AC130" s="1072"/>
      <c r="AD130" s="1072"/>
      <c r="AE130" s="1072"/>
      <c r="AF130" s="1072"/>
      <c r="AG130" s="1072"/>
      <c r="AH130" s="1072"/>
      <c r="AI130" s="1072"/>
      <c r="AJ130" s="1072"/>
      <c r="AK130" s="1072"/>
      <c r="AL130" s="1072"/>
      <c r="AM130" s="1072"/>
      <c r="AN130" s="1072"/>
      <c r="AO130" s="1072"/>
      <c r="AP130" s="1072"/>
      <c r="AQ130" s="1072"/>
      <c r="AR130" s="1072"/>
      <c r="AS130" s="1072"/>
      <c r="AT130" s="1072"/>
      <c r="AU130" s="1072"/>
      <c r="AV130" s="1072"/>
      <c r="AW130" s="1072"/>
      <c r="AX130" s="1072"/>
      <c r="AY130" s="1072"/>
      <c r="AZ130" s="1072"/>
      <c r="BA130" s="1072"/>
      <c r="BB130" s="1072"/>
      <c r="BC130" s="1072"/>
      <c r="BD130" s="1072"/>
      <c r="BE130" s="1072"/>
      <c r="BF130" s="1072"/>
      <c r="BG130" s="1072"/>
      <c r="BH130" s="1072"/>
      <c r="BI130" s="1072"/>
      <c r="BJ130" s="1072"/>
      <c r="BK130" s="1072"/>
      <c r="BL130" s="1072"/>
      <c r="BM130" s="1072"/>
      <c r="BN130" s="1072"/>
      <c r="BO130" s="1072"/>
      <c r="BP130" s="1072"/>
      <c r="BQ130" s="1072"/>
      <c r="BR130" s="1072"/>
      <c r="BS130" s="1072"/>
      <c r="BT130" s="1072"/>
      <c r="BU130" s="1072"/>
      <c r="BV130" s="1072"/>
      <c r="BW130" s="1072"/>
      <c r="BX130" s="1072"/>
      <c r="BY130" s="1072"/>
      <c r="BZ130" s="1072"/>
      <c r="CA130" s="1072"/>
      <c r="CB130" s="1072"/>
      <c r="CC130" s="1072"/>
      <c r="CD130" s="1072"/>
      <c r="CE130" s="1072"/>
      <c r="CF130" s="1072"/>
      <c r="CG130" s="1072"/>
      <c r="CH130" s="1072"/>
      <c r="CI130" s="1072"/>
      <c r="CJ130" s="1072"/>
      <c r="CK130" s="1072"/>
      <c r="CL130" s="1072"/>
      <c r="CM130" s="1072"/>
      <c r="CN130" s="1072"/>
      <c r="CO130" s="1072"/>
      <c r="CP130" s="1072"/>
      <c r="CQ130" s="1072"/>
      <c r="CR130" s="1072"/>
      <c r="CS130" s="1072"/>
      <c r="CT130" s="1072"/>
      <c r="CU130" s="1072"/>
      <c r="CV130" s="1072"/>
    </row>
    <row r="131" spans="1:100" s="188" customFormat="1" ht="15" outlineLevel="2" x14ac:dyDescent="0.2">
      <c r="A131" s="141"/>
      <c r="B131" s="1146"/>
      <c r="C131"/>
      <c r="D131"/>
      <c r="E131" s="1155" t="str">
        <f xml:space="preserve"> InpC!E$418</f>
        <v>GWh to KWh conversion</v>
      </c>
      <c r="F131" s="1155">
        <f xml:space="preserve"> InpC!F$418</f>
        <v>1000000</v>
      </c>
      <c r="G131" s="1155" t="str">
        <f xml:space="preserve"> InpC!G$418</f>
        <v>KWh / GWh</v>
      </c>
      <c r="H131"/>
      <c r="I131" s="1072"/>
      <c r="J131" s="1072"/>
      <c r="K131" s="1072"/>
      <c r="L131" s="1072"/>
      <c r="M131" s="1072"/>
      <c r="N131" s="1072"/>
      <c r="O131" s="1072"/>
      <c r="P131" s="1072"/>
      <c r="Q131" s="1072"/>
      <c r="R131" s="1072"/>
      <c r="S131" s="1072"/>
      <c r="T131" s="1072"/>
      <c r="U131" s="1072"/>
      <c r="V131" s="1072"/>
      <c r="W131" s="1072"/>
      <c r="X131" s="1072"/>
      <c r="Y131" s="1072"/>
      <c r="Z131" s="1072"/>
      <c r="AA131" s="1072"/>
      <c r="AB131" s="1072"/>
      <c r="AC131" s="1072"/>
      <c r="AD131" s="1072"/>
      <c r="AE131" s="1072"/>
      <c r="AF131" s="1072"/>
      <c r="AG131" s="1072"/>
      <c r="AH131" s="1072"/>
      <c r="AI131" s="1072"/>
      <c r="AJ131" s="1072"/>
      <c r="AK131" s="1072"/>
      <c r="AL131" s="1072"/>
      <c r="AM131" s="1072"/>
      <c r="AN131" s="1072"/>
      <c r="AO131" s="1072"/>
      <c r="AP131" s="1072"/>
      <c r="AQ131" s="1072"/>
      <c r="AR131" s="1072"/>
      <c r="AS131" s="1072"/>
      <c r="AT131" s="1072"/>
      <c r="AU131" s="1072"/>
      <c r="AV131" s="1072"/>
      <c r="AW131" s="1072"/>
      <c r="AX131" s="1072"/>
      <c r="AY131" s="1072"/>
      <c r="AZ131" s="1072"/>
      <c r="BA131" s="1072"/>
      <c r="BB131" s="1072"/>
      <c r="BC131" s="1072"/>
      <c r="BD131" s="1072"/>
      <c r="BE131" s="1072"/>
      <c r="BF131" s="1072"/>
      <c r="BG131" s="1072"/>
      <c r="BH131" s="1072"/>
      <c r="BI131" s="1072"/>
      <c r="BJ131" s="1072"/>
      <c r="BK131" s="1072"/>
      <c r="BL131" s="1072"/>
      <c r="BM131" s="1072"/>
      <c r="BN131" s="1072"/>
      <c r="BO131" s="1072"/>
      <c r="BP131" s="1072"/>
      <c r="BQ131" s="1072"/>
      <c r="BR131" s="1072"/>
      <c r="BS131" s="1072"/>
      <c r="BT131" s="1072"/>
      <c r="BU131" s="1072"/>
      <c r="BV131" s="1072"/>
      <c r="BW131" s="1072"/>
      <c r="BX131" s="1072"/>
      <c r="BY131" s="1072"/>
      <c r="BZ131" s="1072"/>
      <c r="CA131" s="1072"/>
      <c r="CB131" s="1072"/>
      <c r="CC131" s="1072"/>
      <c r="CD131" s="1072"/>
      <c r="CE131" s="1072"/>
      <c r="CF131" s="1072"/>
      <c r="CG131" s="1072"/>
      <c r="CH131" s="1072"/>
      <c r="CI131" s="1072"/>
      <c r="CJ131" s="1072"/>
      <c r="CK131" s="1072"/>
      <c r="CL131" s="1072"/>
      <c r="CM131" s="1072"/>
      <c r="CN131" s="1072"/>
      <c r="CO131" s="1072"/>
      <c r="CP131" s="1072"/>
      <c r="CQ131" s="1072"/>
      <c r="CR131" s="1072"/>
      <c r="CS131" s="1072"/>
      <c r="CT131" s="1072"/>
      <c r="CU131" s="1072"/>
      <c r="CV131" s="1072"/>
    </row>
    <row r="132" spans="1:100" s="188" customFormat="1" ht="15" outlineLevel="2" x14ac:dyDescent="0.2">
      <c r="A132" s="141"/>
      <c r="B132" s="1146"/>
      <c r="C132"/>
      <c r="D132"/>
      <c r="E132" t="s">
        <v>1332</v>
      </c>
      <c r="F132" s="1157">
        <v>0.34567875760153699</v>
      </c>
      <c r="G132" s="602" t="str">
        <f t="shared" ref="G132:I132" si="87" xml:space="preserve"> G$61</f>
        <v>WID Cents / kWh</v>
      </c>
      <c r="H132" s="602">
        <f t="shared" si="87"/>
        <v>0</v>
      </c>
      <c r="I132" s="602">
        <f t="shared" si="87"/>
        <v>0</v>
      </c>
      <c r="J132" s="602"/>
      <c r="K132" s="602"/>
      <c r="L132" s="602"/>
      <c r="M132" s="602"/>
      <c r="N132" s="602"/>
      <c r="O132" s="602"/>
      <c r="P132" s="602"/>
      <c r="Q132" s="602"/>
      <c r="R132" s="602"/>
      <c r="S132" s="602"/>
      <c r="T132" s="602"/>
      <c r="U132" s="602"/>
      <c r="V132" s="602"/>
      <c r="W132" s="602"/>
      <c r="X132" s="602"/>
      <c r="Y132" s="602"/>
      <c r="Z132" s="602"/>
      <c r="AA132" s="602"/>
      <c r="AB132" s="602"/>
      <c r="AC132" s="602"/>
      <c r="AD132" s="602"/>
      <c r="AE132" s="602"/>
      <c r="AF132" s="602"/>
      <c r="AG132" s="602"/>
      <c r="AH132" s="602"/>
      <c r="AI132" s="602"/>
      <c r="AJ132" s="602"/>
      <c r="AK132" s="602"/>
      <c r="AL132" s="602"/>
      <c r="AM132" s="602"/>
      <c r="AN132" s="602"/>
      <c r="AO132" s="602"/>
      <c r="AP132" s="602"/>
      <c r="AQ132" s="602"/>
      <c r="AR132" s="602"/>
      <c r="AS132" s="602"/>
      <c r="AT132" s="602"/>
      <c r="AU132" s="602"/>
      <c r="AV132" s="602"/>
      <c r="AW132" s="602"/>
      <c r="AX132" s="602"/>
      <c r="AY132" s="602"/>
      <c r="AZ132" s="602"/>
      <c r="BA132" s="602"/>
      <c r="BB132" s="602"/>
      <c r="BC132" s="602"/>
      <c r="BD132" s="602"/>
      <c r="BE132" s="602"/>
      <c r="BF132" s="602"/>
      <c r="BG132" s="602"/>
      <c r="BH132" s="602"/>
      <c r="BI132" s="602"/>
      <c r="BJ132" s="602"/>
      <c r="BK132" s="602"/>
      <c r="BL132" s="602"/>
      <c r="BM132" s="602"/>
      <c r="BN132" s="602"/>
      <c r="BO132" s="602"/>
      <c r="BP132" s="602"/>
      <c r="BQ132" s="602"/>
      <c r="BR132" s="602"/>
      <c r="BS132" s="602"/>
      <c r="BT132" s="602"/>
      <c r="BU132" s="602"/>
      <c r="BV132" s="602"/>
      <c r="BW132" s="602"/>
      <c r="BX132" s="602"/>
      <c r="BY132" s="602"/>
      <c r="BZ132" s="602"/>
      <c r="CA132" s="602"/>
      <c r="CB132" s="602"/>
      <c r="CC132" s="602"/>
      <c r="CD132" s="602"/>
      <c r="CE132" s="602"/>
      <c r="CF132" s="602"/>
      <c r="CG132" s="602"/>
      <c r="CH132" s="602"/>
      <c r="CI132" s="602"/>
      <c r="CJ132" s="602"/>
      <c r="CK132" s="602"/>
      <c r="CL132" s="602"/>
      <c r="CM132" s="602"/>
      <c r="CN132" s="602"/>
      <c r="CO132" s="602"/>
      <c r="CP132" s="602"/>
      <c r="CQ132" s="602"/>
      <c r="CR132" s="602"/>
      <c r="CS132" s="602"/>
      <c r="CT132" s="602"/>
      <c r="CU132" s="602"/>
      <c r="CV132" s="602"/>
    </row>
    <row r="133" spans="1:100" s="188" customFormat="1" ht="15" outlineLevel="2" x14ac:dyDescent="0.2">
      <c r="A133" s="141"/>
      <c r="B133" s="1146"/>
      <c r="C133"/>
      <c r="D133"/>
      <c r="E133" s="32" t="str">
        <f t="shared" ref="E133:AJ133" si="88" xml:space="preserve"> E$34</f>
        <v>Electricity generation (ESn)</v>
      </c>
      <c r="F133" s="32">
        <f t="shared" si="88"/>
        <v>0</v>
      </c>
      <c r="G133" s="32" t="str">
        <f t="shared" si="88"/>
        <v>GWh</v>
      </c>
      <c r="H133" s="32">
        <f xml:space="preserve"> SUM(J133:CV133)</f>
        <v>20217.473920645203</v>
      </c>
      <c r="I133" s="32">
        <f t="shared" si="88"/>
        <v>0</v>
      </c>
      <c r="J133" s="32">
        <f t="shared" si="88"/>
        <v>0</v>
      </c>
      <c r="K133" s="32">
        <f t="shared" si="88"/>
        <v>0</v>
      </c>
      <c r="L133" s="32">
        <f t="shared" si="88"/>
        <v>0</v>
      </c>
      <c r="M133" s="32">
        <f t="shared" si="88"/>
        <v>0</v>
      </c>
      <c r="N133" s="32">
        <f t="shared" si="88"/>
        <v>0</v>
      </c>
      <c r="O133" s="32">
        <f t="shared" si="88"/>
        <v>515.08799999999997</v>
      </c>
      <c r="P133" s="32">
        <f t="shared" si="88"/>
        <v>515.08799999999997</v>
      </c>
      <c r="Q133" s="32">
        <f t="shared" si="88"/>
        <v>514.05988023952091</v>
      </c>
      <c r="R133" s="32">
        <f t="shared" si="88"/>
        <v>514.05988023952091</v>
      </c>
      <c r="S133" s="32">
        <f t="shared" si="88"/>
        <v>513.0338126142924</v>
      </c>
      <c r="T133" s="32">
        <f t="shared" si="88"/>
        <v>513.0338126142924</v>
      </c>
      <c r="U133" s="32">
        <f t="shared" si="88"/>
        <v>512.00979302823589</v>
      </c>
      <c r="V133" s="32">
        <f t="shared" si="88"/>
        <v>512.00979302823589</v>
      </c>
      <c r="W133" s="32">
        <f t="shared" si="88"/>
        <v>510.98781739344901</v>
      </c>
      <c r="X133" s="32">
        <f t="shared" si="88"/>
        <v>510.98781739344901</v>
      </c>
      <c r="Y133" s="32">
        <f t="shared" si="88"/>
        <v>509.96788163018857</v>
      </c>
      <c r="Z133" s="32">
        <f t="shared" si="88"/>
        <v>509.96788163018857</v>
      </c>
      <c r="AA133" s="32">
        <f t="shared" si="88"/>
        <v>508.94998166685502</v>
      </c>
      <c r="AB133" s="32">
        <f t="shared" si="88"/>
        <v>508.94998166685502</v>
      </c>
      <c r="AC133" s="32">
        <f t="shared" si="88"/>
        <v>507.93411343997508</v>
      </c>
      <c r="AD133" s="32">
        <f t="shared" si="88"/>
        <v>507.93411343997508</v>
      </c>
      <c r="AE133" s="32">
        <f t="shared" si="88"/>
        <v>506.92027289418661</v>
      </c>
      <c r="AF133" s="32">
        <f t="shared" si="88"/>
        <v>506.92027289418661</v>
      </c>
      <c r="AG133" s="32">
        <f t="shared" si="88"/>
        <v>505.90845598222216</v>
      </c>
      <c r="AH133" s="32">
        <f t="shared" si="88"/>
        <v>505.90845598222216</v>
      </c>
      <c r="AI133" s="32">
        <f t="shared" si="88"/>
        <v>504.89865866489248</v>
      </c>
      <c r="AJ133" s="32">
        <f t="shared" si="88"/>
        <v>504.89865866489248</v>
      </c>
      <c r="AK133" s="32">
        <f t="shared" ref="AK133:BP133" si="89" xml:space="preserve"> AK$34</f>
        <v>503.89087691107034</v>
      </c>
      <c r="AL133" s="32">
        <f t="shared" si="89"/>
        <v>503.89087691107034</v>
      </c>
      <c r="AM133" s="32">
        <f t="shared" si="89"/>
        <v>502.88510669767498</v>
      </c>
      <c r="AN133" s="32">
        <f t="shared" si="89"/>
        <v>502.88510669767498</v>
      </c>
      <c r="AO133" s="32">
        <f t="shared" si="89"/>
        <v>501.88134400965561</v>
      </c>
      <c r="AP133" s="32">
        <f t="shared" si="89"/>
        <v>501.88134400965561</v>
      </c>
      <c r="AQ133" s="32">
        <f t="shared" si="89"/>
        <v>500.87958483997585</v>
      </c>
      <c r="AR133" s="32">
        <f t="shared" si="89"/>
        <v>500.87958483997585</v>
      </c>
      <c r="AS133" s="32">
        <f t="shared" si="89"/>
        <v>499.87982518959649</v>
      </c>
      <c r="AT133" s="32">
        <f t="shared" si="89"/>
        <v>499.87982518959649</v>
      </c>
      <c r="AU133" s="32">
        <f t="shared" si="89"/>
        <v>498.88206106746162</v>
      </c>
      <c r="AV133" s="32">
        <f t="shared" si="89"/>
        <v>498.88206106746162</v>
      </c>
      <c r="AW133" s="32">
        <f t="shared" si="89"/>
        <v>497.88628849048064</v>
      </c>
      <c r="AX133" s="32">
        <f t="shared" si="89"/>
        <v>497.88628849048064</v>
      </c>
      <c r="AY133" s="32">
        <f t="shared" si="89"/>
        <v>496.89250348351368</v>
      </c>
      <c r="AZ133" s="32">
        <f t="shared" si="89"/>
        <v>496.89250348351368</v>
      </c>
      <c r="BA133" s="32">
        <f t="shared" si="89"/>
        <v>495.90070207935497</v>
      </c>
      <c r="BB133" s="32">
        <f t="shared" si="89"/>
        <v>495.90070207935497</v>
      </c>
      <c r="BC133" s="32">
        <f t="shared" si="89"/>
        <v>0</v>
      </c>
      <c r="BD133" s="32">
        <f t="shared" si="89"/>
        <v>0</v>
      </c>
      <c r="BE133" s="32">
        <f t="shared" si="89"/>
        <v>0</v>
      </c>
      <c r="BF133" s="32">
        <f t="shared" si="89"/>
        <v>0</v>
      </c>
      <c r="BG133" s="32">
        <f t="shared" si="89"/>
        <v>0</v>
      </c>
      <c r="BH133" s="32">
        <f t="shared" si="89"/>
        <v>0</v>
      </c>
      <c r="BI133" s="32">
        <f t="shared" si="89"/>
        <v>0</v>
      </c>
      <c r="BJ133" s="32">
        <f t="shared" si="89"/>
        <v>0</v>
      </c>
      <c r="BK133" s="32">
        <f t="shared" si="89"/>
        <v>0</v>
      </c>
      <c r="BL133" s="32">
        <f t="shared" si="89"/>
        <v>0</v>
      </c>
      <c r="BM133" s="32">
        <f t="shared" si="89"/>
        <v>0</v>
      </c>
      <c r="BN133" s="32">
        <f t="shared" si="89"/>
        <v>0</v>
      </c>
      <c r="BO133" s="32">
        <f t="shared" si="89"/>
        <v>0</v>
      </c>
      <c r="BP133" s="32">
        <f t="shared" si="89"/>
        <v>0</v>
      </c>
      <c r="BQ133" s="32">
        <f t="shared" ref="BQ133:CV133" si="90" xml:space="preserve"> BQ$34</f>
        <v>0</v>
      </c>
      <c r="BR133" s="32">
        <f t="shared" si="90"/>
        <v>0</v>
      </c>
      <c r="BS133" s="32">
        <f t="shared" si="90"/>
        <v>0</v>
      </c>
      <c r="BT133" s="32">
        <f t="shared" si="90"/>
        <v>0</v>
      </c>
      <c r="BU133" s="32">
        <f t="shared" si="90"/>
        <v>0</v>
      </c>
      <c r="BV133" s="32">
        <f t="shared" si="90"/>
        <v>0</v>
      </c>
      <c r="BW133" s="32">
        <f t="shared" si="90"/>
        <v>0</v>
      </c>
      <c r="BX133" s="32">
        <f t="shared" si="90"/>
        <v>0</v>
      </c>
      <c r="BY133" s="32">
        <f t="shared" si="90"/>
        <v>0</v>
      </c>
      <c r="BZ133" s="32">
        <f t="shared" si="90"/>
        <v>0</v>
      </c>
      <c r="CA133" s="32">
        <f t="shared" si="90"/>
        <v>0</v>
      </c>
      <c r="CB133" s="32">
        <f t="shared" si="90"/>
        <v>0</v>
      </c>
      <c r="CC133" s="32">
        <f t="shared" si="90"/>
        <v>0</v>
      </c>
      <c r="CD133" s="32">
        <f t="shared" si="90"/>
        <v>0</v>
      </c>
      <c r="CE133" s="32">
        <f t="shared" si="90"/>
        <v>0</v>
      </c>
      <c r="CF133" s="32">
        <f t="shared" si="90"/>
        <v>0</v>
      </c>
      <c r="CG133" s="32">
        <f t="shared" si="90"/>
        <v>0</v>
      </c>
      <c r="CH133" s="32">
        <f t="shared" si="90"/>
        <v>0</v>
      </c>
      <c r="CI133" s="32">
        <f t="shared" si="90"/>
        <v>0</v>
      </c>
      <c r="CJ133" s="32">
        <f t="shared" si="90"/>
        <v>0</v>
      </c>
      <c r="CK133" s="32">
        <f t="shared" si="90"/>
        <v>0</v>
      </c>
      <c r="CL133" s="32">
        <f t="shared" si="90"/>
        <v>0</v>
      </c>
      <c r="CM133" s="32">
        <f t="shared" si="90"/>
        <v>0</v>
      </c>
      <c r="CN133" s="32">
        <f t="shared" si="90"/>
        <v>0</v>
      </c>
      <c r="CO133" s="32">
        <f t="shared" si="90"/>
        <v>0</v>
      </c>
      <c r="CP133" s="32">
        <f t="shared" si="90"/>
        <v>0</v>
      </c>
      <c r="CQ133" s="32">
        <f t="shared" si="90"/>
        <v>0</v>
      </c>
      <c r="CR133" s="32">
        <f t="shared" si="90"/>
        <v>0</v>
      </c>
      <c r="CS133" s="32">
        <f t="shared" si="90"/>
        <v>0</v>
      </c>
      <c r="CT133" s="32">
        <f t="shared" si="90"/>
        <v>0</v>
      </c>
      <c r="CU133" s="32">
        <f t="shared" si="90"/>
        <v>0</v>
      </c>
      <c r="CV133" s="32">
        <f t="shared" si="90"/>
        <v>0</v>
      </c>
    </row>
    <row r="134" spans="1:100" s="188" customFormat="1" ht="15" outlineLevel="2" x14ac:dyDescent="0.2">
      <c r="A134" s="141"/>
      <c r="B134" s="1146"/>
      <c r="C134"/>
      <c r="D134"/>
      <c r="E134" s="1156" t="str">
        <f t="shared" ref="E134:AJ134" si="91" xml:space="preserve"> E$69</f>
        <v>[Deemed electricity supplied (DESn)]</v>
      </c>
      <c r="F134" s="1156">
        <f t="shared" si="91"/>
        <v>0</v>
      </c>
      <c r="G134" s="1156" t="str">
        <f t="shared" si="91"/>
        <v>GWh</v>
      </c>
      <c r="H134" s="1156">
        <f t="shared" si="91"/>
        <v>0</v>
      </c>
      <c r="I134" s="1156">
        <f t="shared" si="91"/>
        <v>0</v>
      </c>
      <c r="J134" s="1156">
        <f t="shared" si="91"/>
        <v>0</v>
      </c>
      <c r="K134" s="1156">
        <f t="shared" si="91"/>
        <v>0</v>
      </c>
      <c r="L134" s="1156">
        <f t="shared" si="91"/>
        <v>0</v>
      </c>
      <c r="M134" s="1156">
        <f t="shared" si="91"/>
        <v>0</v>
      </c>
      <c r="N134" s="1156">
        <f t="shared" si="91"/>
        <v>0</v>
      </c>
      <c r="O134" s="1156">
        <f t="shared" si="91"/>
        <v>0</v>
      </c>
      <c r="P134" s="1156">
        <f t="shared" si="91"/>
        <v>0</v>
      </c>
      <c r="Q134" s="1156">
        <f t="shared" si="91"/>
        <v>0</v>
      </c>
      <c r="R134" s="1156">
        <f t="shared" si="91"/>
        <v>0</v>
      </c>
      <c r="S134" s="1156">
        <f t="shared" si="91"/>
        <v>0</v>
      </c>
      <c r="T134" s="1156">
        <f t="shared" si="91"/>
        <v>0</v>
      </c>
      <c r="U134" s="1156">
        <f t="shared" si="91"/>
        <v>0</v>
      </c>
      <c r="V134" s="1156">
        <f t="shared" si="91"/>
        <v>0</v>
      </c>
      <c r="W134" s="1156">
        <f t="shared" si="91"/>
        <v>0</v>
      </c>
      <c r="X134" s="1156">
        <f t="shared" si="91"/>
        <v>0</v>
      </c>
      <c r="Y134" s="1156">
        <f t="shared" si="91"/>
        <v>0</v>
      </c>
      <c r="Z134" s="1156">
        <f t="shared" si="91"/>
        <v>0</v>
      </c>
      <c r="AA134" s="1156">
        <f t="shared" si="91"/>
        <v>0</v>
      </c>
      <c r="AB134" s="1156">
        <f t="shared" si="91"/>
        <v>0</v>
      </c>
      <c r="AC134" s="1156">
        <f t="shared" si="91"/>
        <v>0</v>
      </c>
      <c r="AD134" s="1156">
        <f t="shared" si="91"/>
        <v>0</v>
      </c>
      <c r="AE134" s="1156">
        <f t="shared" si="91"/>
        <v>0</v>
      </c>
      <c r="AF134" s="1156">
        <f t="shared" si="91"/>
        <v>0</v>
      </c>
      <c r="AG134" s="1156">
        <f t="shared" si="91"/>
        <v>0</v>
      </c>
      <c r="AH134" s="1156">
        <f t="shared" si="91"/>
        <v>0</v>
      </c>
      <c r="AI134" s="1156">
        <f t="shared" si="91"/>
        <v>0</v>
      </c>
      <c r="AJ134" s="1156">
        <f t="shared" si="91"/>
        <v>0</v>
      </c>
      <c r="AK134" s="1156">
        <f t="shared" ref="AK134:BP134" si="92" xml:space="preserve"> AK$69</f>
        <v>0</v>
      </c>
      <c r="AL134" s="1156">
        <f t="shared" si="92"/>
        <v>0</v>
      </c>
      <c r="AM134" s="1156">
        <f t="shared" si="92"/>
        <v>0</v>
      </c>
      <c r="AN134" s="1156">
        <f t="shared" si="92"/>
        <v>0</v>
      </c>
      <c r="AO134" s="1156">
        <f t="shared" si="92"/>
        <v>0</v>
      </c>
      <c r="AP134" s="1156">
        <f t="shared" si="92"/>
        <v>0</v>
      </c>
      <c r="AQ134" s="1156">
        <f t="shared" si="92"/>
        <v>0</v>
      </c>
      <c r="AR134" s="1156">
        <f t="shared" si="92"/>
        <v>0</v>
      </c>
      <c r="AS134" s="1156">
        <f t="shared" si="92"/>
        <v>0</v>
      </c>
      <c r="AT134" s="1156">
        <f t="shared" si="92"/>
        <v>0</v>
      </c>
      <c r="AU134" s="1156">
        <f t="shared" si="92"/>
        <v>0</v>
      </c>
      <c r="AV134" s="1156">
        <f t="shared" si="92"/>
        <v>0</v>
      </c>
      <c r="AW134" s="1156">
        <f t="shared" si="92"/>
        <v>0</v>
      </c>
      <c r="AX134" s="1156">
        <f t="shared" si="92"/>
        <v>0</v>
      </c>
      <c r="AY134" s="1156">
        <f t="shared" si="92"/>
        <v>0</v>
      </c>
      <c r="AZ134" s="1156">
        <f t="shared" si="92"/>
        <v>0</v>
      </c>
      <c r="BA134" s="1156">
        <f t="shared" si="92"/>
        <v>0</v>
      </c>
      <c r="BB134" s="1156">
        <f t="shared" si="92"/>
        <v>0</v>
      </c>
      <c r="BC134" s="1156">
        <f t="shared" si="92"/>
        <v>0</v>
      </c>
      <c r="BD134" s="1156">
        <f t="shared" si="92"/>
        <v>0</v>
      </c>
      <c r="BE134" s="1156">
        <f t="shared" si="92"/>
        <v>0</v>
      </c>
      <c r="BF134" s="1156">
        <f t="shared" si="92"/>
        <v>0</v>
      </c>
      <c r="BG134" s="1156">
        <f t="shared" si="92"/>
        <v>0</v>
      </c>
      <c r="BH134" s="1156">
        <f t="shared" si="92"/>
        <v>0</v>
      </c>
      <c r="BI134" s="1156">
        <f t="shared" si="92"/>
        <v>0</v>
      </c>
      <c r="BJ134" s="1156">
        <f t="shared" si="92"/>
        <v>0</v>
      </c>
      <c r="BK134" s="1156">
        <f t="shared" si="92"/>
        <v>0</v>
      </c>
      <c r="BL134" s="1156">
        <f t="shared" si="92"/>
        <v>0</v>
      </c>
      <c r="BM134" s="1156">
        <f t="shared" si="92"/>
        <v>0</v>
      </c>
      <c r="BN134" s="1156">
        <f t="shared" si="92"/>
        <v>0</v>
      </c>
      <c r="BO134" s="1156">
        <f t="shared" si="92"/>
        <v>0</v>
      </c>
      <c r="BP134" s="1156">
        <f t="shared" si="92"/>
        <v>0</v>
      </c>
      <c r="BQ134" s="1156">
        <f t="shared" ref="BQ134:CV134" si="93" xml:space="preserve"> BQ$69</f>
        <v>0</v>
      </c>
      <c r="BR134" s="1156">
        <f t="shared" si="93"/>
        <v>0</v>
      </c>
      <c r="BS134" s="1156">
        <f t="shared" si="93"/>
        <v>0</v>
      </c>
      <c r="BT134" s="1156">
        <f t="shared" si="93"/>
        <v>0</v>
      </c>
      <c r="BU134" s="1156">
        <f t="shared" si="93"/>
        <v>0</v>
      </c>
      <c r="BV134" s="1156">
        <f t="shared" si="93"/>
        <v>0</v>
      </c>
      <c r="BW134" s="1156">
        <f t="shared" si="93"/>
        <v>0</v>
      </c>
      <c r="BX134" s="1156">
        <f t="shared" si="93"/>
        <v>0</v>
      </c>
      <c r="BY134" s="1156">
        <f t="shared" si="93"/>
        <v>0</v>
      </c>
      <c r="BZ134" s="1156">
        <f t="shared" si="93"/>
        <v>0</v>
      </c>
      <c r="CA134" s="1156">
        <f t="shared" si="93"/>
        <v>0</v>
      </c>
      <c r="CB134" s="1156">
        <f t="shared" si="93"/>
        <v>0</v>
      </c>
      <c r="CC134" s="1156">
        <f t="shared" si="93"/>
        <v>0</v>
      </c>
      <c r="CD134" s="1156">
        <f t="shared" si="93"/>
        <v>0</v>
      </c>
      <c r="CE134" s="1156">
        <f t="shared" si="93"/>
        <v>0</v>
      </c>
      <c r="CF134" s="1156">
        <f t="shared" si="93"/>
        <v>0</v>
      </c>
      <c r="CG134" s="1156">
        <f t="shared" si="93"/>
        <v>0</v>
      </c>
      <c r="CH134" s="1156">
        <f t="shared" si="93"/>
        <v>0</v>
      </c>
      <c r="CI134" s="1156">
        <f t="shared" si="93"/>
        <v>0</v>
      </c>
      <c r="CJ134" s="1156">
        <f t="shared" si="93"/>
        <v>0</v>
      </c>
      <c r="CK134" s="1156">
        <f t="shared" si="93"/>
        <v>0</v>
      </c>
      <c r="CL134" s="1156">
        <f t="shared" si="93"/>
        <v>0</v>
      </c>
      <c r="CM134" s="1156">
        <f t="shared" si="93"/>
        <v>0</v>
      </c>
      <c r="CN134" s="1156">
        <f t="shared" si="93"/>
        <v>0</v>
      </c>
      <c r="CO134" s="1156">
        <f t="shared" si="93"/>
        <v>0</v>
      </c>
      <c r="CP134" s="1156">
        <f t="shared" si="93"/>
        <v>0</v>
      </c>
      <c r="CQ134" s="1156">
        <f t="shared" si="93"/>
        <v>0</v>
      </c>
      <c r="CR134" s="1156">
        <f t="shared" si="93"/>
        <v>0</v>
      </c>
      <c r="CS134" s="1156">
        <f t="shared" si="93"/>
        <v>0</v>
      </c>
      <c r="CT134" s="1156">
        <f t="shared" si="93"/>
        <v>0</v>
      </c>
      <c r="CU134" s="1156">
        <f t="shared" si="93"/>
        <v>0</v>
      </c>
      <c r="CV134" s="1156">
        <f t="shared" si="93"/>
        <v>0</v>
      </c>
    </row>
    <row r="135" spans="1:100" s="188" customFormat="1" ht="15" outlineLevel="2" x14ac:dyDescent="0.2">
      <c r="A135" s="141"/>
      <c r="B135" s="1146"/>
      <c r="C135"/>
      <c r="D135"/>
      <c r="E135" s="125" t="str">
        <f xml:space="preserve"> Time!E$106</f>
        <v>Operating period flag</v>
      </c>
      <c r="F135" s="125">
        <f xml:space="preserve"> Time!F$106</f>
        <v>0</v>
      </c>
      <c r="G135" s="125" t="str">
        <f xml:space="preserve"> Time!G$106</f>
        <v>flag</v>
      </c>
      <c r="H135" s="125">
        <f xml:space="preserve"> Time!H$106</f>
        <v>40</v>
      </c>
      <c r="I135" s="125">
        <f xml:space="preserve"> Time!I$106</f>
        <v>0</v>
      </c>
      <c r="J135" s="125">
        <f xml:space="preserve"> Time!J$106</f>
        <v>0</v>
      </c>
      <c r="K135" s="125">
        <f xml:space="preserve"> Time!K$106</f>
        <v>0</v>
      </c>
      <c r="L135" s="125">
        <f xml:space="preserve"> Time!L$106</f>
        <v>0</v>
      </c>
      <c r="M135" s="125">
        <f xml:space="preserve"> Time!M$106</f>
        <v>0</v>
      </c>
      <c r="N135" s="125">
        <f xml:space="preserve"> Time!N$106</f>
        <v>0</v>
      </c>
      <c r="O135" s="125">
        <f xml:space="preserve"> Time!O$106</f>
        <v>1</v>
      </c>
      <c r="P135" s="125">
        <f xml:space="preserve"> Time!P$106</f>
        <v>1</v>
      </c>
      <c r="Q135" s="125">
        <f xml:space="preserve"> Time!Q$106</f>
        <v>1</v>
      </c>
      <c r="R135" s="125">
        <f xml:space="preserve"> Time!R$106</f>
        <v>1</v>
      </c>
      <c r="S135" s="125">
        <f xml:space="preserve"> Time!S$106</f>
        <v>1</v>
      </c>
      <c r="T135" s="125">
        <f xml:space="preserve"> Time!T$106</f>
        <v>1</v>
      </c>
      <c r="U135" s="125">
        <f xml:space="preserve"> Time!U$106</f>
        <v>1</v>
      </c>
      <c r="V135" s="125">
        <f xml:space="preserve"> Time!V$106</f>
        <v>1</v>
      </c>
      <c r="W135" s="125">
        <f xml:space="preserve"> Time!W$106</f>
        <v>1</v>
      </c>
      <c r="X135" s="125">
        <f xml:space="preserve"> Time!X$106</f>
        <v>1</v>
      </c>
      <c r="Y135" s="125">
        <f xml:space="preserve"> Time!Y$106</f>
        <v>1</v>
      </c>
      <c r="Z135" s="125">
        <f xml:space="preserve"> Time!Z$106</f>
        <v>1</v>
      </c>
      <c r="AA135" s="125">
        <f xml:space="preserve"> Time!AA$106</f>
        <v>1</v>
      </c>
      <c r="AB135" s="125">
        <f xml:space="preserve"> Time!AB$106</f>
        <v>1</v>
      </c>
      <c r="AC135" s="125">
        <f xml:space="preserve"> Time!AC$106</f>
        <v>1</v>
      </c>
      <c r="AD135" s="125">
        <f xml:space="preserve"> Time!AD$106</f>
        <v>1</v>
      </c>
      <c r="AE135" s="125">
        <f xml:space="preserve"> Time!AE$106</f>
        <v>1</v>
      </c>
      <c r="AF135" s="125">
        <f xml:space="preserve"> Time!AF$106</f>
        <v>1</v>
      </c>
      <c r="AG135" s="125">
        <f xml:space="preserve"> Time!AG$106</f>
        <v>1</v>
      </c>
      <c r="AH135" s="125">
        <f xml:space="preserve"> Time!AH$106</f>
        <v>1</v>
      </c>
      <c r="AI135" s="125">
        <f xml:space="preserve"> Time!AI$106</f>
        <v>1</v>
      </c>
      <c r="AJ135" s="125">
        <f xml:space="preserve"> Time!AJ$106</f>
        <v>1</v>
      </c>
      <c r="AK135" s="125">
        <f xml:space="preserve"> Time!AK$106</f>
        <v>1</v>
      </c>
      <c r="AL135" s="125">
        <f xml:space="preserve"> Time!AL$106</f>
        <v>1</v>
      </c>
      <c r="AM135" s="125">
        <f xml:space="preserve"> Time!AM$106</f>
        <v>1</v>
      </c>
      <c r="AN135" s="125">
        <f xml:space="preserve"> Time!AN$106</f>
        <v>1</v>
      </c>
      <c r="AO135" s="125">
        <f xml:space="preserve"> Time!AO$106</f>
        <v>1</v>
      </c>
      <c r="AP135" s="125">
        <f xml:space="preserve"> Time!AP$106</f>
        <v>1</v>
      </c>
      <c r="AQ135" s="125">
        <f xml:space="preserve"> Time!AQ$106</f>
        <v>1</v>
      </c>
      <c r="AR135" s="125">
        <f xml:space="preserve"> Time!AR$106</f>
        <v>1</v>
      </c>
      <c r="AS135" s="125">
        <f xml:space="preserve"> Time!AS$106</f>
        <v>1</v>
      </c>
      <c r="AT135" s="125">
        <f xml:space="preserve"> Time!AT$106</f>
        <v>1</v>
      </c>
      <c r="AU135" s="125">
        <f xml:space="preserve"> Time!AU$106</f>
        <v>1</v>
      </c>
      <c r="AV135" s="125">
        <f xml:space="preserve"> Time!AV$106</f>
        <v>1</v>
      </c>
      <c r="AW135" s="125">
        <f xml:space="preserve"> Time!AW$106</f>
        <v>1</v>
      </c>
      <c r="AX135" s="125">
        <f xml:space="preserve"> Time!AX$106</f>
        <v>1</v>
      </c>
      <c r="AY135" s="125">
        <f xml:space="preserve"> Time!AY$106</f>
        <v>1</v>
      </c>
      <c r="AZ135" s="125">
        <f xml:space="preserve"> Time!AZ$106</f>
        <v>1</v>
      </c>
      <c r="BA135" s="125">
        <f xml:space="preserve"> Time!BA$106</f>
        <v>1</v>
      </c>
      <c r="BB135" s="125">
        <f xml:space="preserve"> Time!BB$106</f>
        <v>1</v>
      </c>
      <c r="BC135" s="125">
        <f xml:space="preserve"> Time!BC$106</f>
        <v>0</v>
      </c>
      <c r="BD135" s="125">
        <f xml:space="preserve"> Time!BD$106</f>
        <v>0</v>
      </c>
      <c r="BE135" s="125">
        <f xml:space="preserve"> Time!BE$106</f>
        <v>0</v>
      </c>
      <c r="BF135" s="125">
        <f xml:space="preserve"> Time!BF$106</f>
        <v>0</v>
      </c>
      <c r="BG135" s="125">
        <f xml:space="preserve"> Time!BG$106</f>
        <v>0</v>
      </c>
      <c r="BH135" s="125">
        <f xml:space="preserve"> Time!BH$106</f>
        <v>0</v>
      </c>
      <c r="BI135" s="125">
        <f xml:space="preserve"> Time!BI$106</f>
        <v>0</v>
      </c>
      <c r="BJ135" s="125">
        <f xml:space="preserve"> Time!BJ$106</f>
        <v>0</v>
      </c>
      <c r="BK135" s="125">
        <f xml:space="preserve"> Time!BK$106</f>
        <v>0</v>
      </c>
      <c r="BL135" s="125">
        <f xml:space="preserve"> Time!BL$106</f>
        <v>0</v>
      </c>
      <c r="BM135" s="125">
        <f xml:space="preserve"> Time!BM$106</f>
        <v>0</v>
      </c>
      <c r="BN135" s="125">
        <f xml:space="preserve"> Time!BN$106</f>
        <v>0</v>
      </c>
      <c r="BO135" s="125">
        <f xml:space="preserve"> Time!BO$106</f>
        <v>0</v>
      </c>
      <c r="BP135" s="125">
        <f xml:space="preserve"> Time!BP$106</f>
        <v>0</v>
      </c>
      <c r="BQ135" s="125">
        <f xml:space="preserve"> Time!BQ$106</f>
        <v>0</v>
      </c>
      <c r="BR135" s="125">
        <f xml:space="preserve"> Time!BR$106</f>
        <v>0</v>
      </c>
      <c r="BS135" s="125">
        <f xml:space="preserve"> Time!BS$106</f>
        <v>0</v>
      </c>
      <c r="BT135" s="125">
        <f xml:space="preserve"> Time!BT$106</f>
        <v>0</v>
      </c>
      <c r="BU135" s="125">
        <f xml:space="preserve"> Time!BU$106</f>
        <v>0</v>
      </c>
      <c r="BV135" s="125">
        <f xml:space="preserve"> Time!BV$106</f>
        <v>0</v>
      </c>
      <c r="BW135" s="125">
        <f xml:space="preserve"> Time!BW$106</f>
        <v>0</v>
      </c>
      <c r="BX135" s="125">
        <f xml:space="preserve"> Time!BX$106</f>
        <v>0</v>
      </c>
      <c r="BY135" s="125">
        <f xml:space="preserve"> Time!BY$106</f>
        <v>0</v>
      </c>
      <c r="BZ135" s="125">
        <f xml:space="preserve"> Time!BZ$106</f>
        <v>0</v>
      </c>
      <c r="CA135" s="125">
        <f xml:space="preserve"> Time!CA$106</f>
        <v>0</v>
      </c>
      <c r="CB135" s="125">
        <f xml:space="preserve"> Time!CB$106</f>
        <v>0</v>
      </c>
      <c r="CC135" s="125">
        <f xml:space="preserve"> Time!CC$106</f>
        <v>0</v>
      </c>
      <c r="CD135" s="125">
        <f xml:space="preserve"> Time!CD$106</f>
        <v>0</v>
      </c>
      <c r="CE135" s="125">
        <f xml:space="preserve"> Time!CE$106</f>
        <v>0</v>
      </c>
      <c r="CF135" s="125">
        <f xml:space="preserve"> Time!CF$106</f>
        <v>0</v>
      </c>
      <c r="CG135" s="125">
        <f xml:space="preserve"> Time!CG$106</f>
        <v>0</v>
      </c>
      <c r="CH135" s="125">
        <f xml:space="preserve"> Time!CH$106</f>
        <v>0</v>
      </c>
      <c r="CI135" s="125">
        <f xml:space="preserve"> Time!CI$106</f>
        <v>0</v>
      </c>
      <c r="CJ135" s="125">
        <f xml:space="preserve"> Time!CJ$106</f>
        <v>0</v>
      </c>
      <c r="CK135" s="125">
        <f xml:space="preserve"> Time!CK$106</f>
        <v>0</v>
      </c>
      <c r="CL135" s="125">
        <f xml:space="preserve"> Time!CL$106</f>
        <v>0</v>
      </c>
      <c r="CM135" s="125">
        <f xml:space="preserve"> Time!CM$106</f>
        <v>0</v>
      </c>
      <c r="CN135" s="125">
        <f xml:space="preserve"> Time!CN$106</f>
        <v>0</v>
      </c>
      <c r="CO135" s="125">
        <f xml:space="preserve"> Time!CO$106</f>
        <v>0</v>
      </c>
      <c r="CP135" s="125">
        <f xml:space="preserve"> Time!CP$106</f>
        <v>0</v>
      </c>
      <c r="CQ135" s="125">
        <f xml:space="preserve"> Time!CQ$106</f>
        <v>0</v>
      </c>
      <c r="CR135" s="125">
        <f xml:space="preserve"> Time!CR$106</f>
        <v>0</v>
      </c>
      <c r="CS135" s="125">
        <f xml:space="preserve"> Time!CS$106</f>
        <v>0</v>
      </c>
      <c r="CT135" s="125">
        <f xml:space="preserve"> Time!CT$106</f>
        <v>0</v>
      </c>
      <c r="CU135" s="125">
        <f xml:space="preserve"> Time!CU$106</f>
        <v>0</v>
      </c>
      <c r="CV135" s="125">
        <f xml:space="preserve"> Time!CV$106</f>
        <v>0</v>
      </c>
    </row>
    <row r="136" spans="1:100" s="188" customFormat="1" ht="15" outlineLevel="2" x14ac:dyDescent="0.2">
      <c r="A136" s="141"/>
      <c r="B136" s="1146"/>
      <c r="C136"/>
      <c r="D136"/>
      <c r="E136" s="125" t="str">
        <f xml:space="preserve"> Esc!E$55</f>
        <v>O&amp;M escalation factor</v>
      </c>
      <c r="F136" s="125">
        <f xml:space="preserve"> Esc!F$55</f>
        <v>0</v>
      </c>
      <c r="G136" s="125" t="str">
        <f xml:space="preserve"> Esc!G$55</f>
        <v>factor</v>
      </c>
      <c r="H136" s="125">
        <f xml:space="preserve"> Esc!H$55</f>
        <v>0</v>
      </c>
      <c r="I136" s="125">
        <f xml:space="preserve"> Esc!I$55</f>
        <v>0</v>
      </c>
      <c r="J136" s="1153">
        <f xml:space="preserve"> Esc!J$55</f>
        <v>1</v>
      </c>
      <c r="K136" s="1153">
        <f xml:space="preserve"> Esc!K$55</f>
        <v>1</v>
      </c>
      <c r="L136" s="1153">
        <f xml:space="preserve"> Esc!L$55</f>
        <v>1</v>
      </c>
      <c r="M136" s="1153">
        <f xml:space="preserve"> Esc!M$55</f>
        <v>1</v>
      </c>
      <c r="N136" s="1153">
        <f xml:space="preserve"> Esc!N$55</f>
        <v>1</v>
      </c>
      <c r="O136" s="1153">
        <f xml:space="preserve"> Esc!O$55</f>
        <v>1.08243216</v>
      </c>
      <c r="P136" s="1153">
        <f xml:space="preserve"> Esc!P$55</f>
        <v>1.08243216</v>
      </c>
      <c r="Q136" s="1153">
        <f xml:space="preserve"> Esc!Q$55</f>
        <v>1.1040808032</v>
      </c>
      <c r="R136" s="1153">
        <f xml:space="preserve"> Esc!R$55</f>
        <v>1.1040808032</v>
      </c>
      <c r="S136" s="1153">
        <f xml:space="preserve"> Esc!S$55</f>
        <v>1.1261624192640001</v>
      </c>
      <c r="T136" s="1153">
        <f xml:space="preserve"> Esc!T$55</f>
        <v>1.1261624192640001</v>
      </c>
      <c r="U136" s="1153">
        <f xml:space="preserve"> Esc!U$55</f>
        <v>1.1486856676492798</v>
      </c>
      <c r="V136" s="1153">
        <f xml:space="preserve"> Esc!V$55</f>
        <v>1.1486856676492798</v>
      </c>
      <c r="W136" s="1153">
        <f xml:space="preserve"> Esc!W$55</f>
        <v>1.1716593810022655</v>
      </c>
      <c r="X136" s="1153">
        <f xml:space="preserve"> Esc!X$55</f>
        <v>1.1716593810022655</v>
      </c>
      <c r="Y136" s="1153">
        <f xml:space="preserve"> Esc!Y$55</f>
        <v>1.1950925686223108</v>
      </c>
      <c r="Z136" s="1153">
        <f xml:space="preserve"> Esc!Z$55</f>
        <v>1.1950925686223108</v>
      </c>
      <c r="AA136" s="1153">
        <f xml:space="preserve"> Esc!AA$55</f>
        <v>1.2189944199947571</v>
      </c>
      <c r="AB136" s="1153">
        <f xml:space="preserve"> Esc!AB$55</f>
        <v>1.2189944199947571</v>
      </c>
      <c r="AC136" s="1153">
        <f xml:space="preserve"> Esc!AC$55</f>
        <v>1.243374308394652</v>
      </c>
      <c r="AD136" s="1153">
        <f xml:space="preserve"> Esc!AD$55</f>
        <v>1.243374308394652</v>
      </c>
      <c r="AE136" s="1153">
        <f xml:space="preserve"> Esc!AE$55</f>
        <v>1.2682417945625453</v>
      </c>
      <c r="AF136" s="1153">
        <f xml:space="preserve"> Esc!AF$55</f>
        <v>1.2682417945625453</v>
      </c>
      <c r="AG136" s="1153">
        <f xml:space="preserve"> Esc!AG$55</f>
        <v>1.2936066304537961</v>
      </c>
      <c r="AH136" s="1153">
        <f xml:space="preserve"> Esc!AH$55</f>
        <v>1.2936066304537961</v>
      </c>
      <c r="AI136" s="1153">
        <f xml:space="preserve"> Esc!AI$55</f>
        <v>1.3194787630628722</v>
      </c>
      <c r="AJ136" s="1153">
        <f xml:space="preserve"> Esc!AJ$55</f>
        <v>1.3194787630628722</v>
      </c>
      <c r="AK136" s="1153">
        <f xml:space="preserve"> Esc!AK$55</f>
        <v>1.3458683383241292</v>
      </c>
      <c r="AL136" s="1153">
        <f xml:space="preserve"> Esc!AL$55</f>
        <v>1.3458683383241292</v>
      </c>
      <c r="AM136" s="1153">
        <f xml:space="preserve"> Esc!AM$55</f>
        <v>1.372785705090612</v>
      </c>
      <c r="AN136" s="1153">
        <f xml:space="preserve"> Esc!AN$55</f>
        <v>1.372785705090612</v>
      </c>
      <c r="AO136" s="1153">
        <f xml:space="preserve"> Esc!AO$55</f>
        <v>1.4002414191924244</v>
      </c>
      <c r="AP136" s="1153">
        <f xml:space="preserve"> Esc!AP$55</f>
        <v>1.4002414191924244</v>
      </c>
      <c r="AQ136" s="1153">
        <f xml:space="preserve"> Esc!AQ$55</f>
        <v>1.4282462475762727</v>
      </c>
      <c r="AR136" s="1153">
        <f xml:space="preserve"> Esc!AR$55</f>
        <v>1.4282462475762727</v>
      </c>
      <c r="AS136" s="1153">
        <f xml:space="preserve"> Esc!AS$55</f>
        <v>1.4568111725277981</v>
      </c>
      <c r="AT136" s="1153">
        <f xml:space="preserve"> Esc!AT$55</f>
        <v>1.4568111725277981</v>
      </c>
      <c r="AU136" s="1153">
        <f xml:space="preserve"> Esc!AU$55</f>
        <v>1.4859473959783542</v>
      </c>
      <c r="AV136" s="1153">
        <f xml:space="preserve"> Esc!AV$55</f>
        <v>1.4859473959783542</v>
      </c>
      <c r="AW136" s="1153">
        <f xml:space="preserve"> Esc!AW$55</f>
        <v>1.5156663438979212</v>
      </c>
      <c r="AX136" s="1153">
        <f xml:space="preserve"> Esc!AX$55</f>
        <v>1.5156663438979212</v>
      </c>
      <c r="AY136" s="1153">
        <f xml:space="preserve"> Esc!AY$55</f>
        <v>1.5459796707758797</v>
      </c>
      <c r="AZ136" s="1153">
        <f xml:space="preserve"> Esc!AZ$55</f>
        <v>1.5459796707758797</v>
      </c>
      <c r="BA136" s="1153">
        <f xml:space="preserve"> Esc!BA$55</f>
        <v>1.576899264191397</v>
      </c>
      <c r="BB136" s="1153">
        <f xml:space="preserve"> Esc!BB$55</f>
        <v>1.576899264191397</v>
      </c>
      <c r="BC136" s="1153">
        <f xml:space="preserve"> Esc!BC$55</f>
        <v>1</v>
      </c>
      <c r="BD136" s="1153">
        <f xml:space="preserve"> Esc!BD$55</f>
        <v>1</v>
      </c>
      <c r="BE136" s="1153">
        <f xml:space="preserve"> Esc!BE$55</f>
        <v>1</v>
      </c>
      <c r="BF136" s="1153">
        <f xml:space="preserve"> Esc!BF$55</f>
        <v>1</v>
      </c>
      <c r="BG136" s="1153">
        <f xml:space="preserve"> Esc!BG$55</f>
        <v>1</v>
      </c>
      <c r="BH136" s="1153">
        <f xml:space="preserve"> Esc!BH$55</f>
        <v>1</v>
      </c>
      <c r="BI136" s="1153">
        <f xml:space="preserve"> Esc!BI$55</f>
        <v>1</v>
      </c>
      <c r="BJ136" s="1153">
        <f xml:space="preserve"> Esc!BJ$55</f>
        <v>1</v>
      </c>
      <c r="BK136" s="1153">
        <f xml:space="preserve"> Esc!BK$55</f>
        <v>1</v>
      </c>
      <c r="BL136" s="1153">
        <f xml:space="preserve"> Esc!BL$55</f>
        <v>1</v>
      </c>
      <c r="BM136" s="1153">
        <f xml:space="preserve"> Esc!BM$55</f>
        <v>1</v>
      </c>
      <c r="BN136" s="1153">
        <f xml:space="preserve"> Esc!BN$55</f>
        <v>1</v>
      </c>
      <c r="BO136" s="1153">
        <f xml:space="preserve"> Esc!BO$55</f>
        <v>1</v>
      </c>
      <c r="BP136" s="1153">
        <f xml:space="preserve"> Esc!BP$55</f>
        <v>1</v>
      </c>
      <c r="BQ136" s="1153">
        <f xml:space="preserve"> Esc!BQ$55</f>
        <v>1</v>
      </c>
      <c r="BR136" s="1153">
        <f xml:space="preserve"> Esc!BR$55</f>
        <v>1</v>
      </c>
      <c r="BS136" s="1153">
        <f xml:space="preserve"> Esc!BS$55</f>
        <v>1</v>
      </c>
      <c r="BT136" s="1153">
        <f xml:space="preserve"> Esc!BT$55</f>
        <v>1</v>
      </c>
      <c r="BU136" s="1153">
        <f xml:space="preserve"> Esc!BU$55</f>
        <v>1</v>
      </c>
      <c r="BV136" s="1153">
        <f xml:space="preserve"> Esc!BV$55</f>
        <v>1</v>
      </c>
      <c r="BW136" s="1153">
        <f xml:space="preserve"> Esc!BW$55</f>
        <v>1</v>
      </c>
      <c r="BX136" s="1153">
        <f xml:space="preserve"> Esc!BX$55</f>
        <v>1</v>
      </c>
      <c r="BY136" s="1153">
        <f xml:space="preserve"> Esc!BY$55</f>
        <v>1</v>
      </c>
      <c r="BZ136" s="1153">
        <f xml:space="preserve"> Esc!BZ$55</f>
        <v>1</v>
      </c>
      <c r="CA136" s="1153">
        <f xml:space="preserve"> Esc!CA$55</f>
        <v>1</v>
      </c>
      <c r="CB136" s="1153">
        <f xml:space="preserve"> Esc!CB$55</f>
        <v>1</v>
      </c>
      <c r="CC136" s="1153">
        <f xml:space="preserve"> Esc!CC$55</f>
        <v>1</v>
      </c>
      <c r="CD136" s="1153">
        <f xml:space="preserve"> Esc!CD$55</f>
        <v>1</v>
      </c>
      <c r="CE136" s="1153">
        <f xml:space="preserve"> Esc!CE$55</f>
        <v>1</v>
      </c>
      <c r="CF136" s="1153">
        <f xml:space="preserve"> Esc!CF$55</f>
        <v>1</v>
      </c>
      <c r="CG136" s="1153">
        <f xml:space="preserve"> Esc!CG$55</f>
        <v>1</v>
      </c>
      <c r="CH136" s="1153">
        <f xml:space="preserve"> Esc!CH$55</f>
        <v>1</v>
      </c>
      <c r="CI136" s="1153">
        <f xml:space="preserve"> Esc!CI$55</f>
        <v>1</v>
      </c>
      <c r="CJ136" s="1153">
        <f xml:space="preserve"> Esc!CJ$55</f>
        <v>1</v>
      </c>
      <c r="CK136" s="1153">
        <f xml:space="preserve"> Esc!CK$55</f>
        <v>1</v>
      </c>
      <c r="CL136" s="1153">
        <f xml:space="preserve"> Esc!CL$55</f>
        <v>1</v>
      </c>
      <c r="CM136" s="1153">
        <f xml:space="preserve"> Esc!CM$55</f>
        <v>1</v>
      </c>
      <c r="CN136" s="1153">
        <f xml:space="preserve"> Esc!CN$55</f>
        <v>1</v>
      </c>
      <c r="CO136" s="1153">
        <f xml:space="preserve"> Esc!CO$55</f>
        <v>1</v>
      </c>
      <c r="CP136" s="1153">
        <f xml:space="preserve"> Esc!CP$55</f>
        <v>1</v>
      </c>
      <c r="CQ136" s="1153">
        <f xml:space="preserve"> Esc!CQ$55</f>
        <v>1</v>
      </c>
      <c r="CR136" s="1153">
        <f xml:space="preserve"> Esc!CR$55</f>
        <v>1</v>
      </c>
      <c r="CS136" s="1153">
        <f xml:space="preserve"> Esc!CS$55</f>
        <v>1</v>
      </c>
      <c r="CT136" s="1153">
        <f xml:space="preserve"> Esc!CT$55</f>
        <v>1</v>
      </c>
      <c r="CU136" s="1153">
        <f xml:space="preserve"> Esc!CU$55</f>
        <v>1</v>
      </c>
      <c r="CV136" s="1153">
        <f xml:space="preserve"> Esc!CV$55</f>
        <v>1</v>
      </c>
    </row>
    <row r="137" spans="1:100" s="188" customFormat="1" ht="15" outlineLevel="2" x14ac:dyDescent="0.2">
      <c r="A137" s="141"/>
      <c r="B137" s="1158"/>
      <c r="E137" s="1159" t="s">
        <v>1334</v>
      </c>
      <c r="F137" s="1159">
        <f t="shared" ref="F137:I137" si="94" xml:space="preserve"> F$71</f>
        <v>0</v>
      </c>
      <c r="G137" s="1159" t="str">
        <f t="shared" si="94"/>
        <v>WID 000s</v>
      </c>
      <c r="H137" s="1159">
        <f xml:space="preserve"> SUM(J137:CV137)</f>
        <v>91782.414908842373</v>
      </c>
      <c r="I137" s="188">
        <f t="shared" si="94"/>
        <v>0</v>
      </c>
      <c r="J137" s="531">
        <f t="shared" ref="J137:AO137" si="95" xml:space="preserve"> $F132 / $F129 * $F131 * (J133 + J134) / $F130 * J135 * J136</f>
        <v>0</v>
      </c>
      <c r="K137" s="531">
        <f t="shared" si="95"/>
        <v>0</v>
      </c>
      <c r="L137" s="531">
        <f t="shared" si="95"/>
        <v>0</v>
      </c>
      <c r="M137" s="531">
        <f t="shared" si="95"/>
        <v>0</v>
      </c>
      <c r="N137" s="531">
        <f t="shared" si="95"/>
        <v>0</v>
      </c>
      <c r="O137" s="531">
        <f xml:space="preserve"> $F132 / $F129 * $F131 * (O133 + O134) / $F130 * O135 * O136</f>
        <v>1927.3243648699986</v>
      </c>
      <c r="P137" s="531">
        <f t="shared" si="95"/>
        <v>1927.3243648699986</v>
      </c>
      <c r="Q137" s="531">
        <f t="shared" si="95"/>
        <v>1961.9469582508964</v>
      </c>
      <c r="R137" s="531">
        <f t="shared" si="95"/>
        <v>1961.9469582508964</v>
      </c>
      <c r="S137" s="531">
        <f t="shared" si="95"/>
        <v>1997.1915143871406</v>
      </c>
      <c r="T137" s="531">
        <f t="shared" si="95"/>
        <v>1997.1915143871406</v>
      </c>
      <c r="U137" s="531">
        <f t="shared" si="95"/>
        <v>2033.0692062623582</v>
      </c>
      <c r="V137" s="531">
        <f t="shared" si="95"/>
        <v>2033.0692062623582</v>
      </c>
      <c r="W137" s="531">
        <f t="shared" si="95"/>
        <v>2069.5914075724604</v>
      </c>
      <c r="X137" s="531">
        <f t="shared" si="95"/>
        <v>2069.5914075724604</v>
      </c>
      <c r="Y137" s="531">
        <f t="shared" si="95"/>
        <v>2106.7696963312469</v>
      </c>
      <c r="Z137" s="531">
        <f t="shared" si="95"/>
        <v>2106.7696963312469</v>
      </c>
      <c r="AA137" s="531">
        <f t="shared" si="95"/>
        <v>2144.6158585407911</v>
      </c>
      <c r="AB137" s="531">
        <f t="shared" si="95"/>
        <v>2144.6158585407911</v>
      </c>
      <c r="AC137" s="531">
        <f t="shared" si="95"/>
        <v>2183.1418919277512</v>
      </c>
      <c r="AD137" s="531">
        <f t="shared" si="95"/>
        <v>2183.1418919277512</v>
      </c>
      <c r="AE137" s="531">
        <f t="shared" si="95"/>
        <v>2222.3600097468125</v>
      </c>
      <c r="AF137" s="531">
        <f t="shared" si="95"/>
        <v>2222.3600097468125</v>
      </c>
      <c r="AG137" s="531">
        <f t="shared" si="95"/>
        <v>2262.2826446524437</v>
      </c>
      <c r="AH137" s="531">
        <f t="shared" si="95"/>
        <v>2262.2826446524437</v>
      </c>
      <c r="AI137" s="531">
        <f t="shared" si="95"/>
        <v>2302.9224526402131</v>
      </c>
      <c r="AJ137" s="531">
        <f t="shared" si="95"/>
        <v>2302.9224526402131</v>
      </c>
      <c r="AK137" s="531">
        <f t="shared" si="95"/>
        <v>2344.2923170588988</v>
      </c>
      <c r="AL137" s="531">
        <f t="shared" si="95"/>
        <v>2344.2923170588988</v>
      </c>
      <c r="AM137" s="531">
        <f t="shared" si="95"/>
        <v>2386.4053526946877</v>
      </c>
      <c r="AN137" s="531">
        <f t="shared" si="95"/>
        <v>2386.4053526946877</v>
      </c>
      <c r="AO137" s="531">
        <f t="shared" si="95"/>
        <v>2429.2749099287239</v>
      </c>
      <c r="AP137" s="531">
        <f t="shared" ref="AP137:BU137" si="96" xml:space="preserve"> $F132 / $F129 * $F131 * (AP133 + AP134) / $F130 * AP135 * AP136</f>
        <v>2429.2749099287239</v>
      </c>
      <c r="AQ137" s="531">
        <f t="shared" si="96"/>
        <v>2472.9145789693603</v>
      </c>
      <c r="AR137" s="531">
        <f t="shared" si="96"/>
        <v>2472.9145789693603</v>
      </c>
      <c r="AS137" s="531">
        <f t="shared" si="96"/>
        <v>2517.3381941604257</v>
      </c>
      <c r="AT137" s="531">
        <f t="shared" si="96"/>
        <v>2517.3381941604257</v>
      </c>
      <c r="AU137" s="531">
        <f t="shared" si="96"/>
        <v>2562.5598383669012</v>
      </c>
      <c r="AV137" s="531">
        <f t="shared" si="96"/>
        <v>2562.5598383669012</v>
      </c>
      <c r="AW137" s="531">
        <f t="shared" si="96"/>
        <v>2608.5938474393597</v>
      </c>
      <c r="AX137" s="531">
        <f t="shared" si="96"/>
        <v>2608.5938474393597</v>
      </c>
      <c r="AY137" s="531">
        <f t="shared" si="96"/>
        <v>2655.4548147586306</v>
      </c>
      <c r="AZ137" s="531">
        <f t="shared" si="96"/>
        <v>2655.4548147586306</v>
      </c>
      <c r="BA137" s="531">
        <f t="shared" si="96"/>
        <v>2703.1575958620783</v>
      </c>
      <c r="BB137" s="531">
        <f t="shared" si="96"/>
        <v>2703.1575958620783</v>
      </c>
      <c r="BC137" s="531">
        <f t="shared" si="96"/>
        <v>0</v>
      </c>
      <c r="BD137" s="531">
        <f t="shared" si="96"/>
        <v>0</v>
      </c>
      <c r="BE137" s="531">
        <f t="shared" si="96"/>
        <v>0</v>
      </c>
      <c r="BF137" s="531">
        <f t="shared" si="96"/>
        <v>0</v>
      </c>
      <c r="BG137" s="531">
        <f t="shared" si="96"/>
        <v>0</v>
      </c>
      <c r="BH137" s="531">
        <f t="shared" si="96"/>
        <v>0</v>
      </c>
      <c r="BI137" s="531">
        <f t="shared" si="96"/>
        <v>0</v>
      </c>
      <c r="BJ137" s="531">
        <f t="shared" si="96"/>
        <v>0</v>
      </c>
      <c r="BK137" s="531">
        <f t="shared" si="96"/>
        <v>0</v>
      </c>
      <c r="BL137" s="531">
        <f t="shared" si="96"/>
        <v>0</v>
      </c>
      <c r="BM137" s="531">
        <f t="shared" si="96"/>
        <v>0</v>
      </c>
      <c r="BN137" s="531">
        <f t="shared" si="96"/>
        <v>0</v>
      </c>
      <c r="BO137" s="531">
        <f t="shared" si="96"/>
        <v>0</v>
      </c>
      <c r="BP137" s="531">
        <f t="shared" si="96"/>
        <v>0</v>
      </c>
      <c r="BQ137" s="531">
        <f t="shared" si="96"/>
        <v>0</v>
      </c>
      <c r="BR137" s="531">
        <f t="shared" si="96"/>
        <v>0</v>
      </c>
      <c r="BS137" s="531">
        <f t="shared" si="96"/>
        <v>0</v>
      </c>
      <c r="BT137" s="531">
        <f t="shared" si="96"/>
        <v>0</v>
      </c>
      <c r="BU137" s="531">
        <f t="shared" si="96"/>
        <v>0</v>
      </c>
      <c r="BV137" s="531">
        <f t="shared" ref="BV137:CV137" si="97" xml:space="preserve"> $F132 / $F129 * $F131 * (BV133 + BV134) / $F130 * BV135 * BV136</f>
        <v>0</v>
      </c>
      <c r="BW137" s="531">
        <f t="shared" si="97"/>
        <v>0</v>
      </c>
      <c r="BX137" s="531">
        <f t="shared" si="97"/>
        <v>0</v>
      </c>
      <c r="BY137" s="531">
        <f t="shared" si="97"/>
        <v>0</v>
      </c>
      <c r="BZ137" s="531">
        <f t="shared" si="97"/>
        <v>0</v>
      </c>
      <c r="CA137" s="531">
        <f t="shared" si="97"/>
        <v>0</v>
      </c>
      <c r="CB137" s="531">
        <f t="shared" si="97"/>
        <v>0</v>
      </c>
      <c r="CC137" s="531">
        <f t="shared" si="97"/>
        <v>0</v>
      </c>
      <c r="CD137" s="531">
        <f t="shared" si="97"/>
        <v>0</v>
      </c>
      <c r="CE137" s="531">
        <f t="shared" si="97"/>
        <v>0</v>
      </c>
      <c r="CF137" s="531">
        <f t="shared" si="97"/>
        <v>0</v>
      </c>
      <c r="CG137" s="531">
        <f t="shared" si="97"/>
        <v>0</v>
      </c>
      <c r="CH137" s="531">
        <f t="shared" si="97"/>
        <v>0</v>
      </c>
      <c r="CI137" s="531">
        <f t="shared" si="97"/>
        <v>0</v>
      </c>
      <c r="CJ137" s="531">
        <f t="shared" si="97"/>
        <v>0</v>
      </c>
      <c r="CK137" s="531">
        <f t="shared" si="97"/>
        <v>0</v>
      </c>
      <c r="CL137" s="531">
        <f t="shared" si="97"/>
        <v>0</v>
      </c>
      <c r="CM137" s="531">
        <f t="shared" si="97"/>
        <v>0</v>
      </c>
      <c r="CN137" s="531">
        <f t="shared" si="97"/>
        <v>0</v>
      </c>
      <c r="CO137" s="531">
        <f t="shared" si="97"/>
        <v>0</v>
      </c>
      <c r="CP137" s="531">
        <f t="shared" si="97"/>
        <v>0</v>
      </c>
      <c r="CQ137" s="531">
        <f t="shared" si="97"/>
        <v>0</v>
      </c>
      <c r="CR137" s="531">
        <f t="shared" si="97"/>
        <v>0</v>
      </c>
      <c r="CS137" s="531">
        <f t="shared" si="97"/>
        <v>0</v>
      </c>
      <c r="CT137" s="531">
        <f t="shared" si="97"/>
        <v>0</v>
      </c>
      <c r="CU137" s="531">
        <f t="shared" si="97"/>
        <v>0</v>
      </c>
      <c r="CV137" s="531">
        <f t="shared" si="97"/>
        <v>0</v>
      </c>
    </row>
    <row r="138" spans="1:100" s="188" customFormat="1" ht="15" outlineLevel="2" x14ac:dyDescent="0.2">
      <c r="A138" s="141"/>
      <c r="B138" s="1146"/>
      <c r="C138"/>
      <c r="D138"/>
      <c r="E138" s="32" t="str">
        <f t="shared" ref="E138:AJ138" si="98" xml:space="preserve"> E$120</f>
        <v>Operating cost component of tariff discount factor</v>
      </c>
      <c r="F138" s="32">
        <f t="shared" si="98"/>
        <v>0</v>
      </c>
      <c r="G138" s="32" t="str">
        <f t="shared" si="98"/>
        <v>factor</v>
      </c>
      <c r="H138" s="32">
        <f xml:space="preserve"> H$120</f>
        <v>0</v>
      </c>
      <c r="I138" s="32">
        <f t="shared" si="98"/>
        <v>0</v>
      </c>
      <c r="J138" s="1154">
        <f t="shared" si="98"/>
        <v>0</v>
      </c>
      <c r="K138" s="1154">
        <f t="shared" si="98"/>
        <v>0</v>
      </c>
      <c r="L138" s="1154">
        <f t="shared" si="98"/>
        <v>0</v>
      </c>
      <c r="M138" s="1154">
        <f t="shared" si="98"/>
        <v>0</v>
      </c>
      <c r="N138" s="1154">
        <f t="shared" si="98"/>
        <v>0</v>
      </c>
      <c r="O138" s="1154">
        <f t="shared" si="98"/>
        <v>1</v>
      </c>
      <c r="P138" s="1154">
        <f t="shared" si="98"/>
        <v>0.90909090909090906</v>
      </c>
      <c r="Q138" s="1154">
        <f t="shared" si="98"/>
        <v>0.82644628099173545</v>
      </c>
      <c r="R138" s="1154">
        <f t="shared" si="98"/>
        <v>0.75131480090157765</v>
      </c>
      <c r="S138" s="1154">
        <f t="shared" si="98"/>
        <v>0.68301345536507052</v>
      </c>
      <c r="T138" s="1154">
        <f t="shared" si="98"/>
        <v>0.62092132305915493</v>
      </c>
      <c r="U138" s="1154">
        <f t="shared" si="98"/>
        <v>0.56447393005377711</v>
      </c>
      <c r="V138" s="1154">
        <f t="shared" si="98"/>
        <v>0.51315811823070645</v>
      </c>
      <c r="W138" s="1154">
        <f t="shared" si="98"/>
        <v>0.46650738020973309</v>
      </c>
      <c r="X138" s="1154">
        <f t="shared" si="98"/>
        <v>0.42409761837248461</v>
      </c>
      <c r="Y138" s="1154">
        <f t="shared" si="98"/>
        <v>0.38554328942953142</v>
      </c>
      <c r="Z138" s="1154">
        <f t="shared" si="98"/>
        <v>0.35049389948139215</v>
      </c>
      <c r="AA138" s="1154">
        <f t="shared" si="98"/>
        <v>0.31863081771035645</v>
      </c>
      <c r="AB138" s="1154">
        <f t="shared" si="98"/>
        <v>0.28966437973668768</v>
      </c>
      <c r="AC138" s="1154">
        <f t="shared" si="98"/>
        <v>0.26333125430607968</v>
      </c>
      <c r="AD138" s="1154">
        <f t="shared" si="98"/>
        <v>0.23939204936916333</v>
      </c>
      <c r="AE138" s="1154">
        <f t="shared" si="98"/>
        <v>0.21762913579014848</v>
      </c>
      <c r="AF138" s="1154">
        <f t="shared" si="98"/>
        <v>0.19784466890013497</v>
      </c>
      <c r="AG138" s="1154">
        <f t="shared" si="98"/>
        <v>0.17985878990921358</v>
      </c>
      <c r="AH138" s="1154">
        <f t="shared" si="98"/>
        <v>0.16350799082655779</v>
      </c>
      <c r="AI138" s="1154">
        <f t="shared" si="98"/>
        <v>0.14864362802414344</v>
      </c>
      <c r="AJ138" s="1154">
        <f t="shared" si="98"/>
        <v>0.13513057093103947</v>
      </c>
      <c r="AK138" s="1154">
        <f t="shared" ref="AK138:BP138" si="99" xml:space="preserve"> AK$120</f>
        <v>0.12284597357367223</v>
      </c>
      <c r="AL138" s="1154">
        <f t="shared" si="99"/>
        <v>0.11167815779424747</v>
      </c>
      <c r="AM138" s="1154">
        <f t="shared" si="99"/>
        <v>0.10152559799477043</v>
      </c>
      <c r="AN138" s="1154">
        <f t="shared" si="99"/>
        <v>9.229599817706402E-2</v>
      </c>
      <c r="AO138" s="1154">
        <f t="shared" si="99"/>
        <v>8.3905452888240015E-2</v>
      </c>
      <c r="AP138" s="1154">
        <f t="shared" si="99"/>
        <v>7.6277684443854549E-2</v>
      </c>
      <c r="AQ138" s="1154">
        <f t="shared" si="99"/>
        <v>6.9343349494413217E-2</v>
      </c>
      <c r="AR138" s="1154">
        <f t="shared" si="99"/>
        <v>6.3039408631284738E-2</v>
      </c>
      <c r="AS138" s="1154">
        <f t="shared" si="99"/>
        <v>5.7308553301167936E-2</v>
      </c>
      <c r="AT138" s="1154">
        <f t="shared" si="99"/>
        <v>5.2098684819243575E-2</v>
      </c>
      <c r="AU138" s="1154">
        <f t="shared" si="99"/>
        <v>4.7362440744766886E-2</v>
      </c>
      <c r="AV138" s="1154">
        <f t="shared" si="99"/>
        <v>4.3056764313424437E-2</v>
      </c>
      <c r="AW138" s="1154">
        <f t="shared" si="99"/>
        <v>3.9142513012204033E-2</v>
      </c>
      <c r="AX138" s="1154">
        <f t="shared" si="99"/>
        <v>3.5584102738367297E-2</v>
      </c>
      <c r="AY138" s="1154">
        <f t="shared" si="99"/>
        <v>3.2349184307606631E-2</v>
      </c>
      <c r="AZ138" s="1154">
        <f t="shared" si="99"/>
        <v>2.9408349370551479E-2</v>
      </c>
      <c r="BA138" s="1154">
        <f t="shared" si="99"/>
        <v>2.6734863064137707E-2</v>
      </c>
      <c r="BB138" s="1154">
        <f t="shared" si="99"/>
        <v>2.4304420967397912E-2</v>
      </c>
      <c r="BC138" s="1154">
        <f t="shared" si="99"/>
        <v>0</v>
      </c>
      <c r="BD138" s="1154">
        <f t="shared" si="99"/>
        <v>0</v>
      </c>
      <c r="BE138" s="1154">
        <f t="shared" si="99"/>
        <v>0</v>
      </c>
      <c r="BF138" s="1154">
        <f t="shared" si="99"/>
        <v>0</v>
      </c>
      <c r="BG138" s="1154">
        <f t="shared" si="99"/>
        <v>0</v>
      </c>
      <c r="BH138" s="1154">
        <f t="shared" si="99"/>
        <v>0</v>
      </c>
      <c r="BI138" s="1154">
        <f t="shared" si="99"/>
        <v>0</v>
      </c>
      <c r="BJ138" s="1154">
        <f t="shared" si="99"/>
        <v>0</v>
      </c>
      <c r="BK138" s="1154">
        <f t="shared" si="99"/>
        <v>0</v>
      </c>
      <c r="BL138" s="1154">
        <f t="shared" si="99"/>
        <v>0</v>
      </c>
      <c r="BM138" s="1154">
        <f t="shared" si="99"/>
        <v>0</v>
      </c>
      <c r="BN138" s="1154">
        <f t="shared" si="99"/>
        <v>0</v>
      </c>
      <c r="BO138" s="1154">
        <f t="shared" si="99"/>
        <v>0</v>
      </c>
      <c r="BP138" s="1154">
        <f t="shared" si="99"/>
        <v>0</v>
      </c>
      <c r="BQ138" s="1154">
        <f t="shared" ref="BQ138:CV138" si="100" xml:space="preserve"> BQ$120</f>
        <v>0</v>
      </c>
      <c r="BR138" s="1154">
        <f t="shared" si="100"/>
        <v>0</v>
      </c>
      <c r="BS138" s="1154">
        <f t="shared" si="100"/>
        <v>0</v>
      </c>
      <c r="BT138" s="1154">
        <f t="shared" si="100"/>
        <v>0</v>
      </c>
      <c r="BU138" s="1154">
        <f t="shared" si="100"/>
        <v>0</v>
      </c>
      <c r="BV138" s="1154">
        <f t="shared" si="100"/>
        <v>0</v>
      </c>
      <c r="BW138" s="1154">
        <f t="shared" si="100"/>
        <v>0</v>
      </c>
      <c r="BX138" s="1154">
        <f t="shared" si="100"/>
        <v>0</v>
      </c>
      <c r="BY138" s="1154">
        <f t="shared" si="100"/>
        <v>0</v>
      </c>
      <c r="BZ138" s="1154">
        <f t="shared" si="100"/>
        <v>0</v>
      </c>
      <c r="CA138" s="1154">
        <f t="shared" si="100"/>
        <v>0</v>
      </c>
      <c r="CB138" s="1154">
        <f t="shared" si="100"/>
        <v>0</v>
      </c>
      <c r="CC138" s="1154">
        <f t="shared" si="100"/>
        <v>0</v>
      </c>
      <c r="CD138" s="1154">
        <f t="shared" si="100"/>
        <v>0</v>
      </c>
      <c r="CE138" s="1154">
        <f t="shared" si="100"/>
        <v>0</v>
      </c>
      <c r="CF138" s="1154">
        <f t="shared" si="100"/>
        <v>0</v>
      </c>
      <c r="CG138" s="1154">
        <f t="shared" si="100"/>
        <v>0</v>
      </c>
      <c r="CH138" s="1154">
        <f t="shared" si="100"/>
        <v>0</v>
      </c>
      <c r="CI138" s="1154">
        <f t="shared" si="100"/>
        <v>0</v>
      </c>
      <c r="CJ138" s="1154">
        <f t="shared" si="100"/>
        <v>0</v>
      </c>
      <c r="CK138" s="1154">
        <f t="shared" si="100"/>
        <v>0</v>
      </c>
      <c r="CL138" s="1154">
        <f t="shared" si="100"/>
        <v>0</v>
      </c>
      <c r="CM138" s="1154">
        <f t="shared" si="100"/>
        <v>0</v>
      </c>
      <c r="CN138" s="1154">
        <f t="shared" si="100"/>
        <v>0</v>
      </c>
      <c r="CO138" s="1154">
        <f t="shared" si="100"/>
        <v>0</v>
      </c>
      <c r="CP138" s="1154">
        <f t="shared" si="100"/>
        <v>0</v>
      </c>
      <c r="CQ138" s="1154">
        <f t="shared" si="100"/>
        <v>0</v>
      </c>
      <c r="CR138" s="1154">
        <f t="shared" si="100"/>
        <v>0</v>
      </c>
      <c r="CS138" s="1154">
        <f t="shared" si="100"/>
        <v>0</v>
      </c>
      <c r="CT138" s="1154">
        <f t="shared" si="100"/>
        <v>0</v>
      </c>
      <c r="CU138" s="1154">
        <f t="shared" si="100"/>
        <v>0</v>
      </c>
      <c r="CV138" s="1154">
        <f t="shared" si="100"/>
        <v>0</v>
      </c>
    </row>
    <row r="139" spans="1:100" s="188" customFormat="1" ht="15" outlineLevel="2" x14ac:dyDescent="0.2">
      <c r="A139" s="141"/>
      <c r="B139" s="1146"/>
      <c r="C139"/>
      <c r="D139"/>
      <c r="E139" t="s">
        <v>1333</v>
      </c>
      <c r="F139"/>
      <c r="G139" t="str">
        <f>SMU</f>
        <v>$ 000s</v>
      </c>
      <c r="H139" s="1072">
        <f>SUMPRODUCT(J137:BB137,J138:BB138)</f>
        <v>22452.431912128883</v>
      </c>
      <c r="I139" s="1072"/>
      <c r="J139" s="1072"/>
      <c r="K139" s="1072"/>
      <c r="L139" s="1072"/>
      <c r="M139" s="1072"/>
      <c r="N139" s="1072"/>
      <c r="O139" s="1072"/>
      <c r="P139" s="1072"/>
      <c r="Q139" s="1072"/>
      <c r="R139" s="1072"/>
      <c r="S139" s="1072"/>
      <c r="T139" s="1072"/>
      <c r="U139" s="1072"/>
      <c r="V139" s="1072"/>
      <c r="W139" s="1072"/>
      <c r="X139" s="1072"/>
      <c r="Y139" s="1072"/>
      <c r="Z139" s="1072"/>
      <c r="AA139" s="1072"/>
      <c r="AB139" s="1072"/>
      <c r="AC139" s="1072"/>
      <c r="AD139" s="1072"/>
      <c r="AE139" s="1072"/>
      <c r="AF139" s="1072"/>
      <c r="AG139" s="1072"/>
      <c r="AH139" s="1072"/>
      <c r="AI139" s="1072"/>
      <c r="AJ139" s="1072"/>
      <c r="AK139" s="1072"/>
      <c r="AL139" s="1072"/>
      <c r="AM139" s="1072"/>
      <c r="AN139" s="1072"/>
      <c r="AO139" s="1072"/>
      <c r="AP139" s="1072"/>
      <c r="AQ139" s="1072"/>
      <c r="AR139" s="1072"/>
      <c r="AS139" s="1072"/>
      <c r="AT139" s="1072"/>
      <c r="AU139" s="1072"/>
      <c r="AV139" s="1072"/>
      <c r="AW139" s="1072"/>
      <c r="AX139" s="1072"/>
      <c r="AY139" s="1072"/>
      <c r="AZ139" s="1072"/>
      <c r="BA139" s="1072"/>
      <c r="BB139" s="1072"/>
      <c r="BC139" s="1072"/>
      <c r="BD139" s="1072"/>
      <c r="BE139" s="1072"/>
      <c r="BF139" s="1072"/>
      <c r="BG139" s="1072"/>
      <c r="BH139" s="1072"/>
      <c r="BI139" s="1072"/>
      <c r="BJ139" s="1072"/>
      <c r="BK139" s="1072"/>
      <c r="BL139" s="1072"/>
      <c r="BM139" s="1072"/>
      <c r="BN139" s="1072"/>
      <c r="BO139" s="1072"/>
      <c r="BP139" s="1072"/>
      <c r="BQ139" s="1072"/>
      <c r="BR139" s="1072"/>
      <c r="BS139" s="1072"/>
      <c r="BT139" s="1072"/>
      <c r="BU139" s="1072"/>
      <c r="BV139" s="1072"/>
      <c r="BW139" s="1072"/>
      <c r="BX139" s="1072"/>
      <c r="BY139" s="1072"/>
      <c r="BZ139" s="1072"/>
      <c r="CA139" s="1072"/>
      <c r="CB139" s="1072"/>
      <c r="CC139" s="1072"/>
      <c r="CD139" s="1072"/>
      <c r="CE139" s="1072"/>
      <c r="CF139" s="1072"/>
      <c r="CG139" s="1072"/>
      <c r="CH139" s="1072"/>
      <c r="CI139" s="1072"/>
      <c r="CJ139" s="1072"/>
      <c r="CK139" s="1072"/>
      <c r="CL139" s="1072"/>
      <c r="CM139" s="1072"/>
      <c r="CN139" s="1072"/>
      <c r="CO139" s="1072"/>
      <c r="CP139" s="1072"/>
      <c r="CQ139" s="1072"/>
      <c r="CR139" s="1072"/>
      <c r="CS139" s="1072"/>
      <c r="CT139" s="1072"/>
      <c r="CU139" s="1072"/>
      <c r="CV139" s="1072"/>
    </row>
    <row r="140" spans="1:100" s="188" customFormat="1" ht="15" outlineLevel="2" x14ac:dyDescent="0.2">
      <c r="A140" s="141"/>
      <c r="B140" s="1146"/>
      <c r="C140"/>
      <c r="D140"/>
      <c r="E140"/>
      <c r="F140"/>
      <c r="G140"/>
      <c r="H140"/>
      <c r="I140" s="1072"/>
      <c r="J140" s="1072"/>
      <c r="K140" s="1072"/>
      <c r="L140" s="1072"/>
      <c r="M140" s="1072"/>
      <c r="N140" s="1072"/>
      <c r="O140" s="1072"/>
      <c r="P140" s="1072"/>
      <c r="Q140" s="1072"/>
      <c r="R140" s="1072"/>
      <c r="S140" s="1072"/>
      <c r="T140" s="1072"/>
      <c r="U140" s="1072"/>
      <c r="V140" s="1072"/>
      <c r="W140" s="1072"/>
      <c r="X140" s="1072"/>
      <c r="Y140" s="1072"/>
      <c r="Z140" s="1072"/>
      <c r="AA140" s="1072"/>
      <c r="AB140" s="1072"/>
      <c r="AC140" s="1072"/>
      <c r="AD140" s="1072"/>
      <c r="AE140" s="1072"/>
      <c r="AF140" s="1072"/>
      <c r="AG140" s="1072"/>
      <c r="AH140" s="1072"/>
      <c r="AI140" s="1072"/>
      <c r="AJ140" s="1072"/>
      <c r="AK140" s="1072"/>
      <c r="AL140" s="1072"/>
      <c r="AM140" s="1072"/>
      <c r="AN140" s="1072"/>
      <c r="AO140" s="1072"/>
      <c r="AP140" s="1072"/>
      <c r="AQ140" s="1072"/>
      <c r="AR140" s="1072"/>
      <c r="AS140" s="1072"/>
      <c r="AT140" s="1072"/>
      <c r="AU140" s="1072"/>
      <c r="AV140" s="1072"/>
      <c r="AW140" s="1072"/>
      <c r="AX140" s="1072"/>
      <c r="AY140" s="1072"/>
      <c r="AZ140" s="1072"/>
      <c r="BA140" s="1072"/>
      <c r="BB140" s="1072"/>
      <c r="BC140" s="1072"/>
      <c r="BD140" s="1072"/>
      <c r="BE140" s="1072"/>
      <c r="BF140" s="1072"/>
      <c r="BG140" s="1072"/>
      <c r="BH140" s="1072"/>
      <c r="BI140" s="1072"/>
      <c r="BJ140" s="1072"/>
      <c r="BK140" s="1072"/>
      <c r="BL140" s="1072"/>
      <c r="BM140" s="1072"/>
      <c r="BN140" s="1072"/>
      <c r="BO140" s="1072"/>
      <c r="BP140" s="1072"/>
      <c r="BQ140" s="1072"/>
      <c r="BR140" s="1072"/>
      <c r="BS140" s="1072"/>
      <c r="BT140" s="1072"/>
      <c r="BU140" s="1072"/>
      <c r="BV140" s="1072"/>
      <c r="BW140" s="1072"/>
      <c r="BX140" s="1072"/>
      <c r="BY140" s="1072"/>
      <c r="BZ140" s="1072"/>
      <c r="CA140" s="1072"/>
      <c r="CB140" s="1072"/>
      <c r="CC140" s="1072"/>
      <c r="CD140" s="1072"/>
      <c r="CE140" s="1072"/>
      <c r="CF140" s="1072"/>
      <c r="CG140" s="1072"/>
      <c r="CH140" s="1072"/>
      <c r="CI140" s="1072"/>
      <c r="CJ140" s="1072"/>
      <c r="CK140" s="1072"/>
      <c r="CL140" s="1072"/>
      <c r="CM140" s="1072"/>
      <c r="CN140" s="1072"/>
      <c r="CO140" s="1072"/>
      <c r="CP140" s="1072"/>
      <c r="CQ140" s="1072"/>
      <c r="CR140" s="1072"/>
      <c r="CS140" s="1072"/>
      <c r="CT140" s="1072"/>
      <c r="CU140" s="1072"/>
      <c r="CV140" s="1072"/>
    </row>
    <row r="141" spans="1:100" s="188" customFormat="1" ht="15" outlineLevel="2" x14ac:dyDescent="0.2">
      <c r="A141" s="141"/>
      <c r="B141" s="1146"/>
      <c r="C141"/>
      <c r="D141"/>
      <c r="E141" s="1149" t="str">
        <f t="shared" ref="E141:G141" si="101" xml:space="preserve"> E$60</f>
        <v>Power tariff - O&amp;M indexed component (TIn)</v>
      </c>
      <c r="F141" s="1149">
        <f t="shared" si="101"/>
        <v>0</v>
      </c>
      <c r="G141" s="1149" t="str">
        <f t="shared" si="101"/>
        <v>WID Cents / kWh</v>
      </c>
      <c r="H141" s="1149"/>
      <c r="I141" s="1072"/>
      <c r="J141" s="1072"/>
      <c r="K141" s="1072"/>
      <c r="L141" s="1072"/>
      <c r="M141" s="1072"/>
      <c r="N141" s="1072"/>
      <c r="O141" s="1072"/>
      <c r="P141" s="1072"/>
      <c r="Q141" s="1072"/>
      <c r="R141" s="1072"/>
      <c r="S141" s="1072"/>
      <c r="T141" s="1072"/>
      <c r="U141" s="1072"/>
      <c r="V141" s="1072"/>
      <c r="W141" s="1072"/>
      <c r="X141" s="1072"/>
      <c r="Y141" s="1072"/>
      <c r="Z141" s="1072"/>
      <c r="AA141" s="1072"/>
      <c r="AB141" s="1072"/>
      <c r="AC141" s="1072"/>
      <c r="AD141" s="1072"/>
      <c r="AE141" s="1072"/>
      <c r="AF141" s="1072"/>
      <c r="AG141" s="1072"/>
      <c r="AH141" s="1072"/>
      <c r="AI141" s="1072"/>
      <c r="AJ141" s="1072"/>
      <c r="AK141" s="1072"/>
      <c r="AL141" s="1072"/>
      <c r="AM141" s="1072"/>
      <c r="AN141" s="1072"/>
      <c r="AO141" s="1072"/>
      <c r="AP141" s="1072"/>
      <c r="AQ141" s="1072"/>
      <c r="AR141" s="1072"/>
      <c r="AS141" s="1072"/>
      <c r="AT141" s="1072"/>
      <c r="AU141" s="1072"/>
      <c r="AV141" s="1072"/>
      <c r="AW141" s="1072"/>
      <c r="AX141" s="1072"/>
      <c r="AY141" s="1072"/>
      <c r="AZ141" s="1072"/>
      <c r="BA141" s="1072"/>
      <c r="BB141" s="1072"/>
      <c r="BC141" s="1072"/>
      <c r="BD141" s="1072"/>
      <c r="BE141" s="1072"/>
      <c r="BF141" s="1072"/>
      <c r="BG141" s="1072"/>
      <c r="BH141" s="1072"/>
      <c r="BI141" s="1072"/>
      <c r="BJ141" s="1072"/>
      <c r="BK141" s="1072"/>
      <c r="BL141" s="1072"/>
      <c r="BM141" s="1072"/>
      <c r="BN141" s="1072"/>
      <c r="BO141" s="1072"/>
      <c r="BP141" s="1072"/>
      <c r="BQ141" s="1072"/>
      <c r="BR141" s="1072"/>
      <c r="BS141" s="1072"/>
      <c r="BT141" s="1072"/>
      <c r="BU141" s="1072"/>
      <c r="BV141" s="1072"/>
      <c r="BW141" s="1072"/>
      <c r="BX141" s="1072"/>
      <c r="BY141" s="1072"/>
      <c r="BZ141" s="1072"/>
      <c r="CA141" s="1072"/>
      <c r="CB141" s="1072"/>
      <c r="CC141" s="1072"/>
      <c r="CD141" s="1072"/>
      <c r="CE141" s="1072"/>
      <c r="CF141" s="1072"/>
      <c r="CG141" s="1072"/>
      <c r="CH141" s="1072"/>
      <c r="CI141" s="1072"/>
      <c r="CJ141" s="1072"/>
      <c r="CK141" s="1072"/>
      <c r="CL141" s="1072"/>
      <c r="CM141" s="1072"/>
      <c r="CN141" s="1072"/>
      <c r="CO141" s="1072"/>
      <c r="CP141" s="1072"/>
      <c r="CQ141" s="1072"/>
      <c r="CR141" s="1072"/>
      <c r="CS141" s="1072"/>
      <c r="CT141" s="1072"/>
      <c r="CU141" s="1072"/>
      <c r="CV141" s="1072"/>
    </row>
    <row r="142" spans="1:100" ht="15" outlineLevel="1" x14ac:dyDescent="0.2">
      <c r="A142" s="85"/>
      <c r="B142" s="1150"/>
      <c r="C142" s="280"/>
      <c r="D142" s="280"/>
      <c r="E142" s="1151" t="str">
        <f t="shared" ref="E142:H142" si="102" xml:space="preserve"> E$19</f>
        <v>Seasonality adjustment</v>
      </c>
      <c r="F142" s="1151">
        <f t="shared" si="102"/>
        <v>0</v>
      </c>
      <c r="G142" s="1151" t="str">
        <f t="shared" si="102"/>
        <v>%</v>
      </c>
      <c r="H142" s="1151">
        <f t="shared" si="102"/>
        <v>0</v>
      </c>
      <c r="I142" s="390"/>
      <c r="J142" s="390"/>
      <c r="K142" s="390"/>
      <c r="L142" s="390"/>
      <c r="M142" s="390"/>
      <c r="N142" s="390"/>
      <c r="O142" s="390"/>
      <c r="P142" s="390"/>
      <c r="Q142" s="390"/>
      <c r="R142" s="390"/>
      <c r="S142" s="390"/>
      <c r="T142" s="390"/>
      <c r="U142" s="390"/>
      <c r="V142" s="390"/>
      <c r="W142" s="390"/>
      <c r="X142" s="390"/>
      <c r="Y142" s="390"/>
      <c r="Z142" s="390"/>
      <c r="AA142" s="390"/>
      <c r="AB142" s="390"/>
      <c r="AC142" s="390"/>
      <c r="AD142" s="390"/>
      <c r="AE142" s="390"/>
      <c r="AF142" s="390"/>
      <c r="AG142" s="390"/>
      <c r="AH142" s="390"/>
      <c r="AI142" s="390"/>
      <c r="AJ142" s="390"/>
      <c r="AK142" s="390"/>
      <c r="AL142" s="390"/>
      <c r="AM142" s="390"/>
      <c r="AN142" s="390"/>
      <c r="AO142" s="390"/>
      <c r="AP142" s="390"/>
      <c r="AQ142" s="390"/>
      <c r="AR142" s="390"/>
      <c r="AS142" s="390"/>
      <c r="AT142" s="390"/>
      <c r="AU142" s="390"/>
      <c r="AV142" s="390"/>
      <c r="AW142" s="390"/>
      <c r="AX142" s="390"/>
      <c r="AY142" s="390"/>
      <c r="AZ142" s="390"/>
      <c r="BA142" s="390"/>
      <c r="BB142" s="390"/>
      <c r="BC142" s="390"/>
      <c r="BD142" s="390"/>
      <c r="BE142" s="390"/>
      <c r="BF142" s="390"/>
      <c r="BG142" s="390"/>
      <c r="BH142" s="390"/>
      <c r="BI142" s="390"/>
      <c r="BJ142" s="390"/>
      <c r="BK142" s="390"/>
      <c r="BL142" s="390"/>
      <c r="BM142" s="390"/>
      <c r="BN142" s="390"/>
      <c r="BO142" s="390"/>
      <c r="BP142" s="390"/>
      <c r="BQ142" s="390"/>
      <c r="BR142" s="390"/>
      <c r="BS142" s="390"/>
      <c r="BT142" s="390"/>
      <c r="BU142" s="390"/>
      <c r="BV142" s="390"/>
      <c r="BW142" s="390"/>
      <c r="BX142" s="390"/>
      <c r="BY142" s="390"/>
      <c r="BZ142" s="390"/>
      <c r="CA142" s="390"/>
      <c r="CB142" s="390"/>
      <c r="CC142" s="390"/>
      <c r="CD142" s="390"/>
      <c r="CE142" s="390"/>
      <c r="CF142" s="390"/>
      <c r="CG142" s="390"/>
      <c r="CH142" s="390"/>
      <c r="CI142" s="390"/>
      <c r="CJ142" s="390"/>
      <c r="CK142" s="390"/>
      <c r="CL142" s="390"/>
      <c r="CM142" s="390"/>
      <c r="CN142" s="390"/>
      <c r="CO142" s="390"/>
      <c r="CP142" s="390"/>
      <c r="CQ142" s="390"/>
      <c r="CR142" s="390"/>
      <c r="CS142" s="390"/>
      <c r="CT142" s="390"/>
      <c r="CU142" s="390"/>
      <c r="CV142" s="390"/>
    </row>
    <row r="143" spans="1:100" s="191" customFormat="1" ht="15" outlineLevel="1" x14ac:dyDescent="0.2">
      <c r="A143" s="236"/>
      <c r="B143" s="1146"/>
      <c r="C143"/>
      <c r="D143"/>
      <c r="E143" t="s">
        <v>1329</v>
      </c>
      <c r="F143">
        <f xml:space="preserve"> SUMPRODUCT(J141:AI141, J142:AI142)</f>
        <v>0</v>
      </c>
      <c r="G143" t="s">
        <v>1330</v>
      </c>
      <c r="H143"/>
      <c r="I143" s="440"/>
      <c r="J143" s="440"/>
      <c r="K143" s="440"/>
      <c r="L143" s="440"/>
      <c r="M143" s="440"/>
      <c r="N143" s="440"/>
      <c r="O143" s="440"/>
      <c r="P143" s="440"/>
      <c r="Q143" s="440"/>
      <c r="R143" s="440"/>
      <c r="S143" s="440"/>
      <c r="T143" s="440"/>
      <c r="U143" s="440"/>
      <c r="V143" s="440"/>
      <c r="W143" s="440"/>
      <c r="X143" s="440"/>
      <c r="Y143" s="440"/>
      <c r="Z143" s="440"/>
      <c r="AA143" s="440"/>
      <c r="AB143" s="440"/>
      <c r="AC143" s="440"/>
      <c r="AD143" s="440"/>
      <c r="AE143" s="440"/>
      <c r="AF143" s="440"/>
      <c r="AG143" s="440"/>
      <c r="AH143" s="440"/>
      <c r="AI143" s="440"/>
      <c r="AJ143" s="440"/>
      <c r="AK143" s="440"/>
      <c r="AL143" s="440"/>
      <c r="AM143" s="440"/>
      <c r="AN143" s="440"/>
      <c r="AO143" s="440"/>
      <c r="AP143" s="440"/>
      <c r="AQ143" s="440"/>
      <c r="AR143" s="440"/>
      <c r="AS143" s="440"/>
      <c r="AT143" s="440"/>
      <c r="AU143" s="440"/>
      <c r="AV143" s="440"/>
      <c r="AW143" s="440"/>
      <c r="AX143" s="440"/>
      <c r="AY143" s="440"/>
      <c r="AZ143" s="440"/>
      <c r="BA143" s="440"/>
      <c r="BB143" s="440"/>
      <c r="BC143" s="440"/>
      <c r="BD143" s="440"/>
      <c r="BE143" s="440"/>
      <c r="BF143" s="440"/>
      <c r="BG143" s="440"/>
      <c r="BH143" s="440"/>
      <c r="BI143" s="440"/>
      <c r="BJ143" s="440"/>
      <c r="BK143" s="440"/>
      <c r="BL143" s="440"/>
      <c r="BM143" s="440"/>
      <c r="BN143" s="440"/>
      <c r="BO143" s="440"/>
      <c r="BP143" s="440"/>
      <c r="BQ143" s="440"/>
      <c r="BR143" s="440"/>
      <c r="BS143" s="440"/>
      <c r="BT143" s="440"/>
      <c r="BU143" s="440"/>
      <c r="BV143" s="440"/>
      <c r="BW143" s="440"/>
      <c r="BX143" s="440"/>
      <c r="BY143" s="440"/>
      <c r="BZ143" s="440"/>
      <c r="CA143" s="440"/>
      <c r="CB143" s="440"/>
      <c r="CC143" s="440"/>
      <c r="CD143" s="440"/>
      <c r="CE143" s="440"/>
      <c r="CF143" s="440"/>
      <c r="CG143" s="440"/>
      <c r="CH143" s="440"/>
      <c r="CI143" s="440"/>
      <c r="CJ143" s="440"/>
      <c r="CK143" s="440"/>
      <c r="CL143" s="440"/>
      <c r="CM143" s="440"/>
      <c r="CN143" s="440"/>
      <c r="CO143" s="440"/>
      <c r="CP143" s="440"/>
      <c r="CQ143" s="440"/>
      <c r="CR143" s="440"/>
      <c r="CS143" s="440"/>
      <c r="CT143" s="440"/>
      <c r="CU143" s="440"/>
      <c r="CV143" s="440"/>
    </row>
    <row r="144" spans="1:100" s="191" customFormat="1" ht="15" outlineLevel="1" x14ac:dyDescent="0.2">
      <c r="A144" s="236"/>
      <c r="B144" s="1146"/>
      <c r="C144"/>
      <c r="D144"/>
      <c r="E144"/>
      <c r="F144"/>
      <c r="G144"/>
      <c r="H144"/>
      <c r="I144" s="440"/>
      <c r="J144" s="440"/>
      <c r="K144" s="440"/>
      <c r="L144" s="440"/>
      <c r="M144" s="440"/>
      <c r="N144" s="440"/>
      <c r="O144" s="440"/>
      <c r="P144" s="440"/>
      <c r="Q144" s="440"/>
      <c r="R144" s="440"/>
      <c r="S144" s="440"/>
      <c r="T144" s="440"/>
      <c r="U144" s="440"/>
      <c r="V144" s="440"/>
      <c r="W144" s="440"/>
      <c r="X144" s="440"/>
      <c r="Y144" s="440"/>
      <c r="Z144" s="440"/>
      <c r="AA144" s="440"/>
      <c r="AB144" s="440"/>
      <c r="AC144" s="440"/>
      <c r="AD144" s="440"/>
      <c r="AE144" s="440"/>
      <c r="AF144" s="440"/>
      <c r="AG144" s="440"/>
      <c r="AH144" s="440"/>
      <c r="AI144" s="440"/>
      <c r="AJ144" s="440"/>
      <c r="AK144" s="440"/>
      <c r="AL144" s="440"/>
      <c r="AM144" s="440"/>
      <c r="AN144" s="440"/>
      <c r="AO144" s="440"/>
      <c r="AP144" s="440"/>
      <c r="AQ144" s="440"/>
      <c r="AR144" s="440"/>
      <c r="AS144" s="440"/>
      <c r="AT144" s="440"/>
      <c r="AU144" s="440"/>
      <c r="AV144" s="440"/>
      <c r="AW144" s="440"/>
      <c r="AX144" s="440"/>
      <c r="AY144" s="440"/>
      <c r="AZ144" s="440"/>
      <c r="BA144" s="440"/>
      <c r="BB144" s="440"/>
      <c r="BC144" s="440"/>
      <c r="BD144" s="440"/>
      <c r="BE144" s="440"/>
      <c r="BF144" s="440"/>
      <c r="BG144" s="440"/>
      <c r="BH144" s="440"/>
      <c r="BI144" s="440"/>
      <c r="BJ144" s="440"/>
      <c r="BK144" s="440"/>
      <c r="BL144" s="440"/>
      <c r="BM144" s="440"/>
      <c r="BN144" s="440"/>
      <c r="BO144" s="440"/>
      <c r="BP144" s="440"/>
      <c r="BQ144" s="440"/>
      <c r="BR144" s="440"/>
      <c r="BS144" s="440"/>
      <c r="BT144" s="440"/>
      <c r="BU144" s="440"/>
      <c r="BV144" s="440"/>
      <c r="BW144" s="440"/>
      <c r="BX144" s="440"/>
      <c r="BY144" s="440"/>
      <c r="BZ144" s="440"/>
      <c r="CA144" s="440"/>
      <c r="CB144" s="440"/>
      <c r="CC144" s="440"/>
      <c r="CD144" s="440"/>
      <c r="CE144" s="440"/>
      <c r="CF144" s="440"/>
      <c r="CG144" s="440"/>
      <c r="CH144" s="440"/>
      <c r="CI144" s="440"/>
      <c r="CJ144" s="440"/>
      <c r="CK144" s="440"/>
      <c r="CL144" s="440"/>
      <c r="CM144" s="440"/>
      <c r="CN144" s="440"/>
      <c r="CO144" s="440"/>
      <c r="CP144" s="440"/>
      <c r="CQ144" s="440"/>
      <c r="CR144" s="440"/>
      <c r="CS144" s="440"/>
      <c r="CT144" s="440"/>
      <c r="CU144" s="440"/>
      <c r="CV144" s="440"/>
    </row>
    <row r="145" spans="1:100" outlineLevel="2" x14ac:dyDescent="0.2">
      <c r="A145" s="85"/>
      <c r="B145" s="85"/>
      <c r="C145" s="86"/>
      <c r="D145" s="87"/>
      <c r="E145" s="145" t="str">
        <f xml:space="preserve"> InpC!E$115</f>
        <v>Annual Project Co cost</v>
      </c>
      <c r="F145" s="145">
        <f xml:space="preserve"> InpC!F$115</f>
        <v>500</v>
      </c>
      <c r="G145" s="145" t="str">
        <f xml:space="preserve"> InpC!G$115</f>
        <v>$ 000s p.a.</v>
      </c>
      <c r="H145" s="145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</row>
    <row r="146" spans="1:100" outlineLevel="2" x14ac:dyDescent="0.2">
      <c r="A146" s="85"/>
      <c r="B146" s="85"/>
      <c r="C146" s="86"/>
      <c r="D146" s="87"/>
      <c r="E146" s="396" t="str">
        <f xml:space="preserve"> InpC!E$415</f>
        <v>Number of periods in a year</v>
      </c>
      <c r="F146" s="396">
        <f xml:space="preserve"> InpC!F$415</f>
        <v>2</v>
      </c>
      <c r="G146" s="396" t="str">
        <f xml:space="preserve"> InpC!G$415</f>
        <v>periods</v>
      </c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  <c r="BK146" s="68"/>
      <c r="BL146" s="68"/>
      <c r="BM146" s="68"/>
      <c r="BN146" s="68"/>
      <c r="BO146" s="68"/>
      <c r="BP146" s="68"/>
      <c r="BQ146" s="68"/>
      <c r="BR146" s="68"/>
      <c r="BS146" s="68"/>
      <c r="BT146" s="68"/>
      <c r="BU146" s="68"/>
      <c r="BV146" s="68"/>
      <c r="BW146" s="68"/>
      <c r="BX146" s="68"/>
      <c r="BY146" s="68"/>
      <c r="BZ146" s="68"/>
      <c r="CA146" s="68"/>
      <c r="CB146" s="68"/>
      <c r="CC146" s="68"/>
      <c r="CD146" s="68"/>
      <c r="CE146" s="68"/>
      <c r="CF146" s="68"/>
      <c r="CG146" s="68"/>
      <c r="CH146" s="68"/>
      <c r="CI146" s="68"/>
      <c r="CJ146" s="68"/>
      <c r="CK146" s="68"/>
      <c r="CL146" s="68"/>
      <c r="CM146" s="68"/>
      <c r="CN146" s="68"/>
      <c r="CO146" s="68"/>
      <c r="CP146" s="68"/>
      <c r="CQ146" s="68"/>
      <c r="CR146" s="68"/>
      <c r="CS146" s="68"/>
      <c r="CT146" s="68"/>
      <c r="CU146" s="68"/>
      <c r="CV146" s="68"/>
    </row>
    <row r="147" spans="1:100" s="280" customFormat="1" outlineLevel="2" x14ac:dyDescent="0.2">
      <c r="A147" s="473"/>
      <c r="B147" s="473"/>
      <c r="C147" s="474"/>
      <c r="D147" s="475"/>
      <c r="E147" s="476" t="str">
        <f xml:space="preserve"> Esc!E$55</f>
        <v>O&amp;M escalation factor</v>
      </c>
      <c r="F147" s="476">
        <f xml:space="preserve"> Esc!F$55</f>
        <v>0</v>
      </c>
      <c r="G147" s="476" t="str">
        <f xml:space="preserve"> Esc!G$55</f>
        <v>factor</v>
      </c>
      <c r="H147" s="476">
        <f xml:space="preserve"> Esc!H$55</f>
        <v>0</v>
      </c>
      <c r="I147" s="476">
        <f xml:space="preserve"> Esc!I$55</f>
        <v>0</v>
      </c>
      <c r="J147" s="476">
        <f xml:space="preserve"> Esc!J$55</f>
        <v>1</v>
      </c>
      <c r="K147" s="476">
        <f xml:space="preserve"> Esc!K$55</f>
        <v>1</v>
      </c>
      <c r="L147" s="476">
        <f xml:space="preserve"> Esc!L$55</f>
        <v>1</v>
      </c>
      <c r="M147" s="476">
        <f xml:space="preserve"> Esc!M$55</f>
        <v>1</v>
      </c>
      <c r="N147" s="476">
        <f xml:space="preserve"> Esc!N$55</f>
        <v>1</v>
      </c>
      <c r="O147" s="476">
        <f xml:space="preserve"> Esc!O$55</f>
        <v>1.08243216</v>
      </c>
      <c r="P147" s="476">
        <f xml:space="preserve"> Esc!P$55</f>
        <v>1.08243216</v>
      </c>
      <c r="Q147" s="476">
        <f xml:space="preserve"> Esc!Q$55</f>
        <v>1.1040808032</v>
      </c>
      <c r="R147" s="476">
        <f xml:space="preserve"> Esc!R$55</f>
        <v>1.1040808032</v>
      </c>
      <c r="S147" s="476">
        <f xml:space="preserve"> Esc!S$55</f>
        <v>1.1261624192640001</v>
      </c>
      <c r="T147" s="476">
        <f xml:space="preserve"> Esc!T$55</f>
        <v>1.1261624192640001</v>
      </c>
      <c r="U147" s="476">
        <f xml:space="preserve"> Esc!U$55</f>
        <v>1.1486856676492798</v>
      </c>
      <c r="V147" s="476">
        <f xml:space="preserve"> Esc!V$55</f>
        <v>1.1486856676492798</v>
      </c>
      <c r="W147" s="476">
        <f xml:space="preserve"> Esc!W$55</f>
        <v>1.1716593810022655</v>
      </c>
      <c r="X147" s="476">
        <f xml:space="preserve"> Esc!X$55</f>
        <v>1.1716593810022655</v>
      </c>
      <c r="Y147" s="476">
        <f xml:space="preserve"> Esc!Y$55</f>
        <v>1.1950925686223108</v>
      </c>
      <c r="Z147" s="476">
        <f xml:space="preserve"> Esc!Z$55</f>
        <v>1.1950925686223108</v>
      </c>
      <c r="AA147" s="476">
        <f xml:space="preserve"> Esc!AA$55</f>
        <v>1.2189944199947571</v>
      </c>
      <c r="AB147" s="476">
        <f xml:space="preserve"> Esc!AB$55</f>
        <v>1.2189944199947571</v>
      </c>
      <c r="AC147" s="476">
        <f xml:space="preserve"> Esc!AC$55</f>
        <v>1.243374308394652</v>
      </c>
      <c r="AD147" s="476">
        <f xml:space="preserve"> Esc!AD$55</f>
        <v>1.243374308394652</v>
      </c>
      <c r="AE147" s="476">
        <f xml:space="preserve"> Esc!AE$55</f>
        <v>1.2682417945625453</v>
      </c>
      <c r="AF147" s="476">
        <f xml:space="preserve"> Esc!AF$55</f>
        <v>1.2682417945625453</v>
      </c>
      <c r="AG147" s="476">
        <f xml:space="preserve"> Esc!AG$55</f>
        <v>1.2936066304537961</v>
      </c>
      <c r="AH147" s="476">
        <f xml:space="preserve"> Esc!AH$55</f>
        <v>1.2936066304537961</v>
      </c>
      <c r="AI147" s="476">
        <f xml:space="preserve"> Esc!AI$55</f>
        <v>1.3194787630628722</v>
      </c>
      <c r="AJ147" s="476">
        <f xml:space="preserve"> Esc!AJ$55</f>
        <v>1.3194787630628722</v>
      </c>
      <c r="AK147" s="476">
        <f xml:space="preserve"> Esc!AK$55</f>
        <v>1.3458683383241292</v>
      </c>
      <c r="AL147" s="476">
        <f xml:space="preserve"> Esc!AL$55</f>
        <v>1.3458683383241292</v>
      </c>
      <c r="AM147" s="476">
        <f xml:space="preserve"> Esc!AM$55</f>
        <v>1.372785705090612</v>
      </c>
      <c r="AN147" s="476">
        <f xml:space="preserve"> Esc!AN$55</f>
        <v>1.372785705090612</v>
      </c>
      <c r="AO147" s="476">
        <f xml:space="preserve"> Esc!AO$55</f>
        <v>1.4002414191924244</v>
      </c>
      <c r="AP147" s="476">
        <f xml:space="preserve"> Esc!AP$55</f>
        <v>1.4002414191924244</v>
      </c>
      <c r="AQ147" s="476">
        <f xml:space="preserve"> Esc!AQ$55</f>
        <v>1.4282462475762727</v>
      </c>
      <c r="AR147" s="476">
        <f xml:space="preserve"> Esc!AR$55</f>
        <v>1.4282462475762727</v>
      </c>
      <c r="AS147" s="476">
        <f xml:space="preserve"> Esc!AS$55</f>
        <v>1.4568111725277981</v>
      </c>
      <c r="AT147" s="476">
        <f xml:space="preserve"> Esc!AT$55</f>
        <v>1.4568111725277981</v>
      </c>
      <c r="AU147" s="476">
        <f xml:space="preserve"> Esc!AU$55</f>
        <v>1.4859473959783542</v>
      </c>
      <c r="AV147" s="476">
        <f xml:space="preserve"> Esc!AV$55</f>
        <v>1.4859473959783542</v>
      </c>
      <c r="AW147" s="476">
        <f xml:space="preserve"> Esc!AW$55</f>
        <v>1.5156663438979212</v>
      </c>
      <c r="AX147" s="476">
        <f xml:space="preserve"> Esc!AX$55</f>
        <v>1.5156663438979212</v>
      </c>
      <c r="AY147" s="476">
        <f xml:space="preserve"> Esc!AY$55</f>
        <v>1.5459796707758797</v>
      </c>
      <c r="AZ147" s="476">
        <f xml:space="preserve"> Esc!AZ$55</f>
        <v>1.5459796707758797</v>
      </c>
      <c r="BA147" s="476">
        <f xml:space="preserve"> Esc!BA$55</f>
        <v>1.576899264191397</v>
      </c>
      <c r="BB147" s="476">
        <f xml:space="preserve"> Esc!BB$55</f>
        <v>1.576899264191397</v>
      </c>
      <c r="BC147" s="476">
        <f xml:space="preserve"> Esc!BC$55</f>
        <v>1</v>
      </c>
      <c r="BD147" s="476">
        <f xml:space="preserve"> Esc!BD$55</f>
        <v>1</v>
      </c>
      <c r="BE147" s="476">
        <f xml:space="preserve"> Esc!BE$55</f>
        <v>1</v>
      </c>
      <c r="BF147" s="476">
        <f xml:space="preserve"> Esc!BF$55</f>
        <v>1</v>
      </c>
      <c r="BG147" s="476">
        <f xml:space="preserve"> Esc!BG$55</f>
        <v>1</v>
      </c>
      <c r="BH147" s="476">
        <f xml:space="preserve"> Esc!BH$55</f>
        <v>1</v>
      </c>
      <c r="BI147" s="476">
        <f xml:space="preserve"> Esc!BI$55</f>
        <v>1</v>
      </c>
      <c r="BJ147" s="476">
        <f xml:space="preserve"> Esc!BJ$55</f>
        <v>1</v>
      </c>
      <c r="BK147" s="476">
        <f xml:space="preserve"> Esc!BK$55</f>
        <v>1</v>
      </c>
      <c r="BL147" s="476">
        <f xml:space="preserve"> Esc!BL$55</f>
        <v>1</v>
      </c>
      <c r="BM147" s="476">
        <f xml:space="preserve"> Esc!BM$55</f>
        <v>1</v>
      </c>
      <c r="BN147" s="476">
        <f xml:space="preserve"> Esc!BN$55</f>
        <v>1</v>
      </c>
      <c r="BO147" s="476">
        <f xml:space="preserve"> Esc!BO$55</f>
        <v>1</v>
      </c>
      <c r="BP147" s="476">
        <f xml:space="preserve"> Esc!BP$55</f>
        <v>1</v>
      </c>
      <c r="BQ147" s="476">
        <f xml:space="preserve"> Esc!BQ$55</f>
        <v>1</v>
      </c>
      <c r="BR147" s="476">
        <f xml:space="preserve"> Esc!BR$55</f>
        <v>1</v>
      </c>
      <c r="BS147" s="476">
        <f xml:space="preserve"> Esc!BS$55</f>
        <v>1</v>
      </c>
      <c r="BT147" s="476">
        <f xml:space="preserve"> Esc!BT$55</f>
        <v>1</v>
      </c>
      <c r="BU147" s="476">
        <f xml:space="preserve"> Esc!BU$55</f>
        <v>1</v>
      </c>
      <c r="BV147" s="476">
        <f xml:space="preserve"> Esc!BV$55</f>
        <v>1</v>
      </c>
      <c r="BW147" s="476">
        <f xml:space="preserve"> Esc!BW$55</f>
        <v>1</v>
      </c>
      <c r="BX147" s="476">
        <f xml:space="preserve"> Esc!BX$55</f>
        <v>1</v>
      </c>
      <c r="BY147" s="476">
        <f xml:space="preserve"> Esc!BY$55</f>
        <v>1</v>
      </c>
      <c r="BZ147" s="476">
        <f xml:space="preserve"> Esc!BZ$55</f>
        <v>1</v>
      </c>
      <c r="CA147" s="476">
        <f xml:space="preserve"> Esc!CA$55</f>
        <v>1</v>
      </c>
      <c r="CB147" s="476">
        <f xml:space="preserve"> Esc!CB$55</f>
        <v>1</v>
      </c>
      <c r="CC147" s="476">
        <f xml:space="preserve"> Esc!CC$55</f>
        <v>1</v>
      </c>
      <c r="CD147" s="476">
        <f xml:space="preserve"> Esc!CD$55</f>
        <v>1</v>
      </c>
      <c r="CE147" s="476">
        <f xml:space="preserve"> Esc!CE$55</f>
        <v>1</v>
      </c>
      <c r="CF147" s="476">
        <f xml:space="preserve"> Esc!CF$55</f>
        <v>1</v>
      </c>
      <c r="CG147" s="476">
        <f xml:space="preserve"> Esc!CG$55</f>
        <v>1</v>
      </c>
      <c r="CH147" s="476">
        <f xml:space="preserve"> Esc!CH$55</f>
        <v>1</v>
      </c>
      <c r="CI147" s="476">
        <f xml:space="preserve"> Esc!CI$55</f>
        <v>1</v>
      </c>
      <c r="CJ147" s="476">
        <f xml:space="preserve"> Esc!CJ$55</f>
        <v>1</v>
      </c>
      <c r="CK147" s="476">
        <f xml:space="preserve"> Esc!CK$55</f>
        <v>1</v>
      </c>
      <c r="CL147" s="476">
        <f xml:space="preserve"> Esc!CL$55</f>
        <v>1</v>
      </c>
      <c r="CM147" s="476">
        <f xml:space="preserve"> Esc!CM$55</f>
        <v>1</v>
      </c>
      <c r="CN147" s="476">
        <f xml:space="preserve"> Esc!CN$55</f>
        <v>1</v>
      </c>
      <c r="CO147" s="476">
        <f xml:space="preserve"> Esc!CO$55</f>
        <v>1</v>
      </c>
      <c r="CP147" s="476">
        <f xml:space="preserve"> Esc!CP$55</f>
        <v>1</v>
      </c>
      <c r="CQ147" s="476">
        <f xml:space="preserve"> Esc!CQ$55</f>
        <v>1</v>
      </c>
      <c r="CR147" s="476">
        <f xml:space="preserve"> Esc!CR$55</f>
        <v>1</v>
      </c>
      <c r="CS147" s="476">
        <f xml:space="preserve"> Esc!CS$55</f>
        <v>1</v>
      </c>
      <c r="CT147" s="476">
        <f xml:space="preserve"> Esc!CT$55</f>
        <v>1</v>
      </c>
      <c r="CU147" s="476">
        <f xml:space="preserve"> Esc!CU$55</f>
        <v>1</v>
      </c>
      <c r="CV147" s="476">
        <f xml:space="preserve"> Esc!CV$55</f>
        <v>1</v>
      </c>
    </row>
    <row r="148" spans="1:100" outlineLevel="2" x14ac:dyDescent="0.2">
      <c r="A148" s="85"/>
      <c r="B148" s="85"/>
      <c r="C148" s="86"/>
      <c r="D148" s="87"/>
      <c r="E148" s="390" t="str">
        <f xml:space="preserve"> Time!E$106</f>
        <v>Operating period flag</v>
      </c>
      <c r="F148" s="390">
        <f xml:space="preserve"> Time!F$106</f>
        <v>0</v>
      </c>
      <c r="G148" s="390" t="str">
        <f xml:space="preserve"> Time!G$106</f>
        <v>flag</v>
      </c>
      <c r="H148" s="390">
        <f xml:space="preserve"> Time!H$106</f>
        <v>40</v>
      </c>
      <c r="I148" s="390">
        <f xml:space="preserve"> Time!I$106</f>
        <v>0</v>
      </c>
      <c r="J148" s="390">
        <f xml:space="preserve"> Time!J$106</f>
        <v>0</v>
      </c>
      <c r="K148" s="390">
        <f xml:space="preserve"> Time!K$106</f>
        <v>0</v>
      </c>
      <c r="L148" s="390">
        <f xml:space="preserve"> Time!L$106</f>
        <v>0</v>
      </c>
      <c r="M148" s="390">
        <f xml:space="preserve"> Time!M$106</f>
        <v>0</v>
      </c>
      <c r="N148" s="390">
        <f xml:space="preserve"> Time!N$106</f>
        <v>0</v>
      </c>
      <c r="O148" s="390">
        <f xml:space="preserve"> Time!O$106</f>
        <v>1</v>
      </c>
      <c r="P148" s="390">
        <f xml:space="preserve"> Time!P$106</f>
        <v>1</v>
      </c>
      <c r="Q148" s="390">
        <f xml:space="preserve"> Time!Q$106</f>
        <v>1</v>
      </c>
      <c r="R148" s="390">
        <f xml:space="preserve"> Time!R$106</f>
        <v>1</v>
      </c>
      <c r="S148" s="390">
        <f xml:space="preserve"> Time!S$106</f>
        <v>1</v>
      </c>
      <c r="T148" s="390">
        <f xml:space="preserve"> Time!T$106</f>
        <v>1</v>
      </c>
      <c r="U148" s="390">
        <f xml:space="preserve"> Time!U$106</f>
        <v>1</v>
      </c>
      <c r="V148" s="390">
        <f xml:space="preserve"> Time!V$106</f>
        <v>1</v>
      </c>
      <c r="W148" s="390">
        <f xml:space="preserve"> Time!W$106</f>
        <v>1</v>
      </c>
      <c r="X148" s="390">
        <f xml:space="preserve"> Time!X$106</f>
        <v>1</v>
      </c>
      <c r="Y148" s="390">
        <f xml:space="preserve"> Time!Y$106</f>
        <v>1</v>
      </c>
      <c r="Z148" s="390">
        <f xml:space="preserve"> Time!Z$106</f>
        <v>1</v>
      </c>
      <c r="AA148" s="390">
        <f xml:space="preserve"> Time!AA$106</f>
        <v>1</v>
      </c>
      <c r="AB148" s="390">
        <f xml:space="preserve"> Time!AB$106</f>
        <v>1</v>
      </c>
      <c r="AC148" s="390">
        <f xml:space="preserve"> Time!AC$106</f>
        <v>1</v>
      </c>
      <c r="AD148" s="390">
        <f xml:space="preserve"> Time!AD$106</f>
        <v>1</v>
      </c>
      <c r="AE148" s="390">
        <f xml:space="preserve"> Time!AE$106</f>
        <v>1</v>
      </c>
      <c r="AF148" s="390">
        <f xml:space="preserve"> Time!AF$106</f>
        <v>1</v>
      </c>
      <c r="AG148" s="390">
        <f xml:space="preserve"> Time!AG$106</f>
        <v>1</v>
      </c>
      <c r="AH148" s="390">
        <f xml:space="preserve"> Time!AH$106</f>
        <v>1</v>
      </c>
      <c r="AI148" s="390">
        <f xml:space="preserve"> Time!AI$106</f>
        <v>1</v>
      </c>
      <c r="AJ148" s="390">
        <f xml:space="preserve"> Time!AJ$106</f>
        <v>1</v>
      </c>
      <c r="AK148" s="390">
        <f xml:space="preserve"> Time!AK$106</f>
        <v>1</v>
      </c>
      <c r="AL148" s="390">
        <f xml:space="preserve"> Time!AL$106</f>
        <v>1</v>
      </c>
      <c r="AM148" s="390">
        <f xml:space="preserve"> Time!AM$106</f>
        <v>1</v>
      </c>
      <c r="AN148" s="390">
        <f xml:space="preserve"> Time!AN$106</f>
        <v>1</v>
      </c>
      <c r="AO148" s="390">
        <f xml:space="preserve"> Time!AO$106</f>
        <v>1</v>
      </c>
      <c r="AP148" s="390">
        <f xml:space="preserve"> Time!AP$106</f>
        <v>1</v>
      </c>
      <c r="AQ148" s="390">
        <f xml:space="preserve"> Time!AQ$106</f>
        <v>1</v>
      </c>
      <c r="AR148" s="390">
        <f xml:space="preserve"> Time!AR$106</f>
        <v>1</v>
      </c>
      <c r="AS148" s="390">
        <f xml:space="preserve"> Time!AS$106</f>
        <v>1</v>
      </c>
      <c r="AT148" s="390">
        <f xml:space="preserve"> Time!AT$106</f>
        <v>1</v>
      </c>
      <c r="AU148" s="390">
        <f xml:space="preserve"> Time!AU$106</f>
        <v>1</v>
      </c>
      <c r="AV148" s="390">
        <f xml:space="preserve"> Time!AV$106</f>
        <v>1</v>
      </c>
      <c r="AW148" s="390">
        <f xml:space="preserve"> Time!AW$106</f>
        <v>1</v>
      </c>
      <c r="AX148" s="390">
        <f xml:space="preserve"> Time!AX$106</f>
        <v>1</v>
      </c>
      <c r="AY148" s="390">
        <f xml:space="preserve"> Time!AY$106</f>
        <v>1</v>
      </c>
      <c r="AZ148" s="390">
        <f xml:space="preserve"> Time!AZ$106</f>
        <v>1</v>
      </c>
      <c r="BA148" s="390">
        <f xml:space="preserve"> Time!BA$106</f>
        <v>1</v>
      </c>
      <c r="BB148" s="390">
        <f xml:space="preserve"> Time!BB$106</f>
        <v>1</v>
      </c>
      <c r="BC148" s="390">
        <f xml:space="preserve"> Time!BC$106</f>
        <v>0</v>
      </c>
      <c r="BD148" s="390">
        <f xml:space="preserve"> Time!BD$106</f>
        <v>0</v>
      </c>
      <c r="BE148" s="390">
        <f xml:space="preserve"> Time!BE$106</f>
        <v>0</v>
      </c>
      <c r="BF148" s="390">
        <f xml:space="preserve"> Time!BF$106</f>
        <v>0</v>
      </c>
      <c r="BG148" s="390">
        <f xml:space="preserve"> Time!BG$106</f>
        <v>0</v>
      </c>
      <c r="BH148" s="390">
        <f xml:space="preserve"> Time!BH$106</f>
        <v>0</v>
      </c>
      <c r="BI148" s="390">
        <f xml:space="preserve"> Time!BI$106</f>
        <v>0</v>
      </c>
      <c r="BJ148" s="390">
        <f xml:space="preserve"> Time!BJ$106</f>
        <v>0</v>
      </c>
      <c r="BK148" s="390">
        <f xml:space="preserve"> Time!BK$106</f>
        <v>0</v>
      </c>
      <c r="BL148" s="390">
        <f xml:space="preserve"> Time!BL$106</f>
        <v>0</v>
      </c>
      <c r="BM148" s="390">
        <f xml:space="preserve"> Time!BM$106</f>
        <v>0</v>
      </c>
      <c r="BN148" s="390">
        <f xml:space="preserve"> Time!BN$106</f>
        <v>0</v>
      </c>
      <c r="BO148" s="390">
        <f xml:space="preserve"> Time!BO$106</f>
        <v>0</v>
      </c>
      <c r="BP148" s="390">
        <f xml:space="preserve"> Time!BP$106</f>
        <v>0</v>
      </c>
      <c r="BQ148" s="390">
        <f xml:space="preserve"> Time!BQ$106</f>
        <v>0</v>
      </c>
      <c r="BR148" s="390">
        <f xml:space="preserve"> Time!BR$106</f>
        <v>0</v>
      </c>
      <c r="BS148" s="390">
        <f xml:space="preserve"> Time!BS$106</f>
        <v>0</v>
      </c>
      <c r="BT148" s="390">
        <f xml:space="preserve"> Time!BT$106</f>
        <v>0</v>
      </c>
      <c r="BU148" s="390">
        <f xml:space="preserve"> Time!BU$106</f>
        <v>0</v>
      </c>
      <c r="BV148" s="390">
        <f xml:space="preserve"> Time!BV$106</f>
        <v>0</v>
      </c>
      <c r="BW148" s="390">
        <f xml:space="preserve"> Time!BW$106</f>
        <v>0</v>
      </c>
      <c r="BX148" s="390">
        <f xml:space="preserve"> Time!BX$106</f>
        <v>0</v>
      </c>
      <c r="BY148" s="390">
        <f xml:space="preserve"> Time!BY$106</f>
        <v>0</v>
      </c>
      <c r="BZ148" s="390">
        <f xml:space="preserve"> Time!BZ$106</f>
        <v>0</v>
      </c>
      <c r="CA148" s="390">
        <f xml:space="preserve"> Time!CA$106</f>
        <v>0</v>
      </c>
      <c r="CB148" s="390">
        <f xml:space="preserve"> Time!CB$106</f>
        <v>0</v>
      </c>
      <c r="CC148" s="390">
        <f xml:space="preserve"> Time!CC$106</f>
        <v>0</v>
      </c>
      <c r="CD148" s="390">
        <f xml:space="preserve"> Time!CD$106</f>
        <v>0</v>
      </c>
      <c r="CE148" s="390">
        <f xml:space="preserve"> Time!CE$106</f>
        <v>0</v>
      </c>
      <c r="CF148" s="390">
        <f xml:space="preserve"> Time!CF$106</f>
        <v>0</v>
      </c>
      <c r="CG148" s="390">
        <f xml:space="preserve"> Time!CG$106</f>
        <v>0</v>
      </c>
      <c r="CH148" s="390">
        <f xml:space="preserve"> Time!CH$106</f>
        <v>0</v>
      </c>
      <c r="CI148" s="390">
        <f xml:space="preserve"> Time!CI$106</f>
        <v>0</v>
      </c>
      <c r="CJ148" s="390">
        <f xml:space="preserve"> Time!CJ$106</f>
        <v>0</v>
      </c>
      <c r="CK148" s="390">
        <f xml:space="preserve"> Time!CK$106</f>
        <v>0</v>
      </c>
      <c r="CL148" s="390">
        <f xml:space="preserve"> Time!CL$106</f>
        <v>0</v>
      </c>
      <c r="CM148" s="390">
        <f xml:space="preserve"> Time!CM$106</f>
        <v>0</v>
      </c>
      <c r="CN148" s="390">
        <f xml:space="preserve"> Time!CN$106</f>
        <v>0</v>
      </c>
      <c r="CO148" s="390">
        <f xml:space="preserve"> Time!CO$106</f>
        <v>0</v>
      </c>
      <c r="CP148" s="390">
        <f xml:space="preserve"> Time!CP$106</f>
        <v>0</v>
      </c>
      <c r="CQ148" s="390">
        <f xml:space="preserve"> Time!CQ$106</f>
        <v>0</v>
      </c>
      <c r="CR148" s="390">
        <f xml:space="preserve"> Time!CR$106</f>
        <v>0</v>
      </c>
      <c r="CS148" s="390">
        <f xml:space="preserve"> Time!CS$106</f>
        <v>0</v>
      </c>
      <c r="CT148" s="390">
        <f xml:space="preserve"> Time!CT$106</f>
        <v>0</v>
      </c>
      <c r="CU148" s="390">
        <f xml:space="preserve"> Time!CU$106</f>
        <v>0</v>
      </c>
      <c r="CV148" s="390">
        <f xml:space="preserve"> Time!CV$106</f>
        <v>0</v>
      </c>
    </row>
    <row r="149" spans="1:100" s="188" customFormat="1" outlineLevel="2" x14ac:dyDescent="0.2">
      <c r="A149" s="141"/>
      <c r="B149" s="141"/>
      <c r="C149" s="142"/>
      <c r="D149" s="143"/>
      <c r="E149" s="1072" t="s">
        <v>569</v>
      </c>
      <c r="F149" s="1072"/>
      <c r="G149" s="1072" t="str">
        <f xml:space="preserve"> SMU</f>
        <v>$ 000s</v>
      </c>
      <c r="H149" s="1072">
        <f xml:space="preserve"> SUM(J149:CV149)</f>
        <v>13150.127236880637</v>
      </c>
      <c r="I149" s="1072"/>
      <c r="J149" s="1072">
        <f t="shared" ref="J149" si="103" xml:space="preserve"> $F145 / $F146 * J147 * J148</f>
        <v>0</v>
      </c>
      <c r="K149" s="1072">
        <f t="shared" ref="K149" si="104" xml:space="preserve"> $F145 / $F146 * K147 * K148</f>
        <v>0</v>
      </c>
      <c r="L149" s="1072">
        <f t="shared" ref="L149" si="105" xml:space="preserve"> $F145 / $F146 * L147 * L148</f>
        <v>0</v>
      </c>
      <c r="M149" s="1072">
        <f t="shared" ref="M149" si="106" xml:space="preserve"> $F145 / $F146 * M147 * M148</f>
        <v>0</v>
      </c>
      <c r="N149" s="1072">
        <f t="shared" ref="N149" si="107" xml:space="preserve"> $F145 / $F146 * N147 * N148</f>
        <v>0</v>
      </c>
      <c r="O149" s="1072">
        <f t="shared" ref="O149" si="108" xml:space="preserve"> $F145 / $F146 * O147 * O148</f>
        <v>270.60804000000002</v>
      </c>
      <c r="P149" s="1072">
        <f t="shared" ref="P149" si="109" xml:space="preserve"> $F145 / $F146 * P147 * P148</f>
        <v>270.60804000000002</v>
      </c>
      <c r="Q149" s="1072">
        <f t="shared" ref="Q149" si="110" xml:space="preserve"> $F145 / $F146 * Q147 * Q148</f>
        <v>276.0202008</v>
      </c>
      <c r="R149" s="1072">
        <f t="shared" ref="R149" si="111" xml:space="preserve"> $F145 / $F146 * R147 * R148</f>
        <v>276.0202008</v>
      </c>
      <c r="S149" s="1072">
        <f t="shared" ref="S149" si="112" xml:space="preserve"> $F145 / $F146 * S147 * S148</f>
        <v>281.54060481600004</v>
      </c>
      <c r="T149" s="1072">
        <f t="shared" ref="T149" si="113" xml:space="preserve"> $F145 / $F146 * T147 * T148</f>
        <v>281.54060481600004</v>
      </c>
      <c r="U149" s="1072">
        <f t="shared" ref="U149" si="114" xml:space="preserve"> $F145 / $F146 * U147 * U148</f>
        <v>287.17141691231996</v>
      </c>
      <c r="V149" s="1072">
        <f t="shared" ref="V149" si="115" xml:space="preserve"> $F145 / $F146 * V147 * V148</f>
        <v>287.17141691231996</v>
      </c>
      <c r="W149" s="1072">
        <f t="shared" ref="W149" si="116" xml:space="preserve"> $F145 / $F146 * W147 * W148</f>
        <v>292.91484525056637</v>
      </c>
      <c r="X149" s="1072">
        <f t="shared" ref="X149" si="117" xml:space="preserve"> $F145 / $F146 * X147 * X148</f>
        <v>292.91484525056637</v>
      </c>
      <c r="Y149" s="1072">
        <f t="shared" ref="Y149" si="118" xml:space="preserve"> $F145 / $F146 * Y147 * Y148</f>
        <v>298.77314215557772</v>
      </c>
      <c r="Z149" s="1072">
        <f t="shared" ref="Z149" si="119" xml:space="preserve"> $F145 / $F146 * Z147 * Z148</f>
        <v>298.77314215557772</v>
      </c>
      <c r="AA149" s="1072">
        <f t="shared" ref="AA149" si="120" xml:space="preserve"> $F145 / $F146 * AA147 * AA148</f>
        <v>304.7486049986893</v>
      </c>
      <c r="AB149" s="1072">
        <f t="shared" ref="AB149" si="121" xml:space="preserve"> $F145 / $F146 * AB147 * AB148</f>
        <v>304.7486049986893</v>
      </c>
      <c r="AC149" s="1072">
        <f t="shared" ref="AC149" si="122" xml:space="preserve"> $F145 / $F146 * AC147 * AC148</f>
        <v>310.84357709866299</v>
      </c>
      <c r="AD149" s="1072">
        <f t="shared" ref="AD149" si="123" xml:space="preserve"> $F145 / $F146 * AD147 * AD148</f>
        <v>310.84357709866299</v>
      </c>
      <c r="AE149" s="1072">
        <f t="shared" ref="AE149" si="124" xml:space="preserve"> $F145 / $F146 * AE147 * AE148</f>
        <v>317.06044864063631</v>
      </c>
      <c r="AF149" s="1072">
        <f t="shared" ref="AF149" si="125" xml:space="preserve"> $F145 / $F146 * AF147 * AF148</f>
        <v>317.06044864063631</v>
      </c>
      <c r="AG149" s="1072">
        <f t="shared" ref="AG149" si="126" xml:space="preserve"> $F145 / $F146 * AG147 * AG148</f>
        <v>323.401657613449</v>
      </c>
      <c r="AH149" s="1072">
        <f t="shared" ref="AH149" si="127" xml:space="preserve"> $F145 / $F146 * AH147 * AH148</f>
        <v>323.401657613449</v>
      </c>
      <c r="AI149" s="1072">
        <f t="shared" ref="AI149" si="128" xml:space="preserve"> $F145 / $F146 * AI147 * AI148</f>
        <v>329.86969076571802</v>
      </c>
      <c r="AJ149" s="1072">
        <f t="shared" ref="AJ149" si="129" xml:space="preserve"> $F145 / $F146 * AJ147 * AJ148</f>
        <v>329.86969076571802</v>
      </c>
      <c r="AK149" s="1072">
        <f t="shared" ref="AK149" si="130" xml:space="preserve"> $F145 / $F146 * AK147 * AK148</f>
        <v>336.46708458103228</v>
      </c>
      <c r="AL149" s="1072">
        <f t="shared" ref="AL149" si="131" xml:space="preserve"> $F145 / $F146 * AL147 * AL148</f>
        <v>336.46708458103228</v>
      </c>
      <c r="AM149" s="1072">
        <f t="shared" ref="AM149" si="132" xml:space="preserve"> $F145 / $F146 * AM147 * AM148</f>
        <v>343.19642627265301</v>
      </c>
      <c r="AN149" s="1072">
        <f t="shared" ref="AN149" si="133" xml:space="preserve"> $F145 / $F146 * AN147 * AN148</f>
        <v>343.19642627265301</v>
      </c>
      <c r="AO149" s="1072">
        <f t="shared" ref="AO149" si="134" xml:space="preserve"> $F145 / $F146 * AO147 * AO148</f>
        <v>350.06035479810612</v>
      </c>
      <c r="AP149" s="1072">
        <f t="shared" ref="AP149" si="135" xml:space="preserve"> $F145 / $F146 * AP147 * AP148</f>
        <v>350.06035479810612</v>
      </c>
      <c r="AQ149" s="1072">
        <f t="shared" ref="AQ149" si="136" xml:space="preserve"> $F145 / $F146 * AQ147 * AQ148</f>
        <v>357.06156189406818</v>
      </c>
      <c r="AR149" s="1072">
        <f t="shared" ref="AR149" si="137" xml:space="preserve"> $F145 / $F146 * AR147 * AR148</f>
        <v>357.06156189406818</v>
      </c>
      <c r="AS149" s="1072">
        <f t="shared" ref="AS149" si="138" xml:space="preserve"> $F145 / $F146 * AS147 * AS148</f>
        <v>364.20279313194953</v>
      </c>
      <c r="AT149" s="1072">
        <f t="shared" ref="AT149" si="139" xml:space="preserve"> $F145 / $F146 * AT147 * AT148</f>
        <v>364.20279313194953</v>
      </c>
      <c r="AU149" s="1072">
        <f t="shared" ref="AU149" si="140" xml:space="preserve"> $F145 / $F146 * AU147 * AU148</f>
        <v>371.48684899458857</v>
      </c>
      <c r="AV149" s="1072">
        <f t="shared" ref="AV149" si="141" xml:space="preserve"> $F145 / $F146 * AV147 * AV148</f>
        <v>371.48684899458857</v>
      </c>
      <c r="AW149" s="1072">
        <f t="shared" ref="AW149" si="142" xml:space="preserve"> $F145 / $F146 * AW147 * AW148</f>
        <v>378.91658597448031</v>
      </c>
      <c r="AX149" s="1072">
        <f t="shared" ref="AX149" si="143" xml:space="preserve"> $F145 / $F146 * AX147 * AX148</f>
        <v>378.91658597448031</v>
      </c>
      <c r="AY149" s="1072">
        <f t="shared" ref="AY149" si="144" xml:space="preserve"> $F145 / $F146 * AY147 * AY148</f>
        <v>386.49491769396991</v>
      </c>
      <c r="AZ149" s="1072">
        <f t="shared" ref="AZ149" si="145" xml:space="preserve"> $F145 / $F146 * AZ147 * AZ148</f>
        <v>386.49491769396991</v>
      </c>
      <c r="BA149" s="1072">
        <f t="shared" ref="BA149" si="146" xml:space="preserve"> $F145 / $F146 * BA147 * BA148</f>
        <v>394.22481604784923</v>
      </c>
      <c r="BB149" s="1072">
        <f t="shared" ref="BB149" si="147" xml:space="preserve"> $F145 / $F146 * BB147 * BB148</f>
        <v>394.22481604784923</v>
      </c>
      <c r="BC149" s="1072">
        <f t="shared" ref="BC149" si="148" xml:space="preserve"> $F145 / $F146 * BC147 * BC148</f>
        <v>0</v>
      </c>
      <c r="BD149" s="1072">
        <f t="shared" ref="BD149" si="149" xml:space="preserve"> $F145 / $F146 * BD147 * BD148</f>
        <v>0</v>
      </c>
      <c r="BE149" s="1072">
        <f t="shared" ref="BE149" si="150" xml:space="preserve"> $F145 / $F146 * BE147 * BE148</f>
        <v>0</v>
      </c>
      <c r="BF149" s="1072">
        <f t="shared" ref="BF149" si="151" xml:space="preserve"> $F145 / $F146 * BF147 * BF148</f>
        <v>0</v>
      </c>
      <c r="BG149" s="1072">
        <f t="shared" ref="BG149" si="152" xml:space="preserve"> $F145 / $F146 * BG147 * BG148</f>
        <v>0</v>
      </c>
      <c r="BH149" s="1072">
        <f t="shared" ref="BH149" si="153" xml:space="preserve"> $F145 / $F146 * BH147 * BH148</f>
        <v>0</v>
      </c>
      <c r="BI149" s="1072">
        <f t="shared" ref="BI149" si="154" xml:space="preserve"> $F145 / $F146 * BI147 * BI148</f>
        <v>0</v>
      </c>
      <c r="BJ149" s="1072">
        <f t="shared" ref="BJ149" si="155" xml:space="preserve"> $F145 / $F146 * BJ147 * BJ148</f>
        <v>0</v>
      </c>
      <c r="BK149" s="1072">
        <f t="shared" ref="BK149" si="156" xml:space="preserve"> $F145 / $F146 * BK147 * BK148</f>
        <v>0</v>
      </c>
      <c r="BL149" s="1072">
        <f t="shared" ref="BL149" si="157" xml:space="preserve"> $F145 / $F146 * BL147 * BL148</f>
        <v>0</v>
      </c>
      <c r="BM149" s="1072">
        <f t="shared" ref="BM149" si="158" xml:space="preserve"> $F145 / $F146 * BM147 * BM148</f>
        <v>0</v>
      </c>
      <c r="BN149" s="1072">
        <f t="shared" ref="BN149" si="159" xml:space="preserve"> $F145 / $F146 * BN147 * BN148</f>
        <v>0</v>
      </c>
      <c r="BO149" s="1072">
        <f t="shared" ref="BO149" si="160" xml:space="preserve"> $F145 / $F146 * BO147 * BO148</f>
        <v>0</v>
      </c>
      <c r="BP149" s="1072">
        <f t="shared" ref="BP149" si="161" xml:space="preserve"> $F145 / $F146 * BP147 * BP148</f>
        <v>0</v>
      </c>
      <c r="BQ149" s="1072">
        <f t="shared" ref="BQ149" si="162" xml:space="preserve"> $F145 / $F146 * BQ147 * BQ148</f>
        <v>0</v>
      </c>
      <c r="BR149" s="1072">
        <f t="shared" ref="BR149" si="163" xml:space="preserve"> $F145 / $F146 * BR147 * BR148</f>
        <v>0</v>
      </c>
      <c r="BS149" s="1072">
        <f t="shared" ref="BS149" si="164" xml:space="preserve"> $F145 / $F146 * BS147 * BS148</f>
        <v>0</v>
      </c>
      <c r="BT149" s="1072">
        <f t="shared" ref="BT149" si="165" xml:space="preserve"> $F145 / $F146 * BT147 * BT148</f>
        <v>0</v>
      </c>
      <c r="BU149" s="1072">
        <f t="shared" ref="BU149" si="166" xml:space="preserve"> $F145 / $F146 * BU147 * BU148</f>
        <v>0</v>
      </c>
      <c r="BV149" s="1072">
        <f t="shared" ref="BV149" si="167" xml:space="preserve"> $F145 / $F146 * BV147 * BV148</f>
        <v>0</v>
      </c>
      <c r="BW149" s="1072">
        <f t="shared" ref="BW149" si="168" xml:space="preserve"> $F145 / $F146 * BW147 * BW148</f>
        <v>0</v>
      </c>
      <c r="BX149" s="1072">
        <f t="shared" ref="BX149" si="169" xml:space="preserve"> $F145 / $F146 * BX147 * BX148</f>
        <v>0</v>
      </c>
      <c r="BY149" s="1072">
        <f t="shared" ref="BY149" si="170" xml:space="preserve"> $F145 / $F146 * BY147 * BY148</f>
        <v>0</v>
      </c>
      <c r="BZ149" s="1072">
        <f t="shared" ref="BZ149" si="171" xml:space="preserve"> $F145 / $F146 * BZ147 * BZ148</f>
        <v>0</v>
      </c>
      <c r="CA149" s="1072">
        <f t="shared" ref="CA149" si="172" xml:space="preserve"> $F145 / $F146 * CA147 * CA148</f>
        <v>0</v>
      </c>
      <c r="CB149" s="1072">
        <f t="shared" ref="CB149" si="173" xml:space="preserve"> $F145 / $F146 * CB147 * CB148</f>
        <v>0</v>
      </c>
      <c r="CC149" s="1072">
        <f t="shared" ref="CC149" si="174" xml:space="preserve"> $F145 / $F146 * CC147 * CC148</f>
        <v>0</v>
      </c>
      <c r="CD149" s="1072">
        <f t="shared" ref="CD149" si="175" xml:space="preserve"> $F145 / $F146 * CD147 * CD148</f>
        <v>0</v>
      </c>
      <c r="CE149" s="1072">
        <f t="shared" ref="CE149" si="176" xml:space="preserve"> $F145 / $F146 * CE147 * CE148</f>
        <v>0</v>
      </c>
      <c r="CF149" s="1072">
        <f t="shared" ref="CF149" si="177" xml:space="preserve"> $F145 / $F146 * CF147 * CF148</f>
        <v>0</v>
      </c>
      <c r="CG149" s="1072">
        <f t="shared" ref="CG149" si="178" xml:space="preserve"> $F145 / $F146 * CG147 * CG148</f>
        <v>0</v>
      </c>
      <c r="CH149" s="1072">
        <f t="shared" ref="CH149" si="179" xml:space="preserve"> $F145 / $F146 * CH147 * CH148</f>
        <v>0</v>
      </c>
      <c r="CI149" s="1072">
        <f t="shared" ref="CI149" si="180" xml:space="preserve"> $F145 / $F146 * CI147 * CI148</f>
        <v>0</v>
      </c>
      <c r="CJ149" s="1072">
        <f t="shared" ref="CJ149" si="181" xml:space="preserve"> $F145 / $F146 * CJ147 * CJ148</f>
        <v>0</v>
      </c>
      <c r="CK149" s="1072">
        <f t="shared" ref="CK149" si="182" xml:space="preserve"> $F145 / $F146 * CK147 * CK148</f>
        <v>0</v>
      </c>
      <c r="CL149" s="1072">
        <f t="shared" ref="CL149" si="183" xml:space="preserve"> $F145 / $F146 * CL147 * CL148</f>
        <v>0</v>
      </c>
      <c r="CM149" s="1072">
        <f t="shared" ref="CM149" si="184" xml:space="preserve"> $F145 / $F146 * CM147 * CM148</f>
        <v>0</v>
      </c>
      <c r="CN149" s="1072">
        <f t="shared" ref="CN149" si="185" xml:space="preserve"> $F145 / $F146 * CN147 * CN148</f>
        <v>0</v>
      </c>
      <c r="CO149" s="1072">
        <f t="shared" ref="CO149" si="186" xml:space="preserve"> $F145 / $F146 * CO147 * CO148</f>
        <v>0</v>
      </c>
      <c r="CP149" s="1072">
        <f t="shared" ref="CP149" si="187" xml:space="preserve"> $F145 / $F146 * CP147 * CP148</f>
        <v>0</v>
      </c>
      <c r="CQ149" s="1072">
        <f t="shared" ref="CQ149" si="188" xml:space="preserve"> $F145 / $F146 * CQ147 * CQ148</f>
        <v>0</v>
      </c>
      <c r="CR149" s="1072">
        <f t="shared" ref="CR149" si="189" xml:space="preserve"> $F145 / $F146 * CR147 * CR148</f>
        <v>0</v>
      </c>
      <c r="CS149" s="1072">
        <f t="shared" ref="CS149" si="190" xml:space="preserve"> $F145 / $F146 * CS147 * CS148</f>
        <v>0</v>
      </c>
      <c r="CT149" s="1072">
        <f t="shared" ref="CT149" si="191" xml:space="preserve"> $F145 / $F146 * CT147 * CT148</f>
        <v>0</v>
      </c>
      <c r="CU149" s="1072">
        <f t="shared" ref="CU149" si="192" xml:space="preserve"> $F145 / $F146 * CU147 * CU148</f>
        <v>0</v>
      </c>
      <c r="CV149" s="1072">
        <f t="shared" ref="CV149" si="193" xml:space="preserve"> $F145 / $F146 * CV147 * CV148</f>
        <v>0</v>
      </c>
    </row>
    <row r="150" spans="1:100" outlineLevel="1" x14ac:dyDescent="0.2">
      <c r="A150" s="85"/>
      <c r="B150" s="85"/>
      <c r="C150" s="86"/>
      <c r="D150" s="87"/>
      <c r="E150" s="390"/>
      <c r="F150" s="390"/>
      <c r="G150" s="390"/>
      <c r="H150" s="390"/>
      <c r="I150" s="390"/>
      <c r="J150" s="390"/>
      <c r="K150" s="390"/>
      <c r="L150" s="390"/>
      <c r="M150" s="390"/>
      <c r="N150" s="390"/>
      <c r="O150" s="390"/>
      <c r="P150" s="390"/>
      <c r="Q150" s="390"/>
      <c r="R150" s="390"/>
      <c r="S150" s="390"/>
      <c r="T150" s="390"/>
      <c r="U150" s="390"/>
      <c r="V150" s="390"/>
      <c r="W150" s="390"/>
      <c r="X150" s="390"/>
      <c r="Y150" s="390"/>
      <c r="Z150" s="390"/>
      <c r="AA150" s="390"/>
      <c r="AB150" s="390"/>
      <c r="AC150" s="390"/>
      <c r="AD150" s="390"/>
      <c r="AE150" s="390"/>
      <c r="AF150" s="390"/>
      <c r="AG150" s="390"/>
      <c r="AH150" s="390"/>
      <c r="AI150" s="390"/>
      <c r="AJ150" s="390"/>
      <c r="AK150" s="390"/>
      <c r="AL150" s="390"/>
      <c r="AM150" s="390"/>
      <c r="AN150" s="390"/>
      <c r="AO150" s="390"/>
      <c r="AP150" s="390"/>
      <c r="AQ150" s="390"/>
      <c r="AR150" s="390"/>
      <c r="AS150" s="390"/>
      <c r="AT150" s="390"/>
      <c r="AU150" s="390"/>
      <c r="AV150" s="390"/>
      <c r="AW150" s="390"/>
      <c r="AX150" s="390"/>
      <c r="AY150" s="390"/>
      <c r="AZ150" s="390"/>
      <c r="BA150" s="390"/>
      <c r="BB150" s="390"/>
      <c r="BC150" s="390"/>
      <c r="BD150" s="390"/>
      <c r="BE150" s="390"/>
      <c r="BF150" s="390"/>
      <c r="BG150" s="390"/>
      <c r="BH150" s="390"/>
      <c r="BI150" s="390"/>
      <c r="BJ150" s="390"/>
      <c r="BK150" s="390"/>
      <c r="BL150" s="390"/>
      <c r="BM150" s="390"/>
      <c r="BN150" s="390"/>
      <c r="BO150" s="390"/>
      <c r="BP150" s="390"/>
      <c r="BQ150" s="390"/>
      <c r="BR150" s="390"/>
      <c r="BS150" s="390"/>
      <c r="BT150" s="390"/>
      <c r="BU150" s="390"/>
      <c r="BV150" s="390"/>
      <c r="BW150" s="390"/>
      <c r="BX150" s="390"/>
      <c r="BY150" s="390"/>
      <c r="BZ150" s="390"/>
      <c r="CA150" s="390"/>
      <c r="CB150" s="390"/>
      <c r="CC150" s="390"/>
      <c r="CD150" s="390"/>
      <c r="CE150" s="390"/>
      <c r="CF150" s="390"/>
      <c r="CG150" s="390"/>
      <c r="CH150" s="390"/>
      <c r="CI150" s="390"/>
      <c r="CJ150" s="390"/>
      <c r="CK150" s="390"/>
      <c r="CL150" s="390"/>
      <c r="CM150" s="390"/>
      <c r="CN150" s="390"/>
      <c r="CO150" s="390"/>
      <c r="CP150" s="390"/>
      <c r="CQ150" s="390"/>
      <c r="CR150" s="390"/>
      <c r="CS150" s="390"/>
      <c r="CT150" s="390"/>
      <c r="CU150" s="390"/>
      <c r="CV150" s="390"/>
    </row>
    <row r="151" spans="1:100" outlineLevel="1" x14ac:dyDescent="0.2">
      <c r="A151" s="85"/>
      <c r="B151" s="236" t="s">
        <v>571</v>
      </c>
      <c r="C151" s="86"/>
      <c r="D151" s="87"/>
      <c r="E151" s="390"/>
      <c r="F151" s="390"/>
      <c r="G151" s="390"/>
      <c r="H151" s="390"/>
      <c r="I151" s="390"/>
      <c r="J151" s="390"/>
      <c r="K151" s="390"/>
      <c r="L151" s="390"/>
      <c r="M151" s="390"/>
      <c r="N151" s="390"/>
      <c r="O151" s="390"/>
      <c r="P151" s="390"/>
      <c r="Q151" s="390"/>
      <c r="R151" s="390"/>
      <c r="S151" s="390"/>
      <c r="T151" s="390"/>
      <c r="U151" s="390"/>
      <c r="V151" s="390"/>
      <c r="W151" s="390"/>
      <c r="X151" s="390"/>
      <c r="Y151" s="390"/>
      <c r="Z151" s="390"/>
      <c r="AA151" s="390"/>
      <c r="AB151" s="390"/>
      <c r="AC151" s="390"/>
      <c r="AD151" s="390"/>
      <c r="AE151" s="390"/>
      <c r="AF151" s="390"/>
      <c r="AG151" s="390"/>
      <c r="AH151" s="390"/>
      <c r="AI151" s="390"/>
      <c r="AJ151" s="390"/>
      <c r="AK151" s="390"/>
      <c r="AL151" s="390"/>
      <c r="AM151" s="390"/>
      <c r="AN151" s="390"/>
      <c r="AO151" s="390"/>
      <c r="AP151" s="390"/>
      <c r="AQ151" s="390"/>
      <c r="AR151" s="390"/>
      <c r="AS151" s="390"/>
      <c r="AT151" s="390"/>
      <c r="AU151" s="390"/>
      <c r="AV151" s="390"/>
      <c r="AW151" s="390"/>
      <c r="AX151" s="390"/>
      <c r="AY151" s="390"/>
      <c r="AZ151" s="390"/>
      <c r="BA151" s="390"/>
      <c r="BB151" s="390"/>
      <c r="BC151" s="390"/>
      <c r="BD151" s="390"/>
      <c r="BE151" s="390"/>
      <c r="BF151" s="390"/>
      <c r="BG151" s="390"/>
      <c r="BH151" s="390"/>
      <c r="BI151" s="390"/>
      <c r="BJ151" s="390"/>
      <c r="BK151" s="390"/>
      <c r="BL151" s="390"/>
      <c r="BM151" s="390"/>
      <c r="BN151" s="390"/>
      <c r="BO151" s="390"/>
      <c r="BP151" s="390"/>
      <c r="BQ151" s="390"/>
      <c r="BR151" s="390"/>
      <c r="BS151" s="390"/>
      <c r="BT151" s="390"/>
      <c r="BU151" s="390"/>
      <c r="BV151" s="390"/>
      <c r="BW151" s="390"/>
      <c r="BX151" s="390"/>
      <c r="BY151" s="390"/>
      <c r="BZ151" s="390"/>
      <c r="CA151" s="390"/>
      <c r="CB151" s="390"/>
      <c r="CC151" s="390"/>
      <c r="CD151" s="390"/>
      <c r="CE151" s="390"/>
      <c r="CF151" s="390"/>
      <c r="CG151" s="390"/>
      <c r="CH151" s="390"/>
      <c r="CI151" s="390"/>
      <c r="CJ151" s="390"/>
      <c r="CK151" s="390"/>
      <c r="CL151" s="390"/>
      <c r="CM151" s="390"/>
      <c r="CN151" s="390"/>
      <c r="CO151" s="390"/>
      <c r="CP151" s="390"/>
      <c r="CQ151" s="390"/>
      <c r="CR151" s="390"/>
      <c r="CS151" s="390"/>
      <c r="CT151" s="390"/>
      <c r="CU151" s="390"/>
      <c r="CV151" s="390"/>
    </row>
    <row r="152" spans="1:100" outlineLevel="2" x14ac:dyDescent="0.2">
      <c r="A152" s="85"/>
      <c r="B152" s="85"/>
      <c r="C152" s="86"/>
      <c r="D152" s="87"/>
      <c r="E152" s="126" t="str">
        <f t="shared" ref="E152:AJ152" si="194" xml:space="preserve"> E$116</f>
        <v>Fixed O&amp;M costs</v>
      </c>
      <c r="F152" s="126">
        <f t="shared" si="194"/>
        <v>0</v>
      </c>
      <c r="G152" s="126" t="str">
        <f t="shared" si="194"/>
        <v>WID 000s</v>
      </c>
      <c r="H152" s="126">
        <f t="shared" si="194"/>
        <v>197251.90855320951</v>
      </c>
      <c r="I152" s="126">
        <f t="shared" si="194"/>
        <v>0</v>
      </c>
      <c r="J152" s="126">
        <f t="shared" si="194"/>
        <v>0</v>
      </c>
      <c r="K152" s="126">
        <f t="shared" si="194"/>
        <v>0</v>
      </c>
      <c r="L152" s="126">
        <f t="shared" si="194"/>
        <v>0</v>
      </c>
      <c r="M152" s="126">
        <f t="shared" si="194"/>
        <v>0</v>
      </c>
      <c r="N152" s="126">
        <f t="shared" si="194"/>
        <v>0</v>
      </c>
      <c r="O152" s="126">
        <f t="shared" si="194"/>
        <v>4059.1205999999997</v>
      </c>
      <c r="P152" s="126">
        <f t="shared" si="194"/>
        <v>4059.1205999999997</v>
      </c>
      <c r="Q152" s="126">
        <f t="shared" si="194"/>
        <v>4140.3030120000003</v>
      </c>
      <c r="R152" s="126">
        <f t="shared" si="194"/>
        <v>4140.3030120000003</v>
      </c>
      <c r="S152" s="126">
        <f t="shared" si="194"/>
        <v>4223.1090722400004</v>
      </c>
      <c r="T152" s="126">
        <f t="shared" si="194"/>
        <v>4223.1090722400004</v>
      </c>
      <c r="U152" s="126">
        <f t="shared" si="194"/>
        <v>4307.5712536847996</v>
      </c>
      <c r="V152" s="126">
        <f t="shared" si="194"/>
        <v>4307.5712536847996</v>
      </c>
      <c r="W152" s="126">
        <f t="shared" si="194"/>
        <v>4393.7226787584959</v>
      </c>
      <c r="X152" s="126">
        <f t="shared" si="194"/>
        <v>4393.7226787584959</v>
      </c>
      <c r="Y152" s="126">
        <f t="shared" si="194"/>
        <v>4481.5971323336653</v>
      </c>
      <c r="Z152" s="126">
        <f t="shared" si="194"/>
        <v>4481.5971323336653</v>
      </c>
      <c r="AA152" s="126">
        <f t="shared" si="194"/>
        <v>4571.2290749803387</v>
      </c>
      <c r="AB152" s="126">
        <f t="shared" si="194"/>
        <v>4571.2290749803387</v>
      </c>
      <c r="AC152" s="126">
        <f t="shared" si="194"/>
        <v>4662.6536564799453</v>
      </c>
      <c r="AD152" s="126">
        <f t="shared" si="194"/>
        <v>4662.6536564799453</v>
      </c>
      <c r="AE152" s="126">
        <f t="shared" si="194"/>
        <v>4755.9067296095445</v>
      </c>
      <c r="AF152" s="126">
        <f t="shared" si="194"/>
        <v>4755.9067296095445</v>
      </c>
      <c r="AG152" s="126">
        <f t="shared" si="194"/>
        <v>4851.024864201735</v>
      </c>
      <c r="AH152" s="126">
        <f t="shared" si="194"/>
        <v>4851.024864201735</v>
      </c>
      <c r="AI152" s="126">
        <f t="shared" si="194"/>
        <v>4948.0453614857706</v>
      </c>
      <c r="AJ152" s="126">
        <f t="shared" si="194"/>
        <v>4948.0453614857706</v>
      </c>
      <c r="AK152" s="126">
        <f t="shared" ref="AK152:BP152" si="195" xml:space="preserve"> AK$116</f>
        <v>5047.006268715485</v>
      </c>
      <c r="AL152" s="126">
        <f t="shared" si="195"/>
        <v>5047.006268715485</v>
      </c>
      <c r="AM152" s="126">
        <f t="shared" si="195"/>
        <v>5147.9463940897949</v>
      </c>
      <c r="AN152" s="126">
        <f t="shared" si="195"/>
        <v>5147.9463940897949</v>
      </c>
      <c r="AO152" s="126">
        <f t="shared" si="195"/>
        <v>5250.9053219715915</v>
      </c>
      <c r="AP152" s="126">
        <f t="shared" si="195"/>
        <v>5250.9053219715915</v>
      </c>
      <c r="AQ152" s="126">
        <f t="shared" si="195"/>
        <v>5355.9234284110225</v>
      </c>
      <c r="AR152" s="126">
        <f t="shared" si="195"/>
        <v>5355.9234284110225</v>
      </c>
      <c r="AS152" s="126">
        <f t="shared" si="195"/>
        <v>5463.0418969792427</v>
      </c>
      <c r="AT152" s="126">
        <f t="shared" si="195"/>
        <v>5463.0418969792427</v>
      </c>
      <c r="AU152" s="126">
        <f t="shared" si="195"/>
        <v>5572.3027349188287</v>
      </c>
      <c r="AV152" s="126">
        <f t="shared" si="195"/>
        <v>5572.3027349188287</v>
      </c>
      <c r="AW152" s="126">
        <f t="shared" si="195"/>
        <v>5683.7487896172042</v>
      </c>
      <c r="AX152" s="126">
        <f t="shared" si="195"/>
        <v>5683.7487896172042</v>
      </c>
      <c r="AY152" s="126">
        <f t="shared" si="195"/>
        <v>5797.4237654095487</v>
      </c>
      <c r="AZ152" s="126">
        <f t="shared" si="195"/>
        <v>5797.4237654095487</v>
      </c>
      <c r="BA152" s="126">
        <f t="shared" si="195"/>
        <v>5913.3722407177393</v>
      </c>
      <c r="BB152" s="126">
        <f t="shared" si="195"/>
        <v>5913.3722407177393</v>
      </c>
      <c r="BC152" s="126">
        <f t="shared" si="195"/>
        <v>0</v>
      </c>
      <c r="BD152" s="126">
        <f t="shared" si="195"/>
        <v>0</v>
      </c>
      <c r="BE152" s="126">
        <f t="shared" si="195"/>
        <v>0</v>
      </c>
      <c r="BF152" s="126">
        <f t="shared" si="195"/>
        <v>0</v>
      </c>
      <c r="BG152" s="126">
        <f t="shared" si="195"/>
        <v>0</v>
      </c>
      <c r="BH152" s="126">
        <f t="shared" si="195"/>
        <v>0</v>
      </c>
      <c r="BI152" s="126">
        <f t="shared" si="195"/>
        <v>0</v>
      </c>
      <c r="BJ152" s="126">
        <f t="shared" si="195"/>
        <v>0</v>
      </c>
      <c r="BK152" s="126">
        <f t="shared" si="195"/>
        <v>0</v>
      </c>
      <c r="BL152" s="126">
        <f t="shared" si="195"/>
        <v>0</v>
      </c>
      <c r="BM152" s="126">
        <f t="shared" si="195"/>
        <v>0</v>
      </c>
      <c r="BN152" s="126">
        <f t="shared" si="195"/>
        <v>0</v>
      </c>
      <c r="BO152" s="126">
        <f t="shared" si="195"/>
        <v>0</v>
      </c>
      <c r="BP152" s="126">
        <f t="shared" si="195"/>
        <v>0</v>
      </c>
      <c r="BQ152" s="126">
        <f t="shared" ref="BQ152:CV152" si="196" xml:space="preserve"> BQ$116</f>
        <v>0</v>
      </c>
      <c r="BR152" s="126">
        <f t="shared" si="196"/>
        <v>0</v>
      </c>
      <c r="BS152" s="126">
        <f t="shared" si="196"/>
        <v>0</v>
      </c>
      <c r="BT152" s="126">
        <f t="shared" si="196"/>
        <v>0</v>
      </c>
      <c r="BU152" s="126">
        <f t="shared" si="196"/>
        <v>0</v>
      </c>
      <c r="BV152" s="126">
        <f t="shared" si="196"/>
        <v>0</v>
      </c>
      <c r="BW152" s="126">
        <f t="shared" si="196"/>
        <v>0</v>
      </c>
      <c r="BX152" s="126">
        <f t="shared" si="196"/>
        <v>0</v>
      </c>
      <c r="BY152" s="126">
        <f t="shared" si="196"/>
        <v>0</v>
      </c>
      <c r="BZ152" s="126">
        <f t="shared" si="196"/>
        <v>0</v>
      </c>
      <c r="CA152" s="126">
        <f t="shared" si="196"/>
        <v>0</v>
      </c>
      <c r="CB152" s="126">
        <f t="shared" si="196"/>
        <v>0</v>
      </c>
      <c r="CC152" s="126">
        <f t="shared" si="196"/>
        <v>0</v>
      </c>
      <c r="CD152" s="126">
        <f t="shared" si="196"/>
        <v>0</v>
      </c>
      <c r="CE152" s="126">
        <f t="shared" si="196"/>
        <v>0</v>
      </c>
      <c r="CF152" s="126">
        <f t="shared" si="196"/>
        <v>0</v>
      </c>
      <c r="CG152" s="126">
        <f t="shared" si="196"/>
        <v>0</v>
      </c>
      <c r="CH152" s="126">
        <f t="shared" si="196"/>
        <v>0</v>
      </c>
      <c r="CI152" s="126">
        <f t="shared" si="196"/>
        <v>0</v>
      </c>
      <c r="CJ152" s="126">
        <f t="shared" si="196"/>
        <v>0</v>
      </c>
      <c r="CK152" s="126">
        <f t="shared" si="196"/>
        <v>0</v>
      </c>
      <c r="CL152" s="126">
        <f t="shared" si="196"/>
        <v>0</v>
      </c>
      <c r="CM152" s="126">
        <f t="shared" si="196"/>
        <v>0</v>
      </c>
      <c r="CN152" s="126">
        <f t="shared" si="196"/>
        <v>0</v>
      </c>
      <c r="CO152" s="126">
        <f t="shared" si="196"/>
        <v>0</v>
      </c>
      <c r="CP152" s="126">
        <f t="shared" si="196"/>
        <v>0</v>
      </c>
      <c r="CQ152" s="126">
        <f t="shared" si="196"/>
        <v>0</v>
      </c>
      <c r="CR152" s="126">
        <f t="shared" si="196"/>
        <v>0</v>
      </c>
      <c r="CS152" s="126">
        <f t="shared" si="196"/>
        <v>0</v>
      </c>
      <c r="CT152" s="126">
        <f t="shared" si="196"/>
        <v>0</v>
      </c>
      <c r="CU152" s="126">
        <f t="shared" si="196"/>
        <v>0</v>
      </c>
      <c r="CV152" s="126">
        <f t="shared" si="196"/>
        <v>0</v>
      </c>
    </row>
    <row r="153" spans="1:100" outlineLevel="2" x14ac:dyDescent="0.2">
      <c r="A153" s="85"/>
      <c r="B153" s="85"/>
      <c r="C153" s="86"/>
      <c r="D153" s="87"/>
      <c r="E153" s="126" t="str">
        <f t="shared" ref="E153:AJ153" si="197" xml:space="preserve"> E$149</f>
        <v>Project Co costs</v>
      </c>
      <c r="F153" s="126">
        <f t="shared" si="197"/>
        <v>0</v>
      </c>
      <c r="G153" s="126" t="str">
        <f t="shared" si="197"/>
        <v>$ 000s</v>
      </c>
      <c r="H153" s="126">
        <f t="shared" si="197"/>
        <v>13150.127236880637</v>
      </c>
      <c r="I153" s="126">
        <f t="shared" si="197"/>
        <v>0</v>
      </c>
      <c r="J153" s="126">
        <f t="shared" si="197"/>
        <v>0</v>
      </c>
      <c r="K153" s="126">
        <f t="shared" si="197"/>
        <v>0</v>
      </c>
      <c r="L153" s="126">
        <f t="shared" si="197"/>
        <v>0</v>
      </c>
      <c r="M153" s="126">
        <f t="shared" si="197"/>
        <v>0</v>
      </c>
      <c r="N153" s="126">
        <f t="shared" si="197"/>
        <v>0</v>
      </c>
      <c r="O153" s="126">
        <f t="shared" si="197"/>
        <v>270.60804000000002</v>
      </c>
      <c r="P153" s="126">
        <f t="shared" si="197"/>
        <v>270.60804000000002</v>
      </c>
      <c r="Q153" s="126">
        <f t="shared" si="197"/>
        <v>276.0202008</v>
      </c>
      <c r="R153" s="126">
        <f t="shared" si="197"/>
        <v>276.0202008</v>
      </c>
      <c r="S153" s="126">
        <f t="shared" si="197"/>
        <v>281.54060481600004</v>
      </c>
      <c r="T153" s="126">
        <f t="shared" si="197"/>
        <v>281.54060481600004</v>
      </c>
      <c r="U153" s="126">
        <f t="shared" si="197"/>
        <v>287.17141691231996</v>
      </c>
      <c r="V153" s="126">
        <f t="shared" si="197"/>
        <v>287.17141691231996</v>
      </c>
      <c r="W153" s="126">
        <f t="shared" si="197"/>
        <v>292.91484525056637</v>
      </c>
      <c r="X153" s="126">
        <f t="shared" si="197"/>
        <v>292.91484525056637</v>
      </c>
      <c r="Y153" s="126">
        <f t="shared" si="197"/>
        <v>298.77314215557772</v>
      </c>
      <c r="Z153" s="126">
        <f t="shared" si="197"/>
        <v>298.77314215557772</v>
      </c>
      <c r="AA153" s="126">
        <f t="shared" si="197"/>
        <v>304.7486049986893</v>
      </c>
      <c r="AB153" s="126">
        <f t="shared" si="197"/>
        <v>304.7486049986893</v>
      </c>
      <c r="AC153" s="126">
        <f t="shared" si="197"/>
        <v>310.84357709866299</v>
      </c>
      <c r="AD153" s="126">
        <f t="shared" si="197"/>
        <v>310.84357709866299</v>
      </c>
      <c r="AE153" s="126">
        <f t="shared" si="197"/>
        <v>317.06044864063631</v>
      </c>
      <c r="AF153" s="126">
        <f t="shared" si="197"/>
        <v>317.06044864063631</v>
      </c>
      <c r="AG153" s="126">
        <f t="shared" si="197"/>
        <v>323.401657613449</v>
      </c>
      <c r="AH153" s="126">
        <f t="shared" si="197"/>
        <v>323.401657613449</v>
      </c>
      <c r="AI153" s="126">
        <f t="shared" si="197"/>
        <v>329.86969076571802</v>
      </c>
      <c r="AJ153" s="126">
        <f t="shared" si="197"/>
        <v>329.86969076571802</v>
      </c>
      <c r="AK153" s="126">
        <f t="shared" ref="AK153:BP153" si="198" xml:space="preserve"> AK$149</f>
        <v>336.46708458103228</v>
      </c>
      <c r="AL153" s="126">
        <f t="shared" si="198"/>
        <v>336.46708458103228</v>
      </c>
      <c r="AM153" s="126">
        <f t="shared" si="198"/>
        <v>343.19642627265301</v>
      </c>
      <c r="AN153" s="126">
        <f t="shared" si="198"/>
        <v>343.19642627265301</v>
      </c>
      <c r="AO153" s="126">
        <f t="shared" si="198"/>
        <v>350.06035479810612</v>
      </c>
      <c r="AP153" s="126">
        <f t="shared" si="198"/>
        <v>350.06035479810612</v>
      </c>
      <c r="AQ153" s="126">
        <f t="shared" si="198"/>
        <v>357.06156189406818</v>
      </c>
      <c r="AR153" s="126">
        <f t="shared" si="198"/>
        <v>357.06156189406818</v>
      </c>
      <c r="AS153" s="126">
        <f t="shared" si="198"/>
        <v>364.20279313194953</v>
      </c>
      <c r="AT153" s="126">
        <f t="shared" si="198"/>
        <v>364.20279313194953</v>
      </c>
      <c r="AU153" s="126">
        <f t="shared" si="198"/>
        <v>371.48684899458857</v>
      </c>
      <c r="AV153" s="126">
        <f t="shared" si="198"/>
        <v>371.48684899458857</v>
      </c>
      <c r="AW153" s="126">
        <f t="shared" si="198"/>
        <v>378.91658597448031</v>
      </c>
      <c r="AX153" s="126">
        <f t="shared" si="198"/>
        <v>378.91658597448031</v>
      </c>
      <c r="AY153" s="126">
        <f t="shared" si="198"/>
        <v>386.49491769396991</v>
      </c>
      <c r="AZ153" s="126">
        <f t="shared" si="198"/>
        <v>386.49491769396991</v>
      </c>
      <c r="BA153" s="126">
        <f t="shared" si="198"/>
        <v>394.22481604784923</v>
      </c>
      <c r="BB153" s="126">
        <f t="shared" si="198"/>
        <v>394.22481604784923</v>
      </c>
      <c r="BC153" s="126">
        <f t="shared" si="198"/>
        <v>0</v>
      </c>
      <c r="BD153" s="126">
        <f t="shared" si="198"/>
        <v>0</v>
      </c>
      <c r="BE153" s="126">
        <f t="shared" si="198"/>
        <v>0</v>
      </c>
      <c r="BF153" s="126">
        <f t="shared" si="198"/>
        <v>0</v>
      </c>
      <c r="BG153" s="126">
        <f t="shared" si="198"/>
        <v>0</v>
      </c>
      <c r="BH153" s="126">
        <f t="shared" si="198"/>
        <v>0</v>
      </c>
      <c r="BI153" s="126">
        <f t="shared" si="198"/>
        <v>0</v>
      </c>
      <c r="BJ153" s="126">
        <f t="shared" si="198"/>
        <v>0</v>
      </c>
      <c r="BK153" s="126">
        <f t="shared" si="198"/>
        <v>0</v>
      </c>
      <c r="BL153" s="126">
        <f t="shared" si="198"/>
        <v>0</v>
      </c>
      <c r="BM153" s="126">
        <f t="shared" si="198"/>
        <v>0</v>
      </c>
      <c r="BN153" s="126">
        <f t="shared" si="198"/>
        <v>0</v>
      </c>
      <c r="BO153" s="126">
        <f t="shared" si="198"/>
        <v>0</v>
      </c>
      <c r="BP153" s="126">
        <f t="shared" si="198"/>
        <v>0</v>
      </c>
      <c r="BQ153" s="126">
        <f t="shared" ref="BQ153:CV153" si="199" xml:space="preserve"> BQ$149</f>
        <v>0</v>
      </c>
      <c r="BR153" s="126">
        <f t="shared" si="199"/>
        <v>0</v>
      </c>
      <c r="BS153" s="126">
        <f t="shared" si="199"/>
        <v>0</v>
      </c>
      <c r="BT153" s="126">
        <f t="shared" si="199"/>
        <v>0</v>
      </c>
      <c r="BU153" s="126">
        <f t="shared" si="199"/>
        <v>0</v>
      </c>
      <c r="BV153" s="126">
        <f t="shared" si="199"/>
        <v>0</v>
      </c>
      <c r="BW153" s="126">
        <f t="shared" si="199"/>
        <v>0</v>
      </c>
      <c r="BX153" s="126">
        <f t="shared" si="199"/>
        <v>0</v>
      </c>
      <c r="BY153" s="126">
        <f t="shared" si="199"/>
        <v>0</v>
      </c>
      <c r="BZ153" s="126">
        <f t="shared" si="199"/>
        <v>0</v>
      </c>
      <c r="CA153" s="126">
        <f t="shared" si="199"/>
        <v>0</v>
      </c>
      <c r="CB153" s="126">
        <f t="shared" si="199"/>
        <v>0</v>
      </c>
      <c r="CC153" s="126">
        <f t="shared" si="199"/>
        <v>0</v>
      </c>
      <c r="CD153" s="126">
        <f t="shared" si="199"/>
        <v>0</v>
      </c>
      <c r="CE153" s="126">
        <f t="shared" si="199"/>
        <v>0</v>
      </c>
      <c r="CF153" s="126">
        <f t="shared" si="199"/>
        <v>0</v>
      </c>
      <c r="CG153" s="126">
        <f t="shared" si="199"/>
        <v>0</v>
      </c>
      <c r="CH153" s="126">
        <f t="shared" si="199"/>
        <v>0</v>
      </c>
      <c r="CI153" s="126">
        <f t="shared" si="199"/>
        <v>0</v>
      </c>
      <c r="CJ153" s="126">
        <f t="shared" si="199"/>
        <v>0</v>
      </c>
      <c r="CK153" s="126">
        <f t="shared" si="199"/>
        <v>0</v>
      </c>
      <c r="CL153" s="126">
        <f t="shared" si="199"/>
        <v>0</v>
      </c>
      <c r="CM153" s="126">
        <f t="shared" si="199"/>
        <v>0</v>
      </c>
      <c r="CN153" s="126">
        <f t="shared" si="199"/>
        <v>0</v>
      </c>
      <c r="CO153" s="126">
        <f t="shared" si="199"/>
        <v>0</v>
      </c>
      <c r="CP153" s="126">
        <f t="shared" si="199"/>
        <v>0</v>
      </c>
      <c r="CQ153" s="126">
        <f t="shared" si="199"/>
        <v>0</v>
      </c>
      <c r="CR153" s="126">
        <f t="shared" si="199"/>
        <v>0</v>
      </c>
      <c r="CS153" s="126">
        <f t="shared" si="199"/>
        <v>0</v>
      </c>
      <c r="CT153" s="126">
        <f t="shared" si="199"/>
        <v>0</v>
      </c>
      <c r="CU153" s="126">
        <f t="shared" si="199"/>
        <v>0</v>
      </c>
      <c r="CV153" s="126">
        <f t="shared" si="199"/>
        <v>0</v>
      </c>
    </row>
    <row r="154" spans="1:100" outlineLevel="2" x14ac:dyDescent="0.2">
      <c r="A154" s="236"/>
      <c r="B154" s="236"/>
      <c r="C154" s="237"/>
      <c r="D154" s="238"/>
      <c r="E154" s="232" t="s">
        <v>139</v>
      </c>
      <c r="F154" s="232"/>
      <c r="G154" s="232" t="str">
        <f xml:space="preserve"> SMU</f>
        <v>$ 000s</v>
      </c>
      <c r="H154" s="232">
        <f xml:space="preserve"> SUM(J154:CV154)</f>
        <v>210402.03579009019</v>
      </c>
      <c r="I154" s="232"/>
      <c r="J154" s="232">
        <f t="shared" ref="J154:AO154" si="200">SUM(J152:J153)</f>
        <v>0</v>
      </c>
      <c r="K154" s="232">
        <f t="shared" si="200"/>
        <v>0</v>
      </c>
      <c r="L154" s="232">
        <f t="shared" si="200"/>
        <v>0</v>
      </c>
      <c r="M154" s="232">
        <f t="shared" si="200"/>
        <v>0</v>
      </c>
      <c r="N154" s="232">
        <f t="shared" si="200"/>
        <v>0</v>
      </c>
      <c r="O154" s="232">
        <f>SUM(O152:O153)</f>
        <v>4329.7286399999994</v>
      </c>
      <c r="P154" s="232">
        <f t="shared" si="200"/>
        <v>4329.7286399999994</v>
      </c>
      <c r="Q154" s="232">
        <f t="shared" si="200"/>
        <v>4416.3232128</v>
      </c>
      <c r="R154" s="232">
        <f t="shared" si="200"/>
        <v>4416.3232128</v>
      </c>
      <c r="S154" s="232">
        <f t="shared" si="200"/>
        <v>4504.6496770560007</v>
      </c>
      <c r="T154" s="232">
        <f t="shared" si="200"/>
        <v>4504.6496770560007</v>
      </c>
      <c r="U154" s="232">
        <f t="shared" si="200"/>
        <v>4594.7426705971193</v>
      </c>
      <c r="V154" s="232">
        <f t="shared" si="200"/>
        <v>4594.7426705971193</v>
      </c>
      <c r="W154" s="232">
        <f t="shared" si="200"/>
        <v>4686.637524009062</v>
      </c>
      <c r="X154" s="232">
        <f t="shared" si="200"/>
        <v>4686.637524009062</v>
      </c>
      <c r="Y154" s="232">
        <f t="shared" si="200"/>
        <v>4780.3702744892435</v>
      </c>
      <c r="Z154" s="232">
        <f t="shared" si="200"/>
        <v>4780.3702744892435</v>
      </c>
      <c r="AA154" s="232">
        <f t="shared" si="200"/>
        <v>4875.9776799790279</v>
      </c>
      <c r="AB154" s="232">
        <f t="shared" si="200"/>
        <v>4875.9776799790279</v>
      </c>
      <c r="AC154" s="232">
        <f t="shared" si="200"/>
        <v>4973.4972335786078</v>
      </c>
      <c r="AD154" s="232">
        <f t="shared" si="200"/>
        <v>4973.4972335786078</v>
      </c>
      <c r="AE154" s="232">
        <f t="shared" si="200"/>
        <v>5072.967178250181</v>
      </c>
      <c r="AF154" s="232">
        <f t="shared" si="200"/>
        <v>5072.967178250181</v>
      </c>
      <c r="AG154" s="232">
        <f t="shared" si="200"/>
        <v>5174.4265218151841</v>
      </c>
      <c r="AH154" s="232">
        <f t="shared" si="200"/>
        <v>5174.4265218151841</v>
      </c>
      <c r="AI154" s="232">
        <f t="shared" si="200"/>
        <v>5277.9150522514883</v>
      </c>
      <c r="AJ154" s="232">
        <f t="shared" si="200"/>
        <v>5277.9150522514883</v>
      </c>
      <c r="AK154" s="232">
        <f t="shared" si="200"/>
        <v>5383.4733532965174</v>
      </c>
      <c r="AL154" s="232">
        <f t="shared" si="200"/>
        <v>5383.4733532965174</v>
      </c>
      <c r="AM154" s="232">
        <f t="shared" si="200"/>
        <v>5491.1428203624482</v>
      </c>
      <c r="AN154" s="232">
        <f t="shared" si="200"/>
        <v>5491.1428203624482</v>
      </c>
      <c r="AO154" s="232">
        <f t="shared" si="200"/>
        <v>5600.9656767696979</v>
      </c>
      <c r="AP154" s="232">
        <f t="shared" ref="AP154:BU154" si="201">SUM(AP152:AP153)</f>
        <v>5600.9656767696979</v>
      </c>
      <c r="AQ154" s="232">
        <f t="shared" si="201"/>
        <v>5712.9849903050908</v>
      </c>
      <c r="AR154" s="232">
        <f t="shared" si="201"/>
        <v>5712.9849903050908</v>
      </c>
      <c r="AS154" s="232">
        <f t="shared" si="201"/>
        <v>5827.2446901111925</v>
      </c>
      <c r="AT154" s="232">
        <f t="shared" si="201"/>
        <v>5827.2446901111925</v>
      </c>
      <c r="AU154" s="232">
        <f t="shared" si="201"/>
        <v>5943.7895839134171</v>
      </c>
      <c r="AV154" s="232">
        <f t="shared" si="201"/>
        <v>5943.7895839134171</v>
      </c>
      <c r="AW154" s="232">
        <f t="shared" si="201"/>
        <v>6062.665375591685</v>
      </c>
      <c r="AX154" s="232">
        <f t="shared" si="201"/>
        <v>6062.665375591685</v>
      </c>
      <c r="AY154" s="232">
        <f t="shared" si="201"/>
        <v>6183.9186831035186</v>
      </c>
      <c r="AZ154" s="232">
        <f t="shared" si="201"/>
        <v>6183.9186831035186</v>
      </c>
      <c r="BA154" s="232">
        <f t="shared" si="201"/>
        <v>6307.5970567655886</v>
      </c>
      <c r="BB154" s="232">
        <f t="shared" si="201"/>
        <v>6307.5970567655886</v>
      </c>
      <c r="BC154" s="232">
        <f t="shared" si="201"/>
        <v>0</v>
      </c>
      <c r="BD154" s="232">
        <f t="shared" si="201"/>
        <v>0</v>
      </c>
      <c r="BE154" s="232">
        <f t="shared" si="201"/>
        <v>0</v>
      </c>
      <c r="BF154" s="232">
        <f t="shared" si="201"/>
        <v>0</v>
      </c>
      <c r="BG154" s="232">
        <f t="shared" si="201"/>
        <v>0</v>
      </c>
      <c r="BH154" s="232">
        <f t="shared" si="201"/>
        <v>0</v>
      </c>
      <c r="BI154" s="232">
        <f t="shared" si="201"/>
        <v>0</v>
      </c>
      <c r="BJ154" s="232">
        <f t="shared" si="201"/>
        <v>0</v>
      </c>
      <c r="BK154" s="232">
        <f t="shared" si="201"/>
        <v>0</v>
      </c>
      <c r="BL154" s="232">
        <f t="shared" si="201"/>
        <v>0</v>
      </c>
      <c r="BM154" s="232">
        <f t="shared" si="201"/>
        <v>0</v>
      </c>
      <c r="BN154" s="232">
        <f t="shared" si="201"/>
        <v>0</v>
      </c>
      <c r="BO154" s="232">
        <f t="shared" si="201"/>
        <v>0</v>
      </c>
      <c r="BP154" s="232">
        <f t="shared" si="201"/>
        <v>0</v>
      </c>
      <c r="BQ154" s="232">
        <f t="shared" si="201"/>
        <v>0</v>
      </c>
      <c r="BR154" s="232">
        <f t="shared" si="201"/>
        <v>0</v>
      </c>
      <c r="BS154" s="232">
        <f t="shared" si="201"/>
        <v>0</v>
      </c>
      <c r="BT154" s="232">
        <f t="shared" si="201"/>
        <v>0</v>
      </c>
      <c r="BU154" s="232">
        <f t="shared" si="201"/>
        <v>0</v>
      </c>
      <c r="BV154" s="232">
        <f t="shared" ref="BV154:CV154" si="202">SUM(BV152:BV153)</f>
        <v>0</v>
      </c>
      <c r="BW154" s="232">
        <f t="shared" si="202"/>
        <v>0</v>
      </c>
      <c r="BX154" s="232">
        <f t="shared" si="202"/>
        <v>0</v>
      </c>
      <c r="BY154" s="232">
        <f t="shared" si="202"/>
        <v>0</v>
      </c>
      <c r="BZ154" s="232">
        <f t="shared" si="202"/>
        <v>0</v>
      </c>
      <c r="CA154" s="232">
        <f t="shared" si="202"/>
        <v>0</v>
      </c>
      <c r="CB154" s="232">
        <f t="shared" si="202"/>
        <v>0</v>
      </c>
      <c r="CC154" s="232">
        <f t="shared" si="202"/>
        <v>0</v>
      </c>
      <c r="CD154" s="232">
        <f t="shared" si="202"/>
        <v>0</v>
      </c>
      <c r="CE154" s="232">
        <f t="shared" si="202"/>
        <v>0</v>
      </c>
      <c r="CF154" s="232">
        <f t="shared" si="202"/>
        <v>0</v>
      </c>
      <c r="CG154" s="232">
        <f t="shared" si="202"/>
        <v>0</v>
      </c>
      <c r="CH154" s="232">
        <f t="shared" si="202"/>
        <v>0</v>
      </c>
      <c r="CI154" s="232">
        <f t="shared" si="202"/>
        <v>0</v>
      </c>
      <c r="CJ154" s="232">
        <f t="shared" si="202"/>
        <v>0</v>
      </c>
      <c r="CK154" s="232">
        <f t="shared" si="202"/>
        <v>0</v>
      </c>
      <c r="CL154" s="232">
        <f t="shared" si="202"/>
        <v>0</v>
      </c>
      <c r="CM154" s="232">
        <f t="shared" si="202"/>
        <v>0</v>
      </c>
      <c r="CN154" s="232">
        <f t="shared" si="202"/>
        <v>0</v>
      </c>
      <c r="CO154" s="232">
        <f t="shared" si="202"/>
        <v>0</v>
      </c>
      <c r="CP154" s="232">
        <f t="shared" si="202"/>
        <v>0</v>
      </c>
      <c r="CQ154" s="232">
        <f t="shared" si="202"/>
        <v>0</v>
      </c>
      <c r="CR154" s="232">
        <f t="shared" si="202"/>
        <v>0</v>
      </c>
      <c r="CS154" s="232">
        <f t="shared" si="202"/>
        <v>0</v>
      </c>
      <c r="CT154" s="232">
        <f t="shared" si="202"/>
        <v>0</v>
      </c>
      <c r="CU154" s="232">
        <f t="shared" si="202"/>
        <v>0</v>
      </c>
      <c r="CV154" s="232">
        <f t="shared" si="202"/>
        <v>0</v>
      </c>
    </row>
    <row r="155" spans="1:100" outlineLevel="2" x14ac:dyDescent="0.2">
      <c r="A155" s="141"/>
      <c r="B155" s="141"/>
      <c r="C155" s="142"/>
      <c r="D155" s="143"/>
      <c r="E155" s="144" t="str">
        <f xml:space="preserve"> LEFT(E154, LEN(E154) - 4)</f>
        <v>O&amp;M expense</v>
      </c>
      <c r="F155" s="144"/>
      <c r="G155" s="144" t="str">
        <f xml:space="preserve"> SMU</f>
        <v>$ 000s</v>
      </c>
      <c r="H155" s="144">
        <f xml:space="preserve"> SUM(J155:CV155)</f>
        <v>-210402.03579009019</v>
      </c>
      <c r="I155" s="144"/>
      <c r="J155" s="144">
        <f t="shared" ref="J155:BU155" si="203" xml:space="preserve"> -1 * J154</f>
        <v>0</v>
      </c>
      <c r="K155" s="144">
        <f t="shared" si="203"/>
        <v>0</v>
      </c>
      <c r="L155" s="144">
        <f t="shared" si="203"/>
        <v>0</v>
      </c>
      <c r="M155" s="144">
        <f t="shared" si="203"/>
        <v>0</v>
      </c>
      <c r="N155" s="144">
        <f t="shared" si="203"/>
        <v>0</v>
      </c>
      <c r="O155" s="144">
        <f t="shared" si="203"/>
        <v>-4329.7286399999994</v>
      </c>
      <c r="P155" s="144">
        <f t="shared" si="203"/>
        <v>-4329.7286399999994</v>
      </c>
      <c r="Q155" s="144">
        <f t="shared" si="203"/>
        <v>-4416.3232128</v>
      </c>
      <c r="R155" s="144">
        <f t="shared" si="203"/>
        <v>-4416.3232128</v>
      </c>
      <c r="S155" s="144">
        <f t="shared" si="203"/>
        <v>-4504.6496770560007</v>
      </c>
      <c r="T155" s="144">
        <f t="shared" si="203"/>
        <v>-4504.6496770560007</v>
      </c>
      <c r="U155" s="144">
        <f t="shared" si="203"/>
        <v>-4594.7426705971193</v>
      </c>
      <c r="V155" s="144">
        <f t="shared" si="203"/>
        <v>-4594.7426705971193</v>
      </c>
      <c r="W155" s="144">
        <f t="shared" si="203"/>
        <v>-4686.637524009062</v>
      </c>
      <c r="X155" s="144">
        <f t="shared" si="203"/>
        <v>-4686.637524009062</v>
      </c>
      <c r="Y155" s="144">
        <f t="shared" si="203"/>
        <v>-4780.3702744892435</v>
      </c>
      <c r="Z155" s="144">
        <f t="shared" si="203"/>
        <v>-4780.3702744892435</v>
      </c>
      <c r="AA155" s="144">
        <f t="shared" si="203"/>
        <v>-4875.9776799790279</v>
      </c>
      <c r="AB155" s="144">
        <f t="shared" si="203"/>
        <v>-4875.9776799790279</v>
      </c>
      <c r="AC155" s="144">
        <f t="shared" si="203"/>
        <v>-4973.4972335786078</v>
      </c>
      <c r="AD155" s="144">
        <f t="shared" si="203"/>
        <v>-4973.4972335786078</v>
      </c>
      <c r="AE155" s="144">
        <f t="shared" si="203"/>
        <v>-5072.967178250181</v>
      </c>
      <c r="AF155" s="144">
        <f t="shared" si="203"/>
        <v>-5072.967178250181</v>
      </c>
      <c r="AG155" s="144">
        <f t="shared" si="203"/>
        <v>-5174.4265218151841</v>
      </c>
      <c r="AH155" s="144">
        <f t="shared" si="203"/>
        <v>-5174.4265218151841</v>
      </c>
      <c r="AI155" s="144">
        <f t="shared" si="203"/>
        <v>-5277.9150522514883</v>
      </c>
      <c r="AJ155" s="144">
        <f t="shared" si="203"/>
        <v>-5277.9150522514883</v>
      </c>
      <c r="AK155" s="144">
        <f t="shared" si="203"/>
        <v>-5383.4733532965174</v>
      </c>
      <c r="AL155" s="144">
        <f t="shared" si="203"/>
        <v>-5383.4733532965174</v>
      </c>
      <c r="AM155" s="144">
        <f t="shared" si="203"/>
        <v>-5491.1428203624482</v>
      </c>
      <c r="AN155" s="144">
        <f t="shared" si="203"/>
        <v>-5491.1428203624482</v>
      </c>
      <c r="AO155" s="144">
        <f t="shared" si="203"/>
        <v>-5600.9656767696979</v>
      </c>
      <c r="AP155" s="144">
        <f t="shared" si="203"/>
        <v>-5600.9656767696979</v>
      </c>
      <c r="AQ155" s="144">
        <f t="shared" si="203"/>
        <v>-5712.9849903050908</v>
      </c>
      <c r="AR155" s="144">
        <f t="shared" si="203"/>
        <v>-5712.9849903050908</v>
      </c>
      <c r="AS155" s="144">
        <f t="shared" si="203"/>
        <v>-5827.2446901111925</v>
      </c>
      <c r="AT155" s="144">
        <f t="shared" si="203"/>
        <v>-5827.2446901111925</v>
      </c>
      <c r="AU155" s="144">
        <f t="shared" si="203"/>
        <v>-5943.7895839134171</v>
      </c>
      <c r="AV155" s="144">
        <f t="shared" si="203"/>
        <v>-5943.7895839134171</v>
      </c>
      <c r="AW155" s="144">
        <f t="shared" si="203"/>
        <v>-6062.665375591685</v>
      </c>
      <c r="AX155" s="144">
        <f t="shared" si="203"/>
        <v>-6062.665375591685</v>
      </c>
      <c r="AY155" s="144">
        <f t="shared" si="203"/>
        <v>-6183.9186831035186</v>
      </c>
      <c r="AZ155" s="144">
        <f t="shared" si="203"/>
        <v>-6183.9186831035186</v>
      </c>
      <c r="BA155" s="144">
        <f t="shared" si="203"/>
        <v>-6307.5970567655886</v>
      </c>
      <c r="BB155" s="144">
        <f t="shared" si="203"/>
        <v>-6307.5970567655886</v>
      </c>
      <c r="BC155" s="144">
        <f t="shared" si="203"/>
        <v>0</v>
      </c>
      <c r="BD155" s="144">
        <f t="shared" si="203"/>
        <v>0</v>
      </c>
      <c r="BE155" s="144">
        <f t="shared" si="203"/>
        <v>0</v>
      </c>
      <c r="BF155" s="144">
        <f t="shared" si="203"/>
        <v>0</v>
      </c>
      <c r="BG155" s="144">
        <f t="shared" si="203"/>
        <v>0</v>
      </c>
      <c r="BH155" s="144">
        <f t="shared" si="203"/>
        <v>0</v>
      </c>
      <c r="BI155" s="144">
        <f t="shared" si="203"/>
        <v>0</v>
      </c>
      <c r="BJ155" s="144">
        <f t="shared" si="203"/>
        <v>0</v>
      </c>
      <c r="BK155" s="144">
        <f t="shared" si="203"/>
        <v>0</v>
      </c>
      <c r="BL155" s="144">
        <f t="shared" si="203"/>
        <v>0</v>
      </c>
      <c r="BM155" s="144">
        <f t="shared" si="203"/>
        <v>0</v>
      </c>
      <c r="BN155" s="144">
        <f t="shared" si="203"/>
        <v>0</v>
      </c>
      <c r="BO155" s="144">
        <f t="shared" si="203"/>
        <v>0</v>
      </c>
      <c r="BP155" s="144">
        <f t="shared" si="203"/>
        <v>0</v>
      </c>
      <c r="BQ155" s="144">
        <f t="shared" si="203"/>
        <v>0</v>
      </c>
      <c r="BR155" s="144">
        <f t="shared" si="203"/>
        <v>0</v>
      </c>
      <c r="BS155" s="144">
        <f t="shared" si="203"/>
        <v>0</v>
      </c>
      <c r="BT155" s="144">
        <f t="shared" si="203"/>
        <v>0</v>
      </c>
      <c r="BU155" s="144">
        <f t="shared" si="203"/>
        <v>0</v>
      </c>
      <c r="BV155" s="144">
        <f t="shared" ref="BV155:CV155" si="204" xml:space="preserve"> -1 * BV154</f>
        <v>0</v>
      </c>
      <c r="BW155" s="144">
        <f t="shared" si="204"/>
        <v>0</v>
      </c>
      <c r="BX155" s="144">
        <f t="shared" si="204"/>
        <v>0</v>
      </c>
      <c r="BY155" s="144">
        <f t="shared" si="204"/>
        <v>0</v>
      </c>
      <c r="BZ155" s="144">
        <f t="shared" si="204"/>
        <v>0</v>
      </c>
      <c r="CA155" s="144">
        <f t="shared" si="204"/>
        <v>0</v>
      </c>
      <c r="CB155" s="144">
        <f t="shared" si="204"/>
        <v>0</v>
      </c>
      <c r="CC155" s="144">
        <f t="shared" si="204"/>
        <v>0</v>
      </c>
      <c r="CD155" s="144">
        <f t="shared" si="204"/>
        <v>0</v>
      </c>
      <c r="CE155" s="144">
        <f t="shared" si="204"/>
        <v>0</v>
      </c>
      <c r="CF155" s="144">
        <f t="shared" si="204"/>
        <v>0</v>
      </c>
      <c r="CG155" s="144">
        <f t="shared" si="204"/>
        <v>0</v>
      </c>
      <c r="CH155" s="144">
        <f t="shared" si="204"/>
        <v>0</v>
      </c>
      <c r="CI155" s="144">
        <f t="shared" si="204"/>
        <v>0</v>
      </c>
      <c r="CJ155" s="144">
        <f t="shared" si="204"/>
        <v>0</v>
      </c>
      <c r="CK155" s="144">
        <f t="shared" si="204"/>
        <v>0</v>
      </c>
      <c r="CL155" s="144">
        <f t="shared" si="204"/>
        <v>0</v>
      </c>
      <c r="CM155" s="144">
        <f t="shared" si="204"/>
        <v>0</v>
      </c>
      <c r="CN155" s="144">
        <f t="shared" si="204"/>
        <v>0</v>
      </c>
      <c r="CO155" s="144">
        <f t="shared" si="204"/>
        <v>0</v>
      </c>
      <c r="CP155" s="144">
        <f t="shared" si="204"/>
        <v>0</v>
      </c>
      <c r="CQ155" s="144">
        <f t="shared" si="204"/>
        <v>0</v>
      </c>
      <c r="CR155" s="144">
        <f t="shared" si="204"/>
        <v>0</v>
      </c>
      <c r="CS155" s="144">
        <f t="shared" si="204"/>
        <v>0</v>
      </c>
      <c r="CT155" s="144">
        <f t="shared" si="204"/>
        <v>0</v>
      </c>
      <c r="CU155" s="144">
        <f t="shared" si="204"/>
        <v>0</v>
      </c>
      <c r="CV155" s="144">
        <f t="shared" si="204"/>
        <v>0</v>
      </c>
    </row>
    <row r="156" spans="1:100" outlineLevel="2" x14ac:dyDescent="0.2">
      <c r="A156" s="236"/>
      <c r="B156" s="236"/>
      <c r="C156" s="237"/>
      <c r="D156" s="238"/>
      <c r="E156" s="235"/>
      <c r="F156" s="235"/>
      <c r="G156" s="235"/>
      <c r="H156" s="235"/>
      <c r="I156" s="235"/>
      <c r="J156" s="235"/>
      <c r="K156" s="235"/>
      <c r="L156" s="235"/>
      <c r="M156" s="235"/>
      <c r="N156" s="235"/>
      <c r="O156" s="235"/>
      <c r="P156" s="235"/>
      <c r="Q156" s="235"/>
      <c r="R156" s="235"/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235"/>
      <c r="AD156" s="235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5"/>
      <c r="AY156" s="235"/>
      <c r="AZ156" s="235"/>
      <c r="BA156" s="235"/>
      <c r="BB156" s="235"/>
      <c r="BC156" s="235"/>
      <c r="BD156" s="235"/>
      <c r="BE156" s="235"/>
      <c r="BF156" s="235"/>
      <c r="BG156" s="235"/>
      <c r="BH156" s="235"/>
      <c r="BI156" s="235"/>
      <c r="BJ156" s="235"/>
      <c r="BK156" s="235"/>
      <c r="BL156" s="235"/>
      <c r="BM156" s="235"/>
      <c r="BN156" s="235"/>
      <c r="BO156" s="235"/>
      <c r="BP156" s="235"/>
      <c r="BQ156" s="235"/>
      <c r="BR156" s="235"/>
      <c r="BS156" s="235"/>
      <c r="BT156" s="235"/>
      <c r="BU156" s="235"/>
      <c r="BV156" s="235"/>
      <c r="BW156" s="235"/>
      <c r="BX156" s="235"/>
      <c r="BY156" s="235"/>
      <c r="BZ156" s="235"/>
      <c r="CA156" s="235"/>
      <c r="CB156" s="235"/>
      <c r="CC156" s="235"/>
      <c r="CD156" s="235"/>
      <c r="CE156" s="235"/>
      <c r="CF156" s="235"/>
      <c r="CG156" s="235"/>
      <c r="CH156" s="235"/>
      <c r="CI156" s="235"/>
      <c r="CJ156" s="235"/>
      <c r="CK156" s="235"/>
      <c r="CL156" s="235"/>
      <c r="CM156" s="235"/>
      <c r="CN156" s="235"/>
      <c r="CO156" s="235"/>
      <c r="CP156" s="235"/>
      <c r="CQ156" s="235"/>
      <c r="CR156" s="235"/>
      <c r="CS156" s="235"/>
      <c r="CT156" s="235"/>
      <c r="CU156" s="235"/>
      <c r="CV156" s="235"/>
    </row>
    <row r="157" spans="1:100" x14ac:dyDescent="0.2">
      <c r="A157" s="236"/>
      <c r="B157" s="236"/>
      <c r="C157" s="237"/>
      <c r="D157" s="238"/>
      <c r="E157" s="235"/>
      <c r="F157" s="235"/>
      <c r="G157" s="235"/>
      <c r="H157" s="235"/>
      <c r="I157" s="235"/>
      <c r="J157" s="235"/>
      <c r="K157" s="235"/>
      <c r="L157" s="235"/>
      <c r="M157" s="235"/>
      <c r="N157" s="235"/>
      <c r="O157" s="235"/>
      <c r="P157" s="235"/>
      <c r="Q157" s="235"/>
      <c r="R157" s="235"/>
      <c r="S157" s="235"/>
      <c r="T157" s="235"/>
      <c r="U157" s="235"/>
      <c r="V157" s="235"/>
      <c r="W157" s="235"/>
      <c r="X157" s="235"/>
      <c r="Y157" s="235"/>
      <c r="Z157" s="235"/>
      <c r="AA157" s="235"/>
      <c r="AB157" s="235"/>
      <c r="AC157" s="235"/>
      <c r="AD157" s="235"/>
      <c r="AE157" s="235"/>
      <c r="AF157" s="235"/>
      <c r="AG157" s="235"/>
      <c r="AH157" s="235"/>
      <c r="AI157" s="235"/>
      <c r="AJ157" s="235"/>
      <c r="AK157" s="235"/>
      <c r="AL157" s="235"/>
      <c r="AM157" s="235"/>
      <c r="AN157" s="235"/>
      <c r="AO157" s="235"/>
      <c r="AP157" s="235"/>
      <c r="AQ157" s="235"/>
      <c r="AR157" s="235"/>
      <c r="AS157" s="235"/>
      <c r="AT157" s="235"/>
      <c r="AU157" s="235"/>
      <c r="AV157" s="235"/>
      <c r="AW157" s="235"/>
      <c r="AX157" s="235"/>
      <c r="AY157" s="235"/>
      <c r="AZ157" s="235"/>
      <c r="BA157" s="235"/>
      <c r="BB157" s="235"/>
      <c r="BC157" s="235"/>
      <c r="BD157" s="235"/>
      <c r="BE157" s="235"/>
      <c r="BF157" s="235"/>
      <c r="BG157" s="235"/>
      <c r="BH157" s="235"/>
      <c r="BI157" s="235"/>
      <c r="BJ157" s="235"/>
      <c r="BK157" s="235"/>
      <c r="BL157" s="235"/>
      <c r="BM157" s="235"/>
      <c r="BN157" s="235"/>
      <c r="BO157" s="235"/>
      <c r="BP157" s="235"/>
      <c r="BQ157" s="235"/>
      <c r="BR157" s="235"/>
      <c r="BS157" s="235"/>
      <c r="BT157" s="235"/>
      <c r="BU157" s="235"/>
      <c r="BV157" s="235"/>
      <c r="BW157" s="235"/>
      <c r="BX157" s="235"/>
      <c r="BY157" s="235"/>
      <c r="BZ157" s="235"/>
      <c r="CA157" s="235"/>
      <c r="CB157" s="235"/>
      <c r="CC157" s="235"/>
      <c r="CD157" s="235"/>
      <c r="CE157" s="235"/>
      <c r="CF157" s="235"/>
      <c r="CG157" s="235"/>
      <c r="CH157" s="235"/>
      <c r="CI157" s="235"/>
      <c r="CJ157" s="235"/>
      <c r="CK157" s="235"/>
      <c r="CL157" s="235"/>
      <c r="CM157" s="235"/>
      <c r="CN157" s="235"/>
      <c r="CO157" s="235"/>
      <c r="CP157" s="235"/>
      <c r="CQ157" s="235"/>
      <c r="CR157" s="235"/>
      <c r="CS157" s="235"/>
      <c r="CT157" s="235"/>
      <c r="CU157" s="235"/>
      <c r="CV157" s="235"/>
    </row>
    <row r="158" spans="1:100" x14ac:dyDescent="0.2">
      <c r="A158" s="236" t="s">
        <v>191</v>
      </c>
      <c r="B158" s="236"/>
      <c r="C158" s="237"/>
      <c r="D158" s="238"/>
      <c r="E158" s="235"/>
      <c r="F158" s="235"/>
      <c r="G158" s="235"/>
      <c r="H158" s="235"/>
      <c r="I158" s="235"/>
      <c r="J158" s="235"/>
      <c r="K158" s="235"/>
      <c r="L158" s="235"/>
      <c r="M158" s="235"/>
      <c r="N158" s="235"/>
      <c r="O158" s="235"/>
      <c r="P158" s="235"/>
      <c r="Q158" s="235"/>
      <c r="R158" s="235"/>
      <c r="S158" s="235"/>
      <c r="T158" s="235"/>
      <c r="U158" s="235"/>
      <c r="V158" s="235"/>
      <c r="W158" s="235"/>
      <c r="X158" s="235"/>
      <c r="Y158" s="235"/>
      <c r="Z158" s="235"/>
      <c r="AA158" s="235"/>
      <c r="AB158" s="235"/>
      <c r="AC158" s="235"/>
      <c r="AD158" s="235"/>
      <c r="AE158" s="235"/>
      <c r="AF158" s="235"/>
      <c r="AG158" s="235"/>
      <c r="AH158" s="235"/>
      <c r="AI158" s="235"/>
      <c r="AJ158" s="235"/>
      <c r="AK158" s="235"/>
      <c r="AL158" s="235"/>
      <c r="AM158" s="235"/>
      <c r="AN158" s="235"/>
      <c r="AO158" s="235"/>
      <c r="AP158" s="235"/>
      <c r="AQ158" s="235"/>
      <c r="AR158" s="235"/>
      <c r="AS158" s="235"/>
      <c r="AT158" s="235"/>
      <c r="AU158" s="235"/>
      <c r="AV158" s="235"/>
      <c r="AW158" s="235"/>
      <c r="AX158" s="235"/>
      <c r="AY158" s="235"/>
      <c r="AZ158" s="235"/>
      <c r="BA158" s="235"/>
      <c r="BB158" s="235"/>
      <c r="BC158" s="235"/>
      <c r="BD158" s="235"/>
      <c r="BE158" s="235"/>
      <c r="BF158" s="235"/>
      <c r="BG158" s="235"/>
      <c r="BH158" s="235"/>
      <c r="BI158" s="235"/>
      <c r="BJ158" s="235"/>
      <c r="BK158" s="235"/>
      <c r="BL158" s="235"/>
      <c r="BM158" s="235"/>
      <c r="BN158" s="235"/>
      <c r="BO158" s="235"/>
      <c r="BP158" s="235"/>
      <c r="BQ158" s="235"/>
      <c r="BR158" s="235"/>
      <c r="BS158" s="235"/>
      <c r="BT158" s="235"/>
      <c r="BU158" s="235"/>
      <c r="BV158" s="235"/>
      <c r="BW158" s="235"/>
      <c r="BX158" s="235"/>
      <c r="BY158" s="235"/>
      <c r="BZ158" s="235"/>
      <c r="CA158" s="235"/>
      <c r="CB158" s="235"/>
      <c r="CC158" s="235"/>
      <c r="CD158" s="235"/>
      <c r="CE158" s="235"/>
      <c r="CF158" s="235"/>
      <c r="CG158" s="235"/>
      <c r="CH158" s="235"/>
      <c r="CI158" s="235"/>
      <c r="CJ158" s="235"/>
      <c r="CK158" s="235"/>
      <c r="CL158" s="235"/>
      <c r="CM158" s="235"/>
      <c r="CN158" s="235"/>
      <c r="CO158" s="235"/>
      <c r="CP158" s="235"/>
      <c r="CQ158" s="235"/>
      <c r="CR158" s="235"/>
      <c r="CS158" s="235"/>
      <c r="CT158" s="235"/>
      <c r="CU158" s="235"/>
      <c r="CV158" s="235"/>
    </row>
    <row r="159" spans="1:100" outlineLevel="1" x14ac:dyDescent="0.2">
      <c r="A159" s="236"/>
      <c r="B159" s="236"/>
      <c r="C159" s="237"/>
      <c r="D159" s="238"/>
      <c r="E159" s="235"/>
      <c r="F159" s="235"/>
      <c r="G159" s="235"/>
      <c r="H159" s="235"/>
      <c r="I159" s="235"/>
      <c r="J159" s="235"/>
      <c r="K159" s="235"/>
      <c r="L159" s="235"/>
      <c r="M159" s="235"/>
      <c r="N159" s="235"/>
      <c r="O159" s="235"/>
      <c r="P159" s="235"/>
      <c r="Q159" s="235"/>
      <c r="R159" s="235"/>
      <c r="S159" s="235"/>
      <c r="T159" s="235"/>
      <c r="U159" s="235"/>
      <c r="V159" s="235"/>
      <c r="W159" s="235"/>
      <c r="X159" s="235"/>
      <c r="Y159" s="235"/>
      <c r="Z159" s="235"/>
      <c r="AA159" s="235"/>
      <c r="AB159" s="235"/>
      <c r="AC159" s="235"/>
      <c r="AD159" s="235"/>
      <c r="AE159" s="235"/>
      <c r="AF159" s="235"/>
      <c r="AG159" s="235"/>
      <c r="AH159" s="235"/>
      <c r="AI159" s="235"/>
      <c r="AJ159" s="235"/>
      <c r="AK159" s="235"/>
      <c r="AL159" s="235"/>
      <c r="AM159" s="235"/>
      <c r="AN159" s="235"/>
      <c r="AO159" s="235"/>
      <c r="AP159" s="235"/>
      <c r="AQ159" s="235"/>
      <c r="AR159" s="235"/>
      <c r="AS159" s="235"/>
      <c r="AT159" s="235"/>
      <c r="AU159" s="235"/>
      <c r="AV159" s="235"/>
      <c r="AW159" s="235"/>
      <c r="AX159" s="235"/>
      <c r="AY159" s="235"/>
      <c r="AZ159" s="235"/>
      <c r="BA159" s="235"/>
      <c r="BB159" s="235"/>
      <c r="BC159" s="235"/>
      <c r="BD159" s="235"/>
      <c r="BE159" s="235"/>
      <c r="BF159" s="235"/>
      <c r="BG159" s="235"/>
      <c r="BH159" s="235"/>
      <c r="BI159" s="235"/>
      <c r="BJ159" s="235"/>
      <c r="BK159" s="235"/>
      <c r="BL159" s="235"/>
      <c r="BM159" s="235"/>
      <c r="BN159" s="235"/>
      <c r="BO159" s="235"/>
      <c r="BP159" s="235"/>
      <c r="BQ159" s="235"/>
      <c r="BR159" s="235"/>
      <c r="BS159" s="235"/>
      <c r="BT159" s="235"/>
      <c r="BU159" s="235"/>
      <c r="BV159" s="235"/>
      <c r="BW159" s="235"/>
      <c r="BX159" s="235"/>
      <c r="BY159" s="235"/>
      <c r="BZ159" s="235"/>
      <c r="CA159" s="235"/>
      <c r="CB159" s="235"/>
      <c r="CC159" s="235"/>
      <c r="CD159" s="235"/>
      <c r="CE159" s="235"/>
      <c r="CF159" s="235"/>
      <c r="CG159" s="235"/>
      <c r="CH159" s="235"/>
      <c r="CI159" s="235"/>
      <c r="CJ159" s="235"/>
      <c r="CK159" s="235"/>
      <c r="CL159" s="235"/>
      <c r="CM159" s="235"/>
      <c r="CN159" s="235"/>
      <c r="CO159" s="235"/>
      <c r="CP159" s="235"/>
      <c r="CQ159" s="235"/>
      <c r="CR159" s="235"/>
      <c r="CS159" s="235"/>
      <c r="CT159" s="235"/>
      <c r="CU159" s="235"/>
      <c r="CV159" s="235"/>
    </row>
    <row r="160" spans="1:100" outlineLevel="1" x14ac:dyDescent="0.2">
      <c r="A160" s="85"/>
      <c r="B160" s="85"/>
      <c r="C160" s="86"/>
      <c r="D160" s="87"/>
      <c r="E160" s="145" t="str">
        <f xml:space="preserve"> InpC!E$387</f>
        <v>Accounts receivable days</v>
      </c>
      <c r="F160" s="145">
        <f xml:space="preserve"> InpC!F$387</f>
        <v>45</v>
      </c>
      <c r="G160" s="145" t="str">
        <f xml:space="preserve"> InpC!G$387</f>
        <v>days</v>
      </c>
      <c r="H160" s="145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  <c r="BK160" s="68"/>
      <c r="BL160" s="68"/>
      <c r="BM160" s="68"/>
      <c r="BN160" s="68"/>
      <c r="BO160" s="68"/>
      <c r="BP160" s="68"/>
      <c r="BQ160" s="68"/>
      <c r="BR160" s="68"/>
      <c r="BS160" s="68"/>
      <c r="BT160" s="68"/>
      <c r="BU160" s="68"/>
      <c r="BV160" s="68"/>
      <c r="BW160" s="68"/>
      <c r="BX160" s="68"/>
      <c r="BY160" s="68"/>
      <c r="BZ160" s="68"/>
      <c r="CA160" s="68"/>
      <c r="CB160" s="68"/>
      <c r="CC160" s="68"/>
      <c r="CD160" s="68"/>
      <c r="CE160" s="68"/>
      <c r="CF160" s="68"/>
      <c r="CG160" s="68"/>
      <c r="CH160" s="68"/>
      <c r="CI160" s="68"/>
      <c r="CJ160" s="68"/>
      <c r="CK160" s="68"/>
      <c r="CL160" s="68"/>
      <c r="CM160" s="68"/>
      <c r="CN160" s="68"/>
      <c r="CO160" s="68"/>
      <c r="CP160" s="68"/>
      <c r="CQ160" s="68"/>
      <c r="CR160" s="68"/>
      <c r="CS160" s="68"/>
      <c r="CT160" s="68"/>
      <c r="CU160" s="68"/>
      <c r="CV160" s="68"/>
    </row>
    <row r="161" spans="1:100" outlineLevel="1" x14ac:dyDescent="0.2">
      <c r="A161" s="85"/>
      <c r="B161" s="85"/>
      <c r="C161" s="86"/>
      <c r="D161" s="87"/>
      <c r="E161" s="68" t="str">
        <f xml:space="preserve"> Time!E$246</f>
        <v>Days in period</v>
      </c>
      <c r="F161" s="68">
        <f xml:space="preserve"> Time!F$246</f>
        <v>0</v>
      </c>
      <c r="G161" s="68" t="str">
        <f xml:space="preserve"> Time!G$246</f>
        <v>days</v>
      </c>
      <c r="H161" s="68">
        <f xml:space="preserve"> Time!H$246</f>
        <v>0</v>
      </c>
      <c r="I161" s="68">
        <f xml:space="preserve"> Time!I$246</f>
        <v>0</v>
      </c>
      <c r="J161" s="68">
        <f xml:space="preserve"> Time!J$246</f>
        <v>181</v>
      </c>
      <c r="K161" s="68">
        <f xml:space="preserve"> Time!K$246</f>
        <v>184</v>
      </c>
      <c r="L161" s="68">
        <f xml:space="preserve"> Time!L$246</f>
        <v>181</v>
      </c>
      <c r="M161" s="68">
        <f xml:space="preserve"> Time!M$246</f>
        <v>184</v>
      </c>
      <c r="N161" s="68">
        <f xml:space="preserve"> Time!N$246</f>
        <v>182</v>
      </c>
      <c r="O161" s="68">
        <f xml:space="preserve"> Time!O$246</f>
        <v>184</v>
      </c>
      <c r="P161" s="68">
        <f xml:space="preserve"> Time!P$246</f>
        <v>181</v>
      </c>
      <c r="Q161" s="68">
        <f xml:space="preserve"> Time!Q$246</f>
        <v>184</v>
      </c>
      <c r="R161" s="68">
        <f xml:space="preserve"> Time!R$246</f>
        <v>181</v>
      </c>
      <c r="S161" s="68">
        <f xml:space="preserve"> Time!S$246</f>
        <v>184</v>
      </c>
      <c r="T161" s="68">
        <f xml:space="preserve"> Time!T$246</f>
        <v>181</v>
      </c>
      <c r="U161" s="68">
        <f xml:space="preserve"> Time!U$246</f>
        <v>184</v>
      </c>
      <c r="V161" s="68">
        <f xml:space="preserve"> Time!V$246</f>
        <v>182</v>
      </c>
      <c r="W161" s="68">
        <f xml:space="preserve"> Time!W$246</f>
        <v>184</v>
      </c>
      <c r="X161" s="68">
        <f xml:space="preserve"> Time!X$246</f>
        <v>181</v>
      </c>
      <c r="Y161" s="68">
        <f xml:space="preserve"> Time!Y$246</f>
        <v>184</v>
      </c>
      <c r="Z161" s="68">
        <f xml:space="preserve"> Time!Z$246</f>
        <v>181</v>
      </c>
      <c r="AA161" s="68">
        <f xml:space="preserve"> Time!AA$246</f>
        <v>184</v>
      </c>
      <c r="AB161" s="68">
        <f xml:space="preserve"> Time!AB$246</f>
        <v>181</v>
      </c>
      <c r="AC161" s="68">
        <f xml:space="preserve"> Time!AC$246</f>
        <v>184</v>
      </c>
      <c r="AD161" s="68">
        <f xml:space="preserve"> Time!AD$246</f>
        <v>182</v>
      </c>
      <c r="AE161" s="68">
        <f xml:space="preserve"> Time!AE$246</f>
        <v>184</v>
      </c>
      <c r="AF161" s="68">
        <f xml:space="preserve"> Time!AF$246</f>
        <v>181</v>
      </c>
      <c r="AG161" s="68">
        <f xml:space="preserve"> Time!AG$246</f>
        <v>184</v>
      </c>
      <c r="AH161" s="68">
        <f xml:space="preserve"> Time!AH$246</f>
        <v>181</v>
      </c>
      <c r="AI161" s="68">
        <f xml:space="preserve"> Time!AI$246</f>
        <v>184</v>
      </c>
      <c r="AJ161" s="68">
        <f xml:space="preserve"> Time!AJ$246</f>
        <v>181</v>
      </c>
      <c r="AK161" s="68">
        <f xml:space="preserve"> Time!AK$246</f>
        <v>184</v>
      </c>
      <c r="AL161" s="68">
        <f xml:space="preserve"> Time!AL$246</f>
        <v>182</v>
      </c>
      <c r="AM161" s="68">
        <f xml:space="preserve"> Time!AM$246</f>
        <v>184</v>
      </c>
      <c r="AN161" s="68">
        <f xml:space="preserve"> Time!AN$246</f>
        <v>181</v>
      </c>
      <c r="AO161" s="68">
        <f xml:space="preserve"> Time!AO$246</f>
        <v>184</v>
      </c>
      <c r="AP161" s="68">
        <f xml:space="preserve"> Time!AP$246</f>
        <v>181</v>
      </c>
      <c r="AQ161" s="68">
        <f xml:space="preserve"> Time!AQ$246</f>
        <v>184</v>
      </c>
      <c r="AR161" s="68">
        <f xml:space="preserve"> Time!AR$246</f>
        <v>181</v>
      </c>
      <c r="AS161" s="68">
        <f xml:space="preserve"> Time!AS$246</f>
        <v>184</v>
      </c>
      <c r="AT161" s="68">
        <f xml:space="preserve"> Time!AT$246</f>
        <v>182</v>
      </c>
      <c r="AU161" s="68">
        <f xml:space="preserve"> Time!AU$246</f>
        <v>184</v>
      </c>
      <c r="AV161" s="68">
        <f xml:space="preserve"> Time!AV$246</f>
        <v>181</v>
      </c>
      <c r="AW161" s="68">
        <f xml:space="preserve"> Time!AW$246</f>
        <v>184</v>
      </c>
      <c r="AX161" s="68">
        <f xml:space="preserve"> Time!AX$246</f>
        <v>181</v>
      </c>
      <c r="AY161" s="68">
        <f xml:space="preserve"> Time!AY$246</f>
        <v>184</v>
      </c>
      <c r="AZ161" s="68">
        <f xml:space="preserve"> Time!AZ$246</f>
        <v>181</v>
      </c>
      <c r="BA161" s="68">
        <f xml:space="preserve"> Time!BA$246</f>
        <v>184</v>
      </c>
      <c r="BB161" s="68">
        <f xml:space="preserve"> Time!BB$246</f>
        <v>182</v>
      </c>
      <c r="BC161" s="68">
        <f xml:space="preserve"> Time!BC$246</f>
        <v>184</v>
      </c>
      <c r="BD161" s="68">
        <f xml:space="preserve"> Time!BD$246</f>
        <v>181</v>
      </c>
      <c r="BE161" s="68">
        <f xml:space="preserve"> Time!BE$246</f>
        <v>184</v>
      </c>
      <c r="BF161" s="68">
        <f xml:space="preserve"> Time!BF$246</f>
        <v>181</v>
      </c>
      <c r="BG161" s="68">
        <f xml:space="preserve"> Time!BG$246</f>
        <v>184</v>
      </c>
      <c r="BH161" s="68">
        <f xml:space="preserve"> Time!BH$246</f>
        <v>181</v>
      </c>
      <c r="BI161" s="68">
        <f xml:space="preserve"> Time!BI$246</f>
        <v>184</v>
      </c>
      <c r="BJ161" s="68">
        <f xml:space="preserve"> Time!BJ$246</f>
        <v>182</v>
      </c>
      <c r="BK161" s="68">
        <f xml:space="preserve"> Time!BK$246</f>
        <v>184</v>
      </c>
      <c r="BL161" s="68">
        <f xml:space="preserve"> Time!BL$246</f>
        <v>181</v>
      </c>
      <c r="BM161" s="68">
        <f xml:space="preserve"> Time!BM$246</f>
        <v>184</v>
      </c>
      <c r="BN161" s="68">
        <f xml:space="preserve"> Time!BN$246</f>
        <v>181</v>
      </c>
      <c r="BO161" s="68">
        <f xml:space="preserve"> Time!BO$246</f>
        <v>184</v>
      </c>
      <c r="BP161" s="68">
        <f xml:space="preserve"> Time!BP$246</f>
        <v>181</v>
      </c>
      <c r="BQ161" s="68">
        <f xml:space="preserve"> Time!BQ$246</f>
        <v>184</v>
      </c>
      <c r="BR161" s="68">
        <f xml:space="preserve"> Time!BR$246</f>
        <v>182</v>
      </c>
      <c r="BS161" s="68">
        <f xml:space="preserve"> Time!BS$246</f>
        <v>184</v>
      </c>
      <c r="BT161" s="68">
        <f xml:space="preserve"> Time!BT$246</f>
        <v>181</v>
      </c>
      <c r="BU161" s="68">
        <f xml:space="preserve"> Time!BU$246</f>
        <v>184</v>
      </c>
      <c r="BV161" s="68">
        <f xml:space="preserve"> Time!BV$246</f>
        <v>181</v>
      </c>
      <c r="BW161" s="68">
        <f xml:space="preserve"> Time!BW$246</f>
        <v>184</v>
      </c>
      <c r="BX161" s="68">
        <f xml:space="preserve"> Time!BX$246</f>
        <v>181</v>
      </c>
      <c r="BY161" s="68">
        <f xml:space="preserve"> Time!BY$246</f>
        <v>184</v>
      </c>
      <c r="BZ161" s="68">
        <f xml:space="preserve"> Time!BZ$246</f>
        <v>182</v>
      </c>
      <c r="CA161" s="68">
        <f xml:space="preserve"> Time!CA$246</f>
        <v>184</v>
      </c>
      <c r="CB161" s="68">
        <f xml:space="preserve"> Time!CB$246</f>
        <v>181</v>
      </c>
      <c r="CC161" s="68">
        <f xml:space="preserve"> Time!CC$246</f>
        <v>184</v>
      </c>
      <c r="CD161" s="68">
        <f xml:space="preserve"> Time!CD$246</f>
        <v>181</v>
      </c>
      <c r="CE161" s="68">
        <f xml:space="preserve"> Time!CE$246</f>
        <v>184</v>
      </c>
      <c r="CF161" s="68">
        <f xml:space="preserve"> Time!CF$246</f>
        <v>181</v>
      </c>
      <c r="CG161" s="68">
        <f xml:space="preserve"> Time!CG$246</f>
        <v>184</v>
      </c>
      <c r="CH161" s="68">
        <f xml:space="preserve"> Time!CH$246</f>
        <v>182</v>
      </c>
      <c r="CI161" s="68">
        <f xml:space="preserve"> Time!CI$246</f>
        <v>184</v>
      </c>
      <c r="CJ161" s="68">
        <f xml:space="preserve"> Time!CJ$246</f>
        <v>181</v>
      </c>
      <c r="CK161" s="68">
        <f xml:space="preserve"> Time!CK$246</f>
        <v>184</v>
      </c>
      <c r="CL161" s="68">
        <f xml:space="preserve"> Time!CL$246</f>
        <v>181</v>
      </c>
      <c r="CM161" s="68">
        <f xml:space="preserve"> Time!CM$246</f>
        <v>184</v>
      </c>
      <c r="CN161" s="68">
        <f xml:space="preserve"> Time!CN$246</f>
        <v>181</v>
      </c>
      <c r="CO161" s="68">
        <f xml:space="preserve"> Time!CO$246</f>
        <v>184</v>
      </c>
      <c r="CP161" s="68">
        <f xml:space="preserve"> Time!CP$246</f>
        <v>182</v>
      </c>
      <c r="CQ161" s="68">
        <f xml:space="preserve"> Time!CQ$246</f>
        <v>184</v>
      </c>
      <c r="CR161" s="68">
        <f xml:space="preserve"> Time!CR$246</f>
        <v>181</v>
      </c>
      <c r="CS161" s="68">
        <f xml:space="preserve"> Time!CS$246</f>
        <v>184</v>
      </c>
      <c r="CT161" s="68">
        <f xml:space="preserve"> Time!CT$246</f>
        <v>181</v>
      </c>
      <c r="CU161" s="68">
        <f xml:space="preserve"> Time!CU$246</f>
        <v>184</v>
      </c>
      <c r="CV161" s="68">
        <f xml:space="preserve"> Time!CV$246</f>
        <v>181</v>
      </c>
    </row>
    <row r="162" spans="1:100" outlineLevel="1" x14ac:dyDescent="0.2">
      <c r="A162" s="85"/>
      <c r="B162" s="85"/>
      <c r="C162" s="86"/>
      <c r="D162" s="87"/>
      <c r="E162" s="396" t="str">
        <f xml:space="preserve"> Time!E$101</f>
        <v xml:space="preserve">Last operating period flag </v>
      </c>
      <c r="F162" s="396">
        <f xml:space="preserve"> Time!F$101</f>
        <v>0</v>
      </c>
      <c r="G162" s="396" t="str">
        <f xml:space="preserve"> Time!G$101</f>
        <v>flag</v>
      </c>
      <c r="H162" s="396">
        <f xml:space="preserve"> Time!H$101</f>
        <v>1</v>
      </c>
      <c r="I162" s="396">
        <f xml:space="preserve"> Time!I$101</f>
        <v>0</v>
      </c>
      <c r="J162" s="396">
        <f xml:space="preserve"> Time!J$101</f>
        <v>0</v>
      </c>
      <c r="K162" s="396">
        <f xml:space="preserve"> Time!K$101</f>
        <v>0</v>
      </c>
      <c r="L162" s="396">
        <f xml:space="preserve"> Time!L$101</f>
        <v>0</v>
      </c>
      <c r="M162" s="396">
        <f xml:space="preserve"> Time!M$101</f>
        <v>0</v>
      </c>
      <c r="N162" s="396">
        <f xml:space="preserve"> Time!N$101</f>
        <v>0</v>
      </c>
      <c r="O162" s="396">
        <f xml:space="preserve"> Time!O$101</f>
        <v>0</v>
      </c>
      <c r="P162" s="396">
        <f xml:space="preserve"> Time!P$101</f>
        <v>0</v>
      </c>
      <c r="Q162" s="396">
        <f xml:space="preserve"> Time!Q$101</f>
        <v>0</v>
      </c>
      <c r="R162" s="396">
        <f xml:space="preserve"> Time!R$101</f>
        <v>0</v>
      </c>
      <c r="S162" s="396">
        <f xml:space="preserve"> Time!S$101</f>
        <v>0</v>
      </c>
      <c r="T162" s="396">
        <f xml:space="preserve"> Time!T$101</f>
        <v>0</v>
      </c>
      <c r="U162" s="396">
        <f xml:space="preserve"> Time!U$101</f>
        <v>0</v>
      </c>
      <c r="V162" s="396">
        <f xml:space="preserve"> Time!V$101</f>
        <v>0</v>
      </c>
      <c r="W162" s="396">
        <f xml:space="preserve"> Time!W$101</f>
        <v>0</v>
      </c>
      <c r="X162" s="396">
        <f xml:space="preserve"> Time!X$101</f>
        <v>0</v>
      </c>
      <c r="Y162" s="396">
        <f xml:space="preserve"> Time!Y$101</f>
        <v>0</v>
      </c>
      <c r="Z162" s="396">
        <f xml:space="preserve"> Time!Z$101</f>
        <v>0</v>
      </c>
      <c r="AA162" s="396">
        <f xml:space="preserve"> Time!AA$101</f>
        <v>0</v>
      </c>
      <c r="AB162" s="396">
        <f xml:space="preserve"> Time!AB$101</f>
        <v>0</v>
      </c>
      <c r="AC162" s="396">
        <f xml:space="preserve"> Time!AC$101</f>
        <v>0</v>
      </c>
      <c r="AD162" s="396">
        <f xml:space="preserve"> Time!AD$101</f>
        <v>0</v>
      </c>
      <c r="AE162" s="396">
        <f xml:space="preserve"> Time!AE$101</f>
        <v>0</v>
      </c>
      <c r="AF162" s="396">
        <f xml:space="preserve"> Time!AF$101</f>
        <v>0</v>
      </c>
      <c r="AG162" s="396">
        <f xml:space="preserve"> Time!AG$101</f>
        <v>0</v>
      </c>
      <c r="AH162" s="396">
        <f xml:space="preserve"> Time!AH$101</f>
        <v>0</v>
      </c>
      <c r="AI162" s="396">
        <f xml:space="preserve"> Time!AI$101</f>
        <v>0</v>
      </c>
      <c r="AJ162" s="396">
        <f xml:space="preserve"> Time!AJ$101</f>
        <v>0</v>
      </c>
      <c r="AK162" s="396">
        <f xml:space="preserve"> Time!AK$101</f>
        <v>0</v>
      </c>
      <c r="AL162" s="396">
        <f xml:space="preserve"> Time!AL$101</f>
        <v>0</v>
      </c>
      <c r="AM162" s="396">
        <f xml:space="preserve"> Time!AM$101</f>
        <v>0</v>
      </c>
      <c r="AN162" s="396">
        <f xml:space="preserve"> Time!AN$101</f>
        <v>0</v>
      </c>
      <c r="AO162" s="396">
        <f xml:space="preserve"> Time!AO$101</f>
        <v>0</v>
      </c>
      <c r="AP162" s="396">
        <f xml:space="preserve"> Time!AP$101</f>
        <v>0</v>
      </c>
      <c r="AQ162" s="396">
        <f xml:space="preserve"> Time!AQ$101</f>
        <v>0</v>
      </c>
      <c r="AR162" s="396">
        <f xml:space="preserve"> Time!AR$101</f>
        <v>0</v>
      </c>
      <c r="AS162" s="396">
        <f xml:space="preserve"> Time!AS$101</f>
        <v>0</v>
      </c>
      <c r="AT162" s="396">
        <f xml:space="preserve"> Time!AT$101</f>
        <v>0</v>
      </c>
      <c r="AU162" s="396">
        <f xml:space="preserve"> Time!AU$101</f>
        <v>0</v>
      </c>
      <c r="AV162" s="396">
        <f xml:space="preserve"> Time!AV$101</f>
        <v>0</v>
      </c>
      <c r="AW162" s="396">
        <f xml:space="preserve"> Time!AW$101</f>
        <v>0</v>
      </c>
      <c r="AX162" s="396">
        <f xml:space="preserve"> Time!AX$101</f>
        <v>0</v>
      </c>
      <c r="AY162" s="396">
        <f xml:space="preserve"> Time!AY$101</f>
        <v>0</v>
      </c>
      <c r="AZ162" s="396">
        <f xml:space="preserve"> Time!AZ$101</f>
        <v>0</v>
      </c>
      <c r="BA162" s="396">
        <f xml:space="preserve"> Time!BA$101</f>
        <v>0</v>
      </c>
      <c r="BB162" s="396">
        <f xml:space="preserve"> Time!BB$101</f>
        <v>1</v>
      </c>
      <c r="BC162" s="396">
        <f xml:space="preserve"> Time!BC$101</f>
        <v>0</v>
      </c>
      <c r="BD162" s="396">
        <f xml:space="preserve"> Time!BD$101</f>
        <v>0</v>
      </c>
      <c r="BE162" s="396">
        <f xml:space="preserve"> Time!BE$101</f>
        <v>0</v>
      </c>
      <c r="BF162" s="396">
        <f xml:space="preserve"> Time!BF$101</f>
        <v>0</v>
      </c>
      <c r="BG162" s="396">
        <f xml:space="preserve"> Time!BG$101</f>
        <v>0</v>
      </c>
      <c r="BH162" s="396">
        <f xml:space="preserve"> Time!BH$101</f>
        <v>0</v>
      </c>
      <c r="BI162" s="396">
        <f xml:space="preserve"> Time!BI$101</f>
        <v>0</v>
      </c>
      <c r="BJ162" s="396">
        <f xml:space="preserve"> Time!BJ$101</f>
        <v>0</v>
      </c>
      <c r="BK162" s="396">
        <f xml:space="preserve"> Time!BK$101</f>
        <v>0</v>
      </c>
      <c r="BL162" s="396">
        <f xml:space="preserve"> Time!BL$101</f>
        <v>0</v>
      </c>
      <c r="BM162" s="396">
        <f xml:space="preserve"> Time!BM$101</f>
        <v>0</v>
      </c>
      <c r="BN162" s="396">
        <f xml:space="preserve"> Time!BN$101</f>
        <v>0</v>
      </c>
      <c r="BO162" s="396">
        <f xml:space="preserve"> Time!BO$101</f>
        <v>0</v>
      </c>
      <c r="BP162" s="396">
        <f xml:space="preserve"> Time!BP$101</f>
        <v>0</v>
      </c>
      <c r="BQ162" s="396">
        <f xml:space="preserve"> Time!BQ$101</f>
        <v>0</v>
      </c>
      <c r="BR162" s="396">
        <f xml:space="preserve"> Time!BR$101</f>
        <v>0</v>
      </c>
      <c r="BS162" s="396">
        <f xml:space="preserve"> Time!BS$101</f>
        <v>0</v>
      </c>
      <c r="BT162" s="396">
        <f xml:space="preserve"> Time!BT$101</f>
        <v>0</v>
      </c>
      <c r="BU162" s="396">
        <f xml:space="preserve"> Time!BU$101</f>
        <v>0</v>
      </c>
      <c r="BV162" s="396">
        <f xml:space="preserve"> Time!BV$101</f>
        <v>0</v>
      </c>
      <c r="BW162" s="396">
        <f xml:space="preserve"> Time!BW$101</f>
        <v>0</v>
      </c>
      <c r="BX162" s="396">
        <f xml:space="preserve"> Time!BX$101</f>
        <v>0</v>
      </c>
      <c r="BY162" s="396">
        <f xml:space="preserve"> Time!BY$101</f>
        <v>0</v>
      </c>
      <c r="BZ162" s="396">
        <f xml:space="preserve"> Time!BZ$101</f>
        <v>0</v>
      </c>
      <c r="CA162" s="396">
        <f xml:space="preserve"> Time!CA$101</f>
        <v>0</v>
      </c>
      <c r="CB162" s="396">
        <f xml:space="preserve"> Time!CB$101</f>
        <v>0</v>
      </c>
      <c r="CC162" s="396">
        <f xml:space="preserve"> Time!CC$101</f>
        <v>0</v>
      </c>
      <c r="CD162" s="396">
        <f xml:space="preserve"> Time!CD$101</f>
        <v>0</v>
      </c>
      <c r="CE162" s="396">
        <f xml:space="preserve"> Time!CE$101</f>
        <v>0</v>
      </c>
      <c r="CF162" s="396">
        <f xml:space="preserve"> Time!CF$101</f>
        <v>0</v>
      </c>
      <c r="CG162" s="396">
        <f xml:space="preserve"> Time!CG$101</f>
        <v>0</v>
      </c>
      <c r="CH162" s="396">
        <f xml:space="preserve"> Time!CH$101</f>
        <v>0</v>
      </c>
      <c r="CI162" s="396">
        <f xml:space="preserve"> Time!CI$101</f>
        <v>0</v>
      </c>
      <c r="CJ162" s="396">
        <f xml:space="preserve"> Time!CJ$101</f>
        <v>0</v>
      </c>
      <c r="CK162" s="396">
        <f xml:space="preserve"> Time!CK$101</f>
        <v>0</v>
      </c>
      <c r="CL162" s="396">
        <f xml:space="preserve"> Time!CL$101</f>
        <v>0</v>
      </c>
      <c r="CM162" s="396">
        <f xml:space="preserve"> Time!CM$101</f>
        <v>0</v>
      </c>
      <c r="CN162" s="396">
        <f xml:space="preserve"> Time!CN$101</f>
        <v>0</v>
      </c>
      <c r="CO162" s="396">
        <f xml:space="preserve"> Time!CO$101</f>
        <v>0</v>
      </c>
      <c r="CP162" s="396">
        <f xml:space="preserve"> Time!CP$101</f>
        <v>0</v>
      </c>
      <c r="CQ162" s="396">
        <f xml:space="preserve"> Time!CQ$101</f>
        <v>0</v>
      </c>
      <c r="CR162" s="396">
        <f xml:space="preserve"> Time!CR$101</f>
        <v>0</v>
      </c>
      <c r="CS162" s="396">
        <f xml:space="preserve"> Time!CS$101</f>
        <v>0</v>
      </c>
      <c r="CT162" s="396">
        <f xml:space="preserve"> Time!CT$101</f>
        <v>0</v>
      </c>
      <c r="CU162" s="396">
        <f xml:space="preserve"> Time!CU$101</f>
        <v>0</v>
      </c>
      <c r="CV162" s="396">
        <f xml:space="preserve"> Time!CV$101</f>
        <v>0</v>
      </c>
    </row>
    <row r="163" spans="1:100" outlineLevel="1" x14ac:dyDescent="0.2">
      <c r="A163" s="236"/>
      <c r="B163" s="236"/>
      <c r="C163" s="237"/>
      <c r="D163" s="238"/>
      <c r="E163" s="235" t="str">
        <f t="shared" ref="E163:AJ163" si="205" xml:space="preserve"> E$75</f>
        <v>Electricity payments (EPn) - P50</v>
      </c>
      <c r="F163" s="235">
        <f t="shared" si="205"/>
        <v>0</v>
      </c>
      <c r="G163" s="235" t="str">
        <f t="shared" si="205"/>
        <v>$ 000s</v>
      </c>
      <c r="H163" s="235">
        <f t="shared" si="205"/>
        <v>792204.22663711873</v>
      </c>
      <c r="I163" s="235">
        <f t="shared" si="205"/>
        <v>0</v>
      </c>
      <c r="J163" s="235">
        <f t="shared" si="205"/>
        <v>0</v>
      </c>
      <c r="K163" s="235">
        <f t="shared" si="205"/>
        <v>0</v>
      </c>
      <c r="L163" s="235">
        <f t="shared" si="205"/>
        <v>0</v>
      </c>
      <c r="M163" s="235">
        <f t="shared" si="205"/>
        <v>0</v>
      </c>
      <c r="N163" s="235">
        <f t="shared" si="205"/>
        <v>0</v>
      </c>
      <c r="O163" s="235">
        <f t="shared" si="205"/>
        <v>20101.067729615475</v>
      </c>
      <c r="P163" s="235">
        <f t="shared" si="205"/>
        <v>20101.067729615475</v>
      </c>
      <c r="Q163" s="235">
        <f t="shared" si="205"/>
        <v>20068.639747579797</v>
      </c>
      <c r="R163" s="235">
        <f t="shared" si="205"/>
        <v>20068.639747579797</v>
      </c>
      <c r="S163" s="235">
        <f t="shared" si="205"/>
        <v>20036.414706000804</v>
      </c>
      <c r="T163" s="235">
        <f t="shared" si="205"/>
        <v>20036.414706000804</v>
      </c>
      <c r="U163" s="235">
        <f t="shared" si="205"/>
        <v>20004.39468269296</v>
      </c>
      <c r="V163" s="235">
        <f t="shared" si="205"/>
        <v>20004.39468269296</v>
      </c>
      <c r="W163" s="235">
        <f t="shared" si="205"/>
        <v>19972.581795926155</v>
      </c>
      <c r="X163" s="235">
        <f t="shared" si="205"/>
        <v>19972.581795926155</v>
      </c>
      <c r="Y163" s="235">
        <f t="shared" si="205"/>
        <v>19940.978205146155</v>
      </c>
      <c r="Z163" s="235">
        <f t="shared" si="205"/>
        <v>19940.978205146155</v>
      </c>
      <c r="AA163" s="235">
        <f t="shared" si="205"/>
        <v>19909.586111708071</v>
      </c>
      <c r="AB163" s="235">
        <f t="shared" si="205"/>
        <v>19909.586111708071</v>
      </c>
      <c r="AC163" s="235">
        <f t="shared" si="205"/>
        <v>19878.407759622987</v>
      </c>
      <c r="AD163" s="235">
        <f t="shared" si="205"/>
        <v>19878.407759622987</v>
      </c>
      <c r="AE163" s="235">
        <f t="shared" si="205"/>
        <v>19847.445436318063</v>
      </c>
      <c r="AF163" s="235">
        <f t="shared" si="205"/>
        <v>19847.445436318063</v>
      </c>
      <c r="AG163" s="235">
        <f t="shared" si="205"/>
        <v>19816.701473410223</v>
      </c>
      <c r="AH163" s="235">
        <f t="shared" si="205"/>
        <v>19816.701473410223</v>
      </c>
      <c r="AI163" s="235">
        <f t="shared" si="205"/>
        <v>19786.178247493852</v>
      </c>
      <c r="AJ163" s="235">
        <f t="shared" si="205"/>
        <v>19786.178247493852</v>
      </c>
      <c r="AK163" s="235">
        <f t="shared" ref="AK163:BP163" si="206" xml:space="preserve"> AK$75</f>
        <v>19755.878180942527</v>
      </c>
      <c r="AL163" s="235">
        <f t="shared" si="206"/>
        <v>19755.878180942527</v>
      </c>
      <c r="AM163" s="235">
        <f t="shared" si="206"/>
        <v>19725.803742725308</v>
      </c>
      <c r="AN163" s="235">
        <f t="shared" si="206"/>
        <v>19725.803742725308</v>
      </c>
      <c r="AO163" s="235">
        <f t="shared" si="206"/>
        <v>19695.957449237616</v>
      </c>
      <c r="AP163" s="235">
        <f t="shared" si="206"/>
        <v>19695.957449237616</v>
      </c>
      <c r="AQ163" s="235">
        <f t="shared" si="206"/>
        <v>19666.341865147042</v>
      </c>
      <c r="AR163" s="235">
        <f t="shared" si="206"/>
        <v>19666.341865147042</v>
      </c>
      <c r="AS163" s="235">
        <f t="shared" si="206"/>
        <v>19636.959604254404</v>
      </c>
      <c r="AT163" s="235">
        <f t="shared" si="206"/>
        <v>19636.959604254404</v>
      </c>
      <c r="AU163" s="235">
        <f t="shared" si="206"/>
        <v>19607.813330370303</v>
      </c>
      <c r="AV163" s="235">
        <f t="shared" si="206"/>
        <v>19607.813330370303</v>
      </c>
      <c r="AW163" s="235">
        <f t="shared" si="206"/>
        <v>19578.905758207362</v>
      </c>
      <c r="AX163" s="235">
        <f t="shared" si="206"/>
        <v>19578.905758207362</v>
      </c>
      <c r="AY163" s="235">
        <f t="shared" si="206"/>
        <v>19550.239654288544</v>
      </c>
      <c r="AZ163" s="235">
        <f t="shared" si="206"/>
        <v>19550.239654288544</v>
      </c>
      <c r="BA163" s="235">
        <f t="shared" si="206"/>
        <v>19521.817837871837</v>
      </c>
      <c r="BB163" s="235">
        <f t="shared" si="206"/>
        <v>19521.817837871837</v>
      </c>
      <c r="BC163" s="235">
        <f t="shared" si="206"/>
        <v>0</v>
      </c>
      <c r="BD163" s="235">
        <f t="shared" si="206"/>
        <v>0</v>
      </c>
      <c r="BE163" s="235">
        <f t="shared" si="206"/>
        <v>0</v>
      </c>
      <c r="BF163" s="235">
        <f t="shared" si="206"/>
        <v>0</v>
      </c>
      <c r="BG163" s="235">
        <f t="shared" si="206"/>
        <v>0</v>
      </c>
      <c r="BH163" s="235">
        <f t="shared" si="206"/>
        <v>0</v>
      </c>
      <c r="BI163" s="235">
        <f t="shared" si="206"/>
        <v>0</v>
      </c>
      <c r="BJ163" s="235">
        <f t="shared" si="206"/>
        <v>0</v>
      </c>
      <c r="BK163" s="235">
        <f t="shared" si="206"/>
        <v>0</v>
      </c>
      <c r="BL163" s="235">
        <f t="shared" si="206"/>
        <v>0</v>
      </c>
      <c r="BM163" s="235">
        <f t="shared" si="206"/>
        <v>0</v>
      </c>
      <c r="BN163" s="235">
        <f t="shared" si="206"/>
        <v>0</v>
      </c>
      <c r="BO163" s="235">
        <f t="shared" si="206"/>
        <v>0</v>
      </c>
      <c r="BP163" s="235">
        <f t="shared" si="206"/>
        <v>0</v>
      </c>
      <c r="BQ163" s="235">
        <f t="shared" ref="BQ163:CV163" si="207" xml:space="preserve"> BQ$75</f>
        <v>0</v>
      </c>
      <c r="BR163" s="235">
        <f t="shared" si="207"/>
        <v>0</v>
      </c>
      <c r="BS163" s="235">
        <f t="shared" si="207"/>
        <v>0</v>
      </c>
      <c r="BT163" s="235">
        <f t="shared" si="207"/>
        <v>0</v>
      </c>
      <c r="BU163" s="235">
        <f t="shared" si="207"/>
        <v>0</v>
      </c>
      <c r="BV163" s="235">
        <f t="shared" si="207"/>
        <v>0</v>
      </c>
      <c r="BW163" s="235">
        <f t="shared" si="207"/>
        <v>0</v>
      </c>
      <c r="BX163" s="235">
        <f t="shared" si="207"/>
        <v>0</v>
      </c>
      <c r="BY163" s="235">
        <f t="shared" si="207"/>
        <v>0</v>
      </c>
      <c r="BZ163" s="235">
        <f t="shared" si="207"/>
        <v>0</v>
      </c>
      <c r="CA163" s="235">
        <f t="shared" si="207"/>
        <v>0</v>
      </c>
      <c r="CB163" s="235">
        <f t="shared" si="207"/>
        <v>0</v>
      </c>
      <c r="CC163" s="235">
        <f t="shared" si="207"/>
        <v>0</v>
      </c>
      <c r="CD163" s="235">
        <f t="shared" si="207"/>
        <v>0</v>
      </c>
      <c r="CE163" s="235">
        <f t="shared" si="207"/>
        <v>0</v>
      </c>
      <c r="CF163" s="235">
        <f t="shared" si="207"/>
        <v>0</v>
      </c>
      <c r="CG163" s="235">
        <f t="shared" si="207"/>
        <v>0</v>
      </c>
      <c r="CH163" s="235">
        <f t="shared" si="207"/>
        <v>0</v>
      </c>
      <c r="CI163" s="235">
        <f t="shared" si="207"/>
        <v>0</v>
      </c>
      <c r="CJ163" s="235">
        <f t="shared" si="207"/>
        <v>0</v>
      </c>
      <c r="CK163" s="235">
        <f t="shared" si="207"/>
        <v>0</v>
      </c>
      <c r="CL163" s="235">
        <f t="shared" si="207"/>
        <v>0</v>
      </c>
      <c r="CM163" s="235">
        <f t="shared" si="207"/>
        <v>0</v>
      </c>
      <c r="CN163" s="235">
        <f t="shared" si="207"/>
        <v>0</v>
      </c>
      <c r="CO163" s="235">
        <f t="shared" si="207"/>
        <v>0</v>
      </c>
      <c r="CP163" s="235">
        <f t="shared" si="207"/>
        <v>0</v>
      </c>
      <c r="CQ163" s="235">
        <f t="shared" si="207"/>
        <v>0</v>
      </c>
      <c r="CR163" s="235">
        <f t="shared" si="207"/>
        <v>0</v>
      </c>
      <c r="CS163" s="235">
        <f t="shared" si="207"/>
        <v>0</v>
      </c>
      <c r="CT163" s="235">
        <f t="shared" si="207"/>
        <v>0</v>
      </c>
      <c r="CU163" s="235">
        <f t="shared" si="207"/>
        <v>0</v>
      </c>
      <c r="CV163" s="235">
        <f t="shared" si="207"/>
        <v>0</v>
      </c>
    </row>
    <row r="164" spans="1:100" outlineLevel="1" x14ac:dyDescent="0.2">
      <c r="A164" s="236"/>
      <c r="B164" s="236"/>
      <c r="C164" s="237"/>
      <c r="D164" s="238"/>
      <c r="E164" s="235" t="s">
        <v>193</v>
      </c>
      <c r="F164" s="235"/>
      <c r="G164" s="235" t="str">
        <f xml:space="preserve"> SMU</f>
        <v>$ 000s</v>
      </c>
      <c r="H164" s="235"/>
      <c r="I164" s="235"/>
      <c r="J164" s="235">
        <f t="shared" ref="J164:AO164" si="208" xml:space="preserve"> IF(J162 = 1, 0, $F160 / J161 * J163)</f>
        <v>0</v>
      </c>
      <c r="K164" s="235">
        <f t="shared" si="208"/>
        <v>0</v>
      </c>
      <c r="L164" s="235">
        <f t="shared" si="208"/>
        <v>0</v>
      </c>
      <c r="M164" s="235">
        <f t="shared" si="208"/>
        <v>0</v>
      </c>
      <c r="N164" s="235">
        <f t="shared" si="208"/>
        <v>0</v>
      </c>
      <c r="O164" s="235">
        <f t="shared" si="208"/>
        <v>4916.0219990907417</v>
      </c>
      <c r="P164" s="235">
        <f t="shared" si="208"/>
        <v>4997.5030266999802</v>
      </c>
      <c r="Q164" s="235">
        <f t="shared" si="208"/>
        <v>4908.0912426146242</v>
      </c>
      <c r="R164" s="235">
        <f t="shared" si="208"/>
        <v>4989.4408212214967</v>
      </c>
      <c r="S164" s="235">
        <f t="shared" si="208"/>
        <v>4900.2101183154136</v>
      </c>
      <c r="T164" s="235">
        <f t="shared" si="208"/>
        <v>4981.4290705526864</v>
      </c>
      <c r="U164" s="235">
        <f t="shared" si="208"/>
        <v>4892.3791343542571</v>
      </c>
      <c r="V164" s="235">
        <f t="shared" si="208"/>
        <v>4946.141542424084</v>
      </c>
      <c r="W164" s="235">
        <f t="shared" si="208"/>
        <v>4884.5988087862879</v>
      </c>
      <c r="X164" s="235">
        <f t="shared" si="208"/>
        <v>4965.559010036889</v>
      </c>
      <c r="Y164" s="235">
        <f t="shared" si="208"/>
        <v>4876.8696697368314</v>
      </c>
      <c r="Z164" s="235">
        <f t="shared" si="208"/>
        <v>4957.70176371037</v>
      </c>
      <c r="AA164" s="235">
        <f t="shared" si="208"/>
        <v>4869.1922555807787</v>
      </c>
      <c r="AB164" s="235">
        <f t="shared" si="208"/>
        <v>4949.8970995959298</v>
      </c>
      <c r="AC164" s="235">
        <f t="shared" si="208"/>
        <v>4861.5671151251872</v>
      </c>
      <c r="AD164" s="235">
        <f t="shared" si="208"/>
        <v>4914.9909295771122</v>
      </c>
      <c r="AE164" s="235">
        <f t="shared" si="208"/>
        <v>4853.9948077951785</v>
      </c>
      <c r="AF164" s="235">
        <f t="shared" si="208"/>
        <v>4934.4477604105687</v>
      </c>
      <c r="AG164" s="235">
        <f t="shared" si="208"/>
        <v>4846.4759038231523</v>
      </c>
      <c r="AH164" s="235">
        <f t="shared" si="208"/>
        <v>4926.8042337207735</v>
      </c>
      <c r="AI164" s="235">
        <f t="shared" si="208"/>
        <v>4839.010984441431</v>
      </c>
      <c r="AJ164" s="235">
        <f t="shared" si="208"/>
        <v>4919.2155863934995</v>
      </c>
      <c r="AK164" s="235">
        <f t="shared" si="208"/>
        <v>4831.6006420783351</v>
      </c>
      <c r="AL164" s="235">
        <f t="shared" si="208"/>
        <v>4884.6951546286473</v>
      </c>
      <c r="AM164" s="235">
        <f t="shared" si="208"/>
        <v>4824.24548055782</v>
      </c>
      <c r="AN164" s="235">
        <f t="shared" si="208"/>
        <v>4904.2053504013193</v>
      </c>
      <c r="AO164" s="235">
        <f t="shared" si="208"/>
        <v>4816.9461153026778</v>
      </c>
      <c r="AP164" s="235">
        <f t="shared" ref="AP164:BU164" si="209" xml:space="preserve"> IF(AP162 = 1, 0, $F160 / AP161 * AP163)</f>
        <v>4896.7850011916726</v>
      </c>
      <c r="AQ164" s="235">
        <f t="shared" si="209"/>
        <v>4809.7031735413966</v>
      </c>
      <c r="AR164" s="235">
        <f t="shared" si="209"/>
        <v>4889.4220106719167</v>
      </c>
      <c r="AS164" s="235">
        <f t="shared" si="209"/>
        <v>4802.5172945187396</v>
      </c>
      <c r="AT164" s="235">
        <f t="shared" si="209"/>
        <v>4855.2922098431218</v>
      </c>
      <c r="AU164" s="235">
        <f t="shared" si="209"/>
        <v>4795.3891297101291</v>
      </c>
      <c r="AV164" s="235">
        <f t="shared" si="209"/>
        <v>4874.8707174953797</v>
      </c>
      <c r="AW164" s="235">
        <f t="shared" si="209"/>
        <v>4788.3193430398442</v>
      </c>
      <c r="AX164" s="235">
        <f t="shared" si="209"/>
        <v>4867.6837520405043</v>
      </c>
      <c r="AY164" s="235">
        <f t="shared" si="209"/>
        <v>4781.3086111031762</v>
      </c>
      <c r="AZ164" s="235">
        <f t="shared" si="209"/>
        <v>4860.5568201269862</v>
      </c>
      <c r="BA164" s="235">
        <f t="shared" si="209"/>
        <v>4774.3576233925687</v>
      </c>
      <c r="BB164" s="235">
        <f t="shared" si="209"/>
        <v>0</v>
      </c>
      <c r="BC164" s="235">
        <f t="shared" si="209"/>
        <v>0</v>
      </c>
      <c r="BD164" s="235">
        <f t="shared" si="209"/>
        <v>0</v>
      </c>
      <c r="BE164" s="235">
        <f t="shared" si="209"/>
        <v>0</v>
      </c>
      <c r="BF164" s="235">
        <f t="shared" si="209"/>
        <v>0</v>
      </c>
      <c r="BG164" s="235">
        <f t="shared" si="209"/>
        <v>0</v>
      </c>
      <c r="BH164" s="235">
        <f t="shared" si="209"/>
        <v>0</v>
      </c>
      <c r="BI164" s="235">
        <f t="shared" si="209"/>
        <v>0</v>
      </c>
      <c r="BJ164" s="235">
        <f t="shared" si="209"/>
        <v>0</v>
      </c>
      <c r="BK164" s="235">
        <f t="shared" si="209"/>
        <v>0</v>
      </c>
      <c r="BL164" s="235">
        <f t="shared" si="209"/>
        <v>0</v>
      </c>
      <c r="BM164" s="235">
        <f t="shared" si="209"/>
        <v>0</v>
      </c>
      <c r="BN164" s="235">
        <f t="shared" si="209"/>
        <v>0</v>
      </c>
      <c r="BO164" s="235">
        <f t="shared" si="209"/>
        <v>0</v>
      </c>
      <c r="BP164" s="235">
        <f t="shared" si="209"/>
        <v>0</v>
      </c>
      <c r="BQ164" s="235">
        <f t="shared" si="209"/>
        <v>0</v>
      </c>
      <c r="BR164" s="235">
        <f t="shared" si="209"/>
        <v>0</v>
      </c>
      <c r="BS164" s="235">
        <f t="shared" si="209"/>
        <v>0</v>
      </c>
      <c r="BT164" s="235">
        <f t="shared" si="209"/>
        <v>0</v>
      </c>
      <c r="BU164" s="235">
        <f t="shared" si="209"/>
        <v>0</v>
      </c>
      <c r="BV164" s="235">
        <f t="shared" ref="BV164:CV164" si="210" xml:space="preserve"> IF(BV162 = 1, 0, $F160 / BV161 * BV163)</f>
        <v>0</v>
      </c>
      <c r="BW164" s="235">
        <f t="shared" si="210"/>
        <v>0</v>
      </c>
      <c r="BX164" s="235">
        <f t="shared" si="210"/>
        <v>0</v>
      </c>
      <c r="BY164" s="235">
        <f t="shared" si="210"/>
        <v>0</v>
      </c>
      <c r="BZ164" s="235">
        <f t="shared" si="210"/>
        <v>0</v>
      </c>
      <c r="CA164" s="235">
        <f t="shared" si="210"/>
        <v>0</v>
      </c>
      <c r="CB164" s="235">
        <f t="shared" si="210"/>
        <v>0</v>
      </c>
      <c r="CC164" s="235">
        <f t="shared" si="210"/>
        <v>0</v>
      </c>
      <c r="CD164" s="235">
        <f t="shared" si="210"/>
        <v>0</v>
      </c>
      <c r="CE164" s="235">
        <f t="shared" si="210"/>
        <v>0</v>
      </c>
      <c r="CF164" s="235">
        <f t="shared" si="210"/>
        <v>0</v>
      </c>
      <c r="CG164" s="235">
        <f t="shared" si="210"/>
        <v>0</v>
      </c>
      <c r="CH164" s="235">
        <f t="shared" si="210"/>
        <v>0</v>
      </c>
      <c r="CI164" s="235">
        <f t="shared" si="210"/>
        <v>0</v>
      </c>
      <c r="CJ164" s="235">
        <f t="shared" si="210"/>
        <v>0</v>
      </c>
      <c r="CK164" s="235">
        <f t="shared" si="210"/>
        <v>0</v>
      </c>
      <c r="CL164" s="235">
        <f t="shared" si="210"/>
        <v>0</v>
      </c>
      <c r="CM164" s="235">
        <f t="shared" si="210"/>
        <v>0</v>
      </c>
      <c r="CN164" s="235">
        <f t="shared" si="210"/>
        <v>0</v>
      </c>
      <c r="CO164" s="235">
        <f t="shared" si="210"/>
        <v>0</v>
      </c>
      <c r="CP164" s="235">
        <f t="shared" si="210"/>
        <v>0</v>
      </c>
      <c r="CQ164" s="235">
        <f t="shared" si="210"/>
        <v>0</v>
      </c>
      <c r="CR164" s="235">
        <f t="shared" si="210"/>
        <v>0</v>
      </c>
      <c r="CS164" s="235">
        <f t="shared" si="210"/>
        <v>0</v>
      </c>
      <c r="CT164" s="235">
        <f t="shared" si="210"/>
        <v>0</v>
      </c>
      <c r="CU164" s="235">
        <f t="shared" si="210"/>
        <v>0</v>
      </c>
      <c r="CV164" s="235">
        <f t="shared" si="210"/>
        <v>0</v>
      </c>
    </row>
    <row r="165" spans="1:100" outlineLevel="1" x14ac:dyDescent="0.2">
      <c r="A165" s="236"/>
      <c r="B165" s="236"/>
      <c r="C165" s="237"/>
      <c r="D165" s="238"/>
      <c r="E165" s="235"/>
      <c r="F165" s="235"/>
      <c r="G165" s="235"/>
      <c r="H165" s="235"/>
      <c r="I165" s="235"/>
      <c r="J165" s="235"/>
      <c r="K165" s="235"/>
      <c r="L165" s="235"/>
      <c r="M165" s="235"/>
      <c r="N165" s="235"/>
      <c r="O165" s="235"/>
      <c r="P165" s="235"/>
      <c r="Q165" s="235"/>
      <c r="R165" s="235"/>
      <c r="S165" s="235"/>
      <c r="T165" s="235"/>
      <c r="U165" s="235"/>
      <c r="V165" s="235"/>
      <c r="W165" s="235"/>
      <c r="X165" s="235"/>
      <c r="Y165" s="235"/>
      <c r="Z165" s="235"/>
      <c r="AA165" s="235"/>
      <c r="AB165" s="235"/>
      <c r="AC165" s="235"/>
      <c r="AD165" s="235"/>
      <c r="AE165" s="235"/>
      <c r="AF165" s="235"/>
      <c r="AG165" s="235"/>
      <c r="AH165" s="235"/>
      <c r="AI165" s="235"/>
      <c r="AJ165" s="235"/>
      <c r="AK165" s="235"/>
      <c r="AL165" s="235"/>
      <c r="AM165" s="235"/>
      <c r="AN165" s="235"/>
      <c r="AO165" s="235"/>
      <c r="AP165" s="235"/>
      <c r="AQ165" s="235"/>
      <c r="AR165" s="235"/>
      <c r="AS165" s="235"/>
      <c r="AT165" s="235"/>
      <c r="AU165" s="235"/>
      <c r="AV165" s="235"/>
      <c r="AW165" s="235"/>
      <c r="AX165" s="235"/>
      <c r="AY165" s="235"/>
      <c r="AZ165" s="235"/>
      <c r="BA165" s="235"/>
      <c r="BB165" s="235"/>
      <c r="BC165" s="235"/>
      <c r="BD165" s="235"/>
      <c r="BE165" s="235"/>
      <c r="BF165" s="235"/>
      <c r="BG165" s="235"/>
      <c r="BH165" s="235"/>
      <c r="BI165" s="235"/>
      <c r="BJ165" s="235"/>
      <c r="BK165" s="235"/>
      <c r="BL165" s="235"/>
      <c r="BM165" s="235"/>
      <c r="BN165" s="235"/>
      <c r="BO165" s="235"/>
      <c r="BP165" s="235"/>
      <c r="BQ165" s="235"/>
      <c r="BR165" s="235"/>
      <c r="BS165" s="235"/>
      <c r="BT165" s="235"/>
      <c r="BU165" s="235"/>
      <c r="BV165" s="235"/>
      <c r="BW165" s="235"/>
      <c r="BX165" s="235"/>
      <c r="BY165" s="235"/>
      <c r="BZ165" s="235"/>
      <c r="CA165" s="235"/>
      <c r="CB165" s="235"/>
      <c r="CC165" s="235"/>
      <c r="CD165" s="235"/>
      <c r="CE165" s="235"/>
      <c r="CF165" s="235"/>
      <c r="CG165" s="235"/>
      <c r="CH165" s="235"/>
      <c r="CI165" s="235"/>
      <c r="CJ165" s="235"/>
      <c r="CK165" s="235"/>
      <c r="CL165" s="235"/>
      <c r="CM165" s="235"/>
      <c r="CN165" s="235"/>
      <c r="CO165" s="235"/>
      <c r="CP165" s="235"/>
      <c r="CQ165" s="235"/>
      <c r="CR165" s="235"/>
      <c r="CS165" s="235"/>
      <c r="CT165" s="235"/>
      <c r="CU165" s="235"/>
      <c r="CV165" s="235"/>
    </row>
    <row r="166" spans="1:100" outlineLevel="1" x14ac:dyDescent="0.2">
      <c r="A166" s="236"/>
      <c r="B166" s="236"/>
      <c r="C166" s="237"/>
      <c r="D166" s="238"/>
      <c r="E166" s="235" t="str">
        <f t="shared" ref="E166:AJ166" si="211" xml:space="preserve"> E$171</f>
        <v>Accounts receivable balance BEG</v>
      </c>
      <c r="F166" s="235">
        <f t="shared" si="211"/>
        <v>0</v>
      </c>
      <c r="G166" s="235" t="str">
        <f t="shared" si="211"/>
        <v>$ 000s</v>
      </c>
      <c r="H166" s="235">
        <f t="shared" si="211"/>
        <v>0</v>
      </c>
      <c r="I166" s="235">
        <f t="shared" si="211"/>
        <v>0</v>
      </c>
      <c r="J166" s="235">
        <f t="shared" si="211"/>
        <v>0</v>
      </c>
      <c r="K166" s="235">
        <f t="shared" si="211"/>
        <v>0</v>
      </c>
      <c r="L166" s="235">
        <f t="shared" si="211"/>
        <v>0</v>
      </c>
      <c r="M166" s="235">
        <f t="shared" si="211"/>
        <v>0</v>
      </c>
      <c r="N166" s="235">
        <f t="shared" si="211"/>
        <v>0</v>
      </c>
      <c r="O166" s="235">
        <f t="shared" si="211"/>
        <v>0</v>
      </c>
      <c r="P166" s="235">
        <f t="shared" si="211"/>
        <v>4916.0219990907426</v>
      </c>
      <c r="Q166" s="235">
        <f t="shared" si="211"/>
        <v>4997.503026699982</v>
      </c>
      <c r="R166" s="235">
        <f t="shared" si="211"/>
        <v>4908.0912426146242</v>
      </c>
      <c r="S166" s="235">
        <f t="shared" si="211"/>
        <v>4989.4408212214948</v>
      </c>
      <c r="T166" s="235">
        <f t="shared" si="211"/>
        <v>4900.2101183154118</v>
      </c>
      <c r="U166" s="235">
        <f t="shared" si="211"/>
        <v>4981.4290705526873</v>
      </c>
      <c r="V166" s="235">
        <f t="shared" si="211"/>
        <v>4892.379134354258</v>
      </c>
      <c r="W166" s="235">
        <f t="shared" si="211"/>
        <v>4946.141542424084</v>
      </c>
      <c r="X166" s="235">
        <f t="shared" si="211"/>
        <v>4884.5988087862861</v>
      </c>
      <c r="Y166" s="235">
        <f t="shared" si="211"/>
        <v>4965.55901003689</v>
      </c>
      <c r="Z166" s="235">
        <f t="shared" si="211"/>
        <v>4876.8696697368323</v>
      </c>
      <c r="AA166" s="235">
        <f t="shared" si="211"/>
        <v>4957.7017637103709</v>
      </c>
      <c r="AB166" s="235">
        <f t="shared" si="211"/>
        <v>4869.1922555807796</v>
      </c>
      <c r="AC166" s="235">
        <f t="shared" si="211"/>
        <v>4949.897099595928</v>
      </c>
      <c r="AD166" s="235">
        <f t="shared" si="211"/>
        <v>4861.5671151251881</v>
      </c>
      <c r="AE166" s="235">
        <f t="shared" si="211"/>
        <v>4914.9909295771104</v>
      </c>
      <c r="AF166" s="235">
        <f t="shared" si="211"/>
        <v>4853.9948077951776</v>
      </c>
      <c r="AG166" s="235">
        <f t="shared" si="211"/>
        <v>4934.4477604105705</v>
      </c>
      <c r="AH166" s="235">
        <f t="shared" si="211"/>
        <v>4846.4759038231532</v>
      </c>
      <c r="AI166" s="235">
        <f t="shared" si="211"/>
        <v>4926.8042337207735</v>
      </c>
      <c r="AJ166" s="235">
        <f t="shared" si="211"/>
        <v>4839.0109844414328</v>
      </c>
      <c r="AK166" s="235">
        <f t="shared" ref="AK166:BP166" si="212" xml:space="preserve"> AK$171</f>
        <v>4919.2155863935004</v>
      </c>
      <c r="AL166" s="235">
        <f t="shared" si="212"/>
        <v>4831.6006420783342</v>
      </c>
      <c r="AM166" s="235">
        <f t="shared" si="212"/>
        <v>4884.6951546286473</v>
      </c>
      <c r="AN166" s="235">
        <f t="shared" si="212"/>
        <v>4824.24548055782</v>
      </c>
      <c r="AO166" s="235">
        <f t="shared" si="212"/>
        <v>4904.2053504013202</v>
      </c>
      <c r="AP166" s="235">
        <f t="shared" si="212"/>
        <v>4816.9461153026787</v>
      </c>
      <c r="AQ166" s="235">
        <f t="shared" si="212"/>
        <v>4896.7850011916707</v>
      </c>
      <c r="AR166" s="235">
        <f t="shared" si="212"/>
        <v>4809.7031735413948</v>
      </c>
      <c r="AS166" s="235">
        <f t="shared" si="212"/>
        <v>4889.4220106719185</v>
      </c>
      <c r="AT166" s="235">
        <f t="shared" si="212"/>
        <v>4802.5172945187405</v>
      </c>
      <c r="AU166" s="235">
        <f t="shared" si="212"/>
        <v>4855.2922098431227</v>
      </c>
      <c r="AV166" s="235">
        <f t="shared" si="212"/>
        <v>4795.3891297101291</v>
      </c>
      <c r="AW166" s="235">
        <f t="shared" si="212"/>
        <v>4874.8707174953779</v>
      </c>
      <c r="AX166" s="235">
        <f t="shared" si="212"/>
        <v>4788.319343039846</v>
      </c>
      <c r="AY166" s="235">
        <f t="shared" si="212"/>
        <v>4867.6837520405061</v>
      </c>
      <c r="AZ166" s="235">
        <f t="shared" si="212"/>
        <v>4781.3086111031771</v>
      </c>
      <c r="BA166" s="235">
        <f t="shared" si="212"/>
        <v>4860.5568201269853</v>
      </c>
      <c r="BB166" s="235">
        <f t="shared" si="212"/>
        <v>4774.3576233925705</v>
      </c>
      <c r="BC166" s="235">
        <f t="shared" si="212"/>
        <v>0</v>
      </c>
      <c r="BD166" s="235">
        <f t="shared" si="212"/>
        <v>0</v>
      </c>
      <c r="BE166" s="235">
        <f t="shared" si="212"/>
        <v>0</v>
      </c>
      <c r="BF166" s="235">
        <f t="shared" si="212"/>
        <v>0</v>
      </c>
      <c r="BG166" s="235">
        <f t="shared" si="212"/>
        <v>0</v>
      </c>
      <c r="BH166" s="235">
        <f t="shared" si="212"/>
        <v>0</v>
      </c>
      <c r="BI166" s="235">
        <f t="shared" si="212"/>
        <v>0</v>
      </c>
      <c r="BJ166" s="235">
        <f t="shared" si="212"/>
        <v>0</v>
      </c>
      <c r="BK166" s="235">
        <f t="shared" si="212"/>
        <v>0</v>
      </c>
      <c r="BL166" s="235">
        <f t="shared" si="212"/>
        <v>0</v>
      </c>
      <c r="BM166" s="235">
        <f t="shared" si="212"/>
        <v>0</v>
      </c>
      <c r="BN166" s="235">
        <f t="shared" si="212"/>
        <v>0</v>
      </c>
      <c r="BO166" s="235">
        <f t="shared" si="212"/>
        <v>0</v>
      </c>
      <c r="BP166" s="235">
        <f t="shared" si="212"/>
        <v>0</v>
      </c>
      <c r="BQ166" s="235">
        <f t="shared" ref="BQ166:CV166" si="213" xml:space="preserve"> BQ$171</f>
        <v>0</v>
      </c>
      <c r="BR166" s="235">
        <f t="shared" si="213"/>
        <v>0</v>
      </c>
      <c r="BS166" s="235">
        <f t="shared" si="213"/>
        <v>0</v>
      </c>
      <c r="BT166" s="235">
        <f t="shared" si="213"/>
        <v>0</v>
      </c>
      <c r="BU166" s="235">
        <f t="shared" si="213"/>
        <v>0</v>
      </c>
      <c r="BV166" s="235">
        <f t="shared" si="213"/>
        <v>0</v>
      </c>
      <c r="BW166" s="235">
        <f t="shared" si="213"/>
        <v>0</v>
      </c>
      <c r="BX166" s="235">
        <f t="shared" si="213"/>
        <v>0</v>
      </c>
      <c r="BY166" s="235">
        <f t="shared" si="213"/>
        <v>0</v>
      </c>
      <c r="BZ166" s="235">
        <f t="shared" si="213"/>
        <v>0</v>
      </c>
      <c r="CA166" s="235">
        <f t="shared" si="213"/>
        <v>0</v>
      </c>
      <c r="CB166" s="235">
        <f t="shared" si="213"/>
        <v>0</v>
      </c>
      <c r="CC166" s="235">
        <f t="shared" si="213"/>
        <v>0</v>
      </c>
      <c r="CD166" s="235">
        <f t="shared" si="213"/>
        <v>0</v>
      </c>
      <c r="CE166" s="235">
        <f t="shared" si="213"/>
        <v>0</v>
      </c>
      <c r="CF166" s="235">
        <f t="shared" si="213"/>
        <v>0</v>
      </c>
      <c r="CG166" s="235">
        <f t="shared" si="213"/>
        <v>0</v>
      </c>
      <c r="CH166" s="235">
        <f t="shared" si="213"/>
        <v>0</v>
      </c>
      <c r="CI166" s="235">
        <f t="shared" si="213"/>
        <v>0</v>
      </c>
      <c r="CJ166" s="235">
        <f t="shared" si="213"/>
        <v>0</v>
      </c>
      <c r="CK166" s="235">
        <f t="shared" si="213"/>
        <v>0</v>
      </c>
      <c r="CL166" s="235">
        <f t="shared" si="213"/>
        <v>0</v>
      </c>
      <c r="CM166" s="235">
        <f t="shared" si="213"/>
        <v>0</v>
      </c>
      <c r="CN166" s="235">
        <f t="shared" si="213"/>
        <v>0</v>
      </c>
      <c r="CO166" s="235">
        <f t="shared" si="213"/>
        <v>0</v>
      </c>
      <c r="CP166" s="235">
        <f t="shared" si="213"/>
        <v>0</v>
      </c>
      <c r="CQ166" s="235">
        <f t="shared" si="213"/>
        <v>0</v>
      </c>
      <c r="CR166" s="235">
        <f t="shared" si="213"/>
        <v>0</v>
      </c>
      <c r="CS166" s="235">
        <f t="shared" si="213"/>
        <v>0</v>
      </c>
      <c r="CT166" s="235">
        <f t="shared" si="213"/>
        <v>0</v>
      </c>
      <c r="CU166" s="235">
        <f t="shared" si="213"/>
        <v>0</v>
      </c>
      <c r="CV166" s="235">
        <f t="shared" si="213"/>
        <v>0</v>
      </c>
    </row>
    <row r="167" spans="1:100" outlineLevel="1" x14ac:dyDescent="0.2">
      <c r="A167" s="236"/>
      <c r="B167" s="236"/>
      <c r="C167" s="237"/>
      <c r="D167" s="238"/>
      <c r="E167" s="235" t="str">
        <f t="shared" ref="E167:BP167" si="214" xml:space="preserve"> E$75</f>
        <v>Electricity payments (EPn) - P50</v>
      </c>
      <c r="F167" s="235">
        <f t="shared" si="214"/>
        <v>0</v>
      </c>
      <c r="G167" s="235" t="str">
        <f t="shared" si="214"/>
        <v>$ 000s</v>
      </c>
      <c r="H167" s="235">
        <f t="shared" si="214"/>
        <v>792204.22663711873</v>
      </c>
      <c r="I167" s="235">
        <f t="shared" si="214"/>
        <v>0</v>
      </c>
      <c r="J167" s="235">
        <f t="shared" si="214"/>
        <v>0</v>
      </c>
      <c r="K167" s="235">
        <f t="shared" si="214"/>
        <v>0</v>
      </c>
      <c r="L167" s="235">
        <f t="shared" si="214"/>
        <v>0</v>
      </c>
      <c r="M167" s="235">
        <f t="shared" si="214"/>
        <v>0</v>
      </c>
      <c r="N167" s="235">
        <f t="shared" si="214"/>
        <v>0</v>
      </c>
      <c r="O167" s="235">
        <f t="shared" si="214"/>
        <v>20101.067729615475</v>
      </c>
      <c r="P167" s="235">
        <f t="shared" si="214"/>
        <v>20101.067729615475</v>
      </c>
      <c r="Q167" s="235">
        <f t="shared" si="214"/>
        <v>20068.639747579797</v>
      </c>
      <c r="R167" s="235">
        <f t="shared" si="214"/>
        <v>20068.639747579797</v>
      </c>
      <c r="S167" s="235">
        <f t="shared" si="214"/>
        <v>20036.414706000804</v>
      </c>
      <c r="T167" s="235">
        <f t="shared" si="214"/>
        <v>20036.414706000804</v>
      </c>
      <c r="U167" s="235">
        <f t="shared" si="214"/>
        <v>20004.39468269296</v>
      </c>
      <c r="V167" s="235">
        <f t="shared" si="214"/>
        <v>20004.39468269296</v>
      </c>
      <c r="W167" s="235">
        <f t="shared" si="214"/>
        <v>19972.581795926155</v>
      </c>
      <c r="X167" s="235">
        <f t="shared" si="214"/>
        <v>19972.581795926155</v>
      </c>
      <c r="Y167" s="235">
        <f t="shared" si="214"/>
        <v>19940.978205146155</v>
      </c>
      <c r="Z167" s="235">
        <f t="shared" si="214"/>
        <v>19940.978205146155</v>
      </c>
      <c r="AA167" s="235">
        <f t="shared" si="214"/>
        <v>19909.586111708071</v>
      </c>
      <c r="AB167" s="235">
        <f t="shared" si="214"/>
        <v>19909.586111708071</v>
      </c>
      <c r="AC167" s="235">
        <f t="shared" si="214"/>
        <v>19878.407759622987</v>
      </c>
      <c r="AD167" s="235">
        <f t="shared" si="214"/>
        <v>19878.407759622987</v>
      </c>
      <c r="AE167" s="235">
        <f t="shared" si="214"/>
        <v>19847.445436318063</v>
      </c>
      <c r="AF167" s="235">
        <f t="shared" si="214"/>
        <v>19847.445436318063</v>
      </c>
      <c r="AG167" s="235">
        <f t="shared" si="214"/>
        <v>19816.701473410223</v>
      </c>
      <c r="AH167" s="235">
        <f t="shared" si="214"/>
        <v>19816.701473410223</v>
      </c>
      <c r="AI167" s="235">
        <f t="shared" si="214"/>
        <v>19786.178247493852</v>
      </c>
      <c r="AJ167" s="235">
        <f t="shared" si="214"/>
        <v>19786.178247493852</v>
      </c>
      <c r="AK167" s="235">
        <f t="shared" si="214"/>
        <v>19755.878180942527</v>
      </c>
      <c r="AL167" s="235">
        <f t="shared" si="214"/>
        <v>19755.878180942527</v>
      </c>
      <c r="AM167" s="235">
        <f t="shared" si="214"/>
        <v>19725.803742725308</v>
      </c>
      <c r="AN167" s="235">
        <f t="shared" si="214"/>
        <v>19725.803742725308</v>
      </c>
      <c r="AO167" s="235">
        <f t="shared" si="214"/>
        <v>19695.957449237616</v>
      </c>
      <c r="AP167" s="235">
        <f t="shared" si="214"/>
        <v>19695.957449237616</v>
      </c>
      <c r="AQ167" s="235">
        <f t="shared" si="214"/>
        <v>19666.341865147042</v>
      </c>
      <c r="AR167" s="235">
        <f t="shared" si="214"/>
        <v>19666.341865147042</v>
      </c>
      <c r="AS167" s="235">
        <f t="shared" si="214"/>
        <v>19636.959604254404</v>
      </c>
      <c r="AT167" s="235">
        <f t="shared" si="214"/>
        <v>19636.959604254404</v>
      </c>
      <c r="AU167" s="235">
        <f t="shared" si="214"/>
        <v>19607.813330370303</v>
      </c>
      <c r="AV167" s="235">
        <f t="shared" si="214"/>
        <v>19607.813330370303</v>
      </c>
      <c r="AW167" s="235">
        <f t="shared" si="214"/>
        <v>19578.905758207362</v>
      </c>
      <c r="AX167" s="235">
        <f t="shared" si="214"/>
        <v>19578.905758207362</v>
      </c>
      <c r="AY167" s="235">
        <f t="shared" si="214"/>
        <v>19550.239654288544</v>
      </c>
      <c r="AZ167" s="235">
        <f t="shared" si="214"/>
        <v>19550.239654288544</v>
      </c>
      <c r="BA167" s="235">
        <f t="shared" si="214"/>
        <v>19521.817837871837</v>
      </c>
      <c r="BB167" s="235">
        <f t="shared" si="214"/>
        <v>19521.817837871837</v>
      </c>
      <c r="BC167" s="235">
        <f t="shared" si="214"/>
        <v>0</v>
      </c>
      <c r="BD167" s="235">
        <f t="shared" si="214"/>
        <v>0</v>
      </c>
      <c r="BE167" s="235">
        <f t="shared" si="214"/>
        <v>0</v>
      </c>
      <c r="BF167" s="235">
        <f t="shared" si="214"/>
        <v>0</v>
      </c>
      <c r="BG167" s="235">
        <f t="shared" si="214"/>
        <v>0</v>
      </c>
      <c r="BH167" s="235">
        <f t="shared" si="214"/>
        <v>0</v>
      </c>
      <c r="BI167" s="235">
        <f t="shared" si="214"/>
        <v>0</v>
      </c>
      <c r="BJ167" s="235">
        <f t="shared" si="214"/>
        <v>0</v>
      </c>
      <c r="BK167" s="235">
        <f t="shared" si="214"/>
        <v>0</v>
      </c>
      <c r="BL167" s="235">
        <f t="shared" si="214"/>
        <v>0</v>
      </c>
      <c r="BM167" s="235">
        <f t="shared" si="214"/>
        <v>0</v>
      </c>
      <c r="BN167" s="235">
        <f t="shared" si="214"/>
        <v>0</v>
      </c>
      <c r="BO167" s="235">
        <f t="shared" si="214"/>
        <v>0</v>
      </c>
      <c r="BP167" s="235">
        <f t="shared" si="214"/>
        <v>0</v>
      </c>
      <c r="BQ167" s="235">
        <f t="shared" ref="BQ167:CV167" si="215" xml:space="preserve"> BQ$75</f>
        <v>0</v>
      </c>
      <c r="BR167" s="235">
        <f t="shared" si="215"/>
        <v>0</v>
      </c>
      <c r="BS167" s="235">
        <f t="shared" si="215"/>
        <v>0</v>
      </c>
      <c r="BT167" s="235">
        <f t="shared" si="215"/>
        <v>0</v>
      </c>
      <c r="BU167" s="235">
        <f t="shared" si="215"/>
        <v>0</v>
      </c>
      <c r="BV167" s="235">
        <f t="shared" si="215"/>
        <v>0</v>
      </c>
      <c r="BW167" s="235">
        <f t="shared" si="215"/>
        <v>0</v>
      </c>
      <c r="BX167" s="235">
        <f t="shared" si="215"/>
        <v>0</v>
      </c>
      <c r="BY167" s="235">
        <f t="shared" si="215"/>
        <v>0</v>
      </c>
      <c r="BZ167" s="235">
        <f t="shared" si="215"/>
        <v>0</v>
      </c>
      <c r="CA167" s="235">
        <f t="shared" si="215"/>
        <v>0</v>
      </c>
      <c r="CB167" s="235">
        <f t="shared" si="215"/>
        <v>0</v>
      </c>
      <c r="CC167" s="235">
        <f t="shared" si="215"/>
        <v>0</v>
      </c>
      <c r="CD167" s="235">
        <f t="shared" si="215"/>
        <v>0</v>
      </c>
      <c r="CE167" s="235">
        <f t="shared" si="215"/>
        <v>0</v>
      </c>
      <c r="CF167" s="235">
        <f t="shared" si="215"/>
        <v>0</v>
      </c>
      <c r="CG167" s="235">
        <f t="shared" si="215"/>
        <v>0</v>
      </c>
      <c r="CH167" s="235">
        <f t="shared" si="215"/>
        <v>0</v>
      </c>
      <c r="CI167" s="235">
        <f t="shared" si="215"/>
        <v>0</v>
      </c>
      <c r="CJ167" s="235">
        <f t="shared" si="215"/>
        <v>0</v>
      </c>
      <c r="CK167" s="235">
        <f t="shared" si="215"/>
        <v>0</v>
      </c>
      <c r="CL167" s="235">
        <f t="shared" si="215"/>
        <v>0</v>
      </c>
      <c r="CM167" s="235">
        <f t="shared" si="215"/>
        <v>0</v>
      </c>
      <c r="CN167" s="235">
        <f t="shared" si="215"/>
        <v>0</v>
      </c>
      <c r="CO167" s="235">
        <f t="shared" si="215"/>
        <v>0</v>
      </c>
      <c r="CP167" s="235">
        <f t="shared" si="215"/>
        <v>0</v>
      </c>
      <c r="CQ167" s="235">
        <f t="shared" si="215"/>
        <v>0</v>
      </c>
      <c r="CR167" s="235">
        <f t="shared" si="215"/>
        <v>0</v>
      </c>
      <c r="CS167" s="235">
        <f t="shared" si="215"/>
        <v>0</v>
      </c>
      <c r="CT167" s="235">
        <f t="shared" si="215"/>
        <v>0</v>
      </c>
      <c r="CU167" s="235">
        <f t="shared" si="215"/>
        <v>0</v>
      </c>
      <c r="CV167" s="235">
        <f t="shared" si="215"/>
        <v>0</v>
      </c>
    </row>
    <row r="168" spans="1:100" outlineLevel="1" x14ac:dyDescent="0.2">
      <c r="A168" s="236"/>
      <c r="B168" s="236"/>
      <c r="C168" s="237"/>
      <c r="D168" s="238"/>
      <c r="E168" s="235" t="str">
        <f t="shared" ref="E168:AJ168" si="216" xml:space="preserve"> E$164</f>
        <v>Forecast accounts receivable balance</v>
      </c>
      <c r="F168" s="235">
        <f t="shared" si="216"/>
        <v>0</v>
      </c>
      <c r="G168" s="235" t="str">
        <f t="shared" si="216"/>
        <v>$ 000s</v>
      </c>
      <c r="H168" s="235">
        <f t="shared" si="216"/>
        <v>0</v>
      </c>
      <c r="I168" s="235">
        <f t="shared" si="216"/>
        <v>0</v>
      </c>
      <c r="J168" s="235">
        <f t="shared" si="216"/>
        <v>0</v>
      </c>
      <c r="K168" s="235">
        <f t="shared" si="216"/>
        <v>0</v>
      </c>
      <c r="L168" s="235">
        <f t="shared" si="216"/>
        <v>0</v>
      </c>
      <c r="M168" s="235">
        <f t="shared" si="216"/>
        <v>0</v>
      </c>
      <c r="N168" s="235">
        <f t="shared" si="216"/>
        <v>0</v>
      </c>
      <c r="O168" s="235">
        <f t="shared" si="216"/>
        <v>4916.0219990907417</v>
      </c>
      <c r="P168" s="235">
        <f t="shared" si="216"/>
        <v>4997.5030266999802</v>
      </c>
      <c r="Q168" s="235">
        <f t="shared" si="216"/>
        <v>4908.0912426146242</v>
      </c>
      <c r="R168" s="235">
        <f t="shared" si="216"/>
        <v>4989.4408212214967</v>
      </c>
      <c r="S168" s="235">
        <f t="shared" si="216"/>
        <v>4900.2101183154136</v>
      </c>
      <c r="T168" s="235">
        <f t="shared" si="216"/>
        <v>4981.4290705526864</v>
      </c>
      <c r="U168" s="235">
        <f t="shared" si="216"/>
        <v>4892.3791343542571</v>
      </c>
      <c r="V168" s="235">
        <f t="shared" si="216"/>
        <v>4946.141542424084</v>
      </c>
      <c r="W168" s="235">
        <f t="shared" si="216"/>
        <v>4884.5988087862879</v>
      </c>
      <c r="X168" s="235">
        <f t="shared" si="216"/>
        <v>4965.559010036889</v>
      </c>
      <c r="Y168" s="235">
        <f t="shared" si="216"/>
        <v>4876.8696697368314</v>
      </c>
      <c r="Z168" s="235">
        <f t="shared" si="216"/>
        <v>4957.70176371037</v>
      </c>
      <c r="AA168" s="235">
        <f t="shared" si="216"/>
        <v>4869.1922555807787</v>
      </c>
      <c r="AB168" s="235">
        <f t="shared" si="216"/>
        <v>4949.8970995959298</v>
      </c>
      <c r="AC168" s="235">
        <f t="shared" si="216"/>
        <v>4861.5671151251872</v>
      </c>
      <c r="AD168" s="235">
        <f t="shared" si="216"/>
        <v>4914.9909295771122</v>
      </c>
      <c r="AE168" s="235">
        <f t="shared" si="216"/>
        <v>4853.9948077951785</v>
      </c>
      <c r="AF168" s="235">
        <f t="shared" si="216"/>
        <v>4934.4477604105687</v>
      </c>
      <c r="AG168" s="235">
        <f t="shared" si="216"/>
        <v>4846.4759038231523</v>
      </c>
      <c r="AH168" s="235">
        <f t="shared" si="216"/>
        <v>4926.8042337207735</v>
      </c>
      <c r="AI168" s="235">
        <f t="shared" si="216"/>
        <v>4839.010984441431</v>
      </c>
      <c r="AJ168" s="235">
        <f t="shared" si="216"/>
        <v>4919.2155863934995</v>
      </c>
      <c r="AK168" s="235">
        <f t="shared" ref="AK168:BP168" si="217" xml:space="preserve"> AK$164</f>
        <v>4831.6006420783351</v>
      </c>
      <c r="AL168" s="235">
        <f t="shared" si="217"/>
        <v>4884.6951546286473</v>
      </c>
      <c r="AM168" s="235">
        <f t="shared" si="217"/>
        <v>4824.24548055782</v>
      </c>
      <c r="AN168" s="235">
        <f t="shared" si="217"/>
        <v>4904.2053504013193</v>
      </c>
      <c r="AO168" s="235">
        <f t="shared" si="217"/>
        <v>4816.9461153026778</v>
      </c>
      <c r="AP168" s="235">
        <f t="shared" si="217"/>
        <v>4896.7850011916726</v>
      </c>
      <c r="AQ168" s="235">
        <f t="shared" si="217"/>
        <v>4809.7031735413966</v>
      </c>
      <c r="AR168" s="235">
        <f t="shared" si="217"/>
        <v>4889.4220106719167</v>
      </c>
      <c r="AS168" s="235">
        <f t="shared" si="217"/>
        <v>4802.5172945187396</v>
      </c>
      <c r="AT168" s="235">
        <f t="shared" si="217"/>
        <v>4855.2922098431218</v>
      </c>
      <c r="AU168" s="235">
        <f t="shared" si="217"/>
        <v>4795.3891297101291</v>
      </c>
      <c r="AV168" s="235">
        <f t="shared" si="217"/>
        <v>4874.8707174953797</v>
      </c>
      <c r="AW168" s="235">
        <f t="shared" si="217"/>
        <v>4788.3193430398442</v>
      </c>
      <c r="AX168" s="235">
        <f t="shared" si="217"/>
        <v>4867.6837520405043</v>
      </c>
      <c r="AY168" s="235">
        <f t="shared" si="217"/>
        <v>4781.3086111031762</v>
      </c>
      <c r="AZ168" s="235">
        <f t="shared" si="217"/>
        <v>4860.5568201269862</v>
      </c>
      <c r="BA168" s="235">
        <f t="shared" si="217"/>
        <v>4774.3576233925687</v>
      </c>
      <c r="BB168" s="235">
        <f t="shared" si="217"/>
        <v>0</v>
      </c>
      <c r="BC168" s="235">
        <f t="shared" si="217"/>
        <v>0</v>
      </c>
      <c r="BD168" s="235">
        <f t="shared" si="217"/>
        <v>0</v>
      </c>
      <c r="BE168" s="235">
        <f t="shared" si="217"/>
        <v>0</v>
      </c>
      <c r="BF168" s="235">
        <f t="shared" si="217"/>
        <v>0</v>
      </c>
      <c r="BG168" s="235">
        <f t="shared" si="217"/>
        <v>0</v>
      </c>
      <c r="BH168" s="235">
        <f t="shared" si="217"/>
        <v>0</v>
      </c>
      <c r="BI168" s="235">
        <f t="shared" si="217"/>
        <v>0</v>
      </c>
      <c r="BJ168" s="235">
        <f t="shared" si="217"/>
        <v>0</v>
      </c>
      <c r="BK168" s="235">
        <f t="shared" si="217"/>
        <v>0</v>
      </c>
      <c r="BL168" s="235">
        <f t="shared" si="217"/>
        <v>0</v>
      </c>
      <c r="BM168" s="235">
        <f t="shared" si="217"/>
        <v>0</v>
      </c>
      <c r="BN168" s="235">
        <f t="shared" si="217"/>
        <v>0</v>
      </c>
      <c r="BO168" s="235">
        <f t="shared" si="217"/>
        <v>0</v>
      </c>
      <c r="BP168" s="235">
        <f t="shared" si="217"/>
        <v>0</v>
      </c>
      <c r="BQ168" s="235">
        <f t="shared" ref="BQ168:CV168" si="218" xml:space="preserve"> BQ$164</f>
        <v>0</v>
      </c>
      <c r="BR168" s="235">
        <f t="shared" si="218"/>
        <v>0</v>
      </c>
      <c r="BS168" s="235">
        <f t="shared" si="218"/>
        <v>0</v>
      </c>
      <c r="BT168" s="235">
        <f t="shared" si="218"/>
        <v>0</v>
      </c>
      <c r="BU168" s="235">
        <f t="shared" si="218"/>
        <v>0</v>
      </c>
      <c r="BV168" s="235">
        <f t="shared" si="218"/>
        <v>0</v>
      </c>
      <c r="BW168" s="235">
        <f t="shared" si="218"/>
        <v>0</v>
      </c>
      <c r="BX168" s="235">
        <f t="shared" si="218"/>
        <v>0</v>
      </c>
      <c r="BY168" s="235">
        <f t="shared" si="218"/>
        <v>0</v>
      </c>
      <c r="BZ168" s="235">
        <f t="shared" si="218"/>
        <v>0</v>
      </c>
      <c r="CA168" s="235">
        <f t="shared" si="218"/>
        <v>0</v>
      </c>
      <c r="CB168" s="235">
        <f t="shared" si="218"/>
        <v>0</v>
      </c>
      <c r="CC168" s="235">
        <f t="shared" si="218"/>
        <v>0</v>
      </c>
      <c r="CD168" s="235">
        <f t="shared" si="218"/>
        <v>0</v>
      </c>
      <c r="CE168" s="235">
        <f t="shared" si="218"/>
        <v>0</v>
      </c>
      <c r="CF168" s="235">
        <f t="shared" si="218"/>
        <v>0</v>
      </c>
      <c r="CG168" s="235">
        <f t="shared" si="218"/>
        <v>0</v>
      </c>
      <c r="CH168" s="235">
        <f t="shared" si="218"/>
        <v>0</v>
      </c>
      <c r="CI168" s="235">
        <f t="shared" si="218"/>
        <v>0</v>
      </c>
      <c r="CJ168" s="235">
        <f t="shared" si="218"/>
        <v>0</v>
      </c>
      <c r="CK168" s="235">
        <f t="shared" si="218"/>
        <v>0</v>
      </c>
      <c r="CL168" s="235">
        <f t="shared" si="218"/>
        <v>0</v>
      </c>
      <c r="CM168" s="235">
        <f t="shared" si="218"/>
        <v>0</v>
      </c>
      <c r="CN168" s="235">
        <f t="shared" si="218"/>
        <v>0</v>
      </c>
      <c r="CO168" s="235">
        <f t="shared" si="218"/>
        <v>0</v>
      </c>
      <c r="CP168" s="235">
        <f t="shared" si="218"/>
        <v>0</v>
      </c>
      <c r="CQ168" s="235">
        <f t="shared" si="218"/>
        <v>0</v>
      </c>
      <c r="CR168" s="235">
        <f t="shared" si="218"/>
        <v>0</v>
      </c>
      <c r="CS168" s="235">
        <f t="shared" si="218"/>
        <v>0</v>
      </c>
      <c r="CT168" s="235">
        <f t="shared" si="218"/>
        <v>0</v>
      </c>
      <c r="CU168" s="235">
        <f t="shared" si="218"/>
        <v>0</v>
      </c>
      <c r="CV168" s="235">
        <f t="shared" si="218"/>
        <v>0</v>
      </c>
    </row>
    <row r="169" spans="1:100" outlineLevel="1" x14ac:dyDescent="0.2">
      <c r="A169" s="141"/>
      <c r="B169" s="141"/>
      <c r="C169" s="142"/>
      <c r="D169" s="143"/>
      <c r="E169" s="144" t="s">
        <v>196</v>
      </c>
      <c r="F169" s="144"/>
      <c r="G169" s="144" t="str">
        <f xml:space="preserve"> SMU</f>
        <v>$ 000s</v>
      </c>
      <c r="H169" s="144">
        <f xml:space="preserve"> SUM(J169:CV169)</f>
        <v>792204.22663711908</v>
      </c>
      <c r="I169" s="144"/>
      <c r="J169" s="144">
        <f t="shared" ref="J169:AO169" si="219" xml:space="preserve"> J166 + J167 - J168</f>
        <v>0</v>
      </c>
      <c r="K169" s="144">
        <f t="shared" si="219"/>
        <v>0</v>
      </c>
      <c r="L169" s="144">
        <f t="shared" si="219"/>
        <v>0</v>
      </c>
      <c r="M169" s="144">
        <f t="shared" si="219"/>
        <v>0</v>
      </c>
      <c r="N169" s="144">
        <f t="shared" si="219"/>
        <v>0</v>
      </c>
      <c r="O169" s="144">
        <f t="shared" si="219"/>
        <v>15185.045730524733</v>
      </c>
      <c r="P169" s="144">
        <f t="shared" si="219"/>
        <v>20019.586702006236</v>
      </c>
      <c r="Q169" s="144">
        <f t="shared" si="219"/>
        <v>20158.051531665154</v>
      </c>
      <c r="R169" s="144">
        <f t="shared" si="219"/>
        <v>19987.290168972926</v>
      </c>
      <c r="S169" s="144">
        <f t="shared" si="219"/>
        <v>20125.645408906887</v>
      </c>
      <c r="T169" s="144">
        <f t="shared" si="219"/>
        <v>19955.195753763528</v>
      </c>
      <c r="U169" s="144">
        <f t="shared" si="219"/>
        <v>20093.44461889139</v>
      </c>
      <c r="V169" s="144">
        <f t="shared" si="219"/>
        <v>19950.632274623134</v>
      </c>
      <c r="W169" s="144">
        <f t="shared" si="219"/>
        <v>20034.124529563953</v>
      </c>
      <c r="X169" s="144">
        <f t="shared" si="219"/>
        <v>19891.621594675551</v>
      </c>
      <c r="Y169" s="144">
        <f t="shared" si="219"/>
        <v>20029.667545446213</v>
      </c>
      <c r="Z169" s="144">
        <f t="shared" si="219"/>
        <v>19860.146111172617</v>
      </c>
      <c r="AA169" s="144">
        <f t="shared" si="219"/>
        <v>19998.095619837663</v>
      </c>
      <c r="AB169" s="144">
        <f t="shared" si="219"/>
        <v>19828.881267692923</v>
      </c>
      <c r="AC169" s="144">
        <f t="shared" si="219"/>
        <v>19966.737744093727</v>
      </c>
      <c r="AD169" s="144">
        <f t="shared" si="219"/>
        <v>19824.983945171065</v>
      </c>
      <c r="AE169" s="144">
        <f t="shared" si="219"/>
        <v>19908.441558099996</v>
      </c>
      <c r="AF169" s="144">
        <f t="shared" si="219"/>
        <v>19766.99248370267</v>
      </c>
      <c r="AG169" s="144">
        <f t="shared" si="219"/>
        <v>19904.67332999764</v>
      </c>
      <c r="AH169" s="144">
        <f t="shared" si="219"/>
        <v>19736.373143512603</v>
      </c>
      <c r="AI169" s="144">
        <f t="shared" si="219"/>
        <v>19873.971496773192</v>
      </c>
      <c r="AJ169" s="144">
        <f t="shared" si="219"/>
        <v>19705.973645541784</v>
      </c>
      <c r="AK169" s="144">
        <f t="shared" si="219"/>
        <v>19843.493125257693</v>
      </c>
      <c r="AL169" s="144">
        <f t="shared" si="219"/>
        <v>19702.783668392214</v>
      </c>
      <c r="AM169" s="144">
        <f t="shared" si="219"/>
        <v>19786.253416796135</v>
      </c>
      <c r="AN169" s="144">
        <f t="shared" si="219"/>
        <v>19645.843872881807</v>
      </c>
      <c r="AO169" s="144">
        <f t="shared" si="219"/>
        <v>19783.216684336257</v>
      </c>
      <c r="AP169" s="144">
        <f t="shared" ref="AP169:BU169" si="220" xml:space="preserve"> AP166 + AP167 - AP168</f>
        <v>19616.118563348624</v>
      </c>
      <c r="AQ169" s="144">
        <f t="shared" si="220"/>
        <v>19753.423692797318</v>
      </c>
      <c r="AR169" s="144">
        <f t="shared" si="220"/>
        <v>19586.623028016518</v>
      </c>
      <c r="AS169" s="144">
        <f t="shared" si="220"/>
        <v>19723.864320407582</v>
      </c>
      <c r="AT169" s="144">
        <f t="shared" si="220"/>
        <v>19584.184688930021</v>
      </c>
      <c r="AU169" s="144">
        <f t="shared" si="220"/>
        <v>19667.716410503297</v>
      </c>
      <c r="AV169" s="144">
        <f t="shared" si="220"/>
        <v>19528.331742585055</v>
      </c>
      <c r="AW169" s="144">
        <f t="shared" si="220"/>
        <v>19665.457132662894</v>
      </c>
      <c r="AX169" s="144">
        <f t="shared" si="220"/>
        <v>19499.541349206702</v>
      </c>
      <c r="AY169" s="144">
        <f t="shared" si="220"/>
        <v>19636.614795225873</v>
      </c>
      <c r="AZ169" s="144">
        <f t="shared" si="220"/>
        <v>19470.991445264735</v>
      </c>
      <c r="BA169" s="144">
        <f t="shared" si="220"/>
        <v>19608.017034606251</v>
      </c>
      <c r="BB169" s="144">
        <f t="shared" si="220"/>
        <v>24296.175461264407</v>
      </c>
      <c r="BC169" s="144">
        <f t="shared" si="220"/>
        <v>0</v>
      </c>
      <c r="BD169" s="144">
        <f t="shared" si="220"/>
        <v>0</v>
      </c>
      <c r="BE169" s="144">
        <f t="shared" si="220"/>
        <v>0</v>
      </c>
      <c r="BF169" s="144">
        <f t="shared" si="220"/>
        <v>0</v>
      </c>
      <c r="BG169" s="144">
        <f t="shared" si="220"/>
        <v>0</v>
      </c>
      <c r="BH169" s="144">
        <f t="shared" si="220"/>
        <v>0</v>
      </c>
      <c r="BI169" s="144">
        <f t="shared" si="220"/>
        <v>0</v>
      </c>
      <c r="BJ169" s="144">
        <f t="shared" si="220"/>
        <v>0</v>
      </c>
      <c r="BK169" s="144">
        <f t="shared" si="220"/>
        <v>0</v>
      </c>
      <c r="BL169" s="144">
        <f t="shared" si="220"/>
        <v>0</v>
      </c>
      <c r="BM169" s="144">
        <f t="shared" si="220"/>
        <v>0</v>
      </c>
      <c r="BN169" s="144">
        <f t="shared" si="220"/>
        <v>0</v>
      </c>
      <c r="BO169" s="144">
        <f t="shared" si="220"/>
        <v>0</v>
      </c>
      <c r="BP169" s="144">
        <f t="shared" si="220"/>
        <v>0</v>
      </c>
      <c r="BQ169" s="144">
        <f t="shared" si="220"/>
        <v>0</v>
      </c>
      <c r="BR169" s="144">
        <f t="shared" si="220"/>
        <v>0</v>
      </c>
      <c r="BS169" s="144">
        <f t="shared" si="220"/>
        <v>0</v>
      </c>
      <c r="BT169" s="144">
        <f t="shared" si="220"/>
        <v>0</v>
      </c>
      <c r="BU169" s="144">
        <f t="shared" si="220"/>
        <v>0</v>
      </c>
      <c r="BV169" s="144">
        <f t="shared" ref="BV169:CV169" si="221" xml:space="preserve"> BV166 + BV167 - BV168</f>
        <v>0</v>
      </c>
      <c r="BW169" s="144">
        <f t="shared" si="221"/>
        <v>0</v>
      </c>
      <c r="BX169" s="144">
        <f t="shared" si="221"/>
        <v>0</v>
      </c>
      <c r="BY169" s="144">
        <f t="shared" si="221"/>
        <v>0</v>
      </c>
      <c r="BZ169" s="144">
        <f t="shared" si="221"/>
        <v>0</v>
      </c>
      <c r="CA169" s="144">
        <f t="shared" si="221"/>
        <v>0</v>
      </c>
      <c r="CB169" s="144">
        <f t="shared" si="221"/>
        <v>0</v>
      </c>
      <c r="CC169" s="144">
        <f t="shared" si="221"/>
        <v>0</v>
      </c>
      <c r="CD169" s="144">
        <f t="shared" si="221"/>
        <v>0</v>
      </c>
      <c r="CE169" s="144">
        <f t="shared" si="221"/>
        <v>0</v>
      </c>
      <c r="CF169" s="144">
        <f t="shared" si="221"/>
        <v>0</v>
      </c>
      <c r="CG169" s="144">
        <f t="shared" si="221"/>
        <v>0</v>
      </c>
      <c r="CH169" s="144">
        <f t="shared" si="221"/>
        <v>0</v>
      </c>
      <c r="CI169" s="144">
        <f t="shared" si="221"/>
        <v>0</v>
      </c>
      <c r="CJ169" s="144">
        <f t="shared" si="221"/>
        <v>0</v>
      </c>
      <c r="CK169" s="144">
        <f t="shared" si="221"/>
        <v>0</v>
      </c>
      <c r="CL169" s="144">
        <f t="shared" si="221"/>
        <v>0</v>
      </c>
      <c r="CM169" s="144">
        <f t="shared" si="221"/>
        <v>0</v>
      </c>
      <c r="CN169" s="144">
        <f t="shared" si="221"/>
        <v>0</v>
      </c>
      <c r="CO169" s="144">
        <f t="shared" si="221"/>
        <v>0</v>
      </c>
      <c r="CP169" s="144">
        <f t="shared" si="221"/>
        <v>0</v>
      </c>
      <c r="CQ169" s="144">
        <f t="shared" si="221"/>
        <v>0</v>
      </c>
      <c r="CR169" s="144">
        <f t="shared" si="221"/>
        <v>0</v>
      </c>
      <c r="CS169" s="144">
        <f t="shared" si="221"/>
        <v>0</v>
      </c>
      <c r="CT169" s="144">
        <f t="shared" si="221"/>
        <v>0</v>
      </c>
      <c r="CU169" s="144">
        <f t="shared" si="221"/>
        <v>0</v>
      </c>
      <c r="CV169" s="144">
        <f t="shared" si="221"/>
        <v>0</v>
      </c>
    </row>
    <row r="170" spans="1:100" outlineLevel="1" x14ac:dyDescent="0.2">
      <c r="A170" s="236"/>
      <c r="B170" s="236"/>
      <c r="C170" s="237"/>
      <c r="D170" s="238"/>
      <c r="E170" s="235"/>
      <c r="F170" s="235"/>
      <c r="G170" s="235"/>
      <c r="H170" s="235"/>
      <c r="I170" s="235"/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  <c r="AJ170" s="235"/>
      <c r="AK170" s="235"/>
      <c r="AL170" s="235"/>
      <c r="AM170" s="235"/>
      <c r="AN170" s="235"/>
      <c r="AO170" s="235"/>
      <c r="AP170" s="235"/>
      <c r="AQ170" s="235"/>
      <c r="AR170" s="235"/>
      <c r="AS170" s="235"/>
      <c r="AT170" s="235"/>
      <c r="AU170" s="235"/>
      <c r="AV170" s="235"/>
      <c r="AW170" s="235"/>
      <c r="AX170" s="235"/>
      <c r="AY170" s="235"/>
      <c r="AZ170" s="235"/>
      <c r="BA170" s="235"/>
      <c r="BB170" s="235"/>
      <c r="BC170" s="235"/>
      <c r="BD170" s="235"/>
      <c r="BE170" s="235"/>
      <c r="BF170" s="235"/>
      <c r="BG170" s="235"/>
      <c r="BH170" s="235"/>
      <c r="BI170" s="235"/>
      <c r="BJ170" s="235"/>
      <c r="BK170" s="235"/>
      <c r="BL170" s="235"/>
      <c r="BM170" s="235"/>
      <c r="BN170" s="235"/>
      <c r="BO170" s="235"/>
      <c r="BP170" s="235"/>
      <c r="BQ170" s="235"/>
      <c r="BR170" s="235"/>
      <c r="BS170" s="235"/>
      <c r="BT170" s="235"/>
      <c r="BU170" s="235"/>
      <c r="BV170" s="235"/>
      <c r="BW170" s="235"/>
      <c r="BX170" s="235"/>
      <c r="BY170" s="235"/>
      <c r="BZ170" s="235"/>
      <c r="CA170" s="235"/>
      <c r="CB170" s="235"/>
      <c r="CC170" s="235"/>
      <c r="CD170" s="235"/>
      <c r="CE170" s="235"/>
      <c r="CF170" s="235"/>
      <c r="CG170" s="235"/>
      <c r="CH170" s="235"/>
      <c r="CI170" s="235"/>
      <c r="CJ170" s="235"/>
      <c r="CK170" s="235"/>
      <c r="CL170" s="235"/>
      <c r="CM170" s="235"/>
      <c r="CN170" s="235"/>
      <c r="CO170" s="235"/>
      <c r="CP170" s="235"/>
      <c r="CQ170" s="235"/>
      <c r="CR170" s="235"/>
      <c r="CS170" s="235"/>
      <c r="CT170" s="235"/>
      <c r="CU170" s="235"/>
      <c r="CV170" s="235"/>
    </row>
    <row r="171" spans="1:100" s="502" customFormat="1" outlineLevel="1" x14ac:dyDescent="0.2">
      <c r="A171" s="504"/>
      <c r="B171" s="504"/>
      <c r="C171" s="505"/>
      <c r="D171" s="506"/>
      <c r="E171" s="508" t="s">
        <v>194</v>
      </c>
      <c r="F171" s="508"/>
      <c r="G171" s="508" t="str">
        <f xml:space="preserve"> SMU</f>
        <v>$ 000s</v>
      </c>
      <c r="H171" s="508"/>
      <c r="I171" s="508"/>
      <c r="J171" s="508">
        <f t="shared" ref="J171:BU171" si="222">I174</f>
        <v>0</v>
      </c>
      <c r="K171" s="508">
        <f t="shared" si="222"/>
        <v>0</v>
      </c>
      <c r="L171" s="508">
        <f t="shared" si="222"/>
        <v>0</v>
      </c>
      <c r="M171" s="508">
        <f t="shared" si="222"/>
        <v>0</v>
      </c>
      <c r="N171" s="508">
        <f t="shared" si="222"/>
        <v>0</v>
      </c>
      <c r="O171" s="508">
        <f t="shared" si="222"/>
        <v>0</v>
      </c>
      <c r="P171" s="508">
        <f t="shared" si="222"/>
        <v>4916.0219990907426</v>
      </c>
      <c r="Q171" s="508">
        <f t="shared" si="222"/>
        <v>4997.503026699982</v>
      </c>
      <c r="R171" s="508">
        <f t="shared" si="222"/>
        <v>4908.0912426146242</v>
      </c>
      <c r="S171" s="508">
        <f t="shared" si="222"/>
        <v>4989.4408212214948</v>
      </c>
      <c r="T171" s="508">
        <f t="shared" si="222"/>
        <v>4900.2101183154118</v>
      </c>
      <c r="U171" s="508">
        <f t="shared" si="222"/>
        <v>4981.4290705526873</v>
      </c>
      <c r="V171" s="508">
        <f t="shared" si="222"/>
        <v>4892.379134354258</v>
      </c>
      <c r="W171" s="508">
        <f t="shared" si="222"/>
        <v>4946.141542424084</v>
      </c>
      <c r="X171" s="508">
        <f t="shared" si="222"/>
        <v>4884.5988087862861</v>
      </c>
      <c r="Y171" s="508">
        <f t="shared" si="222"/>
        <v>4965.55901003689</v>
      </c>
      <c r="Z171" s="508">
        <f t="shared" si="222"/>
        <v>4876.8696697368323</v>
      </c>
      <c r="AA171" s="508">
        <f t="shared" si="222"/>
        <v>4957.7017637103709</v>
      </c>
      <c r="AB171" s="508">
        <f t="shared" si="222"/>
        <v>4869.1922555807796</v>
      </c>
      <c r="AC171" s="508">
        <f t="shared" si="222"/>
        <v>4949.897099595928</v>
      </c>
      <c r="AD171" s="508">
        <f t="shared" si="222"/>
        <v>4861.5671151251881</v>
      </c>
      <c r="AE171" s="508">
        <f t="shared" si="222"/>
        <v>4914.9909295771104</v>
      </c>
      <c r="AF171" s="508">
        <f t="shared" si="222"/>
        <v>4853.9948077951776</v>
      </c>
      <c r="AG171" s="508">
        <f t="shared" si="222"/>
        <v>4934.4477604105705</v>
      </c>
      <c r="AH171" s="508">
        <f t="shared" si="222"/>
        <v>4846.4759038231532</v>
      </c>
      <c r="AI171" s="508">
        <f t="shared" si="222"/>
        <v>4926.8042337207735</v>
      </c>
      <c r="AJ171" s="508">
        <f t="shared" si="222"/>
        <v>4839.0109844414328</v>
      </c>
      <c r="AK171" s="508">
        <f t="shared" si="222"/>
        <v>4919.2155863935004</v>
      </c>
      <c r="AL171" s="508">
        <f t="shared" si="222"/>
        <v>4831.6006420783342</v>
      </c>
      <c r="AM171" s="508">
        <f t="shared" si="222"/>
        <v>4884.6951546286473</v>
      </c>
      <c r="AN171" s="508">
        <f t="shared" si="222"/>
        <v>4824.24548055782</v>
      </c>
      <c r="AO171" s="508">
        <f t="shared" si="222"/>
        <v>4904.2053504013202</v>
      </c>
      <c r="AP171" s="508">
        <f t="shared" si="222"/>
        <v>4816.9461153026787</v>
      </c>
      <c r="AQ171" s="508">
        <f t="shared" si="222"/>
        <v>4896.7850011916707</v>
      </c>
      <c r="AR171" s="508">
        <f t="shared" si="222"/>
        <v>4809.7031735413948</v>
      </c>
      <c r="AS171" s="508">
        <f t="shared" si="222"/>
        <v>4889.4220106719185</v>
      </c>
      <c r="AT171" s="508">
        <f t="shared" si="222"/>
        <v>4802.5172945187405</v>
      </c>
      <c r="AU171" s="508">
        <f t="shared" si="222"/>
        <v>4855.2922098431227</v>
      </c>
      <c r="AV171" s="508">
        <f t="shared" si="222"/>
        <v>4795.3891297101291</v>
      </c>
      <c r="AW171" s="508">
        <f t="shared" si="222"/>
        <v>4874.8707174953779</v>
      </c>
      <c r="AX171" s="508">
        <f t="shared" si="222"/>
        <v>4788.319343039846</v>
      </c>
      <c r="AY171" s="508">
        <f t="shared" si="222"/>
        <v>4867.6837520405061</v>
      </c>
      <c r="AZ171" s="508">
        <f t="shared" si="222"/>
        <v>4781.3086111031771</v>
      </c>
      <c r="BA171" s="508">
        <f t="shared" si="222"/>
        <v>4860.5568201269853</v>
      </c>
      <c r="BB171" s="508">
        <f t="shared" si="222"/>
        <v>4774.3576233925705</v>
      </c>
      <c r="BC171" s="508">
        <f t="shared" si="222"/>
        <v>0</v>
      </c>
      <c r="BD171" s="508">
        <f t="shared" si="222"/>
        <v>0</v>
      </c>
      <c r="BE171" s="508">
        <f t="shared" si="222"/>
        <v>0</v>
      </c>
      <c r="BF171" s="508">
        <f t="shared" si="222"/>
        <v>0</v>
      </c>
      <c r="BG171" s="508">
        <f t="shared" si="222"/>
        <v>0</v>
      </c>
      <c r="BH171" s="508">
        <f t="shared" si="222"/>
        <v>0</v>
      </c>
      <c r="BI171" s="508">
        <f t="shared" si="222"/>
        <v>0</v>
      </c>
      <c r="BJ171" s="508">
        <f t="shared" si="222"/>
        <v>0</v>
      </c>
      <c r="BK171" s="508">
        <f t="shared" si="222"/>
        <v>0</v>
      </c>
      <c r="BL171" s="508">
        <f t="shared" si="222"/>
        <v>0</v>
      </c>
      <c r="BM171" s="508">
        <f t="shared" si="222"/>
        <v>0</v>
      </c>
      <c r="BN171" s="508">
        <f t="shared" si="222"/>
        <v>0</v>
      </c>
      <c r="BO171" s="508">
        <f t="shared" si="222"/>
        <v>0</v>
      </c>
      <c r="BP171" s="508">
        <f t="shared" si="222"/>
        <v>0</v>
      </c>
      <c r="BQ171" s="508">
        <f t="shared" si="222"/>
        <v>0</v>
      </c>
      <c r="BR171" s="508">
        <f t="shared" si="222"/>
        <v>0</v>
      </c>
      <c r="BS171" s="508">
        <f t="shared" si="222"/>
        <v>0</v>
      </c>
      <c r="BT171" s="508">
        <f t="shared" si="222"/>
        <v>0</v>
      </c>
      <c r="BU171" s="508">
        <f t="shared" si="222"/>
        <v>0</v>
      </c>
      <c r="BV171" s="508">
        <f t="shared" ref="BV171:CV171" si="223">BU174</f>
        <v>0</v>
      </c>
      <c r="BW171" s="508">
        <f t="shared" si="223"/>
        <v>0</v>
      </c>
      <c r="BX171" s="508">
        <f t="shared" si="223"/>
        <v>0</v>
      </c>
      <c r="BY171" s="508">
        <f t="shared" si="223"/>
        <v>0</v>
      </c>
      <c r="BZ171" s="508">
        <f t="shared" si="223"/>
        <v>0</v>
      </c>
      <c r="CA171" s="508">
        <f t="shared" si="223"/>
        <v>0</v>
      </c>
      <c r="CB171" s="508">
        <f t="shared" si="223"/>
        <v>0</v>
      </c>
      <c r="CC171" s="508">
        <f t="shared" si="223"/>
        <v>0</v>
      </c>
      <c r="CD171" s="508">
        <f t="shared" si="223"/>
        <v>0</v>
      </c>
      <c r="CE171" s="508">
        <f t="shared" si="223"/>
        <v>0</v>
      </c>
      <c r="CF171" s="508">
        <f t="shared" si="223"/>
        <v>0</v>
      </c>
      <c r="CG171" s="508">
        <f t="shared" si="223"/>
        <v>0</v>
      </c>
      <c r="CH171" s="508">
        <f t="shared" si="223"/>
        <v>0</v>
      </c>
      <c r="CI171" s="508">
        <f t="shared" si="223"/>
        <v>0</v>
      </c>
      <c r="CJ171" s="508">
        <f t="shared" si="223"/>
        <v>0</v>
      </c>
      <c r="CK171" s="508">
        <f t="shared" si="223"/>
        <v>0</v>
      </c>
      <c r="CL171" s="508">
        <f t="shared" si="223"/>
        <v>0</v>
      </c>
      <c r="CM171" s="508">
        <f t="shared" si="223"/>
        <v>0</v>
      </c>
      <c r="CN171" s="508">
        <f t="shared" si="223"/>
        <v>0</v>
      </c>
      <c r="CO171" s="508">
        <f t="shared" si="223"/>
        <v>0</v>
      </c>
      <c r="CP171" s="508">
        <f t="shared" si="223"/>
        <v>0</v>
      </c>
      <c r="CQ171" s="508">
        <f t="shared" si="223"/>
        <v>0</v>
      </c>
      <c r="CR171" s="508">
        <f t="shared" si="223"/>
        <v>0</v>
      </c>
      <c r="CS171" s="508">
        <f t="shared" si="223"/>
        <v>0</v>
      </c>
      <c r="CT171" s="508">
        <f t="shared" si="223"/>
        <v>0</v>
      </c>
      <c r="CU171" s="508">
        <f t="shared" si="223"/>
        <v>0</v>
      </c>
      <c r="CV171" s="508">
        <f t="shared" si="223"/>
        <v>0</v>
      </c>
    </row>
    <row r="172" spans="1:100" outlineLevel="1" x14ac:dyDescent="0.2">
      <c r="A172" s="236"/>
      <c r="B172" s="236"/>
      <c r="C172" s="237"/>
      <c r="D172" s="238"/>
      <c r="E172" s="281" t="str">
        <f t="shared" ref="E172:BP172" si="224" xml:space="preserve"> E$75</f>
        <v>Electricity payments (EPn) - P50</v>
      </c>
      <c r="F172" s="281">
        <f t="shared" si="224"/>
        <v>0</v>
      </c>
      <c r="G172" s="281" t="str">
        <f t="shared" si="224"/>
        <v>$ 000s</v>
      </c>
      <c r="H172" s="281">
        <f t="shared" si="224"/>
        <v>792204.22663711873</v>
      </c>
      <c r="I172" s="281">
        <f t="shared" si="224"/>
        <v>0</v>
      </c>
      <c r="J172" s="281">
        <f t="shared" si="224"/>
        <v>0</v>
      </c>
      <c r="K172" s="281">
        <f t="shared" si="224"/>
        <v>0</v>
      </c>
      <c r="L172" s="281">
        <f t="shared" si="224"/>
        <v>0</v>
      </c>
      <c r="M172" s="281">
        <f t="shared" si="224"/>
        <v>0</v>
      </c>
      <c r="N172" s="281">
        <f t="shared" si="224"/>
        <v>0</v>
      </c>
      <c r="O172" s="281">
        <f t="shared" si="224"/>
        <v>20101.067729615475</v>
      </c>
      <c r="P172" s="281">
        <f t="shared" si="224"/>
        <v>20101.067729615475</v>
      </c>
      <c r="Q172" s="281">
        <f t="shared" si="224"/>
        <v>20068.639747579797</v>
      </c>
      <c r="R172" s="281">
        <f t="shared" si="224"/>
        <v>20068.639747579797</v>
      </c>
      <c r="S172" s="281">
        <f t="shared" si="224"/>
        <v>20036.414706000804</v>
      </c>
      <c r="T172" s="281">
        <f t="shared" si="224"/>
        <v>20036.414706000804</v>
      </c>
      <c r="U172" s="281">
        <f t="shared" si="224"/>
        <v>20004.39468269296</v>
      </c>
      <c r="V172" s="281">
        <f t="shared" si="224"/>
        <v>20004.39468269296</v>
      </c>
      <c r="W172" s="281">
        <f t="shared" si="224"/>
        <v>19972.581795926155</v>
      </c>
      <c r="X172" s="281">
        <f t="shared" si="224"/>
        <v>19972.581795926155</v>
      </c>
      <c r="Y172" s="281">
        <f t="shared" si="224"/>
        <v>19940.978205146155</v>
      </c>
      <c r="Z172" s="281">
        <f t="shared" si="224"/>
        <v>19940.978205146155</v>
      </c>
      <c r="AA172" s="281">
        <f t="shared" si="224"/>
        <v>19909.586111708071</v>
      </c>
      <c r="AB172" s="281">
        <f t="shared" si="224"/>
        <v>19909.586111708071</v>
      </c>
      <c r="AC172" s="281">
        <f t="shared" si="224"/>
        <v>19878.407759622987</v>
      </c>
      <c r="AD172" s="281">
        <f t="shared" si="224"/>
        <v>19878.407759622987</v>
      </c>
      <c r="AE172" s="281">
        <f t="shared" si="224"/>
        <v>19847.445436318063</v>
      </c>
      <c r="AF172" s="281">
        <f t="shared" si="224"/>
        <v>19847.445436318063</v>
      </c>
      <c r="AG172" s="281">
        <f t="shared" si="224"/>
        <v>19816.701473410223</v>
      </c>
      <c r="AH172" s="281">
        <f t="shared" si="224"/>
        <v>19816.701473410223</v>
      </c>
      <c r="AI172" s="281">
        <f t="shared" si="224"/>
        <v>19786.178247493852</v>
      </c>
      <c r="AJ172" s="281">
        <f t="shared" si="224"/>
        <v>19786.178247493852</v>
      </c>
      <c r="AK172" s="281">
        <f t="shared" si="224"/>
        <v>19755.878180942527</v>
      </c>
      <c r="AL172" s="281">
        <f t="shared" si="224"/>
        <v>19755.878180942527</v>
      </c>
      <c r="AM172" s="281">
        <f t="shared" si="224"/>
        <v>19725.803742725308</v>
      </c>
      <c r="AN172" s="281">
        <f t="shared" si="224"/>
        <v>19725.803742725308</v>
      </c>
      <c r="AO172" s="281">
        <f t="shared" si="224"/>
        <v>19695.957449237616</v>
      </c>
      <c r="AP172" s="281">
        <f t="shared" si="224"/>
        <v>19695.957449237616</v>
      </c>
      <c r="AQ172" s="281">
        <f t="shared" si="224"/>
        <v>19666.341865147042</v>
      </c>
      <c r="AR172" s="281">
        <f t="shared" si="224"/>
        <v>19666.341865147042</v>
      </c>
      <c r="AS172" s="281">
        <f t="shared" si="224"/>
        <v>19636.959604254404</v>
      </c>
      <c r="AT172" s="281">
        <f t="shared" si="224"/>
        <v>19636.959604254404</v>
      </c>
      <c r="AU172" s="281">
        <f t="shared" si="224"/>
        <v>19607.813330370303</v>
      </c>
      <c r="AV172" s="281">
        <f t="shared" si="224"/>
        <v>19607.813330370303</v>
      </c>
      <c r="AW172" s="281">
        <f t="shared" si="224"/>
        <v>19578.905758207362</v>
      </c>
      <c r="AX172" s="281">
        <f t="shared" si="224"/>
        <v>19578.905758207362</v>
      </c>
      <c r="AY172" s="281">
        <f t="shared" si="224"/>
        <v>19550.239654288544</v>
      </c>
      <c r="AZ172" s="281">
        <f t="shared" si="224"/>
        <v>19550.239654288544</v>
      </c>
      <c r="BA172" s="281">
        <f t="shared" si="224"/>
        <v>19521.817837871837</v>
      </c>
      <c r="BB172" s="281">
        <f t="shared" si="224"/>
        <v>19521.817837871837</v>
      </c>
      <c r="BC172" s="281">
        <f t="shared" si="224"/>
        <v>0</v>
      </c>
      <c r="BD172" s="281">
        <f t="shared" si="224"/>
        <v>0</v>
      </c>
      <c r="BE172" s="281">
        <f t="shared" si="224"/>
        <v>0</v>
      </c>
      <c r="BF172" s="281">
        <f t="shared" si="224"/>
        <v>0</v>
      </c>
      <c r="BG172" s="281">
        <f t="shared" si="224"/>
        <v>0</v>
      </c>
      <c r="BH172" s="281">
        <f t="shared" si="224"/>
        <v>0</v>
      </c>
      <c r="BI172" s="281">
        <f t="shared" si="224"/>
        <v>0</v>
      </c>
      <c r="BJ172" s="281">
        <f t="shared" si="224"/>
        <v>0</v>
      </c>
      <c r="BK172" s="281">
        <f t="shared" si="224"/>
        <v>0</v>
      </c>
      <c r="BL172" s="281">
        <f t="shared" si="224"/>
        <v>0</v>
      </c>
      <c r="BM172" s="281">
        <f t="shared" si="224"/>
        <v>0</v>
      </c>
      <c r="BN172" s="281">
        <f t="shared" si="224"/>
        <v>0</v>
      </c>
      <c r="BO172" s="281">
        <f t="shared" si="224"/>
        <v>0</v>
      </c>
      <c r="BP172" s="281">
        <f t="shared" si="224"/>
        <v>0</v>
      </c>
      <c r="BQ172" s="281">
        <f t="shared" ref="BQ172:CV172" si="225" xml:space="preserve"> BQ$75</f>
        <v>0</v>
      </c>
      <c r="BR172" s="281">
        <f t="shared" si="225"/>
        <v>0</v>
      </c>
      <c r="BS172" s="281">
        <f t="shared" si="225"/>
        <v>0</v>
      </c>
      <c r="BT172" s="281">
        <f t="shared" si="225"/>
        <v>0</v>
      </c>
      <c r="BU172" s="281">
        <f t="shared" si="225"/>
        <v>0</v>
      </c>
      <c r="BV172" s="281">
        <f t="shared" si="225"/>
        <v>0</v>
      </c>
      <c r="BW172" s="281">
        <f t="shared" si="225"/>
        <v>0</v>
      </c>
      <c r="BX172" s="281">
        <f t="shared" si="225"/>
        <v>0</v>
      </c>
      <c r="BY172" s="281">
        <f t="shared" si="225"/>
        <v>0</v>
      </c>
      <c r="BZ172" s="281">
        <f t="shared" si="225"/>
        <v>0</v>
      </c>
      <c r="CA172" s="281">
        <f t="shared" si="225"/>
        <v>0</v>
      </c>
      <c r="CB172" s="281">
        <f t="shared" si="225"/>
        <v>0</v>
      </c>
      <c r="CC172" s="281">
        <f t="shared" si="225"/>
        <v>0</v>
      </c>
      <c r="CD172" s="281">
        <f t="shared" si="225"/>
        <v>0</v>
      </c>
      <c r="CE172" s="281">
        <f t="shared" si="225"/>
        <v>0</v>
      </c>
      <c r="CF172" s="281">
        <f t="shared" si="225"/>
        <v>0</v>
      </c>
      <c r="CG172" s="281">
        <f t="shared" si="225"/>
        <v>0</v>
      </c>
      <c r="CH172" s="281">
        <f t="shared" si="225"/>
        <v>0</v>
      </c>
      <c r="CI172" s="281">
        <f t="shared" si="225"/>
        <v>0</v>
      </c>
      <c r="CJ172" s="281">
        <f t="shared" si="225"/>
        <v>0</v>
      </c>
      <c r="CK172" s="281">
        <f t="shared" si="225"/>
        <v>0</v>
      </c>
      <c r="CL172" s="281">
        <f t="shared" si="225"/>
        <v>0</v>
      </c>
      <c r="CM172" s="281">
        <f t="shared" si="225"/>
        <v>0</v>
      </c>
      <c r="CN172" s="281">
        <f t="shared" si="225"/>
        <v>0</v>
      </c>
      <c r="CO172" s="281">
        <f t="shared" si="225"/>
        <v>0</v>
      </c>
      <c r="CP172" s="281">
        <f t="shared" si="225"/>
        <v>0</v>
      </c>
      <c r="CQ172" s="281">
        <f t="shared" si="225"/>
        <v>0</v>
      </c>
      <c r="CR172" s="281">
        <f t="shared" si="225"/>
        <v>0</v>
      </c>
      <c r="CS172" s="281">
        <f t="shared" si="225"/>
        <v>0</v>
      </c>
      <c r="CT172" s="281">
        <f t="shared" si="225"/>
        <v>0</v>
      </c>
      <c r="CU172" s="281">
        <f t="shared" si="225"/>
        <v>0</v>
      </c>
      <c r="CV172" s="281">
        <f t="shared" si="225"/>
        <v>0</v>
      </c>
    </row>
    <row r="173" spans="1:100" outlineLevel="1" x14ac:dyDescent="0.2">
      <c r="A173" s="236"/>
      <c r="B173" s="236"/>
      <c r="C173" s="237"/>
      <c r="D173" s="238"/>
      <c r="E173" s="281" t="str">
        <f t="shared" ref="E173:AJ173" si="226" xml:space="preserve"> E$169</f>
        <v>Cash received from invoices</v>
      </c>
      <c r="F173" s="281">
        <f t="shared" si="226"/>
        <v>0</v>
      </c>
      <c r="G173" s="281" t="str">
        <f t="shared" si="226"/>
        <v>$ 000s</v>
      </c>
      <c r="H173" s="281">
        <f t="shared" si="226"/>
        <v>792204.22663711908</v>
      </c>
      <c r="I173" s="281">
        <f t="shared" si="226"/>
        <v>0</v>
      </c>
      <c r="J173" s="281">
        <f t="shared" si="226"/>
        <v>0</v>
      </c>
      <c r="K173" s="281">
        <f t="shared" si="226"/>
        <v>0</v>
      </c>
      <c r="L173" s="281">
        <f t="shared" si="226"/>
        <v>0</v>
      </c>
      <c r="M173" s="281">
        <f t="shared" si="226"/>
        <v>0</v>
      </c>
      <c r="N173" s="281">
        <f t="shared" si="226"/>
        <v>0</v>
      </c>
      <c r="O173" s="281">
        <f t="shared" si="226"/>
        <v>15185.045730524733</v>
      </c>
      <c r="P173" s="281">
        <f t="shared" si="226"/>
        <v>20019.586702006236</v>
      </c>
      <c r="Q173" s="281">
        <f t="shared" si="226"/>
        <v>20158.051531665154</v>
      </c>
      <c r="R173" s="281">
        <f t="shared" si="226"/>
        <v>19987.290168972926</v>
      </c>
      <c r="S173" s="281">
        <f t="shared" si="226"/>
        <v>20125.645408906887</v>
      </c>
      <c r="T173" s="281">
        <f t="shared" si="226"/>
        <v>19955.195753763528</v>
      </c>
      <c r="U173" s="281">
        <f t="shared" si="226"/>
        <v>20093.44461889139</v>
      </c>
      <c r="V173" s="281">
        <f t="shared" si="226"/>
        <v>19950.632274623134</v>
      </c>
      <c r="W173" s="281">
        <f t="shared" si="226"/>
        <v>20034.124529563953</v>
      </c>
      <c r="X173" s="281">
        <f t="shared" si="226"/>
        <v>19891.621594675551</v>
      </c>
      <c r="Y173" s="281">
        <f t="shared" si="226"/>
        <v>20029.667545446213</v>
      </c>
      <c r="Z173" s="281">
        <f t="shared" si="226"/>
        <v>19860.146111172617</v>
      </c>
      <c r="AA173" s="281">
        <f t="shared" si="226"/>
        <v>19998.095619837663</v>
      </c>
      <c r="AB173" s="281">
        <f t="shared" si="226"/>
        <v>19828.881267692923</v>
      </c>
      <c r="AC173" s="281">
        <f t="shared" si="226"/>
        <v>19966.737744093727</v>
      </c>
      <c r="AD173" s="281">
        <f t="shared" si="226"/>
        <v>19824.983945171065</v>
      </c>
      <c r="AE173" s="281">
        <f t="shared" si="226"/>
        <v>19908.441558099996</v>
      </c>
      <c r="AF173" s="281">
        <f t="shared" si="226"/>
        <v>19766.99248370267</v>
      </c>
      <c r="AG173" s="281">
        <f t="shared" si="226"/>
        <v>19904.67332999764</v>
      </c>
      <c r="AH173" s="281">
        <f t="shared" si="226"/>
        <v>19736.373143512603</v>
      </c>
      <c r="AI173" s="281">
        <f t="shared" si="226"/>
        <v>19873.971496773192</v>
      </c>
      <c r="AJ173" s="281">
        <f t="shared" si="226"/>
        <v>19705.973645541784</v>
      </c>
      <c r="AK173" s="281">
        <f t="shared" ref="AK173:BP173" si="227" xml:space="preserve"> AK$169</f>
        <v>19843.493125257693</v>
      </c>
      <c r="AL173" s="281">
        <f t="shared" si="227"/>
        <v>19702.783668392214</v>
      </c>
      <c r="AM173" s="281">
        <f t="shared" si="227"/>
        <v>19786.253416796135</v>
      </c>
      <c r="AN173" s="281">
        <f t="shared" si="227"/>
        <v>19645.843872881807</v>
      </c>
      <c r="AO173" s="281">
        <f t="shared" si="227"/>
        <v>19783.216684336257</v>
      </c>
      <c r="AP173" s="281">
        <f t="shared" si="227"/>
        <v>19616.118563348624</v>
      </c>
      <c r="AQ173" s="281">
        <f t="shared" si="227"/>
        <v>19753.423692797318</v>
      </c>
      <c r="AR173" s="281">
        <f t="shared" si="227"/>
        <v>19586.623028016518</v>
      </c>
      <c r="AS173" s="281">
        <f t="shared" si="227"/>
        <v>19723.864320407582</v>
      </c>
      <c r="AT173" s="281">
        <f t="shared" si="227"/>
        <v>19584.184688930021</v>
      </c>
      <c r="AU173" s="281">
        <f t="shared" si="227"/>
        <v>19667.716410503297</v>
      </c>
      <c r="AV173" s="281">
        <f t="shared" si="227"/>
        <v>19528.331742585055</v>
      </c>
      <c r="AW173" s="281">
        <f t="shared" si="227"/>
        <v>19665.457132662894</v>
      </c>
      <c r="AX173" s="281">
        <f t="shared" si="227"/>
        <v>19499.541349206702</v>
      </c>
      <c r="AY173" s="281">
        <f t="shared" si="227"/>
        <v>19636.614795225873</v>
      </c>
      <c r="AZ173" s="281">
        <f t="shared" si="227"/>
        <v>19470.991445264735</v>
      </c>
      <c r="BA173" s="281">
        <f t="shared" si="227"/>
        <v>19608.017034606251</v>
      </c>
      <c r="BB173" s="281">
        <f t="shared" si="227"/>
        <v>24296.175461264407</v>
      </c>
      <c r="BC173" s="281">
        <f t="shared" si="227"/>
        <v>0</v>
      </c>
      <c r="BD173" s="281">
        <f t="shared" si="227"/>
        <v>0</v>
      </c>
      <c r="BE173" s="281">
        <f t="shared" si="227"/>
        <v>0</v>
      </c>
      <c r="BF173" s="281">
        <f t="shared" si="227"/>
        <v>0</v>
      </c>
      <c r="BG173" s="281">
        <f t="shared" si="227"/>
        <v>0</v>
      </c>
      <c r="BH173" s="281">
        <f t="shared" si="227"/>
        <v>0</v>
      </c>
      <c r="BI173" s="281">
        <f t="shared" si="227"/>
        <v>0</v>
      </c>
      <c r="BJ173" s="281">
        <f t="shared" si="227"/>
        <v>0</v>
      </c>
      <c r="BK173" s="281">
        <f t="shared" si="227"/>
        <v>0</v>
      </c>
      <c r="BL173" s="281">
        <f t="shared" si="227"/>
        <v>0</v>
      </c>
      <c r="BM173" s="281">
        <f t="shared" si="227"/>
        <v>0</v>
      </c>
      <c r="BN173" s="281">
        <f t="shared" si="227"/>
        <v>0</v>
      </c>
      <c r="BO173" s="281">
        <f t="shared" si="227"/>
        <v>0</v>
      </c>
      <c r="BP173" s="281">
        <f t="shared" si="227"/>
        <v>0</v>
      </c>
      <c r="BQ173" s="281">
        <f t="shared" ref="BQ173:CV173" si="228" xml:space="preserve"> BQ$169</f>
        <v>0</v>
      </c>
      <c r="BR173" s="281">
        <f t="shared" si="228"/>
        <v>0</v>
      </c>
      <c r="BS173" s="281">
        <f t="shared" si="228"/>
        <v>0</v>
      </c>
      <c r="BT173" s="281">
        <f t="shared" si="228"/>
        <v>0</v>
      </c>
      <c r="BU173" s="281">
        <f t="shared" si="228"/>
        <v>0</v>
      </c>
      <c r="BV173" s="281">
        <f t="shared" si="228"/>
        <v>0</v>
      </c>
      <c r="BW173" s="281">
        <f t="shared" si="228"/>
        <v>0</v>
      </c>
      <c r="BX173" s="281">
        <f t="shared" si="228"/>
        <v>0</v>
      </c>
      <c r="BY173" s="281">
        <f t="shared" si="228"/>
        <v>0</v>
      </c>
      <c r="BZ173" s="281">
        <f t="shared" si="228"/>
        <v>0</v>
      </c>
      <c r="CA173" s="281">
        <f t="shared" si="228"/>
        <v>0</v>
      </c>
      <c r="CB173" s="281">
        <f t="shared" si="228"/>
        <v>0</v>
      </c>
      <c r="CC173" s="281">
        <f t="shared" si="228"/>
        <v>0</v>
      </c>
      <c r="CD173" s="281">
        <f t="shared" si="228"/>
        <v>0</v>
      </c>
      <c r="CE173" s="281">
        <f t="shared" si="228"/>
        <v>0</v>
      </c>
      <c r="CF173" s="281">
        <f t="shared" si="228"/>
        <v>0</v>
      </c>
      <c r="CG173" s="281">
        <f t="shared" si="228"/>
        <v>0</v>
      </c>
      <c r="CH173" s="281">
        <f t="shared" si="228"/>
        <v>0</v>
      </c>
      <c r="CI173" s="281">
        <f t="shared" si="228"/>
        <v>0</v>
      </c>
      <c r="CJ173" s="281">
        <f t="shared" si="228"/>
        <v>0</v>
      </c>
      <c r="CK173" s="281">
        <f t="shared" si="228"/>
        <v>0</v>
      </c>
      <c r="CL173" s="281">
        <f t="shared" si="228"/>
        <v>0</v>
      </c>
      <c r="CM173" s="281">
        <f t="shared" si="228"/>
        <v>0</v>
      </c>
      <c r="CN173" s="281">
        <f t="shared" si="228"/>
        <v>0</v>
      </c>
      <c r="CO173" s="281">
        <f t="shared" si="228"/>
        <v>0</v>
      </c>
      <c r="CP173" s="281">
        <f t="shared" si="228"/>
        <v>0</v>
      </c>
      <c r="CQ173" s="281">
        <f t="shared" si="228"/>
        <v>0</v>
      </c>
      <c r="CR173" s="281">
        <f t="shared" si="228"/>
        <v>0</v>
      </c>
      <c r="CS173" s="281">
        <f t="shared" si="228"/>
        <v>0</v>
      </c>
      <c r="CT173" s="281">
        <f t="shared" si="228"/>
        <v>0</v>
      </c>
      <c r="CU173" s="281">
        <f t="shared" si="228"/>
        <v>0</v>
      </c>
      <c r="CV173" s="281">
        <f t="shared" si="228"/>
        <v>0</v>
      </c>
    </row>
    <row r="174" spans="1:100" outlineLevel="1" x14ac:dyDescent="0.2">
      <c r="A174" s="391"/>
      <c r="B174" s="391"/>
      <c r="C174" s="392"/>
      <c r="D174" s="393"/>
      <c r="E174" s="395" t="s">
        <v>195</v>
      </c>
      <c r="F174" s="395"/>
      <c r="G174" s="395" t="str">
        <f xml:space="preserve"> SMU</f>
        <v>$ 000s</v>
      </c>
      <c r="H174" s="395"/>
      <c r="I174" s="395"/>
      <c r="J174" s="395">
        <f t="shared" ref="J174:AO174" si="229" xml:space="preserve"> J171 + J172 - J173</f>
        <v>0</v>
      </c>
      <c r="K174" s="395">
        <f t="shared" si="229"/>
        <v>0</v>
      </c>
      <c r="L174" s="395">
        <f t="shared" si="229"/>
        <v>0</v>
      </c>
      <c r="M174" s="395">
        <f t="shared" si="229"/>
        <v>0</v>
      </c>
      <c r="N174" s="395">
        <f t="shared" si="229"/>
        <v>0</v>
      </c>
      <c r="O174" s="395">
        <f t="shared" si="229"/>
        <v>4916.0219990907426</v>
      </c>
      <c r="P174" s="395">
        <f t="shared" si="229"/>
        <v>4997.503026699982</v>
      </c>
      <c r="Q174" s="395">
        <f t="shared" si="229"/>
        <v>4908.0912426146242</v>
      </c>
      <c r="R174" s="395">
        <f t="shared" si="229"/>
        <v>4989.4408212214948</v>
      </c>
      <c r="S174" s="395">
        <f t="shared" si="229"/>
        <v>4900.2101183154118</v>
      </c>
      <c r="T174" s="395">
        <f t="shared" si="229"/>
        <v>4981.4290705526873</v>
      </c>
      <c r="U174" s="395">
        <f t="shared" si="229"/>
        <v>4892.379134354258</v>
      </c>
      <c r="V174" s="395">
        <f t="shared" si="229"/>
        <v>4946.141542424084</v>
      </c>
      <c r="W174" s="395">
        <f t="shared" si="229"/>
        <v>4884.5988087862861</v>
      </c>
      <c r="X174" s="395">
        <f t="shared" si="229"/>
        <v>4965.55901003689</v>
      </c>
      <c r="Y174" s="395">
        <f t="shared" si="229"/>
        <v>4876.8696697368323</v>
      </c>
      <c r="Z174" s="395">
        <f t="shared" si="229"/>
        <v>4957.7017637103709</v>
      </c>
      <c r="AA174" s="395">
        <f t="shared" si="229"/>
        <v>4869.1922555807796</v>
      </c>
      <c r="AB174" s="395">
        <f t="shared" si="229"/>
        <v>4949.897099595928</v>
      </c>
      <c r="AC174" s="395">
        <f t="shared" si="229"/>
        <v>4861.5671151251881</v>
      </c>
      <c r="AD174" s="395">
        <f t="shared" si="229"/>
        <v>4914.9909295771104</v>
      </c>
      <c r="AE174" s="395">
        <f t="shared" si="229"/>
        <v>4853.9948077951776</v>
      </c>
      <c r="AF174" s="395">
        <f t="shared" si="229"/>
        <v>4934.4477604105705</v>
      </c>
      <c r="AG174" s="395">
        <f t="shared" si="229"/>
        <v>4846.4759038231532</v>
      </c>
      <c r="AH174" s="395">
        <f t="shared" si="229"/>
        <v>4926.8042337207735</v>
      </c>
      <c r="AI174" s="395">
        <f t="shared" si="229"/>
        <v>4839.0109844414328</v>
      </c>
      <c r="AJ174" s="395">
        <f t="shared" si="229"/>
        <v>4919.2155863935004</v>
      </c>
      <c r="AK174" s="395">
        <f t="shared" si="229"/>
        <v>4831.6006420783342</v>
      </c>
      <c r="AL174" s="395">
        <f t="shared" si="229"/>
        <v>4884.6951546286473</v>
      </c>
      <c r="AM174" s="395">
        <f t="shared" si="229"/>
        <v>4824.24548055782</v>
      </c>
      <c r="AN174" s="395">
        <f t="shared" si="229"/>
        <v>4904.2053504013202</v>
      </c>
      <c r="AO174" s="395">
        <f t="shared" si="229"/>
        <v>4816.9461153026787</v>
      </c>
      <c r="AP174" s="395">
        <f t="shared" ref="AP174:BU174" si="230" xml:space="preserve"> AP171 + AP172 - AP173</f>
        <v>4896.7850011916707</v>
      </c>
      <c r="AQ174" s="395">
        <f t="shared" si="230"/>
        <v>4809.7031735413948</v>
      </c>
      <c r="AR174" s="395">
        <f t="shared" si="230"/>
        <v>4889.4220106719185</v>
      </c>
      <c r="AS174" s="395">
        <f t="shared" si="230"/>
        <v>4802.5172945187405</v>
      </c>
      <c r="AT174" s="395">
        <f t="shared" si="230"/>
        <v>4855.2922098431227</v>
      </c>
      <c r="AU174" s="395">
        <f t="shared" si="230"/>
        <v>4795.3891297101291</v>
      </c>
      <c r="AV174" s="395">
        <f t="shared" si="230"/>
        <v>4874.8707174953779</v>
      </c>
      <c r="AW174" s="395">
        <f t="shared" si="230"/>
        <v>4788.319343039846</v>
      </c>
      <c r="AX174" s="395">
        <f t="shared" si="230"/>
        <v>4867.6837520405061</v>
      </c>
      <c r="AY174" s="395">
        <f t="shared" si="230"/>
        <v>4781.3086111031771</v>
      </c>
      <c r="AZ174" s="395">
        <f t="shared" si="230"/>
        <v>4860.5568201269853</v>
      </c>
      <c r="BA174" s="395">
        <f t="shared" si="230"/>
        <v>4774.3576233925705</v>
      </c>
      <c r="BB174" s="395">
        <f t="shared" si="230"/>
        <v>0</v>
      </c>
      <c r="BC174" s="395">
        <f t="shared" si="230"/>
        <v>0</v>
      </c>
      <c r="BD174" s="395">
        <f t="shared" si="230"/>
        <v>0</v>
      </c>
      <c r="BE174" s="395">
        <f t="shared" si="230"/>
        <v>0</v>
      </c>
      <c r="BF174" s="395">
        <f t="shared" si="230"/>
        <v>0</v>
      </c>
      <c r="BG174" s="395">
        <f t="shared" si="230"/>
        <v>0</v>
      </c>
      <c r="BH174" s="395">
        <f t="shared" si="230"/>
        <v>0</v>
      </c>
      <c r="BI174" s="395">
        <f t="shared" si="230"/>
        <v>0</v>
      </c>
      <c r="BJ174" s="395">
        <f t="shared" si="230"/>
        <v>0</v>
      </c>
      <c r="BK174" s="395">
        <f t="shared" si="230"/>
        <v>0</v>
      </c>
      <c r="BL174" s="395">
        <f t="shared" si="230"/>
        <v>0</v>
      </c>
      <c r="BM174" s="395">
        <f t="shared" si="230"/>
        <v>0</v>
      </c>
      <c r="BN174" s="395">
        <f t="shared" si="230"/>
        <v>0</v>
      </c>
      <c r="BO174" s="395">
        <f t="shared" si="230"/>
        <v>0</v>
      </c>
      <c r="BP174" s="395">
        <f t="shared" si="230"/>
        <v>0</v>
      </c>
      <c r="BQ174" s="395">
        <f t="shared" si="230"/>
        <v>0</v>
      </c>
      <c r="BR174" s="395">
        <f t="shared" si="230"/>
        <v>0</v>
      </c>
      <c r="BS174" s="395">
        <f t="shared" si="230"/>
        <v>0</v>
      </c>
      <c r="BT174" s="395">
        <f t="shared" si="230"/>
        <v>0</v>
      </c>
      <c r="BU174" s="395">
        <f t="shared" si="230"/>
        <v>0</v>
      </c>
      <c r="BV174" s="395">
        <f t="shared" ref="BV174:CV174" si="231" xml:space="preserve"> BV171 + BV172 - BV173</f>
        <v>0</v>
      </c>
      <c r="BW174" s="395">
        <f t="shared" si="231"/>
        <v>0</v>
      </c>
      <c r="BX174" s="395">
        <f t="shared" si="231"/>
        <v>0</v>
      </c>
      <c r="BY174" s="395">
        <f t="shared" si="231"/>
        <v>0</v>
      </c>
      <c r="BZ174" s="395">
        <f t="shared" si="231"/>
        <v>0</v>
      </c>
      <c r="CA174" s="395">
        <f t="shared" si="231"/>
        <v>0</v>
      </c>
      <c r="CB174" s="395">
        <f t="shared" si="231"/>
        <v>0</v>
      </c>
      <c r="CC174" s="395">
        <f t="shared" si="231"/>
        <v>0</v>
      </c>
      <c r="CD174" s="395">
        <f t="shared" si="231"/>
        <v>0</v>
      </c>
      <c r="CE174" s="395">
        <f t="shared" si="231"/>
        <v>0</v>
      </c>
      <c r="CF174" s="395">
        <f t="shared" si="231"/>
        <v>0</v>
      </c>
      <c r="CG174" s="395">
        <f t="shared" si="231"/>
        <v>0</v>
      </c>
      <c r="CH174" s="395">
        <f t="shared" si="231"/>
        <v>0</v>
      </c>
      <c r="CI174" s="395">
        <f t="shared" si="231"/>
        <v>0</v>
      </c>
      <c r="CJ174" s="395">
        <f t="shared" si="231"/>
        <v>0</v>
      </c>
      <c r="CK174" s="395">
        <f t="shared" si="231"/>
        <v>0</v>
      </c>
      <c r="CL174" s="395">
        <f t="shared" si="231"/>
        <v>0</v>
      </c>
      <c r="CM174" s="395">
        <f t="shared" si="231"/>
        <v>0</v>
      </c>
      <c r="CN174" s="395">
        <f t="shared" si="231"/>
        <v>0</v>
      </c>
      <c r="CO174" s="395">
        <f t="shared" si="231"/>
        <v>0</v>
      </c>
      <c r="CP174" s="395">
        <f t="shared" si="231"/>
        <v>0</v>
      </c>
      <c r="CQ174" s="395">
        <f t="shared" si="231"/>
        <v>0</v>
      </c>
      <c r="CR174" s="395">
        <f t="shared" si="231"/>
        <v>0</v>
      </c>
      <c r="CS174" s="395">
        <f t="shared" si="231"/>
        <v>0</v>
      </c>
      <c r="CT174" s="395">
        <f t="shared" si="231"/>
        <v>0</v>
      </c>
      <c r="CU174" s="395">
        <f t="shared" si="231"/>
        <v>0</v>
      </c>
      <c r="CV174" s="395">
        <f t="shared" si="231"/>
        <v>0</v>
      </c>
    </row>
    <row r="175" spans="1:100" outlineLevel="1" x14ac:dyDescent="0.2">
      <c r="A175" s="236"/>
      <c r="B175" s="236"/>
      <c r="C175" s="237"/>
      <c r="D175" s="238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AJ175" s="235"/>
      <c r="AK175" s="235"/>
      <c r="AL175" s="235"/>
      <c r="AM175" s="235"/>
      <c r="AN175" s="235"/>
      <c r="AO175" s="235"/>
      <c r="AP175" s="235"/>
      <c r="AQ175" s="235"/>
      <c r="AR175" s="235"/>
      <c r="AS175" s="235"/>
      <c r="AT175" s="235"/>
      <c r="AU175" s="235"/>
      <c r="AV175" s="235"/>
      <c r="AW175" s="235"/>
      <c r="AX175" s="235"/>
      <c r="AY175" s="235"/>
      <c r="AZ175" s="235"/>
      <c r="BA175" s="235"/>
      <c r="BB175" s="235"/>
      <c r="BC175" s="235"/>
      <c r="BD175" s="235"/>
      <c r="BE175" s="235"/>
      <c r="BF175" s="235"/>
      <c r="BG175" s="235"/>
      <c r="BH175" s="235"/>
      <c r="BI175" s="235"/>
      <c r="BJ175" s="235"/>
      <c r="BK175" s="235"/>
      <c r="BL175" s="235"/>
      <c r="BM175" s="235"/>
      <c r="BN175" s="235"/>
      <c r="BO175" s="235"/>
      <c r="BP175" s="235"/>
      <c r="BQ175" s="235"/>
      <c r="BR175" s="235"/>
      <c r="BS175" s="235"/>
      <c r="BT175" s="235"/>
      <c r="BU175" s="235"/>
      <c r="BV175" s="235"/>
      <c r="BW175" s="235"/>
      <c r="BX175" s="235"/>
      <c r="BY175" s="235"/>
      <c r="BZ175" s="235"/>
      <c r="CA175" s="235"/>
      <c r="CB175" s="235"/>
      <c r="CC175" s="235"/>
      <c r="CD175" s="235"/>
      <c r="CE175" s="235"/>
      <c r="CF175" s="235"/>
      <c r="CG175" s="235"/>
      <c r="CH175" s="235"/>
      <c r="CI175" s="235"/>
      <c r="CJ175" s="235"/>
      <c r="CK175" s="235"/>
      <c r="CL175" s="235"/>
      <c r="CM175" s="235"/>
      <c r="CN175" s="235"/>
      <c r="CO175" s="235"/>
      <c r="CP175" s="235"/>
      <c r="CQ175" s="235"/>
      <c r="CR175" s="235"/>
      <c r="CS175" s="235"/>
      <c r="CT175" s="235"/>
      <c r="CU175" s="235"/>
      <c r="CV175" s="235"/>
    </row>
    <row r="176" spans="1:100" outlineLevel="1" x14ac:dyDescent="0.2">
      <c r="A176" s="79"/>
      <c r="B176" s="79" t="s">
        <v>426</v>
      </c>
      <c r="C176" s="561"/>
      <c r="D176" s="60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AJ176" s="235"/>
      <c r="AK176" s="235"/>
      <c r="AL176" s="235"/>
      <c r="AM176" s="235"/>
      <c r="AN176" s="235"/>
      <c r="AO176" s="235"/>
      <c r="AP176" s="235"/>
      <c r="AQ176" s="235"/>
      <c r="AR176" s="235"/>
      <c r="AS176" s="235"/>
      <c r="AT176" s="235"/>
      <c r="AU176" s="235"/>
      <c r="AV176" s="235"/>
      <c r="AW176" s="235"/>
      <c r="AX176" s="235"/>
      <c r="AY176" s="235"/>
      <c r="AZ176" s="235"/>
      <c r="BA176" s="235"/>
      <c r="BB176" s="235"/>
      <c r="BC176" s="235"/>
      <c r="BD176" s="235"/>
      <c r="BE176" s="235"/>
      <c r="BF176" s="235"/>
      <c r="BG176" s="235"/>
      <c r="BH176" s="235"/>
      <c r="BI176" s="235"/>
      <c r="BJ176" s="235"/>
      <c r="BK176" s="235"/>
      <c r="BL176" s="235"/>
      <c r="BM176" s="235"/>
      <c r="BN176" s="235"/>
      <c r="BO176" s="235"/>
      <c r="BP176" s="235"/>
      <c r="BQ176" s="235"/>
      <c r="BR176" s="235"/>
      <c r="BS176" s="235"/>
      <c r="BT176" s="235"/>
      <c r="BU176" s="235"/>
      <c r="BV176" s="235"/>
      <c r="BW176" s="235"/>
      <c r="BX176" s="235"/>
      <c r="BY176" s="235"/>
      <c r="BZ176" s="235"/>
      <c r="CA176" s="235"/>
      <c r="CB176" s="235"/>
      <c r="CC176" s="235"/>
      <c r="CD176" s="235"/>
      <c r="CE176" s="235"/>
      <c r="CF176" s="235"/>
      <c r="CG176" s="235"/>
      <c r="CH176" s="235"/>
      <c r="CI176" s="235"/>
      <c r="CJ176" s="235"/>
      <c r="CK176" s="235"/>
      <c r="CL176" s="235"/>
      <c r="CM176" s="235"/>
      <c r="CN176" s="235"/>
      <c r="CO176" s="235"/>
      <c r="CP176" s="235"/>
      <c r="CQ176" s="235"/>
      <c r="CR176" s="235"/>
      <c r="CS176" s="235"/>
      <c r="CT176" s="235"/>
      <c r="CU176" s="235"/>
      <c r="CV176" s="235"/>
    </row>
    <row r="177" spans="1:100" outlineLevel="2" x14ac:dyDescent="0.2">
      <c r="A177" s="79"/>
      <c r="B177" s="79"/>
      <c r="C177" s="561"/>
      <c r="D177" s="60"/>
      <c r="E177" s="32" t="str">
        <f t="shared" ref="E177:AJ177" si="232" xml:space="preserve"> E$171</f>
        <v>Accounts receivable balance BEG</v>
      </c>
      <c r="F177" s="32">
        <f t="shared" si="232"/>
        <v>0</v>
      </c>
      <c r="G177" s="32" t="str">
        <f t="shared" si="232"/>
        <v>$ 000s</v>
      </c>
      <c r="H177" s="32">
        <f t="shared" si="232"/>
        <v>0</v>
      </c>
      <c r="I177" s="32">
        <f t="shared" si="232"/>
        <v>0</v>
      </c>
      <c r="J177" s="32">
        <f t="shared" si="232"/>
        <v>0</v>
      </c>
      <c r="K177" s="32">
        <f t="shared" si="232"/>
        <v>0</v>
      </c>
      <c r="L177" s="32">
        <f t="shared" si="232"/>
        <v>0</v>
      </c>
      <c r="M177" s="32">
        <f t="shared" si="232"/>
        <v>0</v>
      </c>
      <c r="N177" s="32">
        <f t="shared" si="232"/>
        <v>0</v>
      </c>
      <c r="O177" s="32">
        <f t="shared" si="232"/>
        <v>0</v>
      </c>
      <c r="P177" s="32">
        <f t="shared" si="232"/>
        <v>4916.0219990907426</v>
      </c>
      <c r="Q177" s="32">
        <f t="shared" si="232"/>
        <v>4997.503026699982</v>
      </c>
      <c r="R177" s="32">
        <f t="shared" si="232"/>
        <v>4908.0912426146242</v>
      </c>
      <c r="S177" s="32">
        <f t="shared" si="232"/>
        <v>4989.4408212214948</v>
      </c>
      <c r="T177" s="32">
        <f t="shared" si="232"/>
        <v>4900.2101183154118</v>
      </c>
      <c r="U177" s="32">
        <f t="shared" si="232"/>
        <v>4981.4290705526873</v>
      </c>
      <c r="V177" s="32">
        <f t="shared" si="232"/>
        <v>4892.379134354258</v>
      </c>
      <c r="W177" s="32">
        <f t="shared" si="232"/>
        <v>4946.141542424084</v>
      </c>
      <c r="X177" s="32">
        <f t="shared" si="232"/>
        <v>4884.5988087862861</v>
      </c>
      <c r="Y177" s="32">
        <f t="shared" si="232"/>
        <v>4965.55901003689</v>
      </c>
      <c r="Z177" s="32">
        <f t="shared" si="232"/>
        <v>4876.8696697368323</v>
      </c>
      <c r="AA177" s="32">
        <f t="shared" si="232"/>
        <v>4957.7017637103709</v>
      </c>
      <c r="AB177" s="32">
        <f t="shared" si="232"/>
        <v>4869.1922555807796</v>
      </c>
      <c r="AC177" s="32">
        <f t="shared" si="232"/>
        <v>4949.897099595928</v>
      </c>
      <c r="AD177" s="32">
        <f t="shared" si="232"/>
        <v>4861.5671151251881</v>
      </c>
      <c r="AE177" s="32">
        <f t="shared" si="232"/>
        <v>4914.9909295771104</v>
      </c>
      <c r="AF177" s="32">
        <f t="shared" si="232"/>
        <v>4853.9948077951776</v>
      </c>
      <c r="AG177" s="32">
        <f t="shared" si="232"/>
        <v>4934.4477604105705</v>
      </c>
      <c r="AH177" s="32">
        <f t="shared" si="232"/>
        <v>4846.4759038231532</v>
      </c>
      <c r="AI177" s="32">
        <f t="shared" si="232"/>
        <v>4926.8042337207735</v>
      </c>
      <c r="AJ177" s="32">
        <f t="shared" si="232"/>
        <v>4839.0109844414328</v>
      </c>
      <c r="AK177" s="32">
        <f t="shared" ref="AK177:BP177" si="233" xml:space="preserve"> AK$171</f>
        <v>4919.2155863935004</v>
      </c>
      <c r="AL177" s="32">
        <f t="shared" si="233"/>
        <v>4831.6006420783342</v>
      </c>
      <c r="AM177" s="32">
        <f t="shared" si="233"/>
        <v>4884.6951546286473</v>
      </c>
      <c r="AN177" s="32">
        <f t="shared" si="233"/>
        <v>4824.24548055782</v>
      </c>
      <c r="AO177" s="32">
        <f t="shared" si="233"/>
        <v>4904.2053504013202</v>
      </c>
      <c r="AP177" s="32">
        <f t="shared" si="233"/>
        <v>4816.9461153026787</v>
      </c>
      <c r="AQ177" s="32">
        <f t="shared" si="233"/>
        <v>4896.7850011916707</v>
      </c>
      <c r="AR177" s="32">
        <f t="shared" si="233"/>
        <v>4809.7031735413948</v>
      </c>
      <c r="AS177" s="32">
        <f t="shared" si="233"/>
        <v>4889.4220106719185</v>
      </c>
      <c r="AT177" s="32">
        <f t="shared" si="233"/>
        <v>4802.5172945187405</v>
      </c>
      <c r="AU177" s="32">
        <f t="shared" si="233"/>
        <v>4855.2922098431227</v>
      </c>
      <c r="AV177" s="32">
        <f t="shared" si="233"/>
        <v>4795.3891297101291</v>
      </c>
      <c r="AW177" s="32">
        <f t="shared" si="233"/>
        <v>4874.8707174953779</v>
      </c>
      <c r="AX177" s="32">
        <f t="shared" si="233"/>
        <v>4788.319343039846</v>
      </c>
      <c r="AY177" s="32">
        <f t="shared" si="233"/>
        <v>4867.6837520405061</v>
      </c>
      <c r="AZ177" s="32">
        <f t="shared" si="233"/>
        <v>4781.3086111031771</v>
      </c>
      <c r="BA177" s="32">
        <f t="shared" si="233"/>
        <v>4860.5568201269853</v>
      </c>
      <c r="BB177" s="32">
        <f t="shared" si="233"/>
        <v>4774.3576233925705</v>
      </c>
      <c r="BC177" s="32">
        <f t="shared" si="233"/>
        <v>0</v>
      </c>
      <c r="BD177" s="32">
        <f t="shared" si="233"/>
        <v>0</v>
      </c>
      <c r="BE177" s="32">
        <f t="shared" si="233"/>
        <v>0</v>
      </c>
      <c r="BF177" s="32">
        <f t="shared" si="233"/>
        <v>0</v>
      </c>
      <c r="BG177" s="32">
        <f t="shared" si="233"/>
        <v>0</v>
      </c>
      <c r="BH177" s="32">
        <f t="shared" si="233"/>
        <v>0</v>
      </c>
      <c r="BI177" s="32">
        <f t="shared" si="233"/>
        <v>0</v>
      </c>
      <c r="BJ177" s="32">
        <f t="shared" si="233"/>
        <v>0</v>
      </c>
      <c r="BK177" s="32">
        <f t="shared" si="233"/>
        <v>0</v>
      </c>
      <c r="BL177" s="32">
        <f t="shared" si="233"/>
        <v>0</v>
      </c>
      <c r="BM177" s="32">
        <f t="shared" si="233"/>
        <v>0</v>
      </c>
      <c r="BN177" s="32">
        <f t="shared" si="233"/>
        <v>0</v>
      </c>
      <c r="BO177" s="32">
        <f t="shared" si="233"/>
        <v>0</v>
      </c>
      <c r="BP177" s="32">
        <f t="shared" si="233"/>
        <v>0</v>
      </c>
      <c r="BQ177" s="32">
        <f t="shared" ref="BQ177:CV177" si="234" xml:space="preserve"> BQ$171</f>
        <v>0</v>
      </c>
      <c r="BR177" s="32">
        <f t="shared" si="234"/>
        <v>0</v>
      </c>
      <c r="BS177" s="32">
        <f t="shared" si="234"/>
        <v>0</v>
      </c>
      <c r="BT177" s="32">
        <f t="shared" si="234"/>
        <v>0</v>
      </c>
      <c r="BU177" s="32">
        <f t="shared" si="234"/>
        <v>0</v>
      </c>
      <c r="BV177" s="32">
        <f t="shared" si="234"/>
        <v>0</v>
      </c>
      <c r="BW177" s="32">
        <f t="shared" si="234"/>
        <v>0</v>
      </c>
      <c r="BX177" s="32">
        <f t="shared" si="234"/>
        <v>0</v>
      </c>
      <c r="BY177" s="32">
        <f t="shared" si="234"/>
        <v>0</v>
      </c>
      <c r="BZ177" s="32">
        <f t="shared" si="234"/>
        <v>0</v>
      </c>
      <c r="CA177" s="32">
        <f t="shared" si="234"/>
        <v>0</v>
      </c>
      <c r="CB177" s="32">
        <f t="shared" si="234"/>
        <v>0</v>
      </c>
      <c r="CC177" s="32">
        <f t="shared" si="234"/>
        <v>0</v>
      </c>
      <c r="CD177" s="32">
        <f t="shared" si="234"/>
        <v>0</v>
      </c>
      <c r="CE177" s="32">
        <f t="shared" si="234"/>
        <v>0</v>
      </c>
      <c r="CF177" s="32">
        <f t="shared" si="234"/>
        <v>0</v>
      </c>
      <c r="CG177" s="32">
        <f t="shared" si="234"/>
        <v>0</v>
      </c>
      <c r="CH177" s="32">
        <f t="shared" si="234"/>
        <v>0</v>
      </c>
      <c r="CI177" s="32">
        <f t="shared" si="234"/>
        <v>0</v>
      </c>
      <c r="CJ177" s="32">
        <f t="shared" si="234"/>
        <v>0</v>
      </c>
      <c r="CK177" s="32">
        <f t="shared" si="234"/>
        <v>0</v>
      </c>
      <c r="CL177" s="32">
        <f t="shared" si="234"/>
        <v>0</v>
      </c>
      <c r="CM177" s="32">
        <f t="shared" si="234"/>
        <v>0</v>
      </c>
      <c r="CN177" s="32">
        <f t="shared" si="234"/>
        <v>0</v>
      </c>
      <c r="CO177" s="32">
        <f t="shared" si="234"/>
        <v>0</v>
      </c>
      <c r="CP177" s="32">
        <f t="shared" si="234"/>
        <v>0</v>
      </c>
      <c r="CQ177" s="32">
        <f t="shared" si="234"/>
        <v>0</v>
      </c>
      <c r="CR177" s="32">
        <f t="shared" si="234"/>
        <v>0</v>
      </c>
      <c r="CS177" s="32">
        <f t="shared" si="234"/>
        <v>0</v>
      </c>
      <c r="CT177" s="32">
        <f t="shared" si="234"/>
        <v>0</v>
      </c>
      <c r="CU177" s="32">
        <f t="shared" si="234"/>
        <v>0</v>
      </c>
      <c r="CV177" s="32">
        <f t="shared" si="234"/>
        <v>0</v>
      </c>
    </row>
    <row r="178" spans="1:100" outlineLevel="2" x14ac:dyDescent="0.2">
      <c r="A178" s="79"/>
      <c r="B178" s="79"/>
      <c r="C178" s="561"/>
      <c r="D178" s="60"/>
      <c r="E178" s="32" t="str">
        <f t="shared" ref="E178:AJ178" si="235" xml:space="preserve"> E$174</f>
        <v>Accounts receivable balance</v>
      </c>
      <c r="F178" s="32">
        <f t="shared" si="235"/>
        <v>0</v>
      </c>
      <c r="G178" s="32" t="str">
        <f t="shared" si="235"/>
        <v>$ 000s</v>
      </c>
      <c r="H178" s="32">
        <f t="shared" si="235"/>
        <v>0</v>
      </c>
      <c r="I178" s="32">
        <f t="shared" si="235"/>
        <v>0</v>
      </c>
      <c r="J178" s="32">
        <f t="shared" si="235"/>
        <v>0</v>
      </c>
      <c r="K178" s="32">
        <f t="shared" si="235"/>
        <v>0</v>
      </c>
      <c r="L178" s="32">
        <f t="shared" si="235"/>
        <v>0</v>
      </c>
      <c r="M178" s="32">
        <f t="shared" si="235"/>
        <v>0</v>
      </c>
      <c r="N178" s="32">
        <f t="shared" si="235"/>
        <v>0</v>
      </c>
      <c r="O178" s="32">
        <f t="shared" si="235"/>
        <v>4916.0219990907426</v>
      </c>
      <c r="P178" s="32">
        <f t="shared" si="235"/>
        <v>4997.503026699982</v>
      </c>
      <c r="Q178" s="32">
        <f t="shared" si="235"/>
        <v>4908.0912426146242</v>
      </c>
      <c r="R178" s="32">
        <f t="shared" si="235"/>
        <v>4989.4408212214948</v>
      </c>
      <c r="S178" s="32">
        <f t="shared" si="235"/>
        <v>4900.2101183154118</v>
      </c>
      <c r="T178" s="32">
        <f t="shared" si="235"/>
        <v>4981.4290705526873</v>
      </c>
      <c r="U178" s="32">
        <f t="shared" si="235"/>
        <v>4892.379134354258</v>
      </c>
      <c r="V178" s="32">
        <f t="shared" si="235"/>
        <v>4946.141542424084</v>
      </c>
      <c r="W178" s="32">
        <f t="shared" si="235"/>
        <v>4884.5988087862861</v>
      </c>
      <c r="X178" s="32">
        <f t="shared" si="235"/>
        <v>4965.55901003689</v>
      </c>
      <c r="Y178" s="32">
        <f t="shared" si="235"/>
        <v>4876.8696697368323</v>
      </c>
      <c r="Z178" s="32">
        <f t="shared" si="235"/>
        <v>4957.7017637103709</v>
      </c>
      <c r="AA178" s="32">
        <f t="shared" si="235"/>
        <v>4869.1922555807796</v>
      </c>
      <c r="AB178" s="32">
        <f t="shared" si="235"/>
        <v>4949.897099595928</v>
      </c>
      <c r="AC178" s="32">
        <f t="shared" si="235"/>
        <v>4861.5671151251881</v>
      </c>
      <c r="AD178" s="32">
        <f t="shared" si="235"/>
        <v>4914.9909295771104</v>
      </c>
      <c r="AE178" s="32">
        <f t="shared" si="235"/>
        <v>4853.9948077951776</v>
      </c>
      <c r="AF178" s="32">
        <f t="shared" si="235"/>
        <v>4934.4477604105705</v>
      </c>
      <c r="AG178" s="32">
        <f t="shared" si="235"/>
        <v>4846.4759038231532</v>
      </c>
      <c r="AH178" s="32">
        <f t="shared" si="235"/>
        <v>4926.8042337207735</v>
      </c>
      <c r="AI178" s="32">
        <f t="shared" si="235"/>
        <v>4839.0109844414328</v>
      </c>
      <c r="AJ178" s="32">
        <f t="shared" si="235"/>
        <v>4919.2155863935004</v>
      </c>
      <c r="AK178" s="32">
        <f t="shared" ref="AK178:BP178" si="236" xml:space="preserve"> AK$174</f>
        <v>4831.6006420783342</v>
      </c>
      <c r="AL178" s="32">
        <f t="shared" si="236"/>
        <v>4884.6951546286473</v>
      </c>
      <c r="AM178" s="32">
        <f t="shared" si="236"/>
        <v>4824.24548055782</v>
      </c>
      <c r="AN178" s="32">
        <f t="shared" si="236"/>
        <v>4904.2053504013202</v>
      </c>
      <c r="AO178" s="32">
        <f t="shared" si="236"/>
        <v>4816.9461153026787</v>
      </c>
      <c r="AP178" s="32">
        <f t="shared" si="236"/>
        <v>4896.7850011916707</v>
      </c>
      <c r="AQ178" s="32">
        <f t="shared" si="236"/>
        <v>4809.7031735413948</v>
      </c>
      <c r="AR178" s="32">
        <f t="shared" si="236"/>
        <v>4889.4220106719185</v>
      </c>
      <c r="AS178" s="32">
        <f t="shared" si="236"/>
        <v>4802.5172945187405</v>
      </c>
      <c r="AT178" s="32">
        <f t="shared" si="236"/>
        <v>4855.2922098431227</v>
      </c>
      <c r="AU178" s="32">
        <f t="shared" si="236"/>
        <v>4795.3891297101291</v>
      </c>
      <c r="AV178" s="32">
        <f t="shared" si="236"/>
        <v>4874.8707174953779</v>
      </c>
      <c r="AW178" s="32">
        <f t="shared" si="236"/>
        <v>4788.319343039846</v>
      </c>
      <c r="AX178" s="32">
        <f t="shared" si="236"/>
        <v>4867.6837520405061</v>
      </c>
      <c r="AY178" s="32">
        <f t="shared" si="236"/>
        <v>4781.3086111031771</v>
      </c>
      <c r="AZ178" s="32">
        <f t="shared" si="236"/>
        <v>4860.5568201269853</v>
      </c>
      <c r="BA178" s="32">
        <f t="shared" si="236"/>
        <v>4774.3576233925705</v>
      </c>
      <c r="BB178" s="32">
        <f t="shared" si="236"/>
        <v>0</v>
      </c>
      <c r="BC178" s="32">
        <f t="shared" si="236"/>
        <v>0</v>
      </c>
      <c r="BD178" s="32">
        <f t="shared" si="236"/>
        <v>0</v>
      </c>
      <c r="BE178" s="32">
        <f t="shared" si="236"/>
        <v>0</v>
      </c>
      <c r="BF178" s="32">
        <f t="shared" si="236"/>
        <v>0</v>
      </c>
      <c r="BG178" s="32">
        <f t="shared" si="236"/>
        <v>0</v>
      </c>
      <c r="BH178" s="32">
        <f t="shared" si="236"/>
        <v>0</v>
      </c>
      <c r="BI178" s="32">
        <f t="shared" si="236"/>
        <v>0</v>
      </c>
      <c r="BJ178" s="32">
        <f t="shared" si="236"/>
        <v>0</v>
      </c>
      <c r="BK178" s="32">
        <f t="shared" si="236"/>
        <v>0</v>
      </c>
      <c r="BL178" s="32">
        <f t="shared" si="236"/>
        <v>0</v>
      </c>
      <c r="BM178" s="32">
        <f t="shared" si="236"/>
        <v>0</v>
      </c>
      <c r="BN178" s="32">
        <f t="shared" si="236"/>
        <v>0</v>
      </c>
      <c r="BO178" s="32">
        <f t="shared" si="236"/>
        <v>0</v>
      </c>
      <c r="BP178" s="32">
        <f t="shared" si="236"/>
        <v>0</v>
      </c>
      <c r="BQ178" s="32">
        <f t="shared" ref="BQ178:CV178" si="237" xml:space="preserve"> BQ$174</f>
        <v>0</v>
      </c>
      <c r="BR178" s="32">
        <f t="shared" si="237"/>
        <v>0</v>
      </c>
      <c r="BS178" s="32">
        <f t="shared" si="237"/>
        <v>0</v>
      </c>
      <c r="BT178" s="32">
        <f t="shared" si="237"/>
        <v>0</v>
      </c>
      <c r="BU178" s="32">
        <f t="shared" si="237"/>
        <v>0</v>
      </c>
      <c r="BV178" s="32">
        <f t="shared" si="237"/>
        <v>0</v>
      </c>
      <c r="BW178" s="32">
        <f t="shared" si="237"/>
        <v>0</v>
      </c>
      <c r="BX178" s="32">
        <f t="shared" si="237"/>
        <v>0</v>
      </c>
      <c r="BY178" s="32">
        <f t="shared" si="237"/>
        <v>0</v>
      </c>
      <c r="BZ178" s="32">
        <f t="shared" si="237"/>
        <v>0</v>
      </c>
      <c r="CA178" s="32">
        <f t="shared" si="237"/>
        <v>0</v>
      </c>
      <c r="CB178" s="32">
        <f t="shared" si="237"/>
        <v>0</v>
      </c>
      <c r="CC178" s="32">
        <f t="shared" si="237"/>
        <v>0</v>
      </c>
      <c r="CD178" s="32">
        <f t="shared" si="237"/>
        <v>0</v>
      </c>
      <c r="CE178" s="32">
        <f t="shared" si="237"/>
        <v>0</v>
      </c>
      <c r="CF178" s="32">
        <f t="shared" si="237"/>
        <v>0</v>
      </c>
      <c r="CG178" s="32">
        <f t="shared" si="237"/>
        <v>0</v>
      </c>
      <c r="CH178" s="32">
        <f t="shared" si="237"/>
        <v>0</v>
      </c>
      <c r="CI178" s="32">
        <f t="shared" si="237"/>
        <v>0</v>
      </c>
      <c r="CJ178" s="32">
        <f t="shared" si="237"/>
        <v>0</v>
      </c>
      <c r="CK178" s="32">
        <f t="shared" si="237"/>
        <v>0</v>
      </c>
      <c r="CL178" s="32">
        <f t="shared" si="237"/>
        <v>0</v>
      </c>
      <c r="CM178" s="32">
        <f t="shared" si="237"/>
        <v>0</v>
      </c>
      <c r="CN178" s="32">
        <f t="shared" si="237"/>
        <v>0</v>
      </c>
      <c r="CO178" s="32">
        <f t="shared" si="237"/>
        <v>0</v>
      </c>
      <c r="CP178" s="32">
        <f t="shared" si="237"/>
        <v>0</v>
      </c>
      <c r="CQ178" s="32">
        <f t="shared" si="237"/>
        <v>0</v>
      </c>
      <c r="CR178" s="32">
        <f t="shared" si="237"/>
        <v>0</v>
      </c>
      <c r="CS178" s="32">
        <f t="shared" si="237"/>
        <v>0</v>
      </c>
      <c r="CT178" s="32">
        <f t="shared" si="237"/>
        <v>0</v>
      </c>
      <c r="CU178" s="32">
        <f t="shared" si="237"/>
        <v>0</v>
      </c>
      <c r="CV178" s="32">
        <f t="shared" si="237"/>
        <v>0</v>
      </c>
    </row>
    <row r="179" spans="1:100" outlineLevel="2" x14ac:dyDescent="0.2">
      <c r="A179" s="236"/>
      <c r="B179" s="236"/>
      <c r="C179" s="237"/>
      <c r="D179" s="238"/>
      <c r="E179" s="396" t="str">
        <f xml:space="preserve"> Time!E$106</f>
        <v>Operating period flag</v>
      </c>
      <c r="F179" s="396">
        <f xml:space="preserve"> Time!F$106</f>
        <v>0</v>
      </c>
      <c r="G179" s="396" t="str">
        <f xml:space="preserve"> Time!G$106</f>
        <v>flag</v>
      </c>
      <c r="H179" s="396">
        <f xml:space="preserve"> Time!H$106</f>
        <v>40</v>
      </c>
      <c r="I179" s="396">
        <f xml:space="preserve"> Time!I$106</f>
        <v>0</v>
      </c>
      <c r="J179" s="396">
        <f xml:space="preserve"> Time!J$106</f>
        <v>0</v>
      </c>
      <c r="K179" s="396">
        <f xml:space="preserve"> Time!K$106</f>
        <v>0</v>
      </c>
      <c r="L179" s="396">
        <f xml:space="preserve"> Time!L$106</f>
        <v>0</v>
      </c>
      <c r="M179" s="396">
        <f xml:space="preserve"> Time!M$106</f>
        <v>0</v>
      </c>
      <c r="N179" s="396">
        <f xml:space="preserve"> Time!N$106</f>
        <v>0</v>
      </c>
      <c r="O179" s="396">
        <f xml:space="preserve"> Time!O$106</f>
        <v>1</v>
      </c>
      <c r="P179" s="396">
        <f xml:space="preserve"> Time!P$106</f>
        <v>1</v>
      </c>
      <c r="Q179" s="396">
        <f xml:space="preserve"> Time!Q$106</f>
        <v>1</v>
      </c>
      <c r="R179" s="396">
        <f xml:space="preserve"> Time!R$106</f>
        <v>1</v>
      </c>
      <c r="S179" s="396">
        <f xml:space="preserve"> Time!S$106</f>
        <v>1</v>
      </c>
      <c r="T179" s="396">
        <f xml:space="preserve"> Time!T$106</f>
        <v>1</v>
      </c>
      <c r="U179" s="396">
        <f xml:space="preserve"> Time!U$106</f>
        <v>1</v>
      </c>
      <c r="V179" s="396">
        <f xml:space="preserve"> Time!V$106</f>
        <v>1</v>
      </c>
      <c r="W179" s="396">
        <f xml:space="preserve"> Time!W$106</f>
        <v>1</v>
      </c>
      <c r="X179" s="396">
        <f xml:space="preserve"> Time!X$106</f>
        <v>1</v>
      </c>
      <c r="Y179" s="396">
        <f xml:space="preserve"> Time!Y$106</f>
        <v>1</v>
      </c>
      <c r="Z179" s="396">
        <f xml:space="preserve"> Time!Z$106</f>
        <v>1</v>
      </c>
      <c r="AA179" s="396">
        <f xml:space="preserve"> Time!AA$106</f>
        <v>1</v>
      </c>
      <c r="AB179" s="396">
        <f xml:space="preserve"> Time!AB$106</f>
        <v>1</v>
      </c>
      <c r="AC179" s="396">
        <f xml:space="preserve"> Time!AC$106</f>
        <v>1</v>
      </c>
      <c r="AD179" s="396">
        <f xml:space="preserve"> Time!AD$106</f>
        <v>1</v>
      </c>
      <c r="AE179" s="396">
        <f xml:space="preserve"> Time!AE$106</f>
        <v>1</v>
      </c>
      <c r="AF179" s="396">
        <f xml:space="preserve"> Time!AF$106</f>
        <v>1</v>
      </c>
      <c r="AG179" s="396">
        <f xml:space="preserve"> Time!AG$106</f>
        <v>1</v>
      </c>
      <c r="AH179" s="396">
        <f xml:space="preserve"> Time!AH$106</f>
        <v>1</v>
      </c>
      <c r="AI179" s="396">
        <f xml:space="preserve"> Time!AI$106</f>
        <v>1</v>
      </c>
      <c r="AJ179" s="396">
        <f xml:space="preserve"> Time!AJ$106</f>
        <v>1</v>
      </c>
      <c r="AK179" s="396">
        <f xml:space="preserve"> Time!AK$106</f>
        <v>1</v>
      </c>
      <c r="AL179" s="396">
        <f xml:space="preserve"> Time!AL$106</f>
        <v>1</v>
      </c>
      <c r="AM179" s="396">
        <f xml:space="preserve"> Time!AM$106</f>
        <v>1</v>
      </c>
      <c r="AN179" s="396">
        <f xml:space="preserve"> Time!AN$106</f>
        <v>1</v>
      </c>
      <c r="AO179" s="396">
        <f xml:space="preserve"> Time!AO$106</f>
        <v>1</v>
      </c>
      <c r="AP179" s="396">
        <f xml:space="preserve"> Time!AP$106</f>
        <v>1</v>
      </c>
      <c r="AQ179" s="396">
        <f xml:space="preserve"> Time!AQ$106</f>
        <v>1</v>
      </c>
      <c r="AR179" s="396">
        <f xml:space="preserve"> Time!AR$106</f>
        <v>1</v>
      </c>
      <c r="AS179" s="396">
        <f xml:space="preserve"> Time!AS$106</f>
        <v>1</v>
      </c>
      <c r="AT179" s="396">
        <f xml:space="preserve"> Time!AT$106</f>
        <v>1</v>
      </c>
      <c r="AU179" s="396">
        <f xml:space="preserve"> Time!AU$106</f>
        <v>1</v>
      </c>
      <c r="AV179" s="396">
        <f xml:space="preserve"> Time!AV$106</f>
        <v>1</v>
      </c>
      <c r="AW179" s="396">
        <f xml:space="preserve"> Time!AW$106</f>
        <v>1</v>
      </c>
      <c r="AX179" s="396">
        <f xml:space="preserve"> Time!AX$106</f>
        <v>1</v>
      </c>
      <c r="AY179" s="396">
        <f xml:space="preserve"> Time!AY$106</f>
        <v>1</v>
      </c>
      <c r="AZ179" s="396">
        <f xml:space="preserve"> Time!AZ$106</f>
        <v>1</v>
      </c>
      <c r="BA179" s="396">
        <f xml:space="preserve"> Time!BA$106</f>
        <v>1</v>
      </c>
      <c r="BB179" s="396">
        <f xml:space="preserve"> Time!BB$106</f>
        <v>1</v>
      </c>
      <c r="BC179" s="396">
        <f xml:space="preserve"> Time!BC$106</f>
        <v>0</v>
      </c>
      <c r="BD179" s="396">
        <f xml:space="preserve"> Time!BD$106</f>
        <v>0</v>
      </c>
      <c r="BE179" s="396">
        <f xml:space="preserve"> Time!BE$106</f>
        <v>0</v>
      </c>
      <c r="BF179" s="396">
        <f xml:space="preserve"> Time!BF$106</f>
        <v>0</v>
      </c>
      <c r="BG179" s="396">
        <f xml:space="preserve"> Time!BG$106</f>
        <v>0</v>
      </c>
      <c r="BH179" s="396">
        <f xml:space="preserve"> Time!BH$106</f>
        <v>0</v>
      </c>
      <c r="BI179" s="396">
        <f xml:space="preserve"> Time!BI$106</f>
        <v>0</v>
      </c>
      <c r="BJ179" s="396">
        <f xml:space="preserve"> Time!BJ$106</f>
        <v>0</v>
      </c>
      <c r="BK179" s="396">
        <f xml:space="preserve"> Time!BK$106</f>
        <v>0</v>
      </c>
      <c r="BL179" s="396">
        <f xml:space="preserve"> Time!BL$106</f>
        <v>0</v>
      </c>
      <c r="BM179" s="396">
        <f xml:space="preserve"> Time!BM$106</f>
        <v>0</v>
      </c>
      <c r="BN179" s="396">
        <f xml:space="preserve"> Time!BN$106</f>
        <v>0</v>
      </c>
      <c r="BO179" s="396">
        <f xml:space="preserve"> Time!BO$106</f>
        <v>0</v>
      </c>
      <c r="BP179" s="396">
        <f xml:space="preserve"> Time!BP$106</f>
        <v>0</v>
      </c>
      <c r="BQ179" s="396">
        <f xml:space="preserve"> Time!BQ$106</f>
        <v>0</v>
      </c>
      <c r="BR179" s="396">
        <f xml:space="preserve"> Time!BR$106</f>
        <v>0</v>
      </c>
      <c r="BS179" s="396">
        <f xml:space="preserve"> Time!BS$106</f>
        <v>0</v>
      </c>
      <c r="BT179" s="396">
        <f xml:space="preserve"> Time!BT$106</f>
        <v>0</v>
      </c>
      <c r="BU179" s="396">
        <f xml:space="preserve"> Time!BU$106</f>
        <v>0</v>
      </c>
      <c r="BV179" s="396">
        <f xml:space="preserve"> Time!BV$106</f>
        <v>0</v>
      </c>
      <c r="BW179" s="396">
        <f xml:space="preserve"> Time!BW$106</f>
        <v>0</v>
      </c>
      <c r="BX179" s="396">
        <f xml:space="preserve"> Time!BX$106</f>
        <v>0</v>
      </c>
      <c r="BY179" s="396">
        <f xml:space="preserve"> Time!BY$106</f>
        <v>0</v>
      </c>
      <c r="BZ179" s="396">
        <f xml:space="preserve"> Time!BZ$106</f>
        <v>0</v>
      </c>
      <c r="CA179" s="396">
        <f xml:space="preserve"> Time!CA$106</f>
        <v>0</v>
      </c>
      <c r="CB179" s="396">
        <f xml:space="preserve"> Time!CB$106</f>
        <v>0</v>
      </c>
      <c r="CC179" s="396">
        <f xml:space="preserve"> Time!CC$106</f>
        <v>0</v>
      </c>
      <c r="CD179" s="396">
        <f xml:space="preserve"> Time!CD$106</f>
        <v>0</v>
      </c>
      <c r="CE179" s="396">
        <f xml:space="preserve"> Time!CE$106</f>
        <v>0</v>
      </c>
      <c r="CF179" s="396">
        <f xml:space="preserve"> Time!CF$106</f>
        <v>0</v>
      </c>
      <c r="CG179" s="396">
        <f xml:space="preserve"> Time!CG$106</f>
        <v>0</v>
      </c>
      <c r="CH179" s="396">
        <f xml:space="preserve"> Time!CH$106</f>
        <v>0</v>
      </c>
      <c r="CI179" s="396">
        <f xml:space="preserve"> Time!CI$106</f>
        <v>0</v>
      </c>
      <c r="CJ179" s="396">
        <f xml:space="preserve"> Time!CJ$106</f>
        <v>0</v>
      </c>
      <c r="CK179" s="396">
        <f xml:space="preserve"> Time!CK$106</f>
        <v>0</v>
      </c>
      <c r="CL179" s="396">
        <f xml:space="preserve"> Time!CL$106</f>
        <v>0</v>
      </c>
      <c r="CM179" s="396">
        <f xml:space="preserve"> Time!CM$106</f>
        <v>0</v>
      </c>
      <c r="CN179" s="396">
        <f xml:space="preserve"> Time!CN$106</f>
        <v>0</v>
      </c>
      <c r="CO179" s="396">
        <f xml:space="preserve"> Time!CO$106</f>
        <v>0</v>
      </c>
      <c r="CP179" s="396">
        <f xml:space="preserve"> Time!CP$106</f>
        <v>0</v>
      </c>
      <c r="CQ179" s="396">
        <f xml:space="preserve"> Time!CQ$106</f>
        <v>0</v>
      </c>
      <c r="CR179" s="396">
        <f xml:space="preserve"> Time!CR$106</f>
        <v>0</v>
      </c>
      <c r="CS179" s="396">
        <f xml:space="preserve"> Time!CS$106</f>
        <v>0</v>
      </c>
      <c r="CT179" s="396">
        <f xml:space="preserve"> Time!CT$106</f>
        <v>0</v>
      </c>
      <c r="CU179" s="396">
        <f xml:space="preserve"> Time!CU$106</f>
        <v>0</v>
      </c>
      <c r="CV179" s="396">
        <f xml:space="preserve"> Time!CV$106</f>
        <v>0</v>
      </c>
    </row>
    <row r="180" spans="1:100" outlineLevel="2" x14ac:dyDescent="0.2">
      <c r="A180" s="79"/>
      <c r="B180" s="79"/>
      <c r="C180" s="561"/>
      <c r="D180" s="60"/>
      <c r="E180" s="32" t="s">
        <v>427</v>
      </c>
      <c r="F180" s="32"/>
      <c r="G180" s="32" t="str">
        <f xml:space="preserve"> SMU</f>
        <v>$ 000s</v>
      </c>
      <c r="H180" s="32">
        <f xml:space="preserve"> SUM(J180:CV180)</f>
        <v>0</v>
      </c>
      <c r="I180" s="32"/>
      <c r="J180" s="32">
        <f t="shared" ref="J180" si="238" xml:space="preserve"> (J177 - J178) * J179</f>
        <v>0</v>
      </c>
      <c r="K180" s="32">
        <f t="shared" ref="K180" si="239" xml:space="preserve"> (K177 - K178) * K179</f>
        <v>0</v>
      </c>
      <c r="L180" s="32">
        <f t="shared" ref="L180" si="240" xml:space="preserve"> (L177 - L178) * L179</f>
        <v>0</v>
      </c>
      <c r="M180" s="32">
        <f t="shared" ref="M180" si="241" xml:space="preserve"> (M177 - M178) * M179</f>
        <v>0</v>
      </c>
      <c r="N180" s="32">
        <f t="shared" ref="N180" si="242" xml:space="preserve"> (N177 - N178) * N179</f>
        <v>0</v>
      </c>
      <c r="O180" s="32">
        <f t="shared" ref="O180" si="243" xml:space="preserve"> (O177 - O178) * O179</f>
        <v>-4916.0219990907426</v>
      </c>
      <c r="P180" s="32">
        <f t="shared" ref="P180" si="244" xml:space="preserve"> (P177 - P178) * P179</f>
        <v>-81.481027609239391</v>
      </c>
      <c r="Q180" s="32">
        <f t="shared" ref="Q180" si="245" xml:space="preserve"> (Q177 - Q178) * Q179</f>
        <v>89.411784085357795</v>
      </c>
      <c r="R180" s="32">
        <f t="shared" ref="R180" si="246" xml:space="preserve"> (R177 - R178) * R179</f>
        <v>-81.349578606870637</v>
      </c>
      <c r="S180" s="32">
        <f t="shared" ref="S180" si="247" xml:space="preserve"> (S177 - S178) * S179</f>
        <v>89.230702906083025</v>
      </c>
      <c r="T180" s="32">
        <f t="shared" ref="T180" si="248" xml:space="preserve"> (T177 - T178) * T179</f>
        <v>-81.218952237275516</v>
      </c>
      <c r="U180" s="32">
        <f t="shared" ref="U180" si="249" xml:space="preserve"> (U177 - U178) * U179</f>
        <v>89.04993619842935</v>
      </c>
      <c r="V180" s="32">
        <f t="shared" ref="V180" si="250" xml:space="preserve"> (V177 - V178) * V179</f>
        <v>-53.762408069826051</v>
      </c>
      <c r="W180" s="32">
        <f t="shared" ref="W180" si="251" xml:space="preserve"> (W177 - W178) * W179</f>
        <v>61.542733637797937</v>
      </c>
      <c r="X180" s="32">
        <f t="shared" ref="X180" si="252" xml:space="preserve"> (X177 - X178) * X179</f>
        <v>-80.960201250603859</v>
      </c>
      <c r="Y180" s="32">
        <f t="shared" ref="Y180" si="253" xml:space="preserve"> (Y177 - Y178) * Y179</f>
        <v>88.689340300057665</v>
      </c>
      <c r="Z180" s="32">
        <f t="shared" ref="Z180" si="254" xml:space="preserve"> (Z177 - Z178) * Z179</f>
        <v>-80.832093973538576</v>
      </c>
      <c r="AA180" s="32">
        <f t="shared" ref="AA180" si="255" xml:space="preserve"> (AA177 - AA178) * AA179</f>
        <v>88.509508129591268</v>
      </c>
      <c r="AB180" s="32">
        <f t="shared" ref="AB180" si="256" xml:space="preserve"> (AB177 - AB178) * AB179</f>
        <v>-80.70484401514841</v>
      </c>
      <c r="AC180" s="32">
        <f t="shared" ref="AC180" si="257" xml:space="preserve"> (AC177 - AC178) * AC179</f>
        <v>88.329984470739873</v>
      </c>
      <c r="AD180" s="32">
        <f t="shared" ref="AD180" si="258" xml:space="preserve"> (AD177 - AD178) * AD179</f>
        <v>-53.423814451922226</v>
      </c>
      <c r="AE180" s="32">
        <f t="shared" ref="AE180" si="259" xml:space="preserve"> (AE177 - AE178) * AE179</f>
        <v>60.996121781932743</v>
      </c>
      <c r="AF180" s="32">
        <f t="shared" ref="AF180" si="260" xml:space="preserve"> (AF177 - AF178) * AF179</f>
        <v>-80.45295261539286</v>
      </c>
      <c r="AG180" s="32">
        <f t="shared" ref="AG180" si="261" xml:space="preserve"> (AG177 - AG178) * AG179</f>
        <v>87.971856587417278</v>
      </c>
      <c r="AH180" s="32">
        <f t="shared" ref="AH180" si="262" xml:space="preserve"> (AH177 - AH178) * AH179</f>
        <v>-80.328329897620279</v>
      </c>
      <c r="AI180" s="32">
        <f t="shared" ref="AI180" si="263" xml:space="preserve"> (AI177 - AI178) * AI179</f>
        <v>87.793249279340671</v>
      </c>
      <c r="AJ180" s="32">
        <f t="shared" ref="AJ180" si="264" xml:space="preserve"> (AJ177 - AJ178) * AJ179</f>
        <v>-80.204601952067605</v>
      </c>
      <c r="AK180" s="32">
        <f t="shared" ref="AK180" si="265" xml:space="preserve"> (AK177 - AK178) * AK179</f>
        <v>87.614944315166213</v>
      </c>
      <c r="AL180" s="32">
        <f t="shared" ref="AL180" si="266" xml:space="preserve"> (AL177 - AL178) * AL179</f>
        <v>-53.094512550313084</v>
      </c>
      <c r="AM180" s="32">
        <f t="shared" ref="AM180" si="267" xml:space="preserve"> (AM177 - AM178) * AM179</f>
        <v>60.449674070827314</v>
      </c>
      <c r="AN180" s="32">
        <f t="shared" ref="AN180" si="268" xml:space="preserve"> (AN177 - AN178) * AN179</f>
        <v>-79.959869843500201</v>
      </c>
      <c r="AO180" s="32">
        <f t="shared" ref="AO180" si="269" xml:space="preserve"> (AO177 - AO178) * AO179</f>
        <v>87.259235098641511</v>
      </c>
      <c r="AP180" s="32">
        <f t="shared" ref="AP180" si="270" xml:space="preserve"> (AP177 - AP178) * AP179</f>
        <v>-79.838885888992081</v>
      </c>
      <c r="AQ180" s="32">
        <f t="shared" ref="AQ180" si="271" xml:space="preserve"> (AQ177 - AQ178) * AQ179</f>
        <v>87.081827650275955</v>
      </c>
      <c r="AR180" s="32">
        <f t="shared" ref="AR180" si="272" xml:space="preserve"> (AR177 - AR178) * AR179</f>
        <v>-79.718837130523752</v>
      </c>
      <c r="AS180" s="32">
        <f t="shared" ref="AS180" si="273" xml:space="preserve"> (AS177 - AS178) * AS179</f>
        <v>86.904716153178015</v>
      </c>
      <c r="AT180" s="32">
        <f t="shared" ref="AT180" si="274" xml:space="preserve"> (AT177 - AT178) * AT179</f>
        <v>-52.774915324382164</v>
      </c>
      <c r="AU180" s="32">
        <f t="shared" ref="AU180" si="275" xml:space="preserve"> (AU177 - AU178) * AU179</f>
        <v>59.903080132993637</v>
      </c>
      <c r="AV180" s="32">
        <f t="shared" ref="AV180" si="276" xml:space="preserve"> (AV177 - AV178) * AV179</f>
        <v>-79.481587785248848</v>
      </c>
      <c r="AW180" s="32">
        <f t="shared" ref="AW180" si="277" xml:space="preserve"> (AW177 - AW178) * AW179</f>
        <v>86.551374455531914</v>
      </c>
      <c r="AX180" s="32">
        <f t="shared" ref="AX180" si="278" xml:space="preserve"> (AX177 - AX178) * AX179</f>
        <v>-79.364409000660089</v>
      </c>
      <c r="AY180" s="32">
        <f t="shared" ref="AY180" si="279" xml:space="preserve"> (AY177 - AY178) * AY179</f>
        <v>86.375140937328979</v>
      </c>
      <c r="AZ180" s="32">
        <f t="shared" ref="AZ180" si="280" xml:space="preserve"> (AZ177 - AZ178) * AZ179</f>
        <v>-79.248209023808158</v>
      </c>
      <c r="BA180" s="32">
        <f t="shared" ref="BA180" si="281" xml:space="preserve"> (BA177 - BA178) * BA179</f>
        <v>86.199196734414727</v>
      </c>
      <c r="BB180" s="32">
        <f t="shared" ref="BB180" si="282" xml:space="preserve"> (BB177 - BB178) * BB179</f>
        <v>4774.3576233925705</v>
      </c>
      <c r="BC180" s="32">
        <f t="shared" ref="BC180" si="283" xml:space="preserve"> (BC177 - BC178) * BC179</f>
        <v>0</v>
      </c>
      <c r="BD180" s="32">
        <f t="shared" ref="BD180" si="284" xml:space="preserve"> (BD177 - BD178) * BD179</f>
        <v>0</v>
      </c>
      <c r="BE180" s="32">
        <f t="shared" ref="BE180" si="285" xml:space="preserve"> (BE177 - BE178) * BE179</f>
        <v>0</v>
      </c>
      <c r="BF180" s="32">
        <f t="shared" ref="BF180" si="286" xml:space="preserve"> (BF177 - BF178) * BF179</f>
        <v>0</v>
      </c>
      <c r="BG180" s="32">
        <f t="shared" ref="BG180" si="287" xml:space="preserve"> (BG177 - BG178) * BG179</f>
        <v>0</v>
      </c>
      <c r="BH180" s="32">
        <f t="shared" ref="BH180" si="288" xml:space="preserve"> (BH177 - BH178) * BH179</f>
        <v>0</v>
      </c>
      <c r="BI180" s="32">
        <f t="shared" ref="BI180" si="289" xml:space="preserve"> (BI177 - BI178) * BI179</f>
        <v>0</v>
      </c>
      <c r="BJ180" s="32">
        <f t="shared" ref="BJ180" si="290" xml:space="preserve"> (BJ177 - BJ178) * BJ179</f>
        <v>0</v>
      </c>
      <c r="BK180" s="32">
        <f t="shared" ref="BK180" si="291" xml:space="preserve"> (BK177 - BK178) * BK179</f>
        <v>0</v>
      </c>
      <c r="BL180" s="32">
        <f t="shared" ref="BL180" si="292" xml:space="preserve"> (BL177 - BL178) * BL179</f>
        <v>0</v>
      </c>
      <c r="BM180" s="32">
        <f t="shared" ref="BM180" si="293" xml:space="preserve"> (BM177 - BM178) * BM179</f>
        <v>0</v>
      </c>
      <c r="BN180" s="32">
        <f t="shared" ref="BN180" si="294" xml:space="preserve"> (BN177 - BN178) * BN179</f>
        <v>0</v>
      </c>
      <c r="BO180" s="32">
        <f t="shared" ref="BO180" si="295" xml:space="preserve"> (BO177 - BO178) * BO179</f>
        <v>0</v>
      </c>
      <c r="BP180" s="32">
        <f t="shared" ref="BP180" si="296" xml:space="preserve"> (BP177 - BP178) * BP179</f>
        <v>0</v>
      </c>
      <c r="BQ180" s="32">
        <f t="shared" ref="BQ180" si="297" xml:space="preserve"> (BQ177 - BQ178) * BQ179</f>
        <v>0</v>
      </c>
      <c r="BR180" s="32">
        <f t="shared" ref="BR180" si="298" xml:space="preserve"> (BR177 - BR178) * BR179</f>
        <v>0</v>
      </c>
      <c r="BS180" s="32">
        <f t="shared" ref="BS180" si="299" xml:space="preserve"> (BS177 - BS178) * BS179</f>
        <v>0</v>
      </c>
      <c r="BT180" s="32">
        <f t="shared" ref="BT180" si="300" xml:space="preserve"> (BT177 - BT178) * BT179</f>
        <v>0</v>
      </c>
      <c r="BU180" s="32">
        <f t="shared" ref="BU180" si="301" xml:space="preserve"> (BU177 - BU178) * BU179</f>
        <v>0</v>
      </c>
      <c r="BV180" s="32">
        <f t="shared" ref="BV180" si="302" xml:space="preserve"> (BV177 - BV178) * BV179</f>
        <v>0</v>
      </c>
      <c r="BW180" s="32">
        <f t="shared" ref="BW180" si="303" xml:space="preserve"> (BW177 - BW178) * BW179</f>
        <v>0</v>
      </c>
      <c r="BX180" s="32">
        <f t="shared" ref="BX180" si="304" xml:space="preserve"> (BX177 - BX178) * BX179</f>
        <v>0</v>
      </c>
      <c r="BY180" s="32">
        <f t="shared" ref="BY180" si="305" xml:space="preserve"> (BY177 - BY178) * BY179</f>
        <v>0</v>
      </c>
      <c r="BZ180" s="32">
        <f t="shared" ref="BZ180" si="306" xml:space="preserve"> (BZ177 - BZ178) * BZ179</f>
        <v>0</v>
      </c>
      <c r="CA180" s="32">
        <f t="shared" ref="CA180" si="307" xml:space="preserve"> (CA177 - CA178) * CA179</f>
        <v>0</v>
      </c>
      <c r="CB180" s="32">
        <f t="shared" ref="CB180" si="308" xml:space="preserve"> (CB177 - CB178) * CB179</f>
        <v>0</v>
      </c>
      <c r="CC180" s="32">
        <f t="shared" ref="CC180" si="309" xml:space="preserve"> (CC177 - CC178) * CC179</f>
        <v>0</v>
      </c>
      <c r="CD180" s="32">
        <f t="shared" ref="CD180" si="310" xml:space="preserve"> (CD177 - CD178) * CD179</f>
        <v>0</v>
      </c>
      <c r="CE180" s="32">
        <f t="shared" ref="CE180" si="311" xml:space="preserve"> (CE177 - CE178) * CE179</f>
        <v>0</v>
      </c>
      <c r="CF180" s="32">
        <f t="shared" ref="CF180" si="312" xml:space="preserve"> (CF177 - CF178) * CF179</f>
        <v>0</v>
      </c>
      <c r="CG180" s="32">
        <f t="shared" ref="CG180" si="313" xml:space="preserve"> (CG177 - CG178) * CG179</f>
        <v>0</v>
      </c>
      <c r="CH180" s="32">
        <f t="shared" ref="CH180" si="314" xml:space="preserve"> (CH177 - CH178) * CH179</f>
        <v>0</v>
      </c>
      <c r="CI180" s="32">
        <f t="shared" ref="CI180" si="315" xml:space="preserve"> (CI177 - CI178) * CI179</f>
        <v>0</v>
      </c>
      <c r="CJ180" s="32">
        <f t="shared" ref="CJ180" si="316" xml:space="preserve"> (CJ177 - CJ178) * CJ179</f>
        <v>0</v>
      </c>
      <c r="CK180" s="32">
        <f t="shared" ref="CK180" si="317" xml:space="preserve"> (CK177 - CK178) * CK179</f>
        <v>0</v>
      </c>
      <c r="CL180" s="32">
        <f t="shared" ref="CL180" si="318" xml:space="preserve"> (CL177 - CL178) * CL179</f>
        <v>0</v>
      </c>
      <c r="CM180" s="32">
        <f t="shared" ref="CM180" si="319" xml:space="preserve"> (CM177 - CM178) * CM179</f>
        <v>0</v>
      </c>
      <c r="CN180" s="32">
        <f t="shared" ref="CN180" si="320" xml:space="preserve"> (CN177 - CN178) * CN179</f>
        <v>0</v>
      </c>
      <c r="CO180" s="32">
        <f t="shared" ref="CO180" si="321" xml:space="preserve"> (CO177 - CO178) * CO179</f>
        <v>0</v>
      </c>
      <c r="CP180" s="32">
        <f t="shared" ref="CP180" si="322" xml:space="preserve"> (CP177 - CP178) * CP179</f>
        <v>0</v>
      </c>
      <c r="CQ180" s="32">
        <f t="shared" ref="CQ180" si="323" xml:space="preserve"> (CQ177 - CQ178) * CQ179</f>
        <v>0</v>
      </c>
      <c r="CR180" s="32">
        <f t="shared" ref="CR180" si="324" xml:space="preserve"> (CR177 - CR178) * CR179</f>
        <v>0</v>
      </c>
      <c r="CS180" s="32">
        <f t="shared" ref="CS180" si="325" xml:space="preserve"> (CS177 - CS178) * CS179</f>
        <v>0</v>
      </c>
      <c r="CT180" s="32">
        <f t="shared" ref="CT180" si="326" xml:space="preserve"> (CT177 - CT178) * CT179</f>
        <v>0</v>
      </c>
      <c r="CU180" s="32">
        <f t="shared" ref="CU180" si="327" xml:space="preserve"> (CU177 - CU178) * CU179</f>
        <v>0</v>
      </c>
      <c r="CV180" s="32">
        <f t="shared" ref="CV180" si="328" xml:space="preserve"> (CV177 - CV178) * CV179</f>
        <v>0</v>
      </c>
    </row>
    <row r="181" spans="1:100" outlineLevel="2" x14ac:dyDescent="0.2">
      <c r="A181" s="79"/>
      <c r="B181" s="79"/>
      <c r="C181" s="561"/>
      <c r="D181" s="60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Q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N181" s="32"/>
      <c r="CO181" s="32"/>
      <c r="CP181" s="32"/>
      <c r="CQ181" s="32"/>
      <c r="CR181" s="32"/>
      <c r="CS181" s="32"/>
      <c r="CT181" s="32"/>
      <c r="CU181" s="32"/>
      <c r="CV181" s="32"/>
    </row>
    <row r="182" spans="1:100" x14ac:dyDescent="0.2">
      <c r="A182" s="79"/>
      <c r="B182" s="79"/>
      <c r="C182" s="561"/>
      <c r="D182" s="60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2"/>
      <c r="BC182" s="32"/>
      <c r="BD182" s="32"/>
      <c r="BE182" s="32"/>
      <c r="BF182" s="32"/>
      <c r="BG182" s="32"/>
      <c r="BH182" s="32"/>
      <c r="BI182" s="32"/>
      <c r="BJ182" s="32"/>
      <c r="BK182" s="32"/>
      <c r="BL182" s="32"/>
      <c r="BM182" s="32"/>
      <c r="BN182" s="32"/>
      <c r="BO182" s="32"/>
      <c r="BP182" s="32"/>
      <c r="BQ182" s="32"/>
      <c r="BR182" s="32"/>
      <c r="BS182" s="32"/>
      <c r="BT182" s="32"/>
      <c r="BU182" s="32"/>
      <c r="BV182" s="32"/>
      <c r="BW182" s="32"/>
      <c r="BX182" s="32"/>
      <c r="BY182" s="32"/>
      <c r="BZ182" s="32"/>
      <c r="CA182" s="32"/>
      <c r="CB182" s="32"/>
      <c r="CC182" s="32"/>
      <c r="CD182" s="32"/>
      <c r="CE182" s="32"/>
      <c r="CF182" s="32"/>
      <c r="CG182" s="32"/>
      <c r="CH182" s="32"/>
      <c r="CI182" s="32"/>
      <c r="CJ182" s="32"/>
      <c r="CK182" s="32"/>
      <c r="CL182" s="32"/>
      <c r="CM182" s="32"/>
      <c r="CN182" s="32"/>
      <c r="CO182" s="32"/>
      <c r="CP182" s="32"/>
      <c r="CQ182" s="32"/>
      <c r="CR182" s="32"/>
      <c r="CS182" s="32"/>
      <c r="CT182" s="32"/>
      <c r="CU182" s="32"/>
      <c r="CV182" s="32"/>
    </row>
    <row r="183" spans="1:100" x14ac:dyDescent="0.2">
      <c r="A183" s="236" t="s">
        <v>1171</v>
      </c>
      <c r="B183" s="236"/>
      <c r="C183" s="237"/>
      <c r="D183" s="238"/>
      <c r="E183" s="235"/>
      <c r="F183" s="235"/>
      <c r="G183" s="235"/>
      <c r="H183" s="235"/>
      <c r="I183" s="235"/>
      <c r="J183" s="235"/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AJ183" s="235"/>
      <c r="AK183" s="235"/>
      <c r="AL183" s="235"/>
      <c r="AM183" s="235"/>
      <c r="AN183" s="235"/>
      <c r="AO183" s="235"/>
      <c r="AP183" s="235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</row>
    <row r="184" spans="1:100" outlineLevel="1" x14ac:dyDescent="0.2">
      <c r="A184" s="236"/>
      <c r="B184" s="236"/>
      <c r="C184" s="237"/>
      <c r="D184" s="238"/>
      <c r="E184" s="235"/>
      <c r="F184" s="235"/>
      <c r="G184" s="235"/>
      <c r="H184" s="235"/>
      <c r="I184" s="235"/>
      <c r="J184" s="235"/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AJ184" s="235"/>
      <c r="AK184" s="235"/>
      <c r="AL184" s="235"/>
      <c r="AM184" s="235"/>
      <c r="AN184" s="235"/>
      <c r="AO184" s="235"/>
      <c r="AP184" s="235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</row>
    <row r="185" spans="1:100" outlineLevel="1" x14ac:dyDescent="0.2">
      <c r="A185" s="85"/>
      <c r="B185" s="85"/>
      <c r="C185" s="86"/>
      <c r="D185" s="87"/>
      <c r="E185" s="145" t="str">
        <f xml:space="preserve"> InpC!E$387</f>
        <v>Accounts receivable days</v>
      </c>
      <c r="F185" s="145">
        <f xml:space="preserve"> InpC!F$387</f>
        <v>45</v>
      </c>
      <c r="G185" s="145" t="str">
        <f xml:space="preserve"> InpC!G$387</f>
        <v>days</v>
      </c>
      <c r="H185" s="145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  <c r="BM185" s="68"/>
      <c r="BN185" s="68"/>
      <c r="BO185" s="68"/>
      <c r="BP185" s="68"/>
      <c r="BQ185" s="68"/>
      <c r="BR185" s="68"/>
      <c r="BS185" s="68"/>
      <c r="BT185" s="68"/>
      <c r="BU185" s="68"/>
      <c r="BV185" s="68"/>
      <c r="BW185" s="68"/>
      <c r="BX185" s="68"/>
      <c r="BY185" s="68"/>
      <c r="BZ185" s="68"/>
      <c r="CA185" s="68"/>
      <c r="CB185" s="68"/>
      <c r="CC185" s="68"/>
      <c r="CD185" s="68"/>
      <c r="CE185" s="68"/>
      <c r="CF185" s="68"/>
      <c r="CG185" s="68"/>
      <c r="CH185" s="68"/>
      <c r="CI185" s="68"/>
      <c r="CJ185" s="68"/>
      <c r="CK185" s="68"/>
      <c r="CL185" s="68"/>
      <c r="CM185" s="68"/>
      <c r="CN185" s="68"/>
      <c r="CO185" s="68"/>
      <c r="CP185" s="68"/>
      <c r="CQ185" s="68"/>
      <c r="CR185" s="68"/>
      <c r="CS185" s="68"/>
      <c r="CT185" s="68"/>
      <c r="CU185" s="68"/>
      <c r="CV185" s="68"/>
    </row>
    <row r="186" spans="1:100" outlineLevel="1" x14ac:dyDescent="0.2">
      <c r="A186" s="85"/>
      <c r="B186" s="85"/>
      <c r="C186" s="86"/>
      <c r="D186" s="87"/>
      <c r="E186" s="68" t="str">
        <f xml:space="preserve"> Time!E$246</f>
        <v>Days in period</v>
      </c>
      <c r="F186" s="68">
        <f xml:space="preserve"> Time!F$246</f>
        <v>0</v>
      </c>
      <c r="G186" s="68" t="str">
        <f xml:space="preserve"> Time!G$246</f>
        <v>days</v>
      </c>
      <c r="H186" s="68">
        <f xml:space="preserve"> Time!H$246</f>
        <v>0</v>
      </c>
      <c r="I186" s="68">
        <f xml:space="preserve"> Time!I$246</f>
        <v>0</v>
      </c>
      <c r="J186" s="68">
        <f xml:space="preserve"> Time!J$246</f>
        <v>181</v>
      </c>
      <c r="K186" s="68">
        <f xml:space="preserve"> Time!K$246</f>
        <v>184</v>
      </c>
      <c r="L186" s="68">
        <f xml:space="preserve"> Time!L$246</f>
        <v>181</v>
      </c>
      <c r="M186" s="68">
        <f xml:space="preserve"> Time!M$246</f>
        <v>184</v>
      </c>
      <c r="N186" s="68">
        <f xml:space="preserve"> Time!N$246</f>
        <v>182</v>
      </c>
      <c r="O186" s="68">
        <f xml:space="preserve"> Time!O$246</f>
        <v>184</v>
      </c>
      <c r="P186" s="68">
        <f xml:space="preserve"> Time!P$246</f>
        <v>181</v>
      </c>
      <c r="Q186" s="68">
        <f xml:space="preserve"> Time!Q$246</f>
        <v>184</v>
      </c>
      <c r="R186" s="68">
        <f xml:space="preserve"> Time!R$246</f>
        <v>181</v>
      </c>
      <c r="S186" s="68">
        <f xml:space="preserve"> Time!S$246</f>
        <v>184</v>
      </c>
      <c r="T186" s="68">
        <f xml:space="preserve"> Time!T$246</f>
        <v>181</v>
      </c>
      <c r="U186" s="68">
        <f xml:space="preserve"> Time!U$246</f>
        <v>184</v>
      </c>
      <c r="V186" s="68">
        <f xml:space="preserve"> Time!V$246</f>
        <v>182</v>
      </c>
      <c r="W186" s="68">
        <f xml:space="preserve"> Time!W$246</f>
        <v>184</v>
      </c>
      <c r="X186" s="68">
        <f xml:space="preserve"> Time!X$246</f>
        <v>181</v>
      </c>
      <c r="Y186" s="68">
        <f xml:space="preserve"> Time!Y$246</f>
        <v>184</v>
      </c>
      <c r="Z186" s="68">
        <f xml:space="preserve"> Time!Z$246</f>
        <v>181</v>
      </c>
      <c r="AA186" s="68">
        <f xml:space="preserve"> Time!AA$246</f>
        <v>184</v>
      </c>
      <c r="AB186" s="68">
        <f xml:space="preserve"> Time!AB$246</f>
        <v>181</v>
      </c>
      <c r="AC186" s="68">
        <f xml:space="preserve"> Time!AC$246</f>
        <v>184</v>
      </c>
      <c r="AD186" s="68">
        <f xml:space="preserve"> Time!AD$246</f>
        <v>182</v>
      </c>
      <c r="AE186" s="68">
        <f xml:space="preserve"> Time!AE$246</f>
        <v>184</v>
      </c>
      <c r="AF186" s="68">
        <f xml:space="preserve"> Time!AF$246</f>
        <v>181</v>
      </c>
      <c r="AG186" s="68">
        <f xml:space="preserve"> Time!AG$246</f>
        <v>184</v>
      </c>
      <c r="AH186" s="68">
        <f xml:space="preserve"> Time!AH$246</f>
        <v>181</v>
      </c>
      <c r="AI186" s="68">
        <f xml:space="preserve"> Time!AI$246</f>
        <v>184</v>
      </c>
      <c r="AJ186" s="68">
        <f xml:space="preserve"> Time!AJ$246</f>
        <v>181</v>
      </c>
      <c r="AK186" s="68">
        <f xml:space="preserve"> Time!AK$246</f>
        <v>184</v>
      </c>
      <c r="AL186" s="68">
        <f xml:space="preserve"> Time!AL$246</f>
        <v>182</v>
      </c>
      <c r="AM186" s="68">
        <f xml:space="preserve"> Time!AM$246</f>
        <v>184</v>
      </c>
      <c r="AN186" s="68">
        <f xml:space="preserve"> Time!AN$246</f>
        <v>181</v>
      </c>
      <c r="AO186" s="68">
        <f xml:space="preserve"> Time!AO$246</f>
        <v>184</v>
      </c>
      <c r="AP186" s="68">
        <f xml:space="preserve"> Time!AP$246</f>
        <v>181</v>
      </c>
      <c r="AQ186" s="68">
        <f xml:space="preserve"> Time!AQ$246</f>
        <v>184</v>
      </c>
      <c r="AR186" s="68">
        <f xml:space="preserve"> Time!AR$246</f>
        <v>181</v>
      </c>
      <c r="AS186" s="68">
        <f xml:space="preserve"> Time!AS$246</f>
        <v>184</v>
      </c>
      <c r="AT186" s="68">
        <f xml:space="preserve"> Time!AT$246</f>
        <v>182</v>
      </c>
      <c r="AU186" s="68">
        <f xml:space="preserve"> Time!AU$246</f>
        <v>184</v>
      </c>
      <c r="AV186" s="68">
        <f xml:space="preserve"> Time!AV$246</f>
        <v>181</v>
      </c>
      <c r="AW186" s="68">
        <f xml:space="preserve"> Time!AW$246</f>
        <v>184</v>
      </c>
      <c r="AX186" s="68">
        <f xml:space="preserve"> Time!AX$246</f>
        <v>181</v>
      </c>
      <c r="AY186" s="68">
        <f xml:space="preserve"> Time!AY$246</f>
        <v>184</v>
      </c>
      <c r="AZ186" s="68">
        <f xml:space="preserve"> Time!AZ$246</f>
        <v>181</v>
      </c>
      <c r="BA186" s="68">
        <f xml:space="preserve"> Time!BA$246</f>
        <v>184</v>
      </c>
      <c r="BB186" s="68">
        <f xml:space="preserve"> Time!BB$246</f>
        <v>182</v>
      </c>
      <c r="BC186" s="68">
        <f xml:space="preserve"> Time!BC$246</f>
        <v>184</v>
      </c>
      <c r="BD186" s="68">
        <f xml:space="preserve"> Time!BD$246</f>
        <v>181</v>
      </c>
      <c r="BE186" s="68">
        <f xml:space="preserve"> Time!BE$246</f>
        <v>184</v>
      </c>
      <c r="BF186" s="68">
        <f xml:space="preserve"> Time!BF$246</f>
        <v>181</v>
      </c>
      <c r="BG186" s="68">
        <f xml:space="preserve"> Time!BG$246</f>
        <v>184</v>
      </c>
      <c r="BH186" s="68">
        <f xml:space="preserve"> Time!BH$246</f>
        <v>181</v>
      </c>
      <c r="BI186" s="68">
        <f xml:space="preserve"> Time!BI$246</f>
        <v>184</v>
      </c>
      <c r="BJ186" s="68">
        <f xml:space="preserve"> Time!BJ$246</f>
        <v>182</v>
      </c>
      <c r="BK186" s="68">
        <f xml:space="preserve"> Time!BK$246</f>
        <v>184</v>
      </c>
      <c r="BL186" s="68">
        <f xml:space="preserve"> Time!BL$246</f>
        <v>181</v>
      </c>
      <c r="BM186" s="68">
        <f xml:space="preserve"> Time!BM$246</f>
        <v>184</v>
      </c>
      <c r="BN186" s="68">
        <f xml:space="preserve"> Time!BN$246</f>
        <v>181</v>
      </c>
      <c r="BO186" s="68">
        <f xml:space="preserve"> Time!BO$246</f>
        <v>184</v>
      </c>
      <c r="BP186" s="68">
        <f xml:space="preserve"> Time!BP$246</f>
        <v>181</v>
      </c>
      <c r="BQ186" s="68">
        <f xml:space="preserve"> Time!BQ$246</f>
        <v>184</v>
      </c>
      <c r="BR186" s="68">
        <f xml:space="preserve"> Time!BR$246</f>
        <v>182</v>
      </c>
      <c r="BS186" s="68">
        <f xml:space="preserve"> Time!BS$246</f>
        <v>184</v>
      </c>
      <c r="BT186" s="68">
        <f xml:space="preserve"> Time!BT$246</f>
        <v>181</v>
      </c>
      <c r="BU186" s="68">
        <f xml:space="preserve"> Time!BU$246</f>
        <v>184</v>
      </c>
      <c r="BV186" s="68">
        <f xml:space="preserve"> Time!BV$246</f>
        <v>181</v>
      </c>
      <c r="BW186" s="68">
        <f xml:space="preserve"> Time!BW$246</f>
        <v>184</v>
      </c>
      <c r="BX186" s="68">
        <f xml:space="preserve"> Time!BX$246</f>
        <v>181</v>
      </c>
      <c r="BY186" s="68">
        <f xml:space="preserve"> Time!BY$246</f>
        <v>184</v>
      </c>
      <c r="BZ186" s="68">
        <f xml:space="preserve"> Time!BZ$246</f>
        <v>182</v>
      </c>
      <c r="CA186" s="68">
        <f xml:space="preserve"> Time!CA$246</f>
        <v>184</v>
      </c>
      <c r="CB186" s="68">
        <f xml:space="preserve"> Time!CB$246</f>
        <v>181</v>
      </c>
      <c r="CC186" s="68">
        <f xml:space="preserve"> Time!CC$246</f>
        <v>184</v>
      </c>
      <c r="CD186" s="68">
        <f xml:space="preserve"> Time!CD$246</f>
        <v>181</v>
      </c>
      <c r="CE186" s="68">
        <f xml:space="preserve"> Time!CE$246</f>
        <v>184</v>
      </c>
      <c r="CF186" s="68">
        <f xml:space="preserve"> Time!CF$246</f>
        <v>181</v>
      </c>
      <c r="CG186" s="68">
        <f xml:space="preserve"> Time!CG$246</f>
        <v>184</v>
      </c>
      <c r="CH186" s="68">
        <f xml:space="preserve"> Time!CH$246</f>
        <v>182</v>
      </c>
      <c r="CI186" s="68">
        <f xml:space="preserve"> Time!CI$246</f>
        <v>184</v>
      </c>
      <c r="CJ186" s="68">
        <f xml:space="preserve"> Time!CJ$246</f>
        <v>181</v>
      </c>
      <c r="CK186" s="68">
        <f xml:space="preserve"> Time!CK$246</f>
        <v>184</v>
      </c>
      <c r="CL186" s="68">
        <f xml:space="preserve"> Time!CL$246</f>
        <v>181</v>
      </c>
      <c r="CM186" s="68">
        <f xml:space="preserve"> Time!CM$246</f>
        <v>184</v>
      </c>
      <c r="CN186" s="68">
        <f xml:space="preserve"> Time!CN$246</f>
        <v>181</v>
      </c>
      <c r="CO186" s="68">
        <f xml:space="preserve"> Time!CO$246</f>
        <v>184</v>
      </c>
      <c r="CP186" s="68">
        <f xml:space="preserve"> Time!CP$246</f>
        <v>182</v>
      </c>
      <c r="CQ186" s="68">
        <f xml:space="preserve"> Time!CQ$246</f>
        <v>184</v>
      </c>
      <c r="CR186" s="68">
        <f xml:space="preserve"> Time!CR$246</f>
        <v>181</v>
      </c>
      <c r="CS186" s="68">
        <f xml:space="preserve"> Time!CS$246</f>
        <v>184</v>
      </c>
      <c r="CT186" s="68">
        <f xml:space="preserve"> Time!CT$246</f>
        <v>181</v>
      </c>
      <c r="CU186" s="68">
        <f xml:space="preserve"> Time!CU$246</f>
        <v>184</v>
      </c>
      <c r="CV186" s="68">
        <f xml:space="preserve"> Time!CV$246</f>
        <v>181</v>
      </c>
    </row>
    <row r="187" spans="1:100" outlineLevel="1" x14ac:dyDescent="0.2">
      <c r="A187" s="85"/>
      <c r="B187" s="85"/>
      <c r="C187" s="86"/>
      <c r="D187" s="87"/>
      <c r="E187" s="396" t="str">
        <f xml:space="preserve"> Time!E$101</f>
        <v xml:space="preserve">Last operating period flag </v>
      </c>
      <c r="F187" s="396">
        <f xml:space="preserve"> Time!F$101</f>
        <v>0</v>
      </c>
      <c r="G187" s="396" t="str">
        <f xml:space="preserve"> Time!G$101</f>
        <v>flag</v>
      </c>
      <c r="H187" s="396">
        <f xml:space="preserve"> Time!H$101</f>
        <v>1</v>
      </c>
      <c r="I187" s="396">
        <f xml:space="preserve"> Time!I$101</f>
        <v>0</v>
      </c>
      <c r="J187" s="396">
        <f xml:space="preserve"> Time!J$101</f>
        <v>0</v>
      </c>
      <c r="K187" s="396">
        <f xml:space="preserve"> Time!K$101</f>
        <v>0</v>
      </c>
      <c r="L187" s="396">
        <f xml:space="preserve"> Time!L$101</f>
        <v>0</v>
      </c>
      <c r="M187" s="396">
        <f xml:space="preserve"> Time!M$101</f>
        <v>0</v>
      </c>
      <c r="N187" s="396">
        <f xml:space="preserve"> Time!N$101</f>
        <v>0</v>
      </c>
      <c r="O187" s="396">
        <f xml:space="preserve"> Time!O$101</f>
        <v>0</v>
      </c>
      <c r="P187" s="396">
        <f xml:space="preserve"> Time!P$101</f>
        <v>0</v>
      </c>
      <c r="Q187" s="396">
        <f xml:space="preserve"> Time!Q$101</f>
        <v>0</v>
      </c>
      <c r="R187" s="396">
        <f xml:space="preserve"> Time!R$101</f>
        <v>0</v>
      </c>
      <c r="S187" s="396">
        <f xml:space="preserve"> Time!S$101</f>
        <v>0</v>
      </c>
      <c r="T187" s="396">
        <f xml:space="preserve"> Time!T$101</f>
        <v>0</v>
      </c>
      <c r="U187" s="396">
        <f xml:space="preserve"> Time!U$101</f>
        <v>0</v>
      </c>
      <c r="V187" s="396">
        <f xml:space="preserve"> Time!V$101</f>
        <v>0</v>
      </c>
      <c r="W187" s="396">
        <f xml:space="preserve"> Time!W$101</f>
        <v>0</v>
      </c>
      <c r="X187" s="396">
        <f xml:space="preserve"> Time!X$101</f>
        <v>0</v>
      </c>
      <c r="Y187" s="396">
        <f xml:space="preserve"> Time!Y$101</f>
        <v>0</v>
      </c>
      <c r="Z187" s="396">
        <f xml:space="preserve"> Time!Z$101</f>
        <v>0</v>
      </c>
      <c r="AA187" s="396">
        <f xml:space="preserve"> Time!AA$101</f>
        <v>0</v>
      </c>
      <c r="AB187" s="396">
        <f xml:space="preserve"> Time!AB$101</f>
        <v>0</v>
      </c>
      <c r="AC187" s="396">
        <f xml:space="preserve"> Time!AC$101</f>
        <v>0</v>
      </c>
      <c r="AD187" s="396">
        <f xml:space="preserve"> Time!AD$101</f>
        <v>0</v>
      </c>
      <c r="AE187" s="396">
        <f xml:space="preserve"> Time!AE$101</f>
        <v>0</v>
      </c>
      <c r="AF187" s="396">
        <f xml:space="preserve"> Time!AF$101</f>
        <v>0</v>
      </c>
      <c r="AG187" s="396">
        <f xml:space="preserve"> Time!AG$101</f>
        <v>0</v>
      </c>
      <c r="AH187" s="396">
        <f xml:space="preserve"> Time!AH$101</f>
        <v>0</v>
      </c>
      <c r="AI187" s="396">
        <f xml:space="preserve"> Time!AI$101</f>
        <v>0</v>
      </c>
      <c r="AJ187" s="396">
        <f xml:space="preserve"> Time!AJ$101</f>
        <v>0</v>
      </c>
      <c r="AK187" s="396">
        <f xml:space="preserve"> Time!AK$101</f>
        <v>0</v>
      </c>
      <c r="AL187" s="396">
        <f xml:space="preserve"> Time!AL$101</f>
        <v>0</v>
      </c>
      <c r="AM187" s="396">
        <f xml:space="preserve"> Time!AM$101</f>
        <v>0</v>
      </c>
      <c r="AN187" s="396">
        <f xml:space="preserve"> Time!AN$101</f>
        <v>0</v>
      </c>
      <c r="AO187" s="396">
        <f xml:space="preserve"> Time!AO$101</f>
        <v>0</v>
      </c>
      <c r="AP187" s="396">
        <f xml:space="preserve"> Time!AP$101</f>
        <v>0</v>
      </c>
      <c r="AQ187" s="396">
        <f xml:space="preserve"> Time!AQ$101</f>
        <v>0</v>
      </c>
      <c r="AR187" s="396">
        <f xml:space="preserve"> Time!AR$101</f>
        <v>0</v>
      </c>
      <c r="AS187" s="396">
        <f xml:space="preserve"> Time!AS$101</f>
        <v>0</v>
      </c>
      <c r="AT187" s="396">
        <f xml:space="preserve"> Time!AT$101</f>
        <v>0</v>
      </c>
      <c r="AU187" s="396">
        <f xml:space="preserve"> Time!AU$101</f>
        <v>0</v>
      </c>
      <c r="AV187" s="396">
        <f xml:space="preserve"> Time!AV$101</f>
        <v>0</v>
      </c>
      <c r="AW187" s="396">
        <f xml:space="preserve"> Time!AW$101</f>
        <v>0</v>
      </c>
      <c r="AX187" s="396">
        <f xml:space="preserve"> Time!AX$101</f>
        <v>0</v>
      </c>
      <c r="AY187" s="396">
        <f xml:space="preserve"> Time!AY$101</f>
        <v>0</v>
      </c>
      <c r="AZ187" s="396">
        <f xml:space="preserve"> Time!AZ$101</f>
        <v>0</v>
      </c>
      <c r="BA187" s="396">
        <f xml:space="preserve"> Time!BA$101</f>
        <v>0</v>
      </c>
      <c r="BB187" s="396">
        <f xml:space="preserve"> Time!BB$101</f>
        <v>1</v>
      </c>
      <c r="BC187" s="396">
        <f xml:space="preserve"> Time!BC$101</f>
        <v>0</v>
      </c>
      <c r="BD187" s="396">
        <f xml:space="preserve"> Time!BD$101</f>
        <v>0</v>
      </c>
      <c r="BE187" s="396">
        <f xml:space="preserve"> Time!BE$101</f>
        <v>0</v>
      </c>
      <c r="BF187" s="396">
        <f xml:space="preserve"> Time!BF$101</f>
        <v>0</v>
      </c>
      <c r="BG187" s="396">
        <f xml:space="preserve"> Time!BG$101</f>
        <v>0</v>
      </c>
      <c r="BH187" s="396">
        <f xml:space="preserve"> Time!BH$101</f>
        <v>0</v>
      </c>
      <c r="BI187" s="396">
        <f xml:space="preserve"> Time!BI$101</f>
        <v>0</v>
      </c>
      <c r="BJ187" s="396">
        <f xml:space="preserve"> Time!BJ$101</f>
        <v>0</v>
      </c>
      <c r="BK187" s="396">
        <f xml:space="preserve"> Time!BK$101</f>
        <v>0</v>
      </c>
      <c r="BL187" s="396">
        <f xml:space="preserve"> Time!BL$101</f>
        <v>0</v>
      </c>
      <c r="BM187" s="396">
        <f xml:space="preserve"> Time!BM$101</f>
        <v>0</v>
      </c>
      <c r="BN187" s="396">
        <f xml:space="preserve"> Time!BN$101</f>
        <v>0</v>
      </c>
      <c r="BO187" s="396">
        <f xml:space="preserve"> Time!BO$101</f>
        <v>0</v>
      </c>
      <c r="BP187" s="396">
        <f xml:space="preserve"> Time!BP$101</f>
        <v>0</v>
      </c>
      <c r="BQ187" s="396">
        <f xml:space="preserve"> Time!BQ$101</f>
        <v>0</v>
      </c>
      <c r="BR187" s="396">
        <f xml:space="preserve"> Time!BR$101</f>
        <v>0</v>
      </c>
      <c r="BS187" s="396">
        <f xml:space="preserve"> Time!BS$101</f>
        <v>0</v>
      </c>
      <c r="BT187" s="396">
        <f xml:space="preserve"> Time!BT$101</f>
        <v>0</v>
      </c>
      <c r="BU187" s="396">
        <f xml:space="preserve"> Time!BU$101</f>
        <v>0</v>
      </c>
      <c r="BV187" s="396">
        <f xml:space="preserve"> Time!BV$101</f>
        <v>0</v>
      </c>
      <c r="BW187" s="396">
        <f xml:space="preserve"> Time!BW$101</f>
        <v>0</v>
      </c>
      <c r="BX187" s="396">
        <f xml:space="preserve"> Time!BX$101</f>
        <v>0</v>
      </c>
      <c r="BY187" s="396">
        <f xml:space="preserve"> Time!BY$101</f>
        <v>0</v>
      </c>
      <c r="BZ187" s="396">
        <f xml:space="preserve"> Time!BZ$101</f>
        <v>0</v>
      </c>
      <c r="CA187" s="396">
        <f xml:space="preserve"> Time!CA$101</f>
        <v>0</v>
      </c>
      <c r="CB187" s="396">
        <f xml:space="preserve"> Time!CB$101</f>
        <v>0</v>
      </c>
      <c r="CC187" s="396">
        <f xml:space="preserve"> Time!CC$101</f>
        <v>0</v>
      </c>
      <c r="CD187" s="396">
        <f xml:space="preserve"> Time!CD$101</f>
        <v>0</v>
      </c>
      <c r="CE187" s="396">
        <f xml:space="preserve"> Time!CE$101</f>
        <v>0</v>
      </c>
      <c r="CF187" s="396">
        <f xml:space="preserve"> Time!CF$101</f>
        <v>0</v>
      </c>
      <c r="CG187" s="396">
        <f xml:space="preserve"> Time!CG$101</f>
        <v>0</v>
      </c>
      <c r="CH187" s="396">
        <f xml:space="preserve"> Time!CH$101</f>
        <v>0</v>
      </c>
      <c r="CI187" s="396">
        <f xml:space="preserve"> Time!CI$101</f>
        <v>0</v>
      </c>
      <c r="CJ187" s="396">
        <f xml:space="preserve"> Time!CJ$101</f>
        <v>0</v>
      </c>
      <c r="CK187" s="396">
        <f xml:space="preserve"> Time!CK$101</f>
        <v>0</v>
      </c>
      <c r="CL187" s="396">
        <f xml:space="preserve"> Time!CL$101</f>
        <v>0</v>
      </c>
      <c r="CM187" s="396">
        <f xml:space="preserve"> Time!CM$101</f>
        <v>0</v>
      </c>
      <c r="CN187" s="396">
        <f xml:space="preserve"> Time!CN$101</f>
        <v>0</v>
      </c>
      <c r="CO187" s="396">
        <f xml:space="preserve"> Time!CO$101</f>
        <v>0</v>
      </c>
      <c r="CP187" s="396">
        <f xml:space="preserve"> Time!CP$101</f>
        <v>0</v>
      </c>
      <c r="CQ187" s="396">
        <f xml:space="preserve"> Time!CQ$101</f>
        <v>0</v>
      </c>
      <c r="CR187" s="396">
        <f xml:space="preserve"> Time!CR$101</f>
        <v>0</v>
      </c>
      <c r="CS187" s="396">
        <f xml:space="preserve"> Time!CS$101</f>
        <v>0</v>
      </c>
      <c r="CT187" s="396">
        <f xml:space="preserve"> Time!CT$101</f>
        <v>0</v>
      </c>
      <c r="CU187" s="396">
        <f xml:space="preserve"> Time!CU$101</f>
        <v>0</v>
      </c>
      <c r="CV187" s="396">
        <f xml:space="preserve"> Time!CV$101</f>
        <v>0</v>
      </c>
    </row>
    <row r="188" spans="1:100" outlineLevel="1" x14ac:dyDescent="0.2">
      <c r="A188" s="236"/>
      <c r="B188" s="236"/>
      <c r="C188" s="237"/>
      <c r="D188" s="238"/>
      <c r="E188" s="235" t="str">
        <f xml:space="preserve"> E$105</f>
        <v>Electricity payments (EPn) - P99</v>
      </c>
      <c r="F188" s="235">
        <f t="shared" ref="F188:BQ188" si="329" xml:space="preserve"> F$105</f>
        <v>0</v>
      </c>
      <c r="G188" s="235" t="str">
        <f t="shared" si="329"/>
        <v>$ 000s</v>
      </c>
      <c r="H188" s="235">
        <f t="shared" si="329"/>
        <v>644768.81716164469</v>
      </c>
      <c r="I188" s="235">
        <f t="shared" si="329"/>
        <v>0</v>
      </c>
      <c r="J188" s="235">
        <f t="shared" si="329"/>
        <v>0</v>
      </c>
      <c r="K188" s="235">
        <f t="shared" si="329"/>
        <v>0</v>
      </c>
      <c r="L188" s="235">
        <f t="shared" si="329"/>
        <v>0</v>
      </c>
      <c r="M188" s="235">
        <f t="shared" si="329"/>
        <v>0</v>
      </c>
      <c r="N188" s="235">
        <f t="shared" si="329"/>
        <v>0</v>
      </c>
      <c r="O188" s="235">
        <f t="shared" si="329"/>
        <v>16360.101635316129</v>
      </c>
      <c r="P188" s="235">
        <f t="shared" si="329"/>
        <v>16360.101635316129</v>
      </c>
      <c r="Q188" s="235">
        <f t="shared" si="329"/>
        <v>16333.708754645897</v>
      </c>
      <c r="R188" s="235">
        <f t="shared" si="329"/>
        <v>16333.708754645897</v>
      </c>
      <c r="S188" s="235">
        <f t="shared" si="329"/>
        <v>16307.481045624358</v>
      </c>
      <c r="T188" s="235">
        <f t="shared" si="329"/>
        <v>16307.481045624358</v>
      </c>
      <c r="U188" s="235">
        <f t="shared" si="329"/>
        <v>16281.420199368429</v>
      </c>
      <c r="V188" s="235">
        <f t="shared" si="329"/>
        <v>16281.420199368429</v>
      </c>
      <c r="W188" s="235">
        <f t="shared" si="329"/>
        <v>16255.52793992139</v>
      </c>
      <c r="X188" s="235">
        <f t="shared" si="329"/>
        <v>16255.52793992139</v>
      </c>
      <c r="Y188" s="235">
        <f t="shared" si="329"/>
        <v>16229.806024839239</v>
      </c>
      <c r="Z188" s="235">
        <f t="shared" si="329"/>
        <v>16229.806024839239</v>
      </c>
      <c r="AA188" s="235">
        <f t="shared" si="329"/>
        <v>16204.256245787663</v>
      </c>
      <c r="AB188" s="235">
        <f t="shared" si="329"/>
        <v>16204.256245787663</v>
      </c>
      <c r="AC188" s="235">
        <f t="shared" si="329"/>
        <v>16178.880429149718</v>
      </c>
      <c r="AD188" s="235">
        <f t="shared" si="329"/>
        <v>16178.880429149718</v>
      </c>
      <c r="AE188" s="235">
        <f t="shared" si="329"/>
        <v>16153.680436644452</v>
      </c>
      <c r="AF188" s="235">
        <f t="shared" si="329"/>
        <v>16153.680436644452</v>
      </c>
      <c r="AG188" s="235">
        <f t="shared" si="329"/>
        <v>16128.658165956635</v>
      </c>
      <c r="AH188" s="235">
        <f t="shared" si="329"/>
        <v>16128.658165956635</v>
      </c>
      <c r="AI188" s="235">
        <f t="shared" si="329"/>
        <v>16103.815551377818</v>
      </c>
      <c r="AJ188" s="235">
        <f t="shared" si="329"/>
        <v>16103.815551377818</v>
      </c>
      <c r="AK188" s="235">
        <f t="shared" si="329"/>
        <v>16079.154564458891</v>
      </c>
      <c r="AL188" s="235">
        <f t="shared" si="329"/>
        <v>16079.154564458891</v>
      </c>
      <c r="AM188" s="235">
        <f t="shared" si="329"/>
        <v>16054.677214674439</v>
      </c>
      <c r="AN188" s="235">
        <f t="shared" si="329"/>
        <v>16054.677214674439</v>
      </c>
      <c r="AO188" s="235">
        <f t="shared" si="329"/>
        <v>16030.385550098992</v>
      </c>
      <c r="AP188" s="235">
        <f t="shared" si="329"/>
        <v>16030.385550098992</v>
      </c>
      <c r="AQ188" s="235">
        <f t="shared" si="329"/>
        <v>16006.281658095428</v>
      </c>
      <c r="AR188" s="235">
        <f t="shared" si="329"/>
        <v>16006.281658095428</v>
      </c>
      <c r="AS188" s="235">
        <f t="shared" si="329"/>
        <v>15982.367666015756</v>
      </c>
      <c r="AT188" s="235">
        <f t="shared" si="329"/>
        <v>15982.367666015756</v>
      </c>
      <c r="AU188" s="235">
        <f t="shared" si="329"/>
        <v>15958.645741914579</v>
      </c>
      <c r="AV188" s="235">
        <f t="shared" si="329"/>
        <v>15958.645741914579</v>
      </c>
      <c r="AW188" s="235">
        <f t="shared" si="329"/>
        <v>15935.118095275227</v>
      </c>
      <c r="AX188" s="235">
        <f t="shared" si="329"/>
        <v>15935.118095275227</v>
      </c>
      <c r="AY188" s="235">
        <f t="shared" si="329"/>
        <v>15911.786977749096</v>
      </c>
      <c r="AZ188" s="235">
        <f t="shared" si="329"/>
        <v>15911.786977749096</v>
      </c>
      <c r="BA188" s="235">
        <f t="shared" si="329"/>
        <v>15888.65468390818</v>
      </c>
      <c r="BB188" s="235">
        <f t="shared" si="329"/>
        <v>15888.65468390818</v>
      </c>
      <c r="BC188" s="235">
        <f t="shared" si="329"/>
        <v>0</v>
      </c>
      <c r="BD188" s="235">
        <f t="shared" si="329"/>
        <v>0</v>
      </c>
      <c r="BE188" s="235">
        <f t="shared" si="329"/>
        <v>0</v>
      </c>
      <c r="BF188" s="235">
        <f t="shared" si="329"/>
        <v>0</v>
      </c>
      <c r="BG188" s="235">
        <f t="shared" si="329"/>
        <v>0</v>
      </c>
      <c r="BH188" s="235">
        <f t="shared" si="329"/>
        <v>0</v>
      </c>
      <c r="BI188" s="235">
        <f t="shared" si="329"/>
        <v>0</v>
      </c>
      <c r="BJ188" s="235">
        <f t="shared" si="329"/>
        <v>0</v>
      </c>
      <c r="BK188" s="235">
        <f t="shared" si="329"/>
        <v>0</v>
      </c>
      <c r="BL188" s="235">
        <f t="shared" si="329"/>
        <v>0</v>
      </c>
      <c r="BM188" s="235">
        <f t="shared" si="329"/>
        <v>0</v>
      </c>
      <c r="BN188" s="235">
        <f t="shared" si="329"/>
        <v>0</v>
      </c>
      <c r="BO188" s="235">
        <f t="shared" si="329"/>
        <v>0</v>
      </c>
      <c r="BP188" s="235">
        <f t="shared" si="329"/>
        <v>0</v>
      </c>
      <c r="BQ188" s="235">
        <f t="shared" si="329"/>
        <v>0</v>
      </c>
      <c r="BR188" s="235">
        <f t="shared" ref="BR188:CV188" si="330" xml:space="preserve"> BR$105</f>
        <v>0</v>
      </c>
      <c r="BS188" s="235">
        <f t="shared" si="330"/>
        <v>0</v>
      </c>
      <c r="BT188" s="235">
        <f t="shared" si="330"/>
        <v>0</v>
      </c>
      <c r="BU188" s="235">
        <f t="shared" si="330"/>
        <v>0</v>
      </c>
      <c r="BV188" s="235">
        <f t="shared" si="330"/>
        <v>0</v>
      </c>
      <c r="BW188" s="235">
        <f t="shared" si="330"/>
        <v>0</v>
      </c>
      <c r="BX188" s="235">
        <f t="shared" si="330"/>
        <v>0</v>
      </c>
      <c r="BY188" s="235">
        <f t="shared" si="330"/>
        <v>0</v>
      </c>
      <c r="BZ188" s="235">
        <f t="shared" si="330"/>
        <v>0</v>
      </c>
      <c r="CA188" s="235">
        <f t="shared" si="330"/>
        <v>0</v>
      </c>
      <c r="CB188" s="235">
        <f t="shared" si="330"/>
        <v>0</v>
      </c>
      <c r="CC188" s="235">
        <f t="shared" si="330"/>
        <v>0</v>
      </c>
      <c r="CD188" s="235">
        <f t="shared" si="330"/>
        <v>0</v>
      </c>
      <c r="CE188" s="235">
        <f t="shared" si="330"/>
        <v>0</v>
      </c>
      <c r="CF188" s="235">
        <f t="shared" si="330"/>
        <v>0</v>
      </c>
      <c r="CG188" s="235">
        <f t="shared" si="330"/>
        <v>0</v>
      </c>
      <c r="CH188" s="235">
        <f t="shared" si="330"/>
        <v>0</v>
      </c>
      <c r="CI188" s="235">
        <f t="shared" si="330"/>
        <v>0</v>
      </c>
      <c r="CJ188" s="235">
        <f t="shared" si="330"/>
        <v>0</v>
      </c>
      <c r="CK188" s="235">
        <f t="shared" si="330"/>
        <v>0</v>
      </c>
      <c r="CL188" s="235">
        <f t="shared" si="330"/>
        <v>0</v>
      </c>
      <c r="CM188" s="235">
        <f t="shared" si="330"/>
        <v>0</v>
      </c>
      <c r="CN188" s="235">
        <f t="shared" si="330"/>
        <v>0</v>
      </c>
      <c r="CO188" s="235">
        <f t="shared" si="330"/>
        <v>0</v>
      </c>
      <c r="CP188" s="235">
        <f t="shared" si="330"/>
        <v>0</v>
      </c>
      <c r="CQ188" s="235">
        <f t="shared" si="330"/>
        <v>0</v>
      </c>
      <c r="CR188" s="235">
        <f t="shared" si="330"/>
        <v>0</v>
      </c>
      <c r="CS188" s="235">
        <f t="shared" si="330"/>
        <v>0</v>
      </c>
      <c r="CT188" s="235">
        <f t="shared" si="330"/>
        <v>0</v>
      </c>
      <c r="CU188" s="235">
        <f t="shared" si="330"/>
        <v>0</v>
      </c>
      <c r="CV188" s="235">
        <f t="shared" si="330"/>
        <v>0</v>
      </c>
    </row>
    <row r="189" spans="1:100" outlineLevel="1" x14ac:dyDescent="0.2">
      <c r="A189" s="236"/>
      <c r="B189" s="236"/>
      <c r="C189" s="237"/>
      <c r="D189" s="238"/>
      <c r="E189" s="235" t="s">
        <v>1172</v>
      </c>
      <c r="F189" s="235"/>
      <c r="G189" s="235" t="str">
        <f xml:space="preserve"> SMU</f>
        <v>$ 000s</v>
      </c>
      <c r="H189" s="235"/>
      <c r="I189" s="235"/>
      <c r="J189" s="235">
        <f t="shared" ref="J189:AO189" si="331" xml:space="preserve"> IF(J187 = 1, 0, $F185 / J186 * J188)</f>
        <v>0</v>
      </c>
      <c r="K189" s="235">
        <f t="shared" si="331"/>
        <v>0</v>
      </c>
      <c r="L189" s="235">
        <f t="shared" si="331"/>
        <v>0</v>
      </c>
      <c r="M189" s="235">
        <f t="shared" si="331"/>
        <v>0</v>
      </c>
      <c r="N189" s="235">
        <f t="shared" si="331"/>
        <v>0</v>
      </c>
      <c r="O189" s="235">
        <f t="shared" si="331"/>
        <v>4001.1118129849228</v>
      </c>
      <c r="P189" s="235">
        <f t="shared" si="331"/>
        <v>4067.4285833658882</v>
      </c>
      <c r="Q189" s="235">
        <f t="shared" si="331"/>
        <v>3994.6570323862247</v>
      </c>
      <c r="R189" s="235">
        <f t="shared" si="331"/>
        <v>4060.8668174534</v>
      </c>
      <c r="S189" s="235">
        <f t="shared" si="331"/>
        <v>3988.2426470276964</v>
      </c>
      <c r="T189" s="235">
        <f t="shared" si="331"/>
        <v>4054.3461163154479</v>
      </c>
      <c r="U189" s="235">
        <f t="shared" si="331"/>
        <v>3981.8690704977139</v>
      </c>
      <c r="V189" s="235">
        <f t="shared" si="331"/>
        <v>4025.625873470216</v>
      </c>
      <c r="W189" s="235">
        <f t="shared" si="331"/>
        <v>3975.5367244372965</v>
      </c>
      <c r="X189" s="235">
        <f t="shared" si="331"/>
        <v>4041.4295983229977</v>
      </c>
      <c r="Y189" s="235">
        <f t="shared" si="331"/>
        <v>3969.2460386835096</v>
      </c>
      <c r="Z189" s="235">
        <f t="shared" si="331"/>
        <v>4035.0346470594795</v>
      </c>
      <c r="AA189" s="235">
        <f t="shared" si="331"/>
        <v>3962.997451415461</v>
      </c>
      <c r="AB189" s="235">
        <f t="shared" si="331"/>
        <v>4028.6824920466565</v>
      </c>
      <c r="AC189" s="235">
        <f t="shared" si="331"/>
        <v>3956.7914093029203</v>
      </c>
      <c r="AD189" s="235">
        <f t="shared" si="331"/>
        <v>4000.2726335809743</v>
      </c>
      <c r="AE189" s="235">
        <f t="shared" si="331"/>
        <v>3950.6283676576109</v>
      </c>
      <c r="AF189" s="235">
        <f t="shared" si="331"/>
        <v>4016.1083958508307</v>
      </c>
      <c r="AG189" s="235">
        <f t="shared" si="331"/>
        <v>3944.5087905872206</v>
      </c>
      <c r="AH189" s="235">
        <f t="shared" si="331"/>
        <v>4009.8873893262353</v>
      </c>
      <c r="AI189" s="235">
        <f t="shared" si="331"/>
        <v>3938.4331511521841</v>
      </c>
      <c r="AJ189" s="235">
        <f t="shared" si="331"/>
        <v>4003.7110486850929</v>
      </c>
      <c r="AK189" s="235">
        <f t="shared" si="331"/>
        <v>3932.4019315252726</v>
      </c>
      <c r="AL189" s="235">
        <f t="shared" si="331"/>
        <v>3975.6151395640118</v>
      </c>
      <c r="AM189" s="235">
        <f t="shared" si="331"/>
        <v>3926.4156231540746</v>
      </c>
      <c r="AN189" s="235">
        <f t="shared" si="331"/>
        <v>3991.4943351400539</v>
      </c>
      <c r="AO189" s="235">
        <f t="shared" si="331"/>
        <v>3920.4747269263839</v>
      </c>
      <c r="AP189" s="235">
        <f t="shared" ref="AP189:BU189" si="332" xml:space="preserve"> IF(AP187 = 1, 0, $F185 / AP186 * AP188)</f>
        <v>3985.4549710190863</v>
      </c>
      <c r="AQ189" s="235">
        <f t="shared" si="332"/>
        <v>3914.5797533385557</v>
      </c>
      <c r="AR189" s="235">
        <f t="shared" si="332"/>
        <v>3979.4622906867085</v>
      </c>
      <c r="AS189" s="235">
        <f t="shared" si="332"/>
        <v>3908.7312226668969</v>
      </c>
      <c r="AT189" s="235">
        <f t="shared" si="332"/>
        <v>3951.684313025874</v>
      </c>
      <c r="AU189" s="235">
        <f t="shared" si="332"/>
        <v>3902.9296651421523</v>
      </c>
      <c r="AV189" s="235">
        <f t="shared" si="332"/>
        <v>3967.6191071058347</v>
      </c>
      <c r="AW189" s="235">
        <f t="shared" si="332"/>
        <v>3897.1756211270936</v>
      </c>
      <c r="AX189" s="235">
        <f t="shared" si="332"/>
        <v>3961.7696921954985</v>
      </c>
      <c r="AY189" s="235">
        <f t="shared" si="332"/>
        <v>3891.4696412973335</v>
      </c>
      <c r="AZ189" s="235">
        <f t="shared" si="332"/>
        <v>3955.9691381144162</v>
      </c>
      <c r="BA189" s="235">
        <f t="shared" si="332"/>
        <v>3885.8122868253704</v>
      </c>
      <c r="BB189" s="235">
        <f t="shared" si="332"/>
        <v>0</v>
      </c>
      <c r="BC189" s="235">
        <f t="shared" si="332"/>
        <v>0</v>
      </c>
      <c r="BD189" s="235">
        <f t="shared" si="332"/>
        <v>0</v>
      </c>
      <c r="BE189" s="235">
        <f t="shared" si="332"/>
        <v>0</v>
      </c>
      <c r="BF189" s="235">
        <f t="shared" si="332"/>
        <v>0</v>
      </c>
      <c r="BG189" s="235">
        <f t="shared" si="332"/>
        <v>0</v>
      </c>
      <c r="BH189" s="235">
        <f t="shared" si="332"/>
        <v>0</v>
      </c>
      <c r="BI189" s="235">
        <f t="shared" si="332"/>
        <v>0</v>
      </c>
      <c r="BJ189" s="235">
        <f t="shared" si="332"/>
        <v>0</v>
      </c>
      <c r="BK189" s="235">
        <f t="shared" si="332"/>
        <v>0</v>
      </c>
      <c r="BL189" s="235">
        <f t="shared" si="332"/>
        <v>0</v>
      </c>
      <c r="BM189" s="235">
        <f t="shared" si="332"/>
        <v>0</v>
      </c>
      <c r="BN189" s="235">
        <f t="shared" si="332"/>
        <v>0</v>
      </c>
      <c r="BO189" s="235">
        <f t="shared" si="332"/>
        <v>0</v>
      </c>
      <c r="BP189" s="235">
        <f t="shared" si="332"/>
        <v>0</v>
      </c>
      <c r="BQ189" s="235">
        <f t="shared" si="332"/>
        <v>0</v>
      </c>
      <c r="BR189" s="235">
        <f t="shared" si="332"/>
        <v>0</v>
      </c>
      <c r="BS189" s="235">
        <f t="shared" si="332"/>
        <v>0</v>
      </c>
      <c r="BT189" s="235">
        <f t="shared" si="332"/>
        <v>0</v>
      </c>
      <c r="BU189" s="235">
        <f t="shared" si="332"/>
        <v>0</v>
      </c>
      <c r="BV189" s="235">
        <f t="shared" ref="BV189:CV189" si="333" xml:space="preserve"> IF(BV187 = 1, 0, $F185 / BV186 * BV188)</f>
        <v>0</v>
      </c>
      <c r="BW189" s="235">
        <f t="shared" si="333"/>
        <v>0</v>
      </c>
      <c r="BX189" s="235">
        <f t="shared" si="333"/>
        <v>0</v>
      </c>
      <c r="BY189" s="235">
        <f t="shared" si="333"/>
        <v>0</v>
      </c>
      <c r="BZ189" s="235">
        <f t="shared" si="333"/>
        <v>0</v>
      </c>
      <c r="CA189" s="235">
        <f t="shared" si="333"/>
        <v>0</v>
      </c>
      <c r="CB189" s="235">
        <f t="shared" si="333"/>
        <v>0</v>
      </c>
      <c r="CC189" s="235">
        <f t="shared" si="333"/>
        <v>0</v>
      </c>
      <c r="CD189" s="235">
        <f t="shared" si="333"/>
        <v>0</v>
      </c>
      <c r="CE189" s="235">
        <f t="shared" si="333"/>
        <v>0</v>
      </c>
      <c r="CF189" s="235">
        <f t="shared" si="333"/>
        <v>0</v>
      </c>
      <c r="CG189" s="235">
        <f t="shared" si="333"/>
        <v>0</v>
      </c>
      <c r="CH189" s="235">
        <f t="shared" si="333"/>
        <v>0</v>
      </c>
      <c r="CI189" s="235">
        <f t="shared" si="333"/>
        <v>0</v>
      </c>
      <c r="CJ189" s="235">
        <f t="shared" si="333"/>
        <v>0</v>
      </c>
      <c r="CK189" s="235">
        <f t="shared" si="333"/>
        <v>0</v>
      </c>
      <c r="CL189" s="235">
        <f t="shared" si="333"/>
        <v>0</v>
      </c>
      <c r="CM189" s="235">
        <f t="shared" si="333"/>
        <v>0</v>
      </c>
      <c r="CN189" s="235">
        <f t="shared" si="333"/>
        <v>0</v>
      </c>
      <c r="CO189" s="235">
        <f t="shared" si="333"/>
        <v>0</v>
      </c>
      <c r="CP189" s="235">
        <f t="shared" si="333"/>
        <v>0</v>
      </c>
      <c r="CQ189" s="235">
        <f t="shared" si="333"/>
        <v>0</v>
      </c>
      <c r="CR189" s="235">
        <f t="shared" si="333"/>
        <v>0</v>
      </c>
      <c r="CS189" s="235">
        <f t="shared" si="333"/>
        <v>0</v>
      </c>
      <c r="CT189" s="235">
        <f t="shared" si="333"/>
        <v>0</v>
      </c>
      <c r="CU189" s="235">
        <f t="shared" si="333"/>
        <v>0</v>
      </c>
      <c r="CV189" s="235">
        <f t="shared" si="333"/>
        <v>0</v>
      </c>
    </row>
    <row r="190" spans="1:100" outlineLevel="1" x14ac:dyDescent="0.2">
      <c r="A190" s="236"/>
      <c r="B190" s="236"/>
      <c r="C190" s="237"/>
      <c r="D190" s="238"/>
      <c r="E190" s="235"/>
      <c r="F190" s="235"/>
      <c r="G190" s="235"/>
      <c r="H190" s="235"/>
      <c r="I190" s="235"/>
      <c r="J190" s="235"/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AJ190" s="235"/>
      <c r="AK190" s="235"/>
      <c r="AL190" s="235"/>
      <c r="AM190" s="235"/>
      <c r="AN190" s="235"/>
      <c r="AO190" s="235"/>
      <c r="AP190" s="235"/>
      <c r="AQ190" s="235"/>
      <c r="AR190" s="235"/>
      <c r="AS190" s="235"/>
      <c r="AT190" s="235"/>
      <c r="AU190" s="235"/>
      <c r="AV190" s="235"/>
      <c r="AW190" s="235"/>
      <c r="AX190" s="235"/>
      <c r="AY190" s="235"/>
      <c r="AZ190" s="235"/>
      <c r="BA190" s="235"/>
      <c r="BB190" s="235"/>
      <c r="BC190" s="235"/>
      <c r="BD190" s="235"/>
      <c r="BE190" s="235"/>
      <c r="BF190" s="235"/>
      <c r="BG190" s="235"/>
      <c r="BH190" s="235"/>
      <c r="BI190" s="235"/>
      <c r="BJ190" s="235"/>
      <c r="BK190" s="235"/>
      <c r="BL190" s="235"/>
      <c r="BM190" s="235"/>
      <c r="BN190" s="235"/>
      <c r="BO190" s="235"/>
      <c r="BP190" s="235"/>
      <c r="BQ190" s="235"/>
      <c r="BR190" s="235"/>
      <c r="BS190" s="235"/>
      <c r="BT190" s="235"/>
      <c r="BU190" s="235"/>
      <c r="BV190" s="235"/>
      <c r="BW190" s="235"/>
      <c r="BX190" s="235"/>
      <c r="BY190" s="235"/>
      <c r="BZ190" s="235"/>
      <c r="CA190" s="235"/>
      <c r="CB190" s="235"/>
      <c r="CC190" s="235"/>
      <c r="CD190" s="235"/>
      <c r="CE190" s="235"/>
      <c r="CF190" s="235"/>
      <c r="CG190" s="235"/>
      <c r="CH190" s="235"/>
      <c r="CI190" s="235"/>
      <c r="CJ190" s="235"/>
      <c r="CK190" s="235"/>
      <c r="CL190" s="235"/>
      <c r="CM190" s="235"/>
      <c r="CN190" s="235"/>
      <c r="CO190" s="235"/>
      <c r="CP190" s="235"/>
      <c r="CQ190" s="235"/>
      <c r="CR190" s="235"/>
      <c r="CS190" s="235"/>
      <c r="CT190" s="235"/>
      <c r="CU190" s="235"/>
      <c r="CV190" s="235"/>
    </row>
    <row r="191" spans="1:100" outlineLevel="1" x14ac:dyDescent="0.2">
      <c r="A191" s="236"/>
      <c r="B191" s="236"/>
      <c r="C191" s="237"/>
      <c r="D191" s="238"/>
      <c r="E191" s="235" t="str">
        <f xml:space="preserve"> E$196</f>
        <v>Accounts receivable balance - P99 BEG</v>
      </c>
      <c r="F191" s="235">
        <f t="shared" ref="F191:BQ191" si="334" xml:space="preserve"> F$196</f>
        <v>0</v>
      </c>
      <c r="G191" s="235" t="str">
        <f t="shared" si="334"/>
        <v>$ 000s</v>
      </c>
      <c r="H191" s="235">
        <f t="shared" si="334"/>
        <v>0</v>
      </c>
      <c r="I191" s="235">
        <f t="shared" si="334"/>
        <v>0</v>
      </c>
      <c r="J191" s="235">
        <f t="shared" si="334"/>
        <v>0</v>
      </c>
      <c r="K191" s="235">
        <f t="shared" si="334"/>
        <v>0</v>
      </c>
      <c r="L191" s="235">
        <f t="shared" si="334"/>
        <v>0</v>
      </c>
      <c r="M191" s="235">
        <f t="shared" si="334"/>
        <v>0</v>
      </c>
      <c r="N191" s="235">
        <f t="shared" si="334"/>
        <v>0</v>
      </c>
      <c r="O191" s="235">
        <f t="shared" si="334"/>
        <v>0</v>
      </c>
      <c r="P191" s="235">
        <f t="shared" si="334"/>
        <v>4001.1118129849237</v>
      </c>
      <c r="Q191" s="235">
        <f t="shared" si="334"/>
        <v>4067.4285833658887</v>
      </c>
      <c r="R191" s="235">
        <f t="shared" si="334"/>
        <v>3994.6570323862252</v>
      </c>
      <c r="S191" s="235">
        <f t="shared" si="334"/>
        <v>4060.8668174533996</v>
      </c>
      <c r="T191" s="235">
        <f t="shared" si="334"/>
        <v>3988.2426470276969</v>
      </c>
      <c r="U191" s="235">
        <f t="shared" si="334"/>
        <v>4054.3461163154479</v>
      </c>
      <c r="V191" s="235">
        <f t="shared" si="334"/>
        <v>3981.8690704977143</v>
      </c>
      <c r="W191" s="235">
        <f t="shared" si="334"/>
        <v>4025.6258734702169</v>
      </c>
      <c r="X191" s="235">
        <f t="shared" si="334"/>
        <v>3975.5367244372974</v>
      </c>
      <c r="Y191" s="235">
        <f t="shared" si="334"/>
        <v>4041.4295983229968</v>
      </c>
      <c r="Z191" s="235">
        <f t="shared" si="334"/>
        <v>3969.2460386835101</v>
      </c>
      <c r="AA191" s="235">
        <f t="shared" si="334"/>
        <v>4035.0346470594795</v>
      </c>
      <c r="AB191" s="235">
        <f t="shared" si="334"/>
        <v>3962.9974514154601</v>
      </c>
      <c r="AC191" s="235">
        <f t="shared" si="334"/>
        <v>4028.682492046657</v>
      </c>
      <c r="AD191" s="235">
        <f t="shared" si="334"/>
        <v>3956.7914093029212</v>
      </c>
      <c r="AE191" s="235">
        <f t="shared" si="334"/>
        <v>4000.2726335809748</v>
      </c>
      <c r="AF191" s="235">
        <f t="shared" si="334"/>
        <v>3950.6283676576113</v>
      </c>
      <c r="AG191" s="235">
        <f t="shared" si="334"/>
        <v>4016.1083958508316</v>
      </c>
      <c r="AH191" s="235">
        <f t="shared" si="334"/>
        <v>3944.5087905872206</v>
      </c>
      <c r="AI191" s="235">
        <f t="shared" si="334"/>
        <v>4009.8873893262353</v>
      </c>
      <c r="AJ191" s="235">
        <f t="shared" si="334"/>
        <v>3938.433151152185</v>
      </c>
      <c r="AK191" s="235">
        <f t="shared" si="334"/>
        <v>4003.7110486850925</v>
      </c>
      <c r="AL191" s="235">
        <f t="shared" si="334"/>
        <v>3932.4019315252735</v>
      </c>
      <c r="AM191" s="235">
        <f t="shared" si="334"/>
        <v>3975.6151395640118</v>
      </c>
      <c r="AN191" s="235">
        <f t="shared" si="334"/>
        <v>3926.4156231540746</v>
      </c>
      <c r="AO191" s="235">
        <f t="shared" si="334"/>
        <v>3991.4943351400543</v>
      </c>
      <c r="AP191" s="235">
        <f t="shared" si="334"/>
        <v>3920.4747269263844</v>
      </c>
      <c r="AQ191" s="235">
        <f t="shared" si="334"/>
        <v>3985.4549710190859</v>
      </c>
      <c r="AR191" s="235">
        <f t="shared" si="334"/>
        <v>3914.5797533385557</v>
      </c>
      <c r="AS191" s="235">
        <f t="shared" si="334"/>
        <v>3979.462290686708</v>
      </c>
      <c r="AT191" s="235">
        <f t="shared" si="334"/>
        <v>3908.7312226668964</v>
      </c>
      <c r="AU191" s="235">
        <f t="shared" si="334"/>
        <v>3951.6843130258749</v>
      </c>
      <c r="AV191" s="235">
        <f t="shared" si="334"/>
        <v>3902.9296651421519</v>
      </c>
      <c r="AW191" s="235">
        <f t="shared" si="334"/>
        <v>3967.6191071058347</v>
      </c>
      <c r="AX191" s="235">
        <f t="shared" si="334"/>
        <v>3897.1756211270931</v>
      </c>
      <c r="AY191" s="235">
        <f t="shared" si="334"/>
        <v>3961.7696921954994</v>
      </c>
      <c r="AZ191" s="235">
        <f t="shared" si="334"/>
        <v>3891.4696412973335</v>
      </c>
      <c r="BA191" s="235">
        <f t="shared" si="334"/>
        <v>3955.9691381144166</v>
      </c>
      <c r="BB191" s="235">
        <f t="shared" si="334"/>
        <v>3885.8122868253704</v>
      </c>
      <c r="BC191" s="235">
        <f t="shared" si="334"/>
        <v>0</v>
      </c>
      <c r="BD191" s="235">
        <f t="shared" si="334"/>
        <v>0</v>
      </c>
      <c r="BE191" s="235">
        <f t="shared" si="334"/>
        <v>0</v>
      </c>
      <c r="BF191" s="235">
        <f t="shared" si="334"/>
        <v>0</v>
      </c>
      <c r="BG191" s="235">
        <f t="shared" si="334"/>
        <v>0</v>
      </c>
      <c r="BH191" s="235">
        <f t="shared" si="334"/>
        <v>0</v>
      </c>
      <c r="BI191" s="235">
        <f t="shared" si="334"/>
        <v>0</v>
      </c>
      <c r="BJ191" s="235">
        <f t="shared" si="334"/>
        <v>0</v>
      </c>
      <c r="BK191" s="235">
        <f t="shared" si="334"/>
        <v>0</v>
      </c>
      <c r="BL191" s="235">
        <f t="shared" si="334"/>
        <v>0</v>
      </c>
      <c r="BM191" s="235">
        <f t="shared" si="334"/>
        <v>0</v>
      </c>
      <c r="BN191" s="235">
        <f t="shared" si="334"/>
        <v>0</v>
      </c>
      <c r="BO191" s="235">
        <f t="shared" si="334"/>
        <v>0</v>
      </c>
      <c r="BP191" s="235">
        <f t="shared" si="334"/>
        <v>0</v>
      </c>
      <c r="BQ191" s="235">
        <f t="shared" si="334"/>
        <v>0</v>
      </c>
      <c r="BR191" s="235">
        <f t="shared" ref="BR191:CV191" si="335" xml:space="preserve"> BR$196</f>
        <v>0</v>
      </c>
      <c r="BS191" s="235">
        <f t="shared" si="335"/>
        <v>0</v>
      </c>
      <c r="BT191" s="235">
        <f t="shared" si="335"/>
        <v>0</v>
      </c>
      <c r="BU191" s="235">
        <f t="shared" si="335"/>
        <v>0</v>
      </c>
      <c r="BV191" s="235">
        <f t="shared" si="335"/>
        <v>0</v>
      </c>
      <c r="BW191" s="235">
        <f t="shared" si="335"/>
        <v>0</v>
      </c>
      <c r="BX191" s="235">
        <f t="shared" si="335"/>
        <v>0</v>
      </c>
      <c r="BY191" s="235">
        <f t="shared" si="335"/>
        <v>0</v>
      </c>
      <c r="BZ191" s="235">
        <f t="shared" si="335"/>
        <v>0</v>
      </c>
      <c r="CA191" s="235">
        <f t="shared" si="335"/>
        <v>0</v>
      </c>
      <c r="CB191" s="235">
        <f t="shared" si="335"/>
        <v>0</v>
      </c>
      <c r="CC191" s="235">
        <f t="shared" si="335"/>
        <v>0</v>
      </c>
      <c r="CD191" s="235">
        <f t="shared" si="335"/>
        <v>0</v>
      </c>
      <c r="CE191" s="235">
        <f t="shared" si="335"/>
        <v>0</v>
      </c>
      <c r="CF191" s="235">
        <f t="shared" si="335"/>
        <v>0</v>
      </c>
      <c r="CG191" s="235">
        <f t="shared" si="335"/>
        <v>0</v>
      </c>
      <c r="CH191" s="235">
        <f t="shared" si="335"/>
        <v>0</v>
      </c>
      <c r="CI191" s="235">
        <f t="shared" si="335"/>
        <v>0</v>
      </c>
      <c r="CJ191" s="235">
        <f t="shared" si="335"/>
        <v>0</v>
      </c>
      <c r="CK191" s="235">
        <f t="shared" si="335"/>
        <v>0</v>
      </c>
      <c r="CL191" s="235">
        <f t="shared" si="335"/>
        <v>0</v>
      </c>
      <c r="CM191" s="235">
        <f t="shared" si="335"/>
        <v>0</v>
      </c>
      <c r="CN191" s="235">
        <f t="shared" si="335"/>
        <v>0</v>
      </c>
      <c r="CO191" s="235">
        <f t="shared" si="335"/>
        <v>0</v>
      </c>
      <c r="CP191" s="235">
        <f t="shared" si="335"/>
        <v>0</v>
      </c>
      <c r="CQ191" s="235">
        <f t="shared" si="335"/>
        <v>0</v>
      </c>
      <c r="CR191" s="235">
        <f t="shared" si="335"/>
        <v>0</v>
      </c>
      <c r="CS191" s="235">
        <f t="shared" si="335"/>
        <v>0</v>
      </c>
      <c r="CT191" s="235">
        <f t="shared" si="335"/>
        <v>0</v>
      </c>
      <c r="CU191" s="235">
        <f t="shared" si="335"/>
        <v>0</v>
      </c>
      <c r="CV191" s="235">
        <f t="shared" si="335"/>
        <v>0</v>
      </c>
    </row>
    <row r="192" spans="1:100" outlineLevel="1" x14ac:dyDescent="0.2">
      <c r="A192" s="236"/>
      <c r="B192" s="236"/>
      <c r="C192" s="237"/>
      <c r="D192" s="238"/>
      <c r="E192" s="235" t="str">
        <f xml:space="preserve"> E$105</f>
        <v>Electricity payments (EPn) - P99</v>
      </c>
      <c r="F192" s="235">
        <f t="shared" ref="F192:BQ192" si="336" xml:space="preserve"> F$105</f>
        <v>0</v>
      </c>
      <c r="G192" s="235" t="str">
        <f t="shared" si="336"/>
        <v>$ 000s</v>
      </c>
      <c r="H192" s="235">
        <f t="shared" si="336"/>
        <v>644768.81716164469</v>
      </c>
      <c r="I192" s="235">
        <f t="shared" si="336"/>
        <v>0</v>
      </c>
      <c r="J192" s="235">
        <f t="shared" si="336"/>
        <v>0</v>
      </c>
      <c r="K192" s="235">
        <f t="shared" si="336"/>
        <v>0</v>
      </c>
      <c r="L192" s="235">
        <f t="shared" si="336"/>
        <v>0</v>
      </c>
      <c r="M192" s="235">
        <f t="shared" si="336"/>
        <v>0</v>
      </c>
      <c r="N192" s="235">
        <f t="shared" si="336"/>
        <v>0</v>
      </c>
      <c r="O192" s="235">
        <f t="shared" si="336"/>
        <v>16360.101635316129</v>
      </c>
      <c r="P192" s="235">
        <f t="shared" si="336"/>
        <v>16360.101635316129</v>
      </c>
      <c r="Q192" s="235">
        <f t="shared" si="336"/>
        <v>16333.708754645897</v>
      </c>
      <c r="R192" s="235">
        <f t="shared" si="336"/>
        <v>16333.708754645897</v>
      </c>
      <c r="S192" s="235">
        <f t="shared" si="336"/>
        <v>16307.481045624358</v>
      </c>
      <c r="T192" s="235">
        <f t="shared" si="336"/>
        <v>16307.481045624358</v>
      </c>
      <c r="U192" s="235">
        <f t="shared" si="336"/>
        <v>16281.420199368429</v>
      </c>
      <c r="V192" s="235">
        <f t="shared" si="336"/>
        <v>16281.420199368429</v>
      </c>
      <c r="W192" s="235">
        <f t="shared" si="336"/>
        <v>16255.52793992139</v>
      </c>
      <c r="X192" s="235">
        <f t="shared" si="336"/>
        <v>16255.52793992139</v>
      </c>
      <c r="Y192" s="235">
        <f t="shared" si="336"/>
        <v>16229.806024839239</v>
      </c>
      <c r="Z192" s="235">
        <f t="shared" si="336"/>
        <v>16229.806024839239</v>
      </c>
      <c r="AA192" s="235">
        <f t="shared" si="336"/>
        <v>16204.256245787663</v>
      </c>
      <c r="AB192" s="235">
        <f t="shared" si="336"/>
        <v>16204.256245787663</v>
      </c>
      <c r="AC192" s="235">
        <f t="shared" si="336"/>
        <v>16178.880429149718</v>
      </c>
      <c r="AD192" s="235">
        <f t="shared" si="336"/>
        <v>16178.880429149718</v>
      </c>
      <c r="AE192" s="235">
        <f t="shared" si="336"/>
        <v>16153.680436644452</v>
      </c>
      <c r="AF192" s="235">
        <f t="shared" si="336"/>
        <v>16153.680436644452</v>
      </c>
      <c r="AG192" s="235">
        <f t="shared" si="336"/>
        <v>16128.658165956635</v>
      </c>
      <c r="AH192" s="235">
        <f t="shared" si="336"/>
        <v>16128.658165956635</v>
      </c>
      <c r="AI192" s="235">
        <f t="shared" si="336"/>
        <v>16103.815551377818</v>
      </c>
      <c r="AJ192" s="235">
        <f t="shared" si="336"/>
        <v>16103.815551377818</v>
      </c>
      <c r="AK192" s="235">
        <f t="shared" si="336"/>
        <v>16079.154564458891</v>
      </c>
      <c r="AL192" s="235">
        <f t="shared" si="336"/>
        <v>16079.154564458891</v>
      </c>
      <c r="AM192" s="235">
        <f t="shared" si="336"/>
        <v>16054.677214674439</v>
      </c>
      <c r="AN192" s="235">
        <f t="shared" si="336"/>
        <v>16054.677214674439</v>
      </c>
      <c r="AO192" s="235">
        <f t="shared" si="336"/>
        <v>16030.385550098992</v>
      </c>
      <c r="AP192" s="235">
        <f t="shared" si="336"/>
        <v>16030.385550098992</v>
      </c>
      <c r="AQ192" s="235">
        <f t="shared" si="336"/>
        <v>16006.281658095428</v>
      </c>
      <c r="AR192" s="235">
        <f t="shared" si="336"/>
        <v>16006.281658095428</v>
      </c>
      <c r="AS192" s="235">
        <f t="shared" si="336"/>
        <v>15982.367666015756</v>
      </c>
      <c r="AT192" s="235">
        <f t="shared" si="336"/>
        <v>15982.367666015756</v>
      </c>
      <c r="AU192" s="235">
        <f t="shared" si="336"/>
        <v>15958.645741914579</v>
      </c>
      <c r="AV192" s="235">
        <f t="shared" si="336"/>
        <v>15958.645741914579</v>
      </c>
      <c r="AW192" s="235">
        <f t="shared" si="336"/>
        <v>15935.118095275227</v>
      </c>
      <c r="AX192" s="235">
        <f t="shared" si="336"/>
        <v>15935.118095275227</v>
      </c>
      <c r="AY192" s="235">
        <f t="shared" si="336"/>
        <v>15911.786977749096</v>
      </c>
      <c r="AZ192" s="235">
        <f t="shared" si="336"/>
        <v>15911.786977749096</v>
      </c>
      <c r="BA192" s="235">
        <f t="shared" si="336"/>
        <v>15888.65468390818</v>
      </c>
      <c r="BB192" s="235">
        <f t="shared" si="336"/>
        <v>15888.65468390818</v>
      </c>
      <c r="BC192" s="235">
        <f t="shared" si="336"/>
        <v>0</v>
      </c>
      <c r="BD192" s="235">
        <f t="shared" si="336"/>
        <v>0</v>
      </c>
      <c r="BE192" s="235">
        <f t="shared" si="336"/>
        <v>0</v>
      </c>
      <c r="BF192" s="235">
        <f t="shared" si="336"/>
        <v>0</v>
      </c>
      <c r="BG192" s="235">
        <f t="shared" si="336"/>
        <v>0</v>
      </c>
      <c r="BH192" s="235">
        <f t="shared" si="336"/>
        <v>0</v>
      </c>
      <c r="BI192" s="235">
        <f t="shared" si="336"/>
        <v>0</v>
      </c>
      <c r="BJ192" s="235">
        <f t="shared" si="336"/>
        <v>0</v>
      </c>
      <c r="BK192" s="235">
        <f t="shared" si="336"/>
        <v>0</v>
      </c>
      <c r="BL192" s="235">
        <f t="shared" si="336"/>
        <v>0</v>
      </c>
      <c r="BM192" s="235">
        <f t="shared" si="336"/>
        <v>0</v>
      </c>
      <c r="BN192" s="235">
        <f t="shared" si="336"/>
        <v>0</v>
      </c>
      <c r="BO192" s="235">
        <f t="shared" si="336"/>
        <v>0</v>
      </c>
      <c r="BP192" s="235">
        <f t="shared" si="336"/>
        <v>0</v>
      </c>
      <c r="BQ192" s="235">
        <f t="shared" si="336"/>
        <v>0</v>
      </c>
      <c r="BR192" s="235">
        <f t="shared" ref="BR192:CV192" si="337" xml:space="preserve"> BR$105</f>
        <v>0</v>
      </c>
      <c r="BS192" s="235">
        <f t="shared" si="337"/>
        <v>0</v>
      </c>
      <c r="BT192" s="235">
        <f t="shared" si="337"/>
        <v>0</v>
      </c>
      <c r="BU192" s="235">
        <f t="shared" si="337"/>
        <v>0</v>
      </c>
      <c r="BV192" s="235">
        <f t="shared" si="337"/>
        <v>0</v>
      </c>
      <c r="BW192" s="235">
        <f t="shared" si="337"/>
        <v>0</v>
      </c>
      <c r="BX192" s="235">
        <f t="shared" si="337"/>
        <v>0</v>
      </c>
      <c r="BY192" s="235">
        <f t="shared" si="337"/>
        <v>0</v>
      </c>
      <c r="BZ192" s="235">
        <f t="shared" si="337"/>
        <v>0</v>
      </c>
      <c r="CA192" s="235">
        <f t="shared" si="337"/>
        <v>0</v>
      </c>
      <c r="CB192" s="235">
        <f t="shared" si="337"/>
        <v>0</v>
      </c>
      <c r="CC192" s="235">
        <f t="shared" si="337"/>
        <v>0</v>
      </c>
      <c r="CD192" s="235">
        <f t="shared" si="337"/>
        <v>0</v>
      </c>
      <c r="CE192" s="235">
        <f t="shared" si="337"/>
        <v>0</v>
      </c>
      <c r="CF192" s="235">
        <f t="shared" si="337"/>
        <v>0</v>
      </c>
      <c r="CG192" s="235">
        <f t="shared" si="337"/>
        <v>0</v>
      </c>
      <c r="CH192" s="235">
        <f t="shared" si="337"/>
        <v>0</v>
      </c>
      <c r="CI192" s="235">
        <f t="shared" si="337"/>
        <v>0</v>
      </c>
      <c r="CJ192" s="235">
        <f t="shared" si="337"/>
        <v>0</v>
      </c>
      <c r="CK192" s="235">
        <f t="shared" si="337"/>
        <v>0</v>
      </c>
      <c r="CL192" s="235">
        <f t="shared" si="337"/>
        <v>0</v>
      </c>
      <c r="CM192" s="235">
        <f t="shared" si="337"/>
        <v>0</v>
      </c>
      <c r="CN192" s="235">
        <f t="shared" si="337"/>
        <v>0</v>
      </c>
      <c r="CO192" s="235">
        <f t="shared" si="337"/>
        <v>0</v>
      </c>
      <c r="CP192" s="235">
        <f t="shared" si="337"/>
        <v>0</v>
      </c>
      <c r="CQ192" s="235">
        <f t="shared" si="337"/>
        <v>0</v>
      </c>
      <c r="CR192" s="235">
        <f t="shared" si="337"/>
        <v>0</v>
      </c>
      <c r="CS192" s="235">
        <f t="shared" si="337"/>
        <v>0</v>
      </c>
      <c r="CT192" s="235">
        <f t="shared" si="337"/>
        <v>0</v>
      </c>
      <c r="CU192" s="235">
        <f t="shared" si="337"/>
        <v>0</v>
      </c>
      <c r="CV192" s="235">
        <f t="shared" si="337"/>
        <v>0</v>
      </c>
    </row>
    <row r="193" spans="1:100" outlineLevel="1" x14ac:dyDescent="0.2">
      <c r="A193" s="236"/>
      <c r="B193" s="236"/>
      <c r="C193" s="237"/>
      <c r="D193" s="238"/>
      <c r="E193" s="235" t="str">
        <f xml:space="preserve"> E$189</f>
        <v>Forecast accounts receivable balance - P99</v>
      </c>
      <c r="F193" s="235">
        <f t="shared" ref="F193:BQ193" si="338" xml:space="preserve"> F$189</f>
        <v>0</v>
      </c>
      <c r="G193" s="235" t="str">
        <f t="shared" si="338"/>
        <v>$ 000s</v>
      </c>
      <c r="H193" s="235">
        <f t="shared" si="338"/>
        <v>0</v>
      </c>
      <c r="I193" s="235">
        <f t="shared" si="338"/>
        <v>0</v>
      </c>
      <c r="J193" s="235">
        <f t="shared" si="338"/>
        <v>0</v>
      </c>
      <c r="K193" s="235">
        <f t="shared" si="338"/>
        <v>0</v>
      </c>
      <c r="L193" s="235">
        <f t="shared" si="338"/>
        <v>0</v>
      </c>
      <c r="M193" s="235">
        <f t="shared" si="338"/>
        <v>0</v>
      </c>
      <c r="N193" s="235">
        <f t="shared" si="338"/>
        <v>0</v>
      </c>
      <c r="O193" s="235">
        <f t="shared" si="338"/>
        <v>4001.1118129849228</v>
      </c>
      <c r="P193" s="235">
        <f t="shared" si="338"/>
        <v>4067.4285833658882</v>
      </c>
      <c r="Q193" s="235">
        <f t="shared" si="338"/>
        <v>3994.6570323862247</v>
      </c>
      <c r="R193" s="235">
        <f t="shared" si="338"/>
        <v>4060.8668174534</v>
      </c>
      <c r="S193" s="235">
        <f t="shared" si="338"/>
        <v>3988.2426470276964</v>
      </c>
      <c r="T193" s="235">
        <f t="shared" si="338"/>
        <v>4054.3461163154479</v>
      </c>
      <c r="U193" s="235">
        <f t="shared" si="338"/>
        <v>3981.8690704977139</v>
      </c>
      <c r="V193" s="235">
        <f t="shared" si="338"/>
        <v>4025.625873470216</v>
      </c>
      <c r="W193" s="235">
        <f t="shared" si="338"/>
        <v>3975.5367244372965</v>
      </c>
      <c r="X193" s="235">
        <f t="shared" si="338"/>
        <v>4041.4295983229977</v>
      </c>
      <c r="Y193" s="235">
        <f t="shared" si="338"/>
        <v>3969.2460386835096</v>
      </c>
      <c r="Z193" s="235">
        <f t="shared" si="338"/>
        <v>4035.0346470594795</v>
      </c>
      <c r="AA193" s="235">
        <f t="shared" si="338"/>
        <v>3962.997451415461</v>
      </c>
      <c r="AB193" s="235">
        <f t="shared" si="338"/>
        <v>4028.6824920466565</v>
      </c>
      <c r="AC193" s="235">
        <f t="shared" si="338"/>
        <v>3956.7914093029203</v>
      </c>
      <c r="AD193" s="235">
        <f t="shared" si="338"/>
        <v>4000.2726335809743</v>
      </c>
      <c r="AE193" s="235">
        <f t="shared" si="338"/>
        <v>3950.6283676576109</v>
      </c>
      <c r="AF193" s="235">
        <f t="shared" si="338"/>
        <v>4016.1083958508307</v>
      </c>
      <c r="AG193" s="235">
        <f t="shared" si="338"/>
        <v>3944.5087905872206</v>
      </c>
      <c r="AH193" s="235">
        <f t="shared" si="338"/>
        <v>4009.8873893262353</v>
      </c>
      <c r="AI193" s="235">
        <f t="shared" si="338"/>
        <v>3938.4331511521841</v>
      </c>
      <c r="AJ193" s="235">
        <f t="shared" si="338"/>
        <v>4003.7110486850929</v>
      </c>
      <c r="AK193" s="235">
        <f t="shared" si="338"/>
        <v>3932.4019315252726</v>
      </c>
      <c r="AL193" s="235">
        <f t="shared" si="338"/>
        <v>3975.6151395640118</v>
      </c>
      <c r="AM193" s="235">
        <f t="shared" si="338"/>
        <v>3926.4156231540746</v>
      </c>
      <c r="AN193" s="235">
        <f t="shared" si="338"/>
        <v>3991.4943351400539</v>
      </c>
      <c r="AO193" s="235">
        <f t="shared" si="338"/>
        <v>3920.4747269263839</v>
      </c>
      <c r="AP193" s="235">
        <f t="shared" si="338"/>
        <v>3985.4549710190863</v>
      </c>
      <c r="AQ193" s="235">
        <f t="shared" si="338"/>
        <v>3914.5797533385557</v>
      </c>
      <c r="AR193" s="235">
        <f t="shared" si="338"/>
        <v>3979.4622906867085</v>
      </c>
      <c r="AS193" s="235">
        <f t="shared" si="338"/>
        <v>3908.7312226668969</v>
      </c>
      <c r="AT193" s="235">
        <f t="shared" si="338"/>
        <v>3951.684313025874</v>
      </c>
      <c r="AU193" s="235">
        <f t="shared" si="338"/>
        <v>3902.9296651421523</v>
      </c>
      <c r="AV193" s="235">
        <f t="shared" si="338"/>
        <v>3967.6191071058347</v>
      </c>
      <c r="AW193" s="235">
        <f t="shared" si="338"/>
        <v>3897.1756211270936</v>
      </c>
      <c r="AX193" s="235">
        <f t="shared" si="338"/>
        <v>3961.7696921954985</v>
      </c>
      <c r="AY193" s="235">
        <f t="shared" si="338"/>
        <v>3891.4696412973335</v>
      </c>
      <c r="AZ193" s="235">
        <f t="shared" si="338"/>
        <v>3955.9691381144162</v>
      </c>
      <c r="BA193" s="235">
        <f t="shared" si="338"/>
        <v>3885.8122868253704</v>
      </c>
      <c r="BB193" s="235">
        <f t="shared" si="338"/>
        <v>0</v>
      </c>
      <c r="BC193" s="235">
        <f t="shared" si="338"/>
        <v>0</v>
      </c>
      <c r="BD193" s="235">
        <f t="shared" si="338"/>
        <v>0</v>
      </c>
      <c r="BE193" s="235">
        <f t="shared" si="338"/>
        <v>0</v>
      </c>
      <c r="BF193" s="235">
        <f t="shared" si="338"/>
        <v>0</v>
      </c>
      <c r="BG193" s="235">
        <f t="shared" si="338"/>
        <v>0</v>
      </c>
      <c r="BH193" s="235">
        <f t="shared" si="338"/>
        <v>0</v>
      </c>
      <c r="BI193" s="235">
        <f t="shared" si="338"/>
        <v>0</v>
      </c>
      <c r="BJ193" s="235">
        <f t="shared" si="338"/>
        <v>0</v>
      </c>
      <c r="BK193" s="235">
        <f t="shared" si="338"/>
        <v>0</v>
      </c>
      <c r="BL193" s="235">
        <f t="shared" si="338"/>
        <v>0</v>
      </c>
      <c r="BM193" s="235">
        <f t="shared" si="338"/>
        <v>0</v>
      </c>
      <c r="BN193" s="235">
        <f t="shared" si="338"/>
        <v>0</v>
      </c>
      <c r="BO193" s="235">
        <f t="shared" si="338"/>
        <v>0</v>
      </c>
      <c r="BP193" s="235">
        <f t="shared" si="338"/>
        <v>0</v>
      </c>
      <c r="BQ193" s="235">
        <f t="shared" si="338"/>
        <v>0</v>
      </c>
      <c r="BR193" s="235">
        <f t="shared" ref="BR193:CV193" si="339" xml:space="preserve"> BR$189</f>
        <v>0</v>
      </c>
      <c r="BS193" s="235">
        <f t="shared" si="339"/>
        <v>0</v>
      </c>
      <c r="BT193" s="235">
        <f t="shared" si="339"/>
        <v>0</v>
      </c>
      <c r="BU193" s="235">
        <f t="shared" si="339"/>
        <v>0</v>
      </c>
      <c r="BV193" s="235">
        <f t="shared" si="339"/>
        <v>0</v>
      </c>
      <c r="BW193" s="235">
        <f t="shared" si="339"/>
        <v>0</v>
      </c>
      <c r="BX193" s="235">
        <f t="shared" si="339"/>
        <v>0</v>
      </c>
      <c r="BY193" s="235">
        <f t="shared" si="339"/>
        <v>0</v>
      </c>
      <c r="BZ193" s="235">
        <f t="shared" si="339"/>
        <v>0</v>
      </c>
      <c r="CA193" s="235">
        <f t="shared" si="339"/>
        <v>0</v>
      </c>
      <c r="CB193" s="235">
        <f t="shared" si="339"/>
        <v>0</v>
      </c>
      <c r="CC193" s="235">
        <f t="shared" si="339"/>
        <v>0</v>
      </c>
      <c r="CD193" s="235">
        <f t="shared" si="339"/>
        <v>0</v>
      </c>
      <c r="CE193" s="235">
        <f t="shared" si="339"/>
        <v>0</v>
      </c>
      <c r="CF193" s="235">
        <f t="shared" si="339"/>
        <v>0</v>
      </c>
      <c r="CG193" s="235">
        <f t="shared" si="339"/>
        <v>0</v>
      </c>
      <c r="CH193" s="235">
        <f t="shared" si="339"/>
        <v>0</v>
      </c>
      <c r="CI193" s="235">
        <f t="shared" si="339"/>
        <v>0</v>
      </c>
      <c r="CJ193" s="235">
        <f t="shared" si="339"/>
        <v>0</v>
      </c>
      <c r="CK193" s="235">
        <f t="shared" si="339"/>
        <v>0</v>
      </c>
      <c r="CL193" s="235">
        <f t="shared" si="339"/>
        <v>0</v>
      </c>
      <c r="CM193" s="235">
        <f t="shared" si="339"/>
        <v>0</v>
      </c>
      <c r="CN193" s="235">
        <f t="shared" si="339"/>
        <v>0</v>
      </c>
      <c r="CO193" s="235">
        <f t="shared" si="339"/>
        <v>0</v>
      </c>
      <c r="CP193" s="235">
        <f t="shared" si="339"/>
        <v>0</v>
      </c>
      <c r="CQ193" s="235">
        <f t="shared" si="339"/>
        <v>0</v>
      </c>
      <c r="CR193" s="235">
        <f t="shared" si="339"/>
        <v>0</v>
      </c>
      <c r="CS193" s="235">
        <f t="shared" si="339"/>
        <v>0</v>
      </c>
      <c r="CT193" s="235">
        <f t="shared" si="339"/>
        <v>0</v>
      </c>
      <c r="CU193" s="235">
        <f t="shared" si="339"/>
        <v>0</v>
      </c>
      <c r="CV193" s="235">
        <f t="shared" si="339"/>
        <v>0</v>
      </c>
    </row>
    <row r="194" spans="1:100" outlineLevel="1" x14ac:dyDescent="0.2">
      <c r="A194" s="141"/>
      <c r="B194" s="141"/>
      <c r="C194" s="142"/>
      <c r="D194" s="143"/>
      <c r="E194" s="144" t="s">
        <v>1173</v>
      </c>
      <c r="F194" s="144"/>
      <c r="G194" s="144" t="str">
        <f xml:space="preserve"> SMU</f>
        <v>$ 000s</v>
      </c>
      <c r="H194" s="144">
        <f xml:space="preserve"> SUM(J194:CV194)</f>
        <v>644768.81716164469</v>
      </c>
      <c r="I194" s="144"/>
      <c r="J194" s="144">
        <f t="shared" ref="J194:BU194" si="340" xml:space="preserve"> J191 + J192 - J193</f>
        <v>0</v>
      </c>
      <c r="K194" s="144">
        <f t="shared" si="340"/>
        <v>0</v>
      </c>
      <c r="L194" s="144">
        <f t="shared" si="340"/>
        <v>0</v>
      </c>
      <c r="M194" s="144">
        <f t="shared" si="340"/>
        <v>0</v>
      </c>
      <c r="N194" s="144">
        <f t="shared" si="340"/>
        <v>0</v>
      </c>
      <c r="O194" s="144">
        <f t="shared" si="340"/>
        <v>12358.989822331205</v>
      </c>
      <c r="P194" s="144">
        <f t="shared" si="340"/>
        <v>16293.784864935164</v>
      </c>
      <c r="Q194" s="144">
        <f t="shared" si="340"/>
        <v>16406.480305625562</v>
      </c>
      <c r="R194" s="144">
        <f t="shared" si="340"/>
        <v>16267.498969578723</v>
      </c>
      <c r="S194" s="144">
        <f t="shared" si="340"/>
        <v>16380.10521605006</v>
      </c>
      <c r="T194" s="144">
        <f t="shared" si="340"/>
        <v>16241.377576336608</v>
      </c>
      <c r="U194" s="144">
        <f t="shared" si="340"/>
        <v>16353.897245186161</v>
      </c>
      <c r="V194" s="144">
        <f t="shared" si="340"/>
        <v>16237.663396395928</v>
      </c>
      <c r="W194" s="144">
        <f t="shared" si="340"/>
        <v>16305.61708895431</v>
      </c>
      <c r="X194" s="144">
        <f t="shared" si="340"/>
        <v>16189.635066035691</v>
      </c>
      <c r="Y194" s="144">
        <f t="shared" si="340"/>
        <v>16301.989584478726</v>
      </c>
      <c r="Z194" s="144">
        <f t="shared" si="340"/>
        <v>16164.017416463272</v>
      </c>
      <c r="AA194" s="144">
        <f t="shared" si="340"/>
        <v>16276.293441431684</v>
      </c>
      <c r="AB194" s="144">
        <f t="shared" si="340"/>
        <v>16138.571205156466</v>
      </c>
      <c r="AC194" s="144">
        <f t="shared" si="340"/>
        <v>16250.771511893454</v>
      </c>
      <c r="AD194" s="144">
        <f t="shared" si="340"/>
        <v>16135.399204871665</v>
      </c>
      <c r="AE194" s="144">
        <f t="shared" si="340"/>
        <v>16203.324702567816</v>
      </c>
      <c r="AF194" s="144">
        <f t="shared" si="340"/>
        <v>16088.20040845123</v>
      </c>
      <c r="AG194" s="144">
        <f t="shared" si="340"/>
        <v>16200.257771220247</v>
      </c>
      <c r="AH194" s="144">
        <f t="shared" si="340"/>
        <v>16063.279567217622</v>
      </c>
      <c r="AI194" s="144">
        <f t="shared" si="340"/>
        <v>16175.269789551869</v>
      </c>
      <c r="AJ194" s="144">
        <f t="shared" si="340"/>
        <v>16038.537653844911</v>
      </c>
      <c r="AK194" s="144">
        <f t="shared" si="340"/>
        <v>16150.463681618712</v>
      </c>
      <c r="AL194" s="144">
        <f t="shared" si="340"/>
        <v>16035.941356420153</v>
      </c>
      <c r="AM194" s="144">
        <f t="shared" si="340"/>
        <v>16103.876731084378</v>
      </c>
      <c r="AN194" s="144">
        <f t="shared" si="340"/>
        <v>15989.598502688459</v>
      </c>
      <c r="AO194" s="144">
        <f t="shared" si="340"/>
        <v>16101.405158312662</v>
      </c>
      <c r="AP194" s="144">
        <f t="shared" si="340"/>
        <v>15965.405306006292</v>
      </c>
      <c r="AQ194" s="144">
        <f t="shared" si="340"/>
        <v>16077.15687577596</v>
      </c>
      <c r="AR194" s="144">
        <f t="shared" si="340"/>
        <v>15941.399120747275</v>
      </c>
      <c r="AS194" s="144">
        <f t="shared" si="340"/>
        <v>16053.09873403557</v>
      </c>
      <c r="AT194" s="144">
        <f t="shared" si="340"/>
        <v>15939.414575656778</v>
      </c>
      <c r="AU194" s="144">
        <f t="shared" si="340"/>
        <v>16007.4003897983</v>
      </c>
      <c r="AV194" s="144">
        <f t="shared" si="340"/>
        <v>15893.956299950896</v>
      </c>
      <c r="AW194" s="144">
        <f t="shared" si="340"/>
        <v>16005.561581253967</v>
      </c>
      <c r="AX194" s="144">
        <f t="shared" si="340"/>
        <v>15870.524024206821</v>
      </c>
      <c r="AY194" s="144">
        <f t="shared" si="340"/>
        <v>15982.087028647262</v>
      </c>
      <c r="AZ194" s="144">
        <f t="shared" si="340"/>
        <v>15847.287480932011</v>
      </c>
      <c r="BA194" s="144">
        <f t="shared" si="340"/>
        <v>15958.811535197226</v>
      </c>
      <c r="BB194" s="144">
        <f t="shared" si="340"/>
        <v>19774.466970733549</v>
      </c>
      <c r="BC194" s="144">
        <f t="shared" si="340"/>
        <v>0</v>
      </c>
      <c r="BD194" s="144">
        <f t="shared" si="340"/>
        <v>0</v>
      </c>
      <c r="BE194" s="144">
        <f t="shared" si="340"/>
        <v>0</v>
      </c>
      <c r="BF194" s="144">
        <f t="shared" si="340"/>
        <v>0</v>
      </c>
      <c r="BG194" s="144">
        <f t="shared" si="340"/>
        <v>0</v>
      </c>
      <c r="BH194" s="144">
        <f t="shared" si="340"/>
        <v>0</v>
      </c>
      <c r="BI194" s="144">
        <f t="shared" si="340"/>
        <v>0</v>
      </c>
      <c r="BJ194" s="144">
        <f t="shared" si="340"/>
        <v>0</v>
      </c>
      <c r="BK194" s="144">
        <f t="shared" si="340"/>
        <v>0</v>
      </c>
      <c r="BL194" s="144">
        <f t="shared" si="340"/>
        <v>0</v>
      </c>
      <c r="BM194" s="144">
        <f t="shared" si="340"/>
        <v>0</v>
      </c>
      <c r="BN194" s="144">
        <f t="shared" si="340"/>
        <v>0</v>
      </c>
      <c r="BO194" s="144">
        <f t="shared" si="340"/>
        <v>0</v>
      </c>
      <c r="BP194" s="144">
        <f t="shared" si="340"/>
        <v>0</v>
      </c>
      <c r="BQ194" s="144">
        <f t="shared" si="340"/>
        <v>0</v>
      </c>
      <c r="BR194" s="144">
        <f t="shared" si="340"/>
        <v>0</v>
      </c>
      <c r="BS194" s="144">
        <f t="shared" si="340"/>
        <v>0</v>
      </c>
      <c r="BT194" s="144">
        <f t="shared" si="340"/>
        <v>0</v>
      </c>
      <c r="BU194" s="144">
        <f t="shared" si="340"/>
        <v>0</v>
      </c>
      <c r="BV194" s="144">
        <f t="shared" ref="BV194:CV194" si="341" xml:space="preserve"> BV191 + BV192 - BV193</f>
        <v>0</v>
      </c>
      <c r="BW194" s="144">
        <f t="shared" si="341"/>
        <v>0</v>
      </c>
      <c r="BX194" s="144">
        <f t="shared" si="341"/>
        <v>0</v>
      </c>
      <c r="BY194" s="144">
        <f t="shared" si="341"/>
        <v>0</v>
      </c>
      <c r="BZ194" s="144">
        <f t="shared" si="341"/>
        <v>0</v>
      </c>
      <c r="CA194" s="144">
        <f t="shared" si="341"/>
        <v>0</v>
      </c>
      <c r="CB194" s="144">
        <f t="shared" si="341"/>
        <v>0</v>
      </c>
      <c r="CC194" s="144">
        <f t="shared" si="341"/>
        <v>0</v>
      </c>
      <c r="CD194" s="144">
        <f t="shared" si="341"/>
        <v>0</v>
      </c>
      <c r="CE194" s="144">
        <f t="shared" si="341"/>
        <v>0</v>
      </c>
      <c r="CF194" s="144">
        <f t="shared" si="341"/>
        <v>0</v>
      </c>
      <c r="CG194" s="144">
        <f t="shared" si="341"/>
        <v>0</v>
      </c>
      <c r="CH194" s="144">
        <f t="shared" si="341"/>
        <v>0</v>
      </c>
      <c r="CI194" s="144">
        <f t="shared" si="341"/>
        <v>0</v>
      </c>
      <c r="CJ194" s="144">
        <f t="shared" si="341"/>
        <v>0</v>
      </c>
      <c r="CK194" s="144">
        <f t="shared" si="341"/>
        <v>0</v>
      </c>
      <c r="CL194" s="144">
        <f t="shared" si="341"/>
        <v>0</v>
      </c>
      <c r="CM194" s="144">
        <f t="shared" si="341"/>
        <v>0</v>
      </c>
      <c r="CN194" s="144">
        <f t="shared" si="341"/>
        <v>0</v>
      </c>
      <c r="CO194" s="144">
        <f t="shared" si="341"/>
        <v>0</v>
      </c>
      <c r="CP194" s="144">
        <f t="shared" si="341"/>
        <v>0</v>
      </c>
      <c r="CQ194" s="144">
        <f t="shared" si="341"/>
        <v>0</v>
      </c>
      <c r="CR194" s="144">
        <f t="shared" si="341"/>
        <v>0</v>
      </c>
      <c r="CS194" s="144">
        <f t="shared" si="341"/>
        <v>0</v>
      </c>
      <c r="CT194" s="144">
        <f t="shared" si="341"/>
        <v>0</v>
      </c>
      <c r="CU194" s="144">
        <f t="shared" si="341"/>
        <v>0</v>
      </c>
      <c r="CV194" s="144">
        <f t="shared" si="341"/>
        <v>0</v>
      </c>
    </row>
    <row r="195" spans="1:100" outlineLevel="1" x14ac:dyDescent="0.2">
      <c r="A195" s="236"/>
      <c r="B195" s="236"/>
      <c r="C195" s="237"/>
      <c r="D195" s="238"/>
      <c r="E195" s="235"/>
      <c r="F195" s="235"/>
      <c r="G195" s="235"/>
      <c r="H195" s="235"/>
      <c r="I195" s="235"/>
      <c r="J195" s="235"/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AJ195" s="235"/>
      <c r="AK195" s="235"/>
      <c r="AL195" s="235"/>
      <c r="AM195" s="235"/>
      <c r="AN195" s="235"/>
      <c r="AO195" s="235"/>
      <c r="AP195" s="235"/>
      <c r="AQ195" s="235"/>
      <c r="AR195" s="235"/>
      <c r="AS195" s="235"/>
      <c r="AT195" s="235"/>
      <c r="AU195" s="235"/>
      <c r="AV195" s="235"/>
      <c r="AW195" s="235"/>
      <c r="AX195" s="235"/>
      <c r="AY195" s="235"/>
      <c r="AZ195" s="235"/>
      <c r="BA195" s="235"/>
      <c r="BB195" s="235"/>
      <c r="BC195" s="235"/>
      <c r="BD195" s="235"/>
      <c r="BE195" s="235"/>
      <c r="BF195" s="235"/>
      <c r="BG195" s="235"/>
      <c r="BH195" s="235"/>
      <c r="BI195" s="235"/>
      <c r="BJ195" s="235"/>
      <c r="BK195" s="235"/>
      <c r="BL195" s="235"/>
      <c r="BM195" s="235"/>
      <c r="BN195" s="235"/>
      <c r="BO195" s="235"/>
      <c r="BP195" s="235"/>
      <c r="BQ195" s="235"/>
      <c r="BR195" s="235"/>
      <c r="BS195" s="235"/>
      <c r="BT195" s="235"/>
      <c r="BU195" s="235"/>
      <c r="BV195" s="235"/>
      <c r="BW195" s="235"/>
      <c r="BX195" s="235"/>
      <c r="BY195" s="235"/>
      <c r="BZ195" s="235"/>
      <c r="CA195" s="235"/>
      <c r="CB195" s="235"/>
      <c r="CC195" s="235"/>
      <c r="CD195" s="235"/>
      <c r="CE195" s="235"/>
      <c r="CF195" s="235"/>
      <c r="CG195" s="235"/>
      <c r="CH195" s="235"/>
      <c r="CI195" s="235"/>
      <c r="CJ195" s="235"/>
      <c r="CK195" s="235"/>
      <c r="CL195" s="235"/>
      <c r="CM195" s="235"/>
      <c r="CN195" s="235"/>
      <c r="CO195" s="235"/>
      <c r="CP195" s="235"/>
      <c r="CQ195" s="235"/>
      <c r="CR195" s="235"/>
      <c r="CS195" s="235"/>
      <c r="CT195" s="235"/>
      <c r="CU195" s="235"/>
      <c r="CV195" s="235"/>
    </row>
    <row r="196" spans="1:100" s="502" customFormat="1" outlineLevel="1" x14ac:dyDescent="0.2">
      <c r="A196" s="504"/>
      <c r="B196" s="504"/>
      <c r="C196" s="505"/>
      <c r="D196" s="506"/>
      <c r="E196" s="508" t="s">
        <v>1174</v>
      </c>
      <c r="F196" s="508"/>
      <c r="G196" s="508" t="str">
        <f xml:space="preserve"> SMU</f>
        <v>$ 000s</v>
      </c>
      <c r="H196" s="508"/>
      <c r="I196" s="508"/>
      <c r="J196" s="508">
        <f t="shared" ref="J196" si="342">I199</f>
        <v>0</v>
      </c>
      <c r="K196" s="508">
        <f t="shared" ref="K196" si="343">J199</f>
        <v>0</v>
      </c>
      <c r="L196" s="508">
        <f t="shared" ref="L196" si="344">K199</f>
        <v>0</v>
      </c>
      <c r="M196" s="508">
        <f t="shared" ref="M196" si="345">L199</f>
        <v>0</v>
      </c>
      <c r="N196" s="508">
        <f t="shared" ref="N196" si="346">M199</f>
        <v>0</v>
      </c>
      <c r="O196" s="508">
        <f t="shared" ref="O196" si="347">N199</f>
        <v>0</v>
      </c>
      <c r="P196" s="508">
        <f t="shared" ref="P196" si="348">O199</f>
        <v>4001.1118129849237</v>
      </c>
      <c r="Q196" s="508">
        <f t="shared" ref="Q196" si="349">P199</f>
        <v>4067.4285833658887</v>
      </c>
      <c r="R196" s="508">
        <f t="shared" ref="R196" si="350">Q199</f>
        <v>3994.6570323862252</v>
      </c>
      <c r="S196" s="508">
        <f t="shared" ref="S196" si="351">R199</f>
        <v>4060.8668174533996</v>
      </c>
      <c r="T196" s="508">
        <f t="shared" ref="T196" si="352">S199</f>
        <v>3988.2426470276969</v>
      </c>
      <c r="U196" s="508">
        <f t="shared" ref="U196" si="353">T199</f>
        <v>4054.3461163154479</v>
      </c>
      <c r="V196" s="508">
        <f t="shared" ref="V196" si="354">U199</f>
        <v>3981.8690704977143</v>
      </c>
      <c r="W196" s="508">
        <f t="shared" ref="W196" si="355">V199</f>
        <v>4025.6258734702169</v>
      </c>
      <c r="X196" s="508">
        <f t="shared" ref="X196" si="356">W199</f>
        <v>3975.5367244372974</v>
      </c>
      <c r="Y196" s="508">
        <f t="shared" ref="Y196" si="357">X199</f>
        <v>4041.4295983229968</v>
      </c>
      <c r="Z196" s="508">
        <f t="shared" ref="Z196" si="358">Y199</f>
        <v>3969.2460386835101</v>
      </c>
      <c r="AA196" s="508">
        <f t="shared" ref="AA196" si="359">Z199</f>
        <v>4035.0346470594795</v>
      </c>
      <c r="AB196" s="508">
        <f t="shared" ref="AB196" si="360">AA199</f>
        <v>3962.9974514154601</v>
      </c>
      <c r="AC196" s="508">
        <f t="shared" ref="AC196" si="361">AB199</f>
        <v>4028.682492046657</v>
      </c>
      <c r="AD196" s="508">
        <f t="shared" ref="AD196" si="362">AC199</f>
        <v>3956.7914093029212</v>
      </c>
      <c r="AE196" s="508">
        <f t="shared" ref="AE196" si="363">AD199</f>
        <v>4000.2726335809748</v>
      </c>
      <c r="AF196" s="508">
        <f t="shared" ref="AF196" si="364">AE199</f>
        <v>3950.6283676576113</v>
      </c>
      <c r="AG196" s="508">
        <f t="shared" ref="AG196" si="365">AF199</f>
        <v>4016.1083958508316</v>
      </c>
      <c r="AH196" s="508">
        <f t="shared" ref="AH196" si="366">AG199</f>
        <v>3944.5087905872206</v>
      </c>
      <c r="AI196" s="508">
        <f t="shared" ref="AI196" si="367">AH199</f>
        <v>4009.8873893262353</v>
      </c>
      <c r="AJ196" s="508">
        <f t="shared" ref="AJ196" si="368">AI199</f>
        <v>3938.433151152185</v>
      </c>
      <c r="AK196" s="508">
        <f t="shared" ref="AK196" si="369">AJ199</f>
        <v>4003.7110486850925</v>
      </c>
      <c r="AL196" s="508">
        <f t="shared" ref="AL196" si="370">AK199</f>
        <v>3932.4019315252735</v>
      </c>
      <c r="AM196" s="508">
        <f t="shared" ref="AM196" si="371">AL199</f>
        <v>3975.6151395640118</v>
      </c>
      <c r="AN196" s="508">
        <f t="shared" ref="AN196" si="372">AM199</f>
        <v>3926.4156231540746</v>
      </c>
      <c r="AO196" s="508">
        <f t="shared" ref="AO196" si="373">AN199</f>
        <v>3991.4943351400543</v>
      </c>
      <c r="AP196" s="508">
        <f t="shared" ref="AP196" si="374">AO199</f>
        <v>3920.4747269263844</v>
      </c>
      <c r="AQ196" s="508">
        <f t="shared" ref="AQ196" si="375">AP199</f>
        <v>3985.4549710190859</v>
      </c>
      <c r="AR196" s="508">
        <f t="shared" ref="AR196" si="376">AQ199</f>
        <v>3914.5797533385557</v>
      </c>
      <c r="AS196" s="508">
        <f t="shared" ref="AS196" si="377">AR199</f>
        <v>3979.462290686708</v>
      </c>
      <c r="AT196" s="508">
        <f t="shared" ref="AT196" si="378">AS199</f>
        <v>3908.7312226668964</v>
      </c>
      <c r="AU196" s="508">
        <f t="shared" ref="AU196" si="379">AT199</f>
        <v>3951.6843130258749</v>
      </c>
      <c r="AV196" s="508">
        <f t="shared" ref="AV196" si="380">AU199</f>
        <v>3902.9296651421519</v>
      </c>
      <c r="AW196" s="508">
        <f t="shared" ref="AW196" si="381">AV199</f>
        <v>3967.6191071058347</v>
      </c>
      <c r="AX196" s="508">
        <f t="shared" ref="AX196" si="382">AW199</f>
        <v>3897.1756211270931</v>
      </c>
      <c r="AY196" s="508">
        <f t="shared" ref="AY196" si="383">AX199</f>
        <v>3961.7696921954994</v>
      </c>
      <c r="AZ196" s="508">
        <f t="shared" ref="AZ196" si="384">AY199</f>
        <v>3891.4696412973335</v>
      </c>
      <c r="BA196" s="508">
        <f t="shared" ref="BA196" si="385">AZ199</f>
        <v>3955.9691381144166</v>
      </c>
      <c r="BB196" s="508">
        <f t="shared" ref="BB196" si="386">BA199</f>
        <v>3885.8122868253704</v>
      </c>
      <c r="BC196" s="508">
        <f t="shared" ref="BC196" si="387">BB199</f>
        <v>0</v>
      </c>
      <c r="BD196" s="508">
        <f t="shared" ref="BD196" si="388">BC199</f>
        <v>0</v>
      </c>
      <c r="BE196" s="508">
        <f t="shared" ref="BE196" si="389">BD199</f>
        <v>0</v>
      </c>
      <c r="BF196" s="508">
        <f t="shared" ref="BF196" si="390">BE199</f>
        <v>0</v>
      </c>
      <c r="BG196" s="508">
        <f t="shared" ref="BG196" si="391">BF199</f>
        <v>0</v>
      </c>
      <c r="BH196" s="508">
        <f t="shared" ref="BH196" si="392">BG199</f>
        <v>0</v>
      </c>
      <c r="BI196" s="508">
        <f t="shared" ref="BI196" si="393">BH199</f>
        <v>0</v>
      </c>
      <c r="BJ196" s="508">
        <f t="shared" ref="BJ196" si="394">BI199</f>
        <v>0</v>
      </c>
      <c r="BK196" s="508">
        <f t="shared" ref="BK196" si="395">BJ199</f>
        <v>0</v>
      </c>
      <c r="BL196" s="508">
        <f t="shared" ref="BL196" si="396">BK199</f>
        <v>0</v>
      </c>
      <c r="BM196" s="508">
        <f t="shared" ref="BM196" si="397">BL199</f>
        <v>0</v>
      </c>
      <c r="BN196" s="508">
        <f t="shared" ref="BN196" si="398">BM199</f>
        <v>0</v>
      </c>
      <c r="BO196" s="508">
        <f t="shared" ref="BO196" si="399">BN199</f>
        <v>0</v>
      </c>
      <c r="BP196" s="508">
        <f t="shared" ref="BP196" si="400">BO199</f>
        <v>0</v>
      </c>
      <c r="BQ196" s="508">
        <f t="shared" ref="BQ196" si="401">BP199</f>
        <v>0</v>
      </c>
      <c r="BR196" s="508">
        <f t="shared" ref="BR196" si="402">BQ199</f>
        <v>0</v>
      </c>
      <c r="BS196" s="508">
        <f t="shared" ref="BS196" si="403">BR199</f>
        <v>0</v>
      </c>
      <c r="BT196" s="508">
        <f t="shared" ref="BT196" si="404">BS199</f>
        <v>0</v>
      </c>
      <c r="BU196" s="508">
        <f t="shared" ref="BU196" si="405">BT199</f>
        <v>0</v>
      </c>
      <c r="BV196" s="508">
        <f t="shared" ref="BV196" si="406">BU199</f>
        <v>0</v>
      </c>
      <c r="BW196" s="508">
        <f t="shared" ref="BW196" si="407">BV199</f>
        <v>0</v>
      </c>
      <c r="BX196" s="508">
        <f t="shared" ref="BX196" si="408">BW199</f>
        <v>0</v>
      </c>
      <c r="BY196" s="508">
        <f t="shared" ref="BY196" si="409">BX199</f>
        <v>0</v>
      </c>
      <c r="BZ196" s="508">
        <f t="shared" ref="BZ196" si="410">BY199</f>
        <v>0</v>
      </c>
      <c r="CA196" s="508">
        <f t="shared" ref="CA196" si="411">BZ199</f>
        <v>0</v>
      </c>
      <c r="CB196" s="508">
        <f t="shared" ref="CB196" si="412">CA199</f>
        <v>0</v>
      </c>
      <c r="CC196" s="508">
        <f t="shared" ref="CC196" si="413">CB199</f>
        <v>0</v>
      </c>
      <c r="CD196" s="508">
        <f t="shared" ref="CD196" si="414">CC199</f>
        <v>0</v>
      </c>
      <c r="CE196" s="508">
        <f t="shared" ref="CE196" si="415">CD199</f>
        <v>0</v>
      </c>
      <c r="CF196" s="508">
        <f t="shared" ref="CF196" si="416">CE199</f>
        <v>0</v>
      </c>
      <c r="CG196" s="508">
        <f t="shared" ref="CG196" si="417">CF199</f>
        <v>0</v>
      </c>
      <c r="CH196" s="508">
        <f t="shared" ref="CH196" si="418">CG199</f>
        <v>0</v>
      </c>
      <c r="CI196" s="508">
        <f t="shared" ref="CI196" si="419">CH199</f>
        <v>0</v>
      </c>
      <c r="CJ196" s="508">
        <f t="shared" ref="CJ196" si="420">CI199</f>
        <v>0</v>
      </c>
      <c r="CK196" s="508">
        <f t="shared" ref="CK196" si="421">CJ199</f>
        <v>0</v>
      </c>
      <c r="CL196" s="508">
        <f t="shared" ref="CL196" si="422">CK199</f>
        <v>0</v>
      </c>
      <c r="CM196" s="508">
        <f t="shared" ref="CM196" si="423">CL199</f>
        <v>0</v>
      </c>
      <c r="CN196" s="508">
        <f t="shared" ref="CN196" si="424">CM199</f>
        <v>0</v>
      </c>
      <c r="CO196" s="508">
        <f t="shared" ref="CO196" si="425">CN199</f>
        <v>0</v>
      </c>
      <c r="CP196" s="508">
        <f t="shared" ref="CP196" si="426">CO199</f>
        <v>0</v>
      </c>
      <c r="CQ196" s="508">
        <f t="shared" ref="CQ196" si="427">CP199</f>
        <v>0</v>
      </c>
      <c r="CR196" s="508">
        <f t="shared" ref="CR196" si="428">CQ199</f>
        <v>0</v>
      </c>
      <c r="CS196" s="508">
        <f t="shared" ref="CS196" si="429">CR199</f>
        <v>0</v>
      </c>
      <c r="CT196" s="508">
        <f t="shared" ref="CT196" si="430">CS199</f>
        <v>0</v>
      </c>
      <c r="CU196" s="508">
        <f t="shared" ref="CU196" si="431">CT199</f>
        <v>0</v>
      </c>
      <c r="CV196" s="508">
        <f t="shared" ref="CV196" si="432">CU199</f>
        <v>0</v>
      </c>
    </row>
    <row r="197" spans="1:100" outlineLevel="1" x14ac:dyDescent="0.2">
      <c r="A197" s="236"/>
      <c r="B197" s="236"/>
      <c r="C197" s="237"/>
      <c r="D197" s="238"/>
      <c r="E197" s="281" t="str">
        <f xml:space="preserve"> E$105</f>
        <v>Electricity payments (EPn) - P99</v>
      </c>
      <c r="F197" s="281">
        <f t="shared" ref="F197:BQ197" si="433" xml:space="preserve"> F$105</f>
        <v>0</v>
      </c>
      <c r="G197" s="281" t="str">
        <f t="shared" si="433"/>
        <v>$ 000s</v>
      </c>
      <c r="H197" s="281">
        <f t="shared" si="433"/>
        <v>644768.81716164469</v>
      </c>
      <c r="I197" s="281">
        <f t="shared" si="433"/>
        <v>0</v>
      </c>
      <c r="J197" s="281">
        <f t="shared" si="433"/>
        <v>0</v>
      </c>
      <c r="K197" s="281">
        <f t="shared" si="433"/>
        <v>0</v>
      </c>
      <c r="L197" s="281">
        <f t="shared" si="433"/>
        <v>0</v>
      </c>
      <c r="M197" s="281">
        <f t="shared" si="433"/>
        <v>0</v>
      </c>
      <c r="N197" s="281">
        <f t="shared" si="433"/>
        <v>0</v>
      </c>
      <c r="O197" s="281">
        <f t="shared" si="433"/>
        <v>16360.101635316129</v>
      </c>
      <c r="P197" s="281">
        <f t="shared" si="433"/>
        <v>16360.101635316129</v>
      </c>
      <c r="Q197" s="281">
        <f t="shared" si="433"/>
        <v>16333.708754645897</v>
      </c>
      <c r="R197" s="281">
        <f t="shared" si="433"/>
        <v>16333.708754645897</v>
      </c>
      <c r="S197" s="281">
        <f t="shared" si="433"/>
        <v>16307.481045624358</v>
      </c>
      <c r="T197" s="281">
        <f t="shared" si="433"/>
        <v>16307.481045624358</v>
      </c>
      <c r="U197" s="281">
        <f t="shared" si="433"/>
        <v>16281.420199368429</v>
      </c>
      <c r="V197" s="281">
        <f t="shared" si="433"/>
        <v>16281.420199368429</v>
      </c>
      <c r="W197" s="281">
        <f t="shared" si="433"/>
        <v>16255.52793992139</v>
      </c>
      <c r="X197" s="281">
        <f t="shared" si="433"/>
        <v>16255.52793992139</v>
      </c>
      <c r="Y197" s="281">
        <f t="shared" si="433"/>
        <v>16229.806024839239</v>
      </c>
      <c r="Z197" s="281">
        <f t="shared" si="433"/>
        <v>16229.806024839239</v>
      </c>
      <c r="AA197" s="281">
        <f t="shared" si="433"/>
        <v>16204.256245787663</v>
      </c>
      <c r="AB197" s="281">
        <f t="shared" si="433"/>
        <v>16204.256245787663</v>
      </c>
      <c r="AC197" s="281">
        <f t="shared" si="433"/>
        <v>16178.880429149718</v>
      </c>
      <c r="AD197" s="281">
        <f t="shared" si="433"/>
        <v>16178.880429149718</v>
      </c>
      <c r="AE197" s="281">
        <f t="shared" si="433"/>
        <v>16153.680436644452</v>
      </c>
      <c r="AF197" s="281">
        <f t="shared" si="433"/>
        <v>16153.680436644452</v>
      </c>
      <c r="AG197" s="281">
        <f t="shared" si="433"/>
        <v>16128.658165956635</v>
      </c>
      <c r="AH197" s="281">
        <f t="shared" si="433"/>
        <v>16128.658165956635</v>
      </c>
      <c r="AI197" s="281">
        <f t="shared" si="433"/>
        <v>16103.815551377818</v>
      </c>
      <c r="AJ197" s="281">
        <f t="shared" si="433"/>
        <v>16103.815551377818</v>
      </c>
      <c r="AK197" s="281">
        <f t="shared" si="433"/>
        <v>16079.154564458891</v>
      </c>
      <c r="AL197" s="281">
        <f t="shared" si="433"/>
        <v>16079.154564458891</v>
      </c>
      <c r="AM197" s="281">
        <f t="shared" si="433"/>
        <v>16054.677214674439</v>
      </c>
      <c r="AN197" s="281">
        <f t="shared" si="433"/>
        <v>16054.677214674439</v>
      </c>
      <c r="AO197" s="281">
        <f t="shared" si="433"/>
        <v>16030.385550098992</v>
      </c>
      <c r="AP197" s="281">
        <f t="shared" si="433"/>
        <v>16030.385550098992</v>
      </c>
      <c r="AQ197" s="281">
        <f t="shared" si="433"/>
        <v>16006.281658095428</v>
      </c>
      <c r="AR197" s="281">
        <f t="shared" si="433"/>
        <v>16006.281658095428</v>
      </c>
      <c r="AS197" s="281">
        <f t="shared" si="433"/>
        <v>15982.367666015756</v>
      </c>
      <c r="AT197" s="281">
        <f t="shared" si="433"/>
        <v>15982.367666015756</v>
      </c>
      <c r="AU197" s="281">
        <f t="shared" si="433"/>
        <v>15958.645741914579</v>
      </c>
      <c r="AV197" s="281">
        <f t="shared" si="433"/>
        <v>15958.645741914579</v>
      </c>
      <c r="AW197" s="281">
        <f t="shared" si="433"/>
        <v>15935.118095275227</v>
      </c>
      <c r="AX197" s="281">
        <f t="shared" si="433"/>
        <v>15935.118095275227</v>
      </c>
      <c r="AY197" s="281">
        <f t="shared" si="433"/>
        <v>15911.786977749096</v>
      </c>
      <c r="AZ197" s="281">
        <f t="shared" si="433"/>
        <v>15911.786977749096</v>
      </c>
      <c r="BA197" s="281">
        <f t="shared" si="433"/>
        <v>15888.65468390818</v>
      </c>
      <c r="BB197" s="281">
        <f t="shared" si="433"/>
        <v>15888.65468390818</v>
      </c>
      <c r="BC197" s="281">
        <f t="shared" si="433"/>
        <v>0</v>
      </c>
      <c r="BD197" s="281">
        <f t="shared" si="433"/>
        <v>0</v>
      </c>
      <c r="BE197" s="281">
        <f t="shared" si="433"/>
        <v>0</v>
      </c>
      <c r="BF197" s="281">
        <f t="shared" si="433"/>
        <v>0</v>
      </c>
      <c r="BG197" s="281">
        <f t="shared" si="433"/>
        <v>0</v>
      </c>
      <c r="BH197" s="281">
        <f t="shared" si="433"/>
        <v>0</v>
      </c>
      <c r="BI197" s="281">
        <f t="shared" si="433"/>
        <v>0</v>
      </c>
      <c r="BJ197" s="281">
        <f t="shared" si="433"/>
        <v>0</v>
      </c>
      <c r="BK197" s="281">
        <f t="shared" si="433"/>
        <v>0</v>
      </c>
      <c r="BL197" s="281">
        <f t="shared" si="433"/>
        <v>0</v>
      </c>
      <c r="BM197" s="281">
        <f t="shared" si="433"/>
        <v>0</v>
      </c>
      <c r="BN197" s="281">
        <f t="shared" si="433"/>
        <v>0</v>
      </c>
      <c r="BO197" s="281">
        <f t="shared" si="433"/>
        <v>0</v>
      </c>
      <c r="BP197" s="281">
        <f t="shared" si="433"/>
        <v>0</v>
      </c>
      <c r="BQ197" s="281">
        <f t="shared" si="433"/>
        <v>0</v>
      </c>
      <c r="BR197" s="281">
        <f t="shared" ref="BR197:CV197" si="434" xml:space="preserve"> BR$105</f>
        <v>0</v>
      </c>
      <c r="BS197" s="281">
        <f t="shared" si="434"/>
        <v>0</v>
      </c>
      <c r="BT197" s="281">
        <f t="shared" si="434"/>
        <v>0</v>
      </c>
      <c r="BU197" s="281">
        <f t="shared" si="434"/>
        <v>0</v>
      </c>
      <c r="BV197" s="281">
        <f t="shared" si="434"/>
        <v>0</v>
      </c>
      <c r="BW197" s="281">
        <f t="shared" si="434"/>
        <v>0</v>
      </c>
      <c r="BX197" s="281">
        <f t="shared" si="434"/>
        <v>0</v>
      </c>
      <c r="BY197" s="281">
        <f t="shared" si="434"/>
        <v>0</v>
      </c>
      <c r="BZ197" s="281">
        <f t="shared" si="434"/>
        <v>0</v>
      </c>
      <c r="CA197" s="281">
        <f t="shared" si="434"/>
        <v>0</v>
      </c>
      <c r="CB197" s="281">
        <f t="shared" si="434"/>
        <v>0</v>
      </c>
      <c r="CC197" s="281">
        <f t="shared" si="434"/>
        <v>0</v>
      </c>
      <c r="CD197" s="281">
        <f t="shared" si="434"/>
        <v>0</v>
      </c>
      <c r="CE197" s="281">
        <f t="shared" si="434"/>
        <v>0</v>
      </c>
      <c r="CF197" s="281">
        <f t="shared" si="434"/>
        <v>0</v>
      </c>
      <c r="CG197" s="281">
        <f t="shared" si="434"/>
        <v>0</v>
      </c>
      <c r="CH197" s="281">
        <f t="shared" si="434"/>
        <v>0</v>
      </c>
      <c r="CI197" s="281">
        <f t="shared" si="434"/>
        <v>0</v>
      </c>
      <c r="CJ197" s="281">
        <f t="shared" si="434"/>
        <v>0</v>
      </c>
      <c r="CK197" s="281">
        <f t="shared" si="434"/>
        <v>0</v>
      </c>
      <c r="CL197" s="281">
        <f t="shared" si="434"/>
        <v>0</v>
      </c>
      <c r="CM197" s="281">
        <f t="shared" si="434"/>
        <v>0</v>
      </c>
      <c r="CN197" s="281">
        <f t="shared" si="434"/>
        <v>0</v>
      </c>
      <c r="CO197" s="281">
        <f t="shared" si="434"/>
        <v>0</v>
      </c>
      <c r="CP197" s="281">
        <f t="shared" si="434"/>
        <v>0</v>
      </c>
      <c r="CQ197" s="281">
        <f t="shared" si="434"/>
        <v>0</v>
      </c>
      <c r="CR197" s="281">
        <f t="shared" si="434"/>
        <v>0</v>
      </c>
      <c r="CS197" s="281">
        <f t="shared" si="434"/>
        <v>0</v>
      </c>
      <c r="CT197" s="281">
        <f t="shared" si="434"/>
        <v>0</v>
      </c>
      <c r="CU197" s="281">
        <f t="shared" si="434"/>
        <v>0</v>
      </c>
      <c r="CV197" s="281">
        <f t="shared" si="434"/>
        <v>0</v>
      </c>
    </row>
    <row r="198" spans="1:100" outlineLevel="1" x14ac:dyDescent="0.2">
      <c r="A198" s="236"/>
      <c r="B198" s="236"/>
      <c r="C198" s="237"/>
      <c r="D198" s="238"/>
      <c r="E198" s="281" t="str">
        <f xml:space="preserve"> E$194</f>
        <v>Cash received from invoices - P99</v>
      </c>
      <c r="F198" s="281">
        <f t="shared" ref="F198:BQ198" si="435" xml:space="preserve"> F$194</f>
        <v>0</v>
      </c>
      <c r="G198" s="281" t="str">
        <f t="shared" si="435"/>
        <v>$ 000s</v>
      </c>
      <c r="H198" s="281">
        <f t="shared" si="435"/>
        <v>644768.81716164469</v>
      </c>
      <c r="I198" s="281">
        <f t="shared" si="435"/>
        <v>0</v>
      </c>
      <c r="J198" s="281">
        <f t="shared" si="435"/>
        <v>0</v>
      </c>
      <c r="K198" s="281">
        <f t="shared" si="435"/>
        <v>0</v>
      </c>
      <c r="L198" s="281">
        <f t="shared" si="435"/>
        <v>0</v>
      </c>
      <c r="M198" s="281">
        <f t="shared" si="435"/>
        <v>0</v>
      </c>
      <c r="N198" s="281">
        <f t="shared" si="435"/>
        <v>0</v>
      </c>
      <c r="O198" s="281">
        <f t="shared" si="435"/>
        <v>12358.989822331205</v>
      </c>
      <c r="P198" s="281">
        <f t="shared" si="435"/>
        <v>16293.784864935164</v>
      </c>
      <c r="Q198" s="281">
        <f t="shared" si="435"/>
        <v>16406.480305625562</v>
      </c>
      <c r="R198" s="281">
        <f t="shared" si="435"/>
        <v>16267.498969578723</v>
      </c>
      <c r="S198" s="281">
        <f t="shared" si="435"/>
        <v>16380.10521605006</v>
      </c>
      <c r="T198" s="281">
        <f t="shared" si="435"/>
        <v>16241.377576336608</v>
      </c>
      <c r="U198" s="281">
        <f t="shared" si="435"/>
        <v>16353.897245186161</v>
      </c>
      <c r="V198" s="281">
        <f t="shared" si="435"/>
        <v>16237.663396395928</v>
      </c>
      <c r="W198" s="281">
        <f t="shared" si="435"/>
        <v>16305.61708895431</v>
      </c>
      <c r="X198" s="281">
        <f t="shared" si="435"/>
        <v>16189.635066035691</v>
      </c>
      <c r="Y198" s="281">
        <f t="shared" si="435"/>
        <v>16301.989584478726</v>
      </c>
      <c r="Z198" s="281">
        <f t="shared" si="435"/>
        <v>16164.017416463272</v>
      </c>
      <c r="AA198" s="281">
        <f t="shared" si="435"/>
        <v>16276.293441431684</v>
      </c>
      <c r="AB198" s="281">
        <f t="shared" si="435"/>
        <v>16138.571205156466</v>
      </c>
      <c r="AC198" s="281">
        <f t="shared" si="435"/>
        <v>16250.771511893454</v>
      </c>
      <c r="AD198" s="281">
        <f t="shared" si="435"/>
        <v>16135.399204871665</v>
      </c>
      <c r="AE198" s="281">
        <f t="shared" si="435"/>
        <v>16203.324702567816</v>
      </c>
      <c r="AF198" s="281">
        <f t="shared" si="435"/>
        <v>16088.20040845123</v>
      </c>
      <c r="AG198" s="281">
        <f t="shared" si="435"/>
        <v>16200.257771220247</v>
      </c>
      <c r="AH198" s="281">
        <f t="shared" si="435"/>
        <v>16063.279567217622</v>
      </c>
      <c r="AI198" s="281">
        <f t="shared" si="435"/>
        <v>16175.269789551869</v>
      </c>
      <c r="AJ198" s="281">
        <f t="shared" si="435"/>
        <v>16038.537653844911</v>
      </c>
      <c r="AK198" s="281">
        <f t="shared" si="435"/>
        <v>16150.463681618712</v>
      </c>
      <c r="AL198" s="281">
        <f t="shared" si="435"/>
        <v>16035.941356420153</v>
      </c>
      <c r="AM198" s="281">
        <f t="shared" si="435"/>
        <v>16103.876731084378</v>
      </c>
      <c r="AN198" s="281">
        <f t="shared" si="435"/>
        <v>15989.598502688459</v>
      </c>
      <c r="AO198" s="281">
        <f t="shared" si="435"/>
        <v>16101.405158312662</v>
      </c>
      <c r="AP198" s="281">
        <f t="shared" si="435"/>
        <v>15965.405306006292</v>
      </c>
      <c r="AQ198" s="281">
        <f t="shared" si="435"/>
        <v>16077.15687577596</v>
      </c>
      <c r="AR198" s="281">
        <f t="shared" si="435"/>
        <v>15941.399120747275</v>
      </c>
      <c r="AS198" s="281">
        <f t="shared" si="435"/>
        <v>16053.09873403557</v>
      </c>
      <c r="AT198" s="281">
        <f t="shared" si="435"/>
        <v>15939.414575656778</v>
      </c>
      <c r="AU198" s="281">
        <f t="shared" si="435"/>
        <v>16007.4003897983</v>
      </c>
      <c r="AV198" s="281">
        <f t="shared" si="435"/>
        <v>15893.956299950896</v>
      </c>
      <c r="AW198" s="281">
        <f t="shared" si="435"/>
        <v>16005.561581253967</v>
      </c>
      <c r="AX198" s="281">
        <f t="shared" si="435"/>
        <v>15870.524024206821</v>
      </c>
      <c r="AY198" s="281">
        <f t="shared" si="435"/>
        <v>15982.087028647262</v>
      </c>
      <c r="AZ198" s="281">
        <f t="shared" si="435"/>
        <v>15847.287480932011</v>
      </c>
      <c r="BA198" s="281">
        <f t="shared" si="435"/>
        <v>15958.811535197226</v>
      </c>
      <c r="BB198" s="281">
        <f t="shared" si="435"/>
        <v>19774.466970733549</v>
      </c>
      <c r="BC198" s="281">
        <f t="shared" si="435"/>
        <v>0</v>
      </c>
      <c r="BD198" s="281">
        <f t="shared" si="435"/>
        <v>0</v>
      </c>
      <c r="BE198" s="281">
        <f t="shared" si="435"/>
        <v>0</v>
      </c>
      <c r="BF198" s="281">
        <f t="shared" si="435"/>
        <v>0</v>
      </c>
      <c r="BG198" s="281">
        <f t="shared" si="435"/>
        <v>0</v>
      </c>
      <c r="BH198" s="281">
        <f t="shared" si="435"/>
        <v>0</v>
      </c>
      <c r="BI198" s="281">
        <f t="shared" si="435"/>
        <v>0</v>
      </c>
      <c r="BJ198" s="281">
        <f t="shared" si="435"/>
        <v>0</v>
      </c>
      <c r="BK198" s="281">
        <f t="shared" si="435"/>
        <v>0</v>
      </c>
      <c r="BL198" s="281">
        <f t="shared" si="435"/>
        <v>0</v>
      </c>
      <c r="BM198" s="281">
        <f t="shared" si="435"/>
        <v>0</v>
      </c>
      <c r="BN198" s="281">
        <f t="shared" si="435"/>
        <v>0</v>
      </c>
      <c r="BO198" s="281">
        <f t="shared" si="435"/>
        <v>0</v>
      </c>
      <c r="BP198" s="281">
        <f t="shared" si="435"/>
        <v>0</v>
      </c>
      <c r="BQ198" s="281">
        <f t="shared" si="435"/>
        <v>0</v>
      </c>
      <c r="BR198" s="281">
        <f t="shared" ref="BR198:CV198" si="436" xml:space="preserve"> BR$194</f>
        <v>0</v>
      </c>
      <c r="BS198" s="281">
        <f t="shared" si="436"/>
        <v>0</v>
      </c>
      <c r="BT198" s="281">
        <f t="shared" si="436"/>
        <v>0</v>
      </c>
      <c r="BU198" s="281">
        <f t="shared" si="436"/>
        <v>0</v>
      </c>
      <c r="BV198" s="281">
        <f t="shared" si="436"/>
        <v>0</v>
      </c>
      <c r="BW198" s="281">
        <f t="shared" si="436"/>
        <v>0</v>
      </c>
      <c r="BX198" s="281">
        <f t="shared" si="436"/>
        <v>0</v>
      </c>
      <c r="BY198" s="281">
        <f t="shared" si="436"/>
        <v>0</v>
      </c>
      <c r="BZ198" s="281">
        <f t="shared" si="436"/>
        <v>0</v>
      </c>
      <c r="CA198" s="281">
        <f t="shared" si="436"/>
        <v>0</v>
      </c>
      <c r="CB198" s="281">
        <f t="shared" si="436"/>
        <v>0</v>
      </c>
      <c r="CC198" s="281">
        <f t="shared" si="436"/>
        <v>0</v>
      </c>
      <c r="CD198" s="281">
        <f t="shared" si="436"/>
        <v>0</v>
      </c>
      <c r="CE198" s="281">
        <f t="shared" si="436"/>
        <v>0</v>
      </c>
      <c r="CF198" s="281">
        <f t="shared" si="436"/>
        <v>0</v>
      </c>
      <c r="CG198" s="281">
        <f t="shared" si="436"/>
        <v>0</v>
      </c>
      <c r="CH198" s="281">
        <f t="shared" si="436"/>
        <v>0</v>
      </c>
      <c r="CI198" s="281">
        <f t="shared" si="436"/>
        <v>0</v>
      </c>
      <c r="CJ198" s="281">
        <f t="shared" si="436"/>
        <v>0</v>
      </c>
      <c r="CK198" s="281">
        <f t="shared" si="436"/>
        <v>0</v>
      </c>
      <c r="CL198" s="281">
        <f t="shared" si="436"/>
        <v>0</v>
      </c>
      <c r="CM198" s="281">
        <f t="shared" si="436"/>
        <v>0</v>
      </c>
      <c r="CN198" s="281">
        <f t="shared" si="436"/>
        <v>0</v>
      </c>
      <c r="CO198" s="281">
        <f t="shared" si="436"/>
        <v>0</v>
      </c>
      <c r="CP198" s="281">
        <f t="shared" si="436"/>
        <v>0</v>
      </c>
      <c r="CQ198" s="281">
        <f t="shared" si="436"/>
        <v>0</v>
      </c>
      <c r="CR198" s="281">
        <f t="shared" si="436"/>
        <v>0</v>
      </c>
      <c r="CS198" s="281">
        <f t="shared" si="436"/>
        <v>0</v>
      </c>
      <c r="CT198" s="281">
        <f t="shared" si="436"/>
        <v>0</v>
      </c>
      <c r="CU198" s="281">
        <f t="shared" si="436"/>
        <v>0</v>
      </c>
      <c r="CV198" s="281">
        <f t="shared" si="436"/>
        <v>0</v>
      </c>
    </row>
    <row r="199" spans="1:100" outlineLevel="1" x14ac:dyDescent="0.2">
      <c r="A199" s="391"/>
      <c r="B199" s="391"/>
      <c r="C199" s="392"/>
      <c r="D199" s="393"/>
      <c r="E199" s="395" t="s">
        <v>1175</v>
      </c>
      <c r="F199" s="395"/>
      <c r="G199" s="395" t="str">
        <f xml:space="preserve"> SMU</f>
        <v>$ 000s</v>
      </c>
      <c r="H199" s="395"/>
      <c r="I199" s="395"/>
      <c r="J199" s="395">
        <f t="shared" ref="J199:AO199" si="437" xml:space="preserve"> J196 + J197 - J198</f>
        <v>0</v>
      </c>
      <c r="K199" s="395">
        <f t="shared" si="437"/>
        <v>0</v>
      </c>
      <c r="L199" s="395">
        <f t="shared" si="437"/>
        <v>0</v>
      </c>
      <c r="M199" s="395">
        <f t="shared" si="437"/>
        <v>0</v>
      </c>
      <c r="N199" s="395">
        <f t="shared" si="437"/>
        <v>0</v>
      </c>
      <c r="O199" s="395">
        <f t="shared" si="437"/>
        <v>4001.1118129849237</v>
      </c>
      <c r="P199" s="395">
        <f t="shared" si="437"/>
        <v>4067.4285833658887</v>
      </c>
      <c r="Q199" s="395">
        <f t="shared" si="437"/>
        <v>3994.6570323862252</v>
      </c>
      <c r="R199" s="395">
        <f t="shared" si="437"/>
        <v>4060.8668174533996</v>
      </c>
      <c r="S199" s="395">
        <f t="shared" si="437"/>
        <v>3988.2426470276969</v>
      </c>
      <c r="T199" s="395">
        <f t="shared" si="437"/>
        <v>4054.3461163154479</v>
      </c>
      <c r="U199" s="395">
        <f t="shared" si="437"/>
        <v>3981.8690704977143</v>
      </c>
      <c r="V199" s="395">
        <f t="shared" si="437"/>
        <v>4025.6258734702169</v>
      </c>
      <c r="W199" s="395">
        <f t="shared" si="437"/>
        <v>3975.5367244372974</v>
      </c>
      <c r="X199" s="395">
        <f t="shared" si="437"/>
        <v>4041.4295983229968</v>
      </c>
      <c r="Y199" s="395">
        <f t="shared" si="437"/>
        <v>3969.2460386835101</v>
      </c>
      <c r="Z199" s="395">
        <f t="shared" si="437"/>
        <v>4035.0346470594795</v>
      </c>
      <c r="AA199" s="395">
        <f t="shared" si="437"/>
        <v>3962.9974514154601</v>
      </c>
      <c r="AB199" s="395">
        <f t="shared" si="437"/>
        <v>4028.682492046657</v>
      </c>
      <c r="AC199" s="395">
        <f t="shared" si="437"/>
        <v>3956.7914093029212</v>
      </c>
      <c r="AD199" s="395">
        <f t="shared" si="437"/>
        <v>4000.2726335809748</v>
      </c>
      <c r="AE199" s="395">
        <f t="shared" si="437"/>
        <v>3950.6283676576113</v>
      </c>
      <c r="AF199" s="395">
        <f t="shared" si="437"/>
        <v>4016.1083958508316</v>
      </c>
      <c r="AG199" s="395">
        <f t="shared" si="437"/>
        <v>3944.5087905872206</v>
      </c>
      <c r="AH199" s="395">
        <f t="shared" si="437"/>
        <v>4009.8873893262353</v>
      </c>
      <c r="AI199" s="395">
        <f t="shared" si="437"/>
        <v>3938.433151152185</v>
      </c>
      <c r="AJ199" s="395">
        <f t="shared" si="437"/>
        <v>4003.7110486850925</v>
      </c>
      <c r="AK199" s="395">
        <f t="shared" si="437"/>
        <v>3932.4019315252735</v>
      </c>
      <c r="AL199" s="395">
        <f t="shared" si="437"/>
        <v>3975.6151395640118</v>
      </c>
      <c r="AM199" s="395">
        <f t="shared" si="437"/>
        <v>3926.4156231540746</v>
      </c>
      <c r="AN199" s="395">
        <f t="shared" si="437"/>
        <v>3991.4943351400543</v>
      </c>
      <c r="AO199" s="395">
        <f t="shared" si="437"/>
        <v>3920.4747269263844</v>
      </c>
      <c r="AP199" s="395">
        <f t="shared" ref="AP199:BU199" si="438" xml:space="preserve"> AP196 + AP197 - AP198</f>
        <v>3985.4549710190859</v>
      </c>
      <c r="AQ199" s="395">
        <f t="shared" si="438"/>
        <v>3914.5797533385557</v>
      </c>
      <c r="AR199" s="395">
        <f t="shared" si="438"/>
        <v>3979.462290686708</v>
      </c>
      <c r="AS199" s="395">
        <f t="shared" si="438"/>
        <v>3908.7312226668964</v>
      </c>
      <c r="AT199" s="395">
        <f t="shared" si="438"/>
        <v>3951.6843130258749</v>
      </c>
      <c r="AU199" s="395">
        <f t="shared" si="438"/>
        <v>3902.9296651421519</v>
      </c>
      <c r="AV199" s="395">
        <f t="shared" si="438"/>
        <v>3967.6191071058347</v>
      </c>
      <c r="AW199" s="395">
        <f t="shared" si="438"/>
        <v>3897.1756211270931</v>
      </c>
      <c r="AX199" s="395">
        <f t="shared" si="438"/>
        <v>3961.7696921954994</v>
      </c>
      <c r="AY199" s="395">
        <f t="shared" si="438"/>
        <v>3891.4696412973335</v>
      </c>
      <c r="AZ199" s="395">
        <f t="shared" si="438"/>
        <v>3955.9691381144166</v>
      </c>
      <c r="BA199" s="395">
        <f t="shared" si="438"/>
        <v>3885.8122868253704</v>
      </c>
      <c r="BB199" s="395">
        <f t="shared" si="438"/>
        <v>0</v>
      </c>
      <c r="BC199" s="395">
        <f t="shared" si="438"/>
        <v>0</v>
      </c>
      <c r="BD199" s="395">
        <f t="shared" si="438"/>
        <v>0</v>
      </c>
      <c r="BE199" s="395">
        <f t="shared" si="438"/>
        <v>0</v>
      </c>
      <c r="BF199" s="395">
        <f t="shared" si="438"/>
        <v>0</v>
      </c>
      <c r="BG199" s="395">
        <f t="shared" si="438"/>
        <v>0</v>
      </c>
      <c r="BH199" s="395">
        <f t="shared" si="438"/>
        <v>0</v>
      </c>
      <c r="BI199" s="395">
        <f t="shared" si="438"/>
        <v>0</v>
      </c>
      <c r="BJ199" s="395">
        <f t="shared" si="438"/>
        <v>0</v>
      </c>
      <c r="BK199" s="395">
        <f t="shared" si="438"/>
        <v>0</v>
      </c>
      <c r="BL199" s="395">
        <f t="shared" si="438"/>
        <v>0</v>
      </c>
      <c r="BM199" s="395">
        <f t="shared" si="438"/>
        <v>0</v>
      </c>
      <c r="BN199" s="395">
        <f t="shared" si="438"/>
        <v>0</v>
      </c>
      <c r="BO199" s="395">
        <f t="shared" si="438"/>
        <v>0</v>
      </c>
      <c r="BP199" s="395">
        <f t="shared" si="438"/>
        <v>0</v>
      </c>
      <c r="BQ199" s="395">
        <f t="shared" si="438"/>
        <v>0</v>
      </c>
      <c r="BR199" s="395">
        <f t="shared" si="438"/>
        <v>0</v>
      </c>
      <c r="BS199" s="395">
        <f t="shared" si="438"/>
        <v>0</v>
      </c>
      <c r="BT199" s="395">
        <f t="shared" si="438"/>
        <v>0</v>
      </c>
      <c r="BU199" s="395">
        <f t="shared" si="438"/>
        <v>0</v>
      </c>
      <c r="BV199" s="395">
        <f t="shared" ref="BV199:CV199" si="439" xml:space="preserve"> BV196 + BV197 - BV198</f>
        <v>0</v>
      </c>
      <c r="BW199" s="395">
        <f t="shared" si="439"/>
        <v>0</v>
      </c>
      <c r="BX199" s="395">
        <f t="shared" si="439"/>
        <v>0</v>
      </c>
      <c r="BY199" s="395">
        <f t="shared" si="439"/>
        <v>0</v>
      </c>
      <c r="BZ199" s="395">
        <f t="shared" si="439"/>
        <v>0</v>
      </c>
      <c r="CA199" s="395">
        <f t="shared" si="439"/>
        <v>0</v>
      </c>
      <c r="CB199" s="395">
        <f t="shared" si="439"/>
        <v>0</v>
      </c>
      <c r="CC199" s="395">
        <f t="shared" si="439"/>
        <v>0</v>
      </c>
      <c r="CD199" s="395">
        <f t="shared" si="439"/>
        <v>0</v>
      </c>
      <c r="CE199" s="395">
        <f t="shared" si="439"/>
        <v>0</v>
      </c>
      <c r="CF199" s="395">
        <f t="shared" si="439"/>
        <v>0</v>
      </c>
      <c r="CG199" s="395">
        <f t="shared" si="439"/>
        <v>0</v>
      </c>
      <c r="CH199" s="395">
        <f t="shared" si="439"/>
        <v>0</v>
      </c>
      <c r="CI199" s="395">
        <f t="shared" si="439"/>
        <v>0</v>
      </c>
      <c r="CJ199" s="395">
        <f t="shared" si="439"/>
        <v>0</v>
      </c>
      <c r="CK199" s="395">
        <f t="shared" si="439"/>
        <v>0</v>
      </c>
      <c r="CL199" s="395">
        <f t="shared" si="439"/>
        <v>0</v>
      </c>
      <c r="CM199" s="395">
        <f t="shared" si="439"/>
        <v>0</v>
      </c>
      <c r="CN199" s="395">
        <f t="shared" si="439"/>
        <v>0</v>
      </c>
      <c r="CO199" s="395">
        <f t="shared" si="439"/>
        <v>0</v>
      </c>
      <c r="CP199" s="395">
        <f t="shared" si="439"/>
        <v>0</v>
      </c>
      <c r="CQ199" s="395">
        <f t="shared" si="439"/>
        <v>0</v>
      </c>
      <c r="CR199" s="395">
        <f t="shared" si="439"/>
        <v>0</v>
      </c>
      <c r="CS199" s="395">
        <f t="shared" si="439"/>
        <v>0</v>
      </c>
      <c r="CT199" s="395">
        <f t="shared" si="439"/>
        <v>0</v>
      </c>
      <c r="CU199" s="395">
        <f t="shared" si="439"/>
        <v>0</v>
      </c>
      <c r="CV199" s="395">
        <f t="shared" si="439"/>
        <v>0</v>
      </c>
    </row>
    <row r="200" spans="1:100" outlineLevel="1" x14ac:dyDescent="0.2">
      <c r="A200" s="236"/>
      <c r="B200" s="236"/>
      <c r="C200" s="237"/>
      <c r="D200" s="238"/>
      <c r="E200" s="235"/>
      <c r="F200" s="235"/>
      <c r="G200" s="235"/>
      <c r="H200" s="235"/>
      <c r="I200" s="235"/>
      <c r="J200" s="235"/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  <c r="AW200" s="235"/>
      <c r="AX200" s="235"/>
      <c r="AY200" s="235"/>
      <c r="AZ200" s="235"/>
      <c r="BA200" s="235"/>
      <c r="BB200" s="235"/>
      <c r="BC200" s="235"/>
      <c r="BD200" s="235"/>
      <c r="BE200" s="235"/>
      <c r="BF200" s="235"/>
      <c r="BG200" s="235"/>
      <c r="BH200" s="235"/>
      <c r="BI200" s="235"/>
      <c r="BJ200" s="235"/>
      <c r="BK200" s="235"/>
      <c r="BL200" s="235"/>
      <c r="BM200" s="235"/>
      <c r="BN200" s="235"/>
      <c r="BO200" s="235"/>
      <c r="BP200" s="235"/>
      <c r="BQ200" s="235"/>
      <c r="BR200" s="235"/>
      <c r="BS200" s="235"/>
      <c r="BT200" s="235"/>
      <c r="BU200" s="235"/>
      <c r="BV200" s="235"/>
      <c r="BW200" s="235"/>
      <c r="BX200" s="235"/>
      <c r="BY200" s="235"/>
      <c r="BZ200" s="235"/>
      <c r="CA200" s="235"/>
      <c r="CB200" s="235"/>
      <c r="CC200" s="235"/>
      <c r="CD200" s="235"/>
      <c r="CE200" s="235"/>
      <c r="CF200" s="235"/>
      <c r="CG200" s="235"/>
      <c r="CH200" s="235"/>
      <c r="CI200" s="235"/>
      <c r="CJ200" s="235"/>
      <c r="CK200" s="235"/>
      <c r="CL200" s="235"/>
      <c r="CM200" s="235"/>
      <c r="CN200" s="235"/>
      <c r="CO200" s="235"/>
      <c r="CP200" s="235"/>
      <c r="CQ200" s="235"/>
      <c r="CR200" s="235"/>
      <c r="CS200" s="235"/>
      <c r="CT200" s="235"/>
      <c r="CU200" s="235"/>
      <c r="CV200" s="235"/>
    </row>
    <row r="201" spans="1:100" outlineLevel="1" x14ac:dyDescent="0.2">
      <c r="A201" s="79"/>
      <c r="B201" s="79" t="s">
        <v>426</v>
      </c>
      <c r="C201" s="561"/>
      <c r="D201" s="60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AJ201" s="235"/>
      <c r="AK201" s="235"/>
      <c r="AL201" s="235"/>
      <c r="AM201" s="235"/>
      <c r="AN201" s="235"/>
      <c r="AO201" s="235"/>
      <c r="AP201" s="235"/>
      <c r="AQ201" s="235"/>
      <c r="AR201" s="235"/>
      <c r="AS201" s="235"/>
      <c r="AT201" s="235"/>
      <c r="AU201" s="235"/>
      <c r="AV201" s="235"/>
      <c r="AW201" s="235"/>
      <c r="AX201" s="235"/>
      <c r="AY201" s="235"/>
      <c r="AZ201" s="235"/>
      <c r="BA201" s="235"/>
      <c r="BB201" s="235"/>
      <c r="BC201" s="235"/>
      <c r="BD201" s="235"/>
      <c r="BE201" s="235"/>
      <c r="BF201" s="235"/>
      <c r="BG201" s="235"/>
      <c r="BH201" s="235"/>
      <c r="BI201" s="235"/>
      <c r="BJ201" s="235"/>
      <c r="BK201" s="235"/>
      <c r="BL201" s="235"/>
      <c r="BM201" s="235"/>
      <c r="BN201" s="235"/>
      <c r="BO201" s="235"/>
      <c r="BP201" s="235"/>
      <c r="BQ201" s="235"/>
      <c r="BR201" s="235"/>
      <c r="BS201" s="235"/>
      <c r="BT201" s="235"/>
      <c r="BU201" s="235"/>
      <c r="BV201" s="235"/>
      <c r="BW201" s="235"/>
      <c r="BX201" s="235"/>
      <c r="BY201" s="235"/>
      <c r="BZ201" s="235"/>
      <c r="CA201" s="235"/>
      <c r="CB201" s="235"/>
      <c r="CC201" s="235"/>
      <c r="CD201" s="235"/>
      <c r="CE201" s="235"/>
      <c r="CF201" s="235"/>
      <c r="CG201" s="235"/>
      <c r="CH201" s="235"/>
      <c r="CI201" s="235"/>
      <c r="CJ201" s="235"/>
      <c r="CK201" s="235"/>
      <c r="CL201" s="235"/>
      <c r="CM201" s="235"/>
      <c r="CN201" s="235"/>
      <c r="CO201" s="235"/>
      <c r="CP201" s="235"/>
      <c r="CQ201" s="235"/>
      <c r="CR201" s="235"/>
      <c r="CS201" s="235"/>
      <c r="CT201" s="235"/>
      <c r="CU201" s="235"/>
      <c r="CV201" s="235"/>
    </row>
    <row r="202" spans="1:100" outlineLevel="2" x14ac:dyDescent="0.2">
      <c r="A202" s="79"/>
      <c r="B202" s="79"/>
      <c r="C202" s="561"/>
      <c r="D202" s="60"/>
      <c r="E202" s="32" t="str">
        <f t="shared" ref="E202:AJ202" si="440" xml:space="preserve"> E$196</f>
        <v>Accounts receivable balance - P99 BEG</v>
      </c>
      <c r="F202" s="32">
        <f t="shared" si="440"/>
        <v>0</v>
      </c>
      <c r="G202" s="32" t="str">
        <f t="shared" si="440"/>
        <v>$ 000s</v>
      </c>
      <c r="H202" s="32">
        <f t="shared" si="440"/>
        <v>0</v>
      </c>
      <c r="I202" s="32">
        <f t="shared" si="440"/>
        <v>0</v>
      </c>
      <c r="J202" s="32">
        <f t="shared" si="440"/>
        <v>0</v>
      </c>
      <c r="K202" s="32">
        <f t="shared" si="440"/>
        <v>0</v>
      </c>
      <c r="L202" s="32">
        <f t="shared" si="440"/>
        <v>0</v>
      </c>
      <c r="M202" s="32">
        <f t="shared" si="440"/>
        <v>0</v>
      </c>
      <c r="N202" s="32">
        <f t="shared" si="440"/>
        <v>0</v>
      </c>
      <c r="O202" s="32">
        <f t="shared" si="440"/>
        <v>0</v>
      </c>
      <c r="P202" s="32">
        <f t="shared" si="440"/>
        <v>4001.1118129849237</v>
      </c>
      <c r="Q202" s="32">
        <f t="shared" si="440"/>
        <v>4067.4285833658887</v>
      </c>
      <c r="R202" s="32">
        <f t="shared" si="440"/>
        <v>3994.6570323862252</v>
      </c>
      <c r="S202" s="32">
        <f t="shared" si="440"/>
        <v>4060.8668174533996</v>
      </c>
      <c r="T202" s="32">
        <f t="shared" si="440"/>
        <v>3988.2426470276969</v>
      </c>
      <c r="U202" s="32">
        <f t="shared" si="440"/>
        <v>4054.3461163154479</v>
      </c>
      <c r="V202" s="32">
        <f t="shared" si="440"/>
        <v>3981.8690704977143</v>
      </c>
      <c r="W202" s="32">
        <f t="shared" si="440"/>
        <v>4025.6258734702169</v>
      </c>
      <c r="X202" s="32">
        <f t="shared" si="440"/>
        <v>3975.5367244372974</v>
      </c>
      <c r="Y202" s="32">
        <f t="shared" si="440"/>
        <v>4041.4295983229968</v>
      </c>
      <c r="Z202" s="32">
        <f t="shared" si="440"/>
        <v>3969.2460386835101</v>
      </c>
      <c r="AA202" s="32">
        <f t="shared" si="440"/>
        <v>4035.0346470594795</v>
      </c>
      <c r="AB202" s="32">
        <f t="shared" si="440"/>
        <v>3962.9974514154601</v>
      </c>
      <c r="AC202" s="32">
        <f t="shared" si="440"/>
        <v>4028.682492046657</v>
      </c>
      <c r="AD202" s="32">
        <f t="shared" si="440"/>
        <v>3956.7914093029212</v>
      </c>
      <c r="AE202" s="32">
        <f t="shared" si="440"/>
        <v>4000.2726335809748</v>
      </c>
      <c r="AF202" s="32">
        <f t="shared" si="440"/>
        <v>3950.6283676576113</v>
      </c>
      <c r="AG202" s="32">
        <f t="shared" si="440"/>
        <v>4016.1083958508316</v>
      </c>
      <c r="AH202" s="32">
        <f t="shared" si="440"/>
        <v>3944.5087905872206</v>
      </c>
      <c r="AI202" s="32">
        <f t="shared" si="440"/>
        <v>4009.8873893262353</v>
      </c>
      <c r="AJ202" s="32">
        <f t="shared" si="440"/>
        <v>3938.433151152185</v>
      </c>
      <c r="AK202" s="32">
        <f t="shared" ref="AK202:BP202" si="441" xml:space="preserve"> AK$196</f>
        <v>4003.7110486850925</v>
      </c>
      <c r="AL202" s="32">
        <f t="shared" si="441"/>
        <v>3932.4019315252735</v>
      </c>
      <c r="AM202" s="32">
        <f t="shared" si="441"/>
        <v>3975.6151395640118</v>
      </c>
      <c r="AN202" s="32">
        <f t="shared" si="441"/>
        <v>3926.4156231540746</v>
      </c>
      <c r="AO202" s="32">
        <f t="shared" si="441"/>
        <v>3991.4943351400543</v>
      </c>
      <c r="AP202" s="32">
        <f t="shared" si="441"/>
        <v>3920.4747269263844</v>
      </c>
      <c r="AQ202" s="32">
        <f t="shared" si="441"/>
        <v>3985.4549710190859</v>
      </c>
      <c r="AR202" s="32">
        <f t="shared" si="441"/>
        <v>3914.5797533385557</v>
      </c>
      <c r="AS202" s="32">
        <f t="shared" si="441"/>
        <v>3979.462290686708</v>
      </c>
      <c r="AT202" s="32">
        <f t="shared" si="441"/>
        <v>3908.7312226668964</v>
      </c>
      <c r="AU202" s="32">
        <f t="shared" si="441"/>
        <v>3951.6843130258749</v>
      </c>
      <c r="AV202" s="32">
        <f t="shared" si="441"/>
        <v>3902.9296651421519</v>
      </c>
      <c r="AW202" s="32">
        <f t="shared" si="441"/>
        <v>3967.6191071058347</v>
      </c>
      <c r="AX202" s="32">
        <f t="shared" si="441"/>
        <v>3897.1756211270931</v>
      </c>
      <c r="AY202" s="32">
        <f t="shared" si="441"/>
        <v>3961.7696921954994</v>
      </c>
      <c r="AZ202" s="32">
        <f t="shared" si="441"/>
        <v>3891.4696412973335</v>
      </c>
      <c r="BA202" s="32">
        <f t="shared" si="441"/>
        <v>3955.9691381144166</v>
      </c>
      <c r="BB202" s="32">
        <f t="shared" si="441"/>
        <v>3885.8122868253704</v>
      </c>
      <c r="BC202" s="32">
        <f t="shared" si="441"/>
        <v>0</v>
      </c>
      <c r="BD202" s="32">
        <f t="shared" si="441"/>
        <v>0</v>
      </c>
      <c r="BE202" s="32">
        <f t="shared" si="441"/>
        <v>0</v>
      </c>
      <c r="BF202" s="32">
        <f t="shared" si="441"/>
        <v>0</v>
      </c>
      <c r="BG202" s="32">
        <f t="shared" si="441"/>
        <v>0</v>
      </c>
      <c r="BH202" s="32">
        <f t="shared" si="441"/>
        <v>0</v>
      </c>
      <c r="BI202" s="32">
        <f t="shared" si="441"/>
        <v>0</v>
      </c>
      <c r="BJ202" s="32">
        <f t="shared" si="441"/>
        <v>0</v>
      </c>
      <c r="BK202" s="32">
        <f t="shared" si="441"/>
        <v>0</v>
      </c>
      <c r="BL202" s="32">
        <f t="shared" si="441"/>
        <v>0</v>
      </c>
      <c r="BM202" s="32">
        <f t="shared" si="441"/>
        <v>0</v>
      </c>
      <c r="BN202" s="32">
        <f t="shared" si="441"/>
        <v>0</v>
      </c>
      <c r="BO202" s="32">
        <f t="shared" si="441"/>
        <v>0</v>
      </c>
      <c r="BP202" s="32">
        <f t="shared" si="441"/>
        <v>0</v>
      </c>
      <c r="BQ202" s="32">
        <f t="shared" ref="BQ202:CV202" si="442" xml:space="preserve"> BQ$196</f>
        <v>0</v>
      </c>
      <c r="BR202" s="32">
        <f t="shared" si="442"/>
        <v>0</v>
      </c>
      <c r="BS202" s="32">
        <f t="shared" si="442"/>
        <v>0</v>
      </c>
      <c r="BT202" s="32">
        <f t="shared" si="442"/>
        <v>0</v>
      </c>
      <c r="BU202" s="32">
        <f t="shared" si="442"/>
        <v>0</v>
      </c>
      <c r="BV202" s="32">
        <f t="shared" si="442"/>
        <v>0</v>
      </c>
      <c r="BW202" s="32">
        <f t="shared" si="442"/>
        <v>0</v>
      </c>
      <c r="BX202" s="32">
        <f t="shared" si="442"/>
        <v>0</v>
      </c>
      <c r="BY202" s="32">
        <f t="shared" si="442"/>
        <v>0</v>
      </c>
      <c r="BZ202" s="32">
        <f t="shared" si="442"/>
        <v>0</v>
      </c>
      <c r="CA202" s="32">
        <f t="shared" si="442"/>
        <v>0</v>
      </c>
      <c r="CB202" s="32">
        <f t="shared" si="442"/>
        <v>0</v>
      </c>
      <c r="CC202" s="32">
        <f t="shared" si="442"/>
        <v>0</v>
      </c>
      <c r="CD202" s="32">
        <f t="shared" si="442"/>
        <v>0</v>
      </c>
      <c r="CE202" s="32">
        <f t="shared" si="442"/>
        <v>0</v>
      </c>
      <c r="CF202" s="32">
        <f t="shared" si="442"/>
        <v>0</v>
      </c>
      <c r="CG202" s="32">
        <f t="shared" si="442"/>
        <v>0</v>
      </c>
      <c r="CH202" s="32">
        <f t="shared" si="442"/>
        <v>0</v>
      </c>
      <c r="CI202" s="32">
        <f t="shared" si="442"/>
        <v>0</v>
      </c>
      <c r="CJ202" s="32">
        <f t="shared" si="442"/>
        <v>0</v>
      </c>
      <c r="CK202" s="32">
        <f t="shared" si="442"/>
        <v>0</v>
      </c>
      <c r="CL202" s="32">
        <f t="shared" si="442"/>
        <v>0</v>
      </c>
      <c r="CM202" s="32">
        <f t="shared" si="442"/>
        <v>0</v>
      </c>
      <c r="CN202" s="32">
        <f t="shared" si="442"/>
        <v>0</v>
      </c>
      <c r="CO202" s="32">
        <f t="shared" si="442"/>
        <v>0</v>
      </c>
      <c r="CP202" s="32">
        <f t="shared" si="442"/>
        <v>0</v>
      </c>
      <c r="CQ202" s="32">
        <f t="shared" si="442"/>
        <v>0</v>
      </c>
      <c r="CR202" s="32">
        <f t="shared" si="442"/>
        <v>0</v>
      </c>
      <c r="CS202" s="32">
        <f t="shared" si="442"/>
        <v>0</v>
      </c>
      <c r="CT202" s="32">
        <f t="shared" si="442"/>
        <v>0</v>
      </c>
      <c r="CU202" s="32">
        <f t="shared" si="442"/>
        <v>0</v>
      </c>
      <c r="CV202" s="32">
        <f t="shared" si="442"/>
        <v>0</v>
      </c>
    </row>
    <row r="203" spans="1:100" outlineLevel="2" x14ac:dyDescent="0.2">
      <c r="A203" s="79"/>
      <c r="B203" s="79"/>
      <c r="C203" s="561"/>
      <c r="D203" s="60"/>
      <c r="E203" s="32" t="str">
        <f t="shared" ref="E203:AJ203" si="443" xml:space="preserve"> E$199</f>
        <v>Accounts receivable balance - P99</v>
      </c>
      <c r="F203" s="32">
        <f t="shared" si="443"/>
        <v>0</v>
      </c>
      <c r="G203" s="32" t="str">
        <f t="shared" si="443"/>
        <v>$ 000s</v>
      </c>
      <c r="H203" s="32">
        <f t="shared" si="443"/>
        <v>0</v>
      </c>
      <c r="I203" s="32">
        <f t="shared" si="443"/>
        <v>0</v>
      </c>
      <c r="J203" s="32">
        <f t="shared" si="443"/>
        <v>0</v>
      </c>
      <c r="K203" s="32">
        <f t="shared" si="443"/>
        <v>0</v>
      </c>
      <c r="L203" s="32">
        <f t="shared" si="443"/>
        <v>0</v>
      </c>
      <c r="M203" s="32">
        <f t="shared" si="443"/>
        <v>0</v>
      </c>
      <c r="N203" s="32">
        <f t="shared" si="443"/>
        <v>0</v>
      </c>
      <c r="O203" s="32">
        <f t="shared" si="443"/>
        <v>4001.1118129849237</v>
      </c>
      <c r="P203" s="32">
        <f t="shared" si="443"/>
        <v>4067.4285833658887</v>
      </c>
      <c r="Q203" s="32">
        <f t="shared" si="443"/>
        <v>3994.6570323862252</v>
      </c>
      <c r="R203" s="32">
        <f t="shared" si="443"/>
        <v>4060.8668174533996</v>
      </c>
      <c r="S203" s="32">
        <f t="shared" si="443"/>
        <v>3988.2426470276969</v>
      </c>
      <c r="T203" s="32">
        <f t="shared" si="443"/>
        <v>4054.3461163154479</v>
      </c>
      <c r="U203" s="32">
        <f t="shared" si="443"/>
        <v>3981.8690704977143</v>
      </c>
      <c r="V203" s="32">
        <f t="shared" si="443"/>
        <v>4025.6258734702169</v>
      </c>
      <c r="W203" s="32">
        <f t="shared" si="443"/>
        <v>3975.5367244372974</v>
      </c>
      <c r="X203" s="32">
        <f t="shared" si="443"/>
        <v>4041.4295983229968</v>
      </c>
      <c r="Y203" s="32">
        <f t="shared" si="443"/>
        <v>3969.2460386835101</v>
      </c>
      <c r="Z203" s="32">
        <f t="shared" si="443"/>
        <v>4035.0346470594795</v>
      </c>
      <c r="AA203" s="32">
        <f t="shared" si="443"/>
        <v>3962.9974514154601</v>
      </c>
      <c r="AB203" s="32">
        <f t="shared" si="443"/>
        <v>4028.682492046657</v>
      </c>
      <c r="AC203" s="32">
        <f t="shared" si="443"/>
        <v>3956.7914093029212</v>
      </c>
      <c r="AD203" s="32">
        <f t="shared" si="443"/>
        <v>4000.2726335809748</v>
      </c>
      <c r="AE203" s="32">
        <f t="shared" si="443"/>
        <v>3950.6283676576113</v>
      </c>
      <c r="AF203" s="32">
        <f t="shared" si="443"/>
        <v>4016.1083958508316</v>
      </c>
      <c r="AG203" s="32">
        <f t="shared" si="443"/>
        <v>3944.5087905872206</v>
      </c>
      <c r="AH203" s="32">
        <f t="shared" si="443"/>
        <v>4009.8873893262353</v>
      </c>
      <c r="AI203" s="32">
        <f t="shared" si="443"/>
        <v>3938.433151152185</v>
      </c>
      <c r="AJ203" s="32">
        <f t="shared" si="443"/>
        <v>4003.7110486850925</v>
      </c>
      <c r="AK203" s="32">
        <f t="shared" ref="AK203:BP203" si="444" xml:space="preserve"> AK$199</f>
        <v>3932.4019315252735</v>
      </c>
      <c r="AL203" s="32">
        <f t="shared" si="444"/>
        <v>3975.6151395640118</v>
      </c>
      <c r="AM203" s="32">
        <f t="shared" si="444"/>
        <v>3926.4156231540746</v>
      </c>
      <c r="AN203" s="32">
        <f t="shared" si="444"/>
        <v>3991.4943351400543</v>
      </c>
      <c r="AO203" s="32">
        <f t="shared" si="444"/>
        <v>3920.4747269263844</v>
      </c>
      <c r="AP203" s="32">
        <f t="shared" si="444"/>
        <v>3985.4549710190859</v>
      </c>
      <c r="AQ203" s="32">
        <f t="shared" si="444"/>
        <v>3914.5797533385557</v>
      </c>
      <c r="AR203" s="32">
        <f t="shared" si="444"/>
        <v>3979.462290686708</v>
      </c>
      <c r="AS203" s="32">
        <f t="shared" si="444"/>
        <v>3908.7312226668964</v>
      </c>
      <c r="AT203" s="32">
        <f t="shared" si="444"/>
        <v>3951.6843130258749</v>
      </c>
      <c r="AU203" s="32">
        <f t="shared" si="444"/>
        <v>3902.9296651421519</v>
      </c>
      <c r="AV203" s="32">
        <f t="shared" si="444"/>
        <v>3967.6191071058347</v>
      </c>
      <c r="AW203" s="32">
        <f t="shared" si="444"/>
        <v>3897.1756211270931</v>
      </c>
      <c r="AX203" s="32">
        <f t="shared" si="444"/>
        <v>3961.7696921954994</v>
      </c>
      <c r="AY203" s="32">
        <f t="shared" si="444"/>
        <v>3891.4696412973335</v>
      </c>
      <c r="AZ203" s="32">
        <f t="shared" si="444"/>
        <v>3955.9691381144166</v>
      </c>
      <c r="BA203" s="32">
        <f t="shared" si="444"/>
        <v>3885.8122868253704</v>
      </c>
      <c r="BB203" s="32">
        <f t="shared" si="444"/>
        <v>0</v>
      </c>
      <c r="BC203" s="32">
        <f t="shared" si="444"/>
        <v>0</v>
      </c>
      <c r="BD203" s="32">
        <f t="shared" si="444"/>
        <v>0</v>
      </c>
      <c r="BE203" s="32">
        <f t="shared" si="444"/>
        <v>0</v>
      </c>
      <c r="BF203" s="32">
        <f t="shared" si="444"/>
        <v>0</v>
      </c>
      <c r="BG203" s="32">
        <f t="shared" si="444"/>
        <v>0</v>
      </c>
      <c r="BH203" s="32">
        <f t="shared" si="444"/>
        <v>0</v>
      </c>
      <c r="BI203" s="32">
        <f t="shared" si="444"/>
        <v>0</v>
      </c>
      <c r="BJ203" s="32">
        <f t="shared" si="444"/>
        <v>0</v>
      </c>
      <c r="BK203" s="32">
        <f t="shared" si="444"/>
        <v>0</v>
      </c>
      <c r="BL203" s="32">
        <f t="shared" si="444"/>
        <v>0</v>
      </c>
      <c r="BM203" s="32">
        <f t="shared" si="444"/>
        <v>0</v>
      </c>
      <c r="BN203" s="32">
        <f t="shared" si="444"/>
        <v>0</v>
      </c>
      <c r="BO203" s="32">
        <f t="shared" si="444"/>
        <v>0</v>
      </c>
      <c r="BP203" s="32">
        <f t="shared" si="444"/>
        <v>0</v>
      </c>
      <c r="BQ203" s="32">
        <f t="shared" ref="BQ203:CV203" si="445" xml:space="preserve"> BQ$199</f>
        <v>0</v>
      </c>
      <c r="BR203" s="32">
        <f t="shared" si="445"/>
        <v>0</v>
      </c>
      <c r="BS203" s="32">
        <f t="shared" si="445"/>
        <v>0</v>
      </c>
      <c r="BT203" s="32">
        <f t="shared" si="445"/>
        <v>0</v>
      </c>
      <c r="BU203" s="32">
        <f t="shared" si="445"/>
        <v>0</v>
      </c>
      <c r="BV203" s="32">
        <f t="shared" si="445"/>
        <v>0</v>
      </c>
      <c r="BW203" s="32">
        <f t="shared" si="445"/>
        <v>0</v>
      </c>
      <c r="BX203" s="32">
        <f t="shared" si="445"/>
        <v>0</v>
      </c>
      <c r="BY203" s="32">
        <f t="shared" si="445"/>
        <v>0</v>
      </c>
      <c r="BZ203" s="32">
        <f t="shared" si="445"/>
        <v>0</v>
      </c>
      <c r="CA203" s="32">
        <f t="shared" si="445"/>
        <v>0</v>
      </c>
      <c r="CB203" s="32">
        <f t="shared" si="445"/>
        <v>0</v>
      </c>
      <c r="CC203" s="32">
        <f t="shared" si="445"/>
        <v>0</v>
      </c>
      <c r="CD203" s="32">
        <f t="shared" si="445"/>
        <v>0</v>
      </c>
      <c r="CE203" s="32">
        <f t="shared" si="445"/>
        <v>0</v>
      </c>
      <c r="CF203" s="32">
        <f t="shared" si="445"/>
        <v>0</v>
      </c>
      <c r="CG203" s="32">
        <f t="shared" si="445"/>
        <v>0</v>
      </c>
      <c r="CH203" s="32">
        <f t="shared" si="445"/>
        <v>0</v>
      </c>
      <c r="CI203" s="32">
        <f t="shared" si="445"/>
        <v>0</v>
      </c>
      <c r="CJ203" s="32">
        <f t="shared" si="445"/>
        <v>0</v>
      </c>
      <c r="CK203" s="32">
        <f t="shared" si="445"/>
        <v>0</v>
      </c>
      <c r="CL203" s="32">
        <f t="shared" si="445"/>
        <v>0</v>
      </c>
      <c r="CM203" s="32">
        <f t="shared" si="445"/>
        <v>0</v>
      </c>
      <c r="CN203" s="32">
        <f t="shared" si="445"/>
        <v>0</v>
      </c>
      <c r="CO203" s="32">
        <f t="shared" si="445"/>
        <v>0</v>
      </c>
      <c r="CP203" s="32">
        <f t="shared" si="445"/>
        <v>0</v>
      </c>
      <c r="CQ203" s="32">
        <f t="shared" si="445"/>
        <v>0</v>
      </c>
      <c r="CR203" s="32">
        <f t="shared" si="445"/>
        <v>0</v>
      </c>
      <c r="CS203" s="32">
        <f t="shared" si="445"/>
        <v>0</v>
      </c>
      <c r="CT203" s="32">
        <f t="shared" si="445"/>
        <v>0</v>
      </c>
      <c r="CU203" s="32">
        <f t="shared" si="445"/>
        <v>0</v>
      </c>
      <c r="CV203" s="32">
        <f t="shared" si="445"/>
        <v>0</v>
      </c>
    </row>
    <row r="204" spans="1:100" outlineLevel="2" x14ac:dyDescent="0.2">
      <c r="A204" s="236"/>
      <c r="B204" s="236"/>
      <c r="C204" s="237"/>
      <c r="D204" s="238"/>
      <c r="E204" s="396" t="str">
        <f xml:space="preserve"> Time!E$106</f>
        <v>Operating period flag</v>
      </c>
      <c r="F204" s="396">
        <f xml:space="preserve"> Time!F$106</f>
        <v>0</v>
      </c>
      <c r="G204" s="396" t="str">
        <f xml:space="preserve"> Time!G$106</f>
        <v>flag</v>
      </c>
      <c r="H204" s="396">
        <f xml:space="preserve"> Time!H$106</f>
        <v>40</v>
      </c>
      <c r="I204" s="396">
        <f xml:space="preserve"> Time!I$106</f>
        <v>0</v>
      </c>
      <c r="J204" s="396">
        <f xml:space="preserve"> Time!J$106</f>
        <v>0</v>
      </c>
      <c r="K204" s="396">
        <f xml:space="preserve"> Time!K$106</f>
        <v>0</v>
      </c>
      <c r="L204" s="396">
        <f xml:space="preserve"> Time!L$106</f>
        <v>0</v>
      </c>
      <c r="M204" s="396">
        <f xml:space="preserve"> Time!M$106</f>
        <v>0</v>
      </c>
      <c r="N204" s="396">
        <f xml:space="preserve"> Time!N$106</f>
        <v>0</v>
      </c>
      <c r="O204" s="396">
        <f xml:space="preserve"> Time!O$106</f>
        <v>1</v>
      </c>
      <c r="P204" s="396">
        <f xml:space="preserve"> Time!P$106</f>
        <v>1</v>
      </c>
      <c r="Q204" s="396">
        <f xml:space="preserve"> Time!Q$106</f>
        <v>1</v>
      </c>
      <c r="R204" s="396">
        <f xml:space="preserve"> Time!R$106</f>
        <v>1</v>
      </c>
      <c r="S204" s="396">
        <f xml:space="preserve"> Time!S$106</f>
        <v>1</v>
      </c>
      <c r="T204" s="396">
        <f xml:space="preserve"> Time!T$106</f>
        <v>1</v>
      </c>
      <c r="U204" s="396">
        <f xml:space="preserve"> Time!U$106</f>
        <v>1</v>
      </c>
      <c r="V204" s="396">
        <f xml:space="preserve"> Time!V$106</f>
        <v>1</v>
      </c>
      <c r="W204" s="396">
        <f xml:space="preserve"> Time!W$106</f>
        <v>1</v>
      </c>
      <c r="X204" s="396">
        <f xml:space="preserve"> Time!X$106</f>
        <v>1</v>
      </c>
      <c r="Y204" s="396">
        <f xml:space="preserve"> Time!Y$106</f>
        <v>1</v>
      </c>
      <c r="Z204" s="396">
        <f xml:space="preserve"> Time!Z$106</f>
        <v>1</v>
      </c>
      <c r="AA204" s="396">
        <f xml:space="preserve"> Time!AA$106</f>
        <v>1</v>
      </c>
      <c r="AB204" s="396">
        <f xml:space="preserve"> Time!AB$106</f>
        <v>1</v>
      </c>
      <c r="AC204" s="396">
        <f xml:space="preserve"> Time!AC$106</f>
        <v>1</v>
      </c>
      <c r="AD204" s="396">
        <f xml:space="preserve"> Time!AD$106</f>
        <v>1</v>
      </c>
      <c r="AE204" s="396">
        <f xml:space="preserve"> Time!AE$106</f>
        <v>1</v>
      </c>
      <c r="AF204" s="396">
        <f xml:space="preserve"> Time!AF$106</f>
        <v>1</v>
      </c>
      <c r="AG204" s="396">
        <f xml:space="preserve"> Time!AG$106</f>
        <v>1</v>
      </c>
      <c r="AH204" s="396">
        <f xml:space="preserve"> Time!AH$106</f>
        <v>1</v>
      </c>
      <c r="AI204" s="396">
        <f xml:space="preserve"> Time!AI$106</f>
        <v>1</v>
      </c>
      <c r="AJ204" s="396">
        <f xml:space="preserve"> Time!AJ$106</f>
        <v>1</v>
      </c>
      <c r="AK204" s="396">
        <f xml:space="preserve"> Time!AK$106</f>
        <v>1</v>
      </c>
      <c r="AL204" s="396">
        <f xml:space="preserve"> Time!AL$106</f>
        <v>1</v>
      </c>
      <c r="AM204" s="396">
        <f xml:space="preserve"> Time!AM$106</f>
        <v>1</v>
      </c>
      <c r="AN204" s="396">
        <f xml:space="preserve"> Time!AN$106</f>
        <v>1</v>
      </c>
      <c r="AO204" s="396">
        <f xml:space="preserve"> Time!AO$106</f>
        <v>1</v>
      </c>
      <c r="AP204" s="396">
        <f xml:space="preserve"> Time!AP$106</f>
        <v>1</v>
      </c>
      <c r="AQ204" s="396">
        <f xml:space="preserve"> Time!AQ$106</f>
        <v>1</v>
      </c>
      <c r="AR204" s="396">
        <f xml:space="preserve"> Time!AR$106</f>
        <v>1</v>
      </c>
      <c r="AS204" s="396">
        <f xml:space="preserve"> Time!AS$106</f>
        <v>1</v>
      </c>
      <c r="AT204" s="396">
        <f xml:space="preserve"> Time!AT$106</f>
        <v>1</v>
      </c>
      <c r="AU204" s="396">
        <f xml:space="preserve"> Time!AU$106</f>
        <v>1</v>
      </c>
      <c r="AV204" s="396">
        <f xml:space="preserve"> Time!AV$106</f>
        <v>1</v>
      </c>
      <c r="AW204" s="396">
        <f xml:space="preserve"> Time!AW$106</f>
        <v>1</v>
      </c>
      <c r="AX204" s="396">
        <f xml:space="preserve"> Time!AX$106</f>
        <v>1</v>
      </c>
      <c r="AY204" s="396">
        <f xml:space="preserve"> Time!AY$106</f>
        <v>1</v>
      </c>
      <c r="AZ204" s="396">
        <f xml:space="preserve"> Time!AZ$106</f>
        <v>1</v>
      </c>
      <c r="BA204" s="396">
        <f xml:space="preserve"> Time!BA$106</f>
        <v>1</v>
      </c>
      <c r="BB204" s="396">
        <f xml:space="preserve"> Time!BB$106</f>
        <v>1</v>
      </c>
      <c r="BC204" s="396">
        <f xml:space="preserve"> Time!BC$106</f>
        <v>0</v>
      </c>
      <c r="BD204" s="396">
        <f xml:space="preserve"> Time!BD$106</f>
        <v>0</v>
      </c>
      <c r="BE204" s="396">
        <f xml:space="preserve"> Time!BE$106</f>
        <v>0</v>
      </c>
      <c r="BF204" s="396">
        <f xml:space="preserve"> Time!BF$106</f>
        <v>0</v>
      </c>
      <c r="BG204" s="396">
        <f xml:space="preserve"> Time!BG$106</f>
        <v>0</v>
      </c>
      <c r="BH204" s="396">
        <f xml:space="preserve"> Time!BH$106</f>
        <v>0</v>
      </c>
      <c r="BI204" s="396">
        <f xml:space="preserve"> Time!BI$106</f>
        <v>0</v>
      </c>
      <c r="BJ204" s="396">
        <f xml:space="preserve"> Time!BJ$106</f>
        <v>0</v>
      </c>
      <c r="BK204" s="396">
        <f xml:space="preserve"> Time!BK$106</f>
        <v>0</v>
      </c>
      <c r="BL204" s="396">
        <f xml:space="preserve"> Time!BL$106</f>
        <v>0</v>
      </c>
      <c r="BM204" s="396">
        <f xml:space="preserve"> Time!BM$106</f>
        <v>0</v>
      </c>
      <c r="BN204" s="396">
        <f xml:space="preserve"> Time!BN$106</f>
        <v>0</v>
      </c>
      <c r="BO204" s="396">
        <f xml:space="preserve"> Time!BO$106</f>
        <v>0</v>
      </c>
      <c r="BP204" s="396">
        <f xml:space="preserve"> Time!BP$106</f>
        <v>0</v>
      </c>
      <c r="BQ204" s="396">
        <f xml:space="preserve"> Time!BQ$106</f>
        <v>0</v>
      </c>
      <c r="BR204" s="396">
        <f xml:space="preserve"> Time!BR$106</f>
        <v>0</v>
      </c>
      <c r="BS204" s="396">
        <f xml:space="preserve"> Time!BS$106</f>
        <v>0</v>
      </c>
      <c r="BT204" s="396">
        <f xml:space="preserve"> Time!BT$106</f>
        <v>0</v>
      </c>
      <c r="BU204" s="396">
        <f xml:space="preserve"> Time!BU$106</f>
        <v>0</v>
      </c>
      <c r="BV204" s="396">
        <f xml:space="preserve"> Time!BV$106</f>
        <v>0</v>
      </c>
      <c r="BW204" s="396">
        <f xml:space="preserve"> Time!BW$106</f>
        <v>0</v>
      </c>
      <c r="BX204" s="396">
        <f xml:space="preserve"> Time!BX$106</f>
        <v>0</v>
      </c>
      <c r="BY204" s="396">
        <f xml:space="preserve"> Time!BY$106</f>
        <v>0</v>
      </c>
      <c r="BZ204" s="396">
        <f xml:space="preserve"> Time!BZ$106</f>
        <v>0</v>
      </c>
      <c r="CA204" s="396">
        <f xml:space="preserve"> Time!CA$106</f>
        <v>0</v>
      </c>
      <c r="CB204" s="396">
        <f xml:space="preserve"> Time!CB$106</f>
        <v>0</v>
      </c>
      <c r="CC204" s="396">
        <f xml:space="preserve"> Time!CC$106</f>
        <v>0</v>
      </c>
      <c r="CD204" s="396">
        <f xml:space="preserve"> Time!CD$106</f>
        <v>0</v>
      </c>
      <c r="CE204" s="396">
        <f xml:space="preserve"> Time!CE$106</f>
        <v>0</v>
      </c>
      <c r="CF204" s="396">
        <f xml:space="preserve"> Time!CF$106</f>
        <v>0</v>
      </c>
      <c r="CG204" s="396">
        <f xml:space="preserve"> Time!CG$106</f>
        <v>0</v>
      </c>
      <c r="CH204" s="396">
        <f xml:space="preserve"> Time!CH$106</f>
        <v>0</v>
      </c>
      <c r="CI204" s="396">
        <f xml:space="preserve"> Time!CI$106</f>
        <v>0</v>
      </c>
      <c r="CJ204" s="396">
        <f xml:space="preserve"> Time!CJ$106</f>
        <v>0</v>
      </c>
      <c r="CK204" s="396">
        <f xml:space="preserve"> Time!CK$106</f>
        <v>0</v>
      </c>
      <c r="CL204" s="396">
        <f xml:space="preserve"> Time!CL$106</f>
        <v>0</v>
      </c>
      <c r="CM204" s="396">
        <f xml:space="preserve"> Time!CM$106</f>
        <v>0</v>
      </c>
      <c r="CN204" s="396">
        <f xml:space="preserve"> Time!CN$106</f>
        <v>0</v>
      </c>
      <c r="CO204" s="396">
        <f xml:space="preserve"> Time!CO$106</f>
        <v>0</v>
      </c>
      <c r="CP204" s="396">
        <f xml:space="preserve"> Time!CP$106</f>
        <v>0</v>
      </c>
      <c r="CQ204" s="396">
        <f xml:space="preserve"> Time!CQ$106</f>
        <v>0</v>
      </c>
      <c r="CR204" s="396">
        <f xml:space="preserve"> Time!CR$106</f>
        <v>0</v>
      </c>
      <c r="CS204" s="396">
        <f xml:space="preserve"> Time!CS$106</f>
        <v>0</v>
      </c>
      <c r="CT204" s="396">
        <f xml:space="preserve"> Time!CT$106</f>
        <v>0</v>
      </c>
      <c r="CU204" s="396">
        <f xml:space="preserve"> Time!CU$106</f>
        <v>0</v>
      </c>
      <c r="CV204" s="396">
        <f xml:space="preserve"> Time!CV$106</f>
        <v>0</v>
      </c>
    </row>
    <row r="205" spans="1:100" outlineLevel="2" x14ac:dyDescent="0.2">
      <c r="A205" s="79"/>
      <c r="B205" s="79"/>
      <c r="C205" s="561"/>
      <c r="D205" s="60"/>
      <c r="E205" s="32" t="s">
        <v>1176</v>
      </c>
      <c r="F205" s="32"/>
      <c r="G205" s="32" t="str">
        <f xml:space="preserve"> SMU</f>
        <v>$ 000s</v>
      </c>
      <c r="H205" s="32">
        <f xml:space="preserve"> SUM(J205:CV205)</f>
        <v>0</v>
      </c>
      <c r="I205" s="32"/>
      <c r="J205" s="32">
        <f t="shared" ref="J205:AO205" si="446" xml:space="preserve"> (J202 - J203) * J204</f>
        <v>0</v>
      </c>
      <c r="K205" s="32">
        <f t="shared" si="446"/>
        <v>0</v>
      </c>
      <c r="L205" s="32">
        <f t="shared" si="446"/>
        <v>0</v>
      </c>
      <c r="M205" s="32">
        <f t="shared" si="446"/>
        <v>0</v>
      </c>
      <c r="N205" s="32">
        <f t="shared" si="446"/>
        <v>0</v>
      </c>
      <c r="O205" s="32">
        <f t="shared" si="446"/>
        <v>-4001.1118129849237</v>
      </c>
      <c r="P205" s="32">
        <f t="shared" si="446"/>
        <v>-66.316770380964954</v>
      </c>
      <c r="Q205" s="32">
        <f t="shared" si="446"/>
        <v>72.771550979663516</v>
      </c>
      <c r="R205" s="32">
        <f t="shared" si="446"/>
        <v>-66.20978506717438</v>
      </c>
      <c r="S205" s="32">
        <f t="shared" si="446"/>
        <v>72.624170425702687</v>
      </c>
      <c r="T205" s="32">
        <f t="shared" si="446"/>
        <v>-66.103469287751068</v>
      </c>
      <c r="U205" s="32">
        <f t="shared" si="446"/>
        <v>72.477045817733597</v>
      </c>
      <c r="V205" s="32">
        <f t="shared" si="446"/>
        <v>-43.756802972502555</v>
      </c>
      <c r="W205" s="32">
        <f t="shared" si="446"/>
        <v>50.089149032919522</v>
      </c>
      <c r="X205" s="32">
        <f t="shared" si="446"/>
        <v>-65.892873885699373</v>
      </c>
      <c r="Y205" s="32">
        <f t="shared" si="446"/>
        <v>72.183559639486703</v>
      </c>
      <c r="Z205" s="32">
        <f t="shared" si="446"/>
        <v>-65.788608375969488</v>
      </c>
      <c r="AA205" s="32">
        <f t="shared" si="446"/>
        <v>72.037195644019448</v>
      </c>
      <c r="AB205" s="32">
        <f t="shared" si="446"/>
        <v>-65.685040631196898</v>
      </c>
      <c r="AC205" s="32">
        <f t="shared" si="446"/>
        <v>71.891082743735751</v>
      </c>
      <c r="AD205" s="32">
        <f t="shared" si="446"/>
        <v>-43.48122427805356</v>
      </c>
      <c r="AE205" s="32">
        <f t="shared" si="446"/>
        <v>49.644265923363491</v>
      </c>
      <c r="AF205" s="32">
        <f t="shared" si="446"/>
        <v>-65.480028193220278</v>
      </c>
      <c r="AG205" s="32">
        <f t="shared" si="446"/>
        <v>71.599605263611011</v>
      </c>
      <c r="AH205" s="32">
        <f t="shared" si="446"/>
        <v>-65.378598739014706</v>
      </c>
      <c r="AI205" s="32">
        <f t="shared" si="446"/>
        <v>71.454238174050261</v>
      </c>
      <c r="AJ205" s="32">
        <f t="shared" si="446"/>
        <v>-65.277897532907446</v>
      </c>
      <c r="AK205" s="32">
        <f t="shared" si="446"/>
        <v>71.309117159818925</v>
      </c>
      <c r="AL205" s="32">
        <f t="shared" si="446"/>
        <v>-43.21320803873823</v>
      </c>
      <c r="AM205" s="32">
        <f t="shared" si="446"/>
        <v>49.199516409937132</v>
      </c>
      <c r="AN205" s="32">
        <f t="shared" si="446"/>
        <v>-65.07871198597968</v>
      </c>
      <c r="AO205" s="32">
        <f t="shared" si="446"/>
        <v>71.019608213669926</v>
      </c>
      <c r="AP205" s="32">
        <f t="shared" ref="AP205:BU205" si="447" xml:space="preserve"> (AP202 - AP203) * AP204</f>
        <v>-64.980244092701469</v>
      </c>
      <c r="AQ205" s="32">
        <f t="shared" si="447"/>
        <v>70.875217680530113</v>
      </c>
      <c r="AR205" s="32">
        <f t="shared" si="447"/>
        <v>-64.882537348152255</v>
      </c>
      <c r="AS205" s="32">
        <f t="shared" si="447"/>
        <v>70.731068019811573</v>
      </c>
      <c r="AT205" s="32">
        <f t="shared" si="447"/>
        <v>-42.953090358978443</v>
      </c>
      <c r="AU205" s="32">
        <f t="shared" si="447"/>
        <v>48.75464788372301</v>
      </c>
      <c r="AV205" s="32">
        <f t="shared" si="447"/>
        <v>-64.689441963682839</v>
      </c>
      <c r="AW205" s="32">
        <f t="shared" si="447"/>
        <v>70.443485978741592</v>
      </c>
      <c r="AX205" s="32">
        <f t="shared" si="447"/>
        <v>-64.594071068406265</v>
      </c>
      <c r="AY205" s="32">
        <f t="shared" si="447"/>
        <v>70.300050898165864</v>
      </c>
      <c r="AZ205" s="32">
        <f t="shared" si="447"/>
        <v>-64.499496817083127</v>
      </c>
      <c r="BA205" s="32">
        <f t="shared" si="447"/>
        <v>70.156851289046244</v>
      </c>
      <c r="BB205" s="32">
        <f t="shared" si="447"/>
        <v>3885.8122868253704</v>
      </c>
      <c r="BC205" s="32">
        <f t="shared" si="447"/>
        <v>0</v>
      </c>
      <c r="BD205" s="32">
        <f t="shared" si="447"/>
        <v>0</v>
      </c>
      <c r="BE205" s="32">
        <f t="shared" si="447"/>
        <v>0</v>
      </c>
      <c r="BF205" s="32">
        <f t="shared" si="447"/>
        <v>0</v>
      </c>
      <c r="BG205" s="32">
        <f t="shared" si="447"/>
        <v>0</v>
      </c>
      <c r="BH205" s="32">
        <f t="shared" si="447"/>
        <v>0</v>
      </c>
      <c r="BI205" s="32">
        <f t="shared" si="447"/>
        <v>0</v>
      </c>
      <c r="BJ205" s="32">
        <f t="shared" si="447"/>
        <v>0</v>
      </c>
      <c r="BK205" s="32">
        <f t="shared" si="447"/>
        <v>0</v>
      </c>
      <c r="BL205" s="32">
        <f t="shared" si="447"/>
        <v>0</v>
      </c>
      <c r="BM205" s="32">
        <f t="shared" si="447"/>
        <v>0</v>
      </c>
      <c r="BN205" s="32">
        <f t="shared" si="447"/>
        <v>0</v>
      </c>
      <c r="BO205" s="32">
        <f t="shared" si="447"/>
        <v>0</v>
      </c>
      <c r="BP205" s="32">
        <f t="shared" si="447"/>
        <v>0</v>
      </c>
      <c r="BQ205" s="32">
        <f t="shared" si="447"/>
        <v>0</v>
      </c>
      <c r="BR205" s="32">
        <f t="shared" si="447"/>
        <v>0</v>
      </c>
      <c r="BS205" s="32">
        <f t="shared" si="447"/>
        <v>0</v>
      </c>
      <c r="BT205" s="32">
        <f t="shared" si="447"/>
        <v>0</v>
      </c>
      <c r="BU205" s="32">
        <f t="shared" si="447"/>
        <v>0</v>
      </c>
      <c r="BV205" s="32">
        <f t="shared" ref="BV205:CV205" si="448" xml:space="preserve"> (BV202 - BV203) * BV204</f>
        <v>0</v>
      </c>
      <c r="BW205" s="32">
        <f t="shared" si="448"/>
        <v>0</v>
      </c>
      <c r="BX205" s="32">
        <f t="shared" si="448"/>
        <v>0</v>
      </c>
      <c r="BY205" s="32">
        <f t="shared" si="448"/>
        <v>0</v>
      </c>
      <c r="BZ205" s="32">
        <f t="shared" si="448"/>
        <v>0</v>
      </c>
      <c r="CA205" s="32">
        <f t="shared" si="448"/>
        <v>0</v>
      </c>
      <c r="CB205" s="32">
        <f t="shared" si="448"/>
        <v>0</v>
      </c>
      <c r="CC205" s="32">
        <f t="shared" si="448"/>
        <v>0</v>
      </c>
      <c r="CD205" s="32">
        <f t="shared" si="448"/>
        <v>0</v>
      </c>
      <c r="CE205" s="32">
        <f t="shared" si="448"/>
        <v>0</v>
      </c>
      <c r="CF205" s="32">
        <f t="shared" si="448"/>
        <v>0</v>
      </c>
      <c r="CG205" s="32">
        <f t="shared" si="448"/>
        <v>0</v>
      </c>
      <c r="CH205" s="32">
        <f t="shared" si="448"/>
        <v>0</v>
      </c>
      <c r="CI205" s="32">
        <f t="shared" si="448"/>
        <v>0</v>
      </c>
      <c r="CJ205" s="32">
        <f t="shared" si="448"/>
        <v>0</v>
      </c>
      <c r="CK205" s="32">
        <f t="shared" si="448"/>
        <v>0</v>
      </c>
      <c r="CL205" s="32">
        <f t="shared" si="448"/>
        <v>0</v>
      </c>
      <c r="CM205" s="32">
        <f t="shared" si="448"/>
        <v>0</v>
      </c>
      <c r="CN205" s="32">
        <f t="shared" si="448"/>
        <v>0</v>
      </c>
      <c r="CO205" s="32">
        <f t="shared" si="448"/>
        <v>0</v>
      </c>
      <c r="CP205" s="32">
        <f t="shared" si="448"/>
        <v>0</v>
      </c>
      <c r="CQ205" s="32">
        <f t="shared" si="448"/>
        <v>0</v>
      </c>
      <c r="CR205" s="32">
        <f t="shared" si="448"/>
        <v>0</v>
      </c>
      <c r="CS205" s="32">
        <f t="shared" si="448"/>
        <v>0</v>
      </c>
      <c r="CT205" s="32">
        <f t="shared" si="448"/>
        <v>0</v>
      </c>
      <c r="CU205" s="32">
        <f t="shared" si="448"/>
        <v>0</v>
      </c>
      <c r="CV205" s="32">
        <f t="shared" si="448"/>
        <v>0</v>
      </c>
    </row>
    <row r="206" spans="1:100" outlineLevel="2" x14ac:dyDescent="0.2">
      <c r="A206" s="236"/>
      <c r="B206" s="236"/>
      <c r="C206" s="237"/>
      <c r="D206" s="238"/>
      <c r="E206" s="235"/>
      <c r="F206" s="235"/>
      <c r="G206" s="235"/>
      <c r="H206" s="235"/>
      <c r="I206" s="235"/>
      <c r="J206" s="235"/>
      <c r="K206" s="235"/>
      <c r="L206" s="235"/>
      <c r="M206" s="235"/>
      <c r="N206" s="235"/>
      <c r="O206" s="235"/>
      <c r="P206" s="235"/>
      <c r="Q206" s="235"/>
      <c r="R206" s="235"/>
      <c r="S206" s="235"/>
      <c r="T206" s="235"/>
      <c r="U206" s="235"/>
      <c r="V206" s="235"/>
      <c r="W206" s="235"/>
      <c r="X206" s="235"/>
      <c r="Y206" s="235"/>
      <c r="Z206" s="235"/>
      <c r="AA206" s="235"/>
      <c r="AB206" s="235"/>
      <c r="AC206" s="235"/>
      <c r="AD206" s="235"/>
      <c r="AE206" s="235"/>
      <c r="AF206" s="235"/>
      <c r="AG206" s="235"/>
      <c r="AH206" s="235"/>
      <c r="AI206" s="235"/>
      <c r="AJ206" s="235"/>
      <c r="AK206" s="235"/>
      <c r="AL206" s="235"/>
      <c r="AM206" s="235"/>
      <c r="AN206" s="235"/>
      <c r="AO206" s="235"/>
      <c r="AP206" s="235"/>
      <c r="AQ206" s="235"/>
      <c r="AR206" s="235"/>
      <c r="AS206" s="235"/>
      <c r="AT206" s="235"/>
      <c r="AU206" s="235"/>
      <c r="AV206" s="235"/>
      <c r="AW206" s="235"/>
      <c r="AX206" s="235"/>
      <c r="AY206" s="235"/>
      <c r="AZ206" s="235"/>
      <c r="BA206" s="235"/>
      <c r="BB206" s="235"/>
      <c r="BC206" s="235"/>
      <c r="BD206" s="235"/>
      <c r="BE206" s="235"/>
      <c r="BF206" s="235"/>
      <c r="BG206" s="235"/>
      <c r="BH206" s="235"/>
      <c r="BI206" s="235"/>
      <c r="BJ206" s="235"/>
      <c r="BK206" s="235"/>
      <c r="BL206" s="235"/>
      <c r="BM206" s="235"/>
      <c r="BN206" s="235"/>
      <c r="BO206" s="235"/>
      <c r="BP206" s="235"/>
      <c r="BQ206" s="235"/>
      <c r="BR206" s="235"/>
      <c r="BS206" s="235"/>
      <c r="BT206" s="235"/>
      <c r="BU206" s="235"/>
      <c r="BV206" s="235"/>
      <c r="BW206" s="235"/>
      <c r="BX206" s="235"/>
      <c r="BY206" s="235"/>
      <c r="BZ206" s="235"/>
      <c r="CA206" s="235"/>
      <c r="CB206" s="235"/>
      <c r="CC206" s="235"/>
      <c r="CD206" s="235"/>
      <c r="CE206" s="235"/>
      <c r="CF206" s="235"/>
      <c r="CG206" s="235"/>
      <c r="CH206" s="235"/>
      <c r="CI206" s="235"/>
      <c r="CJ206" s="235"/>
      <c r="CK206" s="235"/>
      <c r="CL206" s="235"/>
      <c r="CM206" s="235"/>
      <c r="CN206" s="235"/>
      <c r="CO206" s="235"/>
      <c r="CP206" s="235"/>
      <c r="CQ206" s="235"/>
      <c r="CR206" s="235"/>
      <c r="CS206" s="235"/>
      <c r="CT206" s="235"/>
      <c r="CU206" s="235"/>
      <c r="CV206" s="235"/>
    </row>
    <row r="207" spans="1:100" x14ac:dyDescent="0.2">
      <c r="A207" s="236"/>
      <c r="B207" s="236"/>
      <c r="C207" s="237"/>
      <c r="D207" s="238"/>
      <c r="E207" s="235"/>
      <c r="F207" s="235"/>
      <c r="G207" s="235"/>
      <c r="H207" s="235"/>
      <c r="I207" s="235"/>
      <c r="J207" s="235"/>
      <c r="K207" s="235"/>
      <c r="L207" s="235"/>
      <c r="M207" s="235"/>
      <c r="N207" s="235"/>
      <c r="O207" s="235"/>
      <c r="P207" s="235"/>
      <c r="Q207" s="235"/>
      <c r="R207" s="235"/>
      <c r="S207" s="235"/>
      <c r="T207" s="235"/>
      <c r="U207" s="235"/>
      <c r="V207" s="235"/>
      <c r="W207" s="235"/>
      <c r="X207" s="235"/>
      <c r="Y207" s="235"/>
      <c r="Z207" s="235"/>
      <c r="AA207" s="235"/>
      <c r="AB207" s="235"/>
      <c r="AC207" s="235"/>
      <c r="AD207" s="235"/>
      <c r="AE207" s="235"/>
      <c r="AF207" s="235"/>
      <c r="AG207" s="235"/>
      <c r="AH207" s="235"/>
      <c r="AI207" s="235"/>
      <c r="AJ207" s="235"/>
      <c r="AK207" s="235"/>
      <c r="AL207" s="235"/>
      <c r="AM207" s="235"/>
      <c r="AN207" s="235"/>
      <c r="AO207" s="235"/>
      <c r="AP207" s="235"/>
      <c r="AQ207" s="235"/>
      <c r="AR207" s="235"/>
      <c r="AS207" s="235"/>
      <c r="AT207" s="235"/>
      <c r="AU207" s="235"/>
      <c r="AV207" s="235"/>
      <c r="AW207" s="235"/>
      <c r="AX207" s="235"/>
      <c r="AY207" s="235"/>
      <c r="AZ207" s="235"/>
      <c r="BA207" s="235"/>
      <c r="BB207" s="235"/>
      <c r="BC207" s="235"/>
      <c r="BD207" s="235"/>
      <c r="BE207" s="235"/>
      <c r="BF207" s="235"/>
      <c r="BG207" s="235"/>
      <c r="BH207" s="235"/>
      <c r="BI207" s="235"/>
      <c r="BJ207" s="235"/>
      <c r="BK207" s="235"/>
      <c r="BL207" s="235"/>
      <c r="BM207" s="235"/>
      <c r="BN207" s="235"/>
      <c r="BO207" s="235"/>
      <c r="BP207" s="235"/>
      <c r="BQ207" s="235"/>
      <c r="BR207" s="235"/>
      <c r="BS207" s="235"/>
      <c r="BT207" s="235"/>
      <c r="BU207" s="235"/>
      <c r="BV207" s="235"/>
      <c r="BW207" s="235"/>
      <c r="BX207" s="235"/>
      <c r="BY207" s="235"/>
      <c r="BZ207" s="235"/>
      <c r="CA207" s="235"/>
      <c r="CB207" s="235"/>
      <c r="CC207" s="235"/>
      <c r="CD207" s="235"/>
      <c r="CE207" s="235"/>
      <c r="CF207" s="235"/>
      <c r="CG207" s="235"/>
      <c r="CH207" s="235"/>
      <c r="CI207" s="235"/>
      <c r="CJ207" s="235"/>
      <c r="CK207" s="235"/>
      <c r="CL207" s="235"/>
      <c r="CM207" s="235"/>
      <c r="CN207" s="235"/>
      <c r="CO207" s="235"/>
      <c r="CP207" s="235"/>
      <c r="CQ207" s="235"/>
      <c r="CR207" s="235"/>
      <c r="CS207" s="235"/>
      <c r="CT207" s="235"/>
      <c r="CU207" s="235"/>
      <c r="CV207" s="235"/>
    </row>
    <row r="208" spans="1:100" x14ac:dyDescent="0.2">
      <c r="A208" s="236" t="s">
        <v>197</v>
      </c>
      <c r="B208" s="236"/>
      <c r="C208" s="237"/>
      <c r="D208" s="238"/>
      <c r="E208" s="235"/>
      <c r="F208" s="235"/>
      <c r="G208" s="235"/>
      <c r="H208" s="235"/>
      <c r="I208" s="235"/>
      <c r="J208" s="235"/>
      <c r="K208" s="235"/>
      <c r="L208" s="235"/>
      <c r="M208" s="235"/>
      <c r="N208" s="235"/>
      <c r="O208" s="235"/>
      <c r="P208" s="235"/>
      <c r="Q208" s="235"/>
      <c r="R208" s="235"/>
      <c r="S208" s="235"/>
      <c r="T208" s="235"/>
      <c r="U208" s="235"/>
      <c r="V208" s="235"/>
      <c r="W208" s="235"/>
      <c r="X208" s="235"/>
      <c r="Y208" s="235"/>
      <c r="Z208" s="235"/>
      <c r="AA208" s="235"/>
      <c r="AB208" s="235"/>
      <c r="AC208" s="235"/>
      <c r="AD208" s="235"/>
      <c r="AE208" s="235"/>
      <c r="AF208" s="235"/>
      <c r="AG208" s="235"/>
      <c r="AH208" s="235"/>
      <c r="AI208" s="235"/>
      <c r="AJ208" s="235"/>
      <c r="AK208" s="235"/>
      <c r="AL208" s="235"/>
      <c r="AM208" s="235"/>
      <c r="AN208" s="235"/>
      <c r="AO208" s="235"/>
      <c r="AP208" s="235"/>
      <c r="AQ208" s="235"/>
      <c r="AR208" s="235"/>
      <c r="AS208" s="235"/>
      <c r="AT208" s="235"/>
      <c r="AU208" s="235"/>
      <c r="AV208" s="235"/>
      <c r="AW208" s="235"/>
      <c r="AX208" s="235"/>
      <c r="AY208" s="235"/>
      <c r="AZ208" s="235"/>
      <c r="BA208" s="235"/>
      <c r="BB208" s="235"/>
      <c r="BC208" s="235"/>
      <c r="BD208" s="235"/>
      <c r="BE208" s="235"/>
      <c r="BF208" s="235"/>
      <c r="BG208" s="235"/>
      <c r="BH208" s="235"/>
      <c r="BI208" s="235"/>
      <c r="BJ208" s="235"/>
      <c r="BK208" s="235"/>
      <c r="BL208" s="235"/>
      <c r="BM208" s="235"/>
      <c r="BN208" s="235"/>
      <c r="BO208" s="235"/>
      <c r="BP208" s="235"/>
      <c r="BQ208" s="235"/>
      <c r="BR208" s="235"/>
      <c r="BS208" s="235"/>
      <c r="BT208" s="235"/>
      <c r="BU208" s="235"/>
      <c r="BV208" s="235"/>
      <c r="BW208" s="235"/>
      <c r="BX208" s="235"/>
      <c r="BY208" s="235"/>
      <c r="BZ208" s="235"/>
      <c r="CA208" s="235"/>
      <c r="CB208" s="235"/>
      <c r="CC208" s="235"/>
      <c r="CD208" s="235"/>
      <c r="CE208" s="235"/>
      <c r="CF208" s="235"/>
      <c r="CG208" s="235"/>
      <c r="CH208" s="235"/>
      <c r="CI208" s="235"/>
      <c r="CJ208" s="235"/>
      <c r="CK208" s="235"/>
      <c r="CL208" s="235"/>
      <c r="CM208" s="235"/>
      <c r="CN208" s="235"/>
      <c r="CO208" s="235"/>
      <c r="CP208" s="235"/>
      <c r="CQ208" s="235"/>
      <c r="CR208" s="235"/>
      <c r="CS208" s="235"/>
      <c r="CT208" s="235"/>
      <c r="CU208" s="235"/>
      <c r="CV208" s="235"/>
    </row>
    <row r="209" spans="1:100" outlineLevel="1" x14ac:dyDescent="0.2">
      <c r="A209" s="236"/>
      <c r="B209" s="236"/>
      <c r="C209" s="237"/>
      <c r="D209" s="238"/>
      <c r="E209" s="235"/>
      <c r="F209" s="235"/>
      <c r="G209" s="235"/>
      <c r="H209" s="235"/>
      <c r="I209" s="235"/>
      <c r="J209" s="235"/>
      <c r="K209" s="235"/>
      <c r="L209" s="235"/>
      <c r="M209" s="235"/>
      <c r="N209" s="235"/>
      <c r="O209" s="235"/>
      <c r="P209" s="235"/>
      <c r="Q209" s="235"/>
      <c r="R209" s="235"/>
      <c r="S209" s="235"/>
      <c r="T209" s="235"/>
      <c r="U209" s="235"/>
      <c r="V209" s="235"/>
      <c r="W209" s="235"/>
      <c r="X209" s="235"/>
      <c r="Y209" s="235"/>
      <c r="Z209" s="235"/>
      <c r="AA209" s="235"/>
      <c r="AB209" s="235"/>
      <c r="AC209" s="235"/>
      <c r="AD209" s="235"/>
      <c r="AE209" s="235"/>
      <c r="AF209" s="235"/>
      <c r="AG209" s="235"/>
      <c r="AH209" s="235"/>
      <c r="AI209" s="235"/>
      <c r="AJ209" s="235"/>
      <c r="AK209" s="235"/>
      <c r="AL209" s="235"/>
      <c r="AM209" s="235"/>
      <c r="AN209" s="235"/>
      <c r="AO209" s="235"/>
      <c r="AP209" s="235"/>
      <c r="AQ209" s="235"/>
      <c r="AR209" s="235"/>
      <c r="AS209" s="235"/>
      <c r="AT209" s="235"/>
      <c r="AU209" s="235"/>
      <c r="AV209" s="235"/>
      <c r="AW209" s="235"/>
      <c r="AX209" s="235"/>
      <c r="AY209" s="235"/>
      <c r="AZ209" s="235"/>
      <c r="BA209" s="235"/>
      <c r="BB209" s="235"/>
      <c r="BC209" s="235"/>
      <c r="BD209" s="235"/>
      <c r="BE209" s="235"/>
      <c r="BF209" s="235"/>
      <c r="BG209" s="235"/>
      <c r="BH209" s="235"/>
      <c r="BI209" s="235"/>
      <c r="BJ209" s="235"/>
      <c r="BK209" s="235"/>
      <c r="BL209" s="235"/>
      <c r="BM209" s="235"/>
      <c r="BN209" s="235"/>
      <c r="BO209" s="235"/>
      <c r="BP209" s="235"/>
      <c r="BQ209" s="235"/>
      <c r="BR209" s="235"/>
      <c r="BS209" s="235"/>
      <c r="BT209" s="235"/>
      <c r="BU209" s="235"/>
      <c r="BV209" s="235"/>
      <c r="BW209" s="235"/>
      <c r="BX209" s="235"/>
      <c r="BY209" s="235"/>
      <c r="BZ209" s="235"/>
      <c r="CA209" s="235"/>
      <c r="CB209" s="235"/>
      <c r="CC209" s="235"/>
      <c r="CD209" s="235"/>
      <c r="CE209" s="235"/>
      <c r="CF209" s="235"/>
      <c r="CG209" s="235"/>
      <c r="CH209" s="235"/>
      <c r="CI209" s="235"/>
      <c r="CJ209" s="235"/>
      <c r="CK209" s="235"/>
      <c r="CL209" s="235"/>
      <c r="CM209" s="235"/>
      <c r="CN209" s="235"/>
      <c r="CO209" s="235"/>
      <c r="CP209" s="235"/>
      <c r="CQ209" s="235"/>
      <c r="CR209" s="235"/>
      <c r="CS209" s="235"/>
      <c r="CT209" s="235"/>
      <c r="CU209" s="235"/>
      <c r="CV209" s="235"/>
    </row>
    <row r="210" spans="1:100" outlineLevel="1" x14ac:dyDescent="0.2">
      <c r="A210" s="85"/>
      <c r="B210" s="85"/>
      <c r="C210" s="86"/>
      <c r="D210" s="87"/>
      <c r="E210" s="145" t="str">
        <f xml:space="preserve"> InpC!E$388</f>
        <v>Accounts payable days</v>
      </c>
      <c r="F210" s="145">
        <f xml:space="preserve"> InpC!F$388</f>
        <v>45</v>
      </c>
      <c r="G210" s="145" t="str">
        <f xml:space="preserve"> InpC!G$388</f>
        <v>days</v>
      </c>
      <c r="H210" s="145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  <c r="BJ210" s="68"/>
      <c r="BK210" s="68"/>
      <c r="BL210" s="68"/>
      <c r="BM210" s="68"/>
      <c r="BN210" s="68"/>
      <c r="BO210" s="68"/>
      <c r="BP210" s="68"/>
      <c r="BQ210" s="68"/>
      <c r="BR210" s="68"/>
      <c r="BS210" s="68"/>
      <c r="BT210" s="68"/>
      <c r="BU210" s="68"/>
      <c r="BV210" s="68"/>
      <c r="BW210" s="68"/>
      <c r="BX210" s="68"/>
      <c r="BY210" s="68"/>
      <c r="BZ210" s="68"/>
      <c r="CA210" s="68"/>
      <c r="CB210" s="68"/>
      <c r="CC210" s="68"/>
      <c r="CD210" s="68"/>
      <c r="CE210" s="68"/>
      <c r="CF210" s="68"/>
      <c r="CG210" s="68"/>
      <c r="CH210" s="68"/>
      <c r="CI210" s="68"/>
      <c r="CJ210" s="68"/>
      <c r="CK210" s="68"/>
      <c r="CL210" s="68"/>
      <c r="CM210" s="68"/>
      <c r="CN210" s="68"/>
      <c r="CO210" s="68"/>
      <c r="CP210" s="68"/>
      <c r="CQ210" s="68"/>
      <c r="CR210" s="68"/>
      <c r="CS210" s="68"/>
      <c r="CT210" s="68"/>
      <c r="CU210" s="68"/>
      <c r="CV210" s="68"/>
    </row>
    <row r="211" spans="1:100" outlineLevel="1" x14ac:dyDescent="0.2">
      <c r="A211" s="85"/>
      <c r="B211" s="85"/>
      <c r="C211" s="86"/>
      <c r="D211" s="87"/>
      <c r="E211" s="68" t="str">
        <f xml:space="preserve"> Time!E$246</f>
        <v>Days in period</v>
      </c>
      <c r="F211" s="68">
        <f xml:space="preserve"> Time!F$246</f>
        <v>0</v>
      </c>
      <c r="G211" s="68" t="str">
        <f xml:space="preserve"> Time!G$246</f>
        <v>days</v>
      </c>
      <c r="H211" s="68">
        <f xml:space="preserve"> Time!H$246</f>
        <v>0</v>
      </c>
      <c r="I211" s="68">
        <f xml:space="preserve"> Time!I$246</f>
        <v>0</v>
      </c>
      <c r="J211" s="68">
        <f xml:space="preserve"> Time!J$246</f>
        <v>181</v>
      </c>
      <c r="K211" s="68">
        <f xml:space="preserve"> Time!K$246</f>
        <v>184</v>
      </c>
      <c r="L211" s="68">
        <f xml:space="preserve"> Time!L$246</f>
        <v>181</v>
      </c>
      <c r="M211" s="68">
        <f xml:space="preserve"> Time!M$246</f>
        <v>184</v>
      </c>
      <c r="N211" s="68">
        <f xml:space="preserve"> Time!N$246</f>
        <v>182</v>
      </c>
      <c r="O211" s="68">
        <f xml:space="preserve"> Time!O$246</f>
        <v>184</v>
      </c>
      <c r="P211" s="68">
        <f xml:space="preserve"> Time!P$246</f>
        <v>181</v>
      </c>
      <c r="Q211" s="68">
        <f xml:space="preserve"> Time!Q$246</f>
        <v>184</v>
      </c>
      <c r="R211" s="68">
        <f xml:space="preserve"> Time!R$246</f>
        <v>181</v>
      </c>
      <c r="S211" s="68">
        <f xml:space="preserve"> Time!S$246</f>
        <v>184</v>
      </c>
      <c r="T211" s="68">
        <f xml:space="preserve"> Time!T$246</f>
        <v>181</v>
      </c>
      <c r="U211" s="68">
        <f xml:space="preserve"> Time!U$246</f>
        <v>184</v>
      </c>
      <c r="V211" s="68">
        <f xml:space="preserve"> Time!V$246</f>
        <v>182</v>
      </c>
      <c r="W211" s="68">
        <f xml:space="preserve"> Time!W$246</f>
        <v>184</v>
      </c>
      <c r="X211" s="68">
        <f xml:space="preserve"> Time!X$246</f>
        <v>181</v>
      </c>
      <c r="Y211" s="68">
        <f xml:space="preserve"> Time!Y$246</f>
        <v>184</v>
      </c>
      <c r="Z211" s="68">
        <f xml:space="preserve"> Time!Z$246</f>
        <v>181</v>
      </c>
      <c r="AA211" s="68">
        <f xml:space="preserve"> Time!AA$246</f>
        <v>184</v>
      </c>
      <c r="AB211" s="68">
        <f xml:space="preserve"> Time!AB$246</f>
        <v>181</v>
      </c>
      <c r="AC211" s="68">
        <f xml:space="preserve"> Time!AC$246</f>
        <v>184</v>
      </c>
      <c r="AD211" s="68">
        <f xml:space="preserve"> Time!AD$246</f>
        <v>182</v>
      </c>
      <c r="AE211" s="68">
        <f xml:space="preserve"> Time!AE$246</f>
        <v>184</v>
      </c>
      <c r="AF211" s="68">
        <f xml:space="preserve"> Time!AF$246</f>
        <v>181</v>
      </c>
      <c r="AG211" s="68">
        <f xml:space="preserve"> Time!AG$246</f>
        <v>184</v>
      </c>
      <c r="AH211" s="68">
        <f xml:space="preserve"> Time!AH$246</f>
        <v>181</v>
      </c>
      <c r="AI211" s="68">
        <f xml:space="preserve"> Time!AI$246</f>
        <v>184</v>
      </c>
      <c r="AJ211" s="68">
        <f xml:space="preserve"> Time!AJ$246</f>
        <v>181</v>
      </c>
      <c r="AK211" s="68">
        <f xml:space="preserve"> Time!AK$246</f>
        <v>184</v>
      </c>
      <c r="AL211" s="68">
        <f xml:space="preserve"> Time!AL$246</f>
        <v>182</v>
      </c>
      <c r="AM211" s="68">
        <f xml:space="preserve"> Time!AM$246</f>
        <v>184</v>
      </c>
      <c r="AN211" s="68">
        <f xml:space="preserve"> Time!AN$246</f>
        <v>181</v>
      </c>
      <c r="AO211" s="68">
        <f xml:space="preserve"> Time!AO$246</f>
        <v>184</v>
      </c>
      <c r="AP211" s="68">
        <f xml:space="preserve"> Time!AP$246</f>
        <v>181</v>
      </c>
      <c r="AQ211" s="68">
        <f xml:space="preserve"> Time!AQ$246</f>
        <v>184</v>
      </c>
      <c r="AR211" s="68">
        <f xml:space="preserve"> Time!AR$246</f>
        <v>181</v>
      </c>
      <c r="AS211" s="68">
        <f xml:space="preserve"> Time!AS$246</f>
        <v>184</v>
      </c>
      <c r="AT211" s="68">
        <f xml:space="preserve"> Time!AT$246</f>
        <v>182</v>
      </c>
      <c r="AU211" s="68">
        <f xml:space="preserve"> Time!AU$246</f>
        <v>184</v>
      </c>
      <c r="AV211" s="68">
        <f xml:space="preserve"> Time!AV$246</f>
        <v>181</v>
      </c>
      <c r="AW211" s="68">
        <f xml:space="preserve"> Time!AW$246</f>
        <v>184</v>
      </c>
      <c r="AX211" s="68">
        <f xml:space="preserve"> Time!AX$246</f>
        <v>181</v>
      </c>
      <c r="AY211" s="68">
        <f xml:space="preserve"> Time!AY$246</f>
        <v>184</v>
      </c>
      <c r="AZ211" s="68">
        <f xml:space="preserve"> Time!AZ$246</f>
        <v>181</v>
      </c>
      <c r="BA211" s="68">
        <f xml:space="preserve"> Time!BA$246</f>
        <v>184</v>
      </c>
      <c r="BB211" s="68">
        <f xml:space="preserve"> Time!BB$246</f>
        <v>182</v>
      </c>
      <c r="BC211" s="68">
        <f xml:space="preserve"> Time!BC$246</f>
        <v>184</v>
      </c>
      <c r="BD211" s="68">
        <f xml:space="preserve"> Time!BD$246</f>
        <v>181</v>
      </c>
      <c r="BE211" s="68">
        <f xml:space="preserve"> Time!BE$246</f>
        <v>184</v>
      </c>
      <c r="BF211" s="68">
        <f xml:space="preserve"> Time!BF$246</f>
        <v>181</v>
      </c>
      <c r="BG211" s="68">
        <f xml:space="preserve"> Time!BG$246</f>
        <v>184</v>
      </c>
      <c r="BH211" s="68">
        <f xml:space="preserve"> Time!BH$246</f>
        <v>181</v>
      </c>
      <c r="BI211" s="68">
        <f xml:space="preserve"> Time!BI$246</f>
        <v>184</v>
      </c>
      <c r="BJ211" s="68">
        <f xml:space="preserve"> Time!BJ$246</f>
        <v>182</v>
      </c>
      <c r="BK211" s="68">
        <f xml:space="preserve"> Time!BK$246</f>
        <v>184</v>
      </c>
      <c r="BL211" s="68">
        <f xml:space="preserve"> Time!BL$246</f>
        <v>181</v>
      </c>
      <c r="BM211" s="68">
        <f xml:space="preserve"> Time!BM$246</f>
        <v>184</v>
      </c>
      <c r="BN211" s="68">
        <f xml:space="preserve"> Time!BN$246</f>
        <v>181</v>
      </c>
      <c r="BO211" s="68">
        <f xml:space="preserve"> Time!BO$246</f>
        <v>184</v>
      </c>
      <c r="BP211" s="68">
        <f xml:space="preserve"> Time!BP$246</f>
        <v>181</v>
      </c>
      <c r="BQ211" s="68">
        <f xml:space="preserve"> Time!BQ$246</f>
        <v>184</v>
      </c>
      <c r="BR211" s="68">
        <f xml:space="preserve"> Time!BR$246</f>
        <v>182</v>
      </c>
      <c r="BS211" s="68">
        <f xml:space="preserve"> Time!BS$246</f>
        <v>184</v>
      </c>
      <c r="BT211" s="68">
        <f xml:space="preserve"> Time!BT$246</f>
        <v>181</v>
      </c>
      <c r="BU211" s="68">
        <f xml:space="preserve"> Time!BU$246</f>
        <v>184</v>
      </c>
      <c r="BV211" s="68">
        <f xml:space="preserve"> Time!BV$246</f>
        <v>181</v>
      </c>
      <c r="BW211" s="68">
        <f xml:space="preserve"> Time!BW$246</f>
        <v>184</v>
      </c>
      <c r="BX211" s="68">
        <f xml:space="preserve"> Time!BX$246</f>
        <v>181</v>
      </c>
      <c r="BY211" s="68">
        <f xml:space="preserve"> Time!BY$246</f>
        <v>184</v>
      </c>
      <c r="BZ211" s="68">
        <f xml:space="preserve"> Time!BZ$246</f>
        <v>182</v>
      </c>
      <c r="CA211" s="68">
        <f xml:space="preserve"> Time!CA$246</f>
        <v>184</v>
      </c>
      <c r="CB211" s="68">
        <f xml:space="preserve"> Time!CB$246</f>
        <v>181</v>
      </c>
      <c r="CC211" s="68">
        <f xml:space="preserve"> Time!CC$246</f>
        <v>184</v>
      </c>
      <c r="CD211" s="68">
        <f xml:space="preserve"> Time!CD$246</f>
        <v>181</v>
      </c>
      <c r="CE211" s="68">
        <f xml:space="preserve"> Time!CE$246</f>
        <v>184</v>
      </c>
      <c r="CF211" s="68">
        <f xml:space="preserve"> Time!CF$246</f>
        <v>181</v>
      </c>
      <c r="CG211" s="68">
        <f xml:space="preserve"> Time!CG$246</f>
        <v>184</v>
      </c>
      <c r="CH211" s="68">
        <f xml:space="preserve"> Time!CH$246</f>
        <v>182</v>
      </c>
      <c r="CI211" s="68">
        <f xml:space="preserve"> Time!CI$246</f>
        <v>184</v>
      </c>
      <c r="CJ211" s="68">
        <f xml:space="preserve"> Time!CJ$246</f>
        <v>181</v>
      </c>
      <c r="CK211" s="68">
        <f xml:space="preserve"> Time!CK$246</f>
        <v>184</v>
      </c>
      <c r="CL211" s="68">
        <f xml:space="preserve"> Time!CL$246</f>
        <v>181</v>
      </c>
      <c r="CM211" s="68">
        <f xml:space="preserve"> Time!CM$246</f>
        <v>184</v>
      </c>
      <c r="CN211" s="68">
        <f xml:space="preserve"> Time!CN$246</f>
        <v>181</v>
      </c>
      <c r="CO211" s="68">
        <f xml:space="preserve"> Time!CO$246</f>
        <v>184</v>
      </c>
      <c r="CP211" s="68">
        <f xml:space="preserve"> Time!CP$246</f>
        <v>182</v>
      </c>
      <c r="CQ211" s="68">
        <f xml:space="preserve"> Time!CQ$246</f>
        <v>184</v>
      </c>
      <c r="CR211" s="68">
        <f xml:space="preserve"> Time!CR$246</f>
        <v>181</v>
      </c>
      <c r="CS211" s="68">
        <f xml:space="preserve"> Time!CS$246</f>
        <v>184</v>
      </c>
      <c r="CT211" s="68">
        <f xml:space="preserve"> Time!CT$246</f>
        <v>181</v>
      </c>
      <c r="CU211" s="68">
        <f xml:space="preserve"> Time!CU$246</f>
        <v>184</v>
      </c>
      <c r="CV211" s="68">
        <f xml:space="preserve"> Time!CV$246</f>
        <v>181</v>
      </c>
    </row>
    <row r="212" spans="1:100" outlineLevel="1" x14ac:dyDescent="0.2">
      <c r="A212" s="85"/>
      <c r="B212" s="85"/>
      <c r="C212" s="86"/>
      <c r="D212" s="87"/>
      <c r="E212" s="396" t="str">
        <f xml:space="preserve"> Time!E$101</f>
        <v xml:space="preserve">Last operating period flag </v>
      </c>
      <c r="F212" s="396">
        <f xml:space="preserve"> Time!F$101</f>
        <v>0</v>
      </c>
      <c r="G212" s="396" t="str">
        <f xml:space="preserve"> Time!G$101</f>
        <v>flag</v>
      </c>
      <c r="H212" s="396">
        <f xml:space="preserve"> Time!H$101</f>
        <v>1</v>
      </c>
      <c r="I212" s="396">
        <f xml:space="preserve"> Time!I$101</f>
        <v>0</v>
      </c>
      <c r="J212" s="396">
        <f xml:space="preserve"> Time!J$101</f>
        <v>0</v>
      </c>
      <c r="K212" s="396">
        <f xml:space="preserve"> Time!K$101</f>
        <v>0</v>
      </c>
      <c r="L212" s="396">
        <f xml:space="preserve"> Time!L$101</f>
        <v>0</v>
      </c>
      <c r="M212" s="396">
        <f xml:space="preserve"> Time!M$101</f>
        <v>0</v>
      </c>
      <c r="N212" s="396">
        <f xml:space="preserve"> Time!N$101</f>
        <v>0</v>
      </c>
      <c r="O212" s="396">
        <f xml:space="preserve"> Time!O$101</f>
        <v>0</v>
      </c>
      <c r="P212" s="396">
        <f xml:space="preserve"> Time!P$101</f>
        <v>0</v>
      </c>
      <c r="Q212" s="396">
        <f xml:space="preserve"> Time!Q$101</f>
        <v>0</v>
      </c>
      <c r="R212" s="396">
        <f xml:space="preserve"> Time!R$101</f>
        <v>0</v>
      </c>
      <c r="S212" s="396">
        <f xml:space="preserve"> Time!S$101</f>
        <v>0</v>
      </c>
      <c r="T212" s="396">
        <f xml:space="preserve"> Time!T$101</f>
        <v>0</v>
      </c>
      <c r="U212" s="396">
        <f xml:space="preserve"> Time!U$101</f>
        <v>0</v>
      </c>
      <c r="V212" s="396">
        <f xml:space="preserve"> Time!V$101</f>
        <v>0</v>
      </c>
      <c r="W212" s="396">
        <f xml:space="preserve"> Time!W$101</f>
        <v>0</v>
      </c>
      <c r="X212" s="396">
        <f xml:space="preserve"> Time!X$101</f>
        <v>0</v>
      </c>
      <c r="Y212" s="396">
        <f xml:space="preserve"> Time!Y$101</f>
        <v>0</v>
      </c>
      <c r="Z212" s="396">
        <f xml:space="preserve"> Time!Z$101</f>
        <v>0</v>
      </c>
      <c r="AA212" s="396">
        <f xml:space="preserve"> Time!AA$101</f>
        <v>0</v>
      </c>
      <c r="AB212" s="396">
        <f xml:space="preserve"> Time!AB$101</f>
        <v>0</v>
      </c>
      <c r="AC212" s="396">
        <f xml:space="preserve"> Time!AC$101</f>
        <v>0</v>
      </c>
      <c r="AD212" s="396">
        <f xml:space="preserve"> Time!AD$101</f>
        <v>0</v>
      </c>
      <c r="AE212" s="396">
        <f xml:space="preserve"> Time!AE$101</f>
        <v>0</v>
      </c>
      <c r="AF212" s="396">
        <f xml:space="preserve"> Time!AF$101</f>
        <v>0</v>
      </c>
      <c r="AG212" s="396">
        <f xml:space="preserve"> Time!AG$101</f>
        <v>0</v>
      </c>
      <c r="AH212" s="396">
        <f xml:space="preserve"> Time!AH$101</f>
        <v>0</v>
      </c>
      <c r="AI212" s="396">
        <f xml:space="preserve"> Time!AI$101</f>
        <v>0</v>
      </c>
      <c r="AJ212" s="396">
        <f xml:space="preserve"> Time!AJ$101</f>
        <v>0</v>
      </c>
      <c r="AK212" s="396">
        <f xml:space="preserve"> Time!AK$101</f>
        <v>0</v>
      </c>
      <c r="AL212" s="396">
        <f xml:space="preserve"> Time!AL$101</f>
        <v>0</v>
      </c>
      <c r="AM212" s="396">
        <f xml:space="preserve"> Time!AM$101</f>
        <v>0</v>
      </c>
      <c r="AN212" s="396">
        <f xml:space="preserve"> Time!AN$101</f>
        <v>0</v>
      </c>
      <c r="AO212" s="396">
        <f xml:space="preserve"> Time!AO$101</f>
        <v>0</v>
      </c>
      <c r="AP212" s="396">
        <f xml:space="preserve"> Time!AP$101</f>
        <v>0</v>
      </c>
      <c r="AQ212" s="396">
        <f xml:space="preserve"> Time!AQ$101</f>
        <v>0</v>
      </c>
      <c r="AR212" s="396">
        <f xml:space="preserve"> Time!AR$101</f>
        <v>0</v>
      </c>
      <c r="AS212" s="396">
        <f xml:space="preserve"> Time!AS$101</f>
        <v>0</v>
      </c>
      <c r="AT212" s="396">
        <f xml:space="preserve"> Time!AT$101</f>
        <v>0</v>
      </c>
      <c r="AU212" s="396">
        <f xml:space="preserve"> Time!AU$101</f>
        <v>0</v>
      </c>
      <c r="AV212" s="396">
        <f xml:space="preserve"> Time!AV$101</f>
        <v>0</v>
      </c>
      <c r="AW212" s="396">
        <f xml:space="preserve"> Time!AW$101</f>
        <v>0</v>
      </c>
      <c r="AX212" s="396">
        <f xml:space="preserve"> Time!AX$101</f>
        <v>0</v>
      </c>
      <c r="AY212" s="396">
        <f xml:space="preserve"> Time!AY$101</f>
        <v>0</v>
      </c>
      <c r="AZ212" s="396">
        <f xml:space="preserve"> Time!AZ$101</f>
        <v>0</v>
      </c>
      <c r="BA212" s="396">
        <f xml:space="preserve"> Time!BA$101</f>
        <v>0</v>
      </c>
      <c r="BB212" s="396">
        <f xml:space="preserve"> Time!BB$101</f>
        <v>1</v>
      </c>
      <c r="BC212" s="396">
        <f xml:space="preserve"> Time!BC$101</f>
        <v>0</v>
      </c>
      <c r="BD212" s="396">
        <f xml:space="preserve"> Time!BD$101</f>
        <v>0</v>
      </c>
      <c r="BE212" s="396">
        <f xml:space="preserve"> Time!BE$101</f>
        <v>0</v>
      </c>
      <c r="BF212" s="396">
        <f xml:space="preserve"> Time!BF$101</f>
        <v>0</v>
      </c>
      <c r="BG212" s="396">
        <f xml:space="preserve"> Time!BG$101</f>
        <v>0</v>
      </c>
      <c r="BH212" s="396">
        <f xml:space="preserve"> Time!BH$101</f>
        <v>0</v>
      </c>
      <c r="BI212" s="396">
        <f xml:space="preserve"> Time!BI$101</f>
        <v>0</v>
      </c>
      <c r="BJ212" s="396">
        <f xml:space="preserve"> Time!BJ$101</f>
        <v>0</v>
      </c>
      <c r="BK212" s="396">
        <f xml:space="preserve"> Time!BK$101</f>
        <v>0</v>
      </c>
      <c r="BL212" s="396">
        <f xml:space="preserve"> Time!BL$101</f>
        <v>0</v>
      </c>
      <c r="BM212" s="396">
        <f xml:space="preserve"> Time!BM$101</f>
        <v>0</v>
      </c>
      <c r="BN212" s="396">
        <f xml:space="preserve"> Time!BN$101</f>
        <v>0</v>
      </c>
      <c r="BO212" s="396">
        <f xml:space="preserve"> Time!BO$101</f>
        <v>0</v>
      </c>
      <c r="BP212" s="396">
        <f xml:space="preserve"> Time!BP$101</f>
        <v>0</v>
      </c>
      <c r="BQ212" s="396">
        <f xml:space="preserve"> Time!BQ$101</f>
        <v>0</v>
      </c>
      <c r="BR212" s="396">
        <f xml:space="preserve"> Time!BR$101</f>
        <v>0</v>
      </c>
      <c r="BS212" s="396">
        <f xml:space="preserve"> Time!BS$101</f>
        <v>0</v>
      </c>
      <c r="BT212" s="396">
        <f xml:space="preserve"> Time!BT$101</f>
        <v>0</v>
      </c>
      <c r="BU212" s="396">
        <f xml:space="preserve"> Time!BU$101</f>
        <v>0</v>
      </c>
      <c r="BV212" s="396">
        <f xml:space="preserve"> Time!BV$101</f>
        <v>0</v>
      </c>
      <c r="BW212" s="396">
        <f xml:space="preserve"> Time!BW$101</f>
        <v>0</v>
      </c>
      <c r="BX212" s="396">
        <f xml:space="preserve"> Time!BX$101</f>
        <v>0</v>
      </c>
      <c r="BY212" s="396">
        <f xml:space="preserve"> Time!BY$101</f>
        <v>0</v>
      </c>
      <c r="BZ212" s="396">
        <f xml:space="preserve"> Time!BZ$101</f>
        <v>0</v>
      </c>
      <c r="CA212" s="396">
        <f xml:space="preserve"> Time!CA$101</f>
        <v>0</v>
      </c>
      <c r="CB212" s="396">
        <f xml:space="preserve"> Time!CB$101</f>
        <v>0</v>
      </c>
      <c r="CC212" s="396">
        <f xml:space="preserve"> Time!CC$101</f>
        <v>0</v>
      </c>
      <c r="CD212" s="396">
        <f xml:space="preserve"> Time!CD$101</f>
        <v>0</v>
      </c>
      <c r="CE212" s="396">
        <f xml:space="preserve"> Time!CE$101</f>
        <v>0</v>
      </c>
      <c r="CF212" s="396">
        <f xml:space="preserve"> Time!CF$101</f>
        <v>0</v>
      </c>
      <c r="CG212" s="396">
        <f xml:space="preserve"> Time!CG$101</f>
        <v>0</v>
      </c>
      <c r="CH212" s="396">
        <f xml:space="preserve"> Time!CH$101</f>
        <v>0</v>
      </c>
      <c r="CI212" s="396">
        <f xml:space="preserve"> Time!CI$101</f>
        <v>0</v>
      </c>
      <c r="CJ212" s="396">
        <f xml:space="preserve"> Time!CJ$101</f>
        <v>0</v>
      </c>
      <c r="CK212" s="396">
        <f xml:space="preserve"> Time!CK$101</f>
        <v>0</v>
      </c>
      <c r="CL212" s="396">
        <f xml:space="preserve"> Time!CL$101</f>
        <v>0</v>
      </c>
      <c r="CM212" s="396">
        <f xml:space="preserve"> Time!CM$101</f>
        <v>0</v>
      </c>
      <c r="CN212" s="396">
        <f xml:space="preserve"> Time!CN$101</f>
        <v>0</v>
      </c>
      <c r="CO212" s="396">
        <f xml:space="preserve"> Time!CO$101</f>
        <v>0</v>
      </c>
      <c r="CP212" s="396">
        <f xml:space="preserve"> Time!CP$101</f>
        <v>0</v>
      </c>
      <c r="CQ212" s="396">
        <f xml:space="preserve"> Time!CQ$101</f>
        <v>0</v>
      </c>
      <c r="CR212" s="396">
        <f xml:space="preserve"> Time!CR$101</f>
        <v>0</v>
      </c>
      <c r="CS212" s="396">
        <f xml:space="preserve"> Time!CS$101</f>
        <v>0</v>
      </c>
      <c r="CT212" s="396">
        <f xml:space="preserve"> Time!CT$101</f>
        <v>0</v>
      </c>
      <c r="CU212" s="396">
        <f xml:space="preserve"> Time!CU$101</f>
        <v>0</v>
      </c>
      <c r="CV212" s="396">
        <f xml:space="preserve"> Time!CV$101</f>
        <v>0</v>
      </c>
    </row>
    <row r="213" spans="1:100" outlineLevel="1" x14ac:dyDescent="0.2">
      <c r="A213" s="236"/>
      <c r="B213" s="236"/>
      <c r="C213" s="237"/>
      <c r="D213" s="238"/>
      <c r="E213" s="235" t="str">
        <f t="shared" ref="E213:AJ213" si="449" xml:space="preserve"> E$154</f>
        <v>O&amp;M expense POS</v>
      </c>
      <c r="F213" s="235">
        <f t="shared" si="449"/>
        <v>0</v>
      </c>
      <c r="G213" s="235" t="str">
        <f t="shared" si="449"/>
        <v>$ 000s</v>
      </c>
      <c r="H213" s="235">
        <f t="shared" si="449"/>
        <v>210402.03579009019</v>
      </c>
      <c r="I213" s="235">
        <f t="shared" si="449"/>
        <v>0</v>
      </c>
      <c r="J213" s="235">
        <f t="shared" si="449"/>
        <v>0</v>
      </c>
      <c r="K213" s="235">
        <f t="shared" si="449"/>
        <v>0</v>
      </c>
      <c r="L213" s="235">
        <f t="shared" si="449"/>
        <v>0</v>
      </c>
      <c r="M213" s="235">
        <f t="shared" si="449"/>
        <v>0</v>
      </c>
      <c r="N213" s="235">
        <f t="shared" si="449"/>
        <v>0</v>
      </c>
      <c r="O213" s="235">
        <f t="shared" si="449"/>
        <v>4329.7286399999994</v>
      </c>
      <c r="P213" s="235">
        <f t="shared" si="449"/>
        <v>4329.7286399999994</v>
      </c>
      <c r="Q213" s="235">
        <f t="shared" si="449"/>
        <v>4416.3232128</v>
      </c>
      <c r="R213" s="235">
        <f t="shared" si="449"/>
        <v>4416.3232128</v>
      </c>
      <c r="S213" s="235">
        <f t="shared" si="449"/>
        <v>4504.6496770560007</v>
      </c>
      <c r="T213" s="235">
        <f t="shared" si="449"/>
        <v>4504.6496770560007</v>
      </c>
      <c r="U213" s="235">
        <f t="shared" si="449"/>
        <v>4594.7426705971193</v>
      </c>
      <c r="V213" s="235">
        <f t="shared" si="449"/>
        <v>4594.7426705971193</v>
      </c>
      <c r="W213" s="235">
        <f t="shared" si="449"/>
        <v>4686.637524009062</v>
      </c>
      <c r="X213" s="235">
        <f t="shared" si="449"/>
        <v>4686.637524009062</v>
      </c>
      <c r="Y213" s="235">
        <f t="shared" si="449"/>
        <v>4780.3702744892435</v>
      </c>
      <c r="Z213" s="235">
        <f t="shared" si="449"/>
        <v>4780.3702744892435</v>
      </c>
      <c r="AA213" s="235">
        <f t="shared" si="449"/>
        <v>4875.9776799790279</v>
      </c>
      <c r="AB213" s="235">
        <f t="shared" si="449"/>
        <v>4875.9776799790279</v>
      </c>
      <c r="AC213" s="235">
        <f t="shared" si="449"/>
        <v>4973.4972335786078</v>
      </c>
      <c r="AD213" s="235">
        <f t="shared" si="449"/>
        <v>4973.4972335786078</v>
      </c>
      <c r="AE213" s="235">
        <f t="shared" si="449"/>
        <v>5072.967178250181</v>
      </c>
      <c r="AF213" s="235">
        <f t="shared" si="449"/>
        <v>5072.967178250181</v>
      </c>
      <c r="AG213" s="235">
        <f t="shared" si="449"/>
        <v>5174.4265218151841</v>
      </c>
      <c r="AH213" s="235">
        <f t="shared" si="449"/>
        <v>5174.4265218151841</v>
      </c>
      <c r="AI213" s="235">
        <f t="shared" si="449"/>
        <v>5277.9150522514883</v>
      </c>
      <c r="AJ213" s="235">
        <f t="shared" si="449"/>
        <v>5277.9150522514883</v>
      </c>
      <c r="AK213" s="235">
        <f t="shared" ref="AK213:BP213" si="450" xml:space="preserve"> AK$154</f>
        <v>5383.4733532965174</v>
      </c>
      <c r="AL213" s="235">
        <f t="shared" si="450"/>
        <v>5383.4733532965174</v>
      </c>
      <c r="AM213" s="235">
        <f t="shared" si="450"/>
        <v>5491.1428203624482</v>
      </c>
      <c r="AN213" s="235">
        <f t="shared" si="450"/>
        <v>5491.1428203624482</v>
      </c>
      <c r="AO213" s="235">
        <f t="shared" si="450"/>
        <v>5600.9656767696979</v>
      </c>
      <c r="AP213" s="235">
        <f t="shared" si="450"/>
        <v>5600.9656767696979</v>
      </c>
      <c r="AQ213" s="235">
        <f t="shared" si="450"/>
        <v>5712.9849903050908</v>
      </c>
      <c r="AR213" s="235">
        <f t="shared" si="450"/>
        <v>5712.9849903050908</v>
      </c>
      <c r="AS213" s="235">
        <f t="shared" si="450"/>
        <v>5827.2446901111925</v>
      </c>
      <c r="AT213" s="235">
        <f t="shared" si="450"/>
        <v>5827.2446901111925</v>
      </c>
      <c r="AU213" s="235">
        <f t="shared" si="450"/>
        <v>5943.7895839134171</v>
      </c>
      <c r="AV213" s="235">
        <f t="shared" si="450"/>
        <v>5943.7895839134171</v>
      </c>
      <c r="AW213" s="235">
        <f t="shared" si="450"/>
        <v>6062.665375591685</v>
      </c>
      <c r="AX213" s="235">
        <f t="shared" si="450"/>
        <v>6062.665375591685</v>
      </c>
      <c r="AY213" s="235">
        <f t="shared" si="450"/>
        <v>6183.9186831035186</v>
      </c>
      <c r="AZ213" s="235">
        <f t="shared" si="450"/>
        <v>6183.9186831035186</v>
      </c>
      <c r="BA213" s="235">
        <f t="shared" si="450"/>
        <v>6307.5970567655886</v>
      </c>
      <c r="BB213" s="235">
        <f t="shared" si="450"/>
        <v>6307.5970567655886</v>
      </c>
      <c r="BC213" s="235">
        <f t="shared" si="450"/>
        <v>0</v>
      </c>
      <c r="BD213" s="235">
        <f t="shared" si="450"/>
        <v>0</v>
      </c>
      <c r="BE213" s="235">
        <f t="shared" si="450"/>
        <v>0</v>
      </c>
      <c r="BF213" s="235">
        <f t="shared" si="450"/>
        <v>0</v>
      </c>
      <c r="BG213" s="235">
        <f t="shared" si="450"/>
        <v>0</v>
      </c>
      <c r="BH213" s="235">
        <f t="shared" si="450"/>
        <v>0</v>
      </c>
      <c r="BI213" s="235">
        <f t="shared" si="450"/>
        <v>0</v>
      </c>
      <c r="BJ213" s="235">
        <f t="shared" si="450"/>
        <v>0</v>
      </c>
      <c r="BK213" s="235">
        <f t="shared" si="450"/>
        <v>0</v>
      </c>
      <c r="BL213" s="235">
        <f t="shared" si="450"/>
        <v>0</v>
      </c>
      <c r="BM213" s="235">
        <f t="shared" si="450"/>
        <v>0</v>
      </c>
      <c r="BN213" s="235">
        <f t="shared" si="450"/>
        <v>0</v>
      </c>
      <c r="BO213" s="235">
        <f t="shared" si="450"/>
        <v>0</v>
      </c>
      <c r="BP213" s="235">
        <f t="shared" si="450"/>
        <v>0</v>
      </c>
      <c r="BQ213" s="235">
        <f t="shared" ref="BQ213:CV213" si="451" xml:space="preserve"> BQ$154</f>
        <v>0</v>
      </c>
      <c r="BR213" s="235">
        <f t="shared" si="451"/>
        <v>0</v>
      </c>
      <c r="BS213" s="235">
        <f t="shared" si="451"/>
        <v>0</v>
      </c>
      <c r="BT213" s="235">
        <f t="shared" si="451"/>
        <v>0</v>
      </c>
      <c r="BU213" s="235">
        <f t="shared" si="451"/>
        <v>0</v>
      </c>
      <c r="BV213" s="235">
        <f t="shared" si="451"/>
        <v>0</v>
      </c>
      <c r="BW213" s="235">
        <f t="shared" si="451"/>
        <v>0</v>
      </c>
      <c r="BX213" s="235">
        <f t="shared" si="451"/>
        <v>0</v>
      </c>
      <c r="BY213" s="235">
        <f t="shared" si="451"/>
        <v>0</v>
      </c>
      <c r="BZ213" s="235">
        <f t="shared" si="451"/>
        <v>0</v>
      </c>
      <c r="CA213" s="235">
        <f t="shared" si="451"/>
        <v>0</v>
      </c>
      <c r="CB213" s="235">
        <f t="shared" si="451"/>
        <v>0</v>
      </c>
      <c r="CC213" s="235">
        <f t="shared" si="451"/>
        <v>0</v>
      </c>
      <c r="CD213" s="235">
        <f t="shared" si="451"/>
        <v>0</v>
      </c>
      <c r="CE213" s="235">
        <f t="shared" si="451"/>
        <v>0</v>
      </c>
      <c r="CF213" s="235">
        <f t="shared" si="451"/>
        <v>0</v>
      </c>
      <c r="CG213" s="235">
        <f t="shared" si="451"/>
        <v>0</v>
      </c>
      <c r="CH213" s="235">
        <f t="shared" si="451"/>
        <v>0</v>
      </c>
      <c r="CI213" s="235">
        <f t="shared" si="451"/>
        <v>0</v>
      </c>
      <c r="CJ213" s="235">
        <f t="shared" si="451"/>
        <v>0</v>
      </c>
      <c r="CK213" s="235">
        <f t="shared" si="451"/>
        <v>0</v>
      </c>
      <c r="CL213" s="235">
        <f t="shared" si="451"/>
        <v>0</v>
      </c>
      <c r="CM213" s="235">
        <f t="shared" si="451"/>
        <v>0</v>
      </c>
      <c r="CN213" s="235">
        <f t="shared" si="451"/>
        <v>0</v>
      </c>
      <c r="CO213" s="235">
        <f t="shared" si="451"/>
        <v>0</v>
      </c>
      <c r="CP213" s="235">
        <f t="shared" si="451"/>
        <v>0</v>
      </c>
      <c r="CQ213" s="235">
        <f t="shared" si="451"/>
        <v>0</v>
      </c>
      <c r="CR213" s="235">
        <f t="shared" si="451"/>
        <v>0</v>
      </c>
      <c r="CS213" s="235">
        <f t="shared" si="451"/>
        <v>0</v>
      </c>
      <c r="CT213" s="235">
        <f t="shared" si="451"/>
        <v>0</v>
      </c>
      <c r="CU213" s="235">
        <f t="shared" si="451"/>
        <v>0</v>
      </c>
      <c r="CV213" s="235">
        <f t="shared" si="451"/>
        <v>0</v>
      </c>
    </row>
    <row r="214" spans="1:100" outlineLevel="1" x14ac:dyDescent="0.2">
      <c r="A214" s="236"/>
      <c r="B214" s="236"/>
      <c r="C214" s="237"/>
      <c r="D214" s="238"/>
      <c r="E214" s="235" t="s">
        <v>199</v>
      </c>
      <c r="F214" s="235"/>
      <c r="G214" s="235" t="str">
        <f xml:space="preserve"> SMU</f>
        <v>$ 000s</v>
      </c>
      <c r="H214" s="235"/>
      <c r="I214" s="235"/>
      <c r="J214" s="235">
        <f t="shared" ref="J214:AO214" si="452" xml:space="preserve"> IF(J212 = 1, 0, $F210 / J211 * J213)</f>
        <v>0</v>
      </c>
      <c r="K214" s="235">
        <f t="shared" si="452"/>
        <v>0</v>
      </c>
      <c r="L214" s="235">
        <f t="shared" si="452"/>
        <v>0</v>
      </c>
      <c r="M214" s="235">
        <f t="shared" si="452"/>
        <v>0</v>
      </c>
      <c r="N214" s="235">
        <f t="shared" si="452"/>
        <v>0</v>
      </c>
      <c r="O214" s="235">
        <f t="shared" si="452"/>
        <v>1058.9010260869563</v>
      </c>
      <c r="P214" s="235">
        <f t="shared" si="452"/>
        <v>1076.4518718232043</v>
      </c>
      <c r="Q214" s="235">
        <f t="shared" si="452"/>
        <v>1080.0790466086958</v>
      </c>
      <c r="R214" s="235">
        <f t="shared" si="452"/>
        <v>1097.9809092596686</v>
      </c>
      <c r="S214" s="235">
        <f t="shared" si="452"/>
        <v>1101.6806275408696</v>
      </c>
      <c r="T214" s="235">
        <f t="shared" si="452"/>
        <v>1119.940527444862</v>
      </c>
      <c r="U214" s="235">
        <f t="shared" si="452"/>
        <v>1123.7142400916869</v>
      </c>
      <c r="V214" s="235">
        <f t="shared" si="452"/>
        <v>1136.0627482245625</v>
      </c>
      <c r="W214" s="235">
        <f t="shared" si="452"/>
        <v>1146.1885248935207</v>
      </c>
      <c r="X214" s="235">
        <f t="shared" si="452"/>
        <v>1165.1861247536342</v>
      </c>
      <c r="Y214" s="235">
        <f t="shared" si="452"/>
        <v>1169.1122953913912</v>
      </c>
      <c r="Z214" s="235">
        <f t="shared" si="452"/>
        <v>1188.4898472487071</v>
      </c>
      <c r="AA214" s="235">
        <f t="shared" si="452"/>
        <v>1192.4945412992188</v>
      </c>
      <c r="AB214" s="235">
        <f t="shared" si="452"/>
        <v>1212.259644193681</v>
      </c>
      <c r="AC214" s="235">
        <f t="shared" si="452"/>
        <v>1216.344432125203</v>
      </c>
      <c r="AD214" s="235">
        <f t="shared" si="452"/>
        <v>1229.7108544562493</v>
      </c>
      <c r="AE214" s="235">
        <f t="shared" si="452"/>
        <v>1240.6713207677074</v>
      </c>
      <c r="AF214" s="235">
        <f t="shared" si="452"/>
        <v>1261.2349338191059</v>
      </c>
      <c r="AG214" s="235">
        <f t="shared" si="452"/>
        <v>1265.4847471830612</v>
      </c>
      <c r="AH214" s="235">
        <f t="shared" si="452"/>
        <v>1286.4596324954878</v>
      </c>
      <c r="AI214" s="235">
        <f t="shared" si="452"/>
        <v>1290.7944421267227</v>
      </c>
      <c r="AJ214" s="235">
        <f t="shared" si="452"/>
        <v>1312.1888251453977</v>
      </c>
      <c r="AK214" s="235">
        <f t="shared" si="452"/>
        <v>1316.6103309692569</v>
      </c>
      <c r="AL214" s="235">
        <f t="shared" si="452"/>
        <v>1331.0785763645235</v>
      </c>
      <c r="AM214" s="235">
        <f t="shared" si="452"/>
        <v>1342.9425375886422</v>
      </c>
      <c r="AN214" s="235">
        <f t="shared" si="452"/>
        <v>1365.2012536812717</v>
      </c>
      <c r="AO214" s="235">
        <f t="shared" si="452"/>
        <v>1369.8013883404153</v>
      </c>
      <c r="AP214" s="235">
        <f t="shared" ref="AP214:BU214" si="453" xml:space="preserve"> IF(AP212 = 1, 0, $F210 / AP211 * AP213)</f>
        <v>1392.5052787548973</v>
      </c>
      <c r="AQ214" s="235">
        <f t="shared" si="453"/>
        <v>1397.1974161072233</v>
      </c>
      <c r="AR214" s="235">
        <f t="shared" si="453"/>
        <v>1420.3553843299949</v>
      </c>
      <c r="AS214" s="235">
        <f t="shared" si="453"/>
        <v>1425.1413644293677</v>
      </c>
      <c r="AT214" s="235">
        <f t="shared" si="453"/>
        <v>1440.8022585439762</v>
      </c>
      <c r="AU214" s="235">
        <f t="shared" si="453"/>
        <v>1453.6441917179552</v>
      </c>
      <c r="AV214" s="235">
        <f t="shared" si="453"/>
        <v>1477.737741856927</v>
      </c>
      <c r="AW214" s="235">
        <f t="shared" si="453"/>
        <v>1482.7170755523143</v>
      </c>
      <c r="AX214" s="235">
        <f t="shared" si="453"/>
        <v>1507.2924966940654</v>
      </c>
      <c r="AY214" s="235">
        <f t="shared" si="453"/>
        <v>1512.3714170633605</v>
      </c>
      <c r="AZ214" s="235">
        <f t="shared" si="453"/>
        <v>1537.4383466279467</v>
      </c>
      <c r="BA214" s="235">
        <f t="shared" si="453"/>
        <v>1542.6188454046276</v>
      </c>
      <c r="BB214" s="235">
        <f t="shared" si="453"/>
        <v>0</v>
      </c>
      <c r="BC214" s="235">
        <f t="shared" si="453"/>
        <v>0</v>
      </c>
      <c r="BD214" s="235">
        <f t="shared" si="453"/>
        <v>0</v>
      </c>
      <c r="BE214" s="235">
        <f t="shared" si="453"/>
        <v>0</v>
      </c>
      <c r="BF214" s="235">
        <f t="shared" si="453"/>
        <v>0</v>
      </c>
      <c r="BG214" s="235">
        <f t="shared" si="453"/>
        <v>0</v>
      </c>
      <c r="BH214" s="235">
        <f t="shared" si="453"/>
        <v>0</v>
      </c>
      <c r="BI214" s="235">
        <f t="shared" si="453"/>
        <v>0</v>
      </c>
      <c r="BJ214" s="235">
        <f t="shared" si="453"/>
        <v>0</v>
      </c>
      <c r="BK214" s="235">
        <f t="shared" si="453"/>
        <v>0</v>
      </c>
      <c r="BL214" s="235">
        <f t="shared" si="453"/>
        <v>0</v>
      </c>
      <c r="BM214" s="235">
        <f t="shared" si="453"/>
        <v>0</v>
      </c>
      <c r="BN214" s="235">
        <f t="shared" si="453"/>
        <v>0</v>
      </c>
      <c r="BO214" s="235">
        <f t="shared" si="453"/>
        <v>0</v>
      </c>
      <c r="BP214" s="235">
        <f t="shared" si="453"/>
        <v>0</v>
      </c>
      <c r="BQ214" s="235">
        <f t="shared" si="453"/>
        <v>0</v>
      </c>
      <c r="BR214" s="235">
        <f t="shared" si="453"/>
        <v>0</v>
      </c>
      <c r="BS214" s="235">
        <f t="shared" si="453"/>
        <v>0</v>
      </c>
      <c r="BT214" s="235">
        <f t="shared" si="453"/>
        <v>0</v>
      </c>
      <c r="BU214" s="235">
        <f t="shared" si="453"/>
        <v>0</v>
      </c>
      <c r="BV214" s="235">
        <f t="shared" ref="BV214:CV214" si="454" xml:space="preserve"> IF(BV212 = 1, 0, $F210 / BV211 * BV213)</f>
        <v>0</v>
      </c>
      <c r="BW214" s="235">
        <f t="shared" si="454"/>
        <v>0</v>
      </c>
      <c r="BX214" s="235">
        <f t="shared" si="454"/>
        <v>0</v>
      </c>
      <c r="BY214" s="235">
        <f t="shared" si="454"/>
        <v>0</v>
      </c>
      <c r="BZ214" s="235">
        <f t="shared" si="454"/>
        <v>0</v>
      </c>
      <c r="CA214" s="235">
        <f t="shared" si="454"/>
        <v>0</v>
      </c>
      <c r="CB214" s="235">
        <f t="shared" si="454"/>
        <v>0</v>
      </c>
      <c r="CC214" s="235">
        <f t="shared" si="454"/>
        <v>0</v>
      </c>
      <c r="CD214" s="235">
        <f t="shared" si="454"/>
        <v>0</v>
      </c>
      <c r="CE214" s="235">
        <f t="shared" si="454"/>
        <v>0</v>
      </c>
      <c r="CF214" s="235">
        <f t="shared" si="454"/>
        <v>0</v>
      </c>
      <c r="CG214" s="235">
        <f t="shared" si="454"/>
        <v>0</v>
      </c>
      <c r="CH214" s="235">
        <f t="shared" si="454"/>
        <v>0</v>
      </c>
      <c r="CI214" s="235">
        <f t="shared" si="454"/>
        <v>0</v>
      </c>
      <c r="CJ214" s="235">
        <f t="shared" si="454"/>
        <v>0</v>
      </c>
      <c r="CK214" s="235">
        <f t="shared" si="454"/>
        <v>0</v>
      </c>
      <c r="CL214" s="235">
        <f t="shared" si="454"/>
        <v>0</v>
      </c>
      <c r="CM214" s="235">
        <f t="shared" si="454"/>
        <v>0</v>
      </c>
      <c r="CN214" s="235">
        <f t="shared" si="454"/>
        <v>0</v>
      </c>
      <c r="CO214" s="235">
        <f t="shared" si="454"/>
        <v>0</v>
      </c>
      <c r="CP214" s="235">
        <f t="shared" si="454"/>
        <v>0</v>
      </c>
      <c r="CQ214" s="235">
        <f t="shared" si="454"/>
        <v>0</v>
      </c>
      <c r="CR214" s="235">
        <f t="shared" si="454"/>
        <v>0</v>
      </c>
      <c r="CS214" s="235">
        <f t="shared" si="454"/>
        <v>0</v>
      </c>
      <c r="CT214" s="235">
        <f t="shared" si="454"/>
        <v>0</v>
      </c>
      <c r="CU214" s="235">
        <f t="shared" si="454"/>
        <v>0</v>
      </c>
      <c r="CV214" s="235">
        <f t="shared" si="454"/>
        <v>0</v>
      </c>
    </row>
    <row r="215" spans="1:100" outlineLevel="1" x14ac:dyDescent="0.2">
      <c r="A215" s="236"/>
      <c r="B215" s="236"/>
      <c r="C215" s="237"/>
      <c r="D215" s="238"/>
      <c r="E215" s="235"/>
      <c r="F215" s="235"/>
      <c r="G215" s="235"/>
      <c r="H215" s="235"/>
      <c r="I215" s="235"/>
      <c r="J215" s="235"/>
      <c r="K215" s="235"/>
      <c r="L215" s="235"/>
      <c r="M215" s="235"/>
      <c r="N215" s="235"/>
      <c r="O215" s="235"/>
      <c r="P215" s="235"/>
      <c r="Q215" s="235"/>
      <c r="R215" s="235"/>
      <c r="S215" s="235"/>
      <c r="T215" s="235"/>
      <c r="U215" s="235"/>
      <c r="V215" s="235"/>
      <c r="W215" s="235"/>
      <c r="X215" s="235"/>
      <c r="Y215" s="235"/>
      <c r="Z215" s="235"/>
      <c r="AA215" s="235"/>
      <c r="AB215" s="235"/>
      <c r="AC215" s="235"/>
      <c r="AD215" s="235"/>
      <c r="AE215" s="235"/>
      <c r="AF215" s="235"/>
      <c r="AG215" s="235"/>
      <c r="AH215" s="235"/>
      <c r="AI215" s="235"/>
      <c r="AJ215" s="235"/>
      <c r="AK215" s="235"/>
      <c r="AL215" s="235"/>
      <c r="AM215" s="235"/>
      <c r="AN215" s="235"/>
      <c r="AO215" s="235"/>
      <c r="AP215" s="235"/>
      <c r="AQ215" s="235"/>
      <c r="AR215" s="235"/>
      <c r="AS215" s="235"/>
      <c r="AT215" s="235"/>
      <c r="AU215" s="235"/>
      <c r="AV215" s="235"/>
      <c r="AW215" s="235"/>
      <c r="AX215" s="235"/>
      <c r="AY215" s="235"/>
      <c r="AZ215" s="235"/>
      <c r="BA215" s="235"/>
      <c r="BB215" s="235"/>
      <c r="BC215" s="235"/>
      <c r="BD215" s="235"/>
      <c r="BE215" s="235"/>
      <c r="BF215" s="235"/>
      <c r="BG215" s="235"/>
      <c r="BH215" s="235"/>
      <c r="BI215" s="235"/>
      <c r="BJ215" s="235"/>
      <c r="BK215" s="235"/>
      <c r="BL215" s="235"/>
      <c r="BM215" s="235"/>
      <c r="BN215" s="235"/>
      <c r="BO215" s="235"/>
      <c r="BP215" s="235"/>
      <c r="BQ215" s="235"/>
      <c r="BR215" s="235"/>
      <c r="BS215" s="235"/>
      <c r="BT215" s="235"/>
      <c r="BU215" s="235"/>
      <c r="BV215" s="235"/>
      <c r="BW215" s="235"/>
      <c r="BX215" s="235"/>
      <c r="BY215" s="235"/>
      <c r="BZ215" s="235"/>
      <c r="CA215" s="235"/>
      <c r="CB215" s="235"/>
      <c r="CC215" s="235"/>
      <c r="CD215" s="235"/>
      <c r="CE215" s="235"/>
      <c r="CF215" s="235"/>
      <c r="CG215" s="235"/>
      <c r="CH215" s="235"/>
      <c r="CI215" s="235"/>
      <c r="CJ215" s="235"/>
      <c r="CK215" s="235"/>
      <c r="CL215" s="235"/>
      <c r="CM215" s="235"/>
      <c r="CN215" s="235"/>
      <c r="CO215" s="235"/>
      <c r="CP215" s="235"/>
      <c r="CQ215" s="235"/>
      <c r="CR215" s="235"/>
      <c r="CS215" s="235"/>
      <c r="CT215" s="235"/>
      <c r="CU215" s="235"/>
      <c r="CV215" s="235"/>
    </row>
    <row r="216" spans="1:100" outlineLevel="1" x14ac:dyDescent="0.2">
      <c r="A216" s="236"/>
      <c r="B216" s="236"/>
      <c r="C216" s="237"/>
      <c r="D216" s="238"/>
      <c r="E216" s="235" t="str">
        <f t="shared" ref="E216:AJ216" si="455" xml:space="preserve"> E$222</f>
        <v>Accounts payable balance BEG</v>
      </c>
      <c r="F216" s="235">
        <f t="shared" si="455"/>
        <v>0</v>
      </c>
      <c r="G216" s="235" t="str">
        <f t="shared" si="455"/>
        <v>$ 000s</v>
      </c>
      <c r="H216" s="235">
        <f t="shared" si="455"/>
        <v>0</v>
      </c>
      <c r="I216" s="235">
        <f t="shared" si="455"/>
        <v>0</v>
      </c>
      <c r="J216" s="235">
        <f t="shared" si="455"/>
        <v>0</v>
      </c>
      <c r="K216" s="235">
        <f t="shared" si="455"/>
        <v>0</v>
      </c>
      <c r="L216" s="235">
        <f t="shared" si="455"/>
        <v>0</v>
      </c>
      <c r="M216" s="235">
        <f t="shared" si="455"/>
        <v>0</v>
      </c>
      <c r="N216" s="235">
        <f t="shared" si="455"/>
        <v>0</v>
      </c>
      <c r="O216" s="235">
        <f t="shared" si="455"/>
        <v>0</v>
      </c>
      <c r="P216" s="235">
        <f t="shared" si="455"/>
        <v>1058.9010260869563</v>
      </c>
      <c r="Q216" s="235">
        <f t="shared" si="455"/>
        <v>1076.4518718232048</v>
      </c>
      <c r="R216" s="235">
        <f t="shared" si="455"/>
        <v>1080.0790466086955</v>
      </c>
      <c r="S216" s="235">
        <f t="shared" si="455"/>
        <v>1097.9809092596688</v>
      </c>
      <c r="T216" s="235">
        <f t="shared" si="455"/>
        <v>1101.6806275408699</v>
      </c>
      <c r="U216" s="235">
        <f t="shared" si="455"/>
        <v>1119.9405274448618</v>
      </c>
      <c r="V216" s="235">
        <f t="shared" si="455"/>
        <v>1123.7142400916873</v>
      </c>
      <c r="W216" s="235">
        <f t="shared" si="455"/>
        <v>1136.0627482245627</v>
      </c>
      <c r="X216" s="235">
        <f t="shared" si="455"/>
        <v>1146.1885248935205</v>
      </c>
      <c r="Y216" s="235">
        <f t="shared" si="455"/>
        <v>1165.1861247536344</v>
      </c>
      <c r="Z216" s="235">
        <f t="shared" si="455"/>
        <v>1169.1122953913909</v>
      </c>
      <c r="AA216" s="235">
        <f t="shared" si="455"/>
        <v>1188.4898472487075</v>
      </c>
      <c r="AB216" s="235">
        <f t="shared" si="455"/>
        <v>1192.4945412992192</v>
      </c>
      <c r="AC216" s="235">
        <f t="shared" si="455"/>
        <v>1212.2596441936812</v>
      </c>
      <c r="AD216" s="235">
        <f t="shared" si="455"/>
        <v>1216.3444321252027</v>
      </c>
      <c r="AE216" s="235">
        <f t="shared" si="455"/>
        <v>1229.7108544562489</v>
      </c>
      <c r="AF216" s="235">
        <f t="shared" si="455"/>
        <v>1240.6713207677076</v>
      </c>
      <c r="AG216" s="235">
        <f t="shared" si="455"/>
        <v>1261.2349338191061</v>
      </c>
      <c r="AH216" s="235">
        <f t="shared" si="455"/>
        <v>1265.4847471830617</v>
      </c>
      <c r="AI216" s="235">
        <f t="shared" si="455"/>
        <v>1286.4596324954882</v>
      </c>
      <c r="AJ216" s="235">
        <f t="shared" si="455"/>
        <v>1290.794442126723</v>
      </c>
      <c r="AK216" s="235">
        <f t="shared" ref="AK216:BP216" si="456" xml:space="preserve"> AK$222</f>
        <v>1312.1888251453975</v>
      </c>
      <c r="AL216" s="235">
        <f t="shared" si="456"/>
        <v>1316.6103309692571</v>
      </c>
      <c r="AM216" s="235">
        <f t="shared" si="456"/>
        <v>1331.0785763645235</v>
      </c>
      <c r="AN216" s="235">
        <f t="shared" si="456"/>
        <v>1342.9425375886422</v>
      </c>
      <c r="AO216" s="235">
        <f t="shared" si="456"/>
        <v>1365.2012536812717</v>
      </c>
      <c r="AP216" s="235">
        <f t="shared" si="456"/>
        <v>1369.8013883404155</v>
      </c>
      <c r="AQ216" s="235">
        <f t="shared" si="456"/>
        <v>1392.5052787548975</v>
      </c>
      <c r="AR216" s="235">
        <f t="shared" si="456"/>
        <v>1397.197416107223</v>
      </c>
      <c r="AS216" s="235">
        <f t="shared" si="456"/>
        <v>1420.3553843299951</v>
      </c>
      <c r="AT216" s="235">
        <f t="shared" si="456"/>
        <v>1425.141364429368</v>
      </c>
      <c r="AU216" s="235">
        <f t="shared" si="456"/>
        <v>1440.8022585439758</v>
      </c>
      <c r="AV216" s="235">
        <f t="shared" si="456"/>
        <v>1453.6441917179554</v>
      </c>
      <c r="AW216" s="235">
        <f t="shared" si="456"/>
        <v>1477.7377418569267</v>
      </c>
      <c r="AX216" s="235">
        <f t="shared" si="456"/>
        <v>1482.7170755523148</v>
      </c>
      <c r="AY216" s="235">
        <f t="shared" si="456"/>
        <v>1507.2924966940654</v>
      </c>
      <c r="AZ216" s="235">
        <f t="shared" si="456"/>
        <v>1512.3714170633602</v>
      </c>
      <c r="BA216" s="235">
        <f t="shared" si="456"/>
        <v>1537.4383466279469</v>
      </c>
      <c r="BB216" s="235">
        <f t="shared" si="456"/>
        <v>1542.6188454046278</v>
      </c>
      <c r="BC216" s="235">
        <f t="shared" si="456"/>
        <v>0</v>
      </c>
      <c r="BD216" s="235">
        <f t="shared" si="456"/>
        <v>0</v>
      </c>
      <c r="BE216" s="235">
        <f t="shared" si="456"/>
        <v>0</v>
      </c>
      <c r="BF216" s="235">
        <f t="shared" si="456"/>
        <v>0</v>
      </c>
      <c r="BG216" s="235">
        <f t="shared" si="456"/>
        <v>0</v>
      </c>
      <c r="BH216" s="235">
        <f t="shared" si="456"/>
        <v>0</v>
      </c>
      <c r="BI216" s="235">
        <f t="shared" si="456"/>
        <v>0</v>
      </c>
      <c r="BJ216" s="235">
        <f t="shared" si="456"/>
        <v>0</v>
      </c>
      <c r="BK216" s="235">
        <f t="shared" si="456"/>
        <v>0</v>
      </c>
      <c r="BL216" s="235">
        <f t="shared" si="456"/>
        <v>0</v>
      </c>
      <c r="BM216" s="235">
        <f t="shared" si="456"/>
        <v>0</v>
      </c>
      <c r="BN216" s="235">
        <f t="shared" si="456"/>
        <v>0</v>
      </c>
      <c r="BO216" s="235">
        <f t="shared" si="456"/>
        <v>0</v>
      </c>
      <c r="BP216" s="235">
        <f t="shared" si="456"/>
        <v>0</v>
      </c>
      <c r="BQ216" s="235">
        <f t="shared" ref="BQ216:CV216" si="457" xml:space="preserve"> BQ$222</f>
        <v>0</v>
      </c>
      <c r="BR216" s="235">
        <f t="shared" si="457"/>
        <v>0</v>
      </c>
      <c r="BS216" s="235">
        <f t="shared" si="457"/>
        <v>0</v>
      </c>
      <c r="BT216" s="235">
        <f t="shared" si="457"/>
        <v>0</v>
      </c>
      <c r="BU216" s="235">
        <f t="shared" si="457"/>
        <v>0</v>
      </c>
      <c r="BV216" s="235">
        <f t="shared" si="457"/>
        <v>0</v>
      </c>
      <c r="BW216" s="235">
        <f t="shared" si="457"/>
        <v>0</v>
      </c>
      <c r="BX216" s="235">
        <f t="shared" si="457"/>
        <v>0</v>
      </c>
      <c r="BY216" s="235">
        <f t="shared" si="457"/>
        <v>0</v>
      </c>
      <c r="BZ216" s="235">
        <f t="shared" si="457"/>
        <v>0</v>
      </c>
      <c r="CA216" s="235">
        <f t="shared" si="457"/>
        <v>0</v>
      </c>
      <c r="CB216" s="235">
        <f t="shared" si="457"/>
        <v>0</v>
      </c>
      <c r="CC216" s="235">
        <f t="shared" si="457"/>
        <v>0</v>
      </c>
      <c r="CD216" s="235">
        <f t="shared" si="457"/>
        <v>0</v>
      </c>
      <c r="CE216" s="235">
        <f t="shared" si="457"/>
        <v>0</v>
      </c>
      <c r="CF216" s="235">
        <f t="shared" si="457"/>
        <v>0</v>
      </c>
      <c r="CG216" s="235">
        <f t="shared" si="457"/>
        <v>0</v>
      </c>
      <c r="CH216" s="235">
        <f t="shared" si="457"/>
        <v>0</v>
      </c>
      <c r="CI216" s="235">
        <f t="shared" si="457"/>
        <v>0</v>
      </c>
      <c r="CJ216" s="235">
        <f t="shared" si="457"/>
        <v>0</v>
      </c>
      <c r="CK216" s="235">
        <f t="shared" si="457"/>
        <v>0</v>
      </c>
      <c r="CL216" s="235">
        <f t="shared" si="457"/>
        <v>0</v>
      </c>
      <c r="CM216" s="235">
        <f t="shared" si="457"/>
        <v>0</v>
      </c>
      <c r="CN216" s="235">
        <f t="shared" si="457"/>
        <v>0</v>
      </c>
      <c r="CO216" s="235">
        <f t="shared" si="457"/>
        <v>0</v>
      </c>
      <c r="CP216" s="235">
        <f t="shared" si="457"/>
        <v>0</v>
      </c>
      <c r="CQ216" s="235">
        <f t="shared" si="457"/>
        <v>0</v>
      </c>
      <c r="CR216" s="235">
        <f t="shared" si="457"/>
        <v>0</v>
      </c>
      <c r="CS216" s="235">
        <f t="shared" si="457"/>
        <v>0</v>
      </c>
      <c r="CT216" s="235">
        <f t="shared" si="457"/>
        <v>0</v>
      </c>
      <c r="CU216" s="235">
        <f t="shared" si="457"/>
        <v>0</v>
      </c>
      <c r="CV216" s="235">
        <f t="shared" si="457"/>
        <v>0</v>
      </c>
    </row>
    <row r="217" spans="1:100" outlineLevel="1" x14ac:dyDescent="0.2">
      <c r="A217" s="236"/>
      <c r="B217" s="236"/>
      <c r="C217" s="237"/>
      <c r="D217" s="238"/>
      <c r="E217" s="235" t="str">
        <f t="shared" ref="E217:BP217" si="458" xml:space="preserve"> E$154</f>
        <v>O&amp;M expense POS</v>
      </c>
      <c r="F217" s="235">
        <f t="shared" si="458"/>
        <v>0</v>
      </c>
      <c r="G217" s="235" t="str">
        <f t="shared" si="458"/>
        <v>$ 000s</v>
      </c>
      <c r="H217" s="235">
        <f t="shared" si="458"/>
        <v>210402.03579009019</v>
      </c>
      <c r="I217" s="235">
        <f t="shared" si="458"/>
        <v>0</v>
      </c>
      <c r="J217" s="235">
        <f t="shared" si="458"/>
        <v>0</v>
      </c>
      <c r="K217" s="235">
        <f t="shared" si="458"/>
        <v>0</v>
      </c>
      <c r="L217" s="235">
        <f t="shared" si="458"/>
        <v>0</v>
      </c>
      <c r="M217" s="235">
        <f t="shared" si="458"/>
        <v>0</v>
      </c>
      <c r="N217" s="235">
        <f t="shared" si="458"/>
        <v>0</v>
      </c>
      <c r="O217" s="235">
        <f t="shared" si="458"/>
        <v>4329.7286399999994</v>
      </c>
      <c r="P217" s="235">
        <f t="shared" si="458"/>
        <v>4329.7286399999994</v>
      </c>
      <c r="Q217" s="235">
        <f t="shared" si="458"/>
        <v>4416.3232128</v>
      </c>
      <c r="R217" s="235">
        <f t="shared" si="458"/>
        <v>4416.3232128</v>
      </c>
      <c r="S217" s="235">
        <f t="shared" si="458"/>
        <v>4504.6496770560007</v>
      </c>
      <c r="T217" s="235">
        <f t="shared" si="458"/>
        <v>4504.6496770560007</v>
      </c>
      <c r="U217" s="235">
        <f t="shared" si="458"/>
        <v>4594.7426705971193</v>
      </c>
      <c r="V217" s="235">
        <f t="shared" si="458"/>
        <v>4594.7426705971193</v>
      </c>
      <c r="W217" s="235">
        <f t="shared" si="458"/>
        <v>4686.637524009062</v>
      </c>
      <c r="X217" s="235">
        <f t="shared" si="458"/>
        <v>4686.637524009062</v>
      </c>
      <c r="Y217" s="235">
        <f t="shared" si="458"/>
        <v>4780.3702744892435</v>
      </c>
      <c r="Z217" s="235">
        <f t="shared" si="458"/>
        <v>4780.3702744892435</v>
      </c>
      <c r="AA217" s="235">
        <f t="shared" si="458"/>
        <v>4875.9776799790279</v>
      </c>
      <c r="AB217" s="235">
        <f t="shared" si="458"/>
        <v>4875.9776799790279</v>
      </c>
      <c r="AC217" s="235">
        <f t="shared" si="458"/>
        <v>4973.4972335786078</v>
      </c>
      <c r="AD217" s="235">
        <f t="shared" si="458"/>
        <v>4973.4972335786078</v>
      </c>
      <c r="AE217" s="235">
        <f t="shared" si="458"/>
        <v>5072.967178250181</v>
      </c>
      <c r="AF217" s="235">
        <f t="shared" si="458"/>
        <v>5072.967178250181</v>
      </c>
      <c r="AG217" s="235">
        <f t="shared" si="458"/>
        <v>5174.4265218151841</v>
      </c>
      <c r="AH217" s="235">
        <f t="shared" si="458"/>
        <v>5174.4265218151841</v>
      </c>
      <c r="AI217" s="235">
        <f t="shared" si="458"/>
        <v>5277.9150522514883</v>
      </c>
      <c r="AJ217" s="235">
        <f t="shared" si="458"/>
        <v>5277.9150522514883</v>
      </c>
      <c r="AK217" s="235">
        <f t="shared" si="458"/>
        <v>5383.4733532965174</v>
      </c>
      <c r="AL217" s="235">
        <f t="shared" si="458"/>
        <v>5383.4733532965174</v>
      </c>
      <c r="AM217" s="235">
        <f t="shared" si="458"/>
        <v>5491.1428203624482</v>
      </c>
      <c r="AN217" s="235">
        <f t="shared" si="458"/>
        <v>5491.1428203624482</v>
      </c>
      <c r="AO217" s="235">
        <f t="shared" si="458"/>
        <v>5600.9656767696979</v>
      </c>
      <c r="AP217" s="235">
        <f t="shared" si="458"/>
        <v>5600.9656767696979</v>
      </c>
      <c r="AQ217" s="235">
        <f t="shared" si="458"/>
        <v>5712.9849903050908</v>
      </c>
      <c r="AR217" s="235">
        <f t="shared" si="458"/>
        <v>5712.9849903050908</v>
      </c>
      <c r="AS217" s="235">
        <f t="shared" si="458"/>
        <v>5827.2446901111925</v>
      </c>
      <c r="AT217" s="235">
        <f t="shared" si="458"/>
        <v>5827.2446901111925</v>
      </c>
      <c r="AU217" s="235">
        <f t="shared" si="458"/>
        <v>5943.7895839134171</v>
      </c>
      <c r="AV217" s="235">
        <f t="shared" si="458"/>
        <v>5943.7895839134171</v>
      </c>
      <c r="AW217" s="235">
        <f t="shared" si="458"/>
        <v>6062.665375591685</v>
      </c>
      <c r="AX217" s="235">
        <f t="shared" si="458"/>
        <v>6062.665375591685</v>
      </c>
      <c r="AY217" s="235">
        <f t="shared" si="458"/>
        <v>6183.9186831035186</v>
      </c>
      <c r="AZ217" s="235">
        <f t="shared" si="458"/>
        <v>6183.9186831035186</v>
      </c>
      <c r="BA217" s="235">
        <f t="shared" si="458"/>
        <v>6307.5970567655886</v>
      </c>
      <c r="BB217" s="235">
        <f t="shared" si="458"/>
        <v>6307.5970567655886</v>
      </c>
      <c r="BC217" s="235">
        <f t="shared" si="458"/>
        <v>0</v>
      </c>
      <c r="BD217" s="235">
        <f t="shared" si="458"/>
        <v>0</v>
      </c>
      <c r="BE217" s="235">
        <f t="shared" si="458"/>
        <v>0</v>
      </c>
      <c r="BF217" s="235">
        <f t="shared" si="458"/>
        <v>0</v>
      </c>
      <c r="BG217" s="235">
        <f t="shared" si="458"/>
        <v>0</v>
      </c>
      <c r="BH217" s="235">
        <f t="shared" si="458"/>
        <v>0</v>
      </c>
      <c r="BI217" s="235">
        <f t="shared" si="458"/>
        <v>0</v>
      </c>
      <c r="BJ217" s="235">
        <f t="shared" si="458"/>
        <v>0</v>
      </c>
      <c r="BK217" s="235">
        <f t="shared" si="458"/>
        <v>0</v>
      </c>
      <c r="BL217" s="235">
        <f t="shared" si="458"/>
        <v>0</v>
      </c>
      <c r="BM217" s="235">
        <f t="shared" si="458"/>
        <v>0</v>
      </c>
      <c r="BN217" s="235">
        <f t="shared" si="458"/>
        <v>0</v>
      </c>
      <c r="BO217" s="235">
        <f t="shared" si="458"/>
        <v>0</v>
      </c>
      <c r="BP217" s="235">
        <f t="shared" si="458"/>
        <v>0</v>
      </c>
      <c r="BQ217" s="235">
        <f t="shared" ref="BQ217:CV217" si="459" xml:space="preserve"> BQ$154</f>
        <v>0</v>
      </c>
      <c r="BR217" s="235">
        <f t="shared" si="459"/>
        <v>0</v>
      </c>
      <c r="BS217" s="235">
        <f t="shared" si="459"/>
        <v>0</v>
      </c>
      <c r="BT217" s="235">
        <f t="shared" si="459"/>
        <v>0</v>
      </c>
      <c r="BU217" s="235">
        <f t="shared" si="459"/>
        <v>0</v>
      </c>
      <c r="BV217" s="235">
        <f t="shared" si="459"/>
        <v>0</v>
      </c>
      <c r="BW217" s="235">
        <f t="shared" si="459"/>
        <v>0</v>
      </c>
      <c r="BX217" s="235">
        <f t="shared" si="459"/>
        <v>0</v>
      </c>
      <c r="BY217" s="235">
        <f t="shared" si="459"/>
        <v>0</v>
      </c>
      <c r="BZ217" s="235">
        <f t="shared" si="459"/>
        <v>0</v>
      </c>
      <c r="CA217" s="235">
        <f t="shared" si="459"/>
        <v>0</v>
      </c>
      <c r="CB217" s="235">
        <f t="shared" si="459"/>
        <v>0</v>
      </c>
      <c r="CC217" s="235">
        <f t="shared" si="459"/>
        <v>0</v>
      </c>
      <c r="CD217" s="235">
        <f t="shared" si="459"/>
        <v>0</v>
      </c>
      <c r="CE217" s="235">
        <f t="shared" si="459"/>
        <v>0</v>
      </c>
      <c r="CF217" s="235">
        <f t="shared" si="459"/>
        <v>0</v>
      </c>
      <c r="CG217" s="235">
        <f t="shared" si="459"/>
        <v>0</v>
      </c>
      <c r="CH217" s="235">
        <f t="shared" si="459"/>
        <v>0</v>
      </c>
      <c r="CI217" s="235">
        <f t="shared" si="459"/>
        <v>0</v>
      </c>
      <c r="CJ217" s="235">
        <f t="shared" si="459"/>
        <v>0</v>
      </c>
      <c r="CK217" s="235">
        <f t="shared" si="459"/>
        <v>0</v>
      </c>
      <c r="CL217" s="235">
        <f t="shared" si="459"/>
        <v>0</v>
      </c>
      <c r="CM217" s="235">
        <f t="shared" si="459"/>
        <v>0</v>
      </c>
      <c r="CN217" s="235">
        <f t="shared" si="459"/>
        <v>0</v>
      </c>
      <c r="CO217" s="235">
        <f t="shared" si="459"/>
        <v>0</v>
      </c>
      <c r="CP217" s="235">
        <f t="shared" si="459"/>
        <v>0</v>
      </c>
      <c r="CQ217" s="235">
        <f t="shared" si="459"/>
        <v>0</v>
      </c>
      <c r="CR217" s="235">
        <f t="shared" si="459"/>
        <v>0</v>
      </c>
      <c r="CS217" s="235">
        <f t="shared" si="459"/>
        <v>0</v>
      </c>
      <c r="CT217" s="235">
        <f t="shared" si="459"/>
        <v>0</v>
      </c>
      <c r="CU217" s="235">
        <f t="shared" si="459"/>
        <v>0</v>
      </c>
      <c r="CV217" s="235">
        <f t="shared" si="459"/>
        <v>0</v>
      </c>
    </row>
    <row r="218" spans="1:100" outlineLevel="1" x14ac:dyDescent="0.2">
      <c r="A218" s="236"/>
      <c r="B218" s="236"/>
      <c r="C218" s="237"/>
      <c r="D218" s="238"/>
      <c r="E218" s="235" t="str">
        <f t="shared" ref="E218:AJ218" si="460" xml:space="preserve"> E$214</f>
        <v>Forecast accounts payable balance</v>
      </c>
      <c r="F218" s="235">
        <f t="shared" si="460"/>
        <v>0</v>
      </c>
      <c r="G218" s="235" t="str">
        <f t="shared" si="460"/>
        <v>$ 000s</v>
      </c>
      <c r="H218" s="235">
        <f t="shared" si="460"/>
        <v>0</v>
      </c>
      <c r="I218" s="235">
        <f t="shared" si="460"/>
        <v>0</v>
      </c>
      <c r="J218" s="235">
        <f t="shared" si="460"/>
        <v>0</v>
      </c>
      <c r="K218" s="235">
        <f t="shared" si="460"/>
        <v>0</v>
      </c>
      <c r="L218" s="235">
        <f t="shared" si="460"/>
        <v>0</v>
      </c>
      <c r="M218" s="235">
        <f t="shared" si="460"/>
        <v>0</v>
      </c>
      <c r="N218" s="235">
        <f t="shared" si="460"/>
        <v>0</v>
      </c>
      <c r="O218" s="235">
        <f t="shared" si="460"/>
        <v>1058.9010260869563</v>
      </c>
      <c r="P218" s="235">
        <f t="shared" si="460"/>
        <v>1076.4518718232043</v>
      </c>
      <c r="Q218" s="235">
        <f t="shared" si="460"/>
        <v>1080.0790466086958</v>
      </c>
      <c r="R218" s="235">
        <f t="shared" si="460"/>
        <v>1097.9809092596686</v>
      </c>
      <c r="S218" s="235">
        <f t="shared" si="460"/>
        <v>1101.6806275408696</v>
      </c>
      <c r="T218" s="235">
        <f t="shared" si="460"/>
        <v>1119.940527444862</v>
      </c>
      <c r="U218" s="235">
        <f t="shared" si="460"/>
        <v>1123.7142400916869</v>
      </c>
      <c r="V218" s="235">
        <f t="shared" si="460"/>
        <v>1136.0627482245625</v>
      </c>
      <c r="W218" s="235">
        <f t="shared" si="460"/>
        <v>1146.1885248935207</v>
      </c>
      <c r="X218" s="235">
        <f t="shared" si="460"/>
        <v>1165.1861247536342</v>
      </c>
      <c r="Y218" s="235">
        <f t="shared" si="460"/>
        <v>1169.1122953913912</v>
      </c>
      <c r="Z218" s="235">
        <f t="shared" si="460"/>
        <v>1188.4898472487071</v>
      </c>
      <c r="AA218" s="235">
        <f t="shared" si="460"/>
        <v>1192.4945412992188</v>
      </c>
      <c r="AB218" s="235">
        <f t="shared" si="460"/>
        <v>1212.259644193681</v>
      </c>
      <c r="AC218" s="235">
        <f t="shared" si="460"/>
        <v>1216.344432125203</v>
      </c>
      <c r="AD218" s="235">
        <f t="shared" si="460"/>
        <v>1229.7108544562493</v>
      </c>
      <c r="AE218" s="235">
        <f t="shared" si="460"/>
        <v>1240.6713207677074</v>
      </c>
      <c r="AF218" s="235">
        <f t="shared" si="460"/>
        <v>1261.2349338191059</v>
      </c>
      <c r="AG218" s="235">
        <f t="shared" si="460"/>
        <v>1265.4847471830612</v>
      </c>
      <c r="AH218" s="235">
        <f t="shared" si="460"/>
        <v>1286.4596324954878</v>
      </c>
      <c r="AI218" s="235">
        <f t="shared" si="460"/>
        <v>1290.7944421267227</v>
      </c>
      <c r="AJ218" s="235">
        <f t="shared" si="460"/>
        <v>1312.1888251453977</v>
      </c>
      <c r="AK218" s="235">
        <f t="shared" ref="AK218:BP218" si="461" xml:space="preserve"> AK$214</f>
        <v>1316.6103309692569</v>
      </c>
      <c r="AL218" s="235">
        <f t="shared" si="461"/>
        <v>1331.0785763645235</v>
      </c>
      <c r="AM218" s="235">
        <f t="shared" si="461"/>
        <v>1342.9425375886422</v>
      </c>
      <c r="AN218" s="235">
        <f t="shared" si="461"/>
        <v>1365.2012536812717</v>
      </c>
      <c r="AO218" s="235">
        <f t="shared" si="461"/>
        <v>1369.8013883404153</v>
      </c>
      <c r="AP218" s="235">
        <f t="shared" si="461"/>
        <v>1392.5052787548973</v>
      </c>
      <c r="AQ218" s="235">
        <f t="shared" si="461"/>
        <v>1397.1974161072233</v>
      </c>
      <c r="AR218" s="235">
        <f t="shared" si="461"/>
        <v>1420.3553843299949</v>
      </c>
      <c r="AS218" s="235">
        <f t="shared" si="461"/>
        <v>1425.1413644293677</v>
      </c>
      <c r="AT218" s="235">
        <f t="shared" si="461"/>
        <v>1440.8022585439762</v>
      </c>
      <c r="AU218" s="235">
        <f t="shared" si="461"/>
        <v>1453.6441917179552</v>
      </c>
      <c r="AV218" s="235">
        <f t="shared" si="461"/>
        <v>1477.737741856927</v>
      </c>
      <c r="AW218" s="235">
        <f t="shared" si="461"/>
        <v>1482.7170755523143</v>
      </c>
      <c r="AX218" s="235">
        <f t="shared" si="461"/>
        <v>1507.2924966940654</v>
      </c>
      <c r="AY218" s="235">
        <f t="shared" si="461"/>
        <v>1512.3714170633605</v>
      </c>
      <c r="AZ218" s="235">
        <f t="shared" si="461"/>
        <v>1537.4383466279467</v>
      </c>
      <c r="BA218" s="235">
        <f t="shared" si="461"/>
        <v>1542.6188454046276</v>
      </c>
      <c r="BB218" s="235">
        <f t="shared" si="461"/>
        <v>0</v>
      </c>
      <c r="BC218" s="235">
        <f t="shared" si="461"/>
        <v>0</v>
      </c>
      <c r="BD218" s="235">
        <f t="shared" si="461"/>
        <v>0</v>
      </c>
      <c r="BE218" s="235">
        <f t="shared" si="461"/>
        <v>0</v>
      </c>
      <c r="BF218" s="235">
        <f t="shared" si="461"/>
        <v>0</v>
      </c>
      <c r="BG218" s="235">
        <f t="shared" si="461"/>
        <v>0</v>
      </c>
      <c r="BH218" s="235">
        <f t="shared" si="461"/>
        <v>0</v>
      </c>
      <c r="BI218" s="235">
        <f t="shared" si="461"/>
        <v>0</v>
      </c>
      <c r="BJ218" s="235">
        <f t="shared" si="461"/>
        <v>0</v>
      </c>
      <c r="BK218" s="235">
        <f t="shared" si="461"/>
        <v>0</v>
      </c>
      <c r="BL218" s="235">
        <f t="shared" si="461"/>
        <v>0</v>
      </c>
      <c r="BM218" s="235">
        <f t="shared" si="461"/>
        <v>0</v>
      </c>
      <c r="BN218" s="235">
        <f t="shared" si="461"/>
        <v>0</v>
      </c>
      <c r="BO218" s="235">
        <f t="shared" si="461"/>
        <v>0</v>
      </c>
      <c r="BP218" s="235">
        <f t="shared" si="461"/>
        <v>0</v>
      </c>
      <c r="BQ218" s="235">
        <f t="shared" ref="BQ218:CV218" si="462" xml:space="preserve"> BQ$214</f>
        <v>0</v>
      </c>
      <c r="BR218" s="235">
        <f t="shared" si="462"/>
        <v>0</v>
      </c>
      <c r="BS218" s="235">
        <f t="shared" si="462"/>
        <v>0</v>
      </c>
      <c r="BT218" s="235">
        <f t="shared" si="462"/>
        <v>0</v>
      </c>
      <c r="BU218" s="235">
        <f t="shared" si="462"/>
        <v>0</v>
      </c>
      <c r="BV218" s="235">
        <f t="shared" si="462"/>
        <v>0</v>
      </c>
      <c r="BW218" s="235">
        <f t="shared" si="462"/>
        <v>0</v>
      </c>
      <c r="BX218" s="235">
        <f t="shared" si="462"/>
        <v>0</v>
      </c>
      <c r="BY218" s="235">
        <f t="shared" si="462"/>
        <v>0</v>
      </c>
      <c r="BZ218" s="235">
        <f t="shared" si="462"/>
        <v>0</v>
      </c>
      <c r="CA218" s="235">
        <f t="shared" si="462"/>
        <v>0</v>
      </c>
      <c r="CB218" s="235">
        <f t="shared" si="462"/>
        <v>0</v>
      </c>
      <c r="CC218" s="235">
        <f t="shared" si="462"/>
        <v>0</v>
      </c>
      <c r="CD218" s="235">
        <f t="shared" si="462"/>
        <v>0</v>
      </c>
      <c r="CE218" s="235">
        <f t="shared" si="462"/>
        <v>0</v>
      </c>
      <c r="CF218" s="235">
        <f t="shared" si="462"/>
        <v>0</v>
      </c>
      <c r="CG218" s="235">
        <f t="shared" si="462"/>
        <v>0</v>
      </c>
      <c r="CH218" s="235">
        <f t="shared" si="462"/>
        <v>0</v>
      </c>
      <c r="CI218" s="235">
        <f t="shared" si="462"/>
        <v>0</v>
      </c>
      <c r="CJ218" s="235">
        <f t="shared" si="462"/>
        <v>0</v>
      </c>
      <c r="CK218" s="235">
        <f t="shared" si="462"/>
        <v>0</v>
      </c>
      <c r="CL218" s="235">
        <f t="shared" si="462"/>
        <v>0</v>
      </c>
      <c r="CM218" s="235">
        <f t="shared" si="462"/>
        <v>0</v>
      </c>
      <c r="CN218" s="235">
        <f t="shared" si="462"/>
        <v>0</v>
      </c>
      <c r="CO218" s="235">
        <f t="shared" si="462"/>
        <v>0</v>
      </c>
      <c r="CP218" s="235">
        <f t="shared" si="462"/>
        <v>0</v>
      </c>
      <c r="CQ218" s="235">
        <f t="shared" si="462"/>
        <v>0</v>
      </c>
      <c r="CR218" s="235">
        <f t="shared" si="462"/>
        <v>0</v>
      </c>
      <c r="CS218" s="235">
        <f t="shared" si="462"/>
        <v>0</v>
      </c>
      <c r="CT218" s="235">
        <f t="shared" si="462"/>
        <v>0</v>
      </c>
      <c r="CU218" s="235">
        <f t="shared" si="462"/>
        <v>0</v>
      </c>
      <c r="CV218" s="235">
        <f t="shared" si="462"/>
        <v>0</v>
      </c>
    </row>
    <row r="219" spans="1:100" outlineLevel="1" x14ac:dyDescent="0.2">
      <c r="A219" s="236"/>
      <c r="B219" s="236"/>
      <c r="C219" s="237"/>
      <c r="D219" s="238"/>
      <c r="E219" s="235" t="s">
        <v>202</v>
      </c>
      <c r="F219" s="235"/>
      <c r="G219" s="235" t="str">
        <f xml:space="preserve"> SMU</f>
        <v>$ 000s</v>
      </c>
      <c r="H219" s="235">
        <f xml:space="preserve"> SUM(J219:CV219)</f>
        <v>210402.03579009016</v>
      </c>
      <c r="I219" s="235"/>
      <c r="J219" s="235">
        <f t="shared" ref="J219" si="463" xml:space="preserve"> J216 + J217 - J218</f>
        <v>0</v>
      </c>
      <c r="K219" s="235">
        <f t="shared" ref="K219" si="464" xml:space="preserve"> K216 + K217 - K218</f>
        <v>0</v>
      </c>
      <c r="L219" s="235">
        <f t="shared" ref="L219" si="465" xml:space="preserve"> L216 + L217 - L218</f>
        <v>0</v>
      </c>
      <c r="M219" s="235">
        <f t="shared" ref="M219" si="466" xml:space="preserve"> M216 + M217 - M218</f>
        <v>0</v>
      </c>
      <c r="N219" s="235">
        <f t="shared" ref="N219" si="467" xml:space="preserve"> N216 + N217 - N218</f>
        <v>0</v>
      </c>
      <c r="O219" s="235">
        <f t="shared" ref="O219" si="468" xml:space="preserve"> O216 + O217 - O218</f>
        <v>3270.827613913043</v>
      </c>
      <c r="P219" s="235">
        <f t="shared" ref="P219" si="469" xml:space="preserve"> P216 + P217 - P218</f>
        <v>4312.1777942637509</v>
      </c>
      <c r="Q219" s="235">
        <f t="shared" ref="Q219" si="470" xml:space="preserve"> Q216 + Q217 - Q218</f>
        <v>4412.6960380145092</v>
      </c>
      <c r="R219" s="235">
        <f t="shared" ref="R219" si="471" xml:space="preserve"> R216 + R217 - R218</f>
        <v>4398.4213501490267</v>
      </c>
      <c r="S219" s="235">
        <f t="shared" ref="S219" si="472" xml:space="preserve"> S216 + S217 - S218</f>
        <v>4500.9499587747996</v>
      </c>
      <c r="T219" s="235">
        <f t="shared" ref="T219" si="473" xml:space="preserve"> T216 + T217 - T218</f>
        <v>4486.3897771520087</v>
      </c>
      <c r="U219" s="235">
        <f t="shared" ref="U219" si="474" xml:space="preserve"> U216 + U217 - U218</f>
        <v>4590.9689579502938</v>
      </c>
      <c r="V219" s="235">
        <f t="shared" ref="V219" si="475" xml:space="preserve"> V216 + V217 - V218</f>
        <v>4582.3941624642439</v>
      </c>
      <c r="W219" s="235">
        <f t="shared" ref="W219" si="476" xml:space="preserve"> W216 + W217 - W218</f>
        <v>4676.5117473401042</v>
      </c>
      <c r="X219" s="235">
        <f t="shared" ref="X219" si="477" xml:space="preserve"> X216 + X217 - X218</f>
        <v>4667.639924148948</v>
      </c>
      <c r="Y219" s="235">
        <f t="shared" ref="Y219" si="478" xml:space="preserve"> Y216 + Y217 - Y218</f>
        <v>4776.4441038514869</v>
      </c>
      <c r="Z219" s="235">
        <f t="shared" ref="Z219" si="479" xml:space="preserve"> Z216 + Z217 - Z218</f>
        <v>4760.9927226319269</v>
      </c>
      <c r="AA219" s="235">
        <f t="shared" ref="AA219" si="480" xml:space="preserve"> AA216 + AA217 - AA218</f>
        <v>4871.9729859285162</v>
      </c>
      <c r="AB219" s="235">
        <f t="shared" ref="AB219" si="481" xml:space="preserve"> AB216 + AB217 - AB218</f>
        <v>4856.212577084566</v>
      </c>
      <c r="AC219" s="235">
        <f t="shared" ref="AC219" si="482" xml:space="preserve"> AC216 + AC217 - AC218</f>
        <v>4969.4124456470863</v>
      </c>
      <c r="AD219" s="235">
        <f t="shared" ref="AD219" si="483" xml:space="preserve"> AD216 + AD217 - AD218</f>
        <v>4960.1308112475617</v>
      </c>
      <c r="AE219" s="235">
        <f t="shared" ref="AE219" si="484" xml:space="preserve"> AE216 + AE217 - AE218</f>
        <v>5062.0067119387222</v>
      </c>
      <c r="AF219" s="235">
        <f t="shared" ref="AF219" si="485" xml:space="preserve"> AF216 + AF217 - AF218</f>
        <v>5052.4035651987824</v>
      </c>
      <c r="AG219" s="235">
        <f t="shared" ref="AG219" si="486" xml:space="preserve"> AG216 + AG217 - AG218</f>
        <v>5170.1767084512285</v>
      </c>
      <c r="AH219" s="235">
        <f t="shared" ref="AH219" si="487" xml:space="preserve"> AH216 + AH217 - AH218</f>
        <v>5153.4516365027575</v>
      </c>
      <c r="AI219" s="235">
        <f t="shared" ref="AI219" si="488" xml:space="preserve"> AI216 + AI217 - AI218</f>
        <v>5273.5802426202536</v>
      </c>
      <c r="AJ219" s="235">
        <f t="shared" ref="AJ219" si="489" xml:space="preserve"> AJ216 + AJ217 - AJ218</f>
        <v>5256.5206692328138</v>
      </c>
      <c r="AK219" s="235">
        <f t="shared" ref="AK219" si="490" xml:space="preserve"> AK216 + AK217 - AK218</f>
        <v>5379.0518474726578</v>
      </c>
      <c r="AL219" s="235">
        <f t="shared" ref="AL219" si="491" xml:space="preserve"> AL216 + AL217 - AL218</f>
        <v>5369.005107901251</v>
      </c>
      <c r="AM219" s="235">
        <f t="shared" ref="AM219" si="492" xml:space="preserve"> AM216 + AM217 - AM218</f>
        <v>5479.2788591383296</v>
      </c>
      <c r="AN219" s="235">
        <f t="shared" ref="AN219" si="493" xml:space="preserve"> AN216 + AN217 - AN218</f>
        <v>5468.8841042698186</v>
      </c>
      <c r="AO219" s="235">
        <f t="shared" ref="AO219" si="494" xml:space="preserve"> AO216 + AO217 - AO218</f>
        <v>5596.3655421105541</v>
      </c>
      <c r="AP219" s="235">
        <f t="shared" ref="AP219" si="495" xml:space="preserve"> AP216 + AP217 - AP218</f>
        <v>5578.2617863552159</v>
      </c>
      <c r="AQ219" s="235">
        <f t="shared" ref="AQ219" si="496" xml:space="preserve"> AQ216 + AQ217 - AQ218</f>
        <v>5708.2928529527653</v>
      </c>
      <c r="AR219" s="235">
        <f t="shared" ref="AR219" si="497" xml:space="preserve"> AR216 + AR217 - AR218</f>
        <v>5689.8270220823188</v>
      </c>
      <c r="AS219" s="235">
        <f t="shared" ref="AS219" si="498" xml:space="preserve"> AS216 + AS217 - AS218</f>
        <v>5822.4587100118197</v>
      </c>
      <c r="AT219" s="235">
        <f t="shared" ref="AT219" si="499" xml:space="preserve"> AT216 + AT217 - AT218</f>
        <v>5811.5837959965847</v>
      </c>
      <c r="AU219" s="235">
        <f t="shared" ref="AU219" si="500" xml:space="preserve"> AU216 + AU217 - AU218</f>
        <v>5930.9476507394374</v>
      </c>
      <c r="AV219" s="235">
        <f t="shared" ref="AV219" si="501" xml:space="preserve"> AV216 + AV217 - AV218</f>
        <v>5919.6960337744458</v>
      </c>
      <c r="AW219" s="235">
        <f t="shared" ref="AW219" si="502" xml:space="preserve"> AW216 + AW217 - AW218</f>
        <v>6057.686041896297</v>
      </c>
      <c r="AX219" s="235">
        <f t="shared" ref="AX219" si="503" xml:space="preserve"> AX216 + AX217 - AX218</f>
        <v>6038.0899544499343</v>
      </c>
      <c r="AY219" s="235">
        <f t="shared" ref="AY219" si="504" xml:space="preserve"> AY216 + AY217 - AY218</f>
        <v>6178.8397627342238</v>
      </c>
      <c r="AZ219" s="235">
        <f t="shared" ref="AZ219" si="505" xml:space="preserve"> AZ216 + AZ217 - AZ218</f>
        <v>6158.8517535389319</v>
      </c>
      <c r="BA219" s="235">
        <f t="shared" ref="BA219" si="506" xml:space="preserve"> BA216 + BA217 - BA218</f>
        <v>6302.4165579889077</v>
      </c>
      <c r="BB219" s="235">
        <f t="shared" ref="BB219" si="507" xml:space="preserve"> BB216 + BB217 - BB218</f>
        <v>7850.2159021702164</v>
      </c>
      <c r="BC219" s="235">
        <f t="shared" ref="BC219" si="508" xml:space="preserve"> BC216 + BC217 - BC218</f>
        <v>0</v>
      </c>
      <c r="BD219" s="235">
        <f t="shared" ref="BD219" si="509" xml:space="preserve"> BD216 + BD217 - BD218</f>
        <v>0</v>
      </c>
      <c r="BE219" s="235">
        <f t="shared" ref="BE219" si="510" xml:space="preserve"> BE216 + BE217 - BE218</f>
        <v>0</v>
      </c>
      <c r="BF219" s="235">
        <f t="shared" ref="BF219" si="511" xml:space="preserve"> BF216 + BF217 - BF218</f>
        <v>0</v>
      </c>
      <c r="BG219" s="235">
        <f t="shared" ref="BG219" si="512" xml:space="preserve"> BG216 + BG217 - BG218</f>
        <v>0</v>
      </c>
      <c r="BH219" s="235">
        <f t="shared" ref="BH219" si="513" xml:space="preserve"> BH216 + BH217 - BH218</f>
        <v>0</v>
      </c>
      <c r="BI219" s="235">
        <f t="shared" ref="BI219" si="514" xml:space="preserve"> BI216 + BI217 - BI218</f>
        <v>0</v>
      </c>
      <c r="BJ219" s="235">
        <f t="shared" ref="BJ219" si="515" xml:space="preserve"> BJ216 + BJ217 - BJ218</f>
        <v>0</v>
      </c>
      <c r="BK219" s="235">
        <f t="shared" ref="BK219" si="516" xml:space="preserve"> BK216 + BK217 - BK218</f>
        <v>0</v>
      </c>
      <c r="BL219" s="235">
        <f t="shared" ref="BL219" si="517" xml:space="preserve"> BL216 + BL217 - BL218</f>
        <v>0</v>
      </c>
      <c r="BM219" s="235">
        <f t="shared" ref="BM219" si="518" xml:space="preserve"> BM216 + BM217 - BM218</f>
        <v>0</v>
      </c>
      <c r="BN219" s="235">
        <f t="shared" ref="BN219" si="519" xml:space="preserve"> BN216 + BN217 - BN218</f>
        <v>0</v>
      </c>
      <c r="BO219" s="235">
        <f t="shared" ref="BO219" si="520" xml:space="preserve"> BO216 + BO217 - BO218</f>
        <v>0</v>
      </c>
      <c r="BP219" s="235">
        <f t="shared" ref="BP219" si="521" xml:space="preserve"> BP216 + BP217 - BP218</f>
        <v>0</v>
      </c>
      <c r="BQ219" s="235">
        <f t="shared" ref="BQ219" si="522" xml:space="preserve"> BQ216 + BQ217 - BQ218</f>
        <v>0</v>
      </c>
      <c r="BR219" s="235">
        <f t="shared" ref="BR219" si="523" xml:space="preserve"> BR216 + BR217 - BR218</f>
        <v>0</v>
      </c>
      <c r="BS219" s="235">
        <f t="shared" ref="BS219" si="524" xml:space="preserve"> BS216 + BS217 - BS218</f>
        <v>0</v>
      </c>
      <c r="BT219" s="235">
        <f t="shared" ref="BT219" si="525" xml:space="preserve"> BT216 + BT217 - BT218</f>
        <v>0</v>
      </c>
      <c r="BU219" s="235">
        <f t="shared" ref="BU219" si="526" xml:space="preserve"> BU216 + BU217 - BU218</f>
        <v>0</v>
      </c>
      <c r="BV219" s="235">
        <f t="shared" ref="BV219" si="527" xml:space="preserve"> BV216 + BV217 - BV218</f>
        <v>0</v>
      </c>
      <c r="BW219" s="235">
        <f t="shared" ref="BW219" si="528" xml:space="preserve"> BW216 + BW217 - BW218</f>
        <v>0</v>
      </c>
      <c r="BX219" s="235">
        <f t="shared" ref="BX219" si="529" xml:space="preserve"> BX216 + BX217 - BX218</f>
        <v>0</v>
      </c>
      <c r="BY219" s="235">
        <f t="shared" ref="BY219" si="530" xml:space="preserve"> BY216 + BY217 - BY218</f>
        <v>0</v>
      </c>
      <c r="BZ219" s="235">
        <f t="shared" ref="BZ219" si="531" xml:space="preserve"> BZ216 + BZ217 - BZ218</f>
        <v>0</v>
      </c>
      <c r="CA219" s="235">
        <f t="shared" ref="CA219" si="532" xml:space="preserve"> CA216 + CA217 - CA218</f>
        <v>0</v>
      </c>
      <c r="CB219" s="235">
        <f t="shared" ref="CB219" si="533" xml:space="preserve"> CB216 + CB217 - CB218</f>
        <v>0</v>
      </c>
      <c r="CC219" s="235">
        <f t="shared" ref="CC219" si="534" xml:space="preserve"> CC216 + CC217 - CC218</f>
        <v>0</v>
      </c>
      <c r="CD219" s="235">
        <f t="shared" ref="CD219" si="535" xml:space="preserve"> CD216 + CD217 - CD218</f>
        <v>0</v>
      </c>
      <c r="CE219" s="235">
        <f t="shared" ref="CE219" si="536" xml:space="preserve"> CE216 + CE217 - CE218</f>
        <v>0</v>
      </c>
      <c r="CF219" s="235">
        <f t="shared" ref="CF219" si="537" xml:space="preserve"> CF216 + CF217 - CF218</f>
        <v>0</v>
      </c>
      <c r="CG219" s="235">
        <f t="shared" ref="CG219" si="538" xml:space="preserve"> CG216 + CG217 - CG218</f>
        <v>0</v>
      </c>
      <c r="CH219" s="235">
        <f t="shared" ref="CH219" si="539" xml:space="preserve"> CH216 + CH217 - CH218</f>
        <v>0</v>
      </c>
      <c r="CI219" s="235">
        <f t="shared" ref="CI219" si="540" xml:space="preserve"> CI216 + CI217 - CI218</f>
        <v>0</v>
      </c>
      <c r="CJ219" s="235">
        <f t="shared" ref="CJ219" si="541" xml:space="preserve"> CJ216 + CJ217 - CJ218</f>
        <v>0</v>
      </c>
      <c r="CK219" s="235">
        <f t="shared" ref="CK219" si="542" xml:space="preserve"> CK216 + CK217 - CK218</f>
        <v>0</v>
      </c>
      <c r="CL219" s="235">
        <f t="shared" ref="CL219" si="543" xml:space="preserve"> CL216 + CL217 - CL218</f>
        <v>0</v>
      </c>
      <c r="CM219" s="235">
        <f t="shared" ref="CM219" si="544" xml:space="preserve"> CM216 + CM217 - CM218</f>
        <v>0</v>
      </c>
      <c r="CN219" s="235">
        <f t="shared" ref="CN219" si="545" xml:space="preserve"> CN216 + CN217 - CN218</f>
        <v>0</v>
      </c>
      <c r="CO219" s="235">
        <f t="shared" ref="CO219" si="546" xml:space="preserve"> CO216 + CO217 - CO218</f>
        <v>0</v>
      </c>
      <c r="CP219" s="235">
        <f t="shared" ref="CP219" si="547" xml:space="preserve"> CP216 + CP217 - CP218</f>
        <v>0</v>
      </c>
      <c r="CQ219" s="235">
        <f t="shared" ref="CQ219" si="548" xml:space="preserve"> CQ216 + CQ217 - CQ218</f>
        <v>0</v>
      </c>
      <c r="CR219" s="235">
        <f t="shared" ref="CR219" si="549" xml:space="preserve"> CR216 + CR217 - CR218</f>
        <v>0</v>
      </c>
      <c r="CS219" s="235">
        <f t="shared" ref="CS219" si="550" xml:space="preserve"> CS216 + CS217 - CS218</f>
        <v>0</v>
      </c>
      <c r="CT219" s="235">
        <f t="shared" ref="CT219" si="551" xml:space="preserve"> CT216 + CT217 - CT218</f>
        <v>0</v>
      </c>
      <c r="CU219" s="235">
        <f t="shared" ref="CU219" si="552" xml:space="preserve"> CU216 + CU217 - CU218</f>
        <v>0</v>
      </c>
      <c r="CV219" s="235">
        <f t="shared" ref="CV219" si="553" xml:space="preserve"> CV216 + CV217 - CV218</f>
        <v>0</v>
      </c>
    </row>
    <row r="220" spans="1:100" outlineLevel="1" x14ac:dyDescent="0.2">
      <c r="A220" s="141"/>
      <c r="B220" s="141"/>
      <c r="C220" s="142"/>
      <c r="D220" s="143"/>
      <c r="E220" s="144" t="str">
        <f xml:space="preserve"> LEFT(E219, LEN(E219) - 4)</f>
        <v>Cash paid for O&amp;M costs</v>
      </c>
      <c r="F220" s="144"/>
      <c r="G220" s="144" t="str">
        <f xml:space="preserve"> SMU</f>
        <v>$ 000s</v>
      </c>
      <c r="H220" s="144">
        <f xml:space="preserve"> SUM(J220:CV220)</f>
        <v>-210402.03579009016</v>
      </c>
      <c r="I220" s="144"/>
      <c r="J220" s="144">
        <f t="shared" ref="J220:BU220" si="554" xml:space="preserve"> -1 * J219</f>
        <v>0</v>
      </c>
      <c r="K220" s="144">
        <f t="shared" si="554"/>
        <v>0</v>
      </c>
      <c r="L220" s="144">
        <f t="shared" si="554"/>
        <v>0</v>
      </c>
      <c r="M220" s="144">
        <f t="shared" si="554"/>
        <v>0</v>
      </c>
      <c r="N220" s="144">
        <f t="shared" si="554"/>
        <v>0</v>
      </c>
      <c r="O220" s="144">
        <f t="shared" si="554"/>
        <v>-3270.827613913043</v>
      </c>
      <c r="P220" s="144">
        <f t="shared" si="554"/>
        <v>-4312.1777942637509</v>
      </c>
      <c r="Q220" s="144">
        <f t="shared" si="554"/>
        <v>-4412.6960380145092</v>
      </c>
      <c r="R220" s="144">
        <f t="shared" si="554"/>
        <v>-4398.4213501490267</v>
      </c>
      <c r="S220" s="144">
        <f t="shared" si="554"/>
        <v>-4500.9499587747996</v>
      </c>
      <c r="T220" s="144">
        <f t="shared" si="554"/>
        <v>-4486.3897771520087</v>
      </c>
      <c r="U220" s="144">
        <f t="shared" si="554"/>
        <v>-4590.9689579502938</v>
      </c>
      <c r="V220" s="144">
        <f t="shared" si="554"/>
        <v>-4582.3941624642439</v>
      </c>
      <c r="W220" s="144">
        <f t="shared" si="554"/>
        <v>-4676.5117473401042</v>
      </c>
      <c r="X220" s="144">
        <f t="shared" si="554"/>
        <v>-4667.639924148948</v>
      </c>
      <c r="Y220" s="144">
        <f t="shared" si="554"/>
        <v>-4776.4441038514869</v>
      </c>
      <c r="Z220" s="144">
        <f t="shared" si="554"/>
        <v>-4760.9927226319269</v>
      </c>
      <c r="AA220" s="144">
        <f t="shared" si="554"/>
        <v>-4871.9729859285162</v>
      </c>
      <c r="AB220" s="144">
        <f t="shared" si="554"/>
        <v>-4856.212577084566</v>
      </c>
      <c r="AC220" s="144">
        <f t="shared" si="554"/>
        <v>-4969.4124456470863</v>
      </c>
      <c r="AD220" s="144">
        <f t="shared" si="554"/>
        <v>-4960.1308112475617</v>
      </c>
      <c r="AE220" s="144">
        <f t="shared" si="554"/>
        <v>-5062.0067119387222</v>
      </c>
      <c r="AF220" s="144">
        <f t="shared" si="554"/>
        <v>-5052.4035651987824</v>
      </c>
      <c r="AG220" s="144">
        <f t="shared" si="554"/>
        <v>-5170.1767084512285</v>
      </c>
      <c r="AH220" s="144">
        <f t="shared" si="554"/>
        <v>-5153.4516365027575</v>
      </c>
      <c r="AI220" s="144">
        <f t="shared" si="554"/>
        <v>-5273.5802426202536</v>
      </c>
      <c r="AJ220" s="144">
        <f t="shared" si="554"/>
        <v>-5256.5206692328138</v>
      </c>
      <c r="AK220" s="144">
        <f t="shared" si="554"/>
        <v>-5379.0518474726578</v>
      </c>
      <c r="AL220" s="144">
        <f t="shared" si="554"/>
        <v>-5369.005107901251</v>
      </c>
      <c r="AM220" s="144">
        <f t="shared" si="554"/>
        <v>-5479.2788591383296</v>
      </c>
      <c r="AN220" s="144">
        <f t="shared" si="554"/>
        <v>-5468.8841042698186</v>
      </c>
      <c r="AO220" s="144">
        <f t="shared" si="554"/>
        <v>-5596.3655421105541</v>
      </c>
      <c r="AP220" s="144">
        <f t="shared" si="554"/>
        <v>-5578.2617863552159</v>
      </c>
      <c r="AQ220" s="144">
        <f t="shared" si="554"/>
        <v>-5708.2928529527653</v>
      </c>
      <c r="AR220" s="144">
        <f t="shared" si="554"/>
        <v>-5689.8270220823188</v>
      </c>
      <c r="AS220" s="144">
        <f t="shared" si="554"/>
        <v>-5822.4587100118197</v>
      </c>
      <c r="AT220" s="144">
        <f t="shared" si="554"/>
        <v>-5811.5837959965847</v>
      </c>
      <c r="AU220" s="144">
        <f t="shared" si="554"/>
        <v>-5930.9476507394374</v>
      </c>
      <c r="AV220" s="144">
        <f t="shared" si="554"/>
        <v>-5919.6960337744458</v>
      </c>
      <c r="AW220" s="144">
        <f t="shared" si="554"/>
        <v>-6057.686041896297</v>
      </c>
      <c r="AX220" s="144">
        <f t="shared" si="554"/>
        <v>-6038.0899544499343</v>
      </c>
      <c r="AY220" s="144">
        <f t="shared" si="554"/>
        <v>-6178.8397627342238</v>
      </c>
      <c r="AZ220" s="144">
        <f t="shared" si="554"/>
        <v>-6158.8517535389319</v>
      </c>
      <c r="BA220" s="144">
        <f t="shared" si="554"/>
        <v>-6302.4165579889077</v>
      </c>
      <c r="BB220" s="144">
        <f t="shared" si="554"/>
        <v>-7850.2159021702164</v>
      </c>
      <c r="BC220" s="144">
        <f t="shared" si="554"/>
        <v>0</v>
      </c>
      <c r="BD220" s="144">
        <f t="shared" si="554"/>
        <v>0</v>
      </c>
      <c r="BE220" s="144">
        <f t="shared" si="554"/>
        <v>0</v>
      </c>
      <c r="BF220" s="144">
        <f t="shared" si="554"/>
        <v>0</v>
      </c>
      <c r="BG220" s="144">
        <f t="shared" si="554"/>
        <v>0</v>
      </c>
      <c r="BH220" s="144">
        <f t="shared" si="554"/>
        <v>0</v>
      </c>
      <c r="BI220" s="144">
        <f t="shared" si="554"/>
        <v>0</v>
      </c>
      <c r="BJ220" s="144">
        <f t="shared" si="554"/>
        <v>0</v>
      </c>
      <c r="BK220" s="144">
        <f t="shared" si="554"/>
        <v>0</v>
      </c>
      <c r="BL220" s="144">
        <f t="shared" si="554"/>
        <v>0</v>
      </c>
      <c r="BM220" s="144">
        <f t="shared" si="554"/>
        <v>0</v>
      </c>
      <c r="BN220" s="144">
        <f t="shared" si="554"/>
        <v>0</v>
      </c>
      <c r="BO220" s="144">
        <f t="shared" si="554"/>
        <v>0</v>
      </c>
      <c r="BP220" s="144">
        <f t="shared" si="554"/>
        <v>0</v>
      </c>
      <c r="BQ220" s="144">
        <f t="shared" si="554"/>
        <v>0</v>
      </c>
      <c r="BR220" s="144">
        <f t="shared" si="554"/>
        <v>0</v>
      </c>
      <c r="BS220" s="144">
        <f t="shared" si="554"/>
        <v>0</v>
      </c>
      <c r="BT220" s="144">
        <f t="shared" si="554"/>
        <v>0</v>
      </c>
      <c r="BU220" s="144">
        <f t="shared" si="554"/>
        <v>0</v>
      </c>
      <c r="BV220" s="144">
        <f t="shared" ref="BV220:CV220" si="555" xml:space="preserve"> -1 * BV219</f>
        <v>0</v>
      </c>
      <c r="BW220" s="144">
        <f t="shared" si="555"/>
        <v>0</v>
      </c>
      <c r="BX220" s="144">
        <f t="shared" si="555"/>
        <v>0</v>
      </c>
      <c r="BY220" s="144">
        <f t="shared" si="555"/>
        <v>0</v>
      </c>
      <c r="BZ220" s="144">
        <f t="shared" si="555"/>
        <v>0</v>
      </c>
      <c r="CA220" s="144">
        <f t="shared" si="555"/>
        <v>0</v>
      </c>
      <c r="CB220" s="144">
        <f t="shared" si="555"/>
        <v>0</v>
      </c>
      <c r="CC220" s="144">
        <f t="shared" si="555"/>
        <v>0</v>
      </c>
      <c r="CD220" s="144">
        <f t="shared" si="555"/>
        <v>0</v>
      </c>
      <c r="CE220" s="144">
        <f t="shared" si="555"/>
        <v>0</v>
      </c>
      <c r="CF220" s="144">
        <f t="shared" si="555"/>
        <v>0</v>
      </c>
      <c r="CG220" s="144">
        <f t="shared" si="555"/>
        <v>0</v>
      </c>
      <c r="CH220" s="144">
        <f t="shared" si="555"/>
        <v>0</v>
      </c>
      <c r="CI220" s="144">
        <f t="shared" si="555"/>
        <v>0</v>
      </c>
      <c r="CJ220" s="144">
        <f t="shared" si="555"/>
        <v>0</v>
      </c>
      <c r="CK220" s="144">
        <f t="shared" si="555"/>
        <v>0</v>
      </c>
      <c r="CL220" s="144">
        <f t="shared" si="555"/>
        <v>0</v>
      </c>
      <c r="CM220" s="144">
        <f t="shared" si="555"/>
        <v>0</v>
      </c>
      <c r="CN220" s="144">
        <f t="shared" si="555"/>
        <v>0</v>
      </c>
      <c r="CO220" s="144">
        <f t="shared" si="555"/>
        <v>0</v>
      </c>
      <c r="CP220" s="144">
        <f t="shared" si="555"/>
        <v>0</v>
      </c>
      <c r="CQ220" s="144">
        <f t="shared" si="555"/>
        <v>0</v>
      </c>
      <c r="CR220" s="144">
        <f t="shared" si="555"/>
        <v>0</v>
      </c>
      <c r="CS220" s="144">
        <f t="shared" si="555"/>
        <v>0</v>
      </c>
      <c r="CT220" s="144">
        <f t="shared" si="555"/>
        <v>0</v>
      </c>
      <c r="CU220" s="144">
        <f t="shared" si="555"/>
        <v>0</v>
      </c>
      <c r="CV220" s="144">
        <f t="shared" si="555"/>
        <v>0</v>
      </c>
    </row>
    <row r="221" spans="1:100" outlineLevel="1" x14ac:dyDescent="0.2">
      <c r="A221" s="236"/>
      <c r="B221" s="236"/>
      <c r="C221" s="237"/>
      <c r="D221" s="238"/>
      <c r="E221" s="235"/>
      <c r="F221" s="235"/>
      <c r="G221" s="235"/>
      <c r="H221" s="235"/>
      <c r="I221" s="235"/>
      <c r="J221" s="235"/>
      <c r="K221" s="235"/>
      <c r="L221" s="235"/>
      <c r="M221" s="235"/>
      <c r="N221" s="235"/>
      <c r="O221" s="235"/>
      <c r="P221" s="235"/>
      <c r="Q221" s="235"/>
      <c r="R221" s="235"/>
      <c r="S221" s="235"/>
      <c r="T221" s="235"/>
      <c r="U221" s="235"/>
      <c r="V221" s="235"/>
      <c r="W221" s="235"/>
      <c r="X221" s="235"/>
      <c r="Y221" s="235"/>
      <c r="Z221" s="235"/>
      <c r="AA221" s="235"/>
      <c r="AB221" s="235"/>
      <c r="AC221" s="235"/>
      <c r="AD221" s="235"/>
      <c r="AE221" s="235"/>
      <c r="AF221" s="235"/>
      <c r="AG221" s="235"/>
      <c r="AH221" s="235"/>
      <c r="AI221" s="235"/>
      <c r="AJ221" s="235"/>
      <c r="AK221" s="235"/>
      <c r="AL221" s="235"/>
      <c r="AM221" s="235"/>
      <c r="AN221" s="235"/>
      <c r="AO221" s="235"/>
      <c r="AP221" s="235"/>
      <c r="AQ221" s="235"/>
      <c r="AR221" s="235"/>
      <c r="AS221" s="235"/>
      <c r="AT221" s="235"/>
      <c r="AU221" s="235"/>
      <c r="AV221" s="235"/>
      <c r="AW221" s="235"/>
      <c r="AX221" s="235"/>
      <c r="AY221" s="235"/>
      <c r="AZ221" s="235"/>
      <c r="BA221" s="235"/>
      <c r="BB221" s="235"/>
      <c r="BC221" s="235"/>
      <c r="BD221" s="235"/>
      <c r="BE221" s="235"/>
      <c r="BF221" s="235"/>
      <c r="BG221" s="235"/>
      <c r="BH221" s="235"/>
      <c r="BI221" s="235"/>
      <c r="BJ221" s="235"/>
      <c r="BK221" s="235"/>
      <c r="BL221" s="235"/>
      <c r="BM221" s="235"/>
      <c r="BN221" s="235"/>
      <c r="BO221" s="235"/>
      <c r="BP221" s="235"/>
      <c r="BQ221" s="235"/>
      <c r="BR221" s="235"/>
      <c r="BS221" s="235"/>
      <c r="BT221" s="235"/>
      <c r="BU221" s="235"/>
      <c r="BV221" s="235"/>
      <c r="BW221" s="235"/>
      <c r="BX221" s="235"/>
      <c r="BY221" s="235"/>
      <c r="BZ221" s="235"/>
      <c r="CA221" s="235"/>
      <c r="CB221" s="235"/>
      <c r="CC221" s="235"/>
      <c r="CD221" s="235"/>
      <c r="CE221" s="235"/>
      <c r="CF221" s="235"/>
      <c r="CG221" s="235"/>
      <c r="CH221" s="235"/>
      <c r="CI221" s="235"/>
      <c r="CJ221" s="235"/>
      <c r="CK221" s="235"/>
      <c r="CL221" s="235"/>
      <c r="CM221" s="235"/>
      <c r="CN221" s="235"/>
      <c r="CO221" s="235"/>
      <c r="CP221" s="235"/>
      <c r="CQ221" s="235"/>
      <c r="CR221" s="235"/>
      <c r="CS221" s="235"/>
      <c r="CT221" s="235"/>
      <c r="CU221" s="235"/>
      <c r="CV221" s="235"/>
    </row>
    <row r="222" spans="1:100" s="502" customFormat="1" outlineLevel="1" x14ac:dyDescent="0.2">
      <c r="A222" s="504"/>
      <c r="B222" s="504"/>
      <c r="C222" s="505"/>
      <c r="D222" s="506"/>
      <c r="E222" s="508" t="s">
        <v>200</v>
      </c>
      <c r="F222" s="508"/>
      <c r="G222" s="508" t="str">
        <f xml:space="preserve"> SMU</f>
        <v>$ 000s</v>
      </c>
      <c r="H222" s="508"/>
      <c r="I222" s="508"/>
      <c r="J222" s="508">
        <f t="shared" ref="J222" si="556">I225</f>
        <v>0</v>
      </c>
      <c r="K222" s="508">
        <f t="shared" ref="K222" si="557">J225</f>
        <v>0</v>
      </c>
      <c r="L222" s="508">
        <f t="shared" ref="L222" si="558">K225</f>
        <v>0</v>
      </c>
      <c r="M222" s="508">
        <f t="shared" ref="M222" si="559">L225</f>
        <v>0</v>
      </c>
      <c r="N222" s="508">
        <f t="shared" ref="N222" si="560">M225</f>
        <v>0</v>
      </c>
      <c r="O222" s="508">
        <f t="shared" ref="O222" si="561">N225</f>
        <v>0</v>
      </c>
      <c r="P222" s="508">
        <f t="shared" ref="P222" si="562">O225</f>
        <v>1058.9010260869563</v>
      </c>
      <c r="Q222" s="508">
        <f t="shared" ref="Q222" si="563">P225</f>
        <v>1076.4518718232048</v>
      </c>
      <c r="R222" s="508">
        <f t="shared" ref="R222" si="564">Q225</f>
        <v>1080.0790466086955</v>
      </c>
      <c r="S222" s="508">
        <f t="shared" ref="S222" si="565">R225</f>
        <v>1097.9809092596688</v>
      </c>
      <c r="T222" s="508">
        <f t="shared" ref="T222" si="566">S225</f>
        <v>1101.6806275408699</v>
      </c>
      <c r="U222" s="508">
        <f t="shared" ref="U222" si="567">T225</f>
        <v>1119.9405274448618</v>
      </c>
      <c r="V222" s="508">
        <f t="shared" ref="V222" si="568">U225</f>
        <v>1123.7142400916873</v>
      </c>
      <c r="W222" s="508">
        <f t="shared" ref="W222" si="569">V225</f>
        <v>1136.0627482245627</v>
      </c>
      <c r="X222" s="508">
        <f t="shared" ref="X222" si="570">W225</f>
        <v>1146.1885248935205</v>
      </c>
      <c r="Y222" s="508">
        <f t="shared" ref="Y222" si="571">X225</f>
        <v>1165.1861247536344</v>
      </c>
      <c r="Z222" s="508">
        <f t="shared" ref="Z222" si="572">Y225</f>
        <v>1169.1122953913909</v>
      </c>
      <c r="AA222" s="508">
        <f t="shared" ref="AA222" si="573">Z225</f>
        <v>1188.4898472487075</v>
      </c>
      <c r="AB222" s="508">
        <f t="shared" ref="AB222" si="574">AA225</f>
        <v>1192.4945412992192</v>
      </c>
      <c r="AC222" s="508">
        <f t="shared" ref="AC222" si="575">AB225</f>
        <v>1212.2596441936812</v>
      </c>
      <c r="AD222" s="508">
        <f t="shared" ref="AD222" si="576">AC225</f>
        <v>1216.3444321252027</v>
      </c>
      <c r="AE222" s="508">
        <f t="shared" ref="AE222" si="577">AD225</f>
        <v>1229.7108544562489</v>
      </c>
      <c r="AF222" s="508">
        <f t="shared" ref="AF222" si="578">AE225</f>
        <v>1240.6713207677076</v>
      </c>
      <c r="AG222" s="508">
        <f t="shared" ref="AG222" si="579">AF225</f>
        <v>1261.2349338191061</v>
      </c>
      <c r="AH222" s="508">
        <f t="shared" ref="AH222" si="580">AG225</f>
        <v>1265.4847471830617</v>
      </c>
      <c r="AI222" s="508">
        <f t="shared" ref="AI222" si="581">AH225</f>
        <v>1286.4596324954882</v>
      </c>
      <c r="AJ222" s="508">
        <f t="shared" ref="AJ222" si="582">AI225</f>
        <v>1290.794442126723</v>
      </c>
      <c r="AK222" s="508">
        <f t="shared" ref="AK222" si="583">AJ225</f>
        <v>1312.1888251453975</v>
      </c>
      <c r="AL222" s="508">
        <f t="shared" ref="AL222" si="584">AK225</f>
        <v>1316.6103309692571</v>
      </c>
      <c r="AM222" s="508">
        <f t="shared" ref="AM222" si="585">AL225</f>
        <v>1331.0785763645235</v>
      </c>
      <c r="AN222" s="508">
        <f t="shared" ref="AN222" si="586">AM225</f>
        <v>1342.9425375886422</v>
      </c>
      <c r="AO222" s="508">
        <f t="shared" ref="AO222" si="587">AN225</f>
        <v>1365.2012536812717</v>
      </c>
      <c r="AP222" s="508">
        <f t="shared" ref="AP222" si="588">AO225</f>
        <v>1369.8013883404155</v>
      </c>
      <c r="AQ222" s="508">
        <f t="shared" ref="AQ222" si="589">AP225</f>
        <v>1392.5052787548975</v>
      </c>
      <c r="AR222" s="508">
        <f t="shared" ref="AR222" si="590">AQ225</f>
        <v>1397.197416107223</v>
      </c>
      <c r="AS222" s="508">
        <f t="shared" ref="AS222" si="591">AR225</f>
        <v>1420.3553843299951</v>
      </c>
      <c r="AT222" s="508">
        <f t="shared" ref="AT222" si="592">AS225</f>
        <v>1425.141364429368</v>
      </c>
      <c r="AU222" s="508">
        <f t="shared" ref="AU222" si="593">AT225</f>
        <v>1440.8022585439758</v>
      </c>
      <c r="AV222" s="508">
        <f t="shared" ref="AV222" si="594">AU225</f>
        <v>1453.6441917179554</v>
      </c>
      <c r="AW222" s="508">
        <f t="shared" ref="AW222" si="595">AV225</f>
        <v>1477.7377418569267</v>
      </c>
      <c r="AX222" s="508">
        <f t="shared" ref="AX222" si="596">AW225</f>
        <v>1482.7170755523148</v>
      </c>
      <c r="AY222" s="508">
        <f t="shared" ref="AY222" si="597">AX225</f>
        <v>1507.2924966940654</v>
      </c>
      <c r="AZ222" s="508">
        <f t="shared" ref="AZ222" si="598">AY225</f>
        <v>1512.3714170633602</v>
      </c>
      <c r="BA222" s="508">
        <f t="shared" ref="BA222" si="599">AZ225</f>
        <v>1537.4383466279469</v>
      </c>
      <c r="BB222" s="508">
        <f t="shared" ref="BB222" si="600">BA225</f>
        <v>1542.6188454046278</v>
      </c>
      <c r="BC222" s="508">
        <f t="shared" ref="BC222" si="601">BB225</f>
        <v>0</v>
      </c>
      <c r="BD222" s="508">
        <f t="shared" ref="BD222" si="602">BC225</f>
        <v>0</v>
      </c>
      <c r="BE222" s="508">
        <f t="shared" ref="BE222" si="603">BD225</f>
        <v>0</v>
      </c>
      <c r="BF222" s="508">
        <f t="shared" ref="BF222" si="604">BE225</f>
        <v>0</v>
      </c>
      <c r="BG222" s="508">
        <f t="shared" ref="BG222" si="605">BF225</f>
        <v>0</v>
      </c>
      <c r="BH222" s="508">
        <f t="shared" ref="BH222" si="606">BG225</f>
        <v>0</v>
      </c>
      <c r="BI222" s="508">
        <f t="shared" ref="BI222" si="607">BH225</f>
        <v>0</v>
      </c>
      <c r="BJ222" s="508">
        <f t="shared" ref="BJ222" si="608">BI225</f>
        <v>0</v>
      </c>
      <c r="BK222" s="508">
        <f t="shared" ref="BK222" si="609">BJ225</f>
        <v>0</v>
      </c>
      <c r="BL222" s="508">
        <f t="shared" ref="BL222" si="610">BK225</f>
        <v>0</v>
      </c>
      <c r="BM222" s="508">
        <f t="shared" ref="BM222" si="611">BL225</f>
        <v>0</v>
      </c>
      <c r="BN222" s="508">
        <f t="shared" ref="BN222" si="612">BM225</f>
        <v>0</v>
      </c>
      <c r="BO222" s="508">
        <f t="shared" ref="BO222" si="613">BN225</f>
        <v>0</v>
      </c>
      <c r="BP222" s="508">
        <f t="shared" ref="BP222" si="614">BO225</f>
        <v>0</v>
      </c>
      <c r="BQ222" s="508">
        <f t="shared" ref="BQ222" si="615">BP225</f>
        <v>0</v>
      </c>
      <c r="BR222" s="508">
        <f t="shared" ref="BR222" si="616">BQ225</f>
        <v>0</v>
      </c>
      <c r="BS222" s="508">
        <f t="shared" ref="BS222" si="617">BR225</f>
        <v>0</v>
      </c>
      <c r="BT222" s="508">
        <f t="shared" ref="BT222" si="618">BS225</f>
        <v>0</v>
      </c>
      <c r="BU222" s="508">
        <f t="shared" ref="BU222" si="619">BT225</f>
        <v>0</v>
      </c>
      <c r="BV222" s="508">
        <f t="shared" ref="BV222" si="620">BU225</f>
        <v>0</v>
      </c>
      <c r="BW222" s="508">
        <f t="shared" ref="BW222" si="621">BV225</f>
        <v>0</v>
      </c>
      <c r="BX222" s="508">
        <f t="shared" ref="BX222" si="622">BW225</f>
        <v>0</v>
      </c>
      <c r="BY222" s="508">
        <f t="shared" ref="BY222" si="623">BX225</f>
        <v>0</v>
      </c>
      <c r="BZ222" s="508">
        <f t="shared" ref="BZ222" si="624">BY225</f>
        <v>0</v>
      </c>
      <c r="CA222" s="508">
        <f t="shared" ref="CA222" si="625">BZ225</f>
        <v>0</v>
      </c>
      <c r="CB222" s="508">
        <f t="shared" ref="CB222" si="626">CA225</f>
        <v>0</v>
      </c>
      <c r="CC222" s="508">
        <f t="shared" ref="CC222" si="627">CB225</f>
        <v>0</v>
      </c>
      <c r="CD222" s="508">
        <f t="shared" ref="CD222" si="628">CC225</f>
        <v>0</v>
      </c>
      <c r="CE222" s="508">
        <f t="shared" ref="CE222" si="629">CD225</f>
        <v>0</v>
      </c>
      <c r="CF222" s="508">
        <f t="shared" ref="CF222" si="630">CE225</f>
        <v>0</v>
      </c>
      <c r="CG222" s="508">
        <f t="shared" ref="CG222" si="631">CF225</f>
        <v>0</v>
      </c>
      <c r="CH222" s="508">
        <f t="shared" ref="CH222" si="632">CG225</f>
        <v>0</v>
      </c>
      <c r="CI222" s="508">
        <f t="shared" ref="CI222" si="633">CH225</f>
        <v>0</v>
      </c>
      <c r="CJ222" s="508">
        <f t="shared" ref="CJ222" si="634">CI225</f>
        <v>0</v>
      </c>
      <c r="CK222" s="508">
        <f t="shared" ref="CK222" si="635">CJ225</f>
        <v>0</v>
      </c>
      <c r="CL222" s="508">
        <f t="shared" ref="CL222" si="636">CK225</f>
        <v>0</v>
      </c>
      <c r="CM222" s="508">
        <f t="shared" ref="CM222" si="637">CL225</f>
        <v>0</v>
      </c>
      <c r="CN222" s="508">
        <f t="shared" ref="CN222" si="638">CM225</f>
        <v>0</v>
      </c>
      <c r="CO222" s="508">
        <f t="shared" ref="CO222" si="639">CN225</f>
        <v>0</v>
      </c>
      <c r="CP222" s="508">
        <f t="shared" ref="CP222" si="640">CO225</f>
        <v>0</v>
      </c>
      <c r="CQ222" s="508">
        <f t="shared" ref="CQ222" si="641">CP225</f>
        <v>0</v>
      </c>
      <c r="CR222" s="508">
        <f t="shared" ref="CR222" si="642">CQ225</f>
        <v>0</v>
      </c>
      <c r="CS222" s="508">
        <f t="shared" ref="CS222" si="643">CR225</f>
        <v>0</v>
      </c>
      <c r="CT222" s="508">
        <f t="shared" ref="CT222" si="644">CS225</f>
        <v>0</v>
      </c>
      <c r="CU222" s="508">
        <f t="shared" ref="CU222" si="645">CT225</f>
        <v>0</v>
      </c>
      <c r="CV222" s="508">
        <f t="shared" ref="CV222" si="646">CU225</f>
        <v>0</v>
      </c>
    </row>
    <row r="223" spans="1:100" outlineLevel="1" x14ac:dyDescent="0.2">
      <c r="A223" s="236"/>
      <c r="B223" s="236"/>
      <c r="C223" s="237"/>
      <c r="D223" s="238"/>
      <c r="E223" s="281" t="str">
        <f t="shared" ref="E223:BP223" si="647" xml:space="preserve"> E$154</f>
        <v>O&amp;M expense POS</v>
      </c>
      <c r="F223" s="281">
        <f t="shared" si="647"/>
        <v>0</v>
      </c>
      <c r="G223" s="281" t="str">
        <f t="shared" si="647"/>
        <v>$ 000s</v>
      </c>
      <c r="H223" s="281">
        <f t="shared" si="647"/>
        <v>210402.03579009019</v>
      </c>
      <c r="I223" s="281">
        <f t="shared" si="647"/>
        <v>0</v>
      </c>
      <c r="J223" s="281">
        <f t="shared" si="647"/>
        <v>0</v>
      </c>
      <c r="K223" s="281">
        <f t="shared" si="647"/>
        <v>0</v>
      </c>
      <c r="L223" s="281">
        <f t="shared" si="647"/>
        <v>0</v>
      </c>
      <c r="M223" s="281">
        <f t="shared" si="647"/>
        <v>0</v>
      </c>
      <c r="N223" s="281">
        <f t="shared" si="647"/>
        <v>0</v>
      </c>
      <c r="O223" s="281">
        <f t="shared" si="647"/>
        <v>4329.7286399999994</v>
      </c>
      <c r="P223" s="281">
        <f t="shared" si="647"/>
        <v>4329.7286399999994</v>
      </c>
      <c r="Q223" s="281">
        <f t="shared" si="647"/>
        <v>4416.3232128</v>
      </c>
      <c r="R223" s="281">
        <f t="shared" si="647"/>
        <v>4416.3232128</v>
      </c>
      <c r="S223" s="281">
        <f t="shared" si="647"/>
        <v>4504.6496770560007</v>
      </c>
      <c r="T223" s="281">
        <f t="shared" si="647"/>
        <v>4504.6496770560007</v>
      </c>
      <c r="U223" s="281">
        <f t="shared" si="647"/>
        <v>4594.7426705971193</v>
      </c>
      <c r="V223" s="281">
        <f t="shared" si="647"/>
        <v>4594.7426705971193</v>
      </c>
      <c r="W223" s="281">
        <f t="shared" si="647"/>
        <v>4686.637524009062</v>
      </c>
      <c r="X223" s="281">
        <f t="shared" si="647"/>
        <v>4686.637524009062</v>
      </c>
      <c r="Y223" s="281">
        <f t="shared" si="647"/>
        <v>4780.3702744892435</v>
      </c>
      <c r="Z223" s="281">
        <f t="shared" si="647"/>
        <v>4780.3702744892435</v>
      </c>
      <c r="AA223" s="281">
        <f t="shared" si="647"/>
        <v>4875.9776799790279</v>
      </c>
      <c r="AB223" s="281">
        <f t="shared" si="647"/>
        <v>4875.9776799790279</v>
      </c>
      <c r="AC223" s="281">
        <f t="shared" si="647"/>
        <v>4973.4972335786078</v>
      </c>
      <c r="AD223" s="281">
        <f t="shared" si="647"/>
        <v>4973.4972335786078</v>
      </c>
      <c r="AE223" s="281">
        <f t="shared" si="647"/>
        <v>5072.967178250181</v>
      </c>
      <c r="AF223" s="281">
        <f t="shared" si="647"/>
        <v>5072.967178250181</v>
      </c>
      <c r="AG223" s="281">
        <f t="shared" si="647"/>
        <v>5174.4265218151841</v>
      </c>
      <c r="AH223" s="281">
        <f t="shared" si="647"/>
        <v>5174.4265218151841</v>
      </c>
      <c r="AI223" s="281">
        <f t="shared" si="647"/>
        <v>5277.9150522514883</v>
      </c>
      <c r="AJ223" s="281">
        <f t="shared" si="647"/>
        <v>5277.9150522514883</v>
      </c>
      <c r="AK223" s="281">
        <f t="shared" si="647"/>
        <v>5383.4733532965174</v>
      </c>
      <c r="AL223" s="281">
        <f t="shared" si="647"/>
        <v>5383.4733532965174</v>
      </c>
      <c r="AM223" s="281">
        <f t="shared" si="647"/>
        <v>5491.1428203624482</v>
      </c>
      <c r="AN223" s="281">
        <f t="shared" si="647"/>
        <v>5491.1428203624482</v>
      </c>
      <c r="AO223" s="281">
        <f t="shared" si="647"/>
        <v>5600.9656767696979</v>
      </c>
      <c r="AP223" s="281">
        <f t="shared" si="647"/>
        <v>5600.9656767696979</v>
      </c>
      <c r="AQ223" s="281">
        <f t="shared" si="647"/>
        <v>5712.9849903050908</v>
      </c>
      <c r="AR223" s="281">
        <f t="shared" si="647"/>
        <v>5712.9849903050908</v>
      </c>
      <c r="AS223" s="281">
        <f t="shared" si="647"/>
        <v>5827.2446901111925</v>
      </c>
      <c r="AT223" s="281">
        <f t="shared" si="647"/>
        <v>5827.2446901111925</v>
      </c>
      <c r="AU223" s="281">
        <f t="shared" si="647"/>
        <v>5943.7895839134171</v>
      </c>
      <c r="AV223" s="281">
        <f t="shared" si="647"/>
        <v>5943.7895839134171</v>
      </c>
      <c r="AW223" s="281">
        <f t="shared" si="647"/>
        <v>6062.665375591685</v>
      </c>
      <c r="AX223" s="281">
        <f t="shared" si="647"/>
        <v>6062.665375591685</v>
      </c>
      <c r="AY223" s="281">
        <f t="shared" si="647"/>
        <v>6183.9186831035186</v>
      </c>
      <c r="AZ223" s="281">
        <f t="shared" si="647"/>
        <v>6183.9186831035186</v>
      </c>
      <c r="BA223" s="281">
        <f t="shared" si="647"/>
        <v>6307.5970567655886</v>
      </c>
      <c r="BB223" s="281">
        <f t="shared" si="647"/>
        <v>6307.5970567655886</v>
      </c>
      <c r="BC223" s="281">
        <f t="shared" si="647"/>
        <v>0</v>
      </c>
      <c r="BD223" s="281">
        <f t="shared" si="647"/>
        <v>0</v>
      </c>
      <c r="BE223" s="281">
        <f t="shared" si="647"/>
        <v>0</v>
      </c>
      <c r="BF223" s="281">
        <f t="shared" si="647"/>
        <v>0</v>
      </c>
      <c r="BG223" s="281">
        <f t="shared" si="647"/>
        <v>0</v>
      </c>
      <c r="BH223" s="281">
        <f t="shared" si="647"/>
        <v>0</v>
      </c>
      <c r="BI223" s="281">
        <f t="shared" si="647"/>
        <v>0</v>
      </c>
      <c r="BJ223" s="281">
        <f t="shared" si="647"/>
        <v>0</v>
      </c>
      <c r="BK223" s="281">
        <f t="shared" si="647"/>
        <v>0</v>
      </c>
      <c r="BL223" s="281">
        <f t="shared" si="647"/>
        <v>0</v>
      </c>
      <c r="BM223" s="281">
        <f t="shared" si="647"/>
        <v>0</v>
      </c>
      <c r="BN223" s="281">
        <f t="shared" si="647"/>
        <v>0</v>
      </c>
      <c r="BO223" s="281">
        <f t="shared" si="647"/>
        <v>0</v>
      </c>
      <c r="BP223" s="281">
        <f t="shared" si="647"/>
        <v>0</v>
      </c>
      <c r="BQ223" s="281">
        <f t="shared" ref="BQ223:CV223" si="648" xml:space="preserve"> BQ$154</f>
        <v>0</v>
      </c>
      <c r="BR223" s="281">
        <f t="shared" si="648"/>
        <v>0</v>
      </c>
      <c r="BS223" s="281">
        <f t="shared" si="648"/>
        <v>0</v>
      </c>
      <c r="BT223" s="281">
        <f t="shared" si="648"/>
        <v>0</v>
      </c>
      <c r="BU223" s="281">
        <f t="shared" si="648"/>
        <v>0</v>
      </c>
      <c r="BV223" s="281">
        <f t="shared" si="648"/>
        <v>0</v>
      </c>
      <c r="BW223" s="281">
        <f t="shared" si="648"/>
        <v>0</v>
      </c>
      <c r="BX223" s="281">
        <f t="shared" si="648"/>
        <v>0</v>
      </c>
      <c r="BY223" s="281">
        <f t="shared" si="648"/>
        <v>0</v>
      </c>
      <c r="BZ223" s="281">
        <f t="shared" si="648"/>
        <v>0</v>
      </c>
      <c r="CA223" s="281">
        <f t="shared" si="648"/>
        <v>0</v>
      </c>
      <c r="CB223" s="281">
        <f t="shared" si="648"/>
        <v>0</v>
      </c>
      <c r="CC223" s="281">
        <f t="shared" si="648"/>
        <v>0</v>
      </c>
      <c r="CD223" s="281">
        <f t="shared" si="648"/>
        <v>0</v>
      </c>
      <c r="CE223" s="281">
        <f t="shared" si="648"/>
        <v>0</v>
      </c>
      <c r="CF223" s="281">
        <f t="shared" si="648"/>
        <v>0</v>
      </c>
      <c r="CG223" s="281">
        <f t="shared" si="648"/>
        <v>0</v>
      </c>
      <c r="CH223" s="281">
        <f t="shared" si="648"/>
        <v>0</v>
      </c>
      <c r="CI223" s="281">
        <f t="shared" si="648"/>
        <v>0</v>
      </c>
      <c r="CJ223" s="281">
        <f t="shared" si="648"/>
        <v>0</v>
      </c>
      <c r="CK223" s="281">
        <f t="shared" si="648"/>
        <v>0</v>
      </c>
      <c r="CL223" s="281">
        <f t="shared" si="648"/>
        <v>0</v>
      </c>
      <c r="CM223" s="281">
        <f t="shared" si="648"/>
        <v>0</v>
      </c>
      <c r="CN223" s="281">
        <f t="shared" si="648"/>
        <v>0</v>
      </c>
      <c r="CO223" s="281">
        <f t="shared" si="648"/>
        <v>0</v>
      </c>
      <c r="CP223" s="281">
        <f t="shared" si="648"/>
        <v>0</v>
      </c>
      <c r="CQ223" s="281">
        <f t="shared" si="648"/>
        <v>0</v>
      </c>
      <c r="CR223" s="281">
        <f t="shared" si="648"/>
        <v>0</v>
      </c>
      <c r="CS223" s="281">
        <f t="shared" si="648"/>
        <v>0</v>
      </c>
      <c r="CT223" s="281">
        <f t="shared" si="648"/>
        <v>0</v>
      </c>
      <c r="CU223" s="281">
        <f t="shared" si="648"/>
        <v>0</v>
      </c>
      <c r="CV223" s="281">
        <f t="shared" si="648"/>
        <v>0</v>
      </c>
    </row>
    <row r="224" spans="1:100" outlineLevel="1" x14ac:dyDescent="0.2">
      <c r="A224" s="236"/>
      <c r="B224" s="236"/>
      <c r="C224" s="237"/>
      <c r="D224" s="238"/>
      <c r="E224" s="281" t="str">
        <f t="shared" ref="E224:AJ224" si="649" xml:space="preserve"> E$219</f>
        <v>Cash paid for O&amp;M costs POS</v>
      </c>
      <c r="F224" s="281">
        <f t="shared" si="649"/>
        <v>0</v>
      </c>
      <c r="G224" s="281" t="str">
        <f t="shared" si="649"/>
        <v>$ 000s</v>
      </c>
      <c r="H224" s="281">
        <f t="shared" si="649"/>
        <v>210402.03579009016</v>
      </c>
      <c r="I224" s="281">
        <f t="shared" si="649"/>
        <v>0</v>
      </c>
      <c r="J224" s="281">
        <f t="shared" si="649"/>
        <v>0</v>
      </c>
      <c r="K224" s="281">
        <f t="shared" si="649"/>
        <v>0</v>
      </c>
      <c r="L224" s="281">
        <f t="shared" si="649"/>
        <v>0</v>
      </c>
      <c r="M224" s="281">
        <f t="shared" si="649"/>
        <v>0</v>
      </c>
      <c r="N224" s="281">
        <f t="shared" si="649"/>
        <v>0</v>
      </c>
      <c r="O224" s="281">
        <f t="shared" si="649"/>
        <v>3270.827613913043</v>
      </c>
      <c r="P224" s="281">
        <f t="shared" si="649"/>
        <v>4312.1777942637509</v>
      </c>
      <c r="Q224" s="281">
        <f t="shared" si="649"/>
        <v>4412.6960380145092</v>
      </c>
      <c r="R224" s="281">
        <f t="shared" si="649"/>
        <v>4398.4213501490267</v>
      </c>
      <c r="S224" s="281">
        <f t="shared" si="649"/>
        <v>4500.9499587747996</v>
      </c>
      <c r="T224" s="281">
        <f t="shared" si="649"/>
        <v>4486.3897771520087</v>
      </c>
      <c r="U224" s="281">
        <f t="shared" si="649"/>
        <v>4590.9689579502938</v>
      </c>
      <c r="V224" s="281">
        <f t="shared" si="649"/>
        <v>4582.3941624642439</v>
      </c>
      <c r="W224" s="281">
        <f t="shared" si="649"/>
        <v>4676.5117473401042</v>
      </c>
      <c r="X224" s="281">
        <f t="shared" si="649"/>
        <v>4667.639924148948</v>
      </c>
      <c r="Y224" s="281">
        <f t="shared" si="649"/>
        <v>4776.4441038514869</v>
      </c>
      <c r="Z224" s="281">
        <f t="shared" si="649"/>
        <v>4760.9927226319269</v>
      </c>
      <c r="AA224" s="281">
        <f t="shared" si="649"/>
        <v>4871.9729859285162</v>
      </c>
      <c r="AB224" s="281">
        <f t="shared" si="649"/>
        <v>4856.212577084566</v>
      </c>
      <c r="AC224" s="281">
        <f t="shared" si="649"/>
        <v>4969.4124456470863</v>
      </c>
      <c r="AD224" s="281">
        <f t="shared" si="649"/>
        <v>4960.1308112475617</v>
      </c>
      <c r="AE224" s="281">
        <f t="shared" si="649"/>
        <v>5062.0067119387222</v>
      </c>
      <c r="AF224" s="281">
        <f t="shared" si="649"/>
        <v>5052.4035651987824</v>
      </c>
      <c r="AG224" s="281">
        <f t="shared" si="649"/>
        <v>5170.1767084512285</v>
      </c>
      <c r="AH224" s="281">
        <f t="shared" si="649"/>
        <v>5153.4516365027575</v>
      </c>
      <c r="AI224" s="281">
        <f t="shared" si="649"/>
        <v>5273.5802426202536</v>
      </c>
      <c r="AJ224" s="281">
        <f t="shared" si="649"/>
        <v>5256.5206692328138</v>
      </c>
      <c r="AK224" s="281">
        <f t="shared" ref="AK224:BP224" si="650" xml:space="preserve"> AK$219</f>
        <v>5379.0518474726578</v>
      </c>
      <c r="AL224" s="281">
        <f t="shared" si="650"/>
        <v>5369.005107901251</v>
      </c>
      <c r="AM224" s="281">
        <f t="shared" si="650"/>
        <v>5479.2788591383296</v>
      </c>
      <c r="AN224" s="281">
        <f t="shared" si="650"/>
        <v>5468.8841042698186</v>
      </c>
      <c r="AO224" s="281">
        <f t="shared" si="650"/>
        <v>5596.3655421105541</v>
      </c>
      <c r="AP224" s="281">
        <f t="shared" si="650"/>
        <v>5578.2617863552159</v>
      </c>
      <c r="AQ224" s="281">
        <f t="shared" si="650"/>
        <v>5708.2928529527653</v>
      </c>
      <c r="AR224" s="281">
        <f t="shared" si="650"/>
        <v>5689.8270220823188</v>
      </c>
      <c r="AS224" s="281">
        <f t="shared" si="650"/>
        <v>5822.4587100118197</v>
      </c>
      <c r="AT224" s="281">
        <f t="shared" si="650"/>
        <v>5811.5837959965847</v>
      </c>
      <c r="AU224" s="281">
        <f t="shared" si="650"/>
        <v>5930.9476507394374</v>
      </c>
      <c r="AV224" s="281">
        <f t="shared" si="650"/>
        <v>5919.6960337744458</v>
      </c>
      <c r="AW224" s="281">
        <f t="shared" si="650"/>
        <v>6057.686041896297</v>
      </c>
      <c r="AX224" s="281">
        <f t="shared" si="650"/>
        <v>6038.0899544499343</v>
      </c>
      <c r="AY224" s="281">
        <f t="shared" si="650"/>
        <v>6178.8397627342238</v>
      </c>
      <c r="AZ224" s="281">
        <f t="shared" si="650"/>
        <v>6158.8517535389319</v>
      </c>
      <c r="BA224" s="281">
        <f t="shared" si="650"/>
        <v>6302.4165579889077</v>
      </c>
      <c r="BB224" s="281">
        <f t="shared" si="650"/>
        <v>7850.2159021702164</v>
      </c>
      <c r="BC224" s="281">
        <f t="shared" si="650"/>
        <v>0</v>
      </c>
      <c r="BD224" s="281">
        <f t="shared" si="650"/>
        <v>0</v>
      </c>
      <c r="BE224" s="281">
        <f t="shared" si="650"/>
        <v>0</v>
      </c>
      <c r="BF224" s="281">
        <f t="shared" si="650"/>
        <v>0</v>
      </c>
      <c r="BG224" s="281">
        <f t="shared" si="650"/>
        <v>0</v>
      </c>
      <c r="BH224" s="281">
        <f t="shared" si="650"/>
        <v>0</v>
      </c>
      <c r="BI224" s="281">
        <f t="shared" si="650"/>
        <v>0</v>
      </c>
      <c r="BJ224" s="281">
        <f t="shared" si="650"/>
        <v>0</v>
      </c>
      <c r="BK224" s="281">
        <f t="shared" si="650"/>
        <v>0</v>
      </c>
      <c r="BL224" s="281">
        <f t="shared" si="650"/>
        <v>0</v>
      </c>
      <c r="BM224" s="281">
        <f t="shared" si="650"/>
        <v>0</v>
      </c>
      <c r="BN224" s="281">
        <f t="shared" si="650"/>
        <v>0</v>
      </c>
      <c r="BO224" s="281">
        <f t="shared" si="650"/>
        <v>0</v>
      </c>
      <c r="BP224" s="281">
        <f t="shared" si="650"/>
        <v>0</v>
      </c>
      <c r="BQ224" s="281">
        <f t="shared" ref="BQ224:CV224" si="651" xml:space="preserve"> BQ$219</f>
        <v>0</v>
      </c>
      <c r="BR224" s="281">
        <f t="shared" si="651"/>
        <v>0</v>
      </c>
      <c r="BS224" s="281">
        <f t="shared" si="651"/>
        <v>0</v>
      </c>
      <c r="BT224" s="281">
        <f t="shared" si="651"/>
        <v>0</v>
      </c>
      <c r="BU224" s="281">
        <f t="shared" si="651"/>
        <v>0</v>
      </c>
      <c r="BV224" s="281">
        <f t="shared" si="651"/>
        <v>0</v>
      </c>
      <c r="BW224" s="281">
        <f t="shared" si="651"/>
        <v>0</v>
      </c>
      <c r="BX224" s="281">
        <f t="shared" si="651"/>
        <v>0</v>
      </c>
      <c r="BY224" s="281">
        <f t="shared" si="651"/>
        <v>0</v>
      </c>
      <c r="BZ224" s="281">
        <f t="shared" si="651"/>
        <v>0</v>
      </c>
      <c r="CA224" s="281">
        <f t="shared" si="651"/>
        <v>0</v>
      </c>
      <c r="CB224" s="281">
        <f t="shared" si="651"/>
        <v>0</v>
      </c>
      <c r="CC224" s="281">
        <f t="shared" si="651"/>
        <v>0</v>
      </c>
      <c r="CD224" s="281">
        <f t="shared" si="651"/>
        <v>0</v>
      </c>
      <c r="CE224" s="281">
        <f t="shared" si="651"/>
        <v>0</v>
      </c>
      <c r="CF224" s="281">
        <f t="shared" si="651"/>
        <v>0</v>
      </c>
      <c r="CG224" s="281">
        <f t="shared" si="651"/>
        <v>0</v>
      </c>
      <c r="CH224" s="281">
        <f t="shared" si="651"/>
        <v>0</v>
      </c>
      <c r="CI224" s="281">
        <f t="shared" si="651"/>
        <v>0</v>
      </c>
      <c r="CJ224" s="281">
        <f t="shared" si="651"/>
        <v>0</v>
      </c>
      <c r="CK224" s="281">
        <f t="shared" si="651"/>
        <v>0</v>
      </c>
      <c r="CL224" s="281">
        <f t="shared" si="651"/>
        <v>0</v>
      </c>
      <c r="CM224" s="281">
        <f t="shared" si="651"/>
        <v>0</v>
      </c>
      <c r="CN224" s="281">
        <f t="shared" si="651"/>
        <v>0</v>
      </c>
      <c r="CO224" s="281">
        <f t="shared" si="651"/>
        <v>0</v>
      </c>
      <c r="CP224" s="281">
        <f t="shared" si="651"/>
        <v>0</v>
      </c>
      <c r="CQ224" s="281">
        <f t="shared" si="651"/>
        <v>0</v>
      </c>
      <c r="CR224" s="281">
        <f t="shared" si="651"/>
        <v>0</v>
      </c>
      <c r="CS224" s="281">
        <f t="shared" si="651"/>
        <v>0</v>
      </c>
      <c r="CT224" s="281">
        <f t="shared" si="651"/>
        <v>0</v>
      </c>
      <c r="CU224" s="281">
        <f t="shared" si="651"/>
        <v>0</v>
      </c>
      <c r="CV224" s="281">
        <f t="shared" si="651"/>
        <v>0</v>
      </c>
    </row>
    <row r="225" spans="1:100" outlineLevel="1" x14ac:dyDescent="0.2">
      <c r="A225" s="391"/>
      <c r="B225" s="391"/>
      <c r="C225" s="392"/>
      <c r="D225" s="393"/>
      <c r="E225" s="395" t="s">
        <v>201</v>
      </c>
      <c r="F225" s="395"/>
      <c r="G225" s="395" t="str">
        <f xml:space="preserve"> SMU</f>
        <v>$ 000s</v>
      </c>
      <c r="H225" s="395"/>
      <c r="I225" s="395"/>
      <c r="J225" s="395">
        <f t="shared" ref="J225:AO225" si="652" xml:space="preserve"> J222 + J223 - J224</f>
        <v>0</v>
      </c>
      <c r="K225" s="395">
        <f t="shared" si="652"/>
        <v>0</v>
      </c>
      <c r="L225" s="395">
        <f t="shared" si="652"/>
        <v>0</v>
      </c>
      <c r="M225" s="395">
        <f t="shared" si="652"/>
        <v>0</v>
      </c>
      <c r="N225" s="395">
        <f t="shared" si="652"/>
        <v>0</v>
      </c>
      <c r="O225" s="395">
        <f t="shared" si="652"/>
        <v>1058.9010260869563</v>
      </c>
      <c r="P225" s="395">
        <f t="shared" si="652"/>
        <v>1076.4518718232048</v>
      </c>
      <c r="Q225" s="395">
        <f t="shared" si="652"/>
        <v>1080.0790466086955</v>
      </c>
      <c r="R225" s="395">
        <f t="shared" si="652"/>
        <v>1097.9809092596688</v>
      </c>
      <c r="S225" s="395">
        <f t="shared" si="652"/>
        <v>1101.6806275408699</v>
      </c>
      <c r="T225" s="395">
        <f t="shared" si="652"/>
        <v>1119.9405274448618</v>
      </c>
      <c r="U225" s="395">
        <f t="shared" si="652"/>
        <v>1123.7142400916873</v>
      </c>
      <c r="V225" s="395">
        <f t="shared" si="652"/>
        <v>1136.0627482245627</v>
      </c>
      <c r="W225" s="395">
        <f t="shared" si="652"/>
        <v>1146.1885248935205</v>
      </c>
      <c r="X225" s="395">
        <f t="shared" si="652"/>
        <v>1165.1861247536344</v>
      </c>
      <c r="Y225" s="395">
        <f t="shared" si="652"/>
        <v>1169.1122953913909</v>
      </c>
      <c r="Z225" s="395">
        <f t="shared" si="652"/>
        <v>1188.4898472487075</v>
      </c>
      <c r="AA225" s="395">
        <f t="shared" si="652"/>
        <v>1192.4945412992192</v>
      </c>
      <c r="AB225" s="395">
        <f t="shared" si="652"/>
        <v>1212.2596441936812</v>
      </c>
      <c r="AC225" s="395">
        <f t="shared" si="652"/>
        <v>1216.3444321252027</v>
      </c>
      <c r="AD225" s="395">
        <f t="shared" si="652"/>
        <v>1229.7108544562489</v>
      </c>
      <c r="AE225" s="395">
        <f t="shared" si="652"/>
        <v>1240.6713207677076</v>
      </c>
      <c r="AF225" s="395">
        <f t="shared" si="652"/>
        <v>1261.2349338191061</v>
      </c>
      <c r="AG225" s="395">
        <f t="shared" si="652"/>
        <v>1265.4847471830617</v>
      </c>
      <c r="AH225" s="395">
        <f t="shared" si="652"/>
        <v>1286.4596324954882</v>
      </c>
      <c r="AI225" s="395">
        <f t="shared" si="652"/>
        <v>1290.794442126723</v>
      </c>
      <c r="AJ225" s="395">
        <f t="shared" si="652"/>
        <v>1312.1888251453975</v>
      </c>
      <c r="AK225" s="395">
        <f t="shared" si="652"/>
        <v>1316.6103309692571</v>
      </c>
      <c r="AL225" s="395">
        <f t="shared" si="652"/>
        <v>1331.0785763645235</v>
      </c>
      <c r="AM225" s="395">
        <f t="shared" si="652"/>
        <v>1342.9425375886422</v>
      </c>
      <c r="AN225" s="395">
        <f t="shared" si="652"/>
        <v>1365.2012536812717</v>
      </c>
      <c r="AO225" s="395">
        <f t="shared" si="652"/>
        <v>1369.8013883404155</v>
      </c>
      <c r="AP225" s="395">
        <f t="shared" ref="AP225:BU225" si="653" xml:space="preserve"> AP222 + AP223 - AP224</f>
        <v>1392.5052787548975</v>
      </c>
      <c r="AQ225" s="395">
        <f t="shared" si="653"/>
        <v>1397.197416107223</v>
      </c>
      <c r="AR225" s="395">
        <f t="shared" si="653"/>
        <v>1420.3553843299951</v>
      </c>
      <c r="AS225" s="395">
        <f t="shared" si="653"/>
        <v>1425.141364429368</v>
      </c>
      <c r="AT225" s="395">
        <f t="shared" si="653"/>
        <v>1440.8022585439758</v>
      </c>
      <c r="AU225" s="395">
        <f t="shared" si="653"/>
        <v>1453.6441917179554</v>
      </c>
      <c r="AV225" s="395">
        <f t="shared" si="653"/>
        <v>1477.7377418569267</v>
      </c>
      <c r="AW225" s="395">
        <f t="shared" si="653"/>
        <v>1482.7170755523148</v>
      </c>
      <c r="AX225" s="395">
        <f t="shared" si="653"/>
        <v>1507.2924966940654</v>
      </c>
      <c r="AY225" s="395">
        <f t="shared" si="653"/>
        <v>1512.3714170633602</v>
      </c>
      <c r="AZ225" s="395">
        <f t="shared" si="653"/>
        <v>1537.4383466279469</v>
      </c>
      <c r="BA225" s="395">
        <f t="shared" si="653"/>
        <v>1542.6188454046278</v>
      </c>
      <c r="BB225" s="395">
        <f t="shared" si="653"/>
        <v>0</v>
      </c>
      <c r="BC225" s="395">
        <f t="shared" si="653"/>
        <v>0</v>
      </c>
      <c r="BD225" s="395">
        <f t="shared" si="653"/>
        <v>0</v>
      </c>
      <c r="BE225" s="395">
        <f t="shared" si="653"/>
        <v>0</v>
      </c>
      <c r="BF225" s="395">
        <f t="shared" si="653"/>
        <v>0</v>
      </c>
      <c r="BG225" s="395">
        <f t="shared" si="653"/>
        <v>0</v>
      </c>
      <c r="BH225" s="395">
        <f t="shared" si="653"/>
        <v>0</v>
      </c>
      <c r="BI225" s="395">
        <f t="shared" si="653"/>
        <v>0</v>
      </c>
      <c r="BJ225" s="395">
        <f t="shared" si="653"/>
        <v>0</v>
      </c>
      <c r="BK225" s="395">
        <f t="shared" si="653"/>
        <v>0</v>
      </c>
      <c r="BL225" s="395">
        <f t="shared" si="653"/>
        <v>0</v>
      </c>
      <c r="BM225" s="395">
        <f t="shared" si="653"/>
        <v>0</v>
      </c>
      <c r="BN225" s="395">
        <f t="shared" si="653"/>
        <v>0</v>
      </c>
      <c r="BO225" s="395">
        <f t="shared" si="653"/>
        <v>0</v>
      </c>
      <c r="BP225" s="395">
        <f t="shared" si="653"/>
        <v>0</v>
      </c>
      <c r="BQ225" s="395">
        <f t="shared" si="653"/>
        <v>0</v>
      </c>
      <c r="BR225" s="395">
        <f t="shared" si="653"/>
        <v>0</v>
      </c>
      <c r="BS225" s="395">
        <f t="shared" si="653"/>
        <v>0</v>
      </c>
      <c r="BT225" s="395">
        <f t="shared" si="653"/>
        <v>0</v>
      </c>
      <c r="BU225" s="395">
        <f t="shared" si="653"/>
        <v>0</v>
      </c>
      <c r="BV225" s="395">
        <f t="shared" ref="BV225:CV225" si="654" xml:space="preserve"> BV222 + BV223 - BV224</f>
        <v>0</v>
      </c>
      <c r="BW225" s="395">
        <f t="shared" si="654"/>
        <v>0</v>
      </c>
      <c r="BX225" s="395">
        <f t="shared" si="654"/>
        <v>0</v>
      </c>
      <c r="BY225" s="395">
        <f t="shared" si="654"/>
        <v>0</v>
      </c>
      <c r="BZ225" s="395">
        <f t="shared" si="654"/>
        <v>0</v>
      </c>
      <c r="CA225" s="395">
        <f t="shared" si="654"/>
        <v>0</v>
      </c>
      <c r="CB225" s="395">
        <f t="shared" si="654"/>
        <v>0</v>
      </c>
      <c r="CC225" s="395">
        <f t="shared" si="654"/>
        <v>0</v>
      </c>
      <c r="CD225" s="395">
        <f t="shared" si="654"/>
        <v>0</v>
      </c>
      <c r="CE225" s="395">
        <f t="shared" si="654"/>
        <v>0</v>
      </c>
      <c r="CF225" s="395">
        <f t="shared" si="654"/>
        <v>0</v>
      </c>
      <c r="CG225" s="395">
        <f t="shared" si="654"/>
        <v>0</v>
      </c>
      <c r="CH225" s="395">
        <f t="shared" si="654"/>
        <v>0</v>
      </c>
      <c r="CI225" s="395">
        <f t="shared" si="654"/>
        <v>0</v>
      </c>
      <c r="CJ225" s="395">
        <f t="shared" si="654"/>
        <v>0</v>
      </c>
      <c r="CK225" s="395">
        <f t="shared" si="654"/>
        <v>0</v>
      </c>
      <c r="CL225" s="395">
        <f t="shared" si="654"/>
        <v>0</v>
      </c>
      <c r="CM225" s="395">
        <f t="shared" si="654"/>
        <v>0</v>
      </c>
      <c r="CN225" s="395">
        <f t="shared" si="654"/>
        <v>0</v>
      </c>
      <c r="CO225" s="395">
        <f t="shared" si="654"/>
        <v>0</v>
      </c>
      <c r="CP225" s="395">
        <f t="shared" si="654"/>
        <v>0</v>
      </c>
      <c r="CQ225" s="395">
        <f t="shared" si="654"/>
        <v>0</v>
      </c>
      <c r="CR225" s="395">
        <f t="shared" si="654"/>
        <v>0</v>
      </c>
      <c r="CS225" s="395">
        <f t="shared" si="654"/>
        <v>0</v>
      </c>
      <c r="CT225" s="395">
        <f t="shared" si="654"/>
        <v>0</v>
      </c>
      <c r="CU225" s="395">
        <f t="shared" si="654"/>
        <v>0</v>
      </c>
      <c r="CV225" s="395">
        <f t="shared" si="654"/>
        <v>0</v>
      </c>
    </row>
    <row r="226" spans="1:100" outlineLevel="1" x14ac:dyDescent="0.2">
      <c r="A226" s="236"/>
      <c r="B226" s="236"/>
      <c r="C226" s="237"/>
      <c r="D226" s="238"/>
      <c r="E226" s="235"/>
      <c r="F226" s="235"/>
      <c r="G226" s="235"/>
      <c r="H226" s="235"/>
      <c r="I226" s="235"/>
      <c r="J226" s="235"/>
      <c r="K226" s="235"/>
      <c r="L226" s="235"/>
      <c r="M226" s="235"/>
      <c r="N226" s="235"/>
      <c r="O226" s="235"/>
      <c r="P226" s="235"/>
      <c r="Q226" s="235"/>
      <c r="R226" s="235"/>
      <c r="S226" s="235"/>
      <c r="T226" s="235"/>
      <c r="U226" s="235"/>
      <c r="V226" s="235"/>
      <c r="W226" s="235"/>
      <c r="X226" s="235"/>
      <c r="Y226" s="235"/>
      <c r="Z226" s="235"/>
      <c r="AA226" s="235"/>
      <c r="AB226" s="235"/>
      <c r="AC226" s="235"/>
      <c r="AD226" s="235"/>
      <c r="AE226" s="235"/>
      <c r="AF226" s="235"/>
      <c r="AG226" s="235"/>
      <c r="AH226" s="235"/>
      <c r="AI226" s="235"/>
      <c r="AJ226" s="235"/>
      <c r="AK226" s="235"/>
      <c r="AL226" s="235"/>
      <c r="AM226" s="235"/>
      <c r="AN226" s="235"/>
      <c r="AO226" s="235"/>
      <c r="AP226" s="235"/>
      <c r="AQ226" s="235"/>
      <c r="AR226" s="235"/>
      <c r="AS226" s="235"/>
      <c r="AT226" s="235"/>
      <c r="AU226" s="235"/>
      <c r="AV226" s="235"/>
      <c r="AW226" s="235"/>
      <c r="AX226" s="235"/>
      <c r="AY226" s="235"/>
      <c r="AZ226" s="235"/>
      <c r="BA226" s="235"/>
      <c r="BB226" s="235"/>
      <c r="BC226" s="235"/>
      <c r="BD226" s="235"/>
      <c r="BE226" s="235"/>
      <c r="BF226" s="235"/>
      <c r="BG226" s="235"/>
      <c r="BH226" s="235"/>
      <c r="BI226" s="235"/>
      <c r="BJ226" s="235"/>
      <c r="BK226" s="235"/>
      <c r="BL226" s="235"/>
      <c r="BM226" s="235"/>
      <c r="BN226" s="235"/>
      <c r="BO226" s="235"/>
      <c r="BP226" s="235"/>
      <c r="BQ226" s="235"/>
      <c r="BR226" s="235"/>
      <c r="BS226" s="235"/>
      <c r="BT226" s="235"/>
      <c r="BU226" s="235"/>
      <c r="BV226" s="235"/>
      <c r="BW226" s="235"/>
      <c r="BX226" s="235"/>
      <c r="BY226" s="235"/>
      <c r="BZ226" s="235"/>
      <c r="CA226" s="235"/>
      <c r="CB226" s="235"/>
      <c r="CC226" s="235"/>
      <c r="CD226" s="235"/>
      <c r="CE226" s="235"/>
      <c r="CF226" s="235"/>
      <c r="CG226" s="235"/>
      <c r="CH226" s="235"/>
      <c r="CI226" s="235"/>
      <c r="CJ226" s="235"/>
      <c r="CK226" s="235"/>
      <c r="CL226" s="235"/>
      <c r="CM226" s="235"/>
      <c r="CN226" s="235"/>
      <c r="CO226" s="235"/>
      <c r="CP226" s="235"/>
      <c r="CQ226" s="235"/>
      <c r="CR226" s="235"/>
      <c r="CS226" s="235"/>
      <c r="CT226" s="235"/>
      <c r="CU226" s="235"/>
      <c r="CV226" s="235"/>
    </row>
    <row r="227" spans="1:100" outlineLevel="1" x14ac:dyDescent="0.2">
      <c r="A227" s="236"/>
      <c r="B227" s="236" t="s">
        <v>424</v>
      </c>
      <c r="C227" s="237"/>
      <c r="D227" s="238"/>
      <c r="E227" s="235"/>
      <c r="F227" s="235"/>
      <c r="G227" s="235"/>
      <c r="H227" s="235"/>
      <c r="I227" s="235"/>
      <c r="J227" s="235"/>
      <c r="K227" s="235"/>
      <c r="L227" s="235"/>
      <c r="M227" s="235"/>
      <c r="N227" s="235"/>
      <c r="O227" s="235"/>
      <c r="P227" s="235"/>
      <c r="Q227" s="235"/>
      <c r="R227" s="235"/>
      <c r="S227" s="235"/>
      <c r="T227" s="235"/>
      <c r="U227" s="235"/>
      <c r="V227" s="235"/>
      <c r="W227" s="235"/>
      <c r="X227" s="235"/>
      <c r="Y227" s="235"/>
      <c r="Z227" s="235"/>
      <c r="AA227" s="235"/>
      <c r="AB227" s="235"/>
      <c r="AC227" s="235"/>
      <c r="AD227" s="235"/>
      <c r="AE227" s="235"/>
      <c r="AF227" s="235"/>
      <c r="AG227" s="235"/>
      <c r="AH227" s="235"/>
      <c r="AI227" s="235"/>
      <c r="AJ227" s="235"/>
      <c r="AK227" s="235"/>
      <c r="AL227" s="235"/>
      <c r="AM227" s="235"/>
      <c r="AN227" s="235"/>
      <c r="AO227" s="235"/>
      <c r="AP227" s="235"/>
      <c r="AQ227" s="235"/>
      <c r="AR227" s="235"/>
      <c r="AS227" s="235"/>
      <c r="AT227" s="235"/>
      <c r="AU227" s="235"/>
      <c r="AV227" s="235"/>
      <c r="AW227" s="235"/>
      <c r="AX227" s="235"/>
      <c r="AY227" s="235"/>
      <c r="AZ227" s="235"/>
      <c r="BA227" s="235"/>
      <c r="BB227" s="235"/>
      <c r="BC227" s="235"/>
      <c r="BD227" s="235"/>
      <c r="BE227" s="235"/>
      <c r="BF227" s="235"/>
      <c r="BG227" s="235"/>
      <c r="BH227" s="235"/>
      <c r="BI227" s="235"/>
      <c r="BJ227" s="235"/>
      <c r="BK227" s="235"/>
      <c r="BL227" s="235"/>
      <c r="BM227" s="235"/>
      <c r="BN227" s="235"/>
      <c r="BO227" s="235"/>
      <c r="BP227" s="235"/>
      <c r="BQ227" s="235"/>
      <c r="BR227" s="235"/>
      <c r="BS227" s="235"/>
      <c r="BT227" s="235"/>
      <c r="BU227" s="235"/>
      <c r="BV227" s="235"/>
      <c r="BW227" s="235"/>
      <c r="BX227" s="235"/>
      <c r="BY227" s="235"/>
      <c r="BZ227" s="235"/>
      <c r="CA227" s="235"/>
      <c r="CB227" s="235"/>
      <c r="CC227" s="235"/>
      <c r="CD227" s="235"/>
      <c r="CE227" s="235"/>
      <c r="CF227" s="235"/>
      <c r="CG227" s="235"/>
      <c r="CH227" s="235"/>
      <c r="CI227" s="235"/>
      <c r="CJ227" s="235"/>
      <c r="CK227" s="235"/>
      <c r="CL227" s="235"/>
      <c r="CM227" s="235"/>
      <c r="CN227" s="235"/>
      <c r="CO227" s="235"/>
      <c r="CP227" s="235"/>
      <c r="CQ227" s="235"/>
      <c r="CR227" s="235"/>
      <c r="CS227" s="235"/>
      <c r="CT227" s="235"/>
      <c r="CU227" s="235"/>
      <c r="CV227" s="235"/>
    </row>
    <row r="228" spans="1:100" outlineLevel="2" x14ac:dyDescent="0.2">
      <c r="A228" s="236"/>
      <c r="B228" s="236"/>
      <c r="C228" s="237"/>
      <c r="D228" s="238"/>
      <c r="E228" s="9" t="str">
        <f t="shared" ref="E228:AJ228" si="655" xml:space="preserve"> E$222</f>
        <v>Accounts payable balance BEG</v>
      </c>
      <c r="F228" s="9">
        <f t="shared" si="655"/>
        <v>0</v>
      </c>
      <c r="G228" s="9" t="str">
        <f t="shared" si="655"/>
        <v>$ 000s</v>
      </c>
      <c r="H228" s="9">
        <f t="shared" si="655"/>
        <v>0</v>
      </c>
      <c r="I228" s="9">
        <f t="shared" si="655"/>
        <v>0</v>
      </c>
      <c r="J228" s="9">
        <f t="shared" si="655"/>
        <v>0</v>
      </c>
      <c r="K228" s="9">
        <f t="shared" si="655"/>
        <v>0</v>
      </c>
      <c r="L228" s="9">
        <f t="shared" si="655"/>
        <v>0</v>
      </c>
      <c r="M228" s="9">
        <f t="shared" si="655"/>
        <v>0</v>
      </c>
      <c r="N228" s="9">
        <f t="shared" si="655"/>
        <v>0</v>
      </c>
      <c r="O228" s="9">
        <f t="shared" si="655"/>
        <v>0</v>
      </c>
      <c r="P228" s="9">
        <f t="shared" si="655"/>
        <v>1058.9010260869563</v>
      </c>
      <c r="Q228" s="9">
        <f t="shared" si="655"/>
        <v>1076.4518718232048</v>
      </c>
      <c r="R228" s="9">
        <f t="shared" si="655"/>
        <v>1080.0790466086955</v>
      </c>
      <c r="S228" s="9">
        <f t="shared" si="655"/>
        <v>1097.9809092596688</v>
      </c>
      <c r="T228" s="9">
        <f t="shared" si="655"/>
        <v>1101.6806275408699</v>
      </c>
      <c r="U228" s="9">
        <f t="shared" si="655"/>
        <v>1119.9405274448618</v>
      </c>
      <c r="V228" s="9">
        <f t="shared" si="655"/>
        <v>1123.7142400916873</v>
      </c>
      <c r="W228" s="9">
        <f t="shared" si="655"/>
        <v>1136.0627482245627</v>
      </c>
      <c r="X228" s="9">
        <f t="shared" si="655"/>
        <v>1146.1885248935205</v>
      </c>
      <c r="Y228" s="9">
        <f t="shared" si="655"/>
        <v>1165.1861247536344</v>
      </c>
      <c r="Z228" s="9">
        <f t="shared" si="655"/>
        <v>1169.1122953913909</v>
      </c>
      <c r="AA228" s="9">
        <f t="shared" si="655"/>
        <v>1188.4898472487075</v>
      </c>
      <c r="AB228" s="9">
        <f t="shared" si="655"/>
        <v>1192.4945412992192</v>
      </c>
      <c r="AC228" s="9">
        <f t="shared" si="655"/>
        <v>1212.2596441936812</v>
      </c>
      <c r="AD228" s="9">
        <f t="shared" si="655"/>
        <v>1216.3444321252027</v>
      </c>
      <c r="AE228" s="9">
        <f t="shared" si="655"/>
        <v>1229.7108544562489</v>
      </c>
      <c r="AF228" s="9">
        <f t="shared" si="655"/>
        <v>1240.6713207677076</v>
      </c>
      <c r="AG228" s="9">
        <f t="shared" si="655"/>
        <v>1261.2349338191061</v>
      </c>
      <c r="AH228" s="9">
        <f t="shared" si="655"/>
        <v>1265.4847471830617</v>
      </c>
      <c r="AI228" s="9">
        <f t="shared" si="655"/>
        <v>1286.4596324954882</v>
      </c>
      <c r="AJ228" s="9">
        <f t="shared" si="655"/>
        <v>1290.794442126723</v>
      </c>
      <c r="AK228" s="9">
        <f t="shared" ref="AK228:BP228" si="656" xml:space="preserve"> AK$222</f>
        <v>1312.1888251453975</v>
      </c>
      <c r="AL228" s="9">
        <f t="shared" si="656"/>
        <v>1316.6103309692571</v>
      </c>
      <c r="AM228" s="9">
        <f t="shared" si="656"/>
        <v>1331.0785763645235</v>
      </c>
      <c r="AN228" s="9">
        <f t="shared" si="656"/>
        <v>1342.9425375886422</v>
      </c>
      <c r="AO228" s="9">
        <f t="shared" si="656"/>
        <v>1365.2012536812717</v>
      </c>
      <c r="AP228" s="9">
        <f t="shared" si="656"/>
        <v>1369.8013883404155</v>
      </c>
      <c r="AQ228" s="9">
        <f t="shared" si="656"/>
        <v>1392.5052787548975</v>
      </c>
      <c r="AR228" s="9">
        <f t="shared" si="656"/>
        <v>1397.197416107223</v>
      </c>
      <c r="AS228" s="9">
        <f t="shared" si="656"/>
        <v>1420.3553843299951</v>
      </c>
      <c r="AT228" s="9">
        <f t="shared" si="656"/>
        <v>1425.141364429368</v>
      </c>
      <c r="AU228" s="9">
        <f t="shared" si="656"/>
        <v>1440.8022585439758</v>
      </c>
      <c r="AV228" s="9">
        <f t="shared" si="656"/>
        <v>1453.6441917179554</v>
      </c>
      <c r="AW228" s="9">
        <f t="shared" si="656"/>
        <v>1477.7377418569267</v>
      </c>
      <c r="AX228" s="9">
        <f t="shared" si="656"/>
        <v>1482.7170755523148</v>
      </c>
      <c r="AY228" s="9">
        <f t="shared" si="656"/>
        <v>1507.2924966940654</v>
      </c>
      <c r="AZ228" s="9">
        <f t="shared" si="656"/>
        <v>1512.3714170633602</v>
      </c>
      <c r="BA228" s="9">
        <f t="shared" si="656"/>
        <v>1537.4383466279469</v>
      </c>
      <c r="BB228" s="9">
        <f t="shared" si="656"/>
        <v>1542.6188454046278</v>
      </c>
      <c r="BC228" s="9">
        <f t="shared" si="656"/>
        <v>0</v>
      </c>
      <c r="BD228" s="9">
        <f t="shared" si="656"/>
        <v>0</v>
      </c>
      <c r="BE228" s="9">
        <f t="shared" si="656"/>
        <v>0</v>
      </c>
      <c r="BF228" s="9">
        <f t="shared" si="656"/>
        <v>0</v>
      </c>
      <c r="BG228" s="9">
        <f t="shared" si="656"/>
        <v>0</v>
      </c>
      <c r="BH228" s="9">
        <f t="shared" si="656"/>
        <v>0</v>
      </c>
      <c r="BI228" s="9">
        <f t="shared" si="656"/>
        <v>0</v>
      </c>
      <c r="BJ228" s="9">
        <f t="shared" si="656"/>
        <v>0</v>
      </c>
      <c r="BK228" s="9">
        <f t="shared" si="656"/>
        <v>0</v>
      </c>
      <c r="BL228" s="9">
        <f t="shared" si="656"/>
        <v>0</v>
      </c>
      <c r="BM228" s="9">
        <f t="shared" si="656"/>
        <v>0</v>
      </c>
      <c r="BN228" s="9">
        <f t="shared" si="656"/>
        <v>0</v>
      </c>
      <c r="BO228" s="9">
        <f t="shared" si="656"/>
        <v>0</v>
      </c>
      <c r="BP228" s="9">
        <f t="shared" si="656"/>
        <v>0</v>
      </c>
      <c r="BQ228" s="9">
        <f t="shared" ref="BQ228:CV228" si="657" xml:space="preserve"> BQ$222</f>
        <v>0</v>
      </c>
      <c r="BR228" s="9">
        <f t="shared" si="657"/>
        <v>0</v>
      </c>
      <c r="BS228" s="9">
        <f t="shared" si="657"/>
        <v>0</v>
      </c>
      <c r="BT228" s="9">
        <f t="shared" si="657"/>
        <v>0</v>
      </c>
      <c r="BU228" s="9">
        <f t="shared" si="657"/>
        <v>0</v>
      </c>
      <c r="BV228" s="9">
        <f t="shared" si="657"/>
        <v>0</v>
      </c>
      <c r="BW228" s="9">
        <f t="shared" si="657"/>
        <v>0</v>
      </c>
      <c r="BX228" s="9">
        <f t="shared" si="657"/>
        <v>0</v>
      </c>
      <c r="BY228" s="9">
        <f t="shared" si="657"/>
        <v>0</v>
      </c>
      <c r="BZ228" s="9">
        <f t="shared" si="657"/>
        <v>0</v>
      </c>
      <c r="CA228" s="9">
        <f t="shared" si="657"/>
        <v>0</v>
      </c>
      <c r="CB228" s="9">
        <f t="shared" si="657"/>
        <v>0</v>
      </c>
      <c r="CC228" s="9">
        <f t="shared" si="657"/>
        <v>0</v>
      </c>
      <c r="CD228" s="9">
        <f t="shared" si="657"/>
        <v>0</v>
      </c>
      <c r="CE228" s="9">
        <f t="shared" si="657"/>
        <v>0</v>
      </c>
      <c r="CF228" s="9">
        <f t="shared" si="657"/>
        <v>0</v>
      </c>
      <c r="CG228" s="9">
        <f t="shared" si="657"/>
        <v>0</v>
      </c>
      <c r="CH228" s="9">
        <f t="shared" si="657"/>
        <v>0</v>
      </c>
      <c r="CI228" s="9">
        <f t="shared" si="657"/>
        <v>0</v>
      </c>
      <c r="CJ228" s="9">
        <f t="shared" si="657"/>
        <v>0</v>
      </c>
      <c r="CK228" s="9">
        <f t="shared" si="657"/>
        <v>0</v>
      </c>
      <c r="CL228" s="9">
        <f t="shared" si="657"/>
        <v>0</v>
      </c>
      <c r="CM228" s="9">
        <f t="shared" si="657"/>
        <v>0</v>
      </c>
      <c r="CN228" s="9">
        <f t="shared" si="657"/>
        <v>0</v>
      </c>
      <c r="CO228" s="9">
        <f t="shared" si="657"/>
        <v>0</v>
      </c>
      <c r="CP228" s="9">
        <f t="shared" si="657"/>
        <v>0</v>
      </c>
      <c r="CQ228" s="9">
        <f t="shared" si="657"/>
        <v>0</v>
      </c>
      <c r="CR228" s="9">
        <f t="shared" si="657"/>
        <v>0</v>
      </c>
      <c r="CS228" s="9">
        <f t="shared" si="657"/>
        <v>0</v>
      </c>
      <c r="CT228" s="9">
        <f t="shared" si="657"/>
        <v>0</v>
      </c>
      <c r="CU228" s="9">
        <f t="shared" si="657"/>
        <v>0</v>
      </c>
      <c r="CV228" s="9">
        <f t="shared" si="657"/>
        <v>0</v>
      </c>
    </row>
    <row r="229" spans="1:100" outlineLevel="2" x14ac:dyDescent="0.2">
      <c r="A229" s="236"/>
      <c r="B229" s="236"/>
      <c r="C229" s="237"/>
      <c r="D229" s="238"/>
      <c r="E229" s="9" t="str">
        <f t="shared" ref="E229:AJ229" si="658" xml:space="preserve"> E$225</f>
        <v>Accounts payable balance</v>
      </c>
      <c r="F229" s="9">
        <f t="shared" si="658"/>
        <v>0</v>
      </c>
      <c r="G229" s="9" t="str">
        <f t="shared" si="658"/>
        <v>$ 000s</v>
      </c>
      <c r="H229" s="9">
        <f t="shared" si="658"/>
        <v>0</v>
      </c>
      <c r="I229" s="9">
        <f t="shared" si="658"/>
        <v>0</v>
      </c>
      <c r="J229" s="9">
        <f t="shared" si="658"/>
        <v>0</v>
      </c>
      <c r="K229" s="9">
        <f t="shared" si="658"/>
        <v>0</v>
      </c>
      <c r="L229" s="9">
        <f t="shared" si="658"/>
        <v>0</v>
      </c>
      <c r="M229" s="9">
        <f t="shared" si="658"/>
        <v>0</v>
      </c>
      <c r="N229" s="9">
        <f t="shared" si="658"/>
        <v>0</v>
      </c>
      <c r="O229" s="9">
        <f t="shared" si="658"/>
        <v>1058.9010260869563</v>
      </c>
      <c r="P229" s="9">
        <f t="shared" si="658"/>
        <v>1076.4518718232048</v>
      </c>
      <c r="Q229" s="9">
        <f t="shared" si="658"/>
        <v>1080.0790466086955</v>
      </c>
      <c r="R229" s="9">
        <f t="shared" si="658"/>
        <v>1097.9809092596688</v>
      </c>
      <c r="S229" s="9">
        <f t="shared" si="658"/>
        <v>1101.6806275408699</v>
      </c>
      <c r="T229" s="9">
        <f t="shared" si="658"/>
        <v>1119.9405274448618</v>
      </c>
      <c r="U229" s="9">
        <f t="shared" si="658"/>
        <v>1123.7142400916873</v>
      </c>
      <c r="V229" s="9">
        <f t="shared" si="658"/>
        <v>1136.0627482245627</v>
      </c>
      <c r="W229" s="9">
        <f t="shared" si="658"/>
        <v>1146.1885248935205</v>
      </c>
      <c r="X229" s="9">
        <f t="shared" si="658"/>
        <v>1165.1861247536344</v>
      </c>
      <c r="Y229" s="9">
        <f t="shared" si="658"/>
        <v>1169.1122953913909</v>
      </c>
      <c r="Z229" s="9">
        <f t="shared" si="658"/>
        <v>1188.4898472487075</v>
      </c>
      <c r="AA229" s="9">
        <f t="shared" si="658"/>
        <v>1192.4945412992192</v>
      </c>
      <c r="AB229" s="9">
        <f t="shared" si="658"/>
        <v>1212.2596441936812</v>
      </c>
      <c r="AC229" s="9">
        <f t="shared" si="658"/>
        <v>1216.3444321252027</v>
      </c>
      <c r="AD229" s="9">
        <f t="shared" si="658"/>
        <v>1229.7108544562489</v>
      </c>
      <c r="AE229" s="9">
        <f t="shared" si="658"/>
        <v>1240.6713207677076</v>
      </c>
      <c r="AF229" s="9">
        <f t="shared" si="658"/>
        <v>1261.2349338191061</v>
      </c>
      <c r="AG229" s="9">
        <f t="shared" si="658"/>
        <v>1265.4847471830617</v>
      </c>
      <c r="AH229" s="9">
        <f t="shared" si="658"/>
        <v>1286.4596324954882</v>
      </c>
      <c r="AI229" s="9">
        <f t="shared" si="658"/>
        <v>1290.794442126723</v>
      </c>
      <c r="AJ229" s="9">
        <f t="shared" si="658"/>
        <v>1312.1888251453975</v>
      </c>
      <c r="AK229" s="9">
        <f t="shared" ref="AK229:BP229" si="659" xml:space="preserve"> AK$225</f>
        <v>1316.6103309692571</v>
      </c>
      <c r="AL229" s="9">
        <f t="shared" si="659"/>
        <v>1331.0785763645235</v>
      </c>
      <c r="AM229" s="9">
        <f t="shared" si="659"/>
        <v>1342.9425375886422</v>
      </c>
      <c r="AN229" s="9">
        <f t="shared" si="659"/>
        <v>1365.2012536812717</v>
      </c>
      <c r="AO229" s="9">
        <f t="shared" si="659"/>
        <v>1369.8013883404155</v>
      </c>
      <c r="AP229" s="9">
        <f t="shared" si="659"/>
        <v>1392.5052787548975</v>
      </c>
      <c r="AQ229" s="9">
        <f t="shared" si="659"/>
        <v>1397.197416107223</v>
      </c>
      <c r="AR229" s="9">
        <f t="shared" si="659"/>
        <v>1420.3553843299951</v>
      </c>
      <c r="AS229" s="9">
        <f t="shared" si="659"/>
        <v>1425.141364429368</v>
      </c>
      <c r="AT229" s="9">
        <f t="shared" si="659"/>
        <v>1440.8022585439758</v>
      </c>
      <c r="AU229" s="9">
        <f t="shared" si="659"/>
        <v>1453.6441917179554</v>
      </c>
      <c r="AV229" s="9">
        <f t="shared" si="659"/>
        <v>1477.7377418569267</v>
      </c>
      <c r="AW229" s="9">
        <f t="shared" si="659"/>
        <v>1482.7170755523148</v>
      </c>
      <c r="AX229" s="9">
        <f t="shared" si="659"/>
        <v>1507.2924966940654</v>
      </c>
      <c r="AY229" s="9">
        <f t="shared" si="659"/>
        <v>1512.3714170633602</v>
      </c>
      <c r="AZ229" s="9">
        <f t="shared" si="659"/>
        <v>1537.4383466279469</v>
      </c>
      <c r="BA229" s="9">
        <f t="shared" si="659"/>
        <v>1542.6188454046278</v>
      </c>
      <c r="BB229" s="9">
        <f t="shared" si="659"/>
        <v>0</v>
      </c>
      <c r="BC229" s="9">
        <f t="shared" si="659"/>
        <v>0</v>
      </c>
      <c r="BD229" s="9">
        <f t="shared" si="659"/>
        <v>0</v>
      </c>
      <c r="BE229" s="9">
        <f t="shared" si="659"/>
        <v>0</v>
      </c>
      <c r="BF229" s="9">
        <f t="shared" si="659"/>
        <v>0</v>
      </c>
      <c r="BG229" s="9">
        <f t="shared" si="659"/>
        <v>0</v>
      </c>
      <c r="BH229" s="9">
        <f t="shared" si="659"/>
        <v>0</v>
      </c>
      <c r="BI229" s="9">
        <f t="shared" si="659"/>
        <v>0</v>
      </c>
      <c r="BJ229" s="9">
        <f t="shared" si="659"/>
        <v>0</v>
      </c>
      <c r="BK229" s="9">
        <f t="shared" si="659"/>
        <v>0</v>
      </c>
      <c r="BL229" s="9">
        <f t="shared" si="659"/>
        <v>0</v>
      </c>
      <c r="BM229" s="9">
        <f t="shared" si="659"/>
        <v>0</v>
      </c>
      <c r="BN229" s="9">
        <f t="shared" si="659"/>
        <v>0</v>
      </c>
      <c r="BO229" s="9">
        <f t="shared" si="659"/>
        <v>0</v>
      </c>
      <c r="BP229" s="9">
        <f t="shared" si="659"/>
        <v>0</v>
      </c>
      <c r="BQ229" s="9">
        <f t="shared" ref="BQ229:CV229" si="660" xml:space="preserve"> BQ$225</f>
        <v>0</v>
      </c>
      <c r="BR229" s="9">
        <f t="shared" si="660"/>
        <v>0</v>
      </c>
      <c r="BS229" s="9">
        <f t="shared" si="660"/>
        <v>0</v>
      </c>
      <c r="BT229" s="9">
        <f t="shared" si="660"/>
        <v>0</v>
      </c>
      <c r="BU229" s="9">
        <f t="shared" si="660"/>
        <v>0</v>
      </c>
      <c r="BV229" s="9">
        <f t="shared" si="660"/>
        <v>0</v>
      </c>
      <c r="BW229" s="9">
        <f t="shared" si="660"/>
        <v>0</v>
      </c>
      <c r="BX229" s="9">
        <f t="shared" si="660"/>
        <v>0</v>
      </c>
      <c r="BY229" s="9">
        <f t="shared" si="660"/>
        <v>0</v>
      </c>
      <c r="BZ229" s="9">
        <f t="shared" si="660"/>
        <v>0</v>
      </c>
      <c r="CA229" s="9">
        <f t="shared" si="660"/>
        <v>0</v>
      </c>
      <c r="CB229" s="9">
        <f t="shared" si="660"/>
        <v>0</v>
      </c>
      <c r="CC229" s="9">
        <f t="shared" si="660"/>
        <v>0</v>
      </c>
      <c r="CD229" s="9">
        <f t="shared" si="660"/>
        <v>0</v>
      </c>
      <c r="CE229" s="9">
        <f t="shared" si="660"/>
        <v>0</v>
      </c>
      <c r="CF229" s="9">
        <f t="shared" si="660"/>
        <v>0</v>
      </c>
      <c r="CG229" s="9">
        <f t="shared" si="660"/>
        <v>0</v>
      </c>
      <c r="CH229" s="9">
        <f t="shared" si="660"/>
        <v>0</v>
      </c>
      <c r="CI229" s="9">
        <f t="shared" si="660"/>
        <v>0</v>
      </c>
      <c r="CJ229" s="9">
        <f t="shared" si="660"/>
        <v>0</v>
      </c>
      <c r="CK229" s="9">
        <f t="shared" si="660"/>
        <v>0</v>
      </c>
      <c r="CL229" s="9">
        <f t="shared" si="660"/>
        <v>0</v>
      </c>
      <c r="CM229" s="9">
        <f t="shared" si="660"/>
        <v>0</v>
      </c>
      <c r="CN229" s="9">
        <f t="shared" si="660"/>
        <v>0</v>
      </c>
      <c r="CO229" s="9">
        <f t="shared" si="660"/>
        <v>0</v>
      </c>
      <c r="CP229" s="9">
        <f t="shared" si="660"/>
        <v>0</v>
      </c>
      <c r="CQ229" s="9">
        <f t="shared" si="660"/>
        <v>0</v>
      </c>
      <c r="CR229" s="9">
        <f t="shared" si="660"/>
        <v>0</v>
      </c>
      <c r="CS229" s="9">
        <f t="shared" si="660"/>
        <v>0</v>
      </c>
      <c r="CT229" s="9">
        <f t="shared" si="660"/>
        <v>0</v>
      </c>
      <c r="CU229" s="9">
        <f t="shared" si="660"/>
        <v>0</v>
      </c>
      <c r="CV229" s="9">
        <f t="shared" si="660"/>
        <v>0</v>
      </c>
    </row>
    <row r="230" spans="1:100" outlineLevel="2" x14ac:dyDescent="0.2">
      <c r="A230" s="236"/>
      <c r="B230" s="236"/>
      <c r="C230" s="237"/>
      <c r="D230" s="238"/>
      <c r="E230" s="396" t="str">
        <f xml:space="preserve"> Time!E$106</f>
        <v>Operating period flag</v>
      </c>
      <c r="F230" s="396">
        <f xml:space="preserve"> Time!F$106</f>
        <v>0</v>
      </c>
      <c r="G230" s="396" t="str">
        <f xml:space="preserve"> Time!G$106</f>
        <v>flag</v>
      </c>
      <c r="H230" s="396">
        <f xml:space="preserve"> Time!H$106</f>
        <v>40</v>
      </c>
      <c r="I230" s="396">
        <f xml:space="preserve"> Time!I$106</f>
        <v>0</v>
      </c>
      <c r="J230" s="396">
        <f xml:space="preserve"> Time!J$106</f>
        <v>0</v>
      </c>
      <c r="K230" s="396">
        <f xml:space="preserve"> Time!K$106</f>
        <v>0</v>
      </c>
      <c r="L230" s="396">
        <f xml:space="preserve"> Time!L$106</f>
        <v>0</v>
      </c>
      <c r="M230" s="396">
        <f xml:space="preserve"> Time!M$106</f>
        <v>0</v>
      </c>
      <c r="N230" s="396">
        <f xml:space="preserve"> Time!N$106</f>
        <v>0</v>
      </c>
      <c r="O230" s="396">
        <f xml:space="preserve"> Time!O$106</f>
        <v>1</v>
      </c>
      <c r="P230" s="396">
        <f xml:space="preserve"> Time!P$106</f>
        <v>1</v>
      </c>
      <c r="Q230" s="396">
        <f xml:space="preserve"> Time!Q$106</f>
        <v>1</v>
      </c>
      <c r="R230" s="396">
        <f xml:space="preserve"> Time!R$106</f>
        <v>1</v>
      </c>
      <c r="S230" s="396">
        <f xml:space="preserve"> Time!S$106</f>
        <v>1</v>
      </c>
      <c r="T230" s="396">
        <f xml:space="preserve"> Time!T$106</f>
        <v>1</v>
      </c>
      <c r="U230" s="396">
        <f xml:space="preserve"> Time!U$106</f>
        <v>1</v>
      </c>
      <c r="V230" s="396">
        <f xml:space="preserve"> Time!V$106</f>
        <v>1</v>
      </c>
      <c r="W230" s="396">
        <f xml:space="preserve"> Time!W$106</f>
        <v>1</v>
      </c>
      <c r="X230" s="396">
        <f xml:space="preserve"> Time!X$106</f>
        <v>1</v>
      </c>
      <c r="Y230" s="396">
        <f xml:space="preserve"> Time!Y$106</f>
        <v>1</v>
      </c>
      <c r="Z230" s="396">
        <f xml:space="preserve"> Time!Z$106</f>
        <v>1</v>
      </c>
      <c r="AA230" s="396">
        <f xml:space="preserve"> Time!AA$106</f>
        <v>1</v>
      </c>
      <c r="AB230" s="396">
        <f xml:space="preserve"> Time!AB$106</f>
        <v>1</v>
      </c>
      <c r="AC230" s="396">
        <f xml:space="preserve"> Time!AC$106</f>
        <v>1</v>
      </c>
      <c r="AD230" s="396">
        <f xml:space="preserve"> Time!AD$106</f>
        <v>1</v>
      </c>
      <c r="AE230" s="396">
        <f xml:space="preserve"> Time!AE$106</f>
        <v>1</v>
      </c>
      <c r="AF230" s="396">
        <f xml:space="preserve"> Time!AF$106</f>
        <v>1</v>
      </c>
      <c r="AG230" s="396">
        <f xml:space="preserve"> Time!AG$106</f>
        <v>1</v>
      </c>
      <c r="AH230" s="396">
        <f xml:space="preserve"> Time!AH$106</f>
        <v>1</v>
      </c>
      <c r="AI230" s="396">
        <f xml:space="preserve"> Time!AI$106</f>
        <v>1</v>
      </c>
      <c r="AJ230" s="396">
        <f xml:space="preserve"> Time!AJ$106</f>
        <v>1</v>
      </c>
      <c r="AK230" s="396">
        <f xml:space="preserve"> Time!AK$106</f>
        <v>1</v>
      </c>
      <c r="AL230" s="396">
        <f xml:space="preserve"> Time!AL$106</f>
        <v>1</v>
      </c>
      <c r="AM230" s="396">
        <f xml:space="preserve"> Time!AM$106</f>
        <v>1</v>
      </c>
      <c r="AN230" s="396">
        <f xml:space="preserve"> Time!AN$106</f>
        <v>1</v>
      </c>
      <c r="AO230" s="396">
        <f xml:space="preserve"> Time!AO$106</f>
        <v>1</v>
      </c>
      <c r="AP230" s="396">
        <f xml:space="preserve"> Time!AP$106</f>
        <v>1</v>
      </c>
      <c r="AQ230" s="396">
        <f xml:space="preserve"> Time!AQ$106</f>
        <v>1</v>
      </c>
      <c r="AR230" s="396">
        <f xml:space="preserve"> Time!AR$106</f>
        <v>1</v>
      </c>
      <c r="AS230" s="396">
        <f xml:space="preserve"> Time!AS$106</f>
        <v>1</v>
      </c>
      <c r="AT230" s="396">
        <f xml:space="preserve"> Time!AT$106</f>
        <v>1</v>
      </c>
      <c r="AU230" s="396">
        <f xml:space="preserve"> Time!AU$106</f>
        <v>1</v>
      </c>
      <c r="AV230" s="396">
        <f xml:space="preserve"> Time!AV$106</f>
        <v>1</v>
      </c>
      <c r="AW230" s="396">
        <f xml:space="preserve"> Time!AW$106</f>
        <v>1</v>
      </c>
      <c r="AX230" s="396">
        <f xml:space="preserve"> Time!AX$106</f>
        <v>1</v>
      </c>
      <c r="AY230" s="396">
        <f xml:space="preserve"> Time!AY$106</f>
        <v>1</v>
      </c>
      <c r="AZ230" s="396">
        <f xml:space="preserve"> Time!AZ$106</f>
        <v>1</v>
      </c>
      <c r="BA230" s="396">
        <f xml:space="preserve"> Time!BA$106</f>
        <v>1</v>
      </c>
      <c r="BB230" s="396">
        <f xml:space="preserve"> Time!BB$106</f>
        <v>1</v>
      </c>
      <c r="BC230" s="396">
        <f xml:space="preserve"> Time!BC$106</f>
        <v>0</v>
      </c>
      <c r="BD230" s="396">
        <f xml:space="preserve"> Time!BD$106</f>
        <v>0</v>
      </c>
      <c r="BE230" s="396">
        <f xml:space="preserve"> Time!BE$106</f>
        <v>0</v>
      </c>
      <c r="BF230" s="396">
        <f xml:space="preserve"> Time!BF$106</f>
        <v>0</v>
      </c>
      <c r="BG230" s="396">
        <f xml:space="preserve"> Time!BG$106</f>
        <v>0</v>
      </c>
      <c r="BH230" s="396">
        <f xml:space="preserve"> Time!BH$106</f>
        <v>0</v>
      </c>
      <c r="BI230" s="396">
        <f xml:space="preserve"> Time!BI$106</f>
        <v>0</v>
      </c>
      <c r="BJ230" s="396">
        <f xml:space="preserve"> Time!BJ$106</f>
        <v>0</v>
      </c>
      <c r="BK230" s="396">
        <f xml:space="preserve"> Time!BK$106</f>
        <v>0</v>
      </c>
      <c r="BL230" s="396">
        <f xml:space="preserve"> Time!BL$106</f>
        <v>0</v>
      </c>
      <c r="BM230" s="396">
        <f xml:space="preserve"> Time!BM$106</f>
        <v>0</v>
      </c>
      <c r="BN230" s="396">
        <f xml:space="preserve"> Time!BN$106</f>
        <v>0</v>
      </c>
      <c r="BO230" s="396">
        <f xml:space="preserve"> Time!BO$106</f>
        <v>0</v>
      </c>
      <c r="BP230" s="396">
        <f xml:space="preserve"> Time!BP$106</f>
        <v>0</v>
      </c>
      <c r="BQ230" s="396">
        <f xml:space="preserve"> Time!BQ$106</f>
        <v>0</v>
      </c>
      <c r="BR230" s="396">
        <f xml:space="preserve"> Time!BR$106</f>
        <v>0</v>
      </c>
      <c r="BS230" s="396">
        <f xml:space="preserve"> Time!BS$106</f>
        <v>0</v>
      </c>
      <c r="BT230" s="396">
        <f xml:space="preserve"> Time!BT$106</f>
        <v>0</v>
      </c>
      <c r="BU230" s="396">
        <f xml:space="preserve"> Time!BU$106</f>
        <v>0</v>
      </c>
      <c r="BV230" s="396">
        <f xml:space="preserve"> Time!BV$106</f>
        <v>0</v>
      </c>
      <c r="BW230" s="396">
        <f xml:space="preserve"> Time!BW$106</f>
        <v>0</v>
      </c>
      <c r="BX230" s="396">
        <f xml:space="preserve"> Time!BX$106</f>
        <v>0</v>
      </c>
      <c r="BY230" s="396">
        <f xml:space="preserve"> Time!BY$106</f>
        <v>0</v>
      </c>
      <c r="BZ230" s="396">
        <f xml:space="preserve"> Time!BZ$106</f>
        <v>0</v>
      </c>
      <c r="CA230" s="396">
        <f xml:space="preserve"> Time!CA$106</f>
        <v>0</v>
      </c>
      <c r="CB230" s="396">
        <f xml:space="preserve"> Time!CB$106</f>
        <v>0</v>
      </c>
      <c r="CC230" s="396">
        <f xml:space="preserve"> Time!CC$106</f>
        <v>0</v>
      </c>
      <c r="CD230" s="396">
        <f xml:space="preserve"> Time!CD$106</f>
        <v>0</v>
      </c>
      <c r="CE230" s="396">
        <f xml:space="preserve"> Time!CE$106</f>
        <v>0</v>
      </c>
      <c r="CF230" s="396">
        <f xml:space="preserve"> Time!CF$106</f>
        <v>0</v>
      </c>
      <c r="CG230" s="396">
        <f xml:space="preserve"> Time!CG$106</f>
        <v>0</v>
      </c>
      <c r="CH230" s="396">
        <f xml:space="preserve"> Time!CH$106</f>
        <v>0</v>
      </c>
      <c r="CI230" s="396">
        <f xml:space="preserve"> Time!CI$106</f>
        <v>0</v>
      </c>
      <c r="CJ230" s="396">
        <f xml:space="preserve"> Time!CJ$106</f>
        <v>0</v>
      </c>
      <c r="CK230" s="396">
        <f xml:space="preserve"> Time!CK$106</f>
        <v>0</v>
      </c>
      <c r="CL230" s="396">
        <f xml:space="preserve"> Time!CL$106</f>
        <v>0</v>
      </c>
      <c r="CM230" s="396">
        <f xml:space="preserve"> Time!CM$106</f>
        <v>0</v>
      </c>
      <c r="CN230" s="396">
        <f xml:space="preserve"> Time!CN$106</f>
        <v>0</v>
      </c>
      <c r="CO230" s="396">
        <f xml:space="preserve"> Time!CO$106</f>
        <v>0</v>
      </c>
      <c r="CP230" s="396">
        <f xml:space="preserve"> Time!CP$106</f>
        <v>0</v>
      </c>
      <c r="CQ230" s="396">
        <f xml:space="preserve"> Time!CQ$106</f>
        <v>0</v>
      </c>
      <c r="CR230" s="396">
        <f xml:space="preserve"> Time!CR$106</f>
        <v>0</v>
      </c>
      <c r="CS230" s="396">
        <f xml:space="preserve"> Time!CS$106</f>
        <v>0</v>
      </c>
      <c r="CT230" s="396">
        <f xml:space="preserve"> Time!CT$106</f>
        <v>0</v>
      </c>
      <c r="CU230" s="396">
        <f xml:space="preserve"> Time!CU$106</f>
        <v>0</v>
      </c>
      <c r="CV230" s="396">
        <f xml:space="preserve"> Time!CV$106</f>
        <v>0</v>
      </c>
    </row>
    <row r="231" spans="1:100" outlineLevel="2" x14ac:dyDescent="0.2">
      <c r="A231" s="236"/>
      <c r="B231" s="236"/>
      <c r="C231" s="237"/>
      <c r="D231" s="238"/>
      <c r="E231" s="235" t="s">
        <v>425</v>
      </c>
      <c r="F231" s="235"/>
      <c r="G231" s="235" t="str">
        <f xml:space="preserve"> SMU</f>
        <v>$ 000s</v>
      </c>
      <c r="H231" s="235">
        <f xml:space="preserve"> SUM(J231:CV231)</f>
        <v>0</v>
      </c>
      <c r="I231" s="235"/>
      <c r="J231" s="235">
        <f t="shared" ref="J231:AO231" si="661" xml:space="preserve"> (J229 - J228) * J230</f>
        <v>0</v>
      </c>
      <c r="K231" s="235">
        <f t="shared" si="661"/>
        <v>0</v>
      </c>
      <c r="L231" s="235">
        <f t="shared" si="661"/>
        <v>0</v>
      </c>
      <c r="M231" s="235">
        <f t="shared" si="661"/>
        <v>0</v>
      </c>
      <c r="N231" s="235">
        <f t="shared" si="661"/>
        <v>0</v>
      </c>
      <c r="O231" s="235">
        <f t="shared" si="661"/>
        <v>1058.9010260869563</v>
      </c>
      <c r="P231" s="235">
        <f t="shared" si="661"/>
        <v>17.550845736248448</v>
      </c>
      <c r="Q231" s="235">
        <f t="shared" si="661"/>
        <v>3.6271747854907517</v>
      </c>
      <c r="R231" s="235">
        <f t="shared" si="661"/>
        <v>17.901862650973271</v>
      </c>
      <c r="S231" s="235">
        <f t="shared" si="661"/>
        <v>3.6997182812010578</v>
      </c>
      <c r="T231" s="235">
        <f t="shared" si="661"/>
        <v>18.259899903991936</v>
      </c>
      <c r="U231" s="235">
        <f t="shared" si="661"/>
        <v>3.7737126468255155</v>
      </c>
      <c r="V231" s="235">
        <f t="shared" si="661"/>
        <v>12.348508132875395</v>
      </c>
      <c r="W231" s="235">
        <f t="shared" si="661"/>
        <v>10.125776668957769</v>
      </c>
      <c r="X231" s="235">
        <f t="shared" si="661"/>
        <v>18.997599860113951</v>
      </c>
      <c r="Y231" s="235">
        <f t="shared" si="661"/>
        <v>3.9261706377565133</v>
      </c>
      <c r="Z231" s="235">
        <f t="shared" si="661"/>
        <v>19.377551857316575</v>
      </c>
      <c r="AA231" s="235">
        <f t="shared" si="661"/>
        <v>4.0046940505117163</v>
      </c>
      <c r="AB231" s="235">
        <f t="shared" si="661"/>
        <v>19.765102894461961</v>
      </c>
      <c r="AC231" s="235">
        <f t="shared" si="661"/>
        <v>4.0847879315215323</v>
      </c>
      <c r="AD231" s="235">
        <f t="shared" si="661"/>
        <v>13.366422331046124</v>
      </c>
      <c r="AE231" s="235">
        <f t="shared" si="661"/>
        <v>10.960466311458731</v>
      </c>
      <c r="AF231" s="235">
        <f t="shared" si="661"/>
        <v>20.563613051398534</v>
      </c>
      <c r="AG231" s="235">
        <f t="shared" si="661"/>
        <v>4.2498133639555817</v>
      </c>
      <c r="AH231" s="235">
        <f t="shared" si="661"/>
        <v>20.974885312426522</v>
      </c>
      <c r="AI231" s="235">
        <f t="shared" si="661"/>
        <v>4.3348096312347479</v>
      </c>
      <c r="AJ231" s="235">
        <f t="shared" si="661"/>
        <v>21.394383018674489</v>
      </c>
      <c r="AK231" s="235">
        <f t="shared" si="661"/>
        <v>4.4215058238596612</v>
      </c>
      <c r="AL231" s="235">
        <f t="shared" si="661"/>
        <v>14.468245395266422</v>
      </c>
      <c r="AM231" s="235">
        <f t="shared" si="661"/>
        <v>11.863961224118611</v>
      </c>
      <c r="AN231" s="235">
        <f t="shared" si="661"/>
        <v>22.258716092629584</v>
      </c>
      <c r="AO231" s="235">
        <f t="shared" si="661"/>
        <v>4.600134659143805</v>
      </c>
      <c r="AP231" s="235">
        <f t="shared" ref="AP231:BU231" si="662" xml:space="preserve"> (AP229 - AP228) * AP230</f>
        <v>22.703890414481975</v>
      </c>
      <c r="AQ231" s="235">
        <f t="shared" si="662"/>
        <v>4.692137352325517</v>
      </c>
      <c r="AR231" s="235">
        <f t="shared" si="662"/>
        <v>23.15796822277207</v>
      </c>
      <c r="AS231" s="235">
        <f t="shared" si="662"/>
        <v>4.7859800993728641</v>
      </c>
      <c r="AT231" s="235">
        <f t="shared" si="662"/>
        <v>15.6608941146078</v>
      </c>
      <c r="AU231" s="235">
        <f t="shared" si="662"/>
        <v>12.841933173979669</v>
      </c>
      <c r="AV231" s="235">
        <f t="shared" si="662"/>
        <v>24.093550138971295</v>
      </c>
      <c r="AW231" s="235">
        <f t="shared" si="662"/>
        <v>4.9793336953880498</v>
      </c>
      <c r="AX231" s="235">
        <f t="shared" si="662"/>
        <v>24.575421141750667</v>
      </c>
      <c r="AY231" s="235">
        <f t="shared" si="662"/>
        <v>5.0789203692947922</v>
      </c>
      <c r="AZ231" s="235">
        <f t="shared" si="662"/>
        <v>25.066929564586644</v>
      </c>
      <c r="BA231" s="235">
        <f t="shared" si="662"/>
        <v>5.1804987766809063</v>
      </c>
      <c r="BB231" s="235">
        <f t="shared" si="662"/>
        <v>-1542.6188454046278</v>
      </c>
      <c r="BC231" s="235">
        <f t="shared" si="662"/>
        <v>0</v>
      </c>
      <c r="BD231" s="235">
        <f t="shared" si="662"/>
        <v>0</v>
      </c>
      <c r="BE231" s="235">
        <f t="shared" si="662"/>
        <v>0</v>
      </c>
      <c r="BF231" s="235">
        <f t="shared" si="662"/>
        <v>0</v>
      </c>
      <c r="BG231" s="235">
        <f t="shared" si="662"/>
        <v>0</v>
      </c>
      <c r="BH231" s="235">
        <f t="shared" si="662"/>
        <v>0</v>
      </c>
      <c r="BI231" s="235">
        <f t="shared" si="662"/>
        <v>0</v>
      </c>
      <c r="BJ231" s="235">
        <f t="shared" si="662"/>
        <v>0</v>
      </c>
      <c r="BK231" s="235">
        <f t="shared" si="662"/>
        <v>0</v>
      </c>
      <c r="BL231" s="235">
        <f t="shared" si="662"/>
        <v>0</v>
      </c>
      <c r="BM231" s="235">
        <f t="shared" si="662"/>
        <v>0</v>
      </c>
      <c r="BN231" s="235">
        <f t="shared" si="662"/>
        <v>0</v>
      </c>
      <c r="BO231" s="235">
        <f t="shared" si="662"/>
        <v>0</v>
      </c>
      <c r="BP231" s="235">
        <f t="shared" si="662"/>
        <v>0</v>
      </c>
      <c r="BQ231" s="235">
        <f t="shared" si="662"/>
        <v>0</v>
      </c>
      <c r="BR231" s="235">
        <f t="shared" si="662"/>
        <v>0</v>
      </c>
      <c r="BS231" s="235">
        <f t="shared" si="662"/>
        <v>0</v>
      </c>
      <c r="BT231" s="235">
        <f t="shared" si="662"/>
        <v>0</v>
      </c>
      <c r="BU231" s="235">
        <f t="shared" si="662"/>
        <v>0</v>
      </c>
      <c r="BV231" s="235">
        <f t="shared" ref="BV231:CV231" si="663" xml:space="preserve"> (BV229 - BV228) * BV230</f>
        <v>0</v>
      </c>
      <c r="BW231" s="235">
        <f t="shared" si="663"/>
        <v>0</v>
      </c>
      <c r="BX231" s="235">
        <f t="shared" si="663"/>
        <v>0</v>
      </c>
      <c r="BY231" s="235">
        <f t="shared" si="663"/>
        <v>0</v>
      </c>
      <c r="BZ231" s="235">
        <f t="shared" si="663"/>
        <v>0</v>
      </c>
      <c r="CA231" s="235">
        <f t="shared" si="663"/>
        <v>0</v>
      </c>
      <c r="CB231" s="235">
        <f t="shared" si="663"/>
        <v>0</v>
      </c>
      <c r="CC231" s="235">
        <f t="shared" si="663"/>
        <v>0</v>
      </c>
      <c r="CD231" s="235">
        <f t="shared" si="663"/>
        <v>0</v>
      </c>
      <c r="CE231" s="235">
        <f t="shared" si="663"/>
        <v>0</v>
      </c>
      <c r="CF231" s="235">
        <f t="shared" si="663"/>
        <v>0</v>
      </c>
      <c r="CG231" s="235">
        <f t="shared" si="663"/>
        <v>0</v>
      </c>
      <c r="CH231" s="235">
        <f t="shared" si="663"/>
        <v>0</v>
      </c>
      <c r="CI231" s="235">
        <f t="shared" si="663"/>
        <v>0</v>
      </c>
      <c r="CJ231" s="235">
        <f t="shared" si="663"/>
        <v>0</v>
      </c>
      <c r="CK231" s="235">
        <f t="shared" si="663"/>
        <v>0</v>
      </c>
      <c r="CL231" s="235">
        <f t="shared" si="663"/>
        <v>0</v>
      </c>
      <c r="CM231" s="235">
        <f t="shared" si="663"/>
        <v>0</v>
      </c>
      <c r="CN231" s="235">
        <f t="shared" si="663"/>
        <v>0</v>
      </c>
      <c r="CO231" s="235">
        <f t="shared" si="663"/>
        <v>0</v>
      </c>
      <c r="CP231" s="235">
        <f t="shared" si="663"/>
        <v>0</v>
      </c>
      <c r="CQ231" s="235">
        <f t="shared" si="663"/>
        <v>0</v>
      </c>
      <c r="CR231" s="235">
        <f t="shared" si="663"/>
        <v>0</v>
      </c>
      <c r="CS231" s="235">
        <f t="shared" si="663"/>
        <v>0</v>
      </c>
      <c r="CT231" s="235">
        <f t="shared" si="663"/>
        <v>0</v>
      </c>
      <c r="CU231" s="235">
        <f t="shared" si="663"/>
        <v>0</v>
      </c>
      <c r="CV231" s="235">
        <f t="shared" si="663"/>
        <v>0</v>
      </c>
    </row>
    <row r="232" spans="1:100" outlineLevel="2" x14ac:dyDescent="0.2">
      <c r="A232" s="236"/>
      <c r="B232" s="236"/>
      <c r="C232" s="237"/>
      <c r="D232" s="238"/>
      <c r="E232" s="235"/>
      <c r="F232" s="235"/>
      <c r="G232" s="235"/>
      <c r="H232" s="235"/>
      <c r="I232" s="235"/>
      <c r="J232" s="235"/>
      <c r="K232" s="235"/>
      <c r="L232" s="235"/>
      <c r="M232" s="235"/>
      <c r="N232" s="235"/>
      <c r="O232" s="235"/>
      <c r="P232" s="235"/>
      <c r="Q232" s="235"/>
      <c r="R232" s="235"/>
      <c r="S232" s="235"/>
      <c r="T232" s="235"/>
      <c r="U232" s="235"/>
      <c r="V232" s="235"/>
      <c r="W232" s="235"/>
      <c r="X232" s="235"/>
      <c r="Y232" s="235"/>
      <c r="Z232" s="235"/>
      <c r="AA232" s="235"/>
      <c r="AB232" s="235"/>
      <c r="AC232" s="235"/>
      <c r="AD232" s="235"/>
      <c r="AE232" s="235"/>
      <c r="AF232" s="235"/>
      <c r="AG232" s="235"/>
      <c r="AH232" s="235"/>
      <c r="AI232" s="235"/>
      <c r="AJ232" s="235"/>
      <c r="AK232" s="235"/>
      <c r="AL232" s="235"/>
      <c r="AM232" s="235"/>
      <c r="AN232" s="235"/>
      <c r="AO232" s="235"/>
      <c r="AP232" s="235"/>
      <c r="AQ232" s="235"/>
      <c r="AR232" s="235"/>
      <c r="AS232" s="235"/>
      <c r="AT232" s="235"/>
      <c r="AU232" s="235"/>
      <c r="AV232" s="235"/>
      <c r="AW232" s="235"/>
      <c r="AX232" s="235"/>
      <c r="AY232" s="235"/>
      <c r="AZ232" s="235"/>
      <c r="BA232" s="235"/>
      <c r="BB232" s="235"/>
      <c r="BC232" s="235"/>
      <c r="BD232" s="235"/>
      <c r="BE232" s="235"/>
      <c r="BF232" s="235"/>
      <c r="BG232" s="235"/>
      <c r="BH232" s="235"/>
      <c r="BI232" s="235"/>
      <c r="BJ232" s="235"/>
      <c r="BK232" s="235"/>
      <c r="BL232" s="235"/>
      <c r="BM232" s="235"/>
      <c r="BN232" s="235"/>
      <c r="BO232" s="235"/>
      <c r="BP232" s="235"/>
      <c r="BQ232" s="235"/>
      <c r="BR232" s="235"/>
      <c r="BS232" s="235"/>
      <c r="BT232" s="235"/>
      <c r="BU232" s="235"/>
      <c r="BV232" s="235"/>
      <c r="BW232" s="235"/>
      <c r="BX232" s="235"/>
      <c r="BY232" s="235"/>
      <c r="BZ232" s="235"/>
      <c r="CA232" s="235"/>
      <c r="CB232" s="235"/>
      <c r="CC232" s="235"/>
      <c r="CD232" s="235"/>
      <c r="CE232" s="235"/>
      <c r="CF232" s="235"/>
      <c r="CG232" s="235"/>
      <c r="CH232" s="235"/>
      <c r="CI232" s="235"/>
      <c r="CJ232" s="235"/>
      <c r="CK232" s="235"/>
      <c r="CL232" s="235"/>
      <c r="CM232" s="235"/>
      <c r="CN232" s="235"/>
      <c r="CO232" s="235"/>
      <c r="CP232" s="235"/>
      <c r="CQ232" s="235"/>
      <c r="CR232" s="235"/>
      <c r="CS232" s="235"/>
      <c r="CT232" s="235"/>
      <c r="CU232" s="235"/>
      <c r="CV232" s="235"/>
    </row>
    <row r="233" spans="1:100" x14ac:dyDescent="0.2">
      <c r="A233" s="236"/>
      <c r="B233" s="236"/>
      <c r="C233" s="237"/>
      <c r="D233" s="238"/>
      <c r="E233" s="235"/>
      <c r="F233" s="235"/>
      <c r="G233" s="235"/>
      <c r="H233" s="235"/>
      <c r="I233" s="235"/>
      <c r="J233" s="235"/>
      <c r="K233" s="235"/>
      <c r="L233" s="235"/>
      <c r="M233" s="235"/>
      <c r="N233" s="235"/>
      <c r="O233" s="235"/>
      <c r="P233" s="235"/>
      <c r="Q233" s="235"/>
      <c r="R233" s="235"/>
      <c r="S233" s="235"/>
      <c r="T233" s="235"/>
      <c r="U233" s="235"/>
      <c r="V233" s="235"/>
      <c r="W233" s="235"/>
      <c r="X233" s="235"/>
      <c r="Y233" s="235"/>
      <c r="Z233" s="235"/>
      <c r="AA233" s="235"/>
      <c r="AB233" s="235"/>
      <c r="AC233" s="235"/>
      <c r="AD233" s="235"/>
      <c r="AE233" s="235"/>
      <c r="AF233" s="235"/>
      <c r="AG233" s="235"/>
      <c r="AH233" s="235"/>
      <c r="AI233" s="235"/>
      <c r="AJ233" s="235"/>
      <c r="AK233" s="235"/>
      <c r="AL233" s="235"/>
      <c r="AM233" s="235"/>
      <c r="AN233" s="235"/>
      <c r="AO233" s="235"/>
      <c r="AP233" s="235"/>
      <c r="AQ233" s="235"/>
      <c r="AR233" s="235"/>
      <c r="AS233" s="235"/>
      <c r="AT233" s="235"/>
      <c r="AU233" s="235"/>
      <c r="AV233" s="235"/>
      <c r="AW233" s="235"/>
      <c r="AX233" s="235"/>
      <c r="AY233" s="235"/>
      <c r="AZ233" s="235"/>
      <c r="BA233" s="235"/>
      <c r="BB233" s="235"/>
      <c r="BC233" s="235"/>
      <c r="BD233" s="235"/>
      <c r="BE233" s="235"/>
      <c r="BF233" s="235"/>
      <c r="BG233" s="235"/>
      <c r="BH233" s="235"/>
      <c r="BI233" s="235"/>
      <c r="BJ233" s="235"/>
      <c r="BK233" s="235"/>
      <c r="BL233" s="235"/>
      <c r="BM233" s="235"/>
      <c r="BN233" s="235"/>
      <c r="BO233" s="235"/>
      <c r="BP233" s="235"/>
      <c r="BQ233" s="235"/>
      <c r="BR233" s="235"/>
      <c r="BS233" s="235"/>
      <c r="BT233" s="235"/>
      <c r="BU233" s="235"/>
      <c r="BV233" s="235"/>
      <c r="BW233" s="235"/>
      <c r="BX233" s="235"/>
      <c r="BY233" s="235"/>
      <c r="BZ233" s="235"/>
      <c r="CA233" s="235"/>
      <c r="CB233" s="235"/>
      <c r="CC233" s="235"/>
      <c r="CD233" s="235"/>
      <c r="CE233" s="235"/>
      <c r="CF233" s="235"/>
      <c r="CG233" s="235"/>
      <c r="CH233" s="235"/>
      <c r="CI233" s="235"/>
      <c r="CJ233" s="235"/>
      <c r="CK233" s="235"/>
      <c r="CL233" s="235"/>
      <c r="CM233" s="235"/>
      <c r="CN233" s="235"/>
      <c r="CO233" s="235"/>
      <c r="CP233" s="235"/>
      <c r="CQ233" s="235"/>
      <c r="CR233" s="235"/>
      <c r="CS233" s="235"/>
      <c r="CT233" s="235"/>
      <c r="CU233" s="235"/>
      <c r="CV233" s="235"/>
    </row>
    <row r="234" spans="1:100" x14ac:dyDescent="0.2">
      <c r="A234" s="700" t="s">
        <v>486</v>
      </c>
      <c r="B234" s="700"/>
      <c r="C234" s="701"/>
      <c r="D234" s="702"/>
      <c r="E234" s="703"/>
      <c r="F234" s="703"/>
      <c r="G234" s="703"/>
      <c r="H234" s="703"/>
      <c r="I234" s="703"/>
      <c r="J234" s="703"/>
      <c r="K234" s="703"/>
      <c r="L234" s="703"/>
      <c r="M234" s="703"/>
      <c r="N234" s="703"/>
      <c r="O234" s="703"/>
      <c r="P234" s="703"/>
      <c r="Q234" s="703"/>
      <c r="R234" s="703"/>
      <c r="S234" s="703"/>
      <c r="T234" s="703"/>
      <c r="U234" s="703"/>
      <c r="V234" s="703"/>
      <c r="W234" s="703"/>
      <c r="X234" s="703"/>
      <c r="Y234" s="703"/>
      <c r="Z234" s="703"/>
      <c r="AA234" s="703"/>
      <c r="AB234" s="703"/>
      <c r="AC234" s="703"/>
      <c r="AD234" s="703"/>
      <c r="AE234" s="703"/>
      <c r="AF234" s="703"/>
      <c r="AG234" s="703"/>
      <c r="AH234" s="703"/>
      <c r="AI234" s="703"/>
      <c r="AJ234" s="703"/>
      <c r="AK234" s="703"/>
      <c r="AL234" s="703"/>
      <c r="AM234" s="703"/>
      <c r="AN234" s="703"/>
      <c r="AO234" s="703"/>
      <c r="AP234" s="703"/>
      <c r="AQ234" s="703"/>
      <c r="AR234" s="703"/>
      <c r="AS234" s="703"/>
      <c r="AT234" s="703"/>
      <c r="AU234" s="703"/>
      <c r="AV234" s="703"/>
      <c r="AW234" s="703"/>
      <c r="AX234" s="703"/>
      <c r="AY234" s="703"/>
      <c r="AZ234" s="703"/>
      <c r="BA234" s="703"/>
      <c r="BB234" s="703"/>
      <c r="BC234" s="703"/>
      <c r="BD234" s="703"/>
      <c r="BE234" s="703"/>
      <c r="BF234" s="703"/>
      <c r="BG234" s="703"/>
      <c r="BH234" s="703"/>
      <c r="BI234" s="703"/>
      <c r="BJ234" s="703"/>
      <c r="BK234" s="703"/>
      <c r="BL234" s="703"/>
      <c r="BM234" s="703"/>
      <c r="BN234" s="703"/>
      <c r="BO234" s="703"/>
      <c r="BP234" s="703"/>
      <c r="BQ234" s="703"/>
      <c r="BR234" s="703"/>
      <c r="BS234" s="703"/>
      <c r="BT234" s="703"/>
      <c r="BU234" s="703"/>
      <c r="BV234" s="703"/>
      <c r="BW234" s="703"/>
      <c r="BX234" s="703"/>
      <c r="BY234" s="703"/>
      <c r="BZ234" s="703"/>
      <c r="CA234" s="703"/>
      <c r="CB234" s="703"/>
      <c r="CC234" s="703"/>
      <c r="CD234" s="703"/>
      <c r="CE234" s="703"/>
      <c r="CF234" s="703"/>
      <c r="CG234" s="703"/>
      <c r="CH234" s="703"/>
      <c r="CI234" s="703"/>
      <c r="CJ234" s="703"/>
      <c r="CK234" s="703"/>
      <c r="CL234" s="703"/>
      <c r="CM234" s="703"/>
      <c r="CN234" s="703"/>
      <c r="CO234" s="703"/>
      <c r="CP234" s="703"/>
      <c r="CQ234" s="703"/>
      <c r="CR234" s="703"/>
      <c r="CS234" s="703"/>
      <c r="CT234" s="703"/>
      <c r="CU234" s="703"/>
      <c r="CV234" s="703"/>
    </row>
    <row r="235" spans="1:100" outlineLevel="1" x14ac:dyDescent="0.2">
      <c r="A235" s="700"/>
      <c r="B235" s="700"/>
      <c r="C235" s="701"/>
      <c r="D235" s="702"/>
      <c r="E235" s="703"/>
      <c r="F235" s="703"/>
      <c r="G235" s="703"/>
      <c r="H235" s="703"/>
      <c r="I235" s="703"/>
      <c r="J235" s="703"/>
      <c r="K235" s="703"/>
      <c r="L235" s="703"/>
      <c r="M235" s="703"/>
      <c r="N235" s="703"/>
      <c r="O235" s="703"/>
      <c r="P235" s="703"/>
      <c r="Q235" s="703"/>
      <c r="R235" s="703"/>
      <c r="S235" s="703"/>
      <c r="T235" s="703"/>
      <c r="U235" s="703"/>
      <c r="V235" s="703"/>
      <c r="W235" s="703"/>
      <c r="X235" s="703"/>
      <c r="Y235" s="703"/>
      <c r="Z235" s="703"/>
      <c r="AA235" s="703"/>
      <c r="AB235" s="703"/>
      <c r="AC235" s="703"/>
      <c r="AD235" s="703"/>
      <c r="AE235" s="703"/>
      <c r="AF235" s="703"/>
      <c r="AG235" s="703"/>
      <c r="AH235" s="703"/>
      <c r="AI235" s="703"/>
      <c r="AJ235" s="703"/>
      <c r="AK235" s="703"/>
      <c r="AL235" s="703"/>
      <c r="AM235" s="703"/>
      <c r="AN235" s="703"/>
      <c r="AO235" s="703"/>
      <c r="AP235" s="703"/>
      <c r="AQ235" s="703"/>
      <c r="AR235" s="703"/>
      <c r="AS235" s="703"/>
      <c r="AT235" s="703"/>
      <c r="AU235" s="703"/>
      <c r="AV235" s="703"/>
      <c r="AW235" s="703"/>
      <c r="AX235" s="703"/>
      <c r="AY235" s="703"/>
      <c r="AZ235" s="703"/>
      <c r="BA235" s="703"/>
      <c r="BB235" s="703"/>
      <c r="BC235" s="703"/>
      <c r="BD235" s="703"/>
      <c r="BE235" s="703"/>
      <c r="BF235" s="703"/>
      <c r="BG235" s="703"/>
      <c r="BH235" s="703"/>
      <c r="BI235" s="703"/>
      <c r="BJ235" s="703"/>
      <c r="BK235" s="703"/>
      <c r="BL235" s="703"/>
      <c r="BM235" s="703"/>
      <c r="BN235" s="703"/>
      <c r="BO235" s="703"/>
      <c r="BP235" s="703"/>
      <c r="BQ235" s="703"/>
      <c r="BR235" s="703"/>
      <c r="BS235" s="703"/>
      <c r="BT235" s="703"/>
      <c r="BU235" s="703"/>
      <c r="BV235" s="703"/>
      <c r="BW235" s="703"/>
      <c r="BX235" s="703"/>
      <c r="BY235" s="703"/>
      <c r="BZ235" s="703"/>
      <c r="CA235" s="703"/>
      <c r="CB235" s="703"/>
      <c r="CC235" s="703"/>
      <c r="CD235" s="703"/>
      <c r="CE235" s="703"/>
      <c r="CF235" s="703"/>
      <c r="CG235" s="703"/>
      <c r="CH235" s="703"/>
      <c r="CI235" s="703"/>
      <c r="CJ235" s="703"/>
      <c r="CK235" s="703"/>
      <c r="CL235" s="703"/>
      <c r="CM235" s="703"/>
      <c r="CN235" s="703"/>
      <c r="CO235" s="703"/>
      <c r="CP235" s="703"/>
      <c r="CQ235" s="703"/>
      <c r="CR235" s="703"/>
      <c r="CS235" s="703"/>
      <c r="CT235" s="703"/>
      <c r="CU235" s="703"/>
      <c r="CV235" s="703"/>
    </row>
    <row r="236" spans="1:100" ht="15" customHeight="1" outlineLevel="1" x14ac:dyDescent="0.2">
      <c r="A236" s="79"/>
      <c r="B236" s="79" t="s">
        <v>487</v>
      </c>
      <c r="C236" s="561"/>
      <c r="D236" s="60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  <c r="AY236" s="32"/>
      <c r="AZ236" s="32"/>
      <c r="BA236" s="32"/>
      <c r="BB236" s="32"/>
      <c r="BC236" s="32"/>
      <c r="BD236" s="32"/>
      <c r="BE236" s="32"/>
      <c r="BF236" s="32"/>
      <c r="BG236" s="32"/>
      <c r="BH236" s="32"/>
      <c r="BI236" s="32"/>
      <c r="BJ236" s="32"/>
      <c r="BK236" s="32"/>
      <c r="BL236" s="32"/>
      <c r="BM236" s="32"/>
      <c r="BN236" s="32"/>
      <c r="BO236" s="32"/>
      <c r="BP236" s="32"/>
      <c r="BQ236" s="32"/>
      <c r="BR236" s="32"/>
      <c r="BS236" s="32"/>
      <c r="BT236" s="32"/>
      <c r="BU236" s="32"/>
      <c r="BV236" s="32"/>
      <c r="BW236" s="32"/>
      <c r="BX236" s="32"/>
      <c r="BY236" s="32"/>
      <c r="BZ236" s="32"/>
      <c r="CA236" s="32"/>
      <c r="CB236" s="32"/>
      <c r="CC236" s="32"/>
      <c r="CD236" s="32"/>
      <c r="CE236" s="32"/>
      <c r="CF236" s="32"/>
      <c r="CG236" s="32"/>
      <c r="CH236" s="32"/>
      <c r="CI236" s="32"/>
      <c r="CJ236" s="32"/>
      <c r="CK236" s="32"/>
      <c r="CL236" s="32"/>
      <c r="CM236" s="32"/>
      <c r="CN236" s="32"/>
      <c r="CO236" s="32"/>
      <c r="CP236" s="32"/>
      <c r="CQ236" s="32"/>
      <c r="CR236" s="32"/>
      <c r="CS236" s="32"/>
      <c r="CT236" s="32"/>
      <c r="CU236" s="32"/>
      <c r="CV236" s="32"/>
    </row>
    <row r="237" spans="1:100" ht="15" customHeight="1" outlineLevel="2" x14ac:dyDescent="0.2">
      <c r="A237" s="79"/>
      <c r="B237" s="79"/>
      <c r="C237" s="561"/>
      <c r="D237" s="60"/>
      <c r="E237" s="32" t="str">
        <f t="shared" ref="E237:AJ237" si="664" xml:space="preserve"> E$180</f>
        <v>Decrease / (increase) in accounts receivable</v>
      </c>
      <c r="F237" s="32">
        <f t="shared" si="664"/>
        <v>0</v>
      </c>
      <c r="G237" s="32" t="str">
        <f t="shared" si="664"/>
        <v>$ 000s</v>
      </c>
      <c r="H237" s="32">
        <f t="shared" si="664"/>
        <v>0</v>
      </c>
      <c r="I237" s="32">
        <f t="shared" si="664"/>
        <v>0</v>
      </c>
      <c r="J237" s="32">
        <f t="shared" si="664"/>
        <v>0</v>
      </c>
      <c r="K237" s="32">
        <f t="shared" si="664"/>
        <v>0</v>
      </c>
      <c r="L237" s="32">
        <f t="shared" si="664"/>
        <v>0</v>
      </c>
      <c r="M237" s="32">
        <f t="shared" si="664"/>
        <v>0</v>
      </c>
      <c r="N237" s="32">
        <f t="shared" si="664"/>
        <v>0</v>
      </c>
      <c r="O237" s="32">
        <f t="shared" si="664"/>
        <v>-4916.0219990907426</v>
      </c>
      <c r="P237" s="32">
        <f t="shared" si="664"/>
        <v>-81.481027609239391</v>
      </c>
      <c r="Q237" s="32">
        <f t="shared" si="664"/>
        <v>89.411784085357795</v>
      </c>
      <c r="R237" s="32">
        <f t="shared" si="664"/>
        <v>-81.349578606870637</v>
      </c>
      <c r="S237" s="32">
        <f t="shared" si="664"/>
        <v>89.230702906083025</v>
      </c>
      <c r="T237" s="32">
        <f t="shared" si="664"/>
        <v>-81.218952237275516</v>
      </c>
      <c r="U237" s="32">
        <f t="shared" si="664"/>
        <v>89.04993619842935</v>
      </c>
      <c r="V237" s="32">
        <f t="shared" si="664"/>
        <v>-53.762408069826051</v>
      </c>
      <c r="W237" s="32">
        <f t="shared" si="664"/>
        <v>61.542733637797937</v>
      </c>
      <c r="X237" s="32">
        <f t="shared" si="664"/>
        <v>-80.960201250603859</v>
      </c>
      <c r="Y237" s="32">
        <f t="shared" si="664"/>
        <v>88.689340300057665</v>
      </c>
      <c r="Z237" s="32">
        <f t="shared" si="664"/>
        <v>-80.832093973538576</v>
      </c>
      <c r="AA237" s="32">
        <f t="shared" si="664"/>
        <v>88.509508129591268</v>
      </c>
      <c r="AB237" s="32">
        <f t="shared" si="664"/>
        <v>-80.70484401514841</v>
      </c>
      <c r="AC237" s="32">
        <f t="shared" si="664"/>
        <v>88.329984470739873</v>
      </c>
      <c r="AD237" s="32">
        <f t="shared" si="664"/>
        <v>-53.423814451922226</v>
      </c>
      <c r="AE237" s="32">
        <f t="shared" si="664"/>
        <v>60.996121781932743</v>
      </c>
      <c r="AF237" s="32">
        <f t="shared" si="664"/>
        <v>-80.45295261539286</v>
      </c>
      <c r="AG237" s="32">
        <f t="shared" si="664"/>
        <v>87.971856587417278</v>
      </c>
      <c r="AH237" s="32">
        <f t="shared" si="664"/>
        <v>-80.328329897620279</v>
      </c>
      <c r="AI237" s="32">
        <f t="shared" si="664"/>
        <v>87.793249279340671</v>
      </c>
      <c r="AJ237" s="32">
        <f t="shared" si="664"/>
        <v>-80.204601952067605</v>
      </c>
      <c r="AK237" s="32">
        <f t="shared" ref="AK237:BP237" si="665" xml:space="preserve"> AK$180</f>
        <v>87.614944315166213</v>
      </c>
      <c r="AL237" s="32">
        <f t="shared" si="665"/>
        <v>-53.094512550313084</v>
      </c>
      <c r="AM237" s="32">
        <f t="shared" si="665"/>
        <v>60.449674070827314</v>
      </c>
      <c r="AN237" s="32">
        <f t="shared" si="665"/>
        <v>-79.959869843500201</v>
      </c>
      <c r="AO237" s="32">
        <f t="shared" si="665"/>
        <v>87.259235098641511</v>
      </c>
      <c r="AP237" s="32">
        <f t="shared" si="665"/>
        <v>-79.838885888992081</v>
      </c>
      <c r="AQ237" s="32">
        <f t="shared" si="665"/>
        <v>87.081827650275955</v>
      </c>
      <c r="AR237" s="32">
        <f t="shared" si="665"/>
        <v>-79.718837130523752</v>
      </c>
      <c r="AS237" s="32">
        <f t="shared" si="665"/>
        <v>86.904716153178015</v>
      </c>
      <c r="AT237" s="32">
        <f t="shared" si="665"/>
        <v>-52.774915324382164</v>
      </c>
      <c r="AU237" s="32">
        <f t="shared" si="665"/>
        <v>59.903080132993637</v>
      </c>
      <c r="AV237" s="32">
        <f t="shared" si="665"/>
        <v>-79.481587785248848</v>
      </c>
      <c r="AW237" s="32">
        <f t="shared" si="665"/>
        <v>86.551374455531914</v>
      </c>
      <c r="AX237" s="32">
        <f t="shared" si="665"/>
        <v>-79.364409000660089</v>
      </c>
      <c r="AY237" s="32">
        <f t="shared" si="665"/>
        <v>86.375140937328979</v>
      </c>
      <c r="AZ237" s="32">
        <f t="shared" si="665"/>
        <v>-79.248209023808158</v>
      </c>
      <c r="BA237" s="32">
        <f t="shared" si="665"/>
        <v>86.199196734414727</v>
      </c>
      <c r="BB237" s="32">
        <f t="shared" si="665"/>
        <v>4774.3576233925705</v>
      </c>
      <c r="BC237" s="32">
        <f t="shared" si="665"/>
        <v>0</v>
      </c>
      <c r="BD237" s="32">
        <f t="shared" si="665"/>
        <v>0</v>
      </c>
      <c r="BE237" s="32">
        <f t="shared" si="665"/>
        <v>0</v>
      </c>
      <c r="BF237" s="32">
        <f t="shared" si="665"/>
        <v>0</v>
      </c>
      <c r="BG237" s="32">
        <f t="shared" si="665"/>
        <v>0</v>
      </c>
      <c r="BH237" s="32">
        <f t="shared" si="665"/>
        <v>0</v>
      </c>
      <c r="BI237" s="32">
        <f t="shared" si="665"/>
        <v>0</v>
      </c>
      <c r="BJ237" s="32">
        <f t="shared" si="665"/>
        <v>0</v>
      </c>
      <c r="BK237" s="32">
        <f t="shared" si="665"/>
        <v>0</v>
      </c>
      <c r="BL237" s="32">
        <f t="shared" si="665"/>
        <v>0</v>
      </c>
      <c r="BM237" s="32">
        <f t="shared" si="665"/>
        <v>0</v>
      </c>
      <c r="BN237" s="32">
        <f t="shared" si="665"/>
        <v>0</v>
      </c>
      <c r="BO237" s="32">
        <f t="shared" si="665"/>
        <v>0</v>
      </c>
      <c r="BP237" s="32">
        <f t="shared" si="665"/>
        <v>0</v>
      </c>
      <c r="BQ237" s="32">
        <f t="shared" ref="BQ237:CV237" si="666" xml:space="preserve"> BQ$180</f>
        <v>0</v>
      </c>
      <c r="BR237" s="32">
        <f t="shared" si="666"/>
        <v>0</v>
      </c>
      <c r="BS237" s="32">
        <f t="shared" si="666"/>
        <v>0</v>
      </c>
      <c r="BT237" s="32">
        <f t="shared" si="666"/>
        <v>0</v>
      </c>
      <c r="BU237" s="32">
        <f t="shared" si="666"/>
        <v>0</v>
      </c>
      <c r="BV237" s="32">
        <f t="shared" si="666"/>
        <v>0</v>
      </c>
      <c r="BW237" s="32">
        <f t="shared" si="666"/>
        <v>0</v>
      </c>
      <c r="BX237" s="32">
        <f t="shared" si="666"/>
        <v>0</v>
      </c>
      <c r="BY237" s="32">
        <f t="shared" si="666"/>
        <v>0</v>
      </c>
      <c r="BZ237" s="32">
        <f t="shared" si="666"/>
        <v>0</v>
      </c>
      <c r="CA237" s="32">
        <f t="shared" si="666"/>
        <v>0</v>
      </c>
      <c r="CB237" s="32">
        <f t="shared" si="666"/>
        <v>0</v>
      </c>
      <c r="CC237" s="32">
        <f t="shared" si="666"/>
        <v>0</v>
      </c>
      <c r="CD237" s="32">
        <f t="shared" si="666"/>
        <v>0</v>
      </c>
      <c r="CE237" s="32">
        <f t="shared" si="666"/>
        <v>0</v>
      </c>
      <c r="CF237" s="32">
        <f t="shared" si="666"/>
        <v>0</v>
      </c>
      <c r="CG237" s="32">
        <f t="shared" si="666"/>
        <v>0</v>
      </c>
      <c r="CH237" s="32">
        <f t="shared" si="666"/>
        <v>0</v>
      </c>
      <c r="CI237" s="32">
        <f t="shared" si="666"/>
        <v>0</v>
      </c>
      <c r="CJ237" s="32">
        <f t="shared" si="666"/>
        <v>0</v>
      </c>
      <c r="CK237" s="32">
        <f t="shared" si="666"/>
        <v>0</v>
      </c>
      <c r="CL237" s="32">
        <f t="shared" si="666"/>
        <v>0</v>
      </c>
      <c r="CM237" s="32">
        <f t="shared" si="666"/>
        <v>0</v>
      </c>
      <c r="CN237" s="32">
        <f t="shared" si="666"/>
        <v>0</v>
      </c>
      <c r="CO237" s="32">
        <f t="shared" si="666"/>
        <v>0</v>
      </c>
      <c r="CP237" s="32">
        <f t="shared" si="666"/>
        <v>0</v>
      </c>
      <c r="CQ237" s="32">
        <f t="shared" si="666"/>
        <v>0</v>
      </c>
      <c r="CR237" s="32">
        <f t="shared" si="666"/>
        <v>0</v>
      </c>
      <c r="CS237" s="32">
        <f t="shared" si="666"/>
        <v>0</v>
      </c>
      <c r="CT237" s="32">
        <f t="shared" si="666"/>
        <v>0</v>
      </c>
      <c r="CU237" s="32">
        <f t="shared" si="666"/>
        <v>0</v>
      </c>
      <c r="CV237" s="32">
        <f t="shared" si="666"/>
        <v>0</v>
      </c>
    </row>
    <row r="238" spans="1:100" ht="15" customHeight="1" outlineLevel="2" x14ac:dyDescent="0.2">
      <c r="A238" s="79"/>
      <c r="B238" s="79"/>
      <c r="C238" s="561"/>
      <c r="D238" s="60"/>
      <c r="E238" s="32" t="str">
        <f t="shared" ref="E238:AJ238" si="667" xml:space="preserve"> E$231</f>
        <v>Increase / (decrease) in accounts payable</v>
      </c>
      <c r="F238" s="32">
        <f t="shared" si="667"/>
        <v>0</v>
      </c>
      <c r="G238" s="32" t="str">
        <f t="shared" si="667"/>
        <v>$ 000s</v>
      </c>
      <c r="H238" s="32">
        <f t="shared" si="667"/>
        <v>0</v>
      </c>
      <c r="I238" s="32">
        <f t="shared" si="667"/>
        <v>0</v>
      </c>
      <c r="J238" s="32">
        <f t="shared" si="667"/>
        <v>0</v>
      </c>
      <c r="K238" s="32">
        <f t="shared" si="667"/>
        <v>0</v>
      </c>
      <c r="L238" s="32">
        <f t="shared" si="667"/>
        <v>0</v>
      </c>
      <c r="M238" s="32">
        <f t="shared" si="667"/>
        <v>0</v>
      </c>
      <c r="N238" s="32">
        <f t="shared" si="667"/>
        <v>0</v>
      </c>
      <c r="O238" s="32">
        <f t="shared" si="667"/>
        <v>1058.9010260869563</v>
      </c>
      <c r="P238" s="32">
        <f t="shared" si="667"/>
        <v>17.550845736248448</v>
      </c>
      <c r="Q238" s="32">
        <f t="shared" si="667"/>
        <v>3.6271747854907517</v>
      </c>
      <c r="R238" s="32">
        <f t="shared" si="667"/>
        <v>17.901862650973271</v>
      </c>
      <c r="S238" s="32">
        <f t="shared" si="667"/>
        <v>3.6997182812010578</v>
      </c>
      <c r="T238" s="32">
        <f t="shared" si="667"/>
        <v>18.259899903991936</v>
      </c>
      <c r="U238" s="32">
        <f t="shared" si="667"/>
        <v>3.7737126468255155</v>
      </c>
      <c r="V238" s="32">
        <f t="shared" si="667"/>
        <v>12.348508132875395</v>
      </c>
      <c r="W238" s="32">
        <f t="shared" si="667"/>
        <v>10.125776668957769</v>
      </c>
      <c r="X238" s="32">
        <f t="shared" si="667"/>
        <v>18.997599860113951</v>
      </c>
      <c r="Y238" s="32">
        <f t="shared" si="667"/>
        <v>3.9261706377565133</v>
      </c>
      <c r="Z238" s="32">
        <f t="shared" si="667"/>
        <v>19.377551857316575</v>
      </c>
      <c r="AA238" s="32">
        <f t="shared" si="667"/>
        <v>4.0046940505117163</v>
      </c>
      <c r="AB238" s="32">
        <f t="shared" si="667"/>
        <v>19.765102894461961</v>
      </c>
      <c r="AC238" s="32">
        <f t="shared" si="667"/>
        <v>4.0847879315215323</v>
      </c>
      <c r="AD238" s="32">
        <f t="shared" si="667"/>
        <v>13.366422331046124</v>
      </c>
      <c r="AE238" s="32">
        <f t="shared" si="667"/>
        <v>10.960466311458731</v>
      </c>
      <c r="AF238" s="32">
        <f t="shared" si="667"/>
        <v>20.563613051398534</v>
      </c>
      <c r="AG238" s="32">
        <f t="shared" si="667"/>
        <v>4.2498133639555817</v>
      </c>
      <c r="AH238" s="32">
        <f t="shared" si="667"/>
        <v>20.974885312426522</v>
      </c>
      <c r="AI238" s="32">
        <f t="shared" si="667"/>
        <v>4.3348096312347479</v>
      </c>
      <c r="AJ238" s="32">
        <f t="shared" si="667"/>
        <v>21.394383018674489</v>
      </c>
      <c r="AK238" s="32">
        <f t="shared" ref="AK238:BP238" si="668" xml:space="preserve"> AK$231</f>
        <v>4.4215058238596612</v>
      </c>
      <c r="AL238" s="32">
        <f t="shared" si="668"/>
        <v>14.468245395266422</v>
      </c>
      <c r="AM238" s="32">
        <f t="shared" si="668"/>
        <v>11.863961224118611</v>
      </c>
      <c r="AN238" s="32">
        <f t="shared" si="668"/>
        <v>22.258716092629584</v>
      </c>
      <c r="AO238" s="32">
        <f t="shared" si="668"/>
        <v>4.600134659143805</v>
      </c>
      <c r="AP238" s="32">
        <f t="shared" si="668"/>
        <v>22.703890414481975</v>
      </c>
      <c r="AQ238" s="32">
        <f t="shared" si="668"/>
        <v>4.692137352325517</v>
      </c>
      <c r="AR238" s="32">
        <f t="shared" si="668"/>
        <v>23.15796822277207</v>
      </c>
      <c r="AS238" s="32">
        <f t="shared" si="668"/>
        <v>4.7859800993728641</v>
      </c>
      <c r="AT238" s="32">
        <f t="shared" si="668"/>
        <v>15.6608941146078</v>
      </c>
      <c r="AU238" s="32">
        <f t="shared" si="668"/>
        <v>12.841933173979669</v>
      </c>
      <c r="AV238" s="32">
        <f t="shared" si="668"/>
        <v>24.093550138971295</v>
      </c>
      <c r="AW238" s="32">
        <f t="shared" si="668"/>
        <v>4.9793336953880498</v>
      </c>
      <c r="AX238" s="32">
        <f t="shared" si="668"/>
        <v>24.575421141750667</v>
      </c>
      <c r="AY238" s="32">
        <f t="shared" si="668"/>
        <v>5.0789203692947922</v>
      </c>
      <c r="AZ238" s="32">
        <f t="shared" si="668"/>
        <v>25.066929564586644</v>
      </c>
      <c r="BA238" s="32">
        <f t="shared" si="668"/>
        <v>5.1804987766809063</v>
      </c>
      <c r="BB238" s="32">
        <f t="shared" si="668"/>
        <v>-1542.6188454046278</v>
      </c>
      <c r="BC238" s="32">
        <f t="shared" si="668"/>
        <v>0</v>
      </c>
      <c r="BD238" s="32">
        <f t="shared" si="668"/>
        <v>0</v>
      </c>
      <c r="BE238" s="32">
        <f t="shared" si="668"/>
        <v>0</v>
      </c>
      <c r="BF238" s="32">
        <f t="shared" si="668"/>
        <v>0</v>
      </c>
      <c r="BG238" s="32">
        <f t="shared" si="668"/>
        <v>0</v>
      </c>
      <c r="BH238" s="32">
        <f t="shared" si="668"/>
        <v>0</v>
      </c>
      <c r="BI238" s="32">
        <f t="shared" si="668"/>
        <v>0</v>
      </c>
      <c r="BJ238" s="32">
        <f t="shared" si="668"/>
        <v>0</v>
      </c>
      <c r="BK238" s="32">
        <f t="shared" si="668"/>
        <v>0</v>
      </c>
      <c r="BL238" s="32">
        <f t="shared" si="668"/>
        <v>0</v>
      </c>
      <c r="BM238" s="32">
        <f t="shared" si="668"/>
        <v>0</v>
      </c>
      <c r="BN238" s="32">
        <f t="shared" si="668"/>
        <v>0</v>
      </c>
      <c r="BO238" s="32">
        <f t="shared" si="668"/>
        <v>0</v>
      </c>
      <c r="BP238" s="32">
        <f t="shared" si="668"/>
        <v>0</v>
      </c>
      <c r="BQ238" s="32">
        <f t="shared" ref="BQ238:CV238" si="669" xml:space="preserve"> BQ$231</f>
        <v>0</v>
      </c>
      <c r="BR238" s="32">
        <f t="shared" si="669"/>
        <v>0</v>
      </c>
      <c r="BS238" s="32">
        <f t="shared" si="669"/>
        <v>0</v>
      </c>
      <c r="BT238" s="32">
        <f t="shared" si="669"/>
        <v>0</v>
      </c>
      <c r="BU238" s="32">
        <f t="shared" si="669"/>
        <v>0</v>
      </c>
      <c r="BV238" s="32">
        <f t="shared" si="669"/>
        <v>0</v>
      </c>
      <c r="BW238" s="32">
        <f t="shared" si="669"/>
        <v>0</v>
      </c>
      <c r="BX238" s="32">
        <f t="shared" si="669"/>
        <v>0</v>
      </c>
      <c r="BY238" s="32">
        <f t="shared" si="669"/>
        <v>0</v>
      </c>
      <c r="BZ238" s="32">
        <f t="shared" si="669"/>
        <v>0</v>
      </c>
      <c r="CA238" s="32">
        <f t="shared" si="669"/>
        <v>0</v>
      </c>
      <c r="CB238" s="32">
        <f t="shared" si="669"/>
        <v>0</v>
      </c>
      <c r="CC238" s="32">
        <f t="shared" si="669"/>
        <v>0</v>
      </c>
      <c r="CD238" s="32">
        <f t="shared" si="669"/>
        <v>0</v>
      </c>
      <c r="CE238" s="32">
        <f t="shared" si="669"/>
        <v>0</v>
      </c>
      <c r="CF238" s="32">
        <f t="shared" si="669"/>
        <v>0</v>
      </c>
      <c r="CG238" s="32">
        <f t="shared" si="669"/>
        <v>0</v>
      </c>
      <c r="CH238" s="32">
        <f t="shared" si="669"/>
        <v>0</v>
      </c>
      <c r="CI238" s="32">
        <f t="shared" si="669"/>
        <v>0</v>
      </c>
      <c r="CJ238" s="32">
        <f t="shared" si="669"/>
        <v>0</v>
      </c>
      <c r="CK238" s="32">
        <f t="shared" si="669"/>
        <v>0</v>
      </c>
      <c r="CL238" s="32">
        <f t="shared" si="669"/>
        <v>0</v>
      </c>
      <c r="CM238" s="32">
        <f t="shared" si="669"/>
        <v>0</v>
      </c>
      <c r="CN238" s="32">
        <f t="shared" si="669"/>
        <v>0</v>
      </c>
      <c r="CO238" s="32">
        <f t="shared" si="669"/>
        <v>0</v>
      </c>
      <c r="CP238" s="32">
        <f t="shared" si="669"/>
        <v>0</v>
      </c>
      <c r="CQ238" s="32">
        <f t="shared" si="669"/>
        <v>0</v>
      </c>
      <c r="CR238" s="32">
        <f t="shared" si="669"/>
        <v>0</v>
      </c>
      <c r="CS238" s="32">
        <f t="shared" si="669"/>
        <v>0</v>
      </c>
      <c r="CT238" s="32">
        <f t="shared" si="669"/>
        <v>0</v>
      </c>
      <c r="CU238" s="32">
        <f t="shared" si="669"/>
        <v>0</v>
      </c>
      <c r="CV238" s="32">
        <f t="shared" si="669"/>
        <v>0</v>
      </c>
    </row>
    <row r="239" spans="1:100" ht="15" customHeight="1" outlineLevel="2" x14ac:dyDescent="0.2">
      <c r="A239" s="79"/>
      <c r="B239" s="79"/>
      <c r="C239" s="561"/>
      <c r="D239" s="60"/>
      <c r="E239" s="125" t="str">
        <f xml:space="preserve"> Time!E$106</f>
        <v>Operating period flag</v>
      </c>
      <c r="F239" s="125">
        <f xml:space="preserve"> Time!F$106</f>
        <v>0</v>
      </c>
      <c r="G239" s="125" t="str">
        <f xml:space="preserve"> Time!G$106</f>
        <v>flag</v>
      </c>
      <c r="H239" s="125">
        <f xml:space="preserve"> Time!H$106</f>
        <v>40</v>
      </c>
      <c r="I239" s="125">
        <f xml:space="preserve"> Time!I$106</f>
        <v>0</v>
      </c>
      <c r="J239" s="125">
        <f xml:space="preserve"> Time!J$106</f>
        <v>0</v>
      </c>
      <c r="K239" s="125">
        <f xml:space="preserve"> Time!K$106</f>
        <v>0</v>
      </c>
      <c r="L239" s="125">
        <f xml:space="preserve"> Time!L$106</f>
        <v>0</v>
      </c>
      <c r="M239" s="125">
        <f xml:space="preserve"> Time!M$106</f>
        <v>0</v>
      </c>
      <c r="N239" s="125">
        <f xml:space="preserve"> Time!N$106</f>
        <v>0</v>
      </c>
      <c r="O239" s="125">
        <f xml:space="preserve"> Time!O$106</f>
        <v>1</v>
      </c>
      <c r="P239" s="125">
        <f xml:space="preserve"> Time!P$106</f>
        <v>1</v>
      </c>
      <c r="Q239" s="125">
        <f xml:space="preserve"> Time!Q$106</f>
        <v>1</v>
      </c>
      <c r="R239" s="125">
        <f xml:space="preserve"> Time!R$106</f>
        <v>1</v>
      </c>
      <c r="S239" s="125">
        <f xml:space="preserve"> Time!S$106</f>
        <v>1</v>
      </c>
      <c r="T239" s="125">
        <f xml:space="preserve"> Time!T$106</f>
        <v>1</v>
      </c>
      <c r="U239" s="125">
        <f xml:space="preserve"> Time!U$106</f>
        <v>1</v>
      </c>
      <c r="V239" s="125">
        <f xml:space="preserve"> Time!V$106</f>
        <v>1</v>
      </c>
      <c r="W239" s="125">
        <f xml:space="preserve"> Time!W$106</f>
        <v>1</v>
      </c>
      <c r="X239" s="125">
        <f xml:space="preserve"> Time!X$106</f>
        <v>1</v>
      </c>
      <c r="Y239" s="125">
        <f xml:space="preserve"> Time!Y$106</f>
        <v>1</v>
      </c>
      <c r="Z239" s="125">
        <f xml:space="preserve"> Time!Z$106</f>
        <v>1</v>
      </c>
      <c r="AA239" s="125">
        <f xml:space="preserve"> Time!AA$106</f>
        <v>1</v>
      </c>
      <c r="AB239" s="125">
        <f xml:space="preserve"> Time!AB$106</f>
        <v>1</v>
      </c>
      <c r="AC239" s="125">
        <f xml:space="preserve"> Time!AC$106</f>
        <v>1</v>
      </c>
      <c r="AD239" s="125">
        <f xml:space="preserve"> Time!AD$106</f>
        <v>1</v>
      </c>
      <c r="AE239" s="125">
        <f xml:space="preserve"> Time!AE$106</f>
        <v>1</v>
      </c>
      <c r="AF239" s="125">
        <f xml:space="preserve"> Time!AF$106</f>
        <v>1</v>
      </c>
      <c r="AG239" s="125">
        <f xml:space="preserve"> Time!AG$106</f>
        <v>1</v>
      </c>
      <c r="AH239" s="125">
        <f xml:space="preserve"> Time!AH$106</f>
        <v>1</v>
      </c>
      <c r="AI239" s="125">
        <f xml:space="preserve"> Time!AI$106</f>
        <v>1</v>
      </c>
      <c r="AJ239" s="125">
        <f xml:space="preserve"> Time!AJ$106</f>
        <v>1</v>
      </c>
      <c r="AK239" s="125">
        <f xml:space="preserve"> Time!AK$106</f>
        <v>1</v>
      </c>
      <c r="AL239" s="125">
        <f xml:space="preserve"> Time!AL$106</f>
        <v>1</v>
      </c>
      <c r="AM239" s="125">
        <f xml:space="preserve"> Time!AM$106</f>
        <v>1</v>
      </c>
      <c r="AN239" s="125">
        <f xml:space="preserve"> Time!AN$106</f>
        <v>1</v>
      </c>
      <c r="AO239" s="125">
        <f xml:space="preserve"> Time!AO$106</f>
        <v>1</v>
      </c>
      <c r="AP239" s="125">
        <f xml:space="preserve"> Time!AP$106</f>
        <v>1</v>
      </c>
      <c r="AQ239" s="125">
        <f xml:space="preserve"> Time!AQ$106</f>
        <v>1</v>
      </c>
      <c r="AR239" s="125">
        <f xml:space="preserve"> Time!AR$106</f>
        <v>1</v>
      </c>
      <c r="AS239" s="125">
        <f xml:space="preserve"> Time!AS$106</f>
        <v>1</v>
      </c>
      <c r="AT239" s="125">
        <f xml:space="preserve"> Time!AT$106</f>
        <v>1</v>
      </c>
      <c r="AU239" s="125">
        <f xml:space="preserve"> Time!AU$106</f>
        <v>1</v>
      </c>
      <c r="AV239" s="125">
        <f xml:space="preserve"> Time!AV$106</f>
        <v>1</v>
      </c>
      <c r="AW239" s="125">
        <f xml:space="preserve"> Time!AW$106</f>
        <v>1</v>
      </c>
      <c r="AX239" s="125">
        <f xml:space="preserve"> Time!AX$106</f>
        <v>1</v>
      </c>
      <c r="AY239" s="125">
        <f xml:space="preserve"> Time!AY$106</f>
        <v>1</v>
      </c>
      <c r="AZ239" s="125">
        <f xml:space="preserve"> Time!AZ$106</f>
        <v>1</v>
      </c>
      <c r="BA239" s="125">
        <f xml:space="preserve"> Time!BA$106</f>
        <v>1</v>
      </c>
      <c r="BB239" s="125">
        <f xml:space="preserve"> Time!BB$106</f>
        <v>1</v>
      </c>
      <c r="BC239" s="125">
        <f xml:space="preserve"> Time!BC$106</f>
        <v>0</v>
      </c>
      <c r="BD239" s="125">
        <f xml:space="preserve"> Time!BD$106</f>
        <v>0</v>
      </c>
      <c r="BE239" s="125">
        <f xml:space="preserve"> Time!BE$106</f>
        <v>0</v>
      </c>
      <c r="BF239" s="125">
        <f xml:space="preserve"> Time!BF$106</f>
        <v>0</v>
      </c>
      <c r="BG239" s="125">
        <f xml:space="preserve"> Time!BG$106</f>
        <v>0</v>
      </c>
      <c r="BH239" s="125">
        <f xml:space="preserve"> Time!BH$106</f>
        <v>0</v>
      </c>
      <c r="BI239" s="125">
        <f xml:space="preserve"> Time!BI$106</f>
        <v>0</v>
      </c>
      <c r="BJ239" s="125">
        <f xml:space="preserve"> Time!BJ$106</f>
        <v>0</v>
      </c>
      <c r="BK239" s="125">
        <f xml:space="preserve"> Time!BK$106</f>
        <v>0</v>
      </c>
      <c r="BL239" s="125">
        <f xml:space="preserve"> Time!BL$106</f>
        <v>0</v>
      </c>
      <c r="BM239" s="125">
        <f xml:space="preserve"> Time!BM$106</f>
        <v>0</v>
      </c>
      <c r="BN239" s="125">
        <f xml:space="preserve"> Time!BN$106</f>
        <v>0</v>
      </c>
      <c r="BO239" s="125">
        <f xml:space="preserve"> Time!BO$106</f>
        <v>0</v>
      </c>
      <c r="BP239" s="125">
        <f xml:space="preserve"> Time!BP$106</f>
        <v>0</v>
      </c>
      <c r="BQ239" s="125">
        <f xml:space="preserve"> Time!BQ$106</f>
        <v>0</v>
      </c>
      <c r="BR239" s="125">
        <f xml:space="preserve"> Time!BR$106</f>
        <v>0</v>
      </c>
      <c r="BS239" s="125">
        <f xml:space="preserve"> Time!BS$106</f>
        <v>0</v>
      </c>
      <c r="BT239" s="125">
        <f xml:space="preserve"> Time!BT$106</f>
        <v>0</v>
      </c>
      <c r="BU239" s="125">
        <f xml:space="preserve"> Time!BU$106</f>
        <v>0</v>
      </c>
      <c r="BV239" s="125">
        <f xml:space="preserve"> Time!BV$106</f>
        <v>0</v>
      </c>
      <c r="BW239" s="125">
        <f xml:space="preserve"> Time!BW$106</f>
        <v>0</v>
      </c>
      <c r="BX239" s="125">
        <f xml:space="preserve"> Time!BX$106</f>
        <v>0</v>
      </c>
      <c r="BY239" s="125">
        <f xml:space="preserve"> Time!BY$106</f>
        <v>0</v>
      </c>
      <c r="BZ239" s="125">
        <f xml:space="preserve"> Time!BZ$106</f>
        <v>0</v>
      </c>
      <c r="CA239" s="125">
        <f xml:space="preserve"> Time!CA$106</f>
        <v>0</v>
      </c>
      <c r="CB239" s="125">
        <f xml:space="preserve"> Time!CB$106</f>
        <v>0</v>
      </c>
      <c r="CC239" s="125">
        <f xml:space="preserve"> Time!CC$106</f>
        <v>0</v>
      </c>
      <c r="CD239" s="125">
        <f xml:space="preserve"> Time!CD$106</f>
        <v>0</v>
      </c>
      <c r="CE239" s="125">
        <f xml:space="preserve"> Time!CE$106</f>
        <v>0</v>
      </c>
      <c r="CF239" s="125">
        <f xml:space="preserve"> Time!CF$106</f>
        <v>0</v>
      </c>
      <c r="CG239" s="125">
        <f xml:space="preserve"> Time!CG$106</f>
        <v>0</v>
      </c>
      <c r="CH239" s="125">
        <f xml:space="preserve"> Time!CH$106</f>
        <v>0</v>
      </c>
      <c r="CI239" s="125">
        <f xml:space="preserve"> Time!CI$106</f>
        <v>0</v>
      </c>
      <c r="CJ239" s="125">
        <f xml:space="preserve"> Time!CJ$106</f>
        <v>0</v>
      </c>
      <c r="CK239" s="125">
        <f xml:space="preserve"> Time!CK$106</f>
        <v>0</v>
      </c>
      <c r="CL239" s="125">
        <f xml:space="preserve"> Time!CL$106</f>
        <v>0</v>
      </c>
      <c r="CM239" s="125">
        <f xml:space="preserve"> Time!CM$106</f>
        <v>0</v>
      </c>
      <c r="CN239" s="125">
        <f xml:space="preserve"> Time!CN$106</f>
        <v>0</v>
      </c>
      <c r="CO239" s="125">
        <f xml:space="preserve"> Time!CO$106</f>
        <v>0</v>
      </c>
      <c r="CP239" s="125">
        <f xml:space="preserve"> Time!CP$106</f>
        <v>0</v>
      </c>
      <c r="CQ239" s="125">
        <f xml:space="preserve"> Time!CQ$106</f>
        <v>0</v>
      </c>
      <c r="CR239" s="125">
        <f xml:space="preserve"> Time!CR$106</f>
        <v>0</v>
      </c>
      <c r="CS239" s="125">
        <f xml:space="preserve"> Time!CS$106</f>
        <v>0</v>
      </c>
      <c r="CT239" s="125">
        <f xml:space="preserve"> Time!CT$106</f>
        <v>0</v>
      </c>
      <c r="CU239" s="125">
        <f xml:space="preserve"> Time!CU$106</f>
        <v>0</v>
      </c>
      <c r="CV239" s="125">
        <f xml:space="preserve"> Time!CV$106</f>
        <v>0</v>
      </c>
    </row>
    <row r="240" spans="1:100" ht="15" customHeight="1" outlineLevel="2" x14ac:dyDescent="0.2">
      <c r="A240" s="79"/>
      <c r="B240" s="79"/>
      <c r="C240" s="561"/>
      <c r="D240" s="60"/>
      <c r="E240" s="125" t="str">
        <f xml:space="preserve"> Time!E$110</f>
        <v>First post operating period flag</v>
      </c>
      <c r="F240" s="125">
        <f xml:space="preserve"> Time!F$110</f>
        <v>0</v>
      </c>
      <c r="G240" s="125" t="str">
        <f xml:space="preserve"> Time!G$110</f>
        <v>flag</v>
      </c>
      <c r="H240" s="125">
        <f xml:space="preserve"> Time!H$110</f>
        <v>1</v>
      </c>
      <c r="I240" s="125">
        <f xml:space="preserve"> Time!I$110</f>
        <v>0</v>
      </c>
      <c r="J240" s="125">
        <f xml:space="preserve"> Time!J$110</f>
        <v>0</v>
      </c>
      <c r="K240" s="125">
        <f xml:space="preserve"> Time!K$110</f>
        <v>0</v>
      </c>
      <c r="L240" s="125">
        <f xml:space="preserve"> Time!L$110</f>
        <v>0</v>
      </c>
      <c r="M240" s="125">
        <f xml:space="preserve"> Time!M$110</f>
        <v>0</v>
      </c>
      <c r="N240" s="125">
        <f xml:space="preserve"> Time!N$110</f>
        <v>0</v>
      </c>
      <c r="O240" s="125">
        <f xml:space="preserve"> Time!O$110</f>
        <v>0</v>
      </c>
      <c r="P240" s="125">
        <f xml:space="preserve"> Time!P$110</f>
        <v>0</v>
      </c>
      <c r="Q240" s="125">
        <f xml:space="preserve"> Time!Q$110</f>
        <v>0</v>
      </c>
      <c r="R240" s="125">
        <f xml:space="preserve"> Time!R$110</f>
        <v>0</v>
      </c>
      <c r="S240" s="125">
        <f xml:space="preserve"> Time!S$110</f>
        <v>0</v>
      </c>
      <c r="T240" s="125">
        <f xml:space="preserve"> Time!T$110</f>
        <v>0</v>
      </c>
      <c r="U240" s="125">
        <f xml:space="preserve"> Time!U$110</f>
        <v>0</v>
      </c>
      <c r="V240" s="125">
        <f xml:space="preserve"> Time!V$110</f>
        <v>0</v>
      </c>
      <c r="W240" s="125">
        <f xml:space="preserve"> Time!W$110</f>
        <v>0</v>
      </c>
      <c r="X240" s="125">
        <f xml:space="preserve"> Time!X$110</f>
        <v>0</v>
      </c>
      <c r="Y240" s="125">
        <f xml:space="preserve"> Time!Y$110</f>
        <v>0</v>
      </c>
      <c r="Z240" s="125">
        <f xml:space="preserve"> Time!Z$110</f>
        <v>0</v>
      </c>
      <c r="AA240" s="125">
        <f xml:space="preserve"> Time!AA$110</f>
        <v>0</v>
      </c>
      <c r="AB240" s="125">
        <f xml:space="preserve"> Time!AB$110</f>
        <v>0</v>
      </c>
      <c r="AC240" s="125">
        <f xml:space="preserve"> Time!AC$110</f>
        <v>0</v>
      </c>
      <c r="AD240" s="125">
        <f xml:space="preserve"> Time!AD$110</f>
        <v>0</v>
      </c>
      <c r="AE240" s="125">
        <f xml:space="preserve"> Time!AE$110</f>
        <v>0</v>
      </c>
      <c r="AF240" s="125">
        <f xml:space="preserve"> Time!AF$110</f>
        <v>0</v>
      </c>
      <c r="AG240" s="125">
        <f xml:space="preserve"> Time!AG$110</f>
        <v>0</v>
      </c>
      <c r="AH240" s="125">
        <f xml:space="preserve"> Time!AH$110</f>
        <v>0</v>
      </c>
      <c r="AI240" s="125">
        <f xml:space="preserve"> Time!AI$110</f>
        <v>0</v>
      </c>
      <c r="AJ240" s="125">
        <f xml:space="preserve"> Time!AJ$110</f>
        <v>0</v>
      </c>
      <c r="AK240" s="125">
        <f xml:space="preserve"> Time!AK$110</f>
        <v>0</v>
      </c>
      <c r="AL240" s="125">
        <f xml:space="preserve"> Time!AL$110</f>
        <v>0</v>
      </c>
      <c r="AM240" s="125">
        <f xml:space="preserve"> Time!AM$110</f>
        <v>0</v>
      </c>
      <c r="AN240" s="125">
        <f xml:space="preserve"> Time!AN$110</f>
        <v>0</v>
      </c>
      <c r="AO240" s="125">
        <f xml:space="preserve"> Time!AO$110</f>
        <v>0</v>
      </c>
      <c r="AP240" s="125">
        <f xml:space="preserve"> Time!AP$110</f>
        <v>0</v>
      </c>
      <c r="AQ240" s="125">
        <f xml:space="preserve"> Time!AQ$110</f>
        <v>0</v>
      </c>
      <c r="AR240" s="125">
        <f xml:space="preserve"> Time!AR$110</f>
        <v>0</v>
      </c>
      <c r="AS240" s="125">
        <f xml:space="preserve"> Time!AS$110</f>
        <v>0</v>
      </c>
      <c r="AT240" s="125">
        <f xml:space="preserve"> Time!AT$110</f>
        <v>0</v>
      </c>
      <c r="AU240" s="125">
        <f xml:space="preserve"> Time!AU$110</f>
        <v>0</v>
      </c>
      <c r="AV240" s="125">
        <f xml:space="preserve"> Time!AV$110</f>
        <v>0</v>
      </c>
      <c r="AW240" s="125">
        <f xml:space="preserve"> Time!AW$110</f>
        <v>0</v>
      </c>
      <c r="AX240" s="125">
        <f xml:space="preserve"> Time!AX$110</f>
        <v>0</v>
      </c>
      <c r="AY240" s="125">
        <f xml:space="preserve"> Time!AY$110</f>
        <v>0</v>
      </c>
      <c r="AZ240" s="125">
        <f xml:space="preserve"> Time!AZ$110</f>
        <v>0</v>
      </c>
      <c r="BA240" s="125">
        <f xml:space="preserve"> Time!BA$110</f>
        <v>0</v>
      </c>
      <c r="BB240" s="125">
        <f xml:space="preserve"> Time!BB$110</f>
        <v>0</v>
      </c>
      <c r="BC240" s="125">
        <f xml:space="preserve"> Time!BC$110</f>
        <v>1</v>
      </c>
      <c r="BD240" s="125">
        <f xml:space="preserve"> Time!BD$110</f>
        <v>0</v>
      </c>
      <c r="BE240" s="125">
        <f xml:space="preserve"> Time!BE$110</f>
        <v>0</v>
      </c>
      <c r="BF240" s="125">
        <f xml:space="preserve"> Time!BF$110</f>
        <v>0</v>
      </c>
      <c r="BG240" s="125">
        <f xml:space="preserve"> Time!BG$110</f>
        <v>0</v>
      </c>
      <c r="BH240" s="125">
        <f xml:space="preserve"> Time!BH$110</f>
        <v>0</v>
      </c>
      <c r="BI240" s="125">
        <f xml:space="preserve"> Time!BI$110</f>
        <v>0</v>
      </c>
      <c r="BJ240" s="125">
        <f xml:space="preserve"> Time!BJ$110</f>
        <v>0</v>
      </c>
      <c r="BK240" s="125">
        <f xml:space="preserve"> Time!BK$110</f>
        <v>0</v>
      </c>
      <c r="BL240" s="125">
        <f xml:space="preserve"> Time!BL$110</f>
        <v>0</v>
      </c>
      <c r="BM240" s="125">
        <f xml:space="preserve"> Time!BM$110</f>
        <v>0</v>
      </c>
      <c r="BN240" s="125">
        <f xml:space="preserve"> Time!BN$110</f>
        <v>0</v>
      </c>
      <c r="BO240" s="125">
        <f xml:space="preserve"> Time!BO$110</f>
        <v>0</v>
      </c>
      <c r="BP240" s="125">
        <f xml:space="preserve"> Time!BP$110</f>
        <v>0</v>
      </c>
      <c r="BQ240" s="125">
        <f xml:space="preserve"> Time!BQ$110</f>
        <v>0</v>
      </c>
      <c r="BR240" s="125">
        <f xml:space="preserve"> Time!BR$110</f>
        <v>0</v>
      </c>
      <c r="BS240" s="125">
        <f xml:space="preserve"> Time!BS$110</f>
        <v>0</v>
      </c>
      <c r="BT240" s="125">
        <f xml:space="preserve"> Time!BT$110</f>
        <v>0</v>
      </c>
      <c r="BU240" s="125">
        <f xml:space="preserve"> Time!BU$110</f>
        <v>0</v>
      </c>
      <c r="BV240" s="125">
        <f xml:space="preserve"> Time!BV$110</f>
        <v>0</v>
      </c>
      <c r="BW240" s="125">
        <f xml:space="preserve"> Time!BW$110</f>
        <v>0</v>
      </c>
      <c r="BX240" s="125">
        <f xml:space="preserve"> Time!BX$110</f>
        <v>0</v>
      </c>
      <c r="BY240" s="125">
        <f xml:space="preserve"> Time!BY$110</f>
        <v>0</v>
      </c>
      <c r="BZ240" s="125">
        <f xml:space="preserve"> Time!BZ$110</f>
        <v>0</v>
      </c>
      <c r="CA240" s="125">
        <f xml:space="preserve"> Time!CA$110</f>
        <v>0</v>
      </c>
      <c r="CB240" s="125">
        <f xml:space="preserve"> Time!CB$110</f>
        <v>0</v>
      </c>
      <c r="CC240" s="125">
        <f xml:space="preserve"> Time!CC$110</f>
        <v>0</v>
      </c>
      <c r="CD240" s="125">
        <f xml:space="preserve"> Time!CD$110</f>
        <v>0</v>
      </c>
      <c r="CE240" s="125">
        <f xml:space="preserve"> Time!CE$110</f>
        <v>0</v>
      </c>
      <c r="CF240" s="125">
        <f xml:space="preserve"> Time!CF$110</f>
        <v>0</v>
      </c>
      <c r="CG240" s="125">
        <f xml:space="preserve"> Time!CG$110</f>
        <v>0</v>
      </c>
      <c r="CH240" s="125">
        <f xml:space="preserve"> Time!CH$110</f>
        <v>0</v>
      </c>
      <c r="CI240" s="125">
        <f xml:space="preserve"> Time!CI$110</f>
        <v>0</v>
      </c>
      <c r="CJ240" s="125">
        <f xml:space="preserve"> Time!CJ$110</f>
        <v>0</v>
      </c>
      <c r="CK240" s="125">
        <f xml:space="preserve"> Time!CK$110</f>
        <v>0</v>
      </c>
      <c r="CL240" s="125">
        <f xml:space="preserve"> Time!CL$110</f>
        <v>0</v>
      </c>
      <c r="CM240" s="125">
        <f xml:space="preserve"> Time!CM$110</f>
        <v>0</v>
      </c>
      <c r="CN240" s="125">
        <f xml:space="preserve"> Time!CN$110</f>
        <v>0</v>
      </c>
      <c r="CO240" s="125">
        <f xml:space="preserve"> Time!CO$110</f>
        <v>0</v>
      </c>
      <c r="CP240" s="125">
        <f xml:space="preserve"> Time!CP$110</f>
        <v>0</v>
      </c>
      <c r="CQ240" s="125">
        <f xml:space="preserve"> Time!CQ$110</f>
        <v>0</v>
      </c>
      <c r="CR240" s="125">
        <f xml:space="preserve"> Time!CR$110</f>
        <v>0</v>
      </c>
      <c r="CS240" s="125">
        <f xml:space="preserve"> Time!CS$110</f>
        <v>0</v>
      </c>
      <c r="CT240" s="125">
        <f xml:space="preserve"> Time!CT$110</f>
        <v>0</v>
      </c>
      <c r="CU240" s="125">
        <f xml:space="preserve"> Time!CU$110</f>
        <v>0</v>
      </c>
      <c r="CV240" s="125">
        <f xml:space="preserve"> Time!CV$110</f>
        <v>0</v>
      </c>
    </row>
    <row r="241" spans="1:100" s="188" customFormat="1" ht="15" customHeight="1" outlineLevel="2" x14ac:dyDescent="0.2">
      <c r="A241" s="397"/>
      <c r="B241" s="397"/>
      <c r="C241" s="566"/>
      <c r="D241" s="484"/>
      <c r="E241" s="188" t="s">
        <v>428</v>
      </c>
      <c r="G241" s="188" t="str">
        <f xml:space="preserve"> SMU</f>
        <v>$ 000s</v>
      </c>
      <c r="H241" s="188">
        <f xml:space="preserve"> SUM(J241:CV241)</f>
        <v>0</v>
      </c>
      <c r="J241" s="188">
        <f t="shared" ref="J241:AO241" si="670">SUM(J237:J238) * MAX(J239, J240)</f>
        <v>0</v>
      </c>
      <c r="K241" s="188">
        <f t="shared" si="670"/>
        <v>0</v>
      </c>
      <c r="L241" s="188">
        <f t="shared" si="670"/>
        <v>0</v>
      </c>
      <c r="M241" s="188">
        <f t="shared" si="670"/>
        <v>0</v>
      </c>
      <c r="N241" s="188">
        <f t="shared" si="670"/>
        <v>0</v>
      </c>
      <c r="O241" s="188">
        <f t="shared" si="670"/>
        <v>-3857.1209730037863</v>
      </c>
      <c r="P241" s="188">
        <f t="shared" si="670"/>
        <v>-63.930181872990943</v>
      </c>
      <c r="Q241" s="188">
        <f t="shared" si="670"/>
        <v>93.038958870848546</v>
      </c>
      <c r="R241" s="188">
        <f t="shared" si="670"/>
        <v>-63.447715955897365</v>
      </c>
      <c r="S241" s="188">
        <f t="shared" si="670"/>
        <v>92.930421187284082</v>
      </c>
      <c r="T241" s="188">
        <f t="shared" si="670"/>
        <v>-62.95905233328358</v>
      </c>
      <c r="U241" s="188">
        <f t="shared" si="670"/>
        <v>92.823648845254866</v>
      </c>
      <c r="V241" s="188">
        <f t="shared" si="670"/>
        <v>-41.413899936950656</v>
      </c>
      <c r="W241" s="188">
        <f t="shared" si="670"/>
        <v>71.668510306755707</v>
      </c>
      <c r="X241" s="188">
        <f t="shared" si="670"/>
        <v>-61.962601390489908</v>
      </c>
      <c r="Y241" s="188">
        <f t="shared" si="670"/>
        <v>92.615510937814179</v>
      </c>
      <c r="Z241" s="188">
        <f t="shared" si="670"/>
        <v>-61.454542116222001</v>
      </c>
      <c r="AA241" s="188">
        <f t="shared" si="670"/>
        <v>92.514202180102984</v>
      </c>
      <c r="AB241" s="188">
        <f t="shared" si="670"/>
        <v>-60.939741120686449</v>
      </c>
      <c r="AC241" s="188">
        <f t="shared" si="670"/>
        <v>92.414772402261406</v>
      </c>
      <c r="AD241" s="188">
        <f t="shared" si="670"/>
        <v>-40.057392120876102</v>
      </c>
      <c r="AE241" s="188">
        <f t="shared" si="670"/>
        <v>71.956588093391474</v>
      </c>
      <c r="AF241" s="188">
        <f t="shared" si="670"/>
        <v>-59.889339563994326</v>
      </c>
      <c r="AG241" s="188">
        <f t="shared" si="670"/>
        <v>92.22166995137286</v>
      </c>
      <c r="AH241" s="188">
        <f t="shared" si="670"/>
        <v>-59.353444585193756</v>
      </c>
      <c r="AI241" s="188">
        <f t="shared" si="670"/>
        <v>92.128058910575419</v>
      </c>
      <c r="AJ241" s="188">
        <f t="shared" si="670"/>
        <v>-58.810218933393116</v>
      </c>
      <c r="AK241" s="188">
        <f t="shared" si="670"/>
        <v>92.036450139025874</v>
      </c>
      <c r="AL241" s="188">
        <f t="shared" si="670"/>
        <v>-38.626267155046662</v>
      </c>
      <c r="AM241" s="188">
        <f t="shared" si="670"/>
        <v>72.313635294945925</v>
      </c>
      <c r="AN241" s="188">
        <f t="shared" si="670"/>
        <v>-57.701153750870617</v>
      </c>
      <c r="AO241" s="188">
        <f t="shared" si="670"/>
        <v>91.859369757785316</v>
      </c>
      <c r="AP241" s="188">
        <f t="shared" ref="AP241:BU241" si="671">SUM(AP237:AP238) * MAX(AP239, AP240)</f>
        <v>-57.134995474510106</v>
      </c>
      <c r="AQ241" s="188">
        <f t="shared" si="671"/>
        <v>91.773965002601471</v>
      </c>
      <c r="AR241" s="188">
        <f t="shared" si="671"/>
        <v>-56.560868907751683</v>
      </c>
      <c r="AS241" s="188">
        <f t="shared" si="671"/>
        <v>91.690696252550879</v>
      </c>
      <c r="AT241" s="188">
        <f t="shared" si="671"/>
        <v>-37.114021209774364</v>
      </c>
      <c r="AU241" s="188">
        <f t="shared" si="671"/>
        <v>72.745013306973306</v>
      </c>
      <c r="AV241" s="188">
        <f t="shared" si="671"/>
        <v>-55.388037646277553</v>
      </c>
      <c r="AW241" s="188">
        <f t="shared" si="671"/>
        <v>91.530708150919963</v>
      </c>
      <c r="AX241" s="188">
        <f t="shared" si="671"/>
        <v>-54.788987858909422</v>
      </c>
      <c r="AY241" s="188">
        <f t="shared" si="671"/>
        <v>91.454061306623771</v>
      </c>
      <c r="AZ241" s="188">
        <f t="shared" si="671"/>
        <v>-54.181279459221514</v>
      </c>
      <c r="BA241" s="188">
        <f t="shared" si="671"/>
        <v>91.379695511095633</v>
      </c>
      <c r="BB241" s="188">
        <f t="shared" si="671"/>
        <v>3231.7387779879427</v>
      </c>
      <c r="BC241" s="188">
        <f t="shared" si="671"/>
        <v>0</v>
      </c>
      <c r="BD241" s="188">
        <f t="shared" si="671"/>
        <v>0</v>
      </c>
      <c r="BE241" s="188">
        <f t="shared" si="671"/>
        <v>0</v>
      </c>
      <c r="BF241" s="188">
        <f t="shared" si="671"/>
        <v>0</v>
      </c>
      <c r="BG241" s="188">
        <f t="shared" si="671"/>
        <v>0</v>
      </c>
      <c r="BH241" s="188">
        <f t="shared" si="671"/>
        <v>0</v>
      </c>
      <c r="BI241" s="188">
        <f t="shared" si="671"/>
        <v>0</v>
      </c>
      <c r="BJ241" s="188">
        <f t="shared" si="671"/>
        <v>0</v>
      </c>
      <c r="BK241" s="188">
        <f t="shared" si="671"/>
        <v>0</v>
      </c>
      <c r="BL241" s="188">
        <f t="shared" si="671"/>
        <v>0</v>
      </c>
      <c r="BM241" s="188">
        <f t="shared" si="671"/>
        <v>0</v>
      </c>
      <c r="BN241" s="188">
        <f t="shared" si="671"/>
        <v>0</v>
      </c>
      <c r="BO241" s="188">
        <f t="shared" si="671"/>
        <v>0</v>
      </c>
      <c r="BP241" s="188">
        <f t="shared" si="671"/>
        <v>0</v>
      </c>
      <c r="BQ241" s="188">
        <f t="shared" si="671"/>
        <v>0</v>
      </c>
      <c r="BR241" s="188">
        <f t="shared" si="671"/>
        <v>0</v>
      </c>
      <c r="BS241" s="188">
        <f t="shared" si="671"/>
        <v>0</v>
      </c>
      <c r="BT241" s="188">
        <f t="shared" si="671"/>
        <v>0</v>
      </c>
      <c r="BU241" s="188">
        <f t="shared" si="671"/>
        <v>0</v>
      </c>
      <c r="BV241" s="188">
        <f t="shared" ref="BV241:CV241" si="672">SUM(BV237:BV238) * MAX(BV239, BV240)</f>
        <v>0</v>
      </c>
      <c r="BW241" s="188">
        <f t="shared" si="672"/>
        <v>0</v>
      </c>
      <c r="BX241" s="188">
        <f t="shared" si="672"/>
        <v>0</v>
      </c>
      <c r="BY241" s="188">
        <f t="shared" si="672"/>
        <v>0</v>
      </c>
      <c r="BZ241" s="188">
        <f t="shared" si="672"/>
        <v>0</v>
      </c>
      <c r="CA241" s="188">
        <f t="shared" si="672"/>
        <v>0</v>
      </c>
      <c r="CB241" s="188">
        <f t="shared" si="672"/>
        <v>0</v>
      </c>
      <c r="CC241" s="188">
        <f t="shared" si="672"/>
        <v>0</v>
      </c>
      <c r="CD241" s="188">
        <f t="shared" si="672"/>
        <v>0</v>
      </c>
      <c r="CE241" s="188">
        <f t="shared" si="672"/>
        <v>0</v>
      </c>
      <c r="CF241" s="188">
        <f t="shared" si="672"/>
        <v>0</v>
      </c>
      <c r="CG241" s="188">
        <f t="shared" si="672"/>
        <v>0</v>
      </c>
      <c r="CH241" s="188">
        <f t="shared" si="672"/>
        <v>0</v>
      </c>
      <c r="CI241" s="188">
        <f t="shared" si="672"/>
        <v>0</v>
      </c>
      <c r="CJ241" s="188">
        <f t="shared" si="672"/>
        <v>0</v>
      </c>
      <c r="CK241" s="188">
        <f t="shared" si="672"/>
        <v>0</v>
      </c>
      <c r="CL241" s="188">
        <f t="shared" si="672"/>
        <v>0</v>
      </c>
      <c r="CM241" s="188">
        <f t="shared" si="672"/>
        <v>0</v>
      </c>
      <c r="CN241" s="188">
        <f t="shared" si="672"/>
        <v>0</v>
      </c>
      <c r="CO241" s="188">
        <f t="shared" si="672"/>
        <v>0</v>
      </c>
      <c r="CP241" s="188">
        <f t="shared" si="672"/>
        <v>0</v>
      </c>
      <c r="CQ241" s="188">
        <f t="shared" si="672"/>
        <v>0</v>
      </c>
      <c r="CR241" s="188">
        <f t="shared" si="672"/>
        <v>0</v>
      </c>
      <c r="CS241" s="188">
        <f t="shared" si="672"/>
        <v>0</v>
      </c>
      <c r="CT241" s="188">
        <f t="shared" si="672"/>
        <v>0</v>
      </c>
      <c r="CU241" s="188">
        <f t="shared" si="672"/>
        <v>0</v>
      </c>
      <c r="CV241" s="188">
        <f t="shared" si="672"/>
        <v>0</v>
      </c>
    </row>
    <row r="242" spans="1:100" ht="15" customHeight="1" outlineLevel="1" x14ac:dyDescent="0.2">
      <c r="A242" s="79"/>
      <c r="B242" s="79"/>
      <c r="C242" s="561"/>
      <c r="D242" s="60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32"/>
      <c r="CS242" s="32"/>
      <c r="CT242" s="32"/>
      <c r="CU242" s="32"/>
      <c r="CV242" s="32"/>
    </row>
    <row r="243" spans="1:100" ht="15" customHeight="1" outlineLevel="1" x14ac:dyDescent="0.2">
      <c r="A243" s="79"/>
      <c r="B243" s="79" t="s">
        <v>487</v>
      </c>
      <c r="C243" s="561"/>
      <c r="D243" s="60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32"/>
      <c r="CS243" s="32"/>
      <c r="CT243" s="32"/>
      <c r="CU243" s="32"/>
      <c r="CV243" s="32"/>
    </row>
    <row r="244" spans="1:100" ht="15" customHeight="1" outlineLevel="2" x14ac:dyDescent="0.2">
      <c r="A244" s="79"/>
      <c r="B244" s="79"/>
      <c r="C244" s="561"/>
      <c r="D244" s="60"/>
      <c r="E244" s="32" t="str">
        <f t="shared" ref="E244:AJ244" si="673" xml:space="preserve"> E$205</f>
        <v>Decrease / (increase) in accounts receivable - P99</v>
      </c>
      <c r="F244" s="32">
        <f t="shared" si="673"/>
        <v>0</v>
      </c>
      <c r="G244" s="32" t="str">
        <f t="shared" si="673"/>
        <v>$ 000s</v>
      </c>
      <c r="H244" s="32">
        <f t="shared" si="673"/>
        <v>0</v>
      </c>
      <c r="I244" s="32">
        <f t="shared" si="673"/>
        <v>0</v>
      </c>
      <c r="J244" s="32">
        <f t="shared" si="673"/>
        <v>0</v>
      </c>
      <c r="K244" s="32">
        <f t="shared" si="673"/>
        <v>0</v>
      </c>
      <c r="L244" s="32">
        <f t="shared" si="673"/>
        <v>0</v>
      </c>
      <c r="M244" s="32">
        <f t="shared" si="673"/>
        <v>0</v>
      </c>
      <c r="N244" s="32">
        <f t="shared" si="673"/>
        <v>0</v>
      </c>
      <c r="O244" s="32">
        <f t="shared" si="673"/>
        <v>-4001.1118129849237</v>
      </c>
      <c r="P244" s="32">
        <f t="shared" si="673"/>
        <v>-66.316770380964954</v>
      </c>
      <c r="Q244" s="32">
        <f t="shared" si="673"/>
        <v>72.771550979663516</v>
      </c>
      <c r="R244" s="32">
        <f t="shared" si="673"/>
        <v>-66.20978506717438</v>
      </c>
      <c r="S244" s="32">
        <f t="shared" si="673"/>
        <v>72.624170425702687</v>
      </c>
      <c r="T244" s="32">
        <f t="shared" si="673"/>
        <v>-66.103469287751068</v>
      </c>
      <c r="U244" s="32">
        <f t="shared" si="673"/>
        <v>72.477045817733597</v>
      </c>
      <c r="V244" s="32">
        <f t="shared" si="673"/>
        <v>-43.756802972502555</v>
      </c>
      <c r="W244" s="32">
        <f t="shared" si="673"/>
        <v>50.089149032919522</v>
      </c>
      <c r="X244" s="32">
        <f t="shared" si="673"/>
        <v>-65.892873885699373</v>
      </c>
      <c r="Y244" s="32">
        <f t="shared" si="673"/>
        <v>72.183559639486703</v>
      </c>
      <c r="Z244" s="32">
        <f t="shared" si="673"/>
        <v>-65.788608375969488</v>
      </c>
      <c r="AA244" s="32">
        <f t="shared" si="673"/>
        <v>72.037195644019448</v>
      </c>
      <c r="AB244" s="32">
        <f t="shared" si="673"/>
        <v>-65.685040631196898</v>
      </c>
      <c r="AC244" s="32">
        <f t="shared" si="673"/>
        <v>71.891082743735751</v>
      </c>
      <c r="AD244" s="32">
        <f t="shared" si="673"/>
        <v>-43.48122427805356</v>
      </c>
      <c r="AE244" s="32">
        <f t="shared" si="673"/>
        <v>49.644265923363491</v>
      </c>
      <c r="AF244" s="32">
        <f t="shared" si="673"/>
        <v>-65.480028193220278</v>
      </c>
      <c r="AG244" s="32">
        <f t="shared" si="673"/>
        <v>71.599605263611011</v>
      </c>
      <c r="AH244" s="32">
        <f t="shared" si="673"/>
        <v>-65.378598739014706</v>
      </c>
      <c r="AI244" s="32">
        <f t="shared" si="673"/>
        <v>71.454238174050261</v>
      </c>
      <c r="AJ244" s="32">
        <f t="shared" si="673"/>
        <v>-65.277897532907446</v>
      </c>
      <c r="AK244" s="32">
        <f t="shared" ref="AK244:BP244" si="674" xml:space="preserve"> AK$205</f>
        <v>71.309117159818925</v>
      </c>
      <c r="AL244" s="32">
        <f t="shared" si="674"/>
        <v>-43.21320803873823</v>
      </c>
      <c r="AM244" s="32">
        <f t="shared" si="674"/>
        <v>49.199516409937132</v>
      </c>
      <c r="AN244" s="32">
        <f t="shared" si="674"/>
        <v>-65.07871198597968</v>
      </c>
      <c r="AO244" s="32">
        <f t="shared" si="674"/>
        <v>71.019608213669926</v>
      </c>
      <c r="AP244" s="32">
        <f t="shared" si="674"/>
        <v>-64.980244092701469</v>
      </c>
      <c r="AQ244" s="32">
        <f t="shared" si="674"/>
        <v>70.875217680530113</v>
      </c>
      <c r="AR244" s="32">
        <f t="shared" si="674"/>
        <v>-64.882537348152255</v>
      </c>
      <c r="AS244" s="32">
        <f t="shared" si="674"/>
        <v>70.731068019811573</v>
      </c>
      <c r="AT244" s="32">
        <f t="shared" si="674"/>
        <v>-42.953090358978443</v>
      </c>
      <c r="AU244" s="32">
        <f t="shared" si="674"/>
        <v>48.75464788372301</v>
      </c>
      <c r="AV244" s="32">
        <f t="shared" si="674"/>
        <v>-64.689441963682839</v>
      </c>
      <c r="AW244" s="32">
        <f t="shared" si="674"/>
        <v>70.443485978741592</v>
      </c>
      <c r="AX244" s="32">
        <f t="shared" si="674"/>
        <v>-64.594071068406265</v>
      </c>
      <c r="AY244" s="32">
        <f t="shared" si="674"/>
        <v>70.300050898165864</v>
      </c>
      <c r="AZ244" s="32">
        <f t="shared" si="674"/>
        <v>-64.499496817083127</v>
      </c>
      <c r="BA244" s="32">
        <f t="shared" si="674"/>
        <v>70.156851289046244</v>
      </c>
      <c r="BB244" s="32">
        <f t="shared" si="674"/>
        <v>3885.8122868253704</v>
      </c>
      <c r="BC244" s="32">
        <f t="shared" si="674"/>
        <v>0</v>
      </c>
      <c r="BD244" s="32">
        <f t="shared" si="674"/>
        <v>0</v>
      </c>
      <c r="BE244" s="32">
        <f t="shared" si="674"/>
        <v>0</v>
      </c>
      <c r="BF244" s="32">
        <f t="shared" si="674"/>
        <v>0</v>
      </c>
      <c r="BG244" s="32">
        <f t="shared" si="674"/>
        <v>0</v>
      </c>
      <c r="BH244" s="32">
        <f t="shared" si="674"/>
        <v>0</v>
      </c>
      <c r="BI244" s="32">
        <f t="shared" si="674"/>
        <v>0</v>
      </c>
      <c r="BJ244" s="32">
        <f t="shared" si="674"/>
        <v>0</v>
      </c>
      <c r="BK244" s="32">
        <f t="shared" si="674"/>
        <v>0</v>
      </c>
      <c r="BL244" s="32">
        <f t="shared" si="674"/>
        <v>0</v>
      </c>
      <c r="BM244" s="32">
        <f t="shared" si="674"/>
        <v>0</v>
      </c>
      <c r="BN244" s="32">
        <f t="shared" si="674"/>
        <v>0</v>
      </c>
      <c r="BO244" s="32">
        <f t="shared" si="674"/>
        <v>0</v>
      </c>
      <c r="BP244" s="32">
        <f t="shared" si="674"/>
        <v>0</v>
      </c>
      <c r="BQ244" s="32">
        <f t="shared" ref="BQ244:CV244" si="675" xml:space="preserve"> BQ$205</f>
        <v>0</v>
      </c>
      <c r="BR244" s="32">
        <f t="shared" si="675"/>
        <v>0</v>
      </c>
      <c r="BS244" s="32">
        <f t="shared" si="675"/>
        <v>0</v>
      </c>
      <c r="BT244" s="32">
        <f t="shared" si="675"/>
        <v>0</v>
      </c>
      <c r="BU244" s="32">
        <f t="shared" si="675"/>
        <v>0</v>
      </c>
      <c r="BV244" s="32">
        <f t="shared" si="675"/>
        <v>0</v>
      </c>
      <c r="BW244" s="32">
        <f t="shared" si="675"/>
        <v>0</v>
      </c>
      <c r="BX244" s="32">
        <f t="shared" si="675"/>
        <v>0</v>
      </c>
      <c r="BY244" s="32">
        <f t="shared" si="675"/>
        <v>0</v>
      </c>
      <c r="BZ244" s="32">
        <f t="shared" si="675"/>
        <v>0</v>
      </c>
      <c r="CA244" s="32">
        <f t="shared" si="675"/>
        <v>0</v>
      </c>
      <c r="CB244" s="32">
        <f t="shared" si="675"/>
        <v>0</v>
      </c>
      <c r="CC244" s="32">
        <f t="shared" si="675"/>
        <v>0</v>
      </c>
      <c r="CD244" s="32">
        <f t="shared" si="675"/>
        <v>0</v>
      </c>
      <c r="CE244" s="32">
        <f t="shared" si="675"/>
        <v>0</v>
      </c>
      <c r="CF244" s="32">
        <f t="shared" si="675"/>
        <v>0</v>
      </c>
      <c r="CG244" s="32">
        <f t="shared" si="675"/>
        <v>0</v>
      </c>
      <c r="CH244" s="32">
        <f t="shared" si="675"/>
        <v>0</v>
      </c>
      <c r="CI244" s="32">
        <f t="shared" si="675"/>
        <v>0</v>
      </c>
      <c r="CJ244" s="32">
        <f t="shared" si="675"/>
        <v>0</v>
      </c>
      <c r="CK244" s="32">
        <f t="shared" si="675"/>
        <v>0</v>
      </c>
      <c r="CL244" s="32">
        <f t="shared" si="675"/>
        <v>0</v>
      </c>
      <c r="CM244" s="32">
        <f t="shared" si="675"/>
        <v>0</v>
      </c>
      <c r="CN244" s="32">
        <f t="shared" si="675"/>
        <v>0</v>
      </c>
      <c r="CO244" s="32">
        <f t="shared" si="675"/>
        <v>0</v>
      </c>
      <c r="CP244" s="32">
        <f t="shared" si="675"/>
        <v>0</v>
      </c>
      <c r="CQ244" s="32">
        <f t="shared" si="675"/>
        <v>0</v>
      </c>
      <c r="CR244" s="32">
        <f t="shared" si="675"/>
        <v>0</v>
      </c>
      <c r="CS244" s="32">
        <f t="shared" si="675"/>
        <v>0</v>
      </c>
      <c r="CT244" s="32">
        <f t="shared" si="675"/>
        <v>0</v>
      </c>
      <c r="CU244" s="32">
        <f t="shared" si="675"/>
        <v>0</v>
      </c>
      <c r="CV244" s="32">
        <f t="shared" si="675"/>
        <v>0</v>
      </c>
    </row>
    <row r="245" spans="1:100" ht="15" customHeight="1" outlineLevel="2" x14ac:dyDescent="0.2">
      <c r="A245" s="79"/>
      <c r="B245" s="79"/>
      <c r="C245" s="561"/>
      <c r="D245" s="60"/>
      <c r="E245" s="32" t="str">
        <f t="shared" ref="E245:BP245" si="676" xml:space="preserve"> E$231</f>
        <v>Increase / (decrease) in accounts payable</v>
      </c>
      <c r="F245" s="32">
        <f t="shared" si="676"/>
        <v>0</v>
      </c>
      <c r="G245" s="32" t="str">
        <f t="shared" si="676"/>
        <v>$ 000s</v>
      </c>
      <c r="H245" s="32">
        <f t="shared" si="676"/>
        <v>0</v>
      </c>
      <c r="I245" s="32">
        <f t="shared" si="676"/>
        <v>0</v>
      </c>
      <c r="J245" s="32">
        <f t="shared" si="676"/>
        <v>0</v>
      </c>
      <c r="K245" s="32">
        <f t="shared" si="676"/>
        <v>0</v>
      </c>
      <c r="L245" s="32">
        <f t="shared" si="676"/>
        <v>0</v>
      </c>
      <c r="M245" s="32">
        <f t="shared" si="676"/>
        <v>0</v>
      </c>
      <c r="N245" s="32">
        <f t="shared" si="676"/>
        <v>0</v>
      </c>
      <c r="O245" s="32">
        <f t="shared" si="676"/>
        <v>1058.9010260869563</v>
      </c>
      <c r="P245" s="32">
        <f t="shared" si="676"/>
        <v>17.550845736248448</v>
      </c>
      <c r="Q245" s="32">
        <f t="shared" si="676"/>
        <v>3.6271747854907517</v>
      </c>
      <c r="R245" s="32">
        <f t="shared" si="676"/>
        <v>17.901862650973271</v>
      </c>
      <c r="S245" s="32">
        <f t="shared" si="676"/>
        <v>3.6997182812010578</v>
      </c>
      <c r="T245" s="32">
        <f t="shared" si="676"/>
        <v>18.259899903991936</v>
      </c>
      <c r="U245" s="32">
        <f t="shared" si="676"/>
        <v>3.7737126468255155</v>
      </c>
      <c r="V245" s="32">
        <f t="shared" si="676"/>
        <v>12.348508132875395</v>
      </c>
      <c r="W245" s="32">
        <f t="shared" si="676"/>
        <v>10.125776668957769</v>
      </c>
      <c r="X245" s="32">
        <f t="shared" si="676"/>
        <v>18.997599860113951</v>
      </c>
      <c r="Y245" s="32">
        <f t="shared" si="676"/>
        <v>3.9261706377565133</v>
      </c>
      <c r="Z245" s="32">
        <f t="shared" si="676"/>
        <v>19.377551857316575</v>
      </c>
      <c r="AA245" s="32">
        <f t="shared" si="676"/>
        <v>4.0046940505117163</v>
      </c>
      <c r="AB245" s="32">
        <f t="shared" si="676"/>
        <v>19.765102894461961</v>
      </c>
      <c r="AC245" s="32">
        <f t="shared" si="676"/>
        <v>4.0847879315215323</v>
      </c>
      <c r="AD245" s="32">
        <f t="shared" si="676"/>
        <v>13.366422331046124</v>
      </c>
      <c r="AE245" s="32">
        <f t="shared" si="676"/>
        <v>10.960466311458731</v>
      </c>
      <c r="AF245" s="32">
        <f t="shared" si="676"/>
        <v>20.563613051398534</v>
      </c>
      <c r="AG245" s="32">
        <f t="shared" si="676"/>
        <v>4.2498133639555817</v>
      </c>
      <c r="AH245" s="32">
        <f t="shared" si="676"/>
        <v>20.974885312426522</v>
      </c>
      <c r="AI245" s="32">
        <f t="shared" si="676"/>
        <v>4.3348096312347479</v>
      </c>
      <c r="AJ245" s="32">
        <f t="shared" si="676"/>
        <v>21.394383018674489</v>
      </c>
      <c r="AK245" s="32">
        <f t="shared" si="676"/>
        <v>4.4215058238596612</v>
      </c>
      <c r="AL245" s="32">
        <f t="shared" si="676"/>
        <v>14.468245395266422</v>
      </c>
      <c r="AM245" s="32">
        <f t="shared" si="676"/>
        <v>11.863961224118611</v>
      </c>
      <c r="AN245" s="32">
        <f t="shared" si="676"/>
        <v>22.258716092629584</v>
      </c>
      <c r="AO245" s="32">
        <f t="shared" si="676"/>
        <v>4.600134659143805</v>
      </c>
      <c r="AP245" s="32">
        <f t="shared" si="676"/>
        <v>22.703890414481975</v>
      </c>
      <c r="AQ245" s="32">
        <f t="shared" si="676"/>
        <v>4.692137352325517</v>
      </c>
      <c r="AR245" s="32">
        <f t="shared" si="676"/>
        <v>23.15796822277207</v>
      </c>
      <c r="AS245" s="32">
        <f t="shared" si="676"/>
        <v>4.7859800993728641</v>
      </c>
      <c r="AT245" s="32">
        <f t="shared" si="676"/>
        <v>15.6608941146078</v>
      </c>
      <c r="AU245" s="32">
        <f t="shared" si="676"/>
        <v>12.841933173979669</v>
      </c>
      <c r="AV245" s="32">
        <f t="shared" si="676"/>
        <v>24.093550138971295</v>
      </c>
      <c r="AW245" s="32">
        <f t="shared" si="676"/>
        <v>4.9793336953880498</v>
      </c>
      <c r="AX245" s="32">
        <f t="shared" si="676"/>
        <v>24.575421141750667</v>
      </c>
      <c r="AY245" s="32">
        <f t="shared" si="676"/>
        <v>5.0789203692947922</v>
      </c>
      <c r="AZ245" s="32">
        <f t="shared" si="676"/>
        <v>25.066929564586644</v>
      </c>
      <c r="BA245" s="32">
        <f t="shared" si="676"/>
        <v>5.1804987766809063</v>
      </c>
      <c r="BB245" s="32">
        <f t="shared" si="676"/>
        <v>-1542.6188454046278</v>
      </c>
      <c r="BC245" s="32">
        <f t="shared" si="676"/>
        <v>0</v>
      </c>
      <c r="BD245" s="32">
        <f t="shared" si="676"/>
        <v>0</v>
      </c>
      <c r="BE245" s="32">
        <f t="shared" si="676"/>
        <v>0</v>
      </c>
      <c r="BF245" s="32">
        <f t="shared" si="676"/>
        <v>0</v>
      </c>
      <c r="BG245" s="32">
        <f t="shared" si="676"/>
        <v>0</v>
      </c>
      <c r="BH245" s="32">
        <f t="shared" si="676"/>
        <v>0</v>
      </c>
      <c r="BI245" s="32">
        <f t="shared" si="676"/>
        <v>0</v>
      </c>
      <c r="BJ245" s="32">
        <f t="shared" si="676"/>
        <v>0</v>
      </c>
      <c r="BK245" s="32">
        <f t="shared" si="676"/>
        <v>0</v>
      </c>
      <c r="BL245" s="32">
        <f t="shared" si="676"/>
        <v>0</v>
      </c>
      <c r="BM245" s="32">
        <f t="shared" si="676"/>
        <v>0</v>
      </c>
      <c r="BN245" s="32">
        <f t="shared" si="676"/>
        <v>0</v>
      </c>
      <c r="BO245" s="32">
        <f t="shared" si="676"/>
        <v>0</v>
      </c>
      <c r="BP245" s="32">
        <f t="shared" si="676"/>
        <v>0</v>
      </c>
      <c r="BQ245" s="32">
        <f t="shared" ref="BQ245:CV245" si="677" xml:space="preserve"> BQ$231</f>
        <v>0</v>
      </c>
      <c r="BR245" s="32">
        <f t="shared" si="677"/>
        <v>0</v>
      </c>
      <c r="BS245" s="32">
        <f t="shared" si="677"/>
        <v>0</v>
      </c>
      <c r="BT245" s="32">
        <f t="shared" si="677"/>
        <v>0</v>
      </c>
      <c r="BU245" s="32">
        <f t="shared" si="677"/>
        <v>0</v>
      </c>
      <c r="BV245" s="32">
        <f t="shared" si="677"/>
        <v>0</v>
      </c>
      <c r="BW245" s="32">
        <f t="shared" si="677"/>
        <v>0</v>
      </c>
      <c r="BX245" s="32">
        <f t="shared" si="677"/>
        <v>0</v>
      </c>
      <c r="BY245" s="32">
        <f t="shared" si="677"/>
        <v>0</v>
      </c>
      <c r="BZ245" s="32">
        <f t="shared" si="677"/>
        <v>0</v>
      </c>
      <c r="CA245" s="32">
        <f t="shared" si="677"/>
        <v>0</v>
      </c>
      <c r="CB245" s="32">
        <f t="shared" si="677"/>
        <v>0</v>
      </c>
      <c r="CC245" s="32">
        <f t="shared" si="677"/>
        <v>0</v>
      </c>
      <c r="CD245" s="32">
        <f t="shared" si="677"/>
        <v>0</v>
      </c>
      <c r="CE245" s="32">
        <f t="shared" si="677"/>
        <v>0</v>
      </c>
      <c r="CF245" s="32">
        <f t="shared" si="677"/>
        <v>0</v>
      </c>
      <c r="CG245" s="32">
        <f t="shared" si="677"/>
        <v>0</v>
      </c>
      <c r="CH245" s="32">
        <f t="shared" si="677"/>
        <v>0</v>
      </c>
      <c r="CI245" s="32">
        <f t="shared" si="677"/>
        <v>0</v>
      </c>
      <c r="CJ245" s="32">
        <f t="shared" si="677"/>
        <v>0</v>
      </c>
      <c r="CK245" s="32">
        <f t="shared" si="677"/>
        <v>0</v>
      </c>
      <c r="CL245" s="32">
        <f t="shared" si="677"/>
        <v>0</v>
      </c>
      <c r="CM245" s="32">
        <f t="shared" si="677"/>
        <v>0</v>
      </c>
      <c r="CN245" s="32">
        <f t="shared" si="677"/>
        <v>0</v>
      </c>
      <c r="CO245" s="32">
        <f t="shared" si="677"/>
        <v>0</v>
      </c>
      <c r="CP245" s="32">
        <f t="shared" si="677"/>
        <v>0</v>
      </c>
      <c r="CQ245" s="32">
        <f t="shared" si="677"/>
        <v>0</v>
      </c>
      <c r="CR245" s="32">
        <f t="shared" si="677"/>
        <v>0</v>
      </c>
      <c r="CS245" s="32">
        <f t="shared" si="677"/>
        <v>0</v>
      </c>
      <c r="CT245" s="32">
        <f t="shared" si="677"/>
        <v>0</v>
      </c>
      <c r="CU245" s="32">
        <f t="shared" si="677"/>
        <v>0</v>
      </c>
      <c r="CV245" s="32">
        <f t="shared" si="677"/>
        <v>0</v>
      </c>
    </row>
    <row r="246" spans="1:100" ht="15" customHeight="1" outlineLevel="2" x14ac:dyDescent="0.2">
      <c r="A246" s="79"/>
      <c r="B246" s="79"/>
      <c r="C246" s="561"/>
      <c r="D246" s="60"/>
      <c r="E246" s="125" t="str">
        <f xml:space="preserve"> Time!E$106</f>
        <v>Operating period flag</v>
      </c>
      <c r="F246" s="125">
        <f xml:space="preserve"> Time!F$106</f>
        <v>0</v>
      </c>
      <c r="G246" s="125" t="str">
        <f xml:space="preserve"> Time!G$106</f>
        <v>flag</v>
      </c>
      <c r="H246" s="125">
        <f xml:space="preserve"> Time!H$106</f>
        <v>40</v>
      </c>
      <c r="I246" s="125">
        <f xml:space="preserve"> Time!I$106</f>
        <v>0</v>
      </c>
      <c r="J246" s="125">
        <f xml:space="preserve"> Time!J$106</f>
        <v>0</v>
      </c>
      <c r="K246" s="125">
        <f xml:space="preserve"> Time!K$106</f>
        <v>0</v>
      </c>
      <c r="L246" s="125">
        <f xml:space="preserve"> Time!L$106</f>
        <v>0</v>
      </c>
      <c r="M246" s="125">
        <f xml:space="preserve"> Time!M$106</f>
        <v>0</v>
      </c>
      <c r="N246" s="125">
        <f xml:space="preserve"> Time!N$106</f>
        <v>0</v>
      </c>
      <c r="O246" s="125">
        <f xml:space="preserve"> Time!O$106</f>
        <v>1</v>
      </c>
      <c r="P246" s="125">
        <f xml:space="preserve"> Time!P$106</f>
        <v>1</v>
      </c>
      <c r="Q246" s="125">
        <f xml:space="preserve"> Time!Q$106</f>
        <v>1</v>
      </c>
      <c r="R246" s="125">
        <f xml:space="preserve"> Time!R$106</f>
        <v>1</v>
      </c>
      <c r="S246" s="125">
        <f xml:space="preserve"> Time!S$106</f>
        <v>1</v>
      </c>
      <c r="T246" s="125">
        <f xml:space="preserve"> Time!T$106</f>
        <v>1</v>
      </c>
      <c r="U246" s="125">
        <f xml:space="preserve"> Time!U$106</f>
        <v>1</v>
      </c>
      <c r="V246" s="125">
        <f xml:space="preserve"> Time!V$106</f>
        <v>1</v>
      </c>
      <c r="W246" s="125">
        <f xml:space="preserve"> Time!W$106</f>
        <v>1</v>
      </c>
      <c r="X246" s="125">
        <f xml:space="preserve"> Time!X$106</f>
        <v>1</v>
      </c>
      <c r="Y246" s="125">
        <f xml:space="preserve"> Time!Y$106</f>
        <v>1</v>
      </c>
      <c r="Z246" s="125">
        <f xml:space="preserve"> Time!Z$106</f>
        <v>1</v>
      </c>
      <c r="AA246" s="125">
        <f xml:space="preserve"> Time!AA$106</f>
        <v>1</v>
      </c>
      <c r="AB246" s="125">
        <f xml:space="preserve"> Time!AB$106</f>
        <v>1</v>
      </c>
      <c r="AC246" s="125">
        <f xml:space="preserve"> Time!AC$106</f>
        <v>1</v>
      </c>
      <c r="AD246" s="125">
        <f xml:space="preserve"> Time!AD$106</f>
        <v>1</v>
      </c>
      <c r="AE246" s="125">
        <f xml:space="preserve"> Time!AE$106</f>
        <v>1</v>
      </c>
      <c r="AF246" s="125">
        <f xml:space="preserve"> Time!AF$106</f>
        <v>1</v>
      </c>
      <c r="AG246" s="125">
        <f xml:space="preserve"> Time!AG$106</f>
        <v>1</v>
      </c>
      <c r="AH246" s="125">
        <f xml:space="preserve"> Time!AH$106</f>
        <v>1</v>
      </c>
      <c r="AI246" s="125">
        <f xml:space="preserve"> Time!AI$106</f>
        <v>1</v>
      </c>
      <c r="AJ246" s="125">
        <f xml:space="preserve"> Time!AJ$106</f>
        <v>1</v>
      </c>
      <c r="AK246" s="125">
        <f xml:space="preserve"> Time!AK$106</f>
        <v>1</v>
      </c>
      <c r="AL246" s="125">
        <f xml:space="preserve"> Time!AL$106</f>
        <v>1</v>
      </c>
      <c r="AM246" s="125">
        <f xml:space="preserve"> Time!AM$106</f>
        <v>1</v>
      </c>
      <c r="AN246" s="125">
        <f xml:space="preserve"> Time!AN$106</f>
        <v>1</v>
      </c>
      <c r="AO246" s="125">
        <f xml:space="preserve"> Time!AO$106</f>
        <v>1</v>
      </c>
      <c r="AP246" s="125">
        <f xml:space="preserve"> Time!AP$106</f>
        <v>1</v>
      </c>
      <c r="AQ246" s="125">
        <f xml:space="preserve"> Time!AQ$106</f>
        <v>1</v>
      </c>
      <c r="AR246" s="125">
        <f xml:space="preserve"> Time!AR$106</f>
        <v>1</v>
      </c>
      <c r="AS246" s="125">
        <f xml:space="preserve"> Time!AS$106</f>
        <v>1</v>
      </c>
      <c r="AT246" s="125">
        <f xml:space="preserve"> Time!AT$106</f>
        <v>1</v>
      </c>
      <c r="AU246" s="125">
        <f xml:space="preserve"> Time!AU$106</f>
        <v>1</v>
      </c>
      <c r="AV246" s="125">
        <f xml:space="preserve"> Time!AV$106</f>
        <v>1</v>
      </c>
      <c r="AW246" s="125">
        <f xml:space="preserve"> Time!AW$106</f>
        <v>1</v>
      </c>
      <c r="AX246" s="125">
        <f xml:space="preserve"> Time!AX$106</f>
        <v>1</v>
      </c>
      <c r="AY246" s="125">
        <f xml:space="preserve"> Time!AY$106</f>
        <v>1</v>
      </c>
      <c r="AZ246" s="125">
        <f xml:space="preserve"> Time!AZ$106</f>
        <v>1</v>
      </c>
      <c r="BA246" s="125">
        <f xml:space="preserve"> Time!BA$106</f>
        <v>1</v>
      </c>
      <c r="BB246" s="125">
        <f xml:space="preserve"> Time!BB$106</f>
        <v>1</v>
      </c>
      <c r="BC246" s="125">
        <f xml:space="preserve"> Time!BC$106</f>
        <v>0</v>
      </c>
      <c r="BD246" s="125">
        <f xml:space="preserve"> Time!BD$106</f>
        <v>0</v>
      </c>
      <c r="BE246" s="125">
        <f xml:space="preserve"> Time!BE$106</f>
        <v>0</v>
      </c>
      <c r="BF246" s="125">
        <f xml:space="preserve"> Time!BF$106</f>
        <v>0</v>
      </c>
      <c r="BG246" s="125">
        <f xml:space="preserve"> Time!BG$106</f>
        <v>0</v>
      </c>
      <c r="BH246" s="125">
        <f xml:space="preserve"> Time!BH$106</f>
        <v>0</v>
      </c>
      <c r="BI246" s="125">
        <f xml:space="preserve"> Time!BI$106</f>
        <v>0</v>
      </c>
      <c r="BJ246" s="125">
        <f xml:space="preserve"> Time!BJ$106</f>
        <v>0</v>
      </c>
      <c r="BK246" s="125">
        <f xml:space="preserve"> Time!BK$106</f>
        <v>0</v>
      </c>
      <c r="BL246" s="125">
        <f xml:space="preserve"> Time!BL$106</f>
        <v>0</v>
      </c>
      <c r="BM246" s="125">
        <f xml:space="preserve"> Time!BM$106</f>
        <v>0</v>
      </c>
      <c r="BN246" s="125">
        <f xml:space="preserve"> Time!BN$106</f>
        <v>0</v>
      </c>
      <c r="BO246" s="125">
        <f xml:space="preserve"> Time!BO$106</f>
        <v>0</v>
      </c>
      <c r="BP246" s="125">
        <f xml:space="preserve"> Time!BP$106</f>
        <v>0</v>
      </c>
      <c r="BQ246" s="125">
        <f xml:space="preserve"> Time!BQ$106</f>
        <v>0</v>
      </c>
      <c r="BR246" s="125">
        <f xml:space="preserve"> Time!BR$106</f>
        <v>0</v>
      </c>
      <c r="BS246" s="125">
        <f xml:space="preserve"> Time!BS$106</f>
        <v>0</v>
      </c>
      <c r="BT246" s="125">
        <f xml:space="preserve"> Time!BT$106</f>
        <v>0</v>
      </c>
      <c r="BU246" s="125">
        <f xml:space="preserve"> Time!BU$106</f>
        <v>0</v>
      </c>
      <c r="BV246" s="125">
        <f xml:space="preserve"> Time!BV$106</f>
        <v>0</v>
      </c>
      <c r="BW246" s="125">
        <f xml:space="preserve"> Time!BW$106</f>
        <v>0</v>
      </c>
      <c r="BX246" s="125">
        <f xml:space="preserve"> Time!BX$106</f>
        <v>0</v>
      </c>
      <c r="BY246" s="125">
        <f xml:space="preserve"> Time!BY$106</f>
        <v>0</v>
      </c>
      <c r="BZ246" s="125">
        <f xml:space="preserve"> Time!BZ$106</f>
        <v>0</v>
      </c>
      <c r="CA246" s="125">
        <f xml:space="preserve"> Time!CA$106</f>
        <v>0</v>
      </c>
      <c r="CB246" s="125">
        <f xml:space="preserve"> Time!CB$106</f>
        <v>0</v>
      </c>
      <c r="CC246" s="125">
        <f xml:space="preserve"> Time!CC$106</f>
        <v>0</v>
      </c>
      <c r="CD246" s="125">
        <f xml:space="preserve"> Time!CD$106</f>
        <v>0</v>
      </c>
      <c r="CE246" s="125">
        <f xml:space="preserve"> Time!CE$106</f>
        <v>0</v>
      </c>
      <c r="CF246" s="125">
        <f xml:space="preserve"> Time!CF$106</f>
        <v>0</v>
      </c>
      <c r="CG246" s="125">
        <f xml:space="preserve"> Time!CG$106</f>
        <v>0</v>
      </c>
      <c r="CH246" s="125">
        <f xml:space="preserve"> Time!CH$106</f>
        <v>0</v>
      </c>
      <c r="CI246" s="125">
        <f xml:space="preserve"> Time!CI$106</f>
        <v>0</v>
      </c>
      <c r="CJ246" s="125">
        <f xml:space="preserve"> Time!CJ$106</f>
        <v>0</v>
      </c>
      <c r="CK246" s="125">
        <f xml:space="preserve"> Time!CK$106</f>
        <v>0</v>
      </c>
      <c r="CL246" s="125">
        <f xml:space="preserve"> Time!CL$106</f>
        <v>0</v>
      </c>
      <c r="CM246" s="125">
        <f xml:space="preserve"> Time!CM$106</f>
        <v>0</v>
      </c>
      <c r="CN246" s="125">
        <f xml:space="preserve"> Time!CN$106</f>
        <v>0</v>
      </c>
      <c r="CO246" s="125">
        <f xml:space="preserve"> Time!CO$106</f>
        <v>0</v>
      </c>
      <c r="CP246" s="125">
        <f xml:space="preserve"> Time!CP$106</f>
        <v>0</v>
      </c>
      <c r="CQ246" s="125">
        <f xml:space="preserve"> Time!CQ$106</f>
        <v>0</v>
      </c>
      <c r="CR246" s="125">
        <f xml:space="preserve"> Time!CR$106</f>
        <v>0</v>
      </c>
      <c r="CS246" s="125">
        <f xml:space="preserve"> Time!CS$106</f>
        <v>0</v>
      </c>
      <c r="CT246" s="125">
        <f xml:space="preserve"> Time!CT$106</f>
        <v>0</v>
      </c>
      <c r="CU246" s="125">
        <f xml:space="preserve"> Time!CU$106</f>
        <v>0</v>
      </c>
      <c r="CV246" s="125">
        <f xml:space="preserve"> Time!CV$106</f>
        <v>0</v>
      </c>
    </row>
    <row r="247" spans="1:100" ht="15" customHeight="1" outlineLevel="2" x14ac:dyDescent="0.2">
      <c r="A247" s="79"/>
      <c r="B247" s="79"/>
      <c r="C247" s="561"/>
      <c r="D247" s="60"/>
      <c r="E247" s="125" t="str">
        <f xml:space="preserve"> Time!E$110</f>
        <v>First post operating period flag</v>
      </c>
      <c r="F247" s="125">
        <f xml:space="preserve"> Time!F$110</f>
        <v>0</v>
      </c>
      <c r="G247" s="125" t="str">
        <f xml:space="preserve"> Time!G$110</f>
        <v>flag</v>
      </c>
      <c r="H247" s="125">
        <f xml:space="preserve"> Time!H$110</f>
        <v>1</v>
      </c>
      <c r="I247" s="125">
        <f xml:space="preserve"> Time!I$110</f>
        <v>0</v>
      </c>
      <c r="J247" s="125">
        <f xml:space="preserve"> Time!J$110</f>
        <v>0</v>
      </c>
      <c r="K247" s="125">
        <f xml:space="preserve"> Time!K$110</f>
        <v>0</v>
      </c>
      <c r="L247" s="125">
        <f xml:space="preserve"> Time!L$110</f>
        <v>0</v>
      </c>
      <c r="M247" s="125">
        <f xml:space="preserve"> Time!M$110</f>
        <v>0</v>
      </c>
      <c r="N247" s="125">
        <f xml:space="preserve"> Time!N$110</f>
        <v>0</v>
      </c>
      <c r="O247" s="125">
        <f xml:space="preserve"> Time!O$110</f>
        <v>0</v>
      </c>
      <c r="P247" s="125">
        <f xml:space="preserve"> Time!P$110</f>
        <v>0</v>
      </c>
      <c r="Q247" s="125">
        <f xml:space="preserve"> Time!Q$110</f>
        <v>0</v>
      </c>
      <c r="R247" s="125">
        <f xml:space="preserve"> Time!R$110</f>
        <v>0</v>
      </c>
      <c r="S247" s="125">
        <f xml:space="preserve"> Time!S$110</f>
        <v>0</v>
      </c>
      <c r="T247" s="125">
        <f xml:space="preserve"> Time!T$110</f>
        <v>0</v>
      </c>
      <c r="U247" s="125">
        <f xml:space="preserve"> Time!U$110</f>
        <v>0</v>
      </c>
      <c r="V247" s="125">
        <f xml:space="preserve"> Time!V$110</f>
        <v>0</v>
      </c>
      <c r="W247" s="125">
        <f xml:space="preserve"> Time!W$110</f>
        <v>0</v>
      </c>
      <c r="X247" s="125">
        <f xml:space="preserve"> Time!X$110</f>
        <v>0</v>
      </c>
      <c r="Y247" s="125">
        <f xml:space="preserve"> Time!Y$110</f>
        <v>0</v>
      </c>
      <c r="Z247" s="125">
        <f xml:space="preserve"> Time!Z$110</f>
        <v>0</v>
      </c>
      <c r="AA247" s="125">
        <f xml:space="preserve"> Time!AA$110</f>
        <v>0</v>
      </c>
      <c r="AB247" s="125">
        <f xml:space="preserve"> Time!AB$110</f>
        <v>0</v>
      </c>
      <c r="AC247" s="125">
        <f xml:space="preserve"> Time!AC$110</f>
        <v>0</v>
      </c>
      <c r="AD247" s="125">
        <f xml:space="preserve"> Time!AD$110</f>
        <v>0</v>
      </c>
      <c r="AE247" s="125">
        <f xml:space="preserve"> Time!AE$110</f>
        <v>0</v>
      </c>
      <c r="AF247" s="125">
        <f xml:space="preserve"> Time!AF$110</f>
        <v>0</v>
      </c>
      <c r="AG247" s="125">
        <f xml:space="preserve"> Time!AG$110</f>
        <v>0</v>
      </c>
      <c r="AH247" s="125">
        <f xml:space="preserve"> Time!AH$110</f>
        <v>0</v>
      </c>
      <c r="AI247" s="125">
        <f xml:space="preserve"> Time!AI$110</f>
        <v>0</v>
      </c>
      <c r="AJ247" s="125">
        <f xml:space="preserve"> Time!AJ$110</f>
        <v>0</v>
      </c>
      <c r="AK247" s="125">
        <f xml:space="preserve"> Time!AK$110</f>
        <v>0</v>
      </c>
      <c r="AL247" s="125">
        <f xml:space="preserve"> Time!AL$110</f>
        <v>0</v>
      </c>
      <c r="AM247" s="125">
        <f xml:space="preserve"> Time!AM$110</f>
        <v>0</v>
      </c>
      <c r="AN247" s="125">
        <f xml:space="preserve"> Time!AN$110</f>
        <v>0</v>
      </c>
      <c r="AO247" s="125">
        <f xml:space="preserve"> Time!AO$110</f>
        <v>0</v>
      </c>
      <c r="AP247" s="125">
        <f xml:space="preserve"> Time!AP$110</f>
        <v>0</v>
      </c>
      <c r="AQ247" s="125">
        <f xml:space="preserve"> Time!AQ$110</f>
        <v>0</v>
      </c>
      <c r="AR247" s="125">
        <f xml:space="preserve"> Time!AR$110</f>
        <v>0</v>
      </c>
      <c r="AS247" s="125">
        <f xml:space="preserve"> Time!AS$110</f>
        <v>0</v>
      </c>
      <c r="AT247" s="125">
        <f xml:space="preserve"> Time!AT$110</f>
        <v>0</v>
      </c>
      <c r="AU247" s="125">
        <f xml:space="preserve"> Time!AU$110</f>
        <v>0</v>
      </c>
      <c r="AV247" s="125">
        <f xml:space="preserve"> Time!AV$110</f>
        <v>0</v>
      </c>
      <c r="AW247" s="125">
        <f xml:space="preserve"> Time!AW$110</f>
        <v>0</v>
      </c>
      <c r="AX247" s="125">
        <f xml:space="preserve"> Time!AX$110</f>
        <v>0</v>
      </c>
      <c r="AY247" s="125">
        <f xml:space="preserve"> Time!AY$110</f>
        <v>0</v>
      </c>
      <c r="AZ247" s="125">
        <f xml:space="preserve"> Time!AZ$110</f>
        <v>0</v>
      </c>
      <c r="BA247" s="125">
        <f xml:space="preserve"> Time!BA$110</f>
        <v>0</v>
      </c>
      <c r="BB247" s="125">
        <f xml:space="preserve"> Time!BB$110</f>
        <v>0</v>
      </c>
      <c r="BC247" s="125">
        <f xml:space="preserve"> Time!BC$110</f>
        <v>1</v>
      </c>
      <c r="BD247" s="125">
        <f xml:space="preserve"> Time!BD$110</f>
        <v>0</v>
      </c>
      <c r="BE247" s="125">
        <f xml:space="preserve"> Time!BE$110</f>
        <v>0</v>
      </c>
      <c r="BF247" s="125">
        <f xml:space="preserve"> Time!BF$110</f>
        <v>0</v>
      </c>
      <c r="BG247" s="125">
        <f xml:space="preserve"> Time!BG$110</f>
        <v>0</v>
      </c>
      <c r="BH247" s="125">
        <f xml:space="preserve"> Time!BH$110</f>
        <v>0</v>
      </c>
      <c r="BI247" s="125">
        <f xml:space="preserve"> Time!BI$110</f>
        <v>0</v>
      </c>
      <c r="BJ247" s="125">
        <f xml:space="preserve"> Time!BJ$110</f>
        <v>0</v>
      </c>
      <c r="BK247" s="125">
        <f xml:space="preserve"> Time!BK$110</f>
        <v>0</v>
      </c>
      <c r="BL247" s="125">
        <f xml:space="preserve"> Time!BL$110</f>
        <v>0</v>
      </c>
      <c r="BM247" s="125">
        <f xml:space="preserve"> Time!BM$110</f>
        <v>0</v>
      </c>
      <c r="BN247" s="125">
        <f xml:space="preserve"> Time!BN$110</f>
        <v>0</v>
      </c>
      <c r="BO247" s="125">
        <f xml:space="preserve"> Time!BO$110</f>
        <v>0</v>
      </c>
      <c r="BP247" s="125">
        <f xml:space="preserve"> Time!BP$110</f>
        <v>0</v>
      </c>
      <c r="BQ247" s="125">
        <f xml:space="preserve"> Time!BQ$110</f>
        <v>0</v>
      </c>
      <c r="BR247" s="125">
        <f xml:space="preserve"> Time!BR$110</f>
        <v>0</v>
      </c>
      <c r="BS247" s="125">
        <f xml:space="preserve"> Time!BS$110</f>
        <v>0</v>
      </c>
      <c r="BT247" s="125">
        <f xml:space="preserve"> Time!BT$110</f>
        <v>0</v>
      </c>
      <c r="BU247" s="125">
        <f xml:space="preserve"> Time!BU$110</f>
        <v>0</v>
      </c>
      <c r="BV247" s="125">
        <f xml:space="preserve"> Time!BV$110</f>
        <v>0</v>
      </c>
      <c r="BW247" s="125">
        <f xml:space="preserve"> Time!BW$110</f>
        <v>0</v>
      </c>
      <c r="BX247" s="125">
        <f xml:space="preserve"> Time!BX$110</f>
        <v>0</v>
      </c>
      <c r="BY247" s="125">
        <f xml:space="preserve"> Time!BY$110</f>
        <v>0</v>
      </c>
      <c r="BZ247" s="125">
        <f xml:space="preserve"> Time!BZ$110</f>
        <v>0</v>
      </c>
      <c r="CA247" s="125">
        <f xml:space="preserve"> Time!CA$110</f>
        <v>0</v>
      </c>
      <c r="CB247" s="125">
        <f xml:space="preserve"> Time!CB$110</f>
        <v>0</v>
      </c>
      <c r="CC247" s="125">
        <f xml:space="preserve"> Time!CC$110</f>
        <v>0</v>
      </c>
      <c r="CD247" s="125">
        <f xml:space="preserve"> Time!CD$110</f>
        <v>0</v>
      </c>
      <c r="CE247" s="125">
        <f xml:space="preserve"> Time!CE$110</f>
        <v>0</v>
      </c>
      <c r="CF247" s="125">
        <f xml:space="preserve"> Time!CF$110</f>
        <v>0</v>
      </c>
      <c r="CG247" s="125">
        <f xml:space="preserve"> Time!CG$110</f>
        <v>0</v>
      </c>
      <c r="CH247" s="125">
        <f xml:space="preserve"> Time!CH$110</f>
        <v>0</v>
      </c>
      <c r="CI247" s="125">
        <f xml:space="preserve"> Time!CI$110</f>
        <v>0</v>
      </c>
      <c r="CJ247" s="125">
        <f xml:space="preserve"> Time!CJ$110</f>
        <v>0</v>
      </c>
      <c r="CK247" s="125">
        <f xml:space="preserve"> Time!CK$110</f>
        <v>0</v>
      </c>
      <c r="CL247" s="125">
        <f xml:space="preserve"> Time!CL$110</f>
        <v>0</v>
      </c>
      <c r="CM247" s="125">
        <f xml:space="preserve"> Time!CM$110</f>
        <v>0</v>
      </c>
      <c r="CN247" s="125">
        <f xml:space="preserve"> Time!CN$110</f>
        <v>0</v>
      </c>
      <c r="CO247" s="125">
        <f xml:space="preserve"> Time!CO$110</f>
        <v>0</v>
      </c>
      <c r="CP247" s="125">
        <f xml:space="preserve"> Time!CP$110</f>
        <v>0</v>
      </c>
      <c r="CQ247" s="125">
        <f xml:space="preserve"> Time!CQ$110</f>
        <v>0</v>
      </c>
      <c r="CR247" s="125">
        <f xml:space="preserve"> Time!CR$110</f>
        <v>0</v>
      </c>
      <c r="CS247" s="125">
        <f xml:space="preserve"> Time!CS$110</f>
        <v>0</v>
      </c>
      <c r="CT247" s="125">
        <f xml:space="preserve"> Time!CT$110</f>
        <v>0</v>
      </c>
      <c r="CU247" s="125">
        <f xml:space="preserve"> Time!CU$110</f>
        <v>0</v>
      </c>
      <c r="CV247" s="125">
        <f xml:space="preserve"> Time!CV$110</f>
        <v>0</v>
      </c>
    </row>
    <row r="248" spans="1:100" s="188" customFormat="1" ht="15" customHeight="1" outlineLevel="2" x14ac:dyDescent="0.2">
      <c r="A248" s="397"/>
      <c r="B248" s="397"/>
      <c r="C248" s="566"/>
      <c r="D248" s="484"/>
      <c r="E248" s="188" t="s">
        <v>1177</v>
      </c>
      <c r="G248" s="188" t="str">
        <f xml:space="preserve"> SMU</f>
        <v>$ 000s</v>
      </c>
      <c r="H248" s="188">
        <f xml:space="preserve"> SUM(J248:CV248)</f>
        <v>0</v>
      </c>
      <c r="J248" s="188">
        <f t="shared" ref="J248:AO248" si="678">SUM(J244:J245) * MAX(J246, J247)</f>
        <v>0</v>
      </c>
      <c r="K248" s="188">
        <f t="shared" si="678"/>
        <v>0</v>
      </c>
      <c r="L248" s="188">
        <f t="shared" si="678"/>
        <v>0</v>
      </c>
      <c r="M248" s="188">
        <f t="shared" si="678"/>
        <v>0</v>
      </c>
      <c r="N248" s="188">
        <f t="shared" si="678"/>
        <v>0</v>
      </c>
      <c r="O248" s="188">
        <f t="shared" si="678"/>
        <v>-2942.2107868979674</v>
      </c>
      <c r="P248" s="188">
        <f t="shared" si="678"/>
        <v>-48.765924644716506</v>
      </c>
      <c r="Q248" s="188">
        <f t="shared" si="678"/>
        <v>76.398725765154268</v>
      </c>
      <c r="R248" s="188">
        <f t="shared" si="678"/>
        <v>-48.307922416201109</v>
      </c>
      <c r="S248" s="188">
        <f t="shared" si="678"/>
        <v>76.323888706903745</v>
      </c>
      <c r="T248" s="188">
        <f t="shared" si="678"/>
        <v>-47.843569383759132</v>
      </c>
      <c r="U248" s="188">
        <f t="shared" si="678"/>
        <v>76.250758464559112</v>
      </c>
      <c r="V248" s="188">
        <f t="shared" si="678"/>
        <v>-31.40829483962716</v>
      </c>
      <c r="W248" s="188">
        <f t="shared" si="678"/>
        <v>60.214925701877291</v>
      </c>
      <c r="X248" s="188">
        <f t="shared" si="678"/>
        <v>-46.895274025585422</v>
      </c>
      <c r="Y248" s="188">
        <f t="shared" si="678"/>
        <v>76.109730277243216</v>
      </c>
      <c r="Z248" s="188">
        <f t="shared" si="678"/>
        <v>-46.411056518652913</v>
      </c>
      <c r="AA248" s="188">
        <f t="shared" si="678"/>
        <v>76.041889694531164</v>
      </c>
      <c r="AB248" s="188">
        <f t="shared" si="678"/>
        <v>-45.919937736734937</v>
      </c>
      <c r="AC248" s="188">
        <f t="shared" si="678"/>
        <v>75.975870675257283</v>
      </c>
      <c r="AD248" s="188">
        <f t="shared" si="678"/>
        <v>-30.114801947007436</v>
      </c>
      <c r="AE248" s="188">
        <f t="shared" si="678"/>
        <v>60.604732234822222</v>
      </c>
      <c r="AF248" s="188">
        <f t="shared" si="678"/>
        <v>-44.916415141821744</v>
      </c>
      <c r="AG248" s="188">
        <f t="shared" si="678"/>
        <v>75.849418627566592</v>
      </c>
      <c r="AH248" s="188">
        <f t="shared" si="678"/>
        <v>-44.403713426588183</v>
      </c>
      <c r="AI248" s="188">
        <f t="shared" si="678"/>
        <v>75.789047805285009</v>
      </c>
      <c r="AJ248" s="188">
        <f t="shared" si="678"/>
        <v>-43.883514514232957</v>
      </c>
      <c r="AK248" s="188">
        <f t="shared" si="678"/>
        <v>75.730622983678586</v>
      </c>
      <c r="AL248" s="188">
        <f t="shared" si="678"/>
        <v>-28.744962643471808</v>
      </c>
      <c r="AM248" s="188">
        <f t="shared" si="678"/>
        <v>61.063477634055744</v>
      </c>
      <c r="AN248" s="188">
        <f t="shared" si="678"/>
        <v>-42.819995893350097</v>
      </c>
      <c r="AO248" s="188">
        <f t="shared" si="678"/>
        <v>75.619742872813731</v>
      </c>
      <c r="AP248" s="188">
        <f t="shared" ref="AP248:BU248" si="679">SUM(AP244:AP245) * MAX(AP246, AP247)</f>
        <v>-42.276353678219493</v>
      </c>
      <c r="AQ248" s="188">
        <f t="shared" si="679"/>
        <v>75.56735503285563</v>
      </c>
      <c r="AR248" s="188">
        <f t="shared" si="679"/>
        <v>-41.724569125380185</v>
      </c>
      <c r="AS248" s="188">
        <f t="shared" si="679"/>
        <v>75.517048119184437</v>
      </c>
      <c r="AT248" s="188">
        <f t="shared" si="679"/>
        <v>-27.292196244370643</v>
      </c>
      <c r="AU248" s="188">
        <f t="shared" si="679"/>
        <v>61.596581057702679</v>
      </c>
      <c r="AV248" s="188">
        <f t="shared" si="679"/>
        <v>-40.595891824711543</v>
      </c>
      <c r="AW248" s="188">
        <f t="shared" si="679"/>
        <v>75.422819674129641</v>
      </c>
      <c r="AX248" s="188">
        <f t="shared" si="679"/>
        <v>-40.018649926655598</v>
      </c>
      <c r="AY248" s="188">
        <f t="shared" si="679"/>
        <v>75.378971267460656</v>
      </c>
      <c r="AZ248" s="188">
        <f t="shared" si="679"/>
        <v>-39.432567252496483</v>
      </c>
      <c r="BA248" s="188">
        <f t="shared" si="679"/>
        <v>75.337350065727151</v>
      </c>
      <c r="BB248" s="188">
        <f t="shared" si="679"/>
        <v>2343.1934414207426</v>
      </c>
      <c r="BC248" s="188">
        <f t="shared" si="679"/>
        <v>0</v>
      </c>
      <c r="BD248" s="188">
        <f t="shared" si="679"/>
        <v>0</v>
      </c>
      <c r="BE248" s="188">
        <f t="shared" si="679"/>
        <v>0</v>
      </c>
      <c r="BF248" s="188">
        <f t="shared" si="679"/>
        <v>0</v>
      </c>
      <c r="BG248" s="188">
        <f t="shared" si="679"/>
        <v>0</v>
      </c>
      <c r="BH248" s="188">
        <f t="shared" si="679"/>
        <v>0</v>
      </c>
      <c r="BI248" s="188">
        <f t="shared" si="679"/>
        <v>0</v>
      </c>
      <c r="BJ248" s="188">
        <f t="shared" si="679"/>
        <v>0</v>
      </c>
      <c r="BK248" s="188">
        <f t="shared" si="679"/>
        <v>0</v>
      </c>
      <c r="BL248" s="188">
        <f t="shared" si="679"/>
        <v>0</v>
      </c>
      <c r="BM248" s="188">
        <f t="shared" si="679"/>
        <v>0</v>
      </c>
      <c r="BN248" s="188">
        <f t="shared" si="679"/>
        <v>0</v>
      </c>
      <c r="BO248" s="188">
        <f t="shared" si="679"/>
        <v>0</v>
      </c>
      <c r="BP248" s="188">
        <f t="shared" si="679"/>
        <v>0</v>
      </c>
      <c r="BQ248" s="188">
        <f t="shared" si="679"/>
        <v>0</v>
      </c>
      <c r="BR248" s="188">
        <f t="shared" si="679"/>
        <v>0</v>
      </c>
      <c r="BS248" s="188">
        <f t="shared" si="679"/>
        <v>0</v>
      </c>
      <c r="BT248" s="188">
        <f t="shared" si="679"/>
        <v>0</v>
      </c>
      <c r="BU248" s="188">
        <f t="shared" si="679"/>
        <v>0</v>
      </c>
      <c r="BV248" s="188">
        <f t="shared" ref="BV248:CV248" si="680">SUM(BV244:BV245) * MAX(BV246, BV247)</f>
        <v>0</v>
      </c>
      <c r="BW248" s="188">
        <f t="shared" si="680"/>
        <v>0</v>
      </c>
      <c r="BX248" s="188">
        <f t="shared" si="680"/>
        <v>0</v>
      </c>
      <c r="BY248" s="188">
        <f t="shared" si="680"/>
        <v>0</v>
      </c>
      <c r="BZ248" s="188">
        <f t="shared" si="680"/>
        <v>0</v>
      </c>
      <c r="CA248" s="188">
        <f t="shared" si="680"/>
        <v>0</v>
      </c>
      <c r="CB248" s="188">
        <f t="shared" si="680"/>
        <v>0</v>
      </c>
      <c r="CC248" s="188">
        <f t="shared" si="680"/>
        <v>0</v>
      </c>
      <c r="CD248" s="188">
        <f t="shared" si="680"/>
        <v>0</v>
      </c>
      <c r="CE248" s="188">
        <f t="shared" si="680"/>
        <v>0</v>
      </c>
      <c r="CF248" s="188">
        <f t="shared" si="680"/>
        <v>0</v>
      </c>
      <c r="CG248" s="188">
        <f t="shared" si="680"/>
        <v>0</v>
      </c>
      <c r="CH248" s="188">
        <f t="shared" si="680"/>
        <v>0</v>
      </c>
      <c r="CI248" s="188">
        <f t="shared" si="680"/>
        <v>0</v>
      </c>
      <c r="CJ248" s="188">
        <f t="shared" si="680"/>
        <v>0</v>
      </c>
      <c r="CK248" s="188">
        <f t="shared" si="680"/>
        <v>0</v>
      </c>
      <c r="CL248" s="188">
        <f t="shared" si="680"/>
        <v>0</v>
      </c>
      <c r="CM248" s="188">
        <f t="shared" si="680"/>
        <v>0</v>
      </c>
      <c r="CN248" s="188">
        <f t="shared" si="680"/>
        <v>0</v>
      </c>
      <c r="CO248" s="188">
        <f t="shared" si="680"/>
        <v>0</v>
      </c>
      <c r="CP248" s="188">
        <f t="shared" si="680"/>
        <v>0</v>
      </c>
      <c r="CQ248" s="188">
        <f t="shared" si="680"/>
        <v>0</v>
      </c>
      <c r="CR248" s="188">
        <f t="shared" si="680"/>
        <v>0</v>
      </c>
      <c r="CS248" s="188">
        <f t="shared" si="680"/>
        <v>0</v>
      </c>
      <c r="CT248" s="188">
        <f t="shared" si="680"/>
        <v>0</v>
      </c>
      <c r="CU248" s="188">
        <f t="shared" si="680"/>
        <v>0</v>
      </c>
      <c r="CV248" s="188">
        <f t="shared" si="680"/>
        <v>0</v>
      </c>
    </row>
    <row r="249" spans="1:100" s="188" customFormat="1" ht="15" customHeight="1" outlineLevel="2" x14ac:dyDescent="0.2">
      <c r="A249" s="397"/>
      <c r="B249" s="397"/>
      <c r="C249" s="566"/>
      <c r="D249" s="484"/>
    </row>
    <row r="250" spans="1:100" ht="15" customHeight="1" x14ac:dyDescent="0.2">
      <c r="A250" s="79"/>
      <c r="B250" s="79"/>
      <c r="C250" s="561"/>
      <c r="D250" s="60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32"/>
      <c r="CS250" s="32"/>
      <c r="CT250" s="32"/>
      <c r="CU250" s="32"/>
      <c r="CV250" s="32"/>
    </row>
    <row r="251" spans="1:100" x14ac:dyDescent="0.2">
      <c r="A251" s="236" t="s">
        <v>313</v>
      </c>
      <c r="B251" s="236"/>
      <c r="C251" s="237"/>
      <c r="D251" s="238"/>
      <c r="E251" s="235"/>
      <c r="F251" s="235"/>
      <c r="G251" s="235"/>
      <c r="H251" s="235"/>
      <c r="I251" s="235"/>
      <c r="J251" s="235"/>
      <c r="K251" s="235"/>
      <c r="L251" s="235"/>
      <c r="M251" s="235"/>
      <c r="N251" s="235"/>
      <c r="O251" s="235"/>
      <c r="P251" s="235"/>
      <c r="Q251" s="235"/>
      <c r="R251" s="235"/>
      <c r="S251" s="235"/>
      <c r="T251" s="235"/>
      <c r="U251" s="235"/>
      <c r="V251" s="235"/>
      <c r="W251" s="235"/>
      <c r="X251" s="235"/>
      <c r="Y251" s="235"/>
      <c r="Z251" s="235"/>
      <c r="AA251" s="235"/>
      <c r="AB251" s="235"/>
      <c r="AC251" s="235"/>
      <c r="AD251" s="235"/>
      <c r="AE251" s="235"/>
      <c r="AF251" s="235"/>
      <c r="AG251" s="235"/>
      <c r="AH251" s="235"/>
      <c r="AI251" s="235"/>
      <c r="AJ251" s="235"/>
      <c r="AK251" s="235"/>
      <c r="AL251" s="235"/>
      <c r="AM251" s="235"/>
      <c r="AN251" s="235"/>
      <c r="AO251" s="235"/>
      <c r="AP251" s="235"/>
      <c r="AQ251" s="235"/>
      <c r="AR251" s="235"/>
      <c r="AS251" s="235"/>
      <c r="AT251" s="235"/>
      <c r="AU251" s="235"/>
      <c r="AV251" s="235"/>
      <c r="AW251" s="235"/>
      <c r="AX251" s="235"/>
      <c r="AY251" s="235"/>
      <c r="AZ251" s="235"/>
      <c r="BA251" s="235"/>
      <c r="BB251" s="235"/>
      <c r="BC251" s="235"/>
      <c r="BD251" s="235"/>
      <c r="BE251" s="235"/>
      <c r="BF251" s="235"/>
      <c r="BG251" s="235"/>
      <c r="BH251" s="235"/>
      <c r="BI251" s="235"/>
      <c r="BJ251" s="235"/>
      <c r="BK251" s="235"/>
      <c r="BL251" s="235"/>
      <c r="BM251" s="235"/>
      <c r="BN251" s="235"/>
      <c r="BO251" s="235"/>
      <c r="BP251" s="235"/>
      <c r="BQ251" s="235"/>
      <c r="BR251" s="235"/>
      <c r="BS251" s="235"/>
      <c r="BT251" s="235"/>
      <c r="BU251" s="235"/>
      <c r="BV251" s="235"/>
      <c r="BW251" s="235"/>
      <c r="BX251" s="235"/>
      <c r="BY251" s="235"/>
      <c r="BZ251" s="235"/>
      <c r="CA251" s="235"/>
      <c r="CB251" s="235"/>
      <c r="CC251" s="235"/>
      <c r="CD251" s="235"/>
      <c r="CE251" s="235"/>
      <c r="CF251" s="235"/>
      <c r="CG251" s="235"/>
      <c r="CH251" s="235"/>
      <c r="CI251" s="235"/>
      <c r="CJ251" s="235"/>
      <c r="CK251" s="235"/>
      <c r="CL251" s="235"/>
      <c r="CM251" s="235"/>
      <c r="CN251" s="235"/>
      <c r="CO251" s="235"/>
      <c r="CP251" s="235"/>
      <c r="CQ251" s="235"/>
      <c r="CR251" s="235"/>
      <c r="CS251" s="235"/>
      <c r="CT251" s="235"/>
      <c r="CU251" s="235"/>
      <c r="CV251" s="235"/>
    </row>
    <row r="252" spans="1:100" outlineLevel="1" x14ac:dyDescent="0.2">
      <c r="A252" s="236"/>
      <c r="B252" s="236"/>
      <c r="C252" s="237"/>
      <c r="D252" s="238"/>
      <c r="E252" s="235"/>
      <c r="F252" s="235"/>
      <c r="G252" s="235"/>
      <c r="H252" s="235"/>
      <c r="I252" s="235"/>
      <c r="J252" s="235"/>
      <c r="K252" s="235"/>
      <c r="L252" s="235"/>
      <c r="M252" s="235"/>
      <c r="N252" s="235"/>
      <c r="O252" s="235"/>
      <c r="P252" s="235"/>
      <c r="Q252" s="235"/>
      <c r="R252" s="235"/>
      <c r="S252" s="235"/>
      <c r="T252" s="235"/>
      <c r="U252" s="235"/>
      <c r="V252" s="235"/>
      <c r="W252" s="235"/>
      <c r="X252" s="235"/>
      <c r="Y252" s="235"/>
      <c r="Z252" s="235"/>
      <c r="AA252" s="235"/>
      <c r="AB252" s="235"/>
      <c r="AC252" s="235"/>
      <c r="AD252" s="235"/>
      <c r="AE252" s="235"/>
      <c r="AF252" s="235"/>
      <c r="AG252" s="235"/>
      <c r="AH252" s="235"/>
      <c r="AI252" s="235"/>
      <c r="AJ252" s="235"/>
      <c r="AK252" s="235"/>
      <c r="AL252" s="235"/>
      <c r="AM252" s="235"/>
      <c r="AN252" s="235"/>
      <c r="AO252" s="235"/>
      <c r="AP252" s="235"/>
      <c r="AQ252" s="235"/>
      <c r="AR252" s="235"/>
      <c r="AS252" s="235"/>
      <c r="AT252" s="235"/>
      <c r="AU252" s="235"/>
      <c r="AV252" s="235"/>
      <c r="AW252" s="235"/>
      <c r="AX252" s="235"/>
      <c r="AY252" s="235"/>
      <c r="AZ252" s="235"/>
      <c r="BA252" s="235"/>
      <c r="BB252" s="235"/>
      <c r="BC252" s="235"/>
      <c r="BD252" s="235"/>
      <c r="BE252" s="235"/>
      <c r="BF252" s="235"/>
      <c r="BG252" s="235"/>
      <c r="BH252" s="235"/>
      <c r="BI252" s="235"/>
      <c r="BJ252" s="235"/>
      <c r="BK252" s="235"/>
      <c r="BL252" s="235"/>
      <c r="BM252" s="235"/>
      <c r="BN252" s="235"/>
      <c r="BO252" s="235"/>
      <c r="BP252" s="235"/>
      <c r="BQ252" s="235"/>
      <c r="BR252" s="235"/>
      <c r="BS252" s="235"/>
      <c r="BT252" s="235"/>
      <c r="BU252" s="235"/>
      <c r="BV252" s="235"/>
      <c r="BW252" s="235"/>
      <c r="BX252" s="235"/>
      <c r="BY252" s="235"/>
      <c r="BZ252" s="235"/>
      <c r="CA252" s="235"/>
      <c r="CB252" s="235"/>
      <c r="CC252" s="235"/>
      <c r="CD252" s="235"/>
      <c r="CE252" s="235"/>
      <c r="CF252" s="235"/>
      <c r="CG252" s="235"/>
      <c r="CH252" s="235"/>
      <c r="CI252" s="235"/>
      <c r="CJ252" s="235"/>
      <c r="CK252" s="235"/>
      <c r="CL252" s="235"/>
      <c r="CM252" s="235"/>
      <c r="CN252" s="235"/>
      <c r="CO252" s="235"/>
      <c r="CP252" s="235"/>
      <c r="CQ252" s="235"/>
      <c r="CR252" s="235"/>
      <c r="CS252" s="235"/>
      <c r="CT252" s="235"/>
      <c r="CU252" s="235"/>
      <c r="CV252" s="235"/>
    </row>
    <row r="253" spans="1:100" outlineLevel="1" x14ac:dyDescent="0.2">
      <c r="A253" s="236"/>
      <c r="B253" s="236"/>
      <c r="C253" s="237"/>
      <c r="D253" s="238"/>
      <c r="E253" s="9" t="str">
        <f t="shared" ref="E253:AJ253" si="681" xml:space="preserve"> E$174</f>
        <v>Accounts receivable balance</v>
      </c>
      <c r="F253" s="9">
        <f t="shared" si="681"/>
        <v>0</v>
      </c>
      <c r="G253" s="9" t="str">
        <f t="shared" si="681"/>
        <v>$ 000s</v>
      </c>
      <c r="H253" s="9">
        <f t="shared" si="681"/>
        <v>0</v>
      </c>
      <c r="I253" s="9">
        <f t="shared" si="681"/>
        <v>0</v>
      </c>
      <c r="J253" s="9">
        <f t="shared" si="681"/>
        <v>0</v>
      </c>
      <c r="K253" s="9">
        <f t="shared" si="681"/>
        <v>0</v>
      </c>
      <c r="L253" s="9">
        <f t="shared" si="681"/>
        <v>0</v>
      </c>
      <c r="M253" s="9">
        <f t="shared" si="681"/>
        <v>0</v>
      </c>
      <c r="N253" s="9">
        <f t="shared" si="681"/>
        <v>0</v>
      </c>
      <c r="O253" s="9">
        <f t="shared" si="681"/>
        <v>4916.0219990907426</v>
      </c>
      <c r="P253" s="9">
        <f t="shared" si="681"/>
        <v>4997.503026699982</v>
      </c>
      <c r="Q253" s="9">
        <f t="shared" si="681"/>
        <v>4908.0912426146242</v>
      </c>
      <c r="R253" s="9">
        <f t="shared" si="681"/>
        <v>4989.4408212214948</v>
      </c>
      <c r="S253" s="9">
        <f t="shared" si="681"/>
        <v>4900.2101183154118</v>
      </c>
      <c r="T253" s="9">
        <f t="shared" si="681"/>
        <v>4981.4290705526873</v>
      </c>
      <c r="U253" s="9">
        <f t="shared" si="681"/>
        <v>4892.379134354258</v>
      </c>
      <c r="V253" s="9">
        <f t="shared" si="681"/>
        <v>4946.141542424084</v>
      </c>
      <c r="W253" s="9">
        <f t="shared" si="681"/>
        <v>4884.5988087862861</v>
      </c>
      <c r="X253" s="9">
        <f t="shared" si="681"/>
        <v>4965.55901003689</v>
      </c>
      <c r="Y253" s="9">
        <f t="shared" si="681"/>
        <v>4876.8696697368323</v>
      </c>
      <c r="Z253" s="9">
        <f t="shared" si="681"/>
        <v>4957.7017637103709</v>
      </c>
      <c r="AA253" s="9">
        <f t="shared" si="681"/>
        <v>4869.1922555807796</v>
      </c>
      <c r="AB253" s="9">
        <f t="shared" si="681"/>
        <v>4949.897099595928</v>
      </c>
      <c r="AC253" s="9">
        <f t="shared" si="681"/>
        <v>4861.5671151251881</v>
      </c>
      <c r="AD253" s="9">
        <f t="shared" si="681"/>
        <v>4914.9909295771104</v>
      </c>
      <c r="AE253" s="9">
        <f t="shared" si="681"/>
        <v>4853.9948077951776</v>
      </c>
      <c r="AF253" s="9">
        <f t="shared" si="681"/>
        <v>4934.4477604105705</v>
      </c>
      <c r="AG253" s="9">
        <f t="shared" si="681"/>
        <v>4846.4759038231532</v>
      </c>
      <c r="AH253" s="9">
        <f t="shared" si="681"/>
        <v>4926.8042337207735</v>
      </c>
      <c r="AI253" s="9">
        <f t="shared" si="681"/>
        <v>4839.0109844414328</v>
      </c>
      <c r="AJ253" s="9">
        <f t="shared" si="681"/>
        <v>4919.2155863935004</v>
      </c>
      <c r="AK253" s="9">
        <f t="shared" ref="AK253:BP253" si="682" xml:space="preserve"> AK$174</f>
        <v>4831.6006420783342</v>
      </c>
      <c r="AL253" s="9">
        <f t="shared" si="682"/>
        <v>4884.6951546286473</v>
      </c>
      <c r="AM253" s="9">
        <f t="shared" si="682"/>
        <v>4824.24548055782</v>
      </c>
      <c r="AN253" s="9">
        <f t="shared" si="682"/>
        <v>4904.2053504013202</v>
      </c>
      <c r="AO253" s="9">
        <f t="shared" si="682"/>
        <v>4816.9461153026787</v>
      </c>
      <c r="AP253" s="9">
        <f t="shared" si="682"/>
        <v>4896.7850011916707</v>
      </c>
      <c r="AQ253" s="9">
        <f t="shared" si="682"/>
        <v>4809.7031735413948</v>
      </c>
      <c r="AR253" s="9">
        <f t="shared" si="682"/>
        <v>4889.4220106719185</v>
      </c>
      <c r="AS253" s="9">
        <f t="shared" si="682"/>
        <v>4802.5172945187405</v>
      </c>
      <c r="AT253" s="9">
        <f t="shared" si="682"/>
        <v>4855.2922098431227</v>
      </c>
      <c r="AU253" s="9">
        <f t="shared" si="682"/>
        <v>4795.3891297101291</v>
      </c>
      <c r="AV253" s="9">
        <f t="shared" si="682"/>
        <v>4874.8707174953779</v>
      </c>
      <c r="AW253" s="9">
        <f t="shared" si="682"/>
        <v>4788.319343039846</v>
      </c>
      <c r="AX253" s="9">
        <f t="shared" si="682"/>
        <v>4867.6837520405061</v>
      </c>
      <c r="AY253" s="9">
        <f t="shared" si="682"/>
        <v>4781.3086111031771</v>
      </c>
      <c r="AZ253" s="9">
        <f t="shared" si="682"/>
        <v>4860.5568201269853</v>
      </c>
      <c r="BA253" s="9">
        <f t="shared" si="682"/>
        <v>4774.3576233925705</v>
      </c>
      <c r="BB253" s="9">
        <f t="shared" si="682"/>
        <v>0</v>
      </c>
      <c r="BC253" s="9">
        <f t="shared" si="682"/>
        <v>0</v>
      </c>
      <c r="BD253" s="9">
        <f t="shared" si="682"/>
        <v>0</v>
      </c>
      <c r="BE253" s="9">
        <f t="shared" si="682"/>
        <v>0</v>
      </c>
      <c r="BF253" s="9">
        <f t="shared" si="682"/>
        <v>0</v>
      </c>
      <c r="BG253" s="9">
        <f t="shared" si="682"/>
        <v>0</v>
      </c>
      <c r="BH253" s="9">
        <f t="shared" si="682"/>
        <v>0</v>
      </c>
      <c r="BI253" s="9">
        <f t="shared" si="682"/>
        <v>0</v>
      </c>
      <c r="BJ253" s="9">
        <f t="shared" si="682"/>
        <v>0</v>
      </c>
      <c r="BK253" s="9">
        <f t="shared" si="682"/>
        <v>0</v>
      </c>
      <c r="BL253" s="9">
        <f t="shared" si="682"/>
        <v>0</v>
      </c>
      <c r="BM253" s="9">
        <f t="shared" si="682"/>
        <v>0</v>
      </c>
      <c r="BN253" s="9">
        <f t="shared" si="682"/>
        <v>0</v>
      </c>
      <c r="BO253" s="9">
        <f t="shared" si="682"/>
        <v>0</v>
      </c>
      <c r="BP253" s="9">
        <f t="shared" si="682"/>
        <v>0</v>
      </c>
      <c r="BQ253" s="9">
        <f t="shared" ref="BQ253:CV253" si="683" xml:space="preserve"> BQ$174</f>
        <v>0</v>
      </c>
      <c r="BR253" s="9">
        <f t="shared" si="683"/>
        <v>0</v>
      </c>
      <c r="BS253" s="9">
        <f t="shared" si="683"/>
        <v>0</v>
      </c>
      <c r="BT253" s="9">
        <f t="shared" si="683"/>
        <v>0</v>
      </c>
      <c r="BU253" s="9">
        <f t="shared" si="683"/>
        <v>0</v>
      </c>
      <c r="BV253" s="9">
        <f t="shared" si="683"/>
        <v>0</v>
      </c>
      <c r="BW253" s="9">
        <f t="shared" si="683"/>
        <v>0</v>
      </c>
      <c r="BX253" s="9">
        <f t="shared" si="683"/>
        <v>0</v>
      </c>
      <c r="BY253" s="9">
        <f t="shared" si="683"/>
        <v>0</v>
      </c>
      <c r="BZ253" s="9">
        <f t="shared" si="683"/>
        <v>0</v>
      </c>
      <c r="CA253" s="9">
        <f t="shared" si="683"/>
        <v>0</v>
      </c>
      <c r="CB253" s="9">
        <f t="shared" si="683"/>
        <v>0</v>
      </c>
      <c r="CC253" s="9">
        <f t="shared" si="683"/>
        <v>0</v>
      </c>
      <c r="CD253" s="9">
        <f t="shared" si="683"/>
        <v>0</v>
      </c>
      <c r="CE253" s="9">
        <f t="shared" si="683"/>
        <v>0</v>
      </c>
      <c r="CF253" s="9">
        <f t="shared" si="683"/>
        <v>0</v>
      </c>
      <c r="CG253" s="9">
        <f t="shared" si="683"/>
        <v>0</v>
      </c>
      <c r="CH253" s="9">
        <f t="shared" si="683"/>
        <v>0</v>
      </c>
      <c r="CI253" s="9">
        <f t="shared" si="683"/>
        <v>0</v>
      </c>
      <c r="CJ253" s="9">
        <f t="shared" si="683"/>
        <v>0</v>
      </c>
      <c r="CK253" s="9">
        <f t="shared" si="683"/>
        <v>0</v>
      </c>
      <c r="CL253" s="9">
        <f t="shared" si="683"/>
        <v>0</v>
      </c>
      <c r="CM253" s="9">
        <f t="shared" si="683"/>
        <v>0</v>
      </c>
      <c r="CN253" s="9">
        <f t="shared" si="683"/>
        <v>0</v>
      </c>
      <c r="CO253" s="9">
        <f t="shared" si="683"/>
        <v>0</v>
      </c>
      <c r="CP253" s="9">
        <f t="shared" si="683"/>
        <v>0</v>
      </c>
      <c r="CQ253" s="9">
        <f t="shared" si="683"/>
        <v>0</v>
      </c>
      <c r="CR253" s="9">
        <f t="shared" si="683"/>
        <v>0</v>
      </c>
      <c r="CS253" s="9">
        <f t="shared" si="683"/>
        <v>0</v>
      </c>
      <c r="CT253" s="9">
        <f t="shared" si="683"/>
        <v>0</v>
      </c>
      <c r="CU253" s="9">
        <f t="shared" si="683"/>
        <v>0</v>
      </c>
      <c r="CV253" s="9">
        <f t="shared" si="683"/>
        <v>0</v>
      </c>
    </row>
    <row r="254" spans="1:100" outlineLevel="1" x14ac:dyDescent="0.2">
      <c r="A254" s="236"/>
      <c r="B254" s="236"/>
      <c r="C254" s="237"/>
      <c r="D254" s="238" t="s">
        <v>307</v>
      </c>
      <c r="E254" s="9" t="str">
        <f t="shared" ref="E254:AJ254" si="684" xml:space="preserve"> E$225</f>
        <v>Accounts payable balance</v>
      </c>
      <c r="F254" s="9">
        <f t="shared" si="684"/>
        <v>0</v>
      </c>
      <c r="G254" s="9" t="str">
        <f t="shared" si="684"/>
        <v>$ 000s</v>
      </c>
      <c r="H254" s="9">
        <f t="shared" si="684"/>
        <v>0</v>
      </c>
      <c r="I254" s="9">
        <f t="shared" si="684"/>
        <v>0</v>
      </c>
      <c r="J254" s="9">
        <f t="shared" si="684"/>
        <v>0</v>
      </c>
      <c r="K254" s="9">
        <f t="shared" si="684"/>
        <v>0</v>
      </c>
      <c r="L254" s="9">
        <f t="shared" si="684"/>
        <v>0</v>
      </c>
      <c r="M254" s="9">
        <f t="shared" si="684"/>
        <v>0</v>
      </c>
      <c r="N254" s="9">
        <f t="shared" si="684"/>
        <v>0</v>
      </c>
      <c r="O254" s="9">
        <f t="shared" si="684"/>
        <v>1058.9010260869563</v>
      </c>
      <c r="P254" s="9">
        <f t="shared" si="684"/>
        <v>1076.4518718232048</v>
      </c>
      <c r="Q254" s="9">
        <f t="shared" si="684"/>
        <v>1080.0790466086955</v>
      </c>
      <c r="R254" s="9">
        <f t="shared" si="684"/>
        <v>1097.9809092596688</v>
      </c>
      <c r="S254" s="9">
        <f t="shared" si="684"/>
        <v>1101.6806275408699</v>
      </c>
      <c r="T254" s="9">
        <f t="shared" si="684"/>
        <v>1119.9405274448618</v>
      </c>
      <c r="U254" s="9">
        <f t="shared" si="684"/>
        <v>1123.7142400916873</v>
      </c>
      <c r="V254" s="9">
        <f t="shared" si="684"/>
        <v>1136.0627482245627</v>
      </c>
      <c r="W254" s="9">
        <f t="shared" si="684"/>
        <v>1146.1885248935205</v>
      </c>
      <c r="X254" s="9">
        <f t="shared" si="684"/>
        <v>1165.1861247536344</v>
      </c>
      <c r="Y254" s="9">
        <f t="shared" si="684"/>
        <v>1169.1122953913909</v>
      </c>
      <c r="Z254" s="9">
        <f t="shared" si="684"/>
        <v>1188.4898472487075</v>
      </c>
      <c r="AA254" s="9">
        <f t="shared" si="684"/>
        <v>1192.4945412992192</v>
      </c>
      <c r="AB254" s="9">
        <f t="shared" si="684"/>
        <v>1212.2596441936812</v>
      </c>
      <c r="AC254" s="9">
        <f t="shared" si="684"/>
        <v>1216.3444321252027</v>
      </c>
      <c r="AD254" s="9">
        <f t="shared" si="684"/>
        <v>1229.7108544562489</v>
      </c>
      <c r="AE254" s="9">
        <f t="shared" si="684"/>
        <v>1240.6713207677076</v>
      </c>
      <c r="AF254" s="9">
        <f t="shared" si="684"/>
        <v>1261.2349338191061</v>
      </c>
      <c r="AG254" s="9">
        <f t="shared" si="684"/>
        <v>1265.4847471830617</v>
      </c>
      <c r="AH254" s="9">
        <f t="shared" si="684"/>
        <v>1286.4596324954882</v>
      </c>
      <c r="AI254" s="9">
        <f t="shared" si="684"/>
        <v>1290.794442126723</v>
      </c>
      <c r="AJ254" s="9">
        <f t="shared" si="684"/>
        <v>1312.1888251453975</v>
      </c>
      <c r="AK254" s="9">
        <f t="shared" ref="AK254:BP254" si="685" xml:space="preserve"> AK$225</f>
        <v>1316.6103309692571</v>
      </c>
      <c r="AL254" s="9">
        <f t="shared" si="685"/>
        <v>1331.0785763645235</v>
      </c>
      <c r="AM254" s="9">
        <f t="shared" si="685"/>
        <v>1342.9425375886422</v>
      </c>
      <c r="AN254" s="9">
        <f t="shared" si="685"/>
        <v>1365.2012536812717</v>
      </c>
      <c r="AO254" s="9">
        <f t="shared" si="685"/>
        <v>1369.8013883404155</v>
      </c>
      <c r="AP254" s="9">
        <f t="shared" si="685"/>
        <v>1392.5052787548975</v>
      </c>
      <c r="AQ254" s="9">
        <f t="shared" si="685"/>
        <v>1397.197416107223</v>
      </c>
      <c r="AR254" s="9">
        <f t="shared" si="685"/>
        <v>1420.3553843299951</v>
      </c>
      <c r="AS254" s="9">
        <f t="shared" si="685"/>
        <v>1425.141364429368</v>
      </c>
      <c r="AT254" s="9">
        <f t="shared" si="685"/>
        <v>1440.8022585439758</v>
      </c>
      <c r="AU254" s="9">
        <f t="shared" si="685"/>
        <v>1453.6441917179554</v>
      </c>
      <c r="AV254" s="9">
        <f t="shared" si="685"/>
        <v>1477.7377418569267</v>
      </c>
      <c r="AW254" s="9">
        <f t="shared" si="685"/>
        <v>1482.7170755523148</v>
      </c>
      <c r="AX254" s="9">
        <f t="shared" si="685"/>
        <v>1507.2924966940654</v>
      </c>
      <c r="AY254" s="9">
        <f t="shared" si="685"/>
        <v>1512.3714170633602</v>
      </c>
      <c r="AZ254" s="9">
        <f t="shared" si="685"/>
        <v>1537.4383466279469</v>
      </c>
      <c r="BA254" s="9">
        <f t="shared" si="685"/>
        <v>1542.6188454046278</v>
      </c>
      <c r="BB254" s="9">
        <f t="shared" si="685"/>
        <v>0</v>
      </c>
      <c r="BC254" s="9">
        <f t="shared" si="685"/>
        <v>0</v>
      </c>
      <c r="BD254" s="9">
        <f t="shared" si="685"/>
        <v>0</v>
      </c>
      <c r="BE254" s="9">
        <f t="shared" si="685"/>
        <v>0</v>
      </c>
      <c r="BF254" s="9">
        <f t="shared" si="685"/>
        <v>0</v>
      </c>
      <c r="BG254" s="9">
        <f t="shared" si="685"/>
        <v>0</v>
      </c>
      <c r="BH254" s="9">
        <f t="shared" si="685"/>
        <v>0</v>
      </c>
      <c r="BI254" s="9">
        <f t="shared" si="685"/>
        <v>0</v>
      </c>
      <c r="BJ254" s="9">
        <f t="shared" si="685"/>
        <v>0</v>
      </c>
      <c r="BK254" s="9">
        <f t="shared" si="685"/>
        <v>0</v>
      </c>
      <c r="BL254" s="9">
        <f t="shared" si="685"/>
        <v>0</v>
      </c>
      <c r="BM254" s="9">
        <f t="shared" si="685"/>
        <v>0</v>
      </c>
      <c r="BN254" s="9">
        <f t="shared" si="685"/>
        <v>0</v>
      </c>
      <c r="BO254" s="9">
        <f t="shared" si="685"/>
        <v>0</v>
      </c>
      <c r="BP254" s="9">
        <f t="shared" si="685"/>
        <v>0</v>
      </c>
      <c r="BQ254" s="9">
        <f t="shared" ref="BQ254:CV254" si="686" xml:space="preserve"> BQ$225</f>
        <v>0</v>
      </c>
      <c r="BR254" s="9">
        <f t="shared" si="686"/>
        <v>0</v>
      </c>
      <c r="BS254" s="9">
        <f t="shared" si="686"/>
        <v>0</v>
      </c>
      <c r="BT254" s="9">
        <f t="shared" si="686"/>
        <v>0</v>
      </c>
      <c r="BU254" s="9">
        <f t="shared" si="686"/>
        <v>0</v>
      </c>
      <c r="BV254" s="9">
        <f t="shared" si="686"/>
        <v>0</v>
      </c>
      <c r="BW254" s="9">
        <f t="shared" si="686"/>
        <v>0</v>
      </c>
      <c r="BX254" s="9">
        <f t="shared" si="686"/>
        <v>0</v>
      </c>
      <c r="BY254" s="9">
        <f t="shared" si="686"/>
        <v>0</v>
      </c>
      <c r="BZ254" s="9">
        <f t="shared" si="686"/>
        <v>0</v>
      </c>
      <c r="CA254" s="9">
        <f t="shared" si="686"/>
        <v>0</v>
      </c>
      <c r="CB254" s="9">
        <f t="shared" si="686"/>
        <v>0</v>
      </c>
      <c r="CC254" s="9">
        <f t="shared" si="686"/>
        <v>0</v>
      </c>
      <c r="CD254" s="9">
        <f t="shared" si="686"/>
        <v>0</v>
      </c>
      <c r="CE254" s="9">
        <f t="shared" si="686"/>
        <v>0</v>
      </c>
      <c r="CF254" s="9">
        <f t="shared" si="686"/>
        <v>0</v>
      </c>
      <c r="CG254" s="9">
        <f t="shared" si="686"/>
        <v>0</v>
      </c>
      <c r="CH254" s="9">
        <f t="shared" si="686"/>
        <v>0</v>
      </c>
      <c r="CI254" s="9">
        <f t="shared" si="686"/>
        <v>0</v>
      </c>
      <c r="CJ254" s="9">
        <f t="shared" si="686"/>
        <v>0</v>
      </c>
      <c r="CK254" s="9">
        <f t="shared" si="686"/>
        <v>0</v>
      </c>
      <c r="CL254" s="9">
        <f t="shared" si="686"/>
        <v>0</v>
      </c>
      <c r="CM254" s="9">
        <f t="shared" si="686"/>
        <v>0</v>
      </c>
      <c r="CN254" s="9">
        <f t="shared" si="686"/>
        <v>0</v>
      </c>
      <c r="CO254" s="9">
        <f t="shared" si="686"/>
        <v>0</v>
      </c>
      <c r="CP254" s="9">
        <f t="shared" si="686"/>
        <v>0</v>
      </c>
      <c r="CQ254" s="9">
        <f t="shared" si="686"/>
        <v>0</v>
      </c>
      <c r="CR254" s="9">
        <f t="shared" si="686"/>
        <v>0</v>
      </c>
      <c r="CS254" s="9">
        <f t="shared" si="686"/>
        <v>0</v>
      </c>
      <c r="CT254" s="9">
        <f t="shared" si="686"/>
        <v>0</v>
      </c>
      <c r="CU254" s="9">
        <f t="shared" si="686"/>
        <v>0</v>
      </c>
      <c r="CV254" s="9">
        <f t="shared" si="686"/>
        <v>0</v>
      </c>
    </row>
    <row r="255" spans="1:100" outlineLevel="1" x14ac:dyDescent="0.2">
      <c r="A255" s="236"/>
      <c r="B255" s="236"/>
      <c r="C255" s="237"/>
      <c r="D255" s="238"/>
      <c r="E255" s="235" t="s">
        <v>312</v>
      </c>
      <c r="F255" s="235"/>
      <c r="G255" s="235" t="str">
        <f xml:space="preserve"> SMU</f>
        <v>$ 000s</v>
      </c>
      <c r="H255" s="235"/>
      <c r="I255" s="235"/>
      <c r="J255" s="235">
        <f t="shared" ref="J255:AO255" si="687" xml:space="preserve"> J253 - J254</f>
        <v>0</v>
      </c>
      <c r="K255" s="235">
        <f t="shared" si="687"/>
        <v>0</v>
      </c>
      <c r="L255" s="235">
        <f t="shared" si="687"/>
        <v>0</v>
      </c>
      <c r="M255" s="235">
        <f t="shared" si="687"/>
        <v>0</v>
      </c>
      <c r="N255" s="235">
        <f t="shared" si="687"/>
        <v>0</v>
      </c>
      <c r="O255" s="235">
        <f t="shared" si="687"/>
        <v>3857.1209730037863</v>
      </c>
      <c r="P255" s="235">
        <f t="shared" si="687"/>
        <v>3921.0511548767772</v>
      </c>
      <c r="Q255" s="235">
        <f t="shared" si="687"/>
        <v>3828.0121960059287</v>
      </c>
      <c r="R255" s="235">
        <f t="shared" si="687"/>
        <v>3891.459911961826</v>
      </c>
      <c r="S255" s="235">
        <f t="shared" si="687"/>
        <v>3798.529490774542</v>
      </c>
      <c r="T255" s="235">
        <f t="shared" si="687"/>
        <v>3861.4885431078255</v>
      </c>
      <c r="U255" s="235">
        <f t="shared" si="687"/>
        <v>3768.6648942625707</v>
      </c>
      <c r="V255" s="235">
        <f t="shared" si="687"/>
        <v>3810.0787941995213</v>
      </c>
      <c r="W255" s="235">
        <f t="shared" si="687"/>
        <v>3738.4102838927656</v>
      </c>
      <c r="X255" s="235">
        <f t="shared" si="687"/>
        <v>3800.3728852832555</v>
      </c>
      <c r="Y255" s="235">
        <f t="shared" si="687"/>
        <v>3707.7573743454413</v>
      </c>
      <c r="Z255" s="235">
        <f t="shared" si="687"/>
        <v>3769.2119164616633</v>
      </c>
      <c r="AA255" s="235">
        <f t="shared" si="687"/>
        <v>3676.6977142815604</v>
      </c>
      <c r="AB255" s="235">
        <f t="shared" si="687"/>
        <v>3737.6374554022468</v>
      </c>
      <c r="AC255" s="235">
        <f t="shared" si="687"/>
        <v>3645.2226829999854</v>
      </c>
      <c r="AD255" s="235">
        <f t="shared" si="687"/>
        <v>3685.2800751208615</v>
      </c>
      <c r="AE255" s="235">
        <f t="shared" si="687"/>
        <v>3613.32348702747</v>
      </c>
      <c r="AF255" s="235">
        <f t="shared" si="687"/>
        <v>3673.2128265914644</v>
      </c>
      <c r="AG255" s="235">
        <f t="shared" si="687"/>
        <v>3580.9911566400915</v>
      </c>
      <c r="AH255" s="235">
        <f t="shared" si="687"/>
        <v>3640.3446012252853</v>
      </c>
      <c r="AI255" s="235">
        <f t="shared" si="687"/>
        <v>3548.2165423147098</v>
      </c>
      <c r="AJ255" s="235">
        <f t="shared" si="687"/>
        <v>3607.026761248103</v>
      </c>
      <c r="AK255" s="235">
        <f t="shared" si="687"/>
        <v>3514.9903111090771</v>
      </c>
      <c r="AL255" s="235">
        <f t="shared" si="687"/>
        <v>3553.6165782641237</v>
      </c>
      <c r="AM255" s="235">
        <f t="shared" si="687"/>
        <v>3481.3029429691778</v>
      </c>
      <c r="AN255" s="235">
        <f t="shared" si="687"/>
        <v>3539.0040967200484</v>
      </c>
      <c r="AO255" s="235">
        <f t="shared" si="687"/>
        <v>3447.1447269622631</v>
      </c>
      <c r="AP255" s="235">
        <f t="shared" ref="AP255:BU255" si="688" xml:space="preserve"> AP253 - AP254</f>
        <v>3504.2797224367732</v>
      </c>
      <c r="AQ255" s="235">
        <f t="shared" si="688"/>
        <v>3412.5057574341718</v>
      </c>
      <c r="AR255" s="235">
        <f t="shared" si="688"/>
        <v>3469.0666263419234</v>
      </c>
      <c r="AS255" s="235">
        <f t="shared" si="688"/>
        <v>3377.3759300893726</v>
      </c>
      <c r="AT255" s="235">
        <f t="shared" si="688"/>
        <v>3414.4899512991469</v>
      </c>
      <c r="AU255" s="235">
        <f t="shared" si="688"/>
        <v>3341.7449379921736</v>
      </c>
      <c r="AV255" s="235">
        <f t="shared" si="688"/>
        <v>3397.1329756384512</v>
      </c>
      <c r="AW255" s="235">
        <f t="shared" si="688"/>
        <v>3305.6022674875312</v>
      </c>
      <c r="AX255" s="235">
        <f t="shared" si="688"/>
        <v>3360.3912553464406</v>
      </c>
      <c r="AY255" s="235">
        <f t="shared" si="688"/>
        <v>3268.9371940398169</v>
      </c>
      <c r="AZ255" s="235">
        <f t="shared" si="688"/>
        <v>3323.1184734990384</v>
      </c>
      <c r="BA255" s="235">
        <f t="shared" si="688"/>
        <v>3231.7387779879427</v>
      </c>
      <c r="BB255" s="235">
        <f t="shared" si="688"/>
        <v>0</v>
      </c>
      <c r="BC255" s="235">
        <f t="shared" si="688"/>
        <v>0</v>
      </c>
      <c r="BD255" s="235">
        <f t="shared" si="688"/>
        <v>0</v>
      </c>
      <c r="BE255" s="235">
        <f t="shared" si="688"/>
        <v>0</v>
      </c>
      <c r="BF255" s="235">
        <f t="shared" si="688"/>
        <v>0</v>
      </c>
      <c r="BG255" s="235">
        <f t="shared" si="688"/>
        <v>0</v>
      </c>
      <c r="BH255" s="235">
        <f t="shared" si="688"/>
        <v>0</v>
      </c>
      <c r="BI255" s="235">
        <f t="shared" si="688"/>
        <v>0</v>
      </c>
      <c r="BJ255" s="235">
        <f t="shared" si="688"/>
        <v>0</v>
      </c>
      <c r="BK255" s="235">
        <f t="shared" si="688"/>
        <v>0</v>
      </c>
      <c r="BL255" s="235">
        <f t="shared" si="688"/>
        <v>0</v>
      </c>
      <c r="BM255" s="235">
        <f t="shared" si="688"/>
        <v>0</v>
      </c>
      <c r="BN255" s="235">
        <f t="shared" si="688"/>
        <v>0</v>
      </c>
      <c r="BO255" s="235">
        <f t="shared" si="688"/>
        <v>0</v>
      </c>
      <c r="BP255" s="235">
        <f t="shared" si="688"/>
        <v>0</v>
      </c>
      <c r="BQ255" s="235">
        <f t="shared" si="688"/>
        <v>0</v>
      </c>
      <c r="BR255" s="235">
        <f t="shared" si="688"/>
        <v>0</v>
      </c>
      <c r="BS255" s="235">
        <f t="shared" si="688"/>
        <v>0</v>
      </c>
      <c r="BT255" s="235">
        <f t="shared" si="688"/>
        <v>0</v>
      </c>
      <c r="BU255" s="235">
        <f t="shared" si="688"/>
        <v>0</v>
      </c>
      <c r="BV255" s="235">
        <f t="shared" ref="BV255:CV255" si="689" xml:space="preserve"> BV253 - BV254</f>
        <v>0</v>
      </c>
      <c r="BW255" s="235">
        <f t="shared" si="689"/>
        <v>0</v>
      </c>
      <c r="BX255" s="235">
        <f t="shared" si="689"/>
        <v>0</v>
      </c>
      <c r="BY255" s="235">
        <f t="shared" si="689"/>
        <v>0</v>
      </c>
      <c r="BZ255" s="235">
        <f t="shared" si="689"/>
        <v>0</v>
      </c>
      <c r="CA255" s="235">
        <f t="shared" si="689"/>
        <v>0</v>
      </c>
      <c r="CB255" s="235">
        <f t="shared" si="689"/>
        <v>0</v>
      </c>
      <c r="CC255" s="235">
        <f t="shared" si="689"/>
        <v>0</v>
      </c>
      <c r="CD255" s="235">
        <f t="shared" si="689"/>
        <v>0</v>
      </c>
      <c r="CE255" s="235">
        <f t="shared" si="689"/>
        <v>0</v>
      </c>
      <c r="CF255" s="235">
        <f t="shared" si="689"/>
        <v>0</v>
      </c>
      <c r="CG255" s="235">
        <f t="shared" si="689"/>
        <v>0</v>
      </c>
      <c r="CH255" s="235">
        <f t="shared" si="689"/>
        <v>0</v>
      </c>
      <c r="CI255" s="235">
        <f t="shared" si="689"/>
        <v>0</v>
      </c>
      <c r="CJ255" s="235">
        <f t="shared" si="689"/>
        <v>0</v>
      </c>
      <c r="CK255" s="235">
        <f t="shared" si="689"/>
        <v>0</v>
      </c>
      <c r="CL255" s="235">
        <f t="shared" si="689"/>
        <v>0</v>
      </c>
      <c r="CM255" s="235">
        <f t="shared" si="689"/>
        <v>0</v>
      </c>
      <c r="CN255" s="235">
        <f t="shared" si="689"/>
        <v>0</v>
      </c>
      <c r="CO255" s="235">
        <f t="shared" si="689"/>
        <v>0</v>
      </c>
      <c r="CP255" s="235">
        <f t="shared" si="689"/>
        <v>0</v>
      </c>
      <c r="CQ255" s="235">
        <f t="shared" si="689"/>
        <v>0</v>
      </c>
      <c r="CR255" s="235">
        <f t="shared" si="689"/>
        <v>0</v>
      </c>
      <c r="CS255" s="235">
        <f t="shared" si="689"/>
        <v>0</v>
      </c>
      <c r="CT255" s="235">
        <f t="shared" si="689"/>
        <v>0</v>
      </c>
      <c r="CU255" s="235">
        <f t="shared" si="689"/>
        <v>0</v>
      </c>
      <c r="CV255" s="235">
        <f t="shared" si="689"/>
        <v>0</v>
      </c>
    </row>
    <row r="256" spans="1:100" outlineLevel="1" x14ac:dyDescent="0.2">
      <c r="A256" s="236"/>
      <c r="B256" s="236"/>
      <c r="C256" s="237"/>
      <c r="D256" s="238"/>
      <c r="E256" s="235"/>
      <c r="F256" s="235"/>
      <c r="G256" s="235"/>
      <c r="H256" s="235"/>
      <c r="I256" s="235"/>
      <c r="J256" s="235"/>
      <c r="K256" s="235"/>
      <c r="L256" s="235"/>
      <c r="M256" s="235"/>
      <c r="N256" s="235"/>
      <c r="O256" s="235"/>
      <c r="P256" s="235"/>
      <c r="Q256" s="235"/>
      <c r="R256" s="235"/>
      <c r="S256" s="235"/>
      <c r="T256" s="235"/>
      <c r="U256" s="235"/>
      <c r="V256" s="235"/>
      <c r="W256" s="235"/>
      <c r="X256" s="235"/>
      <c r="Y256" s="235"/>
      <c r="Z256" s="235"/>
      <c r="AA256" s="235"/>
      <c r="AB256" s="235"/>
      <c r="AC256" s="235"/>
      <c r="AD256" s="235"/>
      <c r="AE256" s="235"/>
      <c r="AF256" s="235"/>
      <c r="AG256" s="235"/>
      <c r="AH256" s="235"/>
      <c r="AI256" s="235"/>
      <c r="AJ256" s="235"/>
      <c r="AK256" s="235"/>
      <c r="AL256" s="235"/>
      <c r="AM256" s="235"/>
      <c r="AN256" s="235"/>
      <c r="AO256" s="235"/>
      <c r="AP256" s="235"/>
      <c r="AQ256" s="235"/>
      <c r="AR256" s="235"/>
      <c r="AS256" s="235"/>
      <c r="AT256" s="235"/>
      <c r="AU256" s="235"/>
      <c r="AV256" s="235"/>
      <c r="AW256" s="235"/>
      <c r="AX256" s="235"/>
      <c r="AY256" s="235"/>
      <c r="AZ256" s="235"/>
      <c r="BA256" s="235"/>
      <c r="BB256" s="235"/>
      <c r="BC256" s="235"/>
      <c r="BD256" s="235"/>
      <c r="BE256" s="235"/>
      <c r="BF256" s="235"/>
      <c r="BG256" s="235"/>
      <c r="BH256" s="235"/>
      <c r="BI256" s="235"/>
      <c r="BJ256" s="235"/>
      <c r="BK256" s="235"/>
      <c r="BL256" s="235"/>
      <c r="BM256" s="235"/>
      <c r="BN256" s="235"/>
      <c r="BO256" s="235"/>
      <c r="BP256" s="235"/>
      <c r="BQ256" s="235"/>
      <c r="BR256" s="235"/>
      <c r="BS256" s="235"/>
      <c r="BT256" s="235"/>
      <c r="BU256" s="235"/>
      <c r="BV256" s="235"/>
      <c r="BW256" s="235"/>
      <c r="BX256" s="235"/>
      <c r="BY256" s="235"/>
      <c r="BZ256" s="235"/>
      <c r="CA256" s="235"/>
      <c r="CB256" s="235"/>
      <c r="CC256" s="235"/>
      <c r="CD256" s="235"/>
      <c r="CE256" s="235"/>
      <c r="CF256" s="235"/>
      <c r="CG256" s="235"/>
      <c r="CH256" s="235"/>
      <c r="CI256" s="235"/>
      <c r="CJ256" s="235"/>
      <c r="CK256" s="235"/>
      <c r="CL256" s="235"/>
      <c r="CM256" s="235"/>
      <c r="CN256" s="235"/>
      <c r="CO256" s="235"/>
      <c r="CP256" s="235"/>
      <c r="CQ256" s="235"/>
      <c r="CR256" s="235"/>
      <c r="CS256" s="235"/>
      <c r="CT256" s="235"/>
      <c r="CU256" s="235"/>
      <c r="CV256" s="235"/>
    </row>
    <row r="257" spans="1:100" s="495" customFormat="1" outlineLevel="1" x14ac:dyDescent="0.2">
      <c r="A257" s="236"/>
      <c r="B257" s="236"/>
      <c r="C257" s="237"/>
      <c r="D257" s="238"/>
      <c r="E257" s="68" t="str">
        <f xml:space="preserve"> InpC!E$360</f>
        <v>WCF active switch</v>
      </c>
      <c r="F257" s="68">
        <f xml:space="preserve"> InpC!F$360</f>
        <v>0</v>
      </c>
      <c r="G257" s="68" t="str">
        <f xml:space="preserve"> InpC!G$360</f>
        <v>1 = yes, 0 = no</v>
      </c>
      <c r="H257" s="235"/>
      <c r="I257" s="235"/>
      <c r="J257" s="235"/>
      <c r="K257" s="235"/>
      <c r="L257" s="235"/>
      <c r="M257" s="235"/>
      <c r="N257" s="235"/>
      <c r="O257" s="235"/>
      <c r="P257" s="235"/>
      <c r="Q257" s="235"/>
      <c r="R257" s="235"/>
      <c r="S257" s="235"/>
      <c r="T257" s="235"/>
      <c r="U257" s="235"/>
      <c r="V257" s="235"/>
      <c r="W257" s="235"/>
      <c r="X257" s="235"/>
      <c r="Y257" s="235"/>
      <c r="Z257" s="235"/>
      <c r="AA257" s="235"/>
      <c r="AB257" s="235"/>
      <c r="AC257" s="235"/>
      <c r="AD257" s="235"/>
      <c r="AE257" s="235"/>
      <c r="AF257" s="235"/>
      <c r="AG257" s="235"/>
      <c r="AH257" s="235"/>
      <c r="AI257" s="235"/>
      <c r="AJ257" s="235"/>
      <c r="AK257" s="235"/>
      <c r="AL257" s="235"/>
      <c r="AM257" s="235"/>
      <c r="AN257" s="235"/>
      <c r="AO257" s="235"/>
      <c r="AP257" s="235"/>
      <c r="AQ257" s="235"/>
      <c r="AR257" s="235"/>
      <c r="AS257" s="235"/>
      <c r="AT257" s="235"/>
      <c r="AU257" s="235"/>
      <c r="AV257" s="235"/>
      <c r="AW257" s="235"/>
      <c r="AX257" s="235"/>
      <c r="AY257" s="235"/>
      <c r="AZ257" s="235"/>
      <c r="BA257" s="235"/>
      <c r="BB257" s="235"/>
      <c r="BC257" s="235"/>
      <c r="BD257" s="235"/>
      <c r="BE257" s="235"/>
      <c r="BF257" s="235"/>
      <c r="BG257" s="235"/>
      <c r="BH257" s="235"/>
      <c r="BI257" s="235"/>
      <c r="BJ257" s="235"/>
      <c r="BK257" s="235"/>
      <c r="BL257" s="235"/>
      <c r="BM257" s="235"/>
      <c r="BN257" s="235"/>
      <c r="BO257" s="235"/>
      <c r="BP257" s="235"/>
      <c r="BQ257" s="235"/>
      <c r="BR257" s="235"/>
      <c r="BS257" s="235"/>
      <c r="BT257" s="235"/>
      <c r="BU257" s="235"/>
      <c r="BV257" s="235"/>
      <c r="BW257" s="235"/>
      <c r="BX257" s="235"/>
      <c r="BY257" s="235"/>
      <c r="BZ257" s="235"/>
      <c r="CA257" s="235"/>
      <c r="CB257" s="235"/>
      <c r="CC257" s="235"/>
      <c r="CD257" s="235"/>
      <c r="CE257" s="235"/>
      <c r="CF257" s="235"/>
      <c r="CG257" s="235"/>
      <c r="CH257" s="235"/>
      <c r="CI257" s="235"/>
      <c r="CJ257" s="235"/>
      <c r="CK257" s="235"/>
      <c r="CL257" s="235"/>
      <c r="CM257" s="235"/>
      <c r="CN257" s="235"/>
      <c r="CO257" s="235"/>
      <c r="CP257" s="235"/>
      <c r="CQ257" s="235"/>
      <c r="CR257" s="235"/>
      <c r="CS257" s="235"/>
      <c r="CT257" s="235"/>
      <c r="CU257" s="235"/>
      <c r="CV257" s="235"/>
    </row>
    <row r="258" spans="1:100" outlineLevel="1" x14ac:dyDescent="0.2">
      <c r="A258" s="236"/>
      <c r="B258" s="236"/>
      <c r="C258" s="237"/>
      <c r="D258" s="238"/>
      <c r="E258" s="9" t="str">
        <f t="shared" ref="E258:AJ258" si="690" xml:space="preserve"> E$255</f>
        <v>Net working capital balance</v>
      </c>
      <c r="F258" s="9">
        <f t="shared" si="690"/>
        <v>0</v>
      </c>
      <c r="G258" s="9" t="str">
        <f t="shared" si="690"/>
        <v>$ 000s</v>
      </c>
      <c r="H258" s="9">
        <f t="shared" si="690"/>
        <v>0</v>
      </c>
      <c r="I258" s="9">
        <f t="shared" si="690"/>
        <v>0</v>
      </c>
      <c r="J258" s="9">
        <f t="shared" si="690"/>
        <v>0</v>
      </c>
      <c r="K258" s="9">
        <f t="shared" si="690"/>
        <v>0</v>
      </c>
      <c r="L258" s="9">
        <f t="shared" si="690"/>
        <v>0</v>
      </c>
      <c r="M258" s="9">
        <f t="shared" si="690"/>
        <v>0</v>
      </c>
      <c r="N258" s="9">
        <f t="shared" si="690"/>
        <v>0</v>
      </c>
      <c r="O258" s="9">
        <f t="shared" si="690"/>
        <v>3857.1209730037863</v>
      </c>
      <c r="P258" s="9">
        <f t="shared" si="690"/>
        <v>3921.0511548767772</v>
      </c>
      <c r="Q258" s="9">
        <f t="shared" si="690"/>
        <v>3828.0121960059287</v>
      </c>
      <c r="R258" s="9">
        <f t="shared" si="690"/>
        <v>3891.459911961826</v>
      </c>
      <c r="S258" s="9">
        <f t="shared" si="690"/>
        <v>3798.529490774542</v>
      </c>
      <c r="T258" s="9">
        <f t="shared" si="690"/>
        <v>3861.4885431078255</v>
      </c>
      <c r="U258" s="9">
        <f t="shared" si="690"/>
        <v>3768.6648942625707</v>
      </c>
      <c r="V258" s="9">
        <f t="shared" si="690"/>
        <v>3810.0787941995213</v>
      </c>
      <c r="W258" s="9">
        <f t="shared" si="690"/>
        <v>3738.4102838927656</v>
      </c>
      <c r="X258" s="9">
        <f t="shared" si="690"/>
        <v>3800.3728852832555</v>
      </c>
      <c r="Y258" s="9">
        <f t="shared" si="690"/>
        <v>3707.7573743454413</v>
      </c>
      <c r="Z258" s="9">
        <f t="shared" si="690"/>
        <v>3769.2119164616633</v>
      </c>
      <c r="AA258" s="9">
        <f t="shared" si="690"/>
        <v>3676.6977142815604</v>
      </c>
      <c r="AB258" s="9">
        <f t="shared" si="690"/>
        <v>3737.6374554022468</v>
      </c>
      <c r="AC258" s="9">
        <f t="shared" si="690"/>
        <v>3645.2226829999854</v>
      </c>
      <c r="AD258" s="9">
        <f t="shared" si="690"/>
        <v>3685.2800751208615</v>
      </c>
      <c r="AE258" s="9">
        <f t="shared" si="690"/>
        <v>3613.32348702747</v>
      </c>
      <c r="AF258" s="9">
        <f t="shared" si="690"/>
        <v>3673.2128265914644</v>
      </c>
      <c r="AG258" s="9">
        <f t="shared" si="690"/>
        <v>3580.9911566400915</v>
      </c>
      <c r="AH258" s="9">
        <f t="shared" si="690"/>
        <v>3640.3446012252853</v>
      </c>
      <c r="AI258" s="9">
        <f t="shared" si="690"/>
        <v>3548.2165423147098</v>
      </c>
      <c r="AJ258" s="9">
        <f t="shared" si="690"/>
        <v>3607.026761248103</v>
      </c>
      <c r="AK258" s="9">
        <f t="shared" ref="AK258:BP258" si="691" xml:space="preserve"> AK$255</f>
        <v>3514.9903111090771</v>
      </c>
      <c r="AL258" s="9">
        <f t="shared" si="691"/>
        <v>3553.6165782641237</v>
      </c>
      <c r="AM258" s="9">
        <f t="shared" si="691"/>
        <v>3481.3029429691778</v>
      </c>
      <c r="AN258" s="9">
        <f t="shared" si="691"/>
        <v>3539.0040967200484</v>
      </c>
      <c r="AO258" s="9">
        <f t="shared" si="691"/>
        <v>3447.1447269622631</v>
      </c>
      <c r="AP258" s="9">
        <f t="shared" si="691"/>
        <v>3504.2797224367732</v>
      </c>
      <c r="AQ258" s="9">
        <f t="shared" si="691"/>
        <v>3412.5057574341718</v>
      </c>
      <c r="AR258" s="9">
        <f t="shared" si="691"/>
        <v>3469.0666263419234</v>
      </c>
      <c r="AS258" s="9">
        <f t="shared" si="691"/>
        <v>3377.3759300893726</v>
      </c>
      <c r="AT258" s="9">
        <f t="shared" si="691"/>
        <v>3414.4899512991469</v>
      </c>
      <c r="AU258" s="9">
        <f t="shared" si="691"/>
        <v>3341.7449379921736</v>
      </c>
      <c r="AV258" s="9">
        <f t="shared" si="691"/>
        <v>3397.1329756384512</v>
      </c>
      <c r="AW258" s="9">
        <f t="shared" si="691"/>
        <v>3305.6022674875312</v>
      </c>
      <c r="AX258" s="9">
        <f t="shared" si="691"/>
        <v>3360.3912553464406</v>
      </c>
      <c r="AY258" s="9">
        <f t="shared" si="691"/>
        <v>3268.9371940398169</v>
      </c>
      <c r="AZ258" s="9">
        <f t="shared" si="691"/>
        <v>3323.1184734990384</v>
      </c>
      <c r="BA258" s="9">
        <f t="shared" si="691"/>
        <v>3231.7387779879427</v>
      </c>
      <c r="BB258" s="9">
        <f t="shared" si="691"/>
        <v>0</v>
      </c>
      <c r="BC258" s="9">
        <f t="shared" si="691"/>
        <v>0</v>
      </c>
      <c r="BD258" s="9">
        <f t="shared" si="691"/>
        <v>0</v>
      </c>
      <c r="BE258" s="9">
        <f t="shared" si="691"/>
        <v>0</v>
      </c>
      <c r="BF258" s="9">
        <f t="shared" si="691"/>
        <v>0</v>
      </c>
      <c r="BG258" s="9">
        <f t="shared" si="691"/>
        <v>0</v>
      </c>
      <c r="BH258" s="9">
        <f t="shared" si="691"/>
        <v>0</v>
      </c>
      <c r="BI258" s="9">
        <f t="shared" si="691"/>
        <v>0</v>
      </c>
      <c r="BJ258" s="9">
        <f t="shared" si="691"/>
        <v>0</v>
      </c>
      <c r="BK258" s="9">
        <f t="shared" si="691"/>
        <v>0</v>
      </c>
      <c r="BL258" s="9">
        <f t="shared" si="691"/>
        <v>0</v>
      </c>
      <c r="BM258" s="9">
        <f t="shared" si="691"/>
        <v>0</v>
      </c>
      <c r="BN258" s="9">
        <f t="shared" si="691"/>
        <v>0</v>
      </c>
      <c r="BO258" s="9">
        <f t="shared" si="691"/>
        <v>0</v>
      </c>
      <c r="BP258" s="9">
        <f t="shared" si="691"/>
        <v>0</v>
      </c>
      <c r="BQ258" s="9">
        <f t="shared" ref="BQ258:CV258" si="692" xml:space="preserve"> BQ$255</f>
        <v>0</v>
      </c>
      <c r="BR258" s="9">
        <f t="shared" si="692"/>
        <v>0</v>
      </c>
      <c r="BS258" s="9">
        <f t="shared" si="692"/>
        <v>0</v>
      </c>
      <c r="BT258" s="9">
        <f t="shared" si="692"/>
        <v>0</v>
      </c>
      <c r="BU258" s="9">
        <f t="shared" si="692"/>
        <v>0</v>
      </c>
      <c r="BV258" s="9">
        <f t="shared" si="692"/>
        <v>0</v>
      </c>
      <c r="BW258" s="9">
        <f t="shared" si="692"/>
        <v>0</v>
      </c>
      <c r="BX258" s="9">
        <f t="shared" si="692"/>
        <v>0</v>
      </c>
      <c r="BY258" s="9">
        <f t="shared" si="692"/>
        <v>0</v>
      </c>
      <c r="BZ258" s="9">
        <f t="shared" si="692"/>
        <v>0</v>
      </c>
      <c r="CA258" s="9">
        <f t="shared" si="692"/>
        <v>0</v>
      </c>
      <c r="CB258" s="9">
        <f t="shared" si="692"/>
        <v>0</v>
      </c>
      <c r="CC258" s="9">
        <f t="shared" si="692"/>
        <v>0</v>
      </c>
      <c r="CD258" s="9">
        <f t="shared" si="692"/>
        <v>0</v>
      </c>
      <c r="CE258" s="9">
        <f t="shared" si="692"/>
        <v>0</v>
      </c>
      <c r="CF258" s="9">
        <f t="shared" si="692"/>
        <v>0</v>
      </c>
      <c r="CG258" s="9">
        <f t="shared" si="692"/>
        <v>0</v>
      </c>
      <c r="CH258" s="9">
        <f t="shared" si="692"/>
        <v>0</v>
      </c>
      <c r="CI258" s="9">
        <f t="shared" si="692"/>
        <v>0</v>
      </c>
      <c r="CJ258" s="9">
        <f t="shared" si="692"/>
        <v>0</v>
      </c>
      <c r="CK258" s="9">
        <f t="shared" si="692"/>
        <v>0</v>
      </c>
      <c r="CL258" s="9">
        <f t="shared" si="692"/>
        <v>0</v>
      </c>
      <c r="CM258" s="9">
        <f t="shared" si="692"/>
        <v>0</v>
      </c>
      <c r="CN258" s="9">
        <f t="shared" si="692"/>
        <v>0</v>
      </c>
      <c r="CO258" s="9">
        <f t="shared" si="692"/>
        <v>0</v>
      </c>
      <c r="CP258" s="9">
        <f t="shared" si="692"/>
        <v>0</v>
      </c>
      <c r="CQ258" s="9">
        <f t="shared" si="692"/>
        <v>0</v>
      </c>
      <c r="CR258" s="9">
        <f t="shared" si="692"/>
        <v>0</v>
      </c>
      <c r="CS258" s="9">
        <f t="shared" si="692"/>
        <v>0</v>
      </c>
      <c r="CT258" s="9">
        <f t="shared" si="692"/>
        <v>0</v>
      </c>
      <c r="CU258" s="9">
        <f t="shared" si="692"/>
        <v>0</v>
      </c>
      <c r="CV258" s="9">
        <f t="shared" si="692"/>
        <v>0</v>
      </c>
    </row>
    <row r="259" spans="1:100" outlineLevel="1" x14ac:dyDescent="0.2">
      <c r="A259" s="236"/>
      <c r="B259" s="236"/>
      <c r="C259" s="237"/>
      <c r="D259" s="238"/>
      <c r="E259" s="396" t="str">
        <f xml:space="preserve"> Time!E$90</f>
        <v>First operating period flag</v>
      </c>
      <c r="F259" s="396">
        <f xml:space="preserve"> Time!F$90</f>
        <v>0</v>
      </c>
      <c r="G259" s="396" t="str">
        <f xml:space="preserve"> Time!G$90</f>
        <v>flag</v>
      </c>
      <c r="H259" s="396">
        <f xml:space="preserve"> Time!H$90</f>
        <v>1</v>
      </c>
      <c r="I259" s="396">
        <f xml:space="preserve"> Time!I$90</f>
        <v>0</v>
      </c>
      <c r="J259" s="396">
        <f xml:space="preserve"> Time!J$90</f>
        <v>0</v>
      </c>
      <c r="K259" s="396">
        <f xml:space="preserve"> Time!K$90</f>
        <v>0</v>
      </c>
      <c r="L259" s="396">
        <f xml:space="preserve"> Time!L$90</f>
        <v>0</v>
      </c>
      <c r="M259" s="396">
        <f xml:space="preserve"> Time!M$90</f>
        <v>0</v>
      </c>
      <c r="N259" s="396">
        <f xml:space="preserve"> Time!N$90</f>
        <v>0</v>
      </c>
      <c r="O259" s="396">
        <f xml:space="preserve"> Time!O$90</f>
        <v>1</v>
      </c>
      <c r="P259" s="396">
        <f xml:space="preserve"> Time!P$90</f>
        <v>0</v>
      </c>
      <c r="Q259" s="396">
        <f xml:space="preserve"> Time!Q$90</f>
        <v>0</v>
      </c>
      <c r="R259" s="396">
        <f xml:space="preserve"> Time!R$90</f>
        <v>0</v>
      </c>
      <c r="S259" s="396">
        <f xml:space="preserve"> Time!S$90</f>
        <v>0</v>
      </c>
      <c r="T259" s="396">
        <f xml:space="preserve"> Time!T$90</f>
        <v>0</v>
      </c>
      <c r="U259" s="396">
        <f xml:space="preserve"> Time!U$90</f>
        <v>0</v>
      </c>
      <c r="V259" s="396">
        <f xml:space="preserve"> Time!V$90</f>
        <v>0</v>
      </c>
      <c r="W259" s="396">
        <f xml:space="preserve"> Time!W$90</f>
        <v>0</v>
      </c>
      <c r="X259" s="396">
        <f xml:space="preserve"> Time!X$90</f>
        <v>0</v>
      </c>
      <c r="Y259" s="396">
        <f xml:space="preserve"> Time!Y$90</f>
        <v>0</v>
      </c>
      <c r="Z259" s="396">
        <f xml:space="preserve"> Time!Z$90</f>
        <v>0</v>
      </c>
      <c r="AA259" s="396">
        <f xml:space="preserve"> Time!AA$90</f>
        <v>0</v>
      </c>
      <c r="AB259" s="396">
        <f xml:space="preserve"> Time!AB$90</f>
        <v>0</v>
      </c>
      <c r="AC259" s="396">
        <f xml:space="preserve"> Time!AC$90</f>
        <v>0</v>
      </c>
      <c r="AD259" s="396">
        <f xml:space="preserve"> Time!AD$90</f>
        <v>0</v>
      </c>
      <c r="AE259" s="396">
        <f xml:space="preserve"> Time!AE$90</f>
        <v>0</v>
      </c>
      <c r="AF259" s="396">
        <f xml:space="preserve"> Time!AF$90</f>
        <v>0</v>
      </c>
      <c r="AG259" s="396">
        <f xml:space="preserve"> Time!AG$90</f>
        <v>0</v>
      </c>
      <c r="AH259" s="396">
        <f xml:space="preserve"> Time!AH$90</f>
        <v>0</v>
      </c>
      <c r="AI259" s="396">
        <f xml:space="preserve"> Time!AI$90</f>
        <v>0</v>
      </c>
      <c r="AJ259" s="396">
        <f xml:space="preserve"> Time!AJ$90</f>
        <v>0</v>
      </c>
      <c r="AK259" s="396">
        <f xml:space="preserve"> Time!AK$90</f>
        <v>0</v>
      </c>
      <c r="AL259" s="396">
        <f xml:space="preserve"> Time!AL$90</f>
        <v>0</v>
      </c>
      <c r="AM259" s="396">
        <f xml:space="preserve"> Time!AM$90</f>
        <v>0</v>
      </c>
      <c r="AN259" s="396">
        <f xml:space="preserve"> Time!AN$90</f>
        <v>0</v>
      </c>
      <c r="AO259" s="396">
        <f xml:space="preserve"> Time!AO$90</f>
        <v>0</v>
      </c>
      <c r="AP259" s="396">
        <f xml:space="preserve"> Time!AP$90</f>
        <v>0</v>
      </c>
      <c r="AQ259" s="396">
        <f xml:space="preserve"> Time!AQ$90</f>
        <v>0</v>
      </c>
      <c r="AR259" s="396">
        <f xml:space="preserve"> Time!AR$90</f>
        <v>0</v>
      </c>
      <c r="AS259" s="396">
        <f xml:space="preserve"> Time!AS$90</f>
        <v>0</v>
      </c>
      <c r="AT259" s="396">
        <f xml:space="preserve"> Time!AT$90</f>
        <v>0</v>
      </c>
      <c r="AU259" s="396">
        <f xml:space="preserve"> Time!AU$90</f>
        <v>0</v>
      </c>
      <c r="AV259" s="396">
        <f xml:space="preserve"> Time!AV$90</f>
        <v>0</v>
      </c>
      <c r="AW259" s="396">
        <f xml:space="preserve"> Time!AW$90</f>
        <v>0</v>
      </c>
      <c r="AX259" s="396">
        <f xml:space="preserve"> Time!AX$90</f>
        <v>0</v>
      </c>
      <c r="AY259" s="396">
        <f xml:space="preserve"> Time!AY$90</f>
        <v>0</v>
      </c>
      <c r="AZ259" s="396">
        <f xml:space="preserve"> Time!AZ$90</f>
        <v>0</v>
      </c>
      <c r="BA259" s="396">
        <f xml:space="preserve"> Time!BA$90</f>
        <v>0</v>
      </c>
      <c r="BB259" s="396">
        <f xml:space="preserve"> Time!BB$90</f>
        <v>0</v>
      </c>
      <c r="BC259" s="396">
        <f xml:space="preserve"> Time!BC$90</f>
        <v>0</v>
      </c>
      <c r="BD259" s="396">
        <f xml:space="preserve"> Time!BD$90</f>
        <v>0</v>
      </c>
      <c r="BE259" s="396">
        <f xml:space="preserve"> Time!BE$90</f>
        <v>0</v>
      </c>
      <c r="BF259" s="396">
        <f xml:space="preserve"> Time!BF$90</f>
        <v>0</v>
      </c>
      <c r="BG259" s="396">
        <f xml:space="preserve"> Time!BG$90</f>
        <v>0</v>
      </c>
      <c r="BH259" s="396">
        <f xml:space="preserve"> Time!BH$90</f>
        <v>0</v>
      </c>
      <c r="BI259" s="396">
        <f xml:space="preserve"> Time!BI$90</f>
        <v>0</v>
      </c>
      <c r="BJ259" s="396">
        <f xml:space="preserve"> Time!BJ$90</f>
        <v>0</v>
      </c>
      <c r="BK259" s="396">
        <f xml:space="preserve"> Time!BK$90</f>
        <v>0</v>
      </c>
      <c r="BL259" s="396">
        <f xml:space="preserve"> Time!BL$90</f>
        <v>0</v>
      </c>
      <c r="BM259" s="396">
        <f xml:space="preserve"> Time!BM$90</f>
        <v>0</v>
      </c>
      <c r="BN259" s="396">
        <f xml:space="preserve"> Time!BN$90</f>
        <v>0</v>
      </c>
      <c r="BO259" s="396">
        <f xml:space="preserve"> Time!BO$90</f>
        <v>0</v>
      </c>
      <c r="BP259" s="396">
        <f xml:space="preserve"> Time!BP$90</f>
        <v>0</v>
      </c>
      <c r="BQ259" s="396">
        <f xml:space="preserve"> Time!BQ$90</f>
        <v>0</v>
      </c>
      <c r="BR259" s="396">
        <f xml:space="preserve"> Time!BR$90</f>
        <v>0</v>
      </c>
      <c r="BS259" s="396">
        <f xml:space="preserve"> Time!BS$90</f>
        <v>0</v>
      </c>
      <c r="BT259" s="396">
        <f xml:space="preserve"> Time!BT$90</f>
        <v>0</v>
      </c>
      <c r="BU259" s="396">
        <f xml:space="preserve"> Time!BU$90</f>
        <v>0</v>
      </c>
      <c r="BV259" s="396">
        <f xml:space="preserve"> Time!BV$90</f>
        <v>0</v>
      </c>
      <c r="BW259" s="396">
        <f xml:space="preserve"> Time!BW$90</f>
        <v>0</v>
      </c>
      <c r="BX259" s="396">
        <f xml:space="preserve"> Time!BX$90</f>
        <v>0</v>
      </c>
      <c r="BY259" s="396">
        <f xml:space="preserve"> Time!BY$90</f>
        <v>0</v>
      </c>
      <c r="BZ259" s="396">
        <f xml:space="preserve"> Time!BZ$90</f>
        <v>0</v>
      </c>
      <c r="CA259" s="396">
        <f xml:space="preserve"> Time!CA$90</f>
        <v>0</v>
      </c>
      <c r="CB259" s="396">
        <f xml:space="preserve"> Time!CB$90</f>
        <v>0</v>
      </c>
      <c r="CC259" s="396">
        <f xml:space="preserve"> Time!CC$90</f>
        <v>0</v>
      </c>
      <c r="CD259" s="396">
        <f xml:space="preserve"> Time!CD$90</f>
        <v>0</v>
      </c>
      <c r="CE259" s="396">
        <f xml:space="preserve"> Time!CE$90</f>
        <v>0</v>
      </c>
      <c r="CF259" s="396">
        <f xml:space="preserve"> Time!CF$90</f>
        <v>0</v>
      </c>
      <c r="CG259" s="396">
        <f xml:space="preserve"> Time!CG$90</f>
        <v>0</v>
      </c>
      <c r="CH259" s="396">
        <f xml:space="preserve"> Time!CH$90</f>
        <v>0</v>
      </c>
      <c r="CI259" s="396">
        <f xml:space="preserve"> Time!CI$90</f>
        <v>0</v>
      </c>
      <c r="CJ259" s="396">
        <f xml:space="preserve"> Time!CJ$90</f>
        <v>0</v>
      </c>
      <c r="CK259" s="396">
        <f xml:space="preserve"> Time!CK$90</f>
        <v>0</v>
      </c>
      <c r="CL259" s="396">
        <f xml:space="preserve"> Time!CL$90</f>
        <v>0</v>
      </c>
      <c r="CM259" s="396">
        <f xml:space="preserve"> Time!CM$90</f>
        <v>0</v>
      </c>
      <c r="CN259" s="396">
        <f xml:space="preserve"> Time!CN$90</f>
        <v>0</v>
      </c>
      <c r="CO259" s="396">
        <f xml:space="preserve"> Time!CO$90</f>
        <v>0</v>
      </c>
      <c r="CP259" s="396">
        <f xml:space="preserve"> Time!CP$90</f>
        <v>0</v>
      </c>
      <c r="CQ259" s="396">
        <f xml:space="preserve"> Time!CQ$90</f>
        <v>0</v>
      </c>
      <c r="CR259" s="396">
        <f xml:space="preserve"> Time!CR$90</f>
        <v>0</v>
      </c>
      <c r="CS259" s="396">
        <f xml:space="preserve"> Time!CS$90</f>
        <v>0</v>
      </c>
      <c r="CT259" s="396">
        <f xml:space="preserve"> Time!CT$90</f>
        <v>0</v>
      </c>
      <c r="CU259" s="396">
        <f xml:space="preserve"> Time!CU$90</f>
        <v>0</v>
      </c>
      <c r="CV259" s="396">
        <f xml:space="preserve"> Time!CV$90</f>
        <v>0</v>
      </c>
    </row>
    <row r="260" spans="1:100" s="188" customFormat="1" outlineLevel="1" x14ac:dyDescent="0.2">
      <c r="A260" s="141"/>
      <c r="B260" s="141"/>
      <c r="C260" s="142"/>
      <c r="D260" s="143"/>
      <c r="E260" s="144" t="s">
        <v>314</v>
      </c>
      <c r="F260" s="144">
        <f xml:space="preserve"> SUMPRODUCT(J258:CV258, J259:CV259) * (1 - F257)</f>
        <v>3857.1209730037863</v>
      </c>
      <c r="G260" s="144" t="str">
        <f xml:space="preserve"> SMU</f>
        <v>$ 000s</v>
      </c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  <c r="AF260" s="144"/>
      <c r="AG260" s="144"/>
      <c r="AH260" s="144"/>
      <c r="AI260" s="144"/>
      <c r="AJ260" s="144"/>
      <c r="AK260" s="144"/>
      <c r="AL260" s="144"/>
      <c r="AM260" s="144"/>
      <c r="AN260" s="144"/>
      <c r="AO260" s="144"/>
      <c r="AP260" s="144"/>
      <c r="AQ260" s="144"/>
      <c r="AR260" s="144"/>
      <c r="AS260" s="144"/>
      <c r="AT260" s="144"/>
      <c r="AU260" s="144"/>
      <c r="AV260" s="144"/>
      <c r="AW260" s="144"/>
      <c r="AX260" s="144"/>
      <c r="AY260" s="144"/>
      <c r="AZ260" s="144"/>
      <c r="BA260" s="144"/>
      <c r="BB260" s="144"/>
      <c r="BC260" s="144"/>
      <c r="BD260" s="144"/>
      <c r="BE260" s="144"/>
      <c r="BF260" s="144"/>
      <c r="BG260" s="144"/>
      <c r="BH260" s="144"/>
      <c r="BI260" s="144"/>
      <c r="BJ260" s="144"/>
      <c r="BK260" s="144"/>
      <c r="BL260" s="144"/>
      <c r="BM260" s="144"/>
      <c r="BN260" s="144"/>
      <c r="BO260" s="144"/>
      <c r="BP260" s="144"/>
      <c r="BQ260" s="144"/>
      <c r="BR260" s="144"/>
      <c r="BS260" s="144"/>
      <c r="BT260" s="144"/>
      <c r="BU260" s="144"/>
      <c r="BV260" s="144"/>
      <c r="BW260" s="144"/>
      <c r="BX260" s="144"/>
      <c r="BY260" s="144"/>
      <c r="BZ260" s="144"/>
      <c r="CA260" s="144"/>
      <c r="CB260" s="144"/>
      <c r="CC260" s="144"/>
      <c r="CD260" s="144"/>
      <c r="CE260" s="144"/>
      <c r="CF260" s="144"/>
      <c r="CG260" s="144"/>
      <c r="CH260" s="144"/>
      <c r="CI260" s="144"/>
      <c r="CJ260" s="144"/>
      <c r="CK260" s="144"/>
      <c r="CL260" s="144"/>
      <c r="CM260" s="144"/>
      <c r="CN260" s="144"/>
      <c r="CO260" s="144"/>
      <c r="CP260" s="144"/>
      <c r="CQ260" s="144"/>
      <c r="CR260" s="144"/>
      <c r="CS260" s="144"/>
      <c r="CT260" s="144"/>
      <c r="CU260" s="144"/>
      <c r="CV260" s="144"/>
    </row>
    <row r="261" spans="1:100" outlineLevel="1" x14ac:dyDescent="0.2">
      <c r="A261" s="236"/>
      <c r="B261" s="236"/>
      <c r="C261" s="237"/>
      <c r="D261" s="238"/>
      <c r="E261" s="235"/>
      <c r="F261" s="235"/>
      <c r="G261" s="235"/>
      <c r="H261" s="235"/>
      <c r="I261" s="235"/>
      <c r="J261" s="235"/>
      <c r="K261" s="235"/>
      <c r="L261" s="235"/>
      <c r="M261" s="235"/>
      <c r="N261" s="235"/>
      <c r="O261" s="235"/>
      <c r="P261" s="235"/>
      <c r="Q261" s="235"/>
      <c r="R261" s="235"/>
      <c r="S261" s="235"/>
      <c r="T261" s="235"/>
      <c r="U261" s="235"/>
      <c r="V261" s="235"/>
      <c r="W261" s="235"/>
      <c r="X261" s="235"/>
      <c r="Y261" s="235"/>
      <c r="Z261" s="235"/>
      <c r="AA261" s="235"/>
      <c r="AB261" s="235"/>
      <c r="AC261" s="235"/>
      <c r="AD261" s="235"/>
      <c r="AE261" s="235"/>
      <c r="AF261" s="235"/>
      <c r="AG261" s="235"/>
      <c r="AH261" s="235"/>
      <c r="AI261" s="235"/>
      <c r="AJ261" s="235"/>
      <c r="AK261" s="235"/>
      <c r="AL261" s="235"/>
      <c r="AM261" s="235"/>
      <c r="AN261" s="235"/>
      <c r="AO261" s="235"/>
      <c r="AP261" s="235"/>
      <c r="AQ261" s="235"/>
      <c r="AR261" s="235"/>
      <c r="AS261" s="235"/>
      <c r="AT261" s="235"/>
      <c r="AU261" s="235"/>
      <c r="AV261" s="235"/>
      <c r="AW261" s="235"/>
      <c r="AX261" s="235"/>
      <c r="AY261" s="235"/>
      <c r="AZ261" s="235"/>
      <c r="BA261" s="235"/>
      <c r="BB261" s="235"/>
      <c r="BC261" s="235"/>
      <c r="BD261" s="235"/>
      <c r="BE261" s="235"/>
      <c r="BF261" s="235"/>
      <c r="BG261" s="235"/>
      <c r="BH261" s="235"/>
      <c r="BI261" s="235"/>
      <c r="BJ261" s="235"/>
      <c r="BK261" s="235"/>
      <c r="BL261" s="235"/>
      <c r="BM261" s="235"/>
      <c r="BN261" s="235"/>
      <c r="BO261" s="235"/>
      <c r="BP261" s="235"/>
      <c r="BQ261" s="235"/>
      <c r="BR261" s="235"/>
      <c r="BS261" s="235"/>
      <c r="BT261" s="235"/>
      <c r="BU261" s="235"/>
      <c r="BV261" s="235"/>
      <c r="BW261" s="235"/>
      <c r="BX261" s="235"/>
      <c r="BY261" s="235"/>
      <c r="BZ261" s="235"/>
      <c r="CA261" s="235"/>
      <c r="CB261" s="235"/>
      <c r="CC261" s="235"/>
      <c r="CD261" s="235"/>
      <c r="CE261" s="235"/>
      <c r="CF261" s="235"/>
      <c r="CG261" s="235"/>
      <c r="CH261" s="235"/>
      <c r="CI261" s="235"/>
      <c r="CJ261" s="235"/>
      <c r="CK261" s="235"/>
      <c r="CL261" s="235"/>
      <c r="CM261" s="235"/>
      <c r="CN261" s="235"/>
      <c r="CO261" s="235"/>
      <c r="CP261" s="235"/>
      <c r="CQ261" s="235"/>
      <c r="CR261" s="235"/>
      <c r="CS261" s="235"/>
      <c r="CT261" s="235"/>
      <c r="CU261" s="235"/>
      <c r="CV261" s="235"/>
    </row>
    <row r="262" spans="1:100" outlineLevel="1" x14ac:dyDescent="0.2">
      <c r="A262" s="236"/>
      <c r="B262" s="236"/>
      <c r="C262" s="237"/>
      <c r="D262" s="238"/>
      <c r="E262" s="32" t="str">
        <f t="shared" ref="E262:AJ262" si="693" xml:space="preserve"> E$241</f>
        <v>Decrease / (increase) in working capital</v>
      </c>
      <c r="F262" s="32">
        <f t="shared" si="693"/>
        <v>0</v>
      </c>
      <c r="G262" s="32" t="str">
        <f t="shared" si="693"/>
        <v>$ 000s</v>
      </c>
      <c r="H262" s="32">
        <f t="shared" si="693"/>
        <v>0</v>
      </c>
      <c r="I262" s="32">
        <f t="shared" si="693"/>
        <v>0</v>
      </c>
      <c r="J262" s="32">
        <f t="shared" si="693"/>
        <v>0</v>
      </c>
      <c r="K262" s="32">
        <f t="shared" si="693"/>
        <v>0</v>
      </c>
      <c r="L262" s="32">
        <f t="shared" si="693"/>
        <v>0</v>
      </c>
      <c r="M262" s="32">
        <f t="shared" si="693"/>
        <v>0</v>
      </c>
      <c r="N262" s="32">
        <f t="shared" si="693"/>
        <v>0</v>
      </c>
      <c r="O262" s="32">
        <f t="shared" si="693"/>
        <v>-3857.1209730037863</v>
      </c>
      <c r="P262" s="32">
        <f t="shared" si="693"/>
        <v>-63.930181872990943</v>
      </c>
      <c r="Q262" s="32">
        <f t="shared" si="693"/>
        <v>93.038958870848546</v>
      </c>
      <c r="R262" s="32">
        <f t="shared" si="693"/>
        <v>-63.447715955897365</v>
      </c>
      <c r="S262" s="32">
        <f t="shared" si="693"/>
        <v>92.930421187284082</v>
      </c>
      <c r="T262" s="32">
        <f t="shared" si="693"/>
        <v>-62.95905233328358</v>
      </c>
      <c r="U262" s="32">
        <f t="shared" si="693"/>
        <v>92.823648845254866</v>
      </c>
      <c r="V262" s="32">
        <f t="shared" si="693"/>
        <v>-41.413899936950656</v>
      </c>
      <c r="W262" s="32">
        <f t="shared" si="693"/>
        <v>71.668510306755707</v>
      </c>
      <c r="X262" s="32">
        <f t="shared" si="693"/>
        <v>-61.962601390489908</v>
      </c>
      <c r="Y262" s="32">
        <f t="shared" si="693"/>
        <v>92.615510937814179</v>
      </c>
      <c r="Z262" s="32">
        <f t="shared" si="693"/>
        <v>-61.454542116222001</v>
      </c>
      <c r="AA262" s="32">
        <f t="shared" si="693"/>
        <v>92.514202180102984</v>
      </c>
      <c r="AB262" s="32">
        <f t="shared" si="693"/>
        <v>-60.939741120686449</v>
      </c>
      <c r="AC262" s="32">
        <f t="shared" si="693"/>
        <v>92.414772402261406</v>
      </c>
      <c r="AD262" s="32">
        <f t="shared" si="693"/>
        <v>-40.057392120876102</v>
      </c>
      <c r="AE262" s="32">
        <f t="shared" si="693"/>
        <v>71.956588093391474</v>
      </c>
      <c r="AF262" s="32">
        <f t="shared" si="693"/>
        <v>-59.889339563994326</v>
      </c>
      <c r="AG262" s="32">
        <f t="shared" si="693"/>
        <v>92.22166995137286</v>
      </c>
      <c r="AH262" s="32">
        <f t="shared" si="693"/>
        <v>-59.353444585193756</v>
      </c>
      <c r="AI262" s="32">
        <f t="shared" si="693"/>
        <v>92.128058910575419</v>
      </c>
      <c r="AJ262" s="32">
        <f t="shared" si="693"/>
        <v>-58.810218933393116</v>
      </c>
      <c r="AK262" s="32">
        <f t="shared" ref="AK262:BP262" si="694" xml:space="preserve"> AK$241</f>
        <v>92.036450139025874</v>
      </c>
      <c r="AL262" s="32">
        <f t="shared" si="694"/>
        <v>-38.626267155046662</v>
      </c>
      <c r="AM262" s="32">
        <f t="shared" si="694"/>
        <v>72.313635294945925</v>
      </c>
      <c r="AN262" s="32">
        <f t="shared" si="694"/>
        <v>-57.701153750870617</v>
      </c>
      <c r="AO262" s="32">
        <f t="shared" si="694"/>
        <v>91.859369757785316</v>
      </c>
      <c r="AP262" s="32">
        <f t="shared" si="694"/>
        <v>-57.134995474510106</v>
      </c>
      <c r="AQ262" s="32">
        <f t="shared" si="694"/>
        <v>91.773965002601471</v>
      </c>
      <c r="AR262" s="32">
        <f t="shared" si="694"/>
        <v>-56.560868907751683</v>
      </c>
      <c r="AS262" s="32">
        <f t="shared" si="694"/>
        <v>91.690696252550879</v>
      </c>
      <c r="AT262" s="32">
        <f t="shared" si="694"/>
        <v>-37.114021209774364</v>
      </c>
      <c r="AU262" s="32">
        <f t="shared" si="694"/>
        <v>72.745013306973306</v>
      </c>
      <c r="AV262" s="32">
        <f t="shared" si="694"/>
        <v>-55.388037646277553</v>
      </c>
      <c r="AW262" s="32">
        <f t="shared" si="694"/>
        <v>91.530708150919963</v>
      </c>
      <c r="AX262" s="32">
        <f t="shared" si="694"/>
        <v>-54.788987858909422</v>
      </c>
      <c r="AY262" s="32">
        <f t="shared" si="694"/>
        <v>91.454061306623771</v>
      </c>
      <c r="AZ262" s="32">
        <f t="shared" si="694"/>
        <v>-54.181279459221514</v>
      </c>
      <c r="BA262" s="32">
        <f t="shared" si="694"/>
        <v>91.379695511095633</v>
      </c>
      <c r="BB262" s="32">
        <f t="shared" si="694"/>
        <v>3231.7387779879427</v>
      </c>
      <c r="BC262" s="32">
        <f t="shared" si="694"/>
        <v>0</v>
      </c>
      <c r="BD262" s="32">
        <f t="shared" si="694"/>
        <v>0</v>
      </c>
      <c r="BE262" s="32">
        <f t="shared" si="694"/>
        <v>0</v>
      </c>
      <c r="BF262" s="32">
        <f t="shared" si="694"/>
        <v>0</v>
      </c>
      <c r="BG262" s="32">
        <f t="shared" si="694"/>
        <v>0</v>
      </c>
      <c r="BH262" s="32">
        <f t="shared" si="694"/>
        <v>0</v>
      </c>
      <c r="BI262" s="32">
        <f t="shared" si="694"/>
        <v>0</v>
      </c>
      <c r="BJ262" s="32">
        <f t="shared" si="694"/>
        <v>0</v>
      </c>
      <c r="BK262" s="32">
        <f t="shared" si="694"/>
        <v>0</v>
      </c>
      <c r="BL262" s="32">
        <f t="shared" si="694"/>
        <v>0</v>
      </c>
      <c r="BM262" s="32">
        <f t="shared" si="694"/>
        <v>0</v>
      </c>
      <c r="BN262" s="32">
        <f t="shared" si="694"/>
        <v>0</v>
      </c>
      <c r="BO262" s="32">
        <f t="shared" si="694"/>
        <v>0</v>
      </c>
      <c r="BP262" s="32">
        <f t="shared" si="694"/>
        <v>0</v>
      </c>
      <c r="BQ262" s="32">
        <f t="shared" ref="BQ262:CV262" si="695" xml:space="preserve"> BQ$241</f>
        <v>0</v>
      </c>
      <c r="BR262" s="32">
        <f t="shared" si="695"/>
        <v>0</v>
      </c>
      <c r="BS262" s="32">
        <f t="shared" si="695"/>
        <v>0</v>
      </c>
      <c r="BT262" s="32">
        <f t="shared" si="695"/>
        <v>0</v>
      </c>
      <c r="BU262" s="32">
        <f t="shared" si="695"/>
        <v>0</v>
      </c>
      <c r="BV262" s="32">
        <f t="shared" si="695"/>
        <v>0</v>
      </c>
      <c r="BW262" s="32">
        <f t="shared" si="695"/>
        <v>0</v>
      </c>
      <c r="BX262" s="32">
        <f t="shared" si="695"/>
        <v>0</v>
      </c>
      <c r="BY262" s="32">
        <f t="shared" si="695"/>
        <v>0</v>
      </c>
      <c r="BZ262" s="32">
        <f t="shared" si="695"/>
        <v>0</v>
      </c>
      <c r="CA262" s="32">
        <f t="shared" si="695"/>
        <v>0</v>
      </c>
      <c r="CB262" s="32">
        <f t="shared" si="695"/>
        <v>0</v>
      </c>
      <c r="CC262" s="32">
        <f t="shared" si="695"/>
        <v>0</v>
      </c>
      <c r="CD262" s="32">
        <f t="shared" si="695"/>
        <v>0</v>
      </c>
      <c r="CE262" s="32">
        <f t="shared" si="695"/>
        <v>0</v>
      </c>
      <c r="CF262" s="32">
        <f t="shared" si="695"/>
        <v>0</v>
      </c>
      <c r="CG262" s="32">
        <f t="shared" si="695"/>
        <v>0</v>
      </c>
      <c r="CH262" s="32">
        <f t="shared" si="695"/>
        <v>0</v>
      </c>
      <c r="CI262" s="32">
        <f t="shared" si="695"/>
        <v>0</v>
      </c>
      <c r="CJ262" s="32">
        <f t="shared" si="695"/>
        <v>0</v>
      </c>
      <c r="CK262" s="32">
        <f t="shared" si="695"/>
        <v>0</v>
      </c>
      <c r="CL262" s="32">
        <f t="shared" si="695"/>
        <v>0</v>
      </c>
      <c r="CM262" s="32">
        <f t="shared" si="695"/>
        <v>0</v>
      </c>
      <c r="CN262" s="32">
        <f t="shared" si="695"/>
        <v>0</v>
      </c>
      <c r="CO262" s="32">
        <f t="shared" si="695"/>
        <v>0</v>
      </c>
      <c r="CP262" s="32">
        <f t="shared" si="695"/>
        <v>0</v>
      </c>
      <c r="CQ262" s="32">
        <f t="shared" si="695"/>
        <v>0</v>
      </c>
      <c r="CR262" s="32">
        <f t="shared" si="695"/>
        <v>0</v>
      </c>
      <c r="CS262" s="32">
        <f t="shared" si="695"/>
        <v>0</v>
      </c>
      <c r="CT262" s="32">
        <f t="shared" si="695"/>
        <v>0</v>
      </c>
      <c r="CU262" s="32">
        <f t="shared" si="695"/>
        <v>0</v>
      </c>
      <c r="CV262" s="32">
        <f t="shared" si="695"/>
        <v>0</v>
      </c>
    </row>
    <row r="263" spans="1:100" outlineLevel="1" x14ac:dyDescent="0.2">
      <c r="A263" s="236"/>
      <c r="B263" s="236"/>
      <c r="C263" s="237"/>
      <c r="D263" s="238"/>
      <c r="E263" s="32" t="s">
        <v>429</v>
      </c>
      <c r="F263" s="32"/>
      <c r="G263" s="32" t="str">
        <f xml:space="preserve"> SMU</f>
        <v>$ 000s</v>
      </c>
      <c r="H263" s="32">
        <f xml:space="preserve"> SUM(J263:CV263)</f>
        <v>4902.8347143961264</v>
      </c>
      <c r="I263" s="32"/>
      <c r="J263" s="32">
        <f t="shared" ref="J263:AO263" si="696" xml:space="preserve"> -1 * MIN(0, J262)</f>
        <v>0</v>
      </c>
      <c r="K263" s="32">
        <f t="shared" si="696"/>
        <v>0</v>
      </c>
      <c r="L263" s="32">
        <f t="shared" si="696"/>
        <v>0</v>
      </c>
      <c r="M263" s="32">
        <f t="shared" si="696"/>
        <v>0</v>
      </c>
      <c r="N263" s="32">
        <f t="shared" si="696"/>
        <v>0</v>
      </c>
      <c r="O263" s="32">
        <f t="shared" si="696"/>
        <v>3857.1209730037863</v>
      </c>
      <c r="P263" s="32">
        <f t="shared" si="696"/>
        <v>63.930181872990943</v>
      </c>
      <c r="Q263" s="32">
        <f t="shared" si="696"/>
        <v>0</v>
      </c>
      <c r="R263" s="32">
        <f t="shared" si="696"/>
        <v>63.447715955897365</v>
      </c>
      <c r="S263" s="32">
        <f t="shared" si="696"/>
        <v>0</v>
      </c>
      <c r="T263" s="32">
        <f t="shared" si="696"/>
        <v>62.95905233328358</v>
      </c>
      <c r="U263" s="32">
        <f t="shared" si="696"/>
        <v>0</v>
      </c>
      <c r="V263" s="32">
        <f t="shared" si="696"/>
        <v>41.413899936950656</v>
      </c>
      <c r="W263" s="32">
        <f t="shared" si="696"/>
        <v>0</v>
      </c>
      <c r="X263" s="32">
        <f t="shared" si="696"/>
        <v>61.962601390489908</v>
      </c>
      <c r="Y263" s="32">
        <f t="shared" si="696"/>
        <v>0</v>
      </c>
      <c r="Z263" s="32">
        <f t="shared" si="696"/>
        <v>61.454542116222001</v>
      </c>
      <c r="AA263" s="32">
        <f t="shared" si="696"/>
        <v>0</v>
      </c>
      <c r="AB263" s="32">
        <f t="shared" si="696"/>
        <v>60.939741120686449</v>
      </c>
      <c r="AC263" s="32">
        <f t="shared" si="696"/>
        <v>0</v>
      </c>
      <c r="AD263" s="32">
        <f t="shared" si="696"/>
        <v>40.057392120876102</v>
      </c>
      <c r="AE263" s="32">
        <f t="shared" si="696"/>
        <v>0</v>
      </c>
      <c r="AF263" s="32">
        <f t="shared" si="696"/>
        <v>59.889339563994326</v>
      </c>
      <c r="AG263" s="32">
        <f t="shared" si="696"/>
        <v>0</v>
      </c>
      <c r="AH263" s="32">
        <f t="shared" si="696"/>
        <v>59.353444585193756</v>
      </c>
      <c r="AI263" s="32">
        <f t="shared" si="696"/>
        <v>0</v>
      </c>
      <c r="AJ263" s="32">
        <f t="shared" si="696"/>
        <v>58.810218933393116</v>
      </c>
      <c r="AK263" s="32">
        <f t="shared" si="696"/>
        <v>0</v>
      </c>
      <c r="AL263" s="32">
        <f t="shared" si="696"/>
        <v>38.626267155046662</v>
      </c>
      <c r="AM263" s="32">
        <f t="shared" si="696"/>
        <v>0</v>
      </c>
      <c r="AN263" s="32">
        <f t="shared" si="696"/>
        <v>57.701153750870617</v>
      </c>
      <c r="AO263" s="32">
        <f t="shared" si="696"/>
        <v>0</v>
      </c>
      <c r="AP263" s="32">
        <f t="shared" ref="AP263:BU263" si="697" xml:space="preserve"> -1 * MIN(0, AP262)</f>
        <v>57.134995474510106</v>
      </c>
      <c r="AQ263" s="32">
        <f t="shared" si="697"/>
        <v>0</v>
      </c>
      <c r="AR263" s="32">
        <f t="shared" si="697"/>
        <v>56.560868907751683</v>
      </c>
      <c r="AS263" s="32">
        <f t="shared" si="697"/>
        <v>0</v>
      </c>
      <c r="AT263" s="32">
        <f t="shared" si="697"/>
        <v>37.114021209774364</v>
      </c>
      <c r="AU263" s="32">
        <f t="shared" si="697"/>
        <v>0</v>
      </c>
      <c r="AV263" s="32">
        <f t="shared" si="697"/>
        <v>55.388037646277553</v>
      </c>
      <c r="AW263" s="32">
        <f t="shared" si="697"/>
        <v>0</v>
      </c>
      <c r="AX263" s="32">
        <f t="shared" si="697"/>
        <v>54.788987858909422</v>
      </c>
      <c r="AY263" s="32">
        <f t="shared" si="697"/>
        <v>0</v>
      </c>
      <c r="AZ263" s="32">
        <f t="shared" si="697"/>
        <v>54.181279459221514</v>
      </c>
      <c r="BA263" s="32">
        <f t="shared" si="697"/>
        <v>0</v>
      </c>
      <c r="BB263" s="32">
        <f t="shared" si="697"/>
        <v>0</v>
      </c>
      <c r="BC263" s="32">
        <f t="shared" si="697"/>
        <v>0</v>
      </c>
      <c r="BD263" s="32">
        <f t="shared" si="697"/>
        <v>0</v>
      </c>
      <c r="BE263" s="32">
        <f t="shared" si="697"/>
        <v>0</v>
      </c>
      <c r="BF263" s="32">
        <f t="shared" si="697"/>
        <v>0</v>
      </c>
      <c r="BG263" s="32">
        <f t="shared" si="697"/>
        <v>0</v>
      </c>
      <c r="BH263" s="32">
        <f t="shared" si="697"/>
        <v>0</v>
      </c>
      <c r="BI263" s="32">
        <f t="shared" si="697"/>
        <v>0</v>
      </c>
      <c r="BJ263" s="32">
        <f t="shared" si="697"/>
        <v>0</v>
      </c>
      <c r="BK263" s="32">
        <f t="shared" si="697"/>
        <v>0</v>
      </c>
      <c r="BL263" s="32">
        <f t="shared" si="697"/>
        <v>0</v>
      </c>
      <c r="BM263" s="32">
        <f t="shared" si="697"/>
        <v>0</v>
      </c>
      <c r="BN263" s="32">
        <f t="shared" si="697"/>
        <v>0</v>
      </c>
      <c r="BO263" s="32">
        <f t="shared" si="697"/>
        <v>0</v>
      </c>
      <c r="BP263" s="32">
        <f t="shared" si="697"/>
        <v>0</v>
      </c>
      <c r="BQ263" s="32">
        <f t="shared" si="697"/>
        <v>0</v>
      </c>
      <c r="BR263" s="32">
        <f t="shared" si="697"/>
        <v>0</v>
      </c>
      <c r="BS263" s="32">
        <f t="shared" si="697"/>
        <v>0</v>
      </c>
      <c r="BT263" s="32">
        <f t="shared" si="697"/>
        <v>0</v>
      </c>
      <c r="BU263" s="32">
        <f t="shared" si="697"/>
        <v>0</v>
      </c>
      <c r="BV263" s="32">
        <f t="shared" ref="BV263:CV263" si="698" xml:space="preserve"> -1 * MIN(0, BV262)</f>
        <v>0</v>
      </c>
      <c r="BW263" s="32">
        <f t="shared" si="698"/>
        <v>0</v>
      </c>
      <c r="BX263" s="32">
        <f t="shared" si="698"/>
        <v>0</v>
      </c>
      <c r="BY263" s="32">
        <f t="shared" si="698"/>
        <v>0</v>
      </c>
      <c r="BZ263" s="32">
        <f t="shared" si="698"/>
        <v>0</v>
      </c>
      <c r="CA263" s="32">
        <f t="shared" si="698"/>
        <v>0</v>
      </c>
      <c r="CB263" s="32">
        <f t="shared" si="698"/>
        <v>0</v>
      </c>
      <c r="CC263" s="32">
        <f t="shared" si="698"/>
        <v>0</v>
      </c>
      <c r="CD263" s="32">
        <f t="shared" si="698"/>
        <v>0</v>
      </c>
      <c r="CE263" s="32">
        <f t="shared" si="698"/>
        <v>0</v>
      </c>
      <c r="CF263" s="32">
        <f t="shared" si="698"/>
        <v>0</v>
      </c>
      <c r="CG263" s="32">
        <f t="shared" si="698"/>
        <v>0</v>
      </c>
      <c r="CH263" s="32">
        <f t="shared" si="698"/>
        <v>0</v>
      </c>
      <c r="CI263" s="32">
        <f t="shared" si="698"/>
        <v>0</v>
      </c>
      <c r="CJ263" s="32">
        <f t="shared" si="698"/>
        <v>0</v>
      </c>
      <c r="CK263" s="32">
        <f t="shared" si="698"/>
        <v>0</v>
      </c>
      <c r="CL263" s="32">
        <f t="shared" si="698"/>
        <v>0</v>
      </c>
      <c r="CM263" s="32">
        <f t="shared" si="698"/>
        <v>0</v>
      </c>
      <c r="CN263" s="32">
        <f t="shared" si="698"/>
        <v>0</v>
      </c>
      <c r="CO263" s="32">
        <f t="shared" si="698"/>
        <v>0</v>
      </c>
      <c r="CP263" s="32">
        <f t="shared" si="698"/>
        <v>0</v>
      </c>
      <c r="CQ263" s="32">
        <f t="shared" si="698"/>
        <v>0</v>
      </c>
      <c r="CR263" s="32">
        <f t="shared" si="698"/>
        <v>0</v>
      </c>
      <c r="CS263" s="32">
        <f t="shared" si="698"/>
        <v>0</v>
      </c>
      <c r="CT263" s="32">
        <f t="shared" si="698"/>
        <v>0</v>
      </c>
      <c r="CU263" s="32">
        <f t="shared" si="698"/>
        <v>0</v>
      </c>
      <c r="CV263" s="32">
        <f t="shared" si="698"/>
        <v>0</v>
      </c>
    </row>
    <row r="264" spans="1:100" outlineLevel="1" x14ac:dyDescent="0.2">
      <c r="A264" s="236"/>
      <c r="B264" s="236"/>
      <c r="C264" s="237"/>
      <c r="D264" s="238"/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235"/>
      <c r="P264" s="235"/>
      <c r="Q264" s="235"/>
      <c r="R264" s="235"/>
      <c r="S264" s="235"/>
      <c r="T264" s="235"/>
      <c r="U264" s="235"/>
      <c r="V264" s="235"/>
      <c r="W264" s="235"/>
      <c r="X264" s="235"/>
      <c r="Y264" s="235"/>
      <c r="Z264" s="235"/>
      <c r="AA264" s="235"/>
      <c r="AB264" s="235"/>
      <c r="AC264" s="235"/>
      <c r="AD264" s="235"/>
      <c r="AE264" s="235"/>
      <c r="AF264" s="235"/>
      <c r="AG264" s="235"/>
      <c r="AH264" s="235"/>
      <c r="AI264" s="235"/>
      <c r="AJ264" s="235"/>
      <c r="AK264" s="235"/>
      <c r="AL264" s="235"/>
      <c r="AM264" s="235"/>
      <c r="AN264" s="235"/>
      <c r="AO264" s="235"/>
      <c r="AP264" s="235"/>
      <c r="AQ264" s="235"/>
      <c r="AR264" s="235"/>
      <c r="AS264" s="235"/>
      <c r="AT264" s="235"/>
      <c r="AU264" s="235"/>
      <c r="AV264" s="235"/>
      <c r="AW264" s="235"/>
      <c r="AX264" s="235"/>
      <c r="AY264" s="235"/>
      <c r="AZ264" s="235"/>
      <c r="BA264" s="235"/>
      <c r="BB264" s="235"/>
      <c r="BC264" s="235"/>
      <c r="BD264" s="235"/>
      <c r="BE264" s="235"/>
      <c r="BF264" s="235"/>
      <c r="BG264" s="235"/>
      <c r="BH264" s="235"/>
      <c r="BI264" s="235"/>
      <c r="BJ264" s="235"/>
      <c r="BK264" s="235"/>
      <c r="BL264" s="235"/>
      <c r="BM264" s="235"/>
      <c r="BN264" s="235"/>
      <c r="BO264" s="235"/>
      <c r="BP264" s="235"/>
      <c r="BQ264" s="235"/>
      <c r="BR264" s="235"/>
      <c r="BS264" s="235"/>
      <c r="BT264" s="235"/>
      <c r="BU264" s="235"/>
      <c r="BV264" s="235"/>
      <c r="BW264" s="235"/>
      <c r="BX264" s="235"/>
      <c r="BY264" s="235"/>
      <c r="BZ264" s="235"/>
      <c r="CA264" s="235"/>
      <c r="CB264" s="235"/>
      <c r="CC264" s="235"/>
      <c r="CD264" s="235"/>
      <c r="CE264" s="235"/>
      <c r="CF264" s="235"/>
      <c r="CG264" s="235"/>
      <c r="CH264" s="235"/>
      <c r="CI264" s="235"/>
      <c r="CJ264" s="235"/>
      <c r="CK264" s="235"/>
      <c r="CL264" s="235"/>
      <c r="CM264" s="235"/>
      <c r="CN264" s="235"/>
      <c r="CO264" s="235"/>
      <c r="CP264" s="235"/>
      <c r="CQ264" s="235"/>
      <c r="CR264" s="235"/>
      <c r="CS264" s="235"/>
      <c r="CT264" s="235"/>
      <c r="CU264" s="235"/>
      <c r="CV264" s="235"/>
    </row>
    <row r="265" spans="1:100" outlineLevel="1" x14ac:dyDescent="0.2">
      <c r="A265" s="236"/>
      <c r="B265" s="236" t="s">
        <v>311</v>
      </c>
      <c r="C265" s="237"/>
      <c r="D265" s="238"/>
      <c r="E265" s="235"/>
      <c r="F265" s="235"/>
      <c r="G265" s="235"/>
      <c r="H265" s="235"/>
      <c r="I265" s="235"/>
      <c r="J265" s="235"/>
      <c r="K265" s="235"/>
      <c r="L265" s="235"/>
      <c r="M265" s="235"/>
      <c r="N265" s="235"/>
      <c r="O265" s="235"/>
      <c r="P265" s="235"/>
      <c r="Q265" s="235"/>
      <c r="R265" s="235"/>
      <c r="S265" s="235"/>
      <c r="T265" s="235"/>
      <c r="U265" s="235"/>
      <c r="V265" s="235"/>
      <c r="W265" s="235"/>
      <c r="X265" s="235"/>
      <c r="Y265" s="235"/>
      <c r="Z265" s="235"/>
      <c r="AA265" s="235"/>
      <c r="AB265" s="235"/>
      <c r="AC265" s="235"/>
      <c r="AD265" s="235"/>
      <c r="AE265" s="235"/>
      <c r="AF265" s="235"/>
      <c r="AG265" s="235"/>
      <c r="AH265" s="235"/>
      <c r="AI265" s="235"/>
      <c r="AJ265" s="235"/>
      <c r="AK265" s="235"/>
      <c r="AL265" s="235"/>
      <c r="AM265" s="235"/>
      <c r="AN265" s="235"/>
      <c r="AO265" s="235"/>
      <c r="AP265" s="235"/>
      <c r="AQ265" s="235"/>
      <c r="AR265" s="235"/>
      <c r="AS265" s="235"/>
      <c r="AT265" s="235"/>
      <c r="AU265" s="235"/>
      <c r="AV265" s="235"/>
      <c r="AW265" s="235"/>
      <c r="AX265" s="235"/>
      <c r="AY265" s="235"/>
      <c r="AZ265" s="235"/>
      <c r="BA265" s="235"/>
      <c r="BB265" s="235"/>
      <c r="BC265" s="235"/>
      <c r="BD265" s="235"/>
      <c r="BE265" s="235"/>
      <c r="BF265" s="235"/>
      <c r="BG265" s="235"/>
      <c r="BH265" s="235"/>
      <c r="BI265" s="235"/>
      <c r="BJ265" s="235"/>
      <c r="BK265" s="235"/>
      <c r="BL265" s="235"/>
      <c r="BM265" s="235"/>
      <c r="BN265" s="235"/>
      <c r="BO265" s="235"/>
      <c r="BP265" s="235"/>
      <c r="BQ265" s="235"/>
      <c r="BR265" s="235"/>
      <c r="BS265" s="235"/>
      <c r="BT265" s="235"/>
      <c r="BU265" s="235"/>
      <c r="BV265" s="235"/>
      <c r="BW265" s="235"/>
      <c r="BX265" s="235"/>
      <c r="BY265" s="235"/>
      <c r="BZ265" s="235"/>
      <c r="CA265" s="235"/>
      <c r="CB265" s="235"/>
      <c r="CC265" s="235"/>
      <c r="CD265" s="235"/>
      <c r="CE265" s="235"/>
      <c r="CF265" s="235"/>
      <c r="CG265" s="235"/>
      <c r="CH265" s="235"/>
      <c r="CI265" s="235"/>
      <c r="CJ265" s="235"/>
      <c r="CK265" s="235"/>
      <c r="CL265" s="235"/>
      <c r="CM265" s="235"/>
      <c r="CN265" s="235"/>
      <c r="CO265" s="235"/>
      <c r="CP265" s="235"/>
      <c r="CQ265" s="235"/>
      <c r="CR265" s="235"/>
      <c r="CS265" s="235"/>
      <c r="CT265" s="235"/>
      <c r="CU265" s="235"/>
      <c r="CV265" s="235"/>
    </row>
    <row r="266" spans="1:100" outlineLevel="2" x14ac:dyDescent="0.2">
      <c r="A266" s="236"/>
      <c r="B266" s="236"/>
      <c r="C266" s="237"/>
      <c r="D266" s="238"/>
      <c r="E266" s="32" t="str">
        <f t="shared" ref="E266:AJ266" si="699" xml:space="preserve"> E$274</f>
        <v>Working capital reserve account balance BEG</v>
      </c>
      <c r="F266" s="32">
        <f t="shared" si="699"/>
        <v>0</v>
      </c>
      <c r="G266" s="32" t="str">
        <f t="shared" si="699"/>
        <v>$ 000s</v>
      </c>
      <c r="H266" s="32">
        <f t="shared" si="699"/>
        <v>0</v>
      </c>
      <c r="I266" s="32">
        <f t="shared" si="699"/>
        <v>0</v>
      </c>
      <c r="J266" s="32">
        <f t="shared" si="699"/>
        <v>0</v>
      </c>
      <c r="K266" s="32">
        <f t="shared" si="699"/>
        <v>0</v>
      </c>
      <c r="L266" s="32">
        <f t="shared" si="699"/>
        <v>0</v>
      </c>
      <c r="M266" s="32">
        <f t="shared" si="699"/>
        <v>0</v>
      </c>
      <c r="N266" s="32">
        <f t="shared" si="699"/>
        <v>0</v>
      </c>
      <c r="O266" s="32">
        <f t="shared" si="699"/>
        <v>3857.1209730037863</v>
      </c>
      <c r="P266" s="32">
        <f t="shared" si="699"/>
        <v>0</v>
      </c>
      <c r="Q266" s="32">
        <f t="shared" si="699"/>
        <v>0</v>
      </c>
      <c r="R266" s="32">
        <f t="shared" si="699"/>
        <v>0</v>
      </c>
      <c r="S266" s="32">
        <f t="shared" si="699"/>
        <v>0</v>
      </c>
      <c r="T266" s="32">
        <f t="shared" si="699"/>
        <v>0</v>
      </c>
      <c r="U266" s="32">
        <f t="shared" si="699"/>
        <v>0</v>
      </c>
      <c r="V266" s="32">
        <f t="shared" si="699"/>
        <v>0</v>
      </c>
      <c r="W266" s="32">
        <f t="shared" si="699"/>
        <v>0</v>
      </c>
      <c r="X266" s="32">
        <f t="shared" si="699"/>
        <v>0</v>
      </c>
      <c r="Y266" s="32">
        <f t="shared" si="699"/>
        <v>0</v>
      </c>
      <c r="Z266" s="32">
        <f t="shared" si="699"/>
        <v>0</v>
      </c>
      <c r="AA266" s="32">
        <f t="shared" si="699"/>
        <v>0</v>
      </c>
      <c r="AB266" s="32">
        <f t="shared" si="699"/>
        <v>0</v>
      </c>
      <c r="AC266" s="32">
        <f t="shared" si="699"/>
        <v>0</v>
      </c>
      <c r="AD266" s="32">
        <f t="shared" si="699"/>
        <v>0</v>
      </c>
      <c r="AE266" s="32">
        <f t="shared" si="699"/>
        <v>0</v>
      </c>
      <c r="AF266" s="32">
        <f t="shared" si="699"/>
        <v>0</v>
      </c>
      <c r="AG266" s="32">
        <f t="shared" si="699"/>
        <v>0</v>
      </c>
      <c r="AH266" s="32">
        <f t="shared" si="699"/>
        <v>0</v>
      </c>
      <c r="AI266" s="32">
        <f t="shared" si="699"/>
        <v>0</v>
      </c>
      <c r="AJ266" s="32">
        <f t="shared" si="699"/>
        <v>0</v>
      </c>
      <c r="AK266" s="32">
        <f t="shared" ref="AK266:BP266" si="700" xml:space="preserve"> AK$274</f>
        <v>0</v>
      </c>
      <c r="AL266" s="32">
        <f t="shared" si="700"/>
        <v>0</v>
      </c>
      <c r="AM266" s="32">
        <f t="shared" si="700"/>
        <v>0</v>
      </c>
      <c r="AN266" s="32">
        <f t="shared" si="700"/>
        <v>0</v>
      </c>
      <c r="AO266" s="32">
        <f t="shared" si="700"/>
        <v>0</v>
      </c>
      <c r="AP266" s="32">
        <f t="shared" si="700"/>
        <v>0</v>
      </c>
      <c r="AQ266" s="32">
        <f t="shared" si="700"/>
        <v>0</v>
      </c>
      <c r="AR266" s="32">
        <f t="shared" si="700"/>
        <v>0</v>
      </c>
      <c r="AS266" s="32">
        <f t="shared" si="700"/>
        <v>0</v>
      </c>
      <c r="AT266" s="32">
        <f t="shared" si="700"/>
        <v>0</v>
      </c>
      <c r="AU266" s="32">
        <f t="shared" si="700"/>
        <v>0</v>
      </c>
      <c r="AV266" s="32">
        <f t="shared" si="700"/>
        <v>0</v>
      </c>
      <c r="AW266" s="32">
        <f t="shared" si="700"/>
        <v>0</v>
      </c>
      <c r="AX266" s="32">
        <f t="shared" si="700"/>
        <v>0</v>
      </c>
      <c r="AY266" s="32">
        <f t="shared" si="700"/>
        <v>0</v>
      </c>
      <c r="AZ266" s="32">
        <f t="shared" si="700"/>
        <v>0</v>
      </c>
      <c r="BA266" s="32">
        <f t="shared" si="700"/>
        <v>0</v>
      </c>
      <c r="BB266" s="32">
        <f t="shared" si="700"/>
        <v>0</v>
      </c>
      <c r="BC266" s="32">
        <f t="shared" si="700"/>
        <v>0</v>
      </c>
      <c r="BD266" s="32">
        <f t="shared" si="700"/>
        <v>0</v>
      </c>
      <c r="BE266" s="32">
        <f t="shared" si="700"/>
        <v>0</v>
      </c>
      <c r="BF266" s="32">
        <f t="shared" si="700"/>
        <v>0</v>
      </c>
      <c r="BG266" s="32">
        <f t="shared" si="700"/>
        <v>0</v>
      </c>
      <c r="BH266" s="32">
        <f t="shared" si="700"/>
        <v>0</v>
      </c>
      <c r="BI266" s="32">
        <f t="shared" si="700"/>
        <v>0</v>
      </c>
      <c r="BJ266" s="32">
        <f t="shared" si="700"/>
        <v>0</v>
      </c>
      <c r="BK266" s="32">
        <f t="shared" si="700"/>
        <v>0</v>
      </c>
      <c r="BL266" s="32">
        <f t="shared" si="700"/>
        <v>0</v>
      </c>
      <c r="BM266" s="32">
        <f t="shared" si="700"/>
        <v>0</v>
      </c>
      <c r="BN266" s="32">
        <f t="shared" si="700"/>
        <v>0</v>
      </c>
      <c r="BO266" s="32">
        <f t="shared" si="700"/>
        <v>0</v>
      </c>
      <c r="BP266" s="32">
        <f t="shared" si="700"/>
        <v>0</v>
      </c>
      <c r="BQ266" s="32">
        <f t="shared" ref="BQ266:CV266" si="701" xml:space="preserve"> BQ$274</f>
        <v>0</v>
      </c>
      <c r="BR266" s="32">
        <f t="shared" si="701"/>
        <v>0</v>
      </c>
      <c r="BS266" s="32">
        <f t="shared" si="701"/>
        <v>0</v>
      </c>
      <c r="BT266" s="32">
        <f t="shared" si="701"/>
        <v>0</v>
      </c>
      <c r="BU266" s="32">
        <f t="shared" si="701"/>
        <v>0</v>
      </c>
      <c r="BV266" s="32">
        <f t="shared" si="701"/>
        <v>0</v>
      </c>
      <c r="BW266" s="32">
        <f t="shared" si="701"/>
        <v>0</v>
      </c>
      <c r="BX266" s="32">
        <f t="shared" si="701"/>
        <v>0</v>
      </c>
      <c r="BY266" s="32">
        <f t="shared" si="701"/>
        <v>0</v>
      </c>
      <c r="BZ266" s="32">
        <f t="shared" si="701"/>
        <v>0</v>
      </c>
      <c r="CA266" s="32">
        <f t="shared" si="701"/>
        <v>0</v>
      </c>
      <c r="CB266" s="32">
        <f t="shared" si="701"/>
        <v>0</v>
      </c>
      <c r="CC266" s="32">
        <f t="shared" si="701"/>
        <v>0</v>
      </c>
      <c r="CD266" s="32">
        <f t="shared" si="701"/>
        <v>0</v>
      </c>
      <c r="CE266" s="32">
        <f t="shared" si="701"/>
        <v>0</v>
      </c>
      <c r="CF266" s="32">
        <f t="shared" si="701"/>
        <v>0</v>
      </c>
      <c r="CG266" s="32">
        <f t="shared" si="701"/>
        <v>0</v>
      </c>
      <c r="CH266" s="32">
        <f t="shared" si="701"/>
        <v>0</v>
      </c>
      <c r="CI266" s="32">
        <f t="shared" si="701"/>
        <v>0</v>
      </c>
      <c r="CJ266" s="32">
        <f t="shared" si="701"/>
        <v>0</v>
      </c>
      <c r="CK266" s="32">
        <f t="shared" si="701"/>
        <v>0</v>
      </c>
      <c r="CL266" s="32">
        <f t="shared" si="701"/>
        <v>0</v>
      </c>
      <c r="CM266" s="32">
        <f t="shared" si="701"/>
        <v>0</v>
      </c>
      <c r="CN266" s="32">
        <f t="shared" si="701"/>
        <v>0</v>
      </c>
      <c r="CO266" s="32">
        <f t="shared" si="701"/>
        <v>0</v>
      </c>
      <c r="CP266" s="32">
        <f t="shared" si="701"/>
        <v>0</v>
      </c>
      <c r="CQ266" s="32">
        <f t="shared" si="701"/>
        <v>0</v>
      </c>
      <c r="CR266" s="32">
        <f t="shared" si="701"/>
        <v>0</v>
      </c>
      <c r="CS266" s="32">
        <f t="shared" si="701"/>
        <v>0</v>
      </c>
      <c r="CT266" s="32">
        <f t="shared" si="701"/>
        <v>0</v>
      </c>
      <c r="CU266" s="32">
        <f t="shared" si="701"/>
        <v>0</v>
      </c>
      <c r="CV266" s="32">
        <f t="shared" si="701"/>
        <v>0</v>
      </c>
    </row>
    <row r="267" spans="1:100" outlineLevel="2" x14ac:dyDescent="0.2">
      <c r="A267" s="236"/>
      <c r="B267" s="236"/>
      <c r="C267" s="237"/>
      <c r="D267" s="238"/>
      <c r="E267" s="32" t="str">
        <f t="shared" ref="E267:AJ267" si="702" xml:space="preserve"> E$263</f>
        <v>Target release from working capital reserve</v>
      </c>
      <c r="F267" s="32">
        <f t="shared" si="702"/>
        <v>0</v>
      </c>
      <c r="G267" s="32" t="str">
        <f t="shared" si="702"/>
        <v>$ 000s</v>
      </c>
      <c r="H267" s="32">
        <f t="shared" si="702"/>
        <v>4902.8347143961264</v>
      </c>
      <c r="I267" s="32">
        <f t="shared" si="702"/>
        <v>0</v>
      </c>
      <c r="J267" s="32">
        <f t="shared" si="702"/>
        <v>0</v>
      </c>
      <c r="K267" s="32">
        <f t="shared" si="702"/>
        <v>0</v>
      </c>
      <c r="L267" s="32">
        <f t="shared" si="702"/>
        <v>0</v>
      </c>
      <c r="M267" s="32">
        <f t="shared" si="702"/>
        <v>0</v>
      </c>
      <c r="N267" s="32">
        <f t="shared" si="702"/>
        <v>0</v>
      </c>
      <c r="O267" s="32">
        <f t="shared" si="702"/>
        <v>3857.1209730037863</v>
      </c>
      <c r="P267" s="32">
        <f t="shared" si="702"/>
        <v>63.930181872990943</v>
      </c>
      <c r="Q267" s="32">
        <f t="shared" si="702"/>
        <v>0</v>
      </c>
      <c r="R267" s="32">
        <f t="shared" si="702"/>
        <v>63.447715955897365</v>
      </c>
      <c r="S267" s="32">
        <f t="shared" si="702"/>
        <v>0</v>
      </c>
      <c r="T267" s="32">
        <f t="shared" si="702"/>
        <v>62.95905233328358</v>
      </c>
      <c r="U267" s="32">
        <f t="shared" si="702"/>
        <v>0</v>
      </c>
      <c r="V267" s="32">
        <f t="shared" si="702"/>
        <v>41.413899936950656</v>
      </c>
      <c r="W267" s="32">
        <f t="shared" si="702"/>
        <v>0</v>
      </c>
      <c r="X267" s="32">
        <f t="shared" si="702"/>
        <v>61.962601390489908</v>
      </c>
      <c r="Y267" s="32">
        <f t="shared" si="702"/>
        <v>0</v>
      </c>
      <c r="Z267" s="32">
        <f t="shared" si="702"/>
        <v>61.454542116222001</v>
      </c>
      <c r="AA267" s="32">
        <f t="shared" si="702"/>
        <v>0</v>
      </c>
      <c r="AB267" s="32">
        <f t="shared" si="702"/>
        <v>60.939741120686449</v>
      </c>
      <c r="AC267" s="32">
        <f t="shared" si="702"/>
        <v>0</v>
      </c>
      <c r="AD267" s="32">
        <f t="shared" si="702"/>
        <v>40.057392120876102</v>
      </c>
      <c r="AE267" s="32">
        <f t="shared" si="702"/>
        <v>0</v>
      </c>
      <c r="AF267" s="32">
        <f t="shared" si="702"/>
        <v>59.889339563994326</v>
      </c>
      <c r="AG267" s="32">
        <f t="shared" si="702"/>
        <v>0</v>
      </c>
      <c r="AH267" s="32">
        <f t="shared" si="702"/>
        <v>59.353444585193756</v>
      </c>
      <c r="AI267" s="32">
        <f t="shared" si="702"/>
        <v>0</v>
      </c>
      <c r="AJ267" s="32">
        <f t="shared" si="702"/>
        <v>58.810218933393116</v>
      </c>
      <c r="AK267" s="32">
        <f t="shared" ref="AK267:BP267" si="703" xml:space="preserve"> AK$263</f>
        <v>0</v>
      </c>
      <c r="AL267" s="32">
        <f t="shared" si="703"/>
        <v>38.626267155046662</v>
      </c>
      <c r="AM267" s="32">
        <f t="shared" si="703"/>
        <v>0</v>
      </c>
      <c r="AN267" s="32">
        <f t="shared" si="703"/>
        <v>57.701153750870617</v>
      </c>
      <c r="AO267" s="32">
        <f t="shared" si="703"/>
        <v>0</v>
      </c>
      <c r="AP267" s="32">
        <f t="shared" si="703"/>
        <v>57.134995474510106</v>
      </c>
      <c r="AQ267" s="32">
        <f t="shared" si="703"/>
        <v>0</v>
      </c>
      <c r="AR267" s="32">
        <f t="shared" si="703"/>
        <v>56.560868907751683</v>
      </c>
      <c r="AS267" s="32">
        <f t="shared" si="703"/>
        <v>0</v>
      </c>
      <c r="AT267" s="32">
        <f t="shared" si="703"/>
        <v>37.114021209774364</v>
      </c>
      <c r="AU267" s="32">
        <f t="shared" si="703"/>
        <v>0</v>
      </c>
      <c r="AV267" s="32">
        <f t="shared" si="703"/>
        <v>55.388037646277553</v>
      </c>
      <c r="AW267" s="32">
        <f t="shared" si="703"/>
        <v>0</v>
      </c>
      <c r="AX267" s="32">
        <f t="shared" si="703"/>
        <v>54.788987858909422</v>
      </c>
      <c r="AY267" s="32">
        <f t="shared" si="703"/>
        <v>0</v>
      </c>
      <c r="AZ267" s="32">
        <f t="shared" si="703"/>
        <v>54.181279459221514</v>
      </c>
      <c r="BA267" s="32">
        <f t="shared" si="703"/>
        <v>0</v>
      </c>
      <c r="BB267" s="32">
        <f t="shared" si="703"/>
        <v>0</v>
      </c>
      <c r="BC267" s="32">
        <f t="shared" si="703"/>
        <v>0</v>
      </c>
      <c r="BD267" s="32">
        <f t="shared" si="703"/>
        <v>0</v>
      </c>
      <c r="BE267" s="32">
        <f t="shared" si="703"/>
        <v>0</v>
      </c>
      <c r="BF267" s="32">
        <f t="shared" si="703"/>
        <v>0</v>
      </c>
      <c r="BG267" s="32">
        <f t="shared" si="703"/>
        <v>0</v>
      </c>
      <c r="BH267" s="32">
        <f t="shared" si="703"/>
        <v>0</v>
      </c>
      <c r="BI267" s="32">
        <f t="shared" si="703"/>
        <v>0</v>
      </c>
      <c r="BJ267" s="32">
        <f t="shared" si="703"/>
        <v>0</v>
      </c>
      <c r="BK267" s="32">
        <f t="shared" si="703"/>
        <v>0</v>
      </c>
      <c r="BL267" s="32">
        <f t="shared" si="703"/>
        <v>0</v>
      </c>
      <c r="BM267" s="32">
        <f t="shared" si="703"/>
        <v>0</v>
      </c>
      <c r="BN267" s="32">
        <f t="shared" si="703"/>
        <v>0</v>
      </c>
      <c r="BO267" s="32">
        <f t="shared" si="703"/>
        <v>0</v>
      </c>
      <c r="BP267" s="32">
        <f t="shared" si="703"/>
        <v>0</v>
      </c>
      <c r="BQ267" s="32">
        <f t="shared" ref="BQ267:CV267" si="704" xml:space="preserve"> BQ$263</f>
        <v>0</v>
      </c>
      <c r="BR267" s="32">
        <f t="shared" si="704"/>
        <v>0</v>
      </c>
      <c r="BS267" s="32">
        <f t="shared" si="704"/>
        <v>0</v>
      </c>
      <c r="BT267" s="32">
        <f t="shared" si="704"/>
        <v>0</v>
      </c>
      <c r="BU267" s="32">
        <f t="shared" si="704"/>
        <v>0</v>
      </c>
      <c r="BV267" s="32">
        <f t="shared" si="704"/>
        <v>0</v>
      </c>
      <c r="BW267" s="32">
        <f t="shared" si="704"/>
        <v>0</v>
      </c>
      <c r="BX267" s="32">
        <f t="shared" si="704"/>
        <v>0</v>
      </c>
      <c r="BY267" s="32">
        <f t="shared" si="704"/>
        <v>0</v>
      </c>
      <c r="BZ267" s="32">
        <f t="shared" si="704"/>
        <v>0</v>
      </c>
      <c r="CA267" s="32">
        <f t="shared" si="704"/>
        <v>0</v>
      </c>
      <c r="CB267" s="32">
        <f t="shared" si="704"/>
        <v>0</v>
      </c>
      <c r="CC267" s="32">
        <f t="shared" si="704"/>
        <v>0</v>
      </c>
      <c r="CD267" s="32">
        <f t="shared" si="704"/>
        <v>0</v>
      </c>
      <c r="CE267" s="32">
        <f t="shared" si="704"/>
        <v>0</v>
      </c>
      <c r="CF267" s="32">
        <f t="shared" si="704"/>
        <v>0</v>
      </c>
      <c r="CG267" s="32">
        <f t="shared" si="704"/>
        <v>0</v>
      </c>
      <c r="CH267" s="32">
        <f t="shared" si="704"/>
        <v>0</v>
      </c>
      <c r="CI267" s="32">
        <f t="shared" si="704"/>
        <v>0</v>
      </c>
      <c r="CJ267" s="32">
        <f t="shared" si="704"/>
        <v>0</v>
      </c>
      <c r="CK267" s="32">
        <f t="shared" si="704"/>
        <v>0</v>
      </c>
      <c r="CL267" s="32">
        <f t="shared" si="704"/>
        <v>0</v>
      </c>
      <c r="CM267" s="32">
        <f t="shared" si="704"/>
        <v>0</v>
      </c>
      <c r="CN267" s="32">
        <f t="shared" si="704"/>
        <v>0</v>
      </c>
      <c r="CO267" s="32">
        <f t="shared" si="704"/>
        <v>0</v>
      </c>
      <c r="CP267" s="32">
        <f t="shared" si="704"/>
        <v>0</v>
      </c>
      <c r="CQ267" s="32">
        <f t="shared" si="704"/>
        <v>0</v>
      </c>
      <c r="CR267" s="32">
        <f t="shared" si="704"/>
        <v>0</v>
      </c>
      <c r="CS267" s="32">
        <f t="shared" si="704"/>
        <v>0</v>
      </c>
      <c r="CT267" s="32">
        <f t="shared" si="704"/>
        <v>0</v>
      </c>
      <c r="CU267" s="32">
        <f t="shared" si="704"/>
        <v>0</v>
      </c>
      <c r="CV267" s="32">
        <f t="shared" si="704"/>
        <v>0</v>
      </c>
    </row>
    <row r="268" spans="1:100" outlineLevel="2" x14ac:dyDescent="0.2">
      <c r="A268" s="85"/>
      <c r="B268" s="85"/>
      <c r="C268" s="86"/>
      <c r="D268" s="87"/>
      <c r="E268" s="396" t="str">
        <f xml:space="preserve"> Time!E$101</f>
        <v xml:space="preserve">Last operating period flag </v>
      </c>
      <c r="F268" s="396">
        <f xml:space="preserve"> Time!F$101</f>
        <v>0</v>
      </c>
      <c r="G268" s="396" t="str">
        <f xml:space="preserve"> Time!G$101</f>
        <v>flag</v>
      </c>
      <c r="H268" s="396">
        <f xml:space="preserve"> Time!H$101</f>
        <v>1</v>
      </c>
      <c r="I268" s="396">
        <f xml:space="preserve"> Time!I$101</f>
        <v>0</v>
      </c>
      <c r="J268" s="396">
        <f xml:space="preserve"> Time!J$101</f>
        <v>0</v>
      </c>
      <c r="K268" s="396">
        <f xml:space="preserve"> Time!K$101</f>
        <v>0</v>
      </c>
      <c r="L268" s="396">
        <f xml:space="preserve"> Time!L$101</f>
        <v>0</v>
      </c>
      <c r="M268" s="396">
        <f xml:space="preserve"> Time!M$101</f>
        <v>0</v>
      </c>
      <c r="N268" s="396">
        <f xml:space="preserve"> Time!N$101</f>
        <v>0</v>
      </c>
      <c r="O268" s="396">
        <f xml:space="preserve"> Time!O$101</f>
        <v>0</v>
      </c>
      <c r="P268" s="396">
        <f xml:space="preserve"> Time!P$101</f>
        <v>0</v>
      </c>
      <c r="Q268" s="396">
        <f xml:space="preserve"> Time!Q$101</f>
        <v>0</v>
      </c>
      <c r="R268" s="396">
        <f xml:space="preserve"> Time!R$101</f>
        <v>0</v>
      </c>
      <c r="S268" s="396">
        <f xml:space="preserve"> Time!S$101</f>
        <v>0</v>
      </c>
      <c r="T268" s="396">
        <f xml:space="preserve"> Time!T$101</f>
        <v>0</v>
      </c>
      <c r="U268" s="396">
        <f xml:space="preserve"> Time!U$101</f>
        <v>0</v>
      </c>
      <c r="V268" s="396">
        <f xml:space="preserve"> Time!V$101</f>
        <v>0</v>
      </c>
      <c r="W268" s="396">
        <f xml:space="preserve"> Time!W$101</f>
        <v>0</v>
      </c>
      <c r="X268" s="396">
        <f xml:space="preserve"> Time!X$101</f>
        <v>0</v>
      </c>
      <c r="Y268" s="396">
        <f xml:space="preserve"> Time!Y$101</f>
        <v>0</v>
      </c>
      <c r="Z268" s="396">
        <f xml:space="preserve"> Time!Z$101</f>
        <v>0</v>
      </c>
      <c r="AA268" s="396">
        <f xml:space="preserve"> Time!AA$101</f>
        <v>0</v>
      </c>
      <c r="AB268" s="396">
        <f xml:space="preserve"> Time!AB$101</f>
        <v>0</v>
      </c>
      <c r="AC268" s="396">
        <f xml:space="preserve"> Time!AC$101</f>
        <v>0</v>
      </c>
      <c r="AD268" s="396">
        <f xml:space="preserve"> Time!AD$101</f>
        <v>0</v>
      </c>
      <c r="AE268" s="396">
        <f xml:space="preserve"> Time!AE$101</f>
        <v>0</v>
      </c>
      <c r="AF268" s="396">
        <f xml:space="preserve"> Time!AF$101</f>
        <v>0</v>
      </c>
      <c r="AG268" s="396">
        <f xml:space="preserve"> Time!AG$101</f>
        <v>0</v>
      </c>
      <c r="AH268" s="396">
        <f xml:space="preserve"> Time!AH$101</f>
        <v>0</v>
      </c>
      <c r="AI268" s="396">
        <f xml:space="preserve"> Time!AI$101</f>
        <v>0</v>
      </c>
      <c r="AJ268" s="396">
        <f xml:space="preserve"> Time!AJ$101</f>
        <v>0</v>
      </c>
      <c r="AK268" s="396">
        <f xml:space="preserve"> Time!AK$101</f>
        <v>0</v>
      </c>
      <c r="AL268" s="396">
        <f xml:space="preserve"> Time!AL$101</f>
        <v>0</v>
      </c>
      <c r="AM268" s="396">
        <f xml:space="preserve"> Time!AM$101</f>
        <v>0</v>
      </c>
      <c r="AN268" s="396">
        <f xml:space="preserve"> Time!AN$101</f>
        <v>0</v>
      </c>
      <c r="AO268" s="396">
        <f xml:space="preserve"> Time!AO$101</f>
        <v>0</v>
      </c>
      <c r="AP268" s="396">
        <f xml:space="preserve"> Time!AP$101</f>
        <v>0</v>
      </c>
      <c r="AQ268" s="396">
        <f xml:space="preserve"> Time!AQ$101</f>
        <v>0</v>
      </c>
      <c r="AR268" s="396">
        <f xml:space="preserve"> Time!AR$101</f>
        <v>0</v>
      </c>
      <c r="AS268" s="396">
        <f xml:space="preserve"> Time!AS$101</f>
        <v>0</v>
      </c>
      <c r="AT268" s="396">
        <f xml:space="preserve"> Time!AT$101</f>
        <v>0</v>
      </c>
      <c r="AU268" s="396">
        <f xml:space="preserve"> Time!AU$101</f>
        <v>0</v>
      </c>
      <c r="AV268" s="396">
        <f xml:space="preserve"> Time!AV$101</f>
        <v>0</v>
      </c>
      <c r="AW268" s="396">
        <f xml:space="preserve"> Time!AW$101</f>
        <v>0</v>
      </c>
      <c r="AX268" s="396">
        <f xml:space="preserve"> Time!AX$101</f>
        <v>0</v>
      </c>
      <c r="AY268" s="396">
        <f xml:space="preserve"> Time!AY$101</f>
        <v>0</v>
      </c>
      <c r="AZ268" s="396">
        <f xml:space="preserve"> Time!AZ$101</f>
        <v>0</v>
      </c>
      <c r="BA268" s="396">
        <f xml:space="preserve"> Time!BA$101</f>
        <v>0</v>
      </c>
      <c r="BB268" s="396">
        <f xml:space="preserve"> Time!BB$101</f>
        <v>1</v>
      </c>
      <c r="BC268" s="396">
        <f xml:space="preserve"> Time!BC$101</f>
        <v>0</v>
      </c>
      <c r="BD268" s="396">
        <f xml:space="preserve"> Time!BD$101</f>
        <v>0</v>
      </c>
      <c r="BE268" s="396">
        <f xml:space="preserve"> Time!BE$101</f>
        <v>0</v>
      </c>
      <c r="BF268" s="396">
        <f xml:space="preserve"> Time!BF$101</f>
        <v>0</v>
      </c>
      <c r="BG268" s="396">
        <f xml:space="preserve"> Time!BG$101</f>
        <v>0</v>
      </c>
      <c r="BH268" s="396">
        <f xml:space="preserve"> Time!BH$101</f>
        <v>0</v>
      </c>
      <c r="BI268" s="396">
        <f xml:space="preserve"> Time!BI$101</f>
        <v>0</v>
      </c>
      <c r="BJ268" s="396">
        <f xml:space="preserve"> Time!BJ$101</f>
        <v>0</v>
      </c>
      <c r="BK268" s="396">
        <f xml:space="preserve"> Time!BK$101</f>
        <v>0</v>
      </c>
      <c r="BL268" s="396">
        <f xml:space="preserve"> Time!BL$101</f>
        <v>0</v>
      </c>
      <c r="BM268" s="396">
        <f xml:space="preserve"> Time!BM$101</f>
        <v>0</v>
      </c>
      <c r="BN268" s="396">
        <f xml:space="preserve"> Time!BN$101</f>
        <v>0</v>
      </c>
      <c r="BO268" s="396">
        <f xml:space="preserve"> Time!BO$101</f>
        <v>0</v>
      </c>
      <c r="BP268" s="396">
        <f xml:space="preserve"> Time!BP$101</f>
        <v>0</v>
      </c>
      <c r="BQ268" s="396">
        <f xml:space="preserve"> Time!BQ$101</f>
        <v>0</v>
      </c>
      <c r="BR268" s="396">
        <f xml:space="preserve"> Time!BR$101</f>
        <v>0</v>
      </c>
      <c r="BS268" s="396">
        <f xml:space="preserve"> Time!BS$101</f>
        <v>0</v>
      </c>
      <c r="BT268" s="396">
        <f xml:space="preserve"> Time!BT$101</f>
        <v>0</v>
      </c>
      <c r="BU268" s="396">
        <f xml:space="preserve"> Time!BU$101</f>
        <v>0</v>
      </c>
      <c r="BV268" s="396">
        <f xml:space="preserve"> Time!BV$101</f>
        <v>0</v>
      </c>
      <c r="BW268" s="396">
        <f xml:space="preserve"> Time!BW$101</f>
        <v>0</v>
      </c>
      <c r="BX268" s="396">
        <f xml:space="preserve"> Time!BX$101</f>
        <v>0</v>
      </c>
      <c r="BY268" s="396">
        <f xml:space="preserve"> Time!BY$101</f>
        <v>0</v>
      </c>
      <c r="BZ268" s="396">
        <f xml:space="preserve"> Time!BZ$101</f>
        <v>0</v>
      </c>
      <c r="CA268" s="396">
        <f xml:space="preserve"> Time!CA$101</f>
        <v>0</v>
      </c>
      <c r="CB268" s="396">
        <f xml:space="preserve"> Time!CB$101</f>
        <v>0</v>
      </c>
      <c r="CC268" s="396">
        <f xml:space="preserve"> Time!CC$101</f>
        <v>0</v>
      </c>
      <c r="CD268" s="396">
        <f xml:space="preserve"> Time!CD$101</f>
        <v>0</v>
      </c>
      <c r="CE268" s="396">
        <f xml:space="preserve"> Time!CE$101</f>
        <v>0</v>
      </c>
      <c r="CF268" s="396">
        <f xml:space="preserve"> Time!CF$101</f>
        <v>0</v>
      </c>
      <c r="CG268" s="396">
        <f xml:space="preserve"> Time!CG$101</f>
        <v>0</v>
      </c>
      <c r="CH268" s="396">
        <f xml:space="preserve"> Time!CH$101</f>
        <v>0</v>
      </c>
      <c r="CI268" s="396">
        <f xml:space="preserve"> Time!CI$101</f>
        <v>0</v>
      </c>
      <c r="CJ268" s="396">
        <f xml:space="preserve"> Time!CJ$101</f>
        <v>0</v>
      </c>
      <c r="CK268" s="396">
        <f xml:space="preserve"> Time!CK$101</f>
        <v>0</v>
      </c>
      <c r="CL268" s="396">
        <f xml:space="preserve"> Time!CL$101</f>
        <v>0</v>
      </c>
      <c r="CM268" s="396">
        <f xml:space="preserve"> Time!CM$101</f>
        <v>0</v>
      </c>
      <c r="CN268" s="396">
        <f xml:space="preserve"> Time!CN$101</f>
        <v>0</v>
      </c>
      <c r="CO268" s="396">
        <f xml:space="preserve"> Time!CO$101</f>
        <v>0</v>
      </c>
      <c r="CP268" s="396">
        <f xml:space="preserve"> Time!CP$101</f>
        <v>0</v>
      </c>
      <c r="CQ268" s="396">
        <f xml:space="preserve"> Time!CQ$101</f>
        <v>0</v>
      </c>
      <c r="CR268" s="396">
        <f xml:space="preserve"> Time!CR$101</f>
        <v>0</v>
      </c>
      <c r="CS268" s="396">
        <f xml:space="preserve"> Time!CS$101</f>
        <v>0</v>
      </c>
      <c r="CT268" s="396">
        <f xml:space="preserve"> Time!CT$101</f>
        <v>0</v>
      </c>
      <c r="CU268" s="396">
        <f xml:space="preserve"> Time!CU$101</f>
        <v>0</v>
      </c>
      <c r="CV268" s="396">
        <f xml:space="preserve"> Time!CV$101</f>
        <v>0</v>
      </c>
    </row>
    <row r="269" spans="1:100" s="188" customFormat="1" outlineLevel="2" x14ac:dyDescent="0.2">
      <c r="A269" s="141"/>
      <c r="B269" s="141"/>
      <c r="C269" s="142"/>
      <c r="D269" s="143"/>
      <c r="E269" s="548" t="s">
        <v>311</v>
      </c>
      <c r="F269" s="548"/>
      <c r="G269" s="548" t="str">
        <f xml:space="preserve"> SMU</f>
        <v>$ 000s</v>
      </c>
      <c r="H269" s="548">
        <f xml:space="preserve"> SUM(J269:CV269)</f>
        <v>3857.1209730037863</v>
      </c>
      <c r="I269" s="548"/>
      <c r="J269" s="548">
        <f t="shared" ref="J269:AO269" si="705" xml:space="preserve"> IF(J268 = 1, J266, MAX(0, MIN(J266, J267)))</f>
        <v>0</v>
      </c>
      <c r="K269" s="548">
        <f t="shared" si="705"/>
        <v>0</v>
      </c>
      <c r="L269" s="548">
        <f t="shared" si="705"/>
        <v>0</v>
      </c>
      <c r="M269" s="548">
        <f t="shared" si="705"/>
        <v>0</v>
      </c>
      <c r="N269" s="548">
        <f t="shared" si="705"/>
        <v>0</v>
      </c>
      <c r="O269" s="548">
        <f t="shared" si="705"/>
        <v>3857.1209730037863</v>
      </c>
      <c r="P269" s="548">
        <f t="shared" si="705"/>
        <v>0</v>
      </c>
      <c r="Q269" s="548">
        <f t="shared" si="705"/>
        <v>0</v>
      </c>
      <c r="R269" s="548">
        <f t="shared" si="705"/>
        <v>0</v>
      </c>
      <c r="S269" s="548">
        <f t="shared" si="705"/>
        <v>0</v>
      </c>
      <c r="T269" s="548">
        <f t="shared" si="705"/>
        <v>0</v>
      </c>
      <c r="U269" s="548">
        <f t="shared" si="705"/>
        <v>0</v>
      </c>
      <c r="V269" s="548">
        <f t="shared" si="705"/>
        <v>0</v>
      </c>
      <c r="W269" s="548">
        <f t="shared" si="705"/>
        <v>0</v>
      </c>
      <c r="X269" s="548">
        <f t="shared" si="705"/>
        <v>0</v>
      </c>
      <c r="Y269" s="548">
        <f t="shared" si="705"/>
        <v>0</v>
      </c>
      <c r="Z269" s="548">
        <f t="shared" si="705"/>
        <v>0</v>
      </c>
      <c r="AA269" s="548">
        <f t="shared" si="705"/>
        <v>0</v>
      </c>
      <c r="AB269" s="548">
        <f t="shared" si="705"/>
        <v>0</v>
      </c>
      <c r="AC269" s="548">
        <f t="shared" si="705"/>
        <v>0</v>
      </c>
      <c r="AD269" s="548">
        <f t="shared" si="705"/>
        <v>0</v>
      </c>
      <c r="AE269" s="548">
        <f t="shared" si="705"/>
        <v>0</v>
      </c>
      <c r="AF269" s="548">
        <f t="shared" si="705"/>
        <v>0</v>
      </c>
      <c r="AG269" s="548">
        <f t="shared" si="705"/>
        <v>0</v>
      </c>
      <c r="AH269" s="548">
        <f t="shared" si="705"/>
        <v>0</v>
      </c>
      <c r="AI269" s="548">
        <f t="shared" si="705"/>
        <v>0</v>
      </c>
      <c r="AJ269" s="548">
        <f t="shared" si="705"/>
        <v>0</v>
      </c>
      <c r="AK269" s="548">
        <f t="shared" si="705"/>
        <v>0</v>
      </c>
      <c r="AL269" s="548">
        <f t="shared" si="705"/>
        <v>0</v>
      </c>
      <c r="AM269" s="548">
        <f t="shared" si="705"/>
        <v>0</v>
      </c>
      <c r="AN269" s="548">
        <f t="shared" si="705"/>
        <v>0</v>
      </c>
      <c r="AO269" s="548">
        <f t="shared" si="705"/>
        <v>0</v>
      </c>
      <c r="AP269" s="548">
        <f t="shared" ref="AP269:BU269" si="706" xml:space="preserve"> IF(AP268 = 1, AP266, MAX(0, MIN(AP266, AP267)))</f>
        <v>0</v>
      </c>
      <c r="AQ269" s="548">
        <f t="shared" si="706"/>
        <v>0</v>
      </c>
      <c r="AR269" s="548">
        <f t="shared" si="706"/>
        <v>0</v>
      </c>
      <c r="AS269" s="548">
        <f t="shared" si="706"/>
        <v>0</v>
      </c>
      <c r="AT269" s="548">
        <f t="shared" si="706"/>
        <v>0</v>
      </c>
      <c r="AU269" s="548">
        <f t="shared" si="706"/>
        <v>0</v>
      </c>
      <c r="AV269" s="548">
        <f t="shared" si="706"/>
        <v>0</v>
      </c>
      <c r="AW269" s="548">
        <f t="shared" si="706"/>
        <v>0</v>
      </c>
      <c r="AX269" s="548">
        <f t="shared" si="706"/>
        <v>0</v>
      </c>
      <c r="AY269" s="548">
        <f t="shared" si="706"/>
        <v>0</v>
      </c>
      <c r="AZ269" s="548">
        <f t="shared" si="706"/>
        <v>0</v>
      </c>
      <c r="BA269" s="548">
        <f t="shared" si="706"/>
        <v>0</v>
      </c>
      <c r="BB269" s="548">
        <f t="shared" si="706"/>
        <v>0</v>
      </c>
      <c r="BC269" s="548">
        <f t="shared" si="706"/>
        <v>0</v>
      </c>
      <c r="BD269" s="548">
        <f t="shared" si="706"/>
        <v>0</v>
      </c>
      <c r="BE269" s="548">
        <f t="shared" si="706"/>
        <v>0</v>
      </c>
      <c r="BF269" s="548">
        <f t="shared" si="706"/>
        <v>0</v>
      </c>
      <c r="BG269" s="548">
        <f t="shared" si="706"/>
        <v>0</v>
      </c>
      <c r="BH269" s="548">
        <f t="shared" si="706"/>
        <v>0</v>
      </c>
      <c r="BI269" s="548">
        <f t="shared" si="706"/>
        <v>0</v>
      </c>
      <c r="BJ269" s="548">
        <f t="shared" si="706"/>
        <v>0</v>
      </c>
      <c r="BK269" s="548">
        <f t="shared" si="706"/>
        <v>0</v>
      </c>
      <c r="BL269" s="548">
        <f t="shared" si="706"/>
        <v>0</v>
      </c>
      <c r="BM269" s="548">
        <f t="shared" si="706"/>
        <v>0</v>
      </c>
      <c r="BN269" s="548">
        <f t="shared" si="706"/>
        <v>0</v>
      </c>
      <c r="BO269" s="548">
        <f t="shared" si="706"/>
        <v>0</v>
      </c>
      <c r="BP269" s="548">
        <f t="shared" si="706"/>
        <v>0</v>
      </c>
      <c r="BQ269" s="548">
        <f t="shared" si="706"/>
        <v>0</v>
      </c>
      <c r="BR269" s="548">
        <f t="shared" si="706"/>
        <v>0</v>
      </c>
      <c r="BS269" s="548">
        <f t="shared" si="706"/>
        <v>0</v>
      </c>
      <c r="BT269" s="548">
        <f t="shared" si="706"/>
        <v>0</v>
      </c>
      <c r="BU269" s="548">
        <f t="shared" si="706"/>
        <v>0</v>
      </c>
      <c r="BV269" s="548">
        <f t="shared" ref="BV269:CV269" si="707" xml:space="preserve"> IF(BV268 = 1, BV266, MAX(0, MIN(BV266, BV267)))</f>
        <v>0</v>
      </c>
      <c r="BW269" s="548">
        <f t="shared" si="707"/>
        <v>0</v>
      </c>
      <c r="BX269" s="548">
        <f t="shared" si="707"/>
        <v>0</v>
      </c>
      <c r="BY269" s="548">
        <f t="shared" si="707"/>
        <v>0</v>
      </c>
      <c r="BZ269" s="548">
        <f t="shared" si="707"/>
        <v>0</v>
      </c>
      <c r="CA269" s="548">
        <f t="shared" si="707"/>
        <v>0</v>
      </c>
      <c r="CB269" s="548">
        <f t="shared" si="707"/>
        <v>0</v>
      </c>
      <c r="CC269" s="548">
        <f t="shared" si="707"/>
        <v>0</v>
      </c>
      <c r="CD269" s="548">
        <f t="shared" si="707"/>
        <v>0</v>
      </c>
      <c r="CE269" s="548">
        <f t="shared" si="707"/>
        <v>0</v>
      </c>
      <c r="CF269" s="548">
        <f t="shared" si="707"/>
        <v>0</v>
      </c>
      <c r="CG269" s="548">
        <f t="shared" si="707"/>
        <v>0</v>
      </c>
      <c r="CH269" s="548">
        <f t="shared" si="707"/>
        <v>0</v>
      </c>
      <c r="CI269" s="548">
        <f t="shared" si="707"/>
        <v>0</v>
      </c>
      <c r="CJ269" s="548">
        <f t="shared" si="707"/>
        <v>0</v>
      </c>
      <c r="CK269" s="548">
        <f t="shared" si="707"/>
        <v>0</v>
      </c>
      <c r="CL269" s="548">
        <f t="shared" si="707"/>
        <v>0</v>
      </c>
      <c r="CM269" s="548">
        <f t="shared" si="707"/>
        <v>0</v>
      </c>
      <c r="CN269" s="548">
        <f t="shared" si="707"/>
        <v>0</v>
      </c>
      <c r="CO269" s="548">
        <f t="shared" si="707"/>
        <v>0</v>
      </c>
      <c r="CP269" s="548">
        <f t="shared" si="707"/>
        <v>0</v>
      </c>
      <c r="CQ269" s="548">
        <f t="shared" si="707"/>
        <v>0</v>
      </c>
      <c r="CR269" s="548">
        <f t="shared" si="707"/>
        <v>0</v>
      </c>
      <c r="CS269" s="548">
        <f t="shared" si="707"/>
        <v>0</v>
      </c>
      <c r="CT269" s="548">
        <f t="shared" si="707"/>
        <v>0</v>
      </c>
      <c r="CU269" s="548">
        <f t="shared" si="707"/>
        <v>0</v>
      </c>
      <c r="CV269" s="548">
        <f t="shared" si="707"/>
        <v>0</v>
      </c>
    </row>
    <row r="270" spans="1:100" outlineLevel="2" x14ac:dyDescent="0.2">
      <c r="A270" s="236"/>
      <c r="B270" s="236"/>
      <c r="C270" s="237"/>
      <c r="D270" s="238"/>
      <c r="E270" s="235"/>
      <c r="F270" s="235"/>
      <c r="G270" s="235"/>
      <c r="H270" s="235"/>
      <c r="I270" s="235"/>
      <c r="J270" s="235"/>
      <c r="K270" s="235"/>
      <c r="L270" s="235"/>
      <c r="M270" s="235"/>
      <c r="N270" s="235"/>
      <c r="O270" s="235"/>
      <c r="P270" s="235"/>
      <c r="Q270" s="235"/>
      <c r="R270" s="235"/>
      <c r="S270" s="235"/>
      <c r="T270" s="235"/>
      <c r="U270" s="235"/>
      <c r="V270" s="235"/>
      <c r="W270" s="235"/>
      <c r="X270" s="235"/>
      <c r="Y270" s="235"/>
      <c r="Z270" s="235"/>
      <c r="AA270" s="235"/>
      <c r="AB270" s="235"/>
      <c r="AC270" s="235"/>
      <c r="AD270" s="235"/>
      <c r="AE270" s="235"/>
      <c r="AF270" s="235"/>
      <c r="AG270" s="235"/>
      <c r="AH270" s="235"/>
      <c r="AI270" s="235"/>
      <c r="AJ270" s="235"/>
      <c r="AK270" s="235"/>
      <c r="AL270" s="235"/>
      <c r="AM270" s="235"/>
      <c r="AN270" s="235"/>
      <c r="AO270" s="235"/>
      <c r="AP270" s="235"/>
      <c r="AQ270" s="235"/>
      <c r="AR270" s="235"/>
      <c r="AS270" s="235"/>
      <c r="AT270" s="235"/>
      <c r="AU270" s="235"/>
      <c r="AV270" s="235"/>
      <c r="AW270" s="235"/>
      <c r="AX270" s="235"/>
      <c r="AY270" s="235"/>
      <c r="AZ270" s="235"/>
      <c r="BA270" s="235"/>
      <c r="BB270" s="235"/>
      <c r="BC270" s="235"/>
      <c r="BD270" s="235"/>
      <c r="BE270" s="235"/>
      <c r="BF270" s="235"/>
      <c r="BG270" s="235"/>
      <c r="BH270" s="235"/>
      <c r="BI270" s="235"/>
      <c r="BJ270" s="235"/>
      <c r="BK270" s="235"/>
      <c r="BL270" s="235"/>
      <c r="BM270" s="235"/>
      <c r="BN270" s="235"/>
      <c r="BO270" s="235"/>
      <c r="BP270" s="235"/>
      <c r="BQ270" s="235"/>
      <c r="BR270" s="235"/>
      <c r="BS270" s="235"/>
      <c r="BT270" s="235"/>
      <c r="BU270" s="235"/>
      <c r="BV270" s="235"/>
      <c r="BW270" s="235"/>
      <c r="BX270" s="235"/>
      <c r="BY270" s="235"/>
      <c r="BZ270" s="235"/>
      <c r="CA270" s="235"/>
      <c r="CB270" s="235"/>
      <c r="CC270" s="235"/>
      <c r="CD270" s="235"/>
      <c r="CE270" s="235"/>
      <c r="CF270" s="235"/>
      <c r="CG270" s="235"/>
      <c r="CH270" s="235"/>
      <c r="CI270" s="235"/>
      <c r="CJ270" s="235"/>
      <c r="CK270" s="235"/>
      <c r="CL270" s="235"/>
      <c r="CM270" s="235"/>
      <c r="CN270" s="235"/>
      <c r="CO270" s="235"/>
      <c r="CP270" s="235"/>
      <c r="CQ270" s="235"/>
      <c r="CR270" s="235"/>
      <c r="CS270" s="235"/>
      <c r="CT270" s="235"/>
      <c r="CU270" s="235"/>
      <c r="CV270" s="235"/>
    </row>
    <row r="271" spans="1:100" s="502" customFormat="1" outlineLevel="2" x14ac:dyDescent="0.2">
      <c r="A271" s="504"/>
      <c r="B271" s="504"/>
      <c r="C271" s="505"/>
      <c r="D271" s="506"/>
      <c r="E271" s="220" t="str">
        <f xml:space="preserve"> E$260</f>
        <v>Pre-funding of working capital amount</v>
      </c>
      <c r="F271" s="220">
        <f xml:space="preserve"> F$260</f>
        <v>3857.1209730037863</v>
      </c>
      <c r="G271" s="220" t="str">
        <f xml:space="preserve"> G$260</f>
        <v>$ 000s</v>
      </c>
      <c r="H271" s="219"/>
      <c r="I271" s="220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  <c r="AH271" s="219"/>
      <c r="AI271" s="219"/>
      <c r="AJ271" s="219"/>
      <c r="AK271" s="219"/>
      <c r="AL271" s="219"/>
      <c r="AM271" s="219"/>
      <c r="AN271" s="219"/>
      <c r="AO271" s="219"/>
      <c r="AP271" s="219"/>
      <c r="AQ271" s="219"/>
      <c r="AR271" s="219"/>
      <c r="AS271" s="219"/>
      <c r="AT271" s="219"/>
      <c r="AU271" s="219"/>
      <c r="AV271" s="219"/>
      <c r="AW271" s="219"/>
      <c r="AX271" s="219"/>
      <c r="AY271" s="219"/>
      <c r="AZ271" s="219"/>
      <c r="BA271" s="219"/>
      <c r="BB271" s="219"/>
      <c r="BC271" s="219"/>
      <c r="BD271" s="219"/>
      <c r="BE271" s="219"/>
      <c r="BF271" s="219"/>
      <c r="BG271" s="219"/>
      <c r="BH271" s="219"/>
      <c r="BI271" s="219"/>
      <c r="BJ271" s="219"/>
      <c r="BK271" s="219"/>
      <c r="BL271" s="219"/>
      <c r="BM271" s="219"/>
      <c r="BN271" s="219"/>
      <c r="BO271" s="219"/>
      <c r="BP271" s="219"/>
      <c r="BQ271" s="219"/>
      <c r="BR271" s="219"/>
      <c r="BS271" s="219"/>
      <c r="BT271" s="219"/>
      <c r="BU271" s="219"/>
      <c r="BV271" s="219"/>
      <c r="BW271" s="219"/>
      <c r="BX271" s="219"/>
      <c r="BY271" s="219"/>
      <c r="BZ271" s="219"/>
      <c r="CA271" s="219"/>
      <c r="CB271" s="219"/>
      <c r="CC271" s="219"/>
      <c r="CD271" s="219"/>
      <c r="CE271" s="219"/>
      <c r="CF271" s="219"/>
      <c r="CG271" s="219"/>
      <c r="CH271" s="219"/>
      <c r="CI271" s="219"/>
      <c r="CJ271" s="219"/>
      <c r="CK271" s="219"/>
      <c r="CL271" s="219"/>
      <c r="CM271" s="219"/>
      <c r="CN271" s="219"/>
      <c r="CO271" s="219"/>
      <c r="CP271" s="219"/>
      <c r="CQ271" s="219"/>
      <c r="CR271" s="219"/>
      <c r="CS271" s="219"/>
      <c r="CT271" s="219"/>
      <c r="CU271" s="219"/>
      <c r="CV271" s="219"/>
    </row>
    <row r="272" spans="1:100" s="498" customFormat="1" outlineLevel="2" x14ac:dyDescent="0.2">
      <c r="A272" s="236"/>
      <c r="B272" s="236"/>
      <c r="C272" s="237"/>
      <c r="D272" s="238"/>
      <c r="E272" s="226" t="str">
        <f xml:space="preserve"> Time!E$81</f>
        <v>End of construction period flag</v>
      </c>
      <c r="F272" s="226">
        <f xml:space="preserve"> Time!F$81</f>
        <v>0</v>
      </c>
      <c r="G272" s="226" t="str">
        <f xml:space="preserve"> Time!G$81</f>
        <v>flag</v>
      </c>
      <c r="H272" s="226">
        <f xml:space="preserve"> Time!H$81</f>
        <v>1</v>
      </c>
      <c r="I272" s="226">
        <f xml:space="preserve"> Time!I$81</f>
        <v>0</v>
      </c>
      <c r="J272" s="226">
        <f xml:space="preserve"> Time!J$81</f>
        <v>0</v>
      </c>
      <c r="K272" s="226">
        <f xml:space="preserve"> Time!K$81</f>
        <v>0</v>
      </c>
      <c r="L272" s="226">
        <f xml:space="preserve"> Time!L$81</f>
        <v>0</v>
      </c>
      <c r="M272" s="226">
        <f xml:space="preserve"> Time!M$81</f>
        <v>0</v>
      </c>
      <c r="N272" s="226">
        <f xml:space="preserve"> Time!N$81</f>
        <v>1</v>
      </c>
      <c r="O272" s="226">
        <f xml:space="preserve"> Time!O$81</f>
        <v>0</v>
      </c>
      <c r="P272" s="226">
        <f xml:space="preserve"> Time!P$81</f>
        <v>0</v>
      </c>
      <c r="Q272" s="226">
        <f xml:space="preserve"> Time!Q$81</f>
        <v>0</v>
      </c>
      <c r="R272" s="226">
        <f xml:space="preserve"> Time!R$81</f>
        <v>0</v>
      </c>
      <c r="S272" s="226">
        <f xml:space="preserve"> Time!S$81</f>
        <v>0</v>
      </c>
      <c r="T272" s="226">
        <f xml:space="preserve"> Time!T$81</f>
        <v>0</v>
      </c>
      <c r="U272" s="226">
        <f xml:space="preserve"> Time!U$81</f>
        <v>0</v>
      </c>
      <c r="V272" s="226">
        <f xml:space="preserve"> Time!V$81</f>
        <v>0</v>
      </c>
      <c r="W272" s="226">
        <f xml:space="preserve"> Time!W$81</f>
        <v>0</v>
      </c>
      <c r="X272" s="226">
        <f xml:space="preserve"> Time!X$81</f>
        <v>0</v>
      </c>
      <c r="Y272" s="226">
        <f xml:space="preserve"> Time!Y$81</f>
        <v>0</v>
      </c>
      <c r="Z272" s="226">
        <f xml:space="preserve"> Time!Z$81</f>
        <v>0</v>
      </c>
      <c r="AA272" s="226">
        <f xml:space="preserve"> Time!AA$81</f>
        <v>0</v>
      </c>
      <c r="AB272" s="226">
        <f xml:space="preserve"> Time!AB$81</f>
        <v>0</v>
      </c>
      <c r="AC272" s="226">
        <f xml:space="preserve"> Time!AC$81</f>
        <v>0</v>
      </c>
      <c r="AD272" s="226">
        <f xml:space="preserve"> Time!AD$81</f>
        <v>0</v>
      </c>
      <c r="AE272" s="226">
        <f xml:space="preserve"> Time!AE$81</f>
        <v>0</v>
      </c>
      <c r="AF272" s="226">
        <f xml:space="preserve"> Time!AF$81</f>
        <v>0</v>
      </c>
      <c r="AG272" s="226">
        <f xml:space="preserve"> Time!AG$81</f>
        <v>0</v>
      </c>
      <c r="AH272" s="226">
        <f xml:space="preserve"> Time!AH$81</f>
        <v>0</v>
      </c>
      <c r="AI272" s="226">
        <f xml:space="preserve"> Time!AI$81</f>
        <v>0</v>
      </c>
      <c r="AJ272" s="226">
        <f xml:space="preserve"> Time!AJ$81</f>
        <v>0</v>
      </c>
      <c r="AK272" s="226">
        <f xml:space="preserve"> Time!AK$81</f>
        <v>0</v>
      </c>
      <c r="AL272" s="226">
        <f xml:space="preserve"> Time!AL$81</f>
        <v>0</v>
      </c>
      <c r="AM272" s="226">
        <f xml:space="preserve"> Time!AM$81</f>
        <v>0</v>
      </c>
      <c r="AN272" s="226">
        <f xml:space="preserve"> Time!AN$81</f>
        <v>0</v>
      </c>
      <c r="AO272" s="226">
        <f xml:space="preserve"> Time!AO$81</f>
        <v>0</v>
      </c>
      <c r="AP272" s="226">
        <f xml:space="preserve"> Time!AP$81</f>
        <v>0</v>
      </c>
      <c r="AQ272" s="226">
        <f xml:space="preserve"> Time!AQ$81</f>
        <v>0</v>
      </c>
      <c r="AR272" s="226">
        <f xml:space="preserve"> Time!AR$81</f>
        <v>0</v>
      </c>
      <c r="AS272" s="226">
        <f xml:space="preserve"> Time!AS$81</f>
        <v>0</v>
      </c>
      <c r="AT272" s="226">
        <f xml:space="preserve"> Time!AT$81</f>
        <v>0</v>
      </c>
      <c r="AU272" s="226">
        <f xml:space="preserve"> Time!AU$81</f>
        <v>0</v>
      </c>
      <c r="AV272" s="226">
        <f xml:space="preserve"> Time!AV$81</f>
        <v>0</v>
      </c>
      <c r="AW272" s="226">
        <f xml:space="preserve"> Time!AW$81</f>
        <v>0</v>
      </c>
      <c r="AX272" s="226">
        <f xml:space="preserve"> Time!AX$81</f>
        <v>0</v>
      </c>
      <c r="AY272" s="226">
        <f xml:space="preserve"> Time!AY$81</f>
        <v>0</v>
      </c>
      <c r="AZ272" s="226">
        <f xml:space="preserve"> Time!AZ$81</f>
        <v>0</v>
      </c>
      <c r="BA272" s="226">
        <f xml:space="preserve"> Time!BA$81</f>
        <v>0</v>
      </c>
      <c r="BB272" s="226">
        <f xml:space="preserve"> Time!BB$81</f>
        <v>0</v>
      </c>
      <c r="BC272" s="226">
        <f xml:space="preserve"> Time!BC$81</f>
        <v>0</v>
      </c>
      <c r="BD272" s="226">
        <f xml:space="preserve"> Time!BD$81</f>
        <v>0</v>
      </c>
      <c r="BE272" s="226">
        <f xml:space="preserve"> Time!BE$81</f>
        <v>0</v>
      </c>
      <c r="BF272" s="226">
        <f xml:space="preserve"> Time!BF$81</f>
        <v>0</v>
      </c>
      <c r="BG272" s="226">
        <f xml:space="preserve"> Time!BG$81</f>
        <v>0</v>
      </c>
      <c r="BH272" s="226">
        <f xml:space="preserve"> Time!BH$81</f>
        <v>0</v>
      </c>
      <c r="BI272" s="226">
        <f xml:space="preserve"> Time!BI$81</f>
        <v>0</v>
      </c>
      <c r="BJ272" s="226">
        <f xml:space="preserve"> Time!BJ$81</f>
        <v>0</v>
      </c>
      <c r="BK272" s="226">
        <f xml:space="preserve"> Time!BK$81</f>
        <v>0</v>
      </c>
      <c r="BL272" s="226">
        <f xml:space="preserve"> Time!BL$81</f>
        <v>0</v>
      </c>
      <c r="BM272" s="226">
        <f xml:space="preserve"> Time!BM$81</f>
        <v>0</v>
      </c>
      <c r="BN272" s="226">
        <f xml:space="preserve"> Time!BN$81</f>
        <v>0</v>
      </c>
      <c r="BO272" s="226">
        <f xml:space="preserve"> Time!BO$81</f>
        <v>0</v>
      </c>
      <c r="BP272" s="226">
        <f xml:space="preserve"> Time!BP$81</f>
        <v>0</v>
      </c>
      <c r="BQ272" s="226">
        <f xml:space="preserve"> Time!BQ$81</f>
        <v>0</v>
      </c>
      <c r="BR272" s="226">
        <f xml:space="preserve"> Time!BR$81</f>
        <v>0</v>
      </c>
      <c r="BS272" s="226">
        <f xml:space="preserve"> Time!BS$81</f>
        <v>0</v>
      </c>
      <c r="BT272" s="226">
        <f xml:space="preserve"> Time!BT$81</f>
        <v>0</v>
      </c>
      <c r="BU272" s="226">
        <f xml:space="preserve"> Time!BU$81</f>
        <v>0</v>
      </c>
      <c r="BV272" s="226">
        <f xml:space="preserve"> Time!BV$81</f>
        <v>0</v>
      </c>
      <c r="BW272" s="226">
        <f xml:space="preserve"> Time!BW$81</f>
        <v>0</v>
      </c>
      <c r="BX272" s="226">
        <f xml:space="preserve"> Time!BX$81</f>
        <v>0</v>
      </c>
      <c r="BY272" s="226">
        <f xml:space="preserve"> Time!BY$81</f>
        <v>0</v>
      </c>
      <c r="BZ272" s="226">
        <f xml:space="preserve"> Time!BZ$81</f>
        <v>0</v>
      </c>
      <c r="CA272" s="226">
        <f xml:space="preserve"> Time!CA$81</f>
        <v>0</v>
      </c>
      <c r="CB272" s="226">
        <f xml:space="preserve"> Time!CB$81</f>
        <v>0</v>
      </c>
      <c r="CC272" s="226">
        <f xml:space="preserve"> Time!CC$81</f>
        <v>0</v>
      </c>
      <c r="CD272" s="226">
        <f xml:space="preserve"> Time!CD$81</f>
        <v>0</v>
      </c>
      <c r="CE272" s="226">
        <f xml:space="preserve"> Time!CE$81</f>
        <v>0</v>
      </c>
      <c r="CF272" s="226">
        <f xml:space="preserve"> Time!CF$81</f>
        <v>0</v>
      </c>
      <c r="CG272" s="226">
        <f xml:space="preserve"> Time!CG$81</f>
        <v>0</v>
      </c>
      <c r="CH272" s="226">
        <f xml:space="preserve"> Time!CH$81</f>
        <v>0</v>
      </c>
      <c r="CI272" s="226">
        <f xml:space="preserve"> Time!CI$81</f>
        <v>0</v>
      </c>
      <c r="CJ272" s="226">
        <f xml:space="preserve"> Time!CJ$81</f>
        <v>0</v>
      </c>
      <c r="CK272" s="226">
        <f xml:space="preserve"> Time!CK$81</f>
        <v>0</v>
      </c>
      <c r="CL272" s="226">
        <f xml:space="preserve"> Time!CL$81</f>
        <v>0</v>
      </c>
      <c r="CM272" s="226">
        <f xml:space="preserve"> Time!CM$81</f>
        <v>0</v>
      </c>
      <c r="CN272" s="226">
        <f xml:space="preserve"> Time!CN$81</f>
        <v>0</v>
      </c>
      <c r="CO272" s="226">
        <f xml:space="preserve"> Time!CO$81</f>
        <v>0</v>
      </c>
      <c r="CP272" s="226">
        <f xml:space="preserve"> Time!CP$81</f>
        <v>0</v>
      </c>
      <c r="CQ272" s="226">
        <f xml:space="preserve"> Time!CQ$81</f>
        <v>0</v>
      </c>
      <c r="CR272" s="226">
        <f xml:space="preserve"> Time!CR$81</f>
        <v>0</v>
      </c>
      <c r="CS272" s="226">
        <f xml:space="preserve"> Time!CS$81</f>
        <v>0</v>
      </c>
      <c r="CT272" s="226">
        <f xml:space="preserve"> Time!CT$81</f>
        <v>0</v>
      </c>
      <c r="CU272" s="226">
        <f xml:space="preserve"> Time!CU$81</f>
        <v>0</v>
      </c>
      <c r="CV272" s="226">
        <f xml:space="preserve"> Time!CV$81</f>
        <v>0</v>
      </c>
    </row>
    <row r="273" spans="1:100" s="498" customFormat="1" outlineLevel="2" x14ac:dyDescent="0.2">
      <c r="A273" s="236"/>
      <c r="B273" s="236"/>
      <c r="C273" s="237"/>
      <c r="D273" s="238"/>
      <c r="E273" s="214"/>
      <c r="F273" s="214"/>
      <c r="G273" s="214"/>
      <c r="H273" s="214"/>
      <c r="I273" s="38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  <c r="CG273" s="214"/>
      <c r="CH273" s="214"/>
      <c r="CI273" s="214"/>
      <c r="CJ273" s="214"/>
      <c r="CK273" s="214"/>
      <c r="CL273" s="214"/>
      <c r="CM273" s="214"/>
      <c r="CN273" s="214"/>
      <c r="CO273" s="214"/>
      <c r="CP273" s="214"/>
      <c r="CQ273" s="214"/>
      <c r="CR273" s="214"/>
      <c r="CS273" s="214"/>
      <c r="CT273" s="214"/>
      <c r="CU273" s="214"/>
      <c r="CV273" s="214"/>
    </row>
    <row r="274" spans="1:100" s="498" customFormat="1" outlineLevel="2" x14ac:dyDescent="0.2">
      <c r="A274" s="236"/>
      <c r="B274" s="236"/>
      <c r="C274" s="237"/>
      <c r="D274" s="238"/>
      <c r="E274" s="214" t="s">
        <v>319</v>
      </c>
      <c r="F274" s="214"/>
      <c r="G274" s="214" t="str">
        <f xml:space="preserve"> SMU</f>
        <v>$ 000s</v>
      </c>
      <c r="H274" s="214"/>
      <c r="I274" s="38"/>
      <c r="J274" s="214">
        <f t="shared" ref="J274" si="708">I276</f>
        <v>0</v>
      </c>
      <c r="K274" s="214">
        <f t="shared" ref="K274" si="709">J276</f>
        <v>0</v>
      </c>
      <c r="L274" s="214">
        <f t="shared" ref="L274" si="710">K276</f>
        <v>0</v>
      </c>
      <c r="M274" s="214">
        <f t="shared" ref="M274" si="711">L276</f>
        <v>0</v>
      </c>
      <c r="N274" s="214">
        <f t="shared" ref="N274" si="712">M276</f>
        <v>0</v>
      </c>
      <c r="O274" s="214">
        <f t="shared" ref="O274:AT274" si="713">N276</f>
        <v>3857.1209730037863</v>
      </c>
      <c r="P274" s="214">
        <f t="shared" si="713"/>
        <v>0</v>
      </c>
      <c r="Q274" s="214">
        <f t="shared" si="713"/>
        <v>0</v>
      </c>
      <c r="R274" s="214">
        <f t="shared" si="713"/>
        <v>0</v>
      </c>
      <c r="S274" s="214">
        <f t="shared" si="713"/>
        <v>0</v>
      </c>
      <c r="T274" s="214">
        <f t="shared" si="713"/>
        <v>0</v>
      </c>
      <c r="U274" s="214">
        <f t="shared" si="713"/>
        <v>0</v>
      </c>
      <c r="V274" s="214">
        <f t="shared" si="713"/>
        <v>0</v>
      </c>
      <c r="W274" s="214">
        <f t="shared" si="713"/>
        <v>0</v>
      </c>
      <c r="X274" s="214">
        <f t="shared" si="713"/>
        <v>0</v>
      </c>
      <c r="Y274" s="214">
        <f t="shared" si="713"/>
        <v>0</v>
      </c>
      <c r="Z274" s="214">
        <f t="shared" si="713"/>
        <v>0</v>
      </c>
      <c r="AA274" s="214">
        <f t="shared" si="713"/>
        <v>0</v>
      </c>
      <c r="AB274" s="214">
        <f t="shared" si="713"/>
        <v>0</v>
      </c>
      <c r="AC274" s="214">
        <f t="shared" si="713"/>
        <v>0</v>
      </c>
      <c r="AD274" s="214">
        <f t="shared" si="713"/>
        <v>0</v>
      </c>
      <c r="AE274" s="214">
        <f t="shared" si="713"/>
        <v>0</v>
      </c>
      <c r="AF274" s="214">
        <f t="shared" si="713"/>
        <v>0</v>
      </c>
      <c r="AG274" s="214">
        <f t="shared" si="713"/>
        <v>0</v>
      </c>
      <c r="AH274" s="214">
        <f t="shared" si="713"/>
        <v>0</v>
      </c>
      <c r="AI274" s="214">
        <f t="shared" si="713"/>
        <v>0</v>
      </c>
      <c r="AJ274" s="214">
        <f t="shared" si="713"/>
        <v>0</v>
      </c>
      <c r="AK274" s="214">
        <f t="shared" si="713"/>
        <v>0</v>
      </c>
      <c r="AL274" s="214">
        <f t="shared" si="713"/>
        <v>0</v>
      </c>
      <c r="AM274" s="214">
        <f t="shared" si="713"/>
        <v>0</v>
      </c>
      <c r="AN274" s="214">
        <f t="shared" si="713"/>
        <v>0</v>
      </c>
      <c r="AO274" s="214">
        <f t="shared" si="713"/>
        <v>0</v>
      </c>
      <c r="AP274" s="214">
        <f t="shared" si="713"/>
        <v>0</v>
      </c>
      <c r="AQ274" s="214">
        <f t="shared" si="713"/>
        <v>0</v>
      </c>
      <c r="AR274" s="214">
        <f t="shared" si="713"/>
        <v>0</v>
      </c>
      <c r="AS274" s="214">
        <f t="shared" si="713"/>
        <v>0</v>
      </c>
      <c r="AT274" s="214">
        <f t="shared" si="713"/>
        <v>0</v>
      </c>
      <c r="AU274" s="214">
        <f t="shared" ref="AU274:BZ274" si="714">AT276</f>
        <v>0</v>
      </c>
      <c r="AV274" s="214">
        <f t="shared" si="714"/>
        <v>0</v>
      </c>
      <c r="AW274" s="214">
        <f t="shared" si="714"/>
        <v>0</v>
      </c>
      <c r="AX274" s="214">
        <f t="shared" si="714"/>
        <v>0</v>
      </c>
      <c r="AY274" s="214">
        <f t="shared" si="714"/>
        <v>0</v>
      </c>
      <c r="AZ274" s="214">
        <f t="shared" si="714"/>
        <v>0</v>
      </c>
      <c r="BA274" s="214">
        <f t="shared" si="714"/>
        <v>0</v>
      </c>
      <c r="BB274" s="214">
        <f t="shared" si="714"/>
        <v>0</v>
      </c>
      <c r="BC274" s="214">
        <f t="shared" si="714"/>
        <v>0</v>
      </c>
      <c r="BD274" s="214">
        <f t="shared" si="714"/>
        <v>0</v>
      </c>
      <c r="BE274" s="214">
        <f t="shared" si="714"/>
        <v>0</v>
      </c>
      <c r="BF274" s="214">
        <f t="shared" si="714"/>
        <v>0</v>
      </c>
      <c r="BG274" s="214">
        <f t="shared" si="714"/>
        <v>0</v>
      </c>
      <c r="BH274" s="214">
        <f t="shared" si="714"/>
        <v>0</v>
      </c>
      <c r="BI274" s="214">
        <f t="shared" si="714"/>
        <v>0</v>
      </c>
      <c r="BJ274" s="214">
        <f t="shared" si="714"/>
        <v>0</v>
      </c>
      <c r="BK274" s="214">
        <f t="shared" si="714"/>
        <v>0</v>
      </c>
      <c r="BL274" s="214">
        <f t="shared" si="714"/>
        <v>0</v>
      </c>
      <c r="BM274" s="214">
        <f t="shared" si="714"/>
        <v>0</v>
      </c>
      <c r="BN274" s="214">
        <f t="shared" si="714"/>
        <v>0</v>
      </c>
      <c r="BO274" s="214">
        <f t="shared" si="714"/>
        <v>0</v>
      </c>
      <c r="BP274" s="214">
        <f t="shared" si="714"/>
        <v>0</v>
      </c>
      <c r="BQ274" s="214">
        <f t="shared" si="714"/>
        <v>0</v>
      </c>
      <c r="BR274" s="214">
        <f t="shared" si="714"/>
        <v>0</v>
      </c>
      <c r="BS274" s="214">
        <f t="shared" si="714"/>
        <v>0</v>
      </c>
      <c r="BT274" s="214">
        <f t="shared" si="714"/>
        <v>0</v>
      </c>
      <c r="BU274" s="214">
        <f t="shared" si="714"/>
        <v>0</v>
      </c>
      <c r="BV274" s="214">
        <f t="shared" si="714"/>
        <v>0</v>
      </c>
      <c r="BW274" s="214">
        <f t="shared" si="714"/>
        <v>0</v>
      </c>
      <c r="BX274" s="214">
        <f t="shared" si="714"/>
        <v>0</v>
      </c>
      <c r="BY274" s="214">
        <f t="shared" si="714"/>
        <v>0</v>
      </c>
      <c r="BZ274" s="214">
        <f t="shared" si="714"/>
        <v>0</v>
      </c>
      <c r="CA274" s="214">
        <f t="shared" ref="CA274:CV274" si="715">BZ276</f>
        <v>0</v>
      </c>
      <c r="CB274" s="214">
        <f t="shared" si="715"/>
        <v>0</v>
      </c>
      <c r="CC274" s="214">
        <f t="shared" si="715"/>
        <v>0</v>
      </c>
      <c r="CD274" s="214">
        <f t="shared" si="715"/>
        <v>0</v>
      </c>
      <c r="CE274" s="214">
        <f t="shared" si="715"/>
        <v>0</v>
      </c>
      <c r="CF274" s="214">
        <f t="shared" si="715"/>
        <v>0</v>
      </c>
      <c r="CG274" s="214">
        <f t="shared" si="715"/>
        <v>0</v>
      </c>
      <c r="CH274" s="214">
        <f t="shared" si="715"/>
        <v>0</v>
      </c>
      <c r="CI274" s="214">
        <f t="shared" si="715"/>
        <v>0</v>
      </c>
      <c r="CJ274" s="214">
        <f t="shared" si="715"/>
        <v>0</v>
      </c>
      <c r="CK274" s="214">
        <f t="shared" si="715"/>
        <v>0</v>
      </c>
      <c r="CL274" s="214">
        <f t="shared" si="715"/>
        <v>0</v>
      </c>
      <c r="CM274" s="214">
        <f t="shared" si="715"/>
        <v>0</v>
      </c>
      <c r="CN274" s="214">
        <f t="shared" si="715"/>
        <v>0</v>
      </c>
      <c r="CO274" s="214">
        <f t="shared" si="715"/>
        <v>0</v>
      </c>
      <c r="CP274" s="214">
        <f t="shared" si="715"/>
        <v>0</v>
      </c>
      <c r="CQ274" s="214">
        <f t="shared" si="715"/>
        <v>0</v>
      </c>
      <c r="CR274" s="214">
        <f t="shared" si="715"/>
        <v>0</v>
      </c>
      <c r="CS274" s="214">
        <f t="shared" si="715"/>
        <v>0</v>
      </c>
      <c r="CT274" s="214">
        <f t="shared" si="715"/>
        <v>0</v>
      </c>
      <c r="CU274" s="214">
        <f t="shared" si="715"/>
        <v>0</v>
      </c>
      <c r="CV274" s="214">
        <f t="shared" si="715"/>
        <v>0</v>
      </c>
    </row>
    <row r="275" spans="1:100" s="540" customFormat="1" outlineLevel="2" x14ac:dyDescent="0.2">
      <c r="A275" s="236"/>
      <c r="B275" s="236"/>
      <c r="C275" s="237"/>
      <c r="D275" s="238"/>
      <c r="E275" s="126" t="str">
        <f t="shared" ref="E275:AJ275" si="716" xml:space="preserve"> E$269</f>
        <v>Release of working capital reserve</v>
      </c>
      <c r="F275" s="126">
        <f t="shared" si="716"/>
        <v>0</v>
      </c>
      <c r="G275" s="126" t="str">
        <f t="shared" si="716"/>
        <v>$ 000s</v>
      </c>
      <c r="H275" s="126">
        <f t="shared" si="716"/>
        <v>3857.1209730037863</v>
      </c>
      <c r="I275" s="126">
        <f t="shared" si="716"/>
        <v>0</v>
      </c>
      <c r="J275" s="126">
        <f t="shared" si="716"/>
        <v>0</v>
      </c>
      <c r="K275" s="126">
        <f t="shared" si="716"/>
        <v>0</v>
      </c>
      <c r="L275" s="126">
        <f t="shared" si="716"/>
        <v>0</v>
      </c>
      <c r="M275" s="126">
        <f t="shared" si="716"/>
        <v>0</v>
      </c>
      <c r="N275" s="126">
        <f t="shared" si="716"/>
        <v>0</v>
      </c>
      <c r="O275" s="126">
        <f t="shared" si="716"/>
        <v>3857.1209730037863</v>
      </c>
      <c r="P275" s="126">
        <f t="shared" si="716"/>
        <v>0</v>
      </c>
      <c r="Q275" s="126">
        <f t="shared" si="716"/>
        <v>0</v>
      </c>
      <c r="R275" s="126">
        <f t="shared" si="716"/>
        <v>0</v>
      </c>
      <c r="S275" s="126">
        <f t="shared" si="716"/>
        <v>0</v>
      </c>
      <c r="T275" s="126">
        <f t="shared" si="716"/>
        <v>0</v>
      </c>
      <c r="U275" s="126">
        <f t="shared" si="716"/>
        <v>0</v>
      </c>
      <c r="V275" s="126">
        <f t="shared" si="716"/>
        <v>0</v>
      </c>
      <c r="W275" s="126">
        <f t="shared" si="716"/>
        <v>0</v>
      </c>
      <c r="X275" s="126">
        <f t="shared" si="716"/>
        <v>0</v>
      </c>
      <c r="Y275" s="126">
        <f t="shared" si="716"/>
        <v>0</v>
      </c>
      <c r="Z275" s="126">
        <f t="shared" si="716"/>
        <v>0</v>
      </c>
      <c r="AA275" s="126">
        <f t="shared" si="716"/>
        <v>0</v>
      </c>
      <c r="AB275" s="126">
        <f t="shared" si="716"/>
        <v>0</v>
      </c>
      <c r="AC275" s="126">
        <f t="shared" si="716"/>
        <v>0</v>
      </c>
      <c r="AD275" s="126">
        <f t="shared" si="716"/>
        <v>0</v>
      </c>
      <c r="AE275" s="126">
        <f t="shared" si="716"/>
        <v>0</v>
      </c>
      <c r="AF275" s="126">
        <f t="shared" si="716"/>
        <v>0</v>
      </c>
      <c r="AG275" s="126">
        <f t="shared" si="716"/>
        <v>0</v>
      </c>
      <c r="AH275" s="126">
        <f t="shared" si="716"/>
        <v>0</v>
      </c>
      <c r="AI275" s="126">
        <f t="shared" si="716"/>
        <v>0</v>
      </c>
      <c r="AJ275" s="126">
        <f t="shared" si="716"/>
        <v>0</v>
      </c>
      <c r="AK275" s="126">
        <f t="shared" ref="AK275:BP275" si="717" xml:space="preserve"> AK$269</f>
        <v>0</v>
      </c>
      <c r="AL275" s="126">
        <f t="shared" si="717"/>
        <v>0</v>
      </c>
      <c r="AM275" s="126">
        <f t="shared" si="717"/>
        <v>0</v>
      </c>
      <c r="AN275" s="126">
        <f t="shared" si="717"/>
        <v>0</v>
      </c>
      <c r="AO275" s="126">
        <f t="shared" si="717"/>
        <v>0</v>
      </c>
      <c r="AP275" s="126">
        <f t="shared" si="717"/>
        <v>0</v>
      </c>
      <c r="AQ275" s="126">
        <f t="shared" si="717"/>
        <v>0</v>
      </c>
      <c r="AR275" s="126">
        <f t="shared" si="717"/>
        <v>0</v>
      </c>
      <c r="AS275" s="126">
        <f t="shared" si="717"/>
        <v>0</v>
      </c>
      <c r="AT275" s="126">
        <f t="shared" si="717"/>
        <v>0</v>
      </c>
      <c r="AU275" s="126">
        <f t="shared" si="717"/>
        <v>0</v>
      </c>
      <c r="AV275" s="126">
        <f t="shared" si="717"/>
        <v>0</v>
      </c>
      <c r="AW275" s="126">
        <f t="shared" si="717"/>
        <v>0</v>
      </c>
      <c r="AX275" s="126">
        <f t="shared" si="717"/>
        <v>0</v>
      </c>
      <c r="AY275" s="126">
        <f t="shared" si="717"/>
        <v>0</v>
      </c>
      <c r="AZ275" s="126">
        <f t="shared" si="717"/>
        <v>0</v>
      </c>
      <c r="BA275" s="126">
        <f t="shared" si="717"/>
        <v>0</v>
      </c>
      <c r="BB275" s="126">
        <f t="shared" si="717"/>
        <v>0</v>
      </c>
      <c r="BC275" s="126">
        <f t="shared" si="717"/>
        <v>0</v>
      </c>
      <c r="BD275" s="126">
        <f t="shared" si="717"/>
        <v>0</v>
      </c>
      <c r="BE275" s="126">
        <f t="shared" si="717"/>
        <v>0</v>
      </c>
      <c r="BF275" s="126">
        <f t="shared" si="717"/>
        <v>0</v>
      </c>
      <c r="BG275" s="126">
        <f t="shared" si="717"/>
        <v>0</v>
      </c>
      <c r="BH275" s="126">
        <f t="shared" si="717"/>
        <v>0</v>
      </c>
      <c r="BI275" s="126">
        <f t="shared" si="717"/>
        <v>0</v>
      </c>
      <c r="BJ275" s="126">
        <f t="shared" si="717"/>
        <v>0</v>
      </c>
      <c r="BK275" s="126">
        <f t="shared" si="717"/>
        <v>0</v>
      </c>
      <c r="BL275" s="126">
        <f t="shared" si="717"/>
        <v>0</v>
      </c>
      <c r="BM275" s="126">
        <f t="shared" si="717"/>
        <v>0</v>
      </c>
      <c r="BN275" s="126">
        <f t="shared" si="717"/>
        <v>0</v>
      </c>
      <c r="BO275" s="126">
        <f t="shared" si="717"/>
        <v>0</v>
      </c>
      <c r="BP275" s="126">
        <f t="shared" si="717"/>
        <v>0</v>
      </c>
      <c r="BQ275" s="126">
        <f t="shared" ref="BQ275:CV275" si="718" xml:space="preserve"> BQ$269</f>
        <v>0</v>
      </c>
      <c r="BR275" s="126">
        <f t="shared" si="718"/>
        <v>0</v>
      </c>
      <c r="BS275" s="126">
        <f t="shared" si="718"/>
        <v>0</v>
      </c>
      <c r="BT275" s="126">
        <f t="shared" si="718"/>
        <v>0</v>
      </c>
      <c r="BU275" s="126">
        <f t="shared" si="718"/>
        <v>0</v>
      </c>
      <c r="BV275" s="126">
        <f t="shared" si="718"/>
        <v>0</v>
      </c>
      <c r="BW275" s="126">
        <f t="shared" si="718"/>
        <v>0</v>
      </c>
      <c r="BX275" s="126">
        <f t="shared" si="718"/>
        <v>0</v>
      </c>
      <c r="BY275" s="126">
        <f t="shared" si="718"/>
        <v>0</v>
      </c>
      <c r="BZ275" s="126">
        <f t="shared" si="718"/>
        <v>0</v>
      </c>
      <c r="CA275" s="126">
        <f t="shared" si="718"/>
        <v>0</v>
      </c>
      <c r="CB275" s="126">
        <f t="shared" si="718"/>
        <v>0</v>
      </c>
      <c r="CC275" s="126">
        <f t="shared" si="718"/>
        <v>0</v>
      </c>
      <c r="CD275" s="126">
        <f t="shared" si="718"/>
        <v>0</v>
      </c>
      <c r="CE275" s="126">
        <f t="shared" si="718"/>
        <v>0</v>
      </c>
      <c r="CF275" s="126">
        <f t="shared" si="718"/>
        <v>0</v>
      </c>
      <c r="CG275" s="126">
        <f t="shared" si="718"/>
        <v>0</v>
      </c>
      <c r="CH275" s="126">
        <f t="shared" si="718"/>
        <v>0</v>
      </c>
      <c r="CI275" s="126">
        <f t="shared" si="718"/>
        <v>0</v>
      </c>
      <c r="CJ275" s="126">
        <f t="shared" si="718"/>
        <v>0</v>
      </c>
      <c r="CK275" s="126">
        <f t="shared" si="718"/>
        <v>0</v>
      </c>
      <c r="CL275" s="126">
        <f t="shared" si="718"/>
        <v>0</v>
      </c>
      <c r="CM275" s="126">
        <f t="shared" si="718"/>
        <v>0</v>
      </c>
      <c r="CN275" s="126">
        <f t="shared" si="718"/>
        <v>0</v>
      </c>
      <c r="CO275" s="126">
        <f t="shared" si="718"/>
        <v>0</v>
      </c>
      <c r="CP275" s="126">
        <f t="shared" si="718"/>
        <v>0</v>
      </c>
      <c r="CQ275" s="126">
        <f t="shared" si="718"/>
        <v>0</v>
      </c>
      <c r="CR275" s="126">
        <f t="shared" si="718"/>
        <v>0</v>
      </c>
      <c r="CS275" s="126">
        <f t="shared" si="718"/>
        <v>0</v>
      </c>
      <c r="CT275" s="126">
        <f t="shared" si="718"/>
        <v>0</v>
      </c>
      <c r="CU275" s="126">
        <f t="shared" si="718"/>
        <v>0</v>
      </c>
      <c r="CV275" s="126">
        <f t="shared" si="718"/>
        <v>0</v>
      </c>
    </row>
    <row r="276" spans="1:100" s="541" customFormat="1" outlineLevel="2" x14ac:dyDescent="0.2">
      <c r="A276" s="391"/>
      <c r="B276" s="391"/>
      <c r="C276" s="392"/>
      <c r="D276" s="393"/>
      <c r="E276" s="394" t="s">
        <v>320</v>
      </c>
      <c r="F276" s="394"/>
      <c r="G276" s="394" t="str">
        <f xml:space="preserve"> SMU</f>
        <v>$ 000s</v>
      </c>
      <c r="H276" s="394"/>
      <c r="I276" s="395"/>
      <c r="J276" s="394">
        <f t="shared" ref="J276:AO276" si="719" xml:space="preserve"> IF( J272 = 1, $F271, J274 - J275)</f>
        <v>0</v>
      </c>
      <c r="K276" s="394">
        <f t="shared" si="719"/>
        <v>0</v>
      </c>
      <c r="L276" s="394">
        <f t="shared" si="719"/>
        <v>0</v>
      </c>
      <c r="M276" s="394">
        <f t="shared" si="719"/>
        <v>0</v>
      </c>
      <c r="N276" s="394">
        <f t="shared" si="719"/>
        <v>3857.1209730037863</v>
      </c>
      <c r="O276" s="394">
        <f t="shared" si="719"/>
        <v>0</v>
      </c>
      <c r="P276" s="394">
        <f t="shared" si="719"/>
        <v>0</v>
      </c>
      <c r="Q276" s="394">
        <f t="shared" si="719"/>
        <v>0</v>
      </c>
      <c r="R276" s="394">
        <f t="shared" si="719"/>
        <v>0</v>
      </c>
      <c r="S276" s="394">
        <f t="shared" si="719"/>
        <v>0</v>
      </c>
      <c r="T276" s="394">
        <f t="shared" si="719"/>
        <v>0</v>
      </c>
      <c r="U276" s="394">
        <f t="shared" si="719"/>
        <v>0</v>
      </c>
      <c r="V276" s="394">
        <f t="shared" si="719"/>
        <v>0</v>
      </c>
      <c r="W276" s="394">
        <f t="shared" si="719"/>
        <v>0</v>
      </c>
      <c r="X276" s="394">
        <f t="shared" si="719"/>
        <v>0</v>
      </c>
      <c r="Y276" s="394">
        <f t="shared" si="719"/>
        <v>0</v>
      </c>
      <c r="Z276" s="394">
        <f t="shared" si="719"/>
        <v>0</v>
      </c>
      <c r="AA276" s="394">
        <f t="shared" si="719"/>
        <v>0</v>
      </c>
      <c r="AB276" s="394">
        <f t="shared" si="719"/>
        <v>0</v>
      </c>
      <c r="AC276" s="394">
        <f t="shared" si="719"/>
        <v>0</v>
      </c>
      <c r="AD276" s="394">
        <f t="shared" si="719"/>
        <v>0</v>
      </c>
      <c r="AE276" s="394">
        <f t="shared" si="719"/>
        <v>0</v>
      </c>
      <c r="AF276" s="394">
        <f t="shared" si="719"/>
        <v>0</v>
      </c>
      <c r="AG276" s="394">
        <f t="shared" si="719"/>
        <v>0</v>
      </c>
      <c r="AH276" s="394">
        <f t="shared" si="719"/>
        <v>0</v>
      </c>
      <c r="AI276" s="394">
        <f t="shared" si="719"/>
        <v>0</v>
      </c>
      <c r="AJ276" s="394">
        <f t="shared" si="719"/>
        <v>0</v>
      </c>
      <c r="AK276" s="394">
        <f t="shared" si="719"/>
        <v>0</v>
      </c>
      <c r="AL276" s="394">
        <f t="shared" si="719"/>
        <v>0</v>
      </c>
      <c r="AM276" s="394">
        <f t="shared" si="719"/>
        <v>0</v>
      </c>
      <c r="AN276" s="394">
        <f t="shared" si="719"/>
        <v>0</v>
      </c>
      <c r="AO276" s="394">
        <f t="shared" si="719"/>
        <v>0</v>
      </c>
      <c r="AP276" s="394">
        <f t="shared" ref="AP276:BU276" si="720" xml:space="preserve"> IF( AP272 = 1, $F271, AP274 - AP275)</f>
        <v>0</v>
      </c>
      <c r="AQ276" s="394">
        <f t="shared" si="720"/>
        <v>0</v>
      </c>
      <c r="AR276" s="394">
        <f t="shared" si="720"/>
        <v>0</v>
      </c>
      <c r="AS276" s="394">
        <f t="shared" si="720"/>
        <v>0</v>
      </c>
      <c r="AT276" s="394">
        <f t="shared" si="720"/>
        <v>0</v>
      </c>
      <c r="AU276" s="394">
        <f t="shared" si="720"/>
        <v>0</v>
      </c>
      <c r="AV276" s="394">
        <f t="shared" si="720"/>
        <v>0</v>
      </c>
      <c r="AW276" s="394">
        <f t="shared" si="720"/>
        <v>0</v>
      </c>
      <c r="AX276" s="394">
        <f t="shared" si="720"/>
        <v>0</v>
      </c>
      <c r="AY276" s="394">
        <f t="shared" si="720"/>
        <v>0</v>
      </c>
      <c r="AZ276" s="394">
        <f t="shared" si="720"/>
        <v>0</v>
      </c>
      <c r="BA276" s="394">
        <f t="shared" si="720"/>
        <v>0</v>
      </c>
      <c r="BB276" s="394">
        <f t="shared" si="720"/>
        <v>0</v>
      </c>
      <c r="BC276" s="394">
        <f t="shared" si="720"/>
        <v>0</v>
      </c>
      <c r="BD276" s="394">
        <f t="shared" si="720"/>
        <v>0</v>
      </c>
      <c r="BE276" s="394">
        <f t="shared" si="720"/>
        <v>0</v>
      </c>
      <c r="BF276" s="394">
        <f t="shared" si="720"/>
        <v>0</v>
      </c>
      <c r="BG276" s="394">
        <f t="shared" si="720"/>
        <v>0</v>
      </c>
      <c r="BH276" s="394">
        <f t="shared" si="720"/>
        <v>0</v>
      </c>
      <c r="BI276" s="394">
        <f t="shared" si="720"/>
        <v>0</v>
      </c>
      <c r="BJ276" s="394">
        <f t="shared" si="720"/>
        <v>0</v>
      </c>
      <c r="BK276" s="394">
        <f t="shared" si="720"/>
        <v>0</v>
      </c>
      <c r="BL276" s="394">
        <f t="shared" si="720"/>
        <v>0</v>
      </c>
      <c r="BM276" s="394">
        <f t="shared" si="720"/>
        <v>0</v>
      </c>
      <c r="BN276" s="394">
        <f t="shared" si="720"/>
        <v>0</v>
      </c>
      <c r="BO276" s="394">
        <f t="shared" si="720"/>
        <v>0</v>
      </c>
      <c r="BP276" s="394">
        <f t="shared" si="720"/>
        <v>0</v>
      </c>
      <c r="BQ276" s="394">
        <f t="shared" si="720"/>
        <v>0</v>
      </c>
      <c r="BR276" s="394">
        <f t="shared" si="720"/>
        <v>0</v>
      </c>
      <c r="BS276" s="394">
        <f t="shared" si="720"/>
        <v>0</v>
      </c>
      <c r="BT276" s="394">
        <f t="shared" si="720"/>
        <v>0</v>
      </c>
      <c r="BU276" s="394">
        <f t="shared" si="720"/>
        <v>0</v>
      </c>
      <c r="BV276" s="394">
        <f t="shared" ref="BV276:CV276" si="721" xml:space="preserve"> IF( BV272 = 1, $F271, BV274 - BV275)</f>
        <v>0</v>
      </c>
      <c r="BW276" s="394">
        <f t="shared" si="721"/>
        <v>0</v>
      </c>
      <c r="BX276" s="394">
        <f t="shared" si="721"/>
        <v>0</v>
      </c>
      <c r="BY276" s="394">
        <f t="shared" si="721"/>
        <v>0</v>
      </c>
      <c r="BZ276" s="394">
        <f t="shared" si="721"/>
        <v>0</v>
      </c>
      <c r="CA276" s="394">
        <f t="shared" si="721"/>
        <v>0</v>
      </c>
      <c r="CB276" s="394">
        <f t="shared" si="721"/>
        <v>0</v>
      </c>
      <c r="CC276" s="394">
        <f t="shared" si="721"/>
        <v>0</v>
      </c>
      <c r="CD276" s="394">
        <f t="shared" si="721"/>
        <v>0</v>
      </c>
      <c r="CE276" s="394">
        <f t="shared" si="721"/>
        <v>0</v>
      </c>
      <c r="CF276" s="394">
        <f t="shared" si="721"/>
        <v>0</v>
      </c>
      <c r="CG276" s="394">
        <f t="shared" si="721"/>
        <v>0</v>
      </c>
      <c r="CH276" s="394">
        <f t="shared" si="721"/>
        <v>0</v>
      </c>
      <c r="CI276" s="394">
        <f t="shared" si="721"/>
        <v>0</v>
      </c>
      <c r="CJ276" s="394">
        <f t="shared" si="721"/>
        <v>0</v>
      </c>
      <c r="CK276" s="394">
        <f t="shared" si="721"/>
        <v>0</v>
      </c>
      <c r="CL276" s="394">
        <f t="shared" si="721"/>
        <v>0</v>
      </c>
      <c r="CM276" s="394">
        <f t="shared" si="721"/>
        <v>0</v>
      </c>
      <c r="CN276" s="394">
        <f t="shared" si="721"/>
        <v>0</v>
      </c>
      <c r="CO276" s="394">
        <f t="shared" si="721"/>
        <v>0</v>
      </c>
      <c r="CP276" s="394">
        <f t="shared" si="721"/>
        <v>0</v>
      </c>
      <c r="CQ276" s="394">
        <f t="shared" si="721"/>
        <v>0</v>
      </c>
      <c r="CR276" s="394">
        <f t="shared" si="721"/>
        <v>0</v>
      </c>
      <c r="CS276" s="394">
        <f t="shared" si="721"/>
        <v>0</v>
      </c>
      <c r="CT276" s="394">
        <f t="shared" si="721"/>
        <v>0</v>
      </c>
      <c r="CU276" s="394">
        <f t="shared" si="721"/>
        <v>0</v>
      </c>
      <c r="CV276" s="394">
        <f t="shared" si="721"/>
        <v>0</v>
      </c>
    </row>
    <row r="277" spans="1:100" outlineLevel="2" x14ac:dyDescent="0.2">
      <c r="A277" s="236"/>
      <c r="B277" s="236"/>
      <c r="C277" s="237"/>
      <c r="D277" s="238"/>
      <c r="E277" s="235"/>
      <c r="F277" s="235"/>
      <c r="G277" s="235"/>
      <c r="H277" s="235"/>
      <c r="I277" s="235"/>
      <c r="J277" s="235"/>
      <c r="K277" s="235"/>
      <c r="L277" s="235"/>
      <c r="M277" s="235"/>
      <c r="N277" s="235"/>
      <c r="O277" s="235"/>
      <c r="P277" s="235"/>
      <c r="Q277" s="235"/>
      <c r="R277" s="235"/>
      <c r="S277" s="235"/>
      <c r="T277" s="235"/>
      <c r="U277" s="235"/>
      <c r="V277" s="235"/>
      <c r="W277" s="235"/>
      <c r="X277" s="235"/>
      <c r="Y277" s="235"/>
      <c r="Z277" s="235"/>
      <c r="AA277" s="235"/>
      <c r="AB277" s="235"/>
      <c r="AC277" s="235"/>
      <c r="AD277" s="235"/>
      <c r="AE277" s="235"/>
      <c r="AF277" s="235"/>
      <c r="AG277" s="235"/>
      <c r="AH277" s="235"/>
      <c r="AI277" s="235"/>
      <c r="AJ277" s="235"/>
      <c r="AK277" s="235"/>
      <c r="AL277" s="235"/>
      <c r="AM277" s="235"/>
      <c r="AN277" s="235"/>
      <c r="AO277" s="235"/>
      <c r="AP277" s="235"/>
      <c r="AQ277" s="235"/>
      <c r="AR277" s="235"/>
      <c r="AS277" s="235"/>
      <c r="AT277" s="235"/>
      <c r="AU277" s="235"/>
      <c r="AV277" s="235"/>
      <c r="AW277" s="235"/>
      <c r="AX277" s="235"/>
      <c r="AY277" s="235"/>
      <c r="AZ277" s="235"/>
      <c r="BA277" s="235"/>
      <c r="BB277" s="235"/>
      <c r="BC277" s="235"/>
      <c r="BD277" s="235"/>
      <c r="BE277" s="235"/>
      <c r="BF277" s="235"/>
      <c r="BG277" s="235"/>
      <c r="BH277" s="235"/>
      <c r="BI277" s="235"/>
      <c r="BJ277" s="235"/>
      <c r="BK277" s="235"/>
      <c r="BL277" s="235"/>
      <c r="BM277" s="235"/>
      <c r="BN277" s="235"/>
      <c r="BO277" s="235"/>
      <c r="BP277" s="235"/>
      <c r="BQ277" s="235"/>
      <c r="BR277" s="235"/>
      <c r="BS277" s="235"/>
      <c r="BT277" s="235"/>
      <c r="BU277" s="235"/>
      <c r="BV277" s="235"/>
      <c r="BW277" s="235"/>
      <c r="BX277" s="235"/>
      <c r="BY277" s="235"/>
      <c r="BZ277" s="235"/>
      <c r="CA277" s="235"/>
      <c r="CB277" s="235"/>
      <c r="CC277" s="235"/>
      <c r="CD277" s="235"/>
      <c r="CE277" s="235"/>
      <c r="CF277" s="235"/>
      <c r="CG277" s="235"/>
      <c r="CH277" s="235"/>
      <c r="CI277" s="235"/>
      <c r="CJ277" s="235"/>
      <c r="CK277" s="235"/>
      <c r="CL277" s="235"/>
      <c r="CM277" s="235"/>
      <c r="CN277" s="235"/>
      <c r="CO277" s="235"/>
      <c r="CP277" s="235"/>
      <c r="CQ277" s="235"/>
      <c r="CR277" s="235"/>
      <c r="CS277" s="235"/>
      <c r="CT277" s="235"/>
      <c r="CU277" s="235"/>
      <c r="CV277" s="235"/>
    </row>
    <row r="278" spans="1:100" x14ac:dyDescent="0.2">
      <c r="A278" s="236"/>
      <c r="B278" s="236"/>
      <c r="C278" s="237"/>
      <c r="D278" s="238"/>
      <c r="E278" s="235"/>
      <c r="F278" s="235"/>
      <c r="G278" s="235"/>
      <c r="H278" s="235"/>
      <c r="I278" s="235"/>
      <c r="J278" s="235"/>
      <c r="K278" s="235"/>
      <c r="L278" s="235"/>
      <c r="M278" s="235"/>
      <c r="N278" s="235"/>
      <c r="O278" s="235"/>
      <c r="P278" s="235"/>
      <c r="Q278" s="235"/>
      <c r="R278" s="235"/>
      <c r="S278" s="235"/>
      <c r="T278" s="235"/>
      <c r="U278" s="235"/>
      <c r="V278" s="235"/>
      <c r="W278" s="235"/>
      <c r="X278" s="235"/>
      <c r="Y278" s="235"/>
      <c r="Z278" s="235"/>
      <c r="AA278" s="235"/>
      <c r="AB278" s="235"/>
      <c r="AC278" s="235"/>
      <c r="AD278" s="235"/>
      <c r="AE278" s="235"/>
      <c r="AF278" s="235"/>
      <c r="AG278" s="235"/>
      <c r="AH278" s="235"/>
      <c r="AI278" s="235"/>
      <c r="AJ278" s="235"/>
      <c r="AK278" s="235"/>
      <c r="AL278" s="235"/>
      <c r="AM278" s="235"/>
      <c r="AN278" s="235"/>
      <c r="AO278" s="235"/>
      <c r="AP278" s="235"/>
      <c r="AQ278" s="235"/>
      <c r="AR278" s="235"/>
      <c r="AS278" s="235"/>
      <c r="AT278" s="235"/>
      <c r="AU278" s="235"/>
      <c r="AV278" s="235"/>
      <c r="AW278" s="235"/>
      <c r="AX278" s="235"/>
      <c r="AY278" s="235"/>
      <c r="AZ278" s="235"/>
      <c r="BA278" s="235"/>
      <c r="BB278" s="235"/>
      <c r="BC278" s="235"/>
      <c r="BD278" s="235"/>
      <c r="BE278" s="235"/>
      <c r="BF278" s="235"/>
      <c r="BG278" s="235"/>
      <c r="BH278" s="235"/>
      <c r="BI278" s="235"/>
      <c r="BJ278" s="235"/>
      <c r="BK278" s="235"/>
      <c r="BL278" s="235"/>
      <c r="BM278" s="235"/>
      <c r="BN278" s="235"/>
      <c r="BO278" s="235"/>
      <c r="BP278" s="235"/>
      <c r="BQ278" s="235"/>
      <c r="BR278" s="235"/>
      <c r="BS278" s="235"/>
      <c r="BT278" s="235"/>
      <c r="BU278" s="235"/>
      <c r="BV278" s="235"/>
      <c r="BW278" s="235"/>
      <c r="BX278" s="235"/>
      <c r="BY278" s="235"/>
      <c r="BZ278" s="235"/>
      <c r="CA278" s="235"/>
      <c r="CB278" s="235"/>
      <c r="CC278" s="235"/>
      <c r="CD278" s="235"/>
      <c r="CE278" s="235"/>
      <c r="CF278" s="235"/>
      <c r="CG278" s="235"/>
      <c r="CH278" s="235"/>
      <c r="CI278" s="235"/>
      <c r="CJ278" s="235"/>
      <c r="CK278" s="235"/>
      <c r="CL278" s="235"/>
      <c r="CM278" s="235"/>
      <c r="CN278" s="235"/>
      <c r="CO278" s="235"/>
      <c r="CP278" s="235"/>
      <c r="CQ278" s="235"/>
      <c r="CR278" s="235"/>
      <c r="CS278" s="235"/>
      <c r="CT278" s="235"/>
      <c r="CU278" s="235"/>
      <c r="CV278" s="235"/>
    </row>
    <row r="279" spans="1:100" x14ac:dyDescent="0.2">
      <c r="A279" s="236" t="s">
        <v>1178</v>
      </c>
      <c r="B279" s="236"/>
      <c r="C279" s="237"/>
      <c r="D279" s="238"/>
      <c r="E279" s="235"/>
      <c r="F279" s="235"/>
      <c r="G279" s="235"/>
      <c r="H279" s="235"/>
      <c r="I279" s="235"/>
      <c r="J279" s="235"/>
      <c r="K279" s="235"/>
      <c r="L279" s="235"/>
      <c r="M279" s="235"/>
      <c r="N279" s="235"/>
      <c r="O279" s="235"/>
      <c r="P279" s="235"/>
      <c r="Q279" s="235"/>
      <c r="R279" s="235"/>
      <c r="S279" s="235"/>
      <c r="T279" s="235"/>
      <c r="U279" s="235"/>
      <c r="V279" s="235"/>
      <c r="W279" s="235"/>
      <c r="X279" s="235"/>
      <c r="Y279" s="235"/>
      <c r="Z279" s="235"/>
      <c r="AA279" s="235"/>
      <c r="AB279" s="235"/>
      <c r="AC279" s="235"/>
      <c r="AD279" s="235"/>
      <c r="AE279" s="235"/>
      <c r="AF279" s="235"/>
      <c r="AG279" s="235"/>
      <c r="AH279" s="235"/>
      <c r="AI279" s="235"/>
      <c r="AJ279" s="235"/>
      <c r="AK279" s="235"/>
      <c r="AL279" s="235"/>
      <c r="AM279" s="235"/>
      <c r="AN279" s="235"/>
      <c r="AO279" s="235"/>
      <c r="AP279" s="235"/>
      <c r="AQ279" s="235"/>
      <c r="AR279" s="235"/>
      <c r="AS279" s="235"/>
      <c r="AT279" s="235"/>
      <c r="AU279" s="235"/>
      <c r="AV279" s="235"/>
      <c r="AW279" s="235"/>
      <c r="AX279" s="235"/>
      <c r="AY279" s="235"/>
      <c r="AZ279" s="235"/>
      <c r="BA279" s="235"/>
      <c r="BB279" s="235"/>
      <c r="BC279" s="235"/>
      <c r="BD279" s="235"/>
      <c r="BE279" s="235"/>
      <c r="BF279" s="235"/>
      <c r="BG279" s="235"/>
      <c r="BH279" s="235"/>
      <c r="BI279" s="235"/>
      <c r="BJ279" s="235"/>
      <c r="BK279" s="235"/>
      <c r="BL279" s="235"/>
      <c r="BM279" s="235"/>
      <c r="BN279" s="235"/>
      <c r="BO279" s="235"/>
      <c r="BP279" s="235"/>
      <c r="BQ279" s="235"/>
      <c r="BR279" s="235"/>
      <c r="BS279" s="235"/>
      <c r="BT279" s="235"/>
      <c r="BU279" s="235"/>
      <c r="BV279" s="235"/>
      <c r="BW279" s="235"/>
      <c r="BX279" s="235"/>
      <c r="BY279" s="235"/>
      <c r="BZ279" s="235"/>
      <c r="CA279" s="235"/>
      <c r="CB279" s="235"/>
      <c r="CC279" s="235"/>
      <c r="CD279" s="235"/>
      <c r="CE279" s="235"/>
      <c r="CF279" s="235"/>
      <c r="CG279" s="235"/>
      <c r="CH279" s="235"/>
      <c r="CI279" s="235"/>
      <c r="CJ279" s="235"/>
      <c r="CK279" s="235"/>
      <c r="CL279" s="235"/>
      <c r="CM279" s="235"/>
      <c r="CN279" s="235"/>
      <c r="CO279" s="235"/>
      <c r="CP279" s="235"/>
      <c r="CQ279" s="235"/>
      <c r="CR279" s="235"/>
      <c r="CS279" s="235"/>
      <c r="CT279" s="235"/>
      <c r="CU279" s="235"/>
      <c r="CV279" s="235"/>
    </row>
    <row r="280" spans="1:100" outlineLevel="1" x14ac:dyDescent="0.2">
      <c r="A280" s="236"/>
      <c r="B280" s="236"/>
      <c r="C280" s="237"/>
      <c r="D280" s="238"/>
      <c r="E280" s="235"/>
      <c r="F280" s="235"/>
      <c r="G280" s="235"/>
      <c r="H280" s="235"/>
      <c r="I280" s="235"/>
      <c r="J280" s="235"/>
      <c r="K280" s="235"/>
      <c r="L280" s="235"/>
      <c r="M280" s="235"/>
      <c r="N280" s="235"/>
      <c r="O280" s="235"/>
      <c r="P280" s="235"/>
      <c r="Q280" s="235"/>
      <c r="R280" s="235"/>
      <c r="S280" s="235"/>
      <c r="T280" s="235"/>
      <c r="U280" s="235"/>
      <c r="V280" s="235"/>
      <c r="W280" s="235"/>
      <c r="X280" s="235"/>
      <c r="Y280" s="235"/>
      <c r="Z280" s="235"/>
      <c r="AA280" s="235"/>
      <c r="AB280" s="235"/>
      <c r="AC280" s="235"/>
      <c r="AD280" s="235"/>
      <c r="AE280" s="235"/>
      <c r="AF280" s="235"/>
      <c r="AG280" s="235"/>
      <c r="AH280" s="235"/>
      <c r="AI280" s="235"/>
      <c r="AJ280" s="235"/>
      <c r="AK280" s="235"/>
      <c r="AL280" s="235"/>
      <c r="AM280" s="235"/>
      <c r="AN280" s="235"/>
      <c r="AO280" s="235"/>
      <c r="AP280" s="235"/>
      <c r="AQ280" s="235"/>
      <c r="AR280" s="235"/>
      <c r="AS280" s="235"/>
      <c r="AT280" s="235"/>
      <c r="AU280" s="235"/>
      <c r="AV280" s="235"/>
      <c r="AW280" s="235"/>
      <c r="AX280" s="235"/>
      <c r="AY280" s="235"/>
      <c r="AZ280" s="235"/>
      <c r="BA280" s="235"/>
      <c r="BB280" s="235"/>
      <c r="BC280" s="235"/>
      <c r="BD280" s="235"/>
      <c r="BE280" s="235"/>
      <c r="BF280" s="235"/>
      <c r="BG280" s="235"/>
      <c r="BH280" s="235"/>
      <c r="BI280" s="235"/>
      <c r="BJ280" s="235"/>
      <c r="BK280" s="235"/>
      <c r="BL280" s="235"/>
      <c r="BM280" s="235"/>
      <c r="BN280" s="235"/>
      <c r="BO280" s="235"/>
      <c r="BP280" s="235"/>
      <c r="BQ280" s="235"/>
      <c r="BR280" s="235"/>
      <c r="BS280" s="235"/>
      <c r="BT280" s="235"/>
      <c r="BU280" s="235"/>
      <c r="BV280" s="235"/>
      <c r="BW280" s="235"/>
      <c r="BX280" s="235"/>
      <c r="BY280" s="235"/>
      <c r="BZ280" s="235"/>
      <c r="CA280" s="235"/>
      <c r="CB280" s="235"/>
      <c r="CC280" s="235"/>
      <c r="CD280" s="235"/>
      <c r="CE280" s="235"/>
      <c r="CF280" s="235"/>
      <c r="CG280" s="235"/>
      <c r="CH280" s="235"/>
      <c r="CI280" s="235"/>
      <c r="CJ280" s="235"/>
      <c r="CK280" s="235"/>
      <c r="CL280" s="235"/>
      <c r="CM280" s="235"/>
      <c r="CN280" s="235"/>
      <c r="CO280" s="235"/>
      <c r="CP280" s="235"/>
      <c r="CQ280" s="235"/>
      <c r="CR280" s="235"/>
      <c r="CS280" s="235"/>
      <c r="CT280" s="235"/>
      <c r="CU280" s="235"/>
      <c r="CV280" s="235"/>
    </row>
    <row r="281" spans="1:100" outlineLevel="1" x14ac:dyDescent="0.2">
      <c r="A281" s="236"/>
      <c r="B281" s="236"/>
      <c r="C281" s="237"/>
      <c r="D281" s="238"/>
      <c r="E281" s="32" t="str">
        <f t="shared" ref="E281:AJ281" si="722" xml:space="preserve"> E$205</f>
        <v>Decrease / (increase) in accounts receivable - P99</v>
      </c>
      <c r="F281" s="32">
        <f t="shared" si="722"/>
        <v>0</v>
      </c>
      <c r="G281" s="32" t="str">
        <f t="shared" si="722"/>
        <v>$ 000s</v>
      </c>
      <c r="H281" s="32">
        <f t="shared" si="722"/>
        <v>0</v>
      </c>
      <c r="I281" s="32">
        <f t="shared" si="722"/>
        <v>0</v>
      </c>
      <c r="J281" s="32">
        <f t="shared" si="722"/>
        <v>0</v>
      </c>
      <c r="K281" s="32">
        <f t="shared" si="722"/>
        <v>0</v>
      </c>
      <c r="L281" s="32">
        <f t="shared" si="722"/>
        <v>0</v>
      </c>
      <c r="M281" s="32">
        <f t="shared" si="722"/>
        <v>0</v>
      </c>
      <c r="N281" s="32">
        <f t="shared" si="722"/>
        <v>0</v>
      </c>
      <c r="O281" s="32">
        <f t="shared" si="722"/>
        <v>-4001.1118129849237</v>
      </c>
      <c r="P281" s="32">
        <f t="shared" si="722"/>
        <v>-66.316770380964954</v>
      </c>
      <c r="Q281" s="32">
        <f t="shared" si="722"/>
        <v>72.771550979663516</v>
      </c>
      <c r="R281" s="32">
        <f t="shared" si="722"/>
        <v>-66.20978506717438</v>
      </c>
      <c r="S281" s="32">
        <f t="shared" si="722"/>
        <v>72.624170425702687</v>
      </c>
      <c r="T281" s="32">
        <f t="shared" si="722"/>
        <v>-66.103469287751068</v>
      </c>
      <c r="U281" s="32">
        <f t="shared" si="722"/>
        <v>72.477045817733597</v>
      </c>
      <c r="V281" s="32">
        <f t="shared" si="722"/>
        <v>-43.756802972502555</v>
      </c>
      <c r="W281" s="32">
        <f t="shared" si="722"/>
        <v>50.089149032919522</v>
      </c>
      <c r="X281" s="32">
        <f t="shared" si="722"/>
        <v>-65.892873885699373</v>
      </c>
      <c r="Y281" s="32">
        <f t="shared" si="722"/>
        <v>72.183559639486703</v>
      </c>
      <c r="Z281" s="32">
        <f t="shared" si="722"/>
        <v>-65.788608375969488</v>
      </c>
      <c r="AA281" s="32">
        <f t="shared" si="722"/>
        <v>72.037195644019448</v>
      </c>
      <c r="AB281" s="32">
        <f t="shared" si="722"/>
        <v>-65.685040631196898</v>
      </c>
      <c r="AC281" s="32">
        <f t="shared" si="722"/>
        <v>71.891082743735751</v>
      </c>
      <c r="AD281" s="32">
        <f t="shared" si="722"/>
        <v>-43.48122427805356</v>
      </c>
      <c r="AE281" s="32">
        <f t="shared" si="722"/>
        <v>49.644265923363491</v>
      </c>
      <c r="AF281" s="32">
        <f t="shared" si="722"/>
        <v>-65.480028193220278</v>
      </c>
      <c r="AG281" s="32">
        <f t="shared" si="722"/>
        <v>71.599605263611011</v>
      </c>
      <c r="AH281" s="32">
        <f t="shared" si="722"/>
        <v>-65.378598739014706</v>
      </c>
      <c r="AI281" s="32">
        <f t="shared" si="722"/>
        <v>71.454238174050261</v>
      </c>
      <c r="AJ281" s="32">
        <f t="shared" si="722"/>
        <v>-65.277897532907446</v>
      </c>
      <c r="AK281" s="32">
        <f t="shared" ref="AK281:BP281" si="723" xml:space="preserve"> AK$205</f>
        <v>71.309117159818925</v>
      </c>
      <c r="AL281" s="32">
        <f t="shared" si="723"/>
        <v>-43.21320803873823</v>
      </c>
      <c r="AM281" s="32">
        <f t="shared" si="723"/>
        <v>49.199516409937132</v>
      </c>
      <c r="AN281" s="32">
        <f t="shared" si="723"/>
        <v>-65.07871198597968</v>
      </c>
      <c r="AO281" s="32">
        <f t="shared" si="723"/>
        <v>71.019608213669926</v>
      </c>
      <c r="AP281" s="32">
        <f t="shared" si="723"/>
        <v>-64.980244092701469</v>
      </c>
      <c r="AQ281" s="32">
        <f t="shared" si="723"/>
        <v>70.875217680530113</v>
      </c>
      <c r="AR281" s="32">
        <f t="shared" si="723"/>
        <v>-64.882537348152255</v>
      </c>
      <c r="AS281" s="32">
        <f t="shared" si="723"/>
        <v>70.731068019811573</v>
      </c>
      <c r="AT281" s="32">
        <f t="shared" si="723"/>
        <v>-42.953090358978443</v>
      </c>
      <c r="AU281" s="32">
        <f t="shared" si="723"/>
        <v>48.75464788372301</v>
      </c>
      <c r="AV281" s="32">
        <f t="shared" si="723"/>
        <v>-64.689441963682839</v>
      </c>
      <c r="AW281" s="32">
        <f t="shared" si="723"/>
        <v>70.443485978741592</v>
      </c>
      <c r="AX281" s="32">
        <f t="shared" si="723"/>
        <v>-64.594071068406265</v>
      </c>
      <c r="AY281" s="32">
        <f t="shared" si="723"/>
        <v>70.300050898165864</v>
      </c>
      <c r="AZ281" s="32">
        <f t="shared" si="723"/>
        <v>-64.499496817083127</v>
      </c>
      <c r="BA281" s="32">
        <f t="shared" si="723"/>
        <v>70.156851289046244</v>
      </c>
      <c r="BB281" s="32">
        <f t="shared" si="723"/>
        <v>3885.8122868253704</v>
      </c>
      <c r="BC281" s="32">
        <f t="shared" si="723"/>
        <v>0</v>
      </c>
      <c r="BD281" s="32">
        <f t="shared" si="723"/>
        <v>0</v>
      </c>
      <c r="BE281" s="32">
        <f t="shared" si="723"/>
        <v>0</v>
      </c>
      <c r="BF281" s="32">
        <f t="shared" si="723"/>
        <v>0</v>
      </c>
      <c r="BG281" s="32">
        <f t="shared" si="723"/>
        <v>0</v>
      </c>
      <c r="BH281" s="32">
        <f t="shared" si="723"/>
        <v>0</v>
      </c>
      <c r="BI281" s="32">
        <f t="shared" si="723"/>
        <v>0</v>
      </c>
      <c r="BJ281" s="32">
        <f t="shared" si="723"/>
        <v>0</v>
      </c>
      <c r="BK281" s="32">
        <f t="shared" si="723"/>
        <v>0</v>
      </c>
      <c r="BL281" s="32">
        <f t="shared" si="723"/>
        <v>0</v>
      </c>
      <c r="BM281" s="32">
        <f t="shared" si="723"/>
        <v>0</v>
      </c>
      <c r="BN281" s="32">
        <f t="shared" si="723"/>
        <v>0</v>
      </c>
      <c r="BO281" s="32">
        <f t="shared" si="723"/>
        <v>0</v>
      </c>
      <c r="BP281" s="32">
        <f t="shared" si="723"/>
        <v>0</v>
      </c>
      <c r="BQ281" s="32">
        <f t="shared" ref="BQ281:CV281" si="724" xml:space="preserve"> BQ$205</f>
        <v>0</v>
      </c>
      <c r="BR281" s="32">
        <f t="shared" si="724"/>
        <v>0</v>
      </c>
      <c r="BS281" s="32">
        <f t="shared" si="724"/>
        <v>0</v>
      </c>
      <c r="BT281" s="32">
        <f t="shared" si="724"/>
        <v>0</v>
      </c>
      <c r="BU281" s="32">
        <f t="shared" si="724"/>
        <v>0</v>
      </c>
      <c r="BV281" s="32">
        <f t="shared" si="724"/>
        <v>0</v>
      </c>
      <c r="BW281" s="32">
        <f t="shared" si="724"/>
        <v>0</v>
      </c>
      <c r="BX281" s="32">
        <f t="shared" si="724"/>
        <v>0</v>
      </c>
      <c r="BY281" s="32">
        <f t="shared" si="724"/>
        <v>0</v>
      </c>
      <c r="BZ281" s="32">
        <f t="shared" si="724"/>
        <v>0</v>
      </c>
      <c r="CA281" s="32">
        <f t="shared" si="724"/>
        <v>0</v>
      </c>
      <c r="CB281" s="32">
        <f t="shared" si="724"/>
        <v>0</v>
      </c>
      <c r="CC281" s="32">
        <f t="shared" si="724"/>
        <v>0</v>
      </c>
      <c r="CD281" s="32">
        <f t="shared" si="724"/>
        <v>0</v>
      </c>
      <c r="CE281" s="32">
        <f t="shared" si="724"/>
        <v>0</v>
      </c>
      <c r="CF281" s="32">
        <f t="shared" si="724"/>
        <v>0</v>
      </c>
      <c r="CG281" s="32">
        <f t="shared" si="724"/>
        <v>0</v>
      </c>
      <c r="CH281" s="32">
        <f t="shared" si="724"/>
        <v>0</v>
      </c>
      <c r="CI281" s="32">
        <f t="shared" si="724"/>
        <v>0</v>
      </c>
      <c r="CJ281" s="32">
        <f t="shared" si="724"/>
        <v>0</v>
      </c>
      <c r="CK281" s="32">
        <f t="shared" si="724"/>
        <v>0</v>
      </c>
      <c r="CL281" s="32">
        <f t="shared" si="724"/>
        <v>0</v>
      </c>
      <c r="CM281" s="32">
        <f t="shared" si="724"/>
        <v>0</v>
      </c>
      <c r="CN281" s="32">
        <f t="shared" si="724"/>
        <v>0</v>
      </c>
      <c r="CO281" s="32">
        <f t="shared" si="724"/>
        <v>0</v>
      </c>
      <c r="CP281" s="32">
        <f t="shared" si="724"/>
        <v>0</v>
      </c>
      <c r="CQ281" s="32">
        <f t="shared" si="724"/>
        <v>0</v>
      </c>
      <c r="CR281" s="32">
        <f t="shared" si="724"/>
        <v>0</v>
      </c>
      <c r="CS281" s="32">
        <f t="shared" si="724"/>
        <v>0</v>
      </c>
      <c r="CT281" s="32">
        <f t="shared" si="724"/>
        <v>0</v>
      </c>
      <c r="CU281" s="32">
        <f t="shared" si="724"/>
        <v>0</v>
      </c>
      <c r="CV281" s="32">
        <f t="shared" si="724"/>
        <v>0</v>
      </c>
    </row>
    <row r="282" spans="1:100" outlineLevel="1" x14ac:dyDescent="0.2">
      <c r="A282" s="236"/>
      <c r="B282" s="236"/>
      <c r="C282" s="237"/>
      <c r="D282" s="238"/>
      <c r="E282" s="32" t="str">
        <f t="shared" ref="E282:AJ282" si="725" xml:space="preserve"> E$231</f>
        <v>Increase / (decrease) in accounts payable</v>
      </c>
      <c r="F282" s="32">
        <f t="shared" si="725"/>
        <v>0</v>
      </c>
      <c r="G282" s="32" t="str">
        <f t="shared" si="725"/>
        <v>$ 000s</v>
      </c>
      <c r="H282" s="32">
        <f t="shared" si="725"/>
        <v>0</v>
      </c>
      <c r="I282" s="32">
        <f t="shared" si="725"/>
        <v>0</v>
      </c>
      <c r="J282" s="32">
        <f t="shared" si="725"/>
        <v>0</v>
      </c>
      <c r="K282" s="32">
        <f t="shared" si="725"/>
        <v>0</v>
      </c>
      <c r="L282" s="32">
        <f t="shared" si="725"/>
        <v>0</v>
      </c>
      <c r="M282" s="32">
        <f t="shared" si="725"/>
        <v>0</v>
      </c>
      <c r="N282" s="32">
        <f t="shared" si="725"/>
        <v>0</v>
      </c>
      <c r="O282" s="32">
        <f t="shared" si="725"/>
        <v>1058.9010260869563</v>
      </c>
      <c r="P282" s="32">
        <f t="shared" si="725"/>
        <v>17.550845736248448</v>
      </c>
      <c r="Q282" s="32">
        <f t="shared" si="725"/>
        <v>3.6271747854907517</v>
      </c>
      <c r="R282" s="32">
        <f t="shared" si="725"/>
        <v>17.901862650973271</v>
      </c>
      <c r="S282" s="32">
        <f t="shared" si="725"/>
        <v>3.6997182812010578</v>
      </c>
      <c r="T282" s="32">
        <f t="shared" si="725"/>
        <v>18.259899903991936</v>
      </c>
      <c r="U282" s="32">
        <f t="shared" si="725"/>
        <v>3.7737126468255155</v>
      </c>
      <c r="V282" s="32">
        <f t="shared" si="725"/>
        <v>12.348508132875395</v>
      </c>
      <c r="W282" s="32">
        <f t="shared" si="725"/>
        <v>10.125776668957769</v>
      </c>
      <c r="X282" s="32">
        <f t="shared" si="725"/>
        <v>18.997599860113951</v>
      </c>
      <c r="Y282" s="32">
        <f t="shared" si="725"/>
        <v>3.9261706377565133</v>
      </c>
      <c r="Z282" s="32">
        <f t="shared" si="725"/>
        <v>19.377551857316575</v>
      </c>
      <c r="AA282" s="32">
        <f t="shared" si="725"/>
        <v>4.0046940505117163</v>
      </c>
      <c r="AB282" s="32">
        <f t="shared" si="725"/>
        <v>19.765102894461961</v>
      </c>
      <c r="AC282" s="32">
        <f t="shared" si="725"/>
        <v>4.0847879315215323</v>
      </c>
      <c r="AD282" s="32">
        <f t="shared" si="725"/>
        <v>13.366422331046124</v>
      </c>
      <c r="AE282" s="32">
        <f t="shared" si="725"/>
        <v>10.960466311458731</v>
      </c>
      <c r="AF282" s="32">
        <f t="shared" si="725"/>
        <v>20.563613051398534</v>
      </c>
      <c r="AG282" s="32">
        <f t="shared" si="725"/>
        <v>4.2498133639555817</v>
      </c>
      <c r="AH282" s="32">
        <f t="shared" si="725"/>
        <v>20.974885312426522</v>
      </c>
      <c r="AI282" s="32">
        <f t="shared" si="725"/>
        <v>4.3348096312347479</v>
      </c>
      <c r="AJ282" s="32">
        <f t="shared" si="725"/>
        <v>21.394383018674489</v>
      </c>
      <c r="AK282" s="32">
        <f t="shared" ref="AK282:BP282" si="726" xml:space="preserve"> AK$231</f>
        <v>4.4215058238596612</v>
      </c>
      <c r="AL282" s="32">
        <f t="shared" si="726"/>
        <v>14.468245395266422</v>
      </c>
      <c r="AM282" s="32">
        <f t="shared" si="726"/>
        <v>11.863961224118611</v>
      </c>
      <c r="AN282" s="32">
        <f t="shared" si="726"/>
        <v>22.258716092629584</v>
      </c>
      <c r="AO282" s="32">
        <f t="shared" si="726"/>
        <v>4.600134659143805</v>
      </c>
      <c r="AP282" s="32">
        <f t="shared" si="726"/>
        <v>22.703890414481975</v>
      </c>
      <c r="AQ282" s="32">
        <f t="shared" si="726"/>
        <v>4.692137352325517</v>
      </c>
      <c r="AR282" s="32">
        <f t="shared" si="726"/>
        <v>23.15796822277207</v>
      </c>
      <c r="AS282" s="32">
        <f t="shared" si="726"/>
        <v>4.7859800993728641</v>
      </c>
      <c r="AT282" s="32">
        <f t="shared" si="726"/>
        <v>15.6608941146078</v>
      </c>
      <c r="AU282" s="32">
        <f t="shared" si="726"/>
        <v>12.841933173979669</v>
      </c>
      <c r="AV282" s="32">
        <f t="shared" si="726"/>
        <v>24.093550138971295</v>
      </c>
      <c r="AW282" s="32">
        <f t="shared" si="726"/>
        <v>4.9793336953880498</v>
      </c>
      <c r="AX282" s="32">
        <f t="shared" si="726"/>
        <v>24.575421141750667</v>
      </c>
      <c r="AY282" s="32">
        <f t="shared" si="726"/>
        <v>5.0789203692947922</v>
      </c>
      <c r="AZ282" s="32">
        <f t="shared" si="726"/>
        <v>25.066929564586644</v>
      </c>
      <c r="BA282" s="32">
        <f t="shared" si="726"/>
        <v>5.1804987766809063</v>
      </c>
      <c r="BB282" s="32">
        <f t="shared" si="726"/>
        <v>-1542.6188454046278</v>
      </c>
      <c r="BC282" s="32">
        <f t="shared" si="726"/>
        <v>0</v>
      </c>
      <c r="BD282" s="32">
        <f t="shared" si="726"/>
        <v>0</v>
      </c>
      <c r="BE282" s="32">
        <f t="shared" si="726"/>
        <v>0</v>
      </c>
      <c r="BF282" s="32">
        <f t="shared" si="726"/>
        <v>0</v>
      </c>
      <c r="BG282" s="32">
        <f t="shared" si="726"/>
        <v>0</v>
      </c>
      <c r="BH282" s="32">
        <f t="shared" si="726"/>
        <v>0</v>
      </c>
      <c r="BI282" s="32">
        <f t="shared" si="726"/>
        <v>0</v>
      </c>
      <c r="BJ282" s="32">
        <f t="shared" si="726"/>
        <v>0</v>
      </c>
      <c r="BK282" s="32">
        <f t="shared" si="726"/>
        <v>0</v>
      </c>
      <c r="BL282" s="32">
        <f t="shared" si="726"/>
        <v>0</v>
      </c>
      <c r="BM282" s="32">
        <f t="shared" si="726"/>
        <v>0</v>
      </c>
      <c r="BN282" s="32">
        <f t="shared" si="726"/>
        <v>0</v>
      </c>
      <c r="BO282" s="32">
        <f t="shared" si="726"/>
        <v>0</v>
      </c>
      <c r="BP282" s="32">
        <f t="shared" si="726"/>
        <v>0</v>
      </c>
      <c r="BQ282" s="32">
        <f t="shared" ref="BQ282:CV282" si="727" xml:space="preserve"> BQ$231</f>
        <v>0</v>
      </c>
      <c r="BR282" s="32">
        <f t="shared" si="727"/>
        <v>0</v>
      </c>
      <c r="BS282" s="32">
        <f t="shared" si="727"/>
        <v>0</v>
      </c>
      <c r="BT282" s="32">
        <f t="shared" si="727"/>
        <v>0</v>
      </c>
      <c r="BU282" s="32">
        <f t="shared" si="727"/>
        <v>0</v>
      </c>
      <c r="BV282" s="32">
        <f t="shared" si="727"/>
        <v>0</v>
      </c>
      <c r="BW282" s="32">
        <f t="shared" si="727"/>
        <v>0</v>
      </c>
      <c r="BX282" s="32">
        <f t="shared" si="727"/>
        <v>0</v>
      </c>
      <c r="BY282" s="32">
        <f t="shared" si="727"/>
        <v>0</v>
      </c>
      <c r="BZ282" s="32">
        <f t="shared" si="727"/>
        <v>0</v>
      </c>
      <c r="CA282" s="32">
        <f t="shared" si="727"/>
        <v>0</v>
      </c>
      <c r="CB282" s="32">
        <f t="shared" si="727"/>
        <v>0</v>
      </c>
      <c r="CC282" s="32">
        <f t="shared" si="727"/>
        <v>0</v>
      </c>
      <c r="CD282" s="32">
        <f t="shared" si="727"/>
        <v>0</v>
      </c>
      <c r="CE282" s="32">
        <f t="shared" si="727"/>
        <v>0</v>
      </c>
      <c r="CF282" s="32">
        <f t="shared" si="727"/>
        <v>0</v>
      </c>
      <c r="CG282" s="32">
        <f t="shared" si="727"/>
        <v>0</v>
      </c>
      <c r="CH282" s="32">
        <f t="shared" si="727"/>
        <v>0</v>
      </c>
      <c r="CI282" s="32">
        <f t="shared" si="727"/>
        <v>0</v>
      </c>
      <c r="CJ282" s="32">
        <f t="shared" si="727"/>
        <v>0</v>
      </c>
      <c r="CK282" s="32">
        <f t="shared" si="727"/>
        <v>0</v>
      </c>
      <c r="CL282" s="32">
        <f t="shared" si="727"/>
        <v>0</v>
      </c>
      <c r="CM282" s="32">
        <f t="shared" si="727"/>
        <v>0</v>
      </c>
      <c r="CN282" s="32">
        <f t="shared" si="727"/>
        <v>0</v>
      </c>
      <c r="CO282" s="32">
        <f t="shared" si="727"/>
        <v>0</v>
      </c>
      <c r="CP282" s="32">
        <f t="shared" si="727"/>
        <v>0</v>
      </c>
      <c r="CQ282" s="32">
        <f t="shared" si="727"/>
        <v>0</v>
      </c>
      <c r="CR282" s="32">
        <f t="shared" si="727"/>
        <v>0</v>
      </c>
      <c r="CS282" s="32">
        <f t="shared" si="727"/>
        <v>0</v>
      </c>
      <c r="CT282" s="32">
        <f t="shared" si="727"/>
        <v>0</v>
      </c>
      <c r="CU282" s="32">
        <f t="shared" si="727"/>
        <v>0</v>
      </c>
      <c r="CV282" s="32">
        <f t="shared" si="727"/>
        <v>0</v>
      </c>
    </row>
    <row r="283" spans="1:100" outlineLevel="1" x14ac:dyDescent="0.2">
      <c r="A283" s="236"/>
      <c r="B283" s="236"/>
      <c r="C283" s="237"/>
      <c r="D283" s="238"/>
      <c r="E283" s="396" t="str">
        <f xml:space="preserve"> Time!E$106</f>
        <v>Operating period flag</v>
      </c>
      <c r="F283" s="396">
        <f xml:space="preserve"> Time!F$106</f>
        <v>0</v>
      </c>
      <c r="G283" s="396" t="str">
        <f xml:space="preserve"> Time!G$106</f>
        <v>flag</v>
      </c>
      <c r="H283" s="396">
        <f xml:space="preserve"> Time!H$106</f>
        <v>40</v>
      </c>
      <c r="I283" s="396">
        <f xml:space="preserve"> Time!I$106</f>
        <v>0</v>
      </c>
      <c r="J283" s="396">
        <f xml:space="preserve"> Time!J$106</f>
        <v>0</v>
      </c>
      <c r="K283" s="396">
        <f xml:space="preserve"> Time!K$106</f>
        <v>0</v>
      </c>
      <c r="L283" s="396">
        <f xml:space="preserve"> Time!L$106</f>
        <v>0</v>
      </c>
      <c r="M283" s="396">
        <f xml:space="preserve"> Time!M$106</f>
        <v>0</v>
      </c>
      <c r="N283" s="396">
        <f xml:space="preserve"> Time!N$106</f>
        <v>0</v>
      </c>
      <c r="O283" s="396">
        <f xml:space="preserve"> Time!O$106</f>
        <v>1</v>
      </c>
      <c r="P283" s="396">
        <f xml:space="preserve"> Time!P$106</f>
        <v>1</v>
      </c>
      <c r="Q283" s="396">
        <f xml:space="preserve"> Time!Q$106</f>
        <v>1</v>
      </c>
      <c r="R283" s="396">
        <f xml:space="preserve"> Time!R$106</f>
        <v>1</v>
      </c>
      <c r="S283" s="396">
        <f xml:space="preserve"> Time!S$106</f>
        <v>1</v>
      </c>
      <c r="T283" s="396">
        <f xml:space="preserve"> Time!T$106</f>
        <v>1</v>
      </c>
      <c r="U283" s="396">
        <f xml:space="preserve"> Time!U$106</f>
        <v>1</v>
      </c>
      <c r="V283" s="396">
        <f xml:space="preserve"> Time!V$106</f>
        <v>1</v>
      </c>
      <c r="W283" s="396">
        <f xml:space="preserve"> Time!W$106</f>
        <v>1</v>
      </c>
      <c r="X283" s="396">
        <f xml:space="preserve"> Time!X$106</f>
        <v>1</v>
      </c>
      <c r="Y283" s="396">
        <f xml:space="preserve"> Time!Y$106</f>
        <v>1</v>
      </c>
      <c r="Z283" s="396">
        <f xml:space="preserve"> Time!Z$106</f>
        <v>1</v>
      </c>
      <c r="AA283" s="396">
        <f xml:space="preserve"> Time!AA$106</f>
        <v>1</v>
      </c>
      <c r="AB283" s="396">
        <f xml:space="preserve"> Time!AB$106</f>
        <v>1</v>
      </c>
      <c r="AC283" s="396">
        <f xml:space="preserve"> Time!AC$106</f>
        <v>1</v>
      </c>
      <c r="AD283" s="396">
        <f xml:space="preserve"> Time!AD$106</f>
        <v>1</v>
      </c>
      <c r="AE283" s="396">
        <f xml:space="preserve"> Time!AE$106</f>
        <v>1</v>
      </c>
      <c r="AF283" s="396">
        <f xml:space="preserve"> Time!AF$106</f>
        <v>1</v>
      </c>
      <c r="AG283" s="396">
        <f xml:space="preserve"> Time!AG$106</f>
        <v>1</v>
      </c>
      <c r="AH283" s="396">
        <f xml:space="preserve"> Time!AH$106</f>
        <v>1</v>
      </c>
      <c r="AI283" s="396">
        <f xml:space="preserve"> Time!AI$106</f>
        <v>1</v>
      </c>
      <c r="AJ283" s="396">
        <f xml:space="preserve"> Time!AJ$106</f>
        <v>1</v>
      </c>
      <c r="AK283" s="396">
        <f xml:space="preserve"> Time!AK$106</f>
        <v>1</v>
      </c>
      <c r="AL283" s="396">
        <f xml:space="preserve"> Time!AL$106</f>
        <v>1</v>
      </c>
      <c r="AM283" s="396">
        <f xml:space="preserve"> Time!AM$106</f>
        <v>1</v>
      </c>
      <c r="AN283" s="396">
        <f xml:space="preserve"> Time!AN$106</f>
        <v>1</v>
      </c>
      <c r="AO283" s="396">
        <f xml:space="preserve"> Time!AO$106</f>
        <v>1</v>
      </c>
      <c r="AP283" s="396">
        <f xml:space="preserve"> Time!AP$106</f>
        <v>1</v>
      </c>
      <c r="AQ283" s="396">
        <f xml:space="preserve"> Time!AQ$106</f>
        <v>1</v>
      </c>
      <c r="AR283" s="396">
        <f xml:space="preserve"> Time!AR$106</f>
        <v>1</v>
      </c>
      <c r="AS283" s="396">
        <f xml:space="preserve"> Time!AS$106</f>
        <v>1</v>
      </c>
      <c r="AT283" s="396">
        <f xml:space="preserve"> Time!AT$106</f>
        <v>1</v>
      </c>
      <c r="AU283" s="396">
        <f xml:space="preserve"> Time!AU$106</f>
        <v>1</v>
      </c>
      <c r="AV283" s="396">
        <f xml:space="preserve"> Time!AV$106</f>
        <v>1</v>
      </c>
      <c r="AW283" s="396">
        <f xml:space="preserve"> Time!AW$106</f>
        <v>1</v>
      </c>
      <c r="AX283" s="396">
        <f xml:space="preserve"> Time!AX$106</f>
        <v>1</v>
      </c>
      <c r="AY283" s="396">
        <f xml:space="preserve"> Time!AY$106</f>
        <v>1</v>
      </c>
      <c r="AZ283" s="396">
        <f xml:space="preserve"> Time!AZ$106</f>
        <v>1</v>
      </c>
      <c r="BA283" s="396">
        <f xml:space="preserve"> Time!BA$106</f>
        <v>1</v>
      </c>
      <c r="BB283" s="396">
        <f xml:space="preserve"> Time!BB$106</f>
        <v>1</v>
      </c>
      <c r="BC283" s="396">
        <f xml:space="preserve"> Time!BC$106</f>
        <v>0</v>
      </c>
      <c r="BD283" s="396">
        <f xml:space="preserve"> Time!BD$106</f>
        <v>0</v>
      </c>
      <c r="BE283" s="396">
        <f xml:space="preserve"> Time!BE$106</f>
        <v>0</v>
      </c>
      <c r="BF283" s="396">
        <f xml:space="preserve"> Time!BF$106</f>
        <v>0</v>
      </c>
      <c r="BG283" s="396">
        <f xml:space="preserve"> Time!BG$106</f>
        <v>0</v>
      </c>
      <c r="BH283" s="396">
        <f xml:space="preserve"> Time!BH$106</f>
        <v>0</v>
      </c>
      <c r="BI283" s="396">
        <f xml:space="preserve"> Time!BI$106</f>
        <v>0</v>
      </c>
      <c r="BJ283" s="396">
        <f xml:space="preserve"> Time!BJ$106</f>
        <v>0</v>
      </c>
      <c r="BK283" s="396">
        <f xml:space="preserve"> Time!BK$106</f>
        <v>0</v>
      </c>
      <c r="BL283" s="396">
        <f xml:space="preserve"> Time!BL$106</f>
        <v>0</v>
      </c>
      <c r="BM283" s="396">
        <f xml:space="preserve"> Time!BM$106</f>
        <v>0</v>
      </c>
      <c r="BN283" s="396">
        <f xml:space="preserve"> Time!BN$106</f>
        <v>0</v>
      </c>
      <c r="BO283" s="396">
        <f xml:space="preserve"> Time!BO$106</f>
        <v>0</v>
      </c>
      <c r="BP283" s="396">
        <f xml:space="preserve"> Time!BP$106</f>
        <v>0</v>
      </c>
      <c r="BQ283" s="396">
        <f xml:space="preserve"> Time!BQ$106</f>
        <v>0</v>
      </c>
      <c r="BR283" s="396">
        <f xml:space="preserve"> Time!BR$106</f>
        <v>0</v>
      </c>
      <c r="BS283" s="396">
        <f xml:space="preserve"> Time!BS$106</f>
        <v>0</v>
      </c>
      <c r="BT283" s="396">
        <f xml:space="preserve"> Time!BT$106</f>
        <v>0</v>
      </c>
      <c r="BU283" s="396">
        <f xml:space="preserve"> Time!BU$106</f>
        <v>0</v>
      </c>
      <c r="BV283" s="396">
        <f xml:space="preserve"> Time!BV$106</f>
        <v>0</v>
      </c>
      <c r="BW283" s="396">
        <f xml:space="preserve"> Time!BW$106</f>
        <v>0</v>
      </c>
      <c r="BX283" s="396">
        <f xml:space="preserve"> Time!BX$106</f>
        <v>0</v>
      </c>
      <c r="BY283" s="396">
        <f xml:space="preserve"> Time!BY$106</f>
        <v>0</v>
      </c>
      <c r="BZ283" s="396">
        <f xml:space="preserve"> Time!BZ$106</f>
        <v>0</v>
      </c>
      <c r="CA283" s="396">
        <f xml:space="preserve"> Time!CA$106</f>
        <v>0</v>
      </c>
      <c r="CB283" s="396">
        <f xml:space="preserve"> Time!CB$106</f>
        <v>0</v>
      </c>
      <c r="CC283" s="396">
        <f xml:space="preserve"> Time!CC$106</f>
        <v>0</v>
      </c>
      <c r="CD283" s="396">
        <f xml:space="preserve"> Time!CD$106</f>
        <v>0</v>
      </c>
      <c r="CE283" s="396">
        <f xml:space="preserve"> Time!CE$106</f>
        <v>0</v>
      </c>
      <c r="CF283" s="396">
        <f xml:space="preserve"> Time!CF$106</f>
        <v>0</v>
      </c>
      <c r="CG283" s="396">
        <f xml:space="preserve"> Time!CG$106</f>
        <v>0</v>
      </c>
      <c r="CH283" s="396">
        <f xml:space="preserve"> Time!CH$106</f>
        <v>0</v>
      </c>
      <c r="CI283" s="396">
        <f xml:space="preserve"> Time!CI$106</f>
        <v>0</v>
      </c>
      <c r="CJ283" s="396">
        <f xml:space="preserve"> Time!CJ$106</f>
        <v>0</v>
      </c>
      <c r="CK283" s="396">
        <f xml:space="preserve"> Time!CK$106</f>
        <v>0</v>
      </c>
      <c r="CL283" s="396">
        <f xml:space="preserve"> Time!CL$106</f>
        <v>0</v>
      </c>
      <c r="CM283" s="396">
        <f xml:space="preserve"> Time!CM$106</f>
        <v>0</v>
      </c>
      <c r="CN283" s="396">
        <f xml:space="preserve"> Time!CN$106</f>
        <v>0</v>
      </c>
      <c r="CO283" s="396">
        <f xml:space="preserve"> Time!CO$106</f>
        <v>0</v>
      </c>
      <c r="CP283" s="396">
        <f xml:space="preserve"> Time!CP$106</f>
        <v>0</v>
      </c>
      <c r="CQ283" s="396">
        <f xml:space="preserve"> Time!CQ$106</f>
        <v>0</v>
      </c>
      <c r="CR283" s="396">
        <f xml:space="preserve"> Time!CR$106</f>
        <v>0</v>
      </c>
      <c r="CS283" s="396">
        <f xml:space="preserve"> Time!CS$106</f>
        <v>0</v>
      </c>
      <c r="CT283" s="396">
        <f xml:space="preserve"> Time!CT$106</f>
        <v>0</v>
      </c>
      <c r="CU283" s="396">
        <f xml:space="preserve"> Time!CU$106</f>
        <v>0</v>
      </c>
      <c r="CV283" s="396">
        <f xml:space="preserve"> Time!CV$106</f>
        <v>0</v>
      </c>
    </row>
    <row r="284" spans="1:100" s="191" customFormat="1" outlineLevel="1" x14ac:dyDescent="0.2">
      <c r="A284" s="236"/>
      <c r="B284" s="236"/>
      <c r="C284" s="237"/>
      <c r="D284" s="238"/>
      <c r="E284" s="191" t="s">
        <v>1177</v>
      </c>
      <c r="G284" s="191" t="str">
        <f xml:space="preserve"> SMU</f>
        <v>$ 000s</v>
      </c>
      <c r="H284" s="191">
        <f xml:space="preserve"> SUM(J284:CV284)</f>
        <v>0</v>
      </c>
      <c r="J284" s="191">
        <f t="shared" ref="J284:AO284" si="728">SUM(J281:J282) * J283</f>
        <v>0</v>
      </c>
      <c r="K284" s="191">
        <f t="shared" si="728"/>
        <v>0</v>
      </c>
      <c r="L284" s="191">
        <f t="shared" si="728"/>
        <v>0</v>
      </c>
      <c r="M284" s="191">
        <f t="shared" si="728"/>
        <v>0</v>
      </c>
      <c r="N284" s="191">
        <f t="shared" si="728"/>
        <v>0</v>
      </c>
      <c r="O284" s="191">
        <f t="shared" si="728"/>
        <v>-2942.2107868979674</v>
      </c>
      <c r="P284" s="191">
        <f t="shared" si="728"/>
        <v>-48.765924644716506</v>
      </c>
      <c r="Q284" s="191">
        <f t="shared" si="728"/>
        <v>76.398725765154268</v>
      </c>
      <c r="R284" s="191">
        <f t="shared" si="728"/>
        <v>-48.307922416201109</v>
      </c>
      <c r="S284" s="191">
        <f t="shared" si="728"/>
        <v>76.323888706903745</v>
      </c>
      <c r="T284" s="191">
        <f t="shared" si="728"/>
        <v>-47.843569383759132</v>
      </c>
      <c r="U284" s="191">
        <f t="shared" si="728"/>
        <v>76.250758464559112</v>
      </c>
      <c r="V284" s="191">
        <f t="shared" si="728"/>
        <v>-31.40829483962716</v>
      </c>
      <c r="W284" s="191">
        <f t="shared" si="728"/>
        <v>60.214925701877291</v>
      </c>
      <c r="X284" s="191">
        <f t="shared" si="728"/>
        <v>-46.895274025585422</v>
      </c>
      <c r="Y284" s="191">
        <f t="shared" si="728"/>
        <v>76.109730277243216</v>
      </c>
      <c r="Z284" s="191">
        <f t="shared" si="728"/>
        <v>-46.411056518652913</v>
      </c>
      <c r="AA284" s="191">
        <f t="shared" si="728"/>
        <v>76.041889694531164</v>
      </c>
      <c r="AB284" s="191">
        <f t="shared" si="728"/>
        <v>-45.919937736734937</v>
      </c>
      <c r="AC284" s="191">
        <f t="shared" si="728"/>
        <v>75.975870675257283</v>
      </c>
      <c r="AD284" s="191">
        <f t="shared" si="728"/>
        <v>-30.114801947007436</v>
      </c>
      <c r="AE284" s="191">
        <f t="shared" si="728"/>
        <v>60.604732234822222</v>
      </c>
      <c r="AF284" s="191">
        <f t="shared" si="728"/>
        <v>-44.916415141821744</v>
      </c>
      <c r="AG284" s="191">
        <f t="shared" si="728"/>
        <v>75.849418627566592</v>
      </c>
      <c r="AH284" s="191">
        <f t="shared" si="728"/>
        <v>-44.403713426588183</v>
      </c>
      <c r="AI284" s="191">
        <f t="shared" si="728"/>
        <v>75.789047805285009</v>
      </c>
      <c r="AJ284" s="191">
        <f t="shared" si="728"/>
        <v>-43.883514514232957</v>
      </c>
      <c r="AK284" s="191">
        <f t="shared" si="728"/>
        <v>75.730622983678586</v>
      </c>
      <c r="AL284" s="191">
        <f t="shared" si="728"/>
        <v>-28.744962643471808</v>
      </c>
      <c r="AM284" s="191">
        <f t="shared" si="728"/>
        <v>61.063477634055744</v>
      </c>
      <c r="AN284" s="191">
        <f t="shared" si="728"/>
        <v>-42.819995893350097</v>
      </c>
      <c r="AO284" s="191">
        <f t="shared" si="728"/>
        <v>75.619742872813731</v>
      </c>
      <c r="AP284" s="191">
        <f t="shared" ref="AP284:BU284" si="729">SUM(AP281:AP282) * AP283</f>
        <v>-42.276353678219493</v>
      </c>
      <c r="AQ284" s="191">
        <f t="shared" si="729"/>
        <v>75.56735503285563</v>
      </c>
      <c r="AR284" s="191">
        <f t="shared" si="729"/>
        <v>-41.724569125380185</v>
      </c>
      <c r="AS284" s="191">
        <f t="shared" si="729"/>
        <v>75.517048119184437</v>
      </c>
      <c r="AT284" s="191">
        <f t="shared" si="729"/>
        <v>-27.292196244370643</v>
      </c>
      <c r="AU284" s="191">
        <f t="shared" si="729"/>
        <v>61.596581057702679</v>
      </c>
      <c r="AV284" s="191">
        <f t="shared" si="729"/>
        <v>-40.595891824711543</v>
      </c>
      <c r="AW284" s="191">
        <f t="shared" si="729"/>
        <v>75.422819674129641</v>
      </c>
      <c r="AX284" s="191">
        <f t="shared" si="729"/>
        <v>-40.018649926655598</v>
      </c>
      <c r="AY284" s="191">
        <f t="shared" si="729"/>
        <v>75.378971267460656</v>
      </c>
      <c r="AZ284" s="191">
        <f t="shared" si="729"/>
        <v>-39.432567252496483</v>
      </c>
      <c r="BA284" s="191">
        <f t="shared" si="729"/>
        <v>75.337350065727151</v>
      </c>
      <c r="BB284" s="191">
        <f t="shared" si="729"/>
        <v>2343.1934414207426</v>
      </c>
      <c r="BC284" s="191">
        <f t="shared" si="729"/>
        <v>0</v>
      </c>
      <c r="BD284" s="191">
        <f t="shared" si="729"/>
        <v>0</v>
      </c>
      <c r="BE284" s="191">
        <f t="shared" si="729"/>
        <v>0</v>
      </c>
      <c r="BF284" s="191">
        <f t="shared" si="729"/>
        <v>0</v>
      </c>
      <c r="BG284" s="191">
        <f t="shared" si="729"/>
        <v>0</v>
      </c>
      <c r="BH284" s="191">
        <f t="shared" si="729"/>
        <v>0</v>
      </c>
      <c r="BI284" s="191">
        <f t="shared" si="729"/>
        <v>0</v>
      </c>
      <c r="BJ284" s="191">
        <f t="shared" si="729"/>
        <v>0</v>
      </c>
      <c r="BK284" s="191">
        <f t="shared" si="729"/>
        <v>0</v>
      </c>
      <c r="BL284" s="191">
        <f t="shared" si="729"/>
        <v>0</v>
      </c>
      <c r="BM284" s="191">
        <f t="shared" si="729"/>
        <v>0</v>
      </c>
      <c r="BN284" s="191">
        <f t="shared" si="729"/>
        <v>0</v>
      </c>
      <c r="BO284" s="191">
        <f t="shared" si="729"/>
        <v>0</v>
      </c>
      <c r="BP284" s="191">
        <f t="shared" si="729"/>
        <v>0</v>
      </c>
      <c r="BQ284" s="191">
        <f t="shared" si="729"/>
        <v>0</v>
      </c>
      <c r="BR284" s="191">
        <f t="shared" si="729"/>
        <v>0</v>
      </c>
      <c r="BS284" s="191">
        <f t="shared" si="729"/>
        <v>0</v>
      </c>
      <c r="BT284" s="191">
        <f t="shared" si="729"/>
        <v>0</v>
      </c>
      <c r="BU284" s="191">
        <f t="shared" si="729"/>
        <v>0</v>
      </c>
      <c r="BV284" s="191">
        <f t="shared" ref="BV284:CV284" si="730">SUM(BV281:BV282) * BV283</f>
        <v>0</v>
      </c>
      <c r="BW284" s="191">
        <f t="shared" si="730"/>
        <v>0</v>
      </c>
      <c r="BX284" s="191">
        <f t="shared" si="730"/>
        <v>0</v>
      </c>
      <c r="BY284" s="191">
        <f t="shared" si="730"/>
        <v>0</v>
      </c>
      <c r="BZ284" s="191">
        <f t="shared" si="730"/>
        <v>0</v>
      </c>
      <c r="CA284" s="191">
        <f t="shared" si="730"/>
        <v>0</v>
      </c>
      <c r="CB284" s="191">
        <f t="shared" si="730"/>
        <v>0</v>
      </c>
      <c r="CC284" s="191">
        <f t="shared" si="730"/>
        <v>0</v>
      </c>
      <c r="CD284" s="191">
        <f t="shared" si="730"/>
        <v>0</v>
      </c>
      <c r="CE284" s="191">
        <f t="shared" si="730"/>
        <v>0</v>
      </c>
      <c r="CF284" s="191">
        <f t="shared" si="730"/>
        <v>0</v>
      </c>
      <c r="CG284" s="191">
        <f t="shared" si="730"/>
        <v>0</v>
      </c>
      <c r="CH284" s="191">
        <f t="shared" si="730"/>
        <v>0</v>
      </c>
      <c r="CI284" s="191">
        <f t="shared" si="730"/>
        <v>0</v>
      </c>
      <c r="CJ284" s="191">
        <f t="shared" si="730"/>
        <v>0</v>
      </c>
      <c r="CK284" s="191">
        <f t="shared" si="730"/>
        <v>0</v>
      </c>
      <c r="CL284" s="191">
        <f t="shared" si="730"/>
        <v>0</v>
      </c>
      <c r="CM284" s="191">
        <f t="shared" si="730"/>
        <v>0</v>
      </c>
      <c r="CN284" s="191">
        <f t="shared" si="730"/>
        <v>0</v>
      </c>
      <c r="CO284" s="191">
        <f t="shared" si="730"/>
        <v>0</v>
      </c>
      <c r="CP284" s="191">
        <f t="shared" si="730"/>
        <v>0</v>
      </c>
      <c r="CQ284" s="191">
        <f t="shared" si="730"/>
        <v>0</v>
      </c>
      <c r="CR284" s="191">
        <f t="shared" si="730"/>
        <v>0</v>
      </c>
      <c r="CS284" s="191">
        <f t="shared" si="730"/>
        <v>0</v>
      </c>
      <c r="CT284" s="191">
        <f t="shared" si="730"/>
        <v>0</v>
      </c>
      <c r="CU284" s="191">
        <f t="shared" si="730"/>
        <v>0</v>
      </c>
      <c r="CV284" s="191">
        <f t="shared" si="730"/>
        <v>0</v>
      </c>
    </row>
    <row r="285" spans="1:100" outlineLevel="1" x14ac:dyDescent="0.2">
      <c r="A285" s="236"/>
      <c r="B285" s="236"/>
      <c r="C285" s="237"/>
      <c r="D285" s="238"/>
      <c r="E285" s="235"/>
      <c r="F285" s="235"/>
      <c r="G285" s="235"/>
      <c r="H285" s="235"/>
      <c r="I285" s="235"/>
      <c r="J285" s="235"/>
      <c r="K285" s="235"/>
      <c r="L285" s="235"/>
      <c r="M285" s="235"/>
      <c r="N285" s="235"/>
      <c r="O285" s="235"/>
      <c r="P285" s="235"/>
      <c r="Q285" s="235"/>
      <c r="R285" s="235"/>
      <c r="S285" s="235"/>
      <c r="T285" s="235"/>
      <c r="U285" s="235"/>
      <c r="V285" s="235"/>
      <c r="W285" s="235"/>
      <c r="X285" s="235"/>
      <c r="Y285" s="235"/>
      <c r="Z285" s="235"/>
      <c r="AA285" s="235"/>
      <c r="AB285" s="235"/>
      <c r="AC285" s="235"/>
      <c r="AD285" s="235"/>
      <c r="AE285" s="235"/>
      <c r="AF285" s="235"/>
      <c r="AG285" s="235"/>
      <c r="AH285" s="235"/>
      <c r="AI285" s="235"/>
      <c r="AJ285" s="235"/>
      <c r="AK285" s="235"/>
      <c r="AL285" s="235"/>
      <c r="AM285" s="235"/>
      <c r="AN285" s="235"/>
      <c r="AO285" s="235"/>
      <c r="AP285" s="235"/>
      <c r="AQ285" s="235"/>
      <c r="AR285" s="235"/>
      <c r="AS285" s="235"/>
      <c r="AT285" s="235"/>
      <c r="AU285" s="235"/>
      <c r="AV285" s="235"/>
      <c r="AW285" s="235"/>
      <c r="AX285" s="235"/>
      <c r="AY285" s="235"/>
      <c r="AZ285" s="235"/>
      <c r="BA285" s="235"/>
      <c r="BB285" s="235"/>
      <c r="BC285" s="235"/>
      <c r="BD285" s="235"/>
      <c r="BE285" s="235"/>
      <c r="BF285" s="235"/>
      <c r="BG285" s="235"/>
      <c r="BH285" s="235"/>
      <c r="BI285" s="235"/>
      <c r="BJ285" s="235"/>
      <c r="BK285" s="235"/>
      <c r="BL285" s="235"/>
      <c r="BM285" s="235"/>
      <c r="BN285" s="235"/>
      <c r="BO285" s="235"/>
      <c r="BP285" s="235"/>
      <c r="BQ285" s="235"/>
      <c r="BR285" s="235"/>
      <c r="BS285" s="235"/>
      <c r="BT285" s="235"/>
      <c r="BU285" s="235"/>
      <c r="BV285" s="235"/>
      <c r="BW285" s="235"/>
      <c r="BX285" s="235"/>
      <c r="BY285" s="235"/>
      <c r="BZ285" s="235"/>
      <c r="CA285" s="235"/>
      <c r="CB285" s="235"/>
      <c r="CC285" s="235"/>
      <c r="CD285" s="235"/>
      <c r="CE285" s="235"/>
      <c r="CF285" s="235"/>
      <c r="CG285" s="235"/>
      <c r="CH285" s="235"/>
      <c r="CI285" s="235"/>
      <c r="CJ285" s="235"/>
      <c r="CK285" s="235"/>
      <c r="CL285" s="235"/>
      <c r="CM285" s="235"/>
      <c r="CN285" s="235"/>
      <c r="CO285" s="235"/>
      <c r="CP285" s="235"/>
      <c r="CQ285" s="235"/>
      <c r="CR285" s="235"/>
      <c r="CS285" s="235"/>
      <c r="CT285" s="235"/>
      <c r="CU285" s="235"/>
      <c r="CV285" s="235"/>
    </row>
    <row r="286" spans="1:100" outlineLevel="1" x14ac:dyDescent="0.2">
      <c r="A286" s="236"/>
      <c r="B286" s="236"/>
      <c r="C286" s="237"/>
      <c r="D286" s="238"/>
      <c r="E286" s="32" t="str">
        <f t="shared" ref="E286:AJ286" si="731" xml:space="preserve"> E$284</f>
        <v>Decrease / (increase) in working capital - P99</v>
      </c>
      <c r="F286" s="32">
        <f t="shared" si="731"/>
        <v>0</v>
      </c>
      <c r="G286" s="32" t="str">
        <f t="shared" si="731"/>
        <v>$ 000s</v>
      </c>
      <c r="H286" s="32">
        <f t="shared" si="731"/>
        <v>0</v>
      </c>
      <c r="I286" s="32">
        <f t="shared" si="731"/>
        <v>0</v>
      </c>
      <c r="J286" s="32">
        <f t="shared" si="731"/>
        <v>0</v>
      </c>
      <c r="K286" s="32">
        <f t="shared" si="731"/>
        <v>0</v>
      </c>
      <c r="L286" s="32">
        <f t="shared" si="731"/>
        <v>0</v>
      </c>
      <c r="M286" s="32">
        <f t="shared" si="731"/>
        <v>0</v>
      </c>
      <c r="N286" s="32">
        <f t="shared" si="731"/>
        <v>0</v>
      </c>
      <c r="O286" s="32">
        <f t="shared" si="731"/>
        <v>-2942.2107868979674</v>
      </c>
      <c r="P286" s="32">
        <f t="shared" si="731"/>
        <v>-48.765924644716506</v>
      </c>
      <c r="Q286" s="32">
        <f t="shared" si="731"/>
        <v>76.398725765154268</v>
      </c>
      <c r="R286" s="32">
        <f t="shared" si="731"/>
        <v>-48.307922416201109</v>
      </c>
      <c r="S286" s="32">
        <f t="shared" si="731"/>
        <v>76.323888706903745</v>
      </c>
      <c r="T286" s="32">
        <f t="shared" si="731"/>
        <v>-47.843569383759132</v>
      </c>
      <c r="U286" s="32">
        <f t="shared" si="731"/>
        <v>76.250758464559112</v>
      </c>
      <c r="V286" s="32">
        <f t="shared" si="731"/>
        <v>-31.40829483962716</v>
      </c>
      <c r="W286" s="32">
        <f t="shared" si="731"/>
        <v>60.214925701877291</v>
      </c>
      <c r="X286" s="32">
        <f t="shared" si="731"/>
        <v>-46.895274025585422</v>
      </c>
      <c r="Y286" s="32">
        <f t="shared" si="731"/>
        <v>76.109730277243216</v>
      </c>
      <c r="Z286" s="32">
        <f t="shared" si="731"/>
        <v>-46.411056518652913</v>
      </c>
      <c r="AA286" s="32">
        <f t="shared" si="731"/>
        <v>76.041889694531164</v>
      </c>
      <c r="AB286" s="32">
        <f t="shared" si="731"/>
        <v>-45.919937736734937</v>
      </c>
      <c r="AC286" s="32">
        <f t="shared" si="731"/>
        <v>75.975870675257283</v>
      </c>
      <c r="AD286" s="32">
        <f t="shared" si="731"/>
        <v>-30.114801947007436</v>
      </c>
      <c r="AE286" s="32">
        <f t="shared" si="731"/>
        <v>60.604732234822222</v>
      </c>
      <c r="AF286" s="32">
        <f t="shared" si="731"/>
        <v>-44.916415141821744</v>
      </c>
      <c r="AG286" s="32">
        <f t="shared" si="731"/>
        <v>75.849418627566592</v>
      </c>
      <c r="AH286" s="32">
        <f t="shared" si="731"/>
        <v>-44.403713426588183</v>
      </c>
      <c r="AI286" s="32">
        <f t="shared" si="731"/>
        <v>75.789047805285009</v>
      </c>
      <c r="AJ286" s="32">
        <f t="shared" si="731"/>
        <v>-43.883514514232957</v>
      </c>
      <c r="AK286" s="32">
        <f t="shared" ref="AK286:BP286" si="732" xml:space="preserve"> AK$284</f>
        <v>75.730622983678586</v>
      </c>
      <c r="AL286" s="32">
        <f t="shared" si="732"/>
        <v>-28.744962643471808</v>
      </c>
      <c r="AM286" s="32">
        <f t="shared" si="732"/>
        <v>61.063477634055744</v>
      </c>
      <c r="AN286" s="32">
        <f t="shared" si="732"/>
        <v>-42.819995893350097</v>
      </c>
      <c r="AO286" s="32">
        <f t="shared" si="732"/>
        <v>75.619742872813731</v>
      </c>
      <c r="AP286" s="32">
        <f t="shared" si="732"/>
        <v>-42.276353678219493</v>
      </c>
      <c r="AQ286" s="32">
        <f t="shared" si="732"/>
        <v>75.56735503285563</v>
      </c>
      <c r="AR286" s="32">
        <f t="shared" si="732"/>
        <v>-41.724569125380185</v>
      </c>
      <c r="AS286" s="32">
        <f t="shared" si="732"/>
        <v>75.517048119184437</v>
      </c>
      <c r="AT286" s="32">
        <f t="shared" si="732"/>
        <v>-27.292196244370643</v>
      </c>
      <c r="AU286" s="32">
        <f t="shared" si="732"/>
        <v>61.596581057702679</v>
      </c>
      <c r="AV286" s="32">
        <f t="shared" si="732"/>
        <v>-40.595891824711543</v>
      </c>
      <c r="AW286" s="32">
        <f t="shared" si="732"/>
        <v>75.422819674129641</v>
      </c>
      <c r="AX286" s="32">
        <f t="shared" si="732"/>
        <v>-40.018649926655598</v>
      </c>
      <c r="AY286" s="32">
        <f t="shared" si="732"/>
        <v>75.378971267460656</v>
      </c>
      <c r="AZ286" s="32">
        <f t="shared" si="732"/>
        <v>-39.432567252496483</v>
      </c>
      <c r="BA286" s="32">
        <f t="shared" si="732"/>
        <v>75.337350065727151</v>
      </c>
      <c r="BB286" s="32">
        <f t="shared" si="732"/>
        <v>2343.1934414207426</v>
      </c>
      <c r="BC286" s="32">
        <f t="shared" si="732"/>
        <v>0</v>
      </c>
      <c r="BD286" s="32">
        <f t="shared" si="732"/>
        <v>0</v>
      </c>
      <c r="BE286" s="32">
        <f t="shared" si="732"/>
        <v>0</v>
      </c>
      <c r="BF286" s="32">
        <f t="shared" si="732"/>
        <v>0</v>
      </c>
      <c r="BG286" s="32">
        <f t="shared" si="732"/>
        <v>0</v>
      </c>
      <c r="BH286" s="32">
        <f t="shared" si="732"/>
        <v>0</v>
      </c>
      <c r="BI286" s="32">
        <f t="shared" si="732"/>
        <v>0</v>
      </c>
      <c r="BJ286" s="32">
        <f t="shared" si="732"/>
        <v>0</v>
      </c>
      <c r="BK286" s="32">
        <f t="shared" si="732"/>
        <v>0</v>
      </c>
      <c r="BL286" s="32">
        <f t="shared" si="732"/>
        <v>0</v>
      </c>
      <c r="BM286" s="32">
        <f t="shared" si="732"/>
        <v>0</v>
      </c>
      <c r="BN286" s="32">
        <f t="shared" si="732"/>
        <v>0</v>
      </c>
      <c r="BO286" s="32">
        <f t="shared" si="732"/>
        <v>0</v>
      </c>
      <c r="BP286" s="32">
        <f t="shared" si="732"/>
        <v>0</v>
      </c>
      <c r="BQ286" s="32">
        <f t="shared" ref="BQ286:CV286" si="733" xml:space="preserve"> BQ$284</f>
        <v>0</v>
      </c>
      <c r="BR286" s="32">
        <f t="shared" si="733"/>
        <v>0</v>
      </c>
      <c r="BS286" s="32">
        <f t="shared" si="733"/>
        <v>0</v>
      </c>
      <c r="BT286" s="32">
        <f t="shared" si="733"/>
        <v>0</v>
      </c>
      <c r="BU286" s="32">
        <f t="shared" si="733"/>
        <v>0</v>
      </c>
      <c r="BV286" s="32">
        <f t="shared" si="733"/>
        <v>0</v>
      </c>
      <c r="BW286" s="32">
        <f t="shared" si="733"/>
        <v>0</v>
      </c>
      <c r="BX286" s="32">
        <f t="shared" si="733"/>
        <v>0</v>
      </c>
      <c r="BY286" s="32">
        <f t="shared" si="733"/>
        <v>0</v>
      </c>
      <c r="BZ286" s="32">
        <f t="shared" si="733"/>
        <v>0</v>
      </c>
      <c r="CA286" s="32">
        <f t="shared" si="733"/>
        <v>0</v>
      </c>
      <c r="CB286" s="32">
        <f t="shared" si="733"/>
        <v>0</v>
      </c>
      <c r="CC286" s="32">
        <f t="shared" si="733"/>
        <v>0</v>
      </c>
      <c r="CD286" s="32">
        <f t="shared" si="733"/>
        <v>0</v>
      </c>
      <c r="CE286" s="32">
        <f t="shared" si="733"/>
        <v>0</v>
      </c>
      <c r="CF286" s="32">
        <f t="shared" si="733"/>
        <v>0</v>
      </c>
      <c r="CG286" s="32">
        <f t="shared" si="733"/>
        <v>0</v>
      </c>
      <c r="CH286" s="32">
        <f t="shared" si="733"/>
        <v>0</v>
      </c>
      <c r="CI286" s="32">
        <f t="shared" si="733"/>
        <v>0</v>
      </c>
      <c r="CJ286" s="32">
        <f t="shared" si="733"/>
        <v>0</v>
      </c>
      <c r="CK286" s="32">
        <f t="shared" si="733"/>
        <v>0</v>
      </c>
      <c r="CL286" s="32">
        <f t="shared" si="733"/>
        <v>0</v>
      </c>
      <c r="CM286" s="32">
        <f t="shared" si="733"/>
        <v>0</v>
      </c>
      <c r="CN286" s="32">
        <f t="shared" si="733"/>
        <v>0</v>
      </c>
      <c r="CO286" s="32">
        <f t="shared" si="733"/>
        <v>0</v>
      </c>
      <c r="CP286" s="32">
        <f t="shared" si="733"/>
        <v>0</v>
      </c>
      <c r="CQ286" s="32">
        <f t="shared" si="733"/>
        <v>0</v>
      </c>
      <c r="CR286" s="32">
        <f t="shared" si="733"/>
        <v>0</v>
      </c>
      <c r="CS286" s="32">
        <f t="shared" si="733"/>
        <v>0</v>
      </c>
      <c r="CT286" s="32">
        <f t="shared" si="733"/>
        <v>0</v>
      </c>
      <c r="CU286" s="32">
        <f t="shared" si="733"/>
        <v>0</v>
      </c>
      <c r="CV286" s="32">
        <f t="shared" si="733"/>
        <v>0</v>
      </c>
    </row>
    <row r="287" spans="1:100" outlineLevel="1" x14ac:dyDescent="0.2">
      <c r="A287" s="236"/>
      <c r="B287" s="236"/>
      <c r="C287" s="237"/>
      <c r="D287" s="238"/>
      <c r="E287" s="32" t="s">
        <v>1179</v>
      </c>
      <c r="F287" s="32"/>
      <c r="G287" s="32" t="str">
        <f xml:space="preserve"> SMU</f>
        <v>$ 000s</v>
      </c>
      <c r="H287" s="32">
        <f xml:space="preserve"> SUM(J287:CV287)</f>
        <v>3723.9863980815508</v>
      </c>
      <c r="I287" s="32"/>
      <c r="J287" s="32">
        <f t="shared" ref="J287:AO287" si="734" xml:space="preserve"> -1 * MIN(0, J286)</f>
        <v>0</v>
      </c>
      <c r="K287" s="32">
        <f t="shared" si="734"/>
        <v>0</v>
      </c>
      <c r="L287" s="32">
        <f t="shared" si="734"/>
        <v>0</v>
      </c>
      <c r="M287" s="32">
        <f t="shared" si="734"/>
        <v>0</v>
      </c>
      <c r="N287" s="32">
        <f t="shared" si="734"/>
        <v>0</v>
      </c>
      <c r="O287" s="32">
        <f t="shared" si="734"/>
        <v>2942.2107868979674</v>
      </c>
      <c r="P287" s="32">
        <f t="shared" si="734"/>
        <v>48.765924644716506</v>
      </c>
      <c r="Q287" s="32">
        <f t="shared" si="734"/>
        <v>0</v>
      </c>
      <c r="R287" s="32">
        <f t="shared" si="734"/>
        <v>48.307922416201109</v>
      </c>
      <c r="S287" s="32">
        <f t="shared" si="734"/>
        <v>0</v>
      </c>
      <c r="T287" s="32">
        <f t="shared" si="734"/>
        <v>47.843569383759132</v>
      </c>
      <c r="U287" s="32">
        <f t="shared" si="734"/>
        <v>0</v>
      </c>
      <c r="V287" s="32">
        <f t="shared" si="734"/>
        <v>31.40829483962716</v>
      </c>
      <c r="W287" s="32">
        <f t="shared" si="734"/>
        <v>0</v>
      </c>
      <c r="X287" s="32">
        <f t="shared" si="734"/>
        <v>46.895274025585422</v>
      </c>
      <c r="Y287" s="32">
        <f t="shared" si="734"/>
        <v>0</v>
      </c>
      <c r="Z287" s="32">
        <f t="shared" si="734"/>
        <v>46.411056518652913</v>
      </c>
      <c r="AA287" s="32">
        <f t="shared" si="734"/>
        <v>0</v>
      </c>
      <c r="AB287" s="32">
        <f t="shared" si="734"/>
        <v>45.919937736734937</v>
      </c>
      <c r="AC287" s="32">
        <f t="shared" si="734"/>
        <v>0</v>
      </c>
      <c r="AD287" s="32">
        <f t="shared" si="734"/>
        <v>30.114801947007436</v>
      </c>
      <c r="AE287" s="32">
        <f t="shared" si="734"/>
        <v>0</v>
      </c>
      <c r="AF287" s="32">
        <f t="shared" si="734"/>
        <v>44.916415141821744</v>
      </c>
      <c r="AG287" s="32">
        <f t="shared" si="734"/>
        <v>0</v>
      </c>
      <c r="AH287" s="32">
        <f t="shared" si="734"/>
        <v>44.403713426588183</v>
      </c>
      <c r="AI287" s="32">
        <f t="shared" si="734"/>
        <v>0</v>
      </c>
      <c r="AJ287" s="32">
        <f t="shared" si="734"/>
        <v>43.883514514232957</v>
      </c>
      <c r="AK287" s="32">
        <f t="shared" si="734"/>
        <v>0</v>
      </c>
      <c r="AL287" s="32">
        <f t="shared" si="734"/>
        <v>28.744962643471808</v>
      </c>
      <c r="AM287" s="32">
        <f t="shared" si="734"/>
        <v>0</v>
      </c>
      <c r="AN287" s="32">
        <f t="shared" si="734"/>
        <v>42.819995893350097</v>
      </c>
      <c r="AO287" s="32">
        <f t="shared" si="734"/>
        <v>0</v>
      </c>
      <c r="AP287" s="32">
        <f t="shared" ref="AP287:BU287" si="735" xml:space="preserve"> -1 * MIN(0, AP286)</f>
        <v>42.276353678219493</v>
      </c>
      <c r="AQ287" s="32">
        <f t="shared" si="735"/>
        <v>0</v>
      </c>
      <c r="AR287" s="32">
        <f t="shared" si="735"/>
        <v>41.724569125380185</v>
      </c>
      <c r="AS287" s="32">
        <f t="shared" si="735"/>
        <v>0</v>
      </c>
      <c r="AT287" s="32">
        <f t="shared" si="735"/>
        <v>27.292196244370643</v>
      </c>
      <c r="AU287" s="32">
        <f t="shared" si="735"/>
        <v>0</v>
      </c>
      <c r="AV287" s="32">
        <f t="shared" si="735"/>
        <v>40.595891824711543</v>
      </c>
      <c r="AW287" s="32">
        <f t="shared" si="735"/>
        <v>0</v>
      </c>
      <c r="AX287" s="32">
        <f t="shared" si="735"/>
        <v>40.018649926655598</v>
      </c>
      <c r="AY287" s="32">
        <f t="shared" si="735"/>
        <v>0</v>
      </c>
      <c r="AZ287" s="32">
        <f t="shared" si="735"/>
        <v>39.432567252496483</v>
      </c>
      <c r="BA287" s="32">
        <f t="shared" si="735"/>
        <v>0</v>
      </c>
      <c r="BB287" s="32">
        <f t="shared" si="735"/>
        <v>0</v>
      </c>
      <c r="BC287" s="32">
        <f t="shared" si="735"/>
        <v>0</v>
      </c>
      <c r="BD287" s="32">
        <f t="shared" si="735"/>
        <v>0</v>
      </c>
      <c r="BE287" s="32">
        <f t="shared" si="735"/>
        <v>0</v>
      </c>
      <c r="BF287" s="32">
        <f t="shared" si="735"/>
        <v>0</v>
      </c>
      <c r="BG287" s="32">
        <f t="shared" si="735"/>
        <v>0</v>
      </c>
      <c r="BH287" s="32">
        <f t="shared" si="735"/>
        <v>0</v>
      </c>
      <c r="BI287" s="32">
        <f t="shared" si="735"/>
        <v>0</v>
      </c>
      <c r="BJ287" s="32">
        <f t="shared" si="735"/>
        <v>0</v>
      </c>
      <c r="BK287" s="32">
        <f t="shared" si="735"/>
        <v>0</v>
      </c>
      <c r="BL287" s="32">
        <f t="shared" si="735"/>
        <v>0</v>
      </c>
      <c r="BM287" s="32">
        <f t="shared" si="735"/>
        <v>0</v>
      </c>
      <c r="BN287" s="32">
        <f t="shared" si="735"/>
        <v>0</v>
      </c>
      <c r="BO287" s="32">
        <f t="shared" si="735"/>
        <v>0</v>
      </c>
      <c r="BP287" s="32">
        <f t="shared" si="735"/>
        <v>0</v>
      </c>
      <c r="BQ287" s="32">
        <f t="shared" si="735"/>
        <v>0</v>
      </c>
      <c r="BR287" s="32">
        <f t="shared" si="735"/>
        <v>0</v>
      </c>
      <c r="BS287" s="32">
        <f t="shared" si="735"/>
        <v>0</v>
      </c>
      <c r="BT287" s="32">
        <f t="shared" si="735"/>
        <v>0</v>
      </c>
      <c r="BU287" s="32">
        <f t="shared" si="735"/>
        <v>0</v>
      </c>
      <c r="BV287" s="32">
        <f t="shared" ref="BV287:CV287" si="736" xml:space="preserve"> -1 * MIN(0, BV286)</f>
        <v>0</v>
      </c>
      <c r="BW287" s="32">
        <f t="shared" si="736"/>
        <v>0</v>
      </c>
      <c r="BX287" s="32">
        <f t="shared" si="736"/>
        <v>0</v>
      </c>
      <c r="BY287" s="32">
        <f t="shared" si="736"/>
        <v>0</v>
      </c>
      <c r="BZ287" s="32">
        <f t="shared" si="736"/>
        <v>0</v>
      </c>
      <c r="CA287" s="32">
        <f t="shared" si="736"/>
        <v>0</v>
      </c>
      <c r="CB287" s="32">
        <f t="shared" si="736"/>
        <v>0</v>
      </c>
      <c r="CC287" s="32">
        <f t="shared" si="736"/>
        <v>0</v>
      </c>
      <c r="CD287" s="32">
        <f t="shared" si="736"/>
        <v>0</v>
      </c>
      <c r="CE287" s="32">
        <f t="shared" si="736"/>
        <v>0</v>
      </c>
      <c r="CF287" s="32">
        <f t="shared" si="736"/>
        <v>0</v>
      </c>
      <c r="CG287" s="32">
        <f t="shared" si="736"/>
        <v>0</v>
      </c>
      <c r="CH287" s="32">
        <f t="shared" si="736"/>
        <v>0</v>
      </c>
      <c r="CI287" s="32">
        <f t="shared" si="736"/>
        <v>0</v>
      </c>
      <c r="CJ287" s="32">
        <f t="shared" si="736"/>
        <v>0</v>
      </c>
      <c r="CK287" s="32">
        <f t="shared" si="736"/>
        <v>0</v>
      </c>
      <c r="CL287" s="32">
        <f t="shared" si="736"/>
        <v>0</v>
      </c>
      <c r="CM287" s="32">
        <f t="shared" si="736"/>
        <v>0</v>
      </c>
      <c r="CN287" s="32">
        <f t="shared" si="736"/>
        <v>0</v>
      </c>
      <c r="CO287" s="32">
        <f t="shared" si="736"/>
        <v>0</v>
      </c>
      <c r="CP287" s="32">
        <f t="shared" si="736"/>
        <v>0</v>
      </c>
      <c r="CQ287" s="32">
        <f t="shared" si="736"/>
        <v>0</v>
      </c>
      <c r="CR287" s="32">
        <f t="shared" si="736"/>
        <v>0</v>
      </c>
      <c r="CS287" s="32">
        <f t="shared" si="736"/>
        <v>0</v>
      </c>
      <c r="CT287" s="32">
        <f t="shared" si="736"/>
        <v>0</v>
      </c>
      <c r="CU287" s="32">
        <f t="shared" si="736"/>
        <v>0</v>
      </c>
      <c r="CV287" s="32">
        <f t="shared" si="736"/>
        <v>0</v>
      </c>
    </row>
    <row r="288" spans="1:100" outlineLevel="1" x14ac:dyDescent="0.2">
      <c r="A288" s="236"/>
      <c r="B288" s="236"/>
      <c r="C288" s="237"/>
      <c r="D288" s="238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235"/>
      <c r="P288" s="235"/>
      <c r="Q288" s="235"/>
      <c r="R288" s="235"/>
      <c r="S288" s="235"/>
      <c r="T288" s="235"/>
      <c r="U288" s="235"/>
      <c r="V288" s="235"/>
      <c r="W288" s="235"/>
      <c r="X288" s="235"/>
      <c r="Y288" s="235"/>
      <c r="Z288" s="235"/>
      <c r="AA288" s="235"/>
      <c r="AB288" s="235"/>
      <c r="AC288" s="235"/>
      <c r="AD288" s="235"/>
      <c r="AE288" s="235"/>
      <c r="AF288" s="235"/>
      <c r="AG288" s="235"/>
      <c r="AH288" s="235"/>
      <c r="AI288" s="235"/>
      <c r="AJ288" s="235"/>
      <c r="AK288" s="235"/>
      <c r="AL288" s="235"/>
      <c r="AM288" s="235"/>
      <c r="AN288" s="235"/>
      <c r="AO288" s="235"/>
      <c r="AP288" s="235"/>
      <c r="AQ288" s="235"/>
      <c r="AR288" s="235"/>
      <c r="AS288" s="235"/>
      <c r="AT288" s="235"/>
      <c r="AU288" s="235"/>
      <c r="AV288" s="235"/>
      <c r="AW288" s="235"/>
      <c r="AX288" s="235"/>
      <c r="AY288" s="235"/>
      <c r="AZ288" s="235"/>
      <c r="BA288" s="235"/>
      <c r="BB288" s="235"/>
      <c r="BC288" s="235"/>
      <c r="BD288" s="235"/>
      <c r="BE288" s="235"/>
      <c r="BF288" s="235"/>
      <c r="BG288" s="235"/>
      <c r="BH288" s="235"/>
      <c r="BI288" s="235"/>
      <c r="BJ288" s="235"/>
      <c r="BK288" s="235"/>
      <c r="BL288" s="235"/>
      <c r="BM288" s="235"/>
      <c r="BN288" s="235"/>
      <c r="BO288" s="235"/>
      <c r="BP288" s="235"/>
      <c r="BQ288" s="235"/>
      <c r="BR288" s="235"/>
      <c r="BS288" s="235"/>
      <c r="BT288" s="235"/>
      <c r="BU288" s="235"/>
      <c r="BV288" s="235"/>
      <c r="BW288" s="235"/>
      <c r="BX288" s="235"/>
      <c r="BY288" s="235"/>
      <c r="BZ288" s="235"/>
      <c r="CA288" s="235"/>
      <c r="CB288" s="235"/>
      <c r="CC288" s="235"/>
      <c r="CD288" s="235"/>
      <c r="CE288" s="235"/>
      <c r="CF288" s="235"/>
      <c r="CG288" s="235"/>
      <c r="CH288" s="235"/>
      <c r="CI288" s="235"/>
      <c r="CJ288" s="235"/>
      <c r="CK288" s="235"/>
      <c r="CL288" s="235"/>
      <c r="CM288" s="235"/>
      <c r="CN288" s="235"/>
      <c r="CO288" s="235"/>
      <c r="CP288" s="235"/>
      <c r="CQ288" s="235"/>
      <c r="CR288" s="235"/>
      <c r="CS288" s="235"/>
      <c r="CT288" s="235"/>
      <c r="CU288" s="235"/>
      <c r="CV288" s="235"/>
    </row>
    <row r="289" spans="1:100" outlineLevel="1" x14ac:dyDescent="0.2">
      <c r="A289" s="236"/>
      <c r="B289" s="236" t="s">
        <v>1180</v>
      </c>
      <c r="C289" s="237"/>
      <c r="D289" s="238"/>
      <c r="E289" s="235"/>
      <c r="F289" s="235"/>
      <c r="G289" s="235"/>
      <c r="H289" s="235"/>
      <c r="I289" s="235"/>
      <c r="J289" s="235"/>
      <c r="K289" s="235"/>
      <c r="L289" s="235"/>
      <c r="M289" s="235"/>
      <c r="N289" s="235"/>
      <c r="O289" s="235"/>
      <c r="P289" s="235"/>
      <c r="Q289" s="235"/>
      <c r="R289" s="235"/>
      <c r="S289" s="235"/>
      <c r="T289" s="235"/>
      <c r="U289" s="235"/>
      <c r="V289" s="235"/>
      <c r="W289" s="235"/>
      <c r="X289" s="235"/>
      <c r="Y289" s="235"/>
      <c r="Z289" s="235"/>
      <c r="AA289" s="235"/>
      <c r="AB289" s="235"/>
      <c r="AC289" s="235"/>
      <c r="AD289" s="235"/>
      <c r="AE289" s="235"/>
      <c r="AF289" s="235"/>
      <c r="AG289" s="235"/>
      <c r="AH289" s="235"/>
      <c r="AI289" s="235"/>
      <c r="AJ289" s="235"/>
      <c r="AK289" s="235"/>
      <c r="AL289" s="235"/>
      <c r="AM289" s="235"/>
      <c r="AN289" s="235"/>
      <c r="AO289" s="235"/>
      <c r="AP289" s="235"/>
      <c r="AQ289" s="235"/>
      <c r="AR289" s="235"/>
      <c r="AS289" s="235"/>
      <c r="AT289" s="235"/>
      <c r="AU289" s="235"/>
      <c r="AV289" s="235"/>
      <c r="AW289" s="235"/>
      <c r="AX289" s="235"/>
      <c r="AY289" s="235"/>
      <c r="AZ289" s="235"/>
      <c r="BA289" s="235"/>
      <c r="BB289" s="235"/>
      <c r="BC289" s="235"/>
      <c r="BD289" s="235"/>
      <c r="BE289" s="235"/>
      <c r="BF289" s="235"/>
      <c r="BG289" s="235"/>
      <c r="BH289" s="235"/>
      <c r="BI289" s="235"/>
      <c r="BJ289" s="235"/>
      <c r="BK289" s="235"/>
      <c r="BL289" s="235"/>
      <c r="BM289" s="235"/>
      <c r="BN289" s="235"/>
      <c r="BO289" s="235"/>
      <c r="BP289" s="235"/>
      <c r="BQ289" s="235"/>
      <c r="BR289" s="235"/>
      <c r="BS289" s="235"/>
      <c r="BT289" s="235"/>
      <c r="BU289" s="235"/>
      <c r="BV289" s="235"/>
      <c r="BW289" s="235"/>
      <c r="BX289" s="235"/>
      <c r="BY289" s="235"/>
      <c r="BZ289" s="235"/>
      <c r="CA289" s="235"/>
      <c r="CB289" s="235"/>
      <c r="CC289" s="235"/>
      <c r="CD289" s="235"/>
      <c r="CE289" s="235"/>
      <c r="CF289" s="235"/>
      <c r="CG289" s="235"/>
      <c r="CH289" s="235"/>
      <c r="CI289" s="235"/>
      <c r="CJ289" s="235"/>
      <c r="CK289" s="235"/>
      <c r="CL289" s="235"/>
      <c r="CM289" s="235"/>
      <c r="CN289" s="235"/>
      <c r="CO289" s="235"/>
      <c r="CP289" s="235"/>
      <c r="CQ289" s="235"/>
      <c r="CR289" s="235"/>
      <c r="CS289" s="235"/>
      <c r="CT289" s="235"/>
      <c r="CU289" s="235"/>
      <c r="CV289" s="235"/>
    </row>
    <row r="290" spans="1:100" outlineLevel="2" x14ac:dyDescent="0.2">
      <c r="A290" s="236"/>
      <c r="B290" s="236"/>
      <c r="C290" s="237"/>
      <c r="D290" s="238"/>
      <c r="E290" s="32" t="str">
        <f t="shared" ref="E290:AJ290" si="737" xml:space="preserve"> E$298</f>
        <v>Working capital reserve account balance - P99 BEG</v>
      </c>
      <c r="F290" s="32">
        <f t="shared" si="737"/>
        <v>0</v>
      </c>
      <c r="G290" s="32" t="str">
        <f t="shared" si="737"/>
        <v>$ 000s</v>
      </c>
      <c r="H290" s="32">
        <f t="shared" si="737"/>
        <v>0</v>
      </c>
      <c r="I290" s="32">
        <f t="shared" si="737"/>
        <v>0</v>
      </c>
      <c r="J290" s="32">
        <f t="shared" si="737"/>
        <v>0</v>
      </c>
      <c r="K290" s="32">
        <f t="shared" si="737"/>
        <v>0</v>
      </c>
      <c r="L290" s="32">
        <f t="shared" si="737"/>
        <v>0</v>
      </c>
      <c r="M290" s="32">
        <f t="shared" si="737"/>
        <v>0</v>
      </c>
      <c r="N290" s="32">
        <f t="shared" si="737"/>
        <v>0</v>
      </c>
      <c r="O290" s="32">
        <f t="shared" si="737"/>
        <v>3857.1209730037863</v>
      </c>
      <c r="P290" s="32">
        <f t="shared" si="737"/>
        <v>914.91018610581887</v>
      </c>
      <c r="Q290" s="32">
        <f t="shared" si="737"/>
        <v>866.14426146110236</v>
      </c>
      <c r="R290" s="32">
        <f t="shared" si="737"/>
        <v>866.14426146110236</v>
      </c>
      <c r="S290" s="32">
        <f t="shared" si="737"/>
        <v>817.83633904490125</v>
      </c>
      <c r="T290" s="32">
        <f t="shared" si="737"/>
        <v>817.83633904490125</v>
      </c>
      <c r="U290" s="32">
        <f t="shared" si="737"/>
        <v>769.99276966114212</v>
      </c>
      <c r="V290" s="32">
        <f t="shared" si="737"/>
        <v>769.99276966114212</v>
      </c>
      <c r="W290" s="32">
        <f t="shared" si="737"/>
        <v>738.58447482151496</v>
      </c>
      <c r="X290" s="32">
        <f t="shared" si="737"/>
        <v>738.58447482151496</v>
      </c>
      <c r="Y290" s="32">
        <f t="shared" si="737"/>
        <v>691.68920079592954</v>
      </c>
      <c r="Z290" s="32">
        <f t="shared" si="737"/>
        <v>691.68920079592954</v>
      </c>
      <c r="AA290" s="32">
        <f t="shared" si="737"/>
        <v>645.27814427727662</v>
      </c>
      <c r="AB290" s="32">
        <f t="shared" si="737"/>
        <v>645.27814427727662</v>
      </c>
      <c r="AC290" s="32">
        <f t="shared" si="737"/>
        <v>599.35820654054169</v>
      </c>
      <c r="AD290" s="32">
        <f t="shared" si="737"/>
        <v>599.35820654054169</v>
      </c>
      <c r="AE290" s="32">
        <f t="shared" si="737"/>
        <v>569.24340459353425</v>
      </c>
      <c r="AF290" s="32">
        <f t="shared" si="737"/>
        <v>569.24340459353425</v>
      </c>
      <c r="AG290" s="32">
        <f t="shared" si="737"/>
        <v>524.32698945171251</v>
      </c>
      <c r="AH290" s="32">
        <f t="shared" si="737"/>
        <v>524.32698945171251</v>
      </c>
      <c r="AI290" s="32">
        <f t="shared" si="737"/>
        <v>479.92327602512432</v>
      </c>
      <c r="AJ290" s="32">
        <f t="shared" si="737"/>
        <v>479.92327602512432</v>
      </c>
      <c r="AK290" s="32">
        <f t="shared" ref="AK290:BP290" si="738" xml:space="preserve"> AK$298</f>
        <v>436.03976151089137</v>
      </c>
      <c r="AL290" s="32">
        <f t="shared" si="738"/>
        <v>436.03976151089137</v>
      </c>
      <c r="AM290" s="32">
        <f t="shared" si="738"/>
        <v>407.29479886741956</v>
      </c>
      <c r="AN290" s="32">
        <f t="shared" si="738"/>
        <v>407.29479886741956</v>
      </c>
      <c r="AO290" s="32">
        <f t="shared" si="738"/>
        <v>364.47480297406946</v>
      </c>
      <c r="AP290" s="32">
        <f t="shared" si="738"/>
        <v>364.47480297406946</v>
      </c>
      <c r="AQ290" s="32">
        <f t="shared" si="738"/>
        <v>322.19844929584997</v>
      </c>
      <c r="AR290" s="32">
        <f t="shared" si="738"/>
        <v>322.19844929584997</v>
      </c>
      <c r="AS290" s="32">
        <f t="shared" si="738"/>
        <v>280.47388017046978</v>
      </c>
      <c r="AT290" s="32">
        <f t="shared" si="738"/>
        <v>280.47388017046978</v>
      </c>
      <c r="AU290" s="32">
        <f t="shared" si="738"/>
        <v>253.18168392609914</v>
      </c>
      <c r="AV290" s="32">
        <f t="shared" si="738"/>
        <v>253.18168392609914</v>
      </c>
      <c r="AW290" s="32">
        <f t="shared" si="738"/>
        <v>212.5857921013876</v>
      </c>
      <c r="AX290" s="32">
        <f t="shared" si="738"/>
        <v>212.5857921013876</v>
      </c>
      <c r="AY290" s="32">
        <f t="shared" si="738"/>
        <v>172.567142174732</v>
      </c>
      <c r="AZ290" s="32">
        <f t="shared" si="738"/>
        <v>172.567142174732</v>
      </c>
      <c r="BA290" s="32">
        <f t="shared" si="738"/>
        <v>133.13457492223552</v>
      </c>
      <c r="BB290" s="32">
        <f t="shared" si="738"/>
        <v>133.13457492223552</v>
      </c>
      <c r="BC290" s="32">
        <f t="shared" si="738"/>
        <v>0</v>
      </c>
      <c r="BD290" s="32">
        <f t="shared" si="738"/>
        <v>0</v>
      </c>
      <c r="BE290" s="32">
        <f t="shared" si="738"/>
        <v>0</v>
      </c>
      <c r="BF290" s="32">
        <f t="shared" si="738"/>
        <v>0</v>
      </c>
      <c r="BG290" s="32">
        <f t="shared" si="738"/>
        <v>0</v>
      </c>
      <c r="BH290" s="32">
        <f t="shared" si="738"/>
        <v>0</v>
      </c>
      <c r="BI290" s="32">
        <f t="shared" si="738"/>
        <v>0</v>
      </c>
      <c r="BJ290" s="32">
        <f t="shared" si="738"/>
        <v>0</v>
      </c>
      <c r="BK290" s="32">
        <f t="shared" si="738"/>
        <v>0</v>
      </c>
      <c r="BL290" s="32">
        <f t="shared" si="738"/>
        <v>0</v>
      </c>
      <c r="BM290" s="32">
        <f t="shared" si="738"/>
        <v>0</v>
      </c>
      <c r="BN290" s="32">
        <f t="shared" si="738"/>
        <v>0</v>
      </c>
      <c r="BO290" s="32">
        <f t="shared" si="738"/>
        <v>0</v>
      </c>
      <c r="BP290" s="32">
        <f t="shared" si="738"/>
        <v>0</v>
      </c>
      <c r="BQ290" s="32">
        <f t="shared" ref="BQ290:CV290" si="739" xml:space="preserve"> BQ$298</f>
        <v>0</v>
      </c>
      <c r="BR290" s="32">
        <f t="shared" si="739"/>
        <v>0</v>
      </c>
      <c r="BS290" s="32">
        <f t="shared" si="739"/>
        <v>0</v>
      </c>
      <c r="BT290" s="32">
        <f t="shared" si="739"/>
        <v>0</v>
      </c>
      <c r="BU290" s="32">
        <f t="shared" si="739"/>
        <v>0</v>
      </c>
      <c r="BV290" s="32">
        <f t="shared" si="739"/>
        <v>0</v>
      </c>
      <c r="BW290" s="32">
        <f t="shared" si="739"/>
        <v>0</v>
      </c>
      <c r="BX290" s="32">
        <f t="shared" si="739"/>
        <v>0</v>
      </c>
      <c r="BY290" s="32">
        <f t="shared" si="739"/>
        <v>0</v>
      </c>
      <c r="BZ290" s="32">
        <f t="shared" si="739"/>
        <v>0</v>
      </c>
      <c r="CA290" s="32">
        <f t="shared" si="739"/>
        <v>0</v>
      </c>
      <c r="CB290" s="32">
        <f t="shared" si="739"/>
        <v>0</v>
      </c>
      <c r="CC290" s="32">
        <f t="shared" si="739"/>
        <v>0</v>
      </c>
      <c r="CD290" s="32">
        <f t="shared" si="739"/>
        <v>0</v>
      </c>
      <c r="CE290" s="32">
        <f t="shared" si="739"/>
        <v>0</v>
      </c>
      <c r="CF290" s="32">
        <f t="shared" si="739"/>
        <v>0</v>
      </c>
      <c r="CG290" s="32">
        <f t="shared" si="739"/>
        <v>0</v>
      </c>
      <c r="CH290" s="32">
        <f t="shared" si="739"/>
        <v>0</v>
      </c>
      <c r="CI290" s="32">
        <f t="shared" si="739"/>
        <v>0</v>
      </c>
      <c r="CJ290" s="32">
        <f t="shared" si="739"/>
        <v>0</v>
      </c>
      <c r="CK290" s="32">
        <f t="shared" si="739"/>
        <v>0</v>
      </c>
      <c r="CL290" s="32">
        <f t="shared" si="739"/>
        <v>0</v>
      </c>
      <c r="CM290" s="32">
        <f t="shared" si="739"/>
        <v>0</v>
      </c>
      <c r="CN290" s="32">
        <f t="shared" si="739"/>
        <v>0</v>
      </c>
      <c r="CO290" s="32">
        <f t="shared" si="739"/>
        <v>0</v>
      </c>
      <c r="CP290" s="32">
        <f t="shared" si="739"/>
        <v>0</v>
      </c>
      <c r="CQ290" s="32">
        <f t="shared" si="739"/>
        <v>0</v>
      </c>
      <c r="CR290" s="32">
        <f t="shared" si="739"/>
        <v>0</v>
      </c>
      <c r="CS290" s="32">
        <f t="shared" si="739"/>
        <v>0</v>
      </c>
      <c r="CT290" s="32">
        <f t="shared" si="739"/>
        <v>0</v>
      </c>
      <c r="CU290" s="32">
        <f t="shared" si="739"/>
        <v>0</v>
      </c>
      <c r="CV290" s="32">
        <f t="shared" si="739"/>
        <v>0</v>
      </c>
    </row>
    <row r="291" spans="1:100" outlineLevel="2" x14ac:dyDescent="0.2">
      <c r="A291" s="236"/>
      <c r="B291" s="236"/>
      <c r="C291" s="237"/>
      <c r="D291" s="238"/>
      <c r="E291" s="32" t="str">
        <f t="shared" ref="E291:AJ291" si="740" xml:space="preserve"> E$287</f>
        <v>Target release from working capital reserve - P99</v>
      </c>
      <c r="F291" s="32">
        <f t="shared" si="740"/>
        <v>0</v>
      </c>
      <c r="G291" s="32" t="str">
        <f t="shared" si="740"/>
        <v>$ 000s</v>
      </c>
      <c r="H291" s="32">
        <f t="shared" si="740"/>
        <v>3723.9863980815508</v>
      </c>
      <c r="I291" s="32">
        <f t="shared" si="740"/>
        <v>0</v>
      </c>
      <c r="J291" s="32">
        <f t="shared" si="740"/>
        <v>0</v>
      </c>
      <c r="K291" s="32">
        <f t="shared" si="740"/>
        <v>0</v>
      </c>
      <c r="L291" s="32">
        <f t="shared" si="740"/>
        <v>0</v>
      </c>
      <c r="M291" s="32">
        <f t="shared" si="740"/>
        <v>0</v>
      </c>
      <c r="N291" s="32">
        <f t="shared" si="740"/>
        <v>0</v>
      </c>
      <c r="O291" s="32">
        <f t="shared" si="740"/>
        <v>2942.2107868979674</v>
      </c>
      <c r="P291" s="32">
        <f t="shared" si="740"/>
        <v>48.765924644716506</v>
      </c>
      <c r="Q291" s="32">
        <f t="shared" si="740"/>
        <v>0</v>
      </c>
      <c r="R291" s="32">
        <f t="shared" si="740"/>
        <v>48.307922416201109</v>
      </c>
      <c r="S291" s="32">
        <f t="shared" si="740"/>
        <v>0</v>
      </c>
      <c r="T291" s="32">
        <f t="shared" si="740"/>
        <v>47.843569383759132</v>
      </c>
      <c r="U291" s="32">
        <f t="shared" si="740"/>
        <v>0</v>
      </c>
      <c r="V291" s="32">
        <f t="shared" si="740"/>
        <v>31.40829483962716</v>
      </c>
      <c r="W291" s="32">
        <f t="shared" si="740"/>
        <v>0</v>
      </c>
      <c r="X291" s="32">
        <f t="shared" si="740"/>
        <v>46.895274025585422</v>
      </c>
      <c r="Y291" s="32">
        <f t="shared" si="740"/>
        <v>0</v>
      </c>
      <c r="Z291" s="32">
        <f t="shared" si="740"/>
        <v>46.411056518652913</v>
      </c>
      <c r="AA291" s="32">
        <f t="shared" si="740"/>
        <v>0</v>
      </c>
      <c r="AB291" s="32">
        <f t="shared" si="740"/>
        <v>45.919937736734937</v>
      </c>
      <c r="AC291" s="32">
        <f t="shared" si="740"/>
        <v>0</v>
      </c>
      <c r="AD291" s="32">
        <f t="shared" si="740"/>
        <v>30.114801947007436</v>
      </c>
      <c r="AE291" s="32">
        <f t="shared" si="740"/>
        <v>0</v>
      </c>
      <c r="AF291" s="32">
        <f t="shared" si="740"/>
        <v>44.916415141821744</v>
      </c>
      <c r="AG291" s="32">
        <f t="shared" si="740"/>
        <v>0</v>
      </c>
      <c r="AH291" s="32">
        <f t="shared" si="740"/>
        <v>44.403713426588183</v>
      </c>
      <c r="AI291" s="32">
        <f t="shared" si="740"/>
        <v>0</v>
      </c>
      <c r="AJ291" s="32">
        <f t="shared" si="740"/>
        <v>43.883514514232957</v>
      </c>
      <c r="AK291" s="32">
        <f t="shared" ref="AK291:BP291" si="741" xml:space="preserve"> AK$287</f>
        <v>0</v>
      </c>
      <c r="AL291" s="32">
        <f t="shared" si="741"/>
        <v>28.744962643471808</v>
      </c>
      <c r="AM291" s="32">
        <f t="shared" si="741"/>
        <v>0</v>
      </c>
      <c r="AN291" s="32">
        <f t="shared" si="741"/>
        <v>42.819995893350097</v>
      </c>
      <c r="AO291" s="32">
        <f t="shared" si="741"/>
        <v>0</v>
      </c>
      <c r="AP291" s="32">
        <f t="shared" si="741"/>
        <v>42.276353678219493</v>
      </c>
      <c r="AQ291" s="32">
        <f t="shared" si="741"/>
        <v>0</v>
      </c>
      <c r="AR291" s="32">
        <f t="shared" si="741"/>
        <v>41.724569125380185</v>
      </c>
      <c r="AS291" s="32">
        <f t="shared" si="741"/>
        <v>0</v>
      </c>
      <c r="AT291" s="32">
        <f t="shared" si="741"/>
        <v>27.292196244370643</v>
      </c>
      <c r="AU291" s="32">
        <f t="shared" si="741"/>
        <v>0</v>
      </c>
      <c r="AV291" s="32">
        <f t="shared" si="741"/>
        <v>40.595891824711543</v>
      </c>
      <c r="AW291" s="32">
        <f t="shared" si="741"/>
        <v>0</v>
      </c>
      <c r="AX291" s="32">
        <f t="shared" si="741"/>
        <v>40.018649926655598</v>
      </c>
      <c r="AY291" s="32">
        <f t="shared" si="741"/>
        <v>0</v>
      </c>
      <c r="AZ291" s="32">
        <f t="shared" si="741"/>
        <v>39.432567252496483</v>
      </c>
      <c r="BA291" s="32">
        <f t="shared" si="741"/>
        <v>0</v>
      </c>
      <c r="BB291" s="32">
        <f t="shared" si="741"/>
        <v>0</v>
      </c>
      <c r="BC291" s="32">
        <f t="shared" si="741"/>
        <v>0</v>
      </c>
      <c r="BD291" s="32">
        <f t="shared" si="741"/>
        <v>0</v>
      </c>
      <c r="BE291" s="32">
        <f t="shared" si="741"/>
        <v>0</v>
      </c>
      <c r="BF291" s="32">
        <f t="shared" si="741"/>
        <v>0</v>
      </c>
      <c r="BG291" s="32">
        <f t="shared" si="741"/>
        <v>0</v>
      </c>
      <c r="BH291" s="32">
        <f t="shared" si="741"/>
        <v>0</v>
      </c>
      <c r="BI291" s="32">
        <f t="shared" si="741"/>
        <v>0</v>
      </c>
      <c r="BJ291" s="32">
        <f t="shared" si="741"/>
        <v>0</v>
      </c>
      <c r="BK291" s="32">
        <f t="shared" si="741"/>
        <v>0</v>
      </c>
      <c r="BL291" s="32">
        <f t="shared" si="741"/>
        <v>0</v>
      </c>
      <c r="BM291" s="32">
        <f t="shared" si="741"/>
        <v>0</v>
      </c>
      <c r="BN291" s="32">
        <f t="shared" si="741"/>
        <v>0</v>
      </c>
      <c r="BO291" s="32">
        <f t="shared" si="741"/>
        <v>0</v>
      </c>
      <c r="BP291" s="32">
        <f t="shared" si="741"/>
        <v>0</v>
      </c>
      <c r="BQ291" s="32">
        <f t="shared" ref="BQ291:CV291" si="742" xml:space="preserve"> BQ$287</f>
        <v>0</v>
      </c>
      <c r="BR291" s="32">
        <f t="shared" si="742"/>
        <v>0</v>
      </c>
      <c r="BS291" s="32">
        <f t="shared" si="742"/>
        <v>0</v>
      </c>
      <c r="BT291" s="32">
        <f t="shared" si="742"/>
        <v>0</v>
      </c>
      <c r="BU291" s="32">
        <f t="shared" si="742"/>
        <v>0</v>
      </c>
      <c r="BV291" s="32">
        <f t="shared" si="742"/>
        <v>0</v>
      </c>
      <c r="BW291" s="32">
        <f t="shared" si="742"/>
        <v>0</v>
      </c>
      <c r="BX291" s="32">
        <f t="shared" si="742"/>
        <v>0</v>
      </c>
      <c r="BY291" s="32">
        <f t="shared" si="742"/>
        <v>0</v>
      </c>
      <c r="BZ291" s="32">
        <f t="shared" si="742"/>
        <v>0</v>
      </c>
      <c r="CA291" s="32">
        <f t="shared" si="742"/>
        <v>0</v>
      </c>
      <c r="CB291" s="32">
        <f t="shared" si="742"/>
        <v>0</v>
      </c>
      <c r="CC291" s="32">
        <f t="shared" si="742"/>
        <v>0</v>
      </c>
      <c r="CD291" s="32">
        <f t="shared" si="742"/>
        <v>0</v>
      </c>
      <c r="CE291" s="32">
        <f t="shared" si="742"/>
        <v>0</v>
      </c>
      <c r="CF291" s="32">
        <f t="shared" si="742"/>
        <v>0</v>
      </c>
      <c r="CG291" s="32">
        <f t="shared" si="742"/>
        <v>0</v>
      </c>
      <c r="CH291" s="32">
        <f t="shared" si="742"/>
        <v>0</v>
      </c>
      <c r="CI291" s="32">
        <f t="shared" si="742"/>
        <v>0</v>
      </c>
      <c r="CJ291" s="32">
        <f t="shared" si="742"/>
        <v>0</v>
      </c>
      <c r="CK291" s="32">
        <f t="shared" si="742"/>
        <v>0</v>
      </c>
      <c r="CL291" s="32">
        <f t="shared" si="742"/>
        <v>0</v>
      </c>
      <c r="CM291" s="32">
        <f t="shared" si="742"/>
        <v>0</v>
      </c>
      <c r="CN291" s="32">
        <f t="shared" si="742"/>
        <v>0</v>
      </c>
      <c r="CO291" s="32">
        <f t="shared" si="742"/>
        <v>0</v>
      </c>
      <c r="CP291" s="32">
        <f t="shared" si="742"/>
        <v>0</v>
      </c>
      <c r="CQ291" s="32">
        <f t="shared" si="742"/>
        <v>0</v>
      </c>
      <c r="CR291" s="32">
        <f t="shared" si="742"/>
        <v>0</v>
      </c>
      <c r="CS291" s="32">
        <f t="shared" si="742"/>
        <v>0</v>
      </c>
      <c r="CT291" s="32">
        <f t="shared" si="742"/>
        <v>0</v>
      </c>
      <c r="CU291" s="32">
        <f t="shared" si="742"/>
        <v>0</v>
      </c>
      <c r="CV291" s="32">
        <f t="shared" si="742"/>
        <v>0</v>
      </c>
    </row>
    <row r="292" spans="1:100" outlineLevel="2" x14ac:dyDescent="0.2">
      <c r="A292" s="85"/>
      <c r="B292" s="85"/>
      <c r="C292" s="86"/>
      <c r="D292" s="87"/>
      <c r="E292" s="396" t="str">
        <f xml:space="preserve"> Time!E$101</f>
        <v xml:space="preserve">Last operating period flag </v>
      </c>
      <c r="F292" s="396">
        <f xml:space="preserve"> Time!F$101</f>
        <v>0</v>
      </c>
      <c r="G292" s="396" t="str">
        <f xml:space="preserve"> Time!G$101</f>
        <v>flag</v>
      </c>
      <c r="H292" s="396">
        <f xml:space="preserve"> Time!H$101</f>
        <v>1</v>
      </c>
      <c r="I292" s="396">
        <f xml:space="preserve"> Time!I$101</f>
        <v>0</v>
      </c>
      <c r="J292" s="396">
        <f xml:space="preserve"> Time!J$101</f>
        <v>0</v>
      </c>
      <c r="K292" s="396">
        <f xml:space="preserve"> Time!K$101</f>
        <v>0</v>
      </c>
      <c r="L292" s="396">
        <f xml:space="preserve"> Time!L$101</f>
        <v>0</v>
      </c>
      <c r="M292" s="396">
        <f xml:space="preserve"> Time!M$101</f>
        <v>0</v>
      </c>
      <c r="N292" s="396">
        <f xml:space="preserve"> Time!N$101</f>
        <v>0</v>
      </c>
      <c r="O292" s="396">
        <f xml:space="preserve"> Time!O$101</f>
        <v>0</v>
      </c>
      <c r="P292" s="396">
        <f xml:space="preserve"> Time!P$101</f>
        <v>0</v>
      </c>
      <c r="Q292" s="396">
        <f xml:space="preserve"> Time!Q$101</f>
        <v>0</v>
      </c>
      <c r="R292" s="396">
        <f xml:space="preserve"> Time!R$101</f>
        <v>0</v>
      </c>
      <c r="S292" s="396">
        <f xml:space="preserve"> Time!S$101</f>
        <v>0</v>
      </c>
      <c r="T292" s="396">
        <f xml:space="preserve"> Time!T$101</f>
        <v>0</v>
      </c>
      <c r="U292" s="396">
        <f xml:space="preserve"> Time!U$101</f>
        <v>0</v>
      </c>
      <c r="V292" s="396">
        <f xml:space="preserve"> Time!V$101</f>
        <v>0</v>
      </c>
      <c r="W292" s="396">
        <f xml:space="preserve"> Time!W$101</f>
        <v>0</v>
      </c>
      <c r="X292" s="396">
        <f xml:space="preserve"> Time!X$101</f>
        <v>0</v>
      </c>
      <c r="Y292" s="396">
        <f xml:space="preserve"> Time!Y$101</f>
        <v>0</v>
      </c>
      <c r="Z292" s="396">
        <f xml:space="preserve"> Time!Z$101</f>
        <v>0</v>
      </c>
      <c r="AA292" s="396">
        <f xml:space="preserve"> Time!AA$101</f>
        <v>0</v>
      </c>
      <c r="AB292" s="396">
        <f xml:space="preserve"> Time!AB$101</f>
        <v>0</v>
      </c>
      <c r="AC292" s="396">
        <f xml:space="preserve"> Time!AC$101</f>
        <v>0</v>
      </c>
      <c r="AD292" s="396">
        <f xml:space="preserve"> Time!AD$101</f>
        <v>0</v>
      </c>
      <c r="AE292" s="396">
        <f xml:space="preserve"> Time!AE$101</f>
        <v>0</v>
      </c>
      <c r="AF292" s="396">
        <f xml:space="preserve"> Time!AF$101</f>
        <v>0</v>
      </c>
      <c r="AG292" s="396">
        <f xml:space="preserve"> Time!AG$101</f>
        <v>0</v>
      </c>
      <c r="AH292" s="396">
        <f xml:space="preserve"> Time!AH$101</f>
        <v>0</v>
      </c>
      <c r="AI292" s="396">
        <f xml:space="preserve"> Time!AI$101</f>
        <v>0</v>
      </c>
      <c r="AJ292" s="396">
        <f xml:space="preserve"> Time!AJ$101</f>
        <v>0</v>
      </c>
      <c r="AK292" s="396">
        <f xml:space="preserve"> Time!AK$101</f>
        <v>0</v>
      </c>
      <c r="AL292" s="396">
        <f xml:space="preserve"> Time!AL$101</f>
        <v>0</v>
      </c>
      <c r="AM292" s="396">
        <f xml:space="preserve"> Time!AM$101</f>
        <v>0</v>
      </c>
      <c r="AN292" s="396">
        <f xml:space="preserve"> Time!AN$101</f>
        <v>0</v>
      </c>
      <c r="AO292" s="396">
        <f xml:space="preserve"> Time!AO$101</f>
        <v>0</v>
      </c>
      <c r="AP292" s="396">
        <f xml:space="preserve"> Time!AP$101</f>
        <v>0</v>
      </c>
      <c r="AQ292" s="396">
        <f xml:space="preserve"> Time!AQ$101</f>
        <v>0</v>
      </c>
      <c r="AR292" s="396">
        <f xml:space="preserve"> Time!AR$101</f>
        <v>0</v>
      </c>
      <c r="AS292" s="396">
        <f xml:space="preserve"> Time!AS$101</f>
        <v>0</v>
      </c>
      <c r="AT292" s="396">
        <f xml:space="preserve"> Time!AT$101</f>
        <v>0</v>
      </c>
      <c r="AU292" s="396">
        <f xml:space="preserve"> Time!AU$101</f>
        <v>0</v>
      </c>
      <c r="AV292" s="396">
        <f xml:space="preserve"> Time!AV$101</f>
        <v>0</v>
      </c>
      <c r="AW292" s="396">
        <f xml:space="preserve"> Time!AW$101</f>
        <v>0</v>
      </c>
      <c r="AX292" s="396">
        <f xml:space="preserve"> Time!AX$101</f>
        <v>0</v>
      </c>
      <c r="AY292" s="396">
        <f xml:space="preserve"> Time!AY$101</f>
        <v>0</v>
      </c>
      <c r="AZ292" s="396">
        <f xml:space="preserve"> Time!AZ$101</f>
        <v>0</v>
      </c>
      <c r="BA292" s="396">
        <f xml:space="preserve"> Time!BA$101</f>
        <v>0</v>
      </c>
      <c r="BB292" s="396">
        <f xml:space="preserve"> Time!BB$101</f>
        <v>1</v>
      </c>
      <c r="BC292" s="396">
        <f xml:space="preserve"> Time!BC$101</f>
        <v>0</v>
      </c>
      <c r="BD292" s="396">
        <f xml:space="preserve"> Time!BD$101</f>
        <v>0</v>
      </c>
      <c r="BE292" s="396">
        <f xml:space="preserve"> Time!BE$101</f>
        <v>0</v>
      </c>
      <c r="BF292" s="396">
        <f xml:space="preserve"> Time!BF$101</f>
        <v>0</v>
      </c>
      <c r="BG292" s="396">
        <f xml:space="preserve"> Time!BG$101</f>
        <v>0</v>
      </c>
      <c r="BH292" s="396">
        <f xml:space="preserve"> Time!BH$101</f>
        <v>0</v>
      </c>
      <c r="BI292" s="396">
        <f xml:space="preserve"> Time!BI$101</f>
        <v>0</v>
      </c>
      <c r="BJ292" s="396">
        <f xml:space="preserve"> Time!BJ$101</f>
        <v>0</v>
      </c>
      <c r="BK292" s="396">
        <f xml:space="preserve"> Time!BK$101</f>
        <v>0</v>
      </c>
      <c r="BL292" s="396">
        <f xml:space="preserve"> Time!BL$101</f>
        <v>0</v>
      </c>
      <c r="BM292" s="396">
        <f xml:space="preserve"> Time!BM$101</f>
        <v>0</v>
      </c>
      <c r="BN292" s="396">
        <f xml:space="preserve"> Time!BN$101</f>
        <v>0</v>
      </c>
      <c r="BO292" s="396">
        <f xml:space="preserve"> Time!BO$101</f>
        <v>0</v>
      </c>
      <c r="BP292" s="396">
        <f xml:space="preserve"> Time!BP$101</f>
        <v>0</v>
      </c>
      <c r="BQ292" s="396">
        <f xml:space="preserve"> Time!BQ$101</f>
        <v>0</v>
      </c>
      <c r="BR292" s="396">
        <f xml:space="preserve"> Time!BR$101</f>
        <v>0</v>
      </c>
      <c r="BS292" s="396">
        <f xml:space="preserve"> Time!BS$101</f>
        <v>0</v>
      </c>
      <c r="BT292" s="396">
        <f xml:space="preserve"> Time!BT$101</f>
        <v>0</v>
      </c>
      <c r="BU292" s="396">
        <f xml:space="preserve"> Time!BU$101</f>
        <v>0</v>
      </c>
      <c r="BV292" s="396">
        <f xml:space="preserve"> Time!BV$101</f>
        <v>0</v>
      </c>
      <c r="BW292" s="396">
        <f xml:space="preserve"> Time!BW$101</f>
        <v>0</v>
      </c>
      <c r="BX292" s="396">
        <f xml:space="preserve"> Time!BX$101</f>
        <v>0</v>
      </c>
      <c r="BY292" s="396">
        <f xml:space="preserve"> Time!BY$101</f>
        <v>0</v>
      </c>
      <c r="BZ292" s="396">
        <f xml:space="preserve"> Time!BZ$101</f>
        <v>0</v>
      </c>
      <c r="CA292" s="396">
        <f xml:space="preserve"> Time!CA$101</f>
        <v>0</v>
      </c>
      <c r="CB292" s="396">
        <f xml:space="preserve"> Time!CB$101</f>
        <v>0</v>
      </c>
      <c r="CC292" s="396">
        <f xml:space="preserve"> Time!CC$101</f>
        <v>0</v>
      </c>
      <c r="CD292" s="396">
        <f xml:space="preserve"> Time!CD$101</f>
        <v>0</v>
      </c>
      <c r="CE292" s="396">
        <f xml:space="preserve"> Time!CE$101</f>
        <v>0</v>
      </c>
      <c r="CF292" s="396">
        <f xml:space="preserve"> Time!CF$101</f>
        <v>0</v>
      </c>
      <c r="CG292" s="396">
        <f xml:space="preserve"> Time!CG$101</f>
        <v>0</v>
      </c>
      <c r="CH292" s="396">
        <f xml:space="preserve"> Time!CH$101</f>
        <v>0</v>
      </c>
      <c r="CI292" s="396">
        <f xml:space="preserve"> Time!CI$101</f>
        <v>0</v>
      </c>
      <c r="CJ292" s="396">
        <f xml:space="preserve"> Time!CJ$101</f>
        <v>0</v>
      </c>
      <c r="CK292" s="396">
        <f xml:space="preserve"> Time!CK$101</f>
        <v>0</v>
      </c>
      <c r="CL292" s="396">
        <f xml:space="preserve"> Time!CL$101</f>
        <v>0</v>
      </c>
      <c r="CM292" s="396">
        <f xml:space="preserve"> Time!CM$101</f>
        <v>0</v>
      </c>
      <c r="CN292" s="396">
        <f xml:space="preserve"> Time!CN$101</f>
        <v>0</v>
      </c>
      <c r="CO292" s="396">
        <f xml:space="preserve"> Time!CO$101</f>
        <v>0</v>
      </c>
      <c r="CP292" s="396">
        <f xml:space="preserve"> Time!CP$101</f>
        <v>0</v>
      </c>
      <c r="CQ292" s="396">
        <f xml:space="preserve"> Time!CQ$101</f>
        <v>0</v>
      </c>
      <c r="CR292" s="396">
        <f xml:space="preserve"> Time!CR$101</f>
        <v>0</v>
      </c>
      <c r="CS292" s="396">
        <f xml:space="preserve"> Time!CS$101</f>
        <v>0</v>
      </c>
      <c r="CT292" s="396">
        <f xml:space="preserve"> Time!CT$101</f>
        <v>0</v>
      </c>
      <c r="CU292" s="396">
        <f xml:space="preserve"> Time!CU$101</f>
        <v>0</v>
      </c>
      <c r="CV292" s="396">
        <f xml:space="preserve"> Time!CV$101</f>
        <v>0</v>
      </c>
    </row>
    <row r="293" spans="1:100" s="188" customFormat="1" outlineLevel="2" x14ac:dyDescent="0.2">
      <c r="A293" s="141"/>
      <c r="B293" s="141"/>
      <c r="C293" s="142"/>
      <c r="D293" s="143"/>
      <c r="E293" s="548" t="s">
        <v>1180</v>
      </c>
      <c r="F293" s="548"/>
      <c r="G293" s="548" t="str">
        <f xml:space="preserve"> SMU</f>
        <v>$ 000s</v>
      </c>
      <c r="H293" s="548">
        <f xml:space="preserve"> SUM(J293:CV293)</f>
        <v>3857.1209730037863</v>
      </c>
      <c r="I293" s="548"/>
      <c r="J293" s="548">
        <f t="shared" ref="J293:AO293" si="743" xml:space="preserve"> IF(J292 = 1, J290, MAX(0, MIN(J290, J291)))</f>
        <v>0</v>
      </c>
      <c r="K293" s="548">
        <f t="shared" si="743"/>
        <v>0</v>
      </c>
      <c r="L293" s="548">
        <f t="shared" si="743"/>
        <v>0</v>
      </c>
      <c r="M293" s="548">
        <f t="shared" si="743"/>
        <v>0</v>
      </c>
      <c r="N293" s="548">
        <f t="shared" si="743"/>
        <v>0</v>
      </c>
      <c r="O293" s="548">
        <f t="shared" si="743"/>
        <v>2942.2107868979674</v>
      </c>
      <c r="P293" s="548">
        <f t="shared" si="743"/>
        <v>48.765924644716506</v>
      </c>
      <c r="Q293" s="548">
        <f t="shared" si="743"/>
        <v>0</v>
      </c>
      <c r="R293" s="548">
        <f t="shared" si="743"/>
        <v>48.307922416201109</v>
      </c>
      <c r="S293" s="548">
        <f t="shared" si="743"/>
        <v>0</v>
      </c>
      <c r="T293" s="548">
        <f t="shared" si="743"/>
        <v>47.843569383759132</v>
      </c>
      <c r="U293" s="548">
        <f t="shared" si="743"/>
        <v>0</v>
      </c>
      <c r="V293" s="548">
        <f t="shared" si="743"/>
        <v>31.40829483962716</v>
      </c>
      <c r="W293" s="548">
        <f t="shared" si="743"/>
        <v>0</v>
      </c>
      <c r="X293" s="548">
        <f t="shared" si="743"/>
        <v>46.895274025585422</v>
      </c>
      <c r="Y293" s="548">
        <f t="shared" si="743"/>
        <v>0</v>
      </c>
      <c r="Z293" s="548">
        <f t="shared" si="743"/>
        <v>46.411056518652913</v>
      </c>
      <c r="AA293" s="548">
        <f t="shared" si="743"/>
        <v>0</v>
      </c>
      <c r="AB293" s="548">
        <f t="shared" si="743"/>
        <v>45.919937736734937</v>
      </c>
      <c r="AC293" s="548">
        <f t="shared" si="743"/>
        <v>0</v>
      </c>
      <c r="AD293" s="548">
        <f t="shared" si="743"/>
        <v>30.114801947007436</v>
      </c>
      <c r="AE293" s="548">
        <f t="shared" si="743"/>
        <v>0</v>
      </c>
      <c r="AF293" s="548">
        <f t="shared" si="743"/>
        <v>44.916415141821744</v>
      </c>
      <c r="AG293" s="548">
        <f t="shared" si="743"/>
        <v>0</v>
      </c>
      <c r="AH293" s="548">
        <f t="shared" si="743"/>
        <v>44.403713426588183</v>
      </c>
      <c r="AI293" s="548">
        <f t="shared" si="743"/>
        <v>0</v>
      </c>
      <c r="AJ293" s="548">
        <f t="shared" si="743"/>
        <v>43.883514514232957</v>
      </c>
      <c r="AK293" s="548">
        <f t="shared" si="743"/>
        <v>0</v>
      </c>
      <c r="AL293" s="548">
        <f t="shared" si="743"/>
        <v>28.744962643471808</v>
      </c>
      <c r="AM293" s="548">
        <f t="shared" si="743"/>
        <v>0</v>
      </c>
      <c r="AN293" s="548">
        <f t="shared" si="743"/>
        <v>42.819995893350097</v>
      </c>
      <c r="AO293" s="548">
        <f t="shared" si="743"/>
        <v>0</v>
      </c>
      <c r="AP293" s="548">
        <f t="shared" ref="AP293:BU293" si="744" xml:space="preserve"> IF(AP292 = 1, AP290, MAX(0, MIN(AP290, AP291)))</f>
        <v>42.276353678219493</v>
      </c>
      <c r="AQ293" s="548">
        <f t="shared" si="744"/>
        <v>0</v>
      </c>
      <c r="AR293" s="548">
        <f t="shared" si="744"/>
        <v>41.724569125380185</v>
      </c>
      <c r="AS293" s="548">
        <f t="shared" si="744"/>
        <v>0</v>
      </c>
      <c r="AT293" s="548">
        <f t="shared" si="744"/>
        <v>27.292196244370643</v>
      </c>
      <c r="AU293" s="548">
        <f t="shared" si="744"/>
        <v>0</v>
      </c>
      <c r="AV293" s="548">
        <f t="shared" si="744"/>
        <v>40.595891824711543</v>
      </c>
      <c r="AW293" s="548">
        <f t="shared" si="744"/>
        <v>0</v>
      </c>
      <c r="AX293" s="548">
        <f t="shared" si="744"/>
        <v>40.018649926655598</v>
      </c>
      <c r="AY293" s="548">
        <f t="shared" si="744"/>
        <v>0</v>
      </c>
      <c r="AZ293" s="548">
        <f t="shared" si="744"/>
        <v>39.432567252496483</v>
      </c>
      <c r="BA293" s="548">
        <f t="shared" si="744"/>
        <v>0</v>
      </c>
      <c r="BB293" s="548">
        <f t="shared" si="744"/>
        <v>133.13457492223552</v>
      </c>
      <c r="BC293" s="548">
        <f t="shared" si="744"/>
        <v>0</v>
      </c>
      <c r="BD293" s="548">
        <f t="shared" si="744"/>
        <v>0</v>
      </c>
      <c r="BE293" s="548">
        <f t="shared" si="744"/>
        <v>0</v>
      </c>
      <c r="BF293" s="548">
        <f t="shared" si="744"/>
        <v>0</v>
      </c>
      <c r="BG293" s="548">
        <f t="shared" si="744"/>
        <v>0</v>
      </c>
      <c r="BH293" s="548">
        <f t="shared" si="744"/>
        <v>0</v>
      </c>
      <c r="BI293" s="548">
        <f t="shared" si="744"/>
        <v>0</v>
      </c>
      <c r="BJ293" s="548">
        <f t="shared" si="744"/>
        <v>0</v>
      </c>
      <c r="BK293" s="548">
        <f t="shared" si="744"/>
        <v>0</v>
      </c>
      <c r="BL293" s="548">
        <f t="shared" si="744"/>
        <v>0</v>
      </c>
      <c r="BM293" s="548">
        <f t="shared" si="744"/>
        <v>0</v>
      </c>
      <c r="BN293" s="548">
        <f t="shared" si="744"/>
        <v>0</v>
      </c>
      <c r="BO293" s="548">
        <f t="shared" si="744"/>
        <v>0</v>
      </c>
      <c r="BP293" s="548">
        <f t="shared" si="744"/>
        <v>0</v>
      </c>
      <c r="BQ293" s="548">
        <f t="shared" si="744"/>
        <v>0</v>
      </c>
      <c r="BR293" s="548">
        <f t="shared" si="744"/>
        <v>0</v>
      </c>
      <c r="BS293" s="548">
        <f t="shared" si="744"/>
        <v>0</v>
      </c>
      <c r="BT293" s="548">
        <f t="shared" si="744"/>
        <v>0</v>
      </c>
      <c r="BU293" s="548">
        <f t="shared" si="744"/>
        <v>0</v>
      </c>
      <c r="BV293" s="548">
        <f t="shared" ref="BV293:CV293" si="745" xml:space="preserve"> IF(BV292 = 1, BV290, MAX(0, MIN(BV290, BV291)))</f>
        <v>0</v>
      </c>
      <c r="BW293" s="548">
        <f t="shared" si="745"/>
        <v>0</v>
      </c>
      <c r="BX293" s="548">
        <f t="shared" si="745"/>
        <v>0</v>
      </c>
      <c r="BY293" s="548">
        <f t="shared" si="745"/>
        <v>0</v>
      </c>
      <c r="BZ293" s="548">
        <f t="shared" si="745"/>
        <v>0</v>
      </c>
      <c r="CA293" s="548">
        <f t="shared" si="745"/>
        <v>0</v>
      </c>
      <c r="CB293" s="548">
        <f t="shared" si="745"/>
        <v>0</v>
      </c>
      <c r="CC293" s="548">
        <f t="shared" si="745"/>
        <v>0</v>
      </c>
      <c r="CD293" s="548">
        <f t="shared" si="745"/>
        <v>0</v>
      </c>
      <c r="CE293" s="548">
        <f t="shared" si="745"/>
        <v>0</v>
      </c>
      <c r="CF293" s="548">
        <f t="shared" si="745"/>
        <v>0</v>
      </c>
      <c r="CG293" s="548">
        <f t="shared" si="745"/>
        <v>0</v>
      </c>
      <c r="CH293" s="548">
        <f t="shared" si="745"/>
        <v>0</v>
      </c>
      <c r="CI293" s="548">
        <f t="shared" si="745"/>
        <v>0</v>
      </c>
      <c r="CJ293" s="548">
        <f t="shared" si="745"/>
        <v>0</v>
      </c>
      <c r="CK293" s="548">
        <f t="shared" si="745"/>
        <v>0</v>
      </c>
      <c r="CL293" s="548">
        <f t="shared" si="745"/>
        <v>0</v>
      </c>
      <c r="CM293" s="548">
        <f t="shared" si="745"/>
        <v>0</v>
      </c>
      <c r="CN293" s="548">
        <f t="shared" si="745"/>
        <v>0</v>
      </c>
      <c r="CO293" s="548">
        <f t="shared" si="745"/>
        <v>0</v>
      </c>
      <c r="CP293" s="548">
        <f t="shared" si="745"/>
        <v>0</v>
      </c>
      <c r="CQ293" s="548">
        <f t="shared" si="745"/>
        <v>0</v>
      </c>
      <c r="CR293" s="548">
        <f t="shared" si="745"/>
        <v>0</v>
      </c>
      <c r="CS293" s="548">
        <f t="shared" si="745"/>
        <v>0</v>
      </c>
      <c r="CT293" s="548">
        <f t="shared" si="745"/>
        <v>0</v>
      </c>
      <c r="CU293" s="548">
        <f t="shared" si="745"/>
        <v>0</v>
      </c>
      <c r="CV293" s="548">
        <f t="shared" si="745"/>
        <v>0</v>
      </c>
    </row>
    <row r="294" spans="1:100" outlineLevel="2" x14ac:dyDescent="0.2">
      <c r="A294" s="236"/>
      <c r="B294" s="236"/>
      <c r="C294" s="237"/>
      <c r="D294" s="238"/>
      <c r="E294" s="235"/>
      <c r="F294" s="235"/>
      <c r="G294" s="235"/>
      <c r="H294" s="235"/>
      <c r="I294" s="235"/>
      <c r="J294" s="235"/>
      <c r="K294" s="235"/>
      <c r="L294" s="235"/>
      <c r="M294" s="235"/>
      <c r="N294" s="235"/>
      <c r="O294" s="235"/>
      <c r="P294" s="235"/>
      <c r="Q294" s="235"/>
      <c r="R294" s="235"/>
      <c r="S294" s="235"/>
      <c r="T294" s="235"/>
      <c r="U294" s="235"/>
      <c r="V294" s="235"/>
      <c r="W294" s="235"/>
      <c r="X294" s="235"/>
      <c r="Y294" s="235"/>
      <c r="Z294" s="235"/>
      <c r="AA294" s="235"/>
      <c r="AB294" s="235"/>
      <c r="AC294" s="235"/>
      <c r="AD294" s="235"/>
      <c r="AE294" s="235"/>
      <c r="AF294" s="235"/>
      <c r="AG294" s="235"/>
      <c r="AH294" s="235"/>
      <c r="AI294" s="235"/>
      <c r="AJ294" s="235"/>
      <c r="AK294" s="235"/>
      <c r="AL294" s="235"/>
      <c r="AM294" s="235"/>
      <c r="AN294" s="235"/>
      <c r="AO294" s="235"/>
      <c r="AP294" s="235"/>
      <c r="AQ294" s="235"/>
      <c r="AR294" s="235"/>
      <c r="AS294" s="235"/>
      <c r="AT294" s="235"/>
      <c r="AU294" s="235"/>
      <c r="AV294" s="235"/>
      <c r="AW294" s="235"/>
      <c r="AX294" s="235"/>
      <c r="AY294" s="235"/>
      <c r="AZ294" s="235"/>
      <c r="BA294" s="235"/>
      <c r="BB294" s="235"/>
      <c r="BC294" s="235"/>
      <c r="BD294" s="235"/>
      <c r="BE294" s="235"/>
      <c r="BF294" s="235"/>
      <c r="BG294" s="235"/>
      <c r="BH294" s="235"/>
      <c r="BI294" s="235"/>
      <c r="BJ294" s="235"/>
      <c r="BK294" s="235"/>
      <c r="BL294" s="235"/>
      <c r="BM294" s="235"/>
      <c r="BN294" s="235"/>
      <c r="BO294" s="235"/>
      <c r="BP294" s="235"/>
      <c r="BQ294" s="235"/>
      <c r="BR294" s="235"/>
      <c r="BS294" s="235"/>
      <c r="BT294" s="235"/>
      <c r="BU294" s="235"/>
      <c r="BV294" s="235"/>
      <c r="BW294" s="235"/>
      <c r="BX294" s="235"/>
      <c r="BY294" s="235"/>
      <c r="BZ294" s="235"/>
      <c r="CA294" s="235"/>
      <c r="CB294" s="235"/>
      <c r="CC294" s="235"/>
      <c r="CD294" s="235"/>
      <c r="CE294" s="235"/>
      <c r="CF294" s="235"/>
      <c r="CG294" s="235"/>
      <c r="CH294" s="235"/>
      <c r="CI294" s="235"/>
      <c r="CJ294" s="235"/>
      <c r="CK294" s="235"/>
      <c r="CL294" s="235"/>
      <c r="CM294" s="235"/>
      <c r="CN294" s="235"/>
      <c r="CO294" s="235"/>
      <c r="CP294" s="235"/>
      <c r="CQ294" s="235"/>
      <c r="CR294" s="235"/>
      <c r="CS294" s="235"/>
      <c r="CT294" s="235"/>
      <c r="CU294" s="235"/>
      <c r="CV294" s="235"/>
    </row>
    <row r="295" spans="1:100" s="502" customFormat="1" outlineLevel="2" x14ac:dyDescent="0.2">
      <c r="A295" s="504"/>
      <c r="B295" s="504"/>
      <c r="C295" s="505"/>
      <c r="D295" s="506"/>
      <c r="E295" s="220" t="str">
        <f xml:space="preserve"> E$260</f>
        <v>Pre-funding of working capital amount</v>
      </c>
      <c r="F295" s="220">
        <f xml:space="preserve"> F$260</f>
        <v>3857.1209730037863</v>
      </c>
      <c r="G295" s="220" t="str">
        <f xml:space="preserve"> G$260</f>
        <v>$ 000s</v>
      </c>
      <c r="H295" s="219"/>
      <c r="I295" s="220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  <c r="AH295" s="219"/>
      <c r="AI295" s="219"/>
      <c r="AJ295" s="219"/>
      <c r="AK295" s="219"/>
      <c r="AL295" s="219"/>
      <c r="AM295" s="219"/>
      <c r="AN295" s="219"/>
      <c r="AO295" s="219"/>
      <c r="AP295" s="219"/>
      <c r="AQ295" s="219"/>
      <c r="AR295" s="219"/>
      <c r="AS295" s="219"/>
      <c r="AT295" s="219"/>
      <c r="AU295" s="219"/>
      <c r="AV295" s="219"/>
      <c r="AW295" s="219"/>
      <c r="AX295" s="219"/>
      <c r="AY295" s="219"/>
      <c r="AZ295" s="219"/>
      <c r="BA295" s="219"/>
      <c r="BB295" s="219"/>
      <c r="BC295" s="219"/>
      <c r="BD295" s="219"/>
      <c r="BE295" s="219"/>
      <c r="BF295" s="219"/>
      <c r="BG295" s="219"/>
      <c r="BH295" s="219"/>
      <c r="BI295" s="219"/>
      <c r="BJ295" s="219"/>
      <c r="BK295" s="219"/>
      <c r="BL295" s="219"/>
      <c r="BM295" s="219"/>
      <c r="BN295" s="219"/>
      <c r="BO295" s="219"/>
      <c r="BP295" s="219"/>
      <c r="BQ295" s="219"/>
      <c r="BR295" s="219"/>
      <c r="BS295" s="219"/>
      <c r="BT295" s="219"/>
      <c r="BU295" s="219"/>
      <c r="BV295" s="219"/>
      <c r="BW295" s="219"/>
      <c r="BX295" s="219"/>
      <c r="BY295" s="219"/>
      <c r="BZ295" s="219"/>
      <c r="CA295" s="219"/>
      <c r="CB295" s="219"/>
      <c r="CC295" s="219"/>
      <c r="CD295" s="219"/>
      <c r="CE295" s="219"/>
      <c r="CF295" s="219"/>
      <c r="CG295" s="219"/>
      <c r="CH295" s="219"/>
      <c r="CI295" s="219"/>
      <c r="CJ295" s="219"/>
      <c r="CK295" s="219"/>
      <c r="CL295" s="219"/>
      <c r="CM295" s="219"/>
      <c r="CN295" s="219"/>
      <c r="CO295" s="219"/>
      <c r="CP295" s="219"/>
      <c r="CQ295" s="219"/>
      <c r="CR295" s="219"/>
      <c r="CS295" s="219"/>
      <c r="CT295" s="219"/>
      <c r="CU295" s="219"/>
      <c r="CV295" s="219"/>
    </row>
    <row r="296" spans="1:100" s="540" customFormat="1" outlineLevel="2" x14ac:dyDescent="0.2">
      <c r="A296" s="236"/>
      <c r="B296" s="236"/>
      <c r="C296" s="237"/>
      <c r="D296" s="238"/>
      <c r="E296" s="390" t="str">
        <f xml:space="preserve"> Time!E$81</f>
        <v>End of construction period flag</v>
      </c>
      <c r="F296" s="390">
        <f xml:space="preserve"> Time!F$81</f>
        <v>0</v>
      </c>
      <c r="G296" s="390" t="str">
        <f xml:space="preserve"> Time!G$81</f>
        <v>flag</v>
      </c>
      <c r="H296" s="390">
        <f xml:space="preserve"> Time!H$81</f>
        <v>1</v>
      </c>
      <c r="I296" s="390">
        <f xml:space="preserve"> Time!I$81</f>
        <v>0</v>
      </c>
      <c r="J296" s="390">
        <f xml:space="preserve"> Time!J$81</f>
        <v>0</v>
      </c>
      <c r="K296" s="390">
        <f xml:space="preserve"> Time!K$81</f>
        <v>0</v>
      </c>
      <c r="L296" s="390">
        <f xml:space="preserve"> Time!L$81</f>
        <v>0</v>
      </c>
      <c r="M296" s="390">
        <f xml:space="preserve"> Time!M$81</f>
        <v>0</v>
      </c>
      <c r="N296" s="390">
        <f xml:space="preserve"> Time!N$81</f>
        <v>1</v>
      </c>
      <c r="O296" s="390">
        <f xml:space="preserve"> Time!O$81</f>
        <v>0</v>
      </c>
      <c r="P296" s="390">
        <f xml:space="preserve"> Time!P$81</f>
        <v>0</v>
      </c>
      <c r="Q296" s="390">
        <f xml:space="preserve"> Time!Q$81</f>
        <v>0</v>
      </c>
      <c r="R296" s="390">
        <f xml:space="preserve"> Time!R$81</f>
        <v>0</v>
      </c>
      <c r="S296" s="390">
        <f xml:space="preserve"> Time!S$81</f>
        <v>0</v>
      </c>
      <c r="T296" s="390">
        <f xml:space="preserve"> Time!T$81</f>
        <v>0</v>
      </c>
      <c r="U296" s="390">
        <f xml:space="preserve"> Time!U$81</f>
        <v>0</v>
      </c>
      <c r="V296" s="390">
        <f xml:space="preserve"> Time!V$81</f>
        <v>0</v>
      </c>
      <c r="W296" s="390">
        <f xml:space="preserve"> Time!W$81</f>
        <v>0</v>
      </c>
      <c r="X296" s="390">
        <f xml:space="preserve"> Time!X$81</f>
        <v>0</v>
      </c>
      <c r="Y296" s="390">
        <f xml:space="preserve"> Time!Y$81</f>
        <v>0</v>
      </c>
      <c r="Z296" s="390">
        <f xml:space="preserve"> Time!Z$81</f>
        <v>0</v>
      </c>
      <c r="AA296" s="390">
        <f xml:space="preserve"> Time!AA$81</f>
        <v>0</v>
      </c>
      <c r="AB296" s="390">
        <f xml:space="preserve"> Time!AB$81</f>
        <v>0</v>
      </c>
      <c r="AC296" s="390">
        <f xml:space="preserve"> Time!AC$81</f>
        <v>0</v>
      </c>
      <c r="AD296" s="390">
        <f xml:space="preserve"> Time!AD$81</f>
        <v>0</v>
      </c>
      <c r="AE296" s="390">
        <f xml:space="preserve"> Time!AE$81</f>
        <v>0</v>
      </c>
      <c r="AF296" s="390">
        <f xml:space="preserve"> Time!AF$81</f>
        <v>0</v>
      </c>
      <c r="AG296" s="390">
        <f xml:space="preserve"> Time!AG$81</f>
        <v>0</v>
      </c>
      <c r="AH296" s="390">
        <f xml:space="preserve"> Time!AH$81</f>
        <v>0</v>
      </c>
      <c r="AI296" s="390">
        <f xml:space="preserve"> Time!AI$81</f>
        <v>0</v>
      </c>
      <c r="AJ296" s="390">
        <f xml:space="preserve"> Time!AJ$81</f>
        <v>0</v>
      </c>
      <c r="AK296" s="390">
        <f xml:space="preserve"> Time!AK$81</f>
        <v>0</v>
      </c>
      <c r="AL296" s="390">
        <f xml:space="preserve"> Time!AL$81</f>
        <v>0</v>
      </c>
      <c r="AM296" s="390">
        <f xml:space="preserve"> Time!AM$81</f>
        <v>0</v>
      </c>
      <c r="AN296" s="390">
        <f xml:space="preserve"> Time!AN$81</f>
        <v>0</v>
      </c>
      <c r="AO296" s="390">
        <f xml:space="preserve"> Time!AO$81</f>
        <v>0</v>
      </c>
      <c r="AP296" s="390">
        <f xml:space="preserve"> Time!AP$81</f>
        <v>0</v>
      </c>
      <c r="AQ296" s="390">
        <f xml:space="preserve"> Time!AQ$81</f>
        <v>0</v>
      </c>
      <c r="AR296" s="390">
        <f xml:space="preserve"> Time!AR$81</f>
        <v>0</v>
      </c>
      <c r="AS296" s="390">
        <f xml:space="preserve"> Time!AS$81</f>
        <v>0</v>
      </c>
      <c r="AT296" s="390">
        <f xml:space="preserve"> Time!AT$81</f>
        <v>0</v>
      </c>
      <c r="AU296" s="390">
        <f xml:space="preserve"> Time!AU$81</f>
        <v>0</v>
      </c>
      <c r="AV296" s="390">
        <f xml:space="preserve"> Time!AV$81</f>
        <v>0</v>
      </c>
      <c r="AW296" s="390">
        <f xml:space="preserve"> Time!AW$81</f>
        <v>0</v>
      </c>
      <c r="AX296" s="390">
        <f xml:space="preserve"> Time!AX$81</f>
        <v>0</v>
      </c>
      <c r="AY296" s="390">
        <f xml:space="preserve"> Time!AY$81</f>
        <v>0</v>
      </c>
      <c r="AZ296" s="390">
        <f xml:space="preserve"> Time!AZ$81</f>
        <v>0</v>
      </c>
      <c r="BA296" s="390">
        <f xml:space="preserve"> Time!BA$81</f>
        <v>0</v>
      </c>
      <c r="BB296" s="390">
        <f xml:space="preserve"> Time!BB$81</f>
        <v>0</v>
      </c>
      <c r="BC296" s="390">
        <f xml:space="preserve"> Time!BC$81</f>
        <v>0</v>
      </c>
      <c r="BD296" s="390">
        <f xml:space="preserve"> Time!BD$81</f>
        <v>0</v>
      </c>
      <c r="BE296" s="390">
        <f xml:space="preserve"> Time!BE$81</f>
        <v>0</v>
      </c>
      <c r="BF296" s="390">
        <f xml:space="preserve"> Time!BF$81</f>
        <v>0</v>
      </c>
      <c r="BG296" s="390">
        <f xml:space="preserve"> Time!BG$81</f>
        <v>0</v>
      </c>
      <c r="BH296" s="390">
        <f xml:space="preserve"> Time!BH$81</f>
        <v>0</v>
      </c>
      <c r="BI296" s="390">
        <f xml:space="preserve"> Time!BI$81</f>
        <v>0</v>
      </c>
      <c r="BJ296" s="390">
        <f xml:space="preserve"> Time!BJ$81</f>
        <v>0</v>
      </c>
      <c r="BK296" s="390">
        <f xml:space="preserve"> Time!BK$81</f>
        <v>0</v>
      </c>
      <c r="BL296" s="390">
        <f xml:space="preserve"> Time!BL$81</f>
        <v>0</v>
      </c>
      <c r="BM296" s="390">
        <f xml:space="preserve"> Time!BM$81</f>
        <v>0</v>
      </c>
      <c r="BN296" s="390">
        <f xml:space="preserve"> Time!BN$81</f>
        <v>0</v>
      </c>
      <c r="BO296" s="390">
        <f xml:space="preserve"> Time!BO$81</f>
        <v>0</v>
      </c>
      <c r="BP296" s="390">
        <f xml:space="preserve"> Time!BP$81</f>
        <v>0</v>
      </c>
      <c r="BQ296" s="390">
        <f xml:space="preserve"> Time!BQ$81</f>
        <v>0</v>
      </c>
      <c r="BR296" s="390">
        <f xml:space="preserve"> Time!BR$81</f>
        <v>0</v>
      </c>
      <c r="BS296" s="390">
        <f xml:space="preserve"> Time!BS$81</f>
        <v>0</v>
      </c>
      <c r="BT296" s="390">
        <f xml:space="preserve"> Time!BT$81</f>
        <v>0</v>
      </c>
      <c r="BU296" s="390">
        <f xml:space="preserve"> Time!BU$81</f>
        <v>0</v>
      </c>
      <c r="BV296" s="390">
        <f xml:space="preserve"> Time!BV$81</f>
        <v>0</v>
      </c>
      <c r="BW296" s="390">
        <f xml:space="preserve"> Time!BW$81</f>
        <v>0</v>
      </c>
      <c r="BX296" s="390">
        <f xml:space="preserve"> Time!BX$81</f>
        <v>0</v>
      </c>
      <c r="BY296" s="390">
        <f xml:space="preserve"> Time!BY$81</f>
        <v>0</v>
      </c>
      <c r="BZ296" s="390">
        <f xml:space="preserve"> Time!BZ$81</f>
        <v>0</v>
      </c>
      <c r="CA296" s="390">
        <f xml:space="preserve"> Time!CA$81</f>
        <v>0</v>
      </c>
      <c r="CB296" s="390">
        <f xml:space="preserve"> Time!CB$81</f>
        <v>0</v>
      </c>
      <c r="CC296" s="390">
        <f xml:space="preserve"> Time!CC$81</f>
        <v>0</v>
      </c>
      <c r="CD296" s="390">
        <f xml:space="preserve"> Time!CD$81</f>
        <v>0</v>
      </c>
      <c r="CE296" s="390">
        <f xml:space="preserve"> Time!CE$81</f>
        <v>0</v>
      </c>
      <c r="CF296" s="390">
        <f xml:space="preserve"> Time!CF$81</f>
        <v>0</v>
      </c>
      <c r="CG296" s="390">
        <f xml:space="preserve"> Time!CG$81</f>
        <v>0</v>
      </c>
      <c r="CH296" s="390">
        <f xml:space="preserve"> Time!CH$81</f>
        <v>0</v>
      </c>
      <c r="CI296" s="390">
        <f xml:space="preserve"> Time!CI$81</f>
        <v>0</v>
      </c>
      <c r="CJ296" s="390">
        <f xml:space="preserve"> Time!CJ$81</f>
        <v>0</v>
      </c>
      <c r="CK296" s="390">
        <f xml:space="preserve"> Time!CK$81</f>
        <v>0</v>
      </c>
      <c r="CL296" s="390">
        <f xml:space="preserve"> Time!CL$81</f>
        <v>0</v>
      </c>
      <c r="CM296" s="390">
        <f xml:space="preserve"> Time!CM$81</f>
        <v>0</v>
      </c>
      <c r="CN296" s="390">
        <f xml:space="preserve"> Time!CN$81</f>
        <v>0</v>
      </c>
      <c r="CO296" s="390">
        <f xml:space="preserve"> Time!CO$81</f>
        <v>0</v>
      </c>
      <c r="CP296" s="390">
        <f xml:space="preserve"> Time!CP$81</f>
        <v>0</v>
      </c>
      <c r="CQ296" s="390">
        <f xml:space="preserve"> Time!CQ$81</f>
        <v>0</v>
      </c>
      <c r="CR296" s="390">
        <f xml:space="preserve"> Time!CR$81</f>
        <v>0</v>
      </c>
      <c r="CS296" s="390">
        <f xml:space="preserve"> Time!CS$81</f>
        <v>0</v>
      </c>
      <c r="CT296" s="390">
        <f xml:space="preserve"> Time!CT$81</f>
        <v>0</v>
      </c>
      <c r="CU296" s="390">
        <f xml:space="preserve"> Time!CU$81</f>
        <v>0</v>
      </c>
      <c r="CV296" s="390">
        <f xml:space="preserve"> Time!CV$81</f>
        <v>0</v>
      </c>
    </row>
    <row r="297" spans="1:100" s="498" customFormat="1" outlineLevel="2" x14ac:dyDescent="0.2">
      <c r="A297" s="236"/>
      <c r="B297" s="236"/>
      <c r="C297" s="237"/>
      <c r="D297" s="238"/>
      <c r="E297" s="214"/>
      <c r="F297" s="214"/>
      <c r="G297" s="214"/>
      <c r="H297" s="214"/>
      <c r="I297" s="38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  <c r="CG297" s="214"/>
      <c r="CH297" s="214"/>
      <c r="CI297" s="214"/>
      <c r="CJ297" s="214"/>
      <c r="CK297" s="214"/>
      <c r="CL297" s="214"/>
      <c r="CM297" s="214"/>
      <c r="CN297" s="214"/>
      <c r="CO297" s="214"/>
      <c r="CP297" s="214"/>
      <c r="CQ297" s="214"/>
      <c r="CR297" s="214"/>
      <c r="CS297" s="214"/>
      <c r="CT297" s="214"/>
      <c r="CU297" s="214"/>
      <c r="CV297" s="214"/>
    </row>
    <row r="298" spans="1:100" s="498" customFormat="1" outlineLevel="2" x14ac:dyDescent="0.2">
      <c r="A298" s="236"/>
      <c r="B298" s="236"/>
      <c r="C298" s="237"/>
      <c r="D298" s="238"/>
      <c r="E298" s="214" t="s">
        <v>1181</v>
      </c>
      <c r="F298" s="214"/>
      <c r="G298" s="214" t="str">
        <f xml:space="preserve"> SMU</f>
        <v>$ 000s</v>
      </c>
      <c r="H298" s="214"/>
      <c r="I298" s="38"/>
      <c r="J298" s="214">
        <f t="shared" ref="J298" si="746">I300</f>
        <v>0</v>
      </c>
      <c r="K298" s="214">
        <f t="shared" ref="K298" si="747">J300</f>
        <v>0</v>
      </c>
      <c r="L298" s="214">
        <f t="shared" ref="L298" si="748">K300</f>
        <v>0</v>
      </c>
      <c r="M298" s="214">
        <f t="shared" ref="M298" si="749">L300</f>
        <v>0</v>
      </c>
      <c r="N298" s="214">
        <f t="shared" ref="N298" si="750">M300</f>
        <v>0</v>
      </c>
      <c r="O298" s="214">
        <f t="shared" ref="O298" si="751">N300</f>
        <v>3857.1209730037863</v>
      </c>
      <c r="P298" s="214">
        <f t="shared" ref="P298" si="752">O300</f>
        <v>914.91018610581887</v>
      </c>
      <c r="Q298" s="214">
        <f t="shared" ref="Q298" si="753">P300</f>
        <v>866.14426146110236</v>
      </c>
      <c r="R298" s="214">
        <f t="shared" ref="R298" si="754">Q300</f>
        <v>866.14426146110236</v>
      </c>
      <c r="S298" s="214">
        <f t="shared" ref="S298" si="755">R300</f>
        <v>817.83633904490125</v>
      </c>
      <c r="T298" s="214">
        <f t="shared" ref="T298" si="756">S300</f>
        <v>817.83633904490125</v>
      </c>
      <c r="U298" s="214">
        <f t="shared" ref="U298" si="757">T300</f>
        <v>769.99276966114212</v>
      </c>
      <c r="V298" s="214">
        <f t="shared" ref="V298" si="758">U300</f>
        <v>769.99276966114212</v>
      </c>
      <c r="W298" s="214">
        <f t="shared" ref="W298" si="759">V300</f>
        <v>738.58447482151496</v>
      </c>
      <c r="X298" s="214">
        <f t="shared" ref="X298" si="760">W300</f>
        <v>738.58447482151496</v>
      </c>
      <c r="Y298" s="214">
        <f t="shared" ref="Y298" si="761">X300</f>
        <v>691.68920079592954</v>
      </c>
      <c r="Z298" s="214">
        <f t="shared" ref="Z298" si="762">Y300</f>
        <v>691.68920079592954</v>
      </c>
      <c r="AA298" s="214">
        <f t="shared" ref="AA298" si="763">Z300</f>
        <v>645.27814427727662</v>
      </c>
      <c r="AB298" s="214">
        <f t="shared" ref="AB298" si="764">AA300</f>
        <v>645.27814427727662</v>
      </c>
      <c r="AC298" s="214">
        <f t="shared" ref="AC298" si="765">AB300</f>
        <v>599.35820654054169</v>
      </c>
      <c r="AD298" s="214">
        <f t="shared" ref="AD298" si="766">AC300</f>
        <v>599.35820654054169</v>
      </c>
      <c r="AE298" s="214">
        <f t="shared" ref="AE298" si="767">AD300</f>
        <v>569.24340459353425</v>
      </c>
      <c r="AF298" s="214">
        <f t="shared" ref="AF298" si="768">AE300</f>
        <v>569.24340459353425</v>
      </c>
      <c r="AG298" s="214">
        <f t="shared" ref="AG298" si="769">AF300</f>
        <v>524.32698945171251</v>
      </c>
      <c r="AH298" s="214">
        <f t="shared" ref="AH298" si="770">AG300</f>
        <v>524.32698945171251</v>
      </c>
      <c r="AI298" s="214">
        <f t="shared" ref="AI298" si="771">AH300</f>
        <v>479.92327602512432</v>
      </c>
      <c r="AJ298" s="214">
        <f t="shared" ref="AJ298" si="772">AI300</f>
        <v>479.92327602512432</v>
      </c>
      <c r="AK298" s="214">
        <f t="shared" ref="AK298" si="773">AJ300</f>
        <v>436.03976151089137</v>
      </c>
      <c r="AL298" s="214">
        <f t="shared" ref="AL298" si="774">AK300</f>
        <v>436.03976151089137</v>
      </c>
      <c r="AM298" s="214">
        <f t="shared" ref="AM298" si="775">AL300</f>
        <v>407.29479886741956</v>
      </c>
      <c r="AN298" s="214">
        <f t="shared" ref="AN298" si="776">AM300</f>
        <v>407.29479886741956</v>
      </c>
      <c r="AO298" s="214">
        <f t="shared" ref="AO298" si="777">AN300</f>
        <v>364.47480297406946</v>
      </c>
      <c r="AP298" s="214">
        <f t="shared" ref="AP298" si="778">AO300</f>
        <v>364.47480297406946</v>
      </c>
      <c r="AQ298" s="214">
        <f t="shared" ref="AQ298" si="779">AP300</f>
        <v>322.19844929584997</v>
      </c>
      <c r="AR298" s="214">
        <f t="shared" ref="AR298" si="780">AQ300</f>
        <v>322.19844929584997</v>
      </c>
      <c r="AS298" s="214">
        <f t="shared" ref="AS298" si="781">AR300</f>
        <v>280.47388017046978</v>
      </c>
      <c r="AT298" s="214">
        <f t="shared" ref="AT298" si="782">AS300</f>
        <v>280.47388017046978</v>
      </c>
      <c r="AU298" s="214">
        <f t="shared" ref="AU298" si="783">AT300</f>
        <v>253.18168392609914</v>
      </c>
      <c r="AV298" s="214">
        <f t="shared" ref="AV298" si="784">AU300</f>
        <v>253.18168392609914</v>
      </c>
      <c r="AW298" s="214">
        <f t="shared" ref="AW298" si="785">AV300</f>
        <v>212.5857921013876</v>
      </c>
      <c r="AX298" s="214">
        <f t="shared" ref="AX298" si="786">AW300</f>
        <v>212.5857921013876</v>
      </c>
      <c r="AY298" s="214">
        <f t="shared" ref="AY298" si="787">AX300</f>
        <v>172.567142174732</v>
      </c>
      <c r="AZ298" s="214">
        <f t="shared" ref="AZ298" si="788">AY300</f>
        <v>172.567142174732</v>
      </c>
      <c r="BA298" s="214">
        <f t="shared" ref="BA298" si="789">AZ300</f>
        <v>133.13457492223552</v>
      </c>
      <c r="BB298" s="214">
        <f t="shared" ref="BB298" si="790">BA300</f>
        <v>133.13457492223552</v>
      </c>
      <c r="BC298" s="214">
        <f t="shared" ref="BC298" si="791">BB300</f>
        <v>0</v>
      </c>
      <c r="BD298" s="214">
        <f t="shared" ref="BD298" si="792">BC300</f>
        <v>0</v>
      </c>
      <c r="BE298" s="214">
        <f t="shared" ref="BE298" si="793">BD300</f>
        <v>0</v>
      </c>
      <c r="BF298" s="214">
        <f t="shared" ref="BF298" si="794">BE300</f>
        <v>0</v>
      </c>
      <c r="BG298" s="214">
        <f t="shared" ref="BG298" si="795">BF300</f>
        <v>0</v>
      </c>
      <c r="BH298" s="214">
        <f t="shared" ref="BH298" si="796">BG300</f>
        <v>0</v>
      </c>
      <c r="BI298" s="214">
        <f t="shared" ref="BI298" si="797">BH300</f>
        <v>0</v>
      </c>
      <c r="BJ298" s="214">
        <f t="shared" ref="BJ298" si="798">BI300</f>
        <v>0</v>
      </c>
      <c r="BK298" s="214">
        <f t="shared" ref="BK298" si="799">BJ300</f>
        <v>0</v>
      </c>
      <c r="BL298" s="214">
        <f t="shared" ref="BL298" si="800">BK300</f>
        <v>0</v>
      </c>
      <c r="BM298" s="214">
        <f t="shared" ref="BM298" si="801">BL300</f>
        <v>0</v>
      </c>
      <c r="BN298" s="214">
        <f t="shared" ref="BN298" si="802">BM300</f>
        <v>0</v>
      </c>
      <c r="BO298" s="214">
        <f t="shared" ref="BO298" si="803">BN300</f>
        <v>0</v>
      </c>
      <c r="BP298" s="214">
        <f t="shared" ref="BP298" si="804">BO300</f>
        <v>0</v>
      </c>
      <c r="BQ298" s="214">
        <f t="shared" ref="BQ298" si="805">BP300</f>
        <v>0</v>
      </c>
      <c r="BR298" s="214">
        <f t="shared" ref="BR298" si="806">BQ300</f>
        <v>0</v>
      </c>
      <c r="BS298" s="214">
        <f t="shared" ref="BS298" si="807">BR300</f>
        <v>0</v>
      </c>
      <c r="BT298" s="214">
        <f t="shared" ref="BT298" si="808">BS300</f>
        <v>0</v>
      </c>
      <c r="BU298" s="214">
        <f t="shared" ref="BU298" si="809">BT300</f>
        <v>0</v>
      </c>
      <c r="BV298" s="214">
        <f t="shared" ref="BV298" si="810">BU300</f>
        <v>0</v>
      </c>
      <c r="BW298" s="214">
        <f t="shared" ref="BW298" si="811">BV300</f>
        <v>0</v>
      </c>
      <c r="BX298" s="214">
        <f t="shared" ref="BX298" si="812">BW300</f>
        <v>0</v>
      </c>
      <c r="BY298" s="214">
        <f t="shared" ref="BY298" si="813">BX300</f>
        <v>0</v>
      </c>
      <c r="BZ298" s="214">
        <f t="shared" ref="BZ298" si="814">BY300</f>
        <v>0</v>
      </c>
      <c r="CA298" s="214">
        <f t="shared" ref="CA298" si="815">BZ300</f>
        <v>0</v>
      </c>
      <c r="CB298" s="214">
        <f t="shared" ref="CB298" si="816">CA300</f>
        <v>0</v>
      </c>
      <c r="CC298" s="214">
        <f t="shared" ref="CC298" si="817">CB300</f>
        <v>0</v>
      </c>
      <c r="CD298" s="214">
        <f t="shared" ref="CD298" si="818">CC300</f>
        <v>0</v>
      </c>
      <c r="CE298" s="214">
        <f t="shared" ref="CE298" si="819">CD300</f>
        <v>0</v>
      </c>
      <c r="CF298" s="214">
        <f t="shared" ref="CF298" si="820">CE300</f>
        <v>0</v>
      </c>
      <c r="CG298" s="214">
        <f t="shared" ref="CG298" si="821">CF300</f>
        <v>0</v>
      </c>
      <c r="CH298" s="214">
        <f t="shared" ref="CH298" si="822">CG300</f>
        <v>0</v>
      </c>
      <c r="CI298" s="214">
        <f t="shared" ref="CI298" si="823">CH300</f>
        <v>0</v>
      </c>
      <c r="CJ298" s="214">
        <f t="shared" ref="CJ298" si="824">CI300</f>
        <v>0</v>
      </c>
      <c r="CK298" s="214">
        <f t="shared" ref="CK298" si="825">CJ300</f>
        <v>0</v>
      </c>
      <c r="CL298" s="214">
        <f t="shared" ref="CL298" si="826">CK300</f>
        <v>0</v>
      </c>
      <c r="CM298" s="214">
        <f t="shared" ref="CM298" si="827">CL300</f>
        <v>0</v>
      </c>
      <c r="CN298" s="214">
        <f t="shared" ref="CN298" si="828">CM300</f>
        <v>0</v>
      </c>
      <c r="CO298" s="214">
        <f t="shared" ref="CO298" si="829">CN300</f>
        <v>0</v>
      </c>
      <c r="CP298" s="214">
        <f t="shared" ref="CP298" si="830">CO300</f>
        <v>0</v>
      </c>
      <c r="CQ298" s="214">
        <f t="shared" ref="CQ298" si="831">CP300</f>
        <v>0</v>
      </c>
      <c r="CR298" s="214">
        <f t="shared" ref="CR298" si="832">CQ300</f>
        <v>0</v>
      </c>
      <c r="CS298" s="214">
        <f t="shared" ref="CS298" si="833">CR300</f>
        <v>0</v>
      </c>
      <c r="CT298" s="214">
        <f t="shared" ref="CT298" si="834">CS300</f>
        <v>0</v>
      </c>
      <c r="CU298" s="214">
        <f t="shared" ref="CU298" si="835">CT300</f>
        <v>0</v>
      </c>
      <c r="CV298" s="214">
        <f t="shared" ref="CV298" si="836">CU300</f>
        <v>0</v>
      </c>
    </row>
    <row r="299" spans="1:100" s="540" customFormat="1" outlineLevel="2" x14ac:dyDescent="0.2">
      <c r="A299" s="236"/>
      <c r="B299" s="236"/>
      <c r="C299" s="237"/>
      <c r="D299" s="238"/>
      <c r="E299" s="126" t="str">
        <f xml:space="preserve"> E$293</f>
        <v>Release of working capital reserve - P99</v>
      </c>
      <c r="F299" s="126">
        <f t="shared" ref="F299:BQ299" si="837" xml:space="preserve"> F$293</f>
        <v>0</v>
      </c>
      <c r="G299" s="126" t="str">
        <f t="shared" si="837"/>
        <v>$ 000s</v>
      </c>
      <c r="H299" s="126">
        <f t="shared" si="837"/>
        <v>3857.1209730037863</v>
      </c>
      <c r="I299" s="126">
        <f t="shared" si="837"/>
        <v>0</v>
      </c>
      <c r="J299" s="126">
        <f t="shared" si="837"/>
        <v>0</v>
      </c>
      <c r="K299" s="126">
        <f t="shared" si="837"/>
        <v>0</v>
      </c>
      <c r="L299" s="126">
        <f t="shared" si="837"/>
        <v>0</v>
      </c>
      <c r="M299" s="126">
        <f t="shared" si="837"/>
        <v>0</v>
      </c>
      <c r="N299" s="126">
        <f t="shared" si="837"/>
        <v>0</v>
      </c>
      <c r="O299" s="126">
        <f t="shared" si="837"/>
        <v>2942.2107868979674</v>
      </c>
      <c r="P299" s="126">
        <f t="shared" si="837"/>
        <v>48.765924644716506</v>
      </c>
      <c r="Q299" s="126">
        <f t="shared" si="837"/>
        <v>0</v>
      </c>
      <c r="R299" s="126">
        <f t="shared" si="837"/>
        <v>48.307922416201109</v>
      </c>
      <c r="S299" s="126">
        <f t="shared" si="837"/>
        <v>0</v>
      </c>
      <c r="T299" s="126">
        <f t="shared" si="837"/>
        <v>47.843569383759132</v>
      </c>
      <c r="U299" s="126">
        <f t="shared" si="837"/>
        <v>0</v>
      </c>
      <c r="V299" s="126">
        <f t="shared" si="837"/>
        <v>31.40829483962716</v>
      </c>
      <c r="W299" s="126">
        <f t="shared" si="837"/>
        <v>0</v>
      </c>
      <c r="X299" s="126">
        <f t="shared" si="837"/>
        <v>46.895274025585422</v>
      </c>
      <c r="Y299" s="126">
        <f t="shared" si="837"/>
        <v>0</v>
      </c>
      <c r="Z299" s="126">
        <f t="shared" si="837"/>
        <v>46.411056518652913</v>
      </c>
      <c r="AA299" s="126">
        <f t="shared" si="837"/>
        <v>0</v>
      </c>
      <c r="AB299" s="126">
        <f t="shared" si="837"/>
        <v>45.919937736734937</v>
      </c>
      <c r="AC299" s="126">
        <f t="shared" si="837"/>
        <v>0</v>
      </c>
      <c r="AD299" s="126">
        <f t="shared" si="837"/>
        <v>30.114801947007436</v>
      </c>
      <c r="AE299" s="126">
        <f t="shared" si="837"/>
        <v>0</v>
      </c>
      <c r="AF299" s="126">
        <f t="shared" si="837"/>
        <v>44.916415141821744</v>
      </c>
      <c r="AG299" s="126">
        <f t="shared" si="837"/>
        <v>0</v>
      </c>
      <c r="AH299" s="126">
        <f t="shared" si="837"/>
        <v>44.403713426588183</v>
      </c>
      <c r="AI299" s="126">
        <f t="shared" si="837"/>
        <v>0</v>
      </c>
      <c r="AJ299" s="126">
        <f t="shared" si="837"/>
        <v>43.883514514232957</v>
      </c>
      <c r="AK299" s="126">
        <f t="shared" si="837"/>
        <v>0</v>
      </c>
      <c r="AL299" s="126">
        <f t="shared" si="837"/>
        <v>28.744962643471808</v>
      </c>
      <c r="AM299" s="126">
        <f t="shared" si="837"/>
        <v>0</v>
      </c>
      <c r="AN299" s="126">
        <f t="shared" si="837"/>
        <v>42.819995893350097</v>
      </c>
      <c r="AO299" s="126">
        <f t="shared" si="837"/>
        <v>0</v>
      </c>
      <c r="AP299" s="126">
        <f t="shared" si="837"/>
        <v>42.276353678219493</v>
      </c>
      <c r="AQ299" s="126">
        <f t="shared" si="837"/>
        <v>0</v>
      </c>
      <c r="AR299" s="126">
        <f t="shared" si="837"/>
        <v>41.724569125380185</v>
      </c>
      <c r="AS299" s="126">
        <f t="shared" si="837"/>
        <v>0</v>
      </c>
      <c r="AT299" s="126">
        <f t="shared" si="837"/>
        <v>27.292196244370643</v>
      </c>
      <c r="AU299" s="126">
        <f t="shared" si="837"/>
        <v>0</v>
      </c>
      <c r="AV299" s="126">
        <f t="shared" si="837"/>
        <v>40.595891824711543</v>
      </c>
      <c r="AW299" s="126">
        <f t="shared" si="837"/>
        <v>0</v>
      </c>
      <c r="AX299" s="126">
        <f t="shared" si="837"/>
        <v>40.018649926655598</v>
      </c>
      <c r="AY299" s="126">
        <f t="shared" si="837"/>
        <v>0</v>
      </c>
      <c r="AZ299" s="126">
        <f t="shared" si="837"/>
        <v>39.432567252496483</v>
      </c>
      <c r="BA299" s="126">
        <f t="shared" si="837"/>
        <v>0</v>
      </c>
      <c r="BB299" s="126">
        <f t="shared" si="837"/>
        <v>133.13457492223552</v>
      </c>
      <c r="BC299" s="126">
        <f t="shared" si="837"/>
        <v>0</v>
      </c>
      <c r="BD299" s="126">
        <f t="shared" si="837"/>
        <v>0</v>
      </c>
      <c r="BE299" s="126">
        <f t="shared" si="837"/>
        <v>0</v>
      </c>
      <c r="BF299" s="126">
        <f t="shared" si="837"/>
        <v>0</v>
      </c>
      <c r="BG299" s="126">
        <f t="shared" si="837"/>
        <v>0</v>
      </c>
      <c r="BH299" s="126">
        <f t="shared" si="837"/>
        <v>0</v>
      </c>
      <c r="BI299" s="126">
        <f t="shared" si="837"/>
        <v>0</v>
      </c>
      <c r="BJ299" s="126">
        <f t="shared" si="837"/>
        <v>0</v>
      </c>
      <c r="BK299" s="126">
        <f t="shared" si="837"/>
        <v>0</v>
      </c>
      <c r="BL299" s="126">
        <f t="shared" si="837"/>
        <v>0</v>
      </c>
      <c r="BM299" s="126">
        <f t="shared" si="837"/>
        <v>0</v>
      </c>
      <c r="BN299" s="126">
        <f t="shared" si="837"/>
        <v>0</v>
      </c>
      <c r="BO299" s="126">
        <f t="shared" si="837"/>
        <v>0</v>
      </c>
      <c r="BP299" s="126">
        <f t="shared" si="837"/>
        <v>0</v>
      </c>
      <c r="BQ299" s="126">
        <f t="shared" si="837"/>
        <v>0</v>
      </c>
      <c r="BR299" s="126">
        <f t="shared" ref="BR299:CV299" si="838" xml:space="preserve"> BR$293</f>
        <v>0</v>
      </c>
      <c r="BS299" s="126">
        <f t="shared" si="838"/>
        <v>0</v>
      </c>
      <c r="BT299" s="126">
        <f t="shared" si="838"/>
        <v>0</v>
      </c>
      <c r="BU299" s="126">
        <f t="shared" si="838"/>
        <v>0</v>
      </c>
      <c r="BV299" s="126">
        <f t="shared" si="838"/>
        <v>0</v>
      </c>
      <c r="BW299" s="126">
        <f t="shared" si="838"/>
        <v>0</v>
      </c>
      <c r="BX299" s="126">
        <f t="shared" si="838"/>
        <v>0</v>
      </c>
      <c r="BY299" s="126">
        <f t="shared" si="838"/>
        <v>0</v>
      </c>
      <c r="BZ299" s="126">
        <f t="shared" si="838"/>
        <v>0</v>
      </c>
      <c r="CA299" s="126">
        <f t="shared" si="838"/>
        <v>0</v>
      </c>
      <c r="CB299" s="126">
        <f t="shared" si="838"/>
        <v>0</v>
      </c>
      <c r="CC299" s="126">
        <f t="shared" si="838"/>
        <v>0</v>
      </c>
      <c r="CD299" s="126">
        <f t="shared" si="838"/>
        <v>0</v>
      </c>
      <c r="CE299" s="126">
        <f t="shared" si="838"/>
        <v>0</v>
      </c>
      <c r="CF299" s="126">
        <f t="shared" si="838"/>
        <v>0</v>
      </c>
      <c r="CG299" s="126">
        <f t="shared" si="838"/>
        <v>0</v>
      </c>
      <c r="CH299" s="126">
        <f t="shared" si="838"/>
        <v>0</v>
      </c>
      <c r="CI299" s="126">
        <f t="shared" si="838"/>
        <v>0</v>
      </c>
      <c r="CJ299" s="126">
        <f t="shared" si="838"/>
        <v>0</v>
      </c>
      <c r="CK299" s="126">
        <f t="shared" si="838"/>
        <v>0</v>
      </c>
      <c r="CL299" s="126">
        <f t="shared" si="838"/>
        <v>0</v>
      </c>
      <c r="CM299" s="126">
        <f t="shared" si="838"/>
        <v>0</v>
      </c>
      <c r="CN299" s="126">
        <f t="shared" si="838"/>
        <v>0</v>
      </c>
      <c r="CO299" s="126">
        <f t="shared" si="838"/>
        <v>0</v>
      </c>
      <c r="CP299" s="126">
        <f t="shared" si="838"/>
        <v>0</v>
      </c>
      <c r="CQ299" s="126">
        <f t="shared" si="838"/>
        <v>0</v>
      </c>
      <c r="CR299" s="126">
        <f t="shared" si="838"/>
        <v>0</v>
      </c>
      <c r="CS299" s="126">
        <f t="shared" si="838"/>
        <v>0</v>
      </c>
      <c r="CT299" s="126">
        <f t="shared" si="838"/>
        <v>0</v>
      </c>
      <c r="CU299" s="126">
        <f t="shared" si="838"/>
        <v>0</v>
      </c>
      <c r="CV299" s="126">
        <f t="shared" si="838"/>
        <v>0</v>
      </c>
    </row>
    <row r="300" spans="1:100" s="541" customFormat="1" outlineLevel="2" x14ac:dyDescent="0.2">
      <c r="A300" s="391"/>
      <c r="B300" s="391"/>
      <c r="C300" s="392"/>
      <c r="D300" s="393"/>
      <c r="E300" s="394" t="s">
        <v>1182</v>
      </c>
      <c r="F300" s="394"/>
      <c r="G300" s="394" t="str">
        <f xml:space="preserve"> SMU</f>
        <v>$ 000s</v>
      </c>
      <c r="H300" s="394"/>
      <c r="I300" s="395"/>
      <c r="J300" s="394">
        <f t="shared" ref="J300" si="839" xml:space="preserve"> IF( J296 = 1, $F295, J298 - J299)</f>
        <v>0</v>
      </c>
      <c r="K300" s="394">
        <f t="shared" ref="K300" si="840" xml:space="preserve"> IF( K296 = 1, $F295, K298 - K299)</f>
        <v>0</v>
      </c>
      <c r="L300" s="394">
        <f t="shared" ref="L300" si="841" xml:space="preserve"> IF( L296 = 1, $F295, L298 - L299)</f>
        <v>0</v>
      </c>
      <c r="M300" s="394">
        <f t="shared" ref="M300" si="842" xml:space="preserve"> IF( M296 = 1, $F295, M298 - M299)</f>
        <v>0</v>
      </c>
      <c r="N300" s="394">
        <f t="shared" ref="N300" si="843" xml:space="preserve"> IF( N296 = 1, $F295, N298 - N299)</f>
        <v>3857.1209730037863</v>
      </c>
      <c r="O300" s="394">
        <f t="shared" ref="O300" si="844" xml:space="preserve"> IF( O296 = 1, $F295, O298 - O299)</f>
        <v>914.91018610581887</v>
      </c>
      <c r="P300" s="394">
        <f t="shared" ref="P300" si="845" xml:space="preserve"> IF( P296 = 1, $F295, P298 - P299)</f>
        <v>866.14426146110236</v>
      </c>
      <c r="Q300" s="394">
        <f t="shared" ref="Q300" si="846" xml:space="preserve"> IF( Q296 = 1, $F295, Q298 - Q299)</f>
        <v>866.14426146110236</v>
      </c>
      <c r="R300" s="394">
        <f t="shared" ref="R300" si="847" xml:space="preserve"> IF( R296 = 1, $F295, R298 - R299)</f>
        <v>817.83633904490125</v>
      </c>
      <c r="S300" s="394">
        <f t="shared" ref="S300" si="848" xml:space="preserve"> IF( S296 = 1, $F295, S298 - S299)</f>
        <v>817.83633904490125</v>
      </c>
      <c r="T300" s="394">
        <f t="shared" ref="T300" si="849" xml:space="preserve"> IF( T296 = 1, $F295, T298 - T299)</f>
        <v>769.99276966114212</v>
      </c>
      <c r="U300" s="394">
        <f t="shared" ref="U300" si="850" xml:space="preserve"> IF( U296 = 1, $F295, U298 - U299)</f>
        <v>769.99276966114212</v>
      </c>
      <c r="V300" s="394">
        <f t="shared" ref="V300" si="851" xml:space="preserve"> IF( V296 = 1, $F295, V298 - V299)</f>
        <v>738.58447482151496</v>
      </c>
      <c r="W300" s="394">
        <f t="shared" ref="W300" si="852" xml:space="preserve"> IF( W296 = 1, $F295, W298 - W299)</f>
        <v>738.58447482151496</v>
      </c>
      <c r="X300" s="394">
        <f t="shared" ref="X300" si="853" xml:space="preserve"> IF( X296 = 1, $F295, X298 - X299)</f>
        <v>691.68920079592954</v>
      </c>
      <c r="Y300" s="394">
        <f t="shared" ref="Y300" si="854" xml:space="preserve"> IF( Y296 = 1, $F295, Y298 - Y299)</f>
        <v>691.68920079592954</v>
      </c>
      <c r="Z300" s="394">
        <f t="shared" ref="Z300" si="855" xml:space="preserve"> IF( Z296 = 1, $F295, Z298 - Z299)</f>
        <v>645.27814427727662</v>
      </c>
      <c r="AA300" s="394">
        <f t="shared" ref="AA300" si="856" xml:space="preserve"> IF( AA296 = 1, $F295, AA298 - AA299)</f>
        <v>645.27814427727662</v>
      </c>
      <c r="AB300" s="394">
        <f t="shared" ref="AB300" si="857" xml:space="preserve"> IF( AB296 = 1, $F295, AB298 - AB299)</f>
        <v>599.35820654054169</v>
      </c>
      <c r="AC300" s="394">
        <f t="shared" ref="AC300" si="858" xml:space="preserve"> IF( AC296 = 1, $F295, AC298 - AC299)</f>
        <v>599.35820654054169</v>
      </c>
      <c r="AD300" s="394">
        <f t="shared" ref="AD300" si="859" xml:space="preserve"> IF( AD296 = 1, $F295, AD298 - AD299)</f>
        <v>569.24340459353425</v>
      </c>
      <c r="AE300" s="394">
        <f t="shared" ref="AE300" si="860" xml:space="preserve"> IF( AE296 = 1, $F295, AE298 - AE299)</f>
        <v>569.24340459353425</v>
      </c>
      <c r="AF300" s="394">
        <f t="shared" ref="AF300" si="861" xml:space="preserve"> IF( AF296 = 1, $F295, AF298 - AF299)</f>
        <v>524.32698945171251</v>
      </c>
      <c r="AG300" s="394">
        <f t="shared" ref="AG300" si="862" xml:space="preserve"> IF( AG296 = 1, $F295, AG298 - AG299)</f>
        <v>524.32698945171251</v>
      </c>
      <c r="AH300" s="394">
        <f t="shared" ref="AH300" si="863" xml:space="preserve"> IF( AH296 = 1, $F295, AH298 - AH299)</f>
        <v>479.92327602512432</v>
      </c>
      <c r="AI300" s="394">
        <f t="shared" ref="AI300" si="864" xml:space="preserve"> IF( AI296 = 1, $F295, AI298 - AI299)</f>
        <v>479.92327602512432</v>
      </c>
      <c r="AJ300" s="394">
        <f t="shared" ref="AJ300" si="865" xml:space="preserve"> IF( AJ296 = 1, $F295, AJ298 - AJ299)</f>
        <v>436.03976151089137</v>
      </c>
      <c r="AK300" s="394">
        <f t="shared" ref="AK300" si="866" xml:space="preserve"> IF( AK296 = 1, $F295, AK298 - AK299)</f>
        <v>436.03976151089137</v>
      </c>
      <c r="AL300" s="394">
        <f t="shared" ref="AL300" si="867" xml:space="preserve"> IF( AL296 = 1, $F295, AL298 - AL299)</f>
        <v>407.29479886741956</v>
      </c>
      <c r="AM300" s="394">
        <f t="shared" ref="AM300" si="868" xml:space="preserve"> IF( AM296 = 1, $F295, AM298 - AM299)</f>
        <v>407.29479886741956</v>
      </c>
      <c r="AN300" s="394">
        <f t="shared" ref="AN300" si="869" xml:space="preserve"> IF( AN296 = 1, $F295, AN298 - AN299)</f>
        <v>364.47480297406946</v>
      </c>
      <c r="AO300" s="394">
        <f t="shared" ref="AO300" si="870" xml:space="preserve"> IF( AO296 = 1, $F295, AO298 - AO299)</f>
        <v>364.47480297406946</v>
      </c>
      <c r="AP300" s="394">
        <f t="shared" ref="AP300" si="871" xml:space="preserve"> IF( AP296 = 1, $F295, AP298 - AP299)</f>
        <v>322.19844929584997</v>
      </c>
      <c r="AQ300" s="394">
        <f t="shared" ref="AQ300" si="872" xml:space="preserve"> IF( AQ296 = 1, $F295, AQ298 - AQ299)</f>
        <v>322.19844929584997</v>
      </c>
      <c r="AR300" s="394">
        <f t="shared" ref="AR300" si="873" xml:space="preserve"> IF( AR296 = 1, $F295, AR298 - AR299)</f>
        <v>280.47388017046978</v>
      </c>
      <c r="AS300" s="394">
        <f t="shared" ref="AS300" si="874" xml:space="preserve"> IF( AS296 = 1, $F295, AS298 - AS299)</f>
        <v>280.47388017046978</v>
      </c>
      <c r="AT300" s="394">
        <f t="shared" ref="AT300" si="875" xml:space="preserve"> IF( AT296 = 1, $F295, AT298 - AT299)</f>
        <v>253.18168392609914</v>
      </c>
      <c r="AU300" s="394">
        <f t="shared" ref="AU300" si="876" xml:space="preserve"> IF( AU296 = 1, $F295, AU298 - AU299)</f>
        <v>253.18168392609914</v>
      </c>
      <c r="AV300" s="394">
        <f t="shared" ref="AV300" si="877" xml:space="preserve"> IF( AV296 = 1, $F295, AV298 - AV299)</f>
        <v>212.5857921013876</v>
      </c>
      <c r="AW300" s="394">
        <f t="shared" ref="AW300" si="878" xml:space="preserve"> IF( AW296 = 1, $F295, AW298 - AW299)</f>
        <v>212.5857921013876</v>
      </c>
      <c r="AX300" s="394">
        <f t="shared" ref="AX300" si="879" xml:space="preserve"> IF( AX296 = 1, $F295, AX298 - AX299)</f>
        <v>172.567142174732</v>
      </c>
      <c r="AY300" s="394">
        <f t="shared" ref="AY300" si="880" xml:space="preserve"> IF( AY296 = 1, $F295, AY298 - AY299)</f>
        <v>172.567142174732</v>
      </c>
      <c r="AZ300" s="394">
        <f t="shared" ref="AZ300" si="881" xml:space="preserve"> IF( AZ296 = 1, $F295, AZ298 - AZ299)</f>
        <v>133.13457492223552</v>
      </c>
      <c r="BA300" s="394">
        <f t="shared" ref="BA300" si="882" xml:space="preserve"> IF( BA296 = 1, $F295, BA298 - BA299)</f>
        <v>133.13457492223552</v>
      </c>
      <c r="BB300" s="394">
        <f t="shared" ref="BB300" si="883" xml:space="preserve"> IF( BB296 = 1, $F295, BB298 - BB299)</f>
        <v>0</v>
      </c>
      <c r="BC300" s="394">
        <f t="shared" ref="BC300" si="884" xml:space="preserve"> IF( BC296 = 1, $F295, BC298 - BC299)</f>
        <v>0</v>
      </c>
      <c r="BD300" s="394">
        <f t="shared" ref="BD300" si="885" xml:space="preserve"> IF( BD296 = 1, $F295, BD298 - BD299)</f>
        <v>0</v>
      </c>
      <c r="BE300" s="394">
        <f t="shared" ref="BE300" si="886" xml:space="preserve"> IF( BE296 = 1, $F295, BE298 - BE299)</f>
        <v>0</v>
      </c>
      <c r="BF300" s="394">
        <f t="shared" ref="BF300" si="887" xml:space="preserve"> IF( BF296 = 1, $F295, BF298 - BF299)</f>
        <v>0</v>
      </c>
      <c r="BG300" s="394">
        <f t="shared" ref="BG300" si="888" xml:space="preserve"> IF( BG296 = 1, $F295, BG298 - BG299)</f>
        <v>0</v>
      </c>
      <c r="BH300" s="394">
        <f t="shared" ref="BH300" si="889" xml:space="preserve"> IF( BH296 = 1, $F295, BH298 - BH299)</f>
        <v>0</v>
      </c>
      <c r="BI300" s="394">
        <f t="shared" ref="BI300" si="890" xml:space="preserve"> IF( BI296 = 1, $F295, BI298 - BI299)</f>
        <v>0</v>
      </c>
      <c r="BJ300" s="394">
        <f t="shared" ref="BJ300" si="891" xml:space="preserve"> IF( BJ296 = 1, $F295, BJ298 - BJ299)</f>
        <v>0</v>
      </c>
      <c r="BK300" s="394">
        <f t="shared" ref="BK300" si="892" xml:space="preserve"> IF( BK296 = 1, $F295, BK298 - BK299)</f>
        <v>0</v>
      </c>
      <c r="BL300" s="394">
        <f t="shared" ref="BL300" si="893" xml:space="preserve"> IF( BL296 = 1, $F295, BL298 - BL299)</f>
        <v>0</v>
      </c>
      <c r="BM300" s="394">
        <f t="shared" ref="BM300" si="894" xml:space="preserve"> IF( BM296 = 1, $F295, BM298 - BM299)</f>
        <v>0</v>
      </c>
      <c r="BN300" s="394">
        <f t="shared" ref="BN300" si="895" xml:space="preserve"> IF( BN296 = 1, $F295, BN298 - BN299)</f>
        <v>0</v>
      </c>
      <c r="BO300" s="394">
        <f t="shared" ref="BO300" si="896" xml:space="preserve"> IF( BO296 = 1, $F295, BO298 - BO299)</f>
        <v>0</v>
      </c>
      <c r="BP300" s="394">
        <f t="shared" ref="BP300" si="897" xml:space="preserve"> IF( BP296 = 1, $F295, BP298 - BP299)</f>
        <v>0</v>
      </c>
      <c r="BQ300" s="394">
        <f t="shared" ref="BQ300" si="898" xml:space="preserve"> IF( BQ296 = 1, $F295, BQ298 - BQ299)</f>
        <v>0</v>
      </c>
      <c r="BR300" s="394">
        <f t="shared" ref="BR300" si="899" xml:space="preserve"> IF( BR296 = 1, $F295, BR298 - BR299)</f>
        <v>0</v>
      </c>
      <c r="BS300" s="394">
        <f t="shared" ref="BS300" si="900" xml:space="preserve"> IF( BS296 = 1, $F295, BS298 - BS299)</f>
        <v>0</v>
      </c>
      <c r="BT300" s="394">
        <f t="shared" ref="BT300" si="901" xml:space="preserve"> IF( BT296 = 1, $F295, BT298 - BT299)</f>
        <v>0</v>
      </c>
      <c r="BU300" s="394">
        <f t="shared" ref="BU300" si="902" xml:space="preserve"> IF( BU296 = 1, $F295, BU298 - BU299)</f>
        <v>0</v>
      </c>
      <c r="BV300" s="394">
        <f t="shared" ref="BV300" si="903" xml:space="preserve"> IF( BV296 = 1, $F295, BV298 - BV299)</f>
        <v>0</v>
      </c>
      <c r="BW300" s="394">
        <f t="shared" ref="BW300" si="904" xml:space="preserve"> IF( BW296 = 1, $F295, BW298 - BW299)</f>
        <v>0</v>
      </c>
      <c r="BX300" s="394">
        <f t="shared" ref="BX300" si="905" xml:space="preserve"> IF( BX296 = 1, $F295, BX298 - BX299)</f>
        <v>0</v>
      </c>
      <c r="BY300" s="394">
        <f t="shared" ref="BY300" si="906" xml:space="preserve"> IF( BY296 = 1, $F295, BY298 - BY299)</f>
        <v>0</v>
      </c>
      <c r="BZ300" s="394">
        <f t="shared" ref="BZ300" si="907" xml:space="preserve"> IF( BZ296 = 1, $F295, BZ298 - BZ299)</f>
        <v>0</v>
      </c>
      <c r="CA300" s="394">
        <f t="shared" ref="CA300" si="908" xml:space="preserve"> IF( CA296 = 1, $F295, CA298 - CA299)</f>
        <v>0</v>
      </c>
      <c r="CB300" s="394">
        <f t="shared" ref="CB300" si="909" xml:space="preserve"> IF( CB296 = 1, $F295, CB298 - CB299)</f>
        <v>0</v>
      </c>
      <c r="CC300" s="394">
        <f t="shared" ref="CC300" si="910" xml:space="preserve"> IF( CC296 = 1, $F295, CC298 - CC299)</f>
        <v>0</v>
      </c>
      <c r="CD300" s="394">
        <f t="shared" ref="CD300" si="911" xml:space="preserve"> IF( CD296 = 1, $F295, CD298 - CD299)</f>
        <v>0</v>
      </c>
      <c r="CE300" s="394">
        <f t="shared" ref="CE300" si="912" xml:space="preserve"> IF( CE296 = 1, $F295, CE298 - CE299)</f>
        <v>0</v>
      </c>
      <c r="CF300" s="394">
        <f t="shared" ref="CF300" si="913" xml:space="preserve"> IF( CF296 = 1, $F295, CF298 - CF299)</f>
        <v>0</v>
      </c>
      <c r="CG300" s="394">
        <f t="shared" ref="CG300" si="914" xml:space="preserve"> IF( CG296 = 1, $F295, CG298 - CG299)</f>
        <v>0</v>
      </c>
      <c r="CH300" s="394">
        <f t="shared" ref="CH300" si="915" xml:space="preserve"> IF( CH296 = 1, $F295, CH298 - CH299)</f>
        <v>0</v>
      </c>
      <c r="CI300" s="394">
        <f t="shared" ref="CI300" si="916" xml:space="preserve"> IF( CI296 = 1, $F295, CI298 - CI299)</f>
        <v>0</v>
      </c>
      <c r="CJ300" s="394">
        <f t="shared" ref="CJ300" si="917" xml:space="preserve"> IF( CJ296 = 1, $F295, CJ298 - CJ299)</f>
        <v>0</v>
      </c>
      <c r="CK300" s="394">
        <f t="shared" ref="CK300" si="918" xml:space="preserve"> IF( CK296 = 1, $F295, CK298 - CK299)</f>
        <v>0</v>
      </c>
      <c r="CL300" s="394">
        <f t="shared" ref="CL300" si="919" xml:space="preserve"> IF( CL296 = 1, $F295, CL298 - CL299)</f>
        <v>0</v>
      </c>
      <c r="CM300" s="394">
        <f t="shared" ref="CM300" si="920" xml:space="preserve"> IF( CM296 = 1, $F295, CM298 - CM299)</f>
        <v>0</v>
      </c>
      <c r="CN300" s="394">
        <f t="shared" ref="CN300" si="921" xml:space="preserve"> IF( CN296 = 1, $F295, CN298 - CN299)</f>
        <v>0</v>
      </c>
      <c r="CO300" s="394">
        <f t="shared" ref="CO300" si="922" xml:space="preserve"> IF( CO296 = 1, $F295, CO298 - CO299)</f>
        <v>0</v>
      </c>
      <c r="CP300" s="394">
        <f t="shared" ref="CP300" si="923" xml:space="preserve"> IF( CP296 = 1, $F295, CP298 - CP299)</f>
        <v>0</v>
      </c>
      <c r="CQ300" s="394">
        <f t="shared" ref="CQ300" si="924" xml:space="preserve"> IF( CQ296 = 1, $F295, CQ298 - CQ299)</f>
        <v>0</v>
      </c>
      <c r="CR300" s="394">
        <f t="shared" ref="CR300" si="925" xml:space="preserve"> IF( CR296 = 1, $F295, CR298 - CR299)</f>
        <v>0</v>
      </c>
      <c r="CS300" s="394">
        <f t="shared" ref="CS300" si="926" xml:space="preserve"> IF( CS296 = 1, $F295, CS298 - CS299)</f>
        <v>0</v>
      </c>
      <c r="CT300" s="394">
        <f t="shared" ref="CT300" si="927" xml:space="preserve"> IF( CT296 = 1, $F295, CT298 - CT299)</f>
        <v>0</v>
      </c>
      <c r="CU300" s="394">
        <f t="shared" ref="CU300" si="928" xml:space="preserve"> IF( CU296 = 1, $F295, CU298 - CU299)</f>
        <v>0</v>
      </c>
      <c r="CV300" s="394">
        <f t="shared" ref="CV300" si="929" xml:space="preserve"> IF( CV296 = 1, $F295, CV298 - CV299)</f>
        <v>0</v>
      </c>
    </row>
    <row r="301" spans="1:100" outlineLevel="2" x14ac:dyDescent="0.2">
      <c r="A301" s="236"/>
      <c r="B301" s="236"/>
      <c r="C301" s="237"/>
      <c r="D301" s="238"/>
      <c r="E301" s="235"/>
      <c r="F301" s="235"/>
      <c r="G301" s="235"/>
      <c r="H301" s="235"/>
      <c r="I301" s="235"/>
      <c r="J301" s="235"/>
      <c r="K301" s="235"/>
      <c r="L301" s="235"/>
      <c r="M301" s="235"/>
      <c r="N301" s="235"/>
      <c r="O301" s="235"/>
      <c r="P301" s="235"/>
      <c r="Q301" s="235"/>
      <c r="R301" s="235"/>
      <c r="S301" s="235"/>
      <c r="T301" s="235"/>
      <c r="U301" s="235"/>
      <c r="V301" s="235"/>
      <c r="W301" s="235"/>
      <c r="X301" s="235"/>
      <c r="Y301" s="235"/>
      <c r="Z301" s="235"/>
      <c r="AA301" s="235"/>
      <c r="AB301" s="235"/>
      <c r="AC301" s="235"/>
      <c r="AD301" s="235"/>
      <c r="AE301" s="235"/>
      <c r="AF301" s="235"/>
      <c r="AG301" s="235"/>
      <c r="AH301" s="235"/>
      <c r="AI301" s="235"/>
      <c r="AJ301" s="235"/>
      <c r="AK301" s="235"/>
      <c r="AL301" s="235"/>
      <c r="AM301" s="235"/>
      <c r="AN301" s="235"/>
      <c r="AO301" s="235"/>
      <c r="AP301" s="235"/>
      <c r="AQ301" s="235"/>
      <c r="AR301" s="235"/>
      <c r="AS301" s="235"/>
      <c r="AT301" s="235"/>
      <c r="AU301" s="235"/>
      <c r="AV301" s="235"/>
      <c r="AW301" s="235"/>
      <c r="AX301" s="235"/>
      <c r="AY301" s="235"/>
      <c r="AZ301" s="235"/>
      <c r="BA301" s="235"/>
      <c r="BB301" s="235"/>
      <c r="BC301" s="235"/>
      <c r="BD301" s="235"/>
      <c r="BE301" s="235"/>
      <c r="BF301" s="235"/>
      <c r="BG301" s="235"/>
      <c r="BH301" s="235"/>
      <c r="BI301" s="235"/>
      <c r="BJ301" s="235"/>
      <c r="BK301" s="235"/>
      <c r="BL301" s="235"/>
      <c r="BM301" s="235"/>
      <c r="BN301" s="235"/>
      <c r="BO301" s="235"/>
      <c r="BP301" s="235"/>
      <c r="BQ301" s="235"/>
      <c r="BR301" s="235"/>
      <c r="BS301" s="235"/>
      <c r="BT301" s="235"/>
      <c r="BU301" s="235"/>
      <c r="BV301" s="235"/>
      <c r="BW301" s="235"/>
      <c r="BX301" s="235"/>
      <c r="BY301" s="235"/>
      <c r="BZ301" s="235"/>
      <c r="CA301" s="235"/>
      <c r="CB301" s="235"/>
      <c r="CC301" s="235"/>
      <c r="CD301" s="235"/>
      <c r="CE301" s="235"/>
      <c r="CF301" s="235"/>
      <c r="CG301" s="235"/>
      <c r="CH301" s="235"/>
      <c r="CI301" s="235"/>
      <c r="CJ301" s="235"/>
      <c r="CK301" s="235"/>
      <c r="CL301" s="235"/>
      <c r="CM301" s="235"/>
      <c r="CN301" s="235"/>
      <c r="CO301" s="235"/>
      <c r="CP301" s="235"/>
      <c r="CQ301" s="235"/>
      <c r="CR301" s="235"/>
      <c r="CS301" s="235"/>
      <c r="CT301" s="235"/>
      <c r="CU301" s="235"/>
      <c r="CV301" s="235"/>
    </row>
    <row r="302" spans="1:100" x14ac:dyDescent="0.2">
      <c r="A302" s="236"/>
      <c r="B302" s="236"/>
      <c r="C302" s="237"/>
      <c r="D302" s="238"/>
      <c r="E302" s="235"/>
      <c r="F302" s="235"/>
      <c r="G302" s="235"/>
      <c r="H302" s="235"/>
      <c r="I302" s="235"/>
      <c r="J302" s="235"/>
      <c r="K302" s="235"/>
      <c r="L302" s="235"/>
      <c r="M302" s="235"/>
      <c r="N302" s="235"/>
      <c r="O302" s="235"/>
      <c r="P302" s="235"/>
      <c r="Q302" s="235"/>
      <c r="R302" s="235"/>
      <c r="S302" s="235"/>
      <c r="T302" s="235"/>
      <c r="U302" s="235"/>
      <c r="V302" s="235"/>
      <c r="W302" s="235"/>
      <c r="X302" s="235"/>
      <c r="Y302" s="235"/>
      <c r="Z302" s="235"/>
      <c r="AA302" s="235"/>
      <c r="AB302" s="235"/>
      <c r="AC302" s="235"/>
      <c r="AD302" s="235"/>
      <c r="AE302" s="235"/>
      <c r="AF302" s="235"/>
      <c r="AG302" s="235"/>
      <c r="AH302" s="235"/>
      <c r="AI302" s="235"/>
      <c r="AJ302" s="235"/>
      <c r="AK302" s="235"/>
      <c r="AL302" s="235"/>
      <c r="AM302" s="235"/>
      <c r="AN302" s="235"/>
      <c r="AO302" s="235"/>
      <c r="AP302" s="235"/>
      <c r="AQ302" s="235"/>
      <c r="AR302" s="235"/>
      <c r="AS302" s="235"/>
      <c r="AT302" s="235"/>
      <c r="AU302" s="235"/>
      <c r="AV302" s="235"/>
      <c r="AW302" s="235"/>
      <c r="AX302" s="235"/>
      <c r="AY302" s="235"/>
      <c r="AZ302" s="235"/>
      <c r="BA302" s="235"/>
      <c r="BB302" s="235"/>
      <c r="BC302" s="235"/>
      <c r="BD302" s="235"/>
      <c r="BE302" s="235"/>
      <c r="BF302" s="235"/>
      <c r="BG302" s="235"/>
      <c r="BH302" s="235"/>
      <c r="BI302" s="235"/>
      <c r="BJ302" s="235"/>
      <c r="BK302" s="235"/>
      <c r="BL302" s="235"/>
      <c r="BM302" s="235"/>
      <c r="BN302" s="235"/>
      <c r="BO302" s="235"/>
      <c r="BP302" s="235"/>
      <c r="BQ302" s="235"/>
      <c r="BR302" s="235"/>
      <c r="BS302" s="235"/>
      <c r="BT302" s="235"/>
      <c r="BU302" s="235"/>
      <c r="BV302" s="235"/>
      <c r="BW302" s="235"/>
      <c r="BX302" s="235"/>
      <c r="BY302" s="235"/>
      <c r="BZ302" s="235"/>
      <c r="CA302" s="235"/>
      <c r="CB302" s="235"/>
      <c r="CC302" s="235"/>
      <c r="CD302" s="235"/>
      <c r="CE302" s="235"/>
      <c r="CF302" s="235"/>
      <c r="CG302" s="235"/>
      <c r="CH302" s="235"/>
      <c r="CI302" s="235"/>
      <c r="CJ302" s="235"/>
      <c r="CK302" s="235"/>
      <c r="CL302" s="235"/>
      <c r="CM302" s="235"/>
      <c r="CN302" s="235"/>
      <c r="CO302" s="235"/>
      <c r="CP302" s="235"/>
      <c r="CQ302" s="235"/>
      <c r="CR302" s="235"/>
      <c r="CS302" s="235"/>
      <c r="CT302" s="235"/>
      <c r="CU302" s="235"/>
      <c r="CV302" s="235"/>
    </row>
    <row r="303" spans="1:100" x14ac:dyDescent="0.2">
      <c r="A303" s="236" t="s">
        <v>752</v>
      </c>
      <c r="B303" s="236"/>
      <c r="C303" s="237"/>
      <c r="D303" s="238"/>
      <c r="E303" s="235"/>
      <c r="F303" s="235"/>
      <c r="G303" s="235"/>
      <c r="H303" s="235"/>
      <c r="I303" s="235"/>
      <c r="J303" s="235"/>
      <c r="K303" s="235"/>
      <c r="L303" s="235"/>
      <c r="M303" s="235"/>
      <c r="N303" s="235"/>
      <c r="O303" s="235"/>
      <c r="P303" s="235"/>
      <c r="Q303" s="235"/>
      <c r="R303" s="235"/>
      <c r="S303" s="235"/>
      <c r="T303" s="235"/>
      <c r="U303" s="235"/>
      <c r="V303" s="235"/>
      <c r="W303" s="235"/>
      <c r="X303" s="235"/>
      <c r="Y303" s="235"/>
      <c r="Z303" s="235"/>
      <c r="AA303" s="235"/>
      <c r="AB303" s="235"/>
      <c r="AC303" s="235"/>
      <c r="AD303" s="235"/>
      <c r="AE303" s="235"/>
      <c r="AF303" s="235"/>
      <c r="AG303" s="235"/>
      <c r="AH303" s="235"/>
      <c r="AI303" s="235"/>
      <c r="AJ303" s="235"/>
      <c r="AK303" s="235"/>
      <c r="AL303" s="235"/>
      <c r="AM303" s="235"/>
      <c r="AN303" s="235"/>
      <c r="AO303" s="235"/>
      <c r="AP303" s="235"/>
      <c r="AQ303" s="235"/>
      <c r="AR303" s="235"/>
      <c r="AS303" s="235"/>
      <c r="AT303" s="235"/>
      <c r="AU303" s="235"/>
      <c r="AV303" s="235"/>
      <c r="AW303" s="235"/>
      <c r="AX303" s="235"/>
      <c r="AY303" s="235"/>
      <c r="AZ303" s="235"/>
      <c r="BA303" s="235"/>
      <c r="BB303" s="235"/>
      <c r="BC303" s="235"/>
      <c r="BD303" s="235"/>
      <c r="BE303" s="235"/>
      <c r="BF303" s="235"/>
      <c r="BG303" s="235"/>
      <c r="BH303" s="235"/>
      <c r="BI303" s="235"/>
      <c r="BJ303" s="235"/>
      <c r="BK303" s="235"/>
      <c r="BL303" s="235"/>
      <c r="BM303" s="235"/>
      <c r="BN303" s="235"/>
      <c r="BO303" s="235"/>
      <c r="BP303" s="235"/>
      <c r="BQ303" s="235"/>
      <c r="BR303" s="235"/>
      <c r="BS303" s="235"/>
      <c r="BT303" s="235"/>
      <c r="BU303" s="235"/>
      <c r="BV303" s="235"/>
      <c r="BW303" s="235"/>
      <c r="BX303" s="235"/>
      <c r="BY303" s="235"/>
      <c r="BZ303" s="235"/>
      <c r="CA303" s="235"/>
      <c r="CB303" s="235"/>
      <c r="CC303" s="235"/>
      <c r="CD303" s="235"/>
      <c r="CE303" s="235"/>
      <c r="CF303" s="235"/>
      <c r="CG303" s="235"/>
      <c r="CH303" s="235"/>
      <c r="CI303" s="235"/>
      <c r="CJ303" s="235"/>
      <c r="CK303" s="235"/>
      <c r="CL303" s="235"/>
      <c r="CM303" s="235"/>
      <c r="CN303" s="235"/>
      <c r="CO303" s="235"/>
      <c r="CP303" s="235"/>
      <c r="CQ303" s="235"/>
      <c r="CR303" s="235"/>
      <c r="CS303" s="235"/>
      <c r="CT303" s="235"/>
      <c r="CU303" s="235"/>
      <c r="CV303" s="235"/>
    </row>
    <row r="304" spans="1:100" outlineLevel="1" x14ac:dyDescent="0.2">
      <c r="A304" s="236"/>
      <c r="B304" s="236"/>
      <c r="C304" s="237"/>
      <c r="D304" s="238"/>
      <c r="E304" s="235"/>
      <c r="F304" s="235"/>
      <c r="G304" s="235"/>
      <c r="H304" s="235"/>
      <c r="I304" s="235"/>
      <c r="J304" s="235"/>
      <c r="K304" s="235"/>
      <c r="L304" s="235"/>
      <c r="M304" s="235"/>
      <c r="N304" s="235"/>
      <c r="O304" s="235"/>
      <c r="P304" s="235"/>
      <c r="Q304" s="235"/>
      <c r="R304" s="235"/>
      <c r="S304" s="235"/>
      <c r="T304" s="235"/>
      <c r="U304" s="235"/>
      <c r="V304" s="235"/>
      <c r="W304" s="235"/>
      <c r="X304" s="235"/>
      <c r="Y304" s="235"/>
      <c r="Z304" s="235"/>
      <c r="AA304" s="235"/>
      <c r="AB304" s="235"/>
      <c r="AC304" s="235"/>
      <c r="AD304" s="235"/>
      <c r="AE304" s="235"/>
      <c r="AF304" s="235"/>
      <c r="AG304" s="235"/>
      <c r="AH304" s="235"/>
      <c r="AI304" s="235"/>
      <c r="AJ304" s="235"/>
      <c r="AK304" s="235"/>
      <c r="AL304" s="235"/>
      <c r="AM304" s="235"/>
      <c r="AN304" s="235"/>
      <c r="AO304" s="235"/>
      <c r="AP304" s="235"/>
      <c r="AQ304" s="235"/>
      <c r="AR304" s="235"/>
      <c r="AS304" s="235"/>
      <c r="AT304" s="235"/>
      <c r="AU304" s="235"/>
      <c r="AV304" s="235"/>
      <c r="AW304" s="235"/>
      <c r="AX304" s="235"/>
      <c r="AY304" s="235"/>
      <c r="AZ304" s="235"/>
      <c r="BA304" s="235"/>
      <c r="BB304" s="235"/>
      <c r="BC304" s="235"/>
      <c r="BD304" s="235"/>
      <c r="BE304" s="235"/>
      <c r="BF304" s="235"/>
      <c r="BG304" s="235"/>
      <c r="BH304" s="235"/>
      <c r="BI304" s="235"/>
      <c r="BJ304" s="235"/>
      <c r="BK304" s="235"/>
      <c r="BL304" s="235"/>
      <c r="BM304" s="235"/>
      <c r="BN304" s="235"/>
      <c r="BO304" s="235"/>
      <c r="BP304" s="235"/>
      <c r="BQ304" s="235"/>
      <c r="BR304" s="235"/>
      <c r="BS304" s="235"/>
      <c r="BT304" s="235"/>
      <c r="BU304" s="235"/>
      <c r="BV304" s="235"/>
      <c r="BW304" s="235"/>
      <c r="BX304" s="235"/>
      <c r="BY304" s="235"/>
      <c r="BZ304" s="235"/>
      <c r="CA304" s="235"/>
      <c r="CB304" s="235"/>
      <c r="CC304" s="235"/>
      <c r="CD304" s="235"/>
      <c r="CE304" s="235"/>
      <c r="CF304" s="235"/>
      <c r="CG304" s="235"/>
      <c r="CH304" s="235"/>
      <c r="CI304" s="235"/>
      <c r="CJ304" s="235"/>
      <c r="CK304" s="235"/>
      <c r="CL304" s="235"/>
      <c r="CM304" s="235"/>
      <c r="CN304" s="235"/>
      <c r="CO304" s="235"/>
      <c r="CP304" s="235"/>
      <c r="CQ304" s="235"/>
      <c r="CR304" s="235"/>
      <c r="CS304" s="235"/>
      <c r="CT304" s="235"/>
      <c r="CU304" s="235"/>
      <c r="CV304" s="235"/>
    </row>
    <row r="305" spans="1:100" outlineLevel="1" x14ac:dyDescent="0.2">
      <c r="A305" s="236"/>
      <c r="B305" s="236"/>
      <c r="C305" s="237"/>
      <c r="D305" s="238"/>
      <c r="E305" s="9" t="str">
        <f t="shared" ref="E305:AJ305" si="930" xml:space="preserve"> E$309</f>
        <v>EGR receivables balance BEG</v>
      </c>
      <c r="F305" s="9">
        <f t="shared" si="930"/>
        <v>0</v>
      </c>
      <c r="G305" s="9" t="str">
        <f t="shared" si="930"/>
        <v>$ 000s</v>
      </c>
      <c r="H305" s="9">
        <f t="shared" si="930"/>
        <v>0</v>
      </c>
      <c r="I305" s="9">
        <f t="shared" si="930"/>
        <v>0</v>
      </c>
      <c r="J305" s="9">
        <f t="shared" si="930"/>
        <v>0</v>
      </c>
      <c r="K305" s="9">
        <f t="shared" si="930"/>
        <v>0</v>
      </c>
      <c r="L305" s="9">
        <f t="shared" si="930"/>
        <v>0</v>
      </c>
      <c r="M305" s="9">
        <f t="shared" si="930"/>
        <v>0</v>
      </c>
      <c r="N305" s="9">
        <f t="shared" si="930"/>
        <v>1990</v>
      </c>
      <c r="O305" s="9">
        <f t="shared" si="930"/>
        <v>1990</v>
      </c>
      <c r="P305" s="9">
        <f t="shared" si="930"/>
        <v>0</v>
      </c>
      <c r="Q305" s="9">
        <f t="shared" si="930"/>
        <v>0</v>
      </c>
      <c r="R305" s="9">
        <f t="shared" si="930"/>
        <v>0</v>
      </c>
      <c r="S305" s="9">
        <f t="shared" si="930"/>
        <v>0</v>
      </c>
      <c r="T305" s="9">
        <f t="shared" si="930"/>
        <v>0</v>
      </c>
      <c r="U305" s="9">
        <f t="shared" si="930"/>
        <v>0</v>
      </c>
      <c r="V305" s="9">
        <f t="shared" si="930"/>
        <v>0</v>
      </c>
      <c r="W305" s="9">
        <f t="shared" si="930"/>
        <v>0</v>
      </c>
      <c r="X305" s="9">
        <f t="shared" si="930"/>
        <v>0</v>
      </c>
      <c r="Y305" s="9">
        <f t="shared" si="930"/>
        <v>0</v>
      </c>
      <c r="Z305" s="9">
        <f t="shared" si="930"/>
        <v>0</v>
      </c>
      <c r="AA305" s="9">
        <f t="shared" si="930"/>
        <v>0</v>
      </c>
      <c r="AB305" s="9">
        <f t="shared" si="930"/>
        <v>0</v>
      </c>
      <c r="AC305" s="9">
        <f t="shared" si="930"/>
        <v>0</v>
      </c>
      <c r="AD305" s="9">
        <f t="shared" si="930"/>
        <v>0</v>
      </c>
      <c r="AE305" s="9">
        <f t="shared" si="930"/>
        <v>0</v>
      </c>
      <c r="AF305" s="9">
        <f t="shared" si="930"/>
        <v>0</v>
      </c>
      <c r="AG305" s="9">
        <f t="shared" si="930"/>
        <v>0</v>
      </c>
      <c r="AH305" s="9">
        <f t="shared" si="930"/>
        <v>0</v>
      </c>
      <c r="AI305" s="9">
        <f t="shared" si="930"/>
        <v>0</v>
      </c>
      <c r="AJ305" s="9">
        <f t="shared" si="930"/>
        <v>0</v>
      </c>
      <c r="AK305" s="9">
        <f t="shared" ref="AK305:BP305" si="931" xml:space="preserve"> AK$309</f>
        <v>0</v>
      </c>
      <c r="AL305" s="9">
        <f t="shared" si="931"/>
        <v>0</v>
      </c>
      <c r="AM305" s="9">
        <f t="shared" si="931"/>
        <v>0</v>
      </c>
      <c r="AN305" s="9">
        <f t="shared" si="931"/>
        <v>0</v>
      </c>
      <c r="AO305" s="9">
        <f t="shared" si="931"/>
        <v>0</v>
      </c>
      <c r="AP305" s="9">
        <f t="shared" si="931"/>
        <v>0</v>
      </c>
      <c r="AQ305" s="9">
        <f t="shared" si="931"/>
        <v>0</v>
      </c>
      <c r="AR305" s="9">
        <f t="shared" si="931"/>
        <v>0</v>
      </c>
      <c r="AS305" s="9">
        <f t="shared" si="931"/>
        <v>0</v>
      </c>
      <c r="AT305" s="9">
        <f t="shared" si="931"/>
        <v>0</v>
      </c>
      <c r="AU305" s="9">
        <f t="shared" si="931"/>
        <v>0</v>
      </c>
      <c r="AV305" s="9">
        <f t="shared" si="931"/>
        <v>0</v>
      </c>
      <c r="AW305" s="9">
        <f t="shared" si="931"/>
        <v>0</v>
      </c>
      <c r="AX305" s="9">
        <f t="shared" si="931"/>
        <v>0</v>
      </c>
      <c r="AY305" s="9">
        <f t="shared" si="931"/>
        <v>0</v>
      </c>
      <c r="AZ305" s="9">
        <f t="shared" si="931"/>
        <v>0</v>
      </c>
      <c r="BA305" s="9">
        <f t="shared" si="931"/>
        <v>0</v>
      </c>
      <c r="BB305" s="9">
        <f t="shared" si="931"/>
        <v>0</v>
      </c>
      <c r="BC305" s="9">
        <f t="shared" si="931"/>
        <v>0</v>
      </c>
      <c r="BD305" s="9">
        <f t="shared" si="931"/>
        <v>0</v>
      </c>
      <c r="BE305" s="9">
        <f t="shared" si="931"/>
        <v>0</v>
      </c>
      <c r="BF305" s="9">
        <f t="shared" si="931"/>
        <v>0</v>
      </c>
      <c r="BG305" s="9">
        <f t="shared" si="931"/>
        <v>0</v>
      </c>
      <c r="BH305" s="9">
        <f t="shared" si="931"/>
        <v>0</v>
      </c>
      <c r="BI305" s="9">
        <f t="shared" si="931"/>
        <v>0</v>
      </c>
      <c r="BJ305" s="9">
        <f t="shared" si="931"/>
        <v>0</v>
      </c>
      <c r="BK305" s="9">
        <f t="shared" si="931"/>
        <v>0</v>
      </c>
      <c r="BL305" s="9">
        <f t="shared" si="931"/>
        <v>0</v>
      </c>
      <c r="BM305" s="9">
        <f t="shared" si="931"/>
        <v>0</v>
      </c>
      <c r="BN305" s="9">
        <f t="shared" si="931"/>
        <v>0</v>
      </c>
      <c r="BO305" s="9">
        <f t="shared" si="931"/>
        <v>0</v>
      </c>
      <c r="BP305" s="9">
        <f t="shared" si="931"/>
        <v>0</v>
      </c>
      <c r="BQ305" s="9">
        <f t="shared" ref="BQ305:CV305" si="932" xml:space="preserve"> BQ$309</f>
        <v>0</v>
      </c>
      <c r="BR305" s="9">
        <f t="shared" si="932"/>
        <v>0</v>
      </c>
      <c r="BS305" s="9">
        <f t="shared" si="932"/>
        <v>0</v>
      </c>
      <c r="BT305" s="9">
        <f t="shared" si="932"/>
        <v>0</v>
      </c>
      <c r="BU305" s="9">
        <f t="shared" si="932"/>
        <v>0</v>
      </c>
      <c r="BV305" s="9">
        <f t="shared" si="932"/>
        <v>0</v>
      </c>
      <c r="BW305" s="9">
        <f t="shared" si="932"/>
        <v>0</v>
      </c>
      <c r="BX305" s="9">
        <f t="shared" si="932"/>
        <v>0</v>
      </c>
      <c r="BY305" s="9">
        <f t="shared" si="932"/>
        <v>0</v>
      </c>
      <c r="BZ305" s="9">
        <f t="shared" si="932"/>
        <v>0</v>
      </c>
      <c r="CA305" s="9">
        <f t="shared" si="932"/>
        <v>0</v>
      </c>
      <c r="CB305" s="9">
        <f t="shared" si="932"/>
        <v>0</v>
      </c>
      <c r="CC305" s="9">
        <f t="shared" si="932"/>
        <v>0</v>
      </c>
      <c r="CD305" s="9">
        <f t="shared" si="932"/>
        <v>0</v>
      </c>
      <c r="CE305" s="9">
        <f t="shared" si="932"/>
        <v>0</v>
      </c>
      <c r="CF305" s="9">
        <f t="shared" si="932"/>
        <v>0</v>
      </c>
      <c r="CG305" s="9">
        <f t="shared" si="932"/>
        <v>0</v>
      </c>
      <c r="CH305" s="9">
        <f t="shared" si="932"/>
        <v>0</v>
      </c>
      <c r="CI305" s="9">
        <f t="shared" si="932"/>
        <v>0</v>
      </c>
      <c r="CJ305" s="9">
        <f t="shared" si="932"/>
        <v>0</v>
      </c>
      <c r="CK305" s="9">
        <f t="shared" si="932"/>
        <v>0</v>
      </c>
      <c r="CL305" s="9">
        <f t="shared" si="932"/>
        <v>0</v>
      </c>
      <c r="CM305" s="9">
        <f t="shared" si="932"/>
        <v>0</v>
      </c>
      <c r="CN305" s="9">
        <f t="shared" si="932"/>
        <v>0</v>
      </c>
      <c r="CO305" s="9">
        <f t="shared" si="932"/>
        <v>0</v>
      </c>
      <c r="CP305" s="9">
        <f t="shared" si="932"/>
        <v>0</v>
      </c>
      <c r="CQ305" s="9">
        <f t="shared" si="932"/>
        <v>0</v>
      </c>
      <c r="CR305" s="9">
        <f t="shared" si="932"/>
        <v>0</v>
      </c>
      <c r="CS305" s="9">
        <f t="shared" si="932"/>
        <v>0</v>
      </c>
      <c r="CT305" s="9">
        <f t="shared" si="932"/>
        <v>0</v>
      </c>
      <c r="CU305" s="9">
        <f t="shared" si="932"/>
        <v>0</v>
      </c>
      <c r="CV305" s="9">
        <f t="shared" si="932"/>
        <v>0</v>
      </c>
    </row>
    <row r="306" spans="1:100" outlineLevel="1" x14ac:dyDescent="0.2">
      <c r="A306" s="236"/>
      <c r="B306" s="236"/>
      <c r="C306" s="237"/>
      <c r="D306" s="238"/>
      <c r="E306" s="396" t="str">
        <f xml:space="preserve"> Time!E$106</f>
        <v>Operating period flag</v>
      </c>
      <c r="F306" s="396">
        <f xml:space="preserve"> Time!F$106</f>
        <v>0</v>
      </c>
      <c r="G306" s="396" t="str">
        <f xml:space="preserve"> Time!G$106</f>
        <v>flag</v>
      </c>
      <c r="H306" s="396">
        <f xml:space="preserve"> Time!H$106</f>
        <v>40</v>
      </c>
      <c r="I306" s="396">
        <f xml:space="preserve"> Time!I$106</f>
        <v>0</v>
      </c>
      <c r="J306" s="396">
        <f xml:space="preserve"> Time!J$106</f>
        <v>0</v>
      </c>
      <c r="K306" s="396">
        <f xml:space="preserve"> Time!K$106</f>
        <v>0</v>
      </c>
      <c r="L306" s="396">
        <f xml:space="preserve"> Time!L$106</f>
        <v>0</v>
      </c>
      <c r="M306" s="396">
        <f xml:space="preserve"> Time!M$106</f>
        <v>0</v>
      </c>
      <c r="N306" s="396">
        <f xml:space="preserve"> Time!N$106</f>
        <v>0</v>
      </c>
      <c r="O306" s="396">
        <f xml:space="preserve"> Time!O$106</f>
        <v>1</v>
      </c>
      <c r="P306" s="396">
        <f xml:space="preserve"> Time!P$106</f>
        <v>1</v>
      </c>
      <c r="Q306" s="396">
        <f xml:space="preserve"> Time!Q$106</f>
        <v>1</v>
      </c>
      <c r="R306" s="396">
        <f xml:space="preserve"> Time!R$106</f>
        <v>1</v>
      </c>
      <c r="S306" s="396">
        <f xml:space="preserve"> Time!S$106</f>
        <v>1</v>
      </c>
      <c r="T306" s="396">
        <f xml:space="preserve"> Time!T$106</f>
        <v>1</v>
      </c>
      <c r="U306" s="396">
        <f xml:space="preserve"> Time!U$106</f>
        <v>1</v>
      </c>
      <c r="V306" s="396">
        <f xml:space="preserve"> Time!V$106</f>
        <v>1</v>
      </c>
      <c r="W306" s="396">
        <f xml:space="preserve"> Time!W$106</f>
        <v>1</v>
      </c>
      <c r="X306" s="396">
        <f xml:space="preserve"> Time!X$106</f>
        <v>1</v>
      </c>
      <c r="Y306" s="396">
        <f xml:space="preserve"> Time!Y$106</f>
        <v>1</v>
      </c>
      <c r="Z306" s="396">
        <f xml:space="preserve"> Time!Z$106</f>
        <v>1</v>
      </c>
      <c r="AA306" s="396">
        <f xml:space="preserve"> Time!AA$106</f>
        <v>1</v>
      </c>
      <c r="AB306" s="396">
        <f xml:space="preserve"> Time!AB$106</f>
        <v>1</v>
      </c>
      <c r="AC306" s="396">
        <f xml:space="preserve"> Time!AC$106</f>
        <v>1</v>
      </c>
      <c r="AD306" s="396">
        <f xml:space="preserve"> Time!AD$106</f>
        <v>1</v>
      </c>
      <c r="AE306" s="396">
        <f xml:space="preserve"> Time!AE$106</f>
        <v>1</v>
      </c>
      <c r="AF306" s="396">
        <f xml:space="preserve"> Time!AF$106</f>
        <v>1</v>
      </c>
      <c r="AG306" s="396">
        <f xml:space="preserve"> Time!AG$106</f>
        <v>1</v>
      </c>
      <c r="AH306" s="396">
        <f xml:space="preserve"> Time!AH$106</f>
        <v>1</v>
      </c>
      <c r="AI306" s="396">
        <f xml:space="preserve"> Time!AI$106</f>
        <v>1</v>
      </c>
      <c r="AJ306" s="396">
        <f xml:space="preserve"> Time!AJ$106</f>
        <v>1</v>
      </c>
      <c r="AK306" s="396">
        <f xml:space="preserve"> Time!AK$106</f>
        <v>1</v>
      </c>
      <c r="AL306" s="396">
        <f xml:space="preserve"> Time!AL$106</f>
        <v>1</v>
      </c>
      <c r="AM306" s="396">
        <f xml:space="preserve"> Time!AM$106</f>
        <v>1</v>
      </c>
      <c r="AN306" s="396">
        <f xml:space="preserve"> Time!AN$106</f>
        <v>1</v>
      </c>
      <c r="AO306" s="396">
        <f xml:space="preserve"> Time!AO$106</f>
        <v>1</v>
      </c>
      <c r="AP306" s="396">
        <f xml:space="preserve"> Time!AP$106</f>
        <v>1</v>
      </c>
      <c r="AQ306" s="396">
        <f xml:space="preserve"> Time!AQ$106</f>
        <v>1</v>
      </c>
      <c r="AR306" s="396">
        <f xml:space="preserve"> Time!AR$106</f>
        <v>1</v>
      </c>
      <c r="AS306" s="396">
        <f xml:space="preserve"> Time!AS$106</f>
        <v>1</v>
      </c>
      <c r="AT306" s="396">
        <f xml:space="preserve"> Time!AT$106</f>
        <v>1</v>
      </c>
      <c r="AU306" s="396">
        <f xml:space="preserve"> Time!AU$106</f>
        <v>1</v>
      </c>
      <c r="AV306" s="396">
        <f xml:space="preserve"> Time!AV$106</f>
        <v>1</v>
      </c>
      <c r="AW306" s="396">
        <f xml:space="preserve"> Time!AW$106</f>
        <v>1</v>
      </c>
      <c r="AX306" s="396">
        <f xml:space="preserve"> Time!AX$106</f>
        <v>1</v>
      </c>
      <c r="AY306" s="396">
        <f xml:space="preserve"> Time!AY$106</f>
        <v>1</v>
      </c>
      <c r="AZ306" s="396">
        <f xml:space="preserve"> Time!AZ$106</f>
        <v>1</v>
      </c>
      <c r="BA306" s="396">
        <f xml:space="preserve"> Time!BA$106</f>
        <v>1</v>
      </c>
      <c r="BB306" s="396">
        <f xml:space="preserve"> Time!BB$106</f>
        <v>1</v>
      </c>
      <c r="BC306" s="396">
        <f xml:space="preserve"> Time!BC$106</f>
        <v>0</v>
      </c>
      <c r="BD306" s="396">
        <f xml:space="preserve"> Time!BD$106</f>
        <v>0</v>
      </c>
      <c r="BE306" s="396">
        <f xml:space="preserve"> Time!BE$106</f>
        <v>0</v>
      </c>
      <c r="BF306" s="396">
        <f xml:space="preserve"> Time!BF$106</f>
        <v>0</v>
      </c>
      <c r="BG306" s="396">
        <f xml:space="preserve"> Time!BG$106</f>
        <v>0</v>
      </c>
      <c r="BH306" s="396">
        <f xml:space="preserve"> Time!BH$106</f>
        <v>0</v>
      </c>
      <c r="BI306" s="396">
        <f xml:space="preserve"> Time!BI$106</f>
        <v>0</v>
      </c>
      <c r="BJ306" s="396">
        <f xml:space="preserve"> Time!BJ$106</f>
        <v>0</v>
      </c>
      <c r="BK306" s="396">
        <f xml:space="preserve"> Time!BK$106</f>
        <v>0</v>
      </c>
      <c r="BL306" s="396">
        <f xml:space="preserve"> Time!BL$106</f>
        <v>0</v>
      </c>
      <c r="BM306" s="396">
        <f xml:space="preserve"> Time!BM$106</f>
        <v>0</v>
      </c>
      <c r="BN306" s="396">
        <f xml:space="preserve"> Time!BN$106</f>
        <v>0</v>
      </c>
      <c r="BO306" s="396">
        <f xml:space="preserve"> Time!BO$106</f>
        <v>0</v>
      </c>
      <c r="BP306" s="396">
        <f xml:space="preserve"> Time!BP$106</f>
        <v>0</v>
      </c>
      <c r="BQ306" s="396">
        <f xml:space="preserve"> Time!BQ$106</f>
        <v>0</v>
      </c>
      <c r="BR306" s="396">
        <f xml:space="preserve"> Time!BR$106</f>
        <v>0</v>
      </c>
      <c r="BS306" s="396">
        <f xml:space="preserve"> Time!BS$106</f>
        <v>0</v>
      </c>
      <c r="BT306" s="396">
        <f xml:space="preserve"> Time!BT$106</f>
        <v>0</v>
      </c>
      <c r="BU306" s="396">
        <f xml:space="preserve"> Time!BU$106</f>
        <v>0</v>
      </c>
      <c r="BV306" s="396">
        <f xml:space="preserve"> Time!BV$106</f>
        <v>0</v>
      </c>
      <c r="BW306" s="396">
        <f xml:space="preserve"> Time!BW$106</f>
        <v>0</v>
      </c>
      <c r="BX306" s="396">
        <f xml:space="preserve"> Time!BX$106</f>
        <v>0</v>
      </c>
      <c r="BY306" s="396">
        <f xml:space="preserve"> Time!BY$106</f>
        <v>0</v>
      </c>
      <c r="BZ306" s="396">
        <f xml:space="preserve"> Time!BZ$106</f>
        <v>0</v>
      </c>
      <c r="CA306" s="396">
        <f xml:space="preserve"> Time!CA$106</f>
        <v>0</v>
      </c>
      <c r="CB306" s="396">
        <f xml:space="preserve"> Time!CB$106</f>
        <v>0</v>
      </c>
      <c r="CC306" s="396">
        <f xml:space="preserve"> Time!CC$106</f>
        <v>0</v>
      </c>
      <c r="CD306" s="396">
        <f xml:space="preserve"> Time!CD$106</f>
        <v>0</v>
      </c>
      <c r="CE306" s="396">
        <f xml:space="preserve"> Time!CE$106</f>
        <v>0</v>
      </c>
      <c r="CF306" s="396">
        <f xml:space="preserve"> Time!CF$106</f>
        <v>0</v>
      </c>
      <c r="CG306" s="396">
        <f xml:space="preserve"> Time!CG$106</f>
        <v>0</v>
      </c>
      <c r="CH306" s="396">
        <f xml:space="preserve"> Time!CH$106</f>
        <v>0</v>
      </c>
      <c r="CI306" s="396">
        <f xml:space="preserve"> Time!CI$106</f>
        <v>0</v>
      </c>
      <c r="CJ306" s="396">
        <f xml:space="preserve"> Time!CJ$106</f>
        <v>0</v>
      </c>
      <c r="CK306" s="396">
        <f xml:space="preserve"> Time!CK$106</f>
        <v>0</v>
      </c>
      <c r="CL306" s="396">
        <f xml:space="preserve"> Time!CL$106</f>
        <v>0</v>
      </c>
      <c r="CM306" s="396">
        <f xml:space="preserve"> Time!CM$106</f>
        <v>0</v>
      </c>
      <c r="CN306" s="396">
        <f xml:space="preserve"> Time!CN$106</f>
        <v>0</v>
      </c>
      <c r="CO306" s="396">
        <f xml:space="preserve"> Time!CO$106</f>
        <v>0</v>
      </c>
      <c r="CP306" s="396">
        <f xml:space="preserve"> Time!CP$106</f>
        <v>0</v>
      </c>
      <c r="CQ306" s="396">
        <f xml:space="preserve"> Time!CQ$106</f>
        <v>0</v>
      </c>
      <c r="CR306" s="396">
        <f xml:space="preserve"> Time!CR$106</f>
        <v>0</v>
      </c>
      <c r="CS306" s="396">
        <f xml:space="preserve"> Time!CS$106</f>
        <v>0</v>
      </c>
      <c r="CT306" s="396">
        <f xml:space="preserve"> Time!CT$106</f>
        <v>0</v>
      </c>
      <c r="CU306" s="396">
        <f xml:space="preserve"> Time!CU$106</f>
        <v>0</v>
      </c>
      <c r="CV306" s="396">
        <f xml:space="preserve"> Time!CV$106</f>
        <v>0</v>
      </c>
    </row>
    <row r="307" spans="1:100" s="188" customFormat="1" outlineLevel="1" x14ac:dyDescent="0.2">
      <c r="A307" s="141"/>
      <c r="B307" s="141"/>
      <c r="C307" s="142"/>
      <c r="D307" s="143"/>
      <c r="E307" s="144" t="s">
        <v>755</v>
      </c>
      <c r="F307" s="144"/>
      <c r="G307" s="144" t="str">
        <f xml:space="preserve"> SMU</f>
        <v>$ 000s</v>
      </c>
      <c r="H307" s="144">
        <f xml:space="preserve"> SUM(J307:CV307)</f>
        <v>1990</v>
      </c>
      <c r="I307" s="144"/>
      <c r="J307" s="144">
        <f t="shared" ref="J307:AO307" si="933" xml:space="preserve"> J305 * J306</f>
        <v>0</v>
      </c>
      <c r="K307" s="144">
        <f t="shared" si="933"/>
        <v>0</v>
      </c>
      <c r="L307" s="144">
        <f t="shared" si="933"/>
        <v>0</v>
      </c>
      <c r="M307" s="144">
        <f t="shared" si="933"/>
        <v>0</v>
      </c>
      <c r="N307" s="144">
        <f t="shared" si="933"/>
        <v>0</v>
      </c>
      <c r="O307" s="144">
        <f t="shared" si="933"/>
        <v>1990</v>
      </c>
      <c r="P307" s="144">
        <f t="shared" si="933"/>
        <v>0</v>
      </c>
      <c r="Q307" s="144">
        <f t="shared" si="933"/>
        <v>0</v>
      </c>
      <c r="R307" s="144">
        <f t="shared" si="933"/>
        <v>0</v>
      </c>
      <c r="S307" s="144">
        <f t="shared" si="933"/>
        <v>0</v>
      </c>
      <c r="T307" s="144">
        <f t="shared" si="933"/>
        <v>0</v>
      </c>
      <c r="U307" s="144">
        <f t="shared" si="933"/>
        <v>0</v>
      </c>
      <c r="V307" s="144">
        <f t="shared" si="933"/>
        <v>0</v>
      </c>
      <c r="W307" s="144">
        <f t="shared" si="933"/>
        <v>0</v>
      </c>
      <c r="X307" s="144">
        <f t="shared" si="933"/>
        <v>0</v>
      </c>
      <c r="Y307" s="144">
        <f t="shared" si="933"/>
        <v>0</v>
      </c>
      <c r="Z307" s="144">
        <f t="shared" si="933"/>
        <v>0</v>
      </c>
      <c r="AA307" s="144">
        <f t="shared" si="933"/>
        <v>0</v>
      </c>
      <c r="AB307" s="144">
        <f t="shared" si="933"/>
        <v>0</v>
      </c>
      <c r="AC307" s="144">
        <f t="shared" si="933"/>
        <v>0</v>
      </c>
      <c r="AD307" s="144">
        <f t="shared" si="933"/>
        <v>0</v>
      </c>
      <c r="AE307" s="144">
        <f t="shared" si="933"/>
        <v>0</v>
      </c>
      <c r="AF307" s="144">
        <f t="shared" si="933"/>
        <v>0</v>
      </c>
      <c r="AG307" s="144">
        <f t="shared" si="933"/>
        <v>0</v>
      </c>
      <c r="AH307" s="144">
        <f t="shared" si="933"/>
        <v>0</v>
      </c>
      <c r="AI307" s="144">
        <f t="shared" si="933"/>
        <v>0</v>
      </c>
      <c r="AJ307" s="144">
        <f t="shared" si="933"/>
        <v>0</v>
      </c>
      <c r="AK307" s="144">
        <f t="shared" si="933"/>
        <v>0</v>
      </c>
      <c r="AL307" s="144">
        <f t="shared" si="933"/>
        <v>0</v>
      </c>
      <c r="AM307" s="144">
        <f t="shared" si="933"/>
        <v>0</v>
      </c>
      <c r="AN307" s="144">
        <f t="shared" si="933"/>
        <v>0</v>
      </c>
      <c r="AO307" s="144">
        <f t="shared" si="933"/>
        <v>0</v>
      </c>
      <c r="AP307" s="144">
        <f t="shared" ref="AP307:BU307" si="934" xml:space="preserve"> AP305 * AP306</f>
        <v>0</v>
      </c>
      <c r="AQ307" s="144">
        <f t="shared" si="934"/>
        <v>0</v>
      </c>
      <c r="AR307" s="144">
        <f t="shared" si="934"/>
        <v>0</v>
      </c>
      <c r="AS307" s="144">
        <f t="shared" si="934"/>
        <v>0</v>
      </c>
      <c r="AT307" s="144">
        <f t="shared" si="934"/>
        <v>0</v>
      </c>
      <c r="AU307" s="144">
        <f t="shared" si="934"/>
        <v>0</v>
      </c>
      <c r="AV307" s="144">
        <f t="shared" si="934"/>
        <v>0</v>
      </c>
      <c r="AW307" s="144">
        <f t="shared" si="934"/>
        <v>0</v>
      </c>
      <c r="AX307" s="144">
        <f t="shared" si="934"/>
        <v>0</v>
      </c>
      <c r="AY307" s="144">
        <f t="shared" si="934"/>
        <v>0</v>
      </c>
      <c r="AZ307" s="144">
        <f t="shared" si="934"/>
        <v>0</v>
      </c>
      <c r="BA307" s="144">
        <f t="shared" si="934"/>
        <v>0</v>
      </c>
      <c r="BB307" s="144">
        <f t="shared" si="934"/>
        <v>0</v>
      </c>
      <c r="BC307" s="144">
        <f t="shared" si="934"/>
        <v>0</v>
      </c>
      <c r="BD307" s="144">
        <f t="shared" si="934"/>
        <v>0</v>
      </c>
      <c r="BE307" s="144">
        <f t="shared" si="934"/>
        <v>0</v>
      </c>
      <c r="BF307" s="144">
        <f t="shared" si="934"/>
        <v>0</v>
      </c>
      <c r="BG307" s="144">
        <f t="shared" si="934"/>
        <v>0</v>
      </c>
      <c r="BH307" s="144">
        <f t="shared" si="934"/>
        <v>0</v>
      </c>
      <c r="BI307" s="144">
        <f t="shared" si="934"/>
        <v>0</v>
      </c>
      <c r="BJ307" s="144">
        <f t="shared" si="934"/>
        <v>0</v>
      </c>
      <c r="BK307" s="144">
        <f t="shared" si="934"/>
        <v>0</v>
      </c>
      <c r="BL307" s="144">
        <f t="shared" si="934"/>
        <v>0</v>
      </c>
      <c r="BM307" s="144">
        <f t="shared" si="934"/>
        <v>0</v>
      </c>
      <c r="BN307" s="144">
        <f t="shared" si="934"/>
        <v>0</v>
      </c>
      <c r="BO307" s="144">
        <f t="shared" si="934"/>
        <v>0</v>
      </c>
      <c r="BP307" s="144">
        <f t="shared" si="934"/>
        <v>0</v>
      </c>
      <c r="BQ307" s="144">
        <f t="shared" si="934"/>
        <v>0</v>
      </c>
      <c r="BR307" s="144">
        <f t="shared" si="934"/>
        <v>0</v>
      </c>
      <c r="BS307" s="144">
        <f t="shared" si="934"/>
        <v>0</v>
      </c>
      <c r="BT307" s="144">
        <f t="shared" si="934"/>
        <v>0</v>
      </c>
      <c r="BU307" s="144">
        <f t="shared" si="934"/>
        <v>0</v>
      </c>
      <c r="BV307" s="144">
        <f t="shared" ref="BV307:CV307" si="935" xml:space="preserve"> BV305 * BV306</f>
        <v>0</v>
      </c>
      <c r="BW307" s="144">
        <f t="shared" si="935"/>
        <v>0</v>
      </c>
      <c r="BX307" s="144">
        <f t="shared" si="935"/>
        <v>0</v>
      </c>
      <c r="BY307" s="144">
        <f t="shared" si="935"/>
        <v>0</v>
      </c>
      <c r="BZ307" s="144">
        <f t="shared" si="935"/>
        <v>0</v>
      </c>
      <c r="CA307" s="144">
        <f t="shared" si="935"/>
        <v>0</v>
      </c>
      <c r="CB307" s="144">
        <f t="shared" si="935"/>
        <v>0</v>
      </c>
      <c r="CC307" s="144">
        <f t="shared" si="935"/>
        <v>0</v>
      </c>
      <c r="CD307" s="144">
        <f t="shared" si="935"/>
        <v>0</v>
      </c>
      <c r="CE307" s="144">
        <f t="shared" si="935"/>
        <v>0</v>
      </c>
      <c r="CF307" s="144">
        <f t="shared" si="935"/>
        <v>0</v>
      </c>
      <c r="CG307" s="144">
        <f t="shared" si="935"/>
        <v>0</v>
      </c>
      <c r="CH307" s="144">
        <f t="shared" si="935"/>
        <v>0</v>
      </c>
      <c r="CI307" s="144">
        <f t="shared" si="935"/>
        <v>0</v>
      </c>
      <c r="CJ307" s="144">
        <f t="shared" si="935"/>
        <v>0</v>
      </c>
      <c r="CK307" s="144">
        <f t="shared" si="935"/>
        <v>0</v>
      </c>
      <c r="CL307" s="144">
        <f t="shared" si="935"/>
        <v>0</v>
      </c>
      <c r="CM307" s="144">
        <f t="shared" si="935"/>
        <v>0</v>
      </c>
      <c r="CN307" s="144">
        <f t="shared" si="935"/>
        <v>0</v>
      </c>
      <c r="CO307" s="144">
        <f t="shared" si="935"/>
        <v>0</v>
      </c>
      <c r="CP307" s="144">
        <f t="shared" si="935"/>
        <v>0</v>
      </c>
      <c r="CQ307" s="144">
        <f t="shared" si="935"/>
        <v>0</v>
      </c>
      <c r="CR307" s="144">
        <f t="shared" si="935"/>
        <v>0</v>
      </c>
      <c r="CS307" s="144">
        <f t="shared" si="935"/>
        <v>0</v>
      </c>
      <c r="CT307" s="144">
        <f t="shared" si="935"/>
        <v>0</v>
      </c>
      <c r="CU307" s="144">
        <f t="shared" si="935"/>
        <v>0</v>
      </c>
      <c r="CV307" s="144">
        <f t="shared" si="935"/>
        <v>0</v>
      </c>
    </row>
    <row r="308" spans="1:100" outlineLevel="1" x14ac:dyDescent="0.2">
      <c r="A308" s="236"/>
      <c r="B308" s="236"/>
      <c r="C308" s="237"/>
      <c r="D308" s="238"/>
      <c r="E308" s="235"/>
      <c r="F308" s="235"/>
      <c r="G308" s="235"/>
      <c r="H308" s="235"/>
      <c r="I308" s="235"/>
      <c r="J308" s="235"/>
      <c r="K308" s="235"/>
      <c r="L308" s="235"/>
      <c r="M308" s="235"/>
      <c r="N308" s="235"/>
      <c r="O308" s="235"/>
      <c r="P308" s="235"/>
      <c r="Q308" s="235"/>
      <c r="R308" s="235"/>
      <c r="S308" s="235"/>
      <c r="T308" s="235"/>
      <c r="U308" s="235"/>
      <c r="V308" s="235"/>
      <c r="W308" s="235"/>
      <c r="X308" s="235"/>
      <c r="Y308" s="235"/>
      <c r="Z308" s="235"/>
      <c r="AA308" s="235"/>
      <c r="AB308" s="235"/>
      <c r="AC308" s="235"/>
      <c r="AD308" s="235"/>
      <c r="AE308" s="235"/>
      <c r="AF308" s="235"/>
      <c r="AG308" s="235"/>
      <c r="AH308" s="235"/>
      <c r="AI308" s="235"/>
      <c r="AJ308" s="235"/>
      <c r="AK308" s="235"/>
      <c r="AL308" s="235"/>
      <c r="AM308" s="235"/>
      <c r="AN308" s="235"/>
      <c r="AO308" s="235"/>
      <c r="AP308" s="235"/>
      <c r="AQ308" s="235"/>
      <c r="AR308" s="235"/>
      <c r="AS308" s="235"/>
      <c r="AT308" s="235"/>
      <c r="AU308" s="235"/>
      <c r="AV308" s="235"/>
      <c r="AW308" s="235"/>
      <c r="AX308" s="235"/>
      <c r="AY308" s="235"/>
      <c r="AZ308" s="235"/>
      <c r="BA308" s="235"/>
      <c r="BB308" s="235"/>
      <c r="BC308" s="235"/>
      <c r="BD308" s="235"/>
      <c r="BE308" s="235"/>
      <c r="BF308" s="235"/>
      <c r="BG308" s="235"/>
      <c r="BH308" s="235"/>
      <c r="BI308" s="235"/>
      <c r="BJ308" s="235"/>
      <c r="BK308" s="235"/>
      <c r="BL308" s="235"/>
      <c r="BM308" s="235"/>
      <c r="BN308" s="235"/>
      <c r="BO308" s="235"/>
      <c r="BP308" s="235"/>
      <c r="BQ308" s="235"/>
      <c r="BR308" s="235"/>
      <c r="BS308" s="235"/>
      <c r="BT308" s="235"/>
      <c r="BU308" s="235"/>
      <c r="BV308" s="235"/>
      <c r="BW308" s="235"/>
      <c r="BX308" s="235"/>
      <c r="BY308" s="235"/>
      <c r="BZ308" s="235"/>
      <c r="CA308" s="235"/>
      <c r="CB308" s="235"/>
      <c r="CC308" s="235"/>
      <c r="CD308" s="235"/>
      <c r="CE308" s="235"/>
      <c r="CF308" s="235"/>
      <c r="CG308" s="235"/>
      <c r="CH308" s="235"/>
      <c r="CI308" s="235"/>
      <c r="CJ308" s="235"/>
      <c r="CK308" s="235"/>
      <c r="CL308" s="235"/>
      <c r="CM308" s="235"/>
      <c r="CN308" s="235"/>
      <c r="CO308" s="235"/>
      <c r="CP308" s="235"/>
      <c r="CQ308" s="235"/>
      <c r="CR308" s="235"/>
      <c r="CS308" s="235"/>
      <c r="CT308" s="235"/>
      <c r="CU308" s="235"/>
      <c r="CV308" s="235"/>
    </row>
    <row r="309" spans="1:100" s="502" customFormat="1" outlineLevel="1" x14ac:dyDescent="0.2">
      <c r="A309" s="504"/>
      <c r="B309" s="504"/>
      <c r="C309" s="505"/>
      <c r="D309" s="506"/>
      <c r="E309" s="508" t="s">
        <v>754</v>
      </c>
      <c r="F309" s="508"/>
      <c r="G309" s="508" t="str">
        <f xml:space="preserve"> SMU</f>
        <v>$ 000s</v>
      </c>
      <c r="H309" s="508"/>
      <c r="I309" s="508"/>
      <c r="J309" s="508">
        <f t="shared" ref="J309:AO309" si="936" xml:space="preserve"> I312</f>
        <v>0</v>
      </c>
      <c r="K309" s="508">
        <f t="shared" si="936"/>
        <v>0</v>
      </c>
      <c r="L309" s="508">
        <f t="shared" si="936"/>
        <v>0</v>
      </c>
      <c r="M309" s="508">
        <f t="shared" si="936"/>
        <v>0</v>
      </c>
      <c r="N309" s="508">
        <f t="shared" si="936"/>
        <v>1990</v>
      </c>
      <c r="O309" s="508">
        <f t="shared" si="936"/>
        <v>1990</v>
      </c>
      <c r="P309" s="508">
        <f t="shared" si="936"/>
        <v>0</v>
      </c>
      <c r="Q309" s="508">
        <f t="shared" si="936"/>
        <v>0</v>
      </c>
      <c r="R309" s="508">
        <f t="shared" si="936"/>
        <v>0</v>
      </c>
      <c r="S309" s="508">
        <f t="shared" si="936"/>
        <v>0</v>
      </c>
      <c r="T309" s="508">
        <f t="shared" si="936"/>
        <v>0</v>
      </c>
      <c r="U309" s="508">
        <f t="shared" si="936"/>
        <v>0</v>
      </c>
      <c r="V309" s="508">
        <f t="shared" si="936"/>
        <v>0</v>
      </c>
      <c r="W309" s="508">
        <f t="shared" si="936"/>
        <v>0</v>
      </c>
      <c r="X309" s="508">
        <f t="shared" si="936"/>
        <v>0</v>
      </c>
      <c r="Y309" s="508">
        <f t="shared" si="936"/>
        <v>0</v>
      </c>
      <c r="Z309" s="508">
        <f t="shared" si="936"/>
        <v>0</v>
      </c>
      <c r="AA309" s="508">
        <f t="shared" si="936"/>
        <v>0</v>
      </c>
      <c r="AB309" s="508">
        <f t="shared" si="936"/>
        <v>0</v>
      </c>
      <c r="AC309" s="508">
        <f t="shared" si="936"/>
        <v>0</v>
      </c>
      <c r="AD309" s="508">
        <f t="shared" si="936"/>
        <v>0</v>
      </c>
      <c r="AE309" s="508">
        <f t="shared" si="936"/>
        <v>0</v>
      </c>
      <c r="AF309" s="508">
        <f t="shared" si="936"/>
        <v>0</v>
      </c>
      <c r="AG309" s="508">
        <f t="shared" si="936"/>
        <v>0</v>
      </c>
      <c r="AH309" s="508">
        <f t="shared" si="936"/>
        <v>0</v>
      </c>
      <c r="AI309" s="508">
        <f t="shared" si="936"/>
        <v>0</v>
      </c>
      <c r="AJ309" s="508">
        <f t="shared" si="936"/>
        <v>0</v>
      </c>
      <c r="AK309" s="508">
        <f t="shared" si="936"/>
        <v>0</v>
      </c>
      <c r="AL309" s="508">
        <f t="shared" si="936"/>
        <v>0</v>
      </c>
      <c r="AM309" s="508">
        <f t="shared" si="936"/>
        <v>0</v>
      </c>
      <c r="AN309" s="508">
        <f t="shared" si="936"/>
        <v>0</v>
      </c>
      <c r="AO309" s="508">
        <f t="shared" si="936"/>
        <v>0</v>
      </c>
      <c r="AP309" s="508">
        <f t="shared" ref="AP309:BU309" si="937" xml:space="preserve"> AO312</f>
        <v>0</v>
      </c>
      <c r="AQ309" s="508">
        <f t="shared" si="937"/>
        <v>0</v>
      </c>
      <c r="AR309" s="508">
        <f t="shared" si="937"/>
        <v>0</v>
      </c>
      <c r="AS309" s="508">
        <f t="shared" si="937"/>
        <v>0</v>
      </c>
      <c r="AT309" s="508">
        <f t="shared" si="937"/>
        <v>0</v>
      </c>
      <c r="AU309" s="508">
        <f t="shared" si="937"/>
        <v>0</v>
      </c>
      <c r="AV309" s="508">
        <f t="shared" si="937"/>
        <v>0</v>
      </c>
      <c r="AW309" s="508">
        <f t="shared" si="937"/>
        <v>0</v>
      </c>
      <c r="AX309" s="508">
        <f t="shared" si="937"/>
        <v>0</v>
      </c>
      <c r="AY309" s="508">
        <f t="shared" si="937"/>
        <v>0</v>
      </c>
      <c r="AZ309" s="508">
        <f t="shared" si="937"/>
        <v>0</v>
      </c>
      <c r="BA309" s="508">
        <f t="shared" si="937"/>
        <v>0</v>
      </c>
      <c r="BB309" s="508">
        <f t="shared" si="937"/>
        <v>0</v>
      </c>
      <c r="BC309" s="508">
        <f t="shared" si="937"/>
        <v>0</v>
      </c>
      <c r="BD309" s="508">
        <f t="shared" si="937"/>
        <v>0</v>
      </c>
      <c r="BE309" s="508">
        <f t="shared" si="937"/>
        <v>0</v>
      </c>
      <c r="BF309" s="508">
        <f t="shared" si="937"/>
        <v>0</v>
      </c>
      <c r="BG309" s="508">
        <f t="shared" si="937"/>
        <v>0</v>
      </c>
      <c r="BH309" s="508">
        <f t="shared" si="937"/>
        <v>0</v>
      </c>
      <c r="BI309" s="508">
        <f t="shared" si="937"/>
        <v>0</v>
      </c>
      <c r="BJ309" s="508">
        <f t="shared" si="937"/>
        <v>0</v>
      </c>
      <c r="BK309" s="508">
        <f t="shared" si="937"/>
        <v>0</v>
      </c>
      <c r="BL309" s="508">
        <f t="shared" si="937"/>
        <v>0</v>
      </c>
      <c r="BM309" s="508">
        <f t="shared" si="937"/>
        <v>0</v>
      </c>
      <c r="BN309" s="508">
        <f t="shared" si="937"/>
        <v>0</v>
      </c>
      <c r="BO309" s="508">
        <f t="shared" si="937"/>
        <v>0</v>
      </c>
      <c r="BP309" s="508">
        <f t="shared" si="937"/>
        <v>0</v>
      </c>
      <c r="BQ309" s="508">
        <f t="shared" si="937"/>
        <v>0</v>
      </c>
      <c r="BR309" s="508">
        <f t="shared" si="937"/>
        <v>0</v>
      </c>
      <c r="BS309" s="508">
        <f t="shared" si="937"/>
        <v>0</v>
      </c>
      <c r="BT309" s="508">
        <f t="shared" si="937"/>
        <v>0</v>
      </c>
      <c r="BU309" s="508">
        <f t="shared" si="937"/>
        <v>0</v>
      </c>
      <c r="BV309" s="508">
        <f t="shared" ref="BV309:CV309" si="938" xml:space="preserve"> BU312</f>
        <v>0</v>
      </c>
      <c r="BW309" s="508">
        <f t="shared" si="938"/>
        <v>0</v>
      </c>
      <c r="BX309" s="508">
        <f t="shared" si="938"/>
        <v>0</v>
      </c>
      <c r="BY309" s="508">
        <f t="shared" si="938"/>
        <v>0</v>
      </c>
      <c r="BZ309" s="508">
        <f t="shared" si="938"/>
        <v>0</v>
      </c>
      <c r="CA309" s="508">
        <f t="shared" si="938"/>
        <v>0</v>
      </c>
      <c r="CB309" s="508">
        <f t="shared" si="938"/>
        <v>0</v>
      </c>
      <c r="CC309" s="508">
        <f t="shared" si="938"/>
        <v>0</v>
      </c>
      <c r="CD309" s="508">
        <f t="shared" si="938"/>
        <v>0</v>
      </c>
      <c r="CE309" s="508">
        <f t="shared" si="938"/>
        <v>0</v>
      </c>
      <c r="CF309" s="508">
        <f t="shared" si="938"/>
        <v>0</v>
      </c>
      <c r="CG309" s="508">
        <f t="shared" si="938"/>
        <v>0</v>
      </c>
      <c r="CH309" s="508">
        <f t="shared" si="938"/>
        <v>0</v>
      </c>
      <c r="CI309" s="508">
        <f t="shared" si="938"/>
        <v>0</v>
      </c>
      <c r="CJ309" s="508">
        <f t="shared" si="938"/>
        <v>0</v>
      </c>
      <c r="CK309" s="508">
        <f t="shared" si="938"/>
        <v>0</v>
      </c>
      <c r="CL309" s="508">
        <f t="shared" si="938"/>
        <v>0</v>
      </c>
      <c r="CM309" s="508">
        <f t="shared" si="938"/>
        <v>0</v>
      </c>
      <c r="CN309" s="508">
        <f t="shared" si="938"/>
        <v>0</v>
      </c>
      <c r="CO309" s="508">
        <f t="shared" si="938"/>
        <v>0</v>
      </c>
      <c r="CP309" s="508">
        <f t="shared" si="938"/>
        <v>0</v>
      </c>
      <c r="CQ309" s="508">
        <f t="shared" si="938"/>
        <v>0</v>
      </c>
      <c r="CR309" s="508">
        <f t="shared" si="938"/>
        <v>0</v>
      </c>
      <c r="CS309" s="508">
        <f t="shared" si="938"/>
        <v>0</v>
      </c>
      <c r="CT309" s="508">
        <f t="shared" si="938"/>
        <v>0</v>
      </c>
      <c r="CU309" s="508">
        <f t="shared" si="938"/>
        <v>0</v>
      </c>
      <c r="CV309" s="508">
        <f t="shared" si="938"/>
        <v>0</v>
      </c>
    </row>
    <row r="310" spans="1:100" s="498" customFormat="1" outlineLevel="1" x14ac:dyDescent="0.2">
      <c r="A310" s="236"/>
      <c r="B310" s="236"/>
      <c r="C310" s="237"/>
      <c r="D310" s="238"/>
      <c r="E310" s="145" t="str">
        <f xml:space="preserve"> ConCost!E$254</f>
        <v>Electricity generation revenue accrued during construction</v>
      </c>
      <c r="F310" s="145">
        <f xml:space="preserve"> ConCost!F$254</f>
        <v>0</v>
      </c>
      <c r="G310" s="145" t="str">
        <f xml:space="preserve"> ConCost!G$254</f>
        <v>$ 000s</v>
      </c>
      <c r="H310" s="145">
        <f xml:space="preserve"> ConCost!H$254</f>
        <v>13930</v>
      </c>
      <c r="I310" s="145">
        <f xml:space="preserve"> ConCost!I$254</f>
        <v>0</v>
      </c>
      <c r="J310" s="145">
        <f xml:space="preserve"> ConCost!J$254</f>
        <v>0</v>
      </c>
      <c r="K310" s="145">
        <f xml:space="preserve"> ConCost!K$254</f>
        <v>0</v>
      </c>
      <c r="L310" s="145">
        <f xml:space="preserve"> ConCost!L$254</f>
        <v>0</v>
      </c>
      <c r="M310" s="145">
        <f xml:space="preserve"> ConCost!M$254</f>
        <v>1990</v>
      </c>
      <c r="N310" s="145">
        <f xml:space="preserve"> ConCost!N$254</f>
        <v>11940</v>
      </c>
      <c r="O310" s="145">
        <f xml:space="preserve"> ConCost!O$254</f>
        <v>0</v>
      </c>
      <c r="P310" s="145">
        <f xml:space="preserve"> ConCost!P$254</f>
        <v>0</v>
      </c>
      <c r="Q310" s="145">
        <f xml:space="preserve"> ConCost!Q$254</f>
        <v>0</v>
      </c>
      <c r="R310" s="145">
        <f xml:space="preserve"> ConCost!R$254</f>
        <v>0</v>
      </c>
      <c r="S310" s="145">
        <f xml:space="preserve"> ConCost!S$254</f>
        <v>0</v>
      </c>
      <c r="T310" s="145">
        <f xml:space="preserve"> ConCost!T$254</f>
        <v>0</v>
      </c>
      <c r="U310" s="145">
        <f xml:space="preserve"> ConCost!U$254</f>
        <v>0</v>
      </c>
      <c r="V310" s="145">
        <f xml:space="preserve"> ConCost!V$254</f>
        <v>0</v>
      </c>
      <c r="W310" s="145">
        <f xml:space="preserve"> ConCost!W$254</f>
        <v>0</v>
      </c>
      <c r="X310" s="145">
        <f xml:space="preserve"> ConCost!X$254</f>
        <v>0</v>
      </c>
      <c r="Y310" s="145">
        <f xml:space="preserve"> ConCost!Y$254</f>
        <v>0</v>
      </c>
      <c r="Z310" s="145">
        <f xml:space="preserve"> ConCost!Z$254</f>
        <v>0</v>
      </c>
      <c r="AA310" s="145">
        <f xml:space="preserve"> ConCost!AA$254</f>
        <v>0</v>
      </c>
      <c r="AB310" s="145">
        <f xml:space="preserve"> ConCost!AB$254</f>
        <v>0</v>
      </c>
      <c r="AC310" s="145">
        <f xml:space="preserve"> ConCost!AC$254</f>
        <v>0</v>
      </c>
      <c r="AD310" s="145">
        <f xml:space="preserve"> ConCost!AD$254</f>
        <v>0</v>
      </c>
      <c r="AE310" s="145">
        <f xml:space="preserve"> ConCost!AE$254</f>
        <v>0</v>
      </c>
      <c r="AF310" s="145">
        <f xml:space="preserve"> ConCost!AF$254</f>
        <v>0</v>
      </c>
      <c r="AG310" s="145">
        <f xml:space="preserve"> ConCost!AG$254</f>
        <v>0</v>
      </c>
      <c r="AH310" s="145">
        <f xml:space="preserve"> ConCost!AH$254</f>
        <v>0</v>
      </c>
      <c r="AI310" s="145">
        <f xml:space="preserve"> ConCost!AI$254</f>
        <v>0</v>
      </c>
      <c r="AJ310" s="145">
        <f xml:space="preserve"> ConCost!AJ$254</f>
        <v>0</v>
      </c>
      <c r="AK310" s="145">
        <f xml:space="preserve"> ConCost!AK$254</f>
        <v>0</v>
      </c>
      <c r="AL310" s="145">
        <f xml:space="preserve"> ConCost!AL$254</f>
        <v>0</v>
      </c>
      <c r="AM310" s="145">
        <f xml:space="preserve"> ConCost!AM$254</f>
        <v>0</v>
      </c>
      <c r="AN310" s="145">
        <f xml:space="preserve"> ConCost!AN$254</f>
        <v>0</v>
      </c>
      <c r="AO310" s="145">
        <f xml:space="preserve"> ConCost!AO$254</f>
        <v>0</v>
      </c>
      <c r="AP310" s="145">
        <f xml:space="preserve"> ConCost!AP$254</f>
        <v>0</v>
      </c>
      <c r="AQ310" s="145">
        <f xml:space="preserve"> ConCost!AQ$254</f>
        <v>0</v>
      </c>
      <c r="AR310" s="145">
        <f xml:space="preserve"> ConCost!AR$254</f>
        <v>0</v>
      </c>
      <c r="AS310" s="145">
        <f xml:space="preserve"> ConCost!AS$254</f>
        <v>0</v>
      </c>
      <c r="AT310" s="145">
        <f xml:space="preserve"> ConCost!AT$254</f>
        <v>0</v>
      </c>
      <c r="AU310" s="145">
        <f xml:space="preserve"> ConCost!AU$254</f>
        <v>0</v>
      </c>
      <c r="AV310" s="145">
        <f xml:space="preserve"> ConCost!AV$254</f>
        <v>0</v>
      </c>
      <c r="AW310" s="145">
        <f xml:space="preserve"> ConCost!AW$254</f>
        <v>0</v>
      </c>
      <c r="AX310" s="145">
        <f xml:space="preserve"> ConCost!AX$254</f>
        <v>0</v>
      </c>
      <c r="AY310" s="145">
        <f xml:space="preserve"> ConCost!AY$254</f>
        <v>0</v>
      </c>
      <c r="AZ310" s="145">
        <f xml:space="preserve"> ConCost!AZ$254</f>
        <v>0</v>
      </c>
      <c r="BA310" s="145">
        <f xml:space="preserve"> ConCost!BA$254</f>
        <v>0</v>
      </c>
      <c r="BB310" s="145">
        <f xml:space="preserve"> ConCost!BB$254</f>
        <v>0</v>
      </c>
      <c r="BC310" s="145">
        <f xml:space="preserve"> ConCost!BC$254</f>
        <v>0</v>
      </c>
      <c r="BD310" s="145">
        <f xml:space="preserve"> ConCost!BD$254</f>
        <v>0</v>
      </c>
      <c r="BE310" s="145">
        <f xml:space="preserve"> ConCost!BE$254</f>
        <v>0</v>
      </c>
      <c r="BF310" s="145">
        <f xml:space="preserve"> ConCost!BF$254</f>
        <v>0</v>
      </c>
      <c r="BG310" s="145">
        <f xml:space="preserve"> ConCost!BG$254</f>
        <v>0</v>
      </c>
      <c r="BH310" s="145">
        <f xml:space="preserve"> ConCost!BH$254</f>
        <v>0</v>
      </c>
      <c r="BI310" s="145">
        <f xml:space="preserve"> ConCost!BI$254</f>
        <v>0</v>
      </c>
      <c r="BJ310" s="145">
        <f xml:space="preserve"> ConCost!BJ$254</f>
        <v>0</v>
      </c>
      <c r="BK310" s="145">
        <f xml:space="preserve"> ConCost!BK$254</f>
        <v>0</v>
      </c>
      <c r="BL310" s="145">
        <f xml:space="preserve"> ConCost!BL$254</f>
        <v>0</v>
      </c>
      <c r="BM310" s="145">
        <f xml:space="preserve"> ConCost!BM$254</f>
        <v>0</v>
      </c>
      <c r="BN310" s="145">
        <f xml:space="preserve"> ConCost!BN$254</f>
        <v>0</v>
      </c>
      <c r="BO310" s="145">
        <f xml:space="preserve"> ConCost!BO$254</f>
        <v>0</v>
      </c>
      <c r="BP310" s="145">
        <f xml:space="preserve"> ConCost!BP$254</f>
        <v>0</v>
      </c>
      <c r="BQ310" s="145">
        <f xml:space="preserve"> ConCost!BQ$254</f>
        <v>0</v>
      </c>
      <c r="BR310" s="145">
        <f xml:space="preserve"> ConCost!BR$254</f>
        <v>0</v>
      </c>
      <c r="BS310" s="145">
        <f xml:space="preserve"> ConCost!BS$254</f>
        <v>0</v>
      </c>
      <c r="BT310" s="145">
        <f xml:space="preserve"> ConCost!BT$254</f>
        <v>0</v>
      </c>
      <c r="BU310" s="145">
        <f xml:space="preserve"> ConCost!BU$254</f>
        <v>0</v>
      </c>
      <c r="BV310" s="145">
        <f xml:space="preserve"> ConCost!BV$254</f>
        <v>0</v>
      </c>
      <c r="BW310" s="145">
        <f xml:space="preserve"> ConCost!BW$254</f>
        <v>0</v>
      </c>
      <c r="BX310" s="145">
        <f xml:space="preserve"> ConCost!BX$254</f>
        <v>0</v>
      </c>
      <c r="BY310" s="145">
        <f xml:space="preserve"> ConCost!BY$254</f>
        <v>0</v>
      </c>
      <c r="BZ310" s="145">
        <f xml:space="preserve"> ConCost!BZ$254</f>
        <v>0</v>
      </c>
      <c r="CA310" s="145">
        <f xml:space="preserve"> ConCost!CA$254</f>
        <v>0</v>
      </c>
      <c r="CB310" s="145">
        <f xml:space="preserve"> ConCost!CB$254</f>
        <v>0</v>
      </c>
      <c r="CC310" s="145">
        <f xml:space="preserve"> ConCost!CC$254</f>
        <v>0</v>
      </c>
      <c r="CD310" s="145">
        <f xml:space="preserve"> ConCost!CD$254</f>
        <v>0</v>
      </c>
      <c r="CE310" s="145">
        <f xml:space="preserve"> ConCost!CE$254</f>
        <v>0</v>
      </c>
      <c r="CF310" s="145">
        <f xml:space="preserve"> ConCost!CF$254</f>
        <v>0</v>
      </c>
      <c r="CG310" s="145">
        <f xml:space="preserve"> ConCost!CG$254</f>
        <v>0</v>
      </c>
      <c r="CH310" s="145">
        <f xml:space="preserve"> ConCost!CH$254</f>
        <v>0</v>
      </c>
      <c r="CI310" s="145">
        <f xml:space="preserve"> ConCost!CI$254</f>
        <v>0</v>
      </c>
      <c r="CJ310" s="145">
        <f xml:space="preserve"> ConCost!CJ$254</f>
        <v>0</v>
      </c>
      <c r="CK310" s="145">
        <f xml:space="preserve"> ConCost!CK$254</f>
        <v>0</v>
      </c>
      <c r="CL310" s="145">
        <f xml:space="preserve"> ConCost!CL$254</f>
        <v>0</v>
      </c>
      <c r="CM310" s="145">
        <f xml:space="preserve"> ConCost!CM$254</f>
        <v>0</v>
      </c>
      <c r="CN310" s="145">
        <f xml:space="preserve"> ConCost!CN$254</f>
        <v>0</v>
      </c>
      <c r="CO310" s="145">
        <f xml:space="preserve"> ConCost!CO$254</f>
        <v>0</v>
      </c>
      <c r="CP310" s="145">
        <f xml:space="preserve"> ConCost!CP$254</f>
        <v>0</v>
      </c>
      <c r="CQ310" s="145">
        <f xml:space="preserve"> ConCost!CQ$254</f>
        <v>0</v>
      </c>
      <c r="CR310" s="145">
        <f xml:space="preserve"> ConCost!CR$254</f>
        <v>0</v>
      </c>
      <c r="CS310" s="145">
        <f xml:space="preserve"> ConCost!CS$254</f>
        <v>0</v>
      </c>
      <c r="CT310" s="145">
        <f xml:space="preserve"> ConCost!CT$254</f>
        <v>0</v>
      </c>
      <c r="CU310" s="145">
        <f xml:space="preserve"> ConCost!CU$254</f>
        <v>0</v>
      </c>
      <c r="CV310" s="145">
        <f xml:space="preserve"> ConCost!CV$254</f>
        <v>0</v>
      </c>
    </row>
    <row r="311" spans="1:100" s="498" customFormat="1" outlineLevel="1" x14ac:dyDescent="0.2">
      <c r="A311" s="236"/>
      <c r="B311" s="236"/>
      <c r="C311" s="237"/>
      <c r="D311" s="238"/>
      <c r="E311" s="145" t="str">
        <f xml:space="preserve"> ConCost!E$259</f>
        <v>Early generation revenue received</v>
      </c>
      <c r="F311" s="145">
        <f xml:space="preserve"> ConCost!F$259</f>
        <v>0</v>
      </c>
      <c r="G311" s="145" t="str">
        <f xml:space="preserve"> ConCost!G$259</f>
        <v>$ 000s</v>
      </c>
      <c r="H311" s="145">
        <f xml:space="preserve"> ConCost!H$259</f>
        <v>13930</v>
      </c>
      <c r="I311" s="145">
        <f xml:space="preserve"> ConCost!I$259</f>
        <v>0</v>
      </c>
      <c r="J311" s="145">
        <f xml:space="preserve"> ConCost!J$259</f>
        <v>0</v>
      </c>
      <c r="K311" s="145">
        <f xml:space="preserve"> ConCost!K$259</f>
        <v>0</v>
      </c>
      <c r="L311" s="145">
        <f xml:space="preserve"> ConCost!L$259</f>
        <v>0</v>
      </c>
      <c r="M311" s="145">
        <f xml:space="preserve"> ConCost!M$259</f>
        <v>0</v>
      </c>
      <c r="N311" s="145">
        <f xml:space="preserve"> ConCost!N$259</f>
        <v>11940</v>
      </c>
      <c r="O311" s="145">
        <f xml:space="preserve"> ConCost!O$259</f>
        <v>1990</v>
      </c>
      <c r="P311" s="145">
        <f xml:space="preserve"> ConCost!P$259</f>
        <v>0</v>
      </c>
      <c r="Q311" s="145">
        <f xml:space="preserve"> ConCost!Q$259</f>
        <v>0</v>
      </c>
      <c r="R311" s="145">
        <f xml:space="preserve"> ConCost!R$259</f>
        <v>0</v>
      </c>
      <c r="S311" s="145">
        <f xml:space="preserve"> ConCost!S$259</f>
        <v>0</v>
      </c>
      <c r="T311" s="145">
        <f xml:space="preserve"> ConCost!T$259</f>
        <v>0</v>
      </c>
      <c r="U311" s="145">
        <f xml:space="preserve"> ConCost!U$259</f>
        <v>0</v>
      </c>
      <c r="V311" s="145">
        <f xml:space="preserve"> ConCost!V$259</f>
        <v>0</v>
      </c>
      <c r="W311" s="145">
        <f xml:space="preserve"> ConCost!W$259</f>
        <v>0</v>
      </c>
      <c r="X311" s="145">
        <f xml:space="preserve"> ConCost!X$259</f>
        <v>0</v>
      </c>
      <c r="Y311" s="145">
        <f xml:space="preserve"> ConCost!Y$259</f>
        <v>0</v>
      </c>
      <c r="Z311" s="145">
        <f xml:space="preserve"> ConCost!Z$259</f>
        <v>0</v>
      </c>
      <c r="AA311" s="145">
        <f xml:space="preserve"> ConCost!AA$259</f>
        <v>0</v>
      </c>
      <c r="AB311" s="145">
        <f xml:space="preserve"> ConCost!AB$259</f>
        <v>0</v>
      </c>
      <c r="AC311" s="145">
        <f xml:space="preserve"> ConCost!AC$259</f>
        <v>0</v>
      </c>
      <c r="AD311" s="145">
        <f xml:space="preserve"> ConCost!AD$259</f>
        <v>0</v>
      </c>
      <c r="AE311" s="145">
        <f xml:space="preserve"> ConCost!AE$259</f>
        <v>0</v>
      </c>
      <c r="AF311" s="145">
        <f xml:space="preserve"> ConCost!AF$259</f>
        <v>0</v>
      </c>
      <c r="AG311" s="145">
        <f xml:space="preserve"> ConCost!AG$259</f>
        <v>0</v>
      </c>
      <c r="AH311" s="145">
        <f xml:space="preserve"> ConCost!AH$259</f>
        <v>0</v>
      </c>
      <c r="AI311" s="145">
        <f xml:space="preserve"> ConCost!AI$259</f>
        <v>0</v>
      </c>
      <c r="AJ311" s="145">
        <f xml:space="preserve"> ConCost!AJ$259</f>
        <v>0</v>
      </c>
      <c r="AK311" s="145">
        <f xml:space="preserve"> ConCost!AK$259</f>
        <v>0</v>
      </c>
      <c r="AL311" s="145">
        <f xml:space="preserve"> ConCost!AL$259</f>
        <v>0</v>
      </c>
      <c r="AM311" s="145">
        <f xml:space="preserve"> ConCost!AM$259</f>
        <v>0</v>
      </c>
      <c r="AN311" s="145">
        <f xml:space="preserve"> ConCost!AN$259</f>
        <v>0</v>
      </c>
      <c r="AO311" s="145">
        <f xml:space="preserve"> ConCost!AO$259</f>
        <v>0</v>
      </c>
      <c r="AP311" s="145">
        <f xml:space="preserve"> ConCost!AP$259</f>
        <v>0</v>
      </c>
      <c r="AQ311" s="145">
        <f xml:space="preserve"> ConCost!AQ$259</f>
        <v>0</v>
      </c>
      <c r="AR311" s="145">
        <f xml:space="preserve"> ConCost!AR$259</f>
        <v>0</v>
      </c>
      <c r="AS311" s="145">
        <f xml:space="preserve"> ConCost!AS$259</f>
        <v>0</v>
      </c>
      <c r="AT311" s="145">
        <f xml:space="preserve"> ConCost!AT$259</f>
        <v>0</v>
      </c>
      <c r="AU311" s="145">
        <f xml:space="preserve"> ConCost!AU$259</f>
        <v>0</v>
      </c>
      <c r="AV311" s="145">
        <f xml:space="preserve"> ConCost!AV$259</f>
        <v>0</v>
      </c>
      <c r="AW311" s="145">
        <f xml:space="preserve"> ConCost!AW$259</f>
        <v>0</v>
      </c>
      <c r="AX311" s="145">
        <f xml:space="preserve"> ConCost!AX$259</f>
        <v>0</v>
      </c>
      <c r="AY311" s="145">
        <f xml:space="preserve"> ConCost!AY$259</f>
        <v>0</v>
      </c>
      <c r="AZ311" s="145">
        <f xml:space="preserve"> ConCost!AZ$259</f>
        <v>0</v>
      </c>
      <c r="BA311" s="145">
        <f xml:space="preserve"> ConCost!BA$259</f>
        <v>0</v>
      </c>
      <c r="BB311" s="145">
        <f xml:space="preserve"> ConCost!BB$259</f>
        <v>0</v>
      </c>
      <c r="BC311" s="145">
        <f xml:space="preserve"> ConCost!BC$259</f>
        <v>0</v>
      </c>
      <c r="BD311" s="145">
        <f xml:space="preserve"> ConCost!BD$259</f>
        <v>0</v>
      </c>
      <c r="BE311" s="145">
        <f xml:space="preserve"> ConCost!BE$259</f>
        <v>0</v>
      </c>
      <c r="BF311" s="145">
        <f xml:space="preserve"> ConCost!BF$259</f>
        <v>0</v>
      </c>
      <c r="BG311" s="145">
        <f xml:space="preserve"> ConCost!BG$259</f>
        <v>0</v>
      </c>
      <c r="BH311" s="145">
        <f xml:space="preserve"> ConCost!BH$259</f>
        <v>0</v>
      </c>
      <c r="BI311" s="145">
        <f xml:space="preserve"> ConCost!BI$259</f>
        <v>0</v>
      </c>
      <c r="BJ311" s="145">
        <f xml:space="preserve"> ConCost!BJ$259</f>
        <v>0</v>
      </c>
      <c r="BK311" s="145">
        <f xml:space="preserve"> ConCost!BK$259</f>
        <v>0</v>
      </c>
      <c r="BL311" s="145">
        <f xml:space="preserve"> ConCost!BL$259</f>
        <v>0</v>
      </c>
      <c r="BM311" s="145">
        <f xml:space="preserve"> ConCost!BM$259</f>
        <v>0</v>
      </c>
      <c r="BN311" s="145">
        <f xml:space="preserve"> ConCost!BN$259</f>
        <v>0</v>
      </c>
      <c r="BO311" s="145">
        <f xml:space="preserve"> ConCost!BO$259</f>
        <v>0</v>
      </c>
      <c r="BP311" s="145">
        <f xml:space="preserve"> ConCost!BP$259</f>
        <v>0</v>
      </c>
      <c r="BQ311" s="145">
        <f xml:space="preserve"> ConCost!BQ$259</f>
        <v>0</v>
      </c>
      <c r="BR311" s="145">
        <f xml:space="preserve"> ConCost!BR$259</f>
        <v>0</v>
      </c>
      <c r="BS311" s="145">
        <f xml:space="preserve"> ConCost!BS$259</f>
        <v>0</v>
      </c>
      <c r="BT311" s="145">
        <f xml:space="preserve"> ConCost!BT$259</f>
        <v>0</v>
      </c>
      <c r="BU311" s="145">
        <f xml:space="preserve"> ConCost!BU$259</f>
        <v>0</v>
      </c>
      <c r="BV311" s="145">
        <f xml:space="preserve"> ConCost!BV$259</f>
        <v>0</v>
      </c>
      <c r="BW311" s="145">
        <f xml:space="preserve"> ConCost!BW$259</f>
        <v>0</v>
      </c>
      <c r="BX311" s="145">
        <f xml:space="preserve"> ConCost!BX$259</f>
        <v>0</v>
      </c>
      <c r="BY311" s="145">
        <f xml:space="preserve"> ConCost!BY$259</f>
        <v>0</v>
      </c>
      <c r="BZ311" s="145">
        <f xml:space="preserve"> ConCost!BZ$259</f>
        <v>0</v>
      </c>
      <c r="CA311" s="145">
        <f xml:space="preserve"> ConCost!CA$259</f>
        <v>0</v>
      </c>
      <c r="CB311" s="145">
        <f xml:space="preserve"> ConCost!CB$259</f>
        <v>0</v>
      </c>
      <c r="CC311" s="145">
        <f xml:space="preserve"> ConCost!CC$259</f>
        <v>0</v>
      </c>
      <c r="CD311" s="145">
        <f xml:space="preserve"> ConCost!CD$259</f>
        <v>0</v>
      </c>
      <c r="CE311" s="145">
        <f xml:space="preserve"> ConCost!CE$259</f>
        <v>0</v>
      </c>
      <c r="CF311" s="145">
        <f xml:space="preserve"> ConCost!CF$259</f>
        <v>0</v>
      </c>
      <c r="CG311" s="145">
        <f xml:space="preserve"> ConCost!CG$259</f>
        <v>0</v>
      </c>
      <c r="CH311" s="145">
        <f xml:space="preserve"> ConCost!CH$259</f>
        <v>0</v>
      </c>
      <c r="CI311" s="145">
        <f xml:space="preserve"> ConCost!CI$259</f>
        <v>0</v>
      </c>
      <c r="CJ311" s="145">
        <f xml:space="preserve"> ConCost!CJ$259</f>
        <v>0</v>
      </c>
      <c r="CK311" s="145">
        <f xml:space="preserve"> ConCost!CK$259</f>
        <v>0</v>
      </c>
      <c r="CL311" s="145">
        <f xml:space="preserve"> ConCost!CL$259</f>
        <v>0</v>
      </c>
      <c r="CM311" s="145">
        <f xml:space="preserve"> ConCost!CM$259</f>
        <v>0</v>
      </c>
      <c r="CN311" s="145">
        <f xml:space="preserve"> ConCost!CN$259</f>
        <v>0</v>
      </c>
      <c r="CO311" s="145">
        <f xml:space="preserve"> ConCost!CO$259</f>
        <v>0</v>
      </c>
      <c r="CP311" s="145">
        <f xml:space="preserve"> ConCost!CP$259</f>
        <v>0</v>
      </c>
      <c r="CQ311" s="145">
        <f xml:space="preserve"> ConCost!CQ$259</f>
        <v>0</v>
      </c>
      <c r="CR311" s="145">
        <f xml:space="preserve"> ConCost!CR$259</f>
        <v>0</v>
      </c>
      <c r="CS311" s="145">
        <f xml:space="preserve"> ConCost!CS$259</f>
        <v>0</v>
      </c>
      <c r="CT311" s="145">
        <f xml:space="preserve"> ConCost!CT$259</f>
        <v>0</v>
      </c>
      <c r="CU311" s="145">
        <f xml:space="preserve"> ConCost!CU$259</f>
        <v>0</v>
      </c>
      <c r="CV311" s="145">
        <f xml:space="preserve"> ConCost!CV$259</f>
        <v>0</v>
      </c>
    </row>
    <row r="312" spans="1:100" s="541" customFormat="1" outlineLevel="1" x14ac:dyDescent="0.2">
      <c r="A312" s="391"/>
      <c r="B312" s="391"/>
      <c r="C312" s="392"/>
      <c r="D312" s="393"/>
      <c r="E312" s="395" t="s">
        <v>753</v>
      </c>
      <c r="F312" s="395"/>
      <c r="G312" s="395" t="str">
        <f xml:space="preserve"> SMU</f>
        <v>$ 000s</v>
      </c>
      <c r="H312" s="395"/>
      <c r="I312" s="395"/>
      <c r="J312" s="395">
        <f t="shared" ref="J312:AO312" si="939" xml:space="preserve"> J309 + J310 - J311</f>
        <v>0</v>
      </c>
      <c r="K312" s="395">
        <f t="shared" si="939"/>
        <v>0</v>
      </c>
      <c r="L312" s="395">
        <f t="shared" si="939"/>
        <v>0</v>
      </c>
      <c r="M312" s="395">
        <f t="shared" si="939"/>
        <v>1990</v>
      </c>
      <c r="N312" s="395">
        <f t="shared" si="939"/>
        <v>1990</v>
      </c>
      <c r="O312" s="395">
        <f t="shared" si="939"/>
        <v>0</v>
      </c>
      <c r="P312" s="395">
        <f t="shared" si="939"/>
        <v>0</v>
      </c>
      <c r="Q312" s="395">
        <f t="shared" si="939"/>
        <v>0</v>
      </c>
      <c r="R312" s="395">
        <f t="shared" si="939"/>
        <v>0</v>
      </c>
      <c r="S312" s="395">
        <f t="shared" si="939"/>
        <v>0</v>
      </c>
      <c r="T312" s="395">
        <f t="shared" si="939"/>
        <v>0</v>
      </c>
      <c r="U312" s="395">
        <f t="shared" si="939"/>
        <v>0</v>
      </c>
      <c r="V312" s="395">
        <f t="shared" si="939"/>
        <v>0</v>
      </c>
      <c r="W312" s="395">
        <f t="shared" si="939"/>
        <v>0</v>
      </c>
      <c r="X312" s="395">
        <f t="shared" si="939"/>
        <v>0</v>
      </c>
      <c r="Y312" s="395">
        <f t="shared" si="939"/>
        <v>0</v>
      </c>
      <c r="Z312" s="395">
        <f t="shared" si="939"/>
        <v>0</v>
      </c>
      <c r="AA312" s="395">
        <f t="shared" si="939"/>
        <v>0</v>
      </c>
      <c r="AB312" s="395">
        <f t="shared" si="939"/>
        <v>0</v>
      </c>
      <c r="AC312" s="395">
        <f t="shared" si="939"/>
        <v>0</v>
      </c>
      <c r="AD312" s="395">
        <f t="shared" si="939"/>
        <v>0</v>
      </c>
      <c r="AE312" s="395">
        <f t="shared" si="939"/>
        <v>0</v>
      </c>
      <c r="AF312" s="395">
        <f t="shared" si="939"/>
        <v>0</v>
      </c>
      <c r="AG312" s="395">
        <f t="shared" si="939"/>
        <v>0</v>
      </c>
      <c r="AH312" s="395">
        <f t="shared" si="939"/>
        <v>0</v>
      </c>
      <c r="AI312" s="395">
        <f t="shared" si="939"/>
        <v>0</v>
      </c>
      <c r="AJ312" s="395">
        <f t="shared" si="939"/>
        <v>0</v>
      </c>
      <c r="AK312" s="395">
        <f t="shared" si="939"/>
        <v>0</v>
      </c>
      <c r="AL312" s="395">
        <f t="shared" si="939"/>
        <v>0</v>
      </c>
      <c r="AM312" s="395">
        <f t="shared" si="939"/>
        <v>0</v>
      </c>
      <c r="AN312" s="395">
        <f t="shared" si="939"/>
        <v>0</v>
      </c>
      <c r="AO312" s="395">
        <f t="shared" si="939"/>
        <v>0</v>
      </c>
      <c r="AP312" s="395">
        <f t="shared" ref="AP312:BU312" si="940" xml:space="preserve"> AP309 + AP310 - AP311</f>
        <v>0</v>
      </c>
      <c r="AQ312" s="395">
        <f t="shared" si="940"/>
        <v>0</v>
      </c>
      <c r="AR312" s="395">
        <f t="shared" si="940"/>
        <v>0</v>
      </c>
      <c r="AS312" s="395">
        <f t="shared" si="940"/>
        <v>0</v>
      </c>
      <c r="AT312" s="395">
        <f t="shared" si="940"/>
        <v>0</v>
      </c>
      <c r="AU312" s="395">
        <f t="shared" si="940"/>
        <v>0</v>
      </c>
      <c r="AV312" s="395">
        <f t="shared" si="940"/>
        <v>0</v>
      </c>
      <c r="AW312" s="395">
        <f t="shared" si="940"/>
        <v>0</v>
      </c>
      <c r="AX312" s="395">
        <f t="shared" si="940"/>
        <v>0</v>
      </c>
      <c r="AY312" s="395">
        <f t="shared" si="940"/>
        <v>0</v>
      </c>
      <c r="AZ312" s="395">
        <f t="shared" si="940"/>
        <v>0</v>
      </c>
      <c r="BA312" s="395">
        <f t="shared" si="940"/>
        <v>0</v>
      </c>
      <c r="BB312" s="395">
        <f t="shared" si="940"/>
        <v>0</v>
      </c>
      <c r="BC312" s="395">
        <f t="shared" si="940"/>
        <v>0</v>
      </c>
      <c r="BD312" s="395">
        <f t="shared" si="940"/>
        <v>0</v>
      </c>
      <c r="BE312" s="395">
        <f t="shared" si="940"/>
        <v>0</v>
      </c>
      <c r="BF312" s="395">
        <f t="shared" si="940"/>
        <v>0</v>
      </c>
      <c r="BG312" s="395">
        <f t="shared" si="940"/>
        <v>0</v>
      </c>
      <c r="BH312" s="395">
        <f t="shared" si="940"/>
        <v>0</v>
      </c>
      <c r="BI312" s="395">
        <f t="shared" si="940"/>
        <v>0</v>
      </c>
      <c r="BJ312" s="395">
        <f t="shared" si="940"/>
        <v>0</v>
      </c>
      <c r="BK312" s="395">
        <f t="shared" si="940"/>
        <v>0</v>
      </c>
      <c r="BL312" s="395">
        <f t="shared" si="940"/>
        <v>0</v>
      </c>
      <c r="BM312" s="395">
        <f t="shared" si="940"/>
        <v>0</v>
      </c>
      <c r="BN312" s="395">
        <f t="shared" si="940"/>
        <v>0</v>
      </c>
      <c r="BO312" s="395">
        <f t="shared" si="940"/>
        <v>0</v>
      </c>
      <c r="BP312" s="395">
        <f t="shared" si="940"/>
        <v>0</v>
      </c>
      <c r="BQ312" s="395">
        <f t="shared" si="940"/>
        <v>0</v>
      </c>
      <c r="BR312" s="395">
        <f t="shared" si="940"/>
        <v>0</v>
      </c>
      <c r="BS312" s="395">
        <f t="shared" si="940"/>
        <v>0</v>
      </c>
      <c r="BT312" s="395">
        <f t="shared" si="940"/>
        <v>0</v>
      </c>
      <c r="BU312" s="395">
        <f t="shared" si="940"/>
        <v>0</v>
      </c>
      <c r="BV312" s="395">
        <f t="shared" ref="BV312:CV312" si="941" xml:space="preserve"> BV309 + BV310 - BV311</f>
        <v>0</v>
      </c>
      <c r="BW312" s="395">
        <f t="shared" si="941"/>
        <v>0</v>
      </c>
      <c r="BX312" s="395">
        <f t="shared" si="941"/>
        <v>0</v>
      </c>
      <c r="BY312" s="395">
        <f t="shared" si="941"/>
        <v>0</v>
      </c>
      <c r="BZ312" s="395">
        <f t="shared" si="941"/>
        <v>0</v>
      </c>
      <c r="CA312" s="395">
        <f t="shared" si="941"/>
        <v>0</v>
      </c>
      <c r="CB312" s="395">
        <f t="shared" si="941"/>
        <v>0</v>
      </c>
      <c r="CC312" s="395">
        <f t="shared" si="941"/>
        <v>0</v>
      </c>
      <c r="CD312" s="395">
        <f t="shared" si="941"/>
        <v>0</v>
      </c>
      <c r="CE312" s="395">
        <f t="shared" si="941"/>
        <v>0</v>
      </c>
      <c r="CF312" s="395">
        <f t="shared" si="941"/>
        <v>0</v>
      </c>
      <c r="CG312" s="395">
        <f t="shared" si="941"/>
        <v>0</v>
      </c>
      <c r="CH312" s="395">
        <f t="shared" si="941"/>
        <v>0</v>
      </c>
      <c r="CI312" s="395">
        <f t="shared" si="941"/>
        <v>0</v>
      </c>
      <c r="CJ312" s="395">
        <f t="shared" si="941"/>
        <v>0</v>
      </c>
      <c r="CK312" s="395">
        <f t="shared" si="941"/>
        <v>0</v>
      </c>
      <c r="CL312" s="395">
        <f t="shared" si="941"/>
        <v>0</v>
      </c>
      <c r="CM312" s="395">
        <f t="shared" si="941"/>
        <v>0</v>
      </c>
      <c r="CN312" s="395">
        <f t="shared" si="941"/>
        <v>0</v>
      </c>
      <c r="CO312" s="395">
        <f t="shared" si="941"/>
        <v>0</v>
      </c>
      <c r="CP312" s="395">
        <f t="shared" si="941"/>
        <v>0</v>
      </c>
      <c r="CQ312" s="395">
        <f t="shared" si="941"/>
        <v>0</v>
      </c>
      <c r="CR312" s="395">
        <f t="shared" si="941"/>
        <v>0</v>
      </c>
      <c r="CS312" s="395">
        <f t="shared" si="941"/>
        <v>0</v>
      </c>
      <c r="CT312" s="395">
        <f t="shared" si="941"/>
        <v>0</v>
      </c>
      <c r="CU312" s="395">
        <f t="shared" si="941"/>
        <v>0</v>
      </c>
      <c r="CV312" s="395">
        <f t="shared" si="941"/>
        <v>0</v>
      </c>
    </row>
    <row r="313" spans="1:100" outlineLevel="1" x14ac:dyDescent="0.2">
      <c r="A313" s="236"/>
      <c r="B313" s="236"/>
      <c r="C313" s="237"/>
      <c r="D313" s="238"/>
      <c r="E313" s="235"/>
      <c r="F313" s="235"/>
      <c r="G313" s="235"/>
      <c r="H313" s="235"/>
      <c r="I313" s="235"/>
      <c r="J313" s="235"/>
      <c r="K313" s="235"/>
      <c r="L313" s="235"/>
      <c r="M313" s="235"/>
      <c r="N313" s="235"/>
      <c r="O313" s="235"/>
      <c r="P313" s="235"/>
      <c r="Q313" s="235"/>
      <c r="R313" s="235"/>
      <c r="S313" s="235"/>
      <c r="T313" s="235"/>
      <c r="U313" s="235"/>
      <c r="V313" s="235"/>
      <c r="W313" s="235"/>
      <c r="X313" s="235"/>
      <c r="Y313" s="235"/>
      <c r="Z313" s="235"/>
      <c r="AA313" s="235"/>
      <c r="AB313" s="235"/>
      <c r="AC313" s="235"/>
      <c r="AD313" s="235"/>
      <c r="AE313" s="235"/>
      <c r="AF313" s="235"/>
      <c r="AG313" s="235"/>
      <c r="AH313" s="235"/>
      <c r="AI313" s="235"/>
      <c r="AJ313" s="235"/>
      <c r="AK313" s="235"/>
      <c r="AL313" s="235"/>
      <c r="AM313" s="235"/>
      <c r="AN313" s="235"/>
      <c r="AO313" s="235"/>
      <c r="AP313" s="235"/>
      <c r="AQ313" s="235"/>
      <c r="AR313" s="235"/>
      <c r="AS313" s="235"/>
      <c r="AT313" s="235"/>
      <c r="AU313" s="235"/>
      <c r="AV313" s="235"/>
      <c r="AW313" s="235"/>
      <c r="AX313" s="235"/>
      <c r="AY313" s="235"/>
      <c r="AZ313" s="235"/>
      <c r="BA313" s="235"/>
      <c r="BB313" s="235"/>
      <c r="BC313" s="235"/>
      <c r="BD313" s="235"/>
      <c r="BE313" s="235"/>
      <c r="BF313" s="235"/>
      <c r="BG313" s="235"/>
      <c r="BH313" s="235"/>
      <c r="BI313" s="235"/>
      <c r="BJ313" s="235"/>
      <c r="BK313" s="235"/>
      <c r="BL313" s="235"/>
      <c r="BM313" s="235"/>
      <c r="BN313" s="235"/>
      <c r="BO313" s="235"/>
      <c r="BP313" s="235"/>
      <c r="BQ313" s="235"/>
      <c r="BR313" s="235"/>
      <c r="BS313" s="235"/>
      <c r="BT313" s="235"/>
      <c r="BU313" s="235"/>
      <c r="BV313" s="235"/>
      <c r="BW313" s="235"/>
      <c r="BX313" s="235"/>
      <c r="BY313" s="235"/>
      <c r="BZ313" s="235"/>
      <c r="CA313" s="235"/>
      <c r="CB313" s="235"/>
      <c r="CC313" s="235"/>
      <c r="CD313" s="235"/>
      <c r="CE313" s="235"/>
      <c r="CF313" s="235"/>
      <c r="CG313" s="235"/>
      <c r="CH313" s="235"/>
      <c r="CI313" s="235"/>
      <c r="CJ313" s="235"/>
      <c r="CK313" s="235"/>
      <c r="CL313" s="235"/>
      <c r="CM313" s="235"/>
      <c r="CN313" s="235"/>
      <c r="CO313" s="235"/>
      <c r="CP313" s="235"/>
      <c r="CQ313" s="235"/>
      <c r="CR313" s="235"/>
      <c r="CS313" s="235"/>
      <c r="CT313" s="235"/>
      <c r="CU313" s="235"/>
      <c r="CV313" s="235"/>
    </row>
    <row r="314" spans="1:100" x14ac:dyDescent="0.2">
      <c r="A314" s="236"/>
      <c r="B314" s="236"/>
      <c r="C314" s="237"/>
      <c r="D314" s="238"/>
      <c r="E314" s="235"/>
      <c r="F314" s="235"/>
      <c r="G314" s="235"/>
      <c r="H314" s="235"/>
      <c r="I314" s="235"/>
      <c r="J314" s="235"/>
      <c r="K314" s="235"/>
      <c r="L314" s="235"/>
      <c r="M314" s="235"/>
      <c r="N314" s="235"/>
      <c r="O314" s="235"/>
      <c r="P314" s="235"/>
      <c r="Q314" s="235"/>
      <c r="R314" s="235"/>
      <c r="S314" s="235"/>
      <c r="T314" s="235"/>
      <c r="U314" s="235"/>
      <c r="V314" s="235"/>
      <c r="W314" s="235"/>
      <c r="X314" s="235"/>
      <c r="Y314" s="235"/>
      <c r="Z314" s="235"/>
      <c r="AA314" s="235"/>
      <c r="AB314" s="235"/>
      <c r="AC314" s="235"/>
      <c r="AD314" s="235"/>
      <c r="AE314" s="235"/>
      <c r="AF314" s="235"/>
      <c r="AG314" s="235"/>
      <c r="AH314" s="235"/>
      <c r="AI314" s="235"/>
      <c r="AJ314" s="235"/>
      <c r="AK314" s="235"/>
      <c r="AL314" s="235"/>
      <c r="AM314" s="235"/>
      <c r="AN314" s="235"/>
      <c r="AO314" s="235"/>
      <c r="AP314" s="235"/>
      <c r="AQ314" s="235"/>
      <c r="AR314" s="235"/>
      <c r="AS314" s="235"/>
      <c r="AT314" s="235"/>
      <c r="AU314" s="235"/>
      <c r="AV314" s="235"/>
      <c r="AW314" s="235"/>
      <c r="AX314" s="235"/>
      <c r="AY314" s="235"/>
      <c r="AZ314" s="235"/>
      <c r="BA314" s="235"/>
      <c r="BB314" s="235"/>
      <c r="BC314" s="235"/>
      <c r="BD314" s="235"/>
      <c r="BE314" s="235"/>
      <c r="BF314" s="235"/>
      <c r="BG314" s="235"/>
      <c r="BH314" s="235"/>
      <c r="BI314" s="235"/>
      <c r="BJ314" s="235"/>
      <c r="BK314" s="235"/>
      <c r="BL314" s="235"/>
      <c r="BM314" s="235"/>
      <c r="BN314" s="235"/>
      <c r="BO314" s="235"/>
      <c r="BP314" s="235"/>
      <c r="BQ314" s="235"/>
      <c r="BR314" s="235"/>
      <c r="BS314" s="235"/>
      <c r="BT314" s="235"/>
      <c r="BU314" s="235"/>
      <c r="BV314" s="235"/>
      <c r="BW314" s="235"/>
      <c r="BX314" s="235"/>
      <c r="BY314" s="235"/>
      <c r="BZ314" s="235"/>
      <c r="CA314" s="235"/>
      <c r="CB314" s="235"/>
      <c r="CC314" s="235"/>
      <c r="CD314" s="235"/>
      <c r="CE314" s="235"/>
      <c r="CF314" s="235"/>
      <c r="CG314" s="235"/>
      <c r="CH314" s="235"/>
      <c r="CI314" s="235"/>
      <c r="CJ314" s="235"/>
      <c r="CK314" s="235"/>
      <c r="CL314" s="235"/>
      <c r="CM314" s="235"/>
      <c r="CN314" s="235"/>
      <c r="CO314" s="235"/>
      <c r="CP314" s="235"/>
      <c r="CQ314" s="235"/>
      <c r="CR314" s="235"/>
      <c r="CS314" s="235"/>
      <c r="CT314" s="235"/>
      <c r="CU314" s="235"/>
      <c r="CV314" s="235"/>
    </row>
    <row r="315" spans="1:100" x14ac:dyDescent="0.2">
      <c r="A315" s="236" t="s">
        <v>756</v>
      </c>
      <c r="B315" s="236"/>
      <c r="C315" s="237"/>
      <c r="D315" s="238"/>
      <c r="E315" s="235"/>
      <c r="F315" s="235"/>
      <c r="G315" s="235"/>
      <c r="H315" s="235"/>
      <c r="I315" s="235"/>
      <c r="J315" s="235"/>
      <c r="K315" s="235"/>
      <c r="L315" s="235"/>
      <c r="M315" s="235"/>
      <c r="N315" s="235"/>
      <c r="O315" s="235"/>
      <c r="P315" s="235"/>
      <c r="Q315" s="235"/>
      <c r="R315" s="235"/>
      <c r="S315" s="235"/>
      <c r="T315" s="235"/>
      <c r="U315" s="235"/>
      <c r="V315" s="235"/>
      <c r="W315" s="235"/>
      <c r="X315" s="235"/>
      <c r="Y315" s="235"/>
      <c r="Z315" s="235"/>
      <c r="AA315" s="235"/>
      <c r="AB315" s="235"/>
      <c r="AC315" s="235"/>
      <c r="AD315" s="235"/>
      <c r="AE315" s="235"/>
      <c r="AF315" s="235"/>
      <c r="AG315" s="235"/>
      <c r="AH315" s="235"/>
      <c r="AI315" s="235"/>
      <c r="AJ315" s="235"/>
      <c r="AK315" s="235"/>
      <c r="AL315" s="235"/>
      <c r="AM315" s="235"/>
      <c r="AN315" s="235"/>
      <c r="AO315" s="235"/>
      <c r="AP315" s="235"/>
      <c r="AQ315" s="235"/>
      <c r="AR315" s="235"/>
      <c r="AS315" s="235"/>
      <c r="AT315" s="235"/>
      <c r="AU315" s="235"/>
      <c r="AV315" s="235"/>
      <c r="AW315" s="235"/>
      <c r="AX315" s="235"/>
      <c r="AY315" s="235"/>
      <c r="AZ315" s="235"/>
      <c r="BA315" s="235"/>
      <c r="BB315" s="235"/>
      <c r="BC315" s="235"/>
      <c r="BD315" s="235"/>
      <c r="BE315" s="235"/>
      <c r="BF315" s="235"/>
      <c r="BG315" s="235"/>
      <c r="BH315" s="235"/>
      <c r="BI315" s="235"/>
      <c r="BJ315" s="235"/>
      <c r="BK315" s="235"/>
      <c r="BL315" s="235"/>
      <c r="BM315" s="235"/>
      <c r="BN315" s="235"/>
      <c r="BO315" s="235"/>
      <c r="BP315" s="235"/>
      <c r="BQ315" s="235"/>
      <c r="BR315" s="235"/>
      <c r="BS315" s="235"/>
      <c r="BT315" s="235"/>
      <c r="BU315" s="235"/>
      <c r="BV315" s="235"/>
      <c r="BW315" s="235"/>
      <c r="BX315" s="235"/>
      <c r="BY315" s="235"/>
      <c r="BZ315" s="235"/>
      <c r="CA315" s="235"/>
      <c r="CB315" s="235"/>
      <c r="CC315" s="235"/>
      <c r="CD315" s="235"/>
      <c r="CE315" s="235"/>
      <c r="CF315" s="235"/>
      <c r="CG315" s="235"/>
      <c r="CH315" s="235"/>
      <c r="CI315" s="235"/>
      <c r="CJ315" s="235"/>
      <c r="CK315" s="235"/>
      <c r="CL315" s="235"/>
      <c r="CM315" s="235"/>
      <c r="CN315" s="235"/>
      <c r="CO315" s="235"/>
      <c r="CP315" s="235"/>
      <c r="CQ315" s="235"/>
      <c r="CR315" s="235"/>
      <c r="CS315" s="235"/>
      <c r="CT315" s="235"/>
      <c r="CU315" s="235"/>
      <c r="CV315" s="235"/>
    </row>
    <row r="316" spans="1:100" outlineLevel="1" x14ac:dyDescent="0.2">
      <c r="A316" s="236"/>
      <c r="B316" s="236"/>
      <c r="C316" s="237"/>
      <c r="D316" s="238"/>
      <c r="E316" s="235"/>
      <c r="F316" s="235"/>
      <c r="G316" s="235"/>
      <c r="H316" s="235"/>
      <c r="I316" s="235"/>
      <c r="J316" s="235"/>
      <c r="K316" s="235"/>
      <c r="L316" s="235"/>
      <c r="M316" s="235"/>
      <c r="N316" s="235"/>
      <c r="O316" s="235"/>
      <c r="P316" s="235"/>
      <c r="Q316" s="235"/>
      <c r="R316" s="235"/>
      <c r="S316" s="235"/>
      <c r="T316" s="235"/>
      <c r="U316" s="235"/>
      <c r="V316" s="235"/>
      <c r="W316" s="235"/>
      <c r="X316" s="235"/>
      <c r="Y316" s="235"/>
      <c r="Z316" s="235"/>
      <c r="AA316" s="235"/>
      <c r="AB316" s="235"/>
      <c r="AC316" s="235"/>
      <c r="AD316" s="235"/>
      <c r="AE316" s="235"/>
      <c r="AF316" s="235"/>
      <c r="AG316" s="235"/>
      <c r="AH316" s="235"/>
      <c r="AI316" s="235"/>
      <c r="AJ316" s="235"/>
      <c r="AK316" s="235"/>
      <c r="AL316" s="235"/>
      <c r="AM316" s="235"/>
      <c r="AN316" s="235"/>
      <c r="AO316" s="235"/>
      <c r="AP316" s="235"/>
      <c r="AQ316" s="235"/>
      <c r="AR316" s="235"/>
      <c r="AS316" s="235"/>
      <c r="AT316" s="235"/>
      <c r="AU316" s="235"/>
      <c r="AV316" s="235"/>
      <c r="AW316" s="235"/>
      <c r="AX316" s="235"/>
      <c r="AY316" s="235"/>
      <c r="AZ316" s="235"/>
      <c r="BA316" s="235"/>
      <c r="BB316" s="235"/>
      <c r="BC316" s="235"/>
      <c r="BD316" s="235"/>
      <c r="BE316" s="235"/>
      <c r="BF316" s="235"/>
      <c r="BG316" s="235"/>
      <c r="BH316" s="235"/>
      <c r="BI316" s="235"/>
      <c r="BJ316" s="235"/>
      <c r="BK316" s="235"/>
      <c r="BL316" s="235"/>
      <c r="BM316" s="235"/>
      <c r="BN316" s="235"/>
      <c r="BO316" s="235"/>
      <c r="BP316" s="235"/>
      <c r="BQ316" s="235"/>
      <c r="BR316" s="235"/>
      <c r="BS316" s="235"/>
      <c r="BT316" s="235"/>
      <c r="BU316" s="235"/>
      <c r="BV316" s="235"/>
      <c r="BW316" s="235"/>
      <c r="BX316" s="235"/>
      <c r="BY316" s="235"/>
      <c r="BZ316" s="235"/>
      <c r="CA316" s="235"/>
      <c r="CB316" s="235"/>
      <c r="CC316" s="235"/>
      <c r="CD316" s="235"/>
      <c r="CE316" s="235"/>
      <c r="CF316" s="235"/>
      <c r="CG316" s="235"/>
      <c r="CH316" s="235"/>
      <c r="CI316" s="235"/>
      <c r="CJ316" s="235"/>
      <c r="CK316" s="235"/>
      <c r="CL316" s="235"/>
      <c r="CM316" s="235"/>
      <c r="CN316" s="235"/>
      <c r="CO316" s="235"/>
      <c r="CP316" s="235"/>
      <c r="CQ316" s="235"/>
      <c r="CR316" s="235"/>
      <c r="CS316" s="235"/>
      <c r="CT316" s="235"/>
      <c r="CU316" s="235"/>
      <c r="CV316" s="235"/>
    </row>
    <row r="317" spans="1:100" outlineLevel="1" x14ac:dyDescent="0.2">
      <c r="A317" s="236"/>
      <c r="B317" s="236"/>
      <c r="C317" s="237"/>
      <c r="D317" s="238"/>
      <c r="E317" s="145" t="str">
        <f xml:space="preserve"> ConCost!E$274</f>
        <v>Early generation costs paid by EGR's</v>
      </c>
      <c r="F317" s="145">
        <f xml:space="preserve"> ConCost!F$274</f>
        <v>0</v>
      </c>
      <c r="G317" s="145" t="str">
        <f xml:space="preserve"> ConCost!G$274</f>
        <v>$ 000s</v>
      </c>
      <c r="H317" s="145">
        <f xml:space="preserve"> ConCost!H$274</f>
        <v>0</v>
      </c>
      <c r="I317" s="145">
        <f xml:space="preserve"> ConCost!I$274</f>
        <v>0</v>
      </c>
      <c r="J317" s="145">
        <f xml:space="preserve"> ConCost!J$274</f>
        <v>0</v>
      </c>
      <c r="K317" s="145">
        <f xml:space="preserve"> ConCost!K$274</f>
        <v>0</v>
      </c>
      <c r="L317" s="145">
        <f xml:space="preserve"> ConCost!L$274</f>
        <v>0</v>
      </c>
      <c r="M317" s="145">
        <f xml:space="preserve"> ConCost!M$274</f>
        <v>0</v>
      </c>
      <c r="N317" s="145">
        <f xml:space="preserve"> ConCost!N$274</f>
        <v>0</v>
      </c>
      <c r="O317" s="145">
        <f xml:space="preserve"> ConCost!O$274</f>
        <v>0</v>
      </c>
      <c r="P317" s="145">
        <f xml:space="preserve"> ConCost!P$274</f>
        <v>0</v>
      </c>
      <c r="Q317" s="145">
        <f xml:space="preserve"> ConCost!Q$274</f>
        <v>0</v>
      </c>
      <c r="R317" s="145">
        <f xml:space="preserve"> ConCost!R$274</f>
        <v>0</v>
      </c>
      <c r="S317" s="145">
        <f xml:space="preserve"> ConCost!S$274</f>
        <v>0</v>
      </c>
      <c r="T317" s="145">
        <f xml:space="preserve"> ConCost!T$274</f>
        <v>0</v>
      </c>
      <c r="U317" s="145">
        <f xml:space="preserve"> ConCost!U$274</f>
        <v>0</v>
      </c>
      <c r="V317" s="145">
        <f xml:space="preserve"> ConCost!V$274</f>
        <v>0</v>
      </c>
      <c r="W317" s="145">
        <f xml:space="preserve"> ConCost!W$274</f>
        <v>0</v>
      </c>
      <c r="X317" s="145">
        <f xml:space="preserve"> ConCost!X$274</f>
        <v>0</v>
      </c>
      <c r="Y317" s="145">
        <f xml:space="preserve"> ConCost!Y$274</f>
        <v>0</v>
      </c>
      <c r="Z317" s="145">
        <f xml:space="preserve"> ConCost!Z$274</f>
        <v>0</v>
      </c>
      <c r="AA317" s="145">
        <f xml:space="preserve"> ConCost!AA$274</f>
        <v>0</v>
      </c>
      <c r="AB317" s="145">
        <f xml:space="preserve"> ConCost!AB$274</f>
        <v>0</v>
      </c>
      <c r="AC317" s="145">
        <f xml:space="preserve"> ConCost!AC$274</f>
        <v>0</v>
      </c>
      <c r="AD317" s="145">
        <f xml:space="preserve"> ConCost!AD$274</f>
        <v>0</v>
      </c>
      <c r="AE317" s="145">
        <f xml:space="preserve"> ConCost!AE$274</f>
        <v>0</v>
      </c>
      <c r="AF317" s="145">
        <f xml:space="preserve"> ConCost!AF$274</f>
        <v>0</v>
      </c>
      <c r="AG317" s="145">
        <f xml:space="preserve"> ConCost!AG$274</f>
        <v>0</v>
      </c>
      <c r="AH317" s="145">
        <f xml:space="preserve"> ConCost!AH$274</f>
        <v>0</v>
      </c>
      <c r="AI317" s="145">
        <f xml:space="preserve"> ConCost!AI$274</f>
        <v>0</v>
      </c>
      <c r="AJ317" s="145">
        <f xml:space="preserve"> ConCost!AJ$274</f>
        <v>0</v>
      </c>
      <c r="AK317" s="145">
        <f xml:space="preserve"> ConCost!AK$274</f>
        <v>0</v>
      </c>
      <c r="AL317" s="145">
        <f xml:space="preserve"> ConCost!AL$274</f>
        <v>0</v>
      </c>
      <c r="AM317" s="145">
        <f xml:space="preserve"> ConCost!AM$274</f>
        <v>0</v>
      </c>
      <c r="AN317" s="145">
        <f xml:space="preserve"> ConCost!AN$274</f>
        <v>0</v>
      </c>
      <c r="AO317" s="145">
        <f xml:space="preserve"> ConCost!AO$274</f>
        <v>0</v>
      </c>
      <c r="AP317" s="145">
        <f xml:space="preserve"> ConCost!AP$274</f>
        <v>0</v>
      </c>
      <c r="AQ317" s="145">
        <f xml:space="preserve"> ConCost!AQ$274</f>
        <v>0</v>
      </c>
      <c r="AR317" s="145">
        <f xml:space="preserve"> ConCost!AR$274</f>
        <v>0</v>
      </c>
      <c r="AS317" s="145">
        <f xml:space="preserve"> ConCost!AS$274</f>
        <v>0</v>
      </c>
      <c r="AT317" s="145">
        <f xml:space="preserve"> ConCost!AT$274</f>
        <v>0</v>
      </c>
      <c r="AU317" s="145">
        <f xml:space="preserve"> ConCost!AU$274</f>
        <v>0</v>
      </c>
      <c r="AV317" s="145">
        <f xml:space="preserve"> ConCost!AV$274</f>
        <v>0</v>
      </c>
      <c r="AW317" s="145">
        <f xml:space="preserve"> ConCost!AW$274</f>
        <v>0</v>
      </c>
      <c r="AX317" s="145">
        <f xml:space="preserve"> ConCost!AX$274</f>
        <v>0</v>
      </c>
      <c r="AY317" s="145">
        <f xml:space="preserve"> ConCost!AY$274</f>
        <v>0</v>
      </c>
      <c r="AZ317" s="145">
        <f xml:space="preserve"> ConCost!AZ$274</f>
        <v>0</v>
      </c>
      <c r="BA317" s="145">
        <f xml:space="preserve"> ConCost!BA$274</f>
        <v>0</v>
      </c>
      <c r="BB317" s="145">
        <f xml:space="preserve"> ConCost!BB$274</f>
        <v>0</v>
      </c>
      <c r="BC317" s="145">
        <f xml:space="preserve"> ConCost!BC$274</f>
        <v>0</v>
      </c>
      <c r="BD317" s="145">
        <f xml:space="preserve"> ConCost!BD$274</f>
        <v>0</v>
      </c>
      <c r="BE317" s="145">
        <f xml:space="preserve"> ConCost!BE$274</f>
        <v>0</v>
      </c>
      <c r="BF317" s="145">
        <f xml:space="preserve"> ConCost!BF$274</f>
        <v>0</v>
      </c>
      <c r="BG317" s="145">
        <f xml:space="preserve"> ConCost!BG$274</f>
        <v>0</v>
      </c>
      <c r="BH317" s="145">
        <f xml:space="preserve"> ConCost!BH$274</f>
        <v>0</v>
      </c>
      <c r="BI317" s="145">
        <f xml:space="preserve"> ConCost!BI$274</f>
        <v>0</v>
      </c>
      <c r="BJ317" s="145">
        <f xml:space="preserve"> ConCost!BJ$274</f>
        <v>0</v>
      </c>
      <c r="BK317" s="145">
        <f xml:space="preserve"> ConCost!BK$274</f>
        <v>0</v>
      </c>
      <c r="BL317" s="145">
        <f xml:space="preserve"> ConCost!BL$274</f>
        <v>0</v>
      </c>
      <c r="BM317" s="145">
        <f xml:space="preserve"> ConCost!BM$274</f>
        <v>0</v>
      </c>
      <c r="BN317" s="145">
        <f xml:space="preserve"> ConCost!BN$274</f>
        <v>0</v>
      </c>
      <c r="BO317" s="145">
        <f xml:space="preserve"> ConCost!BO$274</f>
        <v>0</v>
      </c>
      <c r="BP317" s="145">
        <f xml:space="preserve"> ConCost!BP$274</f>
        <v>0</v>
      </c>
      <c r="BQ317" s="145">
        <f xml:space="preserve"> ConCost!BQ$274</f>
        <v>0</v>
      </c>
      <c r="BR317" s="145">
        <f xml:space="preserve"> ConCost!BR$274</f>
        <v>0</v>
      </c>
      <c r="BS317" s="145">
        <f xml:space="preserve"> ConCost!BS$274</f>
        <v>0</v>
      </c>
      <c r="BT317" s="145">
        <f xml:space="preserve"> ConCost!BT$274</f>
        <v>0</v>
      </c>
      <c r="BU317" s="145">
        <f xml:space="preserve"> ConCost!BU$274</f>
        <v>0</v>
      </c>
      <c r="BV317" s="145">
        <f xml:space="preserve"> ConCost!BV$274</f>
        <v>0</v>
      </c>
      <c r="BW317" s="145">
        <f xml:space="preserve"> ConCost!BW$274</f>
        <v>0</v>
      </c>
      <c r="BX317" s="145">
        <f xml:space="preserve"> ConCost!BX$274</f>
        <v>0</v>
      </c>
      <c r="BY317" s="145">
        <f xml:space="preserve"> ConCost!BY$274</f>
        <v>0</v>
      </c>
      <c r="BZ317" s="145">
        <f xml:space="preserve"> ConCost!BZ$274</f>
        <v>0</v>
      </c>
      <c r="CA317" s="145">
        <f xml:space="preserve"> ConCost!CA$274</f>
        <v>0</v>
      </c>
      <c r="CB317" s="145">
        <f xml:space="preserve"> ConCost!CB$274</f>
        <v>0</v>
      </c>
      <c r="CC317" s="145">
        <f xml:space="preserve"> ConCost!CC$274</f>
        <v>0</v>
      </c>
      <c r="CD317" s="145">
        <f xml:space="preserve"> ConCost!CD$274</f>
        <v>0</v>
      </c>
      <c r="CE317" s="145">
        <f xml:space="preserve"> ConCost!CE$274</f>
        <v>0</v>
      </c>
      <c r="CF317" s="145">
        <f xml:space="preserve"> ConCost!CF$274</f>
        <v>0</v>
      </c>
      <c r="CG317" s="145">
        <f xml:space="preserve"> ConCost!CG$274</f>
        <v>0</v>
      </c>
      <c r="CH317" s="145">
        <f xml:space="preserve"> ConCost!CH$274</f>
        <v>0</v>
      </c>
      <c r="CI317" s="145">
        <f xml:space="preserve"> ConCost!CI$274</f>
        <v>0</v>
      </c>
      <c r="CJ317" s="145">
        <f xml:space="preserve"> ConCost!CJ$274</f>
        <v>0</v>
      </c>
      <c r="CK317" s="145">
        <f xml:space="preserve"> ConCost!CK$274</f>
        <v>0</v>
      </c>
      <c r="CL317" s="145">
        <f xml:space="preserve"> ConCost!CL$274</f>
        <v>0</v>
      </c>
      <c r="CM317" s="145">
        <f xml:space="preserve"> ConCost!CM$274</f>
        <v>0</v>
      </c>
      <c r="CN317" s="145">
        <f xml:space="preserve"> ConCost!CN$274</f>
        <v>0</v>
      </c>
      <c r="CO317" s="145">
        <f xml:space="preserve"> ConCost!CO$274</f>
        <v>0</v>
      </c>
      <c r="CP317" s="145">
        <f xml:space="preserve"> ConCost!CP$274</f>
        <v>0</v>
      </c>
      <c r="CQ317" s="145">
        <f xml:space="preserve"> ConCost!CQ$274</f>
        <v>0</v>
      </c>
      <c r="CR317" s="145">
        <f xml:space="preserve"> ConCost!CR$274</f>
        <v>0</v>
      </c>
      <c r="CS317" s="145">
        <f xml:space="preserve"> ConCost!CS$274</f>
        <v>0</v>
      </c>
      <c r="CT317" s="145">
        <f xml:space="preserve"> ConCost!CT$274</f>
        <v>0</v>
      </c>
      <c r="CU317" s="145">
        <f xml:space="preserve"> ConCost!CU$274</f>
        <v>0</v>
      </c>
      <c r="CV317" s="145">
        <f xml:space="preserve"> ConCost!CV$274</f>
        <v>0</v>
      </c>
    </row>
    <row r="318" spans="1:100" outlineLevel="1" x14ac:dyDescent="0.2">
      <c r="A318" s="236"/>
      <c r="B318" s="236"/>
      <c r="C318" s="237"/>
      <c r="D318" s="238"/>
      <c r="E318" s="38" t="str">
        <f t="shared" ref="E318:AJ318" si="942" xml:space="preserve"> E$323</f>
        <v>EGR period cost payable balance BEG</v>
      </c>
      <c r="F318" s="38">
        <f t="shared" si="942"/>
        <v>0</v>
      </c>
      <c r="G318" s="38" t="str">
        <f t="shared" si="942"/>
        <v>$ 000s</v>
      </c>
      <c r="H318" s="38">
        <f t="shared" si="942"/>
        <v>0</v>
      </c>
      <c r="I318" s="38">
        <f t="shared" si="942"/>
        <v>0</v>
      </c>
      <c r="J318" s="38">
        <f t="shared" si="942"/>
        <v>0</v>
      </c>
      <c r="K318" s="38">
        <f t="shared" si="942"/>
        <v>0</v>
      </c>
      <c r="L318" s="38">
        <f t="shared" si="942"/>
        <v>0</v>
      </c>
      <c r="M318" s="38">
        <f t="shared" si="942"/>
        <v>0</v>
      </c>
      <c r="N318" s="38">
        <f t="shared" si="942"/>
        <v>0</v>
      </c>
      <c r="O318" s="38">
        <f t="shared" si="942"/>
        <v>0</v>
      </c>
      <c r="P318" s="38">
        <f t="shared" si="942"/>
        <v>0</v>
      </c>
      <c r="Q318" s="38">
        <f t="shared" si="942"/>
        <v>0</v>
      </c>
      <c r="R318" s="38">
        <f t="shared" si="942"/>
        <v>0</v>
      </c>
      <c r="S318" s="38">
        <f t="shared" si="942"/>
        <v>0</v>
      </c>
      <c r="T318" s="38">
        <f t="shared" si="942"/>
        <v>0</v>
      </c>
      <c r="U318" s="38">
        <f t="shared" si="942"/>
        <v>0</v>
      </c>
      <c r="V318" s="38">
        <f t="shared" si="942"/>
        <v>0</v>
      </c>
      <c r="W318" s="38">
        <f t="shared" si="942"/>
        <v>0</v>
      </c>
      <c r="X318" s="38">
        <f t="shared" si="942"/>
        <v>0</v>
      </c>
      <c r="Y318" s="38">
        <f t="shared" si="942"/>
        <v>0</v>
      </c>
      <c r="Z318" s="38">
        <f t="shared" si="942"/>
        <v>0</v>
      </c>
      <c r="AA318" s="38">
        <f t="shared" si="942"/>
        <v>0</v>
      </c>
      <c r="AB318" s="38">
        <f t="shared" si="942"/>
        <v>0</v>
      </c>
      <c r="AC318" s="38">
        <f t="shared" si="942"/>
        <v>0</v>
      </c>
      <c r="AD318" s="38">
        <f t="shared" si="942"/>
        <v>0</v>
      </c>
      <c r="AE318" s="38">
        <f t="shared" si="942"/>
        <v>0</v>
      </c>
      <c r="AF318" s="38">
        <f t="shared" si="942"/>
        <v>0</v>
      </c>
      <c r="AG318" s="38">
        <f t="shared" si="942"/>
        <v>0</v>
      </c>
      <c r="AH318" s="38">
        <f t="shared" si="942"/>
        <v>0</v>
      </c>
      <c r="AI318" s="38">
        <f t="shared" si="942"/>
        <v>0</v>
      </c>
      <c r="AJ318" s="38">
        <f t="shared" si="942"/>
        <v>0</v>
      </c>
      <c r="AK318" s="38">
        <f t="shared" ref="AK318:BP318" si="943" xml:space="preserve"> AK$323</f>
        <v>0</v>
      </c>
      <c r="AL318" s="38">
        <f t="shared" si="943"/>
        <v>0</v>
      </c>
      <c r="AM318" s="38">
        <f t="shared" si="943"/>
        <v>0</v>
      </c>
      <c r="AN318" s="38">
        <f t="shared" si="943"/>
        <v>0</v>
      </c>
      <c r="AO318" s="38">
        <f t="shared" si="943"/>
        <v>0</v>
      </c>
      <c r="AP318" s="38">
        <f t="shared" si="943"/>
        <v>0</v>
      </c>
      <c r="AQ318" s="38">
        <f t="shared" si="943"/>
        <v>0</v>
      </c>
      <c r="AR318" s="38">
        <f t="shared" si="943"/>
        <v>0</v>
      </c>
      <c r="AS318" s="38">
        <f t="shared" si="943"/>
        <v>0</v>
      </c>
      <c r="AT318" s="38">
        <f t="shared" si="943"/>
        <v>0</v>
      </c>
      <c r="AU318" s="38">
        <f t="shared" si="943"/>
        <v>0</v>
      </c>
      <c r="AV318" s="38">
        <f t="shared" si="943"/>
        <v>0</v>
      </c>
      <c r="AW318" s="38">
        <f t="shared" si="943"/>
        <v>0</v>
      </c>
      <c r="AX318" s="38">
        <f t="shared" si="943"/>
        <v>0</v>
      </c>
      <c r="AY318" s="38">
        <f t="shared" si="943"/>
        <v>0</v>
      </c>
      <c r="AZ318" s="38">
        <f t="shared" si="943"/>
        <v>0</v>
      </c>
      <c r="BA318" s="38">
        <f t="shared" si="943"/>
        <v>0</v>
      </c>
      <c r="BB318" s="38">
        <f t="shared" si="943"/>
        <v>0</v>
      </c>
      <c r="BC318" s="38">
        <f t="shared" si="943"/>
        <v>0</v>
      </c>
      <c r="BD318" s="38">
        <f t="shared" si="943"/>
        <v>0</v>
      </c>
      <c r="BE318" s="38">
        <f t="shared" si="943"/>
        <v>0</v>
      </c>
      <c r="BF318" s="38">
        <f t="shared" si="943"/>
        <v>0</v>
      </c>
      <c r="BG318" s="38">
        <f t="shared" si="943"/>
        <v>0</v>
      </c>
      <c r="BH318" s="38">
        <f t="shared" si="943"/>
        <v>0</v>
      </c>
      <c r="BI318" s="38">
        <f t="shared" si="943"/>
        <v>0</v>
      </c>
      <c r="BJ318" s="38">
        <f t="shared" si="943"/>
        <v>0</v>
      </c>
      <c r="BK318" s="38">
        <f t="shared" si="943"/>
        <v>0</v>
      </c>
      <c r="BL318" s="38">
        <f t="shared" si="943"/>
        <v>0</v>
      </c>
      <c r="BM318" s="38">
        <f t="shared" si="943"/>
        <v>0</v>
      </c>
      <c r="BN318" s="38">
        <f t="shared" si="943"/>
        <v>0</v>
      </c>
      <c r="BO318" s="38">
        <f t="shared" si="943"/>
        <v>0</v>
      </c>
      <c r="BP318" s="38">
        <f t="shared" si="943"/>
        <v>0</v>
      </c>
      <c r="BQ318" s="38">
        <f t="shared" ref="BQ318:CV318" si="944" xml:space="preserve"> BQ$323</f>
        <v>0</v>
      </c>
      <c r="BR318" s="38">
        <f t="shared" si="944"/>
        <v>0</v>
      </c>
      <c r="BS318" s="38">
        <f t="shared" si="944"/>
        <v>0</v>
      </c>
      <c r="BT318" s="38">
        <f t="shared" si="944"/>
        <v>0</v>
      </c>
      <c r="BU318" s="38">
        <f t="shared" si="944"/>
        <v>0</v>
      </c>
      <c r="BV318" s="38">
        <f t="shared" si="944"/>
        <v>0</v>
      </c>
      <c r="BW318" s="38">
        <f t="shared" si="944"/>
        <v>0</v>
      </c>
      <c r="BX318" s="38">
        <f t="shared" si="944"/>
        <v>0</v>
      </c>
      <c r="BY318" s="38">
        <f t="shared" si="944"/>
        <v>0</v>
      </c>
      <c r="BZ318" s="38">
        <f t="shared" si="944"/>
        <v>0</v>
      </c>
      <c r="CA318" s="38">
        <f t="shared" si="944"/>
        <v>0</v>
      </c>
      <c r="CB318" s="38">
        <f t="shared" si="944"/>
        <v>0</v>
      </c>
      <c r="CC318" s="38">
        <f t="shared" si="944"/>
        <v>0</v>
      </c>
      <c r="CD318" s="38">
        <f t="shared" si="944"/>
        <v>0</v>
      </c>
      <c r="CE318" s="38">
        <f t="shared" si="944"/>
        <v>0</v>
      </c>
      <c r="CF318" s="38">
        <f t="shared" si="944"/>
        <v>0</v>
      </c>
      <c r="CG318" s="38">
        <f t="shared" si="944"/>
        <v>0</v>
      </c>
      <c r="CH318" s="38">
        <f t="shared" si="944"/>
        <v>0</v>
      </c>
      <c r="CI318" s="38">
        <f t="shared" si="944"/>
        <v>0</v>
      </c>
      <c r="CJ318" s="38">
        <f t="shared" si="944"/>
        <v>0</v>
      </c>
      <c r="CK318" s="38">
        <f t="shared" si="944"/>
        <v>0</v>
      </c>
      <c r="CL318" s="38">
        <f t="shared" si="944"/>
        <v>0</v>
      </c>
      <c r="CM318" s="38">
        <f t="shared" si="944"/>
        <v>0</v>
      </c>
      <c r="CN318" s="38">
        <f t="shared" si="944"/>
        <v>0</v>
      </c>
      <c r="CO318" s="38">
        <f t="shared" si="944"/>
        <v>0</v>
      </c>
      <c r="CP318" s="38">
        <f t="shared" si="944"/>
        <v>0</v>
      </c>
      <c r="CQ318" s="38">
        <f t="shared" si="944"/>
        <v>0</v>
      </c>
      <c r="CR318" s="38">
        <f t="shared" si="944"/>
        <v>0</v>
      </c>
      <c r="CS318" s="38">
        <f t="shared" si="944"/>
        <v>0</v>
      </c>
      <c r="CT318" s="38">
        <f t="shared" si="944"/>
        <v>0</v>
      </c>
      <c r="CU318" s="38">
        <f t="shared" si="944"/>
        <v>0</v>
      </c>
      <c r="CV318" s="38">
        <f t="shared" si="944"/>
        <v>0</v>
      </c>
    </row>
    <row r="319" spans="1:100" outlineLevel="1" x14ac:dyDescent="0.2">
      <c r="A319" s="236"/>
      <c r="B319" s="236"/>
      <c r="C319" s="237"/>
      <c r="D319" s="238"/>
      <c r="E319" s="396" t="str">
        <f xml:space="preserve"> Time!E$106</f>
        <v>Operating period flag</v>
      </c>
      <c r="F319" s="396">
        <f xml:space="preserve"> Time!F$106</f>
        <v>0</v>
      </c>
      <c r="G319" s="396" t="str">
        <f xml:space="preserve"> Time!G$106</f>
        <v>flag</v>
      </c>
      <c r="H319" s="396">
        <f xml:space="preserve"> Time!H$106</f>
        <v>40</v>
      </c>
      <c r="I319" s="396">
        <f xml:space="preserve"> Time!I$106</f>
        <v>0</v>
      </c>
      <c r="J319" s="396">
        <f xml:space="preserve"> Time!J$106</f>
        <v>0</v>
      </c>
      <c r="K319" s="396">
        <f xml:space="preserve"> Time!K$106</f>
        <v>0</v>
      </c>
      <c r="L319" s="396">
        <f xml:space="preserve"> Time!L$106</f>
        <v>0</v>
      </c>
      <c r="M319" s="396">
        <f xml:space="preserve"> Time!M$106</f>
        <v>0</v>
      </c>
      <c r="N319" s="396">
        <f xml:space="preserve"> Time!N$106</f>
        <v>0</v>
      </c>
      <c r="O319" s="396">
        <f xml:space="preserve"> Time!O$106</f>
        <v>1</v>
      </c>
      <c r="P319" s="396">
        <f xml:space="preserve"> Time!P$106</f>
        <v>1</v>
      </c>
      <c r="Q319" s="396">
        <f xml:space="preserve"> Time!Q$106</f>
        <v>1</v>
      </c>
      <c r="R319" s="396">
        <f xml:space="preserve"> Time!R$106</f>
        <v>1</v>
      </c>
      <c r="S319" s="396">
        <f xml:space="preserve"> Time!S$106</f>
        <v>1</v>
      </c>
      <c r="T319" s="396">
        <f xml:space="preserve"> Time!T$106</f>
        <v>1</v>
      </c>
      <c r="U319" s="396">
        <f xml:space="preserve"> Time!U$106</f>
        <v>1</v>
      </c>
      <c r="V319" s="396">
        <f xml:space="preserve"> Time!V$106</f>
        <v>1</v>
      </c>
      <c r="W319" s="396">
        <f xml:space="preserve"> Time!W$106</f>
        <v>1</v>
      </c>
      <c r="X319" s="396">
        <f xml:space="preserve"> Time!X$106</f>
        <v>1</v>
      </c>
      <c r="Y319" s="396">
        <f xml:space="preserve"> Time!Y$106</f>
        <v>1</v>
      </c>
      <c r="Z319" s="396">
        <f xml:space="preserve"> Time!Z$106</f>
        <v>1</v>
      </c>
      <c r="AA319" s="396">
        <f xml:space="preserve"> Time!AA$106</f>
        <v>1</v>
      </c>
      <c r="AB319" s="396">
        <f xml:space="preserve"> Time!AB$106</f>
        <v>1</v>
      </c>
      <c r="AC319" s="396">
        <f xml:space="preserve"> Time!AC$106</f>
        <v>1</v>
      </c>
      <c r="AD319" s="396">
        <f xml:space="preserve"> Time!AD$106</f>
        <v>1</v>
      </c>
      <c r="AE319" s="396">
        <f xml:space="preserve"> Time!AE$106</f>
        <v>1</v>
      </c>
      <c r="AF319" s="396">
        <f xml:space="preserve"> Time!AF$106</f>
        <v>1</v>
      </c>
      <c r="AG319" s="396">
        <f xml:space="preserve"> Time!AG$106</f>
        <v>1</v>
      </c>
      <c r="AH319" s="396">
        <f xml:space="preserve"> Time!AH$106</f>
        <v>1</v>
      </c>
      <c r="AI319" s="396">
        <f xml:space="preserve"> Time!AI$106</f>
        <v>1</v>
      </c>
      <c r="AJ319" s="396">
        <f xml:space="preserve"> Time!AJ$106</f>
        <v>1</v>
      </c>
      <c r="AK319" s="396">
        <f xml:space="preserve"> Time!AK$106</f>
        <v>1</v>
      </c>
      <c r="AL319" s="396">
        <f xml:space="preserve"> Time!AL$106</f>
        <v>1</v>
      </c>
      <c r="AM319" s="396">
        <f xml:space="preserve"> Time!AM$106</f>
        <v>1</v>
      </c>
      <c r="AN319" s="396">
        <f xml:space="preserve"> Time!AN$106</f>
        <v>1</v>
      </c>
      <c r="AO319" s="396">
        <f xml:space="preserve"> Time!AO$106</f>
        <v>1</v>
      </c>
      <c r="AP319" s="396">
        <f xml:space="preserve"> Time!AP$106</f>
        <v>1</v>
      </c>
      <c r="AQ319" s="396">
        <f xml:space="preserve"> Time!AQ$106</f>
        <v>1</v>
      </c>
      <c r="AR319" s="396">
        <f xml:space="preserve"> Time!AR$106</f>
        <v>1</v>
      </c>
      <c r="AS319" s="396">
        <f xml:space="preserve"> Time!AS$106</f>
        <v>1</v>
      </c>
      <c r="AT319" s="396">
        <f xml:space="preserve"> Time!AT$106</f>
        <v>1</v>
      </c>
      <c r="AU319" s="396">
        <f xml:space="preserve"> Time!AU$106</f>
        <v>1</v>
      </c>
      <c r="AV319" s="396">
        <f xml:space="preserve"> Time!AV$106</f>
        <v>1</v>
      </c>
      <c r="AW319" s="396">
        <f xml:space="preserve"> Time!AW$106</f>
        <v>1</v>
      </c>
      <c r="AX319" s="396">
        <f xml:space="preserve"> Time!AX$106</f>
        <v>1</v>
      </c>
      <c r="AY319" s="396">
        <f xml:space="preserve"> Time!AY$106</f>
        <v>1</v>
      </c>
      <c r="AZ319" s="396">
        <f xml:space="preserve"> Time!AZ$106</f>
        <v>1</v>
      </c>
      <c r="BA319" s="396">
        <f xml:space="preserve"> Time!BA$106</f>
        <v>1</v>
      </c>
      <c r="BB319" s="396">
        <f xml:space="preserve"> Time!BB$106</f>
        <v>1</v>
      </c>
      <c r="BC319" s="396">
        <f xml:space="preserve"> Time!BC$106</f>
        <v>0</v>
      </c>
      <c r="BD319" s="396">
        <f xml:space="preserve"> Time!BD$106</f>
        <v>0</v>
      </c>
      <c r="BE319" s="396">
        <f xml:space="preserve"> Time!BE$106</f>
        <v>0</v>
      </c>
      <c r="BF319" s="396">
        <f xml:space="preserve"> Time!BF$106</f>
        <v>0</v>
      </c>
      <c r="BG319" s="396">
        <f xml:space="preserve"> Time!BG$106</f>
        <v>0</v>
      </c>
      <c r="BH319" s="396">
        <f xml:space="preserve"> Time!BH$106</f>
        <v>0</v>
      </c>
      <c r="BI319" s="396">
        <f xml:space="preserve"> Time!BI$106</f>
        <v>0</v>
      </c>
      <c r="BJ319" s="396">
        <f xml:space="preserve"> Time!BJ$106</f>
        <v>0</v>
      </c>
      <c r="BK319" s="396">
        <f xml:space="preserve"> Time!BK$106</f>
        <v>0</v>
      </c>
      <c r="BL319" s="396">
        <f xml:space="preserve"> Time!BL$106</f>
        <v>0</v>
      </c>
      <c r="BM319" s="396">
        <f xml:space="preserve"> Time!BM$106</f>
        <v>0</v>
      </c>
      <c r="BN319" s="396">
        <f xml:space="preserve"> Time!BN$106</f>
        <v>0</v>
      </c>
      <c r="BO319" s="396">
        <f xml:space="preserve"> Time!BO$106</f>
        <v>0</v>
      </c>
      <c r="BP319" s="396">
        <f xml:space="preserve"> Time!BP$106</f>
        <v>0</v>
      </c>
      <c r="BQ319" s="396">
        <f xml:space="preserve"> Time!BQ$106</f>
        <v>0</v>
      </c>
      <c r="BR319" s="396">
        <f xml:space="preserve"> Time!BR$106</f>
        <v>0</v>
      </c>
      <c r="BS319" s="396">
        <f xml:space="preserve"> Time!BS$106</f>
        <v>0</v>
      </c>
      <c r="BT319" s="396">
        <f xml:space="preserve"> Time!BT$106</f>
        <v>0</v>
      </c>
      <c r="BU319" s="396">
        <f xml:space="preserve"> Time!BU$106</f>
        <v>0</v>
      </c>
      <c r="BV319" s="396">
        <f xml:space="preserve"> Time!BV$106</f>
        <v>0</v>
      </c>
      <c r="BW319" s="396">
        <f xml:space="preserve"> Time!BW$106</f>
        <v>0</v>
      </c>
      <c r="BX319" s="396">
        <f xml:space="preserve"> Time!BX$106</f>
        <v>0</v>
      </c>
      <c r="BY319" s="396">
        <f xml:space="preserve"> Time!BY$106</f>
        <v>0</v>
      </c>
      <c r="BZ319" s="396">
        <f xml:space="preserve"> Time!BZ$106</f>
        <v>0</v>
      </c>
      <c r="CA319" s="396">
        <f xml:space="preserve"> Time!CA$106</f>
        <v>0</v>
      </c>
      <c r="CB319" s="396">
        <f xml:space="preserve"> Time!CB$106</f>
        <v>0</v>
      </c>
      <c r="CC319" s="396">
        <f xml:space="preserve"> Time!CC$106</f>
        <v>0</v>
      </c>
      <c r="CD319" s="396">
        <f xml:space="preserve"> Time!CD$106</f>
        <v>0</v>
      </c>
      <c r="CE319" s="396">
        <f xml:space="preserve"> Time!CE$106</f>
        <v>0</v>
      </c>
      <c r="CF319" s="396">
        <f xml:space="preserve"> Time!CF$106</f>
        <v>0</v>
      </c>
      <c r="CG319" s="396">
        <f xml:space="preserve"> Time!CG$106</f>
        <v>0</v>
      </c>
      <c r="CH319" s="396">
        <f xml:space="preserve"> Time!CH$106</f>
        <v>0</v>
      </c>
      <c r="CI319" s="396">
        <f xml:space="preserve"> Time!CI$106</f>
        <v>0</v>
      </c>
      <c r="CJ319" s="396">
        <f xml:space="preserve"> Time!CJ$106</f>
        <v>0</v>
      </c>
      <c r="CK319" s="396">
        <f xml:space="preserve"> Time!CK$106</f>
        <v>0</v>
      </c>
      <c r="CL319" s="396">
        <f xml:space="preserve"> Time!CL$106</f>
        <v>0</v>
      </c>
      <c r="CM319" s="396">
        <f xml:space="preserve"> Time!CM$106</f>
        <v>0</v>
      </c>
      <c r="CN319" s="396">
        <f xml:space="preserve"> Time!CN$106</f>
        <v>0</v>
      </c>
      <c r="CO319" s="396">
        <f xml:space="preserve"> Time!CO$106</f>
        <v>0</v>
      </c>
      <c r="CP319" s="396">
        <f xml:space="preserve"> Time!CP$106</f>
        <v>0</v>
      </c>
      <c r="CQ319" s="396">
        <f xml:space="preserve"> Time!CQ$106</f>
        <v>0</v>
      </c>
      <c r="CR319" s="396">
        <f xml:space="preserve"> Time!CR$106</f>
        <v>0</v>
      </c>
      <c r="CS319" s="396">
        <f xml:space="preserve"> Time!CS$106</f>
        <v>0</v>
      </c>
      <c r="CT319" s="396">
        <f xml:space="preserve"> Time!CT$106</f>
        <v>0</v>
      </c>
      <c r="CU319" s="396">
        <f xml:space="preserve"> Time!CU$106</f>
        <v>0</v>
      </c>
      <c r="CV319" s="396">
        <f xml:space="preserve"> Time!CV$106</f>
        <v>0</v>
      </c>
    </row>
    <row r="320" spans="1:100" s="191" customFormat="1" outlineLevel="1" x14ac:dyDescent="0.2">
      <c r="A320" s="236"/>
      <c r="B320" s="236"/>
      <c r="C320" s="237"/>
      <c r="D320" s="238"/>
      <c r="E320" s="235" t="s">
        <v>762</v>
      </c>
      <c r="F320" s="235"/>
      <c r="G320" s="235" t="str">
        <f xml:space="preserve"> SMU</f>
        <v>$ 000s</v>
      </c>
      <c r="H320" s="235">
        <f xml:space="preserve"> SUM(J320:CV320)</f>
        <v>0</v>
      </c>
      <c r="I320" s="235"/>
      <c r="J320" s="235">
        <f t="shared" ref="J320:AO320" si="945" xml:space="preserve"> J317 + J318 * J319</f>
        <v>0</v>
      </c>
      <c r="K320" s="235">
        <f t="shared" si="945"/>
        <v>0</v>
      </c>
      <c r="L320" s="235">
        <f t="shared" si="945"/>
        <v>0</v>
      </c>
      <c r="M320" s="235">
        <f t="shared" si="945"/>
        <v>0</v>
      </c>
      <c r="N320" s="235">
        <f t="shared" si="945"/>
        <v>0</v>
      </c>
      <c r="O320" s="235">
        <f t="shared" si="945"/>
        <v>0</v>
      </c>
      <c r="P320" s="235">
        <f t="shared" si="945"/>
        <v>0</v>
      </c>
      <c r="Q320" s="235">
        <f t="shared" si="945"/>
        <v>0</v>
      </c>
      <c r="R320" s="235">
        <f t="shared" si="945"/>
        <v>0</v>
      </c>
      <c r="S320" s="235">
        <f t="shared" si="945"/>
        <v>0</v>
      </c>
      <c r="T320" s="235">
        <f t="shared" si="945"/>
        <v>0</v>
      </c>
      <c r="U320" s="235">
        <f t="shared" si="945"/>
        <v>0</v>
      </c>
      <c r="V320" s="235">
        <f t="shared" si="945"/>
        <v>0</v>
      </c>
      <c r="W320" s="235">
        <f t="shared" si="945"/>
        <v>0</v>
      </c>
      <c r="X320" s="235">
        <f t="shared" si="945"/>
        <v>0</v>
      </c>
      <c r="Y320" s="235">
        <f t="shared" si="945"/>
        <v>0</v>
      </c>
      <c r="Z320" s="235">
        <f t="shared" si="945"/>
        <v>0</v>
      </c>
      <c r="AA320" s="235">
        <f t="shared" si="945"/>
        <v>0</v>
      </c>
      <c r="AB320" s="235">
        <f t="shared" si="945"/>
        <v>0</v>
      </c>
      <c r="AC320" s="235">
        <f t="shared" si="945"/>
        <v>0</v>
      </c>
      <c r="AD320" s="235">
        <f t="shared" si="945"/>
        <v>0</v>
      </c>
      <c r="AE320" s="235">
        <f t="shared" si="945"/>
        <v>0</v>
      </c>
      <c r="AF320" s="235">
        <f t="shared" si="945"/>
        <v>0</v>
      </c>
      <c r="AG320" s="235">
        <f t="shared" si="945"/>
        <v>0</v>
      </c>
      <c r="AH320" s="235">
        <f t="shared" si="945"/>
        <v>0</v>
      </c>
      <c r="AI320" s="235">
        <f t="shared" si="945"/>
        <v>0</v>
      </c>
      <c r="AJ320" s="235">
        <f t="shared" si="945"/>
        <v>0</v>
      </c>
      <c r="AK320" s="235">
        <f t="shared" si="945"/>
        <v>0</v>
      </c>
      <c r="AL320" s="235">
        <f t="shared" si="945"/>
        <v>0</v>
      </c>
      <c r="AM320" s="235">
        <f t="shared" si="945"/>
        <v>0</v>
      </c>
      <c r="AN320" s="235">
        <f t="shared" si="945"/>
        <v>0</v>
      </c>
      <c r="AO320" s="235">
        <f t="shared" si="945"/>
        <v>0</v>
      </c>
      <c r="AP320" s="235">
        <f t="shared" ref="AP320:BU320" si="946" xml:space="preserve"> AP317 + AP318 * AP319</f>
        <v>0</v>
      </c>
      <c r="AQ320" s="235">
        <f t="shared" si="946"/>
        <v>0</v>
      </c>
      <c r="AR320" s="235">
        <f t="shared" si="946"/>
        <v>0</v>
      </c>
      <c r="AS320" s="235">
        <f t="shared" si="946"/>
        <v>0</v>
      </c>
      <c r="AT320" s="235">
        <f t="shared" si="946"/>
        <v>0</v>
      </c>
      <c r="AU320" s="235">
        <f t="shared" si="946"/>
        <v>0</v>
      </c>
      <c r="AV320" s="235">
        <f t="shared" si="946"/>
        <v>0</v>
      </c>
      <c r="AW320" s="235">
        <f t="shared" si="946"/>
        <v>0</v>
      </c>
      <c r="AX320" s="235">
        <f t="shared" si="946"/>
        <v>0</v>
      </c>
      <c r="AY320" s="235">
        <f t="shared" si="946"/>
        <v>0</v>
      </c>
      <c r="AZ320" s="235">
        <f t="shared" si="946"/>
        <v>0</v>
      </c>
      <c r="BA320" s="235">
        <f t="shared" si="946"/>
        <v>0</v>
      </c>
      <c r="BB320" s="235">
        <f t="shared" si="946"/>
        <v>0</v>
      </c>
      <c r="BC320" s="235">
        <f t="shared" si="946"/>
        <v>0</v>
      </c>
      <c r="BD320" s="235">
        <f t="shared" si="946"/>
        <v>0</v>
      </c>
      <c r="BE320" s="235">
        <f t="shared" si="946"/>
        <v>0</v>
      </c>
      <c r="BF320" s="235">
        <f t="shared" si="946"/>
        <v>0</v>
      </c>
      <c r="BG320" s="235">
        <f t="shared" si="946"/>
        <v>0</v>
      </c>
      <c r="BH320" s="235">
        <f t="shared" si="946"/>
        <v>0</v>
      </c>
      <c r="BI320" s="235">
        <f t="shared" si="946"/>
        <v>0</v>
      </c>
      <c r="BJ320" s="235">
        <f t="shared" si="946"/>
        <v>0</v>
      </c>
      <c r="BK320" s="235">
        <f t="shared" si="946"/>
        <v>0</v>
      </c>
      <c r="BL320" s="235">
        <f t="shared" si="946"/>
        <v>0</v>
      </c>
      <c r="BM320" s="235">
        <f t="shared" si="946"/>
        <v>0</v>
      </c>
      <c r="BN320" s="235">
        <f t="shared" si="946"/>
        <v>0</v>
      </c>
      <c r="BO320" s="235">
        <f t="shared" si="946"/>
        <v>0</v>
      </c>
      <c r="BP320" s="235">
        <f t="shared" si="946"/>
        <v>0</v>
      </c>
      <c r="BQ320" s="235">
        <f t="shared" si="946"/>
        <v>0</v>
      </c>
      <c r="BR320" s="235">
        <f t="shared" si="946"/>
        <v>0</v>
      </c>
      <c r="BS320" s="235">
        <f t="shared" si="946"/>
        <v>0</v>
      </c>
      <c r="BT320" s="235">
        <f t="shared" si="946"/>
        <v>0</v>
      </c>
      <c r="BU320" s="235">
        <f t="shared" si="946"/>
        <v>0</v>
      </c>
      <c r="BV320" s="235">
        <f t="shared" ref="BV320:CV320" si="947" xml:space="preserve"> BV317 + BV318 * BV319</f>
        <v>0</v>
      </c>
      <c r="BW320" s="235">
        <f t="shared" si="947"/>
        <v>0</v>
      </c>
      <c r="BX320" s="235">
        <f t="shared" si="947"/>
        <v>0</v>
      </c>
      <c r="BY320" s="235">
        <f t="shared" si="947"/>
        <v>0</v>
      </c>
      <c r="BZ320" s="235">
        <f t="shared" si="947"/>
        <v>0</v>
      </c>
      <c r="CA320" s="235">
        <f t="shared" si="947"/>
        <v>0</v>
      </c>
      <c r="CB320" s="235">
        <f t="shared" si="947"/>
        <v>0</v>
      </c>
      <c r="CC320" s="235">
        <f t="shared" si="947"/>
        <v>0</v>
      </c>
      <c r="CD320" s="235">
        <f t="shared" si="947"/>
        <v>0</v>
      </c>
      <c r="CE320" s="235">
        <f t="shared" si="947"/>
        <v>0</v>
      </c>
      <c r="CF320" s="235">
        <f t="shared" si="947"/>
        <v>0</v>
      </c>
      <c r="CG320" s="235">
        <f t="shared" si="947"/>
        <v>0</v>
      </c>
      <c r="CH320" s="235">
        <f t="shared" si="947"/>
        <v>0</v>
      </c>
      <c r="CI320" s="235">
        <f t="shared" si="947"/>
        <v>0</v>
      </c>
      <c r="CJ320" s="235">
        <f t="shared" si="947"/>
        <v>0</v>
      </c>
      <c r="CK320" s="235">
        <f t="shared" si="947"/>
        <v>0</v>
      </c>
      <c r="CL320" s="235">
        <f t="shared" si="947"/>
        <v>0</v>
      </c>
      <c r="CM320" s="235">
        <f t="shared" si="947"/>
        <v>0</v>
      </c>
      <c r="CN320" s="235">
        <f t="shared" si="947"/>
        <v>0</v>
      </c>
      <c r="CO320" s="235">
        <f t="shared" si="947"/>
        <v>0</v>
      </c>
      <c r="CP320" s="235">
        <f t="shared" si="947"/>
        <v>0</v>
      </c>
      <c r="CQ320" s="235">
        <f t="shared" si="947"/>
        <v>0</v>
      </c>
      <c r="CR320" s="235">
        <f t="shared" si="947"/>
        <v>0</v>
      </c>
      <c r="CS320" s="235">
        <f t="shared" si="947"/>
        <v>0</v>
      </c>
      <c r="CT320" s="235">
        <f t="shared" si="947"/>
        <v>0</v>
      </c>
      <c r="CU320" s="235">
        <f t="shared" si="947"/>
        <v>0</v>
      </c>
      <c r="CV320" s="235">
        <f t="shared" si="947"/>
        <v>0</v>
      </c>
    </row>
    <row r="321" spans="1:100" s="188" customFormat="1" outlineLevel="1" x14ac:dyDescent="0.2">
      <c r="A321" s="141"/>
      <c r="B321" s="141"/>
      <c r="C321" s="142"/>
      <c r="D321" s="143"/>
      <c r="E321" s="144" t="str">
        <f xml:space="preserve"> LEFT(E320, LEN(E320) - 4)</f>
        <v>EGR period costs paid through EGR's</v>
      </c>
      <c r="F321" s="144"/>
      <c r="G321" s="144" t="str">
        <f xml:space="preserve"> SMU</f>
        <v>$ 000s</v>
      </c>
      <c r="H321" s="144">
        <f xml:space="preserve"> SUM(J321:CV321)</f>
        <v>0</v>
      </c>
      <c r="I321" s="144"/>
      <c r="J321" s="144">
        <f t="shared" ref="J321:BU321" si="948" xml:space="preserve"> -1 * J320</f>
        <v>0</v>
      </c>
      <c r="K321" s="144">
        <f t="shared" si="948"/>
        <v>0</v>
      </c>
      <c r="L321" s="144">
        <f t="shared" si="948"/>
        <v>0</v>
      </c>
      <c r="M321" s="144">
        <f t="shared" si="948"/>
        <v>0</v>
      </c>
      <c r="N321" s="144">
        <f t="shared" si="948"/>
        <v>0</v>
      </c>
      <c r="O321" s="144">
        <f t="shared" si="948"/>
        <v>0</v>
      </c>
      <c r="P321" s="144">
        <f t="shared" si="948"/>
        <v>0</v>
      </c>
      <c r="Q321" s="144">
        <f t="shared" si="948"/>
        <v>0</v>
      </c>
      <c r="R321" s="144">
        <f t="shared" si="948"/>
        <v>0</v>
      </c>
      <c r="S321" s="144">
        <f t="shared" si="948"/>
        <v>0</v>
      </c>
      <c r="T321" s="144">
        <f t="shared" si="948"/>
        <v>0</v>
      </c>
      <c r="U321" s="144">
        <f t="shared" si="948"/>
        <v>0</v>
      </c>
      <c r="V321" s="144">
        <f t="shared" si="948"/>
        <v>0</v>
      </c>
      <c r="W321" s="144">
        <f t="shared" si="948"/>
        <v>0</v>
      </c>
      <c r="X321" s="144">
        <f t="shared" si="948"/>
        <v>0</v>
      </c>
      <c r="Y321" s="144">
        <f t="shared" si="948"/>
        <v>0</v>
      </c>
      <c r="Z321" s="144">
        <f t="shared" si="948"/>
        <v>0</v>
      </c>
      <c r="AA321" s="144">
        <f t="shared" si="948"/>
        <v>0</v>
      </c>
      <c r="AB321" s="144">
        <f t="shared" si="948"/>
        <v>0</v>
      </c>
      <c r="AC321" s="144">
        <f t="shared" si="948"/>
        <v>0</v>
      </c>
      <c r="AD321" s="144">
        <f t="shared" si="948"/>
        <v>0</v>
      </c>
      <c r="AE321" s="144">
        <f t="shared" si="948"/>
        <v>0</v>
      </c>
      <c r="AF321" s="144">
        <f t="shared" si="948"/>
        <v>0</v>
      </c>
      <c r="AG321" s="144">
        <f t="shared" si="948"/>
        <v>0</v>
      </c>
      <c r="AH321" s="144">
        <f t="shared" si="948"/>
        <v>0</v>
      </c>
      <c r="AI321" s="144">
        <f t="shared" si="948"/>
        <v>0</v>
      </c>
      <c r="AJ321" s="144">
        <f t="shared" si="948"/>
        <v>0</v>
      </c>
      <c r="AK321" s="144">
        <f t="shared" si="948"/>
        <v>0</v>
      </c>
      <c r="AL321" s="144">
        <f t="shared" si="948"/>
        <v>0</v>
      </c>
      <c r="AM321" s="144">
        <f t="shared" si="948"/>
        <v>0</v>
      </c>
      <c r="AN321" s="144">
        <f t="shared" si="948"/>
        <v>0</v>
      </c>
      <c r="AO321" s="144">
        <f t="shared" si="948"/>
        <v>0</v>
      </c>
      <c r="AP321" s="144">
        <f t="shared" si="948"/>
        <v>0</v>
      </c>
      <c r="AQ321" s="144">
        <f t="shared" si="948"/>
        <v>0</v>
      </c>
      <c r="AR321" s="144">
        <f t="shared" si="948"/>
        <v>0</v>
      </c>
      <c r="AS321" s="144">
        <f t="shared" si="948"/>
        <v>0</v>
      </c>
      <c r="AT321" s="144">
        <f t="shared" si="948"/>
        <v>0</v>
      </c>
      <c r="AU321" s="144">
        <f t="shared" si="948"/>
        <v>0</v>
      </c>
      <c r="AV321" s="144">
        <f t="shared" si="948"/>
        <v>0</v>
      </c>
      <c r="AW321" s="144">
        <f t="shared" si="948"/>
        <v>0</v>
      </c>
      <c r="AX321" s="144">
        <f t="shared" si="948"/>
        <v>0</v>
      </c>
      <c r="AY321" s="144">
        <f t="shared" si="948"/>
        <v>0</v>
      </c>
      <c r="AZ321" s="144">
        <f t="shared" si="948"/>
        <v>0</v>
      </c>
      <c r="BA321" s="144">
        <f t="shared" si="948"/>
        <v>0</v>
      </c>
      <c r="BB321" s="144">
        <f t="shared" si="948"/>
        <v>0</v>
      </c>
      <c r="BC321" s="144">
        <f t="shared" si="948"/>
        <v>0</v>
      </c>
      <c r="BD321" s="144">
        <f t="shared" si="948"/>
        <v>0</v>
      </c>
      <c r="BE321" s="144">
        <f t="shared" si="948"/>
        <v>0</v>
      </c>
      <c r="BF321" s="144">
        <f t="shared" si="948"/>
        <v>0</v>
      </c>
      <c r="BG321" s="144">
        <f t="shared" si="948"/>
        <v>0</v>
      </c>
      <c r="BH321" s="144">
        <f t="shared" si="948"/>
        <v>0</v>
      </c>
      <c r="BI321" s="144">
        <f t="shared" si="948"/>
        <v>0</v>
      </c>
      <c r="BJ321" s="144">
        <f t="shared" si="948"/>
        <v>0</v>
      </c>
      <c r="BK321" s="144">
        <f t="shared" si="948"/>
        <v>0</v>
      </c>
      <c r="BL321" s="144">
        <f t="shared" si="948"/>
        <v>0</v>
      </c>
      <c r="BM321" s="144">
        <f t="shared" si="948"/>
        <v>0</v>
      </c>
      <c r="BN321" s="144">
        <f t="shared" si="948"/>
        <v>0</v>
      </c>
      <c r="BO321" s="144">
        <f t="shared" si="948"/>
        <v>0</v>
      </c>
      <c r="BP321" s="144">
        <f t="shared" si="948"/>
        <v>0</v>
      </c>
      <c r="BQ321" s="144">
        <f t="shared" si="948"/>
        <v>0</v>
      </c>
      <c r="BR321" s="144">
        <f t="shared" si="948"/>
        <v>0</v>
      </c>
      <c r="BS321" s="144">
        <f t="shared" si="948"/>
        <v>0</v>
      </c>
      <c r="BT321" s="144">
        <f t="shared" si="948"/>
        <v>0</v>
      </c>
      <c r="BU321" s="144">
        <f t="shared" si="948"/>
        <v>0</v>
      </c>
      <c r="BV321" s="144">
        <f t="shared" ref="BV321:CV321" si="949" xml:space="preserve"> -1 * BV320</f>
        <v>0</v>
      </c>
      <c r="BW321" s="144">
        <f t="shared" si="949"/>
        <v>0</v>
      </c>
      <c r="BX321" s="144">
        <f t="shared" si="949"/>
        <v>0</v>
      </c>
      <c r="BY321" s="144">
        <f t="shared" si="949"/>
        <v>0</v>
      </c>
      <c r="BZ321" s="144">
        <f t="shared" si="949"/>
        <v>0</v>
      </c>
      <c r="CA321" s="144">
        <f t="shared" si="949"/>
        <v>0</v>
      </c>
      <c r="CB321" s="144">
        <f t="shared" si="949"/>
        <v>0</v>
      </c>
      <c r="CC321" s="144">
        <f t="shared" si="949"/>
        <v>0</v>
      </c>
      <c r="CD321" s="144">
        <f t="shared" si="949"/>
        <v>0</v>
      </c>
      <c r="CE321" s="144">
        <f t="shared" si="949"/>
        <v>0</v>
      </c>
      <c r="CF321" s="144">
        <f t="shared" si="949"/>
        <v>0</v>
      </c>
      <c r="CG321" s="144">
        <f t="shared" si="949"/>
        <v>0</v>
      </c>
      <c r="CH321" s="144">
        <f t="shared" si="949"/>
        <v>0</v>
      </c>
      <c r="CI321" s="144">
        <f t="shared" si="949"/>
        <v>0</v>
      </c>
      <c r="CJ321" s="144">
        <f t="shared" si="949"/>
        <v>0</v>
      </c>
      <c r="CK321" s="144">
        <f t="shared" si="949"/>
        <v>0</v>
      </c>
      <c r="CL321" s="144">
        <f t="shared" si="949"/>
        <v>0</v>
      </c>
      <c r="CM321" s="144">
        <f t="shared" si="949"/>
        <v>0</v>
      </c>
      <c r="CN321" s="144">
        <f t="shared" si="949"/>
        <v>0</v>
      </c>
      <c r="CO321" s="144">
        <f t="shared" si="949"/>
        <v>0</v>
      </c>
      <c r="CP321" s="144">
        <f t="shared" si="949"/>
        <v>0</v>
      </c>
      <c r="CQ321" s="144">
        <f t="shared" si="949"/>
        <v>0</v>
      </c>
      <c r="CR321" s="144">
        <f t="shared" si="949"/>
        <v>0</v>
      </c>
      <c r="CS321" s="144">
        <f t="shared" si="949"/>
        <v>0</v>
      </c>
      <c r="CT321" s="144">
        <f t="shared" si="949"/>
        <v>0</v>
      </c>
      <c r="CU321" s="144">
        <f t="shared" si="949"/>
        <v>0</v>
      </c>
      <c r="CV321" s="144">
        <f t="shared" si="949"/>
        <v>0</v>
      </c>
    </row>
    <row r="322" spans="1:100" outlineLevel="1" x14ac:dyDescent="0.2">
      <c r="A322" s="236"/>
      <c r="B322" s="236"/>
      <c r="C322" s="237"/>
      <c r="D322" s="238"/>
      <c r="E322" s="235"/>
      <c r="F322" s="235"/>
      <c r="G322" s="235"/>
      <c r="H322" s="235"/>
      <c r="I322" s="235"/>
      <c r="J322" s="235"/>
      <c r="K322" s="235"/>
      <c r="L322" s="235"/>
      <c r="M322" s="235"/>
      <c r="N322" s="235"/>
      <c r="O322" s="235"/>
      <c r="P322" s="235"/>
      <c r="Q322" s="235"/>
      <c r="R322" s="235"/>
      <c r="S322" s="235"/>
      <c r="T322" s="235"/>
      <c r="U322" s="235"/>
      <c r="V322" s="235"/>
      <c r="W322" s="235"/>
      <c r="X322" s="235"/>
      <c r="Y322" s="235"/>
      <c r="Z322" s="235"/>
      <c r="AA322" s="235"/>
      <c r="AB322" s="235"/>
      <c r="AC322" s="235"/>
      <c r="AD322" s="235"/>
      <c r="AE322" s="235"/>
      <c r="AF322" s="235"/>
      <c r="AG322" s="235"/>
      <c r="AH322" s="235"/>
      <c r="AI322" s="235"/>
      <c r="AJ322" s="235"/>
      <c r="AK322" s="235"/>
      <c r="AL322" s="235"/>
      <c r="AM322" s="235"/>
      <c r="AN322" s="235"/>
      <c r="AO322" s="235"/>
      <c r="AP322" s="235"/>
      <c r="AQ322" s="235"/>
      <c r="AR322" s="235"/>
      <c r="AS322" s="235"/>
      <c r="AT322" s="235"/>
      <c r="AU322" s="235"/>
      <c r="AV322" s="235"/>
      <c r="AW322" s="235"/>
      <c r="AX322" s="235"/>
      <c r="AY322" s="235"/>
      <c r="AZ322" s="235"/>
      <c r="BA322" s="235"/>
      <c r="BB322" s="235"/>
      <c r="BC322" s="235"/>
      <c r="BD322" s="235"/>
      <c r="BE322" s="235"/>
      <c r="BF322" s="235"/>
      <c r="BG322" s="235"/>
      <c r="BH322" s="235"/>
      <c r="BI322" s="235"/>
      <c r="BJ322" s="235"/>
      <c r="BK322" s="235"/>
      <c r="BL322" s="235"/>
      <c r="BM322" s="235"/>
      <c r="BN322" s="235"/>
      <c r="BO322" s="235"/>
      <c r="BP322" s="235"/>
      <c r="BQ322" s="235"/>
      <c r="BR322" s="235"/>
      <c r="BS322" s="235"/>
      <c r="BT322" s="235"/>
      <c r="BU322" s="235"/>
      <c r="BV322" s="235"/>
      <c r="BW322" s="235"/>
      <c r="BX322" s="235"/>
      <c r="BY322" s="235"/>
      <c r="BZ322" s="235"/>
      <c r="CA322" s="235"/>
      <c r="CB322" s="235"/>
      <c r="CC322" s="235"/>
      <c r="CD322" s="235"/>
      <c r="CE322" s="235"/>
      <c r="CF322" s="235"/>
      <c r="CG322" s="235"/>
      <c r="CH322" s="235"/>
      <c r="CI322" s="235"/>
      <c r="CJ322" s="235"/>
      <c r="CK322" s="235"/>
      <c r="CL322" s="235"/>
      <c r="CM322" s="235"/>
      <c r="CN322" s="235"/>
      <c r="CO322" s="235"/>
      <c r="CP322" s="235"/>
      <c r="CQ322" s="235"/>
      <c r="CR322" s="235"/>
      <c r="CS322" s="235"/>
      <c r="CT322" s="235"/>
      <c r="CU322" s="235"/>
      <c r="CV322" s="235"/>
    </row>
    <row r="323" spans="1:100" s="502" customFormat="1" outlineLevel="1" x14ac:dyDescent="0.2">
      <c r="A323" s="504"/>
      <c r="B323" s="504"/>
      <c r="C323" s="505"/>
      <c r="D323" s="506"/>
      <c r="E323" s="508" t="s">
        <v>760</v>
      </c>
      <c r="F323" s="508"/>
      <c r="G323" s="508" t="str">
        <f xml:space="preserve"> SMU</f>
        <v>$ 000s</v>
      </c>
      <c r="H323" s="508"/>
      <c r="I323" s="508"/>
      <c r="J323" s="508">
        <f t="shared" ref="J323:AO323" si="950" xml:space="preserve"> I326</f>
        <v>0</v>
      </c>
      <c r="K323" s="508">
        <f t="shared" si="950"/>
        <v>0</v>
      </c>
      <c r="L323" s="508">
        <f t="shared" si="950"/>
        <v>0</v>
      </c>
      <c r="M323" s="508">
        <f t="shared" si="950"/>
        <v>0</v>
      </c>
      <c r="N323" s="508">
        <f t="shared" si="950"/>
        <v>0</v>
      </c>
      <c r="O323" s="508">
        <f t="shared" si="950"/>
        <v>0</v>
      </c>
      <c r="P323" s="508">
        <f t="shared" si="950"/>
        <v>0</v>
      </c>
      <c r="Q323" s="508">
        <f t="shared" si="950"/>
        <v>0</v>
      </c>
      <c r="R323" s="508">
        <f t="shared" si="950"/>
        <v>0</v>
      </c>
      <c r="S323" s="508">
        <f t="shared" si="950"/>
        <v>0</v>
      </c>
      <c r="T323" s="508">
        <f t="shared" si="950"/>
        <v>0</v>
      </c>
      <c r="U323" s="508">
        <f t="shared" si="950"/>
        <v>0</v>
      </c>
      <c r="V323" s="508">
        <f t="shared" si="950"/>
        <v>0</v>
      </c>
      <c r="W323" s="508">
        <f t="shared" si="950"/>
        <v>0</v>
      </c>
      <c r="X323" s="508">
        <f t="shared" si="950"/>
        <v>0</v>
      </c>
      <c r="Y323" s="508">
        <f t="shared" si="950"/>
        <v>0</v>
      </c>
      <c r="Z323" s="508">
        <f t="shared" si="950"/>
        <v>0</v>
      </c>
      <c r="AA323" s="508">
        <f t="shared" si="950"/>
        <v>0</v>
      </c>
      <c r="AB323" s="508">
        <f t="shared" si="950"/>
        <v>0</v>
      </c>
      <c r="AC323" s="508">
        <f t="shared" si="950"/>
        <v>0</v>
      </c>
      <c r="AD323" s="508">
        <f t="shared" si="950"/>
        <v>0</v>
      </c>
      <c r="AE323" s="508">
        <f t="shared" si="950"/>
        <v>0</v>
      </c>
      <c r="AF323" s="508">
        <f t="shared" si="950"/>
        <v>0</v>
      </c>
      <c r="AG323" s="508">
        <f t="shared" si="950"/>
        <v>0</v>
      </c>
      <c r="AH323" s="508">
        <f t="shared" si="950"/>
        <v>0</v>
      </c>
      <c r="AI323" s="508">
        <f t="shared" si="950"/>
        <v>0</v>
      </c>
      <c r="AJ323" s="508">
        <f t="shared" si="950"/>
        <v>0</v>
      </c>
      <c r="AK323" s="508">
        <f t="shared" si="950"/>
        <v>0</v>
      </c>
      <c r="AL323" s="508">
        <f t="shared" si="950"/>
        <v>0</v>
      </c>
      <c r="AM323" s="508">
        <f t="shared" si="950"/>
        <v>0</v>
      </c>
      <c r="AN323" s="508">
        <f t="shared" si="950"/>
        <v>0</v>
      </c>
      <c r="AO323" s="508">
        <f t="shared" si="950"/>
        <v>0</v>
      </c>
      <c r="AP323" s="508">
        <f t="shared" ref="AP323:BU323" si="951" xml:space="preserve"> AO326</f>
        <v>0</v>
      </c>
      <c r="AQ323" s="508">
        <f t="shared" si="951"/>
        <v>0</v>
      </c>
      <c r="AR323" s="508">
        <f t="shared" si="951"/>
        <v>0</v>
      </c>
      <c r="AS323" s="508">
        <f t="shared" si="951"/>
        <v>0</v>
      </c>
      <c r="AT323" s="508">
        <f t="shared" si="951"/>
        <v>0</v>
      </c>
      <c r="AU323" s="508">
        <f t="shared" si="951"/>
        <v>0</v>
      </c>
      <c r="AV323" s="508">
        <f t="shared" si="951"/>
        <v>0</v>
      </c>
      <c r="AW323" s="508">
        <f t="shared" si="951"/>
        <v>0</v>
      </c>
      <c r="AX323" s="508">
        <f t="shared" si="951"/>
        <v>0</v>
      </c>
      <c r="AY323" s="508">
        <f t="shared" si="951"/>
        <v>0</v>
      </c>
      <c r="AZ323" s="508">
        <f t="shared" si="951"/>
        <v>0</v>
      </c>
      <c r="BA323" s="508">
        <f t="shared" si="951"/>
        <v>0</v>
      </c>
      <c r="BB323" s="508">
        <f t="shared" si="951"/>
        <v>0</v>
      </c>
      <c r="BC323" s="508">
        <f t="shared" si="951"/>
        <v>0</v>
      </c>
      <c r="BD323" s="508">
        <f t="shared" si="951"/>
        <v>0</v>
      </c>
      <c r="BE323" s="508">
        <f t="shared" si="951"/>
        <v>0</v>
      </c>
      <c r="BF323" s="508">
        <f t="shared" si="951"/>
        <v>0</v>
      </c>
      <c r="BG323" s="508">
        <f t="shared" si="951"/>
        <v>0</v>
      </c>
      <c r="BH323" s="508">
        <f t="shared" si="951"/>
        <v>0</v>
      </c>
      <c r="BI323" s="508">
        <f t="shared" si="951"/>
        <v>0</v>
      </c>
      <c r="BJ323" s="508">
        <f t="shared" si="951"/>
        <v>0</v>
      </c>
      <c r="BK323" s="508">
        <f t="shared" si="951"/>
        <v>0</v>
      </c>
      <c r="BL323" s="508">
        <f t="shared" si="951"/>
        <v>0</v>
      </c>
      <c r="BM323" s="508">
        <f t="shared" si="951"/>
        <v>0</v>
      </c>
      <c r="BN323" s="508">
        <f t="shared" si="951"/>
        <v>0</v>
      </c>
      <c r="BO323" s="508">
        <f t="shared" si="951"/>
        <v>0</v>
      </c>
      <c r="BP323" s="508">
        <f t="shared" si="951"/>
        <v>0</v>
      </c>
      <c r="BQ323" s="508">
        <f t="shared" si="951"/>
        <v>0</v>
      </c>
      <c r="BR323" s="508">
        <f t="shared" si="951"/>
        <v>0</v>
      </c>
      <c r="BS323" s="508">
        <f t="shared" si="951"/>
        <v>0</v>
      </c>
      <c r="BT323" s="508">
        <f t="shared" si="951"/>
        <v>0</v>
      </c>
      <c r="BU323" s="508">
        <f t="shared" si="951"/>
        <v>0</v>
      </c>
      <c r="BV323" s="508">
        <f t="shared" ref="BV323:CV323" si="952" xml:space="preserve"> BU326</f>
        <v>0</v>
      </c>
      <c r="BW323" s="508">
        <f t="shared" si="952"/>
        <v>0</v>
      </c>
      <c r="BX323" s="508">
        <f t="shared" si="952"/>
        <v>0</v>
      </c>
      <c r="BY323" s="508">
        <f t="shared" si="952"/>
        <v>0</v>
      </c>
      <c r="BZ323" s="508">
        <f t="shared" si="952"/>
        <v>0</v>
      </c>
      <c r="CA323" s="508">
        <f t="shared" si="952"/>
        <v>0</v>
      </c>
      <c r="CB323" s="508">
        <f t="shared" si="952"/>
        <v>0</v>
      </c>
      <c r="CC323" s="508">
        <f t="shared" si="952"/>
        <v>0</v>
      </c>
      <c r="CD323" s="508">
        <f t="shared" si="952"/>
        <v>0</v>
      </c>
      <c r="CE323" s="508">
        <f t="shared" si="952"/>
        <v>0</v>
      </c>
      <c r="CF323" s="508">
        <f t="shared" si="952"/>
        <v>0</v>
      </c>
      <c r="CG323" s="508">
        <f t="shared" si="952"/>
        <v>0</v>
      </c>
      <c r="CH323" s="508">
        <f t="shared" si="952"/>
        <v>0</v>
      </c>
      <c r="CI323" s="508">
        <f t="shared" si="952"/>
        <v>0</v>
      </c>
      <c r="CJ323" s="508">
        <f t="shared" si="952"/>
        <v>0</v>
      </c>
      <c r="CK323" s="508">
        <f t="shared" si="952"/>
        <v>0</v>
      </c>
      <c r="CL323" s="508">
        <f t="shared" si="952"/>
        <v>0</v>
      </c>
      <c r="CM323" s="508">
        <f t="shared" si="952"/>
        <v>0</v>
      </c>
      <c r="CN323" s="508">
        <f t="shared" si="952"/>
        <v>0</v>
      </c>
      <c r="CO323" s="508">
        <f t="shared" si="952"/>
        <v>0</v>
      </c>
      <c r="CP323" s="508">
        <f t="shared" si="952"/>
        <v>0</v>
      </c>
      <c r="CQ323" s="508">
        <f t="shared" si="952"/>
        <v>0</v>
      </c>
      <c r="CR323" s="508">
        <f t="shared" si="952"/>
        <v>0</v>
      </c>
      <c r="CS323" s="508">
        <f t="shared" si="952"/>
        <v>0</v>
      </c>
      <c r="CT323" s="508">
        <f t="shared" si="952"/>
        <v>0</v>
      </c>
      <c r="CU323" s="508">
        <f t="shared" si="952"/>
        <v>0</v>
      </c>
      <c r="CV323" s="508">
        <f t="shared" si="952"/>
        <v>0</v>
      </c>
    </row>
    <row r="324" spans="1:100" s="498" customFormat="1" outlineLevel="1" x14ac:dyDescent="0.2">
      <c r="A324" s="236"/>
      <c r="B324" s="236"/>
      <c r="C324" s="237"/>
      <c r="D324" s="238"/>
      <c r="E324" s="145" t="str">
        <f xml:space="preserve"> ConCost!E$264</f>
        <v>Early generation costs accrued during construction</v>
      </c>
      <c r="F324" s="145">
        <f xml:space="preserve"> ConCost!F$264</f>
        <v>0</v>
      </c>
      <c r="G324" s="145" t="str">
        <f xml:space="preserve"> ConCost!G$264</f>
        <v>$ 000s</v>
      </c>
      <c r="H324" s="145">
        <f xml:space="preserve"> ConCost!H$264</f>
        <v>0</v>
      </c>
      <c r="I324" s="145">
        <f xml:space="preserve"> ConCost!I$264</f>
        <v>0</v>
      </c>
      <c r="J324" s="145">
        <f xml:space="preserve"> ConCost!J$264</f>
        <v>0</v>
      </c>
      <c r="K324" s="145">
        <f xml:space="preserve"> ConCost!K$264</f>
        <v>0</v>
      </c>
      <c r="L324" s="145">
        <f xml:space="preserve"> ConCost!L$264</f>
        <v>0</v>
      </c>
      <c r="M324" s="145">
        <f xml:space="preserve"> ConCost!M$264</f>
        <v>0</v>
      </c>
      <c r="N324" s="145">
        <f xml:space="preserve"> ConCost!N$264</f>
        <v>0</v>
      </c>
      <c r="O324" s="145">
        <f xml:space="preserve"> ConCost!O$264</f>
        <v>0</v>
      </c>
      <c r="P324" s="145">
        <f xml:space="preserve"> ConCost!P$264</f>
        <v>0</v>
      </c>
      <c r="Q324" s="145">
        <f xml:space="preserve"> ConCost!Q$264</f>
        <v>0</v>
      </c>
      <c r="R324" s="145">
        <f xml:space="preserve"> ConCost!R$264</f>
        <v>0</v>
      </c>
      <c r="S324" s="145">
        <f xml:space="preserve"> ConCost!S$264</f>
        <v>0</v>
      </c>
      <c r="T324" s="145">
        <f xml:space="preserve"> ConCost!T$264</f>
        <v>0</v>
      </c>
      <c r="U324" s="145">
        <f xml:space="preserve"> ConCost!U$264</f>
        <v>0</v>
      </c>
      <c r="V324" s="145">
        <f xml:space="preserve"> ConCost!V$264</f>
        <v>0</v>
      </c>
      <c r="W324" s="145">
        <f xml:space="preserve"> ConCost!W$264</f>
        <v>0</v>
      </c>
      <c r="X324" s="145">
        <f xml:space="preserve"> ConCost!X$264</f>
        <v>0</v>
      </c>
      <c r="Y324" s="145">
        <f xml:space="preserve"> ConCost!Y$264</f>
        <v>0</v>
      </c>
      <c r="Z324" s="145">
        <f xml:space="preserve"> ConCost!Z$264</f>
        <v>0</v>
      </c>
      <c r="AA324" s="145">
        <f xml:space="preserve"> ConCost!AA$264</f>
        <v>0</v>
      </c>
      <c r="AB324" s="145">
        <f xml:space="preserve"> ConCost!AB$264</f>
        <v>0</v>
      </c>
      <c r="AC324" s="145">
        <f xml:space="preserve"> ConCost!AC$264</f>
        <v>0</v>
      </c>
      <c r="AD324" s="145">
        <f xml:space="preserve"> ConCost!AD$264</f>
        <v>0</v>
      </c>
      <c r="AE324" s="145">
        <f xml:space="preserve"> ConCost!AE$264</f>
        <v>0</v>
      </c>
      <c r="AF324" s="145">
        <f xml:space="preserve"> ConCost!AF$264</f>
        <v>0</v>
      </c>
      <c r="AG324" s="145">
        <f xml:space="preserve"> ConCost!AG$264</f>
        <v>0</v>
      </c>
      <c r="AH324" s="145">
        <f xml:space="preserve"> ConCost!AH$264</f>
        <v>0</v>
      </c>
      <c r="AI324" s="145">
        <f xml:space="preserve"> ConCost!AI$264</f>
        <v>0</v>
      </c>
      <c r="AJ324" s="145">
        <f xml:space="preserve"> ConCost!AJ$264</f>
        <v>0</v>
      </c>
      <c r="AK324" s="145">
        <f xml:space="preserve"> ConCost!AK$264</f>
        <v>0</v>
      </c>
      <c r="AL324" s="145">
        <f xml:space="preserve"> ConCost!AL$264</f>
        <v>0</v>
      </c>
      <c r="AM324" s="145">
        <f xml:space="preserve"> ConCost!AM$264</f>
        <v>0</v>
      </c>
      <c r="AN324" s="145">
        <f xml:space="preserve"> ConCost!AN$264</f>
        <v>0</v>
      </c>
      <c r="AO324" s="145">
        <f xml:space="preserve"> ConCost!AO$264</f>
        <v>0</v>
      </c>
      <c r="AP324" s="145">
        <f xml:space="preserve"> ConCost!AP$264</f>
        <v>0</v>
      </c>
      <c r="AQ324" s="145">
        <f xml:space="preserve"> ConCost!AQ$264</f>
        <v>0</v>
      </c>
      <c r="AR324" s="145">
        <f xml:space="preserve"> ConCost!AR$264</f>
        <v>0</v>
      </c>
      <c r="AS324" s="145">
        <f xml:space="preserve"> ConCost!AS$264</f>
        <v>0</v>
      </c>
      <c r="AT324" s="145">
        <f xml:space="preserve"> ConCost!AT$264</f>
        <v>0</v>
      </c>
      <c r="AU324" s="145">
        <f xml:space="preserve"> ConCost!AU$264</f>
        <v>0</v>
      </c>
      <c r="AV324" s="145">
        <f xml:space="preserve"> ConCost!AV$264</f>
        <v>0</v>
      </c>
      <c r="AW324" s="145">
        <f xml:space="preserve"> ConCost!AW$264</f>
        <v>0</v>
      </c>
      <c r="AX324" s="145">
        <f xml:space="preserve"> ConCost!AX$264</f>
        <v>0</v>
      </c>
      <c r="AY324" s="145">
        <f xml:space="preserve"> ConCost!AY$264</f>
        <v>0</v>
      </c>
      <c r="AZ324" s="145">
        <f xml:space="preserve"> ConCost!AZ$264</f>
        <v>0</v>
      </c>
      <c r="BA324" s="145">
        <f xml:space="preserve"> ConCost!BA$264</f>
        <v>0</v>
      </c>
      <c r="BB324" s="145">
        <f xml:space="preserve"> ConCost!BB$264</f>
        <v>0</v>
      </c>
      <c r="BC324" s="145">
        <f xml:space="preserve"> ConCost!BC$264</f>
        <v>0</v>
      </c>
      <c r="BD324" s="145">
        <f xml:space="preserve"> ConCost!BD$264</f>
        <v>0</v>
      </c>
      <c r="BE324" s="145">
        <f xml:space="preserve"> ConCost!BE$264</f>
        <v>0</v>
      </c>
      <c r="BF324" s="145">
        <f xml:space="preserve"> ConCost!BF$264</f>
        <v>0</v>
      </c>
      <c r="BG324" s="145">
        <f xml:space="preserve"> ConCost!BG$264</f>
        <v>0</v>
      </c>
      <c r="BH324" s="145">
        <f xml:space="preserve"> ConCost!BH$264</f>
        <v>0</v>
      </c>
      <c r="BI324" s="145">
        <f xml:space="preserve"> ConCost!BI$264</f>
        <v>0</v>
      </c>
      <c r="BJ324" s="145">
        <f xml:space="preserve"> ConCost!BJ$264</f>
        <v>0</v>
      </c>
      <c r="BK324" s="145">
        <f xml:space="preserve"> ConCost!BK$264</f>
        <v>0</v>
      </c>
      <c r="BL324" s="145">
        <f xml:space="preserve"> ConCost!BL$264</f>
        <v>0</v>
      </c>
      <c r="BM324" s="145">
        <f xml:space="preserve"> ConCost!BM$264</f>
        <v>0</v>
      </c>
      <c r="BN324" s="145">
        <f xml:space="preserve"> ConCost!BN$264</f>
        <v>0</v>
      </c>
      <c r="BO324" s="145">
        <f xml:space="preserve"> ConCost!BO$264</f>
        <v>0</v>
      </c>
      <c r="BP324" s="145">
        <f xml:space="preserve"> ConCost!BP$264</f>
        <v>0</v>
      </c>
      <c r="BQ324" s="145">
        <f xml:space="preserve"> ConCost!BQ$264</f>
        <v>0</v>
      </c>
      <c r="BR324" s="145">
        <f xml:space="preserve"> ConCost!BR$264</f>
        <v>0</v>
      </c>
      <c r="BS324" s="145">
        <f xml:space="preserve"> ConCost!BS$264</f>
        <v>0</v>
      </c>
      <c r="BT324" s="145">
        <f xml:space="preserve"> ConCost!BT$264</f>
        <v>0</v>
      </c>
      <c r="BU324" s="145">
        <f xml:space="preserve"> ConCost!BU$264</f>
        <v>0</v>
      </c>
      <c r="BV324" s="145">
        <f xml:space="preserve"> ConCost!BV$264</f>
        <v>0</v>
      </c>
      <c r="BW324" s="145">
        <f xml:space="preserve"> ConCost!BW$264</f>
        <v>0</v>
      </c>
      <c r="BX324" s="145">
        <f xml:space="preserve"> ConCost!BX$264</f>
        <v>0</v>
      </c>
      <c r="BY324" s="145">
        <f xml:space="preserve"> ConCost!BY$264</f>
        <v>0</v>
      </c>
      <c r="BZ324" s="145">
        <f xml:space="preserve"> ConCost!BZ$264</f>
        <v>0</v>
      </c>
      <c r="CA324" s="145">
        <f xml:space="preserve"> ConCost!CA$264</f>
        <v>0</v>
      </c>
      <c r="CB324" s="145">
        <f xml:space="preserve"> ConCost!CB$264</f>
        <v>0</v>
      </c>
      <c r="CC324" s="145">
        <f xml:space="preserve"> ConCost!CC$264</f>
        <v>0</v>
      </c>
      <c r="CD324" s="145">
        <f xml:space="preserve"> ConCost!CD$264</f>
        <v>0</v>
      </c>
      <c r="CE324" s="145">
        <f xml:space="preserve"> ConCost!CE$264</f>
        <v>0</v>
      </c>
      <c r="CF324" s="145">
        <f xml:space="preserve"> ConCost!CF$264</f>
        <v>0</v>
      </c>
      <c r="CG324" s="145">
        <f xml:space="preserve"> ConCost!CG$264</f>
        <v>0</v>
      </c>
      <c r="CH324" s="145">
        <f xml:space="preserve"> ConCost!CH$264</f>
        <v>0</v>
      </c>
      <c r="CI324" s="145">
        <f xml:space="preserve"> ConCost!CI$264</f>
        <v>0</v>
      </c>
      <c r="CJ324" s="145">
        <f xml:space="preserve"> ConCost!CJ$264</f>
        <v>0</v>
      </c>
      <c r="CK324" s="145">
        <f xml:space="preserve"> ConCost!CK$264</f>
        <v>0</v>
      </c>
      <c r="CL324" s="145">
        <f xml:space="preserve"> ConCost!CL$264</f>
        <v>0</v>
      </c>
      <c r="CM324" s="145">
        <f xml:space="preserve"> ConCost!CM$264</f>
        <v>0</v>
      </c>
      <c r="CN324" s="145">
        <f xml:space="preserve"> ConCost!CN$264</f>
        <v>0</v>
      </c>
      <c r="CO324" s="145">
        <f xml:space="preserve"> ConCost!CO$264</f>
        <v>0</v>
      </c>
      <c r="CP324" s="145">
        <f xml:space="preserve"> ConCost!CP$264</f>
        <v>0</v>
      </c>
      <c r="CQ324" s="145">
        <f xml:space="preserve"> ConCost!CQ$264</f>
        <v>0</v>
      </c>
      <c r="CR324" s="145">
        <f xml:space="preserve"> ConCost!CR$264</f>
        <v>0</v>
      </c>
      <c r="CS324" s="145">
        <f xml:space="preserve"> ConCost!CS$264</f>
        <v>0</v>
      </c>
      <c r="CT324" s="145">
        <f xml:space="preserve"> ConCost!CT$264</f>
        <v>0</v>
      </c>
      <c r="CU324" s="145">
        <f xml:space="preserve"> ConCost!CU$264</f>
        <v>0</v>
      </c>
      <c r="CV324" s="145">
        <f xml:space="preserve"> ConCost!CV$264</f>
        <v>0</v>
      </c>
    </row>
    <row r="325" spans="1:100" s="498" customFormat="1" outlineLevel="1" x14ac:dyDescent="0.2">
      <c r="A325" s="236"/>
      <c r="B325" s="236"/>
      <c r="C325" s="237"/>
      <c r="D325" s="238"/>
      <c r="E325" s="145" t="str">
        <f xml:space="preserve"> ConCost!E$269</f>
        <v>Early generation costs paid</v>
      </c>
      <c r="F325" s="145">
        <f xml:space="preserve"> ConCost!F$269</f>
        <v>0</v>
      </c>
      <c r="G325" s="145" t="str">
        <f xml:space="preserve"> ConCost!G$269</f>
        <v>$ 000s</v>
      </c>
      <c r="H325" s="145">
        <f xml:space="preserve"> ConCost!H$269</f>
        <v>0</v>
      </c>
      <c r="I325" s="145">
        <f xml:space="preserve"> ConCost!I$269</f>
        <v>0</v>
      </c>
      <c r="J325" s="145">
        <f xml:space="preserve"> ConCost!J$269</f>
        <v>0</v>
      </c>
      <c r="K325" s="145">
        <f xml:space="preserve"> ConCost!K$269</f>
        <v>0</v>
      </c>
      <c r="L325" s="145">
        <f xml:space="preserve"> ConCost!L$269</f>
        <v>0</v>
      </c>
      <c r="M325" s="145">
        <f xml:space="preserve"> ConCost!M$269</f>
        <v>0</v>
      </c>
      <c r="N325" s="145">
        <f xml:space="preserve"> ConCost!N$269</f>
        <v>0</v>
      </c>
      <c r="O325" s="145">
        <f xml:space="preserve"> ConCost!O$269</f>
        <v>0</v>
      </c>
      <c r="P325" s="145">
        <f xml:space="preserve"> ConCost!P$269</f>
        <v>0</v>
      </c>
      <c r="Q325" s="145">
        <f xml:space="preserve"> ConCost!Q$269</f>
        <v>0</v>
      </c>
      <c r="R325" s="145">
        <f xml:space="preserve"> ConCost!R$269</f>
        <v>0</v>
      </c>
      <c r="S325" s="145">
        <f xml:space="preserve"> ConCost!S$269</f>
        <v>0</v>
      </c>
      <c r="T325" s="145">
        <f xml:space="preserve"> ConCost!T$269</f>
        <v>0</v>
      </c>
      <c r="U325" s="145">
        <f xml:space="preserve"> ConCost!U$269</f>
        <v>0</v>
      </c>
      <c r="V325" s="145">
        <f xml:space="preserve"> ConCost!V$269</f>
        <v>0</v>
      </c>
      <c r="W325" s="145">
        <f xml:space="preserve"> ConCost!W$269</f>
        <v>0</v>
      </c>
      <c r="X325" s="145">
        <f xml:space="preserve"> ConCost!X$269</f>
        <v>0</v>
      </c>
      <c r="Y325" s="145">
        <f xml:space="preserve"> ConCost!Y$269</f>
        <v>0</v>
      </c>
      <c r="Z325" s="145">
        <f xml:space="preserve"> ConCost!Z$269</f>
        <v>0</v>
      </c>
      <c r="AA325" s="145">
        <f xml:space="preserve"> ConCost!AA$269</f>
        <v>0</v>
      </c>
      <c r="AB325" s="145">
        <f xml:space="preserve"> ConCost!AB$269</f>
        <v>0</v>
      </c>
      <c r="AC325" s="145">
        <f xml:space="preserve"> ConCost!AC$269</f>
        <v>0</v>
      </c>
      <c r="AD325" s="145">
        <f xml:space="preserve"> ConCost!AD$269</f>
        <v>0</v>
      </c>
      <c r="AE325" s="145">
        <f xml:space="preserve"> ConCost!AE$269</f>
        <v>0</v>
      </c>
      <c r="AF325" s="145">
        <f xml:space="preserve"> ConCost!AF$269</f>
        <v>0</v>
      </c>
      <c r="AG325" s="145">
        <f xml:space="preserve"> ConCost!AG$269</f>
        <v>0</v>
      </c>
      <c r="AH325" s="145">
        <f xml:space="preserve"> ConCost!AH$269</f>
        <v>0</v>
      </c>
      <c r="AI325" s="145">
        <f xml:space="preserve"> ConCost!AI$269</f>
        <v>0</v>
      </c>
      <c r="AJ325" s="145">
        <f xml:space="preserve"> ConCost!AJ$269</f>
        <v>0</v>
      </c>
      <c r="AK325" s="145">
        <f xml:space="preserve"> ConCost!AK$269</f>
        <v>0</v>
      </c>
      <c r="AL325" s="145">
        <f xml:space="preserve"> ConCost!AL$269</f>
        <v>0</v>
      </c>
      <c r="AM325" s="145">
        <f xml:space="preserve"> ConCost!AM$269</f>
        <v>0</v>
      </c>
      <c r="AN325" s="145">
        <f xml:space="preserve"> ConCost!AN$269</f>
        <v>0</v>
      </c>
      <c r="AO325" s="145">
        <f xml:space="preserve"> ConCost!AO$269</f>
        <v>0</v>
      </c>
      <c r="AP325" s="145">
        <f xml:space="preserve"> ConCost!AP$269</f>
        <v>0</v>
      </c>
      <c r="AQ325" s="145">
        <f xml:space="preserve"> ConCost!AQ$269</f>
        <v>0</v>
      </c>
      <c r="AR325" s="145">
        <f xml:space="preserve"> ConCost!AR$269</f>
        <v>0</v>
      </c>
      <c r="AS325" s="145">
        <f xml:space="preserve"> ConCost!AS$269</f>
        <v>0</v>
      </c>
      <c r="AT325" s="145">
        <f xml:space="preserve"> ConCost!AT$269</f>
        <v>0</v>
      </c>
      <c r="AU325" s="145">
        <f xml:space="preserve"> ConCost!AU$269</f>
        <v>0</v>
      </c>
      <c r="AV325" s="145">
        <f xml:space="preserve"> ConCost!AV$269</f>
        <v>0</v>
      </c>
      <c r="AW325" s="145">
        <f xml:space="preserve"> ConCost!AW$269</f>
        <v>0</v>
      </c>
      <c r="AX325" s="145">
        <f xml:space="preserve"> ConCost!AX$269</f>
        <v>0</v>
      </c>
      <c r="AY325" s="145">
        <f xml:space="preserve"> ConCost!AY$269</f>
        <v>0</v>
      </c>
      <c r="AZ325" s="145">
        <f xml:space="preserve"> ConCost!AZ$269</f>
        <v>0</v>
      </c>
      <c r="BA325" s="145">
        <f xml:space="preserve"> ConCost!BA$269</f>
        <v>0</v>
      </c>
      <c r="BB325" s="145">
        <f xml:space="preserve"> ConCost!BB$269</f>
        <v>0</v>
      </c>
      <c r="BC325" s="145">
        <f xml:space="preserve"> ConCost!BC$269</f>
        <v>0</v>
      </c>
      <c r="BD325" s="145">
        <f xml:space="preserve"> ConCost!BD$269</f>
        <v>0</v>
      </c>
      <c r="BE325" s="145">
        <f xml:space="preserve"> ConCost!BE$269</f>
        <v>0</v>
      </c>
      <c r="BF325" s="145">
        <f xml:space="preserve"> ConCost!BF$269</f>
        <v>0</v>
      </c>
      <c r="BG325" s="145">
        <f xml:space="preserve"> ConCost!BG$269</f>
        <v>0</v>
      </c>
      <c r="BH325" s="145">
        <f xml:space="preserve"> ConCost!BH$269</f>
        <v>0</v>
      </c>
      <c r="BI325" s="145">
        <f xml:space="preserve"> ConCost!BI$269</f>
        <v>0</v>
      </c>
      <c r="BJ325" s="145">
        <f xml:space="preserve"> ConCost!BJ$269</f>
        <v>0</v>
      </c>
      <c r="BK325" s="145">
        <f xml:space="preserve"> ConCost!BK$269</f>
        <v>0</v>
      </c>
      <c r="BL325" s="145">
        <f xml:space="preserve"> ConCost!BL$269</f>
        <v>0</v>
      </c>
      <c r="BM325" s="145">
        <f xml:space="preserve"> ConCost!BM$269</f>
        <v>0</v>
      </c>
      <c r="BN325" s="145">
        <f xml:space="preserve"> ConCost!BN$269</f>
        <v>0</v>
      </c>
      <c r="BO325" s="145">
        <f xml:space="preserve"> ConCost!BO$269</f>
        <v>0</v>
      </c>
      <c r="BP325" s="145">
        <f xml:space="preserve"> ConCost!BP$269</f>
        <v>0</v>
      </c>
      <c r="BQ325" s="145">
        <f xml:space="preserve"> ConCost!BQ$269</f>
        <v>0</v>
      </c>
      <c r="BR325" s="145">
        <f xml:space="preserve"> ConCost!BR$269</f>
        <v>0</v>
      </c>
      <c r="BS325" s="145">
        <f xml:space="preserve"> ConCost!BS$269</f>
        <v>0</v>
      </c>
      <c r="BT325" s="145">
        <f xml:space="preserve"> ConCost!BT$269</f>
        <v>0</v>
      </c>
      <c r="BU325" s="145">
        <f xml:space="preserve"> ConCost!BU$269</f>
        <v>0</v>
      </c>
      <c r="BV325" s="145">
        <f xml:space="preserve"> ConCost!BV$269</f>
        <v>0</v>
      </c>
      <c r="BW325" s="145">
        <f xml:space="preserve"> ConCost!BW$269</f>
        <v>0</v>
      </c>
      <c r="BX325" s="145">
        <f xml:space="preserve"> ConCost!BX$269</f>
        <v>0</v>
      </c>
      <c r="BY325" s="145">
        <f xml:space="preserve"> ConCost!BY$269</f>
        <v>0</v>
      </c>
      <c r="BZ325" s="145">
        <f xml:space="preserve"> ConCost!BZ$269</f>
        <v>0</v>
      </c>
      <c r="CA325" s="145">
        <f xml:space="preserve"> ConCost!CA$269</f>
        <v>0</v>
      </c>
      <c r="CB325" s="145">
        <f xml:space="preserve"> ConCost!CB$269</f>
        <v>0</v>
      </c>
      <c r="CC325" s="145">
        <f xml:space="preserve"> ConCost!CC$269</f>
        <v>0</v>
      </c>
      <c r="CD325" s="145">
        <f xml:space="preserve"> ConCost!CD$269</f>
        <v>0</v>
      </c>
      <c r="CE325" s="145">
        <f xml:space="preserve"> ConCost!CE$269</f>
        <v>0</v>
      </c>
      <c r="CF325" s="145">
        <f xml:space="preserve"> ConCost!CF$269</f>
        <v>0</v>
      </c>
      <c r="CG325" s="145">
        <f xml:space="preserve"> ConCost!CG$269</f>
        <v>0</v>
      </c>
      <c r="CH325" s="145">
        <f xml:space="preserve"> ConCost!CH$269</f>
        <v>0</v>
      </c>
      <c r="CI325" s="145">
        <f xml:space="preserve"> ConCost!CI$269</f>
        <v>0</v>
      </c>
      <c r="CJ325" s="145">
        <f xml:space="preserve"> ConCost!CJ$269</f>
        <v>0</v>
      </c>
      <c r="CK325" s="145">
        <f xml:space="preserve"> ConCost!CK$269</f>
        <v>0</v>
      </c>
      <c r="CL325" s="145">
        <f xml:space="preserve"> ConCost!CL$269</f>
        <v>0</v>
      </c>
      <c r="CM325" s="145">
        <f xml:space="preserve"> ConCost!CM$269</f>
        <v>0</v>
      </c>
      <c r="CN325" s="145">
        <f xml:space="preserve"> ConCost!CN$269</f>
        <v>0</v>
      </c>
      <c r="CO325" s="145">
        <f xml:space="preserve"> ConCost!CO$269</f>
        <v>0</v>
      </c>
      <c r="CP325" s="145">
        <f xml:space="preserve"> ConCost!CP$269</f>
        <v>0</v>
      </c>
      <c r="CQ325" s="145">
        <f xml:space="preserve"> ConCost!CQ$269</f>
        <v>0</v>
      </c>
      <c r="CR325" s="145">
        <f xml:space="preserve"> ConCost!CR$269</f>
        <v>0</v>
      </c>
      <c r="CS325" s="145">
        <f xml:space="preserve"> ConCost!CS$269</f>
        <v>0</v>
      </c>
      <c r="CT325" s="145">
        <f xml:space="preserve"> ConCost!CT$269</f>
        <v>0</v>
      </c>
      <c r="CU325" s="145">
        <f xml:space="preserve"> ConCost!CU$269</f>
        <v>0</v>
      </c>
      <c r="CV325" s="145">
        <f xml:space="preserve"> ConCost!CV$269</f>
        <v>0</v>
      </c>
    </row>
    <row r="326" spans="1:100" s="541" customFormat="1" outlineLevel="1" x14ac:dyDescent="0.2">
      <c r="A326" s="391"/>
      <c r="B326" s="391"/>
      <c r="C326" s="392"/>
      <c r="D326" s="393"/>
      <c r="E326" s="395" t="s">
        <v>759</v>
      </c>
      <c r="F326" s="395"/>
      <c r="G326" s="395" t="str">
        <f xml:space="preserve"> SMU</f>
        <v>$ 000s</v>
      </c>
      <c r="H326" s="395"/>
      <c r="I326" s="395"/>
      <c r="J326" s="395">
        <f t="shared" ref="J326:AO326" si="953" xml:space="preserve"> J323 + J324 - J325</f>
        <v>0</v>
      </c>
      <c r="K326" s="395">
        <f t="shared" si="953"/>
        <v>0</v>
      </c>
      <c r="L326" s="395">
        <f t="shared" si="953"/>
        <v>0</v>
      </c>
      <c r="M326" s="395">
        <f t="shared" si="953"/>
        <v>0</v>
      </c>
      <c r="N326" s="395">
        <f t="shared" si="953"/>
        <v>0</v>
      </c>
      <c r="O326" s="395">
        <f t="shared" si="953"/>
        <v>0</v>
      </c>
      <c r="P326" s="395">
        <f t="shared" si="953"/>
        <v>0</v>
      </c>
      <c r="Q326" s="395">
        <f t="shared" si="953"/>
        <v>0</v>
      </c>
      <c r="R326" s="395">
        <f t="shared" si="953"/>
        <v>0</v>
      </c>
      <c r="S326" s="395">
        <f t="shared" si="953"/>
        <v>0</v>
      </c>
      <c r="T326" s="395">
        <f t="shared" si="953"/>
        <v>0</v>
      </c>
      <c r="U326" s="395">
        <f t="shared" si="953"/>
        <v>0</v>
      </c>
      <c r="V326" s="395">
        <f t="shared" si="953"/>
        <v>0</v>
      </c>
      <c r="W326" s="395">
        <f t="shared" si="953"/>
        <v>0</v>
      </c>
      <c r="X326" s="395">
        <f t="shared" si="953"/>
        <v>0</v>
      </c>
      <c r="Y326" s="395">
        <f t="shared" si="953"/>
        <v>0</v>
      </c>
      <c r="Z326" s="395">
        <f t="shared" si="953"/>
        <v>0</v>
      </c>
      <c r="AA326" s="395">
        <f t="shared" si="953"/>
        <v>0</v>
      </c>
      <c r="AB326" s="395">
        <f t="shared" si="953"/>
        <v>0</v>
      </c>
      <c r="AC326" s="395">
        <f t="shared" si="953"/>
        <v>0</v>
      </c>
      <c r="AD326" s="395">
        <f t="shared" si="953"/>
        <v>0</v>
      </c>
      <c r="AE326" s="395">
        <f t="shared" si="953"/>
        <v>0</v>
      </c>
      <c r="AF326" s="395">
        <f t="shared" si="953"/>
        <v>0</v>
      </c>
      <c r="AG326" s="395">
        <f t="shared" si="953"/>
        <v>0</v>
      </c>
      <c r="AH326" s="395">
        <f t="shared" si="953"/>
        <v>0</v>
      </c>
      <c r="AI326" s="395">
        <f t="shared" si="953"/>
        <v>0</v>
      </c>
      <c r="AJ326" s="395">
        <f t="shared" si="953"/>
        <v>0</v>
      </c>
      <c r="AK326" s="395">
        <f t="shared" si="953"/>
        <v>0</v>
      </c>
      <c r="AL326" s="395">
        <f t="shared" si="953"/>
        <v>0</v>
      </c>
      <c r="AM326" s="395">
        <f t="shared" si="953"/>
        <v>0</v>
      </c>
      <c r="AN326" s="395">
        <f t="shared" si="953"/>
        <v>0</v>
      </c>
      <c r="AO326" s="395">
        <f t="shared" si="953"/>
        <v>0</v>
      </c>
      <c r="AP326" s="395">
        <f t="shared" ref="AP326:BU326" si="954" xml:space="preserve"> AP323 + AP324 - AP325</f>
        <v>0</v>
      </c>
      <c r="AQ326" s="395">
        <f t="shared" si="954"/>
        <v>0</v>
      </c>
      <c r="AR326" s="395">
        <f t="shared" si="954"/>
        <v>0</v>
      </c>
      <c r="AS326" s="395">
        <f t="shared" si="954"/>
        <v>0</v>
      </c>
      <c r="AT326" s="395">
        <f t="shared" si="954"/>
        <v>0</v>
      </c>
      <c r="AU326" s="395">
        <f t="shared" si="954"/>
        <v>0</v>
      </c>
      <c r="AV326" s="395">
        <f t="shared" si="954"/>
        <v>0</v>
      </c>
      <c r="AW326" s="395">
        <f t="shared" si="954"/>
        <v>0</v>
      </c>
      <c r="AX326" s="395">
        <f t="shared" si="954"/>
        <v>0</v>
      </c>
      <c r="AY326" s="395">
        <f t="shared" si="954"/>
        <v>0</v>
      </c>
      <c r="AZ326" s="395">
        <f t="shared" si="954"/>
        <v>0</v>
      </c>
      <c r="BA326" s="395">
        <f t="shared" si="954"/>
        <v>0</v>
      </c>
      <c r="BB326" s="395">
        <f t="shared" si="954"/>
        <v>0</v>
      </c>
      <c r="BC326" s="395">
        <f t="shared" si="954"/>
        <v>0</v>
      </c>
      <c r="BD326" s="395">
        <f t="shared" si="954"/>
        <v>0</v>
      </c>
      <c r="BE326" s="395">
        <f t="shared" si="954"/>
        <v>0</v>
      </c>
      <c r="BF326" s="395">
        <f t="shared" si="954"/>
        <v>0</v>
      </c>
      <c r="BG326" s="395">
        <f t="shared" si="954"/>
        <v>0</v>
      </c>
      <c r="BH326" s="395">
        <f t="shared" si="954"/>
        <v>0</v>
      </c>
      <c r="BI326" s="395">
        <f t="shared" si="954"/>
        <v>0</v>
      </c>
      <c r="BJ326" s="395">
        <f t="shared" si="954"/>
        <v>0</v>
      </c>
      <c r="BK326" s="395">
        <f t="shared" si="954"/>
        <v>0</v>
      </c>
      <c r="BL326" s="395">
        <f t="shared" si="954"/>
        <v>0</v>
      </c>
      <c r="BM326" s="395">
        <f t="shared" si="954"/>
        <v>0</v>
      </c>
      <c r="BN326" s="395">
        <f t="shared" si="954"/>
        <v>0</v>
      </c>
      <c r="BO326" s="395">
        <f t="shared" si="954"/>
        <v>0</v>
      </c>
      <c r="BP326" s="395">
        <f t="shared" si="954"/>
        <v>0</v>
      </c>
      <c r="BQ326" s="395">
        <f t="shared" si="954"/>
        <v>0</v>
      </c>
      <c r="BR326" s="395">
        <f t="shared" si="954"/>
        <v>0</v>
      </c>
      <c r="BS326" s="395">
        <f t="shared" si="954"/>
        <v>0</v>
      </c>
      <c r="BT326" s="395">
        <f t="shared" si="954"/>
        <v>0</v>
      </c>
      <c r="BU326" s="395">
        <f t="shared" si="954"/>
        <v>0</v>
      </c>
      <c r="BV326" s="395">
        <f t="shared" ref="BV326:CV326" si="955" xml:space="preserve"> BV323 + BV324 - BV325</f>
        <v>0</v>
      </c>
      <c r="BW326" s="395">
        <f t="shared" si="955"/>
        <v>0</v>
      </c>
      <c r="BX326" s="395">
        <f t="shared" si="955"/>
        <v>0</v>
      </c>
      <c r="BY326" s="395">
        <f t="shared" si="955"/>
        <v>0</v>
      </c>
      <c r="BZ326" s="395">
        <f t="shared" si="955"/>
        <v>0</v>
      </c>
      <c r="CA326" s="395">
        <f t="shared" si="955"/>
        <v>0</v>
      </c>
      <c r="CB326" s="395">
        <f t="shared" si="955"/>
        <v>0</v>
      </c>
      <c r="CC326" s="395">
        <f t="shared" si="955"/>
        <v>0</v>
      </c>
      <c r="CD326" s="395">
        <f t="shared" si="955"/>
        <v>0</v>
      </c>
      <c r="CE326" s="395">
        <f t="shared" si="955"/>
        <v>0</v>
      </c>
      <c r="CF326" s="395">
        <f t="shared" si="955"/>
        <v>0</v>
      </c>
      <c r="CG326" s="395">
        <f t="shared" si="955"/>
        <v>0</v>
      </c>
      <c r="CH326" s="395">
        <f t="shared" si="955"/>
        <v>0</v>
      </c>
      <c r="CI326" s="395">
        <f t="shared" si="955"/>
        <v>0</v>
      </c>
      <c r="CJ326" s="395">
        <f t="shared" si="955"/>
        <v>0</v>
      </c>
      <c r="CK326" s="395">
        <f t="shared" si="955"/>
        <v>0</v>
      </c>
      <c r="CL326" s="395">
        <f t="shared" si="955"/>
        <v>0</v>
      </c>
      <c r="CM326" s="395">
        <f t="shared" si="955"/>
        <v>0</v>
      </c>
      <c r="CN326" s="395">
        <f t="shared" si="955"/>
        <v>0</v>
      </c>
      <c r="CO326" s="395">
        <f t="shared" si="955"/>
        <v>0</v>
      </c>
      <c r="CP326" s="395">
        <f t="shared" si="955"/>
        <v>0</v>
      </c>
      <c r="CQ326" s="395">
        <f t="shared" si="955"/>
        <v>0</v>
      </c>
      <c r="CR326" s="395">
        <f t="shared" si="955"/>
        <v>0</v>
      </c>
      <c r="CS326" s="395">
        <f t="shared" si="955"/>
        <v>0</v>
      </c>
      <c r="CT326" s="395">
        <f t="shared" si="955"/>
        <v>0</v>
      </c>
      <c r="CU326" s="395">
        <f t="shared" si="955"/>
        <v>0</v>
      </c>
      <c r="CV326" s="395">
        <f t="shared" si="955"/>
        <v>0</v>
      </c>
    </row>
    <row r="327" spans="1:100" outlineLevel="1" x14ac:dyDescent="0.2">
      <c r="A327" s="236"/>
      <c r="B327" s="236"/>
      <c r="C327" s="237"/>
      <c r="D327" s="238"/>
      <c r="E327" s="235"/>
      <c r="F327" s="235"/>
      <c r="G327" s="235"/>
      <c r="H327" s="235"/>
      <c r="I327" s="235"/>
      <c r="J327" s="235"/>
      <c r="K327" s="235"/>
      <c r="L327" s="235"/>
      <c r="M327" s="235"/>
      <c r="N327" s="235"/>
      <c r="O327" s="235"/>
      <c r="P327" s="235"/>
      <c r="Q327" s="235"/>
      <c r="R327" s="235"/>
      <c r="S327" s="235"/>
      <c r="T327" s="235"/>
      <c r="U327" s="235"/>
      <c r="V327" s="235"/>
      <c r="W327" s="235"/>
      <c r="X327" s="235"/>
      <c r="Y327" s="235"/>
      <c r="Z327" s="235"/>
      <c r="AA327" s="235"/>
      <c r="AB327" s="235"/>
      <c r="AC327" s="235"/>
      <c r="AD327" s="235"/>
      <c r="AE327" s="235"/>
      <c r="AF327" s="235"/>
      <c r="AG327" s="235"/>
      <c r="AH327" s="235"/>
      <c r="AI327" s="235"/>
      <c r="AJ327" s="235"/>
      <c r="AK327" s="235"/>
      <c r="AL327" s="235"/>
      <c r="AM327" s="235"/>
      <c r="AN327" s="235"/>
      <c r="AO327" s="235"/>
      <c r="AP327" s="235"/>
      <c r="AQ327" s="235"/>
      <c r="AR327" s="235"/>
      <c r="AS327" s="235"/>
      <c r="AT327" s="235"/>
      <c r="AU327" s="235"/>
      <c r="AV327" s="235"/>
      <c r="AW327" s="235"/>
      <c r="AX327" s="235"/>
      <c r="AY327" s="235"/>
      <c r="AZ327" s="235"/>
      <c r="BA327" s="235"/>
      <c r="BB327" s="235"/>
      <c r="BC327" s="235"/>
      <c r="BD327" s="235"/>
      <c r="BE327" s="235"/>
      <c r="BF327" s="235"/>
      <c r="BG327" s="235"/>
      <c r="BH327" s="235"/>
      <c r="BI327" s="235"/>
      <c r="BJ327" s="235"/>
      <c r="BK327" s="235"/>
      <c r="BL327" s="235"/>
      <c r="BM327" s="235"/>
      <c r="BN327" s="235"/>
      <c r="BO327" s="235"/>
      <c r="BP327" s="235"/>
      <c r="BQ327" s="235"/>
      <c r="BR327" s="235"/>
      <c r="BS327" s="235"/>
      <c r="BT327" s="235"/>
      <c r="BU327" s="235"/>
      <c r="BV327" s="235"/>
      <c r="BW327" s="235"/>
      <c r="BX327" s="235"/>
      <c r="BY327" s="235"/>
      <c r="BZ327" s="235"/>
      <c r="CA327" s="235"/>
      <c r="CB327" s="235"/>
      <c r="CC327" s="235"/>
      <c r="CD327" s="235"/>
      <c r="CE327" s="235"/>
      <c r="CF327" s="235"/>
      <c r="CG327" s="235"/>
      <c r="CH327" s="235"/>
      <c r="CI327" s="235"/>
      <c r="CJ327" s="235"/>
      <c r="CK327" s="235"/>
      <c r="CL327" s="235"/>
      <c r="CM327" s="235"/>
      <c r="CN327" s="235"/>
      <c r="CO327" s="235"/>
      <c r="CP327" s="235"/>
      <c r="CQ327" s="235"/>
      <c r="CR327" s="235"/>
      <c r="CS327" s="235"/>
      <c r="CT327" s="235"/>
      <c r="CU327" s="235"/>
      <c r="CV327" s="235"/>
    </row>
    <row r="328" spans="1:100" x14ac:dyDescent="0.2">
      <c r="A328" s="236"/>
      <c r="B328" s="236"/>
      <c r="C328" s="237"/>
      <c r="D328" s="238"/>
      <c r="E328" s="235"/>
      <c r="F328" s="235"/>
      <c r="G328" s="235"/>
      <c r="H328" s="235"/>
      <c r="I328" s="235"/>
      <c r="J328" s="235"/>
      <c r="K328" s="235"/>
      <c r="L328" s="235"/>
      <c r="M328" s="235"/>
      <c r="N328" s="235"/>
      <c r="O328" s="235"/>
      <c r="P328" s="235"/>
      <c r="Q328" s="235"/>
      <c r="R328" s="235"/>
      <c r="S328" s="235"/>
      <c r="T328" s="235"/>
      <c r="U328" s="235"/>
      <c r="V328" s="235"/>
      <c r="W328" s="235"/>
      <c r="X328" s="235"/>
      <c r="Y328" s="235"/>
      <c r="Z328" s="235"/>
      <c r="AA328" s="235"/>
      <c r="AB328" s="235"/>
      <c r="AC328" s="235"/>
      <c r="AD328" s="235"/>
      <c r="AE328" s="235"/>
      <c r="AF328" s="235"/>
      <c r="AG328" s="235"/>
      <c r="AH328" s="235"/>
      <c r="AI328" s="235"/>
      <c r="AJ328" s="235"/>
      <c r="AK328" s="235"/>
      <c r="AL328" s="235"/>
      <c r="AM328" s="235"/>
      <c r="AN328" s="235"/>
      <c r="AO328" s="235"/>
      <c r="AP328" s="235"/>
      <c r="AQ328" s="235"/>
      <c r="AR328" s="235"/>
      <c r="AS328" s="235"/>
      <c r="AT328" s="235"/>
      <c r="AU328" s="235"/>
      <c r="AV328" s="235"/>
      <c r="AW328" s="235"/>
      <c r="AX328" s="235"/>
      <c r="AY328" s="235"/>
      <c r="AZ328" s="235"/>
      <c r="BA328" s="235"/>
      <c r="BB328" s="235"/>
      <c r="BC328" s="235"/>
      <c r="BD328" s="235"/>
      <c r="BE328" s="235"/>
      <c r="BF328" s="235"/>
      <c r="BG328" s="235"/>
      <c r="BH328" s="235"/>
      <c r="BI328" s="235"/>
      <c r="BJ328" s="235"/>
      <c r="BK328" s="235"/>
      <c r="BL328" s="235"/>
      <c r="BM328" s="235"/>
      <c r="BN328" s="235"/>
      <c r="BO328" s="235"/>
      <c r="BP328" s="235"/>
      <c r="BQ328" s="235"/>
      <c r="BR328" s="235"/>
      <c r="BS328" s="235"/>
      <c r="BT328" s="235"/>
      <c r="BU328" s="235"/>
      <c r="BV328" s="235"/>
      <c r="BW328" s="235"/>
      <c r="BX328" s="235"/>
      <c r="BY328" s="235"/>
      <c r="BZ328" s="235"/>
      <c r="CA328" s="235"/>
      <c r="CB328" s="235"/>
      <c r="CC328" s="235"/>
      <c r="CD328" s="235"/>
      <c r="CE328" s="235"/>
      <c r="CF328" s="235"/>
      <c r="CG328" s="235"/>
      <c r="CH328" s="235"/>
      <c r="CI328" s="235"/>
      <c r="CJ328" s="235"/>
      <c r="CK328" s="235"/>
      <c r="CL328" s="235"/>
      <c r="CM328" s="235"/>
      <c r="CN328" s="235"/>
      <c r="CO328" s="235"/>
      <c r="CP328" s="235"/>
      <c r="CQ328" s="235"/>
      <c r="CR328" s="235"/>
      <c r="CS328" s="235"/>
      <c r="CT328" s="235"/>
      <c r="CU328" s="235"/>
      <c r="CV328" s="235"/>
    </row>
    <row r="329" spans="1:100" x14ac:dyDescent="0.2">
      <c r="A329" s="236" t="s">
        <v>62</v>
      </c>
      <c r="B329" s="236"/>
      <c r="C329" s="237"/>
      <c r="D329" s="238"/>
      <c r="E329" s="235"/>
      <c r="F329" s="235"/>
      <c r="G329" s="235"/>
      <c r="H329" s="235"/>
      <c r="I329" s="235"/>
      <c r="J329" s="235"/>
      <c r="K329" s="235"/>
      <c r="L329" s="235"/>
      <c r="M329" s="235"/>
      <c r="N329" s="235"/>
      <c r="O329" s="235"/>
      <c r="P329" s="235"/>
      <c r="Q329" s="235"/>
      <c r="R329" s="235"/>
      <c r="S329" s="235"/>
      <c r="T329" s="235"/>
      <c r="U329" s="235"/>
      <c r="V329" s="235"/>
      <c r="W329" s="235"/>
      <c r="X329" s="235"/>
      <c r="Y329" s="235"/>
      <c r="Z329" s="235"/>
      <c r="AA329" s="235"/>
      <c r="AB329" s="235"/>
      <c r="AC329" s="235"/>
      <c r="AD329" s="235"/>
      <c r="AE329" s="235"/>
      <c r="AF329" s="235"/>
      <c r="AG329" s="235"/>
      <c r="AH329" s="235"/>
      <c r="AI329" s="235"/>
      <c r="AJ329" s="235"/>
      <c r="AK329" s="235"/>
      <c r="AL329" s="235"/>
      <c r="AM329" s="235"/>
      <c r="AN329" s="235"/>
      <c r="AO329" s="235"/>
      <c r="AP329" s="235"/>
      <c r="AQ329" s="235"/>
      <c r="AR329" s="235"/>
      <c r="AS329" s="235"/>
      <c r="AT329" s="235"/>
      <c r="AU329" s="235"/>
      <c r="AV329" s="235"/>
      <c r="AW329" s="235"/>
      <c r="AX329" s="235"/>
      <c r="AY329" s="235"/>
      <c r="AZ329" s="235"/>
      <c r="BA329" s="235"/>
      <c r="BB329" s="235"/>
      <c r="BC329" s="235"/>
      <c r="BD329" s="235"/>
      <c r="BE329" s="235"/>
      <c r="BF329" s="235"/>
      <c r="BG329" s="235"/>
      <c r="BH329" s="235"/>
      <c r="BI329" s="235"/>
      <c r="BJ329" s="235"/>
      <c r="BK329" s="235"/>
      <c r="BL329" s="235"/>
      <c r="BM329" s="235"/>
      <c r="BN329" s="235"/>
      <c r="BO329" s="235"/>
      <c r="BP329" s="235"/>
      <c r="BQ329" s="235"/>
      <c r="BR329" s="235"/>
      <c r="BS329" s="235"/>
      <c r="BT329" s="235"/>
      <c r="BU329" s="235"/>
      <c r="BV329" s="235"/>
      <c r="BW329" s="235"/>
      <c r="BX329" s="235"/>
      <c r="BY329" s="235"/>
      <c r="BZ329" s="235"/>
      <c r="CA329" s="235"/>
      <c r="CB329" s="235"/>
      <c r="CC329" s="235"/>
      <c r="CD329" s="235"/>
      <c r="CE329" s="235"/>
      <c r="CF329" s="235"/>
      <c r="CG329" s="235"/>
      <c r="CH329" s="235"/>
      <c r="CI329" s="235"/>
      <c r="CJ329" s="235"/>
      <c r="CK329" s="235"/>
      <c r="CL329" s="235"/>
      <c r="CM329" s="235"/>
      <c r="CN329" s="235"/>
      <c r="CO329" s="235"/>
      <c r="CP329" s="235"/>
      <c r="CQ329" s="235"/>
      <c r="CR329" s="235"/>
      <c r="CS329" s="235"/>
      <c r="CT329" s="235"/>
      <c r="CU329" s="235"/>
      <c r="CV329" s="235"/>
    </row>
    <row r="330" spans="1:100" x14ac:dyDescent="0.2"/>
    <row r="331" spans="1:100" x14ac:dyDescent="0.2"/>
    <row r="332" spans="1:100" x14ac:dyDescent="0.2"/>
    <row r="333" spans="1:100" x14ac:dyDescent="0.2"/>
    <row r="334" spans="1:100" x14ac:dyDescent="0.2"/>
    <row r="335" spans="1:100" x14ac:dyDescent="0.2"/>
    <row r="336" spans="1:100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9" x14ac:dyDescent="0.2"/>
    <row r="350" x14ac:dyDescent="0.2"/>
    <row r="351" x14ac:dyDescent="0.2"/>
    <row r="352" x14ac:dyDescent="0.2"/>
    <row r="356" x14ac:dyDescent="0.2"/>
    <row r="357" x14ac:dyDescent="0.2"/>
    <row r="358" x14ac:dyDescent="0.2"/>
    <row r="359" x14ac:dyDescent="0.2"/>
    <row r="360" x14ac:dyDescent="0.2"/>
    <row r="365" x14ac:dyDescent="0.2"/>
    <row r="366" x14ac:dyDescent="0.2"/>
    <row r="372" x14ac:dyDescent="0.2"/>
    <row r="373" x14ac:dyDescent="0.2"/>
    <row r="374" x14ac:dyDescent="0.2"/>
    <row r="375" x14ac:dyDescent="0.2"/>
    <row r="388" x14ac:dyDescent="0.2"/>
    <row r="397" x14ac:dyDescent="0.2"/>
    <row r="398" x14ac:dyDescent="0.2"/>
    <row r="404" x14ac:dyDescent="0.2"/>
    <row r="405" x14ac:dyDescent="0.2"/>
    <row r="406" x14ac:dyDescent="0.2"/>
    <row r="407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</sheetData>
  <conditionalFormatting sqref="J3:CV3">
    <cfRule type="cellIs" dxfId="180" priority="8" stopIfTrue="1" operator="equal">
      <formula>"Construction"</formula>
    </cfRule>
    <cfRule type="cellIs" dxfId="179" priority="9" stopIfTrue="1" operator="equal">
      <formula>"Operations"</formula>
    </cfRule>
  </conditionalFormatting>
  <conditionalFormatting sqref="J3:CV3">
    <cfRule type="cellIs" dxfId="178" priority="7" operator="equal">
      <formula>"Fin Close"</formula>
    </cfRule>
  </conditionalFormatting>
  <conditionalFormatting sqref="J3:CV3">
    <cfRule type="cellIs" dxfId="177" priority="5" operator="equal">
      <formula>"PPA ext."</formula>
    </cfRule>
    <cfRule type="cellIs" dxfId="176" priority="6" operator="equal">
      <formula>"Delay"</formula>
    </cfRule>
  </conditionalFormatting>
  <conditionalFormatting sqref="F2:F4">
    <cfRule type="cellIs" dxfId="175" priority="1" stopIfTrue="1" operator="notEqual">
      <formula>0</formula>
    </cfRule>
    <cfRule type="cellIs" dxfId="174" priority="2" stopIfTrue="1" operator="equal">
      <formula>""</formula>
    </cfRule>
  </conditionalFormatting>
  <conditionalFormatting sqref="F2:F4">
    <cfRule type="cellIs" dxfId="173" priority="3" stopIfTrue="1" operator="notEqual">
      <formula>0</formula>
    </cfRule>
    <cfRule type="cellIs" dxfId="172" priority="4" stopIfTrue="1" operator="equal">
      <formula>""</formula>
    </cfRule>
  </conditionalFormatting>
  <dataValidations count="1">
    <dataValidation allowBlank="1" showInputMessage="1" showErrorMessage="1" sqref="E10:H10 E15:H16 E86:H89 E112:H112 E160:H160 E210:H210 E95:H97 E185:H185 E145:H145 E41:H42 E46:G46 E52:G52 E44:H44 E65:H67 E28:H31 E81:H82 E125:H125 E118:H118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46"/>
  <sheetViews>
    <sheetView showGridLines="0"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E19" sqref="E19"/>
    </sheetView>
  </sheetViews>
  <sheetFormatPr defaultColWidth="0" defaultRowHeight="12.75" zeroHeight="1" outlineLevelRow="1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Acct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/>
    <row r="7" spans="1:100" x14ac:dyDescent="0.2">
      <c r="A7" s="15" t="s">
        <v>143</v>
      </c>
    </row>
    <row r="8" spans="1:100" outlineLevel="1" x14ac:dyDescent="0.2"/>
    <row r="9" spans="1:100" outlineLevel="1" x14ac:dyDescent="0.2">
      <c r="E9" s="145" t="str">
        <f xml:space="preserve"> ConCost!E$90</f>
        <v>Sum of construction costs - m</v>
      </c>
      <c r="F9" s="145">
        <f xml:space="preserve"> ConCost!F$90</f>
        <v>309322.30771999987</v>
      </c>
      <c r="G9" s="145" t="str">
        <f xml:space="preserve"> ConCost!G$90</f>
        <v>$ 000s</v>
      </c>
      <c r="H9" s="38"/>
    </row>
    <row r="10" spans="1:100" outlineLevel="1" x14ac:dyDescent="0.2">
      <c r="E10" s="186" t="str">
        <f xml:space="preserve"> ConCost!E$229</f>
        <v>Total early generation profit credited to WIP</v>
      </c>
      <c r="F10" s="186">
        <f xml:space="preserve"> ConCost!F$229</f>
        <v>13930</v>
      </c>
      <c r="G10" s="186" t="str">
        <f xml:space="preserve"> ConCost!G$229</f>
        <v>$ 000s</v>
      </c>
    </row>
    <row r="11" spans="1:100" s="188" customFormat="1" outlineLevel="1" x14ac:dyDescent="0.2">
      <c r="A11" s="141"/>
      <c r="B11" s="141"/>
      <c r="C11" s="142"/>
      <c r="D11" s="143"/>
      <c r="E11" s="187" t="s">
        <v>747</v>
      </c>
      <c r="F11" s="187">
        <f xml:space="preserve"> F9 - F10</f>
        <v>295392.30771999987</v>
      </c>
      <c r="G11" s="187" t="str">
        <f xml:space="preserve"> SMU</f>
        <v>$ 000s</v>
      </c>
      <c r="H11" s="187"/>
      <c r="I11" s="144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</row>
    <row r="12" spans="1:100" outlineLevel="1" x14ac:dyDescent="0.2"/>
    <row r="13" spans="1:100" outlineLevel="1" x14ac:dyDescent="0.2">
      <c r="E13" s="38" t="str">
        <f t="shared" ref="E13:G13" si="0" xml:space="preserve"> E$11</f>
        <v>Depreciable construction costs</v>
      </c>
      <c r="F13" s="38">
        <f t="shared" si="0"/>
        <v>295392.30771999987</v>
      </c>
      <c r="G13" s="38" t="str">
        <f t="shared" si="0"/>
        <v>$ 000s</v>
      </c>
      <c r="H13" s="38"/>
    </row>
    <row r="14" spans="1:100" outlineLevel="1" x14ac:dyDescent="0.2">
      <c r="E14" s="390" t="str">
        <f xml:space="preserve"> InpC!E$394</f>
        <v>Useful life of solar asset</v>
      </c>
      <c r="F14" s="390">
        <f xml:space="preserve"> InpC!F$394</f>
        <v>20</v>
      </c>
      <c r="G14" s="390" t="str">
        <f xml:space="preserve"> InpC!G$394</f>
        <v>years</v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outlineLevel="1" x14ac:dyDescent="0.2">
      <c r="E15" s="396" t="str">
        <f xml:space="preserve"> InpC!E$415</f>
        <v>Number of periods in a year</v>
      </c>
      <c r="F15" s="396">
        <f xml:space="preserve"> InpC!F$415</f>
        <v>2</v>
      </c>
      <c r="G15" s="396" t="str">
        <f xml:space="preserve"> InpC!G$415</f>
        <v>periods</v>
      </c>
    </row>
    <row r="16" spans="1:100" outlineLevel="1" x14ac:dyDescent="0.2">
      <c r="E16" s="189" t="str">
        <f xml:space="preserve"> Time!E$124</f>
        <v>Useful life of solar asset flag</v>
      </c>
      <c r="F16" s="189">
        <f xml:space="preserve"> Time!F$124</f>
        <v>0</v>
      </c>
      <c r="G16" s="189" t="str">
        <f xml:space="preserve"> Time!G$124</f>
        <v>flag</v>
      </c>
      <c r="H16" s="189">
        <f xml:space="preserve"> Time!H$124</f>
        <v>40</v>
      </c>
      <c r="I16" s="189">
        <f xml:space="preserve"> Time!I$124</f>
        <v>0</v>
      </c>
      <c r="J16" s="189">
        <f xml:space="preserve"> Time!J$124</f>
        <v>0</v>
      </c>
      <c r="K16" s="189">
        <f xml:space="preserve"> Time!K$124</f>
        <v>0</v>
      </c>
      <c r="L16" s="189">
        <f xml:space="preserve"> Time!L$124</f>
        <v>0</v>
      </c>
      <c r="M16" s="189">
        <f xml:space="preserve"> Time!M$124</f>
        <v>0</v>
      </c>
      <c r="N16" s="189">
        <f xml:space="preserve"> Time!N$124</f>
        <v>0</v>
      </c>
      <c r="O16" s="189">
        <f xml:space="preserve"> Time!O$124</f>
        <v>1</v>
      </c>
      <c r="P16" s="189">
        <f xml:space="preserve"> Time!P$124</f>
        <v>1</v>
      </c>
      <c r="Q16" s="189">
        <f xml:space="preserve"> Time!Q$124</f>
        <v>1</v>
      </c>
      <c r="R16" s="189">
        <f xml:space="preserve"> Time!R$124</f>
        <v>1</v>
      </c>
      <c r="S16" s="189">
        <f xml:space="preserve"> Time!S$124</f>
        <v>1</v>
      </c>
      <c r="T16" s="189">
        <f xml:space="preserve"> Time!T$124</f>
        <v>1</v>
      </c>
      <c r="U16" s="189">
        <f xml:space="preserve"> Time!U$124</f>
        <v>1</v>
      </c>
      <c r="V16" s="189">
        <f xml:space="preserve"> Time!V$124</f>
        <v>1</v>
      </c>
      <c r="W16" s="189">
        <f xml:space="preserve"> Time!W$124</f>
        <v>1</v>
      </c>
      <c r="X16" s="189">
        <f xml:space="preserve"> Time!X$124</f>
        <v>1</v>
      </c>
      <c r="Y16" s="189">
        <f xml:space="preserve"> Time!Y$124</f>
        <v>1</v>
      </c>
      <c r="Z16" s="189">
        <f xml:space="preserve"> Time!Z$124</f>
        <v>1</v>
      </c>
      <c r="AA16" s="189">
        <f xml:space="preserve"> Time!AA$124</f>
        <v>1</v>
      </c>
      <c r="AB16" s="189">
        <f xml:space="preserve"> Time!AB$124</f>
        <v>1</v>
      </c>
      <c r="AC16" s="189">
        <f xml:space="preserve"> Time!AC$124</f>
        <v>1</v>
      </c>
      <c r="AD16" s="189">
        <f xml:space="preserve"> Time!AD$124</f>
        <v>1</v>
      </c>
      <c r="AE16" s="189">
        <f xml:space="preserve"> Time!AE$124</f>
        <v>1</v>
      </c>
      <c r="AF16" s="189">
        <f xml:space="preserve"> Time!AF$124</f>
        <v>1</v>
      </c>
      <c r="AG16" s="189">
        <f xml:space="preserve"> Time!AG$124</f>
        <v>1</v>
      </c>
      <c r="AH16" s="189">
        <f xml:space="preserve"> Time!AH$124</f>
        <v>1</v>
      </c>
      <c r="AI16" s="189">
        <f xml:space="preserve"> Time!AI$124</f>
        <v>1</v>
      </c>
      <c r="AJ16" s="189">
        <f xml:space="preserve"> Time!AJ$124</f>
        <v>1</v>
      </c>
      <c r="AK16" s="189">
        <f xml:space="preserve"> Time!AK$124</f>
        <v>1</v>
      </c>
      <c r="AL16" s="189">
        <f xml:space="preserve"> Time!AL$124</f>
        <v>1</v>
      </c>
      <c r="AM16" s="189">
        <f xml:space="preserve"> Time!AM$124</f>
        <v>1</v>
      </c>
      <c r="AN16" s="189">
        <f xml:space="preserve"> Time!AN$124</f>
        <v>1</v>
      </c>
      <c r="AO16" s="189">
        <f xml:space="preserve"> Time!AO$124</f>
        <v>1</v>
      </c>
      <c r="AP16" s="189">
        <f xml:space="preserve"> Time!AP$124</f>
        <v>1</v>
      </c>
      <c r="AQ16" s="189">
        <f xml:space="preserve"> Time!AQ$124</f>
        <v>1</v>
      </c>
      <c r="AR16" s="189">
        <f xml:space="preserve"> Time!AR$124</f>
        <v>1</v>
      </c>
      <c r="AS16" s="189">
        <f xml:space="preserve"> Time!AS$124</f>
        <v>1</v>
      </c>
      <c r="AT16" s="189">
        <f xml:space="preserve"> Time!AT$124</f>
        <v>1</v>
      </c>
      <c r="AU16" s="189">
        <f xml:space="preserve"> Time!AU$124</f>
        <v>1</v>
      </c>
      <c r="AV16" s="189">
        <f xml:space="preserve"> Time!AV$124</f>
        <v>1</v>
      </c>
      <c r="AW16" s="189">
        <f xml:space="preserve"> Time!AW$124</f>
        <v>1</v>
      </c>
      <c r="AX16" s="189">
        <f xml:space="preserve"> Time!AX$124</f>
        <v>1</v>
      </c>
      <c r="AY16" s="189">
        <f xml:space="preserve"> Time!AY$124</f>
        <v>1</v>
      </c>
      <c r="AZ16" s="189">
        <f xml:space="preserve"> Time!AZ$124</f>
        <v>1</v>
      </c>
      <c r="BA16" s="189">
        <f xml:space="preserve"> Time!BA$124</f>
        <v>1</v>
      </c>
      <c r="BB16" s="189">
        <f xml:space="preserve"> Time!BB$124</f>
        <v>1</v>
      </c>
      <c r="BC16" s="189">
        <f xml:space="preserve"> Time!BC$124</f>
        <v>0</v>
      </c>
      <c r="BD16" s="189">
        <f xml:space="preserve"> Time!BD$124</f>
        <v>0</v>
      </c>
      <c r="BE16" s="189">
        <f xml:space="preserve"> Time!BE$124</f>
        <v>0</v>
      </c>
      <c r="BF16" s="189">
        <f xml:space="preserve"> Time!BF$124</f>
        <v>0</v>
      </c>
      <c r="BG16" s="189">
        <f xml:space="preserve"> Time!BG$124</f>
        <v>0</v>
      </c>
      <c r="BH16" s="189">
        <f xml:space="preserve"> Time!BH$124</f>
        <v>0</v>
      </c>
      <c r="BI16" s="189">
        <f xml:space="preserve"> Time!BI$124</f>
        <v>0</v>
      </c>
      <c r="BJ16" s="189">
        <f xml:space="preserve"> Time!BJ$124</f>
        <v>0</v>
      </c>
      <c r="BK16" s="189">
        <f xml:space="preserve"> Time!BK$124</f>
        <v>0</v>
      </c>
      <c r="BL16" s="189">
        <f xml:space="preserve"> Time!BL$124</f>
        <v>0</v>
      </c>
      <c r="BM16" s="189">
        <f xml:space="preserve"> Time!BM$124</f>
        <v>0</v>
      </c>
      <c r="BN16" s="189">
        <f xml:space="preserve"> Time!BN$124</f>
        <v>0</v>
      </c>
      <c r="BO16" s="189">
        <f xml:space="preserve"> Time!BO$124</f>
        <v>0</v>
      </c>
      <c r="BP16" s="189">
        <f xml:space="preserve"> Time!BP$124</f>
        <v>0</v>
      </c>
      <c r="BQ16" s="189">
        <f xml:space="preserve"> Time!BQ$124</f>
        <v>0</v>
      </c>
      <c r="BR16" s="189">
        <f xml:space="preserve"> Time!BR$124</f>
        <v>0</v>
      </c>
      <c r="BS16" s="189">
        <f xml:space="preserve"> Time!BS$124</f>
        <v>0</v>
      </c>
      <c r="BT16" s="189">
        <f xml:space="preserve"> Time!BT$124</f>
        <v>0</v>
      </c>
      <c r="BU16" s="189">
        <f xml:space="preserve"> Time!BU$124</f>
        <v>0</v>
      </c>
      <c r="BV16" s="189">
        <f xml:space="preserve"> Time!BV$124</f>
        <v>0</v>
      </c>
      <c r="BW16" s="189">
        <f xml:space="preserve"> Time!BW$124</f>
        <v>0</v>
      </c>
      <c r="BX16" s="189">
        <f xml:space="preserve"> Time!BX$124</f>
        <v>0</v>
      </c>
      <c r="BY16" s="189">
        <f xml:space="preserve"> Time!BY$124</f>
        <v>0</v>
      </c>
      <c r="BZ16" s="189">
        <f xml:space="preserve"> Time!BZ$124</f>
        <v>0</v>
      </c>
      <c r="CA16" s="189">
        <f xml:space="preserve"> Time!CA$124</f>
        <v>0</v>
      </c>
      <c r="CB16" s="189">
        <f xml:space="preserve"> Time!CB$124</f>
        <v>0</v>
      </c>
      <c r="CC16" s="189">
        <f xml:space="preserve"> Time!CC$124</f>
        <v>0</v>
      </c>
      <c r="CD16" s="189">
        <f xml:space="preserve"> Time!CD$124</f>
        <v>0</v>
      </c>
      <c r="CE16" s="189">
        <f xml:space="preserve"> Time!CE$124</f>
        <v>0</v>
      </c>
      <c r="CF16" s="189">
        <f xml:space="preserve"> Time!CF$124</f>
        <v>0</v>
      </c>
      <c r="CG16" s="189">
        <f xml:space="preserve"> Time!CG$124</f>
        <v>0</v>
      </c>
      <c r="CH16" s="189">
        <f xml:space="preserve"> Time!CH$124</f>
        <v>0</v>
      </c>
      <c r="CI16" s="189">
        <f xml:space="preserve"> Time!CI$124</f>
        <v>0</v>
      </c>
      <c r="CJ16" s="189">
        <f xml:space="preserve"> Time!CJ$124</f>
        <v>0</v>
      </c>
      <c r="CK16" s="189">
        <f xml:space="preserve"> Time!CK$124</f>
        <v>0</v>
      </c>
      <c r="CL16" s="189">
        <f xml:space="preserve"> Time!CL$124</f>
        <v>0</v>
      </c>
      <c r="CM16" s="189">
        <f xml:space="preserve"> Time!CM$124</f>
        <v>0</v>
      </c>
      <c r="CN16" s="189">
        <f xml:space="preserve"> Time!CN$124</f>
        <v>0</v>
      </c>
      <c r="CO16" s="189">
        <f xml:space="preserve"> Time!CO$124</f>
        <v>0</v>
      </c>
      <c r="CP16" s="189">
        <f xml:space="preserve"> Time!CP$124</f>
        <v>0</v>
      </c>
      <c r="CQ16" s="189">
        <f xml:space="preserve"> Time!CQ$124</f>
        <v>0</v>
      </c>
      <c r="CR16" s="189">
        <f xml:space="preserve"> Time!CR$124</f>
        <v>0</v>
      </c>
      <c r="CS16" s="189">
        <f xml:space="preserve"> Time!CS$124</f>
        <v>0</v>
      </c>
      <c r="CT16" s="189">
        <f xml:space="preserve"> Time!CT$124</f>
        <v>0</v>
      </c>
      <c r="CU16" s="189">
        <f xml:space="preserve"> Time!CU$124</f>
        <v>0</v>
      </c>
      <c r="CV16" s="189">
        <f xml:space="preserve"> Time!CV$124</f>
        <v>0</v>
      </c>
    </row>
    <row r="17" spans="1:100" s="1141" customFormat="1" outlineLevel="1" x14ac:dyDescent="0.2">
      <c r="A17" s="141"/>
      <c r="B17" s="141"/>
      <c r="C17" s="142"/>
      <c r="D17" s="143"/>
      <c r="E17" s="187" t="s">
        <v>1304</v>
      </c>
      <c r="F17" s="187"/>
      <c r="G17" s="187" t="str">
        <f xml:space="preserve"> SMU</f>
        <v>$ 000s</v>
      </c>
      <c r="H17" s="187">
        <f xml:space="preserve"> SUM(J17:CV17)</f>
        <v>295392.30772000016</v>
      </c>
      <c r="I17" s="144"/>
      <c r="J17" s="187">
        <f xml:space="preserve"> $F13 / $F14 / $F15 * J16</f>
        <v>0</v>
      </c>
      <c r="K17" s="187">
        <f t="shared" ref="K17:BV17" si="1" xml:space="preserve"> $F13 / $F14 / $F15 * K16</f>
        <v>0</v>
      </c>
      <c r="L17" s="187">
        <f t="shared" si="1"/>
        <v>0</v>
      </c>
      <c r="M17" s="187">
        <f t="shared" si="1"/>
        <v>0</v>
      </c>
      <c r="N17" s="187">
        <f t="shared" si="1"/>
        <v>0</v>
      </c>
      <c r="O17" s="187">
        <f t="shared" si="1"/>
        <v>7384.807692999997</v>
      </c>
      <c r="P17" s="187">
        <f t="shared" si="1"/>
        <v>7384.807692999997</v>
      </c>
      <c r="Q17" s="187">
        <f t="shared" si="1"/>
        <v>7384.807692999997</v>
      </c>
      <c r="R17" s="187">
        <f t="shared" si="1"/>
        <v>7384.807692999997</v>
      </c>
      <c r="S17" s="187">
        <f t="shared" si="1"/>
        <v>7384.807692999997</v>
      </c>
      <c r="T17" s="187">
        <f t="shared" si="1"/>
        <v>7384.807692999997</v>
      </c>
      <c r="U17" s="187">
        <f t="shared" si="1"/>
        <v>7384.807692999997</v>
      </c>
      <c r="V17" s="187">
        <f t="shared" si="1"/>
        <v>7384.807692999997</v>
      </c>
      <c r="W17" s="187">
        <f t="shared" si="1"/>
        <v>7384.807692999997</v>
      </c>
      <c r="X17" s="187">
        <f t="shared" si="1"/>
        <v>7384.807692999997</v>
      </c>
      <c r="Y17" s="187">
        <f t="shared" si="1"/>
        <v>7384.807692999997</v>
      </c>
      <c r="Z17" s="187">
        <f t="shared" si="1"/>
        <v>7384.807692999997</v>
      </c>
      <c r="AA17" s="187">
        <f t="shared" si="1"/>
        <v>7384.807692999997</v>
      </c>
      <c r="AB17" s="187">
        <f t="shared" si="1"/>
        <v>7384.807692999997</v>
      </c>
      <c r="AC17" s="187">
        <f t="shared" si="1"/>
        <v>7384.807692999997</v>
      </c>
      <c r="AD17" s="187">
        <f t="shared" si="1"/>
        <v>7384.807692999997</v>
      </c>
      <c r="AE17" s="187">
        <f t="shared" si="1"/>
        <v>7384.807692999997</v>
      </c>
      <c r="AF17" s="187">
        <f t="shared" si="1"/>
        <v>7384.807692999997</v>
      </c>
      <c r="AG17" s="187">
        <f t="shared" si="1"/>
        <v>7384.807692999997</v>
      </c>
      <c r="AH17" s="187">
        <f t="shared" si="1"/>
        <v>7384.807692999997</v>
      </c>
      <c r="AI17" s="187">
        <f t="shared" si="1"/>
        <v>7384.807692999997</v>
      </c>
      <c r="AJ17" s="187">
        <f t="shared" si="1"/>
        <v>7384.807692999997</v>
      </c>
      <c r="AK17" s="187">
        <f t="shared" si="1"/>
        <v>7384.807692999997</v>
      </c>
      <c r="AL17" s="187">
        <f t="shared" si="1"/>
        <v>7384.807692999997</v>
      </c>
      <c r="AM17" s="187">
        <f t="shared" si="1"/>
        <v>7384.807692999997</v>
      </c>
      <c r="AN17" s="187">
        <f t="shared" si="1"/>
        <v>7384.807692999997</v>
      </c>
      <c r="AO17" s="187">
        <f t="shared" si="1"/>
        <v>7384.807692999997</v>
      </c>
      <c r="AP17" s="187">
        <f t="shared" si="1"/>
        <v>7384.807692999997</v>
      </c>
      <c r="AQ17" s="187">
        <f t="shared" si="1"/>
        <v>7384.807692999997</v>
      </c>
      <c r="AR17" s="187">
        <f t="shared" si="1"/>
        <v>7384.807692999997</v>
      </c>
      <c r="AS17" s="187">
        <f t="shared" si="1"/>
        <v>7384.807692999997</v>
      </c>
      <c r="AT17" s="187">
        <f t="shared" si="1"/>
        <v>7384.807692999997</v>
      </c>
      <c r="AU17" s="187">
        <f t="shared" si="1"/>
        <v>7384.807692999997</v>
      </c>
      <c r="AV17" s="187">
        <f t="shared" si="1"/>
        <v>7384.807692999997</v>
      </c>
      <c r="AW17" s="187">
        <f t="shared" si="1"/>
        <v>7384.807692999997</v>
      </c>
      <c r="AX17" s="187">
        <f t="shared" si="1"/>
        <v>7384.807692999997</v>
      </c>
      <c r="AY17" s="187">
        <f t="shared" si="1"/>
        <v>7384.807692999997</v>
      </c>
      <c r="AZ17" s="187">
        <f t="shared" si="1"/>
        <v>7384.807692999997</v>
      </c>
      <c r="BA17" s="187">
        <f t="shared" si="1"/>
        <v>7384.807692999997</v>
      </c>
      <c r="BB17" s="187">
        <f t="shared" si="1"/>
        <v>7384.807692999997</v>
      </c>
      <c r="BC17" s="187">
        <f t="shared" si="1"/>
        <v>0</v>
      </c>
      <c r="BD17" s="187">
        <f t="shared" si="1"/>
        <v>0</v>
      </c>
      <c r="BE17" s="187">
        <f t="shared" si="1"/>
        <v>0</v>
      </c>
      <c r="BF17" s="187">
        <f t="shared" si="1"/>
        <v>0</v>
      </c>
      <c r="BG17" s="187">
        <f t="shared" si="1"/>
        <v>0</v>
      </c>
      <c r="BH17" s="187">
        <f t="shared" si="1"/>
        <v>0</v>
      </c>
      <c r="BI17" s="187">
        <f t="shared" si="1"/>
        <v>0</v>
      </c>
      <c r="BJ17" s="187">
        <f t="shared" si="1"/>
        <v>0</v>
      </c>
      <c r="BK17" s="187">
        <f t="shared" si="1"/>
        <v>0</v>
      </c>
      <c r="BL17" s="187">
        <f t="shared" si="1"/>
        <v>0</v>
      </c>
      <c r="BM17" s="187">
        <f t="shared" si="1"/>
        <v>0</v>
      </c>
      <c r="BN17" s="187">
        <f t="shared" si="1"/>
        <v>0</v>
      </c>
      <c r="BO17" s="187">
        <f t="shared" si="1"/>
        <v>0</v>
      </c>
      <c r="BP17" s="187">
        <f t="shared" si="1"/>
        <v>0</v>
      </c>
      <c r="BQ17" s="187">
        <f t="shared" si="1"/>
        <v>0</v>
      </c>
      <c r="BR17" s="187">
        <f t="shared" si="1"/>
        <v>0</v>
      </c>
      <c r="BS17" s="187">
        <f t="shared" si="1"/>
        <v>0</v>
      </c>
      <c r="BT17" s="187">
        <f t="shared" si="1"/>
        <v>0</v>
      </c>
      <c r="BU17" s="187">
        <f t="shared" si="1"/>
        <v>0</v>
      </c>
      <c r="BV17" s="187">
        <f t="shared" si="1"/>
        <v>0</v>
      </c>
      <c r="BW17" s="187">
        <f t="shared" ref="BW17:CV17" si="2" xml:space="preserve"> $F13 / $F14 / $F15 * BW16</f>
        <v>0</v>
      </c>
      <c r="BX17" s="187">
        <f t="shared" si="2"/>
        <v>0</v>
      </c>
      <c r="BY17" s="187">
        <f t="shared" si="2"/>
        <v>0</v>
      </c>
      <c r="BZ17" s="187">
        <f t="shared" si="2"/>
        <v>0</v>
      </c>
      <c r="CA17" s="187">
        <f t="shared" si="2"/>
        <v>0</v>
      </c>
      <c r="CB17" s="187">
        <f t="shared" si="2"/>
        <v>0</v>
      </c>
      <c r="CC17" s="187">
        <f t="shared" si="2"/>
        <v>0</v>
      </c>
      <c r="CD17" s="187">
        <f t="shared" si="2"/>
        <v>0</v>
      </c>
      <c r="CE17" s="187">
        <f t="shared" si="2"/>
        <v>0</v>
      </c>
      <c r="CF17" s="187">
        <f t="shared" si="2"/>
        <v>0</v>
      </c>
      <c r="CG17" s="187">
        <f t="shared" si="2"/>
        <v>0</v>
      </c>
      <c r="CH17" s="187">
        <f t="shared" si="2"/>
        <v>0</v>
      </c>
      <c r="CI17" s="187">
        <f t="shared" si="2"/>
        <v>0</v>
      </c>
      <c r="CJ17" s="187">
        <f t="shared" si="2"/>
        <v>0</v>
      </c>
      <c r="CK17" s="187">
        <f t="shared" si="2"/>
        <v>0</v>
      </c>
      <c r="CL17" s="187">
        <f t="shared" si="2"/>
        <v>0</v>
      </c>
      <c r="CM17" s="187">
        <f t="shared" si="2"/>
        <v>0</v>
      </c>
      <c r="CN17" s="187">
        <f t="shared" si="2"/>
        <v>0</v>
      </c>
      <c r="CO17" s="187">
        <f t="shared" si="2"/>
        <v>0</v>
      </c>
      <c r="CP17" s="187">
        <f t="shared" si="2"/>
        <v>0</v>
      </c>
      <c r="CQ17" s="187">
        <f t="shared" si="2"/>
        <v>0</v>
      </c>
      <c r="CR17" s="187">
        <f t="shared" si="2"/>
        <v>0</v>
      </c>
      <c r="CS17" s="187">
        <f t="shared" si="2"/>
        <v>0</v>
      </c>
      <c r="CT17" s="187">
        <f t="shared" si="2"/>
        <v>0</v>
      </c>
      <c r="CU17" s="187">
        <f t="shared" si="2"/>
        <v>0</v>
      </c>
      <c r="CV17" s="187">
        <f t="shared" si="2"/>
        <v>0</v>
      </c>
    </row>
    <row r="18" spans="1:100" outlineLevel="1" x14ac:dyDescent="0.2">
      <c r="A18" s="141"/>
      <c r="B18" s="141"/>
      <c r="C18" s="142"/>
      <c r="D18" s="143"/>
      <c r="E18" s="187" t="str">
        <f xml:space="preserve"> LEFT(E17, LEN(E17) - 4)</f>
        <v>Fixed asset depreciation</v>
      </c>
      <c r="F18" s="187"/>
      <c r="G18" s="187" t="str">
        <f xml:space="preserve"> SMU</f>
        <v>$ 000s</v>
      </c>
      <c r="H18" s="187">
        <f xml:space="preserve"> SUM(J18:CV18)</f>
        <v>-295392.30772000016</v>
      </c>
      <c r="I18" s="144"/>
      <c r="J18" s="187">
        <f t="shared" ref="J18:BU18" si="3" xml:space="preserve"> -1 * J17</f>
        <v>0</v>
      </c>
      <c r="K18" s="187">
        <f t="shared" si="3"/>
        <v>0</v>
      </c>
      <c r="L18" s="187">
        <f t="shared" si="3"/>
        <v>0</v>
      </c>
      <c r="M18" s="187">
        <f t="shared" si="3"/>
        <v>0</v>
      </c>
      <c r="N18" s="187">
        <f t="shared" si="3"/>
        <v>0</v>
      </c>
      <c r="O18" s="187">
        <f t="shared" si="3"/>
        <v>-7384.807692999997</v>
      </c>
      <c r="P18" s="187">
        <f t="shared" si="3"/>
        <v>-7384.807692999997</v>
      </c>
      <c r="Q18" s="187">
        <f t="shared" si="3"/>
        <v>-7384.807692999997</v>
      </c>
      <c r="R18" s="187">
        <f t="shared" si="3"/>
        <v>-7384.807692999997</v>
      </c>
      <c r="S18" s="187">
        <f t="shared" si="3"/>
        <v>-7384.807692999997</v>
      </c>
      <c r="T18" s="187">
        <f t="shared" si="3"/>
        <v>-7384.807692999997</v>
      </c>
      <c r="U18" s="187">
        <f t="shared" si="3"/>
        <v>-7384.807692999997</v>
      </c>
      <c r="V18" s="187">
        <f t="shared" si="3"/>
        <v>-7384.807692999997</v>
      </c>
      <c r="W18" s="187">
        <f t="shared" si="3"/>
        <v>-7384.807692999997</v>
      </c>
      <c r="X18" s="187">
        <f t="shared" si="3"/>
        <v>-7384.807692999997</v>
      </c>
      <c r="Y18" s="187">
        <f t="shared" si="3"/>
        <v>-7384.807692999997</v>
      </c>
      <c r="Z18" s="187">
        <f t="shared" si="3"/>
        <v>-7384.807692999997</v>
      </c>
      <c r="AA18" s="187">
        <f t="shared" si="3"/>
        <v>-7384.807692999997</v>
      </c>
      <c r="AB18" s="187">
        <f t="shared" si="3"/>
        <v>-7384.807692999997</v>
      </c>
      <c r="AC18" s="187">
        <f t="shared" si="3"/>
        <v>-7384.807692999997</v>
      </c>
      <c r="AD18" s="187">
        <f t="shared" si="3"/>
        <v>-7384.807692999997</v>
      </c>
      <c r="AE18" s="187">
        <f t="shared" si="3"/>
        <v>-7384.807692999997</v>
      </c>
      <c r="AF18" s="187">
        <f t="shared" si="3"/>
        <v>-7384.807692999997</v>
      </c>
      <c r="AG18" s="187">
        <f t="shared" si="3"/>
        <v>-7384.807692999997</v>
      </c>
      <c r="AH18" s="187">
        <f t="shared" si="3"/>
        <v>-7384.807692999997</v>
      </c>
      <c r="AI18" s="187">
        <f t="shared" si="3"/>
        <v>-7384.807692999997</v>
      </c>
      <c r="AJ18" s="187">
        <f t="shared" si="3"/>
        <v>-7384.807692999997</v>
      </c>
      <c r="AK18" s="187">
        <f t="shared" si="3"/>
        <v>-7384.807692999997</v>
      </c>
      <c r="AL18" s="187">
        <f t="shared" si="3"/>
        <v>-7384.807692999997</v>
      </c>
      <c r="AM18" s="187">
        <f t="shared" si="3"/>
        <v>-7384.807692999997</v>
      </c>
      <c r="AN18" s="187">
        <f t="shared" si="3"/>
        <v>-7384.807692999997</v>
      </c>
      <c r="AO18" s="187">
        <f t="shared" si="3"/>
        <v>-7384.807692999997</v>
      </c>
      <c r="AP18" s="187">
        <f t="shared" si="3"/>
        <v>-7384.807692999997</v>
      </c>
      <c r="AQ18" s="187">
        <f t="shared" si="3"/>
        <v>-7384.807692999997</v>
      </c>
      <c r="AR18" s="187">
        <f t="shared" si="3"/>
        <v>-7384.807692999997</v>
      </c>
      <c r="AS18" s="187">
        <f t="shared" si="3"/>
        <v>-7384.807692999997</v>
      </c>
      <c r="AT18" s="187">
        <f t="shared" si="3"/>
        <v>-7384.807692999997</v>
      </c>
      <c r="AU18" s="187">
        <f t="shared" si="3"/>
        <v>-7384.807692999997</v>
      </c>
      <c r="AV18" s="187">
        <f t="shared" si="3"/>
        <v>-7384.807692999997</v>
      </c>
      <c r="AW18" s="187">
        <f t="shared" si="3"/>
        <v>-7384.807692999997</v>
      </c>
      <c r="AX18" s="187">
        <f t="shared" si="3"/>
        <v>-7384.807692999997</v>
      </c>
      <c r="AY18" s="187">
        <f t="shared" si="3"/>
        <v>-7384.807692999997</v>
      </c>
      <c r="AZ18" s="187">
        <f t="shared" si="3"/>
        <v>-7384.807692999997</v>
      </c>
      <c r="BA18" s="187">
        <f t="shared" si="3"/>
        <v>-7384.807692999997</v>
      </c>
      <c r="BB18" s="187">
        <f t="shared" si="3"/>
        <v>-7384.807692999997</v>
      </c>
      <c r="BC18" s="187">
        <f t="shared" si="3"/>
        <v>0</v>
      </c>
      <c r="BD18" s="187">
        <f t="shared" si="3"/>
        <v>0</v>
      </c>
      <c r="BE18" s="187">
        <f t="shared" si="3"/>
        <v>0</v>
      </c>
      <c r="BF18" s="187">
        <f t="shared" si="3"/>
        <v>0</v>
      </c>
      <c r="BG18" s="187">
        <f t="shared" si="3"/>
        <v>0</v>
      </c>
      <c r="BH18" s="187">
        <f t="shared" si="3"/>
        <v>0</v>
      </c>
      <c r="BI18" s="187">
        <f t="shared" si="3"/>
        <v>0</v>
      </c>
      <c r="BJ18" s="187">
        <f t="shared" si="3"/>
        <v>0</v>
      </c>
      <c r="BK18" s="187">
        <f t="shared" si="3"/>
        <v>0</v>
      </c>
      <c r="BL18" s="187">
        <f t="shared" si="3"/>
        <v>0</v>
      </c>
      <c r="BM18" s="187">
        <f t="shared" si="3"/>
        <v>0</v>
      </c>
      <c r="BN18" s="187">
        <f t="shared" si="3"/>
        <v>0</v>
      </c>
      <c r="BO18" s="187">
        <f t="shared" si="3"/>
        <v>0</v>
      </c>
      <c r="BP18" s="187">
        <f t="shared" si="3"/>
        <v>0</v>
      </c>
      <c r="BQ18" s="187">
        <f t="shared" si="3"/>
        <v>0</v>
      </c>
      <c r="BR18" s="187">
        <f t="shared" si="3"/>
        <v>0</v>
      </c>
      <c r="BS18" s="187">
        <f t="shared" si="3"/>
        <v>0</v>
      </c>
      <c r="BT18" s="187">
        <f t="shared" si="3"/>
        <v>0</v>
      </c>
      <c r="BU18" s="187">
        <f t="shared" si="3"/>
        <v>0</v>
      </c>
      <c r="BV18" s="187">
        <f t="shared" ref="BV18:CV18" si="4" xml:space="preserve"> -1 * BV17</f>
        <v>0</v>
      </c>
      <c r="BW18" s="187">
        <f t="shared" si="4"/>
        <v>0</v>
      </c>
      <c r="BX18" s="187">
        <f t="shared" si="4"/>
        <v>0</v>
      </c>
      <c r="BY18" s="187">
        <f t="shared" si="4"/>
        <v>0</v>
      </c>
      <c r="BZ18" s="187">
        <f t="shared" si="4"/>
        <v>0</v>
      </c>
      <c r="CA18" s="187">
        <f t="shared" si="4"/>
        <v>0</v>
      </c>
      <c r="CB18" s="187">
        <f t="shared" si="4"/>
        <v>0</v>
      </c>
      <c r="CC18" s="187">
        <f t="shared" si="4"/>
        <v>0</v>
      </c>
      <c r="CD18" s="187">
        <f t="shared" si="4"/>
        <v>0</v>
      </c>
      <c r="CE18" s="187">
        <f t="shared" si="4"/>
        <v>0</v>
      </c>
      <c r="CF18" s="187">
        <f t="shared" si="4"/>
        <v>0</v>
      </c>
      <c r="CG18" s="187">
        <f t="shared" si="4"/>
        <v>0</v>
      </c>
      <c r="CH18" s="187">
        <f t="shared" si="4"/>
        <v>0</v>
      </c>
      <c r="CI18" s="187">
        <f t="shared" si="4"/>
        <v>0</v>
      </c>
      <c r="CJ18" s="187">
        <f t="shared" si="4"/>
        <v>0</v>
      </c>
      <c r="CK18" s="187">
        <f t="shared" si="4"/>
        <v>0</v>
      </c>
      <c r="CL18" s="187">
        <f t="shared" si="4"/>
        <v>0</v>
      </c>
      <c r="CM18" s="187">
        <f t="shared" si="4"/>
        <v>0</v>
      </c>
      <c r="CN18" s="187">
        <f t="shared" si="4"/>
        <v>0</v>
      </c>
      <c r="CO18" s="187">
        <f t="shared" si="4"/>
        <v>0</v>
      </c>
      <c r="CP18" s="187">
        <f t="shared" si="4"/>
        <v>0</v>
      </c>
      <c r="CQ18" s="187">
        <f t="shared" si="4"/>
        <v>0</v>
      </c>
      <c r="CR18" s="187">
        <f t="shared" si="4"/>
        <v>0</v>
      </c>
      <c r="CS18" s="187">
        <f t="shared" si="4"/>
        <v>0</v>
      </c>
      <c r="CT18" s="187">
        <f t="shared" si="4"/>
        <v>0</v>
      </c>
      <c r="CU18" s="187">
        <f t="shared" si="4"/>
        <v>0</v>
      </c>
      <c r="CV18" s="187">
        <f t="shared" si="4"/>
        <v>0</v>
      </c>
    </row>
    <row r="19" spans="1:100" outlineLevel="1" x14ac:dyDescent="0.2"/>
    <row r="20" spans="1:100" x14ac:dyDescent="0.2"/>
    <row r="21" spans="1:100" x14ac:dyDescent="0.2">
      <c r="A21" s="15" t="s">
        <v>836</v>
      </c>
    </row>
    <row r="22" spans="1:100" outlineLevel="1" x14ac:dyDescent="0.2"/>
    <row r="23" spans="1:100" s="502" customFormat="1" outlineLevel="1" x14ac:dyDescent="0.2">
      <c r="A23" s="216"/>
      <c r="B23" s="216"/>
      <c r="C23" s="217"/>
      <c r="D23" s="218"/>
      <c r="E23" s="219" t="s">
        <v>837</v>
      </c>
      <c r="F23" s="219"/>
      <c r="G23" s="219" t="str">
        <f xml:space="preserve"> SMU</f>
        <v>$ 000s</v>
      </c>
      <c r="H23" s="219"/>
      <c r="I23" s="220"/>
      <c r="J23" s="219">
        <f t="shared" ref="J23:BU23" si="5">I27</f>
        <v>0</v>
      </c>
      <c r="K23" s="219">
        <f t="shared" si="5"/>
        <v>31455.562132307692</v>
      </c>
      <c r="L23" s="219">
        <f t="shared" si="5"/>
        <v>100922.24852923077</v>
      </c>
      <c r="M23" s="219">
        <f t="shared" si="5"/>
        <v>170388.93492615386</v>
      </c>
      <c r="N23" s="219">
        <f t="shared" si="5"/>
        <v>237865.62132307695</v>
      </c>
      <c r="O23" s="219">
        <f t="shared" si="5"/>
        <v>295392.30772000004</v>
      </c>
      <c r="P23" s="219">
        <f t="shared" si="5"/>
        <v>288007.50002700003</v>
      </c>
      <c r="Q23" s="219">
        <f t="shared" si="5"/>
        <v>280622.69233400002</v>
      </c>
      <c r="R23" s="219">
        <f t="shared" si="5"/>
        <v>273237.88464100001</v>
      </c>
      <c r="S23" s="219">
        <f t="shared" si="5"/>
        <v>265853.076948</v>
      </c>
      <c r="T23" s="219">
        <f t="shared" si="5"/>
        <v>258468.26925499999</v>
      </c>
      <c r="U23" s="219">
        <f t="shared" si="5"/>
        <v>251083.46156199998</v>
      </c>
      <c r="V23" s="219">
        <f t="shared" si="5"/>
        <v>243698.65386899997</v>
      </c>
      <c r="W23" s="219">
        <f t="shared" si="5"/>
        <v>236313.84617599996</v>
      </c>
      <c r="X23" s="219">
        <f t="shared" si="5"/>
        <v>228929.03848299995</v>
      </c>
      <c r="Y23" s="219">
        <f t="shared" si="5"/>
        <v>221544.23078999994</v>
      </c>
      <c r="Z23" s="219">
        <f t="shared" si="5"/>
        <v>214159.42309699993</v>
      </c>
      <c r="AA23" s="219">
        <f t="shared" si="5"/>
        <v>206774.61540399992</v>
      </c>
      <c r="AB23" s="219">
        <f t="shared" si="5"/>
        <v>199389.80771099991</v>
      </c>
      <c r="AC23" s="219">
        <f t="shared" si="5"/>
        <v>192005.0000179999</v>
      </c>
      <c r="AD23" s="219">
        <f t="shared" si="5"/>
        <v>184620.19232499989</v>
      </c>
      <c r="AE23" s="219">
        <f t="shared" si="5"/>
        <v>177235.38463199988</v>
      </c>
      <c r="AF23" s="219">
        <f t="shared" si="5"/>
        <v>169850.57693899987</v>
      </c>
      <c r="AG23" s="219">
        <f t="shared" si="5"/>
        <v>162465.76924599987</v>
      </c>
      <c r="AH23" s="219">
        <f t="shared" si="5"/>
        <v>155080.96155299986</v>
      </c>
      <c r="AI23" s="219">
        <f t="shared" si="5"/>
        <v>147696.15385999985</v>
      </c>
      <c r="AJ23" s="219">
        <f t="shared" si="5"/>
        <v>140311.34616699984</v>
      </c>
      <c r="AK23" s="219">
        <f t="shared" si="5"/>
        <v>132926.53847399983</v>
      </c>
      <c r="AL23" s="219">
        <f t="shared" si="5"/>
        <v>125541.73078099983</v>
      </c>
      <c r="AM23" s="219">
        <f t="shared" si="5"/>
        <v>118156.92308799984</v>
      </c>
      <c r="AN23" s="219">
        <f t="shared" si="5"/>
        <v>110772.11539499984</v>
      </c>
      <c r="AO23" s="219">
        <f t="shared" si="5"/>
        <v>103387.30770199985</v>
      </c>
      <c r="AP23" s="219">
        <f t="shared" si="5"/>
        <v>96002.50000899985</v>
      </c>
      <c r="AQ23" s="219">
        <f t="shared" si="5"/>
        <v>88617.692315999855</v>
      </c>
      <c r="AR23" s="219">
        <f t="shared" si="5"/>
        <v>81232.88462299986</v>
      </c>
      <c r="AS23" s="219">
        <f t="shared" si="5"/>
        <v>73848.076929999865</v>
      </c>
      <c r="AT23" s="219">
        <f t="shared" si="5"/>
        <v>66463.269236999869</v>
      </c>
      <c r="AU23" s="219">
        <f t="shared" si="5"/>
        <v>59078.461543999874</v>
      </c>
      <c r="AV23" s="219">
        <f t="shared" si="5"/>
        <v>51693.653850999879</v>
      </c>
      <c r="AW23" s="219">
        <f t="shared" si="5"/>
        <v>44308.846157999884</v>
      </c>
      <c r="AX23" s="219">
        <f t="shared" si="5"/>
        <v>36924.038464999889</v>
      </c>
      <c r="AY23" s="219">
        <f t="shared" si="5"/>
        <v>29539.230771999893</v>
      </c>
      <c r="AZ23" s="219">
        <f t="shared" si="5"/>
        <v>22154.423078999898</v>
      </c>
      <c r="BA23" s="219">
        <f t="shared" si="5"/>
        <v>14769.615385999901</v>
      </c>
      <c r="BB23" s="219">
        <f t="shared" si="5"/>
        <v>7384.8076929999042</v>
      </c>
      <c r="BC23" s="219">
        <f t="shared" si="5"/>
        <v>-9.276845958083868E-11</v>
      </c>
      <c r="BD23" s="219">
        <f t="shared" si="5"/>
        <v>-9.276845958083868E-11</v>
      </c>
      <c r="BE23" s="219">
        <f t="shared" si="5"/>
        <v>-9.276845958083868E-11</v>
      </c>
      <c r="BF23" s="219">
        <f t="shared" si="5"/>
        <v>-9.276845958083868E-11</v>
      </c>
      <c r="BG23" s="219">
        <f t="shared" si="5"/>
        <v>-9.276845958083868E-11</v>
      </c>
      <c r="BH23" s="219">
        <f t="shared" si="5"/>
        <v>-9.276845958083868E-11</v>
      </c>
      <c r="BI23" s="219">
        <f t="shared" si="5"/>
        <v>-9.276845958083868E-11</v>
      </c>
      <c r="BJ23" s="219">
        <f t="shared" si="5"/>
        <v>-9.276845958083868E-11</v>
      </c>
      <c r="BK23" s="219">
        <f t="shared" si="5"/>
        <v>-9.276845958083868E-11</v>
      </c>
      <c r="BL23" s="219">
        <f t="shared" si="5"/>
        <v>-9.276845958083868E-11</v>
      </c>
      <c r="BM23" s="219">
        <f t="shared" si="5"/>
        <v>-9.276845958083868E-11</v>
      </c>
      <c r="BN23" s="219">
        <f t="shared" si="5"/>
        <v>-9.276845958083868E-11</v>
      </c>
      <c r="BO23" s="219">
        <f t="shared" si="5"/>
        <v>-9.276845958083868E-11</v>
      </c>
      <c r="BP23" s="219">
        <f t="shared" si="5"/>
        <v>-9.276845958083868E-11</v>
      </c>
      <c r="BQ23" s="219">
        <f t="shared" si="5"/>
        <v>-9.276845958083868E-11</v>
      </c>
      <c r="BR23" s="219">
        <f t="shared" si="5"/>
        <v>-9.276845958083868E-11</v>
      </c>
      <c r="BS23" s="219">
        <f t="shared" si="5"/>
        <v>-9.276845958083868E-11</v>
      </c>
      <c r="BT23" s="219">
        <f t="shared" si="5"/>
        <v>-9.276845958083868E-11</v>
      </c>
      <c r="BU23" s="219">
        <f t="shared" si="5"/>
        <v>-9.276845958083868E-11</v>
      </c>
      <c r="BV23" s="219">
        <f t="shared" ref="BV23:CV23" si="6">BU27</f>
        <v>-9.276845958083868E-11</v>
      </c>
      <c r="BW23" s="219">
        <f t="shared" si="6"/>
        <v>-9.276845958083868E-11</v>
      </c>
      <c r="BX23" s="219">
        <f t="shared" si="6"/>
        <v>-9.276845958083868E-11</v>
      </c>
      <c r="BY23" s="219">
        <f t="shared" si="6"/>
        <v>-9.276845958083868E-11</v>
      </c>
      <c r="BZ23" s="219">
        <f t="shared" si="6"/>
        <v>-9.276845958083868E-11</v>
      </c>
      <c r="CA23" s="219">
        <f t="shared" si="6"/>
        <v>-9.276845958083868E-11</v>
      </c>
      <c r="CB23" s="219">
        <f t="shared" si="6"/>
        <v>-9.276845958083868E-11</v>
      </c>
      <c r="CC23" s="219">
        <f t="shared" si="6"/>
        <v>-9.276845958083868E-11</v>
      </c>
      <c r="CD23" s="219">
        <f t="shared" si="6"/>
        <v>-9.276845958083868E-11</v>
      </c>
      <c r="CE23" s="219">
        <f t="shared" si="6"/>
        <v>-9.276845958083868E-11</v>
      </c>
      <c r="CF23" s="219">
        <f t="shared" si="6"/>
        <v>-9.276845958083868E-11</v>
      </c>
      <c r="CG23" s="219">
        <f t="shared" si="6"/>
        <v>-9.276845958083868E-11</v>
      </c>
      <c r="CH23" s="219">
        <f t="shared" si="6"/>
        <v>-9.276845958083868E-11</v>
      </c>
      <c r="CI23" s="219">
        <f t="shared" si="6"/>
        <v>-9.276845958083868E-11</v>
      </c>
      <c r="CJ23" s="219">
        <f t="shared" si="6"/>
        <v>-9.276845958083868E-11</v>
      </c>
      <c r="CK23" s="219">
        <f t="shared" si="6"/>
        <v>-9.276845958083868E-11</v>
      </c>
      <c r="CL23" s="219">
        <f t="shared" si="6"/>
        <v>-9.276845958083868E-11</v>
      </c>
      <c r="CM23" s="219">
        <f t="shared" si="6"/>
        <v>-9.276845958083868E-11</v>
      </c>
      <c r="CN23" s="219">
        <f t="shared" si="6"/>
        <v>-9.276845958083868E-11</v>
      </c>
      <c r="CO23" s="219">
        <f t="shared" si="6"/>
        <v>-9.276845958083868E-11</v>
      </c>
      <c r="CP23" s="219">
        <f t="shared" si="6"/>
        <v>-9.276845958083868E-11</v>
      </c>
      <c r="CQ23" s="219">
        <f t="shared" si="6"/>
        <v>-9.276845958083868E-11</v>
      </c>
      <c r="CR23" s="219">
        <f t="shared" si="6"/>
        <v>-9.276845958083868E-11</v>
      </c>
      <c r="CS23" s="219">
        <f t="shared" si="6"/>
        <v>-9.276845958083868E-11</v>
      </c>
      <c r="CT23" s="219">
        <f t="shared" si="6"/>
        <v>-9.276845958083868E-11</v>
      </c>
      <c r="CU23" s="219">
        <f t="shared" si="6"/>
        <v>-9.276845958083868E-11</v>
      </c>
      <c r="CV23" s="219">
        <f t="shared" si="6"/>
        <v>-9.276845958083868E-11</v>
      </c>
    </row>
    <row r="24" spans="1:100" s="498" customFormat="1" outlineLevel="1" x14ac:dyDescent="0.2">
      <c r="A24" s="15"/>
      <c r="B24" s="15"/>
      <c r="C24" s="21"/>
      <c r="D24" s="48"/>
      <c r="E24" s="501" t="str">
        <f xml:space="preserve"> ConCost!E$236</f>
        <v>Construction costs POS</v>
      </c>
      <c r="F24" s="501">
        <f xml:space="preserve"> ConCost!F$236</f>
        <v>0</v>
      </c>
      <c r="G24" s="501" t="str">
        <f xml:space="preserve"> ConCost!G$236</f>
        <v>$ 000s</v>
      </c>
      <c r="H24" s="501">
        <f xml:space="preserve"> ConCost!H$236</f>
        <v>309322.30772000004</v>
      </c>
      <c r="I24" s="501">
        <f xml:space="preserve"> ConCost!I$236</f>
        <v>0</v>
      </c>
      <c r="J24" s="501">
        <f xml:space="preserve"> ConCost!J$236</f>
        <v>31455.562132307692</v>
      </c>
      <c r="K24" s="501">
        <f xml:space="preserve"> ConCost!K$236</f>
        <v>69466.686396923076</v>
      </c>
      <c r="L24" s="501">
        <f xml:space="preserve"> ConCost!L$236</f>
        <v>69466.686396923076</v>
      </c>
      <c r="M24" s="501">
        <f xml:space="preserve"> ConCost!M$236</f>
        <v>69466.686396923076</v>
      </c>
      <c r="N24" s="501">
        <f xml:space="preserve"> ConCost!N$236</f>
        <v>69466.686396923076</v>
      </c>
      <c r="O24" s="501">
        <f xml:space="preserve"> ConCost!O$236</f>
        <v>0</v>
      </c>
      <c r="P24" s="501">
        <f xml:space="preserve"> ConCost!P$236</f>
        <v>0</v>
      </c>
      <c r="Q24" s="501">
        <f xml:space="preserve"> ConCost!Q$236</f>
        <v>0</v>
      </c>
      <c r="R24" s="501">
        <f xml:space="preserve"> ConCost!R$236</f>
        <v>0</v>
      </c>
      <c r="S24" s="501">
        <f xml:space="preserve"> ConCost!S$236</f>
        <v>0</v>
      </c>
      <c r="T24" s="501">
        <f xml:space="preserve"> ConCost!T$236</f>
        <v>0</v>
      </c>
      <c r="U24" s="501">
        <f xml:space="preserve"> ConCost!U$236</f>
        <v>0</v>
      </c>
      <c r="V24" s="501">
        <f xml:space="preserve"> ConCost!V$236</f>
        <v>0</v>
      </c>
      <c r="W24" s="501">
        <f xml:space="preserve"> ConCost!W$236</f>
        <v>0</v>
      </c>
      <c r="X24" s="501">
        <f xml:space="preserve"> ConCost!X$236</f>
        <v>0</v>
      </c>
      <c r="Y24" s="501">
        <f xml:space="preserve"> ConCost!Y$236</f>
        <v>0</v>
      </c>
      <c r="Z24" s="501">
        <f xml:space="preserve"> ConCost!Z$236</f>
        <v>0</v>
      </c>
      <c r="AA24" s="501">
        <f xml:space="preserve"> ConCost!AA$236</f>
        <v>0</v>
      </c>
      <c r="AB24" s="501">
        <f xml:space="preserve"> ConCost!AB$236</f>
        <v>0</v>
      </c>
      <c r="AC24" s="501">
        <f xml:space="preserve"> ConCost!AC$236</f>
        <v>0</v>
      </c>
      <c r="AD24" s="501">
        <f xml:space="preserve"> ConCost!AD$236</f>
        <v>0</v>
      </c>
      <c r="AE24" s="501">
        <f xml:space="preserve"> ConCost!AE$236</f>
        <v>0</v>
      </c>
      <c r="AF24" s="501">
        <f xml:space="preserve"> ConCost!AF$236</f>
        <v>0</v>
      </c>
      <c r="AG24" s="501">
        <f xml:space="preserve"> ConCost!AG$236</f>
        <v>0</v>
      </c>
      <c r="AH24" s="501">
        <f xml:space="preserve"> ConCost!AH$236</f>
        <v>0</v>
      </c>
      <c r="AI24" s="501">
        <f xml:space="preserve"> ConCost!AI$236</f>
        <v>0</v>
      </c>
      <c r="AJ24" s="501">
        <f xml:space="preserve"> ConCost!AJ$236</f>
        <v>0</v>
      </c>
      <c r="AK24" s="501">
        <f xml:space="preserve"> ConCost!AK$236</f>
        <v>0</v>
      </c>
      <c r="AL24" s="501">
        <f xml:space="preserve"> ConCost!AL$236</f>
        <v>0</v>
      </c>
      <c r="AM24" s="501">
        <f xml:space="preserve"> ConCost!AM$236</f>
        <v>0</v>
      </c>
      <c r="AN24" s="501">
        <f xml:space="preserve"> ConCost!AN$236</f>
        <v>0</v>
      </c>
      <c r="AO24" s="501">
        <f xml:space="preserve"> ConCost!AO$236</f>
        <v>0</v>
      </c>
      <c r="AP24" s="501">
        <f xml:space="preserve"> ConCost!AP$236</f>
        <v>0</v>
      </c>
      <c r="AQ24" s="501">
        <f xml:space="preserve"> ConCost!AQ$236</f>
        <v>0</v>
      </c>
      <c r="AR24" s="501">
        <f xml:space="preserve"> ConCost!AR$236</f>
        <v>0</v>
      </c>
      <c r="AS24" s="501">
        <f xml:space="preserve"> ConCost!AS$236</f>
        <v>0</v>
      </c>
      <c r="AT24" s="501">
        <f xml:space="preserve"> ConCost!AT$236</f>
        <v>0</v>
      </c>
      <c r="AU24" s="501">
        <f xml:space="preserve"> ConCost!AU$236</f>
        <v>0</v>
      </c>
      <c r="AV24" s="501">
        <f xml:space="preserve"> ConCost!AV$236</f>
        <v>0</v>
      </c>
      <c r="AW24" s="501">
        <f xml:space="preserve"> ConCost!AW$236</f>
        <v>0</v>
      </c>
      <c r="AX24" s="501">
        <f xml:space="preserve"> ConCost!AX$236</f>
        <v>0</v>
      </c>
      <c r="AY24" s="501">
        <f xml:space="preserve"> ConCost!AY$236</f>
        <v>0</v>
      </c>
      <c r="AZ24" s="501">
        <f xml:space="preserve"> ConCost!AZ$236</f>
        <v>0</v>
      </c>
      <c r="BA24" s="501">
        <f xml:space="preserve"> ConCost!BA$236</f>
        <v>0</v>
      </c>
      <c r="BB24" s="501">
        <f xml:space="preserve"> ConCost!BB$236</f>
        <v>0</v>
      </c>
      <c r="BC24" s="501">
        <f xml:space="preserve"> ConCost!BC$236</f>
        <v>0</v>
      </c>
      <c r="BD24" s="501">
        <f xml:space="preserve"> ConCost!BD$236</f>
        <v>0</v>
      </c>
      <c r="BE24" s="501">
        <f xml:space="preserve"> ConCost!BE$236</f>
        <v>0</v>
      </c>
      <c r="BF24" s="501">
        <f xml:space="preserve"> ConCost!BF$236</f>
        <v>0</v>
      </c>
      <c r="BG24" s="501">
        <f xml:space="preserve"> ConCost!BG$236</f>
        <v>0</v>
      </c>
      <c r="BH24" s="501">
        <f xml:space="preserve"> ConCost!BH$236</f>
        <v>0</v>
      </c>
      <c r="BI24" s="501">
        <f xml:space="preserve"> ConCost!BI$236</f>
        <v>0</v>
      </c>
      <c r="BJ24" s="501">
        <f xml:space="preserve"> ConCost!BJ$236</f>
        <v>0</v>
      </c>
      <c r="BK24" s="501">
        <f xml:space="preserve"> ConCost!BK$236</f>
        <v>0</v>
      </c>
      <c r="BL24" s="501">
        <f xml:space="preserve"> ConCost!BL$236</f>
        <v>0</v>
      </c>
      <c r="BM24" s="501">
        <f xml:space="preserve"> ConCost!BM$236</f>
        <v>0</v>
      </c>
      <c r="BN24" s="501">
        <f xml:space="preserve"> ConCost!BN$236</f>
        <v>0</v>
      </c>
      <c r="BO24" s="501">
        <f xml:space="preserve"> ConCost!BO$236</f>
        <v>0</v>
      </c>
      <c r="BP24" s="501">
        <f xml:space="preserve"> ConCost!BP$236</f>
        <v>0</v>
      </c>
      <c r="BQ24" s="501">
        <f xml:space="preserve"> ConCost!BQ$236</f>
        <v>0</v>
      </c>
      <c r="BR24" s="501">
        <f xml:space="preserve"> ConCost!BR$236</f>
        <v>0</v>
      </c>
      <c r="BS24" s="501">
        <f xml:space="preserve"> ConCost!BS$236</f>
        <v>0</v>
      </c>
      <c r="BT24" s="501">
        <f xml:space="preserve"> ConCost!BT$236</f>
        <v>0</v>
      </c>
      <c r="BU24" s="501">
        <f xml:space="preserve"> ConCost!BU$236</f>
        <v>0</v>
      </c>
      <c r="BV24" s="501">
        <f xml:space="preserve"> ConCost!BV$236</f>
        <v>0</v>
      </c>
      <c r="BW24" s="501">
        <f xml:space="preserve"> ConCost!BW$236</f>
        <v>0</v>
      </c>
      <c r="BX24" s="501">
        <f xml:space="preserve"> ConCost!BX$236</f>
        <v>0</v>
      </c>
      <c r="BY24" s="501">
        <f xml:space="preserve"> ConCost!BY$236</f>
        <v>0</v>
      </c>
      <c r="BZ24" s="501">
        <f xml:space="preserve"> ConCost!BZ$236</f>
        <v>0</v>
      </c>
      <c r="CA24" s="501">
        <f xml:space="preserve"> ConCost!CA$236</f>
        <v>0</v>
      </c>
      <c r="CB24" s="501">
        <f xml:space="preserve"> ConCost!CB$236</f>
        <v>0</v>
      </c>
      <c r="CC24" s="501">
        <f xml:space="preserve"> ConCost!CC$236</f>
        <v>0</v>
      </c>
      <c r="CD24" s="501">
        <f xml:space="preserve"> ConCost!CD$236</f>
        <v>0</v>
      </c>
      <c r="CE24" s="501">
        <f xml:space="preserve"> ConCost!CE$236</f>
        <v>0</v>
      </c>
      <c r="CF24" s="501">
        <f xml:space="preserve"> ConCost!CF$236</f>
        <v>0</v>
      </c>
      <c r="CG24" s="501">
        <f xml:space="preserve"> ConCost!CG$236</f>
        <v>0</v>
      </c>
      <c r="CH24" s="501">
        <f xml:space="preserve"> ConCost!CH$236</f>
        <v>0</v>
      </c>
      <c r="CI24" s="501">
        <f xml:space="preserve"> ConCost!CI$236</f>
        <v>0</v>
      </c>
      <c r="CJ24" s="501">
        <f xml:space="preserve"> ConCost!CJ$236</f>
        <v>0</v>
      </c>
      <c r="CK24" s="501">
        <f xml:space="preserve"> ConCost!CK$236</f>
        <v>0</v>
      </c>
      <c r="CL24" s="501">
        <f xml:space="preserve"> ConCost!CL$236</f>
        <v>0</v>
      </c>
      <c r="CM24" s="501">
        <f xml:space="preserve"> ConCost!CM$236</f>
        <v>0</v>
      </c>
      <c r="CN24" s="501">
        <f xml:space="preserve"> ConCost!CN$236</f>
        <v>0</v>
      </c>
      <c r="CO24" s="501">
        <f xml:space="preserve"> ConCost!CO$236</f>
        <v>0</v>
      </c>
      <c r="CP24" s="501">
        <f xml:space="preserve"> ConCost!CP$236</f>
        <v>0</v>
      </c>
      <c r="CQ24" s="501">
        <f xml:space="preserve"> ConCost!CQ$236</f>
        <v>0</v>
      </c>
      <c r="CR24" s="501">
        <f xml:space="preserve"> ConCost!CR$236</f>
        <v>0</v>
      </c>
      <c r="CS24" s="501">
        <f xml:space="preserve"> ConCost!CS$236</f>
        <v>0</v>
      </c>
      <c r="CT24" s="501">
        <f xml:space="preserve"> ConCost!CT$236</f>
        <v>0</v>
      </c>
      <c r="CU24" s="501">
        <f xml:space="preserve"> ConCost!CU$236</f>
        <v>0</v>
      </c>
      <c r="CV24" s="501">
        <f xml:space="preserve"> ConCost!CV$236</f>
        <v>0</v>
      </c>
    </row>
    <row r="25" spans="1:100" s="498" customFormat="1" outlineLevel="1" x14ac:dyDescent="0.2">
      <c r="A25" s="15"/>
      <c r="B25" s="15"/>
      <c r="C25" s="21"/>
      <c r="D25" s="48"/>
      <c r="E25" s="501" t="str">
        <f xml:space="preserve"> ConCost!E$279</f>
        <v>Early generation profit credited to WIP</v>
      </c>
      <c r="F25" s="501">
        <f xml:space="preserve"> ConCost!F$279</f>
        <v>0</v>
      </c>
      <c r="G25" s="501" t="str">
        <f xml:space="preserve"> ConCost!G$279</f>
        <v>$ 000s</v>
      </c>
      <c r="H25" s="501">
        <f xml:space="preserve"> ConCost!H$279</f>
        <v>13930</v>
      </c>
      <c r="I25" s="501">
        <f xml:space="preserve"> ConCost!I$279</f>
        <v>0</v>
      </c>
      <c r="J25" s="501">
        <f xml:space="preserve"> ConCost!J$279</f>
        <v>0</v>
      </c>
      <c r="K25" s="501">
        <f xml:space="preserve"> ConCost!K$279</f>
        <v>0</v>
      </c>
      <c r="L25" s="501">
        <f xml:space="preserve"> ConCost!L$279</f>
        <v>0</v>
      </c>
      <c r="M25" s="501">
        <f xml:space="preserve"> ConCost!M$279</f>
        <v>1990</v>
      </c>
      <c r="N25" s="501">
        <f xml:space="preserve"> ConCost!N$279</f>
        <v>11940</v>
      </c>
      <c r="O25" s="501">
        <f xml:space="preserve"> ConCost!O$279</f>
        <v>0</v>
      </c>
      <c r="P25" s="501">
        <f xml:space="preserve"> ConCost!P$279</f>
        <v>0</v>
      </c>
      <c r="Q25" s="501">
        <f xml:space="preserve"> ConCost!Q$279</f>
        <v>0</v>
      </c>
      <c r="R25" s="501">
        <f xml:space="preserve"> ConCost!R$279</f>
        <v>0</v>
      </c>
      <c r="S25" s="501">
        <f xml:space="preserve"> ConCost!S$279</f>
        <v>0</v>
      </c>
      <c r="T25" s="501">
        <f xml:space="preserve"> ConCost!T$279</f>
        <v>0</v>
      </c>
      <c r="U25" s="501">
        <f xml:space="preserve"> ConCost!U$279</f>
        <v>0</v>
      </c>
      <c r="V25" s="501">
        <f xml:space="preserve"> ConCost!V$279</f>
        <v>0</v>
      </c>
      <c r="W25" s="501">
        <f xml:space="preserve"> ConCost!W$279</f>
        <v>0</v>
      </c>
      <c r="X25" s="501">
        <f xml:space="preserve"> ConCost!X$279</f>
        <v>0</v>
      </c>
      <c r="Y25" s="501">
        <f xml:space="preserve"> ConCost!Y$279</f>
        <v>0</v>
      </c>
      <c r="Z25" s="501">
        <f xml:space="preserve"> ConCost!Z$279</f>
        <v>0</v>
      </c>
      <c r="AA25" s="501">
        <f xml:space="preserve"> ConCost!AA$279</f>
        <v>0</v>
      </c>
      <c r="AB25" s="501">
        <f xml:space="preserve"> ConCost!AB$279</f>
        <v>0</v>
      </c>
      <c r="AC25" s="501">
        <f xml:space="preserve"> ConCost!AC$279</f>
        <v>0</v>
      </c>
      <c r="AD25" s="501">
        <f xml:space="preserve"> ConCost!AD$279</f>
        <v>0</v>
      </c>
      <c r="AE25" s="501">
        <f xml:space="preserve"> ConCost!AE$279</f>
        <v>0</v>
      </c>
      <c r="AF25" s="501">
        <f xml:space="preserve"> ConCost!AF$279</f>
        <v>0</v>
      </c>
      <c r="AG25" s="501">
        <f xml:space="preserve"> ConCost!AG$279</f>
        <v>0</v>
      </c>
      <c r="AH25" s="501">
        <f xml:space="preserve"> ConCost!AH$279</f>
        <v>0</v>
      </c>
      <c r="AI25" s="501">
        <f xml:space="preserve"> ConCost!AI$279</f>
        <v>0</v>
      </c>
      <c r="AJ25" s="501">
        <f xml:space="preserve"> ConCost!AJ$279</f>
        <v>0</v>
      </c>
      <c r="AK25" s="501">
        <f xml:space="preserve"> ConCost!AK$279</f>
        <v>0</v>
      </c>
      <c r="AL25" s="501">
        <f xml:space="preserve"> ConCost!AL$279</f>
        <v>0</v>
      </c>
      <c r="AM25" s="501">
        <f xml:space="preserve"> ConCost!AM$279</f>
        <v>0</v>
      </c>
      <c r="AN25" s="501">
        <f xml:space="preserve"> ConCost!AN$279</f>
        <v>0</v>
      </c>
      <c r="AO25" s="501">
        <f xml:space="preserve"> ConCost!AO$279</f>
        <v>0</v>
      </c>
      <c r="AP25" s="501">
        <f xml:space="preserve"> ConCost!AP$279</f>
        <v>0</v>
      </c>
      <c r="AQ25" s="501">
        <f xml:space="preserve"> ConCost!AQ$279</f>
        <v>0</v>
      </c>
      <c r="AR25" s="501">
        <f xml:space="preserve"> ConCost!AR$279</f>
        <v>0</v>
      </c>
      <c r="AS25" s="501">
        <f xml:space="preserve"> ConCost!AS$279</f>
        <v>0</v>
      </c>
      <c r="AT25" s="501">
        <f xml:space="preserve"> ConCost!AT$279</f>
        <v>0</v>
      </c>
      <c r="AU25" s="501">
        <f xml:space="preserve"> ConCost!AU$279</f>
        <v>0</v>
      </c>
      <c r="AV25" s="501">
        <f xml:space="preserve"> ConCost!AV$279</f>
        <v>0</v>
      </c>
      <c r="AW25" s="501">
        <f xml:space="preserve"> ConCost!AW$279</f>
        <v>0</v>
      </c>
      <c r="AX25" s="501">
        <f xml:space="preserve"> ConCost!AX$279</f>
        <v>0</v>
      </c>
      <c r="AY25" s="501">
        <f xml:space="preserve"> ConCost!AY$279</f>
        <v>0</v>
      </c>
      <c r="AZ25" s="501">
        <f xml:space="preserve"> ConCost!AZ$279</f>
        <v>0</v>
      </c>
      <c r="BA25" s="501">
        <f xml:space="preserve"> ConCost!BA$279</f>
        <v>0</v>
      </c>
      <c r="BB25" s="501">
        <f xml:space="preserve"> ConCost!BB$279</f>
        <v>0</v>
      </c>
      <c r="BC25" s="501">
        <f xml:space="preserve"> ConCost!BC$279</f>
        <v>0</v>
      </c>
      <c r="BD25" s="501">
        <f xml:space="preserve"> ConCost!BD$279</f>
        <v>0</v>
      </c>
      <c r="BE25" s="501">
        <f xml:space="preserve"> ConCost!BE$279</f>
        <v>0</v>
      </c>
      <c r="BF25" s="501">
        <f xml:space="preserve"> ConCost!BF$279</f>
        <v>0</v>
      </c>
      <c r="BG25" s="501">
        <f xml:space="preserve"> ConCost!BG$279</f>
        <v>0</v>
      </c>
      <c r="BH25" s="501">
        <f xml:space="preserve"> ConCost!BH$279</f>
        <v>0</v>
      </c>
      <c r="BI25" s="501">
        <f xml:space="preserve"> ConCost!BI$279</f>
        <v>0</v>
      </c>
      <c r="BJ25" s="501">
        <f xml:space="preserve"> ConCost!BJ$279</f>
        <v>0</v>
      </c>
      <c r="BK25" s="501">
        <f xml:space="preserve"> ConCost!BK$279</f>
        <v>0</v>
      </c>
      <c r="BL25" s="501">
        <f xml:space="preserve"> ConCost!BL$279</f>
        <v>0</v>
      </c>
      <c r="BM25" s="501">
        <f xml:space="preserve"> ConCost!BM$279</f>
        <v>0</v>
      </c>
      <c r="BN25" s="501">
        <f xml:space="preserve"> ConCost!BN$279</f>
        <v>0</v>
      </c>
      <c r="BO25" s="501">
        <f xml:space="preserve"> ConCost!BO$279</f>
        <v>0</v>
      </c>
      <c r="BP25" s="501">
        <f xml:space="preserve"> ConCost!BP$279</f>
        <v>0</v>
      </c>
      <c r="BQ25" s="501">
        <f xml:space="preserve"> ConCost!BQ$279</f>
        <v>0</v>
      </c>
      <c r="BR25" s="501">
        <f xml:space="preserve"> ConCost!BR$279</f>
        <v>0</v>
      </c>
      <c r="BS25" s="501">
        <f xml:space="preserve"> ConCost!BS$279</f>
        <v>0</v>
      </c>
      <c r="BT25" s="501">
        <f xml:space="preserve"> ConCost!BT$279</f>
        <v>0</v>
      </c>
      <c r="BU25" s="501">
        <f xml:space="preserve"> ConCost!BU$279</f>
        <v>0</v>
      </c>
      <c r="BV25" s="501">
        <f xml:space="preserve"> ConCost!BV$279</f>
        <v>0</v>
      </c>
      <c r="BW25" s="501">
        <f xml:space="preserve"> ConCost!BW$279</f>
        <v>0</v>
      </c>
      <c r="BX25" s="501">
        <f xml:space="preserve"> ConCost!BX$279</f>
        <v>0</v>
      </c>
      <c r="BY25" s="501">
        <f xml:space="preserve"> ConCost!BY$279</f>
        <v>0</v>
      </c>
      <c r="BZ25" s="501">
        <f xml:space="preserve"> ConCost!BZ$279</f>
        <v>0</v>
      </c>
      <c r="CA25" s="501">
        <f xml:space="preserve"> ConCost!CA$279</f>
        <v>0</v>
      </c>
      <c r="CB25" s="501">
        <f xml:space="preserve"> ConCost!CB$279</f>
        <v>0</v>
      </c>
      <c r="CC25" s="501">
        <f xml:space="preserve"> ConCost!CC$279</f>
        <v>0</v>
      </c>
      <c r="CD25" s="501">
        <f xml:space="preserve"> ConCost!CD$279</f>
        <v>0</v>
      </c>
      <c r="CE25" s="501">
        <f xml:space="preserve"> ConCost!CE$279</f>
        <v>0</v>
      </c>
      <c r="CF25" s="501">
        <f xml:space="preserve"> ConCost!CF$279</f>
        <v>0</v>
      </c>
      <c r="CG25" s="501">
        <f xml:space="preserve"> ConCost!CG$279</f>
        <v>0</v>
      </c>
      <c r="CH25" s="501">
        <f xml:space="preserve"> ConCost!CH$279</f>
        <v>0</v>
      </c>
      <c r="CI25" s="501">
        <f xml:space="preserve"> ConCost!CI$279</f>
        <v>0</v>
      </c>
      <c r="CJ25" s="501">
        <f xml:space="preserve"> ConCost!CJ$279</f>
        <v>0</v>
      </c>
      <c r="CK25" s="501">
        <f xml:space="preserve"> ConCost!CK$279</f>
        <v>0</v>
      </c>
      <c r="CL25" s="501">
        <f xml:space="preserve"> ConCost!CL$279</f>
        <v>0</v>
      </c>
      <c r="CM25" s="501">
        <f xml:space="preserve"> ConCost!CM$279</f>
        <v>0</v>
      </c>
      <c r="CN25" s="501">
        <f xml:space="preserve"> ConCost!CN$279</f>
        <v>0</v>
      </c>
      <c r="CO25" s="501">
        <f xml:space="preserve"> ConCost!CO$279</f>
        <v>0</v>
      </c>
      <c r="CP25" s="501">
        <f xml:space="preserve"> ConCost!CP$279</f>
        <v>0</v>
      </c>
      <c r="CQ25" s="501">
        <f xml:space="preserve"> ConCost!CQ$279</f>
        <v>0</v>
      </c>
      <c r="CR25" s="501">
        <f xml:space="preserve"> ConCost!CR$279</f>
        <v>0</v>
      </c>
      <c r="CS25" s="501">
        <f xml:space="preserve"> ConCost!CS$279</f>
        <v>0</v>
      </c>
      <c r="CT25" s="501">
        <f xml:space="preserve"> ConCost!CT$279</f>
        <v>0</v>
      </c>
      <c r="CU25" s="501">
        <f xml:space="preserve"> ConCost!CU$279</f>
        <v>0</v>
      </c>
      <c r="CV25" s="501">
        <f xml:space="preserve"> ConCost!CV$279</f>
        <v>0</v>
      </c>
    </row>
    <row r="26" spans="1:100" s="498" customFormat="1" outlineLevel="1" x14ac:dyDescent="0.2">
      <c r="A26" s="15"/>
      <c r="B26" s="15"/>
      <c r="C26" s="21"/>
      <c r="D26" s="48"/>
      <c r="E26" s="126" t="str">
        <f t="shared" ref="E26:AJ26" si="7" xml:space="preserve"> E$17</f>
        <v>Fixed asset depreciation POS</v>
      </c>
      <c r="F26" s="126">
        <f t="shared" si="7"/>
        <v>0</v>
      </c>
      <c r="G26" s="126" t="str">
        <f t="shared" si="7"/>
        <v>$ 000s</v>
      </c>
      <c r="H26" s="126">
        <f t="shared" si="7"/>
        <v>295392.30772000016</v>
      </c>
      <c r="I26" s="126">
        <f t="shared" si="7"/>
        <v>0</v>
      </c>
      <c r="J26" s="126">
        <f t="shared" si="7"/>
        <v>0</v>
      </c>
      <c r="K26" s="126">
        <f t="shared" si="7"/>
        <v>0</v>
      </c>
      <c r="L26" s="126">
        <f t="shared" si="7"/>
        <v>0</v>
      </c>
      <c r="M26" s="126">
        <f t="shared" si="7"/>
        <v>0</v>
      </c>
      <c r="N26" s="126">
        <f t="shared" si="7"/>
        <v>0</v>
      </c>
      <c r="O26" s="126">
        <f t="shared" si="7"/>
        <v>7384.807692999997</v>
      </c>
      <c r="P26" s="126">
        <f t="shared" si="7"/>
        <v>7384.807692999997</v>
      </c>
      <c r="Q26" s="126">
        <f t="shared" si="7"/>
        <v>7384.807692999997</v>
      </c>
      <c r="R26" s="126">
        <f t="shared" si="7"/>
        <v>7384.807692999997</v>
      </c>
      <c r="S26" s="126">
        <f t="shared" si="7"/>
        <v>7384.807692999997</v>
      </c>
      <c r="T26" s="126">
        <f t="shared" si="7"/>
        <v>7384.807692999997</v>
      </c>
      <c r="U26" s="126">
        <f t="shared" si="7"/>
        <v>7384.807692999997</v>
      </c>
      <c r="V26" s="126">
        <f t="shared" si="7"/>
        <v>7384.807692999997</v>
      </c>
      <c r="W26" s="126">
        <f t="shared" si="7"/>
        <v>7384.807692999997</v>
      </c>
      <c r="X26" s="126">
        <f t="shared" si="7"/>
        <v>7384.807692999997</v>
      </c>
      <c r="Y26" s="126">
        <f t="shared" si="7"/>
        <v>7384.807692999997</v>
      </c>
      <c r="Z26" s="126">
        <f t="shared" si="7"/>
        <v>7384.807692999997</v>
      </c>
      <c r="AA26" s="126">
        <f t="shared" si="7"/>
        <v>7384.807692999997</v>
      </c>
      <c r="AB26" s="126">
        <f t="shared" si="7"/>
        <v>7384.807692999997</v>
      </c>
      <c r="AC26" s="126">
        <f t="shared" si="7"/>
        <v>7384.807692999997</v>
      </c>
      <c r="AD26" s="126">
        <f t="shared" si="7"/>
        <v>7384.807692999997</v>
      </c>
      <c r="AE26" s="126">
        <f t="shared" si="7"/>
        <v>7384.807692999997</v>
      </c>
      <c r="AF26" s="126">
        <f t="shared" si="7"/>
        <v>7384.807692999997</v>
      </c>
      <c r="AG26" s="126">
        <f t="shared" si="7"/>
        <v>7384.807692999997</v>
      </c>
      <c r="AH26" s="126">
        <f t="shared" si="7"/>
        <v>7384.807692999997</v>
      </c>
      <c r="AI26" s="126">
        <f t="shared" si="7"/>
        <v>7384.807692999997</v>
      </c>
      <c r="AJ26" s="126">
        <f t="shared" si="7"/>
        <v>7384.807692999997</v>
      </c>
      <c r="AK26" s="126">
        <f t="shared" ref="AK26:BP26" si="8" xml:space="preserve"> AK$17</f>
        <v>7384.807692999997</v>
      </c>
      <c r="AL26" s="126">
        <f t="shared" si="8"/>
        <v>7384.807692999997</v>
      </c>
      <c r="AM26" s="126">
        <f t="shared" si="8"/>
        <v>7384.807692999997</v>
      </c>
      <c r="AN26" s="126">
        <f t="shared" si="8"/>
        <v>7384.807692999997</v>
      </c>
      <c r="AO26" s="126">
        <f t="shared" si="8"/>
        <v>7384.807692999997</v>
      </c>
      <c r="AP26" s="126">
        <f t="shared" si="8"/>
        <v>7384.807692999997</v>
      </c>
      <c r="AQ26" s="126">
        <f t="shared" si="8"/>
        <v>7384.807692999997</v>
      </c>
      <c r="AR26" s="126">
        <f t="shared" si="8"/>
        <v>7384.807692999997</v>
      </c>
      <c r="AS26" s="126">
        <f t="shared" si="8"/>
        <v>7384.807692999997</v>
      </c>
      <c r="AT26" s="126">
        <f t="shared" si="8"/>
        <v>7384.807692999997</v>
      </c>
      <c r="AU26" s="126">
        <f t="shared" si="8"/>
        <v>7384.807692999997</v>
      </c>
      <c r="AV26" s="126">
        <f t="shared" si="8"/>
        <v>7384.807692999997</v>
      </c>
      <c r="AW26" s="126">
        <f t="shared" si="8"/>
        <v>7384.807692999997</v>
      </c>
      <c r="AX26" s="126">
        <f t="shared" si="8"/>
        <v>7384.807692999997</v>
      </c>
      <c r="AY26" s="126">
        <f t="shared" si="8"/>
        <v>7384.807692999997</v>
      </c>
      <c r="AZ26" s="126">
        <f t="shared" si="8"/>
        <v>7384.807692999997</v>
      </c>
      <c r="BA26" s="126">
        <f t="shared" si="8"/>
        <v>7384.807692999997</v>
      </c>
      <c r="BB26" s="126">
        <f t="shared" si="8"/>
        <v>7384.807692999997</v>
      </c>
      <c r="BC26" s="126">
        <f t="shared" si="8"/>
        <v>0</v>
      </c>
      <c r="BD26" s="126">
        <f t="shared" si="8"/>
        <v>0</v>
      </c>
      <c r="BE26" s="126">
        <f t="shared" si="8"/>
        <v>0</v>
      </c>
      <c r="BF26" s="126">
        <f t="shared" si="8"/>
        <v>0</v>
      </c>
      <c r="BG26" s="126">
        <f t="shared" si="8"/>
        <v>0</v>
      </c>
      <c r="BH26" s="126">
        <f t="shared" si="8"/>
        <v>0</v>
      </c>
      <c r="BI26" s="126">
        <f t="shared" si="8"/>
        <v>0</v>
      </c>
      <c r="BJ26" s="126">
        <f t="shared" si="8"/>
        <v>0</v>
      </c>
      <c r="BK26" s="126">
        <f t="shared" si="8"/>
        <v>0</v>
      </c>
      <c r="BL26" s="126">
        <f t="shared" si="8"/>
        <v>0</v>
      </c>
      <c r="BM26" s="126">
        <f t="shared" si="8"/>
        <v>0</v>
      </c>
      <c r="BN26" s="126">
        <f t="shared" si="8"/>
        <v>0</v>
      </c>
      <c r="BO26" s="126">
        <f t="shared" si="8"/>
        <v>0</v>
      </c>
      <c r="BP26" s="126">
        <f t="shared" si="8"/>
        <v>0</v>
      </c>
      <c r="BQ26" s="126">
        <f t="shared" ref="BQ26:CV26" si="9" xml:space="preserve"> BQ$17</f>
        <v>0</v>
      </c>
      <c r="BR26" s="126">
        <f t="shared" si="9"/>
        <v>0</v>
      </c>
      <c r="BS26" s="126">
        <f t="shared" si="9"/>
        <v>0</v>
      </c>
      <c r="BT26" s="126">
        <f t="shared" si="9"/>
        <v>0</v>
      </c>
      <c r="BU26" s="126">
        <f t="shared" si="9"/>
        <v>0</v>
      </c>
      <c r="BV26" s="126">
        <f t="shared" si="9"/>
        <v>0</v>
      </c>
      <c r="BW26" s="126">
        <f t="shared" si="9"/>
        <v>0</v>
      </c>
      <c r="BX26" s="126">
        <f t="shared" si="9"/>
        <v>0</v>
      </c>
      <c r="BY26" s="126">
        <f t="shared" si="9"/>
        <v>0</v>
      </c>
      <c r="BZ26" s="126">
        <f t="shared" si="9"/>
        <v>0</v>
      </c>
      <c r="CA26" s="126">
        <f t="shared" si="9"/>
        <v>0</v>
      </c>
      <c r="CB26" s="126">
        <f t="shared" si="9"/>
        <v>0</v>
      </c>
      <c r="CC26" s="126">
        <f t="shared" si="9"/>
        <v>0</v>
      </c>
      <c r="CD26" s="126">
        <f t="shared" si="9"/>
        <v>0</v>
      </c>
      <c r="CE26" s="126">
        <f t="shared" si="9"/>
        <v>0</v>
      </c>
      <c r="CF26" s="126">
        <f t="shared" si="9"/>
        <v>0</v>
      </c>
      <c r="CG26" s="126">
        <f t="shared" si="9"/>
        <v>0</v>
      </c>
      <c r="CH26" s="126">
        <f t="shared" si="9"/>
        <v>0</v>
      </c>
      <c r="CI26" s="126">
        <f t="shared" si="9"/>
        <v>0</v>
      </c>
      <c r="CJ26" s="126">
        <f t="shared" si="9"/>
        <v>0</v>
      </c>
      <c r="CK26" s="126">
        <f t="shared" si="9"/>
        <v>0</v>
      </c>
      <c r="CL26" s="126">
        <f t="shared" si="9"/>
        <v>0</v>
      </c>
      <c r="CM26" s="126">
        <f t="shared" si="9"/>
        <v>0</v>
      </c>
      <c r="CN26" s="126">
        <f t="shared" si="9"/>
        <v>0</v>
      </c>
      <c r="CO26" s="126">
        <f t="shared" si="9"/>
        <v>0</v>
      </c>
      <c r="CP26" s="126">
        <f t="shared" si="9"/>
        <v>0</v>
      </c>
      <c r="CQ26" s="126">
        <f t="shared" si="9"/>
        <v>0</v>
      </c>
      <c r="CR26" s="126">
        <f t="shared" si="9"/>
        <v>0</v>
      </c>
      <c r="CS26" s="126">
        <f t="shared" si="9"/>
        <v>0</v>
      </c>
      <c r="CT26" s="126">
        <f t="shared" si="9"/>
        <v>0</v>
      </c>
      <c r="CU26" s="126">
        <f t="shared" si="9"/>
        <v>0</v>
      </c>
      <c r="CV26" s="126">
        <f t="shared" si="9"/>
        <v>0</v>
      </c>
    </row>
    <row r="27" spans="1:100" s="503" customFormat="1" outlineLevel="1" x14ac:dyDescent="0.2">
      <c r="A27" s="391"/>
      <c r="B27" s="391"/>
      <c r="C27" s="392"/>
      <c r="D27" s="393"/>
      <c r="E27" s="394" t="s">
        <v>838</v>
      </c>
      <c r="F27" s="394"/>
      <c r="G27" s="394" t="str">
        <f xml:space="preserve"> SMU</f>
        <v>$ 000s</v>
      </c>
      <c r="H27" s="394"/>
      <c r="I27" s="395"/>
      <c r="J27" s="394">
        <f t="shared" ref="J27:AO27" si="10" xml:space="preserve"> J23 + J24 - J25 - J26</f>
        <v>31455.562132307692</v>
      </c>
      <c r="K27" s="394">
        <f t="shared" si="10"/>
        <v>100922.24852923077</v>
      </c>
      <c r="L27" s="394">
        <f t="shared" si="10"/>
        <v>170388.93492615386</v>
      </c>
      <c r="M27" s="394">
        <f t="shared" si="10"/>
        <v>237865.62132307695</v>
      </c>
      <c r="N27" s="394">
        <f t="shared" si="10"/>
        <v>295392.30772000004</v>
      </c>
      <c r="O27" s="394">
        <f t="shared" si="10"/>
        <v>288007.50002700003</v>
      </c>
      <c r="P27" s="394">
        <f t="shared" si="10"/>
        <v>280622.69233400002</v>
      </c>
      <c r="Q27" s="394">
        <f t="shared" si="10"/>
        <v>273237.88464100001</v>
      </c>
      <c r="R27" s="394">
        <f t="shared" si="10"/>
        <v>265853.076948</v>
      </c>
      <c r="S27" s="394">
        <f t="shared" si="10"/>
        <v>258468.26925499999</v>
      </c>
      <c r="T27" s="394">
        <f t="shared" si="10"/>
        <v>251083.46156199998</v>
      </c>
      <c r="U27" s="394">
        <f t="shared" si="10"/>
        <v>243698.65386899997</v>
      </c>
      <c r="V27" s="394">
        <f t="shared" si="10"/>
        <v>236313.84617599996</v>
      </c>
      <c r="W27" s="394">
        <f t="shared" si="10"/>
        <v>228929.03848299995</v>
      </c>
      <c r="X27" s="394">
        <f t="shared" si="10"/>
        <v>221544.23078999994</v>
      </c>
      <c r="Y27" s="394">
        <f t="shared" si="10"/>
        <v>214159.42309699993</v>
      </c>
      <c r="Z27" s="394">
        <f t="shared" si="10"/>
        <v>206774.61540399992</v>
      </c>
      <c r="AA27" s="394">
        <f t="shared" si="10"/>
        <v>199389.80771099991</v>
      </c>
      <c r="AB27" s="394">
        <f t="shared" si="10"/>
        <v>192005.0000179999</v>
      </c>
      <c r="AC27" s="394">
        <f t="shared" si="10"/>
        <v>184620.19232499989</v>
      </c>
      <c r="AD27" s="394">
        <f t="shared" si="10"/>
        <v>177235.38463199988</v>
      </c>
      <c r="AE27" s="394">
        <f t="shared" si="10"/>
        <v>169850.57693899987</v>
      </c>
      <c r="AF27" s="394">
        <f t="shared" si="10"/>
        <v>162465.76924599987</v>
      </c>
      <c r="AG27" s="394">
        <f t="shared" si="10"/>
        <v>155080.96155299986</v>
      </c>
      <c r="AH27" s="394">
        <f t="shared" si="10"/>
        <v>147696.15385999985</v>
      </c>
      <c r="AI27" s="394">
        <f t="shared" si="10"/>
        <v>140311.34616699984</v>
      </c>
      <c r="AJ27" s="394">
        <f t="shared" si="10"/>
        <v>132926.53847399983</v>
      </c>
      <c r="AK27" s="394">
        <f t="shared" si="10"/>
        <v>125541.73078099983</v>
      </c>
      <c r="AL27" s="394">
        <f t="shared" si="10"/>
        <v>118156.92308799984</v>
      </c>
      <c r="AM27" s="394">
        <f t="shared" si="10"/>
        <v>110772.11539499984</v>
      </c>
      <c r="AN27" s="394">
        <f t="shared" si="10"/>
        <v>103387.30770199985</v>
      </c>
      <c r="AO27" s="394">
        <f t="shared" si="10"/>
        <v>96002.50000899985</v>
      </c>
      <c r="AP27" s="394">
        <f t="shared" ref="AP27:BU27" si="11" xml:space="preserve"> AP23 + AP24 - AP25 - AP26</f>
        <v>88617.692315999855</v>
      </c>
      <c r="AQ27" s="394">
        <f t="shared" si="11"/>
        <v>81232.88462299986</v>
      </c>
      <c r="AR27" s="394">
        <f t="shared" si="11"/>
        <v>73848.076929999865</v>
      </c>
      <c r="AS27" s="394">
        <f t="shared" si="11"/>
        <v>66463.269236999869</v>
      </c>
      <c r="AT27" s="394">
        <f t="shared" si="11"/>
        <v>59078.461543999874</v>
      </c>
      <c r="AU27" s="394">
        <f t="shared" si="11"/>
        <v>51693.653850999879</v>
      </c>
      <c r="AV27" s="394">
        <f t="shared" si="11"/>
        <v>44308.846157999884</v>
      </c>
      <c r="AW27" s="394">
        <f t="shared" si="11"/>
        <v>36924.038464999889</v>
      </c>
      <c r="AX27" s="394">
        <f t="shared" si="11"/>
        <v>29539.230771999893</v>
      </c>
      <c r="AY27" s="394">
        <f t="shared" si="11"/>
        <v>22154.423078999898</v>
      </c>
      <c r="AZ27" s="394">
        <f t="shared" si="11"/>
        <v>14769.615385999901</v>
      </c>
      <c r="BA27" s="394">
        <f t="shared" si="11"/>
        <v>7384.8076929999042</v>
      </c>
      <c r="BB27" s="394">
        <f t="shared" si="11"/>
        <v>-9.276845958083868E-11</v>
      </c>
      <c r="BC27" s="394">
        <f t="shared" si="11"/>
        <v>-9.276845958083868E-11</v>
      </c>
      <c r="BD27" s="394">
        <f t="shared" si="11"/>
        <v>-9.276845958083868E-11</v>
      </c>
      <c r="BE27" s="394">
        <f t="shared" si="11"/>
        <v>-9.276845958083868E-11</v>
      </c>
      <c r="BF27" s="394">
        <f t="shared" si="11"/>
        <v>-9.276845958083868E-11</v>
      </c>
      <c r="BG27" s="394">
        <f t="shared" si="11"/>
        <v>-9.276845958083868E-11</v>
      </c>
      <c r="BH27" s="394">
        <f t="shared" si="11"/>
        <v>-9.276845958083868E-11</v>
      </c>
      <c r="BI27" s="394">
        <f t="shared" si="11"/>
        <v>-9.276845958083868E-11</v>
      </c>
      <c r="BJ27" s="394">
        <f t="shared" si="11"/>
        <v>-9.276845958083868E-11</v>
      </c>
      <c r="BK27" s="394">
        <f t="shared" si="11"/>
        <v>-9.276845958083868E-11</v>
      </c>
      <c r="BL27" s="394">
        <f t="shared" si="11"/>
        <v>-9.276845958083868E-11</v>
      </c>
      <c r="BM27" s="394">
        <f t="shared" si="11"/>
        <v>-9.276845958083868E-11</v>
      </c>
      <c r="BN27" s="394">
        <f t="shared" si="11"/>
        <v>-9.276845958083868E-11</v>
      </c>
      <c r="BO27" s="394">
        <f t="shared" si="11"/>
        <v>-9.276845958083868E-11</v>
      </c>
      <c r="BP27" s="394">
        <f t="shared" si="11"/>
        <v>-9.276845958083868E-11</v>
      </c>
      <c r="BQ27" s="394">
        <f t="shared" si="11"/>
        <v>-9.276845958083868E-11</v>
      </c>
      <c r="BR27" s="394">
        <f t="shared" si="11"/>
        <v>-9.276845958083868E-11</v>
      </c>
      <c r="BS27" s="394">
        <f t="shared" si="11"/>
        <v>-9.276845958083868E-11</v>
      </c>
      <c r="BT27" s="394">
        <f t="shared" si="11"/>
        <v>-9.276845958083868E-11</v>
      </c>
      <c r="BU27" s="394">
        <f t="shared" si="11"/>
        <v>-9.276845958083868E-11</v>
      </c>
      <c r="BV27" s="394">
        <f t="shared" ref="BV27:CV27" si="12" xml:space="preserve"> BV23 + BV24 - BV25 - BV26</f>
        <v>-9.276845958083868E-11</v>
      </c>
      <c r="BW27" s="394">
        <f t="shared" si="12"/>
        <v>-9.276845958083868E-11</v>
      </c>
      <c r="BX27" s="394">
        <f t="shared" si="12"/>
        <v>-9.276845958083868E-11</v>
      </c>
      <c r="BY27" s="394">
        <f t="shared" si="12"/>
        <v>-9.276845958083868E-11</v>
      </c>
      <c r="BZ27" s="394">
        <f t="shared" si="12"/>
        <v>-9.276845958083868E-11</v>
      </c>
      <c r="CA27" s="394">
        <f t="shared" si="12"/>
        <v>-9.276845958083868E-11</v>
      </c>
      <c r="CB27" s="394">
        <f t="shared" si="12"/>
        <v>-9.276845958083868E-11</v>
      </c>
      <c r="CC27" s="394">
        <f t="shared" si="12"/>
        <v>-9.276845958083868E-11</v>
      </c>
      <c r="CD27" s="394">
        <f t="shared" si="12"/>
        <v>-9.276845958083868E-11</v>
      </c>
      <c r="CE27" s="394">
        <f t="shared" si="12"/>
        <v>-9.276845958083868E-11</v>
      </c>
      <c r="CF27" s="394">
        <f t="shared" si="12"/>
        <v>-9.276845958083868E-11</v>
      </c>
      <c r="CG27" s="394">
        <f t="shared" si="12"/>
        <v>-9.276845958083868E-11</v>
      </c>
      <c r="CH27" s="394">
        <f t="shared" si="12"/>
        <v>-9.276845958083868E-11</v>
      </c>
      <c r="CI27" s="394">
        <f t="shared" si="12"/>
        <v>-9.276845958083868E-11</v>
      </c>
      <c r="CJ27" s="394">
        <f t="shared" si="12"/>
        <v>-9.276845958083868E-11</v>
      </c>
      <c r="CK27" s="394">
        <f t="shared" si="12"/>
        <v>-9.276845958083868E-11</v>
      </c>
      <c r="CL27" s="394">
        <f t="shared" si="12"/>
        <v>-9.276845958083868E-11</v>
      </c>
      <c r="CM27" s="394">
        <f t="shared" si="12"/>
        <v>-9.276845958083868E-11</v>
      </c>
      <c r="CN27" s="394">
        <f t="shared" si="12"/>
        <v>-9.276845958083868E-11</v>
      </c>
      <c r="CO27" s="394">
        <f t="shared" si="12"/>
        <v>-9.276845958083868E-11</v>
      </c>
      <c r="CP27" s="394">
        <f t="shared" si="12"/>
        <v>-9.276845958083868E-11</v>
      </c>
      <c r="CQ27" s="394">
        <f t="shared" si="12"/>
        <v>-9.276845958083868E-11</v>
      </c>
      <c r="CR27" s="394">
        <f t="shared" si="12"/>
        <v>-9.276845958083868E-11</v>
      </c>
      <c r="CS27" s="394">
        <f t="shared" si="12"/>
        <v>-9.276845958083868E-11</v>
      </c>
      <c r="CT27" s="394">
        <f t="shared" si="12"/>
        <v>-9.276845958083868E-11</v>
      </c>
      <c r="CU27" s="394">
        <f t="shared" si="12"/>
        <v>-9.276845958083868E-11</v>
      </c>
      <c r="CV27" s="394">
        <f t="shared" si="12"/>
        <v>-9.276845958083868E-11</v>
      </c>
    </row>
    <row r="28" spans="1:100" s="498" customFormat="1" outlineLevel="1" x14ac:dyDescent="0.2">
      <c r="A28" s="141"/>
      <c r="B28" s="141"/>
      <c r="C28" s="142"/>
      <c r="D28" s="143"/>
      <c r="E28" s="560"/>
      <c r="F28" s="560"/>
      <c r="G28" s="560"/>
      <c r="H28" s="560"/>
      <c r="I28" s="401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60"/>
      <c r="AC28" s="560"/>
      <c r="AD28" s="560"/>
      <c r="AE28" s="560"/>
      <c r="AF28" s="560"/>
      <c r="AG28" s="560"/>
      <c r="AH28" s="560"/>
      <c r="AI28" s="560"/>
      <c r="AJ28" s="560"/>
      <c r="AK28" s="560"/>
      <c r="AL28" s="560"/>
      <c r="AM28" s="560"/>
      <c r="AN28" s="560"/>
      <c r="AO28" s="560"/>
      <c r="AP28" s="560"/>
      <c r="AQ28" s="560"/>
      <c r="AR28" s="560"/>
      <c r="AS28" s="560"/>
      <c r="AT28" s="560"/>
      <c r="AU28" s="560"/>
      <c r="AV28" s="560"/>
      <c r="AW28" s="560"/>
      <c r="AX28" s="560"/>
      <c r="AY28" s="560"/>
      <c r="AZ28" s="560"/>
      <c r="BA28" s="560"/>
      <c r="BB28" s="560"/>
      <c r="BC28" s="560"/>
      <c r="BD28" s="560"/>
      <c r="BE28" s="560"/>
      <c r="BF28" s="560"/>
      <c r="BG28" s="560"/>
      <c r="BH28" s="560"/>
      <c r="BI28" s="560"/>
      <c r="BJ28" s="560"/>
      <c r="BK28" s="560"/>
      <c r="BL28" s="560"/>
      <c r="BM28" s="560"/>
      <c r="BN28" s="560"/>
      <c r="BO28" s="560"/>
      <c r="BP28" s="560"/>
      <c r="BQ28" s="560"/>
      <c r="BR28" s="560"/>
      <c r="BS28" s="560"/>
      <c r="BT28" s="560"/>
      <c r="BU28" s="560"/>
      <c r="BV28" s="560"/>
      <c r="BW28" s="560"/>
      <c r="BX28" s="560"/>
      <c r="BY28" s="560"/>
      <c r="BZ28" s="560"/>
      <c r="CA28" s="560"/>
      <c r="CB28" s="560"/>
      <c r="CC28" s="560"/>
      <c r="CD28" s="560"/>
      <c r="CE28" s="560"/>
      <c r="CF28" s="560"/>
      <c r="CG28" s="560"/>
      <c r="CH28" s="560"/>
      <c r="CI28" s="560"/>
      <c r="CJ28" s="560"/>
      <c r="CK28" s="560"/>
      <c r="CL28" s="560"/>
      <c r="CM28" s="560"/>
      <c r="CN28" s="560"/>
      <c r="CO28" s="560"/>
      <c r="CP28" s="560"/>
      <c r="CQ28" s="560"/>
      <c r="CR28" s="560"/>
      <c r="CS28" s="560"/>
      <c r="CT28" s="560"/>
      <c r="CU28" s="560"/>
      <c r="CV28" s="560"/>
    </row>
    <row r="29" spans="1:100" x14ac:dyDescent="0.2"/>
    <row r="30" spans="1:100" x14ac:dyDescent="0.2">
      <c r="A30" s="15" t="s">
        <v>302</v>
      </c>
    </row>
    <row r="31" spans="1:100" outlineLevel="1" x14ac:dyDescent="0.2"/>
    <row r="32" spans="1:100" outlineLevel="1" x14ac:dyDescent="0.2">
      <c r="E32" s="145" t="str">
        <f xml:space="preserve"> ConFin!E$602</f>
        <v>Total financing costs incl. rolled up costs - m</v>
      </c>
      <c r="F32" s="145">
        <f xml:space="preserve"> ConFin!F$602</f>
        <v>24335.550022039701</v>
      </c>
      <c r="G32" s="145" t="str">
        <f xml:space="preserve"> ConFin!G$602</f>
        <v>$ 000s</v>
      </c>
      <c r="H32" s="38"/>
    </row>
    <row r="33" spans="1:100" outlineLevel="1" x14ac:dyDescent="0.2">
      <c r="E33" s="390" t="str">
        <f xml:space="preserve"> InpC!E$261</f>
        <v>Senior debt - T1 repayment term post COD</v>
      </c>
      <c r="F33" s="390">
        <f xml:space="preserve"> InpC!F$261</f>
        <v>17</v>
      </c>
      <c r="G33" s="390" t="str">
        <f xml:space="preserve"> InpC!G$261</f>
        <v>years</v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</row>
    <row r="34" spans="1:100" outlineLevel="1" x14ac:dyDescent="0.2">
      <c r="E34" s="390" t="str">
        <f xml:space="preserve"> InpC!E$301</f>
        <v>Senior debt - T2 repayment term post COD</v>
      </c>
      <c r="F34" s="390">
        <f xml:space="preserve"> InpC!F$301</f>
        <v>15</v>
      </c>
      <c r="G34" s="390" t="str">
        <f xml:space="preserve"> InpC!G$301</f>
        <v>years</v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</row>
    <row r="35" spans="1:100" outlineLevel="1" x14ac:dyDescent="0.2">
      <c r="E35" s="396" t="str">
        <f xml:space="preserve"> InpC!E$415</f>
        <v>Number of periods in a year</v>
      </c>
      <c r="F35" s="396">
        <f xml:space="preserve"> InpC!F$415</f>
        <v>2</v>
      </c>
      <c r="G35" s="396" t="str">
        <f xml:space="preserve"> InpC!G$415</f>
        <v>periods</v>
      </c>
    </row>
    <row r="36" spans="1:100" outlineLevel="1" x14ac:dyDescent="0.2">
      <c r="E36" s="189" t="str">
        <f xml:space="preserve"> Time!E$209</f>
        <v>Senior debt service period flag</v>
      </c>
      <c r="F36" s="189">
        <f xml:space="preserve"> Time!F$209</f>
        <v>0</v>
      </c>
      <c r="G36" s="189" t="str">
        <f xml:space="preserve"> Time!G$209</f>
        <v>flag</v>
      </c>
      <c r="H36" s="189">
        <f xml:space="preserve"> Time!H$209</f>
        <v>34</v>
      </c>
      <c r="I36" s="189">
        <f xml:space="preserve"> Time!I$209</f>
        <v>0</v>
      </c>
      <c r="J36" s="189">
        <f xml:space="preserve"> Time!J$209</f>
        <v>0</v>
      </c>
      <c r="K36" s="189">
        <f xml:space="preserve"> Time!K$209</f>
        <v>0</v>
      </c>
      <c r="L36" s="189">
        <f xml:space="preserve"> Time!L$209</f>
        <v>0</v>
      </c>
      <c r="M36" s="189">
        <f xml:space="preserve"> Time!M$209</f>
        <v>0</v>
      </c>
      <c r="N36" s="189">
        <f xml:space="preserve"> Time!N$209</f>
        <v>0</v>
      </c>
      <c r="O36" s="189">
        <f xml:space="preserve"> Time!O$209</f>
        <v>1</v>
      </c>
      <c r="P36" s="189">
        <f xml:space="preserve"> Time!P$209</f>
        <v>1</v>
      </c>
      <c r="Q36" s="189">
        <f xml:space="preserve"> Time!Q$209</f>
        <v>1</v>
      </c>
      <c r="R36" s="189">
        <f xml:space="preserve"> Time!R$209</f>
        <v>1</v>
      </c>
      <c r="S36" s="189">
        <f xml:space="preserve"> Time!S$209</f>
        <v>1</v>
      </c>
      <c r="T36" s="189">
        <f xml:space="preserve"> Time!T$209</f>
        <v>1</v>
      </c>
      <c r="U36" s="189">
        <f xml:space="preserve"> Time!U$209</f>
        <v>1</v>
      </c>
      <c r="V36" s="189">
        <f xml:space="preserve"> Time!V$209</f>
        <v>1</v>
      </c>
      <c r="W36" s="189">
        <f xml:space="preserve"> Time!W$209</f>
        <v>1</v>
      </c>
      <c r="X36" s="189">
        <f xml:space="preserve"> Time!X$209</f>
        <v>1</v>
      </c>
      <c r="Y36" s="189">
        <f xml:space="preserve"> Time!Y$209</f>
        <v>1</v>
      </c>
      <c r="Z36" s="189">
        <f xml:space="preserve"> Time!Z$209</f>
        <v>1</v>
      </c>
      <c r="AA36" s="189">
        <f xml:space="preserve"> Time!AA$209</f>
        <v>1</v>
      </c>
      <c r="AB36" s="189">
        <f xml:space="preserve"> Time!AB$209</f>
        <v>1</v>
      </c>
      <c r="AC36" s="189">
        <f xml:space="preserve"> Time!AC$209</f>
        <v>1</v>
      </c>
      <c r="AD36" s="189">
        <f xml:space="preserve"> Time!AD$209</f>
        <v>1</v>
      </c>
      <c r="AE36" s="189">
        <f xml:space="preserve"> Time!AE$209</f>
        <v>1</v>
      </c>
      <c r="AF36" s="189">
        <f xml:space="preserve"> Time!AF$209</f>
        <v>1</v>
      </c>
      <c r="AG36" s="189">
        <f xml:space="preserve"> Time!AG$209</f>
        <v>1</v>
      </c>
      <c r="AH36" s="189">
        <f xml:space="preserve"> Time!AH$209</f>
        <v>1</v>
      </c>
      <c r="AI36" s="189">
        <f xml:space="preserve"> Time!AI$209</f>
        <v>1</v>
      </c>
      <c r="AJ36" s="189">
        <f xml:space="preserve"> Time!AJ$209</f>
        <v>1</v>
      </c>
      <c r="AK36" s="189">
        <f xml:space="preserve"> Time!AK$209</f>
        <v>1</v>
      </c>
      <c r="AL36" s="189">
        <f xml:space="preserve"> Time!AL$209</f>
        <v>1</v>
      </c>
      <c r="AM36" s="189">
        <f xml:space="preserve"> Time!AM$209</f>
        <v>1</v>
      </c>
      <c r="AN36" s="189">
        <f xml:space="preserve"> Time!AN$209</f>
        <v>1</v>
      </c>
      <c r="AO36" s="189">
        <f xml:space="preserve"> Time!AO$209</f>
        <v>1</v>
      </c>
      <c r="AP36" s="189">
        <f xml:space="preserve"> Time!AP$209</f>
        <v>1</v>
      </c>
      <c r="AQ36" s="189">
        <f xml:space="preserve"> Time!AQ$209</f>
        <v>1</v>
      </c>
      <c r="AR36" s="189">
        <f xml:space="preserve"> Time!AR$209</f>
        <v>1</v>
      </c>
      <c r="AS36" s="189">
        <f xml:space="preserve"> Time!AS$209</f>
        <v>1</v>
      </c>
      <c r="AT36" s="189">
        <f xml:space="preserve"> Time!AT$209</f>
        <v>1</v>
      </c>
      <c r="AU36" s="189">
        <f xml:space="preserve"> Time!AU$209</f>
        <v>1</v>
      </c>
      <c r="AV36" s="189">
        <f xml:space="preserve"> Time!AV$209</f>
        <v>1</v>
      </c>
      <c r="AW36" s="189">
        <f xml:space="preserve"> Time!AW$209</f>
        <v>0</v>
      </c>
      <c r="AX36" s="189">
        <f xml:space="preserve"> Time!AX$209</f>
        <v>0</v>
      </c>
      <c r="AY36" s="189">
        <f xml:space="preserve"> Time!AY$209</f>
        <v>0</v>
      </c>
      <c r="AZ36" s="189">
        <f xml:space="preserve"> Time!AZ$209</f>
        <v>0</v>
      </c>
      <c r="BA36" s="189">
        <f xml:space="preserve"> Time!BA$209</f>
        <v>0</v>
      </c>
      <c r="BB36" s="189">
        <f xml:space="preserve"> Time!BB$209</f>
        <v>0</v>
      </c>
      <c r="BC36" s="189">
        <f xml:space="preserve"> Time!BC$209</f>
        <v>0</v>
      </c>
      <c r="BD36" s="189">
        <f xml:space="preserve"> Time!BD$209</f>
        <v>0</v>
      </c>
      <c r="BE36" s="189">
        <f xml:space="preserve"> Time!BE$209</f>
        <v>0</v>
      </c>
      <c r="BF36" s="189">
        <f xml:space="preserve"> Time!BF$209</f>
        <v>0</v>
      </c>
      <c r="BG36" s="189">
        <f xml:space="preserve"> Time!BG$209</f>
        <v>0</v>
      </c>
      <c r="BH36" s="189">
        <f xml:space="preserve"> Time!BH$209</f>
        <v>0</v>
      </c>
      <c r="BI36" s="189">
        <f xml:space="preserve"> Time!BI$209</f>
        <v>0</v>
      </c>
      <c r="BJ36" s="189">
        <f xml:space="preserve"> Time!BJ$209</f>
        <v>0</v>
      </c>
      <c r="BK36" s="189">
        <f xml:space="preserve"> Time!BK$209</f>
        <v>0</v>
      </c>
      <c r="BL36" s="189">
        <f xml:space="preserve"> Time!BL$209</f>
        <v>0</v>
      </c>
      <c r="BM36" s="189">
        <f xml:space="preserve"> Time!BM$209</f>
        <v>0</v>
      </c>
      <c r="BN36" s="189">
        <f xml:space="preserve"> Time!BN$209</f>
        <v>0</v>
      </c>
      <c r="BO36" s="189">
        <f xml:space="preserve"> Time!BO$209</f>
        <v>0</v>
      </c>
      <c r="BP36" s="189">
        <f xml:space="preserve"> Time!BP$209</f>
        <v>0</v>
      </c>
      <c r="BQ36" s="189">
        <f xml:space="preserve"> Time!BQ$209</f>
        <v>0</v>
      </c>
      <c r="BR36" s="189">
        <f xml:space="preserve"> Time!BR$209</f>
        <v>0</v>
      </c>
      <c r="BS36" s="189">
        <f xml:space="preserve"> Time!BS$209</f>
        <v>0</v>
      </c>
      <c r="BT36" s="189">
        <f xml:space="preserve"> Time!BT$209</f>
        <v>0</v>
      </c>
      <c r="BU36" s="189">
        <f xml:space="preserve"> Time!BU$209</f>
        <v>0</v>
      </c>
      <c r="BV36" s="189">
        <f xml:space="preserve"> Time!BV$209</f>
        <v>0</v>
      </c>
      <c r="BW36" s="189">
        <f xml:space="preserve"> Time!BW$209</f>
        <v>0</v>
      </c>
      <c r="BX36" s="189">
        <f xml:space="preserve"> Time!BX$209</f>
        <v>0</v>
      </c>
      <c r="BY36" s="189">
        <f xml:space="preserve"> Time!BY$209</f>
        <v>0</v>
      </c>
      <c r="BZ36" s="189">
        <f xml:space="preserve"> Time!BZ$209</f>
        <v>0</v>
      </c>
      <c r="CA36" s="189">
        <f xml:space="preserve"> Time!CA$209</f>
        <v>0</v>
      </c>
      <c r="CB36" s="189">
        <f xml:space="preserve"> Time!CB$209</f>
        <v>0</v>
      </c>
      <c r="CC36" s="189">
        <f xml:space="preserve"> Time!CC$209</f>
        <v>0</v>
      </c>
      <c r="CD36" s="189">
        <f xml:space="preserve"> Time!CD$209</f>
        <v>0</v>
      </c>
      <c r="CE36" s="189">
        <f xml:space="preserve"> Time!CE$209</f>
        <v>0</v>
      </c>
      <c r="CF36" s="189">
        <f xml:space="preserve"> Time!CF$209</f>
        <v>0</v>
      </c>
      <c r="CG36" s="189">
        <f xml:space="preserve"> Time!CG$209</f>
        <v>0</v>
      </c>
      <c r="CH36" s="189">
        <f xml:space="preserve"> Time!CH$209</f>
        <v>0</v>
      </c>
      <c r="CI36" s="189">
        <f xml:space="preserve"> Time!CI$209</f>
        <v>0</v>
      </c>
      <c r="CJ36" s="189">
        <f xml:space="preserve"> Time!CJ$209</f>
        <v>0</v>
      </c>
      <c r="CK36" s="189">
        <f xml:space="preserve"> Time!CK$209</f>
        <v>0</v>
      </c>
      <c r="CL36" s="189">
        <f xml:space="preserve"> Time!CL$209</f>
        <v>0</v>
      </c>
      <c r="CM36" s="189">
        <f xml:space="preserve"> Time!CM$209</f>
        <v>0</v>
      </c>
      <c r="CN36" s="189">
        <f xml:space="preserve"> Time!CN$209</f>
        <v>0</v>
      </c>
      <c r="CO36" s="189">
        <f xml:space="preserve"> Time!CO$209</f>
        <v>0</v>
      </c>
      <c r="CP36" s="189">
        <f xml:space="preserve"> Time!CP$209</f>
        <v>0</v>
      </c>
      <c r="CQ36" s="189">
        <f xml:space="preserve"> Time!CQ$209</f>
        <v>0</v>
      </c>
      <c r="CR36" s="189">
        <f xml:space="preserve"> Time!CR$209</f>
        <v>0</v>
      </c>
      <c r="CS36" s="189">
        <f xml:space="preserve"> Time!CS$209</f>
        <v>0</v>
      </c>
      <c r="CT36" s="189">
        <f xml:space="preserve"> Time!CT$209</f>
        <v>0</v>
      </c>
      <c r="CU36" s="189">
        <f xml:space="preserve"> Time!CU$209</f>
        <v>0</v>
      </c>
      <c r="CV36" s="189">
        <f xml:space="preserve"> Time!CV$209</f>
        <v>0</v>
      </c>
    </row>
    <row r="37" spans="1:100" s="1141" customFormat="1" outlineLevel="1" x14ac:dyDescent="0.2">
      <c r="A37" s="141"/>
      <c r="B37" s="141"/>
      <c r="C37" s="142"/>
      <c r="D37" s="143"/>
      <c r="E37" s="187" t="s">
        <v>303</v>
      </c>
      <c r="F37" s="187"/>
      <c r="G37" s="187" t="str">
        <f xml:space="preserve"> SMU</f>
        <v>$ 000s</v>
      </c>
      <c r="H37" s="187">
        <f xml:space="preserve"> SUM(J37:CV37)</f>
        <v>24335.550022039683</v>
      </c>
      <c r="I37" s="144"/>
      <c r="J37" s="187">
        <f t="shared" ref="J37:AO37" si="13" xml:space="preserve"> $F32 / MAX($F33, $F34) / $F35 * J36</f>
        <v>0</v>
      </c>
      <c r="K37" s="187">
        <f t="shared" si="13"/>
        <v>0</v>
      </c>
      <c r="L37" s="187">
        <f t="shared" si="13"/>
        <v>0</v>
      </c>
      <c r="M37" s="187">
        <f t="shared" si="13"/>
        <v>0</v>
      </c>
      <c r="N37" s="187">
        <f t="shared" si="13"/>
        <v>0</v>
      </c>
      <c r="O37" s="187">
        <f t="shared" si="13"/>
        <v>715.75147123646184</v>
      </c>
      <c r="P37" s="187">
        <f t="shared" si="13"/>
        <v>715.75147123646184</v>
      </c>
      <c r="Q37" s="187">
        <f t="shared" si="13"/>
        <v>715.75147123646184</v>
      </c>
      <c r="R37" s="187">
        <f t="shared" si="13"/>
        <v>715.75147123646184</v>
      </c>
      <c r="S37" s="187">
        <f t="shared" si="13"/>
        <v>715.75147123646184</v>
      </c>
      <c r="T37" s="187">
        <f t="shared" si="13"/>
        <v>715.75147123646184</v>
      </c>
      <c r="U37" s="187">
        <f t="shared" si="13"/>
        <v>715.75147123646184</v>
      </c>
      <c r="V37" s="187">
        <f t="shared" si="13"/>
        <v>715.75147123646184</v>
      </c>
      <c r="W37" s="187">
        <f t="shared" si="13"/>
        <v>715.75147123646184</v>
      </c>
      <c r="X37" s="187">
        <f t="shared" si="13"/>
        <v>715.75147123646184</v>
      </c>
      <c r="Y37" s="187">
        <f t="shared" si="13"/>
        <v>715.75147123646184</v>
      </c>
      <c r="Z37" s="187">
        <f t="shared" si="13"/>
        <v>715.75147123646184</v>
      </c>
      <c r="AA37" s="187">
        <f t="shared" si="13"/>
        <v>715.75147123646184</v>
      </c>
      <c r="AB37" s="187">
        <f t="shared" si="13"/>
        <v>715.75147123646184</v>
      </c>
      <c r="AC37" s="187">
        <f t="shared" si="13"/>
        <v>715.75147123646184</v>
      </c>
      <c r="AD37" s="187">
        <f t="shared" si="13"/>
        <v>715.75147123646184</v>
      </c>
      <c r="AE37" s="187">
        <f t="shared" si="13"/>
        <v>715.75147123646184</v>
      </c>
      <c r="AF37" s="187">
        <f t="shared" si="13"/>
        <v>715.75147123646184</v>
      </c>
      <c r="AG37" s="187">
        <f t="shared" si="13"/>
        <v>715.75147123646184</v>
      </c>
      <c r="AH37" s="187">
        <f t="shared" si="13"/>
        <v>715.75147123646184</v>
      </c>
      <c r="AI37" s="187">
        <f t="shared" si="13"/>
        <v>715.75147123646184</v>
      </c>
      <c r="AJ37" s="187">
        <f t="shared" si="13"/>
        <v>715.75147123646184</v>
      </c>
      <c r="AK37" s="187">
        <f t="shared" si="13"/>
        <v>715.75147123646184</v>
      </c>
      <c r="AL37" s="187">
        <f t="shared" si="13"/>
        <v>715.75147123646184</v>
      </c>
      <c r="AM37" s="187">
        <f t="shared" si="13"/>
        <v>715.75147123646184</v>
      </c>
      <c r="AN37" s="187">
        <f t="shared" si="13"/>
        <v>715.75147123646184</v>
      </c>
      <c r="AO37" s="187">
        <f t="shared" si="13"/>
        <v>715.75147123646184</v>
      </c>
      <c r="AP37" s="187">
        <f t="shared" ref="AP37:BU37" si="14" xml:space="preserve"> $F32 / MAX($F33, $F34) / $F35 * AP36</f>
        <v>715.75147123646184</v>
      </c>
      <c r="AQ37" s="187">
        <f t="shared" si="14"/>
        <v>715.75147123646184</v>
      </c>
      <c r="AR37" s="187">
        <f t="shared" si="14"/>
        <v>715.75147123646184</v>
      </c>
      <c r="AS37" s="187">
        <f t="shared" si="14"/>
        <v>715.75147123646184</v>
      </c>
      <c r="AT37" s="187">
        <f t="shared" si="14"/>
        <v>715.75147123646184</v>
      </c>
      <c r="AU37" s="187">
        <f t="shared" si="14"/>
        <v>715.75147123646184</v>
      </c>
      <c r="AV37" s="187">
        <f t="shared" si="14"/>
        <v>715.75147123646184</v>
      </c>
      <c r="AW37" s="187">
        <f t="shared" si="14"/>
        <v>0</v>
      </c>
      <c r="AX37" s="187">
        <f t="shared" si="14"/>
        <v>0</v>
      </c>
      <c r="AY37" s="187">
        <f t="shared" si="14"/>
        <v>0</v>
      </c>
      <c r="AZ37" s="187">
        <f t="shared" si="14"/>
        <v>0</v>
      </c>
      <c r="BA37" s="187">
        <f t="shared" si="14"/>
        <v>0</v>
      </c>
      <c r="BB37" s="187">
        <f t="shared" si="14"/>
        <v>0</v>
      </c>
      <c r="BC37" s="187">
        <f t="shared" si="14"/>
        <v>0</v>
      </c>
      <c r="BD37" s="187">
        <f t="shared" si="14"/>
        <v>0</v>
      </c>
      <c r="BE37" s="187">
        <f t="shared" si="14"/>
        <v>0</v>
      </c>
      <c r="BF37" s="187">
        <f t="shared" si="14"/>
        <v>0</v>
      </c>
      <c r="BG37" s="187">
        <f t="shared" si="14"/>
        <v>0</v>
      </c>
      <c r="BH37" s="187">
        <f t="shared" si="14"/>
        <v>0</v>
      </c>
      <c r="BI37" s="187">
        <f t="shared" si="14"/>
        <v>0</v>
      </c>
      <c r="BJ37" s="187">
        <f t="shared" si="14"/>
        <v>0</v>
      </c>
      <c r="BK37" s="187">
        <f t="shared" si="14"/>
        <v>0</v>
      </c>
      <c r="BL37" s="187">
        <f t="shared" si="14"/>
        <v>0</v>
      </c>
      <c r="BM37" s="187">
        <f t="shared" si="14"/>
        <v>0</v>
      </c>
      <c r="BN37" s="187">
        <f t="shared" si="14"/>
        <v>0</v>
      </c>
      <c r="BO37" s="187">
        <f t="shared" si="14"/>
        <v>0</v>
      </c>
      <c r="BP37" s="187">
        <f t="shared" si="14"/>
        <v>0</v>
      </c>
      <c r="BQ37" s="187">
        <f t="shared" si="14"/>
        <v>0</v>
      </c>
      <c r="BR37" s="187">
        <f t="shared" si="14"/>
        <v>0</v>
      </c>
      <c r="BS37" s="187">
        <f t="shared" si="14"/>
        <v>0</v>
      </c>
      <c r="BT37" s="187">
        <f t="shared" si="14"/>
        <v>0</v>
      </c>
      <c r="BU37" s="187">
        <f t="shared" si="14"/>
        <v>0</v>
      </c>
      <c r="BV37" s="187">
        <f t="shared" ref="BV37:CV37" si="15" xml:space="preserve"> $F32 / MAX($F33, $F34) / $F35 * BV36</f>
        <v>0</v>
      </c>
      <c r="BW37" s="187">
        <f t="shared" si="15"/>
        <v>0</v>
      </c>
      <c r="BX37" s="187">
        <f t="shared" si="15"/>
        <v>0</v>
      </c>
      <c r="BY37" s="187">
        <f t="shared" si="15"/>
        <v>0</v>
      </c>
      <c r="BZ37" s="187">
        <f t="shared" si="15"/>
        <v>0</v>
      </c>
      <c r="CA37" s="187">
        <f t="shared" si="15"/>
        <v>0</v>
      </c>
      <c r="CB37" s="187">
        <f t="shared" si="15"/>
        <v>0</v>
      </c>
      <c r="CC37" s="187">
        <f t="shared" si="15"/>
        <v>0</v>
      </c>
      <c r="CD37" s="187">
        <f t="shared" si="15"/>
        <v>0</v>
      </c>
      <c r="CE37" s="187">
        <f t="shared" si="15"/>
        <v>0</v>
      </c>
      <c r="CF37" s="187">
        <f t="shared" si="15"/>
        <v>0</v>
      </c>
      <c r="CG37" s="187">
        <f t="shared" si="15"/>
        <v>0</v>
      </c>
      <c r="CH37" s="187">
        <f t="shared" si="15"/>
        <v>0</v>
      </c>
      <c r="CI37" s="187">
        <f t="shared" si="15"/>
        <v>0</v>
      </c>
      <c r="CJ37" s="187">
        <f t="shared" si="15"/>
        <v>0</v>
      </c>
      <c r="CK37" s="187">
        <f t="shared" si="15"/>
        <v>0</v>
      </c>
      <c r="CL37" s="187">
        <f t="shared" si="15"/>
        <v>0</v>
      </c>
      <c r="CM37" s="187">
        <f t="shared" si="15"/>
        <v>0</v>
      </c>
      <c r="CN37" s="187">
        <f t="shared" si="15"/>
        <v>0</v>
      </c>
      <c r="CO37" s="187">
        <f t="shared" si="15"/>
        <v>0</v>
      </c>
      <c r="CP37" s="187">
        <f t="shared" si="15"/>
        <v>0</v>
      </c>
      <c r="CQ37" s="187">
        <f t="shared" si="15"/>
        <v>0</v>
      </c>
      <c r="CR37" s="187">
        <f t="shared" si="15"/>
        <v>0</v>
      </c>
      <c r="CS37" s="187">
        <f t="shared" si="15"/>
        <v>0</v>
      </c>
      <c r="CT37" s="187">
        <f t="shared" si="15"/>
        <v>0</v>
      </c>
      <c r="CU37" s="187">
        <f t="shared" si="15"/>
        <v>0</v>
      </c>
      <c r="CV37" s="187">
        <f t="shared" si="15"/>
        <v>0</v>
      </c>
    </row>
    <row r="38" spans="1:100" s="188" customFormat="1" outlineLevel="1" x14ac:dyDescent="0.2">
      <c r="A38" s="141"/>
      <c r="B38" s="141"/>
      <c r="C38" s="142"/>
      <c r="D38" s="143"/>
      <c r="E38" s="187" t="str">
        <f xml:space="preserve"> LEFT(E37, LEN(E37) - 4)</f>
        <v>Amortisation of capitalised finance costs</v>
      </c>
      <c r="F38" s="187"/>
      <c r="G38" s="187" t="str">
        <f xml:space="preserve"> SMU</f>
        <v>$ 000s</v>
      </c>
      <c r="H38" s="187">
        <f xml:space="preserve"> SUM(J38:CV38)</f>
        <v>-24335.550022039683</v>
      </c>
      <c r="I38" s="144"/>
      <c r="J38" s="187">
        <f t="shared" ref="J38:BU38" si="16" xml:space="preserve"> -1 * J37</f>
        <v>0</v>
      </c>
      <c r="K38" s="187">
        <f t="shared" si="16"/>
        <v>0</v>
      </c>
      <c r="L38" s="187">
        <f t="shared" si="16"/>
        <v>0</v>
      </c>
      <c r="M38" s="187">
        <f t="shared" si="16"/>
        <v>0</v>
      </c>
      <c r="N38" s="187">
        <f t="shared" si="16"/>
        <v>0</v>
      </c>
      <c r="O38" s="187">
        <f t="shared" si="16"/>
        <v>-715.75147123646184</v>
      </c>
      <c r="P38" s="187">
        <f t="shared" si="16"/>
        <v>-715.75147123646184</v>
      </c>
      <c r="Q38" s="187">
        <f t="shared" si="16"/>
        <v>-715.75147123646184</v>
      </c>
      <c r="R38" s="187">
        <f t="shared" si="16"/>
        <v>-715.75147123646184</v>
      </c>
      <c r="S38" s="187">
        <f t="shared" si="16"/>
        <v>-715.75147123646184</v>
      </c>
      <c r="T38" s="187">
        <f t="shared" si="16"/>
        <v>-715.75147123646184</v>
      </c>
      <c r="U38" s="187">
        <f t="shared" si="16"/>
        <v>-715.75147123646184</v>
      </c>
      <c r="V38" s="187">
        <f t="shared" si="16"/>
        <v>-715.75147123646184</v>
      </c>
      <c r="W38" s="187">
        <f t="shared" si="16"/>
        <v>-715.75147123646184</v>
      </c>
      <c r="X38" s="187">
        <f t="shared" si="16"/>
        <v>-715.75147123646184</v>
      </c>
      <c r="Y38" s="187">
        <f t="shared" si="16"/>
        <v>-715.75147123646184</v>
      </c>
      <c r="Z38" s="187">
        <f t="shared" si="16"/>
        <v>-715.75147123646184</v>
      </c>
      <c r="AA38" s="187">
        <f t="shared" si="16"/>
        <v>-715.75147123646184</v>
      </c>
      <c r="AB38" s="187">
        <f t="shared" si="16"/>
        <v>-715.75147123646184</v>
      </c>
      <c r="AC38" s="187">
        <f t="shared" si="16"/>
        <v>-715.75147123646184</v>
      </c>
      <c r="AD38" s="187">
        <f t="shared" si="16"/>
        <v>-715.75147123646184</v>
      </c>
      <c r="AE38" s="187">
        <f t="shared" si="16"/>
        <v>-715.75147123646184</v>
      </c>
      <c r="AF38" s="187">
        <f t="shared" si="16"/>
        <v>-715.75147123646184</v>
      </c>
      <c r="AG38" s="187">
        <f t="shared" si="16"/>
        <v>-715.75147123646184</v>
      </c>
      <c r="AH38" s="187">
        <f t="shared" si="16"/>
        <v>-715.75147123646184</v>
      </c>
      <c r="AI38" s="187">
        <f t="shared" si="16"/>
        <v>-715.75147123646184</v>
      </c>
      <c r="AJ38" s="187">
        <f t="shared" si="16"/>
        <v>-715.75147123646184</v>
      </c>
      <c r="AK38" s="187">
        <f t="shared" si="16"/>
        <v>-715.75147123646184</v>
      </c>
      <c r="AL38" s="187">
        <f t="shared" si="16"/>
        <v>-715.75147123646184</v>
      </c>
      <c r="AM38" s="187">
        <f t="shared" si="16"/>
        <v>-715.75147123646184</v>
      </c>
      <c r="AN38" s="187">
        <f t="shared" si="16"/>
        <v>-715.75147123646184</v>
      </c>
      <c r="AO38" s="187">
        <f t="shared" si="16"/>
        <v>-715.75147123646184</v>
      </c>
      <c r="AP38" s="187">
        <f t="shared" si="16"/>
        <v>-715.75147123646184</v>
      </c>
      <c r="AQ38" s="187">
        <f t="shared" si="16"/>
        <v>-715.75147123646184</v>
      </c>
      <c r="AR38" s="187">
        <f t="shared" si="16"/>
        <v>-715.75147123646184</v>
      </c>
      <c r="AS38" s="187">
        <f t="shared" si="16"/>
        <v>-715.75147123646184</v>
      </c>
      <c r="AT38" s="187">
        <f t="shared" si="16"/>
        <v>-715.75147123646184</v>
      </c>
      <c r="AU38" s="187">
        <f t="shared" si="16"/>
        <v>-715.75147123646184</v>
      </c>
      <c r="AV38" s="187">
        <f t="shared" si="16"/>
        <v>-715.75147123646184</v>
      </c>
      <c r="AW38" s="187">
        <f t="shared" si="16"/>
        <v>0</v>
      </c>
      <c r="AX38" s="187">
        <f t="shared" si="16"/>
        <v>0</v>
      </c>
      <c r="AY38" s="187">
        <f t="shared" si="16"/>
        <v>0</v>
      </c>
      <c r="AZ38" s="187">
        <f t="shared" si="16"/>
        <v>0</v>
      </c>
      <c r="BA38" s="187">
        <f t="shared" si="16"/>
        <v>0</v>
      </c>
      <c r="BB38" s="187">
        <f t="shared" si="16"/>
        <v>0</v>
      </c>
      <c r="BC38" s="187">
        <f t="shared" si="16"/>
        <v>0</v>
      </c>
      <c r="BD38" s="187">
        <f t="shared" si="16"/>
        <v>0</v>
      </c>
      <c r="BE38" s="187">
        <f t="shared" si="16"/>
        <v>0</v>
      </c>
      <c r="BF38" s="187">
        <f t="shared" si="16"/>
        <v>0</v>
      </c>
      <c r="BG38" s="187">
        <f t="shared" si="16"/>
        <v>0</v>
      </c>
      <c r="BH38" s="187">
        <f t="shared" si="16"/>
        <v>0</v>
      </c>
      <c r="BI38" s="187">
        <f t="shared" si="16"/>
        <v>0</v>
      </c>
      <c r="BJ38" s="187">
        <f t="shared" si="16"/>
        <v>0</v>
      </c>
      <c r="BK38" s="187">
        <f t="shared" si="16"/>
        <v>0</v>
      </c>
      <c r="BL38" s="187">
        <f t="shared" si="16"/>
        <v>0</v>
      </c>
      <c r="BM38" s="187">
        <f t="shared" si="16"/>
        <v>0</v>
      </c>
      <c r="BN38" s="187">
        <f t="shared" si="16"/>
        <v>0</v>
      </c>
      <c r="BO38" s="187">
        <f t="shared" si="16"/>
        <v>0</v>
      </c>
      <c r="BP38" s="187">
        <f t="shared" si="16"/>
        <v>0</v>
      </c>
      <c r="BQ38" s="187">
        <f t="shared" si="16"/>
        <v>0</v>
      </c>
      <c r="BR38" s="187">
        <f t="shared" si="16"/>
        <v>0</v>
      </c>
      <c r="BS38" s="187">
        <f t="shared" si="16"/>
        <v>0</v>
      </c>
      <c r="BT38" s="187">
        <f t="shared" si="16"/>
        <v>0</v>
      </c>
      <c r="BU38" s="187">
        <f t="shared" si="16"/>
        <v>0</v>
      </c>
      <c r="BV38" s="187">
        <f t="shared" ref="BV38:CV38" si="17" xml:space="preserve"> -1 * BV37</f>
        <v>0</v>
      </c>
      <c r="BW38" s="187">
        <f t="shared" si="17"/>
        <v>0</v>
      </c>
      <c r="BX38" s="187">
        <f t="shared" si="17"/>
        <v>0</v>
      </c>
      <c r="BY38" s="187">
        <f t="shared" si="17"/>
        <v>0</v>
      </c>
      <c r="BZ38" s="187">
        <f t="shared" si="17"/>
        <v>0</v>
      </c>
      <c r="CA38" s="187">
        <f t="shared" si="17"/>
        <v>0</v>
      </c>
      <c r="CB38" s="187">
        <f t="shared" si="17"/>
        <v>0</v>
      </c>
      <c r="CC38" s="187">
        <f t="shared" si="17"/>
        <v>0</v>
      </c>
      <c r="CD38" s="187">
        <f t="shared" si="17"/>
        <v>0</v>
      </c>
      <c r="CE38" s="187">
        <f t="shared" si="17"/>
        <v>0</v>
      </c>
      <c r="CF38" s="187">
        <f t="shared" si="17"/>
        <v>0</v>
      </c>
      <c r="CG38" s="187">
        <f t="shared" si="17"/>
        <v>0</v>
      </c>
      <c r="CH38" s="187">
        <f t="shared" si="17"/>
        <v>0</v>
      </c>
      <c r="CI38" s="187">
        <f t="shared" si="17"/>
        <v>0</v>
      </c>
      <c r="CJ38" s="187">
        <f t="shared" si="17"/>
        <v>0</v>
      </c>
      <c r="CK38" s="187">
        <f t="shared" si="17"/>
        <v>0</v>
      </c>
      <c r="CL38" s="187">
        <f t="shared" si="17"/>
        <v>0</v>
      </c>
      <c r="CM38" s="187">
        <f t="shared" si="17"/>
        <v>0</v>
      </c>
      <c r="CN38" s="187">
        <f t="shared" si="17"/>
        <v>0</v>
      </c>
      <c r="CO38" s="187">
        <f t="shared" si="17"/>
        <v>0</v>
      </c>
      <c r="CP38" s="187">
        <f t="shared" si="17"/>
        <v>0</v>
      </c>
      <c r="CQ38" s="187">
        <f t="shared" si="17"/>
        <v>0</v>
      </c>
      <c r="CR38" s="187">
        <f t="shared" si="17"/>
        <v>0</v>
      </c>
      <c r="CS38" s="187">
        <f t="shared" si="17"/>
        <v>0</v>
      </c>
      <c r="CT38" s="187">
        <f t="shared" si="17"/>
        <v>0</v>
      </c>
      <c r="CU38" s="187">
        <f t="shared" si="17"/>
        <v>0</v>
      </c>
      <c r="CV38" s="187">
        <f t="shared" si="17"/>
        <v>0</v>
      </c>
    </row>
    <row r="39" spans="1:100" outlineLevel="1" x14ac:dyDescent="0.2"/>
    <row r="40" spans="1:100" s="502" customFormat="1" outlineLevel="1" x14ac:dyDescent="0.2">
      <c r="A40" s="216"/>
      <c r="B40" s="216"/>
      <c r="C40" s="217"/>
      <c r="D40" s="218"/>
      <c r="E40" s="219" t="s">
        <v>304</v>
      </c>
      <c r="F40" s="219"/>
      <c r="G40" s="219" t="str">
        <f xml:space="preserve"> SMU</f>
        <v>$ 000s</v>
      </c>
      <c r="H40" s="219"/>
      <c r="I40" s="220"/>
      <c r="J40" s="219">
        <f t="shared" ref="J40" si="18">I43</f>
        <v>0</v>
      </c>
      <c r="K40" s="219">
        <f t="shared" ref="K40" si="19">J43</f>
        <v>7199.4501905899378</v>
      </c>
      <c r="L40" s="219">
        <f t="shared" ref="L40" si="20">K43</f>
        <v>9664.5083789334058</v>
      </c>
      <c r="M40" s="219">
        <f t="shared" ref="M40" si="21">L43</f>
        <v>13311.490386975976</v>
      </c>
      <c r="N40" s="219">
        <f t="shared" ref="N40" si="22">M43</f>
        <v>18258.69167347634</v>
      </c>
      <c r="O40" s="219">
        <f t="shared" ref="O40:AT40" si="23">N43</f>
        <v>24335.550022039701</v>
      </c>
      <c r="P40" s="219">
        <f t="shared" si="23"/>
        <v>23619.79855080324</v>
      </c>
      <c r="Q40" s="219">
        <f t="shared" si="23"/>
        <v>22904.047079566779</v>
      </c>
      <c r="R40" s="219">
        <f t="shared" si="23"/>
        <v>22188.295608330318</v>
      </c>
      <c r="S40" s="219">
        <f t="shared" si="23"/>
        <v>21472.544137093857</v>
      </c>
      <c r="T40" s="219">
        <f t="shared" si="23"/>
        <v>20756.792665857396</v>
      </c>
      <c r="U40" s="219">
        <f t="shared" si="23"/>
        <v>20041.041194620935</v>
      </c>
      <c r="V40" s="219">
        <f t="shared" si="23"/>
        <v>19325.289723384474</v>
      </c>
      <c r="W40" s="219">
        <f t="shared" si="23"/>
        <v>18609.538252148013</v>
      </c>
      <c r="X40" s="219">
        <f t="shared" si="23"/>
        <v>17893.786780911552</v>
      </c>
      <c r="Y40" s="219">
        <f t="shared" si="23"/>
        <v>17178.035309675091</v>
      </c>
      <c r="Z40" s="219">
        <f t="shared" si="23"/>
        <v>16462.28383843863</v>
      </c>
      <c r="AA40" s="219">
        <f t="shared" si="23"/>
        <v>15746.53236720217</v>
      </c>
      <c r="AB40" s="219">
        <f t="shared" si="23"/>
        <v>15030.780895965709</v>
      </c>
      <c r="AC40" s="219">
        <f t="shared" si="23"/>
        <v>14315.029424729248</v>
      </c>
      <c r="AD40" s="219">
        <f t="shared" si="23"/>
        <v>13599.277953492787</v>
      </c>
      <c r="AE40" s="219">
        <f t="shared" si="23"/>
        <v>12883.526482256326</v>
      </c>
      <c r="AF40" s="219">
        <f t="shared" si="23"/>
        <v>12167.775011019865</v>
      </c>
      <c r="AG40" s="219">
        <f t="shared" si="23"/>
        <v>11452.023539783404</v>
      </c>
      <c r="AH40" s="219">
        <f t="shared" si="23"/>
        <v>10736.272068546943</v>
      </c>
      <c r="AI40" s="219">
        <f t="shared" si="23"/>
        <v>10020.520597310482</v>
      </c>
      <c r="AJ40" s="219">
        <f t="shared" si="23"/>
        <v>9304.7691260740212</v>
      </c>
      <c r="AK40" s="219">
        <f t="shared" si="23"/>
        <v>8589.0176548375603</v>
      </c>
      <c r="AL40" s="219">
        <f t="shared" si="23"/>
        <v>7873.2661836010984</v>
      </c>
      <c r="AM40" s="219">
        <f t="shared" si="23"/>
        <v>7157.5147123646366</v>
      </c>
      <c r="AN40" s="219">
        <f t="shared" si="23"/>
        <v>6441.7632411281747</v>
      </c>
      <c r="AO40" s="219">
        <f t="shared" si="23"/>
        <v>5726.0117698917129</v>
      </c>
      <c r="AP40" s="219">
        <f t="shared" si="23"/>
        <v>5010.2602986552511</v>
      </c>
      <c r="AQ40" s="219">
        <f t="shared" si="23"/>
        <v>4294.5088274187892</v>
      </c>
      <c r="AR40" s="219">
        <f t="shared" si="23"/>
        <v>3578.7573561823274</v>
      </c>
      <c r="AS40" s="219">
        <f t="shared" si="23"/>
        <v>2863.0058849458655</v>
      </c>
      <c r="AT40" s="219">
        <f t="shared" si="23"/>
        <v>2147.2544137094037</v>
      </c>
      <c r="AU40" s="219">
        <f t="shared" ref="AU40:BZ40" si="24">AT43</f>
        <v>1431.5029424729419</v>
      </c>
      <c r="AV40" s="219">
        <f t="shared" si="24"/>
        <v>715.75147123648003</v>
      </c>
      <c r="AW40" s="219">
        <f t="shared" si="24"/>
        <v>1.8189894035458565E-11</v>
      </c>
      <c r="AX40" s="219">
        <f t="shared" si="24"/>
        <v>1.8189894035458565E-11</v>
      </c>
      <c r="AY40" s="219">
        <f t="shared" si="24"/>
        <v>1.8189894035458565E-11</v>
      </c>
      <c r="AZ40" s="219">
        <f t="shared" si="24"/>
        <v>1.8189894035458565E-11</v>
      </c>
      <c r="BA40" s="219">
        <f t="shared" si="24"/>
        <v>1.8189894035458565E-11</v>
      </c>
      <c r="BB40" s="219">
        <f t="shared" si="24"/>
        <v>1.8189894035458565E-11</v>
      </c>
      <c r="BC40" s="219">
        <f t="shared" si="24"/>
        <v>1.8189894035458565E-11</v>
      </c>
      <c r="BD40" s="219">
        <f t="shared" si="24"/>
        <v>1.8189894035458565E-11</v>
      </c>
      <c r="BE40" s="219">
        <f t="shared" si="24"/>
        <v>1.8189894035458565E-11</v>
      </c>
      <c r="BF40" s="219">
        <f t="shared" si="24"/>
        <v>1.8189894035458565E-11</v>
      </c>
      <c r="BG40" s="219">
        <f t="shared" si="24"/>
        <v>1.8189894035458565E-11</v>
      </c>
      <c r="BH40" s="219">
        <f t="shared" si="24"/>
        <v>1.8189894035458565E-11</v>
      </c>
      <c r="BI40" s="219">
        <f t="shared" si="24"/>
        <v>1.8189894035458565E-11</v>
      </c>
      <c r="BJ40" s="219">
        <f t="shared" si="24"/>
        <v>1.8189894035458565E-11</v>
      </c>
      <c r="BK40" s="219">
        <f t="shared" si="24"/>
        <v>1.8189894035458565E-11</v>
      </c>
      <c r="BL40" s="219">
        <f t="shared" si="24"/>
        <v>1.8189894035458565E-11</v>
      </c>
      <c r="BM40" s="219">
        <f t="shared" si="24"/>
        <v>1.8189894035458565E-11</v>
      </c>
      <c r="BN40" s="219">
        <f t="shared" si="24"/>
        <v>1.8189894035458565E-11</v>
      </c>
      <c r="BO40" s="219">
        <f t="shared" si="24"/>
        <v>1.8189894035458565E-11</v>
      </c>
      <c r="BP40" s="219">
        <f t="shared" si="24"/>
        <v>1.8189894035458565E-11</v>
      </c>
      <c r="BQ40" s="219">
        <f t="shared" si="24"/>
        <v>1.8189894035458565E-11</v>
      </c>
      <c r="BR40" s="219">
        <f t="shared" si="24"/>
        <v>1.8189894035458565E-11</v>
      </c>
      <c r="BS40" s="219">
        <f t="shared" si="24"/>
        <v>1.8189894035458565E-11</v>
      </c>
      <c r="BT40" s="219">
        <f t="shared" si="24"/>
        <v>1.8189894035458565E-11</v>
      </c>
      <c r="BU40" s="219">
        <f t="shared" si="24"/>
        <v>1.8189894035458565E-11</v>
      </c>
      <c r="BV40" s="219">
        <f t="shared" si="24"/>
        <v>1.8189894035458565E-11</v>
      </c>
      <c r="BW40" s="219">
        <f t="shared" si="24"/>
        <v>1.8189894035458565E-11</v>
      </c>
      <c r="BX40" s="219">
        <f t="shared" si="24"/>
        <v>1.8189894035458565E-11</v>
      </c>
      <c r="BY40" s="219">
        <f t="shared" si="24"/>
        <v>1.8189894035458565E-11</v>
      </c>
      <c r="BZ40" s="219">
        <f t="shared" si="24"/>
        <v>1.8189894035458565E-11</v>
      </c>
      <c r="CA40" s="219">
        <f t="shared" ref="CA40:CV40" si="25">BZ43</f>
        <v>1.8189894035458565E-11</v>
      </c>
      <c r="CB40" s="219">
        <f t="shared" si="25"/>
        <v>1.8189894035458565E-11</v>
      </c>
      <c r="CC40" s="219">
        <f t="shared" si="25"/>
        <v>1.8189894035458565E-11</v>
      </c>
      <c r="CD40" s="219">
        <f t="shared" si="25"/>
        <v>1.8189894035458565E-11</v>
      </c>
      <c r="CE40" s="219">
        <f t="shared" si="25"/>
        <v>1.8189894035458565E-11</v>
      </c>
      <c r="CF40" s="219">
        <f t="shared" si="25"/>
        <v>1.8189894035458565E-11</v>
      </c>
      <c r="CG40" s="219">
        <f t="shared" si="25"/>
        <v>1.8189894035458565E-11</v>
      </c>
      <c r="CH40" s="219">
        <f t="shared" si="25"/>
        <v>1.8189894035458565E-11</v>
      </c>
      <c r="CI40" s="219">
        <f t="shared" si="25"/>
        <v>1.8189894035458565E-11</v>
      </c>
      <c r="CJ40" s="219">
        <f t="shared" si="25"/>
        <v>1.8189894035458565E-11</v>
      </c>
      <c r="CK40" s="219">
        <f t="shared" si="25"/>
        <v>1.8189894035458565E-11</v>
      </c>
      <c r="CL40" s="219">
        <f t="shared" si="25"/>
        <v>1.8189894035458565E-11</v>
      </c>
      <c r="CM40" s="219">
        <f t="shared" si="25"/>
        <v>1.8189894035458565E-11</v>
      </c>
      <c r="CN40" s="219">
        <f t="shared" si="25"/>
        <v>1.8189894035458565E-11</v>
      </c>
      <c r="CO40" s="219">
        <f t="shared" si="25"/>
        <v>1.8189894035458565E-11</v>
      </c>
      <c r="CP40" s="219">
        <f t="shared" si="25"/>
        <v>1.8189894035458565E-11</v>
      </c>
      <c r="CQ40" s="219">
        <f t="shared" si="25"/>
        <v>1.8189894035458565E-11</v>
      </c>
      <c r="CR40" s="219">
        <f t="shared" si="25"/>
        <v>1.8189894035458565E-11</v>
      </c>
      <c r="CS40" s="219">
        <f t="shared" si="25"/>
        <v>1.8189894035458565E-11</v>
      </c>
      <c r="CT40" s="219">
        <f t="shared" si="25"/>
        <v>1.8189894035458565E-11</v>
      </c>
      <c r="CU40" s="219">
        <f t="shared" si="25"/>
        <v>1.8189894035458565E-11</v>
      </c>
      <c r="CV40" s="219">
        <f t="shared" si="25"/>
        <v>1.8189894035458565E-11</v>
      </c>
    </row>
    <row r="41" spans="1:100" s="498" customFormat="1" outlineLevel="1" x14ac:dyDescent="0.2">
      <c r="A41" s="15"/>
      <c r="B41" s="15"/>
      <c r="C41" s="21"/>
      <c r="D41" s="48"/>
      <c r="E41" s="501" t="str">
        <f xml:space="preserve"> ConFin!E$616</f>
        <v>Financing costs incl. rolled up costs</v>
      </c>
      <c r="F41" s="501">
        <f xml:space="preserve"> ConFin!F$616</f>
        <v>0</v>
      </c>
      <c r="G41" s="501" t="str">
        <f xml:space="preserve"> ConFin!G$616</f>
        <v>$ 000s</v>
      </c>
      <c r="H41" s="501">
        <f xml:space="preserve"> ConFin!H$616</f>
        <v>24335.550022039701</v>
      </c>
      <c r="I41" s="501">
        <f xml:space="preserve"> ConFin!I$616</f>
        <v>0</v>
      </c>
      <c r="J41" s="501">
        <f xml:space="preserve"> ConFin!J$616</f>
        <v>7199.4501905899378</v>
      </c>
      <c r="K41" s="501">
        <f xml:space="preserve"> ConFin!K$616</f>
        <v>2465.058188343467</v>
      </c>
      <c r="L41" s="501">
        <f xml:space="preserve"> ConFin!L$616</f>
        <v>3646.9820080425716</v>
      </c>
      <c r="M41" s="501">
        <f xml:space="preserve"> ConFin!M$616</f>
        <v>4947.2012865003635</v>
      </c>
      <c r="N41" s="501">
        <f xml:space="preserve"> ConFin!N$616</f>
        <v>6076.858348563359</v>
      </c>
      <c r="O41" s="501">
        <f xml:space="preserve"> ConFin!O$616</f>
        <v>0</v>
      </c>
      <c r="P41" s="501">
        <f xml:space="preserve"> ConFin!P$616</f>
        <v>0</v>
      </c>
      <c r="Q41" s="501">
        <f xml:space="preserve"> ConFin!Q$616</f>
        <v>0</v>
      </c>
      <c r="R41" s="501">
        <f xml:space="preserve"> ConFin!R$616</f>
        <v>0</v>
      </c>
      <c r="S41" s="501">
        <f xml:space="preserve"> ConFin!S$616</f>
        <v>0</v>
      </c>
      <c r="T41" s="501">
        <f xml:space="preserve"> ConFin!T$616</f>
        <v>0</v>
      </c>
      <c r="U41" s="501">
        <f xml:space="preserve"> ConFin!U$616</f>
        <v>0</v>
      </c>
      <c r="V41" s="501">
        <f xml:space="preserve"> ConFin!V$616</f>
        <v>0</v>
      </c>
      <c r="W41" s="501">
        <f xml:space="preserve"> ConFin!W$616</f>
        <v>0</v>
      </c>
      <c r="X41" s="501">
        <f xml:space="preserve"> ConFin!X$616</f>
        <v>0</v>
      </c>
      <c r="Y41" s="501">
        <f xml:space="preserve"> ConFin!Y$616</f>
        <v>0</v>
      </c>
      <c r="Z41" s="501">
        <f xml:space="preserve"> ConFin!Z$616</f>
        <v>0</v>
      </c>
      <c r="AA41" s="501">
        <f xml:space="preserve"> ConFin!AA$616</f>
        <v>0</v>
      </c>
      <c r="AB41" s="501">
        <f xml:space="preserve"> ConFin!AB$616</f>
        <v>0</v>
      </c>
      <c r="AC41" s="501">
        <f xml:space="preserve"> ConFin!AC$616</f>
        <v>0</v>
      </c>
      <c r="AD41" s="501">
        <f xml:space="preserve"> ConFin!AD$616</f>
        <v>0</v>
      </c>
      <c r="AE41" s="501">
        <f xml:space="preserve"> ConFin!AE$616</f>
        <v>0</v>
      </c>
      <c r="AF41" s="501">
        <f xml:space="preserve"> ConFin!AF$616</f>
        <v>0</v>
      </c>
      <c r="AG41" s="501">
        <f xml:space="preserve"> ConFin!AG$616</f>
        <v>0</v>
      </c>
      <c r="AH41" s="501">
        <f xml:space="preserve"> ConFin!AH$616</f>
        <v>0</v>
      </c>
      <c r="AI41" s="501">
        <f xml:space="preserve"> ConFin!AI$616</f>
        <v>0</v>
      </c>
      <c r="AJ41" s="501">
        <f xml:space="preserve"> ConFin!AJ$616</f>
        <v>0</v>
      </c>
      <c r="AK41" s="501">
        <f xml:space="preserve"> ConFin!AK$616</f>
        <v>0</v>
      </c>
      <c r="AL41" s="501">
        <f xml:space="preserve"> ConFin!AL$616</f>
        <v>0</v>
      </c>
      <c r="AM41" s="501">
        <f xml:space="preserve"> ConFin!AM$616</f>
        <v>0</v>
      </c>
      <c r="AN41" s="501">
        <f xml:space="preserve"> ConFin!AN$616</f>
        <v>0</v>
      </c>
      <c r="AO41" s="501">
        <f xml:space="preserve"> ConFin!AO$616</f>
        <v>0</v>
      </c>
      <c r="AP41" s="501">
        <f xml:space="preserve"> ConFin!AP$616</f>
        <v>0</v>
      </c>
      <c r="AQ41" s="501">
        <f xml:space="preserve"> ConFin!AQ$616</f>
        <v>0</v>
      </c>
      <c r="AR41" s="501">
        <f xml:space="preserve"> ConFin!AR$616</f>
        <v>0</v>
      </c>
      <c r="AS41" s="501">
        <f xml:space="preserve"> ConFin!AS$616</f>
        <v>0</v>
      </c>
      <c r="AT41" s="501">
        <f xml:space="preserve"> ConFin!AT$616</f>
        <v>0</v>
      </c>
      <c r="AU41" s="501">
        <f xml:space="preserve"> ConFin!AU$616</f>
        <v>0</v>
      </c>
      <c r="AV41" s="501">
        <f xml:space="preserve"> ConFin!AV$616</f>
        <v>0</v>
      </c>
      <c r="AW41" s="501">
        <f xml:space="preserve"> ConFin!AW$616</f>
        <v>0</v>
      </c>
      <c r="AX41" s="501">
        <f xml:space="preserve"> ConFin!AX$616</f>
        <v>0</v>
      </c>
      <c r="AY41" s="501">
        <f xml:space="preserve"> ConFin!AY$616</f>
        <v>0</v>
      </c>
      <c r="AZ41" s="501">
        <f xml:space="preserve"> ConFin!AZ$616</f>
        <v>0</v>
      </c>
      <c r="BA41" s="501">
        <f xml:space="preserve"> ConFin!BA$616</f>
        <v>0</v>
      </c>
      <c r="BB41" s="501">
        <f xml:space="preserve"> ConFin!BB$616</f>
        <v>0</v>
      </c>
      <c r="BC41" s="501">
        <f xml:space="preserve"> ConFin!BC$616</f>
        <v>0</v>
      </c>
      <c r="BD41" s="501">
        <f xml:space="preserve"> ConFin!BD$616</f>
        <v>0</v>
      </c>
      <c r="BE41" s="501">
        <f xml:space="preserve"> ConFin!BE$616</f>
        <v>0</v>
      </c>
      <c r="BF41" s="501">
        <f xml:space="preserve"> ConFin!BF$616</f>
        <v>0</v>
      </c>
      <c r="BG41" s="501">
        <f xml:space="preserve"> ConFin!BG$616</f>
        <v>0</v>
      </c>
      <c r="BH41" s="501">
        <f xml:space="preserve"> ConFin!BH$616</f>
        <v>0</v>
      </c>
      <c r="BI41" s="501">
        <f xml:space="preserve"> ConFin!BI$616</f>
        <v>0</v>
      </c>
      <c r="BJ41" s="501">
        <f xml:space="preserve"> ConFin!BJ$616</f>
        <v>0</v>
      </c>
      <c r="BK41" s="501">
        <f xml:space="preserve"> ConFin!BK$616</f>
        <v>0</v>
      </c>
      <c r="BL41" s="501">
        <f xml:space="preserve"> ConFin!BL$616</f>
        <v>0</v>
      </c>
      <c r="BM41" s="501">
        <f xml:space="preserve"> ConFin!BM$616</f>
        <v>0</v>
      </c>
      <c r="BN41" s="501">
        <f xml:space="preserve"> ConFin!BN$616</f>
        <v>0</v>
      </c>
      <c r="BO41" s="501">
        <f xml:space="preserve"> ConFin!BO$616</f>
        <v>0</v>
      </c>
      <c r="BP41" s="501">
        <f xml:space="preserve"> ConFin!BP$616</f>
        <v>0</v>
      </c>
      <c r="BQ41" s="501">
        <f xml:space="preserve"> ConFin!BQ$616</f>
        <v>0</v>
      </c>
      <c r="BR41" s="501">
        <f xml:space="preserve"> ConFin!BR$616</f>
        <v>0</v>
      </c>
      <c r="BS41" s="501">
        <f xml:space="preserve"> ConFin!BS$616</f>
        <v>0</v>
      </c>
      <c r="BT41" s="501">
        <f xml:space="preserve"> ConFin!BT$616</f>
        <v>0</v>
      </c>
      <c r="BU41" s="501">
        <f xml:space="preserve"> ConFin!BU$616</f>
        <v>0</v>
      </c>
      <c r="BV41" s="501">
        <f xml:space="preserve"> ConFin!BV$616</f>
        <v>0</v>
      </c>
      <c r="BW41" s="501">
        <f xml:space="preserve"> ConFin!BW$616</f>
        <v>0</v>
      </c>
      <c r="BX41" s="501">
        <f xml:space="preserve"> ConFin!BX$616</f>
        <v>0</v>
      </c>
      <c r="BY41" s="501">
        <f xml:space="preserve"> ConFin!BY$616</f>
        <v>0</v>
      </c>
      <c r="BZ41" s="501">
        <f xml:space="preserve"> ConFin!BZ$616</f>
        <v>0</v>
      </c>
      <c r="CA41" s="501">
        <f xml:space="preserve"> ConFin!CA$616</f>
        <v>0</v>
      </c>
      <c r="CB41" s="501">
        <f xml:space="preserve"> ConFin!CB$616</f>
        <v>0</v>
      </c>
      <c r="CC41" s="501">
        <f xml:space="preserve"> ConFin!CC$616</f>
        <v>0</v>
      </c>
      <c r="CD41" s="501">
        <f xml:space="preserve"> ConFin!CD$616</f>
        <v>0</v>
      </c>
      <c r="CE41" s="501">
        <f xml:space="preserve"> ConFin!CE$616</f>
        <v>0</v>
      </c>
      <c r="CF41" s="501">
        <f xml:space="preserve"> ConFin!CF$616</f>
        <v>0</v>
      </c>
      <c r="CG41" s="501">
        <f xml:space="preserve"> ConFin!CG$616</f>
        <v>0</v>
      </c>
      <c r="CH41" s="501">
        <f xml:space="preserve"> ConFin!CH$616</f>
        <v>0</v>
      </c>
      <c r="CI41" s="501">
        <f xml:space="preserve"> ConFin!CI$616</f>
        <v>0</v>
      </c>
      <c r="CJ41" s="501">
        <f xml:space="preserve"> ConFin!CJ$616</f>
        <v>0</v>
      </c>
      <c r="CK41" s="501">
        <f xml:space="preserve"> ConFin!CK$616</f>
        <v>0</v>
      </c>
      <c r="CL41" s="501">
        <f xml:space="preserve"> ConFin!CL$616</f>
        <v>0</v>
      </c>
      <c r="CM41" s="501">
        <f xml:space="preserve"> ConFin!CM$616</f>
        <v>0</v>
      </c>
      <c r="CN41" s="501">
        <f xml:space="preserve"> ConFin!CN$616</f>
        <v>0</v>
      </c>
      <c r="CO41" s="501">
        <f xml:space="preserve"> ConFin!CO$616</f>
        <v>0</v>
      </c>
      <c r="CP41" s="501">
        <f xml:space="preserve"> ConFin!CP$616</f>
        <v>0</v>
      </c>
      <c r="CQ41" s="501">
        <f xml:space="preserve"> ConFin!CQ$616</f>
        <v>0</v>
      </c>
      <c r="CR41" s="501">
        <f xml:space="preserve"> ConFin!CR$616</f>
        <v>0</v>
      </c>
      <c r="CS41" s="501">
        <f xml:space="preserve"> ConFin!CS$616</f>
        <v>0</v>
      </c>
      <c r="CT41" s="501">
        <f xml:space="preserve"> ConFin!CT$616</f>
        <v>0</v>
      </c>
      <c r="CU41" s="501">
        <f xml:space="preserve"> ConFin!CU$616</f>
        <v>0</v>
      </c>
      <c r="CV41" s="501">
        <f xml:space="preserve"> ConFin!CV$616</f>
        <v>0</v>
      </c>
    </row>
    <row r="42" spans="1:100" s="540" customFormat="1" outlineLevel="1" x14ac:dyDescent="0.2">
      <c r="A42" s="15"/>
      <c r="B42" s="15"/>
      <c r="C42" s="21"/>
      <c r="D42" s="48"/>
      <c r="E42" s="38" t="str">
        <f t="shared" ref="E42:AJ42" si="26" xml:space="preserve"> E$37</f>
        <v>Amortisation of capitalised finance costs POS</v>
      </c>
      <c r="F42" s="38">
        <f t="shared" si="26"/>
        <v>0</v>
      </c>
      <c r="G42" s="38" t="str">
        <f t="shared" si="26"/>
        <v>$ 000s</v>
      </c>
      <c r="H42" s="38">
        <f t="shared" si="26"/>
        <v>24335.550022039683</v>
      </c>
      <c r="I42" s="38">
        <f t="shared" si="26"/>
        <v>0</v>
      </c>
      <c r="J42" s="38">
        <f t="shared" si="26"/>
        <v>0</v>
      </c>
      <c r="K42" s="38">
        <f t="shared" si="26"/>
        <v>0</v>
      </c>
      <c r="L42" s="38">
        <f t="shared" si="26"/>
        <v>0</v>
      </c>
      <c r="M42" s="38">
        <f t="shared" si="26"/>
        <v>0</v>
      </c>
      <c r="N42" s="38">
        <f t="shared" si="26"/>
        <v>0</v>
      </c>
      <c r="O42" s="38">
        <f t="shared" si="26"/>
        <v>715.75147123646184</v>
      </c>
      <c r="P42" s="38">
        <f t="shared" si="26"/>
        <v>715.75147123646184</v>
      </c>
      <c r="Q42" s="38">
        <f t="shared" si="26"/>
        <v>715.75147123646184</v>
      </c>
      <c r="R42" s="38">
        <f t="shared" si="26"/>
        <v>715.75147123646184</v>
      </c>
      <c r="S42" s="38">
        <f t="shared" si="26"/>
        <v>715.75147123646184</v>
      </c>
      <c r="T42" s="38">
        <f t="shared" si="26"/>
        <v>715.75147123646184</v>
      </c>
      <c r="U42" s="38">
        <f t="shared" si="26"/>
        <v>715.75147123646184</v>
      </c>
      <c r="V42" s="38">
        <f t="shared" si="26"/>
        <v>715.75147123646184</v>
      </c>
      <c r="W42" s="38">
        <f t="shared" si="26"/>
        <v>715.75147123646184</v>
      </c>
      <c r="X42" s="38">
        <f t="shared" si="26"/>
        <v>715.75147123646184</v>
      </c>
      <c r="Y42" s="38">
        <f t="shared" si="26"/>
        <v>715.75147123646184</v>
      </c>
      <c r="Z42" s="38">
        <f t="shared" si="26"/>
        <v>715.75147123646184</v>
      </c>
      <c r="AA42" s="38">
        <f t="shared" si="26"/>
        <v>715.75147123646184</v>
      </c>
      <c r="AB42" s="38">
        <f t="shared" si="26"/>
        <v>715.75147123646184</v>
      </c>
      <c r="AC42" s="38">
        <f t="shared" si="26"/>
        <v>715.75147123646184</v>
      </c>
      <c r="AD42" s="38">
        <f t="shared" si="26"/>
        <v>715.75147123646184</v>
      </c>
      <c r="AE42" s="38">
        <f t="shared" si="26"/>
        <v>715.75147123646184</v>
      </c>
      <c r="AF42" s="38">
        <f t="shared" si="26"/>
        <v>715.75147123646184</v>
      </c>
      <c r="AG42" s="38">
        <f t="shared" si="26"/>
        <v>715.75147123646184</v>
      </c>
      <c r="AH42" s="38">
        <f t="shared" si="26"/>
        <v>715.75147123646184</v>
      </c>
      <c r="AI42" s="38">
        <f t="shared" si="26"/>
        <v>715.75147123646184</v>
      </c>
      <c r="AJ42" s="38">
        <f t="shared" si="26"/>
        <v>715.75147123646184</v>
      </c>
      <c r="AK42" s="38">
        <f t="shared" ref="AK42:BP42" si="27" xml:space="preserve"> AK$37</f>
        <v>715.75147123646184</v>
      </c>
      <c r="AL42" s="38">
        <f t="shared" si="27"/>
        <v>715.75147123646184</v>
      </c>
      <c r="AM42" s="38">
        <f t="shared" si="27"/>
        <v>715.75147123646184</v>
      </c>
      <c r="AN42" s="38">
        <f t="shared" si="27"/>
        <v>715.75147123646184</v>
      </c>
      <c r="AO42" s="38">
        <f t="shared" si="27"/>
        <v>715.75147123646184</v>
      </c>
      <c r="AP42" s="38">
        <f t="shared" si="27"/>
        <v>715.75147123646184</v>
      </c>
      <c r="AQ42" s="38">
        <f t="shared" si="27"/>
        <v>715.75147123646184</v>
      </c>
      <c r="AR42" s="38">
        <f t="shared" si="27"/>
        <v>715.75147123646184</v>
      </c>
      <c r="AS42" s="38">
        <f t="shared" si="27"/>
        <v>715.75147123646184</v>
      </c>
      <c r="AT42" s="38">
        <f t="shared" si="27"/>
        <v>715.75147123646184</v>
      </c>
      <c r="AU42" s="38">
        <f t="shared" si="27"/>
        <v>715.75147123646184</v>
      </c>
      <c r="AV42" s="38">
        <f t="shared" si="27"/>
        <v>715.75147123646184</v>
      </c>
      <c r="AW42" s="38">
        <f t="shared" si="27"/>
        <v>0</v>
      </c>
      <c r="AX42" s="38">
        <f t="shared" si="27"/>
        <v>0</v>
      </c>
      <c r="AY42" s="38">
        <f t="shared" si="27"/>
        <v>0</v>
      </c>
      <c r="AZ42" s="38">
        <f t="shared" si="27"/>
        <v>0</v>
      </c>
      <c r="BA42" s="38">
        <f t="shared" si="27"/>
        <v>0</v>
      </c>
      <c r="BB42" s="38">
        <f t="shared" si="27"/>
        <v>0</v>
      </c>
      <c r="BC42" s="38">
        <f t="shared" si="27"/>
        <v>0</v>
      </c>
      <c r="BD42" s="38">
        <f t="shared" si="27"/>
        <v>0</v>
      </c>
      <c r="BE42" s="38">
        <f t="shared" si="27"/>
        <v>0</v>
      </c>
      <c r="BF42" s="38">
        <f t="shared" si="27"/>
        <v>0</v>
      </c>
      <c r="BG42" s="38">
        <f t="shared" si="27"/>
        <v>0</v>
      </c>
      <c r="BH42" s="38">
        <f t="shared" si="27"/>
        <v>0</v>
      </c>
      <c r="BI42" s="38">
        <f t="shared" si="27"/>
        <v>0</v>
      </c>
      <c r="BJ42" s="38">
        <f t="shared" si="27"/>
        <v>0</v>
      </c>
      <c r="BK42" s="38">
        <f t="shared" si="27"/>
        <v>0</v>
      </c>
      <c r="BL42" s="38">
        <f t="shared" si="27"/>
        <v>0</v>
      </c>
      <c r="BM42" s="38">
        <f t="shared" si="27"/>
        <v>0</v>
      </c>
      <c r="BN42" s="38">
        <f t="shared" si="27"/>
        <v>0</v>
      </c>
      <c r="BO42" s="38">
        <f t="shared" si="27"/>
        <v>0</v>
      </c>
      <c r="BP42" s="38">
        <f t="shared" si="27"/>
        <v>0</v>
      </c>
      <c r="BQ42" s="38">
        <f t="shared" ref="BQ42:CV42" si="28" xml:space="preserve"> BQ$37</f>
        <v>0</v>
      </c>
      <c r="BR42" s="38">
        <f t="shared" si="28"/>
        <v>0</v>
      </c>
      <c r="BS42" s="38">
        <f t="shared" si="28"/>
        <v>0</v>
      </c>
      <c r="BT42" s="38">
        <f t="shared" si="28"/>
        <v>0</v>
      </c>
      <c r="BU42" s="38">
        <f t="shared" si="28"/>
        <v>0</v>
      </c>
      <c r="BV42" s="38">
        <f t="shared" si="28"/>
        <v>0</v>
      </c>
      <c r="BW42" s="38">
        <f t="shared" si="28"/>
        <v>0</v>
      </c>
      <c r="BX42" s="38">
        <f t="shared" si="28"/>
        <v>0</v>
      </c>
      <c r="BY42" s="38">
        <f t="shared" si="28"/>
        <v>0</v>
      </c>
      <c r="BZ42" s="38">
        <f t="shared" si="28"/>
        <v>0</v>
      </c>
      <c r="CA42" s="38">
        <f t="shared" si="28"/>
        <v>0</v>
      </c>
      <c r="CB42" s="38">
        <f t="shared" si="28"/>
        <v>0</v>
      </c>
      <c r="CC42" s="38">
        <f t="shared" si="28"/>
        <v>0</v>
      </c>
      <c r="CD42" s="38">
        <f t="shared" si="28"/>
        <v>0</v>
      </c>
      <c r="CE42" s="38">
        <f t="shared" si="28"/>
        <v>0</v>
      </c>
      <c r="CF42" s="38">
        <f t="shared" si="28"/>
        <v>0</v>
      </c>
      <c r="CG42" s="38">
        <f t="shared" si="28"/>
        <v>0</v>
      </c>
      <c r="CH42" s="38">
        <f t="shared" si="28"/>
        <v>0</v>
      </c>
      <c r="CI42" s="38">
        <f t="shared" si="28"/>
        <v>0</v>
      </c>
      <c r="CJ42" s="38">
        <f t="shared" si="28"/>
        <v>0</v>
      </c>
      <c r="CK42" s="38">
        <f t="shared" si="28"/>
        <v>0</v>
      </c>
      <c r="CL42" s="38">
        <f t="shared" si="28"/>
        <v>0</v>
      </c>
      <c r="CM42" s="38">
        <f t="shared" si="28"/>
        <v>0</v>
      </c>
      <c r="CN42" s="38">
        <f t="shared" si="28"/>
        <v>0</v>
      </c>
      <c r="CO42" s="38">
        <f t="shared" si="28"/>
        <v>0</v>
      </c>
      <c r="CP42" s="38">
        <f t="shared" si="28"/>
        <v>0</v>
      </c>
      <c r="CQ42" s="38">
        <f t="shared" si="28"/>
        <v>0</v>
      </c>
      <c r="CR42" s="38">
        <f t="shared" si="28"/>
        <v>0</v>
      </c>
      <c r="CS42" s="38">
        <f t="shared" si="28"/>
        <v>0</v>
      </c>
      <c r="CT42" s="38">
        <f t="shared" si="28"/>
        <v>0</v>
      </c>
      <c r="CU42" s="38">
        <f t="shared" si="28"/>
        <v>0</v>
      </c>
      <c r="CV42" s="38">
        <f t="shared" si="28"/>
        <v>0</v>
      </c>
    </row>
    <row r="43" spans="1:100" s="541" customFormat="1" outlineLevel="1" x14ac:dyDescent="0.2">
      <c r="A43" s="391"/>
      <c r="B43" s="391"/>
      <c r="C43" s="392"/>
      <c r="D43" s="393"/>
      <c r="E43" s="394" t="s">
        <v>305</v>
      </c>
      <c r="F43" s="394"/>
      <c r="G43" s="394" t="str">
        <f xml:space="preserve"> SMU</f>
        <v>$ 000s</v>
      </c>
      <c r="H43" s="394"/>
      <c r="I43" s="395"/>
      <c r="J43" s="394">
        <f t="shared" ref="J43:AO43" si="29" xml:space="preserve"> J40 + J41 - J42</f>
        <v>7199.4501905899378</v>
      </c>
      <c r="K43" s="394">
        <f t="shared" si="29"/>
        <v>9664.5083789334058</v>
      </c>
      <c r="L43" s="394">
        <f t="shared" si="29"/>
        <v>13311.490386975976</v>
      </c>
      <c r="M43" s="394">
        <f t="shared" si="29"/>
        <v>18258.69167347634</v>
      </c>
      <c r="N43" s="394">
        <f t="shared" si="29"/>
        <v>24335.550022039701</v>
      </c>
      <c r="O43" s="394">
        <f t="shared" si="29"/>
        <v>23619.79855080324</v>
      </c>
      <c r="P43" s="394">
        <f t="shared" si="29"/>
        <v>22904.047079566779</v>
      </c>
      <c r="Q43" s="394">
        <f t="shared" si="29"/>
        <v>22188.295608330318</v>
      </c>
      <c r="R43" s="394">
        <f t="shared" si="29"/>
        <v>21472.544137093857</v>
      </c>
      <c r="S43" s="394">
        <f t="shared" si="29"/>
        <v>20756.792665857396</v>
      </c>
      <c r="T43" s="394">
        <f t="shared" si="29"/>
        <v>20041.041194620935</v>
      </c>
      <c r="U43" s="394">
        <f t="shared" si="29"/>
        <v>19325.289723384474</v>
      </c>
      <c r="V43" s="394">
        <f t="shared" si="29"/>
        <v>18609.538252148013</v>
      </c>
      <c r="W43" s="394">
        <f t="shared" si="29"/>
        <v>17893.786780911552</v>
      </c>
      <c r="X43" s="394">
        <f t="shared" si="29"/>
        <v>17178.035309675091</v>
      </c>
      <c r="Y43" s="394">
        <f t="shared" si="29"/>
        <v>16462.28383843863</v>
      </c>
      <c r="Z43" s="394">
        <f t="shared" si="29"/>
        <v>15746.53236720217</v>
      </c>
      <c r="AA43" s="394">
        <f t="shared" si="29"/>
        <v>15030.780895965709</v>
      </c>
      <c r="AB43" s="394">
        <f t="shared" si="29"/>
        <v>14315.029424729248</v>
      </c>
      <c r="AC43" s="394">
        <f t="shared" si="29"/>
        <v>13599.277953492787</v>
      </c>
      <c r="AD43" s="394">
        <f t="shared" si="29"/>
        <v>12883.526482256326</v>
      </c>
      <c r="AE43" s="394">
        <f t="shared" si="29"/>
        <v>12167.775011019865</v>
      </c>
      <c r="AF43" s="394">
        <f t="shared" si="29"/>
        <v>11452.023539783404</v>
      </c>
      <c r="AG43" s="394">
        <f t="shared" si="29"/>
        <v>10736.272068546943</v>
      </c>
      <c r="AH43" s="394">
        <f t="shared" si="29"/>
        <v>10020.520597310482</v>
      </c>
      <c r="AI43" s="394">
        <f t="shared" si="29"/>
        <v>9304.7691260740212</v>
      </c>
      <c r="AJ43" s="394">
        <f t="shared" si="29"/>
        <v>8589.0176548375603</v>
      </c>
      <c r="AK43" s="394">
        <f t="shared" si="29"/>
        <v>7873.2661836010984</v>
      </c>
      <c r="AL43" s="394">
        <f t="shared" si="29"/>
        <v>7157.5147123646366</v>
      </c>
      <c r="AM43" s="394">
        <f t="shared" si="29"/>
        <v>6441.7632411281747</v>
      </c>
      <c r="AN43" s="394">
        <f t="shared" si="29"/>
        <v>5726.0117698917129</v>
      </c>
      <c r="AO43" s="394">
        <f t="shared" si="29"/>
        <v>5010.2602986552511</v>
      </c>
      <c r="AP43" s="394">
        <f t="shared" ref="AP43:BU43" si="30" xml:space="preserve"> AP40 + AP41 - AP42</f>
        <v>4294.5088274187892</v>
      </c>
      <c r="AQ43" s="394">
        <f t="shared" si="30"/>
        <v>3578.7573561823274</v>
      </c>
      <c r="AR43" s="394">
        <f t="shared" si="30"/>
        <v>2863.0058849458655</v>
      </c>
      <c r="AS43" s="394">
        <f t="shared" si="30"/>
        <v>2147.2544137094037</v>
      </c>
      <c r="AT43" s="394">
        <f t="shared" si="30"/>
        <v>1431.5029424729419</v>
      </c>
      <c r="AU43" s="394">
        <f t="shared" si="30"/>
        <v>715.75147123648003</v>
      </c>
      <c r="AV43" s="394">
        <f t="shared" si="30"/>
        <v>1.8189894035458565E-11</v>
      </c>
      <c r="AW43" s="394">
        <f t="shared" si="30"/>
        <v>1.8189894035458565E-11</v>
      </c>
      <c r="AX43" s="394">
        <f t="shared" si="30"/>
        <v>1.8189894035458565E-11</v>
      </c>
      <c r="AY43" s="394">
        <f t="shared" si="30"/>
        <v>1.8189894035458565E-11</v>
      </c>
      <c r="AZ43" s="394">
        <f t="shared" si="30"/>
        <v>1.8189894035458565E-11</v>
      </c>
      <c r="BA43" s="394">
        <f t="shared" si="30"/>
        <v>1.8189894035458565E-11</v>
      </c>
      <c r="BB43" s="394">
        <f t="shared" si="30"/>
        <v>1.8189894035458565E-11</v>
      </c>
      <c r="BC43" s="394">
        <f t="shared" si="30"/>
        <v>1.8189894035458565E-11</v>
      </c>
      <c r="BD43" s="394">
        <f t="shared" si="30"/>
        <v>1.8189894035458565E-11</v>
      </c>
      <c r="BE43" s="394">
        <f t="shared" si="30"/>
        <v>1.8189894035458565E-11</v>
      </c>
      <c r="BF43" s="394">
        <f t="shared" si="30"/>
        <v>1.8189894035458565E-11</v>
      </c>
      <c r="BG43" s="394">
        <f t="shared" si="30"/>
        <v>1.8189894035458565E-11</v>
      </c>
      <c r="BH43" s="394">
        <f t="shared" si="30"/>
        <v>1.8189894035458565E-11</v>
      </c>
      <c r="BI43" s="394">
        <f t="shared" si="30"/>
        <v>1.8189894035458565E-11</v>
      </c>
      <c r="BJ43" s="394">
        <f t="shared" si="30"/>
        <v>1.8189894035458565E-11</v>
      </c>
      <c r="BK43" s="394">
        <f t="shared" si="30"/>
        <v>1.8189894035458565E-11</v>
      </c>
      <c r="BL43" s="394">
        <f t="shared" si="30"/>
        <v>1.8189894035458565E-11</v>
      </c>
      <c r="BM43" s="394">
        <f t="shared" si="30"/>
        <v>1.8189894035458565E-11</v>
      </c>
      <c r="BN43" s="394">
        <f t="shared" si="30"/>
        <v>1.8189894035458565E-11</v>
      </c>
      <c r="BO43" s="394">
        <f t="shared" si="30"/>
        <v>1.8189894035458565E-11</v>
      </c>
      <c r="BP43" s="394">
        <f t="shared" si="30"/>
        <v>1.8189894035458565E-11</v>
      </c>
      <c r="BQ43" s="394">
        <f t="shared" si="30"/>
        <v>1.8189894035458565E-11</v>
      </c>
      <c r="BR43" s="394">
        <f t="shared" si="30"/>
        <v>1.8189894035458565E-11</v>
      </c>
      <c r="BS43" s="394">
        <f t="shared" si="30"/>
        <v>1.8189894035458565E-11</v>
      </c>
      <c r="BT43" s="394">
        <f t="shared" si="30"/>
        <v>1.8189894035458565E-11</v>
      </c>
      <c r="BU43" s="394">
        <f t="shared" si="30"/>
        <v>1.8189894035458565E-11</v>
      </c>
      <c r="BV43" s="394">
        <f t="shared" ref="BV43:CV43" si="31" xml:space="preserve"> BV40 + BV41 - BV42</f>
        <v>1.8189894035458565E-11</v>
      </c>
      <c r="BW43" s="394">
        <f t="shared" si="31"/>
        <v>1.8189894035458565E-11</v>
      </c>
      <c r="BX43" s="394">
        <f t="shared" si="31"/>
        <v>1.8189894035458565E-11</v>
      </c>
      <c r="BY43" s="394">
        <f t="shared" si="31"/>
        <v>1.8189894035458565E-11</v>
      </c>
      <c r="BZ43" s="394">
        <f t="shared" si="31"/>
        <v>1.8189894035458565E-11</v>
      </c>
      <c r="CA43" s="394">
        <f t="shared" si="31"/>
        <v>1.8189894035458565E-11</v>
      </c>
      <c r="CB43" s="394">
        <f t="shared" si="31"/>
        <v>1.8189894035458565E-11</v>
      </c>
      <c r="CC43" s="394">
        <f t="shared" si="31"/>
        <v>1.8189894035458565E-11</v>
      </c>
      <c r="CD43" s="394">
        <f t="shared" si="31"/>
        <v>1.8189894035458565E-11</v>
      </c>
      <c r="CE43" s="394">
        <f t="shared" si="31"/>
        <v>1.8189894035458565E-11</v>
      </c>
      <c r="CF43" s="394">
        <f t="shared" si="31"/>
        <v>1.8189894035458565E-11</v>
      </c>
      <c r="CG43" s="394">
        <f t="shared" si="31"/>
        <v>1.8189894035458565E-11</v>
      </c>
      <c r="CH43" s="394">
        <f t="shared" si="31"/>
        <v>1.8189894035458565E-11</v>
      </c>
      <c r="CI43" s="394">
        <f t="shared" si="31"/>
        <v>1.8189894035458565E-11</v>
      </c>
      <c r="CJ43" s="394">
        <f t="shared" si="31"/>
        <v>1.8189894035458565E-11</v>
      </c>
      <c r="CK43" s="394">
        <f t="shared" si="31"/>
        <v>1.8189894035458565E-11</v>
      </c>
      <c r="CL43" s="394">
        <f t="shared" si="31"/>
        <v>1.8189894035458565E-11</v>
      </c>
      <c r="CM43" s="394">
        <f t="shared" si="31"/>
        <v>1.8189894035458565E-11</v>
      </c>
      <c r="CN43" s="394">
        <f t="shared" si="31"/>
        <v>1.8189894035458565E-11</v>
      </c>
      <c r="CO43" s="394">
        <f t="shared" si="31"/>
        <v>1.8189894035458565E-11</v>
      </c>
      <c r="CP43" s="394">
        <f t="shared" si="31"/>
        <v>1.8189894035458565E-11</v>
      </c>
      <c r="CQ43" s="394">
        <f t="shared" si="31"/>
        <v>1.8189894035458565E-11</v>
      </c>
      <c r="CR43" s="394">
        <f t="shared" si="31"/>
        <v>1.8189894035458565E-11</v>
      </c>
      <c r="CS43" s="394">
        <f t="shared" si="31"/>
        <v>1.8189894035458565E-11</v>
      </c>
      <c r="CT43" s="394">
        <f t="shared" si="31"/>
        <v>1.8189894035458565E-11</v>
      </c>
      <c r="CU43" s="394">
        <f t="shared" si="31"/>
        <v>1.8189894035458565E-11</v>
      </c>
      <c r="CV43" s="394">
        <f t="shared" si="31"/>
        <v>1.8189894035458565E-11</v>
      </c>
    </row>
    <row r="44" spans="1:100" outlineLevel="1" x14ac:dyDescent="0.2"/>
    <row r="45" spans="1:100" x14ac:dyDescent="0.2"/>
    <row r="46" spans="1:100" x14ac:dyDescent="0.2">
      <c r="A46" s="15" t="s">
        <v>62</v>
      </c>
    </row>
  </sheetData>
  <conditionalFormatting sqref="J3:CV3">
    <cfRule type="cellIs" dxfId="171" priority="8" stopIfTrue="1" operator="equal">
      <formula>"Construction"</formula>
    </cfRule>
    <cfRule type="cellIs" dxfId="170" priority="9" stopIfTrue="1" operator="equal">
      <formula>"Operations"</formula>
    </cfRule>
  </conditionalFormatting>
  <conditionalFormatting sqref="J3:CV3">
    <cfRule type="cellIs" dxfId="169" priority="7" operator="equal">
      <formula>"Fin Close"</formula>
    </cfRule>
  </conditionalFormatting>
  <conditionalFormatting sqref="J3:CV3">
    <cfRule type="cellIs" dxfId="168" priority="5" operator="equal">
      <formula>"PPA ext."</formula>
    </cfRule>
    <cfRule type="cellIs" dxfId="167" priority="6" operator="equal">
      <formula>"Delay"</formula>
    </cfRule>
  </conditionalFormatting>
  <conditionalFormatting sqref="F2:F4">
    <cfRule type="cellIs" dxfId="166" priority="1" stopIfTrue="1" operator="notEqual">
      <formula>0</formula>
    </cfRule>
    <cfRule type="cellIs" dxfId="165" priority="2" stopIfTrue="1" operator="equal">
      <formula>""</formula>
    </cfRule>
  </conditionalFormatting>
  <conditionalFormatting sqref="F2:F4">
    <cfRule type="cellIs" dxfId="164" priority="3" stopIfTrue="1" operator="notEqual">
      <formula>0</formula>
    </cfRule>
    <cfRule type="cellIs" dxfId="163" priority="4" stopIfTrue="1" operator="equal">
      <formula>""</formula>
    </cfRule>
  </conditionalFormatting>
  <dataValidations count="1">
    <dataValidation allowBlank="1" showInputMessage="1" showErrorMessage="1" sqref="E13:H13 E9:H9 E32:H32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1AA4-E238-4527-8AF5-DD11E6FA2B0B}">
  <sheetPr codeName="Sheet27">
    <outlinePr summaryBelow="0" summaryRight="0"/>
  </sheetPr>
  <dimension ref="A1:GJ1097"/>
  <sheetViews>
    <sheetView showGridLines="0" defaultGridColor="0" colorId="8" zoomScaleNormal="100" workbookViewId="0">
      <pane xSplit="9" ySplit="5" topLeftCell="J589" activePane="bottomRight" state="frozen"/>
      <selection activeCell="F117" sqref="F117"/>
      <selection pane="topRight" activeCell="F117" sqref="F117"/>
      <selection pane="bottomLeft" activeCell="F117" sqref="F117"/>
      <selection pane="bottomRight" activeCell="E326" sqref="E326"/>
    </sheetView>
  </sheetViews>
  <sheetFormatPr defaultColWidth="0" defaultRowHeight="13.35" customHeight="1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Debt - Base case 1</v>
      </c>
    </row>
    <row r="2" spans="1:100" ht="12.75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ht="12.75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ht="12.75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ht="12.75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ht="12.75" x14ac:dyDescent="0.2"/>
    <row r="7" spans="1:100" ht="12.75" x14ac:dyDescent="0.2">
      <c r="A7" s="15" t="s">
        <v>158</v>
      </c>
    </row>
    <row r="8" spans="1:100" ht="12.75" outlineLevel="1" x14ac:dyDescent="0.2"/>
    <row r="9" spans="1:100" ht="12.75" outlineLevel="1" x14ac:dyDescent="0.2">
      <c r="B9" s="15" t="s">
        <v>186</v>
      </c>
    </row>
    <row r="10" spans="1:100" ht="12.75" outlineLevel="2" x14ac:dyDescent="0.2">
      <c r="E10" s="145" t="str">
        <f xml:space="preserve"> 'FS Semi'!E$65</f>
        <v>Cashflow available for senior debt</v>
      </c>
      <c r="F10" s="145">
        <f xml:space="preserve"> 'FS Semi'!F$65</f>
        <v>0</v>
      </c>
      <c r="G10" s="145" t="str">
        <f xml:space="preserve"> 'FS Semi'!G$65</f>
        <v>$ 000s</v>
      </c>
      <c r="H10" s="145">
        <f xml:space="preserve"> 'FS Semi'!H$65</f>
        <v>587649.30780221813</v>
      </c>
      <c r="I10" s="145">
        <f xml:space="preserve"> 'FS Semi'!I$65</f>
        <v>0</v>
      </c>
      <c r="J10" s="145">
        <f xml:space="preserve"> 'FS Semi'!J$65</f>
        <v>-1.5558398445136845E-6</v>
      </c>
      <c r="K10" s="145">
        <f xml:space="preserve"> 'FS Semi'!K$65</f>
        <v>-1.2466658517951146E-5</v>
      </c>
      <c r="L10" s="145">
        <f xml:space="preserve"> 'FS Semi'!L$65</f>
        <v>-1.6754362150095403E-5</v>
      </c>
      <c r="M10" s="145">
        <f xml:space="preserve"> 'FS Semi'!M$65</f>
        <v>-1.9422688637860119E-5</v>
      </c>
      <c r="N10" s="145">
        <f xml:space="preserve"> 'FS Semi'!N$65</f>
        <v>-3.9676149608567357E-3</v>
      </c>
      <c r="O10" s="145">
        <f xml:space="preserve"> 'FS Semi'!O$65</f>
        <v>17761.339089615478</v>
      </c>
      <c r="P10" s="145">
        <f xml:space="preserve"> 'FS Semi'!P$65</f>
        <v>15707.408907742485</v>
      </c>
      <c r="Q10" s="145">
        <f xml:space="preserve"> 'FS Semi'!Q$65</f>
        <v>15745.355493650644</v>
      </c>
      <c r="R10" s="145">
        <f xml:space="preserve"> 'FS Semi'!R$65</f>
        <v>15588.868818823899</v>
      </c>
      <c r="S10" s="145">
        <f xml:space="preserve"> 'FS Semi'!S$65</f>
        <v>15624.695450132087</v>
      </c>
      <c r="T10" s="145">
        <f xml:space="preserve"> 'FS Semi'!T$65</f>
        <v>15468.805976611518</v>
      </c>
      <c r="U10" s="145">
        <f xml:space="preserve"> 'FS Semi'!U$65</f>
        <v>15502.475660941096</v>
      </c>
      <c r="V10" s="145">
        <f xml:space="preserve"> 'FS Semi'!V$65</f>
        <v>15368.238112158891</v>
      </c>
      <c r="W10" s="145">
        <f xml:space="preserve"> 'FS Semi'!W$65</f>
        <v>15357.612782223849</v>
      </c>
      <c r="X10" s="145">
        <f xml:space="preserve"> 'FS Semi'!X$65</f>
        <v>15223.981670526602</v>
      </c>
      <c r="Y10" s="145">
        <f xml:space="preserve"> 'FS Semi'!Y$65</f>
        <v>15253.223441594726</v>
      </c>
      <c r="Z10" s="145">
        <f xml:space="preserve"> 'FS Semi'!Z$65</f>
        <v>15099.15338854069</v>
      </c>
      <c r="AA10" s="145">
        <f xml:space="preserve"> 'FS Semi'!AA$65</f>
        <v>15126.122633909146</v>
      </c>
      <c r="AB10" s="145">
        <f xml:space="preserve"> 'FS Semi'!AB$65</f>
        <v>14972.668690608356</v>
      </c>
      <c r="AC10" s="145">
        <f xml:space="preserve"> 'FS Semi'!AC$65</f>
        <v>14997.325298446642</v>
      </c>
      <c r="AD10" s="145">
        <f xml:space="preserve"> 'FS Semi'!AD$65</f>
        <v>14864.853133923503</v>
      </c>
      <c r="AE10" s="145">
        <f xml:space="preserve"> 'FS Semi'!AE$65</f>
        <v>14846.434846161274</v>
      </c>
      <c r="AF10" s="145">
        <f xml:space="preserve"> 'FS Semi'!AF$65</f>
        <v>14714.588918503887</v>
      </c>
      <c r="AG10" s="145">
        <f xml:space="preserve"> 'FS Semi'!AG$65</f>
        <v>14734.496621546412</v>
      </c>
      <c r="AH10" s="145">
        <f xml:space="preserve"> 'FS Semi'!AH$65</f>
        <v>14582.921507009845</v>
      </c>
      <c r="AI10" s="145">
        <f xml:space="preserve"> 'FS Semi'!AI$65</f>
        <v>14600.391254152939</v>
      </c>
      <c r="AJ10" s="145">
        <f xml:space="preserve"> 'FS Semi'!AJ$65</f>
        <v>14449.45297630897</v>
      </c>
      <c r="AK10" s="145">
        <f xml:space="preserve"> 'FS Semi'!AK$65</f>
        <v>14464.441277785036</v>
      </c>
      <c r="AL10" s="145">
        <f xml:space="preserve"> 'FS Semi'!AL$65</f>
        <v>14333.778560490962</v>
      </c>
      <c r="AM10" s="145">
        <f xml:space="preserve"> 'FS Semi'!AM$65</f>
        <v>14306.974557657806</v>
      </c>
      <c r="AN10" s="145">
        <f xml:space="preserve"> 'FS Semi'!AN$65</f>
        <v>14176.959768611989</v>
      </c>
      <c r="AO10" s="145">
        <f xml:space="preserve"> 'FS Semi'!AO$65</f>
        <v>14186.851142225703</v>
      </c>
      <c r="AP10" s="145">
        <f xml:space="preserve"> 'FS Semi'!AP$65</f>
        <v>14037.856776993409</v>
      </c>
      <c r="AQ10" s="145">
        <f xml:space="preserve"> 'FS Semi'!AQ$65</f>
        <v>14045.130839844553</v>
      </c>
      <c r="AR10" s="145">
        <f xml:space="preserve"> 'FS Semi'!AR$65</f>
        <v>13896.7960059342</v>
      </c>
      <c r="AS10" s="145">
        <f xml:space="preserve"> 'FS Semi'!AS$65</f>
        <v>13901.405610395763</v>
      </c>
      <c r="AT10" s="145">
        <f xml:space="preserve"> 'FS Semi'!AT$65</f>
        <v>13772.600892933437</v>
      </c>
      <c r="AU10" s="145">
        <f xml:space="preserve"> 'FS Semi'!AU$65</f>
        <v>13736.76875976386</v>
      </c>
      <c r="AV10" s="145">
        <f xml:space="preserve"> 'FS Semi'!AV$65</f>
        <v>13608.635708810609</v>
      </c>
      <c r="AW10" s="145">
        <f xml:space="preserve"> 'FS Semi'!AW$65</f>
        <v>13607.771090766597</v>
      </c>
      <c r="AX10" s="145">
        <f xml:space="preserve"> 'FS Semi'!AX$65</f>
        <v>13461.451394756768</v>
      </c>
      <c r="AY10" s="145">
        <f xml:space="preserve"> 'FS Semi'!AY$65</f>
        <v>13457.775032491649</v>
      </c>
      <c r="AZ10" s="145">
        <f xml:space="preserve"> 'FS Semi'!AZ$65</f>
        <v>13312.139691725803</v>
      </c>
      <c r="BA10" s="145">
        <f xml:space="preserve"> 'FS Semi'!BA$65</f>
        <v>13305.600476617343</v>
      </c>
      <c r="BB10" s="145">
        <f xml:space="preserve"> 'FS Semi'!BB$65</f>
        <v>16445.95955909419</v>
      </c>
      <c r="BC10" s="145">
        <f xml:space="preserve"> 'FS Semi'!BC$65</f>
        <v>0</v>
      </c>
      <c r="BD10" s="145">
        <f xml:space="preserve"> 'FS Semi'!BD$65</f>
        <v>0</v>
      </c>
      <c r="BE10" s="145">
        <f xml:space="preserve"> 'FS Semi'!BE$65</f>
        <v>0</v>
      </c>
      <c r="BF10" s="145">
        <f xml:space="preserve"> 'FS Semi'!BF$65</f>
        <v>0</v>
      </c>
      <c r="BG10" s="145">
        <f xml:space="preserve"> 'FS Semi'!BG$65</f>
        <v>0</v>
      </c>
      <c r="BH10" s="145">
        <f xml:space="preserve"> 'FS Semi'!BH$65</f>
        <v>0</v>
      </c>
      <c r="BI10" s="145">
        <f xml:space="preserve"> 'FS Semi'!BI$65</f>
        <v>0</v>
      </c>
      <c r="BJ10" s="145">
        <f xml:space="preserve"> 'FS Semi'!BJ$65</f>
        <v>0</v>
      </c>
      <c r="BK10" s="145">
        <f xml:space="preserve"> 'FS Semi'!BK$65</f>
        <v>0</v>
      </c>
      <c r="BL10" s="145">
        <f xml:space="preserve"> 'FS Semi'!BL$65</f>
        <v>0</v>
      </c>
      <c r="BM10" s="145">
        <f xml:space="preserve"> 'FS Semi'!BM$65</f>
        <v>0</v>
      </c>
      <c r="BN10" s="145">
        <f xml:space="preserve"> 'FS Semi'!BN$65</f>
        <v>0</v>
      </c>
      <c r="BO10" s="145">
        <f xml:space="preserve"> 'FS Semi'!BO$65</f>
        <v>0</v>
      </c>
      <c r="BP10" s="145">
        <f xml:space="preserve"> 'FS Semi'!BP$65</f>
        <v>0</v>
      </c>
      <c r="BQ10" s="145">
        <f xml:space="preserve"> 'FS Semi'!BQ$65</f>
        <v>0</v>
      </c>
      <c r="BR10" s="145">
        <f xml:space="preserve"> 'FS Semi'!BR$65</f>
        <v>0</v>
      </c>
      <c r="BS10" s="145">
        <f xml:space="preserve"> 'FS Semi'!BS$65</f>
        <v>0</v>
      </c>
      <c r="BT10" s="145">
        <f xml:space="preserve"> 'FS Semi'!BT$65</f>
        <v>0</v>
      </c>
      <c r="BU10" s="145">
        <f xml:space="preserve"> 'FS Semi'!BU$65</f>
        <v>0</v>
      </c>
      <c r="BV10" s="145">
        <f xml:space="preserve"> 'FS Semi'!BV$65</f>
        <v>0</v>
      </c>
      <c r="BW10" s="145">
        <f xml:space="preserve"> 'FS Semi'!BW$65</f>
        <v>0</v>
      </c>
      <c r="BX10" s="145">
        <f xml:space="preserve"> 'FS Semi'!BX$65</f>
        <v>0</v>
      </c>
      <c r="BY10" s="145">
        <f xml:space="preserve"> 'FS Semi'!BY$65</f>
        <v>0</v>
      </c>
      <c r="BZ10" s="145">
        <f xml:space="preserve"> 'FS Semi'!BZ$65</f>
        <v>0</v>
      </c>
      <c r="CA10" s="145">
        <f xml:space="preserve"> 'FS Semi'!CA$65</f>
        <v>0</v>
      </c>
      <c r="CB10" s="145">
        <f xml:space="preserve"> 'FS Semi'!CB$65</f>
        <v>0</v>
      </c>
      <c r="CC10" s="145">
        <f xml:space="preserve"> 'FS Semi'!CC$65</f>
        <v>0</v>
      </c>
      <c r="CD10" s="145">
        <f xml:space="preserve"> 'FS Semi'!CD$65</f>
        <v>0</v>
      </c>
      <c r="CE10" s="145">
        <f xml:space="preserve"> 'FS Semi'!CE$65</f>
        <v>0</v>
      </c>
      <c r="CF10" s="145">
        <f xml:space="preserve"> 'FS Semi'!CF$65</f>
        <v>0</v>
      </c>
      <c r="CG10" s="145">
        <f xml:space="preserve"> 'FS Semi'!CG$65</f>
        <v>0</v>
      </c>
      <c r="CH10" s="145">
        <f xml:space="preserve"> 'FS Semi'!CH$65</f>
        <v>0</v>
      </c>
      <c r="CI10" s="145">
        <f xml:space="preserve"> 'FS Semi'!CI$65</f>
        <v>0</v>
      </c>
      <c r="CJ10" s="145">
        <f xml:space="preserve"> 'FS Semi'!CJ$65</f>
        <v>0</v>
      </c>
      <c r="CK10" s="145">
        <f xml:space="preserve"> 'FS Semi'!CK$65</f>
        <v>0</v>
      </c>
      <c r="CL10" s="145">
        <f xml:space="preserve"> 'FS Semi'!CL$65</f>
        <v>0</v>
      </c>
      <c r="CM10" s="145">
        <f xml:space="preserve"> 'FS Semi'!CM$65</f>
        <v>0</v>
      </c>
      <c r="CN10" s="145">
        <f xml:space="preserve"> 'FS Semi'!CN$65</f>
        <v>0</v>
      </c>
      <c r="CO10" s="145">
        <f xml:space="preserve"> 'FS Semi'!CO$65</f>
        <v>0</v>
      </c>
      <c r="CP10" s="145">
        <f xml:space="preserve"> 'FS Semi'!CP$65</f>
        <v>0</v>
      </c>
      <c r="CQ10" s="145">
        <f xml:space="preserve"> 'FS Semi'!CQ$65</f>
        <v>0</v>
      </c>
      <c r="CR10" s="145">
        <f xml:space="preserve"> 'FS Semi'!CR$65</f>
        <v>0</v>
      </c>
      <c r="CS10" s="145">
        <f xml:space="preserve"> 'FS Semi'!CS$65</f>
        <v>0</v>
      </c>
      <c r="CT10" s="145">
        <f xml:space="preserve"> 'FS Semi'!CT$65</f>
        <v>0</v>
      </c>
      <c r="CU10" s="145">
        <f xml:space="preserve"> 'FS Semi'!CU$65</f>
        <v>0</v>
      </c>
      <c r="CV10" s="145">
        <f xml:space="preserve"> 'FS Semi'!CV$65</f>
        <v>0</v>
      </c>
    </row>
    <row r="11" spans="1:100" ht="12.75" outlineLevel="2" x14ac:dyDescent="0.2">
      <c r="E11" s="189" t="str">
        <f xml:space="preserve"> Time!E$209</f>
        <v>Senior debt service period flag</v>
      </c>
      <c r="F11" s="189">
        <f xml:space="preserve"> Time!F$209</f>
        <v>0</v>
      </c>
      <c r="G11" s="189" t="str">
        <f xml:space="preserve"> Time!G$209</f>
        <v>flag</v>
      </c>
      <c r="H11" s="189">
        <f xml:space="preserve"> Time!H$209</f>
        <v>34</v>
      </c>
      <c r="I11" s="189">
        <f xml:space="preserve"> Time!I$209</f>
        <v>0</v>
      </c>
      <c r="J11" s="189">
        <f xml:space="preserve"> Time!J$209</f>
        <v>0</v>
      </c>
      <c r="K11" s="189">
        <f xml:space="preserve"> Time!K$209</f>
        <v>0</v>
      </c>
      <c r="L11" s="189">
        <f xml:space="preserve"> Time!L$209</f>
        <v>0</v>
      </c>
      <c r="M11" s="189">
        <f xml:space="preserve"> Time!M$209</f>
        <v>0</v>
      </c>
      <c r="N11" s="189">
        <f xml:space="preserve"> Time!N$209</f>
        <v>0</v>
      </c>
      <c r="O11" s="189">
        <f xml:space="preserve"> Time!O$209</f>
        <v>1</v>
      </c>
      <c r="P11" s="189">
        <f xml:space="preserve"> Time!P$209</f>
        <v>1</v>
      </c>
      <c r="Q11" s="189">
        <f xml:space="preserve"> Time!Q$209</f>
        <v>1</v>
      </c>
      <c r="R11" s="189">
        <f xml:space="preserve"> Time!R$209</f>
        <v>1</v>
      </c>
      <c r="S11" s="189">
        <f xml:space="preserve"> Time!S$209</f>
        <v>1</v>
      </c>
      <c r="T11" s="189">
        <f xml:space="preserve"> Time!T$209</f>
        <v>1</v>
      </c>
      <c r="U11" s="189">
        <f xml:space="preserve"> Time!U$209</f>
        <v>1</v>
      </c>
      <c r="V11" s="189">
        <f xml:space="preserve"> Time!V$209</f>
        <v>1</v>
      </c>
      <c r="W11" s="189">
        <f xml:space="preserve"> Time!W$209</f>
        <v>1</v>
      </c>
      <c r="X11" s="189">
        <f xml:space="preserve"> Time!X$209</f>
        <v>1</v>
      </c>
      <c r="Y11" s="189">
        <f xml:space="preserve"> Time!Y$209</f>
        <v>1</v>
      </c>
      <c r="Z11" s="189">
        <f xml:space="preserve"> Time!Z$209</f>
        <v>1</v>
      </c>
      <c r="AA11" s="189">
        <f xml:space="preserve"> Time!AA$209</f>
        <v>1</v>
      </c>
      <c r="AB11" s="189">
        <f xml:space="preserve"> Time!AB$209</f>
        <v>1</v>
      </c>
      <c r="AC11" s="189">
        <f xml:space="preserve"> Time!AC$209</f>
        <v>1</v>
      </c>
      <c r="AD11" s="189">
        <f xml:space="preserve"> Time!AD$209</f>
        <v>1</v>
      </c>
      <c r="AE11" s="189">
        <f xml:space="preserve"> Time!AE$209</f>
        <v>1</v>
      </c>
      <c r="AF11" s="189">
        <f xml:space="preserve"> Time!AF$209</f>
        <v>1</v>
      </c>
      <c r="AG11" s="189">
        <f xml:space="preserve"> Time!AG$209</f>
        <v>1</v>
      </c>
      <c r="AH11" s="189">
        <f xml:space="preserve"> Time!AH$209</f>
        <v>1</v>
      </c>
      <c r="AI11" s="189">
        <f xml:space="preserve"> Time!AI$209</f>
        <v>1</v>
      </c>
      <c r="AJ11" s="189">
        <f xml:space="preserve"> Time!AJ$209</f>
        <v>1</v>
      </c>
      <c r="AK11" s="189">
        <f xml:space="preserve"> Time!AK$209</f>
        <v>1</v>
      </c>
      <c r="AL11" s="189">
        <f xml:space="preserve"> Time!AL$209</f>
        <v>1</v>
      </c>
      <c r="AM11" s="189">
        <f xml:space="preserve"> Time!AM$209</f>
        <v>1</v>
      </c>
      <c r="AN11" s="189">
        <f xml:space="preserve"> Time!AN$209</f>
        <v>1</v>
      </c>
      <c r="AO11" s="189">
        <f xml:space="preserve"> Time!AO$209</f>
        <v>1</v>
      </c>
      <c r="AP11" s="189">
        <f xml:space="preserve"> Time!AP$209</f>
        <v>1</v>
      </c>
      <c r="AQ11" s="189">
        <f xml:space="preserve"> Time!AQ$209</f>
        <v>1</v>
      </c>
      <c r="AR11" s="189">
        <f xml:space="preserve"> Time!AR$209</f>
        <v>1</v>
      </c>
      <c r="AS11" s="189">
        <f xml:space="preserve"> Time!AS$209</f>
        <v>1</v>
      </c>
      <c r="AT11" s="189">
        <f xml:space="preserve"> Time!AT$209</f>
        <v>1</v>
      </c>
      <c r="AU11" s="189">
        <f xml:space="preserve"> Time!AU$209</f>
        <v>1</v>
      </c>
      <c r="AV11" s="189">
        <f xml:space="preserve"> Time!AV$209</f>
        <v>1</v>
      </c>
      <c r="AW11" s="189">
        <f xml:space="preserve"> Time!AW$209</f>
        <v>0</v>
      </c>
      <c r="AX11" s="189">
        <f xml:space="preserve"> Time!AX$209</f>
        <v>0</v>
      </c>
      <c r="AY11" s="189">
        <f xml:space="preserve"> Time!AY$209</f>
        <v>0</v>
      </c>
      <c r="AZ11" s="189">
        <f xml:space="preserve"> Time!AZ$209</f>
        <v>0</v>
      </c>
      <c r="BA11" s="189">
        <f xml:space="preserve"> Time!BA$209</f>
        <v>0</v>
      </c>
      <c r="BB11" s="189">
        <f xml:space="preserve"> Time!BB$209</f>
        <v>0</v>
      </c>
      <c r="BC11" s="189">
        <f xml:space="preserve"> Time!BC$209</f>
        <v>0</v>
      </c>
      <c r="BD11" s="189">
        <f xml:space="preserve"> Time!BD$209</f>
        <v>0</v>
      </c>
      <c r="BE11" s="189">
        <f xml:space="preserve"> Time!BE$209</f>
        <v>0</v>
      </c>
      <c r="BF11" s="189">
        <f xml:space="preserve"> Time!BF$209</f>
        <v>0</v>
      </c>
      <c r="BG11" s="189">
        <f xml:space="preserve"> Time!BG$209</f>
        <v>0</v>
      </c>
      <c r="BH11" s="189">
        <f xml:space="preserve"> Time!BH$209</f>
        <v>0</v>
      </c>
      <c r="BI11" s="189">
        <f xml:space="preserve"> Time!BI$209</f>
        <v>0</v>
      </c>
      <c r="BJ11" s="189">
        <f xml:space="preserve"> Time!BJ$209</f>
        <v>0</v>
      </c>
      <c r="BK11" s="189">
        <f xml:space="preserve"> Time!BK$209</f>
        <v>0</v>
      </c>
      <c r="BL11" s="189">
        <f xml:space="preserve"> Time!BL$209</f>
        <v>0</v>
      </c>
      <c r="BM11" s="189">
        <f xml:space="preserve"> Time!BM$209</f>
        <v>0</v>
      </c>
      <c r="BN11" s="189">
        <f xml:space="preserve"> Time!BN$209</f>
        <v>0</v>
      </c>
      <c r="BO11" s="189">
        <f xml:space="preserve"> Time!BO$209</f>
        <v>0</v>
      </c>
      <c r="BP11" s="189">
        <f xml:space="preserve"> Time!BP$209</f>
        <v>0</v>
      </c>
      <c r="BQ11" s="189">
        <f xml:space="preserve"> Time!BQ$209</f>
        <v>0</v>
      </c>
      <c r="BR11" s="189">
        <f xml:space="preserve"> Time!BR$209</f>
        <v>0</v>
      </c>
      <c r="BS11" s="189">
        <f xml:space="preserve"> Time!BS$209</f>
        <v>0</v>
      </c>
      <c r="BT11" s="189">
        <f xml:space="preserve"> Time!BT$209</f>
        <v>0</v>
      </c>
      <c r="BU11" s="189">
        <f xml:space="preserve"> Time!BU$209</f>
        <v>0</v>
      </c>
      <c r="BV11" s="189">
        <f xml:space="preserve"> Time!BV$209</f>
        <v>0</v>
      </c>
      <c r="BW11" s="189">
        <f xml:space="preserve"> Time!BW$209</f>
        <v>0</v>
      </c>
      <c r="BX11" s="189">
        <f xml:space="preserve"> Time!BX$209</f>
        <v>0</v>
      </c>
      <c r="BY11" s="189">
        <f xml:space="preserve"> Time!BY$209</f>
        <v>0</v>
      </c>
      <c r="BZ11" s="189">
        <f xml:space="preserve"> Time!BZ$209</f>
        <v>0</v>
      </c>
      <c r="CA11" s="189">
        <f xml:space="preserve"> Time!CA$209</f>
        <v>0</v>
      </c>
      <c r="CB11" s="189">
        <f xml:space="preserve"> Time!CB$209</f>
        <v>0</v>
      </c>
      <c r="CC11" s="189">
        <f xml:space="preserve"> Time!CC$209</f>
        <v>0</v>
      </c>
      <c r="CD11" s="189">
        <f xml:space="preserve"> Time!CD$209</f>
        <v>0</v>
      </c>
      <c r="CE11" s="189">
        <f xml:space="preserve"> Time!CE$209</f>
        <v>0</v>
      </c>
      <c r="CF11" s="189">
        <f xml:space="preserve"> Time!CF$209</f>
        <v>0</v>
      </c>
      <c r="CG11" s="189">
        <f xml:space="preserve"> Time!CG$209</f>
        <v>0</v>
      </c>
      <c r="CH11" s="189">
        <f xml:space="preserve"> Time!CH$209</f>
        <v>0</v>
      </c>
      <c r="CI11" s="189">
        <f xml:space="preserve"> Time!CI$209</f>
        <v>0</v>
      </c>
      <c r="CJ11" s="189">
        <f xml:space="preserve"> Time!CJ$209</f>
        <v>0</v>
      </c>
      <c r="CK11" s="189">
        <f xml:space="preserve"> Time!CK$209</f>
        <v>0</v>
      </c>
      <c r="CL11" s="189">
        <f xml:space="preserve"> Time!CL$209</f>
        <v>0</v>
      </c>
      <c r="CM11" s="189">
        <f xml:space="preserve"> Time!CM$209</f>
        <v>0</v>
      </c>
      <c r="CN11" s="189">
        <f xml:space="preserve"> Time!CN$209</f>
        <v>0</v>
      </c>
      <c r="CO11" s="189">
        <f xml:space="preserve"> Time!CO$209</f>
        <v>0</v>
      </c>
      <c r="CP11" s="189">
        <f xml:space="preserve"> Time!CP$209</f>
        <v>0</v>
      </c>
      <c r="CQ11" s="189">
        <f xml:space="preserve"> Time!CQ$209</f>
        <v>0</v>
      </c>
      <c r="CR11" s="189">
        <f xml:space="preserve"> Time!CR$209</f>
        <v>0</v>
      </c>
      <c r="CS11" s="189">
        <f xml:space="preserve"> Time!CS$209</f>
        <v>0</v>
      </c>
      <c r="CT11" s="189">
        <f xml:space="preserve"> Time!CT$209</f>
        <v>0</v>
      </c>
      <c r="CU11" s="189">
        <f xml:space="preserve"> Time!CU$209</f>
        <v>0</v>
      </c>
      <c r="CV11" s="189">
        <f xml:space="preserve"> Time!CV$209</f>
        <v>0</v>
      </c>
    </row>
    <row r="12" spans="1:100" s="188" customFormat="1" ht="12.75" outlineLevel="2" x14ac:dyDescent="0.2">
      <c r="A12" s="141"/>
      <c r="B12" s="141"/>
      <c r="C12" s="142"/>
      <c r="D12" s="143"/>
      <c r="E12" s="187" t="s">
        <v>1134</v>
      </c>
      <c r="F12" s="187"/>
      <c r="G12" s="608" t="str">
        <f xml:space="preserve"> SMU</f>
        <v>$ 000s</v>
      </c>
      <c r="H12" s="187">
        <f xml:space="preserve"> SUM(J12:CV12)</f>
        <v>504058.61457458022</v>
      </c>
      <c r="I12" s="144"/>
      <c r="J12" s="187">
        <f t="shared" ref="J12:AO12" si="0" xml:space="preserve"> J10 * J11</f>
        <v>0</v>
      </c>
      <c r="K12" s="187">
        <f t="shared" si="0"/>
        <v>0</v>
      </c>
      <c r="L12" s="187">
        <f t="shared" si="0"/>
        <v>0</v>
      </c>
      <c r="M12" s="187">
        <f t="shared" si="0"/>
        <v>0</v>
      </c>
      <c r="N12" s="187">
        <f t="shared" si="0"/>
        <v>0</v>
      </c>
      <c r="O12" s="187">
        <f t="shared" si="0"/>
        <v>17761.339089615478</v>
      </c>
      <c r="P12" s="187">
        <f t="shared" si="0"/>
        <v>15707.408907742485</v>
      </c>
      <c r="Q12" s="187">
        <f t="shared" si="0"/>
        <v>15745.355493650644</v>
      </c>
      <c r="R12" s="187">
        <f t="shared" si="0"/>
        <v>15588.868818823899</v>
      </c>
      <c r="S12" s="187">
        <f t="shared" si="0"/>
        <v>15624.695450132087</v>
      </c>
      <c r="T12" s="187">
        <f t="shared" si="0"/>
        <v>15468.805976611518</v>
      </c>
      <c r="U12" s="187">
        <f t="shared" si="0"/>
        <v>15502.475660941096</v>
      </c>
      <c r="V12" s="187">
        <f t="shared" si="0"/>
        <v>15368.238112158891</v>
      </c>
      <c r="W12" s="187">
        <f t="shared" si="0"/>
        <v>15357.612782223849</v>
      </c>
      <c r="X12" s="187">
        <f t="shared" si="0"/>
        <v>15223.981670526602</v>
      </c>
      <c r="Y12" s="187">
        <f t="shared" si="0"/>
        <v>15253.223441594726</v>
      </c>
      <c r="Z12" s="187">
        <f t="shared" si="0"/>
        <v>15099.15338854069</v>
      </c>
      <c r="AA12" s="187">
        <f t="shared" si="0"/>
        <v>15126.122633909146</v>
      </c>
      <c r="AB12" s="187">
        <f t="shared" si="0"/>
        <v>14972.668690608356</v>
      </c>
      <c r="AC12" s="187">
        <f t="shared" si="0"/>
        <v>14997.325298446642</v>
      </c>
      <c r="AD12" s="187">
        <f t="shared" si="0"/>
        <v>14864.853133923503</v>
      </c>
      <c r="AE12" s="187">
        <f t="shared" si="0"/>
        <v>14846.434846161274</v>
      </c>
      <c r="AF12" s="187">
        <f t="shared" si="0"/>
        <v>14714.588918503887</v>
      </c>
      <c r="AG12" s="187">
        <f t="shared" si="0"/>
        <v>14734.496621546412</v>
      </c>
      <c r="AH12" s="187">
        <f t="shared" si="0"/>
        <v>14582.921507009845</v>
      </c>
      <c r="AI12" s="187">
        <f t="shared" si="0"/>
        <v>14600.391254152939</v>
      </c>
      <c r="AJ12" s="187">
        <f t="shared" si="0"/>
        <v>14449.45297630897</v>
      </c>
      <c r="AK12" s="187">
        <f t="shared" si="0"/>
        <v>14464.441277785036</v>
      </c>
      <c r="AL12" s="187">
        <f t="shared" si="0"/>
        <v>14333.778560490962</v>
      </c>
      <c r="AM12" s="187">
        <f t="shared" si="0"/>
        <v>14306.974557657806</v>
      </c>
      <c r="AN12" s="187">
        <f t="shared" si="0"/>
        <v>14176.959768611989</v>
      </c>
      <c r="AO12" s="187">
        <f t="shared" si="0"/>
        <v>14186.851142225703</v>
      </c>
      <c r="AP12" s="187">
        <f t="shared" ref="AP12:BU12" si="1" xml:space="preserve"> AP10 * AP11</f>
        <v>14037.856776993409</v>
      </c>
      <c r="AQ12" s="187">
        <f t="shared" si="1"/>
        <v>14045.130839844553</v>
      </c>
      <c r="AR12" s="187">
        <f t="shared" si="1"/>
        <v>13896.7960059342</v>
      </c>
      <c r="AS12" s="187">
        <f t="shared" si="1"/>
        <v>13901.405610395763</v>
      </c>
      <c r="AT12" s="187">
        <f t="shared" si="1"/>
        <v>13772.600892933437</v>
      </c>
      <c r="AU12" s="187">
        <f t="shared" si="1"/>
        <v>13736.76875976386</v>
      </c>
      <c r="AV12" s="187">
        <f t="shared" si="1"/>
        <v>13608.635708810609</v>
      </c>
      <c r="AW12" s="187">
        <f t="shared" si="1"/>
        <v>0</v>
      </c>
      <c r="AX12" s="187">
        <f t="shared" si="1"/>
        <v>0</v>
      </c>
      <c r="AY12" s="187">
        <f t="shared" si="1"/>
        <v>0</v>
      </c>
      <c r="AZ12" s="187">
        <f t="shared" si="1"/>
        <v>0</v>
      </c>
      <c r="BA12" s="187">
        <f t="shared" si="1"/>
        <v>0</v>
      </c>
      <c r="BB12" s="187">
        <f t="shared" si="1"/>
        <v>0</v>
      </c>
      <c r="BC12" s="187">
        <f t="shared" si="1"/>
        <v>0</v>
      </c>
      <c r="BD12" s="187">
        <f t="shared" si="1"/>
        <v>0</v>
      </c>
      <c r="BE12" s="187">
        <f t="shared" si="1"/>
        <v>0</v>
      </c>
      <c r="BF12" s="187">
        <f t="shared" si="1"/>
        <v>0</v>
      </c>
      <c r="BG12" s="187">
        <f t="shared" si="1"/>
        <v>0</v>
      </c>
      <c r="BH12" s="187">
        <f t="shared" si="1"/>
        <v>0</v>
      </c>
      <c r="BI12" s="187">
        <f t="shared" si="1"/>
        <v>0</v>
      </c>
      <c r="BJ12" s="187">
        <f t="shared" si="1"/>
        <v>0</v>
      </c>
      <c r="BK12" s="187">
        <f t="shared" si="1"/>
        <v>0</v>
      </c>
      <c r="BL12" s="187">
        <f t="shared" si="1"/>
        <v>0</v>
      </c>
      <c r="BM12" s="187">
        <f t="shared" si="1"/>
        <v>0</v>
      </c>
      <c r="BN12" s="187">
        <f t="shared" si="1"/>
        <v>0</v>
      </c>
      <c r="BO12" s="187">
        <f t="shared" si="1"/>
        <v>0</v>
      </c>
      <c r="BP12" s="187">
        <f t="shared" si="1"/>
        <v>0</v>
      </c>
      <c r="BQ12" s="187">
        <f t="shared" si="1"/>
        <v>0</v>
      </c>
      <c r="BR12" s="187">
        <f t="shared" si="1"/>
        <v>0</v>
      </c>
      <c r="BS12" s="187">
        <f t="shared" si="1"/>
        <v>0</v>
      </c>
      <c r="BT12" s="187">
        <f t="shared" si="1"/>
        <v>0</v>
      </c>
      <c r="BU12" s="187">
        <f t="shared" si="1"/>
        <v>0</v>
      </c>
      <c r="BV12" s="187">
        <f t="shared" ref="BV12:CV12" si="2" xml:space="preserve"> BV10 * BV11</f>
        <v>0</v>
      </c>
      <c r="BW12" s="187">
        <f t="shared" si="2"/>
        <v>0</v>
      </c>
      <c r="BX12" s="187">
        <f t="shared" si="2"/>
        <v>0</v>
      </c>
      <c r="BY12" s="187">
        <f t="shared" si="2"/>
        <v>0</v>
      </c>
      <c r="BZ12" s="187">
        <f t="shared" si="2"/>
        <v>0</v>
      </c>
      <c r="CA12" s="187">
        <f t="shared" si="2"/>
        <v>0</v>
      </c>
      <c r="CB12" s="187">
        <f t="shared" si="2"/>
        <v>0</v>
      </c>
      <c r="CC12" s="187">
        <f t="shared" si="2"/>
        <v>0</v>
      </c>
      <c r="CD12" s="187">
        <f t="shared" si="2"/>
        <v>0</v>
      </c>
      <c r="CE12" s="187">
        <f t="shared" si="2"/>
        <v>0</v>
      </c>
      <c r="CF12" s="187">
        <f t="shared" si="2"/>
        <v>0</v>
      </c>
      <c r="CG12" s="187">
        <f t="shared" si="2"/>
        <v>0</v>
      </c>
      <c r="CH12" s="187">
        <f t="shared" si="2"/>
        <v>0</v>
      </c>
      <c r="CI12" s="187">
        <f t="shared" si="2"/>
        <v>0</v>
      </c>
      <c r="CJ12" s="187">
        <f t="shared" si="2"/>
        <v>0</v>
      </c>
      <c r="CK12" s="187">
        <f t="shared" si="2"/>
        <v>0</v>
      </c>
      <c r="CL12" s="187">
        <f t="shared" si="2"/>
        <v>0</v>
      </c>
      <c r="CM12" s="187">
        <f t="shared" si="2"/>
        <v>0</v>
      </c>
      <c r="CN12" s="187">
        <f t="shared" si="2"/>
        <v>0</v>
      </c>
      <c r="CO12" s="187">
        <f t="shared" si="2"/>
        <v>0</v>
      </c>
      <c r="CP12" s="187">
        <f t="shared" si="2"/>
        <v>0</v>
      </c>
      <c r="CQ12" s="187">
        <f t="shared" si="2"/>
        <v>0</v>
      </c>
      <c r="CR12" s="187">
        <f t="shared" si="2"/>
        <v>0</v>
      </c>
      <c r="CS12" s="187">
        <f t="shared" si="2"/>
        <v>0</v>
      </c>
      <c r="CT12" s="187">
        <f t="shared" si="2"/>
        <v>0</v>
      </c>
      <c r="CU12" s="187">
        <f t="shared" si="2"/>
        <v>0</v>
      </c>
      <c r="CV12" s="187">
        <f t="shared" si="2"/>
        <v>0</v>
      </c>
    </row>
    <row r="13" spans="1:100" ht="12.75" outlineLevel="2" x14ac:dyDescent="0.2"/>
    <row r="14" spans="1:100" ht="12.75" outlineLevel="2" x14ac:dyDescent="0.2">
      <c r="A14" s="278"/>
      <c r="B14" s="278"/>
      <c r="C14" s="410"/>
      <c r="D14" s="279"/>
      <c r="E14" s="461" t="str">
        <f xml:space="preserve"> InpC!E$201</f>
        <v>Senior debt DSCR - year 1</v>
      </c>
      <c r="F14" s="461">
        <f xml:space="preserve"> InpC!F$201</f>
        <v>1.4</v>
      </c>
      <c r="G14" s="461" t="str">
        <f xml:space="preserve"> InpC!G$201</f>
        <v>ratio</v>
      </c>
      <c r="H14" s="82"/>
      <c r="I14" s="455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</row>
    <row r="15" spans="1:100" ht="12.75" outlineLevel="2" x14ac:dyDescent="0.2">
      <c r="A15" s="278"/>
      <c r="B15" s="278"/>
      <c r="C15" s="410"/>
      <c r="D15" s="279"/>
      <c r="E15" s="461" t="str">
        <f xml:space="preserve"> InpC!E$202</f>
        <v>Senior debt DSCR - year 2</v>
      </c>
      <c r="F15" s="461">
        <f xml:space="preserve"> InpC!F$202</f>
        <v>1.4</v>
      </c>
      <c r="G15" s="461" t="str">
        <f xml:space="preserve"> InpC!G$202</f>
        <v>ratio</v>
      </c>
      <c r="H15" s="82"/>
      <c r="I15" s="455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  <c r="CD15" s="82"/>
      <c r="CE15" s="82"/>
      <c r="CF15" s="82"/>
      <c r="CG15" s="82"/>
      <c r="CH15" s="82"/>
      <c r="CI15" s="82"/>
      <c r="CJ15" s="82"/>
      <c r="CK15" s="82"/>
      <c r="CL15" s="82"/>
      <c r="CM15" s="82"/>
      <c r="CN15" s="82"/>
      <c r="CO15" s="82"/>
      <c r="CP15" s="82"/>
      <c r="CQ15" s="82"/>
      <c r="CR15" s="82"/>
      <c r="CS15" s="82"/>
      <c r="CT15" s="82"/>
      <c r="CU15" s="82"/>
      <c r="CV15" s="82"/>
    </row>
    <row r="16" spans="1:100" ht="12.75" outlineLevel="2" x14ac:dyDescent="0.2">
      <c r="A16" s="278"/>
      <c r="B16" s="278"/>
      <c r="C16" s="410"/>
      <c r="D16" s="279"/>
      <c r="E16" s="461" t="str">
        <f xml:space="preserve"> InpC!E$203</f>
        <v>Senior debt DSCR - year 3</v>
      </c>
      <c r="F16" s="461">
        <f xml:space="preserve"> InpC!F$203</f>
        <v>1.4</v>
      </c>
      <c r="G16" s="461" t="str">
        <f xml:space="preserve"> InpC!G$203</f>
        <v>ratio</v>
      </c>
      <c r="H16" s="82"/>
      <c r="I16" s="455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2"/>
      <c r="BV16" s="82"/>
      <c r="BW16" s="82"/>
      <c r="BX16" s="82"/>
      <c r="BY16" s="82"/>
      <c r="BZ16" s="82"/>
      <c r="CA16" s="82"/>
      <c r="CB16" s="82"/>
      <c r="CC16" s="82"/>
      <c r="CD16" s="82"/>
      <c r="CE16" s="82"/>
      <c r="CF16" s="82"/>
      <c r="CG16" s="82"/>
      <c r="CH16" s="82"/>
      <c r="CI16" s="82"/>
      <c r="CJ16" s="82"/>
      <c r="CK16" s="82"/>
      <c r="CL16" s="82"/>
      <c r="CM16" s="82"/>
      <c r="CN16" s="82"/>
      <c r="CO16" s="82"/>
      <c r="CP16" s="82"/>
      <c r="CQ16" s="82"/>
      <c r="CR16" s="82"/>
      <c r="CS16" s="82"/>
      <c r="CT16" s="82"/>
      <c r="CU16" s="82"/>
      <c r="CV16" s="82"/>
    </row>
    <row r="17" spans="1:100" ht="12.75" outlineLevel="2" x14ac:dyDescent="0.2">
      <c r="A17" s="278"/>
      <c r="B17" s="278"/>
      <c r="C17" s="410"/>
      <c r="D17" s="279"/>
      <c r="E17" s="461" t="str">
        <f xml:space="preserve"> InpC!E$204</f>
        <v>Senior debt DSCR - year 4</v>
      </c>
      <c r="F17" s="461">
        <f xml:space="preserve"> InpC!F$204</f>
        <v>1.4</v>
      </c>
      <c r="G17" s="461" t="str">
        <f xml:space="preserve"> InpC!G$204</f>
        <v>ratio</v>
      </c>
      <c r="H17" s="82"/>
      <c r="I17" s="455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  <c r="BS17" s="82"/>
      <c r="BT17" s="82"/>
      <c r="BU17" s="82"/>
      <c r="BV17" s="82"/>
      <c r="BW17" s="82"/>
      <c r="BX17" s="82"/>
      <c r="BY17" s="82"/>
      <c r="BZ17" s="82"/>
      <c r="CA17" s="82"/>
      <c r="CB17" s="82"/>
      <c r="CC17" s="82"/>
      <c r="CD17" s="82"/>
      <c r="CE17" s="82"/>
      <c r="CF17" s="82"/>
      <c r="CG17" s="82"/>
      <c r="CH17" s="82"/>
      <c r="CI17" s="82"/>
      <c r="CJ17" s="82"/>
      <c r="CK17" s="82"/>
      <c r="CL17" s="82"/>
      <c r="CM17" s="82"/>
      <c r="CN17" s="82"/>
      <c r="CO17" s="82"/>
      <c r="CP17" s="82"/>
      <c r="CQ17" s="82"/>
      <c r="CR17" s="82"/>
      <c r="CS17" s="82"/>
      <c r="CT17" s="82"/>
      <c r="CU17" s="82"/>
      <c r="CV17" s="82"/>
    </row>
    <row r="18" spans="1:100" ht="12.75" outlineLevel="2" x14ac:dyDescent="0.2">
      <c r="A18" s="278"/>
      <c r="B18" s="278"/>
      <c r="C18" s="410"/>
      <c r="D18" s="279"/>
      <c r="E18" s="461" t="str">
        <f xml:space="preserve"> InpC!E$205</f>
        <v>Senior debt DSCR - year 5</v>
      </c>
      <c r="F18" s="461">
        <f xml:space="preserve"> InpC!F$205</f>
        <v>1.4</v>
      </c>
      <c r="G18" s="461" t="str">
        <f xml:space="preserve"> InpC!G$205</f>
        <v>ratio</v>
      </c>
      <c r="H18" s="82"/>
      <c r="I18" s="455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</row>
    <row r="19" spans="1:100" ht="12.75" outlineLevel="2" x14ac:dyDescent="0.2">
      <c r="A19" s="278"/>
      <c r="B19" s="278"/>
      <c r="C19" s="410"/>
      <c r="D19" s="279"/>
      <c r="E19" s="461" t="str">
        <f xml:space="preserve"> InpC!E$206</f>
        <v>Senior debt DSCR - year 6</v>
      </c>
      <c r="F19" s="461">
        <f xml:space="preserve"> InpC!F$206</f>
        <v>1.4</v>
      </c>
      <c r="G19" s="461" t="str">
        <f xml:space="preserve"> InpC!G$206</f>
        <v>ratio</v>
      </c>
      <c r="H19" s="82"/>
      <c r="I19" s="455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2"/>
      <c r="CP19" s="82"/>
      <c r="CQ19" s="82"/>
      <c r="CR19" s="82"/>
      <c r="CS19" s="82"/>
      <c r="CT19" s="82"/>
      <c r="CU19" s="82"/>
      <c r="CV19" s="82"/>
    </row>
    <row r="20" spans="1:100" ht="12.75" outlineLevel="2" x14ac:dyDescent="0.2">
      <c r="A20" s="278"/>
      <c r="B20" s="278"/>
      <c r="C20" s="410"/>
      <c r="D20" s="279"/>
      <c r="E20" s="461" t="str">
        <f xml:space="preserve"> InpC!E$207</f>
        <v>Senior debt DSCR - year 7</v>
      </c>
      <c r="F20" s="461">
        <f xml:space="preserve"> InpC!F$207</f>
        <v>1.4</v>
      </c>
      <c r="G20" s="461" t="str">
        <f xml:space="preserve"> InpC!G$207</f>
        <v>ratio</v>
      </c>
      <c r="H20" s="82"/>
      <c r="I20" s="455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</row>
    <row r="21" spans="1:100" ht="12.75" outlineLevel="2" x14ac:dyDescent="0.2">
      <c r="A21" s="278"/>
      <c r="B21" s="278"/>
      <c r="C21" s="410"/>
      <c r="D21" s="279"/>
      <c r="E21" s="461" t="str">
        <f xml:space="preserve"> InpC!E$208</f>
        <v>Senior debt DSCR - year 8</v>
      </c>
      <c r="F21" s="461">
        <f xml:space="preserve"> InpC!F$208</f>
        <v>1.4</v>
      </c>
      <c r="G21" s="461" t="str">
        <f xml:space="preserve"> InpC!G$208</f>
        <v>ratio</v>
      </c>
      <c r="H21" s="82"/>
      <c r="I21" s="455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</row>
    <row r="22" spans="1:100" ht="12.75" outlineLevel="2" x14ac:dyDescent="0.2">
      <c r="A22" s="278"/>
      <c r="B22" s="278"/>
      <c r="C22" s="410"/>
      <c r="D22" s="279"/>
      <c r="E22" s="461" t="str">
        <f xml:space="preserve"> InpC!E$209</f>
        <v>Senior debt DSCR - year 9</v>
      </c>
      <c r="F22" s="461">
        <f xml:space="preserve"> InpC!F$209</f>
        <v>1.4</v>
      </c>
      <c r="G22" s="461" t="str">
        <f xml:space="preserve"> InpC!G$209</f>
        <v>ratio</v>
      </c>
      <c r="H22" s="82"/>
      <c r="I22" s="455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</row>
    <row r="23" spans="1:100" ht="12.75" outlineLevel="2" x14ac:dyDescent="0.2">
      <c r="A23" s="278"/>
      <c r="B23" s="278"/>
      <c r="C23" s="410"/>
      <c r="D23" s="279"/>
      <c r="E23" s="461" t="str">
        <f xml:space="preserve"> InpC!E$210</f>
        <v>Senior debt DSCR - year 10</v>
      </c>
      <c r="F23" s="461">
        <f xml:space="preserve"> InpC!F$210</f>
        <v>1.4</v>
      </c>
      <c r="G23" s="461" t="str">
        <f xml:space="preserve"> InpC!G$210</f>
        <v>ratio</v>
      </c>
      <c r="H23" s="82"/>
      <c r="I23" s="455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</row>
    <row r="24" spans="1:100" ht="12.75" outlineLevel="2" x14ac:dyDescent="0.2">
      <c r="A24" s="278"/>
      <c r="B24" s="278"/>
      <c r="C24" s="410"/>
      <c r="D24" s="279"/>
      <c r="E24" s="461" t="str">
        <f xml:space="preserve"> InpC!E$211</f>
        <v>Senior debt DSCR - year 11</v>
      </c>
      <c r="F24" s="461">
        <f xml:space="preserve"> InpC!F$211</f>
        <v>1.4</v>
      </c>
      <c r="G24" s="461" t="str">
        <f xml:space="preserve"> InpC!G$211</f>
        <v>ratio</v>
      </c>
      <c r="H24" s="82"/>
      <c r="I24" s="455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</row>
    <row r="25" spans="1:100" ht="12.75" outlineLevel="2" x14ac:dyDescent="0.2">
      <c r="A25" s="278"/>
      <c r="B25" s="278"/>
      <c r="C25" s="410"/>
      <c r="D25" s="279"/>
      <c r="E25" s="461" t="str">
        <f xml:space="preserve"> InpC!E$212</f>
        <v>Senior debt DSCR - year 12</v>
      </c>
      <c r="F25" s="461">
        <f xml:space="preserve"> InpC!F$212</f>
        <v>1.4</v>
      </c>
      <c r="G25" s="461" t="str">
        <f xml:space="preserve"> InpC!G$212</f>
        <v>ratio</v>
      </c>
      <c r="H25" s="82"/>
      <c r="I25" s="455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</row>
    <row r="26" spans="1:100" ht="12.75" outlineLevel="2" x14ac:dyDescent="0.2">
      <c r="A26" s="278"/>
      <c r="B26" s="278"/>
      <c r="C26" s="410"/>
      <c r="D26" s="279"/>
      <c r="E26" s="461" t="str">
        <f xml:space="preserve"> InpC!E$213</f>
        <v>Senior debt DSCR - year 13</v>
      </c>
      <c r="F26" s="461">
        <f xml:space="preserve"> InpC!F$213</f>
        <v>1.4</v>
      </c>
      <c r="G26" s="461" t="str">
        <f xml:space="preserve"> InpC!G$213</f>
        <v>ratio</v>
      </c>
      <c r="H26" s="82"/>
      <c r="I26" s="455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</row>
    <row r="27" spans="1:100" ht="12.75" outlineLevel="2" x14ac:dyDescent="0.2">
      <c r="A27" s="278"/>
      <c r="B27" s="278"/>
      <c r="C27" s="410"/>
      <c r="D27" s="279"/>
      <c r="E27" s="461" t="str">
        <f xml:space="preserve"> InpC!E$214</f>
        <v>Senior debt DSCR - year 14</v>
      </c>
      <c r="F27" s="461">
        <f xml:space="preserve"> InpC!F$214</f>
        <v>1.4</v>
      </c>
      <c r="G27" s="461" t="str">
        <f xml:space="preserve"> InpC!G$214</f>
        <v>ratio</v>
      </c>
      <c r="H27" s="82"/>
      <c r="I27" s="455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</row>
    <row r="28" spans="1:100" ht="12.75" outlineLevel="2" x14ac:dyDescent="0.2">
      <c r="A28" s="278"/>
      <c r="B28" s="278"/>
      <c r="C28" s="410"/>
      <c r="D28" s="279"/>
      <c r="E28" s="461" t="str">
        <f xml:space="preserve"> InpC!E$215</f>
        <v>Senior debt DSCR - year 15</v>
      </c>
      <c r="F28" s="461">
        <f xml:space="preserve"> InpC!F$215</f>
        <v>1.4</v>
      </c>
      <c r="G28" s="461" t="str">
        <f xml:space="preserve"> InpC!G$215</f>
        <v>ratio</v>
      </c>
      <c r="H28" s="82"/>
      <c r="I28" s="455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</row>
    <row r="29" spans="1:100" ht="12.75" outlineLevel="2" x14ac:dyDescent="0.2">
      <c r="A29" s="278"/>
      <c r="B29" s="278"/>
      <c r="C29" s="410"/>
      <c r="D29" s="279"/>
      <c r="E29" s="461" t="str">
        <f xml:space="preserve"> InpC!E$216</f>
        <v>Senior debt DSCR - year 16</v>
      </c>
      <c r="F29" s="461">
        <f xml:space="preserve"> InpC!F$216</f>
        <v>1.4</v>
      </c>
      <c r="G29" s="461" t="str">
        <f xml:space="preserve"> InpC!G$216</f>
        <v>ratio</v>
      </c>
      <c r="H29" s="82"/>
      <c r="I29" s="455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</row>
    <row r="30" spans="1:100" ht="12.75" outlineLevel="2" x14ac:dyDescent="0.2">
      <c r="A30" s="278"/>
      <c r="B30" s="278"/>
      <c r="C30" s="410"/>
      <c r="D30" s="279"/>
      <c r="E30" s="461" t="str">
        <f xml:space="preserve"> InpC!E$217</f>
        <v>Senior debt DSCR - year 17</v>
      </c>
      <c r="F30" s="461">
        <f xml:space="preserve"> InpC!F$217</f>
        <v>1.4</v>
      </c>
      <c r="G30" s="461" t="str">
        <f xml:space="preserve"> InpC!G$217</f>
        <v>ratio</v>
      </c>
      <c r="H30" s="82"/>
      <c r="I30" s="455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</row>
    <row r="31" spans="1:100" ht="12.75" outlineLevel="2" x14ac:dyDescent="0.2">
      <c r="A31" s="278"/>
      <c r="B31" s="278"/>
      <c r="C31" s="410"/>
      <c r="D31" s="279"/>
      <c r="E31" s="461" t="str">
        <f xml:space="preserve"> InpC!E$218</f>
        <v>Senior debt DSCR - year 18</v>
      </c>
      <c r="F31" s="461">
        <f xml:space="preserve"> InpC!F$218</f>
        <v>1.4</v>
      </c>
      <c r="G31" s="461" t="str">
        <f xml:space="preserve"> InpC!G$218</f>
        <v>ratio</v>
      </c>
      <c r="H31" s="82"/>
      <c r="I31" s="455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</row>
    <row r="32" spans="1:100" ht="12.75" outlineLevel="2" x14ac:dyDescent="0.2">
      <c r="A32" s="278"/>
      <c r="B32" s="278"/>
      <c r="C32" s="410"/>
      <c r="D32" s="279"/>
      <c r="E32" s="461" t="str">
        <f xml:space="preserve"> InpC!E$219</f>
        <v>Senior debt DSCR - year 19</v>
      </c>
      <c r="F32" s="461">
        <f xml:space="preserve"> InpC!F$219</f>
        <v>1.4</v>
      </c>
      <c r="G32" s="461" t="str">
        <f xml:space="preserve"> InpC!G$219</f>
        <v>ratio</v>
      </c>
      <c r="H32" s="82"/>
      <c r="I32" s="455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</row>
    <row r="33" spans="1:100" ht="12.75" outlineLevel="2" x14ac:dyDescent="0.2">
      <c r="A33" s="278"/>
      <c r="B33" s="278"/>
      <c r="C33" s="410"/>
      <c r="D33" s="279"/>
      <c r="E33" s="461" t="str">
        <f xml:space="preserve"> InpC!E$220</f>
        <v>Senior debt DSCR - year 20</v>
      </c>
      <c r="F33" s="461">
        <f xml:space="preserve"> InpC!F$220</f>
        <v>1.4</v>
      </c>
      <c r="G33" s="461" t="str">
        <f xml:space="preserve"> InpC!G$220</f>
        <v>ratio</v>
      </c>
      <c r="H33" s="82"/>
      <c r="I33" s="455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</row>
    <row r="34" spans="1:100" ht="12.75" outlineLevel="2" x14ac:dyDescent="0.2">
      <c r="A34" s="278"/>
      <c r="B34" s="278"/>
      <c r="C34" s="410"/>
      <c r="D34" s="279"/>
      <c r="E34" s="461" t="str">
        <f xml:space="preserve"> InpC!E$221</f>
        <v>Senior debt DSCR - year 21</v>
      </c>
      <c r="F34" s="461">
        <f xml:space="preserve"> InpC!F$221</f>
        <v>1.4</v>
      </c>
      <c r="G34" s="461" t="str">
        <f xml:space="preserve"> InpC!G$221</f>
        <v>ratio</v>
      </c>
      <c r="H34" s="82"/>
      <c r="I34" s="455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</row>
    <row r="35" spans="1:100" ht="12.75" outlineLevel="2" x14ac:dyDescent="0.2">
      <c r="A35" s="278"/>
      <c r="B35" s="278"/>
      <c r="C35" s="410"/>
      <c r="D35" s="279"/>
      <c r="E35" s="461" t="str">
        <f xml:space="preserve"> InpC!E$222</f>
        <v>Senior debt DSCR - year 22</v>
      </c>
      <c r="F35" s="461">
        <f xml:space="preserve"> InpC!F$222</f>
        <v>1.4</v>
      </c>
      <c r="G35" s="461" t="str">
        <f xml:space="preserve"> InpC!G$222</f>
        <v>ratio</v>
      </c>
      <c r="H35" s="82"/>
      <c r="I35" s="455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</row>
    <row r="36" spans="1:100" ht="12.75" outlineLevel="2" x14ac:dyDescent="0.2">
      <c r="A36" s="278"/>
      <c r="B36" s="278"/>
      <c r="C36" s="410"/>
      <c r="D36" s="279"/>
      <c r="E36" s="461" t="str">
        <f xml:space="preserve"> InpC!E$223</f>
        <v>Senior debt DSCR - year 23</v>
      </c>
      <c r="F36" s="461">
        <f xml:space="preserve"> InpC!F$223</f>
        <v>1.4</v>
      </c>
      <c r="G36" s="461" t="str">
        <f xml:space="preserve"> InpC!G$223</f>
        <v>ratio</v>
      </c>
      <c r="H36" s="82"/>
      <c r="I36" s="455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</row>
    <row r="37" spans="1:100" ht="12.75" outlineLevel="2" x14ac:dyDescent="0.2">
      <c r="A37" s="278"/>
      <c r="B37" s="278"/>
      <c r="C37" s="410"/>
      <c r="D37" s="279"/>
      <c r="E37" s="461" t="str">
        <f xml:space="preserve"> InpC!E$224</f>
        <v>Senior debt DSCR - year 24</v>
      </c>
      <c r="F37" s="461">
        <f xml:space="preserve"> InpC!F$224</f>
        <v>1.4</v>
      </c>
      <c r="G37" s="461" t="str">
        <f xml:space="preserve"> InpC!G$224</f>
        <v>ratio</v>
      </c>
      <c r="H37" s="82"/>
      <c r="I37" s="455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</row>
    <row r="38" spans="1:100" ht="12.75" outlineLevel="2" x14ac:dyDescent="0.2">
      <c r="A38" s="278"/>
      <c r="B38" s="278"/>
      <c r="C38" s="410"/>
      <c r="D38" s="279"/>
      <c r="E38" s="461" t="str">
        <f xml:space="preserve"> InpC!E$225</f>
        <v>Senior debt DSCR - year 25</v>
      </c>
      <c r="F38" s="461">
        <f xml:space="preserve"> InpC!F$225</f>
        <v>1.4</v>
      </c>
      <c r="G38" s="461" t="str">
        <f xml:space="preserve"> InpC!G$225</f>
        <v>ratio</v>
      </c>
      <c r="H38" s="82"/>
      <c r="I38" s="455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</row>
    <row r="39" spans="1:100" ht="12.75" outlineLevel="2" x14ac:dyDescent="0.2">
      <c r="E39" s="189" t="str">
        <f xml:space="preserve"> Time!E$239</f>
        <v>Contract year number</v>
      </c>
      <c r="F39" s="189">
        <f xml:space="preserve"> Time!F$239</f>
        <v>0</v>
      </c>
      <c r="G39" s="189" t="str">
        <f xml:space="preserve"> Time!G$239</f>
        <v>counter</v>
      </c>
      <c r="H39" s="189">
        <f xml:space="preserve"> Time!H$239</f>
        <v>0</v>
      </c>
      <c r="I39" s="189">
        <f xml:space="preserve"> Time!I$239</f>
        <v>0</v>
      </c>
      <c r="J39" s="189">
        <f xml:space="preserve"> Time!J$239</f>
        <v>0</v>
      </c>
      <c r="K39" s="189">
        <f xml:space="preserve"> Time!K$239</f>
        <v>0</v>
      </c>
      <c r="L39" s="189">
        <f xml:space="preserve"> Time!L$239</f>
        <v>0</v>
      </c>
      <c r="M39" s="189">
        <f xml:space="preserve"> Time!M$239</f>
        <v>0</v>
      </c>
      <c r="N39" s="189">
        <f xml:space="preserve"> Time!N$239</f>
        <v>0</v>
      </c>
      <c r="O39" s="189">
        <f xml:space="preserve"> Time!O$239</f>
        <v>1</v>
      </c>
      <c r="P39" s="189">
        <f xml:space="preserve"> Time!P$239</f>
        <v>1</v>
      </c>
      <c r="Q39" s="189">
        <f xml:space="preserve"> Time!Q$239</f>
        <v>2</v>
      </c>
      <c r="R39" s="189">
        <f xml:space="preserve"> Time!R$239</f>
        <v>2</v>
      </c>
      <c r="S39" s="189">
        <f xml:space="preserve"> Time!S$239</f>
        <v>3</v>
      </c>
      <c r="T39" s="189">
        <f xml:space="preserve"> Time!T$239</f>
        <v>3</v>
      </c>
      <c r="U39" s="189">
        <f xml:space="preserve"> Time!U$239</f>
        <v>4</v>
      </c>
      <c r="V39" s="189">
        <f xml:space="preserve"> Time!V$239</f>
        <v>4</v>
      </c>
      <c r="W39" s="189">
        <f xml:space="preserve"> Time!W$239</f>
        <v>5</v>
      </c>
      <c r="X39" s="189">
        <f xml:space="preserve"> Time!X$239</f>
        <v>5</v>
      </c>
      <c r="Y39" s="189">
        <f xml:space="preserve"> Time!Y$239</f>
        <v>6</v>
      </c>
      <c r="Z39" s="189">
        <f xml:space="preserve"> Time!Z$239</f>
        <v>6</v>
      </c>
      <c r="AA39" s="189">
        <f xml:space="preserve"> Time!AA$239</f>
        <v>7</v>
      </c>
      <c r="AB39" s="189">
        <f xml:space="preserve"> Time!AB$239</f>
        <v>7</v>
      </c>
      <c r="AC39" s="189">
        <f xml:space="preserve"> Time!AC$239</f>
        <v>8</v>
      </c>
      <c r="AD39" s="189">
        <f xml:space="preserve"> Time!AD$239</f>
        <v>8</v>
      </c>
      <c r="AE39" s="189">
        <f xml:space="preserve"> Time!AE$239</f>
        <v>9</v>
      </c>
      <c r="AF39" s="189">
        <f xml:space="preserve"> Time!AF$239</f>
        <v>9</v>
      </c>
      <c r="AG39" s="189">
        <f xml:space="preserve"> Time!AG$239</f>
        <v>10</v>
      </c>
      <c r="AH39" s="189">
        <f xml:space="preserve"> Time!AH$239</f>
        <v>10</v>
      </c>
      <c r="AI39" s="189">
        <f xml:space="preserve"> Time!AI$239</f>
        <v>11</v>
      </c>
      <c r="AJ39" s="189">
        <f xml:space="preserve"> Time!AJ$239</f>
        <v>11</v>
      </c>
      <c r="AK39" s="189">
        <f xml:space="preserve"> Time!AK$239</f>
        <v>12</v>
      </c>
      <c r="AL39" s="189">
        <f xml:space="preserve"> Time!AL$239</f>
        <v>12</v>
      </c>
      <c r="AM39" s="189">
        <f xml:space="preserve"> Time!AM$239</f>
        <v>13</v>
      </c>
      <c r="AN39" s="189">
        <f xml:space="preserve"> Time!AN$239</f>
        <v>13</v>
      </c>
      <c r="AO39" s="189">
        <f xml:space="preserve"> Time!AO$239</f>
        <v>14</v>
      </c>
      <c r="AP39" s="189">
        <f xml:space="preserve"> Time!AP$239</f>
        <v>14</v>
      </c>
      <c r="AQ39" s="189">
        <f xml:space="preserve"> Time!AQ$239</f>
        <v>15</v>
      </c>
      <c r="AR39" s="189">
        <f xml:space="preserve"> Time!AR$239</f>
        <v>15</v>
      </c>
      <c r="AS39" s="189">
        <f xml:space="preserve"> Time!AS$239</f>
        <v>16</v>
      </c>
      <c r="AT39" s="189">
        <f xml:space="preserve"> Time!AT$239</f>
        <v>16</v>
      </c>
      <c r="AU39" s="189">
        <f xml:space="preserve"> Time!AU$239</f>
        <v>17</v>
      </c>
      <c r="AV39" s="189">
        <f xml:space="preserve"> Time!AV$239</f>
        <v>17</v>
      </c>
      <c r="AW39" s="189">
        <f xml:space="preserve"> Time!AW$239</f>
        <v>18</v>
      </c>
      <c r="AX39" s="189">
        <f xml:space="preserve"> Time!AX$239</f>
        <v>18</v>
      </c>
      <c r="AY39" s="189">
        <f xml:space="preserve"> Time!AY$239</f>
        <v>19</v>
      </c>
      <c r="AZ39" s="189">
        <f xml:space="preserve"> Time!AZ$239</f>
        <v>19</v>
      </c>
      <c r="BA39" s="189">
        <f xml:space="preserve"> Time!BA$239</f>
        <v>20</v>
      </c>
      <c r="BB39" s="189">
        <f xml:space="preserve"> Time!BB$239</f>
        <v>20</v>
      </c>
      <c r="BC39" s="189">
        <f xml:space="preserve"> Time!BC$239</f>
        <v>0</v>
      </c>
      <c r="BD39" s="189">
        <f xml:space="preserve"> Time!BD$239</f>
        <v>0</v>
      </c>
      <c r="BE39" s="189">
        <f xml:space="preserve"> Time!BE$239</f>
        <v>0</v>
      </c>
      <c r="BF39" s="189">
        <f xml:space="preserve"> Time!BF$239</f>
        <v>0</v>
      </c>
      <c r="BG39" s="189">
        <f xml:space="preserve"> Time!BG$239</f>
        <v>0</v>
      </c>
      <c r="BH39" s="189">
        <f xml:space="preserve"> Time!BH$239</f>
        <v>0</v>
      </c>
      <c r="BI39" s="189">
        <f xml:space="preserve"> Time!BI$239</f>
        <v>0</v>
      </c>
      <c r="BJ39" s="189">
        <f xml:space="preserve"> Time!BJ$239</f>
        <v>0</v>
      </c>
      <c r="BK39" s="189">
        <f xml:space="preserve"> Time!BK$239</f>
        <v>0</v>
      </c>
      <c r="BL39" s="189">
        <f xml:space="preserve"> Time!BL$239</f>
        <v>0</v>
      </c>
      <c r="BM39" s="189">
        <f xml:space="preserve"> Time!BM$239</f>
        <v>0</v>
      </c>
      <c r="BN39" s="189">
        <f xml:space="preserve"> Time!BN$239</f>
        <v>0</v>
      </c>
      <c r="BO39" s="189">
        <f xml:space="preserve"> Time!BO$239</f>
        <v>0</v>
      </c>
      <c r="BP39" s="189">
        <f xml:space="preserve"> Time!BP$239</f>
        <v>0</v>
      </c>
      <c r="BQ39" s="189">
        <f xml:space="preserve"> Time!BQ$239</f>
        <v>0</v>
      </c>
      <c r="BR39" s="189">
        <f xml:space="preserve"> Time!BR$239</f>
        <v>0</v>
      </c>
      <c r="BS39" s="189">
        <f xml:space="preserve"> Time!BS$239</f>
        <v>0</v>
      </c>
      <c r="BT39" s="189">
        <f xml:space="preserve"> Time!BT$239</f>
        <v>0</v>
      </c>
      <c r="BU39" s="189">
        <f xml:space="preserve"> Time!BU$239</f>
        <v>0</v>
      </c>
      <c r="BV39" s="189">
        <f xml:space="preserve"> Time!BV$239</f>
        <v>0</v>
      </c>
      <c r="BW39" s="189">
        <f xml:space="preserve"> Time!BW$239</f>
        <v>0</v>
      </c>
      <c r="BX39" s="189">
        <f xml:space="preserve"> Time!BX$239</f>
        <v>0</v>
      </c>
      <c r="BY39" s="189">
        <f xml:space="preserve"> Time!BY$239</f>
        <v>0</v>
      </c>
      <c r="BZ39" s="189">
        <f xml:space="preserve"> Time!BZ$239</f>
        <v>0</v>
      </c>
      <c r="CA39" s="189">
        <f xml:space="preserve"> Time!CA$239</f>
        <v>0</v>
      </c>
      <c r="CB39" s="189">
        <f xml:space="preserve"> Time!CB$239</f>
        <v>0</v>
      </c>
      <c r="CC39" s="189">
        <f xml:space="preserve"> Time!CC$239</f>
        <v>0</v>
      </c>
      <c r="CD39" s="189">
        <f xml:space="preserve"> Time!CD$239</f>
        <v>0</v>
      </c>
      <c r="CE39" s="189">
        <f xml:space="preserve"> Time!CE$239</f>
        <v>0</v>
      </c>
      <c r="CF39" s="189">
        <f xml:space="preserve"> Time!CF$239</f>
        <v>0</v>
      </c>
      <c r="CG39" s="189">
        <f xml:space="preserve"> Time!CG$239</f>
        <v>0</v>
      </c>
      <c r="CH39" s="189">
        <f xml:space="preserve"> Time!CH$239</f>
        <v>0</v>
      </c>
      <c r="CI39" s="189">
        <f xml:space="preserve"> Time!CI$239</f>
        <v>0</v>
      </c>
      <c r="CJ39" s="189">
        <f xml:space="preserve"> Time!CJ$239</f>
        <v>0</v>
      </c>
      <c r="CK39" s="189">
        <f xml:space="preserve"> Time!CK$239</f>
        <v>0</v>
      </c>
      <c r="CL39" s="189">
        <f xml:space="preserve"> Time!CL$239</f>
        <v>0</v>
      </c>
      <c r="CM39" s="189">
        <f xml:space="preserve"> Time!CM$239</f>
        <v>0</v>
      </c>
      <c r="CN39" s="189">
        <f xml:space="preserve"> Time!CN$239</f>
        <v>0</v>
      </c>
      <c r="CO39" s="189">
        <f xml:space="preserve"> Time!CO$239</f>
        <v>0</v>
      </c>
      <c r="CP39" s="189">
        <f xml:space="preserve"> Time!CP$239</f>
        <v>0</v>
      </c>
      <c r="CQ39" s="189">
        <f xml:space="preserve"> Time!CQ$239</f>
        <v>0</v>
      </c>
      <c r="CR39" s="189">
        <f xml:space="preserve"> Time!CR$239</f>
        <v>0</v>
      </c>
      <c r="CS39" s="189">
        <f xml:space="preserve"> Time!CS$239</f>
        <v>0</v>
      </c>
      <c r="CT39" s="189">
        <f xml:space="preserve"> Time!CT$239</f>
        <v>0</v>
      </c>
      <c r="CU39" s="189">
        <f xml:space="preserve"> Time!CU$239</f>
        <v>0</v>
      </c>
      <c r="CV39" s="189">
        <f xml:space="preserve"> Time!CV$239</f>
        <v>0</v>
      </c>
    </row>
    <row r="40" spans="1:100" ht="12.75" outlineLevel="2" x14ac:dyDescent="0.2">
      <c r="E40" s="189" t="str">
        <f xml:space="preserve"> Time!E$209</f>
        <v>Senior debt service period flag</v>
      </c>
      <c r="F40" s="189">
        <f xml:space="preserve"> Time!F$209</f>
        <v>0</v>
      </c>
      <c r="G40" s="189" t="str">
        <f xml:space="preserve"> Time!G$209</f>
        <v>flag</v>
      </c>
      <c r="H40" s="189">
        <f xml:space="preserve"> Time!H$209</f>
        <v>34</v>
      </c>
      <c r="I40" s="189">
        <f xml:space="preserve"> Time!I$209</f>
        <v>0</v>
      </c>
      <c r="J40" s="189">
        <f xml:space="preserve"> Time!J$209</f>
        <v>0</v>
      </c>
      <c r="K40" s="189">
        <f xml:space="preserve"> Time!K$209</f>
        <v>0</v>
      </c>
      <c r="L40" s="189">
        <f xml:space="preserve"> Time!L$209</f>
        <v>0</v>
      </c>
      <c r="M40" s="189">
        <f xml:space="preserve"> Time!M$209</f>
        <v>0</v>
      </c>
      <c r="N40" s="189">
        <f xml:space="preserve"> Time!N$209</f>
        <v>0</v>
      </c>
      <c r="O40" s="189">
        <f xml:space="preserve"> Time!O$209</f>
        <v>1</v>
      </c>
      <c r="P40" s="189">
        <f xml:space="preserve"> Time!P$209</f>
        <v>1</v>
      </c>
      <c r="Q40" s="189">
        <f xml:space="preserve"> Time!Q$209</f>
        <v>1</v>
      </c>
      <c r="R40" s="189">
        <f xml:space="preserve"> Time!R$209</f>
        <v>1</v>
      </c>
      <c r="S40" s="189">
        <f xml:space="preserve"> Time!S$209</f>
        <v>1</v>
      </c>
      <c r="T40" s="189">
        <f xml:space="preserve"> Time!T$209</f>
        <v>1</v>
      </c>
      <c r="U40" s="189">
        <f xml:space="preserve"> Time!U$209</f>
        <v>1</v>
      </c>
      <c r="V40" s="189">
        <f xml:space="preserve"> Time!V$209</f>
        <v>1</v>
      </c>
      <c r="W40" s="189">
        <f xml:space="preserve"> Time!W$209</f>
        <v>1</v>
      </c>
      <c r="X40" s="189">
        <f xml:space="preserve"> Time!X$209</f>
        <v>1</v>
      </c>
      <c r="Y40" s="189">
        <f xml:space="preserve"> Time!Y$209</f>
        <v>1</v>
      </c>
      <c r="Z40" s="189">
        <f xml:space="preserve"> Time!Z$209</f>
        <v>1</v>
      </c>
      <c r="AA40" s="189">
        <f xml:space="preserve"> Time!AA$209</f>
        <v>1</v>
      </c>
      <c r="AB40" s="189">
        <f xml:space="preserve"> Time!AB$209</f>
        <v>1</v>
      </c>
      <c r="AC40" s="189">
        <f xml:space="preserve"> Time!AC$209</f>
        <v>1</v>
      </c>
      <c r="AD40" s="189">
        <f xml:space="preserve"> Time!AD$209</f>
        <v>1</v>
      </c>
      <c r="AE40" s="189">
        <f xml:space="preserve"> Time!AE$209</f>
        <v>1</v>
      </c>
      <c r="AF40" s="189">
        <f xml:space="preserve"> Time!AF$209</f>
        <v>1</v>
      </c>
      <c r="AG40" s="189">
        <f xml:space="preserve"> Time!AG$209</f>
        <v>1</v>
      </c>
      <c r="AH40" s="189">
        <f xml:space="preserve"> Time!AH$209</f>
        <v>1</v>
      </c>
      <c r="AI40" s="189">
        <f xml:space="preserve"> Time!AI$209</f>
        <v>1</v>
      </c>
      <c r="AJ40" s="189">
        <f xml:space="preserve"> Time!AJ$209</f>
        <v>1</v>
      </c>
      <c r="AK40" s="189">
        <f xml:space="preserve"> Time!AK$209</f>
        <v>1</v>
      </c>
      <c r="AL40" s="189">
        <f xml:space="preserve"> Time!AL$209</f>
        <v>1</v>
      </c>
      <c r="AM40" s="189">
        <f xml:space="preserve"> Time!AM$209</f>
        <v>1</v>
      </c>
      <c r="AN40" s="189">
        <f xml:space="preserve"> Time!AN$209</f>
        <v>1</v>
      </c>
      <c r="AO40" s="189">
        <f xml:space="preserve"> Time!AO$209</f>
        <v>1</v>
      </c>
      <c r="AP40" s="189">
        <f xml:space="preserve"> Time!AP$209</f>
        <v>1</v>
      </c>
      <c r="AQ40" s="189">
        <f xml:space="preserve"> Time!AQ$209</f>
        <v>1</v>
      </c>
      <c r="AR40" s="189">
        <f xml:space="preserve"> Time!AR$209</f>
        <v>1</v>
      </c>
      <c r="AS40" s="189">
        <f xml:space="preserve"> Time!AS$209</f>
        <v>1</v>
      </c>
      <c r="AT40" s="189">
        <f xml:space="preserve"> Time!AT$209</f>
        <v>1</v>
      </c>
      <c r="AU40" s="189">
        <f xml:space="preserve"> Time!AU$209</f>
        <v>1</v>
      </c>
      <c r="AV40" s="189">
        <f xml:space="preserve"> Time!AV$209</f>
        <v>1</v>
      </c>
      <c r="AW40" s="189">
        <f xml:space="preserve"> Time!AW$209</f>
        <v>0</v>
      </c>
      <c r="AX40" s="189">
        <f xml:space="preserve"> Time!AX$209</f>
        <v>0</v>
      </c>
      <c r="AY40" s="189">
        <f xml:space="preserve"> Time!AY$209</f>
        <v>0</v>
      </c>
      <c r="AZ40" s="189">
        <f xml:space="preserve"> Time!AZ$209</f>
        <v>0</v>
      </c>
      <c r="BA40" s="189">
        <f xml:space="preserve"> Time!BA$209</f>
        <v>0</v>
      </c>
      <c r="BB40" s="189">
        <f xml:space="preserve"> Time!BB$209</f>
        <v>0</v>
      </c>
      <c r="BC40" s="189">
        <f xml:space="preserve"> Time!BC$209</f>
        <v>0</v>
      </c>
      <c r="BD40" s="189">
        <f xml:space="preserve"> Time!BD$209</f>
        <v>0</v>
      </c>
      <c r="BE40" s="189">
        <f xml:space="preserve"> Time!BE$209</f>
        <v>0</v>
      </c>
      <c r="BF40" s="189">
        <f xml:space="preserve"> Time!BF$209</f>
        <v>0</v>
      </c>
      <c r="BG40" s="189">
        <f xml:space="preserve"> Time!BG$209</f>
        <v>0</v>
      </c>
      <c r="BH40" s="189">
        <f xml:space="preserve"> Time!BH$209</f>
        <v>0</v>
      </c>
      <c r="BI40" s="189">
        <f xml:space="preserve"> Time!BI$209</f>
        <v>0</v>
      </c>
      <c r="BJ40" s="189">
        <f xml:space="preserve"> Time!BJ$209</f>
        <v>0</v>
      </c>
      <c r="BK40" s="189">
        <f xml:space="preserve"> Time!BK$209</f>
        <v>0</v>
      </c>
      <c r="BL40" s="189">
        <f xml:space="preserve"> Time!BL$209</f>
        <v>0</v>
      </c>
      <c r="BM40" s="189">
        <f xml:space="preserve"> Time!BM$209</f>
        <v>0</v>
      </c>
      <c r="BN40" s="189">
        <f xml:space="preserve"> Time!BN$209</f>
        <v>0</v>
      </c>
      <c r="BO40" s="189">
        <f xml:space="preserve"> Time!BO$209</f>
        <v>0</v>
      </c>
      <c r="BP40" s="189">
        <f xml:space="preserve"> Time!BP$209</f>
        <v>0</v>
      </c>
      <c r="BQ40" s="189">
        <f xml:space="preserve"> Time!BQ$209</f>
        <v>0</v>
      </c>
      <c r="BR40" s="189">
        <f xml:space="preserve"> Time!BR$209</f>
        <v>0</v>
      </c>
      <c r="BS40" s="189">
        <f xml:space="preserve"> Time!BS$209</f>
        <v>0</v>
      </c>
      <c r="BT40" s="189">
        <f xml:space="preserve"> Time!BT$209</f>
        <v>0</v>
      </c>
      <c r="BU40" s="189">
        <f xml:space="preserve"> Time!BU$209</f>
        <v>0</v>
      </c>
      <c r="BV40" s="189">
        <f xml:space="preserve"> Time!BV$209</f>
        <v>0</v>
      </c>
      <c r="BW40" s="189">
        <f xml:space="preserve"> Time!BW$209</f>
        <v>0</v>
      </c>
      <c r="BX40" s="189">
        <f xml:space="preserve"> Time!BX$209</f>
        <v>0</v>
      </c>
      <c r="BY40" s="189">
        <f xml:space="preserve"> Time!BY$209</f>
        <v>0</v>
      </c>
      <c r="BZ40" s="189">
        <f xml:space="preserve"> Time!BZ$209</f>
        <v>0</v>
      </c>
      <c r="CA40" s="189">
        <f xml:space="preserve"> Time!CA$209</f>
        <v>0</v>
      </c>
      <c r="CB40" s="189">
        <f xml:space="preserve"> Time!CB$209</f>
        <v>0</v>
      </c>
      <c r="CC40" s="189">
        <f xml:space="preserve"> Time!CC$209</f>
        <v>0</v>
      </c>
      <c r="CD40" s="189">
        <f xml:space="preserve"> Time!CD$209</f>
        <v>0</v>
      </c>
      <c r="CE40" s="189">
        <f xml:space="preserve"> Time!CE$209</f>
        <v>0</v>
      </c>
      <c r="CF40" s="189">
        <f xml:space="preserve"> Time!CF$209</f>
        <v>0</v>
      </c>
      <c r="CG40" s="189">
        <f xml:space="preserve"> Time!CG$209</f>
        <v>0</v>
      </c>
      <c r="CH40" s="189">
        <f xml:space="preserve"> Time!CH$209</f>
        <v>0</v>
      </c>
      <c r="CI40" s="189">
        <f xml:space="preserve"> Time!CI$209</f>
        <v>0</v>
      </c>
      <c r="CJ40" s="189">
        <f xml:space="preserve"> Time!CJ$209</f>
        <v>0</v>
      </c>
      <c r="CK40" s="189">
        <f xml:space="preserve"> Time!CK$209</f>
        <v>0</v>
      </c>
      <c r="CL40" s="189">
        <f xml:space="preserve"> Time!CL$209</f>
        <v>0</v>
      </c>
      <c r="CM40" s="189">
        <f xml:space="preserve"> Time!CM$209</f>
        <v>0</v>
      </c>
      <c r="CN40" s="189">
        <f xml:space="preserve"> Time!CN$209</f>
        <v>0</v>
      </c>
      <c r="CO40" s="189">
        <f xml:space="preserve"> Time!CO$209</f>
        <v>0</v>
      </c>
      <c r="CP40" s="189">
        <f xml:space="preserve"> Time!CP$209</f>
        <v>0</v>
      </c>
      <c r="CQ40" s="189">
        <f xml:space="preserve"> Time!CQ$209</f>
        <v>0</v>
      </c>
      <c r="CR40" s="189">
        <f xml:space="preserve"> Time!CR$209</f>
        <v>0</v>
      </c>
      <c r="CS40" s="189">
        <f xml:space="preserve"> Time!CS$209</f>
        <v>0</v>
      </c>
      <c r="CT40" s="189">
        <f xml:space="preserve"> Time!CT$209</f>
        <v>0</v>
      </c>
      <c r="CU40" s="189">
        <f xml:space="preserve"> Time!CU$209</f>
        <v>0</v>
      </c>
      <c r="CV40" s="189">
        <f xml:space="preserve"> Time!CV$209</f>
        <v>0</v>
      </c>
    </row>
    <row r="41" spans="1:100" ht="12.75" outlineLevel="2" x14ac:dyDescent="0.2">
      <c r="E41" s="12" t="s">
        <v>885</v>
      </c>
      <c r="G41" s="12" t="s">
        <v>164</v>
      </c>
      <c r="J41" s="82">
        <f t="shared" ref="J41:AO41" si="3" xml:space="preserve"> IF( J40 = 1, INDEX($F14:$F38, J39), 0)</f>
        <v>0</v>
      </c>
      <c r="K41" s="82">
        <f t="shared" si="3"/>
        <v>0</v>
      </c>
      <c r="L41" s="82">
        <f t="shared" si="3"/>
        <v>0</v>
      </c>
      <c r="M41" s="82">
        <f t="shared" si="3"/>
        <v>0</v>
      </c>
      <c r="N41" s="82">
        <f t="shared" si="3"/>
        <v>0</v>
      </c>
      <c r="O41" s="82">
        <f t="shared" si="3"/>
        <v>1.4</v>
      </c>
      <c r="P41" s="82">
        <f t="shared" si="3"/>
        <v>1.4</v>
      </c>
      <c r="Q41" s="82">
        <f t="shared" si="3"/>
        <v>1.4</v>
      </c>
      <c r="R41" s="82">
        <f t="shared" si="3"/>
        <v>1.4</v>
      </c>
      <c r="S41" s="82">
        <f t="shared" si="3"/>
        <v>1.4</v>
      </c>
      <c r="T41" s="82">
        <f t="shared" si="3"/>
        <v>1.4</v>
      </c>
      <c r="U41" s="82">
        <f t="shared" si="3"/>
        <v>1.4</v>
      </c>
      <c r="V41" s="82">
        <f t="shared" si="3"/>
        <v>1.4</v>
      </c>
      <c r="W41" s="82">
        <f t="shared" si="3"/>
        <v>1.4</v>
      </c>
      <c r="X41" s="82">
        <f t="shared" si="3"/>
        <v>1.4</v>
      </c>
      <c r="Y41" s="82">
        <f t="shared" si="3"/>
        <v>1.4</v>
      </c>
      <c r="Z41" s="82">
        <f t="shared" si="3"/>
        <v>1.4</v>
      </c>
      <c r="AA41" s="82">
        <f t="shared" si="3"/>
        <v>1.4</v>
      </c>
      <c r="AB41" s="82">
        <f t="shared" si="3"/>
        <v>1.4</v>
      </c>
      <c r="AC41" s="82">
        <f t="shared" si="3"/>
        <v>1.4</v>
      </c>
      <c r="AD41" s="82">
        <f t="shared" si="3"/>
        <v>1.4</v>
      </c>
      <c r="AE41" s="82">
        <f t="shared" si="3"/>
        <v>1.4</v>
      </c>
      <c r="AF41" s="82">
        <f t="shared" si="3"/>
        <v>1.4</v>
      </c>
      <c r="AG41" s="82">
        <f t="shared" si="3"/>
        <v>1.4</v>
      </c>
      <c r="AH41" s="82">
        <f t="shared" si="3"/>
        <v>1.4</v>
      </c>
      <c r="AI41" s="82">
        <f t="shared" si="3"/>
        <v>1.4</v>
      </c>
      <c r="AJ41" s="82">
        <f t="shared" si="3"/>
        <v>1.4</v>
      </c>
      <c r="AK41" s="82">
        <f t="shared" si="3"/>
        <v>1.4</v>
      </c>
      <c r="AL41" s="82">
        <f t="shared" si="3"/>
        <v>1.4</v>
      </c>
      <c r="AM41" s="82">
        <f t="shared" si="3"/>
        <v>1.4</v>
      </c>
      <c r="AN41" s="82">
        <f t="shared" si="3"/>
        <v>1.4</v>
      </c>
      <c r="AO41" s="82">
        <f t="shared" si="3"/>
        <v>1.4</v>
      </c>
      <c r="AP41" s="82">
        <f t="shared" ref="AP41:BU41" si="4" xml:space="preserve"> IF( AP40 = 1, INDEX($F14:$F38, AP39), 0)</f>
        <v>1.4</v>
      </c>
      <c r="AQ41" s="82">
        <f t="shared" si="4"/>
        <v>1.4</v>
      </c>
      <c r="AR41" s="82">
        <f t="shared" si="4"/>
        <v>1.4</v>
      </c>
      <c r="AS41" s="82">
        <f t="shared" si="4"/>
        <v>1.4</v>
      </c>
      <c r="AT41" s="82">
        <f t="shared" si="4"/>
        <v>1.4</v>
      </c>
      <c r="AU41" s="82">
        <f t="shared" si="4"/>
        <v>1.4</v>
      </c>
      <c r="AV41" s="82">
        <f t="shared" si="4"/>
        <v>1.4</v>
      </c>
      <c r="AW41" s="82">
        <f t="shared" si="4"/>
        <v>0</v>
      </c>
      <c r="AX41" s="82">
        <f t="shared" si="4"/>
        <v>0</v>
      </c>
      <c r="AY41" s="82">
        <f t="shared" si="4"/>
        <v>0</v>
      </c>
      <c r="AZ41" s="82">
        <f t="shared" si="4"/>
        <v>0</v>
      </c>
      <c r="BA41" s="82">
        <f t="shared" si="4"/>
        <v>0</v>
      </c>
      <c r="BB41" s="82">
        <f t="shared" si="4"/>
        <v>0</v>
      </c>
      <c r="BC41" s="82">
        <f t="shared" si="4"/>
        <v>0</v>
      </c>
      <c r="BD41" s="82">
        <f t="shared" si="4"/>
        <v>0</v>
      </c>
      <c r="BE41" s="82">
        <f t="shared" si="4"/>
        <v>0</v>
      </c>
      <c r="BF41" s="82">
        <f t="shared" si="4"/>
        <v>0</v>
      </c>
      <c r="BG41" s="82">
        <f t="shared" si="4"/>
        <v>0</v>
      </c>
      <c r="BH41" s="82">
        <f t="shared" si="4"/>
        <v>0</v>
      </c>
      <c r="BI41" s="82">
        <f t="shared" si="4"/>
        <v>0</v>
      </c>
      <c r="BJ41" s="82">
        <f t="shared" si="4"/>
        <v>0</v>
      </c>
      <c r="BK41" s="82">
        <f t="shared" si="4"/>
        <v>0</v>
      </c>
      <c r="BL41" s="82">
        <f t="shared" si="4"/>
        <v>0</v>
      </c>
      <c r="BM41" s="82">
        <f t="shared" si="4"/>
        <v>0</v>
      </c>
      <c r="BN41" s="82">
        <f t="shared" si="4"/>
        <v>0</v>
      </c>
      <c r="BO41" s="82">
        <f t="shared" si="4"/>
        <v>0</v>
      </c>
      <c r="BP41" s="82">
        <f t="shared" si="4"/>
        <v>0</v>
      </c>
      <c r="BQ41" s="82">
        <f t="shared" si="4"/>
        <v>0</v>
      </c>
      <c r="BR41" s="82">
        <f t="shared" si="4"/>
        <v>0</v>
      </c>
      <c r="BS41" s="82">
        <f t="shared" si="4"/>
        <v>0</v>
      </c>
      <c r="BT41" s="82">
        <f t="shared" si="4"/>
        <v>0</v>
      </c>
      <c r="BU41" s="82">
        <f t="shared" si="4"/>
        <v>0</v>
      </c>
      <c r="BV41" s="82">
        <f t="shared" ref="BV41:CV41" si="5" xml:space="preserve"> IF( BV40 = 1, INDEX($F14:$F38, BV39), 0)</f>
        <v>0</v>
      </c>
      <c r="BW41" s="82">
        <f t="shared" si="5"/>
        <v>0</v>
      </c>
      <c r="BX41" s="82">
        <f t="shared" si="5"/>
        <v>0</v>
      </c>
      <c r="BY41" s="82">
        <f t="shared" si="5"/>
        <v>0</v>
      </c>
      <c r="BZ41" s="82">
        <f t="shared" si="5"/>
        <v>0</v>
      </c>
      <c r="CA41" s="82">
        <f t="shared" si="5"/>
        <v>0</v>
      </c>
      <c r="CB41" s="82">
        <f t="shared" si="5"/>
        <v>0</v>
      </c>
      <c r="CC41" s="82">
        <f t="shared" si="5"/>
        <v>0</v>
      </c>
      <c r="CD41" s="82">
        <f t="shared" si="5"/>
        <v>0</v>
      </c>
      <c r="CE41" s="82">
        <f t="shared" si="5"/>
        <v>0</v>
      </c>
      <c r="CF41" s="82">
        <f t="shared" si="5"/>
        <v>0</v>
      </c>
      <c r="CG41" s="82">
        <f t="shared" si="5"/>
        <v>0</v>
      </c>
      <c r="CH41" s="82">
        <f t="shared" si="5"/>
        <v>0</v>
      </c>
      <c r="CI41" s="82">
        <f t="shared" si="5"/>
        <v>0</v>
      </c>
      <c r="CJ41" s="82">
        <f t="shared" si="5"/>
        <v>0</v>
      </c>
      <c r="CK41" s="82">
        <f t="shared" si="5"/>
        <v>0</v>
      </c>
      <c r="CL41" s="82">
        <f t="shared" si="5"/>
        <v>0</v>
      </c>
      <c r="CM41" s="82">
        <f t="shared" si="5"/>
        <v>0</v>
      </c>
      <c r="CN41" s="82">
        <f t="shared" si="5"/>
        <v>0</v>
      </c>
      <c r="CO41" s="82">
        <f t="shared" si="5"/>
        <v>0</v>
      </c>
      <c r="CP41" s="82">
        <f t="shared" si="5"/>
        <v>0</v>
      </c>
      <c r="CQ41" s="82">
        <f t="shared" si="5"/>
        <v>0</v>
      </c>
      <c r="CR41" s="82">
        <f t="shared" si="5"/>
        <v>0</v>
      </c>
      <c r="CS41" s="82">
        <f t="shared" si="5"/>
        <v>0</v>
      </c>
      <c r="CT41" s="82">
        <f t="shared" si="5"/>
        <v>0</v>
      </c>
      <c r="CU41" s="82">
        <f t="shared" si="5"/>
        <v>0</v>
      </c>
      <c r="CV41" s="82">
        <f t="shared" si="5"/>
        <v>0</v>
      </c>
    </row>
    <row r="42" spans="1:100" ht="12.75" outlineLevel="2" x14ac:dyDescent="0.2"/>
    <row r="43" spans="1:100" ht="12.75" outlineLevel="2" x14ac:dyDescent="0.2">
      <c r="E43" s="186" t="str">
        <f xml:space="preserve"> Solve!E$62</f>
        <v>CFADS for Senior debt - Paste</v>
      </c>
      <c r="F43" s="186">
        <f xml:space="preserve"> Solve!F$62</f>
        <v>0</v>
      </c>
      <c r="G43" s="186" t="str">
        <f xml:space="preserve"> Solve!G$62</f>
        <v>$ 000s</v>
      </c>
      <c r="H43" s="186">
        <f xml:space="preserve"> Solve!H$62</f>
        <v>504058.61329100828</v>
      </c>
      <c r="I43" s="186">
        <f xml:space="preserve"> Solve!I$62</f>
        <v>0</v>
      </c>
      <c r="J43" s="186">
        <f xml:space="preserve"> Solve!J$62</f>
        <v>0</v>
      </c>
      <c r="K43" s="186">
        <f xml:space="preserve"> Solve!K$62</f>
        <v>0</v>
      </c>
      <c r="L43" s="186">
        <f xml:space="preserve"> Solve!L$62</f>
        <v>0</v>
      </c>
      <c r="M43" s="186">
        <f xml:space="preserve"> Solve!M$62</f>
        <v>0</v>
      </c>
      <c r="N43" s="186">
        <f xml:space="preserve"> Solve!N$62</f>
        <v>0</v>
      </c>
      <c r="O43" s="186">
        <f xml:space="preserve"> Solve!O$62</f>
        <v>17761.339051261231</v>
      </c>
      <c r="P43" s="186">
        <f xml:space="preserve"> Solve!P$62</f>
        <v>15707.408869543713</v>
      </c>
      <c r="Q43" s="186">
        <f xml:space="preserve"> Solve!Q$62</f>
        <v>15745.355455198762</v>
      </c>
      <c r="R43" s="186">
        <f xml:space="preserve"> Solve!R$62</f>
        <v>15588.86878070137</v>
      </c>
      <c r="S43" s="186">
        <f xml:space="preserve"> Solve!S$62</f>
        <v>15624.695411756953</v>
      </c>
      <c r="T43" s="186">
        <f xml:space="preserve"> Solve!T$62</f>
        <v>15468.805938565087</v>
      </c>
      <c r="U43" s="186">
        <f xml:space="preserve"> Solve!U$62</f>
        <v>15502.47562264256</v>
      </c>
      <c r="V43" s="186">
        <f xml:space="preserve"> Solve!V$62</f>
        <v>15368.238074136316</v>
      </c>
      <c r="W43" s="186">
        <f xml:space="preserve"> Solve!W$62</f>
        <v>15357.612744053837</v>
      </c>
      <c r="X43" s="186">
        <f xml:space="preserve"> Solve!X$62</f>
        <v>15223.981632631901</v>
      </c>
      <c r="Y43" s="186">
        <f xml:space="preserve"> Solve!Y$62</f>
        <v>15253.223403448927</v>
      </c>
      <c r="Z43" s="186">
        <f xml:space="preserve"> Solve!Z$62</f>
        <v>15099.153350721625</v>
      </c>
      <c r="AA43" s="186">
        <f xml:space="preserve"> Solve!AA$62</f>
        <v>15126.122595839483</v>
      </c>
      <c r="AB43" s="186">
        <f xml:space="preserve"> Solve!AB$62</f>
        <v>14972.66865286477</v>
      </c>
      <c r="AC43" s="186">
        <f xml:space="preserve"> Solve!AC$62</f>
        <v>14997.32526045297</v>
      </c>
      <c r="AD43" s="186">
        <f xml:space="preserve"> Solve!AD$62</f>
        <v>14864.853096203591</v>
      </c>
      <c r="AE43" s="186">
        <f xml:space="preserve"> Solve!AE$62</f>
        <v>14846.4348082951</v>
      </c>
      <c r="AF43" s="186">
        <f xml:space="preserve"> Solve!AF$62</f>
        <v>14714.588880910831</v>
      </c>
      <c r="AG43" s="186">
        <f xml:space="preserve"> Solve!AG$62</f>
        <v>14734.496583704258</v>
      </c>
      <c r="AH43" s="186">
        <f xml:space="preserve"> Solve!AH$62</f>
        <v>14582.921469491826</v>
      </c>
      <c r="AI43" s="186">
        <f xml:space="preserve"> Solve!AI$62</f>
        <v>14600.391216386319</v>
      </c>
      <c r="AJ43" s="186">
        <f xml:space="preserve"> Solve!AJ$62</f>
        <v>14449.452938865834</v>
      </c>
      <c r="AK43" s="186">
        <f xml:space="preserve"> Solve!AK$62</f>
        <v>14464.441240093791</v>
      </c>
      <c r="AL43" s="186">
        <f xml:space="preserve"> Solve!AL$62</f>
        <v>14333.778523071309</v>
      </c>
      <c r="AM43" s="186">
        <f xml:space="preserve"> Solve!AM$62</f>
        <v>14306.974520093056</v>
      </c>
      <c r="AN43" s="186">
        <f xml:space="preserve"> Solve!AN$62</f>
        <v>14176.95973131818</v>
      </c>
      <c r="AO43" s="186">
        <f xml:space="preserve"> Solve!AO$62</f>
        <v>14186.851104684778</v>
      </c>
      <c r="AP43" s="186">
        <f xml:space="preserve"> Solve!AP$62</f>
        <v>14037.856739774033</v>
      </c>
      <c r="AQ43" s="186">
        <f xml:space="preserve"> Solve!AQ$62</f>
        <v>14045.13080237856</v>
      </c>
      <c r="AR43" s="186">
        <f xml:space="preserve"> Solve!AR$62</f>
        <v>13896.79596878912</v>
      </c>
      <c r="AS43" s="186">
        <f xml:space="preserve"> Solve!AS$62</f>
        <v>13901.405573004551</v>
      </c>
      <c r="AT43" s="186">
        <f xml:space="preserve"> Solve!AT$62</f>
        <v>13772.600855811652</v>
      </c>
      <c r="AU43" s="186">
        <f xml:space="preserve"> Solve!AU$62</f>
        <v>13736.768722498127</v>
      </c>
      <c r="AV43" s="186">
        <f xml:space="preserve"> Solve!AV$62</f>
        <v>13608.635671813663</v>
      </c>
      <c r="AW43" s="186">
        <f xml:space="preserve"> Solve!AW$62</f>
        <v>1.2843403258085837E-136</v>
      </c>
      <c r="AX43" s="186">
        <f xml:space="preserve"> Solve!AX$62</f>
        <v>1.3408133298847154E-136</v>
      </c>
      <c r="AY43" s="186">
        <f xml:space="preserve"> Solve!AY$62</f>
        <v>1.2680755671123293E-136</v>
      </c>
      <c r="AZ43" s="186">
        <f xml:space="preserve"> Solve!AZ$62</f>
        <v>1.3250161731822E-136</v>
      </c>
      <c r="BA43" s="186">
        <f xml:space="preserve"> Solve!BA$62</f>
        <v>0</v>
      </c>
      <c r="BB43" s="186">
        <f xml:space="preserve"> Solve!BB$62</f>
        <v>0</v>
      </c>
      <c r="BC43" s="186">
        <f xml:space="preserve"> Solve!BC$62</f>
        <v>0</v>
      </c>
      <c r="BD43" s="186">
        <f xml:space="preserve"> Solve!BD$62</f>
        <v>0</v>
      </c>
      <c r="BE43" s="186">
        <f xml:space="preserve"> Solve!BE$62</f>
        <v>0</v>
      </c>
      <c r="BF43" s="186">
        <f xml:space="preserve"> Solve!BF$62</f>
        <v>0</v>
      </c>
      <c r="BG43" s="186">
        <f xml:space="preserve"> Solve!BG$62</f>
        <v>0</v>
      </c>
      <c r="BH43" s="186">
        <f xml:space="preserve"> Solve!BH$62</f>
        <v>0</v>
      </c>
      <c r="BI43" s="186">
        <f xml:space="preserve"> Solve!BI$62</f>
        <v>0</v>
      </c>
      <c r="BJ43" s="186">
        <f xml:space="preserve"> Solve!BJ$62</f>
        <v>0</v>
      </c>
      <c r="BK43" s="186">
        <f xml:space="preserve"> Solve!BK$62</f>
        <v>0</v>
      </c>
      <c r="BL43" s="186">
        <f xml:space="preserve"> Solve!BL$62</f>
        <v>0</v>
      </c>
      <c r="BM43" s="186">
        <f xml:space="preserve"> Solve!BM$62</f>
        <v>0</v>
      </c>
      <c r="BN43" s="186">
        <f xml:space="preserve"> Solve!BN$62</f>
        <v>0</v>
      </c>
      <c r="BO43" s="186">
        <f xml:space="preserve"> Solve!BO$62</f>
        <v>0</v>
      </c>
      <c r="BP43" s="186">
        <f xml:space="preserve"> Solve!BP$62</f>
        <v>0</v>
      </c>
      <c r="BQ43" s="186">
        <f xml:space="preserve"> Solve!BQ$62</f>
        <v>0</v>
      </c>
      <c r="BR43" s="186">
        <f xml:space="preserve"> Solve!BR$62</f>
        <v>0</v>
      </c>
      <c r="BS43" s="186">
        <f xml:space="preserve"> Solve!BS$62</f>
        <v>0</v>
      </c>
      <c r="BT43" s="186">
        <f xml:space="preserve"> Solve!BT$62</f>
        <v>0</v>
      </c>
      <c r="BU43" s="186">
        <f xml:space="preserve"> Solve!BU$62</f>
        <v>0</v>
      </c>
      <c r="BV43" s="186">
        <f xml:space="preserve"> Solve!BV$62</f>
        <v>0</v>
      </c>
      <c r="BW43" s="186">
        <f xml:space="preserve"> Solve!BW$62</f>
        <v>0</v>
      </c>
      <c r="BX43" s="186">
        <f xml:space="preserve"> Solve!BX$62</f>
        <v>0</v>
      </c>
      <c r="BY43" s="186">
        <f xml:space="preserve"> Solve!BY$62</f>
        <v>0</v>
      </c>
      <c r="BZ43" s="186">
        <f xml:space="preserve"> Solve!BZ$62</f>
        <v>0</v>
      </c>
      <c r="CA43" s="186">
        <f xml:space="preserve"> Solve!CA$62</f>
        <v>0</v>
      </c>
      <c r="CB43" s="186">
        <f xml:space="preserve"> Solve!CB$62</f>
        <v>0</v>
      </c>
      <c r="CC43" s="186">
        <f xml:space="preserve"> Solve!CC$62</f>
        <v>0</v>
      </c>
      <c r="CD43" s="186">
        <f xml:space="preserve"> Solve!CD$62</f>
        <v>0</v>
      </c>
      <c r="CE43" s="186">
        <f xml:space="preserve"> Solve!CE$62</f>
        <v>0</v>
      </c>
      <c r="CF43" s="186">
        <f xml:space="preserve"> Solve!CF$62</f>
        <v>0</v>
      </c>
      <c r="CG43" s="186">
        <f xml:space="preserve"> Solve!CG$62</f>
        <v>0</v>
      </c>
      <c r="CH43" s="186">
        <f xml:space="preserve"> Solve!CH$62</f>
        <v>0</v>
      </c>
      <c r="CI43" s="186">
        <f xml:space="preserve"> Solve!CI$62</f>
        <v>0</v>
      </c>
      <c r="CJ43" s="186">
        <f xml:space="preserve"> Solve!CJ$62</f>
        <v>0</v>
      </c>
      <c r="CK43" s="186">
        <f xml:space="preserve"> Solve!CK$62</f>
        <v>0</v>
      </c>
      <c r="CL43" s="186">
        <f xml:space="preserve"> Solve!CL$62</f>
        <v>0</v>
      </c>
      <c r="CM43" s="186">
        <f xml:space="preserve"> Solve!CM$62</f>
        <v>0</v>
      </c>
      <c r="CN43" s="186">
        <f xml:space="preserve"> Solve!CN$62</f>
        <v>0</v>
      </c>
      <c r="CO43" s="186">
        <f xml:space="preserve"> Solve!CO$62</f>
        <v>0</v>
      </c>
      <c r="CP43" s="186">
        <f xml:space="preserve"> Solve!CP$62</f>
        <v>0</v>
      </c>
      <c r="CQ43" s="186">
        <f xml:space="preserve"> Solve!CQ$62</f>
        <v>0</v>
      </c>
      <c r="CR43" s="186">
        <f xml:space="preserve"> Solve!CR$62</f>
        <v>0</v>
      </c>
      <c r="CS43" s="186">
        <f xml:space="preserve"> Solve!CS$62</f>
        <v>0</v>
      </c>
      <c r="CT43" s="186">
        <f xml:space="preserve"> Solve!CT$62</f>
        <v>0</v>
      </c>
      <c r="CU43" s="186">
        <f xml:space="preserve"> Solve!CU$62</f>
        <v>0</v>
      </c>
      <c r="CV43" s="186">
        <f xml:space="preserve"> Solve!CV$62</f>
        <v>0</v>
      </c>
    </row>
    <row r="44" spans="1:100" ht="12.75" outlineLevel="2" x14ac:dyDescent="0.2">
      <c r="E44" s="82" t="str">
        <f t="shared" ref="E44:AJ44" si="6" xml:space="preserve"> E$41</f>
        <v>Senior debt DSCR applicable in year</v>
      </c>
      <c r="F44" s="82">
        <f t="shared" si="6"/>
        <v>0</v>
      </c>
      <c r="G44" s="82" t="str">
        <f t="shared" si="6"/>
        <v>ratio</v>
      </c>
      <c r="H44" s="82">
        <f t="shared" si="6"/>
        <v>0</v>
      </c>
      <c r="I44" s="82">
        <f t="shared" si="6"/>
        <v>0</v>
      </c>
      <c r="J44" s="82">
        <f t="shared" si="6"/>
        <v>0</v>
      </c>
      <c r="K44" s="82">
        <f t="shared" si="6"/>
        <v>0</v>
      </c>
      <c r="L44" s="82">
        <f t="shared" si="6"/>
        <v>0</v>
      </c>
      <c r="M44" s="82">
        <f t="shared" si="6"/>
        <v>0</v>
      </c>
      <c r="N44" s="82">
        <f t="shared" si="6"/>
        <v>0</v>
      </c>
      <c r="O44" s="82">
        <f t="shared" si="6"/>
        <v>1.4</v>
      </c>
      <c r="P44" s="82">
        <f t="shared" si="6"/>
        <v>1.4</v>
      </c>
      <c r="Q44" s="82">
        <f t="shared" si="6"/>
        <v>1.4</v>
      </c>
      <c r="R44" s="82">
        <f t="shared" si="6"/>
        <v>1.4</v>
      </c>
      <c r="S44" s="82">
        <f t="shared" si="6"/>
        <v>1.4</v>
      </c>
      <c r="T44" s="82">
        <f t="shared" si="6"/>
        <v>1.4</v>
      </c>
      <c r="U44" s="82">
        <f t="shared" si="6"/>
        <v>1.4</v>
      </c>
      <c r="V44" s="82">
        <f t="shared" si="6"/>
        <v>1.4</v>
      </c>
      <c r="W44" s="82">
        <f t="shared" si="6"/>
        <v>1.4</v>
      </c>
      <c r="X44" s="82">
        <f t="shared" si="6"/>
        <v>1.4</v>
      </c>
      <c r="Y44" s="82">
        <f t="shared" si="6"/>
        <v>1.4</v>
      </c>
      <c r="Z44" s="82">
        <f t="shared" si="6"/>
        <v>1.4</v>
      </c>
      <c r="AA44" s="82">
        <f t="shared" si="6"/>
        <v>1.4</v>
      </c>
      <c r="AB44" s="82">
        <f t="shared" si="6"/>
        <v>1.4</v>
      </c>
      <c r="AC44" s="82">
        <f t="shared" si="6"/>
        <v>1.4</v>
      </c>
      <c r="AD44" s="82">
        <f t="shared" si="6"/>
        <v>1.4</v>
      </c>
      <c r="AE44" s="82">
        <f t="shared" si="6"/>
        <v>1.4</v>
      </c>
      <c r="AF44" s="82">
        <f t="shared" si="6"/>
        <v>1.4</v>
      </c>
      <c r="AG44" s="82">
        <f t="shared" si="6"/>
        <v>1.4</v>
      </c>
      <c r="AH44" s="82">
        <f t="shared" si="6"/>
        <v>1.4</v>
      </c>
      <c r="AI44" s="82">
        <f t="shared" si="6"/>
        <v>1.4</v>
      </c>
      <c r="AJ44" s="82">
        <f t="shared" si="6"/>
        <v>1.4</v>
      </c>
      <c r="AK44" s="82">
        <f t="shared" ref="AK44:BP44" si="7" xml:space="preserve"> AK$41</f>
        <v>1.4</v>
      </c>
      <c r="AL44" s="82">
        <f t="shared" si="7"/>
        <v>1.4</v>
      </c>
      <c r="AM44" s="82">
        <f t="shared" si="7"/>
        <v>1.4</v>
      </c>
      <c r="AN44" s="82">
        <f t="shared" si="7"/>
        <v>1.4</v>
      </c>
      <c r="AO44" s="82">
        <f t="shared" si="7"/>
        <v>1.4</v>
      </c>
      <c r="AP44" s="82">
        <f t="shared" si="7"/>
        <v>1.4</v>
      </c>
      <c r="AQ44" s="82">
        <f t="shared" si="7"/>
        <v>1.4</v>
      </c>
      <c r="AR44" s="82">
        <f t="shared" si="7"/>
        <v>1.4</v>
      </c>
      <c r="AS44" s="82">
        <f t="shared" si="7"/>
        <v>1.4</v>
      </c>
      <c r="AT44" s="82">
        <f t="shared" si="7"/>
        <v>1.4</v>
      </c>
      <c r="AU44" s="82">
        <f t="shared" si="7"/>
        <v>1.4</v>
      </c>
      <c r="AV44" s="82">
        <f t="shared" si="7"/>
        <v>1.4</v>
      </c>
      <c r="AW44" s="82">
        <f t="shared" si="7"/>
        <v>0</v>
      </c>
      <c r="AX44" s="82">
        <f t="shared" si="7"/>
        <v>0</v>
      </c>
      <c r="AY44" s="82">
        <f t="shared" si="7"/>
        <v>0</v>
      </c>
      <c r="AZ44" s="82">
        <f t="shared" si="7"/>
        <v>0</v>
      </c>
      <c r="BA44" s="82">
        <f t="shared" si="7"/>
        <v>0</v>
      </c>
      <c r="BB44" s="82">
        <f t="shared" si="7"/>
        <v>0</v>
      </c>
      <c r="BC44" s="82">
        <f t="shared" si="7"/>
        <v>0</v>
      </c>
      <c r="BD44" s="82">
        <f t="shared" si="7"/>
        <v>0</v>
      </c>
      <c r="BE44" s="82">
        <f t="shared" si="7"/>
        <v>0</v>
      </c>
      <c r="BF44" s="82">
        <f t="shared" si="7"/>
        <v>0</v>
      </c>
      <c r="BG44" s="82">
        <f t="shared" si="7"/>
        <v>0</v>
      </c>
      <c r="BH44" s="82">
        <f t="shared" si="7"/>
        <v>0</v>
      </c>
      <c r="BI44" s="82">
        <f t="shared" si="7"/>
        <v>0</v>
      </c>
      <c r="BJ44" s="82">
        <f t="shared" si="7"/>
        <v>0</v>
      </c>
      <c r="BK44" s="82">
        <f t="shared" si="7"/>
        <v>0</v>
      </c>
      <c r="BL44" s="82">
        <f t="shared" si="7"/>
        <v>0</v>
      </c>
      <c r="BM44" s="82">
        <f t="shared" si="7"/>
        <v>0</v>
      </c>
      <c r="BN44" s="82">
        <f t="shared" si="7"/>
        <v>0</v>
      </c>
      <c r="BO44" s="82">
        <f t="shared" si="7"/>
        <v>0</v>
      </c>
      <c r="BP44" s="82">
        <f t="shared" si="7"/>
        <v>0</v>
      </c>
      <c r="BQ44" s="82">
        <f t="shared" ref="BQ44:CV44" si="8" xml:space="preserve"> BQ$41</f>
        <v>0</v>
      </c>
      <c r="BR44" s="82">
        <f t="shared" si="8"/>
        <v>0</v>
      </c>
      <c r="BS44" s="82">
        <f t="shared" si="8"/>
        <v>0</v>
      </c>
      <c r="BT44" s="82">
        <f t="shared" si="8"/>
        <v>0</v>
      </c>
      <c r="BU44" s="82">
        <f t="shared" si="8"/>
        <v>0</v>
      </c>
      <c r="BV44" s="82">
        <f t="shared" si="8"/>
        <v>0</v>
      </c>
      <c r="BW44" s="82">
        <f t="shared" si="8"/>
        <v>0</v>
      </c>
      <c r="BX44" s="82">
        <f t="shared" si="8"/>
        <v>0</v>
      </c>
      <c r="BY44" s="82">
        <f t="shared" si="8"/>
        <v>0</v>
      </c>
      <c r="BZ44" s="82">
        <f t="shared" si="8"/>
        <v>0</v>
      </c>
      <c r="CA44" s="82">
        <f t="shared" si="8"/>
        <v>0</v>
      </c>
      <c r="CB44" s="82">
        <f t="shared" si="8"/>
        <v>0</v>
      </c>
      <c r="CC44" s="82">
        <f t="shared" si="8"/>
        <v>0</v>
      </c>
      <c r="CD44" s="82">
        <f t="shared" si="8"/>
        <v>0</v>
      </c>
      <c r="CE44" s="82">
        <f t="shared" si="8"/>
        <v>0</v>
      </c>
      <c r="CF44" s="82">
        <f t="shared" si="8"/>
        <v>0</v>
      </c>
      <c r="CG44" s="82">
        <f t="shared" si="8"/>
        <v>0</v>
      </c>
      <c r="CH44" s="82">
        <f t="shared" si="8"/>
        <v>0</v>
      </c>
      <c r="CI44" s="82">
        <f t="shared" si="8"/>
        <v>0</v>
      </c>
      <c r="CJ44" s="82">
        <f t="shared" si="8"/>
        <v>0</v>
      </c>
      <c r="CK44" s="82">
        <f t="shared" si="8"/>
        <v>0</v>
      </c>
      <c r="CL44" s="82">
        <f t="shared" si="8"/>
        <v>0</v>
      </c>
      <c r="CM44" s="82">
        <f t="shared" si="8"/>
        <v>0</v>
      </c>
      <c r="CN44" s="82">
        <f t="shared" si="8"/>
        <v>0</v>
      </c>
      <c r="CO44" s="82">
        <f t="shared" si="8"/>
        <v>0</v>
      </c>
      <c r="CP44" s="82">
        <f t="shared" si="8"/>
        <v>0</v>
      </c>
      <c r="CQ44" s="82">
        <f t="shared" si="8"/>
        <v>0</v>
      </c>
      <c r="CR44" s="82">
        <f t="shared" si="8"/>
        <v>0</v>
      </c>
      <c r="CS44" s="82">
        <f t="shared" si="8"/>
        <v>0</v>
      </c>
      <c r="CT44" s="82">
        <f t="shared" si="8"/>
        <v>0</v>
      </c>
      <c r="CU44" s="82">
        <f t="shared" si="8"/>
        <v>0</v>
      </c>
      <c r="CV44" s="82">
        <f t="shared" si="8"/>
        <v>0</v>
      </c>
    </row>
    <row r="45" spans="1:100" ht="12.75" outlineLevel="2" x14ac:dyDescent="0.2">
      <c r="E45" s="189" t="str">
        <f xml:space="preserve"> Time!E$214</f>
        <v>Senior debt repayment period flag</v>
      </c>
      <c r="F45" s="189">
        <f xml:space="preserve"> Time!F$214</f>
        <v>0</v>
      </c>
      <c r="G45" s="189" t="str">
        <f xml:space="preserve"> Time!G$214</f>
        <v>flag</v>
      </c>
      <c r="H45" s="189">
        <f xml:space="preserve"> Time!H$214</f>
        <v>34</v>
      </c>
      <c r="I45" s="189">
        <f xml:space="preserve"> Time!I$214</f>
        <v>0</v>
      </c>
      <c r="J45" s="189">
        <f xml:space="preserve"> Time!J$214</f>
        <v>0</v>
      </c>
      <c r="K45" s="189">
        <f xml:space="preserve"> Time!K$214</f>
        <v>0</v>
      </c>
      <c r="L45" s="189">
        <f xml:space="preserve"> Time!L$214</f>
        <v>0</v>
      </c>
      <c r="M45" s="189">
        <f xml:space="preserve"> Time!M$214</f>
        <v>0</v>
      </c>
      <c r="N45" s="189">
        <f xml:space="preserve"> Time!N$214</f>
        <v>0</v>
      </c>
      <c r="O45" s="189">
        <f xml:space="preserve"> Time!O$214</f>
        <v>1</v>
      </c>
      <c r="P45" s="189">
        <f xml:space="preserve"> Time!P$214</f>
        <v>1</v>
      </c>
      <c r="Q45" s="189">
        <f xml:space="preserve"> Time!Q$214</f>
        <v>1</v>
      </c>
      <c r="R45" s="189">
        <f xml:space="preserve"> Time!R$214</f>
        <v>1</v>
      </c>
      <c r="S45" s="189">
        <f xml:space="preserve"> Time!S$214</f>
        <v>1</v>
      </c>
      <c r="T45" s="189">
        <f xml:space="preserve"> Time!T$214</f>
        <v>1</v>
      </c>
      <c r="U45" s="189">
        <f xml:space="preserve"> Time!U$214</f>
        <v>1</v>
      </c>
      <c r="V45" s="189">
        <f xml:space="preserve"> Time!V$214</f>
        <v>1</v>
      </c>
      <c r="W45" s="189">
        <f xml:space="preserve"> Time!W$214</f>
        <v>1</v>
      </c>
      <c r="X45" s="189">
        <f xml:space="preserve"> Time!X$214</f>
        <v>1</v>
      </c>
      <c r="Y45" s="189">
        <f xml:space="preserve"> Time!Y$214</f>
        <v>1</v>
      </c>
      <c r="Z45" s="189">
        <f xml:space="preserve"> Time!Z$214</f>
        <v>1</v>
      </c>
      <c r="AA45" s="189">
        <f xml:space="preserve"> Time!AA$214</f>
        <v>1</v>
      </c>
      <c r="AB45" s="189">
        <f xml:space="preserve"> Time!AB$214</f>
        <v>1</v>
      </c>
      <c r="AC45" s="189">
        <f xml:space="preserve"> Time!AC$214</f>
        <v>1</v>
      </c>
      <c r="AD45" s="189">
        <f xml:space="preserve"> Time!AD$214</f>
        <v>1</v>
      </c>
      <c r="AE45" s="189">
        <f xml:space="preserve"> Time!AE$214</f>
        <v>1</v>
      </c>
      <c r="AF45" s="189">
        <f xml:space="preserve"> Time!AF$214</f>
        <v>1</v>
      </c>
      <c r="AG45" s="189">
        <f xml:space="preserve"> Time!AG$214</f>
        <v>1</v>
      </c>
      <c r="AH45" s="189">
        <f xml:space="preserve"> Time!AH$214</f>
        <v>1</v>
      </c>
      <c r="AI45" s="189">
        <f xml:space="preserve"> Time!AI$214</f>
        <v>1</v>
      </c>
      <c r="AJ45" s="189">
        <f xml:space="preserve"> Time!AJ$214</f>
        <v>1</v>
      </c>
      <c r="AK45" s="189">
        <f xml:space="preserve"> Time!AK$214</f>
        <v>1</v>
      </c>
      <c r="AL45" s="189">
        <f xml:space="preserve"> Time!AL$214</f>
        <v>1</v>
      </c>
      <c r="AM45" s="189">
        <f xml:space="preserve"> Time!AM$214</f>
        <v>1</v>
      </c>
      <c r="AN45" s="189">
        <f xml:space="preserve"> Time!AN$214</f>
        <v>1</v>
      </c>
      <c r="AO45" s="189">
        <f xml:space="preserve"> Time!AO$214</f>
        <v>1</v>
      </c>
      <c r="AP45" s="189">
        <f xml:space="preserve"> Time!AP$214</f>
        <v>1</v>
      </c>
      <c r="AQ45" s="189">
        <f xml:space="preserve"> Time!AQ$214</f>
        <v>1</v>
      </c>
      <c r="AR45" s="189">
        <f xml:space="preserve"> Time!AR$214</f>
        <v>1</v>
      </c>
      <c r="AS45" s="189">
        <f xml:space="preserve"> Time!AS$214</f>
        <v>1</v>
      </c>
      <c r="AT45" s="189">
        <f xml:space="preserve"> Time!AT$214</f>
        <v>1</v>
      </c>
      <c r="AU45" s="189">
        <f xml:space="preserve"> Time!AU$214</f>
        <v>1</v>
      </c>
      <c r="AV45" s="189">
        <f xml:space="preserve"> Time!AV$214</f>
        <v>1</v>
      </c>
      <c r="AW45" s="189">
        <f xml:space="preserve"> Time!AW$214</f>
        <v>0</v>
      </c>
      <c r="AX45" s="189">
        <f xml:space="preserve"> Time!AX$214</f>
        <v>0</v>
      </c>
      <c r="AY45" s="189">
        <f xml:space="preserve"> Time!AY$214</f>
        <v>0</v>
      </c>
      <c r="AZ45" s="189">
        <f xml:space="preserve"> Time!AZ$214</f>
        <v>0</v>
      </c>
      <c r="BA45" s="189">
        <f xml:space="preserve"> Time!BA$214</f>
        <v>0</v>
      </c>
      <c r="BB45" s="189">
        <f xml:space="preserve"> Time!BB$214</f>
        <v>0</v>
      </c>
      <c r="BC45" s="189">
        <f xml:space="preserve"> Time!BC$214</f>
        <v>0</v>
      </c>
      <c r="BD45" s="189">
        <f xml:space="preserve"> Time!BD$214</f>
        <v>0</v>
      </c>
      <c r="BE45" s="189">
        <f xml:space="preserve"> Time!BE$214</f>
        <v>0</v>
      </c>
      <c r="BF45" s="189">
        <f xml:space="preserve"> Time!BF$214</f>
        <v>0</v>
      </c>
      <c r="BG45" s="189">
        <f xml:space="preserve"> Time!BG$214</f>
        <v>0</v>
      </c>
      <c r="BH45" s="189">
        <f xml:space="preserve"> Time!BH$214</f>
        <v>0</v>
      </c>
      <c r="BI45" s="189">
        <f xml:space="preserve"> Time!BI$214</f>
        <v>0</v>
      </c>
      <c r="BJ45" s="189">
        <f xml:space="preserve"> Time!BJ$214</f>
        <v>0</v>
      </c>
      <c r="BK45" s="189">
        <f xml:space="preserve"> Time!BK$214</f>
        <v>0</v>
      </c>
      <c r="BL45" s="189">
        <f xml:space="preserve"> Time!BL$214</f>
        <v>0</v>
      </c>
      <c r="BM45" s="189">
        <f xml:space="preserve"> Time!BM$214</f>
        <v>0</v>
      </c>
      <c r="BN45" s="189">
        <f xml:space="preserve"> Time!BN$214</f>
        <v>0</v>
      </c>
      <c r="BO45" s="189">
        <f xml:space="preserve"> Time!BO$214</f>
        <v>0</v>
      </c>
      <c r="BP45" s="189">
        <f xml:space="preserve"> Time!BP$214</f>
        <v>0</v>
      </c>
      <c r="BQ45" s="189">
        <f xml:space="preserve"> Time!BQ$214</f>
        <v>0</v>
      </c>
      <c r="BR45" s="189">
        <f xml:space="preserve"> Time!BR$214</f>
        <v>0</v>
      </c>
      <c r="BS45" s="189">
        <f xml:space="preserve"> Time!BS$214</f>
        <v>0</v>
      </c>
      <c r="BT45" s="189">
        <f xml:space="preserve"> Time!BT$214</f>
        <v>0</v>
      </c>
      <c r="BU45" s="189">
        <f xml:space="preserve"> Time!BU$214</f>
        <v>0</v>
      </c>
      <c r="BV45" s="189">
        <f xml:space="preserve"> Time!BV$214</f>
        <v>0</v>
      </c>
      <c r="BW45" s="189">
        <f xml:space="preserve"> Time!BW$214</f>
        <v>0</v>
      </c>
      <c r="BX45" s="189">
        <f xml:space="preserve"> Time!BX$214</f>
        <v>0</v>
      </c>
      <c r="BY45" s="189">
        <f xml:space="preserve"> Time!BY$214</f>
        <v>0</v>
      </c>
      <c r="BZ45" s="189">
        <f xml:space="preserve"> Time!BZ$214</f>
        <v>0</v>
      </c>
      <c r="CA45" s="189">
        <f xml:space="preserve"> Time!CA$214</f>
        <v>0</v>
      </c>
      <c r="CB45" s="189">
        <f xml:space="preserve"> Time!CB$214</f>
        <v>0</v>
      </c>
      <c r="CC45" s="189">
        <f xml:space="preserve"> Time!CC$214</f>
        <v>0</v>
      </c>
      <c r="CD45" s="189">
        <f xml:space="preserve"> Time!CD$214</f>
        <v>0</v>
      </c>
      <c r="CE45" s="189">
        <f xml:space="preserve"> Time!CE$214</f>
        <v>0</v>
      </c>
      <c r="CF45" s="189">
        <f xml:space="preserve"> Time!CF$214</f>
        <v>0</v>
      </c>
      <c r="CG45" s="189">
        <f xml:space="preserve"> Time!CG$214</f>
        <v>0</v>
      </c>
      <c r="CH45" s="189">
        <f xml:space="preserve"> Time!CH$214</f>
        <v>0</v>
      </c>
      <c r="CI45" s="189">
        <f xml:space="preserve"> Time!CI$214</f>
        <v>0</v>
      </c>
      <c r="CJ45" s="189">
        <f xml:space="preserve"> Time!CJ$214</f>
        <v>0</v>
      </c>
      <c r="CK45" s="189">
        <f xml:space="preserve"> Time!CK$214</f>
        <v>0</v>
      </c>
      <c r="CL45" s="189">
        <f xml:space="preserve"> Time!CL$214</f>
        <v>0</v>
      </c>
      <c r="CM45" s="189">
        <f xml:space="preserve"> Time!CM$214</f>
        <v>0</v>
      </c>
      <c r="CN45" s="189">
        <f xml:space="preserve"> Time!CN$214</f>
        <v>0</v>
      </c>
      <c r="CO45" s="189">
        <f xml:space="preserve"> Time!CO$214</f>
        <v>0</v>
      </c>
      <c r="CP45" s="189">
        <f xml:space="preserve"> Time!CP$214</f>
        <v>0</v>
      </c>
      <c r="CQ45" s="189">
        <f xml:space="preserve"> Time!CQ$214</f>
        <v>0</v>
      </c>
      <c r="CR45" s="189">
        <f xml:space="preserve"> Time!CR$214</f>
        <v>0</v>
      </c>
      <c r="CS45" s="189">
        <f xml:space="preserve"> Time!CS$214</f>
        <v>0</v>
      </c>
      <c r="CT45" s="189">
        <f xml:space="preserve"> Time!CT$214</f>
        <v>0</v>
      </c>
      <c r="CU45" s="189">
        <f xml:space="preserve"> Time!CU$214</f>
        <v>0</v>
      </c>
      <c r="CV45" s="189">
        <f xml:space="preserve"> Time!CV$214</f>
        <v>0</v>
      </c>
    </row>
    <row r="46" spans="1:100" ht="12.75" outlineLevel="2" x14ac:dyDescent="0.2">
      <c r="E46" s="12" t="s">
        <v>886</v>
      </c>
      <c r="G46" s="12" t="str">
        <f xml:space="preserve"> SMU</f>
        <v>$ 000s</v>
      </c>
      <c r="H46" s="12">
        <f xml:space="preserve"> SUM(J46:CV46)</f>
        <v>360041.8666364344</v>
      </c>
      <c r="J46" s="12">
        <f t="shared" ref="J46:AO46" si="9" xml:space="preserve"> IF(J45 = 1, J43 / J44, 0)</f>
        <v>0</v>
      </c>
      <c r="K46" s="12">
        <f t="shared" si="9"/>
        <v>0</v>
      </c>
      <c r="L46" s="12">
        <f t="shared" si="9"/>
        <v>0</v>
      </c>
      <c r="M46" s="12">
        <f t="shared" si="9"/>
        <v>0</v>
      </c>
      <c r="N46" s="12">
        <f t="shared" si="9"/>
        <v>0</v>
      </c>
      <c r="O46" s="12">
        <f t="shared" si="9"/>
        <v>12686.670750900881</v>
      </c>
      <c r="P46" s="12">
        <f t="shared" si="9"/>
        <v>11219.577763959796</v>
      </c>
      <c r="Q46" s="12">
        <f t="shared" si="9"/>
        <v>11246.682467999117</v>
      </c>
      <c r="R46" s="12">
        <f t="shared" si="9"/>
        <v>11134.906271929551</v>
      </c>
      <c r="S46" s="12">
        <f t="shared" si="9"/>
        <v>11160.496722683538</v>
      </c>
      <c r="T46" s="12">
        <f t="shared" si="9"/>
        <v>11049.147098975063</v>
      </c>
      <c r="U46" s="12">
        <f t="shared" si="9"/>
        <v>11073.196873316116</v>
      </c>
      <c r="V46" s="12">
        <f t="shared" si="9"/>
        <v>10977.312910097369</v>
      </c>
      <c r="W46" s="12">
        <f t="shared" si="9"/>
        <v>10969.723388609884</v>
      </c>
      <c r="X46" s="12">
        <f t="shared" si="9"/>
        <v>10874.272594737073</v>
      </c>
      <c r="Y46" s="12">
        <f t="shared" si="9"/>
        <v>10895.159573892091</v>
      </c>
      <c r="Z46" s="12">
        <f t="shared" si="9"/>
        <v>10785.109536229733</v>
      </c>
      <c r="AA46" s="12">
        <f t="shared" si="9"/>
        <v>10804.373282742488</v>
      </c>
      <c r="AB46" s="12">
        <f t="shared" si="9"/>
        <v>10694.763323474835</v>
      </c>
      <c r="AC46" s="12">
        <f t="shared" si="9"/>
        <v>10712.375186037836</v>
      </c>
      <c r="AD46" s="12">
        <f t="shared" si="9"/>
        <v>10617.752211573994</v>
      </c>
      <c r="AE46" s="12">
        <f t="shared" si="9"/>
        <v>10604.596291639358</v>
      </c>
      <c r="AF46" s="12">
        <f t="shared" si="9"/>
        <v>10510.420629222022</v>
      </c>
      <c r="AG46" s="12">
        <f t="shared" si="9"/>
        <v>10524.640416931614</v>
      </c>
      <c r="AH46" s="12">
        <f t="shared" si="9"/>
        <v>10416.372478208448</v>
      </c>
      <c r="AI46" s="12">
        <f t="shared" si="9"/>
        <v>10428.850868847372</v>
      </c>
      <c r="AJ46" s="12">
        <f t="shared" si="9"/>
        <v>10321.037813475596</v>
      </c>
      <c r="AK46" s="12">
        <f t="shared" si="9"/>
        <v>10331.743742924136</v>
      </c>
      <c r="AL46" s="12">
        <f t="shared" si="9"/>
        <v>10238.413230765222</v>
      </c>
      <c r="AM46" s="12">
        <f t="shared" si="9"/>
        <v>10219.267514352183</v>
      </c>
      <c r="AN46" s="12">
        <f t="shared" si="9"/>
        <v>10126.399808084416</v>
      </c>
      <c r="AO46" s="12">
        <f t="shared" si="9"/>
        <v>10133.465074774842</v>
      </c>
      <c r="AP46" s="12">
        <f t="shared" ref="AP46:BU46" si="10" xml:space="preserve"> IF(AP45 = 1, AP43 / AP44, 0)</f>
        <v>10027.040528410025</v>
      </c>
      <c r="AQ46" s="12">
        <f t="shared" si="10"/>
        <v>10032.236287413258</v>
      </c>
      <c r="AR46" s="12">
        <f t="shared" si="10"/>
        <v>9926.2828348493713</v>
      </c>
      <c r="AS46" s="12">
        <f t="shared" si="10"/>
        <v>9929.5754092889656</v>
      </c>
      <c r="AT46" s="12">
        <f t="shared" si="10"/>
        <v>9837.5720398654666</v>
      </c>
      <c r="AU46" s="12">
        <f t="shared" si="10"/>
        <v>9811.9776589272351</v>
      </c>
      <c r="AV46" s="12">
        <f t="shared" si="10"/>
        <v>9720.4540512954736</v>
      </c>
      <c r="AW46" s="12">
        <f t="shared" si="10"/>
        <v>0</v>
      </c>
      <c r="AX46" s="12">
        <f t="shared" si="10"/>
        <v>0</v>
      </c>
      <c r="AY46" s="12">
        <f t="shared" si="10"/>
        <v>0</v>
      </c>
      <c r="AZ46" s="12">
        <f t="shared" si="10"/>
        <v>0</v>
      </c>
      <c r="BA46" s="12">
        <f t="shared" si="10"/>
        <v>0</v>
      </c>
      <c r="BB46" s="12">
        <f t="shared" si="10"/>
        <v>0</v>
      </c>
      <c r="BC46" s="12">
        <f t="shared" si="10"/>
        <v>0</v>
      </c>
      <c r="BD46" s="12">
        <f t="shared" si="10"/>
        <v>0</v>
      </c>
      <c r="BE46" s="12">
        <f t="shared" si="10"/>
        <v>0</v>
      </c>
      <c r="BF46" s="12">
        <f t="shared" si="10"/>
        <v>0</v>
      </c>
      <c r="BG46" s="12">
        <f t="shared" si="10"/>
        <v>0</v>
      </c>
      <c r="BH46" s="12">
        <f t="shared" si="10"/>
        <v>0</v>
      </c>
      <c r="BI46" s="12">
        <f t="shared" si="10"/>
        <v>0</v>
      </c>
      <c r="BJ46" s="12">
        <f t="shared" si="10"/>
        <v>0</v>
      </c>
      <c r="BK46" s="12">
        <f t="shared" si="10"/>
        <v>0</v>
      </c>
      <c r="BL46" s="12">
        <f t="shared" si="10"/>
        <v>0</v>
      </c>
      <c r="BM46" s="12">
        <f t="shared" si="10"/>
        <v>0</v>
      </c>
      <c r="BN46" s="12">
        <f t="shared" si="10"/>
        <v>0</v>
      </c>
      <c r="BO46" s="12">
        <f t="shared" si="10"/>
        <v>0</v>
      </c>
      <c r="BP46" s="12">
        <f t="shared" si="10"/>
        <v>0</v>
      </c>
      <c r="BQ46" s="12">
        <f t="shared" si="10"/>
        <v>0</v>
      </c>
      <c r="BR46" s="12">
        <f t="shared" si="10"/>
        <v>0</v>
      </c>
      <c r="BS46" s="12">
        <f t="shared" si="10"/>
        <v>0</v>
      </c>
      <c r="BT46" s="12">
        <f t="shared" si="10"/>
        <v>0</v>
      </c>
      <c r="BU46" s="12">
        <f t="shared" si="10"/>
        <v>0</v>
      </c>
      <c r="BV46" s="12">
        <f t="shared" ref="BV46:CV46" si="11" xml:space="preserve"> IF(BV45 = 1, BV43 / BV44, 0)</f>
        <v>0</v>
      </c>
      <c r="BW46" s="12">
        <f t="shared" si="11"/>
        <v>0</v>
      </c>
      <c r="BX46" s="12">
        <f t="shared" si="11"/>
        <v>0</v>
      </c>
      <c r="BY46" s="12">
        <f t="shared" si="11"/>
        <v>0</v>
      </c>
      <c r="BZ46" s="12">
        <f t="shared" si="11"/>
        <v>0</v>
      </c>
      <c r="CA46" s="12">
        <f t="shared" si="11"/>
        <v>0</v>
      </c>
      <c r="CB46" s="12">
        <f t="shared" si="11"/>
        <v>0</v>
      </c>
      <c r="CC46" s="12">
        <f t="shared" si="11"/>
        <v>0</v>
      </c>
      <c r="CD46" s="12">
        <f t="shared" si="11"/>
        <v>0</v>
      </c>
      <c r="CE46" s="12">
        <f t="shared" si="11"/>
        <v>0</v>
      </c>
      <c r="CF46" s="12">
        <f t="shared" si="11"/>
        <v>0</v>
      </c>
      <c r="CG46" s="12">
        <f t="shared" si="11"/>
        <v>0</v>
      </c>
      <c r="CH46" s="12">
        <f t="shared" si="11"/>
        <v>0</v>
      </c>
      <c r="CI46" s="12">
        <f t="shared" si="11"/>
        <v>0</v>
      </c>
      <c r="CJ46" s="12">
        <f t="shared" si="11"/>
        <v>0</v>
      </c>
      <c r="CK46" s="12">
        <f t="shared" si="11"/>
        <v>0</v>
      </c>
      <c r="CL46" s="12">
        <f t="shared" si="11"/>
        <v>0</v>
      </c>
      <c r="CM46" s="12">
        <f t="shared" si="11"/>
        <v>0</v>
      </c>
      <c r="CN46" s="12">
        <f t="shared" si="11"/>
        <v>0</v>
      </c>
      <c r="CO46" s="12">
        <f t="shared" si="11"/>
        <v>0</v>
      </c>
      <c r="CP46" s="12">
        <f t="shared" si="11"/>
        <v>0</v>
      </c>
      <c r="CQ46" s="12">
        <f t="shared" si="11"/>
        <v>0</v>
      </c>
      <c r="CR46" s="12">
        <f t="shared" si="11"/>
        <v>0</v>
      </c>
      <c r="CS46" s="12">
        <f t="shared" si="11"/>
        <v>0</v>
      </c>
      <c r="CT46" s="12">
        <f t="shared" si="11"/>
        <v>0</v>
      </c>
      <c r="CU46" s="12">
        <f t="shared" si="11"/>
        <v>0</v>
      </c>
      <c r="CV46" s="12">
        <f t="shared" si="11"/>
        <v>0</v>
      </c>
    </row>
    <row r="47" spans="1:100" ht="12.75" outlineLevel="2" x14ac:dyDescent="0.2"/>
    <row r="48" spans="1:100" ht="12.75" outlineLevel="2" x14ac:dyDescent="0.2">
      <c r="E48" s="12" t="str">
        <f t="shared" ref="E48:AJ48" si="12" xml:space="preserve"> E$46</f>
        <v>Senior debt service at target cover ratio</v>
      </c>
      <c r="F48" s="12">
        <f t="shared" si="12"/>
        <v>0</v>
      </c>
      <c r="G48" s="12" t="str">
        <f t="shared" si="12"/>
        <v>$ 000s</v>
      </c>
      <c r="H48" s="12">
        <f t="shared" si="12"/>
        <v>360041.8666364344</v>
      </c>
      <c r="I48" s="12">
        <f t="shared" si="12"/>
        <v>0</v>
      </c>
      <c r="J48" s="12">
        <f t="shared" si="12"/>
        <v>0</v>
      </c>
      <c r="K48" s="12">
        <f t="shared" si="12"/>
        <v>0</v>
      </c>
      <c r="L48" s="12">
        <f t="shared" si="12"/>
        <v>0</v>
      </c>
      <c r="M48" s="12">
        <f t="shared" si="12"/>
        <v>0</v>
      </c>
      <c r="N48" s="12">
        <f t="shared" si="12"/>
        <v>0</v>
      </c>
      <c r="O48" s="12">
        <f t="shared" si="12"/>
        <v>12686.670750900881</v>
      </c>
      <c r="P48" s="12">
        <f t="shared" si="12"/>
        <v>11219.577763959796</v>
      </c>
      <c r="Q48" s="12">
        <f t="shared" si="12"/>
        <v>11246.682467999117</v>
      </c>
      <c r="R48" s="12">
        <f t="shared" si="12"/>
        <v>11134.906271929551</v>
      </c>
      <c r="S48" s="12">
        <f t="shared" si="12"/>
        <v>11160.496722683538</v>
      </c>
      <c r="T48" s="12">
        <f t="shared" si="12"/>
        <v>11049.147098975063</v>
      </c>
      <c r="U48" s="12">
        <f t="shared" si="12"/>
        <v>11073.196873316116</v>
      </c>
      <c r="V48" s="12">
        <f t="shared" si="12"/>
        <v>10977.312910097369</v>
      </c>
      <c r="W48" s="12">
        <f t="shared" si="12"/>
        <v>10969.723388609884</v>
      </c>
      <c r="X48" s="12">
        <f t="shared" si="12"/>
        <v>10874.272594737073</v>
      </c>
      <c r="Y48" s="12">
        <f t="shared" si="12"/>
        <v>10895.159573892091</v>
      </c>
      <c r="Z48" s="12">
        <f t="shared" si="12"/>
        <v>10785.109536229733</v>
      </c>
      <c r="AA48" s="12">
        <f t="shared" si="12"/>
        <v>10804.373282742488</v>
      </c>
      <c r="AB48" s="12">
        <f t="shared" si="12"/>
        <v>10694.763323474835</v>
      </c>
      <c r="AC48" s="12">
        <f t="shared" si="12"/>
        <v>10712.375186037836</v>
      </c>
      <c r="AD48" s="12">
        <f t="shared" si="12"/>
        <v>10617.752211573994</v>
      </c>
      <c r="AE48" s="12">
        <f t="shared" si="12"/>
        <v>10604.596291639358</v>
      </c>
      <c r="AF48" s="12">
        <f t="shared" si="12"/>
        <v>10510.420629222022</v>
      </c>
      <c r="AG48" s="12">
        <f t="shared" si="12"/>
        <v>10524.640416931614</v>
      </c>
      <c r="AH48" s="12">
        <f t="shared" si="12"/>
        <v>10416.372478208448</v>
      </c>
      <c r="AI48" s="12">
        <f t="shared" si="12"/>
        <v>10428.850868847372</v>
      </c>
      <c r="AJ48" s="12">
        <f t="shared" si="12"/>
        <v>10321.037813475596</v>
      </c>
      <c r="AK48" s="12">
        <f t="shared" ref="AK48:BP48" si="13" xml:space="preserve"> AK$46</f>
        <v>10331.743742924136</v>
      </c>
      <c r="AL48" s="12">
        <f t="shared" si="13"/>
        <v>10238.413230765222</v>
      </c>
      <c r="AM48" s="12">
        <f t="shared" si="13"/>
        <v>10219.267514352183</v>
      </c>
      <c r="AN48" s="12">
        <f t="shared" si="13"/>
        <v>10126.399808084416</v>
      </c>
      <c r="AO48" s="12">
        <f t="shared" si="13"/>
        <v>10133.465074774842</v>
      </c>
      <c r="AP48" s="12">
        <f t="shared" si="13"/>
        <v>10027.040528410025</v>
      </c>
      <c r="AQ48" s="12">
        <f t="shared" si="13"/>
        <v>10032.236287413258</v>
      </c>
      <c r="AR48" s="12">
        <f t="shared" si="13"/>
        <v>9926.2828348493713</v>
      </c>
      <c r="AS48" s="12">
        <f t="shared" si="13"/>
        <v>9929.5754092889656</v>
      </c>
      <c r="AT48" s="12">
        <f t="shared" si="13"/>
        <v>9837.5720398654666</v>
      </c>
      <c r="AU48" s="12">
        <f t="shared" si="13"/>
        <v>9811.9776589272351</v>
      </c>
      <c r="AV48" s="12">
        <f t="shared" si="13"/>
        <v>9720.4540512954736</v>
      </c>
      <c r="AW48" s="12">
        <f t="shared" si="13"/>
        <v>0</v>
      </c>
      <c r="AX48" s="12">
        <f t="shared" si="13"/>
        <v>0</v>
      </c>
      <c r="AY48" s="12">
        <f t="shared" si="13"/>
        <v>0</v>
      </c>
      <c r="AZ48" s="12">
        <f t="shared" si="13"/>
        <v>0</v>
      </c>
      <c r="BA48" s="12">
        <f t="shared" si="13"/>
        <v>0</v>
      </c>
      <c r="BB48" s="12">
        <f t="shared" si="13"/>
        <v>0</v>
      </c>
      <c r="BC48" s="12">
        <f t="shared" si="13"/>
        <v>0</v>
      </c>
      <c r="BD48" s="12">
        <f t="shared" si="13"/>
        <v>0</v>
      </c>
      <c r="BE48" s="12">
        <f t="shared" si="13"/>
        <v>0</v>
      </c>
      <c r="BF48" s="12">
        <f t="shared" si="13"/>
        <v>0</v>
      </c>
      <c r="BG48" s="12">
        <f t="shared" si="13"/>
        <v>0</v>
      </c>
      <c r="BH48" s="12">
        <f t="shared" si="13"/>
        <v>0</v>
      </c>
      <c r="BI48" s="12">
        <f t="shared" si="13"/>
        <v>0</v>
      </c>
      <c r="BJ48" s="12">
        <f t="shared" si="13"/>
        <v>0</v>
      </c>
      <c r="BK48" s="12">
        <f t="shared" si="13"/>
        <v>0</v>
      </c>
      <c r="BL48" s="12">
        <f t="shared" si="13"/>
        <v>0</v>
      </c>
      <c r="BM48" s="12">
        <f t="shared" si="13"/>
        <v>0</v>
      </c>
      <c r="BN48" s="12">
        <f t="shared" si="13"/>
        <v>0</v>
      </c>
      <c r="BO48" s="12">
        <f t="shared" si="13"/>
        <v>0</v>
      </c>
      <c r="BP48" s="12">
        <f t="shared" si="13"/>
        <v>0</v>
      </c>
      <c r="BQ48" s="12">
        <f t="shared" ref="BQ48:CV48" si="14" xml:space="preserve"> BQ$46</f>
        <v>0</v>
      </c>
      <c r="BR48" s="12">
        <f t="shared" si="14"/>
        <v>0</v>
      </c>
      <c r="BS48" s="12">
        <f t="shared" si="14"/>
        <v>0</v>
      </c>
      <c r="BT48" s="12">
        <f t="shared" si="14"/>
        <v>0</v>
      </c>
      <c r="BU48" s="12">
        <f t="shared" si="14"/>
        <v>0</v>
      </c>
      <c r="BV48" s="12">
        <f t="shared" si="14"/>
        <v>0</v>
      </c>
      <c r="BW48" s="12">
        <f t="shared" si="14"/>
        <v>0</v>
      </c>
      <c r="BX48" s="12">
        <f t="shared" si="14"/>
        <v>0</v>
      </c>
      <c r="BY48" s="12">
        <f t="shared" si="14"/>
        <v>0</v>
      </c>
      <c r="BZ48" s="12">
        <f t="shared" si="14"/>
        <v>0</v>
      </c>
      <c r="CA48" s="12">
        <f t="shared" si="14"/>
        <v>0</v>
      </c>
      <c r="CB48" s="12">
        <f t="shared" si="14"/>
        <v>0</v>
      </c>
      <c r="CC48" s="12">
        <f t="shared" si="14"/>
        <v>0</v>
      </c>
      <c r="CD48" s="12">
        <f t="shared" si="14"/>
        <v>0</v>
      </c>
      <c r="CE48" s="12">
        <f t="shared" si="14"/>
        <v>0</v>
      </c>
      <c r="CF48" s="12">
        <f t="shared" si="14"/>
        <v>0</v>
      </c>
      <c r="CG48" s="12">
        <f t="shared" si="14"/>
        <v>0</v>
      </c>
      <c r="CH48" s="12">
        <f t="shared" si="14"/>
        <v>0</v>
      </c>
      <c r="CI48" s="12">
        <f t="shared" si="14"/>
        <v>0</v>
      </c>
      <c r="CJ48" s="12">
        <f t="shared" si="14"/>
        <v>0</v>
      </c>
      <c r="CK48" s="12">
        <f t="shared" si="14"/>
        <v>0</v>
      </c>
      <c r="CL48" s="12">
        <f t="shared" si="14"/>
        <v>0</v>
      </c>
      <c r="CM48" s="12">
        <f t="shared" si="14"/>
        <v>0</v>
      </c>
      <c r="CN48" s="12">
        <f t="shared" si="14"/>
        <v>0</v>
      </c>
      <c r="CO48" s="12">
        <f t="shared" si="14"/>
        <v>0</v>
      </c>
      <c r="CP48" s="12">
        <f t="shared" si="14"/>
        <v>0</v>
      </c>
      <c r="CQ48" s="12">
        <f t="shared" si="14"/>
        <v>0</v>
      </c>
      <c r="CR48" s="12">
        <f t="shared" si="14"/>
        <v>0</v>
      </c>
      <c r="CS48" s="12">
        <f t="shared" si="14"/>
        <v>0</v>
      </c>
      <c r="CT48" s="12">
        <f t="shared" si="14"/>
        <v>0</v>
      </c>
      <c r="CU48" s="12">
        <f t="shared" si="14"/>
        <v>0</v>
      </c>
      <c r="CV48" s="12">
        <f t="shared" si="14"/>
        <v>0</v>
      </c>
    </row>
    <row r="49" spans="1:100" ht="12.75" outlineLevel="2" x14ac:dyDescent="0.2">
      <c r="A49" s="52"/>
      <c r="B49" s="52"/>
      <c r="C49" s="34"/>
      <c r="D49" s="35"/>
      <c r="E49" s="31" t="str">
        <f t="shared" ref="E49:AJ49" si="15" xml:space="preserve"> E$237</f>
        <v>Senior debt interest - T1 POS</v>
      </c>
      <c r="F49" s="31">
        <f t="shared" si="15"/>
        <v>0</v>
      </c>
      <c r="G49" s="31" t="str">
        <f t="shared" si="15"/>
        <v>$ 000s</v>
      </c>
      <c r="H49" s="31">
        <f t="shared" si="15"/>
        <v>58932.622085008683</v>
      </c>
      <c r="I49" s="31">
        <f t="shared" si="15"/>
        <v>0</v>
      </c>
      <c r="J49" s="31">
        <f t="shared" si="15"/>
        <v>0</v>
      </c>
      <c r="K49" s="31">
        <f t="shared" si="15"/>
        <v>0</v>
      </c>
      <c r="L49" s="31">
        <f t="shared" si="15"/>
        <v>0</v>
      </c>
      <c r="M49" s="31">
        <f t="shared" si="15"/>
        <v>0</v>
      </c>
      <c r="N49" s="31">
        <f t="shared" si="15"/>
        <v>0</v>
      </c>
      <c r="O49" s="31">
        <f t="shared" si="15"/>
        <v>2687.5177475939608</v>
      </c>
      <c r="P49" s="31">
        <f t="shared" si="15"/>
        <v>2582.7239566536373</v>
      </c>
      <c r="Q49" s="31">
        <f t="shared" si="15"/>
        <v>2574.328504175005</v>
      </c>
      <c r="R49" s="31">
        <f t="shared" si="15"/>
        <v>2481.3813281599528</v>
      </c>
      <c r="S49" s="31">
        <f t="shared" si="15"/>
        <v>2469.7293209345407</v>
      </c>
      <c r="T49" s="31">
        <f t="shared" si="15"/>
        <v>2376.876065985799</v>
      </c>
      <c r="U49" s="31">
        <f t="shared" si="15"/>
        <v>2361.8520922003349</v>
      </c>
      <c r="V49" s="31">
        <f t="shared" si="15"/>
        <v>2281.6182261919198</v>
      </c>
      <c r="W49" s="31">
        <f t="shared" si="15"/>
        <v>2250.6592852748454</v>
      </c>
      <c r="X49" s="31">
        <f t="shared" si="15"/>
        <v>2158.0922847899237</v>
      </c>
      <c r="Y49" s="31">
        <f t="shared" si="15"/>
        <v>2237.6804315095601</v>
      </c>
      <c r="Z49" s="31">
        <f t="shared" si="15"/>
        <v>2142.3886900549105</v>
      </c>
      <c r="AA49" s="31">
        <f t="shared" si="15"/>
        <v>2117.0515797327043</v>
      </c>
      <c r="AB49" s="31">
        <f t="shared" si="15"/>
        <v>2021.7094910691326</v>
      </c>
      <c r="AC49" s="31">
        <f t="shared" si="15"/>
        <v>1992.3163229370118</v>
      </c>
      <c r="AD49" s="31">
        <f t="shared" si="15"/>
        <v>1907.3851466300987</v>
      </c>
      <c r="AE49" s="31">
        <f t="shared" si="15"/>
        <v>1863.349317892918</v>
      </c>
      <c r="AF49" s="31">
        <f t="shared" si="15"/>
        <v>1767.9820934948079</v>
      </c>
      <c r="AG49" s="31">
        <f t="shared" si="15"/>
        <v>1730.0089819557033</v>
      </c>
      <c r="AH49" s="31">
        <f t="shared" si="15"/>
        <v>1634.3997473361794</v>
      </c>
      <c r="AI49" s="31">
        <f t="shared" si="15"/>
        <v>1664.2398160286421</v>
      </c>
      <c r="AJ49" s="31">
        <f t="shared" si="15"/>
        <v>1565.5385581725184</v>
      </c>
      <c r="AK49" s="31">
        <f t="shared" ref="AK49:BP49" si="16" xml:space="preserve"> AK$237</f>
        <v>1517.504166079535</v>
      </c>
      <c r="AL49" s="31">
        <f t="shared" si="16"/>
        <v>1426.3062182693025</v>
      </c>
      <c r="AM49" s="31">
        <f t="shared" si="16"/>
        <v>1365.2015310096476</v>
      </c>
      <c r="AN49" s="31">
        <f t="shared" si="16"/>
        <v>1265.9321561833478</v>
      </c>
      <c r="AO49" s="31">
        <f t="shared" si="16"/>
        <v>1207.2384434234541</v>
      </c>
      <c r="AP49" s="31">
        <f t="shared" si="16"/>
        <v>1107.4310609472375</v>
      </c>
      <c r="AQ49" s="31">
        <f t="shared" si="16"/>
        <v>1043.0631804876928</v>
      </c>
      <c r="AR49" s="31">
        <f t="shared" si="16"/>
        <v>942.81174989072917</v>
      </c>
      <c r="AS49" s="31">
        <f t="shared" si="16"/>
        <v>872.52701382584769</v>
      </c>
      <c r="AT49" s="31">
        <f t="shared" si="16"/>
        <v>652.41628467561759</v>
      </c>
      <c r="AU49" s="31">
        <f t="shared" si="16"/>
        <v>443.63241738550107</v>
      </c>
      <c r="AV49" s="31">
        <f t="shared" si="16"/>
        <v>219.7301918317994</v>
      </c>
      <c r="AW49" s="31">
        <f t="shared" si="16"/>
        <v>-2.2123232123425019E-4</v>
      </c>
      <c r="AX49" s="31">
        <f t="shared" si="16"/>
        <v>-2.1762527251847438E-4</v>
      </c>
      <c r="AY49" s="31">
        <f t="shared" si="16"/>
        <v>-2.2123232123425019E-4</v>
      </c>
      <c r="AZ49" s="31">
        <f t="shared" si="16"/>
        <v>-2.1762527251847438E-4</v>
      </c>
      <c r="BA49" s="31">
        <f t="shared" si="16"/>
        <v>-2.2123232123425019E-4</v>
      </c>
      <c r="BB49" s="31">
        <f t="shared" si="16"/>
        <v>-2.1882762209039967E-4</v>
      </c>
      <c r="BC49" s="31">
        <f t="shared" si="16"/>
        <v>0</v>
      </c>
      <c r="BD49" s="31">
        <f t="shared" si="16"/>
        <v>0</v>
      </c>
      <c r="BE49" s="31">
        <f t="shared" si="16"/>
        <v>0</v>
      </c>
      <c r="BF49" s="31">
        <f t="shared" si="16"/>
        <v>0</v>
      </c>
      <c r="BG49" s="31">
        <f t="shared" si="16"/>
        <v>0</v>
      </c>
      <c r="BH49" s="31">
        <f t="shared" si="16"/>
        <v>0</v>
      </c>
      <c r="BI49" s="31">
        <f t="shared" si="16"/>
        <v>0</v>
      </c>
      <c r="BJ49" s="31">
        <f t="shared" si="16"/>
        <v>0</v>
      </c>
      <c r="BK49" s="31">
        <f t="shared" si="16"/>
        <v>0</v>
      </c>
      <c r="BL49" s="31">
        <f t="shared" si="16"/>
        <v>0</v>
      </c>
      <c r="BM49" s="31">
        <f t="shared" si="16"/>
        <v>0</v>
      </c>
      <c r="BN49" s="31">
        <f t="shared" si="16"/>
        <v>0</v>
      </c>
      <c r="BO49" s="31">
        <f t="shared" si="16"/>
        <v>0</v>
      </c>
      <c r="BP49" s="31">
        <f t="shared" si="16"/>
        <v>0</v>
      </c>
      <c r="BQ49" s="31">
        <f t="shared" ref="BQ49:CV49" si="17" xml:space="preserve"> BQ$237</f>
        <v>0</v>
      </c>
      <c r="BR49" s="31">
        <f t="shared" si="17"/>
        <v>0</v>
      </c>
      <c r="BS49" s="31">
        <f t="shared" si="17"/>
        <v>0</v>
      </c>
      <c r="BT49" s="31">
        <f t="shared" si="17"/>
        <v>0</v>
      </c>
      <c r="BU49" s="31">
        <f t="shared" si="17"/>
        <v>0</v>
      </c>
      <c r="BV49" s="31">
        <f t="shared" si="17"/>
        <v>0</v>
      </c>
      <c r="BW49" s="31">
        <f t="shared" si="17"/>
        <v>0</v>
      </c>
      <c r="BX49" s="31">
        <f t="shared" si="17"/>
        <v>0</v>
      </c>
      <c r="BY49" s="31">
        <f t="shared" si="17"/>
        <v>0</v>
      </c>
      <c r="BZ49" s="31">
        <f t="shared" si="17"/>
        <v>0</v>
      </c>
      <c r="CA49" s="31">
        <f t="shared" si="17"/>
        <v>0</v>
      </c>
      <c r="CB49" s="31">
        <f t="shared" si="17"/>
        <v>0</v>
      </c>
      <c r="CC49" s="31">
        <f t="shared" si="17"/>
        <v>0</v>
      </c>
      <c r="CD49" s="31">
        <f t="shared" si="17"/>
        <v>0</v>
      </c>
      <c r="CE49" s="31">
        <f t="shared" si="17"/>
        <v>0</v>
      </c>
      <c r="CF49" s="31">
        <f t="shared" si="17"/>
        <v>0</v>
      </c>
      <c r="CG49" s="31">
        <f t="shared" si="17"/>
        <v>0</v>
      </c>
      <c r="CH49" s="31">
        <f t="shared" si="17"/>
        <v>0</v>
      </c>
      <c r="CI49" s="31">
        <f t="shared" si="17"/>
        <v>0</v>
      </c>
      <c r="CJ49" s="31">
        <f t="shared" si="17"/>
        <v>0</v>
      </c>
      <c r="CK49" s="31">
        <f t="shared" si="17"/>
        <v>0</v>
      </c>
      <c r="CL49" s="31">
        <f t="shared" si="17"/>
        <v>0</v>
      </c>
      <c r="CM49" s="31">
        <f t="shared" si="17"/>
        <v>0</v>
      </c>
      <c r="CN49" s="31">
        <f t="shared" si="17"/>
        <v>0</v>
      </c>
      <c r="CO49" s="31">
        <f t="shared" si="17"/>
        <v>0</v>
      </c>
      <c r="CP49" s="31">
        <f t="shared" si="17"/>
        <v>0</v>
      </c>
      <c r="CQ49" s="31">
        <f t="shared" si="17"/>
        <v>0</v>
      </c>
      <c r="CR49" s="31">
        <f t="shared" si="17"/>
        <v>0</v>
      </c>
      <c r="CS49" s="31">
        <f t="shared" si="17"/>
        <v>0</v>
      </c>
      <c r="CT49" s="31">
        <f t="shared" si="17"/>
        <v>0</v>
      </c>
      <c r="CU49" s="31">
        <f t="shared" si="17"/>
        <v>0</v>
      </c>
      <c r="CV49" s="31">
        <f t="shared" si="17"/>
        <v>0</v>
      </c>
    </row>
    <row r="50" spans="1:100" ht="12.75" outlineLevel="2" x14ac:dyDescent="0.2">
      <c r="A50" s="52"/>
      <c r="B50" s="52"/>
      <c r="C50" s="34"/>
      <c r="D50" s="35"/>
      <c r="E50" s="31" t="str">
        <f t="shared" ref="E50:AJ50" si="18" xml:space="preserve"> E$349</f>
        <v>Senior debt interest - T2 POS</v>
      </c>
      <c r="F50" s="31">
        <f t="shared" si="18"/>
        <v>0</v>
      </c>
      <c r="G50" s="31" t="str">
        <f t="shared" si="18"/>
        <v>$ 000s</v>
      </c>
      <c r="H50" s="31">
        <f t="shared" si="18"/>
        <v>50719.400835431705</v>
      </c>
      <c r="I50" s="31">
        <f t="shared" si="18"/>
        <v>0</v>
      </c>
      <c r="J50" s="31">
        <f t="shared" si="18"/>
        <v>0</v>
      </c>
      <c r="K50" s="31">
        <f t="shared" si="18"/>
        <v>0</v>
      </c>
      <c r="L50" s="31">
        <f t="shared" si="18"/>
        <v>0</v>
      </c>
      <c r="M50" s="31">
        <f t="shared" si="18"/>
        <v>0</v>
      </c>
      <c r="N50" s="31">
        <f t="shared" si="18"/>
        <v>0</v>
      </c>
      <c r="O50" s="31">
        <f t="shared" si="18"/>
        <v>3007.4603365932417</v>
      </c>
      <c r="P50" s="31">
        <f t="shared" si="18"/>
        <v>2861.4426237247226</v>
      </c>
      <c r="Q50" s="31">
        <f t="shared" si="18"/>
        <v>2827.4302563544802</v>
      </c>
      <c r="R50" s="31">
        <f t="shared" si="18"/>
        <v>2700.2548554507134</v>
      </c>
      <c r="S50" s="31">
        <f t="shared" si="18"/>
        <v>2661.0628632799539</v>
      </c>
      <c r="T50" s="31">
        <f t="shared" si="18"/>
        <v>2534.0368459800811</v>
      </c>
      <c r="U50" s="31">
        <f t="shared" si="18"/>
        <v>2489.4816638803841</v>
      </c>
      <c r="V50" s="31">
        <f t="shared" si="18"/>
        <v>2375.6406705547574</v>
      </c>
      <c r="W50" s="31">
        <f t="shared" si="18"/>
        <v>2312.626961541976</v>
      </c>
      <c r="X50" s="31">
        <f t="shared" si="18"/>
        <v>2186.0562385133053</v>
      </c>
      <c r="Y50" s="31">
        <f t="shared" si="18"/>
        <v>2220.854468947296</v>
      </c>
      <c r="Z50" s="31">
        <f t="shared" si="18"/>
        <v>2091.5619982100643</v>
      </c>
      <c r="AA50" s="31">
        <f t="shared" si="18"/>
        <v>2029.9192920142364</v>
      </c>
      <c r="AB50" s="31">
        <f t="shared" si="18"/>
        <v>1900.5471301160426</v>
      </c>
      <c r="AC50" s="31">
        <f t="shared" si="18"/>
        <v>1832.4843668262508</v>
      </c>
      <c r="AD50" s="31">
        <f t="shared" si="18"/>
        <v>1712.4114864363401</v>
      </c>
      <c r="AE50" s="31">
        <f t="shared" si="18"/>
        <v>1628.351296139547</v>
      </c>
      <c r="AF50" s="31">
        <f t="shared" si="18"/>
        <v>1498.9393486025879</v>
      </c>
      <c r="AG50" s="31">
        <f t="shared" si="18"/>
        <v>1417.2959784483739</v>
      </c>
      <c r="AH50" s="31">
        <f t="shared" si="18"/>
        <v>1287.5009694483854</v>
      </c>
      <c r="AI50" s="31">
        <f t="shared" si="18"/>
        <v>1272.051076082276</v>
      </c>
      <c r="AJ50" s="31">
        <f t="shared" si="18"/>
        <v>1136.3240059796112</v>
      </c>
      <c r="AK50" s="31">
        <f t="shared" ref="AK50:BP50" si="19" xml:space="preserve"> AK$349</f>
        <v>1036.2897842601778</v>
      </c>
      <c r="AL50" s="31">
        <f t="shared" si="19"/>
        <v>904.99934106523745</v>
      </c>
      <c r="AM50" s="31">
        <f t="shared" si="19"/>
        <v>791.5839748373146</v>
      </c>
      <c r="AN50" s="31">
        <f t="shared" si="19"/>
        <v>654.9441068505555</v>
      </c>
      <c r="AO50" s="31">
        <f t="shared" si="19"/>
        <v>537.78347303393627</v>
      </c>
      <c r="AP50" s="31">
        <f t="shared" si="19"/>
        <v>400.27918403838652</v>
      </c>
      <c r="AQ50" s="31">
        <f t="shared" si="19"/>
        <v>274.00182155120319</v>
      </c>
      <c r="AR50" s="31">
        <f t="shared" si="19"/>
        <v>135.78407704150388</v>
      </c>
      <c r="AS50" s="31">
        <f t="shared" si="19"/>
        <v>5.7368266412878361E-5</v>
      </c>
      <c r="AT50" s="31">
        <f t="shared" si="19"/>
        <v>5.6744698299694907E-5</v>
      </c>
      <c r="AU50" s="31">
        <f t="shared" si="19"/>
        <v>5.7368266412878361E-5</v>
      </c>
      <c r="AV50" s="31">
        <f t="shared" si="19"/>
        <v>5.6432914243103177E-5</v>
      </c>
      <c r="AW50" s="31">
        <f t="shared" si="19"/>
        <v>1.8755010173441004E-5</v>
      </c>
      <c r="AX50" s="31">
        <f t="shared" si="19"/>
        <v>1.8449221964091424E-5</v>
      </c>
      <c r="AY50" s="31">
        <f t="shared" si="19"/>
        <v>1.8755010173441004E-5</v>
      </c>
      <c r="AZ50" s="31">
        <f t="shared" si="19"/>
        <v>1.8449221964091424E-5</v>
      </c>
      <c r="BA50" s="31">
        <f t="shared" si="19"/>
        <v>1.8755010173441004E-5</v>
      </c>
      <c r="BB50" s="31">
        <f t="shared" si="19"/>
        <v>1.8551151367207951E-5</v>
      </c>
      <c r="BC50" s="31">
        <f t="shared" si="19"/>
        <v>0</v>
      </c>
      <c r="BD50" s="31">
        <f t="shared" si="19"/>
        <v>0</v>
      </c>
      <c r="BE50" s="31">
        <f t="shared" si="19"/>
        <v>0</v>
      </c>
      <c r="BF50" s="31">
        <f t="shared" si="19"/>
        <v>0</v>
      </c>
      <c r="BG50" s="31">
        <f t="shared" si="19"/>
        <v>0</v>
      </c>
      <c r="BH50" s="31">
        <f t="shared" si="19"/>
        <v>0</v>
      </c>
      <c r="BI50" s="31">
        <f t="shared" si="19"/>
        <v>0</v>
      </c>
      <c r="BJ50" s="31">
        <f t="shared" si="19"/>
        <v>0</v>
      </c>
      <c r="BK50" s="31">
        <f t="shared" si="19"/>
        <v>0</v>
      </c>
      <c r="BL50" s="31">
        <f t="shared" si="19"/>
        <v>0</v>
      </c>
      <c r="BM50" s="31">
        <f t="shared" si="19"/>
        <v>0</v>
      </c>
      <c r="BN50" s="31">
        <f t="shared" si="19"/>
        <v>0</v>
      </c>
      <c r="BO50" s="31">
        <f t="shared" si="19"/>
        <v>0</v>
      </c>
      <c r="BP50" s="31">
        <f t="shared" si="19"/>
        <v>0</v>
      </c>
      <c r="BQ50" s="31">
        <f t="shared" ref="BQ50:CV50" si="20" xml:space="preserve"> BQ$349</f>
        <v>0</v>
      </c>
      <c r="BR50" s="31">
        <f t="shared" si="20"/>
        <v>0</v>
      </c>
      <c r="BS50" s="31">
        <f t="shared" si="20"/>
        <v>0</v>
      </c>
      <c r="BT50" s="31">
        <f t="shared" si="20"/>
        <v>0</v>
      </c>
      <c r="BU50" s="31">
        <f t="shared" si="20"/>
        <v>0</v>
      </c>
      <c r="BV50" s="31">
        <f t="shared" si="20"/>
        <v>0</v>
      </c>
      <c r="BW50" s="31">
        <f t="shared" si="20"/>
        <v>0</v>
      </c>
      <c r="BX50" s="31">
        <f t="shared" si="20"/>
        <v>0</v>
      </c>
      <c r="BY50" s="31">
        <f t="shared" si="20"/>
        <v>0</v>
      </c>
      <c r="BZ50" s="31">
        <f t="shared" si="20"/>
        <v>0</v>
      </c>
      <c r="CA50" s="31">
        <f t="shared" si="20"/>
        <v>0</v>
      </c>
      <c r="CB50" s="31">
        <f t="shared" si="20"/>
        <v>0</v>
      </c>
      <c r="CC50" s="31">
        <f t="shared" si="20"/>
        <v>0</v>
      </c>
      <c r="CD50" s="31">
        <f t="shared" si="20"/>
        <v>0</v>
      </c>
      <c r="CE50" s="31">
        <f t="shared" si="20"/>
        <v>0</v>
      </c>
      <c r="CF50" s="31">
        <f t="shared" si="20"/>
        <v>0</v>
      </c>
      <c r="CG50" s="31">
        <f t="shared" si="20"/>
        <v>0</v>
      </c>
      <c r="CH50" s="31">
        <f t="shared" si="20"/>
        <v>0</v>
      </c>
      <c r="CI50" s="31">
        <f t="shared" si="20"/>
        <v>0</v>
      </c>
      <c r="CJ50" s="31">
        <f t="shared" si="20"/>
        <v>0</v>
      </c>
      <c r="CK50" s="31">
        <f t="shared" si="20"/>
        <v>0</v>
      </c>
      <c r="CL50" s="31">
        <f t="shared" si="20"/>
        <v>0</v>
      </c>
      <c r="CM50" s="31">
        <f t="shared" si="20"/>
        <v>0</v>
      </c>
      <c r="CN50" s="31">
        <f t="shared" si="20"/>
        <v>0</v>
      </c>
      <c r="CO50" s="31">
        <f t="shared" si="20"/>
        <v>0</v>
      </c>
      <c r="CP50" s="31">
        <f t="shared" si="20"/>
        <v>0</v>
      </c>
      <c r="CQ50" s="31">
        <f t="shared" si="20"/>
        <v>0</v>
      </c>
      <c r="CR50" s="31">
        <f t="shared" si="20"/>
        <v>0</v>
      </c>
      <c r="CS50" s="31">
        <f t="shared" si="20"/>
        <v>0</v>
      </c>
      <c r="CT50" s="31">
        <f t="shared" si="20"/>
        <v>0</v>
      </c>
      <c r="CU50" s="31">
        <f t="shared" si="20"/>
        <v>0</v>
      </c>
      <c r="CV50" s="31">
        <f t="shared" si="20"/>
        <v>0</v>
      </c>
    </row>
    <row r="51" spans="1:100" ht="12.75" outlineLevel="2" x14ac:dyDescent="0.2">
      <c r="E51" s="189" t="str">
        <f xml:space="preserve"> Time!E$214</f>
        <v>Senior debt repayment period flag</v>
      </c>
      <c r="F51" s="189">
        <f xml:space="preserve"> Time!F$214</f>
        <v>0</v>
      </c>
      <c r="G51" s="189" t="str">
        <f xml:space="preserve"> Time!G$214</f>
        <v>flag</v>
      </c>
      <c r="H51" s="189">
        <f xml:space="preserve"> Time!H$214</f>
        <v>34</v>
      </c>
      <c r="I51" s="189">
        <f xml:space="preserve"> Time!I$214</f>
        <v>0</v>
      </c>
      <c r="J51" s="189">
        <f xml:space="preserve"> Time!J$214</f>
        <v>0</v>
      </c>
      <c r="K51" s="189">
        <f xml:space="preserve"> Time!K$214</f>
        <v>0</v>
      </c>
      <c r="L51" s="189">
        <f xml:space="preserve"> Time!L$214</f>
        <v>0</v>
      </c>
      <c r="M51" s="189">
        <f xml:space="preserve"> Time!M$214</f>
        <v>0</v>
      </c>
      <c r="N51" s="189">
        <f xml:space="preserve"> Time!N$214</f>
        <v>0</v>
      </c>
      <c r="O51" s="189">
        <f xml:space="preserve"> Time!O$214</f>
        <v>1</v>
      </c>
      <c r="P51" s="189">
        <f xml:space="preserve"> Time!P$214</f>
        <v>1</v>
      </c>
      <c r="Q51" s="189">
        <f xml:space="preserve"> Time!Q$214</f>
        <v>1</v>
      </c>
      <c r="R51" s="189">
        <f xml:space="preserve"> Time!R$214</f>
        <v>1</v>
      </c>
      <c r="S51" s="189">
        <f xml:space="preserve"> Time!S$214</f>
        <v>1</v>
      </c>
      <c r="T51" s="189">
        <f xml:space="preserve"> Time!T$214</f>
        <v>1</v>
      </c>
      <c r="U51" s="189">
        <f xml:space="preserve"> Time!U$214</f>
        <v>1</v>
      </c>
      <c r="V51" s="189">
        <f xml:space="preserve"> Time!V$214</f>
        <v>1</v>
      </c>
      <c r="W51" s="189">
        <f xml:space="preserve"> Time!W$214</f>
        <v>1</v>
      </c>
      <c r="X51" s="189">
        <f xml:space="preserve"> Time!X$214</f>
        <v>1</v>
      </c>
      <c r="Y51" s="189">
        <f xml:space="preserve"> Time!Y$214</f>
        <v>1</v>
      </c>
      <c r="Z51" s="189">
        <f xml:space="preserve"> Time!Z$214</f>
        <v>1</v>
      </c>
      <c r="AA51" s="189">
        <f xml:space="preserve"> Time!AA$214</f>
        <v>1</v>
      </c>
      <c r="AB51" s="189">
        <f xml:space="preserve"> Time!AB$214</f>
        <v>1</v>
      </c>
      <c r="AC51" s="189">
        <f xml:space="preserve"> Time!AC$214</f>
        <v>1</v>
      </c>
      <c r="AD51" s="189">
        <f xml:space="preserve"> Time!AD$214</f>
        <v>1</v>
      </c>
      <c r="AE51" s="189">
        <f xml:space="preserve"> Time!AE$214</f>
        <v>1</v>
      </c>
      <c r="AF51" s="189">
        <f xml:space="preserve"> Time!AF$214</f>
        <v>1</v>
      </c>
      <c r="AG51" s="189">
        <f xml:space="preserve"> Time!AG$214</f>
        <v>1</v>
      </c>
      <c r="AH51" s="189">
        <f xml:space="preserve"> Time!AH$214</f>
        <v>1</v>
      </c>
      <c r="AI51" s="189">
        <f xml:space="preserve"> Time!AI$214</f>
        <v>1</v>
      </c>
      <c r="AJ51" s="189">
        <f xml:space="preserve"> Time!AJ$214</f>
        <v>1</v>
      </c>
      <c r="AK51" s="189">
        <f xml:space="preserve"> Time!AK$214</f>
        <v>1</v>
      </c>
      <c r="AL51" s="189">
        <f xml:space="preserve"> Time!AL$214</f>
        <v>1</v>
      </c>
      <c r="AM51" s="189">
        <f xml:space="preserve"> Time!AM$214</f>
        <v>1</v>
      </c>
      <c r="AN51" s="189">
        <f xml:space="preserve"> Time!AN$214</f>
        <v>1</v>
      </c>
      <c r="AO51" s="189">
        <f xml:space="preserve"> Time!AO$214</f>
        <v>1</v>
      </c>
      <c r="AP51" s="189">
        <f xml:space="preserve"> Time!AP$214</f>
        <v>1</v>
      </c>
      <c r="AQ51" s="189">
        <f xml:space="preserve"> Time!AQ$214</f>
        <v>1</v>
      </c>
      <c r="AR51" s="189">
        <f xml:space="preserve"> Time!AR$214</f>
        <v>1</v>
      </c>
      <c r="AS51" s="189">
        <f xml:space="preserve"> Time!AS$214</f>
        <v>1</v>
      </c>
      <c r="AT51" s="189">
        <f xml:space="preserve"> Time!AT$214</f>
        <v>1</v>
      </c>
      <c r="AU51" s="189">
        <f xml:space="preserve"> Time!AU$214</f>
        <v>1</v>
      </c>
      <c r="AV51" s="189">
        <f xml:space="preserve"> Time!AV$214</f>
        <v>1</v>
      </c>
      <c r="AW51" s="189">
        <f xml:space="preserve"> Time!AW$214</f>
        <v>0</v>
      </c>
      <c r="AX51" s="189">
        <f xml:space="preserve"> Time!AX$214</f>
        <v>0</v>
      </c>
      <c r="AY51" s="189">
        <f xml:space="preserve"> Time!AY$214</f>
        <v>0</v>
      </c>
      <c r="AZ51" s="189">
        <f xml:space="preserve"> Time!AZ$214</f>
        <v>0</v>
      </c>
      <c r="BA51" s="189">
        <f xml:space="preserve"> Time!BA$214</f>
        <v>0</v>
      </c>
      <c r="BB51" s="189">
        <f xml:space="preserve"> Time!BB$214</f>
        <v>0</v>
      </c>
      <c r="BC51" s="189">
        <f xml:space="preserve"> Time!BC$214</f>
        <v>0</v>
      </c>
      <c r="BD51" s="189">
        <f xml:space="preserve"> Time!BD$214</f>
        <v>0</v>
      </c>
      <c r="BE51" s="189">
        <f xml:space="preserve"> Time!BE$214</f>
        <v>0</v>
      </c>
      <c r="BF51" s="189">
        <f xml:space="preserve"> Time!BF$214</f>
        <v>0</v>
      </c>
      <c r="BG51" s="189">
        <f xml:space="preserve"> Time!BG$214</f>
        <v>0</v>
      </c>
      <c r="BH51" s="189">
        <f xml:space="preserve"> Time!BH$214</f>
        <v>0</v>
      </c>
      <c r="BI51" s="189">
        <f xml:space="preserve"> Time!BI$214</f>
        <v>0</v>
      </c>
      <c r="BJ51" s="189">
        <f xml:space="preserve"> Time!BJ$214</f>
        <v>0</v>
      </c>
      <c r="BK51" s="189">
        <f xml:space="preserve"> Time!BK$214</f>
        <v>0</v>
      </c>
      <c r="BL51" s="189">
        <f xml:space="preserve"> Time!BL$214</f>
        <v>0</v>
      </c>
      <c r="BM51" s="189">
        <f xml:space="preserve"> Time!BM$214</f>
        <v>0</v>
      </c>
      <c r="BN51" s="189">
        <f xml:space="preserve"> Time!BN$214</f>
        <v>0</v>
      </c>
      <c r="BO51" s="189">
        <f xml:space="preserve"> Time!BO$214</f>
        <v>0</v>
      </c>
      <c r="BP51" s="189">
        <f xml:space="preserve"> Time!BP$214</f>
        <v>0</v>
      </c>
      <c r="BQ51" s="189">
        <f xml:space="preserve"> Time!BQ$214</f>
        <v>0</v>
      </c>
      <c r="BR51" s="189">
        <f xml:space="preserve"> Time!BR$214</f>
        <v>0</v>
      </c>
      <c r="BS51" s="189">
        <f xml:space="preserve"> Time!BS$214</f>
        <v>0</v>
      </c>
      <c r="BT51" s="189">
        <f xml:space="preserve"> Time!BT$214</f>
        <v>0</v>
      </c>
      <c r="BU51" s="189">
        <f xml:space="preserve"> Time!BU$214</f>
        <v>0</v>
      </c>
      <c r="BV51" s="189">
        <f xml:space="preserve"> Time!BV$214</f>
        <v>0</v>
      </c>
      <c r="BW51" s="189">
        <f xml:space="preserve"> Time!BW$214</f>
        <v>0</v>
      </c>
      <c r="BX51" s="189">
        <f xml:space="preserve"> Time!BX$214</f>
        <v>0</v>
      </c>
      <c r="BY51" s="189">
        <f xml:space="preserve"> Time!BY$214</f>
        <v>0</v>
      </c>
      <c r="BZ51" s="189">
        <f xml:space="preserve"> Time!BZ$214</f>
        <v>0</v>
      </c>
      <c r="CA51" s="189">
        <f xml:space="preserve"> Time!CA$214</f>
        <v>0</v>
      </c>
      <c r="CB51" s="189">
        <f xml:space="preserve"> Time!CB$214</f>
        <v>0</v>
      </c>
      <c r="CC51" s="189">
        <f xml:space="preserve"> Time!CC$214</f>
        <v>0</v>
      </c>
      <c r="CD51" s="189">
        <f xml:space="preserve"> Time!CD$214</f>
        <v>0</v>
      </c>
      <c r="CE51" s="189">
        <f xml:space="preserve"> Time!CE$214</f>
        <v>0</v>
      </c>
      <c r="CF51" s="189">
        <f xml:space="preserve"> Time!CF$214</f>
        <v>0</v>
      </c>
      <c r="CG51" s="189">
        <f xml:space="preserve"> Time!CG$214</f>
        <v>0</v>
      </c>
      <c r="CH51" s="189">
        <f xml:space="preserve"> Time!CH$214</f>
        <v>0</v>
      </c>
      <c r="CI51" s="189">
        <f xml:space="preserve"> Time!CI$214</f>
        <v>0</v>
      </c>
      <c r="CJ51" s="189">
        <f xml:space="preserve"> Time!CJ$214</f>
        <v>0</v>
      </c>
      <c r="CK51" s="189">
        <f xml:space="preserve"> Time!CK$214</f>
        <v>0</v>
      </c>
      <c r="CL51" s="189">
        <f xml:space="preserve"> Time!CL$214</f>
        <v>0</v>
      </c>
      <c r="CM51" s="189">
        <f xml:space="preserve"> Time!CM$214</f>
        <v>0</v>
      </c>
      <c r="CN51" s="189">
        <f xml:space="preserve"> Time!CN$214</f>
        <v>0</v>
      </c>
      <c r="CO51" s="189">
        <f xml:space="preserve"> Time!CO$214</f>
        <v>0</v>
      </c>
      <c r="CP51" s="189">
        <f xml:space="preserve"> Time!CP$214</f>
        <v>0</v>
      </c>
      <c r="CQ51" s="189">
        <f xml:space="preserve"> Time!CQ$214</f>
        <v>0</v>
      </c>
      <c r="CR51" s="189">
        <f xml:space="preserve"> Time!CR$214</f>
        <v>0</v>
      </c>
      <c r="CS51" s="189">
        <f xml:space="preserve"> Time!CS$214</f>
        <v>0</v>
      </c>
      <c r="CT51" s="189">
        <f xml:space="preserve"> Time!CT$214</f>
        <v>0</v>
      </c>
      <c r="CU51" s="189">
        <f xml:space="preserve"> Time!CU$214</f>
        <v>0</v>
      </c>
      <c r="CV51" s="189">
        <f xml:space="preserve"> Time!CV$214</f>
        <v>0</v>
      </c>
    </row>
    <row r="52" spans="1:100" s="191" customFormat="1" ht="12.75" outlineLevel="2" x14ac:dyDescent="0.2">
      <c r="A52" s="429"/>
      <c r="B52" s="429"/>
      <c r="C52" s="430"/>
      <c r="D52" s="190"/>
      <c r="E52" s="192" t="s">
        <v>1138</v>
      </c>
      <c r="G52" s="191" t="str">
        <f xml:space="preserve"> SMU</f>
        <v>$ 000s</v>
      </c>
      <c r="H52" s="191">
        <f xml:space="preserve"> SUM(J52:CV52)</f>
        <v>250389.84250993346</v>
      </c>
      <c r="J52" s="191">
        <f t="shared" ref="J52:AO52" si="21" xml:space="preserve"> MAX(0, J48 - J49 - J50) * J51</f>
        <v>0</v>
      </c>
      <c r="K52" s="191">
        <f t="shared" si="21"/>
        <v>0</v>
      </c>
      <c r="L52" s="191">
        <f t="shared" si="21"/>
        <v>0</v>
      </c>
      <c r="M52" s="191">
        <f t="shared" si="21"/>
        <v>0</v>
      </c>
      <c r="N52" s="191">
        <f t="shared" si="21"/>
        <v>0</v>
      </c>
      <c r="O52" s="191">
        <f t="shared" si="21"/>
        <v>6991.6926667136795</v>
      </c>
      <c r="P52" s="191">
        <f t="shared" si="21"/>
        <v>5775.4111835814365</v>
      </c>
      <c r="Q52" s="191">
        <f t="shared" si="21"/>
        <v>5844.9237074696321</v>
      </c>
      <c r="R52" s="191">
        <f t="shared" si="21"/>
        <v>5953.2700883188845</v>
      </c>
      <c r="S52" s="191">
        <f t="shared" si="21"/>
        <v>6029.7045384690427</v>
      </c>
      <c r="T52" s="191">
        <f t="shared" si="21"/>
        <v>6138.2341870091841</v>
      </c>
      <c r="U52" s="191">
        <f t="shared" si="21"/>
        <v>6221.8631172353962</v>
      </c>
      <c r="V52" s="191">
        <f t="shared" si="21"/>
        <v>6320.0540133506911</v>
      </c>
      <c r="W52" s="191">
        <f t="shared" si="21"/>
        <v>6406.4371417930624</v>
      </c>
      <c r="X52" s="191">
        <f t="shared" si="21"/>
        <v>6530.1240714338437</v>
      </c>
      <c r="Y52" s="191">
        <f t="shared" si="21"/>
        <v>6436.6246734352353</v>
      </c>
      <c r="Z52" s="191">
        <f t="shared" si="21"/>
        <v>6551.1588479647589</v>
      </c>
      <c r="AA52" s="191">
        <f t="shared" si="21"/>
        <v>6657.4024109955481</v>
      </c>
      <c r="AB52" s="191">
        <f t="shared" si="21"/>
        <v>6772.506702289661</v>
      </c>
      <c r="AC52" s="191">
        <f t="shared" si="21"/>
        <v>6887.5744962745739</v>
      </c>
      <c r="AD52" s="191">
        <f t="shared" si="21"/>
        <v>6997.9555785075554</v>
      </c>
      <c r="AE52" s="191">
        <f t="shared" si="21"/>
        <v>7112.8956776068926</v>
      </c>
      <c r="AF52" s="191">
        <f t="shared" si="21"/>
        <v>7243.4991871246275</v>
      </c>
      <c r="AG52" s="191">
        <f t="shared" si="21"/>
        <v>7377.3354565275367</v>
      </c>
      <c r="AH52" s="191">
        <f t="shared" si="21"/>
        <v>7494.4717614238834</v>
      </c>
      <c r="AI52" s="191">
        <f t="shared" si="21"/>
        <v>7492.5599767364547</v>
      </c>
      <c r="AJ52" s="191">
        <f t="shared" si="21"/>
        <v>7619.1752493234653</v>
      </c>
      <c r="AK52" s="191">
        <f t="shared" si="21"/>
        <v>7777.9497925844225</v>
      </c>
      <c r="AL52" s="191">
        <f t="shared" si="21"/>
        <v>7907.107671430681</v>
      </c>
      <c r="AM52" s="191">
        <f t="shared" si="21"/>
        <v>8062.4820085052197</v>
      </c>
      <c r="AN52" s="191">
        <f t="shared" si="21"/>
        <v>8205.5235450505133</v>
      </c>
      <c r="AO52" s="191">
        <f t="shared" si="21"/>
        <v>8388.4431583174519</v>
      </c>
      <c r="AP52" s="191">
        <f t="shared" ref="AP52:BU52" si="22" xml:space="preserve"> MAX(0, AP48 - AP49 - AP50) * AP51</f>
        <v>8519.3302834244005</v>
      </c>
      <c r="AQ52" s="191">
        <f t="shared" si="22"/>
        <v>8715.1712853743629</v>
      </c>
      <c r="AR52" s="191">
        <f t="shared" si="22"/>
        <v>8847.6870079171385</v>
      </c>
      <c r="AS52" s="191">
        <f t="shared" si="22"/>
        <v>9057.0483380948517</v>
      </c>
      <c r="AT52" s="191">
        <f t="shared" si="22"/>
        <v>9185.1556984451508</v>
      </c>
      <c r="AU52" s="191">
        <f t="shared" si="22"/>
        <v>9368.3451841734677</v>
      </c>
      <c r="AV52" s="191">
        <f t="shared" si="22"/>
        <v>9500.7238030307599</v>
      </c>
      <c r="AW52" s="191">
        <f t="shared" si="22"/>
        <v>0</v>
      </c>
      <c r="AX52" s="191">
        <f t="shared" si="22"/>
        <v>0</v>
      </c>
      <c r="AY52" s="191">
        <f t="shared" si="22"/>
        <v>0</v>
      </c>
      <c r="AZ52" s="191">
        <f t="shared" si="22"/>
        <v>0</v>
      </c>
      <c r="BA52" s="191">
        <f t="shared" si="22"/>
        <v>0</v>
      </c>
      <c r="BB52" s="191">
        <f t="shared" si="22"/>
        <v>0</v>
      </c>
      <c r="BC52" s="191">
        <f t="shared" si="22"/>
        <v>0</v>
      </c>
      <c r="BD52" s="191">
        <f t="shared" si="22"/>
        <v>0</v>
      </c>
      <c r="BE52" s="191">
        <f t="shared" si="22"/>
        <v>0</v>
      </c>
      <c r="BF52" s="191">
        <f t="shared" si="22"/>
        <v>0</v>
      </c>
      <c r="BG52" s="191">
        <f t="shared" si="22"/>
        <v>0</v>
      </c>
      <c r="BH52" s="191">
        <f t="shared" si="22"/>
        <v>0</v>
      </c>
      <c r="BI52" s="191">
        <f t="shared" si="22"/>
        <v>0</v>
      </c>
      <c r="BJ52" s="191">
        <f t="shared" si="22"/>
        <v>0</v>
      </c>
      <c r="BK52" s="191">
        <f t="shared" si="22"/>
        <v>0</v>
      </c>
      <c r="BL52" s="191">
        <f t="shared" si="22"/>
        <v>0</v>
      </c>
      <c r="BM52" s="191">
        <f t="shared" si="22"/>
        <v>0</v>
      </c>
      <c r="BN52" s="191">
        <f t="shared" si="22"/>
        <v>0</v>
      </c>
      <c r="BO52" s="191">
        <f t="shared" si="22"/>
        <v>0</v>
      </c>
      <c r="BP52" s="191">
        <f t="shared" si="22"/>
        <v>0</v>
      </c>
      <c r="BQ52" s="191">
        <f t="shared" si="22"/>
        <v>0</v>
      </c>
      <c r="BR52" s="191">
        <f t="shared" si="22"/>
        <v>0</v>
      </c>
      <c r="BS52" s="191">
        <f t="shared" si="22"/>
        <v>0</v>
      </c>
      <c r="BT52" s="191">
        <f t="shared" si="22"/>
        <v>0</v>
      </c>
      <c r="BU52" s="191">
        <f t="shared" si="22"/>
        <v>0</v>
      </c>
      <c r="BV52" s="191">
        <f t="shared" ref="BV52:CV52" si="23" xml:space="preserve"> MAX(0, BV48 - BV49 - BV50) * BV51</f>
        <v>0</v>
      </c>
      <c r="BW52" s="191">
        <f t="shared" si="23"/>
        <v>0</v>
      </c>
      <c r="BX52" s="191">
        <f t="shared" si="23"/>
        <v>0</v>
      </c>
      <c r="BY52" s="191">
        <f t="shared" si="23"/>
        <v>0</v>
      </c>
      <c r="BZ52" s="191">
        <f t="shared" si="23"/>
        <v>0</v>
      </c>
      <c r="CA52" s="191">
        <f t="shared" si="23"/>
        <v>0</v>
      </c>
      <c r="CB52" s="191">
        <f t="shared" si="23"/>
        <v>0</v>
      </c>
      <c r="CC52" s="191">
        <f t="shared" si="23"/>
        <v>0</v>
      </c>
      <c r="CD52" s="191">
        <f t="shared" si="23"/>
        <v>0</v>
      </c>
      <c r="CE52" s="191">
        <f t="shared" si="23"/>
        <v>0</v>
      </c>
      <c r="CF52" s="191">
        <f t="shared" si="23"/>
        <v>0</v>
      </c>
      <c r="CG52" s="191">
        <f t="shared" si="23"/>
        <v>0</v>
      </c>
      <c r="CH52" s="191">
        <f t="shared" si="23"/>
        <v>0</v>
      </c>
      <c r="CI52" s="191">
        <f t="shared" si="23"/>
        <v>0</v>
      </c>
      <c r="CJ52" s="191">
        <f t="shared" si="23"/>
        <v>0</v>
      </c>
      <c r="CK52" s="191">
        <f t="shared" si="23"/>
        <v>0</v>
      </c>
      <c r="CL52" s="191">
        <f t="shared" si="23"/>
        <v>0</v>
      </c>
      <c r="CM52" s="191">
        <f t="shared" si="23"/>
        <v>0</v>
      </c>
      <c r="CN52" s="191">
        <f t="shared" si="23"/>
        <v>0</v>
      </c>
      <c r="CO52" s="191">
        <f t="shared" si="23"/>
        <v>0</v>
      </c>
      <c r="CP52" s="191">
        <f t="shared" si="23"/>
        <v>0</v>
      </c>
      <c r="CQ52" s="191">
        <f t="shared" si="23"/>
        <v>0</v>
      </c>
      <c r="CR52" s="191">
        <f t="shared" si="23"/>
        <v>0</v>
      </c>
      <c r="CS52" s="191">
        <f t="shared" si="23"/>
        <v>0</v>
      </c>
      <c r="CT52" s="191">
        <f t="shared" si="23"/>
        <v>0</v>
      </c>
      <c r="CU52" s="191">
        <f t="shared" si="23"/>
        <v>0</v>
      </c>
      <c r="CV52" s="191">
        <f t="shared" si="23"/>
        <v>0</v>
      </c>
    </row>
    <row r="53" spans="1:100" s="188" customFormat="1" ht="12.75" outlineLevel="2" x14ac:dyDescent="0.2">
      <c r="A53" s="141"/>
      <c r="B53" s="141"/>
      <c r="C53" s="142"/>
      <c r="D53" s="143"/>
      <c r="E53" s="187" t="s">
        <v>1139</v>
      </c>
      <c r="F53" s="144">
        <f xml:space="preserve"> SUM(J52:CV52)</f>
        <v>250389.84250993346</v>
      </c>
      <c r="G53" s="187" t="str">
        <f xml:space="preserve"> SMU</f>
        <v>$ 000s</v>
      </c>
      <c r="H53" s="187"/>
      <c r="I53" s="144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Q53" s="187"/>
      <c r="BR53" s="187"/>
      <c r="BS53" s="187"/>
      <c r="BT53" s="187"/>
      <c r="BU53" s="187"/>
      <c r="BV53" s="187"/>
      <c r="BW53" s="187"/>
      <c r="BX53" s="187"/>
      <c r="BY53" s="187"/>
      <c r="BZ53" s="187"/>
      <c r="CA53" s="187"/>
      <c r="CB53" s="187"/>
      <c r="CC53" s="187"/>
      <c r="CD53" s="187"/>
      <c r="CE53" s="187"/>
      <c r="CF53" s="187"/>
      <c r="CG53" s="187"/>
      <c r="CH53" s="187"/>
      <c r="CI53" s="187"/>
      <c r="CJ53" s="187"/>
      <c r="CK53" s="187"/>
      <c r="CL53" s="187"/>
      <c r="CM53" s="187"/>
      <c r="CN53" s="187"/>
      <c r="CO53" s="187"/>
      <c r="CP53" s="187"/>
      <c r="CQ53" s="187"/>
      <c r="CR53" s="187"/>
      <c r="CS53" s="187"/>
      <c r="CT53" s="187"/>
      <c r="CU53" s="187"/>
      <c r="CV53" s="187"/>
    </row>
    <row r="54" spans="1:100" s="188" customFormat="1" ht="12.75" outlineLevel="1" x14ac:dyDescent="0.2">
      <c r="A54" s="141"/>
      <c r="B54" s="141"/>
      <c r="C54" s="142"/>
      <c r="D54" s="143"/>
      <c r="E54" s="187"/>
      <c r="F54" s="187"/>
      <c r="G54" s="187"/>
      <c r="H54" s="187"/>
      <c r="I54" s="144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87"/>
      <c r="X54" s="187"/>
      <c r="Y54" s="187"/>
      <c r="Z54" s="187"/>
      <c r="AA54" s="187"/>
      <c r="AB54" s="187"/>
      <c r="AC54" s="187"/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187"/>
      <c r="BV54" s="187"/>
      <c r="BW54" s="187"/>
      <c r="BX54" s="187"/>
      <c r="BY54" s="187"/>
      <c r="BZ54" s="187"/>
      <c r="CA54" s="187"/>
      <c r="CB54" s="187"/>
      <c r="CC54" s="187"/>
      <c r="CD54" s="187"/>
      <c r="CE54" s="187"/>
      <c r="CF54" s="187"/>
      <c r="CG54" s="187"/>
      <c r="CH54" s="187"/>
      <c r="CI54" s="187"/>
      <c r="CJ54" s="187"/>
      <c r="CK54" s="187"/>
      <c r="CL54" s="187"/>
      <c r="CM54" s="187"/>
      <c r="CN54" s="187"/>
      <c r="CO54" s="187"/>
      <c r="CP54" s="187"/>
      <c r="CQ54" s="187"/>
      <c r="CR54" s="187"/>
      <c r="CS54" s="187"/>
      <c r="CT54" s="187"/>
      <c r="CU54" s="187"/>
      <c r="CV54" s="187"/>
    </row>
    <row r="55" spans="1:100" ht="12.75" outlineLevel="1" x14ac:dyDescent="0.2">
      <c r="B55" s="15" t="s">
        <v>887</v>
      </c>
    </row>
    <row r="56" spans="1:100" ht="12.75" outlineLevel="2" x14ac:dyDescent="0.2">
      <c r="E56" s="145" t="str">
        <f xml:space="preserve"> InpC!E$194</f>
        <v>Senior debt target gearing</v>
      </c>
      <c r="F56" s="316">
        <f xml:space="preserve"> InpC!F$194</f>
        <v>0.8</v>
      </c>
      <c r="G56" s="145" t="str">
        <f xml:space="preserve"> InpC!G$194</f>
        <v>%</v>
      </c>
      <c r="H56" s="38"/>
    </row>
    <row r="57" spans="1:100" ht="12.75" outlineLevel="2" x14ac:dyDescent="0.2">
      <c r="E57" s="145" t="str">
        <f xml:space="preserve"> ConFin!E$34</f>
        <v>Sum of project costs / funding requirement</v>
      </c>
      <c r="F57" s="145">
        <f xml:space="preserve"> ConFin!F$34</f>
        <v>348748.10907557519</v>
      </c>
      <c r="G57" s="145" t="str">
        <f xml:space="preserve"> ConFin!G$34</f>
        <v>$ 000s</v>
      </c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  <c r="AY57" s="145"/>
      <c r="AZ57" s="145"/>
      <c r="BA57" s="145"/>
      <c r="BB57" s="145"/>
      <c r="BC57" s="145"/>
      <c r="BD57" s="145"/>
      <c r="BE57" s="145"/>
      <c r="BF57" s="145"/>
      <c r="BG57" s="145"/>
      <c r="BH57" s="145"/>
      <c r="BI57" s="145"/>
      <c r="BJ57" s="145"/>
      <c r="BK57" s="145"/>
      <c r="BL57" s="145"/>
      <c r="BM57" s="145"/>
      <c r="BN57" s="145"/>
      <c r="BO57" s="145"/>
      <c r="BP57" s="145"/>
      <c r="BQ57" s="145"/>
      <c r="BR57" s="145"/>
      <c r="BS57" s="145"/>
      <c r="BT57" s="145"/>
      <c r="BU57" s="145"/>
      <c r="BV57" s="145"/>
      <c r="BW57" s="145"/>
      <c r="BX57" s="145"/>
      <c r="BY57" s="145"/>
      <c r="BZ57" s="145"/>
      <c r="CA57" s="145"/>
      <c r="CB57" s="145"/>
      <c r="CC57" s="145"/>
      <c r="CD57" s="145"/>
      <c r="CE57" s="145"/>
      <c r="CF57" s="145"/>
      <c r="CG57" s="145"/>
      <c r="CH57" s="145"/>
      <c r="CI57" s="145"/>
      <c r="CJ57" s="145"/>
      <c r="CK57" s="145"/>
      <c r="CL57" s="145"/>
      <c r="CM57" s="145"/>
      <c r="CN57" s="145"/>
      <c r="CO57" s="145"/>
      <c r="CP57" s="145"/>
      <c r="CQ57" s="145"/>
      <c r="CR57" s="145"/>
      <c r="CS57" s="145"/>
      <c r="CT57" s="145"/>
      <c r="CU57" s="145"/>
      <c r="CV57" s="145"/>
    </row>
    <row r="58" spans="1:100" ht="12.75" outlineLevel="2" x14ac:dyDescent="0.2">
      <c r="A58" s="236"/>
      <c r="B58" s="236"/>
      <c r="C58" s="237"/>
      <c r="D58" s="238"/>
      <c r="E58" s="281" t="s">
        <v>888</v>
      </c>
      <c r="F58" s="281">
        <f xml:space="preserve"> F56 * F57</f>
        <v>278998.48726046016</v>
      </c>
      <c r="G58" s="281" t="str">
        <f xml:space="preserve"> SMU</f>
        <v>$ 000s</v>
      </c>
      <c r="H58" s="281"/>
      <c r="I58" s="235"/>
      <c r="J58" s="234"/>
      <c r="K58" s="234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234"/>
      <c r="W58" s="234"/>
      <c r="X58" s="234"/>
      <c r="Y58" s="234"/>
      <c r="Z58" s="234"/>
      <c r="AA58" s="234"/>
      <c r="AB58" s="234"/>
      <c r="AC58" s="234"/>
      <c r="AD58" s="234"/>
      <c r="AE58" s="234"/>
      <c r="AF58" s="234"/>
      <c r="AG58" s="234"/>
      <c r="AH58" s="234"/>
      <c r="AI58" s="234"/>
      <c r="AJ58" s="234"/>
      <c r="AK58" s="234"/>
      <c r="AL58" s="234"/>
      <c r="AM58" s="234"/>
      <c r="AN58" s="234"/>
      <c r="AO58" s="234"/>
      <c r="AP58" s="234"/>
      <c r="AQ58" s="234"/>
      <c r="AR58" s="234"/>
      <c r="AS58" s="234"/>
      <c r="AT58" s="234"/>
      <c r="AU58" s="234"/>
      <c r="AV58" s="234"/>
      <c r="AW58" s="234"/>
      <c r="AX58" s="234"/>
      <c r="AY58" s="234"/>
      <c r="AZ58" s="234"/>
      <c r="BA58" s="234"/>
      <c r="BB58" s="234"/>
      <c r="BC58" s="234"/>
      <c r="BD58" s="234"/>
      <c r="BE58" s="234"/>
      <c r="BF58" s="234"/>
      <c r="BG58" s="234"/>
      <c r="BH58" s="234"/>
      <c r="BI58" s="234"/>
      <c r="BJ58" s="234"/>
      <c r="BK58" s="234"/>
      <c r="BL58" s="234"/>
      <c r="BM58" s="234"/>
      <c r="BN58" s="234"/>
      <c r="BO58" s="234"/>
      <c r="BP58" s="234"/>
      <c r="BQ58" s="234"/>
      <c r="BR58" s="234"/>
      <c r="BS58" s="234"/>
      <c r="BT58" s="234"/>
      <c r="BU58" s="234"/>
      <c r="BV58" s="234"/>
      <c r="BW58" s="234"/>
      <c r="BX58" s="234"/>
      <c r="BY58" s="234"/>
      <c r="BZ58" s="234"/>
      <c r="CA58" s="234"/>
      <c r="CB58" s="234"/>
      <c r="CC58" s="234"/>
      <c r="CD58" s="234"/>
      <c r="CE58" s="234"/>
      <c r="CF58" s="234"/>
      <c r="CG58" s="234"/>
      <c r="CH58" s="234"/>
      <c r="CI58" s="234"/>
      <c r="CJ58" s="234"/>
      <c r="CK58" s="234"/>
      <c r="CL58" s="234"/>
      <c r="CM58" s="234"/>
      <c r="CN58" s="234"/>
      <c r="CO58" s="234"/>
      <c r="CP58" s="234"/>
      <c r="CQ58" s="234"/>
      <c r="CR58" s="234"/>
      <c r="CS58" s="234"/>
      <c r="CT58" s="234"/>
      <c r="CU58" s="234"/>
      <c r="CV58" s="234"/>
    </row>
    <row r="59" spans="1:100" ht="12.75" outlineLevel="2" x14ac:dyDescent="0.2">
      <c r="A59" s="236"/>
      <c r="B59" s="236"/>
      <c r="C59" s="237"/>
      <c r="D59" s="238"/>
      <c r="E59" s="281"/>
      <c r="F59" s="281"/>
      <c r="G59" s="281"/>
      <c r="H59" s="281"/>
      <c r="I59" s="235"/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4"/>
      <c r="V59" s="234"/>
      <c r="W59" s="234"/>
      <c r="X59" s="234"/>
      <c r="Y59" s="234"/>
      <c r="Z59" s="234"/>
      <c r="AA59" s="234"/>
      <c r="AB59" s="234"/>
      <c r="AC59" s="234"/>
      <c r="AD59" s="234"/>
      <c r="AE59" s="234"/>
      <c r="AF59" s="234"/>
      <c r="AG59" s="234"/>
      <c r="AH59" s="234"/>
      <c r="AI59" s="234"/>
      <c r="AJ59" s="234"/>
      <c r="AK59" s="234"/>
      <c r="AL59" s="234"/>
      <c r="AM59" s="234"/>
      <c r="AN59" s="234"/>
      <c r="AO59" s="234"/>
      <c r="AP59" s="234"/>
      <c r="AQ59" s="234"/>
      <c r="AR59" s="234"/>
      <c r="AS59" s="234"/>
      <c r="AT59" s="234"/>
      <c r="AU59" s="234"/>
      <c r="AV59" s="234"/>
      <c r="AW59" s="234"/>
      <c r="AX59" s="234"/>
      <c r="AY59" s="234"/>
      <c r="AZ59" s="234"/>
      <c r="BA59" s="234"/>
      <c r="BB59" s="234"/>
      <c r="BC59" s="234"/>
      <c r="BD59" s="234"/>
      <c r="BE59" s="234"/>
      <c r="BF59" s="234"/>
      <c r="BG59" s="234"/>
      <c r="BH59" s="234"/>
      <c r="BI59" s="234"/>
      <c r="BJ59" s="234"/>
      <c r="BK59" s="234"/>
      <c r="BL59" s="234"/>
      <c r="BM59" s="234"/>
      <c r="BN59" s="234"/>
      <c r="BO59" s="234"/>
      <c r="BP59" s="234"/>
      <c r="BQ59" s="234"/>
      <c r="BR59" s="234"/>
      <c r="BS59" s="234"/>
      <c r="BT59" s="234"/>
      <c r="BU59" s="234"/>
      <c r="BV59" s="234"/>
      <c r="BW59" s="234"/>
      <c r="BX59" s="234"/>
      <c r="BY59" s="234"/>
      <c r="BZ59" s="234"/>
      <c r="CA59" s="234"/>
      <c r="CB59" s="234"/>
      <c r="CC59" s="234"/>
      <c r="CD59" s="234"/>
      <c r="CE59" s="234"/>
      <c r="CF59" s="234"/>
      <c r="CG59" s="234"/>
      <c r="CH59" s="234"/>
      <c r="CI59" s="234"/>
      <c r="CJ59" s="234"/>
      <c r="CK59" s="234"/>
      <c r="CL59" s="234"/>
      <c r="CM59" s="234"/>
      <c r="CN59" s="234"/>
      <c r="CO59" s="234"/>
      <c r="CP59" s="234"/>
      <c r="CQ59" s="234"/>
      <c r="CR59" s="234"/>
      <c r="CS59" s="234"/>
      <c r="CT59" s="234"/>
      <c r="CU59" s="234"/>
      <c r="CV59" s="234"/>
    </row>
    <row r="60" spans="1:100" ht="12.75" outlineLevel="2" x14ac:dyDescent="0.2">
      <c r="A60" s="236"/>
      <c r="B60" s="236"/>
      <c r="C60" s="237"/>
      <c r="D60" s="238"/>
      <c r="E60" s="145" t="str">
        <f xml:space="preserve"> InpC!E$196</f>
        <v>Senior debt sizing method</v>
      </c>
      <c r="F60" s="145">
        <f xml:space="preserve"> InpC!F$196</f>
        <v>2</v>
      </c>
      <c r="G60" s="145" t="str">
        <f xml:space="preserve"> InpC!G$196</f>
        <v>1 = leverage, 2 = DSCR</v>
      </c>
      <c r="H60" s="281"/>
      <c r="I60" s="235"/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  <c r="U60" s="234"/>
      <c r="V60" s="234"/>
      <c r="W60" s="234"/>
      <c r="X60" s="234"/>
      <c r="Y60" s="234"/>
      <c r="Z60" s="234"/>
      <c r="AA60" s="234"/>
      <c r="AB60" s="234"/>
      <c r="AC60" s="234"/>
      <c r="AD60" s="234"/>
      <c r="AE60" s="234"/>
      <c r="AF60" s="234"/>
      <c r="AG60" s="234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  <c r="AV60" s="234"/>
      <c r="AW60" s="234"/>
      <c r="AX60" s="234"/>
      <c r="AY60" s="234"/>
      <c r="AZ60" s="234"/>
      <c r="BA60" s="234"/>
      <c r="BB60" s="234"/>
      <c r="BC60" s="234"/>
      <c r="BD60" s="234"/>
      <c r="BE60" s="234"/>
      <c r="BF60" s="234"/>
      <c r="BG60" s="234"/>
      <c r="BH60" s="234"/>
      <c r="BI60" s="234"/>
      <c r="BJ60" s="234"/>
      <c r="BK60" s="234"/>
      <c r="BL60" s="234"/>
      <c r="BM60" s="234"/>
      <c r="BN60" s="234"/>
      <c r="BO60" s="234"/>
      <c r="BP60" s="234"/>
      <c r="BQ60" s="234"/>
      <c r="BR60" s="234"/>
      <c r="BS60" s="234"/>
      <c r="BT60" s="234"/>
      <c r="BU60" s="234"/>
      <c r="BV60" s="234"/>
      <c r="BW60" s="234"/>
      <c r="BX60" s="234"/>
      <c r="BY60" s="234"/>
      <c r="BZ60" s="234"/>
      <c r="CA60" s="234"/>
      <c r="CB60" s="234"/>
      <c r="CC60" s="234"/>
      <c r="CD60" s="234"/>
      <c r="CE60" s="234"/>
      <c r="CF60" s="234"/>
      <c r="CG60" s="234"/>
      <c r="CH60" s="234"/>
      <c r="CI60" s="234"/>
      <c r="CJ60" s="234"/>
      <c r="CK60" s="234"/>
      <c r="CL60" s="234"/>
      <c r="CM60" s="234"/>
      <c r="CN60" s="234"/>
      <c r="CO60" s="234"/>
      <c r="CP60" s="234"/>
      <c r="CQ60" s="234"/>
      <c r="CR60" s="234"/>
      <c r="CS60" s="234"/>
      <c r="CT60" s="234"/>
      <c r="CU60" s="234"/>
      <c r="CV60" s="234"/>
    </row>
    <row r="61" spans="1:100" ht="12.75" outlineLevel="2" x14ac:dyDescent="0.2">
      <c r="A61" s="236"/>
      <c r="B61" s="236"/>
      <c r="C61" s="237"/>
      <c r="D61" s="238"/>
      <c r="E61" s="38" t="str">
        <f xml:space="preserve"> E$58</f>
        <v>Senior debt drawdown - leverage method</v>
      </c>
      <c r="F61" s="38">
        <f xml:space="preserve"> F$58</f>
        <v>278998.48726046016</v>
      </c>
      <c r="G61" s="38" t="str">
        <f xml:space="preserve"> G$58</f>
        <v>$ 000s</v>
      </c>
      <c r="H61" s="281"/>
      <c r="I61" s="235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  <c r="AV61" s="234"/>
      <c r="AW61" s="234"/>
      <c r="AX61" s="234"/>
      <c r="AY61" s="234"/>
      <c r="AZ61" s="234"/>
      <c r="BA61" s="234"/>
      <c r="BB61" s="234"/>
      <c r="BC61" s="234"/>
      <c r="BD61" s="234"/>
      <c r="BE61" s="234"/>
      <c r="BF61" s="234"/>
      <c r="BG61" s="234"/>
      <c r="BH61" s="234"/>
      <c r="BI61" s="234"/>
      <c r="BJ61" s="234"/>
      <c r="BK61" s="234"/>
      <c r="BL61" s="234"/>
      <c r="BM61" s="234"/>
      <c r="BN61" s="234"/>
      <c r="BO61" s="234"/>
      <c r="BP61" s="234"/>
      <c r="BQ61" s="234"/>
      <c r="BR61" s="234"/>
      <c r="BS61" s="234"/>
      <c r="BT61" s="234"/>
      <c r="BU61" s="234"/>
      <c r="BV61" s="234"/>
      <c r="BW61" s="234"/>
      <c r="BX61" s="234"/>
      <c r="BY61" s="234"/>
      <c r="BZ61" s="234"/>
      <c r="CA61" s="234"/>
      <c r="CB61" s="234"/>
      <c r="CC61" s="234"/>
      <c r="CD61" s="234"/>
      <c r="CE61" s="234"/>
      <c r="CF61" s="234"/>
      <c r="CG61" s="234"/>
      <c r="CH61" s="234"/>
      <c r="CI61" s="234"/>
      <c r="CJ61" s="234"/>
      <c r="CK61" s="234"/>
      <c r="CL61" s="234"/>
      <c r="CM61" s="234"/>
      <c r="CN61" s="234"/>
      <c r="CO61" s="234"/>
      <c r="CP61" s="234"/>
      <c r="CQ61" s="234"/>
      <c r="CR61" s="234"/>
      <c r="CS61" s="234"/>
      <c r="CT61" s="234"/>
      <c r="CU61" s="234"/>
      <c r="CV61" s="234"/>
    </row>
    <row r="62" spans="1:100" ht="12.75" outlineLevel="2" x14ac:dyDescent="0.2">
      <c r="A62" s="236"/>
      <c r="B62" s="236"/>
      <c r="C62" s="237"/>
      <c r="D62" s="238"/>
      <c r="E62" s="390" t="str">
        <f xml:space="preserve"> Solve!E$51</f>
        <v>Debt capacity at target DSCR - Paste</v>
      </c>
      <c r="F62" s="390">
        <f xml:space="preserve"> Solve!F$51</f>
        <v>250389.85226030689</v>
      </c>
      <c r="G62" s="390" t="str">
        <f xml:space="preserve"> Solve!G$51</f>
        <v>$ 000s</v>
      </c>
      <c r="H62" s="281"/>
      <c r="I62" s="235"/>
      <c r="J62" s="234"/>
      <c r="K62" s="234"/>
      <c r="L62" s="234"/>
      <c r="M62" s="234"/>
      <c r="N62" s="234"/>
      <c r="O62" s="234"/>
      <c r="P62" s="234"/>
      <c r="Q62" s="234"/>
      <c r="R62" s="234"/>
      <c r="S62" s="234"/>
      <c r="T62" s="234"/>
      <c r="U62" s="234"/>
      <c r="V62" s="234"/>
      <c r="W62" s="234"/>
      <c r="X62" s="234"/>
      <c r="Y62" s="234"/>
      <c r="Z62" s="234"/>
      <c r="AA62" s="234"/>
      <c r="AB62" s="234"/>
      <c r="AC62" s="234"/>
      <c r="AD62" s="234"/>
      <c r="AE62" s="234"/>
      <c r="AF62" s="234"/>
      <c r="AG62" s="234"/>
      <c r="AH62" s="234"/>
      <c r="AI62" s="234"/>
      <c r="AJ62" s="234"/>
      <c r="AK62" s="234"/>
      <c r="AL62" s="234"/>
      <c r="AM62" s="234"/>
      <c r="AN62" s="234"/>
      <c r="AO62" s="234"/>
      <c r="AP62" s="234"/>
      <c r="AQ62" s="234"/>
      <c r="AR62" s="234"/>
      <c r="AS62" s="234"/>
      <c r="AT62" s="234"/>
      <c r="AU62" s="234"/>
      <c r="AV62" s="234"/>
      <c r="AW62" s="234"/>
      <c r="AX62" s="234"/>
      <c r="AY62" s="234"/>
      <c r="AZ62" s="234"/>
      <c r="BA62" s="234"/>
      <c r="BB62" s="234"/>
      <c r="BC62" s="234"/>
      <c r="BD62" s="234"/>
      <c r="BE62" s="234"/>
      <c r="BF62" s="234"/>
      <c r="BG62" s="234"/>
      <c r="BH62" s="234"/>
      <c r="BI62" s="234"/>
      <c r="BJ62" s="234"/>
      <c r="BK62" s="234"/>
      <c r="BL62" s="234"/>
      <c r="BM62" s="234"/>
      <c r="BN62" s="234"/>
      <c r="BO62" s="234"/>
      <c r="BP62" s="234"/>
      <c r="BQ62" s="234"/>
      <c r="BR62" s="234"/>
      <c r="BS62" s="234"/>
      <c r="BT62" s="234"/>
      <c r="BU62" s="234"/>
      <c r="BV62" s="234"/>
      <c r="BW62" s="234"/>
      <c r="BX62" s="234"/>
      <c r="BY62" s="234"/>
      <c r="BZ62" s="234"/>
      <c r="CA62" s="234"/>
      <c r="CB62" s="234"/>
      <c r="CC62" s="234"/>
      <c r="CD62" s="234"/>
      <c r="CE62" s="234"/>
      <c r="CF62" s="234"/>
      <c r="CG62" s="234"/>
      <c r="CH62" s="234"/>
      <c r="CI62" s="234"/>
      <c r="CJ62" s="234"/>
      <c r="CK62" s="234"/>
      <c r="CL62" s="234"/>
      <c r="CM62" s="234"/>
      <c r="CN62" s="234"/>
      <c r="CO62" s="234"/>
      <c r="CP62" s="234"/>
      <c r="CQ62" s="234"/>
      <c r="CR62" s="234"/>
      <c r="CS62" s="234"/>
      <c r="CT62" s="234"/>
      <c r="CU62" s="234"/>
      <c r="CV62" s="234"/>
    </row>
    <row r="63" spans="1:100" s="188" customFormat="1" ht="12.75" outlineLevel="2" x14ac:dyDescent="0.2">
      <c r="A63" s="141"/>
      <c r="B63" s="141"/>
      <c r="C63" s="142"/>
      <c r="D63" s="143"/>
      <c r="E63" s="401" t="s">
        <v>889</v>
      </c>
      <c r="F63" s="401" cm="1">
        <f t="array" ref="F63" xml:space="preserve"> INDEX(F61:F62, F60)</f>
        <v>250389.85226030689</v>
      </c>
      <c r="G63" s="401" t="str">
        <f xml:space="preserve"> SMU</f>
        <v>$ 000s</v>
      </c>
      <c r="H63" s="401"/>
      <c r="I63" s="144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X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187"/>
      <c r="BQ63" s="187"/>
      <c r="BR63" s="187"/>
      <c r="BS63" s="187"/>
      <c r="BT63" s="187"/>
      <c r="BU63" s="187"/>
      <c r="BV63" s="187"/>
      <c r="BW63" s="187"/>
      <c r="BX63" s="187"/>
      <c r="BY63" s="187"/>
      <c r="BZ63" s="187"/>
      <c r="CA63" s="187"/>
      <c r="CB63" s="187"/>
      <c r="CC63" s="187"/>
      <c r="CD63" s="187"/>
      <c r="CE63" s="187"/>
      <c r="CF63" s="187"/>
      <c r="CG63" s="187"/>
      <c r="CH63" s="187"/>
      <c r="CI63" s="187"/>
      <c r="CJ63" s="187"/>
      <c r="CK63" s="187"/>
      <c r="CL63" s="187"/>
      <c r="CM63" s="187"/>
      <c r="CN63" s="187"/>
      <c r="CO63" s="187"/>
      <c r="CP63" s="187"/>
      <c r="CQ63" s="187"/>
      <c r="CR63" s="187"/>
      <c r="CS63" s="187"/>
      <c r="CT63" s="187"/>
      <c r="CU63" s="187"/>
      <c r="CV63" s="187"/>
    </row>
    <row r="64" spans="1:100" ht="12.75" outlineLevel="2" x14ac:dyDescent="0.2">
      <c r="A64" s="236"/>
      <c r="B64" s="236"/>
      <c r="C64" s="237"/>
      <c r="D64" s="238"/>
      <c r="E64" s="281"/>
      <c r="F64" s="281"/>
      <c r="G64" s="281"/>
      <c r="H64" s="281" t="s">
        <v>189</v>
      </c>
      <c r="I64" s="235"/>
      <c r="J64" s="234"/>
      <c r="K64" s="234"/>
      <c r="L64" s="234"/>
      <c r="M64" s="234"/>
      <c r="N64" s="234"/>
      <c r="O64" s="234"/>
      <c r="P64" s="234"/>
      <c r="Q64" s="234"/>
      <c r="R64" s="234"/>
      <c r="S64" s="234"/>
      <c r="T64" s="234"/>
      <c r="U64" s="234"/>
      <c r="V64" s="234"/>
      <c r="W64" s="234"/>
      <c r="X64" s="234"/>
      <c r="Y64" s="234"/>
      <c r="Z64" s="234"/>
      <c r="AA64" s="234"/>
      <c r="AB64" s="234"/>
      <c r="AC64" s="234"/>
      <c r="AD64" s="234"/>
      <c r="AE64" s="234"/>
      <c r="AF64" s="234"/>
      <c r="AG64" s="234"/>
      <c r="AH64" s="234"/>
      <c r="AI64" s="234"/>
      <c r="AJ64" s="234"/>
      <c r="AK64" s="234"/>
      <c r="AL64" s="234"/>
      <c r="AM64" s="234"/>
      <c r="AN64" s="234"/>
      <c r="AO64" s="234"/>
      <c r="AP64" s="234"/>
      <c r="AQ64" s="234"/>
      <c r="AR64" s="234"/>
      <c r="AS64" s="234"/>
      <c r="AT64" s="234"/>
      <c r="AU64" s="234"/>
      <c r="AV64" s="234"/>
      <c r="AW64" s="234"/>
      <c r="AX64" s="234"/>
      <c r="AY64" s="234"/>
      <c r="AZ64" s="234"/>
      <c r="BA64" s="234"/>
      <c r="BB64" s="234"/>
      <c r="BC64" s="234"/>
      <c r="BD64" s="234"/>
      <c r="BE64" s="234"/>
      <c r="BF64" s="234"/>
      <c r="BG64" s="234"/>
      <c r="BH64" s="234"/>
      <c r="BI64" s="234"/>
      <c r="BJ64" s="234"/>
      <c r="BK64" s="234"/>
      <c r="BL64" s="234"/>
      <c r="BM64" s="234"/>
      <c r="BN64" s="234"/>
      <c r="BO64" s="234"/>
      <c r="BP64" s="234"/>
      <c r="BQ64" s="234"/>
      <c r="BR64" s="234"/>
      <c r="BS64" s="234"/>
      <c r="BT64" s="234"/>
      <c r="BU64" s="234"/>
      <c r="BV64" s="234"/>
      <c r="BW64" s="234"/>
      <c r="BX64" s="234"/>
      <c r="BY64" s="234"/>
      <c r="BZ64" s="234"/>
      <c r="CA64" s="234"/>
      <c r="CB64" s="234"/>
      <c r="CC64" s="234"/>
      <c r="CD64" s="234"/>
      <c r="CE64" s="234"/>
      <c r="CF64" s="234"/>
      <c r="CG64" s="234"/>
      <c r="CH64" s="234"/>
      <c r="CI64" s="234"/>
      <c r="CJ64" s="234"/>
      <c r="CK64" s="234"/>
      <c r="CL64" s="234"/>
      <c r="CM64" s="234"/>
      <c r="CN64" s="234"/>
      <c r="CO64" s="234"/>
      <c r="CP64" s="234"/>
      <c r="CQ64" s="234"/>
      <c r="CR64" s="234"/>
      <c r="CS64" s="234"/>
      <c r="CT64" s="234"/>
      <c r="CU64" s="234"/>
      <c r="CV64" s="234"/>
    </row>
    <row r="65" spans="1:100" ht="12.75" outlineLevel="2" x14ac:dyDescent="0.2">
      <c r="E65" s="145" t="str">
        <f xml:space="preserve"> ConFin!E$34</f>
        <v>Sum of project costs / funding requirement</v>
      </c>
      <c r="F65" s="145">
        <f xml:space="preserve"> ConFin!F$34</f>
        <v>348748.10907557519</v>
      </c>
      <c r="G65" s="145" t="str">
        <f xml:space="preserve"> ConFin!G$34</f>
        <v>$ 000s</v>
      </c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  <c r="AH65" s="145"/>
      <c r="AI65" s="145"/>
      <c r="AJ65" s="145"/>
      <c r="AK65" s="145"/>
      <c r="AL65" s="145"/>
      <c r="AM65" s="145"/>
      <c r="AN65" s="145"/>
      <c r="AO65" s="145"/>
      <c r="AP65" s="145"/>
      <c r="AQ65" s="145"/>
      <c r="AR65" s="145"/>
      <c r="AS65" s="145"/>
      <c r="AT65" s="145"/>
      <c r="AU65" s="145"/>
      <c r="AV65" s="145"/>
      <c r="AW65" s="145"/>
      <c r="AX65" s="145"/>
      <c r="AY65" s="145"/>
      <c r="AZ65" s="145"/>
      <c r="BA65" s="145"/>
      <c r="BB65" s="145"/>
      <c r="BC65" s="145"/>
      <c r="BD65" s="145"/>
      <c r="BE65" s="145"/>
      <c r="BF65" s="145"/>
      <c r="BG65" s="145"/>
      <c r="BH65" s="145"/>
      <c r="BI65" s="145"/>
      <c r="BJ65" s="145"/>
      <c r="BK65" s="145"/>
      <c r="BL65" s="145"/>
      <c r="BM65" s="145"/>
      <c r="BN65" s="145"/>
      <c r="BO65" s="145"/>
      <c r="BP65" s="145"/>
      <c r="BQ65" s="145"/>
      <c r="BR65" s="145"/>
      <c r="BS65" s="145"/>
      <c r="BT65" s="145"/>
      <c r="BU65" s="145"/>
      <c r="BV65" s="145"/>
      <c r="BW65" s="145"/>
      <c r="BX65" s="145"/>
      <c r="BY65" s="145"/>
      <c r="BZ65" s="145"/>
      <c r="CA65" s="145"/>
      <c r="CB65" s="145"/>
      <c r="CC65" s="145"/>
      <c r="CD65" s="145"/>
      <c r="CE65" s="145"/>
      <c r="CF65" s="145"/>
      <c r="CG65" s="145"/>
      <c r="CH65" s="145"/>
      <c r="CI65" s="145"/>
      <c r="CJ65" s="145"/>
      <c r="CK65" s="145"/>
      <c r="CL65" s="145"/>
      <c r="CM65" s="145"/>
      <c r="CN65" s="145"/>
      <c r="CO65" s="145"/>
      <c r="CP65" s="145"/>
      <c r="CQ65" s="145"/>
      <c r="CR65" s="145"/>
      <c r="CS65" s="145"/>
      <c r="CT65" s="145"/>
      <c r="CU65" s="145"/>
      <c r="CV65" s="145"/>
    </row>
    <row r="66" spans="1:100" ht="12.75" outlineLevel="2" x14ac:dyDescent="0.2">
      <c r="A66" s="236"/>
      <c r="B66" s="236"/>
      <c r="C66" s="237"/>
      <c r="D66" s="238"/>
      <c r="E66" s="145" t="str">
        <f xml:space="preserve"> Solve!E$51</f>
        <v>Debt capacity at target DSCR - Paste</v>
      </c>
      <c r="F66" s="145">
        <f xml:space="preserve"> Solve!F$51</f>
        <v>250389.85226030689</v>
      </c>
      <c r="G66" s="145" t="str">
        <f xml:space="preserve"> Solve!G$51</f>
        <v>$ 000s</v>
      </c>
      <c r="H66" s="281"/>
      <c r="I66" s="235"/>
      <c r="J66" s="234"/>
      <c r="K66" s="234"/>
      <c r="L66" s="234"/>
      <c r="M66" s="234"/>
      <c r="N66" s="234"/>
      <c r="O66" s="234"/>
      <c r="P66" s="234"/>
      <c r="Q66" s="234"/>
      <c r="R66" s="234"/>
      <c r="S66" s="234"/>
      <c r="T66" s="234"/>
      <c r="U66" s="234"/>
      <c r="V66" s="234"/>
      <c r="W66" s="234"/>
      <c r="X66" s="234"/>
      <c r="Y66" s="234"/>
      <c r="Z66" s="234"/>
      <c r="AA66" s="234"/>
      <c r="AB66" s="234"/>
      <c r="AC66" s="234"/>
      <c r="AD66" s="234"/>
      <c r="AE66" s="234"/>
      <c r="AF66" s="234"/>
      <c r="AG66" s="234"/>
      <c r="AH66" s="234"/>
      <c r="AI66" s="234"/>
      <c r="AJ66" s="234"/>
      <c r="AK66" s="234"/>
      <c r="AL66" s="234"/>
      <c r="AM66" s="234"/>
      <c r="AN66" s="234"/>
      <c r="AO66" s="234"/>
      <c r="AP66" s="234"/>
      <c r="AQ66" s="234"/>
      <c r="AR66" s="234"/>
      <c r="AS66" s="234"/>
      <c r="AT66" s="234"/>
      <c r="AU66" s="234"/>
      <c r="AV66" s="234"/>
      <c r="AW66" s="234"/>
      <c r="AX66" s="234"/>
      <c r="AY66" s="234"/>
      <c r="AZ66" s="234"/>
      <c r="BA66" s="234"/>
      <c r="BB66" s="234"/>
      <c r="BC66" s="234"/>
      <c r="BD66" s="234"/>
      <c r="BE66" s="234"/>
      <c r="BF66" s="234"/>
      <c r="BG66" s="234"/>
      <c r="BH66" s="234"/>
      <c r="BI66" s="234"/>
      <c r="BJ66" s="234"/>
      <c r="BK66" s="234"/>
      <c r="BL66" s="234"/>
      <c r="BM66" s="234"/>
      <c r="BN66" s="234"/>
      <c r="BO66" s="234"/>
      <c r="BP66" s="234"/>
      <c r="BQ66" s="234"/>
      <c r="BR66" s="234"/>
      <c r="BS66" s="234"/>
      <c r="BT66" s="234"/>
      <c r="BU66" s="234"/>
      <c r="BV66" s="234"/>
      <c r="BW66" s="234"/>
      <c r="BX66" s="234"/>
      <c r="BY66" s="234"/>
      <c r="BZ66" s="234"/>
      <c r="CA66" s="234"/>
      <c r="CB66" s="234"/>
      <c r="CC66" s="234"/>
      <c r="CD66" s="234"/>
      <c r="CE66" s="234"/>
      <c r="CF66" s="234"/>
      <c r="CG66" s="234"/>
      <c r="CH66" s="234"/>
      <c r="CI66" s="234"/>
      <c r="CJ66" s="234"/>
      <c r="CK66" s="234"/>
      <c r="CL66" s="234"/>
      <c r="CM66" s="234"/>
      <c r="CN66" s="234"/>
      <c r="CO66" s="234"/>
      <c r="CP66" s="234"/>
      <c r="CQ66" s="234"/>
      <c r="CR66" s="234"/>
      <c r="CS66" s="234"/>
      <c r="CT66" s="234"/>
      <c r="CU66" s="234"/>
      <c r="CV66" s="234"/>
    </row>
    <row r="67" spans="1:100" ht="12.75" outlineLevel="2" x14ac:dyDescent="0.2">
      <c r="E67" s="187" t="s">
        <v>330</v>
      </c>
      <c r="F67" s="616">
        <f xml:space="preserve"> F66 / F65</f>
        <v>0.71796762690416871</v>
      </c>
      <c r="G67" s="187" t="s">
        <v>103</v>
      </c>
    </row>
    <row r="68" spans="1:100" ht="12.75" outlineLevel="1" x14ac:dyDescent="0.2"/>
    <row r="69" spans="1:100" ht="12.75" outlineLevel="1" x14ac:dyDescent="0.2">
      <c r="A69" s="236"/>
      <c r="B69" s="236" t="s">
        <v>969</v>
      </c>
      <c r="C69" s="237"/>
      <c r="D69" s="238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10"/>
      <c r="Y69" s="310"/>
      <c r="Z69" s="310"/>
      <c r="AA69" s="310"/>
      <c r="AB69" s="310"/>
      <c r="AC69" s="310"/>
      <c r="AD69" s="310"/>
      <c r="AE69" s="310"/>
      <c r="AF69" s="310"/>
      <c r="AG69" s="310"/>
      <c r="AH69" s="310"/>
      <c r="AI69" s="310"/>
      <c r="AJ69" s="310"/>
      <c r="AK69" s="310"/>
      <c r="AL69" s="310"/>
      <c r="AM69" s="310"/>
      <c r="AN69" s="310"/>
      <c r="AO69" s="310"/>
      <c r="AP69" s="310"/>
      <c r="AQ69" s="310"/>
      <c r="AR69" s="310"/>
      <c r="AS69" s="310"/>
      <c r="AT69" s="310"/>
      <c r="AU69" s="310"/>
      <c r="AV69" s="310"/>
      <c r="AW69" s="310"/>
      <c r="AX69" s="310"/>
      <c r="AY69" s="310"/>
      <c r="AZ69" s="310"/>
      <c r="BA69" s="310"/>
      <c r="BB69" s="310"/>
      <c r="BC69" s="310"/>
      <c r="BD69" s="310"/>
      <c r="BE69" s="310"/>
      <c r="BF69" s="310"/>
      <c r="BG69" s="310"/>
      <c r="BH69" s="310"/>
      <c r="BI69" s="310"/>
      <c r="BJ69" s="310"/>
      <c r="BK69" s="310"/>
      <c r="BL69" s="310"/>
      <c r="BM69" s="310"/>
      <c r="BN69" s="310"/>
      <c r="BO69" s="310"/>
      <c r="BP69" s="310"/>
      <c r="BQ69" s="310"/>
      <c r="BR69" s="310"/>
      <c r="BS69" s="310"/>
      <c r="BT69" s="310"/>
      <c r="BU69" s="310"/>
      <c r="BV69" s="310"/>
      <c r="BW69" s="310"/>
      <c r="BX69" s="310"/>
      <c r="BY69" s="310"/>
      <c r="BZ69" s="310"/>
      <c r="CA69" s="310"/>
      <c r="CB69" s="310"/>
      <c r="CC69" s="310"/>
      <c r="CD69" s="310"/>
      <c r="CE69" s="310"/>
      <c r="CF69" s="310"/>
      <c r="CG69" s="310"/>
      <c r="CH69" s="310"/>
      <c r="CI69" s="310"/>
      <c r="CJ69" s="310"/>
      <c r="CK69" s="310"/>
      <c r="CL69" s="310"/>
      <c r="CM69" s="310"/>
      <c r="CN69" s="310"/>
      <c r="CO69" s="310"/>
      <c r="CP69" s="310"/>
      <c r="CQ69" s="310"/>
      <c r="CR69" s="310"/>
      <c r="CS69" s="310"/>
      <c r="CT69" s="310"/>
      <c r="CU69" s="310"/>
      <c r="CV69" s="310"/>
    </row>
    <row r="70" spans="1:100" s="125" customFormat="1" ht="12.75" outlineLevel="2" x14ac:dyDescent="0.2">
      <c r="A70" s="85"/>
      <c r="B70" s="85"/>
      <c r="C70" s="86"/>
      <c r="D70" s="87"/>
      <c r="E70" s="189" t="str">
        <f xml:space="preserve"> Time!E$163</f>
        <v>Senior debt repayment period flag - T1</v>
      </c>
      <c r="F70" s="189">
        <f xml:space="preserve"> Time!F$163</f>
        <v>0</v>
      </c>
      <c r="G70" s="189" t="str">
        <f xml:space="preserve"> Time!G$163</f>
        <v>flag</v>
      </c>
      <c r="H70" s="189">
        <f xml:space="preserve"> Time!H$163</f>
        <v>34</v>
      </c>
      <c r="I70" s="189">
        <f xml:space="preserve"> Time!I$163</f>
        <v>0</v>
      </c>
      <c r="J70" s="189">
        <f xml:space="preserve"> Time!J$163</f>
        <v>0</v>
      </c>
      <c r="K70" s="189">
        <f xml:space="preserve"> Time!K$163</f>
        <v>0</v>
      </c>
      <c r="L70" s="189">
        <f xml:space="preserve"> Time!L$163</f>
        <v>0</v>
      </c>
      <c r="M70" s="189">
        <f xml:space="preserve"> Time!M$163</f>
        <v>0</v>
      </c>
      <c r="N70" s="189">
        <f xml:space="preserve"> Time!N$163</f>
        <v>0</v>
      </c>
      <c r="O70" s="189">
        <f xml:space="preserve"> Time!O$163</f>
        <v>1</v>
      </c>
      <c r="P70" s="189">
        <f xml:space="preserve"> Time!P$163</f>
        <v>1</v>
      </c>
      <c r="Q70" s="189">
        <f xml:space="preserve"> Time!Q$163</f>
        <v>1</v>
      </c>
      <c r="R70" s="189">
        <f xml:space="preserve"> Time!R$163</f>
        <v>1</v>
      </c>
      <c r="S70" s="189">
        <f xml:space="preserve"> Time!S$163</f>
        <v>1</v>
      </c>
      <c r="T70" s="189">
        <f xml:space="preserve"> Time!T$163</f>
        <v>1</v>
      </c>
      <c r="U70" s="189">
        <f xml:space="preserve"> Time!U$163</f>
        <v>1</v>
      </c>
      <c r="V70" s="189">
        <f xml:space="preserve"> Time!V$163</f>
        <v>1</v>
      </c>
      <c r="W70" s="189">
        <f xml:space="preserve"> Time!W$163</f>
        <v>1</v>
      </c>
      <c r="X70" s="189">
        <f xml:space="preserve"> Time!X$163</f>
        <v>1</v>
      </c>
      <c r="Y70" s="189">
        <f xml:space="preserve"> Time!Y$163</f>
        <v>1</v>
      </c>
      <c r="Z70" s="189">
        <f xml:space="preserve"> Time!Z$163</f>
        <v>1</v>
      </c>
      <c r="AA70" s="189">
        <f xml:space="preserve"> Time!AA$163</f>
        <v>1</v>
      </c>
      <c r="AB70" s="189">
        <f xml:space="preserve"> Time!AB$163</f>
        <v>1</v>
      </c>
      <c r="AC70" s="189">
        <f xml:space="preserve"> Time!AC$163</f>
        <v>1</v>
      </c>
      <c r="AD70" s="189">
        <f xml:space="preserve"> Time!AD$163</f>
        <v>1</v>
      </c>
      <c r="AE70" s="189">
        <f xml:space="preserve"> Time!AE$163</f>
        <v>1</v>
      </c>
      <c r="AF70" s="189">
        <f xml:space="preserve"> Time!AF$163</f>
        <v>1</v>
      </c>
      <c r="AG70" s="189">
        <f xml:space="preserve"> Time!AG$163</f>
        <v>1</v>
      </c>
      <c r="AH70" s="189">
        <f xml:space="preserve"> Time!AH$163</f>
        <v>1</v>
      </c>
      <c r="AI70" s="189">
        <f xml:space="preserve"> Time!AI$163</f>
        <v>1</v>
      </c>
      <c r="AJ70" s="189">
        <f xml:space="preserve"> Time!AJ$163</f>
        <v>1</v>
      </c>
      <c r="AK70" s="189">
        <f xml:space="preserve"> Time!AK$163</f>
        <v>1</v>
      </c>
      <c r="AL70" s="189">
        <f xml:space="preserve"> Time!AL$163</f>
        <v>1</v>
      </c>
      <c r="AM70" s="189">
        <f xml:space="preserve"> Time!AM$163</f>
        <v>1</v>
      </c>
      <c r="AN70" s="189">
        <f xml:space="preserve"> Time!AN$163</f>
        <v>1</v>
      </c>
      <c r="AO70" s="189">
        <f xml:space="preserve"> Time!AO$163</f>
        <v>1</v>
      </c>
      <c r="AP70" s="189">
        <f xml:space="preserve"> Time!AP$163</f>
        <v>1</v>
      </c>
      <c r="AQ70" s="189">
        <f xml:space="preserve"> Time!AQ$163</f>
        <v>1</v>
      </c>
      <c r="AR70" s="189">
        <f xml:space="preserve"> Time!AR$163</f>
        <v>1</v>
      </c>
      <c r="AS70" s="189">
        <f xml:space="preserve"> Time!AS$163</f>
        <v>1</v>
      </c>
      <c r="AT70" s="189">
        <f xml:space="preserve"> Time!AT$163</f>
        <v>1</v>
      </c>
      <c r="AU70" s="189">
        <f xml:space="preserve"> Time!AU$163</f>
        <v>1</v>
      </c>
      <c r="AV70" s="189">
        <f xml:space="preserve"> Time!AV$163</f>
        <v>1</v>
      </c>
      <c r="AW70" s="189">
        <f xml:space="preserve"> Time!AW$163</f>
        <v>0</v>
      </c>
      <c r="AX70" s="189">
        <f xml:space="preserve"> Time!AX$163</f>
        <v>0</v>
      </c>
      <c r="AY70" s="189">
        <f xml:space="preserve"> Time!AY$163</f>
        <v>0</v>
      </c>
      <c r="AZ70" s="189">
        <f xml:space="preserve"> Time!AZ$163</f>
        <v>0</v>
      </c>
      <c r="BA70" s="189">
        <f xml:space="preserve"> Time!BA$163</f>
        <v>0</v>
      </c>
      <c r="BB70" s="189">
        <f xml:space="preserve"> Time!BB$163</f>
        <v>0</v>
      </c>
      <c r="BC70" s="189">
        <f xml:space="preserve"> Time!BC$163</f>
        <v>0</v>
      </c>
      <c r="BD70" s="189">
        <f xml:space="preserve"> Time!BD$163</f>
        <v>0</v>
      </c>
      <c r="BE70" s="189">
        <f xml:space="preserve"> Time!BE$163</f>
        <v>0</v>
      </c>
      <c r="BF70" s="189">
        <f xml:space="preserve"> Time!BF$163</f>
        <v>0</v>
      </c>
      <c r="BG70" s="189">
        <f xml:space="preserve"> Time!BG$163</f>
        <v>0</v>
      </c>
      <c r="BH70" s="189">
        <f xml:space="preserve"> Time!BH$163</f>
        <v>0</v>
      </c>
      <c r="BI70" s="189">
        <f xml:space="preserve"> Time!BI$163</f>
        <v>0</v>
      </c>
      <c r="BJ70" s="189">
        <f xml:space="preserve"> Time!BJ$163</f>
        <v>0</v>
      </c>
      <c r="BK70" s="189">
        <f xml:space="preserve"> Time!BK$163</f>
        <v>0</v>
      </c>
      <c r="BL70" s="189">
        <f xml:space="preserve"> Time!BL$163</f>
        <v>0</v>
      </c>
      <c r="BM70" s="189">
        <f xml:space="preserve"> Time!BM$163</f>
        <v>0</v>
      </c>
      <c r="BN70" s="189">
        <f xml:space="preserve"> Time!BN$163</f>
        <v>0</v>
      </c>
      <c r="BO70" s="189">
        <f xml:space="preserve"> Time!BO$163</f>
        <v>0</v>
      </c>
      <c r="BP70" s="189">
        <f xml:space="preserve"> Time!BP$163</f>
        <v>0</v>
      </c>
      <c r="BQ70" s="189">
        <f xml:space="preserve"> Time!BQ$163</f>
        <v>0</v>
      </c>
      <c r="BR70" s="189">
        <f xml:space="preserve"> Time!BR$163</f>
        <v>0</v>
      </c>
      <c r="BS70" s="189">
        <f xml:space="preserve"> Time!BS$163</f>
        <v>0</v>
      </c>
      <c r="BT70" s="189">
        <f xml:space="preserve"> Time!BT$163</f>
        <v>0</v>
      </c>
      <c r="BU70" s="189">
        <f xml:space="preserve"> Time!BU$163</f>
        <v>0</v>
      </c>
      <c r="BV70" s="189">
        <f xml:space="preserve"> Time!BV$163</f>
        <v>0</v>
      </c>
      <c r="BW70" s="189">
        <f xml:space="preserve"> Time!BW$163</f>
        <v>0</v>
      </c>
      <c r="BX70" s="189">
        <f xml:space="preserve"> Time!BX$163</f>
        <v>0</v>
      </c>
      <c r="BY70" s="189">
        <f xml:space="preserve"> Time!BY$163</f>
        <v>0</v>
      </c>
      <c r="BZ70" s="189">
        <f xml:space="preserve"> Time!BZ$163</f>
        <v>0</v>
      </c>
      <c r="CA70" s="189">
        <f xml:space="preserve"> Time!CA$163</f>
        <v>0</v>
      </c>
      <c r="CB70" s="189">
        <f xml:space="preserve"> Time!CB$163</f>
        <v>0</v>
      </c>
      <c r="CC70" s="189">
        <f xml:space="preserve"> Time!CC$163</f>
        <v>0</v>
      </c>
      <c r="CD70" s="189">
        <f xml:space="preserve"> Time!CD$163</f>
        <v>0</v>
      </c>
      <c r="CE70" s="189">
        <f xml:space="preserve"> Time!CE$163</f>
        <v>0</v>
      </c>
      <c r="CF70" s="189">
        <f xml:space="preserve"> Time!CF$163</f>
        <v>0</v>
      </c>
      <c r="CG70" s="189">
        <f xml:space="preserve"> Time!CG$163</f>
        <v>0</v>
      </c>
      <c r="CH70" s="189">
        <f xml:space="preserve"> Time!CH$163</f>
        <v>0</v>
      </c>
      <c r="CI70" s="189">
        <f xml:space="preserve"> Time!CI$163</f>
        <v>0</v>
      </c>
      <c r="CJ70" s="189">
        <f xml:space="preserve"> Time!CJ$163</f>
        <v>0</v>
      </c>
      <c r="CK70" s="189">
        <f xml:space="preserve"> Time!CK$163</f>
        <v>0</v>
      </c>
      <c r="CL70" s="189">
        <f xml:space="preserve"> Time!CL$163</f>
        <v>0</v>
      </c>
      <c r="CM70" s="189">
        <f xml:space="preserve"> Time!CM$163</f>
        <v>0</v>
      </c>
      <c r="CN70" s="189">
        <f xml:space="preserve"> Time!CN$163</f>
        <v>0</v>
      </c>
      <c r="CO70" s="189">
        <f xml:space="preserve"> Time!CO$163</f>
        <v>0</v>
      </c>
      <c r="CP70" s="189">
        <f xml:space="preserve"> Time!CP$163</f>
        <v>0</v>
      </c>
      <c r="CQ70" s="189">
        <f xml:space="preserve"> Time!CQ$163</f>
        <v>0</v>
      </c>
      <c r="CR70" s="189">
        <f xml:space="preserve"> Time!CR$163</f>
        <v>0</v>
      </c>
      <c r="CS70" s="189">
        <f xml:space="preserve"> Time!CS$163</f>
        <v>0</v>
      </c>
      <c r="CT70" s="189">
        <f xml:space="preserve"> Time!CT$163</f>
        <v>0</v>
      </c>
      <c r="CU70" s="189">
        <f xml:space="preserve"> Time!CU$163</f>
        <v>0</v>
      </c>
      <c r="CV70" s="189">
        <f xml:space="preserve"> Time!CV$163</f>
        <v>0</v>
      </c>
    </row>
    <row r="71" spans="1:100" ht="12.75" outlineLevel="2" x14ac:dyDescent="0.2">
      <c r="A71" s="236"/>
      <c r="B71" s="236"/>
      <c r="C71" s="237"/>
      <c r="D71" s="238"/>
      <c r="E71" s="189" t="str">
        <f xml:space="preserve"> Time!E$203</f>
        <v>Senior debt repayment period flag - T2</v>
      </c>
      <c r="F71" s="189">
        <f xml:space="preserve"> Time!F$203</f>
        <v>0</v>
      </c>
      <c r="G71" s="189" t="str">
        <f xml:space="preserve"> Time!G$203</f>
        <v>flag</v>
      </c>
      <c r="H71" s="189">
        <f xml:space="preserve"> Time!H$203</f>
        <v>30</v>
      </c>
      <c r="I71" s="189">
        <f xml:space="preserve"> Time!I$203</f>
        <v>0</v>
      </c>
      <c r="J71" s="189">
        <f xml:space="preserve"> Time!J$203</f>
        <v>0</v>
      </c>
      <c r="K71" s="189">
        <f xml:space="preserve"> Time!K$203</f>
        <v>0</v>
      </c>
      <c r="L71" s="189">
        <f xml:space="preserve"> Time!L$203</f>
        <v>0</v>
      </c>
      <c r="M71" s="189">
        <f xml:space="preserve"> Time!M$203</f>
        <v>0</v>
      </c>
      <c r="N71" s="189">
        <f xml:space="preserve"> Time!N$203</f>
        <v>0</v>
      </c>
      <c r="O71" s="189">
        <f xml:space="preserve"> Time!O$203</f>
        <v>1</v>
      </c>
      <c r="P71" s="189">
        <f xml:space="preserve"> Time!P$203</f>
        <v>1</v>
      </c>
      <c r="Q71" s="189">
        <f xml:space="preserve"> Time!Q$203</f>
        <v>1</v>
      </c>
      <c r="R71" s="189">
        <f xml:space="preserve"> Time!R$203</f>
        <v>1</v>
      </c>
      <c r="S71" s="189">
        <f xml:space="preserve"> Time!S$203</f>
        <v>1</v>
      </c>
      <c r="T71" s="189">
        <f xml:space="preserve"> Time!T$203</f>
        <v>1</v>
      </c>
      <c r="U71" s="189">
        <f xml:space="preserve"> Time!U$203</f>
        <v>1</v>
      </c>
      <c r="V71" s="189">
        <f xml:space="preserve"> Time!V$203</f>
        <v>1</v>
      </c>
      <c r="W71" s="189">
        <f xml:space="preserve"> Time!W$203</f>
        <v>1</v>
      </c>
      <c r="X71" s="189">
        <f xml:space="preserve"> Time!X$203</f>
        <v>1</v>
      </c>
      <c r="Y71" s="189">
        <f xml:space="preserve"> Time!Y$203</f>
        <v>1</v>
      </c>
      <c r="Z71" s="189">
        <f xml:space="preserve"> Time!Z$203</f>
        <v>1</v>
      </c>
      <c r="AA71" s="189">
        <f xml:space="preserve"> Time!AA$203</f>
        <v>1</v>
      </c>
      <c r="AB71" s="189">
        <f xml:space="preserve"> Time!AB$203</f>
        <v>1</v>
      </c>
      <c r="AC71" s="189">
        <f xml:space="preserve"> Time!AC$203</f>
        <v>1</v>
      </c>
      <c r="AD71" s="189">
        <f xml:space="preserve"> Time!AD$203</f>
        <v>1</v>
      </c>
      <c r="AE71" s="189">
        <f xml:space="preserve"> Time!AE$203</f>
        <v>1</v>
      </c>
      <c r="AF71" s="189">
        <f xml:space="preserve"> Time!AF$203</f>
        <v>1</v>
      </c>
      <c r="AG71" s="189">
        <f xml:space="preserve"> Time!AG$203</f>
        <v>1</v>
      </c>
      <c r="AH71" s="189">
        <f xml:space="preserve"> Time!AH$203</f>
        <v>1</v>
      </c>
      <c r="AI71" s="189">
        <f xml:space="preserve"> Time!AI$203</f>
        <v>1</v>
      </c>
      <c r="AJ71" s="189">
        <f xml:space="preserve"> Time!AJ$203</f>
        <v>1</v>
      </c>
      <c r="AK71" s="189">
        <f xml:space="preserve"> Time!AK$203</f>
        <v>1</v>
      </c>
      <c r="AL71" s="189">
        <f xml:space="preserve"> Time!AL$203</f>
        <v>1</v>
      </c>
      <c r="AM71" s="189">
        <f xml:space="preserve"> Time!AM$203</f>
        <v>1</v>
      </c>
      <c r="AN71" s="189">
        <f xml:space="preserve"> Time!AN$203</f>
        <v>1</v>
      </c>
      <c r="AO71" s="189">
        <f xml:space="preserve"> Time!AO$203</f>
        <v>1</v>
      </c>
      <c r="AP71" s="189">
        <f xml:space="preserve"> Time!AP$203</f>
        <v>1</v>
      </c>
      <c r="AQ71" s="189">
        <f xml:space="preserve"> Time!AQ$203</f>
        <v>1</v>
      </c>
      <c r="AR71" s="189">
        <f xml:space="preserve"> Time!AR$203</f>
        <v>1</v>
      </c>
      <c r="AS71" s="189">
        <f xml:space="preserve"> Time!AS$203</f>
        <v>0</v>
      </c>
      <c r="AT71" s="189">
        <f xml:space="preserve"> Time!AT$203</f>
        <v>0</v>
      </c>
      <c r="AU71" s="189">
        <f xml:space="preserve"> Time!AU$203</f>
        <v>0</v>
      </c>
      <c r="AV71" s="189">
        <f xml:space="preserve"> Time!AV$203</f>
        <v>0</v>
      </c>
      <c r="AW71" s="189">
        <f xml:space="preserve"> Time!AW$203</f>
        <v>0</v>
      </c>
      <c r="AX71" s="189">
        <f xml:space="preserve"> Time!AX$203</f>
        <v>0</v>
      </c>
      <c r="AY71" s="189">
        <f xml:space="preserve"> Time!AY$203</f>
        <v>0</v>
      </c>
      <c r="AZ71" s="189">
        <f xml:space="preserve"> Time!AZ$203</f>
        <v>0</v>
      </c>
      <c r="BA71" s="189">
        <f xml:space="preserve"> Time!BA$203</f>
        <v>0</v>
      </c>
      <c r="BB71" s="189">
        <f xml:space="preserve"> Time!BB$203</f>
        <v>0</v>
      </c>
      <c r="BC71" s="189">
        <f xml:space="preserve"> Time!BC$203</f>
        <v>0</v>
      </c>
      <c r="BD71" s="189">
        <f xml:space="preserve"> Time!BD$203</f>
        <v>0</v>
      </c>
      <c r="BE71" s="189">
        <f xml:space="preserve"> Time!BE$203</f>
        <v>0</v>
      </c>
      <c r="BF71" s="189">
        <f xml:space="preserve"> Time!BF$203</f>
        <v>0</v>
      </c>
      <c r="BG71" s="189">
        <f xml:space="preserve"> Time!BG$203</f>
        <v>0</v>
      </c>
      <c r="BH71" s="189">
        <f xml:space="preserve"> Time!BH$203</f>
        <v>0</v>
      </c>
      <c r="BI71" s="189">
        <f xml:space="preserve"> Time!BI$203</f>
        <v>0</v>
      </c>
      <c r="BJ71" s="189">
        <f xml:space="preserve"> Time!BJ$203</f>
        <v>0</v>
      </c>
      <c r="BK71" s="189">
        <f xml:space="preserve"> Time!BK$203</f>
        <v>0</v>
      </c>
      <c r="BL71" s="189">
        <f xml:space="preserve"> Time!BL$203</f>
        <v>0</v>
      </c>
      <c r="BM71" s="189">
        <f xml:space="preserve"> Time!BM$203</f>
        <v>0</v>
      </c>
      <c r="BN71" s="189">
        <f xml:space="preserve"> Time!BN$203</f>
        <v>0</v>
      </c>
      <c r="BO71" s="189">
        <f xml:space="preserve"> Time!BO$203</f>
        <v>0</v>
      </c>
      <c r="BP71" s="189">
        <f xml:space="preserve"> Time!BP$203</f>
        <v>0</v>
      </c>
      <c r="BQ71" s="189">
        <f xml:space="preserve"> Time!BQ$203</f>
        <v>0</v>
      </c>
      <c r="BR71" s="189">
        <f xml:space="preserve"> Time!BR$203</f>
        <v>0</v>
      </c>
      <c r="BS71" s="189">
        <f xml:space="preserve"> Time!BS$203</f>
        <v>0</v>
      </c>
      <c r="BT71" s="189">
        <f xml:space="preserve"> Time!BT$203</f>
        <v>0</v>
      </c>
      <c r="BU71" s="189">
        <f xml:space="preserve"> Time!BU$203</f>
        <v>0</v>
      </c>
      <c r="BV71" s="189">
        <f xml:space="preserve"> Time!BV$203</f>
        <v>0</v>
      </c>
      <c r="BW71" s="189">
        <f xml:space="preserve"> Time!BW$203</f>
        <v>0</v>
      </c>
      <c r="BX71" s="189">
        <f xml:space="preserve"> Time!BX$203</f>
        <v>0</v>
      </c>
      <c r="BY71" s="189">
        <f xml:space="preserve"> Time!BY$203</f>
        <v>0</v>
      </c>
      <c r="BZ71" s="189">
        <f xml:space="preserve"> Time!BZ$203</f>
        <v>0</v>
      </c>
      <c r="CA71" s="189">
        <f xml:space="preserve"> Time!CA$203</f>
        <v>0</v>
      </c>
      <c r="CB71" s="189">
        <f xml:space="preserve"> Time!CB$203</f>
        <v>0</v>
      </c>
      <c r="CC71" s="189">
        <f xml:space="preserve"> Time!CC$203</f>
        <v>0</v>
      </c>
      <c r="CD71" s="189">
        <f xml:space="preserve"> Time!CD$203</f>
        <v>0</v>
      </c>
      <c r="CE71" s="189">
        <f xml:space="preserve"> Time!CE$203</f>
        <v>0</v>
      </c>
      <c r="CF71" s="189">
        <f xml:space="preserve"> Time!CF$203</f>
        <v>0</v>
      </c>
      <c r="CG71" s="189">
        <f xml:space="preserve"> Time!CG$203</f>
        <v>0</v>
      </c>
      <c r="CH71" s="189">
        <f xml:space="preserve"> Time!CH$203</f>
        <v>0</v>
      </c>
      <c r="CI71" s="189">
        <f xml:space="preserve"> Time!CI$203</f>
        <v>0</v>
      </c>
      <c r="CJ71" s="189">
        <f xml:space="preserve"> Time!CJ$203</f>
        <v>0</v>
      </c>
      <c r="CK71" s="189">
        <f xml:space="preserve"> Time!CK$203</f>
        <v>0</v>
      </c>
      <c r="CL71" s="189">
        <f xml:space="preserve"> Time!CL$203</f>
        <v>0</v>
      </c>
      <c r="CM71" s="189">
        <f xml:space="preserve"> Time!CM$203</f>
        <v>0</v>
      </c>
      <c r="CN71" s="189">
        <f xml:space="preserve"> Time!CN$203</f>
        <v>0</v>
      </c>
      <c r="CO71" s="189">
        <f xml:space="preserve"> Time!CO$203</f>
        <v>0</v>
      </c>
      <c r="CP71" s="189">
        <f xml:space="preserve"> Time!CP$203</f>
        <v>0</v>
      </c>
      <c r="CQ71" s="189">
        <f xml:space="preserve"> Time!CQ$203</f>
        <v>0</v>
      </c>
      <c r="CR71" s="189">
        <f xml:space="preserve"> Time!CR$203</f>
        <v>0</v>
      </c>
      <c r="CS71" s="189">
        <f xml:space="preserve"> Time!CS$203</f>
        <v>0</v>
      </c>
      <c r="CT71" s="189">
        <f xml:space="preserve"> Time!CT$203</f>
        <v>0</v>
      </c>
      <c r="CU71" s="189">
        <f xml:space="preserve"> Time!CU$203</f>
        <v>0</v>
      </c>
      <c r="CV71" s="189">
        <f xml:space="preserve"> Time!CV$203</f>
        <v>0</v>
      </c>
    </row>
    <row r="72" spans="1:100" ht="12.75" outlineLevel="2" x14ac:dyDescent="0.2">
      <c r="A72" s="236"/>
      <c r="B72" s="236"/>
      <c r="C72" s="237"/>
      <c r="D72" s="238"/>
      <c r="E72" s="310" t="s">
        <v>967</v>
      </c>
      <c r="F72" s="310"/>
      <c r="G72" s="310" t="s">
        <v>5</v>
      </c>
      <c r="H72" s="310">
        <f xml:space="preserve"> SUM(J72:CV72)</f>
        <v>30</v>
      </c>
      <c r="I72" s="310"/>
      <c r="J72" s="310">
        <f t="shared" ref="J72:AO72" si="24">IF( AND( J70 = 1, J71 = 1), 1, 0)</f>
        <v>0</v>
      </c>
      <c r="K72" s="310">
        <f t="shared" si="24"/>
        <v>0</v>
      </c>
      <c r="L72" s="310">
        <f t="shared" si="24"/>
        <v>0</v>
      </c>
      <c r="M72" s="310">
        <f t="shared" si="24"/>
        <v>0</v>
      </c>
      <c r="N72" s="310">
        <f t="shared" si="24"/>
        <v>0</v>
      </c>
      <c r="O72" s="310">
        <f t="shared" si="24"/>
        <v>1</v>
      </c>
      <c r="P72" s="310">
        <f t="shared" si="24"/>
        <v>1</v>
      </c>
      <c r="Q72" s="310">
        <f t="shared" si="24"/>
        <v>1</v>
      </c>
      <c r="R72" s="310">
        <f t="shared" si="24"/>
        <v>1</v>
      </c>
      <c r="S72" s="310">
        <f t="shared" si="24"/>
        <v>1</v>
      </c>
      <c r="T72" s="310">
        <f t="shared" si="24"/>
        <v>1</v>
      </c>
      <c r="U72" s="310">
        <f t="shared" si="24"/>
        <v>1</v>
      </c>
      <c r="V72" s="310">
        <f t="shared" si="24"/>
        <v>1</v>
      </c>
      <c r="W72" s="310">
        <f t="shared" si="24"/>
        <v>1</v>
      </c>
      <c r="X72" s="310">
        <f t="shared" si="24"/>
        <v>1</v>
      </c>
      <c r="Y72" s="310">
        <f t="shared" si="24"/>
        <v>1</v>
      </c>
      <c r="Z72" s="310">
        <f t="shared" si="24"/>
        <v>1</v>
      </c>
      <c r="AA72" s="310">
        <f t="shared" si="24"/>
        <v>1</v>
      </c>
      <c r="AB72" s="310">
        <f t="shared" si="24"/>
        <v>1</v>
      </c>
      <c r="AC72" s="310">
        <f t="shared" si="24"/>
        <v>1</v>
      </c>
      <c r="AD72" s="310">
        <f t="shared" si="24"/>
        <v>1</v>
      </c>
      <c r="AE72" s="310">
        <f t="shared" si="24"/>
        <v>1</v>
      </c>
      <c r="AF72" s="310">
        <f t="shared" si="24"/>
        <v>1</v>
      </c>
      <c r="AG72" s="310">
        <f t="shared" si="24"/>
        <v>1</v>
      </c>
      <c r="AH72" s="310">
        <f t="shared" si="24"/>
        <v>1</v>
      </c>
      <c r="AI72" s="310">
        <f t="shared" si="24"/>
        <v>1</v>
      </c>
      <c r="AJ72" s="310">
        <f t="shared" si="24"/>
        <v>1</v>
      </c>
      <c r="AK72" s="310">
        <f t="shared" si="24"/>
        <v>1</v>
      </c>
      <c r="AL72" s="310">
        <f t="shared" si="24"/>
        <v>1</v>
      </c>
      <c r="AM72" s="310">
        <f t="shared" si="24"/>
        <v>1</v>
      </c>
      <c r="AN72" s="310">
        <f t="shared" si="24"/>
        <v>1</v>
      </c>
      <c r="AO72" s="310">
        <f t="shared" si="24"/>
        <v>1</v>
      </c>
      <c r="AP72" s="310">
        <f t="shared" ref="AP72:BU72" si="25">IF( AND( AP70 = 1, AP71 = 1), 1, 0)</f>
        <v>1</v>
      </c>
      <c r="AQ72" s="310">
        <f t="shared" si="25"/>
        <v>1</v>
      </c>
      <c r="AR72" s="310">
        <f t="shared" si="25"/>
        <v>1</v>
      </c>
      <c r="AS72" s="310">
        <f t="shared" si="25"/>
        <v>0</v>
      </c>
      <c r="AT72" s="310">
        <f t="shared" si="25"/>
        <v>0</v>
      </c>
      <c r="AU72" s="310">
        <f t="shared" si="25"/>
        <v>0</v>
      </c>
      <c r="AV72" s="310">
        <f t="shared" si="25"/>
        <v>0</v>
      </c>
      <c r="AW72" s="310">
        <f t="shared" si="25"/>
        <v>0</v>
      </c>
      <c r="AX72" s="310">
        <f t="shared" si="25"/>
        <v>0</v>
      </c>
      <c r="AY72" s="310">
        <f t="shared" si="25"/>
        <v>0</v>
      </c>
      <c r="AZ72" s="310">
        <f t="shared" si="25"/>
        <v>0</v>
      </c>
      <c r="BA72" s="310">
        <f t="shared" si="25"/>
        <v>0</v>
      </c>
      <c r="BB72" s="310">
        <f t="shared" si="25"/>
        <v>0</v>
      </c>
      <c r="BC72" s="310">
        <f t="shared" si="25"/>
        <v>0</v>
      </c>
      <c r="BD72" s="310">
        <f t="shared" si="25"/>
        <v>0</v>
      </c>
      <c r="BE72" s="310">
        <f t="shared" si="25"/>
        <v>0</v>
      </c>
      <c r="BF72" s="310">
        <f t="shared" si="25"/>
        <v>0</v>
      </c>
      <c r="BG72" s="310">
        <f t="shared" si="25"/>
        <v>0</v>
      </c>
      <c r="BH72" s="310">
        <f t="shared" si="25"/>
        <v>0</v>
      </c>
      <c r="BI72" s="310">
        <f t="shared" si="25"/>
        <v>0</v>
      </c>
      <c r="BJ72" s="310">
        <f t="shared" si="25"/>
        <v>0</v>
      </c>
      <c r="BK72" s="310">
        <f t="shared" si="25"/>
        <v>0</v>
      </c>
      <c r="BL72" s="310">
        <f t="shared" si="25"/>
        <v>0</v>
      </c>
      <c r="BM72" s="310">
        <f t="shared" si="25"/>
        <v>0</v>
      </c>
      <c r="BN72" s="310">
        <f t="shared" si="25"/>
        <v>0</v>
      </c>
      <c r="BO72" s="310">
        <f t="shared" si="25"/>
        <v>0</v>
      </c>
      <c r="BP72" s="310">
        <f t="shared" si="25"/>
        <v>0</v>
      </c>
      <c r="BQ72" s="310">
        <f t="shared" si="25"/>
        <v>0</v>
      </c>
      <c r="BR72" s="310">
        <f t="shared" si="25"/>
        <v>0</v>
      </c>
      <c r="BS72" s="310">
        <f t="shared" si="25"/>
        <v>0</v>
      </c>
      <c r="BT72" s="310">
        <f t="shared" si="25"/>
        <v>0</v>
      </c>
      <c r="BU72" s="310">
        <f t="shared" si="25"/>
        <v>0</v>
      </c>
      <c r="BV72" s="310">
        <f t="shared" ref="BV72:CV72" si="26">IF( AND( BV70 = 1, BV71 = 1), 1, 0)</f>
        <v>0</v>
      </c>
      <c r="BW72" s="310">
        <f t="shared" si="26"/>
        <v>0</v>
      </c>
      <c r="BX72" s="310">
        <f t="shared" si="26"/>
        <v>0</v>
      </c>
      <c r="BY72" s="310">
        <f t="shared" si="26"/>
        <v>0</v>
      </c>
      <c r="BZ72" s="310">
        <f t="shared" si="26"/>
        <v>0</v>
      </c>
      <c r="CA72" s="310">
        <f t="shared" si="26"/>
        <v>0</v>
      </c>
      <c r="CB72" s="310">
        <f t="shared" si="26"/>
        <v>0</v>
      </c>
      <c r="CC72" s="310">
        <f t="shared" si="26"/>
        <v>0</v>
      </c>
      <c r="CD72" s="310">
        <f t="shared" si="26"/>
        <v>0</v>
      </c>
      <c r="CE72" s="310">
        <f t="shared" si="26"/>
        <v>0</v>
      </c>
      <c r="CF72" s="310">
        <f t="shared" si="26"/>
        <v>0</v>
      </c>
      <c r="CG72" s="310">
        <f t="shared" si="26"/>
        <v>0</v>
      </c>
      <c r="CH72" s="310">
        <f t="shared" si="26"/>
        <v>0</v>
      </c>
      <c r="CI72" s="310">
        <f t="shared" si="26"/>
        <v>0</v>
      </c>
      <c r="CJ72" s="310">
        <f t="shared" si="26"/>
        <v>0</v>
      </c>
      <c r="CK72" s="310">
        <f t="shared" si="26"/>
        <v>0</v>
      </c>
      <c r="CL72" s="310">
        <f t="shared" si="26"/>
        <v>0</v>
      </c>
      <c r="CM72" s="310">
        <f t="shared" si="26"/>
        <v>0</v>
      </c>
      <c r="CN72" s="310">
        <f t="shared" si="26"/>
        <v>0</v>
      </c>
      <c r="CO72" s="310">
        <f t="shared" si="26"/>
        <v>0</v>
      </c>
      <c r="CP72" s="310">
        <f t="shared" si="26"/>
        <v>0</v>
      </c>
      <c r="CQ72" s="310">
        <f t="shared" si="26"/>
        <v>0</v>
      </c>
      <c r="CR72" s="310">
        <f t="shared" si="26"/>
        <v>0</v>
      </c>
      <c r="CS72" s="310">
        <f t="shared" si="26"/>
        <v>0</v>
      </c>
      <c r="CT72" s="310">
        <f t="shared" si="26"/>
        <v>0</v>
      </c>
      <c r="CU72" s="310">
        <f t="shared" si="26"/>
        <v>0</v>
      </c>
      <c r="CV72" s="310">
        <f t="shared" si="26"/>
        <v>0</v>
      </c>
    </row>
    <row r="73" spans="1:100" ht="12.75" outlineLevel="2" x14ac:dyDescent="0.2">
      <c r="A73" s="236"/>
      <c r="B73" s="236"/>
      <c r="C73" s="237"/>
      <c r="D73" s="238"/>
      <c r="E73" s="525" t="s">
        <v>968</v>
      </c>
      <c r="F73" s="525">
        <f xml:space="preserve"> SUM(J72:CV72)</f>
        <v>30</v>
      </c>
      <c r="G73" s="525" t="s">
        <v>87</v>
      </c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10"/>
      <c r="Y73" s="310"/>
      <c r="Z73" s="310"/>
      <c r="AA73" s="310"/>
      <c r="AB73" s="310"/>
      <c r="AC73" s="310"/>
      <c r="AD73" s="310"/>
      <c r="AE73" s="310"/>
      <c r="AF73" s="310"/>
      <c r="AG73" s="310"/>
      <c r="AH73" s="310"/>
      <c r="AI73" s="310"/>
      <c r="AJ73" s="310"/>
      <c r="AK73" s="310"/>
      <c r="AL73" s="310"/>
      <c r="AM73" s="310"/>
      <c r="AN73" s="310"/>
      <c r="AO73" s="310"/>
      <c r="AP73" s="310"/>
      <c r="AQ73" s="310"/>
      <c r="AR73" s="310"/>
      <c r="AS73" s="310"/>
      <c r="AT73" s="310"/>
      <c r="AU73" s="310"/>
      <c r="AV73" s="310"/>
      <c r="AW73" s="310"/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10"/>
      <c r="BZ73" s="310"/>
      <c r="CA73" s="310"/>
      <c r="CB73" s="310"/>
      <c r="CC73" s="310"/>
      <c r="CD73" s="310"/>
      <c r="CE73" s="310"/>
      <c r="CF73" s="310"/>
      <c r="CG73" s="310"/>
      <c r="CH73" s="310"/>
      <c r="CI73" s="310"/>
      <c r="CJ73" s="310"/>
      <c r="CK73" s="310"/>
      <c r="CL73" s="310"/>
      <c r="CM73" s="310"/>
      <c r="CN73" s="310"/>
      <c r="CO73" s="310"/>
      <c r="CP73" s="310"/>
      <c r="CQ73" s="310"/>
      <c r="CR73" s="310"/>
      <c r="CS73" s="310"/>
      <c r="CT73" s="310"/>
      <c r="CU73" s="310"/>
      <c r="CV73" s="310"/>
    </row>
    <row r="74" spans="1:100" ht="12.75" outlineLevel="2" x14ac:dyDescent="0.2">
      <c r="A74" s="236"/>
      <c r="B74" s="236"/>
      <c r="C74" s="237"/>
      <c r="D74" s="238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0"/>
      <c r="P74" s="310"/>
      <c r="Q74" s="310"/>
      <c r="R74" s="310"/>
      <c r="S74" s="310"/>
      <c r="T74" s="310"/>
      <c r="U74" s="310"/>
      <c r="V74" s="310"/>
      <c r="W74" s="310"/>
      <c r="X74" s="310"/>
      <c r="Y74" s="310"/>
      <c r="Z74" s="310"/>
      <c r="AA74" s="310"/>
      <c r="AB74" s="310"/>
      <c r="AC74" s="310"/>
      <c r="AD74" s="310"/>
      <c r="AE74" s="310"/>
      <c r="AF74" s="310"/>
      <c r="AG74" s="310"/>
      <c r="AH74" s="310"/>
      <c r="AI74" s="310"/>
      <c r="AJ74" s="310"/>
      <c r="AK74" s="310"/>
      <c r="AL74" s="310"/>
      <c r="AM74" s="310"/>
      <c r="AN74" s="310"/>
      <c r="AO74" s="310"/>
      <c r="AP74" s="310"/>
      <c r="AQ74" s="310"/>
      <c r="AR74" s="310"/>
      <c r="AS74" s="310"/>
      <c r="AT74" s="310"/>
      <c r="AU74" s="310"/>
      <c r="AV74" s="310"/>
      <c r="AW74" s="310"/>
      <c r="AX74" s="310"/>
      <c r="AY74" s="310"/>
      <c r="AZ74" s="310"/>
      <c r="BA74" s="310"/>
      <c r="BB74" s="310"/>
      <c r="BC74" s="310"/>
      <c r="BD74" s="310"/>
      <c r="BE74" s="310"/>
      <c r="BF74" s="310"/>
      <c r="BG74" s="310"/>
      <c r="BH74" s="310"/>
      <c r="BI74" s="310"/>
      <c r="BJ74" s="310"/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10"/>
      <c r="BZ74" s="310"/>
      <c r="CA74" s="310"/>
      <c r="CB74" s="310"/>
      <c r="CC74" s="310"/>
      <c r="CD74" s="310"/>
      <c r="CE74" s="310"/>
      <c r="CF74" s="310"/>
      <c r="CG74" s="310"/>
      <c r="CH74" s="310"/>
      <c r="CI74" s="310"/>
      <c r="CJ74" s="310"/>
      <c r="CK74" s="310"/>
      <c r="CL74" s="310"/>
      <c r="CM74" s="310"/>
      <c r="CN74" s="310"/>
      <c r="CO74" s="310"/>
      <c r="CP74" s="310"/>
      <c r="CQ74" s="310"/>
      <c r="CR74" s="310"/>
      <c r="CS74" s="310"/>
      <c r="CT74" s="310"/>
      <c r="CU74" s="310"/>
      <c r="CV74" s="310"/>
    </row>
    <row r="75" spans="1:100" ht="12.75" outlineLevel="2" x14ac:dyDescent="0.2">
      <c r="A75" s="236"/>
      <c r="B75" s="236"/>
      <c r="C75" s="237"/>
      <c r="D75" s="238"/>
      <c r="E75" s="12" t="str">
        <f t="shared" ref="E75:G75" si="27" xml:space="preserve"> E$73</f>
        <v>Debt repayment period duration - all tranches active</v>
      </c>
      <c r="F75" s="12">
        <f t="shared" si="27"/>
        <v>30</v>
      </c>
      <c r="G75" s="12" t="str">
        <f t="shared" si="27"/>
        <v>periods</v>
      </c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310"/>
      <c r="Y75" s="310"/>
      <c r="Z75" s="310"/>
      <c r="AA75" s="310"/>
      <c r="AB75" s="310"/>
      <c r="AC75" s="310"/>
      <c r="AD75" s="310"/>
      <c r="AE75" s="310"/>
      <c r="AF75" s="310"/>
      <c r="AG75" s="310"/>
      <c r="AH75" s="310"/>
      <c r="AI75" s="310"/>
      <c r="AJ75" s="310"/>
      <c r="AK75" s="310"/>
      <c r="AL75" s="310"/>
      <c r="AM75" s="310"/>
      <c r="AN75" s="310"/>
      <c r="AO75" s="310"/>
      <c r="AP75" s="310"/>
      <c r="AQ75" s="310"/>
      <c r="AR75" s="310"/>
      <c r="AS75" s="310"/>
      <c r="AT75" s="310"/>
      <c r="AU75" s="310"/>
      <c r="AV75" s="310"/>
      <c r="AW75" s="310"/>
      <c r="AX75" s="310"/>
      <c r="AY75" s="310"/>
      <c r="AZ75" s="310"/>
      <c r="BA75" s="310"/>
      <c r="BB75" s="310"/>
      <c r="BC75" s="310"/>
      <c r="BD75" s="310"/>
      <c r="BE75" s="310"/>
      <c r="BF75" s="310"/>
      <c r="BG75" s="310"/>
      <c r="BH75" s="310"/>
      <c r="BI75" s="310"/>
      <c r="BJ75" s="310"/>
      <c r="BK75" s="310"/>
      <c r="BL75" s="310"/>
      <c r="BM75" s="310"/>
      <c r="BN75" s="310"/>
      <c r="BO75" s="310"/>
      <c r="BP75" s="310"/>
      <c r="BQ75" s="310"/>
      <c r="BR75" s="310"/>
      <c r="BS75" s="310"/>
      <c r="BT75" s="310"/>
      <c r="BU75" s="310"/>
      <c r="BV75" s="310"/>
      <c r="BW75" s="310"/>
      <c r="BX75" s="310"/>
      <c r="BY75" s="310"/>
      <c r="BZ75" s="310"/>
      <c r="CA75" s="310"/>
      <c r="CB75" s="310"/>
      <c r="CC75" s="310"/>
      <c r="CD75" s="310"/>
      <c r="CE75" s="310"/>
      <c r="CF75" s="310"/>
      <c r="CG75" s="310"/>
      <c r="CH75" s="310"/>
      <c r="CI75" s="310"/>
      <c r="CJ75" s="310"/>
      <c r="CK75" s="310"/>
      <c r="CL75" s="310"/>
      <c r="CM75" s="310"/>
      <c r="CN75" s="310"/>
      <c r="CO75" s="310"/>
      <c r="CP75" s="310"/>
      <c r="CQ75" s="310"/>
      <c r="CR75" s="310"/>
      <c r="CS75" s="310"/>
      <c r="CT75" s="310"/>
      <c r="CU75" s="310"/>
      <c r="CV75" s="310"/>
    </row>
    <row r="76" spans="1:100" ht="12.75" outlineLevel="2" x14ac:dyDescent="0.2">
      <c r="A76" s="236"/>
      <c r="B76" s="236"/>
      <c r="C76" s="237"/>
      <c r="D76" s="238"/>
      <c r="E76" s="189" t="str">
        <f xml:space="preserve"> Time!E$164</f>
        <v>Senior debt repayment duration - T1</v>
      </c>
      <c r="F76" s="189">
        <f xml:space="preserve"> Time!F$164</f>
        <v>34</v>
      </c>
      <c r="G76" s="189" t="str">
        <f xml:space="preserve"> Time!G$164</f>
        <v>periods</v>
      </c>
      <c r="H76" s="310"/>
      <c r="I76" s="310"/>
      <c r="J76" s="310"/>
      <c r="K76" s="310"/>
      <c r="L76" s="310"/>
      <c r="M76" s="310"/>
      <c r="N76" s="310"/>
      <c r="O76" s="310"/>
      <c r="P76" s="310"/>
      <c r="Q76" s="310"/>
      <c r="R76" s="310"/>
      <c r="S76" s="310"/>
      <c r="T76" s="310"/>
      <c r="U76" s="310"/>
      <c r="V76" s="310"/>
      <c r="W76" s="310"/>
      <c r="X76" s="310"/>
      <c r="Y76" s="310"/>
      <c r="Z76" s="310"/>
      <c r="AA76" s="310"/>
      <c r="AB76" s="310"/>
      <c r="AC76" s="310"/>
      <c r="AD76" s="310"/>
      <c r="AE76" s="310"/>
      <c r="AF76" s="310"/>
      <c r="AG76" s="310"/>
      <c r="AH76" s="310"/>
      <c r="AI76" s="310"/>
      <c r="AJ76" s="310"/>
      <c r="AK76" s="310"/>
      <c r="AL76" s="310"/>
      <c r="AM76" s="310"/>
      <c r="AN76" s="310"/>
      <c r="AO76" s="310"/>
      <c r="AP76" s="310"/>
      <c r="AQ76" s="310"/>
      <c r="AR76" s="310"/>
      <c r="AS76" s="310"/>
      <c r="AT76" s="310"/>
      <c r="AU76" s="310"/>
      <c r="AV76" s="310"/>
      <c r="AW76" s="310"/>
      <c r="AX76" s="310"/>
      <c r="AY76" s="310"/>
      <c r="AZ76" s="310"/>
      <c r="BA76" s="310"/>
      <c r="BB76" s="310"/>
      <c r="BC76" s="310"/>
      <c r="BD76" s="310"/>
      <c r="BE76" s="310"/>
      <c r="BF76" s="310"/>
      <c r="BG76" s="310"/>
      <c r="BH76" s="310"/>
      <c r="BI76" s="310"/>
      <c r="BJ76" s="310"/>
      <c r="BK76" s="310"/>
      <c r="BL76" s="310"/>
      <c r="BM76" s="310"/>
      <c r="BN76" s="310"/>
      <c r="BO76" s="310"/>
      <c r="BP76" s="310"/>
      <c r="BQ76" s="310"/>
      <c r="BR76" s="310"/>
      <c r="BS76" s="310"/>
      <c r="BT76" s="310"/>
      <c r="BU76" s="310"/>
      <c r="BV76" s="310"/>
      <c r="BW76" s="310"/>
      <c r="BX76" s="310"/>
      <c r="BY76" s="310"/>
      <c r="BZ76" s="310"/>
      <c r="CA76" s="310"/>
      <c r="CB76" s="310"/>
      <c r="CC76" s="310"/>
      <c r="CD76" s="310"/>
      <c r="CE76" s="310"/>
      <c r="CF76" s="310"/>
      <c r="CG76" s="310"/>
      <c r="CH76" s="310"/>
      <c r="CI76" s="310"/>
      <c r="CJ76" s="310"/>
      <c r="CK76" s="310"/>
      <c r="CL76" s="310"/>
      <c r="CM76" s="310"/>
      <c r="CN76" s="310"/>
      <c r="CO76" s="310"/>
      <c r="CP76" s="310"/>
      <c r="CQ76" s="310"/>
      <c r="CR76" s="310"/>
      <c r="CS76" s="310"/>
      <c r="CT76" s="310"/>
      <c r="CU76" s="310"/>
      <c r="CV76" s="310"/>
    </row>
    <row r="77" spans="1:100" ht="12.75" outlineLevel="2" x14ac:dyDescent="0.2">
      <c r="A77" s="236"/>
      <c r="B77" s="236"/>
      <c r="C77" s="237"/>
      <c r="D77" s="238"/>
      <c r="E77" s="189" t="str">
        <f xml:space="preserve"> Time!E$204</f>
        <v>Senior debt repayment duration - T2</v>
      </c>
      <c r="F77" s="189">
        <f xml:space="preserve"> Time!F$204</f>
        <v>30</v>
      </c>
      <c r="G77" s="189" t="str">
        <f xml:space="preserve"> Time!G$204</f>
        <v>periods</v>
      </c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310"/>
      <c r="Y77" s="310"/>
      <c r="Z77" s="310"/>
      <c r="AA77" s="310"/>
      <c r="AB77" s="310"/>
      <c r="AC77" s="310"/>
      <c r="AD77" s="310"/>
      <c r="AE77" s="310"/>
      <c r="AF77" s="310"/>
      <c r="AG77" s="310"/>
      <c r="AH77" s="310"/>
      <c r="AI77" s="310"/>
      <c r="AJ77" s="310"/>
      <c r="AK77" s="310"/>
      <c r="AL77" s="310"/>
      <c r="AM77" s="310"/>
      <c r="AN77" s="310"/>
      <c r="AO77" s="310"/>
      <c r="AP77" s="310"/>
      <c r="AQ77" s="310"/>
      <c r="AR77" s="310"/>
      <c r="AS77" s="310"/>
      <c r="AT77" s="310"/>
      <c r="AU77" s="310"/>
      <c r="AV77" s="310"/>
      <c r="AW77" s="310"/>
      <c r="AX77" s="310"/>
      <c r="AY77" s="310"/>
      <c r="AZ77" s="310"/>
      <c r="BA77" s="310"/>
      <c r="BB77" s="310"/>
      <c r="BC77" s="310"/>
      <c r="BD77" s="310"/>
      <c r="BE77" s="310"/>
      <c r="BF77" s="310"/>
      <c r="BG77" s="310"/>
      <c r="BH77" s="310"/>
      <c r="BI77" s="310"/>
      <c r="BJ77" s="310"/>
      <c r="BK77" s="310"/>
      <c r="BL77" s="310"/>
      <c r="BM77" s="310"/>
      <c r="BN77" s="310"/>
      <c r="BO77" s="310"/>
      <c r="BP77" s="310"/>
      <c r="BQ77" s="310"/>
      <c r="BR77" s="310"/>
      <c r="BS77" s="310"/>
      <c r="BT77" s="310"/>
      <c r="BU77" s="310"/>
      <c r="BV77" s="310"/>
      <c r="BW77" s="310"/>
      <c r="BX77" s="310"/>
      <c r="BY77" s="310"/>
      <c r="BZ77" s="310"/>
      <c r="CA77" s="310"/>
      <c r="CB77" s="310"/>
      <c r="CC77" s="310"/>
      <c r="CD77" s="310"/>
      <c r="CE77" s="310"/>
      <c r="CF77" s="310"/>
      <c r="CG77" s="310"/>
      <c r="CH77" s="310"/>
      <c r="CI77" s="310"/>
      <c r="CJ77" s="310"/>
      <c r="CK77" s="310"/>
      <c r="CL77" s="310"/>
      <c r="CM77" s="310"/>
      <c r="CN77" s="310"/>
      <c r="CO77" s="310"/>
      <c r="CP77" s="310"/>
      <c r="CQ77" s="310"/>
      <c r="CR77" s="310"/>
      <c r="CS77" s="310"/>
      <c r="CT77" s="310"/>
      <c r="CU77" s="310"/>
      <c r="CV77" s="310"/>
    </row>
    <row r="78" spans="1:100" ht="12.75" outlineLevel="2" x14ac:dyDescent="0.2">
      <c r="A78" s="236"/>
      <c r="B78" s="236"/>
      <c r="C78" s="237"/>
      <c r="D78" s="238"/>
      <c r="E78" s="198" t="str">
        <f t="shared" ref="E78:AJ78" si="28" xml:space="preserve"> E$52</f>
        <v>Senior debt repayment for debt sizing - calc</v>
      </c>
      <c r="F78" s="198">
        <f t="shared" si="28"/>
        <v>0</v>
      </c>
      <c r="G78" s="198" t="str">
        <f t="shared" si="28"/>
        <v>$ 000s</v>
      </c>
      <c r="H78" s="198">
        <f t="shared" si="28"/>
        <v>250389.84250993346</v>
      </c>
      <c r="I78" s="198">
        <f t="shared" si="28"/>
        <v>0</v>
      </c>
      <c r="J78" s="198">
        <f t="shared" si="28"/>
        <v>0</v>
      </c>
      <c r="K78" s="198">
        <f t="shared" si="28"/>
        <v>0</v>
      </c>
      <c r="L78" s="198">
        <f t="shared" si="28"/>
        <v>0</v>
      </c>
      <c r="M78" s="198">
        <f t="shared" si="28"/>
        <v>0</v>
      </c>
      <c r="N78" s="198">
        <f t="shared" si="28"/>
        <v>0</v>
      </c>
      <c r="O78" s="198">
        <f t="shared" si="28"/>
        <v>6991.6926667136795</v>
      </c>
      <c r="P78" s="198">
        <f t="shared" si="28"/>
        <v>5775.4111835814365</v>
      </c>
      <c r="Q78" s="198">
        <f t="shared" si="28"/>
        <v>5844.9237074696321</v>
      </c>
      <c r="R78" s="198">
        <f t="shared" si="28"/>
        <v>5953.2700883188845</v>
      </c>
      <c r="S78" s="198">
        <f t="shared" si="28"/>
        <v>6029.7045384690427</v>
      </c>
      <c r="T78" s="198">
        <f t="shared" si="28"/>
        <v>6138.2341870091841</v>
      </c>
      <c r="U78" s="198">
        <f t="shared" si="28"/>
        <v>6221.8631172353962</v>
      </c>
      <c r="V78" s="198">
        <f t="shared" si="28"/>
        <v>6320.0540133506911</v>
      </c>
      <c r="W78" s="198">
        <f t="shared" si="28"/>
        <v>6406.4371417930624</v>
      </c>
      <c r="X78" s="198">
        <f t="shared" si="28"/>
        <v>6530.1240714338437</v>
      </c>
      <c r="Y78" s="198">
        <f t="shared" si="28"/>
        <v>6436.6246734352353</v>
      </c>
      <c r="Z78" s="198">
        <f t="shared" si="28"/>
        <v>6551.1588479647589</v>
      </c>
      <c r="AA78" s="198">
        <f t="shared" si="28"/>
        <v>6657.4024109955481</v>
      </c>
      <c r="AB78" s="198">
        <f t="shared" si="28"/>
        <v>6772.506702289661</v>
      </c>
      <c r="AC78" s="198">
        <f t="shared" si="28"/>
        <v>6887.5744962745739</v>
      </c>
      <c r="AD78" s="198">
        <f t="shared" si="28"/>
        <v>6997.9555785075554</v>
      </c>
      <c r="AE78" s="198">
        <f t="shared" si="28"/>
        <v>7112.8956776068926</v>
      </c>
      <c r="AF78" s="198">
        <f t="shared" si="28"/>
        <v>7243.4991871246275</v>
      </c>
      <c r="AG78" s="198">
        <f t="shared" si="28"/>
        <v>7377.3354565275367</v>
      </c>
      <c r="AH78" s="198">
        <f t="shared" si="28"/>
        <v>7494.4717614238834</v>
      </c>
      <c r="AI78" s="198">
        <f t="shared" si="28"/>
        <v>7492.5599767364547</v>
      </c>
      <c r="AJ78" s="198">
        <f t="shared" si="28"/>
        <v>7619.1752493234653</v>
      </c>
      <c r="AK78" s="198">
        <f t="shared" ref="AK78:BP78" si="29" xml:space="preserve"> AK$52</f>
        <v>7777.9497925844225</v>
      </c>
      <c r="AL78" s="198">
        <f t="shared" si="29"/>
        <v>7907.107671430681</v>
      </c>
      <c r="AM78" s="198">
        <f t="shared" si="29"/>
        <v>8062.4820085052197</v>
      </c>
      <c r="AN78" s="198">
        <f t="shared" si="29"/>
        <v>8205.5235450505133</v>
      </c>
      <c r="AO78" s="198">
        <f t="shared" si="29"/>
        <v>8388.4431583174519</v>
      </c>
      <c r="AP78" s="198">
        <f t="shared" si="29"/>
        <v>8519.3302834244005</v>
      </c>
      <c r="AQ78" s="198">
        <f t="shared" si="29"/>
        <v>8715.1712853743629</v>
      </c>
      <c r="AR78" s="198">
        <f t="shared" si="29"/>
        <v>8847.6870079171385</v>
      </c>
      <c r="AS78" s="198">
        <f t="shared" si="29"/>
        <v>9057.0483380948517</v>
      </c>
      <c r="AT78" s="198">
        <f t="shared" si="29"/>
        <v>9185.1556984451508</v>
      </c>
      <c r="AU78" s="198">
        <f t="shared" si="29"/>
        <v>9368.3451841734677</v>
      </c>
      <c r="AV78" s="198">
        <f t="shared" si="29"/>
        <v>9500.7238030307599</v>
      </c>
      <c r="AW78" s="198">
        <f t="shared" si="29"/>
        <v>0</v>
      </c>
      <c r="AX78" s="198">
        <f t="shared" si="29"/>
        <v>0</v>
      </c>
      <c r="AY78" s="198">
        <f t="shared" si="29"/>
        <v>0</v>
      </c>
      <c r="AZ78" s="198">
        <f t="shared" si="29"/>
        <v>0</v>
      </c>
      <c r="BA78" s="198">
        <f t="shared" si="29"/>
        <v>0</v>
      </c>
      <c r="BB78" s="198">
        <f t="shared" si="29"/>
        <v>0</v>
      </c>
      <c r="BC78" s="198">
        <f t="shared" si="29"/>
        <v>0</v>
      </c>
      <c r="BD78" s="198">
        <f t="shared" si="29"/>
        <v>0</v>
      </c>
      <c r="BE78" s="198">
        <f t="shared" si="29"/>
        <v>0</v>
      </c>
      <c r="BF78" s="198">
        <f t="shared" si="29"/>
        <v>0</v>
      </c>
      <c r="BG78" s="198">
        <f t="shared" si="29"/>
        <v>0</v>
      </c>
      <c r="BH78" s="198">
        <f t="shared" si="29"/>
        <v>0</v>
      </c>
      <c r="BI78" s="198">
        <f t="shared" si="29"/>
        <v>0</v>
      </c>
      <c r="BJ78" s="198">
        <f t="shared" si="29"/>
        <v>0</v>
      </c>
      <c r="BK78" s="198">
        <f t="shared" si="29"/>
        <v>0</v>
      </c>
      <c r="BL78" s="198">
        <f t="shared" si="29"/>
        <v>0</v>
      </c>
      <c r="BM78" s="198">
        <f t="shared" si="29"/>
        <v>0</v>
      </c>
      <c r="BN78" s="198">
        <f t="shared" si="29"/>
        <v>0</v>
      </c>
      <c r="BO78" s="198">
        <f t="shared" si="29"/>
        <v>0</v>
      </c>
      <c r="BP78" s="198">
        <f t="shared" si="29"/>
        <v>0</v>
      </c>
      <c r="BQ78" s="198">
        <f t="shared" ref="BQ78:CV78" si="30" xml:space="preserve"> BQ$52</f>
        <v>0</v>
      </c>
      <c r="BR78" s="198">
        <f t="shared" si="30"/>
        <v>0</v>
      </c>
      <c r="BS78" s="198">
        <f t="shared" si="30"/>
        <v>0</v>
      </c>
      <c r="BT78" s="198">
        <f t="shared" si="30"/>
        <v>0</v>
      </c>
      <c r="BU78" s="198">
        <f t="shared" si="30"/>
        <v>0</v>
      </c>
      <c r="BV78" s="198">
        <f t="shared" si="30"/>
        <v>0</v>
      </c>
      <c r="BW78" s="198">
        <f t="shared" si="30"/>
        <v>0</v>
      </c>
      <c r="BX78" s="198">
        <f t="shared" si="30"/>
        <v>0</v>
      </c>
      <c r="BY78" s="198">
        <f t="shared" si="30"/>
        <v>0</v>
      </c>
      <c r="BZ78" s="198">
        <f t="shared" si="30"/>
        <v>0</v>
      </c>
      <c r="CA78" s="198">
        <f t="shared" si="30"/>
        <v>0</v>
      </c>
      <c r="CB78" s="198">
        <f t="shared" si="30"/>
        <v>0</v>
      </c>
      <c r="CC78" s="198">
        <f t="shared" si="30"/>
        <v>0</v>
      </c>
      <c r="CD78" s="198">
        <f t="shared" si="30"/>
        <v>0</v>
      </c>
      <c r="CE78" s="198">
        <f t="shared" si="30"/>
        <v>0</v>
      </c>
      <c r="CF78" s="198">
        <f t="shared" si="30"/>
        <v>0</v>
      </c>
      <c r="CG78" s="198">
        <f t="shared" si="30"/>
        <v>0</v>
      </c>
      <c r="CH78" s="198">
        <f t="shared" si="30"/>
        <v>0</v>
      </c>
      <c r="CI78" s="198">
        <f t="shared" si="30"/>
        <v>0</v>
      </c>
      <c r="CJ78" s="198">
        <f t="shared" si="30"/>
        <v>0</v>
      </c>
      <c r="CK78" s="198">
        <f t="shared" si="30"/>
        <v>0</v>
      </c>
      <c r="CL78" s="198">
        <f t="shared" si="30"/>
        <v>0</v>
      </c>
      <c r="CM78" s="198">
        <f t="shared" si="30"/>
        <v>0</v>
      </c>
      <c r="CN78" s="198">
        <f t="shared" si="30"/>
        <v>0</v>
      </c>
      <c r="CO78" s="198">
        <f t="shared" si="30"/>
        <v>0</v>
      </c>
      <c r="CP78" s="198">
        <f t="shared" si="30"/>
        <v>0</v>
      </c>
      <c r="CQ78" s="198">
        <f t="shared" si="30"/>
        <v>0</v>
      </c>
      <c r="CR78" s="198">
        <f t="shared" si="30"/>
        <v>0</v>
      </c>
      <c r="CS78" s="198">
        <f t="shared" si="30"/>
        <v>0</v>
      </c>
      <c r="CT78" s="198">
        <f t="shared" si="30"/>
        <v>0</v>
      </c>
      <c r="CU78" s="198">
        <f t="shared" si="30"/>
        <v>0</v>
      </c>
      <c r="CV78" s="198">
        <f t="shared" si="30"/>
        <v>0</v>
      </c>
    </row>
    <row r="79" spans="1:100" ht="12.75" outlineLevel="2" x14ac:dyDescent="0.2">
      <c r="A79" s="236"/>
      <c r="B79" s="236"/>
      <c r="C79" s="237"/>
      <c r="D79" s="238"/>
      <c r="E79" s="198" t="str">
        <f t="shared" ref="E79:AJ79" si="31" xml:space="preserve"> E$72</f>
        <v>Debt repayment period flag - all tranches active</v>
      </c>
      <c r="F79" s="198">
        <f t="shared" si="31"/>
        <v>0</v>
      </c>
      <c r="G79" s="198" t="str">
        <f t="shared" si="31"/>
        <v>flag</v>
      </c>
      <c r="H79" s="198">
        <f t="shared" si="31"/>
        <v>30</v>
      </c>
      <c r="I79" s="198">
        <f t="shared" si="31"/>
        <v>0</v>
      </c>
      <c r="J79" s="198">
        <f t="shared" si="31"/>
        <v>0</v>
      </c>
      <c r="K79" s="198">
        <f t="shared" si="31"/>
        <v>0</v>
      </c>
      <c r="L79" s="198">
        <f t="shared" si="31"/>
        <v>0</v>
      </c>
      <c r="M79" s="198">
        <f t="shared" si="31"/>
        <v>0</v>
      </c>
      <c r="N79" s="198">
        <f t="shared" si="31"/>
        <v>0</v>
      </c>
      <c r="O79" s="198">
        <f t="shared" si="31"/>
        <v>1</v>
      </c>
      <c r="P79" s="198">
        <f t="shared" si="31"/>
        <v>1</v>
      </c>
      <c r="Q79" s="198">
        <f t="shared" si="31"/>
        <v>1</v>
      </c>
      <c r="R79" s="198">
        <f t="shared" si="31"/>
        <v>1</v>
      </c>
      <c r="S79" s="198">
        <f t="shared" si="31"/>
        <v>1</v>
      </c>
      <c r="T79" s="198">
        <f t="shared" si="31"/>
        <v>1</v>
      </c>
      <c r="U79" s="198">
        <f t="shared" si="31"/>
        <v>1</v>
      </c>
      <c r="V79" s="198">
        <f t="shared" si="31"/>
        <v>1</v>
      </c>
      <c r="W79" s="198">
        <f t="shared" si="31"/>
        <v>1</v>
      </c>
      <c r="X79" s="198">
        <f t="shared" si="31"/>
        <v>1</v>
      </c>
      <c r="Y79" s="198">
        <f t="shared" si="31"/>
        <v>1</v>
      </c>
      <c r="Z79" s="198">
        <f t="shared" si="31"/>
        <v>1</v>
      </c>
      <c r="AA79" s="198">
        <f t="shared" si="31"/>
        <v>1</v>
      </c>
      <c r="AB79" s="198">
        <f t="shared" si="31"/>
        <v>1</v>
      </c>
      <c r="AC79" s="198">
        <f t="shared" si="31"/>
        <v>1</v>
      </c>
      <c r="AD79" s="198">
        <f t="shared" si="31"/>
        <v>1</v>
      </c>
      <c r="AE79" s="198">
        <f t="shared" si="31"/>
        <v>1</v>
      </c>
      <c r="AF79" s="198">
        <f t="shared" si="31"/>
        <v>1</v>
      </c>
      <c r="AG79" s="198">
        <f t="shared" si="31"/>
        <v>1</v>
      </c>
      <c r="AH79" s="198">
        <f t="shared" si="31"/>
        <v>1</v>
      </c>
      <c r="AI79" s="198">
        <f t="shared" si="31"/>
        <v>1</v>
      </c>
      <c r="AJ79" s="198">
        <f t="shared" si="31"/>
        <v>1</v>
      </c>
      <c r="AK79" s="198">
        <f t="shared" ref="AK79:BP79" si="32" xml:space="preserve"> AK$72</f>
        <v>1</v>
      </c>
      <c r="AL79" s="198">
        <f t="shared" si="32"/>
        <v>1</v>
      </c>
      <c r="AM79" s="198">
        <f t="shared" si="32"/>
        <v>1</v>
      </c>
      <c r="AN79" s="198">
        <f t="shared" si="32"/>
        <v>1</v>
      </c>
      <c r="AO79" s="198">
        <f t="shared" si="32"/>
        <v>1</v>
      </c>
      <c r="AP79" s="198">
        <f t="shared" si="32"/>
        <v>1</v>
      </c>
      <c r="AQ79" s="198">
        <f t="shared" si="32"/>
        <v>1</v>
      </c>
      <c r="AR79" s="198">
        <f t="shared" si="32"/>
        <v>1</v>
      </c>
      <c r="AS79" s="198">
        <f t="shared" si="32"/>
        <v>0</v>
      </c>
      <c r="AT79" s="198">
        <f t="shared" si="32"/>
        <v>0</v>
      </c>
      <c r="AU79" s="198">
        <f t="shared" si="32"/>
        <v>0</v>
      </c>
      <c r="AV79" s="198">
        <f t="shared" si="32"/>
        <v>0</v>
      </c>
      <c r="AW79" s="198">
        <f t="shared" si="32"/>
        <v>0</v>
      </c>
      <c r="AX79" s="198">
        <f t="shared" si="32"/>
        <v>0</v>
      </c>
      <c r="AY79" s="198">
        <f t="shared" si="32"/>
        <v>0</v>
      </c>
      <c r="AZ79" s="198">
        <f t="shared" si="32"/>
        <v>0</v>
      </c>
      <c r="BA79" s="198">
        <f t="shared" si="32"/>
        <v>0</v>
      </c>
      <c r="BB79" s="198">
        <f t="shared" si="32"/>
        <v>0</v>
      </c>
      <c r="BC79" s="198">
        <f t="shared" si="32"/>
        <v>0</v>
      </c>
      <c r="BD79" s="198">
        <f t="shared" si="32"/>
        <v>0</v>
      </c>
      <c r="BE79" s="198">
        <f t="shared" si="32"/>
        <v>0</v>
      </c>
      <c r="BF79" s="198">
        <f t="shared" si="32"/>
        <v>0</v>
      </c>
      <c r="BG79" s="198">
        <f t="shared" si="32"/>
        <v>0</v>
      </c>
      <c r="BH79" s="198">
        <f t="shared" si="32"/>
        <v>0</v>
      </c>
      <c r="BI79" s="198">
        <f t="shared" si="32"/>
        <v>0</v>
      </c>
      <c r="BJ79" s="198">
        <f t="shared" si="32"/>
        <v>0</v>
      </c>
      <c r="BK79" s="198">
        <f t="shared" si="32"/>
        <v>0</v>
      </c>
      <c r="BL79" s="198">
        <f t="shared" si="32"/>
        <v>0</v>
      </c>
      <c r="BM79" s="198">
        <f t="shared" si="32"/>
        <v>0</v>
      </c>
      <c r="BN79" s="198">
        <f t="shared" si="32"/>
        <v>0</v>
      </c>
      <c r="BO79" s="198">
        <f t="shared" si="32"/>
        <v>0</v>
      </c>
      <c r="BP79" s="198">
        <f t="shared" si="32"/>
        <v>0</v>
      </c>
      <c r="BQ79" s="198">
        <f t="shared" ref="BQ79:CV79" si="33" xml:space="preserve"> BQ$72</f>
        <v>0</v>
      </c>
      <c r="BR79" s="198">
        <f t="shared" si="33"/>
        <v>0</v>
      </c>
      <c r="BS79" s="198">
        <f t="shared" si="33"/>
        <v>0</v>
      </c>
      <c r="BT79" s="198">
        <f t="shared" si="33"/>
        <v>0</v>
      </c>
      <c r="BU79" s="198">
        <f t="shared" si="33"/>
        <v>0</v>
      </c>
      <c r="BV79" s="198">
        <f t="shared" si="33"/>
        <v>0</v>
      </c>
      <c r="BW79" s="198">
        <f t="shared" si="33"/>
        <v>0</v>
      </c>
      <c r="BX79" s="198">
        <f t="shared" si="33"/>
        <v>0</v>
      </c>
      <c r="BY79" s="198">
        <f t="shared" si="33"/>
        <v>0</v>
      </c>
      <c r="BZ79" s="198">
        <f t="shared" si="33"/>
        <v>0</v>
      </c>
      <c r="CA79" s="198">
        <f t="shared" si="33"/>
        <v>0</v>
      </c>
      <c r="CB79" s="198">
        <f t="shared" si="33"/>
        <v>0</v>
      </c>
      <c r="CC79" s="198">
        <f t="shared" si="33"/>
        <v>0</v>
      </c>
      <c r="CD79" s="198">
        <f t="shared" si="33"/>
        <v>0</v>
      </c>
      <c r="CE79" s="198">
        <f t="shared" si="33"/>
        <v>0</v>
      </c>
      <c r="CF79" s="198">
        <f t="shared" si="33"/>
        <v>0</v>
      </c>
      <c r="CG79" s="198">
        <f t="shared" si="33"/>
        <v>0</v>
      </c>
      <c r="CH79" s="198">
        <f t="shared" si="33"/>
        <v>0</v>
      </c>
      <c r="CI79" s="198">
        <f t="shared" si="33"/>
        <v>0</v>
      </c>
      <c r="CJ79" s="198">
        <f t="shared" si="33"/>
        <v>0</v>
      </c>
      <c r="CK79" s="198">
        <f t="shared" si="33"/>
        <v>0</v>
      </c>
      <c r="CL79" s="198">
        <f t="shared" si="33"/>
        <v>0</v>
      </c>
      <c r="CM79" s="198">
        <f t="shared" si="33"/>
        <v>0</v>
      </c>
      <c r="CN79" s="198">
        <f t="shared" si="33"/>
        <v>0</v>
      </c>
      <c r="CO79" s="198">
        <f t="shared" si="33"/>
        <v>0</v>
      </c>
      <c r="CP79" s="198">
        <f t="shared" si="33"/>
        <v>0</v>
      </c>
      <c r="CQ79" s="198">
        <f t="shared" si="33"/>
        <v>0</v>
      </c>
      <c r="CR79" s="198">
        <f t="shared" si="33"/>
        <v>0</v>
      </c>
      <c r="CS79" s="198">
        <f t="shared" si="33"/>
        <v>0</v>
      </c>
      <c r="CT79" s="198">
        <f t="shared" si="33"/>
        <v>0</v>
      </c>
      <c r="CU79" s="198">
        <f t="shared" si="33"/>
        <v>0</v>
      </c>
      <c r="CV79" s="198">
        <f t="shared" si="33"/>
        <v>0</v>
      </c>
    </row>
    <row r="80" spans="1:100" ht="12.75" outlineLevel="2" x14ac:dyDescent="0.2">
      <c r="A80" s="236"/>
      <c r="B80" s="236"/>
      <c r="C80" s="237"/>
      <c r="D80" s="238"/>
      <c r="E80" s="530" t="s">
        <v>970</v>
      </c>
      <c r="F80" s="530">
        <f xml:space="preserve"> IF(AND(F76 = F$75, F77 = F$75), 0, SUMPRODUCT(J78:CV78, J79:CV79))</f>
        <v>213278.56948618923</v>
      </c>
      <c r="G80" s="530" t="str">
        <f xml:space="preserve"> SMU</f>
        <v>$ 000s</v>
      </c>
      <c r="H80" s="198"/>
      <c r="I80" s="198"/>
      <c r="J80" s="198"/>
      <c r="K80" s="198"/>
      <c r="L80" s="198"/>
      <c r="M80" s="198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98"/>
      <c r="AJ80" s="198"/>
      <c r="AK80" s="198"/>
      <c r="AL80" s="198"/>
      <c r="AM80" s="198"/>
      <c r="AN80" s="198"/>
      <c r="AO80" s="198"/>
      <c r="AP80" s="198"/>
      <c r="AQ80" s="198"/>
      <c r="AR80" s="198"/>
      <c r="AS80" s="198"/>
      <c r="AT80" s="198"/>
      <c r="AU80" s="198"/>
      <c r="AV80" s="198"/>
      <c r="AW80" s="198"/>
      <c r="AX80" s="198"/>
      <c r="AY80" s="198"/>
      <c r="AZ80" s="198"/>
      <c r="BA80" s="198"/>
      <c r="BB80" s="198"/>
      <c r="BC80" s="198"/>
      <c r="BD80" s="198"/>
      <c r="BE80" s="198"/>
      <c r="BF80" s="198"/>
      <c r="BG80" s="198"/>
      <c r="BH80" s="198"/>
      <c r="BI80" s="198"/>
      <c r="BJ80" s="198"/>
      <c r="BK80" s="198"/>
      <c r="BL80" s="198"/>
      <c r="BM80" s="198"/>
      <c r="BN80" s="198"/>
      <c r="BO80" s="198"/>
      <c r="BP80" s="198"/>
      <c r="BQ80" s="198"/>
      <c r="BR80" s="198"/>
      <c r="BS80" s="198"/>
      <c r="BT80" s="198"/>
      <c r="BU80" s="198"/>
      <c r="BV80" s="198"/>
      <c r="BW80" s="198"/>
      <c r="BX80" s="198"/>
      <c r="BY80" s="198"/>
      <c r="BZ80" s="198"/>
      <c r="CA80" s="198"/>
      <c r="CB80" s="198"/>
      <c r="CC80" s="198"/>
      <c r="CD80" s="198"/>
      <c r="CE80" s="198"/>
      <c r="CF80" s="198"/>
      <c r="CG80" s="198"/>
      <c r="CH80" s="198"/>
      <c r="CI80" s="198"/>
      <c r="CJ80" s="198"/>
      <c r="CK80" s="198"/>
      <c r="CL80" s="198"/>
      <c r="CM80" s="198"/>
      <c r="CN80" s="198"/>
      <c r="CO80" s="198"/>
      <c r="CP80" s="198"/>
      <c r="CQ80" s="198"/>
      <c r="CR80" s="198"/>
      <c r="CS80" s="198"/>
      <c r="CT80" s="198"/>
      <c r="CU80" s="198"/>
      <c r="CV80" s="198"/>
    </row>
    <row r="81" spans="1:100" ht="12.75" outlineLevel="2" x14ac:dyDescent="0.2">
      <c r="A81" s="236"/>
      <c r="B81" s="236"/>
      <c r="C81" s="237"/>
      <c r="D81" s="238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10"/>
      <c r="Y81" s="310"/>
      <c r="Z81" s="310"/>
      <c r="AA81" s="310"/>
      <c r="AB81" s="310"/>
      <c r="AC81" s="310"/>
      <c r="AD81" s="310"/>
      <c r="AE81" s="310"/>
      <c r="AF81" s="310"/>
      <c r="AG81" s="310"/>
      <c r="AH81" s="310"/>
      <c r="AI81" s="310"/>
      <c r="AJ81" s="310"/>
      <c r="AK81" s="310"/>
      <c r="AL81" s="310"/>
      <c r="AM81" s="310"/>
      <c r="AN81" s="310"/>
      <c r="AO81" s="310"/>
      <c r="AP81" s="310"/>
      <c r="AQ81" s="310"/>
      <c r="AR81" s="310"/>
      <c r="AS81" s="310"/>
      <c r="AT81" s="310"/>
      <c r="AU81" s="310"/>
      <c r="AV81" s="310"/>
      <c r="AW81" s="310"/>
      <c r="AX81" s="310"/>
      <c r="AY81" s="310"/>
      <c r="AZ81" s="310"/>
      <c r="BA81" s="310"/>
      <c r="BB81" s="310"/>
      <c r="BC81" s="310"/>
      <c r="BD81" s="310"/>
      <c r="BE81" s="310"/>
      <c r="BF81" s="310"/>
      <c r="BG81" s="310"/>
      <c r="BH81" s="310"/>
      <c r="BI81" s="310"/>
      <c r="BJ81" s="310"/>
      <c r="BK81" s="310"/>
      <c r="BL81" s="310"/>
      <c r="BM81" s="310"/>
      <c r="BN81" s="310"/>
      <c r="BO81" s="310"/>
      <c r="BP81" s="310"/>
      <c r="BQ81" s="310"/>
      <c r="BR81" s="310"/>
      <c r="BS81" s="310"/>
      <c r="BT81" s="310"/>
      <c r="BU81" s="310"/>
      <c r="BV81" s="310"/>
      <c r="BW81" s="310"/>
      <c r="BX81" s="310"/>
      <c r="BY81" s="310"/>
      <c r="BZ81" s="310"/>
      <c r="CA81" s="310"/>
      <c r="CB81" s="310"/>
      <c r="CC81" s="310"/>
      <c r="CD81" s="310"/>
      <c r="CE81" s="310"/>
      <c r="CF81" s="310"/>
      <c r="CG81" s="310"/>
      <c r="CH81" s="310"/>
      <c r="CI81" s="310"/>
      <c r="CJ81" s="310"/>
      <c r="CK81" s="310"/>
      <c r="CL81" s="310"/>
      <c r="CM81" s="310"/>
      <c r="CN81" s="310"/>
      <c r="CO81" s="310"/>
      <c r="CP81" s="310"/>
      <c r="CQ81" s="310"/>
      <c r="CR81" s="310"/>
      <c r="CS81" s="310"/>
      <c r="CT81" s="310"/>
      <c r="CU81" s="310"/>
      <c r="CV81" s="310"/>
    </row>
    <row r="82" spans="1:100" s="125" customFormat="1" ht="12.75" outlineLevel="2" x14ac:dyDescent="0.2">
      <c r="A82" s="85"/>
      <c r="B82" s="85"/>
      <c r="C82" s="86"/>
      <c r="D82" s="87"/>
      <c r="E82" s="189" t="str">
        <f xml:space="preserve"> Solve!E$52</f>
        <v>Debt repayment amount - all tranche active - Paste</v>
      </c>
      <c r="F82" s="189">
        <f xml:space="preserve"> Solve!F$52</f>
        <v>213278.57848669353</v>
      </c>
      <c r="G82" s="189" t="str">
        <f xml:space="preserve"> Solve!G$52</f>
        <v>$ 000s</v>
      </c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  <c r="S82" s="189"/>
      <c r="T82" s="189"/>
      <c r="U82" s="189"/>
      <c r="V82" s="189"/>
      <c r="W82" s="189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89"/>
      <c r="AI82" s="189"/>
      <c r="AJ82" s="189"/>
      <c r="AK82" s="189"/>
      <c r="AL82" s="189"/>
      <c r="AM82" s="189"/>
      <c r="AN82" s="189"/>
      <c r="AO82" s="189"/>
      <c r="AP82" s="189"/>
      <c r="AQ82" s="189"/>
      <c r="AR82" s="189"/>
      <c r="AS82" s="189"/>
      <c r="AT82" s="189"/>
      <c r="AU82" s="189"/>
      <c r="AV82" s="189"/>
      <c r="AW82" s="189"/>
      <c r="AX82" s="189"/>
      <c r="AY82" s="189"/>
      <c r="AZ82" s="189"/>
      <c r="BA82" s="189"/>
      <c r="BB82" s="189"/>
      <c r="BC82" s="189"/>
      <c r="BD82" s="189"/>
      <c r="BE82" s="189"/>
      <c r="BF82" s="189"/>
      <c r="BG82" s="189"/>
      <c r="BH82" s="189"/>
      <c r="BI82" s="189"/>
      <c r="BJ82" s="189"/>
      <c r="BK82" s="189"/>
      <c r="BL82" s="189"/>
      <c r="BM82" s="189"/>
      <c r="BN82" s="189"/>
      <c r="BO82" s="189"/>
      <c r="BP82" s="189"/>
      <c r="BQ82" s="189"/>
      <c r="BR82" s="189"/>
      <c r="BS82" s="189"/>
      <c r="BT82" s="189"/>
      <c r="BU82" s="189"/>
      <c r="BV82" s="189"/>
      <c r="BW82" s="189"/>
      <c r="BX82" s="189"/>
      <c r="BY82" s="189"/>
      <c r="BZ82" s="189"/>
      <c r="CA82" s="189"/>
      <c r="CB82" s="189"/>
      <c r="CC82" s="189"/>
      <c r="CD82" s="189"/>
      <c r="CE82" s="189"/>
      <c r="CF82" s="189"/>
      <c r="CG82" s="189"/>
      <c r="CH82" s="189"/>
      <c r="CI82" s="189"/>
      <c r="CJ82" s="189"/>
      <c r="CK82" s="189"/>
      <c r="CL82" s="189"/>
      <c r="CM82" s="189"/>
      <c r="CN82" s="189"/>
      <c r="CO82" s="189"/>
      <c r="CP82" s="189"/>
      <c r="CQ82" s="189"/>
      <c r="CR82" s="189"/>
      <c r="CS82" s="189"/>
      <c r="CT82" s="189"/>
      <c r="CU82" s="189"/>
      <c r="CV82" s="189"/>
    </row>
    <row r="83" spans="1:100" s="125" customFormat="1" ht="12.75" outlineLevel="2" x14ac:dyDescent="0.2">
      <c r="A83" s="85"/>
      <c r="B83" s="85"/>
      <c r="C83" s="86"/>
      <c r="D83" s="87"/>
      <c r="E83" s="189" t="str">
        <f xml:space="preserve"> ConFin!E$312</f>
        <v>Sum of construction debt drawdown - T1</v>
      </c>
      <c r="F83" s="189">
        <f xml:space="preserve"> ConFin!F$312</f>
        <v>125194.92613015344</v>
      </c>
      <c r="G83" s="189" t="str">
        <f xml:space="preserve"> ConFin!G$312</f>
        <v>$ 000s</v>
      </c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  <c r="S83" s="189"/>
      <c r="T83" s="189"/>
      <c r="U83" s="189"/>
      <c r="V83" s="189"/>
      <c r="W83" s="189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89"/>
      <c r="AI83" s="189"/>
      <c r="AJ83" s="189"/>
      <c r="AK83" s="189"/>
      <c r="AL83" s="189"/>
      <c r="AM83" s="189"/>
      <c r="AN83" s="189"/>
      <c r="AO83" s="189"/>
      <c r="AP83" s="189"/>
      <c r="AQ83" s="189"/>
      <c r="AR83" s="189"/>
      <c r="AS83" s="189"/>
      <c r="AT83" s="189"/>
      <c r="AU83" s="189"/>
      <c r="AV83" s="189"/>
      <c r="AW83" s="189"/>
      <c r="AX83" s="189"/>
      <c r="AY83" s="189"/>
      <c r="AZ83" s="189"/>
      <c r="BA83" s="189"/>
      <c r="BB83" s="189"/>
      <c r="BC83" s="189"/>
      <c r="BD83" s="189"/>
      <c r="BE83" s="189"/>
      <c r="BF83" s="189"/>
      <c r="BG83" s="189"/>
      <c r="BH83" s="189"/>
      <c r="BI83" s="189"/>
      <c r="BJ83" s="189"/>
      <c r="BK83" s="189"/>
      <c r="BL83" s="189"/>
      <c r="BM83" s="189"/>
      <c r="BN83" s="189"/>
      <c r="BO83" s="189"/>
      <c r="BP83" s="189"/>
      <c r="BQ83" s="189"/>
      <c r="BR83" s="189"/>
      <c r="BS83" s="189"/>
      <c r="BT83" s="189"/>
      <c r="BU83" s="189"/>
      <c r="BV83" s="189"/>
      <c r="BW83" s="189"/>
      <c r="BX83" s="189"/>
      <c r="BY83" s="189"/>
      <c r="BZ83" s="189"/>
      <c r="CA83" s="189"/>
      <c r="CB83" s="189"/>
      <c r="CC83" s="189"/>
      <c r="CD83" s="189"/>
      <c r="CE83" s="189"/>
      <c r="CF83" s="189"/>
      <c r="CG83" s="189"/>
      <c r="CH83" s="189"/>
      <c r="CI83" s="189"/>
      <c r="CJ83" s="189"/>
      <c r="CK83" s="189"/>
      <c r="CL83" s="189"/>
      <c r="CM83" s="189"/>
      <c r="CN83" s="189"/>
      <c r="CO83" s="189"/>
      <c r="CP83" s="189"/>
      <c r="CQ83" s="189"/>
      <c r="CR83" s="189"/>
      <c r="CS83" s="189"/>
      <c r="CT83" s="189"/>
      <c r="CU83" s="189"/>
      <c r="CV83" s="189"/>
    </row>
    <row r="84" spans="1:100" ht="12.75" outlineLevel="2" x14ac:dyDescent="0.2">
      <c r="A84" s="236"/>
      <c r="B84" s="236"/>
      <c r="C84" s="237"/>
      <c r="D84" s="238"/>
      <c r="E84" s="32" t="str">
        <f t="shared" ref="E84:G84" si="34" xml:space="preserve"> E$73</f>
        <v>Debt repayment period duration - all tranches active</v>
      </c>
      <c r="F84" s="32">
        <f t="shared" si="34"/>
        <v>30</v>
      </c>
      <c r="G84" s="32" t="str">
        <f t="shared" si="34"/>
        <v>periods</v>
      </c>
      <c r="H84" s="310"/>
      <c r="I84" s="310"/>
      <c r="J84" s="310"/>
      <c r="K84" s="310"/>
      <c r="L84" s="310"/>
      <c r="M84" s="310"/>
      <c r="N84" s="310"/>
      <c r="O84" s="310"/>
      <c r="P84" s="310"/>
      <c r="Q84" s="310"/>
      <c r="R84" s="310"/>
      <c r="S84" s="310"/>
      <c r="T84" s="310"/>
      <c r="U84" s="310"/>
      <c r="V84" s="310"/>
      <c r="W84" s="310"/>
      <c r="X84" s="310"/>
      <c r="Y84" s="310"/>
      <c r="Z84" s="310"/>
      <c r="AA84" s="310"/>
      <c r="AB84" s="310"/>
      <c r="AC84" s="310"/>
      <c r="AD84" s="310"/>
      <c r="AE84" s="310"/>
      <c r="AF84" s="310"/>
      <c r="AG84" s="310"/>
      <c r="AH84" s="310"/>
      <c r="AI84" s="310"/>
      <c r="AJ84" s="310"/>
      <c r="AK84" s="310"/>
      <c r="AL84" s="310"/>
      <c r="AM84" s="310"/>
      <c r="AN84" s="310"/>
      <c r="AO84" s="310"/>
      <c r="AP84" s="310"/>
      <c r="AQ84" s="310"/>
      <c r="AR84" s="310"/>
      <c r="AS84" s="310"/>
      <c r="AT84" s="310"/>
      <c r="AU84" s="310"/>
      <c r="AV84" s="310"/>
      <c r="AW84" s="310"/>
      <c r="AX84" s="310"/>
      <c r="AY84" s="310"/>
      <c r="AZ84" s="310"/>
      <c r="BA84" s="310"/>
      <c r="BB84" s="310"/>
      <c r="BC84" s="310"/>
      <c r="BD84" s="310"/>
      <c r="BE84" s="310"/>
      <c r="BF84" s="310"/>
      <c r="BG84" s="310"/>
      <c r="BH84" s="310"/>
      <c r="BI84" s="310"/>
      <c r="BJ84" s="310"/>
      <c r="BK84" s="310"/>
      <c r="BL84" s="310"/>
      <c r="BM84" s="310"/>
      <c r="BN84" s="310"/>
      <c r="BO84" s="310"/>
      <c r="BP84" s="310"/>
      <c r="BQ84" s="310"/>
      <c r="BR84" s="310"/>
      <c r="BS84" s="310"/>
      <c r="BT84" s="310"/>
      <c r="BU84" s="310"/>
      <c r="BV84" s="310"/>
      <c r="BW84" s="310"/>
      <c r="BX84" s="310"/>
      <c r="BY84" s="310"/>
      <c r="BZ84" s="310"/>
      <c r="CA84" s="310"/>
      <c r="CB84" s="310"/>
      <c r="CC84" s="310"/>
      <c r="CD84" s="310"/>
      <c r="CE84" s="310"/>
      <c r="CF84" s="310"/>
      <c r="CG84" s="310"/>
      <c r="CH84" s="310"/>
      <c r="CI84" s="310"/>
      <c r="CJ84" s="310"/>
      <c r="CK84" s="310"/>
      <c r="CL84" s="310"/>
      <c r="CM84" s="310"/>
      <c r="CN84" s="310"/>
      <c r="CO84" s="310"/>
      <c r="CP84" s="310"/>
      <c r="CQ84" s="310"/>
      <c r="CR84" s="310"/>
      <c r="CS84" s="310"/>
      <c r="CT84" s="310"/>
      <c r="CU84" s="310"/>
      <c r="CV84" s="310"/>
    </row>
    <row r="85" spans="1:100" ht="12.75" outlineLevel="2" x14ac:dyDescent="0.2">
      <c r="A85" s="236"/>
      <c r="B85" s="236"/>
      <c r="C85" s="237"/>
      <c r="D85" s="238"/>
      <c r="E85" s="189" t="str">
        <f xml:space="preserve"> Time!E$164</f>
        <v>Senior debt repayment duration - T1</v>
      </c>
      <c r="F85" s="189">
        <f xml:space="preserve"> Time!F$164</f>
        <v>34</v>
      </c>
      <c r="G85" s="189" t="str">
        <f xml:space="preserve"> Time!G$164</f>
        <v>periods</v>
      </c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10"/>
      <c r="Y85" s="310"/>
      <c r="Z85" s="310"/>
      <c r="AA85" s="310"/>
      <c r="AB85" s="310"/>
      <c r="AC85" s="310"/>
      <c r="AD85" s="310"/>
      <c r="AE85" s="310"/>
      <c r="AF85" s="310"/>
      <c r="AG85" s="310"/>
      <c r="AH85" s="310"/>
      <c r="AI85" s="310"/>
      <c r="AJ85" s="310"/>
      <c r="AK85" s="310"/>
      <c r="AL85" s="310"/>
      <c r="AM85" s="310"/>
      <c r="AN85" s="310"/>
      <c r="AO85" s="310"/>
      <c r="AP85" s="310"/>
      <c r="AQ85" s="310"/>
      <c r="AR85" s="310"/>
      <c r="AS85" s="310"/>
      <c r="AT85" s="310"/>
      <c r="AU85" s="310"/>
      <c r="AV85" s="310"/>
      <c r="AW85" s="310"/>
      <c r="AX85" s="310"/>
      <c r="AY85" s="310"/>
      <c r="AZ85" s="310"/>
      <c r="BA85" s="310"/>
      <c r="BB85" s="310"/>
      <c r="BC85" s="310"/>
      <c r="BD85" s="310"/>
      <c r="BE85" s="310"/>
      <c r="BF85" s="310"/>
      <c r="BG85" s="310"/>
      <c r="BH85" s="310"/>
      <c r="BI85" s="310"/>
      <c r="BJ85" s="310"/>
      <c r="BK85" s="310"/>
      <c r="BL85" s="310"/>
      <c r="BM85" s="310"/>
      <c r="BN85" s="310"/>
      <c r="BO85" s="310"/>
      <c r="BP85" s="310"/>
      <c r="BQ85" s="310"/>
      <c r="BR85" s="310"/>
      <c r="BS85" s="310"/>
      <c r="BT85" s="310"/>
      <c r="BU85" s="310"/>
      <c r="BV85" s="310"/>
      <c r="BW85" s="310"/>
      <c r="BX85" s="310"/>
      <c r="BY85" s="310"/>
      <c r="BZ85" s="310"/>
      <c r="CA85" s="310"/>
      <c r="CB85" s="310"/>
      <c r="CC85" s="310"/>
      <c r="CD85" s="310"/>
      <c r="CE85" s="310"/>
      <c r="CF85" s="310"/>
      <c r="CG85" s="310"/>
      <c r="CH85" s="310"/>
      <c r="CI85" s="310"/>
      <c r="CJ85" s="310"/>
      <c r="CK85" s="310"/>
      <c r="CL85" s="310"/>
      <c r="CM85" s="310"/>
      <c r="CN85" s="310"/>
      <c r="CO85" s="310"/>
      <c r="CP85" s="310"/>
      <c r="CQ85" s="310"/>
      <c r="CR85" s="310"/>
      <c r="CS85" s="310"/>
      <c r="CT85" s="310"/>
      <c r="CU85" s="310"/>
      <c r="CV85" s="310"/>
    </row>
    <row r="86" spans="1:100" s="283" customFormat="1" ht="12.75" outlineLevel="2" x14ac:dyDescent="0.2">
      <c r="A86" s="311"/>
      <c r="B86" s="311"/>
      <c r="C86" s="312"/>
      <c r="D86" s="313"/>
      <c r="E86" s="282" t="s">
        <v>973</v>
      </c>
      <c r="F86" s="558">
        <f xml:space="preserve"> IF(F85 &gt; F84, 0, IF(F82 &gt; 0, MAX(0, F83 / F82), 0))</f>
        <v>0</v>
      </c>
      <c r="G86" s="282" t="s">
        <v>103</v>
      </c>
      <c r="H86" s="314"/>
      <c r="I86" s="314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/>
      <c r="AE86" s="314"/>
      <c r="AF86" s="314"/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314"/>
      <c r="BG86" s="314"/>
      <c r="BH86" s="314"/>
      <c r="BI86" s="314"/>
      <c r="BJ86" s="314"/>
      <c r="BK86" s="314"/>
      <c r="BL86" s="314"/>
      <c r="BM86" s="314"/>
      <c r="BN86" s="314"/>
      <c r="BO86" s="314"/>
      <c r="BP86" s="314"/>
      <c r="BQ86" s="314"/>
      <c r="BR86" s="314"/>
      <c r="BS86" s="314"/>
      <c r="BT86" s="314"/>
      <c r="BU86" s="314"/>
      <c r="BV86" s="314"/>
      <c r="BW86" s="314"/>
      <c r="BX86" s="314"/>
      <c r="BY86" s="314"/>
      <c r="BZ86" s="314"/>
      <c r="CA86" s="314"/>
      <c r="CB86" s="314"/>
      <c r="CC86" s="314"/>
      <c r="CD86" s="314"/>
      <c r="CE86" s="314"/>
      <c r="CF86" s="314"/>
      <c r="CG86" s="314"/>
      <c r="CH86" s="314"/>
      <c r="CI86" s="314"/>
      <c r="CJ86" s="314"/>
      <c r="CK86" s="314"/>
      <c r="CL86" s="314"/>
      <c r="CM86" s="314"/>
      <c r="CN86" s="314"/>
      <c r="CO86" s="314"/>
      <c r="CP86" s="314"/>
      <c r="CQ86" s="314"/>
      <c r="CR86" s="314"/>
      <c r="CS86" s="314"/>
      <c r="CT86" s="314"/>
      <c r="CU86" s="314"/>
      <c r="CV86" s="314"/>
    </row>
    <row r="87" spans="1:100" ht="12.75" outlineLevel="2" x14ac:dyDescent="0.2">
      <c r="A87" s="236"/>
      <c r="B87" s="236"/>
      <c r="C87" s="237"/>
      <c r="D87" s="238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310"/>
      <c r="Y87" s="310"/>
      <c r="Z87" s="310"/>
      <c r="AA87" s="310"/>
      <c r="AB87" s="310"/>
      <c r="AC87" s="310"/>
      <c r="AD87" s="310"/>
      <c r="AE87" s="310"/>
      <c r="AF87" s="310"/>
      <c r="AG87" s="310"/>
      <c r="AH87" s="310"/>
      <c r="AI87" s="310"/>
      <c r="AJ87" s="310"/>
      <c r="AK87" s="310"/>
      <c r="AL87" s="310"/>
      <c r="AM87" s="310"/>
      <c r="AN87" s="310"/>
      <c r="AO87" s="310"/>
      <c r="AP87" s="310"/>
      <c r="AQ87" s="310"/>
      <c r="AR87" s="310"/>
      <c r="AS87" s="310"/>
      <c r="AT87" s="310"/>
      <c r="AU87" s="310"/>
      <c r="AV87" s="310"/>
      <c r="AW87" s="310"/>
      <c r="AX87" s="310"/>
      <c r="AY87" s="310"/>
      <c r="AZ87" s="310"/>
      <c r="BA87" s="310"/>
      <c r="BB87" s="310"/>
      <c r="BC87" s="310"/>
      <c r="BD87" s="310"/>
      <c r="BE87" s="310"/>
      <c r="BF87" s="310"/>
      <c r="BG87" s="310"/>
      <c r="BH87" s="310"/>
      <c r="BI87" s="310"/>
      <c r="BJ87" s="310"/>
      <c r="BK87" s="310"/>
      <c r="BL87" s="310"/>
      <c r="BM87" s="310"/>
      <c r="BN87" s="310"/>
      <c r="BO87" s="310"/>
      <c r="BP87" s="310"/>
      <c r="BQ87" s="310"/>
      <c r="BR87" s="310"/>
      <c r="BS87" s="310"/>
      <c r="BT87" s="310"/>
      <c r="BU87" s="310"/>
      <c r="BV87" s="310"/>
      <c r="BW87" s="310"/>
      <c r="BX87" s="310"/>
      <c r="BY87" s="310"/>
      <c r="BZ87" s="310"/>
      <c r="CA87" s="310"/>
      <c r="CB87" s="310"/>
      <c r="CC87" s="310"/>
      <c r="CD87" s="310"/>
      <c r="CE87" s="310"/>
      <c r="CF87" s="310"/>
      <c r="CG87" s="310"/>
      <c r="CH87" s="310"/>
      <c r="CI87" s="310"/>
      <c r="CJ87" s="310"/>
      <c r="CK87" s="310"/>
      <c r="CL87" s="310"/>
      <c r="CM87" s="310"/>
      <c r="CN87" s="310"/>
      <c r="CO87" s="310"/>
      <c r="CP87" s="310"/>
      <c r="CQ87" s="310"/>
      <c r="CR87" s="310"/>
      <c r="CS87" s="310"/>
      <c r="CT87" s="310"/>
      <c r="CU87" s="310"/>
      <c r="CV87" s="310"/>
    </row>
    <row r="88" spans="1:100" s="125" customFormat="1" ht="12.75" outlineLevel="2" x14ac:dyDescent="0.2">
      <c r="A88" s="85"/>
      <c r="B88" s="85"/>
      <c r="C88" s="86"/>
      <c r="D88" s="87"/>
      <c r="E88" s="189" t="str">
        <f xml:space="preserve"> Solve!E$52</f>
        <v>Debt repayment amount - all tranche active - Paste</v>
      </c>
      <c r="F88" s="189">
        <f xml:space="preserve"> Solve!F$52</f>
        <v>213278.57848669353</v>
      </c>
      <c r="G88" s="189" t="str">
        <f xml:space="preserve"> Solve!G$52</f>
        <v>$ 000s</v>
      </c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89"/>
      <c r="AI88" s="189"/>
      <c r="AJ88" s="189"/>
      <c r="AK88" s="189"/>
      <c r="AL88" s="189"/>
      <c r="AM88" s="189"/>
      <c r="AN88" s="189"/>
      <c r="AO88" s="189"/>
      <c r="AP88" s="189"/>
      <c r="AQ88" s="189"/>
      <c r="AR88" s="189"/>
      <c r="AS88" s="189"/>
      <c r="AT88" s="189"/>
      <c r="AU88" s="189"/>
      <c r="AV88" s="189"/>
      <c r="AW88" s="189"/>
      <c r="AX88" s="189"/>
      <c r="AY88" s="189"/>
      <c r="AZ88" s="189"/>
      <c r="BA88" s="189"/>
      <c r="BB88" s="189"/>
      <c r="BC88" s="189"/>
      <c r="BD88" s="189"/>
      <c r="BE88" s="189"/>
      <c r="BF88" s="189"/>
      <c r="BG88" s="189"/>
      <c r="BH88" s="189"/>
      <c r="BI88" s="189"/>
      <c r="BJ88" s="189"/>
      <c r="BK88" s="189"/>
      <c r="BL88" s="189"/>
      <c r="BM88" s="189"/>
      <c r="BN88" s="189"/>
      <c r="BO88" s="189"/>
      <c r="BP88" s="189"/>
      <c r="BQ88" s="189"/>
      <c r="BR88" s="189"/>
      <c r="BS88" s="189"/>
      <c r="BT88" s="189"/>
      <c r="BU88" s="189"/>
      <c r="BV88" s="189"/>
      <c r="BW88" s="189"/>
      <c r="BX88" s="189"/>
      <c r="BY88" s="189"/>
      <c r="BZ88" s="189"/>
      <c r="CA88" s="189"/>
      <c r="CB88" s="189"/>
      <c r="CC88" s="189"/>
      <c r="CD88" s="189"/>
      <c r="CE88" s="189"/>
      <c r="CF88" s="189"/>
      <c r="CG88" s="189"/>
      <c r="CH88" s="189"/>
      <c r="CI88" s="189"/>
      <c r="CJ88" s="189"/>
      <c r="CK88" s="189"/>
      <c r="CL88" s="189"/>
      <c r="CM88" s="189"/>
      <c r="CN88" s="189"/>
      <c r="CO88" s="189"/>
      <c r="CP88" s="189"/>
      <c r="CQ88" s="189"/>
      <c r="CR88" s="189"/>
      <c r="CS88" s="189"/>
      <c r="CT88" s="189"/>
      <c r="CU88" s="189"/>
      <c r="CV88" s="189"/>
    </row>
    <row r="89" spans="1:100" s="125" customFormat="1" ht="12.75" outlineLevel="2" x14ac:dyDescent="0.2">
      <c r="A89" s="85"/>
      <c r="B89" s="85"/>
      <c r="C89" s="86"/>
      <c r="D89" s="87"/>
      <c r="E89" s="189" t="str">
        <f xml:space="preserve"> ConFin!E$333</f>
        <v>Sum of construction debt drawdown - T2</v>
      </c>
      <c r="F89" s="189">
        <f xml:space="preserve"> ConFin!F$333</f>
        <v>125194.92613015344</v>
      </c>
      <c r="G89" s="189" t="str">
        <f xml:space="preserve"> ConFin!G$333</f>
        <v>$ 000s</v>
      </c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189"/>
      <c r="BF89" s="189"/>
      <c r="BG89" s="189"/>
      <c r="BH89" s="189"/>
      <c r="BI89" s="189"/>
      <c r="BJ89" s="189"/>
      <c r="BK89" s="189"/>
      <c r="BL89" s="189"/>
      <c r="BM89" s="189"/>
      <c r="BN89" s="189"/>
      <c r="BO89" s="189"/>
      <c r="BP89" s="189"/>
      <c r="BQ89" s="189"/>
      <c r="BR89" s="189"/>
      <c r="BS89" s="189"/>
      <c r="BT89" s="189"/>
      <c r="BU89" s="189"/>
      <c r="BV89" s="189"/>
      <c r="BW89" s="189"/>
      <c r="BX89" s="189"/>
      <c r="BY89" s="189"/>
      <c r="BZ89" s="189"/>
      <c r="CA89" s="189"/>
      <c r="CB89" s="189"/>
      <c r="CC89" s="189"/>
      <c r="CD89" s="189"/>
      <c r="CE89" s="189"/>
      <c r="CF89" s="189"/>
      <c r="CG89" s="189"/>
      <c r="CH89" s="189"/>
      <c r="CI89" s="189"/>
      <c r="CJ89" s="189"/>
      <c r="CK89" s="189"/>
      <c r="CL89" s="189"/>
      <c r="CM89" s="189"/>
      <c r="CN89" s="189"/>
      <c r="CO89" s="189"/>
      <c r="CP89" s="189"/>
      <c r="CQ89" s="189"/>
      <c r="CR89" s="189"/>
      <c r="CS89" s="189"/>
      <c r="CT89" s="189"/>
      <c r="CU89" s="189"/>
      <c r="CV89" s="189"/>
    </row>
    <row r="90" spans="1:100" ht="12.75" outlineLevel="2" x14ac:dyDescent="0.2">
      <c r="A90" s="236"/>
      <c r="B90" s="236"/>
      <c r="C90" s="237"/>
      <c r="D90" s="238"/>
      <c r="E90" s="32" t="str">
        <f t="shared" ref="E90:G90" si="35" xml:space="preserve"> E$73</f>
        <v>Debt repayment period duration - all tranches active</v>
      </c>
      <c r="F90" s="32">
        <f t="shared" si="35"/>
        <v>30</v>
      </c>
      <c r="G90" s="32" t="str">
        <f t="shared" si="35"/>
        <v>periods</v>
      </c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0"/>
      <c r="AD90" s="310"/>
      <c r="AE90" s="310"/>
      <c r="AF90" s="310"/>
      <c r="AG90" s="310"/>
      <c r="AH90" s="310"/>
      <c r="AI90" s="310"/>
      <c r="AJ90" s="310"/>
      <c r="AK90" s="310"/>
      <c r="AL90" s="310"/>
      <c r="AM90" s="310"/>
      <c r="AN90" s="310"/>
      <c r="AO90" s="310"/>
      <c r="AP90" s="310"/>
      <c r="AQ90" s="310"/>
      <c r="AR90" s="310"/>
      <c r="AS90" s="310"/>
      <c r="AT90" s="310"/>
      <c r="AU90" s="310"/>
      <c r="AV90" s="310"/>
      <c r="AW90" s="310"/>
      <c r="AX90" s="310"/>
      <c r="AY90" s="310"/>
      <c r="AZ90" s="310"/>
      <c r="BA90" s="310"/>
      <c r="BB90" s="310"/>
      <c r="BC90" s="310"/>
      <c r="BD90" s="310"/>
      <c r="BE90" s="310"/>
      <c r="BF90" s="310"/>
      <c r="BG90" s="310"/>
      <c r="BH90" s="310"/>
      <c r="BI90" s="310"/>
      <c r="BJ90" s="310"/>
      <c r="BK90" s="310"/>
      <c r="BL90" s="310"/>
      <c r="BM90" s="310"/>
      <c r="BN90" s="310"/>
      <c r="BO90" s="310"/>
      <c r="BP90" s="310"/>
      <c r="BQ90" s="310"/>
      <c r="BR90" s="310"/>
      <c r="BS90" s="310"/>
      <c r="BT90" s="310"/>
      <c r="BU90" s="310"/>
      <c r="BV90" s="310"/>
      <c r="BW90" s="310"/>
      <c r="BX90" s="310"/>
      <c r="BY90" s="310"/>
      <c r="BZ90" s="310"/>
      <c r="CA90" s="310"/>
      <c r="CB90" s="310"/>
      <c r="CC90" s="310"/>
      <c r="CD90" s="310"/>
      <c r="CE90" s="310"/>
      <c r="CF90" s="310"/>
      <c r="CG90" s="310"/>
      <c r="CH90" s="310"/>
      <c r="CI90" s="310"/>
      <c r="CJ90" s="310"/>
      <c r="CK90" s="310"/>
      <c r="CL90" s="310"/>
      <c r="CM90" s="310"/>
      <c r="CN90" s="310"/>
      <c r="CO90" s="310"/>
      <c r="CP90" s="310"/>
      <c r="CQ90" s="310"/>
      <c r="CR90" s="310"/>
      <c r="CS90" s="310"/>
      <c r="CT90" s="310"/>
      <c r="CU90" s="310"/>
      <c r="CV90" s="310"/>
    </row>
    <row r="91" spans="1:100" ht="12.75" outlineLevel="2" x14ac:dyDescent="0.2">
      <c r="A91" s="236"/>
      <c r="B91" s="236"/>
      <c r="C91" s="237"/>
      <c r="D91" s="238"/>
      <c r="E91" s="189" t="str">
        <f xml:space="preserve"> Time!E$204</f>
        <v>Senior debt repayment duration - T2</v>
      </c>
      <c r="F91" s="189">
        <f xml:space="preserve"> Time!F$204</f>
        <v>30</v>
      </c>
      <c r="G91" s="189" t="str">
        <f xml:space="preserve"> Time!G$204</f>
        <v>periods</v>
      </c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10"/>
      <c r="Y91" s="310"/>
      <c r="Z91" s="310"/>
      <c r="AA91" s="310"/>
      <c r="AB91" s="310"/>
      <c r="AC91" s="310"/>
      <c r="AD91" s="310"/>
      <c r="AE91" s="310"/>
      <c r="AF91" s="310"/>
      <c r="AG91" s="310"/>
      <c r="AH91" s="310"/>
      <c r="AI91" s="310"/>
      <c r="AJ91" s="310"/>
      <c r="AK91" s="310"/>
      <c r="AL91" s="310"/>
      <c r="AM91" s="310"/>
      <c r="AN91" s="310"/>
      <c r="AO91" s="310"/>
      <c r="AP91" s="310"/>
      <c r="AQ91" s="310"/>
      <c r="AR91" s="310"/>
      <c r="AS91" s="310"/>
      <c r="AT91" s="310"/>
      <c r="AU91" s="310"/>
      <c r="AV91" s="310"/>
      <c r="AW91" s="310"/>
      <c r="AX91" s="310"/>
      <c r="AY91" s="310"/>
      <c r="AZ91" s="310"/>
      <c r="BA91" s="310"/>
      <c r="BB91" s="310"/>
      <c r="BC91" s="310"/>
      <c r="BD91" s="310"/>
      <c r="BE91" s="310"/>
      <c r="BF91" s="310"/>
      <c r="BG91" s="310"/>
      <c r="BH91" s="310"/>
      <c r="BI91" s="310"/>
      <c r="BJ91" s="310"/>
      <c r="BK91" s="310"/>
      <c r="BL91" s="310"/>
      <c r="BM91" s="310"/>
      <c r="BN91" s="310"/>
      <c r="BO91" s="310"/>
      <c r="BP91" s="310"/>
      <c r="BQ91" s="310"/>
      <c r="BR91" s="310"/>
      <c r="BS91" s="310"/>
      <c r="BT91" s="310"/>
      <c r="BU91" s="310"/>
      <c r="BV91" s="310"/>
      <c r="BW91" s="310"/>
      <c r="BX91" s="310"/>
      <c r="BY91" s="310"/>
      <c r="BZ91" s="310"/>
      <c r="CA91" s="310"/>
      <c r="CB91" s="310"/>
      <c r="CC91" s="310"/>
      <c r="CD91" s="310"/>
      <c r="CE91" s="310"/>
      <c r="CF91" s="310"/>
      <c r="CG91" s="310"/>
      <c r="CH91" s="310"/>
      <c r="CI91" s="310"/>
      <c r="CJ91" s="310"/>
      <c r="CK91" s="310"/>
      <c r="CL91" s="310"/>
      <c r="CM91" s="310"/>
      <c r="CN91" s="310"/>
      <c r="CO91" s="310"/>
      <c r="CP91" s="310"/>
      <c r="CQ91" s="310"/>
      <c r="CR91" s="310"/>
      <c r="CS91" s="310"/>
      <c r="CT91" s="310"/>
      <c r="CU91" s="310"/>
      <c r="CV91" s="310"/>
    </row>
    <row r="92" spans="1:100" s="283" customFormat="1" ht="12.75" outlineLevel="2" x14ac:dyDescent="0.2">
      <c r="A92" s="311"/>
      <c r="B92" s="311"/>
      <c r="C92" s="312"/>
      <c r="D92" s="313"/>
      <c r="E92" s="282" t="s">
        <v>974</v>
      </c>
      <c r="F92" s="558">
        <f xml:space="preserve"> IF(F91 &gt; F90, 0, IF(F88 &gt; 0, MAX(0, F89 / F88), 0))</f>
        <v>0.58700187809984095</v>
      </c>
      <c r="G92" s="282" t="s">
        <v>103</v>
      </c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314"/>
      <c r="BG92" s="314"/>
      <c r="BH92" s="314"/>
      <c r="BI92" s="314"/>
      <c r="BJ92" s="314"/>
      <c r="BK92" s="314"/>
      <c r="BL92" s="314"/>
      <c r="BM92" s="314"/>
      <c r="BN92" s="314"/>
      <c r="BO92" s="314"/>
      <c r="BP92" s="314"/>
      <c r="BQ92" s="314"/>
      <c r="BR92" s="314"/>
      <c r="BS92" s="314"/>
      <c r="BT92" s="314"/>
      <c r="BU92" s="314"/>
      <c r="BV92" s="314"/>
      <c r="BW92" s="314"/>
      <c r="BX92" s="314"/>
      <c r="BY92" s="314"/>
      <c r="BZ92" s="314"/>
      <c r="CA92" s="314"/>
      <c r="CB92" s="314"/>
      <c r="CC92" s="314"/>
      <c r="CD92" s="314"/>
      <c r="CE92" s="314"/>
      <c r="CF92" s="314"/>
      <c r="CG92" s="314"/>
      <c r="CH92" s="314"/>
      <c r="CI92" s="314"/>
      <c r="CJ92" s="314"/>
      <c r="CK92" s="314"/>
      <c r="CL92" s="314"/>
      <c r="CM92" s="314"/>
      <c r="CN92" s="314"/>
      <c r="CO92" s="314"/>
      <c r="CP92" s="314"/>
      <c r="CQ92" s="314"/>
      <c r="CR92" s="314"/>
      <c r="CS92" s="314"/>
      <c r="CT92" s="314"/>
      <c r="CU92" s="314"/>
      <c r="CV92" s="314"/>
    </row>
    <row r="93" spans="1:100" ht="12.75" outlineLevel="2" x14ac:dyDescent="0.2">
      <c r="A93" s="236"/>
      <c r="B93" s="236"/>
      <c r="C93" s="237"/>
      <c r="D93" s="238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310"/>
      <c r="Y93" s="310"/>
      <c r="Z93" s="310"/>
      <c r="AA93" s="310"/>
      <c r="AB93" s="310"/>
      <c r="AC93" s="310"/>
      <c r="AD93" s="310"/>
      <c r="AE93" s="310"/>
      <c r="AF93" s="310"/>
      <c r="AG93" s="310"/>
      <c r="AH93" s="310"/>
      <c r="AI93" s="310"/>
      <c r="AJ93" s="310"/>
      <c r="AK93" s="310"/>
      <c r="AL93" s="310"/>
      <c r="AM93" s="310"/>
      <c r="AN93" s="310"/>
      <c r="AO93" s="310"/>
      <c r="AP93" s="310"/>
      <c r="AQ93" s="310"/>
      <c r="AR93" s="310"/>
      <c r="AS93" s="310"/>
      <c r="AT93" s="310"/>
      <c r="AU93" s="310"/>
      <c r="AV93" s="310"/>
      <c r="AW93" s="310"/>
      <c r="AX93" s="310"/>
      <c r="AY93" s="310"/>
      <c r="AZ93" s="310"/>
      <c r="BA93" s="310"/>
      <c r="BB93" s="310"/>
      <c r="BC93" s="310"/>
      <c r="BD93" s="310"/>
      <c r="BE93" s="310"/>
      <c r="BF93" s="310"/>
      <c r="BG93" s="310"/>
      <c r="BH93" s="310"/>
      <c r="BI93" s="310"/>
      <c r="BJ93" s="310"/>
      <c r="BK93" s="310"/>
      <c r="BL93" s="310"/>
      <c r="BM93" s="310"/>
      <c r="BN93" s="310"/>
      <c r="BO93" s="310"/>
      <c r="BP93" s="310"/>
      <c r="BQ93" s="310"/>
      <c r="BR93" s="310"/>
      <c r="BS93" s="310"/>
      <c r="BT93" s="310"/>
      <c r="BU93" s="310"/>
      <c r="BV93" s="310"/>
      <c r="BW93" s="310"/>
      <c r="BX93" s="310"/>
      <c r="BY93" s="310"/>
      <c r="BZ93" s="310"/>
      <c r="CA93" s="310"/>
      <c r="CB93" s="310"/>
      <c r="CC93" s="310"/>
      <c r="CD93" s="310"/>
      <c r="CE93" s="310"/>
      <c r="CF93" s="310"/>
      <c r="CG93" s="310"/>
      <c r="CH93" s="310"/>
      <c r="CI93" s="310"/>
      <c r="CJ93" s="310"/>
      <c r="CK93" s="310"/>
      <c r="CL93" s="310"/>
      <c r="CM93" s="310"/>
      <c r="CN93" s="310"/>
      <c r="CO93" s="310"/>
      <c r="CP93" s="310"/>
      <c r="CQ93" s="310"/>
      <c r="CR93" s="310"/>
      <c r="CS93" s="310"/>
      <c r="CT93" s="310"/>
      <c r="CU93" s="310"/>
      <c r="CV93" s="310"/>
    </row>
    <row r="94" spans="1:100" s="283" customFormat="1" ht="12.75" outlineLevel="2" x14ac:dyDescent="0.2">
      <c r="A94" s="311"/>
      <c r="B94" s="311"/>
      <c r="C94" s="312"/>
      <c r="D94" s="313"/>
      <c r="E94" s="314" t="str">
        <f t="shared" ref="E94:G94" si="36" xml:space="preserve"> E$86</f>
        <v>Senior debt - T1 - repayment % - all tranches active - less tenure</v>
      </c>
      <c r="F94" s="314">
        <f t="shared" si="36"/>
        <v>0</v>
      </c>
      <c r="G94" s="314" t="str">
        <f t="shared" si="36"/>
        <v>%</v>
      </c>
      <c r="H94" s="314"/>
      <c r="I94" s="314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314"/>
      <c r="BG94" s="314"/>
      <c r="BH94" s="314"/>
      <c r="BI94" s="314"/>
      <c r="BJ94" s="314"/>
      <c r="BK94" s="314"/>
      <c r="BL94" s="314"/>
      <c r="BM94" s="314"/>
      <c r="BN94" s="314"/>
      <c r="BO94" s="314"/>
      <c r="BP94" s="314"/>
      <c r="BQ94" s="314"/>
      <c r="BR94" s="314"/>
      <c r="BS94" s="314"/>
      <c r="BT94" s="314"/>
      <c r="BU94" s="314"/>
      <c r="BV94" s="314"/>
      <c r="BW94" s="314"/>
      <c r="BX94" s="314"/>
      <c r="BY94" s="314"/>
      <c r="BZ94" s="314"/>
      <c r="CA94" s="314"/>
      <c r="CB94" s="314"/>
      <c r="CC94" s="314"/>
      <c r="CD94" s="314"/>
      <c r="CE94" s="314"/>
      <c r="CF94" s="314"/>
      <c r="CG94" s="314"/>
      <c r="CH94" s="314"/>
      <c r="CI94" s="314"/>
      <c r="CJ94" s="314"/>
      <c r="CK94" s="314"/>
      <c r="CL94" s="314"/>
      <c r="CM94" s="314"/>
      <c r="CN94" s="314"/>
      <c r="CO94" s="314"/>
      <c r="CP94" s="314"/>
      <c r="CQ94" s="314"/>
      <c r="CR94" s="314"/>
      <c r="CS94" s="314"/>
      <c r="CT94" s="314"/>
      <c r="CU94" s="314"/>
      <c r="CV94" s="314"/>
    </row>
    <row r="95" spans="1:100" s="283" customFormat="1" ht="12.75" outlineLevel="2" x14ac:dyDescent="0.2">
      <c r="A95" s="311"/>
      <c r="B95" s="311"/>
      <c r="C95" s="312"/>
      <c r="D95" s="313"/>
      <c r="E95" s="314" t="str">
        <f t="shared" ref="E95:G95" si="37" xml:space="preserve"> E$92</f>
        <v>Senior debt - T2 - repayment % - all tranches active - less tenure</v>
      </c>
      <c r="F95" s="314">
        <f t="shared" si="37"/>
        <v>0.58700187809984095</v>
      </c>
      <c r="G95" s="314" t="str">
        <f t="shared" si="37"/>
        <v>%</v>
      </c>
      <c r="H95" s="314"/>
      <c r="I95" s="314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314"/>
      <c r="BG95" s="314"/>
      <c r="BH95" s="314"/>
      <c r="BI95" s="314"/>
      <c r="BJ95" s="314"/>
      <c r="BK95" s="314"/>
      <c r="BL95" s="314"/>
      <c r="BM95" s="314"/>
      <c r="BN95" s="314"/>
      <c r="BO95" s="314"/>
      <c r="BP95" s="314"/>
      <c r="BQ95" s="314"/>
      <c r="BR95" s="314"/>
      <c r="BS95" s="314"/>
      <c r="BT95" s="314"/>
      <c r="BU95" s="314"/>
      <c r="BV95" s="314"/>
      <c r="BW95" s="314"/>
      <c r="BX95" s="314"/>
      <c r="BY95" s="314"/>
      <c r="BZ95" s="314"/>
      <c r="CA95" s="314"/>
      <c r="CB95" s="314"/>
      <c r="CC95" s="314"/>
      <c r="CD95" s="314"/>
      <c r="CE95" s="314"/>
      <c r="CF95" s="314"/>
      <c r="CG95" s="314"/>
      <c r="CH95" s="314"/>
      <c r="CI95" s="314"/>
      <c r="CJ95" s="314"/>
      <c r="CK95" s="314"/>
      <c r="CL95" s="314"/>
      <c r="CM95" s="314"/>
      <c r="CN95" s="314"/>
      <c r="CO95" s="314"/>
      <c r="CP95" s="314"/>
      <c r="CQ95" s="314"/>
      <c r="CR95" s="314"/>
      <c r="CS95" s="314"/>
      <c r="CT95" s="314"/>
      <c r="CU95" s="314"/>
      <c r="CV95" s="314"/>
    </row>
    <row r="96" spans="1:100" ht="12.75" outlineLevel="2" x14ac:dyDescent="0.2">
      <c r="A96" s="236"/>
      <c r="B96" s="236"/>
      <c r="C96" s="237"/>
      <c r="D96" s="238"/>
      <c r="E96" s="189" t="str">
        <f xml:space="preserve"> ConFin!E$312</f>
        <v>Sum of construction debt drawdown - T1</v>
      </c>
      <c r="F96" s="189">
        <f xml:space="preserve"> ConFin!F$312</f>
        <v>125194.92613015344</v>
      </c>
      <c r="G96" s="189" t="str">
        <f xml:space="preserve"> ConFin!G$312</f>
        <v>$ 000s</v>
      </c>
      <c r="H96" s="310"/>
      <c r="I96" s="310"/>
      <c r="J96" s="310"/>
      <c r="K96" s="310"/>
      <c r="L96" s="310"/>
      <c r="M96" s="310"/>
      <c r="N96" s="310"/>
      <c r="O96" s="310"/>
      <c r="P96" s="310"/>
      <c r="Q96" s="310"/>
      <c r="R96" s="310"/>
      <c r="S96" s="310"/>
      <c r="T96" s="310"/>
      <c r="U96" s="310"/>
      <c r="V96" s="310"/>
      <c r="W96" s="310"/>
      <c r="X96" s="310"/>
      <c r="Y96" s="310"/>
      <c r="Z96" s="310"/>
      <c r="AA96" s="310"/>
      <c r="AB96" s="310"/>
      <c r="AC96" s="310"/>
      <c r="AD96" s="310"/>
      <c r="AE96" s="310"/>
      <c r="AF96" s="310"/>
      <c r="AG96" s="310"/>
      <c r="AH96" s="310"/>
      <c r="AI96" s="310"/>
      <c r="AJ96" s="310"/>
      <c r="AK96" s="310"/>
      <c r="AL96" s="310"/>
      <c r="AM96" s="310"/>
      <c r="AN96" s="310"/>
      <c r="AO96" s="310"/>
      <c r="AP96" s="310"/>
      <c r="AQ96" s="310"/>
      <c r="AR96" s="310"/>
      <c r="AS96" s="310"/>
      <c r="AT96" s="310"/>
      <c r="AU96" s="310"/>
      <c r="AV96" s="310"/>
      <c r="AW96" s="310"/>
      <c r="AX96" s="310"/>
      <c r="AY96" s="310"/>
      <c r="AZ96" s="310"/>
      <c r="BA96" s="310"/>
      <c r="BB96" s="310"/>
      <c r="BC96" s="310"/>
      <c r="BD96" s="310"/>
      <c r="BE96" s="310"/>
      <c r="BF96" s="310"/>
      <c r="BG96" s="310"/>
      <c r="BH96" s="310"/>
      <c r="BI96" s="310"/>
      <c r="BJ96" s="310"/>
      <c r="BK96" s="310"/>
      <c r="BL96" s="310"/>
      <c r="BM96" s="310"/>
      <c r="BN96" s="310"/>
      <c r="BO96" s="310"/>
      <c r="BP96" s="310"/>
      <c r="BQ96" s="310"/>
      <c r="BR96" s="310"/>
      <c r="BS96" s="310"/>
      <c r="BT96" s="310"/>
      <c r="BU96" s="310"/>
      <c r="BV96" s="310"/>
      <c r="BW96" s="310"/>
      <c r="BX96" s="310"/>
      <c r="BY96" s="310"/>
      <c r="BZ96" s="310"/>
      <c r="CA96" s="310"/>
      <c r="CB96" s="310"/>
      <c r="CC96" s="310"/>
      <c r="CD96" s="310"/>
      <c r="CE96" s="310"/>
      <c r="CF96" s="310"/>
      <c r="CG96" s="310"/>
      <c r="CH96" s="310"/>
      <c r="CI96" s="310"/>
      <c r="CJ96" s="310"/>
      <c r="CK96" s="310"/>
      <c r="CL96" s="310"/>
      <c r="CM96" s="310"/>
      <c r="CN96" s="310"/>
      <c r="CO96" s="310"/>
      <c r="CP96" s="310"/>
      <c r="CQ96" s="310"/>
      <c r="CR96" s="310"/>
      <c r="CS96" s="310"/>
      <c r="CT96" s="310"/>
      <c r="CU96" s="310"/>
      <c r="CV96" s="310"/>
    </row>
    <row r="97" spans="1:100" ht="12.75" outlineLevel="2" x14ac:dyDescent="0.2">
      <c r="A97" s="236"/>
      <c r="B97" s="236"/>
      <c r="C97" s="237"/>
      <c r="D97" s="238"/>
      <c r="E97" s="189" t="str">
        <f xml:space="preserve"> ConFin!E$333</f>
        <v>Sum of construction debt drawdown - T2</v>
      </c>
      <c r="F97" s="189">
        <f xml:space="preserve"> ConFin!F$333</f>
        <v>125194.92613015344</v>
      </c>
      <c r="G97" s="189" t="str">
        <f xml:space="preserve"> ConFin!G$333</f>
        <v>$ 000s</v>
      </c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10"/>
      <c r="Y97" s="310"/>
      <c r="Z97" s="310"/>
      <c r="AA97" s="310"/>
      <c r="AB97" s="310"/>
      <c r="AC97" s="310"/>
      <c r="AD97" s="310"/>
      <c r="AE97" s="310"/>
      <c r="AF97" s="310"/>
      <c r="AG97" s="310"/>
      <c r="AH97" s="310"/>
      <c r="AI97" s="310"/>
      <c r="AJ97" s="310"/>
      <c r="AK97" s="310"/>
      <c r="AL97" s="310"/>
      <c r="AM97" s="310"/>
      <c r="AN97" s="310"/>
      <c r="AO97" s="310"/>
      <c r="AP97" s="310"/>
      <c r="AQ97" s="310"/>
      <c r="AR97" s="310"/>
      <c r="AS97" s="310"/>
      <c r="AT97" s="310"/>
      <c r="AU97" s="310"/>
      <c r="AV97" s="310"/>
      <c r="AW97" s="310"/>
      <c r="AX97" s="310"/>
      <c r="AY97" s="310"/>
      <c r="AZ97" s="310"/>
      <c r="BA97" s="310"/>
      <c r="BB97" s="310"/>
      <c r="BC97" s="310"/>
      <c r="BD97" s="310"/>
      <c r="BE97" s="310"/>
      <c r="BF97" s="310"/>
      <c r="BG97" s="310"/>
      <c r="BH97" s="310"/>
      <c r="BI97" s="310"/>
      <c r="BJ97" s="310"/>
      <c r="BK97" s="310"/>
      <c r="BL97" s="310"/>
      <c r="BM97" s="310"/>
      <c r="BN97" s="310"/>
      <c r="BO97" s="310"/>
      <c r="BP97" s="310"/>
      <c r="BQ97" s="310"/>
      <c r="BR97" s="310"/>
      <c r="BS97" s="310"/>
      <c r="BT97" s="310"/>
      <c r="BU97" s="310"/>
      <c r="BV97" s="310"/>
      <c r="BW97" s="310"/>
      <c r="BX97" s="310"/>
      <c r="BY97" s="310"/>
      <c r="BZ97" s="310"/>
      <c r="CA97" s="310"/>
      <c r="CB97" s="310"/>
      <c r="CC97" s="310"/>
      <c r="CD97" s="310"/>
      <c r="CE97" s="310"/>
      <c r="CF97" s="310"/>
      <c r="CG97" s="310"/>
      <c r="CH97" s="310"/>
      <c r="CI97" s="310"/>
      <c r="CJ97" s="310"/>
      <c r="CK97" s="310"/>
      <c r="CL97" s="310"/>
      <c r="CM97" s="310"/>
      <c r="CN97" s="310"/>
      <c r="CO97" s="310"/>
      <c r="CP97" s="310"/>
      <c r="CQ97" s="310"/>
      <c r="CR97" s="310"/>
      <c r="CS97" s="310"/>
      <c r="CT97" s="310"/>
      <c r="CU97" s="310"/>
      <c r="CV97" s="310"/>
    </row>
    <row r="98" spans="1:100" ht="12.75" outlineLevel="2" x14ac:dyDescent="0.2">
      <c r="A98" s="236"/>
      <c r="B98" s="236"/>
      <c r="C98" s="237"/>
      <c r="D98" s="238"/>
      <c r="E98" s="191" t="s">
        <v>975</v>
      </c>
      <c r="F98" s="191">
        <f xml:space="preserve"> IF( F94 = 0, F96, 0) + IF( F95= 0, F97, 0)</f>
        <v>125194.92613015344</v>
      </c>
      <c r="G98" s="191" t="str">
        <f xml:space="preserve"> SMU</f>
        <v>$ 000s</v>
      </c>
      <c r="H98" s="310"/>
      <c r="I98" s="310"/>
      <c r="J98" s="310"/>
      <c r="K98" s="310"/>
      <c r="L98" s="310"/>
      <c r="M98" s="310"/>
      <c r="N98" s="310"/>
      <c r="O98" s="310"/>
      <c r="P98" s="310"/>
      <c r="Q98" s="310"/>
      <c r="R98" s="310"/>
      <c r="S98" s="310"/>
      <c r="T98" s="310"/>
      <c r="U98" s="310"/>
      <c r="V98" s="310"/>
      <c r="W98" s="310"/>
      <c r="X98" s="310"/>
      <c r="Y98" s="310"/>
      <c r="Z98" s="310"/>
      <c r="AA98" s="310"/>
      <c r="AB98" s="310"/>
      <c r="AC98" s="310"/>
      <c r="AD98" s="310"/>
      <c r="AE98" s="310"/>
      <c r="AF98" s="310"/>
      <c r="AG98" s="310"/>
      <c r="AH98" s="310"/>
      <c r="AI98" s="310"/>
      <c r="AJ98" s="310"/>
      <c r="AK98" s="310"/>
      <c r="AL98" s="310"/>
      <c r="AM98" s="310"/>
      <c r="AN98" s="310"/>
      <c r="AO98" s="310"/>
      <c r="AP98" s="310"/>
      <c r="AQ98" s="310"/>
      <c r="AR98" s="310"/>
      <c r="AS98" s="310"/>
      <c r="AT98" s="310"/>
      <c r="AU98" s="310"/>
      <c r="AV98" s="310"/>
      <c r="AW98" s="310"/>
      <c r="AX98" s="310"/>
      <c r="AY98" s="310"/>
      <c r="AZ98" s="310"/>
      <c r="BA98" s="310"/>
      <c r="BB98" s="310"/>
      <c r="BC98" s="310"/>
      <c r="BD98" s="310"/>
      <c r="BE98" s="310"/>
      <c r="BF98" s="310"/>
      <c r="BG98" s="310"/>
      <c r="BH98" s="310"/>
      <c r="BI98" s="310"/>
      <c r="BJ98" s="310"/>
      <c r="BK98" s="310"/>
      <c r="BL98" s="310"/>
      <c r="BM98" s="310"/>
      <c r="BN98" s="310"/>
      <c r="BO98" s="310"/>
      <c r="BP98" s="310"/>
      <c r="BQ98" s="310"/>
      <c r="BR98" s="310"/>
      <c r="BS98" s="310"/>
      <c r="BT98" s="310"/>
      <c r="BU98" s="310"/>
      <c r="BV98" s="310"/>
      <c r="BW98" s="310"/>
      <c r="BX98" s="310"/>
      <c r="BY98" s="310"/>
      <c r="BZ98" s="310"/>
      <c r="CA98" s="310"/>
      <c r="CB98" s="310"/>
      <c r="CC98" s="310"/>
      <c r="CD98" s="310"/>
      <c r="CE98" s="310"/>
      <c r="CF98" s="310"/>
      <c r="CG98" s="310"/>
      <c r="CH98" s="310"/>
      <c r="CI98" s="310"/>
      <c r="CJ98" s="310"/>
      <c r="CK98" s="310"/>
      <c r="CL98" s="310"/>
      <c r="CM98" s="310"/>
      <c r="CN98" s="310"/>
      <c r="CO98" s="310"/>
      <c r="CP98" s="310"/>
      <c r="CQ98" s="310"/>
      <c r="CR98" s="310"/>
      <c r="CS98" s="310"/>
      <c r="CT98" s="310"/>
      <c r="CU98" s="310"/>
      <c r="CV98" s="310"/>
    </row>
    <row r="99" spans="1:100" ht="12.75" outlineLevel="2" x14ac:dyDescent="0.2">
      <c r="A99" s="236"/>
      <c r="B99" s="236"/>
      <c r="C99" s="237"/>
      <c r="D99" s="238"/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0"/>
      <c r="AH99" s="310"/>
      <c r="AI99" s="310"/>
      <c r="AJ99" s="310"/>
      <c r="AK99" s="310"/>
      <c r="AL99" s="310"/>
      <c r="AM99" s="310"/>
      <c r="AN99" s="310"/>
      <c r="AO99" s="310"/>
      <c r="AP99" s="310"/>
      <c r="AQ99" s="310"/>
      <c r="AR99" s="310"/>
      <c r="AS99" s="310"/>
      <c r="AT99" s="310"/>
      <c r="AU99" s="310"/>
      <c r="AV99" s="310"/>
      <c r="AW99" s="310"/>
      <c r="AX99" s="310"/>
      <c r="AY99" s="310"/>
      <c r="AZ99" s="310"/>
      <c r="BA99" s="310"/>
      <c r="BB99" s="310"/>
      <c r="BC99" s="310"/>
      <c r="BD99" s="310"/>
      <c r="BE99" s="310"/>
      <c r="BF99" s="310"/>
      <c r="BG99" s="310"/>
      <c r="BH99" s="310"/>
      <c r="BI99" s="310"/>
      <c r="BJ99" s="310"/>
      <c r="BK99" s="310"/>
      <c r="BL99" s="310"/>
      <c r="BM99" s="310"/>
      <c r="BN99" s="310"/>
      <c r="BO99" s="310"/>
      <c r="BP99" s="310"/>
      <c r="BQ99" s="310"/>
      <c r="BR99" s="310"/>
      <c r="BS99" s="310"/>
      <c r="BT99" s="310"/>
      <c r="BU99" s="310"/>
      <c r="BV99" s="310"/>
      <c r="BW99" s="310"/>
      <c r="BX99" s="310"/>
      <c r="BY99" s="310"/>
      <c r="BZ99" s="310"/>
      <c r="CA99" s="310"/>
      <c r="CB99" s="310"/>
      <c r="CC99" s="310"/>
      <c r="CD99" s="310"/>
      <c r="CE99" s="310"/>
      <c r="CF99" s="310"/>
      <c r="CG99" s="310"/>
      <c r="CH99" s="310"/>
      <c r="CI99" s="310"/>
      <c r="CJ99" s="310"/>
      <c r="CK99" s="310"/>
      <c r="CL99" s="310"/>
      <c r="CM99" s="310"/>
      <c r="CN99" s="310"/>
      <c r="CO99" s="310"/>
      <c r="CP99" s="310"/>
      <c r="CQ99" s="310"/>
      <c r="CR99" s="310"/>
      <c r="CS99" s="310"/>
      <c r="CT99" s="310"/>
      <c r="CU99" s="310"/>
      <c r="CV99" s="310"/>
    </row>
    <row r="100" spans="1:100" ht="12.75" outlineLevel="2" x14ac:dyDescent="0.2">
      <c r="A100" s="236"/>
      <c r="B100" s="236"/>
      <c r="C100" s="237"/>
      <c r="D100" s="238"/>
      <c r="E100" s="282" t="str">
        <f t="shared" ref="E100:G100" si="38" xml:space="preserve"> E$86</f>
        <v>Senior debt - T1 - repayment % - all tranches active - less tenure</v>
      </c>
      <c r="F100" s="282">
        <f t="shared" si="38"/>
        <v>0</v>
      </c>
      <c r="G100" s="282" t="str">
        <f t="shared" si="38"/>
        <v>%</v>
      </c>
      <c r="H100" s="310"/>
      <c r="I100" s="310"/>
      <c r="J100" s="310"/>
      <c r="K100" s="310"/>
      <c r="L100" s="310"/>
      <c r="M100" s="310"/>
      <c r="N100" s="310"/>
      <c r="O100" s="310"/>
      <c r="P100" s="310"/>
      <c r="Q100" s="310"/>
      <c r="R100" s="310"/>
      <c r="S100" s="310"/>
      <c r="T100" s="310"/>
      <c r="U100" s="310"/>
      <c r="V100" s="310"/>
      <c r="W100" s="310"/>
      <c r="X100" s="310"/>
      <c r="Y100" s="310"/>
      <c r="Z100" s="310"/>
      <c r="AA100" s="310"/>
      <c r="AB100" s="310"/>
      <c r="AC100" s="310"/>
      <c r="AD100" s="310"/>
      <c r="AE100" s="310"/>
      <c r="AF100" s="310"/>
      <c r="AG100" s="310"/>
      <c r="AH100" s="310"/>
      <c r="AI100" s="310"/>
      <c r="AJ100" s="310"/>
      <c r="AK100" s="310"/>
      <c r="AL100" s="310"/>
      <c r="AM100" s="310"/>
      <c r="AN100" s="310"/>
      <c r="AO100" s="310"/>
      <c r="AP100" s="310"/>
      <c r="AQ100" s="310"/>
      <c r="AR100" s="310"/>
      <c r="AS100" s="310"/>
      <c r="AT100" s="310"/>
      <c r="AU100" s="310"/>
      <c r="AV100" s="310"/>
      <c r="AW100" s="310"/>
      <c r="AX100" s="310"/>
      <c r="AY100" s="310"/>
      <c r="AZ100" s="310"/>
      <c r="BA100" s="310"/>
      <c r="BB100" s="310"/>
      <c r="BC100" s="310"/>
      <c r="BD100" s="310"/>
      <c r="BE100" s="310"/>
      <c r="BF100" s="310"/>
      <c r="BG100" s="310"/>
      <c r="BH100" s="310"/>
      <c r="BI100" s="310"/>
      <c r="BJ100" s="310"/>
      <c r="BK100" s="310"/>
      <c r="BL100" s="310"/>
      <c r="BM100" s="310"/>
      <c r="BN100" s="310"/>
      <c r="BO100" s="310"/>
      <c r="BP100" s="310"/>
      <c r="BQ100" s="310"/>
      <c r="BR100" s="310"/>
      <c r="BS100" s="310"/>
      <c r="BT100" s="310"/>
      <c r="BU100" s="310"/>
      <c r="BV100" s="310"/>
      <c r="BW100" s="310"/>
      <c r="BX100" s="310"/>
      <c r="BY100" s="310"/>
      <c r="BZ100" s="310"/>
      <c r="CA100" s="310"/>
      <c r="CB100" s="310"/>
      <c r="CC100" s="310"/>
      <c r="CD100" s="310"/>
      <c r="CE100" s="310"/>
      <c r="CF100" s="310"/>
      <c r="CG100" s="310"/>
      <c r="CH100" s="310"/>
      <c r="CI100" s="310"/>
      <c r="CJ100" s="310"/>
      <c r="CK100" s="310"/>
      <c r="CL100" s="310"/>
      <c r="CM100" s="310"/>
      <c r="CN100" s="310"/>
      <c r="CO100" s="310"/>
      <c r="CP100" s="310"/>
      <c r="CQ100" s="310"/>
      <c r="CR100" s="310"/>
      <c r="CS100" s="310"/>
      <c r="CT100" s="310"/>
      <c r="CU100" s="310"/>
      <c r="CV100" s="310"/>
    </row>
    <row r="101" spans="1:100" ht="12.75" outlineLevel="2" x14ac:dyDescent="0.2">
      <c r="A101" s="236"/>
      <c r="B101" s="236"/>
      <c r="C101" s="237"/>
      <c r="D101" s="238"/>
      <c r="E101" s="1108" t="str">
        <f xml:space="preserve"> E$92</f>
        <v>Senior debt - T2 - repayment % - all tranches active - less tenure</v>
      </c>
      <c r="F101" s="1108">
        <f t="shared" ref="F101:G101" si="39" xml:space="preserve"> F$92</f>
        <v>0.58700187809984095</v>
      </c>
      <c r="G101" s="1108" t="str">
        <f t="shared" si="39"/>
        <v>%</v>
      </c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10"/>
      <c r="Y101" s="310"/>
      <c r="Z101" s="310"/>
      <c r="AA101" s="310"/>
      <c r="AB101" s="310"/>
      <c r="AC101" s="310"/>
      <c r="AD101" s="310"/>
      <c r="AE101" s="310"/>
      <c r="AF101" s="310"/>
      <c r="AG101" s="310"/>
      <c r="AH101" s="310"/>
      <c r="AI101" s="310"/>
      <c r="AJ101" s="310"/>
      <c r="AK101" s="310"/>
      <c r="AL101" s="310"/>
      <c r="AM101" s="310"/>
      <c r="AN101" s="310"/>
      <c r="AO101" s="310"/>
      <c r="AP101" s="310"/>
      <c r="AQ101" s="310"/>
      <c r="AR101" s="310"/>
      <c r="AS101" s="310"/>
      <c r="AT101" s="310"/>
      <c r="AU101" s="310"/>
      <c r="AV101" s="310"/>
      <c r="AW101" s="310"/>
      <c r="AX101" s="310"/>
      <c r="AY101" s="310"/>
      <c r="AZ101" s="310"/>
      <c r="BA101" s="310"/>
      <c r="BB101" s="310"/>
      <c r="BC101" s="310"/>
      <c r="BD101" s="310"/>
      <c r="BE101" s="310"/>
      <c r="BF101" s="310"/>
      <c r="BG101" s="310"/>
      <c r="BH101" s="310"/>
      <c r="BI101" s="310"/>
      <c r="BJ101" s="310"/>
      <c r="BK101" s="310"/>
      <c r="BL101" s="310"/>
      <c r="BM101" s="310"/>
      <c r="BN101" s="310"/>
      <c r="BO101" s="310"/>
      <c r="BP101" s="310"/>
      <c r="BQ101" s="310"/>
      <c r="BR101" s="310"/>
      <c r="BS101" s="310"/>
      <c r="BT101" s="310"/>
      <c r="BU101" s="310"/>
      <c r="BV101" s="310"/>
      <c r="BW101" s="310"/>
      <c r="BX101" s="310"/>
      <c r="BY101" s="310"/>
      <c r="BZ101" s="310"/>
      <c r="CA101" s="310"/>
      <c r="CB101" s="310"/>
      <c r="CC101" s="310"/>
      <c r="CD101" s="310"/>
      <c r="CE101" s="310"/>
      <c r="CF101" s="310"/>
      <c r="CG101" s="310"/>
      <c r="CH101" s="310"/>
      <c r="CI101" s="310"/>
      <c r="CJ101" s="310"/>
      <c r="CK101" s="310"/>
      <c r="CL101" s="310"/>
      <c r="CM101" s="310"/>
      <c r="CN101" s="310"/>
      <c r="CO101" s="310"/>
      <c r="CP101" s="310"/>
      <c r="CQ101" s="310"/>
      <c r="CR101" s="310"/>
      <c r="CS101" s="310"/>
      <c r="CT101" s="310"/>
      <c r="CU101" s="310"/>
      <c r="CV101" s="310"/>
    </row>
    <row r="102" spans="1:100" ht="12.75" outlineLevel="2" x14ac:dyDescent="0.2">
      <c r="A102" s="236"/>
      <c r="B102" s="236"/>
      <c r="C102" s="237"/>
      <c r="D102" s="238"/>
      <c r="E102" s="189" t="str">
        <f xml:space="preserve"> ConFin!E$312</f>
        <v>Sum of construction debt drawdown - T1</v>
      </c>
      <c r="F102" s="189">
        <f xml:space="preserve"> ConFin!F$312</f>
        <v>125194.92613015344</v>
      </c>
      <c r="G102" s="189" t="str">
        <f xml:space="preserve"> ConFin!G$312</f>
        <v>$ 000s</v>
      </c>
      <c r="H102" s="310"/>
      <c r="I102" s="310"/>
      <c r="J102" s="310"/>
      <c r="K102" s="310"/>
      <c r="L102" s="310"/>
      <c r="M102" s="310"/>
      <c r="N102" s="310"/>
      <c r="O102" s="310"/>
      <c r="P102" s="310"/>
      <c r="Q102" s="310"/>
      <c r="R102" s="310"/>
      <c r="S102" s="310"/>
      <c r="T102" s="310"/>
      <c r="U102" s="310"/>
      <c r="V102" s="310"/>
      <c r="W102" s="310"/>
      <c r="X102" s="310"/>
      <c r="Y102" s="310"/>
      <c r="Z102" s="310"/>
      <c r="AA102" s="310"/>
      <c r="AB102" s="310"/>
      <c r="AC102" s="310"/>
      <c r="AD102" s="310"/>
      <c r="AE102" s="310"/>
      <c r="AF102" s="310"/>
      <c r="AG102" s="310"/>
      <c r="AH102" s="310"/>
      <c r="AI102" s="310"/>
      <c r="AJ102" s="310"/>
      <c r="AK102" s="310"/>
      <c r="AL102" s="310"/>
      <c r="AM102" s="310"/>
      <c r="AN102" s="310"/>
      <c r="AO102" s="310"/>
      <c r="AP102" s="310"/>
      <c r="AQ102" s="310"/>
      <c r="AR102" s="310"/>
      <c r="AS102" s="310"/>
      <c r="AT102" s="310"/>
      <c r="AU102" s="310"/>
      <c r="AV102" s="310"/>
      <c r="AW102" s="310"/>
      <c r="AX102" s="310"/>
      <c r="AY102" s="310"/>
      <c r="AZ102" s="310"/>
      <c r="BA102" s="310"/>
      <c r="BB102" s="310"/>
      <c r="BC102" s="310"/>
      <c r="BD102" s="310"/>
      <c r="BE102" s="310"/>
      <c r="BF102" s="310"/>
      <c r="BG102" s="310"/>
      <c r="BH102" s="310"/>
      <c r="BI102" s="310"/>
      <c r="BJ102" s="310"/>
      <c r="BK102" s="310"/>
      <c r="BL102" s="310"/>
      <c r="BM102" s="310"/>
      <c r="BN102" s="310"/>
      <c r="BO102" s="310"/>
      <c r="BP102" s="310"/>
      <c r="BQ102" s="310"/>
      <c r="BR102" s="310"/>
      <c r="BS102" s="310"/>
      <c r="BT102" s="310"/>
      <c r="BU102" s="310"/>
      <c r="BV102" s="310"/>
      <c r="BW102" s="310"/>
      <c r="BX102" s="310"/>
      <c r="BY102" s="310"/>
      <c r="BZ102" s="310"/>
      <c r="CA102" s="310"/>
      <c r="CB102" s="310"/>
      <c r="CC102" s="310"/>
      <c r="CD102" s="310"/>
      <c r="CE102" s="310"/>
      <c r="CF102" s="310"/>
      <c r="CG102" s="310"/>
      <c r="CH102" s="310"/>
      <c r="CI102" s="310"/>
      <c r="CJ102" s="310"/>
      <c r="CK102" s="310"/>
      <c r="CL102" s="310"/>
      <c r="CM102" s="310"/>
      <c r="CN102" s="310"/>
      <c r="CO102" s="310"/>
      <c r="CP102" s="310"/>
      <c r="CQ102" s="310"/>
      <c r="CR102" s="310"/>
      <c r="CS102" s="310"/>
      <c r="CT102" s="310"/>
      <c r="CU102" s="310"/>
      <c r="CV102" s="310"/>
    </row>
    <row r="103" spans="1:100" ht="12.75" outlineLevel="2" x14ac:dyDescent="0.2">
      <c r="A103" s="236"/>
      <c r="B103" s="236"/>
      <c r="C103" s="237"/>
      <c r="D103" s="238"/>
      <c r="E103" s="32" t="str">
        <f t="shared" ref="E103:G103" si="40" xml:space="preserve"> E$98</f>
        <v>Senior debt facility amount - full tenure</v>
      </c>
      <c r="F103" s="32">
        <f t="shared" si="40"/>
        <v>125194.92613015344</v>
      </c>
      <c r="G103" s="32" t="str">
        <f t="shared" si="40"/>
        <v>$ 000s</v>
      </c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10"/>
      <c r="Y103" s="310"/>
      <c r="Z103" s="310"/>
      <c r="AA103" s="310"/>
      <c r="AB103" s="310"/>
      <c r="AC103" s="310"/>
      <c r="AD103" s="310"/>
      <c r="AE103" s="310"/>
      <c r="AF103" s="310"/>
      <c r="AG103" s="310"/>
      <c r="AH103" s="310"/>
      <c r="AI103" s="310"/>
      <c r="AJ103" s="310"/>
      <c r="AK103" s="310"/>
      <c r="AL103" s="310"/>
      <c r="AM103" s="310"/>
      <c r="AN103" s="310"/>
      <c r="AO103" s="310"/>
      <c r="AP103" s="310"/>
      <c r="AQ103" s="310"/>
      <c r="AR103" s="310"/>
      <c r="AS103" s="310"/>
      <c r="AT103" s="310"/>
      <c r="AU103" s="310"/>
      <c r="AV103" s="310"/>
      <c r="AW103" s="310"/>
      <c r="AX103" s="310"/>
      <c r="AY103" s="310"/>
      <c r="AZ103" s="310"/>
      <c r="BA103" s="310"/>
      <c r="BB103" s="310"/>
      <c r="BC103" s="310"/>
      <c r="BD103" s="310"/>
      <c r="BE103" s="310"/>
      <c r="BF103" s="310"/>
      <c r="BG103" s="310"/>
      <c r="BH103" s="310"/>
      <c r="BI103" s="310"/>
      <c r="BJ103" s="310"/>
      <c r="BK103" s="310"/>
      <c r="BL103" s="310"/>
      <c r="BM103" s="310"/>
      <c r="BN103" s="310"/>
      <c r="BO103" s="310"/>
      <c r="BP103" s="310"/>
      <c r="BQ103" s="310"/>
      <c r="BR103" s="310"/>
      <c r="BS103" s="310"/>
      <c r="BT103" s="310"/>
      <c r="BU103" s="310"/>
      <c r="BV103" s="310"/>
      <c r="BW103" s="310"/>
      <c r="BX103" s="310"/>
      <c r="BY103" s="310"/>
      <c r="BZ103" s="310"/>
      <c r="CA103" s="310"/>
      <c r="CB103" s="310"/>
      <c r="CC103" s="310"/>
      <c r="CD103" s="310"/>
      <c r="CE103" s="310"/>
      <c r="CF103" s="310"/>
      <c r="CG103" s="310"/>
      <c r="CH103" s="310"/>
      <c r="CI103" s="310"/>
      <c r="CJ103" s="310"/>
      <c r="CK103" s="310"/>
      <c r="CL103" s="310"/>
      <c r="CM103" s="310"/>
      <c r="CN103" s="310"/>
      <c r="CO103" s="310"/>
      <c r="CP103" s="310"/>
      <c r="CQ103" s="310"/>
      <c r="CR103" s="310"/>
      <c r="CS103" s="310"/>
      <c r="CT103" s="310"/>
      <c r="CU103" s="310"/>
      <c r="CV103" s="310"/>
    </row>
    <row r="104" spans="1:100" ht="12.75" outlineLevel="2" x14ac:dyDescent="0.2">
      <c r="A104" s="236"/>
      <c r="B104" s="236"/>
      <c r="C104" s="237"/>
      <c r="D104" s="238"/>
      <c r="E104" s="32" t="s">
        <v>976</v>
      </c>
      <c r="F104" s="1109">
        <f xml:space="preserve"> IF(F100 &gt; 0, F100, (1 - SUM(F100:F101)) * F102 / F103)</f>
        <v>0.41299812190015905</v>
      </c>
      <c r="G104" s="32" t="s">
        <v>103</v>
      </c>
      <c r="H104" s="310"/>
      <c r="I104" s="310"/>
      <c r="J104" s="310"/>
      <c r="K104" s="310"/>
      <c r="L104" s="310"/>
      <c r="M104" s="310"/>
      <c r="N104" s="310"/>
      <c r="O104" s="310"/>
      <c r="P104" s="310"/>
      <c r="Q104" s="310"/>
      <c r="R104" s="310"/>
      <c r="S104" s="310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0"/>
      <c r="AH104" s="310"/>
      <c r="AI104" s="310"/>
      <c r="AJ104" s="310"/>
      <c r="AK104" s="310"/>
      <c r="AL104" s="310"/>
      <c r="AM104" s="310"/>
      <c r="AN104" s="310"/>
      <c r="AO104" s="310"/>
      <c r="AP104" s="310"/>
      <c r="AQ104" s="310"/>
      <c r="AR104" s="310"/>
      <c r="AS104" s="310"/>
      <c r="AT104" s="310"/>
      <c r="AU104" s="310"/>
      <c r="AV104" s="310"/>
      <c r="AW104" s="310"/>
      <c r="AX104" s="310"/>
      <c r="AY104" s="310"/>
      <c r="AZ104" s="310"/>
      <c r="BA104" s="310"/>
      <c r="BB104" s="310"/>
      <c r="BC104" s="310"/>
      <c r="BD104" s="310"/>
      <c r="BE104" s="310"/>
      <c r="BF104" s="310"/>
      <c r="BG104" s="310"/>
      <c r="BH104" s="310"/>
      <c r="BI104" s="310"/>
      <c r="BJ104" s="310"/>
      <c r="BK104" s="310"/>
      <c r="BL104" s="310"/>
      <c r="BM104" s="310"/>
      <c r="BN104" s="310"/>
      <c r="BO104" s="310"/>
      <c r="BP104" s="310"/>
      <c r="BQ104" s="310"/>
      <c r="BR104" s="310"/>
      <c r="BS104" s="310"/>
      <c r="BT104" s="310"/>
      <c r="BU104" s="310"/>
      <c r="BV104" s="310"/>
      <c r="BW104" s="310"/>
      <c r="BX104" s="310"/>
      <c r="BY104" s="310"/>
      <c r="BZ104" s="310"/>
      <c r="CA104" s="310"/>
      <c r="CB104" s="310"/>
      <c r="CC104" s="310"/>
      <c r="CD104" s="310"/>
      <c r="CE104" s="310"/>
      <c r="CF104" s="310"/>
      <c r="CG104" s="310"/>
      <c r="CH104" s="310"/>
      <c r="CI104" s="310"/>
      <c r="CJ104" s="310"/>
      <c r="CK104" s="310"/>
      <c r="CL104" s="310"/>
      <c r="CM104" s="310"/>
      <c r="CN104" s="310"/>
      <c r="CO104" s="310"/>
      <c r="CP104" s="310"/>
      <c r="CQ104" s="310"/>
      <c r="CR104" s="310"/>
      <c r="CS104" s="310"/>
      <c r="CT104" s="310"/>
      <c r="CU104" s="310"/>
      <c r="CV104" s="310"/>
    </row>
    <row r="105" spans="1:100" ht="12.75" outlineLevel="2" x14ac:dyDescent="0.2">
      <c r="A105" s="236"/>
      <c r="B105" s="236"/>
      <c r="C105" s="237"/>
      <c r="D105" s="238"/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10"/>
      <c r="Y105" s="310"/>
      <c r="Z105" s="310"/>
      <c r="AA105" s="310"/>
      <c r="AB105" s="310"/>
      <c r="AC105" s="310"/>
      <c r="AD105" s="310"/>
      <c r="AE105" s="310"/>
      <c r="AF105" s="310"/>
      <c r="AG105" s="310"/>
      <c r="AH105" s="310"/>
      <c r="AI105" s="310"/>
      <c r="AJ105" s="310"/>
      <c r="AK105" s="310"/>
      <c r="AL105" s="310"/>
      <c r="AM105" s="310"/>
      <c r="AN105" s="310"/>
      <c r="AO105" s="310"/>
      <c r="AP105" s="310"/>
      <c r="AQ105" s="310"/>
      <c r="AR105" s="310"/>
      <c r="AS105" s="310"/>
      <c r="AT105" s="310"/>
      <c r="AU105" s="310"/>
      <c r="AV105" s="310"/>
      <c r="AW105" s="310"/>
      <c r="AX105" s="310"/>
      <c r="AY105" s="310"/>
      <c r="AZ105" s="310"/>
      <c r="BA105" s="310"/>
      <c r="BB105" s="310"/>
      <c r="BC105" s="310"/>
      <c r="BD105" s="310"/>
      <c r="BE105" s="310"/>
      <c r="BF105" s="310"/>
      <c r="BG105" s="310"/>
      <c r="BH105" s="310"/>
      <c r="BI105" s="310"/>
      <c r="BJ105" s="310"/>
      <c r="BK105" s="310"/>
      <c r="BL105" s="310"/>
      <c r="BM105" s="310"/>
      <c r="BN105" s="310"/>
      <c r="BO105" s="310"/>
      <c r="BP105" s="310"/>
      <c r="BQ105" s="310"/>
      <c r="BR105" s="310"/>
      <c r="BS105" s="310"/>
      <c r="BT105" s="310"/>
      <c r="BU105" s="310"/>
      <c r="BV105" s="310"/>
      <c r="BW105" s="310"/>
      <c r="BX105" s="310"/>
      <c r="BY105" s="310"/>
      <c r="BZ105" s="310"/>
      <c r="CA105" s="310"/>
      <c r="CB105" s="310"/>
      <c r="CC105" s="310"/>
      <c r="CD105" s="310"/>
      <c r="CE105" s="310"/>
      <c r="CF105" s="310"/>
      <c r="CG105" s="310"/>
      <c r="CH105" s="310"/>
      <c r="CI105" s="310"/>
      <c r="CJ105" s="310"/>
      <c r="CK105" s="310"/>
      <c r="CL105" s="310"/>
      <c r="CM105" s="310"/>
      <c r="CN105" s="310"/>
      <c r="CO105" s="310"/>
      <c r="CP105" s="310"/>
      <c r="CQ105" s="310"/>
      <c r="CR105" s="310"/>
      <c r="CS105" s="310"/>
      <c r="CT105" s="310"/>
      <c r="CU105" s="310"/>
      <c r="CV105" s="310"/>
    </row>
    <row r="106" spans="1:100" ht="12.75" outlineLevel="2" x14ac:dyDescent="0.2">
      <c r="A106" s="236"/>
      <c r="B106" s="236"/>
      <c r="C106" s="237"/>
      <c r="D106" s="238"/>
      <c r="E106" s="282" t="str">
        <f t="shared" ref="E106:G106" si="41" xml:space="preserve"> E$86</f>
        <v>Senior debt - T1 - repayment % - all tranches active - less tenure</v>
      </c>
      <c r="F106" s="282">
        <f t="shared" si="41"/>
        <v>0</v>
      </c>
      <c r="G106" s="282" t="str">
        <f t="shared" si="41"/>
        <v>%</v>
      </c>
      <c r="H106" s="310"/>
      <c r="I106" s="310"/>
      <c r="J106" s="310"/>
      <c r="K106" s="310"/>
      <c r="L106" s="310"/>
      <c r="M106" s="310"/>
      <c r="N106" s="310"/>
      <c r="O106" s="310"/>
      <c r="P106" s="310"/>
      <c r="Q106" s="310"/>
      <c r="R106" s="310"/>
      <c r="S106" s="310"/>
      <c r="T106" s="310"/>
      <c r="U106" s="310"/>
      <c r="V106" s="310"/>
      <c r="W106" s="310"/>
      <c r="X106" s="310"/>
      <c r="Y106" s="310"/>
      <c r="Z106" s="310"/>
      <c r="AA106" s="310"/>
      <c r="AB106" s="310"/>
      <c r="AC106" s="310"/>
      <c r="AD106" s="310"/>
      <c r="AE106" s="310"/>
      <c r="AF106" s="310"/>
      <c r="AG106" s="310"/>
      <c r="AH106" s="310"/>
      <c r="AI106" s="310"/>
      <c r="AJ106" s="310"/>
      <c r="AK106" s="310"/>
      <c r="AL106" s="310"/>
      <c r="AM106" s="310"/>
      <c r="AN106" s="310"/>
      <c r="AO106" s="310"/>
      <c r="AP106" s="310"/>
      <c r="AQ106" s="310"/>
      <c r="AR106" s="310"/>
      <c r="AS106" s="310"/>
      <c r="AT106" s="310"/>
      <c r="AU106" s="310"/>
      <c r="AV106" s="310"/>
      <c r="AW106" s="310"/>
      <c r="AX106" s="310"/>
      <c r="AY106" s="310"/>
      <c r="AZ106" s="310"/>
      <c r="BA106" s="310"/>
      <c r="BB106" s="310"/>
      <c r="BC106" s="310"/>
      <c r="BD106" s="310"/>
      <c r="BE106" s="310"/>
      <c r="BF106" s="310"/>
      <c r="BG106" s="310"/>
      <c r="BH106" s="310"/>
      <c r="BI106" s="310"/>
      <c r="BJ106" s="310"/>
      <c r="BK106" s="310"/>
      <c r="BL106" s="310"/>
      <c r="BM106" s="310"/>
      <c r="BN106" s="310"/>
      <c r="BO106" s="310"/>
      <c r="BP106" s="310"/>
      <c r="BQ106" s="310"/>
      <c r="BR106" s="310"/>
      <c r="BS106" s="310"/>
      <c r="BT106" s="310"/>
      <c r="BU106" s="310"/>
      <c r="BV106" s="310"/>
      <c r="BW106" s="310"/>
      <c r="BX106" s="310"/>
      <c r="BY106" s="310"/>
      <c r="BZ106" s="310"/>
      <c r="CA106" s="310"/>
      <c r="CB106" s="310"/>
      <c r="CC106" s="310"/>
      <c r="CD106" s="310"/>
      <c r="CE106" s="310"/>
      <c r="CF106" s="310"/>
      <c r="CG106" s="310"/>
      <c r="CH106" s="310"/>
      <c r="CI106" s="310"/>
      <c r="CJ106" s="310"/>
      <c r="CK106" s="310"/>
      <c r="CL106" s="310"/>
      <c r="CM106" s="310"/>
      <c r="CN106" s="310"/>
      <c r="CO106" s="310"/>
      <c r="CP106" s="310"/>
      <c r="CQ106" s="310"/>
      <c r="CR106" s="310"/>
      <c r="CS106" s="310"/>
      <c r="CT106" s="310"/>
      <c r="CU106" s="310"/>
      <c r="CV106" s="310"/>
    </row>
    <row r="107" spans="1:100" ht="12.75" outlineLevel="2" x14ac:dyDescent="0.2">
      <c r="A107" s="236"/>
      <c r="B107" s="236"/>
      <c r="C107" s="237"/>
      <c r="D107" s="238"/>
      <c r="E107" s="282" t="str">
        <f t="shared" ref="E107:G107" si="42" xml:space="preserve"> E$92</f>
        <v>Senior debt - T2 - repayment % - all tranches active - less tenure</v>
      </c>
      <c r="F107" s="282">
        <f t="shared" si="42"/>
        <v>0.58700187809984095</v>
      </c>
      <c r="G107" s="282" t="str">
        <f t="shared" si="42"/>
        <v>%</v>
      </c>
      <c r="H107" s="310"/>
      <c r="I107" s="310"/>
      <c r="J107" s="310"/>
      <c r="K107" s="310"/>
      <c r="L107" s="310"/>
      <c r="M107" s="310"/>
      <c r="N107" s="310"/>
      <c r="O107" s="310"/>
      <c r="P107" s="310"/>
      <c r="Q107" s="310"/>
      <c r="R107" s="310"/>
      <c r="S107" s="310"/>
      <c r="T107" s="310"/>
      <c r="U107" s="310"/>
      <c r="V107" s="310"/>
      <c r="W107" s="310"/>
      <c r="X107" s="310"/>
      <c r="Y107" s="310"/>
      <c r="Z107" s="310"/>
      <c r="AA107" s="310"/>
      <c r="AB107" s="310"/>
      <c r="AC107" s="310"/>
      <c r="AD107" s="310"/>
      <c r="AE107" s="310"/>
      <c r="AF107" s="310"/>
      <c r="AG107" s="310"/>
      <c r="AH107" s="310"/>
      <c r="AI107" s="310"/>
      <c r="AJ107" s="310"/>
      <c r="AK107" s="310"/>
      <c r="AL107" s="310"/>
      <c r="AM107" s="310"/>
      <c r="AN107" s="310"/>
      <c r="AO107" s="310"/>
      <c r="AP107" s="310"/>
      <c r="AQ107" s="310"/>
      <c r="AR107" s="310"/>
      <c r="AS107" s="310"/>
      <c r="AT107" s="310"/>
      <c r="AU107" s="310"/>
      <c r="AV107" s="310"/>
      <c r="AW107" s="310"/>
      <c r="AX107" s="310"/>
      <c r="AY107" s="310"/>
      <c r="AZ107" s="310"/>
      <c r="BA107" s="310"/>
      <c r="BB107" s="310"/>
      <c r="BC107" s="310"/>
      <c r="BD107" s="310"/>
      <c r="BE107" s="310"/>
      <c r="BF107" s="310"/>
      <c r="BG107" s="310"/>
      <c r="BH107" s="310"/>
      <c r="BI107" s="310"/>
      <c r="BJ107" s="310"/>
      <c r="BK107" s="310"/>
      <c r="BL107" s="310"/>
      <c r="BM107" s="310"/>
      <c r="BN107" s="310"/>
      <c r="BO107" s="310"/>
      <c r="BP107" s="310"/>
      <c r="BQ107" s="310"/>
      <c r="BR107" s="310"/>
      <c r="BS107" s="310"/>
      <c r="BT107" s="310"/>
      <c r="BU107" s="310"/>
      <c r="BV107" s="310"/>
      <c r="BW107" s="310"/>
      <c r="BX107" s="310"/>
      <c r="BY107" s="310"/>
      <c r="BZ107" s="310"/>
      <c r="CA107" s="310"/>
      <c r="CB107" s="310"/>
      <c r="CC107" s="310"/>
      <c r="CD107" s="310"/>
      <c r="CE107" s="310"/>
      <c r="CF107" s="310"/>
      <c r="CG107" s="310"/>
      <c r="CH107" s="310"/>
      <c r="CI107" s="310"/>
      <c r="CJ107" s="310"/>
      <c r="CK107" s="310"/>
      <c r="CL107" s="310"/>
      <c r="CM107" s="310"/>
      <c r="CN107" s="310"/>
      <c r="CO107" s="310"/>
      <c r="CP107" s="310"/>
      <c r="CQ107" s="310"/>
      <c r="CR107" s="310"/>
      <c r="CS107" s="310"/>
      <c r="CT107" s="310"/>
      <c r="CU107" s="310"/>
      <c r="CV107" s="310"/>
    </row>
    <row r="108" spans="1:100" ht="12.75" outlineLevel="2" x14ac:dyDescent="0.2">
      <c r="A108" s="236"/>
      <c r="B108" s="236"/>
      <c r="C108" s="237"/>
      <c r="D108" s="238"/>
      <c r="E108" s="189" t="str">
        <f xml:space="preserve"> ConFin!E$333</f>
        <v>Sum of construction debt drawdown - T2</v>
      </c>
      <c r="F108" s="189">
        <f xml:space="preserve"> ConFin!F$333</f>
        <v>125194.92613015344</v>
      </c>
      <c r="G108" s="189" t="str">
        <f xml:space="preserve"> ConFin!G$333</f>
        <v>$ 000s</v>
      </c>
      <c r="H108" s="310"/>
      <c r="I108" s="310"/>
      <c r="J108" s="310"/>
      <c r="K108" s="310"/>
      <c r="L108" s="310"/>
      <c r="M108" s="310"/>
      <c r="N108" s="310"/>
      <c r="O108" s="310"/>
      <c r="P108" s="310"/>
      <c r="Q108" s="310"/>
      <c r="R108" s="310"/>
      <c r="S108" s="310"/>
      <c r="T108" s="310"/>
      <c r="U108" s="310"/>
      <c r="V108" s="310"/>
      <c r="W108" s="310"/>
      <c r="X108" s="310"/>
      <c r="Y108" s="310"/>
      <c r="Z108" s="310"/>
      <c r="AA108" s="310"/>
      <c r="AB108" s="310"/>
      <c r="AC108" s="310"/>
      <c r="AD108" s="310"/>
      <c r="AE108" s="310"/>
      <c r="AF108" s="310"/>
      <c r="AG108" s="310"/>
      <c r="AH108" s="310"/>
      <c r="AI108" s="310"/>
      <c r="AJ108" s="310"/>
      <c r="AK108" s="310"/>
      <c r="AL108" s="310"/>
      <c r="AM108" s="310"/>
      <c r="AN108" s="310"/>
      <c r="AO108" s="310"/>
      <c r="AP108" s="310"/>
      <c r="AQ108" s="310"/>
      <c r="AR108" s="310"/>
      <c r="AS108" s="310"/>
      <c r="AT108" s="310"/>
      <c r="AU108" s="310"/>
      <c r="AV108" s="310"/>
      <c r="AW108" s="310"/>
      <c r="AX108" s="310"/>
      <c r="AY108" s="310"/>
      <c r="AZ108" s="310"/>
      <c r="BA108" s="310"/>
      <c r="BB108" s="310"/>
      <c r="BC108" s="310"/>
      <c r="BD108" s="310"/>
      <c r="BE108" s="310"/>
      <c r="BF108" s="310"/>
      <c r="BG108" s="310"/>
      <c r="BH108" s="310"/>
      <c r="BI108" s="310"/>
      <c r="BJ108" s="310"/>
      <c r="BK108" s="310"/>
      <c r="BL108" s="310"/>
      <c r="BM108" s="310"/>
      <c r="BN108" s="310"/>
      <c r="BO108" s="310"/>
      <c r="BP108" s="310"/>
      <c r="BQ108" s="310"/>
      <c r="BR108" s="310"/>
      <c r="BS108" s="310"/>
      <c r="BT108" s="310"/>
      <c r="BU108" s="310"/>
      <c r="BV108" s="310"/>
      <c r="BW108" s="310"/>
      <c r="BX108" s="310"/>
      <c r="BY108" s="310"/>
      <c r="BZ108" s="310"/>
      <c r="CA108" s="310"/>
      <c r="CB108" s="310"/>
      <c r="CC108" s="310"/>
      <c r="CD108" s="310"/>
      <c r="CE108" s="310"/>
      <c r="CF108" s="310"/>
      <c r="CG108" s="310"/>
      <c r="CH108" s="310"/>
      <c r="CI108" s="310"/>
      <c r="CJ108" s="310"/>
      <c r="CK108" s="310"/>
      <c r="CL108" s="310"/>
      <c r="CM108" s="310"/>
      <c r="CN108" s="310"/>
      <c r="CO108" s="310"/>
      <c r="CP108" s="310"/>
      <c r="CQ108" s="310"/>
      <c r="CR108" s="310"/>
      <c r="CS108" s="310"/>
      <c r="CT108" s="310"/>
      <c r="CU108" s="310"/>
      <c r="CV108" s="310"/>
    </row>
    <row r="109" spans="1:100" ht="12.75" outlineLevel="2" x14ac:dyDescent="0.2">
      <c r="A109" s="236"/>
      <c r="B109" s="236"/>
      <c r="C109" s="237"/>
      <c r="D109" s="238"/>
      <c r="E109" s="32" t="str">
        <f t="shared" ref="E109:G109" si="43" xml:space="preserve"> E$98</f>
        <v>Senior debt facility amount - full tenure</v>
      </c>
      <c r="F109" s="32">
        <f t="shared" si="43"/>
        <v>125194.92613015344</v>
      </c>
      <c r="G109" s="32" t="str">
        <f t="shared" si="43"/>
        <v>$ 000s</v>
      </c>
      <c r="H109" s="310"/>
      <c r="I109" s="310"/>
      <c r="J109" s="310"/>
      <c r="K109" s="310"/>
      <c r="L109" s="310"/>
      <c r="M109" s="310"/>
      <c r="N109" s="310"/>
      <c r="O109" s="310"/>
      <c r="P109" s="310"/>
      <c r="Q109" s="310"/>
      <c r="R109" s="310"/>
      <c r="S109" s="310"/>
      <c r="T109" s="310"/>
      <c r="U109" s="310"/>
      <c r="V109" s="310"/>
      <c r="W109" s="310"/>
      <c r="X109" s="310"/>
      <c r="Y109" s="310"/>
      <c r="Z109" s="310"/>
      <c r="AA109" s="310"/>
      <c r="AB109" s="310"/>
      <c r="AC109" s="310"/>
      <c r="AD109" s="310"/>
      <c r="AE109" s="310"/>
      <c r="AF109" s="310"/>
      <c r="AG109" s="310"/>
      <c r="AH109" s="310"/>
      <c r="AI109" s="310"/>
      <c r="AJ109" s="310"/>
      <c r="AK109" s="310"/>
      <c r="AL109" s="310"/>
      <c r="AM109" s="310"/>
      <c r="AN109" s="310"/>
      <c r="AO109" s="310"/>
      <c r="AP109" s="310"/>
      <c r="AQ109" s="310"/>
      <c r="AR109" s="310"/>
      <c r="AS109" s="310"/>
      <c r="AT109" s="310"/>
      <c r="AU109" s="310"/>
      <c r="AV109" s="310"/>
      <c r="AW109" s="310"/>
      <c r="AX109" s="310"/>
      <c r="AY109" s="310"/>
      <c r="AZ109" s="310"/>
      <c r="BA109" s="310"/>
      <c r="BB109" s="310"/>
      <c r="BC109" s="310"/>
      <c r="BD109" s="310"/>
      <c r="BE109" s="310"/>
      <c r="BF109" s="310"/>
      <c r="BG109" s="310"/>
      <c r="BH109" s="310"/>
      <c r="BI109" s="310"/>
      <c r="BJ109" s="310"/>
      <c r="BK109" s="310"/>
      <c r="BL109" s="310"/>
      <c r="BM109" s="310"/>
      <c r="BN109" s="310"/>
      <c r="BO109" s="310"/>
      <c r="BP109" s="310"/>
      <c r="BQ109" s="310"/>
      <c r="BR109" s="310"/>
      <c r="BS109" s="310"/>
      <c r="BT109" s="310"/>
      <c r="BU109" s="310"/>
      <c r="BV109" s="310"/>
      <c r="BW109" s="310"/>
      <c r="BX109" s="310"/>
      <c r="BY109" s="310"/>
      <c r="BZ109" s="310"/>
      <c r="CA109" s="310"/>
      <c r="CB109" s="310"/>
      <c r="CC109" s="310"/>
      <c r="CD109" s="310"/>
      <c r="CE109" s="310"/>
      <c r="CF109" s="310"/>
      <c r="CG109" s="310"/>
      <c r="CH109" s="310"/>
      <c r="CI109" s="310"/>
      <c r="CJ109" s="310"/>
      <c r="CK109" s="310"/>
      <c r="CL109" s="310"/>
      <c r="CM109" s="310"/>
      <c r="CN109" s="310"/>
      <c r="CO109" s="310"/>
      <c r="CP109" s="310"/>
      <c r="CQ109" s="310"/>
      <c r="CR109" s="310"/>
      <c r="CS109" s="310"/>
      <c r="CT109" s="310"/>
      <c r="CU109" s="310"/>
      <c r="CV109" s="310"/>
    </row>
    <row r="110" spans="1:100" ht="12.75" outlineLevel="2" x14ac:dyDescent="0.2">
      <c r="A110" s="236"/>
      <c r="B110" s="236"/>
      <c r="C110" s="237"/>
      <c r="D110" s="238"/>
      <c r="E110" s="32" t="s">
        <v>977</v>
      </c>
      <c r="F110" s="1109">
        <f xml:space="preserve"> IF(F107 &gt; 0, F107, (1 - SUM(F106:F107)) * F108 / F109)</f>
        <v>0.58700187809984095</v>
      </c>
      <c r="G110" s="32" t="s">
        <v>103</v>
      </c>
      <c r="H110" s="310"/>
      <c r="I110" s="310"/>
      <c r="J110" s="310"/>
      <c r="K110" s="310"/>
      <c r="L110" s="310"/>
      <c r="M110" s="310"/>
      <c r="N110" s="310"/>
      <c r="O110" s="310"/>
      <c r="P110" s="310"/>
      <c r="Q110" s="310"/>
      <c r="R110" s="310"/>
      <c r="S110" s="310"/>
      <c r="T110" s="310"/>
      <c r="U110" s="310"/>
      <c r="V110" s="310"/>
      <c r="W110" s="310"/>
      <c r="X110" s="310"/>
      <c r="Y110" s="310"/>
      <c r="Z110" s="310"/>
      <c r="AA110" s="310"/>
      <c r="AB110" s="310"/>
      <c r="AC110" s="310"/>
      <c r="AD110" s="310"/>
      <c r="AE110" s="310"/>
      <c r="AF110" s="310"/>
      <c r="AG110" s="310"/>
      <c r="AH110" s="310"/>
      <c r="AI110" s="310"/>
      <c r="AJ110" s="310"/>
      <c r="AK110" s="310"/>
      <c r="AL110" s="310"/>
      <c r="AM110" s="310"/>
      <c r="AN110" s="310"/>
      <c r="AO110" s="310"/>
      <c r="AP110" s="310"/>
      <c r="AQ110" s="310"/>
      <c r="AR110" s="310"/>
      <c r="AS110" s="310"/>
      <c r="AT110" s="310"/>
      <c r="AU110" s="310"/>
      <c r="AV110" s="310"/>
      <c r="AW110" s="310"/>
      <c r="AX110" s="310"/>
      <c r="AY110" s="310"/>
      <c r="AZ110" s="310"/>
      <c r="BA110" s="310"/>
      <c r="BB110" s="310"/>
      <c r="BC110" s="310"/>
      <c r="BD110" s="310"/>
      <c r="BE110" s="310"/>
      <c r="BF110" s="310"/>
      <c r="BG110" s="310"/>
      <c r="BH110" s="310"/>
      <c r="BI110" s="310"/>
      <c r="BJ110" s="310"/>
      <c r="BK110" s="310"/>
      <c r="BL110" s="310"/>
      <c r="BM110" s="310"/>
      <c r="BN110" s="310"/>
      <c r="BO110" s="310"/>
      <c r="BP110" s="310"/>
      <c r="BQ110" s="310"/>
      <c r="BR110" s="310"/>
      <c r="BS110" s="310"/>
      <c r="BT110" s="310"/>
      <c r="BU110" s="310"/>
      <c r="BV110" s="310"/>
      <c r="BW110" s="310"/>
      <c r="BX110" s="310"/>
      <c r="BY110" s="310"/>
      <c r="BZ110" s="310"/>
      <c r="CA110" s="310"/>
      <c r="CB110" s="310"/>
      <c r="CC110" s="310"/>
      <c r="CD110" s="310"/>
      <c r="CE110" s="310"/>
      <c r="CF110" s="310"/>
      <c r="CG110" s="310"/>
      <c r="CH110" s="310"/>
      <c r="CI110" s="310"/>
      <c r="CJ110" s="310"/>
      <c r="CK110" s="310"/>
      <c r="CL110" s="310"/>
      <c r="CM110" s="310"/>
      <c r="CN110" s="310"/>
      <c r="CO110" s="310"/>
      <c r="CP110" s="310"/>
      <c r="CQ110" s="310"/>
      <c r="CR110" s="310"/>
      <c r="CS110" s="310"/>
      <c r="CT110" s="310"/>
      <c r="CU110" s="310"/>
      <c r="CV110" s="310"/>
    </row>
    <row r="111" spans="1:100" ht="12.75" outlineLevel="2" x14ac:dyDescent="0.2">
      <c r="A111" s="236"/>
      <c r="B111" s="236"/>
      <c r="C111" s="237"/>
      <c r="D111" s="238"/>
      <c r="E111" s="310"/>
      <c r="F111" s="310"/>
      <c r="G111" s="310"/>
      <c r="H111" s="310"/>
      <c r="I111" s="310"/>
      <c r="J111" s="310"/>
      <c r="K111" s="310"/>
      <c r="L111" s="310"/>
      <c r="M111" s="310"/>
      <c r="N111" s="310"/>
      <c r="O111" s="310"/>
      <c r="P111" s="310"/>
      <c r="Q111" s="310"/>
      <c r="R111" s="310"/>
      <c r="S111" s="310"/>
      <c r="T111" s="310"/>
      <c r="U111" s="310"/>
      <c r="V111" s="310"/>
      <c r="W111" s="310"/>
      <c r="X111" s="310"/>
      <c r="Y111" s="310"/>
      <c r="Z111" s="310"/>
      <c r="AA111" s="310"/>
      <c r="AB111" s="310"/>
      <c r="AC111" s="310"/>
      <c r="AD111" s="310"/>
      <c r="AE111" s="310"/>
      <c r="AF111" s="310"/>
      <c r="AG111" s="310"/>
      <c r="AH111" s="310"/>
      <c r="AI111" s="310"/>
      <c r="AJ111" s="310"/>
      <c r="AK111" s="310"/>
      <c r="AL111" s="310"/>
      <c r="AM111" s="310"/>
      <c r="AN111" s="310"/>
      <c r="AO111" s="310"/>
      <c r="AP111" s="310"/>
      <c r="AQ111" s="310"/>
      <c r="AR111" s="310"/>
      <c r="AS111" s="310"/>
      <c r="AT111" s="310"/>
      <c r="AU111" s="310"/>
      <c r="AV111" s="310"/>
      <c r="AW111" s="310"/>
      <c r="AX111" s="310"/>
      <c r="AY111" s="310"/>
      <c r="AZ111" s="310"/>
      <c r="BA111" s="310"/>
      <c r="BB111" s="310"/>
      <c r="BC111" s="310"/>
      <c r="BD111" s="310"/>
      <c r="BE111" s="310"/>
      <c r="BF111" s="310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310"/>
      <c r="BR111" s="310"/>
      <c r="BS111" s="310"/>
      <c r="BT111" s="310"/>
      <c r="BU111" s="310"/>
      <c r="BV111" s="310"/>
      <c r="BW111" s="310"/>
      <c r="BX111" s="310"/>
      <c r="BY111" s="310"/>
      <c r="BZ111" s="310"/>
      <c r="CA111" s="310"/>
      <c r="CB111" s="310"/>
      <c r="CC111" s="310"/>
      <c r="CD111" s="310"/>
      <c r="CE111" s="310"/>
      <c r="CF111" s="310"/>
      <c r="CG111" s="310"/>
      <c r="CH111" s="310"/>
      <c r="CI111" s="310"/>
      <c r="CJ111" s="310"/>
      <c r="CK111" s="310"/>
      <c r="CL111" s="310"/>
      <c r="CM111" s="310"/>
      <c r="CN111" s="310"/>
      <c r="CO111" s="310"/>
      <c r="CP111" s="310"/>
      <c r="CQ111" s="310"/>
      <c r="CR111" s="310"/>
      <c r="CS111" s="310"/>
      <c r="CT111" s="310"/>
      <c r="CU111" s="310"/>
      <c r="CV111" s="310"/>
    </row>
    <row r="112" spans="1:100" ht="12.75" outlineLevel="2" x14ac:dyDescent="0.2">
      <c r="A112" s="236"/>
      <c r="B112" s="236"/>
      <c r="C112" s="237"/>
      <c r="D112" s="238"/>
      <c r="E112" s="310" t="str">
        <f t="shared" ref="E112:AJ112" si="44" xml:space="preserve"> E$187</f>
        <v>Senior debt balance BEG - T1</v>
      </c>
      <c r="F112" s="310">
        <f t="shared" si="44"/>
        <v>0</v>
      </c>
      <c r="G112" s="310" t="str">
        <f t="shared" si="44"/>
        <v>$ 000s</v>
      </c>
      <c r="H112" s="310">
        <f t="shared" si="44"/>
        <v>0</v>
      </c>
      <c r="I112" s="310">
        <f t="shared" si="44"/>
        <v>0</v>
      </c>
      <c r="J112" s="310">
        <f t="shared" si="44"/>
        <v>0</v>
      </c>
      <c r="K112" s="310">
        <f t="shared" si="44"/>
        <v>0</v>
      </c>
      <c r="L112" s="310">
        <f t="shared" si="44"/>
        <v>12084.251893640236</v>
      </c>
      <c r="M112" s="310">
        <f t="shared" si="44"/>
        <v>48641.086087745876</v>
      </c>
      <c r="N112" s="310">
        <f t="shared" si="44"/>
        <v>85848.029919746245</v>
      </c>
      <c r="O112" s="310">
        <f t="shared" si="44"/>
        <v>125194.92613015344</v>
      </c>
      <c r="P112" s="310">
        <f t="shared" si="44"/>
        <v>122307.36969156924</v>
      </c>
      <c r="Q112" s="310">
        <f t="shared" si="44"/>
        <v>119922.1352876555</v>
      </c>
      <c r="R112" s="310">
        <f t="shared" si="44"/>
        <v>117508.19233590935</v>
      </c>
      <c r="S112" s="310">
        <f t="shared" si="44"/>
        <v>115049.50252800655</v>
      </c>
      <c r="T112" s="310">
        <f t="shared" si="44"/>
        <v>112559.24542947744</v>
      </c>
      <c r="U112" s="310">
        <f t="shared" si="44"/>
        <v>110024.16578572989</v>
      </c>
      <c r="V112" s="310">
        <f t="shared" si="44"/>
        <v>107454.54754436042</v>
      </c>
      <c r="W112" s="310">
        <f t="shared" si="44"/>
        <v>104844.37664323812</v>
      </c>
      <c r="X112" s="310">
        <f t="shared" si="44"/>
        <v>102198.52966645258</v>
      </c>
      <c r="Y112" s="310">
        <f t="shared" si="44"/>
        <v>99501.600215346058</v>
      </c>
      <c r="Z112" s="310">
        <f t="shared" si="44"/>
        <v>96843.285838745331</v>
      </c>
      <c r="AA112" s="310">
        <f t="shared" si="44"/>
        <v>94137.669059260574</v>
      </c>
      <c r="AB112" s="310">
        <f t="shared" si="44"/>
        <v>91388.173880573551</v>
      </c>
      <c r="AC112" s="310">
        <f t="shared" si="44"/>
        <v>88591.140842060806</v>
      </c>
      <c r="AD112" s="310">
        <f t="shared" si="44"/>
        <v>85746.585013341115</v>
      </c>
      <c r="AE112" s="310">
        <f t="shared" si="44"/>
        <v>82856.442001167306</v>
      </c>
      <c r="AF112" s="310">
        <f t="shared" si="44"/>
        <v>79918.828937485043</v>
      </c>
      <c r="AG112" s="310">
        <f t="shared" si="44"/>
        <v>76927.27686561922</v>
      </c>
      <c r="AH112" s="310">
        <f t="shared" si="44"/>
        <v>73880.450658089481</v>
      </c>
      <c r="AI112" s="310">
        <f t="shared" si="44"/>
        <v>70785.247373619</v>
      </c>
      <c r="AJ112" s="310">
        <f t="shared" si="44"/>
        <v>67690.833646661864</v>
      </c>
      <c r="AK112" s="310">
        <f t="shared" ref="AK112:BP112" si="45" xml:space="preserve"> AK$187</f>
        <v>64544.128046861137</v>
      </c>
      <c r="AL112" s="310">
        <f t="shared" si="45"/>
        <v>61331.848850567236</v>
      </c>
      <c r="AM112" s="310">
        <f t="shared" si="45"/>
        <v>58066.22768944627</v>
      </c>
      <c r="AN112" s="310">
        <f t="shared" si="45"/>
        <v>54736.43721186708</v>
      </c>
      <c r="AO112" s="310">
        <f t="shared" si="45"/>
        <v>51347.570845042952</v>
      </c>
      <c r="AP112" s="310">
        <f t="shared" si="45"/>
        <v>47883.159012851975</v>
      </c>
      <c r="AQ112" s="310">
        <f t="shared" si="45"/>
        <v>44364.691041537037</v>
      </c>
      <c r="AR112" s="310">
        <f t="shared" si="45"/>
        <v>40765.341095443495</v>
      </c>
      <c r="AS112" s="310">
        <f t="shared" si="45"/>
        <v>37111.262402800712</v>
      </c>
      <c r="AT112" s="310">
        <f t="shared" si="45"/>
        <v>28054.211954517719</v>
      </c>
      <c r="AU112" s="310">
        <f t="shared" si="45"/>
        <v>18869.053669515644</v>
      </c>
      <c r="AV112" s="310">
        <f t="shared" si="45"/>
        <v>9500.7049074522929</v>
      </c>
      <c r="AW112" s="310">
        <f t="shared" si="45"/>
        <v>-2.5461520346652833E-2</v>
      </c>
      <c r="AX112" s="310">
        <f t="shared" si="45"/>
        <v>-2.5461520346652833E-2</v>
      </c>
      <c r="AY112" s="310">
        <f t="shared" si="45"/>
        <v>-2.5461520346652833E-2</v>
      </c>
      <c r="AZ112" s="310">
        <f t="shared" si="45"/>
        <v>-2.5461520346652833E-2</v>
      </c>
      <c r="BA112" s="310">
        <f t="shared" si="45"/>
        <v>-2.5461520346652833E-2</v>
      </c>
      <c r="BB112" s="310">
        <f t="shared" si="45"/>
        <v>-2.5461520346652833E-2</v>
      </c>
      <c r="BC112" s="310">
        <f t="shared" si="45"/>
        <v>-2.5461520346652833E-2</v>
      </c>
      <c r="BD112" s="310">
        <f t="shared" si="45"/>
        <v>-2.5461520346652833E-2</v>
      </c>
      <c r="BE112" s="310">
        <f t="shared" si="45"/>
        <v>-2.5461520346652833E-2</v>
      </c>
      <c r="BF112" s="310">
        <f t="shared" si="45"/>
        <v>-2.5461520346652833E-2</v>
      </c>
      <c r="BG112" s="310">
        <f t="shared" si="45"/>
        <v>-2.5461520346652833E-2</v>
      </c>
      <c r="BH112" s="310">
        <f t="shared" si="45"/>
        <v>-2.5461520346652833E-2</v>
      </c>
      <c r="BI112" s="310">
        <f t="shared" si="45"/>
        <v>-2.5461520346652833E-2</v>
      </c>
      <c r="BJ112" s="310">
        <f t="shared" si="45"/>
        <v>-2.5461520346652833E-2</v>
      </c>
      <c r="BK112" s="310">
        <f t="shared" si="45"/>
        <v>-2.5461520346652833E-2</v>
      </c>
      <c r="BL112" s="310">
        <f t="shared" si="45"/>
        <v>-2.5461520346652833E-2</v>
      </c>
      <c r="BM112" s="310">
        <f t="shared" si="45"/>
        <v>-2.5461520346652833E-2</v>
      </c>
      <c r="BN112" s="310">
        <f t="shared" si="45"/>
        <v>-2.5461520346652833E-2</v>
      </c>
      <c r="BO112" s="310">
        <f t="shared" si="45"/>
        <v>-2.5461520346652833E-2</v>
      </c>
      <c r="BP112" s="310">
        <f t="shared" si="45"/>
        <v>-2.5461520346652833E-2</v>
      </c>
      <c r="BQ112" s="310">
        <f t="shared" ref="BQ112:CV112" si="46" xml:space="preserve"> BQ$187</f>
        <v>-2.5461520346652833E-2</v>
      </c>
      <c r="BR112" s="310">
        <f t="shared" si="46"/>
        <v>-2.5461520346652833E-2</v>
      </c>
      <c r="BS112" s="310">
        <f t="shared" si="46"/>
        <v>-2.5461520346652833E-2</v>
      </c>
      <c r="BT112" s="310">
        <f t="shared" si="46"/>
        <v>-2.5461520346652833E-2</v>
      </c>
      <c r="BU112" s="310">
        <f t="shared" si="46"/>
        <v>-2.5461520346652833E-2</v>
      </c>
      <c r="BV112" s="310">
        <f t="shared" si="46"/>
        <v>-2.5461520346652833E-2</v>
      </c>
      <c r="BW112" s="310">
        <f t="shared" si="46"/>
        <v>-2.5461520346652833E-2</v>
      </c>
      <c r="BX112" s="310">
        <f t="shared" si="46"/>
        <v>-2.5461520346652833E-2</v>
      </c>
      <c r="BY112" s="310">
        <f t="shared" si="46"/>
        <v>-2.5461520346652833E-2</v>
      </c>
      <c r="BZ112" s="310">
        <f t="shared" si="46"/>
        <v>-2.5461520346652833E-2</v>
      </c>
      <c r="CA112" s="310">
        <f t="shared" si="46"/>
        <v>-2.5461520346652833E-2</v>
      </c>
      <c r="CB112" s="310">
        <f t="shared" si="46"/>
        <v>-2.5461520346652833E-2</v>
      </c>
      <c r="CC112" s="310">
        <f t="shared" si="46"/>
        <v>-2.5461520346652833E-2</v>
      </c>
      <c r="CD112" s="310">
        <f t="shared" si="46"/>
        <v>-2.5461520346652833E-2</v>
      </c>
      <c r="CE112" s="310">
        <f t="shared" si="46"/>
        <v>-2.5461520346652833E-2</v>
      </c>
      <c r="CF112" s="310">
        <f t="shared" si="46"/>
        <v>-2.5461520346652833E-2</v>
      </c>
      <c r="CG112" s="310">
        <f t="shared" si="46"/>
        <v>-2.5461520346652833E-2</v>
      </c>
      <c r="CH112" s="310">
        <f t="shared" si="46"/>
        <v>-2.5461520346652833E-2</v>
      </c>
      <c r="CI112" s="310">
        <f t="shared" si="46"/>
        <v>-2.5461520346652833E-2</v>
      </c>
      <c r="CJ112" s="310">
        <f t="shared" si="46"/>
        <v>-2.5461520346652833E-2</v>
      </c>
      <c r="CK112" s="310">
        <f t="shared" si="46"/>
        <v>-2.5461520346652833E-2</v>
      </c>
      <c r="CL112" s="310">
        <f t="shared" si="46"/>
        <v>-2.5461520346652833E-2</v>
      </c>
      <c r="CM112" s="310">
        <f t="shared" si="46"/>
        <v>-2.5461520346652833E-2</v>
      </c>
      <c r="CN112" s="310">
        <f t="shared" si="46"/>
        <v>-2.5461520346652833E-2</v>
      </c>
      <c r="CO112" s="310">
        <f t="shared" si="46"/>
        <v>-2.5461520346652833E-2</v>
      </c>
      <c r="CP112" s="310">
        <f t="shared" si="46"/>
        <v>-2.5461520346652833E-2</v>
      </c>
      <c r="CQ112" s="310">
        <f t="shared" si="46"/>
        <v>-2.5461520346652833E-2</v>
      </c>
      <c r="CR112" s="310">
        <f t="shared" si="46"/>
        <v>-2.5461520346652833E-2</v>
      </c>
      <c r="CS112" s="310">
        <f t="shared" si="46"/>
        <v>-2.5461520346652833E-2</v>
      </c>
      <c r="CT112" s="310">
        <f t="shared" si="46"/>
        <v>-2.5461520346652833E-2</v>
      </c>
      <c r="CU112" s="310">
        <f t="shared" si="46"/>
        <v>-2.5461520346652833E-2</v>
      </c>
      <c r="CV112" s="310">
        <f t="shared" si="46"/>
        <v>-2.5461520346652833E-2</v>
      </c>
    </row>
    <row r="113" spans="1:100" ht="12.75" outlineLevel="2" x14ac:dyDescent="0.2">
      <c r="A113" s="236"/>
      <c r="B113" s="236"/>
      <c r="C113" s="237"/>
      <c r="D113" s="238"/>
      <c r="E113" s="310" t="str">
        <f t="shared" ref="E113:AJ113" si="47" xml:space="preserve"> E$299</f>
        <v>Senior debt balance BEG - T2</v>
      </c>
      <c r="F113" s="310">
        <f t="shared" si="47"/>
        <v>0</v>
      </c>
      <c r="G113" s="310" t="str">
        <f t="shared" si="47"/>
        <v>$ 000s</v>
      </c>
      <c r="H113" s="310">
        <f t="shared" si="47"/>
        <v>0</v>
      </c>
      <c r="I113" s="310">
        <f t="shared" si="47"/>
        <v>0</v>
      </c>
      <c r="J113" s="310">
        <f t="shared" si="47"/>
        <v>0</v>
      </c>
      <c r="K113" s="310">
        <f t="shared" si="47"/>
        <v>0</v>
      </c>
      <c r="L113" s="310">
        <f t="shared" si="47"/>
        <v>12084.251893640236</v>
      </c>
      <c r="M113" s="310">
        <f t="shared" si="47"/>
        <v>48641.086087745876</v>
      </c>
      <c r="N113" s="310">
        <f t="shared" si="47"/>
        <v>85848.029919746245</v>
      </c>
      <c r="O113" s="310">
        <f t="shared" si="47"/>
        <v>125194.92613015344</v>
      </c>
      <c r="P113" s="310">
        <f t="shared" si="47"/>
        <v>121090.7892959798</v>
      </c>
      <c r="Q113" s="310">
        <f t="shared" si="47"/>
        <v>117700.61196665274</v>
      </c>
      <c r="R113" s="310">
        <f t="shared" si="47"/>
        <v>114269.63065266921</v>
      </c>
      <c r="S113" s="310">
        <f t="shared" si="47"/>
        <v>110775.04981276403</v>
      </c>
      <c r="T113" s="310">
        <f t="shared" si="47"/>
        <v>107235.60180472895</v>
      </c>
      <c r="U113" s="310">
        <f t="shared" si="47"/>
        <v>103632.44669252292</v>
      </c>
      <c r="V113" s="310">
        <f t="shared" si="47"/>
        <v>99980.201239152753</v>
      </c>
      <c r="W113" s="310">
        <f t="shared" si="47"/>
        <v>96270.31754800085</v>
      </c>
      <c r="X113" s="310">
        <f t="shared" si="47"/>
        <v>92509.726797318668</v>
      </c>
      <c r="Y113" s="310">
        <f t="shared" si="47"/>
        <v>88676.531590619605</v>
      </c>
      <c r="Z113" s="310">
        <f t="shared" si="47"/>
        <v>84898.220696315591</v>
      </c>
      <c r="AA113" s="310">
        <f t="shared" si="47"/>
        <v>81052.678030737021</v>
      </c>
      <c r="AB113" s="310">
        <f t="shared" si="47"/>
        <v>77144.770193006567</v>
      </c>
      <c r="AC113" s="310">
        <f t="shared" si="47"/>
        <v>73169.295924739374</v>
      </c>
      <c r="AD113" s="310">
        <f t="shared" si="47"/>
        <v>69126.276644660495</v>
      </c>
      <c r="AE113" s="310">
        <f t="shared" si="47"/>
        <v>65018.4634660866</v>
      </c>
      <c r="AF113" s="310">
        <f t="shared" si="47"/>
        <v>60843.180234178777</v>
      </c>
      <c r="AG113" s="310">
        <f t="shared" si="47"/>
        <v>56591.232502375169</v>
      </c>
      <c r="AH113" s="310">
        <f t="shared" si="47"/>
        <v>52260.722629543205</v>
      </c>
      <c r="AI113" s="310">
        <f t="shared" si="47"/>
        <v>47861.453531523759</v>
      </c>
      <c r="AJ113" s="310">
        <f t="shared" si="47"/>
        <v>43463.30664605397</v>
      </c>
      <c r="AK113" s="310">
        <f t="shared" ref="AK113:BP113" si="48" xml:space="preserve"> AK$299</f>
        <v>38990.836364304349</v>
      </c>
      <c r="AL113" s="310">
        <f t="shared" si="48"/>
        <v>34425.165129277833</v>
      </c>
      <c r="AM113" s="310">
        <f t="shared" si="48"/>
        <v>29783.677983009326</v>
      </c>
      <c r="AN113" s="310">
        <f t="shared" si="48"/>
        <v>25050.985812388433</v>
      </c>
      <c r="AO113" s="310">
        <f t="shared" si="48"/>
        <v>20234.327998768505</v>
      </c>
      <c r="AP113" s="310">
        <f t="shared" si="48"/>
        <v>15310.296032067479</v>
      </c>
      <c r="AQ113" s="310">
        <f t="shared" si="48"/>
        <v>10309.43308512052</v>
      </c>
      <c r="AR113" s="310">
        <f t="shared" si="48"/>
        <v>5193.6111065598579</v>
      </c>
      <c r="AS113" s="310">
        <f t="shared" si="48"/>
        <v>2.1585050071735168E-3</v>
      </c>
      <c r="AT113" s="310">
        <f t="shared" si="48"/>
        <v>2.1585050071735168E-3</v>
      </c>
      <c r="AU113" s="310">
        <f t="shared" si="48"/>
        <v>2.1585050071735168E-3</v>
      </c>
      <c r="AV113" s="310">
        <f t="shared" si="48"/>
        <v>2.1585050071735168E-3</v>
      </c>
      <c r="AW113" s="310">
        <f t="shared" si="48"/>
        <v>2.1585050071735168E-3</v>
      </c>
      <c r="AX113" s="310">
        <f t="shared" si="48"/>
        <v>2.1585050071735168E-3</v>
      </c>
      <c r="AY113" s="310">
        <f t="shared" si="48"/>
        <v>2.1585050071735168E-3</v>
      </c>
      <c r="AZ113" s="310">
        <f t="shared" si="48"/>
        <v>2.1585050071735168E-3</v>
      </c>
      <c r="BA113" s="310">
        <f t="shared" si="48"/>
        <v>2.1585050071735168E-3</v>
      </c>
      <c r="BB113" s="310">
        <f t="shared" si="48"/>
        <v>2.1585050071735168E-3</v>
      </c>
      <c r="BC113" s="310">
        <f t="shared" si="48"/>
        <v>2.1585050071735168E-3</v>
      </c>
      <c r="BD113" s="310">
        <f t="shared" si="48"/>
        <v>2.1585050071735168E-3</v>
      </c>
      <c r="BE113" s="310">
        <f t="shared" si="48"/>
        <v>2.1585050071735168E-3</v>
      </c>
      <c r="BF113" s="310">
        <f t="shared" si="48"/>
        <v>2.1585050071735168E-3</v>
      </c>
      <c r="BG113" s="310">
        <f t="shared" si="48"/>
        <v>2.1585050071735168E-3</v>
      </c>
      <c r="BH113" s="310">
        <f t="shared" si="48"/>
        <v>2.1585050071735168E-3</v>
      </c>
      <c r="BI113" s="310">
        <f t="shared" si="48"/>
        <v>2.1585050071735168E-3</v>
      </c>
      <c r="BJ113" s="310">
        <f t="shared" si="48"/>
        <v>2.1585050071735168E-3</v>
      </c>
      <c r="BK113" s="310">
        <f t="shared" si="48"/>
        <v>2.1585050071735168E-3</v>
      </c>
      <c r="BL113" s="310">
        <f t="shared" si="48"/>
        <v>2.1585050071735168E-3</v>
      </c>
      <c r="BM113" s="310">
        <f t="shared" si="48"/>
        <v>2.1585050071735168E-3</v>
      </c>
      <c r="BN113" s="310">
        <f t="shared" si="48"/>
        <v>2.1585050071735168E-3</v>
      </c>
      <c r="BO113" s="310">
        <f t="shared" si="48"/>
        <v>2.1585050071735168E-3</v>
      </c>
      <c r="BP113" s="310">
        <f t="shared" si="48"/>
        <v>2.1585050071735168E-3</v>
      </c>
      <c r="BQ113" s="310">
        <f t="shared" ref="BQ113:CV113" si="49" xml:space="preserve"> BQ$299</f>
        <v>2.1585050071735168E-3</v>
      </c>
      <c r="BR113" s="310">
        <f t="shared" si="49"/>
        <v>2.1585050071735168E-3</v>
      </c>
      <c r="BS113" s="310">
        <f t="shared" si="49"/>
        <v>2.1585050071735168E-3</v>
      </c>
      <c r="BT113" s="310">
        <f t="shared" si="49"/>
        <v>2.1585050071735168E-3</v>
      </c>
      <c r="BU113" s="310">
        <f t="shared" si="49"/>
        <v>2.1585050071735168E-3</v>
      </c>
      <c r="BV113" s="310">
        <f t="shared" si="49"/>
        <v>2.1585050071735168E-3</v>
      </c>
      <c r="BW113" s="310">
        <f t="shared" si="49"/>
        <v>2.1585050071735168E-3</v>
      </c>
      <c r="BX113" s="310">
        <f t="shared" si="49"/>
        <v>2.1585050071735168E-3</v>
      </c>
      <c r="BY113" s="310">
        <f t="shared" si="49"/>
        <v>2.1585050071735168E-3</v>
      </c>
      <c r="BZ113" s="310">
        <f t="shared" si="49"/>
        <v>2.1585050071735168E-3</v>
      </c>
      <c r="CA113" s="310">
        <f t="shared" si="49"/>
        <v>2.1585050071735168E-3</v>
      </c>
      <c r="CB113" s="310">
        <f t="shared" si="49"/>
        <v>2.1585050071735168E-3</v>
      </c>
      <c r="CC113" s="310">
        <f t="shared" si="49"/>
        <v>2.1585050071735168E-3</v>
      </c>
      <c r="CD113" s="310">
        <f t="shared" si="49"/>
        <v>2.1585050071735168E-3</v>
      </c>
      <c r="CE113" s="310">
        <f t="shared" si="49"/>
        <v>2.1585050071735168E-3</v>
      </c>
      <c r="CF113" s="310">
        <f t="shared" si="49"/>
        <v>2.1585050071735168E-3</v>
      </c>
      <c r="CG113" s="310">
        <f t="shared" si="49"/>
        <v>2.1585050071735168E-3</v>
      </c>
      <c r="CH113" s="310">
        <f t="shared" si="49"/>
        <v>2.1585050071735168E-3</v>
      </c>
      <c r="CI113" s="310">
        <f t="shared" si="49"/>
        <v>2.1585050071735168E-3</v>
      </c>
      <c r="CJ113" s="310">
        <f t="shared" si="49"/>
        <v>2.1585050071735168E-3</v>
      </c>
      <c r="CK113" s="310">
        <f t="shared" si="49"/>
        <v>2.1585050071735168E-3</v>
      </c>
      <c r="CL113" s="310">
        <f t="shared" si="49"/>
        <v>2.1585050071735168E-3</v>
      </c>
      <c r="CM113" s="310">
        <f t="shared" si="49"/>
        <v>2.1585050071735168E-3</v>
      </c>
      <c r="CN113" s="310">
        <f t="shared" si="49"/>
        <v>2.1585050071735168E-3</v>
      </c>
      <c r="CO113" s="310">
        <f t="shared" si="49"/>
        <v>2.1585050071735168E-3</v>
      </c>
      <c r="CP113" s="310">
        <f t="shared" si="49"/>
        <v>2.1585050071735168E-3</v>
      </c>
      <c r="CQ113" s="310">
        <f t="shared" si="49"/>
        <v>2.1585050071735168E-3</v>
      </c>
      <c r="CR113" s="310">
        <f t="shared" si="49"/>
        <v>2.1585050071735168E-3</v>
      </c>
      <c r="CS113" s="310">
        <f t="shared" si="49"/>
        <v>2.1585050071735168E-3</v>
      </c>
      <c r="CT113" s="310">
        <f t="shared" si="49"/>
        <v>2.1585050071735168E-3</v>
      </c>
      <c r="CU113" s="310">
        <f t="shared" si="49"/>
        <v>2.1585050071735168E-3</v>
      </c>
      <c r="CV113" s="310">
        <f t="shared" si="49"/>
        <v>2.1585050071735168E-3</v>
      </c>
    </row>
    <row r="114" spans="1:100" ht="12.75" outlineLevel="2" x14ac:dyDescent="0.2">
      <c r="A114" s="236"/>
      <c r="B114" s="236"/>
      <c r="C114" s="237"/>
      <c r="D114" s="238"/>
      <c r="E114" s="1110" t="s">
        <v>890</v>
      </c>
      <c r="F114" s="1110"/>
      <c r="G114" s="1110" t="str">
        <f xml:space="preserve"> SMU</f>
        <v>$ 000s</v>
      </c>
      <c r="H114" s="1110"/>
      <c r="I114" s="1110"/>
      <c r="J114" s="1110">
        <f t="shared" ref="J114:AO114" si="50">SUM(J112:J113)</f>
        <v>0</v>
      </c>
      <c r="K114" s="1110">
        <f t="shared" si="50"/>
        <v>0</v>
      </c>
      <c r="L114" s="1110">
        <f t="shared" si="50"/>
        <v>24168.503787280471</v>
      </c>
      <c r="M114" s="1110">
        <f t="shared" si="50"/>
        <v>97282.172175491753</v>
      </c>
      <c r="N114" s="1110">
        <f t="shared" si="50"/>
        <v>171696.05983949249</v>
      </c>
      <c r="O114" s="1110">
        <f t="shared" si="50"/>
        <v>250389.85226030689</v>
      </c>
      <c r="P114" s="1110">
        <f t="shared" si="50"/>
        <v>243398.15898754905</v>
      </c>
      <c r="Q114" s="1110">
        <f t="shared" si="50"/>
        <v>237622.74725430825</v>
      </c>
      <c r="R114" s="1110">
        <f t="shared" si="50"/>
        <v>231777.82298857855</v>
      </c>
      <c r="S114" s="1110">
        <f t="shared" si="50"/>
        <v>225824.55234077058</v>
      </c>
      <c r="T114" s="1110">
        <f t="shared" si="50"/>
        <v>219794.84723420639</v>
      </c>
      <c r="U114" s="1110">
        <f t="shared" si="50"/>
        <v>213656.61247825279</v>
      </c>
      <c r="V114" s="1110">
        <f t="shared" si="50"/>
        <v>207434.74878351318</v>
      </c>
      <c r="W114" s="1110">
        <f t="shared" si="50"/>
        <v>201114.69419123896</v>
      </c>
      <c r="X114" s="1110">
        <f t="shared" si="50"/>
        <v>194708.25646377125</v>
      </c>
      <c r="Y114" s="1110">
        <f t="shared" si="50"/>
        <v>188178.13180596568</v>
      </c>
      <c r="Z114" s="1110">
        <f t="shared" si="50"/>
        <v>181741.50653506094</v>
      </c>
      <c r="AA114" s="1110">
        <f t="shared" si="50"/>
        <v>175190.34708999761</v>
      </c>
      <c r="AB114" s="1110">
        <f t="shared" si="50"/>
        <v>168532.94407358012</v>
      </c>
      <c r="AC114" s="1110">
        <f t="shared" si="50"/>
        <v>161760.43676680018</v>
      </c>
      <c r="AD114" s="1110">
        <f t="shared" si="50"/>
        <v>154872.86165800161</v>
      </c>
      <c r="AE114" s="1110">
        <f t="shared" si="50"/>
        <v>147874.90546725391</v>
      </c>
      <c r="AF114" s="1110">
        <f t="shared" si="50"/>
        <v>140762.00917166381</v>
      </c>
      <c r="AG114" s="1110">
        <f t="shared" si="50"/>
        <v>133518.50936799438</v>
      </c>
      <c r="AH114" s="1110">
        <f t="shared" si="50"/>
        <v>126141.17328763269</v>
      </c>
      <c r="AI114" s="1110">
        <f t="shared" si="50"/>
        <v>118646.70090514276</v>
      </c>
      <c r="AJ114" s="1110">
        <f t="shared" si="50"/>
        <v>111154.14029271583</v>
      </c>
      <c r="AK114" s="1110">
        <f t="shared" si="50"/>
        <v>103534.96441116548</v>
      </c>
      <c r="AL114" s="1110">
        <f t="shared" si="50"/>
        <v>95757.013979845069</v>
      </c>
      <c r="AM114" s="1110">
        <f t="shared" si="50"/>
        <v>87849.905672455599</v>
      </c>
      <c r="AN114" s="1110">
        <f t="shared" si="50"/>
        <v>79787.42302425552</v>
      </c>
      <c r="AO114" s="1110">
        <f t="shared" si="50"/>
        <v>71581.898843811461</v>
      </c>
      <c r="AP114" s="1110">
        <f t="shared" ref="AP114:BU114" si="51">SUM(AP112:AP113)</f>
        <v>63193.45504491945</v>
      </c>
      <c r="AQ114" s="1110">
        <f t="shared" si="51"/>
        <v>54674.124126657553</v>
      </c>
      <c r="AR114" s="1110">
        <f t="shared" si="51"/>
        <v>45958.952202003355</v>
      </c>
      <c r="AS114" s="1110">
        <f t="shared" si="51"/>
        <v>37111.264561305718</v>
      </c>
      <c r="AT114" s="1110">
        <f t="shared" si="51"/>
        <v>28054.214113022725</v>
      </c>
      <c r="AU114" s="1110">
        <f t="shared" si="51"/>
        <v>18869.055828020653</v>
      </c>
      <c r="AV114" s="1110">
        <f t="shared" si="51"/>
        <v>9500.7070659573001</v>
      </c>
      <c r="AW114" s="1110">
        <f t="shared" si="51"/>
        <v>-2.3303015339479316E-2</v>
      </c>
      <c r="AX114" s="1110">
        <f t="shared" si="51"/>
        <v>-2.3303015339479316E-2</v>
      </c>
      <c r="AY114" s="1110">
        <f t="shared" si="51"/>
        <v>-2.3303015339479316E-2</v>
      </c>
      <c r="AZ114" s="1110">
        <f t="shared" si="51"/>
        <v>-2.3303015339479316E-2</v>
      </c>
      <c r="BA114" s="1110">
        <f t="shared" si="51"/>
        <v>-2.3303015339479316E-2</v>
      </c>
      <c r="BB114" s="1110">
        <f t="shared" si="51"/>
        <v>-2.3303015339479316E-2</v>
      </c>
      <c r="BC114" s="1110">
        <f t="shared" si="51"/>
        <v>-2.3303015339479316E-2</v>
      </c>
      <c r="BD114" s="1110">
        <f t="shared" si="51"/>
        <v>-2.3303015339479316E-2</v>
      </c>
      <c r="BE114" s="1110">
        <f t="shared" si="51"/>
        <v>-2.3303015339479316E-2</v>
      </c>
      <c r="BF114" s="1110">
        <f t="shared" si="51"/>
        <v>-2.3303015339479316E-2</v>
      </c>
      <c r="BG114" s="1110">
        <f t="shared" si="51"/>
        <v>-2.3303015339479316E-2</v>
      </c>
      <c r="BH114" s="1110">
        <f t="shared" si="51"/>
        <v>-2.3303015339479316E-2</v>
      </c>
      <c r="BI114" s="1110">
        <f t="shared" si="51"/>
        <v>-2.3303015339479316E-2</v>
      </c>
      <c r="BJ114" s="1110">
        <f t="shared" si="51"/>
        <v>-2.3303015339479316E-2</v>
      </c>
      <c r="BK114" s="1110">
        <f t="shared" si="51"/>
        <v>-2.3303015339479316E-2</v>
      </c>
      <c r="BL114" s="1110">
        <f t="shared" si="51"/>
        <v>-2.3303015339479316E-2</v>
      </c>
      <c r="BM114" s="1110">
        <f t="shared" si="51"/>
        <v>-2.3303015339479316E-2</v>
      </c>
      <c r="BN114" s="1110">
        <f t="shared" si="51"/>
        <v>-2.3303015339479316E-2</v>
      </c>
      <c r="BO114" s="1110">
        <f t="shared" si="51"/>
        <v>-2.3303015339479316E-2</v>
      </c>
      <c r="BP114" s="1110">
        <f t="shared" si="51"/>
        <v>-2.3303015339479316E-2</v>
      </c>
      <c r="BQ114" s="1110">
        <f t="shared" si="51"/>
        <v>-2.3303015339479316E-2</v>
      </c>
      <c r="BR114" s="1110">
        <f t="shared" si="51"/>
        <v>-2.3303015339479316E-2</v>
      </c>
      <c r="BS114" s="1110">
        <f t="shared" si="51"/>
        <v>-2.3303015339479316E-2</v>
      </c>
      <c r="BT114" s="1110">
        <f t="shared" si="51"/>
        <v>-2.3303015339479316E-2</v>
      </c>
      <c r="BU114" s="1110">
        <f t="shared" si="51"/>
        <v>-2.3303015339479316E-2</v>
      </c>
      <c r="BV114" s="1110">
        <f t="shared" ref="BV114:CV114" si="52">SUM(BV112:BV113)</f>
        <v>-2.3303015339479316E-2</v>
      </c>
      <c r="BW114" s="1110">
        <f t="shared" si="52"/>
        <v>-2.3303015339479316E-2</v>
      </c>
      <c r="BX114" s="1110">
        <f t="shared" si="52"/>
        <v>-2.3303015339479316E-2</v>
      </c>
      <c r="BY114" s="1110">
        <f t="shared" si="52"/>
        <v>-2.3303015339479316E-2</v>
      </c>
      <c r="BZ114" s="1110">
        <f t="shared" si="52"/>
        <v>-2.3303015339479316E-2</v>
      </c>
      <c r="CA114" s="1110">
        <f t="shared" si="52"/>
        <v>-2.3303015339479316E-2</v>
      </c>
      <c r="CB114" s="1110">
        <f t="shared" si="52"/>
        <v>-2.3303015339479316E-2</v>
      </c>
      <c r="CC114" s="1110">
        <f t="shared" si="52"/>
        <v>-2.3303015339479316E-2</v>
      </c>
      <c r="CD114" s="1110">
        <f t="shared" si="52"/>
        <v>-2.3303015339479316E-2</v>
      </c>
      <c r="CE114" s="1110">
        <f t="shared" si="52"/>
        <v>-2.3303015339479316E-2</v>
      </c>
      <c r="CF114" s="1110">
        <f t="shared" si="52"/>
        <v>-2.3303015339479316E-2</v>
      </c>
      <c r="CG114" s="1110">
        <f t="shared" si="52"/>
        <v>-2.3303015339479316E-2</v>
      </c>
      <c r="CH114" s="1110">
        <f t="shared" si="52"/>
        <v>-2.3303015339479316E-2</v>
      </c>
      <c r="CI114" s="1110">
        <f t="shared" si="52"/>
        <v>-2.3303015339479316E-2</v>
      </c>
      <c r="CJ114" s="1110">
        <f t="shared" si="52"/>
        <v>-2.3303015339479316E-2</v>
      </c>
      <c r="CK114" s="1110">
        <f t="shared" si="52"/>
        <v>-2.3303015339479316E-2</v>
      </c>
      <c r="CL114" s="1110">
        <f t="shared" si="52"/>
        <v>-2.3303015339479316E-2</v>
      </c>
      <c r="CM114" s="1110">
        <f t="shared" si="52"/>
        <v>-2.3303015339479316E-2</v>
      </c>
      <c r="CN114" s="1110">
        <f t="shared" si="52"/>
        <v>-2.3303015339479316E-2</v>
      </c>
      <c r="CO114" s="1110">
        <f t="shared" si="52"/>
        <v>-2.3303015339479316E-2</v>
      </c>
      <c r="CP114" s="1110">
        <f t="shared" si="52"/>
        <v>-2.3303015339479316E-2</v>
      </c>
      <c r="CQ114" s="1110">
        <f t="shared" si="52"/>
        <v>-2.3303015339479316E-2</v>
      </c>
      <c r="CR114" s="1110">
        <f t="shared" si="52"/>
        <v>-2.3303015339479316E-2</v>
      </c>
      <c r="CS114" s="1110">
        <f t="shared" si="52"/>
        <v>-2.3303015339479316E-2</v>
      </c>
      <c r="CT114" s="1110">
        <f t="shared" si="52"/>
        <v>-2.3303015339479316E-2</v>
      </c>
      <c r="CU114" s="1110">
        <f t="shared" si="52"/>
        <v>-2.3303015339479316E-2</v>
      </c>
      <c r="CV114" s="1110">
        <f t="shared" si="52"/>
        <v>-2.3303015339479316E-2</v>
      </c>
    </row>
    <row r="115" spans="1:100" ht="12.75" outlineLevel="2" x14ac:dyDescent="0.2">
      <c r="A115" s="236"/>
      <c r="B115" s="236"/>
      <c r="C115" s="237"/>
      <c r="D115" s="238"/>
      <c r="E115" s="310"/>
      <c r="F115" s="310"/>
      <c r="G115" s="310"/>
      <c r="H115" s="310"/>
      <c r="I115" s="310"/>
      <c r="J115" s="310"/>
      <c r="K115" s="310"/>
      <c r="L115" s="310"/>
      <c r="M115" s="310"/>
      <c r="N115" s="310"/>
      <c r="O115" s="310"/>
      <c r="P115" s="310"/>
      <c r="Q115" s="310"/>
      <c r="R115" s="310"/>
      <c r="S115" s="310"/>
      <c r="T115" s="310"/>
      <c r="U115" s="310"/>
      <c r="V115" s="310"/>
      <c r="W115" s="310"/>
      <c r="X115" s="310"/>
      <c r="Y115" s="310"/>
      <c r="Z115" s="310"/>
      <c r="AA115" s="310"/>
      <c r="AB115" s="310"/>
      <c r="AC115" s="310"/>
      <c r="AD115" s="310"/>
      <c r="AE115" s="310"/>
      <c r="AF115" s="310"/>
      <c r="AG115" s="310"/>
      <c r="AH115" s="310"/>
      <c r="AI115" s="310"/>
      <c r="AJ115" s="310"/>
      <c r="AK115" s="310"/>
      <c r="AL115" s="310"/>
      <c r="AM115" s="310"/>
      <c r="AN115" s="310"/>
      <c r="AO115" s="310"/>
      <c r="AP115" s="310"/>
      <c r="AQ115" s="310"/>
      <c r="AR115" s="310"/>
      <c r="AS115" s="310"/>
      <c r="AT115" s="310"/>
      <c r="AU115" s="310"/>
      <c r="AV115" s="310"/>
      <c r="AW115" s="310"/>
      <c r="AX115" s="310"/>
      <c r="AY115" s="310"/>
      <c r="AZ115" s="310"/>
      <c r="BA115" s="310"/>
      <c r="BB115" s="310"/>
      <c r="BC115" s="310"/>
      <c r="BD115" s="310"/>
      <c r="BE115" s="310"/>
      <c r="BF115" s="310"/>
      <c r="BG115" s="310"/>
      <c r="BH115" s="310"/>
      <c r="BI115" s="310"/>
      <c r="BJ115" s="310"/>
      <c r="BK115" s="310"/>
      <c r="BL115" s="310"/>
      <c r="BM115" s="310"/>
      <c r="BN115" s="310"/>
      <c r="BO115" s="310"/>
      <c r="BP115" s="310"/>
      <c r="BQ115" s="310"/>
      <c r="BR115" s="310"/>
      <c r="BS115" s="310"/>
      <c r="BT115" s="310"/>
      <c r="BU115" s="310"/>
      <c r="BV115" s="310"/>
      <c r="BW115" s="310"/>
      <c r="BX115" s="310"/>
      <c r="BY115" s="310"/>
      <c r="BZ115" s="310"/>
      <c r="CA115" s="310"/>
      <c r="CB115" s="310"/>
      <c r="CC115" s="310"/>
      <c r="CD115" s="310"/>
      <c r="CE115" s="310"/>
      <c r="CF115" s="310"/>
      <c r="CG115" s="310"/>
      <c r="CH115" s="310"/>
      <c r="CI115" s="310"/>
      <c r="CJ115" s="310"/>
      <c r="CK115" s="310"/>
      <c r="CL115" s="310"/>
      <c r="CM115" s="310"/>
      <c r="CN115" s="310"/>
      <c r="CO115" s="310"/>
      <c r="CP115" s="310"/>
      <c r="CQ115" s="310"/>
      <c r="CR115" s="310"/>
      <c r="CS115" s="310"/>
      <c r="CT115" s="310"/>
      <c r="CU115" s="310"/>
      <c r="CV115" s="310"/>
    </row>
    <row r="116" spans="1:100" ht="12.75" outlineLevel="2" x14ac:dyDescent="0.2">
      <c r="A116" s="236"/>
      <c r="B116" s="236"/>
      <c r="C116" s="237"/>
      <c r="D116" s="238"/>
      <c r="E116" s="310" t="str">
        <f t="shared" ref="E116:AJ116" si="53" xml:space="preserve"> E$187</f>
        <v>Senior debt balance BEG - T1</v>
      </c>
      <c r="F116" s="310">
        <f t="shared" si="53"/>
        <v>0</v>
      </c>
      <c r="G116" s="310" t="str">
        <f t="shared" si="53"/>
        <v>$ 000s</v>
      </c>
      <c r="H116" s="310">
        <f t="shared" si="53"/>
        <v>0</v>
      </c>
      <c r="I116" s="310">
        <f t="shared" si="53"/>
        <v>0</v>
      </c>
      <c r="J116" s="310">
        <f t="shared" si="53"/>
        <v>0</v>
      </c>
      <c r="K116" s="310">
        <f t="shared" si="53"/>
        <v>0</v>
      </c>
      <c r="L116" s="310">
        <f t="shared" si="53"/>
        <v>12084.251893640236</v>
      </c>
      <c r="M116" s="310">
        <f t="shared" si="53"/>
        <v>48641.086087745876</v>
      </c>
      <c r="N116" s="310">
        <f t="shared" si="53"/>
        <v>85848.029919746245</v>
      </c>
      <c r="O116" s="310">
        <f t="shared" si="53"/>
        <v>125194.92613015344</v>
      </c>
      <c r="P116" s="310">
        <f t="shared" si="53"/>
        <v>122307.36969156924</v>
      </c>
      <c r="Q116" s="310">
        <f t="shared" si="53"/>
        <v>119922.1352876555</v>
      </c>
      <c r="R116" s="310">
        <f t="shared" si="53"/>
        <v>117508.19233590935</v>
      </c>
      <c r="S116" s="310">
        <f t="shared" si="53"/>
        <v>115049.50252800655</v>
      </c>
      <c r="T116" s="310">
        <f t="shared" si="53"/>
        <v>112559.24542947744</v>
      </c>
      <c r="U116" s="310">
        <f t="shared" si="53"/>
        <v>110024.16578572989</v>
      </c>
      <c r="V116" s="310">
        <f t="shared" si="53"/>
        <v>107454.54754436042</v>
      </c>
      <c r="W116" s="310">
        <f t="shared" si="53"/>
        <v>104844.37664323812</v>
      </c>
      <c r="X116" s="310">
        <f t="shared" si="53"/>
        <v>102198.52966645258</v>
      </c>
      <c r="Y116" s="310">
        <f t="shared" si="53"/>
        <v>99501.600215346058</v>
      </c>
      <c r="Z116" s="310">
        <f t="shared" si="53"/>
        <v>96843.285838745331</v>
      </c>
      <c r="AA116" s="310">
        <f t="shared" si="53"/>
        <v>94137.669059260574</v>
      </c>
      <c r="AB116" s="310">
        <f t="shared" si="53"/>
        <v>91388.173880573551</v>
      </c>
      <c r="AC116" s="310">
        <f t="shared" si="53"/>
        <v>88591.140842060806</v>
      </c>
      <c r="AD116" s="310">
        <f t="shared" si="53"/>
        <v>85746.585013341115</v>
      </c>
      <c r="AE116" s="310">
        <f t="shared" si="53"/>
        <v>82856.442001167306</v>
      </c>
      <c r="AF116" s="310">
        <f t="shared" si="53"/>
        <v>79918.828937485043</v>
      </c>
      <c r="AG116" s="310">
        <f t="shared" si="53"/>
        <v>76927.27686561922</v>
      </c>
      <c r="AH116" s="310">
        <f t="shared" si="53"/>
        <v>73880.450658089481</v>
      </c>
      <c r="AI116" s="310">
        <f t="shared" si="53"/>
        <v>70785.247373619</v>
      </c>
      <c r="AJ116" s="310">
        <f t="shared" si="53"/>
        <v>67690.833646661864</v>
      </c>
      <c r="AK116" s="310">
        <f t="shared" ref="AK116:BP116" si="54" xml:space="preserve"> AK$187</f>
        <v>64544.128046861137</v>
      </c>
      <c r="AL116" s="310">
        <f t="shared" si="54"/>
        <v>61331.848850567236</v>
      </c>
      <c r="AM116" s="310">
        <f t="shared" si="54"/>
        <v>58066.22768944627</v>
      </c>
      <c r="AN116" s="310">
        <f t="shared" si="54"/>
        <v>54736.43721186708</v>
      </c>
      <c r="AO116" s="310">
        <f t="shared" si="54"/>
        <v>51347.570845042952</v>
      </c>
      <c r="AP116" s="310">
        <f t="shared" si="54"/>
        <v>47883.159012851975</v>
      </c>
      <c r="AQ116" s="310">
        <f t="shared" si="54"/>
        <v>44364.691041537037</v>
      </c>
      <c r="AR116" s="310">
        <f t="shared" si="54"/>
        <v>40765.341095443495</v>
      </c>
      <c r="AS116" s="310">
        <f t="shared" si="54"/>
        <v>37111.262402800712</v>
      </c>
      <c r="AT116" s="310">
        <f t="shared" si="54"/>
        <v>28054.211954517719</v>
      </c>
      <c r="AU116" s="310">
        <f t="shared" si="54"/>
        <v>18869.053669515644</v>
      </c>
      <c r="AV116" s="310">
        <f t="shared" si="54"/>
        <v>9500.7049074522929</v>
      </c>
      <c r="AW116" s="310">
        <f t="shared" si="54"/>
        <v>-2.5461520346652833E-2</v>
      </c>
      <c r="AX116" s="310">
        <f t="shared" si="54"/>
        <v>-2.5461520346652833E-2</v>
      </c>
      <c r="AY116" s="310">
        <f t="shared" si="54"/>
        <v>-2.5461520346652833E-2</v>
      </c>
      <c r="AZ116" s="310">
        <f t="shared" si="54"/>
        <v>-2.5461520346652833E-2</v>
      </c>
      <c r="BA116" s="310">
        <f t="shared" si="54"/>
        <v>-2.5461520346652833E-2</v>
      </c>
      <c r="BB116" s="310">
        <f t="shared" si="54"/>
        <v>-2.5461520346652833E-2</v>
      </c>
      <c r="BC116" s="310">
        <f t="shared" si="54"/>
        <v>-2.5461520346652833E-2</v>
      </c>
      <c r="BD116" s="310">
        <f t="shared" si="54"/>
        <v>-2.5461520346652833E-2</v>
      </c>
      <c r="BE116" s="310">
        <f t="shared" si="54"/>
        <v>-2.5461520346652833E-2</v>
      </c>
      <c r="BF116" s="310">
        <f t="shared" si="54"/>
        <v>-2.5461520346652833E-2</v>
      </c>
      <c r="BG116" s="310">
        <f t="shared" si="54"/>
        <v>-2.5461520346652833E-2</v>
      </c>
      <c r="BH116" s="310">
        <f t="shared" si="54"/>
        <v>-2.5461520346652833E-2</v>
      </c>
      <c r="BI116" s="310">
        <f t="shared" si="54"/>
        <v>-2.5461520346652833E-2</v>
      </c>
      <c r="BJ116" s="310">
        <f t="shared" si="54"/>
        <v>-2.5461520346652833E-2</v>
      </c>
      <c r="BK116" s="310">
        <f t="shared" si="54"/>
        <v>-2.5461520346652833E-2</v>
      </c>
      <c r="BL116" s="310">
        <f t="shared" si="54"/>
        <v>-2.5461520346652833E-2</v>
      </c>
      <c r="BM116" s="310">
        <f t="shared" si="54"/>
        <v>-2.5461520346652833E-2</v>
      </c>
      <c r="BN116" s="310">
        <f t="shared" si="54"/>
        <v>-2.5461520346652833E-2</v>
      </c>
      <c r="BO116" s="310">
        <f t="shared" si="54"/>
        <v>-2.5461520346652833E-2</v>
      </c>
      <c r="BP116" s="310">
        <f t="shared" si="54"/>
        <v>-2.5461520346652833E-2</v>
      </c>
      <c r="BQ116" s="310">
        <f t="shared" ref="BQ116:CV116" si="55" xml:space="preserve"> BQ$187</f>
        <v>-2.5461520346652833E-2</v>
      </c>
      <c r="BR116" s="310">
        <f t="shared" si="55"/>
        <v>-2.5461520346652833E-2</v>
      </c>
      <c r="BS116" s="310">
        <f t="shared" si="55"/>
        <v>-2.5461520346652833E-2</v>
      </c>
      <c r="BT116" s="310">
        <f t="shared" si="55"/>
        <v>-2.5461520346652833E-2</v>
      </c>
      <c r="BU116" s="310">
        <f t="shared" si="55"/>
        <v>-2.5461520346652833E-2</v>
      </c>
      <c r="BV116" s="310">
        <f t="shared" si="55"/>
        <v>-2.5461520346652833E-2</v>
      </c>
      <c r="BW116" s="310">
        <f t="shared" si="55"/>
        <v>-2.5461520346652833E-2</v>
      </c>
      <c r="BX116" s="310">
        <f t="shared" si="55"/>
        <v>-2.5461520346652833E-2</v>
      </c>
      <c r="BY116" s="310">
        <f t="shared" si="55"/>
        <v>-2.5461520346652833E-2</v>
      </c>
      <c r="BZ116" s="310">
        <f t="shared" si="55"/>
        <v>-2.5461520346652833E-2</v>
      </c>
      <c r="CA116" s="310">
        <f t="shared" si="55"/>
        <v>-2.5461520346652833E-2</v>
      </c>
      <c r="CB116" s="310">
        <f t="shared" si="55"/>
        <v>-2.5461520346652833E-2</v>
      </c>
      <c r="CC116" s="310">
        <f t="shared" si="55"/>
        <v>-2.5461520346652833E-2</v>
      </c>
      <c r="CD116" s="310">
        <f t="shared" si="55"/>
        <v>-2.5461520346652833E-2</v>
      </c>
      <c r="CE116" s="310">
        <f t="shared" si="55"/>
        <v>-2.5461520346652833E-2</v>
      </c>
      <c r="CF116" s="310">
        <f t="shared" si="55"/>
        <v>-2.5461520346652833E-2</v>
      </c>
      <c r="CG116" s="310">
        <f t="shared" si="55"/>
        <v>-2.5461520346652833E-2</v>
      </c>
      <c r="CH116" s="310">
        <f t="shared" si="55"/>
        <v>-2.5461520346652833E-2</v>
      </c>
      <c r="CI116" s="310">
        <f t="shared" si="55"/>
        <v>-2.5461520346652833E-2</v>
      </c>
      <c r="CJ116" s="310">
        <f t="shared" si="55"/>
        <v>-2.5461520346652833E-2</v>
      </c>
      <c r="CK116" s="310">
        <f t="shared" si="55"/>
        <v>-2.5461520346652833E-2</v>
      </c>
      <c r="CL116" s="310">
        <f t="shared" si="55"/>
        <v>-2.5461520346652833E-2</v>
      </c>
      <c r="CM116" s="310">
        <f t="shared" si="55"/>
        <v>-2.5461520346652833E-2</v>
      </c>
      <c r="CN116" s="310">
        <f t="shared" si="55"/>
        <v>-2.5461520346652833E-2</v>
      </c>
      <c r="CO116" s="310">
        <f t="shared" si="55"/>
        <v>-2.5461520346652833E-2</v>
      </c>
      <c r="CP116" s="310">
        <f t="shared" si="55"/>
        <v>-2.5461520346652833E-2</v>
      </c>
      <c r="CQ116" s="310">
        <f t="shared" si="55"/>
        <v>-2.5461520346652833E-2</v>
      </c>
      <c r="CR116" s="310">
        <f t="shared" si="55"/>
        <v>-2.5461520346652833E-2</v>
      </c>
      <c r="CS116" s="310">
        <f t="shared" si="55"/>
        <v>-2.5461520346652833E-2</v>
      </c>
      <c r="CT116" s="310">
        <f t="shared" si="55"/>
        <v>-2.5461520346652833E-2</v>
      </c>
      <c r="CU116" s="310">
        <f t="shared" si="55"/>
        <v>-2.5461520346652833E-2</v>
      </c>
      <c r="CV116" s="310">
        <f t="shared" si="55"/>
        <v>-2.5461520346652833E-2</v>
      </c>
    </row>
    <row r="117" spans="1:100" ht="12.75" outlineLevel="2" x14ac:dyDescent="0.2">
      <c r="A117" s="236"/>
      <c r="B117" s="236"/>
      <c r="C117" s="237"/>
      <c r="D117" s="238"/>
      <c r="E117" s="198" t="str">
        <f t="shared" ref="E117:AJ117" si="56" xml:space="preserve"> E$114</f>
        <v>Senior debt balance BEG</v>
      </c>
      <c r="F117" s="198">
        <f t="shared" si="56"/>
        <v>0</v>
      </c>
      <c r="G117" s="198" t="str">
        <f t="shared" si="56"/>
        <v>$ 000s</v>
      </c>
      <c r="H117" s="198">
        <f t="shared" si="56"/>
        <v>0</v>
      </c>
      <c r="I117" s="198">
        <f t="shared" si="56"/>
        <v>0</v>
      </c>
      <c r="J117" s="198">
        <f t="shared" si="56"/>
        <v>0</v>
      </c>
      <c r="K117" s="198">
        <f t="shared" si="56"/>
        <v>0</v>
      </c>
      <c r="L117" s="198">
        <f t="shared" si="56"/>
        <v>24168.503787280471</v>
      </c>
      <c r="M117" s="198">
        <f t="shared" si="56"/>
        <v>97282.172175491753</v>
      </c>
      <c r="N117" s="198">
        <f t="shared" si="56"/>
        <v>171696.05983949249</v>
      </c>
      <c r="O117" s="198">
        <f t="shared" si="56"/>
        <v>250389.85226030689</v>
      </c>
      <c r="P117" s="198">
        <f t="shared" si="56"/>
        <v>243398.15898754905</v>
      </c>
      <c r="Q117" s="198">
        <f t="shared" si="56"/>
        <v>237622.74725430825</v>
      </c>
      <c r="R117" s="198">
        <f t="shared" si="56"/>
        <v>231777.82298857855</v>
      </c>
      <c r="S117" s="198">
        <f t="shared" si="56"/>
        <v>225824.55234077058</v>
      </c>
      <c r="T117" s="198">
        <f t="shared" si="56"/>
        <v>219794.84723420639</v>
      </c>
      <c r="U117" s="198">
        <f t="shared" si="56"/>
        <v>213656.61247825279</v>
      </c>
      <c r="V117" s="198">
        <f t="shared" si="56"/>
        <v>207434.74878351318</v>
      </c>
      <c r="W117" s="198">
        <f t="shared" si="56"/>
        <v>201114.69419123896</v>
      </c>
      <c r="X117" s="198">
        <f t="shared" si="56"/>
        <v>194708.25646377125</v>
      </c>
      <c r="Y117" s="198">
        <f t="shared" si="56"/>
        <v>188178.13180596568</v>
      </c>
      <c r="Z117" s="198">
        <f t="shared" si="56"/>
        <v>181741.50653506094</v>
      </c>
      <c r="AA117" s="198">
        <f t="shared" si="56"/>
        <v>175190.34708999761</v>
      </c>
      <c r="AB117" s="198">
        <f t="shared" si="56"/>
        <v>168532.94407358012</v>
      </c>
      <c r="AC117" s="198">
        <f t="shared" si="56"/>
        <v>161760.43676680018</v>
      </c>
      <c r="AD117" s="198">
        <f t="shared" si="56"/>
        <v>154872.86165800161</v>
      </c>
      <c r="AE117" s="198">
        <f t="shared" si="56"/>
        <v>147874.90546725391</v>
      </c>
      <c r="AF117" s="198">
        <f t="shared" si="56"/>
        <v>140762.00917166381</v>
      </c>
      <c r="AG117" s="198">
        <f t="shared" si="56"/>
        <v>133518.50936799438</v>
      </c>
      <c r="AH117" s="198">
        <f t="shared" si="56"/>
        <v>126141.17328763269</v>
      </c>
      <c r="AI117" s="198">
        <f t="shared" si="56"/>
        <v>118646.70090514276</v>
      </c>
      <c r="AJ117" s="198">
        <f t="shared" si="56"/>
        <v>111154.14029271583</v>
      </c>
      <c r="AK117" s="198">
        <f t="shared" ref="AK117:BP117" si="57" xml:space="preserve"> AK$114</f>
        <v>103534.96441116548</v>
      </c>
      <c r="AL117" s="198">
        <f t="shared" si="57"/>
        <v>95757.013979845069</v>
      </c>
      <c r="AM117" s="198">
        <f t="shared" si="57"/>
        <v>87849.905672455599</v>
      </c>
      <c r="AN117" s="198">
        <f t="shared" si="57"/>
        <v>79787.42302425552</v>
      </c>
      <c r="AO117" s="198">
        <f t="shared" si="57"/>
        <v>71581.898843811461</v>
      </c>
      <c r="AP117" s="198">
        <f t="shared" si="57"/>
        <v>63193.45504491945</v>
      </c>
      <c r="AQ117" s="198">
        <f t="shared" si="57"/>
        <v>54674.124126657553</v>
      </c>
      <c r="AR117" s="198">
        <f t="shared" si="57"/>
        <v>45958.952202003355</v>
      </c>
      <c r="AS117" s="198">
        <f t="shared" si="57"/>
        <v>37111.264561305718</v>
      </c>
      <c r="AT117" s="198">
        <f t="shared" si="57"/>
        <v>28054.214113022725</v>
      </c>
      <c r="AU117" s="198">
        <f t="shared" si="57"/>
        <v>18869.055828020653</v>
      </c>
      <c r="AV117" s="198">
        <f t="shared" si="57"/>
        <v>9500.7070659573001</v>
      </c>
      <c r="AW117" s="198">
        <f t="shared" si="57"/>
        <v>-2.3303015339479316E-2</v>
      </c>
      <c r="AX117" s="198">
        <f t="shared" si="57"/>
        <v>-2.3303015339479316E-2</v>
      </c>
      <c r="AY117" s="198">
        <f t="shared" si="57"/>
        <v>-2.3303015339479316E-2</v>
      </c>
      <c r="AZ117" s="198">
        <f t="shared" si="57"/>
        <v>-2.3303015339479316E-2</v>
      </c>
      <c r="BA117" s="198">
        <f t="shared" si="57"/>
        <v>-2.3303015339479316E-2</v>
      </c>
      <c r="BB117" s="198">
        <f t="shared" si="57"/>
        <v>-2.3303015339479316E-2</v>
      </c>
      <c r="BC117" s="198">
        <f t="shared" si="57"/>
        <v>-2.3303015339479316E-2</v>
      </c>
      <c r="BD117" s="198">
        <f t="shared" si="57"/>
        <v>-2.3303015339479316E-2</v>
      </c>
      <c r="BE117" s="198">
        <f t="shared" si="57"/>
        <v>-2.3303015339479316E-2</v>
      </c>
      <c r="BF117" s="198">
        <f t="shared" si="57"/>
        <v>-2.3303015339479316E-2</v>
      </c>
      <c r="BG117" s="198">
        <f t="shared" si="57"/>
        <v>-2.3303015339479316E-2</v>
      </c>
      <c r="BH117" s="198">
        <f t="shared" si="57"/>
        <v>-2.3303015339479316E-2</v>
      </c>
      <c r="BI117" s="198">
        <f t="shared" si="57"/>
        <v>-2.3303015339479316E-2</v>
      </c>
      <c r="BJ117" s="198">
        <f t="shared" si="57"/>
        <v>-2.3303015339479316E-2</v>
      </c>
      <c r="BK117" s="198">
        <f t="shared" si="57"/>
        <v>-2.3303015339479316E-2</v>
      </c>
      <c r="BL117" s="198">
        <f t="shared" si="57"/>
        <v>-2.3303015339479316E-2</v>
      </c>
      <c r="BM117" s="198">
        <f t="shared" si="57"/>
        <v>-2.3303015339479316E-2</v>
      </c>
      <c r="BN117" s="198">
        <f t="shared" si="57"/>
        <v>-2.3303015339479316E-2</v>
      </c>
      <c r="BO117" s="198">
        <f t="shared" si="57"/>
        <v>-2.3303015339479316E-2</v>
      </c>
      <c r="BP117" s="198">
        <f t="shared" si="57"/>
        <v>-2.3303015339479316E-2</v>
      </c>
      <c r="BQ117" s="198">
        <f t="shared" ref="BQ117:CV117" si="58" xml:space="preserve"> BQ$114</f>
        <v>-2.3303015339479316E-2</v>
      </c>
      <c r="BR117" s="198">
        <f t="shared" si="58"/>
        <v>-2.3303015339479316E-2</v>
      </c>
      <c r="BS117" s="198">
        <f t="shared" si="58"/>
        <v>-2.3303015339479316E-2</v>
      </c>
      <c r="BT117" s="198">
        <f t="shared" si="58"/>
        <v>-2.3303015339479316E-2</v>
      </c>
      <c r="BU117" s="198">
        <f t="shared" si="58"/>
        <v>-2.3303015339479316E-2</v>
      </c>
      <c r="BV117" s="198">
        <f t="shared" si="58"/>
        <v>-2.3303015339479316E-2</v>
      </c>
      <c r="BW117" s="198">
        <f t="shared" si="58"/>
        <v>-2.3303015339479316E-2</v>
      </c>
      <c r="BX117" s="198">
        <f t="shared" si="58"/>
        <v>-2.3303015339479316E-2</v>
      </c>
      <c r="BY117" s="198">
        <f t="shared" si="58"/>
        <v>-2.3303015339479316E-2</v>
      </c>
      <c r="BZ117" s="198">
        <f t="shared" si="58"/>
        <v>-2.3303015339479316E-2</v>
      </c>
      <c r="CA117" s="198">
        <f t="shared" si="58"/>
        <v>-2.3303015339479316E-2</v>
      </c>
      <c r="CB117" s="198">
        <f t="shared" si="58"/>
        <v>-2.3303015339479316E-2</v>
      </c>
      <c r="CC117" s="198">
        <f t="shared" si="58"/>
        <v>-2.3303015339479316E-2</v>
      </c>
      <c r="CD117" s="198">
        <f t="shared" si="58"/>
        <v>-2.3303015339479316E-2</v>
      </c>
      <c r="CE117" s="198">
        <f t="shared" si="58"/>
        <v>-2.3303015339479316E-2</v>
      </c>
      <c r="CF117" s="198">
        <f t="shared" si="58"/>
        <v>-2.3303015339479316E-2</v>
      </c>
      <c r="CG117" s="198">
        <f t="shared" si="58"/>
        <v>-2.3303015339479316E-2</v>
      </c>
      <c r="CH117" s="198">
        <f t="shared" si="58"/>
        <v>-2.3303015339479316E-2</v>
      </c>
      <c r="CI117" s="198">
        <f t="shared" si="58"/>
        <v>-2.3303015339479316E-2</v>
      </c>
      <c r="CJ117" s="198">
        <f t="shared" si="58"/>
        <v>-2.3303015339479316E-2</v>
      </c>
      <c r="CK117" s="198">
        <f t="shared" si="58"/>
        <v>-2.3303015339479316E-2</v>
      </c>
      <c r="CL117" s="198">
        <f t="shared" si="58"/>
        <v>-2.3303015339479316E-2</v>
      </c>
      <c r="CM117" s="198">
        <f t="shared" si="58"/>
        <v>-2.3303015339479316E-2</v>
      </c>
      <c r="CN117" s="198">
        <f t="shared" si="58"/>
        <v>-2.3303015339479316E-2</v>
      </c>
      <c r="CO117" s="198">
        <f t="shared" si="58"/>
        <v>-2.3303015339479316E-2</v>
      </c>
      <c r="CP117" s="198">
        <f t="shared" si="58"/>
        <v>-2.3303015339479316E-2</v>
      </c>
      <c r="CQ117" s="198">
        <f t="shared" si="58"/>
        <v>-2.3303015339479316E-2</v>
      </c>
      <c r="CR117" s="198">
        <f t="shared" si="58"/>
        <v>-2.3303015339479316E-2</v>
      </c>
      <c r="CS117" s="198">
        <f t="shared" si="58"/>
        <v>-2.3303015339479316E-2</v>
      </c>
      <c r="CT117" s="198">
        <f t="shared" si="58"/>
        <v>-2.3303015339479316E-2</v>
      </c>
      <c r="CU117" s="198">
        <f t="shared" si="58"/>
        <v>-2.3303015339479316E-2</v>
      </c>
      <c r="CV117" s="198">
        <f t="shared" si="58"/>
        <v>-2.3303015339479316E-2</v>
      </c>
    </row>
    <row r="118" spans="1:100" ht="12.75" outlineLevel="2" x14ac:dyDescent="0.2">
      <c r="A118" s="522"/>
      <c r="B118" s="522"/>
      <c r="C118" s="523"/>
      <c r="D118" s="523"/>
      <c r="E118" s="1111" t="s">
        <v>999</v>
      </c>
      <c r="F118" s="283"/>
      <c r="G118" s="1111" t="s">
        <v>103</v>
      </c>
      <c r="H118" s="558"/>
      <c r="I118" s="558"/>
      <c r="J118" s="558">
        <f t="shared" ref="J118:BU118" si="59" xml:space="preserve"> IF(J117 &gt; 0, J116 / J117, 0)</f>
        <v>0</v>
      </c>
      <c r="K118" s="558">
        <f t="shared" si="59"/>
        <v>0</v>
      </c>
      <c r="L118" s="558">
        <f t="shared" si="59"/>
        <v>0.5</v>
      </c>
      <c r="M118" s="558">
        <f t="shared" si="59"/>
        <v>0.5</v>
      </c>
      <c r="N118" s="558">
        <f t="shared" si="59"/>
        <v>0.5</v>
      </c>
      <c r="O118" s="558">
        <f t="shared" si="59"/>
        <v>0.5</v>
      </c>
      <c r="P118" s="558">
        <f t="shared" si="59"/>
        <v>0.50249915693826519</v>
      </c>
      <c r="Q118" s="558">
        <f t="shared" si="59"/>
        <v>0.50467447529050158</v>
      </c>
      <c r="R118" s="558">
        <f t="shared" si="59"/>
        <v>0.50698634934412967</v>
      </c>
      <c r="S118" s="558">
        <f t="shared" si="59"/>
        <v>0.50946410093795369</v>
      </c>
      <c r="T118" s="558">
        <f t="shared" si="59"/>
        <v>0.51211048323411279</v>
      </c>
      <c r="U118" s="558">
        <f t="shared" si="59"/>
        <v>0.514957924819335</v>
      </c>
      <c r="V118" s="558">
        <f t="shared" si="59"/>
        <v>0.51801613844604255</v>
      </c>
      <c r="W118" s="558">
        <f t="shared" si="59"/>
        <v>0.52131634172658781</v>
      </c>
      <c r="X118" s="558">
        <f t="shared" si="59"/>
        <v>0.52488030822395215</v>
      </c>
      <c r="Y118" s="558">
        <f t="shared" si="59"/>
        <v>0.52876282307842337</v>
      </c>
      <c r="Z118" s="558">
        <f t="shared" si="59"/>
        <v>0.53286278784127206</v>
      </c>
      <c r="AA118" s="558">
        <f t="shared" si="59"/>
        <v>0.53734506850940134</v>
      </c>
      <c r="AB118" s="558">
        <f t="shared" si="59"/>
        <v>0.542257031009167</v>
      </c>
      <c r="AC118" s="558">
        <f t="shared" si="59"/>
        <v>0.54766877867532637</v>
      </c>
      <c r="AD118" s="558">
        <f t="shared" si="59"/>
        <v>0.55365791072351478</v>
      </c>
      <c r="AE118" s="558">
        <f t="shared" si="59"/>
        <v>0.56031442075555826</v>
      </c>
      <c r="AF118" s="558">
        <f t="shared" si="59"/>
        <v>0.56775851245502928</v>
      </c>
      <c r="AG118" s="558">
        <f t="shared" si="59"/>
        <v>0.57615440158635711</v>
      </c>
      <c r="AH118" s="558">
        <f t="shared" si="59"/>
        <v>0.5856965551574822</v>
      </c>
      <c r="AI118" s="558">
        <f t="shared" si="59"/>
        <v>0.59660527291198207</v>
      </c>
      <c r="AJ118" s="558">
        <f t="shared" si="59"/>
        <v>0.60898166697527678</v>
      </c>
      <c r="AK118" s="558">
        <f t="shared" si="59"/>
        <v>0.62340416509478735</v>
      </c>
      <c r="AL118" s="558">
        <f t="shared" si="59"/>
        <v>0.64049458417193705</v>
      </c>
      <c r="AM118" s="558">
        <f t="shared" si="59"/>
        <v>0.66097085984296411</v>
      </c>
      <c r="AN118" s="558">
        <f t="shared" si="59"/>
        <v>0.68602838814868239</v>
      </c>
      <c r="AO118" s="558">
        <f t="shared" si="59"/>
        <v>0.71732619104001527</v>
      </c>
      <c r="AP118" s="558">
        <f t="shared" si="59"/>
        <v>0.75772339048111004</v>
      </c>
      <c r="AQ118" s="558">
        <f t="shared" si="59"/>
        <v>0.8114385323990233</v>
      </c>
      <c r="AR118" s="558">
        <f t="shared" si="59"/>
        <v>0.88699457107437119</v>
      </c>
      <c r="AS118" s="558">
        <f t="shared" si="59"/>
        <v>0.99999994183693197</v>
      </c>
      <c r="AT118" s="558">
        <f t="shared" si="59"/>
        <v>0.99999992305950913</v>
      </c>
      <c r="AU118" s="558">
        <f t="shared" si="59"/>
        <v>0.99999988560609343</v>
      </c>
      <c r="AV118" s="558">
        <f t="shared" si="59"/>
        <v>0.99999977280585617</v>
      </c>
      <c r="AW118" s="558">
        <f t="shared" si="59"/>
        <v>0</v>
      </c>
      <c r="AX118" s="558">
        <f t="shared" si="59"/>
        <v>0</v>
      </c>
      <c r="AY118" s="558">
        <f t="shared" si="59"/>
        <v>0</v>
      </c>
      <c r="AZ118" s="558">
        <f t="shared" si="59"/>
        <v>0</v>
      </c>
      <c r="BA118" s="558">
        <f t="shared" si="59"/>
        <v>0</v>
      </c>
      <c r="BB118" s="558">
        <f t="shared" si="59"/>
        <v>0</v>
      </c>
      <c r="BC118" s="558">
        <f t="shared" si="59"/>
        <v>0</v>
      </c>
      <c r="BD118" s="558">
        <f t="shared" si="59"/>
        <v>0</v>
      </c>
      <c r="BE118" s="558">
        <f t="shared" si="59"/>
        <v>0</v>
      </c>
      <c r="BF118" s="558">
        <f t="shared" si="59"/>
        <v>0</v>
      </c>
      <c r="BG118" s="558">
        <f t="shared" si="59"/>
        <v>0</v>
      </c>
      <c r="BH118" s="558">
        <f t="shared" si="59"/>
        <v>0</v>
      </c>
      <c r="BI118" s="558">
        <f t="shared" si="59"/>
        <v>0</v>
      </c>
      <c r="BJ118" s="558">
        <f t="shared" si="59"/>
        <v>0</v>
      </c>
      <c r="BK118" s="558">
        <f t="shared" si="59"/>
        <v>0</v>
      </c>
      <c r="BL118" s="558">
        <f t="shared" si="59"/>
        <v>0</v>
      </c>
      <c r="BM118" s="558">
        <f t="shared" si="59"/>
        <v>0</v>
      </c>
      <c r="BN118" s="558">
        <f t="shared" si="59"/>
        <v>0</v>
      </c>
      <c r="BO118" s="558">
        <f t="shared" si="59"/>
        <v>0</v>
      </c>
      <c r="BP118" s="558">
        <f t="shared" si="59"/>
        <v>0</v>
      </c>
      <c r="BQ118" s="558">
        <f t="shared" si="59"/>
        <v>0</v>
      </c>
      <c r="BR118" s="558">
        <f t="shared" si="59"/>
        <v>0</v>
      </c>
      <c r="BS118" s="558">
        <f t="shared" si="59"/>
        <v>0</v>
      </c>
      <c r="BT118" s="558">
        <f t="shared" si="59"/>
        <v>0</v>
      </c>
      <c r="BU118" s="558">
        <f t="shared" si="59"/>
        <v>0</v>
      </c>
      <c r="BV118" s="558">
        <f t="shared" ref="BV118:CV118" si="60" xml:space="preserve"> IF(BV117 &gt; 0, BV116 / BV117, 0)</f>
        <v>0</v>
      </c>
      <c r="BW118" s="558">
        <f t="shared" si="60"/>
        <v>0</v>
      </c>
      <c r="BX118" s="558">
        <f t="shared" si="60"/>
        <v>0</v>
      </c>
      <c r="BY118" s="558">
        <f t="shared" si="60"/>
        <v>0</v>
      </c>
      <c r="BZ118" s="558">
        <f t="shared" si="60"/>
        <v>0</v>
      </c>
      <c r="CA118" s="558">
        <f t="shared" si="60"/>
        <v>0</v>
      </c>
      <c r="CB118" s="558">
        <f t="shared" si="60"/>
        <v>0</v>
      </c>
      <c r="CC118" s="558">
        <f t="shared" si="60"/>
        <v>0</v>
      </c>
      <c r="CD118" s="558">
        <f t="shared" si="60"/>
        <v>0</v>
      </c>
      <c r="CE118" s="558">
        <f t="shared" si="60"/>
        <v>0</v>
      </c>
      <c r="CF118" s="558">
        <f t="shared" si="60"/>
        <v>0</v>
      </c>
      <c r="CG118" s="558">
        <f t="shared" si="60"/>
        <v>0</v>
      </c>
      <c r="CH118" s="558">
        <f t="shared" si="60"/>
        <v>0</v>
      </c>
      <c r="CI118" s="558">
        <f t="shared" si="60"/>
        <v>0</v>
      </c>
      <c r="CJ118" s="558">
        <f t="shared" si="60"/>
        <v>0</v>
      </c>
      <c r="CK118" s="558">
        <f t="shared" si="60"/>
        <v>0</v>
      </c>
      <c r="CL118" s="558">
        <f t="shared" si="60"/>
        <v>0</v>
      </c>
      <c r="CM118" s="558">
        <f t="shared" si="60"/>
        <v>0</v>
      </c>
      <c r="CN118" s="558">
        <f t="shared" si="60"/>
        <v>0</v>
      </c>
      <c r="CO118" s="558">
        <f t="shared" si="60"/>
        <v>0</v>
      </c>
      <c r="CP118" s="558">
        <f t="shared" si="60"/>
        <v>0</v>
      </c>
      <c r="CQ118" s="558">
        <f t="shared" si="60"/>
        <v>0</v>
      </c>
      <c r="CR118" s="558">
        <f t="shared" si="60"/>
        <v>0</v>
      </c>
      <c r="CS118" s="558">
        <f t="shared" si="60"/>
        <v>0</v>
      </c>
      <c r="CT118" s="558">
        <f t="shared" si="60"/>
        <v>0</v>
      </c>
      <c r="CU118" s="558">
        <f t="shared" si="60"/>
        <v>0</v>
      </c>
      <c r="CV118" s="558">
        <f t="shared" si="60"/>
        <v>0</v>
      </c>
    </row>
    <row r="119" spans="1:100" ht="12.75" outlineLevel="2" x14ac:dyDescent="0.2">
      <c r="A119" s="236"/>
      <c r="B119" s="236"/>
      <c r="C119" s="237"/>
      <c r="D119" s="238"/>
      <c r="E119" s="310"/>
      <c r="F119" s="310"/>
      <c r="G119" s="310"/>
      <c r="H119" s="310"/>
      <c r="I119" s="310"/>
      <c r="J119" s="310"/>
      <c r="K119" s="310"/>
      <c r="L119" s="310"/>
      <c r="M119" s="310"/>
      <c r="N119" s="310"/>
      <c r="O119" s="310"/>
      <c r="P119" s="310"/>
      <c r="Q119" s="310"/>
      <c r="R119" s="310"/>
      <c r="S119" s="310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0"/>
      <c r="AH119" s="310"/>
      <c r="AI119" s="310"/>
      <c r="AJ119" s="310"/>
      <c r="AK119" s="310"/>
      <c r="AL119" s="310"/>
      <c r="AM119" s="310"/>
      <c r="AN119" s="310"/>
      <c r="AO119" s="310"/>
      <c r="AP119" s="310"/>
      <c r="AQ119" s="310"/>
      <c r="AR119" s="310"/>
      <c r="AS119" s="310"/>
      <c r="AT119" s="310"/>
      <c r="AU119" s="310"/>
      <c r="AV119" s="310"/>
      <c r="AW119" s="310"/>
      <c r="AX119" s="310"/>
      <c r="AY119" s="310"/>
      <c r="AZ119" s="310"/>
      <c r="BA119" s="310"/>
      <c r="BB119" s="310"/>
      <c r="BC119" s="310"/>
      <c r="BD119" s="310"/>
      <c r="BE119" s="310"/>
      <c r="BF119" s="310"/>
      <c r="BG119" s="310"/>
      <c r="BH119" s="310"/>
      <c r="BI119" s="310"/>
      <c r="BJ119" s="310"/>
      <c r="BK119" s="310"/>
      <c r="BL119" s="310"/>
      <c r="BM119" s="310"/>
      <c r="BN119" s="310"/>
      <c r="BO119" s="310"/>
      <c r="BP119" s="310"/>
      <c r="BQ119" s="310"/>
      <c r="BR119" s="310"/>
      <c r="BS119" s="310"/>
      <c r="BT119" s="310"/>
      <c r="BU119" s="310"/>
      <c r="BV119" s="310"/>
      <c r="BW119" s="310"/>
      <c r="BX119" s="310"/>
      <c r="BY119" s="310"/>
      <c r="BZ119" s="310"/>
      <c r="CA119" s="310"/>
      <c r="CB119" s="310"/>
      <c r="CC119" s="310"/>
      <c r="CD119" s="310"/>
      <c r="CE119" s="310"/>
      <c r="CF119" s="310"/>
      <c r="CG119" s="310"/>
      <c r="CH119" s="310"/>
      <c r="CI119" s="310"/>
      <c r="CJ119" s="310"/>
      <c r="CK119" s="310"/>
      <c r="CL119" s="310"/>
      <c r="CM119" s="310"/>
      <c r="CN119" s="310"/>
      <c r="CO119" s="310"/>
      <c r="CP119" s="310"/>
      <c r="CQ119" s="310"/>
      <c r="CR119" s="310"/>
      <c r="CS119" s="310"/>
      <c r="CT119" s="310"/>
      <c r="CU119" s="310"/>
      <c r="CV119" s="310"/>
    </row>
    <row r="120" spans="1:100" ht="12.75" outlineLevel="2" x14ac:dyDescent="0.2">
      <c r="A120" s="236"/>
      <c r="B120" s="236"/>
      <c r="C120" s="237"/>
      <c r="D120" s="238"/>
      <c r="E120" s="310" t="str">
        <f t="shared" ref="E120:AJ120" si="61" xml:space="preserve"> E$299</f>
        <v>Senior debt balance BEG - T2</v>
      </c>
      <c r="F120" s="310">
        <f t="shared" si="61"/>
        <v>0</v>
      </c>
      <c r="G120" s="310" t="str">
        <f t="shared" si="61"/>
        <v>$ 000s</v>
      </c>
      <c r="H120" s="310">
        <f t="shared" si="61"/>
        <v>0</v>
      </c>
      <c r="I120" s="310">
        <f t="shared" si="61"/>
        <v>0</v>
      </c>
      <c r="J120" s="310">
        <f t="shared" si="61"/>
        <v>0</v>
      </c>
      <c r="K120" s="310">
        <f t="shared" si="61"/>
        <v>0</v>
      </c>
      <c r="L120" s="310">
        <f t="shared" si="61"/>
        <v>12084.251893640236</v>
      </c>
      <c r="M120" s="310">
        <f t="shared" si="61"/>
        <v>48641.086087745876</v>
      </c>
      <c r="N120" s="310">
        <f t="shared" si="61"/>
        <v>85848.029919746245</v>
      </c>
      <c r="O120" s="310">
        <f t="shared" si="61"/>
        <v>125194.92613015344</v>
      </c>
      <c r="P120" s="310">
        <f t="shared" si="61"/>
        <v>121090.7892959798</v>
      </c>
      <c r="Q120" s="310">
        <f t="shared" si="61"/>
        <v>117700.61196665274</v>
      </c>
      <c r="R120" s="310">
        <f t="shared" si="61"/>
        <v>114269.63065266921</v>
      </c>
      <c r="S120" s="310">
        <f t="shared" si="61"/>
        <v>110775.04981276403</v>
      </c>
      <c r="T120" s="310">
        <f t="shared" si="61"/>
        <v>107235.60180472895</v>
      </c>
      <c r="U120" s="310">
        <f t="shared" si="61"/>
        <v>103632.44669252292</v>
      </c>
      <c r="V120" s="310">
        <f t="shared" si="61"/>
        <v>99980.201239152753</v>
      </c>
      <c r="W120" s="310">
        <f t="shared" si="61"/>
        <v>96270.31754800085</v>
      </c>
      <c r="X120" s="310">
        <f t="shared" si="61"/>
        <v>92509.726797318668</v>
      </c>
      <c r="Y120" s="310">
        <f t="shared" si="61"/>
        <v>88676.531590619605</v>
      </c>
      <c r="Z120" s="310">
        <f t="shared" si="61"/>
        <v>84898.220696315591</v>
      </c>
      <c r="AA120" s="310">
        <f t="shared" si="61"/>
        <v>81052.678030737021</v>
      </c>
      <c r="AB120" s="310">
        <f t="shared" si="61"/>
        <v>77144.770193006567</v>
      </c>
      <c r="AC120" s="310">
        <f t="shared" si="61"/>
        <v>73169.295924739374</v>
      </c>
      <c r="AD120" s="310">
        <f t="shared" si="61"/>
        <v>69126.276644660495</v>
      </c>
      <c r="AE120" s="310">
        <f t="shared" si="61"/>
        <v>65018.4634660866</v>
      </c>
      <c r="AF120" s="310">
        <f t="shared" si="61"/>
        <v>60843.180234178777</v>
      </c>
      <c r="AG120" s="310">
        <f t="shared" si="61"/>
        <v>56591.232502375169</v>
      </c>
      <c r="AH120" s="310">
        <f t="shared" si="61"/>
        <v>52260.722629543205</v>
      </c>
      <c r="AI120" s="310">
        <f t="shared" si="61"/>
        <v>47861.453531523759</v>
      </c>
      <c r="AJ120" s="310">
        <f t="shared" si="61"/>
        <v>43463.30664605397</v>
      </c>
      <c r="AK120" s="310">
        <f t="shared" ref="AK120:BP120" si="62" xml:space="preserve"> AK$299</f>
        <v>38990.836364304349</v>
      </c>
      <c r="AL120" s="310">
        <f t="shared" si="62"/>
        <v>34425.165129277833</v>
      </c>
      <c r="AM120" s="310">
        <f t="shared" si="62"/>
        <v>29783.677983009326</v>
      </c>
      <c r="AN120" s="310">
        <f t="shared" si="62"/>
        <v>25050.985812388433</v>
      </c>
      <c r="AO120" s="310">
        <f t="shared" si="62"/>
        <v>20234.327998768505</v>
      </c>
      <c r="AP120" s="310">
        <f t="shared" si="62"/>
        <v>15310.296032067479</v>
      </c>
      <c r="AQ120" s="310">
        <f t="shared" si="62"/>
        <v>10309.43308512052</v>
      </c>
      <c r="AR120" s="310">
        <f t="shared" si="62"/>
        <v>5193.6111065598579</v>
      </c>
      <c r="AS120" s="310">
        <f t="shared" si="62"/>
        <v>2.1585050071735168E-3</v>
      </c>
      <c r="AT120" s="310">
        <f t="shared" si="62"/>
        <v>2.1585050071735168E-3</v>
      </c>
      <c r="AU120" s="310">
        <f t="shared" si="62"/>
        <v>2.1585050071735168E-3</v>
      </c>
      <c r="AV120" s="310">
        <f t="shared" si="62"/>
        <v>2.1585050071735168E-3</v>
      </c>
      <c r="AW120" s="310">
        <f t="shared" si="62"/>
        <v>2.1585050071735168E-3</v>
      </c>
      <c r="AX120" s="310">
        <f t="shared" si="62"/>
        <v>2.1585050071735168E-3</v>
      </c>
      <c r="AY120" s="310">
        <f t="shared" si="62"/>
        <v>2.1585050071735168E-3</v>
      </c>
      <c r="AZ120" s="310">
        <f t="shared" si="62"/>
        <v>2.1585050071735168E-3</v>
      </c>
      <c r="BA120" s="310">
        <f t="shared" si="62"/>
        <v>2.1585050071735168E-3</v>
      </c>
      <c r="BB120" s="310">
        <f t="shared" si="62"/>
        <v>2.1585050071735168E-3</v>
      </c>
      <c r="BC120" s="310">
        <f t="shared" si="62"/>
        <v>2.1585050071735168E-3</v>
      </c>
      <c r="BD120" s="310">
        <f t="shared" si="62"/>
        <v>2.1585050071735168E-3</v>
      </c>
      <c r="BE120" s="310">
        <f t="shared" si="62"/>
        <v>2.1585050071735168E-3</v>
      </c>
      <c r="BF120" s="310">
        <f t="shared" si="62"/>
        <v>2.1585050071735168E-3</v>
      </c>
      <c r="BG120" s="310">
        <f t="shared" si="62"/>
        <v>2.1585050071735168E-3</v>
      </c>
      <c r="BH120" s="310">
        <f t="shared" si="62"/>
        <v>2.1585050071735168E-3</v>
      </c>
      <c r="BI120" s="310">
        <f t="shared" si="62"/>
        <v>2.1585050071735168E-3</v>
      </c>
      <c r="BJ120" s="310">
        <f t="shared" si="62"/>
        <v>2.1585050071735168E-3</v>
      </c>
      <c r="BK120" s="310">
        <f t="shared" si="62"/>
        <v>2.1585050071735168E-3</v>
      </c>
      <c r="BL120" s="310">
        <f t="shared" si="62"/>
        <v>2.1585050071735168E-3</v>
      </c>
      <c r="BM120" s="310">
        <f t="shared" si="62"/>
        <v>2.1585050071735168E-3</v>
      </c>
      <c r="BN120" s="310">
        <f t="shared" si="62"/>
        <v>2.1585050071735168E-3</v>
      </c>
      <c r="BO120" s="310">
        <f t="shared" si="62"/>
        <v>2.1585050071735168E-3</v>
      </c>
      <c r="BP120" s="310">
        <f t="shared" si="62"/>
        <v>2.1585050071735168E-3</v>
      </c>
      <c r="BQ120" s="310">
        <f t="shared" ref="BQ120:CV120" si="63" xml:space="preserve"> BQ$299</f>
        <v>2.1585050071735168E-3</v>
      </c>
      <c r="BR120" s="310">
        <f t="shared" si="63"/>
        <v>2.1585050071735168E-3</v>
      </c>
      <c r="BS120" s="310">
        <f t="shared" si="63"/>
        <v>2.1585050071735168E-3</v>
      </c>
      <c r="BT120" s="310">
        <f t="shared" si="63"/>
        <v>2.1585050071735168E-3</v>
      </c>
      <c r="BU120" s="310">
        <f t="shared" si="63"/>
        <v>2.1585050071735168E-3</v>
      </c>
      <c r="BV120" s="310">
        <f t="shared" si="63"/>
        <v>2.1585050071735168E-3</v>
      </c>
      <c r="BW120" s="310">
        <f t="shared" si="63"/>
        <v>2.1585050071735168E-3</v>
      </c>
      <c r="BX120" s="310">
        <f t="shared" si="63"/>
        <v>2.1585050071735168E-3</v>
      </c>
      <c r="BY120" s="310">
        <f t="shared" si="63"/>
        <v>2.1585050071735168E-3</v>
      </c>
      <c r="BZ120" s="310">
        <f t="shared" si="63"/>
        <v>2.1585050071735168E-3</v>
      </c>
      <c r="CA120" s="310">
        <f t="shared" si="63"/>
        <v>2.1585050071735168E-3</v>
      </c>
      <c r="CB120" s="310">
        <f t="shared" si="63"/>
        <v>2.1585050071735168E-3</v>
      </c>
      <c r="CC120" s="310">
        <f t="shared" si="63"/>
        <v>2.1585050071735168E-3</v>
      </c>
      <c r="CD120" s="310">
        <f t="shared" si="63"/>
        <v>2.1585050071735168E-3</v>
      </c>
      <c r="CE120" s="310">
        <f t="shared" si="63"/>
        <v>2.1585050071735168E-3</v>
      </c>
      <c r="CF120" s="310">
        <f t="shared" si="63"/>
        <v>2.1585050071735168E-3</v>
      </c>
      <c r="CG120" s="310">
        <f t="shared" si="63"/>
        <v>2.1585050071735168E-3</v>
      </c>
      <c r="CH120" s="310">
        <f t="shared" si="63"/>
        <v>2.1585050071735168E-3</v>
      </c>
      <c r="CI120" s="310">
        <f t="shared" si="63"/>
        <v>2.1585050071735168E-3</v>
      </c>
      <c r="CJ120" s="310">
        <f t="shared" si="63"/>
        <v>2.1585050071735168E-3</v>
      </c>
      <c r="CK120" s="310">
        <f t="shared" si="63"/>
        <v>2.1585050071735168E-3</v>
      </c>
      <c r="CL120" s="310">
        <f t="shared" si="63"/>
        <v>2.1585050071735168E-3</v>
      </c>
      <c r="CM120" s="310">
        <f t="shared" si="63"/>
        <v>2.1585050071735168E-3</v>
      </c>
      <c r="CN120" s="310">
        <f t="shared" si="63"/>
        <v>2.1585050071735168E-3</v>
      </c>
      <c r="CO120" s="310">
        <f t="shared" si="63"/>
        <v>2.1585050071735168E-3</v>
      </c>
      <c r="CP120" s="310">
        <f t="shared" si="63"/>
        <v>2.1585050071735168E-3</v>
      </c>
      <c r="CQ120" s="310">
        <f t="shared" si="63"/>
        <v>2.1585050071735168E-3</v>
      </c>
      <c r="CR120" s="310">
        <f t="shared" si="63"/>
        <v>2.1585050071735168E-3</v>
      </c>
      <c r="CS120" s="310">
        <f t="shared" si="63"/>
        <v>2.1585050071735168E-3</v>
      </c>
      <c r="CT120" s="310">
        <f t="shared" si="63"/>
        <v>2.1585050071735168E-3</v>
      </c>
      <c r="CU120" s="310">
        <f t="shared" si="63"/>
        <v>2.1585050071735168E-3</v>
      </c>
      <c r="CV120" s="310">
        <f t="shared" si="63"/>
        <v>2.1585050071735168E-3</v>
      </c>
    </row>
    <row r="121" spans="1:100" ht="12.75" outlineLevel="2" x14ac:dyDescent="0.2">
      <c r="A121" s="236"/>
      <c r="B121" s="236"/>
      <c r="C121" s="237"/>
      <c r="D121" s="238"/>
      <c r="E121" s="198" t="str">
        <f t="shared" ref="E121:BP121" si="64" xml:space="preserve"> E$114</f>
        <v>Senior debt balance BEG</v>
      </c>
      <c r="F121" s="198">
        <f t="shared" si="64"/>
        <v>0</v>
      </c>
      <c r="G121" s="198" t="str">
        <f t="shared" si="64"/>
        <v>$ 000s</v>
      </c>
      <c r="H121" s="198">
        <f t="shared" si="64"/>
        <v>0</v>
      </c>
      <c r="I121" s="198">
        <f t="shared" si="64"/>
        <v>0</v>
      </c>
      <c r="J121" s="198">
        <f t="shared" si="64"/>
        <v>0</v>
      </c>
      <c r="K121" s="198">
        <f t="shared" si="64"/>
        <v>0</v>
      </c>
      <c r="L121" s="198">
        <f t="shared" si="64"/>
        <v>24168.503787280471</v>
      </c>
      <c r="M121" s="198">
        <f t="shared" si="64"/>
        <v>97282.172175491753</v>
      </c>
      <c r="N121" s="198">
        <f t="shared" si="64"/>
        <v>171696.05983949249</v>
      </c>
      <c r="O121" s="198">
        <f t="shared" si="64"/>
        <v>250389.85226030689</v>
      </c>
      <c r="P121" s="198">
        <f t="shared" si="64"/>
        <v>243398.15898754905</v>
      </c>
      <c r="Q121" s="198">
        <f t="shared" si="64"/>
        <v>237622.74725430825</v>
      </c>
      <c r="R121" s="198">
        <f t="shared" si="64"/>
        <v>231777.82298857855</v>
      </c>
      <c r="S121" s="198">
        <f t="shared" si="64"/>
        <v>225824.55234077058</v>
      </c>
      <c r="T121" s="198">
        <f t="shared" si="64"/>
        <v>219794.84723420639</v>
      </c>
      <c r="U121" s="198">
        <f t="shared" si="64"/>
        <v>213656.61247825279</v>
      </c>
      <c r="V121" s="198">
        <f t="shared" si="64"/>
        <v>207434.74878351318</v>
      </c>
      <c r="W121" s="198">
        <f t="shared" si="64"/>
        <v>201114.69419123896</v>
      </c>
      <c r="X121" s="198">
        <f t="shared" si="64"/>
        <v>194708.25646377125</v>
      </c>
      <c r="Y121" s="198">
        <f t="shared" si="64"/>
        <v>188178.13180596568</v>
      </c>
      <c r="Z121" s="198">
        <f t="shared" si="64"/>
        <v>181741.50653506094</v>
      </c>
      <c r="AA121" s="198">
        <f t="shared" si="64"/>
        <v>175190.34708999761</v>
      </c>
      <c r="AB121" s="198">
        <f t="shared" si="64"/>
        <v>168532.94407358012</v>
      </c>
      <c r="AC121" s="198">
        <f t="shared" si="64"/>
        <v>161760.43676680018</v>
      </c>
      <c r="AD121" s="198">
        <f t="shared" si="64"/>
        <v>154872.86165800161</v>
      </c>
      <c r="AE121" s="198">
        <f t="shared" si="64"/>
        <v>147874.90546725391</v>
      </c>
      <c r="AF121" s="198">
        <f t="shared" si="64"/>
        <v>140762.00917166381</v>
      </c>
      <c r="AG121" s="198">
        <f t="shared" si="64"/>
        <v>133518.50936799438</v>
      </c>
      <c r="AH121" s="198">
        <f t="shared" si="64"/>
        <v>126141.17328763269</v>
      </c>
      <c r="AI121" s="198">
        <f t="shared" si="64"/>
        <v>118646.70090514276</v>
      </c>
      <c r="AJ121" s="198">
        <f t="shared" si="64"/>
        <v>111154.14029271583</v>
      </c>
      <c r="AK121" s="198">
        <f t="shared" si="64"/>
        <v>103534.96441116548</v>
      </c>
      <c r="AL121" s="198">
        <f t="shared" si="64"/>
        <v>95757.013979845069</v>
      </c>
      <c r="AM121" s="198">
        <f t="shared" si="64"/>
        <v>87849.905672455599</v>
      </c>
      <c r="AN121" s="198">
        <f t="shared" si="64"/>
        <v>79787.42302425552</v>
      </c>
      <c r="AO121" s="198">
        <f t="shared" si="64"/>
        <v>71581.898843811461</v>
      </c>
      <c r="AP121" s="198">
        <f t="shared" si="64"/>
        <v>63193.45504491945</v>
      </c>
      <c r="AQ121" s="198">
        <f t="shared" si="64"/>
        <v>54674.124126657553</v>
      </c>
      <c r="AR121" s="198">
        <f t="shared" si="64"/>
        <v>45958.952202003355</v>
      </c>
      <c r="AS121" s="198">
        <f t="shared" si="64"/>
        <v>37111.264561305718</v>
      </c>
      <c r="AT121" s="198">
        <f t="shared" si="64"/>
        <v>28054.214113022725</v>
      </c>
      <c r="AU121" s="198">
        <f t="shared" si="64"/>
        <v>18869.055828020653</v>
      </c>
      <c r="AV121" s="198">
        <f t="shared" si="64"/>
        <v>9500.7070659573001</v>
      </c>
      <c r="AW121" s="198">
        <f t="shared" si="64"/>
        <v>-2.3303015339479316E-2</v>
      </c>
      <c r="AX121" s="198">
        <f t="shared" si="64"/>
        <v>-2.3303015339479316E-2</v>
      </c>
      <c r="AY121" s="198">
        <f t="shared" si="64"/>
        <v>-2.3303015339479316E-2</v>
      </c>
      <c r="AZ121" s="198">
        <f t="shared" si="64"/>
        <v>-2.3303015339479316E-2</v>
      </c>
      <c r="BA121" s="198">
        <f t="shared" si="64"/>
        <v>-2.3303015339479316E-2</v>
      </c>
      <c r="BB121" s="198">
        <f t="shared" si="64"/>
        <v>-2.3303015339479316E-2</v>
      </c>
      <c r="BC121" s="198">
        <f t="shared" si="64"/>
        <v>-2.3303015339479316E-2</v>
      </c>
      <c r="BD121" s="198">
        <f t="shared" si="64"/>
        <v>-2.3303015339479316E-2</v>
      </c>
      <c r="BE121" s="198">
        <f t="shared" si="64"/>
        <v>-2.3303015339479316E-2</v>
      </c>
      <c r="BF121" s="198">
        <f t="shared" si="64"/>
        <v>-2.3303015339479316E-2</v>
      </c>
      <c r="BG121" s="198">
        <f t="shared" si="64"/>
        <v>-2.3303015339479316E-2</v>
      </c>
      <c r="BH121" s="198">
        <f t="shared" si="64"/>
        <v>-2.3303015339479316E-2</v>
      </c>
      <c r="BI121" s="198">
        <f t="shared" si="64"/>
        <v>-2.3303015339479316E-2</v>
      </c>
      <c r="BJ121" s="198">
        <f t="shared" si="64"/>
        <v>-2.3303015339479316E-2</v>
      </c>
      <c r="BK121" s="198">
        <f t="shared" si="64"/>
        <v>-2.3303015339479316E-2</v>
      </c>
      <c r="BL121" s="198">
        <f t="shared" si="64"/>
        <v>-2.3303015339479316E-2</v>
      </c>
      <c r="BM121" s="198">
        <f t="shared" si="64"/>
        <v>-2.3303015339479316E-2</v>
      </c>
      <c r="BN121" s="198">
        <f t="shared" si="64"/>
        <v>-2.3303015339479316E-2</v>
      </c>
      <c r="BO121" s="198">
        <f t="shared" si="64"/>
        <v>-2.3303015339479316E-2</v>
      </c>
      <c r="BP121" s="198">
        <f t="shared" si="64"/>
        <v>-2.3303015339479316E-2</v>
      </c>
      <c r="BQ121" s="198">
        <f t="shared" ref="BQ121:CV121" si="65" xml:space="preserve"> BQ$114</f>
        <v>-2.3303015339479316E-2</v>
      </c>
      <c r="BR121" s="198">
        <f t="shared" si="65"/>
        <v>-2.3303015339479316E-2</v>
      </c>
      <c r="BS121" s="198">
        <f t="shared" si="65"/>
        <v>-2.3303015339479316E-2</v>
      </c>
      <c r="BT121" s="198">
        <f t="shared" si="65"/>
        <v>-2.3303015339479316E-2</v>
      </c>
      <c r="BU121" s="198">
        <f t="shared" si="65"/>
        <v>-2.3303015339479316E-2</v>
      </c>
      <c r="BV121" s="198">
        <f t="shared" si="65"/>
        <v>-2.3303015339479316E-2</v>
      </c>
      <c r="BW121" s="198">
        <f t="shared" si="65"/>
        <v>-2.3303015339479316E-2</v>
      </c>
      <c r="BX121" s="198">
        <f t="shared" si="65"/>
        <v>-2.3303015339479316E-2</v>
      </c>
      <c r="BY121" s="198">
        <f t="shared" si="65"/>
        <v>-2.3303015339479316E-2</v>
      </c>
      <c r="BZ121" s="198">
        <f t="shared" si="65"/>
        <v>-2.3303015339479316E-2</v>
      </c>
      <c r="CA121" s="198">
        <f t="shared" si="65"/>
        <v>-2.3303015339479316E-2</v>
      </c>
      <c r="CB121" s="198">
        <f t="shared" si="65"/>
        <v>-2.3303015339479316E-2</v>
      </c>
      <c r="CC121" s="198">
        <f t="shared" si="65"/>
        <v>-2.3303015339479316E-2</v>
      </c>
      <c r="CD121" s="198">
        <f t="shared" si="65"/>
        <v>-2.3303015339479316E-2</v>
      </c>
      <c r="CE121" s="198">
        <f t="shared" si="65"/>
        <v>-2.3303015339479316E-2</v>
      </c>
      <c r="CF121" s="198">
        <f t="shared" si="65"/>
        <v>-2.3303015339479316E-2</v>
      </c>
      <c r="CG121" s="198">
        <f t="shared" si="65"/>
        <v>-2.3303015339479316E-2</v>
      </c>
      <c r="CH121" s="198">
        <f t="shared" si="65"/>
        <v>-2.3303015339479316E-2</v>
      </c>
      <c r="CI121" s="198">
        <f t="shared" si="65"/>
        <v>-2.3303015339479316E-2</v>
      </c>
      <c r="CJ121" s="198">
        <f t="shared" si="65"/>
        <v>-2.3303015339479316E-2</v>
      </c>
      <c r="CK121" s="198">
        <f t="shared" si="65"/>
        <v>-2.3303015339479316E-2</v>
      </c>
      <c r="CL121" s="198">
        <f t="shared" si="65"/>
        <v>-2.3303015339479316E-2</v>
      </c>
      <c r="CM121" s="198">
        <f t="shared" si="65"/>
        <v>-2.3303015339479316E-2</v>
      </c>
      <c r="CN121" s="198">
        <f t="shared" si="65"/>
        <v>-2.3303015339479316E-2</v>
      </c>
      <c r="CO121" s="198">
        <f t="shared" si="65"/>
        <v>-2.3303015339479316E-2</v>
      </c>
      <c r="CP121" s="198">
        <f t="shared" si="65"/>
        <v>-2.3303015339479316E-2</v>
      </c>
      <c r="CQ121" s="198">
        <f t="shared" si="65"/>
        <v>-2.3303015339479316E-2</v>
      </c>
      <c r="CR121" s="198">
        <f t="shared" si="65"/>
        <v>-2.3303015339479316E-2</v>
      </c>
      <c r="CS121" s="198">
        <f t="shared" si="65"/>
        <v>-2.3303015339479316E-2</v>
      </c>
      <c r="CT121" s="198">
        <f t="shared" si="65"/>
        <v>-2.3303015339479316E-2</v>
      </c>
      <c r="CU121" s="198">
        <f t="shared" si="65"/>
        <v>-2.3303015339479316E-2</v>
      </c>
      <c r="CV121" s="198">
        <f t="shared" si="65"/>
        <v>-2.3303015339479316E-2</v>
      </c>
    </row>
    <row r="122" spans="1:100" ht="12.75" outlineLevel="2" x14ac:dyDescent="0.2">
      <c r="A122" s="522"/>
      <c r="B122" s="522"/>
      <c r="C122" s="523"/>
      <c r="D122" s="523"/>
      <c r="E122" s="1111" t="s">
        <v>1000</v>
      </c>
      <c r="F122" s="283"/>
      <c r="G122" s="1111" t="s">
        <v>103</v>
      </c>
      <c r="H122" s="558"/>
      <c r="I122" s="558"/>
      <c r="J122" s="558">
        <f t="shared" ref="J122:BU122" si="66" xml:space="preserve"> IF(J121 &gt; 0, J120 / J121, 0)</f>
        <v>0</v>
      </c>
      <c r="K122" s="558">
        <f t="shared" si="66"/>
        <v>0</v>
      </c>
      <c r="L122" s="558">
        <f t="shared" si="66"/>
        <v>0.5</v>
      </c>
      <c r="M122" s="558">
        <f t="shared" si="66"/>
        <v>0.5</v>
      </c>
      <c r="N122" s="558">
        <f t="shared" si="66"/>
        <v>0.5</v>
      </c>
      <c r="O122" s="558">
        <f t="shared" si="66"/>
        <v>0.5</v>
      </c>
      <c r="P122" s="558">
        <f t="shared" si="66"/>
        <v>0.49750084306173475</v>
      </c>
      <c r="Q122" s="558">
        <f t="shared" si="66"/>
        <v>0.49532552470949831</v>
      </c>
      <c r="R122" s="558">
        <f t="shared" si="66"/>
        <v>0.49301365065587027</v>
      </c>
      <c r="S122" s="558">
        <f t="shared" si="66"/>
        <v>0.49053589906204631</v>
      </c>
      <c r="T122" s="558">
        <f t="shared" si="66"/>
        <v>0.48788951676588721</v>
      </c>
      <c r="U122" s="558">
        <f t="shared" si="66"/>
        <v>0.48504207518066511</v>
      </c>
      <c r="V122" s="558">
        <f t="shared" si="66"/>
        <v>0.48198386155395745</v>
      </c>
      <c r="W122" s="558">
        <f t="shared" si="66"/>
        <v>0.4786836582734123</v>
      </c>
      <c r="X122" s="558">
        <f t="shared" si="66"/>
        <v>0.47511969177604785</v>
      </c>
      <c r="Y122" s="558">
        <f t="shared" si="66"/>
        <v>0.47123717692157657</v>
      </c>
      <c r="Z122" s="558">
        <f t="shared" si="66"/>
        <v>0.46713721215872789</v>
      </c>
      <c r="AA122" s="558">
        <f t="shared" si="66"/>
        <v>0.46265493149059855</v>
      </c>
      <c r="AB122" s="558">
        <f t="shared" si="66"/>
        <v>0.45774296899083294</v>
      </c>
      <c r="AC122" s="558">
        <f t="shared" si="66"/>
        <v>0.45233122132467368</v>
      </c>
      <c r="AD122" s="558">
        <f t="shared" si="66"/>
        <v>0.44634208927648517</v>
      </c>
      <c r="AE122" s="558">
        <f t="shared" si="66"/>
        <v>0.43968557924444174</v>
      </c>
      <c r="AF122" s="558">
        <f t="shared" si="66"/>
        <v>0.43224148754497072</v>
      </c>
      <c r="AG122" s="558">
        <f t="shared" si="66"/>
        <v>0.42384559841364294</v>
      </c>
      <c r="AH122" s="558">
        <f t="shared" si="66"/>
        <v>0.4143034448425178</v>
      </c>
      <c r="AI122" s="558">
        <f t="shared" si="66"/>
        <v>0.40339472708801799</v>
      </c>
      <c r="AJ122" s="558">
        <f t="shared" si="66"/>
        <v>0.39101833302472327</v>
      </c>
      <c r="AK122" s="558">
        <f t="shared" si="66"/>
        <v>0.3765958349052127</v>
      </c>
      <c r="AL122" s="558">
        <f t="shared" si="66"/>
        <v>0.35950541582806289</v>
      </c>
      <c r="AM122" s="558">
        <f t="shared" si="66"/>
        <v>0.33902914015703584</v>
      </c>
      <c r="AN122" s="558">
        <f t="shared" si="66"/>
        <v>0.31397161185131756</v>
      </c>
      <c r="AO122" s="558">
        <f t="shared" si="66"/>
        <v>0.28267380895998462</v>
      </c>
      <c r="AP122" s="558">
        <f t="shared" si="66"/>
        <v>0.24227660951888999</v>
      </c>
      <c r="AQ122" s="558">
        <f t="shared" si="66"/>
        <v>0.18856146760097675</v>
      </c>
      <c r="AR122" s="558">
        <f t="shared" si="66"/>
        <v>0.11300542892562873</v>
      </c>
      <c r="AS122" s="558">
        <f t="shared" si="66"/>
        <v>5.8163068078906021E-8</v>
      </c>
      <c r="AT122" s="558">
        <f t="shared" si="66"/>
        <v>7.6940490953604796E-8</v>
      </c>
      <c r="AU122" s="558">
        <f t="shared" si="66"/>
        <v>1.1439390644910408E-7</v>
      </c>
      <c r="AV122" s="558">
        <f t="shared" si="66"/>
        <v>2.2719414378197375E-7</v>
      </c>
      <c r="AW122" s="558">
        <f t="shared" si="66"/>
        <v>0</v>
      </c>
      <c r="AX122" s="558">
        <f t="shared" si="66"/>
        <v>0</v>
      </c>
      <c r="AY122" s="558">
        <f t="shared" si="66"/>
        <v>0</v>
      </c>
      <c r="AZ122" s="558">
        <f t="shared" si="66"/>
        <v>0</v>
      </c>
      <c r="BA122" s="558">
        <f t="shared" si="66"/>
        <v>0</v>
      </c>
      <c r="BB122" s="558">
        <f t="shared" si="66"/>
        <v>0</v>
      </c>
      <c r="BC122" s="558">
        <f t="shared" si="66"/>
        <v>0</v>
      </c>
      <c r="BD122" s="558">
        <f t="shared" si="66"/>
        <v>0</v>
      </c>
      <c r="BE122" s="558">
        <f t="shared" si="66"/>
        <v>0</v>
      </c>
      <c r="BF122" s="558">
        <f t="shared" si="66"/>
        <v>0</v>
      </c>
      <c r="BG122" s="558">
        <f t="shared" si="66"/>
        <v>0</v>
      </c>
      <c r="BH122" s="558">
        <f t="shared" si="66"/>
        <v>0</v>
      </c>
      <c r="BI122" s="558">
        <f t="shared" si="66"/>
        <v>0</v>
      </c>
      <c r="BJ122" s="558">
        <f t="shared" si="66"/>
        <v>0</v>
      </c>
      <c r="BK122" s="558">
        <f t="shared" si="66"/>
        <v>0</v>
      </c>
      <c r="BL122" s="558">
        <f t="shared" si="66"/>
        <v>0</v>
      </c>
      <c r="BM122" s="558">
        <f t="shared" si="66"/>
        <v>0</v>
      </c>
      <c r="BN122" s="558">
        <f t="shared" si="66"/>
        <v>0</v>
      </c>
      <c r="BO122" s="558">
        <f t="shared" si="66"/>
        <v>0</v>
      </c>
      <c r="BP122" s="558">
        <f t="shared" si="66"/>
        <v>0</v>
      </c>
      <c r="BQ122" s="558">
        <f t="shared" si="66"/>
        <v>0</v>
      </c>
      <c r="BR122" s="558">
        <f t="shared" si="66"/>
        <v>0</v>
      </c>
      <c r="BS122" s="558">
        <f t="shared" si="66"/>
        <v>0</v>
      </c>
      <c r="BT122" s="558">
        <f t="shared" si="66"/>
        <v>0</v>
      </c>
      <c r="BU122" s="558">
        <f t="shared" si="66"/>
        <v>0</v>
      </c>
      <c r="BV122" s="558">
        <f t="shared" ref="BV122:CV122" si="67" xml:space="preserve"> IF(BV121 &gt; 0, BV120 / BV121, 0)</f>
        <v>0</v>
      </c>
      <c r="BW122" s="558">
        <f t="shared" si="67"/>
        <v>0</v>
      </c>
      <c r="BX122" s="558">
        <f t="shared" si="67"/>
        <v>0</v>
      </c>
      <c r="BY122" s="558">
        <f t="shared" si="67"/>
        <v>0</v>
      </c>
      <c r="BZ122" s="558">
        <f t="shared" si="67"/>
        <v>0</v>
      </c>
      <c r="CA122" s="558">
        <f t="shared" si="67"/>
        <v>0</v>
      </c>
      <c r="CB122" s="558">
        <f t="shared" si="67"/>
        <v>0</v>
      </c>
      <c r="CC122" s="558">
        <f t="shared" si="67"/>
        <v>0</v>
      </c>
      <c r="CD122" s="558">
        <f t="shared" si="67"/>
        <v>0</v>
      </c>
      <c r="CE122" s="558">
        <f t="shared" si="67"/>
        <v>0</v>
      </c>
      <c r="CF122" s="558">
        <f t="shared" si="67"/>
        <v>0</v>
      </c>
      <c r="CG122" s="558">
        <f t="shared" si="67"/>
        <v>0</v>
      </c>
      <c r="CH122" s="558">
        <f t="shared" si="67"/>
        <v>0</v>
      </c>
      <c r="CI122" s="558">
        <f t="shared" si="67"/>
        <v>0</v>
      </c>
      <c r="CJ122" s="558">
        <f t="shared" si="67"/>
        <v>0</v>
      </c>
      <c r="CK122" s="558">
        <f t="shared" si="67"/>
        <v>0</v>
      </c>
      <c r="CL122" s="558">
        <f t="shared" si="67"/>
        <v>0</v>
      </c>
      <c r="CM122" s="558">
        <f t="shared" si="67"/>
        <v>0</v>
      </c>
      <c r="CN122" s="558">
        <f t="shared" si="67"/>
        <v>0</v>
      </c>
      <c r="CO122" s="558">
        <f t="shared" si="67"/>
        <v>0</v>
      </c>
      <c r="CP122" s="558">
        <f t="shared" si="67"/>
        <v>0</v>
      </c>
      <c r="CQ122" s="558">
        <f t="shared" si="67"/>
        <v>0</v>
      </c>
      <c r="CR122" s="558">
        <f t="shared" si="67"/>
        <v>0</v>
      </c>
      <c r="CS122" s="558">
        <f t="shared" si="67"/>
        <v>0</v>
      </c>
      <c r="CT122" s="558">
        <f t="shared" si="67"/>
        <v>0</v>
      </c>
      <c r="CU122" s="558">
        <f t="shared" si="67"/>
        <v>0</v>
      </c>
      <c r="CV122" s="558">
        <f t="shared" si="67"/>
        <v>0</v>
      </c>
    </row>
    <row r="123" spans="1:100" ht="12.75" outlineLevel="2" x14ac:dyDescent="0.2">
      <c r="A123" s="236"/>
      <c r="B123" s="236"/>
      <c r="C123" s="237"/>
      <c r="D123" s="238"/>
      <c r="E123" s="310"/>
      <c r="F123" s="310"/>
      <c r="G123" s="310"/>
      <c r="H123" s="310"/>
      <c r="I123" s="310"/>
      <c r="J123" s="310"/>
      <c r="K123" s="310"/>
      <c r="L123" s="310"/>
      <c r="M123" s="310"/>
      <c r="N123" s="310"/>
      <c r="O123" s="310"/>
      <c r="P123" s="310"/>
      <c r="Q123" s="310"/>
      <c r="R123" s="310"/>
      <c r="S123" s="310"/>
      <c r="T123" s="310"/>
      <c r="U123" s="310"/>
      <c r="V123" s="310"/>
      <c r="W123" s="310"/>
      <c r="X123" s="310"/>
      <c r="Y123" s="310"/>
      <c r="Z123" s="310"/>
      <c r="AA123" s="310"/>
      <c r="AB123" s="310"/>
      <c r="AC123" s="310"/>
      <c r="AD123" s="310"/>
      <c r="AE123" s="310"/>
      <c r="AF123" s="310"/>
      <c r="AG123" s="310"/>
      <c r="AH123" s="310"/>
      <c r="AI123" s="310"/>
      <c r="AJ123" s="310"/>
      <c r="AK123" s="310"/>
      <c r="AL123" s="310"/>
      <c r="AM123" s="310"/>
      <c r="AN123" s="310"/>
      <c r="AO123" s="310"/>
      <c r="AP123" s="310"/>
      <c r="AQ123" s="310"/>
      <c r="AR123" s="310"/>
      <c r="AS123" s="310"/>
      <c r="AT123" s="310"/>
      <c r="AU123" s="310"/>
      <c r="AV123" s="310"/>
      <c r="AW123" s="310"/>
      <c r="AX123" s="310"/>
      <c r="AY123" s="310"/>
      <c r="AZ123" s="310"/>
      <c r="BA123" s="310"/>
      <c r="BB123" s="310"/>
      <c r="BC123" s="310"/>
      <c r="BD123" s="310"/>
      <c r="BE123" s="310"/>
      <c r="BF123" s="310"/>
      <c r="BG123" s="310"/>
      <c r="BH123" s="310"/>
      <c r="BI123" s="310"/>
      <c r="BJ123" s="310"/>
      <c r="BK123" s="310"/>
      <c r="BL123" s="310"/>
      <c r="BM123" s="310"/>
      <c r="BN123" s="310"/>
      <c r="BO123" s="310"/>
      <c r="BP123" s="310"/>
      <c r="BQ123" s="310"/>
      <c r="BR123" s="310"/>
      <c r="BS123" s="310"/>
      <c r="BT123" s="310"/>
      <c r="BU123" s="310"/>
      <c r="BV123" s="310"/>
      <c r="BW123" s="310"/>
      <c r="BX123" s="310"/>
      <c r="BY123" s="310"/>
      <c r="BZ123" s="310"/>
      <c r="CA123" s="310"/>
      <c r="CB123" s="310"/>
      <c r="CC123" s="310"/>
      <c r="CD123" s="310"/>
      <c r="CE123" s="310"/>
      <c r="CF123" s="310"/>
      <c r="CG123" s="310"/>
      <c r="CH123" s="310"/>
      <c r="CI123" s="310"/>
      <c r="CJ123" s="310"/>
      <c r="CK123" s="310"/>
      <c r="CL123" s="310"/>
      <c r="CM123" s="310"/>
      <c r="CN123" s="310"/>
      <c r="CO123" s="310"/>
      <c r="CP123" s="310"/>
      <c r="CQ123" s="310"/>
      <c r="CR123" s="310"/>
      <c r="CS123" s="310"/>
      <c r="CT123" s="310"/>
      <c r="CU123" s="310"/>
      <c r="CV123" s="310"/>
    </row>
    <row r="124" spans="1:100" s="283" customFormat="1" ht="12.75" outlineLevel="2" x14ac:dyDescent="0.2">
      <c r="A124" s="556"/>
      <c r="B124" s="556"/>
      <c r="C124" s="557"/>
      <c r="D124" s="557"/>
      <c r="E124" s="282" t="str">
        <f t="shared" ref="E124:G124" si="68" xml:space="preserve"> E$104</f>
        <v>T1 repayment % - all tranches active</v>
      </c>
      <c r="F124" s="282">
        <f t="shared" si="68"/>
        <v>0.41299812190015905</v>
      </c>
      <c r="G124" s="282" t="str">
        <f t="shared" si="68"/>
        <v>%</v>
      </c>
      <c r="H124" s="558"/>
      <c r="I124" s="558"/>
      <c r="J124" s="558"/>
      <c r="K124" s="558"/>
      <c r="L124" s="558"/>
      <c r="M124" s="558"/>
      <c r="N124" s="558"/>
      <c r="O124" s="558"/>
      <c r="P124" s="558"/>
      <c r="Q124" s="558"/>
      <c r="R124" s="558"/>
      <c r="S124" s="558"/>
      <c r="T124" s="558"/>
      <c r="U124" s="558"/>
      <c r="V124" s="558"/>
      <c r="W124" s="558"/>
      <c r="X124" s="558"/>
      <c r="Y124" s="558"/>
      <c r="Z124" s="558"/>
      <c r="AA124" s="558"/>
      <c r="AB124" s="558"/>
      <c r="AC124" s="558"/>
      <c r="AD124" s="558"/>
      <c r="AE124" s="558"/>
      <c r="AF124" s="558"/>
      <c r="AG124" s="558"/>
      <c r="AH124" s="558"/>
      <c r="AI124" s="558"/>
      <c r="AJ124" s="558"/>
      <c r="AK124" s="558"/>
      <c r="AL124" s="558"/>
      <c r="AM124" s="558"/>
      <c r="AN124" s="558"/>
      <c r="AO124" s="558"/>
      <c r="AP124" s="558"/>
      <c r="AQ124" s="558"/>
      <c r="AR124" s="558"/>
      <c r="AS124" s="558"/>
      <c r="AT124" s="558"/>
      <c r="AU124" s="558"/>
      <c r="AV124" s="558"/>
      <c r="AW124" s="558"/>
      <c r="AX124" s="558"/>
      <c r="AY124" s="558"/>
      <c r="AZ124" s="558"/>
      <c r="BA124" s="558"/>
      <c r="BB124" s="558"/>
      <c r="BC124" s="558"/>
      <c r="BD124" s="558"/>
      <c r="BE124" s="558"/>
      <c r="BF124" s="558"/>
      <c r="BG124" s="558"/>
      <c r="BH124" s="558"/>
      <c r="BI124" s="558"/>
      <c r="BJ124" s="558"/>
      <c r="BK124" s="558"/>
      <c r="BL124" s="558"/>
      <c r="BM124" s="558"/>
      <c r="BN124" s="558"/>
      <c r="BO124" s="558"/>
      <c r="BP124" s="558"/>
      <c r="BQ124" s="558"/>
      <c r="BR124" s="558"/>
      <c r="BS124" s="558"/>
      <c r="BT124" s="558"/>
      <c r="BU124" s="558"/>
      <c r="BV124" s="558"/>
      <c r="BW124" s="558"/>
      <c r="BX124" s="558"/>
      <c r="BY124" s="558"/>
      <c r="BZ124" s="558"/>
      <c r="CA124" s="558"/>
      <c r="CB124" s="558"/>
      <c r="CC124" s="558"/>
      <c r="CD124" s="558"/>
      <c r="CE124" s="558"/>
      <c r="CF124" s="558"/>
      <c r="CG124" s="558"/>
      <c r="CH124" s="558"/>
      <c r="CI124" s="558"/>
      <c r="CJ124" s="558"/>
      <c r="CK124" s="558"/>
      <c r="CL124" s="558"/>
      <c r="CM124" s="558"/>
      <c r="CN124" s="558"/>
      <c r="CO124" s="558"/>
      <c r="CP124" s="558"/>
      <c r="CQ124" s="558"/>
      <c r="CR124" s="558"/>
      <c r="CS124" s="558"/>
      <c r="CT124" s="558"/>
      <c r="CU124" s="558"/>
      <c r="CV124" s="558"/>
    </row>
    <row r="125" spans="1:100" s="283" customFormat="1" ht="12.75" outlineLevel="2" x14ac:dyDescent="0.2">
      <c r="A125" s="556"/>
      <c r="B125" s="556"/>
      <c r="C125" s="557"/>
      <c r="D125" s="557"/>
      <c r="E125" s="282" t="str">
        <f t="shared" ref="E125:G125" si="69" xml:space="preserve"> E$110</f>
        <v>T2 repayment % - all tranches active</v>
      </c>
      <c r="F125" s="282">
        <f t="shared" si="69"/>
        <v>0.58700187809984095</v>
      </c>
      <c r="G125" s="282" t="str">
        <f t="shared" si="69"/>
        <v>%</v>
      </c>
      <c r="H125" s="558"/>
      <c r="I125" s="558"/>
      <c r="J125" s="558"/>
      <c r="K125" s="558"/>
      <c r="L125" s="558"/>
      <c r="M125" s="558"/>
      <c r="N125" s="558"/>
      <c r="O125" s="558"/>
      <c r="P125" s="558"/>
      <c r="Q125" s="558"/>
      <c r="R125" s="558"/>
      <c r="S125" s="558"/>
      <c r="T125" s="558"/>
      <c r="U125" s="558"/>
      <c r="V125" s="558"/>
      <c r="W125" s="558"/>
      <c r="X125" s="558"/>
      <c r="Y125" s="558"/>
      <c r="Z125" s="558"/>
      <c r="AA125" s="558"/>
      <c r="AB125" s="558"/>
      <c r="AC125" s="558"/>
      <c r="AD125" s="558"/>
      <c r="AE125" s="558"/>
      <c r="AF125" s="558"/>
      <c r="AG125" s="558"/>
      <c r="AH125" s="558"/>
      <c r="AI125" s="558"/>
      <c r="AJ125" s="558"/>
      <c r="AK125" s="558"/>
      <c r="AL125" s="558"/>
      <c r="AM125" s="558"/>
      <c r="AN125" s="558"/>
      <c r="AO125" s="558"/>
      <c r="AP125" s="558"/>
      <c r="AQ125" s="558"/>
      <c r="AR125" s="558"/>
      <c r="AS125" s="558"/>
      <c r="AT125" s="558"/>
      <c r="AU125" s="558"/>
      <c r="AV125" s="558"/>
      <c r="AW125" s="558"/>
      <c r="AX125" s="558"/>
      <c r="AY125" s="558"/>
      <c r="AZ125" s="558"/>
      <c r="BA125" s="558"/>
      <c r="BB125" s="558"/>
      <c r="BC125" s="558"/>
      <c r="BD125" s="558"/>
      <c r="BE125" s="558"/>
      <c r="BF125" s="558"/>
      <c r="BG125" s="558"/>
      <c r="BH125" s="558"/>
      <c r="BI125" s="558"/>
      <c r="BJ125" s="558"/>
      <c r="BK125" s="558"/>
      <c r="BL125" s="558"/>
      <c r="BM125" s="558"/>
      <c r="BN125" s="558"/>
      <c r="BO125" s="558"/>
      <c r="BP125" s="558"/>
      <c r="BQ125" s="558"/>
      <c r="BR125" s="558"/>
      <c r="BS125" s="558"/>
      <c r="BT125" s="558"/>
      <c r="BU125" s="558"/>
      <c r="BV125" s="558"/>
      <c r="BW125" s="558"/>
      <c r="BX125" s="558"/>
      <c r="BY125" s="558"/>
      <c r="BZ125" s="558"/>
      <c r="CA125" s="558"/>
      <c r="CB125" s="558"/>
      <c r="CC125" s="558"/>
      <c r="CD125" s="558"/>
      <c r="CE125" s="558"/>
      <c r="CF125" s="558"/>
      <c r="CG125" s="558"/>
      <c r="CH125" s="558"/>
      <c r="CI125" s="558"/>
      <c r="CJ125" s="558"/>
      <c r="CK125" s="558"/>
      <c r="CL125" s="558"/>
      <c r="CM125" s="558"/>
      <c r="CN125" s="558"/>
      <c r="CO125" s="558"/>
      <c r="CP125" s="558"/>
      <c r="CQ125" s="558"/>
      <c r="CR125" s="558"/>
      <c r="CS125" s="558"/>
      <c r="CT125" s="558"/>
      <c r="CU125" s="558"/>
      <c r="CV125" s="558"/>
    </row>
    <row r="126" spans="1:100" s="283" customFormat="1" ht="4.5" customHeight="1" outlineLevel="2" x14ac:dyDescent="0.2">
      <c r="A126" s="556"/>
      <c r="B126" s="556"/>
      <c r="C126" s="557"/>
      <c r="D126" s="557"/>
      <c r="E126" s="282"/>
      <c r="F126" s="282"/>
      <c r="G126" s="282"/>
      <c r="H126" s="558"/>
      <c r="I126" s="558"/>
      <c r="J126" s="558"/>
      <c r="K126" s="558"/>
      <c r="L126" s="558"/>
      <c r="M126" s="558"/>
      <c r="N126" s="558"/>
      <c r="O126" s="558"/>
      <c r="P126" s="558"/>
      <c r="Q126" s="558"/>
      <c r="R126" s="558"/>
      <c r="S126" s="558"/>
      <c r="T126" s="558"/>
      <c r="U126" s="558"/>
      <c r="V126" s="558"/>
      <c r="W126" s="558"/>
      <c r="X126" s="558"/>
      <c r="Y126" s="558"/>
      <c r="Z126" s="558"/>
      <c r="AA126" s="558"/>
      <c r="AB126" s="558"/>
      <c r="AC126" s="558"/>
      <c r="AD126" s="558"/>
      <c r="AE126" s="558"/>
      <c r="AF126" s="558"/>
      <c r="AG126" s="558"/>
      <c r="AH126" s="558"/>
      <c r="AI126" s="558"/>
      <c r="AJ126" s="558"/>
      <c r="AK126" s="558"/>
      <c r="AL126" s="558"/>
      <c r="AM126" s="558"/>
      <c r="AN126" s="558"/>
      <c r="AO126" s="558"/>
      <c r="AP126" s="558"/>
      <c r="AQ126" s="558"/>
      <c r="AR126" s="558"/>
      <c r="AS126" s="558"/>
      <c r="AT126" s="558"/>
      <c r="AU126" s="558"/>
      <c r="AV126" s="558"/>
      <c r="AW126" s="558"/>
      <c r="AX126" s="558"/>
      <c r="AY126" s="558"/>
      <c r="AZ126" s="558"/>
      <c r="BA126" s="558"/>
      <c r="BB126" s="558"/>
      <c r="BC126" s="558"/>
      <c r="BD126" s="558"/>
      <c r="BE126" s="558"/>
      <c r="BF126" s="558"/>
      <c r="BG126" s="558"/>
      <c r="BH126" s="558"/>
      <c r="BI126" s="558"/>
      <c r="BJ126" s="558"/>
      <c r="BK126" s="558"/>
      <c r="BL126" s="558"/>
      <c r="BM126" s="558"/>
      <c r="BN126" s="558"/>
      <c r="BO126" s="558"/>
      <c r="BP126" s="558"/>
      <c r="BQ126" s="558"/>
      <c r="BR126" s="558"/>
      <c r="BS126" s="558"/>
      <c r="BT126" s="558"/>
      <c r="BU126" s="558"/>
      <c r="BV126" s="558"/>
      <c r="BW126" s="558"/>
      <c r="BX126" s="558"/>
      <c r="BY126" s="558"/>
      <c r="BZ126" s="558"/>
      <c r="CA126" s="558"/>
      <c r="CB126" s="558"/>
      <c r="CC126" s="558"/>
      <c r="CD126" s="558"/>
      <c r="CE126" s="558"/>
      <c r="CF126" s="558"/>
      <c r="CG126" s="558"/>
      <c r="CH126" s="558"/>
      <c r="CI126" s="558"/>
      <c r="CJ126" s="558"/>
      <c r="CK126" s="558"/>
      <c r="CL126" s="558"/>
      <c r="CM126" s="558"/>
      <c r="CN126" s="558"/>
      <c r="CO126" s="558"/>
      <c r="CP126" s="558"/>
      <c r="CQ126" s="558"/>
      <c r="CR126" s="558"/>
      <c r="CS126" s="558"/>
      <c r="CT126" s="558"/>
      <c r="CU126" s="558"/>
      <c r="CV126" s="558"/>
    </row>
    <row r="127" spans="1:100" s="283" customFormat="1" ht="12.75" outlineLevel="2" x14ac:dyDescent="0.2">
      <c r="A127" s="556"/>
      <c r="B127" s="556"/>
      <c r="C127" s="557"/>
      <c r="D127" s="557"/>
      <c r="E127" s="282" t="str">
        <f t="shared" ref="E127:BP127" si="70" xml:space="preserve"> E$118</f>
        <v>Senior debt T1 balance % of total debt</v>
      </c>
      <c r="F127" s="282">
        <f t="shared" si="70"/>
        <v>0</v>
      </c>
      <c r="G127" s="282" t="str">
        <f t="shared" si="70"/>
        <v>%</v>
      </c>
      <c r="H127" s="282">
        <f t="shared" si="70"/>
        <v>0</v>
      </c>
      <c r="I127" s="282">
        <f t="shared" si="70"/>
        <v>0</v>
      </c>
      <c r="J127" s="282">
        <f t="shared" si="70"/>
        <v>0</v>
      </c>
      <c r="K127" s="282">
        <f t="shared" si="70"/>
        <v>0</v>
      </c>
      <c r="L127" s="282">
        <f t="shared" si="70"/>
        <v>0.5</v>
      </c>
      <c r="M127" s="282">
        <f t="shared" si="70"/>
        <v>0.5</v>
      </c>
      <c r="N127" s="282">
        <f t="shared" si="70"/>
        <v>0.5</v>
      </c>
      <c r="O127" s="282">
        <f t="shared" si="70"/>
        <v>0.5</v>
      </c>
      <c r="P127" s="282">
        <f t="shared" si="70"/>
        <v>0.50249915693826519</v>
      </c>
      <c r="Q127" s="282">
        <f t="shared" si="70"/>
        <v>0.50467447529050158</v>
      </c>
      <c r="R127" s="282">
        <f t="shared" si="70"/>
        <v>0.50698634934412967</v>
      </c>
      <c r="S127" s="282">
        <f t="shared" si="70"/>
        <v>0.50946410093795369</v>
      </c>
      <c r="T127" s="282">
        <f t="shared" si="70"/>
        <v>0.51211048323411279</v>
      </c>
      <c r="U127" s="282">
        <f t="shared" si="70"/>
        <v>0.514957924819335</v>
      </c>
      <c r="V127" s="282">
        <f t="shared" si="70"/>
        <v>0.51801613844604255</v>
      </c>
      <c r="W127" s="282">
        <f t="shared" si="70"/>
        <v>0.52131634172658781</v>
      </c>
      <c r="X127" s="282">
        <f t="shared" si="70"/>
        <v>0.52488030822395215</v>
      </c>
      <c r="Y127" s="282">
        <f t="shared" si="70"/>
        <v>0.52876282307842337</v>
      </c>
      <c r="Z127" s="282">
        <f t="shared" si="70"/>
        <v>0.53286278784127206</v>
      </c>
      <c r="AA127" s="282">
        <f t="shared" si="70"/>
        <v>0.53734506850940134</v>
      </c>
      <c r="AB127" s="282">
        <f t="shared" si="70"/>
        <v>0.542257031009167</v>
      </c>
      <c r="AC127" s="282">
        <f t="shared" si="70"/>
        <v>0.54766877867532637</v>
      </c>
      <c r="AD127" s="282">
        <f t="shared" si="70"/>
        <v>0.55365791072351478</v>
      </c>
      <c r="AE127" s="282">
        <f t="shared" si="70"/>
        <v>0.56031442075555826</v>
      </c>
      <c r="AF127" s="282">
        <f t="shared" si="70"/>
        <v>0.56775851245502928</v>
      </c>
      <c r="AG127" s="282">
        <f t="shared" si="70"/>
        <v>0.57615440158635711</v>
      </c>
      <c r="AH127" s="282">
        <f t="shared" si="70"/>
        <v>0.5856965551574822</v>
      </c>
      <c r="AI127" s="282">
        <f t="shared" si="70"/>
        <v>0.59660527291198207</v>
      </c>
      <c r="AJ127" s="282">
        <f t="shared" si="70"/>
        <v>0.60898166697527678</v>
      </c>
      <c r="AK127" s="282">
        <f t="shared" si="70"/>
        <v>0.62340416509478735</v>
      </c>
      <c r="AL127" s="282">
        <f t="shared" si="70"/>
        <v>0.64049458417193705</v>
      </c>
      <c r="AM127" s="282">
        <f t="shared" si="70"/>
        <v>0.66097085984296411</v>
      </c>
      <c r="AN127" s="282">
        <f t="shared" si="70"/>
        <v>0.68602838814868239</v>
      </c>
      <c r="AO127" s="282">
        <f t="shared" si="70"/>
        <v>0.71732619104001527</v>
      </c>
      <c r="AP127" s="282">
        <f t="shared" si="70"/>
        <v>0.75772339048111004</v>
      </c>
      <c r="AQ127" s="282">
        <f t="shared" si="70"/>
        <v>0.8114385323990233</v>
      </c>
      <c r="AR127" s="282">
        <f t="shared" si="70"/>
        <v>0.88699457107437119</v>
      </c>
      <c r="AS127" s="282">
        <f t="shared" si="70"/>
        <v>0.99999994183693197</v>
      </c>
      <c r="AT127" s="282">
        <f t="shared" si="70"/>
        <v>0.99999992305950913</v>
      </c>
      <c r="AU127" s="282">
        <f t="shared" si="70"/>
        <v>0.99999988560609343</v>
      </c>
      <c r="AV127" s="282">
        <f t="shared" si="70"/>
        <v>0.99999977280585617</v>
      </c>
      <c r="AW127" s="282">
        <f t="shared" si="70"/>
        <v>0</v>
      </c>
      <c r="AX127" s="282">
        <f t="shared" si="70"/>
        <v>0</v>
      </c>
      <c r="AY127" s="282">
        <f t="shared" si="70"/>
        <v>0</v>
      </c>
      <c r="AZ127" s="282">
        <f t="shared" si="70"/>
        <v>0</v>
      </c>
      <c r="BA127" s="282">
        <f t="shared" si="70"/>
        <v>0</v>
      </c>
      <c r="BB127" s="282">
        <f t="shared" si="70"/>
        <v>0</v>
      </c>
      <c r="BC127" s="282">
        <f t="shared" si="70"/>
        <v>0</v>
      </c>
      <c r="BD127" s="282">
        <f t="shared" si="70"/>
        <v>0</v>
      </c>
      <c r="BE127" s="282">
        <f t="shared" si="70"/>
        <v>0</v>
      </c>
      <c r="BF127" s="282">
        <f t="shared" si="70"/>
        <v>0</v>
      </c>
      <c r="BG127" s="282">
        <f t="shared" si="70"/>
        <v>0</v>
      </c>
      <c r="BH127" s="282">
        <f t="shared" si="70"/>
        <v>0</v>
      </c>
      <c r="BI127" s="282">
        <f t="shared" si="70"/>
        <v>0</v>
      </c>
      <c r="BJ127" s="282">
        <f t="shared" si="70"/>
        <v>0</v>
      </c>
      <c r="BK127" s="282">
        <f t="shared" si="70"/>
        <v>0</v>
      </c>
      <c r="BL127" s="282">
        <f t="shared" si="70"/>
        <v>0</v>
      </c>
      <c r="BM127" s="282">
        <f t="shared" si="70"/>
        <v>0</v>
      </c>
      <c r="BN127" s="282">
        <f t="shared" si="70"/>
        <v>0</v>
      </c>
      <c r="BO127" s="282">
        <f t="shared" si="70"/>
        <v>0</v>
      </c>
      <c r="BP127" s="282">
        <f t="shared" si="70"/>
        <v>0</v>
      </c>
      <c r="BQ127" s="282">
        <f t="shared" ref="BQ127:CV127" si="71" xml:space="preserve"> BQ$118</f>
        <v>0</v>
      </c>
      <c r="BR127" s="282">
        <f t="shared" si="71"/>
        <v>0</v>
      </c>
      <c r="BS127" s="282">
        <f t="shared" si="71"/>
        <v>0</v>
      </c>
      <c r="BT127" s="282">
        <f t="shared" si="71"/>
        <v>0</v>
      </c>
      <c r="BU127" s="282">
        <f t="shared" si="71"/>
        <v>0</v>
      </c>
      <c r="BV127" s="282">
        <f t="shared" si="71"/>
        <v>0</v>
      </c>
      <c r="BW127" s="282">
        <f t="shared" si="71"/>
        <v>0</v>
      </c>
      <c r="BX127" s="282">
        <f t="shared" si="71"/>
        <v>0</v>
      </c>
      <c r="BY127" s="282">
        <f t="shared" si="71"/>
        <v>0</v>
      </c>
      <c r="BZ127" s="282">
        <f t="shared" si="71"/>
        <v>0</v>
      </c>
      <c r="CA127" s="282">
        <f t="shared" si="71"/>
        <v>0</v>
      </c>
      <c r="CB127" s="282">
        <f t="shared" si="71"/>
        <v>0</v>
      </c>
      <c r="CC127" s="282">
        <f t="shared" si="71"/>
        <v>0</v>
      </c>
      <c r="CD127" s="282">
        <f t="shared" si="71"/>
        <v>0</v>
      </c>
      <c r="CE127" s="282">
        <f t="shared" si="71"/>
        <v>0</v>
      </c>
      <c r="CF127" s="282">
        <f t="shared" si="71"/>
        <v>0</v>
      </c>
      <c r="CG127" s="282">
        <f t="shared" si="71"/>
        <v>0</v>
      </c>
      <c r="CH127" s="282">
        <f t="shared" si="71"/>
        <v>0</v>
      </c>
      <c r="CI127" s="282">
        <f t="shared" si="71"/>
        <v>0</v>
      </c>
      <c r="CJ127" s="282">
        <f t="shared" si="71"/>
        <v>0</v>
      </c>
      <c r="CK127" s="282">
        <f t="shared" si="71"/>
        <v>0</v>
      </c>
      <c r="CL127" s="282">
        <f t="shared" si="71"/>
        <v>0</v>
      </c>
      <c r="CM127" s="282">
        <f t="shared" si="71"/>
        <v>0</v>
      </c>
      <c r="CN127" s="282">
        <f t="shared" si="71"/>
        <v>0</v>
      </c>
      <c r="CO127" s="282">
        <f t="shared" si="71"/>
        <v>0</v>
      </c>
      <c r="CP127" s="282">
        <f t="shared" si="71"/>
        <v>0</v>
      </c>
      <c r="CQ127" s="282">
        <f t="shared" si="71"/>
        <v>0</v>
      </c>
      <c r="CR127" s="282">
        <f t="shared" si="71"/>
        <v>0</v>
      </c>
      <c r="CS127" s="282">
        <f t="shared" si="71"/>
        <v>0</v>
      </c>
      <c r="CT127" s="282">
        <f t="shared" si="71"/>
        <v>0</v>
      </c>
      <c r="CU127" s="282">
        <f t="shared" si="71"/>
        <v>0</v>
      </c>
      <c r="CV127" s="282">
        <f t="shared" si="71"/>
        <v>0</v>
      </c>
    </row>
    <row r="128" spans="1:100" s="283" customFormat="1" ht="12.75" outlineLevel="2" x14ac:dyDescent="0.2">
      <c r="A128" s="556"/>
      <c r="B128" s="556"/>
      <c r="C128" s="557"/>
      <c r="D128" s="557"/>
      <c r="E128" s="282" t="str">
        <f t="shared" ref="E128:BP128" si="72" xml:space="preserve"> E$122</f>
        <v>Senior debt T2 balance % of total debt</v>
      </c>
      <c r="F128" s="282">
        <f t="shared" si="72"/>
        <v>0</v>
      </c>
      <c r="G128" s="282" t="str">
        <f t="shared" si="72"/>
        <v>%</v>
      </c>
      <c r="H128" s="282">
        <f t="shared" si="72"/>
        <v>0</v>
      </c>
      <c r="I128" s="282">
        <f t="shared" si="72"/>
        <v>0</v>
      </c>
      <c r="J128" s="282">
        <f t="shared" si="72"/>
        <v>0</v>
      </c>
      <c r="K128" s="282">
        <f t="shared" si="72"/>
        <v>0</v>
      </c>
      <c r="L128" s="282">
        <f t="shared" si="72"/>
        <v>0.5</v>
      </c>
      <c r="M128" s="282">
        <f t="shared" si="72"/>
        <v>0.5</v>
      </c>
      <c r="N128" s="282">
        <f t="shared" si="72"/>
        <v>0.5</v>
      </c>
      <c r="O128" s="282">
        <f t="shared" si="72"/>
        <v>0.5</v>
      </c>
      <c r="P128" s="282">
        <f t="shared" si="72"/>
        <v>0.49750084306173475</v>
      </c>
      <c r="Q128" s="282">
        <f t="shared" si="72"/>
        <v>0.49532552470949831</v>
      </c>
      <c r="R128" s="282">
        <f t="shared" si="72"/>
        <v>0.49301365065587027</v>
      </c>
      <c r="S128" s="282">
        <f t="shared" si="72"/>
        <v>0.49053589906204631</v>
      </c>
      <c r="T128" s="282">
        <f t="shared" si="72"/>
        <v>0.48788951676588721</v>
      </c>
      <c r="U128" s="282">
        <f t="shared" si="72"/>
        <v>0.48504207518066511</v>
      </c>
      <c r="V128" s="282">
        <f t="shared" si="72"/>
        <v>0.48198386155395745</v>
      </c>
      <c r="W128" s="282">
        <f t="shared" si="72"/>
        <v>0.4786836582734123</v>
      </c>
      <c r="X128" s="282">
        <f t="shared" si="72"/>
        <v>0.47511969177604785</v>
      </c>
      <c r="Y128" s="282">
        <f t="shared" si="72"/>
        <v>0.47123717692157657</v>
      </c>
      <c r="Z128" s="282">
        <f t="shared" si="72"/>
        <v>0.46713721215872789</v>
      </c>
      <c r="AA128" s="282">
        <f t="shared" si="72"/>
        <v>0.46265493149059855</v>
      </c>
      <c r="AB128" s="282">
        <f t="shared" si="72"/>
        <v>0.45774296899083294</v>
      </c>
      <c r="AC128" s="282">
        <f t="shared" si="72"/>
        <v>0.45233122132467368</v>
      </c>
      <c r="AD128" s="282">
        <f t="shared" si="72"/>
        <v>0.44634208927648517</v>
      </c>
      <c r="AE128" s="282">
        <f t="shared" si="72"/>
        <v>0.43968557924444174</v>
      </c>
      <c r="AF128" s="282">
        <f t="shared" si="72"/>
        <v>0.43224148754497072</v>
      </c>
      <c r="AG128" s="282">
        <f t="shared" si="72"/>
        <v>0.42384559841364294</v>
      </c>
      <c r="AH128" s="282">
        <f t="shared" si="72"/>
        <v>0.4143034448425178</v>
      </c>
      <c r="AI128" s="282">
        <f t="shared" si="72"/>
        <v>0.40339472708801799</v>
      </c>
      <c r="AJ128" s="282">
        <f t="shared" si="72"/>
        <v>0.39101833302472327</v>
      </c>
      <c r="AK128" s="282">
        <f t="shared" si="72"/>
        <v>0.3765958349052127</v>
      </c>
      <c r="AL128" s="282">
        <f t="shared" si="72"/>
        <v>0.35950541582806289</v>
      </c>
      <c r="AM128" s="282">
        <f t="shared" si="72"/>
        <v>0.33902914015703584</v>
      </c>
      <c r="AN128" s="282">
        <f t="shared" si="72"/>
        <v>0.31397161185131756</v>
      </c>
      <c r="AO128" s="282">
        <f t="shared" si="72"/>
        <v>0.28267380895998462</v>
      </c>
      <c r="AP128" s="282">
        <f t="shared" si="72"/>
        <v>0.24227660951888999</v>
      </c>
      <c r="AQ128" s="282">
        <f t="shared" si="72"/>
        <v>0.18856146760097675</v>
      </c>
      <c r="AR128" s="282">
        <f t="shared" si="72"/>
        <v>0.11300542892562873</v>
      </c>
      <c r="AS128" s="282">
        <f t="shared" si="72"/>
        <v>5.8163068078906021E-8</v>
      </c>
      <c r="AT128" s="282">
        <f t="shared" si="72"/>
        <v>7.6940490953604796E-8</v>
      </c>
      <c r="AU128" s="282">
        <f t="shared" si="72"/>
        <v>1.1439390644910408E-7</v>
      </c>
      <c r="AV128" s="282">
        <f t="shared" si="72"/>
        <v>2.2719414378197375E-7</v>
      </c>
      <c r="AW128" s="282">
        <f t="shared" si="72"/>
        <v>0</v>
      </c>
      <c r="AX128" s="282">
        <f t="shared" si="72"/>
        <v>0</v>
      </c>
      <c r="AY128" s="282">
        <f t="shared" si="72"/>
        <v>0</v>
      </c>
      <c r="AZ128" s="282">
        <f t="shared" si="72"/>
        <v>0</v>
      </c>
      <c r="BA128" s="282">
        <f t="shared" si="72"/>
        <v>0</v>
      </c>
      <c r="BB128" s="282">
        <f t="shared" si="72"/>
        <v>0</v>
      </c>
      <c r="BC128" s="282">
        <f t="shared" si="72"/>
        <v>0</v>
      </c>
      <c r="BD128" s="282">
        <f t="shared" si="72"/>
        <v>0</v>
      </c>
      <c r="BE128" s="282">
        <f t="shared" si="72"/>
        <v>0</v>
      </c>
      <c r="BF128" s="282">
        <f t="shared" si="72"/>
        <v>0</v>
      </c>
      <c r="BG128" s="282">
        <f t="shared" si="72"/>
        <v>0</v>
      </c>
      <c r="BH128" s="282">
        <f t="shared" si="72"/>
        <v>0</v>
      </c>
      <c r="BI128" s="282">
        <f t="shared" si="72"/>
        <v>0</v>
      </c>
      <c r="BJ128" s="282">
        <f t="shared" si="72"/>
        <v>0</v>
      </c>
      <c r="BK128" s="282">
        <f t="shared" si="72"/>
        <v>0</v>
      </c>
      <c r="BL128" s="282">
        <f t="shared" si="72"/>
        <v>0</v>
      </c>
      <c r="BM128" s="282">
        <f t="shared" si="72"/>
        <v>0</v>
      </c>
      <c r="BN128" s="282">
        <f t="shared" si="72"/>
        <v>0</v>
      </c>
      <c r="BO128" s="282">
        <f t="shared" si="72"/>
        <v>0</v>
      </c>
      <c r="BP128" s="282">
        <f t="shared" si="72"/>
        <v>0</v>
      </c>
      <c r="BQ128" s="282">
        <f t="shared" ref="BQ128:CV128" si="73" xml:space="preserve"> BQ$122</f>
        <v>0</v>
      </c>
      <c r="BR128" s="282">
        <f t="shared" si="73"/>
        <v>0</v>
      </c>
      <c r="BS128" s="282">
        <f t="shared" si="73"/>
        <v>0</v>
      </c>
      <c r="BT128" s="282">
        <f t="shared" si="73"/>
        <v>0</v>
      </c>
      <c r="BU128" s="282">
        <f t="shared" si="73"/>
        <v>0</v>
      </c>
      <c r="BV128" s="282">
        <f t="shared" si="73"/>
        <v>0</v>
      </c>
      <c r="BW128" s="282">
        <f t="shared" si="73"/>
        <v>0</v>
      </c>
      <c r="BX128" s="282">
        <f t="shared" si="73"/>
        <v>0</v>
      </c>
      <c r="BY128" s="282">
        <f t="shared" si="73"/>
        <v>0</v>
      </c>
      <c r="BZ128" s="282">
        <f t="shared" si="73"/>
        <v>0</v>
      </c>
      <c r="CA128" s="282">
        <f t="shared" si="73"/>
        <v>0</v>
      </c>
      <c r="CB128" s="282">
        <f t="shared" si="73"/>
        <v>0</v>
      </c>
      <c r="CC128" s="282">
        <f t="shared" si="73"/>
        <v>0</v>
      </c>
      <c r="CD128" s="282">
        <f t="shared" si="73"/>
        <v>0</v>
      </c>
      <c r="CE128" s="282">
        <f t="shared" si="73"/>
        <v>0</v>
      </c>
      <c r="CF128" s="282">
        <f t="shared" si="73"/>
        <v>0</v>
      </c>
      <c r="CG128" s="282">
        <f t="shared" si="73"/>
        <v>0</v>
      </c>
      <c r="CH128" s="282">
        <f t="shared" si="73"/>
        <v>0</v>
      </c>
      <c r="CI128" s="282">
        <f t="shared" si="73"/>
        <v>0</v>
      </c>
      <c r="CJ128" s="282">
        <f t="shared" si="73"/>
        <v>0</v>
      </c>
      <c r="CK128" s="282">
        <f t="shared" si="73"/>
        <v>0</v>
      </c>
      <c r="CL128" s="282">
        <f t="shared" si="73"/>
        <v>0</v>
      </c>
      <c r="CM128" s="282">
        <f t="shared" si="73"/>
        <v>0</v>
      </c>
      <c r="CN128" s="282">
        <f t="shared" si="73"/>
        <v>0</v>
      </c>
      <c r="CO128" s="282">
        <f t="shared" si="73"/>
        <v>0</v>
      </c>
      <c r="CP128" s="282">
        <f t="shared" si="73"/>
        <v>0</v>
      </c>
      <c r="CQ128" s="282">
        <f t="shared" si="73"/>
        <v>0</v>
      </c>
      <c r="CR128" s="282">
        <f t="shared" si="73"/>
        <v>0</v>
      </c>
      <c r="CS128" s="282">
        <f t="shared" si="73"/>
        <v>0</v>
      </c>
      <c r="CT128" s="282">
        <f t="shared" si="73"/>
        <v>0</v>
      </c>
      <c r="CU128" s="282">
        <f t="shared" si="73"/>
        <v>0</v>
      </c>
      <c r="CV128" s="282">
        <f t="shared" si="73"/>
        <v>0</v>
      </c>
    </row>
    <row r="129" spans="1:100" s="283" customFormat="1" ht="4.5" customHeight="1" outlineLevel="2" x14ac:dyDescent="0.2">
      <c r="A129" s="556"/>
      <c r="B129" s="556"/>
      <c r="C129" s="557"/>
      <c r="D129" s="557"/>
      <c r="E129" s="282"/>
      <c r="F129" s="282"/>
      <c r="G129" s="282"/>
      <c r="H129" s="558"/>
      <c r="I129" s="558"/>
      <c r="J129" s="558"/>
      <c r="K129" s="558"/>
      <c r="L129" s="558"/>
      <c r="M129" s="558"/>
      <c r="N129" s="558"/>
      <c r="O129" s="558"/>
      <c r="P129" s="558"/>
      <c r="Q129" s="558"/>
      <c r="R129" s="558"/>
      <c r="S129" s="558"/>
      <c r="T129" s="558"/>
      <c r="U129" s="558"/>
      <c r="V129" s="558"/>
      <c r="W129" s="558"/>
      <c r="X129" s="558"/>
      <c r="Y129" s="558"/>
      <c r="Z129" s="558"/>
      <c r="AA129" s="558"/>
      <c r="AB129" s="558"/>
      <c r="AC129" s="558"/>
      <c r="AD129" s="558"/>
      <c r="AE129" s="558"/>
      <c r="AF129" s="558"/>
      <c r="AG129" s="558"/>
      <c r="AH129" s="558"/>
      <c r="AI129" s="558"/>
      <c r="AJ129" s="558"/>
      <c r="AK129" s="558"/>
      <c r="AL129" s="558"/>
      <c r="AM129" s="558"/>
      <c r="AN129" s="558"/>
      <c r="AO129" s="558"/>
      <c r="AP129" s="558"/>
      <c r="AQ129" s="558"/>
      <c r="AR129" s="558"/>
      <c r="AS129" s="558"/>
      <c r="AT129" s="558"/>
      <c r="AU129" s="558"/>
      <c r="AV129" s="558"/>
      <c r="AW129" s="558"/>
      <c r="AX129" s="558"/>
      <c r="AY129" s="558"/>
      <c r="AZ129" s="558"/>
      <c r="BA129" s="558"/>
      <c r="BB129" s="558"/>
      <c r="BC129" s="558"/>
      <c r="BD129" s="558"/>
      <c r="BE129" s="558"/>
      <c r="BF129" s="558"/>
      <c r="BG129" s="558"/>
      <c r="BH129" s="558"/>
      <c r="BI129" s="558"/>
      <c r="BJ129" s="558"/>
      <c r="BK129" s="558"/>
      <c r="BL129" s="558"/>
      <c r="BM129" s="558"/>
      <c r="BN129" s="558"/>
      <c r="BO129" s="558"/>
      <c r="BP129" s="558"/>
      <c r="BQ129" s="558"/>
      <c r="BR129" s="558"/>
      <c r="BS129" s="558"/>
      <c r="BT129" s="558"/>
      <c r="BU129" s="558"/>
      <c r="BV129" s="558"/>
      <c r="BW129" s="558"/>
      <c r="BX129" s="558"/>
      <c r="BY129" s="558"/>
      <c r="BZ129" s="558"/>
      <c r="CA129" s="558"/>
      <c r="CB129" s="558"/>
      <c r="CC129" s="558"/>
      <c r="CD129" s="558"/>
      <c r="CE129" s="558"/>
      <c r="CF129" s="558"/>
      <c r="CG129" s="558"/>
      <c r="CH129" s="558"/>
      <c r="CI129" s="558"/>
      <c r="CJ129" s="558"/>
      <c r="CK129" s="558"/>
      <c r="CL129" s="558"/>
      <c r="CM129" s="558"/>
      <c r="CN129" s="558"/>
      <c r="CO129" s="558"/>
      <c r="CP129" s="558"/>
      <c r="CQ129" s="558"/>
      <c r="CR129" s="558"/>
      <c r="CS129" s="558"/>
      <c r="CT129" s="558"/>
      <c r="CU129" s="558"/>
      <c r="CV129" s="558"/>
    </row>
    <row r="130" spans="1:100" ht="12.75" outlineLevel="2" x14ac:dyDescent="0.2">
      <c r="A130" s="522"/>
      <c r="B130" s="522"/>
      <c r="C130" s="523"/>
      <c r="D130" s="523"/>
      <c r="E130" s="697" t="str">
        <f xml:space="preserve"> Time!E$163</f>
        <v>Senior debt repayment period flag - T1</v>
      </c>
      <c r="F130" s="697">
        <f xml:space="preserve"> Time!F$163</f>
        <v>0</v>
      </c>
      <c r="G130" s="697" t="str">
        <f xml:space="preserve"> Time!G$163</f>
        <v>flag</v>
      </c>
      <c r="H130" s="697">
        <f xml:space="preserve"> Time!H$163</f>
        <v>34</v>
      </c>
      <c r="I130" s="697">
        <f xml:space="preserve"> Time!I$163</f>
        <v>0</v>
      </c>
      <c r="J130" s="697">
        <f xml:space="preserve"> Time!J$163</f>
        <v>0</v>
      </c>
      <c r="K130" s="697">
        <f xml:space="preserve"> Time!K$163</f>
        <v>0</v>
      </c>
      <c r="L130" s="697">
        <f xml:space="preserve"> Time!L$163</f>
        <v>0</v>
      </c>
      <c r="M130" s="697">
        <f xml:space="preserve"> Time!M$163</f>
        <v>0</v>
      </c>
      <c r="N130" s="697">
        <f xml:space="preserve"> Time!N$163</f>
        <v>0</v>
      </c>
      <c r="O130" s="697">
        <f xml:space="preserve"> Time!O$163</f>
        <v>1</v>
      </c>
      <c r="P130" s="697">
        <f xml:space="preserve"> Time!P$163</f>
        <v>1</v>
      </c>
      <c r="Q130" s="697">
        <f xml:space="preserve"> Time!Q$163</f>
        <v>1</v>
      </c>
      <c r="R130" s="697">
        <f xml:space="preserve"> Time!R$163</f>
        <v>1</v>
      </c>
      <c r="S130" s="697">
        <f xml:space="preserve"> Time!S$163</f>
        <v>1</v>
      </c>
      <c r="T130" s="697">
        <f xml:space="preserve"> Time!T$163</f>
        <v>1</v>
      </c>
      <c r="U130" s="697">
        <f xml:space="preserve"> Time!U$163</f>
        <v>1</v>
      </c>
      <c r="V130" s="697">
        <f xml:space="preserve"> Time!V$163</f>
        <v>1</v>
      </c>
      <c r="W130" s="697">
        <f xml:space="preserve"> Time!W$163</f>
        <v>1</v>
      </c>
      <c r="X130" s="697">
        <f xml:space="preserve"> Time!X$163</f>
        <v>1</v>
      </c>
      <c r="Y130" s="697">
        <f xml:space="preserve"> Time!Y$163</f>
        <v>1</v>
      </c>
      <c r="Z130" s="697">
        <f xml:space="preserve"> Time!Z$163</f>
        <v>1</v>
      </c>
      <c r="AA130" s="697">
        <f xml:space="preserve"> Time!AA$163</f>
        <v>1</v>
      </c>
      <c r="AB130" s="697">
        <f xml:space="preserve"> Time!AB$163</f>
        <v>1</v>
      </c>
      <c r="AC130" s="697">
        <f xml:space="preserve"> Time!AC$163</f>
        <v>1</v>
      </c>
      <c r="AD130" s="697">
        <f xml:space="preserve"> Time!AD$163</f>
        <v>1</v>
      </c>
      <c r="AE130" s="697">
        <f xml:space="preserve"> Time!AE$163</f>
        <v>1</v>
      </c>
      <c r="AF130" s="697">
        <f xml:space="preserve"> Time!AF$163</f>
        <v>1</v>
      </c>
      <c r="AG130" s="697">
        <f xml:space="preserve"> Time!AG$163</f>
        <v>1</v>
      </c>
      <c r="AH130" s="697">
        <f xml:space="preserve"> Time!AH$163</f>
        <v>1</v>
      </c>
      <c r="AI130" s="697">
        <f xml:space="preserve"> Time!AI$163</f>
        <v>1</v>
      </c>
      <c r="AJ130" s="697">
        <f xml:space="preserve"> Time!AJ$163</f>
        <v>1</v>
      </c>
      <c r="AK130" s="697">
        <f xml:space="preserve"> Time!AK$163</f>
        <v>1</v>
      </c>
      <c r="AL130" s="697">
        <f xml:space="preserve"> Time!AL$163</f>
        <v>1</v>
      </c>
      <c r="AM130" s="697">
        <f xml:space="preserve"> Time!AM$163</f>
        <v>1</v>
      </c>
      <c r="AN130" s="697">
        <f xml:space="preserve"> Time!AN$163</f>
        <v>1</v>
      </c>
      <c r="AO130" s="697">
        <f xml:space="preserve"> Time!AO$163</f>
        <v>1</v>
      </c>
      <c r="AP130" s="697">
        <f xml:space="preserve"> Time!AP$163</f>
        <v>1</v>
      </c>
      <c r="AQ130" s="697">
        <f xml:space="preserve"> Time!AQ$163</f>
        <v>1</v>
      </c>
      <c r="AR130" s="697">
        <f xml:space="preserve"> Time!AR$163</f>
        <v>1</v>
      </c>
      <c r="AS130" s="697">
        <f xml:space="preserve"> Time!AS$163</f>
        <v>1</v>
      </c>
      <c r="AT130" s="697">
        <f xml:space="preserve"> Time!AT$163</f>
        <v>1</v>
      </c>
      <c r="AU130" s="697">
        <f xml:space="preserve"> Time!AU$163</f>
        <v>1</v>
      </c>
      <c r="AV130" s="697">
        <f xml:space="preserve"> Time!AV$163</f>
        <v>1</v>
      </c>
      <c r="AW130" s="697">
        <f xml:space="preserve"> Time!AW$163</f>
        <v>0</v>
      </c>
      <c r="AX130" s="697">
        <f xml:space="preserve"> Time!AX$163</f>
        <v>0</v>
      </c>
      <c r="AY130" s="697">
        <f xml:space="preserve"> Time!AY$163</f>
        <v>0</v>
      </c>
      <c r="AZ130" s="697">
        <f xml:space="preserve"> Time!AZ$163</f>
        <v>0</v>
      </c>
      <c r="BA130" s="697">
        <f xml:space="preserve"> Time!BA$163</f>
        <v>0</v>
      </c>
      <c r="BB130" s="697">
        <f xml:space="preserve"> Time!BB$163</f>
        <v>0</v>
      </c>
      <c r="BC130" s="697">
        <f xml:space="preserve"> Time!BC$163</f>
        <v>0</v>
      </c>
      <c r="BD130" s="697">
        <f xml:space="preserve"> Time!BD$163</f>
        <v>0</v>
      </c>
      <c r="BE130" s="697">
        <f xml:space="preserve"> Time!BE$163</f>
        <v>0</v>
      </c>
      <c r="BF130" s="697">
        <f xml:space="preserve"> Time!BF$163</f>
        <v>0</v>
      </c>
      <c r="BG130" s="697">
        <f xml:space="preserve"> Time!BG$163</f>
        <v>0</v>
      </c>
      <c r="BH130" s="697">
        <f xml:space="preserve"> Time!BH$163</f>
        <v>0</v>
      </c>
      <c r="BI130" s="697">
        <f xml:space="preserve"> Time!BI$163</f>
        <v>0</v>
      </c>
      <c r="BJ130" s="697">
        <f xml:space="preserve"> Time!BJ$163</f>
        <v>0</v>
      </c>
      <c r="BK130" s="697">
        <f xml:space="preserve"> Time!BK$163</f>
        <v>0</v>
      </c>
      <c r="BL130" s="697">
        <f xml:space="preserve"> Time!BL$163</f>
        <v>0</v>
      </c>
      <c r="BM130" s="697">
        <f xml:space="preserve"> Time!BM$163</f>
        <v>0</v>
      </c>
      <c r="BN130" s="697">
        <f xml:space="preserve"> Time!BN$163</f>
        <v>0</v>
      </c>
      <c r="BO130" s="697">
        <f xml:space="preserve"> Time!BO$163</f>
        <v>0</v>
      </c>
      <c r="BP130" s="697">
        <f xml:space="preserve"> Time!BP$163</f>
        <v>0</v>
      </c>
      <c r="BQ130" s="697">
        <f xml:space="preserve"> Time!BQ$163</f>
        <v>0</v>
      </c>
      <c r="BR130" s="697">
        <f xml:space="preserve"> Time!BR$163</f>
        <v>0</v>
      </c>
      <c r="BS130" s="697">
        <f xml:space="preserve"> Time!BS$163</f>
        <v>0</v>
      </c>
      <c r="BT130" s="697">
        <f xml:space="preserve"> Time!BT$163</f>
        <v>0</v>
      </c>
      <c r="BU130" s="697">
        <f xml:space="preserve"> Time!BU$163</f>
        <v>0</v>
      </c>
      <c r="BV130" s="697">
        <f xml:space="preserve"> Time!BV$163</f>
        <v>0</v>
      </c>
      <c r="BW130" s="697">
        <f xml:space="preserve"> Time!BW$163</f>
        <v>0</v>
      </c>
      <c r="BX130" s="697">
        <f xml:space="preserve"> Time!BX$163</f>
        <v>0</v>
      </c>
      <c r="BY130" s="697">
        <f xml:space="preserve"> Time!BY$163</f>
        <v>0</v>
      </c>
      <c r="BZ130" s="697">
        <f xml:space="preserve"> Time!BZ$163</f>
        <v>0</v>
      </c>
      <c r="CA130" s="697">
        <f xml:space="preserve"> Time!CA$163</f>
        <v>0</v>
      </c>
      <c r="CB130" s="697">
        <f xml:space="preserve"> Time!CB$163</f>
        <v>0</v>
      </c>
      <c r="CC130" s="697">
        <f xml:space="preserve"> Time!CC$163</f>
        <v>0</v>
      </c>
      <c r="CD130" s="697">
        <f xml:space="preserve"> Time!CD$163</f>
        <v>0</v>
      </c>
      <c r="CE130" s="697">
        <f xml:space="preserve"> Time!CE$163</f>
        <v>0</v>
      </c>
      <c r="CF130" s="697">
        <f xml:space="preserve"> Time!CF$163</f>
        <v>0</v>
      </c>
      <c r="CG130" s="697">
        <f xml:space="preserve"> Time!CG$163</f>
        <v>0</v>
      </c>
      <c r="CH130" s="697">
        <f xml:space="preserve"> Time!CH$163</f>
        <v>0</v>
      </c>
      <c r="CI130" s="697">
        <f xml:space="preserve"> Time!CI$163</f>
        <v>0</v>
      </c>
      <c r="CJ130" s="697">
        <f xml:space="preserve"> Time!CJ$163</f>
        <v>0</v>
      </c>
      <c r="CK130" s="697">
        <f xml:space="preserve"> Time!CK$163</f>
        <v>0</v>
      </c>
      <c r="CL130" s="697">
        <f xml:space="preserve"> Time!CL$163</f>
        <v>0</v>
      </c>
      <c r="CM130" s="697">
        <f xml:space="preserve"> Time!CM$163</f>
        <v>0</v>
      </c>
      <c r="CN130" s="697">
        <f xml:space="preserve"> Time!CN$163</f>
        <v>0</v>
      </c>
      <c r="CO130" s="697">
        <f xml:space="preserve"> Time!CO$163</f>
        <v>0</v>
      </c>
      <c r="CP130" s="697">
        <f xml:space="preserve"> Time!CP$163</f>
        <v>0</v>
      </c>
      <c r="CQ130" s="697">
        <f xml:space="preserve"> Time!CQ$163</f>
        <v>0</v>
      </c>
      <c r="CR130" s="697">
        <f xml:space="preserve"> Time!CR$163</f>
        <v>0</v>
      </c>
      <c r="CS130" s="697">
        <f xml:space="preserve"> Time!CS$163</f>
        <v>0</v>
      </c>
      <c r="CT130" s="697">
        <f xml:space="preserve"> Time!CT$163</f>
        <v>0</v>
      </c>
      <c r="CU130" s="697">
        <f xml:space="preserve"> Time!CU$163</f>
        <v>0</v>
      </c>
      <c r="CV130" s="697">
        <f xml:space="preserve"> Time!CV$163</f>
        <v>0</v>
      </c>
    </row>
    <row r="131" spans="1:100" ht="12.75" outlineLevel="2" x14ac:dyDescent="0.2">
      <c r="A131" s="522"/>
      <c r="B131" s="522"/>
      <c r="C131" s="523"/>
      <c r="D131" s="523"/>
      <c r="E131" s="697" t="str">
        <f xml:space="preserve"> Time!E$203</f>
        <v>Senior debt repayment period flag - T2</v>
      </c>
      <c r="F131" s="697">
        <f xml:space="preserve"> Time!F$203</f>
        <v>0</v>
      </c>
      <c r="G131" s="697" t="str">
        <f xml:space="preserve"> Time!G$203</f>
        <v>flag</v>
      </c>
      <c r="H131" s="697">
        <f xml:space="preserve"> Time!H$203</f>
        <v>30</v>
      </c>
      <c r="I131" s="697">
        <f xml:space="preserve"> Time!I$203</f>
        <v>0</v>
      </c>
      <c r="J131" s="697">
        <f xml:space="preserve"> Time!J$203</f>
        <v>0</v>
      </c>
      <c r="K131" s="697">
        <f xml:space="preserve"> Time!K$203</f>
        <v>0</v>
      </c>
      <c r="L131" s="697">
        <f xml:space="preserve"> Time!L$203</f>
        <v>0</v>
      </c>
      <c r="M131" s="697">
        <f xml:space="preserve"> Time!M$203</f>
        <v>0</v>
      </c>
      <c r="N131" s="697">
        <f xml:space="preserve"> Time!N$203</f>
        <v>0</v>
      </c>
      <c r="O131" s="697">
        <f xml:space="preserve"> Time!O$203</f>
        <v>1</v>
      </c>
      <c r="P131" s="697">
        <f xml:space="preserve"> Time!P$203</f>
        <v>1</v>
      </c>
      <c r="Q131" s="697">
        <f xml:space="preserve"> Time!Q$203</f>
        <v>1</v>
      </c>
      <c r="R131" s="697">
        <f xml:space="preserve"> Time!R$203</f>
        <v>1</v>
      </c>
      <c r="S131" s="697">
        <f xml:space="preserve"> Time!S$203</f>
        <v>1</v>
      </c>
      <c r="T131" s="697">
        <f xml:space="preserve"> Time!T$203</f>
        <v>1</v>
      </c>
      <c r="U131" s="697">
        <f xml:space="preserve"> Time!U$203</f>
        <v>1</v>
      </c>
      <c r="V131" s="697">
        <f xml:space="preserve"> Time!V$203</f>
        <v>1</v>
      </c>
      <c r="W131" s="697">
        <f xml:space="preserve"> Time!W$203</f>
        <v>1</v>
      </c>
      <c r="X131" s="697">
        <f xml:space="preserve"> Time!X$203</f>
        <v>1</v>
      </c>
      <c r="Y131" s="697">
        <f xml:space="preserve"> Time!Y$203</f>
        <v>1</v>
      </c>
      <c r="Z131" s="697">
        <f xml:space="preserve"> Time!Z$203</f>
        <v>1</v>
      </c>
      <c r="AA131" s="697">
        <f xml:space="preserve"> Time!AA$203</f>
        <v>1</v>
      </c>
      <c r="AB131" s="697">
        <f xml:space="preserve"> Time!AB$203</f>
        <v>1</v>
      </c>
      <c r="AC131" s="697">
        <f xml:space="preserve"> Time!AC$203</f>
        <v>1</v>
      </c>
      <c r="AD131" s="697">
        <f xml:space="preserve"> Time!AD$203</f>
        <v>1</v>
      </c>
      <c r="AE131" s="697">
        <f xml:space="preserve"> Time!AE$203</f>
        <v>1</v>
      </c>
      <c r="AF131" s="697">
        <f xml:space="preserve"> Time!AF$203</f>
        <v>1</v>
      </c>
      <c r="AG131" s="697">
        <f xml:space="preserve"> Time!AG$203</f>
        <v>1</v>
      </c>
      <c r="AH131" s="697">
        <f xml:space="preserve"> Time!AH$203</f>
        <v>1</v>
      </c>
      <c r="AI131" s="697">
        <f xml:space="preserve"> Time!AI$203</f>
        <v>1</v>
      </c>
      <c r="AJ131" s="697">
        <f xml:space="preserve"> Time!AJ$203</f>
        <v>1</v>
      </c>
      <c r="AK131" s="697">
        <f xml:space="preserve"> Time!AK$203</f>
        <v>1</v>
      </c>
      <c r="AL131" s="697">
        <f xml:space="preserve"> Time!AL$203</f>
        <v>1</v>
      </c>
      <c r="AM131" s="697">
        <f xml:space="preserve"> Time!AM$203</f>
        <v>1</v>
      </c>
      <c r="AN131" s="697">
        <f xml:space="preserve"> Time!AN$203</f>
        <v>1</v>
      </c>
      <c r="AO131" s="697">
        <f xml:space="preserve"> Time!AO$203</f>
        <v>1</v>
      </c>
      <c r="AP131" s="697">
        <f xml:space="preserve"> Time!AP$203</f>
        <v>1</v>
      </c>
      <c r="AQ131" s="697">
        <f xml:space="preserve"> Time!AQ$203</f>
        <v>1</v>
      </c>
      <c r="AR131" s="697">
        <f xml:space="preserve"> Time!AR$203</f>
        <v>1</v>
      </c>
      <c r="AS131" s="697">
        <f xml:space="preserve"> Time!AS$203</f>
        <v>0</v>
      </c>
      <c r="AT131" s="697">
        <f xml:space="preserve"> Time!AT$203</f>
        <v>0</v>
      </c>
      <c r="AU131" s="697">
        <f xml:space="preserve"> Time!AU$203</f>
        <v>0</v>
      </c>
      <c r="AV131" s="697">
        <f xml:space="preserve"> Time!AV$203</f>
        <v>0</v>
      </c>
      <c r="AW131" s="697">
        <f xml:space="preserve"> Time!AW$203</f>
        <v>0</v>
      </c>
      <c r="AX131" s="697">
        <f xml:space="preserve"> Time!AX$203</f>
        <v>0</v>
      </c>
      <c r="AY131" s="697">
        <f xml:space="preserve"> Time!AY$203</f>
        <v>0</v>
      </c>
      <c r="AZ131" s="697">
        <f xml:space="preserve"> Time!AZ$203</f>
        <v>0</v>
      </c>
      <c r="BA131" s="697">
        <f xml:space="preserve"> Time!BA$203</f>
        <v>0</v>
      </c>
      <c r="BB131" s="697">
        <f xml:space="preserve"> Time!BB$203</f>
        <v>0</v>
      </c>
      <c r="BC131" s="697">
        <f xml:space="preserve"> Time!BC$203</f>
        <v>0</v>
      </c>
      <c r="BD131" s="697">
        <f xml:space="preserve"> Time!BD$203</f>
        <v>0</v>
      </c>
      <c r="BE131" s="697">
        <f xml:space="preserve"> Time!BE$203</f>
        <v>0</v>
      </c>
      <c r="BF131" s="697">
        <f xml:space="preserve"> Time!BF$203</f>
        <v>0</v>
      </c>
      <c r="BG131" s="697">
        <f xml:space="preserve"> Time!BG$203</f>
        <v>0</v>
      </c>
      <c r="BH131" s="697">
        <f xml:space="preserve"> Time!BH$203</f>
        <v>0</v>
      </c>
      <c r="BI131" s="697">
        <f xml:space="preserve"> Time!BI$203</f>
        <v>0</v>
      </c>
      <c r="BJ131" s="697">
        <f xml:space="preserve"> Time!BJ$203</f>
        <v>0</v>
      </c>
      <c r="BK131" s="697">
        <f xml:space="preserve"> Time!BK$203</f>
        <v>0</v>
      </c>
      <c r="BL131" s="697">
        <f xml:space="preserve"> Time!BL$203</f>
        <v>0</v>
      </c>
      <c r="BM131" s="697">
        <f xml:space="preserve"> Time!BM$203</f>
        <v>0</v>
      </c>
      <c r="BN131" s="697">
        <f xml:space="preserve"> Time!BN$203</f>
        <v>0</v>
      </c>
      <c r="BO131" s="697">
        <f xml:space="preserve"> Time!BO$203</f>
        <v>0</v>
      </c>
      <c r="BP131" s="697">
        <f xml:space="preserve"> Time!BP$203</f>
        <v>0</v>
      </c>
      <c r="BQ131" s="697">
        <f xml:space="preserve"> Time!BQ$203</f>
        <v>0</v>
      </c>
      <c r="BR131" s="697">
        <f xml:space="preserve"> Time!BR$203</f>
        <v>0</v>
      </c>
      <c r="BS131" s="697">
        <f xml:space="preserve"> Time!BS$203</f>
        <v>0</v>
      </c>
      <c r="BT131" s="697">
        <f xml:space="preserve"> Time!BT$203</f>
        <v>0</v>
      </c>
      <c r="BU131" s="697">
        <f xml:space="preserve"> Time!BU$203</f>
        <v>0</v>
      </c>
      <c r="BV131" s="697">
        <f xml:space="preserve"> Time!BV$203</f>
        <v>0</v>
      </c>
      <c r="BW131" s="697">
        <f xml:space="preserve"> Time!BW$203</f>
        <v>0</v>
      </c>
      <c r="BX131" s="697">
        <f xml:space="preserve"> Time!BX$203</f>
        <v>0</v>
      </c>
      <c r="BY131" s="697">
        <f xml:space="preserve"> Time!BY$203</f>
        <v>0</v>
      </c>
      <c r="BZ131" s="697">
        <f xml:space="preserve"> Time!BZ$203</f>
        <v>0</v>
      </c>
      <c r="CA131" s="697">
        <f xml:space="preserve"> Time!CA$203</f>
        <v>0</v>
      </c>
      <c r="CB131" s="697">
        <f xml:space="preserve"> Time!CB$203</f>
        <v>0</v>
      </c>
      <c r="CC131" s="697">
        <f xml:space="preserve"> Time!CC$203</f>
        <v>0</v>
      </c>
      <c r="CD131" s="697">
        <f xml:space="preserve"> Time!CD$203</f>
        <v>0</v>
      </c>
      <c r="CE131" s="697">
        <f xml:space="preserve"> Time!CE$203</f>
        <v>0</v>
      </c>
      <c r="CF131" s="697">
        <f xml:space="preserve"> Time!CF$203</f>
        <v>0</v>
      </c>
      <c r="CG131" s="697">
        <f xml:space="preserve"> Time!CG$203</f>
        <v>0</v>
      </c>
      <c r="CH131" s="697">
        <f xml:space="preserve"> Time!CH$203</f>
        <v>0</v>
      </c>
      <c r="CI131" s="697">
        <f xml:space="preserve"> Time!CI$203</f>
        <v>0</v>
      </c>
      <c r="CJ131" s="697">
        <f xml:space="preserve"> Time!CJ$203</f>
        <v>0</v>
      </c>
      <c r="CK131" s="697">
        <f xml:space="preserve"> Time!CK$203</f>
        <v>0</v>
      </c>
      <c r="CL131" s="697">
        <f xml:space="preserve"> Time!CL$203</f>
        <v>0</v>
      </c>
      <c r="CM131" s="697">
        <f xml:space="preserve"> Time!CM$203</f>
        <v>0</v>
      </c>
      <c r="CN131" s="697">
        <f xml:space="preserve"> Time!CN$203</f>
        <v>0</v>
      </c>
      <c r="CO131" s="697">
        <f xml:space="preserve"> Time!CO$203</f>
        <v>0</v>
      </c>
      <c r="CP131" s="697">
        <f xml:space="preserve"> Time!CP$203</f>
        <v>0</v>
      </c>
      <c r="CQ131" s="697">
        <f xml:space="preserve"> Time!CQ$203</f>
        <v>0</v>
      </c>
      <c r="CR131" s="697">
        <f xml:space="preserve"> Time!CR$203</f>
        <v>0</v>
      </c>
      <c r="CS131" s="697">
        <f xml:space="preserve"> Time!CS$203</f>
        <v>0</v>
      </c>
      <c r="CT131" s="697">
        <f xml:space="preserve"> Time!CT$203</f>
        <v>0</v>
      </c>
      <c r="CU131" s="697">
        <f xml:space="preserve"> Time!CU$203</f>
        <v>0</v>
      </c>
      <c r="CV131" s="697">
        <f xml:space="preserve"> Time!CV$203</f>
        <v>0</v>
      </c>
    </row>
    <row r="132" spans="1:100" s="283" customFormat="1" ht="4.5" customHeight="1" outlineLevel="2" x14ac:dyDescent="0.2">
      <c r="A132" s="556"/>
      <c r="B132" s="556"/>
      <c r="C132" s="557"/>
      <c r="D132" s="557"/>
      <c r="E132" s="282"/>
      <c r="F132" s="282"/>
      <c r="G132" s="282"/>
      <c r="H132" s="558"/>
      <c r="I132" s="558"/>
      <c r="J132" s="558"/>
      <c r="K132" s="558"/>
      <c r="L132" s="558"/>
      <c r="M132" s="558"/>
      <c r="N132" s="558"/>
      <c r="O132" s="558"/>
      <c r="P132" s="558"/>
      <c r="Q132" s="558"/>
      <c r="R132" s="558"/>
      <c r="S132" s="558"/>
      <c r="T132" s="558"/>
      <c r="U132" s="558"/>
      <c r="V132" s="558"/>
      <c r="W132" s="558"/>
      <c r="X132" s="558"/>
      <c r="Y132" s="558"/>
      <c r="Z132" s="558"/>
      <c r="AA132" s="558"/>
      <c r="AB132" s="558"/>
      <c r="AC132" s="558"/>
      <c r="AD132" s="558"/>
      <c r="AE132" s="558"/>
      <c r="AF132" s="558"/>
      <c r="AG132" s="558"/>
      <c r="AH132" s="558"/>
      <c r="AI132" s="558"/>
      <c r="AJ132" s="558"/>
      <c r="AK132" s="558"/>
      <c r="AL132" s="558"/>
      <c r="AM132" s="558"/>
      <c r="AN132" s="558"/>
      <c r="AO132" s="558"/>
      <c r="AP132" s="558"/>
      <c r="AQ132" s="558"/>
      <c r="AR132" s="558"/>
      <c r="AS132" s="558"/>
      <c r="AT132" s="558"/>
      <c r="AU132" s="558"/>
      <c r="AV132" s="558"/>
      <c r="AW132" s="558"/>
      <c r="AX132" s="558"/>
      <c r="AY132" s="558"/>
      <c r="AZ132" s="558"/>
      <c r="BA132" s="558"/>
      <c r="BB132" s="558"/>
      <c r="BC132" s="558"/>
      <c r="BD132" s="558"/>
      <c r="BE132" s="558"/>
      <c r="BF132" s="558"/>
      <c r="BG132" s="558"/>
      <c r="BH132" s="558"/>
      <c r="BI132" s="558"/>
      <c r="BJ132" s="558"/>
      <c r="BK132" s="558"/>
      <c r="BL132" s="558"/>
      <c r="BM132" s="558"/>
      <c r="BN132" s="558"/>
      <c r="BO132" s="558"/>
      <c r="BP132" s="558"/>
      <c r="BQ132" s="558"/>
      <c r="BR132" s="558"/>
      <c r="BS132" s="558"/>
      <c r="BT132" s="558"/>
      <c r="BU132" s="558"/>
      <c r="BV132" s="558"/>
      <c r="BW132" s="558"/>
      <c r="BX132" s="558"/>
      <c r="BY132" s="558"/>
      <c r="BZ132" s="558"/>
      <c r="CA132" s="558"/>
      <c r="CB132" s="558"/>
      <c r="CC132" s="558"/>
      <c r="CD132" s="558"/>
      <c r="CE132" s="558"/>
      <c r="CF132" s="558"/>
      <c r="CG132" s="558"/>
      <c r="CH132" s="558"/>
      <c r="CI132" s="558"/>
      <c r="CJ132" s="558"/>
      <c r="CK132" s="558"/>
      <c r="CL132" s="558"/>
      <c r="CM132" s="558"/>
      <c r="CN132" s="558"/>
      <c r="CO132" s="558"/>
      <c r="CP132" s="558"/>
      <c r="CQ132" s="558"/>
      <c r="CR132" s="558"/>
      <c r="CS132" s="558"/>
      <c r="CT132" s="558"/>
      <c r="CU132" s="558"/>
      <c r="CV132" s="558"/>
    </row>
    <row r="133" spans="1:100" ht="12.75" outlineLevel="2" x14ac:dyDescent="0.2">
      <c r="A133" s="522"/>
      <c r="B133" s="522"/>
      <c r="C133" s="523"/>
      <c r="D133" s="523"/>
      <c r="E133" s="558" t="s">
        <v>1001</v>
      </c>
      <c r="F133" s="558"/>
      <c r="G133" s="558" t="s">
        <v>103</v>
      </c>
      <c r="H133" s="558"/>
      <c r="I133" s="558"/>
      <c r="J133" s="558">
        <f t="shared" ref="J133:BU134" si="74" xml:space="preserve"> IF(AND(J$130 = 1, J$131 = 1), $F124, J127) * J130</f>
        <v>0</v>
      </c>
      <c r="K133" s="558">
        <f t="shared" si="74"/>
        <v>0</v>
      </c>
      <c r="L133" s="558">
        <f t="shared" si="74"/>
        <v>0</v>
      </c>
      <c r="M133" s="558">
        <f t="shared" si="74"/>
        <v>0</v>
      </c>
      <c r="N133" s="558">
        <f t="shared" si="74"/>
        <v>0</v>
      </c>
      <c r="O133" s="558">
        <f t="shared" si="74"/>
        <v>0.41299812190015905</v>
      </c>
      <c r="P133" s="558">
        <f t="shared" si="74"/>
        <v>0.41299812190015905</v>
      </c>
      <c r="Q133" s="558">
        <f t="shared" si="74"/>
        <v>0.41299812190015905</v>
      </c>
      <c r="R133" s="558">
        <f t="shared" si="74"/>
        <v>0.41299812190015905</v>
      </c>
      <c r="S133" s="558">
        <f t="shared" si="74"/>
        <v>0.41299812190015905</v>
      </c>
      <c r="T133" s="558">
        <f t="shared" si="74"/>
        <v>0.41299812190015905</v>
      </c>
      <c r="U133" s="558">
        <f t="shared" si="74"/>
        <v>0.41299812190015905</v>
      </c>
      <c r="V133" s="558">
        <f t="shared" si="74"/>
        <v>0.41299812190015905</v>
      </c>
      <c r="W133" s="558">
        <f t="shared" si="74"/>
        <v>0.41299812190015905</v>
      </c>
      <c r="X133" s="558">
        <f t="shared" si="74"/>
        <v>0.41299812190015905</v>
      </c>
      <c r="Y133" s="558">
        <f t="shared" si="74"/>
        <v>0.41299812190015905</v>
      </c>
      <c r="Z133" s="558">
        <f t="shared" si="74"/>
        <v>0.41299812190015905</v>
      </c>
      <c r="AA133" s="558">
        <f t="shared" si="74"/>
        <v>0.41299812190015905</v>
      </c>
      <c r="AB133" s="558">
        <f t="shared" si="74"/>
        <v>0.41299812190015905</v>
      </c>
      <c r="AC133" s="558">
        <f t="shared" si="74"/>
        <v>0.41299812190015905</v>
      </c>
      <c r="AD133" s="558">
        <f t="shared" si="74"/>
        <v>0.41299812190015905</v>
      </c>
      <c r="AE133" s="558">
        <f t="shared" si="74"/>
        <v>0.41299812190015905</v>
      </c>
      <c r="AF133" s="558">
        <f t="shared" si="74"/>
        <v>0.41299812190015905</v>
      </c>
      <c r="AG133" s="558">
        <f t="shared" si="74"/>
        <v>0.41299812190015905</v>
      </c>
      <c r="AH133" s="558">
        <f t="shared" si="74"/>
        <v>0.41299812190015905</v>
      </c>
      <c r="AI133" s="558">
        <f t="shared" si="74"/>
        <v>0.41299812190015905</v>
      </c>
      <c r="AJ133" s="558">
        <f t="shared" si="74"/>
        <v>0.41299812190015905</v>
      </c>
      <c r="AK133" s="558">
        <f t="shared" si="74"/>
        <v>0.41299812190015905</v>
      </c>
      <c r="AL133" s="558">
        <f t="shared" si="74"/>
        <v>0.41299812190015905</v>
      </c>
      <c r="AM133" s="558">
        <f t="shared" si="74"/>
        <v>0.41299812190015905</v>
      </c>
      <c r="AN133" s="558">
        <f t="shared" si="74"/>
        <v>0.41299812190015905</v>
      </c>
      <c r="AO133" s="558">
        <f t="shared" si="74"/>
        <v>0.41299812190015905</v>
      </c>
      <c r="AP133" s="558">
        <f t="shared" si="74"/>
        <v>0.41299812190015905</v>
      </c>
      <c r="AQ133" s="558">
        <f t="shared" si="74"/>
        <v>0.41299812190015905</v>
      </c>
      <c r="AR133" s="558">
        <f t="shared" si="74"/>
        <v>0.41299812190015905</v>
      </c>
      <c r="AS133" s="558">
        <f t="shared" si="74"/>
        <v>0.99999994183693197</v>
      </c>
      <c r="AT133" s="558">
        <f t="shared" si="74"/>
        <v>0.99999992305950913</v>
      </c>
      <c r="AU133" s="558">
        <f t="shared" si="74"/>
        <v>0.99999988560609343</v>
      </c>
      <c r="AV133" s="558">
        <f t="shared" si="74"/>
        <v>0.99999977280585617</v>
      </c>
      <c r="AW133" s="558">
        <f t="shared" si="74"/>
        <v>0</v>
      </c>
      <c r="AX133" s="558">
        <f t="shared" si="74"/>
        <v>0</v>
      </c>
      <c r="AY133" s="558">
        <f t="shared" si="74"/>
        <v>0</v>
      </c>
      <c r="AZ133" s="558">
        <f t="shared" si="74"/>
        <v>0</v>
      </c>
      <c r="BA133" s="558">
        <f t="shared" si="74"/>
        <v>0</v>
      </c>
      <c r="BB133" s="558">
        <f t="shared" si="74"/>
        <v>0</v>
      </c>
      <c r="BC133" s="558">
        <f t="shared" si="74"/>
        <v>0</v>
      </c>
      <c r="BD133" s="558">
        <f t="shared" si="74"/>
        <v>0</v>
      </c>
      <c r="BE133" s="558">
        <f t="shared" si="74"/>
        <v>0</v>
      </c>
      <c r="BF133" s="558">
        <f t="shared" si="74"/>
        <v>0</v>
      </c>
      <c r="BG133" s="558">
        <f t="shared" si="74"/>
        <v>0</v>
      </c>
      <c r="BH133" s="558">
        <f t="shared" si="74"/>
        <v>0</v>
      </c>
      <c r="BI133" s="558">
        <f t="shared" si="74"/>
        <v>0</v>
      </c>
      <c r="BJ133" s="558">
        <f t="shared" si="74"/>
        <v>0</v>
      </c>
      <c r="BK133" s="558">
        <f t="shared" si="74"/>
        <v>0</v>
      </c>
      <c r="BL133" s="558">
        <f t="shared" si="74"/>
        <v>0</v>
      </c>
      <c r="BM133" s="558">
        <f t="shared" si="74"/>
        <v>0</v>
      </c>
      <c r="BN133" s="558">
        <f t="shared" si="74"/>
        <v>0</v>
      </c>
      <c r="BO133" s="558">
        <f t="shared" si="74"/>
        <v>0</v>
      </c>
      <c r="BP133" s="558">
        <f t="shared" si="74"/>
        <v>0</v>
      </c>
      <c r="BQ133" s="558">
        <f t="shared" si="74"/>
        <v>0</v>
      </c>
      <c r="BR133" s="558">
        <f t="shared" si="74"/>
        <v>0</v>
      </c>
      <c r="BS133" s="558">
        <f t="shared" si="74"/>
        <v>0</v>
      </c>
      <c r="BT133" s="558">
        <f t="shared" si="74"/>
        <v>0</v>
      </c>
      <c r="BU133" s="558">
        <f t="shared" si="74"/>
        <v>0</v>
      </c>
      <c r="BV133" s="558">
        <f t="shared" ref="BV133:CV134" si="75" xml:space="preserve"> IF(AND(BV$130 = 1, BV$131 = 1), $F124, BV127) * BV130</f>
        <v>0</v>
      </c>
      <c r="BW133" s="558">
        <f t="shared" si="75"/>
        <v>0</v>
      </c>
      <c r="BX133" s="558">
        <f t="shared" si="75"/>
        <v>0</v>
      </c>
      <c r="BY133" s="558">
        <f t="shared" si="75"/>
        <v>0</v>
      </c>
      <c r="BZ133" s="558">
        <f t="shared" si="75"/>
        <v>0</v>
      </c>
      <c r="CA133" s="558">
        <f t="shared" si="75"/>
        <v>0</v>
      </c>
      <c r="CB133" s="558">
        <f t="shared" si="75"/>
        <v>0</v>
      </c>
      <c r="CC133" s="558">
        <f t="shared" si="75"/>
        <v>0</v>
      </c>
      <c r="CD133" s="558">
        <f t="shared" si="75"/>
        <v>0</v>
      </c>
      <c r="CE133" s="558">
        <f t="shared" si="75"/>
        <v>0</v>
      </c>
      <c r="CF133" s="558">
        <f t="shared" si="75"/>
        <v>0</v>
      </c>
      <c r="CG133" s="558">
        <f t="shared" si="75"/>
        <v>0</v>
      </c>
      <c r="CH133" s="558">
        <f t="shared" si="75"/>
        <v>0</v>
      </c>
      <c r="CI133" s="558">
        <f t="shared" si="75"/>
        <v>0</v>
      </c>
      <c r="CJ133" s="558">
        <f t="shared" si="75"/>
        <v>0</v>
      </c>
      <c r="CK133" s="558">
        <f t="shared" si="75"/>
        <v>0</v>
      </c>
      <c r="CL133" s="558">
        <f t="shared" si="75"/>
        <v>0</v>
      </c>
      <c r="CM133" s="558">
        <f t="shared" si="75"/>
        <v>0</v>
      </c>
      <c r="CN133" s="558">
        <f t="shared" si="75"/>
        <v>0</v>
      </c>
      <c r="CO133" s="558">
        <f t="shared" si="75"/>
        <v>0</v>
      </c>
      <c r="CP133" s="558">
        <f t="shared" si="75"/>
        <v>0</v>
      </c>
      <c r="CQ133" s="558">
        <f t="shared" si="75"/>
        <v>0</v>
      </c>
      <c r="CR133" s="558">
        <f t="shared" si="75"/>
        <v>0</v>
      </c>
      <c r="CS133" s="558">
        <f t="shared" si="75"/>
        <v>0</v>
      </c>
      <c r="CT133" s="558">
        <f t="shared" si="75"/>
        <v>0</v>
      </c>
      <c r="CU133" s="558">
        <f t="shared" si="75"/>
        <v>0</v>
      </c>
      <c r="CV133" s="558">
        <f t="shared" si="75"/>
        <v>0</v>
      </c>
    </row>
    <row r="134" spans="1:100" ht="12.75" outlineLevel="2" x14ac:dyDescent="0.2">
      <c r="A134" s="522"/>
      <c r="B134" s="522"/>
      <c r="C134" s="523"/>
      <c r="D134" s="523"/>
      <c r="E134" s="558" t="s">
        <v>1002</v>
      </c>
      <c r="F134" s="558"/>
      <c r="G134" s="558" t="s">
        <v>103</v>
      </c>
      <c r="H134" s="558"/>
      <c r="I134" s="558"/>
      <c r="J134" s="558">
        <f t="shared" si="74"/>
        <v>0</v>
      </c>
      <c r="K134" s="558">
        <f t="shared" si="74"/>
        <v>0</v>
      </c>
      <c r="L134" s="558">
        <f t="shared" si="74"/>
        <v>0</v>
      </c>
      <c r="M134" s="558">
        <f t="shared" si="74"/>
        <v>0</v>
      </c>
      <c r="N134" s="558">
        <f t="shared" si="74"/>
        <v>0</v>
      </c>
      <c r="O134" s="558">
        <f t="shared" si="74"/>
        <v>0.58700187809984095</v>
      </c>
      <c r="P134" s="558">
        <f t="shared" si="74"/>
        <v>0.58700187809984095</v>
      </c>
      <c r="Q134" s="558">
        <f t="shared" si="74"/>
        <v>0.58700187809984095</v>
      </c>
      <c r="R134" s="558">
        <f t="shared" si="74"/>
        <v>0.58700187809984095</v>
      </c>
      <c r="S134" s="558">
        <f t="shared" si="74"/>
        <v>0.58700187809984095</v>
      </c>
      <c r="T134" s="558">
        <f t="shared" si="74"/>
        <v>0.58700187809984095</v>
      </c>
      <c r="U134" s="558">
        <f t="shared" si="74"/>
        <v>0.58700187809984095</v>
      </c>
      <c r="V134" s="558">
        <f t="shared" si="74"/>
        <v>0.58700187809984095</v>
      </c>
      <c r="W134" s="558">
        <f t="shared" si="74"/>
        <v>0.58700187809984095</v>
      </c>
      <c r="X134" s="558">
        <f t="shared" si="74"/>
        <v>0.58700187809984095</v>
      </c>
      <c r="Y134" s="558">
        <f t="shared" si="74"/>
        <v>0.58700187809984095</v>
      </c>
      <c r="Z134" s="558">
        <f t="shared" si="74"/>
        <v>0.58700187809984095</v>
      </c>
      <c r="AA134" s="558">
        <f t="shared" si="74"/>
        <v>0.58700187809984095</v>
      </c>
      <c r="AB134" s="558">
        <f t="shared" si="74"/>
        <v>0.58700187809984095</v>
      </c>
      <c r="AC134" s="558">
        <f t="shared" si="74"/>
        <v>0.58700187809984095</v>
      </c>
      <c r="AD134" s="558">
        <f t="shared" si="74"/>
        <v>0.58700187809984095</v>
      </c>
      <c r="AE134" s="558">
        <f t="shared" si="74"/>
        <v>0.58700187809984095</v>
      </c>
      <c r="AF134" s="558">
        <f t="shared" si="74"/>
        <v>0.58700187809984095</v>
      </c>
      <c r="AG134" s="558">
        <f t="shared" si="74"/>
        <v>0.58700187809984095</v>
      </c>
      <c r="AH134" s="558">
        <f t="shared" si="74"/>
        <v>0.58700187809984095</v>
      </c>
      <c r="AI134" s="558">
        <f t="shared" si="74"/>
        <v>0.58700187809984095</v>
      </c>
      <c r="AJ134" s="558">
        <f t="shared" si="74"/>
        <v>0.58700187809984095</v>
      </c>
      <c r="AK134" s="558">
        <f t="shared" si="74"/>
        <v>0.58700187809984095</v>
      </c>
      <c r="AL134" s="558">
        <f t="shared" si="74"/>
        <v>0.58700187809984095</v>
      </c>
      <c r="AM134" s="558">
        <f t="shared" si="74"/>
        <v>0.58700187809984095</v>
      </c>
      <c r="AN134" s="558">
        <f t="shared" si="74"/>
        <v>0.58700187809984095</v>
      </c>
      <c r="AO134" s="558">
        <f t="shared" si="74"/>
        <v>0.58700187809984095</v>
      </c>
      <c r="AP134" s="558">
        <f t="shared" si="74"/>
        <v>0.58700187809984095</v>
      </c>
      <c r="AQ134" s="558">
        <f t="shared" si="74"/>
        <v>0.58700187809984095</v>
      </c>
      <c r="AR134" s="558">
        <f t="shared" si="74"/>
        <v>0.58700187809984095</v>
      </c>
      <c r="AS134" s="558">
        <f t="shared" si="74"/>
        <v>0</v>
      </c>
      <c r="AT134" s="558">
        <f t="shared" si="74"/>
        <v>0</v>
      </c>
      <c r="AU134" s="558">
        <f t="shared" si="74"/>
        <v>0</v>
      </c>
      <c r="AV134" s="558">
        <f t="shared" si="74"/>
        <v>0</v>
      </c>
      <c r="AW134" s="558">
        <f t="shared" si="74"/>
        <v>0</v>
      </c>
      <c r="AX134" s="558">
        <f t="shared" si="74"/>
        <v>0</v>
      </c>
      <c r="AY134" s="558">
        <f t="shared" si="74"/>
        <v>0</v>
      </c>
      <c r="AZ134" s="558">
        <f t="shared" si="74"/>
        <v>0</v>
      </c>
      <c r="BA134" s="558">
        <f t="shared" si="74"/>
        <v>0</v>
      </c>
      <c r="BB134" s="558">
        <f t="shared" si="74"/>
        <v>0</v>
      </c>
      <c r="BC134" s="558">
        <f t="shared" si="74"/>
        <v>0</v>
      </c>
      <c r="BD134" s="558">
        <f t="shared" si="74"/>
        <v>0</v>
      </c>
      <c r="BE134" s="558">
        <f t="shared" si="74"/>
        <v>0</v>
      </c>
      <c r="BF134" s="558">
        <f t="shared" si="74"/>
        <v>0</v>
      </c>
      <c r="BG134" s="558">
        <f t="shared" si="74"/>
        <v>0</v>
      </c>
      <c r="BH134" s="558">
        <f t="shared" si="74"/>
        <v>0</v>
      </c>
      <c r="BI134" s="558">
        <f t="shared" si="74"/>
        <v>0</v>
      </c>
      <c r="BJ134" s="558">
        <f t="shared" si="74"/>
        <v>0</v>
      </c>
      <c r="BK134" s="558">
        <f t="shared" si="74"/>
        <v>0</v>
      </c>
      <c r="BL134" s="558">
        <f t="shared" si="74"/>
        <v>0</v>
      </c>
      <c r="BM134" s="558">
        <f t="shared" si="74"/>
        <v>0</v>
      </c>
      <c r="BN134" s="558">
        <f t="shared" si="74"/>
        <v>0</v>
      </c>
      <c r="BO134" s="558">
        <f t="shared" si="74"/>
        <v>0</v>
      </c>
      <c r="BP134" s="558">
        <f t="shared" si="74"/>
        <v>0</v>
      </c>
      <c r="BQ134" s="558">
        <f t="shared" si="74"/>
        <v>0</v>
      </c>
      <c r="BR134" s="558">
        <f t="shared" si="74"/>
        <v>0</v>
      </c>
      <c r="BS134" s="558">
        <f t="shared" si="74"/>
        <v>0</v>
      </c>
      <c r="BT134" s="558">
        <f t="shared" si="74"/>
        <v>0</v>
      </c>
      <c r="BU134" s="558">
        <f t="shared" si="74"/>
        <v>0</v>
      </c>
      <c r="BV134" s="558">
        <f t="shared" si="75"/>
        <v>0</v>
      </c>
      <c r="BW134" s="558">
        <f t="shared" si="75"/>
        <v>0</v>
      </c>
      <c r="BX134" s="558">
        <f t="shared" si="75"/>
        <v>0</v>
      </c>
      <c r="BY134" s="558">
        <f t="shared" si="75"/>
        <v>0</v>
      </c>
      <c r="BZ134" s="558">
        <f t="shared" si="75"/>
        <v>0</v>
      </c>
      <c r="CA134" s="558">
        <f t="shared" si="75"/>
        <v>0</v>
      </c>
      <c r="CB134" s="558">
        <f t="shared" si="75"/>
        <v>0</v>
      </c>
      <c r="CC134" s="558">
        <f t="shared" si="75"/>
        <v>0</v>
      </c>
      <c r="CD134" s="558">
        <f t="shared" si="75"/>
        <v>0</v>
      </c>
      <c r="CE134" s="558">
        <f t="shared" si="75"/>
        <v>0</v>
      </c>
      <c r="CF134" s="558">
        <f t="shared" si="75"/>
        <v>0</v>
      </c>
      <c r="CG134" s="558">
        <f t="shared" si="75"/>
        <v>0</v>
      </c>
      <c r="CH134" s="558">
        <f t="shared" si="75"/>
        <v>0</v>
      </c>
      <c r="CI134" s="558">
        <f t="shared" si="75"/>
        <v>0</v>
      </c>
      <c r="CJ134" s="558">
        <f t="shared" si="75"/>
        <v>0</v>
      </c>
      <c r="CK134" s="558">
        <f t="shared" si="75"/>
        <v>0</v>
      </c>
      <c r="CL134" s="558">
        <f t="shared" si="75"/>
        <v>0</v>
      </c>
      <c r="CM134" s="558">
        <f t="shared" si="75"/>
        <v>0</v>
      </c>
      <c r="CN134" s="558">
        <f t="shared" si="75"/>
        <v>0</v>
      </c>
      <c r="CO134" s="558">
        <f t="shared" si="75"/>
        <v>0</v>
      </c>
      <c r="CP134" s="558">
        <f t="shared" si="75"/>
        <v>0</v>
      </c>
      <c r="CQ134" s="558">
        <f t="shared" si="75"/>
        <v>0</v>
      </c>
      <c r="CR134" s="558">
        <f t="shared" si="75"/>
        <v>0</v>
      </c>
      <c r="CS134" s="558">
        <f t="shared" si="75"/>
        <v>0</v>
      </c>
      <c r="CT134" s="558">
        <f t="shared" si="75"/>
        <v>0</v>
      </c>
      <c r="CU134" s="558">
        <f t="shared" si="75"/>
        <v>0</v>
      </c>
      <c r="CV134" s="558">
        <f t="shared" si="75"/>
        <v>0</v>
      </c>
    </row>
    <row r="135" spans="1:100" ht="12.75" outlineLevel="2" x14ac:dyDescent="0.2">
      <c r="A135" s="522"/>
      <c r="B135" s="522"/>
      <c r="C135" s="523"/>
      <c r="D135" s="523"/>
      <c r="E135" s="525"/>
      <c r="F135" s="525"/>
      <c r="G135" s="525"/>
      <c r="H135" s="525"/>
      <c r="I135" s="526"/>
      <c r="J135" s="525"/>
      <c r="K135" s="525"/>
      <c r="L135" s="525"/>
      <c r="M135" s="525"/>
      <c r="N135" s="525"/>
      <c r="O135" s="525"/>
      <c r="P135" s="525"/>
      <c r="Q135" s="525"/>
      <c r="R135" s="525"/>
      <c r="S135" s="525"/>
      <c r="T135" s="525"/>
      <c r="U135" s="525"/>
      <c r="V135" s="525"/>
      <c r="W135" s="525"/>
      <c r="X135" s="525"/>
      <c r="Y135" s="525"/>
      <c r="Z135" s="525"/>
      <c r="AA135" s="525"/>
      <c r="AB135" s="525"/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</row>
    <row r="136" spans="1:100" ht="12.75" outlineLevel="2" x14ac:dyDescent="0.2">
      <c r="A136" s="236"/>
      <c r="B136" s="236" t="s">
        <v>891</v>
      </c>
      <c r="C136" s="237"/>
      <c r="D136" s="238"/>
      <c r="E136" s="310"/>
      <c r="F136" s="310"/>
      <c r="G136" s="310"/>
      <c r="H136" s="310"/>
      <c r="I136" s="310"/>
      <c r="J136" s="310"/>
      <c r="K136" s="310"/>
      <c r="L136" s="310"/>
      <c r="M136" s="310"/>
      <c r="N136" s="310"/>
      <c r="O136" s="310"/>
      <c r="P136" s="310"/>
      <c r="Q136" s="310"/>
      <c r="R136" s="310"/>
      <c r="S136" s="310"/>
      <c r="T136" s="310"/>
      <c r="U136" s="310"/>
      <c r="V136" s="310"/>
      <c r="W136" s="310"/>
      <c r="X136" s="310"/>
      <c r="Y136" s="310"/>
      <c r="Z136" s="310"/>
      <c r="AA136" s="310"/>
      <c r="AB136" s="310"/>
      <c r="AC136" s="310"/>
      <c r="AD136" s="310"/>
      <c r="AE136" s="310"/>
      <c r="AF136" s="310"/>
      <c r="AG136" s="310"/>
      <c r="AH136" s="310"/>
      <c r="AI136" s="310"/>
      <c r="AJ136" s="310"/>
      <c r="AK136" s="310"/>
      <c r="AL136" s="310"/>
      <c r="AM136" s="310"/>
      <c r="AN136" s="310"/>
      <c r="AO136" s="310"/>
      <c r="AP136" s="310"/>
      <c r="AQ136" s="310"/>
      <c r="AR136" s="310"/>
      <c r="AS136" s="310"/>
      <c r="AT136" s="310"/>
      <c r="AU136" s="310"/>
      <c r="AV136" s="310"/>
      <c r="AW136" s="310"/>
      <c r="AX136" s="310"/>
      <c r="AY136" s="310"/>
      <c r="AZ136" s="310"/>
      <c r="BA136" s="310"/>
      <c r="BB136" s="310"/>
      <c r="BC136" s="310"/>
      <c r="BD136" s="310"/>
      <c r="BE136" s="310"/>
      <c r="BF136" s="310"/>
      <c r="BG136" s="310"/>
      <c r="BH136" s="310"/>
      <c r="BI136" s="310"/>
      <c r="BJ136" s="310"/>
      <c r="BK136" s="310"/>
      <c r="BL136" s="310"/>
      <c r="BM136" s="310"/>
      <c r="BN136" s="310"/>
      <c r="BO136" s="310"/>
      <c r="BP136" s="310"/>
      <c r="BQ136" s="310"/>
      <c r="BR136" s="310"/>
      <c r="BS136" s="310"/>
      <c r="BT136" s="310"/>
      <c r="BU136" s="310"/>
      <c r="BV136" s="310"/>
      <c r="BW136" s="310"/>
      <c r="BX136" s="310"/>
      <c r="BY136" s="310"/>
      <c r="BZ136" s="310"/>
      <c r="CA136" s="310"/>
      <c r="CB136" s="310"/>
      <c r="CC136" s="310"/>
      <c r="CD136" s="310"/>
      <c r="CE136" s="310"/>
      <c r="CF136" s="310"/>
      <c r="CG136" s="310"/>
      <c r="CH136" s="310"/>
      <c r="CI136" s="310"/>
      <c r="CJ136" s="310"/>
      <c r="CK136" s="310"/>
      <c r="CL136" s="310"/>
      <c r="CM136" s="310"/>
      <c r="CN136" s="310"/>
      <c r="CO136" s="310"/>
      <c r="CP136" s="310"/>
      <c r="CQ136" s="310"/>
      <c r="CR136" s="310"/>
      <c r="CS136" s="310"/>
      <c r="CT136" s="310"/>
      <c r="CU136" s="310"/>
      <c r="CV136" s="310"/>
    </row>
    <row r="137" spans="1:100" ht="12.75" outlineLevel="2" x14ac:dyDescent="0.2">
      <c r="A137" s="236"/>
      <c r="B137" s="236"/>
      <c r="C137" s="237" t="s">
        <v>978</v>
      </c>
      <c r="D137" s="238"/>
      <c r="E137" s="310"/>
      <c r="F137" s="310"/>
      <c r="G137" s="310"/>
      <c r="H137" s="310"/>
      <c r="I137" s="310"/>
      <c r="J137" s="310"/>
      <c r="K137" s="310"/>
      <c r="L137" s="310"/>
      <c r="M137" s="310"/>
      <c r="N137" s="310"/>
      <c r="O137" s="310"/>
      <c r="P137" s="310"/>
      <c r="Q137" s="310"/>
      <c r="R137" s="310"/>
      <c r="S137" s="310"/>
      <c r="T137" s="310"/>
      <c r="U137" s="310"/>
      <c r="V137" s="310"/>
      <c r="W137" s="310"/>
      <c r="X137" s="310"/>
      <c r="Y137" s="310"/>
      <c r="Z137" s="310"/>
      <c r="AA137" s="310"/>
      <c r="AB137" s="310"/>
      <c r="AC137" s="310"/>
      <c r="AD137" s="310"/>
      <c r="AE137" s="310"/>
      <c r="AF137" s="310"/>
      <c r="AG137" s="310"/>
      <c r="AH137" s="310"/>
      <c r="AI137" s="310"/>
      <c r="AJ137" s="310"/>
      <c r="AK137" s="310"/>
      <c r="AL137" s="310"/>
      <c r="AM137" s="310"/>
      <c r="AN137" s="310"/>
      <c r="AO137" s="310"/>
      <c r="AP137" s="310"/>
      <c r="AQ137" s="310"/>
      <c r="AR137" s="310"/>
      <c r="AS137" s="310"/>
      <c r="AT137" s="310"/>
      <c r="AU137" s="310"/>
      <c r="AV137" s="310"/>
      <c r="AW137" s="310"/>
      <c r="AX137" s="310"/>
      <c r="AY137" s="310"/>
      <c r="AZ137" s="310"/>
      <c r="BA137" s="310"/>
      <c r="BB137" s="310"/>
      <c r="BC137" s="310"/>
      <c r="BD137" s="310"/>
      <c r="BE137" s="310"/>
      <c r="BF137" s="310"/>
      <c r="BG137" s="310"/>
      <c r="BH137" s="310"/>
      <c r="BI137" s="310"/>
      <c r="BJ137" s="310"/>
      <c r="BK137" s="310"/>
      <c r="BL137" s="310"/>
      <c r="BM137" s="310"/>
      <c r="BN137" s="310"/>
      <c r="BO137" s="310"/>
      <c r="BP137" s="310"/>
      <c r="BQ137" s="310"/>
      <c r="BR137" s="310"/>
      <c r="BS137" s="310"/>
      <c r="BT137" s="310"/>
      <c r="BU137" s="310"/>
      <c r="BV137" s="310"/>
      <c r="BW137" s="310"/>
      <c r="BX137" s="310"/>
      <c r="BY137" s="310"/>
      <c r="BZ137" s="310"/>
      <c r="CA137" s="310"/>
      <c r="CB137" s="310"/>
      <c r="CC137" s="310"/>
      <c r="CD137" s="310"/>
      <c r="CE137" s="310"/>
      <c r="CF137" s="310"/>
      <c r="CG137" s="310"/>
      <c r="CH137" s="310"/>
      <c r="CI137" s="310"/>
      <c r="CJ137" s="310"/>
      <c r="CK137" s="310"/>
      <c r="CL137" s="310"/>
      <c r="CM137" s="310"/>
      <c r="CN137" s="310"/>
      <c r="CO137" s="310"/>
      <c r="CP137" s="310"/>
      <c r="CQ137" s="310"/>
      <c r="CR137" s="310"/>
      <c r="CS137" s="310"/>
      <c r="CT137" s="310"/>
      <c r="CU137" s="310"/>
      <c r="CV137" s="310"/>
    </row>
    <row r="138" spans="1:100" ht="12.75" outlineLevel="2" x14ac:dyDescent="0.2">
      <c r="D138" s="21" t="s">
        <v>190</v>
      </c>
    </row>
    <row r="139" spans="1:100" ht="12.75" outlineLevel="2" x14ac:dyDescent="0.2">
      <c r="E139" s="145" t="str">
        <f xml:space="preserve"> ConFin!E$312</f>
        <v>Sum of construction debt drawdown - T1</v>
      </c>
      <c r="F139" s="145">
        <f xml:space="preserve"> ConFin!F$312</f>
        <v>125194.92613015344</v>
      </c>
      <c r="G139" s="145" t="str">
        <f xml:space="preserve"> ConFin!G$312</f>
        <v>$ 000s</v>
      </c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</row>
    <row r="140" spans="1:100" ht="12.75" outlineLevel="2" x14ac:dyDescent="0.2">
      <c r="E140" s="390" t="str">
        <f xml:space="preserve"> Time!E$164</f>
        <v>Senior debt repayment duration - T1</v>
      </c>
      <c r="F140" s="390">
        <f xml:space="preserve"> Time!F$164</f>
        <v>34</v>
      </c>
      <c r="G140" s="390" t="str">
        <f xml:space="preserve"> Time!G$164</f>
        <v>periods</v>
      </c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</row>
    <row r="141" spans="1:100" ht="12.75" outlineLevel="2" x14ac:dyDescent="0.2">
      <c r="E141" s="189" t="str">
        <f xml:space="preserve"> Time!E$163</f>
        <v>Senior debt repayment period flag - T1</v>
      </c>
      <c r="F141" s="189">
        <f xml:space="preserve"> Time!F$163</f>
        <v>0</v>
      </c>
      <c r="G141" s="189" t="str">
        <f xml:space="preserve"> Time!G$163</f>
        <v>flag</v>
      </c>
      <c r="H141" s="189">
        <f xml:space="preserve"> Time!H$163</f>
        <v>34</v>
      </c>
      <c r="I141" s="189">
        <f xml:space="preserve"> Time!I$163</f>
        <v>0</v>
      </c>
      <c r="J141" s="189">
        <f xml:space="preserve"> Time!J$163</f>
        <v>0</v>
      </c>
      <c r="K141" s="189">
        <f xml:space="preserve"> Time!K$163</f>
        <v>0</v>
      </c>
      <c r="L141" s="189">
        <f xml:space="preserve"> Time!L$163</f>
        <v>0</v>
      </c>
      <c r="M141" s="189">
        <f xml:space="preserve"> Time!M$163</f>
        <v>0</v>
      </c>
      <c r="N141" s="189">
        <f xml:space="preserve"> Time!N$163</f>
        <v>0</v>
      </c>
      <c r="O141" s="189">
        <f xml:space="preserve"> Time!O$163</f>
        <v>1</v>
      </c>
      <c r="P141" s="189">
        <f xml:space="preserve"> Time!P$163</f>
        <v>1</v>
      </c>
      <c r="Q141" s="189">
        <f xml:space="preserve"> Time!Q$163</f>
        <v>1</v>
      </c>
      <c r="R141" s="189">
        <f xml:space="preserve"> Time!R$163</f>
        <v>1</v>
      </c>
      <c r="S141" s="189">
        <f xml:space="preserve"> Time!S$163</f>
        <v>1</v>
      </c>
      <c r="T141" s="189">
        <f xml:space="preserve"> Time!T$163</f>
        <v>1</v>
      </c>
      <c r="U141" s="189">
        <f xml:space="preserve"> Time!U$163</f>
        <v>1</v>
      </c>
      <c r="V141" s="189">
        <f xml:space="preserve"> Time!V$163</f>
        <v>1</v>
      </c>
      <c r="W141" s="189">
        <f xml:space="preserve"> Time!W$163</f>
        <v>1</v>
      </c>
      <c r="X141" s="189">
        <f xml:space="preserve"> Time!X$163</f>
        <v>1</v>
      </c>
      <c r="Y141" s="189">
        <f xml:space="preserve"> Time!Y$163</f>
        <v>1</v>
      </c>
      <c r="Z141" s="189">
        <f xml:space="preserve"> Time!Z$163</f>
        <v>1</v>
      </c>
      <c r="AA141" s="189">
        <f xml:space="preserve"> Time!AA$163</f>
        <v>1</v>
      </c>
      <c r="AB141" s="189">
        <f xml:space="preserve"> Time!AB$163</f>
        <v>1</v>
      </c>
      <c r="AC141" s="189">
        <f xml:space="preserve"> Time!AC$163</f>
        <v>1</v>
      </c>
      <c r="AD141" s="189">
        <f xml:space="preserve"> Time!AD$163</f>
        <v>1</v>
      </c>
      <c r="AE141" s="189">
        <f xml:space="preserve"> Time!AE$163</f>
        <v>1</v>
      </c>
      <c r="AF141" s="189">
        <f xml:space="preserve"> Time!AF$163</f>
        <v>1</v>
      </c>
      <c r="AG141" s="189">
        <f xml:space="preserve"> Time!AG$163</f>
        <v>1</v>
      </c>
      <c r="AH141" s="189">
        <f xml:space="preserve"> Time!AH$163</f>
        <v>1</v>
      </c>
      <c r="AI141" s="189">
        <f xml:space="preserve"> Time!AI$163</f>
        <v>1</v>
      </c>
      <c r="AJ141" s="189">
        <f xml:space="preserve"> Time!AJ$163</f>
        <v>1</v>
      </c>
      <c r="AK141" s="189">
        <f xml:space="preserve"> Time!AK$163</f>
        <v>1</v>
      </c>
      <c r="AL141" s="189">
        <f xml:space="preserve"> Time!AL$163</f>
        <v>1</v>
      </c>
      <c r="AM141" s="189">
        <f xml:space="preserve"> Time!AM$163</f>
        <v>1</v>
      </c>
      <c r="AN141" s="189">
        <f xml:space="preserve"> Time!AN$163</f>
        <v>1</v>
      </c>
      <c r="AO141" s="189">
        <f xml:space="preserve"> Time!AO$163</f>
        <v>1</v>
      </c>
      <c r="AP141" s="189">
        <f xml:space="preserve"> Time!AP$163</f>
        <v>1</v>
      </c>
      <c r="AQ141" s="189">
        <f xml:space="preserve"> Time!AQ$163</f>
        <v>1</v>
      </c>
      <c r="AR141" s="189">
        <f xml:space="preserve"> Time!AR$163</f>
        <v>1</v>
      </c>
      <c r="AS141" s="189">
        <f xml:space="preserve"> Time!AS$163</f>
        <v>1</v>
      </c>
      <c r="AT141" s="189">
        <f xml:space="preserve"> Time!AT$163</f>
        <v>1</v>
      </c>
      <c r="AU141" s="189">
        <f xml:space="preserve"> Time!AU$163</f>
        <v>1</v>
      </c>
      <c r="AV141" s="189">
        <f xml:space="preserve"> Time!AV$163</f>
        <v>1</v>
      </c>
      <c r="AW141" s="189">
        <f xml:space="preserve"> Time!AW$163</f>
        <v>0</v>
      </c>
      <c r="AX141" s="189">
        <f xml:space="preserve"> Time!AX$163</f>
        <v>0</v>
      </c>
      <c r="AY141" s="189">
        <f xml:space="preserve"> Time!AY$163</f>
        <v>0</v>
      </c>
      <c r="AZ141" s="189">
        <f xml:space="preserve"> Time!AZ$163</f>
        <v>0</v>
      </c>
      <c r="BA141" s="189">
        <f xml:space="preserve"> Time!BA$163</f>
        <v>0</v>
      </c>
      <c r="BB141" s="189">
        <f xml:space="preserve"> Time!BB$163</f>
        <v>0</v>
      </c>
      <c r="BC141" s="189">
        <f xml:space="preserve"> Time!BC$163</f>
        <v>0</v>
      </c>
      <c r="BD141" s="189">
        <f xml:space="preserve"> Time!BD$163</f>
        <v>0</v>
      </c>
      <c r="BE141" s="189">
        <f xml:space="preserve"> Time!BE$163</f>
        <v>0</v>
      </c>
      <c r="BF141" s="189">
        <f xml:space="preserve"> Time!BF$163</f>
        <v>0</v>
      </c>
      <c r="BG141" s="189">
        <f xml:space="preserve"> Time!BG$163</f>
        <v>0</v>
      </c>
      <c r="BH141" s="189">
        <f xml:space="preserve"> Time!BH$163</f>
        <v>0</v>
      </c>
      <c r="BI141" s="189">
        <f xml:space="preserve"> Time!BI$163</f>
        <v>0</v>
      </c>
      <c r="BJ141" s="189">
        <f xml:space="preserve"> Time!BJ$163</f>
        <v>0</v>
      </c>
      <c r="BK141" s="189">
        <f xml:space="preserve"> Time!BK$163</f>
        <v>0</v>
      </c>
      <c r="BL141" s="189">
        <f xml:space="preserve"> Time!BL$163</f>
        <v>0</v>
      </c>
      <c r="BM141" s="189">
        <f xml:space="preserve"> Time!BM$163</f>
        <v>0</v>
      </c>
      <c r="BN141" s="189">
        <f xml:space="preserve"> Time!BN$163</f>
        <v>0</v>
      </c>
      <c r="BO141" s="189">
        <f xml:space="preserve"> Time!BO$163</f>
        <v>0</v>
      </c>
      <c r="BP141" s="189">
        <f xml:space="preserve"> Time!BP$163</f>
        <v>0</v>
      </c>
      <c r="BQ141" s="189">
        <f xml:space="preserve"> Time!BQ$163</f>
        <v>0</v>
      </c>
      <c r="BR141" s="189">
        <f xml:space="preserve"> Time!BR$163</f>
        <v>0</v>
      </c>
      <c r="BS141" s="189">
        <f xml:space="preserve"> Time!BS$163</f>
        <v>0</v>
      </c>
      <c r="BT141" s="189">
        <f xml:space="preserve"> Time!BT$163</f>
        <v>0</v>
      </c>
      <c r="BU141" s="189">
        <f xml:space="preserve"> Time!BU$163</f>
        <v>0</v>
      </c>
      <c r="BV141" s="189">
        <f xml:space="preserve"> Time!BV$163</f>
        <v>0</v>
      </c>
      <c r="BW141" s="189">
        <f xml:space="preserve"> Time!BW$163</f>
        <v>0</v>
      </c>
      <c r="BX141" s="189">
        <f xml:space="preserve"> Time!BX$163</f>
        <v>0</v>
      </c>
      <c r="BY141" s="189">
        <f xml:space="preserve"> Time!BY$163</f>
        <v>0</v>
      </c>
      <c r="BZ141" s="189">
        <f xml:space="preserve"> Time!BZ$163</f>
        <v>0</v>
      </c>
      <c r="CA141" s="189">
        <f xml:space="preserve"> Time!CA$163</f>
        <v>0</v>
      </c>
      <c r="CB141" s="189">
        <f xml:space="preserve"> Time!CB$163</f>
        <v>0</v>
      </c>
      <c r="CC141" s="189">
        <f xml:space="preserve"> Time!CC$163</f>
        <v>0</v>
      </c>
      <c r="CD141" s="189">
        <f xml:space="preserve"> Time!CD$163</f>
        <v>0</v>
      </c>
      <c r="CE141" s="189">
        <f xml:space="preserve"> Time!CE$163</f>
        <v>0</v>
      </c>
      <c r="CF141" s="189">
        <f xml:space="preserve"> Time!CF$163</f>
        <v>0</v>
      </c>
      <c r="CG141" s="189">
        <f xml:space="preserve"> Time!CG$163</f>
        <v>0</v>
      </c>
      <c r="CH141" s="189">
        <f xml:space="preserve"> Time!CH$163</f>
        <v>0</v>
      </c>
      <c r="CI141" s="189">
        <f xml:space="preserve"> Time!CI$163</f>
        <v>0</v>
      </c>
      <c r="CJ141" s="189">
        <f xml:space="preserve"> Time!CJ$163</f>
        <v>0</v>
      </c>
      <c r="CK141" s="189">
        <f xml:space="preserve"> Time!CK$163</f>
        <v>0</v>
      </c>
      <c r="CL141" s="189">
        <f xml:space="preserve"> Time!CL$163</f>
        <v>0</v>
      </c>
      <c r="CM141" s="189">
        <f xml:space="preserve"> Time!CM$163</f>
        <v>0</v>
      </c>
      <c r="CN141" s="189">
        <f xml:space="preserve"> Time!CN$163</f>
        <v>0</v>
      </c>
      <c r="CO141" s="189">
        <f xml:space="preserve"> Time!CO$163</f>
        <v>0</v>
      </c>
      <c r="CP141" s="189">
        <f xml:space="preserve"> Time!CP$163</f>
        <v>0</v>
      </c>
      <c r="CQ141" s="189">
        <f xml:space="preserve"> Time!CQ$163</f>
        <v>0</v>
      </c>
      <c r="CR141" s="189">
        <f xml:space="preserve"> Time!CR$163</f>
        <v>0</v>
      </c>
      <c r="CS141" s="189">
        <f xml:space="preserve"> Time!CS$163</f>
        <v>0</v>
      </c>
      <c r="CT141" s="189">
        <f xml:space="preserve"> Time!CT$163</f>
        <v>0</v>
      </c>
      <c r="CU141" s="189">
        <f xml:space="preserve"> Time!CU$163</f>
        <v>0</v>
      </c>
      <c r="CV141" s="189">
        <f xml:space="preserve"> Time!CV$163</f>
        <v>0</v>
      </c>
    </row>
    <row r="142" spans="1:100" ht="12.75" outlineLevel="2" x14ac:dyDescent="0.2">
      <c r="A142" s="236"/>
      <c r="B142" s="236"/>
      <c r="C142" s="237"/>
      <c r="D142" s="238"/>
      <c r="E142" s="234" t="s">
        <v>995</v>
      </c>
      <c r="F142" s="310"/>
      <c r="G142" s="310" t="str">
        <f xml:space="preserve"> SMU</f>
        <v>$ 000s</v>
      </c>
      <c r="H142" s="310">
        <f xml:space="preserve"> SUM(J142:CV142)</f>
        <v>125194.92613015336</v>
      </c>
      <c r="I142" s="310"/>
      <c r="J142" s="310">
        <f t="shared" ref="J142:AO142" si="76" xml:space="preserve"> $F139 / $F140 * J141</f>
        <v>0</v>
      </c>
      <c r="K142" s="310">
        <f t="shared" si="76"/>
        <v>0</v>
      </c>
      <c r="L142" s="310">
        <f t="shared" si="76"/>
        <v>0</v>
      </c>
      <c r="M142" s="310">
        <f t="shared" si="76"/>
        <v>0</v>
      </c>
      <c r="N142" s="310">
        <f t="shared" si="76"/>
        <v>0</v>
      </c>
      <c r="O142" s="310">
        <f t="shared" si="76"/>
        <v>3682.2037097103953</v>
      </c>
      <c r="P142" s="310">
        <f t="shared" si="76"/>
        <v>3682.2037097103953</v>
      </c>
      <c r="Q142" s="310">
        <f t="shared" si="76"/>
        <v>3682.2037097103953</v>
      </c>
      <c r="R142" s="310">
        <f t="shared" si="76"/>
        <v>3682.2037097103953</v>
      </c>
      <c r="S142" s="310">
        <f t="shared" si="76"/>
        <v>3682.2037097103953</v>
      </c>
      <c r="T142" s="310">
        <f t="shared" si="76"/>
        <v>3682.2037097103953</v>
      </c>
      <c r="U142" s="310">
        <f t="shared" si="76"/>
        <v>3682.2037097103953</v>
      </c>
      <c r="V142" s="310">
        <f t="shared" si="76"/>
        <v>3682.2037097103953</v>
      </c>
      <c r="W142" s="310">
        <f t="shared" si="76"/>
        <v>3682.2037097103953</v>
      </c>
      <c r="X142" s="310">
        <f t="shared" si="76"/>
        <v>3682.2037097103953</v>
      </c>
      <c r="Y142" s="310">
        <f t="shared" si="76"/>
        <v>3682.2037097103953</v>
      </c>
      <c r="Z142" s="310">
        <f t="shared" si="76"/>
        <v>3682.2037097103953</v>
      </c>
      <c r="AA142" s="310">
        <f t="shared" si="76"/>
        <v>3682.2037097103953</v>
      </c>
      <c r="AB142" s="310">
        <f t="shared" si="76"/>
        <v>3682.2037097103953</v>
      </c>
      <c r="AC142" s="310">
        <f t="shared" si="76"/>
        <v>3682.2037097103953</v>
      </c>
      <c r="AD142" s="310">
        <f t="shared" si="76"/>
        <v>3682.2037097103953</v>
      </c>
      <c r="AE142" s="310">
        <f t="shared" si="76"/>
        <v>3682.2037097103953</v>
      </c>
      <c r="AF142" s="310">
        <f t="shared" si="76"/>
        <v>3682.2037097103953</v>
      </c>
      <c r="AG142" s="310">
        <f t="shared" si="76"/>
        <v>3682.2037097103953</v>
      </c>
      <c r="AH142" s="310">
        <f t="shared" si="76"/>
        <v>3682.2037097103953</v>
      </c>
      <c r="AI142" s="310">
        <f t="shared" si="76"/>
        <v>3682.2037097103953</v>
      </c>
      <c r="AJ142" s="310">
        <f t="shared" si="76"/>
        <v>3682.2037097103953</v>
      </c>
      <c r="AK142" s="310">
        <f t="shared" si="76"/>
        <v>3682.2037097103953</v>
      </c>
      <c r="AL142" s="310">
        <f t="shared" si="76"/>
        <v>3682.2037097103953</v>
      </c>
      <c r="AM142" s="310">
        <f t="shared" si="76"/>
        <v>3682.2037097103953</v>
      </c>
      <c r="AN142" s="310">
        <f t="shared" si="76"/>
        <v>3682.2037097103953</v>
      </c>
      <c r="AO142" s="310">
        <f t="shared" si="76"/>
        <v>3682.2037097103953</v>
      </c>
      <c r="AP142" s="310">
        <f t="shared" ref="AP142:BU142" si="77" xml:space="preserve"> $F139 / $F140 * AP141</f>
        <v>3682.2037097103953</v>
      </c>
      <c r="AQ142" s="310">
        <f t="shared" si="77"/>
        <v>3682.2037097103953</v>
      </c>
      <c r="AR142" s="310">
        <f t="shared" si="77"/>
        <v>3682.2037097103953</v>
      </c>
      <c r="AS142" s="310">
        <f t="shared" si="77"/>
        <v>3682.2037097103953</v>
      </c>
      <c r="AT142" s="310">
        <f t="shared" si="77"/>
        <v>3682.2037097103953</v>
      </c>
      <c r="AU142" s="310">
        <f t="shared" si="77"/>
        <v>3682.2037097103953</v>
      </c>
      <c r="AV142" s="310">
        <f t="shared" si="77"/>
        <v>3682.2037097103953</v>
      </c>
      <c r="AW142" s="310">
        <f t="shared" si="77"/>
        <v>0</v>
      </c>
      <c r="AX142" s="310">
        <f t="shared" si="77"/>
        <v>0</v>
      </c>
      <c r="AY142" s="310">
        <f t="shared" si="77"/>
        <v>0</v>
      </c>
      <c r="AZ142" s="310">
        <f t="shared" si="77"/>
        <v>0</v>
      </c>
      <c r="BA142" s="310">
        <f t="shared" si="77"/>
        <v>0</v>
      </c>
      <c r="BB142" s="310">
        <f t="shared" si="77"/>
        <v>0</v>
      </c>
      <c r="BC142" s="310">
        <f t="shared" si="77"/>
        <v>0</v>
      </c>
      <c r="BD142" s="310">
        <f t="shared" si="77"/>
        <v>0</v>
      </c>
      <c r="BE142" s="310">
        <f t="shared" si="77"/>
        <v>0</v>
      </c>
      <c r="BF142" s="310">
        <f t="shared" si="77"/>
        <v>0</v>
      </c>
      <c r="BG142" s="310">
        <f t="shared" si="77"/>
        <v>0</v>
      </c>
      <c r="BH142" s="310">
        <f t="shared" si="77"/>
        <v>0</v>
      </c>
      <c r="BI142" s="310">
        <f t="shared" si="77"/>
        <v>0</v>
      </c>
      <c r="BJ142" s="310">
        <f t="shared" si="77"/>
        <v>0</v>
      </c>
      <c r="BK142" s="310">
        <f t="shared" si="77"/>
        <v>0</v>
      </c>
      <c r="BL142" s="310">
        <f t="shared" si="77"/>
        <v>0</v>
      </c>
      <c r="BM142" s="310">
        <f t="shared" si="77"/>
        <v>0</v>
      </c>
      <c r="BN142" s="310">
        <f t="shared" si="77"/>
        <v>0</v>
      </c>
      <c r="BO142" s="310">
        <f t="shared" si="77"/>
        <v>0</v>
      </c>
      <c r="BP142" s="310">
        <f t="shared" si="77"/>
        <v>0</v>
      </c>
      <c r="BQ142" s="310">
        <f t="shared" si="77"/>
        <v>0</v>
      </c>
      <c r="BR142" s="310">
        <f t="shared" si="77"/>
        <v>0</v>
      </c>
      <c r="BS142" s="310">
        <f t="shared" si="77"/>
        <v>0</v>
      </c>
      <c r="BT142" s="310">
        <f t="shared" si="77"/>
        <v>0</v>
      </c>
      <c r="BU142" s="310">
        <f t="shared" si="77"/>
        <v>0</v>
      </c>
      <c r="BV142" s="310">
        <f t="shared" ref="BV142:CV142" si="78" xml:space="preserve"> $F139 / $F140 * BV141</f>
        <v>0</v>
      </c>
      <c r="BW142" s="310">
        <f t="shared" si="78"/>
        <v>0</v>
      </c>
      <c r="BX142" s="310">
        <f t="shared" si="78"/>
        <v>0</v>
      </c>
      <c r="BY142" s="310">
        <f t="shared" si="78"/>
        <v>0</v>
      </c>
      <c r="BZ142" s="310">
        <f t="shared" si="78"/>
        <v>0</v>
      </c>
      <c r="CA142" s="310">
        <f t="shared" si="78"/>
        <v>0</v>
      </c>
      <c r="CB142" s="310">
        <f t="shared" si="78"/>
        <v>0</v>
      </c>
      <c r="CC142" s="310">
        <f t="shared" si="78"/>
        <v>0</v>
      </c>
      <c r="CD142" s="310">
        <f t="shared" si="78"/>
        <v>0</v>
      </c>
      <c r="CE142" s="310">
        <f t="shared" si="78"/>
        <v>0</v>
      </c>
      <c r="CF142" s="310">
        <f t="shared" si="78"/>
        <v>0</v>
      </c>
      <c r="CG142" s="310">
        <f t="shared" si="78"/>
        <v>0</v>
      </c>
      <c r="CH142" s="310">
        <f t="shared" si="78"/>
        <v>0</v>
      </c>
      <c r="CI142" s="310">
        <f t="shared" si="78"/>
        <v>0</v>
      </c>
      <c r="CJ142" s="310">
        <f t="shared" si="78"/>
        <v>0</v>
      </c>
      <c r="CK142" s="310">
        <f t="shared" si="78"/>
        <v>0</v>
      </c>
      <c r="CL142" s="310">
        <f t="shared" si="78"/>
        <v>0</v>
      </c>
      <c r="CM142" s="310">
        <f t="shared" si="78"/>
        <v>0</v>
      </c>
      <c r="CN142" s="310">
        <f t="shared" si="78"/>
        <v>0</v>
      </c>
      <c r="CO142" s="310">
        <f t="shared" si="78"/>
        <v>0</v>
      </c>
      <c r="CP142" s="310">
        <f t="shared" si="78"/>
        <v>0</v>
      </c>
      <c r="CQ142" s="310">
        <f t="shared" si="78"/>
        <v>0</v>
      </c>
      <c r="CR142" s="310">
        <f t="shared" si="78"/>
        <v>0</v>
      </c>
      <c r="CS142" s="310">
        <f t="shared" si="78"/>
        <v>0</v>
      </c>
      <c r="CT142" s="310">
        <f t="shared" si="78"/>
        <v>0</v>
      </c>
      <c r="CU142" s="310">
        <f t="shared" si="78"/>
        <v>0</v>
      </c>
      <c r="CV142" s="310">
        <f t="shared" si="78"/>
        <v>0</v>
      </c>
    </row>
    <row r="143" spans="1:100" ht="12.75" outlineLevel="2" x14ac:dyDescent="0.2">
      <c r="A143" s="236"/>
      <c r="B143" s="236"/>
      <c r="C143" s="237"/>
      <c r="D143" s="238"/>
      <c r="E143" s="310"/>
      <c r="F143" s="310"/>
      <c r="G143" s="310"/>
      <c r="H143" s="310"/>
      <c r="I143" s="310"/>
      <c r="J143" s="310"/>
      <c r="K143" s="310"/>
      <c r="L143" s="310"/>
      <c r="M143" s="310"/>
      <c r="N143" s="310"/>
      <c r="O143" s="310"/>
      <c r="P143" s="310"/>
      <c r="Q143" s="310"/>
      <c r="R143" s="310"/>
      <c r="S143" s="310"/>
      <c r="T143" s="310"/>
      <c r="U143" s="310"/>
      <c r="V143" s="310"/>
      <c r="W143" s="310"/>
      <c r="X143" s="310"/>
      <c r="Y143" s="310"/>
      <c r="Z143" s="310"/>
      <c r="AA143" s="310"/>
      <c r="AB143" s="310"/>
      <c r="AC143" s="310"/>
      <c r="AD143" s="310"/>
      <c r="AE143" s="310"/>
      <c r="AF143" s="310"/>
      <c r="AG143" s="310"/>
      <c r="AH143" s="310"/>
      <c r="AI143" s="310"/>
      <c r="AJ143" s="310"/>
      <c r="AK143" s="310"/>
      <c r="AL143" s="310"/>
      <c r="AM143" s="310"/>
      <c r="AN143" s="310"/>
      <c r="AO143" s="310"/>
      <c r="AP143" s="310"/>
      <c r="AQ143" s="310"/>
      <c r="AR143" s="310"/>
      <c r="AS143" s="310"/>
      <c r="AT143" s="310"/>
      <c r="AU143" s="310"/>
      <c r="AV143" s="310"/>
      <c r="AW143" s="310"/>
      <c r="AX143" s="310"/>
      <c r="AY143" s="310"/>
      <c r="AZ143" s="310"/>
      <c r="BA143" s="310"/>
      <c r="BB143" s="310"/>
      <c r="BC143" s="310"/>
      <c r="BD143" s="310"/>
      <c r="BE143" s="310"/>
      <c r="BF143" s="310"/>
      <c r="BG143" s="310"/>
      <c r="BH143" s="310"/>
      <c r="BI143" s="310"/>
      <c r="BJ143" s="310"/>
      <c r="BK143" s="310"/>
      <c r="BL143" s="310"/>
      <c r="BM143" s="310"/>
      <c r="BN143" s="310"/>
      <c r="BO143" s="310"/>
      <c r="BP143" s="310"/>
      <c r="BQ143" s="310"/>
      <c r="BR143" s="310"/>
      <c r="BS143" s="310"/>
      <c r="BT143" s="310"/>
      <c r="BU143" s="310"/>
      <c r="BV143" s="310"/>
      <c r="BW143" s="310"/>
      <c r="BX143" s="310"/>
      <c r="BY143" s="310"/>
      <c r="BZ143" s="310"/>
      <c r="CA143" s="310"/>
      <c r="CB143" s="310"/>
      <c r="CC143" s="310"/>
      <c r="CD143" s="310"/>
      <c r="CE143" s="310"/>
      <c r="CF143" s="310"/>
      <c r="CG143" s="310"/>
      <c r="CH143" s="310"/>
      <c r="CI143" s="310"/>
      <c r="CJ143" s="310"/>
      <c r="CK143" s="310"/>
      <c r="CL143" s="310"/>
      <c r="CM143" s="310"/>
      <c r="CN143" s="310"/>
      <c r="CO143" s="310"/>
      <c r="CP143" s="310"/>
      <c r="CQ143" s="310"/>
      <c r="CR143" s="310"/>
      <c r="CS143" s="310"/>
      <c r="CT143" s="310"/>
      <c r="CU143" s="310"/>
      <c r="CV143" s="310"/>
    </row>
    <row r="144" spans="1:100" ht="12.75" outlineLevel="2" x14ac:dyDescent="0.2">
      <c r="A144" s="236"/>
      <c r="B144" s="236"/>
      <c r="C144" s="237"/>
      <c r="D144" s="21" t="s">
        <v>996</v>
      </c>
      <c r="E144" s="310"/>
      <c r="F144" s="310"/>
      <c r="G144" s="310"/>
      <c r="H144" s="310"/>
      <c r="I144" s="310"/>
      <c r="J144" s="310"/>
      <c r="K144" s="310"/>
      <c r="L144" s="310"/>
      <c r="M144" s="310"/>
      <c r="N144" s="310"/>
      <c r="O144" s="310"/>
      <c r="P144" s="310"/>
      <c r="Q144" s="310"/>
      <c r="R144" s="310"/>
      <c r="S144" s="310"/>
      <c r="T144" s="310"/>
      <c r="U144" s="310"/>
      <c r="V144" s="310"/>
      <c r="W144" s="310"/>
      <c r="X144" s="310"/>
      <c r="Y144" s="310"/>
      <c r="Z144" s="310"/>
      <c r="AA144" s="310"/>
      <c r="AB144" s="310"/>
      <c r="AC144" s="310"/>
      <c r="AD144" s="310"/>
      <c r="AE144" s="310"/>
      <c r="AF144" s="310"/>
      <c r="AG144" s="310"/>
      <c r="AH144" s="310"/>
      <c r="AI144" s="310"/>
      <c r="AJ144" s="310"/>
      <c r="AK144" s="310"/>
      <c r="AL144" s="310"/>
      <c r="AM144" s="310"/>
      <c r="AN144" s="310"/>
      <c r="AO144" s="310"/>
      <c r="AP144" s="310"/>
      <c r="AQ144" s="310"/>
      <c r="AR144" s="310"/>
      <c r="AS144" s="310"/>
      <c r="AT144" s="310"/>
      <c r="AU144" s="310"/>
      <c r="AV144" s="310"/>
      <c r="AW144" s="310"/>
      <c r="AX144" s="310"/>
      <c r="AY144" s="310"/>
      <c r="AZ144" s="310"/>
      <c r="BA144" s="310"/>
      <c r="BB144" s="310"/>
      <c r="BC144" s="310"/>
      <c r="BD144" s="310"/>
      <c r="BE144" s="310"/>
      <c r="BF144" s="310"/>
      <c r="BG144" s="310"/>
      <c r="BH144" s="310"/>
      <c r="BI144" s="310"/>
      <c r="BJ144" s="310"/>
      <c r="BK144" s="310"/>
      <c r="BL144" s="310"/>
      <c r="BM144" s="310"/>
      <c r="BN144" s="310"/>
      <c r="BO144" s="310"/>
      <c r="BP144" s="310"/>
      <c r="BQ144" s="310"/>
      <c r="BR144" s="310"/>
      <c r="BS144" s="310"/>
      <c r="BT144" s="310"/>
      <c r="BU144" s="310"/>
      <c r="BV144" s="310"/>
      <c r="BW144" s="310"/>
      <c r="BX144" s="310"/>
      <c r="BY144" s="310"/>
      <c r="BZ144" s="310"/>
      <c r="CA144" s="310"/>
      <c r="CB144" s="310"/>
      <c r="CC144" s="310"/>
      <c r="CD144" s="310"/>
      <c r="CE144" s="310"/>
      <c r="CF144" s="310"/>
      <c r="CG144" s="310"/>
      <c r="CH144" s="310"/>
      <c r="CI144" s="310"/>
      <c r="CJ144" s="310"/>
      <c r="CK144" s="310"/>
      <c r="CL144" s="310"/>
      <c r="CM144" s="310"/>
      <c r="CN144" s="310"/>
      <c r="CO144" s="310"/>
      <c r="CP144" s="310"/>
      <c r="CQ144" s="310"/>
      <c r="CR144" s="310"/>
      <c r="CS144" s="310"/>
      <c r="CT144" s="310"/>
      <c r="CU144" s="310"/>
      <c r="CV144" s="310"/>
    </row>
    <row r="145" spans="1:100" ht="12.75" outlineLevel="2" x14ac:dyDescent="0.2">
      <c r="A145" s="236"/>
      <c r="B145" s="236"/>
      <c r="C145" s="237"/>
      <c r="D145" s="238"/>
      <c r="E145" s="310" t="str">
        <f t="shared" ref="E145:AJ145" si="79" xml:space="preserve"> E$52</f>
        <v>Senior debt repayment for debt sizing - calc</v>
      </c>
      <c r="F145" s="310">
        <f t="shared" si="79"/>
        <v>0</v>
      </c>
      <c r="G145" s="310" t="str">
        <f t="shared" si="79"/>
        <v>$ 000s</v>
      </c>
      <c r="H145" s="310">
        <f t="shared" si="79"/>
        <v>250389.84250993346</v>
      </c>
      <c r="I145" s="310">
        <f t="shared" si="79"/>
        <v>0</v>
      </c>
      <c r="J145" s="310">
        <f t="shared" si="79"/>
        <v>0</v>
      </c>
      <c r="K145" s="310">
        <f t="shared" si="79"/>
        <v>0</v>
      </c>
      <c r="L145" s="310">
        <f t="shared" si="79"/>
        <v>0</v>
      </c>
      <c r="M145" s="310">
        <f t="shared" si="79"/>
        <v>0</v>
      </c>
      <c r="N145" s="310">
        <f t="shared" si="79"/>
        <v>0</v>
      </c>
      <c r="O145" s="310">
        <f t="shared" si="79"/>
        <v>6991.6926667136795</v>
      </c>
      <c r="P145" s="310">
        <f t="shared" si="79"/>
        <v>5775.4111835814365</v>
      </c>
      <c r="Q145" s="310">
        <f t="shared" si="79"/>
        <v>5844.9237074696321</v>
      </c>
      <c r="R145" s="310">
        <f t="shared" si="79"/>
        <v>5953.2700883188845</v>
      </c>
      <c r="S145" s="310">
        <f t="shared" si="79"/>
        <v>6029.7045384690427</v>
      </c>
      <c r="T145" s="310">
        <f t="shared" si="79"/>
        <v>6138.2341870091841</v>
      </c>
      <c r="U145" s="310">
        <f t="shared" si="79"/>
        <v>6221.8631172353962</v>
      </c>
      <c r="V145" s="310">
        <f t="shared" si="79"/>
        <v>6320.0540133506911</v>
      </c>
      <c r="W145" s="310">
        <f t="shared" si="79"/>
        <v>6406.4371417930624</v>
      </c>
      <c r="X145" s="310">
        <f t="shared" si="79"/>
        <v>6530.1240714338437</v>
      </c>
      <c r="Y145" s="310">
        <f t="shared" si="79"/>
        <v>6436.6246734352353</v>
      </c>
      <c r="Z145" s="310">
        <f t="shared" si="79"/>
        <v>6551.1588479647589</v>
      </c>
      <c r="AA145" s="310">
        <f t="shared" si="79"/>
        <v>6657.4024109955481</v>
      </c>
      <c r="AB145" s="310">
        <f t="shared" si="79"/>
        <v>6772.506702289661</v>
      </c>
      <c r="AC145" s="310">
        <f t="shared" si="79"/>
        <v>6887.5744962745739</v>
      </c>
      <c r="AD145" s="310">
        <f t="shared" si="79"/>
        <v>6997.9555785075554</v>
      </c>
      <c r="AE145" s="310">
        <f t="shared" si="79"/>
        <v>7112.8956776068926</v>
      </c>
      <c r="AF145" s="310">
        <f t="shared" si="79"/>
        <v>7243.4991871246275</v>
      </c>
      <c r="AG145" s="310">
        <f t="shared" si="79"/>
        <v>7377.3354565275367</v>
      </c>
      <c r="AH145" s="310">
        <f t="shared" si="79"/>
        <v>7494.4717614238834</v>
      </c>
      <c r="AI145" s="310">
        <f t="shared" si="79"/>
        <v>7492.5599767364547</v>
      </c>
      <c r="AJ145" s="310">
        <f t="shared" si="79"/>
        <v>7619.1752493234653</v>
      </c>
      <c r="AK145" s="310">
        <f t="shared" ref="AK145:BP145" si="80" xml:space="preserve"> AK$52</f>
        <v>7777.9497925844225</v>
      </c>
      <c r="AL145" s="310">
        <f t="shared" si="80"/>
        <v>7907.107671430681</v>
      </c>
      <c r="AM145" s="310">
        <f t="shared" si="80"/>
        <v>8062.4820085052197</v>
      </c>
      <c r="AN145" s="310">
        <f t="shared" si="80"/>
        <v>8205.5235450505133</v>
      </c>
      <c r="AO145" s="310">
        <f t="shared" si="80"/>
        <v>8388.4431583174519</v>
      </c>
      <c r="AP145" s="310">
        <f t="shared" si="80"/>
        <v>8519.3302834244005</v>
      </c>
      <c r="AQ145" s="310">
        <f t="shared" si="80"/>
        <v>8715.1712853743629</v>
      </c>
      <c r="AR145" s="310">
        <f t="shared" si="80"/>
        <v>8847.6870079171385</v>
      </c>
      <c r="AS145" s="310">
        <f t="shared" si="80"/>
        <v>9057.0483380948517</v>
      </c>
      <c r="AT145" s="310">
        <f t="shared" si="80"/>
        <v>9185.1556984451508</v>
      </c>
      <c r="AU145" s="310">
        <f t="shared" si="80"/>
        <v>9368.3451841734677</v>
      </c>
      <c r="AV145" s="310">
        <f t="shared" si="80"/>
        <v>9500.7238030307599</v>
      </c>
      <c r="AW145" s="310">
        <f t="shared" si="80"/>
        <v>0</v>
      </c>
      <c r="AX145" s="310">
        <f t="shared" si="80"/>
        <v>0</v>
      </c>
      <c r="AY145" s="310">
        <f t="shared" si="80"/>
        <v>0</v>
      </c>
      <c r="AZ145" s="310">
        <f t="shared" si="80"/>
        <v>0</v>
      </c>
      <c r="BA145" s="310">
        <f t="shared" si="80"/>
        <v>0</v>
      </c>
      <c r="BB145" s="310">
        <f t="shared" si="80"/>
        <v>0</v>
      </c>
      <c r="BC145" s="310">
        <f t="shared" si="80"/>
        <v>0</v>
      </c>
      <c r="BD145" s="310">
        <f t="shared" si="80"/>
        <v>0</v>
      </c>
      <c r="BE145" s="310">
        <f t="shared" si="80"/>
        <v>0</v>
      </c>
      <c r="BF145" s="310">
        <f t="shared" si="80"/>
        <v>0</v>
      </c>
      <c r="BG145" s="310">
        <f t="shared" si="80"/>
        <v>0</v>
      </c>
      <c r="BH145" s="310">
        <f t="shared" si="80"/>
        <v>0</v>
      </c>
      <c r="BI145" s="310">
        <f t="shared" si="80"/>
        <v>0</v>
      </c>
      <c r="BJ145" s="310">
        <f t="shared" si="80"/>
        <v>0</v>
      </c>
      <c r="BK145" s="310">
        <f t="shared" si="80"/>
        <v>0</v>
      </c>
      <c r="BL145" s="310">
        <f t="shared" si="80"/>
        <v>0</v>
      </c>
      <c r="BM145" s="310">
        <f t="shared" si="80"/>
        <v>0</v>
      </c>
      <c r="BN145" s="310">
        <f t="shared" si="80"/>
        <v>0</v>
      </c>
      <c r="BO145" s="310">
        <f t="shared" si="80"/>
        <v>0</v>
      </c>
      <c r="BP145" s="310">
        <f t="shared" si="80"/>
        <v>0</v>
      </c>
      <c r="BQ145" s="310">
        <f t="shared" ref="BQ145:CV145" si="81" xml:space="preserve"> BQ$52</f>
        <v>0</v>
      </c>
      <c r="BR145" s="310">
        <f t="shared" si="81"/>
        <v>0</v>
      </c>
      <c r="BS145" s="310">
        <f t="shared" si="81"/>
        <v>0</v>
      </c>
      <c r="BT145" s="310">
        <f t="shared" si="81"/>
        <v>0</v>
      </c>
      <c r="BU145" s="310">
        <f t="shared" si="81"/>
        <v>0</v>
      </c>
      <c r="BV145" s="310">
        <f t="shared" si="81"/>
        <v>0</v>
      </c>
      <c r="BW145" s="310">
        <f t="shared" si="81"/>
        <v>0</v>
      </c>
      <c r="BX145" s="310">
        <f t="shared" si="81"/>
        <v>0</v>
      </c>
      <c r="BY145" s="310">
        <f t="shared" si="81"/>
        <v>0</v>
      </c>
      <c r="BZ145" s="310">
        <f t="shared" si="81"/>
        <v>0</v>
      </c>
      <c r="CA145" s="310">
        <f t="shared" si="81"/>
        <v>0</v>
      </c>
      <c r="CB145" s="310">
        <f t="shared" si="81"/>
        <v>0</v>
      </c>
      <c r="CC145" s="310">
        <f t="shared" si="81"/>
        <v>0</v>
      </c>
      <c r="CD145" s="310">
        <f t="shared" si="81"/>
        <v>0</v>
      </c>
      <c r="CE145" s="310">
        <f t="shared" si="81"/>
        <v>0</v>
      </c>
      <c r="CF145" s="310">
        <f t="shared" si="81"/>
        <v>0</v>
      </c>
      <c r="CG145" s="310">
        <f t="shared" si="81"/>
        <v>0</v>
      </c>
      <c r="CH145" s="310">
        <f t="shared" si="81"/>
        <v>0</v>
      </c>
      <c r="CI145" s="310">
        <f t="shared" si="81"/>
        <v>0</v>
      </c>
      <c r="CJ145" s="310">
        <f t="shared" si="81"/>
        <v>0</v>
      </c>
      <c r="CK145" s="310">
        <f t="shared" si="81"/>
        <v>0</v>
      </c>
      <c r="CL145" s="310">
        <f t="shared" si="81"/>
        <v>0</v>
      </c>
      <c r="CM145" s="310">
        <f t="shared" si="81"/>
        <v>0</v>
      </c>
      <c r="CN145" s="310">
        <f t="shared" si="81"/>
        <v>0</v>
      </c>
      <c r="CO145" s="310">
        <f t="shared" si="81"/>
        <v>0</v>
      </c>
      <c r="CP145" s="310">
        <f t="shared" si="81"/>
        <v>0</v>
      </c>
      <c r="CQ145" s="310">
        <f t="shared" si="81"/>
        <v>0</v>
      </c>
      <c r="CR145" s="310">
        <f t="shared" si="81"/>
        <v>0</v>
      </c>
      <c r="CS145" s="310">
        <f t="shared" si="81"/>
        <v>0</v>
      </c>
      <c r="CT145" s="310">
        <f t="shared" si="81"/>
        <v>0</v>
      </c>
      <c r="CU145" s="310">
        <f t="shared" si="81"/>
        <v>0</v>
      </c>
      <c r="CV145" s="310">
        <f t="shared" si="81"/>
        <v>0</v>
      </c>
    </row>
    <row r="146" spans="1:100" s="283" customFormat="1" ht="12.75" outlineLevel="2" x14ac:dyDescent="0.2">
      <c r="A146" s="311"/>
      <c r="B146" s="311"/>
      <c r="C146" s="312"/>
      <c r="D146" s="313"/>
      <c r="E146" s="314" t="str">
        <f t="shared" ref="E146:AJ146" si="82" xml:space="preserve"> E$133</f>
        <v>Senior debt T1 repayment % - calculated</v>
      </c>
      <c r="F146" s="314">
        <f t="shared" si="82"/>
        <v>0</v>
      </c>
      <c r="G146" s="314" t="str">
        <f t="shared" si="82"/>
        <v>%</v>
      </c>
      <c r="H146" s="314">
        <f t="shared" si="82"/>
        <v>0</v>
      </c>
      <c r="I146" s="314">
        <f t="shared" si="82"/>
        <v>0</v>
      </c>
      <c r="J146" s="314">
        <f t="shared" si="82"/>
        <v>0</v>
      </c>
      <c r="K146" s="314">
        <f t="shared" si="82"/>
        <v>0</v>
      </c>
      <c r="L146" s="314">
        <f t="shared" si="82"/>
        <v>0</v>
      </c>
      <c r="M146" s="314">
        <f t="shared" si="82"/>
        <v>0</v>
      </c>
      <c r="N146" s="314">
        <f t="shared" si="82"/>
        <v>0</v>
      </c>
      <c r="O146" s="314">
        <f t="shared" si="82"/>
        <v>0.41299812190015905</v>
      </c>
      <c r="P146" s="314">
        <f t="shared" si="82"/>
        <v>0.41299812190015905</v>
      </c>
      <c r="Q146" s="314">
        <f t="shared" si="82"/>
        <v>0.41299812190015905</v>
      </c>
      <c r="R146" s="314">
        <f t="shared" si="82"/>
        <v>0.41299812190015905</v>
      </c>
      <c r="S146" s="314">
        <f t="shared" si="82"/>
        <v>0.41299812190015905</v>
      </c>
      <c r="T146" s="314">
        <f t="shared" si="82"/>
        <v>0.41299812190015905</v>
      </c>
      <c r="U146" s="314">
        <f t="shared" si="82"/>
        <v>0.41299812190015905</v>
      </c>
      <c r="V146" s="314">
        <f t="shared" si="82"/>
        <v>0.41299812190015905</v>
      </c>
      <c r="W146" s="314">
        <f t="shared" si="82"/>
        <v>0.41299812190015905</v>
      </c>
      <c r="X146" s="314">
        <f t="shared" si="82"/>
        <v>0.41299812190015905</v>
      </c>
      <c r="Y146" s="314">
        <f t="shared" si="82"/>
        <v>0.41299812190015905</v>
      </c>
      <c r="Z146" s="314">
        <f t="shared" si="82"/>
        <v>0.41299812190015905</v>
      </c>
      <c r="AA146" s="314">
        <f t="shared" si="82"/>
        <v>0.41299812190015905</v>
      </c>
      <c r="AB146" s="314">
        <f t="shared" si="82"/>
        <v>0.41299812190015905</v>
      </c>
      <c r="AC146" s="314">
        <f t="shared" si="82"/>
        <v>0.41299812190015905</v>
      </c>
      <c r="AD146" s="314">
        <f t="shared" si="82"/>
        <v>0.41299812190015905</v>
      </c>
      <c r="AE146" s="314">
        <f t="shared" si="82"/>
        <v>0.41299812190015905</v>
      </c>
      <c r="AF146" s="314">
        <f t="shared" si="82"/>
        <v>0.41299812190015905</v>
      </c>
      <c r="AG146" s="314">
        <f t="shared" si="82"/>
        <v>0.41299812190015905</v>
      </c>
      <c r="AH146" s="314">
        <f t="shared" si="82"/>
        <v>0.41299812190015905</v>
      </c>
      <c r="AI146" s="314">
        <f t="shared" si="82"/>
        <v>0.41299812190015905</v>
      </c>
      <c r="AJ146" s="314">
        <f t="shared" si="82"/>
        <v>0.41299812190015905</v>
      </c>
      <c r="AK146" s="314">
        <f t="shared" ref="AK146:BP146" si="83" xml:space="preserve"> AK$133</f>
        <v>0.41299812190015905</v>
      </c>
      <c r="AL146" s="314">
        <f t="shared" si="83"/>
        <v>0.41299812190015905</v>
      </c>
      <c r="AM146" s="314">
        <f t="shared" si="83"/>
        <v>0.41299812190015905</v>
      </c>
      <c r="AN146" s="314">
        <f t="shared" si="83"/>
        <v>0.41299812190015905</v>
      </c>
      <c r="AO146" s="314">
        <f t="shared" si="83"/>
        <v>0.41299812190015905</v>
      </c>
      <c r="AP146" s="314">
        <f t="shared" si="83"/>
        <v>0.41299812190015905</v>
      </c>
      <c r="AQ146" s="314">
        <f t="shared" si="83"/>
        <v>0.41299812190015905</v>
      </c>
      <c r="AR146" s="314">
        <f t="shared" si="83"/>
        <v>0.41299812190015905</v>
      </c>
      <c r="AS146" s="314">
        <f t="shared" si="83"/>
        <v>0.99999994183693197</v>
      </c>
      <c r="AT146" s="314">
        <f t="shared" si="83"/>
        <v>0.99999992305950913</v>
      </c>
      <c r="AU146" s="314">
        <f t="shared" si="83"/>
        <v>0.99999988560609343</v>
      </c>
      <c r="AV146" s="314">
        <f t="shared" si="83"/>
        <v>0.99999977280585617</v>
      </c>
      <c r="AW146" s="314">
        <f t="shared" si="83"/>
        <v>0</v>
      </c>
      <c r="AX146" s="314">
        <f t="shared" si="83"/>
        <v>0</v>
      </c>
      <c r="AY146" s="314">
        <f t="shared" si="83"/>
        <v>0</v>
      </c>
      <c r="AZ146" s="314">
        <f t="shared" si="83"/>
        <v>0</v>
      </c>
      <c r="BA146" s="314">
        <f t="shared" si="83"/>
        <v>0</v>
      </c>
      <c r="BB146" s="314">
        <f t="shared" si="83"/>
        <v>0</v>
      </c>
      <c r="BC146" s="314">
        <f t="shared" si="83"/>
        <v>0</v>
      </c>
      <c r="BD146" s="314">
        <f t="shared" si="83"/>
        <v>0</v>
      </c>
      <c r="BE146" s="314">
        <f t="shared" si="83"/>
        <v>0</v>
      </c>
      <c r="BF146" s="314">
        <f t="shared" si="83"/>
        <v>0</v>
      </c>
      <c r="BG146" s="314">
        <f t="shared" si="83"/>
        <v>0</v>
      </c>
      <c r="BH146" s="314">
        <f t="shared" si="83"/>
        <v>0</v>
      </c>
      <c r="BI146" s="314">
        <f t="shared" si="83"/>
        <v>0</v>
      </c>
      <c r="BJ146" s="314">
        <f t="shared" si="83"/>
        <v>0</v>
      </c>
      <c r="BK146" s="314">
        <f t="shared" si="83"/>
        <v>0</v>
      </c>
      <c r="BL146" s="314">
        <f t="shared" si="83"/>
        <v>0</v>
      </c>
      <c r="BM146" s="314">
        <f t="shared" si="83"/>
        <v>0</v>
      </c>
      <c r="BN146" s="314">
        <f t="shared" si="83"/>
        <v>0</v>
      </c>
      <c r="BO146" s="314">
        <f t="shared" si="83"/>
        <v>0</v>
      </c>
      <c r="BP146" s="314">
        <f t="shared" si="83"/>
        <v>0</v>
      </c>
      <c r="BQ146" s="314">
        <f t="shared" ref="BQ146:CV146" si="84" xml:space="preserve"> BQ$133</f>
        <v>0</v>
      </c>
      <c r="BR146" s="314">
        <f t="shared" si="84"/>
        <v>0</v>
      </c>
      <c r="BS146" s="314">
        <f t="shared" si="84"/>
        <v>0</v>
      </c>
      <c r="BT146" s="314">
        <f t="shared" si="84"/>
        <v>0</v>
      </c>
      <c r="BU146" s="314">
        <f t="shared" si="84"/>
        <v>0</v>
      </c>
      <c r="BV146" s="314">
        <f t="shared" si="84"/>
        <v>0</v>
      </c>
      <c r="BW146" s="314">
        <f t="shared" si="84"/>
        <v>0</v>
      </c>
      <c r="BX146" s="314">
        <f t="shared" si="84"/>
        <v>0</v>
      </c>
      <c r="BY146" s="314">
        <f t="shared" si="84"/>
        <v>0</v>
      </c>
      <c r="BZ146" s="314">
        <f t="shared" si="84"/>
        <v>0</v>
      </c>
      <c r="CA146" s="314">
        <f t="shared" si="84"/>
        <v>0</v>
      </c>
      <c r="CB146" s="314">
        <f t="shared" si="84"/>
        <v>0</v>
      </c>
      <c r="CC146" s="314">
        <f t="shared" si="84"/>
        <v>0</v>
      </c>
      <c r="CD146" s="314">
        <f t="shared" si="84"/>
        <v>0</v>
      </c>
      <c r="CE146" s="314">
        <f t="shared" si="84"/>
        <v>0</v>
      </c>
      <c r="CF146" s="314">
        <f t="shared" si="84"/>
        <v>0</v>
      </c>
      <c r="CG146" s="314">
        <f t="shared" si="84"/>
        <v>0</v>
      </c>
      <c r="CH146" s="314">
        <f t="shared" si="84"/>
        <v>0</v>
      </c>
      <c r="CI146" s="314">
        <f t="shared" si="84"/>
        <v>0</v>
      </c>
      <c r="CJ146" s="314">
        <f t="shared" si="84"/>
        <v>0</v>
      </c>
      <c r="CK146" s="314">
        <f t="shared" si="84"/>
        <v>0</v>
      </c>
      <c r="CL146" s="314">
        <f t="shared" si="84"/>
        <v>0</v>
      </c>
      <c r="CM146" s="314">
        <f t="shared" si="84"/>
        <v>0</v>
      </c>
      <c r="CN146" s="314">
        <f t="shared" si="84"/>
        <v>0</v>
      </c>
      <c r="CO146" s="314">
        <f t="shared" si="84"/>
        <v>0</v>
      </c>
      <c r="CP146" s="314">
        <f t="shared" si="84"/>
        <v>0</v>
      </c>
      <c r="CQ146" s="314">
        <f t="shared" si="84"/>
        <v>0</v>
      </c>
      <c r="CR146" s="314">
        <f t="shared" si="84"/>
        <v>0</v>
      </c>
      <c r="CS146" s="314">
        <f t="shared" si="84"/>
        <v>0</v>
      </c>
      <c r="CT146" s="314">
        <f t="shared" si="84"/>
        <v>0</v>
      </c>
      <c r="CU146" s="314">
        <f t="shared" si="84"/>
        <v>0</v>
      </c>
      <c r="CV146" s="314">
        <f t="shared" si="84"/>
        <v>0</v>
      </c>
    </row>
    <row r="147" spans="1:100" ht="12.75" outlineLevel="2" x14ac:dyDescent="0.2">
      <c r="A147" s="236"/>
      <c r="B147" s="236"/>
      <c r="C147" s="237"/>
      <c r="D147" s="238"/>
      <c r="E147" s="189" t="str">
        <f xml:space="preserve"> Time!E$163</f>
        <v>Senior debt repayment period flag - T1</v>
      </c>
      <c r="F147" s="189">
        <f xml:space="preserve"> Time!F$163</f>
        <v>0</v>
      </c>
      <c r="G147" s="189" t="str">
        <f xml:space="preserve"> Time!G$163</f>
        <v>flag</v>
      </c>
      <c r="H147" s="189">
        <f xml:space="preserve"> Time!H$163</f>
        <v>34</v>
      </c>
      <c r="I147" s="189">
        <f xml:space="preserve"> Time!I$163</f>
        <v>0</v>
      </c>
      <c r="J147" s="189">
        <f xml:space="preserve"> Time!J$163</f>
        <v>0</v>
      </c>
      <c r="K147" s="189">
        <f xml:space="preserve"> Time!K$163</f>
        <v>0</v>
      </c>
      <c r="L147" s="189">
        <f xml:space="preserve"> Time!L$163</f>
        <v>0</v>
      </c>
      <c r="M147" s="189">
        <f xml:space="preserve"> Time!M$163</f>
        <v>0</v>
      </c>
      <c r="N147" s="189">
        <f xml:space="preserve"> Time!N$163</f>
        <v>0</v>
      </c>
      <c r="O147" s="189">
        <f xml:space="preserve"> Time!O$163</f>
        <v>1</v>
      </c>
      <c r="P147" s="189">
        <f xml:space="preserve"> Time!P$163</f>
        <v>1</v>
      </c>
      <c r="Q147" s="189">
        <f xml:space="preserve"> Time!Q$163</f>
        <v>1</v>
      </c>
      <c r="R147" s="189">
        <f xml:space="preserve"> Time!R$163</f>
        <v>1</v>
      </c>
      <c r="S147" s="189">
        <f xml:space="preserve"> Time!S$163</f>
        <v>1</v>
      </c>
      <c r="T147" s="189">
        <f xml:space="preserve"> Time!T$163</f>
        <v>1</v>
      </c>
      <c r="U147" s="189">
        <f xml:space="preserve"> Time!U$163</f>
        <v>1</v>
      </c>
      <c r="V147" s="189">
        <f xml:space="preserve"> Time!V$163</f>
        <v>1</v>
      </c>
      <c r="W147" s="189">
        <f xml:space="preserve"> Time!W$163</f>
        <v>1</v>
      </c>
      <c r="X147" s="189">
        <f xml:space="preserve"> Time!X$163</f>
        <v>1</v>
      </c>
      <c r="Y147" s="189">
        <f xml:space="preserve"> Time!Y$163</f>
        <v>1</v>
      </c>
      <c r="Z147" s="189">
        <f xml:space="preserve"> Time!Z$163</f>
        <v>1</v>
      </c>
      <c r="AA147" s="189">
        <f xml:space="preserve"> Time!AA$163</f>
        <v>1</v>
      </c>
      <c r="AB147" s="189">
        <f xml:space="preserve"> Time!AB$163</f>
        <v>1</v>
      </c>
      <c r="AC147" s="189">
        <f xml:space="preserve"> Time!AC$163</f>
        <v>1</v>
      </c>
      <c r="AD147" s="189">
        <f xml:space="preserve"> Time!AD$163</f>
        <v>1</v>
      </c>
      <c r="AE147" s="189">
        <f xml:space="preserve"> Time!AE$163</f>
        <v>1</v>
      </c>
      <c r="AF147" s="189">
        <f xml:space="preserve"> Time!AF$163</f>
        <v>1</v>
      </c>
      <c r="AG147" s="189">
        <f xml:space="preserve"> Time!AG$163</f>
        <v>1</v>
      </c>
      <c r="AH147" s="189">
        <f xml:space="preserve"> Time!AH$163</f>
        <v>1</v>
      </c>
      <c r="AI147" s="189">
        <f xml:space="preserve"> Time!AI$163</f>
        <v>1</v>
      </c>
      <c r="AJ147" s="189">
        <f xml:space="preserve"> Time!AJ$163</f>
        <v>1</v>
      </c>
      <c r="AK147" s="189">
        <f xml:space="preserve"> Time!AK$163</f>
        <v>1</v>
      </c>
      <c r="AL147" s="189">
        <f xml:space="preserve"> Time!AL$163</f>
        <v>1</v>
      </c>
      <c r="AM147" s="189">
        <f xml:space="preserve"> Time!AM$163</f>
        <v>1</v>
      </c>
      <c r="AN147" s="189">
        <f xml:space="preserve"> Time!AN$163</f>
        <v>1</v>
      </c>
      <c r="AO147" s="189">
        <f xml:space="preserve"> Time!AO$163</f>
        <v>1</v>
      </c>
      <c r="AP147" s="189">
        <f xml:space="preserve"> Time!AP$163</f>
        <v>1</v>
      </c>
      <c r="AQ147" s="189">
        <f xml:space="preserve"> Time!AQ$163</f>
        <v>1</v>
      </c>
      <c r="AR147" s="189">
        <f xml:space="preserve"> Time!AR$163</f>
        <v>1</v>
      </c>
      <c r="AS147" s="189">
        <f xml:space="preserve"> Time!AS$163</f>
        <v>1</v>
      </c>
      <c r="AT147" s="189">
        <f xml:space="preserve"> Time!AT$163</f>
        <v>1</v>
      </c>
      <c r="AU147" s="189">
        <f xml:space="preserve"> Time!AU$163</f>
        <v>1</v>
      </c>
      <c r="AV147" s="189">
        <f xml:space="preserve"> Time!AV$163</f>
        <v>1</v>
      </c>
      <c r="AW147" s="189">
        <f xml:space="preserve"> Time!AW$163</f>
        <v>0</v>
      </c>
      <c r="AX147" s="189">
        <f xml:space="preserve"> Time!AX$163</f>
        <v>0</v>
      </c>
      <c r="AY147" s="189">
        <f xml:space="preserve"> Time!AY$163</f>
        <v>0</v>
      </c>
      <c r="AZ147" s="189">
        <f xml:space="preserve"> Time!AZ$163</f>
        <v>0</v>
      </c>
      <c r="BA147" s="189">
        <f xml:space="preserve"> Time!BA$163</f>
        <v>0</v>
      </c>
      <c r="BB147" s="189">
        <f xml:space="preserve"> Time!BB$163</f>
        <v>0</v>
      </c>
      <c r="BC147" s="189">
        <f xml:space="preserve"> Time!BC$163</f>
        <v>0</v>
      </c>
      <c r="BD147" s="189">
        <f xml:space="preserve"> Time!BD$163</f>
        <v>0</v>
      </c>
      <c r="BE147" s="189">
        <f xml:space="preserve"> Time!BE$163</f>
        <v>0</v>
      </c>
      <c r="BF147" s="189">
        <f xml:space="preserve"> Time!BF$163</f>
        <v>0</v>
      </c>
      <c r="BG147" s="189">
        <f xml:space="preserve"> Time!BG$163</f>
        <v>0</v>
      </c>
      <c r="BH147" s="189">
        <f xml:space="preserve"> Time!BH$163</f>
        <v>0</v>
      </c>
      <c r="BI147" s="189">
        <f xml:space="preserve"> Time!BI$163</f>
        <v>0</v>
      </c>
      <c r="BJ147" s="189">
        <f xml:space="preserve"> Time!BJ$163</f>
        <v>0</v>
      </c>
      <c r="BK147" s="189">
        <f xml:space="preserve"> Time!BK$163</f>
        <v>0</v>
      </c>
      <c r="BL147" s="189">
        <f xml:space="preserve"> Time!BL$163</f>
        <v>0</v>
      </c>
      <c r="BM147" s="189">
        <f xml:space="preserve"> Time!BM$163</f>
        <v>0</v>
      </c>
      <c r="BN147" s="189">
        <f xml:space="preserve"> Time!BN$163</f>
        <v>0</v>
      </c>
      <c r="BO147" s="189">
        <f xml:space="preserve"> Time!BO$163</f>
        <v>0</v>
      </c>
      <c r="BP147" s="189">
        <f xml:space="preserve"> Time!BP$163</f>
        <v>0</v>
      </c>
      <c r="BQ147" s="189">
        <f xml:space="preserve"> Time!BQ$163</f>
        <v>0</v>
      </c>
      <c r="BR147" s="189">
        <f xml:space="preserve"> Time!BR$163</f>
        <v>0</v>
      </c>
      <c r="BS147" s="189">
        <f xml:space="preserve"> Time!BS$163</f>
        <v>0</v>
      </c>
      <c r="BT147" s="189">
        <f xml:space="preserve"> Time!BT$163</f>
        <v>0</v>
      </c>
      <c r="BU147" s="189">
        <f xml:space="preserve"> Time!BU$163</f>
        <v>0</v>
      </c>
      <c r="BV147" s="189">
        <f xml:space="preserve"> Time!BV$163</f>
        <v>0</v>
      </c>
      <c r="BW147" s="189">
        <f xml:space="preserve"> Time!BW$163</f>
        <v>0</v>
      </c>
      <c r="BX147" s="189">
        <f xml:space="preserve"> Time!BX$163</f>
        <v>0</v>
      </c>
      <c r="BY147" s="189">
        <f xml:space="preserve"> Time!BY$163</f>
        <v>0</v>
      </c>
      <c r="BZ147" s="189">
        <f xml:space="preserve"> Time!BZ$163</f>
        <v>0</v>
      </c>
      <c r="CA147" s="189">
        <f xml:space="preserve"> Time!CA$163</f>
        <v>0</v>
      </c>
      <c r="CB147" s="189">
        <f xml:space="preserve"> Time!CB$163</f>
        <v>0</v>
      </c>
      <c r="CC147" s="189">
        <f xml:space="preserve"> Time!CC$163</f>
        <v>0</v>
      </c>
      <c r="CD147" s="189">
        <f xml:space="preserve"> Time!CD$163</f>
        <v>0</v>
      </c>
      <c r="CE147" s="189">
        <f xml:space="preserve"> Time!CE$163</f>
        <v>0</v>
      </c>
      <c r="CF147" s="189">
        <f xml:space="preserve"> Time!CF$163</f>
        <v>0</v>
      </c>
      <c r="CG147" s="189">
        <f xml:space="preserve"> Time!CG$163</f>
        <v>0</v>
      </c>
      <c r="CH147" s="189">
        <f xml:space="preserve"> Time!CH$163</f>
        <v>0</v>
      </c>
      <c r="CI147" s="189">
        <f xml:space="preserve"> Time!CI$163</f>
        <v>0</v>
      </c>
      <c r="CJ147" s="189">
        <f xml:space="preserve"> Time!CJ$163</f>
        <v>0</v>
      </c>
      <c r="CK147" s="189">
        <f xml:space="preserve"> Time!CK$163</f>
        <v>0</v>
      </c>
      <c r="CL147" s="189">
        <f xml:space="preserve"> Time!CL$163</f>
        <v>0</v>
      </c>
      <c r="CM147" s="189">
        <f xml:space="preserve"> Time!CM$163</f>
        <v>0</v>
      </c>
      <c r="CN147" s="189">
        <f xml:space="preserve"> Time!CN$163</f>
        <v>0</v>
      </c>
      <c r="CO147" s="189">
        <f xml:space="preserve"> Time!CO$163</f>
        <v>0</v>
      </c>
      <c r="CP147" s="189">
        <f xml:space="preserve"> Time!CP$163</f>
        <v>0</v>
      </c>
      <c r="CQ147" s="189">
        <f xml:space="preserve"> Time!CQ$163</f>
        <v>0</v>
      </c>
      <c r="CR147" s="189">
        <f xml:space="preserve"> Time!CR$163</f>
        <v>0</v>
      </c>
      <c r="CS147" s="189">
        <f xml:space="preserve"> Time!CS$163</f>
        <v>0</v>
      </c>
      <c r="CT147" s="189">
        <f xml:space="preserve"> Time!CT$163</f>
        <v>0</v>
      </c>
      <c r="CU147" s="189">
        <f xml:space="preserve"> Time!CU$163</f>
        <v>0</v>
      </c>
      <c r="CV147" s="189">
        <f xml:space="preserve"> Time!CV$163</f>
        <v>0</v>
      </c>
    </row>
    <row r="148" spans="1:100" s="191" customFormat="1" ht="12.75" outlineLevel="2" x14ac:dyDescent="0.2">
      <c r="A148" s="236"/>
      <c r="B148" s="236"/>
      <c r="C148" s="237"/>
      <c r="D148" s="238"/>
      <c r="E148" s="1112" t="s">
        <v>1003</v>
      </c>
      <c r="F148" s="310"/>
      <c r="G148" s="310" t="str">
        <f xml:space="preserve"> SMU</f>
        <v>$ 000s</v>
      </c>
      <c r="H148" s="310">
        <f xml:space="preserve"> SUM(J148:CV148)</f>
        <v>125194.91719940645</v>
      </c>
      <c r="I148" s="310"/>
      <c r="J148" s="310">
        <f t="shared" ref="J148:AO148" si="85" xml:space="preserve"> J145 * J146 * J147</f>
        <v>0</v>
      </c>
      <c r="K148" s="310">
        <f t="shared" si="85"/>
        <v>0</v>
      </c>
      <c r="L148" s="310">
        <f t="shared" si="85"/>
        <v>0</v>
      </c>
      <c r="M148" s="310">
        <f t="shared" si="85"/>
        <v>0</v>
      </c>
      <c r="N148" s="310">
        <f t="shared" si="85"/>
        <v>0</v>
      </c>
      <c r="O148" s="310">
        <f t="shared" si="85"/>
        <v>2887.5559402558642</v>
      </c>
      <c r="P148" s="310">
        <f t="shared" si="85"/>
        <v>2385.2339720203081</v>
      </c>
      <c r="Q148" s="310">
        <f t="shared" si="85"/>
        <v>2413.9425138346728</v>
      </c>
      <c r="R148" s="310">
        <f t="shared" si="85"/>
        <v>2458.6893656400935</v>
      </c>
      <c r="S148" s="310">
        <f t="shared" si="85"/>
        <v>2490.2566500005801</v>
      </c>
      <c r="T148" s="310">
        <f t="shared" si="85"/>
        <v>2535.0791910181429</v>
      </c>
      <c r="U148" s="310">
        <f t="shared" si="85"/>
        <v>2569.6177821380879</v>
      </c>
      <c r="V148" s="310">
        <f t="shared" si="85"/>
        <v>2610.1704378213981</v>
      </c>
      <c r="W148" s="310">
        <f t="shared" si="85"/>
        <v>2645.8465076319576</v>
      </c>
      <c r="X148" s="310">
        <f t="shared" si="85"/>
        <v>2696.9289772771976</v>
      </c>
      <c r="Y148" s="310">
        <f t="shared" si="85"/>
        <v>2658.3139015049769</v>
      </c>
      <c r="Z148" s="310">
        <f t="shared" si="85"/>
        <v>2705.6163004790551</v>
      </c>
      <c r="AA148" s="310">
        <f t="shared" si="85"/>
        <v>2749.4946924747524</v>
      </c>
      <c r="AB148" s="310">
        <f t="shared" si="85"/>
        <v>2797.0325486018696</v>
      </c>
      <c r="AC148" s="310">
        <f t="shared" si="85"/>
        <v>2844.5553314088329</v>
      </c>
      <c r="AD148" s="310">
        <f t="shared" si="85"/>
        <v>2890.1425110643613</v>
      </c>
      <c r="AE148" s="310">
        <f t="shared" si="85"/>
        <v>2937.6125561234057</v>
      </c>
      <c r="AF148" s="310">
        <f t="shared" si="85"/>
        <v>2991.5515602678001</v>
      </c>
      <c r="AG148" s="310">
        <f t="shared" si="85"/>
        <v>3046.825688173325</v>
      </c>
      <c r="AH148" s="310">
        <f t="shared" si="85"/>
        <v>3095.2027621018406</v>
      </c>
      <c r="AI148" s="310">
        <f t="shared" si="85"/>
        <v>3094.4131986164552</v>
      </c>
      <c r="AJ148" s="310">
        <f t="shared" si="85"/>
        <v>3146.7050683987673</v>
      </c>
      <c r="AK148" s="310">
        <f t="shared" si="85"/>
        <v>3212.2786565710981</v>
      </c>
      <c r="AL148" s="310">
        <f t="shared" si="85"/>
        <v>3265.6206179632113</v>
      </c>
      <c r="AM148" s="310">
        <f t="shared" si="85"/>
        <v>3329.789927366478</v>
      </c>
      <c r="AN148" s="310">
        <f t="shared" si="85"/>
        <v>3388.8658133133972</v>
      </c>
      <c r="AO148" s="310">
        <f t="shared" si="85"/>
        <v>3464.411270051346</v>
      </c>
      <c r="AP148" s="310">
        <f t="shared" ref="AP148:BU148" si="86" xml:space="preserve"> AP145 * AP146 * AP147</f>
        <v>3518.4674069014272</v>
      </c>
      <c r="AQ148" s="310">
        <f t="shared" si="86"/>
        <v>3599.3493728978069</v>
      </c>
      <c r="AR148" s="310">
        <f t="shared" si="86"/>
        <v>3654.078117430216</v>
      </c>
      <c r="AS148" s="310">
        <f t="shared" si="86"/>
        <v>9057.047811309134</v>
      </c>
      <c r="AT148" s="310">
        <f t="shared" si="86"/>
        <v>9185.154991734762</v>
      </c>
      <c r="AU148" s="310">
        <f t="shared" si="86"/>
        <v>9368.3441124918645</v>
      </c>
      <c r="AV148" s="310">
        <f t="shared" si="86"/>
        <v>9500.7216445219492</v>
      </c>
      <c r="AW148" s="310">
        <f t="shared" si="86"/>
        <v>0</v>
      </c>
      <c r="AX148" s="310">
        <f t="shared" si="86"/>
        <v>0</v>
      </c>
      <c r="AY148" s="310">
        <f t="shared" si="86"/>
        <v>0</v>
      </c>
      <c r="AZ148" s="310">
        <f t="shared" si="86"/>
        <v>0</v>
      </c>
      <c r="BA148" s="310">
        <f t="shared" si="86"/>
        <v>0</v>
      </c>
      <c r="BB148" s="310">
        <f t="shared" si="86"/>
        <v>0</v>
      </c>
      <c r="BC148" s="310">
        <f t="shared" si="86"/>
        <v>0</v>
      </c>
      <c r="BD148" s="310">
        <f t="shared" si="86"/>
        <v>0</v>
      </c>
      <c r="BE148" s="310">
        <f t="shared" si="86"/>
        <v>0</v>
      </c>
      <c r="BF148" s="310">
        <f t="shared" si="86"/>
        <v>0</v>
      </c>
      <c r="BG148" s="310">
        <f t="shared" si="86"/>
        <v>0</v>
      </c>
      <c r="BH148" s="310">
        <f t="shared" si="86"/>
        <v>0</v>
      </c>
      <c r="BI148" s="310">
        <f t="shared" si="86"/>
        <v>0</v>
      </c>
      <c r="BJ148" s="310">
        <f t="shared" si="86"/>
        <v>0</v>
      </c>
      <c r="BK148" s="310">
        <f t="shared" si="86"/>
        <v>0</v>
      </c>
      <c r="BL148" s="310">
        <f t="shared" si="86"/>
        <v>0</v>
      </c>
      <c r="BM148" s="310">
        <f t="shared" si="86"/>
        <v>0</v>
      </c>
      <c r="BN148" s="310">
        <f t="shared" si="86"/>
        <v>0</v>
      </c>
      <c r="BO148" s="310">
        <f t="shared" si="86"/>
        <v>0</v>
      </c>
      <c r="BP148" s="310">
        <f t="shared" si="86"/>
        <v>0</v>
      </c>
      <c r="BQ148" s="310">
        <f t="shared" si="86"/>
        <v>0</v>
      </c>
      <c r="BR148" s="310">
        <f t="shared" si="86"/>
        <v>0</v>
      </c>
      <c r="BS148" s="310">
        <f t="shared" si="86"/>
        <v>0</v>
      </c>
      <c r="BT148" s="310">
        <f t="shared" si="86"/>
        <v>0</v>
      </c>
      <c r="BU148" s="310">
        <f t="shared" si="86"/>
        <v>0</v>
      </c>
      <c r="BV148" s="310">
        <f t="shared" ref="BV148:CV148" si="87" xml:space="preserve"> BV145 * BV146 * BV147</f>
        <v>0</v>
      </c>
      <c r="BW148" s="310">
        <f t="shared" si="87"/>
        <v>0</v>
      </c>
      <c r="BX148" s="310">
        <f t="shared" si="87"/>
        <v>0</v>
      </c>
      <c r="BY148" s="310">
        <f t="shared" si="87"/>
        <v>0</v>
      </c>
      <c r="BZ148" s="310">
        <f t="shared" si="87"/>
        <v>0</v>
      </c>
      <c r="CA148" s="310">
        <f t="shared" si="87"/>
        <v>0</v>
      </c>
      <c r="CB148" s="310">
        <f t="shared" si="87"/>
        <v>0</v>
      </c>
      <c r="CC148" s="310">
        <f t="shared" si="87"/>
        <v>0</v>
      </c>
      <c r="CD148" s="310">
        <f t="shared" si="87"/>
        <v>0</v>
      </c>
      <c r="CE148" s="310">
        <f t="shared" si="87"/>
        <v>0</v>
      </c>
      <c r="CF148" s="310">
        <f t="shared" si="87"/>
        <v>0</v>
      </c>
      <c r="CG148" s="310">
        <f t="shared" si="87"/>
        <v>0</v>
      </c>
      <c r="CH148" s="310">
        <f t="shared" si="87"/>
        <v>0</v>
      </c>
      <c r="CI148" s="310">
        <f t="shared" si="87"/>
        <v>0</v>
      </c>
      <c r="CJ148" s="310">
        <f t="shared" si="87"/>
        <v>0</v>
      </c>
      <c r="CK148" s="310">
        <f t="shared" si="87"/>
        <v>0</v>
      </c>
      <c r="CL148" s="310">
        <f t="shared" si="87"/>
        <v>0</v>
      </c>
      <c r="CM148" s="310">
        <f t="shared" si="87"/>
        <v>0</v>
      </c>
      <c r="CN148" s="310">
        <f t="shared" si="87"/>
        <v>0</v>
      </c>
      <c r="CO148" s="310">
        <f t="shared" si="87"/>
        <v>0</v>
      </c>
      <c r="CP148" s="310">
        <f t="shared" si="87"/>
        <v>0</v>
      </c>
      <c r="CQ148" s="310">
        <f t="shared" si="87"/>
        <v>0</v>
      </c>
      <c r="CR148" s="310">
        <f t="shared" si="87"/>
        <v>0</v>
      </c>
      <c r="CS148" s="310">
        <f t="shared" si="87"/>
        <v>0</v>
      </c>
      <c r="CT148" s="310">
        <f t="shared" si="87"/>
        <v>0</v>
      </c>
      <c r="CU148" s="310">
        <f t="shared" si="87"/>
        <v>0</v>
      </c>
      <c r="CV148" s="310">
        <f t="shared" si="87"/>
        <v>0</v>
      </c>
    </row>
    <row r="149" spans="1:100" ht="12.75" outlineLevel="2" x14ac:dyDescent="0.2">
      <c r="A149" s="236"/>
      <c r="B149" s="236"/>
      <c r="C149" s="237"/>
      <c r="D149" s="238"/>
      <c r="E149" s="310"/>
      <c r="F149" s="310"/>
      <c r="G149" s="310"/>
      <c r="H149" s="310"/>
      <c r="I149" s="310"/>
      <c r="J149" s="310"/>
      <c r="K149" s="310"/>
      <c r="L149" s="310"/>
      <c r="M149" s="310"/>
      <c r="N149" s="310"/>
      <c r="O149" s="310"/>
      <c r="P149" s="310"/>
      <c r="Q149" s="310"/>
      <c r="R149" s="310"/>
      <c r="S149" s="310"/>
      <c r="T149" s="310"/>
      <c r="U149" s="310"/>
      <c r="V149" s="310"/>
      <c r="W149" s="310"/>
      <c r="X149" s="310"/>
      <c r="Y149" s="310"/>
      <c r="Z149" s="310"/>
      <c r="AA149" s="310"/>
      <c r="AB149" s="310"/>
      <c r="AC149" s="310"/>
      <c r="AD149" s="310"/>
      <c r="AE149" s="310"/>
      <c r="AF149" s="310"/>
      <c r="AG149" s="310"/>
      <c r="AH149" s="310"/>
      <c r="AI149" s="310"/>
      <c r="AJ149" s="310"/>
      <c r="AK149" s="310"/>
      <c r="AL149" s="310"/>
      <c r="AM149" s="310"/>
      <c r="AN149" s="310"/>
      <c r="AO149" s="310"/>
      <c r="AP149" s="310"/>
      <c r="AQ149" s="310"/>
      <c r="AR149" s="310"/>
      <c r="AS149" s="310"/>
      <c r="AT149" s="310"/>
      <c r="AU149" s="310"/>
      <c r="AV149" s="310"/>
      <c r="AW149" s="310"/>
      <c r="AX149" s="310"/>
      <c r="AY149" s="310"/>
      <c r="AZ149" s="310"/>
      <c r="BA149" s="310"/>
      <c r="BB149" s="310"/>
      <c r="BC149" s="310"/>
      <c r="BD149" s="310"/>
      <c r="BE149" s="310"/>
      <c r="BF149" s="310"/>
      <c r="BG149" s="310"/>
      <c r="BH149" s="310"/>
      <c r="BI149" s="310"/>
      <c r="BJ149" s="310"/>
      <c r="BK149" s="310"/>
      <c r="BL149" s="310"/>
      <c r="BM149" s="310"/>
      <c r="BN149" s="310"/>
      <c r="BO149" s="310"/>
      <c r="BP149" s="310"/>
      <c r="BQ149" s="310"/>
      <c r="BR149" s="310"/>
      <c r="BS149" s="310"/>
      <c r="BT149" s="310"/>
      <c r="BU149" s="310"/>
      <c r="BV149" s="310"/>
      <c r="BW149" s="310"/>
      <c r="BX149" s="310"/>
      <c r="BY149" s="310"/>
      <c r="BZ149" s="310"/>
      <c r="CA149" s="310"/>
      <c r="CB149" s="310"/>
      <c r="CC149" s="310"/>
      <c r="CD149" s="310"/>
      <c r="CE149" s="310"/>
      <c r="CF149" s="310"/>
      <c r="CG149" s="310"/>
      <c r="CH149" s="310"/>
      <c r="CI149" s="310"/>
      <c r="CJ149" s="310"/>
      <c r="CK149" s="310"/>
      <c r="CL149" s="310"/>
      <c r="CM149" s="310"/>
      <c r="CN149" s="310"/>
      <c r="CO149" s="310"/>
      <c r="CP149" s="310"/>
      <c r="CQ149" s="310"/>
      <c r="CR149" s="310"/>
      <c r="CS149" s="310"/>
      <c r="CT149" s="310"/>
      <c r="CU149" s="310"/>
      <c r="CV149" s="310"/>
    </row>
    <row r="150" spans="1:100" ht="12.75" outlineLevel="2" x14ac:dyDescent="0.2">
      <c r="A150" s="236"/>
      <c r="B150" s="236"/>
      <c r="D150" s="237" t="s">
        <v>216</v>
      </c>
      <c r="E150" s="310"/>
      <c r="F150" s="310"/>
      <c r="G150" s="310"/>
      <c r="H150" s="310"/>
      <c r="I150" s="310"/>
      <c r="J150" s="310"/>
      <c r="K150" s="310"/>
      <c r="L150" s="310"/>
      <c r="M150" s="310"/>
      <c r="N150" s="310"/>
      <c r="O150" s="310"/>
      <c r="P150" s="310"/>
      <c r="Q150" s="310"/>
      <c r="R150" s="310"/>
      <c r="S150" s="310"/>
      <c r="T150" s="310"/>
      <c r="U150" s="310"/>
      <c r="V150" s="310"/>
      <c r="W150" s="310"/>
      <c r="X150" s="310"/>
      <c r="Y150" s="310"/>
      <c r="Z150" s="310"/>
      <c r="AA150" s="310"/>
      <c r="AB150" s="310"/>
      <c r="AC150" s="310"/>
      <c r="AD150" s="310"/>
      <c r="AE150" s="310"/>
      <c r="AF150" s="310"/>
      <c r="AG150" s="310"/>
      <c r="AH150" s="310"/>
      <c r="AI150" s="310"/>
      <c r="AJ150" s="310"/>
      <c r="AK150" s="310"/>
      <c r="AL150" s="310"/>
      <c r="AM150" s="310"/>
      <c r="AN150" s="310"/>
      <c r="AO150" s="310"/>
      <c r="AP150" s="310"/>
      <c r="AQ150" s="310"/>
      <c r="AR150" s="310"/>
      <c r="AS150" s="310"/>
      <c r="AT150" s="310"/>
      <c r="AU150" s="310"/>
      <c r="AV150" s="310"/>
      <c r="AW150" s="310"/>
      <c r="AX150" s="310"/>
      <c r="AY150" s="310"/>
      <c r="AZ150" s="310"/>
      <c r="BA150" s="310"/>
      <c r="BB150" s="310"/>
      <c r="BC150" s="310"/>
      <c r="BD150" s="310"/>
      <c r="BE150" s="310"/>
      <c r="BF150" s="310"/>
      <c r="BG150" s="310"/>
      <c r="BH150" s="310"/>
      <c r="BI150" s="310"/>
      <c r="BJ150" s="310"/>
      <c r="BK150" s="310"/>
      <c r="BL150" s="310"/>
      <c r="BM150" s="310"/>
      <c r="BN150" s="310"/>
      <c r="BO150" s="310"/>
      <c r="BP150" s="310"/>
      <c r="BQ150" s="310"/>
      <c r="BR150" s="310"/>
      <c r="BS150" s="310"/>
      <c r="BT150" s="310"/>
      <c r="BU150" s="310"/>
      <c r="BV150" s="310"/>
      <c r="BW150" s="310"/>
      <c r="BX150" s="310"/>
      <c r="BY150" s="310"/>
      <c r="BZ150" s="310"/>
      <c r="CA150" s="310"/>
      <c r="CB150" s="310"/>
      <c r="CC150" s="310"/>
      <c r="CD150" s="310"/>
      <c r="CE150" s="310"/>
      <c r="CF150" s="310"/>
      <c r="CG150" s="310"/>
      <c r="CH150" s="310"/>
      <c r="CI150" s="310"/>
      <c r="CJ150" s="310"/>
      <c r="CK150" s="310"/>
      <c r="CL150" s="310"/>
      <c r="CM150" s="310"/>
      <c r="CN150" s="310"/>
      <c r="CO150" s="310"/>
      <c r="CP150" s="310"/>
      <c r="CQ150" s="310"/>
      <c r="CR150" s="310"/>
      <c r="CS150" s="310"/>
      <c r="CT150" s="310"/>
      <c r="CU150" s="310"/>
      <c r="CV150" s="310"/>
    </row>
    <row r="151" spans="1:100" ht="12.75" outlineLevel="2" x14ac:dyDescent="0.2">
      <c r="A151" s="522"/>
      <c r="B151" s="522"/>
      <c r="C151" s="523"/>
      <c r="D151" s="524"/>
      <c r="E151" s="705" t="str">
        <f xml:space="preserve"> Time!E$155</f>
        <v>Senior debt repayment period start flag - T1</v>
      </c>
      <c r="F151" s="705">
        <f xml:space="preserve"> Time!F$155</f>
        <v>0</v>
      </c>
      <c r="G151" s="705" t="str">
        <f xml:space="preserve"> Time!G$155</f>
        <v>flag</v>
      </c>
      <c r="H151" s="705">
        <f xml:space="preserve"> Time!H$155</f>
        <v>1</v>
      </c>
      <c r="I151" s="705">
        <f xml:space="preserve"> Time!I$155</f>
        <v>0</v>
      </c>
      <c r="J151" s="705">
        <f xml:space="preserve"> Time!J$155</f>
        <v>0</v>
      </c>
      <c r="K151" s="705">
        <f xml:space="preserve"> Time!K$155</f>
        <v>0</v>
      </c>
      <c r="L151" s="705">
        <f xml:space="preserve"> Time!L$155</f>
        <v>0</v>
      </c>
      <c r="M151" s="705">
        <f xml:space="preserve"> Time!M$155</f>
        <v>0</v>
      </c>
      <c r="N151" s="705">
        <f xml:space="preserve"> Time!N$155</f>
        <v>0</v>
      </c>
      <c r="O151" s="705">
        <f xml:space="preserve"> Time!O$155</f>
        <v>1</v>
      </c>
      <c r="P151" s="705">
        <f xml:space="preserve"> Time!P$155</f>
        <v>0</v>
      </c>
      <c r="Q151" s="705">
        <f xml:space="preserve"> Time!Q$155</f>
        <v>0</v>
      </c>
      <c r="R151" s="705">
        <f xml:space="preserve"> Time!R$155</f>
        <v>0</v>
      </c>
      <c r="S151" s="705">
        <f xml:space="preserve"> Time!S$155</f>
        <v>0</v>
      </c>
      <c r="T151" s="705">
        <f xml:space="preserve"> Time!T$155</f>
        <v>0</v>
      </c>
      <c r="U151" s="705">
        <f xml:space="preserve"> Time!U$155</f>
        <v>0</v>
      </c>
      <c r="V151" s="705">
        <f xml:space="preserve"> Time!V$155</f>
        <v>0</v>
      </c>
      <c r="W151" s="705">
        <f xml:space="preserve"> Time!W$155</f>
        <v>0</v>
      </c>
      <c r="X151" s="705">
        <f xml:space="preserve"> Time!X$155</f>
        <v>0</v>
      </c>
      <c r="Y151" s="705">
        <f xml:space="preserve"> Time!Y$155</f>
        <v>0</v>
      </c>
      <c r="Z151" s="705">
        <f xml:space="preserve"> Time!Z$155</f>
        <v>0</v>
      </c>
      <c r="AA151" s="705">
        <f xml:space="preserve"> Time!AA$155</f>
        <v>0</v>
      </c>
      <c r="AB151" s="705">
        <f xml:space="preserve"> Time!AB$155</f>
        <v>0</v>
      </c>
      <c r="AC151" s="705">
        <f xml:space="preserve"> Time!AC$155</f>
        <v>0</v>
      </c>
      <c r="AD151" s="705">
        <f xml:space="preserve"> Time!AD$155</f>
        <v>0</v>
      </c>
      <c r="AE151" s="705">
        <f xml:space="preserve"> Time!AE$155</f>
        <v>0</v>
      </c>
      <c r="AF151" s="705">
        <f xml:space="preserve"> Time!AF$155</f>
        <v>0</v>
      </c>
      <c r="AG151" s="705">
        <f xml:space="preserve"> Time!AG$155</f>
        <v>0</v>
      </c>
      <c r="AH151" s="705">
        <f xml:space="preserve"> Time!AH$155</f>
        <v>0</v>
      </c>
      <c r="AI151" s="705">
        <f xml:space="preserve"> Time!AI$155</f>
        <v>0</v>
      </c>
      <c r="AJ151" s="705">
        <f xml:space="preserve"> Time!AJ$155</f>
        <v>0</v>
      </c>
      <c r="AK151" s="705">
        <f xml:space="preserve"> Time!AK$155</f>
        <v>0</v>
      </c>
      <c r="AL151" s="705">
        <f xml:space="preserve"> Time!AL$155</f>
        <v>0</v>
      </c>
      <c r="AM151" s="705">
        <f xml:space="preserve"> Time!AM$155</f>
        <v>0</v>
      </c>
      <c r="AN151" s="705">
        <f xml:space="preserve"> Time!AN$155</f>
        <v>0</v>
      </c>
      <c r="AO151" s="705">
        <f xml:space="preserve"> Time!AO$155</f>
        <v>0</v>
      </c>
      <c r="AP151" s="705">
        <f xml:space="preserve"> Time!AP$155</f>
        <v>0</v>
      </c>
      <c r="AQ151" s="705">
        <f xml:space="preserve"> Time!AQ$155</f>
        <v>0</v>
      </c>
      <c r="AR151" s="705">
        <f xml:space="preserve"> Time!AR$155</f>
        <v>0</v>
      </c>
      <c r="AS151" s="705">
        <f xml:space="preserve"> Time!AS$155</f>
        <v>0</v>
      </c>
      <c r="AT151" s="705">
        <f xml:space="preserve"> Time!AT$155</f>
        <v>0</v>
      </c>
      <c r="AU151" s="705">
        <f xml:space="preserve"> Time!AU$155</f>
        <v>0</v>
      </c>
      <c r="AV151" s="705">
        <f xml:space="preserve"> Time!AV$155</f>
        <v>0</v>
      </c>
      <c r="AW151" s="705">
        <f xml:space="preserve"> Time!AW$155</f>
        <v>0</v>
      </c>
      <c r="AX151" s="705">
        <f xml:space="preserve"> Time!AX$155</f>
        <v>0</v>
      </c>
      <c r="AY151" s="705">
        <f xml:space="preserve"> Time!AY$155</f>
        <v>0</v>
      </c>
      <c r="AZ151" s="705">
        <f xml:space="preserve"> Time!AZ$155</f>
        <v>0</v>
      </c>
      <c r="BA151" s="705">
        <f xml:space="preserve"> Time!BA$155</f>
        <v>0</v>
      </c>
      <c r="BB151" s="705">
        <f xml:space="preserve"> Time!BB$155</f>
        <v>0</v>
      </c>
      <c r="BC151" s="705">
        <f xml:space="preserve"> Time!BC$155</f>
        <v>0</v>
      </c>
      <c r="BD151" s="705">
        <f xml:space="preserve"> Time!BD$155</f>
        <v>0</v>
      </c>
      <c r="BE151" s="705">
        <f xml:space="preserve"> Time!BE$155</f>
        <v>0</v>
      </c>
      <c r="BF151" s="705">
        <f xml:space="preserve"> Time!BF$155</f>
        <v>0</v>
      </c>
      <c r="BG151" s="705">
        <f xml:space="preserve"> Time!BG$155</f>
        <v>0</v>
      </c>
      <c r="BH151" s="705">
        <f xml:space="preserve"> Time!BH$155</f>
        <v>0</v>
      </c>
      <c r="BI151" s="705">
        <f xml:space="preserve"> Time!BI$155</f>
        <v>0</v>
      </c>
      <c r="BJ151" s="705">
        <f xml:space="preserve"> Time!BJ$155</f>
        <v>0</v>
      </c>
      <c r="BK151" s="705">
        <f xml:space="preserve"> Time!BK$155</f>
        <v>0</v>
      </c>
      <c r="BL151" s="705">
        <f xml:space="preserve"> Time!BL$155</f>
        <v>0</v>
      </c>
      <c r="BM151" s="705">
        <f xml:space="preserve"> Time!BM$155</f>
        <v>0</v>
      </c>
      <c r="BN151" s="705">
        <f xml:space="preserve"> Time!BN$155</f>
        <v>0</v>
      </c>
      <c r="BO151" s="705">
        <f xml:space="preserve"> Time!BO$155</f>
        <v>0</v>
      </c>
      <c r="BP151" s="705">
        <f xml:space="preserve"> Time!BP$155</f>
        <v>0</v>
      </c>
      <c r="BQ151" s="705">
        <f xml:space="preserve"> Time!BQ$155</f>
        <v>0</v>
      </c>
      <c r="BR151" s="705">
        <f xml:space="preserve"> Time!BR$155</f>
        <v>0</v>
      </c>
      <c r="BS151" s="705">
        <f xml:space="preserve"> Time!BS$155</f>
        <v>0</v>
      </c>
      <c r="BT151" s="705">
        <f xml:space="preserve"> Time!BT$155</f>
        <v>0</v>
      </c>
      <c r="BU151" s="705">
        <f xml:space="preserve"> Time!BU$155</f>
        <v>0</v>
      </c>
      <c r="BV151" s="705">
        <f xml:space="preserve"> Time!BV$155</f>
        <v>0</v>
      </c>
      <c r="BW151" s="705">
        <f xml:space="preserve"> Time!BW$155</f>
        <v>0</v>
      </c>
      <c r="BX151" s="705">
        <f xml:space="preserve"> Time!BX$155</f>
        <v>0</v>
      </c>
      <c r="BY151" s="705">
        <f xml:space="preserve"> Time!BY$155</f>
        <v>0</v>
      </c>
      <c r="BZ151" s="705">
        <f xml:space="preserve"> Time!BZ$155</f>
        <v>0</v>
      </c>
      <c r="CA151" s="705">
        <f xml:space="preserve"> Time!CA$155</f>
        <v>0</v>
      </c>
      <c r="CB151" s="705">
        <f xml:space="preserve"> Time!CB$155</f>
        <v>0</v>
      </c>
      <c r="CC151" s="705">
        <f xml:space="preserve"> Time!CC$155</f>
        <v>0</v>
      </c>
      <c r="CD151" s="705">
        <f xml:space="preserve"> Time!CD$155</f>
        <v>0</v>
      </c>
      <c r="CE151" s="705">
        <f xml:space="preserve"> Time!CE$155</f>
        <v>0</v>
      </c>
      <c r="CF151" s="705">
        <f xml:space="preserve"> Time!CF$155</f>
        <v>0</v>
      </c>
      <c r="CG151" s="705">
        <f xml:space="preserve"> Time!CG$155</f>
        <v>0</v>
      </c>
      <c r="CH151" s="705">
        <f xml:space="preserve"> Time!CH$155</f>
        <v>0</v>
      </c>
      <c r="CI151" s="705">
        <f xml:space="preserve"> Time!CI$155</f>
        <v>0</v>
      </c>
      <c r="CJ151" s="705">
        <f xml:space="preserve"> Time!CJ$155</f>
        <v>0</v>
      </c>
      <c r="CK151" s="705">
        <f xml:space="preserve"> Time!CK$155</f>
        <v>0</v>
      </c>
      <c r="CL151" s="705">
        <f xml:space="preserve"> Time!CL$155</f>
        <v>0</v>
      </c>
      <c r="CM151" s="705">
        <f xml:space="preserve"> Time!CM$155</f>
        <v>0</v>
      </c>
      <c r="CN151" s="705">
        <f xml:space="preserve"> Time!CN$155</f>
        <v>0</v>
      </c>
      <c r="CO151" s="705">
        <f xml:space="preserve"> Time!CO$155</f>
        <v>0</v>
      </c>
      <c r="CP151" s="705">
        <f xml:space="preserve"> Time!CP$155</f>
        <v>0</v>
      </c>
      <c r="CQ151" s="705">
        <f xml:space="preserve"> Time!CQ$155</f>
        <v>0</v>
      </c>
      <c r="CR151" s="705">
        <f xml:space="preserve"> Time!CR$155</f>
        <v>0</v>
      </c>
      <c r="CS151" s="705">
        <f xml:space="preserve"> Time!CS$155</f>
        <v>0</v>
      </c>
      <c r="CT151" s="705">
        <f xml:space="preserve"> Time!CT$155</f>
        <v>0</v>
      </c>
      <c r="CU151" s="705">
        <f xml:space="preserve"> Time!CU$155</f>
        <v>0</v>
      </c>
      <c r="CV151" s="705">
        <f xml:space="preserve"> Time!CV$155</f>
        <v>0</v>
      </c>
    </row>
    <row r="152" spans="1:100" ht="12.75" outlineLevel="2" x14ac:dyDescent="0.2">
      <c r="A152" s="522"/>
      <c r="B152" s="522"/>
      <c r="C152" s="523"/>
      <c r="D152" s="524"/>
      <c r="E152" s="681" t="str">
        <f t="shared" ref="E152:AJ152" si="88" xml:space="preserve"> E$232</f>
        <v>Senior debt period interest rate - T1</v>
      </c>
      <c r="F152" s="681">
        <f t="shared" si="88"/>
        <v>0</v>
      </c>
      <c r="G152" s="681" t="str">
        <f t="shared" si="88"/>
        <v>%</v>
      </c>
      <c r="H152" s="681">
        <f t="shared" si="88"/>
        <v>0</v>
      </c>
      <c r="I152" s="681">
        <f t="shared" si="88"/>
        <v>0</v>
      </c>
      <c r="J152" s="681">
        <f t="shared" si="88"/>
        <v>8.5472222222222234E-3</v>
      </c>
      <c r="K152" s="681">
        <f t="shared" si="88"/>
        <v>8.6888888888888901E-3</v>
      </c>
      <c r="L152" s="681">
        <f t="shared" si="88"/>
        <v>8.5472222222222234E-3</v>
      </c>
      <c r="M152" s="681">
        <f t="shared" si="88"/>
        <v>8.6888888888888901E-3</v>
      </c>
      <c r="N152" s="681">
        <f t="shared" si="88"/>
        <v>8.5944444444444462E-3</v>
      </c>
      <c r="O152" s="681">
        <f t="shared" si="88"/>
        <v>2.1466666666666669E-2</v>
      </c>
      <c r="P152" s="681">
        <f t="shared" si="88"/>
        <v>2.1116666666666669E-2</v>
      </c>
      <c r="Q152" s="681">
        <f t="shared" si="88"/>
        <v>2.1466666666666669E-2</v>
      </c>
      <c r="R152" s="681">
        <f t="shared" si="88"/>
        <v>2.1116666666666669E-2</v>
      </c>
      <c r="S152" s="681">
        <f t="shared" si="88"/>
        <v>2.1466666666666669E-2</v>
      </c>
      <c r="T152" s="681">
        <f t="shared" si="88"/>
        <v>2.1116666666666669E-2</v>
      </c>
      <c r="U152" s="681">
        <f t="shared" si="88"/>
        <v>2.1466666666666669E-2</v>
      </c>
      <c r="V152" s="681">
        <f t="shared" si="88"/>
        <v>2.1233333333333337E-2</v>
      </c>
      <c r="W152" s="681">
        <f t="shared" si="88"/>
        <v>2.1466666666666669E-2</v>
      </c>
      <c r="X152" s="681">
        <f t="shared" si="88"/>
        <v>2.1116666666666669E-2</v>
      </c>
      <c r="Y152" s="681">
        <f t="shared" si="88"/>
        <v>2.2488888888888888E-2</v>
      </c>
      <c r="Z152" s="681">
        <f t="shared" si="88"/>
        <v>2.212222222222222E-2</v>
      </c>
      <c r="AA152" s="681">
        <f t="shared" si="88"/>
        <v>2.2488888888888888E-2</v>
      </c>
      <c r="AB152" s="681">
        <f t="shared" si="88"/>
        <v>2.212222222222222E-2</v>
      </c>
      <c r="AC152" s="681">
        <f t="shared" si="88"/>
        <v>2.2488888888888888E-2</v>
      </c>
      <c r="AD152" s="681">
        <f t="shared" si="88"/>
        <v>2.2244444444444442E-2</v>
      </c>
      <c r="AE152" s="681">
        <f t="shared" si="88"/>
        <v>2.2488888888888888E-2</v>
      </c>
      <c r="AF152" s="681">
        <f t="shared" si="88"/>
        <v>2.212222222222222E-2</v>
      </c>
      <c r="AG152" s="681">
        <f t="shared" si="88"/>
        <v>2.2488888888888888E-2</v>
      </c>
      <c r="AH152" s="681">
        <f t="shared" si="88"/>
        <v>2.212222222222222E-2</v>
      </c>
      <c r="AI152" s="681">
        <f t="shared" si="88"/>
        <v>2.3511111111111108E-2</v>
      </c>
      <c r="AJ152" s="681">
        <f t="shared" si="88"/>
        <v>2.3127777777777775E-2</v>
      </c>
      <c r="AK152" s="681">
        <f t="shared" ref="AK152:BP152" si="89" xml:space="preserve"> AK$232</f>
        <v>2.3511111111111108E-2</v>
      </c>
      <c r="AL152" s="681">
        <f t="shared" si="89"/>
        <v>2.3255555555555554E-2</v>
      </c>
      <c r="AM152" s="681">
        <f t="shared" si="89"/>
        <v>2.3511111111111108E-2</v>
      </c>
      <c r="AN152" s="681">
        <f t="shared" si="89"/>
        <v>2.3127777777777775E-2</v>
      </c>
      <c r="AO152" s="681">
        <f t="shared" si="89"/>
        <v>2.3511111111111108E-2</v>
      </c>
      <c r="AP152" s="681">
        <f t="shared" si="89"/>
        <v>2.3127777777777775E-2</v>
      </c>
      <c r="AQ152" s="681">
        <f t="shared" si="89"/>
        <v>2.3511111111111108E-2</v>
      </c>
      <c r="AR152" s="681">
        <f t="shared" si="89"/>
        <v>2.3127777777777775E-2</v>
      </c>
      <c r="AS152" s="681">
        <f t="shared" si="89"/>
        <v>2.3511111111111108E-2</v>
      </c>
      <c r="AT152" s="681">
        <f t="shared" si="89"/>
        <v>2.3255555555555554E-2</v>
      </c>
      <c r="AU152" s="681">
        <f t="shared" si="89"/>
        <v>2.3511111111111108E-2</v>
      </c>
      <c r="AV152" s="681">
        <f t="shared" si="89"/>
        <v>2.3127777777777775E-2</v>
      </c>
      <c r="AW152" s="681">
        <f t="shared" si="89"/>
        <v>8.6888888888888901E-3</v>
      </c>
      <c r="AX152" s="681">
        <f t="shared" si="89"/>
        <v>8.5472222222222234E-3</v>
      </c>
      <c r="AY152" s="681">
        <f t="shared" si="89"/>
        <v>8.6888888888888901E-3</v>
      </c>
      <c r="AZ152" s="681">
        <f t="shared" si="89"/>
        <v>8.5472222222222234E-3</v>
      </c>
      <c r="BA152" s="681">
        <f t="shared" si="89"/>
        <v>8.6888888888888901E-3</v>
      </c>
      <c r="BB152" s="681">
        <f t="shared" si="89"/>
        <v>8.5944444444444462E-3</v>
      </c>
      <c r="BC152" s="681">
        <f t="shared" si="89"/>
        <v>8.6888888888888901E-3</v>
      </c>
      <c r="BD152" s="681">
        <f t="shared" si="89"/>
        <v>8.5472222222222234E-3</v>
      </c>
      <c r="BE152" s="681">
        <f t="shared" si="89"/>
        <v>8.6888888888888901E-3</v>
      </c>
      <c r="BF152" s="681">
        <f t="shared" si="89"/>
        <v>8.5472222222222234E-3</v>
      </c>
      <c r="BG152" s="681">
        <f t="shared" si="89"/>
        <v>8.6888888888888901E-3</v>
      </c>
      <c r="BH152" s="681">
        <f t="shared" si="89"/>
        <v>8.5472222222222234E-3</v>
      </c>
      <c r="BI152" s="681">
        <f t="shared" si="89"/>
        <v>8.6888888888888901E-3</v>
      </c>
      <c r="BJ152" s="681">
        <f t="shared" si="89"/>
        <v>8.5944444444444462E-3</v>
      </c>
      <c r="BK152" s="681">
        <f t="shared" si="89"/>
        <v>8.6888888888888901E-3</v>
      </c>
      <c r="BL152" s="681">
        <f t="shared" si="89"/>
        <v>8.5472222222222234E-3</v>
      </c>
      <c r="BM152" s="681">
        <f t="shared" si="89"/>
        <v>8.6888888888888901E-3</v>
      </c>
      <c r="BN152" s="681">
        <f t="shared" si="89"/>
        <v>8.5472222222222234E-3</v>
      </c>
      <c r="BO152" s="681">
        <f t="shared" si="89"/>
        <v>8.6888888888888901E-3</v>
      </c>
      <c r="BP152" s="681">
        <f t="shared" si="89"/>
        <v>8.5472222222222234E-3</v>
      </c>
      <c r="BQ152" s="681">
        <f t="shared" ref="BQ152:CV152" si="90" xml:space="preserve"> BQ$232</f>
        <v>8.6888888888888901E-3</v>
      </c>
      <c r="BR152" s="681">
        <f t="shared" si="90"/>
        <v>8.5944444444444462E-3</v>
      </c>
      <c r="BS152" s="681">
        <f t="shared" si="90"/>
        <v>8.6888888888888901E-3</v>
      </c>
      <c r="BT152" s="681">
        <f t="shared" si="90"/>
        <v>8.5472222222222234E-3</v>
      </c>
      <c r="BU152" s="681">
        <f t="shared" si="90"/>
        <v>8.6888888888888901E-3</v>
      </c>
      <c r="BV152" s="681">
        <f t="shared" si="90"/>
        <v>8.5472222222222234E-3</v>
      </c>
      <c r="BW152" s="681">
        <f t="shared" si="90"/>
        <v>8.6888888888888901E-3</v>
      </c>
      <c r="BX152" s="681">
        <f t="shared" si="90"/>
        <v>8.5472222222222234E-3</v>
      </c>
      <c r="BY152" s="681">
        <f t="shared" si="90"/>
        <v>8.6888888888888901E-3</v>
      </c>
      <c r="BZ152" s="681">
        <f t="shared" si="90"/>
        <v>8.5944444444444462E-3</v>
      </c>
      <c r="CA152" s="681">
        <f t="shared" si="90"/>
        <v>8.6888888888888901E-3</v>
      </c>
      <c r="CB152" s="681">
        <f t="shared" si="90"/>
        <v>8.5472222222222234E-3</v>
      </c>
      <c r="CC152" s="681">
        <f t="shared" si="90"/>
        <v>8.6888888888888901E-3</v>
      </c>
      <c r="CD152" s="681">
        <f t="shared" si="90"/>
        <v>8.5472222222222234E-3</v>
      </c>
      <c r="CE152" s="681">
        <f t="shared" si="90"/>
        <v>8.6888888888888901E-3</v>
      </c>
      <c r="CF152" s="681">
        <f t="shared" si="90"/>
        <v>8.5472222222222234E-3</v>
      </c>
      <c r="CG152" s="681">
        <f t="shared" si="90"/>
        <v>8.6888888888888901E-3</v>
      </c>
      <c r="CH152" s="681">
        <f t="shared" si="90"/>
        <v>8.5944444444444462E-3</v>
      </c>
      <c r="CI152" s="681">
        <f t="shared" si="90"/>
        <v>8.6888888888888901E-3</v>
      </c>
      <c r="CJ152" s="681">
        <f t="shared" si="90"/>
        <v>8.5472222222222234E-3</v>
      </c>
      <c r="CK152" s="681">
        <f t="shared" si="90"/>
        <v>8.6888888888888901E-3</v>
      </c>
      <c r="CL152" s="681">
        <f t="shared" si="90"/>
        <v>8.5472222222222234E-3</v>
      </c>
      <c r="CM152" s="681">
        <f t="shared" si="90"/>
        <v>8.6888888888888901E-3</v>
      </c>
      <c r="CN152" s="681">
        <f t="shared" si="90"/>
        <v>8.5472222222222234E-3</v>
      </c>
      <c r="CO152" s="681">
        <f t="shared" si="90"/>
        <v>8.6888888888888901E-3</v>
      </c>
      <c r="CP152" s="681">
        <f t="shared" si="90"/>
        <v>8.5944444444444462E-3</v>
      </c>
      <c r="CQ152" s="681">
        <f t="shared" si="90"/>
        <v>8.6888888888888901E-3</v>
      </c>
      <c r="CR152" s="681">
        <f t="shared" si="90"/>
        <v>8.5472222222222234E-3</v>
      </c>
      <c r="CS152" s="681">
        <f t="shared" si="90"/>
        <v>8.6888888888888901E-3</v>
      </c>
      <c r="CT152" s="681">
        <f t="shared" si="90"/>
        <v>8.5472222222222234E-3</v>
      </c>
      <c r="CU152" s="681">
        <f t="shared" si="90"/>
        <v>8.6888888888888901E-3</v>
      </c>
      <c r="CV152" s="681">
        <f t="shared" si="90"/>
        <v>8.5472222222222234E-3</v>
      </c>
    </row>
    <row r="153" spans="1:100" ht="12.75" outlineLevel="2" x14ac:dyDescent="0.2">
      <c r="A153" s="522"/>
      <c r="B153" s="522"/>
      <c r="C153" s="523"/>
      <c r="D153" s="524"/>
      <c r="E153" s="525" t="s">
        <v>1004</v>
      </c>
      <c r="F153" s="525"/>
      <c r="G153" s="525" t="s">
        <v>187</v>
      </c>
      <c r="H153" s="525"/>
      <c r="I153" s="526"/>
      <c r="J153" s="82">
        <f t="shared" ref="J153:BU153" si="91" xml:space="preserve"> IF( J151 = 1, 1, I153 / (1 + J152))</f>
        <v>0</v>
      </c>
      <c r="K153" s="82">
        <f t="shared" si="91"/>
        <v>0</v>
      </c>
      <c r="L153" s="82">
        <f t="shared" si="91"/>
        <v>0</v>
      </c>
      <c r="M153" s="82">
        <f t="shared" si="91"/>
        <v>0</v>
      </c>
      <c r="N153" s="82">
        <f t="shared" si="91"/>
        <v>0</v>
      </c>
      <c r="O153" s="82">
        <f t="shared" si="91"/>
        <v>1</v>
      </c>
      <c r="P153" s="82">
        <f t="shared" si="91"/>
        <v>0.97932002546232066</v>
      </c>
      <c r="Q153" s="82">
        <f t="shared" si="91"/>
        <v>0.95873909293400394</v>
      </c>
      <c r="R153" s="82">
        <f t="shared" si="91"/>
        <v>0.93891239290385098</v>
      </c>
      <c r="S153" s="82">
        <f t="shared" si="91"/>
        <v>0.91918064831991675</v>
      </c>
      <c r="T153" s="82">
        <f t="shared" si="91"/>
        <v>0.90017201591713325</v>
      </c>
      <c r="U153" s="82">
        <f t="shared" si="91"/>
        <v>0.88125442101272666</v>
      </c>
      <c r="V153" s="82">
        <f t="shared" si="91"/>
        <v>0.86293150864581381</v>
      </c>
      <c r="W153" s="82">
        <f t="shared" si="91"/>
        <v>0.84479654285910499</v>
      </c>
      <c r="X153" s="82">
        <f t="shared" si="91"/>
        <v>0.82732617186325919</v>
      </c>
      <c r="Y153" s="82">
        <f t="shared" si="91"/>
        <v>0.80912974297675966</v>
      </c>
      <c r="Z153" s="82">
        <f t="shared" si="91"/>
        <v>0.79161740678879866</v>
      </c>
      <c r="AA153" s="82">
        <f t="shared" si="91"/>
        <v>0.77420636585012481</v>
      </c>
      <c r="AB153" s="82">
        <f t="shared" si="91"/>
        <v>0.7574498910383759</v>
      </c>
      <c r="AC153" s="82">
        <f t="shared" si="91"/>
        <v>0.74079033940552286</v>
      </c>
      <c r="AD153" s="82">
        <f t="shared" si="91"/>
        <v>0.72467044788697044</v>
      </c>
      <c r="AE153" s="82">
        <f t="shared" si="91"/>
        <v>0.70873185592701193</v>
      </c>
      <c r="AF153" s="82">
        <f t="shared" si="91"/>
        <v>0.69339247354014066</v>
      </c>
      <c r="AG153" s="82">
        <f t="shared" si="91"/>
        <v>0.67814181755425396</v>
      </c>
      <c r="AH153" s="82">
        <f t="shared" si="91"/>
        <v>0.66346450826583969</v>
      </c>
      <c r="AI153" s="82">
        <f t="shared" si="91"/>
        <v>0.64822404081729101</v>
      </c>
      <c r="AJ153" s="82">
        <f t="shared" si="91"/>
        <v>0.63357095261867136</v>
      </c>
      <c r="AK153" s="82">
        <f t="shared" si="91"/>
        <v>0.61901717112858168</v>
      </c>
      <c r="AL153" s="82">
        <f t="shared" si="91"/>
        <v>0.60494875182231389</v>
      </c>
      <c r="AM153" s="82">
        <f t="shared" si="91"/>
        <v>0.59105245195197631</v>
      </c>
      <c r="AN153" s="82">
        <f t="shared" si="91"/>
        <v>0.57769172608697583</v>
      </c>
      <c r="AO153" s="82">
        <f t="shared" si="91"/>
        <v>0.56442154835020875</v>
      </c>
      <c r="AP153" s="82">
        <f t="shared" si="91"/>
        <v>0.55166281339377377</v>
      </c>
      <c r="AQ153" s="82">
        <f t="shared" si="91"/>
        <v>0.53899054676103653</v>
      </c>
      <c r="AR153" s="82">
        <f t="shared" si="91"/>
        <v>0.52680667895824118</v>
      </c>
      <c r="AS153" s="82">
        <f t="shared" si="91"/>
        <v>0.51470538349734807</v>
      </c>
      <c r="AT153" s="82">
        <f t="shared" si="91"/>
        <v>0.50300766089454496</v>
      </c>
      <c r="AU153" s="82">
        <f t="shared" si="91"/>
        <v>0.49145305354671337</v>
      </c>
      <c r="AV153" s="82">
        <f t="shared" si="91"/>
        <v>0.48034376958677039</v>
      </c>
      <c r="AW153" s="82">
        <f t="shared" si="91"/>
        <v>0.47620606797393022</v>
      </c>
      <c r="AX153" s="82">
        <f t="shared" si="91"/>
        <v>0.47217032329399788</v>
      </c>
      <c r="AY153" s="82">
        <f t="shared" si="91"/>
        <v>0.46810302809433374</v>
      </c>
      <c r="AZ153" s="82">
        <f t="shared" si="91"/>
        <v>0.46413595494608623</v>
      </c>
      <c r="BA153" s="82">
        <f t="shared" si="91"/>
        <v>0.46013786813627983</v>
      </c>
      <c r="BB153" s="82">
        <f t="shared" si="91"/>
        <v>0.45621693701647714</v>
      </c>
      <c r="BC153" s="82">
        <f t="shared" si="91"/>
        <v>0.45228706496313081</v>
      </c>
      <c r="BD153" s="82">
        <f t="shared" si="91"/>
        <v>0.44845402872318291</v>
      </c>
      <c r="BE153" s="82">
        <f t="shared" si="91"/>
        <v>0.44459102669126543</v>
      </c>
      <c r="BF153" s="82">
        <f t="shared" si="91"/>
        <v>0.44082321273133673</v>
      </c>
      <c r="BG153" s="82">
        <f t="shared" si="91"/>
        <v>0.43702594287215862</v>
      </c>
      <c r="BH153" s="82">
        <f t="shared" si="91"/>
        <v>0.4333222413812417</v>
      </c>
      <c r="BI153" s="82">
        <f t="shared" si="91"/>
        <v>0.42958958520754942</v>
      </c>
      <c r="BJ153" s="82">
        <f t="shared" si="91"/>
        <v>0.4259289624028979</v>
      </c>
      <c r="BK153" s="82">
        <f t="shared" si="91"/>
        <v>0.42225999224803162</v>
      </c>
      <c r="BL153" s="82">
        <f t="shared" si="91"/>
        <v>0.41868142903376249</v>
      </c>
      <c r="BM153" s="82">
        <f t="shared" si="91"/>
        <v>0.41507488943886034</v>
      </c>
      <c r="BN153" s="82">
        <f t="shared" si="91"/>
        <v>0.41155721843573051</v>
      </c>
      <c r="BO153" s="82">
        <f t="shared" si="91"/>
        <v>0.40801204709320948</v>
      </c>
      <c r="BP153" s="82">
        <f t="shared" si="91"/>
        <v>0.40455423216991276</v>
      </c>
      <c r="BQ153" s="82">
        <f t="shared" si="91"/>
        <v>0.40106938484823146</v>
      </c>
      <c r="BR153" s="82">
        <f t="shared" si="91"/>
        <v>0.3976517886425095</v>
      </c>
      <c r="BS153" s="82">
        <f t="shared" si="91"/>
        <v>0.394226399262253</v>
      </c>
      <c r="BT153" s="82">
        <f t="shared" si="91"/>
        <v>0.39088541475888333</v>
      </c>
      <c r="BU153" s="82">
        <f t="shared" si="91"/>
        <v>0.38751831121036656</v>
      </c>
      <c r="BV153" s="82">
        <f t="shared" ref="BV153:CV153" si="92" xml:space="preserve"> IF( BV151 = 1, 1, BU153 / (1 + BV152))</f>
        <v>0.38423417631998708</v>
      </c>
      <c r="BW153" s="82">
        <f t="shared" si="92"/>
        <v>0.3809243668216038</v>
      </c>
      <c r="BX153" s="82">
        <f t="shared" si="92"/>
        <v>0.37769611420105753</v>
      </c>
      <c r="BY153" s="82">
        <f t="shared" si="92"/>
        <v>0.3744426238471853</v>
      </c>
      <c r="BZ153" s="82">
        <f t="shared" si="92"/>
        <v>0.37125191984716555</v>
      </c>
      <c r="CA153" s="82">
        <f t="shared" si="92"/>
        <v>0.3680539400568934</v>
      </c>
      <c r="CB153" s="82">
        <f t="shared" si="92"/>
        <v>0.3649347615532838</v>
      </c>
      <c r="CC153" s="82">
        <f t="shared" si="92"/>
        <v>0.36179119803260051</v>
      </c>
      <c r="CD153" s="82">
        <f t="shared" si="92"/>
        <v>0.35872509492954985</v>
      </c>
      <c r="CE153" s="82">
        <f t="shared" si="92"/>
        <v>0.35563502174064776</v>
      </c>
      <c r="CF153" s="82">
        <f t="shared" si="92"/>
        <v>0.35262109091634336</v>
      </c>
      <c r="CG153" s="82">
        <f t="shared" si="92"/>
        <v>0.34958359787701199</v>
      </c>
      <c r="CH153" s="82">
        <f t="shared" si="92"/>
        <v>0.34660472284236127</v>
      </c>
      <c r="CI153" s="82">
        <f t="shared" si="92"/>
        <v>0.34361905505290158</v>
      </c>
      <c r="CJ153" s="82">
        <f t="shared" si="92"/>
        <v>0.34070695697894543</v>
      </c>
      <c r="CK153" s="82">
        <f t="shared" si="92"/>
        <v>0.33777209279488318</v>
      </c>
      <c r="CL153" s="82">
        <f t="shared" si="92"/>
        <v>0.33490954647680227</v>
      </c>
      <c r="CM153" s="82">
        <f t="shared" si="92"/>
        <v>0.33202462143279726</v>
      </c>
      <c r="CN153" s="82">
        <f t="shared" si="92"/>
        <v>0.32921078370650581</v>
      </c>
      <c r="CO153" s="82">
        <f t="shared" si="92"/>
        <v>0.32637494804681016</v>
      </c>
      <c r="CP153" s="82">
        <f t="shared" si="92"/>
        <v>0.32359383877687781</v>
      </c>
      <c r="CQ153" s="82">
        <f t="shared" si="92"/>
        <v>0.32080638771914038</v>
      </c>
      <c r="CR153" s="82">
        <f t="shared" si="92"/>
        <v>0.31808762212668534</v>
      </c>
      <c r="CS153" s="82">
        <f t="shared" si="92"/>
        <v>0.31534760185280869</v>
      </c>
      <c r="CT153" s="82">
        <f t="shared" si="92"/>
        <v>0.31267509830424711</v>
      </c>
      <c r="CU153" s="82">
        <f t="shared" si="92"/>
        <v>0.30998170174023748</v>
      </c>
      <c r="CV153" s="82">
        <f t="shared" si="92"/>
        <v>0.30735467304865216</v>
      </c>
    </row>
    <row r="154" spans="1:100" ht="12.75" outlineLevel="2" x14ac:dyDescent="0.2">
      <c r="A154" s="522"/>
      <c r="B154" s="522"/>
      <c r="C154" s="523"/>
      <c r="D154" s="524"/>
      <c r="E154" s="525"/>
      <c r="F154" s="525"/>
      <c r="G154" s="525"/>
      <c r="H154" s="525"/>
      <c r="I154" s="526"/>
      <c r="J154" s="525"/>
      <c r="K154" s="525"/>
      <c r="L154" s="525"/>
      <c r="M154" s="525"/>
      <c r="N154" s="525"/>
      <c r="O154" s="525"/>
      <c r="P154" s="525"/>
      <c r="Q154" s="525"/>
      <c r="R154" s="525"/>
      <c r="S154" s="525"/>
      <c r="T154" s="525"/>
      <c r="U154" s="525"/>
      <c r="V154" s="525"/>
      <c r="W154" s="525"/>
      <c r="X154" s="525"/>
      <c r="Y154" s="525"/>
      <c r="Z154" s="525"/>
      <c r="AA154" s="525"/>
      <c r="AB154" s="525"/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</row>
    <row r="155" spans="1:100" ht="12.75" outlineLevel="2" x14ac:dyDescent="0.2">
      <c r="E155" s="189" t="str">
        <f xml:space="preserve"> Time!E$163</f>
        <v>Senior debt repayment period flag - T1</v>
      </c>
      <c r="F155" s="189">
        <f xml:space="preserve"> Time!F$163</f>
        <v>0</v>
      </c>
      <c r="G155" s="189" t="str">
        <f xml:space="preserve"> Time!G$163</f>
        <v>flag</v>
      </c>
      <c r="H155" s="189">
        <f xml:space="preserve"> Time!H$163</f>
        <v>34</v>
      </c>
      <c r="I155" s="189">
        <f xml:space="preserve"> Time!I$163</f>
        <v>0</v>
      </c>
      <c r="J155" s="189">
        <f xml:space="preserve"> Time!J$163</f>
        <v>0</v>
      </c>
      <c r="K155" s="189">
        <f xml:space="preserve"> Time!K$163</f>
        <v>0</v>
      </c>
      <c r="L155" s="189">
        <f xml:space="preserve"> Time!L$163</f>
        <v>0</v>
      </c>
      <c r="M155" s="189">
        <f xml:space="preserve"> Time!M$163</f>
        <v>0</v>
      </c>
      <c r="N155" s="189">
        <f xml:space="preserve"> Time!N$163</f>
        <v>0</v>
      </c>
      <c r="O155" s="189">
        <f xml:space="preserve"> Time!O$163</f>
        <v>1</v>
      </c>
      <c r="P155" s="189">
        <f xml:space="preserve"> Time!P$163</f>
        <v>1</v>
      </c>
      <c r="Q155" s="189">
        <f xml:space="preserve"> Time!Q$163</f>
        <v>1</v>
      </c>
      <c r="R155" s="189">
        <f xml:space="preserve"> Time!R$163</f>
        <v>1</v>
      </c>
      <c r="S155" s="189">
        <f xml:space="preserve"> Time!S$163</f>
        <v>1</v>
      </c>
      <c r="T155" s="189">
        <f xml:space="preserve"> Time!T$163</f>
        <v>1</v>
      </c>
      <c r="U155" s="189">
        <f xml:space="preserve"> Time!U$163</f>
        <v>1</v>
      </c>
      <c r="V155" s="189">
        <f xml:space="preserve"> Time!V$163</f>
        <v>1</v>
      </c>
      <c r="W155" s="189">
        <f xml:space="preserve"> Time!W$163</f>
        <v>1</v>
      </c>
      <c r="X155" s="189">
        <f xml:space="preserve"> Time!X$163</f>
        <v>1</v>
      </c>
      <c r="Y155" s="189">
        <f xml:space="preserve"> Time!Y$163</f>
        <v>1</v>
      </c>
      <c r="Z155" s="189">
        <f xml:space="preserve"> Time!Z$163</f>
        <v>1</v>
      </c>
      <c r="AA155" s="189">
        <f xml:space="preserve"> Time!AA$163</f>
        <v>1</v>
      </c>
      <c r="AB155" s="189">
        <f xml:space="preserve"> Time!AB$163</f>
        <v>1</v>
      </c>
      <c r="AC155" s="189">
        <f xml:space="preserve"> Time!AC$163</f>
        <v>1</v>
      </c>
      <c r="AD155" s="189">
        <f xml:space="preserve"> Time!AD$163</f>
        <v>1</v>
      </c>
      <c r="AE155" s="189">
        <f xml:space="preserve"> Time!AE$163</f>
        <v>1</v>
      </c>
      <c r="AF155" s="189">
        <f xml:space="preserve"> Time!AF$163</f>
        <v>1</v>
      </c>
      <c r="AG155" s="189">
        <f xml:space="preserve"> Time!AG$163</f>
        <v>1</v>
      </c>
      <c r="AH155" s="189">
        <f xml:space="preserve"> Time!AH$163</f>
        <v>1</v>
      </c>
      <c r="AI155" s="189">
        <f xml:space="preserve"> Time!AI$163</f>
        <v>1</v>
      </c>
      <c r="AJ155" s="189">
        <f xml:space="preserve"> Time!AJ$163</f>
        <v>1</v>
      </c>
      <c r="AK155" s="189">
        <f xml:space="preserve"> Time!AK$163</f>
        <v>1</v>
      </c>
      <c r="AL155" s="189">
        <f xml:space="preserve"> Time!AL$163</f>
        <v>1</v>
      </c>
      <c r="AM155" s="189">
        <f xml:space="preserve"> Time!AM$163</f>
        <v>1</v>
      </c>
      <c r="AN155" s="189">
        <f xml:space="preserve"> Time!AN$163</f>
        <v>1</v>
      </c>
      <c r="AO155" s="189">
        <f xml:space="preserve"> Time!AO$163</f>
        <v>1</v>
      </c>
      <c r="AP155" s="189">
        <f xml:space="preserve"> Time!AP$163</f>
        <v>1</v>
      </c>
      <c r="AQ155" s="189">
        <f xml:space="preserve"> Time!AQ$163</f>
        <v>1</v>
      </c>
      <c r="AR155" s="189">
        <f xml:space="preserve"> Time!AR$163</f>
        <v>1</v>
      </c>
      <c r="AS155" s="189">
        <f xml:space="preserve"> Time!AS$163</f>
        <v>1</v>
      </c>
      <c r="AT155" s="189">
        <f xml:space="preserve"> Time!AT$163</f>
        <v>1</v>
      </c>
      <c r="AU155" s="189">
        <f xml:space="preserve"> Time!AU$163</f>
        <v>1</v>
      </c>
      <c r="AV155" s="189">
        <f xml:space="preserve"> Time!AV$163</f>
        <v>1</v>
      </c>
      <c r="AW155" s="189">
        <f xml:space="preserve"> Time!AW$163</f>
        <v>0</v>
      </c>
      <c r="AX155" s="189">
        <f xml:space="preserve"> Time!AX$163</f>
        <v>0</v>
      </c>
      <c r="AY155" s="189">
        <f xml:space="preserve"> Time!AY$163</f>
        <v>0</v>
      </c>
      <c r="AZ155" s="189">
        <f xml:space="preserve"> Time!AZ$163</f>
        <v>0</v>
      </c>
      <c r="BA155" s="189">
        <f xml:space="preserve"> Time!BA$163</f>
        <v>0</v>
      </c>
      <c r="BB155" s="189">
        <f xml:space="preserve"> Time!BB$163</f>
        <v>0</v>
      </c>
      <c r="BC155" s="189">
        <f xml:space="preserve"> Time!BC$163</f>
        <v>0</v>
      </c>
      <c r="BD155" s="189">
        <f xml:space="preserve"> Time!BD$163</f>
        <v>0</v>
      </c>
      <c r="BE155" s="189">
        <f xml:space="preserve"> Time!BE$163</f>
        <v>0</v>
      </c>
      <c r="BF155" s="189">
        <f xml:space="preserve"> Time!BF$163</f>
        <v>0</v>
      </c>
      <c r="BG155" s="189">
        <f xml:space="preserve"> Time!BG$163</f>
        <v>0</v>
      </c>
      <c r="BH155" s="189">
        <f xml:space="preserve"> Time!BH$163</f>
        <v>0</v>
      </c>
      <c r="BI155" s="189">
        <f xml:space="preserve"> Time!BI$163</f>
        <v>0</v>
      </c>
      <c r="BJ155" s="189">
        <f xml:space="preserve"> Time!BJ$163</f>
        <v>0</v>
      </c>
      <c r="BK155" s="189">
        <f xml:space="preserve"> Time!BK$163</f>
        <v>0</v>
      </c>
      <c r="BL155" s="189">
        <f xml:space="preserve"> Time!BL$163</f>
        <v>0</v>
      </c>
      <c r="BM155" s="189">
        <f xml:space="preserve"> Time!BM$163</f>
        <v>0</v>
      </c>
      <c r="BN155" s="189">
        <f xml:space="preserve"> Time!BN$163</f>
        <v>0</v>
      </c>
      <c r="BO155" s="189">
        <f xml:space="preserve"> Time!BO$163</f>
        <v>0</v>
      </c>
      <c r="BP155" s="189">
        <f xml:space="preserve"> Time!BP$163</f>
        <v>0</v>
      </c>
      <c r="BQ155" s="189">
        <f xml:space="preserve"> Time!BQ$163</f>
        <v>0</v>
      </c>
      <c r="BR155" s="189">
        <f xml:space="preserve"> Time!BR$163</f>
        <v>0</v>
      </c>
      <c r="BS155" s="189">
        <f xml:space="preserve"> Time!BS$163</f>
        <v>0</v>
      </c>
      <c r="BT155" s="189">
        <f xml:space="preserve"> Time!BT$163</f>
        <v>0</v>
      </c>
      <c r="BU155" s="189">
        <f xml:space="preserve"> Time!BU$163</f>
        <v>0</v>
      </c>
      <c r="BV155" s="189">
        <f xml:space="preserve"> Time!BV$163</f>
        <v>0</v>
      </c>
      <c r="BW155" s="189">
        <f xml:space="preserve"> Time!BW$163</f>
        <v>0</v>
      </c>
      <c r="BX155" s="189">
        <f xml:space="preserve"> Time!BX$163</f>
        <v>0</v>
      </c>
      <c r="BY155" s="189">
        <f xml:space="preserve"> Time!BY$163</f>
        <v>0</v>
      </c>
      <c r="BZ155" s="189">
        <f xml:space="preserve"> Time!BZ$163</f>
        <v>0</v>
      </c>
      <c r="CA155" s="189">
        <f xml:space="preserve"> Time!CA$163</f>
        <v>0</v>
      </c>
      <c r="CB155" s="189">
        <f xml:space="preserve"> Time!CB$163</f>
        <v>0</v>
      </c>
      <c r="CC155" s="189">
        <f xml:space="preserve"> Time!CC$163</f>
        <v>0</v>
      </c>
      <c r="CD155" s="189">
        <f xml:space="preserve"> Time!CD$163</f>
        <v>0</v>
      </c>
      <c r="CE155" s="189">
        <f xml:space="preserve"> Time!CE$163</f>
        <v>0</v>
      </c>
      <c r="CF155" s="189">
        <f xml:space="preserve"> Time!CF$163</f>
        <v>0</v>
      </c>
      <c r="CG155" s="189">
        <f xml:space="preserve"> Time!CG$163</f>
        <v>0</v>
      </c>
      <c r="CH155" s="189">
        <f xml:space="preserve"> Time!CH$163</f>
        <v>0</v>
      </c>
      <c r="CI155" s="189">
        <f xml:space="preserve"> Time!CI$163</f>
        <v>0</v>
      </c>
      <c r="CJ155" s="189">
        <f xml:space="preserve"> Time!CJ$163</f>
        <v>0</v>
      </c>
      <c r="CK155" s="189">
        <f xml:space="preserve"> Time!CK$163</f>
        <v>0</v>
      </c>
      <c r="CL155" s="189">
        <f xml:space="preserve"> Time!CL$163</f>
        <v>0</v>
      </c>
      <c r="CM155" s="189">
        <f xml:space="preserve"> Time!CM$163</f>
        <v>0</v>
      </c>
      <c r="CN155" s="189">
        <f xml:space="preserve"> Time!CN$163</f>
        <v>0</v>
      </c>
      <c r="CO155" s="189">
        <f xml:space="preserve"> Time!CO$163</f>
        <v>0</v>
      </c>
      <c r="CP155" s="189">
        <f xml:space="preserve"> Time!CP$163</f>
        <v>0</v>
      </c>
      <c r="CQ155" s="189">
        <f xml:space="preserve"> Time!CQ$163</f>
        <v>0</v>
      </c>
      <c r="CR155" s="189">
        <f xml:space="preserve"> Time!CR$163</f>
        <v>0</v>
      </c>
      <c r="CS155" s="189">
        <f xml:space="preserve"> Time!CS$163</f>
        <v>0</v>
      </c>
      <c r="CT155" s="189">
        <f xml:space="preserve"> Time!CT$163</f>
        <v>0</v>
      </c>
      <c r="CU155" s="189">
        <f xml:space="preserve"> Time!CU$163</f>
        <v>0</v>
      </c>
      <c r="CV155" s="189">
        <f xml:space="preserve"> Time!CV$163</f>
        <v>0</v>
      </c>
    </row>
    <row r="156" spans="1:100" s="280" customFormat="1" ht="12.75" outlineLevel="2" x14ac:dyDescent="0.2">
      <c r="A156" s="278"/>
      <c r="B156" s="278"/>
      <c r="C156" s="410"/>
      <c r="D156" s="279"/>
      <c r="E156" s="82" t="str">
        <f t="shared" ref="E156:AJ156" si="93" xml:space="preserve"> E$153</f>
        <v>Senior debt discount factor - T1</v>
      </c>
      <c r="F156" s="82">
        <f t="shared" si="93"/>
        <v>0</v>
      </c>
      <c r="G156" s="82" t="str">
        <f t="shared" si="93"/>
        <v>factor</v>
      </c>
      <c r="H156" s="82">
        <f t="shared" si="93"/>
        <v>0</v>
      </c>
      <c r="I156" s="82">
        <f t="shared" si="93"/>
        <v>0</v>
      </c>
      <c r="J156" s="82">
        <f t="shared" si="93"/>
        <v>0</v>
      </c>
      <c r="K156" s="82">
        <f t="shared" si="93"/>
        <v>0</v>
      </c>
      <c r="L156" s="82">
        <f t="shared" si="93"/>
        <v>0</v>
      </c>
      <c r="M156" s="82">
        <f t="shared" si="93"/>
        <v>0</v>
      </c>
      <c r="N156" s="82">
        <f t="shared" si="93"/>
        <v>0</v>
      </c>
      <c r="O156" s="82">
        <f t="shared" si="93"/>
        <v>1</v>
      </c>
      <c r="P156" s="82">
        <f t="shared" si="93"/>
        <v>0.97932002546232066</v>
      </c>
      <c r="Q156" s="82">
        <f t="shared" si="93"/>
        <v>0.95873909293400394</v>
      </c>
      <c r="R156" s="82">
        <f t="shared" si="93"/>
        <v>0.93891239290385098</v>
      </c>
      <c r="S156" s="82">
        <f t="shared" si="93"/>
        <v>0.91918064831991675</v>
      </c>
      <c r="T156" s="82">
        <f t="shared" si="93"/>
        <v>0.90017201591713325</v>
      </c>
      <c r="U156" s="82">
        <f t="shared" si="93"/>
        <v>0.88125442101272666</v>
      </c>
      <c r="V156" s="82">
        <f t="shared" si="93"/>
        <v>0.86293150864581381</v>
      </c>
      <c r="W156" s="82">
        <f t="shared" si="93"/>
        <v>0.84479654285910499</v>
      </c>
      <c r="X156" s="82">
        <f t="shared" si="93"/>
        <v>0.82732617186325919</v>
      </c>
      <c r="Y156" s="82">
        <f t="shared" si="93"/>
        <v>0.80912974297675966</v>
      </c>
      <c r="Z156" s="82">
        <f t="shared" si="93"/>
        <v>0.79161740678879866</v>
      </c>
      <c r="AA156" s="82">
        <f t="shared" si="93"/>
        <v>0.77420636585012481</v>
      </c>
      <c r="AB156" s="82">
        <f t="shared" si="93"/>
        <v>0.7574498910383759</v>
      </c>
      <c r="AC156" s="82">
        <f t="shared" si="93"/>
        <v>0.74079033940552286</v>
      </c>
      <c r="AD156" s="82">
        <f t="shared" si="93"/>
        <v>0.72467044788697044</v>
      </c>
      <c r="AE156" s="82">
        <f t="shared" si="93"/>
        <v>0.70873185592701193</v>
      </c>
      <c r="AF156" s="82">
        <f t="shared" si="93"/>
        <v>0.69339247354014066</v>
      </c>
      <c r="AG156" s="82">
        <f t="shared" si="93"/>
        <v>0.67814181755425396</v>
      </c>
      <c r="AH156" s="82">
        <f t="shared" si="93"/>
        <v>0.66346450826583969</v>
      </c>
      <c r="AI156" s="82">
        <f t="shared" si="93"/>
        <v>0.64822404081729101</v>
      </c>
      <c r="AJ156" s="82">
        <f t="shared" si="93"/>
        <v>0.63357095261867136</v>
      </c>
      <c r="AK156" s="82">
        <f t="shared" ref="AK156:BP156" si="94" xml:space="preserve"> AK$153</f>
        <v>0.61901717112858168</v>
      </c>
      <c r="AL156" s="82">
        <f t="shared" si="94"/>
        <v>0.60494875182231389</v>
      </c>
      <c r="AM156" s="82">
        <f t="shared" si="94"/>
        <v>0.59105245195197631</v>
      </c>
      <c r="AN156" s="82">
        <f t="shared" si="94"/>
        <v>0.57769172608697583</v>
      </c>
      <c r="AO156" s="82">
        <f t="shared" si="94"/>
        <v>0.56442154835020875</v>
      </c>
      <c r="AP156" s="82">
        <f t="shared" si="94"/>
        <v>0.55166281339377377</v>
      </c>
      <c r="AQ156" s="82">
        <f t="shared" si="94"/>
        <v>0.53899054676103653</v>
      </c>
      <c r="AR156" s="82">
        <f t="shared" si="94"/>
        <v>0.52680667895824118</v>
      </c>
      <c r="AS156" s="82">
        <f t="shared" si="94"/>
        <v>0.51470538349734807</v>
      </c>
      <c r="AT156" s="82">
        <f t="shared" si="94"/>
        <v>0.50300766089454496</v>
      </c>
      <c r="AU156" s="82">
        <f t="shared" si="94"/>
        <v>0.49145305354671337</v>
      </c>
      <c r="AV156" s="82">
        <f t="shared" si="94"/>
        <v>0.48034376958677039</v>
      </c>
      <c r="AW156" s="82">
        <f t="shared" si="94"/>
        <v>0.47620606797393022</v>
      </c>
      <c r="AX156" s="82">
        <f t="shared" si="94"/>
        <v>0.47217032329399788</v>
      </c>
      <c r="AY156" s="82">
        <f t="shared" si="94"/>
        <v>0.46810302809433374</v>
      </c>
      <c r="AZ156" s="82">
        <f t="shared" si="94"/>
        <v>0.46413595494608623</v>
      </c>
      <c r="BA156" s="82">
        <f t="shared" si="94"/>
        <v>0.46013786813627983</v>
      </c>
      <c r="BB156" s="82">
        <f t="shared" si="94"/>
        <v>0.45621693701647714</v>
      </c>
      <c r="BC156" s="82">
        <f t="shared" si="94"/>
        <v>0.45228706496313081</v>
      </c>
      <c r="BD156" s="82">
        <f t="shared" si="94"/>
        <v>0.44845402872318291</v>
      </c>
      <c r="BE156" s="82">
        <f t="shared" si="94"/>
        <v>0.44459102669126543</v>
      </c>
      <c r="BF156" s="82">
        <f t="shared" si="94"/>
        <v>0.44082321273133673</v>
      </c>
      <c r="BG156" s="82">
        <f t="shared" si="94"/>
        <v>0.43702594287215862</v>
      </c>
      <c r="BH156" s="82">
        <f t="shared" si="94"/>
        <v>0.4333222413812417</v>
      </c>
      <c r="BI156" s="82">
        <f t="shared" si="94"/>
        <v>0.42958958520754942</v>
      </c>
      <c r="BJ156" s="82">
        <f t="shared" si="94"/>
        <v>0.4259289624028979</v>
      </c>
      <c r="BK156" s="82">
        <f t="shared" si="94"/>
        <v>0.42225999224803162</v>
      </c>
      <c r="BL156" s="82">
        <f t="shared" si="94"/>
        <v>0.41868142903376249</v>
      </c>
      <c r="BM156" s="82">
        <f t="shared" si="94"/>
        <v>0.41507488943886034</v>
      </c>
      <c r="BN156" s="82">
        <f t="shared" si="94"/>
        <v>0.41155721843573051</v>
      </c>
      <c r="BO156" s="82">
        <f t="shared" si="94"/>
        <v>0.40801204709320948</v>
      </c>
      <c r="BP156" s="82">
        <f t="shared" si="94"/>
        <v>0.40455423216991276</v>
      </c>
      <c r="BQ156" s="82">
        <f t="shared" ref="BQ156:CV156" si="95" xml:space="preserve"> BQ$153</f>
        <v>0.40106938484823146</v>
      </c>
      <c r="BR156" s="82">
        <f t="shared" si="95"/>
        <v>0.3976517886425095</v>
      </c>
      <c r="BS156" s="82">
        <f t="shared" si="95"/>
        <v>0.394226399262253</v>
      </c>
      <c r="BT156" s="82">
        <f t="shared" si="95"/>
        <v>0.39088541475888333</v>
      </c>
      <c r="BU156" s="82">
        <f t="shared" si="95"/>
        <v>0.38751831121036656</v>
      </c>
      <c r="BV156" s="82">
        <f t="shared" si="95"/>
        <v>0.38423417631998708</v>
      </c>
      <c r="BW156" s="82">
        <f t="shared" si="95"/>
        <v>0.3809243668216038</v>
      </c>
      <c r="BX156" s="82">
        <f t="shared" si="95"/>
        <v>0.37769611420105753</v>
      </c>
      <c r="BY156" s="82">
        <f t="shared" si="95"/>
        <v>0.3744426238471853</v>
      </c>
      <c r="BZ156" s="82">
        <f t="shared" si="95"/>
        <v>0.37125191984716555</v>
      </c>
      <c r="CA156" s="82">
        <f t="shared" si="95"/>
        <v>0.3680539400568934</v>
      </c>
      <c r="CB156" s="82">
        <f t="shared" si="95"/>
        <v>0.3649347615532838</v>
      </c>
      <c r="CC156" s="82">
        <f t="shared" si="95"/>
        <v>0.36179119803260051</v>
      </c>
      <c r="CD156" s="82">
        <f t="shared" si="95"/>
        <v>0.35872509492954985</v>
      </c>
      <c r="CE156" s="82">
        <f t="shared" si="95"/>
        <v>0.35563502174064776</v>
      </c>
      <c r="CF156" s="82">
        <f t="shared" si="95"/>
        <v>0.35262109091634336</v>
      </c>
      <c r="CG156" s="82">
        <f t="shared" si="95"/>
        <v>0.34958359787701199</v>
      </c>
      <c r="CH156" s="82">
        <f t="shared" si="95"/>
        <v>0.34660472284236127</v>
      </c>
      <c r="CI156" s="82">
        <f t="shared" si="95"/>
        <v>0.34361905505290158</v>
      </c>
      <c r="CJ156" s="82">
        <f t="shared" si="95"/>
        <v>0.34070695697894543</v>
      </c>
      <c r="CK156" s="82">
        <f t="shared" si="95"/>
        <v>0.33777209279488318</v>
      </c>
      <c r="CL156" s="82">
        <f t="shared" si="95"/>
        <v>0.33490954647680227</v>
      </c>
      <c r="CM156" s="82">
        <f t="shared" si="95"/>
        <v>0.33202462143279726</v>
      </c>
      <c r="CN156" s="82">
        <f t="shared" si="95"/>
        <v>0.32921078370650581</v>
      </c>
      <c r="CO156" s="82">
        <f t="shared" si="95"/>
        <v>0.32637494804681016</v>
      </c>
      <c r="CP156" s="82">
        <f t="shared" si="95"/>
        <v>0.32359383877687781</v>
      </c>
      <c r="CQ156" s="82">
        <f t="shared" si="95"/>
        <v>0.32080638771914038</v>
      </c>
      <c r="CR156" s="82">
        <f t="shared" si="95"/>
        <v>0.31808762212668534</v>
      </c>
      <c r="CS156" s="82">
        <f t="shared" si="95"/>
        <v>0.31534760185280869</v>
      </c>
      <c r="CT156" s="82">
        <f t="shared" si="95"/>
        <v>0.31267509830424711</v>
      </c>
      <c r="CU156" s="82">
        <f t="shared" si="95"/>
        <v>0.30998170174023748</v>
      </c>
      <c r="CV156" s="82">
        <f t="shared" si="95"/>
        <v>0.30735467304865216</v>
      </c>
    </row>
    <row r="157" spans="1:100" ht="12.75" outlineLevel="2" x14ac:dyDescent="0.2">
      <c r="A157" s="236"/>
      <c r="B157" s="236"/>
      <c r="C157" s="237"/>
      <c r="D157" s="238"/>
      <c r="E157" s="310" t="s">
        <v>994</v>
      </c>
      <c r="F157" s="415">
        <f xml:space="preserve"> SUMPRODUCT(J155:CV155, J156:CV156)</f>
        <v>24.300124218566378</v>
      </c>
      <c r="G157" s="310" t="s">
        <v>217</v>
      </c>
      <c r="H157" s="310"/>
      <c r="I157" s="310"/>
      <c r="J157" s="310"/>
      <c r="K157" s="310"/>
      <c r="L157" s="310"/>
      <c r="M157" s="310"/>
      <c r="N157" s="310"/>
      <c r="O157" s="310"/>
      <c r="P157" s="310"/>
      <c r="Q157" s="310"/>
      <c r="R157" s="310"/>
      <c r="S157" s="310"/>
      <c r="T157" s="310"/>
      <c r="U157" s="310"/>
      <c r="V157" s="310"/>
      <c r="W157" s="310"/>
      <c r="X157" s="310"/>
      <c r="Y157" s="310"/>
      <c r="Z157" s="310"/>
      <c r="AA157" s="310"/>
      <c r="AB157" s="310"/>
      <c r="AC157" s="310"/>
      <c r="AD157" s="310"/>
      <c r="AE157" s="310"/>
      <c r="AF157" s="310"/>
      <c r="AG157" s="310"/>
      <c r="AH157" s="310"/>
      <c r="AI157" s="310"/>
      <c r="AJ157" s="310"/>
      <c r="AK157" s="310"/>
      <c r="AL157" s="310"/>
      <c r="AM157" s="310"/>
      <c r="AN157" s="310"/>
      <c r="AO157" s="310"/>
      <c r="AP157" s="310"/>
      <c r="AQ157" s="310"/>
      <c r="AR157" s="310"/>
      <c r="AS157" s="310"/>
      <c r="AT157" s="310"/>
      <c r="AU157" s="310"/>
      <c r="AV157" s="310"/>
      <c r="AW157" s="310"/>
      <c r="AX157" s="310"/>
      <c r="AY157" s="310"/>
      <c r="AZ157" s="310"/>
      <c r="BA157" s="310"/>
      <c r="BB157" s="310"/>
      <c r="BC157" s="310"/>
      <c r="BD157" s="310"/>
      <c r="BE157" s="310"/>
      <c r="BF157" s="310"/>
      <c r="BG157" s="310"/>
      <c r="BH157" s="310"/>
      <c r="BI157" s="310"/>
      <c r="BJ157" s="310"/>
      <c r="BK157" s="310"/>
      <c r="BL157" s="310"/>
      <c r="BM157" s="310"/>
      <c r="BN157" s="310"/>
      <c r="BO157" s="310"/>
      <c r="BP157" s="310"/>
      <c r="BQ157" s="310"/>
      <c r="BR157" s="310"/>
      <c r="BS157" s="310"/>
      <c r="BT157" s="310"/>
      <c r="BU157" s="310"/>
      <c r="BV157" s="310"/>
      <c r="BW157" s="310"/>
      <c r="BX157" s="310"/>
      <c r="BY157" s="310"/>
      <c r="BZ157" s="310"/>
      <c r="CA157" s="310"/>
      <c r="CB157" s="310"/>
      <c r="CC157" s="310"/>
      <c r="CD157" s="310"/>
      <c r="CE157" s="310"/>
      <c r="CF157" s="310"/>
      <c r="CG157" s="310"/>
      <c r="CH157" s="310"/>
      <c r="CI157" s="310"/>
      <c r="CJ157" s="310"/>
      <c r="CK157" s="310"/>
      <c r="CL157" s="310"/>
      <c r="CM157" s="310"/>
      <c r="CN157" s="310"/>
      <c r="CO157" s="310"/>
      <c r="CP157" s="310"/>
      <c r="CQ157" s="310"/>
      <c r="CR157" s="310"/>
      <c r="CS157" s="310"/>
      <c r="CT157" s="310"/>
      <c r="CU157" s="310"/>
      <c r="CV157" s="310"/>
    </row>
    <row r="158" spans="1:100" ht="12.75" outlineLevel="2" x14ac:dyDescent="0.2">
      <c r="A158" s="236"/>
      <c r="B158" s="236"/>
      <c r="C158" s="237"/>
      <c r="D158" s="238"/>
      <c r="E158" s="310"/>
      <c r="F158" s="310"/>
      <c r="G158" s="310"/>
      <c r="H158" s="310"/>
      <c r="I158" s="310"/>
      <c r="J158" s="310"/>
      <c r="K158" s="310"/>
      <c r="L158" s="310"/>
      <c r="M158" s="310"/>
      <c r="N158" s="310"/>
      <c r="O158" s="310"/>
      <c r="P158" s="310"/>
      <c r="Q158" s="310"/>
      <c r="R158" s="310"/>
      <c r="S158" s="310"/>
      <c r="T158" s="310"/>
      <c r="U158" s="310"/>
      <c r="V158" s="310"/>
      <c r="W158" s="310"/>
      <c r="X158" s="310"/>
      <c r="Y158" s="310"/>
      <c r="Z158" s="310"/>
      <c r="AA158" s="310"/>
      <c r="AB158" s="310"/>
      <c r="AC158" s="310"/>
      <c r="AD158" s="310"/>
      <c r="AE158" s="310"/>
      <c r="AF158" s="310"/>
      <c r="AG158" s="310"/>
      <c r="AH158" s="310"/>
      <c r="AI158" s="310"/>
      <c r="AJ158" s="310"/>
      <c r="AK158" s="310"/>
      <c r="AL158" s="310"/>
      <c r="AM158" s="310"/>
      <c r="AN158" s="310"/>
      <c r="AO158" s="310"/>
      <c r="AP158" s="310"/>
      <c r="AQ158" s="310"/>
      <c r="AR158" s="310"/>
      <c r="AS158" s="310"/>
      <c r="AT158" s="310"/>
      <c r="AU158" s="310"/>
      <c r="AV158" s="310"/>
      <c r="AW158" s="310"/>
      <c r="AX158" s="310"/>
      <c r="AY158" s="310"/>
      <c r="AZ158" s="310"/>
      <c r="BA158" s="310"/>
      <c r="BB158" s="310"/>
      <c r="BC158" s="310"/>
      <c r="BD158" s="310"/>
      <c r="BE158" s="310"/>
      <c r="BF158" s="310"/>
      <c r="BG158" s="310"/>
      <c r="BH158" s="310"/>
      <c r="BI158" s="310"/>
      <c r="BJ158" s="310"/>
      <c r="BK158" s="310"/>
      <c r="BL158" s="310"/>
      <c r="BM158" s="310"/>
      <c r="BN158" s="310"/>
      <c r="BO158" s="310"/>
      <c r="BP158" s="310"/>
      <c r="BQ158" s="310"/>
      <c r="BR158" s="310"/>
      <c r="BS158" s="310"/>
      <c r="BT158" s="310"/>
      <c r="BU158" s="310"/>
      <c r="BV158" s="310"/>
      <c r="BW158" s="310"/>
      <c r="BX158" s="310"/>
      <c r="BY158" s="310"/>
      <c r="BZ158" s="310"/>
      <c r="CA158" s="310"/>
      <c r="CB158" s="310"/>
      <c r="CC158" s="310"/>
      <c r="CD158" s="310"/>
      <c r="CE158" s="310"/>
      <c r="CF158" s="310"/>
      <c r="CG158" s="310"/>
      <c r="CH158" s="310"/>
      <c r="CI158" s="310"/>
      <c r="CJ158" s="310"/>
      <c r="CK158" s="310"/>
      <c r="CL158" s="310"/>
      <c r="CM158" s="310"/>
      <c r="CN158" s="310"/>
      <c r="CO158" s="310"/>
      <c r="CP158" s="310"/>
      <c r="CQ158" s="310"/>
      <c r="CR158" s="310"/>
      <c r="CS158" s="310"/>
      <c r="CT158" s="310"/>
      <c r="CU158" s="310"/>
      <c r="CV158" s="310"/>
    </row>
    <row r="159" spans="1:100" ht="12.75" outlineLevel="2" x14ac:dyDescent="0.2">
      <c r="E159" s="145" t="str">
        <f xml:space="preserve"> ConFin!E$312</f>
        <v>Sum of construction debt drawdown - T1</v>
      </c>
      <c r="F159" s="145">
        <f xml:space="preserve"> ConFin!F$312</f>
        <v>125194.92613015344</v>
      </c>
      <c r="G159" s="145" t="str">
        <f xml:space="preserve"> ConFin!G$312</f>
        <v>$ 000s</v>
      </c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</row>
    <row r="160" spans="1:100" ht="12.75" outlineLevel="2" x14ac:dyDescent="0.2">
      <c r="A160" s="236"/>
      <c r="B160" s="236"/>
      <c r="C160" s="237"/>
      <c r="D160" s="238"/>
      <c r="E160" s="82" t="str">
        <f xml:space="preserve"> E$157</f>
        <v>Sum of Senior debt discount factors - T1</v>
      </c>
      <c r="F160" s="82">
        <f xml:space="preserve"> F$157</f>
        <v>24.300124218566378</v>
      </c>
      <c r="G160" s="82" t="str">
        <f xml:space="preserve"> G$157</f>
        <v>sum of factors</v>
      </c>
      <c r="H160" s="310"/>
      <c r="I160" s="310"/>
      <c r="J160" s="310"/>
      <c r="K160" s="310"/>
      <c r="L160" s="310"/>
      <c r="M160" s="310"/>
      <c r="N160" s="310"/>
      <c r="O160" s="310"/>
      <c r="P160" s="310"/>
      <c r="Q160" s="310"/>
      <c r="R160" s="310"/>
      <c r="S160" s="310"/>
      <c r="T160" s="310"/>
      <c r="U160" s="310"/>
      <c r="V160" s="310"/>
      <c r="W160" s="310"/>
      <c r="X160" s="310"/>
      <c r="Y160" s="310"/>
      <c r="Z160" s="310"/>
      <c r="AA160" s="310"/>
      <c r="AB160" s="310"/>
      <c r="AC160" s="310"/>
      <c r="AD160" s="310"/>
      <c r="AE160" s="310"/>
      <c r="AF160" s="310"/>
      <c r="AG160" s="310"/>
      <c r="AH160" s="310"/>
      <c r="AI160" s="310"/>
      <c r="AJ160" s="310"/>
      <c r="AK160" s="310"/>
      <c r="AL160" s="310"/>
      <c r="AM160" s="310"/>
      <c r="AN160" s="310"/>
      <c r="AO160" s="310"/>
      <c r="AP160" s="310"/>
      <c r="AQ160" s="310"/>
      <c r="AR160" s="310"/>
      <c r="AS160" s="310"/>
      <c r="AT160" s="310"/>
      <c r="AU160" s="310"/>
      <c r="AV160" s="310"/>
      <c r="AW160" s="310"/>
      <c r="AX160" s="310"/>
      <c r="AY160" s="310"/>
      <c r="AZ160" s="310"/>
      <c r="BA160" s="310"/>
      <c r="BB160" s="310"/>
      <c r="BC160" s="310"/>
      <c r="BD160" s="310"/>
      <c r="BE160" s="310"/>
      <c r="BF160" s="310"/>
      <c r="BG160" s="310"/>
      <c r="BH160" s="310"/>
      <c r="BI160" s="310"/>
      <c r="BJ160" s="310"/>
      <c r="BK160" s="310"/>
      <c r="BL160" s="310"/>
      <c r="BM160" s="310"/>
      <c r="BN160" s="310"/>
      <c r="BO160" s="310"/>
      <c r="BP160" s="310"/>
      <c r="BQ160" s="310"/>
      <c r="BR160" s="310"/>
      <c r="BS160" s="310"/>
      <c r="BT160" s="310"/>
      <c r="BU160" s="310"/>
      <c r="BV160" s="310"/>
      <c r="BW160" s="310"/>
      <c r="BX160" s="310"/>
      <c r="BY160" s="310"/>
      <c r="BZ160" s="310"/>
      <c r="CA160" s="310"/>
      <c r="CB160" s="310"/>
      <c r="CC160" s="310"/>
      <c r="CD160" s="310"/>
      <c r="CE160" s="310"/>
      <c r="CF160" s="310"/>
      <c r="CG160" s="310"/>
      <c r="CH160" s="310"/>
      <c r="CI160" s="310"/>
      <c r="CJ160" s="310"/>
      <c r="CK160" s="310"/>
      <c r="CL160" s="310"/>
      <c r="CM160" s="310"/>
      <c r="CN160" s="310"/>
      <c r="CO160" s="310"/>
      <c r="CP160" s="310"/>
      <c r="CQ160" s="310"/>
      <c r="CR160" s="310"/>
      <c r="CS160" s="310"/>
      <c r="CT160" s="310"/>
      <c r="CU160" s="310"/>
      <c r="CV160" s="310"/>
    </row>
    <row r="161" spans="1:100" ht="12.75" outlineLevel="2" x14ac:dyDescent="0.2">
      <c r="A161" s="236"/>
      <c r="B161" s="236"/>
      <c r="C161" s="237"/>
      <c r="D161" s="238"/>
      <c r="E161" s="310" t="s">
        <v>993</v>
      </c>
      <c r="F161" s="310">
        <f xml:space="preserve"> F159 / F160</f>
        <v>5152.0282367321788</v>
      </c>
      <c r="G161" s="310" t="str">
        <f xml:space="preserve"> SMU</f>
        <v>$ 000s</v>
      </c>
      <c r="H161" s="310"/>
      <c r="I161" s="310"/>
      <c r="J161" s="310"/>
      <c r="K161" s="310"/>
      <c r="L161" s="310"/>
      <c r="M161" s="310"/>
      <c r="N161" s="310"/>
      <c r="O161" s="310"/>
      <c r="P161" s="310"/>
      <c r="Q161" s="310"/>
      <c r="R161" s="310"/>
      <c r="S161" s="310"/>
      <c r="T161" s="310"/>
      <c r="U161" s="310"/>
      <c r="V161" s="310"/>
      <c r="W161" s="310"/>
      <c r="X161" s="310"/>
      <c r="Y161" s="310"/>
      <c r="Z161" s="310"/>
      <c r="AA161" s="310"/>
      <c r="AB161" s="310"/>
      <c r="AC161" s="310"/>
      <c r="AD161" s="310"/>
      <c r="AE161" s="310"/>
      <c r="AF161" s="310"/>
      <c r="AG161" s="310"/>
      <c r="AH161" s="310"/>
      <c r="AI161" s="310"/>
      <c r="AJ161" s="310"/>
      <c r="AK161" s="310"/>
      <c r="AL161" s="310"/>
      <c r="AM161" s="310"/>
      <c r="AN161" s="310"/>
      <c r="AO161" s="310"/>
      <c r="AP161" s="310"/>
      <c r="AQ161" s="310"/>
      <c r="AR161" s="310"/>
      <c r="AS161" s="310"/>
      <c r="AT161" s="310"/>
      <c r="AU161" s="310"/>
      <c r="AV161" s="310"/>
      <c r="AW161" s="310"/>
      <c r="AX161" s="310"/>
      <c r="AY161" s="310"/>
      <c r="AZ161" s="310"/>
      <c r="BA161" s="310"/>
      <c r="BB161" s="310"/>
      <c r="BC161" s="310"/>
      <c r="BD161" s="310"/>
      <c r="BE161" s="310"/>
      <c r="BF161" s="310"/>
      <c r="BG161" s="310"/>
      <c r="BH161" s="310"/>
      <c r="BI161" s="310"/>
      <c r="BJ161" s="310"/>
      <c r="BK161" s="310"/>
      <c r="BL161" s="310"/>
      <c r="BM161" s="310"/>
      <c r="BN161" s="310"/>
      <c r="BO161" s="310"/>
      <c r="BP161" s="310"/>
      <c r="BQ161" s="310"/>
      <c r="BR161" s="310"/>
      <c r="BS161" s="310"/>
      <c r="BT161" s="310"/>
      <c r="BU161" s="310"/>
      <c r="BV161" s="310"/>
      <c r="BW161" s="310"/>
      <c r="BX161" s="310"/>
      <c r="BY161" s="310"/>
      <c r="BZ161" s="310"/>
      <c r="CA161" s="310"/>
      <c r="CB161" s="310"/>
      <c r="CC161" s="310"/>
      <c r="CD161" s="310"/>
      <c r="CE161" s="310"/>
      <c r="CF161" s="310"/>
      <c r="CG161" s="310"/>
      <c r="CH161" s="310"/>
      <c r="CI161" s="310"/>
      <c r="CJ161" s="310"/>
      <c r="CK161" s="310"/>
      <c r="CL161" s="310"/>
      <c r="CM161" s="310"/>
      <c r="CN161" s="310"/>
      <c r="CO161" s="310"/>
      <c r="CP161" s="310"/>
      <c r="CQ161" s="310"/>
      <c r="CR161" s="310"/>
      <c r="CS161" s="310"/>
      <c r="CT161" s="310"/>
      <c r="CU161" s="310"/>
      <c r="CV161" s="310"/>
    </row>
    <row r="162" spans="1:100" ht="12.75" outlineLevel="2" x14ac:dyDescent="0.2">
      <c r="A162" s="236"/>
      <c r="B162" s="236"/>
      <c r="C162" s="237"/>
      <c r="D162" s="238"/>
      <c r="E162" s="310"/>
      <c r="F162" s="310"/>
      <c r="G162" s="310"/>
      <c r="H162" s="310"/>
      <c r="I162" s="310"/>
      <c r="J162" s="310"/>
      <c r="K162" s="310"/>
      <c r="L162" s="310"/>
      <c r="M162" s="310"/>
      <c r="N162" s="310"/>
      <c r="O162" s="310"/>
      <c r="P162" s="310"/>
      <c r="Q162" s="310"/>
      <c r="R162" s="310"/>
      <c r="S162" s="310"/>
      <c r="T162" s="310"/>
      <c r="U162" s="310"/>
      <c r="V162" s="310"/>
      <c r="W162" s="310"/>
      <c r="X162" s="310"/>
      <c r="Y162" s="310"/>
      <c r="Z162" s="310"/>
      <c r="AA162" s="310"/>
      <c r="AB162" s="310"/>
      <c r="AC162" s="310"/>
      <c r="AD162" s="310"/>
      <c r="AE162" s="310"/>
      <c r="AF162" s="310"/>
      <c r="AG162" s="310"/>
      <c r="AH162" s="310"/>
      <c r="AI162" s="310"/>
      <c r="AJ162" s="310"/>
      <c r="AK162" s="310"/>
      <c r="AL162" s="310"/>
      <c r="AM162" s="310"/>
      <c r="AN162" s="310"/>
      <c r="AO162" s="310"/>
      <c r="AP162" s="310"/>
      <c r="AQ162" s="310"/>
      <c r="AR162" s="310"/>
      <c r="AS162" s="310"/>
      <c r="AT162" s="310"/>
      <c r="AU162" s="310"/>
      <c r="AV162" s="310"/>
      <c r="AW162" s="310"/>
      <c r="AX162" s="310"/>
      <c r="AY162" s="310"/>
      <c r="AZ162" s="310"/>
      <c r="BA162" s="310"/>
      <c r="BB162" s="310"/>
      <c r="BC162" s="310"/>
      <c r="BD162" s="310"/>
      <c r="BE162" s="310"/>
      <c r="BF162" s="310"/>
      <c r="BG162" s="310"/>
      <c r="BH162" s="310"/>
      <c r="BI162" s="310"/>
      <c r="BJ162" s="310"/>
      <c r="BK162" s="310"/>
      <c r="BL162" s="310"/>
      <c r="BM162" s="310"/>
      <c r="BN162" s="310"/>
      <c r="BO162" s="310"/>
      <c r="BP162" s="310"/>
      <c r="BQ162" s="310"/>
      <c r="BR162" s="310"/>
      <c r="BS162" s="310"/>
      <c r="BT162" s="310"/>
      <c r="BU162" s="310"/>
      <c r="BV162" s="310"/>
      <c r="BW162" s="310"/>
      <c r="BX162" s="310"/>
      <c r="BY162" s="310"/>
      <c r="BZ162" s="310"/>
      <c r="CA162" s="310"/>
      <c r="CB162" s="310"/>
      <c r="CC162" s="310"/>
      <c r="CD162" s="310"/>
      <c r="CE162" s="310"/>
      <c r="CF162" s="310"/>
      <c r="CG162" s="310"/>
      <c r="CH162" s="310"/>
      <c r="CI162" s="310"/>
      <c r="CJ162" s="310"/>
      <c r="CK162" s="310"/>
      <c r="CL162" s="310"/>
      <c r="CM162" s="310"/>
      <c r="CN162" s="310"/>
      <c r="CO162" s="310"/>
      <c r="CP162" s="310"/>
      <c r="CQ162" s="310"/>
      <c r="CR162" s="310"/>
      <c r="CS162" s="310"/>
      <c r="CT162" s="310"/>
      <c r="CU162" s="310"/>
      <c r="CV162" s="310"/>
    </row>
    <row r="163" spans="1:100" ht="12.75" outlineLevel="2" x14ac:dyDescent="0.2">
      <c r="A163" s="236"/>
      <c r="B163" s="236"/>
      <c r="C163" s="237"/>
      <c r="D163" s="238"/>
      <c r="E163" s="198" t="str">
        <f xml:space="preserve"> E$161</f>
        <v>Senior debt level ds periodic payment - T1</v>
      </c>
      <c r="F163" s="198">
        <f xml:space="preserve"> F$161</f>
        <v>5152.0282367321788</v>
      </c>
      <c r="G163" s="198" t="str">
        <f xml:space="preserve"> G$161</f>
        <v>$ 000s</v>
      </c>
      <c r="H163" s="310"/>
      <c r="I163" s="310"/>
      <c r="J163" s="310"/>
      <c r="K163" s="310"/>
      <c r="L163" s="310"/>
      <c r="M163" s="310"/>
      <c r="N163" s="310"/>
      <c r="O163" s="310"/>
      <c r="P163" s="310"/>
      <c r="Q163" s="310"/>
      <c r="R163" s="310"/>
      <c r="S163" s="310"/>
      <c r="T163" s="310"/>
      <c r="U163" s="310"/>
      <c r="V163" s="310"/>
      <c r="W163" s="310"/>
      <c r="X163" s="310"/>
      <c r="Y163" s="310"/>
      <c r="Z163" s="310"/>
      <c r="AA163" s="310"/>
      <c r="AB163" s="310"/>
      <c r="AC163" s="310"/>
      <c r="AD163" s="310"/>
      <c r="AE163" s="310"/>
      <c r="AF163" s="310"/>
      <c r="AG163" s="310"/>
      <c r="AH163" s="310"/>
      <c r="AI163" s="310"/>
      <c r="AJ163" s="310"/>
      <c r="AK163" s="310"/>
      <c r="AL163" s="310"/>
      <c r="AM163" s="310"/>
      <c r="AN163" s="310"/>
      <c r="AO163" s="310"/>
      <c r="AP163" s="310"/>
      <c r="AQ163" s="310"/>
      <c r="AR163" s="310"/>
      <c r="AS163" s="310"/>
      <c r="AT163" s="310"/>
      <c r="AU163" s="310"/>
      <c r="AV163" s="310"/>
      <c r="AW163" s="310"/>
      <c r="AX163" s="310"/>
      <c r="AY163" s="310"/>
      <c r="AZ163" s="310"/>
      <c r="BA163" s="310"/>
      <c r="BB163" s="310"/>
      <c r="BC163" s="310"/>
      <c r="BD163" s="310"/>
      <c r="BE163" s="310"/>
      <c r="BF163" s="310"/>
      <c r="BG163" s="310"/>
      <c r="BH163" s="310"/>
      <c r="BI163" s="310"/>
      <c r="BJ163" s="310"/>
      <c r="BK163" s="310"/>
      <c r="BL163" s="310"/>
      <c r="BM163" s="310"/>
      <c r="BN163" s="310"/>
      <c r="BO163" s="310"/>
      <c r="BP163" s="310"/>
      <c r="BQ163" s="310"/>
      <c r="BR163" s="310"/>
      <c r="BS163" s="310"/>
      <c r="BT163" s="310"/>
      <c r="BU163" s="310"/>
      <c r="BV163" s="310"/>
      <c r="BW163" s="310"/>
      <c r="BX163" s="310"/>
      <c r="BY163" s="310"/>
      <c r="BZ163" s="310"/>
      <c r="CA163" s="310"/>
      <c r="CB163" s="310"/>
      <c r="CC163" s="310"/>
      <c r="CD163" s="310"/>
      <c r="CE163" s="310"/>
      <c r="CF163" s="310"/>
      <c r="CG163" s="310"/>
      <c r="CH163" s="310"/>
      <c r="CI163" s="310"/>
      <c r="CJ163" s="310"/>
      <c r="CK163" s="310"/>
      <c r="CL163" s="310"/>
      <c r="CM163" s="310"/>
      <c r="CN163" s="310"/>
      <c r="CO163" s="310"/>
      <c r="CP163" s="310"/>
      <c r="CQ163" s="310"/>
      <c r="CR163" s="310"/>
      <c r="CS163" s="310"/>
      <c r="CT163" s="310"/>
      <c r="CU163" s="310"/>
      <c r="CV163" s="310"/>
    </row>
    <row r="164" spans="1:100" ht="12.75" outlineLevel="2" x14ac:dyDescent="0.2">
      <c r="A164" s="236"/>
      <c r="B164" s="236"/>
      <c r="C164" s="237"/>
      <c r="D164" s="238"/>
      <c r="E164" s="12" t="str">
        <f t="shared" ref="E164:AJ164" si="96" xml:space="preserve"> E$237</f>
        <v>Senior debt interest - T1 POS</v>
      </c>
      <c r="F164" s="12">
        <f t="shared" si="96"/>
        <v>0</v>
      </c>
      <c r="G164" s="12" t="str">
        <f t="shared" si="96"/>
        <v>$ 000s</v>
      </c>
      <c r="H164" s="12">
        <f t="shared" si="96"/>
        <v>58932.622085008683</v>
      </c>
      <c r="I164" s="12">
        <f t="shared" si="96"/>
        <v>0</v>
      </c>
      <c r="J164" s="12">
        <f t="shared" si="96"/>
        <v>0</v>
      </c>
      <c r="K164" s="12">
        <f t="shared" si="96"/>
        <v>0</v>
      </c>
      <c r="L164" s="12">
        <f t="shared" si="96"/>
        <v>0</v>
      </c>
      <c r="M164" s="12">
        <f t="shared" si="96"/>
        <v>0</v>
      </c>
      <c r="N164" s="12">
        <f t="shared" si="96"/>
        <v>0</v>
      </c>
      <c r="O164" s="12">
        <f t="shared" si="96"/>
        <v>2687.5177475939608</v>
      </c>
      <c r="P164" s="12">
        <f t="shared" si="96"/>
        <v>2582.7239566536373</v>
      </c>
      <c r="Q164" s="12">
        <f t="shared" si="96"/>
        <v>2574.328504175005</v>
      </c>
      <c r="R164" s="12">
        <f t="shared" si="96"/>
        <v>2481.3813281599528</v>
      </c>
      <c r="S164" s="12">
        <f t="shared" si="96"/>
        <v>2469.7293209345407</v>
      </c>
      <c r="T164" s="12">
        <f t="shared" si="96"/>
        <v>2376.876065985799</v>
      </c>
      <c r="U164" s="12">
        <f t="shared" si="96"/>
        <v>2361.8520922003349</v>
      </c>
      <c r="V164" s="12">
        <f t="shared" si="96"/>
        <v>2281.6182261919198</v>
      </c>
      <c r="W164" s="12">
        <f t="shared" si="96"/>
        <v>2250.6592852748454</v>
      </c>
      <c r="X164" s="12">
        <f t="shared" si="96"/>
        <v>2158.0922847899237</v>
      </c>
      <c r="Y164" s="12">
        <f t="shared" si="96"/>
        <v>2237.6804315095601</v>
      </c>
      <c r="Z164" s="12">
        <f t="shared" si="96"/>
        <v>2142.3886900549105</v>
      </c>
      <c r="AA164" s="12">
        <f t="shared" si="96"/>
        <v>2117.0515797327043</v>
      </c>
      <c r="AB164" s="12">
        <f t="shared" si="96"/>
        <v>2021.7094910691326</v>
      </c>
      <c r="AC164" s="12">
        <f t="shared" si="96"/>
        <v>1992.3163229370118</v>
      </c>
      <c r="AD164" s="12">
        <f t="shared" si="96"/>
        <v>1907.3851466300987</v>
      </c>
      <c r="AE164" s="12">
        <f t="shared" si="96"/>
        <v>1863.349317892918</v>
      </c>
      <c r="AF164" s="12">
        <f t="shared" si="96"/>
        <v>1767.9820934948079</v>
      </c>
      <c r="AG164" s="12">
        <f t="shared" si="96"/>
        <v>1730.0089819557033</v>
      </c>
      <c r="AH164" s="12">
        <f t="shared" si="96"/>
        <v>1634.3997473361794</v>
      </c>
      <c r="AI164" s="12">
        <f t="shared" si="96"/>
        <v>1664.2398160286421</v>
      </c>
      <c r="AJ164" s="12">
        <f t="shared" si="96"/>
        <v>1565.5385581725184</v>
      </c>
      <c r="AK164" s="12">
        <f t="shared" ref="AK164:BP164" si="97" xml:space="preserve"> AK$237</f>
        <v>1517.504166079535</v>
      </c>
      <c r="AL164" s="12">
        <f t="shared" si="97"/>
        <v>1426.3062182693025</v>
      </c>
      <c r="AM164" s="12">
        <f t="shared" si="97"/>
        <v>1365.2015310096476</v>
      </c>
      <c r="AN164" s="12">
        <f t="shared" si="97"/>
        <v>1265.9321561833478</v>
      </c>
      <c r="AO164" s="12">
        <f t="shared" si="97"/>
        <v>1207.2384434234541</v>
      </c>
      <c r="AP164" s="12">
        <f t="shared" si="97"/>
        <v>1107.4310609472375</v>
      </c>
      <c r="AQ164" s="12">
        <f t="shared" si="97"/>
        <v>1043.0631804876928</v>
      </c>
      <c r="AR164" s="12">
        <f t="shared" si="97"/>
        <v>942.81174989072917</v>
      </c>
      <c r="AS164" s="12">
        <f t="shared" si="97"/>
        <v>872.52701382584769</v>
      </c>
      <c r="AT164" s="12">
        <f t="shared" si="97"/>
        <v>652.41628467561759</v>
      </c>
      <c r="AU164" s="12">
        <f t="shared" si="97"/>
        <v>443.63241738550107</v>
      </c>
      <c r="AV164" s="12">
        <f t="shared" si="97"/>
        <v>219.7301918317994</v>
      </c>
      <c r="AW164" s="12">
        <f t="shared" si="97"/>
        <v>-2.2123232123425019E-4</v>
      </c>
      <c r="AX164" s="12">
        <f t="shared" si="97"/>
        <v>-2.1762527251847438E-4</v>
      </c>
      <c r="AY164" s="12">
        <f t="shared" si="97"/>
        <v>-2.2123232123425019E-4</v>
      </c>
      <c r="AZ164" s="12">
        <f t="shared" si="97"/>
        <v>-2.1762527251847438E-4</v>
      </c>
      <c r="BA164" s="12">
        <f t="shared" si="97"/>
        <v>-2.2123232123425019E-4</v>
      </c>
      <c r="BB164" s="12">
        <f t="shared" si="97"/>
        <v>-2.1882762209039967E-4</v>
      </c>
      <c r="BC164" s="12">
        <f t="shared" si="97"/>
        <v>0</v>
      </c>
      <c r="BD164" s="12">
        <f t="shared" si="97"/>
        <v>0</v>
      </c>
      <c r="BE164" s="12">
        <f t="shared" si="97"/>
        <v>0</v>
      </c>
      <c r="BF164" s="12">
        <f t="shared" si="97"/>
        <v>0</v>
      </c>
      <c r="BG164" s="12">
        <f t="shared" si="97"/>
        <v>0</v>
      </c>
      <c r="BH164" s="12">
        <f t="shared" si="97"/>
        <v>0</v>
      </c>
      <c r="BI164" s="12">
        <f t="shared" si="97"/>
        <v>0</v>
      </c>
      <c r="BJ164" s="12">
        <f t="shared" si="97"/>
        <v>0</v>
      </c>
      <c r="BK164" s="12">
        <f t="shared" si="97"/>
        <v>0</v>
      </c>
      <c r="BL164" s="12">
        <f t="shared" si="97"/>
        <v>0</v>
      </c>
      <c r="BM164" s="12">
        <f t="shared" si="97"/>
        <v>0</v>
      </c>
      <c r="BN164" s="12">
        <f t="shared" si="97"/>
        <v>0</v>
      </c>
      <c r="BO164" s="12">
        <f t="shared" si="97"/>
        <v>0</v>
      </c>
      <c r="BP164" s="12">
        <f t="shared" si="97"/>
        <v>0</v>
      </c>
      <c r="BQ164" s="12">
        <f t="shared" ref="BQ164:CV164" si="98" xml:space="preserve"> BQ$237</f>
        <v>0</v>
      </c>
      <c r="BR164" s="12">
        <f t="shared" si="98"/>
        <v>0</v>
      </c>
      <c r="BS164" s="12">
        <f t="shared" si="98"/>
        <v>0</v>
      </c>
      <c r="BT164" s="12">
        <f t="shared" si="98"/>
        <v>0</v>
      </c>
      <c r="BU164" s="12">
        <f t="shared" si="98"/>
        <v>0</v>
      </c>
      <c r="BV164" s="12">
        <f t="shared" si="98"/>
        <v>0</v>
      </c>
      <c r="BW164" s="12">
        <f t="shared" si="98"/>
        <v>0</v>
      </c>
      <c r="BX164" s="12">
        <f t="shared" si="98"/>
        <v>0</v>
      </c>
      <c r="BY164" s="12">
        <f t="shared" si="98"/>
        <v>0</v>
      </c>
      <c r="BZ164" s="12">
        <f t="shared" si="98"/>
        <v>0</v>
      </c>
      <c r="CA164" s="12">
        <f t="shared" si="98"/>
        <v>0</v>
      </c>
      <c r="CB164" s="12">
        <f t="shared" si="98"/>
        <v>0</v>
      </c>
      <c r="CC164" s="12">
        <f t="shared" si="98"/>
        <v>0</v>
      </c>
      <c r="CD164" s="12">
        <f t="shared" si="98"/>
        <v>0</v>
      </c>
      <c r="CE164" s="12">
        <f t="shared" si="98"/>
        <v>0</v>
      </c>
      <c r="CF164" s="12">
        <f t="shared" si="98"/>
        <v>0</v>
      </c>
      <c r="CG164" s="12">
        <f t="shared" si="98"/>
        <v>0</v>
      </c>
      <c r="CH164" s="12">
        <f t="shared" si="98"/>
        <v>0</v>
      </c>
      <c r="CI164" s="12">
        <f t="shared" si="98"/>
        <v>0</v>
      </c>
      <c r="CJ164" s="12">
        <f t="shared" si="98"/>
        <v>0</v>
      </c>
      <c r="CK164" s="12">
        <f t="shared" si="98"/>
        <v>0</v>
      </c>
      <c r="CL164" s="12">
        <f t="shared" si="98"/>
        <v>0</v>
      </c>
      <c r="CM164" s="12">
        <f t="shared" si="98"/>
        <v>0</v>
      </c>
      <c r="CN164" s="12">
        <f t="shared" si="98"/>
        <v>0</v>
      </c>
      <c r="CO164" s="12">
        <f t="shared" si="98"/>
        <v>0</v>
      </c>
      <c r="CP164" s="12">
        <f t="shared" si="98"/>
        <v>0</v>
      </c>
      <c r="CQ164" s="12">
        <f t="shared" si="98"/>
        <v>0</v>
      </c>
      <c r="CR164" s="12">
        <f t="shared" si="98"/>
        <v>0</v>
      </c>
      <c r="CS164" s="12">
        <f t="shared" si="98"/>
        <v>0</v>
      </c>
      <c r="CT164" s="12">
        <f t="shared" si="98"/>
        <v>0</v>
      </c>
      <c r="CU164" s="12">
        <f t="shared" si="98"/>
        <v>0</v>
      </c>
      <c r="CV164" s="12">
        <f t="shared" si="98"/>
        <v>0</v>
      </c>
    </row>
    <row r="165" spans="1:100" ht="12.75" outlineLevel="2" x14ac:dyDescent="0.2">
      <c r="E165" s="189" t="str">
        <f xml:space="preserve"> Time!E$163</f>
        <v>Senior debt repayment period flag - T1</v>
      </c>
      <c r="F165" s="189">
        <f xml:space="preserve"> Time!F$163</f>
        <v>0</v>
      </c>
      <c r="G165" s="189" t="str">
        <f xml:space="preserve"> Time!G$163</f>
        <v>flag</v>
      </c>
      <c r="H165" s="189">
        <f xml:space="preserve"> Time!H$163</f>
        <v>34</v>
      </c>
      <c r="I165" s="189">
        <f xml:space="preserve"> Time!I$163</f>
        <v>0</v>
      </c>
      <c r="J165" s="189">
        <f xml:space="preserve"> Time!J$163</f>
        <v>0</v>
      </c>
      <c r="K165" s="189">
        <f xml:space="preserve"> Time!K$163</f>
        <v>0</v>
      </c>
      <c r="L165" s="189">
        <f xml:space="preserve"> Time!L$163</f>
        <v>0</v>
      </c>
      <c r="M165" s="189">
        <f xml:space="preserve"> Time!M$163</f>
        <v>0</v>
      </c>
      <c r="N165" s="189">
        <f xml:space="preserve"> Time!N$163</f>
        <v>0</v>
      </c>
      <c r="O165" s="189">
        <f xml:space="preserve"> Time!O$163</f>
        <v>1</v>
      </c>
      <c r="P165" s="189">
        <f xml:space="preserve"> Time!P$163</f>
        <v>1</v>
      </c>
      <c r="Q165" s="189">
        <f xml:space="preserve"> Time!Q$163</f>
        <v>1</v>
      </c>
      <c r="R165" s="189">
        <f xml:space="preserve"> Time!R$163</f>
        <v>1</v>
      </c>
      <c r="S165" s="189">
        <f xml:space="preserve"> Time!S$163</f>
        <v>1</v>
      </c>
      <c r="T165" s="189">
        <f xml:space="preserve"> Time!T$163</f>
        <v>1</v>
      </c>
      <c r="U165" s="189">
        <f xml:space="preserve"> Time!U$163</f>
        <v>1</v>
      </c>
      <c r="V165" s="189">
        <f xml:space="preserve"> Time!V$163</f>
        <v>1</v>
      </c>
      <c r="W165" s="189">
        <f xml:space="preserve"> Time!W$163</f>
        <v>1</v>
      </c>
      <c r="X165" s="189">
        <f xml:space="preserve"> Time!X$163</f>
        <v>1</v>
      </c>
      <c r="Y165" s="189">
        <f xml:space="preserve"> Time!Y$163</f>
        <v>1</v>
      </c>
      <c r="Z165" s="189">
        <f xml:space="preserve"> Time!Z$163</f>
        <v>1</v>
      </c>
      <c r="AA165" s="189">
        <f xml:space="preserve"> Time!AA$163</f>
        <v>1</v>
      </c>
      <c r="AB165" s="189">
        <f xml:space="preserve"> Time!AB$163</f>
        <v>1</v>
      </c>
      <c r="AC165" s="189">
        <f xml:space="preserve"> Time!AC$163</f>
        <v>1</v>
      </c>
      <c r="AD165" s="189">
        <f xml:space="preserve"> Time!AD$163</f>
        <v>1</v>
      </c>
      <c r="AE165" s="189">
        <f xml:space="preserve"> Time!AE$163</f>
        <v>1</v>
      </c>
      <c r="AF165" s="189">
        <f xml:space="preserve"> Time!AF$163</f>
        <v>1</v>
      </c>
      <c r="AG165" s="189">
        <f xml:space="preserve"> Time!AG$163</f>
        <v>1</v>
      </c>
      <c r="AH165" s="189">
        <f xml:space="preserve"> Time!AH$163</f>
        <v>1</v>
      </c>
      <c r="AI165" s="189">
        <f xml:space="preserve"> Time!AI$163</f>
        <v>1</v>
      </c>
      <c r="AJ165" s="189">
        <f xml:space="preserve"> Time!AJ$163</f>
        <v>1</v>
      </c>
      <c r="AK165" s="189">
        <f xml:space="preserve"> Time!AK$163</f>
        <v>1</v>
      </c>
      <c r="AL165" s="189">
        <f xml:space="preserve"> Time!AL$163</f>
        <v>1</v>
      </c>
      <c r="AM165" s="189">
        <f xml:space="preserve"> Time!AM$163</f>
        <v>1</v>
      </c>
      <c r="AN165" s="189">
        <f xml:space="preserve"> Time!AN$163</f>
        <v>1</v>
      </c>
      <c r="AO165" s="189">
        <f xml:space="preserve"> Time!AO$163</f>
        <v>1</v>
      </c>
      <c r="AP165" s="189">
        <f xml:space="preserve"> Time!AP$163</f>
        <v>1</v>
      </c>
      <c r="AQ165" s="189">
        <f xml:space="preserve"> Time!AQ$163</f>
        <v>1</v>
      </c>
      <c r="AR165" s="189">
        <f xml:space="preserve"> Time!AR$163</f>
        <v>1</v>
      </c>
      <c r="AS165" s="189">
        <f xml:space="preserve"> Time!AS$163</f>
        <v>1</v>
      </c>
      <c r="AT165" s="189">
        <f xml:space="preserve"> Time!AT$163</f>
        <v>1</v>
      </c>
      <c r="AU165" s="189">
        <f xml:space="preserve"> Time!AU$163</f>
        <v>1</v>
      </c>
      <c r="AV165" s="189">
        <f xml:space="preserve"> Time!AV$163</f>
        <v>1</v>
      </c>
      <c r="AW165" s="189">
        <f xml:space="preserve"> Time!AW$163</f>
        <v>0</v>
      </c>
      <c r="AX165" s="189">
        <f xml:space="preserve"> Time!AX$163</f>
        <v>0</v>
      </c>
      <c r="AY165" s="189">
        <f xml:space="preserve"> Time!AY$163</f>
        <v>0</v>
      </c>
      <c r="AZ165" s="189">
        <f xml:space="preserve"> Time!AZ$163</f>
        <v>0</v>
      </c>
      <c r="BA165" s="189">
        <f xml:space="preserve"> Time!BA$163</f>
        <v>0</v>
      </c>
      <c r="BB165" s="189">
        <f xml:space="preserve"> Time!BB$163</f>
        <v>0</v>
      </c>
      <c r="BC165" s="189">
        <f xml:space="preserve"> Time!BC$163</f>
        <v>0</v>
      </c>
      <c r="BD165" s="189">
        <f xml:space="preserve"> Time!BD$163</f>
        <v>0</v>
      </c>
      <c r="BE165" s="189">
        <f xml:space="preserve"> Time!BE$163</f>
        <v>0</v>
      </c>
      <c r="BF165" s="189">
        <f xml:space="preserve"> Time!BF$163</f>
        <v>0</v>
      </c>
      <c r="BG165" s="189">
        <f xml:space="preserve"> Time!BG$163</f>
        <v>0</v>
      </c>
      <c r="BH165" s="189">
        <f xml:space="preserve"> Time!BH$163</f>
        <v>0</v>
      </c>
      <c r="BI165" s="189">
        <f xml:space="preserve"> Time!BI$163</f>
        <v>0</v>
      </c>
      <c r="BJ165" s="189">
        <f xml:space="preserve"> Time!BJ$163</f>
        <v>0</v>
      </c>
      <c r="BK165" s="189">
        <f xml:space="preserve"> Time!BK$163</f>
        <v>0</v>
      </c>
      <c r="BL165" s="189">
        <f xml:space="preserve"> Time!BL$163</f>
        <v>0</v>
      </c>
      <c r="BM165" s="189">
        <f xml:space="preserve"> Time!BM$163</f>
        <v>0</v>
      </c>
      <c r="BN165" s="189">
        <f xml:space="preserve"> Time!BN$163</f>
        <v>0</v>
      </c>
      <c r="BO165" s="189">
        <f xml:space="preserve"> Time!BO$163</f>
        <v>0</v>
      </c>
      <c r="BP165" s="189">
        <f xml:space="preserve"> Time!BP$163</f>
        <v>0</v>
      </c>
      <c r="BQ165" s="189">
        <f xml:space="preserve"> Time!BQ$163</f>
        <v>0</v>
      </c>
      <c r="BR165" s="189">
        <f xml:space="preserve"> Time!BR$163</f>
        <v>0</v>
      </c>
      <c r="BS165" s="189">
        <f xml:space="preserve"> Time!BS$163</f>
        <v>0</v>
      </c>
      <c r="BT165" s="189">
        <f xml:space="preserve"> Time!BT$163</f>
        <v>0</v>
      </c>
      <c r="BU165" s="189">
        <f xml:space="preserve"> Time!BU$163</f>
        <v>0</v>
      </c>
      <c r="BV165" s="189">
        <f xml:space="preserve"> Time!BV$163</f>
        <v>0</v>
      </c>
      <c r="BW165" s="189">
        <f xml:space="preserve"> Time!BW$163</f>
        <v>0</v>
      </c>
      <c r="BX165" s="189">
        <f xml:space="preserve"> Time!BX$163</f>
        <v>0</v>
      </c>
      <c r="BY165" s="189">
        <f xml:space="preserve"> Time!BY$163</f>
        <v>0</v>
      </c>
      <c r="BZ165" s="189">
        <f xml:space="preserve"> Time!BZ$163</f>
        <v>0</v>
      </c>
      <c r="CA165" s="189">
        <f xml:space="preserve"> Time!CA$163</f>
        <v>0</v>
      </c>
      <c r="CB165" s="189">
        <f xml:space="preserve"> Time!CB$163</f>
        <v>0</v>
      </c>
      <c r="CC165" s="189">
        <f xml:space="preserve"> Time!CC$163</f>
        <v>0</v>
      </c>
      <c r="CD165" s="189">
        <f xml:space="preserve"> Time!CD$163</f>
        <v>0</v>
      </c>
      <c r="CE165" s="189">
        <f xml:space="preserve"> Time!CE$163</f>
        <v>0</v>
      </c>
      <c r="CF165" s="189">
        <f xml:space="preserve"> Time!CF$163</f>
        <v>0</v>
      </c>
      <c r="CG165" s="189">
        <f xml:space="preserve"> Time!CG$163</f>
        <v>0</v>
      </c>
      <c r="CH165" s="189">
        <f xml:space="preserve"> Time!CH$163</f>
        <v>0</v>
      </c>
      <c r="CI165" s="189">
        <f xml:space="preserve"> Time!CI$163</f>
        <v>0</v>
      </c>
      <c r="CJ165" s="189">
        <f xml:space="preserve"> Time!CJ$163</f>
        <v>0</v>
      </c>
      <c r="CK165" s="189">
        <f xml:space="preserve"> Time!CK$163</f>
        <v>0</v>
      </c>
      <c r="CL165" s="189">
        <f xml:space="preserve"> Time!CL$163</f>
        <v>0</v>
      </c>
      <c r="CM165" s="189">
        <f xml:space="preserve"> Time!CM$163</f>
        <v>0</v>
      </c>
      <c r="CN165" s="189">
        <f xml:space="preserve"> Time!CN$163</f>
        <v>0</v>
      </c>
      <c r="CO165" s="189">
        <f xml:space="preserve"> Time!CO$163</f>
        <v>0</v>
      </c>
      <c r="CP165" s="189">
        <f xml:space="preserve"> Time!CP$163</f>
        <v>0</v>
      </c>
      <c r="CQ165" s="189">
        <f xml:space="preserve"> Time!CQ$163</f>
        <v>0</v>
      </c>
      <c r="CR165" s="189">
        <f xml:space="preserve"> Time!CR$163</f>
        <v>0</v>
      </c>
      <c r="CS165" s="189">
        <f xml:space="preserve"> Time!CS$163</f>
        <v>0</v>
      </c>
      <c r="CT165" s="189">
        <f xml:space="preserve"> Time!CT$163</f>
        <v>0</v>
      </c>
      <c r="CU165" s="189">
        <f xml:space="preserve"> Time!CU$163</f>
        <v>0</v>
      </c>
      <c r="CV165" s="189">
        <f xml:space="preserve"> Time!CV$163</f>
        <v>0</v>
      </c>
    </row>
    <row r="166" spans="1:100" ht="12.75" outlineLevel="2" x14ac:dyDescent="0.2">
      <c r="A166" s="236"/>
      <c r="B166" s="236"/>
      <c r="C166" s="237"/>
      <c r="D166" s="238"/>
      <c r="E166" s="310" t="s">
        <v>1005</v>
      </c>
      <c r="F166" s="310"/>
      <c r="G166" s="310" t="str">
        <f xml:space="preserve"> SMU</f>
        <v>$ 000s</v>
      </c>
      <c r="H166" s="310">
        <f xml:space="preserve"> SUM(J166:CV166)</f>
        <v>116236.33664611027</v>
      </c>
      <c r="I166" s="310"/>
      <c r="J166" s="310">
        <f t="shared" ref="J166:AO166" si="99" xml:space="preserve"> ($F163 - J164) * J165</f>
        <v>0</v>
      </c>
      <c r="K166" s="310">
        <f t="shared" si="99"/>
        <v>0</v>
      </c>
      <c r="L166" s="310">
        <f t="shared" si="99"/>
        <v>0</v>
      </c>
      <c r="M166" s="310">
        <f t="shared" si="99"/>
        <v>0</v>
      </c>
      <c r="N166" s="310">
        <f t="shared" si="99"/>
        <v>0</v>
      </c>
      <c r="O166" s="310">
        <f t="shared" si="99"/>
        <v>2464.510489138218</v>
      </c>
      <c r="P166" s="310">
        <f t="shared" si="99"/>
        <v>2569.3042800785415</v>
      </c>
      <c r="Q166" s="310">
        <f t="shared" si="99"/>
        <v>2577.6997325571738</v>
      </c>
      <c r="R166" s="310">
        <f t="shared" si="99"/>
        <v>2670.646908572226</v>
      </c>
      <c r="S166" s="310">
        <f t="shared" si="99"/>
        <v>2682.2989157976381</v>
      </c>
      <c r="T166" s="310">
        <f t="shared" si="99"/>
        <v>2775.1521707463799</v>
      </c>
      <c r="U166" s="310">
        <f t="shared" si="99"/>
        <v>2790.1761445318439</v>
      </c>
      <c r="V166" s="310">
        <f t="shared" si="99"/>
        <v>2870.410010540259</v>
      </c>
      <c r="W166" s="310">
        <f t="shared" si="99"/>
        <v>2901.3689514573334</v>
      </c>
      <c r="X166" s="310">
        <f t="shared" si="99"/>
        <v>2993.9359519422551</v>
      </c>
      <c r="Y166" s="310">
        <f t="shared" si="99"/>
        <v>2914.3478052226187</v>
      </c>
      <c r="Z166" s="310">
        <f t="shared" si="99"/>
        <v>3009.6395466772683</v>
      </c>
      <c r="AA166" s="310">
        <f t="shared" si="99"/>
        <v>3034.9766569994745</v>
      </c>
      <c r="AB166" s="310">
        <f t="shared" si="99"/>
        <v>3130.3187456630462</v>
      </c>
      <c r="AC166" s="310">
        <f t="shared" si="99"/>
        <v>3159.7119137951668</v>
      </c>
      <c r="AD166" s="310">
        <f t="shared" si="99"/>
        <v>3244.6430901020804</v>
      </c>
      <c r="AE166" s="310">
        <f t="shared" si="99"/>
        <v>3288.6789188392609</v>
      </c>
      <c r="AF166" s="310">
        <f t="shared" si="99"/>
        <v>3384.0461432373709</v>
      </c>
      <c r="AG166" s="310">
        <f t="shared" si="99"/>
        <v>3422.0192547764755</v>
      </c>
      <c r="AH166" s="310">
        <f t="shared" si="99"/>
        <v>3517.6284893959992</v>
      </c>
      <c r="AI166" s="310">
        <f t="shared" si="99"/>
        <v>3487.7884207035368</v>
      </c>
      <c r="AJ166" s="310">
        <f t="shared" si="99"/>
        <v>3586.4896785596602</v>
      </c>
      <c r="AK166" s="310">
        <f t="shared" si="99"/>
        <v>3634.5240706526438</v>
      </c>
      <c r="AL166" s="310">
        <f t="shared" si="99"/>
        <v>3725.7220184628763</v>
      </c>
      <c r="AM166" s="310">
        <f t="shared" si="99"/>
        <v>3786.8267057225312</v>
      </c>
      <c r="AN166" s="310">
        <f t="shared" si="99"/>
        <v>3886.0960805488312</v>
      </c>
      <c r="AO166" s="310">
        <f t="shared" si="99"/>
        <v>3944.7897933087247</v>
      </c>
      <c r="AP166" s="310">
        <f t="shared" ref="AP166:BU166" si="100" xml:space="preserve"> ($F163 - AP164) * AP165</f>
        <v>4044.5971757849411</v>
      </c>
      <c r="AQ166" s="310">
        <f t="shared" si="100"/>
        <v>4108.9650562444858</v>
      </c>
      <c r="AR166" s="310">
        <f t="shared" si="100"/>
        <v>4209.2164868414493</v>
      </c>
      <c r="AS166" s="310">
        <f t="shared" si="100"/>
        <v>4279.5012229063313</v>
      </c>
      <c r="AT166" s="310">
        <f t="shared" si="100"/>
        <v>4499.6119520565608</v>
      </c>
      <c r="AU166" s="310">
        <f t="shared" si="100"/>
        <v>4708.3958193466779</v>
      </c>
      <c r="AV166" s="310">
        <f t="shared" si="100"/>
        <v>4932.298044900379</v>
      </c>
      <c r="AW166" s="310">
        <f t="shared" si="100"/>
        <v>0</v>
      </c>
      <c r="AX166" s="310">
        <f t="shared" si="100"/>
        <v>0</v>
      </c>
      <c r="AY166" s="310">
        <f t="shared" si="100"/>
        <v>0</v>
      </c>
      <c r="AZ166" s="310">
        <f t="shared" si="100"/>
        <v>0</v>
      </c>
      <c r="BA166" s="310">
        <f t="shared" si="100"/>
        <v>0</v>
      </c>
      <c r="BB166" s="310">
        <f t="shared" si="100"/>
        <v>0</v>
      </c>
      <c r="BC166" s="310">
        <f t="shared" si="100"/>
        <v>0</v>
      </c>
      <c r="BD166" s="310">
        <f t="shared" si="100"/>
        <v>0</v>
      </c>
      <c r="BE166" s="310">
        <f t="shared" si="100"/>
        <v>0</v>
      </c>
      <c r="BF166" s="310">
        <f t="shared" si="100"/>
        <v>0</v>
      </c>
      <c r="BG166" s="310">
        <f t="shared" si="100"/>
        <v>0</v>
      </c>
      <c r="BH166" s="310">
        <f t="shared" si="100"/>
        <v>0</v>
      </c>
      <c r="BI166" s="310">
        <f t="shared" si="100"/>
        <v>0</v>
      </c>
      <c r="BJ166" s="310">
        <f t="shared" si="100"/>
        <v>0</v>
      </c>
      <c r="BK166" s="310">
        <f t="shared" si="100"/>
        <v>0</v>
      </c>
      <c r="BL166" s="310">
        <f t="shared" si="100"/>
        <v>0</v>
      </c>
      <c r="BM166" s="310">
        <f t="shared" si="100"/>
        <v>0</v>
      </c>
      <c r="BN166" s="310">
        <f t="shared" si="100"/>
        <v>0</v>
      </c>
      <c r="BO166" s="310">
        <f t="shared" si="100"/>
        <v>0</v>
      </c>
      <c r="BP166" s="310">
        <f t="shared" si="100"/>
        <v>0</v>
      </c>
      <c r="BQ166" s="310">
        <f t="shared" si="100"/>
        <v>0</v>
      </c>
      <c r="BR166" s="310">
        <f t="shared" si="100"/>
        <v>0</v>
      </c>
      <c r="BS166" s="310">
        <f t="shared" si="100"/>
        <v>0</v>
      </c>
      <c r="BT166" s="310">
        <f t="shared" si="100"/>
        <v>0</v>
      </c>
      <c r="BU166" s="310">
        <f t="shared" si="100"/>
        <v>0</v>
      </c>
      <c r="BV166" s="310">
        <f t="shared" ref="BV166:CV166" si="101" xml:space="preserve"> ($F163 - BV164) * BV165</f>
        <v>0</v>
      </c>
      <c r="BW166" s="310">
        <f t="shared" si="101"/>
        <v>0</v>
      </c>
      <c r="BX166" s="310">
        <f t="shared" si="101"/>
        <v>0</v>
      </c>
      <c r="BY166" s="310">
        <f t="shared" si="101"/>
        <v>0</v>
      </c>
      <c r="BZ166" s="310">
        <f t="shared" si="101"/>
        <v>0</v>
      </c>
      <c r="CA166" s="310">
        <f t="shared" si="101"/>
        <v>0</v>
      </c>
      <c r="CB166" s="310">
        <f t="shared" si="101"/>
        <v>0</v>
      </c>
      <c r="CC166" s="310">
        <f t="shared" si="101"/>
        <v>0</v>
      </c>
      <c r="CD166" s="310">
        <f t="shared" si="101"/>
        <v>0</v>
      </c>
      <c r="CE166" s="310">
        <f t="shared" si="101"/>
        <v>0</v>
      </c>
      <c r="CF166" s="310">
        <f t="shared" si="101"/>
        <v>0</v>
      </c>
      <c r="CG166" s="310">
        <f t="shared" si="101"/>
        <v>0</v>
      </c>
      <c r="CH166" s="310">
        <f t="shared" si="101"/>
        <v>0</v>
      </c>
      <c r="CI166" s="310">
        <f t="shared" si="101"/>
        <v>0</v>
      </c>
      <c r="CJ166" s="310">
        <f t="shared" si="101"/>
        <v>0</v>
      </c>
      <c r="CK166" s="310">
        <f t="shared" si="101"/>
        <v>0</v>
      </c>
      <c r="CL166" s="310">
        <f t="shared" si="101"/>
        <v>0</v>
      </c>
      <c r="CM166" s="310">
        <f t="shared" si="101"/>
        <v>0</v>
      </c>
      <c r="CN166" s="310">
        <f t="shared" si="101"/>
        <v>0</v>
      </c>
      <c r="CO166" s="310">
        <f t="shared" si="101"/>
        <v>0</v>
      </c>
      <c r="CP166" s="310">
        <f t="shared" si="101"/>
        <v>0</v>
      </c>
      <c r="CQ166" s="310">
        <f t="shared" si="101"/>
        <v>0</v>
      </c>
      <c r="CR166" s="310">
        <f t="shared" si="101"/>
        <v>0</v>
      </c>
      <c r="CS166" s="310">
        <f t="shared" si="101"/>
        <v>0</v>
      </c>
      <c r="CT166" s="310">
        <f t="shared" si="101"/>
        <v>0</v>
      </c>
      <c r="CU166" s="310">
        <f t="shared" si="101"/>
        <v>0</v>
      </c>
      <c r="CV166" s="310">
        <f t="shared" si="101"/>
        <v>0</v>
      </c>
    </row>
    <row r="167" spans="1:100" ht="12.75" outlineLevel="2" x14ac:dyDescent="0.2">
      <c r="A167" s="236"/>
      <c r="B167" s="236"/>
      <c r="C167" s="237"/>
      <c r="D167" s="238"/>
      <c r="E167" s="310"/>
      <c r="F167" s="310"/>
      <c r="G167" s="310"/>
      <c r="H167" s="310"/>
      <c r="I167" s="310"/>
      <c r="J167" s="310"/>
      <c r="K167" s="310"/>
      <c r="L167" s="310"/>
      <c r="M167" s="310"/>
      <c r="N167" s="310"/>
      <c r="O167" s="310"/>
      <c r="P167" s="310"/>
      <c r="Q167" s="310"/>
      <c r="R167" s="310"/>
      <c r="S167" s="310"/>
      <c r="T167" s="310"/>
      <c r="U167" s="310"/>
      <c r="V167" s="310"/>
      <c r="W167" s="310"/>
      <c r="X167" s="310"/>
      <c r="Y167" s="310"/>
      <c r="Z167" s="310"/>
      <c r="AA167" s="310"/>
      <c r="AB167" s="310"/>
      <c r="AC167" s="310"/>
      <c r="AD167" s="310"/>
      <c r="AE167" s="310"/>
      <c r="AF167" s="310"/>
      <c r="AG167" s="310"/>
      <c r="AH167" s="310"/>
      <c r="AI167" s="310"/>
      <c r="AJ167" s="310"/>
      <c r="AK167" s="310"/>
      <c r="AL167" s="310"/>
      <c r="AM167" s="310"/>
      <c r="AN167" s="310"/>
      <c r="AO167" s="310"/>
      <c r="AP167" s="310"/>
      <c r="AQ167" s="310"/>
      <c r="AR167" s="310"/>
      <c r="AS167" s="310"/>
      <c r="AT167" s="310"/>
      <c r="AU167" s="310"/>
      <c r="AV167" s="310"/>
      <c r="AW167" s="310"/>
      <c r="AX167" s="310"/>
      <c r="AY167" s="310"/>
      <c r="AZ167" s="310"/>
      <c r="BA167" s="310"/>
      <c r="BB167" s="310"/>
      <c r="BC167" s="310"/>
      <c r="BD167" s="310"/>
      <c r="BE167" s="310"/>
      <c r="BF167" s="310"/>
      <c r="BG167" s="310"/>
      <c r="BH167" s="310"/>
      <c r="BI167" s="310"/>
      <c r="BJ167" s="310"/>
      <c r="BK167" s="310"/>
      <c r="BL167" s="310"/>
      <c r="BM167" s="310"/>
      <c r="BN167" s="310"/>
      <c r="BO167" s="310"/>
      <c r="BP167" s="310"/>
      <c r="BQ167" s="310"/>
      <c r="BR167" s="310"/>
      <c r="BS167" s="310"/>
      <c r="BT167" s="310"/>
      <c r="BU167" s="310"/>
      <c r="BV167" s="310"/>
      <c r="BW167" s="310"/>
      <c r="BX167" s="310"/>
      <c r="BY167" s="310"/>
      <c r="BZ167" s="310"/>
      <c r="CA167" s="310"/>
      <c r="CB167" s="310"/>
      <c r="CC167" s="310"/>
      <c r="CD167" s="310"/>
      <c r="CE167" s="310"/>
      <c r="CF167" s="310"/>
      <c r="CG167" s="310"/>
      <c r="CH167" s="310"/>
      <c r="CI167" s="310"/>
      <c r="CJ167" s="310"/>
      <c r="CK167" s="310"/>
      <c r="CL167" s="310"/>
      <c r="CM167" s="310"/>
      <c r="CN167" s="310"/>
      <c r="CO167" s="310"/>
      <c r="CP167" s="310"/>
      <c r="CQ167" s="310"/>
      <c r="CR167" s="310"/>
      <c r="CS167" s="310"/>
      <c r="CT167" s="310"/>
      <c r="CU167" s="310"/>
      <c r="CV167" s="310"/>
    </row>
    <row r="168" spans="1:100" ht="12.75" outlineLevel="2" x14ac:dyDescent="0.2">
      <c r="A168" s="236"/>
      <c r="B168" s="236"/>
      <c r="C168" s="237"/>
      <c r="D168" s="238"/>
      <c r="E168" s="390" t="str">
        <f xml:space="preserve"> InpC!E$263</f>
        <v>Senior debt - T1 principal repayment profile</v>
      </c>
      <c r="F168" s="390">
        <f xml:space="preserve"> InpC!F$263</f>
        <v>2</v>
      </c>
      <c r="G168" s="390" t="str">
        <f xml:space="preserve"> InpC!G$263</f>
        <v>1 = level p, 2 = sculpted, 3 = level ds</v>
      </c>
      <c r="H168" s="440"/>
      <c r="I168" s="310"/>
      <c r="J168" s="310"/>
      <c r="K168" s="310"/>
      <c r="L168" s="310"/>
      <c r="M168" s="310"/>
      <c r="N168" s="310"/>
      <c r="O168" s="310"/>
      <c r="P168" s="310"/>
      <c r="Q168" s="310"/>
      <c r="R168" s="310"/>
      <c r="S168" s="310"/>
      <c r="T168" s="310"/>
      <c r="U168" s="310"/>
      <c r="V168" s="310"/>
      <c r="W168" s="310"/>
      <c r="X168" s="310"/>
      <c r="Y168" s="310"/>
      <c r="Z168" s="310"/>
      <c r="AA168" s="310"/>
      <c r="AB168" s="310"/>
      <c r="AC168" s="310"/>
      <c r="AD168" s="310"/>
      <c r="AE168" s="310"/>
      <c r="AF168" s="310"/>
      <c r="AG168" s="310"/>
      <c r="AH168" s="310"/>
      <c r="AI168" s="310"/>
      <c r="AJ168" s="310"/>
      <c r="AK168" s="310"/>
      <c r="AL168" s="310"/>
      <c r="AM168" s="310"/>
      <c r="AN168" s="310"/>
      <c r="AO168" s="310"/>
      <c r="AP168" s="310"/>
      <c r="AQ168" s="310"/>
      <c r="AR168" s="310"/>
      <c r="AS168" s="310"/>
      <c r="AT168" s="310"/>
      <c r="AU168" s="310"/>
      <c r="AV168" s="310"/>
      <c r="AW168" s="310"/>
      <c r="AX168" s="310"/>
      <c r="AY168" s="310"/>
      <c r="AZ168" s="310"/>
      <c r="BA168" s="310"/>
      <c r="BB168" s="310"/>
      <c r="BC168" s="310"/>
      <c r="BD168" s="310"/>
      <c r="BE168" s="310"/>
      <c r="BF168" s="310"/>
      <c r="BG168" s="310"/>
      <c r="BH168" s="310"/>
      <c r="BI168" s="310"/>
      <c r="BJ168" s="310"/>
      <c r="BK168" s="310"/>
      <c r="BL168" s="310"/>
      <c r="BM168" s="310"/>
      <c r="BN168" s="310"/>
      <c r="BO168" s="310"/>
      <c r="BP168" s="310"/>
      <c r="BQ168" s="310"/>
      <c r="BR168" s="310"/>
      <c r="BS168" s="310"/>
      <c r="BT168" s="310"/>
      <c r="BU168" s="310"/>
      <c r="BV168" s="310"/>
      <c r="BW168" s="310"/>
      <c r="BX168" s="310"/>
      <c r="BY168" s="310"/>
      <c r="BZ168" s="310"/>
      <c r="CA168" s="310"/>
      <c r="CB168" s="310"/>
      <c r="CC168" s="310"/>
      <c r="CD168" s="310"/>
      <c r="CE168" s="310"/>
      <c r="CF168" s="310"/>
      <c r="CG168" s="310"/>
      <c r="CH168" s="310"/>
      <c r="CI168" s="310"/>
      <c r="CJ168" s="310"/>
      <c r="CK168" s="310"/>
      <c r="CL168" s="310"/>
      <c r="CM168" s="310"/>
      <c r="CN168" s="310"/>
      <c r="CO168" s="310"/>
      <c r="CP168" s="310"/>
      <c r="CQ168" s="310"/>
      <c r="CR168" s="310"/>
      <c r="CS168" s="310"/>
      <c r="CT168" s="310"/>
      <c r="CU168" s="310"/>
      <c r="CV168" s="310"/>
    </row>
    <row r="169" spans="1:100" ht="12.75" outlineLevel="2" x14ac:dyDescent="0.2">
      <c r="A169" s="236"/>
      <c r="B169" s="236"/>
      <c r="C169" s="237"/>
      <c r="D169" s="238"/>
      <c r="E169" s="9" t="str">
        <f t="shared" ref="E169:AJ169" si="102" xml:space="preserve"> E$142</f>
        <v>Senior debt level principal repayment - T1</v>
      </c>
      <c r="F169" s="9">
        <f t="shared" si="102"/>
        <v>0</v>
      </c>
      <c r="G169" s="9" t="str">
        <f t="shared" si="102"/>
        <v>$ 000s</v>
      </c>
      <c r="H169" s="9">
        <f t="shared" si="102"/>
        <v>125194.92613015336</v>
      </c>
      <c r="I169" s="9">
        <f t="shared" si="102"/>
        <v>0</v>
      </c>
      <c r="J169" s="9">
        <f t="shared" si="102"/>
        <v>0</v>
      </c>
      <c r="K169" s="9">
        <f t="shared" si="102"/>
        <v>0</v>
      </c>
      <c r="L169" s="9">
        <f t="shared" si="102"/>
        <v>0</v>
      </c>
      <c r="M169" s="9">
        <f t="shared" si="102"/>
        <v>0</v>
      </c>
      <c r="N169" s="9">
        <f t="shared" si="102"/>
        <v>0</v>
      </c>
      <c r="O169" s="9">
        <f t="shared" si="102"/>
        <v>3682.2037097103953</v>
      </c>
      <c r="P169" s="9">
        <f t="shared" si="102"/>
        <v>3682.2037097103953</v>
      </c>
      <c r="Q169" s="9">
        <f t="shared" si="102"/>
        <v>3682.2037097103953</v>
      </c>
      <c r="R169" s="9">
        <f t="shared" si="102"/>
        <v>3682.2037097103953</v>
      </c>
      <c r="S169" s="9">
        <f t="shared" si="102"/>
        <v>3682.2037097103953</v>
      </c>
      <c r="T169" s="9">
        <f t="shared" si="102"/>
        <v>3682.2037097103953</v>
      </c>
      <c r="U169" s="9">
        <f t="shared" si="102"/>
        <v>3682.2037097103953</v>
      </c>
      <c r="V169" s="9">
        <f t="shared" si="102"/>
        <v>3682.2037097103953</v>
      </c>
      <c r="W169" s="9">
        <f t="shared" si="102"/>
        <v>3682.2037097103953</v>
      </c>
      <c r="X169" s="9">
        <f t="shared" si="102"/>
        <v>3682.2037097103953</v>
      </c>
      <c r="Y169" s="9">
        <f t="shared" si="102"/>
        <v>3682.2037097103953</v>
      </c>
      <c r="Z169" s="9">
        <f t="shared" si="102"/>
        <v>3682.2037097103953</v>
      </c>
      <c r="AA169" s="9">
        <f t="shared" si="102"/>
        <v>3682.2037097103953</v>
      </c>
      <c r="AB169" s="9">
        <f t="shared" si="102"/>
        <v>3682.2037097103953</v>
      </c>
      <c r="AC169" s="9">
        <f t="shared" si="102"/>
        <v>3682.2037097103953</v>
      </c>
      <c r="AD169" s="9">
        <f t="shared" si="102"/>
        <v>3682.2037097103953</v>
      </c>
      <c r="AE169" s="9">
        <f t="shared" si="102"/>
        <v>3682.2037097103953</v>
      </c>
      <c r="AF169" s="9">
        <f t="shared" si="102"/>
        <v>3682.2037097103953</v>
      </c>
      <c r="AG169" s="9">
        <f t="shared" si="102"/>
        <v>3682.2037097103953</v>
      </c>
      <c r="AH169" s="9">
        <f t="shared" si="102"/>
        <v>3682.2037097103953</v>
      </c>
      <c r="AI169" s="9">
        <f t="shared" si="102"/>
        <v>3682.2037097103953</v>
      </c>
      <c r="AJ169" s="9">
        <f t="shared" si="102"/>
        <v>3682.2037097103953</v>
      </c>
      <c r="AK169" s="9">
        <f t="shared" ref="AK169:BP169" si="103" xml:space="preserve"> AK$142</f>
        <v>3682.2037097103953</v>
      </c>
      <c r="AL169" s="9">
        <f t="shared" si="103"/>
        <v>3682.2037097103953</v>
      </c>
      <c r="AM169" s="9">
        <f t="shared" si="103"/>
        <v>3682.2037097103953</v>
      </c>
      <c r="AN169" s="9">
        <f t="shared" si="103"/>
        <v>3682.2037097103953</v>
      </c>
      <c r="AO169" s="9">
        <f t="shared" si="103"/>
        <v>3682.2037097103953</v>
      </c>
      <c r="AP169" s="9">
        <f t="shared" si="103"/>
        <v>3682.2037097103953</v>
      </c>
      <c r="AQ169" s="9">
        <f t="shared" si="103"/>
        <v>3682.2037097103953</v>
      </c>
      <c r="AR169" s="9">
        <f t="shared" si="103"/>
        <v>3682.2037097103953</v>
      </c>
      <c r="AS169" s="9">
        <f t="shared" si="103"/>
        <v>3682.2037097103953</v>
      </c>
      <c r="AT169" s="9">
        <f t="shared" si="103"/>
        <v>3682.2037097103953</v>
      </c>
      <c r="AU169" s="9">
        <f t="shared" si="103"/>
        <v>3682.2037097103953</v>
      </c>
      <c r="AV169" s="9">
        <f t="shared" si="103"/>
        <v>3682.2037097103953</v>
      </c>
      <c r="AW169" s="9">
        <f t="shared" si="103"/>
        <v>0</v>
      </c>
      <c r="AX169" s="9">
        <f t="shared" si="103"/>
        <v>0</v>
      </c>
      <c r="AY169" s="9">
        <f t="shared" si="103"/>
        <v>0</v>
      </c>
      <c r="AZ169" s="9">
        <f t="shared" si="103"/>
        <v>0</v>
      </c>
      <c r="BA169" s="9">
        <f t="shared" si="103"/>
        <v>0</v>
      </c>
      <c r="BB169" s="9">
        <f t="shared" si="103"/>
        <v>0</v>
      </c>
      <c r="BC169" s="9">
        <f t="shared" si="103"/>
        <v>0</v>
      </c>
      <c r="BD169" s="9">
        <f t="shared" si="103"/>
        <v>0</v>
      </c>
      <c r="BE169" s="9">
        <f t="shared" si="103"/>
        <v>0</v>
      </c>
      <c r="BF169" s="9">
        <f t="shared" si="103"/>
        <v>0</v>
      </c>
      <c r="BG169" s="9">
        <f t="shared" si="103"/>
        <v>0</v>
      </c>
      <c r="BH169" s="9">
        <f t="shared" si="103"/>
        <v>0</v>
      </c>
      <c r="BI169" s="9">
        <f t="shared" si="103"/>
        <v>0</v>
      </c>
      <c r="BJ169" s="9">
        <f t="shared" si="103"/>
        <v>0</v>
      </c>
      <c r="BK169" s="9">
        <f t="shared" si="103"/>
        <v>0</v>
      </c>
      <c r="BL169" s="9">
        <f t="shared" si="103"/>
        <v>0</v>
      </c>
      <c r="BM169" s="9">
        <f t="shared" si="103"/>
        <v>0</v>
      </c>
      <c r="BN169" s="9">
        <f t="shared" si="103"/>
        <v>0</v>
      </c>
      <c r="BO169" s="9">
        <f t="shared" si="103"/>
        <v>0</v>
      </c>
      <c r="BP169" s="9">
        <f t="shared" si="103"/>
        <v>0</v>
      </c>
      <c r="BQ169" s="9">
        <f t="shared" ref="BQ169:CV169" si="104" xml:space="preserve"> BQ$142</f>
        <v>0</v>
      </c>
      <c r="BR169" s="9">
        <f t="shared" si="104"/>
        <v>0</v>
      </c>
      <c r="BS169" s="9">
        <f t="shared" si="104"/>
        <v>0</v>
      </c>
      <c r="BT169" s="9">
        <f t="shared" si="104"/>
        <v>0</v>
      </c>
      <c r="BU169" s="9">
        <f t="shared" si="104"/>
        <v>0</v>
      </c>
      <c r="BV169" s="9">
        <f t="shared" si="104"/>
        <v>0</v>
      </c>
      <c r="BW169" s="9">
        <f t="shared" si="104"/>
        <v>0</v>
      </c>
      <c r="BX169" s="9">
        <f t="shared" si="104"/>
        <v>0</v>
      </c>
      <c r="BY169" s="9">
        <f t="shared" si="104"/>
        <v>0</v>
      </c>
      <c r="BZ169" s="9">
        <f t="shared" si="104"/>
        <v>0</v>
      </c>
      <c r="CA169" s="9">
        <f t="shared" si="104"/>
        <v>0</v>
      </c>
      <c r="CB169" s="9">
        <f t="shared" si="104"/>
        <v>0</v>
      </c>
      <c r="CC169" s="9">
        <f t="shared" si="104"/>
        <v>0</v>
      </c>
      <c r="CD169" s="9">
        <f t="shared" si="104"/>
        <v>0</v>
      </c>
      <c r="CE169" s="9">
        <f t="shared" si="104"/>
        <v>0</v>
      </c>
      <c r="CF169" s="9">
        <f t="shared" si="104"/>
        <v>0</v>
      </c>
      <c r="CG169" s="9">
        <f t="shared" si="104"/>
        <v>0</v>
      </c>
      <c r="CH169" s="9">
        <f t="shared" si="104"/>
        <v>0</v>
      </c>
      <c r="CI169" s="9">
        <f t="shared" si="104"/>
        <v>0</v>
      </c>
      <c r="CJ169" s="9">
        <f t="shared" si="104"/>
        <v>0</v>
      </c>
      <c r="CK169" s="9">
        <f t="shared" si="104"/>
        <v>0</v>
      </c>
      <c r="CL169" s="9">
        <f t="shared" si="104"/>
        <v>0</v>
      </c>
      <c r="CM169" s="9">
        <f t="shared" si="104"/>
        <v>0</v>
      </c>
      <c r="CN169" s="9">
        <f t="shared" si="104"/>
        <v>0</v>
      </c>
      <c r="CO169" s="9">
        <f t="shared" si="104"/>
        <v>0</v>
      </c>
      <c r="CP169" s="9">
        <f t="shared" si="104"/>
        <v>0</v>
      </c>
      <c r="CQ169" s="9">
        <f t="shared" si="104"/>
        <v>0</v>
      </c>
      <c r="CR169" s="9">
        <f t="shared" si="104"/>
        <v>0</v>
      </c>
      <c r="CS169" s="9">
        <f t="shared" si="104"/>
        <v>0</v>
      </c>
      <c r="CT169" s="9">
        <f t="shared" si="104"/>
        <v>0</v>
      </c>
      <c r="CU169" s="9">
        <f t="shared" si="104"/>
        <v>0</v>
      </c>
      <c r="CV169" s="9">
        <f t="shared" si="104"/>
        <v>0</v>
      </c>
    </row>
    <row r="170" spans="1:100" s="495" customFormat="1" ht="12.75" outlineLevel="2" x14ac:dyDescent="0.2">
      <c r="A170" s="236"/>
      <c r="B170" s="236"/>
      <c r="C170" s="237"/>
      <c r="D170" s="238"/>
      <c r="E170" s="151" t="str">
        <f t="shared" ref="E170:AJ170" si="105" xml:space="preserve"> E$148</f>
        <v>Senior debt sculpted principal repayment  - T1</v>
      </c>
      <c r="F170" s="151">
        <f t="shared" si="105"/>
        <v>0</v>
      </c>
      <c r="G170" s="151" t="str">
        <f t="shared" si="105"/>
        <v>$ 000s</v>
      </c>
      <c r="H170" s="151">
        <f t="shared" si="105"/>
        <v>125194.91719940645</v>
      </c>
      <c r="I170" s="151">
        <f t="shared" si="105"/>
        <v>0</v>
      </c>
      <c r="J170" s="151">
        <f t="shared" si="105"/>
        <v>0</v>
      </c>
      <c r="K170" s="151">
        <f t="shared" si="105"/>
        <v>0</v>
      </c>
      <c r="L170" s="151">
        <f t="shared" si="105"/>
        <v>0</v>
      </c>
      <c r="M170" s="151">
        <f t="shared" si="105"/>
        <v>0</v>
      </c>
      <c r="N170" s="151">
        <f t="shared" si="105"/>
        <v>0</v>
      </c>
      <c r="O170" s="151">
        <f t="shared" si="105"/>
        <v>2887.5559402558642</v>
      </c>
      <c r="P170" s="151">
        <f t="shared" si="105"/>
        <v>2385.2339720203081</v>
      </c>
      <c r="Q170" s="151">
        <f t="shared" si="105"/>
        <v>2413.9425138346728</v>
      </c>
      <c r="R170" s="151">
        <f t="shared" si="105"/>
        <v>2458.6893656400935</v>
      </c>
      <c r="S170" s="151">
        <f t="shared" si="105"/>
        <v>2490.2566500005801</v>
      </c>
      <c r="T170" s="151">
        <f t="shared" si="105"/>
        <v>2535.0791910181429</v>
      </c>
      <c r="U170" s="151">
        <f t="shared" si="105"/>
        <v>2569.6177821380879</v>
      </c>
      <c r="V170" s="151">
        <f t="shared" si="105"/>
        <v>2610.1704378213981</v>
      </c>
      <c r="W170" s="151">
        <f t="shared" si="105"/>
        <v>2645.8465076319576</v>
      </c>
      <c r="X170" s="151">
        <f t="shared" si="105"/>
        <v>2696.9289772771976</v>
      </c>
      <c r="Y170" s="151">
        <f t="shared" si="105"/>
        <v>2658.3139015049769</v>
      </c>
      <c r="Z170" s="151">
        <f t="shared" si="105"/>
        <v>2705.6163004790551</v>
      </c>
      <c r="AA170" s="151">
        <f t="shared" si="105"/>
        <v>2749.4946924747524</v>
      </c>
      <c r="AB170" s="151">
        <f t="shared" si="105"/>
        <v>2797.0325486018696</v>
      </c>
      <c r="AC170" s="151">
        <f t="shared" si="105"/>
        <v>2844.5553314088329</v>
      </c>
      <c r="AD170" s="151">
        <f t="shared" si="105"/>
        <v>2890.1425110643613</v>
      </c>
      <c r="AE170" s="151">
        <f t="shared" si="105"/>
        <v>2937.6125561234057</v>
      </c>
      <c r="AF170" s="151">
        <f t="shared" si="105"/>
        <v>2991.5515602678001</v>
      </c>
      <c r="AG170" s="151">
        <f t="shared" si="105"/>
        <v>3046.825688173325</v>
      </c>
      <c r="AH170" s="151">
        <f t="shared" si="105"/>
        <v>3095.2027621018406</v>
      </c>
      <c r="AI170" s="151">
        <f t="shared" si="105"/>
        <v>3094.4131986164552</v>
      </c>
      <c r="AJ170" s="151">
        <f t="shared" si="105"/>
        <v>3146.7050683987673</v>
      </c>
      <c r="AK170" s="151">
        <f t="shared" ref="AK170:BP170" si="106" xml:space="preserve"> AK$148</f>
        <v>3212.2786565710981</v>
      </c>
      <c r="AL170" s="151">
        <f t="shared" si="106"/>
        <v>3265.6206179632113</v>
      </c>
      <c r="AM170" s="151">
        <f t="shared" si="106"/>
        <v>3329.789927366478</v>
      </c>
      <c r="AN170" s="151">
        <f t="shared" si="106"/>
        <v>3388.8658133133972</v>
      </c>
      <c r="AO170" s="151">
        <f t="shared" si="106"/>
        <v>3464.411270051346</v>
      </c>
      <c r="AP170" s="151">
        <f t="shared" si="106"/>
        <v>3518.4674069014272</v>
      </c>
      <c r="AQ170" s="151">
        <f t="shared" si="106"/>
        <v>3599.3493728978069</v>
      </c>
      <c r="AR170" s="151">
        <f t="shared" si="106"/>
        <v>3654.078117430216</v>
      </c>
      <c r="AS170" s="151">
        <f t="shared" si="106"/>
        <v>9057.047811309134</v>
      </c>
      <c r="AT170" s="151">
        <f t="shared" si="106"/>
        <v>9185.154991734762</v>
      </c>
      <c r="AU170" s="151">
        <f t="shared" si="106"/>
        <v>9368.3441124918645</v>
      </c>
      <c r="AV170" s="151">
        <f t="shared" si="106"/>
        <v>9500.7216445219492</v>
      </c>
      <c r="AW170" s="151">
        <f t="shared" si="106"/>
        <v>0</v>
      </c>
      <c r="AX170" s="151">
        <f t="shared" si="106"/>
        <v>0</v>
      </c>
      <c r="AY170" s="151">
        <f t="shared" si="106"/>
        <v>0</v>
      </c>
      <c r="AZ170" s="151">
        <f t="shared" si="106"/>
        <v>0</v>
      </c>
      <c r="BA170" s="151">
        <f t="shared" si="106"/>
        <v>0</v>
      </c>
      <c r="BB170" s="151">
        <f t="shared" si="106"/>
        <v>0</v>
      </c>
      <c r="BC170" s="151">
        <f t="shared" si="106"/>
        <v>0</v>
      </c>
      <c r="BD170" s="151">
        <f t="shared" si="106"/>
        <v>0</v>
      </c>
      <c r="BE170" s="151">
        <f t="shared" si="106"/>
        <v>0</v>
      </c>
      <c r="BF170" s="151">
        <f t="shared" si="106"/>
        <v>0</v>
      </c>
      <c r="BG170" s="151">
        <f t="shared" si="106"/>
        <v>0</v>
      </c>
      <c r="BH170" s="151">
        <f t="shared" si="106"/>
        <v>0</v>
      </c>
      <c r="BI170" s="151">
        <f t="shared" si="106"/>
        <v>0</v>
      </c>
      <c r="BJ170" s="151">
        <f t="shared" si="106"/>
        <v>0</v>
      </c>
      <c r="BK170" s="151">
        <f t="shared" si="106"/>
        <v>0</v>
      </c>
      <c r="BL170" s="151">
        <f t="shared" si="106"/>
        <v>0</v>
      </c>
      <c r="BM170" s="151">
        <f t="shared" si="106"/>
        <v>0</v>
      </c>
      <c r="BN170" s="151">
        <f t="shared" si="106"/>
        <v>0</v>
      </c>
      <c r="BO170" s="151">
        <f t="shared" si="106"/>
        <v>0</v>
      </c>
      <c r="BP170" s="151">
        <f t="shared" si="106"/>
        <v>0</v>
      </c>
      <c r="BQ170" s="151">
        <f t="shared" ref="BQ170:CV170" si="107" xml:space="preserve"> BQ$148</f>
        <v>0</v>
      </c>
      <c r="BR170" s="151">
        <f t="shared" si="107"/>
        <v>0</v>
      </c>
      <c r="BS170" s="151">
        <f t="shared" si="107"/>
        <v>0</v>
      </c>
      <c r="BT170" s="151">
        <f t="shared" si="107"/>
        <v>0</v>
      </c>
      <c r="BU170" s="151">
        <f t="shared" si="107"/>
        <v>0</v>
      </c>
      <c r="BV170" s="151">
        <f t="shared" si="107"/>
        <v>0</v>
      </c>
      <c r="BW170" s="151">
        <f t="shared" si="107"/>
        <v>0</v>
      </c>
      <c r="BX170" s="151">
        <f t="shared" si="107"/>
        <v>0</v>
      </c>
      <c r="BY170" s="151">
        <f t="shared" si="107"/>
        <v>0</v>
      </c>
      <c r="BZ170" s="151">
        <f t="shared" si="107"/>
        <v>0</v>
      </c>
      <c r="CA170" s="151">
        <f t="shared" si="107"/>
        <v>0</v>
      </c>
      <c r="CB170" s="151">
        <f t="shared" si="107"/>
        <v>0</v>
      </c>
      <c r="CC170" s="151">
        <f t="shared" si="107"/>
        <v>0</v>
      </c>
      <c r="CD170" s="151">
        <f t="shared" si="107"/>
        <v>0</v>
      </c>
      <c r="CE170" s="151">
        <f t="shared" si="107"/>
        <v>0</v>
      </c>
      <c r="CF170" s="151">
        <f t="shared" si="107"/>
        <v>0</v>
      </c>
      <c r="CG170" s="151">
        <f t="shared" si="107"/>
        <v>0</v>
      </c>
      <c r="CH170" s="151">
        <f t="shared" si="107"/>
        <v>0</v>
      </c>
      <c r="CI170" s="151">
        <f t="shared" si="107"/>
        <v>0</v>
      </c>
      <c r="CJ170" s="151">
        <f t="shared" si="107"/>
        <v>0</v>
      </c>
      <c r="CK170" s="151">
        <f t="shared" si="107"/>
        <v>0</v>
      </c>
      <c r="CL170" s="151">
        <f t="shared" si="107"/>
        <v>0</v>
      </c>
      <c r="CM170" s="151">
        <f t="shared" si="107"/>
        <v>0</v>
      </c>
      <c r="CN170" s="151">
        <f t="shared" si="107"/>
        <v>0</v>
      </c>
      <c r="CO170" s="151">
        <f t="shared" si="107"/>
        <v>0</v>
      </c>
      <c r="CP170" s="151">
        <f t="shared" si="107"/>
        <v>0</v>
      </c>
      <c r="CQ170" s="151">
        <f t="shared" si="107"/>
        <v>0</v>
      </c>
      <c r="CR170" s="151">
        <f t="shared" si="107"/>
        <v>0</v>
      </c>
      <c r="CS170" s="151">
        <f t="shared" si="107"/>
        <v>0</v>
      </c>
      <c r="CT170" s="151">
        <f t="shared" si="107"/>
        <v>0</v>
      </c>
      <c r="CU170" s="151">
        <f t="shared" si="107"/>
        <v>0</v>
      </c>
      <c r="CV170" s="151">
        <f t="shared" si="107"/>
        <v>0</v>
      </c>
    </row>
    <row r="171" spans="1:100" ht="12.75" outlineLevel="2" x14ac:dyDescent="0.2">
      <c r="A171" s="236"/>
      <c r="B171" s="236"/>
      <c r="C171" s="237"/>
      <c r="D171" s="238"/>
      <c r="E171" s="151" t="str">
        <f t="shared" ref="E171:AJ171" si="108" xml:space="preserve"> E$166</f>
        <v>Senior debt level ds principal repayment - T1</v>
      </c>
      <c r="F171" s="151">
        <f t="shared" si="108"/>
        <v>0</v>
      </c>
      <c r="G171" s="151" t="str">
        <f t="shared" si="108"/>
        <v>$ 000s</v>
      </c>
      <c r="H171" s="151">
        <f t="shared" si="108"/>
        <v>116236.33664611027</v>
      </c>
      <c r="I171" s="151">
        <f t="shared" si="108"/>
        <v>0</v>
      </c>
      <c r="J171" s="151">
        <f t="shared" si="108"/>
        <v>0</v>
      </c>
      <c r="K171" s="151">
        <f t="shared" si="108"/>
        <v>0</v>
      </c>
      <c r="L171" s="151">
        <f t="shared" si="108"/>
        <v>0</v>
      </c>
      <c r="M171" s="151">
        <f t="shared" si="108"/>
        <v>0</v>
      </c>
      <c r="N171" s="151">
        <f t="shared" si="108"/>
        <v>0</v>
      </c>
      <c r="O171" s="151">
        <f t="shared" si="108"/>
        <v>2464.510489138218</v>
      </c>
      <c r="P171" s="151">
        <f t="shared" si="108"/>
        <v>2569.3042800785415</v>
      </c>
      <c r="Q171" s="151">
        <f t="shared" si="108"/>
        <v>2577.6997325571738</v>
      </c>
      <c r="R171" s="151">
        <f t="shared" si="108"/>
        <v>2670.646908572226</v>
      </c>
      <c r="S171" s="151">
        <f t="shared" si="108"/>
        <v>2682.2989157976381</v>
      </c>
      <c r="T171" s="151">
        <f t="shared" si="108"/>
        <v>2775.1521707463799</v>
      </c>
      <c r="U171" s="151">
        <f t="shared" si="108"/>
        <v>2790.1761445318439</v>
      </c>
      <c r="V171" s="151">
        <f t="shared" si="108"/>
        <v>2870.410010540259</v>
      </c>
      <c r="W171" s="151">
        <f t="shared" si="108"/>
        <v>2901.3689514573334</v>
      </c>
      <c r="X171" s="151">
        <f t="shared" si="108"/>
        <v>2993.9359519422551</v>
      </c>
      <c r="Y171" s="151">
        <f t="shared" si="108"/>
        <v>2914.3478052226187</v>
      </c>
      <c r="Z171" s="151">
        <f t="shared" si="108"/>
        <v>3009.6395466772683</v>
      </c>
      <c r="AA171" s="151">
        <f t="shared" si="108"/>
        <v>3034.9766569994745</v>
      </c>
      <c r="AB171" s="151">
        <f t="shared" si="108"/>
        <v>3130.3187456630462</v>
      </c>
      <c r="AC171" s="151">
        <f t="shared" si="108"/>
        <v>3159.7119137951668</v>
      </c>
      <c r="AD171" s="151">
        <f t="shared" si="108"/>
        <v>3244.6430901020804</v>
      </c>
      <c r="AE171" s="151">
        <f t="shared" si="108"/>
        <v>3288.6789188392609</v>
      </c>
      <c r="AF171" s="151">
        <f t="shared" si="108"/>
        <v>3384.0461432373709</v>
      </c>
      <c r="AG171" s="151">
        <f t="shared" si="108"/>
        <v>3422.0192547764755</v>
      </c>
      <c r="AH171" s="151">
        <f t="shared" si="108"/>
        <v>3517.6284893959992</v>
      </c>
      <c r="AI171" s="151">
        <f t="shared" si="108"/>
        <v>3487.7884207035368</v>
      </c>
      <c r="AJ171" s="151">
        <f t="shared" si="108"/>
        <v>3586.4896785596602</v>
      </c>
      <c r="AK171" s="151">
        <f t="shared" ref="AK171:BP171" si="109" xml:space="preserve"> AK$166</f>
        <v>3634.5240706526438</v>
      </c>
      <c r="AL171" s="151">
        <f t="shared" si="109"/>
        <v>3725.7220184628763</v>
      </c>
      <c r="AM171" s="151">
        <f t="shared" si="109"/>
        <v>3786.8267057225312</v>
      </c>
      <c r="AN171" s="151">
        <f t="shared" si="109"/>
        <v>3886.0960805488312</v>
      </c>
      <c r="AO171" s="151">
        <f t="shared" si="109"/>
        <v>3944.7897933087247</v>
      </c>
      <c r="AP171" s="151">
        <f t="shared" si="109"/>
        <v>4044.5971757849411</v>
      </c>
      <c r="AQ171" s="151">
        <f t="shared" si="109"/>
        <v>4108.9650562444858</v>
      </c>
      <c r="AR171" s="151">
        <f t="shared" si="109"/>
        <v>4209.2164868414493</v>
      </c>
      <c r="AS171" s="151">
        <f t="shared" si="109"/>
        <v>4279.5012229063313</v>
      </c>
      <c r="AT171" s="151">
        <f t="shared" si="109"/>
        <v>4499.6119520565608</v>
      </c>
      <c r="AU171" s="151">
        <f t="shared" si="109"/>
        <v>4708.3958193466779</v>
      </c>
      <c r="AV171" s="151">
        <f t="shared" si="109"/>
        <v>4932.298044900379</v>
      </c>
      <c r="AW171" s="151">
        <f t="shared" si="109"/>
        <v>0</v>
      </c>
      <c r="AX171" s="151">
        <f t="shared" si="109"/>
        <v>0</v>
      </c>
      <c r="AY171" s="151">
        <f t="shared" si="109"/>
        <v>0</v>
      </c>
      <c r="AZ171" s="151">
        <f t="shared" si="109"/>
        <v>0</v>
      </c>
      <c r="BA171" s="151">
        <f t="shared" si="109"/>
        <v>0</v>
      </c>
      <c r="BB171" s="151">
        <f t="shared" si="109"/>
        <v>0</v>
      </c>
      <c r="BC171" s="151">
        <f t="shared" si="109"/>
        <v>0</v>
      </c>
      <c r="BD171" s="151">
        <f t="shared" si="109"/>
        <v>0</v>
      </c>
      <c r="BE171" s="151">
        <f t="shared" si="109"/>
        <v>0</v>
      </c>
      <c r="BF171" s="151">
        <f t="shared" si="109"/>
        <v>0</v>
      </c>
      <c r="BG171" s="151">
        <f t="shared" si="109"/>
        <v>0</v>
      </c>
      <c r="BH171" s="151">
        <f t="shared" si="109"/>
        <v>0</v>
      </c>
      <c r="BI171" s="151">
        <f t="shared" si="109"/>
        <v>0</v>
      </c>
      <c r="BJ171" s="151">
        <f t="shared" si="109"/>
        <v>0</v>
      </c>
      <c r="BK171" s="151">
        <f t="shared" si="109"/>
        <v>0</v>
      </c>
      <c r="BL171" s="151">
        <f t="shared" si="109"/>
        <v>0</v>
      </c>
      <c r="BM171" s="151">
        <f t="shared" si="109"/>
        <v>0</v>
      </c>
      <c r="BN171" s="151">
        <f t="shared" si="109"/>
        <v>0</v>
      </c>
      <c r="BO171" s="151">
        <f t="shared" si="109"/>
        <v>0</v>
      </c>
      <c r="BP171" s="151">
        <f t="shared" si="109"/>
        <v>0</v>
      </c>
      <c r="BQ171" s="151">
        <f t="shared" ref="BQ171:CV171" si="110" xml:space="preserve"> BQ$166</f>
        <v>0</v>
      </c>
      <c r="BR171" s="151">
        <f t="shared" si="110"/>
        <v>0</v>
      </c>
      <c r="BS171" s="151">
        <f t="shared" si="110"/>
        <v>0</v>
      </c>
      <c r="BT171" s="151">
        <f t="shared" si="110"/>
        <v>0</v>
      </c>
      <c r="BU171" s="151">
        <f t="shared" si="110"/>
        <v>0</v>
      </c>
      <c r="BV171" s="151">
        <f t="shared" si="110"/>
        <v>0</v>
      </c>
      <c r="BW171" s="151">
        <f t="shared" si="110"/>
        <v>0</v>
      </c>
      <c r="BX171" s="151">
        <f t="shared" si="110"/>
        <v>0</v>
      </c>
      <c r="BY171" s="151">
        <f t="shared" si="110"/>
        <v>0</v>
      </c>
      <c r="BZ171" s="151">
        <f t="shared" si="110"/>
        <v>0</v>
      </c>
      <c r="CA171" s="151">
        <f t="shared" si="110"/>
        <v>0</v>
      </c>
      <c r="CB171" s="151">
        <f t="shared" si="110"/>
        <v>0</v>
      </c>
      <c r="CC171" s="151">
        <f t="shared" si="110"/>
        <v>0</v>
      </c>
      <c r="CD171" s="151">
        <f t="shared" si="110"/>
        <v>0</v>
      </c>
      <c r="CE171" s="151">
        <f t="shared" si="110"/>
        <v>0</v>
      </c>
      <c r="CF171" s="151">
        <f t="shared" si="110"/>
        <v>0</v>
      </c>
      <c r="CG171" s="151">
        <f t="shared" si="110"/>
        <v>0</v>
      </c>
      <c r="CH171" s="151">
        <f t="shared" si="110"/>
        <v>0</v>
      </c>
      <c r="CI171" s="151">
        <f t="shared" si="110"/>
        <v>0</v>
      </c>
      <c r="CJ171" s="151">
        <f t="shared" si="110"/>
        <v>0</v>
      </c>
      <c r="CK171" s="151">
        <f t="shared" si="110"/>
        <v>0</v>
      </c>
      <c r="CL171" s="151">
        <f t="shared" si="110"/>
        <v>0</v>
      </c>
      <c r="CM171" s="151">
        <f t="shared" si="110"/>
        <v>0</v>
      </c>
      <c r="CN171" s="151">
        <f t="shared" si="110"/>
        <v>0</v>
      </c>
      <c r="CO171" s="151">
        <f t="shared" si="110"/>
        <v>0</v>
      </c>
      <c r="CP171" s="151">
        <f t="shared" si="110"/>
        <v>0</v>
      </c>
      <c r="CQ171" s="151">
        <f t="shared" si="110"/>
        <v>0</v>
      </c>
      <c r="CR171" s="151">
        <f t="shared" si="110"/>
        <v>0</v>
      </c>
      <c r="CS171" s="151">
        <f t="shared" si="110"/>
        <v>0</v>
      </c>
      <c r="CT171" s="151">
        <f t="shared" si="110"/>
        <v>0</v>
      </c>
      <c r="CU171" s="151">
        <f t="shared" si="110"/>
        <v>0</v>
      </c>
      <c r="CV171" s="151">
        <f t="shared" si="110"/>
        <v>0</v>
      </c>
    </row>
    <row r="172" spans="1:100" ht="12.75" outlineLevel="2" x14ac:dyDescent="0.2">
      <c r="A172" s="236"/>
      <c r="B172" s="236"/>
      <c r="C172" s="237"/>
      <c r="D172" s="238"/>
      <c r="E172" s="151" t="s">
        <v>1141</v>
      </c>
      <c r="F172" s="151"/>
      <c r="G172" s="151" t="str">
        <f xml:space="preserve"> SMU</f>
        <v>$ 000s</v>
      </c>
      <c r="H172" s="151">
        <f xml:space="preserve"> SUM(J172:CV172)</f>
        <v>125194.91719940645</v>
      </c>
      <c r="I172" s="151"/>
      <c r="J172" s="151">
        <f t="shared" ref="J172:AO172" si="111" xml:space="preserve"> INDEX(J169:J171,$F168)</f>
        <v>0</v>
      </c>
      <c r="K172" s="151">
        <f t="shared" si="111"/>
        <v>0</v>
      </c>
      <c r="L172" s="151">
        <f t="shared" si="111"/>
        <v>0</v>
      </c>
      <c r="M172" s="151">
        <f t="shared" si="111"/>
        <v>0</v>
      </c>
      <c r="N172" s="151">
        <f t="shared" si="111"/>
        <v>0</v>
      </c>
      <c r="O172" s="151">
        <f t="shared" si="111"/>
        <v>2887.5559402558642</v>
      </c>
      <c r="P172" s="151">
        <f t="shared" si="111"/>
        <v>2385.2339720203081</v>
      </c>
      <c r="Q172" s="151">
        <f t="shared" si="111"/>
        <v>2413.9425138346728</v>
      </c>
      <c r="R172" s="151">
        <f t="shared" si="111"/>
        <v>2458.6893656400935</v>
      </c>
      <c r="S172" s="151">
        <f t="shared" si="111"/>
        <v>2490.2566500005801</v>
      </c>
      <c r="T172" s="151">
        <f t="shared" si="111"/>
        <v>2535.0791910181429</v>
      </c>
      <c r="U172" s="151">
        <f t="shared" si="111"/>
        <v>2569.6177821380879</v>
      </c>
      <c r="V172" s="151">
        <f t="shared" si="111"/>
        <v>2610.1704378213981</v>
      </c>
      <c r="W172" s="151">
        <f t="shared" si="111"/>
        <v>2645.8465076319576</v>
      </c>
      <c r="X172" s="151">
        <f t="shared" si="111"/>
        <v>2696.9289772771976</v>
      </c>
      <c r="Y172" s="151">
        <f t="shared" si="111"/>
        <v>2658.3139015049769</v>
      </c>
      <c r="Z172" s="151">
        <f t="shared" si="111"/>
        <v>2705.6163004790551</v>
      </c>
      <c r="AA172" s="151">
        <f t="shared" si="111"/>
        <v>2749.4946924747524</v>
      </c>
      <c r="AB172" s="151">
        <f t="shared" si="111"/>
        <v>2797.0325486018696</v>
      </c>
      <c r="AC172" s="151">
        <f t="shared" si="111"/>
        <v>2844.5553314088329</v>
      </c>
      <c r="AD172" s="151">
        <f t="shared" si="111"/>
        <v>2890.1425110643613</v>
      </c>
      <c r="AE172" s="151">
        <f t="shared" si="111"/>
        <v>2937.6125561234057</v>
      </c>
      <c r="AF172" s="151">
        <f t="shared" si="111"/>
        <v>2991.5515602678001</v>
      </c>
      <c r="AG172" s="151">
        <f t="shared" si="111"/>
        <v>3046.825688173325</v>
      </c>
      <c r="AH172" s="151">
        <f t="shared" si="111"/>
        <v>3095.2027621018406</v>
      </c>
      <c r="AI172" s="151">
        <f t="shared" si="111"/>
        <v>3094.4131986164552</v>
      </c>
      <c r="AJ172" s="151">
        <f t="shared" si="111"/>
        <v>3146.7050683987673</v>
      </c>
      <c r="AK172" s="151">
        <f t="shared" si="111"/>
        <v>3212.2786565710981</v>
      </c>
      <c r="AL172" s="151">
        <f t="shared" si="111"/>
        <v>3265.6206179632113</v>
      </c>
      <c r="AM172" s="151">
        <f t="shared" si="111"/>
        <v>3329.789927366478</v>
      </c>
      <c r="AN172" s="151">
        <f t="shared" si="111"/>
        <v>3388.8658133133972</v>
      </c>
      <c r="AO172" s="151">
        <f t="shared" si="111"/>
        <v>3464.411270051346</v>
      </c>
      <c r="AP172" s="151">
        <f t="shared" ref="AP172:BU172" si="112" xml:space="preserve"> INDEX(AP169:AP171,$F168)</f>
        <v>3518.4674069014272</v>
      </c>
      <c r="AQ172" s="151">
        <f t="shared" si="112"/>
        <v>3599.3493728978069</v>
      </c>
      <c r="AR172" s="151">
        <f t="shared" si="112"/>
        <v>3654.078117430216</v>
      </c>
      <c r="AS172" s="151">
        <f t="shared" si="112"/>
        <v>9057.047811309134</v>
      </c>
      <c r="AT172" s="151">
        <f t="shared" si="112"/>
        <v>9185.154991734762</v>
      </c>
      <c r="AU172" s="151">
        <f t="shared" si="112"/>
        <v>9368.3441124918645</v>
      </c>
      <c r="AV172" s="151">
        <f t="shared" si="112"/>
        <v>9500.7216445219492</v>
      </c>
      <c r="AW172" s="151">
        <f t="shared" si="112"/>
        <v>0</v>
      </c>
      <c r="AX172" s="151">
        <f t="shared" si="112"/>
        <v>0</v>
      </c>
      <c r="AY172" s="151">
        <f t="shared" si="112"/>
        <v>0</v>
      </c>
      <c r="AZ172" s="151">
        <f t="shared" si="112"/>
        <v>0</v>
      </c>
      <c r="BA172" s="151">
        <f t="shared" si="112"/>
        <v>0</v>
      </c>
      <c r="BB172" s="151">
        <f t="shared" si="112"/>
        <v>0</v>
      </c>
      <c r="BC172" s="151">
        <f t="shared" si="112"/>
        <v>0</v>
      </c>
      <c r="BD172" s="151">
        <f t="shared" si="112"/>
        <v>0</v>
      </c>
      <c r="BE172" s="151">
        <f t="shared" si="112"/>
        <v>0</v>
      </c>
      <c r="BF172" s="151">
        <f t="shared" si="112"/>
        <v>0</v>
      </c>
      <c r="BG172" s="151">
        <f t="shared" si="112"/>
        <v>0</v>
      </c>
      <c r="BH172" s="151">
        <f t="shared" si="112"/>
        <v>0</v>
      </c>
      <c r="BI172" s="151">
        <f t="shared" si="112"/>
        <v>0</v>
      </c>
      <c r="BJ172" s="151">
        <f t="shared" si="112"/>
        <v>0</v>
      </c>
      <c r="BK172" s="151">
        <f t="shared" si="112"/>
        <v>0</v>
      </c>
      <c r="BL172" s="151">
        <f t="shared" si="112"/>
        <v>0</v>
      </c>
      <c r="BM172" s="151">
        <f t="shared" si="112"/>
        <v>0</v>
      </c>
      <c r="BN172" s="151">
        <f t="shared" si="112"/>
        <v>0</v>
      </c>
      <c r="BO172" s="151">
        <f t="shared" si="112"/>
        <v>0</v>
      </c>
      <c r="BP172" s="151">
        <f t="shared" si="112"/>
        <v>0</v>
      </c>
      <c r="BQ172" s="151">
        <f t="shared" si="112"/>
        <v>0</v>
      </c>
      <c r="BR172" s="151">
        <f t="shared" si="112"/>
        <v>0</v>
      </c>
      <c r="BS172" s="151">
        <f t="shared" si="112"/>
        <v>0</v>
      </c>
      <c r="BT172" s="151">
        <f t="shared" si="112"/>
        <v>0</v>
      </c>
      <c r="BU172" s="151">
        <f t="shared" si="112"/>
        <v>0</v>
      </c>
      <c r="BV172" s="151">
        <f t="shared" ref="BV172:CV172" si="113" xml:space="preserve"> INDEX(BV169:BV171,$F168)</f>
        <v>0</v>
      </c>
      <c r="BW172" s="151">
        <f t="shared" si="113"/>
        <v>0</v>
      </c>
      <c r="BX172" s="151">
        <f t="shared" si="113"/>
        <v>0</v>
      </c>
      <c r="BY172" s="151">
        <f t="shared" si="113"/>
        <v>0</v>
      </c>
      <c r="BZ172" s="151">
        <f t="shared" si="113"/>
        <v>0</v>
      </c>
      <c r="CA172" s="151">
        <f t="shared" si="113"/>
        <v>0</v>
      </c>
      <c r="CB172" s="151">
        <f t="shared" si="113"/>
        <v>0</v>
      </c>
      <c r="CC172" s="151">
        <f t="shared" si="113"/>
        <v>0</v>
      </c>
      <c r="CD172" s="151">
        <f t="shared" si="113"/>
        <v>0</v>
      </c>
      <c r="CE172" s="151">
        <f t="shared" si="113"/>
        <v>0</v>
      </c>
      <c r="CF172" s="151">
        <f t="shared" si="113"/>
        <v>0</v>
      </c>
      <c r="CG172" s="151">
        <f t="shared" si="113"/>
        <v>0</v>
      </c>
      <c r="CH172" s="151">
        <f t="shared" si="113"/>
        <v>0</v>
      </c>
      <c r="CI172" s="151">
        <f t="shared" si="113"/>
        <v>0</v>
      </c>
      <c r="CJ172" s="151">
        <f t="shared" si="113"/>
        <v>0</v>
      </c>
      <c r="CK172" s="151">
        <f t="shared" si="113"/>
        <v>0</v>
      </c>
      <c r="CL172" s="151">
        <f t="shared" si="113"/>
        <v>0</v>
      </c>
      <c r="CM172" s="151">
        <f t="shared" si="113"/>
        <v>0</v>
      </c>
      <c r="CN172" s="151">
        <f t="shared" si="113"/>
        <v>0</v>
      </c>
      <c r="CO172" s="151">
        <f t="shared" si="113"/>
        <v>0</v>
      </c>
      <c r="CP172" s="151">
        <f t="shared" si="113"/>
        <v>0</v>
      </c>
      <c r="CQ172" s="151">
        <f t="shared" si="113"/>
        <v>0</v>
      </c>
      <c r="CR172" s="151">
        <f t="shared" si="113"/>
        <v>0</v>
      </c>
      <c r="CS172" s="151">
        <f t="shared" si="113"/>
        <v>0</v>
      </c>
      <c r="CT172" s="151">
        <f t="shared" si="113"/>
        <v>0</v>
      </c>
      <c r="CU172" s="151">
        <f t="shared" si="113"/>
        <v>0</v>
      </c>
      <c r="CV172" s="151">
        <f t="shared" si="113"/>
        <v>0</v>
      </c>
    </row>
    <row r="173" spans="1:100" ht="12.75" outlineLevel="2" x14ac:dyDescent="0.2">
      <c r="A173" s="236"/>
      <c r="B173" s="236"/>
      <c r="C173" s="237"/>
      <c r="D173" s="238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</row>
    <row r="174" spans="1:100" ht="12.75" outlineLevel="2" x14ac:dyDescent="0.2">
      <c r="A174" s="236"/>
      <c r="B174" s="236"/>
      <c r="C174" s="237"/>
      <c r="D174" s="238"/>
      <c r="E174" s="145" t="str">
        <f xml:space="preserve"> ConFin!E$312</f>
        <v>Sum of construction debt drawdown - T1</v>
      </c>
      <c r="F174" s="145">
        <f xml:space="preserve"> ConFin!F$312</f>
        <v>125194.92613015344</v>
      </c>
      <c r="G174" s="145" t="str">
        <f xml:space="preserve"> ConFin!G$312</f>
        <v>$ 000s</v>
      </c>
      <c r="H174" s="310"/>
      <c r="I174" s="310"/>
      <c r="J174" s="310"/>
      <c r="K174" s="310"/>
      <c r="L174" s="310"/>
      <c r="M174" s="310"/>
      <c r="N174" s="310"/>
      <c r="O174" s="310"/>
      <c r="P174" s="310"/>
      <c r="Q174" s="310"/>
      <c r="R174" s="310"/>
      <c r="S174" s="310"/>
      <c r="T174" s="310"/>
      <c r="U174" s="310"/>
      <c r="V174" s="310"/>
      <c r="W174" s="310"/>
      <c r="X174" s="310"/>
      <c r="Y174" s="310"/>
      <c r="Z174" s="310"/>
      <c r="AA174" s="310"/>
      <c r="AB174" s="310"/>
      <c r="AC174" s="310"/>
      <c r="AD174" s="310"/>
      <c r="AE174" s="310"/>
      <c r="AF174" s="310"/>
      <c r="AG174" s="310"/>
      <c r="AH174" s="310"/>
      <c r="AI174" s="310"/>
      <c r="AJ174" s="310"/>
      <c r="AK174" s="310"/>
      <c r="AL174" s="310"/>
      <c r="AM174" s="310"/>
      <c r="AN174" s="310"/>
      <c r="AO174" s="310"/>
      <c r="AP174" s="310"/>
      <c r="AQ174" s="310"/>
      <c r="AR174" s="310"/>
      <c r="AS174" s="310"/>
      <c r="AT174" s="310"/>
      <c r="AU174" s="310"/>
      <c r="AV174" s="310"/>
      <c r="AW174" s="310"/>
      <c r="AX174" s="310"/>
      <c r="AY174" s="310"/>
      <c r="AZ174" s="310"/>
      <c r="BA174" s="310"/>
      <c r="BB174" s="310"/>
      <c r="BC174" s="310"/>
      <c r="BD174" s="310"/>
      <c r="BE174" s="310"/>
      <c r="BF174" s="310"/>
      <c r="BG174" s="310"/>
      <c r="BH174" s="310"/>
      <c r="BI174" s="310"/>
      <c r="BJ174" s="310"/>
      <c r="BK174" s="310"/>
      <c r="BL174" s="310"/>
      <c r="BM174" s="310"/>
      <c r="BN174" s="310"/>
      <c r="BO174" s="310"/>
      <c r="BP174" s="310"/>
      <c r="BQ174" s="310"/>
      <c r="BR174" s="310"/>
      <c r="BS174" s="310"/>
      <c r="BT174" s="310"/>
      <c r="BU174" s="310"/>
      <c r="BV174" s="310"/>
      <c r="BW174" s="310"/>
      <c r="BX174" s="310"/>
      <c r="BY174" s="310"/>
      <c r="BZ174" s="310"/>
      <c r="CA174" s="310"/>
      <c r="CB174" s="310"/>
      <c r="CC174" s="310"/>
      <c r="CD174" s="310"/>
      <c r="CE174" s="310"/>
      <c r="CF174" s="310"/>
      <c r="CG174" s="310"/>
      <c r="CH174" s="310"/>
      <c r="CI174" s="310"/>
      <c r="CJ174" s="310"/>
      <c r="CK174" s="310"/>
      <c r="CL174" s="310"/>
      <c r="CM174" s="310"/>
      <c r="CN174" s="310"/>
      <c r="CO174" s="310"/>
      <c r="CP174" s="310"/>
      <c r="CQ174" s="310"/>
      <c r="CR174" s="310"/>
      <c r="CS174" s="310"/>
      <c r="CT174" s="310"/>
      <c r="CU174" s="310"/>
      <c r="CV174" s="310"/>
    </row>
    <row r="175" spans="1:100" s="495" customFormat="1" ht="12.75" outlineLevel="2" x14ac:dyDescent="0.2">
      <c r="A175" s="15"/>
      <c r="B175" s="15"/>
      <c r="C175" s="21"/>
      <c r="D175" s="48"/>
      <c r="E175" s="151" t="str">
        <f t="shared" ref="E175:AJ175" si="114" xml:space="preserve"> E$172</f>
        <v>Senior debt target repayment - T1</v>
      </c>
      <c r="F175" s="151">
        <f t="shared" si="114"/>
        <v>0</v>
      </c>
      <c r="G175" s="151" t="str">
        <f t="shared" si="114"/>
        <v>$ 000s</v>
      </c>
      <c r="H175" s="151">
        <f t="shared" si="114"/>
        <v>125194.91719940645</v>
      </c>
      <c r="I175" s="151">
        <f t="shared" si="114"/>
        <v>0</v>
      </c>
      <c r="J175" s="151">
        <f t="shared" si="114"/>
        <v>0</v>
      </c>
      <c r="K175" s="151">
        <f t="shared" si="114"/>
        <v>0</v>
      </c>
      <c r="L175" s="151">
        <f t="shared" si="114"/>
        <v>0</v>
      </c>
      <c r="M175" s="151">
        <f t="shared" si="114"/>
        <v>0</v>
      </c>
      <c r="N175" s="151">
        <f t="shared" si="114"/>
        <v>0</v>
      </c>
      <c r="O175" s="151">
        <f t="shared" si="114"/>
        <v>2887.5559402558642</v>
      </c>
      <c r="P175" s="151">
        <f t="shared" si="114"/>
        <v>2385.2339720203081</v>
      </c>
      <c r="Q175" s="151">
        <f t="shared" si="114"/>
        <v>2413.9425138346728</v>
      </c>
      <c r="R175" s="151">
        <f t="shared" si="114"/>
        <v>2458.6893656400935</v>
      </c>
      <c r="S175" s="151">
        <f t="shared" si="114"/>
        <v>2490.2566500005801</v>
      </c>
      <c r="T175" s="151">
        <f t="shared" si="114"/>
        <v>2535.0791910181429</v>
      </c>
      <c r="U175" s="151">
        <f t="shared" si="114"/>
        <v>2569.6177821380879</v>
      </c>
      <c r="V175" s="151">
        <f t="shared" si="114"/>
        <v>2610.1704378213981</v>
      </c>
      <c r="W175" s="151">
        <f t="shared" si="114"/>
        <v>2645.8465076319576</v>
      </c>
      <c r="X175" s="151">
        <f t="shared" si="114"/>
        <v>2696.9289772771976</v>
      </c>
      <c r="Y175" s="151">
        <f t="shared" si="114"/>
        <v>2658.3139015049769</v>
      </c>
      <c r="Z175" s="151">
        <f t="shared" si="114"/>
        <v>2705.6163004790551</v>
      </c>
      <c r="AA175" s="151">
        <f t="shared" si="114"/>
        <v>2749.4946924747524</v>
      </c>
      <c r="AB175" s="151">
        <f t="shared" si="114"/>
        <v>2797.0325486018696</v>
      </c>
      <c r="AC175" s="151">
        <f t="shared" si="114"/>
        <v>2844.5553314088329</v>
      </c>
      <c r="AD175" s="151">
        <f t="shared" si="114"/>
        <v>2890.1425110643613</v>
      </c>
      <c r="AE175" s="151">
        <f t="shared" si="114"/>
        <v>2937.6125561234057</v>
      </c>
      <c r="AF175" s="151">
        <f t="shared" si="114"/>
        <v>2991.5515602678001</v>
      </c>
      <c r="AG175" s="151">
        <f t="shared" si="114"/>
        <v>3046.825688173325</v>
      </c>
      <c r="AH175" s="151">
        <f t="shared" si="114"/>
        <v>3095.2027621018406</v>
      </c>
      <c r="AI175" s="151">
        <f t="shared" si="114"/>
        <v>3094.4131986164552</v>
      </c>
      <c r="AJ175" s="151">
        <f t="shared" si="114"/>
        <v>3146.7050683987673</v>
      </c>
      <c r="AK175" s="151">
        <f t="shared" ref="AK175:BP175" si="115" xml:space="preserve"> AK$172</f>
        <v>3212.2786565710981</v>
      </c>
      <c r="AL175" s="151">
        <f t="shared" si="115"/>
        <v>3265.6206179632113</v>
      </c>
      <c r="AM175" s="151">
        <f t="shared" si="115"/>
        <v>3329.789927366478</v>
      </c>
      <c r="AN175" s="151">
        <f t="shared" si="115"/>
        <v>3388.8658133133972</v>
      </c>
      <c r="AO175" s="151">
        <f t="shared" si="115"/>
        <v>3464.411270051346</v>
      </c>
      <c r="AP175" s="151">
        <f t="shared" si="115"/>
        <v>3518.4674069014272</v>
      </c>
      <c r="AQ175" s="151">
        <f t="shared" si="115"/>
        <v>3599.3493728978069</v>
      </c>
      <c r="AR175" s="151">
        <f t="shared" si="115"/>
        <v>3654.078117430216</v>
      </c>
      <c r="AS175" s="151">
        <f t="shared" si="115"/>
        <v>9057.047811309134</v>
      </c>
      <c r="AT175" s="151">
        <f t="shared" si="115"/>
        <v>9185.154991734762</v>
      </c>
      <c r="AU175" s="151">
        <f t="shared" si="115"/>
        <v>9368.3441124918645</v>
      </c>
      <c r="AV175" s="151">
        <f t="shared" si="115"/>
        <v>9500.7216445219492</v>
      </c>
      <c r="AW175" s="151">
        <f t="shared" si="115"/>
        <v>0</v>
      </c>
      <c r="AX175" s="151">
        <f t="shared" si="115"/>
        <v>0</v>
      </c>
      <c r="AY175" s="151">
        <f t="shared" si="115"/>
        <v>0</v>
      </c>
      <c r="AZ175" s="151">
        <f t="shared" si="115"/>
        <v>0</v>
      </c>
      <c r="BA175" s="151">
        <f t="shared" si="115"/>
        <v>0</v>
      </c>
      <c r="BB175" s="151">
        <f t="shared" si="115"/>
        <v>0</v>
      </c>
      <c r="BC175" s="151">
        <f t="shared" si="115"/>
        <v>0</v>
      </c>
      <c r="BD175" s="151">
        <f t="shared" si="115"/>
        <v>0</v>
      </c>
      <c r="BE175" s="151">
        <f t="shared" si="115"/>
        <v>0</v>
      </c>
      <c r="BF175" s="151">
        <f t="shared" si="115"/>
        <v>0</v>
      </c>
      <c r="BG175" s="151">
        <f t="shared" si="115"/>
        <v>0</v>
      </c>
      <c r="BH175" s="151">
        <f t="shared" si="115"/>
        <v>0</v>
      </c>
      <c r="BI175" s="151">
        <f t="shared" si="115"/>
        <v>0</v>
      </c>
      <c r="BJ175" s="151">
        <f t="shared" si="115"/>
        <v>0</v>
      </c>
      <c r="BK175" s="151">
        <f t="shared" si="115"/>
        <v>0</v>
      </c>
      <c r="BL175" s="151">
        <f t="shared" si="115"/>
        <v>0</v>
      </c>
      <c r="BM175" s="151">
        <f t="shared" si="115"/>
        <v>0</v>
      </c>
      <c r="BN175" s="151">
        <f t="shared" si="115"/>
        <v>0</v>
      </c>
      <c r="BO175" s="151">
        <f t="shared" si="115"/>
        <v>0</v>
      </c>
      <c r="BP175" s="151">
        <f t="shared" si="115"/>
        <v>0</v>
      </c>
      <c r="BQ175" s="151">
        <f t="shared" ref="BQ175:CV175" si="116" xml:space="preserve"> BQ$172</f>
        <v>0</v>
      </c>
      <c r="BR175" s="151">
        <f t="shared" si="116"/>
        <v>0</v>
      </c>
      <c r="BS175" s="151">
        <f t="shared" si="116"/>
        <v>0</v>
      </c>
      <c r="BT175" s="151">
        <f t="shared" si="116"/>
        <v>0</v>
      </c>
      <c r="BU175" s="151">
        <f t="shared" si="116"/>
        <v>0</v>
      </c>
      <c r="BV175" s="151">
        <f t="shared" si="116"/>
        <v>0</v>
      </c>
      <c r="BW175" s="151">
        <f t="shared" si="116"/>
        <v>0</v>
      </c>
      <c r="BX175" s="151">
        <f t="shared" si="116"/>
        <v>0</v>
      </c>
      <c r="BY175" s="151">
        <f t="shared" si="116"/>
        <v>0</v>
      </c>
      <c r="BZ175" s="151">
        <f t="shared" si="116"/>
        <v>0</v>
      </c>
      <c r="CA175" s="151">
        <f t="shared" si="116"/>
        <v>0</v>
      </c>
      <c r="CB175" s="151">
        <f t="shared" si="116"/>
        <v>0</v>
      </c>
      <c r="CC175" s="151">
        <f t="shared" si="116"/>
        <v>0</v>
      </c>
      <c r="CD175" s="151">
        <f t="shared" si="116"/>
        <v>0</v>
      </c>
      <c r="CE175" s="151">
        <f t="shared" si="116"/>
        <v>0</v>
      </c>
      <c r="CF175" s="151">
        <f t="shared" si="116"/>
        <v>0</v>
      </c>
      <c r="CG175" s="151">
        <f t="shared" si="116"/>
        <v>0</v>
      </c>
      <c r="CH175" s="151">
        <f t="shared" si="116"/>
        <v>0</v>
      </c>
      <c r="CI175" s="151">
        <f t="shared" si="116"/>
        <v>0</v>
      </c>
      <c r="CJ175" s="151">
        <f t="shared" si="116"/>
        <v>0</v>
      </c>
      <c r="CK175" s="151">
        <f t="shared" si="116"/>
        <v>0</v>
      </c>
      <c r="CL175" s="151">
        <f t="shared" si="116"/>
        <v>0</v>
      </c>
      <c r="CM175" s="151">
        <f t="shared" si="116"/>
        <v>0</v>
      </c>
      <c r="CN175" s="151">
        <f t="shared" si="116"/>
        <v>0</v>
      </c>
      <c r="CO175" s="151">
        <f t="shared" si="116"/>
        <v>0</v>
      </c>
      <c r="CP175" s="151">
        <f t="shared" si="116"/>
        <v>0</v>
      </c>
      <c r="CQ175" s="151">
        <f t="shared" si="116"/>
        <v>0</v>
      </c>
      <c r="CR175" s="151">
        <f t="shared" si="116"/>
        <v>0</v>
      </c>
      <c r="CS175" s="151">
        <f t="shared" si="116"/>
        <v>0</v>
      </c>
      <c r="CT175" s="151">
        <f t="shared" si="116"/>
        <v>0</v>
      </c>
      <c r="CU175" s="151">
        <f t="shared" si="116"/>
        <v>0</v>
      </c>
      <c r="CV175" s="151">
        <f t="shared" si="116"/>
        <v>0</v>
      </c>
    </row>
    <row r="176" spans="1:100" s="616" customFormat="1" ht="12.75" outlineLevel="2" x14ac:dyDescent="0.2">
      <c r="A176" s="613"/>
      <c r="B176" s="613"/>
      <c r="C176" s="614"/>
      <c r="D176" s="615"/>
      <c r="E176" s="616" t="s">
        <v>1019</v>
      </c>
      <c r="G176" s="616" t="s">
        <v>103</v>
      </c>
      <c r="H176" s="616">
        <f xml:space="preserve"> SUM(J176:CV176)</f>
        <v>0.99999992866526399</v>
      </c>
      <c r="J176" s="616">
        <f t="shared" ref="J176:AO176" si="117" xml:space="preserve"> IF( $F$174 &lt; CHK_TOL, 0, J175 / $F$174 )</f>
        <v>0</v>
      </c>
      <c r="K176" s="616">
        <f t="shared" si="117"/>
        <v>0</v>
      </c>
      <c r="L176" s="616">
        <f t="shared" si="117"/>
        <v>0</v>
      </c>
      <c r="M176" s="616">
        <f t="shared" si="117"/>
        <v>0</v>
      </c>
      <c r="N176" s="616">
        <f t="shared" si="117"/>
        <v>0</v>
      </c>
      <c r="O176" s="616">
        <f t="shared" si="117"/>
        <v>2.3064480562526492E-2</v>
      </c>
      <c r="P176" s="616">
        <f t="shared" si="117"/>
        <v>1.9052161663010238E-2</v>
      </c>
      <c r="Q176" s="616">
        <f t="shared" si="117"/>
        <v>1.9281472408275737E-2</v>
      </c>
      <c r="R176" s="616">
        <f t="shared" si="117"/>
        <v>1.9638889862709168E-2</v>
      </c>
      <c r="S176" s="616">
        <f t="shared" si="117"/>
        <v>1.9891034940279394E-2</v>
      </c>
      <c r="T176" s="616">
        <f t="shared" si="117"/>
        <v>2.0249056965636596E-2</v>
      </c>
      <c r="U176" s="616">
        <f t="shared" si="117"/>
        <v>2.0524935487135451E-2</v>
      </c>
      <c r="V176" s="616">
        <f t="shared" si="117"/>
        <v>2.0848851614863755E-2</v>
      </c>
      <c r="W176" s="616">
        <f t="shared" si="117"/>
        <v>2.1133815797625206E-2</v>
      </c>
      <c r="X176" s="616">
        <f t="shared" si="117"/>
        <v>2.15418392792808E-2</v>
      </c>
      <c r="Y176" s="616">
        <f t="shared" si="117"/>
        <v>2.1233399656639253E-2</v>
      </c>
      <c r="Z176" s="616">
        <f t="shared" si="117"/>
        <v>2.1611229656913405E-2</v>
      </c>
      <c r="AA176" s="616">
        <f t="shared" si="117"/>
        <v>2.1961710250272923E-2</v>
      </c>
      <c r="AB176" s="616">
        <f t="shared" si="117"/>
        <v>2.2341420974952744E-2</v>
      </c>
      <c r="AC176" s="616">
        <f t="shared" si="117"/>
        <v>2.2721011300822328E-2</v>
      </c>
      <c r="AD176" s="616">
        <f t="shared" si="117"/>
        <v>2.3085140911060172E-2</v>
      </c>
      <c r="AE176" s="616">
        <f t="shared" si="117"/>
        <v>2.3464309991839804E-2</v>
      </c>
      <c r="AF176" s="616">
        <f t="shared" si="117"/>
        <v>2.3895150168927487E-2</v>
      </c>
      <c r="AG176" s="616">
        <f t="shared" si="117"/>
        <v>2.4336654706004823E-2</v>
      </c>
      <c r="AH176" s="616">
        <f t="shared" si="117"/>
        <v>2.4723068719925981E-2</v>
      </c>
      <c r="AI176" s="616">
        <f t="shared" si="117"/>
        <v>2.4716762046726109E-2</v>
      </c>
      <c r="AJ176" s="616">
        <f t="shared" si="117"/>
        <v>2.5134445665373314E-2</v>
      </c>
      <c r="AK176" s="616">
        <f t="shared" si="117"/>
        <v>2.5658217596067692E-2</v>
      </c>
      <c r="AL176" s="616">
        <f t="shared" si="117"/>
        <v>2.6084288867811233E-2</v>
      </c>
      <c r="AM176" s="616">
        <f t="shared" si="117"/>
        <v>2.6596844059836797E-2</v>
      </c>
      <c r="AN176" s="616">
        <f t="shared" si="117"/>
        <v>2.7068715307122838E-2</v>
      </c>
      <c r="AO176" s="616">
        <f t="shared" si="117"/>
        <v>2.7672137978257377E-2</v>
      </c>
      <c r="AP176" s="616">
        <f t="shared" ref="AP176:BU176" si="118" xml:space="preserve"> IF( $F$174 &lt; CHK_TOL, 0, AP175 / $F$174 )</f>
        <v>2.8103913758003307E-2</v>
      </c>
      <c r="AQ176" s="616">
        <f t="shared" si="118"/>
        <v>2.8749962032454099E-2</v>
      </c>
      <c r="AR176" s="616">
        <f t="shared" si="118"/>
        <v>2.9187110295759214E-2</v>
      </c>
      <c r="AS176" s="616">
        <f t="shared" si="118"/>
        <v>7.2343569274471789E-2</v>
      </c>
      <c r="AT176" s="616">
        <f t="shared" si="118"/>
        <v>7.3366831034237093E-2</v>
      </c>
      <c r="AU176" s="616">
        <f t="shared" si="118"/>
        <v>7.4830062224346655E-2</v>
      </c>
      <c r="AV176" s="616">
        <f t="shared" si="118"/>
        <v>7.5887433606094692E-2</v>
      </c>
      <c r="AW176" s="616">
        <f t="shared" si="118"/>
        <v>0</v>
      </c>
      <c r="AX176" s="616">
        <f t="shared" si="118"/>
        <v>0</v>
      </c>
      <c r="AY176" s="616">
        <f t="shared" si="118"/>
        <v>0</v>
      </c>
      <c r="AZ176" s="616">
        <f t="shared" si="118"/>
        <v>0</v>
      </c>
      <c r="BA176" s="616">
        <f t="shared" si="118"/>
        <v>0</v>
      </c>
      <c r="BB176" s="616">
        <f t="shared" si="118"/>
        <v>0</v>
      </c>
      <c r="BC176" s="616">
        <f t="shared" si="118"/>
        <v>0</v>
      </c>
      <c r="BD176" s="616">
        <f t="shared" si="118"/>
        <v>0</v>
      </c>
      <c r="BE176" s="616">
        <f t="shared" si="118"/>
        <v>0</v>
      </c>
      <c r="BF176" s="616">
        <f t="shared" si="118"/>
        <v>0</v>
      </c>
      <c r="BG176" s="616">
        <f t="shared" si="118"/>
        <v>0</v>
      </c>
      <c r="BH176" s="616">
        <f t="shared" si="118"/>
        <v>0</v>
      </c>
      <c r="BI176" s="616">
        <f t="shared" si="118"/>
        <v>0</v>
      </c>
      <c r="BJ176" s="616">
        <f t="shared" si="118"/>
        <v>0</v>
      </c>
      <c r="BK176" s="616">
        <f t="shared" si="118"/>
        <v>0</v>
      </c>
      <c r="BL176" s="616">
        <f t="shared" si="118"/>
        <v>0</v>
      </c>
      <c r="BM176" s="616">
        <f t="shared" si="118"/>
        <v>0</v>
      </c>
      <c r="BN176" s="616">
        <f t="shared" si="118"/>
        <v>0</v>
      </c>
      <c r="BO176" s="616">
        <f t="shared" si="118"/>
        <v>0</v>
      </c>
      <c r="BP176" s="616">
        <f t="shared" si="118"/>
        <v>0</v>
      </c>
      <c r="BQ176" s="616">
        <f t="shared" si="118"/>
        <v>0</v>
      </c>
      <c r="BR176" s="616">
        <f t="shared" si="118"/>
        <v>0</v>
      </c>
      <c r="BS176" s="616">
        <f t="shared" si="118"/>
        <v>0</v>
      </c>
      <c r="BT176" s="616">
        <f t="shared" si="118"/>
        <v>0</v>
      </c>
      <c r="BU176" s="616">
        <f t="shared" si="118"/>
        <v>0</v>
      </c>
      <c r="BV176" s="616">
        <f t="shared" ref="BV176:CV176" si="119" xml:space="preserve"> IF( $F$174 &lt; CHK_TOL, 0, BV175 / $F$174 )</f>
        <v>0</v>
      </c>
      <c r="BW176" s="616">
        <f t="shared" si="119"/>
        <v>0</v>
      </c>
      <c r="BX176" s="616">
        <f t="shared" si="119"/>
        <v>0</v>
      </c>
      <c r="BY176" s="616">
        <f t="shared" si="119"/>
        <v>0</v>
      </c>
      <c r="BZ176" s="616">
        <f t="shared" si="119"/>
        <v>0</v>
      </c>
      <c r="CA176" s="616">
        <f t="shared" si="119"/>
        <v>0</v>
      </c>
      <c r="CB176" s="616">
        <f t="shared" si="119"/>
        <v>0</v>
      </c>
      <c r="CC176" s="616">
        <f t="shared" si="119"/>
        <v>0</v>
      </c>
      <c r="CD176" s="616">
        <f t="shared" si="119"/>
        <v>0</v>
      </c>
      <c r="CE176" s="616">
        <f t="shared" si="119"/>
        <v>0</v>
      </c>
      <c r="CF176" s="616">
        <f t="shared" si="119"/>
        <v>0</v>
      </c>
      <c r="CG176" s="616">
        <f t="shared" si="119"/>
        <v>0</v>
      </c>
      <c r="CH176" s="616">
        <f t="shared" si="119"/>
        <v>0</v>
      </c>
      <c r="CI176" s="616">
        <f t="shared" si="119"/>
        <v>0</v>
      </c>
      <c r="CJ176" s="616">
        <f t="shared" si="119"/>
        <v>0</v>
      </c>
      <c r="CK176" s="616">
        <f t="shared" si="119"/>
        <v>0</v>
      </c>
      <c r="CL176" s="616">
        <f t="shared" si="119"/>
        <v>0</v>
      </c>
      <c r="CM176" s="616">
        <f t="shared" si="119"/>
        <v>0</v>
      </c>
      <c r="CN176" s="616">
        <f t="shared" si="119"/>
        <v>0</v>
      </c>
      <c r="CO176" s="616">
        <f t="shared" si="119"/>
        <v>0</v>
      </c>
      <c r="CP176" s="616">
        <f t="shared" si="119"/>
        <v>0</v>
      </c>
      <c r="CQ176" s="616">
        <f t="shared" si="119"/>
        <v>0</v>
      </c>
      <c r="CR176" s="616">
        <f t="shared" si="119"/>
        <v>0</v>
      </c>
      <c r="CS176" s="616">
        <f t="shared" si="119"/>
        <v>0</v>
      </c>
      <c r="CT176" s="616">
        <f t="shared" si="119"/>
        <v>0</v>
      </c>
      <c r="CU176" s="616">
        <f t="shared" si="119"/>
        <v>0</v>
      </c>
      <c r="CV176" s="616">
        <f t="shared" si="119"/>
        <v>0</v>
      </c>
    </row>
    <row r="177" spans="1:100" s="616" customFormat="1" ht="12.75" outlineLevel="2" x14ac:dyDescent="0.2">
      <c r="A177" s="613"/>
      <c r="B177" s="613"/>
      <c r="C177" s="614"/>
      <c r="D177" s="615"/>
    </row>
    <row r="178" spans="1:100" ht="12.75" outlineLevel="2" x14ac:dyDescent="0.2">
      <c r="A178" s="236"/>
      <c r="B178" s="236"/>
      <c r="C178" s="237"/>
      <c r="D178" s="238"/>
      <c r="E178" s="145" t="str">
        <f xml:space="preserve"> ConFin!E$312</f>
        <v>Sum of construction debt drawdown - T1</v>
      </c>
      <c r="F178" s="145">
        <f xml:space="preserve"> ConFin!F$312</f>
        <v>125194.92613015344</v>
      </c>
      <c r="G178" s="145" t="str">
        <f xml:space="preserve"> ConFin!G$312</f>
        <v>$ 000s</v>
      </c>
      <c r="H178" s="310"/>
      <c r="I178" s="310"/>
      <c r="J178" s="310"/>
      <c r="K178" s="310"/>
      <c r="L178" s="310"/>
      <c r="M178" s="310"/>
      <c r="N178" s="310"/>
      <c r="O178" s="310"/>
      <c r="P178" s="310"/>
      <c r="Q178" s="310"/>
      <c r="R178" s="310"/>
      <c r="S178" s="288"/>
      <c r="T178" s="288"/>
      <c r="U178" s="288"/>
      <c r="V178" s="288"/>
      <c r="W178" s="288"/>
      <c r="X178" s="288"/>
      <c r="Y178" s="288"/>
      <c r="Z178" s="288"/>
      <c r="AA178" s="288"/>
      <c r="AB178" s="288"/>
      <c r="AC178" s="288"/>
      <c r="AD178" s="288"/>
      <c r="AE178" s="288"/>
      <c r="AF178" s="288"/>
      <c r="AG178" s="288"/>
      <c r="AH178" s="288"/>
      <c r="AI178" s="288"/>
      <c r="AJ178" s="288"/>
      <c r="AK178" s="288"/>
      <c r="AL178" s="288"/>
      <c r="AM178" s="288"/>
      <c r="AN178" s="288"/>
      <c r="AO178" s="288"/>
      <c r="AP178" s="288"/>
      <c r="AQ178" s="288"/>
      <c r="AR178" s="288"/>
      <c r="AS178" s="288"/>
      <c r="AT178" s="288"/>
      <c r="AU178" s="288"/>
      <c r="AV178" s="288"/>
      <c r="AW178" s="288"/>
      <c r="AX178" s="288"/>
      <c r="AY178" s="288"/>
      <c r="AZ178" s="288"/>
      <c r="BA178" s="288"/>
      <c r="BB178" s="288"/>
      <c r="BC178" s="288"/>
      <c r="BD178" s="288"/>
      <c r="BE178" s="288"/>
      <c r="BF178" s="288"/>
      <c r="BG178" s="288"/>
      <c r="BH178" s="288"/>
      <c r="BI178" s="288"/>
      <c r="BJ178" s="288"/>
      <c r="BK178" s="288"/>
      <c r="BL178" s="288"/>
      <c r="BM178" s="288"/>
      <c r="BN178" s="288"/>
      <c r="BO178" s="288"/>
      <c r="BP178" s="288"/>
      <c r="BQ178" s="288"/>
      <c r="BR178" s="288"/>
      <c r="BS178" s="288"/>
      <c r="BT178" s="288"/>
      <c r="BU178" s="288"/>
      <c r="BV178" s="288"/>
      <c r="BW178" s="288"/>
      <c r="BX178" s="288"/>
      <c r="BY178" s="288"/>
      <c r="BZ178" s="288"/>
      <c r="CA178" s="288"/>
      <c r="CB178" s="288"/>
      <c r="CC178" s="288"/>
      <c r="CD178" s="288"/>
      <c r="CE178" s="288"/>
      <c r="CF178" s="288"/>
      <c r="CG178" s="288"/>
      <c r="CH178" s="288"/>
      <c r="CI178" s="288"/>
      <c r="CJ178" s="288"/>
      <c r="CK178" s="288"/>
      <c r="CL178" s="288"/>
      <c r="CM178" s="288"/>
      <c r="CN178" s="288"/>
      <c r="CO178" s="288"/>
      <c r="CP178" s="288"/>
      <c r="CQ178" s="288"/>
      <c r="CR178" s="288"/>
      <c r="CS178" s="288"/>
      <c r="CT178" s="288"/>
      <c r="CU178" s="288"/>
      <c r="CV178" s="288"/>
    </row>
    <row r="179" spans="1:100" ht="12.75" outlineLevel="2" x14ac:dyDescent="0.2">
      <c r="A179" s="236"/>
      <c r="B179" s="236"/>
      <c r="C179" s="237"/>
      <c r="D179" s="238"/>
      <c r="E179" s="493" t="str">
        <f xml:space="preserve"> Solve!E$63</f>
        <v>Senior repayment % profile - Paste - T1</v>
      </c>
      <c r="F179" s="493">
        <f xml:space="preserve"> Solve!F$63</f>
        <v>0</v>
      </c>
      <c r="G179" s="493" t="str">
        <f xml:space="preserve"> Solve!G$63</f>
        <v>%</v>
      </c>
      <c r="H179" s="493">
        <f xml:space="preserve"> Solve!H$63</f>
        <v>1.0000002033750179</v>
      </c>
      <c r="I179" s="493">
        <f xml:space="preserve"> Solve!I$63</f>
        <v>0</v>
      </c>
      <c r="J179" s="493">
        <f xml:space="preserve"> Solve!J$63</f>
        <v>0</v>
      </c>
      <c r="K179" s="493">
        <f xml:space="preserve"> Solve!K$63</f>
        <v>0</v>
      </c>
      <c r="L179" s="493">
        <f xml:space="preserve"> Solve!L$63</f>
        <v>0</v>
      </c>
      <c r="M179" s="493">
        <f xml:space="preserve"> Solve!M$63</f>
        <v>0</v>
      </c>
      <c r="N179" s="493">
        <f xml:space="preserve"> Solve!N$63</f>
        <v>0</v>
      </c>
      <c r="O179" s="493">
        <f xml:space="preserve"> Solve!O$63</f>
        <v>2.3064484542946101E-2</v>
      </c>
      <c r="P179" s="493">
        <f xml:space="preserve"> Solve!P$63</f>
        <v>1.9052165112778029E-2</v>
      </c>
      <c r="Q179" s="493">
        <f xml:space="preserve"> Solve!Q$63</f>
        <v>1.9281475906112996E-2</v>
      </c>
      <c r="R179" s="493">
        <f xml:space="preserve"> Solve!R$63</f>
        <v>1.9638893395302046E-2</v>
      </c>
      <c r="S179" s="493">
        <f xml:space="preserve"> Solve!S$63</f>
        <v>1.9891038522920877E-2</v>
      </c>
      <c r="T179" s="493">
        <f xml:space="preserve"> Solve!T$63</f>
        <v>2.0249060581832744E-2</v>
      </c>
      <c r="U179" s="493">
        <f xml:space="preserve"> Solve!U$63</f>
        <v>2.0524939155266313E-2</v>
      </c>
      <c r="V179" s="493">
        <f xml:space="preserve"> Solve!V$63</f>
        <v>2.0848855315500105E-2</v>
      </c>
      <c r="W179" s="493">
        <f xml:space="preserve"> Solve!W$63</f>
        <v>2.1133819545010223E-2</v>
      </c>
      <c r="X179" s="493">
        <f xml:space="preserve"> Solve!X$63</f>
        <v>2.1541843064013463E-2</v>
      </c>
      <c r="Y179" s="493">
        <f xml:space="preserve"> Solve!Y$63</f>
        <v>2.1233403451487554E-2</v>
      </c>
      <c r="Z179" s="493">
        <f xml:space="preserve"> Solve!Z$63</f>
        <v>2.1611233482992622E-2</v>
      </c>
      <c r="AA179" s="493">
        <f xml:space="preserve"> Solve!AA$63</f>
        <v>2.1961714133914869E-2</v>
      </c>
      <c r="AB179" s="493">
        <f xml:space="preserve"> Solve!AB$63</f>
        <v>2.2341424888137448E-2</v>
      </c>
      <c r="AC179" s="493">
        <f xml:space="preserve"> Solve!AC$63</f>
        <v>2.2721015273114775E-2</v>
      </c>
      <c r="AD179" s="493">
        <f xml:space="preserve"> Solve!AD$63</f>
        <v>2.3085144913694001E-2</v>
      </c>
      <c r="AE179" s="493">
        <f xml:space="preserve"> Solve!AE$63</f>
        <v>2.3464314045988637E-2</v>
      </c>
      <c r="AF179" s="493">
        <f xml:space="preserve"> Solve!AF$63</f>
        <v>2.3895154255339293E-2</v>
      </c>
      <c r="AG179" s="493">
        <f xml:space="preserve"> Solve!AG$63</f>
        <v>2.43366588543871E-2</v>
      </c>
      <c r="AH179" s="493">
        <f xml:space="preserve"> Solve!AH$63</f>
        <v>2.4723072892368594E-2</v>
      </c>
      <c r="AI179" s="493">
        <f xml:space="preserve"> Solve!AI$63</f>
        <v>2.4716766266870669E-2</v>
      </c>
      <c r="AJ179" s="493">
        <f xml:space="preserve"> Solve!AJ$63</f>
        <v>2.5134449909969905E-2</v>
      </c>
      <c r="AK179" s="493">
        <f xml:space="preserve"> Solve!AK$63</f>
        <v>2.5658221907127406E-2</v>
      </c>
      <c r="AL179" s="493">
        <f xml:space="preserve"> Solve!AL$63</f>
        <v>2.608429320630775E-2</v>
      </c>
      <c r="AM179" s="493">
        <f xml:space="preserve"> Solve!AM$63</f>
        <v>2.6596848454685133E-2</v>
      </c>
      <c r="AN179" s="493">
        <f xml:space="preserve"> Solve!AN$63</f>
        <v>2.7068719728314265E-2</v>
      </c>
      <c r="AO179" s="493">
        <f xml:space="preserve"> Solve!AO$63</f>
        <v>2.7672142468372483E-2</v>
      </c>
      <c r="AP179" s="493">
        <f xml:space="preserve"> Solve!AP$63</f>
        <v>2.8103918266281155E-2</v>
      </c>
      <c r="AQ179" s="493">
        <f xml:space="preserve"> Solve!AQ$63</f>
        <v>2.874996661088032E-2</v>
      </c>
      <c r="AR179" s="493">
        <f xml:space="preserve"> Solve!AR$63</f>
        <v>2.9187114890294977E-2</v>
      </c>
      <c r="AS179" s="493">
        <f xml:space="preserve"> Solve!AS$63</f>
        <v>7.2343590337416927E-2</v>
      </c>
      <c r="AT179" s="493">
        <f xml:space="preserve"> Solve!AT$63</f>
        <v>7.3366857339355163E-2</v>
      </c>
      <c r="AU179" s="493">
        <f xml:space="preserve"> Solve!AU$63</f>
        <v>7.4830099363004193E-2</v>
      </c>
      <c r="AV179" s="493">
        <f xml:space="preserve"> Solve!AV$63</f>
        <v>7.5887503293029776E-2</v>
      </c>
      <c r="AW179" s="493">
        <f xml:space="preserve"> Solve!AW$63</f>
        <v>0</v>
      </c>
      <c r="AX179" s="493">
        <f xml:space="preserve"> Solve!AX$63</f>
        <v>0</v>
      </c>
      <c r="AY179" s="493">
        <f xml:space="preserve"> Solve!AY$63</f>
        <v>0</v>
      </c>
      <c r="AZ179" s="493">
        <f xml:space="preserve"> Solve!AZ$63</f>
        <v>0</v>
      </c>
      <c r="BA179" s="493">
        <f xml:space="preserve"> Solve!BA$63</f>
        <v>0</v>
      </c>
      <c r="BB179" s="493">
        <f xml:space="preserve"> Solve!BB$63</f>
        <v>0</v>
      </c>
      <c r="BC179" s="493">
        <f xml:space="preserve"> Solve!BC$63</f>
        <v>0</v>
      </c>
      <c r="BD179" s="493">
        <f xml:space="preserve"> Solve!BD$63</f>
        <v>0</v>
      </c>
      <c r="BE179" s="493">
        <f xml:space="preserve"> Solve!BE$63</f>
        <v>0</v>
      </c>
      <c r="BF179" s="493">
        <f xml:space="preserve"> Solve!BF$63</f>
        <v>0</v>
      </c>
      <c r="BG179" s="493">
        <f xml:space="preserve"> Solve!BG$63</f>
        <v>0</v>
      </c>
      <c r="BH179" s="493">
        <f xml:space="preserve"> Solve!BH$63</f>
        <v>0</v>
      </c>
      <c r="BI179" s="493">
        <f xml:space="preserve"> Solve!BI$63</f>
        <v>0</v>
      </c>
      <c r="BJ179" s="493">
        <f xml:space="preserve"> Solve!BJ$63</f>
        <v>0</v>
      </c>
      <c r="BK179" s="493">
        <f xml:space="preserve"> Solve!BK$63</f>
        <v>0</v>
      </c>
      <c r="BL179" s="493">
        <f xml:space="preserve"> Solve!BL$63</f>
        <v>0</v>
      </c>
      <c r="BM179" s="493">
        <f xml:space="preserve"> Solve!BM$63</f>
        <v>0</v>
      </c>
      <c r="BN179" s="493">
        <f xml:space="preserve"> Solve!BN$63</f>
        <v>0</v>
      </c>
      <c r="BO179" s="493">
        <f xml:space="preserve"> Solve!BO$63</f>
        <v>0</v>
      </c>
      <c r="BP179" s="493">
        <f xml:space="preserve"> Solve!BP$63</f>
        <v>0</v>
      </c>
      <c r="BQ179" s="493">
        <f xml:space="preserve"> Solve!BQ$63</f>
        <v>0</v>
      </c>
      <c r="BR179" s="493">
        <f xml:space="preserve"> Solve!BR$63</f>
        <v>0</v>
      </c>
      <c r="BS179" s="493">
        <f xml:space="preserve"> Solve!BS$63</f>
        <v>0</v>
      </c>
      <c r="BT179" s="493">
        <f xml:space="preserve"> Solve!BT$63</f>
        <v>0</v>
      </c>
      <c r="BU179" s="493">
        <f xml:space="preserve"> Solve!BU$63</f>
        <v>0</v>
      </c>
      <c r="BV179" s="493">
        <f xml:space="preserve"> Solve!BV$63</f>
        <v>0</v>
      </c>
      <c r="BW179" s="493">
        <f xml:space="preserve"> Solve!BW$63</f>
        <v>0</v>
      </c>
      <c r="BX179" s="493">
        <f xml:space="preserve"> Solve!BX$63</f>
        <v>0</v>
      </c>
      <c r="BY179" s="493">
        <f xml:space="preserve"> Solve!BY$63</f>
        <v>0</v>
      </c>
      <c r="BZ179" s="493">
        <f xml:space="preserve"> Solve!BZ$63</f>
        <v>0</v>
      </c>
      <c r="CA179" s="493">
        <f xml:space="preserve"> Solve!CA$63</f>
        <v>0</v>
      </c>
      <c r="CB179" s="493">
        <f xml:space="preserve"> Solve!CB$63</f>
        <v>0</v>
      </c>
      <c r="CC179" s="493">
        <f xml:space="preserve"> Solve!CC$63</f>
        <v>0</v>
      </c>
      <c r="CD179" s="493">
        <f xml:space="preserve"> Solve!CD$63</f>
        <v>0</v>
      </c>
      <c r="CE179" s="493">
        <f xml:space="preserve"> Solve!CE$63</f>
        <v>0</v>
      </c>
      <c r="CF179" s="493">
        <f xml:space="preserve"> Solve!CF$63</f>
        <v>0</v>
      </c>
      <c r="CG179" s="493">
        <f xml:space="preserve"> Solve!CG$63</f>
        <v>0</v>
      </c>
      <c r="CH179" s="493">
        <f xml:space="preserve"> Solve!CH$63</f>
        <v>0</v>
      </c>
      <c r="CI179" s="493">
        <f xml:space="preserve"> Solve!CI$63</f>
        <v>0</v>
      </c>
      <c r="CJ179" s="493">
        <f xml:space="preserve"> Solve!CJ$63</f>
        <v>0</v>
      </c>
      <c r="CK179" s="493">
        <f xml:space="preserve"> Solve!CK$63</f>
        <v>0</v>
      </c>
      <c r="CL179" s="493">
        <f xml:space="preserve"> Solve!CL$63</f>
        <v>0</v>
      </c>
      <c r="CM179" s="493">
        <f xml:space="preserve"> Solve!CM$63</f>
        <v>0</v>
      </c>
      <c r="CN179" s="493">
        <f xml:space="preserve"> Solve!CN$63</f>
        <v>0</v>
      </c>
      <c r="CO179" s="493">
        <f xml:space="preserve"> Solve!CO$63</f>
        <v>0</v>
      </c>
      <c r="CP179" s="493">
        <f xml:space="preserve"> Solve!CP$63</f>
        <v>0</v>
      </c>
      <c r="CQ179" s="493">
        <f xml:space="preserve"> Solve!CQ$63</f>
        <v>0</v>
      </c>
      <c r="CR179" s="493">
        <f xml:space="preserve"> Solve!CR$63</f>
        <v>0</v>
      </c>
      <c r="CS179" s="493">
        <f xml:space="preserve"> Solve!CS$63</f>
        <v>0</v>
      </c>
      <c r="CT179" s="493">
        <f xml:space="preserve"> Solve!CT$63</f>
        <v>0</v>
      </c>
      <c r="CU179" s="493">
        <f xml:space="preserve"> Solve!CU$63</f>
        <v>0</v>
      </c>
      <c r="CV179" s="493">
        <f xml:space="preserve"> Solve!CV$63</f>
        <v>0</v>
      </c>
    </row>
    <row r="180" spans="1:100" ht="12.75" outlineLevel="2" x14ac:dyDescent="0.2">
      <c r="A180" s="236"/>
      <c r="B180" s="236"/>
      <c r="C180" s="237"/>
      <c r="D180" s="238"/>
      <c r="E180" s="310" t="s">
        <v>1012</v>
      </c>
      <c r="F180" s="310"/>
      <c r="G180" s="310" t="str">
        <f xml:space="preserve"> SMU</f>
        <v>$ 000s</v>
      </c>
      <c r="H180" s="310">
        <f xml:space="preserve"> SUM(J180:CV180)</f>
        <v>125194.95159167382</v>
      </c>
      <c r="I180" s="310"/>
      <c r="J180" s="310">
        <f t="shared" ref="J180:AO180" si="120" xml:space="preserve"> $F178 * J179</f>
        <v>0</v>
      </c>
      <c r="K180" s="310">
        <f t="shared" si="120"/>
        <v>0</v>
      </c>
      <c r="L180" s="310">
        <f t="shared" si="120"/>
        <v>0</v>
      </c>
      <c r="M180" s="310">
        <f t="shared" si="120"/>
        <v>0</v>
      </c>
      <c r="N180" s="310">
        <f t="shared" si="120"/>
        <v>0</v>
      </c>
      <c r="O180" s="310">
        <f t="shared" si="120"/>
        <v>2887.5564385842031</v>
      </c>
      <c r="P180" s="310">
        <f t="shared" si="120"/>
        <v>2385.234403913732</v>
      </c>
      <c r="Q180" s="310">
        <f t="shared" si="120"/>
        <v>2413.9429517461499</v>
      </c>
      <c r="R180" s="310">
        <f t="shared" si="120"/>
        <v>2458.6898079027978</v>
      </c>
      <c r="S180" s="310">
        <f t="shared" si="120"/>
        <v>2490.2570985291154</v>
      </c>
      <c r="T180" s="310">
        <f t="shared" si="120"/>
        <v>2535.0796437475524</v>
      </c>
      <c r="U180" s="310">
        <f t="shared" si="120"/>
        <v>2569.6182413694601</v>
      </c>
      <c r="V180" s="310">
        <f t="shared" si="120"/>
        <v>2610.1709011222924</v>
      </c>
      <c r="W180" s="310">
        <f t="shared" si="120"/>
        <v>2645.8469767855477</v>
      </c>
      <c r="X180" s="310">
        <f t="shared" si="120"/>
        <v>2696.9294511065236</v>
      </c>
      <c r="Y180" s="310">
        <f t="shared" si="120"/>
        <v>2658.3143766007292</v>
      </c>
      <c r="Z180" s="310">
        <f t="shared" si="120"/>
        <v>2705.6167794847602</v>
      </c>
      <c r="AA180" s="310">
        <f t="shared" si="120"/>
        <v>2749.4951786870188</v>
      </c>
      <c r="AB180" s="310">
        <f t="shared" si="120"/>
        <v>2797.0330385127395</v>
      </c>
      <c r="AC180" s="310">
        <f t="shared" si="120"/>
        <v>2844.5558287196923</v>
      </c>
      <c r="AD180" s="310">
        <f t="shared" si="120"/>
        <v>2890.1430121738081</v>
      </c>
      <c r="AE180" s="310">
        <f t="shared" si="120"/>
        <v>2937.6130636822691</v>
      </c>
      <c r="AF180" s="310">
        <f t="shared" si="120"/>
        <v>2991.5520718658245</v>
      </c>
      <c r="AG180" s="310">
        <f t="shared" si="120"/>
        <v>3046.8262075297375</v>
      </c>
      <c r="AH180" s="310">
        <f t="shared" si="120"/>
        <v>3095.2032844704854</v>
      </c>
      <c r="AI180" s="310">
        <f t="shared" si="120"/>
        <v>3094.413726957142</v>
      </c>
      <c r="AJ180" s="310">
        <f t="shared" si="120"/>
        <v>3146.705599800724</v>
      </c>
      <c r="AK180" s="310">
        <f t="shared" si="120"/>
        <v>3212.2791962939004</v>
      </c>
      <c r="AL180" s="310">
        <f t="shared" si="120"/>
        <v>3265.6211611209619</v>
      </c>
      <c r="AM180" s="310">
        <f t="shared" si="120"/>
        <v>3329.7904775791908</v>
      </c>
      <c r="AN180" s="310">
        <f t="shared" si="120"/>
        <v>3388.8663668241315</v>
      </c>
      <c r="AO180" s="310">
        <f t="shared" si="120"/>
        <v>3464.411832190975</v>
      </c>
      <c r="AP180" s="310">
        <f t="shared" ref="AP180:BU180" si="121" xml:space="preserve"> $F178 * AP179</f>
        <v>3518.4679713149394</v>
      </c>
      <c r="AQ180" s="310">
        <f t="shared" si="121"/>
        <v>3599.3499460935395</v>
      </c>
      <c r="AR180" s="310">
        <f t="shared" si="121"/>
        <v>3654.0786926427813</v>
      </c>
      <c r="AS180" s="310">
        <f t="shared" si="121"/>
        <v>9057.0504482829947</v>
      </c>
      <c r="AT180" s="310">
        <f t="shared" si="121"/>
        <v>9185.158285002075</v>
      </c>
      <c r="AU180" s="310">
        <f t="shared" si="121"/>
        <v>9368.3487620633514</v>
      </c>
      <c r="AV180" s="310">
        <f t="shared" si="121"/>
        <v>9500.7303689726396</v>
      </c>
      <c r="AW180" s="310">
        <f t="shared" si="121"/>
        <v>0</v>
      </c>
      <c r="AX180" s="310">
        <f t="shared" si="121"/>
        <v>0</v>
      </c>
      <c r="AY180" s="310">
        <f t="shared" si="121"/>
        <v>0</v>
      </c>
      <c r="AZ180" s="310">
        <f t="shared" si="121"/>
        <v>0</v>
      </c>
      <c r="BA180" s="310">
        <f t="shared" si="121"/>
        <v>0</v>
      </c>
      <c r="BB180" s="310">
        <f t="shared" si="121"/>
        <v>0</v>
      </c>
      <c r="BC180" s="310">
        <f t="shared" si="121"/>
        <v>0</v>
      </c>
      <c r="BD180" s="310">
        <f t="shared" si="121"/>
        <v>0</v>
      </c>
      <c r="BE180" s="310">
        <f t="shared" si="121"/>
        <v>0</v>
      </c>
      <c r="BF180" s="310">
        <f t="shared" si="121"/>
        <v>0</v>
      </c>
      <c r="BG180" s="310">
        <f t="shared" si="121"/>
        <v>0</v>
      </c>
      <c r="BH180" s="310">
        <f t="shared" si="121"/>
        <v>0</v>
      </c>
      <c r="BI180" s="310">
        <f t="shared" si="121"/>
        <v>0</v>
      </c>
      <c r="BJ180" s="310">
        <f t="shared" si="121"/>
        <v>0</v>
      </c>
      <c r="BK180" s="310">
        <f t="shared" si="121"/>
        <v>0</v>
      </c>
      <c r="BL180" s="310">
        <f t="shared" si="121"/>
        <v>0</v>
      </c>
      <c r="BM180" s="310">
        <f t="shared" si="121"/>
        <v>0</v>
      </c>
      <c r="BN180" s="310">
        <f t="shared" si="121"/>
        <v>0</v>
      </c>
      <c r="BO180" s="310">
        <f t="shared" si="121"/>
        <v>0</v>
      </c>
      <c r="BP180" s="310">
        <f t="shared" si="121"/>
        <v>0</v>
      </c>
      <c r="BQ180" s="310">
        <f t="shared" si="121"/>
        <v>0</v>
      </c>
      <c r="BR180" s="310">
        <f t="shared" si="121"/>
        <v>0</v>
      </c>
      <c r="BS180" s="310">
        <f t="shared" si="121"/>
        <v>0</v>
      </c>
      <c r="BT180" s="310">
        <f t="shared" si="121"/>
        <v>0</v>
      </c>
      <c r="BU180" s="310">
        <f t="shared" si="121"/>
        <v>0</v>
      </c>
      <c r="BV180" s="310">
        <f t="shared" ref="BV180:CV180" si="122" xml:space="preserve"> $F178 * BV179</f>
        <v>0</v>
      </c>
      <c r="BW180" s="310">
        <f t="shared" si="122"/>
        <v>0</v>
      </c>
      <c r="BX180" s="310">
        <f t="shared" si="122"/>
        <v>0</v>
      </c>
      <c r="BY180" s="310">
        <f t="shared" si="122"/>
        <v>0</v>
      </c>
      <c r="BZ180" s="310">
        <f t="shared" si="122"/>
        <v>0</v>
      </c>
      <c r="CA180" s="310">
        <f t="shared" si="122"/>
        <v>0</v>
      </c>
      <c r="CB180" s="310">
        <f t="shared" si="122"/>
        <v>0</v>
      </c>
      <c r="CC180" s="310">
        <f t="shared" si="122"/>
        <v>0</v>
      </c>
      <c r="CD180" s="310">
        <f t="shared" si="122"/>
        <v>0</v>
      </c>
      <c r="CE180" s="310">
        <f t="shared" si="122"/>
        <v>0</v>
      </c>
      <c r="CF180" s="310">
        <f t="shared" si="122"/>
        <v>0</v>
      </c>
      <c r="CG180" s="310">
        <f t="shared" si="122"/>
        <v>0</v>
      </c>
      <c r="CH180" s="310">
        <f t="shared" si="122"/>
        <v>0</v>
      </c>
      <c r="CI180" s="310">
        <f t="shared" si="122"/>
        <v>0</v>
      </c>
      <c r="CJ180" s="310">
        <f t="shared" si="122"/>
        <v>0</v>
      </c>
      <c r="CK180" s="310">
        <f t="shared" si="122"/>
        <v>0</v>
      </c>
      <c r="CL180" s="310">
        <f t="shared" si="122"/>
        <v>0</v>
      </c>
      <c r="CM180" s="310">
        <f t="shared" si="122"/>
        <v>0</v>
      </c>
      <c r="CN180" s="310">
        <f t="shared" si="122"/>
        <v>0</v>
      </c>
      <c r="CO180" s="310">
        <f t="shared" si="122"/>
        <v>0</v>
      </c>
      <c r="CP180" s="310">
        <f t="shared" si="122"/>
        <v>0</v>
      </c>
      <c r="CQ180" s="310">
        <f t="shared" si="122"/>
        <v>0</v>
      </c>
      <c r="CR180" s="310">
        <f t="shared" si="122"/>
        <v>0</v>
      </c>
      <c r="CS180" s="310">
        <f t="shared" si="122"/>
        <v>0</v>
      </c>
      <c r="CT180" s="310">
        <f t="shared" si="122"/>
        <v>0</v>
      </c>
      <c r="CU180" s="310">
        <f t="shared" si="122"/>
        <v>0</v>
      </c>
      <c r="CV180" s="310">
        <f t="shared" si="122"/>
        <v>0</v>
      </c>
    </row>
    <row r="181" spans="1:100" ht="12.75" outlineLevel="2" x14ac:dyDescent="0.2">
      <c r="A181" s="236"/>
      <c r="B181" s="236"/>
      <c r="C181" s="237"/>
      <c r="D181" s="238"/>
      <c r="E181" s="310"/>
      <c r="F181" s="310"/>
      <c r="G181" s="310"/>
      <c r="H181" s="310"/>
      <c r="I181" s="310"/>
      <c r="J181" s="310"/>
      <c r="K181" s="310"/>
      <c r="L181" s="310"/>
      <c r="M181" s="310"/>
      <c r="N181" s="310"/>
      <c r="O181" s="310"/>
      <c r="P181" s="310"/>
      <c r="Q181" s="310"/>
      <c r="R181" s="310"/>
      <c r="S181" s="310"/>
      <c r="T181" s="310"/>
      <c r="U181" s="310"/>
      <c r="V181" s="310"/>
      <c r="W181" s="310"/>
      <c r="X181" s="310"/>
      <c r="Y181" s="310"/>
      <c r="Z181" s="310"/>
      <c r="AA181" s="310"/>
      <c r="AB181" s="310"/>
      <c r="AC181" s="310"/>
      <c r="AD181" s="310"/>
      <c r="AE181" s="310"/>
      <c r="AF181" s="310"/>
      <c r="AG181" s="310"/>
      <c r="AH181" s="310"/>
      <c r="AI181" s="310"/>
      <c r="AJ181" s="310"/>
      <c r="AK181" s="310"/>
      <c r="AL181" s="310"/>
      <c r="AM181" s="310"/>
      <c r="AN181" s="310"/>
      <c r="AO181" s="310"/>
      <c r="AP181" s="310"/>
      <c r="AQ181" s="310"/>
      <c r="AR181" s="310"/>
      <c r="AS181" s="310"/>
      <c r="AT181" s="310"/>
      <c r="AU181" s="310"/>
      <c r="AV181" s="310"/>
      <c r="AW181" s="310"/>
      <c r="AX181" s="310"/>
      <c r="AY181" s="310"/>
      <c r="AZ181" s="310"/>
      <c r="BA181" s="310"/>
      <c r="BB181" s="310"/>
      <c r="BC181" s="310"/>
      <c r="BD181" s="310"/>
      <c r="BE181" s="310"/>
      <c r="BF181" s="310"/>
      <c r="BG181" s="310"/>
      <c r="BH181" s="310"/>
      <c r="BI181" s="310"/>
      <c r="BJ181" s="310"/>
      <c r="BK181" s="310"/>
      <c r="BL181" s="310"/>
      <c r="BM181" s="310"/>
      <c r="BN181" s="310"/>
      <c r="BO181" s="310"/>
      <c r="BP181" s="310"/>
      <c r="BQ181" s="310"/>
      <c r="BR181" s="310"/>
      <c r="BS181" s="310"/>
      <c r="BT181" s="310"/>
      <c r="BU181" s="310"/>
      <c r="BV181" s="310"/>
      <c r="BW181" s="310"/>
      <c r="BX181" s="310"/>
      <c r="BY181" s="310"/>
      <c r="BZ181" s="310"/>
      <c r="CA181" s="310"/>
      <c r="CB181" s="310"/>
      <c r="CC181" s="310"/>
      <c r="CD181" s="310"/>
      <c r="CE181" s="310"/>
      <c r="CF181" s="310"/>
      <c r="CG181" s="310"/>
      <c r="CH181" s="310"/>
      <c r="CI181" s="310"/>
      <c r="CJ181" s="310"/>
      <c r="CK181" s="310"/>
      <c r="CL181" s="310"/>
      <c r="CM181" s="310"/>
      <c r="CN181" s="310"/>
      <c r="CO181" s="310"/>
      <c r="CP181" s="310"/>
      <c r="CQ181" s="310"/>
      <c r="CR181" s="310"/>
      <c r="CS181" s="310"/>
      <c r="CT181" s="310"/>
      <c r="CU181" s="310"/>
      <c r="CV181" s="310"/>
    </row>
    <row r="182" spans="1:100" ht="12.75" outlineLevel="2" x14ac:dyDescent="0.2">
      <c r="A182" s="236"/>
      <c r="B182" s="236"/>
      <c r="C182" s="237"/>
      <c r="D182" s="238"/>
      <c r="E182" s="151" t="str">
        <f t="shared" ref="E182:AJ182" si="123" xml:space="preserve"> E$180</f>
        <v>Senior scheduled repayment - T1</v>
      </c>
      <c r="F182" s="151">
        <f t="shared" si="123"/>
        <v>0</v>
      </c>
      <c r="G182" s="151" t="str">
        <f t="shared" si="123"/>
        <v>$ 000s</v>
      </c>
      <c r="H182" s="151">
        <f t="shared" si="123"/>
        <v>125194.95159167382</v>
      </c>
      <c r="I182" s="151">
        <f t="shared" si="123"/>
        <v>0</v>
      </c>
      <c r="J182" s="151">
        <f t="shared" si="123"/>
        <v>0</v>
      </c>
      <c r="K182" s="151">
        <f t="shared" si="123"/>
        <v>0</v>
      </c>
      <c r="L182" s="151">
        <f t="shared" si="123"/>
        <v>0</v>
      </c>
      <c r="M182" s="151">
        <f t="shared" si="123"/>
        <v>0</v>
      </c>
      <c r="N182" s="151">
        <f t="shared" si="123"/>
        <v>0</v>
      </c>
      <c r="O182" s="151">
        <f t="shared" si="123"/>
        <v>2887.5564385842031</v>
      </c>
      <c r="P182" s="151">
        <f t="shared" si="123"/>
        <v>2385.234403913732</v>
      </c>
      <c r="Q182" s="151">
        <f t="shared" si="123"/>
        <v>2413.9429517461499</v>
      </c>
      <c r="R182" s="151">
        <f t="shared" si="123"/>
        <v>2458.6898079027978</v>
      </c>
      <c r="S182" s="151">
        <f t="shared" si="123"/>
        <v>2490.2570985291154</v>
      </c>
      <c r="T182" s="151">
        <f t="shared" si="123"/>
        <v>2535.0796437475524</v>
      </c>
      <c r="U182" s="151">
        <f t="shared" si="123"/>
        <v>2569.6182413694601</v>
      </c>
      <c r="V182" s="151">
        <f t="shared" si="123"/>
        <v>2610.1709011222924</v>
      </c>
      <c r="W182" s="151">
        <f t="shared" si="123"/>
        <v>2645.8469767855477</v>
      </c>
      <c r="X182" s="151">
        <f t="shared" si="123"/>
        <v>2696.9294511065236</v>
      </c>
      <c r="Y182" s="151">
        <f t="shared" si="123"/>
        <v>2658.3143766007292</v>
      </c>
      <c r="Z182" s="151">
        <f t="shared" si="123"/>
        <v>2705.6167794847602</v>
      </c>
      <c r="AA182" s="151">
        <f t="shared" si="123"/>
        <v>2749.4951786870188</v>
      </c>
      <c r="AB182" s="151">
        <f t="shared" si="123"/>
        <v>2797.0330385127395</v>
      </c>
      <c r="AC182" s="151">
        <f t="shared" si="123"/>
        <v>2844.5558287196923</v>
      </c>
      <c r="AD182" s="151">
        <f t="shared" si="123"/>
        <v>2890.1430121738081</v>
      </c>
      <c r="AE182" s="151">
        <f t="shared" si="123"/>
        <v>2937.6130636822691</v>
      </c>
      <c r="AF182" s="151">
        <f t="shared" si="123"/>
        <v>2991.5520718658245</v>
      </c>
      <c r="AG182" s="151">
        <f t="shared" si="123"/>
        <v>3046.8262075297375</v>
      </c>
      <c r="AH182" s="151">
        <f t="shared" si="123"/>
        <v>3095.2032844704854</v>
      </c>
      <c r="AI182" s="151">
        <f t="shared" si="123"/>
        <v>3094.413726957142</v>
      </c>
      <c r="AJ182" s="151">
        <f t="shared" si="123"/>
        <v>3146.705599800724</v>
      </c>
      <c r="AK182" s="151">
        <f t="shared" ref="AK182:BP182" si="124" xml:space="preserve"> AK$180</f>
        <v>3212.2791962939004</v>
      </c>
      <c r="AL182" s="151">
        <f t="shared" si="124"/>
        <v>3265.6211611209619</v>
      </c>
      <c r="AM182" s="151">
        <f t="shared" si="124"/>
        <v>3329.7904775791908</v>
      </c>
      <c r="AN182" s="151">
        <f t="shared" si="124"/>
        <v>3388.8663668241315</v>
      </c>
      <c r="AO182" s="151">
        <f t="shared" si="124"/>
        <v>3464.411832190975</v>
      </c>
      <c r="AP182" s="151">
        <f t="shared" si="124"/>
        <v>3518.4679713149394</v>
      </c>
      <c r="AQ182" s="151">
        <f t="shared" si="124"/>
        <v>3599.3499460935395</v>
      </c>
      <c r="AR182" s="151">
        <f t="shared" si="124"/>
        <v>3654.0786926427813</v>
      </c>
      <c r="AS182" s="151">
        <f t="shared" si="124"/>
        <v>9057.0504482829947</v>
      </c>
      <c r="AT182" s="151">
        <f t="shared" si="124"/>
        <v>9185.158285002075</v>
      </c>
      <c r="AU182" s="151">
        <f t="shared" si="124"/>
        <v>9368.3487620633514</v>
      </c>
      <c r="AV182" s="151">
        <f t="shared" si="124"/>
        <v>9500.7303689726396</v>
      </c>
      <c r="AW182" s="151">
        <f t="shared" si="124"/>
        <v>0</v>
      </c>
      <c r="AX182" s="151">
        <f t="shared" si="124"/>
        <v>0</v>
      </c>
      <c r="AY182" s="151">
        <f t="shared" si="124"/>
        <v>0</v>
      </c>
      <c r="AZ182" s="151">
        <f t="shared" si="124"/>
        <v>0</v>
      </c>
      <c r="BA182" s="151">
        <f t="shared" si="124"/>
        <v>0</v>
      </c>
      <c r="BB182" s="151">
        <f t="shared" si="124"/>
        <v>0</v>
      </c>
      <c r="BC182" s="151">
        <f t="shared" si="124"/>
        <v>0</v>
      </c>
      <c r="BD182" s="151">
        <f t="shared" si="124"/>
        <v>0</v>
      </c>
      <c r="BE182" s="151">
        <f t="shared" si="124"/>
        <v>0</v>
      </c>
      <c r="BF182" s="151">
        <f t="shared" si="124"/>
        <v>0</v>
      </c>
      <c r="BG182" s="151">
        <f t="shared" si="124"/>
        <v>0</v>
      </c>
      <c r="BH182" s="151">
        <f t="shared" si="124"/>
        <v>0</v>
      </c>
      <c r="BI182" s="151">
        <f t="shared" si="124"/>
        <v>0</v>
      </c>
      <c r="BJ182" s="151">
        <f t="shared" si="124"/>
        <v>0</v>
      </c>
      <c r="BK182" s="151">
        <f t="shared" si="124"/>
        <v>0</v>
      </c>
      <c r="BL182" s="151">
        <f t="shared" si="124"/>
        <v>0</v>
      </c>
      <c r="BM182" s="151">
        <f t="shared" si="124"/>
        <v>0</v>
      </c>
      <c r="BN182" s="151">
        <f t="shared" si="124"/>
        <v>0</v>
      </c>
      <c r="BO182" s="151">
        <f t="shared" si="124"/>
        <v>0</v>
      </c>
      <c r="BP182" s="151">
        <f t="shared" si="124"/>
        <v>0</v>
      </c>
      <c r="BQ182" s="151">
        <f t="shared" ref="BQ182:CV182" si="125" xml:space="preserve"> BQ$180</f>
        <v>0</v>
      </c>
      <c r="BR182" s="151">
        <f t="shared" si="125"/>
        <v>0</v>
      </c>
      <c r="BS182" s="151">
        <f t="shared" si="125"/>
        <v>0</v>
      </c>
      <c r="BT182" s="151">
        <f t="shared" si="125"/>
        <v>0</v>
      </c>
      <c r="BU182" s="151">
        <f t="shared" si="125"/>
        <v>0</v>
      </c>
      <c r="BV182" s="151">
        <f t="shared" si="125"/>
        <v>0</v>
      </c>
      <c r="BW182" s="151">
        <f t="shared" si="125"/>
        <v>0</v>
      </c>
      <c r="BX182" s="151">
        <f t="shared" si="125"/>
        <v>0</v>
      </c>
      <c r="BY182" s="151">
        <f t="shared" si="125"/>
        <v>0</v>
      </c>
      <c r="BZ182" s="151">
        <f t="shared" si="125"/>
        <v>0</v>
      </c>
      <c r="CA182" s="151">
        <f t="shared" si="125"/>
        <v>0</v>
      </c>
      <c r="CB182" s="151">
        <f t="shared" si="125"/>
        <v>0</v>
      </c>
      <c r="CC182" s="151">
        <f t="shared" si="125"/>
        <v>0</v>
      </c>
      <c r="CD182" s="151">
        <f t="shared" si="125"/>
        <v>0</v>
      </c>
      <c r="CE182" s="151">
        <f t="shared" si="125"/>
        <v>0</v>
      </c>
      <c r="CF182" s="151">
        <f t="shared" si="125"/>
        <v>0</v>
      </c>
      <c r="CG182" s="151">
        <f t="shared" si="125"/>
        <v>0</v>
      </c>
      <c r="CH182" s="151">
        <f t="shared" si="125"/>
        <v>0</v>
      </c>
      <c r="CI182" s="151">
        <f t="shared" si="125"/>
        <v>0</v>
      </c>
      <c r="CJ182" s="151">
        <f t="shared" si="125"/>
        <v>0</v>
      </c>
      <c r="CK182" s="151">
        <f t="shared" si="125"/>
        <v>0</v>
      </c>
      <c r="CL182" s="151">
        <f t="shared" si="125"/>
        <v>0</v>
      </c>
      <c r="CM182" s="151">
        <f t="shared" si="125"/>
        <v>0</v>
      </c>
      <c r="CN182" s="151">
        <f t="shared" si="125"/>
        <v>0</v>
      </c>
      <c r="CO182" s="151">
        <f t="shared" si="125"/>
        <v>0</v>
      </c>
      <c r="CP182" s="151">
        <f t="shared" si="125"/>
        <v>0</v>
      </c>
      <c r="CQ182" s="151">
        <f t="shared" si="125"/>
        <v>0</v>
      </c>
      <c r="CR182" s="151">
        <f t="shared" si="125"/>
        <v>0</v>
      </c>
      <c r="CS182" s="151">
        <f t="shared" si="125"/>
        <v>0</v>
      </c>
      <c r="CT182" s="151">
        <f t="shared" si="125"/>
        <v>0</v>
      </c>
      <c r="CU182" s="151">
        <f t="shared" si="125"/>
        <v>0</v>
      </c>
      <c r="CV182" s="151">
        <f t="shared" si="125"/>
        <v>0</v>
      </c>
    </row>
    <row r="183" spans="1:100" s="230" customFormat="1" ht="12.75" outlineLevel="2" x14ac:dyDescent="0.2">
      <c r="A183" s="141"/>
      <c r="B183" s="141"/>
      <c r="C183" s="142"/>
      <c r="D183" s="143"/>
      <c r="E183" s="144" t="s">
        <v>979</v>
      </c>
      <c r="F183" s="144"/>
      <c r="G183" s="144" t="str">
        <f xml:space="preserve"> SMU</f>
        <v>$ 000s</v>
      </c>
      <c r="H183" s="144">
        <f xml:space="preserve"> SUM(J183:CV183)</f>
        <v>125194.95159167382</v>
      </c>
      <c r="I183" s="144"/>
      <c r="J183" s="144">
        <f t="shared" ref="J183:AO183" si="126" xml:space="preserve"> J182</f>
        <v>0</v>
      </c>
      <c r="K183" s="144">
        <f t="shared" si="126"/>
        <v>0</v>
      </c>
      <c r="L183" s="144">
        <f t="shared" si="126"/>
        <v>0</v>
      </c>
      <c r="M183" s="144">
        <f t="shared" si="126"/>
        <v>0</v>
      </c>
      <c r="N183" s="144">
        <f t="shared" si="126"/>
        <v>0</v>
      </c>
      <c r="O183" s="144">
        <f t="shared" si="126"/>
        <v>2887.5564385842031</v>
      </c>
      <c r="P183" s="144">
        <f t="shared" si="126"/>
        <v>2385.234403913732</v>
      </c>
      <c r="Q183" s="144">
        <f t="shared" si="126"/>
        <v>2413.9429517461499</v>
      </c>
      <c r="R183" s="144">
        <f t="shared" si="126"/>
        <v>2458.6898079027978</v>
      </c>
      <c r="S183" s="144">
        <f t="shared" si="126"/>
        <v>2490.2570985291154</v>
      </c>
      <c r="T183" s="144">
        <f t="shared" si="126"/>
        <v>2535.0796437475524</v>
      </c>
      <c r="U183" s="144">
        <f t="shared" si="126"/>
        <v>2569.6182413694601</v>
      </c>
      <c r="V183" s="144">
        <f t="shared" si="126"/>
        <v>2610.1709011222924</v>
      </c>
      <c r="W183" s="144">
        <f t="shared" si="126"/>
        <v>2645.8469767855477</v>
      </c>
      <c r="X183" s="144">
        <f t="shared" si="126"/>
        <v>2696.9294511065236</v>
      </c>
      <c r="Y183" s="144">
        <f t="shared" si="126"/>
        <v>2658.3143766007292</v>
      </c>
      <c r="Z183" s="144">
        <f t="shared" si="126"/>
        <v>2705.6167794847602</v>
      </c>
      <c r="AA183" s="144">
        <f t="shared" si="126"/>
        <v>2749.4951786870188</v>
      </c>
      <c r="AB183" s="144">
        <f t="shared" si="126"/>
        <v>2797.0330385127395</v>
      </c>
      <c r="AC183" s="144">
        <f t="shared" si="126"/>
        <v>2844.5558287196923</v>
      </c>
      <c r="AD183" s="144">
        <f t="shared" si="126"/>
        <v>2890.1430121738081</v>
      </c>
      <c r="AE183" s="144">
        <f t="shared" si="126"/>
        <v>2937.6130636822691</v>
      </c>
      <c r="AF183" s="144">
        <f t="shared" si="126"/>
        <v>2991.5520718658245</v>
      </c>
      <c r="AG183" s="144">
        <f t="shared" si="126"/>
        <v>3046.8262075297375</v>
      </c>
      <c r="AH183" s="144">
        <f t="shared" si="126"/>
        <v>3095.2032844704854</v>
      </c>
      <c r="AI183" s="144">
        <f t="shared" si="126"/>
        <v>3094.413726957142</v>
      </c>
      <c r="AJ183" s="144">
        <f t="shared" si="126"/>
        <v>3146.705599800724</v>
      </c>
      <c r="AK183" s="144">
        <f t="shared" si="126"/>
        <v>3212.2791962939004</v>
      </c>
      <c r="AL183" s="144">
        <f t="shared" si="126"/>
        <v>3265.6211611209619</v>
      </c>
      <c r="AM183" s="144">
        <f t="shared" si="126"/>
        <v>3329.7904775791908</v>
      </c>
      <c r="AN183" s="144">
        <f t="shared" si="126"/>
        <v>3388.8663668241315</v>
      </c>
      <c r="AO183" s="144">
        <f t="shared" si="126"/>
        <v>3464.411832190975</v>
      </c>
      <c r="AP183" s="144">
        <f t="shared" ref="AP183:BU183" si="127" xml:space="preserve"> AP182</f>
        <v>3518.4679713149394</v>
      </c>
      <c r="AQ183" s="144">
        <f t="shared" si="127"/>
        <v>3599.3499460935395</v>
      </c>
      <c r="AR183" s="144">
        <f t="shared" si="127"/>
        <v>3654.0786926427813</v>
      </c>
      <c r="AS183" s="144">
        <f t="shared" si="127"/>
        <v>9057.0504482829947</v>
      </c>
      <c r="AT183" s="144">
        <f t="shared" si="127"/>
        <v>9185.158285002075</v>
      </c>
      <c r="AU183" s="144">
        <f t="shared" si="127"/>
        <v>9368.3487620633514</v>
      </c>
      <c r="AV183" s="144">
        <f t="shared" si="127"/>
        <v>9500.7303689726396</v>
      </c>
      <c r="AW183" s="144">
        <f t="shared" si="127"/>
        <v>0</v>
      </c>
      <c r="AX183" s="144">
        <f t="shared" si="127"/>
        <v>0</v>
      </c>
      <c r="AY183" s="144">
        <f t="shared" si="127"/>
        <v>0</v>
      </c>
      <c r="AZ183" s="144">
        <f t="shared" si="127"/>
        <v>0</v>
      </c>
      <c r="BA183" s="144">
        <f t="shared" si="127"/>
        <v>0</v>
      </c>
      <c r="BB183" s="144">
        <f t="shared" si="127"/>
        <v>0</v>
      </c>
      <c r="BC183" s="144">
        <f t="shared" si="127"/>
        <v>0</v>
      </c>
      <c r="BD183" s="144">
        <f t="shared" si="127"/>
        <v>0</v>
      </c>
      <c r="BE183" s="144">
        <f t="shared" si="127"/>
        <v>0</v>
      </c>
      <c r="BF183" s="144">
        <f t="shared" si="127"/>
        <v>0</v>
      </c>
      <c r="BG183" s="144">
        <f t="shared" si="127"/>
        <v>0</v>
      </c>
      <c r="BH183" s="144">
        <f t="shared" si="127"/>
        <v>0</v>
      </c>
      <c r="BI183" s="144">
        <f t="shared" si="127"/>
        <v>0</v>
      </c>
      <c r="BJ183" s="144">
        <f t="shared" si="127"/>
        <v>0</v>
      </c>
      <c r="BK183" s="144">
        <f t="shared" si="127"/>
        <v>0</v>
      </c>
      <c r="BL183" s="144">
        <f t="shared" si="127"/>
        <v>0</v>
      </c>
      <c r="BM183" s="144">
        <f t="shared" si="127"/>
        <v>0</v>
      </c>
      <c r="BN183" s="144">
        <f t="shared" si="127"/>
        <v>0</v>
      </c>
      <c r="BO183" s="144">
        <f t="shared" si="127"/>
        <v>0</v>
      </c>
      <c r="BP183" s="144">
        <f t="shared" si="127"/>
        <v>0</v>
      </c>
      <c r="BQ183" s="144">
        <f t="shared" si="127"/>
        <v>0</v>
      </c>
      <c r="BR183" s="144">
        <f t="shared" si="127"/>
        <v>0</v>
      </c>
      <c r="BS183" s="144">
        <f t="shared" si="127"/>
        <v>0</v>
      </c>
      <c r="BT183" s="144">
        <f t="shared" si="127"/>
        <v>0</v>
      </c>
      <c r="BU183" s="144">
        <f t="shared" si="127"/>
        <v>0</v>
      </c>
      <c r="BV183" s="144">
        <f t="shared" ref="BV183:CV183" si="128" xml:space="preserve"> BV182</f>
        <v>0</v>
      </c>
      <c r="BW183" s="144">
        <f t="shared" si="128"/>
        <v>0</v>
      </c>
      <c r="BX183" s="144">
        <f t="shared" si="128"/>
        <v>0</v>
      </c>
      <c r="BY183" s="144">
        <f t="shared" si="128"/>
        <v>0</v>
      </c>
      <c r="BZ183" s="144">
        <f t="shared" si="128"/>
        <v>0</v>
      </c>
      <c r="CA183" s="144">
        <f t="shared" si="128"/>
        <v>0</v>
      </c>
      <c r="CB183" s="144">
        <f t="shared" si="128"/>
        <v>0</v>
      </c>
      <c r="CC183" s="144">
        <f t="shared" si="128"/>
        <v>0</v>
      </c>
      <c r="CD183" s="144">
        <f t="shared" si="128"/>
        <v>0</v>
      </c>
      <c r="CE183" s="144">
        <f t="shared" si="128"/>
        <v>0</v>
      </c>
      <c r="CF183" s="144">
        <f t="shared" si="128"/>
        <v>0</v>
      </c>
      <c r="CG183" s="144">
        <f t="shared" si="128"/>
        <v>0</v>
      </c>
      <c r="CH183" s="144">
        <f t="shared" si="128"/>
        <v>0</v>
      </c>
      <c r="CI183" s="144">
        <f t="shared" si="128"/>
        <v>0</v>
      </c>
      <c r="CJ183" s="144">
        <f t="shared" si="128"/>
        <v>0</v>
      </c>
      <c r="CK183" s="144">
        <f t="shared" si="128"/>
        <v>0</v>
      </c>
      <c r="CL183" s="144">
        <f t="shared" si="128"/>
        <v>0</v>
      </c>
      <c r="CM183" s="144">
        <f t="shared" si="128"/>
        <v>0</v>
      </c>
      <c r="CN183" s="144">
        <f t="shared" si="128"/>
        <v>0</v>
      </c>
      <c r="CO183" s="144">
        <f t="shared" si="128"/>
        <v>0</v>
      </c>
      <c r="CP183" s="144">
        <f t="shared" si="128"/>
        <v>0</v>
      </c>
      <c r="CQ183" s="144">
        <f t="shared" si="128"/>
        <v>0</v>
      </c>
      <c r="CR183" s="144">
        <f t="shared" si="128"/>
        <v>0</v>
      </c>
      <c r="CS183" s="144">
        <f t="shared" si="128"/>
        <v>0</v>
      </c>
      <c r="CT183" s="144">
        <f t="shared" si="128"/>
        <v>0</v>
      </c>
      <c r="CU183" s="144">
        <f t="shared" si="128"/>
        <v>0</v>
      </c>
      <c r="CV183" s="144">
        <f t="shared" si="128"/>
        <v>0</v>
      </c>
    </row>
    <row r="184" spans="1:100" ht="12.75" outlineLevel="2" x14ac:dyDescent="0.2">
      <c r="A184" s="141"/>
      <c r="B184" s="141"/>
      <c r="C184" s="142"/>
      <c r="D184" s="143" t="s">
        <v>366</v>
      </c>
      <c r="E184" s="144" t="str">
        <f xml:space="preserve"> LEFT(E183, LEN(E183) - 4)</f>
        <v>Senior debt principal repayment - T1</v>
      </c>
      <c r="F184" s="187"/>
      <c r="G184" s="187" t="str">
        <f xml:space="preserve"> SMU</f>
        <v>$ 000s</v>
      </c>
      <c r="H184" s="187">
        <f xml:space="preserve"> SUM(J184:CV184)</f>
        <v>-125194.95159167382</v>
      </c>
      <c r="I184" s="144"/>
      <c r="J184" s="187">
        <f t="shared" ref="J184:AO184" si="129" xml:space="preserve"> -1 * J183</f>
        <v>0</v>
      </c>
      <c r="K184" s="187">
        <f t="shared" si="129"/>
        <v>0</v>
      </c>
      <c r="L184" s="187">
        <f t="shared" si="129"/>
        <v>0</v>
      </c>
      <c r="M184" s="187">
        <f t="shared" si="129"/>
        <v>0</v>
      </c>
      <c r="N184" s="187">
        <f t="shared" si="129"/>
        <v>0</v>
      </c>
      <c r="O184" s="187">
        <f t="shared" si="129"/>
        <v>-2887.5564385842031</v>
      </c>
      <c r="P184" s="187">
        <f t="shared" si="129"/>
        <v>-2385.234403913732</v>
      </c>
      <c r="Q184" s="187">
        <f t="shared" si="129"/>
        <v>-2413.9429517461499</v>
      </c>
      <c r="R184" s="187">
        <f t="shared" si="129"/>
        <v>-2458.6898079027978</v>
      </c>
      <c r="S184" s="187">
        <f t="shared" si="129"/>
        <v>-2490.2570985291154</v>
      </c>
      <c r="T184" s="187">
        <f t="shared" si="129"/>
        <v>-2535.0796437475524</v>
      </c>
      <c r="U184" s="187">
        <f t="shared" si="129"/>
        <v>-2569.6182413694601</v>
      </c>
      <c r="V184" s="187">
        <f t="shared" si="129"/>
        <v>-2610.1709011222924</v>
      </c>
      <c r="W184" s="187">
        <f t="shared" si="129"/>
        <v>-2645.8469767855477</v>
      </c>
      <c r="X184" s="187">
        <f t="shared" si="129"/>
        <v>-2696.9294511065236</v>
      </c>
      <c r="Y184" s="187">
        <f t="shared" si="129"/>
        <v>-2658.3143766007292</v>
      </c>
      <c r="Z184" s="187">
        <f t="shared" si="129"/>
        <v>-2705.6167794847602</v>
      </c>
      <c r="AA184" s="187">
        <f t="shared" si="129"/>
        <v>-2749.4951786870188</v>
      </c>
      <c r="AB184" s="187">
        <f t="shared" si="129"/>
        <v>-2797.0330385127395</v>
      </c>
      <c r="AC184" s="187">
        <f t="shared" si="129"/>
        <v>-2844.5558287196923</v>
      </c>
      <c r="AD184" s="187">
        <f t="shared" si="129"/>
        <v>-2890.1430121738081</v>
      </c>
      <c r="AE184" s="187">
        <f t="shared" si="129"/>
        <v>-2937.6130636822691</v>
      </c>
      <c r="AF184" s="187">
        <f t="shared" si="129"/>
        <v>-2991.5520718658245</v>
      </c>
      <c r="AG184" s="187">
        <f t="shared" si="129"/>
        <v>-3046.8262075297375</v>
      </c>
      <c r="AH184" s="187">
        <f t="shared" si="129"/>
        <v>-3095.2032844704854</v>
      </c>
      <c r="AI184" s="187">
        <f t="shared" si="129"/>
        <v>-3094.413726957142</v>
      </c>
      <c r="AJ184" s="187">
        <f t="shared" si="129"/>
        <v>-3146.705599800724</v>
      </c>
      <c r="AK184" s="187">
        <f t="shared" si="129"/>
        <v>-3212.2791962939004</v>
      </c>
      <c r="AL184" s="187">
        <f t="shared" si="129"/>
        <v>-3265.6211611209619</v>
      </c>
      <c r="AM184" s="187">
        <f t="shared" si="129"/>
        <v>-3329.7904775791908</v>
      </c>
      <c r="AN184" s="187">
        <f t="shared" si="129"/>
        <v>-3388.8663668241315</v>
      </c>
      <c r="AO184" s="187">
        <f t="shared" si="129"/>
        <v>-3464.411832190975</v>
      </c>
      <c r="AP184" s="187">
        <f t="shared" ref="AP184:BU184" si="130" xml:space="preserve"> -1 * AP183</f>
        <v>-3518.4679713149394</v>
      </c>
      <c r="AQ184" s="187">
        <f t="shared" si="130"/>
        <v>-3599.3499460935395</v>
      </c>
      <c r="AR184" s="187">
        <f t="shared" si="130"/>
        <v>-3654.0786926427813</v>
      </c>
      <c r="AS184" s="187">
        <f t="shared" si="130"/>
        <v>-9057.0504482829947</v>
      </c>
      <c r="AT184" s="187">
        <f t="shared" si="130"/>
        <v>-9185.158285002075</v>
      </c>
      <c r="AU184" s="187">
        <f t="shared" si="130"/>
        <v>-9368.3487620633514</v>
      </c>
      <c r="AV184" s="187">
        <f t="shared" si="130"/>
        <v>-9500.7303689726396</v>
      </c>
      <c r="AW184" s="187">
        <f t="shared" si="130"/>
        <v>0</v>
      </c>
      <c r="AX184" s="187">
        <f t="shared" si="130"/>
        <v>0</v>
      </c>
      <c r="AY184" s="187">
        <f t="shared" si="130"/>
        <v>0</v>
      </c>
      <c r="AZ184" s="187">
        <f t="shared" si="130"/>
        <v>0</v>
      </c>
      <c r="BA184" s="187">
        <f t="shared" si="130"/>
        <v>0</v>
      </c>
      <c r="BB184" s="187">
        <f t="shared" si="130"/>
        <v>0</v>
      </c>
      <c r="BC184" s="187">
        <f t="shared" si="130"/>
        <v>0</v>
      </c>
      <c r="BD184" s="187">
        <f t="shared" si="130"/>
        <v>0</v>
      </c>
      <c r="BE184" s="187">
        <f t="shared" si="130"/>
        <v>0</v>
      </c>
      <c r="BF184" s="187">
        <f t="shared" si="130"/>
        <v>0</v>
      </c>
      <c r="BG184" s="187">
        <f t="shared" si="130"/>
        <v>0</v>
      </c>
      <c r="BH184" s="187">
        <f t="shared" si="130"/>
        <v>0</v>
      </c>
      <c r="BI184" s="187">
        <f t="shared" si="130"/>
        <v>0</v>
      </c>
      <c r="BJ184" s="187">
        <f t="shared" si="130"/>
        <v>0</v>
      </c>
      <c r="BK184" s="187">
        <f t="shared" si="130"/>
        <v>0</v>
      </c>
      <c r="BL184" s="187">
        <f t="shared" si="130"/>
        <v>0</v>
      </c>
      <c r="BM184" s="187">
        <f t="shared" si="130"/>
        <v>0</v>
      </c>
      <c r="BN184" s="187">
        <f t="shared" si="130"/>
        <v>0</v>
      </c>
      <c r="BO184" s="187">
        <f t="shared" si="130"/>
        <v>0</v>
      </c>
      <c r="BP184" s="187">
        <f t="shared" si="130"/>
        <v>0</v>
      </c>
      <c r="BQ184" s="187">
        <f t="shared" si="130"/>
        <v>0</v>
      </c>
      <c r="BR184" s="187">
        <f t="shared" si="130"/>
        <v>0</v>
      </c>
      <c r="BS184" s="187">
        <f t="shared" si="130"/>
        <v>0</v>
      </c>
      <c r="BT184" s="187">
        <f t="shared" si="130"/>
        <v>0</v>
      </c>
      <c r="BU184" s="187">
        <f t="shared" si="130"/>
        <v>0</v>
      </c>
      <c r="BV184" s="187">
        <f t="shared" ref="BV184:CV184" si="131" xml:space="preserve"> -1 * BV183</f>
        <v>0</v>
      </c>
      <c r="BW184" s="187">
        <f t="shared" si="131"/>
        <v>0</v>
      </c>
      <c r="BX184" s="187">
        <f t="shared" si="131"/>
        <v>0</v>
      </c>
      <c r="BY184" s="187">
        <f t="shared" si="131"/>
        <v>0</v>
      </c>
      <c r="BZ184" s="187">
        <f t="shared" si="131"/>
        <v>0</v>
      </c>
      <c r="CA184" s="187">
        <f t="shared" si="131"/>
        <v>0</v>
      </c>
      <c r="CB184" s="187">
        <f t="shared" si="131"/>
        <v>0</v>
      </c>
      <c r="CC184" s="187">
        <f t="shared" si="131"/>
        <v>0</v>
      </c>
      <c r="CD184" s="187">
        <f t="shared" si="131"/>
        <v>0</v>
      </c>
      <c r="CE184" s="187">
        <f t="shared" si="131"/>
        <v>0</v>
      </c>
      <c r="CF184" s="187">
        <f t="shared" si="131"/>
        <v>0</v>
      </c>
      <c r="CG184" s="187">
        <f t="shared" si="131"/>
        <v>0</v>
      </c>
      <c r="CH184" s="187">
        <f t="shared" si="131"/>
        <v>0</v>
      </c>
      <c r="CI184" s="187">
        <f t="shared" si="131"/>
        <v>0</v>
      </c>
      <c r="CJ184" s="187">
        <f t="shared" si="131"/>
        <v>0</v>
      </c>
      <c r="CK184" s="187">
        <f t="shared" si="131"/>
        <v>0</v>
      </c>
      <c r="CL184" s="187">
        <f t="shared" si="131"/>
        <v>0</v>
      </c>
      <c r="CM184" s="187">
        <f t="shared" si="131"/>
        <v>0</v>
      </c>
      <c r="CN184" s="187">
        <f t="shared" si="131"/>
        <v>0</v>
      </c>
      <c r="CO184" s="187">
        <f t="shared" si="131"/>
        <v>0</v>
      </c>
      <c r="CP184" s="187">
        <f t="shared" si="131"/>
        <v>0</v>
      </c>
      <c r="CQ184" s="187">
        <f t="shared" si="131"/>
        <v>0</v>
      </c>
      <c r="CR184" s="187">
        <f t="shared" si="131"/>
        <v>0</v>
      </c>
      <c r="CS184" s="187">
        <f t="shared" si="131"/>
        <v>0</v>
      </c>
      <c r="CT184" s="187">
        <f t="shared" si="131"/>
        <v>0</v>
      </c>
      <c r="CU184" s="187">
        <f t="shared" si="131"/>
        <v>0</v>
      </c>
      <c r="CV184" s="187">
        <f t="shared" si="131"/>
        <v>0</v>
      </c>
    </row>
    <row r="185" spans="1:100" ht="12.75" outlineLevel="1" x14ac:dyDescent="0.2"/>
    <row r="186" spans="1:100" ht="12.75" outlineLevel="1" x14ac:dyDescent="0.2">
      <c r="C186" s="21" t="s">
        <v>980</v>
      </c>
    </row>
    <row r="187" spans="1:100" s="626" customFormat="1" ht="12.75" outlineLevel="2" x14ac:dyDescent="0.2">
      <c r="A187" s="621"/>
      <c r="B187" s="621"/>
      <c r="C187" s="622"/>
      <c r="D187" s="623"/>
      <c r="E187" s="624" t="s">
        <v>997</v>
      </c>
      <c r="F187" s="624"/>
      <c r="G187" s="624" t="str">
        <f xml:space="preserve"> SMU</f>
        <v>$ 000s</v>
      </c>
      <c r="H187" s="624"/>
      <c r="I187" s="625"/>
      <c r="J187" s="624">
        <f t="shared" ref="J187:AO187" si="132">I190</f>
        <v>0</v>
      </c>
      <c r="K187" s="624">
        <f t="shared" si="132"/>
        <v>0</v>
      </c>
      <c r="L187" s="624">
        <f t="shared" si="132"/>
        <v>12084.251893640236</v>
      </c>
      <c r="M187" s="624">
        <f t="shared" si="132"/>
        <v>48641.086087745876</v>
      </c>
      <c r="N187" s="624">
        <f t="shared" si="132"/>
        <v>85848.029919746245</v>
      </c>
      <c r="O187" s="624">
        <f t="shared" si="132"/>
        <v>125194.92613015344</v>
      </c>
      <c r="P187" s="624">
        <f t="shared" si="132"/>
        <v>122307.36969156924</v>
      </c>
      <c r="Q187" s="624">
        <f t="shared" si="132"/>
        <v>119922.1352876555</v>
      </c>
      <c r="R187" s="624">
        <f t="shared" si="132"/>
        <v>117508.19233590935</v>
      </c>
      <c r="S187" s="624">
        <f t="shared" si="132"/>
        <v>115049.50252800655</v>
      </c>
      <c r="T187" s="624">
        <f t="shared" si="132"/>
        <v>112559.24542947744</v>
      </c>
      <c r="U187" s="624">
        <f t="shared" si="132"/>
        <v>110024.16578572989</v>
      </c>
      <c r="V187" s="624">
        <f t="shared" si="132"/>
        <v>107454.54754436042</v>
      </c>
      <c r="W187" s="624">
        <f t="shared" si="132"/>
        <v>104844.37664323812</v>
      </c>
      <c r="X187" s="624">
        <f t="shared" si="132"/>
        <v>102198.52966645258</v>
      </c>
      <c r="Y187" s="624">
        <f t="shared" si="132"/>
        <v>99501.600215346058</v>
      </c>
      <c r="Z187" s="624">
        <f t="shared" si="132"/>
        <v>96843.285838745331</v>
      </c>
      <c r="AA187" s="624">
        <f t="shared" si="132"/>
        <v>94137.669059260574</v>
      </c>
      <c r="AB187" s="624">
        <f t="shared" si="132"/>
        <v>91388.173880573551</v>
      </c>
      <c r="AC187" s="624">
        <f t="shared" si="132"/>
        <v>88591.140842060806</v>
      </c>
      <c r="AD187" s="624">
        <f t="shared" si="132"/>
        <v>85746.585013341115</v>
      </c>
      <c r="AE187" s="624">
        <f t="shared" si="132"/>
        <v>82856.442001167306</v>
      </c>
      <c r="AF187" s="624">
        <f t="shared" si="132"/>
        <v>79918.828937485043</v>
      </c>
      <c r="AG187" s="624">
        <f t="shared" si="132"/>
        <v>76927.27686561922</v>
      </c>
      <c r="AH187" s="624">
        <f t="shared" si="132"/>
        <v>73880.450658089481</v>
      </c>
      <c r="AI187" s="624">
        <f t="shared" si="132"/>
        <v>70785.247373619</v>
      </c>
      <c r="AJ187" s="624">
        <f t="shared" si="132"/>
        <v>67690.833646661864</v>
      </c>
      <c r="AK187" s="624">
        <f t="shared" si="132"/>
        <v>64544.128046861137</v>
      </c>
      <c r="AL187" s="624">
        <f t="shared" si="132"/>
        <v>61331.848850567236</v>
      </c>
      <c r="AM187" s="624">
        <f t="shared" si="132"/>
        <v>58066.22768944627</v>
      </c>
      <c r="AN187" s="624">
        <f t="shared" si="132"/>
        <v>54736.43721186708</v>
      </c>
      <c r="AO187" s="624">
        <f t="shared" si="132"/>
        <v>51347.570845042952</v>
      </c>
      <c r="AP187" s="624">
        <f t="shared" ref="AP187:BU187" si="133">AO190</f>
        <v>47883.159012851975</v>
      </c>
      <c r="AQ187" s="624">
        <f t="shared" si="133"/>
        <v>44364.691041537037</v>
      </c>
      <c r="AR187" s="624">
        <f t="shared" si="133"/>
        <v>40765.341095443495</v>
      </c>
      <c r="AS187" s="624">
        <f t="shared" si="133"/>
        <v>37111.262402800712</v>
      </c>
      <c r="AT187" s="624">
        <f t="shared" si="133"/>
        <v>28054.211954517719</v>
      </c>
      <c r="AU187" s="624">
        <f t="shared" si="133"/>
        <v>18869.053669515644</v>
      </c>
      <c r="AV187" s="624">
        <f t="shared" si="133"/>
        <v>9500.7049074522929</v>
      </c>
      <c r="AW187" s="624">
        <f t="shared" si="133"/>
        <v>-2.5461520346652833E-2</v>
      </c>
      <c r="AX187" s="624">
        <f t="shared" si="133"/>
        <v>-2.5461520346652833E-2</v>
      </c>
      <c r="AY187" s="624">
        <f t="shared" si="133"/>
        <v>-2.5461520346652833E-2</v>
      </c>
      <c r="AZ187" s="624">
        <f t="shared" si="133"/>
        <v>-2.5461520346652833E-2</v>
      </c>
      <c r="BA187" s="624">
        <f t="shared" si="133"/>
        <v>-2.5461520346652833E-2</v>
      </c>
      <c r="BB187" s="624">
        <f t="shared" si="133"/>
        <v>-2.5461520346652833E-2</v>
      </c>
      <c r="BC187" s="624">
        <f t="shared" si="133"/>
        <v>-2.5461520346652833E-2</v>
      </c>
      <c r="BD187" s="624">
        <f t="shared" si="133"/>
        <v>-2.5461520346652833E-2</v>
      </c>
      <c r="BE187" s="624">
        <f t="shared" si="133"/>
        <v>-2.5461520346652833E-2</v>
      </c>
      <c r="BF187" s="624">
        <f t="shared" si="133"/>
        <v>-2.5461520346652833E-2</v>
      </c>
      <c r="BG187" s="624">
        <f t="shared" si="133"/>
        <v>-2.5461520346652833E-2</v>
      </c>
      <c r="BH187" s="624">
        <f t="shared" si="133"/>
        <v>-2.5461520346652833E-2</v>
      </c>
      <c r="BI187" s="624">
        <f t="shared" si="133"/>
        <v>-2.5461520346652833E-2</v>
      </c>
      <c r="BJ187" s="624">
        <f t="shared" si="133"/>
        <v>-2.5461520346652833E-2</v>
      </c>
      <c r="BK187" s="624">
        <f t="shared" si="133"/>
        <v>-2.5461520346652833E-2</v>
      </c>
      <c r="BL187" s="624">
        <f t="shared" si="133"/>
        <v>-2.5461520346652833E-2</v>
      </c>
      <c r="BM187" s="624">
        <f t="shared" si="133"/>
        <v>-2.5461520346652833E-2</v>
      </c>
      <c r="BN187" s="624">
        <f t="shared" si="133"/>
        <v>-2.5461520346652833E-2</v>
      </c>
      <c r="BO187" s="624">
        <f t="shared" si="133"/>
        <v>-2.5461520346652833E-2</v>
      </c>
      <c r="BP187" s="624">
        <f t="shared" si="133"/>
        <v>-2.5461520346652833E-2</v>
      </c>
      <c r="BQ187" s="624">
        <f t="shared" si="133"/>
        <v>-2.5461520346652833E-2</v>
      </c>
      <c r="BR187" s="624">
        <f t="shared" si="133"/>
        <v>-2.5461520346652833E-2</v>
      </c>
      <c r="BS187" s="624">
        <f t="shared" si="133"/>
        <v>-2.5461520346652833E-2</v>
      </c>
      <c r="BT187" s="624">
        <f t="shared" si="133"/>
        <v>-2.5461520346652833E-2</v>
      </c>
      <c r="BU187" s="624">
        <f t="shared" si="133"/>
        <v>-2.5461520346652833E-2</v>
      </c>
      <c r="BV187" s="624">
        <f t="shared" ref="BV187:CV187" si="134">BU190</f>
        <v>-2.5461520346652833E-2</v>
      </c>
      <c r="BW187" s="624">
        <f t="shared" si="134"/>
        <v>-2.5461520346652833E-2</v>
      </c>
      <c r="BX187" s="624">
        <f t="shared" si="134"/>
        <v>-2.5461520346652833E-2</v>
      </c>
      <c r="BY187" s="624">
        <f t="shared" si="134"/>
        <v>-2.5461520346652833E-2</v>
      </c>
      <c r="BZ187" s="624">
        <f t="shared" si="134"/>
        <v>-2.5461520346652833E-2</v>
      </c>
      <c r="CA187" s="624">
        <f t="shared" si="134"/>
        <v>-2.5461520346652833E-2</v>
      </c>
      <c r="CB187" s="624">
        <f t="shared" si="134"/>
        <v>-2.5461520346652833E-2</v>
      </c>
      <c r="CC187" s="624">
        <f t="shared" si="134"/>
        <v>-2.5461520346652833E-2</v>
      </c>
      <c r="CD187" s="624">
        <f t="shared" si="134"/>
        <v>-2.5461520346652833E-2</v>
      </c>
      <c r="CE187" s="624">
        <f t="shared" si="134"/>
        <v>-2.5461520346652833E-2</v>
      </c>
      <c r="CF187" s="624">
        <f t="shared" si="134"/>
        <v>-2.5461520346652833E-2</v>
      </c>
      <c r="CG187" s="624">
        <f t="shared" si="134"/>
        <v>-2.5461520346652833E-2</v>
      </c>
      <c r="CH187" s="624">
        <f t="shared" si="134"/>
        <v>-2.5461520346652833E-2</v>
      </c>
      <c r="CI187" s="624">
        <f t="shared" si="134"/>
        <v>-2.5461520346652833E-2</v>
      </c>
      <c r="CJ187" s="624">
        <f t="shared" si="134"/>
        <v>-2.5461520346652833E-2</v>
      </c>
      <c r="CK187" s="624">
        <f t="shared" si="134"/>
        <v>-2.5461520346652833E-2</v>
      </c>
      <c r="CL187" s="624">
        <f t="shared" si="134"/>
        <v>-2.5461520346652833E-2</v>
      </c>
      <c r="CM187" s="624">
        <f t="shared" si="134"/>
        <v>-2.5461520346652833E-2</v>
      </c>
      <c r="CN187" s="624">
        <f t="shared" si="134"/>
        <v>-2.5461520346652833E-2</v>
      </c>
      <c r="CO187" s="624">
        <f t="shared" si="134"/>
        <v>-2.5461520346652833E-2</v>
      </c>
      <c r="CP187" s="624">
        <f t="shared" si="134"/>
        <v>-2.5461520346652833E-2</v>
      </c>
      <c r="CQ187" s="624">
        <f t="shared" si="134"/>
        <v>-2.5461520346652833E-2</v>
      </c>
      <c r="CR187" s="624">
        <f t="shared" si="134"/>
        <v>-2.5461520346652833E-2</v>
      </c>
      <c r="CS187" s="624">
        <f t="shared" si="134"/>
        <v>-2.5461520346652833E-2</v>
      </c>
      <c r="CT187" s="624">
        <f t="shared" si="134"/>
        <v>-2.5461520346652833E-2</v>
      </c>
      <c r="CU187" s="624">
        <f t="shared" si="134"/>
        <v>-2.5461520346652833E-2</v>
      </c>
      <c r="CV187" s="624">
        <f t="shared" si="134"/>
        <v>-2.5461520346652833E-2</v>
      </c>
    </row>
    <row r="188" spans="1:100" s="540" customFormat="1" ht="12.75" outlineLevel="2" x14ac:dyDescent="0.2">
      <c r="A188" s="15"/>
      <c r="B188" s="15"/>
      <c r="C188" s="21"/>
      <c r="D188" s="48"/>
      <c r="E188" s="145" t="str">
        <f xml:space="preserve"> ConFin!E$636</f>
        <v>Construction debt drawdown - T1</v>
      </c>
      <c r="F188" s="145">
        <f xml:space="preserve"> ConFin!F$636</f>
        <v>0</v>
      </c>
      <c r="G188" s="145" t="str">
        <f xml:space="preserve"> ConFin!G$636</f>
        <v>$ 000s</v>
      </c>
      <c r="H188" s="145">
        <f xml:space="preserve"> ConFin!H$636</f>
        <v>125194.92613015344</v>
      </c>
      <c r="I188" s="145">
        <f xml:space="preserve"> ConFin!I$636</f>
        <v>0</v>
      </c>
      <c r="J188" s="145">
        <f xml:space="preserve"> ConFin!J$636</f>
        <v>0</v>
      </c>
      <c r="K188" s="145">
        <f xml:space="preserve"> ConFin!K$636</f>
        <v>12084.251893640236</v>
      </c>
      <c r="L188" s="145">
        <f xml:space="preserve"> ConFin!L$636</f>
        <v>36556.834194105642</v>
      </c>
      <c r="M188" s="145">
        <f xml:space="preserve"> ConFin!M$636</f>
        <v>37206.943832000376</v>
      </c>
      <c r="N188" s="145">
        <f xml:space="preserve"> ConFin!N$636</f>
        <v>39346.896210407198</v>
      </c>
      <c r="O188" s="145">
        <f xml:space="preserve"> ConFin!O$636</f>
        <v>0</v>
      </c>
      <c r="P188" s="145">
        <f xml:space="preserve"> ConFin!P$636</f>
        <v>0</v>
      </c>
      <c r="Q188" s="145">
        <f xml:space="preserve"> ConFin!Q$636</f>
        <v>0</v>
      </c>
      <c r="R188" s="145">
        <f xml:space="preserve"> ConFin!R$636</f>
        <v>0</v>
      </c>
      <c r="S188" s="145">
        <f xml:space="preserve"> ConFin!S$636</f>
        <v>0</v>
      </c>
      <c r="T188" s="145">
        <f xml:space="preserve"> ConFin!T$636</f>
        <v>0</v>
      </c>
      <c r="U188" s="145">
        <f xml:space="preserve"> ConFin!U$636</f>
        <v>0</v>
      </c>
      <c r="V188" s="145">
        <f xml:space="preserve"> ConFin!V$636</f>
        <v>0</v>
      </c>
      <c r="W188" s="145">
        <f xml:space="preserve"> ConFin!W$636</f>
        <v>0</v>
      </c>
      <c r="X188" s="145">
        <f xml:space="preserve"> ConFin!X$636</f>
        <v>0</v>
      </c>
      <c r="Y188" s="145">
        <f xml:space="preserve"> ConFin!Y$636</f>
        <v>0</v>
      </c>
      <c r="Z188" s="145">
        <f xml:space="preserve"> ConFin!Z$636</f>
        <v>0</v>
      </c>
      <c r="AA188" s="145">
        <f xml:space="preserve"> ConFin!AA$636</f>
        <v>0</v>
      </c>
      <c r="AB188" s="145">
        <f xml:space="preserve"> ConFin!AB$636</f>
        <v>0</v>
      </c>
      <c r="AC188" s="145">
        <f xml:space="preserve"> ConFin!AC$636</f>
        <v>0</v>
      </c>
      <c r="AD188" s="145">
        <f xml:space="preserve"> ConFin!AD$636</f>
        <v>0</v>
      </c>
      <c r="AE188" s="145">
        <f xml:space="preserve"> ConFin!AE$636</f>
        <v>0</v>
      </c>
      <c r="AF188" s="145">
        <f xml:space="preserve"> ConFin!AF$636</f>
        <v>0</v>
      </c>
      <c r="AG188" s="145">
        <f xml:space="preserve"> ConFin!AG$636</f>
        <v>0</v>
      </c>
      <c r="AH188" s="145">
        <f xml:space="preserve"> ConFin!AH$636</f>
        <v>0</v>
      </c>
      <c r="AI188" s="145">
        <f xml:space="preserve"> ConFin!AI$636</f>
        <v>0</v>
      </c>
      <c r="AJ188" s="145">
        <f xml:space="preserve"> ConFin!AJ$636</f>
        <v>0</v>
      </c>
      <c r="AK188" s="145">
        <f xml:space="preserve"> ConFin!AK$636</f>
        <v>0</v>
      </c>
      <c r="AL188" s="145">
        <f xml:space="preserve"> ConFin!AL$636</f>
        <v>0</v>
      </c>
      <c r="AM188" s="145">
        <f xml:space="preserve"> ConFin!AM$636</f>
        <v>0</v>
      </c>
      <c r="AN188" s="145">
        <f xml:space="preserve"> ConFin!AN$636</f>
        <v>0</v>
      </c>
      <c r="AO188" s="145">
        <f xml:space="preserve"> ConFin!AO$636</f>
        <v>0</v>
      </c>
      <c r="AP188" s="145">
        <f xml:space="preserve"> ConFin!AP$636</f>
        <v>0</v>
      </c>
      <c r="AQ188" s="145">
        <f xml:space="preserve"> ConFin!AQ$636</f>
        <v>0</v>
      </c>
      <c r="AR188" s="145">
        <f xml:space="preserve"> ConFin!AR$636</f>
        <v>0</v>
      </c>
      <c r="AS188" s="145">
        <f xml:space="preserve"> ConFin!AS$636</f>
        <v>0</v>
      </c>
      <c r="AT188" s="145">
        <f xml:space="preserve"> ConFin!AT$636</f>
        <v>0</v>
      </c>
      <c r="AU188" s="145">
        <f xml:space="preserve"> ConFin!AU$636</f>
        <v>0</v>
      </c>
      <c r="AV188" s="145">
        <f xml:space="preserve"> ConFin!AV$636</f>
        <v>0</v>
      </c>
      <c r="AW188" s="145">
        <f xml:space="preserve"> ConFin!AW$636</f>
        <v>0</v>
      </c>
      <c r="AX188" s="145">
        <f xml:space="preserve"> ConFin!AX$636</f>
        <v>0</v>
      </c>
      <c r="AY188" s="145">
        <f xml:space="preserve"> ConFin!AY$636</f>
        <v>0</v>
      </c>
      <c r="AZ188" s="145">
        <f xml:space="preserve"> ConFin!AZ$636</f>
        <v>0</v>
      </c>
      <c r="BA188" s="145">
        <f xml:space="preserve"> ConFin!BA$636</f>
        <v>0</v>
      </c>
      <c r="BB188" s="145">
        <f xml:space="preserve"> ConFin!BB$636</f>
        <v>0</v>
      </c>
      <c r="BC188" s="145">
        <f xml:space="preserve"> ConFin!BC$636</f>
        <v>0</v>
      </c>
      <c r="BD188" s="145">
        <f xml:space="preserve"> ConFin!BD$636</f>
        <v>0</v>
      </c>
      <c r="BE188" s="145">
        <f xml:space="preserve"> ConFin!BE$636</f>
        <v>0</v>
      </c>
      <c r="BF188" s="145">
        <f xml:space="preserve"> ConFin!BF$636</f>
        <v>0</v>
      </c>
      <c r="BG188" s="145">
        <f xml:space="preserve"> ConFin!BG$636</f>
        <v>0</v>
      </c>
      <c r="BH188" s="145">
        <f xml:space="preserve"> ConFin!BH$636</f>
        <v>0</v>
      </c>
      <c r="BI188" s="145">
        <f xml:space="preserve"> ConFin!BI$636</f>
        <v>0</v>
      </c>
      <c r="BJ188" s="145">
        <f xml:space="preserve"> ConFin!BJ$636</f>
        <v>0</v>
      </c>
      <c r="BK188" s="145">
        <f xml:space="preserve"> ConFin!BK$636</f>
        <v>0</v>
      </c>
      <c r="BL188" s="145">
        <f xml:space="preserve"> ConFin!BL$636</f>
        <v>0</v>
      </c>
      <c r="BM188" s="145">
        <f xml:space="preserve"> ConFin!BM$636</f>
        <v>0</v>
      </c>
      <c r="BN188" s="145">
        <f xml:space="preserve"> ConFin!BN$636</f>
        <v>0</v>
      </c>
      <c r="BO188" s="145">
        <f xml:space="preserve"> ConFin!BO$636</f>
        <v>0</v>
      </c>
      <c r="BP188" s="145">
        <f xml:space="preserve"> ConFin!BP$636</f>
        <v>0</v>
      </c>
      <c r="BQ188" s="145">
        <f xml:space="preserve"> ConFin!BQ$636</f>
        <v>0</v>
      </c>
      <c r="BR188" s="145">
        <f xml:space="preserve"> ConFin!BR$636</f>
        <v>0</v>
      </c>
      <c r="BS188" s="145">
        <f xml:space="preserve"> ConFin!BS$636</f>
        <v>0</v>
      </c>
      <c r="BT188" s="145">
        <f xml:space="preserve"> ConFin!BT$636</f>
        <v>0</v>
      </c>
      <c r="BU188" s="145">
        <f xml:space="preserve"> ConFin!BU$636</f>
        <v>0</v>
      </c>
      <c r="BV188" s="145">
        <f xml:space="preserve"> ConFin!BV$636</f>
        <v>0</v>
      </c>
      <c r="BW188" s="145">
        <f xml:space="preserve"> ConFin!BW$636</f>
        <v>0</v>
      </c>
      <c r="BX188" s="145">
        <f xml:space="preserve"> ConFin!BX$636</f>
        <v>0</v>
      </c>
      <c r="BY188" s="145">
        <f xml:space="preserve"> ConFin!BY$636</f>
        <v>0</v>
      </c>
      <c r="BZ188" s="145">
        <f xml:space="preserve"> ConFin!BZ$636</f>
        <v>0</v>
      </c>
      <c r="CA188" s="145">
        <f xml:space="preserve"> ConFin!CA$636</f>
        <v>0</v>
      </c>
      <c r="CB188" s="145">
        <f xml:space="preserve"> ConFin!CB$636</f>
        <v>0</v>
      </c>
      <c r="CC188" s="145">
        <f xml:space="preserve"> ConFin!CC$636</f>
        <v>0</v>
      </c>
      <c r="CD188" s="145">
        <f xml:space="preserve"> ConFin!CD$636</f>
        <v>0</v>
      </c>
      <c r="CE188" s="145">
        <f xml:space="preserve"> ConFin!CE$636</f>
        <v>0</v>
      </c>
      <c r="CF188" s="145">
        <f xml:space="preserve"> ConFin!CF$636</f>
        <v>0</v>
      </c>
      <c r="CG188" s="145">
        <f xml:space="preserve"> ConFin!CG$636</f>
        <v>0</v>
      </c>
      <c r="CH188" s="145">
        <f xml:space="preserve"> ConFin!CH$636</f>
        <v>0</v>
      </c>
      <c r="CI188" s="145">
        <f xml:space="preserve"> ConFin!CI$636</f>
        <v>0</v>
      </c>
      <c r="CJ188" s="145">
        <f xml:space="preserve"> ConFin!CJ$636</f>
        <v>0</v>
      </c>
      <c r="CK188" s="145">
        <f xml:space="preserve"> ConFin!CK$636</f>
        <v>0</v>
      </c>
      <c r="CL188" s="145">
        <f xml:space="preserve"> ConFin!CL$636</f>
        <v>0</v>
      </c>
      <c r="CM188" s="145">
        <f xml:space="preserve"> ConFin!CM$636</f>
        <v>0</v>
      </c>
      <c r="CN188" s="145">
        <f xml:space="preserve"> ConFin!CN$636</f>
        <v>0</v>
      </c>
      <c r="CO188" s="145">
        <f xml:space="preserve"> ConFin!CO$636</f>
        <v>0</v>
      </c>
      <c r="CP188" s="145">
        <f xml:space="preserve"> ConFin!CP$636</f>
        <v>0</v>
      </c>
      <c r="CQ188" s="145">
        <f xml:space="preserve"> ConFin!CQ$636</f>
        <v>0</v>
      </c>
      <c r="CR188" s="145">
        <f xml:space="preserve"> ConFin!CR$636</f>
        <v>0</v>
      </c>
      <c r="CS188" s="145">
        <f xml:space="preserve"> ConFin!CS$636</f>
        <v>0</v>
      </c>
      <c r="CT188" s="145">
        <f xml:space="preserve"> ConFin!CT$636</f>
        <v>0</v>
      </c>
      <c r="CU188" s="145">
        <f xml:space="preserve"> ConFin!CU$636</f>
        <v>0</v>
      </c>
      <c r="CV188" s="145">
        <f xml:space="preserve"> ConFin!CV$636</f>
        <v>0</v>
      </c>
    </row>
    <row r="189" spans="1:100" s="498" customFormat="1" ht="12.75" outlineLevel="2" x14ac:dyDescent="0.2">
      <c r="A189" s="15"/>
      <c r="B189" s="15"/>
      <c r="C189" s="21"/>
      <c r="D189" s="48"/>
      <c r="E189" s="38" t="str">
        <f t="shared" ref="E189:AJ189" si="135" xml:space="preserve"> E$183</f>
        <v>Senior debt principal repayment - T1 POS</v>
      </c>
      <c r="F189" s="38">
        <f t="shared" si="135"/>
        <v>0</v>
      </c>
      <c r="G189" s="38" t="str">
        <f t="shared" si="135"/>
        <v>$ 000s</v>
      </c>
      <c r="H189" s="38">
        <f t="shared" si="135"/>
        <v>125194.95159167382</v>
      </c>
      <c r="I189" s="38">
        <f t="shared" si="135"/>
        <v>0</v>
      </c>
      <c r="J189" s="38">
        <f t="shared" si="135"/>
        <v>0</v>
      </c>
      <c r="K189" s="38">
        <f t="shared" si="135"/>
        <v>0</v>
      </c>
      <c r="L189" s="38">
        <f t="shared" si="135"/>
        <v>0</v>
      </c>
      <c r="M189" s="38">
        <f t="shared" si="135"/>
        <v>0</v>
      </c>
      <c r="N189" s="38">
        <f t="shared" si="135"/>
        <v>0</v>
      </c>
      <c r="O189" s="38">
        <f t="shared" si="135"/>
        <v>2887.5564385842031</v>
      </c>
      <c r="P189" s="38">
        <f t="shared" si="135"/>
        <v>2385.234403913732</v>
      </c>
      <c r="Q189" s="38">
        <f t="shared" si="135"/>
        <v>2413.9429517461499</v>
      </c>
      <c r="R189" s="38">
        <f t="shared" si="135"/>
        <v>2458.6898079027978</v>
      </c>
      <c r="S189" s="38">
        <f t="shared" si="135"/>
        <v>2490.2570985291154</v>
      </c>
      <c r="T189" s="38">
        <f t="shared" si="135"/>
        <v>2535.0796437475524</v>
      </c>
      <c r="U189" s="38">
        <f t="shared" si="135"/>
        <v>2569.6182413694601</v>
      </c>
      <c r="V189" s="38">
        <f t="shared" si="135"/>
        <v>2610.1709011222924</v>
      </c>
      <c r="W189" s="38">
        <f t="shared" si="135"/>
        <v>2645.8469767855477</v>
      </c>
      <c r="X189" s="38">
        <f t="shared" si="135"/>
        <v>2696.9294511065236</v>
      </c>
      <c r="Y189" s="38">
        <f t="shared" si="135"/>
        <v>2658.3143766007292</v>
      </c>
      <c r="Z189" s="38">
        <f t="shared" si="135"/>
        <v>2705.6167794847602</v>
      </c>
      <c r="AA189" s="38">
        <f t="shared" si="135"/>
        <v>2749.4951786870188</v>
      </c>
      <c r="AB189" s="38">
        <f t="shared" si="135"/>
        <v>2797.0330385127395</v>
      </c>
      <c r="AC189" s="38">
        <f t="shared" si="135"/>
        <v>2844.5558287196923</v>
      </c>
      <c r="AD189" s="38">
        <f t="shared" si="135"/>
        <v>2890.1430121738081</v>
      </c>
      <c r="AE189" s="38">
        <f t="shared" si="135"/>
        <v>2937.6130636822691</v>
      </c>
      <c r="AF189" s="38">
        <f t="shared" si="135"/>
        <v>2991.5520718658245</v>
      </c>
      <c r="AG189" s="38">
        <f t="shared" si="135"/>
        <v>3046.8262075297375</v>
      </c>
      <c r="AH189" s="38">
        <f t="shared" si="135"/>
        <v>3095.2032844704854</v>
      </c>
      <c r="AI189" s="38">
        <f t="shared" si="135"/>
        <v>3094.413726957142</v>
      </c>
      <c r="AJ189" s="38">
        <f t="shared" si="135"/>
        <v>3146.705599800724</v>
      </c>
      <c r="AK189" s="38">
        <f t="shared" ref="AK189:BP189" si="136" xml:space="preserve"> AK$183</f>
        <v>3212.2791962939004</v>
      </c>
      <c r="AL189" s="38">
        <f t="shared" si="136"/>
        <v>3265.6211611209619</v>
      </c>
      <c r="AM189" s="38">
        <f t="shared" si="136"/>
        <v>3329.7904775791908</v>
      </c>
      <c r="AN189" s="38">
        <f t="shared" si="136"/>
        <v>3388.8663668241315</v>
      </c>
      <c r="AO189" s="38">
        <f t="shared" si="136"/>
        <v>3464.411832190975</v>
      </c>
      <c r="AP189" s="38">
        <f t="shared" si="136"/>
        <v>3518.4679713149394</v>
      </c>
      <c r="AQ189" s="38">
        <f t="shared" si="136"/>
        <v>3599.3499460935395</v>
      </c>
      <c r="AR189" s="38">
        <f t="shared" si="136"/>
        <v>3654.0786926427813</v>
      </c>
      <c r="AS189" s="38">
        <f t="shared" si="136"/>
        <v>9057.0504482829947</v>
      </c>
      <c r="AT189" s="38">
        <f t="shared" si="136"/>
        <v>9185.158285002075</v>
      </c>
      <c r="AU189" s="38">
        <f t="shared" si="136"/>
        <v>9368.3487620633514</v>
      </c>
      <c r="AV189" s="38">
        <f t="shared" si="136"/>
        <v>9500.7303689726396</v>
      </c>
      <c r="AW189" s="38">
        <f t="shared" si="136"/>
        <v>0</v>
      </c>
      <c r="AX189" s="38">
        <f t="shared" si="136"/>
        <v>0</v>
      </c>
      <c r="AY189" s="38">
        <f t="shared" si="136"/>
        <v>0</v>
      </c>
      <c r="AZ189" s="38">
        <f t="shared" si="136"/>
        <v>0</v>
      </c>
      <c r="BA189" s="38">
        <f t="shared" si="136"/>
        <v>0</v>
      </c>
      <c r="BB189" s="38">
        <f t="shared" si="136"/>
        <v>0</v>
      </c>
      <c r="BC189" s="38">
        <f t="shared" si="136"/>
        <v>0</v>
      </c>
      <c r="BD189" s="38">
        <f t="shared" si="136"/>
        <v>0</v>
      </c>
      <c r="BE189" s="38">
        <f t="shared" si="136"/>
        <v>0</v>
      </c>
      <c r="BF189" s="38">
        <f t="shared" si="136"/>
        <v>0</v>
      </c>
      <c r="BG189" s="38">
        <f t="shared" si="136"/>
        <v>0</v>
      </c>
      <c r="BH189" s="38">
        <f t="shared" si="136"/>
        <v>0</v>
      </c>
      <c r="BI189" s="38">
        <f t="shared" si="136"/>
        <v>0</v>
      </c>
      <c r="BJ189" s="38">
        <f t="shared" si="136"/>
        <v>0</v>
      </c>
      <c r="BK189" s="38">
        <f t="shared" si="136"/>
        <v>0</v>
      </c>
      <c r="BL189" s="38">
        <f t="shared" si="136"/>
        <v>0</v>
      </c>
      <c r="BM189" s="38">
        <f t="shared" si="136"/>
        <v>0</v>
      </c>
      <c r="BN189" s="38">
        <f t="shared" si="136"/>
        <v>0</v>
      </c>
      <c r="BO189" s="38">
        <f t="shared" si="136"/>
        <v>0</v>
      </c>
      <c r="BP189" s="38">
        <f t="shared" si="136"/>
        <v>0</v>
      </c>
      <c r="BQ189" s="38">
        <f t="shared" ref="BQ189:CV189" si="137" xml:space="preserve"> BQ$183</f>
        <v>0</v>
      </c>
      <c r="BR189" s="38">
        <f t="shared" si="137"/>
        <v>0</v>
      </c>
      <c r="BS189" s="38">
        <f t="shared" si="137"/>
        <v>0</v>
      </c>
      <c r="BT189" s="38">
        <f t="shared" si="137"/>
        <v>0</v>
      </c>
      <c r="BU189" s="38">
        <f t="shared" si="137"/>
        <v>0</v>
      </c>
      <c r="BV189" s="38">
        <f t="shared" si="137"/>
        <v>0</v>
      </c>
      <c r="BW189" s="38">
        <f t="shared" si="137"/>
        <v>0</v>
      </c>
      <c r="BX189" s="38">
        <f t="shared" si="137"/>
        <v>0</v>
      </c>
      <c r="BY189" s="38">
        <f t="shared" si="137"/>
        <v>0</v>
      </c>
      <c r="BZ189" s="38">
        <f t="shared" si="137"/>
        <v>0</v>
      </c>
      <c r="CA189" s="38">
        <f t="shared" si="137"/>
        <v>0</v>
      </c>
      <c r="CB189" s="38">
        <f t="shared" si="137"/>
        <v>0</v>
      </c>
      <c r="CC189" s="38">
        <f t="shared" si="137"/>
        <v>0</v>
      </c>
      <c r="CD189" s="38">
        <f t="shared" si="137"/>
        <v>0</v>
      </c>
      <c r="CE189" s="38">
        <f t="shared" si="137"/>
        <v>0</v>
      </c>
      <c r="CF189" s="38">
        <f t="shared" si="137"/>
        <v>0</v>
      </c>
      <c r="CG189" s="38">
        <f t="shared" si="137"/>
        <v>0</v>
      </c>
      <c r="CH189" s="38">
        <f t="shared" si="137"/>
        <v>0</v>
      </c>
      <c r="CI189" s="38">
        <f t="shared" si="137"/>
        <v>0</v>
      </c>
      <c r="CJ189" s="38">
        <f t="shared" si="137"/>
        <v>0</v>
      </c>
      <c r="CK189" s="38">
        <f t="shared" si="137"/>
        <v>0</v>
      </c>
      <c r="CL189" s="38">
        <f t="shared" si="137"/>
        <v>0</v>
      </c>
      <c r="CM189" s="38">
        <f t="shared" si="137"/>
        <v>0</v>
      </c>
      <c r="CN189" s="38">
        <f t="shared" si="137"/>
        <v>0</v>
      </c>
      <c r="CO189" s="38">
        <f t="shared" si="137"/>
        <v>0</v>
      </c>
      <c r="CP189" s="38">
        <f t="shared" si="137"/>
        <v>0</v>
      </c>
      <c r="CQ189" s="38">
        <f t="shared" si="137"/>
        <v>0</v>
      </c>
      <c r="CR189" s="38">
        <f t="shared" si="137"/>
        <v>0</v>
      </c>
      <c r="CS189" s="38">
        <f t="shared" si="137"/>
        <v>0</v>
      </c>
      <c r="CT189" s="38">
        <f t="shared" si="137"/>
        <v>0</v>
      </c>
      <c r="CU189" s="38">
        <f t="shared" si="137"/>
        <v>0</v>
      </c>
      <c r="CV189" s="38">
        <f t="shared" si="137"/>
        <v>0</v>
      </c>
    </row>
    <row r="190" spans="1:100" s="541" customFormat="1" ht="12.75" outlineLevel="2" x14ac:dyDescent="0.2">
      <c r="A190" s="391"/>
      <c r="B190" s="391"/>
      <c r="C190" s="392"/>
      <c r="D190" s="393" t="s">
        <v>372</v>
      </c>
      <c r="E190" s="394" t="s">
        <v>980</v>
      </c>
      <c r="F190" s="394"/>
      <c r="G190" s="394" t="str">
        <f xml:space="preserve"> SMU</f>
        <v>$ 000s</v>
      </c>
      <c r="H190" s="394"/>
      <c r="I190" s="395"/>
      <c r="J190" s="394">
        <f t="shared" ref="J190:AO190" si="138" xml:space="preserve"> J187 + J188 - J189</f>
        <v>0</v>
      </c>
      <c r="K190" s="394">
        <f t="shared" si="138"/>
        <v>12084.251893640236</v>
      </c>
      <c r="L190" s="394">
        <f t="shared" si="138"/>
        <v>48641.086087745876</v>
      </c>
      <c r="M190" s="394">
        <f t="shared" si="138"/>
        <v>85848.029919746245</v>
      </c>
      <c r="N190" s="394">
        <f t="shared" si="138"/>
        <v>125194.92613015344</v>
      </c>
      <c r="O190" s="394">
        <f t="shared" si="138"/>
        <v>122307.36969156924</v>
      </c>
      <c r="P190" s="394">
        <f t="shared" si="138"/>
        <v>119922.1352876555</v>
      </c>
      <c r="Q190" s="394">
        <f t="shared" si="138"/>
        <v>117508.19233590935</v>
      </c>
      <c r="R190" s="394">
        <f t="shared" si="138"/>
        <v>115049.50252800655</v>
      </c>
      <c r="S190" s="394">
        <f t="shared" si="138"/>
        <v>112559.24542947744</v>
      </c>
      <c r="T190" s="394">
        <f t="shared" si="138"/>
        <v>110024.16578572989</v>
      </c>
      <c r="U190" s="394">
        <f t="shared" si="138"/>
        <v>107454.54754436042</v>
      </c>
      <c r="V190" s="394">
        <f t="shared" si="138"/>
        <v>104844.37664323812</v>
      </c>
      <c r="W190" s="394">
        <f t="shared" si="138"/>
        <v>102198.52966645258</v>
      </c>
      <c r="X190" s="394">
        <f t="shared" si="138"/>
        <v>99501.600215346058</v>
      </c>
      <c r="Y190" s="394">
        <f t="shared" si="138"/>
        <v>96843.285838745331</v>
      </c>
      <c r="Z190" s="394">
        <f t="shared" si="138"/>
        <v>94137.669059260574</v>
      </c>
      <c r="AA190" s="394">
        <f t="shared" si="138"/>
        <v>91388.173880573551</v>
      </c>
      <c r="AB190" s="394">
        <f t="shared" si="138"/>
        <v>88591.140842060806</v>
      </c>
      <c r="AC190" s="394">
        <f t="shared" si="138"/>
        <v>85746.585013341115</v>
      </c>
      <c r="AD190" s="394">
        <f t="shared" si="138"/>
        <v>82856.442001167306</v>
      </c>
      <c r="AE190" s="394">
        <f t="shared" si="138"/>
        <v>79918.828937485043</v>
      </c>
      <c r="AF190" s="394">
        <f t="shared" si="138"/>
        <v>76927.27686561922</v>
      </c>
      <c r="AG190" s="394">
        <f t="shared" si="138"/>
        <v>73880.450658089481</v>
      </c>
      <c r="AH190" s="394">
        <f t="shared" si="138"/>
        <v>70785.247373619</v>
      </c>
      <c r="AI190" s="394">
        <f t="shared" si="138"/>
        <v>67690.833646661864</v>
      </c>
      <c r="AJ190" s="394">
        <f t="shared" si="138"/>
        <v>64544.128046861137</v>
      </c>
      <c r="AK190" s="394">
        <f t="shared" si="138"/>
        <v>61331.848850567236</v>
      </c>
      <c r="AL190" s="394">
        <f t="shared" si="138"/>
        <v>58066.22768944627</v>
      </c>
      <c r="AM190" s="394">
        <f t="shared" si="138"/>
        <v>54736.43721186708</v>
      </c>
      <c r="AN190" s="394">
        <f t="shared" si="138"/>
        <v>51347.570845042952</v>
      </c>
      <c r="AO190" s="394">
        <f t="shared" si="138"/>
        <v>47883.159012851975</v>
      </c>
      <c r="AP190" s="394">
        <f t="shared" ref="AP190:BU190" si="139" xml:space="preserve"> AP187 + AP188 - AP189</f>
        <v>44364.691041537037</v>
      </c>
      <c r="AQ190" s="394">
        <f t="shared" si="139"/>
        <v>40765.341095443495</v>
      </c>
      <c r="AR190" s="394">
        <f t="shared" si="139"/>
        <v>37111.262402800712</v>
      </c>
      <c r="AS190" s="394">
        <f t="shared" si="139"/>
        <v>28054.211954517719</v>
      </c>
      <c r="AT190" s="394">
        <f t="shared" si="139"/>
        <v>18869.053669515644</v>
      </c>
      <c r="AU190" s="394">
        <f t="shared" si="139"/>
        <v>9500.7049074522929</v>
      </c>
      <c r="AV190" s="394">
        <f t="shared" si="139"/>
        <v>-2.5461520346652833E-2</v>
      </c>
      <c r="AW190" s="394">
        <f t="shared" si="139"/>
        <v>-2.5461520346652833E-2</v>
      </c>
      <c r="AX190" s="394">
        <f t="shared" si="139"/>
        <v>-2.5461520346652833E-2</v>
      </c>
      <c r="AY190" s="394">
        <f t="shared" si="139"/>
        <v>-2.5461520346652833E-2</v>
      </c>
      <c r="AZ190" s="394">
        <f t="shared" si="139"/>
        <v>-2.5461520346652833E-2</v>
      </c>
      <c r="BA190" s="394">
        <f t="shared" si="139"/>
        <v>-2.5461520346652833E-2</v>
      </c>
      <c r="BB190" s="394">
        <f t="shared" si="139"/>
        <v>-2.5461520346652833E-2</v>
      </c>
      <c r="BC190" s="394">
        <f t="shared" si="139"/>
        <v>-2.5461520346652833E-2</v>
      </c>
      <c r="BD190" s="394">
        <f t="shared" si="139"/>
        <v>-2.5461520346652833E-2</v>
      </c>
      <c r="BE190" s="394">
        <f t="shared" si="139"/>
        <v>-2.5461520346652833E-2</v>
      </c>
      <c r="BF190" s="394">
        <f t="shared" si="139"/>
        <v>-2.5461520346652833E-2</v>
      </c>
      <c r="BG190" s="394">
        <f t="shared" si="139"/>
        <v>-2.5461520346652833E-2</v>
      </c>
      <c r="BH190" s="394">
        <f t="shared" si="139"/>
        <v>-2.5461520346652833E-2</v>
      </c>
      <c r="BI190" s="394">
        <f t="shared" si="139"/>
        <v>-2.5461520346652833E-2</v>
      </c>
      <c r="BJ190" s="394">
        <f t="shared" si="139"/>
        <v>-2.5461520346652833E-2</v>
      </c>
      <c r="BK190" s="394">
        <f t="shared" si="139"/>
        <v>-2.5461520346652833E-2</v>
      </c>
      <c r="BL190" s="394">
        <f t="shared" si="139"/>
        <v>-2.5461520346652833E-2</v>
      </c>
      <c r="BM190" s="394">
        <f t="shared" si="139"/>
        <v>-2.5461520346652833E-2</v>
      </c>
      <c r="BN190" s="394">
        <f t="shared" si="139"/>
        <v>-2.5461520346652833E-2</v>
      </c>
      <c r="BO190" s="394">
        <f t="shared" si="139"/>
        <v>-2.5461520346652833E-2</v>
      </c>
      <c r="BP190" s="394">
        <f t="shared" si="139"/>
        <v>-2.5461520346652833E-2</v>
      </c>
      <c r="BQ190" s="394">
        <f t="shared" si="139"/>
        <v>-2.5461520346652833E-2</v>
      </c>
      <c r="BR190" s="394">
        <f t="shared" si="139"/>
        <v>-2.5461520346652833E-2</v>
      </c>
      <c r="BS190" s="394">
        <f t="shared" si="139"/>
        <v>-2.5461520346652833E-2</v>
      </c>
      <c r="BT190" s="394">
        <f t="shared" si="139"/>
        <v>-2.5461520346652833E-2</v>
      </c>
      <c r="BU190" s="394">
        <f t="shared" si="139"/>
        <v>-2.5461520346652833E-2</v>
      </c>
      <c r="BV190" s="394">
        <f t="shared" ref="BV190:CV190" si="140" xml:space="preserve"> BV187 + BV188 - BV189</f>
        <v>-2.5461520346652833E-2</v>
      </c>
      <c r="BW190" s="394">
        <f t="shared" si="140"/>
        <v>-2.5461520346652833E-2</v>
      </c>
      <c r="BX190" s="394">
        <f t="shared" si="140"/>
        <v>-2.5461520346652833E-2</v>
      </c>
      <c r="BY190" s="394">
        <f t="shared" si="140"/>
        <v>-2.5461520346652833E-2</v>
      </c>
      <c r="BZ190" s="394">
        <f t="shared" si="140"/>
        <v>-2.5461520346652833E-2</v>
      </c>
      <c r="CA190" s="394">
        <f t="shared" si="140"/>
        <v>-2.5461520346652833E-2</v>
      </c>
      <c r="CB190" s="394">
        <f t="shared" si="140"/>
        <v>-2.5461520346652833E-2</v>
      </c>
      <c r="CC190" s="394">
        <f t="shared" si="140"/>
        <v>-2.5461520346652833E-2</v>
      </c>
      <c r="CD190" s="394">
        <f t="shared" si="140"/>
        <v>-2.5461520346652833E-2</v>
      </c>
      <c r="CE190" s="394">
        <f t="shared" si="140"/>
        <v>-2.5461520346652833E-2</v>
      </c>
      <c r="CF190" s="394">
        <f t="shared" si="140"/>
        <v>-2.5461520346652833E-2</v>
      </c>
      <c r="CG190" s="394">
        <f t="shared" si="140"/>
        <v>-2.5461520346652833E-2</v>
      </c>
      <c r="CH190" s="394">
        <f t="shared" si="140"/>
        <v>-2.5461520346652833E-2</v>
      </c>
      <c r="CI190" s="394">
        <f t="shared" si="140"/>
        <v>-2.5461520346652833E-2</v>
      </c>
      <c r="CJ190" s="394">
        <f t="shared" si="140"/>
        <v>-2.5461520346652833E-2</v>
      </c>
      <c r="CK190" s="394">
        <f t="shared" si="140"/>
        <v>-2.5461520346652833E-2</v>
      </c>
      <c r="CL190" s="394">
        <f t="shared" si="140"/>
        <v>-2.5461520346652833E-2</v>
      </c>
      <c r="CM190" s="394">
        <f t="shared" si="140"/>
        <v>-2.5461520346652833E-2</v>
      </c>
      <c r="CN190" s="394">
        <f t="shared" si="140"/>
        <v>-2.5461520346652833E-2</v>
      </c>
      <c r="CO190" s="394">
        <f t="shared" si="140"/>
        <v>-2.5461520346652833E-2</v>
      </c>
      <c r="CP190" s="394">
        <f t="shared" si="140"/>
        <v>-2.5461520346652833E-2</v>
      </c>
      <c r="CQ190" s="394">
        <f t="shared" si="140"/>
        <v>-2.5461520346652833E-2</v>
      </c>
      <c r="CR190" s="394">
        <f t="shared" si="140"/>
        <v>-2.5461520346652833E-2</v>
      </c>
      <c r="CS190" s="394">
        <f t="shared" si="140"/>
        <v>-2.5461520346652833E-2</v>
      </c>
      <c r="CT190" s="394">
        <f t="shared" si="140"/>
        <v>-2.5461520346652833E-2</v>
      </c>
      <c r="CU190" s="394">
        <f t="shared" si="140"/>
        <v>-2.5461520346652833E-2</v>
      </c>
      <c r="CV190" s="394">
        <f t="shared" si="140"/>
        <v>-2.5461520346652833E-2</v>
      </c>
    </row>
    <row r="191" spans="1:100" ht="12.75" outlineLevel="1" x14ac:dyDescent="0.2"/>
    <row r="192" spans="1:100" ht="12.75" outlineLevel="1" x14ac:dyDescent="0.2">
      <c r="C192" s="21" t="s">
        <v>981</v>
      </c>
    </row>
    <row r="193" spans="1:100" s="283" customFormat="1" ht="12.75" outlineLevel="2" x14ac:dyDescent="0.2">
      <c r="A193" s="556"/>
      <c r="B193" s="556"/>
      <c r="C193" s="557"/>
      <c r="D193" s="115"/>
      <c r="E193" s="450" t="str">
        <f xml:space="preserve"> InpC!E$231</f>
        <v>Senior debt margin - T1 - year 1</v>
      </c>
      <c r="F193" s="450">
        <f xml:space="preserve"> InpC!F$231</f>
        <v>2.5000000000000001E-2</v>
      </c>
      <c r="G193" s="450" t="str">
        <f xml:space="preserve"> InpC!G$231</f>
        <v>% p.a.</v>
      </c>
      <c r="H193" s="282"/>
      <c r="I193" s="112"/>
      <c r="J193" s="282"/>
      <c r="K193" s="282"/>
      <c r="L193" s="282"/>
      <c r="M193" s="282"/>
      <c r="N193" s="282"/>
      <c r="O193" s="282"/>
      <c r="P193" s="282"/>
      <c r="Q193" s="282"/>
      <c r="R193" s="282"/>
      <c r="S193" s="282"/>
      <c r="T193" s="282"/>
      <c r="U193" s="282"/>
      <c r="V193" s="282"/>
      <c r="W193" s="282"/>
      <c r="X193" s="282"/>
      <c r="Y193" s="282"/>
      <c r="Z193" s="282"/>
      <c r="AA193" s="282"/>
      <c r="AB193" s="282"/>
      <c r="AC193" s="282"/>
      <c r="AD193" s="282"/>
      <c r="AE193" s="282"/>
      <c r="AF193" s="282"/>
      <c r="AG193" s="282"/>
      <c r="AH193" s="282"/>
      <c r="AI193" s="282"/>
      <c r="AJ193" s="282"/>
      <c r="AK193" s="282"/>
      <c r="AL193" s="282"/>
      <c r="AM193" s="282"/>
      <c r="AN193" s="282"/>
      <c r="AO193" s="282"/>
      <c r="AP193" s="282"/>
      <c r="AQ193" s="282"/>
      <c r="AR193" s="282"/>
      <c r="AS193" s="282"/>
      <c r="AT193" s="282"/>
      <c r="AU193" s="282"/>
      <c r="AV193" s="282"/>
      <c r="AW193" s="282"/>
      <c r="AX193" s="282"/>
      <c r="AY193" s="282"/>
      <c r="AZ193" s="282"/>
      <c r="BA193" s="282"/>
      <c r="BB193" s="282"/>
      <c r="BC193" s="282"/>
      <c r="BD193" s="282"/>
      <c r="BE193" s="282"/>
      <c r="BF193" s="282"/>
      <c r="BG193" s="282"/>
      <c r="BH193" s="282"/>
      <c r="BI193" s="282"/>
      <c r="BJ193" s="282"/>
      <c r="BK193" s="282"/>
      <c r="BL193" s="282"/>
      <c r="BM193" s="282"/>
      <c r="BN193" s="282"/>
      <c r="BO193" s="282"/>
      <c r="BP193" s="282"/>
      <c r="BQ193" s="282"/>
      <c r="BR193" s="282"/>
      <c r="BS193" s="282"/>
      <c r="BT193" s="282"/>
      <c r="BU193" s="282"/>
      <c r="BV193" s="282"/>
      <c r="BW193" s="282"/>
      <c r="BX193" s="282"/>
      <c r="BY193" s="282"/>
      <c r="BZ193" s="282"/>
      <c r="CA193" s="282"/>
      <c r="CB193" s="282"/>
      <c r="CC193" s="282"/>
      <c r="CD193" s="282"/>
      <c r="CE193" s="282"/>
      <c r="CF193" s="282"/>
      <c r="CG193" s="282"/>
      <c r="CH193" s="282"/>
      <c r="CI193" s="282"/>
      <c r="CJ193" s="282"/>
      <c r="CK193" s="282"/>
      <c r="CL193" s="282"/>
      <c r="CM193" s="282"/>
      <c r="CN193" s="282"/>
      <c r="CO193" s="282"/>
      <c r="CP193" s="282"/>
      <c r="CQ193" s="282"/>
      <c r="CR193" s="282"/>
      <c r="CS193" s="282"/>
      <c r="CT193" s="282"/>
      <c r="CU193" s="282"/>
      <c r="CV193" s="282"/>
    </row>
    <row r="194" spans="1:100" s="283" customFormat="1" ht="12.75" outlineLevel="2" x14ac:dyDescent="0.2">
      <c r="A194" s="556"/>
      <c r="B194" s="556"/>
      <c r="C194" s="557"/>
      <c r="D194" s="115"/>
      <c r="E194" s="450" t="str">
        <f xml:space="preserve"> InpC!E$232</f>
        <v>Senior debt margin - T1 - year 2</v>
      </c>
      <c r="F194" s="450">
        <f xml:space="preserve"> InpC!F$232</f>
        <v>2.5000000000000001E-2</v>
      </c>
      <c r="G194" s="450" t="str">
        <f xml:space="preserve"> InpC!G$232</f>
        <v>% p.a.</v>
      </c>
      <c r="H194" s="282"/>
      <c r="I194" s="112"/>
      <c r="J194" s="282"/>
      <c r="K194" s="282"/>
      <c r="L194" s="282"/>
      <c r="M194" s="282"/>
      <c r="N194" s="282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  <c r="AF194" s="282"/>
      <c r="AG194" s="282"/>
      <c r="AH194" s="282"/>
      <c r="AI194" s="282"/>
      <c r="AJ194" s="282"/>
      <c r="AK194" s="282"/>
      <c r="AL194" s="282"/>
      <c r="AM194" s="282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2"/>
      <c r="BC194" s="282"/>
      <c r="BD194" s="282"/>
      <c r="BE194" s="282"/>
      <c r="BF194" s="282"/>
      <c r="BG194" s="282"/>
      <c r="BH194" s="282"/>
      <c r="BI194" s="282"/>
      <c r="BJ194" s="282"/>
      <c r="BK194" s="282"/>
      <c r="BL194" s="282"/>
      <c r="BM194" s="282"/>
      <c r="BN194" s="282"/>
      <c r="BO194" s="282"/>
      <c r="BP194" s="282"/>
      <c r="BQ194" s="282"/>
      <c r="BR194" s="282"/>
      <c r="BS194" s="282"/>
      <c r="BT194" s="282"/>
      <c r="BU194" s="282"/>
      <c r="BV194" s="282"/>
      <c r="BW194" s="282"/>
      <c r="BX194" s="282"/>
      <c r="BY194" s="282"/>
      <c r="BZ194" s="282"/>
      <c r="CA194" s="282"/>
      <c r="CB194" s="282"/>
      <c r="CC194" s="282"/>
      <c r="CD194" s="282"/>
      <c r="CE194" s="282"/>
      <c r="CF194" s="282"/>
      <c r="CG194" s="282"/>
      <c r="CH194" s="282"/>
      <c r="CI194" s="282"/>
      <c r="CJ194" s="282"/>
      <c r="CK194" s="282"/>
      <c r="CL194" s="282"/>
      <c r="CM194" s="282"/>
      <c r="CN194" s="282"/>
      <c r="CO194" s="282"/>
      <c r="CP194" s="282"/>
      <c r="CQ194" s="282"/>
      <c r="CR194" s="282"/>
      <c r="CS194" s="282"/>
      <c r="CT194" s="282"/>
      <c r="CU194" s="282"/>
      <c r="CV194" s="282"/>
    </row>
    <row r="195" spans="1:100" s="283" customFormat="1" ht="12.75" outlineLevel="2" x14ac:dyDescent="0.2">
      <c r="A195" s="556"/>
      <c r="B195" s="556"/>
      <c r="C195" s="557"/>
      <c r="D195" s="115"/>
      <c r="E195" s="450" t="str">
        <f xml:space="preserve"> InpC!E$233</f>
        <v>Senior debt margin - T1 - year 3</v>
      </c>
      <c r="F195" s="450">
        <f xml:space="preserve"> InpC!F$233</f>
        <v>2.5000000000000001E-2</v>
      </c>
      <c r="G195" s="450" t="str">
        <f xml:space="preserve"> InpC!G$233</f>
        <v>% p.a.</v>
      </c>
      <c r="H195" s="282"/>
      <c r="I195" s="112"/>
      <c r="J195" s="282"/>
      <c r="K195" s="282"/>
      <c r="L195" s="282"/>
      <c r="M195" s="282"/>
      <c r="N195" s="282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  <c r="AF195" s="282"/>
      <c r="AG195" s="282"/>
      <c r="AH195" s="282"/>
      <c r="AI195" s="282"/>
      <c r="AJ195" s="282"/>
      <c r="AK195" s="282"/>
      <c r="AL195" s="282"/>
      <c r="AM195" s="282"/>
      <c r="AN195" s="282"/>
      <c r="AO195" s="282"/>
      <c r="AP195" s="282"/>
      <c r="AQ195" s="282"/>
      <c r="AR195" s="282"/>
      <c r="AS195" s="282"/>
      <c r="AT195" s="282"/>
      <c r="AU195" s="282"/>
      <c r="AV195" s="282"/>
      <c r="AW195" s="282"/>
      <c r="AX195" s="282"/>
      <c r="AY195" s="282"/>
      <c r="AZ195" s="282"/>
      <c r="BA195" s="282"/>
      <c r="BB195" s="282"/>
      <c r="BC195" s="282"/>
      <c r="BD195" s="282"/>
      <c r="BE195" s="282"/>
      <c r="BF195" s="282"/>
      <c r="BG195" s="282"/>
      <c r="BH195" s="282"/>
      <c r="BI195" s="282"/>
      <c r="BJ195" s="282"/>
      <c r="BK195" s="282"/>
      <c r="BL195" s="282"/>
      <c r="BM195" s="282"/>
      <c r="BN195" s="282"/>
      <c r="BO195" s="282"/>
      <c r="BP195" s="282"/>
      <c r="BQ195" s="282"/>
      <c r="BR195" s="282"/>
      <c r="BS195" s="282"/>
      <c r="BT195" s="282"/>
      <c r="BU195" s="282"/>
      <c r="BV195" s="282"/>
      <c r="BW195" s="282"/>
      <c r="BX195" s="282"/>
      <c r="BY195" s="282"/>
      <c r="BZ195" s="282"/>
      <c r="CA195" s="282"/>
      <c r="CB195" s="282"/>
      <c r="CC195" s="282"/>
      <c r="CD195" s="282"/>
      <c r="CE195" s="282"/>
      <c r="CF195" s="282"/>
      <c r="CG195" s="282"/>
      <c r="CH195" s="282"/>
      <c r="CI195" s="282"/>
      <c r="CJ195" s="282"/>
      <c r="CK195" s="282"/>
      <c r="CL195" s="282"/>
      <c r="CM195" s="282"/>
      <c r="CN195" s="282"/>
      <c r="CO195" s="282"/>
      <c r="CP195" s="282"/>
      <c r="CQ195" s="282"/>
      <c r="CR195" s="282"/>
      <c r="CS195" s="282"/>
      <c r="CT195" s="282"/>
      <c r="CU195" s="282"/>
      <c r="CV195" s="282"/>
    </row>
    <row r="196" spans="1:100" s="283" customFormat="1" ht="12.75" outlineLevel="2" x14ac:dyDescent="0.2">
      <c r="A196" s="556"/>
      <c r="B196" s="556"/>
      <c r="C196" s="557"/>
      <c r="D196" s="115"/>
      <c r="E196" s="450" t="str">
        <f xml:space="preserve"> InpC!E$234</f>
        <v>Senior debt margin - T1 - year 4</v>
      </c>
      <c r="F196" s="450">
        <f xml:space="preserve"> InpC!F$234</f>
        <v>2.5000000000000001E-2</v>
      </c>
      <c r="G196" s="450" t="str">
        <f xml:space="preserve"> InpC!G$234</f>
        <v>% p.a.</v>
      </c>
      <c r="H196" s="282"/>
      <c r="I196" s="112"/>
      <c r="J196" s="282"/>
      <c r="K196" s="282"/>
      <c r="L196" s="282"/>
      <c r="M196" s="282"/>
      <c r="N196" s="282"/>
      <c r="O196" s="282"/>
      <c r="P196" s="282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  <c r="AF196" s="282"/>
      <c r="AG196" s="282"/>
      <c r="AH196" s="282"/>
      <c r="AI196" s="282"/>
      <c r="AJ196" s="282"/>
      <c r="AK196" s="282"/>
      <c r="AL196" s="282"/>
      <c r="AM196" s="282"/>
      <c r="AN196" s="282"/>
      <c r="AO196" s="282"/>
      <c r="AP196" s="282"/>
      <c r="AQ196" s="282"/>
      <c r="AR196" s="282"/>
      <c r="AS196" s="282"/>
      <c r="AT196" s="282"/>
      <c r="AU196" s="282"/>
      <c r="AV196" s="282"/>
      <c r="AW196" s="282"/>
      <c r="AX196" s="282"/>
      <c r="AY196" s="282"/>
      <c r="AZ196" s="282"/>
      <c r="BA196" s="282"/>
      <c r="BB196" s="282"/>
      <c r="BC196" s="282"/>
      <c r="BD196" s="282"/>
      <c r="BE196" s="282"/>
      <c r="BF196" s="282"/>
      <c r="BG196" s="282"/>
      <c r="BH196" s="282"/>
      <c r="BI196" s="282"/>
      <c r="BJ196" s="282"/>
      <c r="BK196" s="282"/>
      <c r="BL196" s="282"/>
      <c r="BM196" s="282"/>
      <c r="BN196" s="282"/>
      <c r="BO196" s="282"/>
      <c r="BP196" s="282"/>
      <c r="BQ196" s="282"/>
      <c r="BR196" s="282"/>
      <c r="BS196" s="282"/>
      <c r="BT196" s="282"/>
      <c r="BU196" s="282"/>
      <c r="BV196" s="282"/>
      <c r="BW196" s="282"/>
      <c r="BX196" s="282"/>
      <c r="BY196" s="282"/>
      <c r="BZ196" s="282"/>
      <c r="CA196" s="282"/>
      <c r="CB196" s="282"/>
      <c r="CC196" s="282"/>
      <c r="CD196" s="282"/>
      <c r="CE196" s="282"/>
      <c r="CF196" s="282"/>
      <c r="CG196" s="282"/>
      <c r="CH196" s="282"/>
      <c r="CI196" s="282"/>
      <c r="CJ196" s="282"/>
      <c r="CK196" s="282"/>
      <c r="CL196" s="282"/>
      <c r="CM196" s="282"/>
      <c r="CN196" s="282"/>
      <c r="CO196" s="282"/>
      <c r="CP196" s="282"/>
      <c r="CQ196" s="282"/>
      <c r="CR196" s="282"/>
      <c r="CS196" s="282"/>
      <c r="CT196" s="282"/>
      <c r="CU196" s="282"/>
      <c r="CV196" s="282"/>
    </row>
    <row r="197" spans="1:100" s="283" customFormat="1" ht="12.75" outlineLevel="2" x14ac:dyDescent="0.2">
      <c r="A197" s="556"/>
      <c r="B197" s="556"/>
      <c r="C197" s="557"/>
      <c r="D197" s="115"/>
      <c r="E197" s="450" t="str">
        <f xml:space="preserve"> InpC!E$235</f>
        <v>Senior debt margin - T1 - year 5</v>
      </c>
      <c r="F197" s="450">
        <f xml:space="preserve"> InpC!F$235</f>
        <v>2.5000000000000001E-2</v>
      </c>
      <c r="G197" s="450" t="str">
        <f xml:space="preserve"> InpC!G$235</f>
        <v>% p.a.</v>
      </c>
      <c r="H197" s="282"/>
      <c r="I197" s="112"/>
      <c r="J197" s="282"/>
      <c r="K197" s="282"/>
      <c r="L197" s="282"/>
      <c r="M197" s="282"/>
      <c r="N197" s="282"/>
      <c r="O197" s="282"/>
      <c r="P197" s="282"/>
      <c r="Q197" s="282"/>
      <c r="R197" s="282"/>
      <c r="S197" s="282"/>
      <c r="T197" s="282"/>
      <c r="U197" s="282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82"/>
      <c r="AF197" s="282"/>
      <c r="AG197" s="282"/>
      <c r="AH197" s="282"/>
      <c r="AI197" s="282"/>
      <c r="AJ197" s="282"/>
      <c r="AK197" s="282"/>
      <c r="AL197" s="282"/>
      <c r="AM197" s="282"/>
      <c r="AN197" s="282"/>
      <c r="AO197" s="282"/>
      <c r="AP197" s="282"/>
      <c r="AQ197" s="282"/>
      <c r="AR197" s="282"/>
      <c r="AS197" s="282"/>
      <c r="AT197" s="282"/>
      <c r="AU197" s="282"/>
      <c r="AV197" s="282"/>
      <c r="AW197" s="282"/>
      <c r="AX197" s="282"/>
      <c r="AY197" s="282"/>
      <c r="AZ197" s="282"/>
      <c r="BA197" s="282"/>
      <c r="BB197" s="282"/>
      <c r="BC197" s="282"/>
      <c r="BD197" s="282"/>
      <c r="BE197" s="282"/>
      <c r="BF197" s="282"/>
      <c r="BG197" s="282"/>
      <c r="BH197" s="282"/>
      <c r="BI197" s="282"/>
      <c r="BJ197" s="282"/>
      <c r="BK197" s="282"/>
      <c r="BL197" s="282"/>
      <c r="BM197" s="282"/>
      <c r="BN197" s="282"/>
      <c r="BO197" s="282"/>
      <c r="BP197" s="282"/>
      <c r="BQ197" s="282"/>
      <c r="BR197" s="282"/>
      <c r="BS197" s="282"/>
      <c r="BT197" s="282"/>
      <c r="BU197" s="282"/>
      <c r="BV197" s="282"/>
      <c r="BW197" s="282"/>
      <c r="BX197" s="282"/>
      <c r="BY197" s="282"/>
      <c r="BZ197" s="282"/>
      <c r="CA197" s="282"/>
      <c r="CB197" s="282"/>
      <c r="CC197" s="282"/>
      <c r="CD197" s="282"/>
      <c r="CE197" s="282"/>
      <c r="CF197" s="282"/>
      <c r="CG197" s="282"/>
      <c r="CH197" s="282"/>
      <c r="CI197" s="282"/>
      <c r="CJ197" s="282"/>
      <c r="CK197" s="282"/>
      <c r="CL197" s="282"/>
      <c r="CM197" s="282"/>
      <c r="CN197" s="282"/>
      <c r="CO197" s="282"/>
      <c r="CP197" s="282"/>
      <c r="CQ197" s="282"/>
      <c r="CR197" s="282"/>
      <c r="CS197" s="282"/>
      <c r="CT197" s="282"/>
      <c r="CU197" s="282"/>
      <c r="CV197" s="282"/>
    </row>
    <row r="198" spans="1:100" s="283" customFormat="1" ht="12.75" outlineLevel="2" x14ac:dyDescent="0.2">
      <c r="A198" s="556"/>
      <c r="B198" s="556"/>
      <c r="C198" s="557"/>
      <c r="D198" s="115"/>
      <c r="E198" s="450" t="str">
        <f xml:space="preserve"> InpC!E$236</f>
        <v>Senior debt margin - T1 - year 6</v>
      </c>
      <c r="F198" s="450">
        <f xml:space="preserve"> InpC!F$236</f>
        <v>2.7E-2</v>
      </c>
      <c r="G198" s="450" t="str">
        <f xml:space="preserve"> InpC!G$236</f>
        <v>% p.a.</v>
      </c>
      <c r="H198" s="282"/>
      <c r="I198" s="112"/>
      <c r="J198" s="282"/>
      <c r="K198" s="282"/>
      <c r="L198" s="282"/>
      <c r="M198" s="282"/>
      <c r="N198" s="282"/>
      <c r="O198" s="282"/>
      <c r="P198" s="282"/>
      <c r="Q198" s="282"/>
      <c r="R198" s="282"/>
      <c r="S198" s="282"/>
      <c r="T198" s="282"/>
      <c r="U198" s="282"/>
      <c r="V198" s="282"/>
      <c r="W198" s="282"/>
      <c r="X198" s="282"/>
      <c r="Y198" s="282"/>
      <c r="Z198" s="282"/>
      <c r="AA198" s="282"/>
      <c r="AB198" s="282"/>
      <c r="AC198" s="282"/>
      <c r="AD198" s="282"/>
      <c r="AE198" s="282"/>
      <c r="AF198" s="282"/>
      <c r="AG198" s="282"/>
      <c r="AH198" s="282"/>
      <c r="AI198" s="282"/>
      <c r="AJ198" s="282"/>
      <c r="AK198" s="282"/>
      <c r="AL198" s="282"/>
      <c r="AM198" s="282"/>
      <c r="AN198" s="282"/>
      <c r="AO198" s="282"/>
      <c r="AP198" s="282"/>
      <c r="AQ198" s="282"/>
      <c r="AR198" s="282"/>
      <c r="AS198" s="282"/>
      <c r="AT198" s="282"/>
      <c r="AU198" s="282"/>
      <c r="AV198" s="282"/>
      <c r="AW198" s="282"/>
      <c r="AX198" s="282"/>
      <c r="AY198" s="282"/>
      <c r="AZ198" s="282"/>
      <c r="BA198" s="282"/>
      <c r="BB198" s="282"/>
      <c r="BC198" s="282"/>
      <c r="BD198" s="282"/>
      <c r="BE198" s="282"/>
      <c r="BF198" s="282"/>
      <c r="BG198" s="282"/>
      <c r="BH198" s="282"/>
      <c r="BI198" s="282"/>
      <c r="BJ198" s="282"/>
      <c r="BK198" s="282"/>
      <c r="BL198" s="282"/>
      <c r="BM198" s="282"/>
      <c r="BN198" s="282"/>
      <c r="BO198" s="282"/>
      <c r="BP198" s="282"/>
      <c r="BQ198" s="282"/>
      <c r="BR198" s="282"/>
      <c r="BS198" s="282"/>
      <c r="BT198" s="282"/>
      <c r="BU198" s="282"/>
      <c r="BV198" s="282"/>
      <c r="BW198" s="282"/>
      <c r="BX198" s="282"/>
      <c r="BY198" s="282"/>
      <c r="BZ198" s="282"/>
      <c r="CA198" s="282"/>
      <c r="CB198" s="282"/>
      <c r="CC198" s="282"/>
      <c r="CD198" s="282"/>
      <c r="CE198" s="282"/>
      <c r="CF198" s="282"/>
      <c r="CG198" s="282"/>
      <c r="CH198" s="282"/>
      <c r="CI198" s="282"/>
      <c r="CJ198" s="282"/>
      <c r="CK198" s="282"/>
      <c r="CL198" s="282"/>
      <c r="CM198" s="282"/>
      <c r="CN198" s="282"/>
      <c r="CO198" s="282"/>
      <c r="CP198" s="282"/>
      <c r="CQ198" s="282"/>
      <c r="CR198" s="282"/>
      <c r="CS198" s="282"/>
      <c r="CT198" s="282"/>
      <c r="CU198" s="282"/>
      <c r="CV198" s="282"/>
    </row>
    <row r="199" spans="1:100" s="283" customFormat="1" ht="12.75" outlineLevel="2" x14ac:dyDescent="0.2">
      <c r="A199" s="556"/>
      <c r="B199" s="556"/>
      <c r="C199" s="557"/>
      <c r="D199" s="115"/>
      <c r="E199" s="450" t="str">
        <f xml:space="preserve"> InpC!E$237</f>
        <v>Senior debt margin - T1 - year 7</v>
      </c>
      <c r="F199" s="450">
        <f xml:space="preserve"> InpC!F$237</f>
        <v>2.7E-2</v>
      </c>
      <c r="G199" s="450" t="str">
        <f xml:space="preserve"> InpC!G$237</f>
        <v>% p.a.</v>
      </c>
      <c r="H199" s="282"/>
      <c r="I199" s="112"/>
      <c r="J199" s="282"/>
      <c r="K199" s="282"/>
      <c r="L199" s="282"/>
      <c r="M199" s="282"/>
      <c r="N199" s="282"/>
      <c r="O199" s="282"/>
      <c r="P199" s="282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  <c r="AF199" s="282"/>
      <c r="AG199" s="282"/>
      <c r="AH199" s="282"/>
      <c r="AI199" s="282"/>
      <c r="AJ199" s="282"/>
      <c r="AK199" s="282"/>
      <c r="AL199" s="282"/>
      <c r="AM199" s="282"/>
      <c r="AN199" s="282"/>
      <c r="AO199" s="282"/>
      <c r="AP199" s="282"/>
      <c r="AQ199" s="282"/>
      <c r="AR199" s="282"/>
      <c r="AS199" s="282"/>
      <c r="AT199" s="282"/>
      <c r="AU199" s="282"/>
      <c r="AV199" s="282"/>
      <c r="AW199" s="282"/>
      <c r="AX199" s="282"/>
      <c r="AY199" s="282"/>
      <c r="AZ199" s="282"/>
      <c r="BA199" s="282"/>
      <c r="BB199" s="282"/>
      <c r="BC199" s="282"/>
      <c r="BD199" s="282"/>
      <c r="BE199" s="282"/>
      <c r="BF199" s="282"/>
      <c r="BG199" s="282"/>
      <c r="BH199" s="282"/>
      <c r="BI199" s="282"/>
      <c r="BJ199" s="282"/>
      <c r="BK199" s="282"/>
      <c r="BL199" s="282"/>
      <c r="BM199" s="282"/>
      <c r="BN199" s="282"/>
      <c r="BO199" s="282"/>
      <c r="BP199" s="282"/>
      <c r="BQ199" s="282"/>
      <c r="BR199" s="282"/>
      <c r="BS199" s="282"/>
      <c r="BT199" s="282"/>
      <c r="BU199" s="282"/>
      <c r="BV199" s="282"/>
      <c r="BW199" s="282"/>
      <c r="BX199" s="282"/>
      <c r="BY199" s="282"/>
      <c r="BZ199" s="282"/>
      <c r="CA199" s="282"/>
      <c r="CB199" s="282"/>
      <c r="CC199" s="282"/>
      <c r="CD199" s="282"/>
      <c r="CE199" s="282"/>
      <c r="CF199" s="282"/>
      <c r="CG199" s="282"/>
      <c r="CH199" s="282"/>
      <c r="CI199" s="282"/>
      <c r="CJ199" s="282"/>
      <c r="CK199" s="282"/>
      <c r="CL199" s="282"/>
      <c r="CM199" s="282"/>
      <c r="CN199" s="282"/>
      <c r="CO199" s="282"/>
      <c r="CP199" s="282"/>
      <c r="CQ199" s="282"/>
      <c r="CR199" s="282"/>
      <c r="CS199" s="282"/>
      <c r="CT199" s="282"/>
      <c r="CU199" s="282"/>
      <c r="CV199" s="282"/>
    </row>
    <row r="200" spans="1:100" s="283" customFormat="1" ht="12.75" outlineLevel="2" x14ac:dyDescent="0.2">
      <c r="A200" s="556"/>
      <c r="B200" s="556"/>
      <c r="C200" s="557"/>
      <c r="D200" s="115"/>
      <c r="E200" s="450" t="str">
        <f xml:space="preserve"> InpC!E$238</f>
        <v>Senior debt margin - T1 - year 8</v>
      </c>
      <c r="F200" s="450">
        <f xml:space="preserve"> InpC!F$238</f>
        <v>2.7E-2</v>
      </c>
      <c r="G200" s="450" t="str">
        <f xml:space="preserve"> InpC!G$238</f>
        <v>% p.a.</v>
      </c>
      <c r="H200" s="282"/>
      <c r="I200" s="112"/>
      <c r="J200" s="282"/>
      <c r="K200" s="282"/>
      <c r="L200" s="282"/>
      <c r="M200" s="282"/>
      <c r="N200" s="282"/>
      <c r="O200" s="282"/>
      <c r="P200" s="282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  <c r="AF200" s="282"/>
      <c r="AG200" s="282"/>
      <c r="AH200" s="282"/>
      <c r="AI200" s="282"/>
      <c r="AJ200" s="282"/>
      <c r="AK200" s="282"/>
      <c r="AL200" s="282"/>
      <c r="AM200" s="282"/>
      <c r="AN200" s="282"/>
      <c r="AO200" s="282"/>
      <c r="AP200" s="282"/>
      <c r="AQ200" s="282"/>
      <c r="AR200" s="282"/>
      <c r="AS200" s="282"/>
      <c r="AT200" s="282"/>
      <c r="AU200" s="282"/>
      <c r="AV200" s="282"/>
      <c r="AW200" s="282"/>
      <c r="AX200" s="282"/>
      <c r="AY200" s="282"/>
      <c r="AZ200" s="282"/>
      <c r="BA200" s="282"/>
      <c r="BB200" s="282"/>
      <c r="BC200" s="282"/>
      <c r="BD200" s="282"/>
      <c r="BE200" s="282"/>
      <c r="BF200" s="282"/>
      <c r="BG200" s="282"/>
      <c r="BH200" s="282"/>
      <c r="BI200" s="282"/>
      <c r="BJ200" s="282"/>
      <c r="BK200" s="282"/>
      <c r="BL200" s="282"/>
      <c r="BM200" s="282"/>
      <c r="BN200" s="282"/>
      <c r="BO200" s="282"/>
      <c r="BP200" s="282"/>
      <c r="BQ200" s="282"/>
      <c r="BR200" s="282"/>
      <c r="BS200" s="282"/>
      <c r="BT200" s="282"/>
      <c r="BU200" s="282"/>
      <c r="BV200" s="282"/>
      <c r="BW200" s="282"/>
      <c r="BX200" s="282"/>
      <c r="BY200" s="282"/>
      <c r="BZ200" s="282"/>
      <c r="CA200" s="282"/>
      <c r="CB200" s="282"/>
      <c r="CC200" s="282"/>
      <c r="CD200" s="282"/>
      <c r="CE200" s="282"/>
      <c r="CF200" s="282"/>
      <c r="CG200" s="282"/>
      <c r="CH200" s="282"/>
      <c r="CI200" s="282"/>
      <c r="CJ200" s="282"/>
      <c r="CK200" s="282"/>
      <c r="CL200" s="282"/>
      <c r="CM200" s="282"/>
      <c r="CN200" s="282"/>
      <c r="CO200" s="282"/>
      <c r="CP200" s="282"/>
      <c r="CQ200" s="282"/>
      <c r="CR200" s="282"/>
      <c r="CS200" s="282"/>
      <c r="CT200" s="282"/>
      <c r="CU200" s="282"/>
      <c r="CV200" s="282"/>
    </row>
    <row r="201" spans="1:100" s="283" customFormat="1" ht="12.75" outlineLevel="2" x14ac:dyDescent="0.2">
      <c r="A201" s="556"/>
      <c r="B201" s="556"/>
      <c r="C201" s="557"/>
      <c r="D201" s="115"/>
      <c r="E201" s="450" t="str">
        <f xml:space="preserve"> InpC!E$239</f>
        <v>Senior debt margin - T1 - year 9</v>
      </c>
      <c r="F201" s="450">
        <f xml:space="preserve"> InpC!F$239</f>
        <v>2.7E-2</v>
      </c>
      <c r="G201" s="450" t="str">
        <f xml:space="preserve"> InpC!G$239</f>
        <v>% p.a.</v>
      </c>
      <c r="H201" s="282"/>
      <c r="I201" s="112"/>
      <c r="J201" s="282"/>
      <c r="K201" s="282"/>
      <c r="L201" s="282"/>
      <c r="M201" s="282"/>
      <c r="N201" s="282"/>
      <c r="O201" s="282"/>
      <c r="P201" s="282"/>
      <c r="Q201" s="282"/>
      <c r="R201" s="282"/>
      <c r="S201" s="282"/>
      <c r="T201" s="282"/>
      <c r="U201" s="282"/>
      <c r="V201" s="282"/>
      <c r="W201" s="282"/>
      <c r="X201" s="282"/>
      <c r="Y201" s="282"/>
      <c r="Z201" s="282"/>
      <c r="AA201" s="282"/>
      <c r="AB201" s="282"/>
      <c r="AC201" s="282"/>
      <c r="AD201" s="282"/>
      <c r="AE201" s="282"/>
      <c r="AF201" s="282"/>
      <c r="AG201" s="282"/>
      <c r="AH201" s="282"/>
      <c r="AI201" s="282"/>
      <c r="AJ201" s="282"/>
      <c r="AK201" s="282"/>
      <c r="AL201" s="282"/>
      <c r="AM201" s="282"/>
      <c r="AN201" s="282"/>
      <c r="AO201" s="282"/>
      <c r="AP201" s="282"/>
      <c r="AQ201" s="282"/>
      <c r="AR201" s="282"/>
      <c r="AS201" s="282"/>
      <c r="AT201" s="282"/>
      <c r="AU201" s="282"/>
      <c r="AV201" s="282"/>
      <c r="AW201" s="282"/>
      <c r="AX201" s="282"/>
      <c r="AY201" s="282"/>
      <c r="AZ201" s="282"/>
      <c r="BA201" s="282"/>
      <c r="BB201" s="282"/>
      <c r="BC201" s="282"/>
      <c r="BD201" s="282"/>
      <c r="BE201" s="282"/>
      <c r="BF201" s="282"/>
      <c r="BG201" s="282"/>
      <c r="BH201" s="282"/>
      <c r="BI201" s="282"/>
      <c r="BJ201" s="282"/>
      <c r="BK201" s="282"/>
      <c r="BL201" s="282"/>
      <c r="BM201" s="282"/>
      <c r="BN201" s="282"/>
      <c r="BO201" s="282"/>
      <c r="BP201" s="282"/>
      <c r="BQ201" s="282"/>
      <c r="BR201" s="282"/>
      <c r="BS201" s="282"/>
      <c r="BT201" s="282"/>
      <c r="BU201" s="282"/>
      <c r="BV201" s="282"/>
      <c r="BW201" s="282"/>
      <c r="BX201" s="282"/>
      <c r="BY201" s="282"/>
      <c r="BZ201" s="282"/>
      <c r="CA201" s="282"/>
      <c r="CB201" s="282"/>
      <c r="CC201" s="282"/>
      <c r="CD201" s="282"/>
      <c r="CE201" s="282"/>
      <c r="CF201" s="282"/>
      <c r="CG201" s="282"/>
      <c r="CH201" s="282"/>
      <c r="CI201" s="282"/>
      <c r="CJ201" s="282"/>
      <c r="CK201" s="282"/>
      <c r="CL201" s="282"/>
      <c r="CM201" s="282"/>
      <c r="CN201" s="282"/>
      <c r="CO201" s="282"/>
      <c r="CP201" s="282"/>
      <c r="CQ201" s="282"/>
      <c r="CR201" s="282"/>
      <c r="CS201" s="282"/>
      <c r="CT201" s="282"/>
      <c r="CU201" s="282"/>
      <c r="CV201" s="282"/>
    </row>
    <row r="202" spans="1:100" s="283" customFormat="1" ht="12.75" outlineLevel="2" x14ac:dyDescent="0.2">
      <c r="A202" s="556"/>
      <c r="B202" s="556"/>
      <c r="C202" s="557"/>
      <c r="D202" s="115"/>
      <c r="E202" s="450" t="str">
        <f xml:space="preserve"> InpC!E$240</f>
        <v>Senior debt margin - T1 - year 10</v>
      </c>
      <c r="F202" s="450">
        <f xml:space="preserve"> InpC!F$240</f>
        <v>2.7E-2</v>
      </c>
      <c r="G202" s="450" t="str">
        <f xml:space="preserve"> InpC!G$240</f>
        <v>% p.a.</v>
      </c>
      <c r="H202" s="282"/>
      <c r="I202" s="112"/>
      <c r="J202" s="282"/>
      <c r="K202" s="282"/>
      <c r="L202" s="282"/>
      <c r="M202" s="282"/>
      <c r="N202" s="282"/>
      <c r="O202" s="282"/>
      <c r="P202" s="282"/>
      <c r="Q202" s="282"/>
      <c r="R202" s="282"/>
      <c r="S202" s="282"/>
      <c r="T202" s="282"/>
      <c r="U202" s="282"/>
      <c r="V202" s="282"/>
      <c r="W202" s="282"/>
      <c r="X202" s="282"/>
      <c r="Y202" s="282"/>
      <c r="Z202" s="282"/>
      <c r="AA202" s="282"/>
      <c r="AB202" s="282"/>
      <c r="AC202" s="282"/>
      <c r="AD202" s="282"/>
      <c r="AE202" s="282"/>
      <c r="AF202" s="282"/>
      <c r="AG202" s="282"/>
      <c r="AH202" s="282"/>
      <c r="AI202" s="282"/>
      <c r="AJ202" s="282"/>
      <c r="AK202" s="282"/>
      <c r="AL202" s="282"/>
      <c r="AM202" s="282"/>
      <c r="AN202" s="282"/>
      <c r="AO202" s="282"/>
      <c r="AP202" s="282"/>
      <c r="AQ202" s="282"/>
      <c r="AR202" s="282"/>
      <c r="AS202" s="282"/>
      <c r="AT202" s="282"/>
      <c r="AU202" s="282"/>
      <c r="AV202" s="282"/>
      <c r="AW202" s="282"/>
      <c r="AX202" s="282"/>
      <c r="AY202" s="282"/>
      <c r="AZ202" s="282"/>
      <c r="BA202" s="282"/>
      <c r="BB202" s="282"/>
      <c r="BC202" s="282"/>
      <c r="BD202" s="282"/>
      <c r="BE202" s="282"/>
      <c r="BF202" s="282"/>
      <c r="BG202" s="282"/>
      <c r="BH202" s="282"/>
      <c r="BI202" s="282"/>
      <c r="BJ202" s="282"/>
      <c r="BK202" s="282"/>
      <c r="BL202" s="282"/>
      <c r="BM202" s="282"/>
      <c r="BN202" s="282"/>
      <c r="BO202" s="282"/>
      <c r="BP202" s="282"/>
      <c r="BQ202" s="282"/>
      <c r="BR202" s="282"/>
      <c r="BS202" s="282"/>
      <c r="BT202" s="282"/>
      <c r="BU202" s="282"/>
      <c r="BV202" s="282"/>
      <c r="BW202" s="282"/>
      <c r="BX202" s="282"/>
      <c r="BY202" s="282"/>
      <c r="BZ202" s="282"/>
      <c r="CA202" s="282"/>
      <c r="CB202" s="282"/>
      <c r="CC202" s="282"/>
      <c r="CD202" s="282"/>
      <c r="CE202" s="282"/>
      <c r="CF202" s="282"/>
      <c r="CG202" s="282"/>
      <c r="CH202" s="282"/>
      <c r="CI202" s="282"/>
      <c r="CJ202" s="282"/>
      <c r="CK202" s="282"/>
      <c r="CL202" s="282"/>
      <c r="CM202" s="282"/>
      <c r="CN202" s="282"/>
      <c r="CO202" s="282"/>
      <c r="CP202" s="282"/>
      <c r="CQ202" s="282"/>
      <c r="CR202" s="282"/>
      <c r="CS202" s="282"/>
      <c r="CT202" s="282"/>
      <c r="CU202" s="282"/>
      <c r="CV202" s="282"/>
    </row>
    <row r="203" spans="1:100" s="283" customFormat="1" ht="12.75" outlineLevel="2" x14ac:dyDescent="0.2">
      <c r="A203" s="556"/>
      <c r="B203" s="556"/>
      <c r="C203" s="557"/>
      <c r="D203" s="115"/>
      <c r="E203" s="450" t="str">
        <f xml:space="preserve"> InpC!E$241</f>
        <v>Senior debt margin - T1 - year 11</v>
      </c>
      <c r="F203" s="450">
        <f xml:space="preserve"> InpC!F$241</f>
        <v>2.9000000000000001E-2</v>
      </c>
      <c r="G203" s="450" t="str">
        <f xml:space="preserve"> InpC!G$241</f>
        <v>% p.a.</v>
      </c>
      <c r="H203" s="282"/>
      <c r="I203" s="112"/>
      <c r="J203" s="282"/>
      <c r="K203" s="282"/>
      <c r="L203" s="282"/>
      <c r="M203" s="282"/>
      <c r="N203" s="282"/>
      <c r="O203" s="282"/>
      <c r="P203" s="282"/>
      <c r="Q203" s="282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  <c r="AF203" s="282"/>
      <c r="AG203" s="282"/>
      <c r="AH203" s="282"/>
      <c r="AI203" s="282"/>
      <c r="AJ203" s="282"/>
      <c r="AK203" s="282"/>
      <c r="AL203" s="282"/>
      <c r="AM203" s="282"/>
      <c r="AN203" s="282"/>
      <c r="AO203" s="282"/>
      <c r="AP203" s="282"/>
      <c r="AQ203" s="282"/>
      <c r="AR203" s="282"/>
      <c r="AS203" s="282"/>
      <c r="AT203" s="282"/>
      <c r="AU203" s="282"/>
      <c r="AV203" s="282"/>
      <c r="AW203" s="282"/>
      <c r="AX203" s="282"/>
      <c r="AY203" s="282"/>
      <c r="AZ203" s="282"/>
      <c r="BA203" s="282"/>
      <c r="BB203" s="282"/>
      <c r="BC203" s="282"/>
      <c r="BD203" s="282"/>
      <c r="BE203" s="282"/>
      <c r="BF203" s="282"/>
      <c r="BG203" s="282"/>
      <c r="BH203" s="282"/>
      <c r="BI203" s="282"/>
      <c r="BJ203" s="282"/>
      <c r="BK203" s="282"/>
      <c r="BL203" s="282"/>
      <c r="BM203" s="282"/>
      <c r="BN203" s="282"/>
      <c r="BO203" s="282"/>
      <c r="BP203" s="282"/>
      <c r="BQ203" s="282"/>
      <c r="BR203" s="282"/>
      <c r="BS203" s="282"/>
      <c r="BT203" s="282"/>
      <c r="BU203" s="282"/>
      <c r="BV203" s="282"/>
      <c r="BW203" s="282"/>
      <c r="BX203" s="282"/>
      <c r="BY203" s="282"/>
      <c r="BZ203" s="282"/>
      <c r="CA203" s="282"/>
      <c r="CB203" s="282"/>
      <c r="CC203" s="282"/>
      <c r="CD203" s="282"/>
      <c r="CE203" s="282"/>
      <c r="CF203" s="282"/>
      <c r="CG203" s="282"/>
      <c r="CH203" s="282"/>
      <c r="CI203" s="282"/>
      <c r="CJ203" s="282"/>
      <c r="CK203" s="282"/>
      <c r="CL203" s="282"/>
      <c r="CM203" s="282"/>
      <c r="CN203" s="282"/>
      <c r="CO203" s="282"/>
      <c r="CP203" s="282"/>
      <c r="CQ203" s="282"/>
      <c r="CR203" s="282"/>
      <c r="CS203" s="282"/>
      <c r="CT203" s="282"/>
      <c r="CU203" s="282"/>
      <c r="CV203" s="282"/>
    </row>
    <row r="204" spans="1:100" s="283" customFormat="1" ht="12.75" outlineLevel="2" x14ac:dyDescent="0.2">
      <c r="A204" s="556"/>
      <c r="B204" s="556"/>
      <c r="C204" s="557"/>
      <c r="D204" s="115"/>
      <c r="E204" s="450" t="str">
        <f xml:space="preserve"> InpC!E$242</f>
        <v>Senior debt margin - T1 - year 12</v>
      </c>
      <c r="F204" s="450">
        <f xml:space="preserve"> InpC!F$242</f>
        <v>2.9000000000000001E-2</v>
      </c>
      <c r="G204" s="450" t="str">
        <f xml:space="preserve"> InpC!G$242</f>
        <v>% p.a.</v>
      </c>
      <c r="H204" s="282"/>
      <c r="I204" s="112"/>
      <c r="J204" s="282"/>
      <c r="K204" s="282"/>
      <c r="L204" s="282"/>
      <c r="M204" s="282"/>
      <c r="N204" s="282"/>
      <c r="O204" s="282"/>
      <c r="P204" s="282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  <c r="AF204" s="282"/>
      <c r="AG204" s="282"/>
      <c r="AH204" s="282"/>
      <c r="AI204" s="282"/>
      <c r="AJ204" s="282"/>
      <c r="AK204" s="282"/>
      <c r="AL204" s="282"/>
      <c r="AM204" s="282"/>
      <c r="AN204" s="282"/>
      <c r="AO204" s="282"/>
      <c r="AP204" s="282"/>
      <c r="AQ204" s="282"/>
      <c r="AR204" s="282"/>
      <c r="AS204" s="282"/>
      <c r="AT204" s="282"/>
      <c r="AU204" s="282"/>
      <c r="AV204" s="282"/>
      <c r="AW204" s="282"/>
      <c r="AX204" s="282"/>
      <c r="AY204" s="282"/>
      <c r="AZ204" s="282"/>
      <c r="BA204" s="282"/>
      <c r="BB204" s="282"/>
      <c r="BC204" s="282"/>
      <c r="BD204" s="282"/>
      <c r="BE204" s="282"/>
      <c r="BF204" s="282"/>
      <c r="BG204" s="282"/>
      <c r="BH204" s="282"/>
      <c r="BI204" s="282"/>
      <c r="BJ204" s="282"/>
      <c r="BK204" s="282"/>
      <c r="BL204" s="282"/>
      <c r="BM204" s="282"/>
      <c r="BN204" s="282"/>
      <c r="BO204" s="282"/>
      <c r="BP204" s="282"/>
      <c r="BQ204" s="282"/>
      <c r="BR204" s="282"/>
      <c r="BS204" s="282"/>
      <c r="BT204" s="282"/>
      <c r="BU204" s="282"/>
      <c r="BV204" s="282"/>
      <c r="BW204" s="282"/>
      <c r="BX204" s="282"/>
      <c r="BY204" s="282"/>
      <c r="BZ204" s="282"/>
      <c r="CA204" s="282"/>
      <c r="CB204" s="282"/>
      <c r="CC204" s="282"/>
      <c r="CD204" s="282"/>
      <c r="CE204" s="282"/>
      <c r="CF204" s="282"/>
      <c r="CG204" s="282"/>
      <c r="CH204" s="282"/>
      <c r="CI204" s="282"/>
      <c r="CJ204" s="282"/>
      <c r="CK204" s="282"/>
      <c r="CL204" s="282"/>
      <c r="CM204" s="282"/>
      <c r="CN204" s="282"/>
      <c r="CO204" s="282"/>
      <c r="CP204" s="282"/>
      <c r="CQ204" s="282"/>
      <c r="CR204" s="282"/>
      <c r="CS204" s="282"/>
      <c r="CT204" s="282"/>
      <c r="CU204" s="282"/>
      <c r="CV204" s="282"/>
    </row>
    <row r="205" spans="1:100" s="283" customFormat="1" ht="12.75" outlineLevel="2" x14ac:dyDescent="0.2">
      <c r="A205" s="556"/>
      <c r="B205" s="556"/>
      <c r="C205" s="557"/>
      <c r="D205" s="115"/>
      <c r="E205" s="450" t="str">
        <f xml:space="preserve"> InpC!E$243</f>
        <v>Senior debt margin - T1 - year 13</v>
      </c>
      <c r="F205" s="450">
        <f xml:space="preserve"> InpC!F$243</f>
        <v>2.9000000000000001E-2</v>
      </c>
      <c r="G205" s="450" t="str">
        <f xml:space="preserve"> InpC!G$243</f>
        <v>% p.a.</v>
      </c>
      <c r="H205" s="282"/>
      <c r="I205" s="112"/>
      <c r="J205" s="282"/>
      <c r="K205" s="282"/>
      <c r="L205" s="282"/>
      <c r="M205" s="282"/>
      <c r="N205" s="282"/>
      <c r="O205" s="282"/>
      <c r="P205" s="282"/>
      <c r="Q205" s="282"/>
      <c r="R205" s="282"/>
      <c r="S205" s="282"/>
      <c r="T205" s="282"/>
      <c r="U205" s="282"/>
      <c r="V205" s="282"/>
      <c r="W205" s="282"/>
      <c r="X205" s="282"/>
      <c r="Y205" s="282"/>
      <c r="Z205" s="282"/>
      <c r="AA205" s="282"/>
      <c r="AB205" s="282"/>
      <c r="AC205" s="282"/>
      <c r="AD205" s="282"/>
      <c r="AE205" s="282"/>
      <c r="AF205" s="282"/>
      <c r="AG205" s="282"/>
      <c r="AH205" s="282"/>
      <c r="AI205" s="282"/>
      <c r="AJ205" s="282"/>
      <c r="AK205" s="282"/>
      <c r="AL205" s="282"/>
      <c r="AM205" s="282"/>
      <c r="AN205" s="282"/>
      <c r="AO205" s="282"/>
      <c r="AP205" s="282"/>
      <c r="AQ205" s="282"/>
      <c r="AR205" s="282"/>
      <c r="AS205" s="282"/>
      <c r="AT205" s="282"/>
      <c r="AU205" s="282"/>
      <c r="AV205" s="282"/>
      <c r="AW205" s="282"/>
      <c r="AX205" s="282"/>
      <c r="AY205" s="282"/>
      <c r="AZ205" s="282"/>
      <c r="BA205" s="282"/>
      <c r="BB205" s="282"/>
      <c r="BC205" s="282"/>
      <c r="BD205" s="282"/>
      <c r="BE205" s="282"/>
      <c r="BF205" s="282"/>
      <c r="BG205" s="282"/>
      <c r="BH205" s="282"/>
      <c r="BI205" s="282"/>
      <c r="BJ205" s="282"/>
      <c r="BK205" s="282"/>
      <c r="BL205" s="282"/>
      <c r="BM205" s="282"/>
      <c r="BN205" s="282"/>
      <c r="BO205" s="282"/>
      <c r="BP205" s="282"/>
      <c r="BQ205" s="282"/>
      <c r="BR205" s="282"/>
      <c r="BS205" s="282"/>
      <c r="BT205" s="282"/>
      <c r="BU205" s="282"/>
      <c r="BV205" s="282"/>
      <c r="BW205" s="282"/>
      <c r="BX205" s="282"/>
      <c r="BY205" s="282"/>
      <c r="BZ205" s="282"/>
      <c r="CA205" s="282"/>
      <c r="CB205" s="282"/>
      <c r="CC205" s="282"/>
      <c r="CD205" s="282"/>
      <c r="CE205" s="282"/>
      <c r="CF205" s="282"/>
      <c r="CG205" s="282"/>
      <c r="CH205" s="282"/>
      <c r="CI205" s="282"/>
      <c r="CJ205" s="282"/>
      <c r="CK205" s="282"/>
      <c r="CL205" s="282"/>
      <c r="CM205" s="282"/>
      <c r="CN205" s="282"/>
      <c r="CO205" s="282"/>
      <c r="CP205" s="282"/>
      <c r="CQ205" s="282"/>
      <c r="CR205" s="282"/>
      <c r="CS205" s="282"/>
      <c r="CT205" s="282"/>
      <c r="CU205" s="282"/>
      <c r="CV205" s="282"/>
    </row>
    <row r="206" spans="1:100" s="283" customFormat="1" ht="12.75" outlineLevel="2" x14ac:dyDescent="0.2">
      <c r="A206" s="556"/>
      <c r="B206" s="556"/>
      <c r="C206" s="557"/>
      <c r="D206" s="115"/>
      <c r="E206" s="450" t="str">
        <f xml:space="preserve"> InpC!E$244</f>
        <v>Senior debt margin - T1 - year 14</v>
      </c>
      <c r="F206" s="450">
        <f xml:space="preserve"> InpC!F$244</f>
        <v>2.9000000000000001E-2</v>
      </c>
      <c r="G206" s="450" t="str">
        <f xml:space="preserve"> InpC!G$244</f>
        <v>% p.a.</v>
      </c>
      <c r="H206" s="282"/>
      <c r="I206" s="112"/>
      <c r="J206" s="282"/>
      <c r="K206" s="282"/>
      <c r="L206" s="282"/>
      <c r="M206" s="282"/>
      <c r="N206" s="282"/>
      <c r="O206" s="282"/>
      <c r="P206" s="282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  <c r="AF206" s="282"/>
      <c r="AG206" s="282"/>
      <c r="AH206" s="282"/>
      <c r="AI206" s="282"/>
      <c r="AJ206" s="282"/>
      <c r="AK206" s="282"/>
      <c r="AL206" s="282"/>
      <c r="AM206" s="282"/>
      <c r="AN206" s="282"/>
      <c r="AO206" s="282"/>
      <c r="AP206" s="282"/>
      <c r="AQ206" s="282"/>
      <c r="AR206" s="282"/>
      <c r="AS206" s="282"/>
      <c r="AT206" s="282"/>
      <c r="AU206" s="282"/>
      <c r="AV206" s="282"/>
      <c r="AW206" s="282"/>
      <c r="AX206" s="282"/>
      <c r="AY206" s="282"/>
      <c r="AZ206" s="282"/>
      <c r="BA206" s="282"/>
      <c r="BB206" s="282"/>
      <c r="BC206" s="282"/>
      <c r="BD206" s="282"/>
      <c r="BE206" s="282"/>
      <c r="BF206" s="282"/>
      <c r="BG206" s="282"/>
      <c r="BH206" s="282"/>
      <c r="BI206" s="282"/>
      <c r="BJ206" s="282"/>
      <c r="BK206" s="282"/>
      <c r="BL206" s="282"/>
      <c r="BM206" s="282"/>
      <c r="BN206" s="282"/>
      <c r="BO206" s="282"/>
      <c r="BP206" s="282"/>
      <c r="BQ206" s="282"/>
      <c r="BR206" s="282"/>
      <c r="BS206" s="282"/>
      <c r="BT206" s="282"/>
      <c r="BU206" s="282"/>
      <c r="BV206" s="282"/>
      <c r="BW206" s="282"/>
      <c r="BX206" s="282"/>
      <c r="BY206" s="282"/>
      <c r="BZ206" s="282"/>
      <c r="CA206" s="282"/>
      <c r="CB206" s="282"/>
      <c r="CC206" s="282"/>
      <c r="CD206" s="282"/>
      <c r="CE206" s="282"/>
      <c r="CF206" s="282"/>
      <c r="CG206" s="282"/>
      <c r="CH206" s="282"/>
      <c r="CI206" s="282"/>
      <c r="CJ206" s="282"/>
      <c r="CK206" s="282"/>
      <c r="CL206" s="282"/>
      <c r="CM206" s="282"/>
      <c r="CN206" s="282"/>
      <c r="CO206" s="282"/>
      <c r="CP206" s="282"/>
      <c r="CQ206" s="282"/>
      <c r="CR206" s="282"/>
      <c r="CS206" s="282"/>
      <c r="CT206" s="282"/>
      <c r="CU206" s="282"/>
      <c r="CV206" s="282"/>
    </row>
    <row r="207" spans="1:100" s="283" customFormat="1" ht="12.75" outlineLevel="2" x14ac:dyDescent="0.2">
      <c r="A207" s="556"/>
      <c r="B207" s="556"/>
      <c r="C207" s="557"/>
      <c r="D207" s="115"/>
      <c r="E207" s="450" t="str">
        <f xml:space="preserve"> InpC!E$245</f>
        <v>Senior debt margin - T1 - year 15</v>
      </c>
      <c r="F207" s="450">
        <f xml:space="preserve"> InpC!F$245</f>
        <v>2.9000000000000001E-2</v>
      </c>
      <c r="G207" s="450" t="str">
        <f xml:space="preserve"> InpC!G$245</f>
        <v>% p.a.</v>
      </c>
      <c r="H207" s="282"/>
      <c r="I207" s="112"/>
      <c r="J207" s="282"/>
      <c r="K207" s="282"/>
      <c r="L207" s="282"/>
      <c r="M207" s="282"/>
      <c r="N207" s="282"/>
      <c r="O207" s="282"/>
      <c r="P207" s="282"/>
      <c r="Q207" s="282"/>
      <c r="R207" s="282"/>
      <c r="S207" s="282"/>
      <c r="T207" s="282"/>
      <c r="U207" s="282"/>
      <c r="V207" s="282"/>
      <c r="W207" s="282"/>
      <c r="X207" s="282"/>
      <c r="Y207" s="282"/>
      <c r="Z207" s="282"/>
      <c r="AA207" s="282"/>
      <c r="AB207" s="282"/>
      <c r="AC207" s="282"/>
      <c r="AD207" s="282"/>
      <c r="AE207" s="282"/>
      <c r="AF207" s="282"/>
      <c r="AG207" s="282"/>
      <c r="AH207" s="282"/>
      <c r="AI207" s="282"/>
      <c r="AJ207" s="282"/>
      <c r="AK207" s="282"/>
      <c r="AL207" s="282"/>
      <c r="AM207" s="282"/>
      <c r="AN207" s="282"/>
      <c r="AO207" s="282"/>
      <c r="AP207" s="282"/>
      <c r="AQ207" s="282"/>
      <c r="AR207" s="282"/>
      <c r="AS207" s="282"/>
      <c r="AT207" s="282"/>
      <c r="AU207" s="282"/>
      <c r="AV207" s="282"/>
      <c r="AW207" s="282"/>
      <c r="AX207" s="282"/>
      <c r="AY207" s="282"/>
      <c r="AZ207" s="282"/>
      <c r="BA207" s="282"/>
      <c r="BB207" s="282"/>
      <c r="BC207" s="282"/>
      <c r="BD207" s="282"/>
      <c r="BE207" s="282"/>
      <c r="BF207" s="282"/>
      <c r="BG207" s="282"/>
      <c r="BH207" s="282"/>
      <c r="BI207" s="282"/>
      <c r="BJ207" s="282"/>
      <c r="BK207" s="282"/>
      <c r="BL207" s="282"/>
      <c r="BM207" s="282"/>
      <c r="BN207" s="282"/>
      <c r="BO207" s="282"/>
      <c r="BP207" s="282"/>
      <c r="BQ207" s="282"/>
      <c r="BR207" s="282"/>
      <c r="BS207" s="282"/>
      <c r="BT207" s="282"/>
      <c r="BU207" s="282"/>
      <c r="BV207" s="282"/>
      <c r="BW207" s="282"/>
      <c r="BX207" s="282"/>
      <c r="BY207" s="282"/>
      <c r="BZ207" s="282"/>
      <c r="CA207" s="282"/>
      <c r="CB207" s="282"/>
      <c r="CC207" s="282"/>
      <c r="CD207" s="282"/>
      <c r="CE207" s="282"/>
      <c r="CF207" s="282"/>
      <c r="CG207" s="282"/>
      <c r="CH207" s="282"/>
      <c r="CI207" s="282"/>
      <c r="CJ207" s="282"/>
      <c r="CK207" s="282"/>
      <c r="CL207" s="282"/>
      <c r="CM207" s="282"/>
      <c r="CN207" s="282"/>
      <c r="CO207" s="282"/>
      <c r="CP207" s="282"/>
      <c r="CQ207" s="282"/>
      <c r="CR207" s="282"/>
      <c r="CS207" s="282"/>
      <c r="CT207" s="282"/>
      <c r="CU207" s="282"/>
      <c r="CV207" s="282"/>
    </row>
    <row r="208" spans="1:100" s="283" customFormat="1" ht="12.75" outlineLevel="2" x14ac:dyDescent="0.2">
      <c r="A208" s="556"/>
      <c r="B208" s="556"/>
      <c r="C208" s="557"/>
      <c r="D208" s="115"/>
      <c r="E208" s="450" t="str">
        <f xml:space="preserve"> InpC!E$246</f>
        <v>Senior debt margin - T1 - year 16</v>
      </c>
      <c r="F208" s="450">
        <f xml:space="preserve"> InpC!F$246</f>
        <v>2.9000000000000001E-2</v>
      </c>
      <c r="G208" s="450" t="str">
        <f xml:space="preserve"> InpC!G$246</f>
        <v>% p.a.</v>
      </c>
      <c r="H208" s="282"/>
      <c r="I208" s="112"/>
      <c r="J208" s="282"/>
      <c r="K208" s="282"/>
      <c r="L208" s="282"/>
      <c r="M208" s="282"/>
      <c r="N208" s="282"/>
      <c r="O208" s="282"/>
      <c r="P208" s="282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  <c r="AF208" s="282"/>
      <c r="AG208" s="282"/>
      <c r="AH208" s="282"/>
      <c r="AI208" s="282"/>
      <c r="AJ208" s="282"/>
      <c r="AK208" s="282"/>
      <c r="AL208" s="282"/>
      <c r="AM208" s="282"/>
      <c r="AN208" s="282"/>
      <c r="AO208" s="282"/>
      <c r="AP208" s="282"/>
      <c r="AQ208" s="282"/>
      <c r="AR208" s="282"/>
      <c r="AS208" s="282"/>
      <c r="AT208" s="282"/>
      <c r="AU208" s="282"/>
      <c r="AV208" s="282"/>
      <c r="AW208" s="282"/>
      <c r="AX208" s="282"/>
      <c r="AY208" s="282"/>
      <c r="AZ208" s="282"/>
      <c r="BA208" s="282"/>
      <c r="BB208" s="282"/>
      <c r="BC208" s="282"/>
      <c r="BD208" s="282"/>
      <c r="BE208" s="282"/>
      <c r="BF208" s="282"/>
      <c r="BG208" s="282"/>
      <c r="BH208" s="282"/>
      <c r="BI208" s="282"/>
      <c r="BJ208" s="282"/>
      <c r="BK208" s="282"/>
      <c r="BL208" s="282"/>
      <c r="BM208" s="282"/>
      <c r="BN208" s="282"/>
      <c r="BO208" s="282"/>
      <c r="BP208" s="282"/>
      <c r="BQ208" s="282"/>
      <c r="BR208" s="282"/>
      <c r="BS208" s="282"/>
      <c r="BT208" s="282"/>
      <c r="BU208" s="282"/>
      <c r="BV208" s="282"/>
      <c r="BW208" s="282"/>
      <c r="BX208" s="282"/>
      <c r="BY208" s="282"/>
      <c r="BZ208" s="282"/>
      <c r="CA208" s="282"/>
      <c r="CB208" s="282"/>
      <c r="CC208" s="282"/>
      <c r="CD208" s="282"/>
      <c r="CE208" s="282"/>
      <c r="CF208" s="282"/>
      <c r="CG208" s="282"/>
      <c r="CH208" s="282"/>
      <c r="CI208" s="282"/>
      <c r="CJ208" s="282"/>
      <c r="CK208" s="282"/>
      <c r="CL208" s="282"/>
      <c r="CM208" s="282"/>
      <c r="CN208" s="282"/>
      <c r="CO208" s="282"/>
      <c r="CP208" s="282"/>
      <c r="CQ208" s="282"/>
      <c r="CR208" s="282"/>
      <c r="CS208" s="282"/>
      <c r="CT208" s="282"/>
      <c r="CU208" s="282"/>
      <c r="CV208" s="282"/>
    </row>
    <row r="209" spans="1:100" s="283" customFormat="1" ht="12.75" outlineLevel="2" x14ac:dyDescent="0.2">
      <c r="A209" s="556"/>
      <c r="B209" s="556"/>
      <c r="C209" s="557"/>
      <c r="D209" s="115"/>
      <c r="E209" s="450" t="str">
        <f xml:space="preserve"> InpC!E$247</f>
        <v>Senior debt margin - T1 - year 17</v>
      </c>
      <c r="F209" s="450">
        <f xml:space="preserve"> InpC!F$247</f>
        <v>2.9000000000000001E-2</v>
      </c>
      <c r="G209" s="450" t="str">
        <f xml:space="preserve"> InpC!G$247</f>
        <v>% p.a.</v>
      </c>
      <c r="H209" s="282"/>
      <c r="I209" s="112"/>
      <c r="J209" s="282"/>
      <c r="K209" s="282"/>
      <c r="L209" s="282"/>
      <c r="M209" s="282"/>
      <c r="N209" s="282"/>
      <c r="O209" s="282"/>
      <c r="P209" s="282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  <c r="AF209" s="282"/>
      <c r="AG209" s="282"/>
      <c r="AH209" s="282"/>
      <c r="AI209" s="282"/>
      <c r="AJ209" s="282"/>
      <c r="AK209" s="282"/>
      <c r="AL209" s="282"/>
      <c r="AM209" s="282"/>
      <c r="AN209" s="282"/>
      <c r="AO209" s="282"/>
      <c r="AP209" s="282"/>
      <c r="AQ209" s="282"/>
      <c r="AR209" s="282"/>
      <c r="AS209" s="282"/>
      <c r="AT209" s="282"/>
      <c r="AU209" s="282"/>
      <c r="AV209" s="282"/>
      <c r="AW209" s="282"/>
      <c r="AX209" s="282"/>
      <c r="AY209" s="282"/>
      <c r="AZ209" s="282"/>
      <c r="BA209" s="282"/>
      <c r="BB209" s="282"/>
      <c r="BC209" s="282"/>
      <c r="BD209" s="282"/>
      <c r="BE209" s="282"/>
      <c r="BF209" s="282"/>
      <c r="BG209" s="282"/>
      <c r="BH209" s="282"/>
      <c r="BI209" s="282"/>
      <c r="BJ209" s="282"/>
      <c r="BK209" s="282"/>
      <c r="BL209" s="282"/>
      <c r="BM209" s="282"/>
      <c r="BN209" s="282"/>
      <c r="BO209" s="282"/>
      <c r="BP209" s="282"/>
      <c r="BQ209" s="282"/>
      <c r="BR209" s="282"/>
      <c r="BS209" s="282"/>
      <c r="BT209" s="282"/>
      <c r="BU209" s="282"/>
      <c r="BV209" s="282"/>
      <c r="BW209" s="282"/>
      <c r="BX209" s="282"/>
      <c r="BY209" s="282"/>
      <c r="BZ209" s="282"/>
      <c r="CA209" s="282"/>
      <c r="CB209" s="282"/>
      <c r="CC209" s="282"/>
      <c r="CD209" s="282"/>
      <c r="CE209" s="282"/>
      <c r="CF209" s="282"/>
      <c r="CG209" s="282"/>
      <c r="CH209" s="282"/>
      <c r="CI209" s="282"/>
      <c r="CJ209" s="282"/>
      <c r="CK209" s="282"/>
      <c r="CL209" s="282"/>
      <c r="CM209" s="282"/>
      <c r="CN209" s="282"/>
      <c r="CO209" s="282"/>
      <c r="CP209" s="282"/>
      <c r="CQ209" s="282"/>
      <c r="CR209" s="282"/>
      <c r="CS209" s="282"/>
      <c r="CT209" s="282"/>
      <c r="CU209" s="282"/>
      <c r="CV209" s="282"/>
    </row>
    <row r="210" spans="1:100" s="283" customFormat="1" ht="12.75" outlineLevel="2" x14ac:dyDescent="0.2">
      <c r="A210" s="556"/>
      <c r="B210" s="556"/>
      <c r="C210" s="557"/>
      <c r="D210" s="115"/>
      <c r="E210" s="450" t="str">
        <f xml:space="preserve"> InpC!E$248</f>
        <v>Senior debt margin - T1 - year 18</v>
      </c>
      <c r="F210" s="450">
        <f xml:space="preserve"> InpC!F$248</f>
        <v>2.9000000000000001E-2</v>
      </c>
      <c r="G210" s="450" t="str">
        <f xml:space="preserve"> InpC!G$248</f>
        <v>% p.a.</v>
      </c>
      <c r="H210" s="282"/>
      <c r="I210" s="112"/>
      <c r="J210" s="282"/>
      <c r="K210" s="282"/>
      <c r="L210" s="282"/>
      <c r="M210" s="282"/>
      <c r="N210" s="282"/>
      <c r="O210" s="282"/>
      <c r="P210" s="282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  <c r="AF210" s="282"/>
      <c r="AG210" s="282"/>
      <c r="AH210" s="282"/>
      <c r="AI210" s="282"/>
      <c r="AJ210" s="282"/>
      <c r="AK210" s="282"/>
      <c r="AL210" s="282"/>
      <c r="AM210" s="282"/>
      <c r="AN210" s="282"/>
      <c r="AO210" s="282"/>
      <c r="AP210" s="282"/>
      <c r="AQ210" s="282"/>
      <c r="AR210" s="282"/>
      <c r="AS210" s="282"/>
      <c r="AT210" s="282"/>
      <c r="AU210" s="282"/>
      <c r="AV210" s="282"/>
      <c r="AW210" s="282"/>
      <c r="AX210" s="282"/>
      <c r="AY210" s="282"/>
      <c r="AZ210" s="282"/>
      <c r="BA210" s="282"/>
      <c r="BB210" s="282"/>
      <c r="BC210" s="282"/>
      <c r="BD210" s="282"/>
      <c r="BE210" s="282"/>
      <c r="BF210" s="282"/>
      <c r="BG210" s="282"/>
      <c r="BH210" s="282"/>
      <c r="BI210" s="282"/>
      <c r="BJ210" s="282"/>
      <c r="BK210" s="282"/>
      <c r="BL210" s="282"/>
      <c r="BM210" s="282"/>
      <c r="BN210" s="282"/>
      <c r="BO210" s="282"/>
      <c r="BP210" s="282"/>
      <c r="BQ210" s="282"/>
      <c r="BR210" s="282"/>
      <c r="BS210" s="282"/>
      <c r="BT210" s="282"/>
      <c r="BU210" s="282"/>
      <c r="BV210" s="282"/>
      <c r="BW210" s="282"/>
      <c r="BX210" s="282"/>
      <c r="BY210" s="282"/>
      <c r="BZ210" s="282"/>
      <c r="CA210" s="282"/>
      <c r="CB210" s="282"/>
      <c r="CC210" s="282"/>
      <c r="CD210" s="282"/>
      <c r="CE210" s="282"/>
      <c r="CF210" s="282"/>
      <c r="CG210" s="282"/>
      <c r="CH210" s="282"/>
      <c r="CI210" s="282"/>
      <c r="CJ210" s="282"/>
      <c r="CK210" s="282"/>
      <c r="CL210" s="282"/>
      <c r="CM210" s="282"/>
      <c r="CN210" s="282"/>
      <c r="CO210" s="282"/>
      <c r="CP210" s="282"/>
      <c r="CQ210" s="282"/>
      <c r="CR210" s="282"/>
      <c r="CS210" s="282"/>
      <c r="CT210" s="282"/>
      <c r="CU210" s="282"/>
      <c r="CV210" s="282"/>
    </row>
    <row r="211" spans="1:100" s="283" customFormat="1" ht="12.75" outlineLevel="2" x14ac:dyDescent="0.2">
      <c r="A211" s="556"/>
      <c r="B211" s="556"/>
      <c r="C211" s="557"/>
      <c r="D211" s="115"/>
      <c r="E211" s="450" t="str">
        <f xml:space="preserve"> InpC!E$249</f>
        <v>Senior debt margin - T1 - year 19</v>
      </c>
      <c r="F211" s="450">
        <f xml:space="preserve"> InpC!F$249</f>
        <v>2.9000000000000001E-2</v>
      </c>
      <c r="G211" s="450" t="str">
        <f xml:space="preserve"> InpC!G$249</f>
        <v>% p.a.</v>
      </c>
      <c r="H211" s="282"/>
      <c r="I211" s="112"/>
      <c r="J211" s="282"/>
      <c r="K211" s="282"/>
      <c r="L211" s="282"/>
      <c r="M211" s="282"/>
      <c r="N211" s="282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  <c r="AF211" s="282"/>
      <c r="AG211" s="282"/>
      <c r="AH211" s="282"/>
      <c r="AI211" s="282"/>
      <c r="AJ211" s="282"/>
      <c r="AK211" s="282"/>
      <c r="AL211" s="282"/>
      <c r="AM211" s="282"/>
      <c r="AN211" s="282"/>
      <c r="AO211" s="282"/>
      <c r="AP211" s="282"/>
      <c r="AQ211" s="282"/>
      <c r="AR211" s="282"/>
      <c r="AS211" s="282"/>
      <c r="AT211" s="282"/>
      <c r="AU211" s="282"/>
      <c r="AV211" s="282"/>
      <c r="AW211" s="282"/>
      <c r="AX211" s="282"/>
      <c r="AY211" s="282"/>
      <c r="AZ211" s="282"/>
      <c r="BA211" s="282"/>
      <c r="BB211" s="282"/>
      <c r="BC211" s="282"/>
      <c r="BD211" s="282"/>
      <c r="BE211" s="282"/>
      <c r="BF211" s="282"/>
      <c r="BG211" s="282"/>
      <c r="BH211" s="282"/>
      <c r="BI211" s="282"/>
      <c r="BJ211" s="282"/>
      <c r="BK211" s="282"/>
      <c r="BL211" s="282"/>
      <c r="BM211" s="282"/>
      <c r="BN211" s="282"/>
      <c r="BO211" s="282"/>
      <c r="BP211" s="282"/>
      <c r="BQ211" s="282"/>
      <c r="BR211" s="282"/>
      <c r="BS211" s="282"/>
      <c r="BT211" s="282"/>
      <c r="BU211" s="282"/>
      <c r="BV211" s="282"/>
      <c r="BW211" s="282"/>
      <c r="BX211" s="282"/>
      <c r="BY211" s="282"/>
      <c r="BZ211" s="282"/>
      <c r="CA211" s="282"/>
      <c r="CB211" s="282"/>
      <c r="CC211" s="282"/>
      <c r="CD211" s="282"/>
      <c r="CE211" s="282"/>
      <c r="CF211" s="282"/>
      <c r="CG211" s="282"/>
      <c r="CH211" s="282"/>
      <c r="CI211" s="282"/>
      <c r="CJ211" s="282"/>
      <c r="CK211" s="282"/>
      <c r="CL211" s="282"/>
      <c r="CM211" s="282"/>
      <c r="CN211" s="282"/>
      <c r="CO211" s="282"/>
      <c r="CP211" s="282"/>
      <c r="CQ211" s="282"/>
      <c r="CR211" s="282"/>
      <c r="CS211" s="282"/>
      <c r="CT211" s="282"/>
      <c r="CU211" s="282"/>
      <c r="CV211" s="282"/>
    </row>
    <row r="212" spans="1:100" s="283" customFormat="1" ht="12.75" outlineLevel="2" x14ac:dyDescent="0.2">
      <c r="A212" s="556"/>
      <c r="B212" s="556"/>
      <c r="C212" s="557"/>
      <c r="D212" s="115"/>
      <c r="E212" s="450" t="str">
        <f xml:space="preserve"> InpC!E$250</f>
        <v>Senior debt margin - T1 - year 20</v>
      </c>
      <c r="F212" s="450">
        <f xml:space="preserve"> InpC!F$250</f>
        <v>2.9000000000000001E-2</v>
      </c>
      <c r="G212" s="450" t="str">
        <f xml:space="preserve"> InpC!G$250</f>
        <v>% p.a.</v>
      </c>
      <c r="H212" s="282"/>
      <c r="I212" s="112"/>
      <c r="J212" s="282"/>
      <c r="K212" s="282"/>
      <c r="L212" s="282"/>
      <c r="M212" s="282"/>
      <c r="N212" s="282"/>
      <c r="O212" s="282"/>
      <c r="P212" s="282"/>
      <c r="Q212" s="282"/>
      <c r="R212" s="282"/>
      <c r="S212" s="282"/>
      <c r="T212" s="282"/>
      <c r="U212" s="282"/>
      <c r="V212" s="282"/>
      <c r="W212" s="282"/>
      <c r="X212" s="282"/>
      <c r="Y212" s="282"/>
      <c r="Z212" s="282"/>
      <c r="AA212" s="282"/>
      <c r="AB212" s="282"/>
      <c r="AC212" s="282"/>
      <c r="AD212" s="282"/>
      <c r="AE212" s="282"/>
      <c r="AF212" s="282"/>
      <c r="AG212" s="282"/>
      <c r="AH212" s="282"/>
      <c r="AI212" s="282"/>
      <c r="AJ212" s="282"/>
      <c r="AK212" s="282"/>
      <c r="AL212" s="282"/>
      <c r="AM212" s="282"/>
      <c r="AN212" s="282"/>
      <c r="AO212" s="282"/>
      <c r="AP212" s="282"/>
      <c r="AQ212" s="282"/>
      <c r="AR212" s="282"/>
      <c r="AS212" s="282"/>
      <c r="AT212" s="282"/>
      <c r="AU212" s="282"/>
      <c r="AV212" s="282"/>
      <c r="AW212" s="282"/>
      <c r="AX212" s="282"/>
      <c r="AY212" s="282"/>
      <c r="AZ212" s="282"/>
      <c r="BA212" s="282"/>
      <c r="BB212" s="282"/>
      <c r="BC212" s="282"/>
      <c r="BD212" s="282"/>
      <c r="BE212" s="282"/>
      <c r="BF212" s="282"/>
      <c r="BG212" s="282"/>
      <c r="BH212" s="282"/>
      <c r="BI212" s="282"/>
      <c r="BJ212" s="282"/>
      <c r="BK212" s="282"/>
      <c r="BL212" s="282"/>
      <c r="BM212" s="282"/>
      <c r="BN212" s="282"/>
      <c r="BO212" s="282"/>
      <c r="BP212" s="282"/>
      <c r="BQ212" s="282"/>
      <c r="BR212" s="282"/>
      <c r="BS212" s="282"/>
      <c r="BT212" s="282"/>
      <c r="BU212" s="282"/>
      <c r="BV212" s="282"/>
      <c r="BW212" s="282"/>
      <c r="BX212" s="282"/>
      <c r="BY212" s="282"/>
      <c r="BZ212" s="282"/>
      <c r="CA212" s="282"/>
      <c r="CB212" s="282"/>
      <c r="CC212" s="282"/>
      <c r="CD212" s="282"/>
      <c r="CE212" s="282"/>
      <c r="CF212" s="282"/>
      <c r="CG212" s="282"/>
      <c r="CH212" s="282"/>
      <c r="CI212" s="282"/>
      <c r="CJ212" s="282"/>
      <c r="CK212" s="282"/>
      <c r="CL212" s="282"/>
      <c r="CM212" s="282"/>
      <c r="CN212" s="282"/>
      <c r="CO212" s="282"/>
      <c r="CP212" s="282"/>
      <c r="CQ212" s="282"/>
      <c r="CR212" s="282"/>
      <c r="CS212" s="282"/>
      <c r="CT212" s="282"/>
      <c r="CU212" s="282"/>
      <c r="CV212" s="282"/>
    </row>
    <row r="213" spans="1:100" s="283" customFormat="1" ht="12.75" outlineLevel="2" x14ac:dyDescent="0.2">
      <c r="A213" s="556"/>
      <c r="B213" s="556"/>
      <c r="C213" s="557"/>
      <c r="D213" s="115"/>
      <c r="E213" s="450" t="str">
        <f xml:space="preserve"> InpC!E$251</f>
        <v>Senior debt margin - T1 - year 21</v>
      </c>
      <c r="F213" s="450">
        <f xml:space="preserve"> InpC!F$251</f>
        <v>2.9000000000000001E-2</v>
      </c>
      <c r="G213" s="450" t="str">
        <f xml:space="preserve"> InpC!G$251</f>
        <v>% p.a.</v>
      </c>
      <c r="H213" s="282"/>
      <c r="I213" s="112"/>
      <c r="J213" s="282"/>
      <c r="K213" s="282"/>
      <c r="L213" s="282"/>
      <c r="M213" s="282"/>
      <c r="N213" s="282"/>
      <c r="O213" s="282"/>
      <c r="P213" s="282"/>
      <c r="Q213" s="282"/>
      <c r="R213" s="282"/>
      <c r="S213" s="282"/>
      <c r="T213" s="282"/>
      <c r="U213" s="282"/>
      <c r="V213" s="282"/>
      <c r="W213" s="282"/>
      <c r="X213" s="282"/>
      <c r="Y213" s="282"/>
      <c r="Z213" s="282"/>
      <c r="AA213" s="282"/>
      <c r="AB213" s="282"/>
      <c r="AC213" s="282"/>
      <c r="AD213" s="282"/>
      <c r="AE213" s="282"/>
      <c r="AF213" s="282"/>
      <c r="AG213" s="282"/>
      <c r="AH213" s="282"/>
      <c r="AI213" s="282"/>
      <c r="AJ213" s="282"/>
      <c r="AK213" s="282"/>
      <c r="AL213" s="282"/>
      <c r="AM213" s="282"/>
      <c r="AN213" s="282"/>
      <c r="AO213" s="282"/>
      <c r="AP213" s="282"/>
      <c r="AQ213" s="282"/>
      <c r="AR213" s="282"/>
      <c r="AS213" s="282"/>
      <c r="AT213" s="282"/>
      <c r="AU213" s="282"/>
      <c r="AV213" s="282"/>
      <c r="AW213" s="282"/>
      <c r="AX213" s="282"/>
      <c r="AY213" s="282"/>
      <c r="AZ213" s="282"/>
      <c r="BA213" s="282"/>
      <c r="BB213" s="282"/>
      <c r="BC213" s="282"/>
      <c r="BD213" s="282"/>
      <c r="BE213" s="282"/>
      <c r="BF213" s="282"/>
      <c r="BG213" s="282"/>
      <c r="BH213" s="282"/>
      <c r="BI213" s="282"/>
      <c r="BJ213" s="282"/>
      <c r="BK213" s="282"/>
      <c r="BL213" s="282"/>
      <c r="BM213" s="282"/>
      <c r="BN213" s="282"/>
      <c r="BO213" s="282"/>
      <c r="BP213" s="282"/>
      <c r="BQ213" s="282"/>
      <c r="BR213" s="282"/>
      <c r="BS213" s="282"/>
      <c r="BT213" s="282"/>
      <c r="BU213" s="282"/>
      <c r="BV213" s="282"/>
      <c r="BW213" s="282"/>
      <c r="BX213" s="282"/>
      <c r="BY213" s="282"/>
      <c r="BZ213" s="282"/>
      <c r="CA213" s="282"/>
      <c r="CB213" s="282"/>
      <c r="CC213" s="282"/>
      <c r="CD213" s="282"/>
      <c r="CE213" s="282"/>
      <c r="CF213" s="282"/>
      <c r="CG213" s="282"/>
      <c r="CH213" s="282"/>
      <c r="CI213" s="282"/>
      <c r="CJ213" s="282"/>
      <c r="CK213" s="282"/>
      <c r="CL213" s="282"/>
      <c r="CM213" s="282"/>
      <c r="CN213" s="282"/>
      <c r="CO213" s="282"/>
      <c r="CP213" s="282"/>
      <c r="CQ213" s="282"/>
      <c r="CR213" s="282"/>
      <c r="CS213" s="282"/>
      <c r="CT213" s="282"/>
      <c r="CU213" s="282"/>
      <c r="CV213" s="282"/>
    </row>
    <row r="214" spans="1:100" s="283" customFormat="1" ht="12.75" outlineLevel="2" x14ac:dyDescent="0.2">
      <c r="A214" s="556"/>
      <c r="B214" s="556"/>
      <c r="C214" s="557"/>
      <c r="D214" s="115"/>
      <c r="E214" s="450" t="str">
        <f xml:space="preserve"> InpC!E$252</f>
        <v>Senior debt margin - T1 - year 22</v>
      </c>
      <c r="F214" s="450">
        <f xml:space="preserve"> InpC!F$252</f>
        <v>2.9000000000000001E-2</v>
      </c>
      <c r="G214" s="450" t="str">
        <f xml:space="preserve"> InpC!G$252</f>
        <v>% p.a.</v>
      </c>
      <c r="H214" s="282"/>
      <c r="I214" s="112"/>
      <c r="J214" s="282"/>
      <c r="K214" s="282"/>
      <c r="L214" s="282"/>
      <c r="M214" s="282"/>
      <c r="N214" s="282"/>
      <c r="O214" s="282"/>
      <c r="P214" s="282"/>
      <c r="Q214" s="282"/>
      <c r="R214" s="282"/>
      <c r="S214" s="282"/>
      <c r="T214" s="282"/>
      <c r="U214" s="282"/>
      <c r="V214" s="282"/>
      <c r="W214" s="282"/>
      <c r="X214" s="282"/>
      <c r="Y214" s="282"/>
      <c r="Z214" s="282"/>
      <c r="AA214" s="282"/>
      <c r="AB214" s="282"/>
      <c r="AC214" s="282"/>
      <c r="AD214" s="282"/>
      <c r="AE214" s="282"/>
      <c r="AF214" s="282"/>
      <c r="AG214" s="282"/>
      <c r="AH214" s="282"/>
      <c r="AI214" s="282"/>
      <c r="AJ214" s="282"/>
      <c r="AK214" s="282"/>
      <c r="AL214" s="282"/>
      <c r="AM214" s="282"/>
      <c r="AN214" s="282"/>
      <c r="AO214" s="282"/>
      <c r="AP214" s="282"/>
      <c r="AQ214" s="282"/>
      <c r="AR214" s="282"/>
      <c r="AS214" s="282"/>
      <c r="AT214" s="282"/>
      <c r="AU214" s="282"/>
      <c r="AV214" s="282"/>
      <c r="AW214" s="282"/>
      <c r="AX214" s="282"/>
      <c r="AY214" s="282"/>
      <c r="AZ214" s="282"/>
      <c r="BA214" s="282"/>
      <c r="BB214" s="282"/>
      <c r="BC214" s="282"/>
      <c r="BD214" s="282"/>
      <c r="BE214" s="282"/>
      <c r="BF214" s="282"/>
      <c r="BG214" s="282"/>
      <c r="BH214" s="282"/>
      <c r="BI214" s="282"/>
      <c r="BJ214" s="282"/>
      <c r="BK214" s="282"/>
      <c r="BL214" s="282"/>
      <c r="BM214" s="282"/>
      <c r="BN214" s="282"/>
      <c r="BO214" s="282"/>
      <c r="BP214" s="282"/>
      <c r="BQ214" s="282"/>
      <c r="BR214" s="282"/>
      <c r="BS214" s="282"/>
      <c r="BT214" s="282"/>
      <c r="BU214" s="282"/>
      <c r="BV214" s="282"/>
      <c r="BW214" s="282"/>
      <c r="BX214" s="282"/>
      <c r="BY214" s="282"/>
      <c r="BZ214" s="282"/>
      <c r="CA214" s="282"/>
      <c r="CB214" s="282"/>
      <c r="CC214" s="282"/>
      <c r="CD214" s="282"/>
      <c r="CE214" s="282"/>
      <c r="CF214" s="282"/>
      <c r="CG214" s="282"/>
      <c r="CH214" s="282"/>
      <c r="CI214" s="282"/>
      <c r="CJ214" s="282"/>
      <c r="CK214" s="282"/>
      <c r="CL214" s="282"/>
      <c r="CM214" s="282"/>
      <c r="CN214" s="282"/>
      <c r="CO214" s="282"/>
      <c r="CP214" s="282"/>
      <c r="CQ214" s="282"/>
      <c r="CR214" s="282"/>
      <c r="CS214" s="282"/>
      <c r="CT214" s="282"/>
      <c r="CU214" s="282"/>
      <c r="CV214" s="282"/>
    </row>
    <row r="215" spans="1:100" s="283" customFormat="1" ht="12.75" outlineLevel="2" x14ac:dyDescent="0.2">
      <c r="A215" s="556"/>
      <c r="B215" s="556"/>
      <c r="C215" s="557"/>
      <c r="D215" s="115"/>
      <c r="E215" s="450" t="str">
        <f xml:space="preserve"> InpC!E$253</f>
        <v>Senior debt margin - T1 - year 23</v>
      </c>
      <c r="F215" s="450">
        <f xml:space="preserve"> InpC!F$253</f>
        <v>2.9000000000000001E-2</v>
      </c>
      <c r="G215" s="450" t="str">
        <f xml:space="preserve"> InpC!G$253</f>
        <v>% p.a.</v>
      </c>
      <c r="H215" s="282"/>
      <c r="I215" s="112"/>
      <c r="J215" s="282"/>
      <c r="K215" s="282"/>
      <c r="L215" s="282"/>
      <c r="M215" s="282"/>
      <c r="N215" s="282"/>
      <c r="O215" s="282"/>
      <c r="P215" s="282"/>
      <c r="Q215" s="282"/>
      <c r="R215" s="282"/>
      <c r="S215" s="282"/>
      <c r="T215" s="282"/>
      <c r="U215" s="282"/>
      <c r="V215" s="282"/>
      <c r="W215" s="282"/>
      <c r="X215" s="282"/>
      <c r="Y215" s="282"/>
      <c r="Z215" s="282"/>
      <c r="AA215" s="282"/>
      <c r="AB215" s="282"/>
      <c r="AC215" s="282"/>
      <c r="AD215" s="282"/>
      <c r="AE215" s="282"/>
      <c r="AF215" s="282"/>
      <c r="AG215" s="282"/>
      <c r="AH215" s="282"/>
      <c r="AI215" s="282"/>
      <c r="AJ215" s="282"/>
      <c r="AK215" s="282"/>
      <c r="AL215" s="282"/>
      <c r="AM215" s="282"/>
      <c r="AN215" s="282"/>
      <c r="AO215" s="282"/>
      <c r="AP215" s="282"/>
      <c r="AQ215" s="282"/>
      <c r="AR215" s="282"/>
      <c r="AS215" s="282"/>
      <c r="AT215" s="282"/>
      <c r="AU215" s="282"/>
      <c r="AV215" s="282"/>
      <c r="AW215" s="282"/>
      <c r="AX215" s="282"/>
      <c r="AY215" s="282"/>
      <c r="AZ215" s="282"/>
      <c r="BA215" s="282"/>
      <c r="BB215" s="282"/>
      <c r="BC215" s="282"/>
      <c r="BD215" s="282"/>
      <c r="BE215" s="282"/>
      <c r="BF215" s="282"/>
      <c r="BG215" s="282"/>
      <c r="BH215" s="282"/>
      <c r="BI215" s="282"/>
      <c r="BJ215" s="282"/>
      <c r="BK215" s="282"/>
      <c r="BL215" s="282"/>
      <c r="BM215" s="282"/>
      <c r="BN215" s="282"/>
      <c r="BO215" s="282"/>
      <c r="BP215" s="282"/>
      <c r="BQ215" s="282"/>
      <c r="BR215" s="282"/>
      <c r="BS215" s="282"/>
      <c r="BT215" s="282"/>
      <c r="BU215" s="282"/>
      <c r="BV215" s="282"/>
      <c r="BW215" s="282"/>
      <c r="BX215" s="282"/>
      <c r="BY215" s="282"/>
      <c r="BZ215" s="282"/>
      <c r="CA215" s="282"/>
      <c r="CB215" s="282"/>
      <c r="CC215" s="282"/>
      <c r="CD215" s="282"/>
      <c r="CE215" s="282"/>
      <c r="CF215" s="282"/>
      <c r="CG215" s="282"/>
      <c r="CH215" s="282"/>
      <c r="CI215" s="282"/>
      <c r="CJ215" s="282"/>
      <c r="CK215" s="282"/>
      <c r="CL215" s="282"/>
      <c r="CM215" s="282"/>
      <c r="CN215" s="282"/>
      <c r="CO215" s="282"/>
      <c r="CP215" s="282"/>
      <c r="CQ215" s="282"/>
      <c r="CR215" s="282"/>
      <c r="CS215" s="282"/>
      <c r="CT215" s="282"/>
      <c r="CU215" s="282"/>
      <c r="CV215" s="282"/>
    </row>
    <row r="216" spans="1:100" s="283" customFormat="1" ht="12.75" outlineLevel="2" x14ac:dyDescent="0.2">
      <c r="A216" s="556"/>
      <c r="B216" s="556"/>
      <c r="C216" s="557"/>
      <c r="D216" s="115"/>
      <c r="E216" s="450" t="str">
        <f xml:space="preserve"> InpC!E$254</f>
        <v>Senior debt margin - T1 - year 24</v>
      </c>
      <c r="F216" s="450">
        <f xml:space="preserve"> InpC!F$254</f>
        <v>2.9000000000000001E-2</v>
      </c>
      <c r="G216" s="450" t="str">
        <f xml:space="preserve"> InpC!G$254</f>
        <v>% p.a.</v>
      </c>
      <c r="H216" s="282"/>
      <c r="I216" s="112"/>
      <c r="J216" s="282"/>
      <c r="K216" s="282"/>
      <c r="L216" s="282"/>
      <c r="M216" s="282"/>
      <c r="N216" s="282"/>
      <c r="O216" s="282"/>
      <c r="P216" s="282"/>
      <c r="Q216" s="282"/>
      <c r="R216" s="282"/>
      <c r="S216" s="282"/>
      <c r="T216" s="282"/>
      <c r="U216" s="282"/>
      <c r="V216" s="282"/>
      <c r="W216" s="282"/>
      <c r="X216" s="282"/>
      <c r="Y216" s="282"/>
      <c r="Z216" s="282"/>
      <c r="AA216" s="282"/>
      <c r="AB216" s="282"/>
      <c r="AC216" s="282"/>
      <c r="AD216" s="282"/>
      <c r="AE216" s="282"/>
      <c r="AF216" s="282"/>
      <c r="AG216" s="282"/>
      <c r="AH216" s="282"/>
      <c r="AI216" s="282"/>
      <c r="AJ216" s="282"/>
      <c r="AK216" s="282"/>
      <c r="AL216" s="282"/>
      <c r="AM216" s="282"/>
      <c r="AN216" s="282"/>
      <c r="AO216" s="282"/>
      <c r="AP216" s="282"/>
      <c r="AQ216" s="282"/>
      <c r="AR216" s="282"/>
      <c r="AS216" s="282"/>
      <c r="AT216" s="282"/>
      <c r="AU216" s="282"/>
      <c r="AV216" s="282"/>
      <c r="AW216" s="282"/>
      <c r="AX216" s="282"/>
      <c r="AY216" s="282"/>
      <c r="AZ216" s="282"/>
      <c r="BA216" s="282"/>
      <c r="BB216" s="282"/>
      <c r="BC216" s="282"/>
      <c r="BD216" s="282"/>
      <c r="BE216" s="282"/>
      <c r="BF216" s="282"/>
      <c r="BG216" s="282"/>
      <c r="BH216" s="282"/>
      <c r="BI216" s="282"/>
      <c r="BJ216" s="282"/>
      <c r="BK216" s="282"/>
      <c r="BL216" s="282"/>
      <c r="BM216" s="282"/>
      <c r="BN216" s="282"/>
      <c r="BO216" s="282"/>
      <c r="BP216" s="282"/>
      <c r="BQ216" s="282"/>
      <c r="BR216" s="282"/>
      <c r="BS216" s="282"/>
      <c r="BT216" s="282"/>
      <c r="BU216" s="282"/>
      <c r="BV216" s="282"/>
      <c r="BW216" s="282"/>
      <c r="BX216" s="282"/>
      <c r="BY216" s="282"/>
      <c r="BZ216" s="282"/>
      <c r="CA216" s="282"/>
      <c r="CB216" s="282"/>
      <c r="CC216" s="282"/>
      <c r="CD216" s="282"/>
      <c r="CE216" s="282"/>
      <c r="CF216" s="282"/>
      <c r="CG216" s="282"/>
      <c r="CH216" s="282"/>
      <c r="CI216" s="282"/>
      <c r="CJ216" s="282"/>
      <c r="CK216" s="282"/>
      <c r="CL216" s="282"/>
      <c r="CM216" s="282"/>
      <c r="CN216" s="282"/>
      <c r="CO216" s="282"/>
      <c r="CP216" s="282"/>
      <c r="CQ216" s="282"/>
      <c r="CR216" s="282"/>
      <c r="CS216" s="282"/>
      <c r="CT216" s="282"/>
      <c r="CU216" s="282"/>
      <c r="CV216" s="282"/>
    </row>
    <row r="217" spans="1:100" s="283" customFormat="1" ht="12.75" outlineLevel="2" x14ac:dyDescent="0.2">
      <c r="A217" s="556"/>
      <c r="B217" s="556"/>
      <c r="C217" s="557"/>
      <c r="D217" s="115"/>
      <c r="E217" s="450" t="str">
        <f xml:space="preserve"> InpC!E$255</f>
        <v>Senior debt margin - T1 - year 25</v>
      </c>
      <c r="F217" s="450">
        <f xml:space="preserve"> InpC!F$255</f>
        <v>2.9000000000000001E-2</v>
      </c>
      <c r="G217" s="450" t="str">
        <f xml:space="preserve"> InpC!G$255</f>
        <v>% p.a.</v>
      </c>
      <c r="H217" s="282"/>
      <c r="I217" s="112"/>
      <c r="J217" s="282"/>
      <c r="K217" s="282"/>
      <c r="L217" s="282"/>
      <c r="M217" s="282"/>
      <c r="N217" s="282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  <c r="AF217" s="282"/>
      <c r="AG217" s="282"/>
      <c r="AH217" s="282"/>
      <c r="AI217" s="282"/>
      <c r="AJ217" s="282"/>
      <c r="AK217" s="282"/>
      <c r="AL217" s="282"/>
      <c r="AM217" s="282"/>
      <c r="AN217" s="282"/>
      <c r="AO217" s="282"/>
      <c r="AP217" s="282"/>
      <c r="AQ217" s="282"/>
      <c r="AR217" s="282"/>
      <c r="AS217" s="282"/>
      <c r="AT217" s="282"/>
      <c r="AU217" s="282"/>
      <c r="AV217" s="282"/>
      <c r="AW217" s="282"/>
      <c r="AX217" s="282"/>
      <c r="AY217" s="282"/>
      <c r="AZ217" s="282"/>
      <c r="BA217" s="282"/>
      <c r="BB217" s="282"/>
      <c r="BC217" s="282"/>
      <c r="BD217" s="282"/>
      <c r="BE217" s="282"/>
      <c r="BF217" s="282"/>
      <c r="BG217" s="282"/>
      <c r="BH217" s="282"/>
      <c r="BI217" s="282"/>
      <c r="BJ217" s="282"/>
      <c r="BK217" s="282"/>
      <c r="BL217" s="282"/>
      <c r="BM217" s="282"/>
      <c r="BN217" s="282"/>
      <c r="BO217" s="282"/>
      <c r="BP217" s="282"/>
      <c r="BQ217" s="282"/>
      <c r="BR217" s="282"/>
      <c r="BS217" s="282"/>
      <c r="BT217" s="282"/>
      <c r="BU217" s="282"/>
      <c r="BV217" s="282"/>
      <c r="BW217" s="282"/>
      <c r="BX217" s="282"/>
      <c r="BY217" s="282"/>
      <c r="BZ217" s="282"/>
      <c r="CA217" s="282"/>
      <c r="CB217" s="282"/>
      <c r="CC217" s="282"/>
      <c r="CD217" s="282"/>
      <c r="CE217" s="282"/>
      <c r="CF217" s="282"/>
      <c r="CG217" s="282"/>
      <c r="CH217" s="282"/>
      <c r="CI217" s="282"/>
      <c r="CJ217" s="282"/>
      <c r="CK217" s="282"/>
      <c r="CL217" s="282"/>
      <c r="CM217" s="282"/>
      <c r="CN217" s="282"/>
      <c r="CO217" s="282"/>
      <c r="CP217" s="282"/>
      <c r="CQ217" s="282"/>
      <c r="CR217" s="282"/>
      <c r="CS217" s="282"/>
      <c r="CT217" s="282"/>
      <c r="CU217" s="282"/>
      <c r="CV217" s="282"/>
    </row>
    <row r="218" spans="1:100" ht="12.75" outlineLevel="2" x14ac:dyDescent="0.2">
      <c r="E218" s="189" t="str">
        <f xml:space="preserve"> Time!E$239</f>
        <v>Contract year number</v>
      </c>
      <c r="F218" s="189">
        <f xml:space="preserve"> Time!F$239</f>
        <v>0</v>
      </c>
      <c r="G218" s="189" t="str">
        <f xml:space="preserve"> Time!G$239</f>
        <v>counter</v>
      </c>
      <c r="H218" s="189">
        <f xml:space="preserve"> Time!H$239</f>
        <v>0</v>
      </c>
      <c r="I218" s="189">
        <f xml:space="preserve"> Time!I$239</f>
        <v>0</v>
      </c>
      <c r="J218" s="189">
        <f xml:space="preserve"> Time!J$239</f>
        <v>0</v>
      </c>
      <c r="K218" s="189">
        <f xml:space="preserve"> Time!K$239</f>
        <v>0</v>
      </c>
      <c r="L218" s="189">
        <f xml:space="preserve"> Time!L$239</f>
        <v>0</v>
      </c>
      <c r="M218" s="189">
        <f xml:space="preserve"> Time!M$239</f>
        <v>0</v>
      </c>
      <c r="N218" s="189">
        <f xml:space="preserve"> Time!N$239</f>
        <v>0</v>
      </c>
      <c r="O218" s="189">
        <f xml:space="preserve"> Time!O$239</f>
        <v>1</v>
      </c>
      <c r="P218" s="189">
        <f xml:space="preserve"> Time!P$239</f>
        <v>1</v>
      </c>
      <c r="Q218" s="189">
        <f xml:space="preserve"> Time!Q$239</f>
        <v>2</v>
      </c>
      <c r="R218" s="189">
        <f xml:space="preserve"> Time!R$239</f>
        <v>2</v>
      </c>
      <c r="S218" s="189">
        <f xml:space="preserve"> Time!S$239</f>
        <v>3</v>
      </c>
      <c r="T218" s="189">
        <f xml:space="preserve"> Time!T$239</f>
        <v>3</v>
      </c>
      <c r="U218" s="189">
        <f xml:space="preserve"> Time!U$239</f>
        <v>4</v>
      </c>
      <c r="V218" s="189">
        <f xml:space="preserve"> Time!V$239</f>
        <v>4</v>
      </c>
      <c r="W218" s="189">
        <f xml:space="preserve"> Time!W$239</f>
        <v>5</v>
      </c>
      <c r="X218" s="189">
        <f xml:space="preserve"> Time!X$239</f>
        <v>5</v>
      </c>
      <c r="Y218" s="189">
        <f xml:space="preserve"> Time!Y$239</f>
        <v>6</v>
      </c>
      <c r="Z218" s="189">
        <f xml:space="preserve"> Time!Z$239</f>
        <v>6</v>
      </c>
      <c r="AA218" s="189">
        <f xml:space="preserve"> Time!AA$239</f>
        <v>7</v>
      </c>
      <c r="AB218" s="189">
        <f xml:space="preserve"> Time!AB$239</f>
        <v>7</v>
      </c>
      <c r="AC218" s="189">
        <f xml:space="preserve"> Time!AC$239</f>
        <v>8</v>
      </c>
      <c r="AD218" s="189">
        <f xml:space="preserve"> Time!AD$239</f>
        <v>8</v>
      </c>
      <c r="AE218" s="189">
        <f xml:space="preserve"> Time!AE$239</f>
        <v>9</v>
      </c>
      <c r="AF218" s="189">
        <f xml:space="preserve"> Time!AF$239</f>
        <v>9</v>
      </c>
      <c r="AG218" s="189">
        <f xml:space="preserve"> Time!AG$239</f>
        <v>10</v>
      </c>
      <c r="AH218" s="189">
        <f xml:space="preserve"> Time!AH$239</f>
        <v>10</v>
      </c>
      <c r="AI218" s="189">
        <f xml:space="preserve"> Time!AI$239</f>
        <v>11</v>
      </c>
      <c r="AJ218" s="189">
        <f xml:space="preserve"> Time!AJ$239</f>
        <v>11</v>
      </c>
      <c r="AK218" s="189">
        <f xml:space="preserve"> Time!AK$239</f>
        <v>12</v>
      </c>
      <c r="AL218" s="189">
        <f xml:space="preserve"> Time!AL$239</f>
        <v>12</v>
      </c>
      <c r="AM218" s="189">
        <f xml:space="preserve"> Time!AM$239</f>
        <v>13</v>
      </c>
      <c r="AN218" s="189">
        <f xml:space="preserve"> Time!AN$239</f>
        <v>13</v>
      </c>
      <c r="AO218" s="189">
        <f xml:space="preserve"> Time!AO$239</f>
        <v>14</v>
      </c>
      <c r="AP218" s="189">
        <f xml:space="preserve"> Time!AP$239</f>
        <v>14</v>
      </c>
      <c r="AQ218" s="189">
        <f xml:space="preserve"> Time!AQ$239</f>
        <v>15</v>
      </c>
      <c r="AR218" s="189">
        <f xml:space="preserve"> Time!AR$239</f>
        <v>15</v>
      </c>
      <c r="AS218" s="189">
        <f xml:space="preserve"> Time!AS$239</f>
        <v>16</v>
      </c>
      <c r="AT218" s="189">
        <f xml:space="preserve"> Time!AT$239</f>
        <v>16</v>
      </c>
      <c r="AU218" s="189">
        <f xml:space="preserve"> Time!AU$239</f>
        <v>17</v>
      </c>
      <c r="AV218" s="189">
        <f xml:space="preserve"> Time!AV$239</f>
        <v>17</v>
      </c>
      <c r="AW218" s="189">
        <f xml:space="preserve"> Time!AW$239</f>
        <v>18</v>
      </c>
      <c r="AX218" s="189">
        <f xml:space="preserve"> Time!AX$239</f>
        <v>18</v>
      </c>
      <c r="AY218" s="189">
        <f xml:space="preserve"> Time!AY$239</f>
        <v>19</v>
      </c>
      <c r="AZ218" s="189">
        <f xml:space="preserve"> Time!AZ$239</f>
        <v>19</v>
      </c>
      <c r="BA218" s="189">
        <f xml:space="preserve"> Time!BA$239</f>
        <v>20</v>
      </c>
      <c r="BB218" s="189">
        <f xml:space="preserve"> Time!BB$239</f>
        <v>20</v>
      </c>
      <c r="BC218" s="189">
        <f xml:space="preserve"> Time!BC$239</f>
        <v>0</v>
      </c>
      <c r="BD218" s="189">
        <f xml:space="preserve"> Time!BD$239</f>
        <v>0</v>
      </c>
      <c r="BE218" s="189">
        <f xml:space="preserve"> Time!BE$239</f>
        <v>0</v>
      </c>
      <c r="BF218" s="189">
        <f xml:space="preserve"> Time!BF$239</f>
        <v>0</v>
      </c>
      <c r="BG218" s="189">
        <f xml:space="preserve"> Time!BG$239</f>
        <v>0</v>
      </c>
      <c r="BH218" s="189">
        <f xml:space="preserve"> Time!BH$239</f>
        <v>0</v>
      </c>
      <c r="BI218" s="189">
        <f xml:space="preserve"> Time!BI$239</f>
        <v>0</v>
      </c>
      <c r="BJ218" s="189">
        <f xml:space="preserve"> Time!BJ$239</f>
        <v>0</v>
      </c>
      <c r="BK218" s="189">
        <f xml:space="preserve"> Time!BK$239</f>
        <v>0</v>
      </c>
      <c r="BL218" s="189">
        <f xml:space="preserve"> Time!BL$239</f>
        <v>0</v>
      </c>
      <c r="BM218" s="189">
        <f xml:space="preserve"> Time!BM$239</f>
        <v>0</v>
      </c>
      <c r="BN218" s="189">
        <f xml:space="preserve"> Time!BN$239</f>
        <v>0</v>
      </c>
      <c r="BO218" s="189">
        <f xml:space="preserve"> Time!BO$239</f>
        <v>0</v>
      </c>
      <c r="BP218" s="189">
        <f xml:space="preserve"> Time!BP$239</f>
        <v>0</v>
      </c>
      <c r="BQ218" s="189">
        <f xml:space="preserve"> Time!BQ$239</f>
        <v>0</v>
      </c>
      <c r="BR218" s="189">
        <f xml:space="preserve"> Time!BR$239</f>
        <v>0</v>
      </c>
      <c r="BS218" s="189">
        <f xml:space="preserve"> Time!BS$239</f>
        <v>0</v>
      </c>
      <c r="BT218" s="189">
        <f xml:space="preserve"> Time!BT$239</f>
        <v>0</v>
      </c>
      <c r="BU218" s="189">
        <f xml:space="preserve"> Time!BU$239</f>
        <v>0</v>
      </c>
      <c r="BV218" s="189">
        <f xml:space="preserve"> Time!BV$239</f>
        <v>0</v>
      </c>
      <c r="BW218" s="189">
        <f xml:space="preserve"> Time!BW$239</f>
        <v>0</v>
      </c>
      <c r="BX218" s="189">
        <f xml:space="preserve"> Time!BX$239</f>
        <v>0</v>
      </c>
      <c r="BY218" s="189">
        <f xml:space="preserve"> Time!BY$239</f>
        <v>0</v>
      </c>
      <c r="BZ218" s="189">
        <f xml:space="preserve"> Time!BZ$239</f>
        <v>0</v>
      </c>
      <c r="CA218" s="189">
        <f xml:space="preserve"> Time!CA$239</f>
        <v>0</v>
      </c>
      <c r="CB218" s="189">
        <f xml:space="preserve"> Time!CB$239</f>
        <v>0</v>
      </c>
      <c r="CC218" s="189">
        <f xml:space="preserve"> Time!CC$239</f>
        <v>0</v>
      </c>
      <c r="CD218" s="189">
        <f xml:space="preserve"> Time!CD$239</f>
        <v>0</v>
      </c>
      <c r="CE218" s="189">
        <f xml:space="preserve"> Time!CE$239</f>
        <v>0</v>
      </c>
      <c r="CF218" s="189">
        <f xml:space="preserve"> Time!CF$239</f>
        <v>0</v>
      </c>
      <c r="CG218" s="189">
        <f xml:space="preserve"> Time!CG$239</f>
        <v>0</v>
      </c>
      <c r="CH218" s="189">
        <f xml:space="preserve"> Time!CH$239</f>
        <v>0</v>
      </c>
      <c r="CI218" s="189">
        <f xml:space="preserve"> Time!CI$239</f>
        <v>0</v>
      </c>
      <c r="CJ218" s="189">
        <f xml:space="preserve"> Time!CJ$239</f>
        <v>0</v>
      </c>
      <c r="CK218" s="189">
        <f xml:space="preserve"> Time!CK$239</f>
        <v>0</v>
      </c>
      <c r="CL218" s="189">
        <f xml:space="preserve"> Time!CL$239</f>
        <v>0</v>
      </c>
      <c r="CM218" s="189">
        <f xml:space="preserve"> Time!CM$239</f>
        <v>0</v>
      </c>
      <c r="CN218" s="189">
        <f xml:space="preserve"> Time!CN$239</f>
        <v>0</v>
      </c>
      <c r="CO218" s="189">
        <f xml:space="preserve"> Time!CO$239</f>
        <v>0</v>
      </c>
      <c r="CP218" s="189">
        <f xml:space="preserve"> Time!CP$239</f>
        <v>0</v>
      </c>
      <c r="CQ218" s="189">
        <f xml:space="preserve"> Time!CQ$239</f>
        <v>0</v>
      </c>
      <c r="CR218" s="189">
        <f xml:space="preserve"> Time!CR$239</f>
        <v>0</v>
      </c>
      <c r="CS218" s="189">
        <f xml:space="preserve"> Time!CS$239</f>
        <v>0</v>
      </c>
      <c r="CT218" s="189">
        <f xml:space="preserve"> Time!CT$239</f>
        <v>0</v>
      </c>
      <c r="CU218" s="189">
        <f xml:space="preserve"> Time!CU$239</f>
        <v>0</v>
      </c>
      <c r="CV218" s="189">
        <f xml:space="preserve"> Time!CV$239</f>
        <v>0</v>
      </c>
    </row>
    <row r="219" spans="1:100" ht="12.75" outlineLevel="2" x14ac:dyDescent="0.2">
      <c r="E219" s="189" t="str">
        <f xml:space="preserve"> Time!E$209</f>
        <v>Senior debt service period flag</v>
      </c>
      <c r="F219" s="189">
        <f xml:space="preserve"> Time!F$209</f>
        <v>0</v>
      </c>
      <c r="G219" s="189" t="str">
        <f xml:space="preserve"> Time!G$209</f>
        <v>flag</v>
      </c>
      <c r="H219" s="189">
        <f xml:space="preserve"> Time!H$209</f>
        <v>34</v>
      </c>
      <c r="I219" s="189">
        <f xml:space="preserve"> Time!I$209</f>
        <v>0</v>
      </c>
      <c r="J219" s="189">
        <f xml:space="preserve"> Time!J$209</f>
        <v>0</v>
      </c>
      <c r="K219" s="189">
        <f xml:space="preserve"> Time!K$209</f>
        <v>0</v>
      </c>
      <c r="L219" s="189">
        <f xml:space="preserve"> Time!L$209</f>
        <v>0</v>
      </c>
      <c r="M219" s="189">
        <f xml:space="preserve"> Time!M$209</f>
        <v>0</v>
      </c>
      <c r="N219" s="189">
        <f xml:space="preserve"> Time!N$209</f>
        <v>0</v>
      </c>
      <c r="O219" s="189">
        <f xml:space="preserve"> Time!O$209</f>
        <v>1</v>
      </c>
      <c r="P219" s="189">
        <f xml:space="preserve"> Time!P$209</f>
        <v>1</v>
      </c>
      <c r="Q219" s="189">
        <f xml:space="preserve"> Time!Q$209</f>
        <v>1</v>
      </c>
      <c r="R219" s="189">
        <f xml:space="preserve"> Time!R$209</f>
        <v>1</v>
      </c>
      <c r="S219" s="189">
        <f xml:space="preserve"> Time!S$209</f>
        <v>1</v>
      </c>
      <c r="T219" s="189">
        <f xml:space="preserve"> Time!T$209</f>
        <v>1</v>
      </c>
      <c r="U219" s="189">
        <f xml:space="preserve"> Time!U$209</f>
        <v>1</v>
      </c>
      <c r="V219" s="189">
        <f xml:space="preserve"> Time!V$209</f>
        <v>1</v>
      </c>
      <c r="W219" s="189">
        <f xml:space="preserve"> Time!W$209</f>
        <v>1</v>
      </c>
      <c r="X219" s="189">
        <f xml:space="preserve"> Time!X$209</f>
        <v>1</v>
      </c>
      <c r="Y219" s="189">
        <f xml:space="preserve"> Time!Y$209</f>
        <v>1</v>
      </c>
      <c r="Z219" s="189">
        <f xml:space="preserve"> Time!Z$209</f>
        <v>1</v>
      </c>
      <c r="AA219" s="189">
        <f xml:space="preserve"> Time!AA$209</f>
        <v>1</v>
      </c>
      <c r="AB219" s="189">
        <f xml:space="preserve"> Time!AB$209</f>
        <v>1</v>
      </c>
      <c r="AC219" s="189">
        <f xml:space="preserve"> Time!AC$209</f>
        <v>1</v>
      </c>
      <c r="AD219" s="189">
        <f xml:space="preserve"> Time!AD$209</f>
        <v>1</v>
      </c>
      <c r="AE219" s="189">
        <f xml:space="preserve"> Time!AE$209</f>
        <v>1</v>
      </c>
      <c r="AF219" s="189">
        <f xml:space="preserve"> Time!AF$209</f>
        <v>1</v>
      </c>
      <c r="AG219" s="189">
        <f xml:space="preserve"> Time!AG$209</f>
        <v>1</v>
      </c>
      <c r="AH219" s="189">
        <f xml:space="preserve"> Time!AH$209</f>
        <v>1</v>
      </c>
      <c r="AI219" s="189">
        <f xml:space="preserve"> Time!AI$209</f>
        <v>1</v>
      </c>
      <c r="AJ219" s="189">
        <f xml:space="preserve"> Time!AJ$209</f>
        <v>1</v>
      </c>
      <c r="AK219" s="189">
        <f xml:space="preserve"> Time!AK$209</f>
        <v>1</v>
      </c>
      <c r="AL219" s="189">
        <f xml:space="preserve"> Time!AL$209</f>
        <v>1</v>
      </c>
      <c r="AM219" s="189">
        <f xml:space="preserve"> Time!AM$209</f>
        <v>1</v>
      </c>
      <c r="AN219" s="189">
        <f xml:space="preserve"> Time!AN$209</f>
        <v>1</v>
      </c>
      <c r="AO219" s="189">
        <f xml:space="preserve"> Time!AO$209</f>
        <v>1</v>
      </c>
      <c r="AP219" s="189">
        <f xml:space="preserve"> Time!AP$209</f>
        <v>1</v>
      </c>
      <c r="AQ219" s="189">
        <f xml:space="preserve"> Time!AQ$209</f>
        <v>1</v>
      </c>
      <c r="AR219" s="189">
        <f xml:space="preserve"> Time!AR$209</f>
        <v>1</v>
      </c>
      <c r="AS219" s="189">
        <f xml:space="preserve"> Time!AS$209</f>
        <v>1</v>
      </c>
      <c r="AT219" s="189">
        <f xml:space="preserve"> Time!AT$209</f>
        <v>1</v>
      </c>
      <c r="AU219" s="189">
        <f xml:space="preserve"> Time!AU$209</f>
        <v>1</v>
      </c>
      <c r="AV219" s="189">
        <f xml:space="preserve"> Time!AV$209</f>
        <v>1</v>
      </c>
      <c r="AW219" s="189">
        <f xml:space="preserve"> Time!AW$209</f>
        <v>0</v>
      </c>
      <c r="AX219" s="189">
        <f xml:space="preserve"> Time!AX$209</f>
        <v>0</v>
      </c>
      <c r="AY219" s="189">
        <f xml:space="preserve"> Time!AY$209</f>
        <v>0</v>
      </c>
      <c r="AZ219" s="189">
        <f xml:space="preserve"> Time!AZ$209</f>
        <v>0</v>
      </c>
      <c r="BA219" s="189">
        <f xml:space="preserve"> Time!BA$209</f>
        <v>0</v>
      </c>
      <c r="BB219" s="189">
        <f xml:space="preserve"> Time!BB$209</f>
        <v>0</v>
      </c>
      <c r="BC219" s="189">
        <f xml:space="preserve"> Time!BC$209</f>
        <v>0</v>
      </c>
      <c r="BD219" s="189">
        <f xml:space="preserve"> Time!BD$209</f>
        <v>0</v>
      </c>
      <c r="BE219" s="189">
        <f xml:space="preserve"> Time!BE$209</f>
        <v>0</v>
      </c>
      <c r="BF219" s="189">
        <f xml:space="preserve"> Time!BF$209</f>
        <v>0</v>
      </c>
      <c r="BG219" s="189">
        <f xml:space="preserve"> Time!BG$209</f>
        <v>0</v>
      </c>
      <c r="BH219" s="189">
        <f xml:space="preserve"> Time!BH$209</f>
        <v>0</v>
      </c>
      <c r="BI219" s="189">
        <f xml:space="preserve"> Time!BI$209</f>
        <v>0</v>
      </c>
      <c r="BJ219" s="189">
        <f xml:space="preserve"> Time!BJ$209</f>
        <v>0</v>
      </c>
      <c r="BK219" s="189">
        <f xml:space="preserve"> Time!BK$209</f>
        <v>0</v>
      </c>
      <c r="BL219" s="189">
        <f xml:space="preserve"> Time!BL$209</f>
        <v>0</v>
      </c>
      <c r="BM219" s="189">
        <f xml:space="preserve"> Time!BM$209</f>
        <v>0</v>
      </c>
      <c r="BN219" s="189">
        <f xml:space="preserve"> Time!BN$209</f>
        <v>0</v>
      </c>
      <c r="BO219" s="189">
        <f xml:space="preserve"> Time!BO$209</f>
        <v>0</v>
      </c>
      <c r="BP219" s="189">
        <f xml:space="preserve"> Time!BP$209</f>
        <v>0</v>
      </c>
      <c r="BQ219" s="189">
        <f xml:space="preserve"> Time!BQ$209</f>
        <v>0</v>
      </c>
      <c r="BR219" s="189">
        <f xml:space="preserve"> Time!BR$209</f>
        <v>0</v>
      </c>
      <c r="BS219" s="189">
        <f xml:space="preserve"> Time!BS$209</f>
        <v>0</v>
      </c>
      <c r="BT219" s="189">
        <f xml:space="preserve"> Time!BT$209</f>
        <v>0</v>
      </c>
      <c r="BU219" s="189">
        <f xml:space="preserve"> Time!BU$209</f>
        <v>0</v>
      </c>
      <c r="BV219" s="189">
        <f xml:space="preserve"> Time!BV$209</f>
        <v>0</v>
      </c>
      <c r="BW219" s="189">
        <f xml:space="preserve"> Time!BW$209</f>
        <v>0</v>
      </c>
      <c r="BX219" s="189">
        <f xml:space="preserve"> Time!BX$209</f>
        <v>0</v>
      </c>
      <c r="BY219" s="189">
        <f xml:space="preserve"> Time!BY$209</f>
        <v>0</v>
      </c>
      <c r="BZ219" s="189">
        <f xml:space="preserve"> Time!BZ$209</f>
        <v>0</v>
      </c>
      <c r="CA219" s="189">
        <f xml:space="preserve"> Time!CA$209</f>
        <v>0</v>
      </c>
      <c r="CB219" s="189">
        <f xml:space="preserve"> Time!CB$209</f>
        <v>0</v>
      </c>
      <c r="CC219" s="189">
        <f xml:space="preserve"> Time!CC$209</f>
        <v>0</v>
      </c>
      <c r="CD219" s="189">
        <f xml:space="preserve"> Time!CD$209</f>
        <v>0</v>
      </c>
      <c r="CE219" s="189">
        <f xml:space="preserve"> Time!CE$209</f>
        <v>0</v>
      </c>
      <c r="CF219" s="189">
        <f xml:space="preserve"> Time!CF$209</f>
        <v>0</v>
      </c>
      <c r="CG219" s="189">
        <f xml:space="preserve"> Time!CG$209</f>
        <v>0</v>
      </c>
      <c r="CH219" s="189">
        <f xml:space="preserve"> Time!CH$209</f>
        <v>0</v>
      </c>
      <c r="CI219" s="189">
        <f xml:space="preserve"> Time!CI$209</f>
        <v>0</v>
      </c>
      <c r="CJ219" s="189">
        <f xml:space="preserve"> Time!CJ$209</f>
        <v>0</v>
      </c>
      <c r="CK219" s="189">
        <f xml:space="preserve"> Time!CK$209</f>
        <v>0</v>
      </c>
      <c r="CL219" s="189">
        <f xml:space="preserve"> Time!CL$209</f>
        <v>0</v>
      </c>
      <c r="CM219" s="189">
        <f xml:space="preserve"> Time!CM$209</f>
        <v>0</v>
      </c>
      <c r="CN219" s="189">
        <f xml:space="preserve"> Time!CN$209</f>
        <v>0</v>
      </c>
      <c r="CO219" s="189">
        <f xml:space="preserve"> Time!CO$209</f>
        <v>0</v>
      </c>
      <c r="CP219" s="189">
        <f xml:space="preserve"> Time!CP$209</f>
        <v>0</v>
      </c>
      <c r="CQ219" s="189">
        <f xml:space="preserve"> Time!CQ$209</f>
        <v>0</v>
      </c>
      <c r="CR219" s="189">
        <f xml:space="preserve"> Time!CR$209</f>
        <v>0</v>
      </c>
      <c r="CS219" s="189">
        <f xml:space="preserve"> Time!CS$209</f>
        <v>0</v>
      </c>
      <c r="CT219" s="189">
        <f xml:space="preserve"> Time!CT$209</f>
        <v>0</v>
      </c>
      <c r="CU219" s="189">
        <f xml:space="preserve"> Time!CU$209</f>
        <v>0</v>
      </c>
      <c r="CV219" s="189">
        <f xml:space="preserve"> Time!CV$209</f>
        <v>0</v>
      </c>
    </row>
    <row r="220" spans="1:100" s="283" customFormat="1" ht="12.75" outlineLevel="2" x14ac:dyDescent="0.2">
      <c r="A220" s="556"/>
      <c r="B220" s="556"/>
      <c r="C220" s="557"/>
      <c r="D220" s="115"/>
      <c r="E220" s="282" t="s">
        <v>1122</v>
      </c>
      <c r="F220" s="282"/>
      <c r="G220" s="282" t="s">
        <v>116</v>
      </c>
      <c r="H220" s="282"/>
      <c r="I220" s="112"/>
      <c r="J220" s="282">
        <f t="shared" ref="J220:BU220" si="141" xml:space="preserve"> IF( J219 = 1, INDEX($F193:$F217, J218), 0)</f>
        <v>0</v>
      </c>
      <c r="K220" s="282">
        <f t="shared" si="141"/>
        <v>0</v>
      </c>
      <c r="L220" s="282">
        <f t="shared" si="141"/>
        <v>0</v>
      </c>
      <c r="M220" s="282">
        <f t="shared" si="141"/>
        <v>0</v>
      </c>
      <c r="N220" s="282">
        <f t="shared" si="141"/>
        <v>0</v>
      </c>
      <c r="O220" s="282">
        <f t="shared" si="141"/>
        <v>2.5000000000000001E-2</v>
      </c>
      <c r="P220" s="282">
        <f t="shared" si="141"/>
        <v>2.5000000000000001E-2</v>
      </c>
      <c r="Q220" s="282">
        <f t="shared" si="141"/>
        <v>2.5000000000000001E-2</v>
      </c>
      <c r="R220" s="282">
        <f t="shared" si="141"/>
        <v>2.5000000000000001E-2</v>
      </c>
      <c r="S220" s="282">
        <f t="shared" si="141"/>
        <v>2.5000000000000001E-2</v>
      </c>
      <c r="T220" s="282">
        <f t="shared" si="141"/>
        <v>2.5000000000000001E-2</v>
      </c>
      <c r="U220" s="282">
        <f t="shared" si="141"/>
        <v>2.5000000000000001E-2</v>
      </c>
      <c r="V220" s="282">
        <f t="shared" si="141"/>
        <v>2.5000000000000001E-2</v>
      </c>
      <c r="W220" s="282">
        <f t="shared" si="141"/>
        <v>2.5000000000000001E-2</v>
      </c>
      <c r="X220" s="282">
        <f t="shared" si="141"/>
        <v>2.5000000000000001E-2</v>
      </c>
      <c r="Y220" s="282">
        <f t="shared" si="141"/>
        <v>2.7E-2</v>
      </c>
      <c r="Z220" s="282">
        <f t="shared" si="141"/>
        <v>2.7E-2</v>
      </c>
      <c r="AA220" s="282">
        <f t="shared" si="141"/>
        <v>2.7E-2</v>
      </c>
      <c r="AB220" s="282">
        <f t="shared" si="141"/>
        <v>2.7E-2</v>
      </c>
      <c r="AC220" s="282">
        <f t="shared" si="141"/>
        <v>2.7E-2</v>
      </c>
      <c r="AD220" s="282">
        <f t="shared" si="141"/>
        <v>2.7E-2</v>
      </c>
      <c r="AE220" s="282">
        <f t="shared" si="141"/>
        <v>2.7E-2</v>
      </c>
      <c r="AF220" s="282">
        <f t="shared" si="141"/>
        <v>2.7E-2</v>
      </c>
      <c r="AG220" s="282">
        <f t="shared" si="141"/>
        <v>2.7E-2</v>
      </c>
      <c r="AH220" s="282">
        <f t="shared" si="141"/>
        <v>2.7E-2</v>
      </c>
      <c r="AI220" s="282">
        <f t="shared" si="141"/>
        <v>2.9000000000000001E-2</v>
      </c>
      <c r="AJ220" s="282">
        <f t="shared" si="141"/>
        <v>2.9000000000000001E-2</v>
      </c>
      <c r="AK220" s="282">
        <f t="shared" si="141"/>
        <v>2.9000000000000001E-2</v>
      </c>
      <c r="AL220" s="282">
        <f t="shared" si="141"/>
        <v>2.9000000000000001E-2</v>
      </c>
      <c r="AM220" s="282">
        <f t="shared" si="141"/>
        <v>2.9000000000000001E-2</v>
      </c>
      <c r="AN220" s="282">
        <f t="shared" si="141"/>
        <v>2.9000000000000001E-2</v>
      </c>
      <c r="AO220" s="282">
        <f t="shared" si="141"/>
        <v>2.9000000000000001E-2</v>
      </c>
      <c r="AP220" s="282">
        <f t="shared" si="141"/>
        <v>2.9000000000000001E-2</v>
      </c>
      <c r="AQ220" s="282">
        <f t="shared" si="141"/>
        <v>2.9000000000000001E-2</v>
      </c>
      <c r="AR220" s="282">
        <f t="shared" si="141"/>
        <v>2.9000000000000001E-2</v>
      </c>
      <c r="AS220" s="282">
        <f t="shared" si="141"/>
        <v>2.9000000000000001E-2</v>
      </c>
      <c r="AT220" s="282">
        <f t="shared" si="141"/>
        <v>2.9000000000000001E-2</v>
      </c>
      <c r="AU220" s="282">
        <f t="shared" si="141"/>
        <v>2.9000000000000001E-2</v>
      </c>
      <c r="AV220" s="282">
        <f t="shared" si="141"/>
        <v>2.9000000000000001E-2</v>
      </c>
      <c r="AW220" s="282">
        <f t="shared" si="141"/>
        <v>0</v>
      </c>
      <c r="AX220" s="282">
        <f t="shared" si="141"/>
        <v>0</v>
      </c>
      <c r="AY220" s="282">
        <f t="shared" si="141"/>
        <v>0</v>
      </c>
      <c r="AZ220" s="282">
        <f t="shared" si="141"/>
        <v>0</v>
      </c>
      <c r="BA220" s="282">
        <f t="shared" si="141"/>
        <v>0</v>
      </c>
      <c r="BB220" s="282">
        <f t="shared" si="141"/>
        <v>0</v>
      </c>
      <c r="BC220" s="282">
        <f t="shared" si="141"/>
        <v>0</v>
      </c>
      <c r="BD220" s="282">
        <f t="shared" si="141"/>
        <v>0</v>
      </c>
      <c r="BE220" s="282">
        <f t="shared" si="141"/>
        <v>0</v>
      </c>
      <c r="BF220" s="282">
        <f t="shared" si="141"/>
        <v>0</v>
      </c>
      <c r="BG220" s="282">
        <f t="shared" si="141"/>
        <v>0</v>
      </c>
      <c r="BH220" s="282">
        <f t="shared" si="141"/>
        <v>0</v>
      </c>
      <c r="BI220" s="282">
        <f t="shared" si="141"/>
        <v>0</v>
      </c>
      <c r="BJ220" s="282">
        <f t="shared" si="141"/>
        <v>0</v>
      </c>
      <c r="BK220" s="282">
        <f t="shared" si="141"/>
        <v>0</v>
      </c>
      <c r="BL220" s="282">
        <f t="shared" si="141"/>
        <v>0</v>
      </c>
      <c r="BM220" s="282">
        <f t="shared" si="141"/>
        <v>0</v>
      </c>
      <c r="BN220" s="282">
        <f t="shared" si="141"/>
        <v>0</v>
      </c>
      <c r="BO220" s="282">
        <f t="shared" si="141"/>
        <v>0</v>
      </c>
      <c r="BP220" s="282">
        <f t="shared" si="141"/>
        <v>0</v>
      </c>
      <c r="BQ220" s="282">
        <f t="shared" si="141"/>
        <v>0</v>
      </c>
      <c r="BR220" s="282">
        <f t="shared" si="141"/>
        <v>0</v>
      </c>
      <c r="BS220" s="282">
        <f t="shared" si="141"/>
        <v>0</v>
      </c>
      <c r="BT220" s="282">
        <f t="shared" si="141"/>
        <v>0</v>
      </c>
      <c r="BU220" s="282">
        <f t="shared" si="141"/>
        <v>0</v>
      </c>
      <c r="BV220" s="282">
        <f t="shared" ref="BV220:CV220" si="142" xml:space="preserve"> IF( BV219 = 1, INDEX($F193:$F217, BV218), 0)</f>
        <v>0</v>
      </c>
      <c r="BW220" s="282">
        <f t="shared" si="142"/>
        <v>0</v>
      </c>
      <c r="BX220" s="282">
        <f t="shared" si="142"/>
        <v>0</v>
      </c>
      <c r="BY220" s="282">
        <f t="shared" si="142"/>
        <v>0</v>
      </c>
      <c r="BZ220" s="282">
        <f t="shared" si="142"/>
        <v>0</v>
      </c>
      <c r="CA220" s="282">
        <f t="shared" si="142"/>
        <v>0</v>
      </c>
      <c r="CB220" s="282">
        <f t="shared" si="142"/>
        <v>0</v>
      </c>
      <c r="CC220" s="282">
        <f t="shared" si="142"/>
        <v>0</v>
      </c>
      <c r="CD220" s="282">
        <f t="shared" si="142"/>
        <v>0</v>
      </c>
      <c r="CE220" s="282">
        <f t="shared" si="142"/>
        <v>0</v>
      </c>
      <c r="CF220" s="282">
        <f t="shared" si="142"/>
        <v>0</v>
      </c>
      <c r="CG220" s="282">
        <f t="shared" si="142"/>
        <v>0</v>
      </c>
      <c r="CH220" s="282">
        <f t="shared" si="142"/>
        <v>0</v>
      </c>
      <c r="CI220" s="282">
        <f t="shared" si="142"/>
        <v>0</v>
      </c>
      <c r="CJ220" s="282">
        <f t="shared" si="142"/>
        <v>0</v>
      </c>
      <c r="CK220" s="282">
        <f t="shared" si="142"/>
        <v>0</v>
      </c>
      <c r="CL220" s="282">
        <f t="shared" si="142"/>
        <v>0</v>
      </c>
      <c r="CM220" s="282">
        <f t="shared" si="142"/>
        <v>0</v>
      </c>
      <c r="CN220" s="282">
        <f t="shared" si="142"/>
        <v>0</v>
      </c>
      <c r="CO220" s="282">
        <f t="shared" si="142"/>
        <v>0</v>
      </c>
      <c r="CP220" s="282">
        <f t="shared" si="142"/>
        <v>0</v>
      </c>
      <c r="CQ220" s="282">
        <f t="shared" si="142"/>
        <v>0</v>
      </c>
      <c r="CR220" s="282">
        <f t="shared" si="142"/>
        <v>0</v>
      </c>
      <c r="CS220" s="282">
        <f t="shared" si="142"/>
        <v>0</v>
      </c>
      <c r="CT220" s="282">
        <f t="shared" si="142"/>
        <v>0</v>
      </c>
      <c r="CU220" s="282">
        <f t="shared" si="142"/>
        <v>0</v>
      </c>
      <c r="CV220" s="282">
        <f t="shared" si="142"/>
        <v>0</v>
      </c>
    </row>
    <row r="221" spans="1:100" ht="12.75" outlineLevel="2" x14ac:dyDescent="0.2"/>
    <row r="222" spans="1:100" ht="12.75" outlineLevel="2" x14ac:dyDescent="0.2">
      <c r="E222" s="145" t="str">
        <f xml:space="preserve"> InpC!E$197</f>
        <v>Proportion of Senior debt hedged</v>
      </c>
      <c r="F222" s="316">
        <f xml:space="preserve"> InpC!F$197</f>
        <v>1</v>
      </c>
      <c r="G222" s="145" t="str">
        <f xml:space="preserve"> InpC!G$197</f>
        <v>%</v>
      </c>
      <c r="H222" s="38"/>
    </row>
    <row r="223" spans="1:100" ht="12.75" outlineLevel="2" x14ac:dyDescent="0.2">
      <c r="E223" s="145" t="str">
        <f xml:space="preserve"> InpC!E$229</f>
        <v>Senior debt - T1 swap rate</v>
      </c>
      <c r="F223" s="316">
        <f xml:space="preserve"> InpC!F$229</f>
        <v>1.7000000000000001E-2</v>
      </c>
      <c r="G223" s="145" t="str">
        <f xml:space="preserve"> InpC!G$229</f>
        <v>% p.a.</v>
      </c>
      <c r="H223" s="38"/>
    </row>
    <row r="224" spans="1:100" s="283" customFormat="1" ht="12.75" outlineLevel="2" x14ac:dyDescent="0.2">
      <c r="A224" s="556"/>
      <c r="B224" s="556"/>
      <c r="C224" s="557"/>
      <c r="D224" s="115"/>
      <c r="E224" s="316" t="str">
        <f xml:space="preserve"> Sensitivity!E$16</f>
        <v>Interest rate - sensitivity</v>
      </c>
      <c r="F224" s="316">
        <f xml:space="preserve"> Sensitivity!F$16</f>
        <v>0</v>
      </c>
      <c r="G224" s="316" t="str">
        <f xml:space="preserve"> Sensitivity!G$16</f>
        <v>% p.a.</v>
      </c>
      <c r="H224" s="115"/>
      <c r="I224" s="112"/>
      <c r="J224" s="282"/>
      <c r="K224" s="282"/>
      <c r="L224" s="282"/>
      <c r="M224" s="282"/>
      <c r="N224" s="282"/>
      <c r="O224" s="282"/>
      <c r="P224" s="282"/>
      <c r="Q224" s="282"/>
      <c r="R224" s="282"/>
      <c r="S224" s="282"/>
      <c r="T224" s="282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  <c r="AF224" s="282"/>
      <c r="AG224" s="282"/>
      <c r="AH224" s="282"/>
      <c r="AI224" s="282"/>
      <c r="AJ224" s="282"/>
      <c r="AK224" s="282"/>
      <c r="AL224" s="282"/>
      <c r="AM224" s="282"/>
      <c r="AN224" s="282"/>
      <c r="AO224" s="282"/>
      <c r="AP224" s="282"/>
      <c r="AQ224" s="282"/>
      <c r="AR224" s="282"/>
      <c r="AS224" s="282"/>
      <c r="AT224" s="282"/>
      <c r="AU224" s="282"/>
      <c r="AV224" s="282"/>
      <c r="AW224" s="282"/>
      <c r="AX224" s="282"/>
      <c r="AY224" s="282"/>
      <c r="AZ224" s="282"/>
      <c r="BA224" s="282"/>
      <c r="BB224" s="282"/>
      <c r="BC224" s="282"/>
      <c r="BD224" s="282"/>
      <c r="BE224" s="282"/>
      <c r="BF224" s="282"/>
      <c r="BG224" s="282"/>
      <c r="BH224" s="282"/>
      <c r="BI224" s="282"/>
      <c r="BJ224" s="282"/>
      <c r="BK224" s="282"/>
      <c r="BL224" s="282"/>
      <c r="BM224" s="282"/>
      <c r="BN224" s="282"/>
      <c r="BO224" s="282"/>
      <c r="BP224" s="282"/>
      <c r="BQ224" s="282"/>
      <c r="BR224" s="282"/>
      <c r="BS224" s="282"/>
      <c r="BT224" s="282"/>
      <c r="BU224" s="282"/>
      <c r="BV224" s="282"/>
      <c r="BW224" s="282"/>
      <c r="BX224" s="282"/>
      <c r="BY224" s="282"/>
      <c r="BZ224" s="282"/>
      <c r="CA224" s="282"/>
      <c r="CB224" s="282"/>
      <c r="CC224" s="282"/>
      <c r="CD224" s="282"/>
      <c r="CE224" s="282"/>
      <c r="CF224" s="282"/>
      <c r="CG224" s="282"/>
      <c r="CH224" s="282"/>
      <c r="CI224" s="282"/>
      <c r="CJ224" s="282"/>
      <c r="CK224" s="282"/>
      <c r="CL224" s="282"/>
      <c r="CM224" s="282"/>
      <c r="CN224" s="282"/>
      <c r="CO224" s="282"/>
      <c r="CP224" s="282"/>
      <c r="CQ224" s="282"/>
      <c r="CR224" s="282"/>
      <c r="CS224" s="282"/>
      <c r="CT224" s="282"/>
      <c r="CU224" s="282"/>
      <c r="CV224" s="282"/>
    </row>
    <row r="225" spans="1:100" ht="12.75" outlineLevel="2" x14ac:dyDescent="0.2">
      <c r="E225" s="1118" t="str">
        <f t="shared" ref="E225:AJ225" si="143" xml:space="preserve"> E$220</f>
        <v>Senior debt margin - T1</v>
      </c>
      <c r="F225" s="1118">
        <f t="shared" si="143"/>
        <v>0</v>
      </c>
      <c r="G225" s="1118" t="str">
        <f t="shared" si="143"/>
        <v>% p.a.</v>
      </c>
      <c r="H225" s="1118">
        <f t="shared" si="143"/>
        <v>0</v>
      </c>
      <c r="I225" s="1118">
        <f t="shared" si="143"/>
        <v>0</v>
      </c>
      <c r="J225" s="1118">
        <f t="shared" si="143"/>
        <v>0</v>
      </c>
      <c r="K225" s="1118">
        <f t="shared" si="143"/>
        <v>0</v>
      </c>
      <c r="L225" s="1118">
        <f t="shared" si="143"/>
        <v>0</v>
      </c>
      <c r="M225" s="1118">
        <f t="shared" si="143"/>
        <v>0</v>
      </c>
      <c r="N225" s="1118">
        <f t="shared" si="143"/>
        <v>0</v>
      </c>
      <c r="O225" s="1118">
        <f t="shared" si="143"/>
        <v>2.5000000000000001E-2</v>
      </c>
      <c r="P225" s="1118">
        <f t="shared" si="143"/>
        <v>2.5000000000000001E-2</v>
      </c>
      <c r="Q225" s="1118">
        <f t="shared" si="143"/>
        <v>2.5000000000000001E-2</v>
      </c>
      <c r="R225" s="1118">
        <f t="shared" si="143"/>
        <v>2.5000000000000001E-2</v>
      </c>
      <c r="S225" s="1118">
        <f t="shared" si="143"/>
        <v>2.5000000000000001E-2</v>
      </c>
      <c r="T225" s="1118">
        <f t="shared" si="143"/>
        <v>2.5000000000000001E-2</v>
      </c>
      <c r="U225" s="1118">
        <f t="shared" si="143"/>
        <v>2.5000000000000001E-2</v>
      </c>
      <c r="V225" s="1118">
        <f t="shared" si="143"/>
        <v>2.5000000000000001E-2</v>
      </c>
      <c r="W225" s="1118">
        <f t="shared" si="143"/>
        <v>2.5000000000000001E-2</v>
      </c>
      <c r="X225" s="1118">
        <f t="shared" si="143"/>
        <v>2.5000000000000001E-2</v>
      </c>
      <c r="Y225" s="1118">
        <f t="shared" si="143"/>
        <v>2.7E-2</v>
      </c>
      <c r="Z225" s="1118">
        <f t="shared" si="143"/>
        <v>2.7E-2</v>
      </c>
      <c r="AA225" s="1118">
        <f t="shared" si="143"/>
        <v>2.7E-2</v>
      </c>
      <c r="AB225" s="1118">
        <f t="shared" si="143"/>
        <v>2.7E-2</v>
      </c>
      <c r="AC225" s="1118">
        <f t="shared" si="143"/>
        <v>2.7E-2</v>
      </c>
      <c r="AD225" s="1118">
        <f t="shared" si="143"/>
        <v>2.7E-2</v>
      </c>
      <c r="AE225" s="1118">
        <f t="shared" si="143"/>
        <v>2.7E-2</v>
      </c>
      <c r="AF225" s="1118">
        <f t="shared" si="143"/>
        <v>2.7E-2</v>
      </c>
      <c r="AG225" s="1118">
        <f t="shared" si="143"/>
        <v>2.7E-2</v>
      </c>
      <c r="AH225" s="1118">
        <f t="shared" si="143"/>
        <v>2.7E-2</v>
      </c>
      <c r="AI225" s="1118">
        <f t="shared" si="143"/>
        <v>2.9000000000000001E-2</v>
      </c>
      <c r="AJ225" s="1118">
        <f t="shared" si="143"/>
        <v>2.9000000000000001E-2</v>
      </c>
      <c r="AK225" s="1118">
        <f t="shared" ref="AK225:BP225" si="144" xml:space="preserve"> AK$220</f>
        <v>2.9000000000000001E-2</v>
      </c>
      <c r="AL225" s="1118">
        <f t="shared" si="144"/>
        <v>2.9000000000000001E-2</v>
      </c>
      <c r="AM225" s="1118">
        <f t="shared" si="144"/>
        <v>2.9000000000000001E-2</v>
      </c>
      <c r="AN225" s="1118">
        <f t="shared" si="144"/>
        <v>2.9000000000000001E-2</v>
      </c>
      <c r="AO225" s="1118">
        <f t="shared" si="144"/>
        <v>2.9000000000000001E-2</v>
      </c>
      <c r="AP225" s="1118">
        <f t="shared" si="144"/>
        <v>2.9000000000000001E-2</v>
      </c>
      <c r="AQ225" s="1118">
        <f t="shared" si="144"/>
        <v>2.9000000000000001E-2</v>
      </c>
      <c r="AR225" s="1118">
        <f t="shared" si="144"/>
        <v>2.9000000000000001E-2</v>
      </c>
      <c r="AS225" s="1118">
        <f t="shared" si="144"/>
        <v>2.9000000000000001E-2</v>
      </c>
      <c r="AT225" s="1118">
        <f t="shared" si="144"/>
        <v>2.9000000000000001E-2</v>
      </c>
      <c r="AU225" s="1118">
        <f t="shared" si="144"/>
        <v>2.9000000000000001E-2</v>
      </c>
      <c r="AV225" s="1118">
        <f t="shared" si="144"/>
        <v>2.9000000000000001E-2</v>
      </c>
      <c r="AW225" s="1118">
        <f t="shared" si="144"/>
        <v>0</v>
      </c>
      <c r="AX225" s="1118">
        <f t="shared" si="144"/>
        <v>0</v>
      </c>
      <c r="AY225" s="1118">
        <f t="shared" si="144"/>
        <v>0</v>
      </c>
      <c r="AZ225" s="1118">
        <f t="shared" si="144"/>
        <v>0</v>
      </c>
      <c r="BA225" s="1118">
        <f t="shared" si="144"/>
        <v>0</v>
      </c>
      <c r="BB225" s="1118">
        <f t="shared" si="144"/>
        <v>0</v>
      </c>
      <c r="BC225" s="1118">
        <f t="shared" si="144"/>
        <v>0</v>
      </c>
      <c r="BD225" s="1118">
        <f t="shared" si="144"/>
        <v>0</v>
      </c>
      <c r="BE225" s="1118">
        <f t="shared" si="144"/>
        <v>0</v>
      </c>
      <c r="BF225" s="1118">
        <f t="shared" si="144"/>
        <v>0</v>
      </c>
      <c r="BG225" s="1118">
        <f t="shared" si="144"/>
        <v>0</v>
      </c>
      <c r="BH225" s="1118">
        <f t="shared" si="144"/>
        <v>0</v>
      </c>
      <c r="BI225" s="1118">
        <f t="shared" si="144"/>
        <v>0</v>
      </c>
      <c r="BJ225" s="1118">
        <f t="shared" si="144"/>
        <v>0</v>
      </c>
      <c r="BK225" s="1118">
        <f t="shared" si="144"/>
        <v>0</v>
      </c>
      <c r="BL225" s="1118">
        <f t="shared" si="144"/>
        <v>0</v>
      </c>
      <c r="BM225" s="1118">
        <f t="shared" si="144"/>
        <v>0</v>
      </c>
      <c r="BN225" s="1118">
        <f t="shared" si="144"/>
        <v>0</v>
      </c>
      <c r="BO225" s="1118">
        <f t="shared" si="144"/>
        <v>0</v>
      </c>
      <c r="BP225" s="1118">
        <f t="shared" si="144"/>
        <v>0</v>
      </c>
      <c r="BQ225" s="1118">
        <f t="shared" ref="BQ225:CV225" si="145" xml:space="preserve"> BQ$220</f>
        <v>0</v>
      </c>
      <c r="BR225" s="1118">
        <f t="shared" si="145"/>
        <v>0</v>
      </c>
      <c r="BS225" s="1118">
        <f t="shared" si="145"/>
        <v>0</v>
      </c>
      <c r="BT225" s="1118">
        <f t="shared" si="145"/>
        <v>0</v>
      </c>
      <c r="BU225" s="1118">
        <f t="shared" si="145"/>
        <v>0</v>
      </c>
      <c r="BV225" s="1118">
        <f t="shared" si="145"/>
        <v>0</v>
      </c>
      <c r="BW225" s="1118">
        <f t="shared" si="145"/>
        <v>0</v>
      </c>
      <c r="BX225" s="1118">
        <f t="shared" si="145"/>
        <v>0</v>
      </c>
      <c r="BY225" s="1118">
        <f t="shared" si="145"/>
        <v>0</v>
      </c>
      <c r="BZ225" s="1118">
        <f t="shared" si="145"/>
        <v>0</v>
      </c>
      <c r="CA225" s="1118">
        <f t="shared" si="145"/>
        <v>0</v>
      </c>
      <c r="CB225" s="1118">
        <f t="shared" si="145"/>
        <v>0</v>
      </c>
      <c r="CC225" s="1118">
        <f t="shared" si="145"/>
        <v>0</v>
      </c>
      <c r="CD225" s="1118">
        <f t="shared" si="145"/>
        <v>0</v>
      </c>
      <c r="CE225" s="1118">
        <f t="shared" si="145"/>
        <v>0</v>
      </c>
      <c r="CF225" s="1118">
        <f t="shared" si="145"/>
        <v>0</v>
      </c>
      <c r="CG225" s="1118">
        <f t="shared" si="145"/>
        <v>0</v>
      </c>
      <c r="CH225" s="1118">
        <f t="shared" si="145"/>
        <v>0</v>
      </c>
      <c r="CI225" s="1118">
        <f t="shared" si="145"/>
        <v>0</v>
      </c>
      <c r="CJ225" s="1118">
        <f t="shared" si="145"/>
        <v>0</v>
      </c>
      <c r="CK225" s="1118">
        <f t="shared" si="145"/>
        <v>0</v>
      </c>
      <c r="CL225" s="1118">
        <f t="shared" si="145"/>
        <v>0</v>
      </c>
      <c r="CM225" s="1118">
        <f t="shared" si="145"/>
        <v>0</v>
      </c>
      <c r="CN225" s="1118">
        <f t="shared" si="145"/>
        <v>0</v>
      </c>
      <c r="CO225" s="1118">
        <f t="shared" si="145"/>
        <v>0</v>
      </c>
      <c r="CP225" s="1118">
        <f t="shared" si="145"/>
        <v>0</v>
      </c>
      <c r="CQ225" s="1118">
        <f t="shared" si="145"/>
        <v>0</v>
      </c>
      <c r="CR225" s="1118">
        <f t="shared" si="145"/>
        <v>0</v>
      </c>
      <c r="CS225" s="1118">
        <f t="shared" si="145"/>
        <v>0</v>
      </c>
      <c r="CT225" s="1118">
        <f t="shared" si="145"/>
        <v>0</v>
      </c>
      <c r="CU225" s="1118">
        <f t="shared" si="145"/>
        <v>0</v>
      </c>
      <c r="CV225" s="1118">
        <f t="shared" si="145"/>
        <v>0</v>
      </c>
    </row>
    <row r="226" spans="1:100" ht="12.75" outlineLevel="2" x14ac:dyDescent="0.2">
      <c r="E226" s="450" t="str">
        <f xml:space="preserve"> InpS!E$13</f>
        <v>Active debt forward curve</v>
      </c>
      <c r="F226" s="450">
        <f xml:space="preserve"> InpS!F$13</f>
        <v>0</v>
      </c>
      <c r="G226" s="450" t="str">
        <f xml:space="preserve"> InpS!G$13</f>
        <v>% p.a.</v>
      </c>
      <c r="H226" s="450">
        <f xml:space="preserve"> InpS!H$13</f>
        <v>0</v>
      </c>
      <c r="I226" s="450">
        <f xml:space="preserve"> InpS!I$13</f>
        <v>0</v>
      </c>
      <c r="J226" s="450">
        <f xml:space="preserve"> InpS!J$13</f>
        <v>2.0062E-2</v>
      </c>
      <c r="K226" s="450">
        <f xml:space="preserve"> InpS!K$13</f>
        <v>2.0124E-2</v>
      </c>
      <c r="L226" s="450">
        <f xml:space="preserve"> InpS!L$13</f>
        <v>2.0184000000000001E-2</v>
      </c>
      <c r="M226" s="450">
        <f xml:space="preserve"> InpS!M$13</f>
        <v>2.0241000000000002E-2</v>
      </c>
      <c r="N226" s="450">
        <f xml:space="preserve"> InpS!N$13</f>
        <v>2.0308000000000003E-2</v>
      </c>
      <c r="O226" s="450">
        <f xml:space="preserve"> InpS!O$13</f>
        <v>2.0375000000000004E-2</v>
      </c>
      <c r="P226" s="450">
        <f xml:space="preserve"> InpS!P$13</f>
        <v>2.0434000000000004E-2</v>
      </c>
      <c r="Q226" s="450">
        <f xml:space="preserve"> InpS!Q$13</f>
        <v>2.0506000000000003E-2</v>
      </c>
      <c r="R226" s="450">
        <f xml:space="preserve"> InpS!R$13</f>
        <v>2.0569000000000004E-2</v>
      </c>
      <c r="S226" s="450">
        <f xml:space="preserve"> InpS!S$13</f>
        <v>2.0620000000000003E-2</v>
      </c>
      <c r="T226" s="450">
        <f xml:space="preserve"> InpS!T$13</f>
        <v>2.0666000000000004E-2</v>
      </c>
      <c r="U226" s="450">
        <f xml:space="preserve"> InpS!U$13</f>
        <v>2.0719000000000005E-2</v>
      </c>
      <c r="V226" s="450">
        <f xml:space="preserve"> InpS!V$13</f>
        <v>2.0757000000000005E-2</v>
      </c>
      <c r="W226" s="450">
        <f xml:space="preserve"> InpS!W$13</f>
        <v>2.0795000000000004E-2</v>
      </c>
      <c r="X226" s="450">
        <f xml:space="preserve"> InpS!X$13</f>
        <v>2.0850000000000004E-2</v>
      </c>
      <c r="Y226" s="450">
        <f xml:space="preserve"> InpS!Y$13</f>
        <v>2.0888000000000004E-2</v>
      </c>
      <c r="Z226" s="450">
        <f xml:space="preserve"> InpS!Z$13</f>
        <v>2.0954000000000004E-2</v>
      </c>
      <c r="AA226" s="450">
        <f xml:space="preserve"> InpS!AA$13</f>
        <v>2.1024000000000004E-2</v>
      </c>
      <c r="AB226" s="450">
        <f xml:space="preserve"> InpS!AB$13</f>
        <v>2.1091000000000006E-2</v>
      </c>
      <c r="AC226" s="450">
        <f xml:space="preserve"> InpS!AC$13</f>
        <v>2.1134000000000007E-2</v>
      </c>
      <c r="AD226" s="450">
        <f xml:space="preserve"> InpS!AD$13</f>
        <v>2.1205000000000009E-2</v>
      </c>
      <c r="AE226" s="450">
        <f xml:space="preserve"> InpS!AE$13</f>
        <v>2.127900000000001E-2</v>
      </c>
      <c r="AF226" s="450">
        <f xml:space="preserve"> InpS!AF$13</f>
        <v>2.1316000000000009E-2</v>
      </c>
      <c r="AG226" s="450">
        <f xml:space="preserve"> InpS!AG$13</f>
        <v>2.1367000000000008E-2</v>
      </c>
      <c r="AH226" s="450">
        <f xml:space="preserve"> InpS!AH$13</f>
        <v>2.1421000000000006E-2</v>
      </c>
      <c r="AI226" s="450">
        <f xml:space="preserve"> InpS!AI$13</f>
        <v>2.1470000000000006E-2</v>
      </c>
      <c r="AJ226" s="450">
        <f xml:space="preserve"> InpS!AJ$13</f>
        <v>2.1516000000000007E-2</v>
      </c>
      <c r="AK226" s="450">
        <f xml:space="preserve"> InpS!AK$13</f>
        <v>2.1570000000000006E-2</v>
      </c>
      <c r="AL226" s="450">
        <f xml:space="preserve"> InpS!AL$13</f>
        <v>2.1639000000000005E-2</v>
      </c>
      <c r="AM226" s="450">
        <f xml:space="preserve"> InpS!AM$13</f>
        <v>2.1709000000000006E-2</v>
      </c>
      <c r="AN226" s="450">
        <f xml:space="preserve"> InpS!AN$13</f>
        <v>2.1772000000000007E-2</v>
      </c>
      <c r="AO226" s="450">
        <f xml:space="preserve"> InpS!AO$13</f>
        <v>2.1813000000000006E-2</v>
      </c>
      <c r="AP226" s="450">
        <f xml:space="preserve"> InpS!AP$13</f>
        <v>2.1858000000000006E-2</v>
      </c>
      <c r="AQ226" s="450">
        <f xml:space="preserve"> InpS!AQ$13</f>
        <v>2.1913000000000005E-2</v>
      </c>
      <c r="AR226" s="450">
        <f xml:space="preserve"> InpS!AR$13</f>
        <v>2.1986000000000006E-2</v>
      </c>
      <c r="AS226" s="450">
        <f xml:space="preserve"> InpS!AS$13</f>
        <v>2.2041000000000005E-2</v>
      </c>
      <c r="AT226" s="450">
        <f xml:space="preserve"> InpS!AT$13</f>
        <v>2.2089000000000004E-2</v>
      </c>
      <c r="AU226" s="450">
        <f xml:space="preserve"> InpS!AU$13</f>
        <v>2.2148000000000004E-2</v>
      </c>
      <c r="AV226" s="450">
        <f xml:space="preserve"> InpS!AV$13</f>
        <v>2.2216000000000003E-2</v>
      </c>
      <c r="AW226" s="450">
        <f xml:space="preserve"> InpS!AW$13</f>
        <v>2.2282000000000003E-2</v>
      </c>
      <c r="AX226" s="450">
        <f xml:space="preserve"> InpS!AX$13</f>
        <v>2.2351000000000003E-2</v>
      </c>
      <c r="AY226" s="450">
        <f xml:space="preserve"> InpS!AY$13</f>
        <v>2.2409000000000002E-2</v>
      </c>
      <c r="AZ226" s="450">
        <f xml:space="preserve"> InpS!AZ$13</f>
        <v>2.2445000000000003E-2</v>
      </c>
      <c r="BA226" s="450">
        <f xml:space="preserve"> InpS!BA$13</f>
        <v>2.2489000000000002E-2</v>
      </c>
      <c r="BB226" s="450">
        <f xml:space="preserve"> InpS!BB$13</f>
        <v>2.2535000000000003E-2</v>
      </c>
      <c r="BC226" s="450">
        <f xml:space="preserve"> InpS!BC$13</f>
        <v>2.2607000000000002E-2</v>
      </c>
      <c r="BD226" s="450">
        <f xml:space="preserve"> InpS!BD$13</f>
        <v>2.2647E-2</v>
      </c>
      <c r="BE226" s="450">
        <f xml:space="preserve"> InpS!BE$13</f>
        <v>2.2683999999999999E-2</v>
      </c>
      <c r="BF226" s="450">
        <f xml:space="preserve"> InpS!BF$13</f>
        <v>2.2734000000000001E-2</v>
      </c>
      <c r="BG226" s="450">
        <f xml:space="preserve"> InpS!BG$13</f>
        <v>2.2806E-2</v>
      </c>
      <c r="BH226" s="450">
        <f xml:space="preserve"> InpS!BH$13</f>
        <v>2.2852000000000001E-2</v>
      </c>
      <c r="BI226" s="450">
        <f xml:space="preserve"> InpS!BI$13</f>
        <v>2.2898999999999999E-2</v>
      </c>
      <c r="BJ226" s="450">
        <f xml:space="preserve"> InpS!BJ$13</f>
        <v>2.2952999999999998E-2</v>
      </c>
      <c r="BK226" s="450">
        <f xml:space="preserve"> InpS!BK$13</f>
        <v>2.3027999999999996E-2</v>
      </c>
      <c r="BL226" s="450">
        <f xml:space="preserve"> InpS!BL$13</f>
        <v>2.3093999999999996E-2</v>
      </c>
      <c r="BM226" s="450">
        <f xml:space="preserve"> InpS!BM$13</f>
        <v>2.3145999999999996E-2</v>
      </c>
      <c r="BN226" s="450">
        <f xml:space="preserve"> InpS!BN$13</f>
        <v>2.3211999999999997E-2</v>
      </c>
      <c r="BO226" s="450">
        <f xml:space="preserve"> InpS!BO$13</f>
        <v>2.3253999999999997E-2</v>
      </c>
      <c r="BP226" s="450">
        <f xml:space="preserve"> InpS!BP$13</f>
        <v>2.3288999999999997E-2</v>
      </c>
      <c r="BQ226" s="450">
        <f xml:space="preserve"> InpS!BQ$13</f>
        <v>2.3333999999999997E-2</v>
      </c>
      <c r="BR226" s="450">
        <f xml:space="preserve"> InpS!BR$13</f>
        <v>2.3372999999999998E-2</v>
      </c>
      <c r="BS226" s="450">
        <f xml:space="preserve"> InpS!BS$13</f>
        <v>2.3413999999999997E-2</v>
      </c>
      <c r="BT226" s="450">
        <f xml:space="preserve"> InpS!BT$13</f>
        <v>2.3472999999999997E-2</v>
      </c>
      <c r="BU226" s="450">
        <f xml:space="preserve"> InpS!BU$13</f>
        <v>2.3519999999999996E-2</v>
      </c>
      <c r="BV226" s="450">
        <f xml:space="preserve"> InpS!BV$13</f>
        <v>2.3592999999999996E-2</v>
      </c>
      <c r="BW226" s="450">
        <f xml:space="preserve"> InpS!BW$13</f>
        <v>2.3660999999999995E-2</v>
      </c>
      <c r="BX226" s="450">
        <f xml:space="preserve"> InpS!BX$13</f>
        <v>2.3728999999999993E-2</v>
      </c>
      <c r="BY226" s="450">
        <f xml:space="preserve"> InpS!BY$13</f>
        <v>2.3785999999999995E-2</v>
      </c>
      <c r="BZ226" s="450">
        <f xml:space="preserve"> InpS!BZ$13</f>
        <v>2.3841999999999995E-2</v>
      </c>
      <c r="CA226" s="450">
        <f xml:space="preserve"> InpS!CA$13</f>
        <v>2.3907999999999995E-2</v>
      </c>
      <c r="CB226" s="450">
        <f xml:space="preserve"> InpS!CB$13</f>
        <v>2.3961999999999994E-2</v>
      </c>
      <c r="CC226" s="450">
        <f xml:space="preserve"> InpS!CC$13</f>
        <v>2.4011999999999995E-2</v>
      </c>
      <c r="CD226" s="450">
        <f xml:space="preserve"> InpS!CD$13</f>
        <v>2.4070999999999995E-2</v>
      </c>
      <c r="CE226" s="450">
        <f xml:space="preserve"> InpS!CE$13</f>
        <v>2.4119999999999996E-2</v>
      </c>
      <c r="CF226" s="450">
        <f xml:space="preserve"> InpS!CF$13</f>
        <v>2.4166999999999994E-2</v>
      </c>
      <c r="CG226" s="450">
        <f xml:space="preserve"> InpS!CG$13</f>
        <v>2.4215999999999994E-2</v>
      </c>
      <c r="CH226" s="450">
        <f xml:space="preserve"> InpS!CH$13</f>
        <v>2.4263999999999994E-2</v>
      </c>
      <c r="CI226" s="450">
        <f xml:space="preserve"> InpS!CI$13</f>
        <v>2.4301999999999994E-2</v>
      </c>
      <c r="CJ226" s="450">
        <f xml:space="preserve"> InpS!CJ$13</f>
        <v>2.4365999999999995E-2</v>
      </c>
      <c r="CK226" s="450">
        <f xml:space="preserve"> InpS!CK$13</f>
        <v>2.4408999999999997E-2</v>
      </c>
      <c r="CL226" s="450">
        <f xml:space="preserve"> InpS!CL$13</f>
        <v>2.4462999999999995E-2</v>
      </c>
      <c r="CM226" s="450">
        <f xml:space="preserve"> InpS!CM$13</f>
        <v>2.4530999999999994E-2</v>
      </c>
      <c r="CN226" s="450">
        <f xml:space="preserve"> InpS!CN$13</f>
        <v>2.4586999999999994E-2</v>
      </c>
      <c r="CO226" s="450">
        <f xml:space="preserve"> InpS!CO$13</f>
        <v>2.4622999999999996E-2</v>
      </c>
      <c r="CP226" s="450">
        <f xml:space="preserve"> InpS!CP$13</f>
        <v>2.4688999999999996E-2</v>
      </c>
      <c r="CQ226" s="450">
        <f xml:space="preserve"> InpS!CQ$13</f>
        <v>2.4738999999999997E-2</v>
      </c>
      <c r="CR226" s="450">
        <f xml:space="preserve"> InpS!CR$13</f>
        <v>2.4789999999999996E-2</v>
      </c>
      <c r="CS226" s="450">
        <f xml:space="preserve"> InpS!CS$13</f>
        <v>2.4834999999999996E-2</v>
      </c>
      <c r="CT226" s="450">
        <f xml:space="preserve"> InpS!CT$13</f>
        <v>2.4872999999999996E-2</v>
      </c>
      <c r="CU226" s="450">
        <f xml:space="preserve"> InpS!CU$13</f>
        <v>2.4930999999999995E-2</v>
      </c>
      <c r="CV226" s="450">
        <f xml:space="preserve"> InpS!CV$13</f>
        <v>2.4983999999999996E-2</v>
      </c>
    </row>
    <row r="227" spans="1:100" ht="12.75" outlineLevel="2" x14ac:dyDescent="0.2">
      <c r="A227" s="236"/>
      <c r="B227" s="236"/>
      <c r="C227" s="237"/>
      <c r="D227" s="238"/>
      <c r="E227" s="467" t="s">
        <v>982</v>
      </c>
      <c r="F227" s="467"/>
      <c r="G227" s="467" t="s">
        <v>116</v>
      </c>
      <c r="H227" s="467"/>
      <c r="I227" s="467"/>
      <c r="J227" s="467">
        <f t="shared" ref="J227:AO227" si="146" xml:space="preserve"> $F222 * $F223 + (1 - $F222) * J226 + J225 + $F224</f>
        <v>1.7000000000000001E-2</v>
      </c>
      <c r="K227" s="467">
        <f t="shared" si="146"/>
        <v>1.7000000000000001E-2</v>
      </c>
      <c r="L227" s="467">
        <f t="shared" si="146"/>
        <v>1.7000000000000001E-2</v>
      </c>
      <c r="M227" s="467">
        <f t="shared" si="146"/>
        <v>1.7000000000000001E-2</v>
      </c>
      <c r="N227" s="467">
        <f t="shared" si="146"/>
        <v>1.7000000000000001E-2</v>
      </c>
      <c r="O227" s="467">
        <f t="shared" si="146"/>
        <v>4.2000000000000003E-2</v>
      </c>
      <c r="P227" s="467">
        <f t="shared" si="146"/>
        <v>4.2000000000000003E-2</v>
      </c>
      <c r="Q227" s="467">
        <f t="shared" si="146"/>
        <v>4.2000000000000003E-2</v>
      </c>
      <c r="R227" s="467">
        <f t="shared" si="146"/>
        <v>4.2000000000000003E-2</v>
      </c>
      <c r="S227" s="467">
        <f t="shared" si="146"/>
        <v>4.2000000000000003E-2</v>
      </c>
      <c r="T227" s="467">
        <f t="shared" si="146"/>
        <v>4.2000000000000003E-2</v>
      </c>
      <c r="U227" s="467">
        <f t="shared" si="146"/>
        <v>4.2000000000000003E-2</v>
      </c>
      <c r="V227" s="467">
        <f t="shared" si="146"/>
        <v>4.2000000000000003E-2</v>
      </c>
      <c r="W227" s="467">
        <f t="shared" si="146"/>
        <v>4.2000000000000003E-2</v>
      </c>
      <c r="X227" s="467">
        <f t="shared" si="146"/>
        <v>4.2000000000000003E-2</v>
      </c>
      <c r="Y227" s="467">
        <f t="shared" si="146"/>
        <v>4.3999999999999997E-2</v>
      </c>
      <c r="Z227" s="467">
        <f t="shared" si="146"/>
        <v>4.3999999999999997E-2</v>
      </c>
      <c r="AA227" s="467">
        <f t="shared" si="146"/>
        <v>4.3999999999999997E-2</v>
      </c>
      <c r="AB227" s="467">
        <f t="shared" si="146"/>
        <v>4.3999999999999997E-2</v>
      </c>
      <c r="AC227" s="467">
        <f t="shared" si="146"/>
        <v>4.3999999999999997E-2</v>
      </c>
      <c r="AD227" s="467">
        <f t="shared" si="146"/>
        <v>4.3999999999999997E-2</v>
      </c>
      <c r="AE227" s="467">
        <f t="shared" si="146"/>
        <v>4.3999999999999997E-2</v>
      </c>
      <c r="AF227" s="467">
        <f t="shared" si="146"/>
        <v>4.3999999999999997E-2</v>
      </c>
      <c r="AG227" s="467">
        <f t="shared" si="146"/>
        <v>4.3999999999999997E-2</v>
      </c>
      <c r="AH227" s="467">
        <f t="shared" si="146"/>
        <v>4.3999999999999997E-2</v>
      </c>
      <c r="AI227" s="467">
        <f t="shared" si="146"/>
        <v>4.5999999999999999E-2</v>
      </c>
      <c r="AJ227" s="467">
        <f t="shared" si="146"/>
        <v>4.5999999999999999E-2</v>
      </c>
      <c r="AK227" s="467">
        <f t="shared" si="146"/>
        <v>4.5999999999999999E-2</v>
      </c>
      <c r="AL227" s="467">
        <f t="shared" si="146"/>
        <v>4.5999999999999999E-2</v>
      </c>
      <c r="AM227" s="467">
        <f t="shared" si="146"/>
        <v>4.5999999999999999E-2</v>
      </c>
      <c r="AN227" s="467">
        <f t="shared" si="146"/>
        <v>4.5999999999999999E-2</v>
      </c>
      <c r="AO227" s="467">
        <f t="shared" si="146"/>
        <v>4.5999999999999999E-2</v>
      </c>
      <c r="AP227" s="467">
        <f t="shared" ref="AP227:BU227" si="147" xml:space="preserve"> $F222 * $F223 + (1 - $F222) * AP226 + AP225 + $F224</f>
        <v>4.5999999999999999E-2</v>
      </c>
      <c r="AQ227" s="467">
        <f t="shared" si="147"/>
        <v>4.5999999999999999E-2</v>
      </c>
      <c r="AR227" s="467">
        <f t="shared" si="147"/>
        <v>4.5999999999999999E-2</v>
      </c>
      <c r="AS227" s="467">
        <f t="shared" si="147"/>
        <v>4.5999999999999999E-2</v>
      </c>
      <c r="AT227" s="467">
        <f t="shared" si="147"/>
        <v>4.5999999999999999E-2</v>
      </c>
      <c r="AU227" s="467">
        <f t="shared" si="147"/>
        <v>4.5999999999999999E-2</v>
      </c>
      <c r="AV227" s="467">
        <f t="shared" si="147"/>
        <v>4.5999999999999999E-2</v>
      </c>
      <c r="AW227" s="467">
        <f t="shared" si="147"/>
        <v>1.7000000000000001E-2</v>
      </c>
      <c r="AX227" s="467">
        <f t="shared" si="147"/>
        <v>1.7000000000000001E-2</v>
      </c>
      <c r="AY227" s="467">
        <f t="shared" si="147"/>
        <v>1.7000000000000001E-2</v>
      </c>
      <c r="AZ227" s="467">
        <f t="shared" si="147"/>
        <v>1.7000000000000001E-2</v>
      </c>
      <c r="BA227" s="467">
        <f t="shared" si="147"/>
        <v>1.7000000000000001E-2</v>
      </c>
      <c r="BB227" s="467">
        <f t="shared" si="147"/>
        <v>1.7000000000000001E-2</v>
      </c>
      <c r="BC227" s="467">
        <f t="shared" si="147"/>
        <v>1.7000000000000001E-2</v>
      </c>
      <c r="BD227" s="467">
        <f t="shared" si="147"/>
        <v>1.7000000000000001E-2</v>
      </c>
      <c r="BE227" s="467">
        <f t="shared" si="147"/>
        <v>1.7000000000000001E-2</v>
      </c>
      <c r="BF227" s="467">
        <f t="shared" si="147"/>
        <v>1.7000000000000001E-2</v>
      </c>
      <c r="BG227" s="467">
        <f t="shared" si="147"/>
        <v>1.7000000000000001E-2</v>
      </c>
      <c r="BH227" s="467">
        <f t="shared" si="147"/>
        <v>1.7000000000000001E-2</v>
      </c>
      <c r="BI227" s="467">
        <f t="shared" si="147"/>
        <v>1.7000000000000001E-2</v>
      </c>
      <c r="BJ227" s="467">
        <f t="shared" si="147"/>
        <v>1.7000000000000001E-2</v>
      </c>
      <c r="BK227" s="467">
        <f t="shared" si="147"/>
        <v>1.7000000000000001E-2</v>
      </c>
      <c r="BL227" s="467">
        <f t="shared" si="147"/>
        <v>1.7000000000000001E-2</v>
      </c>
      <c r="BM227" s="467">
        <f t="shared" si="147"/>
        <v>1.7000000000000001E-2</v>
      </c>
      <c r="BN227" s="467">
        <f t="shared" si="147"/>
        <v>1.7000000000000001E-2</v>
      </c>
      <c r="BO227" s="467">
        <f t="shared" si="147"/>
        <v>1.7000000000000001E-2</v>
      </c>
      <c r="BP227" s="467">
        <f t="shared" si="147"/>
        <v>1.7000000000000001E-2</v>
      </c>
      <c r="BQ227" s="467">
        <f t="shared" si="147"/>
        <v>1.7000000000000001E-2</v>
      </c>
      <c r="BR227" s="467">
        <f t="shared" si="147"/>
        <v>1.7000000000000001E-2</v>
      </c>
      <c r="BS227" s="467">
        <f t="shared" si="147"/>
        <v>1.7000000000000001E-2</v>
      </c>
      <c r="BT227" s="467">
        <f t="shared" si="147"/>
        <v>1.7000000000000001E-2</v>
      </c>
      <c r="BU227" s="467">
        <f t="shared" si="147"/>
        <v>1.7000000000000001E-2</v>
      </c>
      <c r="BV227" s="467">
        <f t="shared" ref="BV227:CV227" si="148" xml:space="preserve"> $F222 * $F223 + (1 - $F222) * BV226 + BV225 + $F224</f>
        <v>1.7000000000000001E-2</v>
      </c>
      <c r="BW227" s="467">
        <f t="shared" si="148"/>
        <v>1.7000000000000001E-2</v>
      </c>
      <c r="BX227" s="467">
        <f t="shared" si="148"/>
        <v>1.7000000000000001E-2</v>
      </c>
      <c r="BY227" s="467">
        <f t="shared" si="148"/>
        <v>1.7000000000000001E-2</v>
      </c>
      <c r="BZ227" s="467">
        <f t="shared" si="148"/>
        <v>1.7000000000000001E-2</v>
      </c>
      <c r="CA227" s="467">
        <f t="shared" si="148"/>
        <v>1.7000000000000001E-2</v>
      </c>
      <c r="CB227" s="467">
        <f t="shared" si="148"/>
        <v>1.7000000000000001E-2</v>
      </c>
      <c r="CC227" s="467">
        <f t="shared" si="148"/>
        <v>1.7000000000000001E-2</v>
      </c>
      <c r="CD227" s="467">
        <f t="shared" si="148"/>
        <v>1.7000000000000001E-2</v>
      </c>
      <c r="CE227" s="467">
        <f t="shared" si="148"/>
        <v>1.7000000000000001E-2</v>
      </c>
      <c r="CF227" s="467">
        <f t="shared" si="148"/>
        <v>1.7000000000000001E-2</v>
      </c>
      <c r="CG227" s="467">
        <f t="shared" si="148"/>
        <v>1.7000000000000001E-2</v>
      </c>
      <c r="CH227" s="467">
        <f t="shared" si="148"/>
        <v>1.7000000000000001E-2</v>
      </c>
      <c r="CI227" s="467">
        <f t="shared" si="148"/>
        <v>1.7000000000000001E-2</v>
      </c>
      <c r="CJ227" s="467">
        <f t="shared" si="148"/>
        <v>1.7000000000000001E-2</v>
      </c>
      <c r="CK227" s="467">
        <f t="shared" si="148"/>
        <v>1.7000000000000001E-2</v>
      </c>
      <c r="CL227" s="467">
        <f t="shared" si="148"/>
        <v>1.7000000000000001E-2</v>
      </c>
      <c r="CM227" s="467">
        <f t="shared" si="148"/>
        <v>1.7000000000000001E-2</v>
      </c>
      <c r="CN227" s="467">
        <f t="shared" si="148"/>
        <v>1.7000000000000001E-2</v>
      </c>
      <c r="CO227" s="467">
        <f t="shared" si="148"/>
        <v>1.7000000000000001E-2</v>
      </c>
      <c r="CP227" s="467">
        <f t="shared" si="148"/>
        <v>1.7000000000000001E-2</v>
      </c>
      <c r="CQ227" s="467">
        <f t="shared" si="148"/>
        <v>1.7000000000000001E-2</v>
      </c>
      <c r="CR227" s="467">
        <f t="shared" si="148"/>
        <v>1.7000000000000001E-2</v>
      </c>
      <c r="CS227" s="467">
        <f t="shared" si="148"/>
        <v>1.7000000000000001E-2</v>
      </c>
      <c r="CT227" s="467">
        <f t="shared" si="148"/>
        <v>1.7000000000000001E-2</v>
      </c>
      <c r="CU227" s="467">
        <f t="shared" si="148"/>
        <v>1.7000000000000001E-2</v>
      </c>
      <c r="CV227" s="467">
        <f t="shared" si="148"/>
        <v>1.7000000000000001E-2</v>
      </c>
    </row>
    <row r="228" spans="1:100" ht="12.75" outlineLevel="2" x14ac:dyDescent="0.2"/>
    <row r="229" spans="1:100" ht="12.75" outlineLevel="2" x14ac:dyDescent="0.2">
      <c r="E229" s="145" t="str">
        <f xml:space="preserve"> InpC!E$228</f>
        <v>Senior debt - T1 day count convention</v>
      </c>
      <c r="F229" s="145">
        <f xml:space="preserve"> InpC!F$228</f>
        <v>360</v>
      </c>
      <c r="G229" s="145" t="str">
        <f xml:space="preserve"> InpC!G$228</f>
        <v>days</v>
      </c>
      <c r="H229" s="38"/>
    </row>
    <row r="230" spans="1:100" ht="12.75" outlineLevel="2" x14ac:dyDescent="0.2">
      <c r="E230" s="186" t="str">
        <f xml:space="preserve"> Time!E$246</f>
        <v>Days in period</v>
      </c>
      <c r="F230" s="186">
        <f xml:space="preserve"> Time!F$246</f>
        <v>0</v>
      </c>
      <c r="G230" s="186" t="str">
        <f xml:space="preserve"> Time!G$246</f>
        <v>days</v>
      </c>
      <c r="H230" s="186">
        <f xml:space="preserve"> Time!H$246</f>
        <v>0</v>
      </c>
      <c r="I230" s="186">
        <f xml:space="preserve"> Time!I$246</f>
        <v>0</v>
      </c>
      <c r="J230" s="186">
        <f xml:space="preserve"> Time!J$246</f>
        <v>181</v>
      </c>
      <c r="K230" s="186">
        <f xml:space="preserve"> Time!K$246</f>
        <v>184</v>
      </c>
      <c r="L230" s="186">
        <f xml:space="preserve"> Time!L$246</f>
        <v>181</v>
      </c>
      <c r="M230" s="186">
        <f xml:space="preserve"> Time!M$246</f>
        <v>184</v>
      </c>
      <c r="N230" s="186">
        <f xml:space="preserve"> Time!N$246</f>
        <v>182</v>
      </c>
      <c r="O230" s="186">
        <f xml:space="preserve"> Time!O$246</f>
        <v>184</v>
      </c>
      <c r="P230" s="186">
        <f xml:space="preserve"> Time!P$246</f>
        <v>181</v>
      </c>
      <c r="Q230" s="186">
        <f xml:space="preserve"> Time!Q$246</f>
        <v>184</v>
      </c>
      <c r="R230" s="186">
        <f xml:space="preserve"> Time!R$246</f>
        <v>181</v>
      </c>
      <c r="S230" s="186">
        <f xml:space="preserve"> Time!S$246</f>
        <v>184</v>
      </c>
      <c r="T230" s="186">
        <f xml:space="preserve"> Time!T$246</f>
        <v>181</v>
      </c>
      <c r="U230" s="186">
        <f xml:space="preserve"> Time!U$246</f>
        <v>184</v>
      </c>
      <c r="V230" s="186">
        <f xml:space="preserve"> Time!V$246</f>
        <v>182</v>
      </c>
      <c r="W230" s="186">
        <f xml:space="preserve"> Time!W$246</f>
        <v>184</v>
      </c>
      <c r="X230" s="186">
        <f xml:space="preserve"> Time!X$246</f>
        <v>181</v>
      </c>
      <c r="Y230" s="186">
        <f xml:space="preserve"> Time!Y$246</f>
        <v>184</v>
      </c>
      <c r="Z230" s="186">
        <f xml:space="preserve"> Time!Z$246</f>
        <v>181</v>
      </c>
      <c r="AA230" s="186">
        <f xml:space="preserve"> Time!AA$246</f>
        <v>184</v>
      </c>
      <c r="AB230" s="186">
        <f xml:space="preserve"> Time!AB$246</f>
        <v>181</v>
      </c>
      <c r="AC230" s="186">
        <f xml:space="preserve"> Time!AC$246</f>
        <v>184</v>
      </c>
      <c r="AD230" s="186">
        <f xml:space="preserve"> Time!AD$246</f>
        <v>182</v>
      </c>
      <c r="AE230" s="186">
        <f xml:space="preserve"> Time!AE$246</f>
        <v>184</v>
      </c>
      <c r="AF230" s="186">
        <f xml:space="preserve"> Time!AF$246</f>
        <v>181</v>
      </c>
      <c r="AG230" s="186">
        <f xml:space="preserve"> Time!AG$246</f>
        <v>184</v>
      </c>
      <c r="AH230" s="186">
        <f xml:space="preserve"> Time!AH$246</f>
        <v>181</v>
      </c>
      <c r="AI230" s="186">
        <f xml:space="preserve"> Time!AI$246</f>
        <v>184</v>
      </c>
      <c r="AJ230" s="186">
        <f xml:space="preserve"> Time!AJ$246</f>
        <v>181</v>
      </c>
      <c r="AK230" s="186">
        <f xml:space="preserve"> Time!AK$246</f>
        <v>184</v>
      </c>
      <c r="AL230" s="186">
        <f xml:space="preserve"> Time!AL$246</f>
        <v>182</v>
      </c>
      <c r="AM230" s="186">
        <f xml:space="preserve"> Time!AM$246</f>
        <v>184</v>
      </c>
      <c r="AN230" s="186">
        <f xml:space="preserve"> Time!AN$246</f>
        <v>181</v>
      </c>
      <c r="AO230" s="186">
        <f xml:space="preserve"> Time!AO$246</f>
        <v>184</v>
      </c>
      <c r="AP230" s="186">
        <f xml:space="preserve"> Time!AP$246</f>
        <v>181</v>
      </c>
      <c r="AQ230" s="186">
        <f xml:space="preserve"> Time!AQ$246</f>
        <v>184</v>
      </c>
      <c r="AR230" s="186">
        <f xml:space="preserve"> Time!AR$246</f>
        <v>181</v>
      </c>
      <c r="AS230" s="186">
        <f xml:space="preserve"> Time!AS$246</f>
        <v>184</v>
      </c>
      <c r="AT230" s="186">
        <f xml:space="preserve"> Time!AT$246</f>
        <v>182</v>
      </c>
      <c r="AU230" s="186">
        <f xml:space="preserve"> Time!AU$246</f>
        <v>184</v>
      </c>
      <c r="AV230" s="186">
        <f xml:space="preserve"> Time!AV$246</f>
        <v>181</v>
      </c>
      <c r="AW230" s="186">
        <f xml:space="preserve"> Time!AW$246</f>
        <v>184</v>
      </c>
      <c r="AX230" s="186">
        <f xml:space="preserve"> Time!AX$246</f>
        <v>181</v>
      </c>
      <c r="AY230" s="186">
        <f xml:space="preserve"> Time!AY$246</f>
        <v>184</v>
      </c>
      <c r="AZ230" s="186">
        <f xml:space="preserve"> Time!AZ$246</f>
        <v>181</v>
      </c>
      <c r="BA230" s="186">
        <f xml:space="preserve"> Time!BA$246</f>
        <v>184</v>
      </c>
      <c r="BB230" s="186">
        <f xml:space="preserve"> Time!BB$246</f>
        <v>182</v>
      </c>
      <c r="BC230" s="186">
        <f xml:space="preserve"> Time!BC$246</f>
        <v>184</v>
      </c>
      <c r="BD230" s="186">
        <f xml:space="preserve"> Time!BD$246</f>
        <v>181</v>
      </c>
      <c r="BE230" s="186">
        <f xml:space="preserve"> Time!BE$246</f>
        <v>184</v>
      </c>
      <c r="BF230" s="186">
        <f xml:space="preserve"> Time!BF$246</f>
        <v>181</v>
      </c>
      <c r="BG230" s="186">
        <f xml:space="preserve"> Time!BG$246</f>
        <v>184</v>
      </c>
      <c r="BH230" s="186">
        <f xml:space="preserve"> Time!BH$246</f>
        <v>181</v>
      </c>
      <c r="BI230" s="186">
        <f xml:space="preserve"> Time!BI$246</f>
        <v>184</v>
      </c>
      <c r="BJ230" s="186">
        <f xml:space="preserve"> Time!BJ$246</f>
        <v>182</v>
      </c>
      <c r="BK230" s="186">
        <f xml:space="preserve"> Time!BK$246</f>
        <v>184</v>
      </c>
      <c r="BL230" s="186">
        <f xml:space="preserve"> Time!BL$246</f>
        <v>181</v>
      </c>
      <c r="BM230" s="186">
        <f xml:space="preserve"> Time!BM$246</f>
        <v>184</v>
      </c>
      <c r="BN230" s="186">
        <f xml:space="preserve"> Time!BN$246</f>
        <v>181</v>
      </c>
      <c r="BO230" s="186">
        <f xml:space="preserve"> Time!BO$246</f>
        <v>184</v>
      </c>
      <c r="BP230" s="186">
        <f xml:space="preserve"> Time!BP$246</f>
        <v>181</v>
      </c>
      <c r="BQ230" s="186">
        <f xml:space="preserve"> Time!BQ$246</f>
        <v>184</v>
      </c>
      <c r="BR230" s="186">
        <f xml:space="preserve"> Time!BR$246</f>
        <v>182</v>
      </c>
      <c r="BS230" s="186">
        <f xml:space="preserve"> Time!BS$246</f>
        <v>184</v>
      </c>
      <c r="BT230" s="186">
        <f xml:space="preserve"> Time!BT$246</f>
        <v>181</v>
      </c>
      <c r="BU230" s="186">
        <f xml:space="preserve"> Time!BU$246</f>
        <v>184</v>
      </c>
      <c r="BV230" s="186">
        <f xml:space="preserve"> Time!BV$246</f>
        <v>181</v>
      </c>
      <c r="BW230" s="186">
        <f xml:space="preserve"> Time!BW$246</f>
        <v>184</v>
      </c>
      <c r="BX230" s="186">
        <f xml:space="preserve"> Time!BX$246</f>
        <v>181</v>
      </c>
      <c r="BY230" s="186">
        <f xml:space="preserve"> Time!BY$246</f>
        <v>184</v>
      </c>
      <c r="BZ230" s="186">
        <f xml:space="preserve"> Time!BZ$246</f>
        <v>182</v>
      </c>
      <c r="CA230" s="186">
        <f xml:space="preserve"> Time!CA$246</f>
        <v>184</v>
      </c>
      <c r="CB230" s="186">
        <f xml:space="preserve"> Time!CB$246</f>
        <v>181</v>
      </c>
      <c r="CC230" s="186">
        <f xml:space="preserve"> Time!CC$246</f>
        <v>184</v>
      </c>
      <c r="CD230" s="186">
        <f xml:space="preserve"> Time!CD$246</f>
        <v>181</v>
      </c>
      <c r="CE230" s="186">
        <f xml:space="preserve"> Time!CE$246</f>
        <v>184</v>
      </c>
      <c r="CF230" s="186">
        <f xml:space="preserve"> Time!CF$246</f>
        <v>181</v>
      </c>
      <c r="CG230" s="186">
        <f xml:space="preserve"> Time!CG$246</f>
        <v>184</v>
      </c>
      <c r="CH230" s="186">
        <f xml:space="preserve"> Time!CH$246</f>
        <v>182</v>
      </c>
      <c r="CI230" s="186">
        <f xml:space="preserve"> Time!CI$246</f>
        <v>184</v>
      </c>
      <c r="CJ230" s="186">
        <f xml:space="preserve"> Time!CJ$246</f>
        <v>181</v>
      </c>
      <c r="CK230" s="186">
        <f xml:space="preserve"> Time!CK$246</f>
        <v>184</v>
      </c>
      <c r="CL230" s="186">
        <f xml:space="preserve"> Time!CL$246</f>
        <v>181</v>
      </c>
      <c r="CM230" s="186">
        <f xml:space="preserve"> Time!CM$246</f>
        <v>184</v>
      </c>
      <c r="CN230" s="186">
        <f xml:space="preserve"> Time!CN$246</f>
        <v>181</v>
      </c>
      <c r="CO230" s="186">
        <f xml:space="preserve"> Time!CO$246</f>
        <v>184</v>
      </c>
      <c r="CP230" s="186">
        <f xml:space="preserve"> Time!CP$246</f>
        <v>182</v>
      </c>
      <c r="CQ230" s="186">
        <f xml:space="preserve"> Time!CQ$246</f>
        <v>184</v>
      </c>
      <c r="CR230" s="186">
        <f xml:space="preserve"> Time!CR$246</f>
        <v>181</v>
      </c>
      <c r="CS230" s="186">
        <f xml:space="preserve"> Time!CS$246</f>
        <v>184</v>
      </c>
      <c r="CT230" s="186">
        <f xml:space="preserve"> Time!CT$246</f>
        <v>181</v>
      </c>
      <c r="CU230" s="186">
        <f xml:space="preserve"> Time!CU$246</f>
        <v>184</v>
      </c>
      <c r="CV230" s="186">
        <f xml:space="preserve"> Time!CV$246</f>
        <v>181</v>
      </c>
    </row>
    <row r="231" spans="1:100" ht="12.75" outlineLevel="2" x14ac:dyDescent="0.2">
      <c r="E231" s="287" t="str">
        <f t="shared" ref="E231:AJ231" si="149" xml:space="preserve"> E$227</f>
        <v>All in annual Senior debt interest rate - T1</v>
      </c>
      <c r="F231" s="287">
        <f t="shared" si="149"/>
        <v>0</v>
      </c>
      <c r="G231" s="287" t="str">
        <f t="shared" si="149"/>
        <v>% p.a.</v>
      </c>
      <c r="H231" s="287">
        <f t="shared" si="149"/>
        <v>0</v>
      </c>
      <c r="I231" s="287">
        <f t="shared" si="149"/>
        <v>0</v>
      </c>
      <c r="J231" s="287">
        <f t="shared" si="149"/>
        <v>1.7000000000000001E-2</v>
      </c>
      <c r="K231" s="287">
        <f t="shared" si="149"/>
        <v>1.7000000000000001E-2</v>
      </c>
      <c r="L231" s="287">
        <f t="shared" si="149"/>
        <v>1.7000000000000001E-2</v>
      </c>
      <c r="M231" s="287">
        <f t="shared" si="149"/>
        <v>1.7000000000000001E-2</v>
      </c>
      <c r="N231" s="287">
        <f t="shared" si="149"/>
        <v>1.7000000000000001E-2</v>
      </c>
      <c r="O231" s="287">
        <f t="shared" si="149"/>
        <v>4.2000000000000003E-2</v>
      </c>
      <c r="P231" s="287">
        <f t="shared" si="149"/>
        <v>4.2000000000000003E-2</v>
      </c>
      <c r="Q231" s="287">
        <f t="shared" si="149"/>
        <v>4.2000000000000003E-2</v>
      </c>
      <c r="R231" s="287">
        <f t="shared" si="149"/>
        <v>4.2000000000000003E-2</v>
      </c>
      <c r="S231" s="287">
        <f t="shared" si="149"/>
        <v>4.2000000000000003E-2</v>
      </c>
      <c r="T231" s="287">
        <f t="shared" si="149"/>
        <v>4.2000000000000003E-2</v>
      </c>
      <c r="U231" s="287">
        <f t="shared" si="149"/>
        <v>4.2000000000000003E-2</v>
      </c>
      <c r="V231" s="287">
        <f t="shared" si="149"/>
        <v>4.2000000000000003E-2</v>
      </c>
      <c r="W231" s="287">
        <f t="shared" si="149"/>
        <v>4.2000000000000003E-2</v>
      </c>
      <c r="X231" s="287">
        <f t="shared" si="149"/>
        <v>4.2000000000000003E-2</v>
      </c>
      <c r="Y231" s="287">
        <f t="shared" si="149"/>
        <v>4.3999999999999997E-2</v>
      </c>
      <c r="Z231" s="287">
        <f t="shared" si="149"/>
        <v>4.3999999999999997E-2</v>
      </c>
      <c r="AA231" s="287">
        <f t="shared" si="149"/>
        <v>4.3999999999999997E-2</v>
      </c>
      <c r="AB231" s="287">
        <f t="shared" si="149"/>
        <v>4.3999999999999997E-2</v>
      </c>
      <c r="AC231" s="287">
        <f t="shared" si="149"/>
        <v>4.3999999999999997E-2</v>
      </c>
      <c r="AD231" s="287">
        <f t="shared" si="149"/>
        <v>4.3999999999999997E-2</v>
      </c>
      <c r="AE231" s="287">
        <f t="shared" si="149"/>
        <v>4.3999999999999997E-2</v>
      </c>
      <c r="AF231" s="287">
        <f t="shared" si="149"/>
        <v>4.3999999999999997E-2</v>
      </c>
      <c r="AG231" s="287">
        <f t="shared" si="149"/>
        <v>4.3999999999999997E-2</v>
      </c>
      <c r="AH231" s="287">
        <f t="shared" si="149"/>
        <v>4.3999999999999997E-2</v>
      </c>
      <c r="AI231" s="287">
        <f t="shared" si="149"/>
        <v>4.5999999999999999E-2</v>
      </c>
      <c r="AJ231" s="287">
        <f t="shared" si="149"/>
        <v>4.5999999999999999E-2</v>
      </c>
      <c r="AK231" s="287">
        <f t="shared" ref="AK231:BP231" si="150" xml:space="preserve"> AK$227</f>
        <v>4.5999999999999999E-2</v>
      </c>
      <c r="AL231" s="287">
        <f t="shared" si="150"/>
        <v>4.5999999999999999E-2</v>
      </c>
      <c r="AM231" s="287">
        <f t="shared" si="150"/>
        <v>4.5999999999999999E-2</v>
      </c>
      <c r="AN231" s="287">
        <f t="shared" si="150"/>
        <v>4.5999999999999999E-2</v>
      </c>
      <c r="AO231" s="287">
        <f t="shared" si="150"/>
        <v>4.5999999999999999E-2</v>
      </c>
      <c r="AP231" s="287">
        <f t="shared" si="150"/>
        <v>4.5999999999999999E-2</v>
      </c>
      <c r="AQ231" s="287">
        <f t="shared" si="150"/>
        <v>4.5999999999999999E-2</v>
      </c>
      <c r="AR231" s="287">
        <f t="shared" si="150"/>
        <v>4.5999999999999999E-2</v>
      </c>
      <c r="AS231" s="287">
        <f t="shared" si="150"/>
        <v>4.5999999999999999E-2</v>
      </c>
      <c r="AT231" s="287">
        <f t="shared" si="150"/>
        <v>4.5999999999999999E-2</v>
      </c>
      <c r="AU231" s="287">
        <f t="shared" si="150"/>
        <v>4.5999999999999999E-2</v>
      </c>
      <c r="AV231" s="287">
        <f t="shared" si="150"/>
        <v>4.5999999999999999E-2</v>
      </c>
      <c r="AW231" s="287">
        <f t="shared" si="150"/>
        <v>1.7000000000000001E-2</v>
      </c>
      <c r="AX231" s="287">
        <f t="shared" si="150"/>
        <v>1.7000000000000001E-2</v>
      </c>
      <c r="AY231" s="287">
        <f t="shared" si="150"/>
        <v>1.7000000000000001E-2</v>
      </c>
      <c r="AZ231" s="287">
        <f t="shared" si="150"/>
        <v>1.7000000000000001E-2</v>
      </c>
      <c r="BA231" s="287">
        <f t="shared" si="150"/>
        <v>1.7000000000000001E-2</v>
      </c>
      <c r="BB231" s="287">
        <f t="shared" si="150"/>
        <v>1.7000000000000001E-2</v>
      </c>
      <c r="BC231" s="287">
        <f t="shared" si="150"/>
        <v>1.7000000000000001E-2</v>
      </c>
      <c r="BD231" s="287">
        <f t="shared" si="150"/>
        <v>1.7000000000000001E-2</v>
      </c>
      <c r="BE231" s="287">
        <f t="shared" si="150"/>
        <v>1.7000000000000001E-2</v>
      </c>
      <c r="BF231" s="287">
        <f t="shared" si="150"/>
        <v>1.7000000000000001E-2</v>
      </c>
      <c r="BG231" s="287">
        <f t="shared" si="150"/>
        <v>1.7000000000000001E-2</v>
      </c>
      <c r="BH231" s="287">
        <f t="shared" si="150"/>
        <v>1.7000000000000001E-2</v>
      </c>
      <c r="BI231" s="287">
        <f t="shared" si="150"/>
        <v>1.7000000000000001E-2</v>
      </c>
      <c r="BJ231" s="287">
        <f t="shared" si="150"/>
        <v>1.7000000000000001E-2</v>
      </c>
      <c r="BK231" s="287">
        <f t="shared" si="150"/>
        <v>1.7000000000000001E-2</v>
      </c>
      <c r="BL231" s="287">
        <f t="shared" si="150"/>
        <v>1.7000000000000001E-2</v>
      </c>
      <c r="BM231" s="287">
        <f t="shared" si="150"/>
        <v>1.7000000000000001E-2</v>
      </c>
      <c r="BN231" s="287">
        <f t="shared" si="150"/>
        <v>1.7000000000000001E-2</v>
      </c>
      <c r="BO231" s="287">
        <f t="shared" si="150"/>
        <v>1.7000000000000001E-2</v>
      </c>
      <c r="BP231" s="287">
        <f t="shared" si="150"/>
        <v>1.7000000000000001E-2</v>
      </c>
      <c r="BQ231" s="287">
        <f t="shared" ref="BQ231:CV231" si="151" xml:space="preserve"> BQ$227</f>
        <v>1.7000000000000001E-2</v>
      </c>
      <c r="BR231" s="287">
        <f t="shared" si="151"/>
        <v>1.7000000000000001E-2</v>
      </c>
      <c r="BS231" s="287">
        <f t="shared" si="151"/>
        <v>1.7000000000000001E-2</v>
      </c>
      <c r="BT231" s="287">
        <f t="shared" si="151"/>
        <v>1.7000000000000001E-2</v>
      </c>
      <c r="BU231" s="287">
        <f t="shared" si="151"/>
        <v>1.7000000000000001E-2</v>
      </c>
      <c r="BV231" s="287">
        <f t="shared" si="151"/>
        <v>1.7000000000000001E-2</v>
      </c>
      <c r="BW231" s="287">
        <f t="shared" si="151"/>
        <v>1.7000000000000001E-2</v>
      </c>
      <c r="BX231" s="287">
        <f t="shared" si="151"/>
        <v>1.7000000000000001E-2</v>
      </c>
      <c r="BY231" s="287">
        <f t="shared" si="151"/>
        <v>1.7000000000000001E-2</v>
      </c>
      <c r="BZ231" s="287">
        <f t="shared" si="151"/>
        <v>1.7000000000000001E-2</v>
      </c>
      <c r="CA231" s="287">
        <f t="shared" si="151"/>
        <v>1.7000000000000001E-2</v>
      </c>
      <c r="CB231" s="287">
        <f t="shared" si="151"/>
        <v>1.7000000000000001E-2</v>
      </c>
      <c r="CC231" s="287">
        <f t="shared" si="151"/>
        <v>1.7000000000000001E-2</v>
      </c>
      <c r="CD231" s="287">
        <f t="shared" si="151"/>
        <v>1.7000000000000001E-2</v>
      </c>
      <c r="CE231" s="287">
        <f t="shared" si="151"/>
        <v>1.7000000000000001E-2</v>
      </c>
      <c r="CF231" s="287">
        <f t="shared" si="151"/>
        <v>1.7000000000000001E-2</v>
      </c>
      <c r="CG231" s="287">
        <f t="shared" si="151"/>
        <v>1.7000000000000001E-2</v>
      </c>
      <c r="CH231" s="287">
        <f t="shared" si="151"/>
        <v>1.7000000000000001E-2</v>
      </c>
      <c r="CI231" s="287">
        <f t="shared" si="151"/>
        <v>1.7000000000000001E-2</v>
      </c>
      <c r="CJ231" s="287">
        <f t="shared" si="151"/>
        <v>1.7000000000000001E-2</v>
      </c>
      <c r="CK231" s="287">
        <f t="shared" si="151"/>
        <v>1.7000000000000001E-2</v>
      </c>
      <c r="CL231" s="287">
        <f t="shared" si="151"/>
        <v>1.7000000000000001E-2</v>
      </c>
      <c r="CM231" s="287">
        <f t="shared" si="151"/>
        <v>1.7000000000000001E-2</v>
      </c>
      <c r="CN231" s="287">
        <f t="shared" si="151"/>
        <v>1.7000000000000001E-2</v>
      </c>
      <c r="CO231" s="287">
        <f t="shared" si="151"/>
        <v>1.7000000000000001E-2</v>
      </c>
      <c r="CP231" s="287">
        <f t="shared" si="151"/>
        <v>1.7000000000000001E-2</v>
      </c>
      <c r="CQ231" s="287">
        <f t="shared" si="151"/>
        <v>1.7000000000000001E-2</v>
      </c>
      <c r="CR231" s="287">
        <f t="shared" si="151"/>
        <v>1.7000000000000001E-2</v>
      </c>
      <c r="CS231" s="287">
        <f t="shared" si="151"/>
        <v>1.7000000000000001E-2</v>
      </c>
      <c r="CT231" s="287">
        <f t="shared" si="151"/>
        <v>1.7000000000000001E-2</v>
      </c>
      <c r="CU231" s="287">
        <f t="shared" si="151"/>
        <v>1.7000000000000001E-2</v>
      </c>
      <c r="CV231" s="287">
        <f t="shared" si="151"/>
        <v>1.7000000000000001E-2</v>
      </c>
    </row>
    <row r="232" spans="1:100" ht="12.75" outlineLevel="2" x14ac:dyDescent="0.2">
      <c r="A232" s="311"/>
      <c r="B232" s="311"/>
      <c r="C232" s="312"/>
      <c r="D232" s="313"/>
      <c r="E232" s="314" t="s">
        <v>983</v>
      </c>
      <c r="F232" s="314"/>
      <c r="G232" s="314" t="s">
        <v>103</v>
      </c>
      <c r="H232" s="314"/>
      <c r="I232" s="315"/>
      <c r="J232" s="314">
        <f t="shared" ref="J232:AO232" si="152">J231 / $F229 * J230</f>
        <v>8.5472222222222234E-3</v>
      </c>
      <c r="K232" s="314">
        <f t="shared" si="152"/>
        <v>8.6888888888888901E-3</v>
      </c>
      <c r="L232" s="314">
        <f t="shared" si="152"/>
        <v>8.5472222222222234E-3</v>
      </c>
      <c r="M232" s="314">
        <f t="shared" si="152"/>
        <v>8.6888888888888901E-3</v>
      </c>
      <c r="N232" s="314">
        <f t="shared" si="152"/>
        <v>8.5944444444444462E-3</v>
      </c>
      <c r="O232" s="314">
        <f t="shared" si="152"/>
        <v>2.1466666666666669E-2</v>
      </c>
      <c r="P232" s="314">
        <f t="shared" si="152"/>
        <v>2.1116666666666669E-2</v>
      </c>
      <c r="Q232" s="314">
        <f t="shared" si="152"/>
        <v>2.1466666666666669E-2</v>
      </c>
      <c r="R232" s="314">
        <f t="shared" si="152"/>
        <v>2.1116666666666669E-2</v>
      </c>
      <c r="S232" s="314">
        <f t="shared" si="152"/>
        <v>2.1466666666666669E-2</v>
      </c>
      <c r="T232" s="314">
        <f t="shared" si="152"/>
        <v>2.1116666666666669E-2</v>
      </c>
      <c r="U232" s="314">
        <f t="shared" si="152"/>
        <v>2.1466666666666669E-2</v>
      </c>
      <c r="V232" s="314">
        <f t="shared" si="152"/>
        <v>2.1233333333333337E-2</v>
      </c>
      <c r="W232" s="314">
        <f t="shared" si="152"/>
        <v>2.1466666666666669E-2</v>
      </c>
      <c r="X232" s="314">
        <f t="shared" si="152"/>
        <v>2.1116666666666669E-2</v>
      </c>
      <c r="Y232" s="314">
        <f t="shared" si="152"/>
        <v>2.2488888888888888E-2</v>
      </c>
      <c r="Z232" s="314">
        <f t="shared" si="152"/>
        <v>2.212222222222222E-2</v>
      </c>
      <c r="AA232" s="314">
        <f t="shared" si="152"/>
        <v>2.2488888888888888E-2</v>
      </c>
      <c r="AB232" s="314">
        <f t="shared" si="152"/>
        <v>2.212222222222222E-2</v>
      </c>
      <c r="AC232" s="314">
        <f t="shared" si="152"/>
        <v>2.2488888888888888E-2</v>
      </c>
      <c r="AD232" s="314">
        <f t="shared" si="152"/>
        <v>2.2244444444444442E-2</v>
      </c>
      <c r="AE232" s="314">
        <f t="shared" si="152"/>
        <v>2.2488888888888888E-2</v>
      </c>
      <c r="AF232" s="314">
        <f t="shared" si="152"/>
        <v>2.212222222222222E-2</v>
      </c>
      <c r="AG232" s="314">
        <f t="shared" si="152"/>
        <v>2.2488888888888888E-2</v>
      </c>
      <c r="AH232" s="314">
        <f t="shared" si="152"/>
        <v>2.212222222222222E-2</v>
      </c>
      <c r="AI232" s="314">
        <f t="shared" si="152"/>
        <v>2.3511111111111108E-2</v>
      </c>
      <c r="AJ232" s="314">
        <f t="shared" si="152"/>
        <v>2.3127777777777775E-2</v>
      </c>
      <c r="AK232" s="314">
        <f t="shared" si="152"/>
        <v>2.3511111111111108E-2</v>
      </c>
      <c r="AL232" s="314">
        <f t="shared" si="152"/>
        <v>2.3255555555555554E-2</v>
      </c>
      <c r="AM232" s="314">
        <f t="shared" si="152"/>
        <v>2.3511111111111108E-2</v>
      </c>
      <c r="AN232" s="314">
        <f t="shared" si="152"/>
        <v>2.3127777777777775E-2</v>
      </c>
      <c r="AO232" s="314">
        <f t="shared" si="152"/>
        <v>2.3511111111111108E-2</v>
      </c>
      <c r="AP232" s="314">
        <f t="shared" ref="AP232:BU232" si="153">AP231 / $F229 * AP230</f>
        <v>2.3127777777777775E-2</v>
      </c>
      <c r="AQ232" s="314">
        <f t="shared" si="153"/>
        <v>2.3511111111111108E-2</v>
      </c>
      <c r="AR232" s="314">
        <f t="shared" si="153"/>
        <v>2.3127777777777775E-2</v>
      </c>
      <c r="AS232" s="314">
        <f t="shared" si="153"/>
        <v>2.3511111111111108E-2</v>
      </c>
      <c r="AT232" s="314">
        <f t="shared" si="153"/>
        <v>2.3255555555555554E-2</v>
      </c>
      <c r="AU232" s="314">
        <f t="shared" si="153"/>
        <v>2.3511111111111108E-2</v>
      </c>
      <c r="AV232" s="314">
        <f t="shared" si="153"/>
        <v>2.3127777777777775E-2</v>
      </c>
      <c r="AW232" s="314">
        <f t="shared" si="153"/>
        <v>8.6888888888888901E-3</v>
      </c>
      <c r="AX232" s="314">
        <f t="shared" si="153"/>
        <v>8.5472222222222234E-3</v>
      </c>
      <c r="AY232" s="314">
        <f t="shared" si="153"/>
        <v>8.6888888888888901E-3</v>
      </c>
      <c r="AZ232" s="314">
        <f t="shared" si="153"/>
        <v>8.5472222222222234E-3</v>
      </c>
      <c r="BA232" s="314">
        <f t="shared" si="153"/>
        <v>8.6888888888888901E-3</v>
      </c>
      <c r="BB232" s="314">
        <f t="shared" si="153"/>
        <v>8.5944444444444462E-3</v>
      </c>
      <c r="BC232" s="314">
        <f t="shared" si="153"/>
        <v>8.6888888888888901E-3</v>
      </c>
      <c r="BD232" s="314">
        <f t="shared" si="153"/>
        <v>8.5472222222222234E-3</v>
      </c>
      <c r="BE232" s="314">
        <f t="shared" si="153"/>
        <v>8.6888888888888901E-3</v>
      </c>
      <c r="BF232" s="314">
        <f t="shared" si="153"/>
        <v>8.5472222222222234E-3</v>
      </c>
      <c r="BG232" s="314">
        <f t="shared" si="153"/>
        <v>8.6888888888888901E-3</v>
      </c>
      <c r="BH232" s="314">
        <f t="shared" si="153"/>
        <v>8.5472222222222234E-3</v>
      </c>
      <c r="BI232" s="314">
        <f t="shared" si="153"/>
        <v>8.6888888888888901E-3</v>
      </c>
      <c r="BJ232" s="314">
        <f t="shared" si="153"/>
        <v>8.5944444444444462E-3</v>
      </c>
      <c r="BK232" s="314">
        <f t="shared" si="153"/>
        <v>8.6888888888888901E-3</v>
      </c>
      <c r="BL232" s="314">
        <f t="shared" si="153"/>
        <v>8.5472222222222234E-3</v>
      </c>
      <c r="BM232" s="314">
        <f t="shared" si="153"/>
        <v>8.6888888888888901E-3</v>
      </c>
      <c r="BN232" s="314">
        <f t="shared" si="153"/>
        <v>8.5472222222222234E-3</v>
      </c>
      <c r="BO232" s="314">
        <f t="shared" si="153"/>
        <v>8.6888888888888901E-3</v>
      </c>
      <c r="BP232" s="314">
        <f t="shared" si="153"/>
        <v>8.5472222222222234E-3</v>
      </c>
      <c r="BQ232" s="314">
        <f t="shared" si="153"/>
        <v>8.6888888888888901E-3</v>
      </c>
      <c r="BR232" s="314">
        <f t="shared" si="153"/>
        <v>8.5944444444444462E-3</v>
      </c>
      <c r="BS232" s="314">
        <f t="shared" si="153"/>
        <v>8.6888888888888901E-3</v>
      </c>
      <c r="BT232" s="314">
        <f t="shared" si="153"/>
        <v>8.5472222222222234E-3</v>
      </c>
      <c r="BU232" s="314">
        <f t="shared" si="153"/>
        <v>8.6888888888888901E-3</v>
      </c>
      <c r="BV232" s="314">
        <f t="shared" ref="BV232:CV232" si="154">BV231 / $F229 * BV230</f>
        <v>8.5472222222222234E-3</v>
      </c>
      <c r="BW232" s="314">
        <f t="shared" si="154"/>
        <v>8.6888888888888901E-3</v>
      </c>
      <c r="BX232" s="314">
        <f t="shared" si="154"/>
        <v>8.5472222222222234E-3</v>
      </c>
      <c r="BY232" s="314">
        <f t="shared" si="154"/>
        <v>8.6888888888888901E-3</v>
      </c>
      <c r="BZ232" s="314">
        <f t="shared" si="154"/>
        <v>8.5944444444444462E-3</v>
      </c>
      <c r="CA232" s="314">
        <f t="shared" si="154"/>
        <v>8.6888888888888901E-3</v>
      </c>
      <c r="CB232" s="314">
        <f t="shared" si="154"/>
        <v>8.5472222222222234E-3</v>
      </c>
      <c r="CC232" s="314">
        <f t="shared" si="154"/>
        <v>8.6888888888888901E-3</v>
      </c>
      <c r="CD232" s="314">
        <f t="shared" si="154"/>
        <v>8.5472222222222234E-3</v>
      </c>
      <c r="CE232" s="314">
        <f t="shared" si="154"/>
        <v>8.6888888888888901E-3</v>
      </c>
      <c r="CF232" s="314">
        <f t="shared" si="154"/>
        <v>8.5472222222222234E-3</v>
      </c>
      <c r="CG232" s="314">
        <f t="shared" si="154"/>
        <v>8.6888888888888901E-3</v>
      </c>
      <c r="CH232" s="314">
        <f t="shared" si="154"/>
        <v>8.5944444444444462E-3</v>
      </c>
      <c r="CI232" s="314">
        <f t="shared" si="154"/>
        <v>8.6888888888888901E-3</v>
      </c>
      <c r="CJ232" s="314">
        <f t="shared" si="154"/>
        <v>8.5472222222222234E-3</v>
      </c>
      <c r="CK232" s="314">
        <f t="shared" si="154"/>
        <v>8.6888888888888901E-3</v>
      </c>
      <c r="CL232" s="314">
        <f t="shared" si="154"/>
        <v>8.5472222222222234E-3</v>
      </c>
      <c r="CM232" s="314">
        <f t="shared" si="154"/>
        <v>8.6888888888888901E-3</v>
      </c>
      <c r="CN232" s="314">
        <f t="shared" si="154"/>
        <v>8.5472222222222234E-3</v>
      </c>
      <c r="CO232" s="314">
        <f t="shared" si="154"/>
        <v>8.6888888888888901E-3</v>
      </c>
      <c r="CP232" s="314">
        <f t="shared" si="154"/>
        <v>8.5944444444444462E-3</v>
      </c>
      <c r="CQ232" s="314">
        <f t="shared" si="154"/>
        <v>8.6888888888888901E-3</v>
      </c>
      <c r="CR232" s="314">
        <f t="shared" si="154"/>
        <v>8.5472222222222234E-3</v>
      </c>
      <c r="CS232" s="314">
        <f t="shared" si="154"/>
        <v>8.6888888888888901E-3</v>
      </c>
      <c r="CT232" s="314">
        <f t="shared" si="154"/>
        <v>8.5472222222222234E-3</v>
      </c>
      <c r="CU232" s="314">
        <f t="shared" si="154"/>
        <v>8.6888888888888901E-3</v>
      </c>
      <c r="CV232" s="314">
        <f t="shared" si="154"/>
        <v>8.5472222222222234E-3</v>
      </c>
    </row>
    <row r="233" spans="1:100" ht="12.75" outlineLevel="2" x14ac:dyDescent="0.2">
      <c r="A233" s="236"/>
      <c r="B233" s="236"/>
      <c r="C233" s="237"/>
      <c r="D233" s="238"/>
      <c r="E233" s="234"/>
      <c r="F233" s="234"/>
      <c r="G233" s="234"/>
      <c r="H233" s="234"/>
      <c r="I233" s="235"/>
      <c r="J233" s="234"/>
      <c r="K233" s="234"/>
      <c r="L233" s="234"/>
      <c r="M233" s="234"/>
      <c r="N233" s="234"/>
      <c r="O233" s="234"/>
      <c r="P233" s="234"/>
      <c r="Q233" s="234"/>
      <c r="R233" s="234"/>
      <c r="S233" s="234"/>
      <c r="T233" s="234"/>
      <c r="U233" s="234"/>
      <c r="V233" s="234"/>
      <c r="W233" s="234"/>
      <c r="X233" s="234"/>
      <c r="Y233" s="234"/>
      <c r="Z233" s="234"/>
      <c r="AA233" s="234"/>
      <c r="AB233" s="234"/>
      <c r="AC233" s="234"/>
      <c r="AD233" s="234"/>
      <c r="AE233" s="234"/>
      <c r="AF233" s="234"/>
      <c r="AG233" s="234"/>
      <c r="AH233" s="234"/>
      <c r="AI233" s="234"/>
      <c r="AJ233" s="234"/>
      <c r="AK233" s="234"/>
      <c r="AL233" s="234"/>
      <c r="AM233" s="234"/>
      <c r="AN233" s="234"/>
      <c r="AO233" s="234"/>
      <c r="AP233" s="234"/>
      <c r="AQ233" s="234"/>
      <c r="AR233" s="234"/>
      <c r="AS233" s="234"/>
      <c r="AT233" s="234"/>
      <c r="AU233" s="234"/>
      <c r="AV233" s="234"/>
      <c r="AW233" s="234"/>
      <c r="AX233" s="234"/>
      <c r="AY233" s="234"/>
      <c r="AZ233" s="234"/>
      <c r="BA233" s="234"/>
      <c r="BB233" s="234"/>
      <c r="BC233" s="234"/>
      <c r="BD233" s="234"/>
      <c r="BE233" s="234"/>
      <c r="BF233" s="234"/>
      <c r="BG233" s="234"/>
      <c r="BH233" s="234"/>
      <c r="BI233" s="234"/>
      <c r="BJ233" s="234"/>
      <c r="BK233" s="234"/>
      <c r="BL233" s="234"/>
      <c r="BM233" s="234"/>
      <c r="BN233" s="234"/>
      <c r="BO233" s="234"/>
      <c r="BP233" s="234"/>
      <c r="BQ233" s="234"/>
      <c r="BR233" s="234"/>
      <c r="BS233" s="234"/>
      <c r="BT233" s="234"/>
      <c r="BU233" s="234"/>
      <c r="BV233" s="234"/>
      <c r="BW233" s="234"/>
      <c r="BX233" s="234"/>
      <c r="BY233" s="234"/>
      <c r="BZ233" s="234"/>
      <c r="CA233" s="234"/>
      <c r="CB233" s="234"/>
      <c r="CC233" s="234"/>
      <c r="CD233" s="234"/>
      <c r="CE233" s="234"/>
      <c r="CF233" s="234"/>
      <c r="CG233" s="234"/>
      <c r="CH233" s="234"/>
      <c r="CI233" s="234"/>
      <c r="CJ233" s="234"/>
      <c r="CK233" s="234"/>
      <c r="CL233" s="234"/>
      <c r="CM233" s="234"/>
      <c r="CN233" s="234"/>
      <c r="CO233" s="234"/>
      <c r="CP233" s="234"/>
      <c r="CQ233" s="234"/>
      <c r="CR233" s="234"/>
      <c r="CS233" s="234"/>
      <c r="CT233" s="234"/>
      <c r="CU233" s="234"/>
      <c r="CV233" s="234"/>
    </row>
    <row r="234" spans="1:100" ht="12.75" outlineLevel="2" x14ac:dyDescent="0.2">
      <c r="E234" s="12" t="str">
        <f t="shared" ref="E234:AJ234" si="155" xml:space="preserve"> E$187</f>
        <v>Senior debt balance BEG - T1</v>
      </c>
      <c r="F234" s="12">
        <f t="shared" si="155"/>
        <v>0</v>
      </c>
      <c r="G234" s="12" t="str">
        <f t="shared" si="155"/>
        <v>$ 000s</v>
      </c>
      <c r="H234" s="12">
        <f t="shared" si="155"/>
        <v>0</v>
      </c>
      <c r="I234" s="12">
        <f t="shared" si="155"/>
        <v>0</v>
      </c>
      <c r="J234" s="12">
        <f t="shared" si="155"/>
        <v>0</v>
      </c>
      <c r="K234" s="12">
        <f t="shared" si="155"/>
        <v>0</v>
      </c>
      <c r="L234" s="12">
        <f t="shared" si="155"/>
        <v>12084.251893640236</v>
      </c>
      <c r="M234" s="12">
        <f t="shared" si="155"/>
        <v>48641.086087745876</v>
      </c>
      <c r="N234" s="12">
        <f t="shared" si="155"/>
        <v>85848.029919746245</v>
      </c>
      <c r="O234" s="12">
        <f t="shared" si="155"/>
        <v>125194.92613015344</v>
      </c>
      <c r="P234" s="12">
        <f t="shared" si="155"/>
        <v>122307.36969156924</v>
      </c>
      <c r="Q234" s="12">
        <f t="shared" si="155"/>
        <v>119922.1352876555</v>
      </c>
      <c r="R234" s="12">
        <f t="shared" si="155"/>
        <v>117508.19233590935</v>
      </c>
      <c r="S234" s="12">
        <f t="shared" si="155"/>
        <v>115049.50252800655</v>
      </c>
      <c r="T234" s="12">
        <f t="shared" si="155"/>
        <v>112559.24542947744</v>
      </c>
      <c r="U234" s="12">
        <f t="shared" si="155"/>
        <v>110024.16578572989</v>
      </c>
      <c r="V234" s="12">
        <f t="shared" si="155"/>
        <v>107454.54754436042</v>
      </c>
      <c r="W234" s="12">
        <f t="shared" si="155"/>
        <v>104844.37664323812</v>
      </c>
      <c r="X234" s="12">
        <f t="shared" si="155"/>
        <v>102198.52966645258</v>
      </c>
      <c r="Y234" s="12">
        <f t="shared" si="155"/>
        <v>99501.600215346058</v>
      </c>
      <c r="Z234" s="12">
        <f t="shared" si="155"/>
        <v>96843.285838745331</v>
      </c>
      <c r="AA234" s="12">
        <f t="shared" si="155"/>
        <v>94137.669059260574</v>
      </c>
      <c r="AB234" s="12">
        <f t="shared" si="155"/>
        <v>91388.173880573551</v>
      </c>
      <c r="AC234" s="12">
        <f t="shared" si="155"/>
        <v>88591.140842060806</v>
      </c>
      <c r="AD234" s="12">
        <f t="shared" si="155"/>
        <v>85746.585013341115</v>
      </c>
      <c r="AE234" s="12">
        <f t="shared" si="155"/>
        <v>82856.442001167306</v>
      </c>
      <c r="AF234" s="12">
        <f t="shared" si="155"/>
        <v>79918.828937485043</v>
      </c>
      <c r="AG234" s="12">
        <f t="shared" si="155"/>
        <v>76927.27686561922</v>
      </c>
      <c r="AH234" s="12">
        <f t="shared" si="155"/>
        <v>73880.450658089481</v>
      </c>
      <c r="AI234" s="12">
        <f t="shared" si="155"/>
        <v>70785.247373619</v>
      </c>
      <c r="AJ234" s="12">
        <f t="shared" si="155"/>
        <v>67690.833646661864</v>
      </c>
      <c r="AK234" s="12">
        <f t="shared" ref="AK234:BP234" si="156" xml:space="preserve"> AK$187</f>
        <v>64544.128046861137</v>
      </c>
      <c r="AL234" s="12">
        <f t="shared" si="156"/>
        <v>61331.848850567236</v>
      </c>
      <c r="AM234" s="12">
        <f t="shared" si="156"/>
        <v>58066.22768944627</v>
      </c>
      <c r="AN234" s="12">
        <f t="shared" si="156"/>
        <v>54736.43721186708</v>
      </c>
      <c r="AO234" s="12">
        <f t="shared" si="156"/>
        <v>51347.570845042952</v>
      </c>
      <c r="AP234" s="12">
        <f t="shared" si="156"/>
        <v>47883.159012851975</v>
      </c>
      <c r="AQ234" s="12">
        <f t="shared" si="156"/>
        <v>44364.691041537037</v>
      </c>
      <c r="AR234" s="12">
        <f t="shared" si="156"/>
        <v>40765.341095443495</v>
      </c>
      <c r="AS234" s="12">
        <f t="shared" si="156"/>
        <v>37111.262402800712</v>
      </c>
      <c r="AT234" s="12">
        <f t="shared" si="156"/>
        <v>28054.211954517719</v>
      </c>
      <c r="AU234" s="12">
        <f t="shared" si="156"/>
        <v>18869.053669515644</v>
      </c>
      <c r="AV234" s="12">
        <f t="shared" si="156"/>
        <v>9500.7049074522929</v>
      </c>
      <c r="AW234" s="12">
        <f t="shared" si="156"/>
        <v>-2.5461520346652833E-2</v>
      </c>
      <c r="AX234" s="12">
        <f t="shared" si="156"/>
        <v>-2.5461520346652833E-2</v>
      </c>
      <c r="AY234" s="12">
        <f t="shared" si="156"/>
        <v>-2.5461520346652833E-2</v>
      </c>
      <c r="AZ234" s="12">
        <f t="shared" si="156"/>
        <v>-2.5461520346652833E-2</v>
      </c>
      <c r="BA234" s="12">
        <f t="shared" si="156"/>
        <v>-2.5461520346652833E-2</v>
      </c>
      <c r="BB234" s="12">
        <f t="shared" si="156"/>
        <v>-2.5461520346652833E-2</v>
      </c>
      <c r="BC234" s="12">
        <f t="shared" si="156"/>
        <v>-2.5461520346652833E-2</v>
      </c>
      <c r="BD234" s="12">
        <f t="shared" si="156"/>
        <v>-2.5461520346652833E-2</v>
      </c>
      <c r="BE234" s="12">
        <f t="shared" si="156"/>
        <v>-2.5461520346652833E-2</v>
      </c>
      <c r="BF234" s="12">
        <f t="shared" si="156"/>
        <v>-2.5461520346652833E-2</v>
      </c>
      <c r="BG234" s="12">
        <f t="shared" si="156"/>
        <v>-2.5461520346652833E-2</v>
      </c>
      <c r="BH234" s="12">
        <f t="shared" si="156"/>
        <v>-2.5461520346652833E-2</v>
      </c>
      <c r="BI234" s="12">
        <f t="shared" si="156"/>
        <v>-2.5461520346652833E-2</v>
      </c>
      <c r="BJ234" s="12">
        <f t="shared" si="156"/>
        <v>-2.5461520346652833E-2</v>
      </c>
      <c r="BK234" s="12">
        <f t="shared" si="156"/>
        <v>-2.5461520346652833E-2</v>
      </c>
      <c r="BL234" s="12">
        <f t="shared" si="156"/>
        <v>-2.5461520346652833E-2</v>
      </c>
      <c r="BM234" s="12">
        <f t="shared" si="156"/>
        <v>-2.5461520346652833E-2</v>
      </c>
      <c r="BN234" s="12">
        <f t="shared" si="156"/>
        <v>-2.5461520346652833E-2</v>
      </c>
      <c r="BO234" s="12">
        <f t="shared" si="156"/>
        <v>-2.5461520346652833E-2</v>
      </c>
      <c r="BP234" s="12">
        <f t="shared" si="156"/>
        <v>-2.5461520346652833E-2</v>
      </c>
      <c r="BQ234" s="12">
        <f t="shared" ref="BQ234:CV234" si="157" xml:space="preserve"> BQ$187</f>
        <v>-2.5461520346652833E-2</v>
      </c>
      <c r="BR234" s="12">
        <f t="shared" si="157"/>
        <v>-2.5461520346652833E-2</v>
      </c>
      <c r="BS234" s="12">
        <f t="shared" si="157"/>
        <v>-2.5461520346652833E-2</v>
      </c>
      <c r="BT234" s="12">
        <f t="shared" si="157"/>
        <v>-2.5461520346652833E-2</v>
      </c>
      <c r="BU234" s="12">
        <f t="shared" si="157"/>
        <v>-2.5461520346652833E-2</v>
      </c>
      <c r="BV234" s="12">
        <f t="shared" si="157"/>
        <v>-2.5461520346652833E-2</v>
      </c>
      <c r="BW234" s="12">
        <f t="shared" si="157"/>
        <v>-2.5461520346652833E-2</v>
      </c>
      <c r="BX234" s="12">
        <f t="shared" si="157"/>
        <v>-2.5461520346652833E-2</v>
      </c>
      <c r="BY234" s="12">
        <f t="shared" si="157"/>
        <v>-2.5461520346652833E-2</v>
      </c>
      <c r="BZ234" s="12">
        <f t="shared" si="157"/>
        <v>-2.5461520346652833E-2</v>
      </c>
      <c r="CA234" s="12">
        <f t="shared" si="157"/>
        <v>-2.5461520346652833E-2</v>
      </c>
      <c r="CB234" s="12">
        <f t="shared" si="157"/>
        <v>-2.5461520346652833E-2</v>
      </c>
      <c r="CC234" s="12">
        <f t="shared" si="157"/>
        <v>-2.5461520346652833E-2</v>
      </c>
      <c r="CD234" s="12">
        <f t="shared" si="157"/>
        <v>-2.5461520346652833E-2</v>
      </c>
      <c r="CE234" s="12">
        <f t="shared" si="157"/>
        <v>-2.5461520346652833E-2</v>
      </c>
      <c r="CF234" s="12">
        <f t="shared" si="157"/>
        <v>-2.5461520346652833E-2</v>
      </c>
      <c r="CG234" s="12">
        <f t="shared" si="157"/>
        <v>-2.5461520346652833E-2</v>
      </c>
      <c r="CH234" s="12">
        <f t="shared" si="157"/>
        <v>-2.5461520346652833E-2</v>
      </c>
      <c r="CI234" s="12">
        <f t="shared" si="157"/>
        <v>-2.5461520346652833E-2</v>
      </c>
      <c r="CJ234" s="12">
        <f t="shared" si="157"/>
        <v>-2.5461520346652833E-2</v>
      </c>
      <c r="CK234" s="12">
        <f t="shared" si="157"/>
        <v>-2.5461520346652833E-2</v>
      </c>
      <c r="CL234" s="12">
        <f t="shared" si="157"/>
        <v>-2.5461520346652833E-2</v>
      </c>
      <c r="CM234" s="12">
        <f t="shared" si="157"/>
        <v>-2.5461520346652833E-2</v>
      </c>
      <c r="CN234" s="12">
        <f t="shared" si="157"/>
        <v>-2.5461520346652833E-2</v>
      </c>
      <c r="CO234" s="12">
        <f t="shared" si="157"/>
        <v>-2.5461520346652833E-2</v>
      </c>
      <c r="CP234" s="12">
        <f t="shared" si="157"/>
        <v>-2.5461520346652833E-2</v>
      </c>
      <c r="CQ234" s="12">
        <f t="shared" si="157"/>
        <v>-2.5461520346652833E-2</v>
      </c>
      <c r="CR234" s="12">
        <f t="shared" si="157"/>
        <v>-2.5461520346652833E-2</v>
      </c>
      <c r="CS234" s="12">
        <f t="shared" si="157"/>
        <v>-2.5461520346652833E-2</v>
      </c>
      <c r="CT234" s="12">
        <f t="shared" si="157"/>
        <v>-2.5461520346652833E-2</v>
      </c>
      <c r="CU234" s="12">
        <f t="shared" si="157"/>
        <v>-2.5461520346652833E-2</v>
      </c>
      <c r="CV234" s="12">
        <f t="shared" si="157"/>
        <v>-2.5461520346652833E-2</v>
      </c>
    </row>
    <row r="235" spans="1:100" ht="12.75" outlineLevel="2" x14ac:dyDescent="0.2">
      <c r="E235" s="287" t="str">
        <f t="shared" ref="E235:AJ235" si="158" xml:space="preserve"> E$232</f>
        <v>Senior debt period interest rate - T1</v>
      </c>
      <c r="F235" s="287">
        <f t="shared" si="158"/>
        <v>0</v>
      </c>
      <c r="G235" s="287" t="str">
        <f t="shared" si="158"/>
        <v>%</v>
      </c>
      <c r="H235" s="287">
        <f t="shared" si="158"/>
        <v>0</v>
      </c>
      <c r="I235" s="287">
        <f t="shared" si="158"/>
        <v>0</v>
      </c>
      <c r="J235" s="287">
        <f t="shared" si="158"/>
        <v>8.5472222222222234E-3</v>
      </c>
      <c r="K235" s="287">
        <f t="shared" si="158"/>
        <v>8.6888888888888901E-3</v>
      </c>
      <c r="L235" s="287">
        <f t="shared" si="158"/>
        <v>8.5472222222222234E-3</v>
      </c>
      <c r="M235" s="287">
        <f t="shared" si="158"/>
        <v>8.6888888888888901E-3</v>
      </c>
      <c r="N235" s="287">
        <f t="shared" si="158"/>
        <v>8.5944444444444462E-3</v>
      </c>
      <c r="O235" s="287">
        <f t="shared" si="158"/>
        <v>2.1466666666666669E-2</v>
      </c>
      <c r="P235" s="287">
        <f t="shared" si="158"/>
        <v>2.1116666666666669E-2</v>
      </c>
      <c r="Q235" s="287">
        <f t="shared" si="158"/>
        <v>2.1466666666666669E-2</v>
      </c>
      <c r="R235" s="287">
        <f t="shared" si="158"/>
        <v>2.1116666666666669E-2</v>
      </c>
      <c r="S235" s="287">
        <f t="shared" si="158"/>
        <v>2.1466666666666669E-2</v>
      </c>
      <c r="T235" s="287">
        <f t="shared" si="158"/>
        <v>2.1116666666666669E-2</v>
      </c>
      <c r="U235" s="287">
        <f t="shared" si="158"/>
        <v>2.1466666666666669E-2</v>
      </c>
      <c r="V235" s="287">
        <f t="shared" si="158"/>
        <v>2.1233333333333337E-2</v>
      </c>
      <c r="W235" s="287">
        <f t="shared" si="158"/>
        <v>2.1466666666666669E-2</v>
      </c>
      <c r="X235" s="287">
        <f t="shared" si="158"/>
        <v>2.1116666666666669E-2</v>
      </c>
      <c r="Y235" s="287">
        <f t="shared" si="158"/>
        <v>2.2488888888888888E-2</v>
      </c>
      <c r="Z235" s="287">
        <f t="shared" si="158"/>
        <v>2.212222222222222E-2</v>
      </c>
      <c r="AA235" s="287">
        <f t="shared" si="158"/>
        <v>2.2488888888888888E-2</v>
      </c>
      <c r="AB235" s="287">
        <f t="shared" si="158"/>
        <v>2.212222222222222E-2</v>
      </c>
      <c r="AC235" s="287">
        <f t="shared" si="158"/>
        <v>2.2488888888888888E-2</v>
      </c>
      <c r="AD235" s="287">
        <f t="shared" si="158"/>
        <v>2.2244444444444442E-2</v>
      </c>
      <c r="AE235" s="287">
        <f t="shared" si="158"/>
        <v>2.2488888888888888E-2</v>
      </c>
      <c r="AF235" s="287">
        <f t="shared" si="158"/>
        <v>2.212222222222222E-2</v>
      </c>
      <c r="AG235" s="287">
        <f t="shared" si="158"/>
        <v>2.2488888888888888E-2</v>
      </c>
      <c r="AH235" s="287">
        <f t="shared" si="158"/>
        <v>2.212222222222222E-2</v>
      </c>
      <c r="AI235" s="287">
        <f t="shared" si="158"/>
        <v>2.3511111111111108E-2</v>
      </c>
      <c r="AJ235" s="287">
        <f t="shared" si="158"/>
        <v>2.3127777777777775E-2</v>
      </c>
      <c r="AK235" s="287">
        <f t="shared" ref="AK235:BP235" si="159" xml:space="preserve"> AK$232</f>
        <v>2.3511111111111108E-2</v>
      </c>
      <c r="AL235" s="287">
        <f t="shared" si="159"/>
        <v>2.3255555555555554E-2</v>
      </c>
      <c r="AM235" s="287">
        <f t="shared" si="159"/>
        <v>2.3511111111111108E-2</v>
      </c>
      <c r="AN235" s="287">
        <f t="shared" si="159"/>
        <v>2.3127777777777775E-2</v>
      </c>
      <c r="AO235" s="287">
        <f t="shared" si="159"/>
        <v>2.3511111111111108E-2</v>
      </c>
      <c r="AP235" s="287">
        <f t="shared" si="159"/>
        <v>2.3127777777777775E-2</v>
      </c>
      <c r="AQ235" s="287">
        <f t="shared" si="159"/>
        <v>2.3511111111111108E-2</v>
      </c>
      <c r="AR235" s="287">
        <f t="shared" si="159"/>
        <v>2.3127777777777775E-2</v>
      </c>
      <c r="AS235" s="287">
        <f t="shared" si="159"/>
        <v>2.3511111111111108E-2</v>
      </c>
      <c r="AT235" s="287">
        <f t="shared" si="159"/>
        <v>2.3255555555555554E-2</v>
      </c>
      <c r="AU235" s="287">
        <f t="shared" si="159"/>
        <v>2.3511111111111108E-2</v>
      </c>
      <c r="AV235" s="287">
        <f t="shared" si="159"/>
        <v>2.3127777777777775E-2</v>
      </c>
      <c r="AW235" s="287">
        <f t="shared" si="159"/>
        <v>8.6888888888888901E-3</v>
      </c>
      <c r="AX235" s="287">
        <f t="shared" si="159"/>
        <v>8.5472222222222234E-3</v>
      </c>
      <c r="AY235" s="287">
        <f t="shared" si="159"/>
        <v>8.6888888888888901E-3</v>
      </c>
      <c r="AZ235" s="287">
        <f t="shared" si="159"/>
        <v>8.5472222222222234E-3</v>
      </c>
      <c r="BA235" s="287">
        <f t="shared" si="159"/>
        <v>8.6888888888888901E-3</v>
      </c>
      <c r="BB235" s="287">
        <f t="shared" si="159"/>
        <v>8.5944444444444462E-3</v>
      </c>
      <c r="BC235" s="287">
        <f t="shared" si="159"/>
        <v>8.6888888888888901E-3</v>
      </c>
      <c r="BD235" s="287">
        <f t="shared" si="159"/>
        <v>8.5472222222222234E-3</v>
      </c>
      <c r="BE235" s="287">
        <f t="shared" si="159"/>
        <v>8.6888888888888901E-3</v>
      </c>
      <c r="BF235" s="287">
        <f t="shared" si="159"/>
        <v>8.5472222222222234E-3</v>
      </c>
      <c r="BG235" s="287">
        <f t="shared" si="159"/>
        <v>8.6888888888888901E-3</v>
      </c>
      <c r="BH235" s="287">
        <f t="shared" si="159"/>
        <v>8.5472222222222234E-3</v>
      </c>
      <c r="BI235" s="287">
        <f t="shared" si="159"/>
        <v>8.6888888888888901E-3</v>
      </c>
      <c r="BJ235" s="287">
        <f t="shared" si="159"/>
        <v>8.5944444444444462E-3</v>
      </c>
      <c r="BK235" s="287">
        <f t="shared" si="159"/>
        <v>8.6888888888888901E-3</v>
      </c>
      <c r="BL235" s="287">
        <f t="shared" si="159"/>
        <v>8.5472222222222234E-3</v>
      </c>
      <c r="BM235" s="287">
        <f t="shared" si="159"/>
        <v>8.6888888888888901E-3</v>
      </c>
      <c r="BN235" s="287">
        <f t="shared" si="159"/>
        <v>8.5472222222222234E-3</v>
      </c>
      <c r="BO235" s="287">
        <f t="shared" si="159"/>
        <v>8.6888888888888901E-3</v>
      </c>
      <c r="BP235" s="287">
        <f t="shared" si="159"/>
        <v>8.5472222222222234E-3</v>
      </c>
      <c r="BQ235" s="287">
        <f t="shared" ref="BQ235:CV235" si="160" xml:space="preserve"> BQ$232</f>
        <v>8.6888888888888901E-3</v>
      </c>
      <c r="BR235" s="287">
        <f t="shared" si="160"/>
        <v>8.5944444444444462E-3</v>
      </c>
      <c r="BS235" s="287">
        <f t="shared" si="160"/>
        <v>8.6888888888888901E-3</v>
      </c>
      <c r="BT235" s="287">
        <f t="shared" si="160"/>
        <v>8.5472222222222234E-3</v>
      </c>
      <c r="BU235" s="287">
        <f t="shared" si="160"/>
        <v>8.6888888888888901E-3</v>
      </c>
      <c r="BV235" s="287">
        <f t="shared" si="160"/>
        <v>8.5472222222222234E-3</v>
      </c>
      <c r="BW235" s="287">
        <f t="shared" si="160"/>
        <v>8.6888888888888901E-3</v>
      </c>
      <c r="BX235" s="287">
        <f t="shared" si="160"/>
        <v>8.5472222222222234E-3</v>
      </c>
      <c r="BY235" s="287">
        <f t="shared" si="160"/>
        <v>8.6888888888888901E-3</v>
      </c>
      <c r="BZ235" s="287">
        <f t="shared" si="160"/>
        <v>8.5944444444444462E-3</v>
      </c>
      <c r="CA235" s="287">
        <f t="shared" si="160"/>
        <v>8.6888888888888901E-3</v>
      </c>
      <c r="CB235" s="287">
        <f t="shared" si="160"/>
        <v>8.5472222222222234E-3</v>
      </c>
      <c r="CC235" s="287">
        <f t="shared" si="160"/>
        <v>8.6888888888888901E-3</v>
      </c>
      <c r="CD235" s="287">
        <f t="shared" si="160"/>
        <v>8.5472222222222234E-3</v>
      </c>
      <c r="CE235" s="287">
        <f t="shared" si="160"/>
        <v>8.6888888888888901E-3</v>
      </c>
      <c r="CF235" s="287">
        <f t="shared" si="160"/>
        <v>8.5472222222222234E-3</v>
      </c>
      <c r="CG235" s="287">
        <f t="shared" si="160"/>
        <v>8.6888888888888901E-3</v>
      </c>
      <c r="CH235" s="287">
        <f t="shared" si="160"/>
        <v>8.5944444444444462E-3</v>
      </c>
      <c r="CI235" s="287">
        <f t="shared" si="160"/>
        <v>8.6888888888888901E-3</v>
      </c>
      <c r="CJ235" s="287">
        <f t="shared" si="160"/>
        <v>8.5472222222222234E-3</v>
      </c>
      <c r="CK235" s="287">
        <f t="shared" si="160"/>
        <v>8.6888888888888901E-3</v>
      </c>
      <c r="CL235" s="287">
        <f t="shared" si="160"/>
        <v>8.5472222222222234E-3</v>
      </c>
      <c r="CM235" s="287">
        <f t="shared" si="160"/>
        <v>8.6888888888888901E-3</v>
      </c>
      <c r="CN235" s="287">
        <f t="shared" si="160"/>
        <v>8.5472222222222234E-3</v>
      </c>
      <c r="CO235" s="287">
        <f t="shared" si="160"/>
        <v>8.6888888888888901E-3</v>
      </c>
      <c r="CP235" s="287">
        <f t="shared" si="160"/>
        <v>8.5944444444444462E-3</v>
      </c>
      <c r="CQ235" s="287">
        <f t="shared" si="160"/>
        <v>8.6888888888888901E-3</v>
      </c>
      <c r="CR235" s="287">
        <f t="shared" si="160"/>
        <v>8.5472222222222234E-3</v>
      </c>
      <c r="CS235" s="287">
        <f t="shared" si="160"/>
        <v>8.6888888888888901E-3</v>
      </c>
      <c r="CT235" s="287">
        <f t="shared" si="160"/>
        <v>8.5472222222222234E-3</v>
      </c>
      <c r="CU235" s="287">
        <f t="shared" si="160"/>
        <v>8.6888888888888901E-3</v>
      </c>
      <c r="CV235" s="287">
        <f t="shared" si="160"/>
        <v>8.5472222222222234E-3</v>
      </c>
    </row>
    <row r="236" spans="1:100" ht="12.75" outlineLevel="2" x14ac:dyDescent="0.2">
      <c r="E236" s="189" t="str">
        <f xml:space="preserve"> Time!E$106</f>
        <v>Operating period flag</v>
      </c>
      <c r="F236" s="189">
        <f xml:space="preserve"> Time!F$106</f>
        <v>0</v>
      </c>
      <c r="G236" s="189" t="str">
        <f xml:space="preserve"> Time!G$106</f>
        <v>flag</v>
      </c>
      <c r="H236" s="189">
        <f xml:space="preserve"> Time!H$106</f>
        <v>40</v>
      </c>
      <c r="I236" s="189">
        <f xml:space="preserve"> Time!I$106</f>
        <v>0</v>
      </c>
      <c r="J236" s="189">
        <f xml:space="preserve"> Time!J$106</f>
        <v>0</v>
      </c>
      <c r="K236" s="189">
        <f xml:space="preserve"> Time!K$106</f>
        <v>0</v>
      </c>
      <c r="L236" s="189">
        <f xml:space="preserve"> Time!L$106</f>
        <v>0</v>
      </c>
      <c r="M236" s="189">
        <f xml:space="preserve"> Time!M$106</f>
        <v>0</v>
      </c>
      <c r="N236" s="189">
        <f xml:space="preserve"> Time!N$106</f>
        <v>0</v>
      </c>
      <c r="O236" s="189">
        <f xml:space="preserve"> Time!O$106</f>
        <v>1</v>
      </c>
      <c r="P236" s="189">
        <f xml:space="preserve"> Time!P$106</f>
        <v>1</v>
      </c>
      <c r="Q236" s="189">
        <f xml:space="preserve"> Time!Q$106</f>
        <v>1</v>
      </c>
      <c r="R236" s="189">
        <f xml:space="preserve"> Time!R$106</f>
        <v>1</v>
      </c>
      <c r="S236" s="189">
        <f xml:space="preserve"> Time!S$106</f>
        <v>1</v>
      </c>
      <c r="T236" s="189">
        <f xml:space="preserve"> Time!T$106</f>
        <v>1</v>
      </c>
      <c r="U236" s="189">
        <f xml:space="preserve"> Time!U$106</f>
        <v>1</v>
      </c>
      <c r="V236" s="189">
        <f xml:space="preserve"> Time!V$106</f>
        <v>1</v>
      </c>
      <c r="W236" s="189">
        <f xml:space="preserve"> Time!W$106</f>
        <v>1</v>
      </c>
      <c r="X236" s="189">
        <f xml:space="preserve"> Time!X$106</f>
        <v>1</v>
      </c>
      <c r="Y236" s="189">
        <f xml:space="preserve"> Time!Y$106</f>
        <v>1</v>
      </c>
      <c r="Z236" s="189">
        <f xml:space="preserve"> Time!Z$106</f>
        <v>1</v>
      </c>
      <c r="AA236" s="189">
        <f xml:space="preserve"> Time!AA$106</f>
        <v>1</v>
      </c>
      <c r="AB236" s="189">
        <f xml:space="preserve"> Time!AB$106</f>
        <v>1</v>
      </c>
      <c r="AC236" s="189">
        <f xml:space="preserve"> Time!AC$106</f>
        <v>1</v>
      </c>
      <c r="AD236" s="189">
        <f xml:space="preserve"> Time!AD$106</f>
        <v>1</v>
      </c>
      <c r="AE236" s="189">
        <f xml:space="preserve"> Time!AE$106</f>
        <v>1</v>
      </c>
      <c r="AF236" s="189">
        <f xml:space="preserve"> Time!AF$106</f>
        <v>1</v>
      </c>
      <c r="AG236" s="189">
        <f xml:space="preserve"> Time!AG$106</f>
        <v>1</v>
      </c>
      <c r="AH236" s="189">
        <f xml:space="preserve"> Time!AH$106</f>
        <v>1</v>
      </c>
      <c r="AI236" s="189">
        <f xml:space="preserve"> Time!AI$106</f>
        <v>1</v>
      </c>
      <c r="AJ236" s="189">
        <f xml:space="preserve"> Time!AJ$106</f>
        <v>1</v>
      </c>
      <c r="AK236" s="189">
        <f xml:space="preserve"> Time!AK$106</f>
        <v>1</v>
      </c>
      <c r="AL236" s="189">
        <f xml:space="preserve"> Time!AL$106</f>
        <v>1</v>
      </c>
      <c r="AM236" s="189">
        <f xml:space="preserve"> Time!AM$106</f>
        <v>1</v>
      </c>
      <c r="AN236" s="189">
        <f xml:space="preserve"> Time!AN$106</f>
        <v>1</v>
      </c>
      <c r="AO236" s="189">
        <f xml:space="preserve"> Time!AO$106</f>
        <v>1</v>
      </c>
      <c r="AP236" s="189">
        <f xml:space="preserve"> Time!AP$106</f>
        <v>1</v>
      </c>
      <c r="AQ236" s="189">
        <f xml:space="preserve"> Time!AQ$106</f>
        <v>1</v>
      </c>
      <c r="AR236" s="189">
        <f xml:space="preserve"> Time!AR$106</f>
        <v>1</v>
      </c>
      <c r="AS236" s="189">
        <f xml:space="preserve"> Time!AS$106</f>
        <v>1</v>
      </c>
      <c r="AT236" s="189">
        <f xml:space="preserve"> Time!AT$106</f>
        <v>1</v>
      </c>
      <c r="AU236" s="189">
        <f xml:space="preserve"> Time!AU$106</f>
        <v>1</v>
      </c>
      <c r="AV236" s="189">
        <f xml:space="preserve"> Time!AV$106</f>
        <v>1</v>
      </c>
      <c r="AW236" s="189">
        <f xml:space="preserve"> Time!AW$106</f>
        <v>1</v>
      </c>
      <c r="AX236" s="189">
        <f xml:space="preserve"> Time!AX$106</f>
        <v>1</v>
      </c>
      <c r="AY236" s="189">
        <f xml:space="preserve"> Time!AY$106</f>
        <v>1</v>
      </c>
      <c r="AZ236" s="189">
        <f xml:space="preserve"> Time!AZ$106</f>
        <v>1</v>
      </c>
      <c r="BA236" s="189">
        <f xml:space="preserve"> Time!BA$106</f>
        <v>1</v>
      </c>
      <c r="BB236" s="189">
        <f xml:space="preserve"> Time!BB$106</f>
        <v>1</v>
      </c>
      <c r="BC236" s="189">
        <f xml:space="preserve"> Time!BC$106</f>
        <v>0</v>
      </c>
      <c r="BD236" s="189">
        <f xml:space="preserve"> Time!BD$106</f>
        <v>0</v>
      </c>
      <c r="BE236" s="189">
        <f xml:space="preserve"> Time!BE$106</f>
        <v>0</v>
      </c>
      <c r="BF236" s="189">
        <f xml:space="preserve"> Time!BF$106</f>
        <v>0</v>
      </c>
      <c r="BG236" s="189">
        <f xml:space="preserve"> Time!BG$106</f>
        <v>0</v>
      </c>
      <c r="BH236" s="189">
        <f xml:space="preserve"> Time!BH$106</f>
        <v>0</v>
      </c>
      <c r="BI236" s="189">
        <f xml:space="preserve"> Time!BI$106</f>
        <v>0</v>
      </c>
      <c r="BJ236" s="189">
        <f xml:space="preserve"> Time!BJ$106</f>
        <v>0</v>
      </c>
      <c r="BK236" s="189">
        <f xml:space="preserve"> Time!BK$106</f>
        <v>0</v>
      </c>
      <c r="BL236" s="189">
        <f xml:space="preserve"> Time!BL$106</f>
        <v>0</v>
      </c>
      <c r="BM236" s="189">
        <f xml:space="preserve"> Time!BM$106</f>
        <v>0</v>
      </c>
      <c r="BN236" s="189">
        <f xml:space="preserve"> Time!BN$106</f>
        <v>0</v>
      </c>
      <c r="BO236" s="189">
        <f xml:space="preserve"> Time!BO$106</f>
        <v>0</v>
      </c>
      <c r="BP236" s="189">
        <f xml:space="preserve"> Time!BP$106</f>
        <v>0</v>
      </c>
      <c r="BQ236" s="189">
        <f xml:space="preserve"> Time!BQ$106</f>
        <v>0</v>
      </c>
      <c r="BR236" s="189">
        <f xml:space="preserve"> Time!BR$106</f>
        <v>0</v>
      </c>
      <c r="BS236" s="189">
        <f xml:space="preserve"> Time!BS$106</f>
        <v>0</v>
      </c>
      <c r="BT236" s="189">
        <f xml:space="preserve"> Time!BT$106</f>
        <v>0</v>
      </c>
      <c r="BU236" s="189">
        <f xml:space="preserve"> Time!BU$106</f>
        <v>0</v>
      </c>
      <c r="BV236" s="189">
        <f xml:space="preserve"> Time!BV$106</f>
        <v>0</v>
      </c>
      <c r="BW236" s="189">
        <f xml:space="preserve"> Time!BW$106</f>
        <v>0</v>
      </c>
      <c r="BX236" s="189">
        <f xml:space="preserve"> Time!BX$106</f>
        <v>0</v>
      </c>
      <c r="BY236" s="189">
        <f xml:space="preserve"> Time!BY$106</f>
        <v>0</v>
      </c>
      <c r="BZ236" s="189">
        <f xml:space="preserve"> Time!BZ$106</f>
        <v>0</v>
      </c>
      <c r="CA236" s="189">
        <f xml:space="preserve"> Time!CA$106</f>
        <v>0</v>
      </c>
      <c r="CB236" s="189">
        <f xml:space="preserve"> Time!CB$106</f>
        <v>0</v>
      </c>
      <c r="CC236" s="189">
        <f xml:space="preserve"> Time!CC$106</f>
        <v>0</v>
      </c>
      <c r="CD236" s="189">
        <f xml:space="preserve"> Time!CD$106</f>
        <v>0</v>
      </c>
      <c r="CE236" s="189">
        <f xml:space="preserve"> Time!CE$106</f>
        <v>0</v>
      </c>
      <c r="CF236" s="189">
        <f xml:space="preserve"> Time!CF$106</f>
        <v>0</v>
      </c>
      <c r="CG236" s="189">
        <f xml:space="preserve"> Time!CG$106</f>
        <v>0</v>
      </c>
      <c r="CH236" s="189">
        <f xml:space="preserve"> Time!CH$106</f>
        <v>0</v>
      </c>
      <c r="CI236" s="189">
        <f xml:space="preserve"> Time!CI$106</f>
        <v>0</v>
      </c>
      <c r="CJ236" s="189">
        <f xml:space="preserve"> Time!CJ$106</f>
        <v>0</v>
      </c>
      <c r="CK236" s="189">
        <f xml:space="preserve"> Time!CK$106</f>
        <v>0</v>
      </c>
      <c r="CL236" s="189">
        <f xml:space="preserve"> Time!CL$106</f>
        <v>0</v>
      </c>
      <c r="CM236" s="189">
        <f xml:space="preserve"> Time!CM$106</f>
        <v>0</v>
      </c>
      <c r="CN236" s="189">
        <f xml:space="preserve"> Time!CN$106</f>
        <v>0</v>
      </c>
      <c r="CO236" s="189">
        <f xml:space="preserve"> Time!CO$106</f>
        <v>0</v>
      </c>
      <c r="CP236" s="189">
        <f xml:space="preserve"> Time!CP$106</f>
        <v>0</v>
      </c>
      <c r="CQ236" s="189">
        <f xml:space="preserve"> Time!CQ$106</f>
        <v>0</v>
      </c>
      <c r="CR236" s="189">
        <f xml:space="preserve"> Time!CR$106</f>
        <v>0</v>
      </c>
      <c r="CS236" s="189">
        <f xml:space="preserve"> Time!CS$106</f>
        <v>0</v>
      </c>
      <c r="CT236" s="189">
        <f xml:space="preserve"> Time!CT$106</f>
        <v>0</v>
      </c>
      <c r="CU236" s="189">
        <f xml:space="preserve"> Time!CU$106</f>
        <v>0</v>
      </c>
      <c r="CV236" s="189">
        <f xml:space="preserve"> Time!CV$106</f>
        <v>0</v>
      </c>
    </row>
    <row r="237" spans="1:100" s="188" customFormat="1" ht="12.75" outlineLevel="2" x14ac:dyDescent="0.2">
      <c r="A237" s="141"/>
      <c r="B237" s="141"/>
      <c r="C237" s="142"/>
      <c r="D237" s="143"/>
      <c r="E237" s="187" t="s">
        <v>984</v>
      </c>
      <c r="F237" s="187"/>
      <c r="G237" s="187" t="str">
        <f xml:space="preserve"> SMU</f>
        <v>$ 000s</v>
      </c>
      <c r="H237" s="187">
        <f xml:space="preserve"> SUM(J237:CV237)</f>
        <v>58932.622085008683</v>
      </c>
      <c r="I237" s="144"/>
      <c r="J237" s="187">
        <f t="shared" ref="J237:AO237" si="161" xml:space="preserve"> J234 * J235 * J236</f>
        <v>0</v>
      </c>
      <c r="K237" s="187">
        <f t="shared" si="161"/>
        <v>0</v>
      </c>
      <c r="L237" s="187">
        <f t="shared" si="161"/>
        <v>0</v>
      </c>
      <c r="M237" s="187">
        <f t="shared" si="161"/>
        <v>0</v>
      </c>
      <c r="N237" s="187">
        <f t="shared" si="161"/>
        <v>0</v>
      </c>
      <c r="O237" s="187">
        <f t="shared" si="161"/>
        <v>2687.5177475939608</v>
      </c>
      <c r="P237" s="187">
        <f t="shared" si="161"/>
        <v>2582.7239566536373</v>
      </c>
      <c r="Q237" s="187">
        <f t="shared" si="161"/>
        <v>2574.328504175005</v>
      </c>
      <c r="R237" s="187">
        <f t="shared" si="161"/>
        <v>2481.3813281599528</v>
      </c>
      <c r="S237" s="187">
        <f t="shared" si="161"/>
        <v>2469.7293209345407</v>
      </c>
      <c r="T237" s="187">
        <f t="shared" si="161"/>
        <v>2376.876065985799</v>
      </c>
      <c r="U237" s="187">
        <f t="shared" si="161"/>
        <v>2361.8520922003349</v>
      </c>
      <c r="V237" s="187">
        <f t="shared" si="161"/>
        <v>2281.6182261919198</v>
      </c>
      <c r="W237" s="187">
        <f t="shared" si="161"/>
        <v>2250.6592852748454</v>
      </c>
      <c r="X237" s="187">
        <f t="shared" si="161"/>
        <v>2158.0922847899237</v>
      </c>
      <c r="Y237" s="187">
        <f t="shared" si="161"/>
        <v>2237.6804315095601</v>
      </c>
      <c r="Z237" s="187">
        <f t="shared" si="161"/>
        <v>2142.3886900549105</v>
      </c>
      <c r="AA237" s="187">
        <f t="shared" si="161"/>
        <v>2117.0515797327043</v>
      </c>
      <c r="AB237" s="187">
        <f t="shared" si="161"/>
        <v>2021.7094910691326</v>
      </c>
      <c r="AC237" s="187">
        <f t="shared" si="161"/>
        <v>1992.3163229370118</v>
      </c>
      <c r="AD237" s="187">
        <f t="shared" si="161"/>
        <v>1907.3851466300987</v>
      </c>
      <c r="AE237" s="187">
        <f t="shared" si="161"/>
        <v>1863.349317892918</v>
      </c>
      <c r="AF237" s="187">
        <f t="shared" si="161"/>
        <v>1767.9820934948079</v>
      </c>
      <c r="AG237" s="187">
        <f t="shared" si="161"/>
        <v>1730.0089819557033</v>
      </c>
      <c r="AH237" s="187">
        <f t="shared" si="161"/>
        <v>1634.3997473361794</v>
      </c>
      <c r="AI237" s="187">
        <f t="shared" si="161"/>
        <v>1664.2398160286421</v>
      </c>
      <c r="AJ237" s="187">
        <f t="shared" si="161"/>
        <v>1565.5385581725184</v>
      </c>
      <c r="AK237" s="187">
        <f t="shared" si="161"/>
        <v>1517.504166079535</v>
      </c>
      <c r="AL237" s="187">
        <f t="shared" si="161"/>
        <v>1426.3062182693025</v>
      </c>
      <c r="AM237" s="187">
        <f t="shared" si="161"/>
        <v>1365.2015310096476</v>
      </c>
      <c r="AN237" s="187">
        <f t="shared" si="161"/>
        <v>1265.9321561833478</v>
      </c>
      <c r="AO237" s="187">
        <f t="shared" si="161"/>
        <v>1207.2384434234541</v>
      </c>
      <c r="AP237" s="187">
        <f t="shared" ref="AP237:BU237" si="162" xml:space="preserve"> AP234 * AP235 * AP236</f>
        <v>1107.4310609472375</v>
      </c>
      <c r="AQ237" s="187">
        <f t="shared" si="162"/>
        <v>1043.0631804876928</v>
      </c>
      <c r="AR237" s="187">
        <f t="shared" si="162"/>
        <v>942.81174989072917</v>
      </c>
      <c r="AS237" s="187">
        <f t="shared" si="162"/>
        <v>872.52701382584769</v>
      </c>
      <c r="AT237" s="187">
        <f t="shared" si="162"/>
        <v>652.41628467561759</v>
      </c>
      <c r="AU237" s="187">
        <f t="shared" si="162"/>
        <v>443.63241738550107</v>
      </c>
      <c r="AV237" s="187">
        <f t="shared" si="162"/>
        <v>219.7301918317994</v>
      </c>
      <c r="AW237" s="187">
        <f t="shared" si="162"/>
        <v>-2.2123232123425019E-4</v>
      </c>
      <c r="AX237" s="187">
        <f t="shared" si="162"/>
        <v>-2.1762527251847438E-4</v>
      </c>
      <c r="AY237" s="187">
        <f t="shared" si="162"/>
        <v>-2.2123232123425019E-4</v>
      </c>
      <c r="AZ237" s="187">
        <f t="shared" si="162"/>
        <v>-2.1762527251847438E-4</v>
      </c>
      <c r="BA237" s="187">
        <f t="shared" si="162"/>
        <v>-2.2123232123425019E-4</v>
      </c>
      <c r="BB237" s="187">
        <f t="shared" si="162"/>
        <v>-2.1882762209039967E-4</v>
      </c>
      <c r="BC237" s="187">
        <f t="shared" si="162"/>
        <v>0</v>
      </c>
      <c r="BD237" s="187">
        <f t="shared" si="162"/>
        <v>0</v>
      </c>
      <c r="BE237" s="187">
        <f t="shared" si="162"/>
        <v>0</v>
      </c>
      <c r="BF237" s="187">
        <f t="shared" si="162"/>
        <v>0</v>
      </c>
      <c r="BG237" s="187">
        <f t="shared" si="162"/>
        <v>0</v>
      </c>
      <c r="BH237" s="187">
        <f t="shared" si="162"/>
        <v>0</v>
      </c>
      <c r="BI237" s="187">
        <f t="shared" si="162"/>
        <v>0</v>
      </c>
      <c r="BJ237" s="187">
        <f t="shared" si="162"/>
        <v>0</v>
      </c>
      <c r="BK237" s="187">
        <f t="shared" si="162"/>
        <v>0</v>
      </c>
      <c r="BL237" s="187">
        <f t="shared" si="162"/>
        <v>0</v>
      </c>
      <c r="BM237" s="187">
        <f t="shared" si="162"/>
        <v>0</v>
      </c>
      <c r="BN237" s="187">
        <f t="shared" si="162"/>
        <v>0</v>
      </c>
      <c r="BO237" s="187">
        <f t="shared" si="162"/>
        <v>0</v>
      </c>
      <c r="BP237" s="187">
        <f t="shared" si="162"/>
        <v>0</v>
      </c>
      <c r="BQ237" s="187">
        <f t="shared" si="162"/>
        <v>0</v>
      </c>
      <c r="BR237" s="187">
        <f t="shared" si="162"/>
        <v>0</v>
      </c>
      <c r="BS237" s="187">
        <f t="shared" si="162"/>
        <v>0</v>
      </c>
      <c r="BT237" s="187">
        <f t="shared" si="162"/>
        <v>0</v>
      </c>
      <c r="BU237" s="187">
        <f t="shared" si="162"/>
        <v>0</v>
      </c>
      <c r="BV237" s="187">
        <f t="shared" ref="BV237:CV237" si="163" xml:space="preserve"> BV234 * BV235 * BV236</f>
        <v>0</v>
      </c>
      <c r="BW237" s="187">
        <f t="shared" si="163"/>
        <v>0</v>
      </c>
      <c r="BX237" s="187">
        <f t="shared" si="163"/>
        <v>0</v>
      </c>
      <c r="BY237" s="187">
        <f t="shared" si="163"/>
        <v>0</v>
      </c>
      <c r="BZ237" s="187">
        <f t="shared" si="163"/>
        <v>0</v>
      </c>
      <c r="CA237" s="187">
        <f t="shared" si="163"/>
        <v>0</v>
      </c>
      <c r="CB237" s="187">
        <f t="shared" si="163"/>
        <v>0</v>
      </c>
      <c r="CC237" s="187">
        <f t="shared" si="163"/>
        <v>0</v>
      </c>
      <c r="CD237" s="187">
        <f t="shared" si="163"/>
        <v>0</v>
      </c>
      <c r="CE237" s="187">
        <f t="shared" si="163"/>
        <v>0</v>
      </c>
      <c r="CF237" s="187">
        <f t="shared" si="163"/>
        <v>0</v>
      </c>
      <c r="CG237" s="187">
        <f t="shared" si="163"/>
        <v>0</v>
      </c>
      <c r="CH237" s="187">
        <f t="shared" si="163"/>
        <v>0</v>
      </c>
      <c r="CI237" s="187">
        <f t="shared" si="163"/>
        <v>0</v>
      </c>
      <c r="CJ237" s="187">
        <f t="shared" si="163"/>
        <v>0</v>
      </c>
      <c r="CK237" s="187">
        <f t="shared" si="163"/>
        <v>0</v>
      </c>
      <c r="CL237" s="187">
        <f t="shared" si="163"/>
        <v>0</v>
      </c>
      <c r="CM237" s="187">
        <f t="shared" si="163"/>
        <v>0</v>
      </c>
      <c r="CN237" s="187">
        <f t="shared" si="163"/>
        <v>0</v>
      </c>
      <c r="CO237" s="187">
        <f t="shared" si="163"/>
        <v>0</v>
      </c>
      <c r="CP237" s="187">
        <f t="shared" si="163"/>
        <v>0</v>
      </c>
      <c r="CQ237" s="187">
        <f t="shared" si="163"/>
        <v>0</v>
      </c>
      <c r="CR237" s="187">
        <f t="shared" si="163"/>
        <v>0</v>
      </c>
      <c r="CS237" s="187">
        <f t="shared" si="163"/>
        <v>0</v>
      </c>
      <c r="CT237" s="187">
        <f t="shared" si="163"/>
        <v>0</v>
      </c>
      <c r="CU237" s="187">
        <f t="shared" si="163"/>
        <v>0</v>
      </c>
      <c r="CV237" s="187">
        <f t="shared" si="163"/>
        <v>0</v>
      </c>
    </row>
    <row r="238" spans="1:100" s="188" customFormat="1" ht="12.75" outlineLevel="2" x14ac:dyDescent="0.2">
      <c r="A238" s="141"/>
      <c r="B238" s="141"/>
      <c r="C238" s="142"/>
      <c r="D238" s="143" t="s">
        <v>417</v>
      </c>
      <c r="E238" s="187" t="str">
        <f xml:space="preserve"> LEFT(E237, LEN(E237) - 4)</f>
        <v>Senior debt interest - T1</v>
      </c>
      <c r="F238" s="187"/>
      <c r="G238" s="187" t="str">
        <f xml:space="preserve"> SMU</f>
        <v>$ 000s</v>
      </c>
      <c r="H238" s="187">
        <f xml:space="preserve"> SUM(J238:CV238)</f>
        <v>-58932.622085008683</v>
      </c>
      <c r="I238" s="144"/>
      <c r="J238" s="187">
        <f t="shared" ref="J238:AO238" si="164" xml:space="preserve"> -1 * J237</f>
        <v>0</v>
      </c>
      <c r="K238" s="187">
        <f t="shared" si="164"/>
        <v>0</v>
      </c>
      <c r="L238" s="187">
        <f t="shared" si="164"/>
        <v>0</v>
      </c>
      <c r="M238" s="187">
        <f t="shared" si="164"/>
        <v>0</v>
      </c>
      <c r="N238" s="187">
        <f t="shared" si="164"/>
        <v>0</v>
      </c>
      <c r="O238" s="187">
        <f t="shared" si="164"/>
        <v>-2687.5177475939608</v>
      </c>
      <c r="P238" s="187">
        <f t="shared" si="164"/>
        <v>-2582.7239566536373</v>
      </c>
      <c r="Q238" s="187">
        <f t="shared" si="164"/>
        <v>-2574.328504175005</v>
      </c>
      <c r="R238" s="187">
        <f t="shared" si="164"/>
        <v>-2481.3813281599528</v>
      </c>
      <c r="S238" s="187">
        <f t="shared" si="164"/>
        <v>-2469.7293209345407</v>
      </c>
      <c r="T238" s="187">
        <f t="shared" si="164"/>
        <v>-2376.876065985799</v>
      </c>
      <c r="U238" s="187">
        <f t="shared" si="164"/>
        <v>-2361.8520922003349</v>
      </c>
      <c r="V238" s="187">
        <f t="shared" si="164"/>
        <v>-2281.6182261919198</v>
      </c>
      <c r="W238" s="187">
        <f t="shared" si="164"/>
        <v>-2250.6592852748454</v>
      </c>
      <c r="X238" s="187">
        <f t="shared" si="164"/>
        <v>-2158.0922847899237</v>
      </c>
      <c r="Y238" s="187">
        <f t="shared" si="164"/>
        <v>-2237.6804315095601</v>
      </c>
      <c r="Z238" s="187">
        <f t="shared" si="164"/>
        <v>-2142.3886900549105</v>
      </c>
      <c r="AA238" s="187">
        <f t="shared" si="164"/>
        <v>-2117.0515797327043</v>
      </c>
      <c r="AB238" s="187">
        <f t="shared" si="164"/>
        <v>-2021.7094910691326</v>
      </c>
      <c r="AC238" s="187">
        <f t="shared" si="164"/>
        <v>-1992.3163229370118</v>
      </c>
      <c r="AD238" s="187">
        <f t="shared" si="164"/>
        <v>-1907.3851466300987</v>
      </c>
      <c r="AE238" s="187">
        <f t="shared" si="164"/>
        <v>-1863.349317892918</v>
      </c>
      <c r="AF238" s="187">
        <f t="shared" si="164"/>
        <v>-1767.9820934948079</v>
      </c>
      <c r="AG238" s="187">
        <f t="shared" si="164"/>
        <v>-1730.0089819557033</v>
      </c>
      <c r="AH238" s="187">
        <f t="shared" si="164"/>
        <v>-1634.3997473361794</v>
      </c>
      <c r="AI238" s="187">
        <f t="shared" si="164"/>
        <v>-1664.2398160286421</v>
      </c>
      <c r="AJ238" s="187">
        <f t="shared" si="164"/>
        <v>-1565.5385581725184</v>
      </c>
      <c r="AK238" s="187">
        <f t="shared" si="164"/>
        <v>-1517.504166079535</v>
      </c>
      <c r="AL238" s="187">
        <f t="shared" si="164"/>
        <v>-1426.3062182693025</v>
      </c>
      <c r="AM238" s="187">
        <f t="shared" si="164"/>
        <v>-1365.2015310096476</v>
      </c>
      <c r="AN238" s="187">
        <f t="shared" si="164"/>
        <v>-1265.9321561833478</v>
      </c>
      <c r="AO238" s="187">
        <f t="shared" si="164"/>
        <v>-1207.2384434234541</v>
      </c>
      <c r="AP238" s="187">
        <f t="shared" ref="AP238:BU238" si="165" xml:space="preserve"> -1 * AP237</f>
        <v>-1107.4310609472375</v>
      </c>
      <c r="AQ238" s="187">
        <f t="shared" si="165"/>
        <v>-1043.0631804876928</v>
      </c>
      <c r="AR238" s="187">
        <f t="shared" si="165"/>
        <v>-942.81174989072917</v>
      </c>
      <c r="AS238" s="187">
        <f t="shared" si="165"/>
        <v>-872.52701382584769</v>
      </c>
      <c r="AT238" s="187">
        <f t="shared" si="165"/>
        <v>-652.41628467561759</v>
      </c>
      <c r="AU238" s="187">
        <f t="shared" si="165"/>
        <v>-443.63241738550107</v>
      </c>
      <c r="AV238" s="187">
        <f t="shared" si="165"/>
        <v>-219.7301918317994</v>
      </c>
      <c r="AW238" s="187">
        <f t="shared" si="165"/>
        <v>2.2123232123425019E-4</v>
      </c>
      <c r="AX238" s="187">
        <f t="shared" si="165"/>
        <v>2.1762527251847438E-4</v>
      </c>
      <c r="AY238" s="187">
        <f t="shared" si="165"/>
        <v>2.2123232123425019E-4</v>
      </c>
      <c r="AZ238" s="187">
        <f t="shared" si="165"/>
        <v>2.1762527251847438E-4</v>
      </c>
      <c r="BA238" s="187">
        <f t="shared" si="165"/>
        <v>2.2123232123425019E-4</v>
      </c>
      <c r="BB238" s="187">
        <f t="shared" si="165"/>
        <v>2.1882762209039967E-4</v>
      </c>
      <c r="BC238" s="187">
        <f t="shared" si="165"/>
        <v>0</v>
      </c>
      <c r="BD238" s="187">
        <f t="shared" si="165"/>
        <v>0</v>
      </c>
      <c r="BE238" s="187">
        <f t="shared" si="165"/>
        <v>0</v>
      </c>
      <c r="BF238" s="187">
        <f t="shared" si="165"/>
        <v>0</v>
      </c>
      <c r="BG238" s="187">
        <f t="shared" si="165"/>
        <v>0</v>
      </c>
      <c r="BH238" s="187">
        <f t="shared" si="165"/>
        <v>0</v>
      </c>
      <c r="BI238" s="187">
        <f t="shared" si="165"/>
        <v>0</v>
      </c>
      <c r="BJ238" s="187">
        <f t="shared" si="165"/>
        <v>0</v>
      </c>
      <c r="BK238" s="187">
        <f t="shared" si="165"/>
        <v>0</v>
      </c>
      <c r="BL238" s="187">
        <f t="shared" si="165"/>
        <v>0</v>
      </c>
      <c r="BM238" s="187">
        <f t="shared" si="165"/>
        <v>0</v>
      </c>
      <c r="BN238" s="187">
        <f t="shared" si="165"/>
        <v>0</v>
      </c>
      <c r="BO238" s="187">
        <f t="shared" si="165"/>
        <v>0</v>
      </c>
      <c r="BP238" s="187">
        <f t="shared" si="165"/>
        <v>0</v>
      </c>
      <c r="BQ238" s="187">
        <f t="shared" si="165"/>
        <v>0</v>
      </c>
      <c r="BR238" s="187">
        <f t="shared" si="165"/>
        <v>0</v>
      </c>
      <c r="BS238" s="187">
        <f t="shared" si="165"/>
        <v>0</v>
      </c>
      <c r="BT238" s="187">
        <f t="shared" si="165"/>
        <v>0</v>
      </c>
      <c r="BU238" s="187">
        <f t="shared" si="165"/>
        <v>0</v>
      </c>
      <c r="BV238" s="187">
        <f t="shared" ref="BV238:CV238" si="166" xml:space="preserve"> -1 * BV237</f>
        <v>0</v>
      </c>
      <c r="BW238" s="187">
        <f t="shared" si="166"/>
        <v>0</v>
      </c>
      <c r="BX238" s="187">
        <f t="shared" si="166"/>
        <v>0</v>
      </c>
      <c r="BY238" s="187">
        <f t="shared" si="166"/>
        <v>0</v>
      </c>
      <c r="BZ238" s="187">
        <f t="shared" si="166"/>
        <v>0</v>
      </c>
      <c r="CA238" s="187">
        <f t="shared" si="166"/>
        <v>0</v>
      </c>
      <c r="CB238" s="187">
        <f t="shared" si="166"/>
        <v>0</v>
      </c>
      <c r="CC238" s="187">
        <f t="shared" si="166"/>
        <v>0</v>
      </c>
      <c r="CD238" s="187">
        <f t="shared" si="166"/>
        <v>0</v>
      </c>
      <c r="CE238" s="187">
        <f t="shared" si="166"/>
        <v>0</v>
      </c>
      <c r="CF238" s="187">
        <f t="shared" si="166"/>
        <v>0</v>
      </c>
      <c r="CG238" s="187">
        <f t="shared" si="166"/>
        <v>0</v>
      </c>
      <c r="CH238" s="187">
        <f t="shared" si="166"/>
        <v>0</v>
      </c>
      <c r="CI238" s="187">
        <f t="shared" si="166"/>
        <v>0</v>
      </c>
      <c r="CJ238" s="187">
        <f t="shared" si="166"/>
        <v>0</v>
      </c>
      <c r="CK238" s="187">
        <f t="shared" si="166"/>
        <v>0</v>
      </c>
      <c r="CL238" s="187">
        <f t="shared" si="166"/>
        <v>0</v>
      </c>
      <c r="CM238" s="187">
        <f t="shared" si="166"/>
        <v>0</v>
      </c>
      <c r="CN238" s="187">
        <f t="shared" si="166"/>
        <v>0</v>
      </c>
      <c r="CO238" s="187">
        <f t="shared" si="166"/>
        <v>0</v>
      </c>
      <c r="CP238" s="187">
        <f t="shared" si="166"/>
        <v>0</v>
      </c>
      <c r="CQ238" s="187">
        <f t="shared" si="166"/>
        <v>0</v>
      </c>
      <c r="CR238" s="187">
        <f t="shared" si="166"/>
        <v>0</v>
      </c>
      <c r="CS238" s="187">
        <f t="shared" si="166"/>
        <v>0</v>
      </c>
      <c r="CT238" s="187">
        <f t="shared" si="166"/>
        <v>0</v>
      </c>
      <c r="CU238" s="187">
        <f t="shared" si="166"/>
        <v>0</v>
      </c>
      <c r="CV238" s="187">
        <f t="shared" si="166"/>
        <v>0</v>
      </c>
    </row>
    <row r="239" spans="1:100" s="188" customFormat="1" ht="12.75" outlineLevel="2" x14ac:dyDescent="0.2">
      <c r="A239" s="141"/>
      <c r="B239" s="141"/>
      <c r="C239" s="142"/>
      <c r="D239" s="143"/>
      <c r="E239" s="187"/>
      <c r="F239" s="187"/>
      <c r="G239" s="187"/>
      <c r="H239" s="187"/>
      <c r="I239" s="144"/>
      <c r="J239" s="187"/>
      <c r="K239" s="187"/>
      <c r="L239" s="187"/>
      <c r="M239" s="187"/>
      <c r="N239" s="187"/>
      <c r="O239" s="187"/>
      <c r="P239" s="187"/>
      <c r="Q239" s="187"/>
      <c r="R239" s="187"/>
      <c r="S239" s="187"/>
      <c r="T239" s="187"/>
      <c r="U239" s="187"/>
      <c r="V239" s="187"/>
      <c r="W239" s="187"/>
      <c r="X239" s="187"/>
      <c r="Y239" s="187"/>
      <c r="Z239" s="187"/>
      <c r="AA239" s="187"/>
      <c r="AB239" s="187"/>
      <c r="AC239" s="187"/>
      <c r="AD239" s="187"/>
      <c r="AE239" s="187"/>
      <c r="AF239" s="187"/>
      <c r="AG239" s="187"/>
      <c r="AH239" s="187"/>
      <c r="AI239" s="187"/>
      <c r="AJ239" s="187"/>
      <c r="AK239" s="187"/>
      <c r="AL239" s="187"/>
      <c r="AM239" s="187"/>
      <c r="AN239" s="187"/>
      <c r="AO239" s="187"/>
      <c r="AP239" s="187"/>
      <c r="AQ239" s="187"/>
      <c r="AR239" s="187"/>
      <c r="AS239" s="187"/>
      <c r="AT239" s="187"/>
      <c r="AU239" s="187"/>
      <c r="AV239" s="187"/>
      <c r="AW239" s="187"/>
      <c r="AX239" s="187"/>
      <c r="AY239" s="187"/>
      <c r="AZ239" s="187"/>
      <c r="BA239" s="187"/>
      <c r="BB239" s="187"/>
      <c r="BC239" s="187"/>
      <c r="BD239" s="187"/>
      <c r="BE239" s="187"/>
      <c r="BF239" s="187"/>
      <c r="BG239" s="187"/>
      <c r="BH239" s="187"/>
      <c r="BI239" s="187"/>
      <c r="BJ239" s="187"/>
      <c r="BK239" s="187"/>
      <c r="BL239" s="187"/>
      <c r="BM239" s="187"/>
      <c r="BN239" s="187"/>
      <c r="BO239" s="187"/>
      <c r="BP239" s="187"/>
      <c r="BQ239" s="187"/>
      <c r="BR239" s="187"/>
      <c r="BS239" s="187"/>
      <c r="BT239" s="187"/>
      <c r="BU239" s="187"/>
      <c r="BV239" s="187"/>
      <c r="BW239" s="187"/>
      <c r="BX239" s="187"/>
      <c r="BY239" s="187"/>
      <c r="BZ239" s="187"/>
      <c r="CA239" s="187"/>
      <c r="CB239" s="187"/>
      <c r="CC239" s="187"/>
      <c r="CD239" s="187"/>
      <c r="CE239" s="187"/>
      <c r="CF239" s="187"/>
      <c r="CG239" s="187"/>
      <c r="CH239" s="187"/>
      <c r="CI239" s="187"/>
      <c r="CJ239" s="187"/>
      <c r="CK239" s="187"/>
      <c r="CL239" s="187"/>
      <c r="CM239" s="187"/>
      <c r="CN239" s="187"/>
      <c r="CO239" s="187"/>
      <c r="CP239" s="187"/>
      <c r="CQ239" s="187"/>
      <c r="CR239" s="187"/>
      <c r="CS239" s="187"/>
      <c r="CT239" s="187"/>
      <c r="CU239" s="187"/>
      <c r="CV239" s="187"/>
    </row>
    <row r="240" spans="1:100" ht="12.75" outlineLevel="1" x14ac:dyDescent="0.2">
      <c r="C240" s="21" t="s">
        <v>1340</v>
      </c>
    </row>
    <row r="241" spans="1:192" s="188" customFormat="1" ht="12.75" outlineLevel="2" x14ac:dyDescent="0.2">
      <c r="A241" s="141"/>
      <c r="B241" s="141"/>
      <c r="C241" s="142"/>
      <c r="D241" s="143"/>
      <c r="E241" s="493" t="str">
        <f xml:space="preserve"> InpC!E$401</f>
        <v>Withholding tax on Senior Debt Interest cashflows</v>
      </c>
      <c r="F241" s="493">
        <f xml:space="preserve"> InpC!F$401</f>
        <v>0.02</v>
      </c>
      <c r="G241" s="493" t="str">
        <f xml:space="preserve"> InpC!G$401</f>
        <v>%</v>
      </c>
      <c r="H241" s="187"/>
      <c r="I241" s="144"/>
      <c r="J241" s="187"/>
      <c r="K241" s="187"/>
      <c r="L241" s="187"/>
      <c r="M241" s="187"/>
      <c r="N241" s="187"/>
      <c r="O241" s="187"/>
      <c r="P241" s="187"/>
      <c r="Q241" s="187"/>
      <c r="R241" s="187"/>
      <c r="S241" s="187"/>
      <c r="T241" s="187"/>
      <c r="U241" s="187"/>
      <c r="V241" s="187"/>
      <c r="W241" s="187"/>
      <c r="X241" s="187"/>
      <c r="Y241" s="187"/>
      <c r="Z241" s="187"/>
      <c r="AA241" s="187"/>
      <c r="AB241" s="187"/>
      <c r="AC241" s="187"/>
      <c r="AD241" s="187"/>
      <c r="AE241" s="187"/>
      <c r="AF241" s="187"/>
      <c r="AG241" s="187"/>
      <c r="AH241" s="187"/>
      <c r="AI241" s="187"/>
      <c r="AJ241" s="187"/>
      <c r="AK241" s="187"/>
      <c r="AL241" s="187"/>
      <c r="AM241" s="187"/>
      <c r="AN241" s="187"/>
      <c r="AO241" s="187"/>
      <c r="AP241" s="187"/>
      <c r="AQ241" s="187"/>
      <c r="AR241" s="187"/>
      <c r="AS241" s="187"/>
      <c r="AT241" s="187"/>
      <c r="AU241" s="187"/>
      <c r="AV241" s="187"/>
      <c r="AW241" s="187"/>
      <c r="AX241" s="187"/>
      <c r="AY241" s="187"/>
      <c r="AZ241" s="187"/>
      <c r="BA241" s="187"/>
      <c r="BB241" s="187"/>
      <c r="BC241" s="187"/>
      <c r="BD241" s="187"/>
      <c r="BE241" s="187"/>
      <c r="BF241" s="187"/>
      <c r="BG241" s="187"/>
      <c r="BH241" s="187"/>
      <c r="BI241" s="187"/>
      <c r="BJ241" s="187"/>
      <c r="BK241" s="187"/>
      <c r="BL241" s="187"/>
      <c r="BM241" s="187"/>
      <c r="BN241" s="187"/>
      <c r="BO241" s="187"/>
      <c r="BP241" s="187"/>
      <c r="BQ241" s="187"/>
      <c r="BR241" s="187"/>
      <c r="BS241" s="187"/>
      <c r="BT241" s="187"/>
      <c r="BU241" s="187"/>
      <c r="BV241" s="187"/>
      <c r="BW241" s="187"/>
      <c r="BX241" s="187"/>
      <c r="BY241" s="187"/>
      <c r="BZ241" s="187"/>
      <c r="CA241" s="187"/>
      <c r="CB241" s="187"/>
      <c r="CC241" s="187"/>
      <c r="CD241" s="187"/>
      <c r="CE241" s="187"/>
      <c r="CF241" s="187"/>
      <c r="CG241" s="187"/>
      <c r="CH241" s="187"/>
      <c r="CI241" s="187"/>
      <c r="CJ241" s="187"/>
      <c r="CK241" s="187"/>
      <c r="CL241" s="187"/>
      <c r="CM241" s="187"/>
      <c r="CN241" s="187"/>
      <c r="CO241" s="187"/>
      <c r="CP241" s="187"/>
      <c r="CQ241" s="187"/>
      <c r="CR241" s="187"/>
      <c r="CS241" s="187"/>
      <c r="CT241" s="187"/>
      <c r="CU241" s="187"/>
      <c r="CV241" s="187"/>
    </row>
    <row r="242" spans="1:192" s="188" customFormat="1" ht="12.75" outlineLevel="2" x14ac:dyDescent="0.2">
      <c r="A242" s="141"/>
      <c r="B242" s="141"/>
      <c r="C242" s="142"/>
      <c r="D242" s="143"/>
      <c r="E242" s="12" t="str">
        <f t="shared" ref="E242:AJ245" si="167" xml:space="preserve"> E$237</f>
        <v>Senior debt interest - T1 POS</v>
      </c>
      <c r="F242" s="12">
        <f xml:space="preserve"> F$237</f>
        <v>0</v>
      </c>
      <c r="G242" s="12" t="str">
        <f t="shared" si="167"/>
        <v>$ 000s</v>
      </c>
      <c r="H242" s="12">
        <f xml:space="preserve"> H$237</f>
        <v>58932.622085008683</v>
      </c>
      <c r="I242" s="12">
        <f t="shared" si="167"/>
        <v>0</v>
      </c>
      <c r="J242" s="12">
        <f t="shared" si="167"/>
        <v>0</v>
      </c>
      <c r="K242" s="12">
        <f t="shared" si="167"/>
        <v>0</v>
      </c>
      <c r="L242" s="12">
        <f t="shared" si="167"/>
        <v>0</v>
      </c>
      <c r="M242" s="12">
        <f t="shared" si="167"/>
        <v>0</v>
      </c>
      <c r="N242" s="12">
        <f t="shared" si="167"/>
        <v>0</v>
      </c>
      <c r="O242" s="12">
        <f t="shared" si="167"/>
        <v>2687.5177475939608</v>
      </c>
      <c r="P242" s="12">
        <f t="shared" si="167"/>
        <v>2582.7239566536373</v>
      </c>
      <c r="Q242" s="12">
        <f t="shared" si="167"/>
        <v>2574.328504175005</v>
      </c>
      <c r="R242" s="12">
        <f t="shared" si="167"/>
        <v>2481.3813281599528</v>
      </c>
      <c r="S242" s="12">
        <f t="shared" si="167"/>
        <v>2469.7293209345407</v>
      </c>
      <c r="T242" s="12">
        <f t="shared" si="167"/>
        <v>2376.876065985799</v>
      </c>
      <c r="U242" s="12">
        <f t="shared" si="167"/>
        <v>2361.8520922003349</v>
      </c>
      <c r="V242" s="12">
        <f t="shared" si="167"/>
        <v>2281.6182261919198</v>
      </c>
      <c r="W242" s="12">
        <f t="shared" si="167"/>
        <v>2250.6592852748454</v>
      </c>
      <c r="X242" s="12">
        <f t="shared" si="167"/>
        <v>2158.0922847899237</v>
      </c>
      <c r="Y242" s="12">
        <f t="shared" si="167"/>
        <v>2237.6804315095601</v>
      </c>
      <c r="Z242" s="12">
        <f t="shared" si="167"/>
        <v>2142.3886900549105</v>
      </c>
      <c r="AA242" s="12">
        <f t="shared" si="167"/>
        <v>2117.0515797327043</v>
      </c>
      <c r="AB242" s="12">
        <f t="shared" si="167"/>
        <v>2021.7094910691326</v>
      </c>
      <c r="AC242" s="12">
        <f t="shared" si="167"/>
        <v>1992.3163229370118</v>
      </c>
      <c r="AD242" s="12">
        <f t="shared" si="167"/>
        <v>1907.3851466300987</v>
      </c>
      <c r="AE242" s="12">
        <f t="shared" si="167"/>
        <v>1863.349317892918</v>
      </c>
      <c r="AF242" s="12">
        <f t="shared" si="167"/>
        <v>1767.9820934948079</v>
      </c>
      <c r="AG242" s="12">
        <f t="shared" si="167"/>
        <v>1730.0089819557033</v>
      </c>
      <c r="AH242" s="12">
        <f t="shared" si="167"/>
        <v>1634.3997473361794</v>
      </c>
      <c r="AI242" s="12">
        <f t="shared" si="167"/>
        <v>1664.2398160286421</v>
      </c>
      <c r="AJ242" s="12">
        <f t="shared" si="167"/>
        <v>1565.5385581725184</v>
      </c>
      <c r="AK242" s="12">
        <f t="shared" ref="AK242:BP242" si="168" xml:space="preserve"> AK$237</f>
        <v>1517.504166079535</v>
      </c>
      <c r="AL242" s="12">
        <f t="shared" si="168"/>
        <v>1426.3062182693025</v>
      </c>
      <c r="AM242" s="12">
        <f t="shared" si="168"/>
        <v>1365.2015310096476</v>
      </c>
      <c r="AN242" s="12">
        <f t="shared" si="168"/>
        <v>1265.9321561833478</v>
      </c>
      <c r="AO242" s="12">
        <f t="shared" si="168"/>
        <v>1207.2384434234541</v>
      </c>
      <c r="AP242" s="12">
        <f t="shared" si="168"/>
        <v>1107.4310609472375</v>
      </c>
      <c r="AQ242" s="12">
        <f t="shared" si="168"/>
        <v>1043.0631804876928</v>
      </c>
      <c r="AR242" s="12">
        <f t="shared" si="168"/>
        <v>942.81174989072917</v>
      </c>
      <c r="AS242" s="12">
        <f t="shared" si="168"/>
        <v>872.52701382584769</v>
      </c>
      <c r="AT242" s="12">
        <f t="shared" si="168"/>
        <v>652.41628467561759</v>
      </c>
      <c r="AU242" s="12">
        <f t="shared" si="168"/>
        <v>443.63241738550107</v>
      </c>
      <c r="AV242" s="12">
        <f t="shared" si="168"/>
        <v>219.7301918317994</v>
      </c>
      <c r="AW242" s="12">
        <f t="shared" si="168"/>
        <v>-2.2123232123425019E-4</v>
      </c>
      <c r="AX242" s="12">
        <f t="shared" si="168"/>
        <v>-2.1762527251847438E-4</v>
      </c>
      <c r="AY242" s="12">
        <f t="shared" si="168"/>
        <v>-2.2123232123425019E-4</v>
      </c>
      <c r="AZ242" s="12">
        <f t="shared" si="168"/>
        <v>-2.1762527251847438E-4</v>
      </c>
      <c r="BA242" s="12">
        <f t="shared" si="168"/>
        <v>-2.2123232123425019E-4</v>
      </c>
      <c r="BB242" s="12">
        <f t="shared" si="168"/>
        <v>-2.1882762209039967E-4</v>
      </c>
      <c r="BC242" s="12">
        <f t="shared" si="168"/>
        <v>0</v>
      </c>
      <c r="BD242" s="12">
        <f t="shared" si="168"/>
        <v>0</v>
      </c>
      <c r="BE242" s="12">
        <f t="shared" si="168"/>
        <v>0</v>
      </c>
      <c r="BF242" s="12">
        <f t="shared" si="168"/>
        <v>0</v>
      </c>
      <c r="BG242" s="12">
        <f t="shared" si="168"/>
        <v>0</v>
      </c>
      <c r="BH242" s="12">
        <f t="shared" si="168"/>
        <v>0</v>
      </c>
      <c r="BI242" s="12">
        <f t="shared" si="168"/>
        <v>0</v>
      </c>
      <c r="BJ242" s="12">
        <f t="shared" si="168"/>
        <v>0</v>
      </c>
      <c r="BK242" s="12">
        <f t="shared" si="168"/>
        <v>0</v>
      </c>
      <c r="BL242" s="12">
        <f t="shared" si="168"/>
        <v>0</v>
      </c>
      <c r="BM242" s="12">
        <f t="shared" si="168"/>
        <v>0</v>
      </c>
      <c r="BN242" s="12">
        <f t="shared" si="168"/>
        <v>0</v>
      </c>
      <c r="BO242" s="12">
        <f t="shared" si="168"/>
        <v>0</v>
      </c>
      <c r="BP242" s="12">
        <f t="shared" si="168"/>
        <v>0</v>
      </c>
      <c r="BQ242" s="12">
        <f t="shared" ref="BQ242:CV242" si="169" xml:space="preserve"> BQ$237</f>
        <v>0</v>
      </c>
      <c r="BR242" s="12">
        <f t="shared" si="169"/>
        <v>0</v>
      </c>
      <c r="BS242" s="12">
        <f t="shared" si="169"/>
        <v>0</v>
      </c>
      <c r="BT242" s="12">
        <f t="shared" si="169"/>
        <v>0</v>
      </c>
      <c r="BU242" s="12">
        <f t="shared" si="169"/>
        <v>0</v>
      </c>
      <c r="BV242" s="12">
        <f t="shared" si="169"/>
        <v>0</v>
      </c>
      <c r="BW242" s="12">
        <f t="shared" si="169"/>
        <v>0</v>
      </c>
      <c r="BX242" s="12">
        <f t="shared" si="169"/>
        <v>0</v>
      </c>
      <c r="BY242" s="12">
        <f t="shared" si="169"/>
        <v>0</v>
      </c>
      <c r="BZ242" s="12">
        <f t="shared" si="169"/>
        <v>0</v>
      </c>
      <c r="CA242" s="12">
        <f t="shared" si="169"/>
        <v>0</v>
      </c>
      <c r="CB242" s="12">
        <f t="shared" si="169"/>
        <v>0</v>
      </c>
      <c r="CC242" s="12">
        <f t="shared" si="169"/>
        <v>0</v>
      </c>
      <c r="CD242" s="12">
        <f t="shared" si="169"/>
        <v>0</v>
      </c>
      <c r="CE242" s="12">
        <f t="shared" si="169"/>
        <v>0</v>
      </c>
      <c r="CF242" s="12">
        <f t="shared" si="169"/>
        <v>0</v>
      </c>
      <c r="CG242" s="12">
        <f t="shared" si="169"/>
        <v>0</v>
      </c>
      <c r="CH242" s="12">
        <f t="shared" si="169"/>
        <v>0</v>
      </c>
      <c r="CI242" s="12">
        <f t="shared" si="169"/>
        <v>0</v>
      </c>
      <c r="CJ242" s="12">
        <f t="shared" si="169"/>
        <v>0</v>
      </c>
      <c r="CK242" s="12">
        <f t="shared" si="169"/>
        <v>0</v>
      </c>
      <c r="CL242" s="12">
        <f t="shared" si="169"/>
        <v>0</v>
      </c>
      <c r="CM242" s="12">
        <f t="shared" si="169"/>
        <v>0</v>
      </c>
      <c r="CN242" s="12">
        <f t="shared" si="169"/>
        <v>0</v>
      </c>
      <c r="CO242" s="12">
        <f t="shared" si="169"/>
        <v>0</v>
      </c>
      <c r="CP242" s="12">
        <f t="shared" si="169"/>
        <v>0</v>
      </c>
      <c r="CQ242" s="12">
        <f t="shared" si="169"/>
        <v>0</v>
      </c>
      <c r="CR242" s="12">
        <f t="shared" si="169"/>
        <v>0</v>
      </c>
      <c r="CS242" s="12">
        <f t="shared" si="169"/>
        <v>0</v>
      </c>
      <c r="CT242" s="12">
        <f t="shared" si="169"/>
        <v>0</v>
      </c>
      <c r="CU242" s="12">
        <f t="shared" si="169"/>
        <v>0</v>
      </c>
      <c r="CV242" s="12">
        <f t="shared" si="169"/>
        <v>0</v>
      </c>
      <c r="CW242" s="12">
        <f t="shared" ref="CW242:EB242" si="170" xml:space="preserve"> CW$237</f>
        <v>0</v>
      </c>
      <c r="CX242" s="12">
        <f t="shared" si="170"/>
        <v>0</v>
      </c>
      <c r="CY242" s="12">
        <f t="shared" si="170"/>
        <v>0</v>
      </c>
      <c r="CZ242" s="12">
        <f t="shared" si="170"/>
        <v>0</v>
      </c>
      <c r="DA242" s="12">
        <f t="shared" si="170"/>
        <v>0</v>
      </c>
      <c r="DB242" s="12">
        <f t="shared" si="170"/>
        <v>0</v>
      </c>
      <c r="DC242" s="12">
        <f t="shared" si="170"/>
        <v>0</v>
      </c>
      <c r="DD242" s="12">
        <f t="shared" si="170"/>
        <v>0</v>
      </c>
      <c r="DE242" s="12">
        <f t="shared" si="170"/>
        <v>0</v>
      </c>
      <c r="DF242" s="12">
        <f t="shared" si="170"/>
        <v>0</v>
      </c>
      <c r="DG242" s="12">
        <f t="shared" si="170"/>
        <v>0</v>
      </c>
      <c r="DH242" s="12">
        <f t="shared" si="170"/>
        <v>0</v>
      </c>
      <c r="DI242" s="12">
        <f t="shared" si="170"/>
        <v>0</v>
      </c>
      <c r="DJ242" s="12">
        <f t="shared" si="170"/>
        <v>0</v>
      </c>
      <c r="DK242" s="12">
        <f t="shared" si="170"/>
        <v>0</v>
      </c>
      <c r="DL242" s="12">
        <f t="shared" si="170"/>
        <v>0</v>
      </c>
      <c r="DM242" s="12">
        <f t="shared" si="170"/>
        <v>0</v>
      </c>
      <c r="DN242" s="12">
        <f t="shared" si="170"/>
        <v>0</v>
      </c>
      <c r="DO242" s="12">
        <f t="shared" si="170"/>
        <v>0</v>
      </c>
      <c r="DP242" s="12">
        <f t="shared" si="170"/>
        <v>0</v>
      </c>
      <c r="DQ242" s="12">
        <f t="shared" si="170"/>
        <v>0</v>
      </c>
      <c r="DR242" s="12">
        <f t="shared" si="170"/>
        <v>0</v>
      </c>
      <c r="DS242" s="12">
        <f t="shared" si="170"/>
        <v>0</v>
      </c>
      <c r="DT242" s="12">
        <f t="shared" si="170"/>
        <v>0</v>
      </c>
      <c r="DU242" s="12">
        <f t="shared" si="170"/>
        <v>0</v>
      </c>
      <c r="DV242" s="12">
        <f t="shared" si="170"/>
        <v>0</v>
      </c>
      <c r="DW242" s="12">
        <f t="shared" si="170"/>
        <v>0</v>
      </c>
      <c r="DX242" s="12">
        <f t="shared" si="170"/>
        <v>0</v>
      </c>
      <c r="DY242" s="12">
        <f t="shared" si="170"/>
        <v>0</v>
      </c>
      <c r="DZ242" s="12">
        <f t="shared" si="170"/>
        <v>0</v>
      </c>
      <c r="EA242" s="12">
        <f t="shared" si="170"/>
        <v>0</v>
      </c>
      <c r="EB242" s="12">
        <f t="shared" si="170"/>
        <v>0</v>
      </c>
      <c r="EC242" s="12">
        <f t="shared" ref="EC242:FH242" si="171" xml:space="preserve"> EC$237</f>
        <v>0</v>
      </c>
      <c r="ED242" s="12">
        <f t="shared" si="171"/>
        <v>0</v>
      </c>
      <c r="EE242" s="12">
        <f t="shared" si="171"/>
        <v>0</v>
      </c>
      <c r="EF242" s="12">
        <f t="shared" si="171"/>
        <v>0</v>
      </c>
      <c r="EG242" s="12">
        <f t="shared" si="171"/>
        <v>0</v>
      </c>
      <c r="EH242" s="12">
        <f t="shared" si="171"/>
        <v>0</v>
      </c>
      <c r="EI242" s="12">
        <f t="shared" si="171"/>
        <v>0</v>
      </c>
      <c r="EJ242" s="12">
        <f t="shared" si="171"/>
        <v>0</v>
      </c>
      <c r="EK242" s="12">
        <f t="shared" si="171"/>
        <v>0</v>
      </c>
      <c r="EL242" s="12">
        <f t="shared" si="171"/>
        <v>0</v>
      </c>
      <c r="EM242" s="12">
        <f t="shared" si="171"/>
        <v>0</v>
      </c>
      <c r="EN242" s="12">
        <f t="shared" si="171"/>
        <v>0</v>
      </c>
      <c r="EO242" s="12">
        <f t="shared" si="171"/>
        <v>0</v>
      </c>
      <c r="EP242" s="12">
        <f t="shared" si="171"/>
        <v>0</v>
      </c>
      <c r="EQ242" s="12">
        <f t="shared" si="171"/>
        <v>0</v>
      </c>
      <c r="ER242" s="12">
        <f t="shared" si="171"/>
        <v>0</v>
      </c>
      <c r="ES242" s="12">
        <f t="shared" si="171"/>
        <v>0</v>
      </c>
      <c r="ET242" s="12">
        <f t="shared" si="171"/>
        <v>0</v>
      </c>
      <c r="EU242" s="12">
        <f t="shared" si="171"/>
        <v>0</v>
      </c>
      <c r="EV242" s="12">
        <f t="shared" si="171"/>
        <v>0</v>
      </c>
      <c r="EW242" s="12">
        <f t="shared" si="171"/>
        <v>0</v>
      </c>
      <c r="EX242" s="12">
        <f t="shared" si="171"/>
        <v>0</v>
      </c>
      <c r="EY242" s="12">
        <f t="shared" si="171"/>
        <v>0</v>
      </c>
      <c r="EZ242" s="12">
        <f t="shared" si="171"/>
        <v>0</v>
      </c>
      <c r="FA242" s="12">
        <f t="shared" si="171"/>
        <v>0</v>
      </c>
      <c r="FB242" s="12">
        <f t="shared" si="171"/>
        <v>0</v>
      </c>
      <c r="FC242" s="12">
        <f t="shared" si="171"/>
        <v>0</v>
      </c>
      <c r="FD242" s="12">
        <f t="shared" si="171"/>
        <v>0</v>
      </c>
      <c r="FE242" s="12">
        <f t="shared" si="171"/>
        <v>0</v>
      </c>
      <c r="FF242" s="12">
        <f t="shared" si="171"/>
        <v>0</v>
      </c>
      <c r="FG242" s="12">
        <f t="shared" si="171"/>
        <v>0</v>
      </c>
      <c r="FH242" s="12">
        <f t="shared" si="171"/>
        <v>0</v>
      </c>
      <c r="FI242" s="12">
        <f t="shared" ref="FI242:GJ242" si="172" xml:space="preserve"> FI$237</f>
        <v>0</v>
      </c>
      <c r="FJ242" s="12">
        <f t="shared" si="172"/>
        <v>0</v>
      </c>
      <c r="FK242" s="12">
        <f t="shared" si="172"/>
        <v>0</v>
      </c>
      <c r="FL242" s="12">
        <f t="shared" si="172"/>
        <v>0</v>
      </c>
      <c r="FM242" s="12">
        <f t="shared" si="172"/>
        <v>0</v>
      </c>
      <c r="FN242" s="12">
        <f t="shared" si="172"/>
        <v>0</v>
      </c>
      <c r="FO242" s="12">
        <f t="shared" si="172"/>
        <v>0</v>
      </c>
      <c r="FP242" s="12">
        <f t="shared" si="172"/>
        <v>0</v>
      </c>
      <c r="FQ242" s="12">
        <f t="shared" si="172"/>
        <v>0</v>
      </c>
      <c r="FR242" s="12">
        <f t="shared" si="172"/>
        <v>0</v>
      </c>
      <c r="FS242" s="12">
        <f t="shared" si="172"/>
        <v>0</v>
      </c>
      <c r="FT242" s="12">
        <f t="shared" si="172"/>
        <v>0</v>
      </c>
      <c r="FU242" s="12">
        <f t="shared" si="172"/>
        <v>0</v>
      </c>
      <c r="FV242" s="12">
        <f t="shared" si="172"/>
        <v>0</v>
      </c>
      <c r="FW242" s="12">
        <f t="shared" si="172"/>
        <v>0</v>
      </c>
      <c r="FX242" s="12">
        <f t="shared" si="172"/>
        <v>0</v>
      </c>
      <c r="FY242" s="12">
        <f t="shared" si="172"/>
        <v>0</v>
      </c>
      <c r="FZ242" s="12">
        <f t="shared" si="172"/>
        <v>0</v>
      </c>
      <c r="GA242" s="12">
        <f t="shared" si="172"/>
        <v>0</v>
      </c>
      <c r="GB242" s="12">
        <f t="shared" si="172"/>
        <v>0</v>
      </c>
      <c r="GC242" s="12">
        <f t="shared" si="172"/>
        <v>0</v>
      </c>
      <c r="GD242" s="12">
        <f t="shared" si="172"/>
        <v>0</v>
      </c>
      <c r="GE242" s="12">
        <f t="shared" si="172"/>
        <v>0</v>
      </c>
      <c r="GF242" s="12">
        <f t="shared" si="172"/>
        <v>0</v>
      </c>
      <c r="GG242" s="12">
        <f t="shared" si="172"/>
        <v>0</v>
      </c>
      <c r="GH242" s="12">
        <f t="shared" si="172"/>
        <v>0</v>
      </c>
      <c r="GI242" s="12">
        <f t="shared" si="172"/>
        <v>0</v>
      </c>
      <c r="GJ242" s="12">
        <f t="shared" si="172"/>
        <v>0</v>
      </c>
    </row>
    <row r="243" spans="1:192" s="188" customFormat="1" ht="12.75" outlineLevel="2" x14ac:dyDescent="0.2">
      <c r="A243" s="141"/>
      <c r="B243" s="141"/>
      <c r="C243" s="142"/>
      <c r="D243" s="143"/>
      <c r="E243" s="12" t="s">
        <v>1341</v>
      </c>
      <c r="F243" s="187"/>
      <c r="G243" s="12" t="str">
        <f t="shared" si="167"/>
        <v>$ 000s</v>
      </c>
      <c r="H243" s="310">
        <f xml:space="preserve"> SUM(J243:CV243)</f>
        <v>60135.32865817214</v>
      </c>
      <c r="I243" s="144"/>
      <c r="J243" s="187">
        <f>J242/(1 - $F241)</f>
        <v>0</v>
      </c>
      <c r="K243" s="187">
        <f t="shared" ref="K243:BV243" si="173">K242/(1 - $F241)</f>
        <v>0</v>
      </c>
      <c r="L243" s="187">
        <f t="shared" si="173"/>
        <v>0</v>
      </c>
      <c r="M243" s="187">
        <f t="shared" si="173"/>
        <v>0</v>
      </c>
      <c r="N243" s="187">
        <f t="shared" si="173"/>
        <v>0</v>
      </c>
      <c r="O243" s="187">
        <f>O242/(1 - $F241)</f>
        <v>2742.3650485652661</v>
      </c>
      <c r="P243" s="187">
        <f t="shared" si="173"/>
        <v>2635.4326088302423</v>
      </c>
      <c r="Q243" s="187">
        <f t="shared" si="173"/>
        <v>2626.86582058674</v>
      </c>
      <c r="R243" s="187">
        <f t="shared" si="173"/>
        <v>2532.0217634285232</v>
      </c>
      <c r="S243" s="187">
        <f t="shared" si="173"/>
        <v>2520.1319601372866</v>
      </c>
      <c r="T243" s="187">
        <f t="shared" si="173"/>
        <v>2425.3837408018358</v>
      </c>
      <c r="U243" s="187">
        <f t="shared" si="173"/>
        <v>2410.0531553064643</v>
      </c>
      <c r="V243" s="187">
        <f t="shared" si="173"/>
        <v>2328.1818634611427</v>
      </c>
      <c r="W243" s="187">
        <f t="shared" si="173"/>
        <v>2296.5911074233118</v>
      </c>
      <c r="X243" s="187">
        <f t="shared" si="173"/>
        <v>2202.1349844795141</v>
      </c>
      <c r="Y243" s="187">
        <f t="shared" si="173"/>
        <v>2283.3473790913877</v>
      </c>
      <c r="Z243" s="187">
        <f t="shared" si="173"/>
        <v>2186.1109082192966</v>
      </c>
      <c r="AA243" s="187">
        <f t="shared" si="173"/>
        <v>2160.2567140129636</v>
      </c>
      <c r="AB243" s="187">
        <f t="shared" si="173"/>
        <v>2062.9688684378903</v>
      </c>
      <c r="AC243" s="187">
        <f t="shared" si="173"/>
        <v>2032.9758397316448</v>
      </c>
      <c r="AD243" s="187">
        <f t="shared" si="173"/>
        <v>1946.3113741123457</v>
      </c>
      <c r="AE243" s="187">
        <f t="shared" si="173"/>
        <v>1901.3768549927734</v>
      </c>
      <c r="AF243" s="187">
        <f t="shared" si="173"/>
        <v>1804.0633607089878</v>
      </c>
      <c r="AG243" s="187">
        <f t="shared" si="173"/>
        <v>1765.3152877099014</v>
      </c>
      <c r="AH243" s="187">
        <f t="shared" si="173"/>
        <v>1667.7548442205912</v>
      </c>
      <c r="AI243" s="187">
        <f t="shared" si="173"/>
        <v>1698.2038939067777</v>
      </c>
      <c r="AJ243" s="187">
        <f t="shared" si="173"/>
        <v>1597.4883246658351</v>
      </c>
      <c r="AK243" s="187">
        <f t="shared" si="173"/>
        <v>1548.4736388566685</v>
      </c>
      <c r="AL243" s="187">
        <f t="shared" si="173"/>
        <v>1455.4145084380639</v>
      </c>
      <c r="AM243" s="187">
        <f t="shared" si="173"/>
        <v>1393.0627867445385</v>
      </c>
      <c r="AN243" s="187">
        <f t="shared" si="173"/>
        <v>1291.7675063095387</v>
      </c>
      <c r="AO243" s="187">
        <f t="shared" si="173"/>
        <v>1231.875962676994</v>
      </c>
      <c r="AP243" s="187">
        <f t="shared" si="173"/>
        <v>1130.03169484412</v>
      </c>
      <c r="AQ243" s="187">
        <f t="shared" si="173"/>
        <v>1064.3501841711152</v>
      </c>
      <c r="AR243" s="187">
        <f t="shared" si="173"/>
        <v>962.05280601094819</v>
      </c>
      <c r="AS243" s="187">
        <f t="shared" si="173"/>
        <v>890.33368757739561</v>
      </c>
      <c r="AT243" s="187">
        <f t="shared" si="173"/>
        <v>665.73090273022206</v>
      </c>
      <c r="AU243" s="187">
        <f t="shared" si="173"/>
        <v>452.68614018928679</v>
      </c>
      <c r="AV243" s="187">
        <f t="shared" si="173"/>
        <v>224.2144814610198</v>
      </c>
      <c r="AW243" s="187">
        <f t="shared" si="173"/>
        <v>-2.2574726656556142E-4</v>
      </c>
      <c r="AX243" s="187">
        <f t="shared" si="173"/>
        <v>-2.2206660461068816E-4</v>
      </c>
      <c r="AY243" s="187">
        <f t="shared" si="173"/>
        <v>-2.2574726656556142E-4</v>
      </c>
      <c r="AZ243" s="187">
        <f t="shared" si="173"/>
        <v>-2.2206660461068816E-4</v>
      </c>
      <c r="BA243" s="187">
        <f t="shared" si="173"/>
        <v>-2.2574726656556142E-4</v>
      </c>
      <c r="BB243" s="187">
        <f t="shared" si="173"/>
        <v>-2.2329349192897927E-4</v>
      </c>
      <c r="BC243" s="187">
        <f t="shared" si="173"/>
        <v>0</v>
      </c>
      <c r="BD243" s="187">
        <f t="shared" si="173"/>
        <v>0</v>
      </c>
      <c r="BE243" s="187">
        <f t="shared" si="173"/>
        <v>0</v>
      </c>
      <c r="BF243" s="187">
        <f t="shared" si="173"/>
        <v>0</v>
      </c>
      <c r="BG243" s="187">
        <f t="shared" si="173"/>
        <v>0</v>
      </c>
      <c r="BH243" s="187">
        <f t="shared" si="173"/>
        <v>0</v>
      </c>
      <c r="BI243" s="187">
        <f t="shared" si="173"/>
        <v>0</v>
      </c>
      <c r="BJ243" s="187">
        <f t="shared" si="173"/>
        <v>0</v>
      </c>
      <c r="BK243" s="187">
        <f t="shared" si="173"/>
        <v>0</v>
      </c>
      <c r="BL243" s="187">
        <f t="shared" si="173"/>
        <v>0</v>
      </c>
      <c r="BM243" s="187">
        <f t="shared" si="173"/>
        <v>0</v>
      </c>
      <c r="BN243" s="187">
        <f t="shared" si="173"/>
        <v>0</v>
      </c>
      <c r="BO243" s="187">
        <f t="shared" si="173"/>
        <v>0</v>
      </c>
      <c r="BP243" s="187">
        <f t="shared" si="173"/>
        <v>0</v>
      </c>
      <c r="BQ243" s="187">
        <f t="shared" si="173"/>
        <v>0</v>
      </c>
      <c r="BR243" s="187">
        <f t="shared" si="173"/>
        <v>0</v>
      </c>
      <c r="BS243" s="187">
        <f t="shared" si="173"/>
        <v>0</v>
      </c>
      <c r="BT243" s="187">
        <f t="shared" si="173"/>
        <v>0</v>
      </c>
      <c r="BU243" s="187">
        <f t="shared" si="173"/>
        <v>0</v>
      </c>
      <c r="BV243" s="187">
        <f t="shared" si="173"/>
        <v>0</v>
      </c>
      <c r="BW243" s="187">
        <f t="shared" ref="BW243:CV243" si="174">BW242/(1 - $F241)</f>
        <v>0</v>
      </c>
      <c r="BX243" s="187">
        <f t="shared" si="174"/>
        <v>0</v>
      </c>
      <c r="BY243" s="187">
        <f t="shared" si="174"/>
        <v>0</v>
      </c>
      <c r="BZ243" s="187">
        <f t="shared" si="174"/>
        <v>0</v>
      </c>
      <c r="CA243" s="187">
        <f t="shared" si="174"/>
        <v>0</v>
      </c>
      <c r="CB243" s="187">
        <f t="shared" si="174"/>
        <v>0</v>
      </c>
      <c r="CC243" s="187">
        <f t="shared" si="174"/>
        <v>0</v>
      </c>
      <c r="CD243" s="187">
        <f t="shared" si="174"/>
        <v>0</v>
      </c>
      <c r="CE243" s="187">
        <f t="shared" si="174"/>
        <v>0</v>
      </c>
      <c r="CF243" s="187">
        <f t="shared" si="174"/>
        <v>0</v>
      </c>
      <c r="CG243" s="187">
        <f t="shared" si="174"/>
        <v>0</v>
      </c>
      <c r="CH243" s="187">
        <f t="shared" si="174"/>
        <v>0</v>
      </c>
      <c r="CI243" s="187">
        <f t="shared" si="174"/>
        <v>0</v>
      </c>
      <c r="CJ243" s="187">
        <f t="shared" si="174"/>
        <v>0</v>
      </c>
      <c r="CK243" s="187">
        <f t="shared" si="174"/>
        <v>0</v>
      </c>
      <c r="CL243" s="187">
        <f t="shared" si="174"/>
        <v>0</v>
      </c>
      <c r="CM243" s="187">
        <f t="shared" si="174"/>
        <v>0</v>
      </c>
      <c r="CN243" s="187">
        <f t="shared" si="174"/>
        <v>0</v>
      </c>
      <c r="CO243" s="187">
        <f t="shared" si="174"/>
        <v>0</v>
      </c>
      <c r="CP243" s="187">
        <f t="shared" si="174"/>
        <v>0</v>
      </c>
      <c r="CQ243" s="187">
        <f t="shared" si="174"/>
        <v>0</v>
      </c>
      <c r="CR243" s="187">
        <f t="shared" si="174"/>
        <v>0</v>
      </c>
      <c r="CS243" s="187">
        <f t="shared" si="174"/>
        <v>0</v>
      </c>
      <c r="CT243" s="187">
        <f t="shared" si="174"/>
        <v>0</v>
      </c>
      <c r="CU243" s="187">
        <f t="shared" si="174"/>
        <v>0</v>
      </c>
      <c r="CV243" s="187">
        <f t="shared" si="174"/>
        <v>0</v>
      </c>
    </row>
    <row r="244" spans="1:192" s="188" customFormat="1" ht="12.75" outlineLevel="2" x14ac:dyDescent="0.2">
      <c r="A244" s="141"/>
      <c r="B244" s="141"/>
      <c r="C244" s="142"/>
      <c r="D244" s="143"/>
      <c r="E244" s="187" t="s">
        <v>1342</v>
      </c>
      <c r="F244" s="187"/>
      <c r="G244" s="187" t="str">
        <f t="shared" si="167"/>
        <v>$ 000s</v>
      </c>
      <c r="H244" s="1166">
        <f xml:space="preserve"> SUM(J244:CV244)</f>
        <v>1202.7065731634439</v>
      </c>
      <c r="I244" s="144"/>
      <c r="J244" s="187">
        <f>J243-J242</f>
        <v>0</v>
      </c>
      <c r="K244" s="187">
        <f t="shared" ref="K244:BV244" si="175">K243-K242</f>
        <v>0</v>
      </c>
      <c r="L244" s="187">
        <f t="shared" si="175"/>
        <v>0</v>
      </c>
      <c r="M244" s="187">
        <f t="shared" si="175"/>
        <v>0</v>
      </c>
      <c r="N244" s="187">
        <f t="shared" si="175"/>
        <v>0</v>
      </c>
      <c r="O244" s="187">
        <f t="shared" si="175"/>
        <v>54.847300971305231</v>
      </c>
      <c r="P244" s="187">
        <f t="shared" si="175"/>
        <v>52.708652176605028</v>
      </c>
      <c r="Q244" s="187">
        <f t="shared" si="175"/>
        <v>52.537316411734992</v>
      </c>
      <c r="R244" s="187">
        <f t="shared" si="175"/>
        <v>50.6404352685704</v>
      </c>
      <c r="S244" s="187">
        <f t="shared" si="175"/>
        <v>50.402639202745831</v>
      </c>
      <c r="T244" s="187">
        <f t="shared" si="175"/>
        <v>48.507674816036797</v>
      </c>
      <c r="U244" s="187">
        <f t="shared" si="175"/>
        <v>48.201063106129368</v>
      </c>
      <c r="V244" s="187">
        <f t="shared" si="175"/>
        <v>46.563637269222909</v>
      </c>
      <c r="W244" s="187">
        <f t="shared" si="175"/>
        <v>45.931822148466381</v>
      </c>
      <c r="X244" s="187">
        <f t="shared" si="175"/>
        <v>44.042699689590336</v>
      </c>
      <c r="Y244" s="187">
        <f t="shared" si="175"/>
        <v>45.666947581827571</v>
      </c>
      <c r="Z244" s="187">
        <f t="shared" si="175"/>
        <v>43.722218164386049</v>
      </c>
      <c r="AA244" s="187">
        <f t="shared" si="175"/>
        <v>43.205134280259244</v>
      </c>
      <c r="AB244" s="187">
        <f t="shared" si="175"/>
        <v>41.259377368757669</v>
      </c>
      <c r="AC244" s="187">
        <f t="shared" si="175"/>
        <v>40.659516794632964</v>
      </c>
      <c r="AD244" s="187">
        <f t="shared" si="175"/>
        <v>38.926227482246986</v>
      </c>
      <c r="AE244" s="187">
        <f t="shared" si="175"/>
        <v>38.027537099855408</v>
      </c>
      <c r="AF244" s="187">
        <f t="shared" si="175"/>
        <v>36.081267214179888</v>
      </c>
      <c r="AG244" s="187">
        <f t="shared" si="175"/>
        <v>35.306305754198092</v>
      </c>
      <c r="AH244" s="187">
        <f t="shared" si="175"/>
        <v>33.355096884411751</v>
      </c>
      <c r="AI244" s="187">
        <f t="shared" si="175"/>
        <v>33.96407787813564</v>
      </c>
      <c r="AJ244" s="187">
        <f t="shared" si="175"/>
        <v>31.949766493316702</v>
      </c>
      <c r="AK244" s="187">
        <f t="shared" si="175"/>
        <v>30.969472777133433</v>
      </c>
      <c r="AL244" s="187">
        <f t="shared" si="175"/>
        <v>29.108290168761414</v>
      </c>
      <c r="AM244" s="187">
        <f t="shared" si="175"/>
        <v>27.861255734890847</v>
      </c>
      <c r="AN244" s="187">
        <f t="shared" si="175"/>
        <v>25.83535012619086</v>
      </c>
      <c r="AO244" s="187">
        <f t="shared" si="175"/>
        <v>24.637519253539949</v>
      </c>
      <c r="AP244" s="187">
        <f t="shared" si="175"/>
        <v>22.600633896882528</v>
      </c>
      <c r="AQ244" s="187">
        <f t="shared" si="175"/>
        <v>21.287003683422427</v>
      </c>
      <c r="AR244" s="187">
        <f t="shared" si="175"/>
        <v>19.241056120219014</v>
      </c>
      <c r="AS244" s="187">
        <f t="shared" si="175"/>
        <v>17.806673751547919</v>
      </c>
      <c r="AT244" s="187">
        <f t="shared" si="175"/>
        <v>13.314618054604466</v>
      </c>
      <c r="AU244" s="187">
        <f t="shared" si="175"/>
        <v>9.0537228037857176</v>
      </c>
      <c r="AV244" s="187">
        <f t="shared" si="175"/>
        <v>4.4842896292203989</v>
      </c>
      <c r="AW244" s="187">
        <f t="shared" si="175"/>
        <v>-4.5149453313112278E-6</v>
      </c>
      <c r="AX244" s="187">
        <f t="shared" si="175"/>
        <v>-4.4413320922137751E-6</v>
      </c>
      <c r="AY244" s="187">
        <f t="shared" si="175"/>
        <v>-4.5149453313112278E-6</v>
      </c>
      <c r="AZ244" s="187">
        <f t="shared" si="175"/>
        <v>-4.4413320922137751E-6</v>
      </c>
      <c r="BA244" s="187">
        <f t="shared" si="175"/>
        <v>-4.5149453313112278E-6</v>
      </c>
      <c r="BB244" s="187">
        <f t="shared" si="175"/>
        <v>-4.4658698385796017E-6</v>
      </c>
      <c r="BC244" s="187">
        <f t="shared" si="175"/>
        <v>0</v>
      </c>
      <c r="BD244" s="187">
        <f t="shared" si="175"/>
        <v>0</v>
      </c>
      <c r="BE244" s="187">
        <f t="shared" si="175"/>
        <v>0</v>
      </c>
      <c r="BF244" s="187">
        <f t="shared" si="175"/>
        <v>0</v>
      </c>
      <c r="BG244" s="187">
        <f t="shared" si="175"/>
        <v>0</v>
      </c>
      <c r="BH244" s="187">
        <f t="shared" si="175"/>
        <v>0</v>
      </c>
      <c r="BI244" s="187">
        <f t="shared" si="175"/>
        <v>0</v>
      </c>
      <c r="BJ244" s="187">
        <f t="shared" si="175"/>
        <v>0</v>
      </c>
      <c r="BK244" s="187">
        <f t="shared" si="175"/>
        <v>0</v>
      </c>
      <c r="BL244" s="187">
        <f t="shared" si="175"/>
        <v>0</v>
      </c>
      <c r="BM244" s="187">
        <f t="shared" si="175"/>
        <v>0</v>
      </c>
      <c r="BN244" s="187">
        <f t="shared" si="175"/>
        <v>0</v>
      </c>
      <c r="BO244" s="187">
        <f t="shared" si="175"/>
        <v>0</v>
      </c>
      <c r="BP244" s="187">
        <f t="shared" si="175"/>
        <v>0</v>
      </c>
      <c r="BQ244" s="187">
        <f t="shared" si="175"/>
        <v>0</v>
      </c>
      <c r="BR244" s="187">
        <f t="shared" si="175"/>
        <v>0</v>
      </c>
      <c r="BS244" s="187">
        <f t="shared" si="175"/>
        <v>0</v>
      </c>
      <c r="BT244" s="187">
        <f t="shared" si="175"/>
        <v>0</v>
      </c>
      <c r="BU244" s="187">
        <f t="shared" si="175"/>
        <v>0</v>
      </c>
      <c r="BV244" s="187">
        <f t="shared" si="175"/>
        <v>0</v>
      </c>
      <c r="BW244" s="187">
        <f t="shared" ref="BW244:CV244" si="176">BW243-BW242</f>
        <v>0</v>
      </c>
      <c r="BX244" s="187">
        <f t="shared" si="176"/>
        <v>0</v>
      </c>
      <c r="BY244" s="187">
        <f t="shared" si="176"/>
        <v>0</v>
      </c>
      <c r="BZ244" s="187">
        <f t="shared" si="176"/>
        <v>0</v>
      </c>
      <c r="CA244" s="187">
        <f t="shared" si="176"/>
        <v>0</v>
      </c>
      <c r="CB244" s="187">
        <f t="shared" si="176"/>
        <v>0</v>
      </c>
      <c r="CC244" s="187">
        <f t="shared" si="176"/>
        <v>0</v>
      </c>
      <c r="CD244" s="187">
        <f t="shared" si="176"/>
        <v>0</v>
      </c>
      <c r="CE244" s="187">
        <f t="shared" si="176"/>
        <v>0</v>
      </c>
      <c r="CF244" s="187">
        <f t="shared" si="176"/>
        <v>0</v>
      </c>
      <c r="CG244" s="187">
        <f t="shared" si="176"/>
        <v>0</v>
      </c>
      <c r="CH244" s="187">
        <f t="shared" si="176"/>
        <v>0</v>
      </c>
      <c r="CI244" s="187">
        <f t="shared" si="176"/>
        <v>0</v>
      </c>
      <c r="CJ244" s="187">
        <f t="shared" si="176"/>
        <v>0</v>
      </c>
      <c r="CK244" s="187">
        <f t="shared" si="176"/>
        <v>0</v>
      </c>
      <c r="CL244" s="187">
        <f t="shared" si="176"/>
        <v>0</v>
      </c>
      <c r="CM244" s="187">
        <f t="shared" si="176"/>
        <v>0</v>
      </c>
      <c r="CN244" s="187">
        <f t="shared" si="176"/>
        <v>0</v>
      </c>
      <c r="CO244" s="187">
        <f t="shared" si="176"/>
        <v>0</v>
      </c>
      <c r="CP244" s="187">
        <f t="shared" si="176"/>
        <v>0</v>
      </c>
      <c r="CQ244" s="187">
        <f t="shared" si="176"/>
        <v>0</v>
      </c>
      <c r="CR244" s="187">
        <f t="shared" si="176"/>
        <v>0</v>
      </c>
      <c r="CS244" s="187">
        <f t="shared" si="176"/>
        <v>0</v>
      </c>
      <c r="CT244" s="187">
        <f t="shared" si="176"/>
        <v>0</v>
      </c>
      <c r="CU244" s="187">
        <f t="shared" si="176"/>
        <v>0</v>
      </c>
      <c r="CV244" s="187">
        <f t="shared" si="176"/>
        <v>0</v>
      </c>
    </row>
    <row r="245" spans="1:192" s="188" customFormat="1" ht="12.75" outlineLevel="2" x14ac:dyDescent="0.2">
      <c r="A245" s="141"/>
      <c r="B245" s="141"/>
      <c r="C245" s="142"/>
      <c r="D245" s="143"/>
      <c r="E245" s="187" t="s">
        <v>1343</v>
      </c>
      <c r="F245" s="187"/>
      <c r="G245" s="187" t="str">
        <f t="shared" si="167"/>
        <v>$ 000s</v>
      </c>
      <c r="H245" s="1166">
        <f xml:space="preserve"> SUM(J245:CV245)</f>
        <v>-1202.7065731634439</v>
      </c>
      <c r="I245" s="144"/>
      <c r="J245" s="187">
        <f>J244* (-1)</f>
        <v>0</v>
      </c>
      <c r="K245" s="187">
        <f t="shared" ref="K245:BV245" si="177">K244* (-1)</f>
        <v>0</v>
      </c>
      <c r="L245" s="187">
        <f t="shared" si="177"/>
        <v>0</v>
      </c>
      <c r="M245" s="187">
        <f t="shared" si="177"/>
        <v>0</v>
      </c>
      <c r="N245" s="187">
        <f t="shared" si="177"/>
        <v>0</v>
      </c>
      <c r="O245" s="187">
        <f t="shared" si="177"/>
        <v>-54.847300971305231</v>
      </c>
      <c r="P245" s="187">
        <f t="shared" si="177"/>
        <v>-52.708652176605028</v>
      </c>
      <c r="Q245" s="187">
        <f t="shared" si="177"/>
        <v>-52.537316411734992</v>
      </c>
      <c r="R245" s="187">
        <f t="shared" si="177"/>
        <v>-50.6404352685704</v>
      </c>
      <c r="S245" s="187">
        <f t="shared" si="177"/>
        <v>-50.402639202745831</v>
      </c>
      <c r="T245" s="187">
        <f t="shared" si="177"/>
        <v>-48.507674816036797</v>
      </c>
      <c r="U245" s="187">
        <f t="shared" si="177"/>
        <v>-48.201063106129368</v>
      </c>
      <c r="V245" s="187">
        <f t="shared" si="177"/>
        <v>-46.563637269222909</v>
      </c>
      <c r="W245" s="187">
        <f t="shared" si="177"/>
        <v>-45.931822148466381</v>
      </c>
      <c r="X245" s="187">
        <f t="shared" si="177"/>
        <v>-44.042699689590336</v>
      </c>
      <c r="Y245" s="187">
        <f t="shared" si="177"/>
        <v>-45.666947581827571</v>
      </c>
      <c r="Z245" s="187">
        <f t="shared" si="177"/>
        <v>-43.722218164386049</v>
      </c>
      <c r="AA245" s="187">
        <f t="shared" si="177"/>
        <v>-43.205134280259244</v>
      </c>
      <c r="AB245" s="187">
        <f t="shared" si="177"/>
        <v>-41.259377368757669</v>
      </c>
      <c r="AC245" s="187">
        <f t="shared" si="177"/>
        <v>-40.659516794632964</v>
      </c>
      <c r="AD245" s="187">
        <f t="shared" si="177"/>
        <v>-38.926227482246986</v>
      </c>
      <c r="AE245" s="187">
        <f t="shared" si="177"/>
        <v>-38.027537099855408</v>
      </c>
      <c r="AF245" s="187">
        <f t="shared" si="177"/>
        <v>-36.081267214179888</v>
      </c>
      <c r="AG245" s="187">
        <f t="shared" si="177"/>
        <v>-35.306305754198092</v>
      </c>
      <c r="AH245" s="187">
        <f t="shared" si="177"/>
        <v>-33.355096884411751</v>
      </c>
      <c r="AI245" s="187">
        <f t="shared" si="177"/>
        <v>-33.96407787813564</v>
      </c>
      <c r="AJ245" s="187">
        <f t="shared" si="177"/>
        <v>-31.949766493316702</v>
      </c>
      <c r="AK245" s="187">
        <f t="shared" si="177"/>
        <v>-30.969472777133433</v>
      </c>
      <c r="AL245" s="187">
        <f t="shared" si="177"/>
        <v>-29.108290168761414</v>
      </c>
      <c r="AM245" s="187">
        <f t="shared" si="177"/>
        <v>-27.861255734890847</v>
      </c>
      <c r="AN245" s="187">
        <f t="shared" si="177"/>
        <v>-25.83535012619086</v>
      </c>
      <c r="AO245" s="187">
        <f t="shared" si="177"/>
        <v>-24.637519253539949</v>
      </c>
      <c r="AP245" s="187">
        <f t="shared" si="177"/>
        <v>-22.600633896882528</v>
      </c>
      <c r="AQ245" s="187">
        <f t="shared" si="177"/>
        <v>-21.287003683422427</v>
      </c>
      <c r="AR245" s="187">
        <f t="shared" si="177"/>
        <v>-19.241056120219014</v>
      </c>
      <c r="AS245" s="187">
        <f t="shared" si="177"/>
        <v>-17.806673751547919</v>
      </c>
      <c r="AT245" s="187">
        <f t="shared" si="177"/>
        <v>-13.314618054604466</v>
      </c>
      <c r="AU245" s="187">
        <f t="shared" si="177"/>
        <v>-9.0537228037857176</v>
      </c>
      <c r="AV245" s="187">
        <f t="shared" si="177"/>
        <v>-4.4842896292203989</v>
      </c>
      <c r="AW245" s="187">
        <f t="shared" si="177"/>
        <v>4.5149453313112278E-6</v>
      </c>
      <c r="AX245" s="187">
        <f t="shared" si="177"/>
        <v>4.4413320922137751E-6</v>
      </c>
      <c r="AY245" s="187">
        <f t="shared" si="177"/>
        <v>4.5149453313112278E-6</v>
      </c>
      <c r="AZ245" s="187">
        <f t="shared" si="177"/>
        <v>4.4413320922137751E-6</v>
      </c>
      <c r="BA245" s="187">
        <f t="shared" si="177"/>
        <v>4.5149453313112278E-6</v>
      </c>
      <c r="BB245" s="187">
        <f t="shared" si="177"/>
        <v>4.4658698385796017E-6</v>
      </c>
      <c r="BC245" s="187">
        <f t="shared" si="177"/>
        <v>0</v>
      </c>
      <c r="BD245" s="187">
        <f t="shared" si="177"/>
        <v>0</v>
      </c>
      <c r="BE245" s="187">
        <f t="shared" si="177"/>
        <v>0</v>
      </c>
      <c r="BF245" s="187">
        <f t="shared" si="177"/>
        <v>0</v>
      </c>
      <c r="BG245" s="187">
        <f t="shared" si="177"/>
        <v>0</v>
      </c>
      <c r="BH245" s="187">
        <f t="shared" si="177"/>
        <v>0</v>
      </c>
      <c r="BI245" s="187">
        <f t="shared" si="177"/>
        <v>0</v>
      </c>
      <c r="BJ245" s="187">
        <f t="shared" si="177"/>
        <v>0</v>
      </c>
      <c r="BK245" s="187">
        <f t="shared" si="177"/>
        <v>0</v>
      </c>
      <c r="BL245" s="187">
        <f t="shared" si="177"/>
        <v>0</v>
      </c>
      <c r="BM245" s="187">
        <f t="shared" si="177"/>
        <v>0</v>
      </c>
      <c r="BN245" s="187">
        <f t="shared" si="177"/>
        <v>0</v>
      </c>
      <c r="BO245" s="187">
        <f t="shared" si="177"/>
        <v>0</v>
      </c>
      <c r="BP245" s="187">
        <f t="shared" si="177"/>
        <v>0</v>
      </c>
      <c r="BQ245" s="187">
        <f t="shared" si="177"/>
        <v>0</v>
      </c>
      <c r="BR245" s="187">
        <f t="shared" si="177"/>
        <v>0</v>
      </c>
      <c r="BS245" s="187">
        <f t="shared" si="177"/>
        <v>0</v>
      </c>
      <c r="BT245" s="187">
        <f t="shared" si="177"/>
        <v>0</v>
      </c>
      <c r="BU245" s="187">
        <f t="shared" si="177"/>
        <v>0</v>
      </c>
      <c r="BV245" s="187">
        <f t="shared" si="177"/>
        <v>0</v>
      </c>
      <c r="BW245" s="187">
        <f t="shared" ref="BW245:CV245" si="178">BW244* (-1)</f>
        <v>0</v>
      </c>
      <c r="BX245" s="187">
        <f t="shared" si="178"/>
        <v>0</v>
      </c>
      <c r="BY245" s="187">
        <f t="shared" si="178"/>
        <v>0</v>
      </c>
      <c r="BZ245" s="187">
        <f t="shared" si="178"/>
        <v>0</v>
      </c>
      <c r="CA245" s="187">
        <f t="shared" si="178"/>
        <v>0</v>
      </c>
      <c r="CB245" s="187">
        <f t="shared" si="178"/>
        <v>0</v>
      </c>
      <c r="CC245" s="187">
        <f t="shared" si="178"/>
        <v>0</v>
      </c>
      <c r="CD245" s="187">
        <f t="shared" si="178"/>
        <v>0</v>
      </c>
      <c r="CE245" s="187">
        <f t="shared" si="178"/>
        <v>0</v>
      </c>
      <c r="CF245" s="187">
        <f t="shared" si="178"/>
        <v>0</v>
      </c>
      <c r="CG245" s="187">
        <f t="shared" si="178"/>
        <v>0</v>
      </c>
      <c r="CH245" s="187">
        <f t="shared" si="178"/>
        <v>0</v>
      </c>
      <c r="CI245" s="187">
        <f t="shared" si="178"/>
        <v>0</v>
      </c>
      <c r="CJ245" s="187">
        <f t="shared" si="178"/>
        <v>0</v>
      </c>
      <c r="CK245" s="187">
        <f t="shared" si="178"/>
        <v>0</v>
      </c>
      <c r="CL245" s="187">
        <f t="shared" si="178"/>
        <v>0</v>
      </c>
      <c r="CM245" s="187">
        <f t="shared" si="178"/>
        <v>0</v>
      </c>
      <c r="CN245" s="187">
        <f t="shared" si="178"/>
        <v>0</v>
      </c>
      <c r="CO245" s="187">
        <f t="shared" si="178"/>
        <v>0</v>
      </c>
      <c r="CP245" s="187">
        <f t="shared" si="178"/>
        <v>0</v>
      </c>
      <c r="CQ245" s="187">
        <f t="shared" si="178"/>
        <v>0</v>
      </c>
      <c r="CR245" s="187">
        <f t="shared" si="178"/>
        <v>0</v>
      </c>
      <c r="CS245" s="187">
        <f t="shared" si="178"/>
        <v>0</v>
      </c>
      <c r="CT245" s="187">
        <f t="shared" si="178"/>
        <v>0</v>
      </c>
      <c r="CU245" s="187">
        <f t="shared" si="178"/>
        <v>0</v>
      </c>
      <c r="CV245" s="187">
        <f t="shared" si="178"/>
        <v>0</v>
      </c>
    </row>
    <row r="246" spans="1:192" s="188" customFormat="1" ht="12.75" outlineLevel="2" x14ac:dyDescent="0.2">
      <c r="A246" s="141"/>
      <c r="B246" s="141"/>
      <c r="C246" s="142"/>
      <c r="D246" s="143"/>
      <c r="E246" s="187"/>
      <c r="F246" s="187"/>
      <c r="G246" s="12"/>
      <c r="H246" s="187"/>
      <c r="I246" s="144"/>
      <c r="J246" s="187"/>
      <c r="K246" s="187"/>
      <c r="L246" s="187"/>
      <c r="M246" s="187"/>
      <c r="N246" s="187"/>
      <c r="O246" s="187"/>
      <c r="P246" s="187"/>
      <c r="Q246" s="187"/>
      <c r="R246" s="187"/>
      <c r="S246" s="187"/>
      <c r="T246" s="187"/>
      <c r="U246" s="187"/>
      <c r="V246" s="187"/>
      <c r="W246" s="187"/>
      <c r="X246" s="187"/>
      <c r="Y246" s="187"/>
      <c r="Z246" s="187"/>
      <c r="AA246" s="187"/>
      <c r="AB246" s="187"/>
      <c r="AC246" s="187"/>
      <c r="AD246" s="187"/>
      <c r="AE246" s="187"/>
      <c r="AF246" s="187"/>
      <c r="AG246" s="187"/>
      <c r="AH246" s="187"/>
      <c r="AI246" s="187"/>
      <c r="AJ246" s="187"/>
      <c r="AK246" s="187"/>
      <c r="AL246" s="187"/>
      <c r="AM246" s="187"/>
      <c r="AN246" s="187"/>
      <c r="AO246" s="187"/>
      <c r="AP246" s="187"/>
      <c r="AQ246" s="187"/>
      <c r="AR246" s="187"/>
      <c r="AS246" s="187"/>
      <c r="AT246" s="187"/>
      <c r="AU246" s="187"/>
      <c r="AV246" s="187"/>
      <c r="AW246" s="187"/>
      <c r="AX246" s="187"/>
      <c r="AY246" s="187"/>
      <c r="AZ246" s="187"/>
      <c r="BA246" s="187"/>
      <c r="BB246" s="187"/>
      <c r="BC246" s="187"/>
      <c r="BD246" s="187"/>
      <c r="BE246" s="187"/>
      <c r="BF246" s="187"/>
      <c r="BG246" s="187"/>
      <c r="BH246" s="187"/>
      <c r="BI246" s="187"/>
      <c r="BJ246" s="187"/>
      <c r="BK246" s="187"/>
      <c r="BL246" s="187"/>
      <c r="BM246" s="187"/>
      <c r="BN246" s="187"/>
      <c r="BO246" s="187"/>
      <c r="BP246" s="187"/>
      <c r="BQ246" s="187"/>
      <c r="BR246" s="187"/>
      <c r="BS246" s="187"/>
      <c r="BT246" s="187"/>
      <c r="BU246" s="187"/>
      <c r="BV246" s="187"/>
      <c r="BW246" s="187"/>
      <c r="BX246" s="187"/>
      <c r="BY246" s="187"/>
      <c r="BZ246" s="187"/>
      <c r="CA246" s="187"/>
      <c r="CB246" s="187"/>
      <c r="CC246" s="187"/>
      <c r="CD246" s="187"/>
      <c r="CE246" s="187"/>
      <c r="CF246" s="187"/>
      <c r="CG246" s="187"/>
      <c r="CH246" s="187"/>
      <c r="CI246" s="187"/>
      <c r="CJ246" s="187"/>
      <c r="CK246" s="187"/>
      <c r="CL246" s="187"/>
      <c r="CM246" s="187"/>
      <c r="CN246" s="187"/>
      <c r="CO246" s="187"/>
      <c r="CP246" s="187"/>
      <c r="CQ246" s="187"/>
      <c r="CR246" s="187"/>
      <c r="CS246" s="187"/>
      <c r="CT246" s="187"/>
      <c r="CU246" s="187"/>
      <c r="CV246" s="187"/>
    </row>
    <row r="247" spans="1:192" ht="12.75" outlineLevel="1" x14ac:dyDescent="0.2"/>
    <row r="248" spans="1:192" ht="12.75" outlineLevel="1" x14ac:dyDescent="0.2">
      <c r="A248" s="236"/>
      <c r="B248" s="236" t="s">
        <v>892</v>
      </c>
      <c r="C248" s="237"/>
      <c r="D248" s="238"/>
      <c r="E248" s="310"/>
      <c r="F248" s="310"/>
      <c r="G248" s="310"/>
      <c r="H248" s="310"/>
      <c r="I248" s="310"/>
      <c r="J248" s="310"/>
      <c r="K248" s="310"/>
      <c r="L248" s="310"/>
      <c r="M248" s="310"/>
      <c r="N248" s="310"/>
      <c r="O248" s="310"/>
      <c r="P248" s="310"/>
      <c r="Q248" s="310"/>
      <c r="R248" s="310"/>
      <c r="S248" s="310"/>
      <c r="T248" s="310"/>
      <c r="U248" s="310"/>
      <c r="V248" s="310"/>
      <c r="W248" s="310"/>
      <c r="X248" s="310"/>
      <c r="Y248" s="310"/>
      <c r="Z248" s="310"/>
      <c r="AA248" s="310"/>
      <c r="AB248" s="310"/>
      <c r="AC248" s="310"/>
      <c r="AD248" s="310"/>
      <c r="AE248" s="310"/>
      <c r="AF248" s="310"/>
      <c r="AG248" s="310"/>
      <c r="AH248" s="310"/>
      <c r="AI248" s="310"/>
      <c r="AJ248" s="310"/>
      <c r="AK248" s="310"/>
      <c r="AL248" s="310"/>
      <c r="AM248" s="310"/>
      <c r="AN248" s="310"/>
      <c r="AO248" s="310"/>
      <c r="AP248" s="310"/>
      <c r="AQ248" s="310"/>
      <c r="AR248" s="310"/>
      <c r="AS248" s="310"/>
      <c r="AT248" s="310"/>
      <c r="AU248" s="310"/>
      <c r="AV248" s="310"/>
      <c r="AW248" s="310"/>
      <c r="AX248" s="310"/>
      <c r="AY248" s="310"/>
      <c r="AZ248" s="310"/>
      <c r="BA248" s="310"/>
      <c r="BB248" s="310"/>
      <c r="BC248" s="310"/>
      <c r="BD248" s="310"/>
      <c r="BE248" s="310"/>
      <c r="BF248" s="310"/>
      <c r="BG248" s="310"/>
      <c r="BH248" s="310"/>
      <c r="BI248" s="310"/>
      <c r="BJ248" s="310"/>
      <c r="BK248" s="310"/>
      <c r="BL248" s="310"/>
      <c r="BM248" s="310"/>
      <c r="BN248" s="310"/>
      <c r="BO248" s="310"/>
      <c r="BP248" s="310"/>
      <c r="BQ248" s="310"/>
      <c r="BR248" s="310"/>
      <c r="BS248" s="310"/>
      <c r="BT248" s="310"/>
      <c r="BU248" s="310"/>
      <c r="BV248" s="310"/>
      <c r="BW248" s="310"/>
      <c r="BX248" s="310"/>
      <c r="BY248" s="310"/>
      <c r="BZ248" s="310"/>
      <c r="CA248" s="310"/>
      <c r="CB248" s="310"/>
      <c r="CC248" s="310"/>
      <c r="CD248" s="310"/>
      <c r="CE248" s="310"/>
      <c r="CF248" s="310"/>
      <c r="CG248" s="310"/>
      <c r="CH248" s="310"/>
      <c r="CI248" s="310"/>
      <c r="CJ248" s="310"/>
      <c r="CK248" s="310"/>
      <c r="CL248" s="310"/>
      <c r="CM248" s="310"/>
      <c r="CN248" s="310"/>
      <c r="CO248" s="310"/>
      <c r="CP248" s="310"/>
      <c r="CQ248" s="310"/>
      <c r="CR248" s="310"/>
      <c r="CS248" s="310"/>
      <c r="CT248" s="310"/>
      <c r="CU248" s="310"/>
      <c r="CV248" s="310"/>
    </row>
    <row r="249" spans="1:192" ht="12.75" outlineLevel="2" x14ac:dyDescent="0.2">
      <c r="A249" s="236"/>
      <c r="B249" s="236"/>
      <c r="C249" s="237" t="s">
        <v>986</v>
      </c>
      <c r="D249" s="238"/>
      <c r="E249" s="310"/>
      <c r="F249" s="310"/>
      <c r="G249" s="310"/>
      <c r="H249" s="310"/>
      <c r="I249" s="310"/>
      <c r="J249" s="310"/>
      <c r="K249" s="310"/>
      <c r="L249" s="310"/>
      <c r="M249" s="310"/>
      <c r="N249" s="310"/>
      <c r="O249" s="310"/>
      <c r="P249" s="310"/>
      <c r="Q249" s="310"/>
      <c r="R249" s="310"/>
      <c r="S249" s="310"/>
      <c r="T249" s="310"/>
      <c r="U249" s="310"/>
      <c r="V249" s="310"/>
      <c r="W249" s="310"/>
      <c r="X249" s="310"/>
      <c r="Y249" s="310"/>
      <c r="Z249" s="310"/>
      <c r="AA249" s="310"/>
      <c r="AB249" s="310"/>
      <c r="AC249" s="310"/>
      <c r="AD249" s="310"/>
      <c r="AE249" s="310"/>
      <c r="AF249" s="310"/>
      <c r="AG249" s="310"/>
      <c r="AH249" s="310"/>
      <c r="AI249" s="310"/>
      <c r="AJ249" s="310"/>
      <c r="AK249" s="310"/>
      <c r="AL249" s="310"/>
      <c r="AM249" s="310"/>
      <c r="AN249" s="310"/>
      <c r="AO249" s="310"/>
      <c r="AP249" s="310"/>
      <c r="AQ249" s="310"/>
      <c r="AR249" s="310"/>
      <c r="AS249" s="310"/>
      <c r="AT249" s="310"/>
      <c r="AU249" s="310"/>
      <c r="AV249" s="310"/>
      <c r="AW249" s="310"/>
      <c r="AX249" s="310"/>
      <c r="AY249" s="310"/>
      <c r="AZ249" s="310"/>
      <c r="BA249" s="310"/>
      <c r="BB249" s="310"/>
      <c r="BC249" s="310"/>
      <c r="BD249" s="310"/>
      <c r="BE249" s="310"/>
      <c r="BF249" s="310"/>
      <c r="BG249" s="310"/>
      <c r="BH249" s="310"/>
      <c r="BI249" s="310"/>
      <c r="BJ249" s="310"/>
      <c r="BK249" s="310"/>
      <c r="BL249" s="310"/>
      <c r="BM249" s="310"/>
      <c r="BN249" s="310"/>
      <c r="BO249" s="310"/>
      <c r="BP249" s="310"/>
      <c r="BQ249" s="310"/>
      <c r="BR249" s="310"/>
      <c r="BS249" s="310"/>
      <c r="BT249" s="310"/>
      <c r="BU249" s="310"/>
      <c r="BV249" s="310"/>
      <c r="BW249" s="310"/>
      <c r="BX249" s="310"/>
      <c r="BY249" s="310"/>
      <c r="BZ249" s="310"/>
      <c r="CA249" s="310"/>
      <c r="CB249" s="310"/>
      <c r="CC249" s="310"/>
      <c r="CD249" s="310"/>
      <c r="CE249" s="310"/>
      <c r="CF249" s="310"/>
      <c r="CG249" s="310"/>
      <c r="CH249" s="310"/>
      <c r="CI249" s="310"/>
      <c r="CJ249" s="310"/>
      <c r="CK249" s="310"/>
      <c r="CL249" s="310"/>
      <c r="CM249" s="310"/>
      <c r="CN249" s="310"/>
      <c r="CO249" s="310"/>
      <c r="CP249" s="310"/>
      <c r="CQ249" s="310"/>
      <c r="CR249" s="310"/>
      <c r="CS249" s="310"/>
      <c r="CT249" s="310"/>
      <c r="CU249" s="310"/>
      <c r="CV249" s="310"/>
    </row>
    <row r="250" spans="1:192" ht="12.75" outlineLevel="2" x14ac:dyDescent="0.2">
      <c r="D250" s="21" t="s">
        <v>190</v>
      </c>
    </row>
    <row r="251" spans="1:192" ht="12.75" outlineLevel="2" x14ac:dyDescent="0.2">
      <c r="E251" s="145" t="str">
        <f xml:space="preserve"> ConFin!E$333</f>
        <v>Sum of construction debt drawdown - T2</v>
      </c>
      <c r="F251" s="145">
        <f xml:space="preserve"> ConFin!F$333</f>
        <v>125194.92613015344</v>
      </c>
      <c r="G251" s="145" t="str">
        <f xml:space="preserve"> ConFin!G$333</f>
        <v>$ 000s</v>
      </c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38"/>
      <c r="CJ251" s="38"/>
      <c r="CK251" s="38"/>
      <c r="CL251" s="38"/>
      <c r="CM251" s="38"/>
      <c r="CN251" s="38"/>
      <c r="CO251" s="38"/>
      <c r="CP251" s="38"/>
      <c r="CQ251" s="38"/>
      <c r="CR251" s="38"/>
      <c r="CS251" s="38"/>
      <c r="CT251" s="38"/>
      <c r="CU251" s="38"/>
      <c r="CV251" s="38"/>
    </row>
    <row r="252" spans="1:192" ht="12.75" outlineLevel="2" x14ac:dyDescent="0.2">
      <c r="E252" s="390" t="str">
        <f xml:space="preserve"> Time!E$204</f>
        <v>Senior debt repayment duration - T2</v>
      </c>
      <c r="F252" s="390">
        <f xml:space="preserve"> Time!F$204</f>
        <v>30</v>
      </c>
      <c r="G252" s="390" t="str">
        <f xml:space="preserve"> Time!G$204</f>
        <v>periods</v>
      </c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38"/>
      <c r="CK252" s="38"/>
      <c r="CL252" s="38"/>
      <c r="CM252" s="38"/>
      <c r="CN252" s="38"/>
      <c r="CO252" s="38"/>
      <c r="CP252" s="38"/>
      <c r="CQ252" s="38"/>
      <c r="CR252" s="38"/>
      <c r="CS252" s="38"/>
      <c r="CT252" s="38"/>
      <c r="CU252" s="38"/>
      <c r="CV252" s="38"/>
    </row>
    <row r="253" spans="1:192" ht="12.75" outlineLevel="2" x14ac:dyDescent="0.2">
      <c r="E253" s="189" t="str">
        <f xml:space="preserve"> Time!E$203</f>
        <v>Senior debt repayment period flag - T2</v>
      </c>
      <c r="F253" s="189">
        <f xml:space="preserve"> Time!F$203</f>
        <v>0</v>
      </c>
      <c r="G253" s="189" t="str">
        <f xml:space="preserve"> Time!G$203</f>
        <v>flag</v>
      </c>
      <c r="H253" s="189">
        <f xml:space="preserve"> Time!H$203</f>
        <v>30</v>
      </c>
      <c r="I253" s="189">
        <f xml:space="preserve"> Time!I$203</f>
        <v>0</v>
      </c>
      <c r="J253" s="189">
        <f xml:space="preserve"> Time!J$203</f>
        <v>0</v>
      </c>
      <c r="K253" s="189">
        <f xml:space="preserve"> Time!K$203</f>
        <v>0</v>
      </c>
      <c r="L253" s="189">
        <f xml:space="preserve"> Time!L$203</f>
        <v>0</v>
      </c>
      <c r="M253" s="189">
        <f xml:space="preserve"> Time!M$203</f>
        <v>0</v>
      </c>
      <c r="N253" s="189">
        <f xml:space="preserve"> Time!N$203</f>
        <v>0</v>
      </c>
      <c r="O253" s="189">
        <f xml:space="preserve"> Time!O$203</f>
        <v>1</v>
      </c>
      <c r="P253" s="189">
        <f xml:space="preserve"> Time!P$203</f>
        <v>1</v>
      </c>
      <c r="Q253" s="189">
        <f xml:space="preserve"> Time!Q$203</f>
        <v>1</v>
      </c>
      <c r="R253" s="189">
        <f xml:space="preserve"> Time!R$203</f>
        <v>1</v>
      </c>
      <c r="S253" s="189">
        <f xml:space="preserve"> Time!S$203</f>
        <v>1</v>
      </c>
      <c r="T253" s="189">
        <f xml:space="preserve"> Time!T$203</f>
        <v>1</v>
      </c>
      <c r="U253" s="189">
        <f xml:space="preserve"> Time!U$203</f>
        <v>1</v>
      </c>
      <c r="V253" s="189">
        <f xml:space="preserve"> Time!V$203</f>
        <v>1</v>
      </c>
      <c r="W253" s="189">
        <f xml:space="preserve"> Time!W$203</f>
        <v>1</v>
      </c>
      <c r="X253" s="189">
        <f xml:space="preserve"> Time!X$203</f>
        <v>1</v>
      </c>
      <c r="Y253" s="189">
        <f xml:space="preserve"> Time!Y$203</f>
        <v>1</v>
      </c>
      <c r="Z253" s="189">
        <f xml:space="preserve"> Time!Z$203</f>
        <v>1</v>
      </c>
      <c r="AA253" s="189">
        <f xml:space="preserve"> Time!AA$203</f>
        <v>1</v>
      </c>
      <c r="AB253" s="189">
        <f xml:space="preserve"> Time!AB$203</f>
        <v>1</v>
      </c>
      <c r="AC253" s="189">
        <f xml:space="preserve"> Time!AC$203</f>
        <v>1</v>
      </c>
      <c r="AD253" s="189">
        <f xml:space="preserve"> Time!AD$203</f>
        <v>1</v>
      </c>
      <c r="AE253" s="189">
        <f xml:space="preserve"> Time!AE$203</f>
        <v>1</v>
      </c>
      <c r="AF253" s="189">
        <f xml:space="preserve"> Time!AF$203</f>
        <v>1</v>
      </c>
      <c r="AG253" s="189">
        <f xml:space="preserve"> Time!AG$203</f>
        <v>1</v>
      </c>
      <c r="AH253" s="189">
        <f xml:space="preserve"> Time!AH$203</f>
        <v>1</v>
      </c>
      <c r="AI253" s="189">
        <f xml:space="preserve"> Time!AI$203</f>
        <v>1</v>
      </c>
      <c r="AJ253" s="189">
        <f xml:space="preserve"> Time!AJ$203</f>
        <v>1</v>
      </c>
      <c r="AK253" s="189">
        <f xml:space="preserve"> Time!AK$203</f>
        <v>1</v>
      </c>
      <c r="AL253" s="189">
        <f xml:space="preserve"> Time!AL$203</f>
        <v>1</v>
      </c>
      <c r="AM253" s="189">
        <f xml:space="preserve"> Time!AM$203</f>
        <v>1</v>
      </c>
      <c r="AN253" s="189">
        <f xml:space="preserve"> Time!AN$203</f>
        <v>1</v>
      </c>
      <c r="AO253" s="189">
        <f xml:space="preserve"> Time!AO$203</f>
        <v>1</v>
      </c>
      <c r="AP253" s="189">
        <f xml:space="preserve"> Time!AP$203</f>
        <v>1</v>
      </c>
      <c r="AQ253" s="189">
        <f xml:space="preserve"> Time!AQ$203</f>
        <v>1</v>
      </c>
      <c r="AR253" s="189">
        <f xml:space="preserve"> Time!AR$203</f>
        <v>1</v>
      </c>
      <c r="AS253" s="189">
        <f xml:space="preserve"> Time!AS$203</f>
        <v>0</v>
      </c>
      <c r="AT253" s="189">
        <f xml:space="preserve"> Time!AT$203</f>
        <v>0</v>
      </c>
      <c r="AU253" s="189">
        <f xml:space="preserve"> Time!AU$203</f>
        <v>0</v>
      </c>
      <c r="AV253" s="189">
        <f xml:space="preserve"> Time!AV$203</f>
        <v>0</v>
      </c>
      <c r="AW253" s="189">
        <f xml:space="preserve"> Time!AW$203</f>
        <v>0</v>
      </c>
      <c r="AX253" s="189">
        <f xml:space="preserve"> Time!AX$203</f>
        <v>0</v>
      </c>
      <c r="AY253" s="189">
        <f xml:space="preserve"> Time!AY$203</f>
        <v>0</v>
      </c>
      <c r="AZ253" s="189">
        <f xml:space="preserve"> Time!AZ$203</f>
        <v>0</v>
      </c>
      <c r="BA253" s="189">
        <f xml:space="preserve"> Time!BA$203</f>
        <v>0</v>
      </c>
      <c r="BB253" s="189">
        <f xml:space="preserve"> Time!BB$203</f>
        <v>0</v>
      </c>
      <c r="BC253" s="189">
        <f xml:space="preserve"> Time!BC$203</f>
        <v>0</v>
      </c>
      <c r="BD253" s="189">
        <f xml:space="preserve"> Time!BD$203</f>
        <v>0</v>
      </c>
      <c r="BE253" s="189">
        <f xml:space="preserve"> Time!BE$203</f>
        <v>0</v>
      </c>
      <c r="BF253" s="189">
        <f xml:space="preserve"> Time!BF$203</f>
        <v>0</v>
      </c>
      <c r="BG253" s="189">
        <f xml:space="preserve"> Time!BG$203</f>
        <v>0</v>
      </c>
      <c r="BH253" s="189">
        <f xml:space="preserve"> Time!BH$203</f>
        <v>0</v>
      </c>
      <c r="BI253" s="189">
        <f xml:space="preserve"> Time!BI$203</f>
        <v>0</v>
      </c>
      <c r="BJ253" s="189">
        <f xml:space="preserve"> Time!BJ$203</f>
        <v>0</v>
      </c>
      <c r="BK253" s="189">
        <f xml:space="preserve"> Time!BK$203</f>
        <v>0</v>
      </c>
      <c r="BL253" s="189">
        <f xml:space="preserve"> Time!BL$203</f>
        <v>0</v>
      </c>
      <c r="BM253" s="189">
        <f xml:space="preserve"> Time!BM$203</f>
        <v>0</v>
      </c>
      <c r="BN253" s="189">
        <f xml:space="preserve"> Time!BN$203</f>
        <v>0</v>
      </c>
      <c r="BO253" s="189">
        <f xml:space="preserve"> Time!BO$203</f>
        <v>0</v>
      </c>
      <c r="BP253" s="189">
        <f xml:space="preserve"> Time!BP$203</f>
        <v>0</v>
      </c>
      <c r="BQ253" s="189">
        <f xml:space="preserve"> Time!BQ$203</f>
        <v>0</v>
      </c>
      <c r="BR253" s="189">
        <f xml:space="preserve"> Time!BR$203</f>
        <v>0</v>
      </c>
      <c r="BS253" s="189">
        <f xml:space="preserve"> Time!BS$203</f>
        <v>0</v>
      </c>
      <c r="BT253" s="189">
        <f xml:space="preserve"> Time!BT$203</f>
        <v>0</v>
      </c>
      <c r="BU253" s="189">
        <f xml:space="preserve"> Time!BU$203</f>
        <v>0</v>
      </c>
      <c r="BV253" s="189">
        <f xml:space="preserve"> Time!BV$203</f>
        <v>0</v>
      </c>
      <c r="BW253" s="189">
        <f xml:space="preserve"> Time!BW$203</f>
        <v>0</v>
      </c>
      <c r="BX253" s="189">
        <f xml:space="preserve"> Time!BX$203</f>
        <v>0</v>
      </c>
      <c r="BY253" s="189">
        <f xml:space="preserve"> Time!BY$203</f>
        <v>0</v>
      </c>
      <c r="BZ253" s="189">
        <f xml:space="preserve"> Time!BZ$203</f>
        <v>0</v>
      </c>
      <c r="CA253" s="189">
        <f xml:space="preserve"> Time!CA$203</f>
        <v>0</v>
      </c>
      <c r="CB253" s="189">
        <f xml:space="preserve"> Time!CB$203</f>
        <v>0</v>
      </c>
      <c r="CC253" s="189">
        <f xml:space="preserve"> Time!CC$203</f>
        <v>0</v>
      </c>
      <c r="CD253" s="189">
        <f xml:space="preserve"> Time!CD$203</f>
        <v>0</v>
      </c>
      <c r="CE253" s="189">
        <f xml:space="preserve"> Time!CE$203</f>
        <v>0</v>
      </c>
      <c r="CF253" s="189">
        <f xml:space="preserve"> Time!CF$203</f>
        <v>0</v>
      </c>
      <c r="CG253" s="189">
        <f xml:space="preserve"> Time!CG$203</f>
        <v>0</v>
      </c>
      <c r="CH253" s="189">
        <f xml:space="preserve"> Time!CH$203</f>
        <v>0</v>
      </c>
      <c r="CI253" s="189">
        <f xml:space="preserve"> Time!CI$203</f>
        <v>0</v>
      </c>
      <c r="CJ253" s="189">
        <f xml:space="preserve"> Time!CJ$203</f>
        <v>0</v>
      </c>
      <c r="CK253" s="189">
        <f xml:space="preserve"> Time!CK$203</f>
        <v>0</v>
      </c>
      <c r="CL253" s="189">
        <f xml:space="preserve"> Time!CL$203</f>
        <v>0</v>
      </c>
      <c r="CM253" s="189">
        <f xml:space="preserve"> Time!CM$203</f>
        <v>0</v>
      </c>
      <c r="CN253" s="189">
        <f xml:space="preserve"> Time!CN$203</f>
        <v>0</v>
      </c>
      <c r="CO253" s="189">
        <f xml:space="preserve"> Time!CO$203</f>
        <v>0</v>
      </c>
      <c r="CP253" s="189">
        <f xml:space="preserve"> Time!CP$203</f>
        <v>0</v>
      </c>
      <c r="CQ253" s="189">
        <f xml:space="preserve"> Time!CQ$203</f>
        <v>0</v>
      </c>
      <c r="CR253" s="189">
        <f xml:space="preserve"> Time!CR$203</f>
        <v>0</v>
      </c>
      <c r="CS253" s="189">
        <f xml:space="preserve"> Time!CS$203</f>
        <v>0</v>
      </c>
      <c r="CT253" s="189">
        <f xml:space="preserve"> Time!CT$203</f>
        <v>0</v>
      </c>
      <c r="CU253" s="189">
        <f xml:space="preserve"> Time!CU$203</f>
        <v>0</v>
      </c>
      <c r="CV253" s="189">
        <f xml:space="preserve"> Time!CV$203</f>
        <v>0</v>
      </c>
    </row>
    <row r="254" spans="1:192" ht="12.75" outlineLevel="2" x14ac:dyDescent="0.2">
      <c r="A254" s="236"/>
      <c r="B254" s="236"/>
      <c r="C254" s="237"/>
      <c r="D254" s="238"/>
      <c r="E254" s="234" t="s">
        <v>1011</v>
      </c>
      <c r="F254" s="310"/>
      <c r="G254" s="310" t="str">
        <f xml:space="preserve"> SMU</f>
        <v>$ 000s</v>
      </c>
      <c r="H254" s="310">
        <f xml:space="preserve"> SUM(J254:CV254)</f>
        <v>125194.92613015346</v>
      </c>
      <c r="I254" s="310"/>
      <c r="J254" s="310">
        <f t="shared" ref="J254:BU254" si="179" xml:space="preserve"> $F251 / $F252 * J253</f>
        <v>0</v>
      </c>
      <c r="K254" s="310">
        <f t="shared" si="179"/>
        <v>0</v>
      </c>
      <c r="L254" s="310">
        <f t="shared" si="179"/>
        <v>0</v>
      </c>
      <c r="M254" s="310">
        <f t="shared" si="179"/>
        <v>0</v>
      </c>
      <c r="N254" s="310">
        <f t="shared" si="179"/>
        <v>0</v>
      </c>
      <c r="O254" s="310">
        <f t="shared" si="179"/>
        <v>4173.1642043384481</v>
      </c>
      <c r="P254" s="310">
        <f t="shared" si="179"/>
        <v>4173.1642043384481</v>
      </c>
      <c r="Q254" s="310">
        <f t="shared" si="179"/>
        <v>4173.1642043384481</v>
      </c>
      <c r="R254" s="310">
        <f t="shared" si="179"/>
        <v>4173.1642043384481</v>
      </c>
      <c r="S254" s="310">
        <f t="shared" si="179"/>
        <v>4173.1642043384481</v>
      </c>
      <c r="T254" s="310">
        <f t="shared" si="179"/>
        <v>4173.1642043384481</v>
      </c>
      <c r="U254" s="310">
        <f t="shared" si="179"/>
        <v>4173.1642043384481</v>
      </c>
      <c r="V254" s="310">
        <f t="shared" si="179"/>
        <v>4173.1642043384481</v>
      </c>
      <c r="W254" s="310">
        <f t="shared" si="179"/>
        <v>4173.1642043384481</v>
      </c>
      <c r="X254" s="310">
        <f t="shared" si="179"/>
        <v>4173.1642043384481</v>
      </c>
      <c r="Y254" s="310">
        <f t="shared" si="179"/>
        <v>4173.1642043384481</v>
      </c>
      <c r="Z254" s="310">
        <f t="shared" si="179"/>
        <v>4173.1642043384481</v>
      </c>
      <c r="AA254" s="310">
        <f t="shared" si="179"/>
        <v>4173.1642043384481</v>
      </c>
      <c r="AB254" s="310">
        <f t="shared" si="179"/>
        <v>4173.1642043384481</v>
      </c>
      <c r="AC254" s="310">
        <f t="shared" si="179"/>
        <v>4173.1642043384481</v>
      </c>
      <c r="AD254" s="310">
        <f t="shared" si="179"/>
        <v>4173.1642043384481</v>
      </c>
      <c r="AE254" s="310">
        <f t="shared" si="179"/>
        <v>4173.1642043384481</v>
      </c>
      <c r="AF254" s="310">
        <f t="shared" si="179"/>
        <v>4173.1642043384481</v>
      </c>
      <c r="AG254" s="310">
        <f t="shared" si="179"/>
        <v>4173.1642043384481</v>
      </c>
      <c r="AH254" s="310">
        <f t="shared" si="179"/>
        <v>4173.1642043384481</v>
      </c>
      <c r="AI254" s="310">
        <f t="shared" si="179"/>
        <v>4173.1642043384481</v>
      </c>
      <c r="AJ254" s="310">
        <f t="shared" si="179"/>
        <v>4173.1642043384481</v>
      </c>
      <c r="AK254" s="310">
        <f t="shared" si="179"/>
        <v>4173.1642043384481</v>
      </c>
      <c r="AL254" s="310">
        <f t="shared" si="179"/>
        <v>4173.1642043384481</v>
      </c>
      <c r="AM254" s="310">
        <f t="shared" si="179"/>
        <v>4173.1642043384481</v>
      </c>
      <c r="AN254" s="310">
        <f t="shared" si="179"/>
        <v>4173.1642043384481</v>
      </c>
      <c r="AO254" s="310">
        <f t="shared" si="179"/>
        <v>4173.1642043384481</v>
      </c>
      <c r="AP254" s="310">
        <f t="shared" si="179"/>
        <v>4173.1642043384481</v>
      </c>
      <c r="AQ254" s="310">
        <f t="shared" si="179"/>
        <v>4173.1642043384481</v>
      </c>
      <c r="AR254" s="310">
        <f t="shared" si="179"/>
        <v>4173.1642043384481</v>
      </c>
      <c r="AS254" s="310">
        <f t="shared" si="179"/>
        <v>0</v>
      </c>
      <c r="AT254" s="310">
        <f t="shared" si="179"/>
        <v>0</v>
      </c>
      <c r="AU254" s="310">
        <f t="shared" si="179"/>
        <v>0</v>
      </c>
      <c r="AV254" s="310">
        <f t="shared" si="179"/>
        <v>0</v>
      </c>
      <c r="AW254" s="310">
        <f t="shared" si="179"/>
        <v>0</v>
      </c>
      <c r="AX254" s="310">
        <f t="shared" si="179"/>
        <v>0</v>
      </c>
      <c r="AY254" s="310">
        <f t="shared" si="179"/>
        <v>0</v>
      </c>
      <c r="AZ254" s="310">
        <f t="shared" si="179"/>
        <v>0</v>
      </c>
      <c r="BA254" s="310">
        <f t="shared" si="179"/>
        <v>0</v>
      </c>
      <c r="BB254" s="310">
        <f t="shared" si="179"/>
        <v>0</v>
      </c>
      <c r="BC254" s="310">
        <f t="shared" si="179"/>
        <v>0</v>
      </c>
      <c r="BD254" s="310">
        <f t="shared" si="179"/>
        <v>0</v>
      </c>
      <c r="BE254" s="310">
        <f t="shared" si="179"/>
        <v>0</v>
      </c>
      <c r="BF254" s="310">
        <f t="shared" si="179"/>
        <v>0</v>
      </c>
      <c r="BG254" s="310">
        <f t="shared" si="179"/>
        <v>0</v>
      </c>
      <c r="BH254" s="310">
        <f t="shared" si="179"/>
        <v>0</v>
      </c>
      <c r="BI254" s="310">
        <f t="shared" si="179"/>
        <v>0</v>
      </c>
      <c r="BJ254" s="310">
        <f t="shared" si="179"/>
        <v>0</v>
      </c>
      <c r="BK254" s="310">
        <f t="shared" si="179"/>
        <v>0</v>
      </c>
      <c r="BL254" s="310">
        <f t="shared" si="179"/>
        <v>0</v>
      </c>
      <c r="BM254" s="310">
        <f t="shared" si="179"/>
        <v>0</v>
      </c>
      <c r="BN254" s="310">
        <f t="shared" si="179"/>
        <v>0</v>
      </c>
      <c r="BO254" s="310">
        <f t="shared" si="179"/>
        <v>0</v>
      </c>
      <c r="BP254" s="310">
        <f t="shared" si="179"/>
        <v>0</v>
      </c>
      <c r="BQ254" s="310">
        <f t="shared" si="179"/>
        <v>0</v>
      </c>
      <c r="BR254" s="310">
        <f t="shared" si="179"/>
        <v>0</v>
      </c>
      <c r="BS254" s="310">
        <f t="shared" si="179"/>
        <v>0</v>
      </c>
      <c r="BT254" s="310">
        <f t="shared" si="179"/>
        <v>0</v>
      </c>
      <c r="BU254" s="310">
        <f t="shared" si="179"/>
        <v>0</v>
      </c>
      <c r="BV254" s="310">
        <f t="shared" ref="BV254:CV254" si="180" xml:space="preserve"> $F251 / $F252 * BV253</f>
        <v>0</v>
      </c>
      <c r="BW254" s="310">
        <f t="shared" si="180"/>
        <v>0</v>
      </c>
      <c r="BX254" s="310">
        <f t="shared" si="180"/>
        <v>0</v>
      </c>
      <c r="BY254" s="310">
        <f t="shared" si="180"/>
        <v>0</v>
      </c>
      <c r="BZ254" s="310">
        <f t="shared" si="180"/>
        <v>0</v>
      </c>
      <c r="CA254" s="310">
        <f t="shared" si="180"/>
        <v>0</v>
      </c>
      <c r="CB254" s="310">
        <f t="shared" si="180"/>
        <v>0</v>
      </c>
      <c r="CC254" s="310">
        <f t="shared" si="180"/>
        <v>0</v>
      </c>
      <c r="CD254" s="310">
        <f t="shared" si="180"/>
        <v>0</v>
      </c>
      <c r="CE254" s="310">
        <f t="shared" si="180"/>
        <v>0</v>
      </c>
      <c r="CF254" s="310">
        <f t="shared" si="180"/>
        <v>0</v>
      </c>
      <c r="CG254" s="310">
        <f t="shared" si="180"/>
        <v>0</v>
      </c>
      <c r="CH254" s="310">
        <f t="shared" si="180"/>
        <v>0</v>
      </c>
      <c r="CI254" s="310">
        <f t="shared" si="180"/>
        <v>0</v>
      </c>
      <c r="CJ254" s="310">
        <f t="shared" si="180"/>
        <v>0</v>
      </c>
      <c r="CK254" s="310">
        <f t="shared" si="180"/>
        <v>0</v>
      </c>
      <c r="CL254" s="310">
        <f t="shared" si="180"/>
        <v>0</v>
      </c>
      <c r="CM254" s="310">
        <f t="shared" si="180"/>
        <v>0</v>
      </c>
      <c r="CN254" s="310">
        <f t="shared" si="180"/>
        <v>0</v>
      </c>
      <c r="CO254" s="310">
        <f t="shared" si="180"/>
        <v>0</v>
      </c>
      <c r="CP254" s="310">
        <f t="shared" si="180"/>
        <v>0</v>
      </c>
      <c r="CQ254" s="310">
        <f t="shared" si="180"/>
        <v>0</v>
      </c>
      <c r="CR254" s="310">
        <f t="shared" si="180"/>
        <v>0</v>
      </c>
      <c r="CS254" s="310">
        <f t="shared" si="180"/>
        <v>0</v>
      </c>
      <c r="CT254" s="310">
        <f t="shared" si="180"/>
        <v>0</v>
      </c>
      <c r="CU254" s="310">
        <f t="shared" si="180"/>
        <v>0</v>
      </c>
      <c r="CV254" s="310">
        <f t="shared" si="180"/>
        <v>0</v>
      </c>
    </row>
    <row r="255" spans="1:192" ht="12.75" outlineLevel="2" x14ac:dyDescent="0.2">
      <c r="A255" s="236"/>
      <c r="B255" s="236"/>
      <c r="C255" s="237"/>
      <c r="D255" s="238"/>
      <c r="E255" s="310"/>
      <c r="F255" s="310"/>
      <c r="G255" s="310"/>
      <c r="H255" s="310"/>
      <c r="I255" s="310"/>
      <c r="J255" s="310"/>
      <c r="K255" s="310"/>
      <c r="L255" s="310"/>
      <c r="M255" s="310"/>
      <c r="N255" s="310"/>
      <c r="O255" s="310"/>
      <c r="P255" s="310"/>
      <c r="Q255" s="310"/>
      <c r="R255" s="310"/>
      <c r="S255" s="310"/>
      <c r="T255" s="310"/>
      <c r="U255" s="310"/>
      <c r="V255" s="310"/>
      <c r="W255" s="310"/>
      <c r="X255" s="310"/>
      <c r="Y255" s="310"/>
      <c r="Z255" s="310"/>
      <c r="AA255" s="310"/>
      <c r="AB255" s="310"/>
      <c r="AC255" s="310"/>
      <c r="AD255" s="310"/>
      <c r="AE255" s="310"/>
      <c r="AF255" s="310"/>
      <c r="AG255" s="310"/>
      <c r="AH255" s="310"/>
      <c r="AI255" s="310"/>
      <c r="AJ255" s="310"/>
      <c r="AK255" s="310"/>
      <c r="AL255" s="310"/>
      <c r="AM255" s="310"/>
      <c r="AN255" s="310"/>
      <c r="AO255" s="310"/>
      <c r="AP255" s="310"/>
      <c r="AQ255" s="310"/>
      <c r="AR255" s="310"/>
      <c r="AS255" s="310"/>
      <c r="AT255" s="310"/>
      <c r="AU255" s="310"/>
      <c r="AV255" s="310"/>
      <c r="AW255" s="310"/>
      <c r="AX255" s="310"/>
      <c r="AY255" s="310"/>
      <c r="AZ255" s="310"/>
      <c r="BA255" s="310"/>
      <c r="BB255" s="310"/>
      <c r="BC255" s="310"/>
      <c r="BD255" s="310"/>
      <c r="BE255" s="310"/>
      <c r="BF255" s="310"/>
      <c r="BG255" s="310"/>
      <c r="BH255" s="310"/>
      <c r="BI255" s="310"/>
      <c r="BJ255" s="310"/>
      <c r="BK255" s="310"/>
      <c r="BL255" s="310"/>
      <c r="BM255" s="310"/>
      <c r="BN255" s="310"/>
      <c r="BO255" s="310"/>
      <c r="BP255" s="310"/>
      <c r="BQ255" s="310"/>
      <c r="BR255" s="310"/>
      <c r="BS255" s="310"/>
      <c r="BT255" s="310"/>
      <c r="BU255" s="310"/>
      <c r="BV255" s="310"/>
      <c r="BW255" s="310"/>
      <c r="BX255" s="310"/>
      <c r="BY255" s="310"/>
      <c r="BZ255" s="310"/>
      <c r="CA255" s="310"/>
      <c r="CB255" s="310"/>
      <c r="CC255" s="310"/>
      <c r="CD255" s="310"/>
      <c r="CE255" s="310"/>
      <c r="CF255" s="310"/>
      <c r="CG255" s="310"/>
      <c r="CH255" s="310"/>
      <c r="CI255" s="310"/>
      <c r="CJ255" s="310"/>
      <c r="CK255" s="310"/>
      <c r="CL255" s="310"/>
      <c r="CM255" s="310"/>
      <c r="CN255" s="310"/>
      <c r="CO255" s="310"/>
      <c r="CP255" s="310"/>
      <c r="CQ255" s="310"/>
      <c r="CR255" s="310"/>
      <c r="CS255" s="310"/>
      <c r="CT255" s="310"/>
      <c r="CU255" s="310"/>
      <c r="CV255" s="310"/>
    </row>
    <row r="256" spans="1:192" ht="12.75" outlineLevel="2" x14ac:dyDescent="0.2">
      <c r="A256" s="236"/>
      <c r="B256" s="236"/>
      <c r="C256" s="237"/>
      <c r="D256" s="21" t="s">
        <v>1018</v>
      </c>
      <c r="E256" s="310"/>
      <c r="F256" s="310"/>
      <c r="G256" s="310"/>
      <c r="H256" s="310"/>
      <c r="I256" s="310"/>
      <c r="J256" s="310"/>
      <c r="K256" s="310"/>
      <c r="L256" s="310"/>
      <c r="M256" s="310"/>
      <c r="N256" s="310"/>
      <c r="O256" s="310"/>
      <c r="P256" s="310"/>
      <c r="Q256" s="310"/>
      <c r="R256" s="310"/>
      <c r="S256" s="310"/>
      <c r="T256" s="310"/>
      <c r="U256" s="310"/>
      <c r="V256" s="310"/>
      <c r="W256" s="310"/>
      <c r="X256" s="310"/>
      <c r="Y256" s="310"/>
      <c r="Z256" s="310"/>
      <c r="AA256" s="310"/>
      <c r="AB256" s="310"/>
      <c r="AC256" s="310"/>
      <c r="AD256" s="310"/>
      <c r="AE256" s="310"/>
      <c r="AF256" s="310"/>
      <c r="AG256" s="310"/>
      <c r="AH256" s="310"/>
      <c r="AI256" s="310"/>
      <c r="AJ256" s="310"/>
      <c r="AK256" s="310"/>
      <c r="AL256" s="310"/>
      <c r="AM256" s="310"/>
      <c r="AN256" s="310"/>
      <c r="AO256" s="310"/>
      <c r="AP256" s="310"/>
      <c r="AQ256" s="310"/>
      <c r="AR256" s="310"/>
      <c r="AS256" s="310"/>
      <c r="AT256" s="310"/>
      <c r="AU256" s="310"/>
      <c r="AV256" s="310"/>
      <c r="AW256" s="310"/>
      <c r="AX256" s="310"/>
      <c r="AY256" s="310"/>
      <c r="AZ256" s="310"/>
      <c r="BA256" s="310"/>
      <c r="BB256" s="310"/>
      <c r="BC256" s="310"/>
      <c r="BD256" s="310"/>
      <c r="BE256" s="310"/>
      <c r="BF256" s="310"/>
      <c r="BG256" s="310"/>
      <c r="BH256" s="310"/>
      <c r="BI256" s="310"/>
      <c r="BJ256" s="310"/>
      <c r="BK256" s="310"/>
      <c r="BL256" s="310"/>
      <c r="BM256" s="310"/>
      <c r="BN256" s="310"/>
      <c r="BO256" s="310"/>
      <c r="BP256" s="310"/>
      <c r="BQ256" s="310"/>
      <c r="BR256" s="310"/>
      <c r="BS256" s="310"/>
      <c r="BT256" s="310"/>
      <c r="BU256" s="310"/>
      <c r="BV256" s="310"/>
      <c r="BW256" s="310"/>
      <c r="BX256" s="310"/>
      <c r="BY256" s="310"/>
      <c r="BZ256" s="310"/>
      <c r="CA256" s="310"/>
      <c r="CB256" s="310"/>
      <c r="CC256" s="310"/>
      <c r="CD256" s="310"/>
      <c r="CE256" s="310"/>
      <c r="CF256" s="310"/>
      <c r="CG256" s="310"/>
      <c r="CH256" s="310"/>
      <c r="CI256" s="310"/>
      <c r="CJ256" s="310"/>
      <c r="CK256" s="310"/>
      <c r="CL256" s="310"/>
      <c r="CM256" s="310"/>
      <c r="CN256" s="310"/>
      <c r="CO256" s="310"/>
      <c r="CP256" s="310"/>
      <c r="CQ256" s="310"/>
      <c r="CR256" s="310"/>
      <c r="CS256" s="310"/>
      <c r="CT256" s="310"/>
      <c r="CU256" s="310"/>
      <c r="CV256" s="310"/>
    </row>
    <row r="257" spans="1:100" ht="12.75" outlineLevel="2" x14ac:dyDescent="0.2">
      <c r="A257" s="236"/>
      <c r="B257" s="236"/>
      <c r="C257" s="237"/>
      <c r="D257" s="238"/>
      <c r="E257" s="310" t="str">
        <f t="shared" ref="E257:BP257" si="181" xml:space="preserve"> E$52</f>
        <v>Senior debt repayment for debt sizing - calc</v>
      </c>
      <c r="F257" s="310">
        <f t="shared" si="181"/>
        <v>0</v>
      </c>
      <c r="G257" s="310" t="str">
        <f t="shared" si="181"/>
        <v>$ 000s</v>
      </c>
      <c r="H257" s="310">
        <f t="shared" si="181"/>
        <v>250389.84250993346</v>
      </c>
      <c r="I257" s="310">
        <f t="shared" si="181"/>
        <v>0</v>
      </c>
      <c r="J257" s="310">
        <f t="shared" si="181"/>
        <v>0</v>
      </c>
      <c r="K257" s="310">
        <f t="shared" si="181"/>
        <v>0</v>
      </c>
      <c r="L257" s="310">
        <f t="shared" si="181"/>
        <v>0</v>
      </c>
      <c r="M257" s="310">
        <f t="shared" si="181"/>
        <v>0</v>
      </c>
      <c r="N257" s="310">
        <f t="shared" si="181"/>
        <v>0</v>
      </c>
      <c r="O257" s="310">
        <f t="shared" si="181"/>
        <v>6991.6926667136795</v>
      </c>
      <c r="P257" s="310">
        <f t="shared" si="181"/>
        <v>5775.4111835814365</v>
      </c>
      <c r="Q257" s="310">
        <f t="shared" si="181"/>
        <v>5844.9237074696321</v>
      </c>
      <c r="R257" s="310">
        <f t="shared" si="181"/>
        <v>5953.2700883188845</v>
      </c>
      <c r="S257" s="310">
        <f t="shared" si="181"/>
        <v>6029.7045384690427</v>
      </c>
      <c r="T257" s="310">
        <f t="shared" si="181"/>
        <v>6138.2341870091841</v>
      </c>
      <c r="U257" s="310">
        <f t="shared" si="181"/>
        <v>6221.8631172353962</v>
      </c>
      <c r="V257" s="310">
        <f t="shared" si="181"/>
        <v>6320.0540133506911</v>
      </c>
      <c r="W257" s="310">
        <f t="shared" si="181"/>
        <v>6406.4371417930624</v>
      </c>
      <c r="X257" s="310">
        <f t="shared" si="181"/>
        <v>6530.1240714338437</v>
      </c>
      <c r="Y257" s="310">
        <f t="shared" si="181"/>
        <v>6436.6246734352353</v>
      </c>
      <c r="Z257" s="310">
        <f t="shared" si="181"/>
        <v>6551.1588479647589</v>
      </c>
      <c r="AA257" s="310">
        <f t="shared" si="181"/>
        <v>6657.4024109955481</v>
      </c>
      <c r="AB257" s="310">
        <f t="shared" si="181"/>
        <v>6772.506702289661</v>
      </c>
      <c r="AC257" s="310">
        <f t="shared" si="181"/>
        <v>6887.5744962745739</v>
      </c>
      <c r="AD257" s="310">
        <f t="shared" si="181"/>
        <v>6997.9555785075554</v>
      </c>
      <c r="AE257" s="310">
        <f t="shared" si="181"/>
        <v>7112.8956776068926</v>
      </c>
      <c r="AF257" s="310">
        <f t="shared" si="181"/>
        <v>7243.4991871246275</v>
      </c>
      <c r="AG257" s="310">
        <f t="shared" si="181"/>
        <v>7377.3354565275367</v>
      </c>
      <c r="AH257" s="310">
        <f t="shared" si="181"/>
        <v>7494.4717614238834</v>
      </c>
      <c r="AI257" s="310">
        <f t="shared" si="181"/>
        <v>7492.5599767364547</v>
      </c>
      <c r="AJ257" s="310">
        <f t="shared" si="181"/>
        <v>7619.1752493234653</v>
      </c>
      <c r="AK257" s="310">
        <f t="shared" si="181"/>
        <v>7777.9497925844225</v>
      </c>
      <c r="AL257" s="310">
        <f t="shared" si="181"/>
        <v>7907.107671430681</v>
      </c>
      <c r="AM257" s="310">
        <f t="shared" si="181"/>
        <v>8062.4820085052197</v>
      </c>
      <c r="AN257" s="310">
        <f t="shared" si="181"/>
        <v>8205.5235450505133</v>
      </c>
      <c r="AO257" s="310">
        <f t="shared" si="181"/>
        <v>8388.4431583174519</v>
      </c>
      <c r="AP257" s="310">
        <f t="shared" si="181"/>
        <v>8519.3302834244005</v>
      </c>
      <c r="AQ257" s="310">
        <f t="shared" si="181"/>
        <v>8715.1712853743629</v>
      </c>
      <c r="AR257" s="310">
        <f t="shared" si="181"/>
        <v>8847.6870079171385</v>
      </c>
      <c r="AS257" s="310">
        <f t="shared" si="181"/>
        <v>9057.0483380948517</v>
      </c>
      <c r="AT257" s="310">
        <f t="shared" si="181"/>
        <v>9185.1556984451508</v>
      </c>
      <c r="AU257" s="310">
        <f t="shared" si="181"/>
        <v>9368.3451841734677</v>
      </c>
      <c r="AV257" s="310">
        <f t="shared" si="181"/>
        <v>9500.7238030307599</v>
      </c>
      <c r="AW257" s="310">
        <f t="shared" si="181"/>
        <v>0</v>
      </c>
      <c r="AX257" s="310">
        <f t="shared" si="181"/>
        <v>0</v>
      </c>
      <c r="AY257" s="310">
        <f t="shared" si="181"/>
        <v>0</v>
      </c>
      <c r="AZ257" s="310">
        <f t="shared" si="181"/>
        <v>0</v>
      </c>
      <c r="BA257" s="310">
        <f t="shared" si="181"/>
        <v>0</v>
      </c>
      <c r="BB257" s="310">
        <f t="shared" si="181"/>
        <v>0</v>
      </c>
      <c r="BC257" s="310">
        <f t="shared" si="181"/>
        <v>0</v>
      </c>
      <c r="BD257" s="310">
        <f t="shared" si="181"/>
        <v>0</v>
      </c>
      <c r="BE257" s="310">
        <f t="shared" si="181"/>
        <v>0</v>
      </c>
      <c r="BF257" s="310">
        <f t="shared" si="181"/>
        <v>0</v>
      </c>
      <c r="BG257" s="310">
        <f t="shared" si="181"/>
        <v>0</v>
      </c>
      <c r="BH257" s="310">
        <f t="shared" si="181"/>
        <v>0</v>
      </c>
      <c r="BI257" s="310">
        <f t="shared" si="181"/>
        <v>0</v>
      </c>
      <c r="BJ257" s="310">
        <f t="shared" si="181"/>
        <v>0</v>
      </c>
      <c r="BK257" s="310">
        <f t="shared" si="181"/>
        <v>0</v>
      </c>
      <c r="BL257" s="310">
        <f t="shared" si="181"/>
        <v>0</v>
      </c>
      <c r="BM257" s="310">
        <f t="shared" si="181"/>
        <v>0</v>
      </c>
      <c r="BN257" s="310">
        <f t="shared" si="181"/>
        <v>0</v>
      </c>
      <c r="BO257" s="310">
        <f t="shared" si="181"/>
        <v>0</v>
      </c>
      <c r="BP257" s="310">
        <f t="shared" si="181"/>
        <v>0</v>
      </c>
      <c r="BQ257" s="310">
        <f t="shared" ref="BQ257:CV257" si="182" xml:space="preserve"> BQ$52</f>
        <v>0</v>
      </c>
      <c r="BR257" s="310">
        <f t="shared" si="182"/>
        <v>0</v>
      </c>
      <c r="BS257" s="310">
        <f t="shared" si="182"/>
        <v>0</v>
      </c>
      <c r="BT257" s="310">
        <f t="shared" si="182"/>
        <v>0</v>
      </c>
      <c r="BU257" s="310">
        <f t="shared" si="182"/>
        <v>0</v>
      </c>
      <c r="BV257" s="310">
        <f t="shared" si="182"/>
        <v>0</v>
      </c>
      <c r="BW257" s="310">
        <f t="shared" si="182"/>
        <v>0</v>
      </c>
      <c r="BX257" s="310">
        <f t="shared" si="182"/>
        <v>0</v>
      </c>
      <c r="BY257" s="310">
        <f t="shared" si="182"/>
        <v>0</v>
      </c>
      <c r="BZ257" s="310">
        <f t="shared" si="182"/>
        <v>0</v>
      </c>
      <c r="CA257" s="310">
        <f t="shared" si="182"/>
        <v>0</v>
      </c>
      <c r="CB257" s="310">
        <f t="shared" si="182"/>
        <v>0</v>
      </c>
      <c r="CC257" s="310">
        <f t="shared" si="182"/>
        <v>0</v>
      </c>
      <c r="CD257" s="310">
        <f t="shared" si="182"/>
        <v>0</v>
      </c>
      <c r="CE257" s="310">
        <f t="shared" si="182"/>
        <v>0</v>
      </c>
      <c r="CF257" s="310">
        <f t="shared" si="182"/>
        <v>0</v>
      </c>
      <c r="CG257" s="310">
        <f t="shared" si="182"/>
        <v>0</v>
      </c>
      <c r="CH257" s="310">
        <f t="shared" si="182"/>
        <v>0</v>
      </c>
      <c r="CI257" s="310">
        <f t="shared" si="182"/>
        <v>0</v>
      </c>
      <c r="CJ257" s="310">
        <f t="shared" si="182"/>
        <v>0</v>
      </c>
      <c r="CK257" s="310">
        <f t="shared" si="182"/>
        <v>0</v>
      </c>
      <c r="CL257" s="310">
        <f t="shared" si="182"/>
        <v>0</v>
      </c>
      <c r="CM257" s="310">
        <f t="shared" si="182"/>
        <v>0</v>
      </c>
      <c r="CN257" s="310">
        <f t="shared" si="182"/>
        <v>0</v>
      </c>
      <c r="CO257" s="310">
        <f t="shared" si="182"/>
        <v>0</v>
      </c>
      <c r="CP257" s="310">
        <f t="shared" si="182"/>
        <v>0</v>
      </c>
      <c r="CQ257" s="310">
        <f t="shared" si="182"/>
        <v>0</v>
      </c>
      <c r="CR257" s="310">
        <f t="shared" si="182"/>
        <v>0</v>
      </c>
      <c r="CS257" s="310">
        <f t="shared" si="182"/>
        <v>0</v>
      </c>
      <c r="CT257" s="310">
        <f t="shared" si="182"/>
        <v>0</v>
      </c>
      <c r="CU257" s="310">
        <f t="shared" si="182"/>
        <v>0</v>
      </c>
      <c r="CV257" s="310">
        <f t="shared" si="182"/>
        <v>0</v>
      </c>
    </row>
    <row r="258" spans="1:100" s="283" customFormat="1" ht="12.75" outlineLevel="2" x14ac:dyDescent="0.2">
      <c r="A258" s="311"/>
      <c r="B258" s="311"/>
      <c r="C258" s="312"/>
      <c r="D258" s="313"/>
      <c r="E258" s="314" t="str">
        <f t="shared" ref="E258:AJ258" si="183" xml:space="preserve"> E$134</f>
        <v>Senior debt T2 repayment % - calculated</v>
      </c>
      <c r="F258" s="314">
        <f t="shared" si="183"/>
        <v>0</v>
      </c>
      <c r="G258" s="314" t="str">
        <f t="shared" si="183"/>
        <v>%</v>
      </c>
      <c r="H258" s="314">
        <f t="shared" si="183"/>
        <v>0</v>
      </c>
      <c r="I258" s="314">
        <f t="shared" si="183"/>
        <v>0</v>
      </c>
      <c r="J258" s="314">
        <f t="shared" si="183"/>
        <v>0</v>
      </c>
      <c r="K258" s="314">
        <f t="shared" si="183"/>
        <v>0</v>
      </c>
      <c r="L258" s="314">
        <f t="shared" si="183"/>
        <v>0</v>
      </c>
      <c r="M258" s="314">
        <f t="shared" si="183"/>
        <v>0</v>
      </c>
      <c r="N258" s="314">
        <f t="shared" si="183"/>
        <v>0</v>
      </c>
      <c r="O258" s="314">
        <f t="shared" si="183"/>
        <v>0.58700187809984095</v>
      </c>
      <c r="P258" s="314">
        <f t="shared" si="183"/>
        <v>0.58700187809984095</v>
      </c>
      <c r="Q258" s="314">
        <f t="shared" si="183"/>
        <v>0.58700187809984095</v>
      </c>
      <c r="R258" s="314">
        <f t="shared" si="183"/>
        <v>0.58700187809984095</v>
      </c>
      <c r="S258" s="314">
        <f t="shared" si="183"/>
        <v>0.58700187809984095</v>
      </c>
      <c r="T258" s="314">
        <f t="shared" si="183"/>
        <v>0.58700187809984095</v>
      </c>
      <c r="U258" s="314">
        <f t="shared" si="183"/>
        <v>0.58700187809984095</v>
      </c>
      <c r="V258" s="314">
        <f t="shared" si="183"/>
        <v>0.58700187809984095</v>
      </c>
      <c r="W258" s="314">
        <f t="shared" si="183"/>
        <v>0.58700187809984095</v>
      </c>
      <c r="X258" s="314">
        <f t="shared" si="183"/>
        <v>0.58700187809984095</v>
      </c>
      <c r="Y258" s="314">
        <f t="shared" si="183"/>
        <v>0.58700187809984095</v>
      </c>
      <c r="Z258" s="314">
        <f t="shared" si="183"/>
        <v>0.58700187809984095</v>
      </c>
      <c r="AA258" s="314">
        <f t="shared" si="183"/>
        <v>0.58700187809984095</v>
      </c>
      <c r="AB258" s="314">
        <f t="shared" si="183"/>
        <v>0.58700187809984095</v>
      </c>
      <c r="AC258" s="314">
        <f t="shared" si="183"/>
        <v>0.58700187809984095</v>
      </c>
      <c r="AD258" s="314">
        <f t="shared" si="183"/>
        <v>0.58700187809984095</v>
      </c>
      <c r="AE258" s="314">
        <f t="shared" si="183"/>
        <v>0.58700187809984095</v>
      </c>
      <c r="AF258" s="314">
        <f t="shared" si="183"/>
        <v>0.58700187809984095</v>
      </c>
      <c r="AG258" s="314">
        <f t="shared" si="183"/>
        <v>0.58700187809984095</v>
      </c>
      <c r="AH258" s="314">
        <f t="shared" si="183"/>
        <v>0.58700187809984095</v>
      </c>
      <c r="AI258" s="314">
        <f t="shared" si="183"/>
        <v>0.58700187809984095</v>
      </c>
      <c r="AJ258" s="314">
        <f t="shared" si="183"/>
        <v>0.58700187809984095</v>
      </c>
      <c r="AK258" s="314">
        <f t="shared" ref="AK258:BP258" si="184" xml:space="preserve"> AK$134</f>
        <v>0.58700187809984095</v>
      </c>
      <c r="AL258" s="314">
        <f t="shared" si="184"/>
        <v>0.58700187809984095</v>
      </c>
      <c r="AM258" s="314">
        <f t="shared" si="184"/>
        <v>0.58700187809984095</v>
      </c>
      <c r="AN258" s="314">
        <f t="shared" si="184"/>
        <v>0.58700187809984095</v>
      </c>
      <c r="AO258" s="314">
        <f t="shared" si="184"/>
        <v>0.58700187809984095</v>
      </c>
      <c r="AP258" s="314">
        <f t="shared" si="184"/>
        <v>0.58700187809984095</v>
      </c>
      <c r="AQ258" s="314">
        <f t="shared" si="184"/>
        <v>0.58700187809984095</v>
      </c>
      <c r="AR258" s="314">
        <f t="shared" si="184"/>
        <v>0.58700187809984095</v>
      </c>
      <c r="AS258" s="314">
        <f t="shared" si="184"/>
        <v>0</v>
      </c>
      <c r="AT258" s="314">
        <f t="shared" si="184"/>
        <v>0</v>
      </c>
      <c r="AU258" s="314">
        <f t="shared" si="184"/>
        <v>0</v>
      </c>
      <c r="AV258" s="314">
        <f t="shared" si="184"/>
        <v>0</v>
      </c>
      <c r="AW258" s="314">
        <f t="shared" si="184"/>
        <v>0</v>
      </c>
      <c r="AX258" s="314">
        <f t="shared" si="184"/>
        <v>0</v>
      </c>
      <c r="AY258" s="314">
        <f t="shared" si="184"/>
        <v>0</v>
      </c>
      <c r="AZ258" s="314">
        <f t="shared" si="184"/>
        <v>0</v>
      </c>
      <c r="BA258" s="314">
        <f t="shared" si="184"/>
        <v>0</v>
      </c>
      <c r="BB258" s="314">
        <f t="shared" si="184"/>
        <v>0</v>
      </c>
      <c r="BC258" s="314">
        <f t="shared" si="184"/>
        <v>0</v>
      </c>
      <c r="BD258" s="314">
        <f t="shared" si="184"/>
        <v>0</v>
      </c>
      <c r="BE258" s="314">
        <f t="shared" si="184"/>
        <v>0</v>
      </c>
      <c r="BF258" s="314">
        <f t="shared" si="184"/>
        <v>0</v>
      </c>
      <c r="BG258" s="314">
        <f t="shared" si="184"/>
        <v>0</v>
      </c>
      <c r="BH258" s="314">
        <f t="shared" si="184"/>
        <v>0</v>
      </c>
      <c r="BI258" s="314">
        <f t="shared" si="184"/>
        <v>0</v>
      </c>
      <c r="BJ258" s="314">
        <f t="shared" si="184"/>
        <v>0</v>
      </c>
      <c r="BK258" s="314">
        <f t="shared" si="184"/>
        <v>0</v>
      </c>
      <c r="BL258" s="314">
        <f t="shared" si="184"/>
        <v>0</v>
      </c>
      <c r="BM258" s="314">
        <f t="shared" si="184"/>
        <v>0</v>
      </c>
      <c r="BN258" s="314">
        <f t="shared" si="184"/>
        <v>0</v>
      </c>
      <c r="BO258" s="314">
        <f t="shared" si="184"/>
        <v>0</v>
      </c>
      <c r="BP258" s="314">
        <f t="shared" si="184"/>
        <v>0</v>
      </c>
      <c r="BQ258" s="314">
        <f t="shared" ref="BQ258:CV258" si="185" xml:space="preserve"> BQ$134</f>
        <v>0</v>
      </c>
      <c r="BR258" s="314">
        <f t="shared" si="185"/>
        <v>0</v>
      </c>
      <c r="BS258" s="314">
        <f t="shared" si="185"/>
        <v>0</v>
      </c>
      <c r="BT258" s="314">
        <f t="shared" si="185"/>
        <v>0</v>
      </c>
      <c r="BU258" s="314">
        <f t="shared" si="185"/>
        <v>0</v>
      </c>
      <c r="BV258" s="314">
        <f t="shared" si="185"/>
        <v>0</v>
      </c>
      <c r="BW258" s="314">
        <f t="shared" si="185"/>
        <v>0</v>
      </c>
      <c r="BX258" s="314">
        <f t="shared" si="185"/>
        <v>0</v>
      </c>
      <c r="BY258" s="314">
        <f t="shared" si="185"/>
        <v>0</v>
      </c>
      <c r="BZ258" s="314">
        <f t="shared" si="185"/>
        <v>0</v>
      </c>
      <c r="CA258" s="314">
        <f t="shared" si="185"/>
        <v>0</v>
      </c>
      <c r="CB258" s="314">
        <f t="shared" si="185"/>
        <v>0</v>
      </c>
      <c r="CC258" s="314">
        <f t="shared" si="185"/>
        <v>0</v>
      </c>
      <c r="CD258" s="314">
        <f t="shared" si="185"/>
        <v>0</v>
      </c>
      <c r="CE258" s="314">
        <f t="shared" si="185"/>
        <v>0</v>
      </c>
      <c r="CF258" s="314">
        <f t="shared" si="185"/>
        <v>0</v>
      </c>
      <c r="CG258" s="314">
        <f t="shared" si="185"/>
        <v>0</v>
      </c>
      <c r="CH258" s="314">
        <f t="shared" si="185"/>
        <v>0</v>
      </c>
      <c r="CI258" s="314">
        <f t="shared" si="185"/>
        <v>0</v>
      </c>
      <c r="CJ258" s="314">
        <f t="shared" si="185"/>
        <v>0</v>
      </c>
      <c r="CK258" s="314">
        <f t="shared" si="185"/>
        <v>0</v>
      </c>
      <c r="CL258" s="314">
        <f t="shared" si="185"/>
        <v>0</v>
      </c>
      <c r="CM258" s="314">
        <f t="shared" si="185"/>
        <v>0</v>
      </c>
      <c r="CN258" s="314">
        <f t="shared" si="185"/>
        <v>0</v>
      </c>
      <c r="CO258" s="314">
        <f t="shared" si="185"/>
        <v>0</v>
      </c>
      <c r="CP258" s="314">
        <f t="shared" si="185"/>
        <v>0</v>
      </c>
      <c r="CQ258" s="314">
        <f t="shared" si="185"/>
        <v>0</v>
      </c>
      <c r="CR258" s="314">
        <f t="shared" si="185"/>
        <v>0</v>
      </c>
      <c r="CS258" s="314">
        <f t="shared" si="185"/>
        <v>0</v>
      </c>
      <c r="CT258" s="314">
        <f t="shared" si="185"/>
        <v>0</v>
      </c>
      <c r="CU258" s="314">
        <f t="shared" si="185"/>
        <v>0</v>
      </c>
      <c r="CV258" s="314">
        <f t="shared" si="185"/>
        <v>0</v>
      </c>
    </row>
    <row r="259" spans="1:100" ht="12.75" outlineLevel="2" x14ac:dyDescent="0.2">
      <c r="A259" s="236"/>
      <c r="B259" s="236"/>
      <c r="C259" s="237"/>
      <c r="D259" s="238"/>
      <c r="E259" s="189" t="str">
        <f xml:space="preserve"> Time!E$203</f>
        <v>Senior debt repayment period flag - T2</v>
      </c>
      <c r="F259" s="189">
        <f xml:space="preserve"> Time!F$203</f>
        <v>0</v>
      </c>
      <c r="G259" s="189" t="str">
        <f xml:space="preserve"> Time!G$203</f>
        <v>flag</v>
      </c>
      <c r="H259" s="189">
        <f xml:space="preserve"> Time!H$203</f>
        <v>30</v>
      </c>
      <c r="I259" s="189">
        <f xml:space="preserve"> Time!I$203</f>
        <v>0</v>
      </c>
      <c r="J259" s="189">
        <f xml:space="preserve"> Time!J$203</f>
        <v>0</v>
      </c>
      <c r="K259" s="189">
        <f xml:space="preserve"> Time!K$203</f>
        <v>0</v>
      </c>
      <c r="L259" s="189">
        <f xml:space="preserve"> Time!L$203</f>
        <v>0</v>
      </c>
      <c r="M259" s="189">
        <f xml:space="preserve"> Time!M$203</f>
        <v>0</v>
      </c>
      <c r="N259" s="189">
        <f xml:space="preserve"> Time!N$203</f>
        <v>0</v>
      </c>
      <c r="O259" s="189">
        <f xml:space="preserve"> Time!O$203</f>
        <v>1</v>
      </c>
      <c r="P259" s="189">
        <f xml:space="preserve"> Time!P$203</f>
        <v>1</v>
      </c>
      <c r="Q259" s="189">
        <f xml:space="preserve"> Time!Q$203</f>
        <v>1</v>
      </c>
      <c r="R259" s="189">
        <f xml:space="preserve"> Time!R$203</f>
        <v>1</v>
      </c>
      <c r="S259" s="189">
        <f xml:space="preserve"> Time!S$203</f>
        <v>1</v>
      </c>
      <c r="T259" s="189">
        <f xml:space="preserve"> Time!T$203</f>
        <v>1</v>
      </c>
      <c r="U259" s="189">
        <f xml:space="preserve"> Time!U$203</f>
        <v>1</v>
      </c>
      <c r="V259" s="189">
        <f xml:space="preserve"> Time!V$203</f>
        <v>1</v>
      </c>
      <c r="W259" s="189">
        <f xml:space="preserve"> Time!W$203</f>
        <v>1</v>
      </c>
      <c r="X259" s="189">
        <f xml:space="preserve"> Time!X$203</f>
        <v>1</v>
      </c>
      <c r="Y259" s="189">
        <f xml:space="preserve"> Time!Y$203</f>
        <v>1</v>
      </c>
      <c r="Z259" s="189">
        <f xml:space="preserve"> Time!Z$203</f>
        <v>1</v>
      </c>
      <c r="AA259" s="189">
        <f xml:space="preserve"> Time!AA$203</f>
        <v>1</v>
      </c>
      <c r="AB259" s="189">
        <f xml:space="preserve"> Time!AB$203</f>
        <v>1</v>
      </c>
      <c r="AC259" s="189">
        <f xml:space="preserve"> Time!AC$203</f>
        <v>1</v>
      </c>
      <c r="AD259" s="189">
        <f xml:space="preserve"> Time!AD$203</f>
        <v>1</v>
      </c>
      <c r="AE259" s="189">
        <f xml:space="preserve"> Time!AE$203</f>
        <v>1</v>
      </c>
      <c r="AF259" s="189">
        <f xml:space="preserve"> Time!AF$203</f>
        <v>1</v>
      </c>
      <c r="AG259" s="189">
        <f xml:space="preserve"> Time!AG$203</f>
        <v>1</v>
      </c>
      <c r="AH259" s="189">
        <f xml:space="preserve"> Time!AH$203</f>
        <v>1</v>
      </c>
      <c r="AI259" s="189">
        <f xml:space="preserve"> Time!AI$203</f>
        <v>1</v>
      </c>
      <c r="AJ259" s="189">
        <f xml:space="preserve"> Time!AJ$203</f>
        <v>1</v>
      </c>
      <c r="AK259" s="189">
        <f xml:space="preserve"> Time!AK$203</f>
        <v>1</v>
      </c>
      <c r="AL259" s="189">
        <f xml:space="preserve"> Time!AL$203</f>
        <v>1</v>
      </c>
      <c r="AM259" s="189">
        <f xml:space="preserve"> Time!AM$203</f>
        <v>1</v>
      </c>
      <c r="AN259" s="189">
        <f xml:space="preserve"> Time!AN$203</f>
        <v>1</v>
      </c>
      <c r="AO259" s="189">
        <f xml:space="preserve"> Time!AO$203</f>
        <v>1</v>
      </c>
      <c r="AP259" s="189">
        <f xml:space="preserve"> Time!AP$203</f>
        <v>1</v>
      </c>
      <c r="AQ259" s="189">
        <f xml:space="preserve"> Time!AQ$203</f>
        <v>1</v>
      </c>
      <c r="AR259" s="189">
        <f xml:space="preserve"> Time!AR$203</f>
        <v>1</v>
      </c>
      <c r="AS259" s="189">
        <f xml:space="preserve"> Time!AS$203</f>
        <v>0</v>
      </c>
      <c r="AT259" s="189">
        <f xml:space="preserve"> Time!AT$203</f>
        <v>0</v>
      </c>
      <c r="AU259" s="189">
        <f xml:space="preserve"> Time!AU$203</f>
        <v>0</v>
      </c>
      <c r="AV259" s="189">
        <f xml:space="preserve"> Time!AV$203</f>
        <v>0</v>
      </c>
      <c r="AW259" s="189">
        <f xml:space="preserve"> Time!AW$203</f>
        <v>0</v>
      </c>
      <c r="AX259" s="189">
        <f xml:space="preserve"> Time!AX$203</f>
        <v>0</v>
      </c>
      <c r="AY259" s="189">
        <f xml:space="preserve"> Time!AY$203</f>
        <v>0</v>
      </c>
      <c r="AZ259" s="189">
        <f xml:space="preserve"> Time!AZ$203</f>
        <v>0</v>
      </c>
      <c r="BA259" s="189">
        <f xml:space="preserve"> Time!BA$203</f>
        <v>0</v>
      </c>
      <c r="BB259" s="189">
        <f xml:space="preserve"> Time!BB$203</f>
        <v>0</v>
      </c>
      <c r="BC259" s="189">
        <f xml:space="preserve"> Time!BC$203</f>
        <v>0</v>
      </c>
      <c r="BD259" s="189">
        <f xml:space="preserve"> Time!BD$203</f>
        <v>0</v>
      </c>
      <c r="BE259" s="189">
        <f xml:space="preserve"> Time!BE$203</f>
        <v>0</v>
      </c>
      <c r="BF259" s="189">
        <f xml:space="preserve"> Time!BF$203</f>
        <v>0</v>
      </c>
      <c r="BG259" s="189">
        <f xml:space="preserve"> Time!BG$203</f>
        <v>0</v>
      </c>
      <c r="BH259" s="189">
        <f xml:space="preserve"> Time!BH$203</f>
        <v>0</v>
      </c>
      <c r="BI259" s="189">
        <f xml:space="preserve"> Time!BI$203</f>
        <v>0</v>
      </c>
      <c r="BJ259" s="189">
        <f xml:space="preserve"> Time!BJ$203</f>
        <v>0</v>
      </c>
      <c r="BK259" s="189">
        <f xml:space="preserve"> Time!BK$203</f>
        <v>0</v>
      </c>
      <c r="BL259" s="189">
        <f xml:space="preserve"> Time!BL$203</f>
        <v>0</v>
      </c>
      <c r="BM259" s="189">
        <f xml:space="preserve"> Time!BM$203</f>
        <v>0</v>
      </c>
      <c r="BN259" s="189">
        <f xml:space="preserve"> Time!BN$203</f>
        <v>0</v>
      </c>
      <c r="BO259" s="189">
        <f xml:space="preserve"> Time!BO$203</f>
        <v>0</v>
      </c>
      <c r="BP259" s="189">
        <f xml:space="preserve"> Time!BP$203</f>
        <v>0</v>
      </c>
      <c r="BQ259" s="189">
        <f xml:space="preserve"> Time!BQ$203</f>
        <v>0</v>
      </c>
      <c r="BR259" s="189">
        <f xml:space="preserve"> Time!BR$203</f>
        <v>0</v>
      </c>
      <c r="BS259" s="189">
        <f xml:space="preserve"> Time!BS$203</f>
        <v>0</v>
      </c>
      <c r="BT259" s="189">
        <f xml:space="preserve"> Time!BT$203</f>
        <v>0</v>
      </c>
      <c r="BU259" s="189">
        <f xml:space="preserve"> Time!BU$203</f>
        <v>0</v>
      </c>
      <c r="BV259" s="189">
        <f xml:space="preserve"> Time!BV$203</f>
        <v>0</v>
      </c>
      <c r="BW259" s="189">
        <f xml:space="preserve"> Time!BW$203</f>
        <v>0</v>
      </c>
      <c r="BX259" s="189">
        <f xml:space="preserve"> Time!BX$203</f>
        <v>0</v>
      </c>
      <c r="BY259" s="189">
        <f xml:space="preserve"> Time!BY$203</f>
        <v>0</v>
      </c>
      <c r="BZ259" s="189">
        <f xml:space="preserve"> Time!BZ$203</f>
        <v>0</v>
      </c>
      <c r="CA259" s="189">
        <f xml:space="preserve"> Time!CA$203</f>
        <v>0</v>
      </c>
      <c r="CB259" s="189">
        <f xml:space="preserve"> Time!CB$203</f>
        <v>0</v>
      </c>
      <c r="CC259" s="189">
        <f xml:space="preserve"> Time!CC$203</f>
        <v>0</v>
      </c>
      <c r="CD259" s="189">
        <f xml:space="preserve"> Time!CD$203</f>
        <v>0</v>
      </c>
      <c r="CE259" s="189">
        <f xml:space="preserve"> Time!CE$203</f>
        <v>0</v>
      </c>
      <c r="CF259" s="189">
        <f xml:space="preserve"> Time!CF$203</f>
        <v>0</v>
      </c>
      <c r="CG259" s="189">
        <f xml:space="preserve"> Time!CG$203</f>
        <v>0</v>
      </c>
      <c r="CH259" s="189">
        <f xml:space="preserve"> Time!CH$203</f>
        <v>0</v>
      </c>
      <c r="CI259" s="189">
        <f xml:space="preserve"> Time!CI$203</f>
        <v>0</v>
      </c>
      <c r="CJ259" s="189">
        <f xml:space="preserve"> Time!CJ$203</f>
        <v>0</v>
      </c>
      <c r="CK259" s="189">
        <f xml:space="preserve"> Time!CK$203</f>
        <v>0</v>
      </c>
      <c r="CL259" s="189">
        <f xml:space="preserve"> Time!CL$203</f>
        <v>0</v>
      </c>
      <c r="CM259" s="189">
        <f xml:space="preserve"> Time!CM$203</f>
        <v>0</v>
      </c>
      <c r="CN259" s="189">
        <f xml:space="preserve"> Time!CN$203</f>
        <v>0</v>
      </c>
      <c r="CO259" s="189">
        <f xml:space="preserve"> Time!CO$203</f>
        <v>0</v>
      </c>
      <c r="CP259" s="189">
        <f xml:space="preserve"> Time!CP$203</f>
        <v>0</v>
      </c>
      <c r="CQ259" s="189">
        <f xml:space="preserve"> Time!CQ$203</f>
        <v>0</v>
      </c>
      <c r="CR259" s="189">
        <f xml:space="preserve"> Time!CR$203</f>
        <v>0</v>
      </c>
      <c r="CS259" s="189">
        <f xml:space="preserve"> Time!CS$203</f>
        <v>0</v>
      </c>
      <c r="CT259" s="189">
        <f xml:space="preserve"> Time!CT$203</f>
        <v>0</v>
      </c>
      <c r="CU259" s="189">
        <f xml:space="preserve"> Time!CU$203</f>
        <v>0</v>
      </c>
      <c r="CV259" s="189">
        <f xml:space="preserve"> Time!CV$203</f>
        <v>0</v>
      </c>
    </row>
    <row r="260" spans="1:100" s="191" customFormat="1" ht="12.75" outlineLevel="2" x14ac:dyDescent="0.2">
      <c r="A260" s="236"/>
      <c r="B260" s="236"/>
      <c r="C260" s="237"/>
      <c r="D260" s="238"/>
      <c r="E260" s="1112" t="s">
        <v>1009</v>
      </c>
      <c r="F260" s="310"/>
      <c r="G260" s="310" t="str">
        <f xml:space="preserve"> SMU</f>
        <v>$ 000s</v>
      </c>
      <c r="H260" s="310">
        <f xml:space="preserve"> SUM(J260:CV260)</f>
        <v>125194.9208468405</v>
      </c>
      <c r="I260" s="310"/>
      <c r="J260" s="310">
        <f t="shared" ref="J260" si="186" xml:space="preserve"> J257 * J258 * J259</f>
        <v>0</v>
      </c>
      <c r="K260" s="310">
        <f t="shared" ref="K260" si="187" xml:space="preserve"> K257 * K258 * K259</f>
        <v>0</v>
      </c>
      <c r="L260" s="310">
        <f t="shared" ref="L260" si="188" xml:space="preserve"> L257 * L258 * L259</f>
        <v>0</v>
      </c>
      <c r="M260" s="310">
        <f t="shared" ref="M260" si="189" xml:space="preserve"> M257 * M258 * M259</f>
        <v>0</v>
      </c>
      <c r="N260" s="310">
        <f t="shared" ref="N260" si="190" xml:space="preserve"> N257 * N258 * N259</f>
        <v>0</v>
      </c>
      <c r="O260" s="310">
        <f t="shared" ref="O260" si="191" xml:space="preserve"> O257 * O258 * O259</f>
        <v>4104.1367264578148</v>
      </c>
      <c r="P260" s="310">
        <f t="shared" ref="P260" si="192" xml:space="preserve"> P257 * P258 * P259</f>
        <v>3390.1772115611284</v>
      </c>
      <c r="Q260" s="310">
        <f t="shared" ref="Q260" si="193" xml:space="preserve"> Q257 * Q258 * Q259</f>
        <v>3430.9811936349593</v>
      </c>
      <c r="R260" s="310">
        <f t="shared" ref="R260" si="194" xml:space="preserve"> R257 * R258 * R259</f>
        <v>3494.5807226787911</v>
      </c>
      <c r="S260" s="310">
        <f t="shared" ref="S260" si="195" xml:space="preserve"> S257 * S258 * S259</f>
        <v>3539.4478884684627</v>
      </c>
      <c r="T260" s="310">
        <f t="shared" ref="T260" si="196" xml:space="preserve"> T257 * T258 * T259</f>
        <v>3603.1549959910412</v>
      </c>
      <c r="U260" s="310">
        <f t="shared" ref="U260" si="197" xml:space="preserve"> U257 * U258 * U259</f>
        <v>3652.2453350973083</v>
      </c>
      <c r="V260" s="310">
        <f t="shared" ref="V260" si="198" xml:space="preserve"> V257 * V258 * V259</f>
        <v>3709.883575529293</v>
      </c>
      <c r="W260" s="310">
        <f t="shared" ref="W260" si="199" xml:space="preserve"> W257 * W258 * W259</f>
        <v>3760.5906341611048</v>
      </c>
      <c r="X260" s="310">
        <f t="shared" ref="X260" si="200" xml:space="preserve"> X257 * X258 * X259</f>
        <v>3833.1950941566461</v>
      </c>
      <c r="Y260" s="310">
        <f t="shared" ref="Y260" si="201" xml:space="preserve"> Y257 * Y258 * Y259</f>
        <v>3778.3107719302584</v>
      </c>
      <c r="Z260" s="310">
        <f t="shared" ref="Z260" si="202" xml:space="preserve"> Z257 * Z258 * Z259</f>
        <v>3845.5425474857038</v>
      </c>
      <c r="AA260" s="310">
        <f t="shared" ref="AA260" si="203" xml:space="preserve"> AA257 * AA258 * AA259</f>
        <v>3907.9077185207957</v>
      </c>
      <c r="AB260" s="310">
        <f t="shared" ref="AB260" si="204" xml:space="preserve"> AB257 * AB258 * AB259</f>
        <v>3975.4741536877914</v>
      </c>
      <c r="AC260" s="310">
        <f t="shared" ref="AC260" si="205" xml:space="preserve"> AC257 * AC258 * AC259</f>
        <v>4043.019164865741</v>
      </c>
      <c r="AD260" s="310">
        <f t="shared" ref="AD260" si="206" xml:space="preserve"> AD257 * AD258 * AD259</f>
        <v>4107.8130674431941</v>
      </c>
      <c r="AE260" s="310">
        <f t="shared" ref="AE260" si="207" xml:space="preserve"> AE257 * AE258 * AE259</f>
        <v>4175.2831214834869</v>
      </c>
      <c r="AF260" s="310">
        <f t="shared" ref="AF260" si="208" xml:space="preserve"> AF257 * AF258 * AF259</f>
        <v>4251.9476268568278</v>
      </c>
      <c r="AG260" s="310">
        <f t="shared" ref="AG260" si="209" xml:space="preserve"> AG257 * AG258 * AG259</f>
        <v>4330.5097683542117</v>
      </c>
      <c r="AH260" s="310">
        <f t="shared" ref="AH260" si="210" xml:space="preserve"> AH257 * AH258 * AH259</f>
        <v>4399.2689993220429</v>
      </c>
      <c r="AI260" s="310">
        <f t="shared" ref="AI260" si="211" xml:space="preserve"> AI257 * AI258 * AI259</f>
        <v>4398.1467781199999</v>
      </c>
      <c r="AJ260" s="310">
        <f t="shared" ref="AJ260" si="212" xml:space="preserve"> AJ257 * AJ258 * AJ259</f>
        <v>4472.4701809246981</v>
      </c>
      <c r="AK260" s="310">
        <f t="shared" ref="AK260" si="213" xml:space="preserve"> AK257 * AK258 * AK259</f>
        <v>4565.671136013324</v>
      </c>
      <c r="AL260" s="310">
        <f t="shared" ref="AL260" si="214" xml:space="preserve"> AL257 * AL258 * AL259</f>
        <v>4641.4870534674701</v>
      </c>
      <c r="AM260" s="310">
        <f t="shared" ref="AM260" si="215" xml:space="preserve"> AM257 * AM258 * AM259</f>
        <v>4732.6920811387417</v>
      </c>
      <c r="AN260" s="310">
        <f t="shared" ref="AN260" si="216" xml:space="preserve"> AN257 * AN258 * AN259</f>
        <v>4816.6577317371166</v>
      </c>
      <c r="AO260" s="310">
        <f t="shared" ref="AO260" si="217" xml:space="preserve"> AO257 * AO258 * AO259</f>
        <v>4924.0318882661059</v>
      </c>
      <c r="AP260" s="310">
        <f t="shared" ref="AP260" si="218" xml:space="preserve"> AP257 * AP258 * AP259</f>
        <v>5000.8628765229732</v>
      </c>
      <c r="AQ260" s="310">
        <f t="shared" ref="AQ260" si="219" xml:space="preserve"> AQ257 * AQ258 * AQ259</f>
        <v>5115.8219124765556</v>
      </c>
      <c r="AR260" s="310">
        <f t="shared" ref="AR260" si="220" xml:space="preserve"> AR257 * AR258 * AR259</f>
        <v>5193.608890486923</v>
      </c>
      <c r="AS260" s="310">
        <f t="shared" ref="AS260" si="221" xml:space="preserve"> AS257 * AS258 * AS259</f>
        <v>0</v>
      </c>
      <c r="AT260" s="310">
        <f t="shared" ref="AT260" si="222" xml:space="preserve"> AT257 * AT258 * AT259</f>
        <v>0</v>
      </c>
      <c r="AU260" s="310">
        <f t="shared" ref="AU260" si="223" xml:space="preserve"> AU257 * AU258 * AU259</f>
        <v>0</v>
      </c>
      <c r="AV260" s="310">
        <f t="shared" ref="AV260" si="224" xml:space="preserve"> AV257 * AV258 * AV259</f>
        <v>0</v>
      </c>
      <c r="AW260" s="310">
        <f t="shared" ref="AW260" si="225" xml:space="preserve"> AW257 * AW258 * AW259</f>
        <v>0</v>
      </c>
      <c r="AX260" s="310">
        <f t="shared" ref="AX260" si="226" xml:space="preserve"> AX257 * AX258 * AX259</f>
        <v>0</v>
      </c>
      <c r="AY260" s="310">
        <f t="shared" ref="AY260" si="227" xml:space="preserve"> AY257 * AY258 * AY259</f>
        <v>0</v>
      </c>
      <c r="AZ260" s="310">
        <f t="shared" ref="AZ260" si="228" xml:space="preserve"> AZ257 * AZ258 * AZ259</f>
        <v>0</v>
      </c>
      <c r="BA260" s="310">
        <f t="shared" ref="BA260" si="229" xml:space="preserve"> BA257 * BA258 * BA259</f>
        <v>0</v>
      </c>
      <c r="BB260" s="310">
        <f t="shared" ref="BB260" si="230" xml:space="preserve"> BB257 * BB258 * BB259</f>
        <v>0</v>
      </c>
      <c r="BC260" s="310">
        <f t="shared" ref="BC260" si="231" xml:space="preserve"> BC257 * BC258 * BC259</f>
        <v>0</v>
      </c>
      <c r="BD260" s="310">
        <f t="shared" ref="BD260" si="232" xml:space="preserve"> BD257 * BD258 * BD259</f>
        <v>0</v>
      </c>
      <c r="BE260" s="310">
        <f t="shared" ref="BE260" si="233" xml:space="preserve"> BE257 * BE258 * BE259</f>
        <v>0</v>
      </c>
      <c r="BF260" s="310">
        <f t="shared" ref="BF260" si="234" xml:space="preserve"> BF257 * BF258 * BF259</f>
        <v>0</v>
      </c>
      <c r="BG260" s="310">
        <f t="shared" ref="BG260" si="235" xml:space="preserve"> BG257 * BG258 * BG259</f>
        <v>0</v>
      </c>
      <c r="BH260" s="310">
        <f t="shared" ref="BH260" si="236" xml:space="preserve"> BH257 * BH258 * BH259</f>
        <v>0</v>
      </c>
      <c r="BI260" s="310">
        <f t="shared" ref="BI260" si="237" xml:space="preserve"> BI257 * BI258 * BI259</f>
        <v>0</v>
      </c>
      <c r="BJ260" s="310">
        <f t="shared" ref="BJ260" si="238" xml:space="preserve"> BJ257 * BJ258 * BJ259</f>
        <v>0</v>
      </c>
      <c r="BK260" s="310">
        <f t="shared" ref="BK260" si="239" xml:space="preserve"> BK257 * BK258 * BK259</f>
        <v>0</v>
      </c>
      <c r="BL260" s="310">
        <f t="shared" ref="BL260" si="240" xml:space="preserve"> BL257 * BL258 * BL259</f>
        <v>0</v>
      </c>
      <c r="BM260" s="310">
        <f t="shared" ref="BM260" si="241" xml:space="preserve"> BM257 * BM258 * BM259</f>
        <v>0</v>
      </c>
      <c r="BN260" s="310">
        <f t="shared" ref="BN260" si="242" xml:space="preserve"> BN257 * BN258 * BN259</f>
        <v>0</v>
      </c>
      <c r="BO260" s="310">
        <f t="shared" ref="BO260" si="243" xml:space="preserve"> BO257 * BO258 * BO259</f>
        <v>0</v>
      </c>
      <c r="BP260" s="310">
        <f t="shared" ref="BP260" si="244" xml:space="preserve"> BP257 * BP258 * BP259</f>
        <v>0</v>
      </c>
      <c r="BQ260" s="310">
        <f t="shared" ref="BQ260" si="245" xml:space="preserve"> BQ257 * BQ258 * BQ259</f>
        <v>0</v>
      </c>
      <c r="BR260" s="310">
        <f t="shared" ref="BR260" si="246" xml:space="preserve"> BR257 * BR258 * BR259</f>
        <v>0</v>
      </c>
      <c r="BS260" s="310">
        <f t="shared" ref="BS260" si="247" xml:space="preserve"> BS257 * BS258 * BS259</f>
        <v>0</v>
      </c>
      <c r="BT260" s="310">
        <f t="shared" ref="BT260" si="248" xml:space="preserve"> BT257 * BT258 * BT259</f>
        <v>0</v>
      </c>
      <c r="BU260" s="310">
        <f t="shared" ref="BU260" si="249" xml:space="preserve"> BU257 * BU258 * BU259</f>
        <v>0</v>
      </c>
      <c r="BV260" s="310">
        <f t="shared" ref="BV260" si="250" xml:space="preserve"> BV257 * BV258 * BV259</f>
        <v>0</v>
      </c>
      <c r="BW260" s="310">
        <f t="shared" ref="BW260" si="251" xml:space="preserve"> BW257 * BW258 * BW259</f>
        <v>0</v>
      </c>
      <c r="BX260" s="310">
        <f t="shared" ref="BX260" si="252" xml:space="preserve"> BX257 * BX258 * BX259</f>
        <v>0</v>
      </c>
      <c r="BY260" s="310">
        <f t="shared" ref="BY260" si="253" xml:space="preserve"> BY257 * BY258 * BY259</f>
        <v>0</v>
      </c>
      <c r="BZ260" s="310">
        <f t="shared" ref="BZ260" si="254" xml:space="preserve"> BZ257 * BZ258 * BZ259</f>
        <v>0</v>
      </c>
      <c r="CA260" s="310">
        <f t="shared" ref="CA260" si="255" xml:space="preserve"> CA257 * CA258 * CA259</f>
        <v>0</v>
      </c>
      <c r="CB260" s="310">
        <f t="shared" ref="CB260" si="256" xml:space="preserve"> CB257 * CB258 * CB259</f>
        <v>0</v>
      </c>
      <c r="CC260" s="310">
        <f t="shared" ref="CC260" si="257" xml:space="preserve"> CC257 * CC258 * CC259</f>
        <v>0</v>
      </c>
      <c r="CD260" s="310">
        <f t="shared" ref="CD260" si="258" xml:space="preserve"> CD257 * CD258 * CD259</f>
        <v>0</v>
      </c>
      <c r="CE260" s="310">
        <f t="shared" ref="CE260" si="259" xml:space="preserve"> CE257 * CE258 * CE259</f>
        <v>0</v>
      </c>
      <c r="CF260" s="310">
        <f t="shared" ref="CF260" si="260" xml:space="preserve"> CF257 * CF258 * CF259</f>
        <v>0</v>
      </c>
      <c r="CG260" s="310">
        <f t="shared" ref="CG260" si="261" xml:space="preserve"> CG257 * CG258 * CG259</f>
        <v>0</v>
      </c>
      <c r="CH260" s="310">
        <f t="shared" ref="CH260" si="262" xml:space="preserve"> CH257 * CH258 * CH259</f>
        <v>0</v>
      </c>
      <c r="CI260" s="310">
        <f t="shared" ref="CI260" si="263" xml:space="preserve"> CI257 * CI258 * CI259</f>
        <v>0</v>
      </c>
      <c r="CJ260" s="310">
        <f t="shared" ref="CJ260" si="264" xml:space="preserve"> CJ257 * CJ258 * CJ259</f>
        <v>0</v>
      </c>
      <c r="CK260" s="310">
        <f t="shared" ref="CK260" si="265" xml:space="preserve"> CK257 * CK258 * CK259</f>
        <v>0</v>
      </c>
      <c r="CL260" s="310">
        <f t="shared" ref="CL260" si="266" xml:space="preserve"> CL257 * CL258 * CL259</f>
        <v>0</v>
      </c>
      <c r="CM260" s="310">
        <f t="shared" ref="CM260" si="267" xml:space="preserve"> CM257 * CM258 * CM259</f>
        <v>0</v>
      </c>
      <c r="CN260" s="310">
        <f t="shared" ref="CN260" si="268" xml:space="preserve"> CN257 * CN258 * CN259</f>
        <v>0</v>
      </c>
      <c r="CO260" s="310">
        <f t="shared" ref="CO260" si="269" xml:space="preserve"> CO257 * CO258 * CO259</f>
        <v>0</v>
      </c>
      <c r="CP260" s="310">
        <f t="shared" ref="CP260" si="270" xml:space="preserve"> CP257 * CP258 * CP259</f>
        <v>0</v>
      </c>
      <c r="CQ260" s="310">
        <f t="shared" ref="CQ260" si="271" xml:space="preserve"> CQ257 * CQ258 * CQ259</f>
        <v>0</v>
      </c>
      <c r="CR260" s="310">
        <f t="shared" ref="CR260" si="272" xml:space="preserve"> CR257 * CR258 * CR259</f>
        <v>0</v>
      </c>
      <c r="CS260" s="310">
        <f t="shared" ref="CS260" si="273" xml:space="preserve"> CS257 * CS258 * CS259</f>
        <v>0</v>
      </c>
      <c r="CT260" s="310">
        <f t="shared" ref="CT260" si="274" xml:space="preserve"> CT257 * CT258 * CT259</f>
        <v>0</v>
      </c>
      <c r="CU260" s="310">
        <f t="shared" ref="CU260" si="275" xml:space="preserve"> CU257 * CU258 * CU259</f>
        <v>0</v>
      </c>
      <c r="CV260" s="310">
        <f t="shared" ref="CV260" si="276" xml:space="preserve"> CV257 * CV258 * CV259</f>
        <v>0</v>
      </c>
    </row>
    <row r="261" spans="1:100" ht="12.75" outlineLevel="2" x14ac:dyDescent="0.2">
      <c r="A261" s="236"/>
      <c r="B261" s="236"/>
      <c r="C261" s="237"/>
      <c r="D261" s="238"/>
      <c r="E261" s="310"/>
      <c r="F261" s="310"/>
      <c r="G261" s="310"/>
      <c r="H261" s="310"/>
      <c r="I261" s="310"/>
      <c r="J261" s="310"/>
      <c r="K261" s="310"/>
      <c r="L261" s="310"/>
      <c r="M261" s="310"/>
      <c r="N261" s="310"/>
      <c r="O261" s="310"/>
      <c r="P261" s="310"/>
      <c r="Q261" s="310"/>
      <c r="R261" s="310"/>
      <c r="S261" s="310"/>
      <c r="T261" s="310"/>
      <c r="U261" s="310"/>
      <c r="V261" s="310"/>
      <c r="W261" s="310"/>
      <c r="X261" s="310"/>
      <c r="Y261" s="310"/>
      <c r="Z261" s="310"/>
      <c r="AA261" s="310"/>
      <c r="AB261" s="310"/>
      <c r="AC261" s="310"/>
      <c r="AD261" s="310"/>
      <c r="AE261" s="310"/>
      <c r="AF261" s="310"/>
      <c r="AG261" s="310"/>
      <c r="AH261" s="310"/>
      <c r="AI261" s="310"/>
      <c r="AJ261" s="310"/>
      <c r="AK261" s="310"/>
      <c r="AL261" s="310"/>
      <c r="AM261" s="310"/>
      <c r="AN261" s="310"/>
      <c r="AO261" s="310"/>
      <c r="AP261" s="310"/>
      <c r="AQ261" s="310"/>
      <c r="AR261" s="310"/>
      <c r="AS261" s="310"/>
      <c r="AT261" s="310"/>
      <c r="AU261" s="310"/>
      <c r="AV261" s="310"/>
      <c r="AW261" s="310"/>
      <c r="AX261" s="310"/>
      <c r="AY261" s="310"/>
      <c r="AZ261" s="310"/>
      <c r="BA261" s="310"/>
      <c r="BB261" s="310"/>
      <c r="BC261" s="310"/>
      <c r="BD261" s="310"/>
      <c r="BE261" s="310"/>
      <c r="BF261" s="310"/>
      <c r="BG261" s="310"/>
      <c r="BH261" s="310"/>
      <c r="BI261" s="310"/>
      <c r="BJ261" s="310"/>
      <c r="BK261" s="310"/>
      <c r="BL261" s="310"/>
      <c r="BM261" s="310"/>
      <c r="BN261" s="310"/>
      <c r="BO261" s="310"/>
      <c r="BP261" s="310"/>
      <c r="BQ261" s="310"/>
      <c r="BR261" s="310"/>
      <c r="BS261" s="310"/>
      <c r="BT261" s="310"/>
      <c r="BU261" s="310"/>
      <c r="BV261" s="310"/>
      <c r="BW261" s="310"/>
      <c r="BX261" s="310"/>
      <c r="BY261" s="310"/>
      <c r="BZ261" s="310"/>
      <c r="CA261" s="310"/>
      <c r="CB261" s="310"/>
      <c r="CC261" s="310"/>
      <c r="CD261" s="310"/>
      <c r="CE261" s="310"/>
      <c r="CF261" s="310"/>
      <c r="CG261" s="310"/>
      <c r="CH261" s="310"/>
      <c r="CI261" s="310"/>
      <c r="CJ261" s="310"/>
      <c r="CK261" s="310"/>
      <c r="CL261" s="310"/>
      <c r="CM261" s="310"/>
      <c r="CN261" s="310"/>
      <c r="CO261" s="310"/>
      <c r="CP261" s="310"/>
      <c r="CQ261" s="310"/>
      <c r="CR261" s="310"/>
      <c r="CS261" s="310"/>
      <c r="CT261" s="310"/>
      <c r="CU261" s="310"/>
      <c r="CV261" s="310"/>
    </row>
    <row r="262" spans="1:100" ht="12.75" outlineLevel="2" x14ac:dyDescent="0.2">
      <c r="A262" s="236"/>
      <c r="B262" s="236"/>
      <c r="D262" s="237" t="s">
        <v>216</v>
      </c>
      <c r="E262" s="310"/>
      <c r="F262" s="310"/>
      <c r="G262" s="310"/>
      <c r="H262" s="310"/>
      <c r="I262" s="310"/>
      <c r="J262" s="310"/>
      <c r="K262" s="310"/>
      <c r="L262" s="310"/>
      <c r="M262" s="310"/>
      <c r="N262" s="310"/>
      <c r="O262" s="310"/>
      <c r="P262" s="310"/>
      <c r="Q262" s="310"/>
      <c r="R262" s="310"/>
      <c r="S262" s="310"/>
      <c r="T262" s="310"/>
      <c r="U262" s="310"/>
      <c r="V262" s="310"/>
      <c r="W262" s="310"/>
      <c r="X262" s="310"/>
      <c r="Y262" s="310"/>
      <c r="Z262" s="310"/>
      <c r="AA262" s="310"/>
      <c r="AB262" s="310"/>
      <c r="AC262" s="310"/>
      <c r="AD262" s="310"/>
      <c r="AE262" s="310"/>
      <c r="AF262" s="310"/>
      <c r="AG262" s="310"/>
      <c r="AH262" s="310"/>
      <c r="AI262" s="310"/>
      <c r="AJ262" s="310"/>
      <c r="AK262" s="310"/>
      <c r="AL262" s="310"/>
      <c r="AM262" s="310"/>
      <c r="AN262" s="310"/>
      <c r="AO262" s="310"/>
      <c r="AP262" s="310"/>
      <c r="AQ262" s="310"/>
      <c r="AR262" s="310"/>
      <c r="AS262" s="310"/>
      <c r="AT262" s="310"/>
      <c r="AU262" s="310"/>
      <c r="AV262" s="310"/>
      <c r="AW262" s="310"/>
      <c r="AX262" s="310"/>
      <c r="AY262" s="310"/>
      <c r="AZ262" s="310"/>
      <c r="BA262" s="310"/>
      <c r="BB262" s="310"/>
      <c r="BC262" s="310"/>
      <c r="BD262" s="310"/>
      <c r="BE262" s="310"/>
      <c r="BF262" s="310"/>
      <c r="BG262" s="310"/>
      <c r="BH262" s="310"/>
      <c r="BI262" s="310"/>
      <c r="BJ262" s="310"/>
      <c r="BK262" s="310"/>
      <c r="BL262" s="310"/>
      <c r="BM262" s="310"/>
      <c r="BN262" s="310"/>
      <c r="BO262" s="310"/>
      <c r="BP262" s="310"/>
      <c r="BQ262" s="310"/>
      <c r="BR262" s="310"/>
      <c r="BS262" s="310"/>
      <c r="BT262" s="310"/>
      <c r="BU262" s="310"/>
      <c r="BV262" s="310"/>
      <c r="BW262" s="310"/>
      <c r="BX262" s="310"/>
      <c r="BY262" s="310"/>
      <c r="BZ262" s="310"/>
      <c r="CA262" s="310"/>
      <c r="CB262" s="310"/>
      <c r="CC262" s="310"/>
      <c r="CD262" s="310"/>
      <c r="CE262" s="310"/>
      <c r="CF262" s="310"/>
      <c r="CG262" s="310"/>
      <c r="CH262" s="310"/>
      <c r="CI262" s="310"/>
      <c r="CJ262" s="310"/>
      <c r="CK262" s="310"/>
      <c r="CL262" s="310"/>
      <c r="CM262" s="310"/>
      <c r="CN262" s="310"/>
      <c r="CO262" s="310"/>
      <c r="CP262" s="310"/>
      <c r="CQ262" s="310"/>
      <c r="CR262" s="310"/>
      <c r="CS262" s="310"/>
      <c r="CT262" s="310"/>
      <c r="CU262" s="310"/>
      <c r="CV262" s="310"/>
    </row>
    <row r="263" spans="1:100" ht="12.75" outlineLevel="2" x14ac:dyDescent="0.2">
      <c r="A263" s="522"/>
      <c r="B263" s="522"/>
      <c r="C263" s="523"/>
      <c r="D263" s="524"/>
      <c r="E263" s="705" t="str">
        <f xml:space="preserve"> Time!E$195</f>
        <v>Senior debt repayment period start flag - T2</v>
      </c>
      <c r="F263" s="705">
        <f xml:space="preserve"> Time!F$195</f>
        <v>0</v>
      </c>
      <c r="G263" s="705" t="str">
        <f xml:space="preserve"> Time!G$195</f>
        <v>flag</v>
      </c>
      <c r="H263" s="705">
        <f xml:space="preserve"> Time!H$195</f>
        <v>1</v>
      </c>
      <c r="I263" s="705">
        <f xml:space="preserve"> Time!I$195</f>
        <v>0</v>
      </c>
      <c r="J263" s="705">
        <f xml:space="preserve"> Time!J$195</f>
        <v>0</v>
      </c>
      <c r="K263" s="705">
        <f xml:space="preserve"> Time!K$195</f>
        <v>0</v>
      </c>
      <c r="L263" s="705">
        <f xml:space="preserve"> Time!L$195</f>
        <v>0</v>
      </c>
      <c r="M263" s="705">
        <f xml:space="preserve"> Time!M$195</f>
        <v>0</v>
      </c>
      <c r="N263" s="705">
        <f xml:space="preserve"> Time!N$195</f>
        <v>0</v>
      </c>
      <c r="O263" s="705">
        <f xml:space="preserve"> Time!O$195</f>
        <v>1</v>
      </c>
      <c r="P263" s="705">
        <f xml:space="preserve"> Time!P$195</f>
        <v>0</v>
      </c>
      <c r="Q263" s="705">
        <f xml:space="preserve"> Time!Q$195</f>
        <v>0</v>
      </c>
      <c r="R263" s="705">
        <f xml:space="preserve"> Time!R$195</f>
        <v>0</v>
      </c>
      <c r="S263" s="705">
        <f xml:space="preserve"> Time!S$195</f>
        <v>0</v>
      </c>
      <c r="T263" s="705">
        <f xml:space="preserve"> Time!T$195</f>
        <v>0</v>
      </c>
      <c r="U263" s="705">
        <f xml:space="preserve"> Time!U$195</f>
        <v>0</v>
      </c>
      <c r="V263" s="705">
        <f xml:space="preserve"> Time!V$195</f>
        <v>0</v>
      </c>
      <c r="W263" s="705">
        <f xml:space="preserve"> Time!W$195</f>
        <v>0</v>
      </c>
      <c r="X263" s="705">
        <f xml:space="preserve"> Time!X$195</f>
        <v>0</v>
      </c>
      <c r="Y263" s="705">
        <f xml:space="preserve"> Time!Y$195</f>
        <v>0</v>
      </c>
      <c r="Z263" s="705">
        <f xml:space="preserve"> Time!Z$195</f>
        <v>0</v>
      </c>
      <c r="AA263" s="705">
        <f xml:space="preserve"> Time!AA$195</f>
        <v>0</v>
      </c>
      <c r="AB263" s="705">
        <f xml:space="preserve"> Time!AB$195</f>
        <v>0</v>
      </c>
      <c r="AC263" s="705">
        <f xml:space="preserve"> Time!AC$195</f>
        <v>0</v>
      </c>
      <c r="AD263" s="705">
        <f xml:space="preserve"> Time!AD$195</f>
        <v>0</v>
      </c>
      <c r="AE263" s="705">
        <f xml:space="preserve"> Time!AE$195</f>
        <v>0</v>
      </c>
      <c r="AF263" s="705">
        <f xml:space="preserve"> Time!AF$195</f>
        <v>0</v>
      </c>
      <c r="AG263" s="705">
        <f xml:space="preserve"> Time!AG$195</f>
        <v>0</v>
      </c>
      <c r="AH263" s="705">
        <f xml:space="preserve"> Time!AH$195</f>
        <v>0</v>
      </c>
      <c r="AI263" s="705">
        <f xml:space="preserve"> Time!AI$195</f>
        <v>0</v>
      </c>
      <c r="AJ263" s="705">
        <f xml:space="preserve"> Time!AJ$195</f>
        <v>0</v>
      </c>
      <c r="AK263" s="705">
        <f xml:space="preserve"> Time!AK$195</f>
        <v>0</v>
      </c>
      <c r="AL263" s="705">
        <f xml:space="preserve"> Time!AL$195</f>
        <v>0</v>
      </c>
      <c r="AM263" s="705">
        <f xml:space="preserve"> Time!AM$195</f>
        <v>0</v>
      </c>
      <c r="AN263" s="705">
        <f xml:space="preserve"> Time!AN$195</f>
        <v>0</v>
      </c>
      <c r="AO263" s="705">
        <f xml:space="preserve"> Time!AO$195</f>
        <v>0</v>
      </c>
      <c r="AP263" s="705">
        <f xml:space="preserve"> Time!AP$195</f>
        <v>0</v>
      </c>
      <c r="AQ263" s="705">
        <f xml:space="preserve"> Time!AQ$195</f>
        <v>0</v>
      </c>
      <c r="AR263" s="705">
        <f xml:space="preserve"> Time!AR$195</f>
        <v>0</v>
      </c>
      <c r="AS263" s="705">
        <f xml:space="preserve"> Time!AS$195</f>
        <v>0</v>
      </c>
      <c r="AT263" s="705">
        <f xml:space="preserve"> Time!AT$195</f>
        <v>0</v>
      </c>
      <c r="AU263" s="705">
        <f xml:space="preserve"> Time!AU$195</f>
        <v>0</v>
      </c>
      <c r="AV263" s="705">
        <f xml:space="preserve"> Time!AV$195</f>
        <v>0</v>
      </c>
      <c r="AW263" s="705">
        <f xml:space="preserve"> Time!AW$195</f>
        <v>0</v>
      </c>
      <c r="AX263" s="705">
        <f xml:space="preserve"> Time!AX$195</f>
        <v>0</v>
      </c>
      <c r="AY263" s="705">
        <f xml:space="preserve"> Time!AY$195</f>
        <v>0</v>
      </c>
      <c r="AZ263" s="705">
        <f xml:space="preserve"> Time!AZ$195</f>
        <v>0</v>
      </c>
      <c r="BA263" s="705">
        <f xml:space="preserve"> Time!BA$195</f>
        <v>0</v>
      </c>
      <c r="BB263" s="705">
        <f xml:space="preserve"> Time!BB$195</f>
        <v>0</v>
      </c>
      <c r="BC263" s="705">
        <f xml:space="preserve"> Time!BC$195</f>
        <v>0</v>
      </c>
      <c r="BD263" s="705">
        <f xml:space="preserve"> Time!BD$195</f>
        <v>0</v>
      </c>
      <c r="BE263" s="705">
        <f xml:space="preserve"> Time!BE$195</f>
        <v>0</v>
      </c>
      <c r="BF263" s="705">
        <f xml:space="preserve"> Time!BF$195</f>
        <v>0</v>
      </c>
      <c r="BG263" s="705">
        <f xml:space="preserve"> Time!BG$195</f>
        <v>0</v>
      </c>
      <c r="BH263" s="705">
        <f xml:space="preserve"> Time!BH$195</f>
        <v>0</v>
      </c>
      <c r="BI263" s="705">
        <f xml:space="preserve"> Time!BI$195</f>
        <v>0</v>
      </c>
      <c r="BJ263" s="705">
        <f xml:space="preserve"> Time!BJ$195</f>
        <v>0</v>
      </c>
      <c r="BK263" s="705">
        <f xml:space="preserve"> Time!BK$195</f>
        <v>0</v>
      </c>
      <c r="BL263" s="705">
        <f xml:space="preserve"> Time!BL$195</f>
        <v>0</v>
      </c>
      <c r="BM263" s="705">
        <f xml:space="preserve"> Time!BM$195</f>
        <v>0</v>
      </c>
      <c r="BN263" s="705">
        <f xml:space="preserve"> Time!BN$195</f>
        <v>0</v>
      </c>
      <c r="BO263" s="705">
        <f xml:space="preserve"> Time!BO$195</f>
        <v>0</v>
      </c>
      <c r="BP263" s="705">
        <f xml:space="preserve"> Time!BP$195</f>
        <v>0</v>
      </c>
      <c r="BQ263" s="705">
        <f xml:space="preserve"> Time!BQ$195</f>
        <v>0</v>
      </c>
      <c r="BR263" s="705">
        <f xml:space="preserve"> Time!BR$195</f>
        <v>0</v>
      </c>
      <c r="BS263" s="705">
        <f xml:space="preserve"> Time!BS$195</f>
        <v>0</v>
      </c>
      <c r="BT263" s="705">
        <f xml:space="preserve"> Time!BT$195</f>
        <v>0</v>
      </c>
      <c r="BU263" s="705">
        <f xml:space="preserve"> Time!BU$195</f>
        <v>0</v>
      </c>
      <c r="BV263" s="705">
        <f xml:space="preserve"> Time!BV$195</f>
        <v>0</v>
      </c>
      <c r="BW263" s="705">
        <f xml:space="preserve"> Time!BW$195</f>
        <v>0</v>
      </c>
      <c r="BX263" s="705">
        <f xml:space="preserve"> Time!BX$195</f>
        <v>0</v>
      </c>
      <c r="BY263" s="705">
        <f xml:space="preserve"> Time!BY$195</f>
        <v>0</v>
      </c>
      <c r="BZ263" s="705">
        <f xml:space="preserve"> Time!BZ$195</f>
        <v>0</v>
      </c>
      <c r="CA263" s="705">
        <f xml:space="preserve"> Time!CA$195</f>
        <v>0</v>
      </c>
      <c r="CB263" s="705">
        <f xml:space="preserve"> Time!CB$195</f>
        <v>0</v>
      </c>
      <c r="CC263" s="705">
        <f xml:space="preserve"> Time!CC$195</f>
        <v>0</v>
      </c>
      <c r="CD263" s="705">
        <f xml:space="preserve"> Time!CD$195</f>
        <v>0</v>
      </c>
      <c r="CE263" s="705">
        <f xml:space="preserve"> Time!CE$195</f>
        <v>0</v>
      </c>
      <c r="CF263" s="705">
        <f xml:space="preserve"> Time!CF$195</f>
        <v>0</v>
      </c>
      <c r="CG263" s="705">
        <f xml:space="preserve"> Time!CG$195</f>
        <v>0</v>
      </c>
      <c r="CH263" s="705">
        <f xml:space="preserve"> Time!CH$195</f>
        <v>0</v>
      </c>
      <c r="CI263" s="705">
        <f xml:space="preserve"> Time!CI$195</f>
        <v>0</v>
      </c>
      <c r="CJ263" s="705">
        <f xml:space="preserve"> Time!CJ$195</f>
        <v>0</v>
      </c>
      <c r="CK263" s="705">
        <f xml:space="preserve"> Time!CK$195</f>
        <v>0</v>
      </c>
      <c r="CL263" s="705">
        <f xml:space="preserve"> Time!CL$195</f>
        <v>0</v>
      </c>
      <c r="CM263" s="705">
        <f xml:space="preserve"> Time!CM$195</f>
        <v>0</v>
      </c>
      <c r="CN263" s="705">
        <f xml:space="preserve"> Time!CN$195</f>
        <v>0</v>
      </c>
      <c r="CO263" s="705">
        <f xml:space="preserve"> Time!CO$195</f>
        <v>0</v>
      </c>
      <c r="CP263" s="705">
        <f xml:space="preserve"> Time!CP$195</f>
        <v>0</v>
      </c>
      <c r="CQ263" s="705">
        <f xml:space="preserve"> Time!CQ$195</f>
        <v>0</v>
      </c>
      <c r="CR263" s="705">
        <f xml:space="preserve"> Time!CR$195</f>
        <v>0</v>
      </c>
      <c r="CS263" s="705">
        <f xml:space="preserve"> Time!CS$195</f>
        <v>0</v>
      </c>
      <c r="CT263" s="705">
        <f xml:space="preserve"> Time!CT$195</f>
        <v>0</v>
      </c>
      <c r="CU263" s="705">
        <f xml:space="preserve"> Time!CU$195</f>
        <v>0</v>
      </c>
      <c r="CV263" s="705">
        <f xml:space="preserve"> Time!CV$195</f>
        <v>0</v>
      </c>
    </row>
    <row r="264" spans="1:100" ht="12.75" outlineLevel="2" x14ac:dyDescent="0.2">
      <c r="A264" s="522"/>
      <c r="B264" s="522"/>
      <c r="C264" s="523"/>
      <c r="D264" s="524"/>
      <c r="E264" s="681" t="str">
        <f t="shared" ref="E264:AJ264" si="277" xml:space="preserve"> E$344</f>
        <v>Senior debt period interest rate - T2</v>
      </c>
      <c r="F264" s="681">
        <f t="shared" si="277"/>
        <v>0</v>
      </c>
      <c r="G264" s="681" t="str">
        <f t="shared" si="277"/>
        <v>%</v>
      </c>
      <c r="H264" s="681">
        <f t="shared" si="277"/>
        <v>0</v>
      </c>
      <c r="I264" s="681">
        <f t="shared" si="277"/>
        <v>0</v>
      </c>
      <c r="J264" s="681">
        <f t="shared" si="277"/>
        <v>8.5472222222222234E-3</v>
      </c>
      <c r="K264" s="681">
        <f t="shared" si="277"/>
        <v>8.6888888888888901E-3</v>
      </c>
      <c r="L264" s="681">
        <f t="shared" si="277"/>
        <v>8.5472222222222234E-3</v>
      </c>
      <c r="M264" s="681">
        <f t="shared" si="277"/>
        <v>8.6888888888888901E-3</v>
      </c>
      <c r="N264" s="681">
        <f t="shared" si="277"/>
        <v>8.5944444444444462E-3</v>
      </c>
      <c r="O264" s="681">
        <f t="shared" si="277"/>
        <v>2.4022222222222223E-2</v>
      </c>
      <c r="P264" s="681">
        <f t="shared" si="277"/>
        <v>2.3630555555555554E-2</v>
      </c>
      <c r="Q264" s="681">
        <f t="shared" si="277"/>
        <v>2.4022222222222223E-2</v>
      </c>
      <c r="R264" s="681">
        <f t="shared" si="277"/>
        <v>2.3630555555555554E-2</v>
      </c>
      <c r="S264" s="681">
        <f t="shared" si="277"/>
        <v>2.4022222222222223E-2</v>
      </c>
      <c r="T264" s="681">
        <f t="shared" si="277"/>
        <v>2.3630555555555554E-2</v>
      </c>
      <c r="U264" s="681">
        <f t="shared" si="277"/>
        <v>2.4022222222222223E-2</v>
      </c>
      <c r="V264" s="681">
        <f t="shared" si="277"/>
        <v>2.3761111111111111E-2</v>
      </c>
      <c r="W264" s="681">
        <f t="shared" si="277"/>
        <v>2.4022222222222223E-2</v>
      </c>
      <c r="X264" s="681">
        <f t="shared" si="277"/>
        <v>2.3630555555555554E-2</v>
      </c>
      <c r="Y264" s="681">
        <f t="shared" si="277"/>
        <v>2.5044444444444449E-2</v>
      </c>
      <c r="Z264" s="681">
        <f t="shared" si="277"/>
        <v>2.4636111111111116E-2</v>
      </c>
      <c r="AA264" s="681">
        <f t="shared" si="277"/>
        <v>2.5044444444444449E-2</v>
      </c>
      <c r="AB264" s="681">
        <f t="shared" si="277"/>
        <v>2.4636111111111116E-2</v>
      </c>
      <c r="AC264" s="681">
        <f t="shared" si="277"/>
        <v>2.5044444444444449E-2</v>
      </c>
      <c r="AD264" s="681">
        <f t="shared" si="277"/>
        <v>2.4772222222222227E-2</v>
      </c>
      <c r="AE264" s="681">
        <f t="shared" si="277"/>
        <v>2.5044444444444449E-2</v>
      </c>
      <c r="AF264" s="681">
        <f t="shared" si="277"/>
        <v>2.4636111111111116E-2</v>
      </c>
      <c r="AG264" s="681">
        <f t="shared" si="277"/>
        <v>2.5044444444444449E-2</v>
      </c>
      <c r="AH264" s="681">
        <f t="shared" si="277"/>
        <v>2.4636111111111116E-2</v>
      </c>
      <c r="AI264" s="681">
        <f t="shared" si="277"/>
        <v>2.657777777777778E-2</v>
      </c>
      <c r="AJ264" s="681">
        <f t="shared" si="277"/>
        <v>2.6144444444444449E-2</v>
      </c>
      <c r="AK264" s="681">
        <f t="shared" ref="AK264:BP264" si="278" xml:space="preserve"> AK$344</f>
        <v>2.657777777777778E-2</v>
      </c>
      <c r="AL264" s="681">
        <f t="shared" si="278"/>
        <v>2.6288888888888893E-2</v>
      </c>
      <c r="AM264" s="681">
        <f t="shared" si="278"/>
        <v>2.657777777777778E-2</v>
      </c>
      <c r="AN264" s="681">
        <f t="shared" si="278"/>
        <v>2.6144444444444449E-2</v>
      </c>
      <c r="AO264" s="681">
        <f t="shared" si="278"/>
        <v>2.657777777777778E-2</v>
      </c>
      <c r="AP264" s="681">
        <f t="shared" si="278"/>
        <v>2.6144444444444449E-2</v>
      </c>
      <c r="AQ264" s="681">
        <f t="shared" si="278"/>
        <v>2.657777777777778E-2</v>
      </c>
      <c r="AR264" s="681">
        <f t="shared" si="278"/>
        <v>2.6144444444444449E-2</v>
      </c>
      <c r="AS264" s="681">
        <f t="shared" si="278"/>
        <v>2.657777777777778E-2</v>
      </c>
      <c r="AT264" s="681">
        <f t="shared" si="278"/>
        <v>2.6288888888888893E-2</v>
      </c>
      <c r="AU264" s="681">
        <f t="shared" si="278"/>
        <v>2.657777777777778E-2</v>
      </c>
      <c r="AV264" s="681">
        <f t="shared" si="278"/>
        <v>2.6144444444444449E-2</v>
      </c>
      <c r="AW264" s="681">
        <f t="shared" si="278"/>
        <v>8.6888888888888901E-3</v>
      </c>
      <c r="AX264" s="681">
        <f t="shared" si="278"/>
        <v>8.5472222222222234E-3</v>
      </c>
      <c r="AY264" s="681">
        <f t="shared" si="278"/>
        <v>8.6888888888888901E-3</v>
      </c>
      <c r="AZ264" s="681">
        <f t="shared" si="278"/>
        <v>8.5472222222222234E-3</v>
      </c>
      <c r="BA264" s="681">
        <f t="shared" si="278"/>
        <v>8.6888888888888901E-3</v>
      </c>
      <c r="BB264" s="681">
        <f t="shared" si="278"/>
        <v>8.5944444444444462E-3</v>
      </c>
      <c r="BC264" s="681">
        <f t="shared" si="278"/>
        <v>8.6888888888888901E-3</v>
      </c>
      <c r="BD264" s="681">
        <f t="shared" si="278"/>
        <v>8.5472222222222234E-3</v>
      </c>
      <c r="BE264" s="681">
        <f t="shared" si="278"/>
        <v>8.6888888888888901E-3</v>
      </c>
      <c r="BF264" s="681">
        <f t="shared" si="278"/>
        <v>8.5472222222222234E-3</v>
      </c>
      <c r="BG264" s="681">
        <f t="shared" si="278"/>
        <v>8.6888888888888901E-3</v>
      </c>
      <c r="BH264" s="681">
        <f t="shared" si="278"/>
        <v>8.5472222222222234E-3</v>
      </c>
      <c r="BI264" s="681">
        <f t="shared" si="278"/>
        <v>8.6888888888888901E-3</v>
      </c>
      <c r="BJ264" s="681">
        <f t="shared" si="278"/>
        <v>8.5944444444444462E-3</v>
      </c>
      <c r="BK264" s="681">
        <f t="shared" si="278"/>
        <v>8.6888888888888901E-3</v>
      </c>
      <c r="BL264" s="681">
        <f t="shared" si="278"/>
        <v>8.5472222222222234E-3</v>
      </c>
      <c r="BM264" s="681">
        <f t="shared" si="278"/>
        <v>8.6888888888888901E-3</v>
      </c>
      <c r="BN264" s="681">
        <f t="shared" si="278"/>
        <v>8.5472222222222234E-3</v>
      </c>
      <c r="BO264" s="681">
        <f t="shared" si="278"/>
        <v>8.6888888888888901E-3</v>
      </c>
      <c r="BP264" s="681">
        <f t="shared" si="278"/>
        <v>8.5472222222222234E-3</v>
      </c>
      <c r="BQ264" s="681">
        <f t="shared" ref="BQ264:CV264" si="279" xml:space="preserve"> BQ$344</f>
        <v>8.6888888888888901E-3</v>
      </c>
      <c r="BR264" s="681">
        <f t="shared" si="279"/>
        <v>8.5944444444444462E-3</v>
      </c>
      <c r="BS264" s="681">
        <f t="shared" si="279"/>
        <v>8.6888888888888901E-3</v>
      </c>
      <c r="BT264" s="681">
        <f t="shared" si="279"/>
        <v>8.5472222222222234E-3</v>
      </c>
      <c r="BU264" s="681">
        <f t="shared" si="279"/>
        <v>8.6888888888888901E-3</v>
      </c>
      <c r="BV264" s="681">
        <f t="shared" si="279"/>
        <v>8.5472222222222234E-3</v>
      </c>
      <c r="BW264" s="681">
        <f t="shared" si="279"/>
        <v>8.6888888888888901E-3</v>
      </c>
      <c r="BX264" s="681">
        <f t="shared" si="279"/>
        <v>8.5472222222222234E-3</v>
      </c>
      <c r="BY264" s="681">
        <f t="shared" si="279"/>
        <v>8.6888888888888901E-3</v>
      </c>
      <c r="BZ264" s="681">
        <f t="shared" si="279"/>
        <v>8.5944444444444462E-3</v>
      </c>
      <c r="CA264" s="681">
        <f t="shared" si="279"/>
        <v>8.6888888888888901E-3</v>
      </c>
      <c r="CB264" s="681">
        <f t="shared" si="279"/>
        <v>8.5472222222222234E-3</v>
      </c>
      <c r="CC264" s="681">
        <f t="shared" si="279"/>
        <v>8.6888888888888901E-3</v>
      </c>
      <c r="CD264" s="681">
        <f t="shared" si="279"/>
        <v>8.5472222222222234E-3</v>
      </c>
      <c r="CE264" s="681">
        <f t="shared" si="279"/>
        <v>8.6888888888888901E-3</v>
      </c>
      <c r="CF264" s="681">
        <f t="shared" si="279"/>
        <v>8.5472222222222234E-3</v>
      </c>
      <c r="CG264" s="681">
        <f t="shared" si="279"/>
        <v>8.6888888888888901E-3</v>
      </c>
      <c r="CH264" s="681">
        <f t="shared" si="279"/>
        <v>8.5944444444444462E-3</v>
      </c>
      <c r="CI264" s="681">
        <f t="shared" si="279"/>
        <v>8.6888888888888901E-3</v>
      </c>
      <c r="CJ264" s="681">
        <f t="shared" si="279"/>
        <v>8.5472222222222234E-3</v>
      </c>
      <c r="CK264" s="681">
        <f t="shared" si="279"/>
        <v>8.6888888888888901E-3</v>
      </c>
      <c r="CL264" s="681">
        <f t="shared" si="279"/>
        <v>8.5472222222222234E-3</v>
      </c>
      <c r="CM264" s="681">
        <f t="shared" si="279"/>
        <v>8.6888888888888901E-3</v>
      </c>
      <c r="CN264" s="681">
        <f t="shared" si="279"/>
        <v>8.5472222222222234E-3</v>
      </c>
      <c r="CO264" s="681">
        <f t="shared" si="279"/>
        <v>8.6888888888888901E-3</v>
      </c>
      <c r="CP264" s="681">
        <f t="shared" si="279"/>
        <v>8.5944444444444462E-3</v>
      </c>
      <c r="CQ264" s="681">
        <f t="shared" si="279"/>
        <v>8.6888888888888901E-3</v>
      </c>
      <c r="CR264" s="681">
        <f t="shared" si="279"/>
        <v>8.5472222222222234E-3</v>
      </c>
      <c r="CS264" s="681">
        <f t="shared" si="279"/>
        <v>8.6888888888888901E-3</v>
      </c>
      <c r="CT264" s="681">
        <f t="shared" si="279"/>
        <v>8.5472222222222234E-3</v>
      </c>
      <c r="CU264" s="681">
        <f t="shared" si="279"/>
        <v>8.6888888888888901E-3</v>
      </c>
      <c r="CV264" s="681">
        <f t="shared" si="279"/>
        <v>8.5472222222222234E-3</v>
      </c>
    </row>
    <row r="265" spans="1:100" ht="12.75" outlineLevel="2" x14ac:dyDescent="0.2">
      <c r="A265" s="522"/>
      <c r="B265" s="522"/>
      <c r="C265" s="523"/>
      <c r="D265" s="524"/>
      <c r="E265" s="525" t="s">
        <v>1007</v>
      </c>
      <c r="F265" s="525"/>
      <c r="G265" s="525" t="s">
        <v>187</v>
      </c>
      <c r="H265" s="525"/>
      <c r="I265" s="526"/>
      <c r="J265" s="82">
        <f t="shared" ref="J265" si="280" xml:space="preserve"> IF( J263 = 1, 1, I265 / (1 + J264))</f>
        <v>0</v>
      </c>
      <c r="K265" s="82">
        <f t="shared" ref="K265" si="281" xml:space="preserve"> IF( K263 = 1, 1, J265 / (1 + K264))</f>
        <v>0</v>
      </c>
      <c r="L265" s="82">
        <f t="shared" ref="L265" si="282" xml:space="preserve"> IF( L263 = 1, 1, K265 / (1 + L264))</f>
        <v>0</v>
      </c>
      <c r="M265" s="82">
        <f t="shared" ref="M265" si="283" xml:space="preserve"> IF( M263 = 1, 1, L265 / (1 + M264))</f>
        <v>0</v>
      </c>
      <c r="N265" s="82">
        <f t="shared" ref="N265" si="284" xml:space="preserve"> IF( N263 = 1, 1, M265 / (1 + N264))</f>
        <v>0</v>
      </c>
      <c r="O265" s="82">
        <f t="shared" ref="O265" si="285" xml:space="preserve"> IF( O263 = 1, 1, N265 / (1 + O264))</f>
        <v>1</v>
      </c>
      <c r="P265" s="82">
        <f t="shared" ref="P265" si="286" xml:space="preserve"> IF( P263 = 1, 1, O265 / (1 + P264))</f>
        <v>0.97691495683935448</v>
      </c>
      <c r="Q265" s="82">
        <f t="shared" ref="Q265" si="287" xml:space="preserve"> IF( Q263 = 1, 1, P265 / (1 + Q264))</f>
        <v>0.9539978094609699</v>
      </c>
      <c r="R265" s="82">
        <f t="shared" ref="R265" si="288" xml:space="preserve"> IF( R263 = 1, 1, Q265 / (1 + R264))</f>
        <v>0.93197472885440213</v>
      </c>
      <c r="S265" s="82">
        <f t="shared" ref="S265" si="289" xml:space="preserve"> IF( S263 = 1, 1, R265 / (1 + S264))</f>
        <v>0.91011182045632899</v>
      </c>
      <c r="T265" s="82">
        <f t="shared" ref="T265" si="290" xml:space="preserve"> IF( T263 = 1, 1, S265 / (1 + T264))</f>
        <v>0.88910184980008089</v>
      </c>
      <c r="U265" s="82">
        <f t="shared" ref="U265" si="291" xml:space="preserve"> IF( U263 = 1, 1, T265 / (1 + U264))</f>
        <v>0.86824468307987335</v>
      </c>
      <c r="V265" s="82">
        <f t="shared" ref="V265" si="292" xml:space="preserve"> IF( V263 = 1, 1, U265 / (1 + V264))</f>
        <v>0.848093049888902</v>
      </c>
      <c r="W265" s="82">
        <f t="shared" ref="W265" si="293" xml:space="preserve"> IF( W263 = 1, 1, V265 / (1 + W264))</f>
        <v>0.82819789598751314</v>
      </c>
      <c r="X265" s="82">
        <f t="shared" ref="X265" si="294" xml:space="preserve"> IF( X263 = 1, 1, W265 / (1 + X264))</f>
        <v>0.80907891181308556</v>
      </c>
      <c r="Y265" s="82">
        <f t="shared" ref="Y265" si="295" xml:space="preserve"> IF( Y263 = 1, 1, X265 / (1 + Y264))</f>
        <v>0.7893110549480532</v>
      </c>
      <c r="Z265" s="82">
        <f t="shared" ref="Z265" si="296" xml:space="preserve"> IF( Z263 = 1, 1, Y265 / (1 + Z264))</f>
        <v>0.77033304447188344</v>
      </c>
      <c r="AA265" s="82">
        <f t="shared" ref="AA265" si="297" xml:space="preserve"> IF( AA263 = 1, 1, Z265 / (1 + AA264))</f>
        <v>0.75151184775152846</v>
      </c>
      <c r="AB265" s="82">
        <f t="shared" ref="AB265" si="298" xml:space="preserve"> IF( AB263 = 1, 1, AA265 / (1 + AB264))</f>
        <v>0.73344267257630824</v>
      </c>
      <c r="AC265" s="82">
        <f t="shared" ref="AC265" si="299" xml:space="preserve"> IF( AC263 = 1, 1, AB265 / (1 + AC264))</f>
        <v>0.71552280152478742</v>
      </c>
      <c r="AD265" s="82">
        <f t="shared" ref="AD265" si="300" xml:space="preserve"> IF( AD263 = 1, 1, AC265 / (1 + AD264))</f>
        <v>0.69822618725278651</v>
      </c>
      <c r="AE265" s="82">
        <f t="shared" ref="AE265" si="301" xml:space="preserve"> IF( AE263 = 1, 1, AD265 / (1 + AE264))</f>
        <v>0.68116674456121995</v>
      </c>
      <c r="AF265" s="82">
        <f t="shared" ref="AF265" si="302" xml:space="preserve"> IF( AF263 = 1, 1, AE265 / (1 + AF264))</f>
        <v>0.66478893060148503</v>
      </c>
      <c r="AG265" s="82">
        <f t="shared" ref="AG265" si="303" xml:space="preserve"> IF( AG263 = 1, 1, AF265 / (1 + AG264))</f>
        <v>0.64854644518539739</v>
      </c>
      <c r="AH265" s="82">
        <f t="shared" ref="AH265" si="304" xml:space="preserve"> IF( AH263 = 1, 1, AG265 / (1 + AH264))</f>
        <v>0.63295294607772157</v>
      </c>
      <c r="AI265" s="82">
        <f t="shared" ref="AI265" si="305" xml:space="preserve"> IF( AI263 = 1, 1, AH265 / (1 + AI264))</f>
        <v>0.6165659921529455</v>
      </c>
      <c r="AJ265" s="82">
        <f t="shared" ref="AJ265" si="306" xml:space="preserve"> IF( AJ263 = 1, 1, AI265 / (1 + AJ264))</f>
        <v>0.60085692174336613</v>
      </c>
      <c r="AK265" s="82">
        <f t="shared" ref="AK265" si="307" xml:space="preserve"> IF( AK263 = 1, 1, AJ265 / (1 + AK264))</f>
        <v>0.58530092385599353</v>
      </c>
      <c r="AL265" s="82">
        <f t="shared" ref="AL265" si="308" xml:space="preserve"> IF( AL263 = 1, 1, AK265 / (1 + AL264))</f>
        <v>0.5703081561076524</v>
      </c>
      <c r="AM265" s="82">
        <f t="shared" ref="AM265" si="309" xml:space="preserve"> IF( AM263 = 1, 1, AL265 / (1 + AM264))</f>
        <v>0.55554305621361932</v>
      </c>
      <c r="AN265" s="82">
        <f t="shared" ref="AN265" si="310" xml:space="preserve"> IF( AN263 = 1, 1, AM265 / (1 + AN264))</f>
        <v>0.54138874816438809</v>
      </c>
      <c r="AO265" s="82">
        <f t="shared" ref="AO265" si="311" xml:space="preserve"> IF( AO263 = 1, 1, AN265 / (1 + AO264))</f>
        <v>0.52737236270234356</v>
      </c>
      <c r="AP265" s="82">
        <f t="shared" ref="AP265" si="312" xml:space="preserve"> IF( AP263 = 1, 1, AO265 / (1 + AP264))</f>
        <v>0.51393579681451518</v>
      </c>
      <c r="AQ265" s="82">
        <f t="shared" ref="AQ265" si="313" xml:space="preserve"> IF( AQ263 = 1, 1, AP265 / (1 + AQ264))</f>
        <v>0.50063015968164304</v>
      </c>
      <c r="AR265" s="82">
        <f t="shared" ref="AR265" si="314" xml:space="preserve"> IF( AR263 = 1, 1, AQ265 / (1 + AR264))</f>
        <v>0.48787494040635249</v>
      </c>
      <c r="AS265" s="82">
        <f t="shared" ref="AS265" si="315" xml:space="preserve"> IF( AS263 = 1, 1, AR265 / (1 + AS264))</f>
        <v>0.47524401069975453</v>
      </c>
      <c r="AT265" s="82">
        <f t="shared" ref="AT265" si="316" xml:space="preserve"> IF( AT263 = 1, 1, AS265 / (1 + AT264))</f>
        <v>0.46307040429354862</v>
      </c>
      <c r="AU265" s="82">
        <f t="shared" ref="AU265" si="317" xml:space="preserve"> IF( AU263 = 1, 1, AT265 / (1 + AU264))</f>
        <v>0.45108165627348012</v>
      </c>
      <c r="AV265" s="82">
        <f t="shared" ref="AV265" si="318" xml:space="preserve"> IF( AV263 = 1, 1, AU265 / (1 + AV264))</f>
        <v>0.43958885000609843</v>
      </c>
      <c r="AW265" s="82">
        <f t="shared" ref="AW265" si="319" xml:space="preserve"> IF( AW263 = 1, 1, AV265 / (1 + AW264))</f>
        <v>0.43580221299981114</v>
      </c>
      <c r="AX265" s="82">
        <f t="shared" ref="AX265" si="320" xml:space="preserve"> IF( AX263 = 1, 1, AW265 / (1 + AX264))</f>
        <v>0.43210888235810035</v>
      </c>
      <c r="AY265" s="82">
        <f t="shared" ref="AY265" si="321" xml:space="preserve"> IF( AY263 = 1, 1, AX265 / (1 + AY264))</f>
        <v>0.42838667811051784</v>
      </c>
      <c r="AZ265" s="82">
        <f t="shared" ref="AZ265" si="322" xml:space="preserve"> IF( AZ263 = 1, 1, AY265 / (1 + AZ264))</f>
        <v>0.42475619254259128</v>
      </c>
      <c r="BA265" s="82">
        <f t="shared" ref="BA265" si="323" xml:space="preserve"> IF( BA263 = 1, 1, AZ265 / (1 + BA264))</f>
        <v>0.42109732467706384</v>
      </c>
      <c r="BB265" s="82">
        <f t="shared" ref="BB265" si="324" xml:space="preserve"> IF( BB263 = 1, 1, BA265 / (1 + BB264))</f>
        <v>0.41750906620253431</v>
      </c>
      <c r="BC265" s="82">
        <f t="shared" ref="BC265" si="325" xml:space="preserve"> IF( BC263 = 1, 1, BB265 / (1 + BC264))</f>
        <v>0.41391262539080526</v>
      </c>
      <c r="BD265" s="82">
        <f t="shared" ref="BD265" si="326" xml:space="preserve"> IF( BD263 = 1, 1, BC265 / (1 + BD264))</f>
        <v>0.41040480432715343</v>
      </c>
      <c r="BE265" s="82">
        <f t="shared" ref="BE265" si="327" xml:space="preserve"> IF( BE263 = 1, 1, BD265 / (1 + BE264))</f>
        <v>0.40686955992866214</v>
      </c>
      <c r="BF265" s="82">
        <f t="shared" ref="BF265" si="328" xml:space="preserve"> IF( BF263 = 1, 1, BE265 / (1 + BF264))</f>
        <v>0.40342142733998121</v>
      </c>
      <c r="BG265" s="82">
        <f t="shared" ref="BG265" si="329" xml:space="preserve"> IF( BG263 = 1, 1, BF265 / (1 + BG264))</f>
        <v>0.39994633804717133</v>
      </c>
      <c r="BH265" s="82">
        <f t="shared" ref="BH265" si="330" xml:space="preserve"> IF( BH263 = 1, 1, BG265 / (1 + BH264))</f>
        <v>0.39655687828472108</v>
      </c>
      <c r="BI265" s="82">
        <f t="shared" ref="BI265" si="331" xml:space="preserve"> IF( BI263 = 1, 1, BH265 / (1 + BI264))</f>
        <v>0.39314092050874505</v>
      </c>
      <c r="BJ265" s="82">
        <f t="shared" ref="BJ265" si="332" xml:space="preserve"> IF( BJ263 = 1, 1, BI265 / (1 + BJ264))</f>
        <v>0.38979088440775178</v>
      </c>
      <c r="BK265" s="82">
        <f t="shared" ref="BK265" si="333" xml:space="preserve"> IF( BK263 = 1, 1, BJ265 / (1 + BK264))</f>
        <v>0.38643320919012203</v>
      </c>
      <c r="BL265" s="82">
        <f t="shared" ref="BL265" si="334" xml:space="preserve"> IF( BL263 = 1, 1, BK265 / (1 + BL264))</f>
        <v>0.38315827030752136</v>
      </c>
      <c r="BM265" s="82">
        <f t="shared" ref="BM265" si="335" xml:space="preserve"> IF( BM263 = 1, 1, BL265 / (1 + BM264))</f>
        <v>0.37985772870918155</v>
      </c>
      <c r="BN265" s="82">
        <f t="shared" ref="BN265" si="336" xml:space="preserve"> IF( BN263 = 1, 1, BM265 / (1 + BN264))</f>
        <v>0.37663851561874023</v>
      </c>
      <c r="BO265" s="82">
        <f t="shared" ref="BO265" si="337" xml:space="preserve"> IF( BO263 = 1, 1, BN265 / (1 + BO264))</f>
        <v>0.37339413546393135</v>
      </c>
      <c r="BP265" s="82">
        <f t="shared" ref="BP265" si="338" xml:space="preserve"> IF( BP263 = 1, 1, BO265 / (1 + BP264))</f>
        <v>0.3702296999452328</v>
      </c>
      <c r="BQ265" s="82">
        <f t="shared" ref="BQ265" si="339" xml:space="preserve"> IF( BQ263 = 1, 1, BP265 / (1 + BQ264))</f>
        <v>0.36704052560057004</v>
      </c>
      <c r="BR265" s="82">
        <f t="shared" ref="BR265" si="340" xml:space="preserve"> IF( BR263 = 1, 1, BQ265 / (1 + BR264))</f>
        <v>0.36391289642958913</v>
      </c>
      <c r="BS265" s="82">
        <f t="shared" ref="BS265" si="341" xml:space="preserve"> IF( BS263 = 1, 1, BR265 / (1 + BS264))</f>
        <v>0.36077813529844044</v>
      </c>
      <c r="BT265" s="82">
        <f t="shared" ref="BT265" si="342" xml:space="preserve"> IF( BT263 = 1, 1, BS265 / (1 + BT264))</f>
        <v>0.35772061768561092</v>
      </c>
      <c r="BU265" s="82">
        <f t="shared" ref="BU265" si="343" xml:space="preserve"> IF( BU263 = 1, 1, BT265 / (1 + BU264))</f>
        <v>0.35463919710630942</v>
      </c>
      <c r="BV265" s="82">
        <f t="shared" ref="BV265" si="344" xml:space="preserve"> IF( BV263 = 1, 1, BU265 / (1 + BV264))</f>
        <v>0.35163370568301322</v>
      </c>
      <c r="BW265" s="82">
        <f t="shared" ref="BW265" si="345" xml:space="preserve"> IF( BW263 = 1, 1, BV265 / (1 + BW264))</f>
        <v>0.34860471802197779</v>
      </c>
      <c r="BX265" s="82">
        <f t="shared" ref="BX265" si="346" xml:space="preserve"> IF( BX263 = 1, 1, BW265 / (1 + BX264))</f>
        <v>0.34565036751959499</v>
      </c>
      <c r="BY265" s="82">
        <f t="shared" ref="BY265" si="347" xml:space="preserve"> IF( BY263 = 1, 1, BX265 / (1 + BY264))</f>
        <v>0.34267292058738019</v>
      </c>
      <c r="BZ265" s="82">
        <f t="shared" ref="BZ265" si="348" xml:space="preserve"> IF( BZ263 = 1, 1, BY265 / (1 + BZ264))</f>
        <v>0.33975293288089831</v>
      </c>
      <c r="CA265" s="82">
        <f t="shared" ref="CA265" si="349" xml:space="preserve"> IF( CA263 = 1, 1, BZ265 / (1 + CA264))</f>
        <v>0.33682628670089715</v>
      </c>
      <c r="CB265" s="82">
        <f t="shared" ref="CB265" si="350" xml:space="preserve"> IF( CB263 = 1, 1, CA265 / (1 + CB264))</f>
        <v>0.33397175588738193</v>
      </c>
      <c r="CC265" s="82">
        <f t="shared" ref="CC265" si="351" xml:space="preserve"> IF( CC263 = 1, 1, CB265 / (1 + CC264))</f>
        <v>0.33109490901130589</v>
      </c>
      <c r="CD265" s="82">
        <f t="shared" ref="CD265" si="352" xml:space="preserve"> IF( CD263 = 1, 1, CC265 / (1 + CD264))</f>
        <v>0.3282889503991443</v>
      </c>
      <c r="CE265" s="82">
        <f t="shared" ref="CE265" si="353" xml:space="preserve"> IF( CE263 = 1, 1, CD265 / (1 + CE264))</f>
        <v>0.32546105545067289</v>
      </c>
      <c r="CF265" s="82">
        <f t="shared" ref="CF265" si="354" xml:space="preserve"> IF( CF263 = 1, 1, CE265 / (1 + CF264))</f>
        <v>0.32270284254370901</v>
      </c>
      <c r="CG265" s="82">
        <f t="shared" ref="CG265" si="355" xml:space="preserve"> IF( CG263 = 1, 1, CF265 / (1 + CG264))</f>
        <v>0.31992306656533021</v>
      </c>
      <c r="CH265" s="82">
        <f t="shared" ref="CH265" si="356" xml:space="preserve"> IF( CH263 = 1, 1, CG265 / (1 + CH264))</f>
        <v>0.31719693512842095</v>
      </c>
      <c r="CI265" s="82">
        <f t="shared" ref="CI265" si="357" xml:space="preserve"> IF( CI263 = 1, 1, CH265 / (1 + CI264))</f>
        <v>0.31446458727014037</v>
      </c>
      <c r="CJ265" s="82">
        <f t="shared" ref="CJ265" si="358" xml:space="preserve"> IF( CJ263 = 1, 1, CI265 / (1 + CJ264))</f>
        <v>0.31179956708150208</v>
      </c>
      <c r="CK265" s="82">
        <f t="shared" ref="CK265" si="359" xml:space="preserve"> IF( CK263 = 1, 1, CJ265 / (1 + CK264))</f>
        <v>0.3091137123805951</v>
      </c>
      <c r="CL265" s="82">
        <f t="shared" ref="CL265" si="360" xml:space="preserve"> IF( CL263 = 1, 1, CK265 / (1 + CL264))</f>
        <v>0.30649403971337824</v>
      </c>
      <c r="CM265" s="82">
        <f t="shared" ref="CM265" si="361" xml:space="preserve"> IF( CM263 = 1, 1, CL265 / (1 + CM264))</f>
        <v>0.30385388705034083</v>
      </c>
      <c r="CN265" s="82">
        <f t="shared" ref="CN265" si="362" xml:space="preserve"> IF( CN263 = 1, 1, CM265 / (1 + CN264))</f>
        <v>0.30127879027898408</v>
      </c>
      <c r="CO265" s="82">
        <f t="shared" ref="CO265" si="363" xml:space="preserve"> IF( CO263 = 1, 1, CN265 / (1 + CO264))</f>
        <v>0.29868356199586443</v>
      </c>
      <c r="CP265" s="82">
        <f t="shared" ref="CP265" si="364" xml:space="preserve"> IF( CP263 = 1, 1, CO265 / (1 + CP264))</f>
        <v>0.29613841682459968</v>
      </c>
      <c r="CQ265" s="82">
        <f t="shared" ref="CQ265" si="365" xml:space="preserve"> IF( CQ263 = 1, 1, CP265 / (1 + CQ264))</f>
        <v>0.29358746793652896</v>
      </c>
      <c r="CR265" s="82">
        <f t="shared" ref="CR265" si="366" xml:space="preserve"> IF( CR263 = 1, 1, CQ265 / (1 + CR264))</f>
        <v>0.29109937687363951</v>
      </c>
      <c r="CS265" s="82">
        <f t="shared" ref="CS265" si="367" xml:space="preserve"> IF( CS263 = 1, 1, CR265 / (1 + CS264))</f>
        <v>0.28859183448951947</v>
      </c>
      <c r="CT265" s="82">
        <f t="shared" ref="CT265" si="368" xml:space="preserve"> IF( CT263 = 1, 1, CS265 / (1 + CT264))</f>
        <v>0.28614608035272687</v>
      </c>
      <c r="CU265" s="82">
        <f t="shared" ref="CU265" si="369" xml:space="preserve"> IF( CU263 = 1, 1, CT265 / (1 + CU264))</f>
        <v>0.28368120587501283</v>
      </c>
      <c r="CV265" s="82">
        <f t="shared" ref="CV265" si="370" xml:space="preserve"> IF( CV263 = 1, 1, CU265 / (1 + CV264))</f>
        <v>0.28127706826652366</v>
      </c>
    </row>
    <row r="266" spans="1:100" ht="12.75" outlineLevel="2" x14ac:dyDescent="0.2">
      <c r="A266" s="522"/>
      <c r="B266" s="522"/>
      <c r="C266" s="523"/>
      <c r="D266" s="524"/>
      <c r="E266" s="525"/>
      <c r="F266" s="525"/>
      <c r="G266" s="525"/>
      <c r="H266" s="525"/>
      <c r="I266" s="526"/>
      <c r="J266" s="525"/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</row>
    <row r="267" spans="1:100" ht="12.75" outlineLevel="2" x14ac:dyDescent="0.2">
      <c r="E267" s="189" t="str">
        <f xml:space="preserve"> Time!E$203</f>
        <v>Senior debt repayment period flag - T2</v>
      </c>
      <c r="F267" s="189">
        <f xml:space="preserve"> Time!F$203</f>
        <v>0</v>
      </c>
      <c r="G267" s="189" t="str">
        <f xml:space="preserve"> Time!G$203</f>
        <v>flag</v>
      </c>
      <c r="H267" s="189">
        <f xml:space="preserve"> Time!H$203</f>
        <v>30</v>
      </c>
      <c r="I267" s="189">
        <f xml:space="preserve"> Time!I$203</f>
        <v>0</v>
      </c>
      <c r="J267" s="189">
        <f xml:space="preserve"> Time!J$203</f>
        <v>0</v>
      </c>
      <c r="K267" s="189">
        <f xml:space="preserve"> Time!K$203</f>
        <v>0</v>
      </c>
      <c r="L267" s="189">
        <f xml:space="preserve"> Time!L$203</f>
        <v>0</v>
      </c>
      <c r="M267" s="189">
        <f xml:space="preserve"> Time!M$203</f>
        <v>0</v>
      </c>
      <c r="N267" s="189">
        <f xml:space="preserve"> Time!N$203</f>
        <v>0</v>
      </c>
      <c r="O267" s="189">
        <f xml:space="preserve"> Time!O$203</f>
        <v>1</v>
      </c>
      <c r="P267" s="189">
        <f xml:space="preserve"> Time!P$203</f>
        <v>1</v>
      </c>
      <c r="Q267" s="189">
        <f xml:space="preserve"> Time!Q$203</f>
        <v>1</v>
      </c>
      <c r="R267" s="189">
        <f xml:space="preserve"> Time!R$203</f>
        <v>1</v>
      </c>
      <c r="S267" s="189">
        <f xml:space="preserve"> Time!S$203</f>
        <v>1</v>
      </c>
      <c r="T267" s="189">
        <f xml:space="preserve"> Time!T$203</f>
        <v>1</v>
      </c>
      <c r="U267" s="189">
        <f xml:space="preserve"> Time!U$203</f>
        <v>1</v>
      </c>
      <c r="V267" s="189">
        <f xml:space="preserve"> Time!V$203</f>
        <v>1</v>
      </c>
      <c r="W267" s="189">
        <f xml:space="preserve"> Time!W$203</f>
        <v>1</v>
      </c>
      <c r="X267" s="189">
        <f xml:space="preserve"> Time!X$203</f>
        <v>1</v>
      </c>
      <c r="Y267" s="189">
        <f xml:space="preserve"> Time!Y$203</f>
        <v>1</v>
      </c>
      <c r="Z267" s="189">
        <f xml:space="preserve"> Time!Z$203</f>
        <v>1</v>
      </c>
      <c r="AA267" s="189">
        <f xml:space="preserve"> Time!AA$203</f>
        <v>1</v>
      </c>
      <c r="AB267" s="189">
        <f xml:space="preserve"> Time!AB$203</f>
        <v>1</v>
      </c>
      <c r="AC267" s="189">
        <f xml:space="preserve"> Time!AC$203</f>
        <v>1</v>
      </c>
      <c r="AD267" s="189">
        <f xml:space="preserve"> Time!AD$203</f>
        <v>1</v>
      </c>
      <c r="AE267" s="189">
        <f xml:space="preserve"> Time!AE$203</f>
        <v>1</v>
      </c>
      <c r="AF267" s="189">
        <f xml:space="preserve"> Time!AF$203</f>
        <v>1</v>
      </c>
      <c r="AG267" s="189">
        <f xml:space="preserve"> Time!AG$203</f>
        <v>1</v>
      </c>
      <c r="AH267" s="189">
        <f xml:space="preserve"> Time!AH$203</f>
        <v>1</v>
      </c>
      <c r="AI267" s="189">
        <f xml:space="preserve"> Time!AI$203</f>
        <v>1</v>
      </c>
      <c r="AJ267" s="189">
        <f xml:space="preserve"> Time!AJ$203</f>
        <v>1</v>
      </c>
      <c r="AK267" s="189">
        <f xml:space="preserve"> Time!AK$203</f>
        <v>1</v>
      </c>
      <c r="AL267" s="189">
        <f xml:space="preserve"> Time!AL$203</f>
        <v>1</v>
      </c>
      <c r="AM267" s="189">
        <f xml:space="preserve"> Time!AM$203</f>
        <v>1</v>
      </c>
      <c r="AN267" s="189">
        <f xml:space="preserve"> Time!AN$203</f>
        <v>1</v>
      </c>
      <c r="AO267" s="189">
        <f xml:space="preserve"> Time!AO$203</f>
        <v>1</v>
      </c>
      <c r="AP267" s="189">
        <f xml:space="preserve"> Time!AP$203</f>
        <v>1</v>
      </c>
      <c r="AQ267" s="189">
        <f xml:space="preserve"> Time!AQ$203</f>
        <v>1</v>
      </c>
      <c r="AR267" s="189">
        <f xml:space="preserve"> Time!AR$203</f>
        <v>1</v>
      </c>
      <c r="AS267" s="189">
        <f xml:space="preserve"> Time!AS$203</f>
        <v>0</v>
      </c>
      <c r="AT267" s="189">
        <f xml:space="preserve"> Time!AT$203</f>
        <v>0</v>
      </c>
      <c r="AU267" s="189">
        <f xml:space="preserve"> Time!AU$203</f>
        <v>0</v>
      </c>
      <c r="AV267" s="189">
        <f xml:space="preserve"> Time!AV$203</f>
        <v>0</v>
      </c>
      <c r="AW267" s="189">
        <f xml:space="preserve"> Time!AW$203</f>
        <v>0</v>
      </c>
      <c r="AX267" s="189">
        <f xml:space="preserve"> Time!AX$203</f>
        <v>0</v>
      </c>
      <c r="AY267" s="189">
        <f xml:space="preserve"> Time!AY$203</f>
        <v>0</v>
      </c>
      <c r="AZ267" s="189">
        <f xml:space="preserve"> Time!AZ$203</f>
        <v>0</v>
      </c>
      <c r="BA267" s="189">
        <f xml:space="preserve"> Time!BA$203</f>
        <v>0</v>
      </c>
      <c r="BB267" s="189">
        <f xml:space="preserve"> Time!BB$203</f>
        <v>0</v>
      </c>
      <c r="BC267" s="189">
        <f xml:space="preserve"> Time!BC$203</f>
        <v>0</v>
      </c>
      <c r="BD267" s="189">
        <f xml:space="preserve"> Time!BD$203</f>
        <v>0</v>
      </c>
      <c r="BE267" s="189">
        <f xml:space="preserve"> Time!BE$203</f>
        <v>0</v>
      </c>
      <c r="BF267" s="189">
        <f xml:space="preserve"> Time!BF$203</f>
        <v>0</v>
      </c>
      <c r="BG267" s="189">
        <f xml:space="preserve"> Time!BG$203</f>
        <v>0</v>
      </c>
      <c r="BH267" s="189">
        <f xml:space="preserve"> Time!BH$203</f>
        <v>0</v>
      </c>
      <c r="BI267" s="189">
        <f xml:space="preserve"> Time!BI$203</f>
        <v>0</v>
      </c>
      <c r="BJ267" s="189">
        <f xml:space="preserve"> Time!BJ$203</f>
        <v>0</v>
      </c>
      <c r="BK267" s="189">
        <f xml:space="preserve"> Time!BK$203</f>
        <v>0</v>
      </c>
      <c r="BL267" s="189">
        <f xml:space="preserve"> Time!BL$203</f>
        <v>0</v>
      </c>
      <c r="BM267" s="189">
        <f xml:space="preserve"> Time!BM$203</f>
        <v>0</v>
      </c>
      <c r="BN267" s="189">
        <f xml:space="preserve"> Time!BN$203</f>
        <v>0</v>
      </c>
      <c r="BO267" s="189">
        <f xml:space="preserve"> Time!BO$203</f>
        <v>0</v>
      </c>
      <c r="BP267" s="189">
        <f xml:space="preserve"> Time!BP$203</f>
        <v>0</v>
      </c>
      <c r="BQ267" s="189">
        <f xml:space="preserve"> Time!BQ$203</f>
        <v>0</v>
      </c>
      <c r="BR267" s="189">
        <f xml:space="preserve"> Time!BR$203</f>
        <v>0</v>
      </c>
      <c r="BS267" s="189">
        <f xml:space="preserve"> Time!BS$203</f>
        <v>0</v>
      </c>
      <c r="BT267" s="189">
        <f xml:space="preserve"> Time!BT$203</f>
        <v>0</v>
      </c>
      <c r="BU267" s="189">
        <f xml:space="preserve"> Time!BU$203</f>
        <v>0</v>
      </c>
      <c r="BV267" s="189">
        <f xml:space="preserve"> Time!BV$203</f>
        <v>0</v>
      </c>
      <c r="BW267" s="189">
        <f xml:space="preserve"> Time!BW$203</f>
        <v>0</v>
      </c>
      <c r="BX267" s="189">
        <f xml:space="preserve"> Time!BX$203</f>
        <v>0</v>
      </c>
      <c r="BY267" s="189">
        <f xml:space="preserve"> Time!BY$203</f>
        <v>0</v>
      </c>
      <c r="BZ267" s="189">
        <f xml:space="preserve"> Time!BZ$203</f>
        <v>0</v>
      </c>
      <c r="CA267" s="189">
        <f xml:space="preserve"> Time!CA$203</f>
        <v>0</v>
      </c>
      <c r="CB267" s="189">
        <f xml:space="preserve"> Time!CB$203</f>
        <v>0</v>
      </c>
      <c r="CC267" s="189">
        <f xml:space="preserve"> Time!CC$203</f>
        <v>0</v>
      </c>
      <c r="CD267" s="189">
        <f xml:space="preserve"> Time!CD$203</f>
        <v>0</v>
      </c>
      <c r="CE267" s="189">
        <f xml:space="preserve"> Time!CE$203</f>
        <v>0</v>
      </c>
      <c r="CF267" s="189">
        <f xml:space="preserve"> Time!CF$203</f>
        <v>0</v>
      </c>
      <c r="CG267" s="189">
        <f xml:space="preserve"> Time!CG$203</f>
        <v>0</v>
      </c>
      <c r="CH267" s="189">
        <f xml:space="preserve"> Time!CH$203</f>
        <v>0</v>
      </c>
      <c r="CI267" s="189">
        <f xml:space="preserve"> Time!CI$203</f>
        <v>0</v>
      </c>
      <c r="CJ267" s="189">
        <f xml:space="preserve"> Time!CJ$203</f>
        <v>0</v>
      </c>
      <c r="CK267" s="189">
        <f xml:space="preserve"> Time!CK$203</f>
        <v>0</v>
      </c>
      <c r="CL267" s="189">
        <f xml:space="preserve"> Time!CL$203</f>
        <v>0</v>
      </c>
      <c r="CM267" s="189">
        <f xml:space="preserve"> Time!CM$203</f>
        <v>0</v>
      </c>
      <c r="CN267" s="189">
        <f xml:space="preserve"> Time!CN$203</f>
        <v>0</v>
      </c>
      <c r="CO267" s="189">
        <f xml:space="preserve"> Time!CO$203</f>
        <v>0</v>
      </c>
      <c r="CP267" s="189">
        <f xml:space="preserve"> Time!CP$203</f>
        <v>0</v>
      </c>
      <c r="CQ267" s="189">
        <f xml:space="preserve"> Time!CQ$203</f>
        <v>0</v>
      </c>
      <c r="CR267" s="189">
        <f xml:space="preserve"> Time!CR$203</f>
        <v>0</v>
      </c>
      <c r="CS267" s="189">
        <f xml:space="preserve"> Time!CS$203</f>
        <v>0</v>
      </c>
      <c r="CT267" s="189">
        <f xml:space="preserve"> Time!CT$203</f>
        <v>0</v>
      </c>
      <c r="CU267" s="189">
        <f xml:space="preserve"> Time!CU$203</f>
        <v>0</v>
      </c>
      <c r="CV267" s="189">
        <f xml:space="preserve"> Time!CV$203</f>
        <v>0</v>
      </c>
    </row>
    <row r="268" spans="1:100" s="280" customFormat="1" ht="12.75" outlineLevel="2" x14ac:dyDescent="0.2">
      <c r="A268" s="278"/>
      <c r="B268" s="278"/>
      <c r="C268" s="410"/>
      <c r="D268" s="279"/>
      <c r="E268" s="82" t="str">
        <f t="shared" ref="E268:AJ268" si="371" xml:space="preserve"> E$265</f>
        <v>Senior debt discount factor - T2</v>
      </c>
      <c r="F268" s="82">
        <f t="shared" si="371"/>
        <v>0</v>
      </c>
      <c r="G268" s="82" t="str">
        <f t="shared" si="371"/>
        <v>factor</v>
      </c>
      <c r="H268" s="82">
        <f t="shared" si="371"/>
        <v>0</v>
      </c>
      <c r="I268" s="82">
        <f t="shared" si="371"/>
        <v>0</v>
      </c>
      <c r="J268" s="82">
        <f t="shared" si="371"/>
        <v>0</v>
      </c>
      <c r="K268" s="82">
        <f t="shared" si="371"/>
        <v>0</v>
      </c>
      <c r="L268" s="82">
        <f t="shared" si="371"/>
        <v>0</v>
      </c>
      <c r="M268" s="82">
        <f t="shared" si="371"/>
        <v>0</v>
      </c>
      <c r="N268" s="82">
        <f t="shared" si="371"/>
        <v>0</v>
      </c>
      <c r="O268" s="82">
        <f t="shared" si="371"/>
        <v>1</v>
      </c>
      <c r="P268" s="82">
        <f t="shared" si="371"/>
        <v>0.97691495683935448</v>
      </c>
      <c r="Q268" s="82">
        <f t="shared" si="371"/>
        <v>0.9539978094609699</v>
      </c>
      <c r="R268" s="82">
        <f t="shared" si="371"/>
        <v>0.93197472885440213</v>
      </c>
      <c r="S268" s="82">
        <f t="shared" si="371"/>
        <v>0.91011182045632899</v>
      </c>
      <c r="T268" s="82">
        <f t="shared" si="371"/>
        <v>0.88910184980008089</v>
      </c>
      <c r="U268" s="82">
        <f t="shared" si="371"/>
        <v>0.86824468307987335</v>
      </c>
      <c r="V268" s="82">
        <f t="shared" si="371"/>
        <v>0.848093049888902</v>
      </c>
      <c r="W268" s="82">
        <f t="shared" si="371"/>
        <v>0.82819789598751314</v>
      </c>
      <c r="X268" s="82">
        <f t="shared" si="371"/>
        <v>0.80907891181308556</v>
      </c>
      <c r="Y268" s="82">
        <f t="shared" si="371"/>
        <v>0.7893110549480532</v>
      </c>
      <c r="Z268" s="82">
        <f t="shared" si="371"/>
        <v>0.77033304447188344</v>
      </c>
      <c r="AA268" s="82">
        <f t="shared" si="371"/>
        <v>0.75151184775152846</v>
      </c>
      <c r="AB268" s="82">
        <f t="shared" si="371"/>
        <v>0.73344267257630824</v>
      </c>
      <c r="AC268" s="82">
        <f t="shared" si="371"/>
        <v>0.71552280152478742</v>
      </c>
      <c r="AD268" s="82">
        <f t="shared" si="371"/>
        <v>0.69822618725278651</v>
      </c>
      <c r="AE268" s="82">
        <f t="shared" si="371"/>
        <v>0.68116674456121995</v>
      </c>
      <c r="AF268" s="82">
        <f t="shared" si="371"/>
        <v>0.66478893060148503</v>
      </c>
      <c r="AG268" s="82">
        <f t="shared" si="371"/>
        <v>0.64854644518539739</v>
      </c>
      <c r="AH268" s="82">
        <f t="shared" si="371"/>
        <v>0.63295294607772157</v>
      </c>
      <c r="AI268" s="82">
        <f t="shared" si="371"/>
        <v>0.6165659921529455</v>
      </c>
      <c r="AJ268" s="82">
        <f t="shared" si="371"/>
        <v>0.60085692174336613</v>
      </c>
      <c r="AK268" s="82">
        <f t="shared" ref="AK268:BP268" si="372" xml:space="preserve"> AK$265</f>
        <v>0.58530092385599353</v>
      </c>
      <c r="AL268" s="82">
        <f t="shared" si="372"/>
        <v>0.5703081561076524</v>
      </c>
      <c r="AM268" s="82">
        <f t="shared" si="372"/>
        <v>0.55554305621361932</v>
      </c>
      <c r="AN268" s="82">
        <f t="shared" si="372"/>
        <v>0.54138874816438809</v>
      </c>
      <c r="AO268" s="82">
        <f t="shared" si="372"/>
        <v>0.52737236270234356</v>
      </c>
      <c r="AP268" s="82">
        <f t="shared" si="372"/>
        <v>0.51393579681451518</v>
      </c>
      <c r="AQ268" s="82">
        <f t="shared" si="372"/>
        <v>0.50063015968164304</v>
      </c>
      <c r="AR268" s="82">
        <f t="shared" si="372"/>
        <v>0.48787494040635249</v>
      </c>
      <c r="AS268" s="82">
        <f t="shared" si="372"/>
        <v>0.47524401069975453</v>
      </c>
      <c r="AT268" s="82">
        <f t="shared" si="372"/>
        <v>0.46307040429354862</v>
      </c>
      <c r="AU268" s="82">
        <f t="shared" si="372"/>
        <v>0.45108165627348012</v>
      </c>
      <c r="AV268" s="82">
        <f t="shared" si="372"/>
        <v>0.43958885000609843</v>
      </c>
      <c r="AW268" s="82">
        <f t="shared" si="372"/>
        <v>0.43580221299981114</v>
      </c>
      <c r="AX268" s="82">
        <f t="shared" si="372"/>
        <v>0.43210888235810035</v>
      </c>
      <c r="AY268" s="82">
        <f t="shared" si="372"/>
        <v>0.42838667811051784</v>
      </c>
      <c r="AZ268" s="82">
        <f t="shared" si="372"/>
        <v>0.42475619254259128</v>
      </c>
      <c r="BA268" s="82">
        <f t="shared" si="372"/>
        <v>0.42109732467706384</v>
      </c>
      <c r="BB268" s="82">
        <f t="shared" si="372"/>
        <v>0.41750906620253431</v>
      </c>
      <c r="BC268" s="82">
        <f t="shared" si="372"/>
        <v>0.41391262539080526</v>
      </c>
      <c r="BD268" s="82">
        <f t="shared" si="372"/>
        <v>0.41040480432715343</v>
      </c>
      <c r="BE268" s="82">
        <f t="shared" si="372"/>
        <v>0.40686955992866214</v>
      </c>
      <c r="BF268" s="82">
        <f t="shared" si="372"/>
        <v>0.40342142733998121</v>
      </c>
      <c r="BG268" s="82">
        <f t="shared" si="372"/>
        <v>0.39994633804717133</v>
      </c>
      <c r="BH268" s="82">
        <f t="shared" si="372"/>
        <v>0.39655687828472108</v>
      </c>
      <c r="BI268" s="82">
        <f t="shared" si="372"/>
        <v>0.39314092050874505</v>
      </c>
      <c r="BJ268" s="82">
        <f t="shared" si="372"/>
        <v>0.38979088440775178</v>
      </c>
      <c r="BK268" s="82">
        <f t="shared" si="372"/>
        <v>0.38643320919012203</v>
      </c>
      <c r="BL268" s="82">
        <f t="shared" si="372"/>
        <v>0.38315827030752136</v>
      </c>
      <c r="BM268" s="82">
        <f t="shared" si="372"/>
        <v>0.37985772870918155</v>
      </c>
      <c r="BN268" s="82">
        <f t="shared" si="372"/>
        <v>0.37663851561874023</v>
      </c>
      <c r="BO268" s="82">
        <f t="shared" si="372"/>
        <v>0.37339413546393135</v>
      </c>
      <c r="BP268" s="82">
        <f t="shared" si="372"/>
        <v>0.3702296999452328</v>
      </c>
      <c r="BQ268" s="82">
        <f t="shared" ref="BQ268:CV268" si="373" xml:space="preserve"> BQ$265</f>
        <v>0.36704052560057004</v>
      </c>
      <c r="BR268" s="82">
        <f t="shared" si="373"/>
        <v>0.36391289642958913</v>
      </c>
      <c r="BS268" s="82">
        <f t="shared" si="373"/>
        <v>0.36077813529844044</v>
      </c>
      <c r="BT268" s="82">
        <f t="shared" si="373"/>
        <v>0.35772061768561092</v>
      </c>
      <c r="BU268" s="82">
        <f t="shared" si="373"/>
        <v>0.35463919710630942</v>
      </c>
      <c r="BV268" s="82">
        <f t="shared" si="373"/>
        <v>0.35163370568301322</v>
      </c>
      <c r="BW268" s="82">
        <f t="shared" si="373"/>
        <v>0.34860471802197779</v>
      </c>
      <c r="BX268" s="82">
        <f t="shared" si="373"/>
        <v>0.34565036751959499</v>
      </c>
      <c r="BY268" s="82">
        <f t="shared" si="373"/>
        <v>0.34267292058738019</v>
      </c>
      <c r="BZ268" s="82">
        <f t="shared" si="373"/>
        <v>0.33975293288089831</v>
      </c>
      <c r="CA268" s="82">
        <f t="shared" si="373"/>
        <v>0.33682628670089715</v>
      </c>
      <c r="CB268" s="82">
        <f t="shared" si="373"/>
        <v>0.33397175588738193</v>
      </c>
      <c r="CC268" s="82">
        <f t="shared" si="373"/>
        <v>0.33109490901130589</v>
      </c>
      <c r="CD268" s="82">
        <f t="shared" si="373"/>
        <v>0.3282889503991443</v>
      </c>
      <c r="CE268" s="82">
        <f t="shared" si="373"/>
        <v>0.32546105545067289</v>
      </c>
      <c r="CF268" s="82">
        <f t="shared" si="373"/>
        <v>0.32270284254370901</v>
      </c>
      <c r="CG268" s="82">
        <f t="shared" si="373"/>
        <v>0.31992306656533021</v>
      </c>
      <c r="CH268" s="82">
        <f t="shared" si="373"/>
        <v>0.31719693512842095</v>
      </c>
      <c r="CI268" s="82">
        <f t="shared" si="373"/>
        <v>0.31446458727014037</v>
      </c>
      <c r="CJ268" s="82">
        <f t="shared" si="373"/>
        <v>0.31179956708150208</v>
      </c>
      <c r="CK268" s="82">
        <f t="shared" si="373"/>
        <v>0.3091137123805951</v>
      </c>
      <c r="CL268" s="82">
        <f t="shared" si="373"/>
        <v>0.30649403971337824</v>
      </c>
      <c r="CM268" s="82">
        <f t="shared" si="373"/>
        <v>0.30385388705034083</v>
      </c>
      <c r="CN268" s="82">
        <f t="shared" si="373"/>
        <v>0.30127879027898408</v>
      </c>
      <c r="CO268" s="82">
        <f t="shared" si="373"/>
        <v>0.29868356199586443</v>
      </c>
      <c r="CP268" s="82">
        <f t="shared" si="373"/>
        <v>0.29613841682459968</v>
      </c>
      <c r="CQ268" s="82">
        <f t="shared" si="373"/>
        <v>0.29358746793652896</v>
      </c>
      <c r="CR268" s="82">
        <f t="shared" si="373"/>
        <v>0.29109937687363951</v>
      </c>
      <c r="CS268" s="82">
        <f t="shared" si="373"/>
        <v>0.28859183448951947</v>
      </c>
      <c r="CT268" s="82">
        <f t="shared" si="373"/>
        <v>0.28614608035272687</v>
      </c>
      <c r="CU268" s="82">
        <f t="shared" si="373"/>
        <v>0.28368120587501283</v>
      </c>
      <c r="CV268" s="82">
        <f t="shared" si="373"/>
        <v>0.28127706826652366</v>
      </c>
    </row>
    <row r="269" spans="1:100" ht="12.75" outlineLevel="2" x14ac:dyDescent="0.2">
      <c r="A269" s="236"/>
      <c r="B269" s="236"/>
      <c r="C269" s="237"/>
      <c r="D269" s="238"/>
      <c r="E269" s="310" t="s">
        <v>1008</v>
      </c>
      <c r="F269" s="415">
        <f xml:space="preserve"> SUMPRODUCT(J267:CV267, J268:CV268)</f>
        <v>21.601295438974496</v>
      </c>
      <c r="G269" s="310" t="s">
        <v>217</v>
      </c>
      <c r="H269" s="310"/>
      <c r="I269" s="310"/>
      <c r="J269" s="310"/>
      <c r="K269" s="310"/>
      <c r="L269" s="310"/>
      <c r="M269" s="310"/>
      <c r="N269" s="310"/>
      <c r="O269" s="310"/>
      <c r="P269" s="310"/>
      <c r="Q269" s="310"/>
      <c r="R269" s="310"/>
      <c r="S269" s="310"/>
      <c r="T269" s="310"/>
      <c r="U269" s="310"/>
      <c r="V269" s="310"/>
      <c r="W269" s="310"/>
      <c r="X269" s="310"/>
      <c r="Y269" s="310"/>
      <c r="Z269" s="310"/>
      <c r="AA269" s="310"/>
      <c r="AB269" s="310"/>
      <c r="AC269" s="310"/>
      <c r="AD269" s="310"/>
      <c r="AE269" s="310"/>
      <c r="AF269" s="310"/>
      <c r="AG269" s="310"/>
      <c r="AH269" s="310"/>
      <c r="AI269" s="310"/>
      <c r="AJ269" s="310"/>
      <c r="AK269" s="310"/>
      <c r="AL269" s="310"/>
      <c r="AM269" s="310"/>
      <c r="AN269" s="310"/>
      <c r="AO269" s="310"/>
      <c r="AP269" s="310"/>
      <c r="AQ269" s="310"/>
      <c r="AR269" s="310"/>
      <c r="AS269" s="310"/>
      <c r="AT269" s="310"/>
      <c r="AU269" s="310"/>
      <c r="AV269" s="310"/>
      <c r="AW269" s="310"/>
      <c r="AX269" s="310"/>
      <c r="AY269" s="310"/>
      <c r="AZ269" s="310"/>
      <c r="BA269" s="310"/>
      <c r="BB269" s="310"/>
      <c r="BC269" s="310"/>
      <c r="BD269" s="310"/>
      <c r="BE269" s="310"/>
      <c r="BF269" s="310"/>
      <c r="BG269" s="310"/>
      <c r="BH269" s="310"/>
      <c r="BI269" s="310"/>
      <c r="BJ269" s="310"/>
      <c r="BK269" s="310"/>
      <c r="BL269" s="310"/>
      <c r="BM269" s="310"/>
      <c r="BN269" s="310"/>
      <c r="BO269" s="310"/>
      <c r="BP269" s="310"/>
      <c r="BQ269" s="310"/>
      <c r="BR269" s="310"/>
      <c r="BS269" s="310"/>
      <c r="BT269" s="310"/>
      <c r="BU269" s="310"/>
      <c r="BV269" s="310"/>
      <c r="BW269" s="310"/>
      <c r="BX269" s="310"/>
      <c r="BY269" s="310"/>
      <c r="BZ269" s="310"/>
      <c r="CA269" s="310"/>
      <c r="CB269" s="310"/>
      <c r="CC269" s="310"/>
      <c r="CD269" s="310"/>
      <c r="CE269" s="310"/>
      <c r="CF269" s="310"/>
      <c r="CG269" s="310"/>
      <c r="CH269" s="310"/>
      <c r="CI269" s="310"/>
      <c r="CJ269" s="310"/>
      <c r="CK269" s="310"/>
      <c r="CL269" s="310"/>
      <c r="CM269" s="310"/>
      <c r="CN269" s="310"/>
      <c r="CO269" s="310"/>
      <c r="CP269" s="310"/>
      <c r="CQ269" s="310"/>
      <c r="CR269" s="310"/>
      <c r="CS269" s="310"/>
      <c r="CT269" s="310"/>
      <c r="CU269" s="310"/>
      <c r="CV269" s="310"/>
    </row>
    <row r="270" spans="1:100" ht="12.75" outlineLevel="2" x14ac:dyDescent="0.2">
      <c r="A270" s="236"/>
      <c r="B270" s="236"/>
      <c r="C270" s="237"/>
      <c r="D270" s="238"/>
      <c r="E270" s="310"/>
      <c r="F270" s="310"/>
      <c r="G270" s="310"/>
      <c r="H270" s="310"/>
      <c r="I270" s="310"/>
      <c r="J270" s="310"/>
      <c r="K270" s="310"/>
      <c r="L270" s="310"/>
      <c r="M270" s="310"/>
      <c r="N270" s="310"/>
      <c r="O270" s="310"/>
      <c r="P270" s="310"/>
      <c r="Q270" s="310"/>
      <c r="R270" s="310"/>
      <c r="S270" s="310"/>
      <c r="T270" s="310"/>
      <c r="U270" s="310"/>
      <c r="V270" s="310"/>
      <c r="W270" s="310"/>
      <c r="X270" s="310"/>
      <c r="Y270" s="310"/>
      <c r="Z270" s="310"/>
      <c r="AA270" s="310"/>
      <c r="AB270" s="310"/>
      <c r="AC270" s="310"/>
      <c r="AD270" s="310"/>
      <c r="AE270" s="310"/>
      <c r="AF270" s="310"/>
      <c r="AG270" s="310"/>
      <c r="AH270" s="310"/>
      <c r="AI270" s="310"/>
      <c r="AJ270" s="310"/>
      <c r="AK270" s="310"/>
      <c r="AL270" s="310"/>
      <c r="AM270" s="310"/>
      <c r="AN270" s="310"/>
      <c r="AO270" s="310"/>
      <c r="AP270" s="310"/>
      <c r="AQ270" s="310"/>
      <c r="AR270" s="310"/>
      <c r="AS270" s="310"/>
      <c r="AT270" s="310"/>
      <c r="AU270" s="310"/>
      <c r="AV270" s="310"/>
      <c r="AW270" s="310"/>
      <c r="AX270" s="310"/>
      <c r="AY270" s="310"/>
      <c r="AZ270" s="310"/>
      <c r="BA270" s="310"/>
      <c r="BB270" s="310"/>
      <c r="BC270" s="310"/>
      <c r="BD270" s="310"/>
      <c r="BE270" s="310"/>
      <c r="BF270" s="310"/>
      <c r="BG270" s="310"/>
      <c r="BH270" s="310"/>
      <c r="BI270" s="310"/>
      <c r="BJ270" s="310"/>
      <c r="BK270" s="310"/>
      <c r="BL270" s="310"/>
      <c r="BM270" s="310"/>
      <c r="BN270" s="310"/>
      <c r="BO270" s="310"/>
      <c r="BP270" s="310"/>
      <c r="BQ270" s="310"/>
      <c r="BR270" s="310"/>
      <c r="BS270" s="310"/>
      <c r="BT270" s="310"/>
      <c r="BU270" s="310"/>
      <c r="BV270" s="310"/>
      <c r="BW270" s="310"/>
      <c r="BX270" s="310"/>
      <c r="BY270" s="310"/>
      <c r="BZ270" s="310"/>
      <c r="CA270" s="310"/>
      <c r="CB270" s="310"/>
      <c r="CC270" s="310"/>
      <c r="CD270" s="310"/>
      <c r="CE270" s="310"/>
      <c r="CF270" s="310"/>
      <c r="CG270" s="310"/>
      <c r="CH270" s="310"/>
      <c r="CI270" s="310"/>
      <c r="CJ270" s="310"/>
      <c r="CK270" s="310"/>
      <c r="CL270" s="310"/>
      <c r="CM270" s="310"/>
      <c r="CN270" s="310"/>
      <c r="CO270" s="310"/>
      <c r="CP270" s="310"/>
      <c r="CQ270" s="310"/>
      <c r="CR270" s="310"/>
      <c r="CS270" s="310"/>
      <c r="CT270" s="310"/>
      <c r="CU270" s="310"/>
      <c r="CV270" s="310"/>
    </row>
    <row r="271" spans="1:100" ht="12.75" outlineLevel="2" x14ac:dyDescent="0.2">
      <c r="E271" s="145" t="str">
        <f xml:space="preserve"> ConFin!E$333</f>
        <v>Sum of construction debt drawdown - T2</v>
      </c>
      <c r="F271" s="145">
        <f xml:space="preserve"> ConFin!F$333</f>
        <v>125194.92613015344</v>
      </c>
      <c r="G271" s="145" t="str">
        <f xml:space="preserve"> ConFin!G$333</f>
        <v>$ 000s</v>
      </c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38"/>
      <c r="CK271" s="38"/>
      <c r="CL271" s="38"/>
      <c r="CM271" s="38"/>
      <c r="CN271" s="38"/>
      <c r="CO271" s="38"/>
      <c r="CP271" s="38"/>
      <c r="CQ271" s="38"/>
      <c r="CR271" s="38"/>
      <c r="CS271" s="38"/>
      <c r="CT271" s="38"/>
      <c r="CU271" s="38"/>
      <c r="CV271" s="38"/>
    </row>
    <row r="272" spans="1:100" s="280" customFormat="1" ht="12.75" outlineLevel="2" x14ac:dyDescent="0.2">
      <c r="A272" s="412"/>
      <c r="B272" s="412"/>
      <c r="C272" s="860"/>
      <c r="D272" s="413"/>
      <c r="E272" s="82" t="str">
        <f t="shared" ref="E272:G272" si="374" xml:space="preserve"> E$269</f>
        <v>Sum of Senior debt discount factors - T2</v>
      </c>
      <c r="F272" s="82">
        <f t="shared" si="374"/>
        <v>21.601295438974496</v>
      </c>
      <c r="G272" s="82" t="str">
        <f t="shared" si="374"/>
        <v>sum of factors</v>
      </c>
      <c r="H272" s="415"/>
      <c r="I272" s="415"/>
      <c r="J272" s="415"/>
      <c r="K272" s="415"/>
      <c r="L272" s="415"/>
      <c r="M272" s="415"/>
      <c r="N272" s="415"/>
      <c r="O272" s="415"/>
      <c r="P272" s="415"/>
      <c r="Q272" s="415"/>
      <c r="R272" s="415"/>
      <c r="S272" s="415"/>
      <c r="T272" s="415"/>
      <c r="U272" s="415"/>
      <c r="V272" s="415"/>
      <c r="W272" s="415"/>
      <c r="X272" s="415"/>
      <c r="Y272" s="415"/>
      <c r="Z272" s="415"/>
      <c r="AA272" s="415"/>
      <c r="AB272" s="415"/>
      <c r="AC272" s="415"/>
      <c r="AD272" s="415"/>
      <c r="AE272" s="415"/>
      <c r="AF272" s="415"/>
      <c r="AG272" s="415"/>
      <c r="AH272" s="415"/>
      <c r="AI272" s="415"/>
      <c r="AJ272" s="415"/>
      <c r="AK272" s="415"/>
      <c r="AL272" s="415"/>
      <c r="AM272" s="415"/>
      <c r="AN272" s="415"/>
      <c r="AO272" s="415"/>
      <c r="AP272" s="415"/>
      <c r="AQ272" s="415"/>
      <c r="AR272" s="415"/>
      <c r="AS272" s="415"/>
      <c r="AT272" s="415"/>
      <c r="AU272" s="415"/>
      <c r="AV272" s="415"/>
      <c r="AW272" s="415"/>
      <c r="AX272" s="415"/>
      <c r="AY272" s="415"/>
      <c r="AZ272" s="415"/>
      <c r="BA272" s="415"/>
      <c r="BB272" s="415"/>
      <c r="BC272" s="415"/>
      <c r="BD272" s="415"/>
      <c r="BE272" s="415"/>
      <c r="BF272" s="415"/>
      <c r="BG272" s="415"/>
      <c r="BH272" s="415"/>
      <c r="BI272" s="415"/>
      <c r="BJ272" s="415"/>
      <c r="BK272" s="415"/>
      <c r="BL272" s="415"/>
      <c r="BM272" s="415"/>
      <c r="BN272" s="415"/>
      <c r="BO272" s="415"/>
      <c r="BP272" s="415"/>
      <c r="BQ272" s="415"/>
      <c r="BR272" s="415"/>
      <c r="BS272" s="415"/>
      <c r="BT272" s="415"/>
      <c r="BU272" s="415"/>
      <c r="BV272" s="415"/>
      <c r="BW272" s="415"/>
      <c r="BX272" s="415"/>
      <c r="BY272" s="415"/>
      <c r="BZ272" s="415"/>
      <c r="CA272" s="415"/>
      <c r="CB272" s="415"/>
      <c r="CC272" s="415"/>
      <c r="CD272" s="415"/>
      <c r="CE272" s="415"/>
      <c r="CF272" s="415"/>
      <c r="CG272" s="415"/>
      <c r="CH272" s="415"/>
      <c r="CI272" s="415"/>
      <c r="CJ272" s="415"/>
      <c r="CK272" s="415"/>
      <c r="CL272" s="415"/>
      <c r="CM272" s="415"/>
      <c r="CN272" s="415"/>
      <c r="CO272" s="415"/>
      <c r="CP272" s="415"/>
      <c r="CQ272" s="415"/>
      <c r="CR272" s="415"/>
      <c r="CS272" s="415"/>
      <c r="CT272" s="415"/>
      <c r="CU272" s="415"/>
      <c r="CV272" s="415"/>
    </row>
    <row r="273" spans="1:100" ht="12.75" outlineLevel="2" x14ac:dyDescent="0.2">
      <c r="A273" s="236"/>
      <c r="B273" s="236"/>
      <c r="C273" s="237"/>
      <c r="D273" s="238"/>
      <c r="E273" s="310" t="s">
        <v>992</v>
      </c>
      <c r="F273" s="310">
        <f xml:space="preserve"> F271 / F272</f>
        <v>5795.713802620764</v>
      </c>
      <c r="G273" s="310" t="str">
        <f xml:space="preserve"> SMU</f>
        <v>$ 000s</v>
      </c>
      <c r="H273" s="310"/>
      <c r="I273" s="310"/>
      <c r="J273" s="310"/>
      <c r="K273" s="310"/>
      <c r="L273" s="310"/>
      <c r="M273" s="310"/>
      <c r="N273" s="310"/>
      <c r="O273" s="310"/>
      <c r="P273" s="310"/>
      <c r="Q273" s="310"/>
      <c r="R273" s="310"/>
      <c r="S273" s="310"/>
      <c r="T273" s="310"/>
      <c r="U273" s="310"/>
      <c r="V273" s="310"/>
      <c r="W273" s="310"/>
      <c r="X273" s="310"/>
      <c r="Y273" s="310"/>
      <c r="Z273" s="310"/>
      <c r="AA273" s="310"/>
      <c r="AB273" s="310"/>
      <c r="AC273" s="310"/>
      <c r="AD273" s="310"/>
      <c r="AE273" s="310"/>
      <c r="AF273" s="310"/>
      <c r="AG273" s="310"/>
      <c r="AH273" s="310"/>
      <c r="AI273" s="310"/>
      <c r="AJ273" s="310"/>
      <c r="AK273" s="310"/>
      <c r="AL273" s="310"/>
      <c r="AM273" s="310"/>
      <c r="AN273" s="310"/>
      <c r="AO273" s="310"/>
      <c r="AP273" s="310"/>
      <c r="AQ273" s="310"/>
      <c r="AR273" s="310"/>
      <c r="AS273" s="310"/>
      <c r="AT273" s="310"/>
      <c r="AU273" s="310"/>
      <c r="AV273" s="310"/>
      <c r="AW273" s="310"/>
      <c r="AX273" s="310"/>
      <c r="AY273" s="310"/>
      <c r="AZ273" s="310"/>
      <c r="BA273" s="310"/>
      <c r="BB273" s="310"/>
      <c r="BC273" s="310"/>
      <c r="BD273" s="310"/>
      <c r="BE273" s="310"/>
      <c r="BF273" s="310"/>
      <c r="BG273" s="310"/>
      <c r="BH273" s="310"/>
      <c r="BI273" s="310"/>
      <c r="BJ273" s="310"/>
      <c r="BK273" s="310"/>
      <c r="BL273" s="310"/>
      <c r="BM273" s="310"/>
      <c r="BN273" s="310"/>
      <c r="BO273" s="310"/>
      <c r="BP273" s="310"/>
      <c r="BQ273" s="310"/>
      <c r="BR273" s="310"/>
      <c r="BS273" s="310"/>
      <c r="BT273" s="310"/>
      <c r="BU273" s="310"/>
      <c r="BV273" s="310"/>
      <c r="BW273" s="310"/>
      <c r="BX273" s="310"/>
      <c r="BY273" s="310"/>
      <c r="BZ273" s="310"/>
      <c r="CA273" s="310"/>
      <c r="CB273" s="310"/>
      <c r="CC273" s="310"/>
      <c r="CD273" s="310"/>
      <c r="CE273" s="310"/>
      <c r="CF273" s="310"/>
      <c r="CG273" s="310"/>
      <c r="CH273" s="310"/>
      <c r="CI273" s="310"/>
      <c r="CJ273" s="310"/>
      <c r="CK273" s="310"/>
      <c r="CL273" s="310"/>
      <c r="CM273" s="310"/>
      <c r="CN273" s="310"/>
      <c r="CO273" s="310"/>
      <c r="CP273" s="310"/>
      <c r="CQ273" s="310"/>
      <c r="CR273" s="310"/>
      <c r="CS273" s="310"/>
      <c r="CT273" s="310"/>
      <c r="CU273" s="310"/>
      <c r="CV273" s="310"/>
    </row>
    <row r="274" spans="1:100" ht="12.75" outlineLevel="2" x14ac:dyDescent="0.2">
      <c r="A274" s="236"/>
      <c r="B274" s="236"/>
      <c r="C274" s="237"/>
      <c r="D274" s="238"/>
      <c r="E274" s="310"/>
      <c r="F274" s="310"/>
      <c r="G274" s="310"/>
      <c r="H274" s="310"/>
      <c r="I274" s="310"/>
      <c r="J274" s="310"/>
      <c r="K274" s="310"/>
      <c r="L274" s="310"/>
      <c r="M274" s="310"/>
      <c r="N274" s="310"/>
      <c r="O274" s="310"/>
      <c r="P274" s="310"/>
      <c r="Q274" s="310"/>
      <c r="R274" s="310"/>
      <c r="S274" s="310"/>
      <c r="T274" s="310"/>
      <c r="U274" s="310"/>
      <c r="V274" s="310"/>
      <c r="W274" s="310"/>
      <c r="X274" s="310"/>
      <c r="Y274" s="310"/>
      <c r="Z274" s="310"/>
      <c r="AA274" s="310"/>
      <c r="AB274" s="310"/>
      <c r="AC274" s="310"/>
      <c r="AD274" s="310"/>
      <c r="AE274" s="310"/>
      <c r="AF274" s="310"/>
      <c r="AG274" s="310"/>
      <c r="AH274" s="310"/>
      <c r="AI274" s="310"/>
      <c r="AJ274" s="310"/>
      <c r="AK274" s="310"/>
      <c r="AL274" s="310"/>
      <c r="AM274" s="310"/>
      <c r="AN274" s="310"/>
      <c r="AO274" s="310"/>
      <c r="AP274" s="310"/>
      <c r="AQ274" s="310"/>
      <c r="AR274" s="310"/>
      <c r="AS274" s="310"/>
      <c r="AT274" s="310"/>
      <c r="AU274" s="310"/>
      <c r="AV274" s="310"/>
      <c r="AW274" s="310"/>
      <c r="AX274" s="310"/>
      <c r="AY274" s="310"/>
      <c r="AZ274" s="310"/>
      <c r="BA274" s="310"/>
      <c r="BB274" s="310"/>
      <c r="BC274" s="310"/>
      <c r="BD274" s="310"/>
      <c r="BE274" s="310"/>
      <c r="BF274" s="310"/>
      <c r="BG274" s="310"/>
      <c r="BH274" s="310"/>
      <c r="BI274" s="310"/>
      <c r="BJ274" s="310"/>
      <c r="BK274" s="310"/>
      <c r="BL274" s="310"/>
      <c r="BM274" s="310"/>
      <c r="BN274" s="310"/>
      <c r="BO274" s="310"/>
      <c r="BP274" s="310"/>
      <c r="BQ274" s="310"/>
      <c r="BR274" s="310"/>
      <c r="BS274" s="310"/>
      <c r="BT274" s="310"/>
      <c r="BU274" s="310"/>
      <c r="BV274" s="310"/>
      <c r="BW274" s="310"/>
      <c r="BX274" s="310"/>
      <c r="BY274" s="310"/>
      <c r="BZ274" s="310"/>
      <c r="CA274" s="310"/>
      <c r="CB274" s="310"/>
      <c r="CC274" s="310"/>
      <c r="CD274" s="310"/>
      <c r="CE274" s="310"/>
      <c r="CF274" s="310"/>
      <c r="CG274" s="310"/>
      <c r="CH274" s="310"/>
      <c r="CI274" s="310"/>
      <c r="CJ274" s="310"/>
      <c r="CK274" s="310"/>
      <c r="CL274" s="310"/>
      <c r="CM274" s="310"/>
      <c r="CN274" s="310"/>
      <c r="CO274" s="310"/>
      <c r="CP274" s="310"/>
      <c r="CQ274" s="310"/>
      <c r="CR274" s="310"/>
      <c r="CS274" s="310"/>
      <c r="CT274" s="310"/>
      <c r="CU274" s="310"/>
      <c r="CV274" s="310"/>
    </row>
    <row r="275" spans="1:100" ht="12.75" outlineLevel="2" x14ac:dyDescent="0.2">
      <c r="A275" s="236"/>
      <c r="B275" s="236"/>
      <c r="C275" s="237"/>
      <c r="D275" s="238"/>
      <c r="E275" s="198" t="str">
        <f t="shared" ref="E275:G275" si="375" xml:space="preserve"> E$273</f>
        <v>Senior debt level ds periodic payment - T2</v>
      </c>
      <c r="F275" s="198">
        <f t="shared" si="375"/>
        <v>5795.713802620764</v>
      </c>
      <c r="G275" s="198" t="str">
        <f t="shared" si="375"/>
        <v>$ 000s</v>
      </c>
      <c r="H275" s="310"/>
      <c r="I275" s="310"/>
      <c r="J275" s="310"/>
      <c r="K275" s="310"/>
      <c r="L275" s="310"/>
      <c r="M275" s="310"/>
      <c r="N275" s="310"/>
      <c r="O275" s="310"/>
      <c r="P275" s="310"/>
      <c r="Q275" s="310"/>
      <c r="R275" s="310"/>
      <c r="S275" s="310"/>
      <c r="T275" s="310"/>
      <c r="U275" s="310"/>
      <c r="V275" s="310"/>
      <c r="W275" s="310"/>
      <c r="X275" s="310"/>
      <c r="Y275" s="310"/>
      <c r="Z275" s="310"/>
      <c r="AA275" s="310"/>
      <c r="AB275" s="310"/>
      <c r="AC275" s="310"/>
      <c r="AD275" s="310"/>
      <c r="AE275" s="310"/>
      <c r="AF275" s="310"/>
      <c r="AG275" s="310"/>
      <c r="AH275" s="310"/>
      <c r="AI275" s="310"/>
      <c r="AJ275" s="310"/>
      <c r="AK275" s="310"/>
      <c r="AL275" s="310"/>
      <c r="AM275" s="310"/>
      <c r="AN275" s="310"/>
      <c r="AO275" s="310"/>
      <c r="AP275" s="310"/>
      <c r="AQ275" s="310"/>
      <c r="AR275" s="310"/>
      <c r="AS275" s="310"/>
      <c r="AT275" s="310"/>
      <c r="AU275" s="310"/>
      <c r="AV275" s="310"/>
      <c r="AW275" s="310"/>
      <c r="AX275" s="310"/>
      <c r="AY275" s="310"/>
      <c r="AZ275" s="310"/>
      <c r="BA275" s="310"/>
      <c r="BB275" s="310"/>
      <c r="BC275" s="310"/>
      <c r="BD275" s="310"/>
      <c r="BE275" s="310"/>
      <c r="BF275" s="310"/>
      <c r="BG275" s="310"/>
      <c r="BH275" s="310"/>
      <c r="BI275" s="310"/>
      <c r="BJ275" s="310"/>
      <c r="BK275" s="310"/>
      <c r="BL275" s="310"/>
      <c r="BM275" s="310"/>
      <c r="BN275" s="310"/>
      <c r="BO275" s="310"/>
      <c r="BP275" s="310"/>
      <c r="BQ275" s="310"/>
      <c r="BR275" s="310"/>
      <c r="BS275" s="310"/>
      <c r="BT275" s="310"/>
      <c r="BU275" s="310"/>
      <c r="BV275" s="310"/>
      <c r="BW275" s="310"/>
      <c r="BX275" s="310"/>
      <c r="BY275" s="310"/>
      <c r="BZ275" s="310"/>
      <c r="CA275" s="310"/>
      <c r="CB275" s="310"/>
      <c r="CC275" s="310"/>
      <c r="CD275" s="310"/>
      <c r="CE275" s="310"/>
      <c r="CF275" s="310"/>
      <c r="CG275" s="310"/>
      <c r="CH275" s="310"/>
      <c r="CI275" s="310"/>
      <c r="CJ275" s="310"/>
      <c r="CK275" s="310"/>
      <c r="CL275" s="310"/>
      <c r="CM275" s="310"/>
      <c r="CN275" s="310"/>
      <c r="CO275" s="310"/>
      <c r="CP275" s="310"/>
      <c r="CQ275" s="310"/>
      <c r="CR275" s="310"/>
      <c r="CS275" s="310"/>
      <c r="CT275" s="310"/>
      <c r="CU275" s="310"/>
      <c r="CV275" s="310"/>
    </row>
    <row r="276" spans="1:100" ht="12.75" outlineLevel="2" x14ac:dyDescent="0.2">
      <c r="A276" s="236"/>
      <c r="B276" s="236"/>
      <c r="C276" s="237"/>
      <c r="D276" s="238"/>
      <c r="E276" s="12" t="str">
        <f t="shared" ref="E276:AJ276" si="376" xml:space="preserve"> E$349</f>
        <v>Senior debt interest - T2 POS</v>
      </c>
      <c r="F276" s="12">
        <f t="shared" si="376"/>
        <v>0</v>
      </c>
      <c r="G276" s="12" t="str">
        <f t="shared" si="376"/>
        <v>$ 000s</v>
      </c>
      <c r="H276" s="12">
        <f t="shared" si="376"/>
        <v>50719.400835431705</v>
      </c>
      <c r="I276" s="12">
        <f t="shared" si="376"/>
        <v>0</v>
      </c>
      <c r="J276" s="12">
        <f t="shared" si="376"/>
        <v>0</v>
      </c>
      <c r="K276" s="12">
        <f t="shared" si="376"/>
        <v>0</v>
      </c>
      <c r="L276" s="12">
        <f t="shared" si="376"/>
        <v>0</v>
      </c>
      <c r="M276" s="12">
        <f t="shared" si="376"/>
        <v>0</v>
      </c>
      <c r="N276" s="12">
        <f t="shared" si="376"/>
        <v>0</v>
      </c>
      <c r="O276" s="12">
        <f t="shared" si="376"/>
        <v>3007.4603365932417</v>
      </c>
      <c r="P276" s="12">
        <f t="shared" si="376"/>
        <v>2861.4426237247226</v>
      </c>
      <c r="Q276" s="12">
        <f t="shared" si="376"/>
        <v>2827.4302563544802</v>
      </c>
      <c r="R276" s="12">
        <f t="shared" si="376"/>
        <v>2700.2548554507134</v>
      </c>
      <c r="S276" s="12">
        <f t="shared" si="376"/>
        <v>2661.0628632799539</v>
      </c>
      <c r="T276" s="12">
        <f t="shared" si="376"/>
        <v>2534.0368459800811</v>
      </c>
      <c r="U276" s="12">
        <f t="shared" si="376"/>
        <v>2489.4816638803841</v>
      </c>
      <c r="V276" s="12">
        <f t="shared" si="376"/>
        <v>2375.6406705547574</v>
      </c>
      <c r="W276" s="12">
        <f t="shared" si="376"/>
        <v>2312.626961541976</v>
      </c>
      <c r="X276" s="12">
        <f t="shared" si="376"/>
        <v>2186.0562385133053</v>
      </c>
      <c r="Y276" s="12">
        <f t="shared" si="376"/>
        <v>2220.854468947296</v>
      </c>
      <c r="Z276" s="12">
        <f t="shared" si="376"/>
        <v>2091.5619982100643</v>
      </c>
      <c r="AA276" s="12">
        <f t="shared" si="376"/>
        <v>2029.9192920142364</v>
      </c>
      <c r="AB276" s="12">
        <f t="shared" si="376"/>
        <v>1900.5471301160426</v>
      </c>
      <c r="AC276" s="12">
        <f t="shared" si="376"/>
        <v>1832.4843668262508</v>
      </c>
      <c r="AD276" s="12">
        <f t="shared" si="376"/>
        <v>1712.4114864363401</v>
      </c>
      <c r="AE276" s="12">
        <f t="shared" si="376"/>
        <v>1628.351296139547</v>
      </c>
      <c r="AF276" s="12">
        <f t="shared" si="376"/>
        <v>1498.9393486025879</v>
      </c>
      <c r="AG276" s="12">
        <f t="shared" si="376"/>
        <v>1417.2959784483739</v>
      </c>
      <c r="AH276" s="12">
        <f t="shared" si="376"/>
        <v>1287.5009694483854</v>
      </c>
      <c r="AI276" s="12">
        <f t="shared" si="376"/>
        <v>1272.051076082276</v>
      </c>
      <c r="AJ276" s="12">
        <f t="shared" si="376"/>
        <v>1136.3240059796112</v>
      </c>
      <c r="AK276" s="12">
        <f t="shared" ref="AK276:BP276" si="377" xml:space="preserve"> AK$349</f>
        <v>1036.2897842601778</v>
      </c>
      <c r="AL276" s="12">
        <f t="shared" si="377"/>
        <v>904.99934106523745</v>
      </c>
      <c r="AM276" s="12">
        <f t="shared" si="377"/>
        <v>791.5839748373146</v>
      </c>
      <c r="AN276" s="12">
        <f t="shared" si="377"/>
        <v>654.9441068505555</v>
      </c>
      <c r="AO276" s="12">
        <f t="shared" si="377"/>
        <v>537.78347303393627</v>
      </c>
      <c r="AP276" s="12">
        <f t="shared" si="377"/>
        <v>400.27918403838652</v>
      </c>
      <c r="AQ276" s="12">
        <f t="shared" si="377"/>
        <v>274.00182155120319</v>
      </c>
      <c r="AR276" s="12">
        <f t="shared" si="377"/>
        <v>135.78407704150388</v>
      </c>
      <c r="AS276" s="12">
        <f t="shared" si="377"/>
        <v>5.7368266412878361E-5</v>
      </c>
      <c r="AT276" s="12">
        <f t="shared" si="377"/>
        <v>5.6744698299694907E-5</v>
      </c>
      <c r="AU276" s="12">
        <f t="shared" si="377"/>
        <v>5.7368266412878361E-5</v>
      </c>
      <c r="AV276" s="12">
        <f t="shared" si="377"/>
        <v>5.6432914243103177E-5</v>
      </c>
      <c r="AW276" s="12">
        <f t="shared" si="377"/>
        <v>1.8755010173441004E-5</v>
      </c>
      <c r="AX276" s="12">
        <f t="shared" si="377"/>
        <v>1.8449221964091424E-5</v>
      </c>
      <c r="AY276" s="12">
        <f t="shared" si="377"/>
        <v>1.8755010173441004E-5</v>
      </c>
      <c r="AZ276" s="12">
        <f t="shared" si="377"/>
        <v>1.8449221964091424E-5</v>
      </c>
      <c r="BA276" s="12">
        <f t="shared" si="377"/>
        <v>1.8755010173441004E-5</v>
      </c>
      <c r="BB276" s="12">
        <f t="shared" si="377"/>
        <v>1.8551151367207951E-5</v>
      </c>
      <c r="BC276" s="12">
        <f t="shared" si="377"/>
        <v>0</v>
      </c>
      <c r="BD276" s="12">
        <f t="shared" si="377"/>
        <v>0</v>
      </c>
      <c r="BE276" s="12">
        <f t="shared" si="377"/>
        <v>0</v>
      </c>
      <c r="BF276" s="12">
        <f t="shared" si="377"/>
        <v>0</v>
      </c>
      <c r="BG276" s="12">
        <f t="shared" si="377"/>
        <v>0</v>
      </c>
      <c r="BH276" s="12">
        <f t="shared" si="377"/>
        <v>0</v>
      </c>
      <c r="BI276" s="12">
        <f t="shared" si="377"/>
        <v>0</v>
      </c>
      <c r="BJ276" s="12">
        <f t="shared" si="377"/>
        <v>0</v>
      </c>
      <c r="BK276" s="12">
        <f t="shared" si="377"/>
        <v>0</v>
      </c>
      <c r="BL276" s="12">
        <f t="shared" si="377"/>
        <v>0</v>
      </c>
      <c r="BM276" s="12">
        <f t="shared" si="377"/>
        <v>0</v>
      </c>
      <c r="BN276" s="12">
        <f t="shared" si="377"/>
        <v>0</v>
      </c>
      <c r="BO276" s="12">
        <f t="shared" si="377"/>
        <v>0</v>
      </c>
      <c r="BP276" s="12">
        <f t="shared" si="377"/>
        <v>0</v>
      </c>
      <c r="BQ276" s="12">
        <f t="shared" ref="BQ276:CV276" si="378" xml:space="preserve"> BQ$349</f>
        <v>0</v>
      </c>
      <c r="BR276" s="12">
        <f t="shared" si="378"/>
        <v>0</v>
      </c>
      <c r="BS276" s="12">
        <f t="shared" si="378"/>
        <v>0</v>
      </c>
      <c r="BT276" s="12">
        <f t="shared" si="378"/>
        <v>0</v>
      </c>
      <c r="BU276" s="12">
        <f t="shared" si="378"/>
        <v>0</v>
      </c>
      <c r="BV276" s="12">
        <f t="shared" si="378"/>
        <v>0</v>
      </c>
      <c r="BW276" s="12">
        <f t="shared" si="378"/>
        <v>0</v>
      </c>
      <c r="BX276" s="12">
        <f t="shared" si="378"/>
        <v>0</v>
      </c>
      <c r="BY276" s="12">
        <f t="shared" si="378"/>
        <v>0</v>
      </c>
      <c r="BZ276" s="12">
        <f t="shared" si="378"/>
        <v>0</v>
      </c>
      <c r="CA276" s="12">
        <f t="shared" si="378"/>
        <v>0</v>
      </c>
      <c r="CB276" s="12">
        <f t="shared" si="378"/>
        <v>0</v>
      </c>
      <c r="CC276" s="12">
        <f t="shared" si="378"/>
        <v>0</v>
      </c>
      <c r="CD276" s="12">
        <f t="shared" si="378"/>
        <v>0</v>
      </c>
      <c r="CE276" s="12">
        <f t="shared" si="378"/>
        <v>0</v>
      </c>
      <c r="CF276" s="12">
        <f t="shared" si="378"/>
        <v>0</v>
      </c>
      <c r="CG276" s="12">
        <f t="shared" si="378"/>
        <v>0</v>
      </c>
      <c r="CH276" s="12">
        <f t="shared" si="378"/>
        <v>0</v>
      </c>
      <c r="CI276" s="12">
        <f t="shared" si="378"/>
        <v>0</v>
      </c>
      <c r="CJ276" s="12">
        <f t="shared" si="378"/>
        <v>0</v>
      </c>
      <c r="CK276" s="12">
        <f t="shared" si="378"/>
        <v>0</v>
      </c>
      <c r="CL276" s="12">
        <f t="shared" si="378"/>
        <v>0</v>
      </c>
      <c r="CM276" s="12">
        <f t="shared" si="378"/>
        <v>0</v>
      </c>
      <c r="CN276" s="12">
        <f t="shared" si="378"/>
        <v>0</v>
      </c>
      <c r="CO276" s="12">
        <f t="shared" si="378"/>
        <v>0</v>
      </c>
      <c r="CP276" s="12">
        <f t="shared" si="378"/>
        <v>0</v>
      </c>
      <c r="CQ276" s="12">
        <f t="shared" si="378"/>
        <v>0</v>
      </c>
      <c r="CR276" s="12">
        <f t="shared" si="378"/>
        <v>0</v>
      </c>
      <c r="CS276" s="12">
        <f t="shared" si="378"/>
        <v>0</v>
      </c>
      <c r="CT276" s="12">
        <f t="shared" si="378"/>
        <v>0</v>
      </c>
      <c r="CU276" s="12">
        <f t="shared" si="378"/>
        <v>0</v>
      </c>
      <c r="CV276" s="12">
        <f t="shared" si="378"/>
        <v>0</v>
      </c>
    </row>
    <row r="277" spans="1:100" ht="12.75" outlineLevel="2" x14ac:dyDescent="0.2">
      <c r="E277" s="189" t="str">
        <f xml:space="preserve"> Time!E$203</f>
        <v>Senior debt repayment period flag - T2</v>
      </c>
      <c r="F277" s="189">
        <f xml:space="preserve"> Time!F$203</f>
        <v>0</v>
      </c>
      <c r="G277" s="189" t="str">
        <f xml:space="preserve"> Time!G$203</f>
        <v>flag</v>
      </c>
      <c r="H277" s="189">
        <f xml:space="preserve"> Time!H$203</f>
        <v>30</v>
      </c>
      <c r="I277" s="189">
        <f xml:space="preserve"> Time!I$203</f>
        <v>0</v>
      </c>
      <c r="J277" s="189">
        <f xml:space="preserve"> Time!J$203</f>
        <v>0</v>
      </c>
      <c r="K277" s="189">
        <f xml:space="preserve"> Time!K$203</f>
        <v>0</v>
      </c>
      <c r="L277" s="189">
        <f xml:space="preserve"> Time!L$203</f>
        <v>0</v>
      </c>
      <c r="M277" s="189">
        <f xml:space="preserve"> Time!M$203</f>
        <v>0</v>
      </c>
      <c r="N277" s="189">
        <f xml:space="preserve"> Time!N$203</f>
        <v>0</v>
      </c>
      <c r="O277" s="189">
        <f xml:space="preserve"> Time!O$203</f>
        <v>1</v>
      </c>
      <c r="P277" s="189">
        <f xml:space="preserve"> Time!P$203</f>
        <v>1</v>
      </c>
      <c r="Q277" s="189">
        <f xml:space="preserve"> Time!Q$203</f>
        <v>1</v>
      </c>
      <c r="R277" s="189">
        <f xml:space="preserve"> Time!R$203</f>
        <v>1</v>
      </c>
      <c r="S277" s="189">
        <f xml:space="preserve"> Time!S$203</f>
        <v>1</v>
      </c>
      <c r="T277" s="189">
        <f xml:space="preserve"> Time!T$203</f>
        <v>1</v>
      </c>
      <c r="U277" s="189">
        <f xml:space="preserve"> Time!U$203</f>
        <v>1</v>
      </c>
      <c r="V277" s="189">
        <f xml:space="preserve"> Time!V$203</f>
        <v>1</v>
      </c>
      <c r="W277" s="189">
        <f xml:space="preserve"> Time!W$203</f>
        <v>1</v>
      </c>
      <c r="X277" s="189">
        <f xml:space="preserve"> Time!X$203</f>
        <v>1</v>
      </c>
      <c r="Y277" s="189">
        <f xml:space="preserve"> Time!Y$203</f>
        <v>1</v>
      </c>
      <c r="Z277" s="189">
        <f xml:space="preserve"> Time!Z$203</f>
        <v>1</v>
      </c>
      <c r="AA277" s="189">
        <f xml:space="preserve"> Time!AA$203</f>
        <v>1</v>
      </c>
      <c r="AB277" s="189">
        <f xml:space="preserve"> Time!AB$203</f>
        <v>1</v>
      </c>
      <c r="AC277" s="189">
        <f xml:space="preserve"> Time!AC$203</f>
        <v>1</v>
      </c>
      <c r="AD277" s="189">
        <f xml:space="preserve"> Time!AD$203</f>
        <v>1</v>
      </c>
      <c r="AE277" s="189">
        <f xml:space="preserve"> Time!AE$203</f>
        <v>1</v>
      </c>
      <c r="AF277" s="189">
        <f xml:space="preserve"> Time!AF$203</f>
        <v>1</v>
      </c>
      <c r="AG277" s="189">
        <f xml:space="preserve"> Time!AG$203</f>
        <v>1</v>
      </c>
      <c r="AH277" s="189">
        <f xml:space="preserve"> Time!AH$203</f>
        <v>1</v>
      </c>
      <c r="AI277" s="189">
        <f xml:space="preserve"> Time!AI$203</f>
        <v>1</v>
      </c>
      <c r="AJ277" s="189">
        <f xml:space="preserve"> Time!AJ$203</f>
        <v>1</v>
      </c>
      <c r="AK277" s="189">
        <f xml:space="preserve"> Time!AK$203</f>
        <v>1</v>
      </c>
      <c r="AL277" s="189">
        <f xml:space="preserve"> Time!AL$203</f>
        <v>1</v>
      </c>
      <c r="AM277" s="189">
        <f xml:space="preserve"> Time!AM$203</f>
        <v>1</v>
      </c>
      <c r="AN277" s="189">
        <f xml:space="preserve"> Time!AN$203</f>
        <v>1</v>
      </c>
      <c r="AO277" s="189">
        <f xml:space="preserve"> Time!AO$203</f>
        <v>1</v>
      </c>
      <c r="AP277" s="189">
        <f xml:space="preserve"> Time!AP$203</f>
        <v>1</v>
      </c>
      <c r="AQ277" s="189">
        <f xml:space="preserve"> Time!AQ$203</f>
        <v>1</v>
      </c>
      <c r="AR277" s="189">
        <f xml:space="preserve"> Time!AR$203</f>
        <v>1</v>
      </c>
      <c r="AS277" s="189">
        <f xml:space="preserve"> Time!AS$203</f>
        <v>0</v>
      </c>
      <c r="AT277" s="189">
        <f xml:space="preserve"> Time!AT$203</f>
        <v>0</v>
      </c>
      <c r="AU277" s="189">
        <f xml:space="preserve"> Time!AU$203</f>
        <v>0</v>
      </c>
      <c r="AV277" s="189">
        <f xml:space="preserve"> Time!AV$203</f>
        <v>0</v>
      </c>
      <c r="AW277" s="189">
        <f xml:space="preserve"> Time!AW$203</f>
        <v>0</v>
      </c>
      <c r="AX277" s="189">
        <f xml:space="preserve"> Time!AX$203</f>
        <v>0</v>
      </c>
      <c r="AY277" s="189">
        <f xml:space="preserve"> Time!AY$203</f>
        <v>0</v>
      </c>
      <c r="AZ277" s="189">
        <f xml:space="preserve"> Time!AZ$203</f>
        <v>0</v>
      </c>
      <c r="BA277" s="189">
        <f xml:space="preserve"> Time!BA$203</f>
        <v>0</v>
      </c>
      <c r="BB277" s="189">
        <f xml:space="preserve"> Time!BB$203</f>
        <v>0</v>
      </c>
      <c r="BC277" s="189">
        <f xml:space="preserve"> Time!BC$203</f>
        <v>0</v>
      </c>
      <c r="BD277" s="189">
        <f xml:space="preserve"> Time!BD$203</f>
        <v>0</v>
      </c>
      <c r="BE277" s="189">
        <f xml:space="preserve"> Time!BE$203</f>
        <v>0</v>
      </c>
      <c r="BF277" s="189">
        <f xml:space="preserve"> Time!BF$203</f>
        <v>0</v>
      </c>
      <c r="BG277" s="189">
        <f xml:space="preserve"> Time!BG$203</f>
        <v>0</v>
      </c>
      <c r="BH277" s="189">
        <f xml:space="preserve"> Time!BH$203</f>
        <v>0</v>
      </c>
      <c r="BI277" s="189">
        <f xml:space="preserve"> Time!BI$203</f>
        <v>0</v>
      </c>
      <c r="BJ277" s="189">
        <f xml:space="preserve"> Time!BJ$203</f>
        <v>0</v>
      </c>
      <c r="BK277" s="189">
        <f xml:space="preserve"> Time!BK$203</f>
        <v>0</v>
      </c>
      <c r="BL277" s="189">
        <f xml:space="preserve"> Time!BL$203</f>
        <v>0</v>
      </c>
      <c r="BM277" s="189">
        <f xml:space="preserve"> Time!BM$203</f>
        <v>0</v>
      </c>
      <c r="BN277" s="189">
        <f xml:space="preserve"> Time!BN$203</f>
        <v>0</v>
      </c>
      <c r="BO277" s="189">
        <f xml:space="preserve"> Time!BO$203</f>
        <v>0</v>
      </c>
      <c r="BP277" s="189">
        <f xml:space="preserve"> Time!BP$203</f>
        <v>0</v>
      </c>
      <c r="BQ277" s="189">
        <f xml:space="preserve"> Time!BQ$203</f>
        <v>0</v>
      </c>
      <c r="BR277" s="189">
        <f xml:space="preserve"> Time!BR$203</f>
        <v>0</v>
      </c>
      <c r="BS277" s="189">
        <f xml:space="preserve"> Time!BS$203</f>
        <v>0</v>
      </c>
      <c r="BT277" s="189">
        <f xml:space="preserve"> Time!BT$203</f>
        <v>0</v>
      </c>
      <c r="BU277" s="189">
        <f xml:space="preserve"> Time!BU$203</f>
        <v>0</v>
      </c>
      <c r="BV277" s="189">
        <f xml:space="preserve"> Time!BV$203</f>
        <v>0</v>
      </c>
      <c r="BW277" s="189">
        <f xml:space="preserve"> Time!BW$203</f>
        <v>0</v>
      </c>
      <c r="BX277" s="189">
        <f xml:space="preserve"> Time!BX$203</f>
        <v>0</v>
      </c>
      <c r="BY277" s="189">
        <f xml:space="preserve"> Time!BY$203</f>
        <v>0</v>
      </c>
      <c r="BZ277" s="189">
        <f xml:space="preserve"> Time!BZ$203</f>
        <v>0</v>
      </c>
      <c r="CA277" s="189">
        <f xml:space="preserve"> Time!CA$203</f>
        <v>0</v>
      </c>
      <c r="CB277" s="189">
        <f xml:space="preserve"> Time!CB$203</f>
        <v>0</v>
      </c>
      <c r="CC277" s="189">
        <f xml:space="preserve"> Time!CC$203</f>
        <v>0</v>
      </c>
      <c r="CD277" s="189">
        <f xml:space="preserve"> Time!CD$203</f>
        <v>0</v>
      </c>
      <c r="CE277" s="189">
        <f xml:space="preserve"> Time!CE$203</f>
        <v>0</v>
      </c>
      <c r="CF277" s="189">
        <f xml:space="preserve"> Time!CF$203</f>
        <v>0</v>
      </c>
      <c r="CG277" s="189">
        <f xml:space="preserve"> Time!CG$203</f>
        <v>0</v>
      </c>
      <c r="CH277" s="189">
        <f xml:space="preserve"> Time!CH$203</f>
        <v>0</v>
      </c>
      <c r="CI277" s="189">
        <f xml:space="preserve"> Time!CI$203</f>
        <v>0</v>
      </c>
      <c r="CJ277" s="189">
        <f xml:space="preserve"> Time!CJ$203</f>
        <v>0</v>
      </c>
      <c r="CK277" s="189">
        <f xml:space="preserve"> Time!CK$203</f>
        <v>0</v>
      </c>
      <c r="CL277" s="189">
        <f xml:space="preserve"> Time!CL$203</f>
        <v>0</v>
      </c>
      <c r="CM277" s="189">
        <f xml:space="preserve"> Time!CM$203</f>
        <v>0</v>
      </c>
      <c r="CN277" s="189">
        <f xml:space="preserve"> Time!CN$203</f>
        <v>0</v>
      </c>
      <c r="CO277" s="189">
        <f xml:space="preserve"> Time!CO$203</f>
        <v>0</v>
      </c>
      <c r="CP277" s="189">
        <f xml:space="preserve"> Time!CP$203</f>
        <v>0</v>
      </c>
      <c r="CQ277" s="189">
        <f xml:space="preserve"> Time!CQ$203</f>
        <v>0</v>
      </c>
      <c r="CR277" s="189">
        <f xml:space="preserve"> Time!CR$203</f>
        <v>0</v>
      </c>
      <c r="CS277" s="189">
        <f xml:space="preserve"> Time!CS$203</f>
        <v>0</v>
      </c>
      <c r="CT277" s="189">
        <f xml:space="preserve"> Time!CT$203</f>
        <v>0</v>
      </c>
      <c r="CU277" s="189">
        <f xml:space="preserve"> Time!CU$203</f>
        <v>0</v>
      </c>
      <c r="CV277" s="189">
        <f xml:space="preserve"> Time!CV$203</f>
        <v>0</v>
      </c>
    </row>
    <row r="278" spans="1:100" ht="12.75" outlineLevel="2" x14ac:dyDescent="0.2">
      <c r="A278" s="236"/>
      <c r="B278" s="236"/>
      <c r="C278" s="237"/>
      <c r="D278" s="238"/>
      <c r="E278" s="310" t="s">
        <v>1010</v>
      </c>
      <c r="F278" s="310"/>
      <c r="G278" s="310" t="str">
        <f xml:space="preserve"> SMU</f>
        <v>$ 000s</v>
      </c>
      <c r="H278" s="310">
        <f xml:space="preserve"> SUM(J278:CV278)</f>
        <v>123152.01358281999</v>
      </c>
      <c r="I278" s="310"/>
      <c r="J278" s="310">
        <f t="shared" ref="J278:BU278" si="379" xml:space="preserve"> ($F275 - J276) * J277</f>
        <v>0</v>
      </c>
      <c r="K278" s="310">
        <f t="shared" si="379"/>
        <v>0</v>
      </c>
      <c r="L278" s="310">
        <f t="shared" si="379"/>
        <v>0</v>
      </c>
      <c r="M278" s="310">
        <f t="shared" si="379"/>
        <v>0</v>
      </c>
      <c r="N278" s="310">
        <f t="shared" si="379"/>
        <v>0</v>
      </c>
      <c r="O278" s="310">
        <f t="shared" si="379"/>
        <v>2788.2534660275223</v>
      </c>
      <c r="P278" s="310">
        <f t="shared" si="379"/>
        <v>2934.2711788960414</v>
      </c>
      <c r="Q278" s="310">
        <f t="shared" si="379"/>
        <v>2968.2835462662838</v>
      </c>
      <c r="R278" s="310">
        <f t="shared" si="379"/>
        <v>3095.4589471700506</v>
      </c>
      <c r="S278" s="310">
        <f t="shared" si="379"/>
        <v>3134.6509393408101</v>
      </c>
      <c r="T278" s="310">
        <f t="shared" si="379"/>
        <v>3261.6769566406829</v>
      </c>
      <c r="U278" s="310">
        <f t="shared" si="379"/>
        <v>3306.2321387403799</v>
      </c>
      <c r="V278" s="310">
        <f t="shared" si="379"/>
        <v>3420.0731320660066</v>
      </c>
      <c r="W278" s="310">
        <f t="shared" si="379"/>
        <v>3483.086841078788</v>
      </c>
      <c r="X278" s="310">
        <f t="shared" si="379"/>
        <v>3609.6575641074587</v>
      </c>
      <c r="Y278" s="310">
        <f t="shared" si="379"/>
        <v>3574.859333673468</v>
      </c>
      <c r="Z278" s="310">
        <f t="shared" si="379"/>
        <v>3704.1518044106997</v>
      </c>
      <c r="AA278" s="310">
        <f t="shared" si="379"/>
        <v>3765.7945106065276</v>
      </c>
      <c r="AB278" s="310">
        <f t="shared" si="379"/>
        <v>3895.1666725047216</v>
      </c>
      <c r="AC278" s="310">
        <f t="shared" si="379"/>
        <v>3963.2294357945129</v>
      </c>
      <c r="AD278" s="310">
        <f t="shared" si="379"/>
        <v>4083.3023161844239</v>
      </c>
      <c r="AE278" s="310">
        <f t="shared" si="379"/>
        <v>4167.3625064812168</v>
      </c>
      <c r="AF278" s="310">
        <f t="shared" si="379"/>
        <v>4296.7744540181757</v>
      </c>
      <c r="AG278" s="310">
        <f t="shared" si="379"/>
        <v>4378.4178241723903</v>
      </c>
      <c r="AH278" s="310">
        <f t="shared" si="379"/>
        <v>4508.2128331723789</v>
      </c>
      <c r="AI278" s="310">
        <f t="shared" si="379"/>
        <v>4523.6627265384877</v>
      </c>
      <c r="AJ278" s="310">
        <f t="shared" si="379"/>
        <v>4659.3897966411532</v>
      </c>
      <c r="AK278" s="310">
        <f t="shared" si="379"/>
        <v>4759.4240183605862</v>
      </c>
      <c r="AL278" s="310">
        <f t="shared" si="379"/>
        <v>4890.7144615555262</v>
      </c>
      <c r="AM278" s="310">
        <f t="shared" si="379"/>
        <v>5004.1298277834494</v>
      </c>
      <c r="AN278" s="310">
        <f t="shared" si="379"/>
        <v>5140.7696957702083</v>
      </c>
      <c r="AO278" s="310">
        <f t="shared" si="379"/>
        <v>5257.9303295868276</v>
      </c>
      <c r="AP278" s="310">
        <f t="shared" si="379"/>
        <v>5395.4346185823779</v>
      </c>
      <c r="AQ278" s="310">
        <f t="shared" si="379"/>
        <v>5521.7119810695604</v>
      </c>
      <c r="AR278" s="310">
        <f t="shared" si="379"/>
        <v>5659.9297255792599</v>
      </c>
      <c r="AS278" s="310">
        <f t="shared" si="379"/>
        <v>0</v>
      </c>
      <c r="AT278" s="310">
        <f t="shared" si="379"/>
        <v>0</v>
      </c>
      <c r="AU278" s="310">
        <f t="shared" si="379"/>
        <v>0</v>
      </c>
      <c r="AV278" s="310">
        <f t="shared" si="379"/>
        <v>0</v>
      </c>
      <c r="AW278" s="310">
        <f t="shared" si="379"/>
        <v>0</v>
      </c>
      <c r="AX278" s="310">
        <f t="shared" si="379"/>
        <v>0</v>
      </c>
      <c r="AY278" s="310">
        <f t="shared" si="379"/>
        <v>0</v>
      </c>
      <c r="AZ278" s="310">
        <f t="shared" si="379"/>
        <v>0</v>
      </c>
      <c r="BA278" s="310">
        <f t="shared" si="379"/>
        <v>0</v>
      </c>
      <c r="BB278" s="310">
        <f t="shared" si="379"/>
        <v>0</v>
      </c>
      <c r="BC278" s="310">
        <f t="shared" si="379"/>
        <v>0</v>
      </c>
      <c r="BD278" s="310">
        <f t="shared" si="379"/>
        <v>0</v>
      </c>
      <c r="BE278" s="310">
        <f t="shared" si="379"/>
        <v>0</v>
      </c>
      <c r="BF278" s="310">
        <f t="shared" si="379"/>
        <v>0</v>
      </c>
      <c r="BG278" s="310">
        <f t="shared" si="379"/>
        <v>0</v>
      </c>
      <c r="BH278" s="310">
        <f t="shared" si="379"/>
        <v>0</v>
      </c>
      <c r="BI278" s="310">
        <f t="shared" si="379"/>
        <v>0</v>
      </c>
      <c r="BJ278" s="310">
        <f t="shared" si="379"/>
        <v>0</v>
      </c>
      <c r="BK278" s="310">
        <f t="shared" si="379"/>
        <v>0</v>
      </c>
      <c r="BL278" s="310">
        <f t="shared" si="379"/>
        <v>0</v>
      </c>
      <c r="BM278" s="310">
        <f t="shared" si="379"/>
        <v>0</v>
      </c>
      <c r="BN278" s="310">
        <f t="shared" si="379"/>
        <v>0</v>
      </c>
      <c r="BO278" s="310">
        <f t="shared" si="379"/>
        <v>0</v>
      </c>
      <c r="BP278" s="310">
        <f t="shared" si="379"/>
        <v>0</v>
      </c>
      <c r="BQ278" s="310">
        <f t="shared" si="379"/>
        <v>0</v>
      </c>
      <c r="BR278" s="310">
        <f t="shared" si="379"/>
        <v>0</v>
      </c>
      <c r="BS278" s="310">
        <f t="shared" si="379"/>
        <v>0</v>
      </c>
      <c r="BT278" s="310">
        <f t="shared" si="379"/>
        <v>0</v>
      </c>
      <c r="BU278" s="310">
        <f t="shared" si="379"/>
        <v>0</v>
      </c>
      <c r="BV278" s="310">
        <f t="shared" ref="BV278:CV278" si="380" xml:space="preserve"> ($F275 - BV276) * BV277</f>
        <v>0</v>
      </c>
      <c r="BW278" s="310">
        <f t="shared" si="380"/>
        <v>0</v>
      </c>
      <c r="BX278" s="310">
        <f t="shared" si="380"/>
        <v>0</v>
      </c>
      <c r="BY278" s="310">
        <f t="shared" si="380"/>
        <v>0</v>
      </c>
      <c r="BZ278" s="310">
        <f t="shared" si="380"/>
        <v>0</v>
      </c>
      <c r="CA278" s="310">
        <f t="shared" si="380"/>
        <v>0</v>
      </c>
      <c r="CB278" s="310">
        <f t="shared" si="380"/>
        <v>0</v>
      </c>
      <c r="CC278" s="310">
        <f t="shared" si="380"/>
        <v>0</v>
      </c>
      <c r="CD278" s="310">
        <f t="shared" si="380"/>
        <v>0</v>
      </c>
      <c r="CE278" s="310">
        <f t="shared" si="380"/>
        <v>0</v>
      </c>
      <c r="CF278" s="310">
        <f t="shared" si="380"/>
        <v>0</v>
      </c>
      <c r="CG278" s="310">
        <f t="shared" si="380"/>
        <v>0</v>
      </c>
      <c r="CH278" s="310">
        <f t="shared" si="380"/>
        <v>0</v>
      </c>
      <c r="CI278" s="310">
        <f t="shared" si="380"/>
        <v>0</v>
      </c>
      <c r="CJ278" s="310">
        <f t="shared" si="380"/>
        <v>0</v>
      </c>
      <c r="CK278" s="310">
        <f t="shared" si="380"/>
        <v>0</v>
      </c>
      <c r="CL278" s="310">
        <f t="shared" si="380"/>
        <v>0</v>
      </c>
      <c r="CM278" s="310">
        <f t="shared" si="380"/>
        <v>0</v>
      </c>
      <c r="CN278" s="310">
        <f t="shared" si="380"/>
        <v>0</v>
      </c>
      <c r="CO278" s="310">
        <f t="shared" si="380"/>
        <v>0</v>
      </c>
      <c r="CP278" s="310">
        <f t="shared" si="380"/>
        <v>0</v>
      </c>
      <c r="CQ278" s="310">
        <f t="shared" si="380"/>
        <v>0</v>
      </c>
      <c r="CR278" s="310">
        <f t="shared" si="380"/>
        <v>0</v>
      </c>
      <c r="CS278" s="310">
        <f t="shared" si="380"/>
        <v>0</v>
      </c>
      <c r="CT278" s="310">
        <f t="shared" si="380"/>
        <v>0</v>
      </c>
      <c r="CU278" s="310">
        <f t="shared" si="380"/>
        <v>0</v>
      </c>
      <c r="CV278" s="310">
        <f t="shared" si="380"/>
        <v>0</v>
      </c>
    </row>
    <row r="279" spans="1:100" ht="12.75" outlineLevel="2" x14ac:dyDescent="0.2">
      <c r="A279" s="236"/>
      <c r="B279" s="236"/>
      <c r="C279" s="237"/>
      <c r="D279" s="238"/>
      <c r="E279" s="310"/>
      <c r="F279" s="310"/>
      <c r="G279" s="310"/>
      <c r="H279" s="310"/>
      <c r="I279" s="310"/>
      <c r="J279" s="310"/>
      <c r="K279" s="310"/>
      <c r="L279" s="310"/>
      <c r="M279" s="310"/>
      <c r="N279" s="310"/>
      <c r="O279" s="310"/>
      <c r="P279" s="310"/>
      <c r="Q279" s="310"/>
      <c r="R279" s="310"/>
      <c r="S279" s="310"/>
      <c r="T279" s="310"/>
      <c r="U279" s="310"/>
      <c r="V279" s="310"/>
      <c r="W279" s="310"/>
      <c r="X279" s="310"/>
      <c r="Y279" s="310"/>
      <c r="Z279" s="310"/>
      <c r="AA279" s="310"/>
      <c r="AB279" s="310"/>
      <c r="AC279" s="310"/>
      <c r="AD279" s="310"/>
      <c r="AE279" s="310"/>
      <c r="AF279" s="310"/>
      <c r="AG279" s="310"/>
      <c r="AH279" s="310"/>
      <c r="AI279" s="310"/>
      <c r="AJ279" s="310"/>
      <c r="AK279" s="310"/>
      <c r="AL279" s="310"/>
      <c r="AM279" s="310"/>
      <c r="AN279" s="310"/>
      <c r="AO279" s="310"/>
      <c r="AP279" s="310"/>
      <c r="AQ279" s="310"/>
      <c r="AR279" s="310"/>
      <c r="AS279" s="310"/>
      <c r="AT279" s="310"/>
      <c r="AU279" s="310"/>
      <c r="AV279" s="310"/>
      <c r="AW279" s="310"/>
      <c r="AX279" s="310"/>
      <c r="AY279" s="310"/>
      <c r="AZ279" s="310"/>
      <c r="BA279" s="310"/>
      <c r="BB279" s="310"/>
      <c r="BC279" s="310"/>
      <c r="BD279" s="310"/>
      <c r="BE279" s="310"/>
      <c r="BF279" s="310"/>
      <c r="BG279" s="310"/>
      <c r="BH279" s="310"/>
      <c r="BI279" s="310"/>
      <c r="BJ279" s="310"/>
      <c r="BK279" s="310"/>
      <c r="BL279" s="310"/>
      <c r="BM279" s="310"/>
      <c r="BN279" s="310"/>
      <c r="BO279" s="310"/>
      <c r="BP279" s="310"/>
      <c r="BQ279" s="310"/>
      <c r="BR279" s="310"/>
      <c r="BS279" s="310"/>
      <c r="BT279" s="310"/>
      <c r="BU279" s="310"/>
      <c r="BV279" s="310"/>
      <c r="BW279" s="310"/>
      <c r="BX279" s="310"/>
      <c r="BY279" s="310"/>
      <c r="BZ279" s="310"/>
      <c r="CA279" s="310"/>
      <c r="CB279" s="310"/>
      <c r="CC279" s="310"/>
      <c r="CD279" s="310"/>
      <c r="CE279" s="310"/>
      <c r="CF279" s="310"/>
      <c r="CG279" s="310"/>
      <c r="CH279" s="310"/>
      <c r="CI279" s="310"/>
      <c r="CJ279" s="310"/>
      <c r="CK279" s="310"/>
      <c r="CL279" s="310"/>
      <c r="CM279" s="310"/>
      <c r="CN279" s="310"/>
      <c r="CO279" s="310"/>
      <c r="CP279" s="310"/>
      <c r="CQ279" s="310"/>
      <c r="CR279" s="310"/>
      <c r="CS279" s="310"/>
      <c r="CT279" s="310"/>
      <c r="CU279" s="310"/>
      <c r="CV279" s="310"/>
    </row>
    <row r="280" spans="1:100" ht="12.75" outlineLevel="2" x14ac:dyDescent="0.2">
      <c r="A280" s="236"/>
      <c r="B280" s="236"/>
      <c r="C280" s="237"/>
      <c r="D280" s="238"/>
      <c r="E280" s="390" t="str">
        <f xml:space="preserve"> InpC!E$303</f>
        <v>Senior debt - T2 principal repayment profile</v>
      </c>
      <c r="F280" s="390">
        <f xml:space="preserve"> InpC!F$303</f>
        <v>2</v>
      </c>
      <c r="G280" s="390" t="str">
        <f xml:space="preserve"> InpC!G$303</f>
        <v>1 = level p, 2 = sculpted, 3 = level ds</v>
      </c>
      <c r="H280" s="440"/>
      <c r="I280" s="310"/>
      <c r="J280" s="310"/>
      <c r="K280" s="310"/>
      <c r="L280" s="310"/>
      <c r="M280" s="310"/>
      <c r="N280" s="310"/>
      <c r="O280" s="310"/>
      <c r="P280" s="310"/>
      <c r="Q280" s="310"/>
      <c r="R280" s="310"/>
      <c r="S280" s="310"/>
      <c r="T280" s="310"/>
      <c r="U280" s="310"/>
      <c r="V280" s="310"/>
      <c r="W280" s="310"/>
      <c r="X280" s="310"/>
      <c r="Y280" s="310"/>
      <c r="Z280" s="310"/>
      <c r="AA280" s="310"/>
      <c r="AB280" s="310"/>
      <c r="AC280" s="310"/>
      <c r="AD280" s="310"/>
      <c r="AE280" s="310"/>
      <c r="AF280" s="310"/>
      <c r="AG280" s="310"/>
      <c r="AH280" s="310"/>
      <c r="AI280" s="310"/>
      <c r="AJ280" s="310"/>
      <c r="AK280" s="310"/>
      <c r="AL280" s="310"/>
      <c r="AM280" s="310"/>
      <c r="AN280" s="310"/>
      <c r="AO280" s="310"/>
      <c r="AP280" s="310"/>
      <c r="AQ280" s="310"/>
      <c r="AR280" s="310"/>
      <c r="AS280" s="310"/>
      <c r="AT280" s="310"/>
      <c r="AU280" s="310"/>
      <c r="AV280" s="310"/>
      <c r="AW280" s="310"/>
      <c r="AX280" s="310"/>
      <c r="AY280" s="310"/>
      <c r="AZ280" s="310"/>
      <c r="BA280" s="310"/>
      <c r="BB280" s="310"/>
      <c r="BC280" s="310"/>
      <c r="BD280" s="310"/>
      <c r="BE280" s="310"/>
      <c r="BF280" s="310"/>
      <c r="BG280" s="310"/>
      <c r="BH280" s="310"/>
      <c r="BI280" s="310"/>
      <c r="BJ280" s="310"/>
      <c r="BK280" s="310"/>
      <c r="BL280" s="310"/>
      <c r="BM280" s="310"/>
      <c r="BN280" s="310"/>
      <c r="BO280" s="310"/>
      <c r="BP280" s="310"/>
      <c r="BQ280" s="310"/>
      <c r="BR280" s="310"/>
      <c r="BS280" s="310"/>
      <c r="BT280" s="310"/>
      <c r="BU280" s="310"/>
      <c r="BV280" s="310"/>
      <c r="BW280" s="310"/>
      <c r="BX280" s="310"/>
      <c r="BY280" s="310"/>
      <c r="BZ280" s="310"/>
      <c r="CA280" s="310"/>
      <c r="CB280" s="310"/>
      <c r="CC280" s="310"/>
      <c r="CD280" s="310"/>
      <c r="CE280" s="310"/>
      <c r="CF280" s="310"/>
      <c r="CG280" s="310"/>
      <c r="CH280" s="310"/>
      <c r="CI280" s="310"/>
      <c r="CJ280" s="310"/>
      <c r="CK280" s="310"/>
      <c r="CL280" s="310"/>
      <c r="CM280" s="310"/>
      <c r="CN280" s="310"/>
      <c r="CO280" s="310"/>
      <c r="CP280" s="310"/>
      <c r="CQ280" s="310"/>
      <c r="CR280" s="310"/>
      <c r="CS280" s="310"/>
      <c r="CT280" s="310"/>
      <c r="CU280" s="310"/>
      <c r="CV280" s="310"/>
    </row>
    <row r="281" spans="1:100" ht="12.75" outlineLevel="2" x14ac:dyDescent="0.2">
      <c r="A281" s="236"/>
      <c r="B281" s="236"/>
      <c r="C281" s="237"/>
      <c r="D281" s="238"/>
      <c r="E281" s="9" t="str">
        <f t="shared" ref="E281:AJ281" si="381" xml:space="preserve"> E$254</f>
        <v>Senior debt level principal repayment - T2</v>
      </c>
      <c r="F281" s="9">
        <f t="shared" si="381"/>
        <v>0</v>
      </c>
      <c r="G281" s="9" t="str">
        <f t="shared" si="381"/>
        <v>$ 000s</v>
      </c>
      <c r="H281" s="9">
        <f t="shared" si="381"/>
        <v>125194.92613015346</v>
      </c>
      <c r="I281" s="9">
        <f t="shared" si="381"/>
        <v>0</v>
      </c>
      <c r="J281" s="9">
        <f t="shared" si="381"/>
        <v>0</v>
      </c>
      <c r="K281" s="9">
        <f t="shared" si="381"/>
        <v>0</v>
      </c>
      <c r="L281" s="9">
        <f t="shared" si="381"/>
        <v>0</v>
      </c>
      <c r="M281" s="9">
        <f t="shared" si="381"/>
        <v>0</v>
      </c>
      <c r="N281" s="9">
        <f t="shared" si="381"/>
        <v>0</v>
      </c>
      <c r="O281" s="9">
        <f t="shared" si="381"/>
        <v>4173.1642043384481</v>
      </c>
      <c r="P281" s="9">
        <f t="shared" si="381"/>
        <v>4173.1642043384481</v>
      </c>
      <c r="Q281" s="9">
        <f t="shared" si="381"/>
        <v>4173.1642043384481</v>
      </c>
      <c r="R281" s="9">
        <f t="shared" si="381"/>
        <v>4173.1642043384481</v>
      </c>
      <c r="S281" s="9">
        <f t="shared" si="381"/>
        <v>4173.1642043384481</v>
      </c>
      <c r="T281" s="9">
        <f t="shared" si="381"/>
        <v>4173.1642043384481</v>
      </c>
      <c r="U281" s="9">
        <f t="shared" si="381"/>
        <v>4173.1642043384481</v>
      </c>
      <c r="V281" s="9">
        <f t="shared" si="381"/>
        <v>4173.1642043384481</v>
      </c>
      <c r="W281" s="9">
        <f t="shared" si="381"/>
        <v>4173.1642043384481</v>
      </c>
      <c r="X281" s="9">
        <f t="shared" si="381"/>
        <v>4173.1642043384481</v>
      </c>
      <c r="Y281" s="9">
        <f t="shared" si="381"/>
        <v>4173.1642043384481</v>
      </c>
      <c r="Z281" s="9">
        <f t="shared" si="381"/>
        <v>4173.1642043384481</v>
      </c>
      <c r="AA281" s="9">
        <f t="shared" si="381"/>
        <v>4173.1642043384481</v>
      </c>
      <c r="AB281" s="9">
        <f t="shared" si="381"/>
        <v>4173.1642043384481</v>
      </c>
      <c r="AC281" s="9">
        <f t="shared" si="381"/>
        <v>4173.1642043384481</v>
      </c>
      <c r="AD281" s="9">
        <f t="shared" si="381"/>
        <v>4173.1642043384481</v>
      </c>
      <c r="AE281" s="9">
        <f t="shared" si="381"/>
        <v>4173.1642043384481</v>
      </c>
      <c r="AF281" s="9">
        <f t="shared" si="381"/>
        <v>4173.1642043384481</v>
      </c>
      <c r="AG281" s="9">
        <f t="shared" si="381"/>
        <v>4173.1642043384481</v>
      </c>
      <c r="AH281" s="9">
        <f t="shared" si="381"/>
        <v>4173.1642043384481</v>
      </c>
      <c r="AI281" s="9">
        <f t="shared" si="381"/>
        <v>4173.1642043384481</v>
      </c>
      <c r="AJ281" s="9">
        <f t="shared" si="381"/>
        <v>4173.1642043384481</v>
      </c>
      <c r="AK281" s="9">
        <f t="shared" ref="AK281:BP281" si="382" xml:space="preserve"> AK$254</f>
        <v>4173.1642043384481</v>
      </c>
      <c r="AL281" s="9">
        <f t="shared" si="382"/>
        <v>4173.1642043384481</v>
      </c>
      <c r="AM281" s="9">
        <f t="shared" si="382"/>
        <v>4173.1642043384481</v>
      </c>
      <c r="AN281" s="9">
        <f t="shared" si="382"/>
        <v>4173.1642043384481</v>
      </c>
      <c r="AO281" s="9">
        <f t="shared" si="382"/>
        <v>4173.1642043384481</v>
      </c>
      <c r="AP281" s="9">
        <f t="shared" si="382"/>
        <v>4173.1642043384481</v>
      </c>
      <c r="AQ281" s="9">
        <f t="shared" si="382"/>
        <v>4173.1642043384481</v>
      </c>
      <c r="AR281" s="9">
        <f t="shared" si="382"/>
        <v>4173.1642043384481</v>
      </c>
      <c r="AS281" s="9">
        <f t="shared" si="382"/>
        <v>0</v>
      </c>
      <c r="AT281" s="9">
        <f t="shared" si="382"/>
        <v>0</v>
      </c>
      <c r="AU281" s="9">
        <f t="shared" si="382"/>
        <v>0</v>
      </c>
      <c r="AV281" s="9">
        <f t="shared" si="382"/>
        <v>0</v>
      </c>
      <c r="AW281" s="9">
        <f t="shared" si="382"/>
        <v>0</v>
      </c>
      <c r="AX281" s="9">
        <f t="shared" si="382"/>
        <v>0</v>
      </c>
      <c r="AY281" s="9">
        <f t="shared" si="382"/>
        <v>0</v>
      </c>
      <c r="AZ281" s="9">
        <f t="shared" si="382"/>
        <v>0</v>
      </c>
      <c r="BA281" s="9">
        <f t="shared" si="382"/>
        <v>0</v>
      </c>
      <c r="BB281" s="9">
        <f t="shared" si="382"/>
        <v>0</v>
      </c>
      <c r="BC281" s="9">
        <f t="shared" si="382"/>
        <v>0</v>
      </c>
      <c r="BD281" s="9">
        <f t="shared" si="382"/>
        <v>0</v>
      </c>
      <c r="BE281" s="9">
        <f t="shared" si="382"/>
        <v>0</v>
      </c>
      <c r="BF281" s="9">
        <f t="shared" si="382"/>
        <v>0</v>
      </c>
      <c r="BG281" s="9">
        <f t="shared" si="382"/>
        <v>0</v>
      </c>
      <c r="BH281" s="9">
        <f t="shared" si="382"/>
        <v>0</v>
      </c>
      <c r="BI281" s="9">
        <f t="shared" si="382"/>
        <v>0</v>
      </c>
      <c r="BJ281" s="9">
        <f t="shared" si="382"/>
        <v>0</v>
      </c>
      <c r="BK281" s="9">
        <f t="shared" si="382"/>
        <v>0</v>
      </c>
      <c r="BL281" s="9">
        <f t="shared" si="382"/>
        <v>0</v>
      </c>
      <c r="BM281" s="9">
        <f t="shared" si="382"/>
        <v>0</v>
      </c>
      <c r="BN281" s="9">
        <f t="shared" si="382"/>
        <v>0</v>
      </c>
      <c r="BO281" s="9">
        <f t="shared" si="382"/>
        <v>0</v>
      </c>
      <c r="BP281" s="9">
        <f t="shared" si="382"/>
        <v>0</v>
      </c>
      <c r="BQ281" s="9">
        <f t="shared" ref="BQ281:CV281" si="383" xml:space="preserve"> BQ$254</f>
        <v>0</v>
      </c>
      <c r="BR281" s="9">
        <f t="shared" si="383"/>
        <v>0</v>
      </c>
      <c r="BS281" s="9">
        <f t="shared" si="383"/>
        <v>0</v>
      </c>
      <c r="BT281" s="9">
        <f t="shared" si="383"/>
        <v>0</v>
      </c>
      <c r="BU281" s="9">
        <f t="shared" si="383"/>
        <v>0</v>
      </c>
      <c r="BV281" s="9">
        <f t="shared" si="383"/>
        <v>0</v>
      </c>
      <c r="BW281" s="9">
        <f t="shared" si="383"/>
        <v>0</v>
      </c>
      <c r="BX281" s="9">
        <f t="shared" si="383"/>
        <v>0</v>
      </c>
      <c r="BY281" s="9">
        <f t="shared" si="383"/>
        <v>0</v>
      </c>
      <c r="BZ281" s="9">
        <f t="shared" si="383"/>
        <v>0</v>
      </c>
      <c r="CA281" s="9">
        <f t="shared" si="383"/>
        <v>0</v>
      </c>
      <c r="CB281" s="9">
        <f t="shared" si="383"/>
        <v>0</v>
      </c>
      <c r="CC281" s="9">
        <f t="shared" si="383"/>
        <v>0</v>
      </c>
      <c r="CD281" s="9">
        <f t="shared" si="383"/>
        <v>0</v>
      </c>
      <c r="CE281" s="9">
        <f t="shared" si="383"/>
        <v>0</v>
      </c>
      <c r="CF281" s="9">
        <f t="shared" si="383"/>
        <v>0</v>
      </c>
      <c r="CG281" s="9">
        <f t="shared" si="383"/>
        <v>0</v>
      </c>
      <c r="CH281" s="9">
        <f t="shared" si="383"/>
        <v>0</v>
      </c>
      <c r="CI281" s="9">
        <f t="shared" si="383"/>
        <v>0</v>
      </c>
      <c r="CJ281" s="9">
        <f t="shared" si="383"/>
        <v>0</v>
      </c>
      <c r="CK281" s="9">
        <f t="shared" si="383"/>
        <v>0</v>
      </c>
      <c r="CL281" s="9">
        <f t="shared" si="383"/>
        <v>0</v>
      </c>
      <c r="CM281" s="9">
        <f t="shared" si="383"/>
        <v>0</v>
      </c>
      <c r="CN281" s="9">
        <f t="shared" si="383"/>
        <v>0</v>
      </c>
      <c r="CO281" s="9">
        <f t="shared" si="383"/>
        <v>0</v>
      </c>
      <c r="CP281" s="9">
        <f t="shared" si="383"/>
        <v>0</v>
      </c>
      <c r="CQ281" s="9">
        <f t="shared" si="383"/>
        <v>0</v>
      </c>
      <c r="CR281" s="9">
        <f t="shared" si="383"/>
        <v>0</v>
      </c>
      <c r="CS281" s="9">
        <f t="shared" si="383"/>
        <v>0</v>
      </c>
      <c r="CT281" s="9">
        <f t="shared" si="383"/>
        <v>0</v>
      </c>
      <c r="CU281" s="9">
        <f t="shared" si="383"/>
        <v>0</v>
      </c>
      <c r="CV281" s="9">
        <f t="shared" si="383"/>
        <v>0</v>
      </c>
    </row>
    <row r="282" spans="1:100" s="495" customFormat="1" ht="12.75" outlineLevel="2" x14ac:dyDescent="0.2">
      <c r="A282" s="236"/>
      <c r="B282" s="236"/>
      <c r="C282" s="237"/>
      <c r="D282" s="238"/>
      <c r="E282" s="151" t="str">
        <f t="shared" ref="E282:AJ282" si="384" xml:space="preserve"> E$260</f>
        <v>Senior debt sculpted principal repayment  - T2</v>
      </c>
      <c r="F282" s="151">
        <f t="shared" si="384"/>
        <v>0</v>
      </c>
      <c r="G282" s="151" t="str">
        <f t="shared" si="384"/>
        <v>$ 000s</v>
      </c>
      <c r="H282" s="151">
        <f t="shared" si="384"/>
        <v>125194.9208468405</v>
      </c>
      <c r="I282" s="151">
        <f t="shared" si="384"/>
        <v>0</v>
      </c>
      <c r="J282" s="151">
        <f t="shared" si="384"/>
        <v>0</v>
      </c>
      <c r="K282" s="151">
        <f t="shared" si="384"/>
        <v>0</v>
      </c>
      <c r="L282" s="151">
        <f t="shared" si="384"/>
        <v>0</v>
      </c>
      <c r="M282" s="151">
        <f t="shared" si="384"/>
        <v>0</v>
      </c>
      <c r="N282" s="151">
        <f t="shared" si="384"/>
        <v>0</v>
      </c>
      <c r="O282" s="151">
        <f t="shared" si="384"/>
        <v>4104.1367264578148</v>
      </c>
      <c r="P282" s="151">
        <f t="shared" si="384"/>
        <v>3390.1772115611284</v>
      </c>
      <c r="Q282" s="151">
        <f t="shared" si="384"/>
        <v>3430.9811936349593</v>
      </c>
      <c r="R282" s="151">
        <f t="shared" si="384"/>
        <v>3494.5807226787911</v>
      </c>
      <c r="S282" s="151">
        <f t="shared" si="384"/>
        <v>3539.4478884684627</v>
      </c>
      <c r="T282" s="151">
        <f t="shared" si="384"/>
        <v>3603.1549959910412</v>
      </c>
      <c r="U282" s="151">
        <f t="shared" si="384"/>
        <v>3652.2453350973083</v>
      </c>
      <c r="V282" s="151">
        <f t="shared" si="384"/>
        <v>3709.883575529293</v>
      </c>
      <c r="W282" s="151">
        <f t="shared" si="384"/>
        <v>3760.5906341611048</v>
      </c>
      <c r="X282" s="151">
        <f t="shared" si="384"/>
        <v>3833.1950941566461</v>
      </c>
      <c r="Y282" s="151">
        <f t="shared" si="384"/>
        <v>3778.3107719302584</v>
      </c>
      <c r="Z282" s="151">
        <f t="shared" si="384"/>
        <v>3845.5425474857038</v>
      </c>
      <c r="AA282" s="151">
        <f t="shared" si="384"/>
        <v>3907.9077185207957</v>
      </c>
      <c r="AB282" s="151">
        <f t="shared" si="384"/>
        <v>3975.4741536877914</v>
      </c>
      <c r="AC282" s="151">
        <f t="shared" si="384"/>
        <v>4043.019164865741</v>
      </c>
      <c r="AD282" s="151">
        <f t="shared" si="384"/>
        <v>4107.8130674431941</v>
      </c>
      <c r="AE282" s="151">
        <f t="shared" si="384"/>
        <v>4175.2831214834869</v>
      </c>
      <c r="AF282" s="151">
        <f t="shared" si="384"/>
        <v>4251.9476268568278</v>
      </c>
      <c r="AG282" s="151">
        <f t="shared" si="384"/>
        <v>4330.5097683542117</v>
      </c>
      <c r="AH282" s="151">
        <f t="shared" si="384"/>
        <v>4399.2689993220429</v>
      </c>
      <c r="AI282" s="151">
        <f t="shared" si="384"/>
        <v>4398.1467781199999</v>
      </c>
      <c r="AJ282" s="151">
        <f t="shared" si="384"/>
        <v>4472.4701809246981</v>
      </c>
      <c r="AK282" s="151">
        <f t="shared" ref="AK282:BP282" si="385" xml:space="preserve"> AK$260</f>
        <v>4565.671136013324</v>
      </c>
      <c r="AL282" s="151">
        <f t="shared" si="385"/>
        <v>4641.4870534674701</v>
      </c>
      <c r="AM282" s="151">
        <f t="shared" si="385"/>
        <v>4732.6920811387417</v>
      </c>
      <c r="AN282" s="151">
        <f t="shared" si="385"/>
        <v>4816.6577317371166</v>
      </c>
      <c r="AO282" s="151">
        <f t="shared" si="385"/>
        <v>4924.0318882661059</v>
      </c>
      <c r="AP282" s="151">
        <f t="shared" si="385"/>
        <v>5000.8628765229732</v>
      </c>
      <c r="AQ282" s="151">
        <f t="shared" si="385"/>
        <v>5115.8219124765556</v>
      </c>
      <c r="AR282" s="151">
        <f t="shared" si="385"/>
        <v>5193.608890486923</v>
      </c>
      <c r="AS282" s="151">
        <f t="shared" si="385"/>
        <v>0</v>
      </c>
      <c r="AT282" s="151">
        <f t="shared" si="385"/>
        <v>0</v>
      </c>
      <c r="AU282" s="151">
        <f t="shared" si="385"/>
        <v>0</v>
      </c>
      <c r="AV282" s="151">
        <f t="shared" si="385"/>
        <v>0</v>
      </c>
      <c r="AW282" s="151">
        <f t="shared" si="385"/>
        <v>0</v>
      </c>
      <c r="AX282" s="151">
        <f t="shared" si="385"/>
        <v>0</v>
      </c>
      <c r="AY282" s="151">
        <f t="shared" si="385"/>
        <v>0</v>
      </c>
      <c r="AZ282" s="151">
        <f t="shared" si="385"/>
        <v>0</v>
      </c>
      <c r="BA282" s="151">
        <f t="shared" si="385"/>
        <v>0</v>
      </c>
      <c r="BB282" s="151">
        <f t="shared" si="385"/>
        <v>0</v>
      </c>
      <c r="BC282" s="151">
        <f t="shared" si="385"/>
        <v>0</v>
      </c>
      <c r="BD282" s="151">
        <f t="shared" si="385"/>
        <v>0</v>
      </c>
      <c r="BE282" s="151">
        <f t="shared" si="385"/>
        <v>0</v>
      </c>
      <c r="BF282" s="151">
        <f t="shared" si="385"/>
        <v>0</v>
      </c>
      <c r="BG282" s="151">
        <f t="shared" si="385"/>
        <v>0</v>
      </c>
      <c r="BH282" s="151">
        <f t="shared" si="385"/>
        <v>0</v>
      </c>
      <c r="BI282" s="151">
        <f t="shared" si="385"/>
        <v>0</v>
      </c>
      <c r="BJ282" s="151">
        <f t="shared" si="385"/>
        <v>0</v>
      </c>
      <c r="BK282" s="151">
        <f t="shared" si="385"/>
        <v>0</v>
      </c>
      <c r="BL282" s="151">
        <f t="shared" si="385"/>
        <v>0</v>
      </c>
      <c r="BM282" s="151">
        <f t="shared" si="385"/>
        <v>0</v>
      </c>
      <c r="BN282" s="151">
        <f t="shared" si="385"/>
        <v>0</v>
      </c>
      <c r="BO282" s="151">
        <f t="shared" si="385"/>
        <v>0</v>
      </c>
      <c r="BP282" s="151">
        <f t="shared" si="385"/>
        <v>0</v>
      </c>
      <c r="BQ282" s="151">
        <f t="shared" ref="BQ282:CV282" si="386" xml:space="preserve"> BQ$260</f>
        <v>0</v>
      </c>
      <c r="BR282" s="151">
        <f t="shared" si="386"/>
        <v>0</v>
      </c>
      <c r="BS282" s="151">
        <f t="shared" si="386"/>
        <v>0</v>
      </c>
      <c r="BT282" s="151">
        <f t="shared" si="386"/>
        <v>0</v>
      </c>
      <c r="BU282" s="151">
        <f t="shared" si="386"/>
        <v>0</v>
      </c>
      <c r="BV282" s="151">
        <f t="shared" si="386"/>
        <v>0</v>
      </c>
      <c r="BW282" s="151">
        <f t="shared" si="386"/>
        <v>0</v>
      </c>
      <c r="BX282" s="151">
        <f t="shared" si="386"/>
        <v>0</v>
      </c>
      <c r="BY282" s="151">
        <f t="shared" si="386"/>
        <v>0</v>
      </c>
      <c r="BZ282" s="151">
        <f t="shared" si="386"/>
        <v>0</v>
      </c>
      <c r="CA282" s="151">
        <f t="shared" si="386"/>
        <v>0</v>
      </c>
      <c r="CB282" s="151">
        <f t="shared" si="386"/>
        <v>0</v>
      </c>
      <c r="CC282" s="151">
        <f t="shared" si="386"/>
        <v>0</v>
      </c>
      <c r="CD282" s="151">
        <f t="shared" si="386"/>
        <v>0</v>
      </c>
      <c r="CE282" s="151">
        <f t="shared" si="386"/>
        <v>0</v>
      </c>
      <c r="CF282" s="151">
        <f t="shared" si="386"/>
        <v>0</v>
      </c>
      <c r="CG282" s="151">
        <f t="shared" si="386"/>
        <v>0</v>
      </c>
      <c r="CH282" s="151">
        <f t="shared" si="386"/>
        <v>0</v>
      </c>
      <c r="CI282" s="151">
        <f t="shared" si="386"/>
        <v>0</v>
      </c>
      <c r="CJ282" s="151">
        <f t="shared" si="386"/>
        <v>0</v>
      </c>
      <c r="CK282" s="151">
        <f t="shared" si="386"/>
        <v>0</v>
      </c>
      <c r="CL282" s="151">
        <f t="shared" si="386"/>
        <v>0</v>
      </c>
      <c r="CM282" s="151">
        <f t="shared" si="386"/>
        <v>0</v>
      </c>
      <c r="CN282" s="151">
        <f t="shared" si="386"/>
        <v>0</v>
      </c>
      <c r="CO282" s="151">
        <f t="shared" si="386"/>
        <v>0</v>
      </c>
      <c r="CP282" s="151">
        <f t="shared" si="386"/>
        <v>0</v>
      </c>
      <c r="CQ282" s="151">
        <f t="shared" si="386"/>
        <v>0</v>
      </c>
      <c r="CR282" s="151">
        <f t="shared" si="386"/>
        <v>0</v>
      </c>
      <c r="CS282" s="151">
        <f t="shared" si="386"/>
        <v>0</v>
      </c>
      <c r="CT282" s="151">
        <f t="shared" si="386"/>
        <v>0</v>
      </c>
      <c r="CU282" s="151">
        <f t="shared" si="386"/>
        <v>0</v>
      </c>
      <c r="CV282" s="151">
        <f t="shared" si="386"/>
        <v>0</v>
      </c>
    </row>
    <row r="283" spans="1:100" ht="12.75" outlineLevel="2" x14ac:dyDescent="0.2">
      <c r="A283" s="236"/>
      <c r="B283" s="236"/>
      <c r="C283" s="237"/>
      <c r="D283" s="238"/>
      <c r="E283" s="151" t="str">
        <f t="shared" ref="E283:AJ283" si="387" xml:space="preserve"> E$278</f>
        <v>Senior debt level ds principal repayment - T2</v>
      </c>
      <c r="F283" s="151">
        <f t="shared" si="387"/>
        <v>0</v>
      </c>
      <c r="G283" s="151" t="str">
        <f t="shared" si="387"/>
        <v>$ 000s</v>
      </c>
      <c r="H283" s="151">
        <f t="shared" si="387"/>
        <v>123152.01358281999</v>
      </c>
      <c r="I283" s="151">
        <f t="shared" si="387"/>
        <v>0</v>
      </c>
      <c r="J283" s="151">
        <f t="shared" si="387"/>
        <v>0</v>
      </c>
      <c r="K283" s="151">
        <f t="shared" si="387"/>
        <v>0</v>
      </c>
      <c r="L283" s="151">
        <f t="shared" si="387"/>
        <v>0</v>
      </c>
      <c r="M283" s="151">
        <f t="shared" si="387"/>
        <v>0</v>
      </c>
      <c r="N283" s="151">
        <f t="shared" si="387"/>
        <v>0</v>
      </c>
      <c r="O283" s="151">
        <f t="shared" si="387"/>
        <v>2788.2534660275223</v>
      </c>
      <c r="P283" s="151">
        <f t="shared" si="387"/>
        <v>2934.2711788960414</v>
      </c>
      <c r="Q283" s="151">
        <f t="shared" si="387"/>
        <v>2968.2835462662838</v>
      </c>
      <c r="R283" s="151">
        <f t="shared" si="387"/>
        <v>3095.4589471700506</v>
      </c>
      <c r="S283" s="151">
        <f t="shared" si="387"/>
        <v>3134.6509393408101</v>
      </c>
      <c r="T283" s="151">
        <f t="shared" si="387"/>
        <v>3261.6769566406829</v>
      </c>
      <c r="U283" s="151">
        <f t="shared" si="387"/>
        <v>3306.2321387403799</v>
      </c>
      <c r="V283" s="151">
        <f t="shared" si="387"/>
        <v>3420.0731320660066</v>
      </c>
      <c r="W283" s="151">
        <f t="shared" si="387"/>
        <v>3483.086841078788</v>
      </c>
      <c r="X283" s="151">
        <f t="shared" si="387"/>
        <v>3609.6575641074587</v>
      </c>
      <c r="Y283" s="151">
        <f t="shared" si="387"/>
        <v>3574.859333673468</v>
      </c>
      <c r="Z283" s="151">
        <f t="shared" si="387"/>
        <v>3704.1518044106997</v>
      </c>
      <c r="AA283" s="151">
        <f t="shared" si="387"/>
        <v>3765.7945106065276</v>
      </c>
      <c r="AB283" s="151">
        <f t="shared" si="387"/>
        <v>3895.1666725047216</v>
      </c>
      <c r="AC283" s="151">
        <f t="shared" si="387"/>
        <v>3963.2294357945129</v>
      </c>
      <c r="AD283" s="151">
        <f t="shared" si="387"/>
        <v>4083.3023161844239</v>
      </c>
      <c r="AE283" s="151">
        <f t="shared" si="387"/>
        <v>4167.3625064812168</v>
      </c>
      <c r="AF283" s="151">
        <f t="shared" si="387"/>
        <v>4296.7744540181757</v>
      </c>
      <c r="AG283" s="151">
        <f t="shared" si="387"/>
        <v>4378.4178241723903</v>
      </c>
      <c r="AH283" s="151">
        <f t="shared" si="387"/>
        <v>4508.2128331723789</v>
      </c>
      <c r="AI283" s="151">
        <f t="shared" si="387"/>
        <v>4523.6627265384877</v>
      </c>
      <c r="AJ283" s="151">
        <f t="shared" si="387"/>
        <v>4659.3897966411532</v>
      </c>
      <c r="AK283" s="151">
        <f t="shared" ref="AK283:BP283" si="388" xml:space="preserve"> AK$278</f>
        <v>4759.4240183605862</v>
      </c>
      <c r="AL283" s="151">
        <f t="shared" si="388"/>
        <v>4890.7144615555262</v>
      </c>
      <c r="AM283" s="151">
        <f t="shared" si="388"/>
        <v>5004.1298277834494</v>
      </c>
      <c r="AN283" s="151">
        <f t="shared" si="388"/>
        <v>5140.7696957702083</v>
      </c>
      <c r="AO283" s="151">
        <f t="shared" si="388"/>
        <v>5257.9303295868276</v>
      </c>
      <c r="AP283" s="151">
        <f t="shared" si="388"/>
        <v>5395.4346185823779</v>
      </c>
      <c r="AQ283" s="151">
        <f t="shared" si="388"/>
        <v>5521.7119810695604</v>
      </c>
      <c r="AR283" s="151">
        <f t="shared" si="388"/>
        <v>5659.9297255792599</v>
      </c>
      <c r="AS283" s="151">
        <f t="shared" si="388"/>
        <v>0</v>
      </c>
      <c r="AT283" s="151">
        <f t="shared" si="388"/>
        <v>0</v>
      </c>
      <c r="AU283" s="151">
        <f t="shared" si="388"/>
        <v>0</v>
      </c>
      <c r="AV283" s="151">
        <f t="shared" si="388"/>
        <v>0</v>
      </c>
      <c r="AW283" s="151">
        <f t="shared" si="388"/>
        <v>0</v>
      </c>
      <c r="AX283" s="151">
        <f t="shared" si="388"/>
        <v>0</v>
      </c>
      <c r="AY283" s="151">
        <f t="shared" si="388"/>
        <v>0</v>
      </c>
      <c r="AZ283" s="151">
        <f t="shared" si="388"/>
        <v>0</v>
      </c>
      <c r="BA283" s="151">
        <f t="shared" si="388"/>
        <v>0</v>
      </c>
      <c r="BB283" s="151">
        <f t="shared" si="388"/>
        <v>0</v>
      </c>
      <c r="BC283" s="151">
        <f t="shared" si="388"/>
        <v>0</v>
      </c>
      <c r="BD283" s="151">
        <f t="shared" si="388"/>
        <v>0</v>
      </c>
      <c r="BE283" s="151">
        <f t="shared" si="388"/>
        <v>0</v>
      </c>
      <c r="BF283" s="151">
        <f t="shared" si="388"/>
        <v>0</v>
      </c>
      <c r="BG283" s="151">
        <f t="shared" si="388"/>
        <v>0</v>
      </c>
      <c r="BH283" s="151">
        <f t="shared" si="388"/>
        <v>0</v>
      </c>
      <c r="BI283" s="151">
        <f t="shared" si="388"/>
        <v>0</v>
      </c>
      <c r="BJ283" s="151">
        <f t="shared" si="388"/>
        <v>0</v>
      </c>
      <c r="BK283" s="151">
        <f t="shared" si="388"/>
        <v>0</v>
      </c>
      <c r="BL283" s="151">
        <f t="shared" si="388"/>
        <v>0</v>
      </c>
      <c r="BM283" s="151">
        <f t="shared" si="388"/>
        <v>0</v>
      </c>
      <c r="BN283" s="151">
        <f t="shared" si="388"/>
        <v>0</v>
      </c>
      <c r="BO283" s="151">
        <f t="shared" si="388"/>
        <v>0</v>
      </c>
      <c r="BP283" s="151">
        <f t="shared" si="388"/>
        <v>0</v>
      </c>
      <c r="BQ283" s="151">
        <f t="shared" ref="BQ283:CV283" si="389" xml:space="preserve"> BQ$278</f>
        <v>0</v>
      </c>
      <c r="BR283" s="151">
        <f t="shared" si="389"/>
        <v>0</v>
      </c>
      <c r="BS283" s="151">
        <f t="shared" si="389"/>
        <v>0</v>
      </c>
      <c r="BT283" s="151">
        <f t="shared" si="389"/>
        <v>0</v>
      </c>
      <c r="BU283" s="151">
        <f t="shared" si="389"/>
        <v>0</v>
      </c>
      <c r="BV283" s="151">
        <f t="shared" si="389"/>
        <v>0</v>
      </c>
      <c r="BW283" s="151">
        <f t="shared" si="389"/>
        <v>0</v>
      </c>
      <c r="BX283" s="151">
        <f t="shared" si="389"/>
        <v>0</v>
      </c>
      <c r="BY283" s="151">
        <f t="shared" si="389"/>
        <v>0</v>
      </c>
      <c r="BZ283" s="151">
        <f t="shared" si="389"/>
        <v>0</v>
      </c>
      <c r="CA283" s="151">
        <f t="shared" si="389"/>
        <v>0</v>
      </c>
      <c r="CB283" s="151">
        <f t="shared" si="389"/>
        <v>0</v>
      </c>
      <c r="CC283" s="151">
        <f t="shared" si="389"/>
        <v>0</v>
      </c>
      <c r="CD283" s="151">
        <f t="shared" si="389"/>
        <v>0</v>
      </c>
      <c r="CE283" s="151">
        <f t="shared" si="389"/>
        <v>0</v>
      </c>
      <c r="CF283" s="151">
        <f t="shared" si="389"/>
        <v>0</v>
      </c>
      <c r="CG283" s="151">
        <f t="shared" si="389"/>
        <v>0</v>
      </c>
      <c r="CH283" s="151">
        <f t="shared" si="389"/>
        <v>0</v>
      </c>
      <c r="CI283" s="151">
        <f t="shared" si="389"/>
        <v>0</v>
      </c>
      <c r="CJ283" s="151">
        <f t="shared" si="389"/>
        <v>0</v>
      </c>
      <c r="CK283" s="151">
        <f t="shared" si="389"/>
        <v>0</v>
      </c>
      <c r="CL283" s="151">
        <f t="shared" si="389"/>
        <v>0</v>
      </c>
      <c r="CM283" s="151">
        <f t="shared" si="389"/>
        <v>0</v>
      </c>
      <c r="CN283" s="151">
        <f t="shared" si="389"/>
        <v>0</v>
      </c>
      <c r="CO283" s="151">
        <f t="shared" si="389"/>
        <v>0</v>
      </c>
      <c r="CP283" s="151">
        <f t="shared" si="389"/>
        <v>0</v>
      </c>
      <c r="CQ283" s="151">
        <f t="shared" si="389"/>
        <v>0</v>
      </c>
      <c r="CR283" s="151">
        <f t="shared" si="389"/>
        <v>0</v>
      </c>
      <c r="CS283" s="151">
        <f t="shared" si="389"/>
        <v>0</v>
      </c>
      <c r="CT283" s="151">
        <f t="shared" si="389"/>
        <v>0</v>
      </c>
      <c r="CU283" s="151">
        <f t="shared" si="389"/>
        <v>0</v>
      </c>
      <c r="CV283" s="151">
        <f t="shared" si="389"/>
        <v>0</v>
      </c>
    </row>
    <row r="284" spans="1:100" ht="12.75" outlineLevel="2" x14ac:dyDescent="0.2">
      <c r="A284" s="236"/>
      <c r="B284" s="236"/>
      <c r="C284" s="237"/>
      <c r="D284" s="238"/>
      <c r="E284" s="151" t="s">
        <v>1142</v>
      </c>
      <c r="F284" s="151"/>
      <c r="G284" s="151" t="str">
        <f xml:space="preserve"> SMU</f>
        <v>$ 000s</v>
      </c>
      <c r="H284" s="151">
        <f xml:space="preserve"> SUM(J284:CV284)</f>
        <v>125194.9208468405</v>
      </c>
      <c r="I284" s="151"/>
      <c r="J284" s="151">
        <f t="shared" ref="J284:AO284" si="390" xml:space="preserve"> INDEX(J281:J283,$F280)</f>
        <v>0</v>
      </c>
      <c r="K284" s="151">
        <f t="shared" si="390"/>
        <v>0</v>
      </c>
      <c r="L284" s="151">
        <f t="shared" si="390"/>
        <v>0</v>
      </c>
      <c r="M284" s="151">
        <f t="shared" si="390"/>
        <v>0</v>
      </c>
      <c r="N284" s="151">
        <f t="shared" si="390"/>
        <v>0</v>
      </c>
      <c r="O284" s="151">
        <f t="shared" si="390"/>
        <v>4104.1367264578148</v>
      </c>
      <c r="P284" s="151">
        <f t="shared" si="390"/>
        <v>3390.1772115611284</v>
      </c>
      <c r="Q284" s="151">
        <f t="shared" si="390"/>
        <v>3430.9811936349593</v>
      </c>
      <c r="R284" s="151">
        <f t="shared" si="390"/>
        <v>3494.5807226787911</v>
      </c>
      <c r="S284" s="151">
        <f t="shared" si="390"/>
        <v>3539.4478884684627</v>
      </c>
      <c r="T284" s="151">
        <f t="shared" si="390"/>
        <v>3603.1549959910412</v>
      </c>
      <c r="U284" s="151">
        <f t="shared" si="390"/>
        <v>3652.2453350973083</v>
      </c>
      <c r="V284" s="151">
        <f t="shared" si="390"/>
        <v>3709.883575529293</v>
      </c>
      <c r="W284" s="151">
        <f t="shared" si="390"/>
        <v>3760.5906341611048</v>
      </c>
      <c r="X284" s="151">
        <f t="shared" si="390"/>
        <v>3833.1950941566461</v>
      </c>
      <c r="Y284" s="151">
        <f t="shared" si="390"/>
        <v>3778.3107719302584</v>
      </c>
      <c r="Z284" s="151">
        <f t="shared" si="390"/>
        <v>3845.5425474857038</v>
      </c>
      <c r="AA284" s="151">
        <f t="shared" si="390"/>
        <v>3907.9077185207957</v>
      </c>
      <c r="AB284" s="151">
        <f t="shared" si="390"/>
        <v>3975.4741536877914</v>
      </c>
      <c r="AC284" s="151">
        <f t="shared" si="390"/>
        <v>4043.019164865741</v>
      </c>
      <c r="AD284" s="151">
        <f t="shared" si="390"/>
        <v>4107.8130674431941</v>
      </c>
      <c r="AE284" s="151">
        <f t="shared" si="390"/>
        <v>4175.2831214834869</v>
      </c>
      <c r="AF284" s="151">
        <f t="shared" si="390"/>
        <v>4251.9476268568278</v>
      </c>
      <c r="AG284" s="151">
        <f t="shared" si="390"/>
        <v>4330.5097683542117</v>
      </c>
      <c r="AH284" s="151">
        <f t="shared" si="390"/>
        <v>4399.2689993220429</v>
      </c>
      <c r="AI284" s="151">
        <f t="shared" si="390"/>
        <v>4398.1467781199999</v>
      </c>
      <c r="AJ284" s="151">
        <f t="shared" si="390"/>
        <v>4472.4701809246981</v>
      </c>
      <c r="AK284" s="151">
        <f t="shared" si="390"/>
        <v>4565.671136013324</v>
      </c>
      <c r="AL284" s="151">
        <f t="shared" si="390"/>
        <v>4641.4870534674701</v>
      </c>
      <c r="AM284" s="151">
        <f t="shared" si="390"/>
        <v>4732.6920811387417</v>
      </c>
      <c r="AN284" s="151">
        <f t="shared" si="390"/>
        <v>4816.6577317371166</v>
      </c>
      <c r="AO284" s="151">
        <f t="shared" si="390"/>
        <v>4924.0318882661059</v>
      </c>
      <c r="AP284" s="151">
        <f t="shared" ref="AP284:BU284" si="391" xml:space="preserve"> INDEX(AP281:AP283,$F280)</f>
        <v>5000.8628765229732</v>
      </c>
      <c r="AQ284" s="151">
        <f t="shared" si="391"/>
        <v>5115.8219124765556</v>
      </c>
      <c r="AR284" s="151">
        <f t="shared" si="391"/>
        <v>5193.608890486923</v>
      </c>
      <c r="AS284" s="151">
        <f t="shared" si="391"/>
        <v>0</v>
      </c>
      <c r="AT284" s="151">
        <f t="shared" si="391"/>
        <v>0</v>
      </c>
      <c r="AU284" s="151">
        <f t="shared" si="391"/>
        <v>0</v>
      </c>
      <c r="AV284" s="151">
        <f t="shared" si="391"/>
        <v>0</v>
      </c>
      <c r="AW284" s="151">
        <f t="shared" si="391"/>
        <v>0</v>
      </c>
      <c r="AX284" s="151">
        <f t="shared" si="391"/>
        <v>0</v>
      </c>
      <c r="AY284" s="151">
        <f t="shared" si="391"/>
        <v>0</v>
      </c>
      <c r="AZ284" s="151">
        <f t="shared" si="391"/>
        <v>0</v>
      </c>
      <c r="BA284" s="151">
        <f t="shared" si="391"/>
        <v>0</v>
      </c>
      <c r="BB284" s="151">
        <f t="shared" si="391"/>
        <v>0</v>
      </c>
      <c r="BC284" s="151">
        <f t="shared" si="391"/>
        <v>0</v>
      </c>
      <c r="BD284" s="151">
        <f t="shared" si="391"/>
        <v>0</v>
      </c>
      <c r="BE284" s="151">
        <f t="shared" si="391"/>
        <v>0</v>
      </c>
      <c r="BF284" s="151">
        <f t="shared" si="391"/>
        <v>0</v>
      </c>
      <c r="BG284" s="151">
        <f t="shared" si="391"/>
        <v>0</v>
      </c>
      <c r="BH284" s="151">
        <f t="shared" si="391"/>
        <v>0</v>
      </c>
      <c r="BI284" s="151">
        <f t="shared" si="391"/>
        <v>0</v>
      </c>
      <c r="BJ284" s="151">
        <f t="shared" si="391"/>
        <v>0</v>
      </c>
      <c r="BK284" s="151">
        <f t="shared" si="391"/>
        <v>0</v>
      </c>
      <c r="BL284" s="151">
        <f t="shared" si="391"/>
        <v>0</v>
      </c>
      <c r="BM284" s="151">
        <f t="shared" si="391"/>
        <v>0</v>
      </c>
      <c r="BN284" s="151">
        <f t="shared" si="391"/>
        <v>0</v>
      </c>
      <c r="BO284" s="151">
        <f t="shared" si="391"/>
        <v>0</v>
      </c>
      <c r="BP284" s="151">
        <f t="shared" si="391"/>
        <v>0</v>
      </c>
      <c r="BQ284" s="151">
        <f t="shared" si="391"/>
        <v>0</v>
      </c>
      <c r="BR284" s="151">
        <f t="shared" si="391"/>
        <v>0</v>
      </c>
      <c r="BS284" s="151">
        <f t="shared" si="391"/>
        <v>0</v>
      </c>
      <c r="BT284" s="151">
        <f t="shared" si="391"/>
        <v>0</v>
      </c>
      <c r="BU284" s="151">
        <f t="shared" si="391"/>
        <v>0</v>
      </c>
      <c r="BV284" s="151">
        <f t="shared" ref="BV284:CV284" si="392" xml:space="preserve"> INDEX(BV281:BV283,$F280)</f>
        <v>0</v>
      </c>
      <c r="BW284" s="151">
        <f t="shared" si="392"/>
        <v>0</v>
      </c>
      <c r="BX284" s="151">
        <f t="shared" si="392"/>
        <v>0</v>
      </c>
      <c r="BY284" s="151">
        <f t="shared" si="392"/>
        <v>0</v>
      </c>
      <c r="BZ284" s="151">
        <f t="shared" si="392"/>
        <v>0</v>
      </c>
      <c r="CA284" s="151">
        <f t="shared" si="392"/>
        <v>0</v>
      </c>
      <c r="CB284" s="151">
        <f t="shared" si="392"/>
        <v>0</v>
      </c>
      <c r="CC284" s="151">
        <f t="shared" si="392"/>
        <v>0</v>
      </c>
      <c r="CD284" s="151">
        <f t="shared" si="392"/>
        <v>0</v>
      </c>
      <c r="CE284" s="151">
        <f t="shared" si="392"/>
        <v>0</v>
      </c>
      <c r="CF284" s="151">
        <f t="shared" si="392"/>
        <v>0</v>
      </c>
      <c r="CG284" s="151">
        <f t="shared" si="392"/>
        <v>0</v>
      </c>
      <c r="CH284" s="151">
        <f t="shared" si="392"/>
        <v>0</v>
      </c>
      <c r="CI284" s="151">
        <f t="shared" si="392"/>
        <v>0</v>
      </c>
      <c r="CJ284" s="151">
        <f t="shared" si="392"/>
        <v>0</v>
      </c>
      <c r="CK284" s="151">
        <f t="shared" si="392"/>
        <v>0</v>
      </c>
      <c r="CL284" s="151">
        <f t="shared" si="392"/>
        <v>0</v>
      </c>
      <c r="CM284" s="151">
        <f t="shared" si="392"/>
        <v>0</v>
      </c>
      <c r="CN284" s="151">
        <f t="shared" si="392"/>
        <v>0</v>
      </c>
      <c r="CO284" s="151">
        <f t="shared" si="392"/>
        <v>0</v>
      </c>
      <c r="CP284" s="151">
        <f t="shared" si="392"/>
        <v>0</v>
      </c>
      <c r="CQ284" s="151">
        <f t="shared" si="392"/>
        <v>0</v>
      </c>
      <c r="CR284" s="151">
        <f t="shared" si="392"/>
        <v>0</v>
      </c>
      <c r="CS284" s="151">
        <f t="shared" si="392"/>
        <v>0</v>
      </c>
      <c r="CT284" s="151">
        <f t="shared" si="392"/>
        <v>0</v>
      </c>
      <c r="CU284" s="151">
        <f t="shared" si="392"/>
        <v>0</v>
      </c>
      <c r="CV284" s="151">
        <f t="shared" si="392"/>
        <v>0</v>
      </c>
    </row>
    <row r="285" spans="1:100" ht="12.75" outlineLevel="2" x14ac:dyDescent="0.2">
      <c r="A285" s="236"/>
      <c r="B285" s="236"/>
      <c r="C285" s="237"/>
      <c r="D285" s="238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</row>
    <row r="286" spans="1:100" ht="12.75" outlineLevel="2" x14ac:dyDescent="0.2">
      <c r="A286" s="236"/>
      <c r="B286" s="236"/>
      <c r="C286" s="237"/>
      <c r="D286" s="238"/>
      <c r="E286" s="145" t="str">
        <f xml:space="preserve"> ConFin!E$333</f>
        <v>Sum of construction debt drawdown - T2</v>
      </c>
      <c r="F286" s="145">
        <f xml:space="preserve"> ConFin!F$333</f>
        <v>125194.92613015344</v>
      </c>
      <c r="G286" s="145" t="str">
        <f xml:space="preserve"> ConFin!G$333</f>
        <v>$ 000s</v>
      </c>
      <c r="H286" s="310"/>
      <c r="I286" s="310"/>
      <c r="J286" s="310"/>
      <c r="K286" s="310"/>
      <c r="L286" s="310"/>
      <c r="M286" s="310"/>
      <c r="N286" s="310"/>
      <c r="O286" s="310"/>
      <c r="P286" s="310"/>
      <c r="Q286" s="310"/>
      <c r="R286" s="310"/>
      <c r="S286" s="310"/>
      <c r="T286" s="310"/>
      <c r="U286" s="310"/>
      <c r="V286" s="310"/>
      <c r="W286" s="310"/>
      <c r="X286" s="310"/>
      <c r="Y286" s="310"/>
      <c r="Z286" s="310"/>
      <c r="AA286" s="310"/>
      <c r="AB286" s="310"/>
      <c r="AC286" s="310"/>
      <c r="AD286" s="310"/>
      <c r="AE286" s="310"/>
      <c r="AF286" s="310"/>
      <c r="AG286" s="310"/>
      <c r="AH286" s="310"/>
      <c r="AI286" s="310"/>
      <c r="AJ286" s="310"/>
      <c r="AK286" s="310"/>
      <c r="AL286" s="310"/>
      <c r="AM286" s="310"/>
      <c r="AN286" s="310"/>
      <c r="AO286" s="310"/>
      <c r="AP286" s="310"/>
      <c r="AQ286" s="310"/>
      <c r="AR286" s="310"/>
      <c r="AS286" s="310"/>
      <c r="AT286" s="310"/>
      <c r="AU286" s="310"/>
      <c r="AV286" s="310"/>
      <c r="AW286" s="310"/>
      <c r="AX286" s="310"/>
      <c r="AY286" s="310"/>
      <c r="AZ286" s="310"/>
      <c r="BA286" s="310"/>
      <c r="BB286" s="310"/>
      <c r="BC286" s="310"/>
      <c r="BD286" s="310"/>
      <c r="BE286" s="310"/>
      <c r="BF286" s="310"/>
      <c r="BG286" s="310"/>
      <c r="BH286" s="310"/>
      <c r="BI286" s="310"/>
      <c r="BJ286" s="310"/>
      <c r="BK286" s="310"/>
      <c r="BL286" s="310"/>
      <c r="BM286" s="310"/>
      <c r="BN286" s="310"/>
      <c r="BO286" s="310"/>
      <c r="BP286" s="310"/>
      <c r="BQ286" s="310"/>
      <c r="BR286" s="310"/>
      <c r="BS286" s="310"/>
      <c r="BT286" s="310"/>
      <c r="BU286" s="310"/>
      <c r="BV286" s="310"/>
      <c r="BW286" s="310"/>
      <c r="BX286" s="310"/>
      <c r="BY286" s="310"/>
      <c r="BZ286" s="310"/>
      <c r="CA286" s="310"/>
      <c r="CB286" s="310"/>
      <c r="CC286" s="310"/>
      <c r="CD286" s="310"/>
      <c r="CE286" s="310"/>
      <c r="CF286" s="310"/>
      <c r="CG286" s="310"/>
      <c r="CH286" s="310"/>
      <c r="CI286" s="310"/>
      <c r="CJ286" s="310"/>
      <c r="CK286" s="310"/>
      <c r="CL286" s="310"/>
      <c r="CM286" s="310"/>
      <c r="CN286" s="310"/>
      <c r="CO286" s="310"/>
      <c r="CP286" s="310"/>
      <c r="CQ286" s="310"/>
      <c r="CR286" s="310"/>
      <c r="CS286" s="310"/>
      <c r="CT286" s="310"/>
      <c r="CU286" s="310"/>
      <c r="CV286" s="310"/>
    </row>
    <row r="287" spans="1:100" s="495" customFormat="1" ht="12.75" outlineLevel="2" x14ac:dyDescent="0.2">
      <c r="A287" s="15"/>
      <c r="B287" s="15"/>
      <c r="C287" s="21"/>
      <c r="D287" s="48"/>
      <c r="E287" s="151" t="str">
        <f t="shared" ref="E287:AJ287" si="393" xml:space="preserve"> E$284</f>
        <v>Senior debt target repayment - T2</v>
      </c>
      <c r="F287" s="151">
        <f t="shared" si="393"/>
        <v>0</v>
      </c>
      <c r="G287" s="151" t="str">
        <f t="shared" si="393"/>
        <v>$ 000s</v>
      </c>
      <c r="H287" s="151">
        <f t="shared" si="393"/>
        <v>125194.9208468405</v>
      </c>
      <c r="I287" s="151">
        <f t="shared" si="393"/>
        <v>0</v>
      </c>
      <c r="J287" s="151">
        <f t="shared" si="393"/>
        <v>0</v>
      </c>
      <c r="K287" s="151">
        <f t="shared" si="393"/>
        <v>0</v>
      </c>
      <c r="L287" s="151">
        <f t="shared" si="393"/>
        <v>0</v>
      </c>
      <c r="M287" s="151">
        <f t="shared" si="393"/>
        <v>0</v>
      </c>
      <c r="N287" s="151">
        <f t="shared" si="393"/>
        <v>0</v>
      </c>
      <c r="O287" s="151">
        <f t="shared" si="393"/>
        <v>4104.1367264578148</v>
      </c>
      <c r="P287" s="151">
        <f t="shared" si="393"/>
        <v>3390.1772115611284</v>
      </c>
      <c r="Q287" s="151">
        <f t="shared" si="393"/>
        <v>3430.9811936349593</v>
      </c>
      <c r="R287" s="151">
        <f t="shared" si="393"/>
        <v>3494.5807226787911</v>
      </c>
      <c r="S287" s="151">
        <f t="shared" si="393"/>
        <v>3539.4478884684627</v>
      </c>
      <c r="T287" s="151">
        <f t="shared" si="393"/>
        <v>3603.1549959910412</v>
      </c>
      <c r="U287" s="151">
        <f t="shared" si="393"/>
        <v>3652.2453350973083</v>
      </c>
      <c r="V287" s="151">
        <f t="shared" si="393"/>
        <v>3709.883575529293</v>
      </c>
      <c r="W287" s="151">
        <f t="shared" si="393"/>
        <v>3760.5906341611048</v>
      </c>
      <c r="X287" s="151">
        <f t="shared" si="393"/>
        <v>3833.1950941566461</v>
      </c>
      <c r="Y287" s="151">
        <f t="shared" si="393"/>
        <v>3778.3107719302584</v>
      </c>
      <c r="Z287" s="151">
        <f t="shared" si="393"/>
        <v>3845.5425474857038</v>
      </c>
      <c r="AA287" s="151">
        <f t="shared" si="393"/>
        <v>3907.9077185207957</v>
      </c>
      <c r="AB287" s="151">
        <f t="shared" si="393"/>
        <v>3975.4741536877914</v>
      </c>
      <c r="AC287" s="151">
        <f t="shared" si="393"/>
        <v>4043.019164865741</v>
      </c>
      <c r="AD287" s="151">
        <f t="shared" si="393"/>
        <v>4107.8130674431941</v>
      </c>
      <c r="AE287" s="151">
        <f t="shared" si="393"/>
        <v>4175.2831214834869</v>
      </c>
      <c r="AF287" s="151">
        <f t="shared" si="393"/>
        <v>4251.9476268568278</v>
      </c>
      <c r="AG287" s="151">
        <f t="shared" si="393"/>
        <v>4330.5097683542117</v>
      </c>
      <c r="AH287" s="151">
        <f t="shared" si="393"/>
        <v>4399.2689993220429</v>
      </c>
      <c r="AI287" s="151">
        <f t="shared" si="393"/>
        <v>4398.1467781199999</v>
      </c>
      <c r="AJ287" s="151">
        <f t="shared" si="393"/>
        <v>4472.4701809246981</v>
      </c>
      <c r="AK287" s="151">
        <f t="shared" ref="AK287:BP287" si="394" xml:space="preserve"> AK$284</f>
        <v>4565.671136013324</v>
      </c>
      <c r="AL287" s="151">
        <f t="shared" si="394"/>
        <v>4641.4870534674701</v>
      </c>
      <c r="AM287" s="151">
        <f t="shared" si="394"/>
        <v>4732.6920811387417</v>
      </c>
      <c r="AN287" s="151">
        <f t="shared" si="394"/>
        <v>4816.6577317371166</v>
      </c>
      <c r="AO287" s="151">
        <f t="shared" si="394"/>
        <v>4924.0318882661059</v>
      </c>
      <c r="AP287" s="151">
        <f t="shared" si="394"/>
        <v>5000.8628765229732</v>
      </c>
      <c r="AQ287" s="151">
        <f t="shared" si="394"/>
        <v>5115.8219124765556</v>
      </c>
      <c r="AR287" s="151">
        <f t="shared" si="394"/>
        <v>5193.608890486923</v>
      </c>
      <c r="AS287" s="151">
        <f t="shared" si="394"/>
        <v>0</v>
      </c>
      <c r="AT287" s="151">
        <f t="shared" si="394"/>
        <v>0</v>
      </c>
      <c r="AU287" s="151">
        <f t="shared" si="394"/>
        <v>0</v>
      </c>
      <c r="AV287" s="151">
        <f t="shared" si="394"/>
        <v>0</v>
      </c>
      <c r="AW287" s="151">
        <f t="shared" si="394"/>
        <v>0</v>
      </c>
      <c r="AX287" s="151">
        <f t="shared" si="394"/>
        <v>0</v>
      </c>
      <c r="AY287" s="151">
        <f t="shared" si="394"/>
        <v>0</v>
      </c>
      <c r="AZ287" s="151">
        <f t="shared" si="394"/>
        <v>0</v>
      </c>
      <c r="BA287" s="151">
        <f t="shared" si="394"/>
        <v>0</v>
      </c>
      <c r="BB287" s="151">
        <f t="shared" si="394"/>
        <v>0</v>
      </c>
      <c r="BC287" s="151">
        <f t="shared" si="394"/>
        <v>0</v>
      </c>
      <c r="BD287" s="151">
        <f t="shared" si="394"/>
        <v>0</v>
      </c>
      <c r="BE287" s="151">
        <f t="shared" si="394"/>
        <v>0</v>
      </c>
      <c r="BF287" s="151">
        <f t="shared" si="394"/>
        <v>0</v>
      </c>
      <c r="BG287" s="151">
        <f t="shared" si="394"/>
        <v>0</v>
      </c>
      <c r="BH287" s="151">
        <f t="shared" si="394"/>
        <v>0</v>
      </c>
      <c r="BI287" s="151">
        <f t="shared" si="394"/>
        <v>0</v>
      </c>
      <c r="BJ287" s="151">
        <f t="shared" si="394"/>
        <v>0</v>
      </c>
      <c r="BK287" s="151">
        <f t="shared" si="394"/>
        <v>0</v>
      </c>
      <c r="BL287" s="151">
        <f t="shared" si="394"/>
        <v>0</v>
      </c>
      <c r="BM287" s="151">
        <f t="shared" si="394"/>
        <v>0</v>
      </c>
      <c r="BN287" s="151">
        <f t="shared" si="394"/>
        <v>0</v>
      </c>
      <c r="BO287" s="151">
        <f t="shared" si="394"/>
        <v>0</v>
      </c>
      <c r="BP287" s="151">
        <f t="shared" si="394"/>
        <v>0</v>
      </c>
      <c r="BQ287" s="151">
        <f t="shared" ref="BQ287:CV287" si="395" xml:space="preserve"> BQ$284</f>
        <v>0</v>
      </c>
      <c r="BR287" s="151">
        <f t="shared" si="395"/>
        <v>0</v>
      </c>
      <c r="BS287" s="151">
        <f t="shared" si="395"/>
        <v>0</v>
      </c>
      <c r="BT287" s="151">
        <f t="shared" si="395"/>
        <v>0</v>
      </c>
      <c r="BU287" s="151">
        <f t="shared" si="395"/>
        <v>0</v>
      </c>
      <c r="BV287" s="151">
        <f t="shared" si="395"/>
        <v>0</v>
      </c>
      <c r="BW287" s="151">
        <f t="shared" si="395"/>
        <v>0</v>
      </c>
      <c r="BX287" s="151">
        <f t="shared" si="395"/>
        <v>0</v>
      </c>
      <c r="BY287" s="151">
        <f t="shared" si="395"/>
        <v>0</v>
      </c>
      <c r="BZ287" s="151">
        <f t="shared" si="395"/>
        <v>0</v>
      </c>
      <c r="CA287" s="151">
        <f t="shared" si="395"/>
        <v>0</v>
      </c>
      <c r="CB287" s="151">
        <f t="shared" si="395"/>
        <v>0</v>
      </c>
      <c r="CC287" s="151">
        <f t="shared" si="395"/>
        <v>0</v>
      </c>
      <c r="CD287" s="151">
        <f t="shared" si="395"/>
        <v>0</v>
      </c>
      <c r="CE287" s="151">
        <f t="shared" si="395"/>
        <v>0</v>
      </c>
      <c r="CF287" s="151">
        <f t="shared" si="395"/>
        <v>0</v>
      </c>
      <c r="CG287" s="151">
        <f t="shared" si="395"/>
        <v>0</v>
      </c>
      <c r="CH287" s="151">
        <f t="shared" si="395"/>
        <v>0</v>
      </c>
      <c r="CI287" s="151">
        <f t="shared" si="395"/>
        <v>0</v>
      </c>
      <c r="CJ287" s="151">
        <f t="shared" si="395"/>
        <v>0</v>
      </c>
      <c r="CK287" s="151">
        <f t="shared" si="395"/>
        <v>0</v>
      </c>
      <c r="CL287" s="151">
        <f t="shared" si="395"/>
        <v>0</v>
      </c>
      <c r="CM287" s="151">
        <f t="shared" si="395"/>
        <v>0</v>
      </c>
      <c r="CN287" s="151">
        <f t="shared" si="395"/>
        <v>0</v>
      </c>
      <c r="CO287" s="151">
        <f t="shared" si="395"/>
        <v>0</v>
      </c>
      <c r="CP287" s="151">
        <f t="shared" si="395"/>
        <v>0</v>
      </c>
      <c r="CQ287" s="151">
        <f t="shared" si="395"/>
        <v>0</v>
      </c>
      <c r="CR287" s="151">
        <f t="shared" si="395"/>
        <v>0</v>
      </c>
      <c r="CS287" s="151">
        <f t="shared" si="395"/>
        <v>0</v>
      </c>
      <c r="CT287" s="151">
        <f t="shared" si="395"/>
        <v>0</v>
      </c>
      <c r="CU287" s="151">
        <f t="shared" si="395"/>
        <v>0</v>
      </c>
      <c r="CV287" s="151">
        <f t="shared" si="395"/>
        <v>0</v>
      </c>
    </row>
    <row r="288" spans="1:100" s="616" customFormat="1" ht="12.75" outlineLevel="2" x14ac:dyDescent="0.2">
      <c r="A288" s="613"/>
      <c r="B288" s="613"/>
      <c r="C288" s="614"/>
      <c r="D288" s="615"/>
      <c r="E288" s="616" t="s">
        <v>1020</v>
      </c>
      <c r="G288" s="616" t="s">
        <v>103</v>
      </c>
      <c r="H288" s="616">
        <f xml:space="preserve"> SUM(J288:CV288)</f>
        <v>0.99999995779930484</v>
      </c>
      <c r="J288" s="616">
        <f t="shared" ref="J288:AO288" si="396" xml:space="preserve"> IF( $F$286 &lt; CHK_TOL, 0, J287 / $F$286 )</f>
        <v>0</v>
      </c>
      <c r="K288" s="616">
        <f t="shared" si="396"/>
        <v>0</v>
      </c>
      <c r="L288" s="616">
        <f t="shared" si="396"/>
        <v>0</v>
      </c>
      <c r="M288" s="616">
        <f t="shared" si="396"/>
        <v>0</v>
      </c>
      <c r="N288" s="616">
        <f t="shared" si="396"/>
        <v>0</v>
      </c>
      <c r="O288" s="616">
        <f t="shared" si="396"/>
        <v>3.2781973306099707E-2</v>
      </c>
      <c r="P288" s="616">
        <f t="shared" si="396"/>
        <v>2.7079190158526702E-2</v>
      </c>
      <c r="Q288" s="616">
        <f t="shared" si="396"/>
        <v>2.7405113766895708E-2</v>
      </c>
      <c r="R288" s="616">
        <f t="shared" si="396"/>
        <v>2.7913117813143661E-2</v>
      </c>
      <c r="S288" s="616">
        <f t="shared" si="396"/>
        <v>2.8271496280838332E-2</v>
      </c>
      <c r="T288" s="616">
        <f t="shared" si="396"/>
        <v>2.8780359614935021E-2</v>
      </c>
      <c r="U288" s="616">
        <f t="shared" si="396"/>
        <v>2.917247086595515E-2</v>
      </c>
      <c r="V288" s="616">
        <f t="shared" si="396"/>
        <v>2.963285885621654E-2</v>
      </c>
      <c r="W288" s="616">
        <f t="shared" si="396"/>
        <v>3.0037883725827441E-2</v>
      </c>
      <c r="X288" s="616">
        <f t="shared" si="396"/>
        <v>3.0617815055632783E-2</v>
      </c>
      <c r="Y288" s="616">
        <f t="shared" si="396"/>
        <v>3.0179424108628033E-2</v>
      </c>
      <c r="Z288" s="616">
        <f t="shared" si="396"/>
        <v>3.0716440884256391E-2</v>
      </c>
      <c r="AA288" s="616">
        <f t="shared" si="396"/>
        <v>3.1214585441410859E-2</v>
      </c>
      <c r="AB288" s="616">
        <f t="shared" si="396"/>
        <v>3.1754275325462177E-2</v>
      </c>
      <c r="AC288" s="616">
        <f t="shared" si="396"/>
        <v>3.2293794084455089E-2</v>
      </c>
      <c r="AD288" s="616">
        <f t="shared" si="396"/>
        <v>3.2811338242036144E-2</v>
      </c>
      <c r="AE288" s="616">
        <f t="shared" si="396"/>
        <v>3.3350258277582562E-2</v>
      </c>
      <c r="AF288" s="616">
        <f t="shared" si="396"/>
        <v>3.3962619399099898E-2</v>
      </c>
      <c r="AG288" s="616">
        <f t="shared" si="396"/>
        <v>3.459013797294138E-2</v>
      </c>
      <c r="AH288" s="616">
        <f t="shared" si="396"/>
        <v>3.5139355366115517E-2</v>
      </c>
      <c r="AI288" s="616">
        <f t="shared" si="396"/>
        <v>3.5130391574716521E-2</v>
      </c>
      <c r="AJ288" s="616">
        <f t="shared" si="396"/>
        <v>3.5724053036103792E-2</v>
      </c>
      <c r="AK288" s="616">
        <f t="shared" si="396"/>
        <v>3.6468499779829924E-2</v>
      </c>
      <c r="AL288" s="616">
        <f t="shared" si="396"/>
        <v>3.7074082767876319E-2</v>
      </c>
      <c r="AM288" s="616">
        <f t="shared" si="396"/>
        <v>3.7802586953233269E-2</v>
      </c>
      <c r="AN288" s="616">
        <f t="shared" si="396"/>
        <v>3.8473266294591593E-2</v>
      </c>
      <c r="AO288" s="616">
        <f t="shared" si="396"/>
        <v>3.9330922110589778E-2</v>
      </c>
      <c r="AP288" s="616">
        <f t="shared" ref="AP288:BU288" si="397" xml:space="preserve"> IF( $F$286 &lt; CHK_TOL, 0, AP287 / $F$286 )</f>
        <v>3.9944613021489737E-2</v>
      </c>
      <c r="AQ288" s="616">
        <f t="shared" si="397"/>
        <v>4.0862853396775159E-2</v>
      </c>
      <c r="AR288" s="616">
        <f t="shared" si="397"/>
        <v>4.1484180318039521E-2</v>
      </c>
      <c r="AS288" s="616">
        <f t="shared" si="397"/>
        <v>0</v>
      </c>
      <c r="AT288" s="616">
        <f t="shared" si="397"/>
        <v>0</v>
      </c>
      <c r="AU288" s="616">
        <f t="shared" si="397"/>
        <v>0</v>
      </c>
      <c r="AV288" s="616">
        <f t="shared" si="397"/>
        <v>0</v>
      </c>
      <c r="AW288" s="616">
        <f t="shared" si="397"/>
        <v>0</v>
      </c>
      <c r="AX288" s="616">
        <f t="shared" si="397"/>
        <v>0</v>
      </c>
      <c r="AY288" s="616">
        <f t="shared" si="397"/>
        <v>0</v>
      </c>
      <c r="AZ288" s="616">
        <f t="shared" si="397"/>
        <v>0</v>
      </c>
      <c r="BA288" s="616">
        <f t="shared" si="397"/>
        <v>0</v>
      </c>
      <c r="BB288" s="616">
        <f t="shared" si="397"/>
        <v>0</v>
      </c>
      <c r="BC288" s="616">
        <f t="shared" si="397"/>
        <v>0</v>
      </c>
      <c r="BD288" s="616">
        <f t="shared" si="397"/>
        <v>0</v>
      </c>
      <c r="BE288" s="616">
        <f t="shared" si="397"/>
        <v>0</v>
      </c>
      <c r="BF288" s="616">
        <f t="shared" si="397"/>
        <v>0</v>
      </c>
      <c r="BG288" s="616">
        <f t="shared" si="397"/>
        <v>0</v>
      </c>
      <c r="BH288" s="616">
        <f t="shared" si="397"/>
        <v>0</v>
      </c>
      <c r="BI288" s="616">
        <f t="shared" si="397"/>
        <v>0</v>
      </c>
      <c r="BJ288" s="616">
        <f t="shared" si="397"/>
        <v>0</v>
      </c>
      <c r="BK288" s="616">
        <f t="shared" si="397"/>
        <v>0</v>
      </c>
      <c r="BL288" s="616">
        <f t="shared" si="397"/>
        <v>0</v>
      </c>
      <c r="BM288" s="616">
        <f t="shared" si="397"/>
        <v>0</v>
      </c>
      <c r="BN288" s="616">
        <f t="shared" si="397"/>
        <v>0</v>
      </c>
      <c r="BO288" s="616">
        <f t="shared" si="397"/>
        <v>0</v>
      </c>
      <c r="BP288" s="616">
        <f t="shared" si="397"/>
        <v>0</v>
      </c>
      <c r="BQ288" s="616">
        <f t="shared" si="397"/>
        <v>0</v>
      </c>
      <c r="BR288" s="616">
        <f t="shared" si="397"/>
        <v>0</v>
      </c>
      <c r="BS288" s="616">
        <f t="shared" si="397"/>
        <v>0</v>
      </c>
      <c r="BT288" s="616">
        <f t="shared" si="397"/>
        <v>0</v>
      </c>
      <c r="BU288" s="616">
        <f t="shared" si="397"/>
        <v>0</v>
      </c>
      <c r="BV288" s="616">
        <f t="shared" ref="BV288:CV288" si="398" xml:space="preserve"> IF( $F$286 &lt; CHK_TOL, 0, BV287 / $F$286 )</f>
        <v>0</v>
      </c>
      <c r="BW288" s="616">
        <f t="shared" si="398"/>
        <v>0</v>
      </c>
      <c r="BX288" s="616">
        <f t="shared" si="398"/>
        <v>0</v>
      </c>
      <c r="BY288" s="616">
        <f t="shared" si="398"/>
        <v>0</v>
      </c>
      <c r="BZ288" s="616">
        <f t="shared" si="398"/>
        <v>0</v>
      </c>
      <c r="CA288" s="616">
        <f t="shared" si="398"/>
        <v>0</v>
      </c>
      <c r="CB288" s="616">
        <f t="shared" si="398"/>
        <v>0</v>
      </c>
      <c r="CC288" s="616">
        <f t="shared" si="398"/>
        <v>0</v>
      </c>
      <c r="CD288" s="616">
        <f t="shared" si="398"/>
        <v>0</v>
      </c>
      <c r="CE288" s="616">
        <f t="shared" si="398"/>
        <v>0</v>
      </c>
      <c r="CF288" s="616">
        <f t="shared" si="398"/>
        <v>0</v>
      </c>
      <c r="CG288" s="616">
        <f t="shared" si="398"/>
        <v>0</v>
      </c>
      <c r="CH288" s="616">
        <f t="shared" si="398"/>
        <v>0</v>
      </c>
      <c r="CI288" s="616">
        <f t="shared" si="398"/>
        <v>0</v>
      </c>
      <c r="CJ288" s="616">
        <f t="shared" si="398"/>
        <v>0</v>
      </c>
      <c r="CK288" s="616">
        <f t="shared" si="398"/>
        <v>0</v>
      </c>
      <c r="CL288" s="616">
        <f t="shared" si="398"/>
        <v>0</v>
      </c>
      <c r="CM288" s="616">
        <f t="shared" si="398"/>
        <v>0</v>
      </c>
      <c r="CN288" s="616">
        <f t="shared" si="398"/>
        <v>0</v>
      </c>
      <c r="CO288" s="616">
        <f t="shared" si="398"/>
        <v>0</v>
      </c>
      <c r="CP288" s="616">
        <f t="shared" si="398"/>
        <v>0</v>
      </c>
      <c r="CQ288" s="616">
        <f t="shared" si="398"/>
        <v>0</v>
      </c>
      <c r="CR288" s="616">
        <f t="shared" si="398"/>
        <v>0</v>
      </c>
      <c r="CS288" s="616">
        <f t="shared" si="398"/>
        <v>0</v>
      </c>
      <c r="CT288" s="616">
        <f t="shared" si="398"/>
        <v>0</v>
      </c>
      <c r="CU288" s="616">
        <f t="shared" si="398"/>
        <v>0</v>
      </c>
      <c r="CV288" s="616">
        <f t="shared" si="398"/>
        <v>0</v>
      </c>
    </row>
    <row r="289" spans="1:100" s="616" customFormat="1" ht="12.75" outlineLevel="2" x14ac:dyDescent="0.2">
      <c r="A289" s="613"/>
      <c r="B289" s="613"/>
      <c r="C289" s="614"/>
      <c r="D289" s="615"/>
    </row>
    <row r="290" spans="1:100" ht="12.75" outlineLevel="2" x14ac:dyDescent="0.2">
      <c r="A290" s="236"/>
      <c r="B290" s="236"/>
      <c r="C290" s="237"/>
      <c r="D290" s="238"/>
      <c r="E290" s="145" t="str">
        <f xml:space="preserve"> ConFin!E$333</f>
        <v>Sum of construction debt drawdown - T2</v>
      </c>
      <c r="F290" s="145">
        <f xml:space="preserve"> ConFin!F$333</f>
        <v>125194.92613015344</v>
      </c>
      <c r="G290" s="145" t="str">
        <f xml:space="preserve"> ConFin!G$333</f>
        <v>$ 000s</v>
      </c>
      <c r="H290" s="310"/>
      <c r="I290" s="310"/>
      <c r="J290" s="310"/>
      <c r="K290" s="310"/>
      <c r="L290" s="310"/>
      <c r="M290" s="310"/>
      <c r="N290" s="310"/>
      <c r="O290" s="310"/>
      <c r="P290" s="310"/>
      <c r="Q290" s="310"/>
      <c r="R290" s="310"/>
      <c r="S290" s="288"/>
      <c r="T290" s="288"/>
      <c r="U290" s="288"/>
      <c r="V290" s="288"/>
      <c r="W290" s="288"/>
      <c r="X290" s="288"/>
      <c r="Y290" s="288"/>
      <c r="Z290" s="288"/>
      <c r="AA290" s="288"/>
      <c r="AB290" s="288"/>
      <c r="AC290" s="288"/>
      <c r="AD290" s="288"/>
      <c r="AE290" s="288"/>
      <c r="AF290" s="288"/>
      <c r="AG290" s="288"/>
      <c r="AH290" s="288"/>
      <c r="AI290" s="288"/>
      <c r="AJ290" s="288"/>
      <c r="AK290" s="288"/>
      <c r="AL290" s="288"/>
      <c r="AM290" s="288"/>
      <c r="AN290" s="288"/>
      <c r="AO290" s="288"/>
      <c r="AP290" s="288"/>
      <c r="AQ290" s="288"/>
      <c r="AR290" s="288"/>
      <c r="AS290" s="288"/>
      <c r="AT290" s="288"/>
      <c r="AU290" s="288"/>
      <c r="AV290" s="288"/>
      <c r="AW290" s="288"/>
      <c r="AX290" s="288"/>
      <c r="AY290" s="288"/>
      <c r="AZ290" s="288"/>
      <c r="BA290" s="288"/>
      <c r="BB290" s="288"/>
      <c r="BC290" s="288"/>
      <c r="BD290" s="288"/>
      <c r="BE290" s="288"/>
      <c r="BF290" s="288"/>
      <c r="BG290" s="288"/>
      <c r="BH290" s="288"/>
      <c r="BI290" s="288"/>
      <c r="BJ290" s="288"/>
      <c r="BK290" s="288"/>
      <c r="BL290" s="288"/>
      <c r="BM290" s="288"/>
      <c r="BN290" s="288"/>
      <c r="BO290" s="288"/>
      <c r="BP290" s="288"/>
      <c r="BQ290" s="288"/>
      <c r="BR290" s="288"/>
      <c r="BS290" s="288"/>
      <c r="BT290" s="288"/>
      <c r="BU290" s="288"/>
      <c r="BV290" s="288"/>
      <c r="BW290" s="288"/>
      <c r="BX290" s="288"/>
      <c r="BY290" s="288"/>
      <c r="BZ290" s="288"/>
      <c r="CA290" s="288"/>
      <c r="CB290" s="288"/>
      <c r="CC290" s="288"/>
      <c r="CD290" s="288"/>
      <c r="CE290" s="288"/>
      <c r="CF290" s="288"/>
      <c r="CG290" s="288"/>
      <c r="CH290" s="288"/>
      <c r="CI290" s="288"/>
      <c r="CJ290" s="288"/>
      <c r="CK290" s="288"/>
      <c r="CL290" s="288"/>
      <c r="CM290" s="288"/>
      <c r="CN290" s="288"/>
      <c r="CO290" s="288"/>
      <c r="CP290" s="288"/>
      <c r="CQ290" s="288"/>
      <c r="CR290" s="288"/>
      <c r="CS290" s="288"/>
      <c r="CT290" s="288"/>
      <c r="CU290" s="288"/>
      <c r="CV290" s="288"/>
    </row>
    <row r="291" spans="1:100" ht="12.75" outlineLevel="2" x14ac:dyDescent="0.2">
      <c r="A291" s="236"/>
      <c r="B291" s="236"/>
      <c r="C291" s="237"/>
      <c r="D291" s="238"/>
      <c r="E291" s="493" t="str">
        <f xml:space="preserve"> Solve!E$64</f>
        <v>Senior repayment % profile - Paste - T2</v>
      </c>
      <c r="F291" s="493">
        <f xml:space="preserve"> Solve!F$64</f>
        <v>0</v>
      </c>
      <c r="G291" s="493" t="str">
        <f xml:space="preserve"> Solve!G$64</f>
        <v>%</v>
      </c>
      <c r="H291" s="493">
        <f xml:space="preserve"> Solve!H$64</f>
        <v>0.99999998275884616</v>
      </c>
      <c r="I291" s="493">
        <f xml:space="preserve"> Solve!I$64</f>
        <v>0</v>
      </c>
      <c r="J291" s="493">
        <f xml:space="preserve"> Solve!J$64</f>
        <v>0</v>
      </c>
      <c r="K291" s="493">
        <f xml:space="preserve"> Solve!K$64</f>
        <v>0</v>
      </c>
      <c r="L291" s="493">
        <f xml:space="preserve"> Solve!L$64</f>
        <v>0</v>
      </c>
      <c r="M291" s="493">
        <f xml:space="preserve"> Solve!M$64</f>
        <v>0</v>
      </c>
      <c r="N291" s="493">
        <f xml:space="preserve"> Solve!N$64</f>
        <v>0</v>
      </c>
      <c r="O291" s="493">
        <f xml:space="preserve"> Solve!O$64</f>
        <v>3.2781974166484651E-2</v>
      </c>
      <c r="P291" s="493">
        <f xml:space="preserve"> Solve!P$64</f>
        <v>2.7079191099187317E-2</v>
      </c>
      <c r="Q291" s="493">
        <f xml:space="preserve"> Solve!Q$64</f>
        <v>2.7405114728185215E-2</v>
      </c>
      <c r="R291" s="493">
        <f xml:space="preserve"> Solve!R$64</f>
        <v>2.7913118749494623E-2</v>
      </c>
      <c r="S291" s="493">
        <f xml:space="preserve"> Solve!S$64</f>
        <v>2.827149723588197E-2</v>
      </c>
      <c r="T291" s="493">
        <f xml:space="preserve"> Solve!T$64</f>
        <v>2.8780360543207428E-2</v>
      </c>
      <c r="U291" s="493">
        <f xml:space="preserve"> Solve!U$64</f>
        <v>2.9172471810664818E-2</v>
      </c>
      <c r="V291" s="493">
        <f xml:space="preserve"> Solve!V$64</f>
        <v>2.9632859779757267E-2</v>
      </c>
      <c r="W291" s="493">
        <f xml:space="preserve"> Solve!W$64</f>
        <v>3.0037884656544722E-2</v>
      </c>
      <c r="X291" s="493">
        <f xml:space="preserve"> Solve!X$64</f>
        <v>3.0617815954570332E-2</v>
      </c>
      <c r="Y291" s="493">
        <f xml:space="preserve"> Solve!Y$64</f>
        <v>3.0179425086093833E-2</v>
      </c>
      <c r="Z291" s="493">
        <f xml:space="preserve"> Solve!Z$64</f>
        <v>3.0716441827528418E-2</v>
      </c>
      <c r="AA291" s="493">
        <f xml:space="preserve"> Solve!AA$64</f>
        <v>3.121458639360326E-2</v>
      </c>
      <c r="AB291" s="493">
        <f xml:space="preserve"> Solve!AB$64</f>
        <v>3.1754276240670232E-2</v>
      </c>
      <c r="AC291" s="493">
        <f xml:space="preserve"> Solve!AC$64</f>
        <v>3.2293795004725082E-2</v>
      </c>
      <c r="AD291" s="493">
        <f xml:space="preserve"> Solve!AD$64</f>
        <v>3.2811339129697532E-2</v>
      </c>
      <c r="AE291" s="493">
        <f xml:space="preserve"> Solve!AE$64</f>
        <v>3.3350259159601804E-2</v>
      </c>
      <c r="AF291" s="493">
        <f xml:space="preserve"> Solve!AF$64</f>
        <v>3.3962620237366951E-2</v>
      </c>
      <c r="AG291" s="493">
        <f xml:space="preserve"> Solve!AG$64</f>
        <v>3.459013880746202E-2</v>
      </c>
      <c r="AH291" s="493">
        <f xml:space="preserve"> Solve!AH$64</f>
        <v>3.5139356154465361E-2</v>
      </c>
      <c r="AI291" s="493">
        <f xml:space="preserve"> Solve!AI$64</f>
        <v>3.5130392432177714E-2</v>
      </c>
      <c r="AJ291" s="493">
        <f xml:space="preserve"> Solve!AJ$64</f>
        <v>3.572405384144732E-2</v>
      </c>
      <c r="AK291" s="493">
        <f xml:space="preserve"> Solve!AK$64</f>
        <v>3.6468500570702167E-2</v>
      </c>
      <c r="AL291" s="493">
        <f xml:space="preserve"> Solve!AL$64</f>
        <v>3.7074083509128698E-2</v>
      </c>
      <c r="AM291" s="493">
        <f xml:space="preserve"> Solve!AM$64</f>
        <v>3.7802587667975909E-2</v>
      </c>
      <c r="AN291" s="493">
        <f xml:space="preserve"> Solve!AN$64</f>
        <v>3.8473266948634156E-2</v>
      </c>
      <c r="AO291" s="493">
        <f xml:space="preserve"> Solve!AO$64</f>
        <v>3.9330922737092169E-2</v>
      </c>
      <c r="AP291" s="493">
        <f xml:space="preserve"> Solve!AP$64</f>
        <v>3.9944613584004432E-2</v>
      </c>
      <c r="AQ291" s="493">
        <f xml:space="preserve"> Solve!AQ$64</f>
        <v>4.0862853924624874E-2</v>
      </c>
      <c r="AR291" s="493">
        <f xml:space="preserve"> Solve!AR$64</f>
        <v>4.1484180777865885E-2</v>
      </c>
      <c r="AS291" s="493">
        <f xml:space="preserve"> Solve!AS$64</f>
        <v>0</v>
      </c>
      <c r="AT291" s="493">
        <f xml:space="preserve"> Solve!AT$64</f>
        <v>0</v>
      </c>
      <c r="AU291" s="493">
        <f xml:space="preserve"> Solve!AU$64</f>
        <v>0</v>
      </c>
      <c r="AV291" s="493">
        <f xml:space="preserve"> Solve!AV$64</f>
        <v>0</v>
      </c>
      <c r="AW291" s="493">
        <f xml:space="preserve"> Solve!AW$64</f>
        <v>0</v>
      </c>
      <c r="AX291" s="493">
        <f xml:space="preserve"> Solve!AX$64</f>
        <v>0</v>
      </c>
      <c r="AY291" s="493">
        <f xml:space="preserve"> Solve!AY$64</f>
        <v>0</v>
      </c>
      <c r="AZ291" s="493">
        <f xml:space="preserve"> Solve!AZ$64</f>
        <v>0</v>
      </c>
      <c r="BA291" s="493">
        <f xml:space="preserve"> Solve!BA$64</f>
        <v>0</v>
      </c>
      <c r="BB291" s="493">
        <f xml:space="preserve"> Solve!BB$64</f>
        <v>0</v>
      </c>
      <c r="BC291" s="493">
        <f xml:space="preserve"> Solve!BC$64</f>
        <v>0</v>
      </c>
      <c r="BD291" s="493">
        <f xml:space="preserve"> Solve!BD$64</f>
        <v>0</v>
      </c>
      <c r="BE291" s="493">
        <f xml:space="preserve"> Solve!BE$64</f>
        <v>0</v>
      </c>
      <c r="BF291" s="493">
        <f xml:space="preserve"> Solve!BF$64</f>
        <v>0</v>
      </c>
      <c r="BG291" s="493">
        <f xml:space="preserve"> Solve!BG$64</f>
        <v>0</v>
      </c>
      <c r="BH291" s="493">
        <f xml:space="preserve"> Solve!BH$64</f>
        <v>0</v>
      </c>
      <c r="BI291" s="493">
        <f xml:space="preserve"> Solve!BI$64</f>
        <v>0</v>
      </c>
      <c r="BJ291" s="493">
        <f xml:space="preserve"> Solve!BJ$64</f>
        <v>0</v>
      </c>
      <c r="BK291" s="493">
        <f xml:space="preserve"> Solve!BK$64</f>
        <v>0</v>
      </c>
      <c r="BL291" s="493">
        <f xml:space="preserve"> Solve!BL$64</f>
        <v>0</v>
      </c>
      <c r="BM291" s="493">
        <f xml:space="preserve"> Solve!BM$64</f>
        <v>0</v>
      </c>
      <c r="BN291" s="493">
        <f xml:space="preserve"> Solve!BN$64</f>
        <v>0</v>
      </c>
      <c r="BO291" s="493">
        <f xml:space="preserve"> Solve!BO$64</f>
        <v>0</v>
      </c>
      <c r="BP291" s="493">
        <f xml:space="preserve"> Solve!BP$64</f>
        <v>0</v>
      </c>
      <c r="BQ291" s="493">
        <f xml:space="preserve"> Solve!BQ$64</f>
        <v>0</v>
      </c>
      <c r="BR291" s="493">
        <f xml:space="preserve"> Solve!BR$64</f>
        <v>0</v>
      </c>
      <c r="BS291" s="493">
        <f xml:space="preserve"> Solve!BS$64</f>
        <v>0</v>
      </c>
      <c r="BT291" s="493">
        <f xml:space="preserve"> Solve!BT$64</f>
        <v>0</v>
      </c>
      <c r="BU291" s="493">
        <f xml:space="preserve"> Solve!BU$64</f>
        <v>0</v>
      </c>
      <c r="BV291" s="493">
        <f xml:space="preserve"> Solve!BV$64</f>
        <v>0</v>
      </c>
      <c r="BW291" s="493">
        <f xml:space="preserve"> Solve!BW$64</f>
        <v>0</v>
      </c>
      <c r="BX291" s="493">
        <f xml:space="preserve"> Solve!BX$64</f>
        <v>0</v>
      </c>
      <c r="BY291" s="493">
        <f xml:space="preserve"> Solve!BY$64</f>
        <v>0</v>
      </c>
      <c r="BZ291" s="493">
        <f xml:space="preserve"> Solve!BZ$64</f>
        <v>0</v>
      </c>
      <c r="CA291" s="493">
        <f xml:space="preserve"> Solve!CA$64</f>
        <v>0</v>
      </c>
      <c r="CB291" s="493">
        <f xml:space="preserve"> Solve!CB$64</f>
        <v>0</v>
      </c>
      <c r="CC291" s="493">
        <f xml:space="preserve"> Solve!CC$64</f>
        <v>0</v>
      </c>
      <c r="CD291" s="493">
        <f xml:space="preserve"> Solve!CD$64</f>
        <v>0</v>
      </c>
      <c r="CE291" s="493">
        <f xml:space="preserve"> Solve!CE$64</f>
        <v>0</v>
      </c>
      <c r="CF291" s="493">
        <f xml:space="preserve"> Solve!CF$64</f>
        <v>0</v>
      </c>
      <c r="CG291" s="493">
        <f xml:space="preserve"> Solve!CG$64</f>
        <v>0</v>
      </c>
      <c r="CH291" s="493">
        <f xml:space="preserve"> Solve!CH$64</f>
        <v>0</v>
      </c>
      <c r="CI291" s="493">
        <f xml:space="preserve"> Solve!CI$64</f>
        <v>0</v>
      </c>
      <c r="CJ291" s="493">
        <f xml:space="preserve"> Solve!CJ$64</f>
        <v>0</v>
      </c>
      <c r="CK291" s="493">
        <f xml:space="preserve"> Solve!CK$64</f>
        <v>0</v>
      </c>
      <c r="CL291" s="493">
        <f xml:space="preserve"> Solve!CL$64</f>
        <v>0</v>
      </c>
      <c r="CM291" s="493">
        <f xml:space="preserve"> Solve!CM$64</f>
        <v>0</v>
      </c>
      <c r="CN291" s="493">
        <f xml:space="preserve"> Solve!CN$64</f>
        <v>0</v>
      </c>
      <c r="CO291" s="493">
        <f xml:space="preserve"> Solve!CO$64</f>
        <v>0</v>
      </c>
      <c r="CP291" s="493">
        <f xml:space="preserve"> Solve!CP$64</f>
        <v>0</v>
      </c>
      <c r="CQ291" s="493">
        <f xml:space="preserve"> Solve!CQ$64</f>
        <v>0</v>
      </c>
      <c r="CR291" s="493">
        <f xml:space="preserve"> Solve!CR$64</f>
        <v>0</v>
      </c>
      <c r="CS291" s="493">
        <f xml:space="preserve"> Solve!CS$64</f>
        <v>0</v>
      </c>
      <c r="CT291" s="493">
        <f xml:space="preserve"> Solve!CT$64</f>
        <v>0</v>
      </c>
      <c r="CU291" s="493">
        <f xml:space="preserve"> Solve!CU$64</f>
        <v>0</v>
      </c>
      <c r="CV291" s="493">
        <f xml:space="preserve"> Solve!CV$64</f>
        <v>0</v>
      </c>
    </row>
    <row r="292" spans="1:100" ht="12.75" outlineLevel="2" x14ac:dyDescent="0.2">
      <c r="A292" s="236"/>
      <c r="B292" s="236"/>
      <c r="C292" s="237"/>
      <c r="D292" s="238"/>
      <c r="E292" s="310" t="s">
        <v>1013</v>
      </c>
      <c r="F292" s="310"/>
      <c r="G292" s="310" t="str">
        <f xml:space="preserve"> SMU</f>
        <v>$ 000s</v>
      </c>
      <c r="H292" s="310">
        <f xml:space="preserve"> SUM(J292:CV292)</f>
        <v>125194.92397164847</v>
      </c>
      <c r="I292" s="310"/>
      <c r="J292" s="310">
        <f t="shared" ref="J292:AO292" si="399" xml:space="preserve"> $F290 * J291</f>
        <v>0</v>
      </c>
      <c r="K292" s="310">
        <f t="shared" si="399"/>
        <v>0</v>
      </c>
      <c r="L292" s="310">
        <f t="shared" si="399"/>
        <v>0</v>
      </c>
      <c r="M292" s="310">
        <f t="shared" si="399"/>
        <v>0</v>
      </c>
      <c r="N292" s="310">
        <f t="shared" si="399"/>
        <v>0</v>
      </c>
      <c r="O292" s="310">
        <f t="shared" si="399"/>
        <v>4104.1368341736443</v>
      </c>
      <c r="P292" s="310">
        <f t="shared" si="399"/>
        <v>3390.1773293270649</v>
      </c>
      <c r="Q292" s="310">
        <f t="shared" si="399"/>
        <v>3430.9813139835283</v>
      </c>
      <c r="R292" s="310">
        <f t="shared" si="399"/>
        <v>3494.5808399051803</v>
      </c>
      <c r="S292" s="310">
        <f t="shared" si="399"/>
        <v>3539.4480080350804</v>
      </c>
      <c r="T292" s="310">
        <f t="shared" si="399"/>
        <v>3603.1551122060368</v>
      </c>
      <c r="U292" s="310">
        <f t="shared" si="399"/>
        <v>3652.2454533701657</v>
      </c>
      <c r="V292" s="310">
        <f t="shared" si="399"/>
        <v>3709.8836911519061</v>
      </c>
      <c r="W292" s="310">
        <f t="shared" si="399"/>
        <v>3760.5907506821859</v>
      </c>
      <c r="X292" s="310">
        <f t="shared" si="399"/>
        <v>3833.1952066990661</v>
      </c>
      <c r="Y292" s="310">
        <f t="shared" si="399"/>
        <v>3778.310894304017</v>
      </c>
      <c r="Z292" s="310">
        <f t="shared" si="399"/>
        <v>3845.5426655785759</v>
      </c>
      <c r="AA292" s="310">
        <f t="shared" si="399"/>
        <v>3907.9078377304527</v>
      </c>
      <c r="AB292" s="310">
        <f t="shared" si="399"/>
        <v>3975.4742682671963</v>
      </c>
      <c r="AC292" s="310">
        <f t="shared" si="399"/>
        <v>4043.019280078875</v>
      </c>
      <c r="AD292" s="310">
        <f t="shared" si="399"/>
        <v>4107.813178573896</v>
      </c>
      <c r="AE292" s="310">
        <f t="shared" si="399"/>
        <v>4175.2832319078207</v>
      </c>
      <c r="AF292" s="310">
        <f t="shared" si="399"/>
        <v>4251.9477318036097</v>
      </c>
      <c r="AG292" s="310">
        <f t="shared" si="399"/>
        <v>4330.5098728319617</v>
      </c>
      <c r="AH292" s="310">
        <f t="shared" si="399"/>
        <v>4399.2690980194438</v>
      </c>
      <c r="AI292" s="310">
        <f t="shared" si="399"/>
        <v>4398.1468854697905</v>
      </c>
      <c r="AJ292" s="310">
        <f t="shared" si="399"/>
        <v>4472.4702817496218</v>
      </c>
      <c r="AK292" s="310">
        <f t="shared" si="399"/>
        <v>4565.6712350265161</v>
      </c>
      <c r="AL292" s="310">
        <f t="shared" si="399"/>
        <v>4641.4871462685069</v>
      </c>
      <c r="AM292" s="310">
        <f t="shared" si="399"/>
        <v>4732.6921706208932</v>
      </c>
      <c r="AN292" s="310">
        <f t="shared" si="399"/>
        <v>4816.6578136199269</v>
      </c>
      <c r="AO292" s="310">
        <f t="shared" si="399"/>
        <v>4924.0319667010262</v>
      </c>
      <c r="AP292" s="310">
        <f t="shared" ref="AP292:BU292" si="400" xml:space="preserve"> $F290 * AP291</f>
        <v>5000.8629469469588</v>
      </c>
      <c r="AQ292" s="310">
        <f t="shared" si="400"/>
        <v>5115.8219785606616</v>
      </c>
      <c r="AR292" s="310">
        <f t="shared" si="400"/>
        <v>5193.6089480548508</v>
      </c>
      <c r="AS292" s="310">
        <f t="shared" si="400"/>
        <v>0</v>
      </c>
      <c r="AT292" s="310">
        <f t="shared" si="400"/>
        <v>0</v>
      </c>
      <c r="AU292" s="310">
        <f t="shared" si="400"/>
        <v>0</v>
      </c>
      <c r="AV292" s="310">
        <f t="shared" si="400"/>
        <v>0</v>
      </c>
      <c r="AW292" s="310">
        <f t="shared" si="400"/>
        <v>0</v>
      </c>
      <c r="AX292" s="310">
        <f t="shared" si="400"/>
        <v>0</v>
      </c>
      <c r="AY292" s="310">
        <f t="shared" si="400"/>
        <v>0</v>
      </c>
      <c r="AZ292" s="310">
        <f t="shared" si="400"/>
        <v>0</v>
      </c>
      <c r="BA292" s="310">
        <f t="shared" si="400"/>
        <v>0</v>
      </c>
      <c r="BB292" s="310">
        <f t="shared" si="400"/>
        <v>0</v>
      </c>
      <c r="BC292" s="310">
        <f t="shared" si="400"/>
        <v>0</v>
      </c>
      <c r="BD292" s="310">
        <f t="shared" si="400"/>
        <v>0</v>
      </c>
      <c r="BE292" s="310">
        <f t="shared" si="400"/>
        <v>0</v>
      </c>
      <c r="BF292" s="310">
        <f t="shared" si="400"/>
        <v>0</v>
      </c>
      <c r="BG292" s="310">
        <f t="shared" si="400"/>
        <v>0</v>
      </c>
      <c r="BH292" s="310">
        <f t="shared" si="400"/>
        <v>0</v>
      </c>
      <c r="BI292" s="310">
        <f t="shared" si="400"/>
        <v>0</v>
      </c>
      <c r="BJ292" s="310">
        <f t="shared" si="400"/>
        <v>0</v>
      </c>
      <c r="BK292" s="310">
        <f t="shared" si="400"/>
        <v>0</v>
      </c>
      <c r="BL292" s="310">
        <f t="shared" si="400"/>
        <v>0</v>
      </c>
      <c r="BM292" s="310">
        <f t="shared" si="400"/>
        <v>0</v>
      </c>
      <c r="BN292" s="310">
        <f t="shared" si="400"/>
        <v>0</v>
      </c>
      <c r="BO292" s="310">
        <f t="shared" si="400"/>
        <v>0</v>
      </c>
      <c r="BP292" s="310">
        <f t="shared" si="400"/>
        <v>0</v>
      </c>
      <c r="BQ292" s="310">
        <f t="shared" si="400"/>
        <v>0</v>
      </c>
      <c r="BR292" s="310">
        <f t="shared" si="400"/>
        <v>0</v>
      </c>
      <c r="BS292" s="310">
        <f t="shared" si="400"/>
        <v>0</v>
      </c>
      <c r="BT292" s="310">
        <f t="shared" si="400"/>
        <v>0</v>
      </c>
      <c r="BU292" s="310">
        <f t="shared" si="400"/>
        <v>0</v>
      </c>
      <c r="BV292" s="310">
        <f t="shared" ref="BV292:CV292" si="401" xml:space="preserve"> $F290 * BV291</f>
        <v>0</v>
      </c>
      <c r="BW292" s="310">
        <f t="shared" si="401"/>
        <v>0</v>
      </c>
      <c r="BX292" s="310">
        <f t="shared" si="401"/>
        <v>0</v>
      </c>
      <c r="BY292" s="310">
        <f t="shared" si="401"/>
        <v>0</v>
      </c>
      <c r="BZ292" s="310">
        <f t="shared" si="401"/>
        <v>0</v>
      </c>
      <c r="CA292" s="310">
        <f t="shared" si="401"/>
        <v>0</v>
      </c>
      <c r="CB292" s="310">
        <f t="shared" si="401"/>
        <v>0</v>
      </c>
      <c r="CC292" s="310">
        <f t="shared" si="401"/>
        <v>0</v>
      </c>
      <c r="CD292" s="310">
        <f t="shared" si="401"/>
        <v>0</v>
      </c>
      <c r="CE292" s="310">
        <f t="shared" si="401"/>
        <v>0</v>
      </c>
      <c r="CF292" s="310">
        <f t="shared" si="401"/>
        <v>0</v>
      </c>
      <c r="CG292" s="310">
        <f t="shared" si="401"/>
        <v>0</v>
      </c>
      <c r="CH292" s="310">
        <f t="shared" si="401"/>
        <v>0</v>
      </c>
      <c r="CI292" s="310">
        <f t="shared" si="401"/>
        <v>0</v>
      </c>
      <c r="CJ292" s="310">
        <f t="shared" si="401"/>
        <v>0</v>
      </c>
      <c r="CK292" s="310">
        <f t="shared" si="401"/>
        <v>0</v>
      </c>
      <c r="CL292" s="310">
        <f t="shared" si="401"/>
        <v>0</v>
      </c>
      <c r="CM292" s="310">
        <f t="shared" si="401"/>
        <v>0</v>
      </c>
      <c r="CN292" s="310">
        <f t="shared" si="401"/>
        <v>0</v>
      </c>
      <c r="CO292" s="310">
        <f t="shared" si="401"/>
        <v>0</v>
      </c>
      <c r="CP292" s="310">
        <f t="shared" si="401"/>
        <v>0</v>
      </c>
      <c r="CQ292" s="310">
        <f t="shared" si="401"/>
        <v>0</v>
      </c>
      <c r="CR292" s="310">
        <f t="shared" si="401"/>
        <v>0</v>
      </c>
      <c r="CS292" s="310">
        <f t="shared" si="401"/>
        <v>0</v>
      </c>
      <c r="CT292" s="310">
        <f t="shared" si="401"/>
        <v>0</v>
      </c>
      <c r="CU292" s="310">
        <f t="shared" si="401"/>
        <v>0</v>
      </c>
      <c r="CV292" s="310">
        <f t="shared" si="401"/>
        <v>0</v>
      </c>
    </row>
    <row r="293" spans="1:100" ht="12.75" outlineLevel="2" x14ac:dyDescent="0.2">
      <c r="A293" s="236"/>
      <c r="B293" s="236"/>
      <c r="C293" s="237"/>
      <c r="D293" s="238"/>
      <c r="E293" s="310"/>
      <c r="F293" s="310"/>
      <c r="G293" s="310"/>
      <c r="H293" s="310"/>
      <c r="I293" s="310"/>
      <c r="J293" s="310"/>
      <c r="K293" s="310"/>
      <c r="L293" s="310"/>
      <c r="M293" s="310"/>
      <c r="N293" s="310"/>
      <c r="O293" s="310"/>
      <c r="P293" s="310"/>
      <c r="Q293" s="310"/>
      <c r="R293" s="310"/>
      <c r="S293" s="310"/>
      <c r="T293" s="310"/>
      <c r="U293" s="310"/>
      <c r="V293" s="310"/>
      <c r="W293" s="310"/>
      <c r="X293" s="310"/>
      <c r="Y293" s="310"/>
      <c r="Z293" s="310"/>
      <c r="AA293" s="310"/>
      <c r="AB293" s="310"/>
      <c r="AC293" s="310"/>
      <c r="AD293" s="310"/>
      <c r="AE293" s="310"/>
      <c r="AF293" s="310"/>
      <c r="AG293" s="310"/>
      <c r="AH293" s="310"/>
      <c r="AI293" s="310"/>
      <c r="AJ293" s="310"/>
      <c r="AK293" s="310"/>
      <c r="AL293" s="310"/>
      <c r="AM293" s="310"/>
      <c r="AN293" s="310"/>
      <c r="AO293" s="310"/>
      <c r="AP293" s="310"/>
      <c r="AQ293" s="310"/>
      <c r="AR293" s="310"/>
      <c r="AS293" s="310"/>
      <c r="AT293" s="310"/>
      <c r="AU293" s="310"/>
      <c r="AV293" s="310"/>
      <c r="AW293" s="310"/>
      <c r="AX293" s="310"/>
      <c r="AY293" s="310"/>
      <c r="AZ293" s="310"/>
      <c r="BA293" s="310"/>
      <c r="BB293" s="310"/>
      <c r="BC293" s="310"/>
      <c r="BD293" s="310"/>
      <c r="BE293" s="310"/>
      <c r="BF293" s="310"/>
      <c r="BG293" s="310"/>
      <c r="BH293" s="310"/>
      <c r="BI293" s="310"/>
      <c r="BJ293" s="310"/>
      <c r="BK293" s="310"/>
      <c r="BL293" s="310"/>
      <c r="BM293" s="310"/>
      <c r="BN293" s="310"/>
      <c r="BO293" s="310"/>
      <c r="BP293" s="310"/>
      <c r="BQ293" s="310"/>
      <c r="BR293" s="310"/>
      <c r="BS293" s="310"/>
      <c r="BT293" s="310"/>
      <c r="BU293" s="310"/>
      <c r="BV293" s="310"/>
      <c r="BW293" s="310"/>
      <c r="BX293" s="310"/>
      <c r="BY293" s="310"/>
      <c r="BZ293" s="310"/>
      <c r="CA293" s="310"/>
      <c r="CB293" s="310"/>
      <c r="CC293" s="310"/>
      <c r="CD293" s="310"/>
      <c r="CE293" s="310"/>
      <c r="CF293" s="310"/>
      <c r="CG293" s="310"/>
      <c r="CH293" s="310"/>
      <c r="CI293" s="310"/>
      <c r="CJ293" s="310"/>
      <c r="CK293" s="310"/>
      <c r="CL293" s="310"/>
      <c r="CM293" s="310"/>
      <c r="CN293" s="310"/>
      <c r="CO293" s="310"/>
      <c r="CP293" s="310"/>
      <c r="CQ293" s="310"/>
      <c r="CR293" s="310"/>
      <c r="CS293" s="310"/>
      <c r="CT293" s="310"/>
      <c r="CU293" s="310"/>
      <c r="CV293" s="310"/>
    </row>
    <row r="294" spans="1:100" ht="12.75" outlineLevel="2" x14ac:dyDescent="0.2">
      <c r="A294" s="236"/>
      <c r="B294" s="236"/>
      <c r="C294" s="237"/>
      <c r="D294" s="238"/>
      <c r="E294" s="310" t="str">
        <f t="shared" ref="E294:I294" si="402" xml:space="preserve"> E$292</f>
        <v>Senior scheduled repayment - T2</v>
      </c>
      <c r="F294" s="310">
        <f t="shared" si="402"/>
        <v>0</v>
      </c>
      <c r="G294" s="310" t="str">
        <f t="shared" si="402"/>
        <v>$ 000s</v>
      </c>
      <c r="H294" s="310">
        <f t="shared" si="402"/>
        <v>125194.92397164847</v>
      </c>
      <c r="I294" s="310">
        <f t="shared" si="402"/>
        <v>0</v>
      </c>
      <c r="J294" s="310">
        <f t="shared" ref="J294:AO294" si="403" xml:space="preserve"> J$292</f>
        <v>0</v>
      </c>
      <c r="K294" s="310">
        <f t="shared" si="403"/>
        <v>0</v>
      </c>
      <c r="L294" s="310">
        <f t="shared" si="403"/>
        <v>0</v>
      </c>
      <c r="M294" s="310">
        <f t="shared" si="403"/>
        <v>0</v>
      </c>
      <c r="N294" s="310">
        <f t="shared" si="403"/>
        <v>0</v>
      </c>
      <c r="O294" s="310">
        <f t="shared" si="403"/>
        <v>4104.1368341736443</v>
      </c>
      <c r="P294" s="310">
        <f t="shared" si="403"/>
        <v>3390.1773293270649</v>
      </c>
      <c r="Q294" s="310">
        <f t="shared" si="403"/>
        <v>3430.9813139835283</v>
      </c>
      <c r="R294" s="310">
        <f t="shared" si="403"/>
        <v>3494.5808399051803</v>
      </c>
      <c r="S294" s="310">
        <f t="shared" si="403"/>
        <v>3539.4480080350804</v>
      </c>
      <c r="T294" s="310">
        <f t="shared" si="403"/>
        <v>3603.1551122060368</v>
      </c>
      <c r="U294" s="310">
        <f t="shared" si="403"/>
        <v>3652.2454533701657</v>
      </c>
      <c r="V294" s="310">
        <f t="shared" si="403"/>
        <v>3709.8836911519061</v>
      </c>
      <c r="W294" s="310">
        <f t="shared" si="403"/>
        <v>3760.5907506821859</v>
      </c>
      <c r="X294" s="310">
        <f t="shared" si="403"/>
        <v>3833.1952066990661</v>
      </c>
      <c r="Y294" s="310">
        <f t="shared" si="403"/>
        <v>3778.310894304017</v>
      </c>
      <c r="Z294" s="310">
        <f t="shared" si="403"/>
        <v>3845.5426655785759</v>
      </c>
      <c r="AA294" s="310">
        <f t="shared" si="403"/>
        <v>3907.9078377304527</v>
      </c>
      <c r="AB294" s="310">
        <f t="shared" si="403"/>
        <v>3975.4742682671963</v>
      </c>
      <c r="AC294" s="310">
        <f t="shared" si="403"/>
        <v>4043.019280078875</v>
      </c>
      <c r="AD294" s="310">
        <f t="shared" si="403"/>
        <v>4107.813178573896</v>
      </c>
      <c r="AE294" s="310">
        <f t="shared" si="403"/>
        <v>4175.2832319078207</v>
      </c>
      <c r="AF294" s="310">
        <f t="shared" si="403"/>
        <v>4251.9477318036097</v>
      </c>
      <c r="AG294" s="310">
        <f t="shared" si="403"/>
        <v>4330.5098728319617</v>
      </c>
      <c r="AH294" s="310">
        <f t="shared" si="403"/>
        <v>4399.2690980194438</v>
      </c>
      <c r="AI294" s="310">
        <f t="shared" si="403"/>
        <v>4398.1468854697905</v>
      </c>
      <c r="AJ294" s="310">
        <f t="shared" si="403"/>
        <v>4472.4702817496218</v>
      </c>
      <c r="AK294" s="310">
        <f t="shared" si="403"/>
        <v>4565.6712350265161</v>
      </c>
      <c r="AL294" s="310">
        <f t="shared" si="403"/>
        <v>4641.4871462685069</v>
      </c>
      <c r="AM294" s="310">
        <f t="shared" si="403"/>
        <v>4732.6921706208932</v>
      </c>
      <c r="AN294" s="310">
        <f t="shared" si="403"/>
        <v>4816.6578136199269</v>
      </c>
      <c r="AO294" s="310">
        <f t="shared" si="403"/>
        <v>4924.0319667010262</v>
      </c>
      <c r="AP294" s="310">
        <f t="shared" ref="AP294:BU294" si="404" xml:space="preserve"> AP$292</f>
        <v>5000.8629469469588</v>
      </c>
      <c r="AQ294" s="310">
        <f t="shared" si="404"/>
        <v>5115.8219785606616</v>
      </c>
      <c r="AR294" s="310">
        <f t="shared" si="404"/>
        <v>5193.6089480548508</v>
      </c>
      <c r="AS294" s="310">
        <f t="shared" si="404"/>
        <v>0</v>
      </c>
      <c r="AT294" s="310">
        <f t="shared" si="404"/>
        <v>0</v>
      </c>
      <c r="AU294" s="310">
        <f t="shared" si="404"/>
        <v>0</v>
      </c>
      <c r="AV294" s="310">
        <f t="shared" si="404"/>
        <v>0</v>
      </c>
      <c r="AW294" s="310">
        <f t="shared" si="404"/>
        <v>0</v>
      </c>
      <c r="AX294" s="310">
        <f t="shared" si="404"/>
        <v>0</v>
      </c>
      <c r="AY294" s="310">
        <f t="shared" si="404"/>
        <v>0</v>
      </c>
      <c r="AZ294" s="310">
        <f t="shared" si="404"/>
        <v>0</v>
      </c>
      <c r="BA294" s="310">
        <f t="shared" si="404"/>
        <v>0</v>
      </c>
      <c r="BB294" s="310">
        <f t="shared" si="404"/>
        <v>0</v>
      </c>
      <c r="BC294" s="310">
        <f t="shared" si="404"/>
        <v>0</v>
      </c>
      <c r="BD294" s="310">
        <f t="shared" si="404"/>
        <v>0</v>
      </c>
      <c r="BE294" s="310">
        <f t="shared" si="404"/>
        <v>0</v>
      </c>
      <c r="BF294" s="310">
        <f t="shared" si="404"/>
        <v>0</v>
      </c>
      <c r="BG294" s="310">
        <f t="shared" si="404"/>
        <v>0</v>
      </c>
      <c r="BH294" s="310">
        <f t="shared" si="404"/>
        <v>0</v>
      </c>
      <c r="BI294" s="310">
        <f t="shared" si="404"/>
        <v>0</v>
      </c>
      <c r="BJ294" s="310">
        <f t="shared" si="404"/>
        <v>0</v>
      </c>
      <c r="BK294" s="310">
        <f t="shared" si="404"/>
        <v>0</v>
      </c>
      <c r="BL294" s="310">
        <f t="shared" si="404"/>
        <v>0</v>
      </c>
      <c r="BM294" s="310">
        <f t="shared" si="404"/>
        <v>0</v>
      </c>
      <c r="BN294" s="310">
        <f t="shared" si="404"/>
        <v>0</v>
      </c>
      <c r="BO294" s="310">
        <f t="shared" si="404"/>
        <v>0</v>
      </c>
      <c r="BP294" s="310">
        <f t="shared" si="404"/>
        <v>0</v>
      </c>
      <c r="BQ294" s="310">
        <f t="shared" si="404"/>
        <v>0</v>
      </c>
      <c r="BR294" s="310">
        <f t="shared" si="404"/>
        <v>0</v>
      </c>
      <c r="BS294" s="310">
        <f t="shared" si="404"/>
        <v>0</v>
      </c>
      <c r="BT294" s="310">
        <f t="shared" si="404"/>
        <v>0</v>
      </c>
      <c r="BU294" s="310">
        <f t="shared" si="404"/>
        <v>0</v>
      </c>
      <c r="BV294" s="310">
        <f t="shared" ref="BV294:CV294" si="405" xml:space="preserve"> BV$292</f>
        <v>0</v>
      </c>
      <c r="BW294" s="310">
        <f t="shared" si="405"/>
        <v>0</v>
      </c>
      <c r="BX294" s="310">
        <f t="shared" si="405"/>
        <v>0</v>
      </c>
      <c r="BY294" s="310">
        <f t="shared" si="405"/>
        <v>0</v>
      </c>
      <c r="BZ294" s="310">
        <f t="shared" si="405"/>
        <v>0</v>
      </c>
      <c r="CA294" s="310">
        <f t="shared" si="405"/>
        <v>0</v>
      </c>
      <c r="CB294" s="310">
        <f t="shared" si="405"/>
        <v>0</v>
      </c>
      <c r="CC294" s="310">
        <f t="shared" si="405"/>
        <v>0</v>
      </c>
      <c r="CD294" s="310">
        <f t="shared" si="405"/>
        <v>0</v>
      </c>
      <c r="CE294" s="310">
        <f t="shared" si="405"/>
        <v>0</v>
      </c>
      <c r="CF294" s="310">
        <f t="shared" si="405"/>
        <v>0</v>
      </c>
      <c r="CG294" s="310">
        <f t="shared" si="405"/>
        <v>0</v>
      </c>
      <c r="CH294" s="310">
        <f t="shared" si="405"/>
        <v>0</v>
      </c>
      <c r="CI294" s="310">
        <f t="shared" si="405"/>
        <v>0</v>
      </c>
      <c r="CJ294" s="310">
        <f t="shared" si="405"/>
        <v>0</v>
      </c>
      <c r="CK294" s="310">
        <f t="shared" si="405"/>
        <v>0</v>
      </c>
      <c r="CL294" s="310">
        <f t="shared" si="405"/>
        <v>0</v>
      </c>
      <c r="CM294" s="310">
        <f t="shared" si="405"/>
        <v>0</v>
      </c>
      <c r="CN294" s="310">
        <f t="shared" si="405"/>
        <v>0</v>
      </c>
      <c r="CO294" s="310">
        <f t="shared" si="405"/>
        <v>0</v>
      </c>
      <c r="CP294" s="310">
        <f t="shared" si="405"/>
        <v>0</v>
      </c>
      <c r="CQ294" s="310">
        <f t="shared" si="405"/>
        <v>0</v>
      </c>
      <c r="CR294" s="310">
        <f t="shared" si="405"/>
        <v>0</v>
      </c>
      <c r="CS294" s="310">
        <f t="shared" si="405"/>
        <v>0</v>
      </c>
      <c r="CT294" s="310">
        <f t="shared" si="405"/>
        <v>0</v>
      </c>
      <c r="CU294" s="310">
        <f t="shared" si="405"/>
        <v>0</v>
      </c>
      <c r="CV294" s="310">
        <f t="shared" si="405"/>
        <v>0</v>
      </c>
    </row>
    <row r="295" spans="1:100" s="230" customFormat="1" ht="12.75" outlineLevel="2" x14ac:dyDescent="0.2">
      <c r="A295" s="141"/>
      <c r="B295" s="141"/>
      <c r="C295" s="142"/>
      <c r="D295" s="143"/>
      <c r="E295" s="144" t="s">
        <v>987</v>
      </c>
      <c r="F295" s="144"/>
      <c r="G295" s="144" t="str">
        <f xml:space="preserve"> SMU</f>
        <v>$ 000s</v>
      </c>
      <c r="H295" s="144">
        <f xml:space="preserve"> SUM(J295:CV295)</f>
        <v>125194.92397164847</v>
      </c>
      <c r="I295" s="144"/>
      <c r="J295" s="144">
        <f t="shared" ref="J295:BU295" si="406" xml:space="preserve"> J294</f>
        <v>0</v>
      </c>
      <c r="K295" s="144">
        <f t="shared" si="406"/>
        <v>0</v>
      </c>
      <c r="L295" s="144">
        <f t="shared" si="406"/>
        <v>0</v>
      </c>
      <c r="M295" s="144">
        <f t="shared" si="406"/>
        <v>0</v>
      </c>
      <c r="N295" s="144">
        <f t="shared" si="406"/>
        <v>0</v>
      </c>
      <c r="O295" s="144">
        <f t="shared" si="406"/>
        <v>4104.1368341736443</v>
      </c>
      <c r="P295" s="144">
        <f t="shared" si="406"/>
        <v>3390.1773293270649</v>
      </c>
      <c r="Q295" s="144">
        <f t="shared" si="406"/>
        <v>3430.9813139835283</v>
      </c>
      <c r="R295" s="144">
        <f t="shared" si="406"/>
        <v>3494.5808399051803</v>
      </c>
      <c r="S295" s="144">
        <f t="shared" si="406"/>
        <v>3539.4480080350804</v>
      </c>
      <c r="T295" s="144">
        <f t="shared" si="406"/>
        <v>3603.1551122060368</v>
      </c>
      <c r="U295" s="144">
        <f t="shared" si="406"/>
        <v>3652.2454533701657</v>
      </c>
      <c r="V295" s="144">
        <f t="shared" si="406"/>
        <v>3709.8836911519061</v>
      </c>
      <c r="W295" s="144">
        <f t="shared" si="406"/>
        <v>3760.5907506821859</v>
      </c>
      <c r="X295" s="144">
        <f t="shared" si="406"/>
        <v>3833.1952066990661</v>
      </c>
      <c r="Y295" s="144">
        <f t="shared" si="406"/>
        <v>3778.310894304017</v>
      </c>
      <c r="Z295" s="144">
        <f t="shared" si="406"/>
        <v>3845.5426655785759</v>
      </c>
      <c r="AA295" s="144">
        <f t="shared" si="406"/>
        <v>3907.9078377304527</v>
      </c>
      <c r="AB295" s="144">
        <f t="shared" si="406"/>
        <v>3975.4742682671963</v>
      </c>
      <c r="AC295" s="144">
        <f t="shared" si="406"/>
        <v>4043.019280078875</v>
      </c>
      <c r="AD295" s="144">
        <f t="shared" si="406"/>
        <v>4107.813178573896</v>
      </c>
      <c r="AE295" s="144">
        <f t="shared" si="406"/>
        <v>4175.2832319078207</v>
      </c>
      <c r="AF295" s="144">
        <f t="shared" si="406"/>
        <v>4251.9477318036097</v>
      </c>
      <c r="AG295" s="144">
        <f t="shared" si="406"/>
        <v>4330.5098728319617</v>
      </c>
      <c r="AH295" s="144">
        <f t="shared" si="406"/>
        <v>4399.2690980194438</v>
      </c>
      <c r="AI295" s="144">
        <f t="shared" si="406"/>
        <v>4398.1468854697905</v>
      </c>
      <c r="AJ295" s="144">
        <f t="shared" si="406"/>
        <v>4472.4702817496218</v>
      </c>
      <c r="AK295" s="144">
        <f t="shared" si="406"/>
        <v>4565.6712350265161</v>
      </c>
      <c r="AL295" s="144">
        <f t="shared" si="406"/>
        <v>4641.4871462685069</v>
      </c>
      <c r="AM295" s="144">
        <f t="shared" si="406"/>
        <v>4732.6921706208932</v>
      </c>
      <c r="AN295" s="144">
        <f t="shared" si="406"/>
        <v>4816.6578136199269</v>
      </c>
      <c r="AO295" s="144">
        <f t="shared" si="406"/>
        <v>4924.0319667010262</v>
      </c>
      <c r="AP295" s="144">
        <f t="shared" si="406"/>
        <v>5000.8629469469588</v>
      </c>
      <c r="AQ295" s="144">
        <f t="shared" si="406"/>
        <v>5115.8219785606616</v>
      </c>
      <c r="AR295" s="144">
        <f t="shared" si="406"/>
        <v>5193.6089480548508</v>
      </c>
      <c r="AS295" s="144">
        <f t="shared" si="406"/>
        <v>0</v>
      </c>
      <c r="AT295" s="144">
        <f t="shared" si="406"/>
        <v>0</v>
      </c>
      <c r="AU295" s="144">
        <f t="shared" si="406"/>
        <v>0</v>
      </c>
      <c r="AV295" s="144">
        <f t="shared" si="406"/>
        <v>0</v>
      </c>
      <c r="AW295" s="144">
        <f t="shared" si="406"/>
        <v>0</v>
      </c>
      <c r="AX295" s="144">
        <f t="shared" si="406"/>
        <v>0</v>
      </c>
      <c r="AY295" s="144">
        <f t="shared" si="406"/>
        <v>0</v>
      </c>
      <c r="AZ295" s="144">
        <f t="shared" si="406"/>
        <v>0</v>
      </c>
      <c r="BA295" s="144">
        <f t="shared" si="406"/>
        <v>0</v>
      </c>
      <c r="BB295" s="144">
        <f t="shared" si="406"/>
        <v>0</v>
      </c>
      <c r="BC295" s="144">
        <f t="shared" si="406"/>
        <v>0</v>
      </c>
      <c r="BD295" s="144">
        <f t="shared" si="406"/>
        <v>0</v>
      </c>
      <c r="BE295" s="144">
        <f t="shared" si="406"/>
        <v>0</v>
      </c>
      <c r="BF295" s="144">
        <f t="shared" si="406"/>
        <v>0</v>
      </c>
      <c r="BG295" s="144">
        <f t="shared" si="406"/>
        <v>0</v>
      </c>
      <c r="BH295" s="144">
        <f t="shared" si="406"/>
        <v>0</v>
      </c>
      <c r="BI295" s="144">
        <f t="shared" si="406"/>
        <v>0</v>
      </c>
      <c r="BJ295" s="144">
        <f t="shared" si="406"/>
        <v>0</v>
      </c>
      <c r="BK295" s="144">
        <f t="shared" si="406"/>
        <v>0</v>
      </c>
      <c r="BL295" s="144">
        <f t="shared" si="406"/>
        <v>0</v>
      </c>
      <c r="BM295" s="144">
        <f t="shared" si="406"/>
        <v>0</v>
      </c>
      <c r="BN295" s="144">
        <f t="shared" si="406"/>
        <v>0</v>
      </c>
      <c r="BO295" s="144">
        <f t="shared" si="406"/>
        <v>0</v>
      </c>
      <c r="BP295" s="144">
        <f t="shared" si="406"/>
        <v>0</v>
      </c>
      <c r="BQ295" s="144">
        <f t="shared" si="406"/>
        <v>0</v>
      </c>
      <c r="BR295" s="144">
        <f t="shared" si="406"/>
        <v>0</v>
      </c>
      <c r="BS295" s="144">
        <f t="shared" si="406"/>
        <v>0</v>
      </c>
      <c r="BT295" s="144">
        <f t="shared" si="406"/>
        <v>0</v>
      </c>
      <c r="BU295" s="144">
        <f t="shared" si="406"/>
        <v>0</v>
      </c>
      <c r="BV295" s="144">
        <f t="shared" ref="BV295:CV295" si="407" xml:space="preserve"> BV294</f>
        <v>0</v>
      </c>
      <c r="BW295" s="144">
        <f t="shared" si="407"/>
        <v>0</v>
      </c>
      <c r="BX295" s="144">
        <f t="shared" si="407"/>
        <v>0</v>
      </c>
      <c r="BY295" s="144">
        <f t="shared" si="407"/>
        <v>0</v>
      </c>
      <c r="BZ295" s="144">
        <f t="shared" si="407"/>
        <v>0</v>
      </c>
      <c r="CA295" s="144">
        <f t="shared" si="407"/>
        <v>0</v>
      </c>
      <c r="CB295" s="144">
        <f t="shared" si="407"/>
        <v>0</v>
      </c>
      <c r="CC295" s="144">
        <f t="shared" si="407"/>
        <v>0</v>
      </c>
      <c r="CD295" s="144">
        <f t="shared" si="407"/>
        <v>0</v>
      </c>
      <c r="CE295" s="144">
        <f t="shared" si="407"/>
        <v>0</v>
      </c>
      <c r="CF295" s="144">
        <f t="shared" si="407"/>
        <v>0</v>
      </c>
      <c r="CG295" s="144">
        <f t="shared" si="407"/>
        <v>0</v>
      </c>
      <c r="CH295" s="144">
        <f t="shared" si="407"/>
        <v>0</v>
      </c>
      <c r="CI295" s="144">
        <f t="shared" si="407"/>
        <v>0</v>
      </c>
      <c r="CJ295" s="144">
        <f t="shared" si="407"/>
        <v>0</v>
      </c>
      <c r="CK295" s="144">
        <f t="shared" si="407"/>
        <v>0</v>
      </c>
      <c r="CL295" s="144">
        <f t="shared" si="407"/>
        <v>0</v>
      </c>
      <c r="CM295" s="144">
        <f t="shared" si="407"/>
        <v>0</v>
      </c>
      <c r="CN295" s="144">
        <f t="shared" si="407"/>
        <v>0</v>
      </c>
      <c r="CO295" s="144">
        <f t="shared" si="407"/>
        <v>0</v>
      </c>
      <c r="CP295" s="144">
        <f t="shared" si="407"/>
        <v>0</v>
      </c>
      <c r="CQ295" s="144">
        <f t="shared" si="407"/>
        <v>0</v>
      </c>
      <c r="CR295" s="144">
        <f t="shared" si="407"/>
        <v>0</v>
      </c>
      <c r="CS295" s="144">
        <f t="shared" si="407"/>
        <v>0</v>
      </c>
      <c r="CT295" s="144">
        <f t="shared" si="407"/>
        <v>0</v>
      </c>
      <c r="CU295" s="144">
        <f t="shared" si="407"/>
        <v>0</v>
      </c>
      <c r="CV295" s="144">
        <f t="shared" si="407"/>
        <v>0</v>
      </c>
    </row>
    <row r="296" spans="1:100" ht="12.75" outlineLevel="2" x14ac:dyDescent="0.2">
      <c r="A296" s="141"/>
      <c r="B296" s="141"/>
      <c r="C296" s="142"/>
      <c r="D296" s="143" t="s">
        <v>366</v>
      </c>
      <c r="E296" s="144" t="str">
        <f xml:space="preserve"> LEFT(E295, LEN(E295) - 4)</f>
        <v>Senior debt principal repayment - T2</v>
      </c>
      <c r="F296" s="187"/>
      <c r="G296" s="187" t="str">
        <f xml:space="preserve"> SMU</f>
        <v>$ 000s</v>
      </c>
      <c r="H296" s="187">
        <f xml:space="preserve"> SUM(J296:CV296)</f>
        <v>-125194.92397164847</v>
      </c>
      <c r="I296" s="144"/>
      <c r="J296" s="187">
        <f t="shared" ref="J296:BU296" si="408" xml:space="preserve"> -1 * J295</f>
        <v>0</v>
      </c>
      <c r="K296" s="187">
        <f t="shared" si="408"/>
        <v>0</v>
      </c>
      <c r="L296" s="187">
        <f t="shared" si="408"/>
        <v>0</v>
      </c>
      <c r="M296" s="187">
        <f t="shared" si="408"/>
        <v>0</v>
      </c>
      <c r="N296" s="187">
        <f t="shared" si="408"/>
        <v>0</v>
      </c>
      <c r="O296" s="187">
        <f t="shared" si="408"/>
        <v>-4104.1368341736443</v>
      </c>
      <c r="P296" s="187">
        <f t="shared" si="408"/>
        <v>-3390.1773293270649</v>
      </c>
      <c r="Q296" s="187">
        <f t="shared" si="408"/>
        <v>-3430.9813139835283</v>
      </c>
      <c r="R296" s="187">
        <f t="shared" si="408"/>
        <v>-3494.5808399051803</v>
      </c>
      <c r="S296" s="187">
        <f t="shared" si="408"/>
        <v>-3539.4480080350804</v>
      </c>
      <c r="T296" s="187">
        <f t="shared" si="408"/>
        <v>-3603.1551122060368</v>
      </c>
      <c r="U296" s="187">
        <f t="shared" si="408"/>
        <v>-3652.2454533701657</v>
      </c>
      <c r="V296" s="187">
        <f t="shared" si="408"/>
        <v>-3709.8836911519061</v>
      </c>
      <c r="W296" s="187">
        <f t="shared" si="408"/>
        <v>-3760.5907506821859</v>
      </c>
      <c r="X296" s="187">
        <f t="shared" si="408"/>
        <v>-3833.1952066990661</v>
      </c>
      <c r="Y296" s="187">
        <f t="shared" si="408"/>
        <v>-3778.310894304017</v>
      </c>
      <c r="Z296" s="187">
        <f t="shared" si="408"/>
        <v>-3845.5426655785759</v>
      </c>
      <c r="AA296" s="187">
        <f t="shared" si="408"/>
        <v>-3907.9078377304527</v>
      </c>
      <c r="AB296" s="187">
        <f t="shared" si="408"/>
        <v>-3975.4742682671963</v>
      </c>
      <c r="AC296" s="187">
        <f t="shared" si="408"/>
        <v>-4043.019280078875</v>
      </c>
      <c r="AD296" s="187">
        <f t="shared" si="408"/>
        <v>-4107.813178573896</v>
      </c>
      <c r="AE296" s="187">
        <f t="shared" si="408"/>
        <v>-4175.2832319078207</v>
      </c>
      <c r="AF296" s="187">
        <f t="shared" si="408"/>
        <v>-4251.9477318036097</v>
      </c>
      <c r="AG296" s="187">
        <f t="shared" si="408"/>
        <v>-4330.5098728319617</v>
      </c>
      <c r="AH296" s="187">
        <f t="shared" si="408"/>
        <v>-4399.2690980194438</v>
      </c>
      <c r="AI296" s="187">
        <f t="shared" si="408"/>
        <v>-4398.1468854697905</v>
      </c>
      <c r="AJ296" s="187">
        <f t="shared" si="408"/>
        <v>-4472.4702817496218</v>
      </c>
      <c r="AK296" s="187">
        <f t="shared" si="408"/>
        <v>-4565.6712350265161</v>
      </c>
      <c r="AL296" s="187">
        <f t="shared" si="408"/>
        <v>-4641.4871462685069</v>
      </c>
      <c r="AM296" s="187">
        <f t="shared" si="408"/>
        <v>-4732.6921706208932</v>
      </c>
      <c r="AN296" s="187">
        <f t="shared" si="408"/>
        <v>-4816.6578136199269</v>
      </c>
      <c r="AO296" s="187">
        <f t="shared" si="408"/>
        <v>-4924.0319667010262</v>
      </c>
      <c r="AP296" s="187">
        <f t="shared" si="408"/>
        <v>-5000.8629469469588</v>
      </c>
      <c r="AQ296" s="187">
        <f t="shared" si="408"/>
        <v>-5115.8219785606616</v>
      </c>
      <c r="AR296" s="187">
        <f t="shared" si="408"/>
        <v>-5193.6089480548508</v>
      </c>
      <c r="AS296" s="187">
        <f t="shared" si="408"/>
        <v>0</v>
      </c>
      <c r="AT296" s="187">
        <f t="shared" si="408"/>
        <v>0</v>
      </c>
      <c r="AU296" s="187">
        <f t="shared" si="408"/>
        <v>0</v>
      </c>
      <c r="AV296" s="187">
        <f t="shared" si="408"/>
        <v>0</v>
      </c>
      <c r="AW296" s="187">
        <f t="shared" si="408"/>
        <v>0</v>
      </c>
      <c r="AX296" s="187">
        <f t="shared" si="408"/>
        <v>0</v>
      </c>
      <c r="AY296" s="187">
        <f t="shared" si="408"/>
        <v>0</v>
      </c>
      <c r="AZ296" s="187">
        <f t="shared" si="408"/>
        <v>0</v>
      </c>
      <c r="BA296" s="187">
        <f t="shared" si="408"/>
        <v>0</v>
      </c>
      <c r="BB296" s="187">
        <f t="shared" si="408"/>
        <v>0</v>
      </c>
      <c r="BC296" s="187">
        <f t="shared" si="408"/>
        <v>0</v>
      </c>
      <c r="BD296" s="187">
        <f t="shared" si="408"/>
        <v>0</v>
      </c>
      <c r="BE296" s="187">
        <f t="shared" si="408"/>
        <v>0</v>
      </c>
      <c r="BF296" s="187">
        <f t="shared" si="408"/>
        <v>0</v>
      </c>
      <c r="BG296" s="187">
        <f t="shared" si="408"/>
        <v>0</v>
      </c>
      <c r="BH296" s="187">
        <f t="shared" si="408"/>
        <v>0</v>
      </c>
      <c r="BI296" s="187">
        <f t="shared" si="408"/>
        <v>0</v>
      </c>
      <c r="BJ296" s="187">
        <f t="shared" si="408"/>
        <v>0</v>
      </c>
      <c r="BK296" s="187">
        <f t="shared" si="408"/>
        <v>0</v>
      </c>
      <c r="BL296" s="187">
        <f t="shared" si="408"/>
        <v>0</v>
      </c>
      <c r="BM296" s="187">
        <f t="shared" si="408"/>
        <v>0</v>
      </c>
      <c r="BN296" s="187">
        <f t="shared" si="408"/>
        <v>0</v>
      </c>
      <c r="BO296" s="187">
        <f t="shared" si="408"/>
        <v>0</v>
      </c>
      <c r="BP296" s="187">
        <f t="shared" si="408"/>
        <v>0</v>
      </c>
      <c r="BQ296" s="187">
        <f t="shared" si="408"/>
        <v>0</v>
      </c>
      <c r="BR296" s="187">
        <f t="shared" si="408"/>
        <v>0</v>
      </c>
      <c r="BS296" s="187">
        <f t="shared" si="408"/>
        <v>0</v>
      </c>
      <c r="BT296" s="187">
        <f t="shared" si="408"/>
        <v>0</v>
      </c>
      <c r="BU296" s="187">
        <f t="shared" si="408"/>
        <v>0</v>
      </c>
      <c r="BV296" s="187">
        <f t="shared" ref="BV296:CV296" si="409" xml:space="preserve"> -1 * BV295</f>
        <v>0</v>
      </c>
      <c r="BW296" s="187">
        <f t="shared" si="409"/>
        <v>0</v>
      </c>
      <c r="BX296" s="187">
        <f t="shared" si="409"/>
        <v>0</v>
      </c>
      <c r="BY296" s="187">
        <f t="shared" si="409"/>
        <v>0</v>
      </c>
      <c r="BZ296" s="187">
        <f t="shared" si="409"/>
        <v>0</v>
      </c>
      <c r="CA296" s="187">
        <f t="shared" si="409"/>
        <v>0</v>
      </c>
      <c r="CB296" s="187">
        <f t="shared" si="409"/>
        <v>0</v>
      </c>
      <c r="CC296" s="187">
        <f t="shared" si="409"/>
        <v>0</v>
      </c>
      <c r="CD296" s="187">
        <f t="shared" si="409"/>
        <v>0</v>
      </c>
      <c r="CE296" s="187">
        <f t="shared" si="409"/>
        <v>0</v>
      </c>
      <c r="CF296" s="187">
        <f t="shared" si="409"/>
        <v>0</v>
      </c>
      <c r="CG296" s="187">
        <f t="shared" si="409"/>
        <v>0</v>
      </c>
      <c r="CH296" s="187">
        <f t="shared" si="409"/>
        <v>0</v>
      </c>
      <c r="CI296" s="187">
        <f t="shared" si="409"/>
        <v>0</v>
      </c>
      <c r="CJ296" s="187">
        <f t="shared" si="409"/>
        <v>0</v>
      </c>
      <c r="CK296" s="187">
        <f t="shared" si="409"/>
        <v>0</v>
      </c>
      <c r="CL296" s="187">
        <f t="shared" si="409"/>
        <v>0</v>
      </c>
      <c r="CM296" s="187">
        <f t="shared" si="409"/>
        <v>0</v>
      </c>
      <c r="CN296" s="187">
        <f t="shared" si="409"/>
        <v>0</v>
      </c>
      <c r="CO296" s="187">
        <f t="shared" si="409"/>
        <v>0</v>
      </c>
      <c r="CP296" s="187">
        <f t="shared" si="409"/>
        <v>0</v>
      </c>
      <c r="CQ296" s="187">
        <f t="shared" si="409"/>
        <v>0</v>
      </c>
      <c r="CR296" s="187">
        <f t="shared" si="409"/>
        <v>0</v>
      </c>
      <c r="CS296" s="187">
        <f t="shared" si="409"/>
        <v>0</v>
      </c>
      <c r="CT296" s="187">
        <f t="shared" si="409"/>
        <v>0</v>
      </c>
      <c r="CU296" s="187">
        <f t="shared" si="409"/>
        <v>0</v>
      </c>
      <c r="CV296" s="187">
        <f t="shared" si="409"/>
        <v>0</v>
      </c>
    </row>
    <row r="297" spans="1:100" ht="12.75" outlineLevel="1" x14ac:dyDescent="0.2"/>
    <row r="298" spans="1:100" ht="12.75" outlineLevel="1" x14ac:dyDescent="0.2">
      <c r="C298" s="21" t="s">
        <v>991</v>
      </c>
    </row>
    <row r="299" spans="1:100" s="626" customFormat="1" ht="12.75" outlineLevel="2" x14ac:dyDescent="0.2">
      <c r="A299" s="621"/>
      <c r="B299" s="621"/>
      <c r="C299" s="622"/>
      <c r="D299" s="623"/>
      <c r="E299" s="624" t="s">
        <v>998</v>
      </c>
      <c r="F299" s="624"/>
      <c r="G299" s="624" t="str">
        <f xml:space="preserve"> SMU</f>
        <v>$ 000s</v>
      </c>
      <c r="H299" s="624"/>
      <c r="I299" s="625"/>
      <c r="J299" s="624">
        <f t="shared" ref="J299" si="410">I302</f>
        <v>0</v>
      </c>
      <c r="K299" s="624">
        <f t="shared" ref="K299" si="411">J302</f>
        <v>0</v>
      </c>
      <c r="L299" s="624">
        <f t="shared" ref="L299" si="412">K302</f>
        <v>12084.251893640236</v>
      </c>
      <c r="M299" s="624">
        <f t="shared" ref="M299" si="413">L302</f>
        <v>48641.086087745876</v>
      </c>
      <c r="N299" s="624">
        <f t="shared" ref="N299" si="414">M302</f>
        <v>85848.029919746245</v>
      </c>
      <c r="O299" s="624">
        <f t="shared" ref="O299" si="415">N302</f>
        <v>125194.92613015344</v>
      </c>
      <c r="P299" s="624">
        <f t="shared" ref="P299" si="416">O302</f>
        <v>121090.7892959798</v>
      </c>
      <c r="Q299" s="624">
        <f t="shared" ref="Q299" si="417">P302</f>
        <v>117700.61196665274</v>
      </c>
      <c r="R299" s="624">
        <f t="shared" ref="R299" si="418">Q302</f>
        <v>114269.63065266921</v>
      </c>
      <c r="S299" s="624">
        <f t="shared" ref="S299" si="419">R302</f>
        <v>110775.04981276403</v>
      </c>
      <c r="T299" s="624">
        <f t="shared" ref="T299" si="420">S302</f>
        <v>107235.60180472895</v>
      </c>
      <c r="U299" s="624">
        <f t="shared" ref="U299" si="421">T302</f>
        <v>103632.44669252292</v>
      </c>
      <c r="V299" s="624">
        <f t="shared" ref="V299" si="422">U302</f>
        <v>99980.201239152753</v>
      </c>
      <c r="W299" s="624">
        <f t="shared" ref="W299" si="423">V302</f>
        <v>96270.31754800085</v>
      </c>
      <c r="X299" s="624">
        <f t="shared" ref="X299" si="424">W302</f>
        <v>92509.726797318668</v>
      </c>
      <c r="Y299" s="624">
        <f t="shared" ref="Y299" si="425">X302</f>
        <v>88676.531590619605</v>
      </c>
      <c r="Z299" s="624">
        <f t="shared" ref="Z299" si="426">Y302</f>
        <v>84898.220696315591</v>
      </c>
      <c r="AA299" s="624">
        <f t="shared" ref="AA299" si="427">Z302</f>
        <v>81052.678030737021</v>
      </c>
      <c r="AB299" s="624">
        <f t="shared" ref="AB299" si="428">AA302</f>
        <v>77144.770193006567</v>
      </c>
      <c r="AC299" s="624">
        <f t="shared" ref="AC299" si="429">AB302</f>
        <v>73169.295924739374</v>
      </c>
      <c r="AD299" s="624">
        <f t="shared" ref="AD299" si="430">AC302</f>
        <v>69126.276644660495</v>
      </c>
      <c r="AE299" s="624">
        <f t="shared" ref="AE299" si="431">AD302</f>
        <v>65018.4634660866</v>
      </c>
      <c r="AF299" s="624">
        <f t="shared" ref="AF299" si="432">AE302</f>
        <v>60843.180234178777</v>
      </c>
      <c r="AG299" s="624">
        <f t="shared" ref="AG299" si="433">AF302</f>
        <v>56591.232502375169</v>
      </c>
      <c r="AH299" s="624">
        <f t="shared" ref="AH299" si="434">AG302</f>
        <v>52260.722629543205</v>
      </c>
      <c r="AI299" s="624">
        <f t="shared" ref="AI299" si="435">AH302</f>
        <v>47861.453531523759</v>
      </c>
      <c r="AJ299" s="624">
        <f t="shared" ref="AJ299" si="436">AI302</f>
        <v>43463.30664605397</v>
      </c>
      <c r="AK299" s="624">
        <f t="shared" ref="AK299" si="437">AJ302</f>
        <v>38990.836364304349</v>
      </c>
      <c r="AL299" s="624">
        <f t="shared" ref="AL299" si="438">AK302</f>
        <v>34425.165129277833</v>
      </c>
      <c r="AM299" s="624">
        <f t="shared" ref="AM299" si="439">AL302</f>
        <v>29783.677983009326</v>
      </c>
      <c r="AN299" s="624">
        <f t="shared" ref="AN299" si="440">AM302</f>
        <v>25050.985812388433</v>
      </c>
      <c r="AO299" s="624">
        <f t="shared" ref="AO299" si="441">AN302</f>
        <v>20234.327998768505</v>
      </c>
      <c r="AP299" s="624">
        <f t="shared" ref="AP299" si="442">AO302</f>
        <v>15310.296032067479</v>
      </c>
      <c r="AQ299" s="624">
        <f t="shared" ref="AQ299" si="443">AP302</f>
        <v>10309.43308512052</v>
      </c>
      <c r="AR299" s="624">
        <f t="shared" ref="AR299" si="444">AQ302</f>
        <v>5193.6111065598579</v>
      </c>
      <c r="AS299" s="624">
        <f t="shared" ref="AS299" si="445">AR302</f>
        <v>2.1585050071735168E-3</v>
      </c>
      <c r="AT299" s="624">
        <f t="shared" ref="AT299" si="446">AS302</f>
        <v>2.1585050071735168E-3</v>
      </c>
      <c r="AU299" s="624">
        <f t="shared" ref="AU299" si="447">AT302</f>
        <v>2.1585050071735168E-3</v>
      </c>
      <c r="AV299" s="624">
        <f t="shared" ref="AV299" si="448">AU302</f>
        <v>2.1585050071735168E-3</v>
      </c>
      <c r="AW299" s="624">
        <f t="shared" ref="AW299" si="449">AV302</f>
        <v>2.1585050071735168E-3</v>
      </c>
      <c r="AX299" s="624">
        <f t="shared" ref="AX299" si="450">AW302</f>
        <v>2.1585050071735168E-3</v>
      </c>
      <c r="AY299" s="624">
        <f t="shared" ref="AY299" si="451">AX302</f>
        <v>2.1585050071735168E-3</v>
      </c>
      <c r="AZ299" s="624">
        <f t="shared" ref="AZ299" si="452">AY302</f>
        <v>2.1585050071735168E-3</v>
      </c>
      <c r="BA299" s="624">
        <f t="shared" ref="BA299" si="453">AZ302</f>
        <v>2.1585050071735168E-3</v>
      </c>
      <c r="BB299" s="624">
        <f t="shared" ref="BB299" si="454">BA302</f>
        <v>2.1585050071735168E-3</v>
      </c>
      <c r="BC299" s="624">
        <f t="shared" ref="BC299" si="455">BB302</f>
        <v>2.1585050071735168E-3</v>
      </c>
      <c r="BD299" s="624">
        <f t="shared" ref="BD299" si="456">BC302</f>
        <v>2.1585050071735168E-3</v>
      </c>
      <c r="BE299" s="624">
        <f t="shared" ref="BE299" si="457">BD302</f>
        <v>2.1585050071735168E-3</v>
      </c>
      <c r="BF299" s="624">
        <f t="shared" ref="BF299" si="458">BE302</f>
        <v>2.1585050071735168E-3</v>
      </c>
      <c r="BG299" s="624">
        <f t="shared" ref="BG299" si="459">BF302</f>
        <v>2.1585050071735168E-3</v>
      </c>
      <c r="BH299" s="624">
        <f t="shared" ref="BH299" si="460">BG302</f>
        <v>2.1585050071735168E-3</v>
      </c>
      <c r="BI299" s="624">
        <f t="shared" ref="BI299" si="461">BH302</f>
        <v>2.1585050071735168E-3</v>
      </c>
      <c r="BJ299" s="624">
        <f t="shared" ref="BJ299" si="462">BI302</f>
        <v>2.1585050071735168E-3</v>
      </c>
      <c r="BK299" s="624">
        <f t="shared" ref="BK299" si="463">BJ302</f>
        <v>2.1585050071735168E-3</v>
      </c>
      <c r="BL299" s="624">
        <f t="shared" ref="BL299" si="464">BK302</f>
        <v>2.1585050071735168E-3</v>
      </c>
      <c r="BM299" s="624">
        <f t="shared" ref="BM299" si="465">BL302</f>
        <v>2.1585050071735168E-3</v>
      </c>
      <c r="BN299" s="624">
        <f t="shared" ref="BN299" si="466">BM302</f>
        <v>2.1585050071735168E-3</v>
      </c>
      <c r="BO299" s="624">
        <f t="shared" ref="BO299" si="467">BN302</f>
        <v>2.1585050071735168E-3</v>
      </c>
      <c r="BP299" s="624">
        <f t="shared" ref="BP299" si="468">BO302</f>
        <v>2.1585050071735168E-3</v>
      </c>
      <c r="BQ299" s="624">
        <f t="shared" ref="BQ299" si="469">BP302</f>
        <v>2.1585050071735168E-3</v>
      </c>
      <c r="BR299" s="624">
        <f t="shared" ref="BR299" si="470">BQ302</f>
        <v>2.1585050071735168E-3</v>
      </c>
      <c r="BS299" s="624">
        <f t="shared" ref="BS299" si="471">BR302</f>
        <v>2.1585050071735168E-3</v>
      </c>
      <c r="BT299" s="624">
        <f t="shared" ref="BT299" si="472">BS302</f>
        <v>2.1585050071735168E-3</v>
      </c>
      <c r="BU299" s="624">
        <f t="shared" ref="BU299" si="473">BT302</f>
        <v>2.1585050071735168E-3</v>
      </c>
      <c r="BV299" s="624">
        <f t="shared" ref="BV299" si="474">BU302</f>
        <v>2.1585050071735168E-3</v>
      </c>
      <c r="BW299" s="624">
        <f t="shared" ref="BW299" si="475">BV302</f>
        <v>2.1585050071735168E-3</v>
      </c>
      <c r="BX299" s="624">
        <f t="shared" ref="BX299" si="476">BW302</f>
        <v>2.1585050071735168E-3</v>
      </c>
      <c r="BY299" s="624">
        <f t="shared" ref="BY299" si="477">BX302</f>
        <v>2.1585050071735168E-3</v>
      </c>
      <c r="BZ299" s="624">
        <f t="shared" ref="BZ299" si="478">BY302</f>
        <v>2.1585050071735168E-3</v>
      </c>
      <c r="CA299" s="624">
        <f t="shared" ref="CA299" si="479">BZ302</f>
        <v>2.1585050071735168E-3</v>
      </c>
      <c r="CB299" s="624">
        <f t="shared" ref="CB299" si="480">CA302</f>
        <v>2.1585050071735168E-3</v>
      </c>
      <c r="CC299" s="624">
        <f t="shared" ref="CC299" si="481">CB302</f>
        <v>2.1585050071735168E-3</v>
      </c>
      <c r="CD299" s="624">
        <f t="shared" ref="CD299" si="482">CC302</f>
        <v>2.1585050071735168E-3</v>
      </c>
      <c r="CE299" s="624">
        <f t="shared" ref="CE299" si="483">CD302</f>
        <v>2.1585050071735168E-3</v>
      </c>
      <c r="CF299" s="624">
        <f t="shared" ref="CF299" si="484">CE302</f>
        <v>2.1585050071735168E-3</v>
      </c>
      <c r="CG299" s="624">
        <f t="shared" ref="CG299" si="485">CF302</f>
        <v>2.1585050071735168E-3</v>
      </c>
      <c r="CH299" s="624">
        <f t="shared" ref="CH299" si="486">CG302</f>
        <v>2.1585050071735168E-3</v>
      </c>
      <c r="CI299" s="624">
        <f t="shared" ref="CI299" si="487">CH302</f>
        <v>2.1585050071735168E-3</v>
      </c>
      <c r="CJ299" s="624">
        <f t="shared" ref="CJ299" si="488">CI302</f>
        <v>2.1585050071735168E-3</v>
      </c>
      <c r="CK299" s="624">
        <f t="shared" ref="CK299" si="489">CJ302</f>
        <v>2.1585050071735168E-3</v>
      </c>
      <c r="CL299" s="624">
        <f t="shared" ref="CL299" si="490">CK302</f>
        <v>2.1585050071735168E-3</v>
      </c>
      <c r="CM299" s="624">
        <f t="shared" ref="CM299" si="491">CL302</f>
        <v>2.1585050071735168E-3</v>
      </c>
      <c r="CN299" s="624">
        <f t="shared" ref="CN299" si="492">CM302</f>
        <v>2.1585050071735168E-3</v>
      </c>
      <c r="CO299" s="624">
        <f t="shared" ref="CO299" si="493">CN302</f>
        <v>2.1585050071735168E-3</v>
      </c>
      <c r="CP299" s="624">
        <f t="shared" ref="CP299" si="494">CO302</f>
        <v>2.1585050071735168E-3</v>
      </c>
      <c r="CQ299" s="624">
        <f t="shared" ref="CQ299" si="495">CP302</f>
        <v>2.1585050071735168E-3</v>
      </c>
      <c r="CR299" s="624">
        <f t="shared" ref="CR299" si="496">CQ302</f>
        <v>2.1585050071735168E-3</v>
      </c>
      <c r="CS299" s="624">
        <f t="shared" ref="CS299" si="497">CR302</f>
        <v>2.1585050071735168E-3</v>
      </c>
      <c r="CT299" s="624">
        <f t="shared" ref="CT299" si="498">CS302</f>
        <v>2.1585050071735168E-3</v>
      </c>
      <c r="CU299" s="624">
        <f t="shared" ref="CU299" si="499">CT302</f>
        <v>2.1585050071735168E-3</v>
      </c>
      <c r="CV299" s="624">
        <f t="shared" ref="CV299" si="500">CU302</f>
        <v>2.1585050071735168E-3</v>
      </c>
    </row>
    <row r="300" spans="1:100" s="540" customFormat="1" ht="12.75" outlineLevel="2" x14ac:dyDescent="0.2">
      <c r="A300" s="15"/>
      <c r="B300" s="15"/>
      <c r="C300" s="21"/>
      <c r="D300" s="48"/>
      <c r="E300" s="145" t="str">
        <f xml:space="preserve"> ConFin!E$641</f>
        <v>Construction debt drawdown - T2</v>
      </c>
      <c r="F300" s="145">
        <f xml:space="preserve"> ConFin!F$641</f>
        <v>0</v>
      </c>
      <c r="G300" s="145" t="str">
        <f xml:space="preserve"> ConFin!G$641</f>
        <v>$ 000s</v>
      </c>
      <c r="H300" s="145">
        <f xml:space="preserve"> ConFin!H$641</f>
        <v>125194.92613015344</v>
      </c>
      <c r="I300" s="145">
        <f xml:space="preserve"> ConFin!I$641</f>
        <v>0</v>
      </c>
      <c r="J300" s="145">
        <f xml:space="preserve"> ConFin!J$641</f>
        <v>0</v>
      </c>
      <c r="K300" s="145">
        <f xml:space="preserve"> ConFin!K$641</f>
        <v>12084.251893640236</v>
      </c>
      <c r="L300" s="145">
        <f xml:space="preserve"> ConFin!L$641</f>
        <v>36556.834194105642</v>
      </c>
      <c r="M300" s="145">
        <f xml:space="preserve"> ConFin!M$641</f>
        <v>37206.943832000376</v>
      </c>
      <c r="N300" s="145">
        <f xml:space="preserve"> ConFin!N$641</f>
        <v>39346.896210407198</v>
      </c>
      <c r="O300" s="145">
        <f xml:space="preserve"> ConFin!O$641</f>
        <v>0</v>
      </c>
      <c r="P300" s="145">
        <f xml:space="preserve"> ConFin!P$641</f>
        <v>0</v>
      </c>
      <c r="Q300" s="145">
        <f xml:space="preserve"> ConFin!Q$641</f>
        <v>0</v>
      </c>
      <c r="R300" s="145">
        <f xml:space="preserve"> ConFin!R$641</f>
        <v>0</v>
      </c>
      <c r="S300" s="145">
        <f xml:space="preserve"> ConFin!S$641</f>
        <v>0</v>
      </c>
      <c r="T300" s="145">
        <f xml:space="preserve"> ConFin!T$641</f>
        <v>0</v>
      </c>
      <c r="U300" s="145">
        <f xml:space="preserve"> ConFin!U$641</f>
        <v>0</v>
      </c>
      <c r="V300" s="145">
        <f xml:space="preserve"> ConFin!V$641</f>
        <v>0</v>
      </c>
      <c r="W300" s="145">
        <f xml:space="preserve"> ConFin!W$641</f>
        <v>0</v>
      </c>
      <c r="X300" s="145">
        <f xml:space="preserve"> ConFin!X$641</f>
        <v>0</v>
      </c>
      <c r="Y300" s="145">
        <f xml:space="preserve"> ConFin!Y$641</f>
        <v>0</v>
      </c>
      <c r="Z300" s="145">
        <f xml:space="preserve"> ConFin!Z$641</f>
        <v>0</v>
      </c>
      <c r="AA300" s="145">
        <f xml:space="preserve"> ConFin!AA$641</f>
        <v>0</v>
      </c>
      <c r="AB300" s="145">
        <f xml:space="preserve"> ConFin!AB$641</f>
        <v>0</v>
      </c>
      <c r="AC300" s="145">
        <f xml:space="preserve"> ConFin!AC$641</f>
        <v>0</v>
      </c>
      <c r="AD300" s="145">
        <f xml:space="preserve"> ConFin!AD$641</f>
        <v>0</v>
      </c>
      <c r="AE300" s="145">
        <f xml:space="preserve"> ConFin!AE$641</f>
        <v>0</v>
      </c>
      <c r="AF300" s="145">
        <f xml:space="preserve"> ConFin!AF$641</f>
        <v>0</v>
      </c>
      <c r="AG300" s="145">
        <f xml:space="preserve"> ConFin!AG$641</f>
        <v>0</v>
      </c>
      <c r="AH300" s="145">
        <f xml:space="preserve"> ConFin!AH$641</f>
        <v>0</v>
      </c>
      <c r="AI300" s="145">
        <f xml:space="preserve"> ConFin!AI$641</f>
        <v>0</v>
      </c>
      <c r="AJ300" s="145">
        <f xml:space="preserve"> ConFin!AJ$641</f>
        <v>0</v>
      </c>
      <c r="AK300" s="145">
        <f xml:space="preserve"> ConFin!AK$641</f>
        <v>0</v>
      </c>
      <c r="AL300" s="145">
        <f xml:space="preserve"> ConFin!AL$641</f>
        <v>0</v>
      </c>
      <c r="AM300" s="145">
        <f xml:space="preserve"> ConFin!AM$641</f>
        <v>0</v>
      </c>
      <c r="AN300" s="145">
        <f xml:space="preserve"> ConFin!AN$641</f>
        <v>0</v>
      </c>
      <c r="AO300" s="145">
        <f xml:space="preserve"> ConFin!AO$641</f>
        <v>0</v>
      </c>
      <c r="AP300" s="145">
        <f xml:space="preserve"> ConFin!AP$641</f>
        <v>0</v>
      </c>
      <c r="AQ300" s="145">
        <f xml:space="preserve"> ConFin!AQ$641</f>
        <v>0</v>
      </c>
      <c r="AR300" s="145">
        <f xml:space="preserve"> ConFin!AR$641</f>
        <v>0</v>
      </c>
      <c r="AS300" s="145">
        <f xml:space="preserve"> ConFin!AS$641</f>
        <v>0</v>
      </c>
      <c r="AT300" s="145">
        <f xml:space="preserve"> ConFin!AT$641</f>
        <v>0</v>
      </c>
      <c r="AU300" s="145">
        <f xml:space="preserve"> ConFin!AU$641</f>
        <v>0</v>
      </c>
      <c r="AV300" s="145">
        <f xml:space="preserve"> ConFin!AV$641</f>
        <v>0</v>
      </c>
      <c r="AW300" s="145">
        <f xml:space="preserve"> ConFin!AW$641</f>
        <v>0</v>
      </c>
      <c r="AX300" s="145">
        <f xml:space="preserve"> ConFin!AX$641</f>
        <v>0</v>
      </c>
      <c r="AY300" s="145">
        <f xml:space="preserve"> ConFin!AY$641</f>
        <v>0</v>
      </c>
      <c r="AZ300" s="145">
        <f xml:space="preserve"> ConFin!AZ$641</f>
        <v>0</v>
      </c>
      <c r="BA300" s="145">
        <f xml:space="preserve"> ConFin!BA$641</f>
        <v>0</v>
      </c>
      <c r="BB300" s="145">
        <f xml:space="preserve"> ConFin!BB$641</f>
        <v>0</v>
      </c>
      <c r="BC300" s="145">
        <f xml:space="preserve"> ConFin!BC$641</f>
        <v>0</v>
      </c>
      <c r="BD300" s="145">
        <f xml:space="preserve"> ConFin!BD$641</f>
        <v>0</v>
      </c>
      <c r="BE300" s="145">
        <f xml:space="preserve"> ConFin!BE$641</f>
        <v>0</v>
      </c>
      <c r="BF300" s="145">
        <f xml:space="preserve"> ConFin!BF$641</f>
        <v>0</v>
      </c>
      <c r="BG300" s="145">
        <f xml:space="preserve"> ConFin!BG$641</f>
        <v>0</v>
      </c>
      <c r="BH300" s="145">
        <f xml:space="preserve"> ConFin!BH$641</f>
        <v>0</v>
      </c>
      <c r="BI300" s="145">
        <f xml:space="preserve"> ConFin!BI$641</f>
        <v>0</v>
      </c>
      <c r="BJ300" s="145">
        <f xml:space="preserve"> ConFin!BJ$641</f>
        <v>0</v>
      </c>
      <c r="BK300" s="145">
        <f xml:space="preserve"> ConFin!BK$641</f>
        <v>0</v>
      </c>
      <c r="BL300" s="145">
        <f xml:space="preserve"> ConFin!BL$641</f>
        <v>0</v>
      </c>
      <c r="BM300" s="145">
        <f xml:space="preserve"> ConFin!BM$641</f>
        <v>0</v>
      </c>
      <c r="BN300" s="145">
        <f xml:space="preserve"> ConFin!BN$641</f>
        <v>0</v>
      </c>
      <c r="BO300" s="145">
        <f xml:space="preserve"> ConFin!BO$641</f>
        <v>0</v>
      </c>
      <c r="BP300" s="145">
        <f xml:space="preserve"> ConFin!BP$641</f>
        <v>0</v>
      </c>
      <c r="BQ300" s="145">
        <f xml:space="preserve"> ConFin!BQ$641</f>
        <v>0</v>
      </c>
      <c r="BR300" s="145">
        <f xml:space="preserve"> ConFin!BR$641</f>
        <v>0</v>
      </c>
      <c r="BS300" s="145">
        <f xml:space="preserve"> ConFin!BS$641</f>
        <v>0</v>
      </c>
      <c r="BT300" s="145">
        <f xml:space="preserve"> ConFin!BT$641</f>
        <v>0</v>
      </c>
      <c r="BU300" s="145">
        <f xml:space="preserve"> ConFin!BU$641</f>
        <v>0</v>
      </c>
      <c r="BV300" s="145">
        <f xml:space="preserve"> ConFin!BV$641</f>
        <v>0</v>
      </c>
      <c r="BW300" s="145">
        <f xml:space="preserve"> ConFin!BW$641</f>
        <v>0</v>
      </c>
      <c r="BX300" s="145">
        <f xml:space="preserve"> ConFin!BX$641</f>
        <v>0</v>
      </c>
      <c r="BY300" s="145">
        <f xml:space="preserve"> ConFin!BY$641</f>
        <v>0</v>
      </c>
      <c r="BZ300" s="145">
        <f xml:space="preserve"> ConFin!BZ$641</f>
        <v>0</v>
      </c>
      <c r="CA300" s="145">
        <f xml:space="preserve"> ConFin!CA$641</f>
        <v>0</v>
      </c>
      <c r="CB300" s="145">
        <f xml:space="preserve"> ConFin!CB$641</f>
        <v>0</v>
      </c>
      <c r="CC300" s="145">
        <f xml:space="preserve"> ConFin!CC$641</f>
        <v>0</v>
      </c>
      <c r="CD300" s="145">
        <f xml:space="preserve"> ConFin!CD$641</f>
        <v>0</v>
      </c>
      <c r="CE300" s="145">
        <f xml:space="preserve"> ConFin!CE$641</f>
        <v>0</v>
      </c>
      <c r="CF300" s="145">
        <f xml:space="preserve"> ConFin!CF$641</f>
        <v>0</v>
      </c>
      <c r="CG300" s="145">
        <f xml:space="preserve"> ConFin!CG$641</f>
        <v>0</v>
      </c>
      <c r="CH300" s="145">
        <f xml:space="preserve"> ConFin!CH$641</f>
        <v>0</v>
      </c>
      <c r="CI300" s="145">
        <f xml:space="preserve"> ConFin!CI$641</f>
        <v>0</v>
      </c>
      <c r="CJ300" s="145">
        <f xml:space="preserve"> ConFin!CJ$641</f>
        <v>0</v>
      </c>
      <c r="CK300" s="145">
        <f xml:space="preserve"> ConFin!CK$641</f>
        <v>0</v>
      </c>
      <c r="CL300" s="145">
        <f xml:space="preserve"> ConFin!CL$641</f>
        <v>0</v>
      </c>
      <c r="CM300" s="145">
        <f xml:space="preserve"> ConFin!CM$641</f>
        <v>0</v>
      </c>
      <c r="CN300" s="145">
        <f xml:space="preserve"> ConFin!CN$641</f>
        <v>0</v>
      </c>
      <c r="CO300" s="145">
        <f xml:space="preserve"> ConFin!CO$641</f>
        <v>0</v>
      </c>
      <c r="CP300" s="145">
        <f xml:space="preserve"> ConFin!CP$641</f>
        <v>0</v>
      </c>
      <c r="CQ300" s="145">
        <f xml:space="preserve"> ConFin!CQ$641</f>
        <v>0</v>
      </c>
      <c r="CR300" s="145">
        <f xml:space="preserve"> ConFin!CR$641</f>
        <v>0</v>
      </c>
      <c r="CS300" s="145">
        <f xml:space="preserve"> ConFin!CS$641</f>
        <v>0</v>
      </c>
      <c r="CT300" s="145">
        <f xml:space="preserve"> ConFin!CT$641</f>
        <v>0</v>
      </c>
      <c r="CU300" s="145">
        <f xml:space="preserve"> ConFin!CU$641</f>
        <v>0</v>
      </c>
      <c r="CV300" s="145">
        <f xml:space="preserve"> ConFin!CV$641</f>
        <v>0</v>
      </c>
    </row>
    <row r="301" spans="1:100" s="498" customFormat="1" ht="12.75" outlineLevel="2" x14ac:dyDescent="0.2">
      <c r="A301" s="15"/>
      <c r="B301" s="15"/>
      <c r="C301" s="21"/>
      <c r="D301" s="48"/>
      <c r="E301" s="38" t="str">
        <f t="shared" ref="E301:AJ301" si="501" xml:space="preserve"> E$295</f>
        <v>Senior debt principal repayment - T2 POS</v>
      </c>
      <c r="F301" s="38">
        <f t="shared" si="501"/>
        <v>0</v>
      </c>
      <c r="G301" s="38" t="str">
        <f t="shared" si="501"/>
        <v>$ 000s</v>
      </c>
      <c r="H301" s="38">
        <f t="shared" si="501"/>
        <v>125194.92397164847</v>
      </c>
      <c r="I301" s="38">
        <f t="shared" si="501"/>
        <v>0</v>
      </c>
      <c r="J301" s="38">
        <f t="shared" si="501"/>
        <v>0</v>
      </c>
      <c r="K301" s="38">
        <f t="shared" si="501"/>
        <v>0</v>
      </c>
      <c r="L301" s="38">
        <f t="shared" si="501"/>
        <v>0</v>
      </c>
      <c r="M301" s="38">
        <f t="shared" si="501"/>
        <v>0</v>
      </c>
      <c r="N301" s="38">
        <f t="shared" si="501"/>
        <v>0</v>
      </c>
      <c r="O301" s="38">
        <f t="shared" si="501"/>
        <v>4104.1368341736443</v>
      </c>
      <c r="P301" s="38">
        <f t="shared" si="501"/>
        <v>3390.1773293270649</v>
      </c>
      <c r="Q301" s="38">
        <f t="shared" si="501"/>
        <v>3430.9813139835283</v>
      </c>
      <c r="R301" s="38">
        <f t="shared" si="501"/>
        <v>3494.5808399051803</v>
      </c>
      <c r="S301" s="38">
        <f t="shared" si="501"/>
        <v>3539.4480080350804</v>
      </c>
      <c r="T301" s="38">
        <f t="shared" si="501"/>
        <v>3603.1551122060368</v>
      </c>
      <c r="U301" s="38">
        <f t="shared" si="501"/>
        <v>3652.2454533701657</v>
      </c>
      <c r="V301" s="38">
        <f t="shared" si="501"/>
        <v>3709.8836911519061</v>
      </c>
      <c r="W301" s="38">
        <f t="shared" si="501"/>
        <v>3760.5907506821859</v>
      </c>
      <c r="X301" s="38">
        <f t="shared" si="501"/>
        <v>3833.1952066990661</v>
      </c>
      <c r="Y301" s="38">
        <f t="shared" si="501"/>
        <v>3778.310894304017</v>
      </c>
      <c r="Z301" s="38">
        <f t="shared" si="501"/>
        <v>3845.5426655785759</v>
      </c>
      <c r="AA301" s="38">
        <f t="shared" si="501"/>
        <v>3907.9078377304527</v>
      </c>
      <c r="AB301" s="38">
        <f t="shared" si="501"/>
        <v>3975.4742682671963</v>
      </c>
      <c r="AC301" s="38">
        <f t="shared" si="501"/>
        <v>4043.019280078875</v>
      </c>
      <c r="AD301" s="38">
        <f t="shared" si="501"/>
        <v>4107.813178573896</v>
      </c>
      <c r="AE301" s="38">
        <f t="shared" si="501"/>
        <v>4175.2832319078207</v>
      </c>
      <c r="AF301" s="38">
        <f t="shared" si="501"/>
        <v>4251.9477318036097</v>
      </c>
      <c r="AG301" s="38">
        <f t="shared" si="501"/>
        <v>4330.5098728319617</v>
      </c>
      <c r="AH301" s="38">
        <f t="shared" si="501"/>
        <v>4399.2690980194438</v>
      </c>
      <c r="AI301" s="38">
        <f t="shared" si="501"/>
        <v>4398.1468854697905</v>
      </c>
      <c r="AJ301" s="38">
        <f t="shared" si="501"/>
        <v>4472.4702817496218</v>
      </c>
      <c r="AK301" s="38">
        <f t="shared" ref="AK301:BP301" si="502" xml:space="preserve"> AK$295</f>
        <v>4565.6712350265161</v>
      </c>
      <c r="AL301" s="38">
        <f t="shared" si="502"/>
        <v>4641.4871462685069</v>
      </c>
      <c r="AM301" s="38">
        <f t="shared" si="502"/>
        <v>4732.6921706208932</v>
      </c>
      <c r="AN301" s="38">
        <f t="shared" si="502"/>
        <v>4816.6578136199269</v>
      </c>
      <c r="AO301" s="38">
        <f t="shared" si="502"/>
        <v>4924.0319667010262</v>
      </c>
      <c r="AP301" s="38">
        <f t="shared" si="502"/>
        <v>5000.8629469469588</v>
      </c>
      <c r="AQ301" s="38">
        <f t="shared" si="502"/>
        <v>5115.8219785606616</v>
      </c>
      <c r="AR301" s="38">
        <f t="shared" si="502"/>
        <v>5193.6089480548508</v>
      </c>
      <c r="AS301" s="38">
        <f t="shared" si="502"/>
        <v>0</v>
      </c>
      <c r="AT301" s="38">
        <f t="shared" si="502"/>
        <v>0</v>
      </c>
      <c r="AU301" s="38">
        <f t="shared" si="502"/>
        <v>0</v>
      </c>
      <c r="AV301" s="38">
        <f t="shared" si="502"/>
        <v>0</v>
      </c>
      <c r="AW301" s="38">
        <f t="shared" si="502"/>
        <v>0</v>
      </c>
      <c r="AX301" s="38">
        <f t="shared" si="502"/>
        <v>0</v>
      </c>
      <c r="AY301" s="38">
        <f t="shared" si="502"/>
        <v>0</v>
      </c>
      <c r="AZ301" s="38">
        <f t="shared" si="502"/>
        <v>0</v>
      </c>
      <c r="BA301" s="38">
        <f t="shared" si="502"/>
        <v>0</v>
      </c>
      <c r="BB301" s="38">
        <f t="shared" si="502"/>
        <v>0</v>
      </c>
      <c r="BC301" s="38">
        <f t="shared" si="502"/>
        <v>0</v>
      </c>
      <c r="BD301" s="38">
        <f t="shared" si="502"/>
        <v>0</v>
      </c>
      <c r="BE301" s="38">
        <f t="shared" si="502"/>
        <v>0</v>
      </c>
      <c r="BF301" s="38">
        <f t="shared" si="502"/>
        <v>0</v>
      </c>
      <c r="BG301" s="38">
        <f t="shared" si="502"/>
        <v>0</v>
      </c>
      <c r="BH301" s="38">
        <f t="shared" si="502"/>
        <v>0</v>
      </c>
      <c r="BI301" s="38">
        <f t="shared" si="502"/>
        <v>0</v>
      </c>
      <c r="BJ301" s="38">
        <f t="shared" si="502"/>
        <v>0</v>
      </c>
      <c r="BK301" s="38">
        <f t="shared" si="502"/>
        <v>0</v>
      </c>
      <c r="BL301" s="38">
        <f t="shared" si="502"/>
        <v>0</v>
      </c>
      <c r="BM301" s="38">
        <f t="shared" si="502"/>
        <v>0</v>
      </c>
      <c r="BN301" s="38">
        <f t="shared" si="502"/>
        <v>0</v>
      </c>
      <c r="BO301" s="38">
        <f t="shared" si="502"/>
        <v>0</v>
      </c>
      <c r="BP301" s="38">
        <f t="shared" si="502"/>
        <v>0</v>
      </c>
      <c r="BQ301" s="38">
        <f t="shared" ref="BQ301:CV301" si="503" xml:space="preserve"> BQ$295</f>
        <v>0</v>
      </c>
      <c r="BR301" s="38">
        <f t="shared" si="503"/>
        <v>0</v>
      </c>
      <c r="BS301" s="38">
        <f t="shared" si="503"/>
        <v>0</v>
      </c>
      <c r="BT301" s="38">
        <f t="shared" si="503"/>
        <v>0</v>
      </c>
      <c r="BU301" s="38">
        <f t="shared" si="503"/>
        <v>0</v>
      </c>
      <c r="BV301" s="38">
        <f t="shared" si="503"/>
        <v>0</v>
      </c>
      <c r="BW301" s="38">
        <f t="shared" si="503"/>
        <v>0</v>
      </c>
      <c r="BX301" s="38">
        <f t="shared" si="503"/>
        <v>0</v>
      </c>
      <c r="BY301" s="38">
        <f t="shared" si="503"/>
        <v>0</v>
      </c>
      <c r="BZ301" s="38">
        <f t="shared" si="503"/>
        <v>0</v>
      </c>
      <c r="CA301" s="38">
        <f t="shared" si="503"/>
        <v>0</v>
      </c>
      <c r="CB301" s="38">
        <f t="shared" si="503"/>
        <v>0</v>
      </c>
      <c r="CC301" s="38">
        <f t="shared" si="503"/>
        <v>0</v>
      </c>
      <c r="CD301" s="38">
        <f t="shared" si="503"/>
        <v>0</v>
      </c>
      <c r="CE301" s="38">
        <f t="shared" si="503"/>
        <v>0</v>
      </c>
      <c r="CF301" s="38">
        <f t="shared" si="503"/>
        <v>0</v>
      </c>
      <c r="CG301" s="38">
        <f t="shared" si="503"/>
        <v>0</v>
      </c>
      <c r="CH301" s="38">
        <f t="shared" si="503"/>
        <v>0</v>
      </c>
      <c r="CI301" s="38">
        <f t="shared" si="503"/>
        <v>0</v>
      </c>
      <c r="CJ301" s="38">
        <f t="shared" si="503"/>
        <v>0</v>
      </c>
      <c r="CK301" s="38">
        <f t="shared" si="503"/>
        <v>0</v>
      </c>
      <c r="CL301" s="38">
        <f t="shared" si="503"/>
        <v>0</v>
      </c>
      <c r="CM301" s="38">
        <f t="shared" si="503"/>
        <v>0</v>
      </c>
      <c r="CN301" s="38">
        <f t="shared" si="503"/>
        <v>0</v>
      </c>
      <c r="CO301" s="38">
        <f t="shared" si="503"/>
        <v>0</v>
      </c>
      <c r="CP301" s="38">
        <f t="shared" si="503"/>
        <v>0</v>
      </c>
      <c r="CQ301" s="38">
        <f t="shared" si="503"/>
        <v>0</v>
      </c>
      <c r="CR301" s="38">
        <f t="shared" si="503"/>
        <v>0</v>
      </c>
      <c r="CS301" s="38">
        <f t="shared" si="503"/>
        <v>0</v>
      </c>
      <c r="CT301" s="38">
        <f t="shared" si="503"/>
        <v>0</v>
      </c>
      <c r="CU301" s="38">
        <f t="shared" si="503"/>
        <v>0</v>
      </c>
      <c r="CV301" s="38">
        <f t="shared" si="503"/>
        <v>0</v>
      </c>
    </row>
    <row r="302" spans="1:100" s="541" customFormat="1" ht="12.75" outlineLevel="2" x14ac:dyDescent="0.2">
      <c r="A302" s="391"/>
      <c r="B302" s="391"/>
      <c r="C302" s="392"/>
      <c r="D302" s="393" t="s">
        <v>372</v>
      </c>
      <c r="E302" s="394" t="s">
        <v>991</v>
      </c>
      <c r="F302" s="394"/>
      <c r="G302" s="394" t="str">
        <f xml:space="preserve"> SMU</f>
        <v>$ 000s</v>
      </c>
      <c r="H302" s="394"/>
      <c r="I302" s="395"/>
      <c r="J302" s="394">
        <f t="shared" ref="J302:BU302" si="504" xml:space="preserve"> J299 + J300 - J301</f>
        <v>0</v>
      </c>
      <c r="K302" s="394">
        <f t="shared" si="504"/>
        <v>12084.251893640236</v>
      </c>
      <c r="L302" s="394">
        <f t="shared" si="504"/>
        <v>48641.086087745876</v>
      </c>
      <c r="M302" s="394">
        <f t="shared" si="504"/>
        <v>85848.029919746245</v>
      </c>
      <c r="N302" s="394">
        <f t="shared" si="504"/>
        <v>125194.92613015344</v>
      </c>
      <c r="O302" s="394">
        <f t="shared" si="504"/>
        <v>121090.7892959798</v>
      </c>
      <c r="P302" s="394">
        <f t="shared" si="504"/>
        <v>117700.61196665274</v>
      </c>
      <c r="Q302" s="394">
        <f t="shared" si="504"/>
        <v>114269.63065266921</v>
      </c>
      <c r="R302" s="394">
        <f t="shared" si="504"/>
        <v>110775.04981276403</v>
      </c>
      <c r="S302" s="394">
        <f t="shared" si="504"/>
        <v>107235.60180472895</v>
      </c>
      <c r="T302" s="394">
        <f t="shared" si="504"/>
        <v>103632.44669252292</v>
      </c>
      <c r="U302" s="394">
        <f t="shared" si="504"/>
        <v>99980.201239152753</v>
      </c>
      <c r="V302" s="394">
        <f t="shared" si="504"/>
        <v>96270.31754800085</v>
      </c>
      <c r="W302" s="394">
        <f t="shared" si="504"/>
        <v>92509.726797318668</v>
      </c>
      <c r="X302" s="394">
        <f t="shared" si="504"/>
        <v>88676.531590619605</v>
      </c>
      <c r="Y302" s="394">
        <f t="shared" si="504"/>
        <v>84898.220696315591</v>
      </c>
      <c r="Z302" s="394">
        <f t="shared" si="504"/>
        <v>81052.678030737021</v>
      </c>
      <c r="AA302" s="394">
        <f t="shared" si="504"/>
        <v>77144.770193006567</v>
      </c>
      <c r="AB302" s="394">
        <f t="shared" si="504"/>
        <v>73169.295924739374</v>
      </c>
      <c r="AC302" s="394">
        <f t="shared" si="504"/>
        <v>69126.276644660495</v>
      </c>
      <c r="AD302" s="394">
        <f t="shared" si="504"/>
        <v>65018.4634660866</v>
      </c>
      <c r="AE302" s="394">
        <f t="shared" si="504"/>
        <v>60843.180234178777</v>
      </c>
      <c r="AF302" s="394">
        <f t="shared" si="504"/>
        <v>56591.232502375169</v>
      </c>
      <c r="AG302" s="394">
        <f t="shared" si="504"/>
        <v>52260.722629543205</v>
      </c>
      <c r="AH302" s="394">
        <f t="shared" si="504"/>
        <v>47861.453531523759</v>
      </c>
      <c r="AI302" s="394">
        <f t="shared" si="504"/>
        <v>43463.30664605397</v>
      </c>
      <c r="AJ302" s="394">
        <f t="shared" si="504"/>
        <v>38990.836364304349</v>
      </c>
      <c r="AK302" s="394">
        <f t="shared" si="504"/>
        <v>34425.165129277833</v>
      </c>
      <c r="AL302" s="394">
        <f t="shared" si="504"/>
        <v>29783.677983009326</v>
      </c>
      <c r="AM302" s="394">
        <f t="shared" si="504"/>
        <v>25050.985812388433</v>
      </c>
      <c r="AN302" s="394">
        <f t="shared" si="504"/>
        <v>20234.327998768505</v>
      </c>
      <c r="AO302" s="394">
        <f t="shared" si="504"/>
        <v>15310.296032067479</v>
      </c>
      <c r="AP302" s="394">
        <f t="shared" si="504"/>
        <v>10309.43308512052</v>
      </c>
      <c r="AQ302" s="394">
        <f t="shared" si="504"/>
        <v>5193.6111065598579</v>
      </c>
      <c r="AR302" s="394">
        <f t="shared" si="504"/>
        <v>2.1585050071735168E-3</v>
      </c>
      <c r="AS302" s="394">
        <f t="shared" si="504"/>
        <v>2.1585050071735168E-3</v>
      </c>
      <c r="AT302" s="394">
        <f t="shared" si="504"/>
        <v>2.1585050071735168E-3</v>
      </c>
      <c r="AU302" s="394">
        <f t="shared" si="504"/>
        <v>2.1585050071735168E-3</v>
      </c>
      <c r="AV302" s="394">
        <f t="shared" si="504"/>
        <v>2.1585050071735168E-3</v>
      </c>
      <c r="AW302" s="394">
        <f t="shared" si="504"/>
        <v>2.1585050071735168E-3</v>
      </c>
      <c r="AX302" s="394">
        <f t="shared" si="504"/>
        <v>2.1585050071735168E-3</v>
      </c>
      <c r="AY302" s="394">
        <f t="shared" si="504"/>
        <v>2.1585050071735168E-3</v>
      </c>
      <c r="AZ302" s="394">
        <f t="shared" si="504"/>
        <v>2.1585050071735168E-3</v>
      </c>
      <c r="BA302" s="394">
        <f t="shared" si="504"/>
        <v>2.1585050071735168E-3</v>
      </c>
      <c r="BB302" s="394">
        <f t="shared" si="504"/>
        <v>2.1585050071735168E-3</v>
      </c>
      <c r="BC302" s="394">
        <f t="shared" si="504"/>
        <v>2.1585050071735168E-3</v>
      </c>
      <c r="BD302" s="394">
        <f t="shared" si="504"/>
        <v>2.1585050071735168E-3</v>
      </c>
      <c r="BE302" s="394">
        <f t="shared" si="504"/>
        <v>2.1585050071735168E-3</v>
      </c>
      <c r="BF302" s="394">
        <f t="shared" si="504"/>
        <v>2.1585050071735168E-3</v>
      </c>
      <c r="BG302" s="394">
        <f t="shared" si="504"/>
        <v>2.1585050071735168E-3</v>
      </c>
      <c r="BH302" s="394">
        <f t="shared" si="504"/>
        <v>2.1585050071735168E-3</v>
      </c>
      <c r="BI302" s="394">
        <f t="shared" si="504"/>
        <v>2.1585050071735168E-3</v>
      </c>
      <c r="BJ302" s="394">
        <f t="shared" si="504"/>
        <v>2.1585050071735168E-3</v>
      </c>
      <c r="BK302" s="394">
        <f t="shared" si="504"/>
        <v>2.1585050071735168E-3</v>
      </c>
      <c r="BL302" s="394">
        <f t="shared" si="504"/>
        <v>2.1585050071735168E-3</v>
      </c>
      <c r="BM302" s="394">
        <f t="shared" si="504"/>
        <v>2.1585050071735168E-3</v>
      </c>
      <c r="BN302" s="394">
        <f t="shared" si="504"/>
        <v>2.1585050071735168E-3</v>
      </c>
      <c r="BO302" s="394">
        <f t="shared" si="504"/>
        <v>2.1585050071735168E-3</v>
      </c>
      <c r="BP302" s="394">
        <f t="shared" si="504"/>
        <v>2.1585050071735168E-3</v>
      </c>
      <c r="BQ302" s="394">
        <f t="shared" si="504"/>
        <v>2.1585050071735168E-3</v>
      </c>
      <c r="BR302" s="394">
        <f t="shared" si="504"/>
        <v>2.1585050071735168E-3</v>
      </c>
      <c r="BS302" s="394">
        <f t="shared" si="504"/>
        <v>2.1585050071735168E-3</v>
      </c>
      <c r="BT302" s="394">
        <f t="shared" si="504"/>
        <v>2.1585050071735168E-3</v>
      </c>
      <c r="BU302" s="394">
        <f t="shared" si="504"/>
        <v>2.1585050071735168E-3</v>
      </c>
      <c r="BV302" s="394">
        <f t="shared" ref="BV302:CV302" si="505" xml:space="preserve"> BV299 + BV300 - BV301</f>
        <v>2.1585050071735168E-3</v>
      </c>
      <c r="BW302" s="394">
        <f t="shared" si="505"/>
        <v>2.1585050071735168E-3</v>
      </c>
      <c r="BX302" s="394">
        <f t="shared" si="505"/>
        <v>2.1585050071735168E-3</v>
      </c>
      <c r="BY302" s="394">
        <f t="shared" si="505"/>
        <v>2.1585050071735168E-3</v>
      </c>
      <c r="BZ302" s="394">
        <f t="shared" si="505"/>
        <v>2.1585050071735168E-3</v>
      </c>
      <c r="CA302" s="394">
        <f t="shared" si="505"/>
        <v>2.1585050071735168E-3</v>
      </c>
      <c r="CB302" s="394">
        <f t="shared" si="505"/>
        <v>2.1585050071735168E-3</v>
      </c>
      <c r="CC302" s="394">
        <f t="shared" si="505"/>
        <v>2.1585050071735168E-3</v>
      </c>
      <c r="CD302" s="394">
        <f t="shared" si="505"/>
        <v>2.1585050071735168E-3</v>
      </c>
      <c r="CE302" s="394">
        <f t="shared" si="505"/>
        <v>2.1585050071735168E-3</v>
      </c>
      <c r="CF302" s="394">
        <f t="shared" si="505"/>
        <v>2.1585050071735168E-3</v>
      </c>
      <c r="CG302" s="394">
        <f t="shared" si="505"/>
        <v>2.1585050071735168E-3</v>
      </c>
      <c r="CH302" s="394">
        <f t="shared" si="505"/>
        <v>2.1585050071735168E-3</v>
      </c>
      <c r="CI302" s="394">
        <f t="shared" si="505"/>
        <v>2.1585050071735168E-3</v>
      </c>
      <c r="CJ302" s="394">
        <f t="shared" si="505"/>
        <v>2.1585050071735168E-3</v>
      </c>
      <c r="CK302" s="394">
        <f t="shared" si="505"/>
        <v>2.1585050071735168E-3</v>
      </c>
      <c r="CL302" s="394">
        <f t="shared" si="505"/>
        <v>2.1585050071735168E-3</v>
      </c>
      <c r="CM302" s="394">
        <f t="shared" si="505"/>
        <v>2.1585050071735168E-3</v>
      </c>
      <c r="CN302" s="394">
        <f t="shared" si="505"/>
        <v>2.1585050071735168E-3</v>
      </c>
      <c r="CO302" s="394">
        <f t="shared" si="505"/>
        <v>2.1585050071735168E-3</v>
      </c>
      <c r="CP302" s="394">
        <f t="shared" si="505"/>
        <v>2.1585050071735168E-3</v>
      </c>
      <c r="CQ302" s="394">
        <f t="shared" si="505"/>
        <v>2.1585050071735168E-3</v>
      </c>
      <c r="CR302" s="394">
        <f t="shared" si="505"/>
        <v>2.1585050071735168E-3</v>
      </c>
      <c r="CS302" s="394">
        <f t="shared" si="505"/>
        <v>2.1585050071735168E-3</v>
      </c>
      <c r="CT302" s="394">
        <f t="shared" si="505"/>
        <v>2.1585050071735168E-3</v>
      </c>
      <c r="CU302" s="394">
        <f t="shared" si="505"/>
        <v>2.1585050071735168E-3</v>
      </c>
      <c r="CV302" s="394">
        <f t="shared" si="505"/>
        <v>2.1585050071735168E-3</v>
      </c>
    </row>
    <row r="303" spans="1:100" ht="12.75" outlineLevel="1" x14ac:dyDescent="0.2"/>
    <row r="304" spans="1:100" ht="12.75" outlineLevel="1" x14ac:dyDescent="0.2">
      <c r="C304" s="21" t="s">
        <v>990</v>
      </c>
    </row>
    <row r="305" spans="1:100" s="283" customFormat="1" ht="12.75" outlineLevel="2" x14ac:dyDescent="0.2">
      <c r="A305" s="556"/>
      <c r="B305" s="556"/>
      <c r="C305" s="557"/>
      <c r="D305" s="115"/>
      <c r="E305" s="450" t="str">
        <f xml:space="preserve"> InpC!E$269</f>
        <v>Senior debt margin - T2 - year 1</v>
      </c>
      <c r="F305" s="450">
        <f xml:space="preserve"> InpC!F$269</f>
        <v>0.03</v>
      </c>
      <c r="G305" s="450" t="str">
        <f xml:space="preserve"> InpC!G$269</f>
        <v>% p.a.</v>
      </c>
      <c r="H305" s="282"/>
      <c r="I305" s="112"/>
      <c r="J305" s="282"/>
      <c r="K305" s="282"/>
      <c r="L305" s="282"/>
      <c r="M305" s="282"/>
      <c r="N305" s="282"/>
      <c r="O305" s="282"/>
      <c r="P305" s="282"/>
      <c r="Q305" s="282"/>
      <c r="R305" s="282"/>
      <c r="S305" s="282"/>
      <c r="T305" s="282"/>
      <c r="U305" s="282"/>
      <c r="V305" s="282"/>
      <c r="W305" s="282"/>
      <c r="X305" s="282"/>
      <c r="Y305" s="282"/>
      <c r="Z305" s="282"/>
      <c r="AA305" s="282"/>
      <c r="AB305" s="282"/>
      <c r="AC305" s="282"/>
      <c r="AD305" s="282"/>
      <c r="AE305" s="282"/>
      <c r="AF305" s="282"/>
      <c r="AG305" s="282"/>
      <c r="AH305" s="282"/>
      <c r="AI305" s="282"/>
      <c r="AJ305" s="282"/>
      <c r="AK305" s="282"/>
      <c r="AL305" s="282"/>
      <c r="AM305" s="282"/>
      <c r="AN305" s="282"/>
      <c r="AO305" s="282"/>
      <c r="AP305" s="282"/>
      <c r="AQ305" s="282"/>
      <c r="AR305" s="282"/>
      <c r="AS305" s="282"/>
      <c r="AT305" s="282"/>
      <c r="AU305" s="282"/>
      <c r="AV305" s="282"/>
      <c r="AW305" s="282"/>
      <c r="AX305" s="282"/>
      <c r="AY305" s="282"/>
      <c r="AZ305" s="282"/>
      <c r="BA305" s="282"/>
      <c r="BB305" s="282"/>
      <c r="BC305" s="282"/>
      <c r="BD305" s="282"/>
      <c r="BE305" s="282"/>
      <c r="BF305" s="282"/>
      <c r="BG305" s="282"/>
      <c r="BH305" s="282"/>
      <c r="BI305" s="282"/>
      <c r="BJ305" s="282"/>
      <c r="BK305" s="282"/>
      <c r="BL305" s="282"/>
      <c r="BM305" s="282"/>
      <c r="BN305" s="282"/>
      <c r="BO305" s="282"/>
      <c r="BP305" s="282"/>
      <c r="BQ305" s="282"/>
      <c r="BR305" s="282"/>
      <c r="BS305" s="282"/>
      <c r="BT305" s="282"/>
      <c r="BU305" s="282"/>
      <c r="BV305" s="282"/>
      <c r="BW305" s="282"/>
      <c r="BX305" s="282"/>
      <c r="BY305" s="282"/>
      <c r="BZ305" s="282"/>
      <c r="CA305" s="282"/>
      <c r="CB305" s="282"/>
      <c r="CC305" s="282"/>
      <c r="CD305" s="282"/>
      <c r="CE305" s="282"/>
      <c r="CF305" s="282"/>
      <c r="CG305" s="282"/>
      <c r="CH305" s="282"/>
      <c r="CI305" s="282"/>
      <c r="CJ305" s="282"/>
      <c r="CK305" s="282"/>
      <c r="CL305" s="282"/>
      <c r="CM305" s="282"/>
      <c r="CN305" s="282"/>
      <c r="CO305" s="282"/>
      <c r="CP305" s="282"/>
      <c r="CQ305" s="282"/>
      <c r="CR305" s="282"/>
      <c r="CS305" s="282"/>
      <c r="CT305" s="282"/>
      <c r="CU305" s="282"/>
      <c r="CV305" s="282"/>
    </row>
    <row r="306" spans="1:100" s="283" customFormat="1" ht="12.75" outlineLevel="2" x14ac:dyDescent="0.2">
      <c r="A306" s="556"/>
      <c r="B306" s="556"/>
      <c r="C306" s="557"/>
      <c r="D306" s="115"/>
      <c r="E306" s="450" t="str">
        <f xml:space="preserve"> InpC!E$270</f>
        <v>Senior debt margin - T2 - year 2</v>
      </c>
      <c r="F306" s="450">
        <f xml:space="preserve"> InpC!F$270</f>
        <v>0.03</v>
      </c>
      <c r="G306" s="450" t="str">
        <f xml:space="preserve"> InpC!G$270</f>
        <v>% p.a.</v>
      </c>
      <c r="H306" s="282"/>
      <c r="I306" s="112"/>
      <c r="J306" s="282"/>
      <c r="K306" s="282"/>
      <c r="L306" s="282"/>
      <c r="M306" s="282"/>
      <c r="N306" s="282"/>
      <c r="O306" s="282"/>
      <c r="P306" s="282"/>
      <c r="Q306" s="282"/>
      <c r="R306" s="282"/>
      <c r="S306" s="282"/>
      <c r="T306" s="282"/>
      <c r="U306" s="282"/>
      <c r="V306" s="282"/>
      <c r="W306" s="282"/>
      <c r="X306" s="282"/>
      <c r="Y306" s="282"/>
      <c r="Z306" s="282"/>
      <c r="AA306" s="282"/>
      <c r="AB306" s="282"/>
      <c r="AC306" s="282"/>
      <c r="AD306" s="282"/>
      <c r="AE306" s="282"/>
      <c r="AF306" s="282"/>
      <c r="AG306" s="282"/>
      <c r="AH306" s="282"/>
      <c r="AI306" s="282"/>
      <c r="AJ306" s="282"/>
      <c r="AK306" s="282"/>
      <c r="AL306" s="282"/>
      <c r="AM306" s="282"/>
      <c r="AN306" s="282"/>
      <c r="AO306" s="282"/>
      <c r="AP306" s="282"/>
      <c r="AQ306" s="282"/>
      <c r="AR306" s="282"/>
      <c r="AS306" s="282"/>
      <c r="AT306" s="282"/>
      <c r="AU306" s="282"/>
      <c r="AV306" s="282"/>
      <c r="AW306" s="282"/>
      <c r="AX306" s="282"/>
      <c r="AY306" s="282"/>
      <c r="AZ306" s="282"/>
      <c r="BA306" s="282"/>
      <c r="BB306" s="282"/>
      <c r="BC306" s="282"/>
      <c r="BD306" s="282"/>
      <c r="BE306" s="282"/>
      <c r="BF306" s="282"/>
      <c r="BG306" s="282"/>
      <c r="BH306" s="282"/>
      <c r="BI306" s="282"/>
      <c r="BJ306" s="282"/>
      <c r="BK306" s="282"/>
      <c r="BL306" s="282"/>
      <c r="BM306" s="282"/>
      <c r="BN306" s="282"/>
      <c r="BO306" s="282"/>
      <c r="BP306" s="282"/>
      <c r="BQ306" s="282"/>
      <c r="BR306" s="282"/>
      <c r="BS306" s="282"/>
      <c r="BT306" s="282"/>
      <c r="BU306" s="282"/>
      <c r="BV306" s="282"/>
      <c r="BW306" s="282"/>
      <c r="BX306" s="282"/>
      <c r="BY306" s="282"/>
      <c r="BZ306" s="282"/>
      <c r="CA306" s="282"/>
      <c r="CB306" s="282"/>
      <c r="CC306" s="282"/>
      <c r="CD306" s="282"/>
      <c r="CE306" s="282"/>
      <c r="CF306" s="282"/>
      <c r="CG306" s="282"/>
      <c r="CH306" s="282"/>
      <c r="CI306" s="282"/>
      <c r="CJ306" s="282"/>
      <c r="CK306" s="282"/>
      <c r="CL306" s="282"/>
      <c r="CM306" s="282"/>
      <c r="CN306" s="282"/>
      <c r="CO306" s="282"/>
      <c r="CP306" s="282"/>
      <c r="CQ306" s="282"/>
      <c r="CR306" s="282"/>
      <c r="CS306" s="282"/>
      <c r="CT306" s="282"/>
      <c r="CU306" s="282"/>
      <c r="CV306" s="282"/>
    </row>
    <row r="307" spans="1:100" s="283" customFormat="1" ht="12.75" outlineLevel="2" x14ac:dyDescent="0.2">
      <c r="A307" s="556"/>
      <c r="B307" s="556"/>
      <c r="C307" s="557"/>
      <c r="D307" s="115"/>
      <c r="E307" s="450" t="str">
        <f xml:space="preserve"> InpC!E$271</f>
        <v>Senior debt margin - T2 - year 3</v>
      </c>
      <c r="F307" s="450">
        <f xml:space="preserve"> InpC!F$271</f>
        <v>0.03</v>
      </c>
      <c r="G307" s="450" t="str">
        <f xml:space="preserve"> InpC!G$271</f>
        <v>% p.a.</v>
      </c>
      <c r="H307" s="282"/>
      <c r="I307" s="112"/>
      <c r="J307" s="282"/>
      <c r="K307" s="282"/>
      <c r="L307" s="282"/>
      <c r="M307" s="282"/>
      <c r="N307" s="282"/>
      <c r="O307" s="282"/>
      <c r="P307" s="282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  <c r="AF307" s="282"/>
      <c r="AG307" s="282"/>
      <c r="AH307" s="282"/>
      <c r="AI307" s="282"/>
      <c r="AJ307" s="282"/>
      <c r="AK307" s="282"/>
      <c r="AL307" s="282"/>
      <c r="AM307" s="282"/>
      <c r="AN307" s="282"/>
      <c r="AO307" s="282"/>
      <c r="AP307" s="282"/>
      <c r="AQ307" s="282"/>
      <c r="AR307" s="282"/>
      <c r="AS307" s="282"/>
      <c r="AT307" s="282"/>
      <c r="AU307" s="282"/>
      <c r="AV307" s="282"/>
      <c r="AW307" s="282"/>
      <c r="AX307" s="282"/>
      <c r="AY307" s="282"/>
      <c r="AZ307" s="282"/>
      <c r="BA307" s="282"/>
      <c r="BB307" s="282"/>
      <c r="BC307" s="282"/>
      <c r="BD307" s="282"/>
      <c r="BE307" s="282"/>
      <c r="BF307" s="282"/>
      <c r="BG307" s="282"/>
      <c r="BH307" s="282"/>
      <c r="BI307" s="282"/>
      <c r="BJ307" s="282"/>
      <c r="BK307" s="282"/>
      <c r="BL307" s="282"/>
      <c r="BM307" s="282"/>
      <c r="BN307" s="282"/>
      <c r="BO307" s="282"/>
      <c r="BP307" s="282"/>
      <c r="BQ307" s="282"/>
      <c r="BR307" s="282"/>
      <c r="BS307" s="282"/>
      <c r="BT307" s="282"/>
      <c r="BU307" s="282"/>
      <c r="BV307" s="282"/>
      <c r="BW307" s="282"/>
      <c r="BX307" s="282"/>
      <c r="BY307" s="282"/>
      <c r="BZ307" s="282"/>
      <c r="CA307" s="282"/>
      <c r="CB307" s="282"/>
      <c r="CC307" s="282"/>
      <c r="CD307" s="282"/>
      <c r="CE307" s="282"/>
      <c r="CF307" s="282"/>
      <c r="CG307" s="282"/>
      <c r="CH307" s="282"/>
      <c r="CI307" s="282"/>
      <c r="CJ307" s="282"/>
      <c r="CK307" s="282"/>
      <c r="CL307" s="282"/>
      <c r="CM307" s="282"/>
      <c r="CN307" s="282"/>
      <c r="CO307" s="282"/>
      <c r="CP307" s="282"/>
      <c r="CQ307" s="282"/>
      <c r="CR307" s="282"/>
      <c r="CS307" s="282"/>
      <c r="CT307" s="282"/>
      <c r="CU307" s="282"/>
      <c r="CV307" s="282"/>
    </row>
    <row r="308" spans="1:100" s="283" customFormat="1" ht="12.75" outlineLevel="2" x14ac:dyDescent="0.2">
      <c r="A308" s="556"/>
      <c r="B308" s="556"/>
      <c r="C308" s="557"/>
      <c r="D308" s="115"/>
      <c r="E308" s="450" t="str">
        <f xml:space="preserve"> InpC!E$272</f>
        <v>Senior debt margin - T2 - year 4</v>
      </c>
      <c r="F308" s="450">
        <f xml:space="preserve"> InpC!F$272</f>
        <v>0.03</v>
      </c>
      <c r="G308" s="450" t="str">
        <f xml:space="preserve"> InpC!G$272</f>
        <v>% p.a.</v>
      </c>
      <c r="H308" s="282"/>
      <c r="I308" s="112"/>
      <c r="J308" s="282"/>
      <c r="K308" s="282"/>
      <c r="L308" s="282"/>
      <c r="M308" s="282"/>
      <c r="N308" s="282"/>
      <c r="O308" s="282"/>
      <c r="P308" s="282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  <c r="AF308" s="282"/>
      <c r="AG308" s="282"/>
      <c r="AH308" s="282"/>
      <c r="AI308" s="282"/>
      <c r="AJ308" s="282"/>
      <c r="AK308" s="282"/>
      <c r="AL308" s="282"/>
      <c r="AM308" s="282"/>
      <c r="AN308" s="282"/>
      <c r="AO308" s="282"/>
      <c r="AP308" s="282"/>
      <c r="AQ308" s="282"/>
      <c r="AR308" s="282"/>
      <c r="AS308" s="282"/>
      <c r="AT308" s="282"/>
      <c r="AU308" s="282"/>
      <c r="AV308" s="282"/>
      <c r="AW308" s="282"/>
      <c r="AX308" s="282"/>
      <c r="AY308" s="282"/>
      <c r="AZ308" s="282"/>
      <c r="BA308" s="282"/>
      <c r="BB308" s="282"/>
      <c r="BC308" s="282"/>
      <c r="BD308" s="282"/>
      <c r="BE308" s="282"/>
      <c r="BF308" s="282"/>
      <c r="BG308" s="282"/>
      <c r="BH308" s="282"/>
      <c r="BI308" s="282"/>
      <c r="BJ308" s="282"/>
      <c r="BK308" s="282"/>
      <c r="BL308" s="282"/>
      <c r="BM308" s="282"/>
      <c r="BN308" s="282"/>
      <c r="BO308" s="282"/>
      <c r="BP308" s="282"/>
      <c r="BQ308" s="282"/>
      <c r="BR308" s="282"/>
      <c r="BS308" s="282"/>
      <c r="BT308" s="282"/>
      <c r="BU308" s="282"/>
      <c r="BV308" s="282"/>
      <c r="BW308" s="282"/>
      <c r="BX308" s="282"/>
      <c r="BY308" s="282"/>
      <c r="BZ308" s="282"/>
      <c r="CA308" s="282"/>
      <c r="CB308" s="282"/>
      <c r="CC308" s="282"/>
      <c r="CD308" s="282"/>
      <c r="CE308" s="282"/>
      <c r="CF308" s="282"/>
      <c r="CG308" s="282"/>
      <c r="CH308" s="282"/>
      <c r="CI308" s="282"/>
      <c r="CJ308" s="282"/>
      <c r="CK308" s="282"/>
      <c r="CL308" s="282"/>
      <c r="CM308" s="282"/>
      <c r="CN308" s="282"/>
      <c r="CO308" s="282"/>
      <c r="CP308" s="282"/>
      <c r="CQ308" s="282"/>
      <c r="CR308" s="282"/>
      <c r="CS308" s="282"/>
      <c r="CT308" s="282"/>
      <c r="CU308" s="282"/>
      <c r="CV308" s="282"/>
    </row>
    <row r="309" spans="1:100" s="283" customFormat="1" ht="12.75" outlineLevel="2" x14ac:dyDescent="0.2">
      <c r="A309" s="556"/>
      <c r="B309" s="556"/>
      <c r="C309" s="557"/>
      <c r="D309" s="115"/>
      <c r="E309" s="450" t="str">
        <f xml:space="preserve"> InpC!E$273</f>
        <v>Senior debt margin - T2 - year 5</v>
      </c>
      <c r="F309" s="450">
        <f xml:space="preserve"> InpC!F$273</f>
        <v>0.03</v>
      </c>
      <c r="G309" s="450" t="str">
        <f xml:space="preserve"> InpC!G$273</f>
        <v>% p.a.</v>
      </c>
      <c r="H309" s="282"/>
      <c r="I309" s="112"/>
      <c r="J309" s="282"/>
      <c r="K309" s="282"/>
      <c r="L309" s="282"/>
      <c r="M309" s="282"/>
      <c r="N309" s="282"/>
      <c r="O309" s="282"/>
      <c r="P309" s="282"/>
      <c r="Q309" s="282"/>
      <c r="R309" s="282"/>
      <c r="S309" s="282"/>
      <c r="T309" s="282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  <c r="AE309" s="282"/>
      <c r="AF309" s="282"/>
      <c r="AG309" s="282"/>
      <c r="AH309" s="282"/>
      <c r="AI309" s="282"/>
      <c r="AJ309" s="282"/>
      <c r="AK309" s="282"/>
      <c r="AL309" s="282"/>
      <c r="AM309" s="282"/>
      <c r="AN309" s="282"/>
      <c r="AO309" s="282"/>
      <c r="AP309" s="282"/>
      <c r="AQ309" s="282"/>
      <c r="AR309" s="282"/>
      <c r="AS309" s="282"/>
      <c r="AT309" s="282"/>
      <c r="AU309" s="282"/>
      <c r="AV309" s="282"/>
      <c r="AW309" s="282"/>
      <c r="AX309" s="282"/>
      <c r="AY309" s="282"/>
      <c r="AZ309" s="282"/>
      <c r="BA309" s="282"/>
      <c r="BB309" s="282"/>
      <c r="BC309" s="282"/>
      <c r="BD309" s="282"/>
      <c r="BE309" s="282"/>
      <c r="BF309" s="282"/>
      <c r="BG309" s="282"/>
      <c r="BH309" s="282"/>
      <c r="BI309" s="282"/>
      <c r="BJ309" s="282"/>
      <c r="BK309" s="282"/>
      <c r="BL309" s="282"/>
      <c r="BM309" s="282"/>
      <c r="BN309" s="282"/>
      <c r="BO309" s="282"/>
      <c r="BP309" s="282"/>
      <c r="BQ309" s="282"/>
      <c r="BR309" s="282"/>
      <c r="BS309" s="282"/>
      <c r="BT309" s="282"/>
      <c r="BU309" s="282"/>
      <c r="BV309" s="282"/>
      <c r="BW309" s="282"/>
      <c r="BX309" s="282"/>
      <c r="BY309" s="282"/>
      <c r="BZ309" s="282"/>
      <c r="CA309" s="282"/>
      <c r="CB309" s="282"/>
      <c r="CC309" s="282"/>
      <c r="CD309" s="282"/>
      <c r="CE309" s="282"/>
      <c r="CF309" s="282"/>
      <c r="CG309" s="282"/>
      <c r="CH309" s="282"/>
      <c r="CI309" s="282"/>
      <c r="CJ309" s="282"/>
      <c r="CK309" s="282"/>
      <c r="CL309" s="282"/>
      <c r="CM309" s="282"/>
      <c r="CN309" s="282"/>
      <c r="CO309" s="282"/>
      <c r="CP309" s="282"/>
      <c r="CQ309" s="282"/>
      <c r="CR309" s="282"/>
      <c r="CS309" s="282"/>
      <c r="CT309" s="282"/>
      <c r="CU309" s="282"/>
      <c r="CV309" s="282"/>
    </row>
    <row r="310" spans="1:100" s="283" customFormat="1" ht="12.75" outlineLevel="2" x14ac:dyDescent="0.2">
      <c r="A310" s="556"/>
      <c r="B310" s="556"/>
      <c r="C310" s="557"/>
      <c r="D310" s="115"/>
      <c r="E310" s="450" t="str">
        <f xml:space="preserve"> InpC!E$274</f>
        <v>Senior debt margin - T2 - year 6</v>
      </c>
      <c r="F310" s="450">
        <f xml:space="preserve"> InpC!F$274</f>
        <v>3.2000000000000001E-2</v>
      </c>
      <c r="G310" s="450" t="str">
        <f xml:space="preserve"> InpC!G$274</f>
        <v>% p.a.</v>
      </c>
      <c r="H310" s="282"/>
      <c r="I310" s="112"/>
      <c r="J310" s="282"/>
      <c r="K310" s="282"/>
      <c r="L310" s="282"/>
      <c r="M310" s="282"/>
      <c r="N310" s="282"/>
      <c r="O310" s="282"/>
      <c r="P310" s="282"/>
      <c r="Q310" s="282"/>
      <c r="R310" s="282"/>
      <c r="S310" s="282"/>
      <c r="T310" s="282"/>
      <c r="U310" s="282"/>
      <c r="V310" s="282"/>
      <c r="W310" s="282"/>
      <c r="X310" s="282"/>
      <c r="Y310" s="282"/>
      <c r="Z310" s="282"/>
      <c r="AA310" s="282"/>
      <c r="AB310" s="282"/>
      <c r="AC310" s="282"/>
      <c r="AD310" s="282"/>
      <c r="AE310" s="282"/>
      <c r="AF310" s="282"/>
      <c r="AG310" s="282"/>
      <c r="AH310" s="282"/>
      <c r="AI310" s="282"/>
      <c r="AJ310" s="282"/>
      <c r="AK310" s="282"/>
      <c r="AL310" s="282"/>
      <c r="AM310" s="282"/>
      <c r="AN310" s="282"/>
      <c r="AO310" s="282"/>
      <c r="AP310" s="282"/>
      <c r="AQ310" s="282"/>
      <c r="AR310" s="282"/>
      <c r="AS310" s="282"/>
      <c r="AT310" s="282"/>
      <c r="AU310" s="282"/>
      <c r="AV310" s="282"/>
      <c r="AW310" s="282"/>
      <c r="AX310" s="282"/>
      <c r="AY310" s="282"/>
      <c r="AZ310" s="282"/>
      <c r="BA310" s="282"/>
      <c r="BB310" s="282"/>
      <c r="BC310" s="282"/>
      <c r="BD310" s="282"/>
      <c r="BE310" s="282"/>
      <c r="BF310" s="282"/>
      <c r="BG310" s="282"/>
      <c r="BH310" s="282"/>
      <c r="BI310" s="282"/>
      <c r="BJ310" s="282"/>
      <c r="BK310" s="282"/>
      <c r="BL310" s="282"/>
      <c r="BM310" s="282"/>
      <c r="BN310" s="282"/>
      <c r="BO310" s="282"/>
      <c r="BP310" s="282"/>
      <c r="BQ310" s="282"/>
      <c r="BR310" s="282"/>
      <c r="BS310" s="282"/>
      <c r="BT310" s="282"/>
      <c r="BU310" s="282"/>
      <c r="BV310" s="282"/>
      <c r="BW310" s="282"/>
      <c r="BX310" s="282"/>
      <c r="BY310" s="282"/>
      <c r="BZ310" s="282"/>
      <c r="CA310" s="282"/>
      <c r="CB310" s="282"/>
      <c r="CC310" s="282"/>
      <c r="CD310" s="282"/>
      <c r="CE310" s="282"/>
      <c r="CF310" s="282"/>
      <c r="CG310" s="282"/>
      <c r="CH310" s="282"/>
      <c r="CI310" s="282"/>
      <c r="CJ310" s="282"/>
      <c r="CK310" s="282"/>
      <c r="CL310" s="282"/>
      <c r="CM310" s="282"/>
      <c r="CN310" s="282"/>
      <c r="CO310" s="282"/>
      <c r="CP310" s="282"/>
      <c r="CQ310" s="282"/>
      <c r="CR310" s="282"/>
      <c r="CS310" s="282"/>
      <c r="CT310" s="282"/>
      <c r="CU310" s="282"/>
      <c r="CV310" s="282"/>
    </row>
    <row r="311" spans="1:100" s="283" customFormat="1" ht="12.75" outlineLevel="2" x14ac:dyDescent="0.2">
      <c r="A311" s="556"/>
      <c r="B311" s="556"/>
      <c r="C311" s="557"/>
      <c r="D311" s="115"/>
      <c r="E311" s="450" t="str">
        <f xml:space="preserve"> InpC!E$275</f>
        <v>Senior debt margin - T2 - year 7</v>
      </c>
      <c r="F311" s="450">
        <f xml:space="preserve"> InpC!F$275</f>
        <v>3.2000000000000001E-2</v>
      </c>
      <c r="G311" s="450" t="str">
        <f xml:space="preserve"> InpC!G$275</f>
        <v>% p.a.</v>
      </c>
      <c r="H311" s="282"/>
      <c r="I311" s="112"/>
      <c r="J311" s="282"/>
      <c r="K311" s="282"/>
      <c r="L311" s="282"/>
      <c r="M311" s="282"/>
      <c r="N311" s="282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  <c r="AF311" s="282"/>
      <c r="AG311" s="282"/>
      <c r="AH311" s="282"/>
      <c r="AI311" s="282"/>
      <c r="AJ311" s="282"/>
      <c r="AK311" s="282"/>
      <c r="AL311" s="282"/>
      <c r="AM311" s="282"/>
      <c r="AN311" s="282"/>
      <c r="AO311" s="282"/>
      <c r="AP311" s="282"/>
      <c r="AQ311" s="282"/>
      <c r="AR311" s="282"/>
      <c r="AS311" s="282"/>
      <c r="AT311" s="282"/>
      <c r="AU311" s="282"/>
      <c r="AV311" s="282"/>
      <c r="AW311" s="282"/>
      <c r="AX311" s="282"/>
      <c r="AY311" s="282"/>
      <c r="AZ311" s="282"/>
      <c r="BA311" s="282"/>
      <c r="BB311" s="282"/>
      <c r="BC311" s="282"/>
      <c r="BD311" s="282"/>
      <c r="BE311" s="282"/>
      <c r="BF311" s="282"/>
      <c r="BG311" s="282"/>
      <c r="BH311" s="282"/>
      <c r="BI311" s="282"/>
      <c r="BJ311" s="282"/>
      <c r="BK311" s="282"/>
      <c r="BL311" s="282"/>
      <c r="BM311" s="282"/>
      <c r="BN311" s="282"/>
      <c r="BO311" s="282"/>
      <c r="BP311" s="282"/>
      <c r="BQ311" s="282"/>
      <c r="BR311" s="282"/>
      <c r="BS311" s="282"/>
      <c r="BT311" s="282"/>
      <c r="BU311" s="282"/>
      <c r="BV311" s="282"/>
      <c r="BW311" s="282"/>
      <c r="BX311" s="282"/>
      <c r="BY311" s="282"/>
      <c r="BZ311" s="282"/>
      <c r="CA311" s="282"/>
      <c r="CB311" s="282"/>
      <c r="CC311" s="282"/>
      <c r="CD311" s="282"/>
      <c r="CE311" s="282"/>
      <c r="CF311" s="282"/>
      <c r="CG311" s="282"/>
      <c r="CH311" s="282"/>
      <c r="CI311" s="282"/>
      <c r="CJ311" s="282"/>
      <c r="CK311" s="282"/>
      <c r="CL311" s="282"/>
      <c r="CM311" s="282"/>
      <c r="CN311" s="282"/>
      <c r="CO311" s="282"/>
      <c r="CP311" s="282"/>
      <c r="CQ311" s="282"/>
      <c r="CR311" s="282"/>
      <c r="CS311" s="282"/>
      <c r="CT311" s="282"/>
      <c r="CU311" s="282"/>
      <c r="CV311" s="282"/>
    </row>
    <row r="312" spans="1:100" s="283" customFormat="1" ht="12.75" outlineLevel="2" x14ac:dyDescent="0.2">
      <c r="A312" s="556"/>
      <c r="B312" s="556"/>
      <c r="C312" s="557"/>
      <c r="D312" s="115"/>
      <c r="E312" s="450" t="str">
        <f xml:space="preserve"> InpC!E$276</f>
        <v>Senior debt margin - T2 - year 8</v>
      </c>
      <c r="F312" s="450">
        <f xml:space="preserve"> InpC!F$276</f>
        <v>3.2000000000000001E-2</v>
      </c>
      <c r="G312" s="450" t="str">
        <f xml:space="preserve"> InpC!G$276</f>
        <v>% p.a.</v>
      </c>
      <c r="H312" s="282"/>
      <c r="I312" s="112"/>
      <c r="J312" s="282"/>
      <c r="K312" s="282"/>
      <c r="L312" s="282"/>
      <c r="M312" s="282"/>
      <c r="N312" s="282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  <c r="AF312" s="282"/>
      <c r="AG312" s="282"/>
      <c r="AH312" s="282"/>
      <c r="AI312" s="282"/>
      <c r="AJ312" s="282"/>
      <c r="AK312" s="282"/>
      <c r="AL312" s="282"/>
      <c r="AM312" s="282"/>
      <c r="AN312" s="282"/>
      <c r="AO312" s="282"/>
      <c r="AP312" s="282"/>
      <c r="AQ312" s="282"/>
      <c r="AR312" s="282"/>
      <c r="AS312" s="282"/>
      <c r="AT312" s="282"/>
      <c r="AU312" s="282"/>
      <c r="AV312" s="282"/>
      <c r="AW312" s="282"/>
      <c r="AX312" s="282"/>
      <c r="AY312" s="282"/>
      <c r="AZ312" s="282"/>
      <c r="BA312" s="282"/>
      <c r="BB312" s="282"/>
      <c r="BC312" s="282"/>
      <c r="BD312" s="282"/>
      <c r="BE312" s="282"/>
      <c r="BF312" s="282"/>
      <c r="BG312" s="282"/>
      <c r="BH312" s="282"/>
      <c r="BI312" s="282"/>
      <c r="BJ312" s="282"/>
      <c r="BK312" s="282"/>
      <c r="BL312" s="282"/>
      <c r="BM312" s="282"/>
      <c r="BN312" s="282"/>
      <c r="BO312" s="282"/>
      <c r="BP312" s="282"/>
      <c r="BQ312" s="282"/>
      <c r="BR312" s="282"/>
      <c r="BS312" s="282"/>
      <c r="BT312" s="282"/>
      <c r="BU312" s="282"/>
      <c r="BV312" s="282"/>
      <c r="BW312" s="282"/>
      <c r="BX312" s="282"/>
      <c r="BY312" s="282"/>
      <c r="BZ312" s="282"/>
      <c r="CA312" s="282"/>
      <c r="CB312" s="282"/>
      <c r="CC312" s="282"/>
      <c r="CD312" s="282"/>
      <c r="CE312" s="282"/>
      <c r="CF312" s="282"/>
      <c r="CG312" s="282"/>
      <c r="CH312" s="282"/>
      <c r="CI312" s="282"/>
      <c r="CJ312" s="282"/>
      <c r="CK312" s="282"/>
      <c r="CL312" s="282"/>
      <c r="CM312" s="282"/>
      <c r="CN312" s="282"/>
      <c r="CO312" s="282"/>
      <c r="CP312" s="282"/>
      <c r="CQ312" s="282"/>
      <c r="CR312" s="282"/>
      <c r="CS312" s="282"/>
      <c r="CT312" s="282"/>
      <c r="CU312" s="282"/>
      <c r="CV312" s="282"/>
    </row>
    <row r="313" spans="1:100" s="283" customFormat="1" ht="12.75" outlineLevel="2" x14ac:dyDescent="0.2">
      <c r="A313" s="556"/>
      <c r="B313" s="556"/>
      <c r="C313" s="557"/>
      <c r="D313" s="115"/>
      <c r="E313" s="450" t="str">
        <f xml:space="preserve"> InpC!E$277</f>
        <v>Senior debt margin - T2 - year 9</v>
      </c>
      <c r="F313" s="450">
        <f xml:space="preserve"> InpC!F$277</f>
        <v>3.2000000000000001E-2</v>
      </c>
      <c r="G313" s="450" t="str">
        <f xml:space="preserve"> InpC!G$277</f>
        <v>% p.a.</v>
      </c>
      <c r="H313" s="282"/>
      <c r="I313" s="112"/>
      <c r="J313" s="282"/>
      <c r="K313" s="282"/>
      <c r="L313" s="282"/>
      <c r="M313" s="282"/>
      <c r="N313" s="282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  <c r="AF313" s="282"/>
      <c r="AG313" s="282"/>
      <c r="AH313" s="282"/>
      <c r="AI313" s="282"/>
      <c r="AJ313" s="282"/>
      <c r="AK313" s="282"/>
      <c r="AL313" s="282"/>
      <c r="AM313" s="282"/>
      <c r="AN313" s="282"/>
      <c r="AO313" s="282"/>
      <c r="AP313" s="282"/>
      <c r="AQ313" s="282"/>
      <c r="AR313" s="282"/>
      <c r="AS313" s="282"/>
      <c r="AT313" s="282"/>
      <c r="AU313" s="282"/>
      <c r="AV313" s="282"/>
      <c r="AW313" s="282"/>
      <c r="AX313" s="282"/>
      <c r="AY313" s="282"/>
      <c r="AZ313" s="282"/>
      <c r="BA313" s="282"/>
      <c r="BB313" s="282"/>
      <c r="BC313" s="282"/>
      <c r="BD313" s="282"/>
      <c r="BE313" s="282"/>
      <c r="BF313" s="282"/>
      <c r="BG313" s="282"/>
      <c r="BH313" s="282"/>
      <c r="BI313" s="282"/>
      <c r="BJ313" s="282"/>
      <c r="BK313" s="282"/>
      <c r="BL313" s="282"/>
      <c r="BM313" s="282"/>
      <c r="BN313" s="282"/>
      <c r="BO313" s="282"/>
      <c r="BP313" s="282"/>
      <c r="BQ313" s="282"/>
      <c r="BR313" s="282"/>
      <c r="BS313" s="282"/>
      <c r="BT313" s="282"/>
      <c r="BU313" s="282"/>
      <c r="BV313" s="282"/>
      <c r="BW313" s="282"/>
      <c r="BX313" s="282"/>
      <c r="BY313" s="282"/>
      <c r="BZ313" s="282"/>
      <c r="CA313" s="282"/>
      <c r="CB313" s="282"/>
      <c r="CC313" s="282"/>
      <c r="CD313" s="282"/>
      <c r="CE313" s="282"/>
      <c r="CF313" s="282"/>
      <c r="CG313" s="282"/>
      <c r="CH313" s="282"/>
      <c r="CI313" s="282"/>
      <c r="CJ313" s="282"/>
      <c r="CK313" s="282"/>
      <c r="CL313" s="282"/>
      <c r="CM313" s="282"/>
      <c r="CN313" s="282"/>
      <c r="CO313" s="282"/>
      <c r="CP313" s="282"/>
      <c r="CQ313" s="282"/>
      <c r="CR313" s="282"/>
      <c r="CS313" s="282"/>
      <c r="CT313" s="282"/>
      <c r="CU313" s="282"/>
      <c r="CV313" s="282"/>
    </row>
    <row r="314" spans="1:100" s="283" customFormat="1" ht="12.75" outlineLevel="2" x14ac:dyDescent="0.2">
      <c r="A314" s="556"/>
      <c r="B314" s="556"/>
      <c r="C314" s="557"/>
      <c r="D314" s="115"/>
      <c r="E314" s="450" t="str">
        <f xml:space="preserve"> InpC!E$278</f>
        <v>Senior debt margin - T2 - year 10</v>
      </c>
      <c r="F314" s="450">
        <f xml:space="preserve"> InpC!F$278</f>
        <v>3.2000000000000001E-2</v>
      </c>
      <c r="G314" s="450" t="str">
        <f xml:space="preserve"> InpC!G$278</f>
        <v>% p.a.</v>
      </c>
      <c r="H314" s="282"/>
      <c r="I314" s="112"/>
      <c r="J314" s="282"/>
      <c r="K314" s="282"/>
      <c r="L314" s="282"/>
      <c r="M314" s="282"/>
      <c r="N314" s="282"/>
      <c r="O314" s="282"/>
      <c r="P314" s="282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  <c r="AF314" s="282"/>
      <c r="AG314" s="282"/>
      <c r="AH314" s="282"/>
      <c r="AI314" s="282"/>
      <c r="AJ314" s="282"/>
      <c r="AK314" s="282"/>
      <c r="AL314" s="282"/>
      <c r="AM314" s="282"/>
      <c r="AN314" s="282"/>
      <c r="AO314" s="282"/>
      <c r="AP314" s="282"/>
      <c r="AQ314" s="282"/>
      <c r="AR314" s="282"/>
      <c r="AS314" s="282"/>
      <c r="AT314" s="282"/>
      <c r="AU314" s="282"/>
      <c r="AV314" s="282"/>
      <c r="AW314" s="282"/>
      <c r="AX314" s="282"/>
      <c r="AY314" s="282"/>
      <c r="AZ314" s="282"/>
      <c r="BA314" s="282"/>
      <c r="BB314" s="282"/>
      <c r="BC314" s="282"/>
      <c r="BD314" s="282"/>
      <c r="BE314" s="282"/>
      <c r="BF314" s="282"/>
      <c r="BG314" s="282"/>
      <c r="BH314" s="282"/>
      <c r="BI314" s="282"/>
      <c r="BJ314" s="282"/>
      <c r="BK314" s="282"/>
      <c r="BL314" s="282"/>
      <c r="BM314" s="282"/>
      <c r="BN314" s="282"/>
      <c r="BO314" s="282"/>
      <c r="BP314" s="282"/>
      <c r="BQ314" s="282"/>
      <c r="BR314" s="282"/>
      <c r="BS314" s="282"/>
      <c r="BT314" s="282"/>
      <c r="BU314" s="282"/>
      <c r="BV314" s="282"/>
      <c r="BW314" s="282"/>
      <c r="BX314" s="282"/>
      <c r="BY314" s="282"/>
      <c r="BZ314" s="282"/>
      <c r="CA314" s="282"/>
      <c r="CB314" s="282"/>
      <c r="CC314" s="282"/>
      <c r="CD314" s="282"/>
      <c r="CE314" s="282"/>
      <c r="CF314" s="282"/>
      <c r="CG314" s="282"/>
      <c r="CH314" s="282"/>
      <c r="CI314" s="282"/>
      <c r="CJ314" s="282"/>
      <c r="CK314" s="282"/>
      <c r="CL314" s="282"/>
      <c r="CM314" s="282"/>
      <c r="CN314" s="282"/>
      <c r="CO314" s="282"/>
      <c r="CP314" s="282"/>
      <c r="CQ314" s="282"/>
      <c r="CR314" s="282"/>
      <c r="CS314" s="282"/>
      <c r="CT314" s="282"/>
      <c r="CU314" s="282"/>
      <c r="CV314" s="282"/>
    </row>
    <row r="315" spans="1:100" s="283" customFormat="1" ht="12.75" outlineLevel="2" x14ac:dyDescent="0.2">
      <c r="A315" s="556"/>
      <c r="B315" s="556"/>
      <c r="C315" s="557"/>
      <c r="D315" s="115"/>
      <c r="E315" s="450" t="str">
        <f xml:space="preserve"> InpC!E$279</f>
        <v>Senior debt margin - T2 - year 11</v>
      </c>
      <c r="F315" s="450">
        <f xml:space="preserve"> InpC!F$279</f>
        <v>3.5000000000000003E-2</v>
      </c>
      <c r="G315" s="450" t="str">
        <f xml:space="preserve"> InpC!G$279</f>
        <v>% p.a.</v>
      </c>
      <c r="H315" s="282"/>
      <c r="I315" s="112"/>
      <c r="J315" s="282"/>
      <c r="K315" s="282"/>
      <c r="L315" s="282"/>
      <c r="M315" s="282"/>
      <c r="N315" s="282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  <c r="AF315" s="282"/>
      <c r="AG315" s="282"/>
      <c r="AH315" s="282"/>
      <c r="AI315" s="282"/>
      <c r="AJ315" s="282"/>
      <c r="AK315" s="282"/>
      <c r="AL315" s="282"/>
      <c r="AM315" s="282"/>
      <c r="AN315" s="282"/>
      <c r="AO315" s="282"/>
      <c r="AP315" s="282"/>
      <c r="AQ315" s="282"/>
      <c r="AR315" s="282"/>
      <c r="AS315" s="282"/>
      <c r="AT315" s="282"/>
      <c r="AU315" s="282"/>
      <c r="AV315" s="282"/>
      <c r="AW315" s="282"/>
      <c r="AX315" s="282"/>
      <c r="AY315" s="282"/>
      <c r="AZ315" s="282"/>
      <c r="BA315" s="282"/>
      <c r="BB315" s="282"/>
      <c r="BC315" s="282"/>
      <c r="BD315" s="282"/>
      <c r="BE315" s="282"/>
      <c r="BF315" s="282"/>
      <c r="BG315" s="282"/>
      <c r="BH315" s="282"/>
      <c r="BI315" s="282"/>
      <c r="BJ315" s="282"/>
      <c r="BK315" s="282"/>
      <c r="BL315" s="282"/>
      <c r="BM315" s="282"/>
      <c r="BN315" s="282"/>
      <c r="BO315" s="282"/>
      <c r="BP315" s="282"/>
      <c r="BQ315" s="282"/>
      <c r="BR315" s="282"/>
      <c r="BS315" s="282"/>
      <c r="BT315" s="282"/>
      <c r="BU315" s="282"/>
      <c r="BV315" s="282"/>
      <c r="BW315" s="282"/>
      <c r="BX315" s="282"/>
      <c r="BY315" s="282"/>
      <c r="BZ315" s="282"/>
      <c r="CA315" s="282"/>
      <c r="CB315" s="282"/>
      <c r="CC315" s="282"/>
      <c r="CD315" s="282"/>
      <c r="CE315" s="282"/>
      <c r="CF315" s="282"/>
      <c r="CG315" s="282"/>
      <c r="CH315" s="282"/>
      <c r="CI315" s="282"/>
      <c r="CJ315" s="282"/>
      <c r="CK315" s="282"/>
      <c r="CL315" s="282"/>
      <c r="CM315" s="282"/>
      <c r="CN315" s="282"/>
      <c r="CO315" s="282"/>
      <c r="CP315" s="282"/>
      <c r="CQ315" s="282"/>
      <c r="CR315" s="282"/>
      <c r="CS315" s="282"/>
      <c r="CT315" s="282"/>
      <c r="CU315" s="282"/>
      <c r="CV315" s="282"/>
    </row>
    <row r="316" spans="1:100" s="283" customFormat="1" ht="12.75" outlineLevel="2" x14ac:dyDescent="0.2">
      <c r="A316" s="556"/>
      <c r="B316" s="556"/>
      <c r="C316" s="557"/>
      <c r="D316" s="115"/>
      <c r="E316" s="450" t="str">
        <f xml:space="preserve"> InpC!E$280</f>
        <v>Senior debt margin - T2 - year 12</v>
      </c>
      <c r="F316" s="450">
        <f xml:space="preserve"> InpC!F$280</f>
        <v>3.5000000000000003E-2</v>
      </c>
      <c r="G316" s="450" t="str">
        <f xml:space="preserve"> InpC!G$280</f>
        <v>% p.a.</v>
      </c>
      <c r="H316" s="282"/>
      <c r="I316" s="112"/>
      <c r="J316" s="282"/>
      <c r="K316" s="282"/>
      <c r="L316" s="282"/>
      <c r="M316" s="282"/>
      <c r="N316" s="282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  <c r="AF316" s="282"/>
      <c r="AG316" s="282"/>
      <c r="AH316" s="282"/>
      <c r="AI316" s="282"/>
      <c r="AJ316" s="282"/>
      <c r="AK316" s="282"/>
      <c r="AL316" s="282"/>
      <c r="AM316" s="282"/>
      <c r="AN316" s="282"/>
      <c r="AO316" s="282"/>
      <c r="AP316" s="282"/>
      <c r="AQ316" s="282"/>
      <c r="AR316" s="282"/>
      <c r="AS316" s="282"/>
      <c r="AT316" s="282"/>
      <c r="AU316" s="282"/>
      <c r="AV316" s="282"/>
      <c r="AW316" s="282"/>
      <c r="AX316" s="282"/>
      <c r="AY316" s="282"/>
      <c r="AZ316" s="282"/>
      <c r="BA316" s="282"/>
      <c r="BB316" s="282"/>
      <c r="BC316" s="282"/>
      <c r="BD316" s="282"/>
      <c r="BE316" s="282"/>
      <c r="BF316" s="282"/>
      <c r="BG316" s="282"/>
      <c r="BH316" s="282"/>
      <c r="BI316" s="282"/>
      <c r="BJ316" s="282"/>
      <c r="BK316" s="282"/>
      <c r="BL316" s="282"/>
      <c r="BM316" s="282"/>
      <c r="BN316" s="282"/>
      <c r="BO316" s="282"/>
      <c r="BP316" s="282"/>
      <c r="BQ316" s="282"/>
      <c r="BR316" s="282"/>
      <c r="BS316" s="282"/>
      <c r="BT316" s="282"/>
      <c r="BU316" s="282"/>
      <c r="BV316" s="282"/>
      <c r="BW316" s="282"/>
      <c r="BX316" s="282"/>
      <c r="BY316" s="282"/>
      <c r="BZ316" s="282"/>
      <c r="CA316" s="282"/>
      <c r="CB316" s="282"/>
      <c r="CC316" s="282"/>
      <c r="CD316" s="282"/>
      <c r="CE316" s="282"/>
      <c r="CF316" s="282"/>
      <c r="CG316" s="282"/>
      <c r="CH316" s="282"/>
      <c r="CI316" s="282"/>
      <c r="CJ316" s="282"/>
      <c r="CK316" s="282"/>
      <c r="CL316" s="282"/>
      <c r="CM316" s="282"/>
      <c r="CN316" s="282"/>
      <c r="CO316" s="282"/>
      <c r="CP316" s="282"/>
      <c r="CQ316" s="282"/>
      <c r="CR316" s="282"/>
      <c r="CS316" s="282"/>
      <c r="CT316" s="282"/>
      <c r="CU316" s="282"/>
      <c r="CV316" s="282"/>
    </row>
    <row r="317" spans="1:100" s="283" customFormat="1" ht="12.75" outlineLevel="2" x14ac:dyDescent="0.2">
      <c r="A317" s="556"/>
      <c r="B317" s="556"/>
      <c r="C317" s="557"/>
      <c r="D317" s="115"/>
      <c r="E317" s="450" t="str">
        <f xml:space="preserve"> InpC!E$281</f>
        <v>Senior debt margin - T2 - year 13</v>
      </c>
      <c r="F317" s="450">
        <f xml:space="preserve"> InpC!F$281</f>
        <v>3.5000000000000003E-2</v>
      </c>
      <c r="G317" s="450" t="str">
        <f xml:space="preserve"> InpC!G$281</f>
        <v>% p.a.</v>
      </c>
      <c r="H317" s="282"/>
      <c r="I317" s="112"/>
      <c r="J317" s="282"/>
      <c r="K317" s="282"/>
      <c r="L317" s="282"/>
      <c r="M317" s="282"/>
      <c r="N317" s="282"/>
      <c r="O317" s="282"/>
      <c r="P317" s="282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  <c r="AF317" s="282"/>
      <c r="AG317" s="282"/>
      <c r="AH317" s="282"/>
      <c r="AI317" s="282"/>
      <c r="AJ317" s="282"/>
      <c r="AK317" s="282"/>
      <c r="AL317" s="282"/>
      <c r="AM317" s="282"/>
      <c r="AN317" s="282"/>
      <c r="AO317" s="282"/>
      <c r="AP317" s="282"/>
      <c r="AQ317" s="282"/>
      <c r="AR317" s="282"/>
      <c r="AS317" s="282"/>
      <c r="AT317" s="282"/>
      <c r="AU317" s="282"/>
      <c r="AV317" s="282"/>
      <c r="AW317" s="282"/>
      <c r="AX317" s="282"/>
      <c r="AY317" s="282"/>
      <c r="AZ317" s="282"/>
      <c r="BA317" s="282"/>
      <c r="BB317" s="282"/>
      <c r="BC317" s="282"/>
      <c r="BD317" s="282"/>
      <c r="BE317" s="282"/>
      <c r="BF317" s="282"/>
      <c r="BG317" s="282"/>
      <c r="BH317" s="282"/>
      <c r="BI317" s="282"/>
      <c r="BJ317" s="282"/>
      <c r="BK317" s="282"/>
      <c r="BL317" s="282"/>
      <c r="BM317" s="282"/>
      <c r="BN317" s="282"/>
      <c r="BO317" s="282"/>
      <c r="BP317" s="282"/>
      <c r="BQ317" s="282"/>
      <c r="BR317" s="282"/>
      <c r="BS317" s="282"/>
      <c r="BT317" s="282"/>
      <c r="BU317" s="282"/>
      <c r="BV317" s="282"/>
      <c r="BW317" s="282"/>
      <c r="BX317" s="282"/>
      <c r="BY317" s="282"/>
      <c r="BZ317" s="282"/>
      <c r="CA317" s="282"/>
      <c r="CB317" s="282"/>
      <c r="CC317" s="282"/>
      <c r="CD317" s="282"/>
      <c r="CE317" s="282"/>
      <c r="CF317" s="282"/>
      <c r="CG317" s="282"/>
      <c r="CH317" s="282"/>
      <c r="CI317" s="282"/>
      <c r="CJ317" s="282"/>
      <c r="CK317" s="282"/>
      <c r="CL317" s="282"/>
      <c r="CM317" s="282"/>
      <c r="CN317" s="282"/>
      <c r="CO317" s="282"/>
      <c r="CP317" s="282"/>
      <c r="CQ317" s="282"/>
      <c r="CR317" s="282"/>
      <c r="CS317" s="282"/>
      <c r="CT317" s="282"/>
      <c r="CU317" s="282"/>
      <c r="CV317" s="282"/>
    </row>
    <row r="318" spans="1:100" s="283" customFormat="1" ht="12.75" outlineLevel="2" x14ac:dyDescent="0.2">
      <c r="A318" s="556"/>
      <c r="B318" s="556"/>
      <c r="C318" s="557"/>
      <c r="D318" s="115"/>
      <c r="E318" s="450" t="str">
        <f xml:space="preserve"> InpC!E$282</f>
        <v>Senior debt margin - T2 - year 14</v>
      </c>
      <c r="F318" s="450">
        <f xml:space="preserve"> InpC!F$282</f>
        <v>3.5000000000000003E-2</v>
      </c>
      <c r="G318" s="450" t="str">
        <f xml:space="preserve"> InpC!G$282</f>
        <v>% p.a.</v>
      </c>
      <c r="H318" s="282"/>
      <c r="I318" s="112"/>
      <c r="J318" s="282"/>
      <c r="K318" s="282"/>
      <c r="L318" s="282"/>
      <c r="M318" s="282"/>
      <c r="N318" s="282"/>
      <c r="O318" s="282"/>
      <c r="P318" s="282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  <c r="AF318" s="282"/>
      <c r="AG318" s="282"/>
      <c r="AH318" s="282"/>
      <c r="AI318" s="282"/>
      <c r="AJ318" s="282"/>
      <c r="AK318" s="282"/>
      <c r="AL318" s="282"/>
      <c r="AM318" s="282"/>
      <c r="AN318" s="282"/>
      <c r="AO318" s="282"/>
      <c r="AP318" s="282"/>
      <c r="AQ318" s="282"/>
      <c r="AR318" s="282"/>
      <c r="AS318" s="282"/>
      <c r="AT318" s="282"/>
      <c r="AU318" s="282"/>
      <c r="AV318" s="282"/>
      <c r="AW318" s="282"/>
      <c r="AX318" s="282"/>
      <c r="AY318" s="282"/>
      <c r="AZ318" s="282"/>
      <c r="BA318" s="282"/>
      <c r="BB318" s="282"/>
      <c r="BC318" s="282"/>
      <c r="BD318" s="282"/>
      <c r="BE318" s="282"/>
      <c r="BF318" s="282"/>
      <c r="BG318" s="282"/>
      <c r="BH318" s="282"/>
      <c r="BI318" s="282"/>
      <c r="BJ318" s="282"/>
      <c r="BK318" s="282"/>
      <c r="BL318" s="282"/>
      <c r="BM318" s="282"/>
      <c r="BN318" s="282"/>
      <c r="BO318" s="282"/>
      <c r="BP318" s="282"/>
      <c r="BQ318" s="282"/>
      <c r="BR318" s="282"/>
      <c r="BS318" s="282"/>
      <c r="BT318" s="282"/>
      <c r="BU318" s="282"/>
      <c r="BV318" s="282"/>
      <c r="BW318" s="282"/>
      <c r="BX318" s="282"/>
      <c r="BY318" s="282"/>
      <c r="BZ318" s="282"/>
      <c r="CA318" s="282"/>
      <c r="CB318" s="282"/>
      <c r="CC318" s="282"/>
      <c r="CD318" s="282"/>
      <c r="CE318" s="282"/>
      <c r="CF318" s="282"/>
      <c r="CG318" s="282"/>
      <c r="CH318" s="282"/>
      <c r="CI318" s="282"/>
      <c r="CJ318" s="282"/>
      <c r="CK318" s="282"/>
      <c r="CL318" s="282"/>
      <c r="CM318" s="282"/>
      <c r="CN318" s="282"/>
      <c r="CO318" s="282"/>
      <c r="CP318" s="282"/>
      <c r="CQ318" s="282"/>
      <c r="CR318" s="282"/>
      <c r="CS318" s="282"/>
      <c r="CT318" s="282"/>
      <c r="CU318" s="282"/>
      <c r="CV318" s="282"/>
    </row>
    <row r="319" spans="1:100" s="283" customFormat="1" ht="12.75" outlineLevel="2" x14ac:dyDescent="0.2">
      <c r="A319" s="556"/>
      <c r="B319" s="556"/>
      <c r="C319" s="557"/>
      <c r="D319" s="115"/>
      <c r="E319" s="450" t="str">
        <f xml:space="preserve"> InpC!E$283</f>
        <v>Senior debt margin - T2 - year 15</v>
      </c>
      <c r="F319" s="450">
        <f xml:space="preserve"> InpC!F$283</f>
        <v>3.5000000000000003E-2</v>
      </c>
      <c r="G319" s="450" t="str">
        <f xml:space="preserve"> InpC!G$283</f>
        <v>% p.a.</v>
      </c>
      <c r="H319" s="282"/>
      <c r="I319" s="112"/>
      <c r="J319" s="282"/>
      <c r="K319" s="282"/>
      <c r="L319" s="282"/>
      <c r="M319" s="282"/>
      <c r="N319" s="282"/>
      <c r="O319" s="282"/>
      <c r="P319" s="282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  <c r="AF319" s="282"/>
      <c r="AG319" s="282"/>
      <c r="AH319" s="282"/>
      <c r="AI319" s="282"/>
      <c r="AJ319" s="282"/>
      <c r="AK319" s="282"/>
      <c r="AL319" s="282"/>
      <c r="AM319" s="282"/>
      <c r="AN319" s="282"/>
      <c r="AO319" s="282"/>
      <c r="AP319" s="282"/>
      <c r="AQ319" s="282"/>
      <c r="AR319" s="282"/>
      <c r="AS319" s="282"/>
      <c r="AT319" s="282"/>
      <c r="AU319" s="282"/>
      <c r="AV319" s="282"/>
      <c r="AW319" s="282"/>
      <c r="AX319" s="282"/>
      <c r="AY319" s="282"/>
      <c r="AZ319" s="282"/>
      <c r="BA319" s="282"/>
      <c r="BB319" s="282"/>
      <c r="BC319" s="282"/>
      <c r="BD319" s="282"/>
      <c r="BE319" s="282"/>
      <c r="BF319" s="282"/>
      <c r="BG319" s="282"/>
      <c r="BH319" s="282"/>
      <c r="BI319" s="282"/>
      <c r="BJ319" s="282"/>
      <c r="BK319" s="282"/>
      <c r="BL319" s="282"/>
      <c r="BM319" s="282"/>
      <c r="BN319" s="282"/>
      <c r="BO319" s="282"/>
      <c r="BP319" s="282"/>
      <c r="BQ319" s="282"/>
      <c r="BR319" s="282"/>
      <c r="BS319" s="282"/>
      <c r="BT319" s="282"/>
      <c r="BU319" s="282"/>
      <c r="BV319" s="282"/>
      <c r="BW319" s="282"/>
      <c r="BX319" s="282"/>
      <c r="BY319" s="282"/>
      <c r="BZ319" s="282"/>
      <c r="CA319" s="282"/>
      <c r="CB319" s="282"/>
      <c r="CC319" s="282"/>
      <c r="CD319" s="282"/>
      <c r="CE319" s="282"/>
      <c r="CF319" s="282"/>
      <c r="CG319" s="282"/>
      <c r="CH319" s="282"/>
      <c r="CI319" s="282"/>
      <c r="CJ319" s="282"/>
      <c r="CK319" s="282"/>
      <c r="CL319" s="282"/>
      <c r="CM319" s="282"/>
      <c r="CN319" s="282"/>
      <c r="CO319" s="282"/>
      <c r="CP319" s="282"/>
      <c r="CQ319" s="282"/>
      <c r="CR319" s="282"/>
      <c r="CS319" s="282"/>
      <c r="CT319" s="282"/>
      <c r="CU319" s="282"/>
      <c r="CV319" s="282"/>
    </row>
    <row r="320" spans="1:100" s="283" customFormat="1" ht="12.75" outlineLevel="2" x14ac:dyDescent="0.2">
      <c r="A320" s="556"/>
      <c r="B320" s="556"/>
      <c r="C320" s="557"/>
      <c r="D320" s="115"/>
      <c r="E320" s="450" t="str">
        <f xml:space="preserve"> InpC!E$284</f>
        <v>Senior debt margin - T2 - year 16</v>
      </c>
      <c r="F320" s="450">
        <f xml:space="preserve"> InpC!F$284</f>
        <v>3.5000000000000003E-2</v>
      </c>
      <c r="G320" s="450" t="str">
        <f xml:space="preserve"> InpC!G$284</f>
        <v>% p.a.</v>
      </c>
      <c r="H320" s="282"/>
      <c r="I320" s="112"/>
      <c r="J320" s="282"/>
      <c r="K320" s="282"/>
      <c r="L320" s="282"/>
      <c r="M320" s="282"/>
      <c r="N320" s="282"/>
      <c r="O320" s="282"/>
      <c r="P320" s="282"/>
      <c r="Q320" s="282"/>
      <c r="R320" s="282"/>
      <c r="S320" s="282"/>
      <c r="T320" s="282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  <c r="AF320" s="282"/>
      <c r="AG320" s="282"/>
      <c r="AH320" s="282"/>
      <c r="AI320" s="282"/>
      <c r="AJ320" s="282"/>
      <c r="AK320" s="282"/>
      <c r="AL320" s="282"/>
      <c r="AM320" s="282"/>
      <c r="AN320" s="282"/>
      <c r="AO320" s="282"/>
      <c r="AP320" s="282"/>
      <c r="AQ320" s="282"/>
      <c r="AR320" s="282"/>
      <c r="AS320" s="282"/>
      <c r="AT320" s="282"/>
      <c r="AU320" s="282"/>
      <c r="AV320" s="282"/>
      <c r="AW320" s="282"/>
      <c r="AX320" s="282"/>
      <c r="AY320" s="282"/>
      <c r="AZ320" s="282"/>
      <c r="BA320" s="282"/>
      <c r="BB320" s="282"/>
      <c r="BC320" s="282"/>
      <c r="BD320" s="282"/>
      <c r="BE320" s="282"/>
      <c r="BF320" s="282"/>
      <c r="BG320" s="282"/>
      <c r="BH320" s="282"/>
      <c r="BI320" s="282"/>
      <c r="BJ320" s="282"/>
      <c r="BK320" s="282"/>
      <c r="BL320" s="282"/>
      <c r="BM320" s="282"/>
      <c r="BN320" s="282"/>
      <c r="BO320" s="282"/>
      <c r="BP320" s="282"/>
      <c r="BQ320" s="282"/>
      <c r="BR320" s="282"/>
      <c r="BS320" s="282"/>
      <c r="BT320" s="282"/>
      <c r="BU320" s="282"/>
      <c r="BV320" s="282"/>
      <c r="BW320" s="282"/>
      <c r="BX320" s="282"/>
      <c r="BY320" s="282"/>
      <c r="BZ320" s="282"/>
      <c r="CA320" s="282"/>
      <c r="CB320" s="282"/>
      <c r="CC320" s="282"/>
      <c r="CD320" s="282"/>
      <c r="CE320" s="282"/>
      <c r="CF320" s="282"/>
      <c r="CG320" s="282"/>
      <c r="CH320" s="282"/>
      <c r="CI320" s="282"/>
      <c r="CJ320" s="282"/>
      <c r="CK320" s="282"/>
      <c r="CL320" s="282"/>
      <c r="CM320" s="282"/>
      <c r="CN320" s="282"/>
      <c r="CO320" s="282"/>
      <c r="CP320" s="282"/>
      <c r="CQ320" s="282"/>
      <c r="CR320" s="282"/>
      <c r="CS320" s="282"/>
      <c r="CT320" s="282"/>
      <c r="CU320" s="282"/>
      <c r="CV320" s="282"/>
    </row>
    <row r="321" spans="1:100" s="283" customFormat="1" ht="12.75" outlineLevel="2" x14ac:dyDescent="0.2">
      <c r="A321" s="556"/>
      <c r="B321" s="556"/>
      <c r="C321" s="557"/>
      <c r="D321" s="115"/>
      <c r="E321" s="450" t="str">
        <f xml:space="preserve"> InpC!E$285</f>
        <v>Senior debt margin - T2 - year 17</v>
      </c>
      <c r="F321" s="450">
        <f xml:space="preserve"> InpC!F$285</f>
        <v>3.5000000000000003E-2</v>
      </c>
      <c r="G321" s="450" t="str">
        <f xml:space="preserve"> InpC!G$285</f>
        <v>% p.a.</v>
      </c>
      <c r="H321" s="282"/>
      <c r="I321" s="112"/>
      <c r="J321" s="282"/>
      <c r="K321" s="282"/>
      <c r="L321" s="282"/>
      <c r="M321" s="282"/>
      <c r="N321" s="282"/>
      <c r="O321" s="282"/>
      <c r="P321" s="282"/>
      <c r="Q321" s="282"/>
      <c r="R321" s="282"/>
      <c r="S321" s="282"/>
      <c r="T321" s="282"/>
      <c r="U321" s="282"/>
      <c r="V321" s="282"/>
      <c r="W321" s="282"/>
      <c r="X321" s="282"/>
      <c r="Y321" s="282"/>
      <c r="Z321" s="282"/>
      <c r="AA321" s="282"/>
      <c r="AB321" s="282"/>
      <c r="AC321" s="282"/>
      <c r="AD321" s="282"/>
      <c r="AE321" s="282"/>
      <c r="AF321" s="282"/>
      <c r="AG321" s="282"/>
      <c r="AH321" s="282"/>
      <c r="AI321" s="282"/>
      <c r="AJ321" s="282"/>
      <c r="AK321" s="282"/>
      <c r="AL321" s="282"/>
      <c r="AM321" s="282"/>
      <c r="AN321" s="282"/>
      <c r="AO321" s="282"/>
      <c r="AP321" s="282"/>
      <c r="AQ321" s="282"/>
      <c r="AR321" s="282"/>
      <c r="AS321" s="282"/>
      <c r="AT321" s="282"/>
      <c r="AU321" s="282"/>
      <c r="AV321" s="282"/>
      <c r="AW321" s="282"/>
      <c r="AX321" s="282"/>
      <c r="AY321" s="282"/>
      <c r="AZ321" s="282"/>
      <c r="BA321" s="282"/>
      <c r="BB321" s="282"/>
      <c r="BC321" s="282"/>
      <c r="BD321" s="282"/>
      <c r="BE321" s="282"/>
      <c r="BF321" s="282"/>
      <c r="BG321" s="282"/>
      <c r="BH321" s="282"/>
      <c r="BI321" s="282"/>
      <c r="BJ321" s="282"/>
      <c r="BK321" s="282"/>
      <c r="BL321" s="282"/>
      <c r="BM321" s="282"/>
      <c r="BN321" s="282"/>
      <c r="BO321" s="282"/>
      <c r="BP321" s="282"/>
      <c r="BQ321" s="282"/>
      <c r="BR321" s="282"/>
      <c r="BS321" s="282"/>
      <c r="BT321" s="282"/>
      <c r="BU321" s="282"/>
      <c r="BV321" s="282"/>
      <c r="BW321" s="282"/>
      <c r="BX321" s="282"/>
      <c r="BY321" s="282"/>
      <c r="BZ321" s="282"/>
      <c r="CA321" s="282"/>
      <c r="CB321" s="282"/>
      <c r="CC321" s="282"/>
      <c r="CD321" s="282"/>
      <c r="CE321" s="282"/>
      <c r="CF321" s="282"/>
      <c r="CG321" s="282"/>
      <c r="CH321" s="282"/>
      <c r="CI321" s="282"/>
      <c r="CJ321" s="282"/>
      <c r="CK321" s="282"/>
      <c r="CL321" s="282"/>
      <c r="CM321" s="282"/>
      <c r="CN321" s="282"/>
      <c r="CO321" s="282"/>
      <c r="CP321" s="282"/>
      <c r="CQ321" s="282"/>
      <c r="CR321" s="282"/>
      <c r="CS321" s="282"/>
      <c r="CT321" s="282"/>
      <c r="CU321" s="282"/>
      <c r="CV321" s="282"/>
    </row>
    <row r="322" spans="1:100" s="283" customFormat="1" ht="12.75" outlineLevel="2" x14ac:dyDescent="0.2">
      <c r="A322" s="556"/>
      <c r="B322" s="556"/>
      <c r="C322" s="557"/>
      <c r="D322" s="115"/>
      <c r="E322" s="450" t="str">
        <f xml:space="preserve"> InpC!E$286</f>
        <v>Senior debt margin - T2 - year 18</v>
      </c>
      <c r="F322" s="450">
        <f xml:space="preserve"> InpC!F$286</f>
        <v>3.5000000000000003E-2</v>
      </c>
      <c r="G322" s="450" t="str">
        <f xml:space="preserve"> InpC!G$286</f>
        <v>% p.a.</v>
      </c>
      <c r="H322" s="282"/>
      <c r="I322" s="112"/>
      <c r="J322" s="282"/>
      <c r="K322" s="282"/>
      <c r="L322" s="282"/>
      <c r="M322" s="282"/>
      <c r="N322" s="282"/>
      <c r="O322" s="282"/>
      <c r="P322" s="282"/>
      <c r="Q322" s="282"/>
      <c r="R322" s="282"/>
      <c r="S322" s="282"/>
      <c r="T322" s="282"/>
      <c r="U322" s="282"/>
      <c r="V322" s="282"/>
      <c r="W322" s="282"/>
      <c r="X322" s="282"/>
      <c r="Y322" s="282"/>
      <c r="Z322" s="282"/>
      <c r="AA322" s="282"/>
      <c r="AB322" s="282"/>
      <c r="AC322" s="282"/>
      <c r="AD322" s="282"/>
      <c r="AE322" s="282"/>
      <c r="AF322" s="282"/>
      <c r="AG322" s="282"/>
      <c r="AH322" s="282"/>
      <c r="AI322" s="282"/>
      <c r="AJ322" s="282"/>
      <c r="AK322" s="282"/>
      <c r="AL322" s="282"/>
      <c r="AM322" s="282"/>
      <c r="AN322" s="282"/>
      <c r="AO322" s="282"/>
      <c r="AP322" s="282"/>
      <c r="AQ322" s="282"/>
      <c r="AR322" s="282"/>
      <c r="AS322" s="282"/>
      <c r="AT322" s="282"/>
      <c r="AU322" s="282"/>
      <c r="AV322" s="282"/>
      <c r="AW322" s="282"/>
      <c r="AX322" s="282"/>
      <c r="AY322" s="282"/>
      <c r="AZ322" s="282"/>
      <c r="BA322" s="282"/>
      <c r="BB322" s="282"/>
      <c r="BC322" s="282"/>
      <c r="BD322" s="282"/>
      <c r="BE322" s="282"/>
      <c r="BF322" s="282"/>
      <c r="BG322" s="282"/>
      <c r="BH322" s="282"/>
      <c r="BI322" s="282"/>
      <c r="BJ322" s="282"/>
      <c r="BK322" s="282"/>
      <c r="BL322" s="282"/>
      <c r="BM322" s="282"/>
      <c r="BN322" s="282"/>
      <c r="BO322" s="282"/>
      <c r="BP322" s="282"/>
      <c r="BQ322" s="282"/>
      <c r="BR322" s="282"/>
      <c r="BS322" s="282"/>
      <c r="BT322" s="282"/>
      <c r="BU322" s="282"/>
      <c r="BV322" s="282"/>
      <c r="BW322" s="282"/>
      <c r="BX322" s="282"/>
      <c r="BY322" s="282"/>
      <c r="BZ322" s="282"/>
      <c r="CA322" s="282"/>
      <c r="CB322" s="282"/>
      <c r="CC322" s="282"/>
      <c r="CD322" s="282"/>
      <c r="CE322" s="282"/>
      <c r="CF322" s="282"/>
      <c r="CG322" s="282"/>
      <c r="CH322" s="282"/>
      <c r="CI322" s="282"/>
      <c r="CJ322" s="282"/>
      <c r="CK322" s="282"/>
      <c r="CL322" s="282"/>
      <c r="CM322" s="282"/>
      <c r="CN322" s="282"/>
      <c r="CO322" s="282"/>
      <c r="CP322" s="282"/>
      <c r="CQ322" s="282"/>
      <c r="CR322" s="282"/>
      <c r="CS322" s="282"/>
      <c r="CT322" s="282"/>
      <c r="CU322" s="282"/>
      <c r="CV322" s="282"/>
    </row>
    <row r="323" spans="1:100" s="283" customFormat="1" ht="12.75" outlineLevel="2" x14ac:dyDescent="0.2">
      <c r="A323" s="556"/>
      <c r="B323" s="556"/>
      <c r="C323" s="557"/>
      <c r="D323" s="115"/>
      <c r="E323" s="450" t="str">
        <f xml:space="preserve"> InpC!E$287</f>
        <v>Senior debt margin - T2 - year 19</v>
      </c>
      <c r="F323" s="450">
        <f xml:space="preserve"> InpC!F$287</f>
        <v>3.5000000000000003E-2</v>
      </c>
      <c r="G323" s="450" t="str">
        <f xml:space="preserve"> InpC!G$287</f>
        <v>% p.a.</v>
      </c>
      <c r="H323" s="282"/>
      <c r="I323" s="112"/>
      <c r="J323" s="282"/>
      <c r="K323" s="282"/>
      <c r="L323" s="282"/>
      <c r="M323" s="282"/>
      <c r="N323" s="282"/>
      <c r="O323" s="282"/>
      <c r="P323" s="282"/>
      <c r="Q323" s="282"/>
      <c r="R323" s="282"/>
      <c r="S323" s="282"/>
      <c r="T323" s="282"/>
      <c r="U323" s="282"/>
      <c r="V323" s="282"/>
      <c r="W323" s="282"/>
      <c r="X323" s="282"/>
      <c r="Y323" s="282"/>
      <c r="Z323" s="282"/>
      <c r="AA323" s="282"/>
      <c r="AB323" s="282"/>
      <c r="AC323" s="282"/>
      <c r="AD323" s="282"/>
      <c r="AE323" s="282"/>
      <c r="AF323" s="282"/>
      <c r="AG323" s="282"/>
      <c r="AH323" s="282"/>
      <c r="AI323" s="282"/>
      <c r="AJ323" s="282"/>
      <c r="AK323" s="282"/>
      <c r="AL323" s="282"/>
      <c r="AM323" s="282"/>
      <c r="AN323" s="282"/>
      <c r="AO323" s="282"/>
      <c r="AP323" s="282"/>
      <c r="AQ323" s="282"/>
      <c r="AR323" s="282"/>
      <c r="AS323" s="282"/>
      <c r="AT323" s="282"/>
      <c r="AU323" s="282"/>
      <c r="AV323" s="282"/>
      <c r="AW323" s="282"/>
      <c r="AX323" s="282"/>
      <c r="AY323" s="282"/>
      <c r="AZ323" s="282"/>
      <c r="BA323" s="282"/>
      <c r="BB323" s="282"/>
      <c r="BC323" s="282"/>
      <c r="BD323" s="282"/>
      <c r="BE323" s="282"/>
      <c r="BF323" s="282"/>
      <c r="BG323" s="282"/>
      <c r="BH323" s="282"/>
      <c r="BI323" s="282"/>
      <c r="BJ323" s="282"/>
      <c r="BK323" s="282"/>
      <c r="BL323" s="282"/>
      <c r="BM323" s="282"/>
      <c r="BN323" s="282"/>
      <c r="BO323" s="282"/>
      <c r="BP323" s="282"/>
      <c r="BQ323" s="282"/>
      <c r="BR323" s="282"/>
      <c r="BS323" s="282"/>
      <c r="BT323" s="282"/>
      <c r="BU323" s="282"/>
      <c r="BV323" s="282"/>
      <c r="BW323" s="282"/>
      <c r="BX323" s="282"/>
      <c r="BY323" s="282"/>
      <c r="BZ323" s="282"/>
      <c r="CA323" s="282"/>
      <c r="CB323" s="282"/>
      <c r="CC323" s="282"/>
      <c r="CD323" s="282"/>
      <c r="CE323" s="282"/>
      <c r="CF323" s="282"/>
      <c r="CG323" s="282"/>
      <c r="CH323" s="282"/>
      <c r="CI323" s="282"/>
      <c r="CJ323" s="282"/>
      <c r="CK323" s="282"/>
      <c r="CL323" s="282"/>
      <c r="CM323" s="282"/>
      <c r="CN323" s="282"/>
      <c r="CO323" s="282"/>
      <c r="CP323" s="282"/>
      <c r="CQ323" s="282"/>
      <c r="CR323" s="282"/>
      <c r="CS323" s="282"/>
      <c r="CT323" s="282"/>
      <c r="CU323" s="282"/>
      <c r="CV323" s="282"/>
    </row>
    <row r="324" spans="1:100" s="283" customFormat="1" ht="12.75" outlineLevel="2" x14ac:dyDescent="0.2">
      <c r="A324" s="556"/>
      <c r="B324" s="556"/>
      <c r="C324" s="557"/>
      <c r="D324" s="115"/>
      <c r="E324" s="450" t="str">
        <f xml:space="preserve"> InpC!E$288</f>
        <v>Senior debt margin - T2 - year 20</v>
      </c>
      <c r="F324" s="450">
        <f xml:space="preserve"> InpC!F$288</f>
        <v>3.5000000000000003E-2</v>
      </c>
      <c r="G324" s="450" t="str">
        <f xml:space="preserve"> InpC!G$288</f>
        <v>% p.a.</v>
      </c>
      <c r="H324" s="282"/>
      <c r="I324" s="112"/>
      <c r="J324" s="282"/>
      <c r="K324" s="282"/>
      <c r="L324" s="282"/>
      <c r="M324" s="282"/>
      <c r="N324" s="282"/>
      <c r="O324" s="282"/>
      <c r="P324" s="282"/>
      <c r="Q324" s="282"/>
      <c r="R324" s="282"/>
      <c r="S324" s="282"/>
      <c r="T324" s="282"/>
      <c r="U324" s="282"/>
      <c r="V324" s="282"/>
      <c r="W324" s="282"/>
      <c r="X324" s="282"/>
      <c r="Y324" s="282"/>
      <c r="Z324" s="282"/>
      <c r="AA324" s="282"/>
      <c r="AB324" s="282"/>
      <c r="AC324" s="282"/>
      <c r="AD324" s="282"/>
      <c r="AE324" s="282"/>
      <c r="AF324" s="282"/>
      <c r="AG324" s="282"/>
      <c r="AH324" s="282"/>
      <c r="AI324" s="282"/>
      <c r="AJ324" s="282"/>
      <c r="AK324" s="282"/>
      <c r="AL324" s="282"/>
      <c r="AM324" s="282"/>
      <c r="AN324" s="282"/>
      <c r="AO324" s="282"/>
      <c r="AP324" s="282"/>
      <c r="AQ324" s="282"/>
      <c r="AR324" s="282"/>
      <c r="AS324" s="282"/>
      <c r="AT324" s="282"/>
      <c r="AU324" s="282"/>
      <c r="AV324" s="282"/>
      <c r="AW324" s="282"/>
      <c r="AX324" s="282"/>
      <c r="AY324" s="282"/>
      <c r="AZ324" s="282"/>
      <c r="BA324" s="282"/>
      <c r="BB324" s="282"/>
      <c r="BC324" s="282"/>
      <c r="BD324" s="282"/>
      <c r="BE324" s="282"/>
      <c r="BF324" s="282"/>
      <c r="BG324" s="282"/>
      <c r="BH324" s="282"/>
      <c r="BI324" s="282"/>
      <c r="BJ324" s="282"/>
      <c r="BK324" s="282"/>
      <c r="BL324" s="282"/>
      <c r="BM324" s="282"/>
      <c r="BN324" s="282"/>
      <c r="BO324" s="282"/>
      <c r="BP324" s="282"/>
      <c r="BQ324" s="282"/>
      <c r="BR324" s="282"/>
      <c r="BS324" s="282"/>
      <c r="BT324" s="282"/>
      <c r="BU324" s="282"/>
      <c r="BV324" s="282"/>
      <c r="BW324" s="282"/>
      <c r="BX324" s="282"/>
      <c r="BY324" s="282"/>
      <c r="BZ324" s="282"/>
      <c r="CA324" s="282"/>
      <c r="CB324" s="282"/>
      <c r="CC324" s="282"/>
      <c r="CD324" s="282"/>
      <c r="CE324" s="282"/>
      <c r="CF324" s="282"/>
      <c r="CG324" s="282"/>
      <c r="CH324" s="282"/>
      <c r="CI324" s="282"/>
      <c r="CJ324" s="282"/>
      <c r="CK324" s="282"/>
      <c r="CL324" s="282"/>
      <c r="CM324" s="282"/>
      <c r="CN324" s="282"/>
      <c r="CO324" s="282"/>
      <c r="CP324" s="282"/>
      <c r="CQ324" s="282"/>
      <c r="CR324" s="282"/>
      <c r="CS324" s="282"/>
      <c r="CT324" s="282"/>
      <c r="CU324" s="282"/>
      <c r="CV324" s="282"/>
    </row>
    <row r="325" spans="1:100" s="283" customFormat="1" ht="12.75" outlineLevel="2" x14ac:dyDescent="0.2">
      <c r="A325" s="556"/>
      <c r="B325" s="556"/>
      <c r="C325" s="557"/>
      <c r="D325" s="115"/>
      <c r="E325" s="450" t="str">
        <f xml:space="preserve"> InpC!E$289</f>
        <v>Senior debt margin - T2 - year 21</v>
      </c>
      <c r="F325" s="450">
        <f xml:space="preserve"> InpC!F$289</f>
        <v>3.5000000000000003E-2</v>
      </c>
      <c r="G325" s="450" t="str">
        <f xml:space="preserve"> InpC!G$289</f>
        <v>% p.a.</v>
      </c>
      <c r="H325" s="282"/>
      <c r="I325" s="112"/>
      <c r="J325" s="282"/>
      <c r="K325" s="282"/>
      <c r="L325" s="282"/>
      <c r="M325" s="282"/>
      <c r="N325" s="282"/>
      <c r="O325" s="282"/>
      <c r="P325" s="282"/>
      <c r="Q325" s="282"/>
      <c r="R325" s="282"/>
      <c r="S325" s="282"/>
      <c r="T325" s="282"/>
      <c r="U325" s="282"/>
      <c r="V325" s="282"/>
      <c r="W325" s="282"/>
      <c r="X325" s="282"/>
      <c r="Y325" s="282"/>
      <c r="Z325" s="282"/>
      <c r="AA325" s="282"/>
      <c r="AB325" s="282"/>
      <c r="AC325" s="282"/>
      <c r="AD325" s="282"/>
      <c r="AE325" s="282"/>
      <c r="AF325" s="282"/>
      <c r="AG325" s="282"/>
      <c r="AH325" s="282"/>
      <c r="AI325" s="282"/>
      <c r="AJ325" s="282"/>
      <c r="AK325" s="282"/>
      <c r="AL325" s="282"/>
      <c r="AM325" s="282"/>
      <c r="AN325" s="282"/>
      <c r="AO325" s="282"/>
      <c r="AP325" s="282"/>
      <c r="AQ325" s="282"/>
      <c r="AR325" s="282"/>
      <c r="AS325" s="282"/>
      <c r="AT325" s="282"/>
      <c r="AU325" s="282"/>
      <c r="AV325" s="282"/>
      <c r="AW325" s="282"/>
      <c r="AX325" s="282"/>
      <c r="AY325" s="282"/>
      <c r="AZ325" s="282"/>
      <c r="BA325" s="282"/>
      <c r="BB325" s="282"/>
      <c r="BC325" s="282"/>
      <c r="BD325" s="282"/>
      <c r="BE325" s="282"/>
      <c r="BF325" s="282"/>
      <c r="BG325" s="282"/>
      <c r="BH325" s="282"/>
      <c r="BI325" s="282"/>
      <c r="BJ325" s="282"/>
      <c r="BK325" s="282"/>
      <c r="BL325" s="282"/>
      <c r="BM325" s="282"/>
      <c r="BN325" s="282"/>
      <c r="BO325" s="282"/>
      <c r="BP325" s="282"/>
      <c r="BQ325" s="282"/>
      <c r="BR325" s="282"/>
      <c r="BS325" s="282"/>
      <c r="BT325" s="282"/>
      <c r="BU325" s="282"/>
      <c r="BV325" s="282"/>
      <c r="BW325" s="282"/>
      <c r="BX325" s="282"/>
      <c r="BY325" s="282"/>
      <c r="BZ325" s="282"/>
      <c r="CA325" s="282"/>
      <c r="CB325" s="282"/>
      <c r="CC325" s="282"/>
      <c r="CD325" s="282"/>
      <c r="CE325" s="282"/>
      <c r="CF325" s="282"/>
      <c r="CG325" s="282"/>
      <c r="CH325" s="282"/>
      <c r="CI325" s="282"/>
      <c r="CJ325" s="282"/>
      <c r="CK325" s="282"/>
      <c r="CL325" s="282"/>
      <c r="CM325" s="282"/>
      <c r="CN325" s="282"/>
      <c r="CO325" s="282"/>
      <c r="CP325" s="282"/>
      <c r="CQ325" s="282"/>
      <c r="CR325" s="282"/>
      <c r="CS325" s="282"/>
      <c r="CT325" s="282"/>
      <c r="CU325" s="282"/>
      <c r="CV325" s="282"/>
    </row>
    <row r="326" spans="1:100" s="283" customFormat="1" ht="12.75" outlineLevel="2" x14ac:dyDescent="0.2">
      <c r="A326" s="556"/>
      <c r="B326" s="556"/>
      <c r="C326" s="557"/>
      <c r="D326" s="115"/>
      <c r="E326" s="450" t="str">
        <f xml:space="preserve"> InpC!E$290</f>
        <v>Senior debt margin - T2 - year 22</v>
      </c>
      <c r="F326" s="450">
        <f xml:space="preserve"> InpC!F$290</f>
        <v>3.5000000000000003E-2</v>
      </c>
      <c r="G326" s="450" t="str">
        <f xml:space="preserve"> InpC!G$290</f>
        <v>% p.a.</v>
      </c>
      <c r="H326" s="282"/>
      <c r="I326" s="112"/>
      <c r="J326" s="282"/>
      <c r="K326" s="282"/>
      <c r="L326" s="282"/>
      <c r="M326" s="282"/>
      <c r="N326" s="282"/>
      <c r="O326" s="282"/>
      <c r="P326" s="282"/>
      <c r="Q326" s="282"/>
      <c r="R326" s="282"/>
      <c r="S326" s="282"/>
      <c r="T326" s="282"/>
      <c r="U326" s="282"/>
      <c r="V326" s="282"/>
      <c r="W326" s="282"/>
      <c r="X326" s="282"/>
      <c r="Y326" s="282"/>
      <c r="Z326" s="282"/>
      <c r="AA326" s="282"/>
      <c r="AB326" s="282"/>
      <c r="AC326" s="282"/>
      <c r="AD326" s="282"/>
      <c r="AE326" s="282"/>
      <c r="AF326" s="282"/>
      <c r="AG326" s="282"/>
      <c r="AH326" s="282"/>
      <c r="AI326" s="282"/>
      <c r="AJ326" s="282"/>
      <c r="AK326" s="282"/>
      <c r="AL326" s="282"/>
      <c r="AM326" s="282"/>
      <c r="AN326" s="282"/>
      <c r="AO326" s="282"/>
      <c r="AP326" s="282"/>
      <c r="AQ326" s="282"/>
      <c r="AR326" s="282"/>
      <c r="AS326" s="282"/>
      <c r="AT326" s="282"/>
      <c r="AU326" s="282"/>
      <c r="AV326" s="282"/>
      <c r="AW326" s="282"/>
      <c r="AX326" s="282"/>
      <c r="AY326" s="282"/>
      <c r="AZ326" s="282"/>
      <c r="BA326" s="282"/>
      <c r="BB326" s="282"/>
      <c r="BC326" s="282"/>
      <c r="BD326" s="282"/>
      <c r="BE326" s="282"/>
      <c r="BF326" s="282"/>
      <c r="BG326" s="282"/>
      <c r="BH326" s="282"/>
      <c r="BI326" s="282"/>
      <c r="BJ326" s="282"/>
      <c r="BK326" s="282"/>
      <c r="BL326" s="282"/>
      <c r="BM326" s="282"/>
      <c r="BN326" s="282"/>
      <c r="BO326" s="282"/>
      <c r="BP326" s="282"/>
      <c r="BQ326" s="282"/>
      <c r="BR326" s="282"/>
      <c r="BS326" s="282"/>
      <c r="BT326" s="282"/>
      <c r="BU326" s="282"/>
      <c r="BV326" s="282"/>
      <c r="BW326" s="282"/>
      <c r="BX326" s="282"/>
      <c r="BY326" s="282"/>
      <c r="BZ326" s="282"/>
      <c r="CA326" s="282"/>
      <c r="CB326" s="282"/>
      <c r="CC326" s="282"/>
      <c r="CD326" s="282"/>
      <c r="CE326" s="282"/>
      <c r="CF326" s="282"/>
      <c r="CG326" s="282"/>
      <c r="CH326" s="282"/>
      <c r="CI326" s="282"/>
      <c r="CJ326" s="282"/>
      <c r="CK326" s="282"/>
      <c r="CL326" s="282"/>
      <c r="CM326" s="282"/>
      <c r="CN326" s="282"/>
      <c r="CO326" s="282"/>
      <c r="CP326" s="282"/>
      <c r="CQ326" s="282"/>
      <c r="CR326" s="282"/>
      <c r="CS326" s="282"/>
      <c r="CT326" s="282"/>
      <c r="CU326" s="282"/>
      <c r="CV326" s="282"/>
    </row>
    <row r="327" spans="1:100" s="283" customFormat="1" ht="12.75" outlineLevel="2" x14ac:dyDescent="0.2">
      <c r="A327" s="556"/>
      <c r="B327" s="556"/>
      <c r="C327" s="557"/>
      <c r="D327" s="115"/>
      <c r="E327" s="450" t="str">
        <f xml:space="preserve"> InpC!E$291</f>
        <v>Senior debt margin - T2 - year 23</v>
      </c>
      <c r="F327" s="450">
        <f xml:space="preserve"> InpC!F$291</f>
        <v>3.5000000000000003E-2</v>
      </c>
      <c r="G327" s="450" t="str">
        <f xml:space="preserve"> InpC!G$291</f>
        <v>% p.a.</v>
      </c>
      <c r="H327" s="282"/>
      <c r="I327" s="112"/>
      <c r="J327" s="282"/>
      <c r="K327" s="282"/>
      <c r="L327" s="282"/>
      <c r="M327" s="282"/>
      <c r="N327" s="282"/>
      <c r="O327" s="282"/>
      <c r="P327" s="282"/>
      <c r="Q327" s="282"/>
      <c r="R327" s="282"/>
      <c r="S327" s="282"/>
      <c r="T327" s="282"/>
      <c r="U327" s="282"/>
      <c r="V327" s="282"/>
      <c r="W327" s="282"/>
      <c r="X327" s="282"/>
      <c r="Y327" s="282"/>
      <c r="Z327" s="282"/>
      <c r="AA327" s="282"/>
      <c r="AB327" s="282"/>
      <c r="AC327" s="282"/>
      <c r="AD327" s="282"/>
      <c r="AE327" s="282"/>
      <c r="AF327" s="282"/>
      <c r="AG327" s="282"/>
      <c r="AH327" s="282"/>
      <c r="AI327" s="282"/>
      <c r="AJ327" s="282"/>
      <c r="AK327" s="282"/>
      <c r="AL327" s="282"/>
      <c r="AM327" s="282"/>
      <c r="AN327" s="282"/>
      <c r="AO327" s="282"/>
      <c r="AP327" s="282"/>
      <c r="AQ327" s="282"/>
      <c r="AR327" s="282"/>
      <c r="AS327" s="282"/>
      <c r="AT327" s="282"/>
      <c r="AU327" s="282"/>
      <c r="AV327" s="282"/>
      <c r="AW327" s="282"/>
      <c r="AX327" s="282"/>
      <c r="AY327" s="282"/>
      <c r="AZ327" s="282"/>
      <c r="BA327" s="282"/>
      <c r="BB327" s="282"/>
      <c r="BC327" s="282"/>
      <c r="BD327" s="282"/>
      <c r="BE327" s="282"/>
      <c r="BF327" s="282"/>
      <c r="BG327" s="282"/>
      <c r="BH327" s="282"/>
      <c r="BI327" s="282"/>
      <c r="BJ327" s="282"/>
      <c r="BK327" s="282"/>
      <c r="BL327" s="282"/>
      <c r="BM327" s="282"/>
      <c r="BN327" s="282"/>
      <c r="BO327" s="282"/>
      <c r="BP327" s="282"/>
      <c r="BQ327" s="282"/>
      <c r="BR327" s="282"/>
      <c r="BS327" s="282"/>
      <c r="BT327" s="282"/>
      <c r="BU327" s="282"/>
      <c r="BV327" s="282"/>
      <c r="BW327" s="282"/>
      <c r="BX327" s="282"/>
      <c r="BY327" s="282"/>
      <c r="BZ327" s="282"/>
      <c r="CA327" s="282"/>
      <c r="CB327" s="282"/>
      <c r="CC327" s="282"/>
      <c r="CD327" s="282"/>
      <c r="CE327" s="282"/>
      <c r="CF327" s="282"/>
      <c r="CG327" s="282"/>
      <c r="CH327" s="282"/>
      <c r="CI327" s="282"/>
      <c r="CJ327" s="282"/>
      <c r="CK327" s="282"/>
      <c r="CL327" s="282"/>
      <c r="CM327" s="282"/>
      <c r="CN327" s="282"/>
      <c r="CO327" s="282"/>
      <c r="CP327" s="282"/>
      <c r="CQ327" s="282"/>
      <c r="CR327" s="282"/>
      <c r="CS327" s="282"/>
      <c r="CT327" s="282"/>
      <c r="CU327" s="282"/>
      <c r="CV327" s="282"/>
    </row>
    <row r="328" spans="1:100" s="283" customFormat="1" ht="12.75" outlineLevel="2" x14ac:dyDescent="0.2">
      <c r="A328" s="556"/>
      <c r="B328" s="556"/>
      <c r="C328" s="557"/>
      <c r="D328" s="115"/>
      <c r="E328" s="450" t="str">
        <f xml:space="preserve"> InpC!E$292</f>
        <v>Senior debt margin - T2 - year 24</v>
      </c>
      <c r="F328" s="450">
        <f xml:space="preserve"> InpC!F$292</f>
        <v>3.5000000000000003E-2</v>
      </c>
      <c r="G328" s="450" t="str">
        <f xml:space="preserve"> InpC!G$292</f>
        <v>% p.a.</v>
      </c>
      <c r="H328" s="282"/>
      <c r="I328" s="112"/>
      <c r="J328" s="282"/>
      <c r="K328" s="282"/>
      <c r="L328" s="282"/>
      <c r="M328" s="282"/>
      <c r="N328" s="282"/>
      <c r="O328" s="282"/>
      <c r="P328" s="282"/>
      <c r="Q328" s="282"/>
      <c r="R328" s="282"/>
      <c r="S328" s="282"/>
      <c r="T328" s="282"/>
      <c r="U328" s="282"/>
      <c r="V328" s="282"/>
      <c r="W328" s="282"/>
      <c r="X328" s="282"/>
      <c r="Y328" s="282"/>
      <c r="Z328" s="282"/>
      <c r="AA328" s="282"/>
      <c r="AB328" s="282"/>
      <c r="AC328" s="282"/>
      <c r="AD328" s="282"/>
      <c r="AE328" s="282"/>
      <c r="AF328" s="282"/>
      <c r="AG328" s="282"/>
      <c r="AH328" s="282"/>
      <c r="AI328" s="282"/>
      <c r="AJ328" s="282"/>
      <c r="AK328" s="282"/>
      <c r="AL328" s="282"/>
      <c r="AM328" s="282"/>
      <c r="AN328" s="282"/>
      <c r="AO328" s="282"/>
      <c r="AP328" s="282"/>
      <c r="AQ328" s="282"/>
      <c r="AR328" s="282"/>
      <c r="AS328" s="282"/>
      <c r="AT328" s="282"/>
      <c r="AU328" s="282"/>
      <c r="AV328" s="282"/>
      <c r="AW328" s="282"/>
      <c r="AX328" s="282"/>
      <c r="AY328" s="282"/>
      <c r="AZ328" s="282"/>
      <c r="BA328" s="282"/>
      <c r="BB328" s="282"/>
      <c r="BC328" s="282"/>
      <c r="BD328" s="282"/>
      <c r="BE328" s="282"/>
      <c r="BF328" s="282"/>
      <c r="BG328" s="282"/>
      <c r="BH328" s="282"/>
      <c r="BI328" s="282"/>
      <c r="BJ328" s="282"/>
      <c r="BK328" s="282"/>
      <c r="BL328" s="282"/>
      <c r="BM328" s="282"/>
      <c r="BN328" s="282"/>
      <c r="BO328" s="282"/>
      <c r="BP328" s="282"/>
      <c r="BQ328" s="282"/>
      <c r="BR328" s="282"/>
      <c r="BS328" s="282"/>
      <c r="BT328" s="282"/>
      <c r="BU328" s="282"/>
      <c r="BV328" s="282"/>
      <c r="BW328" s="282"/>
      <c r="BX328" s="282"/>
      <c r="BY328" s="282"/>
      <c r="BZ328" s="282"/>
      <c r="CA328" s="282"/>
      <c r="CB328" s="282"/>
      <c r="CC328" s="282"/>
      <c r="CD328" s="282"/>
      <c r="CE328" s="282"/>
      <c r="CF328" s="282"/>
      <c r="CG328" s="282"/>
      <c r="CH328" s="282"/>
      <c r="CI328" s="282"/>
      <c r="CJ328" s="282"/>
      <c r="CK328" s="282"/>
      <c r="CL328" s="282"/>
      <c r="CM328" s="282"/>
      <c r="CN328" s="282"/>
      <c r="CO328" s="282"/>
      <c r="CP328" s="282"/>
      <c r="CQ328" s="282"/>
      <c r="CR328" s="282"/>
      <c r="CS328" s="282"/>
      <c r="CT328" s="282"/>
      <c r="CU328" s="282"/>
      <c r="CV328" s="282"/>
    </row>
    <row r="329" spans="1:100" s="283" customFormat="1" ht="12.75" outlineLevel="2" x14ac:dyDescent="0.2">
      <c r="A329" s="556"/>
      <c r="B329" s="556"/>
      <c r="C329" s="557"/>
      <c r="D329" s="115"/>
      <c r="E329" s="450" t="str">
        <f xml:space="preserve"> InpC!E$293</f>
        <v>Senior debt margin - T2 - year 25</v>
      </c>
      <c r="F329" s="450">
        <f xml:space="preserve"> InpC!F$293</f>
        <v>3.5000000000000003E-2</v>
      </c>
      <c r="G329" s="450" t="str">
        <f xml:space="preserve"> InpC!G$293</f>
        <v>% p.a.</v>
      </c>
      <c r="H329" s="282"/>
      <c r="I329" s="112"/>
      <c r="J329" s="282"/>
      <c r="K329" s="282"/>
      <c r="L329" s="282"/>
      <c r="M329" s="282"/>
      <c r="N329" s="282"/>
      <c r="O329" s="282"/>
      <c r="P329" s="282"/>
      <c r="Q329" s="282"/>
      <c r="R329" s="282"/>
      <c r="S329" s="282"/>
      <c r="T329" s="282"/>
      <c r="U329" s="282"/>
      <c r="V329" s="282"/>
      <c r="W329" s="282"/>
      <c r="X329" s="282"/>
      <c r="Y329" s="282"/>
      <c r="Z329" s="282"/>
      <c r="AA329" s="282"/>
      <c r="AB329" s="282"/>
      <c r="AC329" s="282"/>
      <c r="AD329" s="282"/>
      <c r="AE329" s="282"/>
      <c r="AF329" s="282"/>
      <c r="AG329" s="282"/>
      <c r="AH329" s="282"/>
      <c r="AI329" s="282"/>
      <c r="AJ329" s="282"/>
      <c r="AK329" s="282"/>
      <c r="AL329" s="282"/>
      <c r="AM329" s="282"/>
      <c r="AN329" s="282"/>
      <c r="AO329" s="282"/>
      <c r="AP329" s="282"/>
      <c r="AQ329" s="282"/>
      <c r="AR329" s="282"/>
      <c r="AS329" s="282"/>
      <c r="AT329" s="282"/>
      <c r="AU329" s="282"/>
      <c r="AV329" s="282"/>
      <c r="AW329" s="282"/>
      <c r="AX329" s="282"/>
      <c r="AY329" s="282"/>
      <c r="AZ329" s="282"/>
      <c r="BA329" s="282"/>
      <c r="BB329" s="282"/>
      <c r="BC329" s="282"/>
      <c r="BD329" s="282"/>
      <c r="BE329" s="282"/>
      <c r="BF329" s="282"/>
      <c r="BG329" s="282"/>
      <c r="BH329" s="282"/>
      <c r="BI329" s="282"/>
      <c r="BJ329" s="282"/>
      <c r="BK329" s="282"/>
      <c r="BL329" s="282"/>
      <c r="BM329" s="282"/>
      <c r="BN329" s="282"/>
      <c r="BO329" s="282"/>
      <c r="BP329" s="282"/>
      <c r="BQ329" s="282"/>
      <c r="BR329" s="282"/>
      <c r="BS329" s="282"/>
      <c r="BT329" s="282"/>
      <c r="BU329" s="282"/>
      <c r="BV329" s="282"/>
      <c r="BW329" s="282"/>
      <c r="BX329" s="282"/>
      <c r="BY329" s="282"/>
      <c r="BZ329" s="282"/>
      <c r="CA329" s="282"/>
      <c r="CB329" s="282"/>
      <c r="CC329" s="282"/>
      <c r="CD329" s="282"/>
      <c r="CE329" s="282"/>
      <c r="CF329" s="282"/>
      <c r="CG329" s="282"/>
      <c r="CH329" s="282"/>
      <c r="CI329" s="282"/>
      <c r="CJ329" s="282"/>
      <c r="CK329" s="282"/>
      <c r="CL329" s="282"/>
      <c r="CM329" s="282"/>
      <c r="CN329" s="282"/>
      <c r="CO329" s="282"/>
      <c r="CP329" s="282"/>
      <c r="CQ329" s="282"/>
      <c r="CR329" s="282"/>
      <c r="CS329" s="282"/>
      <c r="CT329" s="282"/>
      <c r="CU329" s="282"/>
      <c r="CV329" s="282"/>
    </row>
    <row r="330" spans="1:100" ht="12.75" outlineLevel="2" x14ac:dyDescent="0.2">
      <c r="E330" s="189" t="str">
        <f xml:space="preserve"> Time!E$239</f>
        <v>Contract year number</v>
      </c>
      <c r="F330" s="189">
        <f xml:space="preserve"> Time!F$239</f>
        <v>0</v>
      </c>
      <c r="G330" s="189" t="str">
        <f xml:space="preserve"> Time!G$239</f>
        <v>counter</v>
      </c>
      <c r="H330" s="189">
        <f xml:space="preserve"> Time!H$239</f>
        <v>0</v>
      </c>
      <c r="I330" s="189">
        <f xml:space="preserve"> Time!I$239</f>
        <v>0</v>
      </c>
      <c r="J330" s="189">
        <f xml:space="preserve"> Time!J$239</f>
        <v>0</v>
      </c>
      <c r="K330" s="189">
        <f xml:space="preserve"> Time!K$239</f>
        <v>0</v>
      </c>
      <c r="L330" s="189">
        <f xml:space="preserve"> Time!L$239</f>
        <v>0</v>
      </c>
      <c r="M330" s="189">
        <f xml:space="preserve"> Time!M$239</f>
        <v>0</v>
      </c>
      <c r="N330" s="189">
        <f xml:space="preserve"> Time!N$239</f>
        <v>0</v>
      </c>
      <c r="O330" s="189">
        <f xml:space="preserve"> Time!O$239</f>
        <v>1</v>
      </c>
      <c r="P330" s="189">
        <f xml:space="preserve"> Time!P$239</f>
        <v>1</v>
      </c>
      <c r="Q330" s="189">
        <f xml:space="preserve"> Time!Q$239</f>
        <v>2</v>
      </c>
      <c r="R330" s="189">
        <f xml:space="preserve"> Time!R$239</f>
        <v>2</v>
      </c>
      <c r="S330" s="189">
        <f xml:space="preserve"> Time!S$239</f>
        <v>3</v>
      </c>
      <c r="T330" s="189">
        <f xml:space="preserve"> Time!T$239</f>
        <v>3</v>
      </c>
      <c r="U330" s="189">
        <f xml:space="preserve"> Time!U$239</f>
        <v>4</v>
      </c>
      <c r="V330" s="189">
        <f xml:space="preserve"> Time!V$239</f>
        <v>4</v>
      </c>
      <c r="W330" s="189">
        <f xml:space="preserve"> Time!W$239</f>
        <v>5</v>
      </c>
      <c r="X330" s="189">
        <f xml:space="preserve"> Time!X$239</f>
        <v>5</v>
      </c>
      <c r="Y330" s="189">
        <f xml:space="preserve"> Time!Y$239</f>
        <v>6</v>
      </c>
      <c r="Z330" s="189">
        <f xml:space="preserve"> Time!Z$239</f>
        <v>6</v>
      </c>
      <c r="AA330" s="189">
        <f xml:space="preserve"> Time!AA$239</f>
        <v>7</v>
      </c>
      <c r="AB330" s="189">
        <f xml:space="preserve"> Time!AB$239</f>
        <v>7</v>
      </c>
      <c r="AC330" s="189">
        <f xml:space="preserve"> Time!AC$239</f>
        <v>8</v>
      </c>
      <c r="AD330" s="189">
        <f xml:space="preserve"> Time!AD$239</f>
        <v>8</v>
      </c>
      <c r="AE330" s="189">
        <f xml:space="preserve"> Time!AE$239</f>
        <v>9</v>
      </c>
      <c r="AF330" s="189">
        <f xml:space="preserve"> Time!AF$239</f>
        <v>9</v>
      </c>
      <c r="AG330" s="189">
        <f xml:space="preserve"> Time!AG$239</f>
        <v>10</v>
      </c>
      <c r="AH330" s="189">
        <f xml:space="preserve"> Time!AH$239</f>
        <v>10</v>
      </c>
      <c r="AI330" s="189">
        <f xml:space="preserve"> Time!AI$239</f>
        <v>11</v>
      </c>
      <c r="AJ330" s="189">
        <f xml:space="preserve"> Time!AJ$239</f>
        <v>11</v>
      </c>
      <c r="AK330" s="189">
        <f xml:space="preserve"> Time!AK$239</f>
        <v>12</v>
      </c>
      <c r="AL330" s="189">
        <f xml:space="preserve"> Time!AL$239</f>
        <v>12</v>
      </c>
      <c r="AM330" s="189">
        <f xml:space="preserve"> Time!AM$239</f>
        <v>13</v>
      </c>
      <c r="AN330" s="189">
        <f xml:space="preserve"> Time!AN$239</f>
        <v>13</v>
      </c>
      <c r="AO330" s="189">
        <f xml:space="preserve"> Time!AO$239</f>
        <v>14</v>
      </c>
      <c r="AP330" s="189">
        <f xml:space="preserve"> Time!AP$239</f>
        <v>14</v>
      </c>
      <c r="AQ330" s="189">
        <f xml:space="preserve"> Time!AQ$239</f>
        <v>15</v>
      </c>
      <c r="AR330" s="189">
        <f xml:space="preserve"> Time!AR$239</f>
        <v>15</v>
      </c>
      <c r="AS330" s="189">
        <f xml:space="preserve"> Time!AS$239</f>
        <v>16</v>
      </c>
      <c r="AT330" s="189">
        <f xml:space="preserve"> Time!AT$239</f>
        <v>16</v>
      </c>
      <c r="AU330" s="189">
        <f xml:space="preserve"> Time!AU$239</f>
        <v>17</v>
      </c>
      <c r="AV330" s="189">
        <f xml:space="preserve"> Time!AV$239</f>
        <v>17</v>
      </c>
      <c r="AW330" s="189">
        <f xml:space="preserve"> Time!AW$239</f>
        <v>18</v>
      </c>
      <c r="AX330" s="189">
        <f xml:space="preserve"> Time!AX$239</f>
        <v>18</v>
      </c>
      <c r="AY330" s="189">
        <f xml:space="preserve"> Time!AY$239</f>
        <v>19</v>
      </c>
      <c r="AZ330" s="189">
        <f xml:space="preserve"> Time!AZ$239</f>
        <v>19</v>
      </c>
      <c r="BA330" s="189">
        <f xml:space="preserve"> Time!BA$239</f>
        <v>20</v>
      </c>
      <c r="BB330" s="189">
        <f xml:space="preserve"> Time!BB$239</f>
        <v>20</v>
      </c>
      <c r="BC330" s="189">
        <f xml:space="preserve"> Time!BC$239</f>
        <v>0</v>
      </c>
      <c r="BD330" s="189">
        <f xml:space="preserve"> Time!BD$239</f>
        <v>0</v>
      </c>
      <c r="BE330" s="189">
        <f xml:space="preserve"> Time!BE$239</f>
        <v>0</v>
      </c>
      <c r="BF330" s="189">
        <f xml:space="preserve"> Time!BF$239</f>
        <v>0</v>
      </c>
      <c r="BG330" s="189">
        <f xml:space="preserve"> Time!BG$239</f>
        <v>0</v>
      </c>
      <c r="BH330" s="189">
        <f xml:space="preserve"> Time!BH$239</f>
        <v>0</v>
      </c>
      <c r="BI330" s="189">
        <f xml:space="preserve"> Time!BI$239</f>
        <v>0</v>
      </c>
      <c r="BJ330" s="189">
        <f xml:space="preserve"> Time!BJ$239</f>
        <v>0</v>
      </c>
      <c r="BK330" s="189">
        <f xml:space="preserve"> Time!BK$239</f>
        <v>0</v>
      </c>
      <c r="BL330" s="189">
        <f xml:space="preserve"> Time!BL$239</f>
        <v>0</v>
      </c>
      <c r="BM330" s="189">
        <f xml:space="preserve"> Time!BM$239</f>
        <v>0</v>
      </c>
      <c r="BN330" s="189">
        <f xml:space="preserve"> Time!BN$239</f>
        <v>0</v>
      </c>
      <c r="BO330" s="189">
        <f xml:space="preserve"> Time!BO$239</f>
        <v>0</v>
      </c>
      <c r="BP330" s="189">
        <f xml:space="preserve"> Time!BP$239</f>
        <v>0</v>
      </c>
      <c r="BQ330" s="189">
        <f xml:space="preserve"> Time!BQ$239</f>
        <v>0</v>
      </c>
      <c r="BR330" s="189">
        <f xml:space="preserve"> Time!BR$239</f>
        <v>0</v>
      </c>
      <c r="BS330" s="189">
        <f xml:space="preserve"> Time!BS$239</f>
        <v>0</v>
      </c>
      <c r="BT330" s="189">
        <f xml:space="preserve"> Time!BT$239</f>
        <v>0</v>
      </c>
      <c r="BU330" s="189">
        <f xml:space="preserve"> Time!BU$239</f>
        <v>0</v>
      </c>
      <c r="BV330" s="189">
        <f xml:space="preserve"> Time!BV$239</f>
        <v>0</v>
      </c>
      <c r="BW330" s="189">
        <f xml:space="preserve"> Time!BW$239</f>
        <v>0</v>
      </c>
      <c r="BX330" s="189">
        <f xml:space="preserve"> Time!BX$239</f>
        <v>0</v>
      </c>
      <c r="BY330" s="189">
        <f xml:space="preserve"> Time!BY$239</f>
        <v>0</v>
      </c>
      <c r="BZ330" s="189">
        <f xml:space="preserve"> Time!BZ$239</f>
        <v>0</v>
      </c>
      <c r="CA330" s="189">
        <f xml:space="preserve"> Time!CA$239</f>
        <v>0</v>
      </c>
      <c r="CB330" s="189">
        <f xml:space="preserve"> Time!CB$239</f>
        <v>0</v>
      </c>
      <c r="CC330" s="189">
        <f xml:space="preserve"> Time!CC$239</f>
        <v>0</v>
      </c>
      <c r="CD330" s="189">
        <f xml:space="preserve"> Time!CD$239</f>
        <v>0</v>
      </c>
      <c r="CE330" s="189">
        <f xml:space="preserve"> Time!CE$239</f>
        <v>0</v>
      </c>
      <c r="CF330" s="189">
        <f xml:space="preserve"> Time!CF$239</f>
        <v>0</v>
      </c>
      <c r="CG330" s="189">
        <f xml:space="preserve"> Time!CG$239</f>
        <v>0</v>
      </c>
      <c r="CH330" s="189">
        <f xml:space="preserve"> Time!CH$239</f>
        <v>0</v>
      </c>
      <c r="CI330" s="189">
        <f xml:space="preserve"> Time!CI$239</f>
        <v>0</v>
      </c>
      <c r="CJ330" s="189">
        <f xml:space="preserve"> Time!CJ$239</f>
        <v>0</v>
      </c>
      <c r="CK330" s="189">
        <f xml:space="preserve"> Time!CK$239</f>
        <v>0</v>
      </c>
      <c r="CL330" s="189">
        <f xml:space="preserve"> Time!CL$239</f>
        <v>0</v>
      </c>
      <c r="CM330" s="189">
        <f xml:space="preserve"> Time!CM$239</f>
        <v>0</v>
      </c>
      <c r="CN330" s="189">
        <f xml:space="preserve"> Time!CN$239</f>
        <v>0</v>
      </c>
      <c r="CO330" s="189">
        <f xml:space="preserve"> Time!CO$239</f>
        <v>0</v>
      </c>
      <c r="CP330" s="189">
        <f xml:space="preserve"> Time!CP$239</f>
        <v>0</v>
      </c>
      <c r="CQ330" s="189">
        <f xml:space="preserve"> Time!CQ$239</f>
        <v>0</v>
      </c>
      <c r="CR330" s="189">
        <f xml:space="preserve"> Time!CR$239</f>
        <v>0</v>
      </c>
      <c r="CS330" s="189">
        <f xml:space="preserve"> Time!CS$239</f>
        <v>0</v>
      </c>
      <c r="CT330" s="189">
        <f xml:space="preserve"> Time!CT$239</f>
        <v>0</v>
      </c>
      <c r="CU330" s="189">
        <f xml:space="preserve"> Time!CU$239</f>
        <v>0</v>
      </c>
      <c r="CV330" s="189">
        <f xml:space="preserve"> Time!CV$239</f>
        <v>0</v>
      </c>
    </row>
    <row r="331" spans="1:100" ht="12.75" outlineLevel="2" x14ac:dyDescent="0.2">
      <c r="E331" s="189" t="str">
        <f xml:space="preserve"> Time!E$209</f>
        <v>Senior debt service period flag</v>
      </c>
      <c r="F331" s="189">
        <f xml:space="preserve"> Time!F$209</f>
        <v>0</v>
      </c>
      <c r="G331" s="189" t="str">
        <f xml:space="preserve"> Time!G$209</f>
        <v>flag</v>
      </c>
      <c r="H331" s="189">
        <f xml:space="preserve"> Time!H$209</f>
        <v>34</v>
      </c>
      <c r="I331" s="189">
        <f xml:space="preserve"> Time!I$209</f>
        <v>0</v>
      </c>
      <c r="J331" s="189">
        <f xml:space="preserve"> Time!J$209</f>
        <v>0</v>
      </c>
      <c r="K331" s="189">
        <f xml:space="preserve"> Time!K$209</f>
        <v>0</v>
      </c>
      <c r="L331" s="189">
        <f xml:space="preserve"> Time!L$209</f>
        <v>0</v>
      </c>
      <c r="M331" s="189">
        <f xml:space="preserve"> Time!M$209</f>
        <v>0</v>
      </c>
      <c r="N331" s="189">
        <f xml:space="preserve"> Time!N$209</f>
        <v>0</v>
      </c>
      <c r="O331" s="189">
        <f xml:space="preserve"> Time!O$209</f>
        <v>1</v>
      </c>
      <c r="P331" s="189">
        <f xml:space="preserve"> Time!P$209</f>
        <v>1</v>
      </c>
      <c r="Q331" s="189">
        <f xml:space="preserve"> Time!Q$209</f>
        <v>1</v>
      </c>
      <c r="R331" s="189">
        <f xml:space="preserve"> Time!R$209</f>
        <v>1</v>
      </c>
      <c r="S331" s="189">
        <f xml:space="preserve"> Time!S$209</f>
        <v>1</v>
      </c>
      <c r="T331" s="189">
        <f xml:space="preserve"> Time!T$209</f>
        <v>1</v>
      </c>
      <c r="U331" s="189">
        <f xml:space="preserve"> Time!U$209</f>
        <v>1</v>
      </c>
      <c r="V331" s="189">
        <f xml:space="preserve"> Time!V$209</f>
        <v>1</v>
      </c>
      <c r="W331" s="189">
        <f xml:space="preserve"> Time!W$209</f>
        <v>1</v>
      </c>
      <c r="X331" s="189">
        <f xml:space="preserve"> Time!X$209</f>
        <v>1</v>
      </c>
      <c r="Y331" s="189">
        <f xml:space="preserve"> Time!Y$209</f>
        <v>1</v>
      </c>
      <c r="Z331" s="189">
        <f xml:space="preserve"> Time!Z$209</f>
        <v>1</v>
      </c>
      <c r="AA331" s="189">
        <f xml:space="preserve"> Time!AA$209</f>
        <v>1</v>
      </c>
      <c r="AB331" s="189">
        <f xml:space="preserve"> Time!AB$209</f>
        <v>1</v>
      </c>
      <c r="AC331" s="189">
        <f xml:space="preserve"> Time!AC$209</f>
        <v>1</v>
      </c>
      <c r="AD331" s="189">
        <f xml:space="preserve"> Time!AD$209</f>
        <v>1</v>
      </c>
      <c r="AE331" s="189">
        <f xml:space="preserve"> Time!AE$209</f>
        <v>1</v>
      </c>
      <c r="AF331" s="189">
        <f xml:space="preserve"> Time!AF$209</f>
        <v>1</v>
      </c>
      <c r="AG331" s="189">
        <f xml:space="preserve"> Time!AG$209</f>
        <v>1</v>
      </c>
      <c r="AH331" s="189">
        <f xml:space="preserve"> Time!AH$209</f>
        <v>1</v>
      </c>
      <c r="AI331" s="189">
        <f xml:space="preserve"> Time!AI$209</f>
        <v>1</v>
      </c>
      <c r="AJ331" s="189">
        <f xml:space="preserve"> Time!AJ$209</f>
        <v>1</v>
      </c>
      <c r="AK331" s="189">
        <f xml:space="preserve"> Time!AK$209</f>
        <v>1</v>
      </c>
      <c r="AL331" s="189">
        <f xml:space="preserve"> Time!AL$209</f>
        <v>1</v>
      </c>
      <c r="AM331" s="189">
        <f xml:space="preserve"> Time!AM$209</f>
        <v>1</v>
      </c>
      <c r="AN331" s="189">
        <f xml:space="preserve"> Time!AN$209</f>
        <v>1</v>
      </c>
      <c r="AO331" s="189">
        <f xml:space="preserve"> Time!AO$209</f>
        <v>1</v>
      </c>
      <c r="AP331" s="189">
        <f xml:space="preserve"> Time!AP$209</f>
        <v>1</v>
      </c>
      <c r="AQ331" s="189">
        <f xml:space="preserve"> Time!AQ$209</f>
        <v>1</v>
      </c>
      <c r="AR331" s="189">
        <f xml:space="preserve"> Time!AR$209</f>
        <v>1</v>
      </c>
      <c r="AS331" s="189">
        <f xml:space="preserve"> Time!AS$209</f>
        <v>1</v>
      </c>
      <c r="AT331" s="189">
        <f xml:space="preserve"> Time!AT$209</f>
        <v>1</v>
      </c>
      <c r="AU331" s="189">
        <f xml:space="preserve"> Time!AU$209</f>
        <v>1</v>
      </c>
      <c r="AV331" s="189">
        <f xml:space="preserve"> Time!AV$209</f>
        <v>1</v>
      </c>
      <c r="AW331" s="189">
        <f xml:space="preserve"> Time!AW$209</f>
        <v>0</v>
      </c>
      <c r="AX331" s="189">
        <f xml:space="preserve"> Time!AX$209</f>
        <v>0</v>
      </c>
      <c r="AY331" s="189">
        <f xml:space="preserve"> Time!AY$209</f>
        <v>0</v>
      </c>
      <c r="AZ331" s="189">
        <f xml:space="preserve"> Time!AZ$209</f>
        <v>0</v>
      </c>
      <c r="BA331" s="189">
        <f xml:space="preserve"> Time!BA$209</f>
        <v>0</v>
      </c>
      <c r="BB331" s="189">
        <f xml:space="preserve"> Time!BB$209</f>
        <v>0</v>
      </c>
      <c r="BC331" s="189">
        <f xml:space="preserve"> Time!BC$209</f>
        <v>0</v>
      </c>
      <c r="BD331" s="189">
        <f xml:space="preserve"> Time!BD$209</f>
        <v>0</v>
      </c>
      <c r="BE331" s="189">
        <f xml:space="preserve"> Time!BE$209</f>
        <v>0</v>
      </c>
      <c r="BF331" s="189">
        <f xml:space="preserve"> Time!BF$209</f>
        <v>0</v>
      </c>
      <c r="BG331" s="189">
        <f xml:space="preserve"> Time!BG$209</f>
        <v>0</v>
      </c>
      <c r="BH331" s="189">
        <f xml:space="preserve"> Time!BH$209</f>
        <v>0</v>
      </c>
      <c r="BI331" s="189">
        <f xml:space="preserve"> Time!BI$209</f>
        <v>0</v>
      </c>
      <c r="BJ331" s="189">
        <f xml:space="preserve"> Time!BJ$209</f>
        <v>0</v>
      </c>
      <c r="BK331" s="189">
        <f xml:space="preserve"> Time!BK$209</f>
        <v>0</v>
      </c>
      <c r="BL331" s="189">
        <f xml:space="preserve"> Time!BL$209</f>
        <v>0</v>
      </c>
      <c r="BM331" s="189">
        <f xml:space="preserve"> Time!BM$209</f>
        <v>0</v>
      </c>
      <c r="BN331" s="189">
        <f xml:space="preserve"> Time!BN$209</f>
        <v>0</v>
      </c>
      <c r="BO331" s="189">
        <f xml:space="preserve"> Time!BO$209</f>
        <v>0</v>
      </c>
      <c r="BP331" s="189">
        <f xml:space="preserve"> Time!BP$209</f>
        <v>0</v>
      </c>
      <c r="BQ331" s="189">
        <f xml:space="preserve"> Time!BQ$209</f>
        <v>0</v>
      </c>
      <c r="BR331" s="189">
        <f xml:space="preserve"> Time!BR$209</f>
        <v>0</v>
      </c>
      <c r="BS331" s="189">
        <f xml:space="preserve"> Time!BS$209</f>
        <v>0</v>
      </c>
      <c r="BT331" s="189">
        <f xml:space="preserve"> Time!BT$209</f>
        <v>0</v>
      </c>
      <c r="BU331" s="189">
        <f xml:space="preserve"> Time!BU$209</f>
        <v>0</v>
      </c>
      <c r="BV331" s="189">
        <f xml:space="preserve"> Time!BV$209</f>
        <v>0</v>
      </c>
      <c r="BW331" s="189">
        <f xml:space="preserve"> Time!BW$209</f>
        <v>0</v>
      </c>
      <c r="BX331" s="189">
        <f xml:space="preserve"> Time!BX$209</f>
        <v>0</v>
      </c>
      <c r="BY331" s="189">
        <f xml:space="preserve"> Time!BY$209</f>
        <v>0</v>
      </c>
      <c r="BZ331" s="189">
        <f xml:space="preserve"> Time!BZ$209</f>
        <v>0</v>
      </c>
      <c r="CA331" s="189">
        <f xml:space="preserve"> Time!CA$209</f>
        <v>0</v>
      </c>
      <c r="CB331" s="189">
        <f xml:space="preserve"> Time!CB$209</f>
        <v>0</v>
      </c>
      <c r="CC331" s="189">
        <f xml:space="preserve"> Time!CC$209</f>
        <v>0</v>
      </c>
      <c r="CD331" s="189">
        <f xml:space="preserve"> Time!CD$209</f>
        <v>0</v>
      </c>
      <c r="CE331" s="189">
        <f xml:space="preserve"> Time!CE$209</f>
        <v>0</v>
      </c>
      <c r="CF331" s="189">
        <f xml:space="preserve"> Time!CF$209</f>
        <v>0</v>
      </c>
      <c r="CG331" s="189">
        <f xml:space="preserve"> Time!CG$209</f>
        <v>0</v>
      </c>
      <c r="CH331" s="189">
        <f xml:space="preserve"> Time!CH$209</f>
        <v>0</v>
      </c>
      <c r="CI331" s="189">
        <f xml:space="preserve"> Time!CI$209</f>
        <v>0</v>
      </c>
      <c r="CJ331" s="189">
        <f xml:space="preserve"> Time!CJ$209</f>
        <v>0</v>
      </c>
      <c r="CK331" s="189">
        <f xml:space="preserve"> Time!CK$209</f>
        <v>0</v>
      </c>
      <c r="CL331" s="189">
        <f xml:space="preserve"> Time!CL$209</f>
        <v>0</v>
      </c>
      <c r="CM331" s="189">
        <f xml:space="preserve"> Time!CM$209</f>
        <v>0</v>
      </c>
      <c r="CN331" s="189">
        <f xml:space="preserve"> Time!CN$209</f>
        <v>0</v>
      </c>
      <c r="CO331" s="189">
        <f xml:space="preserve"> Time!CO$209</f>
        <v>0</v>
      </c>
      <c r="CP331" s="189">
        <f xml:space="preserve"> Time!CP$209</f>
        <v>0</v>
      </c>
      <c r="CQ331" s="189">
        <f xml:space="preserve"> Time!CQ$209</f>
        <v>0</v>
      </c>
      <c r="CR331" s="189">
        <f xml:space="preserve"> Time!CR$209</f>
        <v>0</v>
      </c>
      <c r="CS331" s="189">
        <f xml:space="preserve"> Time!CS$209</f>
        <v>0</v>
      </c>
      <c r="CT331" s="189">
        <f xml:space="preserve"> Time!CT$209</f>
        <v>0</v>
      </c>
      <c r="CU331" s="189">
        <f xml:space="preserve"> Time!CU$209</f>
        <v>0</v>
      </c>
      <c r="CV331" s="189">
        <f xml:space="preserve"> Time!CV$209</f>
        <v>0</v>
      </c>
    </row>
    <row r="332" spans="1:100" s="283" customFormat="1" ht="12.75" outlineLevel="2" x14ac:dyDescent="0.2">
      <c r="A332" s="556"/>
      <c r="B332" s="556"/>
      <c r="C332" s="557"/>
      <c r="D332" s="115"/>
      <c r="E332" s="282" t="s">
        <v>1123</v>
      </c>
      <c r="F332" s="282"/>
      <c r="G332" s="282" t="s">
        <v>116</v>
      </c>
      <c r="H332" s="282"/>
      <c r="I332" s="112"/>
      <c r="J332" s="282">
        <f t="shared" ref="J332:BU332" si="506" xml:space="preserve"> IF( J331 = 1, INDEX($F305:$F329, J330), 0)</f>
        <v>0</v>
      </c>
      <c r="K332" s="282">
        <f t="shared" si="506"/>
        <v>0</v>
      </c>
      <c r="L332" s="282">
        <f t="shared" si="506"/>
        <v>0</v>
      </c>
      <c r="M332" s="282">
        <f t="shared" si="506"/>
        <v>0</v>
      </c>
      <c r="N332" s="282">
        <f t="shared" si="506"/>
        <v>0</v>
      </c>
      <c r="O332" s="282">
        <f t="shared" si="506"/>
        <v>0.03</v>
      </c>
      <c r="P332" s="282">
        <f t="shared" si="506"/>
        <v>0.03</v>
      </c>
      <c r="Q332" s="282">
        <f t="shared" si="506"/>
        <v>0.03</v>
      </c>
      <c r="R332" s="282">
        <f t="shared" si="506"/>
        <v>0.03</v>
      </c>
      <c r="S332" s="282">
        <f t="shared" si="506"/>
        <v>0.03</v>
      </c>
      <c r="T332" s="282">
        <f t="shared" si="506"/>
        <v>0.03</v>
      </c>
      <c r="U332" s="282">
        <f t="shared" si="506"/>
        <v>0.03</v>
      </c>
      <c r="V332" s="282">
        <f t="shared" si="506"/>
        <v>0.03</v>
      </c>
      <c r="W332" s="282">
        <f t="shared" si="506"/>
        <v>0.03</v>
      </c>
      <c r="X332" s="282">
        <f t="shared" si="506"/>
        <v>0.03</v>
      </c>
      <c r="Y332" s="282">
        <f t="shared" si="506"/>
        <v>3.2000000000000001E-2</v>
      </c>
      <c r="Z332" s="282">
        <f t="shared" si="506"/>
        <v>3.2000000000000001E-2</v>
      </c>
      <c r="AA332" s="282">
        <f t="shared" si="506"/>
        <v>3.2000000000000001E-2</v>
      </c>
      <c r="AB332" s="282">
        <f t="shared" si="506"/>
        <v>3.2000000000000001E-2</v>
      </c>
      <c r="AC332" s="282">
        <f t="shared" si="506"/>
        <v>3.2000000000000001E-2</v>
      </c>
      <c r="AD332" s="282">
        <f t="shared" si="506"/>
        <v>3.2000000000000001E-2</v>
      </c>
      <c r="AE332" s="282">
        <f t="shared" si="506"/>
        <v>3.2000000000000001E-2</v>
      </c>
      <c r="AF332" s="282">
        <f t="shared" si="506"/>
        <v>3.2000000000000001E-2</v>
      </c>
      <c r="AG332" s="282">
        <f t="shared" si="506"/>
        <v>3.2000000000000001E-2</v>
      </c>
      <c r="AH332" s="282">
        <f t="shared" si="506"/>
        <v>3.2000000000000001E-2</v>
      </c>
      <c r="AI332" s="282">
        <f t="shared" si="506"/>
        <v>3.5000000000000003E-2</v>
      </c>
      <c r="AJ332" s="282">
        <f t="shared" si="506"/>
        <v>3.5000000000000003E-2</v>
      </c>
      <c r="AK332" s="282">
        <f t="shared" si="506"/>
        <v>3.5000000000000003E-2</v>
      </c>
      <c r="AL332" s="282">
        <f t="shared" si="506"/>
        <v>3.5000000000000003E-2</v>
      </c>
      <c r="AM332" s="282">
        <f t="shared" si="506"/>
        <v>3.5000000000000003E-2</v>
      </c>
      <c r="AN332" s="282">
        <f t="shared" si="506"/>
        <v>3.5000000000000003E-2</v>
      </c>
      <c r="AO332" s="282">
        <f t="shared" si="506"/>
        <v>3.5000000000000003E-2</v>
      </c>
      <c r="AP332" s="282">
        <f t="shared" si="506"/>
        <v>3.5000000000000003E-2</v>
      </c>
      <c r="AQ332" s="282">
        <f t="shared" si="506"/>
        <v>3.5000000000000003E-2</v>
      </c>
      <c r="AR332" s="282">
        <f t="shared" si="506"/>
        <v>3.5000000000000003E-2</v>
      </c>
      <c r="AS332" s="282">
        <f t="shared" si="506"/>
        <v>3.5000000000000003E-2</v>
      </c>
      <c r="AT332" s="282">
        <f t="shared" si="506"/>
        <v>3.5000000000000003E-2</v>
      </c>
      <c r="AU332" s="282">
        <f t="shared" si="506"/>
        <v>3.5000000000000003E-2</v>
      </c>
      <c r="AV332" s="282">
        <f t="shared" si="506"/>
        <v>3.5000000000000003E-2</v>
      </c>
      <c r="AW332" s="282">
        <f t="shared" si="506"/>
        <v>0</v>
      </c>
      <c r="AX332" s="282">
        <f t="shared" si="506"/>
        <v>0</v>
      </c>
      <c r="AY332" s="282">
        <f t="shared" si="506"/>
        <v>0</v>
      </c>
      <c r="AZ332" s="282">
        <f t="shared" si="506"/>
        <v>0</v>
      </c>
      <c r="BA332" s="282">
        <f t="shared" si="506"/>
        <v>0</v>
      </c>
      <c r="BB332" s="282">
        <f t="shared" si="506"/>
        <v>0</v>
      </c>
      <c r="BC332" s="282">
        <f t="shared" si="506"/>
        <v>0</v>
      </c>
      <c r="BD332" s="282">
        <f t="shared" si="506"/>
        <v>0</v>
      </c>
      <c r="BE332" s="282">
        <f t="shared" si="506"/>
        <v>0</v>
      </c>
      <c r="BF332" s="282">
        <f t="shared" si="506"/>
        <v>0</v>
      </c>
      <c r="BG332" s="282">
        <f t="shared" si="506"/>
        <v>0</v>
      </c>
      <c r="BH332" s="282">
        <f t="shared" si="506"/>
        <v>0</v>
      </c>
      <c r="BI332" s="282">
        <f t="shared" si="506"/>
        <v>0</v>
      </c>
      <c r="BJ332" s="282">
        <f t="shared" si="506"/>
        <v>0</v>
      </c>
      <c r="BK332" s="282">
        <f t="shared" si="506"/>
        <v>0</v>
      </c>
      <c r="BL332" s="282">
        <f t="shared" si="506"/>
        <v>0</v>
      </c>
      <c r="BM332" s="282">
        <f t="shared" si="506"/>
        <v>0</v>
      </c>
      <c r="BN332" s="282">
        <f t="shared" si="506"/>
        <v>0</v>
      </c>
      <c r="BO332" s="282">
        <f t="shared" si="506"/>
        <v>0</v>
      </c>
      <c r="BP332" s="282">
        <f t="shared" si="506"/>
        <v>0</v>
      </c>
      <c r="BQ332" s="282">
        <f t="shared" si="506"/>
        <v>0</v>
      </c>
      <c r="BR332" s="282">
        <f t="shared" si="506"/>
        <v>0</v>
      </c>
      <c r="BS332" s="282">
        <f t="shared" si="506"/>
        <v>0</v>
      </c>
      <c r="BT332" s="282">
        <f t="shared" si="506"/>
        <v>0</v>
      </c>
      <c r="BU332" s="282">
        <f t="shared" si="506"/>
        <v>0</v>
      </c>
      <c r="BV332" s="282">
        <f t="shared" ref="BV332:CV332" si="507" xml:space="preserve"> IF( BV331 = 1, INDEX($F305:$F329, BV330), 0)</f>
        <v>0</v>
      </c>
      <c r="BW332" s="282">
        <f t="shared" si="507"/>
        <v>0</v>
      </c>
      <c r="BX332" s="282">
        <f t="shared" si="507"/>
        <v>0</v>
      </c>
      <c r="BY332" s="282">
        <f t="shared" si="507"/>
        <v>0</v>
      </c>
      <c r="BZ332" s="282">
        <f t="shared" si="507"/>
        <v>0</v>
      </c>
      <c r="CA332" s="282">
        <f t="shared" si="507"/>
        <v>0</v>
      </c>
      <c r="CB332" s="282">
        <f t="shared" si="507"/>
        <v>0</v>
      </c>
      <c r="CC332" s="282">
        <f t="shared" si="507"/>
        <v>0</v>
      </c>
      <c r="CD332" s="282">
        <f t="shared" si="507"/>
        <v>0</v>
      </c>
      <c r="CE332" s="282">
        <f t="shared" si="507"/>
        <v>0</v>
      </c>
      <c r="CF332" s="282">
        <f t="shared" si="507"/>
        <v>0</v>
      </c>
      <c r="CG332" s="282">
        <f t="shared" si="507"/>
        <v>0</v>
      </c>
      <c r="CH332" s="282">
        <f t="shared" si="507"/>
        <v>0</v>
      </c>
      <c r="CI332" s="282">
        <f t="shared" si="507"/>
        <v>0</v>
      </c>
      <c r="CJ332" s="282">
        <f t="shared" si="507"/>
        <v>0</v>
      </c>
      <c r="CK332" s="282">
        <f t="shared" si="507"/>
        <v>0</v>
      </c>
      <c r="CL332" s="282">
        <f t="shared" si="507"/>
        <v>0</v>
      </c>
      <c r="CM332" s="282">
        <f t="shared" si="507"/>
        <v>0</v>
      </c>
      <c r="CN332" s="282">
        <f t="shared" si="507"/>
        <v>0</v>
      </c>
      <c r="CO332" s="282">
        <f t="shared" si="507"/>
        <v>0</v>
      </c>
      <c r="CP332" s="282">
        <f t="shared" si="507"/>
        <v>0</v>
      </c>
      <c r="CQ332" s="282">
        <f t="shared" si="507"/>
        <v>0</v>
      </c>
      <c r="CR332" s="282">
        <f t="shared" si="507"/>
        <v>0</v>
      </c>
      <c r="CS332" s="282">
        <f t="shared" si="507"/>
        <v>0</v>
      </c>
      <c r="CT332" s="282">
        <f t="shared" si="507"/>
        <v>0</v>
      </c>
      <c r="CU332" s="282">
        <f t="shared" si="507"/>
        <v>0</v>
      </c>
      <c r="CV332" s="282">
        <f t="shared" si="507"/>
        <v>0</v>
      </c>
    </row>
    <row r="333" spans="1:100" ht="12.75" outlineLevel="2" x14ac:dyDescent="0.2"/>
    <row r="334" spans="1:100" ht="12.75" outlineLevel="2" x14ac:dyDescent="0.2">
      <c r="E334" s="145" t="str">
        <f xml:space="preserve"> InpC!E$197</f>
        <v>Proportion of Senior debt hedged</v>
      </c>
      <c r="F334" s="316">
        <f xml:space="preserve"> InpC!F$197</f>
        <v>1</v>
      </c>
      <c r="G334" s="145" t="str">
        <f xml:space="preserve"> InpC!G$197</f>
        <v>%</v>
      </c>
      <c r="H334" s="38"/>
    </row>
    <row r="335" spans="1:100" s="283" customFormat="1" ht="12.75" outlineLevel="2" x14ac:dyDescent="0.2">
      <c r="A335" s="556"/>
      <c r="B335" s="556"/>
      <c r="C335" s="557"/>
      <c r="D335" s="115"/>
      <c r="E335" s="316" t="str">
        <f xml:space="preserve"> InpC!E$267</f>
        <v>Senior debt - T2 swap rate</v>
      </c>
      <c r="F335" s="316">
        <f xml:space="preserve"> InpC!F$267</f>
        <v>1.7000000000000001E-2</v>
      </c>
      <c r="G335" s="316" t="str">
        <f xml:space="preserve"> InpC!G$267</f>
        <v>% p.a.</v>
      </c>
      <c r="H335" s="115"/>
      <c r="I335" s="112"/>
      <c r="J335" s="282"/>
      <c r="K335" s="282"/>
      <c r="L335" s="282"/>
      <c r="M335" s="282"/>
      <c r="N335" s="282"/>
      <c r="O335" s="282"/>
      <c r="P335" s="282"/>
      <c r="Q335" s="282"/>
      <c r="R335" s="282"/>
      <c r="S335" s="282"/>
      <c r="T335" s="282"/>
      <c r="U335" s="282"/>
      <c r="V335" s="282"/>
      <c r="W335" s="282"/>
      <c r="X335" s="282"/>
      <c r="Y335" s="282"/>
      <c r="Z335" s="282"/>
      <c r="AA335" s="282"/>
      <c r="AB335" s="282"/>
      <c r="AC335" s="282"/>
      <c r="AD335" s="282"/>
      <c r="AE335" s="282"/>
      <c r="AF335" s="282"/>
      <c r="AG335" s="282"/>
      <c r="AH335" s="282"/>
      <c r="AI335" s="282"/>
      <c r="AJ335" s="282"/>
      <c r="AK335" s="282"/>
      <c r="AL335" s="282"/>
      <c r="AM335" s="282"/>
      <c r="AN335" s="282"/>
      <c r="AO335" s="282"/>
      <c r="AP335" s="282"/>
      <c r="AQ335" s="282"/>
      <c r="AR335" s="282"/>
      <c r="AS335" s="282"/>
      <c r="AT335" s="282"/>
      <c r="AU335" s="282"/>
      <c r="AV335" s="282"/>
      <c r="AW335" s="282"/>
      <c r="AX335" s="282"/>
      <c r="AY335" s="282"/>
      <c r="AZ335" s="282"/>
      <c r="BA335" s="282"/>
      <c r="BB335" s="282"/>
      <c r="BC335" s="282"/>
      <c r="BD335" s="282"/>
      <c r="BE335" s="282"/>
      <c r="BF335" s="282"/>
      <c r="BG335" s="282"/>
      <c r="BH335" s="282"/>
      <c r="BI335" s="282"/>
      <c r="BJ335" s="282"/>
      <c r="BK335" s="282"/>
      <c r="BL335" s="282"/>
      <c r="BM335" s="282"/>
      <c r="BN335" s="282"/>
      <c r="BO335" s="282"/>
      <c r="BP335" s="282"/>
      <c r="BQ335" s="282"/>
      <c r="BR335" s="282"/>
      <c r="BS335" s="282"/>
      <c r="BT335" s="282"/>
      <c r="BU335" s="282"/>
      <c r="BV335" s="282"/>
      <c r="BW335" s="282"/>
      <c r="BX335" s="282"/>
      <c r="BY335" s="282"/>
      <c r="BZ335" s="282"/>
      <c r="CA335" s="282"/>
      <c r="CB335" s="282"/>
      <c r="CC335" s="282"/>
      <c r="CD335" s="282"/>
      <c r="CE335" s="282"/>
      <c r="CF335" s="282"/>
      <c r="CG335" s="282"/>
      <c r="CH335" s="282"/>
      <c r="CI335" s="282"/>
      <c r="CJ335" s="282"/>
      <c r="CK335" s="282"/>
      <c r="CL335" s="282"/>
      <c r="CM335" s="282"/>
      <c r="CN335" s="282"/>
      <c r="CO335" s="282"/>
      <c r="CP335" s="282"/>
      <c r="CQ335" s="282"/>
      <c r="CR335" s="282"/>
      <c r="CS335" s="282"/>
      <c r="CT335" s="282"/>
      <c r="CU335" s="282"/>
      <c r="CV335" s="282"/>
    </row>
    <row r="336" spans="1:100" s="283" customFormat="1" ht="12.75" outlineLevel="2" x14ac:dyDescent="0.2">
      <c r="A336" s="556"/>
      <c r="B336" s="556"/>
      <c r="C336" s="557"/>
      <c r="D336" s="115"/>
      <c r="E336" s="316" t="str">
        <f xml:space="preserve"> Sensitivity!E$16</f>
        <v>Interest rate - sensitivity</v>
      </c>
      <c r="F336" s="316">
        <f xml:space="preserve"> Sensitivity!F$16</f>
        <v>0</v>
      </c>
      <c r="G336" s="316" t="str">
        <f xml:space="preserve"> Sensitivity!G$16</f>
        <v>% p.a.</v>
      </c>
      <c r="H336" s="115"/>
      <c r="I336" s="112"/>
      <c r="J336" s="282"/>
      <c r="K336" s="282"/>
      <c r="L336" s="282"/>
      <c r="M336" s="282"/>
      <c r="N336" s="282"/>
      <c r="O336" s="282"/>
      <c r="P336" s="282"/>
      <c r="Q336" s="282"/>
      <c r="R336" s="282"/>
      <c r="S336" s="282"/>
      <c r="T336" s="282"/>
      <c r="U336" s="282"/>
      <c r="V336" s="282"/>
      <c r="W336" s="282"/>
      <c r="X336" s="282"/>
      <c r="Y336" s="282"/>
      <c r="Z336" s="282"/>
      <c r="AA336" s="282"/>
      <c r="AB336" s="282"/>
      <c r="AC336" s="282"/>
      <c r="AD336" s="282"/>
      <c r="AE336" s="282"/>
      <c r="AF336" s="282"/>
      <c r="AG336" s="282"/>
      <c r="AH336" s="282"/>
      <c r="AI336" s="282"/>
      <c r="AJ336" s="282"/>
      <c r="AK336" s="282"/>
      <c r="AL336" s="282"/>
      <c r="AM336" s="282"/>
      <c r="AN336" s="282"/>
      <c r="AO336" s="282"/>
      <c r="AP336" s="282"/>
      <c r="AQ336" s="282"/>
      <c r="AR336" s="282"/>
      <c r="AS336" s="282"/>
      <c r="AT336" s="282"/>
      <c r="AU336" s="282"/>
      <c r="AV336" s="282"/>
      <c r="AW336" s="282"/>
      <c r="AX336" s="282"/>
      <c r="AY336" s="282"/>
      <c r="AZ336" s="282"/>
      <c r="BA336" s="282"/>
      <c r="BB336" s="282"/>
      <c r="BC336" s="282"/>
      <c r="BD336" s="282"/>
      <c r="BE336" s="282"/>
      <c r="BF336" s="282"/>
      <c r="BG336" s="282"/>
      <c r="BH336" s="282"/>
      <c r="BI336" s="282"/>
      <c r="BJ336" s="282"/>
      <c r="BK336" s="282"/>
      <c r="BL336" s="282"/>
      <c r="BM336" s="282"/>
      <c r="BN336" s="282"/>
      <c r="BO336" s="282"/>
      <c r="BP336" s="282"/>
      <c r="BQ336" s="282"/>
      <c r="BR336" s="282"/>
      <c r="BS336" s="282"/>
      <c r="BT336" s="282"/>
      <c r="BU336" s="282"/>
      <c r="BV336" s="282"/>
      <c r="BW336" s="282"/>
      <c r="BX336" s="282"/>
      <c r="BY336" s="282"/>
      <c r="BZ336" s="282"/>
      <c r="CA336" s="282"/>
      <c r="CB336" s="282"/>
      <c r="CC336" s="282"/>
      <c r="CD336" s="282"/>
      <c r="CE336" s="282"/>
      <c r="CF336" s="282"/>
      <c r="CG336" s="282"/>
      <c r="CH336" s="282"/>
      <c r="CI336" s="282"/>
      <c r="CJ336" s="282"/>
      <c r="CK336" s="282"/>
      <c r="CL336" s="282"/>
      <c r="CM336" s="282"/>
      <c r="CN336" s="282"/>
      <c r="CO336" s="282"/>
      <c r="CP336" s="282"/>
      <c r="CQ336" s="282"/>
      <c r="CR336" s="282"/>
      <c r="CS336" s="282"/>
      <c r="CT336" s="282"/>
      <c r="CU336" s="282"/>
      <c r="CV336" s="282"/>
    </row>
    <row r="337" spans="1:100" s="283" customFormat="1" ht="12.75" outlineLevel="2" x14ac:dyDescent="0.2">
      <c r="A337" s="556"/>
      <c r="B337" s="556"/>
      <c r="C337" s="557"/>
      <c r="D337" s="115"/>
      <c r="E337" s="115" t="str">
        <f t="shared" ref="E337:AJ337" si="508" xml:space="preserve"> E$332</f>
        <v>Senior debt margin - T2</v>
      </c>
      <c r="F337" s="115">
        <f t="shared" si="508"/>
        <v>0</v>
      </c>
      <c r="G337" s="115" t="str">
        <f t="shared" si="508"/>
        <v>% p.a.</v>
      </c>
      <c r="H337" s="115">
        <f t="shared" si="508"/>
        <v>0</v>
      </c>
      <c r="I337" s="115">
        <f t="shared" si="508"/>
        <v>0</v>
      </c>
      <c r="J337" s="115">
        <f t="shared" si="508"/>
        <v>0</v>
      </c>
      <c r="K337" s="115">
        <f t="shared" si="508"/>
        <v>0</v>
      </c>
      <c r="L337" s="115">
        <f t="shared" si="508"/>
        <v>0</v>
      </c>
      <c r="M337" s="115">
        <f t="shared" si="508"/>
        <v>0</v>
      </c>
      <c r="N337" s="115">
        <f t="shared" si="508"/>
        <v>0</v>
      </c>
      <c r="O337" s="115">
        <f t="shared" si="508"/>
        <v>0.03</v>
      </c>
      <c r="P337" s="115">
        <f t="shared" si="508"/>
        <v>0.03</v>
      </c>
      <c r="Q337" s="115">
        <f t="shared" si="508"/>
        <v>0.03</v>
      </c>
      <c r="R337" s="115">
        <f t="shared" si="508"/>
        <v>0.03</v>
      </c>
      <c r="S337" s="115">
        <f t="shared" si="508"/>
        <v>0.03</v>
      </c>
      <c r="T337" s="115">
        <f t="shared" si="508"/>
        <v>0.03</v>
      </c>
      <c r="U337" s="115">
        <f t="shared" si="508"/>
        <v>0.03</v>
      </c>
      <c r="V337" s="115">
        <f t="shared" si="508"/>
        <v>0.03</v>
      </c>
      <c r="W337" s="115">
        <f t="shared" si="508"/>
        <v>0.03</v>
      </c>
      <c r="X337" s="115">
        <f t="shared" si="508"/>
        <v>0.03</v>
      </c>
      <c r="Y337" s="115">
        <f t="shared" si="508"/>
        <v>3.2000000000000001E-2</v>
      </c>
      <c r="Z337" s="115">
        <f t="shared" si="508"/>
        <v>3.2000000000000001E-2</v>
      </c>
      <c r="AA337" s="115">
        <f t="shared" si="508"/>
        <v>3.2000000000000001E-2</v>
      </c>
      <c r="AB337" s="115">
        <f t="shared" si="508"/>
        <v>3.2000000000000001E-2</v>
      </c>
      <c r="AC337" s="115">
        <f t="shared" si="508"/>
        <v>3.2000000000000001E-2</v>
      </c>
      <c r="AD337" s="115">
        <f t="shared" si="508"/>
        <v>3.2000000000000001E-2</v>
      </c>
      <c r="AE337" s="115">
        <f t="shared" si="508"/>
        <v>3.2000000000000001E-2</v>
      </c>
      <c r="AF337" s="115">
        <f t="shared" si="508"/>
        <v>3.2000000000000001E-2</v>
      </c>
      <c r="AG337" s="115">
        <f t="shared" si="508"/>
        <v>3.2000000000000001E-2</v>
      </c>
      <c r="AH337" s="115">
        <f t="shared" si="508"/>
        <v>3.2000000000000001E-2</v>
      </c>
      <c r="AI337" s="115">
        <f t="shared" si="508"/>
        <v>3.5000000000000003E-2</v>
      </c>
      <c r="AJ337" s="115">
        <f t="shared" si="508"/>
        <v>3.5000000000000003E-2</v>
      </c>
      <c r="AK337" s="115">
        <f t="shared" ref="AK337:BP337" si="509" xml:space="preserve"> AK$332</f>
        <v>3.5000000000000003E-2</v>
      </c>
      <c r="AL337" s="115">
        <f t="shared" si="509"/>
        <v>3.5000000000000003E-2</v>
      </c>
      <c r="AM337" s="115">
        <f t="shared" si="509"/>
        <v>3.5000000000000003E-2</v>
      </c>
      <c r="AN337" s="115">
        <f t="shared" si="509"/>
        <v>3.5000000000000003E-2</v>
      </c>
      <c r="AO337" s="115">
        <f t="shared" si="509"/>
        <v>3.5000000000000003E-2</v>
      </c>
      <c r="AP337" s="115">
        <f t="shared" si="509"/>
        <v>3.5000000000000003E-2</v>
      </c>
      <c r="AQ337" s="115">
        <f t="shared" si="509"/>
        <v>3.5000000000000003E-2</v>
      </c>
      <c r="AR337" s="115">
        <f t="shared" si="509"/>
        <v>3.5000000000000003E-2</v>
      </c>
      <c r="AS337" s="115">
        <f t="shared" si="509"/>
        <v>3.5000000000000003E-2</v>
      </c>
      <c r="AT337" s="115">
        <f t="shared" si="509"/>
        <v>3.5000000000000003E-2</v>
      </c>
      <c r="AU337" s="115">
        <f t="shared" si="509"/>
        <v>3.5000000000000003E-2</v>
      </c>
      <c r="AV337" s="115">
        <f t="shared" si="509"/>
        <v>3.5000000000000003E-2</v>
      </c>
      <c r="AW337" s="115">
        <f t="shared" si="509"/>
        <v>0</v>
      </c>
      <c r="AX337" s="115">
        <f t="shared" si="509"/>
        <v>0</v>
      </c>
      <c r="AY337" s="115">
        <f t="shared" si="509"/>
        <v>0</v>
      </c>
      <c r="AZ337" s="115">
        <f t="shared" si="509"/>
        <v>0</v>
      </c>
      <c r="BA337" s="115">
        <f t="shared" si="509"/>
        <v>0</v>
      </c>
      <c r="BB337" s="115">
        <f t="shared" si="509"/>
        <v>0</v>
      </c>
      <c r="BC337" s="115">
        <f t="shared" si="509"/>
        <v>0</v>
      </c>
      <c r="BD337" s="115">
        <f t="shared" si="509"/>
        <v>0</v>
      </c>
      <c r="BE337" s="115">
        <f t="shared" si="509"/>
        <v>0</v>
      </c>
      <c r="BF337" s="115">
        <f t="shared" si="509"/>
        <v>0</v>
      </c>
      <c r="BG337" s="115">
        <f t="shared" si="509"/>
        <v>0</v>
      </c>
      <c r="BH337" s="115">
        <f t="shared" si="509"/>
        <v>0</v>
      </c>
      <c r="BI337" s="115">
        <f t="shared" si="509"/>
        <v>0</v>
      </c>
      <c r="BJ337" s="115">
        <f t="shared" si="509"/>
        <v>0</v>
      </c>
      <c r="BK337" s="115">
        <f t="shared" si="509"/>
        <v>0</v>
      </c>
      <c r="BL337" s="115">
        <f t="shared" si="509"/>
        <v>0</v>
      </c>
      <c r="BM337" s="115">
        <f t="shared" si="509"/>
        <v>0</v>
      </c>
      <c r="BN337" s="115">
        <f t="shared" si="509"/>
        <v>0</v>
      </c>
      <c r="BO337" s="115">
        <f t="shared" si="509"/>
        <v>0</v>
      </c>
      <c r="BP337" s="115">
        <f t="shared" si="509"/>
        <v>0</v>
      </c>
      <c r="BQ337" s="115">
        <f t="shared" ref="BQ337:CV337" si="510" xml:space="preserve"> BQ$332</f>
        <v>0</v>
      </c>
      <c r="BR337" s="115">
        <f t="shared" si="510"/>
        <v>0</v>
      </c>
      <c r="BS337" s="115">
        <f t="shared" si="510"/>
        <v>0</v>
      </c>
      <c r="BT337" s="115">
        <f t="shared" si="510"/>
        <v>0</v>
      </c>
      <c r="BU337" s="115">
        <f t="shared" si="510"/>
        <v>0</v>
      </c>
      <c r="BV337" s="115">
        <f t="shared" si="510"/>
        <v>0</v>
      </c>
      <c r="BW337" s="115">
        <f t="shared" si="510"/>
        <v>0</v>
      </c>
      <c r="BX337" s="115">
        <f t="shared" si="510"/>
        <v>0</v>
      </c>
      <c r="BY337" s="115">
        <f t="shared" si="510"/>
        <v>0</v>
      </c>
      <c r="BZ337" s="115">
        <f t="shared" si="510"/>
        <v>0</v>
      </c>
      <c r="CA337" s="115">
        <f t="shared" si="510"/>
        <v>0</v>
      </c>
      <c r="CB337" s="115">
        <f t="shared" si="510"/>
        <v>0</v>
      </c>
      <c r="CC337" s="115">
        <f t="shared" si="510"/>
        <v>0</v>
      </c>
      <c r="CD337" s="115">
        <f t="shared" si="510"/>
        <v>0</v>
      </c>
      <c r="CE337" s="115">
        <f t="shared" si="510"/>
        <v>0</v>
      </c>
      <c r="CF337" s="115">
        <f t="shared" si="510"/>
        <v>0</v>
      </c>
      <c r="CG337" s="115">
        <f t="shared" si="510"/>
        <v>0</v>
      </c>
      <c r="CH337" s="115">
        <f t="shared" si="510"/>
        <v>0</v>
      </c>
      <c r="CI337" s="115">
        <f t="shared" si="510"/>
        <v>0</v>
      </c>
      <c r="CJ337" s="115">
        <f t="shared" si="510"/>
        <v>0</v>
      </c>
      <c r="CK337" s="115">
        <f t="shared" si="510"/>
        <v>0</v>
      </c>
      <c r="CL337" s="115">
        <f t="shared" si="510"/>
        <v>0</v>
      </c>
      <c r="CM337" s="115">
        <f t="shared" si="510"/>
        <v>0</v>
      </c>
      <c r="CN337" s="115">
        <f t="shared" si="510"/>
        <v>0</v>
      </c>
      <c r="CO337" s="115">
        <f t="shared" si="510"/>
        <v>0</v>
      </c>
      <c r="CP337" s="115">
        <f t="shared" si="510"/>
        <v>0</v>
      </c>
      <c r="CQ337" s="115">
        <f t="shared" si="510"/>
        <v>0</v>
      </c>
      <c r="CR337" s="115">
        <f t="shared" si="510"/>
        <v>0</v>
      </c>
      <c r="CS337" s="115">
        <f t="shared" si="510"/>
        <v>0</v>
      </c>
      <c r="CT337" s="115">
        <f t="shared" si="510"/>
        <v>0</v>
      </c>
      <c r="CU337" s="115">
        <f t="shared" si="510"/>
        <v>0</v>
      </c>
      <c r="CV337" s="115">
        <f t="shared" si="510"/>
        <v>0</v>
      </c>
    </row>
    <row r="338" spans="1:100" ht="12.75" outlineLevel="2" x14ac:dyDescent="0.2">
      <c r="E338" s="450" t="str">
        <f xml:space="preserve"> InpS!E$13</f>
        <v>Active debt forward curve</v>
      </c>
      <c r="F338" s="450">
        <f xml:space="preserve"> InpS!F$13</f>
        <v>0</v>
      </c>
      <c r="G338" s="450" t="str">
        <f xml:space="preserve"> InpS!G$13</f>
        <v>% p.a.</v>
      </c>
      <c r="H338" s="450">
        <f xml:space="preserve"> InpS!H$13</f>
        <v>0</v>
      </c>
      <c r="I338" s="450">
        <f xml:space="preserve"> InpS!I$13</f>
        <v>0</v>
      </c>
      <c r="J338" s="450">
        <f xml:space="preserve"> InpS!J$13</f>
        <v>2.0062E-2</v>
      </c>
      <c r="K338" s="450">
        <f xml:space="preserve"> InpS!K$13</f>
        <v>2.0124E-2</v>
      </c>
      <c r="L338" s="450">
        <f xml:space="preserve"> InpS!L$13</f>
        <v>2.0184000000000001E-2</v>
      </c>
      <c r="M338" s="450">
        <f xml:space="preserve"> InpS!M$13</f>
        <v>2.0241000000000002E-2</v>
      </c>
      <c r="N338" s="450">
        <f xml:space="preserve"> InpS!N$13</f>
        <v>2.0308000000000003E-2</v>
      </c>
      <c r="O338" s="450">
        <f xml:space="preserve"> InpS!O$13</f>
        <v>2.0375000000000004E-2</v>
      </c>
      <c r="P338" s="450">
        <f xml:space="preserve"> InpS!P$13</f>
        <v>2.0434000000000004E-2</v>
      </c>
      <c r="Q338" s="450">
        <f xml:space="preserve"> InpS!Q$13</f>
        <v>2.0506000000000003E-2</v>
      </c>
      <c r="R338" s="450">
        <f xml:space="preserve"> InpS!R$13</f>
        <v>2.0569000000000004E-2</v>
      </c>
      <c r="S338" s="450">
        <f xml:space="preserve"> InpS!S$13</f>
        <v>2.0620000000000003E-2</v>
      </c>
      <c r="T338" s="450">
        <f xml:space="preserve"> InpS!T$13</f>
        <v>2.0666000000000004E-2</v>
      </c>
      <c r="U338" s="450">
        <f xml:space="preserve"> InpS!U$13</f>
        <v>2.0719000000000005E-2</v>
      </c>
      <c r="V338" s="450">
        <f xml:space="preserve"> InpS!V$13</f>
        <v>2.0757000000000005E-2</v>
      </c>
      <c r="W338" s="450">
        <f xml:space="preserve"> InpS!W$13</f>
        <v>2.0795000000000004E-2</v>
      </c>
      <c r="X338" s="450">
        <f xml:space="preserve"> InpS!X$13</f>
        <v>2.0850000000000004E-2</v>
      </c>
      <c r="Y338" s="450">
        <f xml:space="preserve"> InpS!Y$13</f>
        <v>2.0888000000000004E-2</v>
      </c>
      <c r="Z338" s="450">
        <f xml:space="preserve"> InpS!Z$13</f>
        <v>2.0954000000000004E-2</v>
      </c>
      <c r="AA338" s="450">
        <f xml:space="preserve"> InpS!AA$13</f>
        <v>2.1024000000000004E-2</v>
      </c>
      <c r="AB338" s="450">
        <f xml:space="preserve"> InpS!AB$13</f>
        <v>2.1091000000000006E-2</v>
      </c>
      <c r="AC338" s="450">
        <f xml:space="preserve"> InpS!AC$13</f>
        <v>2.1134000000000007E-2</v>
      </c>
      <c r="AD338" s="450">
        <f xml:space="preserve"> InpS!AD$13</f>
        <v>2.1205000000000009E-2</v>
      </c>
      <c r="AE338" s="450">
        <f xml:space="preserve"> InpS!AE$13</f>
        <v>2.127900000000001E-2</v>
      </c>
      <c r="AF338" s="450">
        <f xml:space="preserve"> InpS!AF$13</f>
        <v>2.1316000000000009E-2</v>
      </c>
      <c r="AG338" s="450">
        <f xml:space="preserve"> InpS!AG$13</f>
        <v>2.1367000000000008E-2</v>
      </c>
      <c r="AH338" s="450">
        <f xml:space="preserve"> InpS!AH$13</f>
        <v>2.1421000000000006E-2</v>
      </c>
      <c r="AI338" s="450">
        <f xml:space="preserve"> InpS!AI$13</f>
        <v>2.1470000000000006E-2</v>
      </c>
      <c r="AJ338" s="450">
        <f xml:space="preserve"> InpS!AJ$13</f>
        <v>2.1516000000000007E-2</v>
      </c>
      <c r="AK338" s="450">
        <f xml:space="preserve"> InpS!AK$13</f>
        <v>2.1570000000000006E-2</v>
      </c>
      <c r="AL338" s="450">
        <f xml:space="preserve"> InpS!AL$13</f>
        <v>2.1639000000000005E-2</v>
      </c>
      <c r="AM338" s="450">
        <f xml:space="preserve"> InpS!AM$13</f>
        <v>2.1709000000000006E-2</v>
      </c>
      <c r="AN338" s="450">
        <f xml:space="preserve"> InpS!AN$13</f>
        <v>2.1772000000000007E-2</v>
      </c>
      <c r="AO338" s="450">
        <f xml:space="preserve"> InpS!AO$13</f>
        <v>2.1813000000000006E-2</v>
      </c>
      <c r="AP338" s="450">
        <f xml:space="preserve"> InpS!AP$13</f>
        <v>2.1858000000000006E-2</v>
      </c>
      <c r="AQ338" s="450">
        <f xml:space="preserve"> InpS!AQ$13</f>
        <v>2.1913000000000005E-2</v>
      </c>
      <c r="AR338" s="450">
        <f xml:space="preserve"> InpS!AR$13</f>
        <v>2.1986000000000006E-2</v>
      </c>
      <c r="AS338" s="450">
        <f xml:space="preserve"> InpS!AS$13</f>
        <v>2.2041000000000005E-2</v>
      </c>
      <c r="AT338" s="450">
        <f xml:space="preserve"> InpS!AT$13</f>
        <v>2.2089000000000004E-2</v>
      </c>
      <c r="AU338" s="450">
        <f xml:space="preserve"> InpS!AU$13</f>
        <v>2.2148000000000004E-2</v>
      </c>
      <c r="AV338" s="450">
        <f xml:space="preserve"> InpS!AV$13</f>
        <v>2.2216000000000003E-2</v>
      </c>
      <c r="AW338" s="450">
        <f xml:space="preserve"> InpS!AW$13</f>
        <v>2.2282000000000003E-2</v>
      </c>
      <c r="AX338" s="450">
        <f xml:space="preserve"> InpS!AX$13</f>
        <v>2.2351000000000003E-2</v>
      </c>
      <c r="AY338" s="450">
        <f xml:space="preserve"> InpS!AY$13</f>
        <v>2.2409000000000002E-2</v>
      </c>
      <c r="AZ338" s="450">
        <f xml:space="preserve"> InpS!AZ$13</f>
        <v>2.2445000000000003E-2</v>
      </c>
      <c r="BA338" s="450">
        <f xml:space="preserve"> InpS!BA$13</f>
        <v>2.2489000000000002E-2</v>
      </c>
      <c r="BB338" s="450">
        <f xml:space="preserve"> InpS!BB$13</f>
        <v>2.2535000000000003E-2</v>
      </c>
      <c r="BC338" s="450">
        <f xml:space="preserve"> InpS!BC$13</f>
        <v>2.2607000000000002E-2</v>
      </c>
      <c r="BD338" s="450">
        <f xml:space="preserve"> InpS!BD$13</f>
        <v>2.2647E-2</v>
      </c>
      <c r="BE338" s="450">
        <f xml:space="preserve"> InpS!BE$13</f>
        <v>2.2683999999999999E-2</v>
      </c>
      <c r="BF338" s="450">
        <f xml:space="preserve"> InpS!BF$13</f>
        <v>2.2734000000000001E-2</v>
      </c>
      <c r="BG338" s="450">
        <f xml:space="preserve"> InpS!BG$13</f>
        <v>2.2806E-2</v>
      </c>
      <c r="BH338" s="450">
        <f xml:space="preserve"> InpS!BH$13</f>
        <v>2.2852000000000001E-2</v>
      </c>
      <c r="BI338" s="450">
        <f xml:space="preserve"> InpS!BI$13</f>
        <v>2.2898999999999999E-2</v>
      </c>
      <c r="BJ338" s="450">
        <f xml:space="preserve"> InpS!BJ$13</f>
        <v>2.2952999999999998E-2</v>
      </c>
      <c r="BK338" s="450">
        <f xml:space="preserve"> InpS!BK$13</f>
        <v>2.3027999999999996E-2</v>
      </c>
      <c r="BL338" s="450">
        <f xml:space="preserve"> InpS!BL$13</f>
        <v>2.3093999999999996E-2</v>
      </c>
      <c r="BM338" s="450">
        <f xml:space="preserve"> InpS!BM$13</f>
        <v>2.3145999999999996E-2</v>
      </c>
      <c r="BN338" s="450">
        <f xml:space="preserve"> InpS!BN$13</f>
        <v>2.3211999999999997E-2</v>
      </c>
      <c r="BO338" s="450">
        <f xml:space="preserve"> InpS!BO$13</f>
        <v>2.3253999999999997E-2</v>
      </c>
      <c r="BP338" s="450">
        <f xml:space="preserve"> InpS!BP$13</f>
        <v>2.3288999999999997E-2</v>
      </c>
      <c r="BQ338" s="450">
        <f xml:space="preserve"> InpS!BQ$13</f>
        <v>2.3333999999999997E-2</v>
      </c>
      <c r="BR338" s="450">
        <f xml:space="preserve"> InpS!BR$13</f>
        <v>2.3372999999999998E-2</v>
      </c>
      <c r="BS338" s="450">
        <f xml:space="preserve"> InpS!BS$13</f>
        <v>2.3413999999999997E-2</v>
      </c>
      <c r="BT338" s="450">
        <f xml:space="preserve"> InpS!BT$13</f>
        <v>2.3472999999999997E-2</v>
      </c>
      <c r="BU338" s="450">
        <f xml:space="preserve"> InpS!BU$13</f>
        <v>2.3519999999999996E-2</v>
      </c>
      <c r="BV338" s="450">
        <f xml:space="preserve"> InpS!BV$13</f>
        <v>2.3592999999999996E-2</v>
      </c>
      <c r="BW338" s="450">
        <f xml:space="preserve"> InpS!BW$13</f>
        <v>2.3660999999999995E-2</v>
      </c>
      <c r="BX338" s="450">
        <f xml:space="preserve"> InpS!BX$13</f>
        <v>2.3728999999999993E-2</v>
      </c>
      <c r="BY338" s="450">
        <f xml:space="preserve"> InpS!BY$13</f>
        <v>2.3785999999999995E-2</v>
      </c>
      <c r="BZ338" s="450">
        <f xml:space="preserve"> InpS!BZ$13</f>
        <v>2.3841999999999995E-2</v>
      </c>
      <c r="CA338" s="450">
        <f xml:space="preserve"> InpS!CA$13</f>
        <v>2.3907999999999995E-2</v>
      </c>
      <c r="CB338" s="450">
        <f xml:space="preserve"> InpS!CB$13</f>
        <v>2.3961999999999994E-2</v>
      </c>
      <c r="CC338" s="450">
        <f xml:space="preserve"> InpS!CC$13</f>
        <v>2.4011999999999995E-2</v>
      </c>
      <c r="CD338" s="450">
        <f xml:space="preserve"> InpS!CD$13</f>
        <v>2.4070999999999995E-2</v>
      </c>
      <c r="CE338" s="450">
        <f xml:space="preserve"> InpS!CE$13</f>
        <v>2.4119999999999996E-2</v>
      </c>
      <c r="CF338" s="450">
        <f xml:space="preserve"> InpS!CF$13</f>
        <v>2.4166999999999994E-2</v>
      </c>
      <c r="CG338" s="450">
        <f xml:space="preserve"> InpS!CG$13</f>
        <v>2.4215999999999994E-2</v>
      </c>
      <c r="CH338" s="450">
        <f xml:space="preserve"> InpS!CH$13</f>
        <v>2.4263999999999994E-2</v>
      </c>
      <c r="CI338" s="450">
        <f xml:space="preserve"> InpS!CI$13</f>
        <v>2.4301999999999994E-2</v>
      </c>
      <c r="CJ338" s="450">
        <f xml:space="preserve"> InpS!CJ$13</f>
        <v>2.4365999999999995E-2</v>
      </c>
      <c r="CK338" s="450">
        <f xml:space="preserve"> InpS!CK$13</f>
        <v>2.4408999999999997E-2</v>
      </c>
      <c r="CL338" s="450">
        <f xml:space="preserve"> InpS!CL$13</f>
        <v>2.4462999999999995E-2</v>
      </c>
      <c r="CM338" s="450">
        <f xml:space="preserve"> InpS!CM$13</f>
        <v>2.4530999999999994E-2</v>
      </c>
      <c r="CN338" s="450">
        <f xml:space="preserve"> InpS!CN$13</f>
        <v>2.4586999999999994E-2</v>
      </c>
      <c r="CO338" s="450">
        <f xml:space="preserve"> InpS!CO$13</f>
        <v>2.4622999999999996E-2</v>
      </c>
      <c r="CP338" s="450">
        <f xml:space="preserve"> InpS!CP$13</f>
        <v>2.4688999999999996E-2</v>
      </c>
      <c r="CQ338" s="450">
        <f xml:space="preserve"> InpS!CQ$13</f>
        <v>2.4738999999999997E-2</v>
      </c>
      <c r="CR338" s="450">
        <f xml:space="preserve"> InpS!CR$13</f>
        <v>2.4789999999999996E-2</v>
      </c>
      <c r="CS338" s="450">
        <f xml:space="preserve"> InpS!CS$13</f>
        <v>2.4834999999999996E-2</v>
      </c>
      <c r="CT338" s="450">
        <f xml:space="preserve"> InpS!CT$13</f>
        <v>2.4872999999999996E-2</v>
      </c>
      <c r="CU338" s="450">
        <f xml:space="preserve"> InpS!CU$13</f>
        <v>2.4930999999999995E-2</v>
      </c>
      <c r="CV338" s="450">
        <f xml:space="preserve"> InpS!CV$13</f>
        <v>2.4983999999999996E-2</v>
      </c>
    </row>
    <row r="339" spans="1:100" ht="12.75" outlineLevel="2" x14ac:dyDescent="0.2">
      <c r="A339" s="236"/>
      <c r="B339" s="236"/>
      <c r="C339" s="237"/>
      <c r="D339" s="238"/>
      <c r="E339" s="467" t="s">
        <v>989</v>
      </c>
      <c r="F339" s="467"/>
      <c r="G339" s="467" t="s">
        <v>116</v>
      </c>
      <c r="H339" s="467"/>
      <c r="I339" s="467"/>
      <c r="J339" s="467">
        <f t="shared" ref="J339:AO339" si="511" xml:space="preserve"> $F334 * $F335 + (1 - $F334) * J338 + J337 + $F336</f>
        <v>1.7000000000000001E-2</v>
      </c>
      <c r="K339" s="467">
        <f t="shared" si="511"/>
        <v>1.7000000000000001E-2</v>
      </c>
      <c r="L339" s="467">
        <f t="shared" si="511"/>
        <v>1.7000000000000001E-2</v>
      </c>
      <c r="M339" s="467">
        <f t="shared" si="511"/>
        <v>1.7000000000000001E-2</v>
      </c>
      <c r="N339" s="467">
        <f t="shared" si="511"/>
        <v>1.7000000000000001E-2</v>
      </c>
      <c r="O339" s="467">
        <f t="shared" si="511"/>
        <v>4.7E-2</v>
      </c>
      <c r="P339" s="467">
        <f t="shared" si="511"/>
        <v>4.7E-2</v>
      </c>
      <c r="Q339" s="467">
        <f t="shared" si="511"/>
        <v>4.7E-2</v>
      </c>
      <c r="R339" s="467">
        <f t="shared" si="511"/>
        <v>4.7E-2</v>
      </c>
      <c r="S339" s="467">
        <f t="shared" si="511"/>
        <v>4.7E-2</v>
      </c>
      <c r="T339" s="467">
        <f t="shared" si="511"/>
        <v>4.7E-2</v>
      </c>
      <c r="U339" s="467">
        <f t="shared" si="511"/>
        <v>4.7E-2</v>
      </c>
      <c r="V339" s="467">
        <f t="shared" si="511"/>
        <v>4.7E-2</v>
      </c>
      <c r="W339" s="467">
        <f t="shared" si="511"/>
        <v>4.7E-2</v>
      </c>
      <c r="X339" s="467">
        <f t="shared" si="511"/>
        <v>4.7E-2</v>
      </c>
      <c r="Y339" s="467">
        <f t="shared" si="511"/>
        <v>4.9000000000000002E-2</v>
      </c>
      <c r="Z339" s="467">
        <f t="shared" si="511"/>
        <v>4.9000000000000002E-2</v>
      </c>
      <c r="AA339" s="467">
        <f t="shared" si="511"/>
        <v>4.9000000000000002E-2</v>
      </c>
      <c r="AB339" s="467">
        <f t="shared" si="511"/>
        <v>4.9000000000000002E-2</v>
      </c>
      <c r="AC339" s="467">
        <f t="shared" si="511"/>
        <v>4.9000000000000002E-2</v>
      </c>
      <c r="AD339" s="467">
        <f t="shared" si="511"/>
        <v>4.9000000000000002E-2</v>
      </c>
      <c r="AE339" s="467">
        <f t="shared" si="511"/>
        <v>4.9000000000000002E-2</v>
      </c>
      <c r="AF339" s="467">
        <f t="shared" si="511"/>
        <v>4.9000000000000002E-2</v>
      </c>
      <c r="AG339" s="467">
        <f t="shared" si="511"/>
        <v>4.9000000000000002E-2</v>
      </c>
      <c r="AH339" s="467">
        <f t="shared" si="511"/>
        <v>4.9000000000000002E-2</v>
      </c>
      <c r="AI339" s="467">
        <f t="shared" si="511"/>
        <v>5.2000000000000005E-2</v>
      </c>
      <c r="AJ339" s="467">
        <f t="shared" si="511"/>
        <v>5.2000000000000005E-2</v>
      </c>
      <c r="AK339" s="467">
        <f t="shared" si="511"/>
        <v>5.2000000000000005E-2</v>
      </c>
      <c r="AL339" s="467">
        <f t="shared" si="511"/>
        <v>5.2000000000000005E-2</v>
      </c>
      <c r="AM339" s="467">
        <f t="shared" si="511"/>
        <v>5.2000000000000005E-2</v>
      </c>
      <c r="AN339" s="467">
        <f t="shared" si="511"/>
        <v>5.2000000000000005E-2</v>
      </c>
      <c r="AO339" s="467">
        <f t="shared" si="511"/>
        <v>5.2000000000000005E-2</v>
      </c>
      <c r="AP339" s="467">
        <f t="shared" ref="AP339:BU339" si="512" xml:space="preserve"> $F334 * $F335 + (1 - $F334) * AP338 + AP337 + $F336</f>
        <v>5.2000000000000005E-2</v>
      </c>
      <c r="AQ339" s="467">
        <f t="shared" si="512"/>
        <v>5.2000000000000005E-2</v>
      </c>
      <c r="AR339" s="467">
        <f t="shared" si="512"/>
        <v>5.2000000000000005E-2</v>
      </c>
      <c r="AS339" s="467">
        <f t="shared" si="512"/>
        <v>5.2000000000000005E-2</v>
      </c>
      <c r="AT339" s="467">
        <f t="shared" si="512"/>
        <v>5.2000000000000005E-2</v>
      </c>
      <c r="AU339" s="467">
        <f t="shared" si="512"/>
        <v>5.2000000000000005E-2</v>
      </c>
      <c r="AV339" s="467">
        <f t="shared" si="512"/>
        <v>5.2000000000000005E-2</v>
      </c>
      <c r="AW339" s="467">
        <f t="shared" si="512"/>
        <v>1.7000000000000001E-2</v>
      </c>
      <c r="AX339" s="467">
        <f t="shared" si="512"/>
        <v>1.7000000000000001E-2</v>
      </c>
      <c r="AY339" s="467">
        <f t="shared" si="512"/>
        <v>1.7000000000000001E-2</v>
      </c>
      <c r="AZ339" s="467">
        <f t="shared" si="512"/>
        <v>1.7000000000000001E-2</v>
      </c>
      <c r="BA339" s="467">
        <f t="shared" si="512"/>
        <v>1.7000000000000001E-2</v>
      </c>
      <c r="BB339" s="467">
        <f t="shared" si="512"/>
        <v>1.7000000000000001E-2</v>
      </c>
      <c r="BC339" s="467">
        <f t="shared" si="512"/>
        <v>1.7000000000000001E-2</v>
      </c>
      <c r="BD339" s="467">
        <f t="shared" si="512"/>
        <v>1.7000000000000001E-2</v>
      </c>
      <c r="BE339" s="467">
        <f t="shared" si="512"/>
        <v>1.7000000000000001E-2</v>
      </c>
      <c r="BF339" s="467">
        <f t="shared" si="512"/>
        <v>1.7000000000000001E-2</v>
      </c>
      <c r="BG339" s="467">
        <f t="shared" si="512"/>
        <v>1.7000000000000001E-2</v>
      </c>
      <c r="BH339" s="467">
        <f t="shared" si="512"/>
        <v>1.7000000000000001E-2</v>
      </c>
      <c r="BI339" s="467">
        <f t="shared" si="512"/>
        <v>1.7000000000000001E-2</v>
      </c>
      <c r="BJ339" s="467">
        <f t="shared" si="512"/>
        <v>1.7000000000000001E-2</v>
      </c>
      <c r="BK339" s="467">
        <f t="shared" si="512"/>
        <v>1.7000000000000001E-2</v>
      </c>
      <c r="BL339" s="467">
        <f t="shared" si="512"/>
        <v>1.7000000000000001E-2</v>
      </c>
      <c r="BM339" s="467">
        <f t="shared" si="512"/>
        <v>1.7000000000000001E-2</v>
      </c>
      <c r="BN339" s="467">
        <f t="shared" si="512"/>
        <v>1.7000000000000001E-2</v>
      </c>
      <c r="BO339" s="467">
        <f t="shared" si="512"/>
        <v>1.7000000000000001E-2</v>
      </c>
      <c r="BP339" s="467">
        <f t="shared" si="512"/>
        <v>1.7000000000000001E-2</v>
      </c>
      <c r="BQ339" s="467">
        <f t="shared" si="512"/>
        <v>1.7000000000000001E-2</v>
      </c>
      <c r="BR339" s="467">
        <f t="shared" si="512"/>
        <v>1.7000000000000001E-2</v>
      </c>
      <c r="BS339" s="467">
        <f t="shared" si="512"/>
        <v>1.7000000000000001E-2</v>
      </c>
      <c r="BT339" s="467">
        <f t="shared" si="512"/>
        <v>1.7000000000000001E-2</v>
      </c>
      <c r="BU339" s="467">
        <f t="shared" si="512"/>
        <v>1.7000000000000001E-2</v>
      </c>
      <c r="BV339" s="467">
        <f t="shared" ref="BV339:CV339" si="513" xml:space="preserve"> $F334 * $F335 + (1 - $F334) * BV338 + BV337 + $F336</f>
        <v>1.7000000000000001E-2</v>
      </c>
      <c r="BW339" s="467">
        <f t="shared" si="513"/>
        <v>1.7000000000000001E-2</v>
      </c>
      <c r="BX339" s="467">
        <f t="shared" si="513"/>
        <v>1.7000000000000001E-2</v>
      </c>
      <c r="BY339" s="467">
        <f t="shared" si="513"/>
        <v>1.7000000000000001E-2</v>
      </c>
      <c r="BZ339" s="467">
        <f t="shared" si="513"/>
        <v>1.7000000000000001E-2</v>
      </c>
      <c r="CA339" s="467">
        <f t="shared" si="513"/>
        <v>1.7000000000000001E-2</v>
      </c>
      <c r="CB339" s="467">
        <f t="shared" si="513"/>
        <v>1.7000000000000001E-2</v>
      </c>
      <c r="CC339" s="467">
        <f t="shared" si="513"/>
        <v>1.7000000000000001E-2</v>
      </c>
      <c r="CD339" s="467">
        <f t="shared" si="513"/>
        <v>1.7000000000000001E-2</v>
      </c>
      <c r="CE339" s="467">
        <f t="shared" si="513"/>
        <v>1.7000000000000001E-2</v>
      </c>
      <c r="CF339" s="467">
        <f t="shared" si="513"/>
        <v>1.7000000000000001E-2</v>
      </c>
      <c r="CG339" s="467">
        <f t="shared" si="513"/>
        <v>1.7000000000000001E-2</v>
      </c>
      <c r="CH339" s="467">
        <f t="shared" si="513"/>
        <v>1.7000000000000001E-2</v>
      </c>
      <c r="CI339" s="467">
        <f t="shared" si="513"/>
        <v>1.7000000000000001E-2</v>
      </c>
      <c r="CJ339" s="467">
        <f t="shared" si="513"/>
        <v>1.7000000000000001E-2</v>
      </c>
      <c r="CK339" s="467">
        <f t="shared" si="513"/>
        <v>1.7000000000000001E-2</v>
      </c>
      <c r="CL339" s="467">
        <f t="shared" si="513"/>
        <v>1.7000000000000001E-2</v>
      </c>
      <c r="CM339" s="467">
        <f t="shared" si="513"/>
        <v>1.7000000000000001E-2</v>
      </c>
      <c r="CN339" s="467">
        <f t="shared" si="513"/>
        <v>1.7000000000000001E-2</v>
      </c>
      <c r="CO339" s="467">
        <f t="shared" si="513"/>
        <v>1.7000000000000001E-2</v>
      </c>
      <c r="CP339" s="467">
        <f t="shared" si="513"/>
        <v>1.7000000000000001E-2</v>
      </c>
      <c r="CQ339" s="467">
        <f t="shared" si="513"/>
        <v>1.7000000000000001E-2</v>
      </c>
      <c r="CR339" s="467">
        <f t="shared" si="513"/>
        <v>1.7000000000000001E-2</v>
      </c>
      <c r="CS339" s="467">
        <f t="shared" si="513"/>
        <v>1.7000000000000001E-2</v>
      </c>
      <c r="CT339" s="467">
        <f t="shared" si="513"/>
        <v>1.7000000000000001E-2</v>
      </c>
      <c r="CU339" s="467">
        <f t="shared" si="513"/>
        <v>1.7000000000000001E-2</v>
      </c>
      <c r="CV339" s="467">
        <f t="shared" si="513"/>
        <v>1.7000000000000001E-2</v>
      </c>
    </row>
    <row r="340" spans="1:100" ht="12.75" outlineLevel="2" x14ac:dyDescent="0.2"/>
    <row r="341" spans="1:100" ht="12.75" outlineLevel="2" x14ac:dyDescent="0.2">
      <c r="E341" s="145" t="str">
        <f xml:space="preserve"> InpC!E$266</f>
        <v>Senior debt - T2 day count convention</v>
      </c>
      <c r="F341" s="145">
        <f xml:space="preserve"> InpC!F$266</f>
        <v>360</v>
      </c>
      <c r="G341" s="145" t="str">
        <f xml:space="preserve"> InpC!G$266</f>
        <v>days</v>
      </c>
      <c r="H341" s="38"/>
    </row>
    <row r="342" spans="1:100" ht="12.75" outlineLevel="2" x14ac:dyDescent="0.2">
      <c r="E342" s="186" t="str">
        <f xml:space="preserve"> Time!E$246</f>
        <v>Days in period</v>
      </c>
      <c r="F342" s="186">
        <f xml:space="preserve"> Time!F$246</f>
        <v>0</v>
      </c>
      <c r="G342" s="186" t="str">
        <f xml:space="preserve"> Time!G$246</f>
        <v>days</v>
      </c>
      <c r="H342" s="186">
        <f xml:space="preserve"> Time!H$246</f>
        <v>0</v>
      </c>
      <c r="I342" s="186">
        <f xml:space="preserve"> Time!I$246</f>
        <v>0</v>
      </c>
      <c r="J342" s="186">
        <f xml:space="preserve"> Time!J$246</f>
        <v>181</v>
      </c>
      <c r="K342" s="186">
        <f xml:space="preserve"> Time!K$246</f>
        <v>184</v>
      </c>
      <c r="L342" s="186">
        <f xml:space="preserve"> Time!L$246</f>
        <v>181</v>
      </c>
      <c r="M342" s="186">
        <f xml:space="preserve"> Time!M$246</f>
        <v>184</v>
      </c>
      <c r="N342" s="186">
        <f xml:space="preserve"> Time!N$246</f>
        <v>182</v>
      </c>
      <c r="O342" s="186">
        <f xml:space="preserve"> Time!O$246</f>
        <v>184</v>
      </c>
      <c r="P342" s="186">
        <f xml:space="preserve"> Time!P$246</f>
        <v>181</v>
      </c>
      <c r="Q342" s="186">
        <f xml:space="preserve"> Time!Q$246</f>
        <v>184</v>
      </c>
      <c r="R342" s="186">
        <f xml:space="preserve"> Time!R$246</f>
        <v>181</v>
      </c>
      <c r="S342" s="186">
        <f xml:space="preserve"> Time!S$246</f>
        <v>184</v>
      </c>
      <c r="T342" s="186">
        <f xml:space="preserve"> Time!T$246</f>
        <v>181</v>
      </c>
      <c r="U342" s="186">
        <f xml:space="preserve"> Time!U$246</f>
        <v>184</v>
      </c>
      <c r="V342" s="186">
        <f xml:space="preserve"> Time!V$246</f>
        <v>182</v>
      </c>
      <c r="W342" s="186">
        <f xml:space="preserve"> Time!W$246</f>
        <v>184</v>
      </c>
      <c r="X342" s="186">
        <f xml:space="preserve"> Time!X$246</f>
        <v>181</v>
      </c>
      <c r="Y342" s="186">
        <f xml:space="preserve"> Time!Y$246</f>
        <v>184</v>
      </c>
      <c r="Z342" s="186">
        <f xml:space="preserve"> Time!Z$246</f>
        <v>181</v>
      </c>
      <c r="AA342" s="186">
        <f xml:space="preserve"> Time!AA$246</f>
        <v>184</v>
      </c>
      <c r="AB342" s="186">
        <f xml:space="preserve"> Time!AB$246</f>
        <v>181</v>
      </c>
      <c r="AC342" s="186">
        <f xml:space="preserve"> Time!AC$246</f>
        <v>184</v>
      </c>
      <c r="AD342" s="186">
        <f xml:space="preserve"> Time!AD$246</f>
        <v>182</v>
      </c>
      <c r="AE342" s="186">
        <f xml:space="preserve"> Time!AE$246</f>
        <v>184</v>
      </c>
      <c r="AF342" s="186">
        <f xml:space="preserve"> Time!AF$246</f>
        <v>181</v>
      </c>
      <c r="AG342" s="186">
        <f xml:space="preserve"> Time!AG$246</f>
        <v>184</v>
      </c>
      <c r="AH342" s="186">
        <f xml:space="preserve"> Time!AH$246</f>
        <v>181</v>
      </c>
      <c r="AI342" s="186">
        <f xml:space="preserve"> Time!AI$246</f>
        <v>184</v>
      </c>
      <c r="AJ342" s="186">
        <f xml:space="preserve"> Time!AJ$246</f>
        <v>181</v>
      </c>
      <c r="AK342" s="186">
        <f xml:space="preserve"> Time!AK$246</f>
        <v>184</v>
      </c>
      <c r="AL342" s="186">
        <f xml:space="preserve"> Time!AL$246</f>
        <v>182</v>
      </c>
      <c r="AM342" s="186">
        <f xml:space="preserve"> Time!AM$246</f>
        <v>184</v>
      </c>
      <c r="AN342" s="186">
        <f xml:space="preserve"> Time!AN$246</f>
        <v>181</v>
      </c>
      <c r="AO342" s="186">
        <f xml:space="preserve"> Time!AO$246</f>
        <v>184</v>
      </c>
      <c r="AP342" s="186">
        <f xml:space="preserve"> Time!AP$246</f>
        <v>181</v>
      </c>
      <c r="AQ342" s="186">
        <f xml:space="preserve"> Time!AQ$246</f>
        <v>184</v>
      </c>
      <c r="AR342" s="186">
        <f xml:space="preserve"> Time!AR$246</f>
        <v>181</v>
      </c>
      <c r="AS342" s="186">
        <f xml:space="preserve"> Time!AS$246</f>
        <v>184</v>
      </c>
      <c r="AT342" s="186">
        <f xml:space="preserve"> Time!AT$246</f>
        <v>182</v>
      </c>
      <c r="AU342" s="186">
        <f xml:space="preserve"> Time!AU$246</f>
        <v>184</v>
      </c>
      <c r="AV342" s="186">
        <f xml:space="preserve"> Time!AV$246</f>
        <v>181</v>
      </c>
      <c r="AW342" s="186">
        <f xml:space="preserve"> Time!AW$246</f>
        <v>184</v>
      </c>
      <c r="AX342" s="186">
        <f xml:space="preserve"> Time!AX$246</f>
        <v>181</v>
      </c>
      <c r="AY342" s="186">
        <f xml:space="preserve"> Time!AY$246</f>
        <v>184</v>
      </c>
      <c r="AZ342" s="186">
        <f xml:space="preserve"> Time!AZ$246</f>
        <v>181</v>
      </c>
      <c r="BA342" s="186">
        <f xml:space="preserve"> Time!BA$246</f>
        <v>184</v>
      </c>
      <c r="BB342" s="186">
        <f xml:space="preserve"> Time!BB$246</f>
        <v>182</v>
      </c>
      <c r="BC342" s="186">
        <f xml:space="preserve"> Time!BC$246</f>
        <v>184</v>
      </c>
      <c r="BD342" s="186">
        <f xml:space="preserve"> Time!BD$246</f>
        <v>181</v>
      </c>
      <c r="BE342" s="186">
        <f xml:space="preserve"> Time!BE$246</f>
        <v>184</v>
      </c>
      <c r="BF342" s="186">
        <f xml:space="preserve"> Time!BF$246</f>
        <v>181</v>
      </c>
      <c r="BG342" s="186">
        <f xml:space="preserve"> Time!BG$246</f>
        <v>184</v>
      </c>
      <c r="BH342" s="186">
        <f xml:space="preserve"> Time!BH$246</f>
        <v>181</v>
      </c>
      <c r="BI342" s="186">
        <f xml:space="preserve"> Time!BI$246</f>
        <v>184</v>
      </c>
      <c r="BJ342" s="186">
        <f xml:space="preserve"> Time!BJ$246</f>
        <v>182</v>
      </c>
      <c r="BK342" s="186">
        <f xml:space="preserve"> Time!BK$246</f>
        <v>184</v>
      </c>
      <c r="BL342" s="186">
        <f xml:space="preserve"> Time!BL$246</f>
        <v>181</v>
      </c>
      <c r="BM342" s="186">
        <f xml:space="preserve"> Time!BM$246</f>
        <v>184</v>
      </c>
      <c r="BN342" s="186">
        <f xml:space="preserve"> Time!BN$246</f>
        <v>181</v>
      </c>
      <c r="BO342" s="186">
        <f xml:space="preserve"> Time!BO$246</f>
        <v>184</v>
      </c>
      <c r="BP342" s="186">
        <f xml:space="preserve"> Time!BP$246</f>
        <v>181</v>
      </c>
      <c r="BQ342" s="186">
        <f xml:space="preserve"> Time!BQ$246</f>
        <v>184</v>
      </c>
      <c r="BR342" s="186">
        <f xml:space="preserve"> Time!BR$246</f>
        <v>182</v>
      </c>
      <c r="BS342" s="186">
        <f xml:space="preserve"> Time!BS$246</f>
        <v>184</v>
      </c>
      <c r="BT342" s="186">
        <f xml:space="preserve"> Time!BT$246</f>
        <v>181</v>
      </c>
      <c r="BU342" s="186">
        <f xml:space="preserve"> Time!BU$246</f>
        <v>184</v>
      </c>
      <c r="BV342" s="186">
        <f xml:space="preserve"> Time!BV$246</f>
        <v>181</v>
      </c>
      <c r="BW342" s="186">
        <f xml:space="preserve"> Time!BW$246</f>
        <v>184</v>
      </c>
      <c r="BX342" s="186">
        <f xml:space="preserve"> Time!BX$246</f>
        <v>181</v>
      </c>
      <c r="BY342" s="186">
        <f xml:space="preserve"> Time!BY$246</f>
        <v>184</v>
      </c>
      <c r="BZ342" s="186">
        <f xml:space="preserve"> Time!BZ$246</f>
        <v>182</v>
      </c>
      <c r="CA342" s="186">
        <f xml:space="preserve"> Time!CA$246</f>
        <v>184</v>
      </c>
      <c r="CB342" s="186">
        <f xml:space="preserve"> Time!CB$246</f>
        <v>181</v>
      </c>
      <c r="CC342" s="186">
        <f xml:space="preserve"> Time!CC$246</f>
        <v>184</v>
      </c>
      <c r="CD342" s="186">
        <f xml:space="preserve"> Time!CD$246</f>
        <v>181</v>
      </c>
      <c r="CE342" s="186">
        <f xml:space="preserve"> Time!CE$246</f>
        <v>184</v>
      </c>
      <c r="CF342" s="186">
        <f xml:space="preserve"> Time!CF$246</f>
        <v>181</v>
      </c>
      <c r="CG342" s="186">
        <f xml:space="preserve"> Time!CG$246</f>
        <v>184</v>
      </c>
      <c r="CH342" s="186">
        <f xml:space="preserve"> Time!CH$246</f>
        <v>182</v>
      </c>
      <c r="CI342" s="186">
        <f xml:space="preserve"> Time!CI$246</f>
        <v>184</v>
      </c>
      <c r="CJ342" s="186">
        <f xml:space="preserve"> Time!CJ$246</f>
        <v>181</v>
      </c>
      <c r="CK342" s="186">
        <f xml:space="preserve"> Time!CK$246</f>
        <v>184</v>
      </c>
      <c r="CL342" s="186">
        <f xml:space="preserve"> Time!CL$246</f>
        <v>181</v>
      </c>
      <c r="CM342" s="186">
        <f xml:space="preserve"> Time!CM$246</f>
        <v>184</v>
      </c>
      <c r="CN342" s="186">
        <f xml:space="preserve"> Time!CN$246</f>
        <v>181</v>
      </c>
      <c r="CO342" s="186">
        <f xml:space="preserve"> Time!CO$246</f>
        <v>184</v>
      </c>
      <c r="CP342" s="186">
        <f xml:space="preserve"> Time!CP$246</f>
        <v>182</v>
      </c>
      <c r="CQ342" s="186">
        <f xml:space="preserve"> Time!CQ$246</f>
        <v>184</v>
      </c>
      <c r="CR342" s="186">
        <f xml:space="preserve"> Time!CR$246</f>
        <v>181</v>
      </c>
      <c r="CS342" s="186">
        <f xml:space="preserve"> Time!CS$246</f>
        <v>184</v>
      </c>
      <c r="CT342" s="186">
        <f xml:space="preserve"> Time!CT$246</f>
        <v>181</v>
      </c>
      <c r="CU342" s="186">
        <f xml:space="preserve"> Time!CU$246</f>
        <v>184</v>
      </c>
      <c r="CV342" s="186">
        <f xml:space="preserve"> Time!CV$246</f>
        <v>181</v>
      </c>
    </row>
    <row r="343" spans="1:100" ht="12.75" outlineLevel="2" x14ac:dyDescent="0.2">
      <c r="E343" s="287" t="str">
        <f t="shared" ref="E343:AJ343" si="514" xml:space="preserve"> E$339</f>
        <v>All in annual Senior debt interest rate - T2</v>
      </c>
      <c r="F343" s="287">
        <f t="shared" si="514"/>
        <v>0</v>
      </c>
      <c r="G343" s="287" t="str">
        <f t="shared" si="514"/>
        <v>% p.a.</v>
      </c>
      <c r="H343" s="287">
        <f t="shared" si="514"/>
        <v>0</v>
      </c>
      <c r="I343" s="287">
        <f t="shared" si="514"/>
        <v>0</v>
      </c>
      <c r="J343" s="287">
        <f t="shared" si="514"/>
        <v>1.7000000000000001E-2</v>
      </c>
      <c r="K343" s="287">
        <f t="shared" si="514"/>
        <v>1.7000000000000001E-2</v>
      </c>
      <c r="L343" s="287">
        <f t="shared" si="514"/>
        <v>1.7000000000000001E-2</v>
      </c>
      <c r="M343" s="287">
        <f t="shared" si="514"/>
        <v>1.7000000000000001E-2</v>
      </c>
      <c r="N343" s="287">
        <f t="shared" si="514"/>
        <v>1.7000000000000001E-2</v>
      </c>
      <c r="O343" s="287">
        <f t="shared" si="514"/>
        <v>4.7E-2</v>
      </c>
      <c r="P343" s="287">
        <f t="shared" si="514"/>
        <v>4.7E-2</v>
      </c>
      <c r="Q343" s="287">
        <f t="shared" si="514"/>
        <v>4.7E-2</v>
      </c>
      <c r="R343" s="287">
        <f t="shared" si="514"/>
        <v>4.7E-2</v>
      </c>
      <c r="S343" s="287">
        <f t="shared" si="514"/>
        <v>4.7E-2</v>
      </c>
      <c r="T343" s="287">
        <f t="shared" si="514"/>
        <v>4.7E-2</v>
      </c>
      <c r="U343" s="287">
        <f t="shared" si="514"/>
        <v>4.7E-2</v>
      </c>
      <c r="V343" s="287">
        <f t="shared" si="514"/>
        <v>4.7E-2</v>
      </c>
      <c r="W343" s="287">
        <f t="shared" si="514"/>
        <v>4.7E-2</v>
      </c>
      <c r="X343" s="287">
        <f t="shared" si="514"/>
        <v>4.7E-2</v>
      </c>
      <c r="Y343" s="287">
        <f t="shared" si="514"/>
        <v>4.9000000000000002E-2</v>
      </c>
      <c r="Z343" s="287">
        <f t="shared" si="514"/>
        <v>4.9000000000000002E-2</v>
      </c>
      <c r="AA343" s="287">
        <f t="shared" si="514"/>
        <v>4.9000000000000002E-2</v>
      </c>
      <c r="AB343" s="287">
        <f t="shared" si="514"/>
        <v>4.9000000000000002E-2</v>
      </c>
      <c r="AC343" s="287">
        <f t="shared" si="514"/>
        <v>4.9000000000000002E-2</v>
      </c>
      <c r="AD343" s="287">
        <f t="shared" si="514"/>
        <v>4.9000000000000002E-2</v>
      </c>
      <c r="AE343" s="287">
        <f t="shared" si="514"/>
        <v>4.9000000000000002E-2</v>
      </c>
      <c r="AF343" s="287">
        <f t="shared" si="514"/>
        <v>4.9000000000000002E-2</v>
      </c>
      <c r="AG343" s="287">
        <f t="shared" si="514"/>
        <v>4.9000000000000002E-2</v>
      </c>
      <c r="AH343" s="287">
        <f t="shared" si="514"/>
        <v>4.9000000000000002E-2</v>
      </c>
      <c r="AI343" s="287">
        <f t="shared" si="514"/>
        <v>5.2000000000000005E-2</v>
      </c>
      <c r="AJ343" s="287">
        <f t="shared" si="514"/>
        <v>5.2000000000000005E-2</v>
      </c>
      <c r="AK343" s="287">
        <f t="shared" ref="AK343:BP343" si="515" xml:space="preserve"> AK$339</f>
        <v>5.2000000000000005E-2</v>
      </c>
      <c r="AL343" s="287">
        <f t="shared" si="515"/>
        <v>5.2000000000000005E-2</v>
      </c>
      <c r="AM343" s="287">
        <f t="shared" si="515"/>
        <v>5.2000000000000005E-2</v>
      </c>
      <c r="AN343" s="287">
        <f t="shared" si="515"/>
        <v>5.2000000000000005E-2</v>
      </c>
      <c r="AO343" s="287">
        <f t="shared" si="515"/>
        <v>5.2000000000000005E-2</v>
      </c>
      <c r="AP343" s="287">
        <f t="shared" si="515"/>
        <v>5.2000000000000005E-2</v>
      </c>
      <c r="AQ343" s="287">
        <f t="shared" si="515"/>
        <v>5.2000000000000005E-2</v>
      </c>
      <c r="AR343" s="287">
        <f t="shared" si="515"/>
        <v>5.2000000000000005E-2</v>
      </c>
      <c r="AS343" s="287">
        <f t="shared" si="515"/>
        <v>5.2000000000000005E-2</v>
      </c>
      <c r="AT343" s="287">
        <f t="shared" si="515"/>
        <v>5.2000000000000005E-2</v>
      </c>
      <c r="AU343" s="287">
        <f t="shared" si="515"/>
        <v>5.2000000000000005E-2</v>
      </c>
      <c r="AV343" s="287">
        <f t="shared" si="515"/>
        <v>5.2000000000000005E-2</v>
      </c>
      <c r="AW343" s="287">
        <f t="shared" si="515"/>
        <v>1.7000000000000001E-2</v>
      </c>
      <c r="AX343" s="287">
        <f t="shared" si="515"/>
        <v>1.7000000000000001E-2</v>
      </c>
      <c r="AY343" s="287">
        <f t="shared" si="515"/>
        <v>1.7000000000000001E-2</v>
      </c>
      <c r="AZ343" s="287">
        <f t="shared" si="515"/>
        <v>1.7000000000000001E-2</v>
      </c>
      <c r="BA343" s="287">
        <f t="shared" si="515"/>
        <v>1.7000000000000001E-2</v>
      </c>
      <c r="BB343" s="287">
        <f t="shared" si="515"/>
        <v>1.7000000000000001E-2</v>
      </c>
      <c r="BC343" s="287">
        <f t="shared" si="515"/>
        <v>1.7000000000000001E-2</v>
      </c>
      <c r="BD343" s="287">
        <f t="shared" si="515"/>
        <v>1.7000000000000001E-2</v>
      </c>
      <c r="BE343" s="287">
        <f t="shared" si="515"/>
        <v>1.7000000000000001E-2</v>
      </c>
      <c r="BF343" s="287">
        <f t="shared" si="515"/>
        <v>1.7000000000000001E-2</v>
      </c>
      <c r="BG343" s="287">
        <f t="shared" si="515"/>
        <v>1.7000000000000001E-2</v>
      </c>
      <c r="BH343" s="287">
        <f t="shared" si="515"/>
        <v>1.7000000000000001E-2</v>
      </c>
      <c r="BI343" s="287">
        <f t="shared" si="515"/>
        <v>1.7000000000000001E-2</v>
      </c>
      <c r="BJ343" s="287">
        <f t="shared" si="515"/>
        <v>1.7000000000000001E-2</v>
      </c>
      <c r="BK343" s="287">
        <f t="shared" si="515"/>
        <v>1.7000000000000001E-2</v>
      </c>
      <c r="BL343" s="287">
        <f t="shared" si="515"/>
        <v>1.7000000000000001E-2</v>
      </c>
      <c r="BM343" s="287">
        <f t="shared" si="515"/>
        <v>1.7000000000000001E-2</v>
      </c>
      <c r="BN343" s="287">
        <f t="shared" si="515"/>
        <v>1.7000000000000001E-2</v>
      </c>
      <c r="BO343" s="287">
        <f t="shared" si="515"/>
        <v>1.7000000000000001E-2</v>
      </c>
      <c r="BP343" s="287">
        <f t="shared" si="515"/>
        <v>1.7000000000000001E-2</v>
      </c>
      <c r="BQ343" s="287">
        <f t="shared" ref="BQ343:CV343" si="516" xml:space="preserve"> BQ$339</f>
        <v>1.7000000000000001E-2</v>
      </c>
      <c r="BR343" s="287">
        <f t="shared" si="516"/>
        <v>1.7000000000000001E-2</v>
      </c>
      <c r="BS343" s="287">
        <f t="shared" si="516"/>
        <v>1.7000000000000001E-2</v>
      </c>
      <c r="BT343" s="287">
        <f t="shared" si="516"/>
        <v>1.7000000000000001E-2</v>
      </c>
      <c r="BU343" s="287">
        <f t="shared" si="516"/>
        <v>1.7000000000000001E-2</v>
      </c>
      <c r="BV343" s="287">
        <f t="shared" si="516"/>
        <v>1.7000000000000001E-2</v>
      </c>
      <c r="BW343" s="287">
        <f t="shared" si="516"/>
        <v>1.7000000000000001E-2</v>
      </c>
      <c r="BX343" s="287">
        <f t="shared" si="516"/>
        <v>1.7000000000000001E-2</v>
      </c>
      <c r="BY343" s="287">
        <f t="shared" si="516"/>
        <v>1.7000000000000001E-2</v>
      </c>
      <c r="BZ343" s="287">
        <f t="shared" si="516"/>
        <v>1.7000000000000001E-2</v>
      </c>
      <c r="CA343" s="287">
        <f t="shared" si="516"/>
        <v>1.7000000000000001E-2</v>
      </c>
      <c r="CB343" s="287">
        <f t="shared" si="516"/>
        <v>1.7000000000000001E-2</v>
      </c>
      <c r="CC343" s="287">
        <f t="shared" si="516"/>
        <v>1.7000000000000001E-2</v>
      </c>
      <c r="CD343" s="287">
        <f t="shared" si="516"/>
        <v>1.7000000000000001E-2</v>
      </c>
      <c r="CE343" s="287">
        <f t="shared" si="516"/>
        <v>1.7000000000000001E-2</v>
      </c>
      <c r="CF343" s="287">
        <f t="shared" si="516"/>
        <v>1.7000000000000001E-2</v>
      </c>
      <c r="CG343" s="287">
        <f t="shared" si="516"/>
        <v>1.7000000000000001E-2</v>
      </c>
      <c r="CH343" s="287">
        <f t="shared" si="516"/>
        <v>1.7000000000000001E-2</v>
      </c>
      <c r="CI343" s="287">
        <f t="shared" si="516"/>
        <v>1.7000000000000001E-2</v>
      </c>
      <c r="CJ343" s="287">
        <f t="shared" si="516"/>
        <v>1.7000000000000001E-2</v>
      </c>
      <c r="CK343" s="287">
        <f t="shared" si="516"/>
        <v>1.7000000000000001E-2</v>
      </c>
      <c r="CL343" s="287">
        <f t="shared" si="516"/>
        <v>1.7000000000000001E-2</v>
      </c>
      <c r="CM343" s="287">
        <f t="shared" si="516"/>
        <v>1.7000000000000001E-2</v>
      </c>
      <c r="CN343" s="287">
        <f t="shared" si="516"/>
        <v>1.7000000000000001E-2</v>
      </c>
      <c r="CO343" s="287">
        <f t="shared" si="516"/>
        <v>1.7000000000000001E-2</v>
      </c>
      <c r="CP343" s="287">
        <f t="shared" si="516"/>
        <v>1.7000000000000001E-2</v>
      </c>
      <c r="CQ343" s="287">
        <f t="shared" si="516"/>
        <v>1.7000000000000001E-2</v>
      </c>
      <c r="CR343" s="287">
        <f t="shared" si="516"/>
        <v>1.7000000000000001E-2</v>
      </c>
      <c r="CS343" s="287">
        <f t="shared" si="516"/>
        <v>1.7000000000000001E-2</v>
      </c>
      <c r="CT343" s="287">
        <f t="shared" si="516"/>
        <v>1.7000000000000001E-2</v>
      </c>
      <c r="CU343" s="287">
        <f t="shared" si="516"/>
        <v>1.7000000000000001E-2</v>
      </c>
      <c r="CV343" s="287">
        <f t="shared" si="516"/>
        <v>1.7000000000000001E-2</v>
      </c>
    </row>
    <row r="344" spans="1:100" ht="12.75" outlineLevel="2" x14ac:dyDescent="0.2">
      <c r="A344" s="311"/>
      <c r="B344" s="311"/>
      <c r="C344" s="312"/>
      <c r="D344" s="313"/>
      <c r="E344" s="314" t="s">
        <v>1006</v>
      </c>
      <c r="F344" s="314"/>
      <c r="G344" s="314" t="s">
        <v>103</v>
      </c>
      <c r="H344" s="314"/>
      <c r="I344" s="315"/>
      <c r="J344" s="314">
        <f t="shared" ref="J344:BU344" si="517">J343 / $F341 * J342</f>
        <v>8.5472222222222234E-3</v>
      </c>
      <c r="K344" s="314">
        <f t="shared" si="517"/>
        <v>8.6888888888888901E-3</v>
      </c>
      <c r="L344" s="314">
        <f t="shared" si="517"/>
        <v>8.5472222222222234E-3</v>
      </c>
      <c r="M344" s="314">
        <f t="shared" si="517"/>
        <v>8.6888888888888901E-3</v>
      </c>
      <c r="N344" s="314">
        <f t="shared" si="517"/>
        <v>8.5944444444444462E-3</v>
      </c>
      <c r="O344" s="314">
        <f t="shared" si="517"/>
        <v>2.4022222222222223E-2</v>
      </c>
      <c r="P344" s="314">
        <f t="shared" si="517"/>
        <v>2.3630555555555554E-2</v>
      </c>
      <c r="Q344" s="314">
        <f t="shared" si="517"/>
        <v>2.4022222222222223E-2</v>
      </c>
      <c r="R344" s="314">
        <f t="shared" si="517"/>
        <v>2.3630555555555554E-2</v>
      </c>
      <c r="S344" s="314">
        <f t="shared" si="517"/>
        <v>2.4022222222222223E-2</v>
      </c>
      <c r="T344" s="314">
        <f t="shared" si="517"/>
        <v>2.3630555555555554E-2</v>
      </c>
      <c r="U344" s="314">
        <f t="shared" si="517"/>
        <v>2.4022222222222223E-2</v>
      </c>
      <c r="V344" s="314">
        <f t="shared" si="517"/>
        <v>2.3761111111111111E-2</v>
      </c>
      <c r="W344" s="314">
        <f t="shared" si="517"/>
        <v>2.4022222222222223E-2</v>
      </c>
      <c r="X344" s="314">
        <f t="shared" si="517"/>
        <v>2.3630555555555554E-2</v>
      </c>
      <c r="Y344" s="314">
        <f t="shared" si="517"/>
        <v>2.5044444444444449E-2</v>
      </c>
      <c r="Z344" s="314">
        <f t="shared" si="517"/>
        <v>2.4636111111111116E-2</v>
      </c>
      <c r="AA344" s="314">
        <f t="shared" si="517"/>
        <v>2.5044444444444449E-2</v>
      </c>
      <c r="AB344" s="314">
        <f t="shared" si="517"/>
        <v>2.4636111111111116E-2</v>
      </c>
      <c r="AC344" s="314">
        <f t="shared" si="517"/>
        <v>2.5044444444444449E-2</v>
      </c>
      <c r="AD344" s="314">
        <f t="shared" si="517"/>
        <v>2.4772222222222227E-2</v>
      </c>
      <c r="AE344" s="314">
        <f t="shared" si="517"/>
        <v>2.5044444444444449E-2</v>
      </c>
      <c r="AF344" s="314">
        <f t="shared" si="517"/>
        <v>2.4636111111111116E-2</v>
      </c>
      <c r="AG344" s="314">
        <f t="shared" si="517"/>
        <v>2.5044444444444449E-2</v>
      </c>
      <c r="AH344" s="314">
        <f t="shared" si="517"/>
        <v>2.4636111111111116E-2</v>
      </c>
      <c r="AI344" s="314">
        <f t="shared" si="517"/>
        <v>2.657777777777778E-2</v>
      </c>
      <c r="AJ344" s="314">
        <f t="shared" si="517"/>
        <v>2.6144444444444449E-2</v>
      </c>
      <c r="AK344" s="314">
        <f t="shared" si="517"/>
        <v>2.657777777777778E-2</v>
      </c>
      <c r="AL344" s="314">
        <f t="shared" si="517"/>
        <v>2.6288888888888893E-2</v>
      </c>
      <c r="AM344" s="314">
        <f t="shared" si="517"/>
        <v>2.657777777777778E-2</v>
      </c>
      <c r="AN344" s="314">
        <f t="shared" si="517"/>
        <v>2.6144444444444449E-2</v>
      </c>
      <c r="AO344" s="314">
        <f t="shared" si="517"/>
        <v>2.657777777777778E-2</v>
      </c>
      <c r="AP344" s="314">
        <f t="shared" si="517"/>
        <v>2.6144444444444449E-2</v>
      </c>
      <c r="AQ344" s="314">
        <f t="shared" si="517"/>
        <v>2.657777777777778E-2</v>
      </c>
      <c r="AR344" s="314">
        <f t="shared" si="517"/>
        <v>2.6144444444444449E-2</v>
      </c>
      <c r="AS344" s="314">
        <f t="shared" si="517"/>
        <v>2.657777777777778E-2</v>
      </c>
      <c r="AT344" s="314">
        <f t="shared" si="517"/>
        <v>2.6288888888888893E-2</v>
      </c>
      <c r="AU344" s="314">
        <f t="shared" si="517"/>
        <v>2.657777777777778E-2</v>
      </c>
      <c r="AV344" s="314">
        <f t="shared" si="517"/>
        <v>2.6144444444444449E-2</v>
      </c>
      <c r="AW344" s="314">
        <f t="shared" si="517"/>
        <v>8.6888888888888901E-3</v>
      </c>
      <c r="AX344" s="314">
        <f t="shared" si="517"/>
        <v>8.5472222222222234E-3</v>
      </c>
      <c r="AY344" s="314">
        <f t="shared" si="517"/>
        <v>8.6888888888888901E-3</v>
      </c>
      <c r="AZ344" s="314">
        <f t="shared" si="517"/>
        <v>8.5472222222222234E-3</v>
      </c>
      <c r="BA344" s="314">
        <f t="shared" si="517"/>
        <v>8.6888888888888901E-3</v>
      </c>
      <c r="BB344" s="314">
        <f t="shared" si="517"/>
        <v>8.5944444444444462E-3</v>
      </c>
      <c r="BC344" s="314">
        <f t="shared" si="517"/>
        <v>8.6888888888888901E-3</v>
      </c>
      <c r="BD344" s="314">
        <f t="shared" si="517"/>
        <v>8.5472222222222234E-3</v>
      </c>
      <c r="BE344" s="314">
        <f t="shared" si="517"/>
        <v>8.6888888888888901E-3</v>
      </c>
      <c r="BF344" s="314">
        <f t="shared" si="517"/>
        <v>8.5472222222222234E-3</v>
      </c>
      <c r="BG344" s="314">
        <f t="shared" si="517"/>
        <v>8.6888888888888901E-3</v>
      </c>
      <c r="BH344" s="314">
        <f t="shared" si="517"/>
        <v>8.5472222222222234E-3</v>
      </c>
      <c r="BI344" s="314">
        <f t="shared" si="517"/>
        <v>8.6888888888888901E-3</v>
      </c>
      <c r="BJ344" s="314">
        <f t="shared" si="517"/>
        <v>8.5944444444444462E-3</v>
      </c>
      <c r="BK344" s="314">
        <f t="shared" si="517"/>
        <v>8.6888888888888901E-3</v>
      </c>
      <c r="BL344" s="314">
        <f t="shared" si="517"/>
        <v>8.5472222222222234E-3</v>
      </c>
      <c r="BM344" s="314">
        <f t="shared" si="517"/>
        <v>8.6888888888888901E-3</v>
      </c>
      <c r="BN344" s="314">
        <f t="shared" si="517"/>
        <v>8.5472222222222234E-3</v>
      </c>
      <c r="BO344" s="314">
        <f t="shared" si="517"/>
        <v>8.6888888888888901E-3</v>
      </c>
      <c r="BP344" s="314">
        <f t="shared" si="517"/>
        <v>8.5472222222222234E-3</v>
      </c>
      <c r="BQ344" s="314">
        <f t="shared" si="517"/>
        <v>8.6888888888888901E-3</v>
      </c>
      <c r="BR344" s="314">
        <f t="shared" si="517"/>
        <v>8.5944444444444462E-3</v>
      </c>
      <c r="BS344" s="314">
        <f t="shared" si="517"/>
        <v>8.6888888888888901E-3</v>
      </c>
      <c r="BT344" s="314">
        <f t="shared" si="517"/>
        <v>8.5472222222222234E-3</v>
      </c>
      <c r="BU344" s="314">
        <f t="shared" si="517"/>
        <v>8.6888888888888901E-3</v>
      </c>
      <c r="BV344" s="314">
        <f t="shared" ref="BV344:CV344" si="518">BV343 / $F341 * BV342</f>
        <v>8.5472222222222234E-3</v>
      </c>
      <c r="BW344" s="314">
        <f t="shared" si="518"/>
        <v>8.6888888888888901E-3</v>
      </c>
      <c r="BX344" s="314">
        <f t="shared" si="518"/>
        <v>8.5472222222222234E-3</v>
      </c>
      <c r="BY344" s="314">
        <f t="shared" si="518"/>
        <v>8.6888888888888901E-3</v>
      </c>
      <c r="BZ344" s="314">
        <f t="shared" si="518"/>
        <v>8.5944444444444462E-3</v>
      </c>
      <c r="CA344" s="314">
        <f t="shared" si="518"/>
        <v>8.6888888888888901E-3</v>
      </c>
      <c r="CB344" s="314">
        <f t="shared" si="518"/>
        <v>8.5472222222222234E-3</v>
      </c>
      <c r="CC344" s="314">
        <f t="shared" si="518"/>
        <v>8.6888888888888901E-3</v>
      </c>
      <c r="CD344" s="314">
        <f t="shared" si="518"/>
        <v>8.5472222222222234E-3</v>
      </c>
      <c r="CE344" s="314">
        <f t="shared" si="518"/>
        <v>8.6888888888888901E-3</v>
      </c>
      <c r="CF344" s="314">
        <f t="shared" si="518"/>
        <v>8.5472222222222234E-3</v>
      </c>
      <c r="CG344" s="314">
        <f t="shared" si="518"/>
        <v>8.6888888888888901E-3</v>
      </c>
      <c r="CH344" s="314">
        <f t="shared" si="518"/>
        <v>8.5944444444444462E-3</v>
      </c>
      <c r="CI344" s="314">
        <f t="shared" si="518"/>
        <v>8.6888888888888901E-3</v>
      </c>
      <c r="CJ344" s="314">
        <f t="shared" si="518"/>
        <v>8.5472222222222234E-3</v>
      </c>
      <c r="CK344" s="314">
        <f t="shared" si="518"/>
        <v>8.6888888888888901E-3</v>
      </c>
      <c r="CL344" s="314">
        <f t="shared" si="518"/>
        <v>8.5472222222222234E-3</v>
      </c>
      <c r="CM344" s="314">
        <f t="shared" si="518"/>
        <v>8.6888888888888901E-3</v>
      </c>
      <c r="CN344" s="314">
        <f t="shared" si="518"/>
        <v>8.5472222222222234E-3</v>
      </c>
      <c r="CO344" s="314">
        <f t="shared" si="518"/>
        <v>8.6888888888888901E-3</v>
      </c>
      <c r="CP344" s="314">
        <f t="shared" si="518"/>
        <v>8.5944444444444462E-3</v>
      </c>
      <c r="CQ344" s="314">
        <f t="shared" si="518"/>
        <v>8.6888888888888901E-3</v>
      </c>
      <c r="CR344" s="314">
        <f t="shared" si="518"/>
        <v>8.5472222222222234E-3</v>
      </c>
      <c r="CS344" s="314">
        <f t="shared" si="518"/>
        <v>8.6888888888888901E-3</v>
      </c>
      <c r="CT344" s="314">
        <f t="shared" si="518"/>
        <v>8.5472222222222234E-3</v>
      </c>
      <c r="CU344" s="314">
        <f t="shared" si="518"/>
        <v>8.6888888888888901E-3</v>
      </c>
      <c r="CV344" s="314">
        <f t="shared" si="518"/>
        <v>8.5472222222222234E-3</v>
      </c>
    </row>
    <row r="345" spans="1:100" ht="12.75" outlineLevel="2" x14ac:dyDescent="0.2">
      <c r="A345" s="236"/>
      <c r="B345" s="236"/>
      <c r="C345" s="237"/>
      <c r="D345" s="238"/>
      <c r="E345" s="234"/>
      <c r="F345" s="234"/>
      <c r="G345" s="234"/>
      <c r="H345" s="234"/>
      <c r="I345" s="235"/>
      <c r="J345" s="234"/>
      <c r="K345" s="234"/>
      <c r="L345" s="234"/>
      <c r="M345" s="234"/>
      <c r="N345" s="234"/>
      <c r="O345" s="234"/>
      <c r="P345" s="234"/>
      <c r="Q345" s="234"/>
      <c r="R345" s="234"/>
      <c r="S345" s="234"/>
      <c r="T345" s="234"/>
      <c r="U345" s="234"/>
      <c r="V345" s="234"/>
      <c r="W345" s="234"/>
      <c r="X345" s="234"/>
      <c r="Y345" s="234"/>
      <c r="Z345" s="234"/>
      <c r="AA345" s="234"/>
      <c r="AB345" s="234"/>
      <c r="AC345" s="234"/>
      <c r="AD345" s="234"/>
      <c r="AE345" s="234"/>
      <c r="AF345" s="234"/>
      <c r="AG345" s="234"/>
      <c r="AH345" s="234"/>
      <c r="AI345" s="234"/>
      <c r="AJ345" s="234"/>
      <c r="AK345" s="234"/>
      <c r="AL345" s="234"/>
      <c r="AM345" s="234"/>
      <c r="AN345" s="234"/>
      <c r="AO345" s="234"/>
      <c r="AP345" s="234"/>
      <c r="AQ345" s="234"/>
      <c r="AR345" s="234"/>
      <c r="AS345" s="234"/>
      <c r="AT345" s="234"/>
      <c r="AU345" s="234"/>
      <c r="AV345" s="234"/>
      <c r="AW345" s="234"/>
      <c r="AX345" s="234"/>
      <c r="AY345" s="234"/>
      <c r="AZ345" s="234"/>
      <c r="BA345" s="234"/>
      <c r="BB345" s="234"/>
      <c r="BC345" s="234"/>
      <c r="BD345" s="234"/>
      <c r="BE345" s="234"/>
      <c r="BF345" s="234"/>
      <c r="BG345" s="234"/>
      <c r="BH345" s="234"/>
      <c r="BI345" s="234"/>
      <c r="BJ345" s="234"/>
      <c r="BK345" s="234"/>
      <c r="BL345" s="234"/>
      <c r="BM345" s="234"/>
      <c r="BN345" s="234"/>
      <c r="BO345" s="234"/>
      <c r="BP345" s="234"/>
      <c r="BQ345" s="234"/>
      <c r="BR345" s="234"/>
      <c r="BS345" s="234"/>
      <c r="BT345" s="234"/>
      <c r="BU345" s="234"/>
      <c r="BV345" s="234"/>
      <c r="BW345" s="234"/>
      <c r="BX345" s="234"/>
      <c r="BY345" s="234"/>
      <c r="BZ345" s="234"/>
      <c r="CA345" s="234"/>
      <c r="CB345" s="234"/>
      <c r="CC345" s="234"/>
      <c r="CD345" s="234"/>
      <c r="CE345" s="234"/>
      <c r="CF345" s="234"/>
      <c r="CG345" s="234"/>
      <c r="CH345" s="234"/>
      <c r="CI345" s="234"/>
      <c r="CJ345" s="234"/>
      <c r="CK345" s="234"/>
      <c r="CL345" s="234"/>
      <c r="CM345" s="234"/>
      <c r="CN345" s="234"/>
      <c r="CO345" s="234"/>
      <c r="CP345" s="234"/>
      <c r="CQ345" s="234"/>
      <c r="CR345" s="234"/>
      <c r="CS345" s="234"/>
      <c r="CT345" s="234"/>
      <c r="CU345" s="234"/>
      <c r="CV345" s="234"/>
    </row>
    <row r="346" spans="1:100" ht="12.75" outlineLevel="2" x14ac:dyDescent="0.2">
      <c r="E346" s="12" t="str">
        <f t="shared" ref="E346:AJ346" si="519" xml:space="preserve"> E$299</f>
        <v>Senior debt balance BEG - T2</v>
      </c>
      <c r="F346" s="12">
        <f t="shared" si="519"/>
        <v>0</v>
      </c>
      <c r="G346" s="12" t="str">
        <f t="shared" si="519"/>
        <v>$ 000s</v>
      </c>
      <c r="H346" s="12">
        <f t="shared" si="519"/>
        <v>0</v>
      </c>
      <c r="I346" s="12">
        <f t="shared" si="519"/>
        <v>0</v>
      </c>
      <c r="J346" s="12">
        <f t="shared" si="519"/>
        <v>0</v>
      </c>
      <c r="K346" s="12">
        <f t="shared" si="519"/>
        <v>0</v>
      </c>
      <c r="L346" s="12">
        <f t="shared" si="519"/>
        <v>12084.251893640236</v>
      </c>
      <c r="M346" s="12">
        <f t="shared" si="519"/>
        <v>48641.086087745876</v>
      </c>
      <c r="N346" s="12">
        <f t="shared" si="519"/>
        <v>85848.029919746245</v>
      </c>
      <c r="O346" s="12">
        <f t="shared" si="519"/>
        <v>125194.92613015344</v>
      </c>
      <c r="P346" s="12">
        <f t="shared" si="519"/>
        <v>121090.7892959798</v>
      </c>
      <c r="Q346" s="12">
        <f t="shared" si="519"/>
        <v>117700.61196665274</v>
      </c>
      <c r="R346" s="12">
        <f t="shared" si="519"/>
        <v>114269.63065266921</v>
      </c>
      <c r="S346" s="12">
        <f t="shared" si="519"/>
        <v>110775.04981276403</v>
      </c>
      <c r="T346" s="12">
        <f t="shared" si="519"/>
        <v>107235.60180472895</v>
      </c>
      <c r="U346" s="12">
        <f t="shared" si="519"/>
        <v>103632.44669252292</v>
      </c>
      <c r="V346" s="12">
        <f t="shared" si="519"/>
        <v>99980.201239152753</v>
      </c>
      <c r="W346" s="12">
        <f t="shared" si="519"/>
        <v>96270.31754800085</v>
      </c>
      <c r="X346" s="12">
        <f t="shared" si="519"/>
        <v>92509.726797318668</v>
      </c>
      <c r="Y346" s="12">
        <f t="shared" si="519"/>
        <v>88676.531590619605</v>
      </c>
      <c r="Z346" s="12">
        <f t="shared" si="519"/>
        <v>84898.220696315591</v>
      </c>
      <c r="AA346" s="12">
        <f t="shared" si="519"/>
        <v>81052.678030737021</v>
      </c>
      <c r="AB346" s="12">
        <f t="shared" si="519"/>
        <v>77144.770193006567</v>
      </c>
      <c r="AC346" s="12">
        <f t="shared" si="519"/>
        <v>73169.295924739374</v>
      </c>
      <c r="AD346" s="12">
        <f t="shared" si="519"/>
        <v>69126.276644660495</v>
      </c>
      <c r="AE346" s="12">
        <f t="shared" si="519"/>
        <v>65018.4634660866</v>
      </c>
      <c r="AF346" s="12">
        <f t="shared" si="519"/>
        <v>60843.180234178777</v>
      </c>
      <c r="AG346" s="12">
        <f t="shared" si="519"/>
        <v>56591.232502375169</v>
      </c>
      <c r="AH346" s="12">
        <f t="shared" si="519"/>
        <v>52260.722629543205</v>
      </c>
      <c r="AI346" s="12">
        <f t="shared" si="519"/>
        <v>47861.453531523759</v>
      </c>
      <c r="AJ346" s="12">
        <f t="shared" si="519"/>
        <v>43463.30664605397</v>
      </c>
      <c r="AK346" s="12">
        <f t="shared" ref="AK346:BP346" si="520" xml:space="preserve"> AK$299</f>
        <v>38990.836364304349</v>
      </c>
      <c r="AL346" s="12">
        <f t="shared" si="520"/>
        <v>34425.165129277833</v>
      </c>
      <c r="AM346" s="12">
        <f t="shared" si="520"/>
        <v>29783.677983009326</v>
      </c>
      <c r="AN346" s="12">
        <f t="shared" si="520"/>
        <v>25050.985812388433</v>
      </c>
      <c r="AO346" s="12">
        <f t="shared" si="520"/>
        <v>20234.327998768505</v>
      </c>
      <c r="AP346" s="12">
        <f t="shared" si="520"/>
        <v>15310.296032067479</v>
      </c>
      <c r="AQ346" s="12">
        <f t="shared" si="520"/>
        <v>10309.43308512052</v>
      </c>
      <c r="AR346" s="12">
        <f t="shared" si="520"/>
        <v>5193.6111065598579</v>
      </c>
      <c r="AS346" s="12">
        <f t="shared" si="520"/>
        <v>2.1585050071735168E-3</v>
      </c>
      <c r="AT346" s="12">
        <f t="shared" si="520"/>
        <v>2.1585050071735168E-3</v>
      </c>
      <c r="AU346" s="12">
        <f t="shared" si="520"/>
        <v>2.1585050071735168E-3</v>
      </c>
      <c r="AV346" s="12">
        <f t="shared" si="520"/>
        <v>2.1585050071735168E-3</v>
      </c>
      <c r="AW346" s="12">
        <f t="shared" si="520"/>
        <v>2.1585050071735168E-3</v>
      </c>
      <c r="AX346" s="12">
        <f t="shared" si="520"/>
        <v>2.1585050071735168E-3</v>
      </c>
      <c r="AY346" s="12">
        <f t="shared" si="520"/>
        <v>2.1585050071735168E-3</v>
      </c>
      <c r="AZ346" s="12">
        <f t="shared" si="520"/>
        <v>2.1585050071735168E-3</v>
      </c>
      <c r="BA346" s="12">
        <f t="shared" si="520"/>
        <v>2.1585050071735168E-3</v>
      </c>
      <c r="BB346" s="12">
        <f t="shared" si="520"/>
        <v>2.1585050071735168E-3</v>
      </c>
      <c r="BC346" s="12">
        <f t="shared" si="520"/>
        <v>2.1585050071735168E-3</v>
      </c>
      <c r="BD346" s="12">
        <f t="shared" si="520"/>
        <v>2.1585050071735168E-3</v>
      </c>
      <c r="BE346" s="12">
        <f t="shared" si="520"/>
        <v>2.1585050071735168E-3</v>
      </c>
      <c r="BF346" s="12">
        <f t="shared" si="520"/>
        <v>2.1585050071735168E-3</v>
      </c>
      <c r="BG346" s="12">
        <f t="shared" si="520"/>
        <v>2.1585050071735168E-3</v>
      </c>
      <c r="BH346" s="12">
        <f t="shared" si="520"/>
        <v>2.1585050071735168E-3</v>
      </c>
      <c r="BI346" s="12">
        <f t="shared" si="520"/>
        <v>2.1585050071735168E-3</v>
      </c>
      <c r="BJ346" s="12">
        <f t="shared" si="520"/>
        <v>2.1585050071735168E-3</v>
      </c>
      <c r="BK346" s="12">
        <f t="shared" si="520"/>
        <v>2.1585050071735168E-3</v>
      </c>
      <c r="BL346" s="12">
        <f t="shared" si="520"/>
        <v>2.1585050071735168E-3</v>
      </c>
      <c r="BM346" s="12">
        <f t="shared" si="520"/>
        <v>2.1585050071735168E-3</v>
      </c>
      <c r="BN346" s="12">
        <f t="shared" si="520"/>
        <v>2.1585050071735168E-3</v>
      </c>
      <c r="BO346" s="12">
        <f t="shared" si="520"/>
        <v>2.1585050071735168E-3</v>
      </c>
      <c r="BP346" s="12">
        <f t="shared" si="520"/>
        <v>2.1585050071735168E-3</v>
      </c>
      <c r="BQ346" s="12">
        <f t="shared" ref="BQ346:CV346" si="521" xml:space="preserve"> BQ$299</f>
        <v>2.1585050071735168E-3</v>
      </c>
      <c r="BR346" s="12">
        <f t="shared" si="521"/>
        <v>2.1585050071735168E-3</v>
      </c>
      <c r="BS346" s="12">
        <f t="shared" si="521"/>
        <v>2.1585050071735168E-3</v>
      </c>
      <c r="BT346" s="12">
        <f t="shared" si="521"/>
        <v>2.1585050071735168E-3</v>
      </c>
      <c r="BU346" s="12">
        <f t="shared" si="521"/>
        <v>2.1585050071735168E-3</v>
      </c>
      <c r="BV346" s="12">
        <f t="shared" si="521"/>
        <v>2.1585050071735168E-3</v>
      </c>
      <c r="BW346" s="12">
        <f t="shared" si="521"/>
        <v>2.1585050071735168E-3</v>
      </c>
      <c r="BX346" s="12">
        <f t="shared" si="521"/>
        <v>2.1585050071735168E-3</v>
      </c>
      <c r="BY346" s="12">
        <f t="shared" si="521"/>
        <v>2.1585050071735168E-3</v>
      </c>
      <c r="BZ346" s="12">
        <f t="shared" si="521"/>
        <v>2.1585050071735168E-3</v>
      </c>
      <c r="CA346" s="12">
        <f t="shared" si="521"/>
        <v>2.1585050071735168E-3</v>
      </c>
      <c r="CB346" s="12">
        <f t="shared" si="521"/>
        <v>2.1585050071735168E-3</v>
      </c>
      <c r="CC346" s="12">
        <f t="shared" si="521"/>
        <v>2.1585050071735168E-3</v>
      </c>
      <c r="CD346" s="12">
        <f t="shared" si="521"/>
        <v>2.1585050071735168E-3</v>
      </c>
      <c r="CE346" s="12">
        <f t="shared" si="521"/>
        <v>2.1585050071735168E-3</v>
      </c>
      <c r="CF346" s="12">
        <f t="shared" si="521"/>
        <v>2.1585050071735168E-3</v>
      </c>
      <c r="CG346" s="12">
        <f t="shared" si="521"/>
        <v>2.1585050071735168E-3</v>
      </c>
      <c r="CH346" s="12">
        <f t="shared" si="521"/>
        <v>2.1585050071735168E-3</v>
      </c>
      <c r="CI346" s="12">
        <f t="shared" si="521"/>
        <v>2.1585050071735168E-3</v>
      </c>
      <c r="CJ346" s="12">
        <f t="shared" si="521"/>
        <v>2.1585050071735168E-3</v>
      </c>
      <c r="CK346" s="12">
        <f t="shared" si="521"/>
        <v>2.1585050071735168E-3</v>
      </c>
      <c r="CL346" s="12">
        <f t="shared" si="521"/>
        <v>2.1585050071735168E-3</v>
      </c>
      <c r="CM346" s="12">
        <f t="shared" si="521"/>
        <v>2.1585050071735168E-3</v>
      </c>
      <c r="CN346" s="12">
        <f t="shared" si="521"/>
        <v>2.1585050071735168E-3</v>
      </c>
      <c r="CO346" s="12">
        <f t="shared" si="521"/>
        <v>2.1585050071735168E-3</v>
      </c>
      <c r="CP346" s="12">
        <f t="shared" si="521"/>
        <v>2.1585050071735168E-3</v>
      </c>
      <c r="CQ346" s="12">
        <f t="shared" si="521"/>
        <v>2.1585050071735168E-3</v>
      </c>
      <c r="CR346" s="12">
        <f t="shared" si="521"/>
        <v>2.1585050071735168E-3</v>
      </c>
      <c r="CS346" s="12">
        <f t="shared" si="521"/>
        <v>2.1585050071735168E-3</v>
      </c>
      <c r="CT346" s="12">
        <f t="shared" si="521"/>
        <v>2.1585050071735168E-3</v>
      </c>
      <c r="CU346" s="12">
        <f t="shared" si="521"/>
        <v>2.1585050071735168E-3</v>
      </c>
      <c r="CV346" s="12">
        <f t="shared" si="521"/>
        <v>2.1585050071735168E-3</v>
      </c>
    </row>
    <row r="347" spans="1:100" ht="12.75" outlineLevel="2" x14ac:dyDescent="0.2">
      <c r="E347" s="287" t="str">
        <f t="shared" ref="E347:AJ347" si="522" xml:space="preserve"> E$344</f>
        <v>Senior debt period interest rate - T2</v>
      </c>
      <c r="F347" s="287">
        <f t="shared" si="522"/>
        <v>0</v>
      </c>
      <c r="G347" s="287" t="str">
        <f t="shared" si="522"/>
        <v>%</v>
      </c>
      <c r="H347" s="287">
        <f t="shared" si="522"/>
        <v>0</v>
      </c>
      <c r="I347" s="287">
        <f t="shared" si="522"/>
        <v>0</v>
      </c>
      <c r="J347" s="287">
        <f t="shared" si="522"/>
        <v>8.5472222222222234E-3</v>
      </c>
      <c r="K347" s="287">
        <f t="shared" si="522"/>
        <v>8.6888888888888901E-3</v>
      </c>
      <c r="L347" s="287">
        <f t="shared" si="522"/>
        <v>8.5472222222222234E-3</v>
      </c>
      <c r="M347" s="287">
        <f t="shared" si="522"/>
        <v>8.6888888888888901E-3</v>
      </c>
      <c r="N347" s="287">
        <f t="shared" si="522"/>
        <v>8.5944444444444462E-3</v>
      </c>
      <c r="O347" s="287">
        <f t="shared" si="522"/>
        <v>2.4022222222222223E-2</v>
      </c>
      <c r="P347" s="287">
        <f t="shared" si="522"/>
        <v>2.3630555555555554E-2</v>
      </c>
      <c r="Q347" s="287">
        <f t="shared" si="522"/>
        <v>2.4022222222222223E-2</v>
      </c>
      <c r="R347" s="287">
        <f t="shared" si="522"/>
        <v>2.3630555555555554E-2</v>
      </c>
      <c r="S347" s="287">
        <f t="shared" si="522"/>
        <v>2.4022222222222223E-2</v>
      </c>
      <c r="T347" s="287">
        <f t="shared" si="522"/>
        <v>2.3630555555555554E-2</v>
      </c>
      <c r="U347" s="287">
        <f t="shared" si="522"/>
        <v>2.4022222222222223E-2</v>
      </c>
      <c r="V347" s="287">
        <f t="shared" si="522"/>
        <v>2.3761111111111111E-2</v>
      </c>
      <c r="W347" s="287">
        <f t="shared" si="522"/>
        <v>2.4022222222222223E-2</v>
      </c>
      <c r="X347" s="287">
        <f t="shared" si="522"/>
        <v>2.3630555555555554E-2</v>
      </c>
      <c r="Y347" s="287">
        <f t="shared" si="522"/>
        <v>2.5044444444444449E-2</v>
      </c>
      <c r="Z347" s="287">
        <f t="shared" si="522"/>
        <v>2.4636111111111116E-2</v>
      </c>
      <c r="AA347" s="287">
        <f t="shared" si="522"/>
        <v>2.5044444444444449E-2</v>
      </c>
      <c r="AB347" s="287">
        <f t="shared" si="522"/>
        <v>2.4636111111111116E-2</v>
      </c>
      <c r="AC347" s="287">
        <f t="shared" si="522"/>
        <v>2.5044444444444449E-2</v>
      </c>
      <c r="AD347" s="287">
        <f t="shared" si="522"/>
        <v>2.4772222222222227E-2</v>
      </c>
      <c r="AE347" s="287">
        <f t="shared" si="522"/>
        <v>2.5044444444444449E-2</v>
      </c>
      <c r="AF347" s="287">
        <f t="shared" si="522"/>
        <v>2.4636111111111116E-2</v>
      </c>
      <c r="AG347" s="287">
        <f t="shared" si="522"/>
        <v>2.5044444444444449E-2</v>
      </c>
      <c r="AH347" s="287">
        <f t="shared" si="522"/>
        <v>2.4636111111111116E-2</v>
      </c>
      <c r="AI347" s="287">
        <f t="shared" si="522"/>
        <v>2.657777777777778E-2</v>
      </c>
      <c r="AJ347" s="287">
        <f t="shared" si="522"/>
        <v>2.6144444444444449E-2</v>
      </c>
      <c r="AK347" s="287">
        <f t="shared" ref="AK347:BP347" si="523" xml:space="preserve"> AK$344</f>
        <v>2.657777777777778E-2</v>
      </c>
      <c r="AL347" s="287">
        <f t="shared" si="523"/>
        <v>2.6288888888888893E-2</v>
      </c>
      <c r="AM347" s="287">
        <f t="shared" si="523"/>
        <v>2.657777777777778E-2</v>
      </c>
      <c r="AN347" s="287">
        <f t="shared" si="523"/>
        <v>2.6144444444444449E-2</v>
      </c>
      <c r="AO347" s="287">
        <f t="shared" si="523"/>
        <v>2.657777777777778E-2</v>
      </c>
      <c r="AP347" s="287">
        <f t="shared" si="523"/>
        <v>2.6144444444444449E-2</v>
      </c>
      <c r="AQ347" s="287">
        <f t="shared" si="523"/>
        <v>2.657777777777778E-2</v>
      </c>
      <c r="AR347" s="287">
        <f t="shared" si="523"/>
        <v>2.6144444444444449E-2</v>
      </c>
      <c r="AS347" s="287">
        <f t="shared" si="523"/>
        <v>2.657777777777778E-2</v>
      </c>
      <c r="AT347" s="287">
        <f t="shared" si="523"/>
        <v>2.6288888888888893E-2</v>
      </c>
      <c r="AU347" s="287">
        <f t="shared" si="523"/>
        <v>2.657777777777778E-2</v>
      </c>
      <c r="AV347" s="287">
        <f t="shared" si="523"/>
        <v>2.6144444444444449E-2</v>
      </c>
      <c r="AW347" s="287">
        <f t="shared" si="523"/>
        <v>8.6888888888888901E-3</v>
      </c>
      <c r="AX347" s="287">
        <f t="shared" si="523"/>
        <v>8.5472222222222234E-3</v>
      </c>
      <c r="AY347" s="287">
        <f t="shared" si="523"/>
        <v>8.6888888888888901E-3</v>
      </c>
      <c r="AZ347" s="287">
        <f t="shared" si="523"/>
        <v>8.5472222222222234E-3</v>
      </c>
      <c r="BA347" s="287">
        <f t="shared" si="523"/>
        <v>8.6888888888888901E-3</v>
      </c>
      <c r="BB347" s="287">
        <f t="shared" si="523"/>
        <v>8.5944444444444462E-3</v>
      </c>
      <c r="BC347" s="287">
        <f t="shared" si="523"/>
        <v>8.6888888888888901E-3</v>
      </c>
      <c r="BD347" s="287">
        <f t="shared" si="523"/>
        <v>8.5472222222222234E-3</v>
      </c>
      <c r="BE347" s="287">
        <f t="shared" si="523"/>
        <v>8.6888888888888901E-3</v>
      </c>
      <c r="BF347" s="287">
        <f t="shared" si="523"/>
        <v>8.5472222222222234E-3</v>
      </c>
      <c r="BG347" s="287">
        <f t="shared" si="523"/>
        <v>8.6888888888888901E-3</v>
      </c>
      <c r="BH347" s="287">
        <f t="shared" si="523"/>
        <v>8.5472222222222234E-3</v>
      </c>
      <c r="BI347" s="287">
        <f t="shared" si="523"/>
        <v>8.6888888888888901E-3</v>
      </c>
      <c r="BJ347" s="287">
        <f t="shared" si="523"/>
        <v>8.5944444444444462E-3</v>
      </c>
      <c r="BK347" s="287">
        <f t="shared" si="523"/>
        <v>8.6888888888888901E-3</v>
      </c>
      <c r="BL347" s="287">
        <f t="shared" si="523"/>
        <v>8.5472222222222234E-3</v>
      </c>
      <c r="BM347" s="287">
        <f t="shared" si="523"/>
        <v>8.6888888888888901E-3</v>
      </c>
      <c r="BN347" s="287">
        <f t="shared" si="523"/>
        <v>8.5472222222222234E-3</v>
      </c>
      <c r="BO347" s="287">
        <f t="shared" si="523"/>
        <v>8.6888888888888901E-3</v>
      </c>
      <c r="BP347" s="287">
        <f t="shared" si="523"/>
        <v>8.5472222222222234E-3</v>
      </c>
      <c r="BQ347" s="287">
        <f t="shared" ref="BQ347:CV347" si="524" xml:space="preserve"> BQ$344</f>
        <v>8.6888888888888901E-3</v>
      </c>
      <c r="BR347" s="287">
        <f t="shared" si="524"/>
        <v>8.5944444444444462E-3</v>
      </c>
      <c r="BS347" s="287">
        <f t="shared" si="524"/>
        <v>8.6888888888888901E-3</v>
      </c>
      <c r="BT347" s="287">
        <f t="shared" si="524"/>
        <v>8.5472222222222234E-3</v>
      </c>
      <c r="BU347" s="287">
        <f t="shared" si="524"/>
        <v>8.6888888888888901E-3</v>
      </c>
      <c r="BV347" s="287">
        <f t="shared" si="524"/>
        <v>8.5472222222222234E-3</v>
      </c>
      <c r="BW347" s="287">
        <f t="shared" si="524"/>
        <v>8.6888888888888901E-3</v>
      </c>
      <c r="BX347" s="287">
        <f t="shared" si="524"/>
        <v>8.5472222222222234E-3</v>
      </c>
      <c r="BY347" s="287">
        <f t="shared" si="524"/>
        <v>8.6888888888888901E-3</v>
      </c>
      <c r="BZ347" s="287">
        <f t="shared" si="524"/>
        <v>8.5944444444444462E-3</v>
      </c>
      <c r="CA347" s="287">
        <f t="shared" si="524"/>
        <v>8.6888888888888901E-3</v>
      </c>
      <c r="CB347" s="287">
        <f t="shared" si="524"/>
        <v>8.5472222222222234E-3</v>
      </c>
      <c r="CC347" s="287">
        <f t="shared" si="524"/>
        <v>8.6888888888888901E-3</v>
      </c>
      <c r="CD347" s="287">
        <f t="shared" si="524"/>
        <v>8.5472222222222234E-3</v>
      </c>
      <c r="CE347" s="287">
        <f t="shared" si="524"/>
        <v>8.6888888888888901E-3</v>
      </c>
      <c r="CF347" s="287">
        <f t="shared" si="524"/>
        <v>8.5472222222222234E-3</v>
      </c>
      <c r="CG347" s="287">
        <f t="shared" si="524"/>
        <v>8.6888888888888901E-3</v>
      </c>
      <c r="CH347" s="287">
        <f t="shared" si="524"/>
        <v>8.5944444444444462E-3</v>
      </c>
      <c r="CI347" s="287">
        <f t="shared" si="524"/>
        <v>8.6888888888888901E-3</v>
      </c>
      <c r="CJ347" s="287">
        <f t="shared" si="524"/>
        <v>8.5472222222222234E-3</v>
      </c>
      <c r="CK347" s="287">
        <f t="shared" si="524"/>
        <v>8.6888888888888901E-3</v>
      </c>
      <c r="CL347" s="287">
        <f t="shared" si="524"/>
        <v>8.5472222222222234E-3</v>
      </c>
      <c r="CM347" s="287">
        <f t="shared" si="524"/>
        <v>8.6888888888888901E-3</v>
      </c>
      <c r="CN347" s="287">
        <f t="shared" si="524"/>
        <v>8.5472222222222234E-3</v>
      </c>
      <c r="CO347" s="287">
        <f t="shared" si="524"/>
        <v>8.6888888888888901E-3</v>
      </c>
      <c r="CP347" s="287">
        <f t="shared" si="524"/>
        <v>8.5944444444444462E-3</v>
      </c>
      <c r="CQ347" s="287">
        <f t="shared" si="524"/>
        <v>8.6888888888888901E-3</v>
      </c>
      <c r="CR347" s="287">
        <f t="shared" si="524"/>
        <v>8.5472222222222234E-3</v>
      </c>
      <c r="CS347" s="287">
        <f t="shared" si="524"/>
        <v>8.6888888888888901E-3</v>
      </c>
      <c r="CT347" s="287">
        <f t="shared" si="524"/>
        <v>8.5472222222222234E-3</v>
      </c>
      <c r="CU347" s="287">
        <f t="shared" si="524"/>
        <v>8.6888888888888901E-3</v>
      </c>
      <c r="CV347" s="287">
        <f t="shared" si="524"/>
        <v>8.5472222222222234E-3</v>
      </c>
    </row>
    <row r="348" spans="1:100" ht="12.75" outlineLevel="2" x14ac:dyDescent="0.2">
      <c r="E348" s="189" t="str">
        <f xml:space="preserve"> Time!E$106</f>
        <v>Operating period flag</v>
      </c>
      <c r="F348" s="189">
        <f xml:space="preserve"> Time!F$106</f>
        <v>0</v>
      </c>
      <c r="G348" s="189" t="str">
        <f xml:space="preserve"> Time!G$106</f>
        <v>flag</v>
      </c>
      <c r="H348" s="189">
        <f xml:space="preserve"> Time!H$106</f>
        <v>40</v>
      </c>
      <c r="I348" s="189">
        <f xml:space="preserve"> Time!I$106</f>
        <v>0</v>
      </c>
      <c r="J348" s="189">
        <f xml:space="preserve"> Time!J$106</f>
        <v>0</v>
      </c>
      <c r="K348" s="189">
        <f xml:space="preserve"> Time!K$106</f>
        <v>0</v>
      </c>
      <c r="L348" s="189">
        <f xml:space="preserve"> Time!L$106</f>
        <v>0</v>
      </c>
      <c r="M348" s="189">
        <f xml:space="preserve"> Time!M$106</f>
        <v>0</v>
      </c>
      <c r="N348" s="189">
        <f xml:space="preserve"> Time!N$106</f>
        <v>0</v>
      </c>
      <c r="O348" s="189">
        <f xml:space="preserve"> Time!O$106</f>
        <v>1</v>
      </c>
      <c r="P348" s="189">
        <f xml:space="preserve"> Time!P$106</f>
        <v>1</v>
      </c>
      <c r="Q348" s="189">
        <f xml:space="preserve"> Time!Q$106</f>
        <v>1</v>
      </c>
      <c r="R348" s="189">
        <f xml:space="preserve"> Time!R$106</f>
        <v>1</v>
      </c>
      <c r="S348" s="189">
        <f xml:space="preserve"> Time!S$106</f>
        <v>1</v>
      </c>
      <c r="T348" s="189">
        <f xml:space="preserve"> Time!T$106</f>
        <v>1</v>
      </c>
      <c r="U348" s="189">
        <f xml:space="preserve"> Time!U$106</f>
        <v>1</v>
      </c>
      <c r="V348" s="189">
        <f xml:space="preserve"> Time!V$106</f>
        <v>1</v>
      </c>
      <c r="W348" s="189">
        <f xml:space="preserve"> Time!W$106</f>
        <v>1</v>
      </c>
      <c r="X348" s="189">
        <f xml:space="preserve"> Time!X$106</f>
        <v>1</v>
      </c>
      <c r="Y348" s="189">
        <f xml:space="preserve"> Time!Y$106</f>
        <v>1</v>
      </c>
      <c r="Z348" s="189">
        <f xml:space="preserve"> Time!Z$106</f>
        <v>1</v>
      </c>
      <c r="AA348" s="189">
        <f xml:space="preserve"> Time!AA$106</f>
        <v>1</v>
      </c>
      <c r="AB348" s="189">
        <f xml:space="preserve"> Time!AB$106</f>
        <v>1</v>
      </c>
      <c r="AC348" s="189">
        <f xml:space="preserve"> Time!AC$106</f>
        <v>1</v>
      </c>
      <c r="AD348" s="189">
        <f xml:space="preserve"> Time!AD$106</f>
        <v>1</v>
      </c>
      <c r="AE348" s="189">
        <f xml:space="preserve"> Time!AE$106</f>
        <v>1</v>
      </c>
      <c r="AF348" s="189">
        <f xml:space="preserve"> Time!AF$106</f>
        <v>1</v>
      </c>
      <c r="AG348" s="189">
        <f xml:space="preserve"> Time!AG$106</f>
        <v>1</v>
      </c>
      <c r="AH348" s="189">
        <f xml:space="preserve"> Time!AH$106</f>
        <v>1</v>
      </c>
      <c r="AI348" s="189">
        <f xml:space="preserve"> Time!AI$106</f>
        <v>1</v>
      </c>
      <c r="AJ348" s="189">
        <f xml:space="preserve"> Time!AJ$106</f>
        <v>1</v>
      </c>
      <c r="AK348" s="189">
        <f xml:space="preserve"> Time!AK$106</f>
        <v>1</v>
      </c>
      <c r="AL348" s="189">
        <f xml:space="preserve"> Time!AL$106</f>
        <v>1</v>
      </c>
      <c r="AM348" s="189">
        <f xml:space="preserve"> Time!AM$106</f>
        <v>1</v>
      </c>
      <c r="AN348" s="189">
        <f xml:space="preserve"> Time!AN$106</f>
        <v>1</v>
      </c>
      <c r="AO348" s="189">
        <f xml:space="preserve"> Time!AO$106</f>
        <v>1</v>
      </c>
      <c r="AP348" s="189">
        <f xml:space="preserve"> Time!AP$106</f>
        <v>1</v>
      </c>
      <c r="AQ348" s="189">
        <f xml:space="preserve"> Time!AQ$106</f>
        <v>1</v>
      </c>
      <c r="AR348" s="189">
        <f xml:space="preserve"> Time!AR$106</f>
        <v>1</v>
      </c>
      <c r="AS348" s="189">
        <f xml:space="preserve"> Time!AS$106</f>
        <v>1</v>
      </c>
      <c r="AT348" s="189">
        <f xml:space="preserve"> Time!AT$106</f>
        <v>1</v>
      </c>
      <c r="AU348" s="189">
        <f xml:space="preserve"> Time!AU$106</f>
        <v>1</v>
      </c>
      <c r="AV348" s="189">
        <f xml:space="preserve"> Time!AV$106</f>
        <v>1</v>
      </c>
      <c r="AW348" s="189">
        <f xml:space="preserve"> Time!AW$106</f>
        <v>1</v>
      </c>
      <c r="AX348" s="189">
        <f xml:space="preserve"> Time!AX$106</f>
        <v>1</v>
      </c>
      <c r="AY348" s="189">
        <f xml:space="preserve"> Time!AY$106</f>
        <v>1</v>
      </c>
      <c r="AZ348" s="189">
        <f xml:space="preserve"> Time!AZ$106</f>
        <v>1</v>
      </c>
      <c r="BA348" s="189">
        <f xml:space="preserve"> Time!BA$106</f>
        <v>1</v>
      </c>
      <c r="BB348" s="189">
        <f xml:space="preserve"> Time!BB$106</f>
        <v>1</v>
      </c>
      <c r="BC348" s="189">
        <f xml:space="preserve"> Time!BC$106</f>
        <v>0</v>
      </c>
      <c r="BD348" s="189">
        <f xml:space="preserve"> Time!BD$106</f>
        <v>0</v>
      </c>
      <c r="BE348" s="189">
        <f xml:space="preserve"> Time!BE$106</f>
        <v>0</v>
      </c>
      <c r="BF348" s="189">
        <f xml:space="preserve"> Time!BF$106</f>
        <v>0</v>
      </c>
      <c r="BG348" s="189">
        <f xml:space="preserve"> Time!BG$106</f>
        <v>0</v>
      </c>
      <c r="BH348" s="189">
        <f xml:space="preserve"> Time!BH$106</f>
        <v>0</v>
      </c>
      <c r="BI348" s="189">
        <f xml:space="preserve"> Time!BI$106</f>
        <v>0</v>
      </c>
      <c r="BJ348" s="189">
        <f xml:space="preserve"> Time!BJ$106</f>
        <v>0</v>
      </c>
      <c r="BK348" s="189">
        <f xml:space="preserve"> Time!BK$106</f>
        <v>0</v>
      </c>
      <c r="BL348" s="189">
        <f xml:space="preserve"> Time!BL$106</f>
        <v>0</v>
      </c>
      <c r="BM348" s="189">
        <f xml:space="preserve"> Time!BM$106</f>
        <v>0</v>
      </c>
      <c r="BN348" s="189">
        <f xml:space="preserve"> Time!BN$106</f>
        <v>0</v>
      </c>
      <c r="BO348" s="189">
        <f xml:space="preserve"> Time!BO$106</f>
        <v>0</v>
      </c>
      <c r="BP348" s="189">
        <f xml:space="preserve"> Time!BP$106</f>
        <v>0</v>
      </c>
      <c r="BQ348" s="189">
        <f xml:space="preserve"> Time!BQ$106</f>
        <v>0</v>
      </c>
      <c r="BR348" s="189">
        <f xml:space="preserve"> Time!BR$106</f>
        <v>0</v>
      </c>
      <c r="BS348" s="189">
        <f xml:space="preserve"> Time!BS$106</f>
        <v>0</v>
      </c>
      <c r="BT348" s="189">
        <f xml:space="preserve"> Time!BT$106</f>
        <v>0</v>
      </c>
      <c r="BU348" s="189">
        <f xml:space="preserve"> Time!BU$106</f>
        <v>0</v>
      </c>
      <c r="BV348" s="189">
        <f xml:space="preserve"> Time!BV$106</f>
        <v>0</v>
      </c>
      <c r="BW348" s="189">
        <f xml:space="preserve"> Time!BW$106</f>
        <v>0</v>
      </c>
      <c r="BX348" s="189">
        <f xml:space="preserve"> Time!BX$106</f>
        <v>0</v>
      </c>
      <c r="BY348" s="189">
        <f xml:space="preserve"> Time!BY$106</f>
        <v>0</v>
      </c>
      <c r="BZ348" s="189">
        <f xml:space="preserve"> Time!BZ$106</f>
        <v>0</v>
      </c>
      <c r="CA348" s="189">
        <f xml:space="preserve"> Time!CA$106</f>
        <v>0</v>
      </c>
      <c r="CB348" s="189">
        <f xml:space="preserve"> Time!CB$106</f>
        <v>0</v>
      </c>
      <c r="CC348" s="189">
        <f xml:space="preserve"> Time!CC$106</f>
        <v>0</v>
      </c>
      <c r="CD348" s="189">
        <f xml:space="preserve"> Time!CD$106</f>
        <v>0</v>
      </c>
      <c r="CE348" s="189">
        <f xml:space="preserve"> Time!CE$106</f>
        <v>0</v>
      </c>
      <c r="CF348" s="189">
        <f xml:space="preserve"> Time!CF$106</f>
        <v>0</v>
      </c>
      <c r="CG348" s="189">
        <f xml:space="preserve"> Time!CG$106</f>
        <v>0</v>
      </c>
      <c r="CH348" s="189">
        <f xml:space="preserve"> Time!CH$106</f>
        <v>0</v>
      </c>
      <c r="CI348" s="189">
        <f xml:space="preserve"> Time!CI$106</f>
        <v>0</v>
      </c>
      <c r="CJ348" s="189">
        <f xml:space="preserve"> Time!CJ$106</f>
        <v>0</v>
      </c>
      <c r="CK348" s="189">
        <f xml:space="preserve"> Time!CK$106</f>
        <v>0</v>
      </c>
      <c r="CL348" s="189">
        <f xml:space="preserve"> Time!CL$106</f>
        <v>0</v>
      </c>
      <c r="CM348" s="189">
        <f xml:space="preserve"> Time!CM$106</f>
        <v>0</v>
      </c>
      <c r="CN348" s="189">
        <f xml:space="preserve"> Time!CN$106</f>
        <v>0</v>
      </c>
      <c r="CO348" s="189">
        <f xml:space="preserve"> Time!CO$106</f>
        <v>0</v>
      </c>
      <c r="CP348" s="189">
        <f xml:space="preserve"> Time!CP$106</f>
        <v>0</v>
      </c>
      <c r="CQ348" s="189">
        <f xml:space="preserve"> Time!CQ$106</f>
        <v>0</v>
      </c>
      <c r="CR348" s="189">
        <f xml:space="preserve"> Time!CR$106</f>
        <v>0</v>
      </c>
      <c r="CS348" s="189">
        <f xml:space="preserve"> Time!CS$106</f>
        <v>0</v>
      </c>
      <c r="CT348" s="189">
        <f xml:space="preserve"> Time!CT$106</f>
        <v>0</v>
      </c>
      <c r="CU348" s="189">
        <f xml:space="preserve"> Time!CU$106</f>
        <v>0</v>
      </c>
      <c r="CV348" s="189">
        <f xml:space="preserve"> Time!CV$106</f>
        <v>0</v>
      </c>
    </row>
    <row r="349" spans="1:100" s="188" customFormat="1" ht="12.75" outlineLevel="2" x14ac:dyDescent="0.2">
      <c r="A349" s="141"/>
      <c r="B349" s="141"/>
      <c r="C349" s="142"/>
      <c r="D349" s="143"/>
      <c r="E349" s="187" t="s">
        <v>988</v>
      </c>
      <c r="F349" s="187"/>
      <c r="G349" s="187" t="str">
        <f xml:space="preserve"> SMU</f>
        <v>$ 000s</v>
      </c>
      <c r="H349" s="187">
        <f xml:space="preserve"> SUM(J349:CV349)</f>
        <v>50719.400835431705</v>
      </c>
      <c r="I349" s="144"/>
      <c r="J349" s="187">
        <f t="shared" ref="J349:BU349" si="525" xml:space="preserve"> J346 * J347 * J348</f>
        <v>0</v>
      </c>
      <c r="K349" s="187">
        <f t="shared" si="525"/>
        <v>0</v>
      </c>
      <c r="L349" s="187">
        <f t="shared" si="525"/>
        <v>0</v>
      </c>
      <c r="M349" s="187">
        <f t="shared" si="525"/>
        <v>0</v>
      </c>
      <c r="N349" s="187">
        <f t="shared" si="525"/>
        <v>0</v>
      </c>
      <c r="O349" s="187">
        <f t="shared" si="525"/>
        <v>3007.4603365932417</v>
      </c>
      <c r="P349" s="187">
        <f t="shared" si="525"/>
        <v>2861.4426237247226</v>
      </c>
      <c r="Q349" s="187">
        <f t="shared" si="525"/>
        <v>2827.4302563544802</v>
      </c>
      <c r="R349" s="187">
        <f t="shared" si="525"/>
        <v>2700.2548554507134</v>
      </c>
      <c r="S349" s="187">
        <f t="shared" si="525"/>
        <v>2661.0628632799539</v>
      </c>
      <c r="T349" s="187">
        <f t="shared" si="525"/>
        <v>2534.0368459800811</v>
      </c>
      <c r="U349" s="187">
        <f t="shared" si="525"/>
        <v>2489.4816638803841</v>
      </c>
      <c r="V349" s="187">
        <f t="shared" si="525"/>
        <v>2375.6406705547574</v>
      </c>
      <c r="W349" s="187">
        <f t="shared" si="525"/>
        <v>2312.626961541976</v>
      </c>
      <c r="X349" s="187">
        <f t="shared" si="525"/>
        <v>2186.0562385133053</v>
      </c>
      <c r="Y349" s="187">
        <f t="shared" si="525"/>
        <v>2220.854468947296</v>
      </c>
      <c r="Z349" s="187">
        <f t="shared" si="525"/>
        <v>2091.5619982100643</v>
      </c>
      <c r="AA349" s="187">
        <f t="shared" si="525"/>
        <v>2029.9192920142364</v>
      </c>
      <c r="AB349" s="187">
        <f t="shared" si="525"/>
        <v>1900.5471301160426</v>
      </c>
      <c r="AC349" s="187">
        <f t="shared" si="525"/>
        <v>1832.4843668262508</v>
      </c>
      <c r="AD349" s="187">
        <f t="shared" si="525"/>
        <v>1712.4114864363401</v>
      </c>
      <c r="AE349" s="187">
        <f t="shared" si="525"/>
        <v>1628.351296139547</v>
      </c>
      <c r="AF349" s="187">
        <f t="shared" si="525"/>
        <v>1498.9393486025879</v>
      </c>
      <c r="AG349" s="187">
        <f t="shared" si="525"/>
        <v>1417.2959784483739</v>
      </c>
      <c r="AH349" s="187">
        <f t="shared" si="525"/>
        <v>1287.5009694483854</v>
      </c>
      <c r="AI349" s="187">
        <f t="shared" si="525"/>
        <v>1272.051076082276</v>
      </c>
      <c r="AJ349" s="187">
        <f t="shared" si="525"/>
        <v>1136.3240059796112</v>
      </c>
      <c r="AK349" s="187">
        <f t="shared" si="525"/>
        <v>1036.2897842601778</v>
      </c>
      <c r="AL349" s="187">
        <f t="shared" si="525"/>
        <v>904.99934106523745</v>
      </c>
      <c r="AM349" s="187">
        <f t="shared" si="525"/>
        <v>791.5839748373146</v>
      </c>
      <c r="AN349" s="187">
        <f t="shared" si="525"/>
        <v>654.9441068505555</v>
      </c>
      <c r="AO349" s="187">
        <f t="shared" si="525"/>
        <v>537.78347303393627</v>
      </c>
      <c r="AP349" s="187">
        <f t="shared" si="525"/>
        <v>400.27918403838652</v>
      </c>
      <c r="AQ349" s="187">
        <f t="shared" si="525"/>
        <v>274.00182155120319</v>
      </c>
      <c r="AR349" s="187">
        <f t="shared" si="525"/>
        <v>135.78407704150388</v>
      </c>
      <c r="AS349" s="187">
        <f t="shared" si="525"/>
        <v>5.7368266412878361E-5</v>
      </c>
      <c r="AT349" s="187">
        <f t="shared" si="525"/>
        <v>5.6744698299694907E-5</v>
      </c>
      <c r="AU349" s="187">
        <f t="shared" si="525"/>
        <v>5.7368266412878361E-5</v>
      </c>
      <c r="AV349" s="187">
        <f t="shared" si="525"/>
        <v>5.6432914243103177E-5</v>
      </c>
      <c r="AW349" s="187">
        <f t="shared" si="525"/>
        <v>1.8755010173441004E-5</v>
      </c>
      <c r="AX349" s="187">
        <f t="shared" si="525"/>
        <v>1.8449221964091424E-5</v>
      </c>
      <c r="AY349" s="187">
        <f t="shared" si="525"/>
        <v>1.8755010173441004E-5</v>
      </c>
      <c r="AZ349" s="187">
        <f t="shared" si="525"/>
        <v>1.8449221964091424E-5</v>
      </c>
      <c r="BA349" s="187">
        <f t="shared" si="525"/>
        <v>1.8755010173441004E-5</v>
      </c>
      <c r="BB349" s="187">
        <f t="shared" si="525"/>
        <v>1.8551151367207951E-5</v>
      </c>
      <c r="BC349" s="187">
        <f t="shared" si="525"/>
        <v>0</v>
      </c>
      <c r="BD349" s="187">
        <f t="shared" si="525"/>
        <v>0</v>
      </c>
      <c r="BE349" s="187">
        <f t="shared" si="525"/>
        <v>0</v>
      </c>
      <c r="BF349" s="187">
        <f t="shared" si="525"/>
        <v>0</v>
      </c>
      <c r="BG349" s="187">
        <f t="shared" si="525"/>
        <v>0</v>
      </c>
      <c r="BH349" s="187">
        <f t="shared" si="525"/>
        <v>0</v>
      </c>
      <c r="BI349" s="187">
        <f t="shared" si="525"/>
        <v>0</v>
      </c>
      <c r="BJ349" s="187">
        <f t="shared" si="525"/>
        <v>0</v>
      </c>
      <c r="BK349" s="187">
        <f t="shared" si="525"/>
        <v>0</v>
      </c>
      <c r="BL349" s="187">
        <f t="shared" si="525"/>
        <v>0</v>
      </c>
      <c r="BM349" s="187">
        <f t="shared" si="525"/>
        <v>0</v>
      </c>
      <c r="BN349" s="187">
        <f t="shared" si="525"/>
        <v>0</v>
      </c>
      <c r="BO349" s="187">
        <f t="shared" si="525"/>
        <v>0</v>
      </c>
      <c r="BP349" s="187">
        <f t="shared" si="525"/>
        <v>0</v>
      </c>
      <c r="BQ349" s="187">
        <f t="shared" si="525"/>
        <v>0</v>
      </c>
      <c r="BR349" s="187">
        <f t="shared" si="525"/>
        <v>0</v>
      </c>
      <c r="BS349" s="187">
        <f t="shared" si="525"/>
        <v>0</v>
      </c>
      <c r="BT349" s="187">
        <f t="shared" si="525"/>
        <v>0</v>
      </c>
      <c r="BU349" s="187">
        <f t="shared" si="525"/>
        <v>0</v>
      </c>
      <c r="BV349" s="187">
        <f t="shared" ref="BV349:CV349" si="526" xml:space="preserve"> BV346 * BV347 * BV348</f>
        <v>0</v>
      </c>
      <c r="BW349" s="187">
        <f t="shared" si="526"/>
        <v>0</v>
      </c>
      <c r="BX349" s="187">
        <f t="shared" si="526"/>
        <v>0</v>
      </c>
      <c r="BY349" s="187">
        <f t="shared" si="526"/>
        <v>0</v>
      </c>
      <c r="BZ349" s="187">
        <f t="shared" si="526"/>
        <v>0</v>
      </c>
      <c r="CA349" s="187">
        <f t="shared" si="526"/>
        <v>0</v>
      </c>
      <c r="CB349" s="187">
        <f t="shared" si="526"/>
        <v>0</v>
      </c>
      <c r="CC349" s="187">
        <f t="shared" si="526"/>
        <v>0</v>
      </c>
      <c r="CD349" s="187">
        <f t="shared" si="526"/>
        <v>0</v>
      </c>
      <c r="CE349" s="187">
        <f t="shared" si="526"/>
        <v>0</v>
      </c>
      <c r="CF349" s="187">
        <f t="shared" si="526"/>
        <v>0</v>
      </c>
      <c r="CG349" s="187">
        <f t="shared" si="526"/>
        <v>0</v>
      </c>
      <c r="CH349" s="187">
        <f t="shared" si="526"/>
        <v>0</v>
      </c>
      <c r="CI349" s="187">
        <f t="shared" si="526"/>
        <v>0</v>
      </c>
      <c r="CJ349" s="187">
        <f t="shared" si="526"/>
        <v>0</v>
      </c>
      <c r="CK349" s="187">
        <f t="shared" si="526"/>
        <v>0</v>
      </c>
      <c r="CL349" s="187">
        <f t="shared" si="526"/>
        <v>0</v>
      </c>
      <c r="CM349" s="187">
        <f t="shared" si="526"/>
        <v>0</v>
      </c>
      <c r="CN349" s="187">
        <f t="shared" si="526"/>
        <v>0</v>
      </c>
      <c r="CO349" s="187">
        <f t="shared" si="526"/>
        <v>0</v>
      </c>
      <c r="CP349" s="187">
        <f t="shared" si="526"/>
        <v>0</v>
      </c>
      <c r="CQ349" s="187">
        <f t="shared" si="526"/>
        <v>0</v>
      </c>
      <c r="CR349" s="187">
        <f t="shared" si="526"/>
        <v>0</v>
      </c>
      <c r="CS349" s="187">
        <f t="shared" si="526"/>
        <v>0</v>
      </c>
      <c r="CT349" s="187">
        <f t="shared" si="526"/>
        <v>0</v>
      </c>
      <c r="CU349" s="187">
        <f t="shared" si="526"/>
        <v>0</v>
      </c>
      <c r="CV349" s="187">
        <f t="shared" si="526"/>
        <v>0</v>
      </c>
    </row>
    <row r="350" spans="1:100" s="188" customFormat="1" ht="12.75" outlineLevel="2" x14ac:dyDescent="0.2">
      <c r="A350" s="141"/>
      <c r="B350" s="141"/>
      <c r="C350" s="142"/>
      <c r="D350" s="143" t="s">
        <v>417</v>
      </c>
      <c r="E350" s="187" t="str">
        <f xml:space="preserve"> LEFT(E349, LEN(E349) - 4)</f>
        <v>Senior debt interest - T2</v>
      </c>
      <c r="F350" s="187"/>
      <c r="G350" s="187" t="str">
        <f xml:space="preserve"> SMU</f>
        <v>$ 000s</v>
      </c>
      <c r="H350" s="187">
        <f xml:space="preserve"> SUM(J350:CV350)</f>
        <v>-50719.400835431705</v>
      </c>
      <c r="I350" s="144"/>
      <c r="J350" s="187">
        <f t="shared" ref="J350:BU350" si="527" xml:space="preserve"> -1 * J349</f>
        <v>0</v>
      </c>
      <c r="K350" s="187">
        <f t="shared" si="527"/>
        <v>0</v>
      </c>
      <c r="L350" s="187">
        <f t="shared" si="527"/>
        <v>0</v>
      </c>
      <c r="M350" s="187">
        <f t="shared" si="527"/>
        <v>0</v>
      </c>
      <c r="N350" s="187">
        <f t="shared" si="527"/>
        <v>0</v>
      </c>
      <c r="O350" s="187">
        <f t="shared" si="527"/>
        <v>-3007.4603365932417</v>
      </c>
      <c r="P350" s="187">
        <f t="shared" si="527"/>
        <v>-2861.4426237247226</v>
      </c>
      <c r="Q350" s="187">
        <f t="shared" si="527"/>
        <v>-2827.4302563544802</v>
      </c>
      <c r="R350" s="187">
        <f t="shared" si="527"/>
        <v>-2700.2548554507134</v>
      </c>
      <c r="S350" s="187">
        <f t="shared" si="527"/>
        <v>-2661.0628632799539</v>
      </c>
      <c r="T350" s="187">
        <f t="shared" si="527"/>
        <v>-2534.0368459800811</v>
      </c>
      <c r="U350" s="187">
        <f t="shared" si="527"/>
        <v>-2489.4816638803841</v>
      </c>
      <c r="V350" s="187">
        <f t="shared" si="527"/>
        <v>-2375.6406705547574</v>
      </c>
      <c r="W350" s="187">
        <f t="shared" si="527"/>
        <v>-2312.626961541976</v>
      </c>
      <c r="X350" s="187">
        <f t="shared" si="527"/>
        <v>-2186.0562385133053</v>
      </c>
      <c r="Y350" s="187">
        <f t="shared" si="527"/>
        <v>-2220.854468947296</v>
      </c>
      <c r="Z350" s="187">
        <f t="shared" si="527"/>
        <v>-2091.5619982100643</v>
      </c>
      <c r="AA350" s="187">
        <f t="shared" si="527"/>
        <v>-2029.9192920142364</v>
      </c>
      <c r="AB350" s="187">
        <f t="shared" si="527"/>
        <v>-1900.5471301160426</v>
      </c>
      <c r="AC350" s="187">
        <f t="shared" si="527"/>
        <v>-1832.4843668262508</v>
      </c>
      <c r="AD350" s="187">
        <f t="shared" si="527"/>
        <v>-1712.4114864363401</v>
      </c>
      <c r="AE350" s="187">
        <f t="shared" si="527"/>
        <v>-1628.351296139547</v>
      </c>
      <c r="AF350" s="187">
        <f t="shared" si="527"/>
        <v>-1498.9393486025879</v>
      </c>
      <c r="AG350" s="187">
        <f t="shared" si="527"/>
        <v>-1417.2959784483739</v>
      </c>
      <c r="AH350" s="187">
        <f t="shared" si="527"/>
        <v>-1287.5009694483854</v>
      </c>
      <c r="AI350" s="187">
        <f t="shared" si="527"/>
        <v>-1272.051076082276</v>
      </c>
      <c r="AJ350" s="187">
        <f t="shared" si="527"/>
        <v>-1136.3240059796112</v>
      </c>
      <c r="AK350" s="187">
        <f t="shared" si="527"/>
        <v>-1036.2897842601778</v>
      </c>
      <c r="AL350" s="187">
        <f t="shared" si="527"/>
        <v>-904.99934106523745</v>
      </c>
      <c r="AM350" s="187">
        <f t="shared" si="527"/>
        <v>-791.5839748373146</v>
      </c>
      <c r="AN350" s="187">
        <f t="shared" si="527"/>
        <v>-654.9441068505555</v>
      </c>
      <c r="AO350" s="187">
        <f t="shared" si="527"/>
        <v>-537.78347303393627</v>
      </c>
      <c r="AP350" s="187">
        <f t="shared" si="527"/>
        <v>-400.27918403838652</v>
      </c>
      <c r="AQ350" s="187">
        <f t="shared" si="527"/>
        <v>-274.00182155120319</v>
      </c>
      <c r="AR350" s="187">
        <f t="shared" si="527"/>
        <v>-135.78407704150388</v>
      </c>
      <c r="AS350" s="187">
        <f t="shared" si="527"/>
        <v>-5.7368266412878361E-5</v>
      </c>
      <c r="AT350" s="187">
        <f t="shared" si="527"/>
        <v>-5.6744698299694907E-5</v>
      </c>
      <c r="AU350" s="187">
        <f t="shared" si="527"/>
        <v>-5.7368266412878361E-5</v>
      </c>
      <c r="AV350" s="187">
        <f t="shared" si="527"/>
        <v>-5.6432914243103177E-5</v>
      </c>
      <c r="AW350" s="187">
        <f t="shared" si="527"/>
        <v>-1.8755010173441004E-5</v>
      </c>
      <c r="AX350" s="187">
        <f t="shared" si="527"/>
        <v>-1.8449221964091424E-5</v>
      </c>
      <c r="AY350" s="187">
        <f t="shared" si="527"/>
        <v>-1.8755010173441004E-5</v>
      </c>
      <c r="AZ350" s="187">
        <f t="shared" si="527"/>
        <v>-1.8449221964091424E-5</v>
      </c>
      <c r="BA350" s="187">
        <f t="shared" si="527"/>
        <v>-1.8755010173441004E-5</v>
      </c>
      <c r="BB350" s="187">
        <f t="shared" si="527"/>
        <v>-1.8551151367207951E-5</v>
      </c>
      <c r="BC350" s="187">
        <f t="shared" si="527"/>
        <v>0</v>
      </c>
      <c r="BD350" s="187">
        <f t="shared" si="527"/>
        <v>0</v>
      </c>
      <c r="BE350" s="187">
        <f t="shared" si="527"/>
        <v>0</v>
      </c>
      <c r="BF350" s="187">
        <f t="shared" si="527"/>
        <v>0</v>
      </c>
      <c r="BG350" s="187">
        <f t="shared" si="527"/>
        <v>0</v>
      </c>
      <c r="BH350" s="187">
        <f t="shared" si="527"/>
        <v>0</v>
      </c>
      <c r="BI350" s="187">
        <f t="shared" si="527"/>
        <v>0</v>
      </c>
      <c r="BJ350" s="187">
        <f t="shared" si="527"/>
        <v>0</v>
      </c>
      <c r="BK350" s="187">
        <f t="shared" si="527"/>
        <v>0</v>
      </c>
      <c r="BL350" s="187">
        <f t="shared" si="527"/>
        <v>0</v>
      </c>
      <c r="BM350" s="187">
        <f t="shared" si="527"/>
        <v>0</v>
      </c>
      <c r="BN350" s="187">
        <f t="shared" si="527"/>
        <v>0</v>
      </c>
      <c r="BO350" s="187">
        <f t="shared" si="527"/>
        <v>0</v>
      </c>
      <c r="BP350" s="187">
        <f t="shared" si="527"/>
        <v>0</v>
      </c>
      <c r="BQ350" s="187">
        <f t="shared" si="527"/>
        <v>0</v>
      </c>
      <c r="BR350" s="187">
        <f t="shared" si="527"/>
        <v>0</v>
      </c>
      <c r="BS350" s="187">
        <f t="shared" si="527"/>
        <v>0</v>
      </c>
      <c r="BT350" s="187">
        <f t="shared" si="527"/>
        <v>0</v>
      </c>
      <c r="BU350" s="187">
        <f t="shared" si="527"/>
        <v>0</v>
      </c>
      <c r="BV350" s="187">
        <f t="shared" ref="BV350:CV350" si="528" xml:space="preserve"> -1 * BV349</f>
        <v>0</v>
      </c>
      <c r="BW350" s="187">
        <f t="shared" si="528"/>
        <v>0</v>
      </c>
      <c r="BX350" s="187">
        <f t="shared" si="528"/>
        <v>0</v>
      </c>
      <c r="BY350" s="187">
        <f t="shared" si="528"/>
        <v>0</v>
      </c>
      <c r="BZ350" s="187">
        <f t="shared" si="528"/>
        <v>0</v>
      </c>
      <c r="CA350" s="187">
        <f t="shared" si="528"/>
        <v>0</v>
      </c>
      <c r="CB350" s="187">
        <f t="shared" si="528"/>
        <v>0</v>
      </c>
      <c r="CC350" s="187">
        <f t="shared" si="528"/>
        <v>0</v>
      </c>
      <c r="CD350" s="187">
        <f t="shared" si="528"/>
        <v>0</v>
      </c>
      <c r="CE350" s="187">
        <f t="shared" si="528"/>
        <v>0</v>
      </c>
      <c r="CF350" s="187">
        <f t="shared" si="528"/>
        <v>0</v>
      </c>
      <c r="CG350" s="187">
        <f t="shared" si="528"/>
        <v>0</v>
      </c>
      <c r="CH350" s="187">
        <f t="shared" si="528"/>
        <v>0</v>
      </c>
      <c r="CI350" s="187">
        <f t="shared" si="528"/>
        <v>0</v>
      </c>
      <c r="CJ350" s="187">
        <f t="shared" si="528"/>
        <v>0</v>
      </c>
      <c r="CK350" s="187">
        <f t="shared" si="528"/>
        <v>0</v>
      </c>
      <c r="CL350" s="187">
        <f t="shared" si="528"/>
        <v>0</v>
      </c>
      <c r="CM350" s="187">
        <f t="shared" si="528"/>
        <v>0</v>
      </c>
      <c r="CN350" s="187">
        <f t="shared" si="528"/>
        <v>0</v>
      </c>
      <c r="CO350" s="187">
        <f t="shared" si="528"/>
        <v>0</v>
      </c>
      <c r="CP350" s="187">
        <f t="shared" si="528"/>
        <v>0</v>
      </c>
      <c r="CQ350" s="187">
        <f t="shared" si="528"/>
        <v>0</v>
      </c>
      <c r="CR350" s="187">
        <f t="shared" si="528"/>
        <v>0</v>
      </c>
      <c r="CS350" s="187">
        <f t="shared" si="528"/>
        <v>0</v>
      </c>
      <c r="CT350" s="187">
        <f t="shared" si="528"/>
        <v>0</v>
      </c>
      <c r="CU350" s="187">
        <f t="shared" si="528"/>
        <v>0</v>
      </c>
      <c r="CV350" s="187">
        <f t="shared" si="528"/>
        <v>0</v>
      </c>
    </row>
    <row r="351" spans="1:100" s="188" customFormat="1" ht="12.75" outlineLevel="2" x14ac:dyDescent="0.2">
      <c r="A351" s="141"/>
      <c r="B351" s="141"/>
      <c r="C351" s="142"/>
      <c r="D351" s="143"/>
      <c r="E351" s="187"/>
      <c r="F351" s="187"/>
      <c r="G351" s="187"/>
      <c r="H351" s="187"/>
      <c r="I351" s="144"/>
      <c r="J351" s="187"/>
      <c r="K351" s="187"/>
      <c r="L351" s="187"/>
      <c r="M351" s="187"/>
      <c r="N351" s="187"/>
      <c r="O351" s="187"/>
      <c r="P351" s="187"/>
      <c r="Q351" s="187"/>
      <c r="R351" s="187"/>
      <c r="S351" s="187"/>
      <c r="T351" s="187"/>
      <c r="U351" s="187"/>
      <c r="V351" s="187"/>
      <c r="W351" s="187"/>
      <c r="X351" s="187"/>
      <c r="Y351" s="187"/>
      <c r="Z351" s="187"/>
      <c r="AA351" s="187"/>
      <c r="AB351" s="187"/>
      <c r="AC351" s="187"/>
      <c r="AD351" s="187"/>
      <c r="AE351" s="187"/>
      <c r="AF351" s="187"/>
      <c r="AG351" s="187"/>
      <c r="AH351" s="187"/>
      <c r="AI351" s="187"/>
      <c r="AJ351" s="187"/>
      <c r="AK351" s="187"/>
      <c r="AL351" s="187"/>
      <c r="AM351" s="187"/>
      <c r="AN351" s="187"/>
      <c r="AO351" s="187"/>
      <c r="AP351" s="187"/>
      <c r="AQ351" s="187"/>
      <c r="AR351" s="187"/>
      <c r="AS351" s="187"/>
      <c r="AT351" s="187"/>
      <c r="AU351" s="187"/>
      <c r="AV351" s="187"/>
      <c r="AW351" s="187"/>
      <c r="AX351" s="187"/>
      <c r="AY351" s="187"/>
      <c r="AZ351" s="187"/>
      <c r="BA351" s="187"/>
      <c r="BB351" s="187"/>
      <c r="BC351" s="187"/>
      <c r="BD351" s="187"/>
      <c r="BE351" s="187"/>
      <c r="BF351" s="187"/>
      <c r="BG351" s="187"/>
      <c r="BH351" s="187"/>
      <c r="BI351" s="187"/>
      <c r="BJ351" s="187"/>
      <c r="BK351" s="187"/>
      <c r="BL351" s="187"/>
      <c r="BM351" s="187"/>
      <c r="BN351" s="187"/>
      <c r="BO351" s="187"/>
      <c r="BP351" s="187"/>
      <c r="BQ351" s="187"/>
      <c r="BR351" s="187"/>
      <c r="BS351" s="187"/>
      <c r="BT351" s="187"/>
      <c r="BU351" s="187"/>
      <c r="BV351" s="187"/>
      <c r="BW351" s="187"/>
      <c r="BX351" s="187"/>
      <c r="BY351" s="187"/>
      <c r="BZ351" s="187"/>
      <c r="CA351" s="187"/>
      <c r="CB351" s="187"/>
      <c r="CC351" s="187"/>
      <c r="CD351" s="187"/>
      <c r="CE351" s="187"/>
      <c r="CF351" s="187"/>
      <c r="CG351" s="187"/>
      <c r="CH351" s="187"/>
      <c r="CI351" s="187"/>
      <c r="CJ351" s="187"/>
      <c r="CK351" s="187"/>
      <c r="CL351" s="187"/>
      <c r="CM351" s="187"/>
      <c r="CN351" s="187"/>
      <c r="CO351" s="187"/>
      <c r="CP351" s="187"/>
      <c r="CQ351" s="187"/>
      <c r="CR351" s="187"/>
      <c r="CS351" s="187"/>
      <c r="CT351" s="187"/>
      <c r="CU351" s="187"/>
      <c r="CV351" s="187"/>
    </row>
    <row r="352" spans="1:100" ht="12.75" outlineLevel="1" x14ac:dyDescent="0.2">
      <c r="C352" s="21" t="s">
        <v>1344</v>
      </c>
    </row>
    <row r="353" spans="1:192" s="188" customFormat="1" ht="12.75" outlineLevel="2" x14ac:dyDescent="0.2">
      <c r="A353" s="141"/>
      <c r="B353" s="141"/>
      <c r="C353" s="142"/>
      <c r="D353" s="143"/>
      <c r="E353" s="493" t="s">
        <v>1339</v>
      </c>
      <c r="F353" s="493">
        <v>0.02</v>
      </c>
      <c r="G353" s="493" t="s">
        <v>103</v>
      </c>
      <c r="H353" s="187"/>
      <c r="I353" s="144"/>
      <c r="J353" s="187"/>
      <c r="K353" s="187"/>
      <c r="L353" s="187"/>
      <c r="M353" s="187"/>
      <c r="N353" s="187"/>
      <c r="O353" s="187"/>
      <c r="P353" s="187"/>
      <c r="Q353" s="187"/>
      <c r="R353" s="187"/>
      <c r="S353" s="187"/>
      <c r="T353" s="187"/>
      <c r="U353" s="187"/>
      <c r="V353" s="187"/>
      <c r="W353" s="187"/>
      <c r="X353" s="187"/>
      <c r="Y353" s="187"/>
      <c r="Z353" s="187"/>
      <c r="AA353" s="187"/>
      <c r="AB353" s="187"/>
      <c r="AC353" s="187"/>
      <c r="AD353" s="187"/>
      <c r="AE353" s="187"/>
      <c r="AF353" s="187"/>
      <c r="AG353" s="187"/>
      <c r="AH353" s="187"/>
      <c r="AI353" s="187"/>
      <c r="AJ353" s="187"/>
      <c r="AK353" s="187"/>
      <c r="AL353" s="187"/>
      <c r="AM353" s="187"/>
      <c r="AN353" s="187"/>
      <c r="AO353" s="187"/>
      <c r="AP353" s="187"/>
      <c r="AQ353" s="187"/>
      <c r="AR353" s="187"/>
      <c r="AS353" s="187"/>
      <c r="AT353" s="187"/>
      <c r="AU353" s="187"/>
      <c r="AV353" s="187"/>
      <c r="AW353" s="187"/>
      <c r="AX353" s="187"/>
      <c r="AY353" s="187"/>
      <c r="AZ353" s="187"/>
      <c r="BA353" s="187"/>
      <c r="BB353" s="187"/>
      <c r="BC353" s="187"/>
      <c r="BD353" s="187"/>
      <c r="BE353" s="187"/>
      <c r="BF353" s="187"/>
      <c r="BG353" s="187"/>
      <c r="BH353" s="187"/>
      <c r="BI353" s="187"/>
      <c r="BJ353" s="187"/>
      <c r="BK353" s="187"/>
      <c r="BL353" s="187"/>
      <c r="BM353" s="187"/>
      <c r="BN353" s="187"/>
      <c r="BO353" s="187"/>
      <c r="BP353" s="187"/>
      <c r="BQ353" s="187"/>
      <c r="BR353" s="187"/>
      <c r="BS353" s="187"/>
      <c r="BT353" s="187"/>
      <c r="BU353" s="187"/>
      <c r="BV353" s="187"/>
      <c r="BW353" s="187"/>
      <c r="BX353" s="187"/>
      <c r="BY353" s="187"/>
      <c r="BZ353" s="187"/>
      <c r="CA353" s="187"/>
      <c r="CB353" s="187"/>
      <c r="CC353" s="187"/>
      <c r="CD353" s="187"/>
      <c r="CE353" s="187"/>
      <c r="CF353" s="187"/>
      <c r="CG353" s="187"/>
      <c r="CH353" s="187"/>
      <c r="CI353" s="187"/>
      <c r="CJ353" s="187"/>
      <c r="CK353" s="187"/>
      <c r="CL353" s="187"/>
      <c r="CM353" s="187"/>
      <c r="CN353" s="187"/>
      <c r="CO353" s="187"/>
      <c r="CP353" s="187"/>
      <c r="CQ353" s="187"/>
      <c r="CR353" s="187"/>
      <c r="CS353" s="187"/>
      <c r="CT353" s="187"/>
      <c r="CU353" s="187"/>
      <c r="CV353" s="187"/>
    </row>
    <row r="354" spans="1:192" s="188" customFormat="1" ht="12.75" outlineLevel="2" x14ac:dyDescent="0.2">
      <c r="A354" s="141"/>
      <c r="B354" s="141"/>
      <c r="C354" s="142"/>
      <c r="D354" s="143"/>
      <c r="E354" s="12" t="s">
        <v>988</v>
      </c>
      <c r="F354" s="12">
        <v>0</v>
      </c>
      <c r="G354" s="12" t="s">
        <v>105</v>
      </c>
      <c r="H354" s="12">
        <f xml:space="preserve"> SUM(J354:CV354)</f>
        <v>50719.400835431705</v>
      </c>
      <c r="I354" s="12">
        <v>0</v>
      </c>
      <c r="J354" s="12">
        <f t="shared" ref="J354:AO354" si="529" xml:space="preserve"> J$349</f>
        <v>0</v>
      </c>
      <c r="K354" s="12">
        <f t="shared" si="529"/>
        <v>0</v>
      </c>
      <c r="L354" s="12">
        <f t="shared" si="529"/>
        <v>0</v>
      </c>
      <c r="M354" s="12">
        <f t="shared" si="529"/>
        <v>0</v>
      </c>
      <c r="N354" s="12">
        <f t="shared" si="529"/>
        <v>0</v>
      </c>
      <c r="O354" s="12">
        <f t="shared" si="529"/>
        <v>3007.4603365932417</v>
      </c>
      <c r="P354" s="12">
        <f t="shared" si="529"/>
        <v>2861.4426237247226</v>
      </c>
      <c r="Q354" s="12">
        <f t="shared" si="529"/>
        <v>2827.4302563544802</v>
      </c>
      <c r="R354" s="12">
        <f t="shared" si="529"/>
        <v>2700.2548554507134</v>
      </c>
      <c r="S354" s="12">
        <f t="shared" si="529"/>
        <v>2661.0628632799539</v>
      </c>
      <c r="T354" s="12">
        <f t="shared" si="529"/>
        <v>2534.0368459800811</v>
      </c>
      <c r="U354" s="12">
        <f t="shared" si="529"/>
        <v>2489.4816638803841</v>
      </c>
      <c r="V354" s="12">
        <f t="shared" si="529"/>
        <v>2375.6406705547574</v>
      </c>
      <c r="W354" s="12">
        <f t="shared" si="529"/>
        <v>2312.626961541976</v>
      </c>
      <c r="X354" s="12">
        <f t="shared" si="529"/>
        <v>2186.0562385133053</v>
      </c>
      <c r="Y354" s="12">
        <f t="shared" si="529"/>
        <v>2220.854468947296</v>
      </c>
      <c r="Z354" s="12">
        <f t="shared" si="529"/>
        <v>2091.5619982100643</v>
      </c>
      <c r="AA354" s="12">
        <f t="shared" si="529"/>
        <v>2029.9192920142364</v>
      </c>
      <c r="AB354" s="12">
        <f t="shared" si="529"/>
        <v>1900.5471301160426</v>
      </c>
      <c r="AC354" s="12">
        <f t="shared" si="529"/>
        <v>1832.4843668262508</v>
      </c>
      <c r="AD354" s="12">
        <f t="shared" si="529"/>
        <v>1712.4114864363401</v>
      </c>
      <c r="AE354" s="12">
        <f t="shared" si="529"/>
        <v>1628.351296139547</v>
      </c>
      <c r="AF354" s="12">
        <f t="shared" si="529"/>
        <v>1498.9393486025879</v>
      </c>
      <c r="AG354" s="12">
        <f t="shared" si="529"/>
        <v>1417.2959784483739</v>
      </c>
      <c r="AH354" s="12">
        <f t="shared" si="529"/>
        <v>1287.5009694483854</v>
      </c>
      <c r="AI354" s="12">
        <f t="shared" si="529"/>
        <v>1272.051076082276</v>
      </c>
      <c r="AJ354" s="12">
        <f t="shared" si="529"/>
        <v>1136.3240059796112</v>
      </c>
      <c r="AK354" s="12">
        <f t="shared" si="529"/>
        <v>1036.2897842601778</v>
      </c>
      <c r="AL354" s="12">
        <f t="shared" si="529"/>
        <v>904.99934106523745</v>
      </c>
      <c r="AM354" s="12">
        <f t="shared" si="529"/>
        <v>791.5839748373146</v>
      </c>
      <c r="AN354" s="12">
        <f t="shared" si="529"/>
        <v>654.9441068505555</v>
      </c>
      <c r="AO354" s="12">
        <f t="shared" si="529"/>
        <v>537.78347303393627</v>
      </c>
      <c r="AP354" s="12">
        <f t="shared" ref="AP354:BU354" si="530" xml:space="preserve"> AP$349</f>
        <v>400.27918403838652</v>
      </c>
      <c r="AQ354" s="12">
        <f t="shared" si="530"/>
        <v>274.00182155120319</v>
      </c>
      <c r="AR354" s="12">
        <f t="shared" si="530"/>
        <v>135.78407704150388</v>
      </c>
      <c r="AS354" s="12">
        <f t="shared" si="530"/>
        <v>5.7368266412878361E-5</v>
      </c>
      <c r="AT354" s="12">
        <f t="shared" si="530"/>
        <v>5.6744698299694907E-5</v>
      </c>
      <c r="AU354" s="12">
        <f t="shared" si="530"/>
        <v>5.7368266412878361E-5</v>
      </c>
      <c r="AV354" s="12">
        <f t="shared" si="530"/>
        <v>5.6432914243103177E-5</v>
      </c>
      <c r="AW354" s="12">
        <f t="shared" si="530"/>
        <v>1.8755010173441004E-5</v>
      </c>
      <c r="AX354" s="12">
        <f t="shared" si="530"/>
        <v>1.8449221964091424E-5</v>
      </c>
      <c r="AY354" s="12">
        <f t="shared" si="530"/>
        <v>1.8755010173441004E-5</v>
      </c>
      <c r="AZ354" s="12">
        <f t="shared" si="530"/>
        <v>1.8449221964091424E-5</v>
      </c>
      <c r="BA354" s="12">
        <f t="shared" si="530"/>
        <v>1.8755010173441004E-5</v>
      </c>
      <c r="BB354" s="12">
        <f t="shared" si="530"/>
        <v>1.8551151367207951E-5</v>
      </c>
      <c r="BC354" s="12">
        <f t="shared" si="530"/>
        <v>0</v>
      </c>
      <c r="BD354" s="12">
        <f t="shared" si="530"/>
        <v>0</v>
      </c>
      <c r="BE354" s="12">
        <f t="shared" si="530"/>
        <v>0</v>
      </c>
      <c r="BF354" s="12">
        <f t="shared" si="530"/>
        <v>0</v>
      </c>
      <c r="BG354" s="12">
        <f t="shared" si="530"/>
        <v>0</v>
      </c>
      <c r="BH354" s="12">
        <f t="shared" si="530"/>
        <v>0</v>
      </c>
      <c r="BI354" s="12">
        <f t="shared" si="530"/>
        <v>0</v>
      </c>
      <c r="BJ354" s="12">
        <f t="shared" si="530"/>
        <v>0</v>
      </c>
      <c r="BK354" s="12">
        <f t="shared" si="530"/>
        <v>0</v>
      </c>
      <c r="BL354" s="12">
        <f t="shared" si="530"/>
        <v>0</v>
      </c>
      <c r="BM354" s="12">
        <f t="shared" si="530"/>
        <v>0</v>
      </c>
      <c r="BN354" s="12">
        <f t="shared" si="530"/>
        <v>0</v>
      </c>
      <c r="BO354" s="12">
        <f t="shared" si="530"/>
        <v>0</v>
      </c>
      <c r="BP354" s="12">
        <f t="shared" si="530"/>
        <v>0</v>
      </c>
      <c r="BQ354" s="12">
        <f t="shared" si="530"/>
        <v>0</v>
      </c>
      <c r="BR354" s="12">
        <f t="shared" si="530"/>
        <v>0</v>
      </c>
      <c r="BS354" s="12">
        <f t="shared" si="530"/>
        <v>0</v>
      </c>
      <c r="BT354" s="12">
        <f t="shared" si="530"/>
        <v>0</v>
      </c>
      <c r="BU354" s="12">
        <f t="shared" si="530"/>
        <v>0</v>
      </c>
      <c r="BV354" s="12">
        <f t="shared" ref="BV354:DA354" si="531" xml:space="preserve"> BV$349</f>
        <v>0</v>
      </c>
      <c r="BW354" s="12">
        <f t="shared" si="531"/>
        <v>0</v>
      </c>
      <c r="BX354" s="12">
        <f t="shared" si="531"/>
        <v>0</v>
      </c>
      <c r="BY354" s="12">
        <f t="shared" si="531"/>
        <v>0</v>
      </c>
      <c r="BZ354" s="12">
        <f t="shared" si="531"/>
        <v>0</v>
      </c>
      <c r="CA354" s="12">
        <f t="shared" si="531"/>
        <v>0</v>
      </c>
      <c r="CB354" s="12">
        <f t="shared" si="531"/>
        <v>0</v>
      </c>
      <c r="CC354" s="12">
        <f t="shared" si="531"/>
        <v>0</v>
      </c>
      <c r="CD354" s="12">
        <f t="shared" si="531"/>
        <v>0</v>
      </c>
      <c r="CE354" s="12">
        <f t="shared" si="531"/>
        <v>0</v>
      </c>
      <c r="CF354" s="12">
        <f t="shared" si="531"/>
        <v>0</v>
      </c>
      <c r="CG354" s="12">
        <f t="shared" si="531"/>
        <v>0</v>
      </c>
      <c r="CH354" s="12">
        <f t="shared" si="531"/>
        <v>0</v>
      </c>
      <c r="CI354" s="12">
        <f t="shared" si="531"/>
        <v>0</v>
      </c>
      <c r="CJ354" s="12">
        <f t="shared" si="531"/>
        <v>0</v>
      </c>
      <c r="CK354" s="12">
        <f t="shared" si="531"/>
        <v>0</v>
      </c>
      <c r="CL354" s="12">
        <f t="shared" si="531"/>
        <v>0</v>
      </c>
      <c r="CM354" s="12">
        <f t="shared" si="531"/>
        <v>0</v>
      </c>
      <c r="CN354" s="12">
        <f t="shared" si="531"/>
        <v>0</v>
      </c>
      <c r="CO354" s="12">
        <f t="shared" si="531"/>
        <v>0</v>
      </c>
      <c r="CP354" s="12">
        <f t="shared" si="531"/>
        <v>0</v>
      </c>
      <c r="CQ354" s="12">
        <f t="shared" si="531"/>
        <v>0</v>
      </c>
      <c r="CR354" s="12">
        <f t="shared" si="531"/>
        <v>0</v>
      </c>
      <c r="CS354" s="12">
        <f t="shared" si="531"/>
        <v>0</v>
      </c>
      <c r="CT354" s="12">
        <f t="shared" si="531"/>
        <v>0</v>
      </c>
      <c r="CU354" s="12">
        <f t="shared" si="531"/>
        <v>0</v>
      </c>
      <c r="CV354" s="12">
        <f t="shared" si="531"/>
        <v>0</v>
      </c>
      <c r="CW354" s="12">
        <f t="shared" si="531"/>
        <v>0</v>
      </c>
      <c r="CX354" s="12">
        <f t="shared" si="531"/>
        <v>0</v>
      </c>
      <c r="CY354" s="12">
        <f t="shared" si="531"/>
        <v>0</v>
      </c>
      <c r="CZ354" s="12">
        <f t="shared" si="531"/>
        <v>0</v>
      </c>
      <c r="DA354" s="12">
        <f t="shared" si="531"/>
        <v>0</v>
      </c>
      <c r="DB354" s="12">
        <f t="shared" ref="DB354:EG354" si="532" xml:space="preserve"> DB$349</f>
        <v>0</v>
      </c>
      <c r="DC354" s="12">
        <f t="shared" si="532"/>
        <v>0</v>
      </c>
      <c r="DD354" s="12">
        <f t="shared" si="532"/>
        <v>0</v>
      </c>
      <c r="DE354" s="12">
        <f t="shared" si="532"/>
        <v>0</v>
      </c>
      <c r="DF354" s="12">
        <f t="shared" si="532"/>
        <v>0</v>
      </c>
      <c r="DG354" s="12">
        <f t="shared" si="532"/>
        <v>0</v>
      </c>
      <c r="DH354" s="12">
        <f t="shared" si="532"/>
        <v>0</v>
      </c>
      <c r="DI354" s="12">
        <f t="shared" si="532"/>
        <v>0</v>
      </c>
      <c r="DJ354" s="12">
        <f t="shared" si="532"/>
        <v>0</v>
      </c>
      <c r="DK354" s="12">
        <f t="shared" si="532"/>
        <v>0</v>
      </c>
      <c r="DL354" s="12">
        <f t="shared" si="532"/>
        <v>0</v>
      </c>
      <c r="DM354" s="12">
        <f t="shared" si="532"/>
        <v>0</v>
      </c>
      <c r="DN354" s="12">
        <f t="shared" si="532"/>
        <v>0</v>
      </c>
      <c r="DO354" s="12">
        <f t="shared" si="532"/>
        <v>0</v>
      </c>
      <c r="DP354" s="12">
        <f t="shared" si="532"/>
        <v>0</v>
      </c>
      <c r="DQ354" s="12">
        <f t="shared" si="532"/>
        <v>0</v>
      </c>
      <c r="DR354" s="12">
        <f t="shared" si="532"/>
        <v>0</v>
      </c>
      <c r="DS354" s="12">
        <f t="shared" si="532"/>
        <v>0</v>
      </c>
      <c r="DT354" s="12">
        <f t="shared" si="532"/>
        <v>0</v>
      </c>
      <c r="DU354" s="12">
        <f t="shared" si="532"/>
        <v>0</v>
      </c>
      <c r="DV354" s="12">
        <f t="shared" si="532"/>
        <v>0</v>
      </c>
      <c r="DW354" s="12">
        <f t="shared" si="532"/>
        <v>0</v>
      </c>
      <c r="DX354" s="12">
        <f t="shared" si="532"/>
        <v>0</v>
      </c>
      <c r="DY354" s="12">
        <f t="shared" si="532"/>
        <v>0</v>
      </c>
      <c r="DZ354" s="12">
        <f t="shared" si="532"/>
        <v>0</v>
      </c>
      <c r="EA354" s="12">
        <f t="shared" si="532"/>
        <v>0</v>
      </c>
      <c r="EB354" s="12">
        <f t="shared" si="532"/>
        <v>0</v>
      </c>
      <c r="EC354" s="12">
        <f t="shared" si="532"/>
        <v>0</v>
      </c>
      <c r="ED354" s="12">
        <f t="shared" si="532"/>
        <v>0</v>
      </c>
      <c r="EE354" s="12">
        <f t="shared" si="532"/>
        <v>0</v>
      </c>
      <c r="EF354" s="12">
        <f t="shared" si="532"/>
        <v>0</v>
      </c>
      <c r="EG354" s="12">
        <f t="shared" si="532"/>
        <v>0</v>
      </c>
      <c r="EH354" s="12">
        <f t="shared" ref="EH354:FM354" si="533" xml:space="preserve"> EH$349</f>
        <v>0</v>
      </c>
      <c r="EI354" s="12">
        <f t="shared" si="533"/>
        <v>0</v>
      </c>
      <c r="EJ354" s="12">
        <f t="shared" si="533"/>
        <v>0</v>
      </c>
      <c r="EK354" s="12">
        <f t="shared" si="533"/>
        <v>0</v>
      </c>
      <c r="EL354" s="12">
        <f t="shared" si="533"/>
        <v>0</v>
      </c>
      <c r="EM354" s="12">
        <f t="shared" si="533"/>
        <v>0</v>
      </c>
      <c r="EN354" s="12">
        <f t="shared" si="533"/>
        <v>0</v>
      </c>
      <c r="EO354" s="12">
        <f t="shared" si="533"/>
        <v>0</v>
      </c>
      <c r="EP354" s="12">
        <f t="shared" si="533"/>
        <v>0</v>
      </c>
      <c r="EQ354" s="12">
        <f t="shared" si="533"/>
        <v>0</v>
      </c>
      <c r="ER354" s="12">
        <f t="shared" si="533"/>
        <v>0</v>
      </c>
      <c r="ES354" s="12">
        <f t="shared" si="533"/>
        <v>0</v>
      </c>
      <c r="ET354" s="12">
        <f t="shared" si="533"/>
        <v>0</v>
      </c>
      <c r="EU354" s="12">
        <f t="shared" si="533"/>
        <v>0</v>
      </c>
      <c r="EV354" s="12">
        <f t="shared" si="533"/>
        <v>0</v>
      </c>
      <c r="EW354" s="12">
        <f t="shared" si="533"/>
        <v>0</v>
      </c>
      <c r="EX354" s="12">
        <f t="shared" si="533"/>
        <v>0</v>
      </c>
      <c r="EY354" s="12">
        <f t="shared" si="533"/>
        <v>0</v>
      </c>
      <c r="EZ354" s="12">
        <f t="shared" si="533"/>
        <v>0</v>
      </c>
      <c r="FA354" s="12">
        <f t="shared" si="533"/>
        <v>0</v>
      </c>
      <c r="FB354" s="12">
        <f t="shared" si="533"/>
        <v>0</v>
      </c>
      <c r="FC354" s="12">
        <f t="shared" si="533"/>
        <v>0</v>
      </c>
      <c r="FD354" s="12">
        <f t="shared" si="533"/>
        <v>0</v>
      </c>
      <c r="FE354" s="12">
        <f t="shared" si="533"/>
        <v>0</v>
      </c>
      <c r="FF354" s="12">
        <f t="shared" si="533"/>
        <v>0</v>
      </c>
      <c r="FG354" s="12">
        <f t="shared" si="533"/>
        <v>0</v>
      </c>
      <c r="FH354" s="12">
        <f t="shared" si="533"/>
        <v>0</v>
      </c>
      <c r="FI354" s="12">
        <f t="shared" si="533"/>
        <v>0</v>
      </c>
      <c r="FJ354" s="12">
        <f t="shared" si="533"/>
        <v>0</v>
      </c>
      <c r="FK354" s="12">
        <f t="shared" si="533"/>
        <v>0</v>
      </c>
      <c r="FL354" s="12">
        <f t="shared" si="533"/>
        <v>0</v>
      </c>
      <c r="FM354" s="12">
        <f t="shared" si="533"/>
        <v>0</v>
      </c>
      <c r="FN354" s="12">
        <f t="shared" ref="FN354:GJ354" si="534" xml:space="preserve"> FN$349</f>
        <v>0</v>
      </c>
      <c r="FO354" s="12">
        <f t="shared" si="534"/>
        <v>0</v>
      </c>
      <c r="FP354" s="12">
        <f t="shared" si="534"/>
        <v>0</v>
      </c>
      <c r="FQ354" s="12">
        <f t="shared" si="534"/>
        <v>0</v>
      </c>
      <c r="FR354" s="12">
        <f t="shared" si="534"/>
        <v>0</v>
      </c>
      <c r="FS354" s="12">
        <f t="shared" si="534"/>
        <v>0</v>
      </c>
      <c r="FT354" s="12">
        <f t="shared" si="534"/>
        <v>0</v>
      </c>
      <c r="FU354" s="12">
        <f t="shared" si="534"/>
        <v>0</v>
      </c>
      <c r="FV354" s="12">
        <f t="shared" si="534"/>
        <v>0</v>
      </c>
      <c r="FW354" s="12">
        <f t="shared" si="534"/>
        <v>0</v>
      </c>
      <c r="FX354" s="12">
        <f t="shared" si="534"/>
        <v>0</v>
      </c>
      <c r="FY354" s="12">
        <f t="shared" si="534"/>
        <v>0</v>
      </c>
      <c r="FZ354" s="12">
        <f t="shared" si="534"/>
        <v>0</v>
      </c>
      <c r="GA354" s="12">
        <f t="shared" si="534"/>
        <v>0</v>
      </c>
      <c r="GB354" s="12">
        <f t="shared" si="534"/>
        <v>0</v>
      </c>
      <c r="GC354" s="12">
        <f t="shared" si="534"/>
        <v>0</v>
      </c>
      <c r="GD354" s="12">
        <f t="shared" si="534"/>
        <v>0</v>
      </c>
      <c r="GE354" s="12">
        <f t="shared" si="534"/>
        <v>0</v>
      </c>
      <c r="GF354" s="12">
        <f t="shared" si="534"/>
        <v>0</v>
      </c>
      <c r="GG354" s="12">
        <f t="shared" si="534"/>
        <v>0</v>
      </c>
      <c r="GH354" s="12">
        <f t="shared" si="534"/>
        <v>0</v>
      </c>
      <c r="GI354" s="12">
        <f t="shared" si="534"/>
        <v>0</v>
      </c>
      <c r="GJ354" s="12">
        <f t="shared" si="534"/>
        <v>0</v>
      </c>
    </row>
    <row r="355" spans="1:192" s="32" customFormat="1" ht="12.75" outlineLevel="2" x14ac:dyDescent="0.2">
      <c r="A355" s="15"/>
      <c r="B355" s="15"/>
      <c r="C355" s="21"/>
      <c r="D355" s="48"/>
      <c r="E355" s="12" t="s">
        <v>1345</v>
      </c>
      <c r="F355" s="12"/>
      <c r="G355" s="12" t="s">
        <v>105</v>
      </c>
      <c r="H355" s="12">
        <f xml:space="preserve"> SUM(J355:CV355)</f>
        <v>51754.490648399704</v>
      </c>
      <c r="I355" s="9"/>
      <c r="J355" s="12">
        <f t="shared" ref="J355:AO355" si="535">J354/(1-$F353)</f>
        <v>0</v>
      </c>
      <c r="K355" s="12">
        <f t="shared" si="535"/>
        <v>0</v>
      </c>
      <c r="L355" s="12">
        <f t="shared" si="535"/>
        <v>0</v>
      </c>
      <c r="M355" s="12">
        <f t="shared" si="535"/>
        <v>0</v>
      </c>
      <c r="N355" s="12">
        <f t="shared" si="535"/>
        <v>0</v>
      </c>
      <c r="O355" s="12">
        <f t="shared" si="535"/>
        <v>3068.837078156369</v>
      </c>
      <c r="P355" s="12">
        <f t="shared" si="535"/>
        <v>2919.8394119640025</v>
      </c>
      <c r="Q355" s="12">
        <f t="shared" si="535"/>
        <v>2885.1329146474291</v>
      </c>
      <c r="R355" s="12">
        <f t="shared" si="535"/>
        <v>2755.3620973986872</v>
      </c>
      <c r="S355" s="12">
        <f t="shared" si="535"/>
        <v>2715.3702686530141</v>
      </c>
      <c r="T355" s="12">
        <f t="shared" si="535"/>
        <v>2585.751883653144</v>
      </c>
      <c r="U355" s="12">
        <f t="shared" si="535"/>
        <v>2540.287412122841</v>
      </c>
      <c r="V355" s="12">
        <f t="shared" si="535"/>
        <v>2424.1231332191401</v>
      </c>
      <c r="W355" s="12">
        <f t="shared" si="535"/>
        <v>2359.8234301448733</v>
      </c>
      <c r="X355" s="12">
        <f t="shared" si="535"/>
        <v>2230.6696311360261</v>
      </c>
      <c r="Y355" s="12">
        <f t="shared" si="535"/>
        <v>2266.1780295380572</v>
      </c>
      <c r="Z355" s="12">
        <f t="shared" si="535"/>
        <v>2134.2469369490454</v>
      </c>
      <c r="AA355" s="12">
        <f t="shared" si="535"/>
        <v>2071.3462163410577</v>
      </c>
      <c r="AB355" s="12">
        <f t="shared" si="535"/>
        <v>1939.3338062408598</v>
      </c>
      <c r="AC355" s="12">
        <f t="shared" si="535"/>
        <v>1869.8820069655621</v>
      </c>
      <c r="AD355" s="12">
        <f t="shared" si="535"/>
        <v>1747.3586596289185</v>
      </c>
      <c r="AE355" s="12">
        <f t="shared" si="535"/>
        <v>1661.5829552444357</v>
      </c>
      <c r="AF355" s="12">
        <f t="shared" si="535"/>
        <v>1529.529947553661</v>
      </c>
      <c r="AG355" s="12">
        <f t="shared" si="535"/>
        <v>1446.2203861718101</v>
      </c>
      <c r="AH355" s="12">
        <f t="shared" si="535"/>
        <v>1313.776499437128</v>
      </c>
      <c r="AI355" s="12">
        <f t="shared" si="535"/>
        <v>1298.0113021247714</v>
      </c>
      <c r="AJ355" s="12">
        <f t="shared" si="535"/>
        <v>1159.5142918159299</v>
      </c>
      <c r="AK355" s="12">
        <f t="shared" si="535"/>
        <v>1057.4385553675284</v>
      </c>
      <c r="AL355" s="12">
        <f t="shared" si="535"/>
        <v>923.46871537269124</v>
      </c>
      <c r="AM355" s="12">
        <f t="shared" si="535"/>
        <v>807.73874983399446</v>
      </c>
      <c r="AN355" s="12">
        <f t="shared" si="535"/>
        <v>668.31031311281174</v>
      </c>
      <c r="AO355" s="12">
        <f t="shared" si="535"/>
        <v>548.75864595299618</v>
      </c>
      <c r="AP355" s="12">
        <f t="shared" ref="AP355:BU355" si="536">AP354/(1-$F353)</f>
        <v>408.44814697794544</v>
      </c>
      <c r="AQ355" s="12">
        <f t="shared" si="536"/>
        <v>279.59369546041142</v>
      </c>
      <c r="AR355" s="12">
        <f t="shared" si="536"/>
        <v>138.5551806545958</v>
      </c>
      <c r="AS355" s="12">
        <f t="shared" si="536"/>
        <v>5.8539047360079959E-5</v>
      </c>
      <c r="AT355" s="12">
        <f t="shared" si="536"/>
        <v>5.7902753367035621E-5</v>
      </c>
      <c r="AU355" s="12">
        <f t="shared" si="536"/>
        <v>5.8539047360079959E-5</v>
      </c>
      <c r="AV355" s="12">
        <f t="shared" si="536"/>
        <v>5.7584606370513449E-5</v>
      </c>
      <c r="AW355" s="12">
        <f t="shared" si="536"/>
        <v>1.9137765483103065E-5</v>
      </c>
      <c r="AX355" s="12">
        <f t="shared" si="536"/>
        <v>1.8825736698052473E-5</v>
      </c>
      <c r="AY355" s="12">
        <f t="shared" si="536"/>
        <v>1.9137765483103065E-5</v>
      </c>
      <c r="AZ355" s="12">
        <f t="shared" si="536"/>
        <v>1.8825736698052473E-5</v>
      </c>
      <c r="BA355" s="12">
        <f t="shared" si="536"/>
        <v>1.9137765483103065E-5</v>
      </c>
      <c r="BB355" s="12">
        <f t="shared" si="536"/>
        <v>1.8929746293069339E-5</v>
      </c>
      <c r="BC355" s="12">
        <f t="shared" si="536"/>
        <v>0</v>
      </c>
      <c r="BD355" s="12">
        <f t="shared" si="536"/>
        <v>0</v>
      </c>
      <c r="BE355" s="12">
        <f t="shared" si="536"/>
        <v>0</v>
      </c>
      <c r="BF355" s="12">
        <f t="shared" si="536"/>
        <v>0</v>
      </c>
      <c r="BG355" s="12">
        <f t="shared" si="536"/>
        <v>0</v>
      </c>
      <c r="BH355" s="12">
        <f t="shared" si="536"/>
        <v>0</v>
      </c>
      <c r="BI355" s="12">
        <f t="shared" si="536"/>
        <v>0</v>
      </c>
      <c r="BJ355" s="12">
        <f t="shared" si="536"/>
        <v>0</v>
      </c>
      <c r="BK355" s="12">
        <f t="shared" si="536"/>
        <v>0</v>
      </c>
      <c r="BL355" s="12">
        <f t="shared" si="536"/>
        <v>0</v>
      </c>
      <c r="BM355" s="12">
        <f t="shared" si="536"/>
        <v>0</v>
      </c>
      <c r="BN355" s="12">
        <f t="shared" si="536"/>
        <v>0</v>
      </c>
      <c r="BO355" s="12">
        <f t="shared" si="536"/>
        <v>0</v>
      </c>
      <c r="BP355" s="12">
        <f t="shared" si="536"/>
        <v>0</v>
      </c>
      <c r="BQ355" s="12">
        <f t="shared" si="536"/>
        <v>0</v>
      </c>
      <c r="BR355" s="12">
        <f t="shared" si="536"/>
        <v>0</v>
      </c>
      <c r="BS355" s="12">
        <f t="shared" si="536"/>
        <v>0</v>
      </c>
      <c r="BT355" s="12">
        <f t="shared" si="536"/>
        <v>0</v>
      </c>
      <c r="BU355" s="12">
        <f t="shared" si="536"/>
        <v>0</v>
      </c>
      <c r="BV355" s="12">
        <f t="shared" ref="BV355:DA355" si="537">BV354/(1-$F353)</f>
        <v>0</v>
      </c>
      <c r="BW355" s="12">
        <f t="shared" si="537"/>
        <v>0</v>
      </c>
      <c r="BX355" s="12">
        <f t="shared" si="537"/>
        <v>0</v>
      </c>
      <c r="BY355" s="12">
        <f t="shared" si="537"/>
        <v>0</v>
      </c>
      <c r="BZ355" s="12">
        <f t="shared" si="537"/>
        <v>0</v>
      </c>
      <c r="CA355" s="12">
        <f t="shared" si="537"/>
        <v>0</v>
      </c>
      <c r="CB355" s="12">
        <f t="shared" si="537"/>
        <v>0</v>
      </c>
      <c r="CC355" s="12">
        <f t="shared" si="537"/>
        <v>0</v>
      </c>
      <c r="CD355" s="12">
        <f t="shared" si="537"/>
        <v>0</v>
      </c>
      <c r="CE355" s="12">
        <f t="shared" si="537"/>
        <v>0</v>
      </c>
      <c r="CF355" s="12">
        <f t="shared" si="537"/>
        <v>0</v>
      </c>
      <c r="CG355" s="12">
        <f t="shared" si="537"/>
        <v>0</v>
      </c>
      <c r="CH355" s="12">
        <f t="shared" si="537"/>
        <v>0</v>
      </c>
      <c r="CI355" s="12">
        <f t="shared" si="537"/>
        <v>0</v>
      </c>
      <c r="CJ355" s="12">
        <f t="shared" si="537"/>
        <v>0</v>
      </c>
      <c r="CK355" s="12">
        <f t="shared" si="537"/>
        <v>0</v>
      </c>
      <c r="CL355" s="12">
        <f t="shared" si="537"/>
        <v>0</v>
      </c>
      <c r="CM355" s="12">
        <f t="shared" si="537"/>
        <v>0</v>
      </c>
      <c r="CN355" s="12">
        <f t="shared" si="537"/>
        <v>0</v>
      </c>
      <c r="CO355" s="12">
        <f t="shared" si="537"/>
        <v>0</v>
      </c>
      <c r="CP355" s="12">
        <f t="shared" si="537"/>
        <v>0</v>
      </c>
      <c r="CQ355" s="12">
        <f t="shared" si="537"/>
        <v>0</v>
      </c>
      <c r="CR355" s="12">
        <f t="shared" si="537"/>
        <v>0</v>
      </c>
      <c r="CS355" s="12">
        <f t="shared" si="537"/>
        <v>0</v>
      </c>
      <c r="CT355" s="12">
        <f t="shared" si="537"/>
        <v>0</v>
      </c>
      <c r="CU355" s="12">
        <f t="shared" si="537"/>
        <v>0</v>
      </c>
      <c r="CV355" s="12">
        <f t="shared" si="537"/>
        <v>0</v>
      </c>
      <c r="CW355" s="12">
        <f t="shared" si="537"/>
        <v>0</v>
      </c>
      <c r="CX355" s="12">
        <f t="shared" si="537"/>
        <v>0</v>
      </c>
      <c r="CY355" s="12">
        <f t="shared" si="537"/>
        <v>0</v>
      </c>
      <c r="CZ355" s="12">
        <f t="shared" si="537"/>
        <v>0</v>
      </c>
      <c r="DA355" s="12">
        <f t="shared" si="537"/>
        <v>0</v>
      </c>
      <c r="DB355" s="12">
        <f t="shared" ref="DB355:EG355" si="538">DB354/(1-$F353)</f>
        <v>0</v>
      </c>
      <c r="DC355" s="12">
        <f t="shared" si="538"/>
        <v>0</v>
      </c>
      <c r="DD355" s="12">
        <f t="shared" si="538"/>
        <v>0</v>
      </c>
      <c r="DE355" s="12">
        <f t="shared" si="538"/>
        <v>0</v>
      </c>
      <c r="DF355" s="12">
        <f t="shared" si="538"/>
        <v>0</v>
      </c>
      <c r="DG355" s="12">
        <f t="shared" si="538"/>
        <v>0</v>
      </c>
      <c r="DH355" s="12">
        <f t="shared" si="538"/>
        <v>0</v>
      </c>
      <c r="DI355" s="12">
        <f t="shared" si="538"/>
        <v>0</v>
      </c>
      <c r="DJ355" s="12">
        <f t="shared" si="538"/>
        <v>0</v>
      </c>
      <c r="DK355" s="12">
        <f t="shared" si="538"/>
        <v>0</v>
      </c>
      <c r="DL355" s="12">
        <f t="shared" si="538"/>
        <v>0</v>
      </c>
      <c r="DM355" s="12">
        <f t="shared" si="538"/>
        <v>0</v>
      </c>
      <c r="DN355" s="12">
        <f t="shared" si="538"/>
        <v>0</v>
      </c>
      <c r="DO355" s="12">
        <f t="shared" si="538"/>
        <v>0</v>
      </c>
      <c r="DP355" s="12">
        <f t="shared" si="538"/>
        <v>0</v>
      </c>
      <c r="DQ355" s="12">
        <f t="shared" si="538"/>
        <v>0</v>
      </c>
      <c r="DR355" s="12">
        <f t="shared" si="538"/>
        <v>0</v>
      </c>
      <c r="DS355" s="12">
        <f t="shared" si="538"/>
        <v>0</v>
      </c>
      <c r="DT355" s="12">
        <f t="shared" si="538"/>
        <v>0</v>
      </c>
      <c r="DU355" s="12">
        <f t="shared" si="538"/>
        <v>0</v>
      </c>
      <c r="DV355" s="12">
        <f t="shared" si="538"/>
        <v>0</v>
      </c>
      <c r="DW355" s="12">
        <f t="shared" si="538"/>
        <v>0</v>
      </c>
      <c r="DX355" s="12">
        <f t="shared" si="538"/>
        <v>0</v>
      </c>
      <c r="DY355" s="12">
        <f t="shared" si="538"/>
        <v>0</v>
      </c>
      <c r="DZ355" s="12">
        <f t="shared" si="538"/>
        <v>0</v>
      </c>
      <c r="EA355" s="12">
        <f t="shared" si="538"/>
        <v>0</v>
      </c>
      <c r="EB355" s="12">
        <f t="shared" si="538"/>
        <v>0</v>
      </c>
      <c r="EC355" s="12">
        <f t="shared" si="538"/>
        <v>0</v>
      </c>
      <c r="ED355" s="12">
        <f t="shared" si="538"/>
        <v>0</v>
      </c>
      <c r="EE355" s="12">
        <f t="shared" si="538"/>
        <v>0</v>
      </c>
      <c r="EF355" s="12">
        <f t="shared" si="538"/>
        <v>0</v>
      </c>
      <c r="EG355" s="12">
        <f t="shared" si="538"/>
        <v>0</v>
      </c>
      <c r="EH355" s="12">
        <f t="shared" ref="EH355:FM355" si="539">EH354/(1-$F353)</f>
        <v>0</v>
      </c>
      <c r="EI355" s="12">
        <f t="shared" si="539"/>
        <v>0</v>
      </c>
      <c r="EJ355" s="12">
        <f t="shared" si="539"/>
        <v>0</v>
      </c>
      <c r="EK355" s="12">
        <f t="shared" si="539"/>
        <v>0</v>
      </c>
      <c r="EL355" s="12">
        <f t="shared" si="539"/>
        <v>0</v>
      </c>
      <c r="EM355" s="12">
        <f t="shared" si="539"/>
        <v>0</v>
      </c>
      <c r="EN355" s="12">
        <f t="shared" si="539"/>
        <v>0</v>
      </c>
      <c r="EO355" s="12">
        <f t="shared" si="539"/>
        <v>0</v>
      </c>
      <c r="EP355" s="12">
        <f t="shared" si="539"/>
        <v>0</v>
      </c>
      <c r="EQ355" s="12">
        <f t="shared" si="539"/>
        <v>0</v>
      </c>
      <c r="ER355" s="12">
        <f t="shared" si="539"/>
        <v>0</v>
      </c>
      <c r="ES355" s="12">
        <f t="shared" si="539"/>
        <v>0</v>
      </c>
      <c r="ET355" s="12">
        <f t="shared" si="539"/>
        <v>0</v>
      </c>
      <c r="EU355" s="12">
        <f t="shared" si="539"/>
        <v>0</v>
      </c>
      <c r="EV355" s="12">
        <f t="shared" si="539"/>
        <v>0</v>
      </c>
      <c r="EW355" s="12">
        <f t="shared" si="539"/>
        <v>0</v>
      </c>
      <c r="EX355" s="12">
        <f t="shared" si="539"/>
        <v>0</v>
      </c>
      <c r="EY355" s="12">
        <f t="shared" si="539"/>
        <v>0</v>
      </c>
      <c r="EZ355" s="12">
        <f t="shared" si="539"/>
        <v>0</v>
      </c>
      <c r="FA355" s="12">
        <f t="shared" si="539"/>
        <v>0</v>
      </c>
      <c r="FB355" s="12">
        <f t="shared" si="539"/>
        <v>0</v>
      </c>
      <c r="FC355" s="12">
        <f t="shared" si="539"/>
        <v>0</v>
      </c>
      <c r="FD355" s="12">
        <f t="shared" si="539"/>
        <v>0</v>
      </c>
      <c r="FE355" s="12">
        <f t="shared" si="539"/>
        <v>0</v>
      </c>
      <c r="FF355" s="12">
        <f t="shared" si="539"/>
        <v>0</v>
      </c>
      <c r="FG355" s="12">
        <f t="shared" si="539"/>
        <v>0</v>
      </c>
      <c r="FH355" s="12">
        <f t="shared" si="539"/>
        <v>0</v>
      </c>
      <c r="FI355" s="12">
        <f t="shared" si="539"/>
        <v>0</v>
      </c>
      <c r="FJ355" s="12">
        <f t="shared" si="539"/>
        <v>0</v>
      </c>
      <c r="FK355" s="12">
        <f t="shared" si="539"/>
        <v>0</v>
      </c>
      <c r="FL355" s="12">
        <f t="shared" si="539"/>
        <v>0</v>
      </c>
      <c r="FM355" s="12">
        <f t="shared" si="539"/>
        <v>0</v>
      </c>
      <c r="FN355" s="12">
        <f t="shared" ref="FN355:GJ355" si="540">FN354/(1-$F353)</f>
        <v>0</v>
      </c>
      <c r="FO355" s="12">
        <f t="shared" si="540"/>
        <v>0</v>
      </c>
      <c r="FP355" s="12">
        <f t="shared" si="540"/>
        <v>0</v>
      </c>
      <c r="FQ355" s="12">
        <f t="shared" si="540"/>
        <v>0</v>
      </c>
      <c r="FR355" s="12">
        <f t="shared" si="540"/>
        <v>0</v>
      </c>
      <c r="FS355" s="12">
        <f t="shared" si="540"/>
        <v>0</v>
      </c>
      <c r="FT355" s="12">
        <f t="shared" si="540"/>
        <v>0</v>
      </c>
      <c r="FU355" s="12">
        <f t="shared" si="540"/>
        <v>0</v>
      </c>
      <c r="FV355" s="12">
        <f t="shared" si="540"/>
        <v>0</v>
      </c>
      <c r="FW355" s="12">
        <f t="shared" si="540"/>
        <v>0</v>
      </c>
      <c r="FX355" s="12">
        <f t="shared" si="540"/>
        <v>0</v>
      </c>
      <c r="FY355" s="12">
        <f t="shared" si="540"/>
        <v>0</v>
      </c>
      <c r="FZ355" s="12">
        <f t="shared" si="540"/>
        <v>0</v>
      </c>
      <c r="GA355" s="12">
        <f t="shared" si="540"/>
        <v>0</v>
      </c>
      <c r="GB355" s="12">
        <f t="shared" si="540"/>
        <v>0</v>
      </c>
      <c r="GC355" s="12">
        <f t="shared" si="540"/>
        <v>0</v>
      </c>
      <c r="GD355" s="12">
        <f t="shared" si="540"/>
        <v>0</v>
      </c>
      <c r="GE355" s="12">
        <f t="shared" si="540"/>
        <v>0</v>
      </c>
      <c r="GF355" s="12">
        <f t="shared" si="540"/>
        <v>0</v>
      </c>
      <c r="GG355" s="12">
        <f t="shared" si="540"/>
        <v>0</v>
      </c>
      <c r="GH355" s="12">
        <f t="shared" si="540"/>
        <v>0</v>
      </c>
      <c r="GI355" s="12">
        <f t="shared" si="540"/>
        <v>0</v>
      </c>
      <c r="GJ355" s="12">
        <f t="shared" si="540"/>
        <v>0</v>
      </c>
    </row>
    <row r="356" spans="1:192" s="188" customFormat="1" ht="12.75" outlineLevel="2" x14ac:dyDescent="0.2">
      <c r="A356" s="141"/>
      <c r="B356" s="141"/>
      <c r="C356" s="142"/>
      <c r="D356" s="143"/>
      <c r="E356" s="187" t="s">
        <v>1346</v>
      </c>
      <c r="F356" s="187"/>
      <c r="G356" s="187" t="s">
        <v>105</v>
      </c>
      <c r="H356" s="187">
        <f xml:space="preserve"> SUM(J356:CV356)</f>
        <v>1035.0898129679949</v>
      </c>
      <c r="I356" s="144"/>
      <c r="J356" s="187">
        <f t="shared" ref="J356:AO356" si="541">J355-J354</f>
        <v>0</v>
      </c>
      <c r="K356" s="187">
        <f t="shared" si="541"/>
        <v>0</v>
      </c>
      <c r="L356" s="187">
        <f t="shared" si="541"/>
        <v>0</v>
      </c>
      <c r="M356" s="187">
        <f t="shared" si="541"/>
        <v>0</v>
      </c>
      <c r="N356" s="187">
        <f t="shared" si="541"/>
        <v>0</v>
      </c>
      <c r="O356" s="187">
        <f t="shared" si="541"/>
        <v>61.376741563127325</v>
      </c>
      <c r="P356" s="187">
        <f t="shared" si="541"/>
        <v>58.396788239279886</v>
      </c>
      <c r="Q356" s="187">
        <f t="shared" si="541"/>
        <v>57.702658292948854</v>
      </c>
      <c r="R356" s="187">
        <f t="shared" si="541"/>
        <v>55.107241947973762</v>
      </c>
      <c r="S356" s="187">
        <f t="shared" si="541"/>
        <v>54.307405373060192</v>
      </c>
      <c r="T356" s="187">
        <f t="shared" si="541"/>
        <v>51.715037673062852</v>
      </c>
      <c r="U356" s="187">
        <f t="shared" si="541"/>
        <v>50.805748242456957</v>
      </c>
      <c r="V356" s="187">
        <f t="shared" si="541"/>
        <v>48.482462664382638</v>
      </c>
      <c r="W356" s="187">
        <f t="shared" si="541"/>
        <v>47.196468602897312</v>
      </c>
      <c r="X356" s="187">
        <f t="shared" si="541"/>
        <v>44.613392622720767</v>
      </c>
      <c r="Y356" s="187">
        <f t="shared" si="541"/>
        <v>45.32356059076119</v>
      </c>
      <c r="Z356" s="187">
        <f t="shared" si="541"/>
        <v>42.684938738981145</v>
      </c>
      <c r="AA356" s="187">
        <f t="shared" si="541"/>
        <v>41.426924326821336</v>
      </c>
      <c r="AB356" s="187">
        <f t="shared" si="541"/>
        <v>38.786676124817177</v>
      </c>
      <c r="AC356" s="187">
        <f t="shared" si="541"/>
        <v>37.397640139311306</v>
      </c>
      <c r="AD356" s="187">
        <f t="shared" si="541"/>
        <v>34.947173192578475</v>
      </c>
      <c r="AE356" s="187">
        <f t="shared" si="541"/>
        <v>33.231659104888649</v>
      </c>
      <c r="AF356" s="187">
        <f t="shared" si="541"/>
        <v>30.590598951073162</v>
      </c>
      <c r="AG356" s="187">
        <f t="shared" si="541"/>
        <v>28.924407723436161</v>
      </c>
      <c r="AH356" s="187">
        <f t="shared" si="541"/>
        <v>26.275529988742619</v>
      </c>
      <c r="AI356" s="187">
        <f t="shared" si="541"/>
        <v>25.960226042495378</v>
      </c>
      <c r="AJ356" s="187">
        <f t="shared" si="541"/>
        <v>23.190285836318708</v>
      </c>
      <c r="AK356" s="187">
        <f t="shared" si="541"/>
        <v>21.148771107350512</v>
      </c>
      <c r="AL356" s="187">
        <f t="shared" si="541"/>
        <v>18.469374307453791</v>
      </c>
      <c r="AM356" s="187">
        <f t="shared" si="541"/>
        <v>16.154774996679862</v>
      </c>
      <c r="AN356" s="187">
        <f t="shared" si="541"/>
        <v>13.366206262256242</v>
      </c>
      <c r="AO356" s="187">
        <f t="shared" si="541"/>
        <v>10.975172919059901</v>
      </c>
      <c r="AP356" s="187">
        <f t="shared" ref="AP356:BU356" si="542">AP355-AP354</f>
        <v>8.1689629395589236</v>
      </c>
      <c r="AQ356" s="187">
        <f t="shared" si="542"/>
        <v>5.5918739092082319</v>
      </c>
      <c r="AR356" s="187">
        <f t="shared" si="542"/>
        <v>2.771103613091924</v>
      </c>
      <c r="AS356" s="187">
        <f t="shared" si="542"/>
        <v>1.1707809472015975E-6</v>
      </c>
      <c r="AT356" s="187">
        <f t="shared" si="542"/>
        <v>1.1580550673407136E-6</v>
      </c>
      <c r="AU356" s="187">
        <f t="shared" si="542"/>
        <v>1.1707809472015975E-6</v>
      </c>
      <c r="AV356" s="187">
        <f t="shared" si="542"/>
        <v>1.1516921274102717E-6</v>
      </c>
      <c r="AW356" s="187">
        <f t="shared" si="542"/>
        <v>3.8275530966206165E-7</v>
      </c>
      <c r="AX356" s="187">
        <f t="shared" si="542"/>
        <v>3.7651473396104918E-7</v>
      </c>
      <c r="AY356" s="187">
        <f t="shared" si="542"/>
        <v>3.8275530966206165E-7</v>
      </c>
      <c r="AZ356" s="187">
        <f t="shared" si="542"/>
        <v>3.7651473396104918E-7</v>
      </c>
      <c r="BA356" s="187">
        <f t="shared" si="542"/>
        <v>3.8275530966206165E-7</v>
      </c>
      <c r="BB356" s="187">
        <f t="shared" si="542"/>
        <v>3.785949258613878E-7</v>
      </c>
      <c r="BC356" s="187">
        <f t="shared" si="542"/>
        <v>0</v>
      </c>
      <c r="BD356" s="187">
        <f t="shared" si="542"/>
        <v>0</v>
      </c>
      <c r="BE356" s="187">
        <f t="shared" si="542"/>
        <v>0</v>
      </c>
      <c r="BF356" s="187">
        <f t="shared" si="542"/>
        <v>0</v>
      </c>
      <c r="BG356" s="187">
        <f t="shared" si="542"/>
        <v>0</v>
      </c>
      <c r="BH356" s="187">
        <f t="shared" si="542"/>
        <v>0</v>
      </c>
      <c r="BI356" s="187">
        <f t="shared" si="542"/>
        <v>0</v>
      </c>
      <c r="BJ356" s="187">
        <f t="shared" si="542"/>
        <v>0</v>
      </c>
      <c r="BK356" s="187">
        <f t="shared" si="542"/>
        <v>0</v>
      </c>
      <c r="BL356" s="187">
        <f t="shared" si="542"/>
        <v>0</v>
      </c>
      <c r="BM356" s="187">
        <f t="shared" si="542"/>
        <v>0</v>
      </c>
      <c r="BN356" s="187">
        <f t="shared" si="542"/>
        <v>0</v>
      </c>
      <c r="BO356" s="187">
        <f t="shared" si="542"/>
        <v>0</v>
      </c>
      <c r="BP356" s="187">
        <f t="shared" si="542"/>
        <v>0</v>
      </c>
      <c r="BQ356" s="187">
        <f t="shared" si="542"/>
        <v>0</v>
      </c>
      <c r="BR356" s="187">
        <f t="shared" si="542"/>
        <v>0</v>
      </c>
      <c r="BS356" s="187">
        <f t="shared" si="542"/>
        <v>0</v>
      </c>
      <c r="BT356" s="187">
        <f t="shared" si="542"/>
        <v>0</v>
      </c>
      <c r="BU356" s="187">
        <f t="shared" si="542"/>
        <v>0</v>
      </c>
      <c r="BV356" s="187">
        <f t="shared" ref="BV356:DA356" si="543">BV355-BV354</f>
        <v>0</v>
      </c>
      <c r="BW356" s="187">
        <f t="shared" si="543"/>
        <v>0</v>
      </c>
      <c r="BX356" s="187">
        <f t="shared" si="543"/>
        <v>0</v>
      </c>
      <c r="BY356" s="187">
        <f t="shared" si="543"/>
        <v>0</v>
      </c>
      <c r="BZ356" s="187">
        <f t="shared" si="543"/>
        <v>0</v>
      </c>
      <c r="CA356" s="187">
        <f t="shared" si="543"/>
        <v>0</v>
      </c>
      <c r="CB356" s="187">
        <f t="shared" si="543"/>
        <v>0</v>
      </c>
      <c r="CC356" s="187">
        <f t="shared" si="543"/>
        <v>0</v>
      </c>
      <c r="CD356" s="187">
        <f t="shared" si="543"/>
        <v>0</v>
      </c>
      <c r="CE356" s="187">
        <f t="shared" si="543"/>
        <v>0</v>
      </c>
      <c r="CF356" s="187">
        <f t="shared" si="543"/>
        <v>0</v>
      </c>
      <c r="CG356" s="187">
        <f t="shared" si="543"/>
        <v>0</v>
      </c>
      <c r="CH356" s="187">
        <f t="shared" si="543"/>
        <v>0</v>
      </c>
      <c r="CI356" s="187">
        <f t="shared" si="543"/>
        <v>0</v>
      </c>
      <c r="CJ356" s="187">
        <f t="shared" si="543"/>
        <v>0</v>
      </c>
      <c r="CK356" s="187">
        <f t="shared" si="543"/>
        <v>0</v>
      </c>
      <c r="CL356" s="187">
        <f t="shared" si="543"/>
        <v>0</v>
      </c>
      <c r="CM356" s="187">
        <f t="shared" si="543"/>
        <v>0</v>
      </c>
      <c r="CN356" s="187">
        <f t="shared" si="543"/>
        <v>0</v>
      </c>
      <c r="CO356" s="187">
        <f t="shared" si="543"/>
        <v>0</v>
      </c>
      <c r="CP356" s="187">
        <f t="shared" si="543"/>
        <v>0</v>
      </c>
      <c r="CQ356" s="187">
        <f t="shared" si="543"/>
        <v>0</v>
      </c>
      <c r="CR356" s="187">
        <f t="shared" si="543"/>
        <v>0</v>
      </c>
      <c r="CS356" s="187">
        <f t="shared" si="543"/>
        <v>0</v>
      </c>
      <c r="CT356" s="187">
        <f t="shared" si="543"/>
        <v>0</v>
      </c>
      <c r="CU356" s="187">
        <f t="shared" si="543"/>
        <v>0</v>
      </c>
      <c r="CV356" s="187">
        <f t="shared" si="543"/>
        <v>0</v>
      </c>
      <c r="CW356" s="187">
        <f t="shared" si="543"/>
        <v>0</v>
      </c>
      <c r="CX356" s="187">
        <f t="shared" si="543"/>
        <v>0</v>
      </c>
      <c r="CY356" s="187">
        <f t="shared" si="543"/>
        <v>0</v>
      </c>
      <c r="CZ356" s="187">
        <f t="shared" si="543"/>
        <v>0</v>
      </c>
      <c r="DA356" s="187">
        <f t="shared" si="543"/>
        <v>0</v>
      </c>
      <c r="DB356" s="187">
        <f t="shared" ref="DB356:EG356" si="544">DB355-DB354</f>
        <v>0</v>
      </c>
      <c r="DC356" s="187">
        <f t="shared" si="544"/>
        <v>0</v>
      </c>
      <c r="DD356" s="187">
        <f t="shared" si="544"/>
        <v>0</v>
      </c>
      <c r="DE356" s="187">
        <f t="shared" si="544"/>
        <v>0</v>
      </c>
      <c r="DF356" s="187">
        <f t="shared" si="544"/>
        <v>0</v>
      </c>
      <c r="DG356" s="187">
        <f t="shared" si="544"/>
        <v>0</v>
      </c>
      <c r="DH356" s="187">
        <f t="shared" si="544"/>
        <v>0</v>
      </c>
      <c r="DI356" s="187">
        <f t="shared" si="544"/>
        <v>0</v>
      </c>
      <c r="DJ356" s="187">
        <f t="shared" si="544"/>
        <v>0</v>
      </c>
      <c r="DK356" s="187">
        <f t="shared" si="544"/>
        <v>0</v>
      </c>
      <c r="DL356" s="187">
        <f t="shared" si="544"/>
        <v>0</v>
      </c>
      <c r="DM356" s="187">
        <f t="shared" si="544"/>
        <v>0</v>
      </c>
      <c r="DN356" s="187">
        <f t="shared" si="544"/>
        <v>0</v>
      </c>
      <c r="DO356" s="187">
        <f t="shared" si="544"/>
        <v>0</v>
      </c>
      <c r="DP356" s="187">
        <f t="shared" si="544"/>
        <v>0</v>
      </c>
      <c r="DQ356" s="187">
        <f t="shared" si="544"/>
        <v>0</v>
      </c>
      <c r="DR356" s="187">
        <f t="shared" si="544"/>
        <v>0</v>
      </c>
      <c r="DS356" s="187">
        <f t="shared" si="544"/>
        <v>0</v>
      </c>
      <c r="DT356" s="187">
        <f t="shared" si="544"/>
        <v>0</v>
      </c>
      <c r="DU356" s="187">
        <f t="shared" si="544"/>
        <v>0</v>
      </c>
      <c r="DV356" s="187">
        <f t="shared" si="544"/>
        <v>0</v>
      </c>
      <c r="DW356" s="187">
        <f t="shared" si="544"/>
        <v>0</v>
      </c>
      <c r="DX356" s="187">
        <f t="shared" si="544"/>
        <v>0</v>
      </c>
      <c r="DY356" s="187">
        <f t="shared" si="544"/>
        <v>0</v>
      </c>
      <c r="DZ356" s="187">
        <f t="shared" si="544"/>
        <v>0</v>
      </c>
      <c r="EA356" s="187">
        <f t="shared" si="544"/>
        <v>0</v>
      </c>
      <c r="EB356" s="187">
        <f t="shared" si="544"/>
        <v>0</v>
      </c>
      <c r="EC356" s="187">
        <f t="shared" si="544"/>
        <v>0</v>
      </c>
      <c r="ED356" s="187">
        <f t="shared" si="544"/>
        <v>0</v>
      </c>
      <c r="EE356" s="187">
        <f t="shared" si="544"/>
        <v>0</v>
      </c>
      <c r="EF356" s="187">
        <f t="shared" si="544"/>
        <v>0</v>
      </c>
      <c r="EG356" s="187">
        <f t="shared" si="544"/>
        <v>0</v>
      </c>
      <c r="EH356" s="187">
        <f t="shared" ref="EH356:FM356" si="545">EH355-EH354</f>
        <v>0</v>
      </c>
      <c r="EI356" s="187">
        <f t="shared" si="545"/>
        <v>0</v>
      </c>
      <c r="EJ356" s="187">
        <f t="shared" si="545"/>
        <v>0</v>
      </c>
      <c r="EK356" s="187">
        <f t="shared" si="545"/>
        <v>0</v>
      </c>
      <c r="EL356" s="187">
        <f t="shared" si="545"/>
        <v>0</v>
      </c>
      <c r="EM356" s="187">
        <f t="shared" si="545"/>
        <v>0</v>
      </c>
      <c r="EN356" s="187">
        <f t="shared" si="545"/>
        <v>0</v>
      </c>
      <c r="EO356" s="187">
        <f t="shared" si="545"/>
        <v>0</v>
      </c>
      <c r="EP356" s="187">
        <f t="shared" si="545"/>
        <v>0</v>
      </c>
      <c r="EQ356" s="187">
        <f t="shared" si="545"/>
        <v>0</v>
      </c>
      <c r="ER356" s="187">
        <f t="shared" si="545"/>
        <v>0</v>
      </c>
      <c r="ES356" s="187">
        <f t="shared" si="545"/>
        <v>0</v>
      </c>
      <c r="ET356" s="187">
        <f t="shared" si="545"/>
        <v>0</v>
      </c>
      <c r="EU356" s="187">
        <f t="shared" si="545"/>
        <v>0</v>
      </c>
      <c r="EV356" s="187">
        <f t="shared" si="545"/>
        <v>0</v>
      </c>
      <c r="EW356" s="187">
        <f t="shared" si="545"/>
        <v>0</v>
      </c>
      <c r="EX356" s="187">
        <f t="shared" si="545"/>
        <v>0</v>
      </c>
      <c r="EY356" s="187">
        <f t="shared" si="545"/>
        <v>0</v>
      </c>
      <c r="EZ356" s="187">
        <f t="shared" si="545"/>
        <v>0</v>
      </c>
      <c r="FA356" s="187">
        <f t="shared" si="545"/>
        <v>0</v>
      </c>
      <c r="FB356" s="187">
        <f t="shared" si="545"/>
        <v>0</v>
      </c>
      <c r="FC356" s="187">
        <f t="shared" si="545"/>
        <v>0</v>
      </c>
      <c r="FD356" s="187">
        <f t="shared" si="545"/>
        <v>0</v>
      </c>
      <c r="FE356" s="187">
        <f t="shared" si="545"/>
        <v>0</v>
      </c>
      <c r="FF356" s="187">
        <f t="shared" si="545"/>
        <v>0</v>
      </c>
      <c r="FG356" s="187">
        <f t="shared" si="545"/>
        <v>0</v>
      </c>
      <c r="FH356" s="187">
        <f t="shared" si="545"/>
        <v>0</v>
      </c>
      <c r="FI356" s="187">
        <f t="shared" si="545"/>
        <v>0</v>
      </c>
      <c r="FJ356" s="187">
        <f t="shared" si="545"/>
        <v>0</v>
      </c>
      <c r="FK356" s="187">
        <f t="shared" si="545"/>
        <v>0</v>
      </c>
      <c r="FL356" s="187">
        <f t="shared" si="545"/>
        <v>0</v>
      </c>
      <c r="FM356" s="187">
        <f t="shared" si="545"/>
        <v>0</v>
      </c>
      <c r="FN356" s="187">
        <f t="shared" ref="FN356:GJ356" si="546">FN355-FN354</f>
        <v>0</v>
      </c>
      <c r="FO356" s="187">
        <f t="shared" si="546"/>
        <v>0</v>
      </c>
      <c r="FP356" s="187">
        <f t="shared" si="546"/>
        <v>0</v>
      </c>
      <c r="FQ356" s="187">
        <f t="shared" si="546"/>
        <v>0</v>
      </c>
      <c r="FR356" s="187">
        <f t="shared" si="546"/>
        <v>0</v>
      </c>
      <c r="FS356" s="187">
        <f t="shared" si="546"/>
        <v>0</v>
      </c>
      <c r="FT356" s="187">
        <f t="shared" si="546"/>
        <v>0</v>
      </c>
      <c r="FU356" s="187">
        <f t="shared" si="546"/>
        <v>0</v>
      </c>
      <c r="FV356" s="187">
        <f t="shared" si="546"/>
        <v>0</v>
      </c>
      <c r="FW356" s="187">
        <f t="shared" si="546"/>
        <v>0</v>
      </c>
      <c r="FX356" s="187">
        <f t="shared" si="546"/>
        <v>0</v>
      </c>
      <c r="FY356" s="187">
        <f t="shared" si="546"/>
        <v>0</v>
      </c>
      <c r="FZ356" s="187">
        <f t="shared" si="546"/>
        <v>0</v>
      </c>
      <c r="GA356" s="187">
        <f t="shared" si="546"/>
        <v>0</v>
      </c>
      <c r="GB356" s="187">
        <f t="shared" si="546"/>
        <v>0</v>
      </c>
      <c r="GC356" s="187">
        <f t="shared" si="546"/>
        <v>0</v>
      </c>
      <c r="GD356" s="187">
        <f t="shared" si="546"/>
        <v>0</v>
      </c>
      <c r="GE356" s="187">
        <f t="shared" si="546"/>
        <v>0</v>
      </c>
      <c r="GF356" s="187">
        <f t="shared" si="546"/>
        <v>0</v>
      </c>
      <c r="GG356" s="187">
        <f t="shared" si="546"/>
        <v>0</v>
      </c>
      <c r="GH356" s="187">
        <f t="shared" si="546"/>
        <v>0</v>
      </c>
      <c r="GI356" s="187">
        <f t="shared" si="546"/>
        <v>0</v>
      </c>
      <c r="GJ356" s="187">
        <f t="shared" si="546"/>
        <v>0</v>
      </c>
    </row>
    <row r="357" spans="1:192" s="188" customFormat="1" ht="12.75" outlineLevel="2" x14ac:dyDescent="0.2">
      <c r="A357" s="141"/>
      <c r="B357" s="141"/>
      <c r="C357" s="142"/>
      <c r="D357" s="143"/>
      <c r="E357" s="187" t="s">
        <v>1347</v>
      </c>
      <c r="F357" s="187"/>
      <c r="G357" s="187" t="s">
        <v>105</v>
      </c>
      <c r="H357" s="187">
        <f xml:space="preserve"> SUM(J357:CV357)</f>
        <v>-1035.0898129679949</v>
      </c>
      <c r="I357" s="144"/>
      <c r="J357" s="187">
        <f t="shared" ref="J357:AO357" si="547">J356*(-1)</f>
        <v>0</v>
      </c>
      <c r="K357" s="187">
        <f t="shared" si="547"/>
        <v>0</v>
      </c>
      <c r="L357" s="187">
        <f t="shared" si="547"/>
        <v>0</v>
      </c>
      <c r="M357" s="187">
        <f t="shared" si="547"/>
        <v>0</v>
      </c>
      <c r="N357" s="187">
        <f t="shared" si="547"/>
        <v>0</v>
      </c>
      <c r="O357" s="187">
        <f t="shared" si="547"/>
        <v>-61.376741563127325</v>
      </c>
      <c r="P357" s="187">
        <f t="shared" si="547"/>
        <v>-58.396788239279886</v>
      </c>
      <c r="Q357" s="187">
        <f t="shared" si="547"/>
        <v>-57.702658292948854</v>
      </c>
      <c r="R357" s="187">
        <f t="shared" si="547"/>
        <v>-55.107241947973762</v>
      </c>
      <c r="S357" s="187">
        <f t="shared" si="547"/>
        <v>-54.307405373060192</v>
      </c>
      <c r="T357" s="187">
        <f t="shared" si="547"/>
        <v>-51.715037673062852</v>
      </c>
      <c r="U357" s="187">
        <f t="shared" si="547"/>
        <v>-50.805748242456957</v>
      </c>
      <c r="V357" s="187">
        <f t="shared" si="547"/>
        <v>-48.482462664382638</v>
      </c>
      <c r="W357" s="187">
        <f t="shared" si="547"/>
        <v>-47.196468602897312</v>
      </c>
      <c r="X357" s="187">
        <f t="shared" si="547"/>
        <v>-44.613392622720767</v>
      </c>
      <c r="Y357" s="187">
        <f t="shared" si="547"/>
        <v>-45.32356059076119</v>
      </c>
      <c r="Z357" s="187">
        <f t="shared" si="547"/>
        <v>-42.684938738981145</v>
      </c>
      <c r="AA357" s="187">
        <f t="shared" si="547"/>
        <v>-41.426924326821336</v>
      </c>
      <c r="AB357" s="187">
        <f t="shared" si="547"/>
        <v>-38.786676124817177</v>
      </c>
      <c r="AC357" s="187">
        <f t="shared" si="547"/>
        <v>-37.397640139311306</v>
      </c>
      <c r="AD357" s="187">
        <f t="shared" si="547"/>
        <v>-34.947173192578475</v>
      </c>
      <c r="AE357" s="187">
        <f t="shared" si="547"/>
        <v>-33.231659104888649</v>
      </c>
      <c r="AF357" s="187">
        <f t="shared" si="547"/>
        <v>-30.590598951073162</v>
      </c>
      <c r="AG357" s="187">
        <f t="shared" si="547"/>
        <v>-28.924407723436161</v>
      </c>
      <c r="AH357" s="187">
        <f t="shared" si="547"/>
        <v>-26.275529988742619</v>
      </c>
      <c r="AI357" s="187">
        <f t="shared" si="547"/>
        <v>-25.960226042495378</v>
      </c>
      <c r="AJ357" s="187">
        <f t="shared" si="547"/>
        <v>-23.190285836318708</v>
      </c>
      <c r="AK357" s="187">
        <f t="shared" si="547"/>
        <v>-21.148771107350512</v>
      </c>
      <c r="AL357" s="187">
        <f t="shared" si="547"/>
        <v>-18.469374307453791</v>
      </c>
      <c r="AM357" s="187">
        <f t="shared" si="547"/>
        <v>-16.154774996679862</v>
      </c>
      <c r="AN357" s="187">
        <f t="shared" si="547"/>
        <v>-13.366206262256242</v>
      </c>
      <c r="AO357" s="187">
        <f t="shared" si="547"/>
        <v>-10.975172919059901</v>
      </c>
      <c r="AP357" s="187">
        <f t="shared" ref="AP357:BU357" si="548">AP356*(-1)</f>
        <v>-8.1689629395589236</v>
      </c>
      <c r="AQ357" s="187">
        <f t="shared" si="548"/>
        <v>-5.5918739092082319</v>
      </c>
      <c r="AR357" s="187">
        <f t="shared" si="548"/>
        <v>-2.771103613091924</v>
      </c>
      <c r="AS357" s="187">
        <f t="shared" si="548"/>
        <v>-1.1707809472015975E-6</v>
      </c>
      <c r="AT357" s="187">
        <f t="shared" si="548"/>
        <v>-1.1580550673407136E-6</v>
      </c>
      <c r="AU357" s="187">
        <f t="shared" si="548"/>
        <v>-1.1707809472015975E-6</v>
      </c>
      <c r="AV357" s="187">
        <f t="shared" si="548"/>
        <v>-1.1516921274102717E-6</v>
      </c>
      <c r="AW357" s="187">
        <f t="shared" si="548"/>
        <v>-3.8275530966206165E-7</v>
      </c>
      <c r="AX357" s="187">
        <f t="shared" si="548"/>
        <v>-3.7651473396104918E-7</v>
      </c>
      <c r="AY357" s="187">
        <f t="shared" si="548"/>
        <v>-3.8275530966206165E-7</v>
      </c>
      <c r="AZ357" s="187">
        <f t="shared" si="548"/>
        <v>-3.7651473396104918E-7</v>
      </c>
      <c r="BA357" s="187">
        <f t="shared" si="548"/>
        <v>-3.8275530966206165E-7</v>
      </c>
      <c r="BB357" s="187">
        <f t="shared" si="548"/>
        <v>-3.785949258613878E-7</v>
      </c>
      <c r="BC357" s="187">
        <f t="shared" si="548"/>
        <v>0</v>
      </c>
      <c r="BD357" s="187">
        <f t="shared" si="548"/>
        <v>0</v>
      </c>
      <c r="BE357" s="187">
        <f t="shared" si="548"/>
        <v>0</v>
      </c>
      <c r="BF357" s="187">
        <f t="shared" si="548"/>
        <v>0</v>
      </c>
      <c r="BG357" s="187">
        <f t="shared" si="548"/>
        <v>0</v>
      </c>
      <c r="BH357" s="187">
        <f t="shared" si="548"/>
        <v>0</v>
      </c>
      <c r="BI357" s="187">
        <f t="shared" si="548"/>
        <v>0</v>
      </c>
      <c r="BJ357" s="187">
        <f t="shared" si="548"/>
        <v>0</v>
      </c>
      <c r="BK357" s="187">
        <f t="shared" si="548"/>
        <v>0</v>
      </c>
      <c r="BL357" s="187">
        <f t="shared" si="548"/>
        <v>0</v>
      </c>
      <c r="BM357" s="187">
        <f t="shared" si="548"/>
        <v>0</v>
      </c>
      <c r="BN357" s="187">
        <f t="shared" si="548"/>
        <v>0</v>
      </c>
      <c r="BO357" s="187">
        <f t="shared" si="548"/>
        <v>0</v>
      </c>
      <c r="BP357" s="187">
        <f t="shared" si="548"/>
        <v>0</v>
      </c>
      <c r="BQ357" s="187">
        <f t="shared" si="548"/>
        <v>0</v>
      </c>
      <c r="BR357" s="187">
        <f t="shared" si="548"/>
        <v>0</v>
      </c>
      <c r="BS357" s="187">
        <f t="shared" si="548"/>
        <v>0</v>
      </c>
      <c r="BT357" s="187">
        <f t="shared" si="548"/>
        <v>0</v>
      </c>
      <c r="BU357" s="187">
        <f t="shared" si="548"/>
        <v>0</v>
      </c>
      <c r="BV357" s="187">
        <f t="shared" ref="BV357:DA357" si="549">BV356*(-1)</f>
        <v>0</v>
      </c>
      <c r="BW357" s="187">
        <f t="shared" si="549"/>
        <v>0</v>
      </c>
      <c r="BX357" s="187">
        <f t="shared" si="549"/>
        <v>0</v>
      </c>
      <c r="BY357" s="187">
        <f t="shared" si="549"/>
        <v>0</v>
      </c>
      <c r="BZ357" s="187">
        <f t="shared" si="549"/>
        <v>0</v>
      </c>
      <c r="CA357" s="187">
        <f t="shared" si="549"/>
        <v>0</v>
      </c>
      <c r="CB357" s="187">
        <f t="shared" si="549"/>
        <v>0</v>
      </c>
      <c r="CC357" s="187">
        <f t="shared" si="549"/>
        <v>0</v>
      </c>
      <c r="CD357" s="187">
        <f t="shared" si="549"/>
        <v>0</v>
      </c>
      <c r="CE357" s="187">
        <f t="shared" si="549"/>
        <v>0</v>
      </c>
      <c r="CF357" s="187">
        <f t="shared" si="549"/>
        <v>0</v>
      </c>
      <c r="CG357" s="187">
        <f t="shared" si="549"/>
        <v>0</v>
      </c>
      <c r="CH357" s="187">
        <f t="shared" si="549"/>
        <v>0</v>
      </c>
      <c r="CI357" s="187">
        <f t="shared" si="549"/>
        <v>0</v>
      </c>
      <c r="CJ357" s="187">
        <f t="shared" si="549"/>
        <v>0</v>
      </c>
      <c r="CK357" s="187">
        <f t="shared" si="549"/>
        <v>0</v>
      </c>
      <c r="CL357" s="187">
        <f t="shared" si="549"/>
        <v>0</v>
      </c>
      <c r="CM357" s="187">
        <f t="shared" si="549"/>
        <v>0</v>
      </c>
      <c r="CN357" s="187">
        <f t="shared" si="549"/>
        <v>0</v>
      </c>
      <c r="CO357" s="187">
        <f t="shared" si="549"/>
        <v>0</v>
      </c>
      <c r="CP357" s="187">
        <f t="shared" si="549"/>
        <v>0</v>
      </c>
      <c r="CQ357" s="187">
        <f t="shared" si="549"/>
        <v>0</v>
      </c>
      <c r="CR357" s="187">
        <f t="shared" si="549"/>
        <v>0</v>
      </c>
      <c r="CS357" s="187">
        <f t="shared" si="549"/>
        <v>0</v>
      </c>
      <c r="CT357" s="187">
        <f t="shared" si="549"/>
        <v>0</v>
      </c>
      <c r="CU357" s="187">
        <f t="shared" si="549"/>
        <v>0</v>
      </c>
      <c r="CV357" s="187">
        <f t="shared" si="549"/>
        <v>0</v>
      </c>
      <c r="CW357" s="187">
        <f t="shared" si="549"/>
        <v>0</v>
      </c>
      <c r="CX357" s="187">
        <f t="shared" si="549"/>
        <v>0</v>
      </c>
      <c r="CY357" s="187">
        <f t="shared" si="549"/>
        <v>0</v>
      </c>
      <c r="CZ357" s="187">
        <f t="shared" si="549"/>
        <v>0</v>
      </c>
      <c r="DA357" s="187">
        <f t="shared" si="549"/>
        <v>0</v>
      </c>
      <c r="DB357" s="187">
        <f t="shared" ref="DB357:EG357" si="550">DB356*(-1)</f>
        <v>0</v>
      </c>
      <c r="DC357" s="187">
        <f t="shared" si="550"/>
        <v>0</v>
      </c>
      <c r="DD357" s="187">
        <f t="shared" si="550"/>
        <v>0</v>
      </c>
      <c r="DE357" s="187">
        <f t="shared" si="550"/>
        <v>0</v>
      </c>
      <c r="DF357" s="187">
        <f t="shared" si="550"/>
        <v>0</v>
      </c>
      <c r="DG357" s="187">
        <f t="shared" si="550"/>
        <v>0</v>
      </c>
      <c r="DH357" s="187">
        <f t="shared" si="550"/>
        <v>0</v>
      </c>
      <c r="DI357" s="187">
        <f t="shared" si="550"/>
        <v>0</v>
      </c>
      <c r="DJ357" s="187">
        <f t="shared" si="550"/>
        <v>0</v>
      </c>
      <c r="DK357" s="187">
        <f t="shared" si="550"/>
        <v>0</v>
      </c>
      <c r="DL357" s="187">
        <f t="shared" si="550"/>
        <v>0</v>
      </c>
      <c r="DM357" s="187">
        <f t="shared" si="550"/>
        <v>0</v>
      </c>
      <c r="DN357" s="187">
        <f t="shared" si="550"/>
        <v>0</v>
      </c>
      <c r="DO357" s="187">
        <f t="shared" si="550"/>
        <v>0</v>
      </c>
      <c r="DP357" s="187">
        <f t="shared" si="550"/>
        <v>0</v>
      </c>
      <c r="DQ357" s="187">
        <f t="shared" si="550"/>
        <v>0</v>
      </c>
      <c r="DR357" s="187">
        <f t="shared" si="550"/>
        <v>0</v>
      </c>
      <c r="DS357" s="187">
        <f t="shared" si="550"/>
        <v>0</v>
      </c>
      <c r="DT357" s="187">
        <f t="shared" si="550"/>
        <v>0</v>
      </c>
      <c r="DU357" s="187">
        <f t="shared" si="550"/>
        <v>0</v>
      </c>
      <c r="DV357" s="187">
        <f t="shared" si="550"/>
        <v>0</v>
      </c>
      <c r="DW357" s="187">
        <f t="shared" si="550"/>
        <v>0</v>
      </c>
      <c r="DX357" s="187">
        <f t="shared" si="550"/>
        <v>0</v>
      </c>
      <c r="DY357" s="187">
        <f t="shared" si="550"/>
        <v>0</v>
      </c>
      <c r="DZ357" s="187">
        <f t="shared" si="550"/>
        <v>0</v>
      </c>
      <c r="EA357" s="187">
        <f t="shared" si="550"/>
        <v>0</v>
      </c>
      <c r="EB357" s="187">
        <f t="shared" si="550"/>
        <v>0</v>
      </c>
      <c r="EC357" s="187">
        <f t="shared" si="550"/>
        <v>0</v>
      </c>
      <c r="ED357" s="187">
        <f t="shared" si="550"/>
        <v>0</v>
      </c>
      <c r="EE357" s="187">
        <f t="shared" si="550"/>
        <v>0</v>
      </c>
      <c r="EF357" s="187">
        <f t="shared" si="550"/>
        <v>0</v>
      </c>
      <c r="EG357" s="187">
        <f t="shared" si="550"/>
        <v>0</v>
      </c>
      <c r="EH357" s="187">
        <f t="shared" ref="EH357:FM357" si="551">EH356*(-1)</f>
        <v>0</v>
      </c>
      <c r="EI357" s="187">
        <f t="shared" si="551"/>
        <v>0</v>
      </c>
      <c r="EJ357" s="187">
        <f t="shared" si="551"/>
        <v>0</v>
      </c>
      <c r="EK357" s="187">
        <f t="shared" si="551"/>
        <v>0</v>
      </c>
      <c r="EL357" s="187">
        <f t="shared" si="551"/>
        <v>0</v>
      </c>
      <c r="EM357" s="187">
        <f t="shared" si="551"/>
        <v>0</v>
      </c>
      <c r="EN357" s="187">
        <f t="shared" si="551"/>
        <v>0</v>
      </c>
      <c r="EO357" s="187">
        <f t="shared" si="551"/>
        <v>0</v>
      </c>
      <c r="EP357" s="187">
        <f t="shared" si="551"/>
        <v>0</v>
      </c>
      <c r="EQ357" s="187">
        <f t="shared" si="551"/>
        <v>0</v>
      </c>
      <c r="ER357" s="187">
        <f t="shared" si="551"/>
        <v>0</v>
      </c>
      <c r="ES357" s="187">
        <f t="shared" si="551"/>
        <v>0</v>
      </c>
      <c r="ET357" s="187">
        <f t="shared" si="551"/>
        <v>0</v>
      </c>
      <c r="EU357" s="187">
        <f t="shared" si="551"/>
        <v>0</v>
      </c>
      <c r="EV357" s="187">
        <f t="shared" si="551"/>
        <v>0</v>
      </c>
      <c r="EW357" s="187">
        <f t="shared" si="551"/>
        <v>0</v>
      </c>
      <c r="EX357" s="187">
        <f t="shared" si="551"/>
        <v>0</v>
      </c>
      <c r="EY357" s="187">
        <f t="shared" si="551"/>
        <v>0</v>
      </c>
      <c r="EZ357" s="187">
        <f t="shared" si="551"/>
        <v>0</v>
      </c>
      <c r="FA357" s="187">
        <f t="shared" si="551"/>
        <v>0</v>
      </c>
      <c r="FB357" s="187">
        <f t="shared" si="551"/>
        <v>0</v>
      </c>
      <c r="FC357" s="187">
        <f t="shared" si="551"/>
        <v>0</v>
      </c>
      <c r="FD357" s="187">
        <f t="shared" si="551"/>
        <v>0</v>
      </c>
      <c r="FE357" s="187">
        <f t="shared" si="551"/>
        <v>0</v>
      </c>
      <c r="FF357" s="187">
        <f t="shared" si="551"/>
        <v>0</v>
      </c>
      <c r="FG357" s="187">
        <f t="shared" si="551"/>
        <v>0</v>
      </c>
      <c r="FH357" s="187">
        <f t="shared" si="551"/>
        <v>0</v>
      </c>
      <c r="FI357" s="187">
        <f t="shared" si="551"/>
        <v>0</v>
      </c>
      <c r="FJ357" s="187">
        <f t="shared" si="551"/>
        <v>0</v>
      </c>
      <c r="FK357" s="187">
        <f t="shared" si="551"/>
        <v>0</v>
      </c>
      <c r="FL357" s="187">
        <f t="shared" si="551"/>
        <v>0</v>
      </c>
      <c r="FM357" s="187">
        <f t="shared" si="551"/>
        <v>0</v>
      </c>
      <c r="FN357" s="187">
        <f t="shared" ref="FN357:GJ357" si="552">FN356*(-1)</f>
        <v>0</v>
      </c>
      <c r="FO357" s="187">
        <f t="shared" si="552"/>
        <v>0</v>
      </c>
      <c r="FP357" s="187">
        <f t="shared" si="552"/>
        <v>0</v>
      </c>
      <c r="FQ357" s="187">
        <f t="shared" si="552"/>
        <v>0</v>
      </c>
      <c r="FR357" s="187">
        <f t="shared" si="552"/>
        <v>0</v>
      </c>
      <c r="FS357" s="187">
        <f t="shared" si="552"/>
        <v>0</v>
      </c>
      <c r="FT357" s="187">
        <f t="shared" si="552"/>
        <v>0</v>
      </c>
      <c r="FU357" s="187">
        <f t="shared" si="552"/>
        <v>0</v>
      </c>
      <c r="FV357" s="187">
        <f t="shared" si="552"/>
        <v>0</v>
      </c>
      <c r="FW357" s="187">
        <f t="shared" si="552"/>
        <v>0</v>
      </c>
      <c r="FX357" s="187">
        <f t="shared" si="552"/>
        <v>0</v>
      </c>
      <c r="FY357" s="187">
        <f t="shared" si="552"/>
        <v>0</v>
      </c>
      <c r="FZ357" s="187">
        <f t="shared" si="552"/>
        <v>0</v>
      </c>
      <c r="GA357" s="187">
        <f t="shared" si="552"/>
        <v>0</v>
      </c>
      <c r="GB357" s="187">
        <f t="shared" si="552"/>
        <v>0</v>
      </c>
      <c r="GC357" s="187">
        <f t="shared" si="552"/>
        <v>0</v>
      </c>
      <c r="GD357" s="187">
        <f t="shared" si="552"/>
        <v>0</v>
      </c>
      <c r="GE357" s="187">
        <f t="shared" si="552"/>
        <v>0</v>
      </c>
      <c r="GF357" s="187">
        <f t="shared" si="552"/>
        <v>0</v>
      </c>
      <c r="GG357" s="187">
        <f t="shared" si="552"/>
        <v>0</v>
      </c>
      <c r="GH357" s="187">
        <f t="shared" si="552"/>
        <v>0</v>
      </c>
      <c r="GI357" s="187">
        <f t="shared" si="552"/>
        <v>0</v>
      </c>
      <c r="GJ357" s="187">
        <f t="shared" si="552"/>
        <v>0</v>
      </c>
    </row>
    <row r="358" spans="1:192" s="188" customFormat="1" ht="12.75" outlineLevel="2" x14ac:dyDescent="0.2">
      <c r="A358" s="141"/>
      <c r="B358" s="141"/>
      <c r="C358" s="142"/>
      <c r="D358" s="143"/>
      <c r="E358" s="187"/>
      <c r="F358" s="187"/>
      <c r="G358" s="187"/>
      <c r="H358" s="187"/>
      <c r="I358" s="144"/>
      <c r="J358" s="187"/>
      <c r="K358" s="187"/>
      <c r="L358" s="187"/>
      <c r="M358" s="187"/>
      <c r="N358" s="187"/>
      <c r="O358" s="187"/>
      <c r="P358" s="187"/>
      <c r="Q358" s="187"/>
      <c r="R358" s="187"/>
      <c r="S358" s="187"/>
      <c r="T358" s="187"/>
      <c r="U358" s="187"/>
      <c r="V358" s="187"/>
      <c r="W358" s="187"/>
      <c r="X358" s="187"/>
      <c r="Y358" s="187"/>
      <c r="Z358" s="187"/>
      <c r="AA358" s="187"/>
      <c r="AB358" s="187"/>
      <c r="AC358" s="187"/>
      <c r="AD358" s="187"/>
      <c r="AE358" s="187"/>
      <c r="AF358" s="187"/>
      <c r="AG358" s="187"/>
      <c r="AH358" s="187"/>
      <c r="AI358" s="187"/>
      <c r="AJ358" s="187"/>
      <c r="AK358" s="187"/>
      <c r="AL358" s="187"/>
      <c r="AM358" s="187"/>
      <c r="AN358" s="187"/>
      <c r="AO358" s="187"/>
      <c r="AP358" s="187"/>
      <c r="AQ358" s="187"/>
      <c r="AR358" s="187"/>
      <c r="AS358" s="187"/>
      <c r="AT358" s="187"/>
      <c r="AU358" s="187"/>
      <c r="AV358" s="187"/>
      <c r="AW358" s="187"/>
      <c r="AX358" s="187"/>
      <c r="AY358" s="187"/>
      <c r="AZ358" s="187"/>
      <c r="BA358" s="187"/>
      <c r="BB358" s="187"/>
      <c r="BC358" s="187"/>
      <c r="BD358" s="187"/>
      <c r="BE358" s="187"/>
      <c r="BF358" s="187"/>
      <c r="BG358" s="187"/>
      <c r="BH358" s="187"/>
      <c r="BI358" s="187"/>
      <c r="BJ358" s="187"/>
      <c r="BK358" s="187"/>
      <c r="BL358" s="187"/>
      <c r="BM358" s="187"/>
      <c r="BN358" s="187"/>
      <c r="BO358" s="187"/>
      <c r="BP358" s="187"/>
      <c r="BQ358" s="187"/>
      <c r="BR358" s="187"/>
      <c r="BS358" s="187"/>
      <c r="BT358" s="187"/>
      <c r="BU358" s="187"/>
      <c r="BV358" s="187"/>
      <c r="BW358" s="187"/>
      <c r="BX358" s="187"/>
      <c r="BY358" s="187"/>
      <c r="BZ358" s="187"/>
      <c r="CA358" s="187"/>
      <c r="CB358" s="187"/>
      <c r="CC358" s="187"/>
      <c r="CD358" s="187"/>
      <c r="CE358" s="187"/>
      <c r="CF358" s="187"/>
      <c r="CG358" s="187"/>
      <c r="CH358" s="187"/>
      <c r="CI358" s="187"/>
      <c r="CJ358" s="187"/>
      <c r="CK358" s="187"/>
      <c r="CL358" s="187"/>
      <c r="CM358" s="187"/>
      <c r="CN358" s="187"/>
      <c r="CO358" s="187"/>
      <c r="CP358" s="187"/>
      <c r="CQ358" s="187"/>
      <c r="CR358" s="187"/>
      <c r="CS358" s="187"/>
      <c r="CT358" s="187"/>
      <c r="CU358" s="187"/>
      <c r="CV358" s="187"/>
    </row>
    <row r="359" spans="1:192" ht="12.75" outlineLevel="1" x14ac:dyDescent="0.2"/>
    <row r="360" spans="1:192" ht="12.75" outlineLevel="1" x14ac:dyDescent="0.2">
      <c r="B360" s="15" t="s">
        <v>985</v>
      </c>
    </row>
    <row r="361" spans="1:192" ht="12.75" outlineLevel="2" x14ac:dyDescent="0.2">
      <c r="E361" s="12" t="str">
        <f t="shared" ref="E361:AJ361" si="553" xml:space="preserve"> E$237</f>
        <v>Senior debt interest - T1 POS</v>
      </c>
      <c r="F361" s="12">
        <f t="shared" si="553"/>
        <v>0</v>
      </c>
      <c r="G361" s="12" t="str">
        <f t="shared" si="553"/>
        <v>$ 000s</v>
      </c>
      <c r="H361" s="12">
        <f t="shared" si="553"/>
        <v>58932.622085008683</v>
      </c>
      <c r="I361" s="12">
        <f t="shared" si="553"/>
        <v>0</v>
      </c>
      <c r="J361" s="12">
        <f t="shared" si="553"/>
        <v>0</v>
      </c>
      <c r="K361" s="12">
        <f t="shared" si="553"/>
        <v>0</v>
      </c>
      <c r="L361" s="12">
        <f t="shared" si="553"/>
        <v>0</v>
      </c>
      <c r="M361" s="12">
        <f t="shared" si="553"/>
        <v>0</v>
      </c>
      <c r="N361" s="12">
        <f t="shared" si="553"/>
        <v>0</v>
      </c>
      <c r="O361" s="12">
        <f t="shared" si="553"/>
        <v>2687.5177475939608</v>
      </c>
      <c r="P361" s="12">
        <f t="shared" si="553"/>
        <v>2582.7239566536373</v>
      </c>
      <c r="Q361" s="12">
        <f t="shared" si="553"/>
        <v>2574.328504175005</v>
      </c>
      <c r="R361" s="12">
        <f t="shared" si="553"/>
        <v>2481.3813281599528</v>
      </c>
      <c r="S361" s="12">
        <f t="shared" si="553"/>
        <v>2469.7293209345407</v>
      </c>
      <c r="T361" s="12">
        <f t="shared" si="553"/>
        <v>2376.876065985799</v>
      </c>
      <c r="U361" s="12">
        <f t="shared" si="553"/>
        <v>2361.8520922003349</v>
      </c>
      <c r="V361" s="12">
        <f t="shared" si="553"/>
        <v>2281.6182261919198</v>
      </c>
      <c r="W361" s="12">
        <f t="shared" si="553"/>
        <v>2250.6592852748454</v>
      </c>
      <c r="X361" s="12">
        <f t="shared" si="553"/>
        <v>2158.0922847899237</v>
      </c>
      <c r="Y361" s="12">
        <f t="shared" si="553"/>
        <v>2237.6804315095601</v>
      </c>
      <c r="Z361" s="12">
        <f t="shared" si="553"/>
        <v>2142.3886900549105</v>
      </c>
      <c r="AA361" s="12">
        <f t="shared" si="553"/>
        <v>2117.0515797327043</v>
      </c>
      <c r="AB361" s="12">
        <f t="shared" si="553"/>
        <v>2021.7094910691326</v>
      </c>
      <c r="AC361" s="12">
        <f t="shared" si="553"/>
        <v>1992.3163229370118</v>
      </c>
      <c r="AD361" s="12">
        <f t="shared" si="553"/>
        <v>1907.3851466300987</v>
      </c>
      <c r="AE361" s="12">
        <f t="shared" si="553"/>
        <v>1863.349317892918</v>
      </c>
      <c r="AF361" s="12">
        <f t="shared" si="553"/>
        <v>1767.9820934948079</v>
      </c>
      <c r="AG361" s="12">
        <f t="shared" si="553"/>
        <v>1730.0089819557033</v>
      </c>
      <c r="AH361" s="12">
        <f t="shared" si="553"/>
        <v>1634.3997473361794</v>
      </c>
      <c r="AI361" s="12">
        <f t="shared" si="553"/>
        <v>1664.2398160286421</v>
      </c>
      <c r="AJ361" s="12">
        <f t="shared" si="553"/>
        <v>1565.5385581725184</v>
      </c>
      <c r="AK361" s="12">
        <f t="shared" ref="AK361:BP361" si="554" xml:space="preserve"> AK$237</f>
        <v>1517.504166079535</v>
      </c>
      <c r="AL361" s="12">
        <f t="shared" si="554"/>
        <v>1426.3062182693025</v>
      </c>
      <c r="AM361" s="12">
        <f t="shared" si="554"/>
        <v>1365.2015310096476</v>
      </c>
      <c r="AN361" s="12">
        <f t="shared" si="554"/>
        <v>1265.9321561833478</v>
      </c>
      <c r="AO361" s="12">
        <f t="shared" si="554"/>
        <v>1207.2384434234541</v>
      </c>
      <c r="AP361" s="12">
        <f t="shared" si="554"/>
        <v>1107.4310609472375</v>
      </c>
      <c r="AQ361" s="12">
        <f t="shared" si="554"/>
        <v>1043.0631804876928</v>
      </c>
      <c r="AR361" s="12">
        <f t="shared" si="554"/>
        <v>942.81174989072917</v>
      </c>
      <c r="AS361" s="12">
        <f t="shared" si="554"/>
        <v>872.52701382584769</v>
      </c>
      <c r="AT361" s="12">
        <f t="shared" si="554"/>
        <v>652.41628467561759</v>
      </c>
      <c r="AU361" s="12">
        <f t="shared" si="554"/>
        <v>443.63241738550107</v>
      </c>
      <c r="AV361" s="12">
        <f t="shared" si="554"/>
        <v>219.7301918317994</v>
      </c>
      <c r="AW361" s="12">
        <f t="shared" si="554"/>
        <v>-2.2123232123425019E-4</v>
      </c>
      <c r="AX361" s="12">
        <f t="shared" si="554"/>
        <v>-2.1762527251847438E-4</v>
      </c>
      <c r="AY361" s="12">
        <f t="shared" si="554"/>
        <v>-2.2123232123425019E-4</v>
      </c>
      <c r="AZ361" s="12">
        <f t="shared" si="554"/>
        <v>-2.1762527251847438E-4</v>
      </c>
      <c r="BA361" s="12">
        <f t="shared" si="554"/>
        <v>-2.2123232123425019E-4</v>
      </c>
      <c r="BB361" s="12">
        <f t="shared" si="554"/>
        <v>-2.1882762209039967E-4</v>
      </c>
      <c r="BC361" s="12">
        <f t="shared" si="554"/>
        <v>0</v>
      </c>
      <c r="BD361" s="12">
        <f t="shared" si="554"/>
        <v>0</v>
      </c>
      <c r="BE361" s="12">
        <f t="shared" si="554"/>
        <v>0</v>
      </c>
      <c r="BF361" s="12">
        <f t="shared" si="554"/>
        <v>0</v>
      </c>
      <c r="BG361" s="12">
        <f t="shared" si="554"/>
        <v>0</v>
      </c>
      <c r="BH361" s="12">
        <f t="shared" si="554"/>
        <v>0</v>
      </c>
      <c r="BI361" s="12">
        <f t="shared" si="554"/>
        <v>0</v>
      </c>
      <c r="BJ361" s="12">
        <f t="shared" si="554"/>
        <v>0</v>
      </c>
      <c r="BK361" s="12">
        <f t="shared" si="554"/>
        <v>0</v>
      </c>
      <c r="BL361" s="12">
        <f t="shared" si="554"/>
        <v>0</v>
      </c>
      <c r="BM361" s="12">
        <f t="shared" si="554"/>
        <v>0</v>
      </c>
      <c r="BN361" s="12">
        <f t="shared" si="554"/>
        <v>0</v>
      </c>
      <c r="BO361" s="12">
        <f t="shared" si="554"/>
        <v>0</v>
      </c>
      <c r="BP361" s="12">
        <f t="shared" si="554"/>
        <v>0</v>
      </c>
      <c r="BQ361" s="12">
        <f t="shared" ref="BQ361:CV361" si="555" xml:space="preserve"> BQ$237</f>
        <v>0</v>
      </c>
      <c r="BR361" s="12">
        <f t="shared" si="555"/>
        <v>0</v>
      </c>
      <c r="BS361" s="12">
        <f t="shared" si="555"/>
        <v>0</v>
      </c>
      <c r="BT361" s="12">
        <f t="shared" si="555"/>
        <v>0</v>
      </c>
      <c r="BU361" s="12">
        <f t="shared" si="555"/>
        <v>0</v>
      </c>
      <c r="BV361" s="12">
        <f t="shared" si="555"/>
        <v>0</v>
      </c>
      <c r="BW361" s="12">
        <f t="shared" si="555"/>
        <v>0</v>
      </c>
      <c r="BX361" s="12">
        <f t="shared" si="555"/>
        <v>0</v>
      </c>
      <c r="BY361" s="12">
        <f t="shared" si="555"/>
        <v>0</v>
      </c>
      <c r="BZ361" s="12">
        <f t="shared" si="555"/>
        <v>0</v>
      </c>
      <c r="CA361" s="12">
        <f t="shared" si="555"/>
        <v>0</v>
      </c>
      <c r="CB361" s="12">
        <f t="shared" si="555"/>
        <v>0</v>
      </c>
      <c r="CC361" s="12">
        <f t="shared" si="555"/>
        <v>0</v>
      </c>
      <c r="CD361" s="12">
        <f t="shared" si="555"/>
        <v>0</v>
      </c>
      <c r="CE361" s="12">
        <f t="shared" si="555"/>
        <v>0</v>
      </c>
      <c r="CF361" s="12">
        <f t="shared" si="555"/>
        <v>0</v>
      </c>
      <c r="CG361" s="12">
        <f t="shared" si="555"/>
        <v>0</v>
      </c>
      <c r="CH361" s="12">
        <f t="shared" si="555"/>
        <v>0</v>
      </c>
      <c r="CI361" s="12">
        <f t="shared" si="555"/>
        <v>0</v>
      </c>
      <c r="CJ361" s="12">
        <f t="shared" si="555"/>
        <v>0</v>
      </c>
      <c r="CK361" s="12">
        <f t="shared" si="555"/>
        <v>0</v>
      </c>
      <c r="CL361" s="12">
        <f t="shared" si="555"/>
        <v>0</v>
      </c>
      <c r="CM361" s="12">
        <f t="shared" si="555"/>
        <v>0</v>
      </c>
      <c r="CN361" s="12">
        <f t="shared" si="555"/>
        <v>0</v>
      </c>
      <c r="CO361" s="12">
        <f t="shared" si="555"/>
        <v>0</v>
      </c>
      <c r="CP361" s="12">
        <f t="shared" si="555"/>
        <v>0</v>
      </c>
      <c r="CQ361" s="12">
        <f t="shared" si="555"/>
        <v>0</v>
      </c>
      <c r="CR361" s="12">
        <f t="shared" si="555"/>
        <v>0</v>
      </c>
      <c r="CS361" s="12">
        <f t="shared" si="555"/>
        <v>0</v>
      </c>
      <c r="CT361" s="12">
        <f t="shared" si="555"/>
        <v>0</v>
      </c>
      <c r="CU361" s="12">
        <f t="shared" si="555"/>
        <v>0</v>
      </c>
      <c r="CV361" s="12">
        <f t="shared" si="555"/>
        <v>0</v>
      </c>
    </row>
    <row r="362" spans="1:192" ht="12.75" outlineLevel="2" x14ac:dyDescent="0.2">
      <c r="E362" s="12" t="str">
        <f t="shared" ref="E362:AJ362" si="556" xml:space="preserve"> E$183</f>
        <v>Senior debt principal repayment - T1 POS</v>
      </c>
      <c r="F362" s="12">
        <f t="shared" si="556"/>
        <v>0</v>
      </c>
      <c r="G362" s="12" t="str">
        <f t="shared" si="556"/>
        <v>$ 000s</v>
      </c>
      <c r="H362" s="12">
        <f t="shared" si="556"/>
        <v>125194.95159167382</v>
      </c>
      <c r="I362" s="12">
        <f t="shared" si="556"/>
        <v>0</v>
      </c>
      <c r="J362" s="12">
        <f t="shared" si="556"/>
        <v>0</v>
      </c>
      <c r="K362" s="12">
        <f t="shared" si="556"/>
        <v>0</v>
      </c>
      <c r="L362" s="12">
        <f t="shared" si="556"/>
        <v>0</v>
      </c>
      <c r="M362" s="12">
        <f t="shared" si="556"/>
        <v>0</v>
      </c>
      <c r="N362" s="12">
        <f t="shared" si="556"/>
        <v>0</v>
      </c>
      <c r="O362" s="12">
        <f t="shared" si="556"/>
        <v>2887.5564385842031</v>
      </c>
      <c r="P362" s="12">
        <f t="shared" si="556"/>
        <v>2385.234403913732</v>
      </c>
      <c r="Q362" s="12">
        <f t="shared" si="556"/>
        <v>2413.9429517461499</v>
      </c>
      <c r="R362" s="12">
        <f t="shared" si="556"/>
        <v>2458.6898079027978</v>
      </c>
      <c r="S362" s="12">
        <f t="shared" si="556"/>
        <v>2490.2570985291154</v>
      </c>
      <c r="T362" s="12">
        <f t="shared" si="556"/>
        <v>2535.0796437475524</v>
      </c>
      <c r="U362" s="12">
        <f t="shared" si="556"/>
        <v>2569.6182413694601</v>
      </c>
      <c r="V362" s="12">
        <f t="shared" si="556"/>
        <v>2610.1709011222924</v>
      </c>
      <c r="W362" s="12">
        <f t="shared" si="556"/>
        <v>2645.8469767855477</v>
      </c>
      <c r="X362" s="12">
        <f t="shared" si="556"/>
        <v>2696.9294511065236</v>
      </c>
      <c r="Y362" s="12">
        <f t="shared" si="556"/>
        <v>2658.3143766007292</v>
      </c>
      <c r="Z362" s="12">
        <f t="shared" si="556"/>
        <v>2705.6167794847602</v>
      </c>
      <c r="AA362" s="12">
        <f t="shared" si="556"/>
        <v>2749.4951786870188</v>
      </c>
      <c r="AB362" s="12">
        <f t="shared" si="556"/>
        <v>2797.0330385127395</v>
      </c>
      <c r="AC362" s="12">
        <f t="shared" si="556"/>
        <v>2844.5558287196923</v>
      </c>
      <c r="AD362" s="12">
        <f t="shared" si="556"/>
        <v>2890.1430121738081</v>
      </c>
      <c r="AE362" s="12">
        <f t="shared" si="556"/>
        <v>2937.6130636822691</v>
      </c>
      <c r="AF362" s="12">
        <f t="shared" si="556"/>
        <v>2991.5520718658245</v>
      </c>
      <c r="AG362" s="12">
        <f t="shared" si="556"/>
        <v>3046.8262075297375</v>
      </c>
      <c r="AH362" s="12">
        <f t="shared" si="556"/>
        <v>3095.2032844704854</v>
      </c>
      <c r="AI362" s="12">
        <f t="shared" si="556"/>
        <v>3094.413726957142</v>
      </c>
      <c r="AJ362" s="12">
        <f t="shared" si="556"/>
        <v>3146.705599800724</v>
      </c>
      <c r="AK362" s="12">
        <f t="shared" ref="AK362:BP362" si="557" xml:space="preserve"> AK$183</f>
        <v>3212.2791962939004</v>
      </c>
      <c r="AL362" s="12">
        <f t="shared" si="557"/>
        <v>3265.6211611209619</v>
      </c>
      <c r="AM362" s="12">
        <f t="shared" si="557"/>
        <v>3329.7904775791908</v>
      </c>
      <c r="AN362" s="12">
        <f t="shared" si="557"/>
        <v>3388.8663668241315</v>
      </c>
      <c r="AO362" s="12">
        <f t="shared" si="557"/>
        <v>3464.411832190975</v>
      </c>
      <c r="AP362" s="12">
        <f t="shared" si="557"/>
        <v>3518.4679713149394</v>
      </c>
      <c r="AQ362" s="12">
        <f t="shared" si="557"/>
        <v>3599.3499460935395</v>
      </c>
      <c r="AR362" s="12">
        <f t="shared" si="557"/>
        <v>3654.0786926427813</v>
      </c>
      <c r="AS362" s="12">
        <f t="shared" si="557"/>
        <v>9057.0504482829947</v>
      </c>
      <c r="AT362" s="12">
        <f t="shared" si="557"/>
        <v>9185.158285002075</v>
      </c>
      <c r="AU362" s="12">
        <f t="shared" si="557"/>
        <v>9368.3487620633514</v>
      </c>
      <c r="AV362" s="12">
        <f t="shared" si="557"/>
        <v>9500.7303689726396</v>
      </c>
      <c r="AW362" s="12">
        <f t="shared" si="557"/>
        <v>0</v>
      </c>
      <c r="AX362" s="12">
        <f t="shared" si="557"/>
        <v>0</v>
      </c>
      <c r="AY362" s="12">
        <f t="shared" si="557"/>
        <v>0</v>
      </c>
      <c r="AZ362" s="12">
        <f t="shared" si="557"/>
        <v>0</v>
      </c>
      <c r="BA362" s="12">
        <f t="shared" si="557"/>
        <v>0</v>
      </c>
      <c r="BB362" s="12">
        <f t="shared" si="557"/>
        <v>0</v>
      </c>
      <c r="BC362" s="12">
        <f t="shared" si="557"/>
        <v>0</v>
      </c>
      <c r="BD362" s="12">
        <f t="shared" si="557"/>
        <v>0</v>
      </c>
      <c r="BE362" s="12">
        <f t="shared" si="557"/>
        <v>0</v>
      </c>
      <c r="BF362" s="12">
        <f t="shared" si="557"/>
        <v>0</v>
      </c>
      <c r="BG362" s="12">
        <f t="shared" si="557"/>
        <v>0</v>
      </c>
      <c r="BH362" s="12">
        <f t="shared" si="557"/>
        <v>0</v>
      </c>
      <c r="BI362" s="12">
        <f t="shared" si="557"/>
        <v>0</v>
      </c>
      <c r="BJ362" s="12">
        <f t="shared" si="557"/>
        <v>0</v>
      </c>
      <c r="BK362" s="12">
        <f t="shared" si="557"/>
        <v>0</v>
      </c>
      <c r="BL362" s="12">
        <f t="shared" si="557"/>
        <v>0</v>
      </c>
      <c r="BM362" s="12">
        <f t="shared" si="557"/>
        <v>0</v>
      </c>
      <c r="BN362" s="12">
        <f t="shared" si="557"/>
        <v>0</v>
      </c>
      <c r="BO362" s="12">
        <f t="shared" si="557"/>
        <v>0</v>
      </c>
      <c r="BP362" s="12">
        <f t="shared" si="557"/>
        <v>0</v>
      </c>
      <c r="BQ362" s="12">
        <f t="shared" ref="BQ362:CV362" si="558" xml:space="preserve"> BQ$183</f>
        <v>0</v>
      </c>
      <c r="BR362" s="12">
        <f t="shared" si="558"/>
        <v>0</v>
      </c>
      <c r="BS362" s="12">
        <f t="shared" si="558"/>
        <v>0</v>
      </c>
      <c r="BT362" s="12">
        <f t="shared" si="558"/>
        <v>0</v>
      </c>
      <c r="BU362" s="12">
        <f t="shared" si="558"/>
        <v>0</v>
      </c>
      <c r="BV362" s="12">
        <f t="shared" si="558"/>
        <v>0</v>
      </c>
      <c r="BW362" s="12">
        <f t="shared" si="558"/>
        <v>0</v>
      </c>
      <c r="BX362" s="12">
        <f t="shared" si="558"/>
        <v>0</v>
      </c>
      <c r="BY362" s="12">
        <f t="shared" si="558"/>
        <v>0</v>
      </c>
      <c r="BZ362" s="12">
        <f t="shared" si="558"/>
        <v>0</v>
      </c>
      <c r="CA362" s="12">
        <f t="shared" si="558"/>
        <v>0</v>
      </c>
      <c r="CB362" s="12">
        <f t="shared" si="558"/>
        <v>0</v>
      </c>
      <c r="CC362" s="12">
        <f t="shared" si="558"/>
        <v>0</v>
      </c>
      <c r="CD362" s="12">
        <f t="shared" si="558"/>
        <v>0</v>
      </c>
      <c r="CE362" s="12">
        <f t="shared" si="558"/>
        <v>0</v>
      </c>
      <c r="CF362" s="12">
        <f t="shared" si="558"/>
        <v>0</v>
      </c>
      <c r="CG362" s="12">
        <f t="shared" si="558"/>
        <v>0</v>
      </c>
      <c r="CH362" s="12">
        <f t="shared" si="558"/>
        <v>0</v>
      </c>
      <c r="CI362" s="12">
        <f t="shared" si="558"/>
        <v>0</v>
      </c>
      <c r="CJ362" s="12">
        <f t="shared" si="558"/>
        <v>0</v>
      </c>
      <c r="CK362" s="12">
        <f t="shared" si="558"/>
        <v>0</v>
      </c>
      <c r="CL362" s="12">
        <f t="shared" si="558"/>
        <v>0</v>
      </c>
      <c r="CM362" s="12">
        <f t="shared" si="558"/>
        <v>0</v>
      </c>
      <c r="CN362" s="12">
        <f t="shared" si="558"/>
        <v>0</v>
      </c>
      <c r="CO362" s="12">
        <f t="shared" si="558"/>
        <v>0</v>
      </c>
      <c r="CP362" s="12">
        <f t="shared" si="558"/>
        <v>0</v>
      </c>
      <c r="CQ362" s="12">
        <f t="shared" si="558"/>
        <v>0</v>
      </c>
      <c r="CR362" s="12">
        <f t="shared" si="558"/>
        <v>0</v>
      </c>
      <c r="CS362" s="12">
        <f t="shared" si="558"/>
        <v>0</v>
      </c>
      <c r="CT362" s="12">
        <f t="shared" si="558"/>
        <v>0</v>
      </c>
      <c r="CU362" s="12">
        <f t="shared" si="558"/>
        <v>0</v>
      </c>
      <c r="CV362" s="12">
        <f t="shared" si="558"/>
        <v>0</v>
      </c>
    </row>
    <row r="363" spans="1:192" ht="12.75" outlineLevel="2" x14ac:dyDescent="0.2">
      <c r="E363" s="12" t="str">
        <f t="shared" ref="E363:AJ363" si="559" xml:space="preserve"> E$349</f>
        <v>Senior debt interest - T2 POS</v>
      </c>
      <c r="F363" s="12">
        <f t="shared" si="559"/>
        <v>0</v>
      </c>
      <c r="G363" s="12" t="str">
        <f t="shared" si="559"/>
        <v>$ 000s</v>
      </c>
      <c r="H363" s="12">
        <f t="shared" si="559"/>
        <v>50719.400835431705</v>
      </c>
      <c r="I363" s="12">
        <f t="shared" si="559"/>
        <v>0</v>
      </c>
      <c r="J363" s="12">
        <f t="shared" si="559"/>
        <v>0</v>
      </c>
      <c r="K363" s="12">
        <f t="shared" si="559"/>
        <v>0</v>
      </c>
      <c r="L363" s="12">
        <f t="shared" si="559"/>
        <v>0</v>
      </c>
      <c r="M363" s="12">
        <f t="shared" si="559"/>
        <v>0</v>
      </c>
      <c r="N363" s="12">
        <f t="shared" si="559"/>
        <v>0</v>
      </c>
      <c r="O363" s="12">
        <f t="shared" si="559"/>
        <v>3007.4603365932417</v>
      </c>
      <c r="P363" s="12">
        <f t="shared" si="559"/>
        <v>2861.4426237247226</v>
      </c>
      <c r="Q363" s="12">
        <f t="shared" si="559"/>
        <v>2827.4302563544802</v>
      </c>
      <c r="R363" s="12">
        <f t="shared" si="559"/>
        <v>2700.2548554507134</v>
      </c>
      <c r="S363" s="12">
        <f t="shared" si="559"/>
        <v>2661.0628632799539</v>
      </c>
      <c r="T363" s="12">
        <f t="shared" si="559"/>
        <v>2534.0368459800811</v>
      </c>
      <c r="U363" s="12">
        <f t="shared" si="559"/>
        <v>2489.4816638803841</v>
      </c>
      <c r="V363" s="12">
        <f t="shared" si="559"/>
        <v>2375.6406705547574</v>
      </c>
      <c r="W363" s="12">
        <f t="shared" si="559"/>
        <v>2312.626961541976</v>
      </c>
      <c r="X363" s="12">
        <f t="shared" si="559"/>
        <v>2186.0562385133053</v>
      </c>
      <c r="Y363" s="12">
        <f t="shared" si="559"/>
        <v>2220.854468947296</v>
      </c>
      <c r="Z363" s="12">
        <f t="shared" si="559"/>
        <v>2091.5619982100643</v>
      </c>
      <c r="AA363" s="12">
        <f t="shared" si="559"/>
        <v>2029.9192920142364</v>
      </c>
      <c r="AB363" s="12">
        <f t="shared" si="559"/>
        <v>1900.5471301160426</v>
      </c>
      <c r="AC363" s="12">
        <f t="shared" si="559"/>
        <v>1832.4843668262508</v>
      </c>
      <c r="AD363" s="12">
        <f t="shared" si="559"/>
        <v>1712.4114864363401</v>
      </c>
      <c r="AE363" s="12">
        <f t="shared" si="559"/>
        <v>1628.351296139547</v>
      </c>
      <c r="AF363" s="12">
        <f t="shared" si="559"/>
        <v>1498.9393486025879</v>
      </c>
      <c r="AG363" s="12">
        <f t="shared" si="559"/>
        <v>1417.2959784483739</v>
      </c>
      <c r="AH363" s="12">
        <f t="shared" si="559"/>
        <v>1287.5009694483854</v>
      </c>
      <c r="AI363" s="12">
        <f t="shared" si="559"/>
        <v>1272.051076082276</v>
      </c>
      <c r="AJ363" s="12">
        <f t="shared" si="559"/>
        <v>1136.3240059796112</v>
      </c>
      <c r="AK363" s="12">
        <f t="shared" ref="AK363:BP363" si="560" xml:space="preserve"> AK$349</f>
        <v>1036.2897842601778</v>
      </c>
      <c r="AL363" s="12">
        <f t="shared" si="560"/>
        <v>904.99934106523745</v>
      </c>
      <c r="AM363" s="12">
        <f t="shared" si="560"/>
        <v>791.5839748373146</v>
      </c>
      <c r="AN363" s="12">
        <f t="shared" si="560"/>
        <v>654.9441068505555</v>
      </c>
      <c r="AO363" s="12">
        <f t="shared" si="560"/>
        <v>537.78347303393627</v>
      </c>
      <c r="AP363" s="12">
        <f t="shared" si="560"/>
        <v>400.27918403838652</v>
      </c>
      <c r="AQ363" s="12">
        <f t="shared" si="560"/>
        <v>274.00182155120319</v>
      </c>
      <c r="AR363" s="12">
        <f t="shared" si="560"/>
        <v>135.78407704150388</v>
      </c>
      <c r="AS363" s="12">
        <f t="shared" si="560"/>
        <v>5.7368266412878361E-5</v>
      </c>
      <c r="AT363" s="12">
        <f t="shared" si="560"/>
        <v>5.6744698299694907E-5</v>
      </c>
      <c r="AU363" s="12">
        <f t="shared" si="560"/>
        <v>5.7368266412878361E-5</v>
      </c>
      <c r="AV363" s="12">
        <f t="shared" si="560"/>
        <v>5.6432914243103177E-5</v>
      </c>
      <c r="AW363" s="12">
        <f t="shared" si="560"/>
        <v>1.8755010173441004E-5</v>
      </c>
      <c r="AX363" s="12">
        <f t="shared" si="560"/>
        <v>1.8449221964091424E-5</v>
      </c>
      <c r="AY363" s="12">
        <f t="shared" si="560"/>
        <v>1.8755010173441004E-5</v>
      </c>
      <c r="AZ363" s="12">
        <f t="shared" si="560"/>
        <v>1.8449221964091424E-5</v>
      </c>
      <c r="BA363" s="12">
        <f t="shared" si="560"/>
        <v>1.8755010173441004E-5</v>
      </c>
      <c r="BB363" s="12">
        <f t="shared" si="560"/>
        <v>1.8551151367207951E-5</v>
      </c>
      <c r="BC363" s="12">
        <f t="shared" si="560"/>
        <v>0</v>
      </c>
      <c r="BD363" s="12">
        <f t="shared" si="560"/>
        <v>0</v>
      </c>
      <c r="BE363" s="12">
        <f t="shared" si="560"/>
        <v>0</v>
      </c>
      <c r="BF363" s="12">
        <f t="shared" si="560"/>
        <v>0</v>
      </c>
      <c r="BG363" s="12">
        <f t="shared" si="560"/>
        <v>0</v>
      </c>
      <c r="BH363" s="12">
        <f t="shared" si="560"/>
        <v>0</v>
      </c>
      <c r="BI363" s="12">
        <f t="shared" si="560"/>
        <v>0</v>
      </c>
      <c r="BJ363" s="12">
        <f t="shared" si="560"/>
        <v>0</v>
      </c>
      <c r="BK363" s="12">
        <f t="shared" si="560"/>
        <v>0</v>
      </c>
      <c r="BL363" s="12">
        <f t="shared" si="560"/>
        <v>0</v>
      </c>
      <c r="BM363" s="12">
        <f t="shared" si="560"/>
        <v>0</v>
      </c>
      <c r="BN363" s="12">
        <f t="shared" si="560"/>
        <v>0</v>
      </c>
      <c r="BO363" s="12">
        <f t="shared" si="560"/>
        <v>0</v>
      </c>
      <c r="BP363" s="12">
        <f t="shared" si="560"/>
        <v>0</v>
      </c>
      <c r="BQ363" s="12">
        <f t="shared" ref="BQ363:CV363" si="561" xml:space="preserve"> BQ$349</f>
        <v>0</v>
      </c>
      <c r="BR363" s="12">
        <f t="shared" si="561"/>
        <v>0</v>
      </c>
      <c r="BS363" s="12">
        <f t="shared" si="561"/>
        <v>0</v>
      </c>
      <c r="BT363" s="12">
        <f t="shared" si="561"/>
        <v>0</v>
      </c>
      <c r="BU363" s="12">
        <f t="shared" si="561"/>
        <v>0</v>
      </c>
      <c r="BV363" s="12">
        <f t="shared" si="561"/>
        <v>0</v>
      </c>
      <c r="BW363" s="12">
        <f t="shared" si="561"/>
        <v>0</v>
      </c>
      <c r="BX363" s="12">
        <f t="shared" si="561"/>
        <v>0</v>
      </c>
      <c r="BY363" s="12">
        <f t="shared" si="561"/>
        <v>0</v>
      </c>
      <c r="BZ363" s="12">
        <f t="shared" si="561"/>
        <v>0</v>
      </c>
      <c r="CA363" s="12">
        <f t="shared" si="561"/>
        <v>0</v>
      </c>
      <c r="CB363" s="12">
        <f t="shared" si="561"/>
        <v>0</v>
      </c>
      <c r="CC363" s="12">
        <f t="shared" si="561"/>
        <v>0</v>
      </c>
      <c r="CD363" s="12">
        <f t="shared" si="561"/>
        <v>0</v>
      </c>
      <c r="CE363" s="12">
        <f t="shared" si="561"/>
        <v>0</v>
      </c>
      <c r="CF363" s="12">
        <f t="shared" si="561"/>
        <v>0</v>
      </c>
      <c r="CG363" s="12">
        <f t="shared" si="561"/>
        <v>0</v>
      </c>
      <c r="CH363" s="12">
        <f t="shared" si="561"/>
        <v>0</v>
      </c>
      <c r="CI363" s="12">
        <f t="shared" si="561"/>
        <v>0</v>
      </c>
      <c r="CJ363" s="12">
        <f t="shared" si="561"/>
        <v>0</v>
      </c>
      <c r="CK363" s="12">
        <f t="shared" si="561"/>
        <v>0</v>
      </c>
      <c r="CL363" s="12">
        <f t="shared" si="561"/>
        <v>0</v>
      </c>
      <c r="CM363" s="12">
        <f t="shared" si="561"/>
        <v>0</v>
      </c>
      <c r="CN363" s="12">
        <f t="shared" si="561"/>
        <v>0</v>
      </c>
      <c r="CO363" s="12">
        <f t="shared" si="561"/>
        <v>0</v>
      </c>
      <c r="CP363" s="12">
        <f t="shared" si="561"/>
        <v>0</v>
      </c>
      <c r="CQ363" s="12">
        <f t="shared" si="561"/>
        <v>0</v>
      </c>
      <c r="CR363" s="12">
        <f t="shared" si="561"/>
        <v>0</v>
      </c>
      <c r="CS363" s="12">
        <f t="shared" si="561"/>
        <v>0</v>
      </c>
      <c r="CT363" s="12">
        <f t="shared" si="561"/>
        <v>0</v>
      </c>
      <c r="CU363" s="12">
        <f t="shared" si="561"/>
        <v>0</v>
      </c>
      <c r="CV363" s="12">
        <f t="shared" si="561"/>
        <v>0</v>
      </c>
    </row>
    <row r="364" spans="1:192" ht="12.75" outlineLevel="2" x14ac:dyDescent="0.2">
      <c r="E364" s="12" t="str">
        <f t="shared" ref="E364:AJ364" si="562" xml:space="preserve"> E$295</f>
        <v>Senior debt principal repayment - T2 POS</v>
      </c>
      <c r="F364" s="12">
        <f t="shared" si="562"/>
        <v>0</v>
      </c>
      <c r="G364" s="12" t="str">
        <f t="shared" si="562"/>
        <v>$ 000s</v>
      </c>
      <c r="H364" s="12">
        <f t="shared" si="562"/>
        <v>125194.92397164847</v>
      </c>
      <c r="I364" s="12">
        <f t="shared" si="562"/>
        <v>0</v>
      </c>
      <c r="J364" s="12">
        <f t="shared" si="562"/>
        <v>0</v>
      </c>
      <c r="K364" s="12">
        <f t="shared" si="562"/>
        <v>0</v>
      </c>
      <c r="L364" s="12">
        <f t="shared" si="562"/>
        <v>0</v>
      </c>
      <c r="M364" s="12">
        <f t="shared" si="562"/>
        <v>0</v>
      </c>
      <c r="N364" s="12">
        <f t="shared" si="562"/>
        <v>0</v>
      </c>
      <c r="O364" s="12">
        <f t="shared" si="562"/>
        <v>4104.1368341736443</v>
      </c>
      <c r="P364" s="12">
        <f t="shared" si="562"/>
        <v>3390.1773293270649</v>
      </c>
      <c r="Q364" s="12">
        <f t="shared" si="562"/>
        <v>3430.9813139835283</v>
      </c>
      <c r="R364" s="12">
        <f t="shared" si="562"/>
        <v>3494.5808399051803</v>
      </c>
      <c r="S364" s="12">
        <f t="shared" si="562"/>
        <v>3539.4480080350804</v>
      </c>
      <c r="T364" s="12">
        <f t="shared" si="562"/>
        <v>3603.1551122060368</v>
      </c>
      <c r="U364" s="12">
        <f t="shared" si="562"/>
        <v>3652.2454533701657</v>
      </c>
      <c r="V364" s="12">
        <f t="shared" si="562"/>
        <v>3709.8836911519061</v>
      </c>
      <c r="W364" s="12">
        <f t="shared" si="562"/>
        <v>3760.5907506821859</v>
      </c>
      <c r="X364" s="12">
        <f t="shared" si="562"/>
        <v>3833.1952066990661</v>
      </c>
      <c r="Y364" s="12">
        <f t="shared" si="562"/>
        <v>3778.310894304017</v>
      </c>
      <c r="Z364" s="12">
        <f t="shared" si="562"/>
        <v>3845.5426655785759</v>
      </c>
      <c r="AA364" s="12">
        <f t="shared" si="562"/>
        <v>3907.9078377304527</v>
      </c>
      <c r="AB364" s="12">
        <f t="shared" si="562"/>
        <v>3975.4742682671963</v>
      </c>
      <c r="AC364" s="12">
        <f t="shared" si="562"/>
        <v>4043.019280078875</v>
      </c>
      <c r="AD364" s="12">
        <f t="shared" si="562"/>
        <v>4107.813178573896</v>
      </c>
      <c r="AE364" s="12">
        <f t="shared" si="562"/>
        <v>4175.2832319078207</v>
      </c>
      <c r="AF364" s="12">
        <f t="shared" si="562"/>
        <v>4251.9477318036097</v>
      </c>
      <c r="AG364" s="12">
        <f t="shared" si="562"/>
        <v>4330.5098728319617</v>
      </c>
      <c r="AH364" s="12">
        <f t="shared" si="562"/>
        <v>4399.2690980194438</v>
      </c>
      <c r="AI364" s="12">
        <f t="shared" si="562"/>
        <v>4398.1468854697905</v>
      </c>
      <c r="AJ364" s="12">
        <f t="shared" si="562"/>
        <v>4472.4702817496218</v>
      </c>
      <c r="AK364" s="12">
        <f t="shared" ref="AK364:BP364" si="563" xml:space="preserve"> AK$295</f>
        <v>4565.6712350265161</v>
      </c>
      <c r="AL364" s="12">
        <f t="shared" si="563"/>
        <v>4641.4871462685069</v>
      </c>
      <c r="AM364" s="12">
        <f t="shared" si="563"/>
        <v>4732.6921706208932</v>
      </c>
      <c r="AN364" s="12">
        <f t="shared" si="563"/>
        <v>4816.6578136199269</v>
      </c>
      <c r="AO364" s="12">
        <f t="shared" si="563"/>
        <v>4924.0319667010262</v>
      </c>
      <c r="AP364" s="12">
        <f t="shared" si="563"/>
        <v>5000.8629469469588</v>
      </c>
      <c r="AQ364" s="12">
        <f t="shared" si="563"/>
        <v>5115.8219785606616</v>
      </c>
      <c r="AR364" s="12">
        <f t="shared" si="563"/>
        <v>5193.6089480548508</v>
      </c>
      <c r="AS364" s="12">
        <f t="shared" si="563"/>
        <v>0</v>
      </c>
      <c r="AT364" s="12">
        <f t="shared" si="563"/>
        <v>0</v>
      </c>
      <c r="AU364" s="12">
        <f t="shared" si="563"/>
        <v>0</v>
      </c>
      <c r="AV364" s="12">
        <f t="shared" si="563"/>
        <v>0</v>
      </c>
      <c r="AW364" s="12">
        <f t="shared" si="563"/>
        <v>0</v>
      </c>
      <c r="AX364" s="12">
        <f t="shared" si="563"/>
        <v>0</v>
      </c>
      <c r="AY364" s="12">
        <f t="shared" si="563"/>
        <v>0</v>
      </c>
      <c r="AZ364" s="12">
        <f t="shared" si="563"/>
        <v>0</v>
      </c>
      <c r="BA364" s="12">
        <f t="shared" si="563"/>
        <v>0</v>
      </c>
      <c r="BB364" s="12">
        <f t="shared" si="563"/>
        <v>0</v>
      </c>
      <c r="BC364" s="12">
        <f t="shared" si="563"/>
        <v>0</v>
      </c>
      <c r="BD364" s="12">
        <f t="shared" si="563"/>
        <v>0</v>
      </c>
      <c r="BE364" s="12">
        <f t="shared" si="563"/>
        <v>0</v>
      </c>
      <c r="BF364" s="12">
        <f t="shared" si="563"/>
        <v>0</v>
      </c>
      <c r="BG364" s="12">
        <f t="shared" si="563"/>
        <v>0</v>
      </c>
      <c r="BH364" s="12">
        <f t="shared" si="563"/>
        <v>0</v>
      </c>
      <c r="BI364" s="12">
        <f t="shared" si="563"/>
        <v>0</v>
      </c>
      <c r="BJ364" s="12">
        <f t="shared" si="563"/>
        <v>0</v>
      </c>
      <c r="BK364" s="12">
        <f t="shared" si="563"/>
        <v>0</v>
      </c>
      <c r="BL364" s="12">
        <f t="shared" si="563"/>
        <v>0</v>
      </c>
      <c r="BM364" s="12">
        <f t="shared" si="563"/>
        <v>0</v>
      </c>
      <c r="BN364" s="12">
        <f t="shared" si="563"/>
        <v>0</v>
      </c>
      <c r="BO364" s="12">
        <f t="shared" si="563"/>
        <v>0</v>
      </c>
      <c r="BP364" s="12">
        <f t="shared" si="563"/>
        <v>0</v>
      </c>
      <c r="BQ364" s="12">
        <f t="shared" ref="BQ364:CV364" si="564" xml:space="preserve"> BQ$295</f>
        <v>0</v>
      </c>
      <c r="BR364" s="12">
        <f t="shared" si="564"/>
        <v>0</v>
      </c>
      <c r="BS364" s="12">
        <f t="shared" si="564"/>
        <v>0</v>
      </c>
      <c r="BT364" s="12">
        <f t="shared" si="564"/>
        <v>0</v>
      </c>
      <c r="BU364" s="12">
        <f t="shared" si="564"/>
        <v>0</v>
      </c>
      <c r="BV364" s="12">
        <f t="shared" si="564"/>
        <v>0</v>
      </c>
      <c r="BW364" s="12">
        <f t="shared" si="564"/>
        <v>0</v>
      </c>
      <c r="BX364" s="12">
        <f t="shared" si="564"/>
        <v>0</v>
      </c>
      <c r="BY364" s="12">
        <f t="shared" si="564"/>
        <v>0</v>
      </c>
      <c r="BZ364" s="12">
        <f t="shared" si="564"/>
        <v>0</v>
      </c>
      <c r="CA364" s="12">
        <f t="shared" si="564"/>
        <v>0</v>
      </c>
      <c r="CB364" s="12">
        <f t="shared" si="564"/>
        <v>0</v>
      </c>
      <c r="CC364" s="12">
        <f t="shared" si="564"/>
        <v>0</v>
      </c>
      <c r="CD364" s="12">
        <f t="shared" si="564"/>
        <v>0</v>
      </c>
      <c r="CE364" s="12">
        <f t="shared" si="564"/>
        <v>0</v>
      </c>
      <c r="CF364" s="12">
        <f t="shared" si="564"/>
        <v>0</v>
      </c>
      <c r="CG364" s="12">
        <f t="shared" si="564"/>
        <v>0</v>
      </c>
      <c r="CH364" s="12">
        <f t="shared" si="564"/>
        <v>0</v>
      </c>
      <c r="CI364" s="12">
        <f t="shared" si="564"/>
        <v>0</v>
      </c>
      <c r="CJ364" s="12">
        <f t="shared" si="564"/>
        <v>0</v>
      </c>
      <c r="CK364" s="12">
        <f t="shared" si="564"/>
        <v>0</v>
      </c>
      <c r="CL364" s="12">
        <f t="shared" si="564"/>
        <v>0</v>
      </c>
      <c r="CM364" s="12">
        <f t="shared" si="564"/>
        <v>0</v>
      </c>
      <c r="CN364" s="12">
        <f t="shared" si="564"/>
        <v>0</v>
      </c>
      <c r="CO364" s="12">
        <f t="shared" si="564"/>
        <v>0</v>
      </c>
      <c r="CP364" s="12">
        <f t="shared" si="564"/>
        <v>0</v>
      </c>
      <c r="CQ364" s="12">
        <f t="shared" si="564"/>
        <v>0</v>
      </c>
      <c r="CR364" s="12">
        <f t="shared" si="564"/>
        <v>0</v>
      </c>
      <c r="CS364" s="12">
        <f t="shared" si="564"/>
        <v>0</v>
      </c>
      <c r="CT364" s="12">
        <f t="shared" si="564"/>
        <v>0</v>
      </c>
      <c r="CU364" s="12">
        <f t="shared" si="564"/>
        <v>0</v>
      </c>
      <c r="CV364" s="12">
        <f t="shared" si="564"/>
        <v>0</v>
      </c>
    </row>
    <row r="365" spans="1:192" s="540" customFormat="1" ht="12.75" outlineLevel="2" x14ac:dyDescent="0.2">
      <c r="A365" s="15"/>
      <c r="B365" s="15"/>
      <c r="C365" s="21"/>
      <c r="D365" s="48"/>
      <c r="E365" s="126" t="str">
        <f t="shared" ref="E365:AJ365" si="565" xml:space="preserve"> E$397</f>
        <v>Standby debt interest - T1 POS</v>
      </c>
      <c r="F365" s="126">
        <f t="shared" si="565"/>
        <v>0</v>
      </c>
      <c r="G365" s="126" t="str">
        <f t="shared" si="565"/>
        <v>$ 000s</v>
      </c>
      <c r="H365" s="126">
        <f t="shared" si="565"/>
        <v>0</v>
      </c>
      <c r="I365" s="126">
        <f t="shared" si="565"/>
        <v>0</v>
      </c>
      <c r="J365" s="126">
        <f t="shared" si="565"/>
        <v>0</v>
      </c>
      <c r="K365" s="126">
        <f t="shared" si="565"/>
        <v>0</v>
      </c>
      <c r="L365" s="126">
        <f t="shared" si="565"/>
        <v>0</v>
      </c>
      <c r="M365" s="126">
        <f t="shared" si="565"/>
        <v>0</v>
      </c>
      <c r="N365" s="126">
        <f t="shared" si="565"/>
        <v>0</v>
      </c>
      <c r="O365" s="126">
        <f t="shared" si="565"/>
        <v>0</v>
      </c>
      <c r="P365" s="126">
        <f t="shared" si="565"/>
        <v>0</v>
      </c>
      <c r="Q365" s="126">
        <f t="shared" si="565"/>
        <v>0</v>
      </c>
      <c r="R365" s="126">
        <f t="shared" si="565"/>
        <v>0</v>
      </c>
      <c r="S365" s="126">
        <f t="shared" si="565"/>
        <v>0</v>
      </c>
      <c r="T365" s="126">
        <f t="shared" si="565"/>
        <v>0</v>
      </c>
      <c r="U365" s="126">
        <f t="shared" si="565"/>
        <v>0</v>
      </c>
      <c r="V365" s="126">
        <f t="shared" si="565"/>
        <v>0</v>
      </c>
      <c r="W365" s="126">
        <f t="shared" si="565"/>
        <v>0</v>
      </c>
      <c r="X365" s="126">
        <f t="shared" si="565"/>
        <v>0</v>
      </c>
      <c r="Y365" s="126">
        <f t="shared" si="565"/>
        <v>0</v>
      </c>
      <c r="Z365" s="126">
        <f t="shared" si="565"/>
        <v>0</v>
      </c>
      <c r="AA365" s="126">
        <f t="shared" si="565"/>
        <v>0</v>
      </c>
      <c r="AB365" s="126">
        <f t="shared" si="565"/>
        <v>0</v>
      </c>
      <c r="AC365" s="126">
        <f t="shared" si="565"/>
        <v>0</v>
      </c>
      <c r="AD365" s="126">
        <f t="shared" si="565"/>
        <v>0</v>
      </c>
      <c r="AE365" s="126">
        <f t="shared" si="565"/>
        <v>0</v>
      </c>
      <c r="AF365" s="126">
        <f t="shared" si="565"/>
        <v>0</v>
      </c>
      <c r="AG365" s="126">
        <f t="shared" si="565"/>
        <v>0</v>
      </c>
      <c r="AH365" s="126">
        <f t="shared" si="565"/>
        <v>0</v>
      </c>
      <c r="AI365" s="126">
        <f t="shared" si="565"/>
        <v>0</v>
      </c>
      <c r="AJ365" s="126">
        <f t="shared" si="565"/>
        <v>0</v>
      </c>
      <c r="AK365" s="126">
        <f t="shared" ref="AK365:BP365" si="566" xml:space="preserve"> AK$397</f>
        <v>0</v>
      </c>
      <c r="AL365" s="126">
        <f t="shared" si="566"/>
        <v>0</v>
      </c>
      <c r="AM365" s="126">
        <f t="shared" si="566"/>
        <v>0</v>
      </c>
      <c r="AN365" s="126">
        <f t="shared" si="566"/>
        <v>0</v>
      </c>
      <c r="AO365" s="126">
        <f t="shared" si="566"/>
        <v>0</v>
      </c>
      <c r="AP365" s="126">
        <f t="shared" si="566"/>
        <v>0</v>
      </c>
      <c r="AQ365" s="126">
        <f t="shared" si="566"/>
        <v>0</v>
      </c>
      <c r="AR365" s="126">
        <f t="shared" si="566"/>
        <v>0</v>
      </c>
      <c r="AS365" s="126">
        <f t="shared" si="566"/>
        <v>0</v>
      </c>
      <c r="AT365" s="126">
        <f t="shared" si="566"/>
        <v>0</v>
      </c>
      <c r="AU365" s="126">
        <f t="shared" si="566"/>
        <v>0</v>
      </c>
      <c r="AV365" s="126">
        <f t="shared" si="566"/>
        <v>0</v>
      </c>
      <c r="AW365" s="126">
        <f t="shared" si="566"/>
        <v>0</v>
      </c>
      <c r="AX365" s="126">
        <f t="shared" si="566"/>
        <v>0</v>
      </c>
      <c r="AY365" s="126">
        <f t="shared" si="566"/>
        <v>0</v>
      </c>
      <c r="AZ365" s="126">
        <f t="shared" si="566"/>
        <v>0</v>
      </c>
      <c r="BA365" s="126">
        <f t="shared" si="566"/>
        <v>0</v>
      </c>
      <c r="BB365" s="126">
        <f t="shared" si="566"/>
        <v>0</v>
      </c>
      <c r="BC365" s="126">
        <f t="shared" si="566"/>
        <v>0</v>
      </c>
      <c r="BD365" s="126">
        <f t="shared" si="566"/>
        <v>0</v>
      </c>
      <c r="BE365" s="126">
        <f t="shared" si="566"/>
        <v>0</v>
      </c>
      <c r="BF365" s="126">
        <f t="shared" si="566"/>
        <v>0</v>
      </c>
      <c r="BG365" s="126">
        <f t="shared" si="566"/>
        <v>0</v>
      </c>
      <c r="BH365" s="126">
        <f t="shared" si="566"/>
        <v>0</v>
      </c>
      <c r="BI365" s="126">
        <f t="shared" si="566"/>
        <v>0</v>
      </c>
      <c r="BJ365" s="126">
        <f t="shared" si="566"/>
        <v>0</v>
      </c>
      <c r="BK365" s="126">
        <f t="shared" si="566"/>
        <v>0</v>
      </c>
      <c r="BL365" s="126">
        <f t="shared" si="566"/>
        <v>0</v>
      </c>
      <c r="BM365" s="126">
        <f t="shared" si="566"/>
        <v>0</v>
      </c>
      <c r="BN365" s="126">
        <f t="shared" si="566"/>
        <v>0</v>
      </c>
      <c r="BO365" s="126">
        <f t="shared" si="566"/>
        <v>0</v>
      </c>
      <c r="BP365" s="126">
        <f t="shared" si="566"/>
        <v>0</v>
      </c>
      <c r="BQ365" s="126">
        <f t="shared" ref="BQ365:CV365" si="567" xml:space="preserve"> BQ$397</f>
        <v>0</v>
      </c>
      <c r="BR365" s="126">
        <f t="shared" si="567"/>
        <v>0</v>
      </c>
      <c r="BS365" s="126">
        <f t="shared" si="567"/>
        <v>0</v>
      </c>
      <c r="BT365" s="126">
        <f t="shared" si="567"/>
        <v>0</v>
      </c>
      <c r="BU365" s="126">
        <f t="shared" si="567"/>
        <v>0</v>
      </c>
      <c r="BV365" s="126">
        <f t="shared" si="567"/>
        <v>0</v>
      </c>
      <c r="BW365" s="126">
        <f t="shared" si="567"/>
        <v>0</v>
      </c>
      <c r="BX365" s="126">
        <f t="shared" si="567"/>
        <v>0</v>
      </c>
      <c r="BY365" s="126">
        <f t="shared" si="567"/>
        <v>0</v>
      </c>
      <c r="BZ365" s="126">
        <f t="shared" si="567"/>
        <v>0</v>
      </c>
      <c r="CA365" s="126">
        <f t="shared" si="567"/>
        <v>0</v>
      </c>
      <c r="CB365" s="126">
        <f t="shared" si="567"/>
        <v>0</v>
      </c>
      <c r="CC365" s="126">
        <f t="shared" si="567"/>
        <v>0</v>
      </c>
      <c r="CD365" s="126">
        <f t="shared" si="567"/>
        <v>0</v>
      </c>
      <c r="CE365" s="126">
        <f t="shared" si="567"/>
        <v>0</v>
      </c>
      <c r="CF365" s="126">
        <f t="shared" si="567"/>
        <v>0</v>
      </c>
      <c r="CG365" s="126">
        <f t="shared" si="567"/>
        <v>0</v>
      </c>
      <c r="CH365" s="126">
        <f t="shared" si="567"/>
        <v>0</v>
      </c>
      <c r="CI365" s="126">
        <f t="shared" si="567"/>
        <v>0</v>
      </c>
      <c r="CJ365" s="126">
        <f t="shared" si="567"/>
        <v>0</v>
      </c>
      <c r="CK365" s="126">
        <f t="shared" si="567"/>
        <v>0</v>
      </c>
      <c r="CL365" s="126">
        <f t="shared" si="567"/>
        <v>0</v>
      </c>
      <c r="CM365" s="126">
        <f t="shared" si="567"/>
        <v>0</v>
      </c>
      <c r="CN365" s="126">
        <f t="shared" si="567"/>
        <v>0</v>
      </c>
      <c r="CO365" s="126">
        <f t="shared" si="567"/>
        <v>0</v>
      </c>
      <c r="CP365" s="126">
        <f t="shared" si="567"/>
        <v>0</v>
      </c>
      <c r="CQ365" s="126">
        <f t="shared" si="567"/>
        <v>0</v>
      </c>
      <c r="CR365" s="126">
        <f t="shared" si="567"/>
        <v>0</v>
      </c>
      <c r="CS365" s="126">
        <f t="shared" si="567"/>
        <v>0</v>
      </c>
      <c r="CT365" s="126">
        <f t="shared" si="567"/>
        <v>0</v>
      </c>
      <c r="CU365" s="126">
        <f t="shared" si="567"/>
        <v>0</v>
      </c>
      <c r="CV365" s="126">
        <f t="shared" si="567"/>
        <v>0</v>
      </c>
    </row>
    <row r="366" spans="1:192" s="498" customFormat="1" ht="12.75" outlineLevel="2" x14ac:dyDescent="0.2">
      <c r="A366" s="15"/>
      <c r="B366" s="15"/>
      <c r="C366" s="21"/>
      <c r="D366" s="48"/>
      <c r="E366" s="126" t="str">
        <f t="shared" ref="E366:AJ366" si="568" xml:space="preserve"> E$381</f>
        <v>Standby debt principal repayment - T1 POS</v>
      </c>
      <c r="F366" s="126">
        <f t="shared" si="568"/>
        <v>0</v>
      </c>
      <c r="G366" s="126" t="str">
        <f t="shared" si="568"/>
        <v>$ 000s</v>
      </c>
      <c r="H366" s="126">
        <f t="shared" si="568"/>
        <v>0</v>
      </c>
      <c r="I366" s="126">
        <f t="shared" si="568"/>
        <v>0</v>
      </c>
      <c r="J366" s="126">
        <f t="shared" si="568"/>
        <v>0</v>
      </c>
      <c r="K366" s="126">
        <f t="shared" si="568"/>
        <v>0</v>
      </c>
      <c r="L366" s="126">
        <f t="shared" si="568"/>
        <v>0</v>
      </c>
      <c r="M366" s="126">
        <f t="shared" si="568"/>
        <v>0</v>
      </c>
      <c r="N366" s="126">
        <f t="shared" si="568"/>
        <v>0</v>
      </c>
      <c r="O366" s="126">
        <f t="shared" si="568"/>
        <v>0</v>
      </c>
      <c r="P366" s="126">
        <f t="shared" si="568"/>
        <v>0</v>
      </c>
      <c r="Q366" s="126">
        <f t="shared" si="568"/>
        <v>0</v>
      </c>
      <c r="R366" s="126">
        <f t="shared" si="568"/>
        <v>0</v>
      </c>
      <c r="S366" s="126">
        <f t="shared" si="568"/>
        <v>0</v>
      </c>
      <c r="T366" s="126">
        <f t="shared" si="568"/>
        <v>0</v>
      </c>
      <c r="U366" s="126">
        <f t="shared" si="568"/>
        <v>0</v>
      </c>
      <c r="V366" s="126">
        <f t="shared" si="568"/>
        <v>0</v>
      </c>
      <c r="W366" s="126">
        <f t="shared" si="568"/>
        <v>0</v>
      </c>
      <c r="X366" s="126">
        <f t="shared" si="568"/>
        <v>0</v>
      </c>
      <c r="Y366" s="126">
        <f t="shared" si="568"/>
        <v>0</v>
      </c>
      <c r="Z366" s="126">
        <f t="shared" si="568"/>
        <v>0</v>
      </c>
      <c r="AA366" s="126">
        <f t="shared" si="568"/>
        <v>0</v>
      </c>
      <c r="AB366" s="126">
        <f t="shared" si="568"/>
        <v>0</v>
      </c>
      <c r="AC366" s="126">
        <f t="shared" si="568"/>
        <v>0</v>
      </c>
      <c r="AD366" s="126">
        <f t="shared" si="568"/>
        <v>0</v>
      </c>
      <c r="AE366" s="126">
        <f t="shared" si="568"/>
        <v>0</v>
      </c>
      <c r="AF366" s="126">
        <f t="shared" si="568"/>
        <v>0</v>
      </c>
      <c r="AG366" s="126">
        <f t="shared" si="568"/>
        <v>0</v>
      </c>
      <c r="AH366" s="126">
        <f t="shared" si="568"/>
        <v>0</v>
      </c>
      <c r="AI366" s="126">
        <f t="shared" si="568"/>
        <v>0</v>
      </c>
      <c r="AJ366" s="126">
        <f t="shared" si="568"/>
        <v>0</v>
      </c>
      <c r="AK366" s="126">
        <f t="shared" ref="AK366:BP366" si="569" xml:space="preserve"> AK$381</f>
        <v>0</v>
      </c>
      <c r="AL366" s="126">
        <f t="shared" si="569"/>
        <v>0</v>
      </c>
      <c r="AM366" s="126">
        <f t="shared" si="569"/>
        <v>0</v>
      </c>
      <c r="AN366" s="126">
        <f t="shared" si="569"/>
        <v>0</v>
      </c>
      <c r="AO366" s="126">
        <f t="shared" si="569"/>
        <v>0</v>
      </c>
      <c r="AP366" s="126">
        <f t="shared" si="569"/>
        <v>0</v>
      </c>
      <c r="AQ366" s="126">
        <f t="shared" si="569"/>
        <v>0</v>
      </c>
      <c r="AR366" s="126">
        <f t="shared" si="569"/>
        <v>0</v>
      </c>
      <c r="AS366" s="126">
        <f t="shared" si="569"/>
        <v>0</v>
      </c>
      <c r="AT366" s="126">
        <f t="shared" si="569"/>
        <v>0</v>
      </c>
      <c r="AU366" s="126">
        <f t="shared" si="569"/>
        <v>0</v>
      </c>
      <c r="AV366" s="126">
        <f t="shared" si="569"/>
        <v>0</v>
      </c>
      <c r="AW366" s="126">
        <f t="shared" si="569"/>
        <v>0</v>
      </c>
      <c r="AX366" s="126">
        <f t="shared" si="569"/>
        <v>0</v>
      </c>
      <c r="AY366" s="126">
        <f t="shared" si="569"/>
        <v>0</v>
      </c>
      <c r="AZ366" s="126">
        <f t="shared" si="569"/>
        <v>0</v>
      </c>
      <c r="BA366" s="126">
        <f t="shared" si="569"/>
        <v>0</v>
      </c>
      <c r="BB366" s="126">
        <f t="shared" si="569"/>
        <v>0</v>
      </c>
      <c r="BC366" s="126">
        <f t="shared" si="569"/>
        <v>0</v>
      </c>
      <c r="BD366" s="126">
        <f t="shared" si="569"/>
        <v>0</v>
      </c>
      <c r="BE366" s="126">
        <f t="shared" si="569"/>
        <v>0</v>
      </c>
      <c r="BF366" s="126">
        <f t="shared" si="569"/>
        <v>0</v>
      </c>
      <c r="BG366" s="126">
        <f t="shared" si="569"/>
        <v>0</v>
      </c>
      <c r="BH366" s="126">
        <f t="shared" si="569"/>
        <v>0</v>
      </c>
      <c r="BI366" s="126">
        <f t="shared" si="569"/>
        <v>0</v>
      </c>
      <c r="BJ366" s="126">
        <f t="shared" si="569"/>
        <v>0</v>
      </c>
      <c r="BK366" s="126">
        <f t="shared" si="569"/>
        <v>0</v>
      </c>
      <c r="BL366" s="126">
        <f t="shared" si="569"/>
        <v>0</v>
      </c>
      <c r="BM366" s="126">
        <f t="shared" si="569"/>
        <v>0</v>
      </c>
      <c r="BN366" s="126">
        <f t="shared" si="569"/>
        <v>0</v>
      </c>
      <c r="BO366" s="126">
        <f t="shared" si="569"/>
        <v>0</v>
      </c>
      <c r="BP366" s="126">
        <f t="shared" si="569"/>
        <v>0</v>
      </c>
      <c r="BQ366" s="126">
        <f t="shared" ref="BQ366:CV366" si="570" xml:space="preserve"> BQ$381</f>
        <v>0</v>
      </c>
      <c r="BR366" s="126">
        <f t="shared" si="570"/>
        <v>0</v>
      </c>
      <c r="BS366" s="126">
        <f t="shared" si="570"/>
        <v>0</v>
      </c>
      <c r="BT366" s="126">
        <f t="shared" si="570"/>
        <v>0</v>
      </c>
      <c r="BU366" s="126">
        <f t="shared" si="570"/>
        <v>0</v>
      </c>
      <c r="BV366" s="126">
        <f t="shared" si="570"/>
        <v>0</v>
      </c>
      <c r="BW366" s="126">
        <f t="shared" si="570"/>
        <v>0</v>
      </c>
      <c r="BX366" s="126">
        <f t="shared" si="570"/>
        <v>0</v>
      </c>
      <c r="BY366" s="126">
        <f t="shared" si="570"/>
        <v>0</v>
      </c>
      <c r="BZ366" s="126">
        <f t="shared" si="570"/>
        <v>0</v>
      </c>
      <c r="CA366" s="126">
        <f t="shared" si="570"/>
        <v>0</v>
      </c>
      <c r="CB366" s="126">
        <f t="shared" si="570"/>
        <v>0</v>
      </c>
      <c r="CC366" s="126">
        <f t="shared" si="570"/>
        <v>0</v>
      </c>
      <c r="CD366" s="126">
        <f t="shared" si="570"/>
        <v>0</v>
      </c>
      <c r="CE366" s="126">
        <f t="shared" si="570"/>
        <v>0</v>
      </c>
      <c r="CF366" s="126">
        <f t="shared" si="570"/>
        <v>0</v>
      </c>
      <c r="CG366" s="126">
        <f t="shared" si="570"/>
        <v>0</v>
      </c>
      <c r="CH366" s="126">
        <f t="shared" si="570"/>
        <v>0</v>
      </c>
      <c r="CI366" s="126">
        <f t="shared" si="570"/>
        <v>0</v>
      </c>
      <c r="CJ366" s="126">
        <f t="shared" si="570"/>
        <v>0</v>
      </c>
      <c r="CK366" s="126">
        <f t="shared" si="570"/>
        <v>0</v>
      </c>
      <c r="CL366" s="126">
        <f t="shared" si="570"/>
        <v>0</v>
      </c>
      <c r="CM366" s="126">
        <f t="shared" si="570"/>
        <v>0</v>
      </c>
      <c r="CN366" s="126">
        <f t="shared" si="570"/>
        <v>0</v>
      </c>
      <c r="CO366" s="126">
        <f t="shared" si="570"/>
        <v>0</v>
      </c>
      <c r="CP366" s="126">
        <f t="shared" si="570"/>
        <v>0</v>
      </c>
      <c r="CQ366" s="126">
        <f t="shared" si="570"/>
        <v>0</v>
      </c>
      <c r="CR366" s="126">
        <f t="shared" si="570"/>
        <v>0</v>
      </c>
      <c r="CS366" s="126">
        <f t="shared" si="570"/>
        <v>0</v>
      </c>
      <c r="CT366" s="126">
        <f t="shared" si="570"/>
        <v>0</v>
      </c>
      <c r="CU366" s="126">
        <f t="shared" si="570"/>
        <v>0</v>
      </c>
      <c r="CV366" s="126">
        <f t="shared" si="570"/>
        <v>0</v>
      </c>
    </row>
    <row r="367" spans="1:192" s="498" customFormat="1" ht="12.75" outlineLevel="2" x14ac:dyDescent="0.2">
      <c r="A367" s="15"/>
      <c r="B367" s="15"/>
      <c r="C367" s="21"/>
      <c r="D367" s="48"/>
      <c r="E367" s="126" t="str">
        <f t="shared" ref="E367:AJ367" si="571" xml:space="preserve"> E$429</f>
        <v>Standby debt interest - T2 POS</v>
      </c>
      <c r="F367" s="126">
        <f t="shared" si="571"/>
        <v>0</v>
      </c>
      <c r="G367" s="126" t="str">
        <f t="shared" si="571"/>
        <v>$ 000s</v>
      </c>
      <c r="H367" s="126">
        <f t="shared" si="571"/>
        <v>0</v>
      </c>
      <c r="I367" s="126">
        <f t="shared" si="571"/>
        <v>0</v>
      </c>
      <c r="J367" s="126">
        <f t="shared" si="571"/>
        <v>0</v>
      </c>
      <c r="K367" s="126">
        <f t="shared" si="571"/>
        <v>0</v>
      </c>
      <c r="L367" s="126">
        <f t="shared" si="571"/>
        <v>0</v>
      </c>
      <c r="M367" s="126">
        <f t="shared" si="571"/>
        <v>0</v>
      </c>
      <c r="N367" s="126">
        <f t="shared" si="571"/>
        <v>0</v>
      </c>
      <c r="O367" s="126">
        <f t="shared" si="571"/>
        <v>0</v>
      </c>
      <c r="P367" s="126">
        <f t="shared" si="571"/>
        <v>0</v>
      </c>
      <c r="Q367" s="126">
        <f t="shared" si="571"/>
        <v>0</v>
      </c>
      <c r="R367" s="126">
        <f t="shared" si="571"/>
        <v>0</v>
      </c>
      <c r="S367" s="126">
        <f t="shared" si="571"/>
        <v>0</v>
      </c>
      <c r="T367" s="126">
        <f t="shared" si="571"/>
        <v>0</v>
      </c>
      <c r="U367" s="126">
        <f t="shared" si="571"/>
        <v>0</v>
      </c>
      <c r="V367" s="126">
        <f t="shared" si="571"/>
        <v>0</v>
      </c>
      <c r="W367" s="126">
        <f t="shared" si="571"/>
        <v>0</v>
      </c>
      <c r="X367" s="126">
        <f t="shared" si="571"/>
        <v>0</v>
      </c>
      <c r="Y367" s="126">
        <f t="shared" si="571"/>
        <v>0</v>
      </c>
      <c r="Z367" s="126">
        <f t="shared" si="571"/>
        <v>0</v>
      </c>
      <c r="AA367" s="126">
        <f t="shared" si="571"/>
        <v>0</v>
      </c>
      <c r="AB367" s="126">
        <f t="shared" si="571"/>
        <v>0</v>
      </c>
      <c r="AC367" s="126">
        <f t="shared" si="571"/>
        <v>0</v>
      </c>
      <c r="AD367" s="126">
        <f t="shared" si="571"/>
        <v>0</v>
      </c>
      <c r="AE367" s="126">
        <f t="shared" si="571"/>
        <v>0</v>
      </c>
      <c r="AF367" s="126">
        <f t="shared" si="571"/>
        <v>0</v>
      </c>
      <c r="AG367" s="126">
        <f t="shared" si="571"/>
        <v>0</v>
      </c>
      <c r="AH367" s="126">
        <f t="shared" si="571"/>
        <v>0</v>
      </c>
      <c r="AI367" s="126">
        <f t="shared" si="571"/>
        <v>0</v>
      </c>
      <c r="AJ367" s="126">
        <f t="shared" si="571"/>
        <v>0</v>
      </c>
      <c r="AK367" s="126">
        <f t="shared" ref="AK367:BP367" si="572" xml:space="preserve"> AK$429</f>
        <v>0</v>
      </c>
      <c r="AL367" s="126">
        <f t="shared" si="572"/>
        <v>0</v>
      </c>
      <c r="AM367" s="126">
        <f t="shared" si="572"/>
        <v>0</v>
      </c>
      <c r="AN367" s="126">
        <f t="shared" si="572"/>
        <v>0</v>
      </c>
      <c r="AO367" s="126">
        <f t="shared" si="572"/>
        <v>0</v>
      </c>
      <c r="AP367" s="126">
        <f t="shared" si="572"/>
        <v>0</v>
      </c>
      <c r="AQ367" s="126">
        <f t="shared" si="572"/>
        <v>0</v>
      </c>
      <c r="AR367" s="126">
        <f t="shared" si="572"/>
        <v>0</v>
      </c>
      <c r="AS367" s="126">
        <f t="shared" si="572"/>
        <v>0</v>
      </c>
      <c r="AT367" s="126">
        <f t="shared" si="572"/>
        <v>0</v>
      </c>
      <c r="AU367" s="126">
        <f t="shared" si="572"/>
        <v>0</v>
      </c>
      <c r="AV367" s="126">
        <f t="shared" si="572"/>
        <v>0</v>
      </c>
      <c r="AW367" s="126">
        <f t="shared" si="572"/>
        <v>0</v>
      </c>
      <c r="AX367" s="126">
        <f t="shared" si="572"/>
        <v>0</v>
      </c>
      <c r="AY367" s="126">
        <f t="shared" si="572"/>
        <v>0</v>
      </c>
      <c r="AZ367" s="126">
        <f t="shared" si="572"/>
        <v>0</v>
      </c>
      <c r="BA367" s="126">
        <f t="shared" si="572"/>
        <v>0</v>
      </c>
      <c r="BB367" s="126">
        <f t="shared" si="572"/>
        <v>0</v>
      </c>
      <c r="BC367" s="126">
        <f t="shared" si="572"/>
        <v>0</v>
      </c>
      <c r="BD367" s="126">
        <f t="shared" si="572"/>
        <v>0</v>
      </c>
      <c r="BE367" s="126">
        <f t="shared" si="572"/>
        <v>0</v>
      </c>
      <c r="BF367" s="126">
        <f t="shared" si="572"/>
        <v>0</v>
      </c>
      <c r="BG367" s="126">
        <f t="shared" si="572"/>
        <v>0</v>
      </c>
      <c r="BH367" s="126">
        <f t="shared" si="572"/>
        <v>0</v>
      </c>
      <c r="BI367" s="126">
        <f t="shared" si="572"/>
        <v>0</v>
      </c>
      <c r="BJ367" s="126">
        <f t="shared" si="572"/>
        <v>0</v>
      </c>
      <c r="BK367" s="126">
        <f t="shared" si="572"/>
        <v>0</v>
      </c>
      <c r="BL367" s="126">
        <f t="shared" si="572"/>
        <v>0</v>
      </c>
      <c r="BM367" s="126">
        <f t="shared" si="572"/>
        <v>0</v>
      </c>
      <c r="BN367" s="126">
        <f t="shared" si="572"/>
        <v>0</v>
      </c>
      <c r="BO367" s="126">
        <f t="shared" si="572"/>
        <v>0</v>
      </c>
      <c r="BP367" s="126">
        <f t="shared" si="572"/>
        <v>0</v>
      </c>
      <c r="BQ367" s="126">
        <f t="shared" ref="BQ367:CV367" si="573" xml:space="preserve"> BQ$429</f>
        <v>0</v>
      </c>
      <c r="BR367" s="126">
        <f t="shared" si="573"/>
        <v>0</v>
      </c>
      <c r="BS367" s="126">
        <f t="shared" si="573"/>
        <v>0</v>
      </c>
      <c r="BT367" s="126">
        <f t="shared" si="573"/>
        <v>0</v>
      </c>
      <c r="BU367" s="126">
        <f t="shared" si="573"/>
        <v>0</v>
      </c>
      <c r="BV367" s="126">
        <f t="shared" si="573"/>
        <v>0</v>
      </c>
      <c r="BW367" s="126">
        <f t="shared" si="573"/>
        <v>0</v>
      </c>
      <c r="BX367" s="126">
        <f t="shared" si="573"/>
        <v>0</v>
      </c>
      <c r="BY367" s="126">
        <f t="shared" si="573"/>
        <v>0</v>
      </c>
      <c r="BZ367" s="126">
        <f t="shared" si="573"/>
        <v>0</v>
      </c>
      <c r="CA367" s="126">
        <f t="shared" si="573"/>
        <v>0</v>
      </c>
      <c r="CB367" s="126">
        <f t="shared" si="573"/>
        <v>0</v>
      </c>
      <c r="CC367" s="126">
        <f t="shared" si="573"/>
        <v>0</v>
      </c>
      <c r="CD367" s="126">
        <f t="shared" si="573"/>
        <v>0</v>
      </c>
      <c r="CE367" s="126">
        <f t="shared" si="573"/>
        <v>0</v>
      </c>
      <c r="CF367" s="126">
        <f t="shared" si="573"/>
        <v>0</v>
      </c>
      <c r="CG367" s="126">
        <f t="shared" si="573"/>
        <v>0</v>
      </c>
      <c r="CH367" s="126">
        <f t="shared" si="573"/>
        <v>0</v>
      </c>
      <c r="CI367" s="126">
        <f t="shared" si="573"/>
        <v>0</v>
      </c>
      <c r="CJ367" s="126">
        <f t="shared" si="573"/>
        <v>0</v>
      </c>
      <c r="CK367" s="126">
        <f t="shared" si="573"/>
        <v>0</v>
      </c>
      <c r="CL367" s="126">
        <f t="shared" si="573"/>
        <v>0</v>
      </c>
      <c r="CM367" s="126">
        <f t="shared" si="573"/>
        <v>0</v>
      </c>
      <c r="CN367" s="126">
        <f t="shared" si="573"/>
        <v>0</v>
      </c>
      <c r="CO367" s="126">
        <f t="shared" si="573"/>
        <v>0</v>
      </c>
      <c r="CP367" s="126">
        <f t="shared" si="573"/>
        <v>0</v>
      </c>
      <c r="CQ367" s="126">
        <f t="shared" si="573"/>
        <v>0</v>
      </c>
      <c r="CR367" s="126">
        <f t="shared" si="573"/>
        <v>0</v>
      </c>
      <c r="CS367" s="126">
        <f t="shared" si="573"/>
        <v>0</v>
      </c>
      <c r="CT367" s="126">
        <f t="shared" si="573"/>
        <v>0</v>
      </c>
      <c r="CU367" s="126">
        <f t="shared" si="573"/>
        <v>0</v>
      </c>
      <c r="CV367" s="126">
        <f t="shared" si="573"/>
        <v>0</v>
      </c>
    </row>
    <row r="368" spans="1:192" s="498" customFormat="1" ht="12.75" outlineLevel="2" x14ac:dyDescent="0.2">
      <c r="A368" s="15"/>
      <c r="B368" s="15"/>
      <c r="C368" s="21"/>
      <c r="D368" s="48"/>
      <c r="E368" s="126" t="str">
        <f t="shared" ref="E368:AJ368" si="574" xml:space="preserve"> E$413</f>
        <v>Standby debt principal repayment - T2 POS</v>
      </c>
      <c r="F368" s="126">
        <f t="shared" si="574"/>
        <v>0</v>
      </c>
      <c r="G368" s="126" t="str">
        <f t="shared" si="574"/>
        <v>$ 000s</v>
      </c>
      <c r="H368" s="126">
        <f t="shared" si="574"/>
        <v>0</v>
      </c>
      <c r="I368" s="126">
        <f t="shared" si="574"/>
        <v>0</v>
      </c>
      <c r="J368" s="126">
        <f t="shared" si="574"/>
        <v>0</v>
      </c>
      <c r="K368" s="126">
        <f t="shared" si="574"/>
        <v>0</v>
      </c>
      <c r="L368" s="126">
        <f t="shared" si="574"/>
        <v>0</v>
      </c>
      <c r="M368" s="126">
        <f t="shared" si="574"/>
        <v>0</v>
      </c>
      <c r="N368" s="126">
        <f t="shared" si="574"/>
        <v>0</v>
      </c>
      <c r="O368" s="126">
        <f t="shared" si="574"/>
        <v>0</v>
      </c>
      <c r="P368" s="126">
        <f t="shared" si="574"/>
        <v>0</v>
      </c>
      <c r="Q368" s="126">
        <f t="shared" si="574"/>
        <v>0</v>
      </c>
      <c r="R368" s="126">
        <f t="shared" si="574"/>
        <v>0</v>
      </c>
      <c r="S368" s="126">
        <f t="shared" si="574"/>
        <v>0</v>
      </c>
      <c r="T368" s="126">
        <f t="shared" si="574"/>
        <v>0</v>
      </c>
      <c r="U368" s="126">
        <f t="shared" si="574"/>
        <v>0</v>
      </c>
      <c r="V368" s="126">
        <f t="shared" si="574"/>
        <v>0</v>
      </c>
      <c r="W368" s="126">
        <f t="shared" si="574"/>
        <v>0</v>
      </c>
      <c r="X368" s="126">
        <f t="shared" si="574"/>
        <v>0</v>
      </c>
      <c r="Y368" s="126">
        <f t="shared" si="574"/>
        <v>0</v>
      </c>
      <c r="Z368" s="126">
        <f t="shared" si="574"/>
        <v>0</v>
      </c>
      <c r="AA368" s="126">
        <f t="shared" si="574"/>
        <v>0</v>
      </c>
      <c r="AB368" s="126">
        <f t="shared" si="574"/>
        <v>0</v>
      </c>
      <c r="AC368" s="126">
        <f t="shared" si="574"/>
        <v>0</v>
      </c>
      <c r="AD368" s="126">
        <f t="shared" si="574"/>
        <v>0</v>
      </c>
      <c r="AE368" s="126">
        <f t="shared" si="574"/>
        <v>0</v>
      </c>
      <c r="AF368" s="126">
        <f t="shared" si="574"/>
        <v>0</v>
      </c>
      <c r="AG368" s="126">
        <f t="shared" si="574"/>
        <v>0</v>
      </c>
      <c r="AH368" s="126">
        <f t="shared" si="574"/>
        <v>0</v>
      </c>
      <c r="AI368" s="126">
        <f t="shared" si="574"/>
        <v>0</v>
      </c>
      <c r="AJ368" s="126">
        <f t="shared" si="574"/>
        <v>0</v>
      </c>
      <c r="AK368" s="126">
        <f t="shared" ref="AK368:BP368" si="575" xml:space="preserve"> AK$413</f>
        <v>0</v>
      </c>
      <c r="AL368" s="126">
        <f t="shared" si="575"/>
        <v>0</v>
      </c>
      <c r="AM368" s="126">
        <f t="shared" si="575"/>
        <v>0</v>
      </c>
      <c r="AN368" s="126">
        <f t="shared" si="575"/>
        <v>0</v>
      </c>
      <c r="AO368" s="126">
        <f t="shared" si="575"/>
        <v>0</v>
      </c>
      <c r="AP368" s="126">
        <f t="shared" si="575"/>
        <v>0</v>
      </c>
      <c r="AQ368" s="126">
        <f t="shared" si="575"/>
        <v>0</v>
      </c>
      <c r="AR368" s="126">
        <f t="shared" si="575"/>
        <v>0</v>
      </c>
      <c r="AS368" s="126">
        <f t="shared" si="575"/>
        <v>0</v>
      </c>
      <c r="AT368" s="126">
        <f t="shared" si="575"/>
        <v>0</v>
      </c>
      <c r="AU368" s="126">
        <f t="shared" si="575"/>
        <v>0</v>
      </c>
      <c r="AV368" s="126">
        <f t="shared" si="575"/>
        <v>0</v>
      </c>
      <c r="AW368" s="126">
        <f t="shared" si="575"/>
        <v>0</v>
      </c>
      <c r="AX368" s="126">
        <f t="shared" si="575"/>
        <v>0</v>
      </c>
      <c r="AY368" s="126">
        <f t="shared" si="575"/>
        <v>0</v>
      </c>
      <c r="AZ368" s="126">
        <f t="shared" si="575"/>
        <v>0</v>
      </c>
      <c r="BA368" s="126">
        <f t="shared" si="575"/>
        <v>0</v>
      </c>
      <c r="BB368" s="126">
        <f t="shared" si="575"/>
        <v>0</v>
      </c>
      <c r="BC368" s="126">
        <f t="shared" si="575"/>
        <v>0</v>
      </c>
      <c r="BD368" s="126">
        <f t="shared" si="575"/>
        <v>0</v>
      </c>
      <c r="BE368" s="126">
        <f t="shared" si="575"/>
        <v>0</v>
      </c>
      <c r="BF368" s="126">
        <f t="shared" si="575"/>
        <v>0</v>
      </c>
      <c r="BG368" s="126">
        <f t="shared" si="575"/>
        <v>0</v>
      </c>
      <c r="BH368" s="126">
        <f t="shared" si="575"/>
        <v>0</v>
      </c>
      <c r="BI368" s="126">
        <f t="shared" si="575"/>
        <v>0</v>
      </c>
      <c r="BJ368" s="126">
        <f t="shared" si="575"/>
        <v>0</v>
      </c>
      <c r="BK368" s="126">
        <f t="shared" si="575"/>
        <v>0</v>
      </c>
      <c r="BL368" s="126">
        <f t="shared" si="575"/>
        <v>0</v>
      </c>
      <c r="BM368" s="126">
        <f t="shared" si="575"/>
        <v>0</v>
      </c>
      <c r="BN368" s="126">
        <f t="shared" si="575"/>
        <v>0</v>
      </c>
      <c r="BO368" s="126">
        <f t="shared" si="575"/>
        <v>0</v>
      </c>
      <c r="BP368" s="126">
        <f t="shared" si="575"/>
        <v>0</v>
      </c>
      <c r="BQ368" s="126">
        <f t="shared" ref="BQ368:CV368" si="576" xml:space="preserve"> BQ$413</f>
        <v>0</v>
      </c>
      <c r="BR368" s="126">
        <f t="shared" si="576"/>
        <v>0</v>
      </c>
      <c r="BS368" s="126">
        <f t="shared" si="576"/>
        <v>0</v>
      </c>
      <c r="BT368" s="126">
        <f t="shared" si="576"/>
        <v>0</v>
      </c>
      <c r="BU368" s="126">
        <f t="shared" si="576"/>
        <v>0</v>
      </c>
      <c r="BV368" s="126">
        <f t="shared" si="576"/>
        <v>0</v>
      </c>
      <c r="BW368" s="126">
        <f t="shared" si="576"/>
        <v>0</v>
      </c>
      <c r="BX368" s="126">
        <f t="shared" si="576"/>
        <v>0</v>
      </c>
      <c r="BY368" s="126">
        <f t="shared" si="576"/>
        <v>0</v>
      </c>
      <c r="BZ368" s="126">
        <f t="shared" si="576"/>
        <v>0</v>
      </c>
      <c r="CA368" s="126">
        <f t="shared" si="576"/>
        <v>0</v>
      </c>
      <c r="CB368" s="126">
        <f t="shared" si="576"/>
        <v>0</v>
      </c>
      <c r="CC368" s="126">
        <f t="shared" si="576"/>
        <v>0</v>
      </c>
      <c r="CD368" s="126">
        <f t="shared" si="576"/>
        <v>0</v>
      </c>
      <c r="CE368" s="126">
        <f t="shared" si="576"/>
        <v>0</v>
      </c>
      <c r="CF368" s="126">
        <f t="shared" si="576"/>
        <v>0</v>
      </c>
      <c r="CG368" s="126">
        <f t="shared" si="576"/>
        <v>0</v>
      </c>
      <c r="CH368" s="126">
        <f t="shared" si="576"/>
        <v>0</v>
      </c>
      <c r="CI368" s="126">
        <f t="shared" si="576"/>
        <v>0</v>
      </c>
      <c r="CJ368" s="126">
        <f t="shared" si="576"/>
        <v>0</v>
      </c>
      <c r="CK368" s="126">
        <f t="shared" si="576"/>
        <v>0</v>
      </c>
      <c r="CL368" s="126">
        <f t="shared" si="576"/>
        <v>0</v>
      </c>
      <c r="CM368" s="126">
        <f t="shared" si="576"/>
        <v>0</v>
      </c>
      <c r="CN368" s="126">
        <f t="shared" si="576"/>
        <v>0</v>
      </c>
      <c r="CO368" s="126">
        <f t="shared" si="576"/>
        <v>0</v>
      </c>
      <c r="CP368" s="126">
        <f t="shared" si="576"/>
        <v>0</v>
      </c>
      <c r="CQ368" s="126">
        <f t="shared" si="576"/>
        <v>0</v>
      </c>
      <c r="CR368" s="126">
        <f t="shared" si="576"/>
        <v>0</v>
      </c>
      <c r="CS368" s="126">
        <f t="shared" si="576"/>
        <v>0</v>
      </c>
      <c r="CT368" s="126">
        <f t="shared" si="576"/>
        <v>0</v>
      </c>
      <c r="CU368" s="126">
        <f t="shared" si="576"/>
        <v>0</v>
      </c>
      <c r="CV368" s="126">
        <f t="shared" si="576"/>
        <v>0</v>
      </c>
    </row>
    <row r="369" spans="1:100" s="188" customFormat="1" ht="12.75" outlineLevel="2" x14ac:dyDescent="0.2">
      <c r="A369" s="141"/>
      <c r="B369" s="141"/>
      <c r="C369" s="142"/>
      <c r="D369" s="143"/>
      <c r="E369" s="496" t="s">
        <v>416</v>
      </c>
      <c r="F369" s="496"/>
      <c r="G369" s="496" t="str">
        <f xml:space="preserve"> SMU</f>
        <v>$ 000s</v>
      </c>
      <c r="H369" s="496">
        <f xml:space="preserve"> SUM(J369:CV369)</f>
        <v>360041.89848376269</v>
      </c>
      <c r="I369" s="497"/>
      <c r="J369" s="496">
        <f t="shared" ref="J369:AO369" si="577">SUM(J361:J368)</f>
        <v>0</v>
      </c>
      <c r="K369" s="496">
        <f t="shared" si="577"/>
        <v>0</v>
      </c>
      <c r="L369" s="496">
        <f t="shared" si="577"/>
        <v>0</v>
      </c>
      <c r="M369" s="496">
        <f t="shared" si="577"/>
        <v>0</v>
      </c>
      <c r="N369" s="496">
        <f t="shared" si="577"/>
        <v>0</v>
      </c>
      <c r="O369" s="496">
        <f t="shared" si="577"/>
        <v>12686.671356945051</v>
      </c>
      <c r="P369" s="496">
        <f t="shared" si="577"/>
        <v>11219.578313619157</v>
      </c>
      <c r="Q369" s="496">
        <f t="shared" si="577"/>
        <v>11246.683026259163</v>
      </c>
      <c r="R369" s="496">
        <f t="shared" si="577"/>
        <v>11134.906831418644</v>
      </c>
      <c r="S369" s="496">
        <f t="shared" si="577"/>
        <v>11160.497290778691</v>
      </c>
      <c r="T369" s="496">
        <f t="shared" si="577"/>
        <v>11049.147667919469</v>
      </c>
      <c r="U369" s="496">
        <f t="shared" si="577"/>
        <v>11073.197450820346</v>
      </c>
      <c r="V369" s="496">
        <f t="shared" si="577"/>
        <v>10977.313489020877</v>
      </c>
      <c r="W369" s="496">
        <f t="shared" si="577"/>
        <v>10969.723974284556</v>
      </c>
      <c r="X369" s="496">
        <f t="shared" si="577"/>
        <v>10874.27318110882</v>
      </c>
      <c r="Y369" s="496">
        <f t="shared" si="577"/>
        <v>10895.160171361602</v>
      </c>
      <c r="Z369" s="496">
        <f t="shared" si="577"/>
        <v>10785.110133328311</v>
      </c>
      <c r="AA369" s="496">
        <f t="shared" si="577"/>
        <v>10804.373888164411</v>
      </c>
      <c r="AB369" s="496">
        <f t="shared" si="577"/>
        <v>10694.76392796511</v>
      </c>
      <c r="AC369" s="496">
        <f t="shared" si="577"/>
        <v>10712.37579856183</v>
      </c>
      <c r="AD369" s="496">
        <f t="shared" si="577"/>
        <v>10617.752823814142</v>
      </c>
      <c r="AE369" s="496">
        <f t="shared" si="577"/>
        <v>10604.596909622556</v>
      </c>
      <c r="AF369" s="496">
        <f t="shared" si="577"/>
        <v>10510.421245766829</v>
      </c>
      <c r="AG369" s="496">
        <f t="shared" si="577"/>
        <v>10524.641040765775</v>
      </c>
      <c r="AH369" s="496">
        <f t="shared" si="577"/>
        <v>10416.373099274493</v>
      </c>
      <c r="AI369" s="496">
        <f t="shared" si="577"/>
        <v>10428.851504537852</v>
      </c>
      <c r="AJ369" s="496">
        <f t="shared" si="577"/>
        <v>10321.038445702476</v>
      </c>
      <c r="AK369" s="496">
        <f t="shared" si="577"/>
        <v>10331.74438166013</v>
      </c>
      <c r="AL369" s="496">
        <f t="shared" si="577"/>
        <v>10238.413866724009</v>
      </c>
      <c r="AM369" s="496">
        <f t="shared" si="577"/>
        <v>10219.268154047048</v>
      </c>
      <c r="AN369" s="496">
        <f t="shared" si="577"/>
        <v>10126.400443477962</v>
      </c>
      <c r="AO369" s="496">
        <f t="shared" si="577"/>
        <v>10133.465715349392</v>
      </c>
      <c r="AP369" s="496">
        <f t="shared" ref="AP369:BU369" si="578">SUM(AP361:AP368)</f>
        <v>10027.041163247522</v>
      </c>
      <c r="AQ369" s="496">
        <f t="shared" si="578"/>
        <v>10032.236926693096</v>
      </c>
      <c r="AR369" s="496">
        <f t="shared" si="578"/>
        <v>9926.2834676298662</v>
      </c>
      <c r="AS369" s="496">
        <f t="shared" si="578"/>
        <v>9929.5775194771086</v>
      </c>
      <c r="AT369" s="496">
        <f t="shared" si="578"/>
        <v>9837.5746264223908</v>
      </c>
      <c r="AU369" s="496">
        <f t="shared" si="578"/>
        <v>9811.9812368171188</v>
      </c>
      <c r="AV369" s="496">
        <f t="shared" si="578"/>
        <v>9720.4606172373533</v>
      </c>
      <c r="AW369" s="496">
        <f t="shared" si="578"/>
        <v>-2.024773110608092E-4</v>
      </c>
      <c r="AX369" s="496">
        <f t="shared" si="578"/>
        <v>-1.9917605055438296E-4</v>
      </c>
      <c r="AY369" s="496">
        <f t="shared" si="578"/>
        <v>-2.024773110608092E-4</v>
      </c>
      <c r="AZ369" s="496">
        <f t="shared" si="578"/>
        <v>-1.9917605055438296E-4</v>
      </c>
      <c r="BA369" s="496">
        <f t="shared" si="578"/>
        <v>-2.024773110608092E-4</v>
      </c>
      <c r="BB369" s="496">
        <f t="shared" si="578"/>
        <v>-2.0027647072319173E-4</v>
      </c>
      <c r="BC369" s="496">
        <f t="shared" si="578"/>
        <v>0</v>
      </c>
      <c r="BD369" s="496">
        <f t="shared" si="578"/>
        <v>0</v>
      </c>
      <c r="BE369" s="496">
        <f t="shared" si="578"/>
        <v>0</v>
      </c>
      <c r="BF369" s="496">
        <f t="shared" si="578"/>
        <v>0</v>
      </c>
      <c r="BG369" s="496">
        <f t="shared" si="578"/>
        <v>0</v>
      </c>
      <c r="BH369" s="496">
        <f t="shared" si="578"/>
        <v>0</v>
      </c>
      <c r="BI369" s="496">
        <f t="shared" si="578"/>
        <v>0</v>
      </c>
      <c r="BJ369" s="496">
        <f t="shared" si="578"/>
        <v>0</v>
      </c>
      <c r="BK369" s="496">
        <f t="shared" si="578"/>
        <v>0</v>
      </c>
      <c r="BL369" s="496">
        <f t="shared" si="578"/>
        <v>0</v>
      </c>
      <c r="BM369" s="496">
        <f t="shared" si="578"/>
        <v>0</v>
      </c>
      <c r="BN369" s="496">
        <f t="shared" si="578"/>
        <v>0</v>
      </c>
      <c r="BO369" s="496">
        <f t="shared" si="578"/>
        <v>0</v>
      </c>
      <c r="BP369" s="496">
        <f t="shared" si="578"/>
        <v>0</v>
      </c>
      <c r="BQ369" s="496">
        <f t="shared" si="578"/>
        <v>0</v>
      </c>
      <c r="BR369" s="496">
        <f t="shared" si="578"/>
        <v>0</v>
      </c>
      <c r="BS369" s="496">
        <f t="shared" si="578"/>
        <v>0</v>
      </c>
      <c r="BT369" s="496">
        <f t="shared" si="578"/>
        <v>0</v>
      </c>
      <c r="BU369" s="496">
        <f t="shared" si="578"/>
        <v>0</v>
      </c>
      <c r="BV369" s="496">
        <f t="shared" ref="BV369:CV369" si="579">SUM(BV361:BV368)</f>
        <v>0</v>
      </c>
      <c r="BW369" s="496">
        <f t="shared" si="579"/>
        <v>0</v>
      </c>
      <c r="BX369" s="496">
        <f t="shared" si="579"/>
        <v>0</v>
      </c>
      <c r="BY369" s="496">
        <f t="shared" si="579"/>
        <v>0</v>
      </c>
      <c r="BZ369" s="496">
        <f t="shared" si="579"/>
        <v>0</v>
      </c>
      <c r="CA369" s="496">
        <f t="shared" si="579"/>
        <v>0</v>
      </c>
      <c r="CB369" s="496">
        <f t="shared" si="579"/>
        <v>0</v>
      </c>
      <c r="CC369" s="496">
        <f t="shared" si="579"/>
        <v>0</v>
      </c>
      <c r="CD369" s="496">
        <f t="shared" si="579"/>
        <v>0</v>
      </c>
      <c r="CE369" s="496">
        <f t="shared" si="579"/>
        <v>0</v>
      </c>
      <c r="CF369" s="496">
        <f t="shared" si="579"/>
        <v>0</v>
      </c>
      <c r="CG369" s="496">
        <f t="shared" si="579"/>
        <v>0</v>
      </c>
      <c r="CH369" s="496">
        <f t="shared" si="579"/>
        <v>0</v>
      </c>
      <c r="CI369" s="496">
        <f t="shared" si="579"/>
        <v>0</v>
      </c>
      <c r="CJ369" s="496">
        <f t="shared" si="579"/>
        <v>0</v>
      </c>
      <c r="CK369" s="496">
        <f t="shared" si="579"/>
        <v>0</v>
      </c>
      <c r="CL369" s="496">
        <f t="shared" si="579"/>
        <v>0</v>
      </c>
      <c r="CM369" s="496">
        <f t="shared" si="579"/>
        <v>0</v>
      </c>
      <c r="CN369" s="496">
        <f t="shared" si="579"/>
        <v>0</v>
      </c>
      <c r="CO369" s="496">
        <f t="shared" si="579"/>
        <v>0</v>
      </c>
      <c r="CP369" s="496">
        <f t="shared" si="579"/>
        <v>0</v>
      </c>
      <c r="CQ369" s="496">
        <f t="shared" si="579"/>
        <v>0</v>
      </c>
      <c r="CR369" s="496">
        <f t="shared" si="579"/>
        <v>0</v>
      </c>
      <c r="CS369" s="496">
        <f t="shared" si="579"/>
        <v>0</v>
      </c>
      <c r="CT369" s="496">
        <f t="shared" si="579"/>
        <v>0</v>
      </c>
      <c r="CU369" s="496">
        <f t="shared" si="579"/>
        <v>0</v>
      </c>
      <c r="CV369" s="496">
        <f t="shared" si="579"/>
        <v>0</v>
      </c>
    </row>
    <row r="370" spans="1:100" ht="12.75" outlineLevel="2" x14ac:dyDescent="0.2"/>
    <row r="371" spans="1:100" ht="12.75" x14ac:dyDescent="0.2"/>
    <row r="372" spans="1:100" ht="12.75" x14ac:dyDescent="0.2">
      <c r="A372" s="522" t="s">
        <v>443</v>
      </c>
      <c r="B372" s="522"/>
      <c r="C372" s="523"/>
      <c r="D372" s="524"/>
      <c r="E372" s="525"/>
      <c r="F372" s="525"/>
      <c r="G372" s="525"/>
      <c r="H372" s="525"/>
      <c r="I372" s="526"/>
      <c r="J372" s="525"/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</row>
    <row r="373" spans="1:100" ht="12.75" outlineLevel="1" x14ac:dyDescent="0.2">
      <c r="A373" s="522"/>
      <c r="B373" s="522"/>
      <c r="C373" s="523"/>
      <c r="D373" s="524"/>
      <c r="E373" s="525"/>
      <c r="F373" s="525"/>
      <c r="G373" s="525"/>
      <c r="H373" s="525"/>
      <c r="I373" s="526"/>
      <c r="J373" s="525"/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</row>
    <row r="374" spans="1:100" ht="12.75" outlineLevel="1" x14ac:dyDescent="0.2">
      <c r="A374" s="522"/>
      <c r="B374" s="522" t="s">
        <v>891</v>
      </c>
      <c r="C374" s="523"/>
      <c r="D374" s="524"/>
      <c r="E374" s="525"/>
      <c r="F374" s="525"/>
      <c r="G374" s="525"/>
      <c r="H374" s="525"/>
      <c r="I374" s="526"/>
      <c r="J374" s="525"/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</row>
    <row r="375" spans="1:100" s="498" customFormat="1" ht="12.75" outlineLevel="2" x14ac:dyDescent="0.2">
      <c r="A375" s="522"/>
      <c r="B375" s="522"/>
      <c r="C375" s="523"/>
      <c r="D375" s="524"/>
      <c r="E375" s="699" t="str">
        <f xml:space="preserve"> ConFin!E$470</f>
        <v>Sum of standby debt - T1 drawdown - m</v>
      </c>
      <c r="F375" s="699">
        <f xml:space="preserve"> ConFin!F$470</f>
        <v>0</v>
      </c>
      <c r="G375" s="699" t="str">
        <f xml:space="preserve"> ConFin!G$470</f>
        <v>$ 000s</v>
      </c>
      <c r="H375" s="663"/>
      <c r="I375" s="663"/>
      <c r="J375" s="663"/>
      <c r="K375" s="663"/>
      <c r="L375" s="663"/>
      <c r="M375" s="663"/>
      <c r="N375" s="663"/>
      <c r="O375" s="663"/>
      <c r="P375" s="663"/>
      <c r="Q375" s="663"/>
      <c r="R375" s="663"/>
      <c r="S375" s="663"/>
      <c r="T375" s="663"/>
      <c r="U375" s="663"/>
      <c r="V375" s="663"/>
      <c r="W375" s="663"/>
      <c r="X375" s="663"/>
      <c r="Y375" s="663"/>
      <c r="Z375" s="663"/>
      <c r="AA375" s="663"/>
      <c r="AB375" s="663"/>
      <c r="AC375" s="663"/>
      <c r="AD375" s="663"/>
      <c r="AE375" s="663"/>
      <c r="AF375" s="663"/>
      <c r="AG375" s="663"/>
      <c r="AH375" s="663"/>
      <c r="AI375" s="663"/>
      <c r="AJ375" s="663"/>
      <c r="AK375" s="663"/>
      <c r="AL375" s="663"/>
      <c r="AM375" s="663"/>
      <c r="AN375" s="663"/>
      <c r="AO375" s="663"/>
      <c r="AP375" s="663"/>
      <c r="AQ375" s="663"/>
      <c r="AR375" s="663"/>
      <c r="AS375" s="663"/>
      <c r="AT375" s="663"/>
      <c r="AU375" s="663"/>
      <c r="AV375" s="663"/>
      <c r="AW375" s="663"/>
      <c r="AX375" s="663"/>
      <c r="AY375" s="663"/>
      <c r="AZ375" s="663"/>
      <c r="BA375" s="663"/>
      <c r="BB375" s="663"/>
      <c r="BC375" s="663"/>
      <c r="BD375" s="663"/>
      <c r="BE375" s="663"/>
      <c r="BF375" s="663"/>
      <c r="BG375" s="663"/>
      <c r="BH375" s="663"/>
      <c r="BI375" s="663"/>
      <c r="BJ375" s="663"/>
      <c r="BK375" s="663"/>
      <c r="BL375" s="663"/>
      <c r="BM375" s="663"/>
      <c r="BN375" s="663"/>
      <c r="BO375" s="663"/>
      <c r="BP375" s="663"/>
      <c r="BQ375" s="663"/>
      <c r="BR375" s="663"/>
      <c r="BS375" s="663"/>
      <c r="BT375" s="663"/>
      <c r="BU375" s="663"/>
      <c r="BV375" s="663"/>
      <c r="BW375" s="663"/>
      <c r="BX375" s="663"/>
      <c r="BY375" s="663"/>
      <c r="BZ375" s="663"/>
      <c r="CA375" s="663"/>
      <c r="CB375" s="663"/>
      <c r="CC375" s="663"/>
      <c r="CD375" s="663"/>
      <c r="CE375" s="663"/>
      <c r="CF375" s="663"/>
      <c r="CG375" s="663"/>
      <c r="CH375" s="663"/>
      <c r="CI375" s="663"/>
      <c r="CJ375" s="663"/>
      <c r="CK375" s="663"/>
      <c r="CL375" s="663"/>
      <c r="CM375" s="663"/>
      <c r="CN375" s="663"/>
      <c r="CO375" s="663"/>
      <c r="CP375" s="663"/>
      <c r="CQ375" s="663"/>
      <c r="CR375" s="663"/>
      <c r="CS375" s="663"/>
      <c r="CT375" s="663"/>
      <c r="CU375" s="663"/>
      <c r="CV375" s="663"/>
    </row>
    <row r="376" spans="1:100" ht="12.75" outlineLevel="2" x14ac:dyDescent="0.2">
      <c r="A376" s="236"/>
      <c r="B376" s="236"/>
      <c r="C376" s="237"/>
      <c r="D376" s="238"/>
      <c r="E376" s="493" t="str">
        <f xml:space="preserve"> Solve!E$63</f>
        <v>Senior repayment % profile - Paste - T1</v>
      </c>
      <c r="F376" s="493">
        <f xml:space="preserve"> Solve!F$63</f>
        <v>0</v>
      </c>
      <c r="G376" s="493" t="str">
        <f xml:space="preserve"> Solve!G$63</f>
        <v>%</v>
      </c>
      <c r="H376" s="493">
        <f xml:space="preserve"> Solve!H$63</f>
        <v>1.0000002033750179</v>
      </c>
      <c r="I376" s="493">
        <f xml:space="preserve"> Solve!I$63</f>
        <v>0</v>
      </c>
      <c r="J376" s="493">
        <f xml:space="preserve"> Solve!J$63</f>
        <v>0</v>
      </c>
      <c r="K376" s="493">
        <f xml:space="preserve"> Solve!K$63</f>
        <v>0</v>
      </c>
      <c r="L376" s="493">
        <f xml:space="preserve"> Solve!L$63</f>
        <v>0</v>
      </c>
      <c r="M376" s="493">
        <f xml:space="preserve"> Solve!M$63</f>
        <v>0</v>
      </c>
      <c r="N376" s="493">
        <f xml:space="preserve"> Solve!N$63</f>
        <v>0</v>
      </c>
      <c r="O376" s="493">
        <f xml:space="preserve"> Solve!O$63</f>
        <v>2.3064484542946101E-2</v>
      </c>
      <c r="P376" s="493">
        <f xml:space="preserve"> Solve!P$63</f>
        <v>1.9052165112778029E-2</v>
      </c>
      <c r="Q376" s="493">
        <f xml:space="preserve"> Solve!Q$63</f>
        <v>1.9281475906112996E-2</v>
      </c>
      <c r="R376" s="493">
        <f xml:space="preserve"> Solve!R$63</f>
        <v>1.9638893395302046E-2</v>
      </c>
      <c r="S376" s="493">
        <f xml:space="preserve"> Solve!S$63</f>
        <v>1.9891038522920877E-2</v>
      </c>
      <c r="T376" s="493">
        <f xml:space="preserve"> Solve!T$63</f>
        <v>2.0249060581832744E-2</v>
      </c>
      <c r="U376" s="493">
        <f xml:space="preserve"> Solve!U$63</f>
        <v>2.0524939155266313E-2</v>
      </c>
      <c r="V376" s="493">
        <f xml:space="preserve"> Solve!V$63</f>
        <v>2.0848855315500105E-2</v>
      </c>
      <c r="W376" s="493">
        <f xml:space="preserve"> Solve!W$63</f>
        <v>2.1133819545010223E-2</v>
      </c>
      <c r="X376" s="493">
        <f xml:space="preserve"> Solve!X$63</f>
        <v>2.1541843064013463E-2</v>
      </c>
      <c r="Y376" s="493">
        <f xml:space="preserve"> Solve!Y$63</f>
        <v>2.1233403451487554E-2</v>
      </c>
      <c r="Z376" s="493">
        <f xml:space="preserve"> Solve!Z$63</f>
        <v>2.1611233482992622E-2</v>
      </c>
      <c r="AA376" s="493">
        <f xml:space="preserve"> Solve!AA$63</f>
        <v>2.1961714133914869E-2</v>
      </c>
      <c r="AB376" s="493">
        <f xml:space="preserve"> Solve!AB$63</f>
        <v>2.2341424888137448E-2</v>
      </c>
      <c r="AC376" s="493">
        <f xml:space="preserve"> Solve!AC$63</f>
        <v>2.2721015273114775E-2</v>
      </c>
      <c r="AD376" s="493">
        <f xml:space="preserve"> Solve!AD$63</f>
        <v>2.3085144913694001E-2</v>
      </c>
      <c r="AE376" s="493">
        <f xml:space="preserve"> Solve!AE$63</f>
        <v>2.3464314045988637E-2</v>
      </c>
      <c r="AF376" s="493">
        <f xml:space="preserve"> Solve!AF$63</f>
        <v>2.3895154255339293E-2</v>
      </c>
      <c r="AG376" s="493">
        <f xml:space="preserve"> Solve!AG$63</f>
        <v>2.43366588543871E-2</v>
      </c>
      <c r="AH376" s="493">
        <f xml:space="preserve"> Solve!AH$63</f>
        <v>2.4723072892368594E-2</v>
      </c>
      <c r="AI376" s="493">
        <f xml:space="preserve"> Solve!AI$63</f>
        <v>2.4716766266870669E-2</v>
      </c>
      <c r="AJ376" s="493">
        <f xml:space="preserve"> Solve!AJ$63</f>
        <v>2.5134449909969905E-2</v>
      </c>
      <c r="AK376" s="493">
        <f xml:space="preserve"> Solve!AK$63</f>
        <v>2.5658221907127406E-2</v>
      </c>
      <c r="AL376" s="493">
        <f xml:space="preserve"> Solve!AL$63</f>
        <v>2.608429320630775E-2</v>
      </c>
      <c r="AM376" s="493">
        <f xml:space="preserve"> Solve!AM$63</f>
        <v>2.6596848454685133E-2</v>
      </c>
      <c r="AN376" s="493">
        <f xml:space="preserve"> Solve!AN$63</f>
        <v>2.7068719728314265E-2</v>
      </c>
      <c r="AO376" s="493">
        <f xml:space="preserve"> Solve!AO$63</f>
        <v>2.7672142468372483E-2</v>
      </c>
      <c r="AP376" s="493">
        <f xml:space="preserve"> Solve!AP$63</f>
        <v>2.8103918266281155E-2</v>
      </c>
      <c r="AQ376" s="493">
        <f xml:space="preserve"> Solve!AQ$63</f>
        <v>2.874996661088032E-2</v>
      </c>
      <c r="AR376" s="493">
        <f xml:space="preserve"> Solve!AR$63</f>
        <v>2.9187114890294977E-2</v>
      </c>
      <c r="AS376" s="493">
        <f xml:space="preserve"> Solve!AS$63</f>
        <v>7.2343590337416927E-2</v>
      </c>
      <c r="AT376" s="493">
        <f xml:space="preserve"> Solve!AT$63</f>
        <v>7.3366857339355163E-2</v>
      </c>
      <c r="AU376" s="493">
        <f xml:space="preserve"> Solve!AU$63</f>
        <v>7.4830099363004193E-2</v>
      </c>
      <c r="AV376" s="493">
        <f xml:space="preserve"> Solve!AV$63</f>
        <v>7.5887503293029776E-2</v>
      </c>
      <c r="AW376" s="493">
        <f xml:space="preserve"> Solve!AW$63</f>
        <v>0</v>
      </c>
      <c r="AX376" s="493">
        <f xml:space="preserve"> Solve!AX$63</f>
        <v>0</v>
      </c>
      <c r="AY376" s="493">
        <f xml:space="preserve"> Solve!AY$63</f>
        <v>0</v>
      </c>
      <c r="AZ376" s="493">
        <f xml:space="preserve"> Solve!AZ$63</f>
        <v>0</v>
      </c>
      <c r="BA376" s="493">
        <f xml:space="preserve"> Solve!BA$63</f>
        <v>0</v>
      </c>
      <c r="BB376" s="493">
        <f xml:space="preserve"> Solve!BB$63</f>
        <v>0</v>
      </c>
      <c r="BC376" s="493">
        <f xml:space="preserve"> Solve!BC$63</f>
        <v>0</v>
      </c>
      <c r="BD376" s="493">
        <f xml:space="preserve"> Solve!BD$63</f>
        <v>0</v>
      </c>
      <c r="BE376" s="493">
        <f xml:space="preserve"> Solve!BE$63</f>
        <v>0</v>
      </c>
      <c r="BF376" s="493">
        <f xml:space="preserve"> Solve!BF$63</f>
        <v>0</v>
      </c>
      <c r="BG376" s="493">
        <f xml:space="preserve"> Solve!BG$63</f>
        <v>0</v>
      </c>
      <c r="BH376" s="493">
        <f xml:space="preserve"> Solve!BH$63</f>
        <v>0</v>
      </c>
      <c r="BI376" s="493">
        <f xml:space="preserve"> Solve!BI$63</f>
        <v>0</v>
      </c>
      <c r="BJ376" s="493">
        <f xml:space="preserve"> Solve!BJ$63</f>
        <v>0</v>
      </c>
      <c r="BK376" s="493">
        <f xml:space="preserve"> Solve!BK$63</f>
        <v>0</v>
      </c>
      <c r="BL376" s="493">
        <f xml:space="preserve"> Solve!BL$63</f>
        <v>0</v>
      </c>
      <c r="BM376" s="493">
        <f xml:space="preserve"> Solve!BM$63</f>
        <v>0</v>
      </c>
      <c r="BN376" s="493">
        <f xml:space="preserve"> Solve!BN$63</f>
        <v>0</v>
      </c>
      <c r="BO376" s="493">
        <f xml:space="preserve"> Solve!BO$63</f>
        <v>0</v>
      </c>
      <c r="BP376" s="493">
        <f xml:space="preserve"> Solve!BP$63</f>
        <v>0</v>
      </c>
      <c r="BQ376" s="493">
        <f xml:space="preserve"> Solve!BQ$63</f>
        <v>0</v>
      </c>
      <c r="BR376" s="493">
        <f xml:space="preserve"> Solve!BR$63</f>
        <v>0</v>
      </c>
      <c r="BS376" s="493">
        <f xml:space="preserve"> Solve!BS$63</f>
        <v>0</v>
      </c>
      <c r="BT376" s="493">
        <f xml:space="preserve"> Solve!BT$63</f>
        <v>0</v>
      </c>
      <c r="BU376" s="493">
        <f xml:space="preserve"> Solve!BU$63</f>
        <v>0</v>
      </c>
      <c r="BV376" s="493">
        <f xml:space="preserve"> Solve!BV$63</f>
        <v>0</v>
      </c>
      <c r="BW376" s="493">
        <f xml:space="preserve"> Solve!BW$63</f>
        <v>0</v>
      </c>
      <c r="BX376" s="493">
        <f xml:space="preserve"> Solve!BX$63</f>
        <v>0</v>
      </c>
      <c r="BY376" s="493">
        <f xml:space="preserve"> Solve!BY$63</f>
        <v>0</v>
      </c>
      <c r="BZ376" s="493">
        <f xml:space="preserve"> Solve!BZ$63</f>
        <v>0</v>
      </c>
      <c r="CA376" s="493">
        <f xml:space="preserve"> Solve!CA$63</f>
        <v>0</v>
      </c>
      <c r="CB376" s="493">
        <f xml:space="preserve"> Solve!CB$63</f>
        <v>0</v>
      </c>
      <c r="CC376" s="493">
        <f xml:space="preserve"> Solve!CC$63</f>
        <v>0</v>
      </c>
      <c r="CD376" s="493">
        <f xml:space="preserve"> Solve!CD$63</f>
        <v>0</v>
      </c>
      <c r="CE376" s="493">
        <f xml:space="preserve"> Solve!CE$63</f>
        <v>0</v>
      </c>
      <c r="CF376" s="493">
        <f xml:space="preserve"> Solve!CF$63</f>
        <v>0</v>
      </c>
      <c r="CG376" s="493">
        <f xml:space="preserve"> Solve!CG$63</f>
        <v>0</v>
      </c>
      <c r="CH376" s="493">
        <f xml:space="preserve"> Solve!CH$63</f>
        <v>0</v>
      </c>
      <c r="CI376" s="493">
        <f xml:space="preserve"> Solve!CI$63</f>
        <v>0</v>
      </c>
      <c r="CJ376" s="493">
        <f xml:space="preserve"> Solve!CJ$63</f>
        <v>0</v>
      </c>
      <c r="CK376" s="493">
        <f xml:space="preserve"> Solve!CK$63</f>
        <v>0</v>
      </c>
      <c r="CL376" s="493">
        <f xml:space="preserve"> Solve!CL$63</f>
        <v>0</v>
      </c>
      <c r="CM376" s="493">
        <f xml:space="preserve"> Solve!CM$63</f>
        <v>0</v>
      </c>
      <c r="CN376" s="493">
        <f xml:space="preserve"> Solve!CN$63</f>
        <v>0</v>
      </c>
      <c r="CO376" s="493">
        <f xml:space="preserve"> Solve!CO$63</f>
        <v>0</v>
      </c>
      <c r="CP376" s="493">
        <f xml:space="preserve"> Solve!CP$63</f>
        <v>0</v>
      </c>
      <c r="CQ376" s="493">
        <f xml:space="preserve"> Solve!CQ$63</f>
        <v>0</v>
      </c>
      <c r="CR376" s="493">
        <f xml:space="preserve"> Solve!CR$63</f>
        <v>0</v>
      </c>
      <c r="CS376" s="493">
        <f xml:space="preserve"> Solve!CS$63</f>
        <v>0</v>
      </c>
      <c r="CT376" s="493">
        <f xml:space="preserve"> Solve!CT$63</f>
        <v>0</v>
      </c>
      <c r="CU376" s="493">
        <f xml:space="preserve"> Solve!CU$63</f>
        <v>0</v>
      </c>
      <c r="CV376" s="493">
        <f xml:space="preserve"> Solve!CV$63</f>
        <v>0</v>
      </c>
    </row>
    <row r="377" spans="1:100" s="191" customFormat="1" ht="12.75" outlineLevel="2" x14ac:dyDescent="0.2">
      <c r="A377" s="700"/>
      <c r="B377" s="700"/>
      <c r="C377" s="701"/>
      <c r="D377" s="702"/>
      <c r="E377" s="666" t="s">
        <v>1061</v>
      </c>
      <c r="F377" s="666"/>
      <c r="G377" s="666" t="str">
        <f xml:space="preserve"> SMU</f>
        <v>$ 000s</v>
      </c>
      <c r="H377" s="666">
        <f xml:space="preserve"> SUM(J377:CV377)</f>
        <v>0</v>
      </c>
      <c r="I377" s="703"/>
      <c r="J377" s="666">
        <f t="shared" ref="J377:AO377" si="580" xml:space="preserve"> $F375 * J376</f>
        <v>0</v>
      </c>
      <c r="K377" s="666">
        <f t="shared" si="580"/>
        <v>0</v>
      </c>
      <c r="L377" s="666">
        <f t="shared" si="580"/>
        <v>0</v>
      </c>
      <c r="M377" s="666">
        <f t="shared" si="580"/>
        <v>0</v>
      </c>
      <c r="N377" s="666">
        <f t="shared" si="580"/>
        <v>0</v>
      </c>
      <c r="O377" s="666">
        <f t="shared" si="580"/>
        <v>0</v>
      </c>
      <c r="P377" s="666">
        <f t="shared" si="580"/>
        <v>0</v>
      </c>
      <c r="Q377" s="666">
        <f t="shared" si="580"/>
        <v>0</v>
      </c>
      <c r="R377" s="666">
        <f t="shared" si="580"/>
        <v>0</v>
      </c>
      <c r="S377" s="666">
        <f t="shared" si="580"/>
        <v>0</v>
      </c>
      <c r="T377" s="666">
        <f t="shared" si="580"/>
        <v>0</v>
      </c>
      <c r="U377" s="666">
        <f t="shared" si="580"/>
        <v>0</v>
      </c>
      <c r="V377" s="666">
        <f t="shared" si="580"/>
        <v>0</v>
      </c>
      <c r="W377" s="666">
        <f t="shared" si="580"/>
        <v>0</v>
      </c>
      <c r="X377" s="666">
        <f t="shared" si="580"/>
        <v>0</v>
      </c>
      <c r="Y377" s="666">
        <f t="shared" si="580"/>
        <v>0</v>
      </c>
      <c r="Z377" s="666">
        <f t="shared" si="580"/>
        <v>0</v>
      </c>
      <c r="AA377" s="666">
        <f t="shared" si="580"/>
        <v>0</v>
      </c>
      <c r="AB377" s="666">
        <f t="shared" si="580"/>
        <v>0</v>
      </c>
      <c r="AC377" s="666">
        <f t="shared" si="580"/>
        <v>0</v>
      </c>
      <c r="AD377" s="666">
        <f t="shared" si="580"/>
        <v>0</v>
      </c>
      <c r="AE377" s="666">
        <f t="shared" si="580"/>
        <v>0</v>
      </c>
      <c r="AF377" s="666">
        <f t="shared" si="580"/>
        <v>0</v>
      </c>
      <c r="AG377" s="666">
        <f t="shared" si="580"/>
        <v>0</v>
      </c>
      <c r="AH377" s="666">
        <f t="shared" si="580"/>
        <v>0</v>
      </c>
      <c r="AI377" s="666">
        <f t="shared" si="580"/>
        <v>0</v>
      </c>
      <c r="AJ377" s="666">
        <f t="shared" si="580"/>
        <v>0</v>
      </c>
      <c r="AK377" s="666">
        <f t="shared" si="580"/>
        <v>0</v>
      </c>
      <c r="AL377" s="666">
        <f t="shared" si="580"/>
        <v>0</v>
      </c>
      <c r="AM377" s="666">
        <f t="shared" si="580"/>
        <v>0</v>
      </c>
      <c r="AN377" s="666">
        <f t="shared" si="580"/>
        <v>0</v>
      </c>
      <c r="AO377" s="666">
        <f t="shared" si="580"/>
        <v>0</v>
      </c>
      <c r="AP377" s="666">
        <f t="shared" ref="AP377:BU377" si="581" xml:space="preserve"> $F375 * AP376</f>
        <v>0</v>
      </c>
      <c r="AQ377" s="666">
        <f t="shared" si="581"/>
        <v>0</v>
      </c>
      <c r="AR377" s="666">
        <f t="shared" si="581"/>
        <v>0</v>
      </c>
      <c r="AS377" s="666">
        <f t="shared" si="581"/>
        <v>0</v>
      </c>
      <c r="AT377" s="666">
        <f t="shared" si="581"/>
        <v>0</v>
      </c>
      <c r="AU377" s="666">
        <f t="shared" si="581"/>
        <v>0</v>
      </c>
      <c r="AV377" s="666">
        <f t="shared" si="581"/>
        <v>0</v>
      </c>
      <c r="AW377" s="666">
        <f t="shared" si="581"/>
        <v>0</v>
      </c>
      <c r="AX377" s="666">
        <f t="shared" si="581"/>
        <v>0</v>
      </c>
      <c r="AY377" s="666">
        <f t="shared" si="581"/>
        <v>0</v>
      </c>
      <c r="AZ377" s="666">
        <f t="shared" si="581"/>
        <v>0</v>
      </c>
      <c r="BA377" s="666">
        <f t="shared" si="581"/>
        <v>0</v>
      </c>
      <c r="BB377" s="666">
        <f t="shared" si="581"/>
        <v>0</v>
      </c>
      <c r="BC377" s="666">
        <f t="shared" si="581"/>
        <v>0</v>
      </c>
      <c r="BD377" s="666">
        <f t="shared" si="581"/>
        <v>0</v>
      </c>
      <c r="BE377" s="666">
        <f t="shared" si="581"/>
        <v>0</v>
      </c>
      <c r="BF377" s="666">
        <f t="shared" si="581"/>
        <v>0</v>
      </c>
      <c r="BG377" s="666">
        <f t="shared" si="581"/>
        <v>0</v>
      </c>
      <c r="BH377" s="666">
        <f t="shared" si="581"/>
        <v>0</v>
      </c>
      <c r="BI377" s="666">
        <f t="shared" si="581"/>
        <v>0</v>
      </c>
      <c r="BJ377" s="666">
        <f t="shared" si="581"/>
        <v>0</v>
      </c>
      <c r="BK377" s="666">
        <f t="shared" si="581"/>
        <v>0</v>
      </c>
      <c r="BL377" s="666">
        <f t="shared" si="581"/>
        <v>0</v>
      </c>
      <c r="BM377" s="666">
        <f t="shared" si="581"/>
        <v>0</v>
      </c>
      <c r="BN377" s="666">
        <f t="shared" si="581"/>
        <v>0</v>
      </c>
      <c r="BO377" s="666">
        <f t="shared" si="581"/>
        <v>0</v>
      </c>
      <c r="BP377" s="666">
        <f t="shared" si="581"/>
        <v>0</v>
      </c>
      <c r="BQ377" s="666">
        <f t="shared" si="581"/>
        <v>0</v>
      </c>
      <c r="BR377" s="666">
        <f t="shared" si="581"/>
        <v>0</v>
      </c>
      <c r="BS377" s="666">
        <f t="shared" si="581"/>
        <v>0</v>
      </c>
      <c r="BT377" s="666">
        <f t="shared" si="581"/>
        <v>0</v>
      </c>
      <c r="BU377" s="666">
        <f t="shared" si="581"/>
        <v>0</v>
      </c>
      <c r="BV377" s="666">
        <f t="shared" ref="BV377:CV377" si="582" xml:space="preserve"> $F375 * BV376</f>
        <v>0</v>
      </c>
      <c r="BW377" s="666">
        <f t="shared" si="582"/>
        <v>0</v>
      </c>
      <c r="BX377" s="666">
        <f t="shared" si="582"/>
        <v>0</v>
      </c>
      <c r="BY377" s="666">
        <f t="shared" si="582"/>
        <v>0</v>
      </c>
      <c r="BZ377" s="666">
        <f t="shared" si="582"/>
        <v>0</v>
      </c>
      <c r="CA377" s="666">
        <f t="shared" si="582"/>
        <v>0</v>
      </c>
      <c r="CB377" s="666">
        <f t="shared" si="582"/>
        <v>0</v>
      </c>
      <c r="CC377" s="666">
        <f t="shared" si="582"/>
        <v>0</v>
      </c>
      <c r="CD377" s="666">
        <f t="shared" si="582"/>
        <v>0</v>
      </c>
      <c r="CE377" s="666">
        <f t="shared" si="582"/>
        <v>0</v>
      </c>
      <c r="CF377" s="666">
        <f t="shared" si="582"/>
        <v>0</v>
      </c>
      <c r="CG377" s="666">
        <f t="shared" si="582"/>
        <v>0</v>
      </c>
      <c r="CH377" s="666">
        <f t="shared" si="582"/>
        <v>0</v>
      </c>
      <c r="CI377" s="666">
        <f t="shared" si="582"/>
        <v>0</v>
      </c>
      <c r="CJ377" s="666">
        <f t="shared" si="582"/>
        <v>0</v>
      </c>
      <c r="CK377" s="666">
        <f t="shared" si="582"/>
        <v>0</v>
      </c>
      <c r="CL377" s="666">
        <f t="shared" si="582"/>
        <v>0</v>
      </c>
      <c r="CM377" s="666">
        <f t="shared" si="582"/>
        <v>0</v>
      </c>
      <c r="CN377" s="666">
        <f t="shared" si="582"/>
        <v>0</v>
      </c>
      <c r="CO377" s="666">
        <f t="shared" si="582"/>
        <v>0</v>
      </c>
      <c r="CP377" s="666">
        <f t="shared" si="582"/>
        <v>0</v>
      </c>
      <c r="CQ377" s="666">
        <f t="shared" si="582"/>
        <v>0</v>
      </c>
      <c r="CR377" s="666">
        <f t="shared" si="582"/>
        <v>0</v>
      </c>
      <c r="CS377" s="666">
        <f t="shared" si="582"/>
        <v>0</v>
      </c>
      <c r="CT377" s="666">
        <f t="shared" si="582"/>
        <v>0</v>
      </c>
      <c r="CU377" s="666">
        <f t="shared" si="582"/>
        <v>0</v>
      </c>
      <c r="CV377" s="666">
        <f t="shared" si="582"/>
        <v>0</v>
      </c>
    </row>
    <row r="378" spans="1:100" s="191" customFormat="1" ht="12.75" outlineLevel="2" x14ac:dyDescent="0.2">
      <c r="A378" s="700"/>
      <c r="B378" s="700"/>
      <c r="C378" s="701"/>
      <c r="D378" s="702"/>
      <c r="E378" s="666"/>
      <c r="F378" s="666"/>
      <c r="G378" s="666"/>
      <c r="H378" s="666"/>
      <c r="I378" s="703"/>
      <c r="J378" s="666"/>
      <c r="K378" s="666"/>
      <c r="L378" s="666"/>
      <c r="M378" s="666"/>
      <c r="N378" s="666"/>
      <c r="O378" s="666"/>
      <c r="P378" s="666"/>
      <c r="Q378" s="666"/>
      <c r="R378" s="666"/>
      <c r="S378" s="666"/>
      <c r="T378" s="666"/>
      <c r="U378" s="666"/>
      <c r="V378" s="666"/>
      <c r="W378" s="666"/>
      <c r="X378" s="666"/>
      <c r="Y378" s="666"/>
      <c r="Z378" s="666"/>
      <c r="AA378" s="666"/>
      <c r="AB378" s="666"/>
      <c r="AC378" s="666"/>
      <c r="AD378" s="666"/>
      <c r="AE378" s="666"/>
      <c r="AF378" s="666"/>
      <c r="AG378" s="666"/>
      <c r="AH378" s="666"/>
      <c r="AI378" s="666"/>
      <c r="AJ378" s="666"/>
      <c r="AK378" s="666"/>
      <c r="AL378" s="666"/>
      <c r="AM378" s="666"/>
      <c r="AN378" s="666"/>
      <c r="AO378" s="666"/>
      <c r="AP378" s="666"/>
      <c r="AQ378" s="666"/>
      <c r="AR378" s="666"/>
      <c r="AS378" s="666"/>
      <c r="AT378" s="666"/>
      <c r="AU378" s="666"/>
      <c r="AV378" s="666"/>
      <c r="AW378" s="666"/>
      <c r="AX378" s="666"/>
      <c r="AY378" s="666"/>
      <c r="AZ378" s="666"/>
      <c r="BA378" s="666"/>
      <c r="BB378" s="666"/>
      <c r="BC378" s="666"/>
      <c r="BD378" s="666"/>
      <c r="BE378" s="666"/>
      <c r="BF378" s="666"/>
      <c r="BG378" s="666"/>
      <c r="BH378" s="666"/>
      <c r="BI378" s="666"/>
      <c r="BJ378" s="666"/>
      <c r="BK378" s="666"/>
      <c r="BL378" s="666"/>
      <c r="BM378" s="666"/>
      <c r="BN378" s="666"/>
      <c r="BO378" s="666"/>
      <c r="BP378" s="666"/>
      <c r="BQ378" s="666"/>
      <c r="BR378" s="666"/>
      <c r="BS378" s="666"/>
      <c r="BT378" s="666"/>
      <c r="BU378" s="666"/>
      <c r="BV378" s="666"/>
      <c r="BW378" s="666"/>
      <c r="BX378" s="666"/>
      <c r="BY378" s="666"/>
      <c r="BZ378" s="666"/>
      <c r="CA378" s="666"/>
      <c r="CB378" s="666"/>
      <c r="CC378" s="666"/>
      <c r="CD378" s="666"/>
      <c r="CE378" s="666"/>
      <c r="CF378" s="666"/>
      <c r="CG378" s="666"/>
      <c r="CH378" s="666"/>
      <c r="CI378" s="666"/>
      <c r="CJ378" s="666"/>
      <c r="CK378" s="666"/>
      <c r="CL378" s="666"/>
      <c r="CM378" s="666"/>
      <c r="CN378" s="666"/>
      <c r="CO378" s="666"/>
      <c r="CP378" s="666"/>
      <c r="CQ378" s="666"/>
      <c r="CR378" s="666"/>
      <c r="CS378" s="666"/>
      <c r="CT378" s="666"/>
      <c r="CU378" s="666"/>
      <c r="CV378" s="666"/>
    </row>
    <row r="379" spans="1:100" s="191" customFormat="1" ht="12.75" outlineLevel="2" x14ac:dyDescent="0.2">
      <c r="A379" s="700"/>
      <c r="B379" s="700"/>
      <c r="C379" s="701"/>
      <c r="D379" s="702"/>
      <c r="E379" s="666" t="str">
        <f t="shared" ref="E379:AJ379" si="583" xml:space="preserve"> E$401</f>
        <v>Standby debt - T1 balance BEG</v>
      </c>
      <c r="F379" s="666">
        <f t="shared" si="583"/>
        <v>0</v>
      </c>
      <c r="G379" s="666" t="str">
        <f t="shared" si="583"/>
        <v>$ 000s</v>
      </c>
      <c r="H379" s="666">
        <f t="shared" si="583"/>
        <v>0</v>
      </c>
      <c r="I379" s="666">
        <f t="shared" si="583"/>
        <v>0</v>
      </c>
      <c r="J379" s="666">
        <f t="shared" si="583"/>
        <v>0</v>
      </c>
      <c r="K379" s="666">
        <f t="shared" si="583"/>
        <v>0</v>
      </c>
      <c r="L379" s="666">
        <f t="shared" si="583"/>
        <v>0</v>
      </c>
      <c r="M379" s="666">
        <f t="shared" si="583"/>
        <v>0</v>
      </c>
      <c r="N379" s="666">
        <f t="shared" si="583"/>
        <v>0</v>
      </c>
      <c r="O379" s="666">
        <f t="shared" si="583"/>
        <v>0</v>
      </c>
      <c r="P379" s="666">
        <f t="shared" si="583"/>
        <v>0</v>
      </c>
      <c r="Q379" s="666">
        <f t="shared" si="583"/>
        <v>0</v>
      </c>
      <c r="R379" s="666">
        <f t="shared" si="583"/>
        <v>0</v>
      </c>
      <c r="S379" s="666">
        <f t="shared" si="583"/>
        <v>0</v>
      </c>
      <c r="T379" s="666">
        <f t="shared" si="583"/>
        <v>0</v>
      </c>
      <c r="U379" s="666">
        <f t="shared" si="583"/>
        <v>0</v>
      </c>
      <c r="V379" s="666">
        <f t="shared" si="583"/>
        <v>0</v>
      </c>
      <c r="W379" s="666">
        <f t="shared" si="583"/>
        <v>0</v>
      </c>
      <c r="X379" s="666">
        <f t="shared" si="583"/>
        <v>0</v>
      </c>
      <c r="Y379" s="666">
        <f t="shared" si="583"/>
        <v>0</v>
      </c>
      <c r="Z379" s="666">
        <f t="shared" si="583"/>
        <v>0</v>
      </c>
      <c r="AA379" s="666">
        <f t="shared" si="583"/>
        <v>0</v>
      </c>
      <c r="AB379" s="666">
        <f t="shared" si="583"/>
        <v>0</v>
      </c>
      <c r="AC379" s="666">
        <f t="shared" si="583"/>
        <v>0</v>
      </c>
      <c r="AD379" s="666">
        <f t="shared" si="583"/>
        <v>0</v>
      </c>
      <c r="AE379" s="666">
        <f t="shared" si="583"/>
        <v>0</v>
      </c>
      <c r="AF379" s="666">
        <f t="shared" si="583"/>
        <v>0</v>
      </c>
      <c r="AG379" s="666">
        <f t="shared" si="583"/>
        <v>0</v>
      </c>
      <c r="AH379" s="666">
        <f t="shared" si="583"/>
        <v>0</v>
      </c>
      <c r="AI379" s="666">
        <f t="shared" si="583"/>
        <v>0</v>
      </c>
      <c r="AJ379" s="666">
        <f t="shared" si="583"/>
        <v>0</v>
      </c>
      <c r="AK379" s="666">
        <f t="shared" ref="AK379:BP379" si="584" xml:space="preserve"> AK$401</f>
        <v>0</v>
      </c>
      <c r="AL379" s="666">
        <f t="shared" si="584"/>
        <v>0</v>
      </c>
      <c r="AM379" s="666">
        <f t="shared" si="584"/>
        <v>0</v>
      </c>
      <c r="AN379" s="666">
        <f t="shared" si="584"/>
        <v>0</v>
      </c>
      <c r="AO379" s="666">
        <f t="shared" si="584"/>
        <v>0</v>
      </c>
      <c r="AP379" s="666">
        <f t="shared" si="584"/>
        <v>0</v>
      </c>
      <c r="AQ379" s="666">
        <f t="shared" si="584"/>
        <v>0</v>
      </c>
      <c r="AR379" s="666">
        <f t="shared" si="584"/>
        <v>0</v>
      </c>
      <c r="AS379" s="666">
        <f t="shared" si="584"/>
        <v>0</v>
      </c>
      <c r="AT379" s="666">
        <f t="shared" si="584"/>
        <v>0</v>
      </c>
      <c r="AU379" s="666">
        <f t="shared" si="584"/>
        <v>0</v>
      </c>
      <c r="AV379" s="666">
        <f t="shared" si="584"/>
        <v>0</v>
      </c>
      <c r="AW379" s="666">
        <f t="shared" si="584"/>
        <v>0</v>
      </c>
      <c r="AX379" s="666">
        <f t="shared" si="584"/>
        <v>0</v>
      </c>
      <c r="AY379" s="666">
        <f t="shared" si="584"/>
        <v>0</v>
      </c>
      <c r="AZ379" s="666">
        <f t="shared" si="584"/>
        <v>0</v>
      </c>
      <c r="BA379" s="666">
        <f t="shared" si="584"/>
        <v>0</v>
      </c>
      <c r="BB379" s="666">
        <f t="shared" si="584"/>
        <v>0</v>
      </c>
      <c r="BC379" s="666">
        <f t="shared" si="584"/>
        <v>0</v>
      </c>
      <c r="BD379" s="666">
        <f t="shared" si="584"/>
        <v>0</v>
      </c>
      <c r="BE379" s="666">
        <f t="shared" si="584"/>
        <v>0</v>
      </c>
      <c r="BF379" s="666">
        <f t="shared" si="584"/>
        <v>0</v>
      </c>
      <c r="BG379" s="666">
        <f t="shared" si="584"/>
        <v>0</v>
      </c>
      <c r="BH379" s="666">
        <f t="shared" si="584"/>
        <v>0</v>
      </c>
      <c r="BI379" s="666">
        <f t="shared" si="584"/>
        <v>0</v>
      </c>
      <c r="BJ379" s="666">
        <f t="shared" si="584"/>
        <v>0</v>
      </c>
      <c r="BK379" s="666">
        <f t="shared" si="584"/>
        <v>0</v>
      </c>
      <c r="BL379" s="666">
        <f t="shared" si="584"/>
        <v>0</v>
      </c>
      <c r="BM379" s="666">
        <f t="shared" si="584"/>
        <v>0</v>
      </c>
      <c r="BN379" s="666">
        <f t="shared" si="584"/>
        <v>0</v>
      </c>
      <c r="BO379" s="666">
        <f t="shared" si="584"/>
        <v>0</v>
      </c>
      <c r="BP379" s="666">
        <f t="shared" si="584"/>
        <v>0</v>
      </c>
      <c r="BQ379" s="666">
        <f t="shared" ref="BQ379:CV379" si="585" xml:space="preserve"> BQ$401</f>
        <v>0</v>
      </c>
      <c r="BR379" s="666">
        <f t="shared" si="585"/>
        <v>0</v>
      </c>
      <c r="BS379" s="666">
        <f t="shared" si="585"/>
        <v>0</v>
      </c>
      <c r="BT379" s="666">
        <f t="shared" si="585"/>
        <v>0</v>
      </c>
      <c r="BU379" s="666">
        <f t="shared" si="585"/>
        <v>0</v>
      </c>
      <c r="BV379" s="666">
        <f t="shared" si="585"/>
        <v>0</v>
      </c>
      <c r="BW379" s="666">
        <f t="shared" si="585"/>
        <v>0</v>
      </c>
      <c r="BX379" s="666">
        <f t="shared" si="585"/>
        <v>0</v>
      </c>
      <c r="BY379" s="666">
        <f t="shared" si="585"/>
        <v>0</v>
      </c>
      <c r="BZ379" s="666">
        <f t="shared" si="585"/>
        <v>0</v>
      </c>
      <c r="CA379" s="666">
        <f t="shared" si="585"/>
        <v>0</v>
      </c>
      <c r="CB379" s="666">
        <f t="shared" si="585"/>
        <v>0</v>
      </c>
      <c r="CC379" s="666">
        <f t="shared" si="585"/>
        <v>0</v>
      </c>
      <c r="CD379" s="666">
        <f t="shared" si="585"/>
        <v>0</v>
      </c>
      <c r="CE379" s="666">
        <f t="shared" si="585"/>
        <v>0</v>
      </c>
      <c r="CF379" s="666">
        <f t="shared" si="585"/>
        <v>0</v>
      </c>
      <c r="CG379" s="666">
        <f t="shared" si="585"/>
        <v>0</v>
      </c>
      <c r="CH379" s="666">
        <f t="shared" si="585"/>
        <v>0</v>
      </c>
      <c r="CI379" s="666">
        <f t="shared" si="585"/>
        <v>0</v>
      </c>
      <c r="CJ379" s="666">
        <f t="shared" si="585"/>
        <v>0</v>
      </c>
      <c r="CK379" s="666">
        <f t="shared" si="585"/>
        <v>0</v>
      </c>
      <c r="CL379" s="666">
        <f t="shared" si="585"/>
        <v>0</v>
      </c>
      <c r="CM379" s="666">
        <f t="shared" si="585"/>
        <v>0</v>
      </c>
      <c r="CN379" s="666">
        <f t="shared" si="585"/>
        <v>0</v>
      </c>
      <c r="CO379" s="666">
        <f t="shared" si="585"/>
        <v>0</v>
      </c>
      <c r="CP379" s="666">
        <f t="shared" si="585"/>
        <v>0</v>
      </c>
      <c r="CQ379" s="666">
        <f t="shared" si="585"/>
        <v>0</v>
      </c>
      <c r="CR379" s="666">
        <f t="shared" si="585"/>
        <v>0</v>
      </c>
      <c r="CS379" s="666">
        <f t="shared" si="585"/>
        <v>0</v>
      </c>
      <c r="CT379" s="666">
        <f t="shared" si="585"/>
        <v>0</v>
      </c>
      <c r="CU379" s="666">
        <f t="shared" si="585"/>
        <v>0</v>
      </c>
      <c r="CV379" s="666">
        <f t="shared" si="585"/>
        <v>0</v>
      </c>
    </row>
    <row r="380" spans="1:100" s="191" customFormat="1" ht="12.75" outlineLevel="2" x14ac:dyDescent="0.2">
      <c r="A380" s="700"/>
      <c r="B380" s="700"/>
      <c r="C380" s="701"/>
      <c r="D380" s="702"/>
      <c r="E380" s="525" t="str">
        <f t="shared" ref="E380:AJ380" si="586" xml:space="preserve"> E$377</f>
        <v>Standby debt scheduled principal repayment - T1 POS</v>
      </c>
      <c r="F380" s="525">
        <f t="shared" si="586"/>
        <v>0</v>
      </c>
      <c r="G380" s="525" t="str">
        <f t="shared" si="586"/>
        <v>$ 000s</v>
      </c>
      <c r="H380" s="525">
        <f t="shared" si="586"/>
        <v>0</v>
      </c>
      <c r="I380" s="525">
        <f t="shared" si="586"/>
        <v>0</v>
      </c>
      <c r="J380" s="525">
        <f t="shared" si="586"/>
        <v>0</v>
      </c>
      <c r="K380" s="525">
        <f t="shared" si="586"/>
        <v>0</v>
      </c>
      <c r="L380" s="525">
        <f t="shared" si="586"/>
        <v>0</v>
      </c>
      <c r="M380" s="525">
        <f t="shared" si="586"/>
        <v>0</v>
      </c>
      <c r="N380" s="525">
        <f t="shared" si="586"/>
        <v>0</v>
      </c>
      <c r="O380" s="525">
        <f t="shared" si="586"/>
        <v>0</v>
      </c>
      <c r="P380" s="525">
        <f t="shared" si="586"/>
        <v>0</v>
      </c>
      <c r="Q380" s="525">
        <f t="shared" si="586"/>
        <v>0</v>
      </c>
      <c r="R380" s="525">
        <f t="shared" si="586"/>
        <v>0</v>
      </c>
      <c r="S380" s="525">
        <f t="shared" si="586"/>
        <v>0</v>
      </c>
      <c r="T380" s="525">
        <f t="shared" si="586"/>
        <v>0</v>
      </c>
      <c r="U380" s="525">
        <f t="shared" si="586"/>
        <v>0</v>
      </c>
      <c r="V380" s="525">
        <f t="shared" si="586"/>
        <v>0</v>
      </c>
      <c r="W380" s="525">
        <f t="shared" si="586"/>
        <v>0</v>
      </c>
      <c r="X380" s="525">
        <f t="shared" si="586"/>
        <v>0</v>
      </c>
      <c r="Y380" s="525">
        <f t="shared" si="586"/>
        <v>0</v>
      </c>
      <c r="Z380" s="525">
        <f t="shared" si="586"/>
        <v>0</v>
      </c>
      <c r="AA380" s="525">
        <f t="shared" si="586"/>
        <v>0</v>
      </c>
      <c r="AB380" s="525">
        <f t="shared" si="586"/>
        <v>0</v>
      </c>
      <c r="AC380" s="525">
        <f t="shared" si="586"/>
        <v>0</v>
      </c>
      <c r="AD380" s="525">
        <f t="shared" si="586"/>
        <v>0</v>
      </c>
      <c r="AE380" s="525">
        <f t="shared" si="586"/>
        <v>0</v>
      </c>
      <c r="AF380" s="525">
        <f t="shared" si="586"/>
        <v>0</v>
      </c>
      <c r="AG380" s="525">
        <f t="shared" si="586"/>
        <v>0</v>
      </c>
      <c r="AH380" s="525">
        <f t="shared" si="586"/>
        <v>0</v>
      </c>
      <c r="AI380" s="525">
        <f t="shared" si="586"/>
        <v>0</v>
      </c>
      <c r="AJ380" s="525">
        <f t="shared" si="586"/>
        <v>0</v>
      </c>
      <c r="AK380" s="525">
        <f t="shared" ref="AK380:BP380" si="587" xml:space="preserve"> AK$377</f>
        <v>0</v>
      </c>
      <c r="AL380" s="525">
        <f t="shared" si="587"/>
        <v>0</v>
      </c>
      <c r="AM380" s="525">
        <f t="shared" si="587"/>
        <v>0</v>
      </c>
      <c r="AN380" s="525">
        <f t="shared" si="587"/>
        <v>0</v>
      </c>
      <c r="AO380" s="525">
        <f t="shared" si="587"/>
        <v>0</v>
      </c>
      <c r="AP380" s="525">
        <f t="shared" si="587"/>
        <v>0</v>
      </c>
      <c r="AQ380" s="525">
        <f t="shared" si="587"/>
        <v>0</v>
      </c>
      <c r="AR380" s="525">
        <f t="shared" si="587"/>
        <v>0</v>
      </c>
      <c r="AS380" s="525">
        <f t="shared" si="587"/>
        <v>0</v>
      </c>
      <c r="AT380" s="525">
        <f t="shared" si="587"/>
        <v>0</v>
      </c>
      <c r="AU380" s="525">
        <f t="shared" si="587"/>
        <v>0</v>
      </c>
      <c r="AV380" s="525">
        <f t="shared" si="587"/>
        <v>0</v>
      </c>
      <c r="AW380" s="525">
        <f t="shared" si="587"/>
        <v>0</v>
      </c>
      <c r="AX380" s="525">
        <f t="shared" si="587"/>
        <v>0</v>
      </c>
      <c r="AY380" s="525">
        <f t="shared" si="587"/>
        <v>0</v>
      </c>
      <c r="AZ380" s="525">
        <f t="shared" si="587"/>
        <v>0</v>
      </c>
      <c r="BA380" s="525">
        <f t="shared" si="587"/>
        <v>0</v>
      </c>
      <c r="BB380" s="525">
        <f t="shared" si="587"/>
        <v>0</v>
      </c>
      <c r="BC380" s="525">
        <f t="shared" si="587"/>
        <v>0</v>
      </c>
      <c r="BD380" s="525">
        <f t="shared" si="587"/>
        <v>0</v>
      </c>
      <c r="BE380" s="525">
        <f t="shared" si="587"/>
        <v>0</v>
      </c>
      <c r="BF380" s="525">
        <f t="shared" si="587"/>
        <v>0</v>
      </c>
      <c r="BG380" s="525">
        <f t="shared" si="587"/>
        <v>0</v>
      </c>
      <c r="BH380" s="525">
        <f t="shared" si="587"/>
        <v>0</v>
      </c>
      <c r="BI380" s="525">
        <f t="shared" si="587"/>
        <v>0</v>
      </c>
      <c r="BJ380" s="525">
        <f t="shared" si="587"/>
        <v>0</v>
      </c>
      <c r="BK380" s="525">
        <f t="shared" si="587"/>
        <v>0</v>
      </c>
      <c r="BL380" s="525">
        <f t="shared" si="587"/>
        <v>0</v>
      </c>
      <c r="BM380" s="525">
        <f t="shared" si="587"/>
        <v>0</v>
      </c>
      <c r="BN380" s="525">
        <f t="shared" si="587"/>
        <v>0</v>
      </c>
      <c r="BO380" s="525">
        <f t="shared" si="587"/>
        <v>0</v>
      </c>
      <c r="BP380" s="525">
        <f t="shared" si="587"/>
        <v>0</v>
      </c>
      <c r="BQ380" s="525">
        <f t="shared" ref="BQ380:CV380" si="588" xml:space="preserve"> BQ$377</f>
        <v>0</v>
      </c>
      <c r="BR380" s="525">
        <f t="shared" si="588"/>
        <v>0</v>
      </c>
      <c r="BS380" s="525">
        <f t="shared" si="588"/>
        <v>0</v>
      </c>
      <c r="BT380" s="525">
        <f t="shared" si="588"/>
        <v>0</v>
      </c>
      <c r="BU380" s="525">
        <f t="shared" si="588"/>
        <v>0</v>
      </c>
      <c r="BV380" s="525">
        <f t="shared" si="588"/>
        <v>0</v>
      </c>
      <c r="BW380" s="525">
        <f t="shared" si="588"/>
        <v>0</v>
      </c>
      <c r="BX380" s="525">
        <f t="shared" si="588"/>
        <v>0</v>
      </c>
      <c r="BY380" s="525">
        <f t="shared" si="588"/>
        <v>0</v>
      </c>
      <c r="BZ380" s="525">
        <f t="shared" si="588"/>
        <v>0</v>
      </c>
      <c r="CA380" s="525">
        <f t="shared" si="588"/>
        <v>0</v>
      </c>
      <c r="CB380" s="525">
        <f t="shared" si="588"/>
        <v>0</v>
      </c>
      <c r="CC380" s="525">
        <f t="shared" si="588"/>
        <v>0</v>
      </c>
      <c r="CD380" s="525">
        <f t="shared" si="588"/>
        <v>0</v>
      </c>
      <c r="CE380" s="525">
        <f t="shared" si="588"/>
        <v>0</v>
      </c>
      <c r="CF380" s="525">
        <f t="shared" si="588"/>
        <v>0</v>
      </c>
      <c r="CG380" s="525">
        <f t="shared" si="588"/>
        <v>0</v>
      </c>
      <c r="CH380" s="525">
        <f t="shared" si="588"/>
        <v>0</v>
      </c>
      <c r="CI380" s="525">
        <f t="shared" si="588"/>
        <v>0</v>
      </c>
      <c r="CJ380" s="525">
        <f t="shared" si="588"/>
        <v>0</v>
      </c>
      <c r="CK380" s="525">
        <f t="shared" si="588"/>
        <v>0</v>
      </c>
      <c r="CL380" s="525">
        <f t="shared" si="588"/>
        <v>0</v>
      </c>
      <c r="CM380" s="525">
        <f t="shared" si="588"/>
        <v>0</v>
      </c>
      <c r="CN380" s="525">
        <f t="shared" si="588"/>
        <v>0</v>
      </c>
      <c r="CO380" s="525">
        <f t="shared" si="588"/>
        <v>0</v>
      </c>
      <c r="CP380" s="525">
        <f t="shared" si="588"/>
        <v>0</v>
      </c>
      <c r="CQ380" s="525">
        <f t="shared" si="588"/>
        <v>0</v>
      </c>
      <c r="CR380" s="525">
        <f t="shared" si="588"/>
        <v>0</v>
      </c>
      <c r="CS380" s="525">
        <f t="shared" si="588"/>
        <v>0</v>
      </c>
      <c r="CT380" s="525">
        <f t="shared" si="588"/>
        <v>0</v>
      </c>
      <c r="CU380" s="525">
        <f t="shared" si="588"/>
        <v>0</v>
      </c>
      <c r="CV380" s="525">
        <f t="shared" si="588"/>
        <v>0</v>
      </c>
    </row>
    <row r="381" spans="1:100" s="191" customFormat="1" ht="12.75" outlineLevel="2" x14ac:dyDescent="0.2">
      <c r="A381" s="700"/>
      <c r="B381" s="700"/>
      <c r="C381" s="701"/>
      <c r="D381" s="702"/>
      <c r="E381" s="525" t="s">
        <v>1062</v>
      </c>
      <c r="F381" s="525"/>
      <c r="G381" s="525" t="str">
        <f xml:space="preserve"> SMU</f>
        <v>$ 000s</v>
      </c>
      <c r="H381" s="666">
        <f xml:space="preserve"> SUM(J381:CV381)</f>
        <v>0</v>
      </c>
      <c r="I381" s="525"/>
      <c r="J381" s="525">
        <f t="shared" ref="J381:AO381" si="589" xml:space="preserve"> MIN(J379, J380)</f>
        <v>0</v>
      </c>
      <c r="K381" s="525">
        <f t="shared" si="589"/>
        <v>0</v>
      </c>
      <c r="L381" s="525">
        <f t="shared" si="589"/>
        <v>0</v>
      </c>
      <c r="M381" s="525">
        <f t="shared" si="589"/>
        <v>0</v>
      </c>
      <c r="N381" s="525">
        <f t="shared" si="589"/>
        <v>0</v>
      </c>
      <c r="O381" s="525">
        <f t="shared" si="589"/>
        <v>0</v>
      </c>
      <c r="P381" s="525">
        <f t="shared" si="589"/>
        <v>0</v>
      </c>
      <c r="Q381" s="525">
        <f t="shared" si="589"/>
        <v>0</v>
      </c>
      <c r="R381" s="525">
        <f t="shared" si="589"/>
        <v>0</v>
      </c>
      <c r="S381" s="525">
        <f t="shared" si="589"/>
        <v>0</v>
      </c>
      <c r="T381" s="525">
        <f t="shared" si="589"/>
        <v>0</v>
      </c>
      <c r="U381" s="525">
        <f t="shared" si="589"/>
        <v>0</v>
      </c>
      <c r="V381" s="525">
        <f t="shared" si="589"/>
        <v>0</v>
      </c>
      <c r="W381" s="525">
        <f t="shared" si="589"/>
        <v>0</v>
      </c>
      <c r="X381" s="525">
        <f t="shared" si="589"/>
        <v>0</v>
      </c>
      <c r="Y381" s="525">
        <f t="shared" si="589"/>
        <v>0</v>
      </c>
      <c r="Z381" s="525">
        <f t="shared" si="589"/>
        <v>0</v>
      </c>
      <c r="AA381" s="525">
        <f t="shared" si="589"/>
        <v>0</v>
      </c>
      <c r="AB381" s="525">
        <f t="shared" si="589"/>
        <v>0</v>
      </c>
      <c r="AC381" s="525">
        <f t="shared" si="589"/>
        <v>0</v>
      </c>
      <c r="AD381" s="525">
        <f t="shared" si="589"/>
        <v>0</v>
      </c>
      <c r="AE381" s="525">
        <f t="shared" si="589"/>
        <v>0</v>
      </c>
      <c r="AF381" s="525">
        <f t="shared" si="589"/>
        <v>0</v>
      </c>
      <c r="AG381" s="525">
        <f t="shared" si="589"/>
        <v>0</v>
      </c>
      <c r="AH381" s="525">
        <f t="shared" si="589"/>
        <v>0</v>
      </c>
      <c r="AI381" s="525">
        <f t="shared" si="589"/>
        <v>0</v>
      </c>
      <c r="AJ381" s="525">
        <f t="shared" si="589"/>
        <v>0</v>
      </c>
      <c r="AK381" s="525">
        <f t="shared" si="589"/>
        <v>0</v>
      </c>
      <c r="AL381" s="525">
        <f t="shared" si="589"/>
        <v>0</v>
      </c>
      <c r="AM381" s="525">
        <f t="shared" si="589"/>
        <v>0</v>
      </c>
      <c r="AN381" s="525">
        <f t="shared" si="589"/>
        <v>0</v>
      </c>
      <c r="AO381" s="525">
        <f t="shared" si="589"/>
        <v>0</v>
      </c>
      <c r="AP381" s="525">
        <f t="shared" ref="AP381:BU381" si="590" xml:space="preserve"> MIN(AP379, AP380)</f>
        <v>0</v>
      </c>
      <c r="AQ381" s="525">
        <f t="shared" si="590"/>
        <v>0</v>
      </c>
      <c r="AR381" s="525">
        <f t="shared" si="590"/>
        <v>0</v>
      </c>
      <c r="AS381" s="525">
        <f t="shared" si="590"/>
        <v>0</v>
      </c>
      <c r="AT381" s="525">
        <f t="shared" si="590"/>
        <v>0</v>
      </c>
      <c r="AU381" s="525">
        <f t="shared" si="590"/>
        <v>0</v>
      </c>
      <c r="AV381" s="525">
        <f t="shared" si="590"/>
        <v>0</v>
      </c>
      <c r="AW381" s="525">
        <f t="shared" si="590"/>
        <v>0</v>
      </c>
      <c r="AX381" s="525">
        <f t="shared" si="590"/>
        <v>0</v>
      </c>
      <c r="AY381" s="525">
        <f t="shared" si="590"/>
        <v>0</v>
      </c>
      <c r="AZ381" s="525">
        <f t="shared" si="590"/>
        <v>0</v>
      </c>
      <c r="BA381" s="525">
        <f t="shared" si="590"/>
        <v>0</v>
      </c>
      <c r="BB381" s="525">
        <f t="shared" si="590"/>
        <v>0</v>
      </c>
      <c r="BC381" s="525">
        <f t="shared" si="590"/>
        <v>0</v>
      </c>
      <c r="BD381" s="525">
        <f t="shared" si="590"/>
        <v>0</v>
      </c>
      <c r="BE381" s="525">
        <f t="shared" si="590"/>
        <v>0</v>
      </c>
      <c r="BF381" s="525">
        <f t="shared" si="590"/>
        <v>0</v>
      </c>
      <c r="BG381" s="525">
        <f t="shared" si="590"/>
        <v>0</v>
      </c>
      <c r="BH381" s="525">
        <f t="shared" si="590"/>
        <v>0</v>
      </c>
      <c r="BI381" s="525">
        <f t="shared" si="590"/>
        <v>0</v>
      </c>
      <c r="BJ381" s="525">
        <f t="shared" si="590"/>
        <v>0</v>
      </c>
      <c r="BK381" s="525">
        <f t="shared" si="590"/>
        <v>0</v>
      </c>
      <c r="BL381" s="525">
        <f t="shared" si="590"/>
        <v>0</v>
      </c>
      <c r="BM381" s="525">
        <f t="shared" si="590"/>
        <v>0</v>
      </c>
      <c r="BN381" s="525">
        <f t="shared" si="590"/>
        <v>0</v>
      </c>
      <c r="BO381" s="525">
        <f t="shared" si="590"/>
        <v>0</v>
      </c>
      <c r="BP381" s="525">
        <f t="shared" si="590"/>
        <v>0</v>
      </c>
      <c r="BQ381" s="525">
        <f t="shared" si="590"/>
        <v>0</v>
      </c>
      <c r="BR381" s="525">
        <f t="shared" si="590"/>
        <v>0</v>
      </c>
      <c r="BS381" s="525">
        <f t="shared" si="590"/>
        <v>0</v>
      </c>
      <c r="BT381" s="525">
        <f t="shared" si="590"/>
        <v>0</v>
      </c>
      <c r="BU381" s="525">
        <f t="shared" si="590"/>
        <v>0</v>
      </c>
      <c r="BV381" s="525">
        <f t="shared" ref="BV381:CV381" si="591" xml:space="preserve"> MIN(BV379, BV380)</f>
        <v>0</v>
      </c>
      <c r="BW381" s="525">
        <f t="shared" si="591"/>
        <v>0</v>
      </c>
      <c r="BX381" s="525">
        <f t="shared" si="591"/>
        <v>0</v>
      </c>
      <c r="BY381" s="525">
        <f t="shared" si="591"/>
        <v>0</v>
      </c>
      <c r="BZ381" s="525">
        <f t="shared" si="591"/>
        <v>0</v>
      </c>
      <c r="CA381" s="525">
        <f t="shared" si="591"/>
        <v>0</v>
      </c>
      <c r="CB381" s="525">
        <f t="shared" si="591"/>
        <v>0</v>
      </c>
      <c r="CC381" s="525">
        <f t="shared" si="591"/>
        <v>0</v>
      </c>
      <c r="CD381" s="525">
        <f t="shared" si="591"/>
        <v>0</v>
      </c>
      <c r="CE381" s="525">
        <f t="shared" si="591"/>
        <v>0</v>
      </c>
      <c r="CF381" s="525">
        <f t="shared" si="591"/>
        <v>0</v>
      </c>
      <c r="CG381" s="525">
        <f t="shared" si="591"/>
        <v>0</v>
      </c>
      <c r="CH381" s="525">
        <f t="shared" si="591"/>
        <v>0</v>
      </c>
      <c r="CI381" s="525">
        <f t="shared" si="591"/>
        <v>0</v>
      </c>
      <c r="CJ381" s="525">
        <f t="shared" si="591"/>
        <v>0</v>
      </c>
      <c r="CK381" s="525">
        <f t="shared" si="591"/>
        <v>0</v>
      </c>
      <c r="CL381" s="525">
        <f t="shared" si="591"/>
        <v>0</v>
      </c>
      <c r="CM381" s="525">
        <f t="shared" si="591"/>
        <v>0</v>
      </c>
      <c r="CN381" s="525">
        <f t="shared" si="591"/>
        <v>0</v>
      </c>
      <c r="CO381" s="525">
        <f t="shared" si="591"/>
        <v>0</v>
      </c>
      <c r="CP381" s="525">
        <f t="shared" si="591"/>
        <v>0</v>
      </c>
      <c r="CQ381" s="525">
        <f t="shared" si="591"/>
        <v>0</v>
      </c>
      <c r="CR381" s="525">
        <f t="shared" si="591"/>
        <v>0</v>
      </c>
      <c r="CS381" s="525">
        <f t="shared" si="591"/>
        <v>0</v>
      </c>
      <c r="CT381" s="525">
        <f t="shared" si="591"/>
        <v>0</v>
      </c>
      <c r="CU381" s="525">
        <f t="shared" si="591"/>
        <v>0</v>
      </c>
      <c r="CV381" s="525">
        <f t="shared" si="591"/>
        <v>0</v>
      </c>
    </row>
    <row r="382" spans="1:100" s="188" customFormat="1" ht="12.75" outlineLevel="2" x14ac:dyDescent="0.2">
      <c r="A382" s="527"/>
      <c r="B382" s="527"/>
      <c r="C382" s="528"/>
      <c r="D382" s="529"/>
      <c r="E382" s="530" t="str">
        <f xml:space="preserve"> LEFT(E381, LEN(E381) - 4)</f>
        <v>Standby debt principal repayment - T1</v>
      </c>
      <c r="F382" s="530"/>
      <c r="G382" s="530" t="str">
        <f xml:space="preserve"> SMU</f>
        <v>$ 000s</v>
      </c>
      <c r="H382" s="530">
        <f xml:space="preserve"> SUM(J382:CV382)</f>
        <v>0</v>
      </c>
      <c r="I382" s="531"/>
      <c r="J382" s="530">
        <f t="shared" ref="J382:AO382" si="592" xml:space="preserve"> -1 * J381</f>
        <v>0</v>
      </c>
      <c r="K382" s="530">
        <f t="shared" si="592"/>
        <v>0</v>
      </c>
      <c r="L382" s="530">
        <f t="shared" si="592"/>
        <v>0</v>
      </c>
      <c r="M382" s="530">
        <f t="shared" si="592"/>
        <v>0</v>
      </c>
      <c r="N382" s="530">
        <f t="shared" si="592"/>
        <v>0</v>
      </c>
      <c r="O382" s="530">
        <f t="shared" si="592"/>
        <v>0</v>
      </c>
      <c r="P382" s="530">
        <f t="shared" si="592"/>
        <v>0</v>
      </c>
      <c r="Q382" s="530">
        <f t="shared" si="592"/>
        <v>0</v>
      </c>
      <c r="R382" s="530">
        <f t="shared" si="592"/>
        <v>0</v>
      </c>
      <c r="S382" s="530">
        <f t="shared" si="592"/>
        <v>0</v>
      </c>
      <c r="T382" s="530">
        <f t="shared" si="592"/>
        <v>0</v>
      </c>
      <c r="U382" s="530">
        <f t="shared" si="592"/>
        <v>0</v>
      </c>
      <c r="V382" s="530">
        <f t="shared" si="592"/>
        <v>0</v>
      </c>
      <c r="W382" s="530">
        <f t="shared" si="592"/>
        <v>0</v>
      </c>
      <c r="X382" s="530">
        <f t="shared" si="592"/>
        <v>0</v>
      </c>
      <c r="Y382" s="530">
        <f t="shared" si="592"/>
        <v>0</v>
      </c>
      <c r="Z382" s="530">
        <f t="shared" si="592"/>
        <v>0</v>
      </c>
      <c r="AA382" s="530">
        <f t="shared" si="592"/>
        <v>0</v>
      </c>
      <c r="AB382" s="530">
        <f t="shared" si="592"/>
        <v>0</v>
      </c>
      <c r="AC382" s="530">
        <f t="shared" si="592"/>
        <v>0</v>
      </c>
      <c r="AD382" s="530">
        <f t="shared" si="592"/>
        <v>0</v>
      </c>
      <c r="AE382" s="530">
        <f t="shared" si="592"/>
        <v>0</v>
      </c>
      <c r="AF382" s="530">
        <f t="shared" si="592"/>
        <v>0</v>
      </c>
      <c r="AG382" s="530">
        <f t="shared" si="592"/>
        <v>0</v>
      </c>
      <c r="AH382" s="530">
        <f t="shared" si="592"/>
        <v>0</v>
      </c>
      <c r="AI382" s="530">
        <f t="shared" si="592"/>
        <v>0</v>
      </c>
      <c r="AJ382" s="530">
        <f t="shared" si="592"/>
        <v>0</v>
      </c>
      <c r="AK382" s="530">
        <f t="shared" si="592"/>
        <v>0</v>
      </c>
      <c r="AL382" s="530">
        <f t="shared" si="592"/>
        <v>0</v>
      </c>
      <c r="AM382" s="530">
        <f t="shared" si="592"/>
        <v>0</v>
      </c>
      <c r="AN382" s="530">
        <f t="shared" si="592"/>
        <v>0</v>
      </c>
      <c r="AO382" s="530">
        <f t="shared" si="592"/>
        <v>0</v>
      </c>
      <c r="AP382" s="530">
        <f t="shared" ref="AP382:BU382" si="593" xml:space="preserve"> -1 * AP381</f>
        <v>0</v>
      </c>
      <c r="AQ382" s="530">
        <f t="shared" si="593"/>
        <v>0</v>
      </c>
      <c r="AR382" s="530">
        <f t="shared" si="593"/>
        <v>0</v>
      </c>
      <c r="AS382" s="530">
        <f t="shared" si="593"/>
        <v>0</v>
      </c>
      <c r="AT382" s="530">
        <f t="shared" si="593"/>
        <v>0</v>
      </c>
      <c r="AU382" s="530">
        <f t="shared" si="593"/>
        <v>0</v>
      </c>
      <c r="AV382" s="530">
        <f t="shared" si="593"/>
        <v>0</v>
      </c>
      <c r="AW382" s="530">
        <f t="shared" si="593"/>
        <v>0</v>
      </c>
      <c r="AX382" s="530">
        <f t="shared" si="593"/>
        <v>0</v>
      </c>
      <c r="AY382" s="530">
        <f t="shared" si="593"/>
        <v>0</v>
      </c>
      <c r="AZ382" s="530">
        <f t="shared" si="593"/>
        <v>0</v>
      </c>
      <c r="BA382" s="530">
        <f t="shared" si="593"/>
        <v>0</v>
      </c>
      <c r="BB382" s="530">
        <f t="shared" si="593"/>
        <v>0</v>
      </c>
      <c r="BC382" s="530">
        <f t="shared" si="593"/>
        <v>0</v>
      </c>
      <c r="BD382" s="530">
        <f t="shared" si="593"/>
        <v>0</v>
      </c>
      <c r="BE382" s="530">
        <f t="shared" si="593"/>
        <v>0</v>
      </c>
      <c r="BF382" s="530">
        <f t="shared" si="593"/>
        <v>0</v>
      </c>
      <c r="BG382" s="530">
        <f t="shared" si="593"/>
        <v>0</v>
      </c>
      <c r="BH382" s="530">
        <f t="shared" si="593"/>
        <v>0</v>
      </c>
      <c r="BI382" s="530">
        <f t="shared" si="593"/>
        <v>0</v>
      </c>
      <c r="BJ382" s="530">
        <f t="shared" si="593"/>
        <v>0</v>
      </c>
      <c r="BK382" s="530">
        <f t="shared" si="593"/>
        <v>0</v>
      </c>
      <c r="BL382" s="530">
        <f t="shared" si="593"/>
        <v>0</v>
      </c>
      <c r="BM382" s="530">
        <f t="shared" si="593"/>
        <v>0</v>
      </c>
      <c r="BN382" s="530">
        <f t="shared" si="593"/>
        <v>0</v>
      </c>
      <c r="BO382" s="530">
        <f t="shared" si="593"/>
        <v>0</v>
      </c>
      <c r="BP382" s="530">
        <f t="shared" si="593"/>
        <v>0</v>
      </c>
      <c r="BQ382" s="530">
        <f t="shared" si="593"/>
        <v>0</v>
      </c>
      <c r="BR382" s="530">
        <f t="shared" si="593"/>
        <v>0</v>
      </c>
      <c r="BS382" s="530">
        <f t="shared" si="593"/>
        <v>0</v>
      </c>
      <c r="BT382" s="530">
        <f t="shared" si="593"/>
        <v>0</v>
      </c>
      <c r="BU382" s="530">
        <f t="shared" si="593"/>
        <v>0</v>
      </c>
      <c r="BV382" s="530">
        <f t="shared" ref="BV382:CV382" si="594" xml:space="preserve"> -1 * BV381</f>
        <v>0</v>
      </c>
      <c r="BW382" s="530">
        <f t="shared" si="594"/>
        <v>0</v>
      </c>
      <c r="BX382" s="530">
        <f t="shared" si="594"/>
        <v>0</v>
      </c>
      <c r="BY382" s="530">
        <f t="shared" si="594"/>
        <v>0</v>
      </c>
      <c r="BZ382" s="530">
        <f t="shared" si="594"/>
        <v>0</v>
      </c>
      <c r="CA382" s="530">
        <f t="shared" si="594"/>
        <v>0</v>
      </c>
      <c r="CB382" s="530">
        <f t="shared" si="594"/>
        <v>0</v>
      </c>
      <c r="CC382" s="530">
        <f t="shared" si="594"/>
        <v>0</v>
      </c>
      <c r="CD382" s="530">
        <f t="shared" si="594"/>
        <v>0</v>
      </c>
      <c r="CE382" s="530">
        <f t="shared" si="594"/>
        <v>0</v>
      </c>
      <c r="CF382" s="530">
        <f t="shared" si="594"/>
        <v>0</v>
      </c>
      <c r="CG382" s="530">
        <f t="shared" si="594"/>
        <v>0</v>
      </c>
      <c r="CH382" s="530">
        <f t="shared" si="594"/>
        <v>0</v>
      </c>
      <c r="CI382" s="530">
        <f t="shared" si="594"/>
        <v>0</v>
      </c>
      <c r="CJ382" s="530">
        <f t="shared" si="594"/>
        <v>0</v>
      </c>
      <c r="CK382" s="530">
        <f t="shared" si="594"/>
        <v>0</v>
      </c>
      <c r="CL382" s="530">
        <f t="shared" si="594"/>
        <v>0</v>
      </c>
      <c r="CM382" s="530">
        <f t="shared" si="594"/>
        <v>0</v>
      </c>
      <c r="CN382" s="530">
        <f t="shared" si="594"/>
        <v>0</v>
      </c>
      <c r="CO382" s="530">
        <f t="shared" si="594"/>
        <v>0</v>
      </c>
      <c r="CP382" s="530">
        <f t="shared" si="594"/>
        <v>0</v>
      </c>
      <c r="CQ382" s="530">
        <f t="shared" si="594"/>
        <v>0</v>
      </c>
      <c r="CR382" s="530">
        <f t="shared" si="594"/>
        <v>0</v>
      </c>
      <c r="CS382" s="530">
        <f t="shared" si="594"/>
        <v>0</v>
      </c>
      <c r="CT382" s="530">
        <f t="shared" si="594"/>
        <v>0</v>
      </c>
      <c r="CU382" s="530">
        <f t="shared" si="594"/>
        <v>0</v>
      </c>
      <c r="CV382" s="530">
        <f t="shared" si="594"/>
        <v>0</v>
      </c>
    </row>
    <row r="383" spans="1:100" ht="12.75" outlineLevel="2" x14ac:dyDescent="0.2">
      <c r="A383" s="522"/>
      <c r="B383" s="522"/>
      <c r="C383" s="523"/>
      <c r="D383" s="524"/>
      <c r="E383" s="525"/>
      <c r="F383" s="525"/>
      <c r="G383" s="525"/>
      <c r="H383" s="525"/>
      <c r="I383" s="526"/>
      <c r="J383" s="525"/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</row>
    <row r="384" spans="1:100" ht="12.75" outlineLevel="2" x14ac:dyDescent="0.2">
      <c r="A384" s="522"/>
      <c r="B384" s="522"/>
      <c r="C384" s="523" t="s">
        <v>450</v>
      </c>
      <c r="D384" s="524"/>
      <c r="E384" s="525"/>
      <c r="F384" s="525"/>
      <c r="G384" s="525"/>
      <c r="H384" s="525"/>
      <c r="I384" s="526"/>
      <c r="J384" s="525"/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</row>
    <row r="385" spans="1:100" s="283" customFormat="1" ht="12.75" outlineLevel="2" x14ac:dyDescent="0.2">
      <c r="A385" s="556"/>
      <c r="B385" s="556"/>
      <c r="C385" s="557"/>
      <c r="D385" s="115"/>
      <c r="E385" s="316" t="str">
        <f xml:space="preserve"> Sensitivity!E$16</f>
        <v>Interest rate - sensitivity</v>
      </c>
      <c r="F385" s="316">
        <f xml:space="preserve"> Sensitivity!F$16</f>
        <v>0</v>
      </c>
      <c r="G385" s="316" t="str">
        <f xml:space="preserve"> Sensitivity!G$16</f>
        <v>% p.a.</v>
      </c>
      <c r="H385" s="115"/>
      <c r="I385" s="112"/>
      <c r="J385" s="282"/>
      <c r="K385" s="282"/>
      <c r="L385" s="282"/>
      <c r="M385" s="282"/>
      <c r="N385" s="282"/>
      <c r="O385" s="282"/>
      <c r="P385" s="282"/>
      <c r="Q385" s="282"/>
      <c r="R385" s="282"/>
      <c r="S385" s="282"/>
      <c r="T385" s="282"/>
      <c r="U385" s="282"/>
      <c r="V385" s="282"/>
      <c r="W385" s="282"/>
      <c r="X385" s="282"/>
      <c r="Y385" s="282"/>
      <c r="Z385" s="282"/>
      <c r="AA385" s="282"/>
      <c r="AB385" s="282"/>
      <c r="AC385" s="282"/>
      <c r="AD385" s="282"/>
      <c r="AE385" s="282"/>
      <c r="AF385" s="282"/>
      <c r="AG385" s="282"/>
      <c r="AH385" s="282"/>
      <c r="AI385" s="282"/>
      <c r="AJ385" s="282"/>
      <c r="AK385" s="282"/>
      <c r="AL385" s="282"/>
      <c r="AM385" s="282"/>
      <c r="AN385" s="282"/>
      <c r="AO385" s="282"/>
      <c r="AP385" s="282"/>
      <c r="AQ385" s="282"/>
      <c r="AR385" s="282"/>
      <c r="AS385" s="282"/>
      <c r="AT385" s="282"/>
      <c r="AU385" s="282"/>
      <c r="AV385" s="282"/>
      <c r="AW385" s="282"/>
      <c r="AX385" s="282"/>
      <c r="AY385" s="282"/>
      <c r="AZ385" s="282"/>
      <c r="BA385" s="282"/>
      <c r="BB385" s="282"/>
      <c r="BC385" s="282"/>
      <c r="BD385" s="282"/>
      <c r="BE385" s="282"/>
      <c r="BF385" s="282"/>
      <c r="BG385" s="282"/>
      <c r="BH385" s="282"/>
      <c r="BI385" s="282"/>
      <c r="BJ385" s="282"/>
      <c r="BK385" s="282"/>
      <c r="BL385" s="282"/>
      <c r="BM385" s="282"/>
      <c r="BN385" s="282"/>
      <c r="BO385" s="282"/>
      <c r="BP385" s="282"/>
      <c r="BQ385" s="282"/>
      <c r="BR385" s="282"/>
      <c r="BS385" s="282"/>
      <c r="BT385" s="282"/>
      <c r="BU385" s="282"/>
      <c r="BV385" s="282"/>
      <c r="BW385" s="282"/>
      <c r="BX385" s="282"/>
      <c r="BY385" s="282"/>
      <c r="BZ385" s="282"/>
      <c r="CA385" s="282"/>
      <c r="CB385" s="282"/>
      <c r="CC385" s="282"/>
      <c r="CD385" s="282"/>
      <c r="CE385" s="282"/>
      <c r="CF385" s="282"/>
      <c r="CG385" s="282"/>
      <c r="CH385" s="282"/>
      <c r="CI385" s="282"/>
      <c r="CJ385" s="282"/>
      <c r="CK385" s="282"/>
      <c r="CL385" s="282"/>
      <c r="CM385" s="282"/>
      <c r="CN385" s="282"/>
      <c r="CO385" s="282"/>
      <c r="CP385" s="282"/>
      <c r="CQ385" s="282"/>
      <c r="CR385" s="282"/>
      <c r="CS385" s="282"/>
      <c r="CT385" s="282"/>
      <c r="CU385" s="282"/>
      <c r="CV385" s="282"/>
    </row>
    <row r="386" spans="1:100" ht="12.75" outlineLevel="2" x14ac:dyDescent="0.2">
      <c r="E386" s="1118" t="str">
        <f t="shared" ref="E386:BP386" si="595" xml:space="preserve"> E$220</f>
        <v>Senior debt margin - T1</v>
      </c>
      <c r="F386" s="1118">
        <f t="shared" si="595"/>
        <v>0</v>
      </c>
      <c r="G386" s="1118" t="str">
        <f t="shared" si="595"/>
        <v>% p.a.</v>
      </c>
      <c r="H386" s="1118">
        <f t="shared" si="595"/>
        <v>0</v>
      </c>
      <c r="I386" s="1118">
        <f t="shared" si="595"/>
        <v>0</v>
      </c>
      <c r="J386" s="1118">
        <f t="shared" si="595"/>
        <v>0</v>
      </c>
      <c r="K386" s="1118">
        <f t="shared" si="595"/>
        <v>0</v>
      </c>
      <c r="L386" s="1118">
        <f t="shared" si="595"/>
        <v>0</v>
      </c>
      <c r="M386" s="1118">
        <f t="shared" si="595"/>
        <v>0</v>
      </c>
      <c r="N386" s="1118">
        <f t="shared" si="595"/>
        <v>0</v>
      </c>
      <c r="O386" s="1118">
        <f t="shared" si="595"/>
        <v>2.5000000000000001E-2</v>
      </c>
      <c r="P386" s="1118">
        <f t="shared" si="595"/>
        <v>2.5000000000000001E-2</v>
      </c>
      <c r="Q386" s="1118">
        <f t="shared" si="595"/>
        <v>2.5000000000000001E-2</v>
      </c>
      <c r="R386" s="1118">
        <f t="shared" si="595"/>
        <v>2.5000000000000001E-2</v>
      </c>
      <c r="S386" s="1118">
        <f t="shared" si="595"/>
        <v>2.5000000000000001E-2</v>
      </c>
      <c r="T386" s="1118">
        <f t="shared" si="595"/>
        <v>2.5000000000000001E-2</v>
      </c>
      <c r="U386" s="1118">
        <f t="shared" si="595"/>
        <v>2.5000000000000001E-2</v>
      </c>
      <c r="V386" s="1118">
        <f t="shared" si="595"/>
        <v>2.5000000000000001E-2</v>
      </c>
      <c r="W386" s="1118">
        <f t="shared" si="595"/>
        <v>2.5000000000000001E-2</v>
      </c>
      <c r="X386" s="1118">
        <f t="shared" si="595"/>
        <v>2.5000000000000001E-2</v>
      </c>
      <c r="Y386" s="1118">
        <f t="shared" si="595"/>
        <v>2.7E-2</v>
      </c>
      <c r="Z386" s="1118">
        <f t="shared" si="595"/>
        <v>2.7E-2</v>
      </c>
      <c r="AA386" s="1118">
        <f t="shared" si="595"/>
        <v>2.7E-2</v>
      </c>
      <c r="AB386" s="1118">
        <f t="shared" si="595"/>
        <v>2.7E-2</v>
      </c>
      <c r="AC386" s="1118">
        <f t="shared" si="595"/>
        <v>2.7E-2</v>
      </c>
      <c r="AD386" s="1118">
        <f t="shared" si="595"/>
        <v>2.7E-2</v>
      </c>
      <c r="AE386" s="1118">
        <f t="shared" si="595"/>
        <v>2.7E-2</v>
      </c>
      <c r="AF386" s="1118">
        <f t="shared" si="595"/>
        <v>2.7E-2</v>
      </c>
      <c r="AG386" s="1118">
        <f t="shared" si="595"/>
        <v>2.7E-2</v>
      </c>
      <c r="AH386" s="1118">
        <f t="shared" si="595"/>
        <v>2.7E-2</v>
      </c>
      <c r="AI386" s="1118">
        <f t="shared" si="595"/>
        <v>2.9000000000000001E-2</v>
      </c>
      <c r="AJ386" s="1118">
        <f t="shared" si="595"/>
        <v>2.9000000000000001E-2</v>
      </c>
      <c r="AK386" s="1118">
        <f t="shared" si="595"/>
        <v>2.9000000000000001E-2</v>
      </c>
      <c r="AL386" s="1118">
        <f t="shared" si="595"/>
        <v>2.9000000000000001E-2</v>
      </c>
      <c r="AM386" s="1118">
        <f t="shared" si="595"/>
        <v>2.9000000000000001E-2</v>
      </c>
      <c r="AN386" s="1118">
        <f t="shared" si="595"/>
        <v>2.9000000000000001E-2</v>
      </c>
      <c r="AO386" s="1118">
        <f t="shared" si="595"/>
        <v>2.9000000000000001E-2</v>
      </c>
      <c r="AP386" s="1118">
        <f t="shared" si="595"/>
        <v>2.9000000000000001E-2</v>
      </c>
      <c r="AQ386" s="1118">
        <f t="shared" si="595"/>
        <v>2.9000000000000001E-2</v>
      </c>
      <c r="AR386" s="1118">
        <f t="shared" si="595"/>
        <v>2.9000000000000001E-2</v>
      </c>
      <c r="AS386" s="1118">
        <f t="shared" si="595"/>
        <v>2.9000000000000001E-2</v>
      </c>
      <c r="AT386" s="1118">
        <f t="shared" si="595"/>
        <v>2.9000000000000001E-2</v>
      </c>
      <c r="AU386" s="1118">
        <f t="shared" si="595"/>
        <v>2.9000000000000001E-2</v>
      </c>
      <c r="AV386" s="1118">
        <f t="shared" si="595"/>
        <v>2.9000000000000001E-2</v>
      </c>
      <c r="AW386" s="1118">
        <f t="shared" si="595"/>
        <v>0</v>
      </c>
      <c r="AX386" s="1118">
        <f t="shared" si="595"/>
        <v>0</v>
      </c>
      <c r="AY386" s="1118">
        <f t="shared" si="595"/>
        <v>0</v>
      </c>
      <c r="AZ386" s="1118">
        <f t="shared" si="595"/>
        <v>0</v>
      </c>
      <c r="BA386" s="1118">
        <f t="shared" si="595"/>
        <v>0</v>
      </c>
      <c r="BB386" s="1118">
        <f t="shared" si="595"/>
        <v>0</v>
      </c>
      <c r="BC386" s="1118">
        <f t="shared" si="595"/>
        <v>0</v>
      </c>
      <c r="BD386" s="1118">
        <f t="shared" si="595"/>
        <v>0</v>
      </c>
      <c r="BE386" s="1118">
        <f t="shared" si="595"/>
        <v>0</v>
      </c>
      <c r="BF386" s="1118">
        <f t="shared" si="595"/>
        <v>0</v>
      </c>
      <c r="BG386" s="1118">
        <f t="shared" si="595"/>
        <v>0</v>
      </c>
      <c r="BH386" s="1118">
        <f t="shared" si="595"/>
        <v>0</v>
      </c>
      <c r="BI386" s="1118">
        <f t="shared" si="595"/>
        <v>0</v>
      </c>
      <c r="BJ386" s="1118">
        <f t="shared" si="595"/>
        <v>0</v>
      </c>
      <c r="BK386" s="1118">
        <f t="shared" si="595"/>
        <v>0</v>
      </c>
      <c r="BL386" s="1118">
        <f t="shared" si="595"/>
        <v>0</v>
      </c>
      <c r="BM386" s="1118">
        <f t="shared" si="595"/>
        <v>0</v>
      </c>
      <c r="BN386" s="1118">
        <f t="shared" si="595"/>
        <v>0</v>
      </c>
      <c r="BO386" s="1118">
        <f t="shared" si="595"/>
        <v>0</v>
      </c>
      <c r="BP386" s="1118">
        <f t="shared" si="595"/>
        <v>0</v>
      </c>
      <c r="BQ386" s="1118">
        <f t="shared" ref="BQ386:CV386" si="596" xml:space="preserve"> BQ$220</f>
        <v>0</v>
      </c>
      <c r="BR386" s="1118">
        <f t="shared" si="596"/>
        <v>0</v>
      </c>
      <c r="BS386" s="1118">
        <f t="shared" si="596"/>
        <v>0</v>
      </c>
      <c r="BT386" s="1118">
        <f t="shared" si="596"/>
        <v>0</v>
      </c>
      <c r="BU386" s="1118">
        <f t="shared" si="596"/>
        <v>0</v>
      </c>
      <c r="BV386" s="1118">
        <f t="shared" si="596"/>
        <v>0</v>
      </c>
      <c r="BW386" s="1118">
        <f t="shared" si="596"/>
        <v>0</v>
      </c>
      <c r="BX386" s="1118">
        <f t="shared" si="596"/>
        <v>0</v>
      </c>
      <c r="BY386" s="1118">
        <f t="shared" si="596"/>
        <v>0</v>
      </c>
      <c r="BZ386" s="1118">
        <f t="shared" si="596"/>
        <v>0</v>
      </c>
      <c r="CA386" s="1118">
        <f t="shared" si="596"/>
        <v>0</v>
      </c>
      <c r="CB386" s="1118">
        <f t="shared" si="596"/>
        <v>0</v>
      </c>
      <c r="CC386" s="1118">
        <f t="shared" si="596"/>
        <v>0</v>
      </c>
      <c r="CD386" s="1118">
        <f t="shared" si="596"/>
        <v>0</v>
      </c>
      <c r="CE386" s="1118">
        <f t="shared" si="596"/>
        <v>0</v>
      </c>
      <c r="CF386" s="1118">
        <f t="shared" si="596"/>
        <v>0</v>
      </c>
      <c r="CG386" s="1118">
        <f t="shared" si="596"/>
        <v>0</v>
      </c>
      <c r="CH386" s="1118">
        <f t="shared" si="596"/>
        <v>0</v>
      </c>
      <c r="CI386" s="1118">
        <f t="shared" si="596"/>
        <v>0</v>
      </c>
      <c r="CJ386" s="1118">
        <f t="shared" si="596"/>
        <v>0</v>
      </c>
      <c r="CK386" s="1118">
        <f t="shared" si="596"/>
        <v>0</v>
      </c>
      <c r="CL386" s="1118">
        <f t="shared" si="596"/>
        <v>0</v>
      </c>
      <c r="CM386" s="1118">
        <f t="shared" si="596"/>
        <v>0</v>
      </c>
      <c r="CN386" s="1118">
        <f t="shared" si="596"/>
        <v>0</v>
      </c>
      <c r="CO386" s="1118">
        <f t="shared" si="596"/>
        <v>0</v>
      </c>
      <c r="CP386" s="1118">
        <f t="shared" si="596"/>
        <v>0</v>
      </c>
      <c r="CQ386" s="1118">
        <f t="shared" si="596"/>
        <v>0</v>
      </c>
      <c r="CR386" s="1118">
        <f t="shared" si="596"/>
        <v>0</v>
      </c>
      <c r="CS386" s="1118">
        <f t="shared" si="596"/>
        <v>0</v>
      </c>
      <c r="CT386" s="1118">
        <f t="shared" si="596"/>
        <v>0</v>
      </c>
      <c r="CU386" s="1118">
        <f t="shared" si="596"/>
        <v>0</v>
      </c>
      <c r="CV386" s="1118">
        <f t="shared" si="596"/>
        <v>0</v>
      </c>
    </row>
    <row r="387" spans="1:100" ht="12.75" outlineLevel="2" x14ac:dyDescent="0.2">
      <c r="A387" s="522"/>
      <c r="B387" s="522"/>
      <c r="C387" s="523"/>
      <c r="D387" s="524"/>
      <c r="E387" s="450" t="str">
        <f xml:space="preserve"> InpS!E$13</f>
        <v>Active debt forward curve</v>
      </c>
      <c r="F387" s="450">
        <f xml:space="preserve"> InpS!F$13</f>
        <v>0</v>
      </c>
      <c r="G387" s="450" t="str">
        <f xml:space="preserve"> InpS!G$13</f>
        <v>% p.a.</v>
      </c>
      <c r="H387" s="450">
        <f xml:space="preserve"> InpS!H$13</f>
        <v>0</v>
      </c>
      <c r="I387" s="450">
        <f xml:space="preserve"> InpS!I$13</f>
        <v>0</v>
      </c>
      <c r="J387" s="450">
        <f xml:space="preserve"> InpS!J$13</f>
        <v>2.0062E-2</v>
      </c>
      <c r="K387" s="450">
        <f xml:space="preserve"> InpS!K$13</f>
        <v>2.0124E-2</v>
      </c>
      <c r="L387" s="450">
        <f xml:space="preserve"> InpS!L$13</f>
        <v>2.0184000000000001E-2</v>
      </c>
      <c r="M387" s="450">
        <f xml:space="preserve"> InpS!M$13</f>
        <v>2.0241000000000002E-2</v>
      </c>
      <c r="N387" s="450">
        <f xml:space="preserve"> InpS!N$13</f>
        <v>2.0308000000000003E-2</v>
      </c>
      <c r="O387" s="450">
        <f xml:space="preserve"> InpS!O$13</f>
        <v>2.0375000000000004E-2</v>
      </c>
      <c r="P387" s="450">
        <f xml:space="preserve"> InpS!P$13</f>
        <v>2.0434000000000004E-2</v>
      </c>
      <c r="Q387" s="450">
        <f xml:space="preserve"> InpS!Q$13</f>
        <v>2.0506000000000003E-2</v>
      </c>
      <c r="R387" s="450">
        <f xml:space="preserve"> InpS!R$13</f>
        <v>2.0569000000000004E-2</v>
      </c>
      <c r="S387" s="450">
        <f xml:space="preserve"> InpS!S$13</f>
        <v>2.0620000000000003E-2</v>
      </c>
      <c r="T387" s="450">
        <f xml:space="preserve"> InpS!T$13</f>
        <v>2.0666000000000004E-2</v>
      </c>
      <c r="U387" s="450">
        <f xml:space="preserve"> InpS!U$13</f>
        <v>2.0719000000000005E-2</v>
      </c>
      <c r="V387" s="450">
        <f xml:space="preserve"> InpS!V$13</f>
        <v>2.0757000000000005E-2</v>
      </c>
      <c r="W387" s="450">
        <f xml:space="preserve"> InpS!W$13</f>
        <v>2.0795000000000004E-2</v>
      </c>
      <c r="X387" s="450">
        <f xml:space="preserve"> InpS!X$13</f>
        <v>2.0850000000000004E-2</v>
      </c>
      <c r="Y387" s="450">
        <f xml:space="preserve"> InpS!Y$13</f>
        <v>2.0888000000000004E-2</v>
      </c>
      <c r="Z387" s="450">
        <f xml:space="preserve"> InpS!Z$13</f>
        <v>2.0954000000000004E-2</v>
      </c>
      <c r="AA387" s="450">
        <f xml:space="preserve"> InpS!AA$13</f>
        <v>2.1024000000000004E-2</v>
      </c>
      <c r="AB387" s="450">
        <f xml:space="preserve"> InpS!AB$13</f>
        <v>2.1091000000000006E-2</v>
      </c>
      <c r="AC387" s="450">
        <f xml:space="preserve"> InpS!AC$13</f>
        <v>2.1134000000000007E-2</v>
      </c>
      <c r="AD387" s="450">
        <f xml:space="preserve"> InpS!AD$13</f>
        <v>2.1205000000000009E-2</v>
      </c>
      <c r="AE387" s="450">
        <f xml:space="preserve"> InpS!AE$13</f>
        <v>2.127900000000001E-2</v>
      </c>
      <c r="AF387" s="450">
        <f xml:space="preserve"> InpS!AF$13</f>
        <v>2.1316000000000009E-2</v>
      </c>
      <c r="AG387" s="450">
        <f xml:space="preserve"> InpS!AG$13</f>
        <v>2.1367000000000008E-2</v>
      </c>
      <c r="AH387" s="450">
        <f xml:space="preserve"> InpS!AH$13</f>
        <v>2.1421000000000006E-2</v>
      </c>
      <c r="AI387" s="450">
        <f xml:space="preserve"> InpS!AI$13</f>
        <v>2.1470000000000006E-2</v>
      </c>
      <c r="AJ387" s="450">
        <f xml:space="preserve"> InpS!AJ$13</f>
        <v>2.1516000000000007E-2</v>
      </c>
      <c r="AK387" s="450">
        <f xml:space="preserve"> InpS!AK$13</f>
        <v>2.1570000000000006E-2</v>
      </c>
      <c r="AL387" s="450">
        <f xml:space="preserve"> InpS!AL$13</f>
        <v>2.1639000000000005E-2</v>
      </c>
      <c r="AM387" s="450">
        <f xml:space="preserve"> InpS!AM$13</f>
        <v>2.1709000000000006E-2</v>
      </c>
      <c r="AN387" s="450">
        <f xml:space="preserve"> InpS!AN$13</f>
        <v>2.1772000000000007E-2</v>
      </c>
      <c r="AO387" s="450">
        <f xml:space="preserve"> InpS!AO$13</f>
        <v>2.1813000000000006E-2</v>
      </c>
      <c r="AP387" s="450">
        <f xml:space="preserve"> InpS!AP$13</f>
        <v>2.1858000000000006E-2</v>
      </c>
      <c r="AQ387" s="450">
        <f xml:space="preserve"> InpS!AQ$13</f>
        <v>2.1913000000000005E-2</v>
      </c>
      <c r="AR387" s="450">
        <f xml:space="preserve"> InpS!AR$13</f>
        <v>2.1986000000000006E-2</v>
      </c>
      <c r="AS387" s="450">
        <f xml:space="preserve"> InpS!AS$13</f>
        <v>2.2041000000000005E-2</v>
      </c>
      <c r="AT387" s="450">
        <f xml:space="preserve"> InpS!AT$13</f>
        <v>2.2089000000000004E-2</v>
      </c>
      <c r="AU387" s="450">
        <f xml:space="preserve"> InpS!AU$13</f>
        <v>2.2148000000000004E-2</v>
      </c>
      <c r="AV387" s="450">
        <f xml:space="preserve"> InpS!AV$13</f>
        <v>2.2216000000000003E-2</v>
      </c>
      <c r="AW387" s="450">
        <f xml:space="preserve"> InpS!AW$13</f>
        <v>2.2282000000000003E-2</v>
      </c>
      <c r="AX387" s="450">
        <f xml:space="preserve"> InpS!AX$13</f>
        <v>2.2351000000000003E-2</v>
      </c>
      <c r="AY387" s="450">
        <f xml:space="preserve"> InpS!AY$13</f>
        <v>2.2409000000000002E-2</v>
      </c>
      <c r="AZ387" s="450">
        <f xml:space="preserve"> InpS!AZ$13</f>
        <v>2.2445000000000003E-2</v>
      </c>
      <c r="BA387" s="450">
        <f xml:space="preserve"> InpS!BA$13</f>
        <v>2.2489000000000002E-2</v>
      </c>
      <c r="BB387" s="450">
        <f xml:space="preserve"> InpS!BB$13</f>
        <v>2.2535000000000003E-2</v>
      </c>
      <c r="BC387" s="450">
        <f xml:space="preserve"> InpS!BC$13</f>
        <v>2.2607000000000002E-2</v>
      </c>
      <c r="BD387" s="450">
        <f xml:space="preserve"> InpS!BD$13</f>
        <v>2.2647E-2</v>
      </c>
      <c r="BE387" s="450">
        <f xml:space="preserve"> InpS!BE$13</f>
        <v>2.2683999999999999E-2</v>
      </c>
      <c r="BF387" s="450">
        <f xml:space="preserve"> InpS!BF$13</f>
        <v>2.2734000000000001E-2</v>
      </c>
      <c r="BG387" s="450">
        <f xml:space="preserve"> InpS!BG$13</f>
        <v>2.2806E-2</v>
      </c>
      <c r="BH387" s="450">
        <f xml:space="preserve"> InpS!BH$13</f>
        <v>2.2852000000000001E-2</v>
      </c>
      <c r="BI387" s="450">
        <f xml:space="preserve"> InpS!BI$13</f>
        <v>2.2898999999999999E-2</v>
      </c>
      <c r="BJ387" s="450">
        <f xml:space="preserve"> InpS!BJ$13</f>
        <v>2.2952999999999998E-2</v>
      </c>
      <c r="BK387" s="450">
        <f xml:space="preserve"> InpS!BK$13</f>
        <v>2.3027999999999996E-2</v>
      </c>
      <c r="BL387" s="450">
        <f xml:space="preserve"> InpS!BL$13</f>
        <v>2.3093999999999996E-2</v>
      </c>
      <c r="BM387" s="450">
        <f xml:space="preserve"> InpS!BM$13</f>
        <v>2.3145999999999996E-2</v>
      </c>
      <c r="BN387" s="450">
        <f xml:space="preserve"> InpS!BN$13</f>
        <v>2.3211999999999997E-2</v>
      </c>
      <c r="BO387" s="450">
        <f xml:space="preserve"> InpS!BO$13</f>
        <v>2.3253999999999997E-2</v>
      </c>
      <c r="BP387" s="450">
        <f xml:space="preserve"> InpS!BP$13</f>
        <v>2.3288999999999997E-2</v>
      </c>
      <c r="BQ387" s="450">
        <f xml:space="preserve"> InpS!BQ$13</f>
        <v>2.3333999999999997E-2</v>
      </c>
      <c r="BR387" s="450">
        <f xml:space="preserve"> InpS!BR$13</f>
        <v>2.3372999999999998E-2</v>
      </c>
      <c r="BS387" s="450">
        <f xml:space="preserve"> InpS!BS$13</f>
        <v>2.3413999999999997E-2</v>
      </c>
      <c r="BT387" s="450">
        <f xml:space="preserve"> InpS!BT$13</f>
        <v>2.3472999999999997E-2</v>
      </c>
      <c r="BU387" s="450">
        <f xml:space="preserve"> InpS!BU$13</f>
        <v>2.3519999999999996E-2</v>
      </c>
      <c r="BV387" s="450">
        <f xml:space="preserve"> InpS!BV$13</f>
        <v>2.3592999999999996E-2</v>
      </c>
      <c r="BW387" s="450">
        <f xml:space="preserve"> InpS!BW$13</f>
        <v>2.3660999999999995E-2</v>
      </c>
      <c r="BX387" s="450">
        <f xml:space="preserve"> InpS!BX$13</f>
        <v>2.3728999999999993E-2</v>
      </c>
      <c r="BY387" s="450">
        <f xml:space="preserve"> InpS!BY$13</f>
        <v>2.3785999999999995E-2</v>
      </c>
      <c r="BZ387" s="450">
        <f xml:space="preserve"> InpS!BZ$13</f>
        <v>2.3841999999999995E-2</v>
      </c>
      <c r="CA387" s="450">
        <f xml:space="preserve"> InpS!CA$13</f>
        <v>2.3907999999999995E-2</v>
      </c>
      <c r="CB387" s="450">
        <f xml:space="preserve"> InpS!CB$13</f>
        <v>2.3961999999999994E-2</v>
      </c>
      <c r="CC387" s="450">
        <f xml:space="preserve"> InpS!CC$13</f>
        <v>2.4011999999999995E-2</v>
      </c>
      <c r="CD387" s="450">
        <f xml:space="preserve"> InpS!CD$13</f>
        <v>2.4070999999999995E-2</v>
      </c>
      <c r="CE387" s="450">
        <f xml:space="preserve"> InpS!CE$13</f>
        <v>2.4119999999999996E-2</v>
      </c>
      <c r="CF387" s="450">
        <f xml:space="preserve"> InpS!CF$13</f>
        <v>2.4166999999999994E-2</v>
      </c>
      <c r="CG387" s="450">
        <f xml:space="preserve"> InpS!CG$13</f>
        <v>2.4215999999999994E-2</v>
      </c>
      <c r="CH387" s="450">
        <f xml:space="preserve"> InpS!CH$13</f>
        <v>2.4263999999999994E-2</v>
      </c>
      <c r="CI387" s="450">
        <f xml:space="preserve"> InpS!CI$13</f>
        <v>2.4301999999999994E-2</v>
      </c>
      <c r="CJ387" s="450">
        <f xml:space="preserve"> InpS!CJ$13</f>
        <v>2.4365999999999995E-2</v>
      </c>
      <c r="CK387" s="450">
        <f xml:space="preserve"> InpS!CK$13</f>
        <v>2.4408999999999997E-2</v>
      </c>
      <c r="CL387" s="450">
        <f xml:space="preserve"> InpS!CL$13</f>
        <v>2.4462999999999995E-2</v>
      </c>
      <c r="CM387" s="450">
        <f xml:space="preserve"> InpS!CM$13</f>
        <v>2.4530999999999994E-2</v>
      </c>
      <c r="CN387" s="450">
        <f xml:space="preserve"> InpS!CN$13</f>
        <v>2.4586999999999994E-2</v>
      </c>
      <c r="CO387" s="450">
        <f xml:space="preserve"> InpS!CO$13</f>
        <v>2.4622999999999996E-2</v>
      </c>
      <c r="CP387" s="450">
        <f xml:space="preserve"> InpS!CP$13</f>
        <v>2.4688999999999996E-2</v>
      </c>
      <c r="CQ387" s="450">
        <f xml:space="preserve"> InpS!CQ$13</f>
        <v>2.4738999999999997E-2</v>
      </c>
      <c r="CR387" s="450">
        <f xml:space="preserve"> InpS!CR$13</f>
        <v>2.4789999999999996E-2</v>
      </c>
      <c r="CS387" s="450">
        <f xml:space="preserve"> InpS!CS$13</f>
        <v>2.4834999999999996E-2</v>
      </c>
      <c r="CT387" s="450">
        <f xml:space="preserve"> InpS!CT$13</f>
        <v>2.4872999999999996E-2</v>
      </c>
      <c r="CU387" s="450">
        <f xml:space="preserve"> InpS!CU$13</f>
        <v>2.4930999999999995E-2</v>
      </c>
      <c r="CV387" s="450">
        <f xml:space="preserve"> InpS!CV$13</f>
        <v>2.4983999999999996E-2</v>
      </c>
    </row>
    <row r="388" spans="1:100" ht="12.75" outlineLevel="2" x14ac:dyDescent="0.2">
      <c r="A388" s="700"/>
      <c r="B388" s="700"/>
      <c r="C388" s="701"/>
      <c r="D388" s="702"/>
      <c r="E388" s="704" t="s">
        <v>1064</v>
      </c>
      <c r="F388" s="704"/>
      <c r="G388" s="704" t="s">
        <v>116</v>
      </c>
      <c r="H388" s="704"/>
      <c r="I388" s="704"/>
      <c r="J388" s="704">
        <f t="shared" ref="J388:AO388" si="597" xml:space="preserve"> J387 + J386 + $F385</f>
        <v>2.0062E-2</v>
      </c>
      <c r="K388" s="704">
        <f t="shared" si="597"/>
        <v>2.0124E-2</v>
      </c>
      <c r="L388" s="704">
        <f t="shared" si="597"/>
        <v>2.0184000000000001E-2</v>
      </c>
      <c r="M388" s="704">
        <f t="shared" si="597"/>
        <v>2.0241000000000002E-2</v>
      </c>
      <c r="N388" s="704">
        <f t="shared" si="597"/>
        <v>2.0308000000000003E-2</v>
      </c>
      <c r="O388" s="704">
        <f t="shared" si="597"/>
        <v>4.5375000000000006E-2</v>
      </c>
      <c r="P388" s="704">
        <f t="shared" si="597"/>
        <v>4.5434000000000002E-2</v>
      </c>
      <c r="Q388" s="704">
        <f t="shared" si="597"/>
        <v>4.5506000000000005E-2</v>
      </c>
      <c r="R388" s="704">
        <f t="shared" si="597"/>
        <v>4.5569000000000005E-2</v>
      </c>
      <c r="S388" s="704">
        <f t="shared" si="597"/>
        <v>4.5620000000000008E-2</v>
      </c>
      <c r="T388" s="704">
        <f t="shared" si="597"/>
        <v>4.5666000000000005E-2</v>
      </c>
      <c r="U388" s="704">
        <f t="shared" si="597"/>
        <v>4.571900000000001E-2</v>
      </c>
      <c r="V388" s="704">
        <f t="shared" si="597"/>
        <v>4.5757000000000006E-2</v>
      </c>
      <c r="W388" s="704">
        <f t="shared" si="597"/>
        <v>4.5795000000000002E-2</v>
      </c>
      <c r="X388" s="704">
        <f t="shared" si="597"/>
        <v>4.5850000000000002E-2</v>
      </c>
      <c r="Y388" s="704">
        <f t="shared" si="597"/>
        <v>4.7888E-2</v>
      </c>
      <c r="Z388" s="704">
        <f t="shared" si="597"/>
        <v>4.7954000000000004E-2</v>
      </c>
      <c r="AA388" s="704">
        <f t="shared" si="597"/>
        <v>4.8024000000000004E-2</v>
      </c>
      <c r="AB388" s="704">
        <f t="shared" si="597"/>
        <v>4.8091000000000009E-2</v>
      </c>
      <c r="AC388" s="704">
        <f t="shared" si="597"/>
        <v>4.813400000000001E-2</v>
      </c>
      <c r="AD388" s="704">
        <f t="shared" si="597"/>
        <v>4.8205000000000012E-2</v>
      </c>
      <c r="AE388" s="704">
        <f t="shared" si="597"/>
        <v>4.8279000000000009E-2</v>
      </c>
      <c r="AF388" s="704">
        <f t="shared" si="597"/>
        <v>4.8316000000000012E-2</v>
      </c>
      <c r="AG388" s="704">
        <f t="shared" si="597"/>
        <v>4.8367000000000007E-2</v>
      </c>
      <c r="AH388" s="704">
        <f t="shared" si="597"/>
        <v>4.8421000000000006E-2</v>
      </c>
      <c r="AI388" s="704">
        <f t="shared" si="597"/>
        <v>5.0470000000000008E-2</v>
      </c>
      <c r="AJ388" s="704">
        <f t="shared" si="597"/>
        <v>5.0516000000000005E-2</v>
      </c>
      <c r="AK388" s="704">
        <f t="shared" si="597"/>
        <v>5.0570000000000004E-2</v>
      </c>
      <c r="AL388" s="704">
        <f t="shared" si="597"/>
        <v>5.0639000000000003E-2</v>
      </c>
      <c r="AM388" s="704">
        <f t="shared" si="597"/>
        <v>5.0709000000000004E-2</v>
      </c>
      <c r="AN388" s="704">
        <f t="shared" si="597"/>
        <v>5.0772000000000012E-2</v>
      </c>
      <c r="AO388" s="704">
        <f t="shared" si="597"/>
        <v>5.0813000000000011E-2</v>
      </c>
      <c r="AP388" s="704">
        <f t="shared" ref="AP388:BU388" si="598" xml:space="preserve"> AP387 + AP386 + $F385</f>
        <v>5.0858000000000007E-2</v>
      </c>
      <c r="AQ388" s="704">
        <f t="shared" si="598"/>
        <v>5.0913000000000007E-2</v>
      </c>
      <c r="AR388" s="704">
        <f t="shared" si="598"/>
        <v>5.0986000000000004E-2</v>
      </c>
      <c r="AS388" s="704">
        <f t="shared" si="598"/>
        <v>5.1041000000000003E-2</v>
      </c>
      <c r="AT388" s="704">
        <f t="shared" si="598"/>
        <v>5.1089000000000009E-2</v>
      </c>
      <c r="AU388" s="704">
        <f t="shared" si="598"/>
        <v>5.1148000000000006E-2</v>
      </c>
      <c r="AV388" s="704">
        <f t="shared" si="598"/>
        <v>5.1216000000000005E-2</v>
      </c>
      <c r="AW388" s="704">
        <f t="shared" si="598"/>
        <v>2.2282000000000003E-2</v>
      </c>
      <c r="AX388" s="704">
        <f t="shared" si="598"/>
        <v>2.2351000000000003E-2</v>
      </c>
      <c r="AY388" s="704">
        <f t="shared" si="598"/>
        <v>2.2409000000000002E-2</v>
      </c>
      <c r="AZ388" s="704">
        <f t="shared" si="598"/>
        <v>2.2445000000000003E-2</v>
      </c>
      <c r="BA388" s="704">
        <f t="shared" si="598"/>
        <v>2.2489000000000002E-2</v>
      </c>
      <c r="BB388" s="704">
        <f t="shared" si="598"/>
        <v>2.2535000000000003E-2</v>
      </c>
      <c r="BC388" s="704">
        <f t="shared" si="598"/>
        <v>2.2607000000000002E-2</v>
      </c>
      <c r="BD388" s="704">
        <f t="shared" si="598"/>
        <v>2.2647E-2</v>
      </c>
      <c r="BE388" s="704">
        <f t="shared" si="598"/>
        <v>2.2683999999999999E-2</v>
      </c>
      <c r="BF388" s="704">
        <f t="shared" si="598"/>
        <v>2.2734000000000001E-2</v>
      </c>
      <c r="BG388" s="704">
        <f t="shared" si="598"/>
        <v>2.2806E-2</v>
      </c>
      <c r="BH388" s="704">
        <f t="shared" si="598"/>
        <v>2.2852000000000001E-2</v>
      </c>
      <c r="BI388" s="704">
        <f t="shared" si="598"/>
        <v>2.2898999999999999E-2</v>
      </c>
      <c r="BJ388" s="704">
        <f t="shared" si="598"/>
        <v>2.2952999999999998E-2</v>
      </c>
      <c r="BK388" s="704">
        <f t="shared" si="598"/>
        <v>2.3027999999999996E-2</v>
      </c>
      <c r="BL388" s="704">
        <f t="shared" si="598"/>
        <v>2.3093999999999996E-2</v>
      </c>
      <c r="BM388" s="704">
        <f t="shared" si="598"/>
        <v>2.3145999999999996E-2</v>
      </c>
      <c r="BN388" s="704">
        <f t="shared" si="598"/>
        <v>2.3211999999999997E-2</v>
      </c>
      <c r="BO388" s="704">
        <f t="shared" si="598"/>
        <v>2.3253999999999997E-2</v>
      </c>
      <c r="BP388" s="704">
        <f t="shared" si="598"/>
        <v>2.3288999999999997E-2</v>
      </c>
      <c r="BQ388" s="704">
        <f t="shared" si="598"/>
        <v>2.3333999999999997E-2</v>
      </c>
      <c r="BR388" s="704">
        <f t="shared" si="598"/>
        <v>2.3372999999999998E-2</v>
      </c>
      <c r="BS388" s="704">
        <f t="shared" si="598"/>
        <v>2.3413999999999997E-2</v>
      </c>
      <c r="BT388" s="704">
        <f t="shared" si="598"/>
        <v>2.3472999999999997E-2</v>
      </c>
      <c r="BU388" s="704">
        <f t="shared" si="598"/>
        <v>2.3519999999999996E-2</v>
      </c>
      <c r="BV388" s="704">
        <f t="shared" ref="BV388:CV388" si="599" xml:space="preserve"> BV387 + BV386 + $F385</f>
        <v>2.3592999999999996E-2</v>
      </c>
      <c r="BW388" s="704">
        <f t="shared" si="599"/>
        <v>2.3660999999999995E-2</v>
      </c>
      <c r="BX388" s="704">
        <f t="shared" si="599"/>
        <v>2.3728999999999993E-2</v>
      </c>
      <c r="BY388" s="704">
        <f t="shared" si="599"/>
        <v>2.3785999999999995E-2</v>
      </c>
      <c r="BZ388" s="704">
        <f t="shared" si="599"/>
        <v>2.3841999999999995E-2</v>
      </c>
      <c r="CA388" s="704">
        <f t="shared" si="599"/>
        <v>2.3907999999999995E-2</v>
      </c>
      <c r="CB388" s="704">
        <f t="shared" si="599"/>
        <v>2.3961999999999994E-2</v>
      </c>
      <c r="CC388" s="704">
        <f t="shared" si="599"/>
        <v>2.4011999999999995E-2</v>
      </c>
      <c r="CD388" s="704">
        <f t="shared" si="599"/>
        <v>2.4070999999999995E-2</v>
      </c>
      <c r="CE388" s="704">
        <f t="shared" si="599"/>
        <v>2.4119999999999996E-2</v>
      </c>
      <c r="CF388" s="704">
        <f t="shared" si="599"/>
        <v>2.4166999999999994E-2</v>
      </c>
      <c r="CG388" s="704">
        <f t="shared" si="599"/>
        <v>2.4215999999999994E-2</v>
      </c>
      <c r="CH388" s="704">
        <f t="shared" si="599"/>
        <v>2.4263999999999994E-2</v>
      </c>
      <c r="CI388" s="704">
        <f t="shared" si="599"/>
        <v>2.4301999999999994E-2</v>
      </c>
      <c r="CJ388" s="704">
        <f t="shared" si="599"/>
        <v>2.4365999999999995E-2</v>
      </c>
      <c r="CK388" s="704">
        <f t="shared" si="599"/>
        <v>2.4408999999999997E-2</v>
      </c>
      <c r="CL388" s="704">
        <f t="shared" si="599"/>
        <v>2.4462999999999995E-2</v>
      </c>
      <c r="CM388" s="704">
        <f t="shared" si="599"/>
        <v>2.4530999999999994E-2</v>
      </c>
      <c r="CN388" s="704">
        <f t="shared" si="599"/>
        <v>2.4586999999999994E-2</v>
      </c>
      <c r="CO388" s="704">
        <f t="shared" si="599"/>
        <v>2.4622999999999996E-2</v>
      </c>
      <c r="CP388" s="704">
        <f t="shared" si="599"/>
        <v>2.4688999999999996E-2</v>
      </c>
      <c r="CQ388" s="704">
        <f t="shared" si="599"/>
        <v>2.4738999999999997E-2</v>
      </c>
      <c r="CR388" s="704">
        <f t="shared" si="599"/>
        <v>2.4789999999999996E-2</v>
      </c>
      <c r="CS388" s="704">
        <f t="shared" si="599"/>
        <v>2.4834999999999996E-2</v>
      </c>
      <c r="CT388" s="704">
        <f t="shared" si="599"/>
        <v>2.4872999999999996E-2</v>
      </c>
      <c r="CU388" s="704">
        <f t="shared" si="599"/>
        <v>2.4930999999999995E-2</v>
      </c>
      <c r="CV388" s="704">
        <f t="shared" si="599"/>
        <v>2.4983999999999996E-2</v>
      </c>
    </row>
    <row r="389" spans="1:100" ht="12.75" outlineLevel="2" x14ac:dyDescent="0.2">
      <c r="A389" s="522"/>
      <c r="B389" s="522"/>
      <c r="C389" s="523"/>
      <c r="D389" s="524"/>
      <c r="E389" s="525"/>
      <c r="F389" s="525"/>
      <c r="G389" s="525"/>
      <c r="H389" s="525"/>
      <c r="I389" s="526"/>
      <c r="J389" s="525"/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</row>
    <row r="390" spans="1:100" ht="12.75" outlineLevel="2" x14ac:dyDescent="0.2">
      <c r="A390" s="522"/>
      <c r="B390" s="522"/>
      <c r="C390" s="523"/>
      <c r="D390" s="524"/>
      <c r="E390" s="699" t="str">
        <f xml:space="preserve"> InpC!E$344</f>
        <v>Standby debt - T1 day count convention</v>
      </c>
      <c r="F390" s="699">
        <f xml:space="preserve"> InpC!F$344</f>
        <v>360</v>
      </c>
      <c r="G390" s="699" t="str">
        <f xml:space="preserve"> InpC!G$344</f>
        <v>days</v>
      </c>
      <c r="H390" s="663"/>
      <c r="I390" s="526"/>
      <c r="J390" s="525"/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</row>
    <row r="391" spans="1:100" ht="12.75" outlineLevel="2" x14ac:dyDescent="0.2">
      <c r="A391" s="522"/>
      <c r="B391" s="522"/>
      <c r="C391" s="523"/>
      <c r="D391" s="524"/>
      <c r="E391" s="695" t="str">
        <f xml:space="preserve"> Time!E$246</f>
        <v>Days in period</v>
      </c>
      <c r="F391" s="695">
        <f xml:space="preserve"> Time!F$246</f>
        <v>0</v>
      </c>
      <c r="G391" s="695" t="str">
        <f xml:space="preserve"> Time!G$246</f>
        <v>days</v>
      </c>
      <c r="H391" s="695">
        <f xml:space="preserve"> Time!H$246</f>
        <v>0</v>
      </c>
      <c r="I391" s="695">
        <f xml:space="preserve"> Time!I$246</f>
        <v>0</v>
      </c>
      <c r="J391" s="695">
        <f xml:space="preserve"> Time!J$246</f>
        <v>181</v>
      </c>
      <c r="K391" s="695">
        <f xml:space="preserve"> Time!K$246</f>
        <v>184</v>
      </c>
      <c r="L391" s="695">
        <f xml:space="preserve"> Time!L$246</f>
        <v>181</v>
      </c>
      <c r="M391" s="695">
        <f xml:space="preserve"> Time!M$246</f>
        <v>184</v>
      </c>
      <c r="N391" s="695">
        <f xml:space="preserve"> Time!N$246</f>
        <v>182</v>
      </c>
      <c r="O391" s="695">
        <f xml:space="preserve"> Time!O$246</f>
        <v>184</v>
      </c>
      <c r="P391" s="695">
        <f xml:space="preserve"> Time!P$246</f>
        <v>181</v>
      </c>
      <c r="Q391" s="695">
        <f xml:space="preserve"> Time!Q$246</f>
        <v>184</v>
      </c>
      <c r="R391" s="695">
        <f xml:space="preserve"> Time!R$246</f>
        <v>181</v>
      </c>
      <c r="S391" s="695">
        <f xml:space="preserve"> Time!S$246</f>
        <v>184</v>
      </c>
      <c r="T391" s="695">
        <f xml:space="preserve"> Time!T$246</f>
        <v>181</v>
      </c>
      <c r="U391" s="695">
        <f xml:space="preserve"> Time!U$246</f>
        <v>184</v>
      </c>
      <c r="V391" s="695">
        <f xml:space="preserve"> Time!V$246</f>
        <v>182</v>
      </c>
      <c r="W391" s="695">
        <f xml:space="preserve"> Time!W$246</f>
        <v>184</v>
      </c>
      <c r="X391" s="695">
        <f xml:space="preserve"> Time!X$246</f>
        <v>181</v>
      </c>
      <c r="Y391" s="695">
        <f xml:space="preserve"> Time!Y$246</f>
        <v>184</v>
      </c>
      <c r="Z391" s="695">
        <f xml:space="preserve"> Time!Z$246</f>
        <v>181</v>
      </c>
      <c r="AA391" s="695">
        <f xml:space="preserve"> Time!AA$246</f>
        <v>184</v>
      </c>
      <c r="AB391" s="695">
        <f xml:space="preserve"> Time!AB$246</f>
        <v>181</v>
      </c>
      <c r="AC391" s="695">
        <f xml:space="preserve"> Time!AC$246</f>
        <v>184</v>
      </c>
      <c r="AD391" s="695">
        <f xml:space="preserve"> Time!AD$246</f>
        <v>182</v>
      </c>
      <c r="AE391" s="695">
        <f xml:space="preserve"> Time!AE$246</f>
        <v>184</v>
      </c>
      <c r="AF391" s="695">
        <f xml:space="preserve"> Time!AF$246</f>
        <v>181</v>
      </c>
      <c r="AG391" s="695">
        <f xml:space="preserve"> Time!AG$246</f>
        <v>184</v>
      </c>
      <c r="AH391" s="695">
        <f xml:space="preserve"> Time!AH$246</f>
        <v>181</v>
      </c>
      <c r="AI391" s="695">
        <f xml:space="preserve"> Time!AI$246</f>
        <v>184</v>
      </c>
      <c r="AJ391" s="695">
        <f xml:space="preserve"> Time!AJ$246</f>
        <v>181</v>
      </c>
      <c r="AK391" s="695">
        <f xml:space="preserve"> Time!AK$246</f>
        <v>184</v>
      </c>
      <c r="AL391" s="695">
        <f xml:space="preserve"> Time!AL$246</f>
        <v>182</v>
      </c>
      <c r="AM391" s="695">
        <f xml:space="preserve"> Time!AM$246</f>
        <v>184</v>
      </c>
      <c r="AN391" s="695">
        <f xml:space="preserve"> Time!AN$246</f>
        <v>181</v>
      </c>
      <c r="AO391" s="695">
        <f xml:space="preserve"> Time!AO$246</f>
        <v>184</v>
      </c>
      <c r="AP391" s="695">
        <f xml:space="preserve"> Time!AP$246</f>
        <v>181</v>
      </c>
      <c r="AQ391" s="695">
        <f xml:space="preserve"> Time!AQ$246</f>
        <v>184</v>
      </c>
      <c r="AR391" s="695">
        <f xml:space="preserve"> Time!AR$246</f>
        <v>181</v>
      </c>
      <c r="AS391" s="695">
        <f xml:space="preserve"> Time!AS$246</f>
        <v>184</v>
      </c>
      <c r="AT391" s="695">
        <f xml:space="preserve"> Time!AT$246</f>
        <v>182</v>
      </c>
      <c r="AU391" s="695">
        <f xml:space="preserve"> Time!AU$246</f>
        <v>184</v>
      </c>
      <c r="AV391" s="695">
        <f xml:space="preserve"> Time!AV$246</f>
        <v>181</v>
      </c>
      <c r="AW391" s="695">
        <f xml:space="preserve"> Time!AW$246</f>
        <v>184</v>
      </c>
      <c r="AX391" s="695">
        <f xml:space="preserve"> Time!AX$246</f>
        <v>181</v>
      </c>
      <c r="AY391" s="695">
        <f xml:space="preserve"> Time!AY$246</f>
        <v>184</v>
      </c>
      <c r="AZ391" s="695">
        <f xml:space="preserve"> Time!AZ$246</f>
        <v>181</v>
      </c>
      <c r="BA391" s="695">
        <f xml:space="preserve"> Time!BA$246</f>
        <v>184</v>
      </c>
      <c r="BB391" s="695">
        <f xml:space="preserve"> Time!BB$246</f>
        <v>182</v>
      </c>
      <c r="BC391" s="695">
        <f xml:space="preserve"> Time!BC$246</f>
        <v>184</v>
      </c>
      <c r="BD391" s="695">
        <f xml:space="preserve"> Time!BD$246</f>
        <v>181</v>
      </c>
      <c r="BE391" s="695">
        <f xml:space="preserve"> Time!BE$246</f>
        <v>184</v>
      </c>
      <c r="BF391" s="695">
        <f xml:space="preserve"> Time!BF$246</f>
        <v>181</v>
      </c>
      <c r="BG391" s="695">
        <f xml:space="preserve"> Time!BG$246</f>
        <v>184</v>
      </c>
      <c r="BH391" s="695">
        <f xml:space="preserve"> Time!BH$246</f>
        <v>181</v>
      </c>
      <c r="BI391" s="695">
        <f xml:space="preserve"> Time!BI$246</f>
        <v>184</v>
      </c>
      <c r="BJ391" s="695">
        <f xml:space="preserve"> Time!BJ$246</f>
        <v>182</v>
      </c>
      <c r="BK391" s="695">
        <f xml:space="preserve"> Time!BK$246</f>
        <v>184</v>
      </c>
      <c r="BL391" s="695">
        <f xml:space="preserve"> Time!BL$246</f>
        <v>181</v>
      </c>
      <c r="BM391" s="695">
        <f xml:space="preserve"> Time!BM$246</f>
        <v>184</v>
      </c>
      <c r="BN391" s="695">
        <f xml:space="preserve"> Time!BN$246</f>
        <v>181</v>
      </c>
      <c r="BO391" s="695">
        <f xml:space="preserve"> Time!BO$246</f>
        <v>184</v>
      </c>
      <c r="BP391" s="695">
        <f xml:space="preserve"> Time!BP$246</f>
        <v>181</v>
      </c>
      <c r="BQ391" s="695">
        <f xml:space="preserve"> Time!BQ$246</f>
        <v>184</v>
      </c>
      <c r="BR391" s="695">
        <f xml:space="preserve"> Time!BR$246</f>
        <v>182</v>
      </c>
      <c r="BS391" s="695">
        <f xml:space="preserve"> Time!BS$246</f>
        <v>184</v>
      </c>
      <c r="BT391" s="695">
        <f xml:space="preserve"> Time!BT$246</f>
        <v>181</v>
      </c>
      <c r="BU391" s="695">
        <f xml:space="preserve"> Time!BU$246</f>
        <v>184</v>
      </c>
      <c r="BV391" s="695">
        <f xml:space="preserve"> Time!BV$246</f>
        <v>181</v>
      </c>
      <c r="BW391" s="695">
        <f xml:space="preserve"> Time!BW$246</f>
        <v>184</v>
      </c>
      <c r="BX391" s="695">
        <f xml:space="preserve"> Time!BX$246</f>
        <v>181</v>
      </c>
      <c r="BY391" s="695">
        <f xml:space="preserve"> Time!BY$246</f>
        <v>184</v>
      </c>
      <c r="BZ391" s="695">
        <f xml:space="preserve"> Time!BZ$246</f>
        <v>182</v>
      </c>
      <c r="CA391" s="695">
        <f xml:space="preserve"> Time!CA$246</f>
        <v>184</v>
      </c>
      <c r="CB391" s="695">
        <f xml:space="preserve"> Time!CB$246</f>
        <v>181</v>
      </c>
      <c r="CC391" s="695">
        <f xml:space="preserve"> Time!CC$246</f>
        <v>184</v>
      </c>
      <c r="CD391" s="695">
        <f xml:space="preserve"> Time!CD$246</f>
        <v>181</v>
      </c>
      <c r="CE391" s="695">
        <f xml:space="preserve"> Time!CE$246</f>
        <v>184</v>
      </c>
      <c r="CF391" s="695">
        <f xml:space="preserve"> Time!CF$246</f>
        <v>181</v>
      </c>
      <c r="CG391" s="695">
        <f xml:space="preserve"> Time!CG$246</f>
        <v>184</v>
      </c>
      <c r="CH391" s="695">
        <f xml:space="preserve"> Time!CH$246</f>
        <v>182</v>
      </c>
      <c r="CI391" s="695">
        <f xml:space="preserve"> Time!CI$246</f>
        <v>184</v>
      </c>
      <c r="CJ391" s="695">
        <f xml:space="preserve"> Time!CJ$246</f>
        <v>181</v>
      </c>
      <c r="CK391" s="695">
        <f xml:space="preserve"> Time!CK$246</f>
        <v>184</v>
      </c>
      <c r="CL391" s="695">
        <f xml:space="preserve"> Time!CL$246</f>
        <v>181</v>
      </c>
      <c r="CM391" s="695">
        <f xml:space="preserve"> Time!CM$246</f>
        <v>184</v>
      </c>
      <c r="CN391" s="695">
        <f xml:space="preserve"> Time!CN$246</f>
        <v>181</v>
      </c>
      <c r="CO391" s="695">
        <f xml:space="preserve"> Time!CO$246</f>
        <v>184</v>
      </c>
      <c r="CP391" s="695">
        <f xml:space="preserve"> Time!CP$246</f>
        <v>182</v>
      </c>
      <c r="CQ391" s="695">
        <f xml:space="preserve"> Time!CQ$246</f>
        <v>184</v>
      </c>
      <c r="CR391" s="695">
        <f xml:space="preserve"> Time!CR$246</f>
        <v>181</v>
      </c>
      <c r="CS391" s="695">
        <f xml:space="preserve"> Time!CS$246</f>
        <v>184</v>
      </c>
      <c r="CT391" s="695">
        <f xml:space="preserve"> Time!CT$246</f>
        <v>181</v>
      </c>
      <c r="CU391" s="695">
        <f xml:space="preserve"> Time!CU$246</f>
        <v>184</v>
      </c>
      <c r="CV391" s="695">
        <f xml:space="preserve"> Time!CV$246</f>
        <v>181</v>
      </c>
    </row>
    <row r="392" spans="1:100" ht="12.75" outlineLevel="2" x14ac:dyDescent="0.2">
      <c r="A392" s="522"/>
      <c r="B392" s="522"/>
      <c r="C392" s="523"/>
      <c r="D392" s="524"/>
      <c r="E392" s="681" t="str">
        <f t="shared" ref="E392:AJ392" si="600" xml:space="preserve"> E$388</f>
        <v>All in annual Standby debt interest rate applicable in period - T1</v>
      </c>
      <c r="F392" s="681">
        <f t="shared" si="600"/>
        <v>0</v>
      </c>
      <c r="G392" s="681" t="str">
        <f t="shared" si="600"/>
        <v>% p.a.</v>
      </c>
      <c r="H392" s="681">
        <f t="shared" si="600"/>
        <v>0</v>
      </c>
      <c r="I392" s="681">
        <f t="shared" si="600"/>
        <v>0</v>
      </c>
      <c r="J392" s="681">
        <f t="shared" si="600"/>
        <v>2.0062E-2</v>
      </c>
      <c r="K392" s="681">
        <f t="shared" si="600"/>
        <v>2.0124E-2</v>
      </c>
      <c r="L392" s="681">
        <f t="shared" si="600"/>
        <v>2.0184000000000001E-2</v>
      </c>
      <c r="M392" s="681">
        <f t="shared" si="600"/>
        <v>2.0241000000000002E-2</v>
      </c>
      <c r="N392" s="681">
        <f t="shared" si="600"/>
        <v>2.0308000000000003E-2</v>
      </c>
      <c r="O392" s="681">
        <f t="shared" si="600"/>
        <v>4.5375000000000006E-2</v>
      </c>
      <c r="P392" s="681">
        <f t="shared" si="600"/>
        <v>4.5434000000000002E-2</v>
      </c>
      <c r="Q392" s="681">
        <f t="shared" si="600"/>
        <v>4.5506000000000005E-2</v>
      </c>
      <c r="R392" s="681">
        <f t="shared" si="600"/>
        <v>4.5569000000000005E-2</v>
      </c>
      <c r="S392" s="681">
        <f t="shared" si="600"/>
        <v>4.5620000000000008E-2</v>
      </c>
      <c r="T392" s="681">
        <f t="shared" si="600"/>
        <v>4.5666000000000005E-2</v>
      </c>
      <c r="U392" s="681">
        <f t="shared" si="600"/>
        <v>4.571900000000001E-2</v>
      </c>
      <c r="V392" s="681">
        <f t="shared" si="600"/>
        <v>4.5757000000000006E-2</v>
      </c>
      <c r="W392" s="681">
        <f t="shared" si="600"/>
        <v>4.5795000000000002E-2</v>
      </c>
      <c r="X392" s="681">
        <f t="shared" si="600"/>
        <v>4.5850000000000002E-2</v>
      </c>
      <c r="Y392" s="681">
        <f t="shared" si="600"/>
        <v>4.7888E-2</v>
      </c>
      <c r="Z392" s="681">
        <f t="shared" si="600"/>
        <v>4.7954000000000004E-2</v>
      </c>
      <c r="AA392" s="681">
        <f t="shared" si="600"/>
        <v>4.8024000000000004E-2</v>
      </c>
      <c r="AB392" s="681">
        <f t="shared" si="600"/>
        <v>4.8091000000000009E-2</v>
      </c>
      <c r="AC392" s="681">
        <f t="shared" si="600"/>
        <v>4.813400000000001E-2</v>
      </c>
      <c r="AD392" s="681">
        <f t="shared" si="600"/>
        <v>4.8205000000000012E-2</v>
      </c>
      <c r="AE392" s="681">
        <f t="shared" si="600"/>
        <v>4.8279000000000009E-2</v>
      </c>
      <c r="AF392" s="681">
        <f t="shared" si="600"/>
        <v>4.8316000000000012E-2</v>
      </c>
      <c r="AG392" s="681">
        <f t="shared" si="600"/>
        <v>4.8367000000000007E-2</v>
      </c>
      <c r="AH392" s="681">
        <f t="shared" si="600"/>
        <v>4.8421000000000006E-2</v>
      </c>
      <c r="AI392" s="681">
        <f t="shared" si="600"/>
        <v>5.0470000000000008E-2</v>
      </c>
      <c r="AJ392" s="681">
        <f t="shared" si="600"/>
        <v>5.0516000000000005E-2</v>
      </c>
      <c r="AK392" s="681">
        <f t="shared" ref="AK392:BP392" si="601" xml:space="preserve"> AK$388</f>
        <v>5.0570000000000004E-2</v>
      </c>
      <c r="AL392" s="681">
        <f t="shared" si="601"/>
        <v>5.0639000000000003E-2</v>
      </c>
      <c r="AM392" s="681">
        <f t="shared" si="601"/>
        <v>5.0709000000000004E-2</v>
      </c>
      <c r="AN392" s="681">
        <f t="shared" si="601"/>
        <v>5.0772000000000012E-2</v>
      </c>
      <c r="AO392" s="681">
        <f t="shared" si="601"/>
        <v>5.0813000000000011E-2</v>
      </c>
      <c r="AP392" s="681">
        <f t="shared" si="601"/>
        <v>5.0858000000000007E-2</v>
      </c>
      <c r="AQ392" s="681">
        <f t="shared" si="601"/>
        <v>5.0913000000000007E-2</v>
      </c>
      <c r="AR392" s="681">
        <f t="shared" si="601"/>
        <v>5.0986000000000004E-2</v>
      </c>
      <c r="AS392" s="681">
        <f t="shared" si="601"/>
        <v>5.1041000000000003E-2</v>
      </c>
      <c r="AT392" s="681">
        <f t="shared" si="601"/>
        <v>5.1089000000000009E-2</v>
      </c>
      <c r="AU392" s="681">
        <f t="shared" si="601"/>
        <v>5.1148000000000006E-2</v>
      </c>
      <c r="AV392" s="681">
        <f t="shared" si="601"/>
        <v>5.1216000000000005E-2</v>
      </c>
      <c r="AW392" s="681">
        <f t="shared" si="601"/>
        <v>2.2282000000000003E-2</v>
      </c>
      <c r="AX392" s="681">
        <f t="shared" si="601"/>
        <v>2.2351000000000003E-2</v>
      </c>
      <c r="AY392" s="681">
        <f t="shared" si="601"/>
        <v>2.2409000000000002E-2</v>
      </c>
      <c r="AZ392" s="681">
        <f t="shared" si="601"/>
        <v>2.2445000000000003E-2</v>
      </c>
      <c r="BA392" s="681">
        <f t="shared" si="601"/>
        <v>2.2489000000000002E-2</v>
      </c>
      <c r="BB392" s="681">
        <f t="shared" si="601"/>
        <v>2.2535000000000003E-2</v>
      </c>
      <c r="BC392" s="681">
        <f t="shared" si="601"/>
        <v>2.2607000000000002E-2</v>
      </c>
      <c r="BD392" s="681">
        <f t="shared" si="601"/>
        <v>2.2647E-2</v>
      </c>
      <c r="BE392" s="681">
        <f t="shared" si="601"/>
        <v>2.2683999999999999E-2</v>
      </c>
      <c r="BF392" s="681">
        <f t="shared" si="601"/>
        <v>2.2734000000000001E-2</v>
      </c>
      <c r="BG392" s="681">
        <f t="shared" si="601"/>
        <v>2.2806E-2</v>
      </c>
      <c r="BH392" s="681">
        <f t="shared" si="601"/>
        <v>2.2852000000000001E-2</v>
      </c>
      <c r="BI392" s="681">
        <f t="shared" si="601"/>
        <v>2.2898999999999999E-2</v>
      </c>
      <c r="BJ392" s="681">
        <f t="shared" si="601"/>
        <v>2.2952999999999998E-2</v>
      </c>
      <c r="BK392" s="681">
        <f t="shared" si="601"/>
        <v>2.3027999999999996E-2</v>
      </c>
      <c r="BL392" s="681">
        <f t="shared" si="601"/>
        <v>2.3093999999999996E-2</v>
      </c>
      <c r="BM392" s="681">
        <f t="shared" si="601"/>
        <v>2.3145999999999996E-2</v>
      </c>
      <c r="BN392" s="681">
        <f t="shared" si="601"/>
        <v>2.3211999999999997E-2</v>
      </c>
      <c r="BO392" s="681">
        <f t="shared" si="601"/>
        <v>2.3253999999999997E-2</v>
      </c>
      <c r="BP392" s="681">
        <f t="shared" si="601"/>
        <v>2.3288999999999997E-2</v>
      </c>
      <c r="BQ392" s="681">
        <f t="shared" ref="BQ392:CV392" si="602" xml:space="preserve"> BQ$388</f>
        <v>2.3333999999999997E-2</v>
      </c>
      <c r="BR392" s="681">
        <f t="shared" si="602"/>
        <v>2.3372999999999998E-2</v>
      </c>
      <c r="BS392" s="681">
        <f t="shared" si="602"/>
        <v>2.3413999999999997E-2</v>
      </c>
      <c r="BT392" s="681">
        <f t="shared" si="602"/>
        <v>2.3472999999999997E-2</v>
      </c>
      <c r="BU392" s="681">
        <f t="shared" si="602"/>
        <v>2.3519999999999996E-2</v>
      </c>
      <c r="BV392" s="681">
        <f t="shared" si="602"/>
        <v>2.3592999999999996E-2</v>
      </c>
      <c r="BW392" s="681">
        <f t="shared" si="602"/>
        <v>2.3660999999999995E-2</v>
      </c>
      <c r="BX392" s="681">
        <f t="shared" si="602"/>
        <v>2.3728999999999993E-2</v>
      </c>
      <c r="BY392" s="681">
        <f t="shared" si="602"/>
        <v>2.3785999999999995E-2</v>
      </c>
      <c r="BZ392" s="681">
        <f t="shared" si="602"/>
        <v>2.3841999999999995E-2</v>
      </c>
      <c r="CA392" s="681">
        <f t="shared" si="602"/>
        <v>2.3907999999999995E-2</v>
      </c>
      <c r="CB392" s="681">
        <f t="shared" si="602"/>
        <v>2.3961999999999994E-2</v>
      </c>
      <c r="CC392" s="681">
        <f t="shared" si="602"/>
        <v>2.4011999999999995E-2</v>
      </c>
      <c r="CD392" s="681">
        <f t="shared" si="602"/>
        <v>2.4070999999999995E-2</v>
      </c>
      <c r="CE392" s="681">
        <f t="shared" si="602"/>
        <v>2.4119999999999996E-2</v>
      </c>
      <c r="CF392" s="681">
        <f t="shared" si="602"/>
        <v>2.4166999999999994E-2</v>
      </c>
      <c r="CG392" s="681">
        <f t="shared" si="602"/>
        <v>2.4215999999999994E-2</v>
      </c>
      <c r="CH392" s="681">
        <f t="shared" si="602"/>
        <v>2.4263999999999994E-2</v>
      </c>
      <c r="CI392" s="681">
        <f t="shared" si="602"/>
        <v>2.4301999999999994E-2</v>
      </c>
      <c r="CJ392" s="681">
        <f t="shared" si="602"/>
        <v>2.4365999999999995E-2</v>
      </c>
      <c r="CK392" s="681">
        <f t="shared" si="602"/>
        <v>2.4408999999999997E-2</v>
      </c>
      <c r="CL392" s="681">
        <f t="shared" si="602"/>
        <v>2.4462999999999995E-2</v>
      </c>
      <c r="CM392" s="681">
        <f t="shared" si="602"/>
        <v>2.4530999999999994E-2</v>
      </c>
      <c r="CN392" s="681">
        <f t="shared" si="602"/>
        <v>2.4586999999999994E-2</v>
      </c>
      <c r="CO392" s="681">
        <f t="shared" si="602"/>
        <v>2.4622999999999996E-2</v>
      </c>
      <c r="CP392" s="681">
        <f t="shared" si="602"/>
        <v>2.4688999999999996E-2</v>
      </c>
      <c r="CQ392" s="681">
        <f t="shared" si="602"/>
        <v>2.4738999999999997E-2</v>
      </c>
      <c r="CR392" s="681">
        <f t="shared" si="602"/>
        <v>2.4789999999999996E-2</v>
      </c>
      <c r="CS392" s="681">
        <f t="shared" si="602"/>
        <v>2.4834999999999996E-2</v>
      </c>
      <c r="CT392" s="681">
        <f t="shared" si="602"/>
        <v>2.4872999999999996E-2</v>
      </c>
      <c r="CU392" s="681">
        <f t="shared" si="602"/>
        <v>2.4930999999999995E-2</v>
      </c>
      <c r="CV392" s="681">
        <f t="shared" si="602"/>
        <v>2.4983999999999996E-2</v>
      </c>
    </row>
    <row r="393" spans="1:100" ht="12.75" outlineLevel="2" x14ac:dyDescent="0.2">
      <c r="A393" s="311"/>
      <c r="B393" s="311"/>
      <c r="C393" s="312"/>
      <c r="D393" s="313"/>
      <c r="E393" s="314" t="s">
        <v>1063</v>
      </c>
      <c r="F393" s="314"/>
      <c r="G393" s="314" t="s">
        <v>103</v>
      </c>
      <c r="H393" s="314"/>
      <c r="I393" s="315"/>
      <c r="J393" s="314">
        <f t="shared" ref="J393:AO393" si="603">J392 / $F390 * J391</f>
        <v>1.0086727777777778E-2</v>
      </c>
      <c r="K393" s="314">
        <f t="shared" si="603"/>
        <v>1.0285599999999999E-2</v>
      </c>
      <c r="L393" s="314">
        <f t="shared" si="603"/>
        <v>1.0148066666666667E-2</v>
      </c>
      <c r="M393" s="314">
        <f t="shared" si="603"/>
        <v>1.0345400000000001E-2</v>
      </c>
      <c r="N393" s="314">
        <f t="shared" si="603"/>
        <v>1.0266822222222223E-2</v>
      </c>
      <c r="O393" s="314">
        <f t="shared" si="603"/>
        <v>2.3191666666666669E-2</v>
      </c>
      <c r="P393" s="314">
        <f t="shared" si="603"/>
        <v>2.2843205555555555E-2</v>
      </c>
      <c r="Q393" s="314">
        <f t="shared" si="603"/>
        <v>2.3258622222222223E-2</v>
      </c>
      <c r="R393" s="314">
        <f t="shared" si="603"/>
        <v>2.291108055555556E-2</v>
      </c>
      <c r="S393" s="314">
        <f t="shared" si="603"/>
        <v>2.3316888888888894E-2</v>
      </c>
      <c r="T393" s="314">
        <f t="shared" si="603"/>
        <v>2.2959850000000004E-2</v>
      </c>
      <c r="U393" s="314">
        <f t="shared" si="603"/>
        <v>2.3367488888888892E-2</v>
      </c>
      <c r="V393" s="314">
        <f t="shared" si="603"/>
        <v>2.3132705555555556E-2</v>
      </c>
      <c r="W393" s="314">
        <f t="shared" si="603"/>
        <v>2.3406333333333335E-2</v>
      </c>
      <c r="X393" s="314">
        <f t="shared" si="603"/>
        <v>2.305236111111111E-2</v>
      </c>
      <c r="Y393" s="314">
        <f t="shared" si="603"/>
        <v>2.447608888888889E-2</v>
      </c>
      <c r="Z393" s="314">
        <f t="shared" si="603"/>
        <v>2.4110205555555556E-2</v>
      </c>
      <c r="AA393" s="314">
        <f t="shared" si="603"/>
        <v>2.4545600000000004E-2</v>
      </c>
      <c r="AB393" s="314">
        <f t="shared" si="603"/>
        <v>2.4179086111111116E-2</v>
      </c>
      <c r="AC393" s="314">
        <f t="shared" si="603"/>
        <v>2.4601822222222226E-2</v>
      </c>
      <c r="AD393" s="314">
        <f t="shared" si="603"/>
        <v>2.4370305555555562E-2</v>
      </c>
      <c r="AE393" s="314">
        <f t="shared" si="603"/>
        <v>2.4675933333333341E-2</v>
      </c>
      <c r="AF393" s="314">
        <f t="shared" si="603"/>
        <v>2.4292211111111114E-2</v>
      </c>
      <c r="AG393" s="314">
        <f t="shared" si="603"/>
        <v>2.4720911111111115E-2</v>
      </c>
      <c r="AH393" s="314">
        <f t="shared" si="603"/>
        <v>2.4345002777777784E-2</v>
      </c>
      <c r="AI393" s="314">
        <f t="shared" si="603"/>
        <v>2.5795777777777782E-2</v>
      </c>
      <c r="AJ393" s="314">
        <f t="shared" si="603"/>
        <v>2.5398322222222228E-2</v>
      </c>
      <c r="AK393" s="314">
        <f t="shared" si="603"/>
        <v>2.5846888888888888E-2</v>
      </c>
      <c r="AL393" s="314">
        <f t="shared" si="603"/>
        <v>2.5600827777777779E-2</v>
      </c>
      <c r="AM393" s="314">
        <f t="shared" si="603"/>
        <v>2.5917933333333337E-2</v>
      </c>
      <c r="AN393" s="314">
        <f t="shared" si="603"/>
        <v>2.5527033333333338E-2</v>
      </c>
      <c r="AO393" s="314">
        <f t="shared" si="603"/>
        <v>2.5971088888888896E-2</v>
      </c>
      <c r="AP393" s="314">
        <f t="shared" ref="AP393:BU393" si="604">AP392 / $F390 * AP391</f>
        <v>2.5570272222222225E-2</v>
      </c>
      <c r="AQ393" s="314">
        <f t="shared" si="604"/>
        <v>2.6022200000000002E-2</v>
      </c>
      <c r="AR393" s="314">
        <f t="shared" si="604"/>
        <v>2.5634627777777776E-2</v>
      </c>
      <c r="AS393" s="314">
        <f t="shared" si="604"/>
        <v>2.6087622222222225E-2</v>
      </c>
      <c r="AT393" s="314">
        <f t="shared" si="604"/>
        <v>2.5828327777777785E-2</v>
      </c>
      <c r="AU393" s="314">
        <f t="shared" si="604"/>
        <v>2.6142311111111111E-2</v>
      </c>
      <c r="AV393" s="314">
        <f t="shared" si="604"/>
        <v>2.5750266666666671E-2</v>
      </c>
      <c r="AW393" s="314">
        <f t="shared" si="604"/>
        <v>1.1388577777777778E-2</v>
      </c>
      <c r="AX393" s="314">
        <f t="shared" si="604"/>
        <v>1.1237586111111112E-2</v>
      </c>
      <c r="AY393" s="314">
        <f t="shared" si="604"/>
        <v>1.1453488888888891E-2</v>
      </c>
      <c r="AZ393" s="314">
        <f t="shared" si="604"/>
        <v>1.1284847222222226E-2</v>
      </c>
      <c r="BA393" s="314">
        <f t="shared" si="604"/>
        <v>1.149437777777778E-2</v>
      </c>
      <c r="BB393" s="314">
        <f t="shared" si="604"/>
        <v>1.1392694444444445E-2</v>
      </c>
      <c r="BC393" s="314">
        <f t="shared" si="604"/>
        <v>1.1554688888888892E-2</v>
      </c>
      <c r="BD393" s="314">
        <f t="shared" si="604"/>
        <v>1.1386408333333334E-2</v>
      </c>
      <c r="BE393" s="314">
        <f t="shared" si="604"/>
        <v>1.1594044444444444E-2</v>
      </c>
      <c r="BF393" s="314">
        <f t="shared" si="604"/>
        <v>1.143015E-2</v>
      </c>
      <c r="BG393" s="314">
        <f t="shared" si="604"/>
        <v>1.1656399999999999E-2</v>
      </c>
      <c r="BH393" s="314">
        <f t="shared" si="604"/>
        <v>1.1489477777777779E-2</v>
      </c>
      <c r="BI393" s="314">
        <f t="shared" si="604"/>
        <v>1.1703933333333331E-2</v>
      </c>
      <c r="BJ393" s="314">
        <f t="shared" si="604"/>
        <v>1.1604016666666666E-2</v>
      </c>
      <c r="BK393" s="314">
        <f t="shared" si="604"/>
        <v>1.1769866666666665E-2</v>
      </c>
      <c r="BL393" s="314">
        <f t="shared" si="604"/>
        <v>1.1611149999999997E-2</v>
      </c>
      <c r="BM393" s="314">
        <f t="shared" si="604"/>
        <v>1.1830177777777777E-2</v>
      </c>
      <c r="BN393" s="314">
        <f t="shared" si="604"/>
        <v>1.1670477777777776E-2</v>
      </c>
      <c r="BO393" s="314">
        <f t="shared" si="604"/>
        <v>1.1885377777777775E-2</v>
      </c>
      <c r="BP393" s="314">
        <f t="shared" si="604"/>
        <v>1.1709191666666665E-2</v>
      </c>
      <c r="BQ393" s="314">
        <f t="shared" si="604"/>
        <v>1.1926266666666664E-2</v>
      </c>
      <c r="BR393" s="314">
        <f t="shared" si="604"/>
        <v>1.1816349999999998E-2</v>
      </c>
      <c r="BS393" s="314">
        <f t="shared" si="604"/>
        <v>1.1967155555555555E-2</v>
      </c>
      <c r="BT393" s="314">
        <f t="shared" si="604"/>
        <v>1.1801702777777777E-2</v>
      </c>
      <c r="BU393" s="314">
        <f t="shared" si="604"/>
        <v>1.2021333333333332E-2</v>
      </c>
      <c r="BV393" s="314">
        <f t="shared" ref="BV393:CV393" si="605">BV392 / $F390 * BV391</f>
        <v>1.1862036111111111E-2</v>
      </c>
      <c r="BW393" s="314">
        <f t="shared" si="605"/>
        <v>1.2093399999999997E-2</v>
      </c>
      <c r="BX393" s="314">
        <f t="shared" si="605"/>
        <v>1.1930413888888883E-2</v>
      </c>
      <c r="BY393" s="314">
        <f t="shared" si="605"/>
        <v>1.2157288888888885E-2</v>
      </c>
      <c r="BZ393" s="314">
        <f t="shared" si="605"/>
        <v>1.2053455555555552E-2</v>
      </c>
      <c r="CA393" s="314">
        <f t="shared" si="605"/>
        <v>1.2219644444444443E-2</v>
      </c>
      <c r="CB393" s="314">
        <f t="shared" si="605"/>
        <v>1.2047561111111108E-2</v>
      </c>
      <c r="CC393" s="314">
        <f t="shared" si="605"/>
        <v>1.2272799999999997E-2</v>
      </c>
      <c r="CD393" s="314">
        <f t="shared" si="605"/>
        <v>1.2102363888888886E-2</v>
      </c>
      <c r="CE393" s="314">
        <f t="shared" si="605"/>
        <v>1.2327999999999999E-2</v>
      </c>
      <c r="CF393" s="314">
        <f t="shared" si="605"/>
        <v>1.2150630555555554E-2</v>
      </c>
      <c r="CG393" s="314">
        <f t="shared" si="605"/>
        <v>1.2377066666666665E-2</v>
      </c>
      <c r="CH393" s="314">
        <f t="shared" si="605"/>
        <v>1.2266799999999998E-2</v>
      </c>
      <c r="CI393" s="314">
        <f t="shared" si="605"/>
        <v>1.2421022222222218E-2</v>
      </c>
      <c r="CJ393" s="314">
        <f t="shared" si="605"/>
        <v>1.225068333333333E-2</v>
      </c>
      <c r="CK393" s="314">
        <f t="shared" si="605"/>
        <v>1.247571111111111E-2</v>
      </c>
      <c r="CL393" s="314">
        <f t="shared" si="605"/>
        <v>1.2299452777777775E-2</v>
      </c>
      <c r="CM393" s="314">
        <f t="shared" si="605"/>
        <v>1.2538066666666663E-2</v>
      </c>
      <c r="CN393" s="314">
        <f t="shared" si="605"/>
        <v>1.2361797222222219E-2</v>
      </c>
      <c r="CO393" s="314">
        <f t="shared" si="605"/>
        <v>1.2585088888888886E-2</v>
      </c>
      <c r="CP393" s="314">
        <f t="shared" si="605"/>
        <v>1.248166111111111E-2</v>
      </c>
      <c r="CQ393" s="314">
        <f t="shared" si="605"/>
        <v>1.2644377777777776E-2</v>
      </c>
      <c r="CR393" s="314">
        <f t="shared" si="605"/>
        <v>1.246386111111111E-2</v>
      </c>
      <c r="CS393" s="314">
        <f t="shared" si="605"/>
        <v>1.2693444444444441E-2</v>
      </c>
      <c r="CT393" s="314">
        <f t="shared" si="605"/>
        <v>1.2505591666666666E-2</v>
      </c>
      <c r="CU393" s="314">
        <f t="shared" si="605"/>
        <v>1.2742511111111108E-2</v>
      </c>
      <c r="CV393" s="314">
        <f t="shared" si="605"/>
        <v>1.2561399999999999E-2</v>
      </c>
    </row>
    <row r="394" spans="1:100" ht="12.75" outlineLevel="2" x14ac:dyDescent="0.2">
      <c r="A394" s="700"/>
      <c r="B394" s="700"/>
      <c r="C394" s="701"/>
      <c r="D394" s="702"/>
      <c r="E394" s="666"/>
      <c r="F394" s="666"/>
      <c r="G394" s="666"/>
      <c r="H394" s="666"/>
      <c r="I394" s="703"/>
      <c r="J394" s="666"/>
      <c r="K394" s="666"/>
      <c r="L394" s="666"/>
      <c r="M394" s="666"/>
      <c r="N394" s="666"/>
      <c r="O394" s="666"/>
      <c r="P394" s="666"/>
      <c r="Q394" s="666"/>
      <c r="R394" s="666"/>
      <c r="S394" s="666"/>
      <c r="T394" s="666"/>
      <c r="U394" s="666"/>
      <c r="V394" s="666"/>
      <c r="W394" s="666"/>
      <c r="X394" s="666"/>
      <c r="Y394" s="666"/>
      <c r="Z394" s="666"/>
      <c r="AA394" s="666"/>
      <c r="AB394" s="666"/>
      <c r="AC394" s="666"/>
      <c r="AD394" s="666"/>
      <c r="AE394" s="666"/>
      <c r="AF394" s="666"/>
      <c r="AG394" s="666"/>
      <c r="AH394" s="666"/>
      <c r="AI394" s="666"/>
      <c r="AJ394" s="666"/>
      <c r="AK394" s="666"/>
      <c r="AL394" s="666"/>
      <c r="AM394" s="666"/>
      <c r="AN394" s="666"/>
      <c r="AO394" s="666"/>
      <c r="AP394" s="666"/>
      <c r="AQ394" s="666"/>
      <c r="AR394" s="666"/>
      <c r="AS394" s="666"/>
      <c r="AT394" s="666"/>
      <c r="AU394" s="666"/>
      <c r="AV394" s="666"/>
      <c r="AW394" s="666"/>
      <c r="AX394" s="666"/>
      <c r="AY394" s="666"/>
      <c r="AZ394" s="666"/>
      <c r="BA394" s="666"/>
      <c r="BB394" s="666"/>
      <c r="BC394" s="666"/>
      <c r="BD394" s="666"/>
      <c r="BE394" s="666"/>
      <c r="BF394" s="666"/>
      <c r="BG394" s="666"/>
      <c r="BH394" s="666"/>
      <c r="BI394" s="666"/>
      <c r="BJ394" s="666"/>
      <c r="BK394" s="666"/>
      <c r="BL394" s="666"/>
      <c r="BM394" s="666"/>
      <c r="BN394" s="666"/>
      <c r="BO394" s="666"/>
      <c r="BP394" s="666"/>
      <c r="BQ394" s="666"/>
      <c r="BR394" s="666"/>
      <c r="BS394" s="666"/>
      <c r="BT394" s="666"/>
      <c r="BU394" s="666"/>
      <c r="BV394" s="666"/>
      <c r="BW394" s="666"/>
      <c r="BX394" s="666"/>
      <c r="BY394" s="666"/>
      <c r="BZ394" s="666"/>
      <c r="CA394" s="666"/>
      <c r="CB394" s="666"/>
      <c r="CC394" s="666"/>
      <c r="CD394" s="666"/>
      <c r="CE394" s="666"/>
      <c r="CF394" s="666"/>
      <c r="CG394" s="666"/>
      <c r="CH394" s="666"/>
      <c r="CI394" s="666"/>
      <c r="CJ394" s="666"/>
      <c r="CK394" s="666"/>
      <c r="CL394" s="666"/>
      <c r="CM394" s="666"/>
      <c r="CN394" s="666"/>
      <c r="CO394" s="666"/>
      <c r="CP394" s="666"/>
      <c r="CQ394" s="666"/>
      <c r="CR394" s="666"/>
      <c r="CS394" s="666"/>
      <c r="CT394" s="666"/>
      <c r="CU394" s="666"/>
      <c r="CV394" s="666"/>
    </row>
    <row r="395" spans="1:100" ht="12.75" outlineLevel="2" x14ac:dyDescent="0.2">
      <c r="A395" s="522"/>
      <c r="B395" s="522"/>
      <c r="C395" s="523"/>
      <c r="D395" s="524"/>
      <c r="E395" s="525" t="str">
        <f t="shared" ref="E395:AJ395" si="606" xml:space="preserve"> E$401</f>
        <v>Standby debt - T1 balance BEG</v>
      </c>
      <c r="F395" s="525">
        <f t="shared" si="606"/>
        <v>0</v>
      </c>
      <c r="G395" s="525" t="str">
        <f t="shared" si="606"/>
        <v>$ 000s</v>
      </c>
      <c r="H395" s="525">
        <f t="shared" si="606"/>
        <v>0</v>
      </c>
      <c r="I395" s="525">
        <f t="shared" si="606"/>
        <v>0</v>
      </c>
      <c r="J395" s="525">
        <f t="shared" si="606"/>
        <v>0</v>
      </c>
      <c r="K395" s="525">
        <f t="shared" si="606"/>
        <v>0</v>
      </c>
      <c r="L395" s="525">
        <f t="shared" si="606"/>
        <v>0</v>
      </c>
      <c r="M395" s="525">
        <f t="shared" si="606"/>
        <v>0</v>
      </c>
      <c r="N395" s="525">
        <f t="shared" si="606"/>
        <v>0</v>
      </c>
      <c r="O395" s="525">
        <f t="shared" si="606"/>
        <v>0</v>
      </c>
      <c r="P395" s="525">
        <f t="shared" si="606"/>
        <v>0</v>
      </c>
      <c r="Q395" s="525">
        <f t="shared" si="606"/>
        <v>0</v>
      </c>
      <c r="R395" s="525">
        <f t="shared" si="606"/>
        <v>0</v>
      </c>
      <c r="S395" s="525">
        <f t="shared" si="606"/>
        <v>0</v>
      </c>
      <c r="T395" s="525">
        <f t="shared" si="606"/>
        <v>0</v>
      </c>
      <c r="U395" s="525">
        <f t="shared" si="606"/>
        <v>0</v>
      </c>
      <c r="V395" s="525">
        <f t="shared" si="606"/>
        <v>0</v>
      </c>
      <c r="W395" s="525">
        <f t="shared" si="606"/>
        <v>0</v>
      </c>
      <c r="X395" s="525">
        <f t="shared" si="606"/>
        <v>0</v>
      </c>
      <c r="Y395" s="525">
        <f t="shared" si="606"/>
        <v>0</v>
      </c>
      <c r="Z395" s="525">
        <f t="shared" si="606"/>
        <v>0</v>
      </c>
      <c r="AA395" s="525">
        <f t="shared" si="606"/>
        <v>0</v>
      </c>
      <c r="AB395" s="525">
        <f t="shared" si="606"/>
        <v>0</v>
      </c>
      <c r="AC395" s="525">
        <f t="shared" si="606"/>
        <v>0</v>
      </c>
      <c r="AD395" s="525">
        <f t="shared" si="606"/>
        <v>0</v>
      </c>
      <c r="AE395" s="525">
        <f t="shared" si="606"/>
        <v>0</v>
      </c>
      <c r="AF395" s="525">
        <f t="shared" si="606"/>
        <v>0</v>
      </c>
      <c r="AG395" s="525">
        <f t="shared" si="606"/>
        <v>0</v>
      </c>
      <c r="AH395" s="525">
        <f t="shared" si="606"/>
        <v>0</v>
      </c>
      <c r="AI395" s="525">
        <f t="shared" si="606"/>
        <v>0</v>
      </c>
      <c r="AJ395" s="525">
        <f t="shared" si="606"/>
        <v>0</v>
      </c>
      <c r="AK395" s="525">
        <f t="shared" ref="AK395:BP395" si="607" xml:space="preserve"> AK$401</f>
        <v>0</v>
      </c>
      <c r="AL395" s="525">
        <f t="shared" si="607"/>
        <v>0</v>
      </c>
      <c r="AM395" s="525">
        <f t="shared" si="607"/>
        <v>0</v>
      </c>
      <c r="AN395" s="525">
        <f t="shared" si="607"/>
        <v>0</v>
      </c>
      <c r="AO395" s="525">
        <f t="shared" si="607"/>
        <v>0</v>
      </c>
      <c r="AP395" s="525">
        <f t="shared" si="607"/>
        <v>0</v>
      </c>
      <c r="AQ395" s="525">
        <f t="shared" si="607"/>
        <v>0</v>
      </c>
      <c r="AR395" s="525">
        <f t="shared" si="607"/>
        <v>0</v>
      </c>
      <c r="AS395" s="525">
        <f t="shared" si="607"/>
        <v>0</v>
      </c>
      <c r="AT395" s="525">
        <f t="shared" si="607"/>
        <v>0</v>
      </c>
      <c r="AU395" s="525">
        <f t="shared" si="607"/>
        <v>0</v>
      </c>
      <c r="AV395" s="525">
        <f t="shared" si="607"/>
        <v>0</v>
      </c>
      <c r="AW395" s="525">
        <f t="shared" si="607"/>
        <v>0</v>
      </c>
      <c r="AX395" s="525">
        <f t="shared" si="607"/>
        <v>0</v>
      </c>
      <c r="AY395" s="525">
        <f t="shared" si="607"/>
        <v>0</v>
      </c>
      <c r="AZ395" s="525">
        <f t="shared" si="607"/>
        <v>0</v>
      </c>
      <c r="BA395" s="525">
        <f t="shared" si="607"/>
        <v>0</v>
      </c>
      <c r="BB395" s="525">
        <f t="shared" si="607"/>
        <v>0</v>
      </c>
      <c r="BC395" s="525">
        <f t="shared" si="607"/>
        <v>0</v>
      </c>
      <c r="BD395" s="525">
        <f t="shared" si="607"/>
        <v>0</v>
      </c>
      <c r="BE395" s="525">
        <f t="shared" si="607"/>
        <v>0</v>
      </c>
      <c r="BF395" s="525">
        <f t="shared" si="607"/>
        <v>0</v>
      </c>
      <c r="BG395" s="525">
        <f t="shared" si="607"/>
        <v>0</v>
      </c>
      <c r="BH395" s="525">
        <f t="shared" si="607"/>
        <v>0</v>
      </c>
      <c r="BI395" s="525">
        <f t="shared" si="607"/>
        <v>0</v>
      </c>
      <c r="BJ395" s="525">
        <f t="shared" si="607"/>
        <v>0</v>
      </c>
      <c r="BK395" s="525">
        <f t="shared" si="607"/>
        <v>0</v>
      </c>
      <c r="BL395" s="525">
        <f t="shared" si="607"/>
        <v>0</v>
      </c>
      <c r="BM395" s="525">
        <f t="shared" si="607"/>
        <v>0</v>
      </c>
      <c r="BN395" s="525">
        <f t="shared" si="607"/>
        <v>0</v>
      </c>
      <c r="BO395" s="525">
        <f t="shared" si="607"/>
        <v>0</v>
      </c>
      <c r="BP395" s="525">
        <f t="shared" si="607"/>
        <v>0</v>
      </c>
      <c r="BQ395" s="525">
        <f t="shared" ref="BQ395:CV395" si="608" xml:space="preserve"> BQ$401</f>
        <v>0</v>
      </c>
      <c r="BR395" s="525">
        <f t="shared" si="608"/>
        <v>0</v>
      </c>
      <c r="BS395" s="525">
        <f t="shared" si="608"/>
        <v>0</v>
      </c>
      <c r="BT395" s="525">
        <f t="shared" si="608"/>
        <v>0</v>
      </c>
      <c r="BU395" s="525">
        <f t="shared" si="608"/>
        <v>0</v>
      </c>
      <c r="BV395" s="525">
        <f t="shared" si="608"/>
        <v>0</v>
      </c>
      <c r="BW395" s="525">
        <f t="shared" si="608"/>
        <v>0</v>
      </c>
      <c r="BX395" s="525">
        <f t="shared" si="608"/>
        <v>0</v>
      </c>
      <c r="BY395" s="525">
        <f t="shared" si="608"/>
        <v>0</v>
      </c>
      <c r="BZ395" s="525">
        <f t="shared" si="608"/>
        <v>0</v>
      </c>
      <c r="CA395" s="525">
        <f t="shared" si="608"/>
        <v>0</v>
      </c>
      <c r="CB395" s="525">
        <f t="shared" si="608"/>
        <v>0</v>
      </c>
      <c r="CC395" s="525">
        <f t="shared" si="608"/>
        <v>0</v>
      </c>
      <c r="CD395" s="525">
        <f t="shared" si="608"/>
        <v>0</v>
      </c>
      <c r="CE395" s="525">
        <f t="shared" si="608"/>
        <v>0</v>
      </c>
      <c r="CF395" s="525">
        <f t="shared" si="608"/>
        <v>0</v>
      </c>
      <c r="CG395" s="525">
        <f t="shared" si="608"/>
        <v>0</v>
      </c>
      <c r="CH395" s="525">
        <f t="shared" si="608"/>
        <v>0</v>
      </c>
      <c r="CI395" s="525">
        <f t="shared" si="608"/>
        <v>0</v>
      </c>
      <c r="CJ395" s="525">
        <f t="shared" si="608"/>
        <v>0</v>
      </c>
      <c r="CK395" s="525">
        <f t="shared" si="608"/>
        <v>0</v>
      </c>
      <c r="CL395" s="525">
        <f t="shared" si="608"/>
        <v>0</v>
      </c>
      <c r="CM395" s="525">
        <f t="shared" si="608"/>
        <v>0</v>
      </c>
      <c r="CN395" s="525">
        <f t="shared" si="608"/>
        <v>0</v>
      </c>
      <c r="CO395" s="525">
        <f t="shared" si="608"/>
        <v>0</v>
      </c>
      <c r="CP395" s="525">
        <f t="shared" si="608"/>
        <v>0</v>
      </c>
      <c r="CQ395" s="525">
        <f t="shared" si="608"/>
        <v>0</v>
      </c>
      <c r="CR395" s="525">
        <f t="shared" si="608"/>
        <v>0</v>
      </c>
      <c r="CS395" s="525">
        <f t="shared" si="608"/>
        <v>0</v>
      </c>
      <c r="CT395" s="525">
        <f t="shared" si="608"/>
        <v>0</v>
      </c>
      <c r="CU395" s="525">
        <f t="shared" si="608"/>
        <v>0</v>
      </c>
      <c r="CV395" s="525">
        <f t="shared" si="608"/>
        <v>0</v>
      </c>
    </row>
    <row r="396" spans="1:100" ht="12.75" outlineLevel="2" x14ac:dyDescent="0.2">
      <c r="A396" s="522"/>
      <c r="B396" s="522"/>
      <c r="C396" s="523"/>
      <c r="D396" s="524"/>
      <c r="E396" s="681" t="str">
        <f t="shared" ref="E396:AJ396" si="609" xml:space="preserve"> E$393</f>
        <v>Standby debt period interest rate - T1</v>
      </c>
      <c r="F396" s="681">
        <f t="shared" si="609"/>
        <v>0</v>
      </c>
      <c r="G396" s="681" t="str">
        <f t="shared" si="609"/>
        <v>%</v>
      </c>
      <c r="H396" s="681">
        <f t="shared" si="609"/>
        <v>0</v>
      </c>
      <c r="I396" s="681">
        <f t="shared" si="609"/>
        <v>0</v>
      </c>
      <c r="J396" s="681">
        <f t="shared" si="609"/>
        <v>1.0086727777777778E-2</v>
      </c>
      <c r="K396" s="681">
        <f t="shared" si="609"/>
        <v>1.0285599999999999E-2</v>
      </c>
      <c r="L396" s="681">
        <f t="shared" si="609"/>
        <v>1.0148066666666667E-2</v>
      </c>
      <c r="M396" s="681">
        <f t="shared" si="609"/>
        <v>1.0345400000000001E-2</v>
      </c>
      <c r="N396" s="681">
        <f t="shared" si="609"/>
        <v>1.0266822222222223E-2</v>
      </c>
      <c r="O396" s="681">
        <f t="shared" si="609"/>
        <v>2.3191666666666669E-2</v>
      </c>
      <c r="P396" s="681">
        <f t="shared" si="609"/>
        <v>2.2843205555555555E-2</v>
      </c>
      <c r="Q396" s="681">
        <f t="shared" si="609"/>
        <v>2.3258622222222223E-2</v>
      </c>
      <c r="R396" s="681">
        <f t="shared" si="609"/>
        <v>2.291108055555556E-2</v>
      </c>
      <c r="S396" s="681">
        <f t="shared" si="609"/>
        <v>2.3316888888888894E-2</v>
      </c>
      <c r="T396" s="681">
        <f t="shared" si="609"/>
        <v>2.2959850000000004E-2</v>
      </c>
      <c r="U396" s="681">
        <f t="shared" si="609"/>
        <v>2.3367488888888892E-2</v>
      </c>
      <c r="V396" s="681">
        <f t="shared" si="609"/>
        <v>2.3132705555555556E-2</v>
      </c>
      <c r="W396" s="681">
        <f t="shared" si="609"/>
        <v>2.3406333333333335E-2</v>
      </c>
      <c r="X396" s="681">
        <f t="shared" si="609"/>
        <v>2.305236111111111E-2</v>
      </c>
      <c r="Y396" s="681">
        <f t="shared" si="609"/>
        <v>2.447608888888889E-2</v>
      </c>
      <c r="Z396" s="681">
        <f t="shared" si="609"/>
        <v>2.4110205555555556E-2</v>
      </c>
      <c r="AA396" s="681">
        <f t="shared" si="609"/>
        <v>2.4545600000000004E-2</v>
      </c>
      <c r="AB396" s="681">
        <f t="shared" si="609"/>
        <v>2.4179086111111116E-2</v>
      </c>
      <c r="AC396" s="681">
        <f t="shared" si="609"/>
        <v>2.4601822222222226E-2</v>
      </c>
      <c r="AD396" s="681">
        <f t="shared" si="609"/>
        <v>2.4370305555555562E-2</v>
      </c>
      <c r="AE396" s="681">
        <f t="shared" si="609"/>
        <v>2.4675933333333341E-2</v>
      </c>
      <c r="AF396" s="681">
        <f t="shared" si="609"/>
        <v>2.4292211111111114E-2</v>
      </c>
      <c r="AG396" s="681">
        <f t="shared" si="609"/>
        <v>2.4720911111111115E-2</v>
      </c>
      <c r="AH396" s="681">
        <f t="shared" si="609"/>
        <v>2.4345002777777784E-2</v>
      </c>
      <c r="AI396" s="681">
        <f t="shared" si="609"/>
        <v>2.5795777777777782E-2</v>
      </c>
      <c r="AJ396" s="681">
        <f t="shared" si="609"/>
        <v>2.5398322222222228E-2</v>
      </c>
      <c r="AK396" s="681">
        <f t="shared" ref="AK396:BP396" si="610" xml:space="preserve"> AK$393</f>
        <v>2.5846888888888888E-2</v>
      </c>
      <c r="AL396" s="681">
        <f t="shared" si="610"/>
        <v>2.5600827777777779E-2</v>
      </c>
      <c r="AM396" s="681">
        <f t="shared" si="610"/>
        <v>2.5917933333333337E-2</v>
      </c>
      <c r="AN396" s="681">
        <f t="shared" si="610"/>
        <v>2.5527033333333338E-2</v>
      </c>
      <c r="AO396" s="681">
        <f t="shared" si="610"/>
        <v>2.5971088888888896E-2</v>
      </c>
      <c r="AP396" s="681">
        <f t="shared" si="610"/>
        <v>2.5570272222222225E-2</v>
      </c>
      <c r="AQ396" s="681">
        <f t="shared" si="610"/>
        <v>2.6022200000000002E-2</v>
      </c>
      <c r="AR396" s="681">
        <f t="shared" si="610"/>
        <v>2.5634627777777776E-2</v>
      </c>
      <c r="AS396" s="681">
        <f t="shared" si="610"/>
        <v>2.6087622222222225E-2</v>
      </c>
      <c r="AT396" s="681">
        <f t="shared" si="610"/>
        <v>2.5828327777777785E-2</v>
      </c>
      <c r="AU396" s="681">
        <f t="shared" si="610"/>
        <v>2.6142311111111111E-2</v>
      </c>
      <c r="AV396" s="681">
        <f t="shared" si="610"/>
        <v>2.5750266666666671E-2</v>
      </c>
      <c r="AW396" s="681">
        <f t="shared" si="610"/>
        <v>1.1388577777777778E-2</v>
      </c>
      <c r="AX396" s="681">
        <f t="shared" si="610"/>
        <v>1.1237586111111112E-2</v>
      </c>
      <c r="AY396" s="681">
        <f t="shared" si="610"/>
        <v>1.1453488888888891E-2</v>
      </c>
      <c r="AZ396" s="681">
        <f t="shared" si="610"/>
        <v>1.1284847222222226E-2</v>
      </c>
      <c r="BA396" s="681">
        <f t="shared" si="610"/>
        <v>1.149437777777778E-2</v>
      </c>
      <c r="BB396" s="681">
        <f t="shared" si="610"/>
        <v>1.1392694444444445E-2</v>
      </c>
      <c r="BC396" s="681">
        <f t="shared" si="610"/>
        <v>1.1554688888888892E-2</v>
      </c>
      <c r="BD396" s="681">
        <f t="shared" si="610"/>
        <v>1.1386408333333334E-2</v>
      </c>
      <c r="BE396" s="681">
        <f t="shared" si="610"/>
        <v>1.1594044444444444E-2</v>
      </c>
      <c r="BF396" s="681">
        <f t="shared" si="610"/>
        <v>1.143015E-2</v>
      </c>
      <c r="BG396" s="681">
        <f t="shared" si="610"/>
        <v>1.1656399999999999E-2</v>
      </c>
      <c r="BH396" s="681">
        <f t="shared" si="610"/>
        <v>1.1489477777777779E-2</v>
      </c>
      <c r="BI396" s="681">
        <f t="shared" si="610"/>
        <v>1.1703933333333331E-2</v>
      </c>
      <c r="BJ396" s="681">
        <f t="shared" si="610"/>
        <v>1.1604016666666666E-2</v>
      </c>
      <c r="BK396" s="681">
        <f t="shared" si="610"/>
        <v>1.1769866666666665E-2</v>
      </c>
      <c r="BL396" s="681">
        <f t="shared" si="610"/>
        <v>1.1611149999999997E-2</v>
      </c>
      <c r="BM396" s="681">
        <f t="shared" si="610"/>
        <v>1.1830177777777777E-2</v>
      </c>
      <c r="BN396" s="681">
        <f t="shared" si="610"/>
        <v>1.1670477777777776E-2</v>
      </c>
      <c r="BO396" s="681">
        <f t="shared" si="610"/>
        <v>1.1885377777777775E-2</v>
      </c>
      <c r="BP396" s="681">
        <f t="shared" si="610"/>
        <v>1.1709191666666665E-2</v>
      </c>
      <c r="BQ396" s="681">
        <f t="shared" ref="BQ396:CV396" si="611" xml:space="preserve"> BQ$393</f>
        <v>1.1926266666666664E-2</v>
      </c>
      <c r="BR396" s="681">
        <f t="shared" si="611"/>
        <v>1.1816349999999998E-2</v>
      </c>
      <c r="BS396" s="681">
        <f t="shared" si="611"/>
        <v>1.1967155555555555E-2</v>
      </c>
      <c r="BT396" s="681">
        <f t="shared" si="611"/>
        <v>1.1801702777777777E-2</v>
      </c>
      <c r="BU396" s="681">
        <f t="shared" si="611"/>
        <v>1.2021333333333332E-2</v>
      </c>
      <c r="BV396" s="681">
        <f t="shared" si="611"/>
        <v>1.1862036111111111E-2</v>
      </c>
      <c r="BW396" s="681">
        <f t="shared" si="611"/>
        <v>1.2093399999999997E-2</v>
      </c>
      <c r="BX396" s="681">
        <f t="shared" si="611"/>
        <v>1.1930413888888883E-2</v>
      </c>
      <c r="BY396" s="681">
        <f t="shared" si="611"/>
        <v>1.2157288888888885E-2</v>
      </c>
      <c r="BZ396" s="681">
        <f t="shared" si="611"/>
        <v>1.2053455555555552E-2</v>
      </c>
      <c r="CA396" s="681">
        <f t="shared" si="611"/>
        <v>1.2219644444444443E-2</v>
      </c>
      <c r="CB396" s="681">
        <f t="shared" si="611"/>
        <v>1.2047561111111108E-2</v>
      </c>
      <c r="CC396" s="681">
        <f t="shared" si="611"/>
        <v>1.2272799999999997E-2</v>
      </c>
      <c r="CD396" s="681">
        <f t="shared" si="611"/>
        <v>1.2102363888888886E-2</v>
      </c>
      <c r="CE396" s="681">
        <f t="shared" si="611"/>
        <v>1.2327999999999999E-2</v>
      </c>
      <c r="CF396" s="681">
        <f t="shared" si="611"/>
        <v>1.2150630555555554E-2</v>
      </c>
      <c r="CG396" s="681">
        <f t="shared" si="611"/>
        <v>1.2377066666666665E-2</v>
      </c>
      <c r="CH396" s="681">
        <f t="shared" si="611"/>
        <v>1.2266799999999998E-2</v>
      </c>
      <c r="CI396" s="681">
        <f t="shared" si="611"/>
        <v>1.2421022222222218E-2</v>
      </c>
      <c r="CJ396" s="681">
        <f t="shared" si="611"/>
        <v>1.225068333333333E-2</v>
      </c>
      <c r="CK396" s="681">
        <f t="shared" si="611"/>
        <v>1.247571111111111E-2</v>
      </c>
      <c r="CL396" s="681">
        <f t="shared" si="611"/>
        <v>1.2299452777777775E-2</v>
      </c>
      <c r="CM396" s="681">
        <f t="shared" si="611"/>
        <v>1.2538066666666663E-2</v>
      </c>
      <c r="CN396" s="681">
        <f t="shared" si="611"/>
        <v>1.2361797222222219E-2</v>
      </c>
      <c r="CO396" s="681">
        <f t="shared" si="611"/>
        <v>1.2585088888888886E-2</v>
      </c>
      <c r="CP396" s="681">
        <f t="shared" si="611"/>
        <v>1.248166111111111E-2</v>
      </c>
      <c r="CQ396" s="681">
        <f t="shared" si="611"/>
        <v>1.2644377777777776E-2</v>
      </c>
      <c r="CR396" s="681">
        <f t="shared" si="611"/>
        <v>1.246386111111111E-2</v>
      </c>
      <c r="CS396" s="681">
        <f t="shared" si="611"/>
        <v>1.2693444444444441E-2</v>
      </c>
      <c r="CT396" s="681">
        <f t="shared" si="611"/>
        <v>1.2505591666666666E-2</v>
      </c>
      <c r="CU396" s="681">
        <f t="shared" si="611"/>
        <v>1.2742511111111108E-2</v>
      </c>
      <c r="CV396" s="681">
        <f t="shared" si="611"/>
        <v>1.2561399999999999E-2</v>
      </c>
    </row>
    <row r="397" spans="1:100" s="188" customFormat="1" ht="12.75" outlineLevel="2" x14ac:dyDescent="0.2">
      <c r="A397" s="527"/>
      <c r="B397" s="527"/>
      <c r="C397" s="528"/>
      <c r="D397" s="529"/>
      <c r="E397" s="530" t="s">
        <v>1069</v>
      </c>
      <c r="F397" s="530"/>
      <c r="G397" s="530" t="str">
        <f xml:space="preserve"> SMU</f>
        <v>$ 000s</v>
      </c>
      <c r="H397" s="530">
        <f xml:space="preserve"> SUM(J397:CV397)</f>
        <v>0</v>
      </c>
      <c r="I397" s="531"/>
      <c r="J397" s="530">
        <f t="shared" ref="J397:AO397" si="612" xml:space="preserve"> J395 * J396</f>
        <v>0</v>
      </c>
      <c r="K397" s="530">
        <f t="shared" si="612"/>
        <v>0</v>
      </c>
      <c r="L397" s="530">
        <f t="shared" si="612"/>
        <v>0</v>
      </c>
      <c r="M397" s="530">
        <f t="shared" si="612"/>
        <v>0</v>
      </c>
      <c r="N397" s="530">
        <f t="shared" si="612"/>
        <v>0</v>
      </c>
      <c r="O397" s="530">
        <f t="shared" si="612"/>
        <v>0</v>
      </c>
      <c r="P397" s="530">
        <f t="shared" si="612"/>
        <v>0</v>
      </c>
      <c r="Q397" s="530">
        <f t="shared" si="612"/>
        <v>0</v>
      </c>
      <c r="R397" s="530">
        <f t="shared" si="612"/>
        <v>0</v>
      </c>
      <c r="S397" s="530">
        <f t="shared" si="612"/>
        <v>0</v>
      </c>
      <c r="T397" s="530">
        <f t="shared" si="612"/>
        <v>0</v>
      </c>
      <c r="U397" s="530">
        <f t="shared" si="612"/>
        <v>0</v>
      </c>
      <c r="V397" s="530">
        <f t="shared" si="612"/>
        <v>0</v>
      </c>
      <c r="W397" s="530">
        <f t="shared" si="612"/>
        <v>0</v>
      </c>
      <c r="X397" s="530">
        <f t="shared" si="612"/>
        <v>0</v>
      </c>
      <c r="Y397" s="530">
        <f t="shared" si="612"/>
        <v>0</v>
      </c>
      <c r="Z397" s="530">
        <f t="shared" si="612"/>
        <v>0</v>
      </c>
      <c r="AA397" s="530">
        <f t="shared" si="612"/>
        <v>0</v>
      </c>
      <c r="AB397" s="530">
        <f t="shared" si="612"/>
        <v>0</v>
      </c>
      <c r="AC397" s="530">
        <f t="shared" si="612"/>
        <v>0</v>
      </c>
      <c r="AD397" s="530">
        <f t="shared" si="612"/>
        <v>0</v>
      </c>
      <c r="AE397" s="530">
        <f t="shared" si="612"/>
        <v>0</v>
      </c>
      <c r="AF397" s="530">
        <f t="shared" si="612"/>
        <v>0</v>
      </c>
      <c r="AG397" s="530">
        <f t="shared" si="612"/>
        <v>0</v>
      </c>
      <c r="AH397" s="530">
        <f t="shared" si="612"/>
        <v>0</v>
      </c>
      <c r="AI397" s="530">
        <f t="shared" si="612"/>
        <v>0</v>
      </c>
      <c r="AJ397" s="530">
        <f t="shared" si="612"/>
        <v>0</v>
      </c>
      <c r="AK397" s="530">
        <f t="shared" si="612"/>
        <v>0</v>
      </c>
      <c r="AL397" s="530">
        <f t="shared" si="612"/>
        <v>0</v>
      </c>
      <c r="AM397" s="530">
        <f t="shared" si="612"/>
        <v>0</v>
      </c>
      <c r="AN397" s="530">
        <f t="shared" si="612"/>
        <v>0</v>
      </c>
      <c r="AO397" s="530">
        <f t="shared" si="612"/>
        <v>0</v>
      </c>
      <c r="AP397" s="530">
        <f t="shared" ref="AP397:BU397" si="613" xml:space="preserve"> AP395 * AP396</f>
        <v>0</v>
      </c>
      <c r="AQ397" s="530">
        <f t="shared" si="613"/>
        <v>0</v>
      </c>
      <c r="AR397" s="530">
        <f t="shared" si="613"/>
        <v>0</v>
      </c>
      <c r="AS397" s="530">
        <f t="shared" si="613"/>
        <v>0</v>
      </c>
      <c r="AT397" s="530">
        <f t="shared" si="613"/>
        <v>0</v>
      </c>
      <c r="AU397" s="530">
        <f t="shared" si="613"/>
        <v>0</v>
      </c>
      <c r="AV397" s="530">
        <f t="shared" si="613"/>
        <v>0</v>
      </c>
      <c r="AW397" s="530">
        <f t="shared" si="613"/>
        <v>0</v>
      </c>
      <c r="AX397" s="530">
        <f t="shared" si="613"/>
        <v>0</v>
      </c>
      <c r="AY397" s="530">
        <f t="shared" si="613"/>
        <v>0</v>
      </c>
      <c r="AZ397" s="530">
        <f t="shared" si="613"/>
        <v>0</v>
      </c>
      <c r="BA397" s="530">
        <f t="shared" si="613"/>
        <v>0</v>
      </c>
      <c r="BB397" s="530">
        <f t="shared" si="613"/>
        <v>0</v>
      </c>
      <c r="BC397" s="530">
        <f t="shared" si="613"/>
        <v>0</v>
      </c>
      <c r="BD397" s="530">
        <f t="shared" si="613"/>
        <v>0</v>
      </c>
      <c r="BE397" s="530">
        <f t="shared" si="613"/>
        <v>0</v>
      </c>
      <c r="BF397" s="530">
        <f t="shared" si="613"/>
        <v>0</v>
      </c>
      <c r="BG397" s="530">
        <f t="shared" si="613"/>
        <v>0</v>
      </c>
      <c r="BH397" s="530">
        <f t="shared" si="613"/>
        <v>0</v>
      </c>
      <c r="BI397" s="530">
        <f t="shared" si="613"/>
        <v>0</v>
      </c>
      <c r="BJ397" s="530">
        <f t="shared" si="613"/>
        <v>0</v>
      </c>
      <c r="BK397" s="530">
        <f t="shared" si="613"/>
        <v>0</v>
      </c>
      <c r="BL397" s="530">
        <f t="shared" si="613"/>
        <v>0</v>
      </c>
      <c r="BM397" s="530">
        <f t="shared" si="613"/>
        <v>0</v>
      </c>
      <c r="BN397" s="530">
        <f t="shared" si="613"/>
        <v>0</v>
      </c>
      <c r="BO397" s="530">
        <f t="shared" si="613"/>
        <v>0</v>
      </c>
      <c r="BP397" s="530">
        <f t="shared" si="613"/>
        <v>0</v>
      </c>
      <c r="BQ397" s="530">
        <f t="shared" si="613"/>
        <v>0</v>
      </c>
      <c r="BR397" s="530">
        <f t="shared" si="613"/>
        <v>0</v>
      </c>
      <c r="BS397" s="530">
        <f t="shared" si="613"/>
        <v>0</v>
      </c>
      <c r="BT397" s="530">
        <f t="shared" si="613"/>
        <v>0</v>
      </c>
      <c r="BU397" s="530">
        <f t="shared" si="613"/>
        <v>0</v>
      </c>
      <c r="BV397" s="530">
        <f t="shared" ref="BV397:CV397" si="614" xml:space="preserve"> BV395 * BV396</f>
        <v>0</v>
      </c>
      <c r="BW397" s="530">
        <f t="shared" si="614"/>
        <v>0</v>
      </c>
      <c r="BX397" s="530">
        <f t="shared" si="614"/>
        <v>0</v>
      </c>
      <c r="BY397" s="530">
        <f t="shared" si="614"/>
        <v>0</v>
      </c>
      <c r="BZ397" s="530">
        <f t="shared" si="614"/>
        <v>0</v>
      </c>
      <c r="CA397" s="530">
        <f t="shared" si="614"/>
        <v>0</v>
      </c>
      <c r="CB397" s="530">
        <f t="shared" si="614"/>
        <v>0</v>
      </c>
      <c r="CC397" s="530">
        <f t="shared" si="614"/>
        <v>0</v>
      </c>
      <c r="CD397" s="530">
        <f t="shared" si="614"/>
        <v>0</v>
      </c>
      <c r="CE397" s="530">
        <f t="shared" si="614"/>
        <v>0</v>
      </c>
      <c r="CF397" s="530">
        <f t="shared" si="614"/>
        <v>0</v>
      </c>
      <c r="CG397" s="530">
        <f t="shared" si="614"/>
        <v>0</v>
      </c>
      <c r="CH397" s="530">
        <f t="shared" si="614"/>
        <v>0</v>
      </c>
      <c r="CI397" s="530">
        <f t="shared" si="614"/>
        <v>0</v>
      </c>
      <c r="CJ397" s="530">
        <f t="shared" si="614"/>
        <v>0</v>
      </c>
      <c r="CK397" s="530">
        <f t="shared" si="614"/>
        <v>0</v>
      </c>
      <c r="CL397" s="530">
        <f t="shared" si="614"/>
        <v>0</v>
      </c>
      <c r="CM397" s="530">
        <f t="shared" si="614"/>
        <v>0</v>
      </c>
      <c r="CN397" s="530">
        <f t="shared" si="614"/>
        <v>0</v>
      </c>
      <c r="CO397" s="530">
        <f t="shared" si="614"/>
        <v>0</v>
      </c>
      <c r="CP397" s="530">
        <f t="shared" si="614"/>
        <v>0</v>
      </c>
      <c r="CQ397" s="530">
        <f t="shared" si="614"/>
        <v>0</v>
      </c>
      <c r="CR397" s="530">
        <f t="shared" si="614"/>
        <v>0</v>
      </c>
      <c r="CS397" s="530">
        <f t="shared" si="614"/>
        <v>0</v>
      </c>
      <c r="CT397" s="530">
        <f t="shared" si="614"/>
        <v>0</v>
      </c>
      <c r="CU397" s="530">
        <f t="shared" si="614"/>
        <v>0</v>
      </c>
      <c r="CV397" s="530">
        <f t="shared" si="614"/>
        <v>0</v>
      </c>
    </row>
    <row r="398" spans="1:100" s="188" customFormat="1" ht="12.75" outlineLevel="2" x14ac:dyDescent="0.2">
      <c r="A398" s="527"/>
      <c r="B398" s="527"/>
      <c r="C398" s="528"/>
      <c r="D398" s="529"/>
      <c r="E398" s="530" t="str">
        <f xml:space="preserve"> LEFT(E397, LEN(E397) - 4)</f>
        <v>Standby debt interest - T1</v>
      </c>
      <c r="F398" s="530"/>
      <c r="G398" s="530" t="str">
        <f xml:space="preserve"> SMU</f>
        <v>$ 000s</v>
      </c>
      <c r="H398" s="530">
        <f xml:space="preserve"> SUM(J398:CV398)</f>
        <v>0</v>
      </c>
      <c r="I398" s="531"/>
      <c r="J398" s="530">
        <f t="shared" ref="J398:AO398" si="615" xml:space="preserve"> -1 * J397</f>
        <v>0</v>
      </c>
      <c r="K398" s="530">
        <f t="shared" si="615"/>
        <v>0</v>
      </c>
      <c r="L398" s="530">
        <f t="shared" si="615"/>
        <v>0</v>
      </c>
      <c r="M398" s="530">
        <f t="shared" si="615"/>
        <v>0</v>
      </c>
      <c r="N398" s="530">
        <f t="shared" si="615"/>
        <v>0</v>
      </c>
      <c r="O398" s="530">
        <f t="shared" si="615"/>
        <v>0</v>
      </c>
      <c r="P398" s="530">
        <f t="shared" si="615"/>
        <v>0</v>
      </c>
      <c r="Q398" s="530">
        <f t="shared" si="615"/>
        <v>0</v>
      </c>
      <c r="R398" s="530">
        <f t="shared" si="615"/>
        <v>0</v>
      </c>
      <c r="S398" s="530">
        <f t="shared" si="615"/>
        <v>0</v>
      </c>
      <c r="T398" s="530">
        <f t="shared" si="615"/>
        <v>0</v>
      </c>
      <c r="U398" s="530">
        <f t="shared" si="615"/>
        <v>0</v>
      </c>
      <c r="V398" s="530">
        <f t="shared" si="615"/>
        <v>0</v>
      </c>
      <c r="W398" s="530">
        <f t="shared" si="615"/>
        <v>0</v>
      </c>
      <c r="X398" s="530">
        <f t="shared" si="615"/>
        <v>0</v>
      </c>
      <c r="Y398" s="530">
        <f t="shared" si="615"/>
        <v>0</v>
      </c>
      <c r="Z398" s="530">
        <f t="shared" si="615"/>
        <v>0</v>
      </c>
      <c r="AA398" s="530">
        <f t="shared" si="615"/>
        <v>0</v>
      </c>
      <c r="AB398" s="530">
        <f t="shared" si="615"/>
        <v>0</v>
      </c>
      <c r="AC398" s="530">
        <f t="shared" si="615"/>
        <v>0</v>
      </c>
      <c r="AD398" s="530">
        <f t="shared" si="615"/>
        <v>0</v>
      </c>
      <c r="AE398" s="530">
        <f t="shared" si="615"/>
        <v>0</v>
      </c>
      <c r="AF398" s="530">
        <f t="shared" si="615"/>
        <v>0</v>
      </c>
      <c r="AG398" s="530">
        <f t="shared" si="615"/>
        <v>0</v>
      </c>
      <c r="AH398" s="530">
        <f t="shared" si="615"/>
        <v>0</v>
      </c>
      <c r="AI398" s="530">
        <f t="shared" si="615"/>
        <v>0</v>
      </c>
      <c r="AJ398" s="530">
        <f t="shared" si="615"/>
        <v>0</v>
      </c>
      <c r="AK398" s="530">
        <f t="shared" si="615"/>
        <v>0</v>
      </c>
      <c r="AL398" s="530">
        <f t="shared" si="615"/>
        <v>0</v>
      </c>
      <c r="AM398" s="530">
        <f t="shared" si="615"/>
        <v>0</v>
      </c>
      <c r="AN398" s="530">
        <f t="shared" si="615"/>
        <v>0</v>
      </c>
      <c r="AO398" s="530">
        <f t="shared" si="615"/>
        <v>0</v>
      </c>
      <c r="AP398" s="530">
        <f t="shared" ref="AP398:BU398" si="616" xml:space="preserve"> -1 * AP397</f>
        <v>0</v>
      </c>
      <c r="AQ398" s="530">
        <f t="shared" si="616"/>
        <v>0</v>
      </c>
      <c r="AR398" s="530">
        <f t="shared" si="616"/>
        <v>0</v>
      </c>
      <c r="AS398" s="530">
        <f t="shared" si="616"/>
        <v>0</v>
      </c>
      <c r="AT398" s="530">
        <f t="shared" si="616"/>
        <v>0</v>
      </c>
      <c r="AU398" s="530">
        <f t="shared" si="616"/>
        <v>0</v>
      </c>
      <c r="AV398" s="530">
        <f t="shared" si="616"/>
        <v>0</v>
      </c>
      <c r="AW398" s="530">
        <f t="shared" si="616"/>
        <v>0</v>
      </c>
      <c r="AX398" s="530">
        <f t="shared" si="616"/>
        <v>0</v>
      </c>
      <c r="AY398" s="530">
        <f t="shared" si="616"/>
        <v>0</v>
      </c>
      <c r="AZ398" s="530">
        <f t="shared" si="616"/>
        <v>0</v>
      </c>
      <c r="BA398" s="530">
        <f t="shared" si="616"/>
        <v>0</v>
      </c>
      <c r="BB398" s="530">
        <f t="shared" si="616"/>
        <v>0</v>
      </c>
      <c r="BC398" s="530">
        <f t="shared" si="616"/>
        <v>0</v>
      </c>
      <c r="BD398" s="530">
        <f t="shared" si="616"/>
        <v>0</v>
      </c>
      <c r="BE398" s="530">
        <f t="shared" si="616"/>
        <v>0</v>
      </c>
      <c r="BF398" s="530">
        <f t="shared" si="616"/>
        <v>0</v>
      </c>
      <c r="BG398" s="530">
        <f t="shared" si="616"/>
        <v>0</v>
      </c>
      <c r="BH398" s="530">
        <f t="shared" si="616"/>
        <v>0</v>
      </c>
      <c r="BI398" s="530">
        <f t="shared" si="616"/>
        <v>0</v>
      </c>
      <c r="BJ398" s="530">
        <f t="shared" si="616"/>
        <v>0</v>
      </c>
      <c r="BK398" s="530">
        <f t="shared" si="616"/>
        <v>0</v>
      </c>
      <c r="BL398" s="530">
        <f t="shared" si="616"/>
        <v>0</v>
      </c>
      <c r="BM398" s="530">
        <f t="shared" si="616"/>
        <v>0</v>
      </c>
      <c r="BN398" s="530">
        <f t="shared" si="616"/>
        <v>0</v>
      </c>
      <c r="BO398" s="530">
        <f t="shared" si="616"/>
        <v>0</v>
      </c>
      <c r="BP398" s="530">
        <f t="shared" si="616"/>
        <v>0</v>
      </c>
      <c r="BQ398" s="530">
        <f t="shared" si="616"/>
        <v>0</v>
      </c>
      <c r="BR398" s="530">
        <f t="shared" si="616"/>
        <v>0</v>
      </c>
      <c r="BS398" s="530">
        <f t="shared" si="616"/>
        <v>0</v>
      </c>
      <c r="BT398" s="530">
        <f t="shared" si="616"/>
        <v>0</v>
      </c>
      <c r="BU398" s="530">
        <f t="shared" si="616"/>
        <v>0</v>
      </c>
      <c r="BV398" s="530">
        <f t="shared" ref="BV398:CV398" si="617" xml:space="preserve"> -1 * BV397</f>
        <v>0</v>
      </c>
      <c r="BW398" s="530">
        <f t="shared" si="617"/>
        <v>0</v>
      </c>
      <c r="BX398" s="530">
        <f t="shared" si="617"/>
        <v>0</v>
      </c>
      <c r="BY398" s="530">
        <f t="shared" si="617"/>
        <v>0</v>
      </c>
      <c r="BZ398" s="530">
        <f t="shared" si="617"/>
        <v>0</v>
      </c>
      <c r="CA398" s="530">
        <f t="shared" si="617"/>
        <v>0</v>
      </c>
      <c r="CB398" s="530">
        <f t="shared" si="617"/>
        <v>0</v>
      </c>
      <c r="CC398" s="530">
        <f t="shared" si="617"/>
        <v>0</v>
      </c>
      <c r="CD398" s="530">
        <f t="shared" si="617"/>
        <v>0</v>
      </c>
      <c r="CE398" s="530">
        <f t="shared" si="617"/>
        <v>0</v>
      </c>
      <c r="CF398" s="530">
        <f t="shared" si="617"/>
        <v>0</v>
      </c>
      <c r="CG398" s="530">
        <f t="shared" si="617"/>
        <v>0</v>
      </c>
      <c r="CH398" s="530">
        <f t="shared" si="617"/>
        <v>0</v>
      </c>
      <c r="CI398" s="530">
        <f t="shared" si="617"/>
        <v>0</v>
      </c>
      <c r="CJ398" s="530">
        <f t="shared" si="617"/>
        <v>0</v>
      </c>
      <c r="CK398" s="530">
        <f t="shared" si="617"/>
        <v>0</v>
      </c>
      <c r="CL398" s="530">
        <f t="shared" si="617"/>
        <v>0</v>
      </c>
      <c r="CM398" s="530">
        <f t="shared" si="617"/>
        <v>0</v>
      </c>
      <c r="CN398" s="530">
        <f t="shared" si="617"/>
        <v>0</v>
      </c>
      <c r="CO398" s="530">
        <f t="shared" si="617"/>
        <v>0</v>
      </c>
      <c r="CP398" s="530">
        <f t="shared" si="617"/>
        <v>0</v>
      </c>
      <c r="CQ398" s="530">
        <f t="shared" si="617"/>
        <v>0</v>
      </c>
      <c r="CR398" s="530">
        <f t="shared" si="617"/>
        <v>0</v>
      </c>
      <c r="CS398" s="530">
        <f t="shared" si="617"/>
        <v>0</v>
      </c>
      <c r="CT398" s="530">
        <f t="shared" si="617"/>
        <v>0</v>
      </c>
      <c r="CU398" s="530">
        <f t="shared" si="617"/>
        <v>0</v>
      </c>
      <c r="CV398" s="530">
        <f t="shared" si="617"/>
        <v>0</v>
      </c>
    </row>
    <row r="399" spans="1:100" ht="12.75" outlineLevel="2" x14ac:dyDescent="0.2">
      <c r="A399" s="522"/>
      <c r="B399" s="522"/>
      <c r="C399" s="523"/>
      <c r="D399" s="524"/>
      <c r="E399" s="525"/>
      <c r="F399" s="525"/>
      <c r="G399" s="525"/>
      <c r="H399" s="525"/>
      <c r="I399" s="526"/>
      <c r="J399" s="525"/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</row>
    <row r="400" spans="1:100" ht="12.75" outlineLevel="2" x14ac:dyDescent="0.2">
      <c r="A400" s="522"/>
      <c r="B400" s="522"/>
      <c r="C400" s="523" t="s">
        <v>447</v>
      </c>
      <c r="D400" s="524"/>
      <c r="E400" s="525"/>
      <c r="F400" s="525"/>
      <c r="G400" s="525"/>
      <c r="H400" s="525"/>
      <c r="I400" s="526"/>
      <c r="J400" s="525"/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</row>
    <row r="401" spans="1:100" s="626" customFormat="1" ht="12.75" outlineLevel="2" x14ac:dyDescent="0.2">
      <c r="A401" s="1075"/>
      <c r="B401" s="1075"/>
      <c r="C401" s="1076"/>
      <c r="D401" s="1077"/>
      <c r="E401" s="1078" t="s">
        <v>1042</v>
      </c>
      <c r="F401" s="1078"/>
      <c r="G401" s="1078" t="str">
        <f xml:space="preserve"> SMU</f>
        <v>$ 000s</v>
      </c>
      <c r="H401" s="1078"/>
      <c r="I401" s="1079"/>
      <c r="J401" s="1078">
        <f t="shared" ref="J401:AO401" si="618">I404</f>
        <v>0</v>
      </c>
      <c r="K401" s="1078">
        <f t="shared" si="618"/>
        <v>0</v>
      </c>
      <c r="L401" s="1078">
        <f t="shared" si="618"/>
        <v>0</v>
      </c>
      <c r="M401" s="1078">
        <f t="shared" si="618"/>
        <v>0</v>
      </c>
      <c r="N401" s="1078">
        <f t="shared" si="618"/>
        <v>0</v>
      </c>
      <c r="O401" s="1078">
        <f t="shared" si="618"/>
        <v>0</v>
      </c>
      <c r="P401" s="1078">
        <f t="shared" si="618"/>
        <v>0</v>
      </c>
      <c r="Q401" s="1078">
        <f t="shared" si="618"/>
        <v>0</v>
      </c>
      <c r="R401" s="1078">
        <f t="shared" si="618"/>
        <v>0</v>
      </c>
      <c r="S401" s="1078">
        <f t="shared" si="618"/>
        <v>0</v>
      </c>
      <c r="T401" s="1078">
        <f t="shared" si="618"/>
        <v>0</v>
      </c>
      <c r="U401" s="1078">
        <f t="shared" si="618"/>
        <v>0</v>
      </c>
      <c r="V401" s="1078">
        <f t="shared" si="618"/>
        <v>0</v>
      </c>
      <c r="W401" s="1078">
        <f t="shared" si="618"/>
        <v>0</v>
      </c>
      <c r="X401" s="1078">
        <f t="shared" si="618"/>
        <v>0</v>
      </c>
      <c r="Y401" s="1078">
        <f t="shared" si="618"/>
        <v>0</v>
      </c>
      <c r="Z401" s="1078">
        <f t="shared" si="618"/>
        <v>0</v>
      </c>
      <c r="AA401" s="1078">
        <f t="shared" si="618"/>
        <v>0</v>
      </c>
      <c r="AB401" s="1078">
        <f t="shared" si="618"/>
        <v>0</v>
      </c>
      <c r="AC401" s="1078">
        <f t="shared" si="618"/>
        <v>0</v>
      </c>
      <c r="AD401" s="1078">
        <f t="shared" si="618"/>
        <v>0</v>
      </c>
      <c r="AE401" s="1078">
        <f t="shared" si="618"/>
        <v>0</v>
      </c>
      <c r="AF401" s="1078">
        <f t="shared" si="618"/>
        <v>0</v>
      </c>
      <c r="AG401" s="1078">
        <f t="shared" si="618"/>
        <v>0</v>
      </c>
      <c r="AH401" s="1078">
        <f t="shared" si="618"/>
        <v>0</v>
      </c>
      <c r="AI401" s="1078">
        <f t="shared" si="618"/>
        <v>0</v>
      </c>
      <c r="AJ401" s="1078">
        <f t="shared" si="618"/>
        <v>0</v>
      </c>
      <c r="AK401" s="1078">
        <f t="shared" si="618"/>
        <v>0</v>
      </c>
      <c r="AL401" s="1078">
        <f t="shared" si="618"/>
        <v>0</v>
      </c>
      <c r="AM401" s="1078">
        <f t="shared" si="618"/>
        <v>0</v>
      </c>
      <c r="AN401" s="1078">
        <f t="shared" si="618"/>
        <v>0</v>
      </c>
      <c r="AO401" s="1078">
        <f t="shared" si="618"/>
        <v>0</v>
      </c>
      <c r="AP401" s="1078">
        <f t="shared" ref="AP401:BU401" si="619">AO404</f>
        <v>0</v>
      </c>
      <c r="AQ401" s="1078">
        <f t="shared" si="619"/>
        <v>0</v>
      </c>
      <c r="AR401" s="1078">
        <f t="shared" si="619"/>
        <v>0</v>
      </c>
      <c r="AS401" s="1078">
        <f t="shared" si="619"/>
        <v>0</v>
      </c>
      <c r="AT401" s="1078">
        <f t="shared" si="619"/>
        <v>0</v>
      </c>
      <c r="AU401" s="1078">
        <f t="shared" si="619"/>
        <v>0</v>
      </c>
      <c r="AV401" s="1078">
        <f t="shared" si="619"/>
        <v>0</v>
      </c>
      <c r="AW401" s="1078">
        <f t="shared" si="619"/>
        <v>0</v>
      </c>
      <c r="AX401" s="1078">
        <f t="shared" si="619"/>
        <v>0</v>
      </c>
      <c r="AY401" s="1078">
        <f t="shared" si="619"/>
        <v>0</v>
      </c>
      <c r="AZ401" s="1078">
        <f t="shared" si="619"/>
        <v>0</v>
      </c>
      <c r="BA401" s="1078">
        <f t="shared" si="619"/>
        <v>0</v>
      </c>
      <c r="BB401" s="1078">
        <f t="shared" si="619"/>
        <v>0</v>
      </c>
      <c r="BC401" s="1078">
        <f t="shared" si="619"/>
        <v>0</v>
      </c>
      <c r="BD401" s="1078">
        <f t="shared" si="619"/>
        <v>0</v>
      </c>
      <c r="BE401" s="1078">
        <f t="shared" si="619"/>
        <v>0</v>
      </c>
      <c r="BF401" s="1078">
        <f t="shared" si="619"/>
        <v>0</v>
      </c>
      <c r="BG401" s="1078">
        <f t="shared" si="619"/>
        <v>0</v>
      </c>
      <c r="BH401" s="1078">
        <f t="shared" si="619"/>
        <v>0</v>
      </c>
      <c r="BI401" s="1078">
        <f t="shared" si="619"/>
        <v>0</v>
      </c>
      <c r="BJ401" s="1078">
        <f t="shared" si="619"/>
        <v>0</v>
      </c>
      <c r="BK401" s="1078">
        <f t="shared" si="619"/>
        <v>0</v>
      </c>
      <c r="BL401" s="1078">
        <f t="shared" si="619"/>
        <v>0</v>
      </c>
      <c r="BM401" s="1078">
        <f t="shared" si="619"/>
        <v>0</v>
      </c>
      <c r="BN401" s="1078">
        <f t="shared" si="619"/>
        <v>0</v>
      </c>
      <c r="BO401" s="1078">
        <f t="shared" si="619"/>
        <v>0</v>
      </c>
      <c r="BP401" s="1078">
        <f t="shared" si="619"/>
        <v>0</v>
      </c>
      <c r="BQ401" s="1078">
        <f t="shared" si="619"/>
        <v>0</v>
      </c>
      <c r="BR401" s="1078">
        <f t="shared" si="619"/>
        <v>0</v>
      </c>
      <c r="BS401" s="1078">
        <f t="shared" si="619"/>
        <v>0</v>
      </c>
      <c r="BT401" s="1078">
        <f t="shared" si="619"/>
        <v>0</v>
      </c>
      <c r="BU401" s="1078">
        <f t="shared" si="619"/>
        <v>0</v>
      </c>
      <c r="BV401" s="1078">
        <f t="shared" ref="BV401:CV401" si="620">BU404</f>
        <v>0</v>
      </c>
      <c r="BW401" s="1078">
        <f t="shared" si="620"/>
        <v>0</v>
      </c>
      <c r="BX401" s="1078">
        <f t="shared" si="620"/>
        <v>0</v>
      </c>
      <c r="BY401" s="1078">
        <f t="shared" si="620"/>
        <v>0</v>
      </c>
      <c r="BZ401" s="1078">
        <f t="shared" si="620"/>
        <v>0</v>
      </c>
      <c r="CA401" s="1078">
        <f t="shared" si="620"/>
        <v>0</v>
      </c>
      <c r="CB401" s="1078">
        <f t="shared" si="620"/>
        <v>0</v>
      </c>
      <c r="CC401" s="1078">
        <f t="shared" si="620"/>
        <v>0</v>
      </c>
      <c r="CD401" s="1078">
        <f t="shared" si="620"/>
        <v>0</v>
      </c>
      <c r="CE401" s="1078">
        <f t="shared" si="620"/>
        <v>0</v>
      </c>
      <c r="CF401" s="1078">
        <f t="shared" si="620"/>
        <v>0</v>
      </c>
      <c r="CG401" s="1078">
        <f t="shared" si="620"/>
        <v>0</v>
      </c>
      <c r="CH401" s="1078">
        <f t="shared" si="620"/>
        <v>0</v>
      </c>
      <c r="CI401" s="1078">
        <f t="shared" si="620"/>
        <v>0</v>
      </c>
      <c r="CJ401" s="1078">
        <f t="shared" si="620"/>
        <v>0</v>
      </c>
      <c r="CK401" s="1078">
        <f t="shared" si="620"/>
        <v>0</v>
      </c>
      <c r="CL401" s="1078">
        <f t="shared" si="620"/>
        <v>0</v>
      </c>
      <c r="CM401" s="1078">
        <f t="shared" si="620"/>
        <v>0</v>
      </c>
      <c r="CN401" s="1078">
        <f t="shared" si="620"/>
        <v>0</v>
      </c>
      <c r="CO401" s="1078">
        <f t="shared" si="620"/>
        <v>0</v>
      </c>
      <c r="CP401" s="1078">
        <f t="shared" si="620"/>
        <v>0</v>
      </c>
      <c r="CQ401" s="1078">
        <f t="shared" si="620"/>
        <v>0</v>
      </c>
      <c r="CR401" s="1078">
        <f t="shared" si="620"/>
        <v>0</v>
      </c>
      <c r="CS401" s="1078">
        <f t="shared" si="620"/>
        <v>0</v>
      </c>
      <c r="CT401" s="1078">
        <f t="shared" si="620"/>
        <v>0</v>
      </c>
      <c r="CU401" s="1078">
        <f t="shared" si="620"/>
        <v>0</v>
      </c>
      <c r="CV401" s="1078">
        <f t="shared" si="620"/>
        <v>0</v>
      </c>
    </row>
    <row r="402" spans="1:100" s="540" customFormat="1" ht="12.75" outlineLevel="2" x14ac:dyDescent="0.2">
      <c r="A402" s="522"/>
      <c r="B402" s="522"/>
      <c r="C402" s="523"/>
      <c r="D402" s="524"/>
      <c r="E402" s="699" t="str">
        <f xml:space="preserve"> ConFin!E$656</f>
        <v>Standby debt drawdown - T1</v>
      </c>
      <c r="F402" s="699">
        <f xml:space="preserve"> ConFin!F$656</f>
        <v>0</v>
      </c>
      <c r="G402" s="699" t="str">
        <f xml:space="preserve"> ConFin!G$656</f>
        <v>$ 000s</v>
      </c>
      <c r="H402" s="699">
        <f xml:space="preserve"> ConFin!H$656</f>
        <v>0</v>
      </c>
      <c r="I402" s="699">
        <f xml:space="preserve"> ConFin!I$656</f>
        <v>0</v>
      </c>
      <c r="J402" s="699">
        <f xml:space="preserve"> ConFin!J$656</f>
        <v>0</v>
      </c>
      <c r="K402" s="699">
        <f xml:space="preserve"> ConFin!K$656</f>
        <v>0</v>
      </c>
      <c r="L402" s="699">
        <f xml:space="preserve"> ConFin!L$656</f>
        <v>0</v>
      </c>
      <c r="M402" s="699">
        <f xml:space="preserve"> ConFin!M$656</f>
        <v>0</v>
      </c>
      <c r="N402" s="699">
        <f xml:space="preserve"> ConFin!N$656</f>
        <v>0</v>
      </c>
      <c r="O402" s="699">
        <f xml:space="preserve"> ConFin!O$656</f>
        <v>0</v>
      </c>
      <c r="P402" s="699">
        <f xml:space="preserve"> ConFin!P$656</f>
        <v>0</v>
      </c>
      <c r="Q402" s="699">
        <f xml:space="preserve"> ConFin!Q$656</f>
        <v>0</v>
      </c>
      <c r="R402" s="699">
        <f xml:space="preserve"> ConFin!R$656</f>
        <v>0</v>
      </c>
      <c r="S402" s="699">
        <f xml:space="preserve"> ConFin!S$656</f>
        <v>0</v>
      </c>
      <c r="T402" s="699">
        <f xml:space="preserve"> ConFin!T$656</f>
        <v>0</v>
      </c>
      <c r="U402" s="699">
        <f xml:space="preserve"> ConFin!U$656</f>
        <v>0</v>
      </c>
      <c r="V402" s="699">
        <f xml:space="preserve"> ConFin!V$656</f>
        <v>0</v>
      </c>
      <c r="W402" s="699">
        <f xml:space="preserve"> ConFin!W$656</f>
        <v>0</v>
      </c>
      <c r="X402" s="699">
        <f xml:space="preserve"> ConFin!X$656</f>
        <v>0</v>
      </c>
      <c r="Y402" s="699">
        <f xml:space="preserve"> ConFin!Y$656</f>
        <v>0</v>
      </c>
      <c r="Z402" s="699">
        <f xml:space="preserve"> ConFin!Z$656</f>
        <v>0</v>
      </c>
      <c r="AA402" s="699">
        <f xml:space="preserve"> ConFin!AA$656</f>
        <v>0</v>
      </c>
      <c r="AB402" s="699">
        <f xml:space="preserve"> ConFin!AB$656</f>
        <v>0</v>
      </c>
      <c r="AC402" s="699">
        <f xml:space="preserve"> ConFin!AC$656</f>
        <v>0</v>
      </c>
      <c r="AD402" s="699">
        <f xml:space="preserve"> ConFin!AD$656</f>
        <v>0</v>
      </c>
      <c r="AE402" s="699">
        <f xml:space="preserve"> ConFin!AE$656</f>
        <v>0</v>
      </c>
      <c r="AF402" s="699">
        <f xml:space="preserve"> ConFin!AF$656</f>
        <v>0</v>
      </c>
      <c r="AG402" s="699">
        <f xml:space="preserve"> ConFin!AG$656</f>
        <v>0</v>
      </c>
      <c r="AH402" s="699">
        <f xml:space="preserve"> ConFin!AH$656</f>
        <v>0</v>
      </c>
      <c r="AI402" s="699">
        <f xml:space="preserve"> ConFin!AI$656</f>
        <v>0</v>
      </c>
      <c r="AJ402" s="699">
        <f xml:space="preserve"> ConFin!AJ$656</f>
        <v>0</v>
      </c>
      <c r="AK402" s="699">
        <f xml:space="preserve"> ConFin!AK$656</f>
        <v>0</v>
      </c>
      <c r="AL402" s="699">
        <f xml:space="preserve"> ConFin!AL$656</f>
        <v>0</v>
      </c>
      <c r="AM402" s="699">
        <f xml:space="preserve"> ConFin!AM$656</f>
        <v>0</v>
      </c>
      <c r="AN402" s="699">
        <f xml:space="preserve"> ConFin!AN$656</f>
        <v>0</v>
      </c>
      <c r="AO402" s="699">
        <f xml:space="preserve"> ConFin!AO$656</f>
        <v>0</v>
      </c>
      <c r="AP402" s="699">
        <f xml:space="preserve"> ConFin!AP$656</f>
        <v>0</v>
      </c>
      <c r="AQ402" s="699">
        <f xml:space="preserve"> ConFin!AQ$656</f>
        <v>0</v>
      </c>
      <c r="AR402" s="699">
        <f xml:space="preserve"> ConFin!AR$656</f>
        <v>0</v>
      </c>
      <c r="AS402" s="699">
        <f xml:space="preserve"> ConFin!AS$656</f>
        <v>0</v>
      </c>
      <c r="AT402" s="699">
        <f xml:space="preserve"> ConFin!AT$656</f>
        <v>0</v>
      </c>
      <c r="AU402" s="699">
        <f xml:space="preserve"> ConFin!AU$656</f>
        <v>0</v>
      </c>
      <c r="AV402" s="699">
        <f xml:space="preserve"> ConFin!AV$656</f>
        <v>0</v>
      </c>
      <c r="AW402" s="699">
        <f xml:space="preserve"> ConFin!AW$656</f>
        <v>0</v>
      </c>
      <c r="AX402" s="699">
        <f xml:space="preserve"> ConFin!AX$656</f>
        <v>0</v>
      </c>
      <c r="AY402" s="699">
        <f xml:space="preserve"> ConFin!AY$656</f>
        <v>0</v>
      </c>
      <c r="AZ402" s="699">
        <f xml:space="preserve"> ConFin!AZ$656</f>
        <v>0</v>
      </c>
      <c r="BA402" s="699">
        <f xml:space="preserve"> ConFin!BA$656</f>
        <v>0</v>
      </c>
      <c r="BB402" s="699">
        <f xml:space="preserve"> ConFin!BB$656</f>
        <v>0</v>
      </c>
      <c r="BC402" s="699">
        <f xml:space="preserve"> ConFin!BC$656</f>
        <v>0</v>
      </c>
      <c r="BD402" s="699">
        <f xml:space="preserve"> ConFin!BD$656</f>
        <v>0</v>
      </c>
      <c r="BE402" s="699">
        <f xml:space="preserve"> ConFin!BE$656</f>
        <v>0</v>
      </c>
      <c r="BF402" s="699">
        <f xml:space="preserve"> ConFin!BF$656</f>
        <v>0</v>
      </c>
      <c r="BG402" s="699">
        <f xml:space="preserve"> ConFin!BG$656</f>
        <v>0</v>
      </c>
      <c r="BH402" s="699">
        <f xml:space="preserve"> ConFin!BH$656</f>
        <v>0</v>
      </c>
      <c r="BI402" s="699">
        <f xml:space="preserve"> ConFin!BI$656</f>
        <v>0</v>
      </c>
      <c r="BJ402" s="699">
        <f xml:space="preserve"> ConFin!BJ$656</f>
        <v>0</v>
      </c>
      <c r="BK402" s="699">
        <f xml:space="preserve"> ConFin!BK$656</f>
        <v>0</v>
      </c>
      <c r="BL402" s="699">
        <f xml:space="preserve"> ConFin!BL$656</f>
        <v>0</v>
      </c>
      <c r="BM402" s="699">
        <f xml:space="preserve"> ConFin!BM$656</f>
        <v>0</v>
      </c>
      <c r="BN402" s="699">
        <f xml:space="preserve"> ConFin!BN$656</f>
        <v>0</v>
      </c>
      <c r="BO402" s="699">
        <f xml:space="preserve"> ConFin!BO$656</f>
        <v>0</v>
      </c>
      <c r="BP402" s="699">
        <f xml:space="preserve"> ConFin!BP$656</f>
        <v>0</v>
      </c>
      <c r="BQ402" s="699">
        <f xml:space="preserve"> ConFin!BQ$656</f>
        <v>0</v>
      </c>
      <c r="BR402" s="699">
        <f xml:space="preserve"> ConFin!BR$656</f>
        <v>0</v>
      </c>
      <c r="BS402" s="699">
        <f xml:space="preserve"> ConFin!BS$656</f>
        <v>0</v>
      </c>
      <c r="BT402" s="699">
        <f xml:space="preserve"> ConFin!BT$656</f>
        <v>0</v>
      </c>
      <c r="BU402" s="699">
        <f xml:space="preserve"> ConFin!BU$656</f>
        <v>0</v>
      </c>
      <c r="BV402" s="699">
        <f xml:space="preserve"> ConFin!BV$656</f>
        <v>0</v>
      </c>
      <c r="BW402" s="699">
        <f xml:space="preserve"> ConFin!BW$656</f>
        <v>0</v>
      </c>
      <c r="BX402" s="699">
        <f xml:space="preserve"> ConFin!BX$656</f>
        <v>0</v>
      </c>
      <c r="BY402" s="699">
        <f xml:space="preserve"> ConFin!BY$656</f>
        <v>0</v>
      </c>
      <c r="BZ402" s="699">
        <f xml:space="preserve"> ConFin!BZ$656</f>
        <v>0</v>
      </c>
      <c r="CA402" s="699">
        <f xml:space="preserve"> ConFin!CA$656</f>
        <v>0</v>
      </c>
      <c r="CB402" s="699">
        <f xml:space="preserve"> ConFin!CB$656</f>
        <v>0</v>
      </c>
      <c r="CC402" s="699">
        <f xml:space="preserve"> ConFin!CC$656</f>
        <v>0</v>
      </c>
      <c r="CD402" s="699">
        <f xml:space="preserve"> ConFin!CD$656</f>
        <v>0</v>
      </c>
      <c r="CE402" s="699">
        <f xml:space="preserve"> ConFin!CE$656</f>
        <v>0</v>
      </c>
      <c r="CF402" s="699">
        <f xml:space="preserve"> ConFin!CF$656</f>
        <v>0</v>
      </c>
      <c r="CG402" s="699">
        <f xml:space="preserve"> ConFin!CG$656</f>
        <v>0</v>
      </c>
      <c r="CH402" s="699">
        <f xml:space="preserve"> ConFin!CH$656</f>
        <v>0</v>
      </c>
      <c r="CI402" s="699">
        <f xml:space="preserve"> ConFin!CI$656</f>
        <v>0</v>
      </c>
      <c r="CJ402" s="699">
        <f xml:space="preserve"> ConFin!CJ$656</f>
        <v>0</v>
      </c>
      <c r="CK402" s="699">
        <f xml:space="preserve"> ConFin!CK$656</f>
        <v>0</v>
      </c>
      <c r="CL402" s="699">
        <f xml:space="preserve"> ConFin!CL$656</f>
        <v>0</v>
      </c>
      <c r="CM402" s="699">
        <f xml:space="preserve"> ConFin!CM$656</f>
        <v>0</v>
      </c>
      <c r="CN402" s="699">
        <f xml:space="preserve"> ConFin!CN$656</f>
        <v>0</v>
      </c>
      <c r="CO402" s="699">
        <f xml:space="preserve"> ConFin!CO$656</f>
        <v>0</v>
      </c>
      <c r="CP402" s="699">
        <f xml:space="preserve"> ConFin!CP$656</f>
        <v>0</v>
      </c>
      <c r="CQ402" s="699">
        <f xml:space="preserve"> ConFin!CQ$656</f>
        <v>0</v>
      </c>
      <c r="CR402" s="699">
        <f xml:space="preserve"> ConFin!CR$656</f>
        <v>0</v>
      </c>
      <c r="CS402" s="699">
        <f xml:space="preserve"> ConFin!CS$656</f>
        <v>0</v>
      </c>
      <c r="CT402" s="699">
        <f xml:space="preserve"> ConFin!CT$656</f>
        <v>0</v>
      </c>
      <c r="CU402" s="699">
        <f xml:space="preserve"> ConFin!CU$656</f>
        <v>0</v>
      </c>
      <c r="CV402" s="699">
        <f xml:space="preserve"> ConFin!CV$656</f>
        <v>0</v>
      </c>
    </row>
    <row r="403" spans="1:100" s="498" customFormat="1" ht="12.75" outlineLevel="2" x14ac:dyDescent="0.2">
      <c r="A403" s="522"/>
      <c r="B403" s="522"/>
      <c r="C403" s="523"/>
      <c r="D403" s="524"/>
      <c r="E403" s="663" t="str">
        <f t="shared" ref="E403:AJ403" si="621" xml:space="preserve"> E$381</f>
        <v>Standby debt principal repayment - T1 POS</v>
      </c>
      <c r="F403" s="663">
        <f t="shared" si="621"/>
        <v>0</v>
      </c>
      <c r="G403" s="663" t="str">
        <f t="shared" si="621"/>
        <v>$ 000s</v>
      </c>
      <c r="H403" s="663">
        <f t="shared" si="621"/>
        <v>0</v>
      </c>
      <c r="I403" s="663">
        <f t="shared" si="621"/>
        <v>0</v>
      </c>
      <c r="J403" s="663">
        <f t="shared" si="621"/>
        <v>0</v>
      </c>
      <c r="K403" s="663">
        <f t="shared" si="621"/>
        <v>0</v>
      </c>
      <c r="L403" s="663">
        <f t="shared" si="621"/>
        <v>0</v>
      </c>
      <c r="M403" s="663">
        <f t="shared" si="621"/>
        <v>0</v>
      </c>
      <c r="N403" s="663">
        <f t="shared" si="621"/>
        <v>0</v>
      </c>
      <c r="O403" s="663">
        <f t="shared" si="621"/>
        <v>0</v>
      </c>
      <c r="P403" s="663">
        <f t="shared" si="621"/>
        <v>0</v>
      </c>
      <c r="Q403" s="663">
        <f t="shared" si="621"/>
        <v>0</v>
      </c>
      <c r="R403" s="663">
        <f t="shared" si="621"/>
        <v>0</v>
      </c>
      <c r="S403" s="663">
        <f t="shared" si="621"/>
        <v>0</v>
      </c>
      <c r="T403" s="663">
        <f t="shared" si="621"/>
        <v>0</v>
      </c>
      <c r="U403" s="663">
        <f t="shared" si="621"/>
        <v>0</v>
      </c>
      <c r="V403" s="663">
        <f t="shared" si="621"/>
        <v>0</v>
      </c>
      <c r="W403" s="663">
        <f t="shared" si="621"/>
        <v>0</v>
      </c>
      <c r="X403" s="663">
        <f t="shared" si="621"/>
        <v>0</v>
      </c>
      <c r="Y403" s="663">
        <f t="shared" si="621"/>
        <v>0</v>
      </c>
      <c r="Z403" s="663">
        <f t="shared" si="621"/>
        <v>0</v>
      </c>
      <c r="AA403" s="663">
        <f t="shared" si="621"/>
        <v>0</v>
      </c>
      <c r="AB403" s="663">
        <f t="shared" si="621"/>
        <v>0</v>
      </c>
      <c r="AC403" s="663">
        <f t="shared" si="621"/>
        <v>0</v>
      </c>
      <c r="AD403" s="663">
        <f t="shared" si="621"/>
        <v>0</v>
      </c>
      <c r="AE403" s="663">
        <f t="shared" si="621"/>
        <v>0</v>
      </c>
      <c r="AF403" s="663">
        <f t="shared" si="621"/>
        <v>0</v>
      </c>
      <c r="AG403" s="663">
        <f t="shared" si="621"/>
        <v>0</v>
      </c>
      <c r="AH403" s="663">
        <f t="shared" si="621"/>
        <v>0</v>
      </c>
      <c r="AI403" s="663">
        <f t="shared" si="621"/>
        <v>0</v>
      </c>
      <c r="AJ403" s="663">
        <f t="shared" si="621"/>
        <v>0</v>
      </c>
      <c r="AK403" s="663">
        <f t="shared" ref="AK403:BP403" si="622" xml:space="preserve"> AK$381</f>
        <v>0</v>
      </c>
      <c r="AL403" s="663">
        <f t="shared" si="622"/>
        <v>0</v>
      </c>
      <c r="AM403" s="663">
        <f t="shared" si="622"/>
        <v>0</v>
      </c>
      <c r="AN403" s="663">
        <f t="shared" si="622"/>
        <v>0</v>
      </c>
      <c r="AO403" s="663">
        <f t="shared" si="622"/>
        <v>0</v>
      </c>
      <c r="AP403" s="663">
        <f t="shared" si="622"/>
        <v>0</v>
      </c>
      <c r="AQ403" s="663">
        <f t="shared" si="622"/>
        <v>0</v>
      </c>
      <c r="AR403" s="663">
        <f t="shared" si="622"/>
        <v>0</v>
      </c>
      <c r="AS403" s="663">
        <f t="shared" si="622"/>
        <v>0</v>
      </c>
      <c r="AT403" s="663">
        <f t="shared" si="622"/>
        <v>0</v>
      </c>
      <c r="AU403" s="663">
        <f t="shared" si="622"/>
        <v>0</v>
      </c>
      <c r="AV403" s="663">
        <f t="shared" si="622"/>
        <v>0</v>
      </c>
      <c r="AW403" s="663">
        <f t="shared" si="622"/>
        <v>0</v>
      </c>
      <c r="AX403" s="663">
        <f t="shared" si="622"/>
        <v>0</v>
      </c>
      <c r="AY403" s="663">
        <f t="shared" si="622"/>
        <v>0</v>
      </c>
      <c r="AZ403" s="663">
        <f t="shared" si="622"/>
        <v>0</v>
      </c>
      <c r="BA403" s="663">
        <f t="shared" si="622"/>
        <v>0</v>
      </c>
      <c r="BB403" s="663">
        <f t="shared" si="622"/>
        <v>0</v>
      </c>
      <c r="BC403" s="663">
        <f t="shared" si="622"/>
        <v>0</v>
      </c>
      <c r="BD403" s="663">
        <f t="shared" si="622"/>
        <v>0</v>
      </c>
      <c r="BE403" s="663">
        <f t="shared" si="622"/>
        <v>0</v>
      </c>
      <c r="BF403" s="663">
        <f t="shared" si="622"/>
        <v>0</v>
      </c>
      <c r="BG403" s="663">
        <f t="shared" si="622"/>
        <v>0</v>
      </c>
      <c r="BH403" s="663">
        <f t="shared" si="622"/>
        <v>0</v>
      </c>
      <c r="BI403" s="663">
        <f t="shared" si="622"/>
        <v>0</v>
      </c>
      <c r="BJ403" s="663">
        <f t="shared" si="622"/>
        <v>0</v>
      </c>
      <c r="BK403" s="663">
        <f t="shared" si="622"/>
        <v>0</v>
      </c>
      <c r="BL403" s="663">
        <f t="shared" si="622"/>
        <v>0</v>
      </c>
      <c r="BM403" s="663">
        <f t="shared" si="622"/>
        <v>0</v>
      </c>
      <c r="BN403" s="663">
        <f t="shared" si="622"/>
        <v>0</v>
      </c>
      <c r="BO403" s="663">
        <f t="shared" si="622"/>
        <v>0</v>
      </c>
      <c r="BP403" s="663">
        <f t="shared" si="622"/>
        <v>0</v>
      </c>
      <c r="BQ403" s="663">
        <f t="shared" ref="BQ403:CV403" si="623" xml:space="preserve"> BQ$381</f>
        <v>0</v>
      </c>
      <c r="BR403" s="663">
        <f t="shared" si="623"/>
        <v>0</v>
      </c>
      <c r="BS403" s="663">
        <f t="shared" si="623"/>
        <v>0</v>
      </c>
      <c r="BT403" s="663">
        <f t="shared" si="623"/>
        <v>0</v>
      </c>
      <c r="BU403" s="663">
        <f t="shared" si="623"/>
        <v>0</v>
      </c>
      <c r="BV403" s="663">
        <f t="shared" si="623"/>
        <v>0</v>
      </c>
      <c r="BW403" s="663">
        <f t="shared" si="623"/>
        <v>0</v>
      </c>
      <c r="BX403" s="663">
        <f t="shared" si="623"/>
        <v>0</v>
      </c>
      <c r="BY403" s="663">
        <f t="shared" si="623"/>
        <v>0</v>
      </c>
      <c r="BZ403" s="663">
        <f t="shared" si="623"/>
        <v>0</v>
      </c>
      <c r="CA403" s="663">
        <f t="shared" si="623"/>
        <v>0</v>
      </c>
      <c r="CB403" s="663">
        <f t="shared" si="623"/>
        <v>0</v>
      </c>
      <c r="CC403" s="663">
        <f t="shared" si="623"/>
        <v>0</v>
      </c>
      <c r="CD403" s="663">
        <f t="shared" si="623"/>
        <v>0</v>
      </c>
      <c r="CE403" s="663">
        <f t="shared" si="623"/>
        <v>0</v>
      </c>
      <c r="CF403" s="663">
        <f t="shared" si="623"/>
        <v>0</v>
      </c>
      <c r="CG403" s="663">
        <f t="shared" si="623"/>
        <v>0</v>
      </c>
      <c r="CH403" s="663">
        <f t="shared" si="623"/>
        <v>0</v>
      </c>
      <c r="CI403" s="663">
        <f t="shared" si="623"/>
        <v>0</v>
      </c>
      <c r="CJ403" s="663">
        <f t="shared" si="623"/>
        <v>0</v>
      </c>
      <c r="CK403" s="663">
        <f t="shared" si="623"/>
        <v>0</v>
      </c>
      <c r="CL403" s="663">
        <f t="shared" si="623"/>
        <v>0</v>
      </c>
      <c r="CM403" s="663">
        <f t="shared" si="623"/>
        <v>0</v>
      </c>
      <c r="CN403" s="663">
        <f t="shared" si="623"/>
        <v>0</v>
      </c>
      <c r="CO403" s="663">
        <f t="shared" si="623"/>
        <v>0</v>
      </c>
      <c r="CP403" s="663">
        <f t="shared" si="623"/>
        <v>0</v>
      </c>
      <c r="CQ403" s="663">
        <f t="shared" si="623"/>
        <v>0</v>
      </c>
      <c r="CR403" s="663">
        <f t="shared" si="623"/>
        <v>0</v>
      </c>
      <c r="CS403" s="663">
        <f t="shared" si="623"/>
        <v>0</v>
      </c>
      <c r="CT403" s="663">
        <f t="shared" si="623"/>
        <v>0</v>
      </c>
      <c r="CU403" s="663">
        <f t="shared" si="623"/>
        <v>0</v>
      </c>
      <c r="CV403" s="663">
        <f t="shared" si="623"/>
        <v>0</v>
      </c>
    </row>
    <row r="404" spans="1:100" s="541" customFormat="1" ht="12.75" outlineLevel="2" x14ac:dyDescent="0.2">
      <c r="A404" s="707"/>
      <c r="B404" s="707"/>
      <c r="C404" s="708"/>
      <c r="D404" s="709"/>
      <c r="E404" s="710" t="s">
        <v>1043</v>
      </c>
      <c r="F404" s="710"/>
      <c r="G404" s="710" t="str">
        <f xml:space="preserve"> SMU</f>
        <v>$ 000s</v>
      </c>
      <c r="H404" s="710"/>
      <c r="I404" s="711"/>
      <c r="J404" s="710">
        <f t="shared" ref="J404:AO404" si="624" xml:space="preserve"> J401 + J402 - J403</f>
        <v>0</v>
      </c>
      <c r="K404" s="710">
        <f t="shared" si="624"/>
        <v>0</v>
      </c>
      <c r="L404" s="710">
        <f t="shared" si="624"/>
        <v>0</v>
      </c>
      <c r="M404" s="710">
        <f t="shared" si="624"/>
        <v>0</v>
      </c>
      <c r="N404" s="710">
        <f t="shared" si="624"/>
        <v>0</v>
      </c>
      <c r="O404" s="710">
        <f t="shared" si="624"/>
        <v>0</v>
      </c>
      <c r="P404" s="710">
        <f t="shared" si="624"/>
        <v>0</v>
      </c>
      <c r="Q404" s="710">
        <f t="shared" si="624"/>
        <v>0</v>
      </c>
      <c r="R404" s="710">
        <f t="shared" si="624"/>
        <v>0</v>
      </c>
      <c r="S404" s="710">
        <f t="shared" si="624"/>
        <v>0</v>
      </c>
      <c r="T404" s="710">
        <f t="shared" si="624"/>
        <v>0</v>
      </c>
      <c r="U404" s="710">
        <f t="shared" si="624"/>
        <v>0</v>
      </c>
      <c r="V404" s="710">
        <f t="shared" si="624"/>
        <v>0</v>
      </c>
      <c r="W404" s="710">
        <f t="shared" si="624"/>
        <v>0</v>
      </c>
      <c r="X404" s="710">
        <f t="shared" si="624"/>
        <v>0</v>
      </c>
      <c r="Y404" s="710">
        <f t="shared" si="624"/>
        <v>0</v>
      </c>
      <c r="Z404" s="710">
        <f t="shared" si="624"/>
        <v>0</v>
      </c>
      <c r="AA404" s="710">
        <f t="shared" si="624"/>
        <v>0</v>
      </c>
      <c r="AB404" s="710">
        <f t="shared" si="624"/>
        <v>0</v>
      </c>
      <c r="AC404" s="710">
        <f t="shared" si="624"/>
        <v>0</v>
      </c>
      <c r="AD404" s="710">
        <f t="shared" si="624"/>
        <v>0</v>
      </c>
      <c r="AE404" s="710">
        <f t="shared" si="624"/>
        <v>0</v>
      </c>
      <c r="AF404" s="710">
        <f t="shared" si="624"/>
        <v>0</v>
      </c>
      <c r="AG404" s="710">
        <f t="shared" si="624"/>
        <v>0</v>
      </c>
      <c r="AH404" s="710">
        <f t="shared" si="624"/>
        <v>0</v>
      </c>
      <c r="AI404" s="710">
        <f t="shared" si="624"/>
        <v>0</v>
      </c>
      <c r="AJ404" s="710">
        <f t="shared" si="624"/>
        <v>0</v>
      </c>
      <c r="AK404" s="710">
        <f t="shared" si="624"/>
        <v>0</v>
      </c>
      <c r="AL404" s="710">
        <f t="shared" si="624"/>
        <v>0</v>
      </c>
      <c r="AM404" s="710">
        <f t="shared" si="624"/>
        <v>0</v>
      </c>
      <c r="AN404" s="710">
        <f t="shared" si="624"/>
        <v>0</v>
      </c>
      <c r="AO404" s="710">
        <f t="shared" si="624"/>
        <v>0</v>
      </c>
      <c r="AP404" s="710">
        <f t="shared" ref="AP404:BU404" si="625" xml:space="preserve"> AP401 + AP402 - AP403</f>
        <v>0</v>
      </c>
      <c r="AQ404" s="710">
        <f t="shared" si="625"/>
        <v>0</v>
      </c>
      <c r="AR404" s="710">
        <f t="shared" si="625"/>
        <v>0</v>
      </c>
      <c r="AS404" s="710">
        <f t="shared" si="625"/>
        <v>0</v>
      </c>
      <c r="AT404" s="710">
        <f t="shared" si="625"/>
        <v>0</v>
      </c>
      <c r="AU404" s="710">
        <f t="shared" si="625"/>
        <v>0</v>
      </c>
      <c r="AV404" s="710">
        <f t="shared" si="625"/>
        <v>0</v>
      </c>
      <c r="AW404" s="710">
        <f t="shared" si="625"/>
        <v>0</v>
      </c>
      <c r="AX404" s="710">
        <f t="shared" si="625"/>
        <v>0</v>
      </c>
      <c r="AY404" s="710">
        <f t="shared" si="625"/>
        <v>0</v>
      </c>
      <c r="AZ404" s="710">
        <f t="shared" si="625"/>
        <v>0</v>
      </c>
      <c r="BA404" s="710">
        <f t="shared" si="625"/>
        <v>0</v>
      </c>
      <c r="BB404" s="710">
        <f t="shared" si="625"/>
        <v>0</v>
      </c>
      <c r="BC404" s="710">
        <f t="shared" si="625"/>
        <v>0</v>
      </c>
      <c r="BD404" s="710">
        <f t="shared" si="625"/>
        <v>0</v>
      </c>
      <c r="BE404" s="710">
        <f t="shared" si="625"/>
        <v>0</v>
      </c>
      <c r="BF404" s="710">
        <f t="shared" si="625"/>
        <v>0</v>
      </c>
      <c r="BG404" s="710">
        <f t="shared" si="625"/>
        <v>0</v>
      </c>
      <c r="BH404" s="710">
        <f t="shared" si="625"/>
        <v>0</v>
      </c>
      <c r="BI404" s="710">
        <f t="shared" si="625"/>
        <v>0</v>
      </c>
      <c r="BJ404" s="710">
        <f t="shared" si="625"/>
        <v>0</v>
      </c>
      <c r="BK404" s="710">
        <f t="shared" si="625"/>
        <v>0</v>
      </c>
      <c r="BL404" s="710">
        <f t="shared" si="625"/>
        <v>0</v>
      </c>
      <c r="BM404" s="710">
        <f t="shared" si="625"/>
        <v>0</v>
      </c>
      <c r="BN404" s="710">
        <f t="shared" si="625"/>
        <v>0</v>
      </c>
      <c r="BO404" s="710">
        <f t="shared" si="625"/>
        <v>0</v>
      </c>
      <c r="BP404" s="710">
        <f t="shared" si="625"/>
        <v>0</v>
      </c>
      <c r="BQ404" s="710">
        <f t="shared" si="625"/>
        <v>0</v>
      </c>
      <c r="BR404" s="710">
        <f t="shared" si="625"/>
        <v>0</v>
      </c>
      <c r="BS404" s="710">
        <f t="shared" si="625"/>
        <v>0</v>
      </c>
      <c r="BT404" s="710">
        <f t="shared" si="625"/>
        <v>0</v>
      </c>
      <c r="BU404" s="710">
        <f t="shared" si="625"/>
        <v>0</v>
      </c>
      <c r="BV404" s="710">
        <f t="shared" ref="BV404:CV404" si="626" xml:space="preserve"> BV401 + BV402 - BV403</f>
        <v>0</v>
      </c>
      <c r="BW404" s="710">
        <f t="shared" si="626"/>
        <v>0</v>
      </c>
      <c r="BX404" s="710">
        <f t="shared" si="626"/>
        <v>0</v>
      </c>
      <c r="BY404" s="710">
        <f t="shared" si="626"/>
        <v>0</v>
      </c>
      <c r="BZ404" s="710">
        <f t="shared" si="626"/>
        <v>0</v>
      </c>
      <c r="CA404" s="710">
        <f t="shared" si="626"/>
        <v>0</v>
      </c>
      <c r="CB404" s="710">
        <f t="shared" si="626"/>
        <v>0</v>
      </c>
      <c r="CC404" s="710">
        <f t="shared" si="626"/>
        <v>0</v>
      </c>
      <c r="CD404" s="710">
        <f t="shared" si="626"/>
        <v>0</v>
      </c>
      <c r="CE404" s="710">
        <f t="shared" si="626"/>
        <v>0</v>
      </c>
      <c r="CF404" s="710">
        <f t="shared" si="626"/>
        <v>0</v>
      </c>
      <c r="CG404" s="710">
        <f t="shared" si="626"/>
        <v>0</v>
      </c>
      <c r="CH404" s="710">
        <f t="shared" si="626"/>
        <v>0</v>
      </c>
      <c r="CI404" s="710">
        <f t="shared" si="626"/>
        <v>0</v>
      </c>
      <c r="CJ404" s="710">
        <f t="shared" si="626"/>
        <v>0</v>
      </c>
      <c r="CK404" s="710">
        <f t="shared" si="626"/>
        <v>0</v>
      </c>
      <c r="CL404" s="710">
        <f t="shared" si="626"/>
        <v>0</v>
      </c>
      <c r="CM404" s="710">
        <f t="shared" si="626"/>
        <v>0</v>
      </c>
      <c r="CN404" s="710">
        <f t="shared" si="626"/>
        <v>0</v>
      </c>
      <c r="CO404" s="710">
        <f t="shared" si="626"/>
        <v>0</v>
      </c>
      <c r="CP404" s="710">
        <f t="shared" si="626"/>
        <v>0</v>
      </c>
      <c r="CQ404" s="710">
        <f t="shared" si="626"/>
        <v>0</v>
      </c>
      <c r="CR404" s="710">
        <f t="shared" si="626"/>
        <v>0</v>
      </c>
      <c r="CS404" s="710">
        <f t="shared" si="626"/>
        <v>0</v>
      </c>
      <c r="CT404" s="710">
        <f t="shared" si="626"/>
        <v>0</v>
      </c>
      <c r="CU404" s="710">
        <f t="shared" si="626"/>
        <v>0</v>
      </c>
      <c r="CV404" s="710">
        <f t="shared" si="626"/>
        <v>0</v>
      </c>
    </row>
    <row r="405" spans="1:100" ht="12.75" outlineLevel="1" x14ac:dyDescent="0.2">
      <c r="A405" s="522"/>
      <c r="B405" s="522"/>
      <c r="C405" s="523"/>
      <c r="D405" s="524"/>
      <c r="E405" s="525"/>
      <c r="F405" s="525"/>
      <c r="G405" s="525"/>
      <c r="H405" s="525"/>
      <c r="I405" s="526"/>
      <c r="J405" s="525"/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</row>
    <row r="406" spans="1:100" ht="12.75" outlineLevel="1" x14ac:dyDescent="0.2">
      <c r="A406" s="522"/>
      <c r="B406" s="522" t="s">
        <v>892</v>
      </c>
      <c r="C406" s="523"/>
      <c r="D406" s="524"/>
      <c r="E406" s="525"/>
      <c r="F406" s="525"/>
      <c r="G406" s="525"/>
      <c r="H406" s="525"/>
      <c r="I406" s="526"/>
      <c r="J406" s="525"/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</row>
    <row r="407" spans="1:100" s="498" customFormat="1" ht="12.75" outlineLevel="2" x14ac:dyDescent="0.2">
      <c r="A407" s="522"/>
      <c r="B407" s="522"/>
      <c r="C407" s="523"/>
      <c r="D407" s="524"/>
      <c r="E407" s="699" t="str">
        <f xml:space="preserve"> ConFin!E$490</f>
        <v>Sum of standby debt - T2 drawdown - m</v>
      </c>
      <c r="F407" s="699">
        <f xml:space="preserve"> ConFin!F$490</f>
        <v>0</v>
      </c>
      <c r="G407" s="699" t="str">
        <f xml:space="preserve"> ConFin!G$490</f>
        <v>$ 000s</v>
      </c>
      <c r="H407" s="663"/>
      <c r="I407" s="663"/>
      <c r="J407" s="663"/>
      <c r="K407" s="663"/>
      <c r="L407" s="663"/>
      <c r="M407" s="663"/>
      <c r="N407" s="663"/>
      <c r="O407" s="663"/>
      <c r="P407" s="663"/>
      <c r="Q407" s="663"/>
      <c r="R407" s="663"/>
      <c r="S407" s="663"/>
      <c r="T407" s="663"/>
      <c r="U407" s="663"/>
      <c r="V407" s="663"/>
      <c r="W407" s="663"/>
      <c r="X407" s="663"/>
      <c r="Y407" s="663"/>
      <c r="Z407" s="663"/>
      <c r="AA407" s="663"/>
      <c r="AB407" s="663"/>
      <c r="AC407" s="663"/>
      <c r="AD407" s="663"/>
      <c r="AE407" s="663"/>
      <c r="AF407" s="663"/>
      <c r="AG407" s="663"/>
      <c r="AH407" s="663"/>
      <c r="AI407" s="663"/>
      <c r="AJ407" s="663"/>
      <c r="AK407" s="663"/>
      <c r="AL407" s="663"/>
      <c r="AM407" s="663"/>
      <c r="AN407" s="663"/>
      <c r="AO407" s="663"/>
      <c r="AP407" s="663"/>
      <c r="AQ407" s="663"/>
      <c r="AR407" s="663"/>
      <c r="AS407" s="663"/>
      <c r="AT407" s="663"/>
      <c r="AU407" s="663"/>
      <c r="AV407" s="663"/>
      <c r="AW407" s="663"/>
      <c r="AX407" s="663"/>
      <c r="AY407" s="663"/>
      <c r="AZ407" s="663"/>
      <c r="BA407" s="663"/>
      <c r="BB407" s="663"/>
      <c r="BC407" s="663"/>
      <c r="BD407" s="663"/>
      <c r="BE407" s="663"/>
      <c r="BF407" s="663"/>
      <c r="BG407" s="663"/>
      <c r="BH407" s="663"/>
      <c r="BI407" s="663"/>
      <c r="BJ407" s="663"/>
      <c r="BK407" s="663"/>
      <c r="BL407" s="663"/>
      <c r="BM407" s="663"/>
      <c r="BN407" s="663"/>
      <c r="BO407" s="663"/>
      <c r="BP407" s="663"/>
      <c r="BQ407" s="663"/>
      <c r="BR407" s="663"/>
      <c r="BS407" s="663"/>
      <c r="BT407" s="663"/>
      <c r="BU407" s="663"/>
      <c r="BV407" s="663"/>
      <c r="BW407" s="663"/>
      <c r="BX407" s="663"/>
      <c r="BY407" s="663"/>
      <c r="BZ407" s="663"/>
      <c r="CA407" s="663"/>
      <c r="CB407" s="663"/>
      <c r="CC407" s="663"/>
      <c r="CD407" s="663"/>
      <c r="CE407" s="663"/>
      <c r="CF407" s="663"/>
      <c r="CG407" s="663"/>
      <c r="CH407" s="663"/>
      <c r="CI407" s="663"/>
      <c r="CJ407" s="663"/>
      <c r="CK407" s="663"/>
      <c r="CL407" s="663"/>
      <c r="CM407" s="663"/>
      <c r="CN407" s="663"/>
      <c r="CO407" s="663"/>
      <c r="CP407" s="663"/>
      <c r="CQ407" s="663"/>
      <c r="CR407" s="663"/>
      <c r="CS407" s="663"/>
      <c r="CT407" s="663"/>
      <c r="CU407" s="663"/>
      <c r="CV407" s="663"/>
    </row>
    <row r="408" spans="1:100" ht="12.75" outlineLevel="2" x14ac:dyDescent="0.2">
      <c r="A408" s="236"/>
      <c r="B408" s="236"/>
      <c r="C408" s="237"/>
      <c r="D408" s="238"/>
      <c r="E408" s="493" t="str">
        <f xml:space="preserve"> Solve!E$64</f>
        <v>Senior repayment % profile - Paste - T2</v>
      </c>
      <c r="F408" s="493">
        <f xml:space="preserve"> Solve!F$64</f>
        <v>0</v>
      </c>
      <c r="G408" s="493" t="str">
        <f xml:space="preserve"> Solve!G$64</f>
        <v>%</v>
      </c>
      <c r="H408" s="493">
        <f xml:space="preserve"> Solve!H$64</f>
        <v>0.99999998275884616</v>
      </c>
      <c r="I408" s="493">
        <f xml:space="preserve"> Solve!I$64</f>
        <v>0</v>
      </c>
      <c r="J408" s="493">
        <f xml:space="preserve"> Solve!J$64</f>
        <v>0</v>
      </c>
      <c r="K408" s="493">
        <f xml:space="preserve"> Solve!K$64</f>
        <v>0</v>
      </c>
      <c r="L408" s="493">
        <f xml:space="preserve"> Solve!L$64</f>
        <v>0</v>
      </c>
      <c r="M408" s="493">
        <f xml:space="preserve"> Solve!M$64</f>
        <v>0</v>
      </c>
      <c r="N408" s="493">
        <f xml:space="preserve"> Solve!N$64</f>
        <v>0</v>
      </c>
      <c r="O408" s="493">
        <f xml:space="preserve"> Solve!O$64</f>
        <v>3.2781974166484651E-2</v>
      </c>
      <c r="P408" s="493">
        <f xml:space="preserve"> Solve!P$64</f>
        <v>2.7079191099187317E-2</v>
      </c>
      <c r="Q408" s="493">
        <f xml:space="preserve"> Solve!Q$64</f>
        <v>2.7405114728185215E-2</v>
      </c>
      <c r="R408" s="493">
        <f xml:space="preserve"> Solve!R$64</f>
        <v>2.7913118749494623E-2</v>
      </c>
      <c r="S408" s="493">
        <f xml:space="preserve"> Solve!S$64</f>
        <v>2.827149723588197E-2</v>
      </c>
      <c r="T408" s="493">
        <f xml:space="preserve"> Solve!T$64</f>
        <v>2.8780360543207428E-2</v>
      </c>
      <c r="U408" s="493">
        <f xml:space="preserve"> Solve!U$64</f>
        <v>2.9172471810664818E-2</v>
      </c>
      <c r="V408" s="493">
        <f xml:space="preserve"> Solve!V$64</f>
        <v>2.9632859779757267E-2</v>
      </c>
      <c r="W408" s="493">
        <f xml:space="preserve"> Solve!W$64</f>
        <v>3.0037884656544722E-2</v>
      </c>
      <c r="X408" s="493">
        <f xml:space="preserve"> Solve!X$64</f>
        <v>3.0617815954570332E-2</v>
      </c>
      <c r="Y408" s="493">
        <f xml:space="preserve"> Solve!Y$64</f>
        <v>3.0179425086093833E-2</v>
      </c>
      <c r="Z408" s="493">
        <f xml:space="preserve"> Solve!Z$64</f>
        <v>3.0716441827528418E-2</v>
      </c>
      <c r="AA408" s="493">
        <f xml:space="preserve"> Solve!AA$64</f>
        <v>3.121458639360326E-2</v>
      </c>
      <c r="AB408" s="493">
        <f xml:space="preserve"> Solve!AB$64</f>
        <v>3.1754276240670232E-2</v>
      </c>
      <c r="AC408" s="493">
        <f xml:space="preserve"> Solve!AC$64</f>
        <v>3.2293795004725082E-2</v>
      </c>
      <c r="AD408" s="493">
        <f xml:space="preserve"> Solve!AD$64</f>
        <v>3.2811339129697532E-2</v>
      </c>
      <c r="AE408" s="493">
        <f xml:space="preserve"> Solve!AE$64</f>
        <v>3.3350259159601804E-2</v>
      </c>
      <c r="AF408" s="493">
        <f xml:space="preserve"> Solve!AF$64</f>
        <v>3.3962620237366951E-2</v>
      </c>
      <c r="AG408" s="493">
        <f xml:space="preserve"> Solve!AG$64</f>
        <v>3.459013880746202E-2</v>
      </c>
      <c r="AH408" s="493">
        <f xml:space="preserve"> Solve!AH$64</f>
        <v>3.5139356154465361E-2</v>
      </c>
      <c r="AI408" s="493">
        <f xml:space="preserve"> Solve!AI$64</f>
        <v>3.5130392432177714E-2</v>
      </c>
      <c r="AJ408" s="493">
        <f xml:space="preserve"> Solve!AJ$64</f>
        <v>3.572405384144732E-2</v>
      </c>
      <c r="AK408" s="493">
        <f xml:space="preserve"> Solve!AK$64</f>
        <v>3.6468500570702167E-2</v>
      </c>
      <c r="AL408" s="493">
        <f xml:space="preserve"> Solve!AL$64</f>
        <v>3.7074083509128698E-2</v>
      </c>
      <c r="AM408" s="493">
        <f xml:space="preserve"> Solve!AM$64</f>
        <v>3.7802587667975909E-2</v>
      </c>
      <c r="AN408" s="493">
        <f xml:space="preserve"> Solve!AN$64</f>
        <v>3.8473266948634156E-2</v>
      </c>
      <c r="AO408" s="493">
        <f xml:space="preserve"> Solve!AO$64</f>
        <v>3.9330922737092169E-2</v>
      </c>
      <c r="AP408" s="493">
        <f xml:space="preserve"> Solve!AP$64</f>
        <v>3.9944613584004432E-2</v>
      </c>
      <c r="AQ408" s="493">
        <f xml:space="preserve"> Solve!AQ$64</f>
        <v>4.0862853924624874E-2</v>
      </c>
      <c r="AR408" s="493">
        <f xml:space="preserve"> Solve!AR$64</f>
        <v>4.1484180777865885E-2</v>
      </c>
      <c r="AS408" s="493">
        <f xml:space="preserve"> Solve!AS$64</f>
        <v>0</v>
      </c>
      <c r="AT408" s="493">
        <f xml:space="preserve"> Solve!AT$64</f>
        <v>0</v>
      </c>
      <c r="AU408" s="493">
        <f xml:space="preserve"> Solve!AU$64</f>
        <v>0</v>
      </c>
      <c r="AV408" s="493">
        <f xml:space="preserve"> Solve!AV$64</f>
        <v>0</v>
      </c>
      <c r="AW408" s="493">
        <f xml:space="preserve"> Solve!AW$64</f>
        <v>0</v>
      </c>
      <c r="AX408" s="493">
        <f xml:space="preserve"> Solve!AX$64</f>
        <v>0</v>
      </c>
      <c r="AY408" s="493">
        <f xml:space="preserve"> Solve!AY$64</f>
        <v>0</v>
      </c>
      <c r="AZ408" s="493">
        <f xml:space="preserve"> Solve!AZ$64</f>
        <v>0</v>
      </c>
      <c r="BA408" s="493">
        <f xml:space="preserve"> Solve!BA$64</f>
        <v>0</v>
      </c>
      <c r="BB408" s="493">
        <f xml:space="preserve"> Solve!BB$64</f>
        <v>0</v>
      </c>
      <c r="BC408" s="493">
        <f xml:space="preserve"> Solve!BC$64</f>
        <v>0</v>
      </c>
      <c r="BD408" s="493">
        <f xml:space="preserve"> Solve!BD$64</f>
        <v>0</v>
      </c>
      <c r="BE408" s="493">
        <f xml:space="preserve"> Solve!BE$64</f>
        <v>0</v>
      </c>
      <c r="BF408" s="493">
        <f xml:space="preserve"> Solve!BF$64</f>
        <v>0</v>
      </c>
      <c r="BG408" s="493">
        <f xml:space="preserve"> Solve!BG$64</f>
        <v>0</v>
      </c>
      <c r="BH408" s="493">
        <f xml:space="preserve"> Solve!BH$64</f>
        <v>0</v>
      </c>
      <c r="BI408" s="493">
        <f xml:space="preserve"> Solve!BI$64</f>
        <v>0</v>
      </c>
      <c r="BJ408" s="493">
        <f xml:space="preserve"> Solve!BJ$64</f>
        <v>0</v>
      </c>
      <c r="BK408" s="493">
        <f xml:space="preserve"> Solve!BK$64</f>
        <v>0</v>
      </c>
      <c r="BL408" s="493">
        <f xml:space="preserve"> Solve!BL$64</f>
        <v>0</v>
      </c>
      <c r="BM408" s="493">
        <f xml:space="preserve"> Solve!BM$64</f>
        <v>0</v>
      </c>
      <c r="BN408" s="493">
        <f xml:space="preserve"> Solve!BN$64</f>
        <v>0</v>
      </c>
      <c r="BO408" s="493">
        <f xml:space="preserve"> Solve!BO$64</f>
        <v>0</v>
      </c>
      <c r="BP408" s="493">
        <f xml:space="preserve"> Solve!BP$64</f>
        <v>0</v>
      </c>
      <c r="BQ408" s="493">
        <f xml:space="preserve"> Solve!BQ$64</f>
        <v>0</v>
      </c>
      <c r="BR408" s="493">
        <f xml:space="preserve"> Solve!BR$64</f>
        <v>0</v>
      </c>
      <c r="BS408" s="493">
        <f xml:space="preserve"> Solve!BS$64</f>
        <v>0</v>
      </c>
      <c r="BT408" s="493">
        <f xml:space="preserve"> Solve!BT$64</f>
        <v>0</v>
      </c>
      <c r="BU408" s="493">
        <f xml:space="preserve"> Solve!BU$64</f>
        <v>0</v>
      </c>
      <c r="BV408" s="493">
        <f xml:space="preserve"> Solve!BV$64</f>
        <v>0</v>
      </c>
      <c r="BW408" s="493">
        <f xml:space="preserve"> Solve!BW$64</f>
        <v>0</v>
      </c>
      <c r="BX408" s="493">
        <f xml:space="preserve"> Solve!BX$64</f>
        <v>0</v>
      </c>
      <c r="BY408" s="493">
        <f xml:space="preserve"> Solve!BY$64</f>
        <v>0</v>
      </c>
      <c r="BZ408" s="493">
        <f xml:space="preserve"> Solve!BZ$64</f>
        <v>0</v>
      </c>
      <c r="CA408" s="493">
        <f xml:space="preserve"> Solve!CA$64</f>
        <v>0</v>
      </c>
      <c r="CB408" s="493">
        <f xml:space="preserve"> Solve!CB$64</f>
        <v>0</v>
      </c>
      <c r="CC408" s="493">
        <f xml:space="preserve"> Solve!CC$64</f>
        <v>0</v>
      </c>
      <c r="CD408" s="493">
        <f xml:space="preserve"> Solve!CD$64</f>
        <v>0</v>
      </c>
      <c r="CE408" s="493">
        <f xml:space="preserve"> Solve!CE$64</f>
        <v>0</v>
      </c>
      <c r="CF408" s="493">
        <f xml:space="preserve"> Solve!CF$64</f>
        <v>0</v>
      </c>
      <c r="CG408" s="493">
        <f xml:space="preserve"> Solve!CG$64</f>
        <v>0</v>
      </c>
      <c r="CH408" s="493">
        <f xml:space="preserve"> Solve!CH$64</f>
        <v>0</v>
      </c>
      <c r="CI408" s="493">
        <f xml:space="preserve"> Solve!CI$64</f>
        <v>0</v>
      </c>
      <c r="CJ408" s="493">
        <f xml:space="preserve"> Solve!CJ$64</f>
        <v>0</v>
      </c>
      <c r="CK408" s="493">
        <f xml:space="preserve"> Solve!CK$64</f>
        <v>0</v>
      </c>
      <c r="CL408" s="493">
        <f xml:space="preserve"> Solve!CL$64</f>
        <v>0</v>
      </c>
      <c r="CM408" s="493">
        <f xml:space="preserve"> Solve!CM$64</f>
        <v>0</v>
      </c>
      <c r="CN408" s="493">
        <f xml:space="preserve"> Solve!CN$64</f>
        <v>0</v>
      </c>
      <c r="CO408" s="493">
        <f xml:space="preserve"> Solve!CO$64</f>
        <v>0</v>
      </c>
      <c r="CP408" s="493">
        <f xml:space="preserve"> Solve!CP$64</f>
        <v>0</v>
      </c>
      <c r="CQ408" s="493">
        <f xml:space="preserve"> Solve!CQ$64</f>
        <v>0</v>
      </c>
      <c r="CR408" s="493">
        <f xml:space="preserve"> Solve!CR$64</f>
        <v>0</v>
      </c>
      <c r="CS408" s="493">
        <f xml:space="preserve"> Solve!CS$64</f>
        <v>0</v>
      </c>
      <c r="CT408" s="493">
        <f xml:space="preserve"> Solve!CT$64</f>
        <v>0</v>
      </c>
      <c r="CU408" s="493">
        <f xml:space="preserve"> Solve!CU$64</f>
        <v>0</v>
      </c>
      <c r="CV408" s="493">
        <f xml:space="preserve"> Solve!CV$64</f>
        <v>0</v>
      </c>
    </row>
    <row r="409" spans="1:100" s="191" customFormat="1" ht="12.75" outlineLevel="2" x14ac:dyDescent="0.2">
      <c r="A409" s="700"/>
      <c r="B409" s="700"/>
      <c r="C409" s="701"/>
      <c r="D409" s="702"/>
      <c r="E409" s="666" t="s">
        <v>1065</v>
      </c>
      <c r="F409" s="666"/>
      <c r="G409" s="666" t="str">
        <f xml:space="preserve"> SMU</f>
        <v>$ 000s</v>
      </c>
      <c r="H409" s="666">
        <f xml:space="preserve"> SUM(J409:CV409)</f>
        <v>0</v>
      </c>
      <c r="I409" s="703"/>
      <c r="J409" s="666">
        <f t="shared" ref="J409:BU409" si="627" xml:space="preserve"> $F407 * J408</f>
        <v>0</v>
      </c>
      <c r="K409" s="666">
        <f t="shared" si="627"/>
        <v>0</v>
      </c>
      <c r="L409" s="666">
        <f t="shared" si="627"/>
        <v>0</v>
      </c>
      <c r="M409" s="666">
        <f t="shared" si="627"/>
        <v>0</v>
      </c>
      <c r="N409" s="666">
        <f t="shared" si="627"/>
        <v>0</v>
      </c>
      <c r="O409" s="666">
        <f t="shared" si="627"/>
        <v>0</v>
      </c>
      <c r="P409" s="666">
        <f t="shared" si="627"/>
        <v>0</v>
      </c>
      <c r="Q409" s="666">
        <f t="shared" si="627"/>
        <v>0</v>
      </c>
      <c r="R409" s="666">
        <f t="shared" si="627"/>
        <v>0</v>
      </c>
      <c r="S409" s="666">
        <f t="shared" si="627"/>
        <v>0</v>
      </c>
      <c r="T409" s="666">
        <f t="shared" si="627"/>
        <v>0</v>
      </c>
      <c r="U409" s="666">
        <f t="shared" si="627"/>
        <v>0</v>
      </c>
      <c r="V409" s="666">
        <f t="shared" si="627"/>
        <v>0</v>
      </c>
      <c r="W409" s="666">
        <f t="shared" si="627"/>
        <v>0</v>
      </c>
      <c r="X409" s="666">
        <f t="shared" si="627"/>
        <v>0</v>
      </c>
      <c r="Y409" s="666">
        <f t="shared" si="627"/>
        <v>0</v>
      </c>
      <c r="Z409" s="666">
        <f t="shared" si="627"/>
        <v>0</v>
      </c>
      <c r="AA409" s="666">
        <f t="shared" si="627"/>
        <v>0</v>
      </c>
      <c r="AB409" s="666">
        <f t="shared" si="627"/>
        <v>0</v>
      </c>
      <c r="AC409" s="666">
        <f t="shared" si="627"/>
        <v>0</v>
      </c>
      <c r="AD409" s="666">
        <f t="shared" si="627"/>
        <v>0</v>
      </c>
      <c r="AE409" s="666">
        <f t="shared" si="627"/>
        <v>0</v>
      </c>
      <c r="AF409" s="666">
        <f t="shared" si="627"/>
        <v>0</v>
      </c>
      <c r="AG409" s="666">
        <f t="shared" si="627"/>
        <v>0</v>
      </c>
      <c r="AH409" s="666">
        <f t="shared" si="627"/>
        <v>0</v>
      </c>
      <c r="AI409" s="666">
        <f t="shared" si="627"/>
        <v>0</v>
      </c>
      <c r="AJ409" s="666">
        <f t="shared" si="627"/>
        <v>0</v>
      </c>
      <c r="AK409" s="666">
        <f t="shared" si="627"/>
        <v>0</v>
      </c>
      <c r="AL409" s="666">
        <f t="shared" si="627"/>
        <v>0</v>
      </c>
      <c r="AM409" s="666">
        <f t="shared" si="627"/>
        <v>0</v>
      </c>
      <c r="AN409" s="666">
        <f t="shared" si="627"/>
        <v>0</v>
      </c>
      <c r="AO409" s="666">
        <f t="shared" si="627"/>
        <v>0</v>
      </c>
      <c r="AP409" s="666">
        <f t="shared" si="627"/>
        <v>0</v>
      </c>
      <c r="AQ409" s="666">
        <f t="shared" si="627"/>
        <v>0</v>
      </c>
      <c r="AR409" s="666">
        <f t="shared" si="627"/>
        <v>0</v>
      </c>
      <c r="AS409" s="666">
        <f t="shared" si="627"/>
        <v>0</v>
      </c>
      <c r="AT409" s="666">
        <f t="shared" si="627"/>
        <v>0</v>
      </c>
      <c r="AU409" s="666">
        <f t="shared" si="627"/>
        <v>0</v>
      </c>
      <c r="AV409" s="666">
        <f t="shared" si="627"/>
        <v>0</v>
      </c>
      <c r="AW409" s="666">
        <f t="shared" si="627"/>
        <v>0</v>
      </c>
      <c r="AX409" s="666">
        <f t="shared" si="627"/>
        <v>0</v>
      </c>
      <c r="AY409" s="666">
        <f t="shared" si="627"/>
        <v>0</v>
      </c>
      <c r="AZ409" s="666">
        <f t="shared" si="627"/>
        <v>0</v>
      </c>
      <c r="BA409" s="666">
        <f t="shared" si="627"/>
        <v>0</v>
      </c>
      <c r="BB409" s="666">
        <f t="shared" si="627"/>
        <v>0</v>
      </c>
      <c r="BC409" s="666">
        <f t="shared" si="627"/>
        <v>0</v>
      </c>
      <c r="BD409" s="666">
        <f t="shared" si="627"/>
        <v>0</v>
      </c>
      <c r="BE409" s="666">
        <f t="shared" si="627"/>
        <v>0</v>
      </c>
      <c r="BF409" s="666">
        <f t="shared" si="627"/>
        <v>0</v>
      </c>
      <c r="BG409" s="666">
        <f t="shared" si="627"/>
        <v>0</v>
      </c>
      <c r="BH409" s="666">
        <f t="shared" si="627"/>
        <v>0</v>
      </c>
      <c r="BI409" s="666">
        <f t="shared" si="627"/>
        <v>0</v>
      </c>
      <c r="BJ409" s="666">
        <f t="shared" si="627"/>
        <v>0</v>
      </c>
      <c r="BK409" s="666">
        <f t="shared" si="627"/>
        <v>0</v>
      </c>
      <c r="BL409" s="666">
        <f t="shared" si="627"/>
        <v>0</v>
      </c>
      <c r="BM409" s="666">
        <f t="shared" si="627"/>
        <v>0</v>
      </c>
      <c r="BN409" s="666">
        <f t="shared" si="627"/>
        <v>0</v>
      </c>
      <c r="BO409" s="666">
        <f t="shared" si="627"/>
        <v>0</v>
      </c>
      <c r="BP409" s="666">
        <f t="shared" si="627"/>
        <v>0</v>
      </c>
      <c r="BQ409" s="666">
        <f t="shared" si="627"/>
        <v>0</v>
      </c>
      <c r="BR409" s="666">
        <f t="shared" si="627"/>
        <v>0</v>
      </c>
      <c r="BS409" s="666">
        <f t="shared" si="627"/>
        <v>0</v>
      </c>
      <c r="BT409" s="666">
        <f t="shared" si="627"/>
        <v>0</v>
      </c>
      <c r="BU409" s="666">
        <f t="shared" si="627"/>
        <v>0</v>
      </c>
      <c r="BV409" s="666">
        <f t="shared" ref="BV409:CV409" si="628" xml:space="preserve"> $F407 * BV408</f>
        <v>0</v>
      </c>
      <c r="BW409" s="666">
        <f t="shared" si="628"/>
        <v>0</v>
      </c>
      <c r="BX409" s="666">
        <f t="shared" si="628"/>
        <v>0</v>
      </c>
      <c r="BY409" s="666">
        <f t="shared" si="628"/>
        <v>0</v>
      </c>
      <c r="BZ409" s="666">
        <f t="shared" si="628"/>
        <v>0</v>
      </c>
      <c r="CA409" s="666">
        <f t="shared" si="628"/>
        <v>0</v>
      </c>
      <c r="CB409" s="666">
        <f t="shared" si="628"/>
        <v>0</v>
      </c>
      <c r="CC409" s="666">
        <f t="shared" si="628"/>
        <v>0</v>
      </c>
      <c r="CD409" s="666">
        <f t="shared" si="628"/>
        <v>0</v>
      </c>
      <c r="CE409" s="666">
        <f t="shared" si="628"/>
        <v>0</v>
      </c>
      <c r="CF409" s="666">
        <f t="shared" si="628"/>
        <v>0</v>
      </c>
      <c r="CG409" s="666">
        <f t="shared" si="628"/>
        <v>0</v>
      </c>
      <c r="CH409" s="666">
        <f t="shared" si="628"/>
        <v>0</v>
      </c>
      <c r="CI409" s="666">
        <f t="shared" si="628"/>
        <v>0</v>
      </c>
      <c r="CJ409" s="666">
        <f t="shared" si="628"/>
        <v>0</v>
      </c>
      <c r="CK409" s="666">
        <f t="shared" si="628"/>
        <v>0</v>
      </c>
      <c r="CL409" s="666">
        <f t="shared" si="628"/>
        <v>0</v>
      </c>
      <c r="CM409" s="666">
        <f t="shared" si="628"/>
        <v>0</v>
      </c>
      <c r="CN409" s="666">
        <f t="shared" si="628"/>
        <v>0</v>
      </c>
      <c r="CO409" s="666">
        <f t="shared" si="628"/>
        <v>0</v>
      </c>
      <c r="CP409" s="666">
        <f t="shared" si="628"/>
        <v>0</v>
      </c>
      <c r="CQ409" s="666">
        <f t="shared" si="628"/>
        <v>0</v>
      </c>
      <c r="CR409" s="666">
        <f t="shared" si="628"/>
        <v>0</v>
      </c>
      <c r="CS409" s="666">
        <f t="shared" si="628"/>
        <v>0</v>
      </c>
      <c r="CT409" s="666">
        <f t="shared" si="628"/>
        <v>0</v>
      </c>
      <c r="CU409" s="666">
        <f t="shared" si="628"/>
        <v>0</v>
      </c>
      <c r="CV409" s="666">
        <f t="shared" si="628"/>
        <v>0</v>
      </c>
    </row>
    <row r="410" spans="1:100" s="191" customFormat="1" ht="12.75" outlineLevel="2" x14ac:dyDescent="0.2">
      <c r="A410" s="700"/>
      <c r="B410" s="700"/>
      <c r="C410" s="701"/>
      <c r="D410" s="702"/>
      <c r="E410" s="666"/>
      <c r="F410" s="666"/>
      <c r="G410" s="666"/>
      <c r="H410" s="666"/>
      <c r="I410" s="703"/>
      <c r="J410" s="666"/>
      <c r="K410" s="666"/>
      <c r="L410" s="666"/>
      <c r="M410" s="666"/>
      <c r="N410" s="666"/>
      <c r="O410" s="666"/>
      <c r="P410" s="666"/>
      <c r="Q410" s="666"/>
      <c r="R410" s="666"/>
      <c r="S410" s="666"/>
      <c r="T410" s="666"/>
      <c r="U410" s="666"/>
      <c r="V410" s="666"/>
      <c r="W410" s="666"/>
      <c r="X410" s="666"/>
      <c r="Y410" s="666"/>
      <c r="Z410" s="666"/>
      <c r="AA410" s="666"/>
      <c r="AB410" s="666"/>
      <c r="AC410" s="666"/>
      <c r="AD410" s="666"/>
      <c r="AE410" s="666"/>
      <c r="AF410" s="666"/>
      <c r="AG410" s="666"/>
      <c r="AH410" s="666"/>
      <c r="AI410" s="666"/>
      <c r="AJ410" s="666"/>
      <c r="AK410" s="666"/>
      <c r="AL410" s="666"/>
      <c r="AM410" s="666"/>
      <c r="AN410" s="666"/>
      <c r="AO410" s="666"/>
      <c r="AP410" s="666"/>
      <c r="AQ410" s="666"/>
      <c r="AR410" s="666"/>
      <c r="AS410" s="666"/>
      <c r="AT410" s="666"/>
      <c r="AU410" s="666"/>
      <c r="AV410" s="666"/>
      <c r="AW410" s="666"/>
      <c r="AX410" s="666"/>
      <c r="AY410" s="666"/>
      <c r="AZ410" s="666"/>
      <c r="BA410" s="666"/>
      <c r="BB410" s="666"/>
      <c r="BC410" s="666"/>
      <c r="BD410" s="666"/>
      <c r="BE410" s="666"/>
      <c r="BF410" s="666"/>
      <c r="BG410" s="666"/>
      <c r="BH410" s="666"/>
      <c r="BI410" s="666"/>
      <c r="BJ410" s="666"/>
      <c r="BK410" s="666"/>
      <c r="BL410" s="666"/>
      <c r="BM410" s="666"/>
      <c r="BN410" s="666"/>
      <c r="BO410" s="666"/>
      <c r="BP410" s="666"/>
      <c r="BQ410" s="666"/>
      <c r="BR410" s="666"/>
      <c r="BS410" s="666"/>
      <c r="BT410" s="666"/>
      <c r="BU410" s="666"/>
      <c r="BV410" s="666"/>
      <c r="BW410" s="666"/>
      <c r="BX410" s="666"/>
      <c r="BY410" s="666"/>
      <c r="BZ410" s="666"/>
      <c r="CA410" s="666"/>
      <c r="CB410" s="666"/>
      <c r="CC410" s="666"/>
      <c r="CD410" s="666"/>
      <c r="CE410" s="666"/>
      <c r="CF410" s="666"/>
      <c r="CG410" s="666"/>
      <c r="CH410" s="666"/>
      <c r="CI410" s="666"/>
      <c r="CJ410" s="666"/>
      <c r="CK410" s="666"/>
      <c r="CL410" s="666"/>
      <c r="CM410" s="666"/>
      <c r="CN410" s="666"/>
      <c r="CO410" s="666"/>
      <c r="CP410" s="666"/>
      <c r="CQ410" s="666"/>
      <c r="CR410" s="666"/>
      <c r="CS410" s="666"/>
      <c r="CT410" s="666"/>
      <c r="CU410" s="666"/>
      <c r="CV410" s="666"/>
    </row>
    <row r="411" spans="1:100" s="191" customFormat="1" ht="12.75" outlineLevel="2" x14ac:dyDescent="0.2">
      <c r="A411" s="700"/>
      <c r="B411" s="700"/>
      <c r="C411" s="701"/>
      <c r="D411" s="702"/>
      <c r="E411" s="666" t="str">
        <f t="shared" ref="E411:AJ411" si="629" xml:space="preserve"> E$433</f>
        <v>Standby debt - T2 balance BEG</v>
      </c>
      <c r="F411" s="666">
        <f t="shared" si="629"/>
        <v>0</v>
      </c>
      <c r="G411" s="666" t="str">
        <f t="shared" si="629"/>
        <v>$ 000s</v>
      </c>
      <c r="H411" s="666">
        <f t="shared" si="629"/>
        <v>0</v>
      </c>
      <c r="I411" s="666">
        <f t="shared" si="629"/>
        <v>0</v>
      </c>
      <c r="J411" s="666">
        <f t="shared" si="629"/>
        <v>0</v>
      </c>
      <c r="K411" s="666">
        <f t="shared" si="629"/>
        <v>0</v>
      </c>
      <c r="L411" s="666">
        <f t="shared" si="629"/>
        <v>0</v>
      </c>
      <c r="M411" s="666">
        <f t="shared" si="629"/>
        <v>0</v>
      </c>
      <c r="N411" s="666">
        <f t="shared" si="629"/>
        <v>0</v>
      </c>
      <c r="O411" s="666">
        <f t="shared" si="629"/>
        <v>0</v>
      </c>
      <c r="P411" s="666">
        <f t="shared" si="629"/>
        <v>0</v>
      </c>
      <c r="Q411" s="666">
        <f t="shared" si="629"/>
        <v>0</v>
      </c>
      <c r="R411" s="666">
        <f t="shared" si="629"/>
        <v>0</v>
      </c>
      <c r="S411" s="666">
        <f t="shared" si="629"/>
        <v>0</v>
      </c>
      <c r="T411" s="666">
        <f t="shared" si="629"/>
        <v>0</v>
      </c>
      <c r="U411" s="666">
        <f t="shared" si="629"/>
        <v>0</v>
      </c>
      <c r="V411" s="666">
        <f t="shared" si="629"/>
        <v>0</v>
      </c>
      <c r="W411" s="666">
        <f t="shared" si="629"/>
        <v>0</v>
      </c>
      <c r="X411" s="666">
        <f t="shared" si="629"/>
        <v>0</v>
      </c>
      <c r="Y411" s="666">
        <f t="shared" si="629"/>
        <v>0</v>
      </c>
      <c r="Z411" s="666">
        <f t="shared" si="629"/>
        <v>0</v>
      </c>
      <c r="AA411" s="666">
        <f t="shared" si="629"/>
        <v>0</v>
      </c>
      <c r="AB411" s="666">
        <f t="shared" si="629"/>
        <v>0</v>
      </c>
      <c r="AC411" s="666">
        <f t="shared" si="629"/>
        <v>0</v>
      </c>
      <c r="AD411" s="666">
        <f t="shared" si="629"/>
        <v>0</v>
      </c>
      <c r="AE411" s="666">
        <f t="shared" si="629"/>
        <v>0</v>
      </c>
      <c r="AF411" s="666">
        <f t="shared" si="629"/>
        <v>0</v>
      </c>
      <c r="AG411" s="666">
        <f t="shared" si="629"/>
        <v>0</v>
      </c>
      <c r="AH411" s="666">
        <f t="shared" si="629"/>
        <v>0</v>
      </c>
      <c r="AI411" s="666">
        <f t="shared" si="629"/>
        <v>0</v>
      </c>
      <c r="AJ411" s="666">
        <f t="shared" si="629"/>
        <v>0</v>
      </c>
      <c r="AK411" s="666">
        <f t="shared" ref="AK411:BP411" si="630" xml:space="preserve"> AK$433</f>
        <v>0</v>
      </c>
      <c r="AL411" s="666">
        <f t="shared" si="630"/>
        <v>0</v>
      </c>
      <c r="AM411" s="666">
        <f t="shared" si="630"/>
        <v>0</v>
      </c>
      <c r="AN411" s="666">
        <f t="shared" si="630"/>
        <v>0</v>
      </c>
      <c r="AO411" s="666">
        <f t="shared" si="630"/>
        <v>0</v>
      </c>
      <c r="AP411" s="666">
        <f t="shared" si="630"/>
        <v>0</v>
      </c>
      <c r="AQ411" s="666">
        <f t="shared" si="630"/>
        <v>0</v>
      </c>
      <c r="AR411" s="666">
        <f t="shared" si="630"/>
        <v>0</v>
      </c>
      <c r="AS411" s="666">
        <f t="shared" si="630"/>
        <v>0</v>
      </c>
      <c r="AT411" s="666">
        <f t="shared" si="630"/>
        <v>0</v>
      </c>
      <c r="AU411" s="666">
        <f t="shared" si="630"/>
        <v>0</v>
      </c>
      <c r="AV411" s="666">
        <f t="shared" si="630"/>
        <v>0</v>
      </c>
      <c r="AW411" s="666">
        <f t="shared" si="630"/>
        <v>0</v>
      </c>
      <c r="AX411" s="666">
        <f t="shared" si="630"/>
        <v>0</v>
      </c>
      <c r="AY411" s="666">
        <f t="shared" si="630"/>
        <v>0</v>
      </c>
      <c r="AZ411" s="666">
        <f t="shared" si="630"/>
        <v>0</v>
      </c>
      <c r="BA411" s="666">
        <f t="shared" si="630"/>
        <v>0</v>
      </c>
      <c r="BB411" s="666">
        <f t="shared" si="630"/>
        <v>0</v>
      </c>
      <c r="BC411" s="666">
        <f t="shared" si="630"/>
        <v>0</v>
      </c>
      <c r="BD411" s="666">
        <f t="shared" si="630"/>
        <v>0</v>
      </c>
      <c r="BE411" s="666">
        <f t="shared" si="630"/>
        <v>0</v>
      </c>
      <c r="BF411" s="666">
        <f t="shared" si="630"/>
        <v>0</v>
      </c>
      <c r="BG411" s="666">
        <f t="shared" si="630"/>
        <v>0</v>
      </c>
      <c r="BH411" s="666">
        <f t="shared" si="630"/>
        <v>0</v>
      </c>
      <c r="BI411" s="666">
        <f t="shared" si="630"/>
        <v>0</v>
      </c>
      <c r="BJ411" s="666">
        <f t="shared" si="630"/>
        <v>0</v>
      </c>
      <c r="BK411" s="666">
        <f t="shared" si="630"/>
        <v>0</v>
      </c>
      <c r="BL411" s="666">
        <f t="shared" si="630"/>
        <v>0</v>
      </c>
      <c r="BM411" s="666">
        <f t="shared" si="630"/>
        <v>0</v>
      </c>
      <c r="BN411" s="666">
        <f t="shared" si="630"/>
        <v>0</v>
      </c>
      <c r="BO411" s="666">
        <f t="shared" si="630"/>
        <v>0</v>
      </c>
      <c r="BP411" s="666">
        <f t="shared" si="630"/>
        <v>0</v>
      </c>
      <c r="BQ411" s="666">
        <f t="shared" ref="BQ411:CV411" si="631" xml:space="preserve"> BQ$433</f>
        <v>0</v>
      </c>
      <c r="BR411" s="666">
        <f t="shared" si="631"/>
        <v>0</v>
      </c>
      <c r="BS411" s="666">
        <f t="shared" si="631"/>
        <v>0</v>
      </c>
      <c r="BT411" s="666">
        <f t="shared" si="631"/>
        <v>0</v>
      </c>
      <c r="BU411" s="666">
        <f t="shared" si="631"/>
        <v>0</v>
      </c>
      <c r="BV411" s="666">
        <f t="shared" si="631"/>
        <v>0</v>
      </c>
      <c r="BW411" s="666">
        <f t="shared" si="631"/>
        <v>0</v>
      </c>
      <c r="BX411" s="666">
        <f t="shared" si="631"/>
        <v>0</v>
      </c>
      <c r="BY411" s="666">
        <f t="shared" si="631"/>
        <v>0</v>
      </c>
      <c r="BZ411" s="666">
        <f t="shared" si="631"/>
        <v>0</v>
      </c>
      <c r="CA411" s="666">
        <f t="shared" si="631"/>
        <v>0</v>
      </c>
      <c r="CB411" s="666">
        <f t="shared" si="631"/>
        <v>0</v>
      </c>
      <c r="CC411" s="666">
        <f t="shared" si="631"/>
        <v>0</v>
      </c>
      <c r="CD411" s="666">
        <f t="shared" si="631"/>
        <v>0</v>
      </c>
      <c r="CE411" s="666">
        <f t="shared" si="631"/>
        <v>0</v>
      </c>
      <c r="CF411" s="666">
        <f t="shared" si="631"/>
        <v>0</v>
      </c>
      <c r="CG411" s="666">
        <f t="shared" si="631"/>
        <v>0</v>
      </c>
      <c r="CH411" s="666">
        <f t="shared" si="631"/>
        <v>0</v>
      </c>
      <c r="CI411" s="666">
        <f t="shared" si="631"/>
        <v>0</v>
      </c>
      <c r="CJ411" s="666">
        <f t="shared" si="631"/>
        <v>0</v>
      </c>
      <c r="CK411" s="666">
        <f t="shared" si="631"/>
        <v>0</v>
      </c>
      <c r="CL411" s="666">
        <f t="shared" si="631"/>
        <v>0</v>
      </c>
      <c r="CM411" s="666">
        <f t="shared" si="631"/>
        <v>0</v>
      </c>
      <c r="CN411" s="666">
        <f t="shared" si="631"/>
        <v>0</v>
      </c>
      <c r="CO411" s="666">
        <f t="shared" si="631"/>
        <v>0</v>
      </c>
      <c r="CP411" s="666">
        <f t="shared" si="631"/>
        <v>0</v>
      </c>
      <c r="CQ411" s="666">
        <f t="shared" si="631"/>
        <v>0</v>
      </c>
      <c r="CR411" s="666">
        <f t="shared" si="631"/>
        <v>0</v>
      </c>
      <c r="CS411" s="666">
        <f t="shared" si="631"/>
        <v>0</v>
      </c>
      <c r="CT411" s="666">
        <f t="shared" si="631"/>
        <v>0</v>
      </c>
      <c r="CU411" s="666">
        <f t="shared" si="631"/>
        <v>0</v>
      </c>
      <c r="CV411" s="666">
        <f t="shared" si="631"/>
        <v>0</v>
      </c>
    </row>
    <row r="412" spans="1:100" s="191" customFormat="1" ht="12.75" outlineLevel="2" x14ac:dyDescent="0.2">
      <c r="A412" s="700"/>
      <c r="B412" s="700"/>
      <c r="C412" s="701"/>
      <c r="D412" s="702"/>
      <c r="E412" s="525" t="str">
        <f t="shared" ref="E412:AJ412" si="632" xml:space="preserve"> E$409</f>
        <v>Standby debt scheduled principal repayment - T2 POS</v>
      </c>
      <c r="F412" s="525">
        <f t="shared" si="632"/>
        <v>0</v>
      </c>
      <c r="G412" s="525" t="str">
        <f t="shared" si="632"/>
        <v>$ 000s</v>
      </c>
      <c r="H412" s="525">
        <f t="shared" si="632"/>
        <v>0</v>
      </c>
      <c r="I412" s="525">
        <f t="shared" si="632"/>
        <v>0</v>
      </c>
      <c r="J412" s="525">
        <f t="shared" si="632"/>
        <v>0</v>
      </c>
      <c r="K412" s="525">
        <f t="shared" si="632"/>
        <v>0</v>
      </c>
      <c r="L412" s="525">
        <f t="shared" si="632"/>
        <v>0</v>
      </c>
      <c r="M412" s="525">
        <f t="shared" si="632"/>
        <v>0</v>
      </c>
      <c r="N412" s="525">
        <f t="shared" si="632"/>
        <v>0</v>
      </c>
      <c r="O412" s="525">
        <f t="shared" si="632"/>
        <v>0</v>
      </c>
      <c r="P412" s="525">
        <f t="shared" si="632"/>
        <v>0</v>
      </c>
      <c r="Q412" s="525">
        <f t="shared" si="632"/>
        <v>0</v>
      </c>
      <c r="R412" s="525">
        <f t="shared" si="632"/>
        <v>0</v>
      </c>
      <c r="S412" s="525">
        <f t="shared" si="632"/>
        <v>0</v>
      </c>
      <c r="T412" s="525">
        <f t="shared" si="632"/>
        <v>0</v>
      </c>
      <c r="U412" s="525">
        <f t="shared" si="632"/>
        <v>0</v>
      </c>
      <c r="V412" s="525">
        <f t="shared" si="632"/>
        <v>0</v>
      </c>
      <c r="W412" s="525">
        <f t="shared" si="632"/>
        <v>0</v>
      </c>
      <c r="X412" s="525">
        <f t="shared" si="632"/>
        <v>0</v>
      </c>
      <c r="Y412" s="525">
        <f t="shared" si="632"/>
        <v>0</v>
      </c>
      <c r="Z412" s="525">
        <f t="shared" si="632"/>
        <v>0</v>
      </c>
      <c r="AA412" s="525">
        <f t="shared" si="632"/>
        <v>0</v>
      </c>
      <c r="AB412" s="525">
        <f t="shared" si="632"/>
        <v>0</v>
      </c>
      <c r="AC412" s="525">
        <f t="shared" si="632"/>
        <v>0</v>
      </c>
      <c r="AD412" s="525">
        <f t="shared" si="632"/>
        <v>0</v>
      </c>
      <c r="AE412" s="525">
        <f t="shared" si="632"/>
        <v>0</v>
      </c>
      <c r="AF412" s="525">
        <f t="shared" si="632"/>
        <v>0</v>
      </c>
      <c r="AG412" s="525">
        <f t="shared" si="632"/>
        <v>0</v>
      </c>
      <c r="AH412" s="525">
        <f t="shared" si="632"/>
        <v>0</v>
      </c>
      <c r="AI412" s="525">
        <f t="shared" si="632"/>
        <v>0</v>
      </c>
      <c r="AJ412" s="525">
        <f t="shared" si="632"/>
        <v>0</v>
      </c>
      <c r="AK412" s="525">
        <f t="shared" ref="AK412:BP412" si="633" xml:space="preserve"> AK$409</f>
        <v>0</v>
      </c>
      <c r="AL412" s="525">
        <f t="shared" si="633"/>
        <v>0</v>
      </c>
      <c r="AM412" s="525">
        <f t="shared" si="633"/>
        <v>0</v>
      </c>
      <c r="AN412" s="525">
        <f t="shared" si="633"/>
        <v>0</v>
      </c>
      <c r="AO412" s="525">
        <f t="shared" si="633"/>
        <v>0</v>
      </c>
      <c r="AP412" s="525">
        <f t="shared" si="633"/>
        <v>0</v>
      </c>
      <c r="AQ412" s="525">
        <f t="shared" si="633"/>
        <v>0</v>
      </c>
      <c r="AR412" s="525">
        <f t="shared" si="633"/>
        <v>0</v>
      </c>
      <c r="AS412" s="525">
        <f t="shared" si="633"/>
        <v>0</v>
      </c>
      <c r="AT412" s="525">
        <f t="shared" si="633"/>
        <v>0</v>
      </c>
      <c r="AU412" s="525">
        <f t="shared" si="633"/>
        <v>0</v>
      </c>
      <c r="AV412" s="525">
        <f t="shared" si="633"/>
        <v>0</v>
      </c>
      <c r="AW412" s="525">
        <f t="shared" si="633"/>
        <v>0</v>
      </c>
      <c r="AX412" s="525">
        <f t="shared" si="633"/>
        <v>0</v>
      </c>
      <c r="AY412" s="525">
        <f t="shared" si="633"/>
        <v>0</v>
      </c>
      <c r="AZ412" s="525">
        <f t="shared" si="633"/>
        <v>0</v>
      </c>
      <c r="BA412" s="525">
        <f t="shared" si="633"/>
        <v>0</v>
      </c>
      <c r="BB412" s="525">
        <f t="shared" si="633"/>
        <v>0</v>
      </c>
      <c r="BC412" s="525">
        <f t="shared" si="633"/>
        <v>0</v>
      </c>
      <c r="BD412" s="525">
        <f t="shared" si="633"/>
        <v>0</v>
      </c>
      <c r="BE412" s="525">
        <f t="shared" si="633"/>
        <v>0</v>
      </c>
      <c r="BF412" s="525">
        <f t="shared" si="633"/>
        <v>0</v>
      </c>
      <c r="BG412" s="525">
        <f t="shared" si="633"/>
        <v>0</v>
      </c>
      <c r="BH412" s="525">
        <f t="shared" si="633"/>
        <v>0</v>
      </c>
      <c r="BI412" s="525">
        <f t="shared" si="633"/>
        <v>0</v>
      </c>
      <c r="BJ412" s="525">
        <f t="shared" si="633"/>
        <v>0</v>
      </c>
      <c r="BK412" s="525">
        <f t="shared" si="633"/>
        <v>0</v>
      </c>
      <c r="BL412" s="525">
        <f t="shared" si="633"/>
        <v>0</v>
      </c>
      <c r="BM412" s="525">
        <f t="shared" si="633"/>
        <v>0</v>
      </c>
      <c r="BN412" s="525">
        <f t="shared" si="633"/>
        <v>0</v>
      </c>
      <c r="BO412" s="525">
        <f t="shared" si="633"/>
        <v>0</v>
      </c>
      <c r="BP412" s="525">
        <f t="shared" si="633"/>
        <v>0</v>
      </c>
      <c r="BQ412" s="525">
        <f t="shared" ref="BQ412:CV412" si="634" xml:space="preserve"> BQ$409</f>
        <v>0</v>
      </c>
      <c r="BR412" s="525">
        <f t="shared" si="634"/>
        <v>0</v>
      </c>
      <c r="BS412" s="525">
        <f t="shared" si="634"/>
        <v>0</v>
      </c>
      <c r="BT412" s="525">
        <f t="shared" si="634"/>
        <v>0</v>
      </c>
      <c r="BU412" s="525">
        <f t="shared" si="634"/>
        <v>0</v>
      </c>
      <c r="BV412" s="525">
        <f t="shared" si="634"/>
        <v>0</v>
      </c>
      <c r="BW412" s="525">
        <f t="shared" si="634"/>
        <v>0</v>
      </c>
      <c r="BX412" s="525">
        <f t="shared" si="634"/>
        <v>0</v>
      </c>
      <c r="BY412" s="525">
        <f t="shared" si="634"/>
        <v>0</v>
      </c>
      <c r="BZ412" s="525">
        <f t="shared" si="634"/>
        <v>0</v>
      </c>
      <c r="CA412" s="525">
        <f t="shared" si="634"/>
        <v>0</v>
      </c>
      <c r="CB412" s="525">
        <f t="shared" si="634"/>
        <v>0</v>
      </c>
      <c r="CC412" s="525">
        <f t="shared" si="634"/>
        <v>0</v>
      </c>
      <c r="CD412" s="525">
        <f t="shared" si="634"/>
        <v>0</v>
      </c>
      <c r="CE412" s="525">
        <f t="shared" si="634"/>
        <v>0</v>
      </c>
      <c r="CF412" s="525">
        <f t="shared" si="634"/>
        <v>0</v>
      </c>
      <c r="CG412" s="525">
        <f t="shared" si="634"/>
        <v>0</v>
      </c>
      <c r="CH412" s="525">
        <f t="shared" si="634"/>
        <v>0</v>
      </c>
      <c r="CI412" s="525">
        <f t="shared" si="634"/>
        <v>0</v>
      </c>
      <c r="CJ412" s="525">
        <f t="shared" si="634"/>
        <v>0</v>
      </c>
      <c r="CK412" s="525">
        <f t="shared" si="634"/>
        <v>0</v>
      </c>
      <c r="CL412" s="525">
        <f t="shared" si="634"/>
        <v>0</v>
      </c>
      <c r="CM412" s="525">
        <f t="shared" si="634"/>
        <v>0</v>
      </c>
      <c r="CN412" s="525">
        <f t="shared" si="634"/>
        <v>0</v>
      </c>
      <c r="CO412" s="525">
        <f t="shared" si="634"/>
        <v>0</v>
      </c>
      <c r="CP412" s="525">
        <f t="shared" si="634"/>
        <v>0</v>
      </c>
      <c r="CQ412" s="525">
        <f t="shared" si="634"/>
        <v>0</v>
      </c>
      <c r="CR412" s="525">
        <f t="shared" si="634"/>
        <v>0</v>
      </c>
      <c r="CS412" s="525">
        <f t="shared" si="634"/>
        <v>0</v>
      </c>
      <c r="CT412" s="525">
        <f t="shared" si="634"/>
        <v>0</v>
      </c>
      <c r="CU412" s="525">
        <f t="shared" si="634"/>
        <v>0</v>
      </c>
      <c r="CV412" s="525">
        <f t="shared" si="634"/>
        <v>0</v>
      </c>
    </row>
    <row r="413" spans="1:100" s="191" customFormat="1" ht="12.75" outlineLevel="2" x14ac:dyDescent="0.2">
      <c r="A413" s="700"/>
      <c r="B413" s="700"/>
      <c r="C413" s="701"/>
      <c r="D413" s="702"/>
      <c r="E413" s="525" t="s">
        <v>1066</v>
      </c>
      <c r="F413" s="525"/>
      <c r="G413" s="525" t="str">
        <f xml:space="preserve"> SMU</f>
        <v>$ 000s</v>
      </c>
      <c r="H413" s="666">
        <f xml:space="preserve"> SUM(J413:CV413)</f>
        <v>0</v>
      </c>
      <c r="I413" s="525"/>
      <c r="J413" s="525">
        <f t="shared" ref="J413:BU413" si="635" xml:space="preserve"> MIN(J411, J412)</f>
        <v>0</v>
      </c>
      <c r="K413" s="525">
        <f t="shared" si="635"/>
        <v>0</v>
      </c>
      <c r="L413" s="525">
        <f t="shared" si="635"/>
        <v>0</v>
      </c>
      <c r="M413" s="525">
        <f t="shared" si="635"/>
        <v>0</v>
      </c>
      <c r="N413" s="525">
        <f t="shared" si="635"/>
        <v>0</v>
      </c>
      <c r="O413" s="525">
        <f t="shared" si="635"/>
        <v>0</v>
      </c>
      <c r="P413" s="525">
        <f t="shared" si="635"/>
        <v>0</v>
      </c>
      <c r="Q413" s="525">
        <f t="shared" si="635"/>
        <v>0</v>
      </c>
      <c r="R413" s="525">
        <f t="shared" si="635"/>
        <v>0</v>
      </c>
      <c r="S413" s="525">
        <f t="shared" si="635"/>
        <v>0</v>
      </c>
      <c r="T413" s="525">
        <f t="shared" si="635"/>
        <v>0</v>
      </c>
      <c r="U413" s="525">
        <f t="shared" si="635"/>
        <v>0</v>
      </c>
      <c r="V413" s="525">
        <f t="shared" si="635"/>
        <v>0</v>
      </c>
      <c r="W413" s="525">
        <f t="shared" si="635"/>
        <v>0</v>
      </c>
      <c r="X413" s="525">
        <f t="shared" si="635"/>
        <v>0</v>
      </c>
      <c r="Y413" s="525">
        <f t="shared" si="635"/>
        <v>0</v>
      </c>
      <c r="Z413" s="525">
        <f t="shared" si="635"/>
        <v>0</v>
      </c>
      <c r="AA413" s="525">
        <f t="shared" si="635"/>
        <v>0</v>
      </c>
      <c r="AB413" s="525">
        <f t="shared" si="635"/>
        <v>0</v>
      </c>
      <c r="AC413" s="525">
        <f t="shared" si="635"/>
        <v>0</v>
      </c>
      <c r="AD413" s="525">
        <f t="shared" si="635"/>
        <v>0</v>
      </c>
      <c r="AE413" s="525">
        <f t="shared" si="635"/>
        <v>0</v>
      </c>
      <c r="AF413" s="525">
        <f t="shared" si="635"/>
        <v>0</v>
      </c>
      <c r="AG413" s="525">
        <f t="shared" si="635"/>
        <v>0</v>
      </c>
      <c r="AH413" s="525">
        <f t="shared" si="635"/>
        <v>0</v>
      </c>
      <c r="AI413" s="525">
        <f t="shared" si="635"/>
        <v>0</v>
      </c>
      <c r="AJ413" s="525">
        <f t="shared" si="635"/>
        <v>0</v>
      </c>
      <c r="AK413" s="525">
        <f t="shared" si="635"/>
        <v>0</v>
      </c>
      <c r="AL413" s="525">
        <f t="shared" si="635"/>
        <v>0</v>
      </c>
      <c r="AM413" s="525">
        <f t="shared" si="635"/>
        <v>0</v>
      </c>
      <c r="AN413" s="525">
        <f t="shared" si="635"/>
        <v>0</v>
      </c>
      <c r="AO413" s="525">
        <f t="shared" si="635"/>
        <v>0</v>
      </c>
      <c r="AP413" s="525">
        <f t="shared" si="635"/>
        <v>0</v>
      </c>
      <c r="AQ413" s="525">
        <f t="shared" si="635"/>
        <v>0</v>
      </c>
      <c r="AR413" s="525">
        <f t="shared" si="635"/>
        <v>0</v>
      </c>
      <c r="AS413" s="525">
        <f t="shared" si="635"/>
        <v>0</v>
      </c>
      <c r="AT413" s="525">
        <f t="shared" si="635"/>
        <v>0</v>
      </c>
      <c r="AU413" s="525">
        <f t="shared" si="635"/>
        <v>0</v>
      </c>
      <c r="AV413" s="525">
        <f t="shared" si="635"/>
        <v>0</v>
      </c>
      <c r="AW413" s="525">
        <f t="shared" si="635"/>
        <v>0</v>
      </c>
      <c r="AX413" s="525">
        <f t="shared" si="635"/>
        <v>0</v>
      </c>
      <c r="AY413" s="525">
        <f t="shared" si="635"/>
        <v>0</v>
      </c>
      <c r="AZ413" s="525">
        <f t="shared" si="635"/>
        <v>0</v>
      </c>
      <c r="BA413" s="525">
        <f t="shared" si="635"/>
        <v>0</v>
      </c>
      <c r="BB413" s="525">
        <f t="shared" si="635"/>
        <v>0</v>
      </c>
      <c r="BC413" s="525">
        <f t="shared" si="635"/>
        <v>0</v>
      </c>
      <c r="BD413" s="525">
        <f t="shared" si="635"/>
        <v>0</v>
      </c>
      <c r="BE413" s="525">
        <f t="shared" si="635"/>
        <v>0</v>
      </c>
      <c r="BF413" s="525">
        <f t="shared" si="635"/>
        <v>0</v>
      </c>
      <c r="BG413" s="525">
        <f t="shared" si="635"/>
        <v>0</v>
      </c>
      <c r="BH413" s="525">
        <f t="shared" si="635"/>
        <v>0</v>
      </c>
      <c r="BI413" s="525">
        <f t="shared" si="635"/>
        <v>0</v>
      </c>
      <c r="BJ413" s="525">
        <f t="shared" si="635"/>
        <v>0</v>
      </c>
      <c r="BK413" s="525">
        <f t="shared" si="635"/>
        <v>0</v>
      </c>
      <c r="BL413" s="525">
        <f t="shared" si="635"/>
        <v>0</v>
      </c>
      <c r="BM413" s="525">
        <f t="shared" si="635"/>
        <v>0</v>
      </c>
      <c r="BN413" s="525">
        <f t="shared" si="635"/>
        <v>0</v>
      </c>
      <c r="BO413" s="525">
        <f t="shared" si="635"/>
        <v>0</v>
      </c>
      <c r="BP413" s="525">
        <f t="shared" si="635"/>
        <v>0</v>
      </c>
      <c r="BQ413" s="525">
        <f t="shared" si="635"/>
        <v>0</v>
      </c>
      <c r="BR413" s="525">
        <f t="shared" si="635"/>
        <v>0</v>
      </c>
      <c r="BS413" s="525">
        <f t="shared" si="635"/>
        <v>0</v>
      </c>
      <c r="BT413" s="525">
        <f t="shared" si="635"/>
        <v>0</v>
      </c>
      <c r="BU413" s="525">
        <f t="shared" si="635"/>
        <v>0</v>
      </c>
      <c r="BV413" s="525">
        <f t="shared" ref="BV413:CV413" si="636" xml:space="preserve"> MIN(BV411, BV412)</f>
        <v>0</v>
      </c>
      <c r="BW413" s="525">
        <f t="shared" si="636"/>
        <v>0</v>
      </c>
      <c r="BX413" s="525">
        <f t="shared" si="636"/>
        <v>0</v>
      </c>
      <c r="BY413" s="525">
        <f t="shared" si="636"/>
        <v>0</v>
      </c>
      <c r="BZ413" s="525">
        <f t="shared" si="636"/>
        <v>0</v>
      </c>
      <c r="CA413" s="525">
        <f t="shared" si="636"/>
        <v>0</v>
      </c>
      <c r="CB413" s="525">
        <f t="shared" si="636"/>
        <v>0</v>
      </c>
      <c r="CC413" s="525">
        <f t="shared" si="636"/>
        <v>0</v>
      </c>
      <c r="CD413" s="525">
        <f t="shared" si="636"/>
        <v>0</v>
      </c>
      <c r="CE413" s="525">
        <f t="shared" si="636"/>
        <v>0</v>
      </c>
      <c r="CF413" s="525">
        <f t="shared" si="636"/>
        <v>0</v>
      </c>
      <c r="CG413" s="525">
        <f t="shared" si="636"/>
        <v>0</v>
      </c>
      <c r="CH413" s="525">
        <f t="shared" si="636"/>
        <v>0</v>
      </c>
      <c r="CI413" s="525">
        <f t="shared" si="636"/>
        <v>0</v>
      </c>
      <c r="CJ413" s="525">
        <f t="shared" si="636"/>
        <v>0</v>
      </c>
      <c r="CK413" s="525">
        <f t="shared" si="636"/>
        <v>0</v>
      </c>
      <c r="CL413" s="525">
        <f t="shared" si="636"/>
        <v>0</v>
      </c>
      <c r="CM413" s="525">
        <f t="shared" si="636"/>
        <v>0</v>
      </c>
      <c r="CN413" s="525">
        <f t="shared" si="636"/>
        <v>0</v>
      </c>
      <c r="CO413" s="525">
        <f t="shared" si="636"/>
        <v>0</v>
      </c>
      <c r="CP413" s="525">
        <f t="shared" si="636"/>
        <v>0</v>
      </c>
      <c r="CQ413" s="525">
        <f t="shared" si="636"/>
        <v>0</v>
      </c>
      <c r="CR413" s="525">
        <f t="shared" si="636"/>
        <v>0</v>
      </c>
      <c r="CS413" s="525">
        <f t="shared" si="636"/>
        <v>0</v>
      </c>
      <c r="CT413" s="525">
        <f t="shared" si="636"/>
        <v>0</v>
      </c>
      <c r="CU413" s="525">
        <f t="shared" si="636"/>
        <v>0</v>
      </c>
      <c r="CV413" s="525">
        <f t="shared" si="636"/>
        <v>0</v>
      </c>
    </row>
    <row r="414" spans="1:100" s="188" customFormat="1" ht="12.75" outlineLevel="2" x14ac:dyDescent="0.2">
      <c r="A414" s="527"/>
      <c r="B414" s="527"/>
      <c r="C414" s="528"/>
      <c r="D414" s="529"/>
      <c r="E414" s="530" t="str">
        <f xml:space="preserve"> LEFT(E413, LEN(E413) - 4)</f>
        <v>Standby debt principal repayment - T2</v>
      </c>
      <c r="F414" s="530"/>
      <c r="G414" s="530" t="str">
        <f xml:space="preserve"> SMU</f>
        <v>$ 000s</v>
      </c>
      <c r="H414" s="530">
        <f xml:space="preserve"> SUM(J414:CV414)</f>
        <v>0</v>
      </c>
      <c r="I414" s="531"/>
      <c r="J414" s="530">
        <f t="shared" ref="J414:BU414" si="637" xml:space="preserve"> -1 * J413</f>
        <v>0</v>
      </c>
      <c r="K414" s="530">
        <f t="shared" si="637"/>
        <v>0</v>
      </c>
      <c r="L414" s="530">
        <f t="shared" si="637"/>
        <v>0</v>
      </c>
      <c r="M414" s="530">
        <f t="shared" si="637"/>
        <v>0</v>
      </c>
      <c r="N414" s="530">
        <f t="shared" si="637"/>
        <v>0</v>
      </c>
      <c r="O414" s="530">
        <f t="shared" si="637"/>
        <v>0</v>
      </c>
      <c r="P414" s="530">
        <f t="shared" si="637"/>
        <v>0</v>
      </c>
      <c r="Q414" s="530">
        <f t="shared" si="637"/>
        <v>0</v>
      </c>
      <c r="R414" s="530">
        <f t="shared" si="637"/>
        <v>0</v>
      </c>
      <c r="S414" s="530">
        <f t="shared" si="637"/>
        <v>0</v>
      </c>
      <c r="T414" s="530">
        <f t="shared" si="637"/>
        <v>0</v>
      </c>
      <c r="U414" s="530">
        <f t="shared" si="637"/>
        <v>0</v>
      </c>
      <c r="V414" s="530">
        <f t="shared" si="637"/>
        <v>0</v>
      </c>
      <c r="W414" s="530">
        <f t="shared" si="637"/>
        <v>0</v>
      </c>
      <c r="X414" s="530">
        <f t="shared" si="637"/>
        <v>0</v>
      </c>
      <c r="Y414" s="530">
        <f t="shared" si="637"/>
        <v>0</v>
      </c>
      <c r="Z414" s="530">
        <f t="shared" si="637"/>
        <v>0</v>
      </c>
      <c r="AA414" s="530">
        <f t="shared" si="637"/>
        <v>0</v>
      </c>
      <c r="AB414" s="530">
        <f t="shared" si="637"/>
        <v>0</v>
      </c>
      <c r="AC414" s="530">
        <f t="shared" si="637"/>
        <v>0</v>
      </c>
      <c r="AD414" s="530">
        <f t="shared" si="637"/>
        <v>0</v>
      </c>
      <c r="AE414" s="530">
        <f t="shared" si="637"/>
        <v>0</v>
      </c>
      <c r="AF414" s="530">
        <f t="shared" si="637"/>
        <v>0</v>
      </c>
      <c r="AG414" s="530">
        <f t="shared" si="637"/>
        <v>0</v>
      </c>
      <c r="AH414" s="530">
        <f t="shared" si="637"/>
        <v>0</v>
      </c>
      <c r="AI414" s="530">
        <f t="shared" si="637"/>
        <v>0</v>
      </c>
      <c r="AJ414" s="530">
        <f t="shared" si="637"/>
        <v>0</v>
      </c>
      <c r="AK414" s="530">
        <f t="shared" si="637"/>
        <v>0</v>
      </c>
      <c r="AL414" s="530">
        <f t="shared" si="637"/>
        <v>0</v>
      </c>
      <c r="AM414" s="530">
        <f t="shared" si="637"/>
        <v>0</v>
      </c>
      <c r="AN414" s="530">
        <f t="shared" si="637"/>
        <v>0</v>
      </c>
      <c r="AO414" s="530">
        <f t="shared" si="637"/>
        <v>0</v>
      </c>
      <c r="AP414" s="530">
        <f t="shared" si="637"/>
        <v>0</v>
      </c>
      <c r="AQ414" s="530">
        <f t="shared" si="637"/>
        <v>0</v>
      </c>
      <c r="AR414" s="530">
        <f t="shared" si="637"/>
        <v>0</v>
      </c>
      <c r="AS414" s="530">
        <f t="shared" si="637"/>
        <v>0</v>
      </c>
      <c r="AT414" s="530">
        <f t="shared" si="637"/>
        <v>0</v>
      </c>
      <c r="AU414" s="530">
        <f t="shared" si="637"/>
        <v>0</v>
      </c>
      <c r="AV414" s="530">
        <f t="shared" si="637"/>
        <v>0</v>
      </c>
      <c r="AW414" s="530">
        <f t="shared" si="637"/>
        <v>0</v>
      </c>
      <c r="AX414" s="530">
        <f t="shared" si="637"/>
        <v>0</v>
      </c>
      <c r="AY414" s="530">
        <f t="shared" si="637"/>
        <v>0</v>
      </c>
      <c r="AZ414" s="530">
        <f t="shared" si="637"/>
        <v>0</v>
      </c>
      <c r="BA414" s="530">
        <f t="shared" si="637"/>
        <v>0</v>
      </c>
      <c r="BB414" s="530">
        <f t="shared" si="637"/>
        <v>0</v>
      </c>
      <c r="BC414" s="530">
        <f t="shared" si="637"/>
        <v>0</v>
      </c>
      <c r="BD414" s="530">
        <f t="shared" si="637"/>
        <v>0</v>
      </c>
      <c r="BE414" s="530">
        <f t="shared" si="637"/>
        <v>0</v>
      </c>
      <c r="BF414" s="530">
        <f t="shared" si="637"/>
        <v>0</v>
      </c>
      <c r="BG414" s="530">
        <f t="shared" si="637"/>
        <v>0</v>
      </c>
      <c r="BH414" s="530">
        <f t="shared" si="637"/>
        <v>0</v>
      </c>
      <c r="BI414" s="530">
        <f t="shared" si="637"/>
        <v>0</v>
      </c>
      <c r="BJ414" s="530">
        <f t="shared" si="637"/>
        <v>0</v>
      </c>
      <c r="BK414" s="530">
        <f t="shared" si="637"/>
        <v>0</v>
      </c>
      <c r="BL414" s="530">
        <f t="shared" si="637"/>
        <v>0</v>
      </c>
      <c r="BM414" s="530">
        <f t="shared" si="637"/>
        <v>0</v>
      </c>
      <c r="BN414" s="530">
        <f t="shared" si="637"/>
        <v>0</v>
      </c>
      <c r="BO414" s="530">
        <f t="shared" si="637"/>
        <v>0</v>
      </c>
      <c r="BP414" s="530">
        <f t="shared" si="637"/>
        <v>0</v>
      </c>
      <c r="BQ414" s="530">
        <f t="shared" si="637"/>
        <v>0</v>
      </c>
      <c r="BR414" s="530">
        <f t="shared" si="637"/>
        <v>0</v>
      </c>
      <c r="BS414" s="530">
        <f t="shared" si="637"/>
        <v>0</v>
      </c>
      <c r="BT414" s="530">
        <f t="shared" si="637"/>
        <v>0</v>
      </c>
      <c r="BU414" s="530">
        <f t="shared" si="637"/>
        <v>0</v>
      </c>
      <c r="BV414" s="530">
        <f t="shared" ref="BV414:CV414" si="638" xml:space="preserve"> -1 * BV413</f>
        <v>0</v>
      </c>
      <c r="BW414" s="530">
        <f t="shared" si="638"/>
        <v>0</v>
      </c>
      <c r="BX414" s="530">
        <f t="shared" si="638"/>
        <v>0</v>
      </c>
      <c r="BY414" s="530">
        <f t="shared" si="638"/>
        <v>0</v>
      </c>
      <c r="BZ414" s="530">
        <f t="shared" si="638"/>
        <v>0</v>
      </c>
      <c r="CA414" s="530">
        <f t="shared" si="638"/>
        <v>0</v>
      </c>
      <c r="CB414" s="530">
        <f t="shared" si="638"/>
        <v>0</v>
      </c>
      <c r="CC414" s="530">
        <f t="shared" si="638"/>
        <v>0</v>
      </c>
      <c r="CD414" s="530">
        <f t="shared" si="638"/>
        <v>0</v>
      </c>
      <c r="CE414" s="530">
        <f t="shared" si="638"/>
        <v>0</v>
      </c>
      <c r="CF414" s="530">
        <f t="shared" si="638"/>
        <v>0</v>
      </c>
      <c r="CG414" s="530">
        <f t="shared" si="638"/>
        <v>0</v>
      </c>
      <c r="CH414" s="530">
        <f t="shared" si="638"/>
        <v>0</v>
      </c>
      <c r="CI414" s="530">
        <f t="shared" si="638"/>
        <v>0</v>
      </c>
      <c r="CJ414" s="530">
        <f t="shared" si="638"/>
        <v>0</v>
      </c>
      <c r="CK414" s="530">
        <f t="shared" si="638"/>
        <v>0</v>
      </c>
      <c r="CL414" s="530">
        <f t="shared" si="638"/>
        <v>0</v>
      </c>
      <c r="CM414" s="530">
        <f t="shared" si="638"/>
        <v>0</v>
      </c>
      <c r="CN414" s="530">
        <f t="shared" si="638"/>
        <v>0</v>
      </c>
      <c r="CO414" s="530">
        <f t="shared" si="638"/>
        <v>0</v>
      </c>
      <c r="CP414" s="530">
        <f t="shared" si="638"/>
        <v>0</v>
      </c>
      <c r="CQ414" s="530">
        <f t="shared" si="638"/>
        <v>0</v>
      </c>
      <c r="CR414" s="530">
        <f t="shared" si="638"/>
        <v>0</v>
      </c>
      <c r="CS414" s="530">
        <f t="shared" si="638"/>
        <v>0</v>
      </c>
      <c r="CT414" s="530">
        <f t="shared" si="638"/>
        <v>0</v>
      </c>
      <c r="CU414" s="530">
        <f t="shared" si="638"/>
        <v>0</v>
      </c>
      <c r="CV414" s="530">
        <f t="shared" si="638"/>
        <v>0</v>
      </c>
    </row>
    <row r="415" spans="1:100" ht="12.75" outlineLevel="2" x14ac:dyDescent="0.2">
      <c r="A415" s="522"/>
      <c r="B415" s="522"/>
      <c r="C415" s="523"/>
      <c r="D415" s="524"/>
      <c r="E415" s="525"/>
      <c r="F415" s="525"/>
      <c r="G415" s="525"/>
      <c r="H415" s="525"/>
      <c r="I415" s="526"/>
      <c r="J415" s="525"/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</row>
    <row r="416" spans="1:100" ht="12.75" outlineLevel="2" x14ac:dyDescent="0.2">
      <c r="A416" s="522"/>
      <c r="B416" s="522"/>
      <c r="C416" s="523" t="s">
        <v>450</v>
      </c>
      <c r="D416" s="524"/>
      <c r="E416" s="525"/>
      <c r="F416" s="525"/>
      <c r="G416" s="525"/>
      <c r="H416" s="525"/>
      <c r="I416" s="526"/>
      <c r="J416" s="525"/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</row>
    <row r="417" spans="1:100" s="283" customFormat="1" ht="12.75" outlineLevel="2" x14ac:dyDescent="0.2">
      <c r="A417" s="556"/>
      <c r="B417" s="556"/>
      <c r="C417" s="557"/>
      <c r="D417" s="115"/>
      <c r="E417" s="316" t="str">
        <f xml:space="preserve"> Sensitivity!E$16</f>
        <v>Interest rate - sensitivity</v>
      </c>
      <c r="F417" s="316">
        <f xml:space="preserve"> Sensitivity!F$16</f>
        <v>0</v>
      </c>
      <c r="G417" s="316" t="str">
        <f xml:space="preserve"> Sensitivity!G$16</f>
        <v>% p.a.</v>
      </c>
      <c r="H417" s="115"/>
      <c r="I417" s="112"/>
      <c r="J417" s="282"/>
      <c r="K417" s="282"/>
      <c r="L417" s="282"/>
      <c r="M417" s="282"/>
      <c r="N417" s="282"/>
      <c r="O417" s="282"/>
      <c r="P417" s="282"/>
      <c r="Q417" s="282"/>
      <c r="R417" s="282"/>
      <c r="S417" s="282"/>
      <c r="T417" s="282"/>
      <c r="U417" s="282"/>
      <c r="V417" s="282"/>
      <c r="W417" s="282"/>
      <c r="X417" s="282"/>
      <c r="Y417" s="282"/>
      <c r="Z417" s="282"/>
      <c r="AA417" s="282"/>
      <c r="AB417" s="282"/>
      <c r="AC417" s="282"/>
      <c r="AD417" s="282"/>
      <c r="AE417" s="282"/>
      <c r="AF417" s="282"/>
      <c r="AG417" s="282"/>
      <c r="AH417" s="282"/>
      <c r="AI417" s="282"/>
      <c r="AJ417" s="282"/>
      <c r="AK417" s="282"/>
      <c r="AL417" s="282"/>
      <c r="AM417" s="282"/>
      <c r="AN417" s="282"/>
      <c r="AO417" s="282"/>
      <c r="AP417" s="282"/>
      <c r="AQ417" s="282"/>
      <c r="AR417" s="282"/>
      <c r="AS417" s="282"/>
      <c r="AT417" s="282"/>
      <c r="AU417" s="282"/>
      <c r="AV417" s="282"/>
      <c r="AW417" s="282"/>
      <c r="AX417" s="282"/>
      <c r="AY417" s="282"/>
      <c r="AZ417" s="282"/>
      <c r="BA417" s="282"/>
      <c r="BB417" s="282"/>
      <c r="BC417" s="282"/>
      <c r="BD417" s="282"/>
      <c r="BE417" s="282"/>
      <c r="BF417" s="282"/>
      <c r="BG417" s="282"/>
      <c r="BH417" s="282"/>
      <c r="BI417" s="282"/>
      <c r="BJ417" s="282"/>
      <c r="BK417" s="282"/>
      <c r="BL417" s="282"/>
      <c r="BM417" s="282"/>
      <c r="BN417" s="282"/>
      <c r="BO417" s="282"/>
      <c r="BP417" s="282"/>
      <c r="BQ417" s="282"/>
      <c r="BR417" s="282"/>
      <c r="BS417" s="282"/>
      <c r="BT417" s="282"/>
      <c r="BU417" s="282"/>
      <c r="BV417" s="282"/>
      <c r="BW417" s="282"/>
      <c r="BX417" s="282"/>
      <c r="BY417" s="282"/>
      <c r="BZ417" s="282"/>
      <c r="CA417" s="282"/>
      <c r="CB417" s="282"/>
      <c r="CC417" s="282"/>
      <c r="CD417" s="282"/>
      <c r="CE417" s="282"/>
      <c r="CF417" s="282"/>
      <c r="CG417" s="282"/>
      <c r="CH417" s="282"/>
      <c r="CI417" s="282"/>
      <c r="CJ417" s="282"/>
      <c r="CK417" s="282"/>
      <c r="CL417" s="282"/>
      <c r="CM417" s="282"/>
      <c r="CN417" s="282"/>
      <c r="CO417" s="282"/>
      <c r="CP417" s="282"/>
      <c r="CQ417" s="282"/>
      <c r="CR417" s="282"/>
      <c r="CS417" s="282"/>
      <c r="CT417" s="282"/>
      <c r="CU417" s="282"/>
      <c r="CV417" s="282"/>
    </row>
    <row r="418" spans="1:100" s="283" customFormat="1" ht="12.75" outlineLevel="2" x14ac:dyDescent="0.2">
      <c r="A418" s="556"/>
      <c r="B418" s="556"/>
      <c r="C418" s="557"/>
      <c r="D418" s="115"/>
      <c r="E418" s="115" t="str">
        <f t="shared" ref="E418:BP418" si="639" xml:space="preserve"> E$332</f>
        <v>Senior debt margin - T2</v>
      </c>
      <c r="F418" s="115">
        <f t="shared" si="639"/>
        <v>0</v>
      </c>
      <c r="G418" s="115" t="str">
        <f t="shared" si="639"/>
        <v>% p.a.</v>
      </c>
      <c r="H418" s="115">
        <f t="shared" si="639"/>
        <v>0</v>
      </c>
      <c r="I418" s="115">
        <f t="shared" si="639"/>
        <v>0</v>
      </c>
      <c r="J418" s="115">
        <f t="shared" si="639"/>
        <v>0</v>
      </c>
      <c r="K418" s="115">
        <f t="shared" si="639"/>
        <v>0</v>
      </c>
      <c r="L418" s="115">
        <f t="shared" si="639"/>
        <v>0</v>
      </c>
      <c r="M418" s="115">
        <f t="shared" si="639"/>
        <v>0</v>
      </c>
      <c r="N418" s="115">
        <f t="shared" si="639"/>
        <v>0</v>
      </c>
      <c r="O418" s="115">
        <f t="shared" si="639"/>
        <v>0.03</v>
      </c>
      <c r="P418" s="115">
        <f t="shared" si="639"/>
        <v>0.03</v>
      </c>
      <c r="Q418" s="115">
        <f t="shared" si="639"/>
        <v>0.03</v>
      </c>
      <c r="R418" s="115">
        <f t="shared" si="639"/>
        <v>0.03</v>
      </c>
      <c r="S418" s="115">
        <f t="shared" si="639"/>
        <v>0.03</v>
      </c>
      <c r="T418" s="115">
        <f t="shared" si="639"/>
        <v>0.03</v>
      </c>
      <c r="U418" s="115">
        <f t="shared" si="639"/>
        <v>0.03</v>
      </c>
      <c r="V418" s="115">
        <f t="shared" si="639"/>
        <v>0.03</v>
      </c>
      <c r="W418" s="115">
        <f t="shared" si="639"/>
        <v>0.03</v>
      </c>
      <c r="X418" s="115">
        <f t="shared" si="639"/>
        <v>0.03</v>
      </c>
      <c r="Y418" s="115">
        <f t="shared" si="639"/>
        <v>3.2000000000000001E-2</v>
      </c>
      <c r="Z418" s="115">
        <f t="shared" si="639"/>
        <v>3.2000000000000001E-2</v>
      </c>
      <c r="AA418" s="115">
        <f t="shared" si="639"/>
        <v>3.2000000000000001E-2</v>
      </c>
      <c r="AB418" s="115">
        <f t="shared" si="639"/>
        <v>3.2000000000000001E-2</v>
      </c>
      <c r="AC418" s="115">
        <f t="shared" si="639"/>
        <v>3.2000000000000001E-2</v>
      </c>
      <c r="AD418" s="115">
        <f t="shared" si="639"/>
        <v>3.2000000000000001E-2</v>
      </c>
      <c r="AE418" s="115">
        <f t="shared" si="639"/>
        <v>3.2000000000000001E-2</v>
      </c>
      <c r="AF418" s="115">
        <f t="shared" si="639"/>
        <v>3.2000000000000001E-2</v>
      </c>
      <c r="AG418" s="115">
        <f t="shared" si="639"/>
        <v>3.2000000000000001E-2</v>
      </c>
      <c r="AH418" s="115">
        <f t="shared" si="639"/>
        <v>3.2000000000000001E-2</v>
      </c>
      <c r="AI418" s="115">
        <f t="shared" si="639"/>
        <v>3.5000000000000003E-2</v>
      </c>
      <c r="AJ418" s="115">
        <f t="shared" si="639"/>
        <v>3.5000000000000003E-2</v>
      </c>
      <c r="AK418" s="115">
        <f t="shared" si="639"/>
        <v>3.5000000000000003E-2</v>
      </c>
      <c r="AL418" s="115">
        <f t="shared" si="639"/>
        <v>3.5000000000000003E-2</v>
      </c>
      <c r="AM418" s="115">
        <f t="shared" si="639"/>
        <v>3.5000000000000003E-2</v>
      </c>
      <c r="AN418" s="115">
        <f t="shared" si="639"/>
        <v>3.5000000000000003E-2</v>
      </c>
      <c r="AO418" s="115">
        <f t="shared" si="639"/>
        <v>3.5000000000000003E-2</v>
      </c>
      <c r="AP418" s="115">
        <f t="shared" si="639"/>
        <v>3.5000000000000003E-2</v>
      </c>
      <c r="AQ418" s="115">
        <f t="shared" si="639"/>
        <v>3.5000000000000003E-2</v>
      </c>
      <c r="AR418" s="115">
        <f t="shared" si="639"/>
        <v>3.5000000000000003E-2</v>
      </c>
      <c r="AS418" s="115">
        <f t="shared" si="639"/>
        <v>3.5000000000000003E-2</v>
      </c>
      <c r="AT418" s="115">
        <f t="shared" si="639"/>
        <v>3.5000000000000003E-2</v>
      </c>
      <c r="AU418" s="115">
        <f t="shared" si="639"/>
        <v>3.5000000000000003E-2</v>
      </c>
      <c r="AV418" s="115">
        <f t="shared" si="639"/>
        <v>3.5000000000000003E-2</v>
      </c>
      <c r="AW418" s="115">
        <f t="shared" si="639"/>
        <v>0</v>
      </c>
      <c r="AX418" s="115">
        <f t="shared" si="639"/>
        <v>0</v>
      </c>
      <c r="AY418" s="115">
        <f t="shared" si="639"/>
        <v>0</v>
      </c>
      <c r="AZ418" s="115">
        <f t="shared" si="639"/>
        <v>0</v>
      </c>
      <c r="BA418" s="115">
        <f t="shared" si="639"/>
        <v>0</v>
      </c>
      <c r="BB418" s="115">
        <f t="shared" si="639"/>
        <v>0</v>
      </c>
      <c r="BC418" s="115">
        <f t="shared" si="639"/>
        <v>0</v>
      </c>
      <c r="BD418" s="115">
        <f t="shared" si="639"/>
        <v>0</v>
      </c>
      <c r="BE418" s="115">
        <f t="shared" si="639"/>
        <v>0</v>
      </c>
      <c r="BF418" s="115">
        <f t="shared" si="639"/>
        <v>0</v>
      </c>
      <c r="BG418" s="115">
        <f t="shared" si="639"/>
        <v>0</v>
      </c>
      <c r="BH418" s="115">
        <f t="shared" si="639"/>
        <v>0</v>
      </c>
      <c r="BI418" s="115">
        <f t="shared" si="639"/>
        <v>0</v>
      </c>
      <c r="BJ418" s="115">
        <f t="shared" si="639"/>
        <v>0</v>
      </c>
      <c r="BK418" s="115">
        <f t="shared" si="639"/>
        <v>0</v>
      </c>
      <c r="BL418" s="115">
        <f t="shared" si="639"/>
        <v>0</v>
      </c>
      <c r="BM418" s="115">
        <f t="shared" si="639"/>
        <v>0</v>
      </c>
      <c r="BN418" s="115">
        <f t="shared" si="639"/>
        <v>0</v>
      </c>
      <c r="BO418" s="115">
        <f t="shared" si="639"/>
        <v>0</v>
      </c>
      <c r="BP418" s="115">
        <f t="shared" si="639"/>
        <v>0</v>
      </c>
      <c r="BQ418" s="115">
        <f t="shared" ref="BQ418:CV418" si="640" xml:space="preserve"> BQ$332</f>
        <v>0</v>
      </c>
      <c r="BR418" s="115">
        <f t="shared" si="640"/>
        <v>0</v>
      </c>
      <c r="BS418" s="115">
        <f t="shared" si="640"/>
        <v>0</v>
      </c>
      <c r="BT418" s="115">
        <f t="shared" si="640"/>
        <v>0</v>
      </c>
      <c r="BU418" s="115">
        <f t="shared" si="640"/>
        <v>0</v>
      </c>
      <c r="BV418" s="115">
        <f t="shared" si="640"/>
        <v>0</v>
      </c>
      <c r="BW418" s="115">
        <f t="shared" si="640"/>
        <v>0</v>
      </c>
      <c r="BX418" s="115">
        <f t="shared" si="640"/>
        <v>0</v>
      </c>
      <c r="BY418" s="115">
        <f t="shared" si="640"/>
        <v>0</v>
      </c>
      <c r="BZ418" s="115">
        <f t="shared" si="640"/>
        <v>0</v>
      </c>
      <c r="CA418" s="115">
        <f t="shared" si="640"/>
        <v>0</v>
      </c>
      <c r="CB418" s="115">
        <f t="shared" si="640"/>
        <v>0</v>
      </c>
      <c r="CC418" s="115">
        <f t="shared" si="640"/>
        <v>0</v>
      </c>
      <c r="CD418" s="115">
        <f t="shared" si="640"/>
        <v>0</v>
      </c>
      <c r="CE418" s="115">
        <f t="shared" si="640"/>
        <v>0</v>
      </c>
      <c r="CF418" s="115">
        <f t="shared" si="640"/>
        <v>0</v>
      </c>
      <c r="CG418" s="115">
        <f t="shared" si="640"/>
        <v>0</v>
      </c>
      <c r="CH418" s="115">
        <f t="shared" si="640"/>
        <v>0</v>
      </c>
      <c r="CI418" s="115">
        <f t="shared" si="640"/>
        <v>0</v>
      </c>
      <c r="CJ418" s="115">
        <f t="shared" si="640"/>
        <v>0</v>
      </c>
      <c r="CK418" s="115">
        <f t="shared" si="640"/>
        <v>0</v>
      </c>
      <c r="CL418" s="115">
        <f t="shared" si="640"/>
        <v>0</v>
      </c>
      <c r="CM418" s="115">
        <f t="shared" si="640"/>
        <v>0</v>
      </c>
      <c r="CN418" s="115">
        <f t="shared" si="640"/>
        <v>0</v>
      </c>
      <c r="CO418" s="115">
        <f t="shared" si="640"/>
        <v>0</v>
      </c>
      <c r="CP418" s="115">
        <f t="shared" si="640"/>
        <v>0</v>
      </c>
      <c r="CQ418" s="115">
        <f t="shared" si="640"/>
        <v>0</v>
      </c>
      <c r="CR418" s="115">
        <f t="shared" si="640"/>
        <v>0</v>
      </c>
      <c r="CS418" s="115">
        <f t="shared" si="640"/>
        <v>0</v>
      </c>
      <c r="CT418" s="115">
        <f t="shared" si="640"/>
        <v>0</v>
      </c>
      <c r="CU418" s="115">
        <f t="shared" si="640"/>
        <v>0</v>
      </c>
      <c r="CV418" s="115">
        <f t="shared" si="640"/>
        <v>0</v>
      </c>
    </row>
    <row r="419" spans="1:100" ht="12.75" outlineLevel="2" x14ac:dyDescent="0.2">
      <c r="A419" s="522"/>
      <c r="B419" s="522"/>
      <c r="C419" s="523"/>
      <c r="D419" s="524"/>
      <c r="E419" s="450" t="str">
        <f xml:space="preserve"> InpS!E$13</f>
        <v>Active debt forward curve</v>
      </c>
      <c r="F419" s="450">
        <f xml:space="preserve"> InpS!F$13</f>
        <v>0</v>
      </c>
      <c r="G419" s="450" t="str">
        <f xml:space="preserve"> InpS!G$13</f>
        <v>% p.a.</v>
      </c>
      <c r="H419" s="450">
        <f xml:space="preserve"> InpS!H$13</f>
        <v>0</v>
      </c>
      <c r="I419" s="450">
        <f xml:space="preserve"> InpS!I$13</f>
        <v>0</v>
      </c>
      <c r="J419" s="450">
        <f xml:space="preserve"> InpS!J$13</f>
        <v>2.0062E-2</v>
      </c>
      <c r="K419" s="450">
        <f xml:space="preserve"> InpS!K$13</f>
        <v>2.0124E-2</v>
      </c>
      <c r="L419" s="450">
        <f xml:space="preserve"> InpS!L$13</f>
        <v>2.0184000000000001E-2</v>
      </c>
      <c r="M419" s="450">
        <f xml:space="preserve"> InpS!M$13</f>
        <v>2.0241000000000002E-2</v>
      </c>
      <c r="N419" s="450">
        <f xml:space="preserve"> InpS!N$13</f>
        <v>2.0308000000000003E-2</v>
      </c>
      <c r="O419" s="450">
        <f xml:space="preserve"> InpS!O$13</f>
        <v>2.0375000000000004E-2</v>
      </c>
      <c r="P419" s="450">
        <f xml:space="preserve"> InpS!P$13</f>
        <v>2.0434000000000004E-2</v>
      </c>
      <c r="Q419" s="450">
        <f xml:space="preserve"> InpS!Q$13</f>
        <v>2.0506000000000003E-2</v>
      </c>
      <c r="R419" s="450">
        <f xml:space="preserve"> InpS!R$13</f>
        <v>2.0569000000000004E-2</v>
      </c>
      <c r="S419" s="450">
        <f xml:space="preserve"> InpS!S$13</f>
        <v>2.0620000000000003E-2</v>
      </c>
      <c r="T419" s="450">
        <f xml:space="preserve"> InpS!T$13</f>
        <v>2.0666000000000004E-2</v>
      </c>
      <c r="U419" s="450">
        <f xml:space="preserve"> InpS!U$13</f>
        <v>2.0719000000000005E-2</v>
      </c>
      <c r="V419" s="450">
        <f xml:space="preserve"> InpS!V$13</f>
        <v>2.0757000000000005E-2</v>
      </c>
      <c r="W419" s="450">
        <f xml:space="preserve"> InpS!W$13</f>
        <v>2.0795000000000004E-2</v>
      </c>
      <c r="X419" s="450">
        <f xml:space="preserve"> InpS!X$13</f>
        <v>2.0850000000000004E-2</v>
      </c>
      <c r="Y419" s="450">
        <f xml:space="preserve"> InpS!Y$13</f>
        <v>2.0888000000000004E-2</v>
      </c>
      <c r="Z419" s="450">
        <f xml:space="preserve"> InpS!Z$13</f>
        <v>2.0954000000000004E-2</v>
      </c>
      <c r="AA419" s="450">
        <f xml:space="preserve"> InpS!AA$13</f>
        <v>2.1024000000000004E-2</v>
      </c>
      <c r="AB419" s="450">
        <f xml:space="preserve"> InpS!AB$13</f>
        <v>2.1091000000000006E-2</v>
      </c>
      <c r="AC419" s="450">
        <f xml:space="preserve"> InpS!AC$13</f>
        <v>2.1134000000000007E-2</v>
      </c>
      <c r="AD419" s="450">
        <f xml:space="preserve"> InpS!AD$13</f>
        <v>2.1205000000000009E-2</v>
      </c>
      <c r="AE419" s="450">
        <f xml:space="preserve"> InpS!AE$13</f>
        <v>2.127900000000001E-2</v>
      </c>
      <c r="AF419" s="450">
        <f xml:space="preserve"> InpS!AF$13</f>
        <v>2.1316000000000009E-2</v>
      </c>
      <c r="AG419" s="450">
        <f xml:space="preserve"> InpS!AG$13</f>
        <v>2.1367000000000008E-2</v>
      </c>
      <c r="AH419" s="450">
        <f xml:space="preserve"> InpS!AH$13</f>
        <v>2.1421000000000006E-2</v>
      </c>
      <c r="AI419" s="450">
        <f xml:space="preserve"> InpS!AI$13</f>
        <v>2.1470000000000006E-2</v>
      </c>
      <c r="AJ419" s="450">
        <f xml:space="preserve"> InpS!AJ$13</f>
        <v>2.1516000000000007E-2</v>
      </c>
      <c r="AK419" s="450">
        <f xml:space="preserve"> InpS!AK$13</f>
        <v>2.1570000000000006E-2</v>
      </c>
      <c r="AL419" s="450">
        <f xml:space="preserve"> InpS!AL$13</f>
        <v>2.1639000000000005E-2</v>
      </c>
      <c r="AM419" s="450">
        <f xml:space="preserve"> InpS!AM$13</f>
        <v>2.1709000000000006E-2</v>
      </c>
      <c r="AN419" s="450">
        <f xml:space="preserve"> InpS!AN$13</f>
        <v>2.1772000000000007E-2</v>
      </c>
      <c r="AO419" s="450">
        <f xml:space="preserve"> InpS!AO$13</f>
        <v>2.1813000000000006E-2</v>
      </c>
      <c r="AP419" s="450">
        <f xml:space="preserve"> InpS!AP$13</f>
        <v>2.1858000000000006E-2</v>
      </c>
      <c r="AQ419" s="450">
        <f xml:space="preserve"> InpS!AQ$13</f>
        <v>2.1913000000000005E-2</v>
      </c>
      <c r="AR419" s="450">
        <f xml:space="preserve"> InpS!AR$13</f>
        <v>2.1986000000000006E-2</v>
      </c>
      <c r="AS419" s="450">
        <f xml:space="preserve"> InpS!AS$13</f>
        <v>2.2041000000000005E-2</v>
      </c>
      <c r="AT419" s="450">
        <f xml:space="preserve"> InpS!AT$13</f>
        <v>2.2089000000000004E-2</v>
      </c>
      <c r="AU419" s="450">
        <f xml:space="preserve"> InpS!AU$13</f>
        <v>2.2148000000000004E-2</v>
      </c>
      <c r="AV419" s="450">
        <f xml:space="preserve"> InpS!AV$13</f>
        <v>2.2216000000000003E-2</v>
      </c>
      <c r="AW419" s="450">
        <f xml:space="preserve"> InpS!AW$13</f>
        <v>2.2282000000000003E-2</v>
      </c>
      <c r="AX419" s="450">
        <f xml:space="preserve"> InpS!AX$13</f>
        <v>2.2351000000000003E-2</v>
      </c>
      <c r="AY419" s="450">
        <f xml:space="preserve"> InpS!AY$13</f>
        <v>2.2409000000000002E-2</v>
      </c>
      <c r="AZ419" s="450">
        <f xml:space="preserve"> InpS!AZ$13</f>
        <v>2.2445000000000003E-2</v>
      </c>
      <c r="BA419" s="450">
        <f xml:space="preserve"> InpS!BA$13</f>
        <v>2.2489000000000002E-2</v>
      </c>
      <c r="BB419" s="450">
        <f xml:space="preserve"> InpS!BB$13</f>
        <v>2.2535000000000003E-2</v>
      </c>
      <c r="BC419" s="450">
        <f xml:space="preserve"> InpS!BC$13</f>
        <v>2.2607000000000002E-2</v>
      </c>
      <c r="BD419" s="450">
        <f xml:space="preserve"> InpS!BD$13</f>
        <v>2.2647E-2</v>
      </c>
      <c r="BE419" s="450">
        <f xml:space="preserve"> InpS!BE$13</f>
        <v>2.2683999999999999E-2</v>
      </c>
      <c r="BF419" s="450">
        <f xml:space="preserve"> InpS!BF$13</f>
        <v>2.2734000000000001E-2</v>
      </c>
      <c r="BG419" s="450">
        <f xml:space="preserve"> InpS!BG$13</f>
        <v>2.2806E-2</v>
      </c>
      <c r="BH419" s="450">
        <f xml:space="preserve"> InpS!BH$13</f>
        <v>2.2852000000000001E-2</v>
      </c>
      <c r="BI419" s="450">
        <f xml:space="preserve"> InpS!BI$13</f>
        <v>2.2898999999999999E-2</v>
      </c>
      <c r="BJ419" s="450">
        <f xml:space="preserve"> InpS!BJ$13</f>
        <v>2.2952999999999998E-2</v>
      </c>
      <c r="BK419" s="450">
        <f xml:space="preserve"> InpS!BK$13</f>
        <v>2.3027999999999996E-2</v>
      </c>
      <c r="BL419" s="450">
        <f xml:space="preserve"> InpS!BL$13</f>
        <v>2.3093999999999996E-2</v>
      </c>
      <c r="BM419" s="450">
        <f xml:space="preserve"> InpS!BM$13</f>
        <v>2.3145999999999996E-2</v>
      </c>
      <c r="BN419" s="450">
        <f xml:space="preserve"> InpS!BN$13</f>
        <v>2.3211999999999997E-2</v>
      </c>
      <c r="BO419" s="450">
        <f xml:space="preserve"> InpS!BO$13</f>
        <v>2.3253999999999997E-2</v>
      </c>
      <c r="BP419" s="450">
        <f xml:space="preserve"> InpS!BP$13</f>
        <v>2.3288999999999997E-2</v>
      </c>
      <c r="BQ419" s="450">
        <f xml:space="preserve"> InpS!BQ$13</f>
        <v>2.3333999999999997E-2</v>
      </c>
      <c r="BR419" s="450">
        <f xml:space="preserve"> InpS!BR$13</f>
        <v>2.3372999999999998E-2</v>
      </c>
      <c r="BS419" s="450">
        <f xml:space="preserve"> InpS!BS$13</f>
        <v>2.3413999999999997E-2</v>
      </c>
      <c r="BT419" s="450">
        <f xml:space="preserve"> InpS!BT$13</f>
        <v>2.3472999999999997E-2</v>
      </c>
      <c r="BU419" s="450">
        <f xml:space="preserve"> InpS!BU$13</f>
        <v>2.3519999999999996E-2</v>
      </c>
      <c r="BV419" s="450">
        <f xml:space="preserve"> InpS!BV$13</f>
        <v>2.3592999999999996E-2</v>
      </c>
      <c r="BW419" s="450">
        <f xml:space="preserve"> InpS!BW$13</f>
        <v>2.3660999999999995E-2</v>
      </c>
      <c r="BX419" s="450">
        <f xml:space="preserve"> InpS!BX$13</f>
        <v>2.3728999999999993E-2</v>
      </c>
      <c r="BY419" s="450">
        <f xml:space="preserve"> InpS!BY$13</f>
        <v>2.3785999999999995E-2</v>
      </c>
      <c r="BZ419" s="450">
        <f xml:space="preserve"> InpS!BZ$13</f>
        <v>2.3841999999999995E-2</v>
      </c>
      <c r="CA419" s="450">
        <f xml:space="preserve"> InpS!CA$13</f>
        <v>2.3907999999999995E-2</v>
      </c>
      <c r="CB419" s="450">
        <f xml:space="preserve"> InpS!CB$13</f>
        <v>2.3961999999999994E-2</v>
      </c>
      <c r="CC419" s="450">
        <f xml:space="preserve"> InpS!CC$13</f>
        <v>2.4011999999999995E-2</v>
      </c>
      <c r="CD419" s="450">
        <f xml:space="preserve"> InpS!CD$13</f>
        <v>2.4070999999999995E-2</v>
      </c>
      <c r="CE419" s="450">
        <f xml:space="preserve"> InpS!CE$13</f>
        <v>2.4119999999999996E-2</v>
      </c>
      <c r="CF419" s="450">
        <f xml:space="preserve"> InpS!CF$13</f>
        <v>2.4166999999999994E-2</v>
      </c>
      <c r="CG419" s="450">
        <f xml:space="preserve"> InpS!CG$13</f>
        <v>2.4215999999999994E-2</v>
      </c>
      <c r="CH419" s="450">
        <f xml:space="preserve"> InpS!CH$13</f>
        <v>2.4263999999999994E-2</v>
      </c>
      <c r="CI419" s="450">
        <f xml:space="preserve"> InpS!CI$13</f>
        <v>2.4301999999999994E-2</v>
      </c>
      <c r="CJ419" s="450">
        <f xml:space="preserve"> InpS!CJ$13</f>
        <v>2.4365999999999995E-2</v>
      </c>
      <c r="CK419" s="450">
        <f xml:space="preserve"> InpS!CK$13</f>
        <v>2.4408999999999997E-2</v>
      </c>
      <c r="CL419" s="450">
        <f xml:space="preserve"> InpS!CL$13</f>
        <v>2.4462999999999995E-2</v>
      </c>
      <c r="CM419" s="450">
        <f xml:space="preserve"> InpS!CM$13</f>
        <v>2.4530999999999994E-2</v>
      </c>
      <c r="CN419" s="450">
        <f xml:space="preserve"> InpS!CN$13</f>
        <v>2.4586999999999994E-2</v>
      </c>
      <c r="CO419" s="450">
        <f xml:space="preserve"> InpS!CO$13</f>
        <v>2.4622999999999996E-2</v>
      </c>
      <c r="CP419" s="450">
        <f xml:space="preserve"> InpS!CP$13</f>
        <v>2.4688999999999996E-2</v>
      </c>
      <c r="CQ419" s="450">
        <f xml:space="preserve"> InpS!CQ$13</f>
        <v>2.4738999999999997E-2</v>
      </c>
      <c r="CR419" s="450">
        <f xml:space="preserve"> InpS!CR$13</f>
        <v>2.4789999999999996E-2</v>
      </c>
      <c r="CS419" s="450">
        <f xml:space="preserve"> InpS!CS$13</f>
        <v>2.4834999999999996E-2</v>
      </c>
      <c r="CT419" s="450">
        <f xml:space="preserve"> InpS!CT$13</f>
        <v>2.4872999999999996E-2</v>
      </c>
      <c r="CU419" s="450">
        <f xml:space="preserve"> InpS!CU$13</f>
        <v>2.4930999999999995E-2</v>
      </c>
      <c r="CV419" s="450">
        <f xml:space="preserve"> InpS!CV$13</f>
        <v>2.4983999999999996E-2</v>
      </c>
    </row>
    <row r="420" spans="1:100" ht="12.75" outlineLevel="2" x14ac:dyDescent="0.2">
      <c r="A420" s="700"/>
      <c r="B420" s="700"/>
      <c r="C420" s="701"/>
      <c r="D420" s="702"/>
      <c r="E420" s="704" t="s">
        <v>1067</v>
      </c>
      <c r="F420" s="704"/>
      <c r="G420" s="704" t="s">
        <v>116</v>
      </c>
      <c r="H420" s="704"/>
      <c r="I420" s="704"/>
      <c r="J420" s="704">
        <f t="shared" ref="J420:AO420" si="641" xml:space="preserve"> J419 + J418 + $F417</f>
        <v>2.0062E-2</v>
      </c>
      <c r="K420" s="704">
        <f t="shared" si="641"/>
        <v>2.0124E-2</v>
      </c>
      <c r="L420" s="704">
        <f t="shared" si="641"/>
        <v>2.0184000000000001E-2</v>
      </c>
      <c r="M420" s="704">
        <f t="shared" si="641"/>
        <v>2.0241000000000002E-2</v>
      </c>
      <c r="N420" s="704">
        <f t="shared" si="641"/>
        <v>2.0308000000000003E-2</v>
      </c>
      <c r="O420" s="704">
        <f t="shared" si="641"/>
        <v>5.0375000000000003E-2</v>
      </c>
      <c r="P420" s="704">
        <f t="shared" si="641"/>
        <v>5.0434000000000007E-2</v>
      </c>
      <c r="Q420" s="704">
        <f t="shared" si="641"/>
        <v>5.0506000000000002E-2</v>
      </c>
      <c r="R420" s="704">
        <f t="shared" si="641"/>
        <v>5.0569000000000003E-2</v>
      </c>
      <c r="S420" s="704">
        <f t="shared" si="641"/>
        <v>5.0619999999999998E-2</v>
      </c>
      <c r="T420" s="704">
        <f t="shared" si="641"/>
        <v>5.0666000000000003E-2</v>
      </c>
      <c r="U420" s="704">
        <f t="shared" si="641"/>
        <v>5.0719E-2</v>
      </c>
      <c r="V420" s="704">
        <f t="shared" si="641"/>
        <v>5.0757000000000004E-2</v>
      </c>
      <c r="W420" s="704">
        <f t="shared" si="641"/>
        <v>5.0795000000000007E-2</v>
      </c>
      <c r="X420" s="704">
        <f t="shared" si="641"/>
        <v>5.0850000000000006E-2</v>
      </c>
      <c r="Y420" s="704">
        <f t="shared" si="641"/>
        <v>5.2888000000000004E-2</v>
      </c>
      <c r="Z420" s="704">
        <f t="shared" si="641"/>
        <v>5.2954000000000001E-2</v>
      </c>
      <c r="AA420" s="704">
        <f t="shared" si="641"/>
        <v>5.3024000000000002E-2</v>
      </c>
      <c r="AB420" s="704">
        <f t="shared" si="641"/>
        <v>5.3091000000000006E-2</v>
      </c>
      <c r="AC420" s="704">
        <f t="shared" si="641"/>
        <v>5.3134000000000008E-2</v>
      </c>
      <c r="AD420" s="704">
        <f t="shared" si="641"/>
        <v>5.3205000000000009E-2</v>
      </c>
      <c r="AE420" s="704">
        <f t="shared" si="641"/>
        <v>5.3279000000000007E-2</v>
      </c>
      <c r="AF420" s="704">
        <f t="shared" si="641"/>
        <v>5.3316000000000009E-2</v>
      </c>
      <c r="AG420" s="704">
        <f t="shared" si="641"/>
        <v>5.3367000000000012E-2</v>
      </c>
      <c r="AH420" s="704">
        <f t="shared" si="641"/>
        <v>5.342100000000001E-2</v>
      </c>
      <c r="AI420" s="704">
        <f t="shared" si="641"/>
        <v>5.6470000000000006E-2</v>
      </c>
      <c r="AJ420" s="704">
        <f t="shared" si="641"/>
        <v>5.6516000000000011E-2</v>
      </c>
      <c r="AK420" s="704">
        <f t="shared" si="641"/>
        <v>5.6570000000000009E-2</v>
      </c>
      <c r="AL420" s="704">
        <f t="shared" si="641"/>
        <v>5.6639000000000009E-2</v>
      </c>
      <c r="AM420" s="704">
        <f t="shared" si="641"/>
        <v>5.6709000000000009E-2</v>
      </c>
      <c r="AN420" s="704">
        <f t="shared" si="641"/>
        <v>5.677200000000001E-2</v>
      </c>
      <c r="AO420" s="704">
        <f t="shared" si="641"/>
        <v>5.6813000000000009E-2</v>
      </c>
      <c r="AP420" s="704">
        <f t="shared" ref="AP420:BU420" si="642" xml:space="preserve"> AP419 + AP418 + $F417</f>
        <v>5.6858000000000006E-2</v>
      </c>
      <c r="AQ420" s="704">
        <f t="shared" si="642"/>
        <v>5.6913000000000005E-2</v>
      </c>
      <c r="AR420" s="704">
        <f t="shared" si="642"/>
        <v>5.6986000000000009E-2</v>
      </c>
      <c r="AS420" s="704">
        <f t="shared" si="642"/>
        <v>5.7041000000000008E-2</v>
      </c>
      <c r="AT420" s="704">
        <f t="shared" si="642"/>
        <v>5.7089000000000008E-2</v>
      </c>
      <c r="AU420" s="704">
        <f t="shared" si="642"/>
        <v>5.7148000000000004E-2</v>
      </c>
      <c r="AV420" s="704">
        <f t="shared" si="642"/>
        <v>5.7216000000000003E-2</v>
      </c>
      <c r="AW420" s="704">
        <f t="shared" si="642"/>
        <v>2.2282000000000003E-2</v>
      </c>
      <c r="AX420" s="704">
        <f t="shared" si="642"/>
        <v>2.2351000000000003E-2</v>
      </c>
      <c r="AY420" s="704">
        <f t="shared" si="642"/>
        <v>2.2409000000000002E-2</v>
      </c>
      <c r="AZ420" s="704">
        <f t="shared" si="642"/>
        <v>2.2445000000000003E-2</v>
      </c>
      <c r="BA420" s="704">
        <f t="shared" si="642"/>
        <v>2.2489000000000002E-2</v>
      </c>
      <c r="BB420" s="704">
        <f t="shared" si="642"/>
        <v>2.2535000000000003E-2</v>
      </c>
      <c r="BC420" s="704">
        <f t="shared" si="642"/>
        <v>2.2607000000000002E-2</v>
      </c>
      <c r="BD420" s="704">
        <f t="shared" si="642"/>
        <v>2.2647E-2</v>
      </c>
      <c r="BE420" s="704">
        <f t="shared" si="642"/>
        <v>2.2683999999999999E-2</v>
      </c>
      <c r="BF420" s="704">
        <f t="shared" si="642"/>
        <v>2.2734000000000001E-2</v>
      </c>
      <c r="BG420" s="704">
        <f t="shared" si="642"/>
        <v>2.2806E-2</v>
      </c>
      <c r="BH420" s="704">
        <f t="shared" si="642"/>
        <v>2.2852000000000001E-2</v>
      </c>
      <c r="BI420" s="704">
        <f t="shared" si="642"/>
        <v>2.2898999999999999E-2</v>
      </c>
      <c r="BJ420" s="704">
        <f t="shared" si="642"/>
        <v>2.2952999999999998E-2</v>
      </c>
      <c r="BK420" s="704">
        <f t="shared" si="642"/>
        <v>2.3027999999999996E-2</v>
      </c>
      <c r="BL420" s="704">
        <f t="shared" si="642"/>
        <v>2.3093999999999996E-2</v>
      </c>
      <c r="BM420" s="704">
        <f t="shared" si="642"/>
        <v>2.3145999999999996E-2</v>
      </c>
      <c r="BN420" s="704">
        <f t="shared" si="642"/>
        <v>2.3211999999999997E-2</v>
      </c>
      <c r="BO420" s="704">
        <f t="shared" si="642"/>
        <v>2.3253999999999997E-2</v>
      </c>
      <c r="BP420" s="704">
        <f t="shared" si="642"/>
        <v>2.3288999999999997E-2</v>
      </c>
      <c r="BQ420" s="704">
        <f t="shared" si="642"/>
        <v>2.3333999999999997E-2</v>
      </c>
      <c r="BR420" s="704">
        <f t="shared" si="642"/>
        <v>2.3372999999999998E-2</v>
      </c>
      <c r="BS420" s="704">
        <f t="shared" si="642"/>
        <v>2.3413999999999997E-2</v>
      </c>
      <c r="BT420" s="704">
        <f t="shared" si="642"/>
        <v>2.3472999999999997E-2</v>
      </c>
      <c r="BU420" s="704">
        <f t="shared" si="642"/>
        <v>2.3519999999999996E-2</v>
      </c>
      <c r="BV420" s="704">
        <f t="shared" ref="BV420:CV420" si="643" xml:space="preserve"> BV419 + BV418 + $F417</f>
        <v>2.3592999999999996E-2</v>
      </c>
      <c r="BW420" s="704">
        <f t="shared" si="643"/>
        <v>2.3660999999999995E-2</v>
      </c>
      <c r="BX420" s="704">
        <f t="shared" si="643"/>
        <v>2.3728999999999993E-2</v>
      </c>
      <c r="BY420" s="704">
        <f t="shared" si="643"/>
        <v>2.3785999999999995E-2</v>
      </c>
      <c r="BZ420" s="704">
        <f t="shared" si="643"/>
        <v>2.3841999999999995E-2</v>
      </c>
      <c r="CA420" s="704">
        <f t="shared" si="643"/>
        <v>2.3907999999999995E-2</v>
      </c>
      <c r="CB420" s="704">
        <f t="shared" si="643"/>
        <v>2.3961999999999994E-2</v>
      </c>
      <c r="CC420" s="704">
        <f t="shared" si="643"/>
        <v>2.4011999999999995E-2</v>
      </c>
      <c r="CD420" s="704">
        <f t="shared" si="643"/>
        <v>2.4070999999999995E-2</v>
      </c>
      <c r="CE420" s="704">
        <f t="shared" si="643"/>
        <v>2.4119999999999996E-2</v>
      </c>
      <c r="CF420" s="704">
        <f t="shared" si="643"/>
        <v>2.4166999999999994E-2</v>
      </c>
      <c r="CG420" s="704">
        <f t="shared" si="643"/>
        <v>2.4215999999999994E-2</v>
      </c>
      <c r="CH420" s="704">
        <f t="shared" si="643"/>
        <v>2.4263999999999994E-2</v>
      </c>
      <c r="CI420" s="704">
        <f t="shared" si="643"/>
        <v>2.4301999999999994E-2</v>
      </c>
      <c r="CJ420" s="704">
        <f t="shared" si="643"/>
        <v>2.4365999999999995E-2</v>
      </c>
      <c r="CK420" s="704">
        <f t="shared" si="643"/>
        <v>2.4408999999999997E-2</v>
      </c>
      <c r="CL420" s="704">
        <f t="shared" si="643"/>
        <v>2.4462999999999995E-2</v>
      </c>
      <c r="CM420" s="704">
        <f t="shared" si="643"/>
        <v>2.4530999999999994E-2</v>
      </c>
      <c r="CN420" s="704">
        <f t="shared" si="643"/>
        <v>2.4586999999999994E-2</v>
      </c>
      <c r="CO420" s="704">
        <f t="shared" si="643"/>
        <v>2.4622999999999996E-2</v>
      </c>
      <c r="CP420" s="704">
        <f t="shared" si="643"/>
        <v>2.4688999999999996E-2</v>
      </c>
      <c r="CQ420" s="704">
        <f t="shared" si="643"/>
        <v>2.4738999999999997E-2</v>
      </c>
      <c r="CR420" s="704">
        <f t="shared" si="643"/>
        <v>2.4789999999999996E-2</v>
      </c>
      <c r="CS420" s="704">
        <f t="shared" si="643"/>
        <v>2.4834999999999996E-2</v>
      </c>
      <c r="CT420" s="704">
        <f t="shared" si="643"/>
        <v>2.4872999999999996E-2</v>
      </c>
      <c r="CU420" s="704">
        <f t="shared" si="643"/>
        <v>2.4930999999999995E-2</v>
      </c>
      <c r="CV420" s="704">
        <f t="shared" si="643"/>
        <v>2.4983999999999996E-2</v>
      </c>
    </row>
    <row r="421" spans="1:100" ht="12.75" outlineLevel="2" x14ac:dyDescent="0.2">
      <c r="A421" s="522"/>
      <c r="B421" s="522"/>
      <c r="C421" s="523"/>
      <c r="D421" s="524"/>
      <c r="E421" s="525"/>
      <c r="F421" s="525"/>
      <c r="G421" s="525"/>
      <c r="H421" s="525"/>
      <c r="I421" s="526"/>
      <c r="J421" s="525"/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</row>
    <row r="422" spans="1:100" ht="12.75" outlineLevel="2" x14ac:dyDescent="0.2">
      <c r="A422" s="522"/>
      <c r="B422" s="522"/>
      <c r="C422" s="523"/>
      <c r="D422" s="524"/>
      <c r="E422" s="699" t="str">
        <f xml:space="preserve"> InpC!E$347</f>
        <v>Standby debt - T2 day count convention</v>
      </c>
      <c r="F422" s="699">
        <f xml:space="preserve"> InpC!F$347</f>
        <v>360</v>
      </c>
      <c r="G422" s="699" t="str">
        <f xml:space="preserve"> InpC!G$347</f>
        <v>days</v>
      </c>
      <c r="H422" s="663"/>
      <c r="I422" s="526"/>
      <c r="J422" s="525"/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</row>
    <row r="423" spans="1:100" ht="12.75" outlineLevel="2" x14ac:dyDescent="0.2">
      <c r="A423" s="522"/>
      <c r="B423" s="522"/>
      <c r="C423" s="523"/>
      <c r="D423" s="524"/>
      <c r="E423" s="695" t="str">
        <f xml:space="preserve"> Time!E$246</f>
        <v>Days in period</v>
      </c>
      <c r="F423" s="695">
        <f xml:space="preserve"> Time!F$246</f>
        <v>0</v>
      </c>
      <c r="G423" s="695" t="str">
        <f xml:space="preserve"> Time!G$246</f>
        <v>days</v>
      </c>
      <c r="H423" s="695">
        <f xml:space="preserve"> Time!H$246</f>
        <v>0</v>
      </c>
      <c r="I423" s="695">
        <f xml:space="preserve"> Time!I$246</f>
        <v>0</v>
      </c>
      <c r="J423" s="695">
        <f xml:space="preserve"> Time!J$246</f>
        <v>181</v>
      </c>
      <c r="K423" s="695">
        <f xml:space="preserve"> Time!K$246</f>
        <v>184</v>
      </c>
      <c r="L423" s="695">
        <f xml:space="preserve"> Time!L$246</f>
        <v>181</v>
      </c>
      <c r="M423" s="695">
        <f xml:space="preserve"> Time!M$246</f>
        <v>184</v>
      </c>
      <c r="N423" s="695">
        <f xml:space="preserve"> Time!N$246</f>
        <v>182</v>
      </c>
      <c r="O423" s="695">
        <f xml:space="preserve"> Time!O$246</f>
        <v>184</v>
      </c>
      <c r="P423" s="695">
        <f xml:space="preserve"> Time!P$246</f>
        <v>181</v>
      </c>
      <c r="Q423" s="695">
        <f xml:space="preserve"> Time!Q$246</f>
        <v>184</v>
      </c>
      <c r="R423" s="695">
        <f xml:space="preserve"> Time!R$246</f>
        <v>181</v>
      </c>
      <c r="S423" s="695">
        <f xml:space="preserve"> Time!S$246</f>
        <v>184</v>
      </c>
      <c r="T423" s="695">
        <f xml:space="preserve"> Time!T$246</f>
        <v>181</v>
      </c>
      <c r="U423" s="695">
        <f xml:space="preserve"> Time!U$246</f>
        <v>184</v>
      </c>
      <c r="V423" s="695">
        <f xml:space="preserve"> Time!V$246</f>
        <v>182</v>
      </c>
      <c r="W423" s="695">
        <f xml:space="preserve"> Time!W$246</f>
        <v>184</v>
      </c>
      <c r="X423" s="695">
        <f xml:space="preserve"> Time!X$246</f>
        <v>181</v>
      </c>
      <c r="Y423" s="695">
        <f xml:space="preserve"> Time!Y$246</f>
        <v>184</v>
      </c>
      <c r="Z423" s="695">
        <f xml:space="preserve"> Time!Z$246</f>
        <v>181</v>
      </c>
      <c r="AA423" s="695">
        <f xml:space="preserve"> Time!AA$246</f>
        <v>184</v>
      </c>
      <c r="AB423" s="695">
        <f xml:space="preserve"> Time!AB$246</f>
        <v>181</v>
      </c>
      <c r="AC423" s="695">
        <f xml:space="preserve"> Time!AC$246</f>
        <v>184</v>
      </c>
      <c r="AD423" s="695">
        <f xml:space="preserve"> Time!AD$246</f>
        <v>182</v>
      </c>
      <c r="AE423" s="695">
        <f xml:space="preserve"> Time!AE$246</f>
        <v>184</v>
      </c>
      <c r="AF423" s="695">
        <f xml:space="preserve"> Time!AF$246</f>
        <v>181</v>
      </c>
      <c r="AG423" s="695">
        <f xml:space="preserve"> Time!AG$246</f>
        <v>184</v>
      </c>
      <c r="AH423" s="695">
        <f xml:space="preserve"> Time!AH$246</f>
        <v>181</v>
      </c>
      <c r="AI423" s="695">
        <f xml:space="preserve"> Time!AI$246</f>
        <v>184</v>
      </c>
      <c r="AJ423" s="695">
        <f xml:space="preserve"> Time!AJ$246</f>
        <v>181</v>
      </c>
      <c r="AK423" s="695">
        <f xml:space="preserve"> Time!AK$246</f>
        <v>184</v>
      </c>
      <c r="AL423" s="695">
        <f xml:space="preserve"> Time!AL$246</f>
        <v>182</v>
      </c>
      <c r="AM423" s="695">
        <f xml:space="preserve"> Time!AM$246</f>
        <v>184</v>
      </c>
      <c r="AN423" s="695">
        <f xml:space="preserve"> Time!AN$246</f>
        <v>181</v>
      </c>
      <c r="AO423" s="695">
        <f xml:space="preserve"> Time!AO$246</f>
        <v>184</v>
      </c>
      <c r="AP423" s="695">
        <f xml:space="preserve"> Time!AP$246</f>
        <v>181</v>
      </c>
      <c r="AQ423" s="695">
        <f xml:space="preserve"> Time!AQ$246</f>
        <v>184</v>
      </c>
      <c r="AR423" s="695">
        <f xml:space="preserve"> Time!AR$246</f>
        <v>181</v>
      </c>
      <c r="AS423" s="695">
        <f xml:space="preserve"> Time!AS$246</f>
        <v>184</v>
      </c>
      <c r="AT423" s="695">
        <f xml:space="preserve"> Time!AT$246</f>
        <v>182</v>
      </c>
      <c r="AU423" s="695">
        <f xml:space="preserve"> Time!AU$246</f>
        <v>184</v>
      </c>
      <c r="AV423" s="695">
        <f xml:space="preserve"> Time!AV$246</f>
        <v>181</v>
      </c>
      <c r="AW423" s="695">
        <f xml:space="preserve"> Time!AW$246</f>
        <v>184</v>
      </c>
      <c r="AX423" s="695">
        <f xml:space="preserve"> Time!AX$246</f>
        <v>181</v>
      </c>
      <c r="AY423" s="695">
        <f xml:space="preserve"> Time!AY$246</f>
        <v>184</v>
      </c>
      <c r="AZ423" s="695">
        <f xml:space="preserve"> Time!AZ$246</f>
        <v>181</v>
      </c>
      <c r="BA423" s="695">
        <f xml:space="preserve"> Time!BA$246</f>
        <v>184</v>
      </c>
      <c r="BB423" s="695">
        <f xml:space="preserve"> Time!BB$246</f>
        <v>182</v>
      </c>
      <c r="BC423" s="695">
        <f xml:space="preserve"> Time!BC$246</f>
        <v>184</v>
      </c>
      <c r="BD423" s="695">
        <f xml:space="preserve"> Time!BD$246</f>
        <v>181</v>
      </c>
      <c r="BE423" s="695">
        <f xml:space="preserve"> Time!BE$246</f>
        <v>184</v>
      </c>
      <c r="BF423" s="695">
        <f xml:space="preserve"> Time!BF$246</f>
        <v>181</v>
      </c>
      <c r="BG423" s="695">
        <f xml:space="preserve"> Time!BG$246</f>
        <v>184</v>
      </c>
      <c r="BH423" s="695">
        <f xml:space="preserve"> Time!BH$246</f>
        <v>181</v>
      </c>
      <c r="BI423" s="695">
        <f xml:space="preserve"> Time!BI$246</f>
        <v>184</v>
      </c>
      <c r="BJ423" s="695">
        <f xml:space="preserve"> Time!BJ$246</f>
        <v>182</v>
      </c>
      <c r="BK423" s="695">
        <f xml:space="preserve"> Time!BK$246</f>
        <v>184</v>
      </c>
      <c r="BL423" s="695">
        <f xml:space="preserve"> Time!BL$246</f>
        <v>181</v>
      </c>
      <c r="BM423" s="695">
        <f xml:space="preserve"> Time!BM$246</f>
        <v>184</v>
      </c>
      <c r="BN423" s="695">
        <f xml:space="preserve"> Time!BN$246</f>
        <v>181</v>
      </c>
      <c r="BO423" s="695">
        <f xml:space="preserve"> Time!BO$246</f>
        <v>184</v>
      </c>
      <c r="BP423" s="695">
        <f xml:space="preserve"> Time!BP$246</f>
        <v>181</v>
      </c>
      <c r="BQ423" s="695">
        <f xml:space="preserve"> Time!BQ$246</f>
        <v>184</v>
      </c>
      <c r="BR423" s="695">
        <f xml:space="preserve"> Time!BR$246</f>
        <v>182</v>
      </c>
      <c r="BS423" s="695">
        <f xml:space="preserve"> Time!BS$246</f>
        <v>184</v>
      </c>
      <c r="BT423" s="695">
        <f xml:space="preserve"> Time!BT$246</f>
        <v>181</v>
      </c>
      <c r="BU423" s="695">
        <f xml:space="preserve"> Time!BU$246</f>
        <v>184</v>
      </c>
      <c r="BV423" s="695">
        <f xml:space="preserve"> Time!BV$246</f>
        <v>181</v>
      </c>
      <c r="BW423" s="695">
        <f xml:space="preserve"> Time!BW$246</f>
        <v>184</v>
      </c>
      <c r="BX423" s="695">
        <f xml:space="preserve"> Time!BX$246</f>
        <v>181</v>
      </c>
      <c r="BY423" s="695">
        <f xml:space="preserve"> Time!BY$246</f>
        <v>184</v>
      </c>
      <c r="BZ423" s="695">
        <f xml:space="preserve"> Time!BZ$246</f>
        <v>182</v>
      </c>
      <c r="CA423" s="695">
        <f xml:space="preserve"> Time!CA$246</f>
        <v>184</v>
      </c>
      <c r="CB423" s="695">
        <f xml:space="preserve"> Time!CB$246</f>
        <v>181</v>
      </c>
      <c r="CC423" s="695">
        <f xml:space="preserve"> Time!CC$246</f>
        <v>184</v>
      </c>
      <c r="CD423" s="695">
        <f xml:space="preserve"> Time!CD$246</f>
        <v>181</v>
      </c>
      <c r="CE423" s="695">
        <f xml:space="preserve"> Time!CE$246</f>
        <v>184</v>
      </c>
      <c r="CF423" s="695">
        <f xml:space="preserve"> Time!CF$246</f>
        <v>181</v>
      </c>
      <c r="CG423" s="695">
        <f xml:space="preserve"> Time!CG$246</f>
        <v>184</v>
      </c>
      <c r="CH423" s="695">
        <f xml:space="preserve"> Time!CH$246</f>
        <v>182</v>
      </c>
      <c r="CI423" s="695">
        <f xml:space="preserve"> Time!CI$246</f>
        <v>184</v>
      </c>
      <c r="CJ423" s="695">
        <f xml:space="preserve"> Time!CJ$246</f>
        <v>181</v>
      </c>
      <c r="CK423" s="695">
        <f xml:space="preserve"> Time!CK$246</f>
        <v>184</v>
      </c>
      <c r="CL423" s="695">
        <f xml:space="preserve"> Time!CL$246</f>
        <v>181</v>
      </c>
      <c r="CM423" s="695">
        <f xml:space="preserve"> Time!CM$246</f>
        <v>184</v>
      </c>
      <c r="CN423" s="695">
        <f xml:space="preserve"> Time!CN$246</f>
        <v>181</v>
      </c>
      <c r="CO423" s="695">
        <f xml:space="preserve"> Time!CO$246</f>
        <v>184</v>
      </c>
      <c r="CP423" s="695">
        <f xml:space="preserve"> Time!CP$246</f>
        <v>182</v>
      </c>
      <c r="CQ423" s="695">
        <f xml:space="preserve"> Time!CQ$246</f>
        <v>184</v>
      </c>
      <c r="CR423" s="695">
        <f xml:space="preserve"> Time!CR$246</f>
        <v>181</v>
      </c>
      <c r="CS423" s="695">
        <f xml:space="preserve"> Time!CS$246</f>
        <v>184</v>
      </c>
      <c r="CT423" s="695">
        <f xml:space="preserve"> Time!CT$246</f>
        <v>181</v>
      </c>
      <c r="CU423" s="695">
        <f xml:space="preserve"> Time!CU$246</f>
        <v>184</v>
      </c>
      <c r="CV423" s="695">
        <f xml:space="preserve"> Time!CV$246</f>
        <v>181</v>
      </c>
    </row>
    <row r="424" spans="1:100" ht="12.75" outlineLevel="2" x14ac:dyDescent="0.2">
      <c r="A424" s="522"/>
      <c r="B424" s="522"/>
      <c r="C424" s="523"/>
      <c r="D424" s="524"/>
      <c r="E424" s="681" t="str">
        <f t="shared" ref="E424:AJ424" si="644" xml:space="preserve"> E$420</f>
        <v>All in annual Standby debt interest rate applicable in period - T2</v>
      </c>
      <c r="F424" s="681">
        <f t="shared" si="644"/>
        <v>0</v>
      </c>
      <c r="G424" s="681" t="str">
        <f t="shared" si="644"/>
        <v>% p.a.</v>
      </c>
      <c r="H424" s="681">
        <f t="shared" si="644"/>
        <v>0</v>
      </c>
      <c r="I424" s="681">
        <f t="shared" si="644"/>
        <v>0</v>
      </c>
      <c r="J424" s="681">
        <f t="shared" si="644"/>
        <v>2.0062E-2</v>
      </c>
      <c r="K424" s="681">
        <f t="shared" si="644"/>
        <v>2.0124E-2</v>
      </c>
      <c r="L424" s="681">
        <f t="shared" si="644"/>
        <v>2.0184000000000001E-2</v>
      </c>
      <c r="M424" s="681">
        <f t="shared" si="644"/>
        <v>2.0241000000000002E-2</v>
      </c>
      <c r="N424" s="681">
        <f t="shared" si="644"/>
        <v>2.0308000000000003E-2</v>
      </c>
      <c r="O424" s="681">
        <f t="shared" si="644"/>
        <v>5.0375000000000003E-2</v>
      </c>
      <c r="P424" s="681">
        <f t="shared" si="644"/>
        <v>5.0434000000000007E-2</v>
      </c>
      <c r="Q424" s="681">
        <f t="shared" si="644"/>
        <v>5.0506000000000002E-2</v>
      </c>
      <c r="R424" s="681">
        <f t="shared" si="644"/>
        <v>5.0569000000000003E-2</v>
      </c>
      <c r="S424" s="681">
        <f t="shared" si="644"/>
        <v>5.0619999999999998E-2</v>
      </c>
      <c r="T424" s="681">
        <f t="shared" si="644"/>
        <v>5.0666000000000003E-2</v>
      </c>
      <c r="U424" s="681">
        <f t="shared" si="644"/>
        <v>5.0719E-2</v>
      </c>
      <c r="V424" s="681">
        <f t="shared" si="644"/>
        <v>5.0757000000000004E-2</v>
      </c>
      <c r="W424" s="681">
        <f t="shared" si="644"/>
        <v>5.0795000000000007E-2</v>
      </c>
      <c r="X424" s="681">
        <f t="shared" si="644"/>
        <v>5.0850000000000006E-2</v>
      </c>
      <c r="Y424" s="681">
        <f t="shared" si="644"/>
        <v>5.2888000000000004E-2</v>
      </c>
      <c r="Z424" s="681">
        <f t="shared" si="644"/>
        <v>5.2954000000000001E-2</v>
      </c>
      <c r="AA424" s="681">
        <f t="shared" si="644"/>
        <v>5.3024000000000002E-2</v>
      </c>
      <c r="AB424" s="681">
        <f t="shared" si="644"/>
        <v>5.3091000000000006E-2</v>
      </c>
      <c r="AC424" s="681">
        <f t="shared" si="644"/>
        <v>5.3134000000000008E-2</v>
      </c>
      <c r="AD424" s="681">
        <f t="shared" si="644"/>
        <v>5.3205000000000009E-2</v>
      </c>
      <c r="AE424" s="681">
        <f t="shared" si="644"/>
        <v>5.3279000000000007E-2</v>
      </c>
      <c r="AF424" s="681">
        <f t="shared" si="644"/>
        <v>5.3316000000000009E-2</v>
      </c>
      <c r="AG424" s="681">
        <f t="shared" si="644"/>
        <v>5.3367000000000012E-2</v>
      </c>
      <c r="AH424" s="681">
        <f t="shared" si="644"/>
        <v>5.342100000000001E-2</v>
      </c>
      <c r="AI424" s="681">
        <f t="shared" si="644"/>
        <v>5.6470000000000006E-2</v>
      </c>
      <c r="AJ424" s="681">
        <f t="shared" si="644"/>
        <v>5.6516000000000011E-2</v>
      </c>
      <c r="AK424" s="681">
        <f t="shared" ref="AK424:BP424" si="645" xml:space="preserve"> AK$420</f>
        <v>5.6570000000000009E-2</v>
      </c>
      <c r="AL424" s="681">
        <f t="shared" si="645"/>
        <v>5.6639000000000009E-2</v>
      </c>
      <c r="AM424" s="681">
        <f t="shared" si="645"/>
        <v>5.6709000000000009E-2</v>
      </c>
      <c r="AN424" s="681">
        <f t="shared" si="645"/>
        <v>5.677200000000001E-2</v>
      </c>
      <c r="AO424" s="681">
        <f t="shared" si="645"/>
        <v>5.6813000000000009E-2</v>
      </c>
      <c r="AP424" s="681">
        <f t="shared" si="645"/>
        <v>5.6858000000000006E-2</v>
      </c>
      <c r="AQ424" s="681">
        <f t="shared" si="645"/>
        <v>5.6913000000000005E-2</v>
      </c>
      <c r="AR424" s="681">
        <f t="shared" si="645"/>
        <v>5.6986000000000009E-2</v>
      </c>
      <c r="AS424" s="681">
        <f t="shared" si="645"/>
        <v>5.7041000000000008E-2</v>
      </c>
      <c r="AT424" s="681">
        <f t="shared" si="645"/>
        <v>5.7089000000000008E-2</v>
      </c>
      <c r="AU424" s="681">
        <f t="shared" si="645"/>
        <v>5.7148000000000004E-2</v>
      </c>
      <c r="AV424" s="681">
        <f t="shared" si="645"/>
        <v>5.7216000000000003E-2</v>
      </c>
      <c r="AW424" s="681">
        <f t="shared" si="645"/>
        <v>2.2282000000000003E-2</v>
      </c>
      <c r="AX424" s="681">
        <f t="shared" si="645"/>
        <v>2.2351000000000003E-2</v>
      </c>
      <c r="AY424" s="681">
        <f t="shared" si="645"/>
        <v>2.2409000000000002E-2</v>
      </c>
      <c r="AZ424" s="681">
        <f t="shared" si="645"/>
        <v>2.2445000000000003E-2</v>
      </c>
      <c r="BA424" s="681">
        <f t="shared" si="645"/>
        <v>2.2489000000000002E-2</v>
      </c>
      <c r="BB424" s="681">
        <f t="shared" si="645"/>
        <v>2.2535000000000003E-2</v>
      </c>
      <c r="BC424" s="681">
        <f t="shared" si="645"/>
        <v>2.2607000000000002E-2</v>
      </c>
      <c r="BD424" s="681">
        <f t="shared" si="645"/>
        <v>2.2647E-2</v>
      </c>
      <c r="BE424" s="681">
        <f t="shared" si="645"/>
        <v>2.2683999999999999E-2</v>
      </c>
      <c r="BF424" s="681">
        <f t="shared" si="645"/>
        <v>2.2734000000000001E-2</v>
      </c>
      <c r="BG424" s="681">
        <f t="shared" si="645"/>
        <v>2.2806E-2</v>
      </c>
      <c r="BH424" s="681">
        <f t="shared" si="645"/>
        <v>2.2852000000000001E-2</v>
      </c>
      <c r="BI424" s="681">
        <f t="shared" si="645"/>
        <v>2.2898999999999999E-2</v>
      </c>
      <c r="BJ424" s="681">
        <f t="shared" si="645"/>
        <v>2.2952999999999998E-2</v>
      </c>
      <c r="BK424" s="681">
        <f t="shared" si="645"/>
        <v>2.3027999999999996E-2</v>
      </c>
      <c r="BL424" s="681">
        <f t="shared" si="645"/>
        <v>2.3093999999999996E-2</v>
      </c>
      <c r="BM424" s="681">
        <f t="shared" si="645"/>
        <v>2.3145999999999996E-2</v>
      </c>
      <c r="BN424" s="681">
        <f t="shared" si="645"/>
        <v>2.3211999999999997E-2</v>
      </c>
      <c r="BO424" s="681">
        <f t="shared" si="645"/>
        <v>2.3253999999999997E-2</v>
      </c>
      <c r="BP424" s="681">
        <f t="shared" si="645"/>
        <v>2.3288999999999997E-2</v>
      </c>
      <c r="BQ424" s="681">
        <f t="shared" ref="BQ424:CV424" si="646" xml:space="preserve"> BQ$420</f>
        <v>2.3333999999999997E-2</v>
      </c>
      <c r="BR424" s="681">
        <f t="shared" si="646"/>
        <v>2.3372999999999998E-2</v>
      </c>
      <c r="BS424" s="681">
        <f t="shared" si="646"/>
        <v>2.3413999999999997E-2</v>
      </c>
      <c r="BT424" s="681">
        <f t="shared" si="646"/>
        <v>2.3472999999999997E-2</v>
      </c>
      <c r="BU424" s="681">
        <f t="shared" si="646"/>
        <v>2.3519999999999996E-2</v>
      </c>
      <c r="BV424" s="681">
        <f t="shared" si="646"/>
        <v>2.3592999999999996E-2</v>
      </c>
      <c r="BW424" s="681">
        <f t="shared" si="646"/>
        <v>2.3660999999999995E-2</v>
      </c>
      <c r="BX424" s="681">
        <f t="shared" si="646"/>
        <v>2.3728999999999993E-2</v>
      </c>
      <c r="BY424" s="681">
        <f t="shared" si="646"/>
        <v>2.3785999999999995E-2</v>
      </c>
      <c r="BZ424" s="681">
        <f t="shared" si="646"/>
        <v>2.3841999999999995E-2</v>
      </c>
      <c r="CA424" s="681">
        <f t="shared" si="646"/>
        <v>2.3907999999999995E-2</v>
      </c>
      <c r="CB424" s="681">
        <f t="shared" si="646"/>
        <v>2.3961999999999994E-2</v>
      </c>
      <c r="CC424" s="681">
        <f t="shared" si="646"/>
        <v>2.4011999999999995E-2</v>
      </c>
      <c r="CD424" s="681">
        <f t="shared" si="646"/>
        <v>2.4070999999999995E-2</v>
      </c>
      <c r="CE424" s="681">
        <f t="shared" si="646"/>
        <v>2.4119999999999996E-2</v>
      </c>
      <c r="CF424" s="681">
        <f t="shared" si="646"/>
        <v>2.4166999999999994E-2</v>
      </c>
      <c r="CG424" s="681">
        <f t="shared" si="646"/>
        <v>2.4215999999999994E-2</v>
      </c>
      <c r="CH424" s="681">
        <f t="shared" si="646"/>
        <v>2.4263999999999994E-2</v>
      </c>
      <c r="CI424" s="681">
        <f t="shared" si="646"/>
        <v>2.4301999999999994E-2</v>
      </c>
      <c r="CJ424" s="681">
        <f t="shared" si="646"/>
        <v>2.4365999999999995E-2</v>
      </c>
      <c r="CK424" s="681">
        <f t="shared" si="646"/>
        <v>2.4408999999999997E-2</v>
      </c>
      <c r="CL424" s="681">
        <f t="shared" si="646"/>
        <v>2.4462999999999995E-2</v>
      </c>
      <c r="CM424" s="681">
        <f t="shared" si="646"/>
        <v>2.4530999999999994E-2</v>
      </c>
      <c r="CN424" s="681">
        <f t="shared" si="646"/>
        <v>2.4586999999999994E-2</v>
      </c>
      <c r="CO424" s="681">
        <f t="shared" si="646"/>
        <v>2.4622999999999996E-2</v>
      </c>
      <c r="CP424" s="681">
        <f t="shared" si="646"/>
        <v>2.4688999999999996E-2</v>
      </c>
      <c r="CQ424" s="681">
        <f t="shared" si="646"/>
        <v>2.4738999999999997E-2</v>
      </c>
      <c r="CR424" s="681">
        <f t="shared" si="646"/>
        <v>2.4789999999999996E-2</v>
      </c>
      <c r="CS424" s="681">
        <f t="shared" si="646"/>
        <v>2.4834999999999996E-2</v>
      </c>
      <c r="CT424" s="681">
        <f t="shared" si="646"/>
        <v>2.4872999999999996E-2</v>
      </c>
      <c r="CU424" s="681">
        <f t="shared" si="646"/>
        <v>2.4930999999999995E-2</v>
      </c>
      <c r="CV424" s="681">
        <f t="shared" si="646"/>
        <v>2.4983999999999996E-2</v>
      </c>
    </row>
    <row r="425" spans="1:100" ht="12.75" outlineLevel="2" x14ac:dyDescent="0.2">
      <c r="A425" s="311"/>
      <c r="B425" s="311"/>
      <c r="C425" s="312"/>
      <c r="D425" s="313"/>
      <c r="E425" s="314" t="s">
        <v>1068</v>
      </c>
      <c r="F425" s="314"/>
      <c r="G425" s="314" t="s">
        <v>103</v>
      </c>
      <c r="H425" s="314"/>
      <c r="I425" s="315"/>
      <c r="J425" s="314">
        <f t="shared" ref="J425:BU425" si="647">J424 / $F422 * J423</f>
        <v>1.0086727777777778E-2</v>
      </c>
      <c r="K425" s="314">
        <f t="shared" si="647"/>
        <v>1.0285599999999999E-2</v>
      </c>
      <c r="L425" s="314">
        <f t="shared" si="647"/>
        <v>1.0148066666666667E-2</v>
      </c>
      <c r="M425" s="314">
        <f t="shared" si="647"/>
        <v>1.0345400000000001E-2</v>
      </c>
      <c r="N425" s="314">
        <f t="shared" si="647"/>
        <v>1.0266822222222223E-2</v>
      </c>
      <c r="O425" s="314">
        <f t="shared" si="647"/>
        <v>2.5747222222222227E-2</v>
      </c>
      <c r="P425" s="314">
        <f t="shared" si="647"/>
        <v>2.535709444444445E-2</v>
      </c>
      <c r="Q425" s="314">
        <f t="shared" si="647"/>
        <v>2.5814177777777777E-2</v>
      </c>
      <c r="R425" s="314">
        <f t="shared" si="647"/>
        <v>2.5424969444444449E-2</v>
      </c>
      <c r="S425" s="314">
        <f t="shared" si="647"/>
        <v>2.5872444444444441E-2</v>
      </c>
      <c r="T425" s="314">
        <f t="shared" si="647"/>
        <v>2.5473738888888892E-2</v>
      </c>
      <c r="U425" s="314">
        <f t="shared" si="647"/>
        <v>2.5923044444444446E-2</v>
      </c>
      <c r="V425" s="314">
        <f t="shared" si="647"/>
        <v>2.5660483333333334E-2</v>
      </c>
      <c r="W425" s="314">
        <f t="shared" si="647"/>
        <v>2.5961888888888895E-2</v>
      </c>
      <c r="X425" s="314">
        <f t="shared" si="647"/>
        <v>2.5566250000000002E-2</v>
      </c>
      <c r="Y425" s="314">
        <f t="shared" si="647"/>
        <v>2.7031644444444447E-2</v>
      </c>
      <c r="Z425" s="314">
        <f t="shared" si="647"/>
        <v>2.6624094444444444E-2</v>
      </c>
      <c r="AA425" s="314">
        <f t="shared" si="647"/>
        <v>2.7101155555555558E-2</v>
      </c>
      <c r="AB425" s="314">
        <f t="shared" si="647"/>
        <v>2.6692975000000004E-2</v>
      </c>
      <c r="AC425" s="314">
        <f t="shared" si="647"/>
        <v>2.715737777777778E-2</v>
      </c>
      <c r="AD425" s="314">
        <f t="shared" si="647"/>
        <v>2.689808333333334E-2</v>
      </c>
      <c r="AE425" s="314">
        <f t="shared" si="647"/>
        <v>2.7231488888888891E-2</v>
      </c>
      <c r="AF425" s="314">
        <f t="shared" si="647"/>
        <v>2.6806100000000003E-2</v>
      </c>
      <c r="AG425" s="314">
        <f t="shared" si="647"/>
        <v>2.7276466666666669E-2</v>
      </c>
      <c r="AH425" s="314">
        <f t="shared" si="647"/>
        <v>2.6858891666666673E-2</v>
      </c>
      <c r="AI425" s="314">
        <f t="shared" si="647"/>
        <v>2.8862444444444444E-2</v>
      </c>
      <c r="AJ425" s="314">
        <f t="shared" si="647"/>
        <v>2.8414988888888895E-2</v>
      </c>
      <c r="AK425" s="314">
        <f t="shared" si="647"/>
        <v>2.8913555555555564E-2</v>
      </c>
      <c r="AL425" s="314">
        <f t="shared" si="647"/>
        <v>2.8634161111111119E-2</v>
      </c>
      <c r="AM425" s="314">
        <f t="shared" si="647"/>
        <v>2.8984600000000003E-2</v>
      </c>
      <c r="AN425" s="314">
        <f t="shared" si="647"/>
        <v>2.8543700000000009E-2</v>
      </c>
      <c r="AO425" s="314">
        <f t="shared" si="647"/>
        <v>2.9037755555555558E-2</v>
      </c>
      <c r="AP425" s="314">
        <f t="shared" si="647"/>
        <v>2.8586938888888896E-2</v>
      </c>
      <c r="AQ425" s="314">
        <f t="shared" si="647"/>
        <v>2.9088866666666671E-2</v>
      </c>
      <c r="AR425" s="314">
        <f t="shared" si="647"/>
        <v>2.8651294444444451E-2</v>
      </c>
      <c r="AS425" s="314">
        <f t="shared" si="647"/>
        <v>2.9154288888888893E-2</v>
      </c>
      <c r="AT425" s="314">
        <f t="shared" si="647"/>
        <v>2.8861661111111114E-2</v>
      </c>
      <c r="AU425" s="314">
        <f t="shared" si="647"/>
        <v>2.920897777777778E-2</v>
      </c>
      <c r="AV425" s="314">
        <f t="shared" si="647"/>
        <v>2.8766933333333335E-2</v>
      </c>
      <c r="AW425" s="314">
        <f t="shared" si="647"/>
        <v>1.1388577777777778E-2</v>
      </c>
      <c r="AX425" s="314">
        <f t="shared" si="647"/>
        <v>1.1237586111111112E-2</v>
      </c>
      <c r="AY425" s="314">
        <f t="shared" si="647"/>
        <v>1.1453488888888891E-2</v>
      </c>
      <c r="AZ425" s="314">
        <f t="shared" si="647"/>
        <v>1.1284847222222226E-2</v>
      </c>
      <c r="BA425" s="314">
        <f t="shared" si="647"/>
        <v>1.149437777777778E-2</v>
      </c>
      <c r="BB425" s="314">
        <f t="shared" si="647"/>
        <v>1.1392694444444445E-2</v>
      </c>
      <c r="BC425" s="314">
        <f t="shared" si="647"/>
        <v>1.1554688888888892E-2</v>
      </c>
      <c r="BD425" s="314">
        <f t="shared" si="647"/>
        <v>1.1386408333333334E-2</v>
      </c>
      <c r="BE425" s="314">
        <f t="shared" si="647"/>
        <v>1.1594044444444444E-2</v>
      </c>
      <c r="BF425" s="314">
        <f t="shared" si="647"/>
        <v>1.143015E-2</v>
      </c>
      <c r="BG425" s="314">
        <f t="shared" si="647"/>
        <v>1.1656399999999999E-2</v>
      </c>
      <c r="BH425" s="314">
        <f t="shared" si="647"/>
        <v>1.1489477777777779E-2</v>
      </c>
      <c r="BI425" s="314">
        <f t="shared" si="647"/>
        <v>1.1703933333333331E-2</v>
      </c>
      <c r="BJ425" s="314">
        <f t="shared" si="647"/>
        <v>1.1604016666666666E-2</v>
      </c>
      <c r="BK425" s="314">
        <f t="shared" si="647"/>
        <v>1.1769866666666665E-2</v>
      </c>
      <c r="BL425" s="314">
        <f t="shared" si="647"/>
        <v>1.1611149999999997E-2</v>
      </c>
      <c r="BM425" s="314">
        <f t="shared" si="647"/>
        <v>1.1830177777777777E-2</v>
      </c>
      <c r="BN425" s="314">
        <f t="shared" si="647"/>
        <v>1.1670477777777776E-2</v>
      </c>
      <c r="BO425" s="314">
        <f t="shared" si="647"/>
        <v>1.1885377777777775E-2</v>
      </c>
      <c r="BP425" s="314">
        <f t="shared" si="647"/>
        <v>1.1709191666666665E-2</v>
      </c>
      <c r="BQ425" s="314">
        <f t="shared" si="647"/>
        <v>1.1926266666666664E-2</v>
      </c>
      <c r="BR425" s="314">
        <f t="shared" si="647"/>
        <v>1.1816349999999998E-2</v>
      </c>
      <c r="BS425" s="314">
        <f t="shared" si="647"/>
        <v>1.1967155555555555E-2</v>
      </c>
      <c r="BT425" s="314">
        <f t="shared" si="647"/>
        <v>1.1801702777777777E-2</v>
      </c>
      <c r="BU425" s="314">
        <f t="shared" si="647"/>
        <v>1.2021333333333332E-2</v>
      </c>
      <c r="BV425" s="314">
        <f t="shared" ref="BV425:CV425" si="648">BV424 / $F422 * BV423</f>
        <v>1.1862036111111111E-2</v>
      </c>
      <c r="BW425" s="314">
        <f t="shared" si="648"/>
        <v>1.2093399999999997E-2</v>
      </c>
      <c r="BX425" s="314">
        <f t="shared" si="648"/>
        <v>1.1930413888888883E-2</v>
      </c>
      <c r="BY425" s="314">
        <f t="shared" si="648"/>
        <v>1.2157288888888885E-2</v>
      </c>
      <c r="BZ425" s="314">
        <f t="shared" si="648"/>
        <v>1.2053455555555552E-2</v>
      </c>
      <c r="CA425" s="314">
        <f t="shared" si="648"/>
        <v>1.2219644444444443E-2</v>
      </c>
      <c r="CB425" s="314">
        <f t="shared" si="648"/>
        <v>1.2047561111111108E-2</v>
      </c>
      <c r="CC425" s="314">
        <f t="shared" si="648"/>
        <v>1.2272799999999997E-2</v>
      </c>
      <c r="CD425" s="314">
        <f t="shared" si="648"/>
        <v>1.2102363888888886E-2</v>
      </c>
      <c r="CE425" s="314">
        <f t="shared" si="648"/>
        <v>1.2327999999999999E-2</v>
      </c>
      <c r="CF425" s="314">
        <f t="shared" si="648"/>
        <v>1.2150630555555554E-2</v>
      </c>
      <c r="CG425" s="314">
        <f t="shared" si="648"/>
        <v>1.2377066666666665E-2</v>
      </c>
      <c r="CH425" s="314">
        <f t="shared" si="648"/>
        <v>1.2266799999999998E-2</v>
      </c>
      <c r="CI425" s="314">
        <f t="shared" si="648"/>
        <v>1.2421022222222218E-2</v>
      </c>
      <c r="CJ425" s="314">
        <f t="shared" si="648"/>
        <v>1.225068333333333E-2</v>
      </c>
      <c r="CK425" s="314">
        <f t="shared" si="648"/>
        <v>1.247571111111111E-2</v>
      </c>
      <c r="CL425" s="314">
        <f t="shared" si="648"/>
        <v>1.2299452777777775E-2</v>
      </c>
      <c r="CM425" s="314">
        <f t="shared" si="648"/>
        <v>1.2538066666666663E-2</v>
      </c>
      <c r="CN425" s="314">
        <f t="shared" si="648"/>
        <v>1.2361797222222219E-2</v>
      </c>
      <c r="CO425" s="314">
        <f t="shared" si="648"/>
        <v>1.2585088888888886E-2</v>
      </c>
      <c r="CP425" s="314">
        <f t="shared" si="648"/>
        <v>1.248166111111111E-2</v>
      </c>
      <c r="CQ425" s="314">
        <f t="shared" si="648"/>
        <v>1.2644377777777776E-2</v>
      </c>
      <c r="CR425" s="314">
        <f t="shared" si="648"/>
        <v>1.246386111111111E-2</v>
      </c>
      <c r="CS425" s="314">
        <f t="shared" si="648"/>
        <v>1.2693444444444441E-2</v>
      </c>
      <c r="CT425" s="314">
        <f t="shared" si="648"/>
        <v>1.2505591666666666E-2</v>
      </c>
      <c r="CU425" s="314">
        <f t="shared" si="648"/>
        <v>1.2742511111111108E-2</v>
      </c>
      <c r="CV425" s="314">
        <f t="shared" si="648"/>
        <v>1.2561399999999999E-2</v>
      </c>
    </row>
    <row r="426" spans="1:100" ht="12.75" outlineLevel="2" x14ac:dyDescent="0.2">
      <c r="A426" s="700"/>
      <c r="B426" s="700"/>
      <c r="C426" s="701"/>
      <c r="D426" s="702"/>
      <c r="E426" s="666"/>
      <c r="F426" s="666"/>
      <c r="G426" s="666"/>
      <c r="H426" s="666"/>
      <c r="I426" s="703"/>
      <c r="J426" s="666"/>
      <c r="K426" s="666"/>
      <c r="L426" s="666"/>
      <c r="M426" s="666"/>
      <c r="N426" s="666"/>
      <c r="O426" s="666"/>
      <c r="P426" s="666"/>
      <c r="Q426" s="666"/>
      <c r="R426" s="666"/>
      <c r="S426" s="666"/>
      <c r="T426" s="666"/>
      <c r="U426" s="666"/>
      <c r="V426" s="666"/>
      <c r="W426" s="666"/>
      <c r="X426" s="666"/>
      <c r="Y426" s="666"/>
      <c r="Z426" s="666"/>
      <c r="AA426" s="666"/>
      <c r="AB426" s="666"/>
      <c r="AC426" s="666"/>
      <c r="AD426" s="666"/>
      <c r="AE426" s="666"/>
      <c r="AF426" s="666"/>
      <c r="AG426" s="666"/>
      <c r="AH426" s="666"/>
      <c r="AI426" s="666"/>
      <c r="AJ426" s="666"/>
      <c r="AK426" s="666"/>
      <c r="AL426" s="666"/>
      <c r="AM426" s="666"/>
      <c r="AN426" s="666"/>
      <c r="AO426" s="666"/>
      <c r="AP426" s="666"/>
      <c r="AQ426" s="666"/>
      <c r="AR426" s="666"/>
      <c r="AS426" s="666"/>
      <c r="AT426" s="666"/>
      <c r="AU426" s="666"/>
      <c r="AV426" s="666"/>
      <c r="AW426" s="666"/>
      <c r="AX426" s="666"/>
      <c r="AY426" s="666"/>
      <c r="AZ426" s="666"/>
      <c r="BA426" s="666"/>
      <c r="BB426" s="666"/>
      <c r="BC426" s="666"/>
      <c r="BD426" s="666"/>
      <c r="BE426" s="666"/>
      <c r="BF426" s="666"/>
      <c r="BG426" s="666"/>
      <c r="BH426" s="666"/>
      <c r="BI426" s="666"/>
      <c r="BJ426" s="666"/>
      <c r="BK426" s="666"/>
      <c r="BL426" s="666"/>
      <c r="BM426" s="666"/>
      <c r="BN426" s="666"/>
      <c r="BO426" s="666"/>
      <c r="BP426" s="666"/>
      <c r="BQ426" s="666"/>
      <c r="BR426" s="666"/>
      <c r="BS426" s="666"/>
      <c r="BT426" s="666"/>
      <c r="BU426" s="666"/>
      <c r="BV426" s="666"/>
      <c r="BW426" s="666"/>
      <c r="BX426" s="666"/>
      <c r="BY426" s="666"/>
      <c r="BZ426" s="666"/>
      <c r="CA426" s="666"/>
      <c r="CB426" s="666"/>
      <c r="CC426" s="666"/>
      <c r="CD426" s="666"/>
      <c r="CE426" s="666"/>
      <c r="CF426" s="666"/>
      <c r="CG426" s="666"/>
      <c r="CH426" s="666"/>
      <c r="CI426" s="666"/>
      <c r="CJ426" s="666"/>
      <c r="CK426" s="666"/>
      <c r="CL426" s="666"/>
      <c r="CM426" s="666"/>
      <c r="CN426" s="666"/>
      <c r="CO426" s="666"/>
      <c r="CP426" s="666"/>
      <c r="CQ426" s="666"/>
      <c r="CR426" s="666"/>
      <c r="CS426" s="666"/>
      <c r="CT426" s="666"/>
      <c r="CU426" s="666"/>
      <c r="CV426" s="666"/>
    </row>
    <row r="427" spans="1:100" ht="12.75" outlineLevel="2" x14ac:dyDescent="0.2">
      <c r="A427" s="522"/>
      <c r="B427" s="522"/>
      <c r="C427" s="523"/>
      <c r="D427" s="524"/>
      <c r="E427" s="525" t="str">
        <f t="shared" ref="E427:AJ427" si="649" xml:space="preserve"> E$433</f>
        <v>Standby debt - T2 balance BEG</v>
      </c>
      <c r="F427" s="525">
        <f t="shared" si="649"/>
        <v>0</v>
      </c>
      <c r="G427" s="525" t="str">
        <f t="shared" si="649"/>
        <v>$ 000s</v>
      </c>
      <c r="H427" s="525">
        <f t="shared" si="649"/>
        <v>0</v>
      </c>
      <c r="I427" s="525">
        <f t="shared" si="649"/>
        <v>0</v>
      </c>
      <c r="J427" s="525">
        <f t="shared" si="649"/>
        <v>0</v>
      </c>
      <c r="K427" s="525">
        <f t="shared" si="649"/>
        <v>0</v>
      </c>
      <c r="L427" s="525">
        <f t="shared" si="649"/>
        <v>0</v>
      </c>
      <c r="M427" s="525">
        <f t="shared" si="649"/>
        <v>0</v>
      </c>
      <c r="N427" s="525">
        <f t="shared" si="649"/>
        <v>0</v>
      </c>
      <c r="O427" s="525">
        <f t="shared" si="649"/>
        <v>0</v>
      </c>
      <c r="P427" s="525">
        <f t="shared" si="649"/>
        <v>0</v>
      </c>
      <c r="Q427" s="525">
        <f t="shared" si="649"/>
        <v>0</v>
      </c>
      <c r="R427" s="525">
        <f t="shared" si="649"/>
        <v>0</v>
      </c>
      <c r="S427" s="525">
        <f t="shared" si="649"/>
        <v>0</v>
      </c>
      <c r="T427" s="525">
        <f t="shared" si="649"/>
        <v>0</v>
      </c>
      <c r="U427" s="525">
        <f t="shared" si="649"/>
        <v>0</v>
      </c>
      <c r="V427" s="525">
        <f t="shared" si="649"/>
        <v>0</v>
      </c>
      <c r="W427" s="525">
        <f t="shared" si="649"/>
        <v>0</v>
      </c>
      <c r="X427" s="525">
        <f t="shared" si="649"/>
        <v>0</v>
      </c>
      <c r="Y427" s="525">
        <f t="shared" si="649"/>
        <v>0</v>
      </c>
      <c r="Z427" s="525">
        <f t="shared" si="649"/>
        <v>0</v>
      </c>
      <c r="AA427" s="525">
        <f t="shared" si="649"/>
        <v>0</v>
      </c>
      <c r="AB427" s="525">
        <f t="shared" si="649"/>
        <v>0</v>
      </c>
      <c r="AC427" s="525">
        <f t="shared" si="649"/>
        <v>0</v>
      </c>
      <c r="AD427" s="525">
        <f t="shared" si="649"/>
        <v>0</v>
      </c>
      <c r="AE427" s="525">
        <f t="shared" si="649"/>
        <v>0</v>
      </c>
      <c r="AF427" s="525">
        <f t="shared" si="649"/>
        <v>0</v>
      </c>
      <c r="AG427" s="525">
        <f t="shared" si="649"/>
        <v>0</v>
      </c>
      <c r="AH427" s="525">
        <f t="shared" si="649"/>
        <v>0</v>
      </c>
      <c r="AI427" s="525">
        <f t="shared" si="649"/>
        <v>0</v>
      </c>
      <c r="AJ427" s="525">
        <f t="shared" si="649"/>
        <v>0</v>
      </c>
      <c r="AK427" s="525">
        <f t="shared" ref="AK427:BP427" si="650" xml:space="preserve"> AK$433</f>
        <v>0</v>
      </c>
      <c r="AL427" s="525">
        <f t="shared" si="650"/>
        <v>0</v>
      </c>
      <c r="AM427" s="525">
        <f t="shared" si="650"/>
        <v>0</v>
      </c>
      <c r="AN427" s="525">
        <f t="shared" si="650"/>
        <v>0</v>
      </c>
      <c r="AO427" s="525">
        <f t="shared" si="650"/>
        <v>0</v>
      </c>
      <c r="AP427" s="525">
        <f t="shared" si="650"/>
        <v>0</v>
      </c>
      <c r="AQ427" s="525">
        <f t="shared" si="650"/>
        <v>0</v>
      </c>
      <c r="AR427" s="525">
        <f t="shared" si="650"/>
        <v>0</v>
      </c>
      <c r="AS427" s="525">
        <f t="shared" si="650"/>
        <v>0</v>
      </c>
      <c r="AT427" s="525">
        <f t="shared" si="650"/>
        <v>0</v>
      </c>
      <c r="AU427" s="525">
        <f t="shared" si="650"/>
        <v>0</v>
      </c>
      <c r="AV427" s="525">
        <f t="shared" si="650"/>
        <v>0</v>
      </c>
      <c r="AW427" s="525">
        <f t="shared" si="650"/>
        <v>0</v>
      </c>
      <c r="AX427" s="525">
        <f t="shared" si="650"/>
        <v>0</v>
      </c>
      <c r="AY427" s="525">
        <f t="shared" si="650"/>
        <v>0</v>
      </c>
      <c r="AZ427" s="525">
        <f t="shared" si="650"/>
        <v>0</v>
      </c>
      <c r="BA427" s="525">
        <f t="shared" si="650"/>
        <v>0</v>
      </c>
      <c r="BB427" s="525">
        <f t="shared" si="650"/>
        <v>0</v>
      </c>
      <c r="BC427" s="525">
        <f t="shared" si="650"/>
        <v>0</v>
      </c>
      <c r="BD427" s="525">
        <f t="shared" si="650"/>
        <v>0</v>
      </c>
      <c r="BE427" s="525">
        <f t="shared" si="650"/>
        <v>0</v>
      </c>
      <c r="BF427" s="525">
        <f t="shared" si="650"/>
        <v>0</v>
      </c>
      <c r="BG427" s="525">
        <f t="shared" si="650"/>
        <v>0</v>
      </c>
      <c r="BH427" s="525">
        <f t="shared" si="650"/>
        <v>0</v>
      </c>
      <c r="BI427" s="525">
        <f t="shared" si="650"/>
        <v>0</v>
      </c>
      <c r="BJ427" s="525">
        <f t="shared" si="650"/>
        <v>0</v>
      </c>
      <c r="BK427" s="525">
        <f t="shared" si="650"/>
        <v>0</v>
      </c>
      <c r="BL427" s="525">
        <f t="shared" si="650"/>
        <v>0</v>
      </c>
      <c r="BM427" s="525">
        <f t="shared" si="650"/>
        <v>0</v>
      </c>
      <c r="BN427" s="525">
        <f t="shared" si="650"/>
        <v>0</v>
      </c>
      <c r="BO427" s="525">
        <f t="shared" si="650"/>
        <v>0</v>
      </c>
      <c r="BP427" s="525">
        <f t="shared" si="650"/>
        <v>0</v>
      </c>
      <c r="BQ427" s="525">
        <f t="shared" ref="BQ427:CV427" si="651" xml:space="preserve"> BQ$433</f>
        <v>0</v>
      </c>
      <c r="BR427" s="525">
        <f t="shared" si="651"/>
        <v>0</v>
      </c>
      <c r="BS427" s="525">
        <f t="shared" si="651"/>
        <v>0</v>
      </c>
      <c r="BT427" s="525">
        <f t="shared" si="651"/>
        <v>0</v>
      </c>
      <c r="BU427" s="525">
        <f t="shared" si="651"/>
        <v>0</v>
      </c>
      <c r="BV427" s="525">
        <f t="shared" si="651"/>
        <v>0</v>
      </c>
      <c r="BW427" s="525">
        <f t="shared" si="651"/>
        <v>0</v>
      </c>
      <c r="BX427" s="525">
        <f t="shared" si="651"/>
        <v>0</v>
      </c>
      <c r="BY427" s="525">
        <f t="shared" si="651"/>
        <v>0</v>
      </c>
      <c r="BZ427" s="525">
        <f t="shared" si="651"/>
        <v>0</v>
      </c>
      <c r="CA427" s="525">
        <f t="shared" si="651"/>
        <v>0</v>
      </c>
      <c r="CB427" s="525">
        <f t="shared" si="651"/>
        <v>0</v>
      </c>
      <c r="CC427" s="525">
        <f t="shared" si="651"/>
        <v>0</v>
      </c>
      <c r="CD427" s="525">
        <f t="shared" si="651"/>
        <v>0</v>
      </c>
      <c r="CE427" s="525">
        <f t="shared" si="651"/>
        <v>0</v>
      </c>
      <c r="CF427" s="525">
        <f t="shared" si="651"/>
        <v>0</v>
      </c>
      <c r="CG427" s="525">
        <f t="shared" si="651"/>
        <v>0</v>
      </c>
      <c r="CH427" s="525">
        <f t="shared" si="651"/>
        <v>0</v>
      </c>
      <c r="CI427" s="525">
        <f t="shared" si="651"/>
        <v>0</v>
      </c>
      <c r="CJ427" s="525">
        <f t="shared" si="651"/>
        <v>0</v>
      </c>
      <c r="CK427" s="525">
        <f t="shared" si="651"/>
        <v>0</v>
      </c>
      <c r="CL427" s="525">
        <f t="shared" si="651"/>
        <v>0</v>
      </c>
      <c r="CM427" s="525">
        <f t="shared" si="651"/>
        <v>0</v>
      </c>
      <c r="CN427" s="525">
        <f t="shared" si="651"/>
        <v>0</v>
      </c>
      <c r="CO427" s="525">
        <f t="shared" si="651"/>
        <v>0</v>
      </c>
      <c r="CP427" s="525">
        <f t="shared" si="651"/>
        <v>0</v>
      </c>
      <c r="CQ427" s="525">
        <f t="shared" si="651"/>
        <v>0</v>
      </c>
      <c r="CR427" s="525">
        <f t="shared" si="651"/>
        <v>0</v>
      </c>
      <c r="CS427" s="525">
        <f t="shared" si="651"/>
        <v>0</v>
      </c>
      <c r="CT427" s="525">
        <f t="shared" si="651"/>
        <v>0</v>
      </c>
      <c r="CU427" s="525">
        <f t="shared" si="651"/>
        <v>0</v>
      </c>
      <c r="CV427" s="525">
        <f t="shared" si="651"/>
        <v>0</v>
      </c>
    </row>
    <row r="428" spans="1:100" ht="12.75" outlineLevel="2" x14ac:dyDescent="0.2">
      <c r="A428" s="522"/>
      <c r="B428" s="522"/>
      <c r="C428" s="523"/>
      <c r="D428" s="524"/>
      <c r="E428" s="681" t="str">
        <f t="shared" ref="E428:AJ428" si="652" xml:space="preserve"> E$425</f>
        <v>Standby debt period interest rate - T2</v>
      </c>
      <c r="F428" s="681">
        <f t="shared" si="652"/>
        <v>0</v>
      </c>
      <c r="G428" s="681" t="str">
        <f t="shared" si="652"/>
        <v>%</v>
      </c>
      <c r="H428" s="681">
        <f t="shared" si="652"/>
        <v>0</v>
      </c>
      <c r="I428" s="681">
        <f t="shared" si="652"/>
        <v>0</v>
      </c>
      <c r="J428" s="681">
        <f t="shared" si="652"/>
        <v>1.0086727777777778E-2</v>
      </c>
      <c r="K428" s="681">
        <f t="shared" si="652"/>
        <v>1.0285599999999999E-2</v>
      </c>
      <c r="L428" s="681">
        <f t="shared" si="652"/>
        <v>1.0148066666666667E-2</v>
      </c>
      <c r="M428" s="681">
        <f t="shared" si="652"/>
        <v>1.0345400000000001E-2</v>
      </c>
      <c r="N428" s="681">
        <f t="shared" si="652"/>
        <v>1.0266822222222223E-2</v>
      </c>
      <c r="O428" s="681">
        <f t="shared" si="652"/>
        <v>2.5747222222222227E-2</v>
      </c>
      <c r="P428" s="681">
        <f t="shared" si="652"/>
        <v>2.535709444444445E-2</v>
      </c>
      <c r="Q428" s="681">
        <f t="shared" si="652"/>
        <v>2.5814177777777777E-2</v>
      </c>
      <c r="R428" s="681">
        <f t="shared" si="652"/>
        <v>2.5424969444444449E-2</v>
      </c>
      <c r="S428" s="681">
        <f t="shared" si="652"/>
        <v>2.5872444444444441E-2</v>
      </c>
      <c r="T428" s="681">
        <f t="shared" si="652"/>
        <v>2.5473738888888892E-2</v>
      </c>
      <c r="U428" s="681">
        <f t="shared" si="652"/>
        <v>2.5923044444444446E-2</v>
      </c>
      <c r="V428" s="681">
        <f t="shared" si="652"/>
        <v>2.5660483333333334E-2</v>
      </c>
      <c r="W428" s="681">
        <f t="shared" si="652"/>
        <v>2.5961888888888895E-2</v>
      </c>
      <c r="X428" s="681">
        <f t="shared" si="652"/>
        <v>2.5566250000000002E-2</v>
      </c>
      <c r="Y428" s="681">
        <f t="shared" si="652"/>
        <v>2.7031644444444447E-2</v>
      </c>
      <c r="Z428" s="681">
        <f t="shared" si="652"/>
        <v>2.6624094444444444E-2</v>
      </c>
      <c r="AA428" s="681">
        <f t="shared" si="652"/>
        <v>2.7101155555555558E-2</v>
      </c>
      <c r="AB428" s="681">
        <f t="shared" si="652"/>
        <v>2.6692975000000004E-2</v>
      </c>
      <c r="AC428" s="681">
        <f t="shared" si="652"/>
        <v>2.715737777777778E-2</v>
      </c>
      <c r="AD428" s="681">
        <f t="shared" si="652"/>
        <v>2.689808333333334E-2</v>
      </c>
      <c r="AE428" s="681">
        <f t="shared" si="652"/>
        <v>2.7231488888888891E-2</v>
      </c>
      <c r="AF428" s="681">
        <f t="shared" si="652"/>
        <v>2.6806100000000003E-2</v>
      </c>
      <c r="AG428" s="681">
        <f t="shared" si="652"/>
        <v>2.7276466666666669E-2</v>
      </c>
      <c r="AH428" s="681">
        <f t="shared" si="652"/>
        <v>2.6858891666666673E-2</v>
      </c>
      <c r="AI428" s="681">
        <f t="shared" si="652"/>
        <v>2.8862444444444444E-2</v>
      </c>
      <c r="AJ428" s="681">
        <f t="shared" si="652"/>
        <v>2.8414988888888895E-2</v>
      </c>
      <c r="AK428" s="681">
        <f t="shared" ref="AK428:BP428" si="653" xml:space="preserve"> AK$425</f>
        <v>2.8913555555555564E-2</v>
      </c>
      <c r="AL428" s="681">
        <f t="shared" si="653"/>
        <v>2.8634161111111119E-2</v>
      </c>
      <c r="AM428" s="681">
        <f t="shared" si="653"/>
        <v>2.8984600000000003E-2</v>
      </c>
      <c r="AN428" s="681">
        <f t="shared" si="653"/>
        <v>2.8543700000000009E-2</v>
      </c>
      <c r="AO428" s="681">
        <f t="shared" si="653"/>
        <v>2.9037755555555558E-2</v>
      </c>
      <c r="AP428" s="681">
        <f t="shared" si="653"/>
        <v>2.8586938888888896E-2</v>
      </c>
      <c r="AQ428" s="681">
        <f t="shared" si="653"/>
        <v>2.9088866666666671E-2</v>
      </c>
      <c r="AR428" s="681">
        <f t="shared" si="653"/>
        <v>2.8651294444444451E-2</v>
      </c>
      <c r="AS428" s="681">
        <f t="shared" si="653"/>
        <v>2.9154288888888893E-2</v>
      </c>
      <c r="AT428" s="681">
        <f t="shared" si="653"/>
        <v>2.8861661111111114E-2</v>
      </c>
      <c r="AU428" s="681">
        <f t="shared" si="653"/>
        <v>2.920897777777778E-2</v>
      </c>
      <c r="AV428" s="681">
        <f t="shared" si="653"/>
        <v>2.8766933333333335E-2</v>
      </c>
      <c r="AW428" s="681">
        <f t="shared" si="653"/>
        <v>1.1388577777777778E-2</v>
      </c>
      <c r="AX428" s="681">
        <f t="shared" si="653"/>
        <v>1.1237586111111112E-2</v>
      </c>
      <c r="AY428" s="681">
        <f t="shared" si="653"/>
        <v>1.1453488888888891E-2</v>
      </c>
      <c r="AZ428" s="681">
        <f t="shared" si="653"/>
        <v>1.1284847222222226E-2</v>
      </c>
      <c r="BA428" s="681">
        <f t="shared" si="653"/>
        <v>1.149437777777778E-2</v>
      </c>
      <c r="BB428" s="681">
        <f t="shared" si="653"/>
        <v>1.1392694444444445E-2</v>
      </c>
      <c r="BC428" s="681">
        <f t="shared" si="653"/>
        <v>1.1554688888888892E-2</v>
      </c>
      <c r="BD428" s="681">
        <f t="shared" si="653"/>
        <v>1.1386408333333334E-2</v>
      </c>
      <c r="BE428" s="681">
        <f t="shared" si="653"/>
        <v>1.1594044444444444E-2</v>
      </c>
      <c r="BF428" s="681">
        <f t="shared" si="653"/>
        <v>1.143015E-2</v>
      </c>
      <c r="BG428" s="681">
        <f t="shared" si="653"/>
        <v>1.1656399999999999E-2</v>
      </c>
      <c r="BH428" s="681">
        <f t="shared" si="653"/>
        <v>1.1489477777777779E-2</v>
      </c>
      <c r="BI428" s="681">
        <f t="shared" si="653"/>
        <v>1.1703933333333331E-2</v>
      </c>
      <c r="BJ428" s="681">
        <f t="shared" si="653"/>
        <v>1.1604016666666666E-2</v>
      </c>
      <c r="BK428" s="681">
        <f t="shared" si="653"/>
        <v>1.1769866666666665E-2</v>
      </c>
      <c r="BL428" s="681">
        <f t="shared" si="653"/>
        <v>1.1611149999999997E-2</v>
      </c>
      <c r="BM428" s="681">
        <f t="shared" si="653"/>
        <v>1.1830177777777777E-2</v>
      </c>
      <c r="BN428" s="681">
        <f t="shared" si="653"/>
        <v>1.1670477777777776E-2</v>
      </c>
      <c r="BO428" s="681">
        <f t="shared" si="653"/>
        <v>1.1885377777777775E-2</v>
      </c>
      <c r="BP428" s="681">
        <f t="shared" si="653"/>
        <v>1.1709191666666665E-2</v>
      </c>
      <c r="BQ428" s="681">
        <f t="shared" ref="BQ428:CV428" si="654" xml:space="preserve"> BQ$425</f>
        <v>1.1926266666666664E-2</v>
      </c>
      <c r="BR428" s="681">
        <f t="shared" si="654"/>
        <v>1.1816349999999998E-2</v>
      </c>
      <c r="BS428" s="681">
        <f t="shared" si="654"/>
        <v>1.1967155555555555E-2</v>
      </c>
      <c r="BT428" s="681">
        <f t="shared" si="654"/>
        <v>1.1801702777777777E-2</v>
      </c>
      <c r="BU428" s="681">
        <f t="shared" si="654"/>
        <v>1.2021333333333332E-2</v>
      </c>
      <c r="BV428" s="681">
        <f t="shared" si="654"/>
        <v>1.1862036111111111E-2</v>
      </c>
      <c r="BW428" s="681">
        <f t="shared" si="654"/>
        <v>1.2093399999999997E-2</v>
      </c>
      <c r="BX428" s="681">
        <f t="shared" si="654"/>
        <v>1.1930413888888883E-2</v>
      </c>
      <c r="BY428" s="681">
        <f t="shared" si="654"/>
        <v>1.2157288888888885E-2</v>
      </c>
      <c r="BZ428" s="681">
        <f t="shared" si="654"/>
        <v>1.2053455555555552E-2</v>
      </c>
      <c r="CA428" s="681">
        <f t="shared" si="654"/>
        <v>1.2219644444444443E-2</v>
      </c>
      <c r="CB428" s="681">
        <f t="shared" si="654"/>
        <v>1.2047561111111108E-2</v>
      </c>
      <c r="CC428" s="681">
        <f t="shared" si="654"/>
        <v>1.2272799999999997E-2</v>
      </c>
      <c r="CD428" s="681">
        <f t="shared" si="654"/>
        <v>1.2102363888888886E-2</v>
      </c>
      <c r="CE428" s="681">
        <f t="shared" si="654"/>
        <v>1.2327999999999999E-2</v>
      </c>
      <c r="CF428" s="681">
        <f t="shared" si="654"/>
        <v>1.2150630555555554E-2</v>
      </c>
      <c r="CG428" s="681">
        <f t="shared" si="654"/>
        <v>1.2377066666666665E-2</v>
      </c>
      <c r="CH428" s="681">
        <f t="shared" si="654"/>
        <v>1.2266799999999998E-2</v>
      </c>
      <c r="CI428" s="681">
        <f t="shared" si="654"/>
        <v>1.2421022222222218E-2</v>
      </c>
      <c r="CJ428" s="681">
        <f t="shared" si="654"/>
        <v>1.225068333333333E-2</v>
      </c>
      <c r="CK428" s="681">
        <f t="shared" si="654"/>
        <v>1.247571111111111E-2</v>
      </c>
      <c r="CL428" s="681">
        <f t="shared" si="654"/>
        <v>1.2299452777777775E-2</v>
      </c>
      <c r="CM428" s="681">
        <f t="shared" si="654"/>
        <v>1.2538066666666663E-2</v>
      </c>
      <c r="CN428" s="681">
        <f t="shared" si="654"/>
        <v>1.2361797222222219E-2</v>
      </c>
      <c r="CO428" s="681">
        <f t="shared" si="654"/>
        <v>1.2585088888888886E-2</v>
      </c>
      <c r="CP428" s="681">
        <f t="shared" si="654"/>
        <v>1.248166111111111E-2</v>
      </c>
      <c r="CQ428" s="681">
        <f t="shared" si="654"/>
        <v>1.2644377777777776E-2</v>
      </c>
      <c r="CR428" s="681">
        <f t="shared" si="654"/>
        <v>1.246386111111111E-2</v>
      </c>
      <c r="CS428" s="681">
        <f t="shared" si="654"/>
        <v>1.2693444444444441E-2</v>
      </c>
      <c r="CT428" s="681">
        <f t="shared" si="654"/>
        <v>1.2505591666666666E-2</v>
      </c>
      <c r="CU428" s="681">
        <f t="shared" si="654"/>
        <v>1.2742511111111108E-2</v>
      </c>
      <c r="CV428" s="681">
        <f t="shared" si="654"/>
        <v>1.2561399999999999E-2</v>
      </c>
    </row>
    <row r="429" spans="1:100" s="188" customFormat="1" ht="12.75" outlineLevel="2" x14ac:dyDescent="0.2">
      <c r="A429" s="527"/>
      <c r="B429" s="527"/>
      <c r="C429" s="528"/>
      <c r="D429" s="529"/>
      <c r="E429" s="530" t="s">
        <v>1070</v>
      </c>
      <c r="F429" s="530"/>
      <c r="G429" s="530" t="str">
        <f xml:space="preserve"> SMU</f>
        <v>$ 000s</v>
      </c>
      <c r="H429" s="530">
        <f xml:space="preserve"> SUM(J429:CV429)</f>
        <v>0</v>
      </c>
      <c r="I429" s="531"/>
      <c r="J429" s="530">
        <f t="shared" ref="J429:BU429" si="655" xml:space="preserve"> J427 * J428</f>
        <v>0</v>
      </c>
      <c r="K429" s="530">
        <f t="shared" si="655"/>
        <v>0</v>
      </c>
      <c r="L429" s="530">
        <f t="shared" si="655"/>
        <v>0</v>
      </c>
      <c r="M429" s="530">
        <f t="shared" si="655"/>
        <v>0</v>
      </c>
      <c r="N429" s="530">
        <f t="shared" si="655"/>
        <v>0</v>
      </c>
      <c r="O429" s="530">
        <f t="shared" si="655"/>
        <v>0</v>
      </c>
      <c r="P429" s="530">
        <f t="shared" si="655"/>
        <v>0</v>
      </c>
      <c r="Q429" s="530">
        <f t="shared" si="655"/>
        <v>0</v>
      </c>
      <c r="R429" s="530">
        <f t="shared" si="655"/>
        <v>0</v>
      </c>
      <c r="S429" s="530">
        <f t="shared" si="655"/>
        <v>0</v>
      </c>
      <c r="T429" s="530">
        <f t="shared" si="655"/>
        <v>0</v>
      </c>
      <c r="U429" s="530">
        <f t="shared" si="655"/>
        <v>0</v>
      </c>
      <c r="V429" s="530">
        <f t="shared" si="655"/>
        <v>0</v>
      </c>
      <c r="W429" s="530">
        <f t="shared" si="655"/>
        <v>0</v>
      </c>
      <c r="X429" s="530">
        <f t="shared" si="655"/>
        <v>0</v>
      </c>
      <c r="Y429" s="530">
        <f t="shared" si="655"/>
        <v>0</v>
      </c>
      <c r="Z429" s="530">
        <f t="shared" si="655"/>
        <v>0</v>
      </c>
      <c r="AA429" s="530">
        <f t="shared" si="655"/>
        <v>0</v>
      </c>
      <c r="AB429" s="530">
        <f t="shared" si="655"/>
        <v>0</v>
      </c>
      <c r="AC429" s="530">
        <f t="shared" si="655"/>
        <v>0</v>
      </c>
      <c r="AD429" s="530">
        <f t="shared" si="655"/>
        <v>0</v>
      </c>
      <c r="AE429" s="530">
        <f t="shared" si="655"/>
        <v>0</v>
      </c>
      <c r="AF429" s="530">
        <f t="shared" si="655"/>
        <v>0</v>
      </c>
      <c r="AG429" s="530">
        <f t="shared" si="655"/>
        <v>0</v>
      </c>
      <c r="AH429" s="530">
        <f t="shared" si="655"/>
        <v>0</v>
      </c>
      <c r="AI429" s="530">
        <f t="shared" si="655"/>
        <v>0</v>
      </c>
      <c r="AJ429" s="530">
        <f t="shared" si="655"/>
        <v>0</v>
      </c>
      <c r="AK429" s="530">
        <f t="shared" si="655"/>
        <v>0</v>
      </c>
      <c r="AL429" s="530">
        <f t="shared" si="655"/>
        <v>0</v>
      </c>
      <c r="AM429" s="530">
        <f t="shared" si="655"/>
        <v>0</v>
      </c>
      <c r="AN429" s="530">
        <f t="shared" si="655"/>
        <v>0</v>
      </c>
      <c r="AO429" s="530">
        <f t="shared" si="655"/>
        <v>0</v>
      </c>
      <c r="AP429" s="530">
        <f t="shared" si="655"/>
        <v>0</v>
      </c>
      <c r="AQ429" s="530">
        <f t="shared" si="655"/>
        <v>0</v>
      </c>
      <c r="AR429" s="530">
        <f t="shared" si="655"/>
        <v>0</v>
      </c>
      <c r="AS429" s="530">
        <f t="shared" si="655"/>
        <v>0</v>
      </c>
      <c r="AT429" s="530">
        <f t="shared" si="655"/>
        <v>0</v>
      </c>
      <c r="AU429" s="530">
        <f t="shared" si="655"/>
        <v>0</v>
      </c>
      <c r="AV429" s="530">
        <f t="shared" si="655"/>
        <v>0</v>
      </c>
      <c r="AW429" s="530">
        <f t="shared" si="655"/>
        <v>0</v>
      </c>
      <c r="AX429" s="530">
        <f t="shared" si="655"/>
        <v>0</v>
      </c>
      <c r="AY429" s="530">
        <f t="shared" si="655"/>
        <v>0</v>
      </c>
      <c r="AZ429" s="530">
        <f t="shared" si="655"/>
        <v>0</v>
      </c>
      <c r="BA429" s="530">
        <f t="shared" si="655"/>
        <v>0</v>
      </c>
      <c r="BB429" s="530">
        <f t="shared" si="655"/>
        <v>0</v>
      </c>
      <c r="BC429" s="530">
        <f t="shared" si="655"/>
        <v>0</v>
      </c>
      <c r="BD429" s="530">
        <f t="shared" si="655"/>
        <v>0</v>
      </c>
      <c r="BE429" s="530">
        <f t="shared" si="655"/>
        <v>0</v>
      </c>
      <c r="BF429" s="530">
        <f t="shared" si="655"/>
        <v>0</v>
      </c>
      <c r="BG429" s="530">
        <f t="shared" si="655"/>
        <v>0</v>
      </c>
      <c r="BH429" s="530">
        <f t="shared" si="655"/>
        <v>0</v>
      </c>
      <c r="BI429" s="530">
        <f t="shared" si="655"/>
        <v>0</v>
      </c>
      <c r="BJ429" s="530">
        <f t="shared" si="655"/>
        <v>0</v>
      </c>
      <c r="BK429" s="530">
        <f t="shared" si="655"/>
        <v>0</v>
      </c>
      <c r="BL429" s="530">
        <f t="shared" si="655"/>
        <v>0</v>
      </c>
      <c r="BM429" s="530">
        <f t="shared" si="655"/>
        <v>0</v>
      </c>
      <c r="BN429" s="530">
        <f t="shared" si="655"/>
        <v>0</v>
      </c>
      <c r="BO429" s="530">
        <f t="shared" si="655"/>
        <v>0</v>
      </c>
      <c r="BP429" s="530">
        <f t="shared" si="655"/>
        <v>0</v>
      </c>
      <c r="BQ429" s="530">
        <f t="shared" si="655"/>
        <v>0</v>
      </c>
      <c r="BR429" s="530">
        <f t="shared" si="655"/>
        <v>0</v>
      </c>
      <c r="BS429" s="530">
        <f t="shared" si="655"/>
        <v>0</v>
      </c>
      <c r="BT429" s="530">
        <f t="shared" si="655"/>
        <v>0</v>
      </c>
      <c r="BU429" s="530">
        <f t="shared" si="655"/>
        <v>0</v>
      </c>
      <c r="BV429" s="530">
        <f t="shared" ref="BV429:CV429" si="656" xml:space="preserve"> BV427 * BV428</f>
        <v>0</v>
      </c>
      <c r="BW429" s="530">
        <f t="shared" si="656"/>
        <v>0</v>
      </c>
      <c r="BX429" s="530">
        <f t="shared" si="656"/>
        <v>0</v>
      </c>
      <c r="BY429" s="530">
        <f t="shared" si="656"/>
        <v>0</v>
      </c>
      <c r="BZ429" s="530">
        <f t="shared" si="656"/>
        <v>0</v>
      </c>
      <c r="CA429" s="530">
        <f t="shared" si="656"/>
        <v>0</v>
      </c>
      <c r="CB429" s="530">
        <f t="shared" si="656"/>
        <v>0</v>
      </c>
      <c r="CC429" s="530">
        <f t="shared" si="656"/>
        <v>0</v>
      </c>
      <c r="CD429" s="530">
        <f t="shared" si="656"/>
        <v>0</v>
      </c>
      <c r="CE429" s="530">
        <f t="shared" si="656"/>
        <v>0</v>
      </c>
      <c r="CF429" s="530">
        <f t="shared" si="656"/>
        <v>0</v>
      </c>
      <c r="CG429" s="530">
        <f t="shared" si="656"/>
        <v>0</v>
      </c>
      <c r="CH429" s="530">
        <f t="shared" si="656"/>
        <v>0</v>
      </c>
      <c r="CI429" s="530">
        <f t="shared" si="656"/>
        <v>0</v>
      </c>
      <c r="CJ429" s="530">
        <f t="shared" si="656"/>
        <v>0</v>
      </c>
      <c r="CK429" s="530">
        <f t="shared" si="656"/>
        <v>0</v>
      </c>
      <c r="CL429" s="530">
        <f t="shared" si="656"/>
        <v>0</v>
      </c>
      <c r="CM429" s="530">
        <f t="shared" si="656"/>
        <v>0</v>
      </c>
      <c r="CN429" s="530">
        <f t="shared" si="656"/>
        <v>0</v>
      </c>
      <c r="CO429" s="530">
        <f t="shared" si="656"/>
        <v>0</v>
      </c>
      <c r="CP429" s="530">
        <f t="shared" si="656"/>
        <v>0</v>
      </c>
      <c r="CQ429" s="530">
        <f t="shared" si="656"/>
        <v>0</v>
      </c>
      <c r="CR429" s="530">
        <f t="shared" si="656"/>
        <v>0</v>
      </c>
      <c r="CS429" s="530">
        <f t="shared" si="656"/>
        <v>0</v>
      </c>
      <c r="CT429" s="530">
        <f t="shared" si="656"/>
        <v>0</v>
      </c>
      <c r="CU429" s="530">
        <f t="shared" si="656"/>
        <v>0</v>
      </c>
      <c r="CV429" s="530">
        <f t="shared" si="656"/>
        <v>0</v>
      </c>
    </row>
    <row r="430" spans="1:100" s="188" customFormat="1" ht="12.75" outlineLevel="2" x14ac:dyDescent="0.2">
      <c r="A430" s="527"/>
      <c r="B430" s="527"/>
      <c r="C430" s="528"/>
      <c r="D430" s="529"/>
      <c r="E430" s="530" t="str">
        <f xml:space="preserve"> LEFT(E429, LEN(E429) - 4)</f>
        <v>Standby debt interest - T2</v>
      </c>
      <c r="F430" s="530"/>
      <c r="G430" s="530" t="str">
        <f xml:space="preserve"> SMU</f>
        <v>$ 000s</v>
      </c>
      <c r="H430" s="530">
        <f xml:space="preserve"> SUM(J430:CV430)</f>
        <v>0</v>
      </c>
      <c r="I430" s="531"/>
      <c r="J430" s="530">
        <f t="shared" ref="J430:BU430" si="657" xml:space="preserve"> -1 * J429</f>
        <v>0</v>
      </c>
      <c r="K430" s="530">
        <f t="shared" si="657"/>
        <v>0</v>
      </c>
      <c r="L430" s="530">
        <f t="shared" si="657"/>
        <v>0</v>
      </c>
      <c r="M430" s="530">
        <f t="shared" si="657"/>
        <v>0</v>
      </c>
      <c r="N430" s="530">
        <f t="shared" si="657"/>
        <v>0</v>
      </c>
      <c r="O430" s="530">
        <f t="shared" si="657"/>
        <v>0</v>
      </c>
      <c r="P430" s="530">
        <f t="shared" si="657"/>
        <v>0</v>
      </c>
      <c r="Q430" s="530">
        <f t="shared" si="657"/>
        <v>0</v>
      </c>
      <c r="R430" s="530">
        <f t="shared" si="657"/>
        <v>0</v>
      </c>
      <c r="S430" s="530">
        <f t="shared" si="657"/>
        <v>0</v>
      </c>
      <c r="T430" s="530">
        <f t="shared" si="657"/>
        <v>0</v>
      </c>
      <c r="U430" s="530">
        <f t="shared" si="657"/>
        <v>0</v>
      </c>
      <c r="V430" s="530">
        <f t="shared" si="657"/>
        <v>0</v>
      </c>
      <c r="W430" s="530">
        <f t="shared" si="657"/>
        <v>0</v>
      </c>
      <c r="X430" s="530">
        <f t="shared" si="657"/>
        <v>0</v>
      </c>
      <c r="Y430" s="530">
        <f t="shared" si="657"/>
        <v>0</v>
      </c>
      <c r="Z430" s="530">
        <f t="shared" si="657"/>
        <v>0</v>
      </c>
      <c r="AA430" s="530">
        <f t="shared" si="657"/>
        <v>0</v>
      </c>
      <c r="AB430" s="530">
        <f t="shared" si="657"/>
        <v>0</v>
      </c>
      <c r="AC430" s="530">
        <f t="shared" si="657"/>
        <v>0</v>
      </c>
      <c r="AD430" s="530">
        <f t="shared" si="657"/>
        <v>0</v>
      </c>
      <c r="AE430" s="530">
        <f t="shared" si="657"/>
        <v>0</v>
      </c>
      <c r="AF430" s="530">
        <f t="shared" si="657"/>
        <v>0</v>
      </c>
      <c r="AG430" s="530">
        <f t="shared" si="657"/>
        <v>0</v>
      </c>
      <c r="AH430" s="530">
        <f t="shared" si="657"/>
        <v>0</v>
      </c>
      <c r="AI430" s="530">
        <f t="shared" si="657"/>
        <v>0</v>
      </c>
      <c r="AJ430" s="530">
        <f t="shared" si="657"/>
        <v>0</v>
      </c>
      <c r="AK430" s="530">
        <f t="shared" si="657"/>
        <v>0</v>
      </c>
      <c r="AL430" s="530">
        <f t="shared" si="657"/>
        <v>0</v>
      </c>
      <c r="AM430" s="530">
        <f t="shared" si="657"/>
        <v>0</v>
      </c>
      <c r="AN430" s="530">
        <f t="shared" si="657"/>
        <v>0</v>
      </c>
      <c r="AO430" s="530">
        <f t="shared" si="657"/>
        <v>0</v>
      </c>
      <c r="AP430" s="530">
        <f t="shared" si="657"/>
        <v>0</v>
      </c>
      <c r="AQ430" s="530">
        <f t="shared" si="657"/>
        <v>0</v>
      </c>
      <c r="AR430" s="530">
        <f t="shared" si="657"/>
        <v>0</v>
      </c>
      <c r="AS430" s="530">
        <f t="shared" si="657"/>
        <v>0</v>
      </c>
      <c r="AT430" s="530">
        <f t="shared" si="657"/>
        <v>0</v>
      </c>
      <c r="AU430" s="530">
        <f t="shared" si="657"/>
        <v>0</v>
      </c>
      <c r="AV430" s="530">
        <f t="shared" si="657"/>
        <v>0</v>
      </c>
      <c r="AW430" s="530">
        <f t="shared" si="657"/>
        <v>0</v>
      </c>
      <c r="AX430" s="530">
        <f t="shared" si="657"/>
        <v>0</v>
      </c>
      <c r="AY430" s="530">
        <f t="shared" si="657"/>
        <v>0</v>
      </c>
      <c r="AZ430" s="530">
        <f t="shared" si="657"/>
        <v>0</v>
      </c>
      <c r="BA430" s="530">
        <f t="shared" si="657"/>
        <v>0</v>
      </c>
      <c r="BB430" s="530">
        <f t="shared" si="657"/>
        <v>0</v>
      </c>
      <c r="BC430" s="530">
        <f t="shared" si="657"/>
        <v>0</v>
      </c>
      <c r="BD430" s="530">
        <f t="shared" si="657"/>
        <v>0</v>
      </c>
      <c r="BE430" s="530">
        <f t="shared" si="657"/>
        <v>0</v>
      </c>
      <c r="BF430" s="530">
        <f t="shared" si="657"/>
        <v>0</v>
      </c>
      <c r="BG430" s="530">
        <f t="shared" si="657"/>
        <v>0</v>
      </c>
      <c r="BH430" s="530">
        <f t="shared" si="657"/>
        <v>0</v>
      </c>
      <c r="BI430" s="530">
        <f t="shared" si="657"/>
        <v>0</v>
      </c>
      <c r="BJ430" s="530">
        <f t="shared" si="657"/>
        <v>0</v>
      </c>
      <c r="BK430" s="530">
        <f t="shared" si="657"/>
        <v>0</v>
      </c>
      <c r="BL430" s="530">
        <f t="shared" si="657"/>
        <v>0</v>
      </c>
      <c r="BM430" s="530">
        <f t="shared" si="657"/>
        <v>0</v>
      </c>
      <c r="BN430" s="530">
        <f t="shared" si="657"/>
        <v>0</v>
      </c>
      <c r="BO430" s="530">
        <f t="shared" si="657"/>
        <v>0</v>
      </c>
      <c r="BP430" s="530">
        <f t="shared" si="657"/>
        <v>0</v>
      </c>
      <c r="BQ430" s="530">
        <f t="shared" si="657"/>
        <v>0</v>
      </c>
      <c r="BR430" s="530">
        <f t="shared" si="657"/>
        <v>0</v>
      </c>
      <c r="BS430" s="530">
        <f t="shared" si="657"/>
        <v>0</v>
      </c>
      <c r="BT430" s="530">
        <f t="shared" si="657"/>
        <v>0</v>
      </c>
      <c r="BU430" s="530">
        <f t="shared" si="657"/>
        <v>0</v>
      </c>
      <c r="BV430" s="530">
        <f t="shared" ref="BV430:CV430" si="658" xml:space="preserve"> -1 * BV429</f>
        <v>0</v>
      </c>
      <c r="BW430" s="530">
        <f t="shared" si="658"/>
        <v>0</v>
      </c>
      <c r="BX430" s="530">
        <f t="shared" si="658"/>
        <v>0</v>
      </c>
      <c r="BY430" s="530">
        <f t="shared" si="658"/>
        <v>0</v>
      </c>
      <c r="BZ430" s="530">
        <f t="shared" si="658"/>
        <v>0</v>
      </c>
      <c r="CA430" s="530">
        <f t="shared" si="658"/>
        <v>0</v>
      </c>
      <c r="CB430" s="530">
        <f t="shared" si="658"/>
        <v>0</v>
      </c>
      <c r="CC430" s="530">
        <f t="shared" si="658"/>
        <v>0</v>
      </c>
      <c r="CD430" s="530">
        <f t="shared" si="658"/>
        <v>0</v>
      </c>
      <c r="CE430" s="530">
        <f t="shared" si="658"/>
        <v>0</v>
      </c>
      <c r="CF430" s="530">
        <f t="shared" si="658"/>
        <v>0</v>
      </c>
      <c r="CG430" s="530">
        <f t="shared" si="658"/>
        <v>0</v>
      </c>
      <c r="CH430" s="530">
        <f t="shared" si="658"/>
        <v>0</v>
      </c>
      <c r="CI430" s="530">
        <f t="shared" si="658"/>
        <v>0</v>
      </c>
      <c r="CJ430" s="530">
        <f t="shared" si="658"/>
        <v>0</v>
      </c>
      <c r="CK430" s="530">
        <f t="shared" si="658"/>
        <v>0</v>
      </c>
      <c r="CL430" s="530">
        <f t="shared" si="658"/>
        <v>0</v>
      </c>
      <c r="CM430" s="530">
        <f t="shared" si="658"/>
        <v>0</v>
      </c>
      <c r="CN430" s="530">
        <f t="shared" si="658"/>
        <v>0</v>
      </c>
      <c r="CO430" s="530">
        <f t="shared" si="658"/>
        <v>0</v>
      </c>
      <c r="CP430" s="530">
        <f t="shared" si="658"/>
        <v>0</v>
      </c>
      <c r="CQ430" s="530">
        <f t="shared" si="658"/>
        <v>0</v>
      </c>
      <c r="CR430" s="530">
        <f t="shared" si="658"/>
        <v>0</v>
      </c>
      <c r="CS430" s="530">
        <f t="shared" si="658"/>
        <v>0</v>
      </c>
      <c r="CT430" s="530">
        <f t="shared" si="658"/>
        <v>0</v>
      </c>
      <c r="CU430" s="530">
        <f t="shared" si="658"/>
        <v>0</v>
      </c>
      <c r="CV430" s="530">
        <f t="shared" si="658"/>
        <v>0</v>
      </c>
    </row>
    <row r="431" spans="1:100" ht="12.75" outlineLevel="2" x14ac:dyDescent="0.2">
      <c r="A431" s="522"/>
      <c r="B431" s="522"/>
      <c r="C431" s="523"/>
      <c r="D431" s="524"/>
      <c r="E431" s="525"/>
      <c r="F431" s="525"/>
      <c r="G431" s="525"/>
      <c r="H431" s="525"/>
      <c r="I431" s="526"/>
      <c r="J431" s="525"/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</row>
    <row r="432" spans="1:100" ht="12.75" outlineLevel="2" x14ac:dyDescent="0.2">
      <c r="A432" s="522"/>
      <c r="B432" s="522"/>
      <c r="C432" s="523" t="s">
        <v>447</v>
      </c>
      <c r="D432" s="524"/>
      <c r="E432" s="525"/>
      <c r="F432" s="525"/>
      <c r="G432" s="525"/>
      <c r="H432" s="525"/>
      <c r="I432" s="526"/>
      <c r="J432" s="525"/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</row>
    <row r="433" spans="1:100" s="626" customFormat="1" ht="12.75" outlineLevel="2" x14ac:dyDescent="0.2">
      <c r="A433" s="1075"/>
      <c r="B433" s="1075"/>
      <c r="C433" s="1076"/>
      <c r="D433" s="1077"/>
      <c r="E433" s="1078" t="s">
        <v>1052</v>
      </c>
      <c r="F433" s="1078"/>
      <c r="G433" s="1078" t="str">
        <f xml:space="preserve"> SMU</f>
        <v>$ 000s</v>
      </c>
      <c r="H433" s="1078"/>
      <c r="I433" s="1079"/>
      <c r="J433" s="1078">
        <f t="shared" ref="J433" si="659">I436</f>
        <v>0</v>
      </c>
      <c r="K433" s="1078">
        <f t="shared" ref="K433" si="660">J436</f>
        <v>0</v>
      </c>
      <c r="L433" s="1078">
        <f t="shared" ref="L433" si="661">K436</f>
        <v>0</v>
      </c>
      <c r="M433" s="1078">
        <f t="shared" ref="M433" si="662">L436</f>
        <v>0</v>
      </c>
      <c r="N433" s="1078">
        <f t="shared" ref="N433" si="663">M436</f>
        <v>0</v>
      </c>
      <c r="O433" s="1078">
        <f t="shared" ref="O433" si="664">N436</f>
        <v>0</v>
      </c>
      <c r="P433" s="1078">
        <f t="shared" ref="P433" si="665">O436</f>
        <v>0</v>
      </c>
      <c r="Q433" s="1078">
        <f t="shared" ref="Q433" si="666">P436</f>
        <v>0</v>
      </c>
      <c r="R433" s="1078">
        <f t="shared" ref="R433" si="667">Q436</f>
        <v>0</v>
      </c>
      <c r="S433" s="1078">
        <f t="shared" ref="S433" si="668">R436</f>
        <v>0</v>
      </c>
      <c r="T433" s="1078">
        <f t="shared" ref="T433" si="669">S436</f>
        <v>0</v>
      </c>
      <c r="U433" s="1078">
        <f t="shared" ref="U433" si="670">T436</f>
        <v>0</v>
      </c>
      <c r="V433" s="1078">
        <f t="shared" ref="V433" si="671">U436</f>
        <v>0</v>
      </c>
      <c r="W433" s="1078">
        <f t="shared" ref="W433" si="672">V436</f>
        <v>0</v>
      </c>
      <c r="X433" s="1078">
        <f t="shared" ref="X433" si="673">W436</f>
        <v>0</v>
      </c>
      <c r="Y433" s="1078">
        <f t="shared" ref="Y433" si="674">X436</f>
        <v>0</v>
      </c>
      <c r="Z433" s="1078">
        <f t="shared" ref="Z433" si="675">Y436</f>
        <v>0</v>
      </c>
      <c r="AA433" s="1078">
        <f t="shared" ref="AA433" si="676">Z436</f>
        <v>0</v>
      </c>
      <c r="AB433" s="1078">
        <f t="shared" ref="AB433" si="677">AA436</f>
        <v>0</v>
      </c>
      <c r="AC433" s="1078">
        <f t="shared" ref="AC433" si="678">AB436</f>
        <v>0</v>
      </c>
      <c r="AD433" s="1078">
        <f t="shared" ref="AD433" si="679">AC436</f>
        <v>0</v>
      </c>
      <c r="AE433" s="1078">
        <f t="shared" ref="AE433" si="680">AD436</f>
        <v>0</v>
      </c>
      <c r="AF433" s="1078">
        <f t="shared" ref="AF433" si="681">AE436</f>
        <v>0</v>
      </c>
      <c r="AG433" s="1078">
        <f t="shared" ref="AG433" si="682">AF436</f>
        <v>0</v>
      </c>
      <c r="AH433" s="1078">
        <f t="shared" ref="AH433" si="683">AG436</f>
        <v>0</v>
      </c>
      <c r="AI433" s="1078">
        <f t="shared" ref="AI433" si="684">AH436</f>
        <v>0</v>
      </c>
      <c r="AJ433" s="1078">
        <f t="shared" ref="AJ433" si="685">AI436</f>
        <v>0</v>
      </c>
      <c r="AK433" s="1078">
        <f t="shared" ref="AK433" si="686">AJ436</f>
        <v>0</v>
      </c>
      <c r="AL433" s="1078">
        <f t="shared" ref="AL433" si="687">AK436</f>
        <v>0</v>
      </c>
      <c r="AM433" s="1078">
        <f t="shared" ref="AM433" si="688">AL436</f>
        <v>0</v>
      </c>
      <c r="AN433" s="1078">
        <f t="shared" ref="AN433" si="689">AM436</f>
        <v>0</v>
      </c>
      <c r="AO433" s="1078">
        <f t="shared" ref="AO433" si="690">AN436</f>
        <v>0</v>
      </c>
      <c r="AP433" s="1078">
        <f t="shared" ref="AP433" si="691">AO436</f>
        <v>0</v>
      </c>
      <c r="AQ433" s="1078">
        <f t="shared" ref="AQ433" si="692">AP436</f>
        <v>0</v>
      </c>
      <c r="AR433" s="1078">
        <f t="shared" ref="AR433" si="693">AQ436</f>
        <v>0</v>
      </c>
      <c r="AS433" s="1078">
        <f t="shared" ref="AS433" si="694">AR436</f>
        <v>0</v>
      </c>
      <c r="AT433" s="1078">
        <f t="shared" ref="AT433" si="695">AS436</f>
        <v>0</v>
      </c>
      <c r="AU433" s="1078">
        <f t="shared" ref="AU433" si="696">AT436</f>
        <v>0</v>
      </c>
      <c r="AV433" s="1078">
        <f t="shared" ref="AV433" si="697">AU436</f>
        <v>0</v>
      </c>
      <c r="AW433" s="1078">
        <f t="shared" ref="AW433" si="698">AV436</f>
        <v>0</v>
      </c>
      <c r="AX433" s="1078">
        <f t="shared" ref="AX433" si="699">AW436</f>
        <v>0</v>
      </c>
      <c r="AY433" s="1078">
        <f t="shared" ref="AY433" si="700">AX436</f>
        <v>0</v>
      </c>
      <c r="AZ433" s="1078">
        <f t="shared" ref="AZ433" si="701">AY436</f>
        <v>0</v>
      </c>
      <c r="BA433" s="1078">
        <f t="shared" ref="BA433" si="702">AZ436</f>
        <v>0</v>
      </c>
      <c r="BB433" s="1078">
        <f t="shared" ref="BB433" si="703">BA436</f>
        <v>0</v>
      </c>
      <c r="BC433" s="1078">
        <f t="shared" ref="BC433" si="704">BB436</f>
        <v>0</v>
      </c>
      <c r="BD433" s="1078">
        <f t="shared" ref="BD433" si="705">BC436</f>
        <v>0</v>
      </c>
      <c r="BE433" s="1078">
        <f t="shared" ref="BE433" si="706">BD436</f>
        <v>0</v>
      </c>
      <c r="BF433" s="1078">
        <f t="shared" ref="BF433" si="707">BE436</f>
        <v>0</v>
      </c>
      <c r="BG433" s="1078">
        <f t="shared" ref="BG433" si="708">BF436</f>
        <v>0</v>
      </c>
      <c r="BH433" s="1078">
        <f t="shared" ref="BH433" si="709">BG436</f>
        <v>0</v>
      </c>
      <c r="BI433" s="1078">
        <f t="shared" ref="BI433" si="710">BH436</f>
        <v>0</v>
      </c>
      <c r="BJ433" s="1078">
        <f t="shared" ref="BJ433" si="711">BI436</f>
        <v>0</v>
      </c>
      <c r="BK433" s="1078">
        <f t="shared" ref="BK433" si="712">BJ436</f>
        <v>0</v>
      </c>
      <c r="BL433" s="1078">
        <f t="shared" ref="BL433" si="713">BK436</f>
        <v>0</v>
      </c>
      <c r="BM433" s="1078">
        <f t="shared" ref="BM433" si="714">BL436</f>
        <v>0</v>
      </c>
      <c r="BN433" s="1078">
        <f t="shared" ref="BN433" si="715">BM436</f>
        <v>0</v>
      </c>
      <c r="BO433" s="1078">
        <f t="shared" ref="BO433" si="716">BN436</f>
        <v>0</v>
      </c>
      <c r="BP433" s="1078">
        <f t="shared" ref="BP433" si="717">BO436</f>
        <v>0</v>
      </c>
      <c r="BQ433" s="1078">
        <f t="shared" ref="BQ433" si="718">BP436</f>
        <v>0</v>
      </c>
      <c r="BR433" s="1078">
        <f t="shared" ref="BR433" si="719">BQ436</f>
        <v>0</v>
      </c>
      <c r="BS433" s="1078">
        <f t="shared" ref="BS433" si="720">BR436</f>
        <v>0</v>
      </c>
      <c r="BT433" s="1078">
        <f t="shared" ref="BT433" si="721">BS436</f>
        <v>0</v>
      </c>
      <c r="BU433" s="1078">
        <f t="shared" ref="BU433" si="722">BT436</f>
        <v>0</v>
      </c>
      <c r="BV433" s="1078">
        <f t="shared" ref="BV433" si="723">BU436</f>
        <v>0</v>
      </c>
      <c r="BW433" s="1078">
        <f t="shared" ref="BW433" si="724">BV436</f>
        <v>0</v>
      </c>
      <c r="BX433" s="1078">
        <f t="shared" ref="BX433" si="725">BW436</f>
        <v>0</v>
      </c>
      <c r="BY433" s="1078">
        <f t="shared" ref="BY433" si="726">BX436</f>
        <v>0</v>
      </c>
      <c r="BZ433" s="1078">
        <f t="shared" ref="BZ433" si="727">BY436</f>
        <v>0</v>
      </c>
      <c r="CA433" s="1078">
        <f t="shared" ref="CA433" si="728">BZ436</f>
        <v>0</v>
      </c>
      <c r="CB433" s="1078">
        <f t="shared" ref="CB433" si="729">CA436</f>
        <v>0</v>
      </c>
      <c r="CC433" s="1078">
        <f t="shared" ref="CC433" si="730">CB436</f>
        <v>0</v>
      </c>
      <c r="CD433" s="1078">
        <f t="shared" ref="CD433" si="731">CC436</f>
        <v>0</v>
      </c>
      <c r="CE433" s="1078">
        <f t="shared" ref="CE433" si="732">CD436</f>
        <v>0</v>
      </c>
      <c r="CF433" s="1078">
        <f t="shared" ref="CF433" si="733">CE436</f>
        <v>0</v>
      </c>
      <c r="CG433" s="1078">
        <f t="shared" ref="CG433" si="734">CF436</f>
        <v>0</v>
      </c>
      <c r="CH433" s="1078">
        <f t="shared" ref="CH433" si="735">CG436</f>
        <v>0</v>
      </c>
      <c r="CI433" s="1078">
        <f t="shared" ref="CI433" si="736">CH436</f>
        <v>0</v>
      </c>
      <c r="CJ433" s="1078">
        <f t="shared" ref="CJ433" si="737">CI436</f>
        <v>0</v>
      </c>
      <c r="CK433" s="1078">
        <f t="shared" ref="CK433" si="738">CJ436</f>
        <v>0</v>
      </c>
      <c r="CL433" s="1078">
        <f t="shared" ref="CL433" si="739">CK436</f>
        <v>0</v>
      </c>
      <c r="CM433" s="1078">
        <f t="shared" ref="CM433" si="740">CL436</f>
        <v>0</v>
      </c>
      <c r="CN433" s="1078">
        <f t="shared" ref="CN433" si="741">CM436</f>
        <v>0</v>
      </c>
      <c r="CO433" s="1078">
        <f t="shared" ref="CO433" si="742">CN436</f>
        <v>0</v>
      </c>
      <c r="CP433" s="1078">
        <f t="shared" ref="CP433" si="743">CO436</f>
        <v>0</v>
      </c>
      <c r="CQ433" s="1078">
        <f t="shared" ref="CQ433" si="744">CP436</f>
        <v>0</v>
      </c>
      <c r="CR433" s="1078">
        <f t="shared" ref="CR433" si="745">CQ436</f>
        <v>0</v>
      </c>
      <c r="CS433" s="1078">
        <f t="shared" ref="CS433" si="746">CR436</f>
        <v>0</v>
      </c>
      <c r="CT433" s="1078">
        <f t="shared" ref="CT433" si="747">CS436</f>
        <v>0</v>
      </c>
      <c r="CU433" s="1078">
        <f t="shared" ref="CU433" si="748">CT436</f>
        <v>0</v>
      </c>
      <c r="CV433" s="1078">
        <f t="shared" ref="CV433" si="749">CU436</f>
        <v>0</v>
      </c>
    </row>
    <row r="434" spans="1:100" s="540" customFormat="1" ht="12.75" outlineLevel="2" x14ac:dyDescent="0.2">
      <c r="A434" s="522"/>
      <c r="B434" s="522"/>
      <c r="C434" s="523"/>
      <c r="D434" s="524"/>
      <c r="E434" s="699" t="str">
        <f xml:space="preserve"> ConFin!E$661</f>
        <v>Standby debt drawdown - T2</v>
      </c>
      <c r="F434" s="699">
        <f xml:space="preserve"> ConFin!F$661</f>
        <v>0</v>
      </c>
      <c r="G434" s="699" t="str">
        <f xml:space="preserve"> ConFin!G$661</f>
        <v>$ 000s</v>
      </c>
      <c r="H434" s="699">
        <f xml:space="preserve"> ConFin!H$661</f>
        <v>0</v>
      </c>
      <c r="I434" s="699">
        <f xml:space="preserve"> ConFin!I$661</f>
        <v>0</v>
      </c>
      <c r="J434" s="699">
        <f xml:space="preserve"> ConFin!J$661</f>
        <v>0</v>
      </c>
      <c r="K434" s="699">
        <f xml:space="preserve"> ConFin!K$661</f>
        <v>0</v>
      </c>
      <c r="L434" s="699">
        <f xml:space="preserve"> ConFin!L$661</f>
        <v>0</v>
      </c>
      <c r="M434" s="699">
        <f xml:space="preserve"> ConFin!M$661</f>
        <v>0</v>
      </c>
      <c r="N434" s="699">
        <f xml:space="preserve"> ConFin!N$661</f>
        <v>0</v>
      </c>
      <c r="O434" s="699">
        <f xml:space="preserve"> ConFin!O$661</f>
        <v>0</v>
      </c>
      <c r="P434" s="699">
        <f xml:space="preserve"> ConFin!P$661</f>
        <v>0</v>
      </c>
      <c r="Q434" s="699">
        <f xml:space="preserve"> ConFin!Q$661</f>
        <v>0</v>
      </c>
      <c r="R434" s="699">
        <f xml:space="preserve"> ConFin!R$661</f>
        <v>0</v>
      </c>
      <c r="S434" s="699">
        <f xml:space="preserve"> ConFin!S$661</f>
        <v>0</v>
      </c>
      <c r="T434" s="699">
        <f xml:space="preserve"> ConFin!T$661</f>
        <v>0</v>
      </c>
      <c r="U434" s="699">
        <f xml:space="preserve"> ConFin!U$661</f>
        <v>0</v>
      </c>
      <c r="V434" s="699">
        <f xml:space="preserve"> ConFin!V$661</f>
        <v>0</v>
      </c>
      <c r="W434" s="699">
        <f xml:space="preserve"> ConFin!W$661</f>
        <v>0</v>
      </c>
      <c r="X434" s="699">
        <f xml:space="preserve"> ConFin!X$661</f>
        <v>0</v>
      </c>
      <c r="Y434" s="699">
        <f xml:space="preserve"> ConFin!Y$661</f>
        <v>0</v>
      </c>
      <c r="Z434" s="699">
        <f xml:space="preserve"> ConFin!Z$661</f>
        <v>0</v>
      </c>
      <c r="AA434" s="699">
        <f xml:space="preserve"> ConFin!AA$661</f>
        <v>0</v>
      </c>
      <c r="AB434" s="699">
        <f xml:space="preserve"> ConFin!AB$661</f>
        <v>0</v>
      </c>
      <c r="AC434" s="699">
        <f xml:space="preserve"> ConFin!AC$661</f>
        <v>0</v>
      </c>
      <c r="AD434" s="699">
        <f xml:space="preserve"> ConFin!AD$661</f>
        <v>0</v>
      </c>
      <c r="AE434" s="699">
        <f xml:space="preserve"> ConFin!AE$661</f>
        <v>0</v>
      </c>
      <c r="AF434" s="699">
        <f xml:space="preserve"> ConFin!AF$661</f>
        <v>0</v>
      </c>
      <c r="AG434" s="699">
        <f xml:space="preserve"> ConFin!AG$661</f>
        <v>0</v>
      </c>
      <c r="AH434" s="699">
        <f xml:space="preserve"> ConFin!AH$661</f>
        <v>0</v>
      </c>
      <c r="AI434" s="699">
        <f xml:space="preserve"> ConFin!AI$661</f>
        <v>0</v>
      </c>
      <c r="AJ434" s="699">
        <f xml:space="preserve"> ConFin!AJ$661</f>
        <v>0</v>
      </c>
      <c r="AK434" s="699">
        <f xml:space="preserve"> ConFin!AK$661</f>
        <v>0</v>
      </c>
      <c r="AL434" s="699">
        <f xml:space="preserve"> ConFin!AL$661</f>
        <v>0</v>
      </c>
      <c r="AM434" s="699">
        <f xml:space="preserve"> ConFin!AM$661</f>
        <v>0</v>
      </c>
      <c r="AN434" s="699">
        <f xml:space="preserve"> ConFin!AN$661</f>
        <v>0</v>
      </c>
      <c r="AO434" s="699">
        <f xml:space="preserve"> ConFin!AO$661</f>
        <v>0</v>
      </c>
      <c r="AP434" s="699">
        <f xml:space="preserve"> ConFin!AP$661</f>
        <v>0</v>
      </c>
      <c r="AQ434" s="699">
        <f xml:space="preserve"> ConFin!AQ$661</f>
        <v>0</v>
      </c>
      <c r="AR434" s="699">
        <f xml:space="preserve"> ConFin!AR$661</f>
        <v>0</v>
      </c>
      <c r="AS434" s="699">
        <f xml:space="preserve"> ConFin!AS$661</f>
        <v>0</v>
      </c>
      <c r="AT434" s="699">
        <f xml:space="preserve"> ConFin!AT$661</f>
        <v>0</v>
      </c>
      <c r="AU434" s="699">
        <f xml:space="preserve"> ConFin!AU$661</f>
        <v>0</v>
      </c>
      <c r="AV434" s="699">
        <f xml:space="preserve"> ConFin!AV$661</f>
        <v>0</v>
      </c>
      <c r="AW434" s="699">
        <f xml:space="preserve"> ConFin!AW$661</f>
        <v>0</v>
      </c>
      <c r="AX434" s="699">
        <f xml:space="preserve"> ConFin!AX$661</f>
        <v>0</v>
      </c>
      <c r="AY434" s="699">
        <f xml:space="preserve"> ConFin!AY$661</f>
        <v>0</v>
      </c>
      <c r="AZ434" s="699">
        <f xml:space="preserve"> ConFin!AZ$661</f>
        <v>0</v>
      </c>
      <c r="BA434" s="699">
        <f xml:space="preserve"> ConFin!BA$661</f>
        <v>0</v>
      </c>
      <c r="BB434" s="699">
        <f xml:space="preserve"> ConFin!BB$661</f>
        <v>0</v>
      </c>
      <c r="BC434" s="699">
        <f xml:space="preserve"> ConFin!BC$661</f>
        <v>0</v>
      </c>
      <c r="BD434" s="699">
        <f xml:space="preserve"> ConFin!BD$661</f>
        <v>0</v>
      </c>
      <c r="BE434" s="699">
        <f xml:space="preserve"> ConFin!BE$661</f>
        <v>0</v>
      </c>
      <c r="BF434" s="699">
        <f xml:space="preserve"> ConFin!BF$661</f>
        <v>0</v>
      </c>
      <c r="BG434" s="699">
        <f xml:space="preserve"> ConFin!BG$661</f>
        <v>0</v>
      </c>
      <c r="BH434" s="699">
        <f xml:space="preserve"> ConFin!BH$661</f>
        <v>0</v>
      </c>
      <c r="BI434" s="699">
        <f xml:space="preserve"> ConFin!BI$661</f>
        <v>0</v>
      </c>
      <c r="BJ434" s="699">
        <f xml:space="preserve"> ConFin!BJ$661</f>
        <v>0</v>
      </c>
      <c r="BK434" s="699">
        <f xml:space="preserve"> ConFin!BK$661</f>
        <v>0</v>
      </c>
      <c r="BL434" s="699">
        <f xml:space="preserve"> ConFin!BL$661</f>
        <v>0</v>
      </c>
      <c r="BM434" s="699">
        <f xml:space="preserve"> ConFin!BM$661</f>
        <v>0</v>
      </c>
      <c r="BN434" s="699">
        <f xml:space="preserve"> ConFin!BN$661</f>
        <v>0</v>
      </c>
      <c r="BO434" s="699">
        <f xml:space="preserve"> ConFin!BO$661</f>
        <v>0</v>
      </c>
      <c r="BP434" s="699">
        <f xml:space="preserve"> ConFin!BP$661</f>
        <v>0</v>
      </c>
      <c r="BQ434" s="699">
        <f xml:space="preserve"> ConFin!BQ$661</f>
        <v>0</v>
      </c>
      <c r="BR434" s="699">
        <f xml:space="preserve"> ConFin!BR$661</f>
        <v>0</v>
      </c>
      <c r="BS434" s="699">
        <f xml:space="preserve"> ConFin!BS$661</f>
        <v>0</v>
      </c>
      <c r="BT434" s="699">
        <f xml:space="preserve"> ConFin!BT$661</f>
        <v>0</v>
      </c>
      <c r="BU434" s="699">
        <f xml:space="preserve"> ConFin!BU$661</f>
        <v>0</v>
      </c>
      <c r="BV434" s="699">
        <f xml:space="preserve"> ConFin!BV$661</f>
        <v>0</v>
      </c>
      <c r="BW434" s="699">
        <f xml:space="preserve"> ConFin!BW$661</f>
        <v>0</v>
      </c>
      <c r="BX434" s="699">
        <f xml:space="preserve"> ConFin!BX$661</f>
        <v>0</v>
      </c>
      <c r="BY434" s="699">
        <f xml:space="preserve"> ConFin!BY$661</f>
        <v>0</v>
      </c>
      <c r="BZ434" s="699">
        <f xml:space="preserve"> ConFin!BZ$661</f>
        <v>0</v>
      </c>
      <c r="CA434" s="699">
        <f xml:space="preserve"> ConFin!CA$661</f>
        <v>0</v>
      </c>
      <c r="CB434" s="699">
        <f xml:space="preserve"> ConFin!CB$661</f>
        <v>0</v>
      </c>
      <c r="CC434" s="699">
        <f xml:space="preserve"> ConFin!CC$661</f>
        <v>0</v>
      </c>
      <c r="CD434" s="699">
        <f xml:space="preserve"> ConFin!CD$661</f>
        <v>0</v>
      </c>
      <c r="CE434" s="699">
        <f xml:space="preserve"> ConFin!CE$661</f>
        <v>0</v>
      </c>
      <c r="CF434" s="699">
        <f xml:space="preserve"> ConFin!CF$661</f>
        <v>0</v>
      </c>
      <c r="CG434" s="699">
        <f xml:space="preserve"> ConFin!CG$661</f>
        <v>0</v>
      </c>
      <c r="CH434" s="699">
        <f xml:space="preserve"> ConFin!CH$661</f>
        <v>0</v>
      </c>
      <c r="CI434" s="699">
        <f xml:space="preserve"> ConFin!CI$661</f>
        <v>0</v>
      </c>
      <c r="CJ434" s="699">
        <f xml:space="preserve"> ConFin!CJ$661</f>
        <v>0</v>
      </c>
      <c r="CK434" s="699">
        <f xml:space="preserve"> ConFin!CK$661</f>
        <v>0</v>
      </c>
      <c r="CL434" s="699">
        <f xml:space="preserve"> ConFin!CL$661</f>
        <v>0</v>
      </c>
      <c r="CM434" s="699">
        <f xml:space="preserve"> ConFin!CM$661</f>
        <v>0</v>
      </c>
      <c r="CN434" s="699">
        <f xml:space="preserve"> ConFin!CN$661</f>
        <v>0</v>
      </c>
      <c r="CO434" s="699">
        <f xml:space="preserve"> ConFin!CO$661</f>
        <v>0</v>
      </c>
      <c r="CP434" s="699">
        <f xml:space="preserve"> ConFin!CP$661</f>
        <v>0</v>
      </c>
      <c r="CQ434" s="699">
        <f xml:space="preserve"> ConFin!CQ$661</f>
        <v>0</v>
      </c>
      <c r="CR434" s="699">
        <f xml:space="preserve"> ConFin!CR$661</f>
        <v>0</v>
      </c>
      <c r="CS434" s="699">
        <f xml:space="preserve"> ConFin!CS$661</f>
        <v>0</v>
      </c>
      <c r="CT434" s="699">
        <f xml:space="preserve"> ConFin!CT$661</f>
        <v>0</v>
      </c>
      <c r="CU434" s="699">
        <f xml:space="preserve"> ConFin!CU$661</f>
        <v>0</v>
      </c>
      <c r="CV434" s="699">
        <f xml:space="preserve"> ConFin!CV$661</f>
        <v>0</v>
      </c>
    </row>
    <row r="435" spans="1:100" s="498" customFormat="1" ht="12.75" outlineLevel="2" x14ac:dyDescent="0.2">
      <c r="A435" s="522"/>
      <c r="B435" s="522"/>
      <c r="C435" s="523"/>
      <c r="D435" s="524"/>
      <c r="E435" s="663" t="str">
        <f t="shared" ref="E435:AJ435" si="750" xml:space="preserve"> E$413</f>
        <v>Standby debt principal repayment - T2 POS</v>
      </c>
      <c r="F435" s="663">
        <f t="shared" si="750"/>
        <v>0</v>
      </c>
      <c r="G435" s="663" t="str">
        <f t="shared" si="750"/>
        <v>$ 000s</v>
      </c>
      <c r="H435" s="663">
        <f t="shared" si="750"/>
        <v>0</v>
      </c>
      <c r="I435" s="663">
        <f t="shared" si="750"/>
        <v>0</v>
      </c>
      <c r="J435" s="663">
        <f t="shared" si="750"/>
        <v>0</v>
      </c>
      <c r="K435" s="663">
        <f t="shared" si="750"/>
        <v>0</v>
      </c>
      <c r="L435" s="663">
        <f t="shared" si="750"/>
        <v>0</v>
      </c>
      <c r="M435" s="663">
        <f t="shared" si="750"/>
        <v>0</v>
      </c>
      <c r="N435" s="663">
        <f t="shared" si="750"/>
        <v>0</v>
      </c>
      <c r="O435" s="663">
        <f t="shared" si="750"/>
        <v>0</v>
      </c>
      <c r="P435" s="663">
        <f t="shared" si="750"/>
        <v>0</v>
      </c>
      <c r="Q435" s="663">
        <f t="shared" si="750"/>
        <v>0</v>
      </c>
      <c r="R435" s="663">
        <f t="shared" si="750"/>
        <v>0</v>
      </c>
      <c r="S435" s="663">
        <f t="shared" si="750"/>
        <v>0</v>
      </c>
      <c r="T435" s="663">
        <f t="shared" si="750"/>
        <v>0</v>
      </c>
      <c r="U435" s="663">
        <f t="shared" si="750"/>
        <v>0</v>
      </c>
      <c r="V435" s="663">
        <f t="shared" si="750"/>
        <v>0</v>
      </c>
      <c r="W435" s="663">
        <f t="shared" si="750"/>
        <v>0</v>
      </c>
      <c r="X435" s="663">
        <f t="shared" si="750"/>
        <v>0</v>
      </c>
      <c r="Y435" s="663">
        <f t="shared" si="750"/>
        <v>0</v>
      </c>
      <c r="Z435" s="663">
        <f t="shared" si="750"/>
        <v>0</v>
      </c>
      <c r="AA435" s="663">
        <f t="shared" si="750"/>
        <v>0</v>
      </c>
      <c r="AB435" s="663">
        <f t="shared" si="750"/>
        <v>0</v>
      </c>
      <c r="AC435" s="663">
        <f t="shared" si="750"/>
        <v>0</v>
      </c>
      <c r="AD435" s="663">
        <f t="shared" si="750"/>
        <v>0</v>
      </c>
      <c r="AE435" s="663">
        <f t="shared" si="750"/>
        <v>0</v>
      </c>
      <c r="AF435" s="663">
        <f t="shared" si="750"/>
        <v>0</v>
      </c>
      <c r="AG435" s="663">
        <f t="shared" si="750"/>
        <v>0</v>
      </c>
      <c r="AH435" s="663">
        <f t="shared" si="750"/>
        <v>0</v>
      </c>
      <c r="AI435" s="663">
        <f t="shared" si="750"/>
        <v>0</v>
      </c>
      <c r="AJ435" s="663">
        <f t="shared" si="750"/>
        <v>0</v>
      </c>
      <c r="AK435" s="663">
        <f t="shared" ref="AK435:BP435" si="751" xml:space="preserve"> AK$413</f>
        <v>0</v>
      </c>
      <c r="AL435" s="663">
        <f t="shared" si="751"/>
        <v>0</v>
      </c>
      <c r="AM435" s="663">
        <f t="shared" si="751"/>
        <v>0</v>
      </c>
      <c r="AN435" s="663">
        <f t="shared" si="751"/>
        <v>0</v>
      </c>
      <c r="AO435" s="663">
        <f t="shared" si="751"/>
        <v>0</v>
      </c>
      <c r="AP435" s="663">
        <f t="shared" si="751"/>
        <v>0</v>
      </c>
      <c r="AQ435" s="663">
        <f t="shared" si="751"/>
        <v>0</v>
      </c>
      <c r="AR435" s="663">
        <f t="shared" si="751"/>
        <v>0</v>
      </c>
      <c r="AS435" s="663">
        <f t="shared" si="751"/>
        <v>0</v>
      </c>
      <c r="AT435" s="663">
        <f t="shared" si="751"/>
        <v>0</v>
      </c>
      <c r="AU435" s="663">
        <f t="shared" si="751"/>
        <v>0</v>
      </c>
      <c r="AV435" s="663">
        <f t="shared" si="751"/>
        <v>0</v>
      </c>
      <c r="AW435" s="663">
        <f t="shared" si="751"/>
        <v>0</v>
      </c>
      <c r="AX435" s="663">
        <f t="shared" si="751"/>
        <v>0</v>
      </c>
      <c r="AY435" s="663">
        <f t="shared" si="751"/>
        <v>0</v>
      </c>
      <c r="AZ435" s="663">
        <f t="shared" si="751"/>
        <v>0</v>
      </c>
      <c r="BA435" s="663">
        <f t="shared" si="751"/>
        <v>0</v>
      </c>
      <c r="BB435" s="663">
        <f t="shared" si="751"/>
        <v>0</v>
      </c>
      <c r="BC435" s="663">
        <f t="shared" si="751"/>
        <v>0</v>
      </c>
      <c r="BD435" s="663">
        <f t="shared" si="751"/>
        <v>0</v>
      </c>
      <c r="BE435" s="663">
        <f t="shared" si="751"/>
        <v>0</v>
      </c>
      <c r="BF435" s="663">
        <f t="shared" si="751"/>
        <v>0</v>
      </c>
      <c r="BG435" s="663">
        <f t="shared" si="751"/>
        <v>0</v>
      </c>
      <c r="BH435" s="663">
        <f t="shared" si="751"/>
        <v>0</v>
      </c>
      <c r="BI435" s="663">
        <f t="shared" si="751"/>
        <v>0</v>
      </c>
      <c r="BJ435" s="663">
        <f t="shared" si="751"/>
        <v>0</v>
      </c>
      <c r="BK435" s="663">
        <f t="shared" si="751"/>
        <v>0</v>
      </c>
      <c r="BL435" s="663">
        <f t="shared" si="751"/>
        <v>0</v>
      </c>
      <c r="BM435" s="663">
        <f t="shared" si="751"/>
        <v>0</v>
      </c>
      <c r="BN435" s="663">
        <f t="shared" si="751"/>
        <v>0</v>
      </c>
      <c r="BO435" s="663">
        <f t="shared" si="751"/>
        <v>0</v>
      </c>
      <c r="BP435" s="663">
        <f t="shared" si="751"/>
        <v>0</v>
      </c>
      <c r="BQ435" s="663">
        <f t="shared" ref="BQ435:CV435" si="752" xml:space="preserve"> BQ$413</f>
        <v>0</v>
      </c>
      <c r="BR435" s="663">
        <f t="shared" si="752"/>
        <v>0</v>
      </c>
      <c r="BS435" s="663">
        <f t="shared" si="752"/>
        <v>0</v>
      </c>
      <c r="BT435" s="663">
        <f t="shared" si="752"/>
        <v>0</v>
      </c>
      <c r="BU435" s="663">
        <f t="shared" si="752"/>
        <v>0</v>
      </c>
      <c r="BV435" s="663">
        <f t="shared" si="752"/>
        <v>0</v>
      </c>
      <c r="BW435" s="663">
        <f t="shared" si="752"/>
        <v>0</v>
      </c>
      <c r="BX435" s="663">
        <f t="shared" si="752"/>
        <v>0</v>
      </c>
      <c r="BY435" s="663">
        <f t="shared" si="752"/>
        <v>0</v>
      </c>
      <c r="BZ435" s="663">
        <f t="shared" si="752"/>
        <v>0</v>
      </c>
      <c r="CA435" s="663">
        <f t="shared" si="752"/>
        <v>0</v>
      </c>
      <c r="CB435" s="663">
        <f t="shared" si="752"/>
        <v>0</v>
      </c>
      <c r="CC435" s="663">
        <f t="shared" si="752"/>
        <v>0</v>
      </c>
      <c r="CD435" s="663">
        <f t="shared" si="752"/>
        <v>0</v>
      </c>
      <c r="CE435" s="663">
        <f t="shared" si="752"/>
        <v>0</v>
      </c>
      <c r="CF435" s="663">
        <f t="shared" si="752"/>
        <v>0</v>
      </c>
      <c r="CG435" s="663">
        <f t="shared" si="752"/>
        <v>0</v>
      </c>
      <c r="CH435" s="663">
        <f t="shared" si="752"/>
        <v>0</v>
      </c>
      <c r="CI435" s="663">
        <f t="shared" si="752"/>
        <v>0</v>
      </c>
      <c r="CJ435" s="663">
        <f t="shared" si="752"/>
        <v>0</v>
      </c>
      <c r="CK435" s="663">
        <f t="shared" si="752"/>
        <v>0</v>
      </c>
      <c r="CL435" s="663">
        <f t="shared" si="752"/>
        <v>0</v>
      </c>
      <c r="CM435" s="663">
        <f t="shared" si="752"/>
        <v>0</v>
      </c>
      <c r="CN435" s="663">
        <f t="shared" si="752"/>
        <v>0</v>
      </c>
      <c r="CO435" s="663">
        <f t="shared" si="752"/>
        <v>0</v>
      </c>
      <c r="CP435" s="663">
        <f t="shared" si="752"/>
        <v>0</v>
      </c>
      <c r="CQ435" s="663">
        <f t="shared" si="752"/>
        <v>0</v>
      </c>
      <c r="CR435" s="663">
        <f t="shared" si="752"/>
        <v>0</v>
      </c>
      <c r="CS435" s="663">
        <f t="shared" si="752"/>
        <v>0</v>
      </c>
      <c r="CT435" s="663">
        <f t="shared" si="752"/>
        <v>0</v>
      </c>
      <c r="CU435" s="663">
        <f t="shared" si="752"/>
        <v>0</v>
      </c>
      <c r="CV435" s="663">
        <f t="shared" si="752"/>
        <v>0</v>
      </c>
    </row>
    <row r="436" spans="1:100" s="541" customFormat="1" ht="12.75" outlineLevel="2" x14ac:dyDescent="0.2">
      <c r="A436" s="707"/>
      <c r="B436" s="707"/>
      <c r="C436" s="708"/>
      <c r="D436" s="709"/>
      <c r="E436" s="710" t="s">
        <v>1053</v>
      </c>
      <c r="F436" s="710"/>
      <c r="G436" s="710" t="str">
        <f xml:space="preserve"> SMU</f>
        <v>$ 000s</v>
      </c>
      <c r="H436" s="710"/>
      <c r="I436" s="711"/>
      <c r="J436" s="710">
        <f t="shared" ref="J436:BU436" si="753" xml:space="preserve"> J433 + J434 - J435</f>
        <v>0</v>
      </c>
      <c r="K436" s="710">
        <f t="shared" si="753"/>
        <v>0</v>
      </c>
      <c r="L436" s="710">
        <f t="shared" si="753"/>
        <v>0</v>
      </c>
      <c r="M436" s="710">
        <f t="shared" si="753"/>
        <v>0</v>
      </c>
      <c r="N436" s="710">
        <f t="shared" si="753"/>
        <v>0</v>
      </c>
      <c r="O436" s="710">
        <f t="shared" si="753"/>
        <v>0</v>
      </c>
      <c r="P436" s="710">
        <f t="shared" si="753"/>
        <v>0</v>
      </c>
      <c r="Q436" s="710">
        <f t="shared" si="753"/>
        <v>0</v>
      </c>
      <c r="R436" s="710">
        <f t="shared" si="753"/>
        <v>0</v>
      </c>
      <c r="S436" s="710">
        <f t="shared" si="753"/>
        <v>0</v>
      </c>
      <c r="T436" s="710">
        <f t="shared" si="753"/>
        <v>0</v>
      </c>
      <c r="U436" s="710">
        <f t="shared" si="753"/>
        <v>0</v>
      </c>
      <c r="V436" s="710">
        <f t="shared" si="753"/>
        <v>0</v>
      </c>
      <c r="W436" s="710">
        <f t="shared" si="753"/>
        <v>0</v>
      </c>
      <c r="X436" s="710">
        <f t="shared" si="753"/>
        <v>0</v>
      </c>
      <c r="Y436" s="710">
        <f t="shared" si="753"/>
        <v>0</v>
      </c>
      <c r="Z436" s="710">
        <f t="shared" si="753"/>
        <v>0</v>
      </c>
      <c r="AA436" s="710">
        <f t="shared" si="753"/>
        <v>0</v>
      </c>
      <c r="AB436" s="710">
        <f t="shared" si="753"/>
        <v>0</v>
      </c>
      <c r="AC436" s="710">
        <f t="shared" si="753"/>
        <v>0</v>
      </c>
      <c r="AD436" s="710">
        <f t="shared" si="753"/>
        <v>0</v>
      </c>
      <c r="AE436" s="710">
        <f t="shared" si="753"/>
        <v>0</v>
      </c>
      <c r="AF436" s="710">
        <f t="shared" si="753"/>
        <v>0</v>
      </c>
      <c r="AG436" s="710">
        <f t="shared" si="753"/>
        <v>0</v>
      </c>
      <c r="AH436" s="710">
        <f t="shared" si="753"/>
        <v>0</v>
      </c>
      <c r="AI436" s="710">
        <f t="shared" si="753"/>
        <v>0</v>
      </c>
      <c r="AJ436" s="710">
        <f t="shared" si="753"/>
        <v>0</v>
      </c>
      <c r="AK436" s="710">
        <f t="shared" si="753"/>
        <v>0</v>
      </c>
      <c r="AL436" s="710">
        <f t="shared" si="753"/>
        <v>0</v>
      </c>
      <c r="AM436" s="710">
        <f t="shared" si="753"/>
        <v>0</v>
      </c>
      <c r="AN436" s="710">
        <f t="shared" si="753"/>
        <v>0</v>
      </c>
      <c r="AO436" s="710">
        <f t="shared" si="753"/>
        <v>0</v>
      </c>
      <c r="AP436" s="710">
        <f t="shared" si="753"/>
        <v>0</v>
      </c>
      <c r="AQ436" s="710">
        <f t="shared" si="753"/>
        <v>0</v>
      </c>
      <c r="AR436" s="710">
        <f t="shared" si="753"/>
        <v>0</v>
      </c>
      <c r="AS436" s="710">
        <f t="shared" si="753"/>
        <v>0</v>
      </c>
      <c r="AT436" s="710">
        <f t="shared" si="753"/>
        <v>0</v>
      </c>
      <c r="AU436" s="710">
        <f t="shared" si="753"/>
        <v>0</v>
      </c>
      <c r="AV436" s="710">
        <f t="shared" si="753"/>
        <v>0</v>
      </c>
      <c r="AW436" s="710">
        <f t="shared" si="753"/>
        <v>0</v>
      </c>
      <c r="AX436" s="710">
        <f t="shared" si="753"/>
        <v>0</v>
      </c>
      <c r="AY436" s="710">
        <f t="shared" si="753"/>
        <v>0</v>
      </c>
      <c r="AZ436" s="710">
        <f t="shared" si="753"/>
        <v>0</v>
      </c>
      <c r="BA436" s="710">
        <f t="shared" si="753"/>
        <v>0</v>
      </c>
      <c r="BB436" s="710">
        <f t="shared" si="753"/>
        <v>0</v>
      </c>
      <c r="BC436" s="710">
        <f t="shared" si="753"/>
        <v>0</v>
      </c>
      <c r="BD436" s="710">
        <f t="shared" si="753"/>
        <v>0</v>
      </c>
      <c r="BE436" s="710">
        <f t="shared" si="753"/>
        <v>0</v>
      </c>
      <c r="BF436" s="710">
        <f t="shared" si="753"/>
        <v>0</v>
      </c>
      <c r="BG436" s="710">
        <f t="shared" si="753"/>
        <v>0</v>
      </c>
      <c r="BH436" s="710">
        <f t="shared" si="753"/>
        <v>0</v>
      </c>
      <c r="BI436" s="710">
        <f t="shared" si="753"/>
        <v>0</v>
      </c>
      <c r="BJ436" s="710">
        <f t="shared" si="753"/>
        <v>0</v>
      </c>
      <c r="BK436" s="710">
        <f t="shared" si="753"/>
        <v>0</v>
      </c>
      <c r="BL436" s="710">
        <f t="shared" si="753"/>
        <v>0</v>
      </c>
      <c r="BM436" s="710">
        <f t="shared" si="753"/>
        <v>0</v>
      </c>
      <c r="BN436" s="710">
        <f t="shared" si="753"/>
        <v>0</v>
      </c>
      <c r="BO436" s="710">
        <f t="shared" si="753"/>
        <v>0</v>
      </c>
      <c r="BP436" s="710">
        <f t="shared" si="753"/>
        <v>0</v>
      </c>
      <c r="BQ436" s="710">
        <f t="shared" si="753"/>
        <v>0</v>
      </c>
      <c r="BR436" s="710">
        <f t="shared" si="753"/>
        <v>0</v>
      </c>
      <c r="BS436" s="710">
        <f t="shared" si="753"/>
        <v>0</v>
      </c>
      <c r="BT436" s="710">
        <f t="shared" si="753"/>
        <v>0</v>
      </c>
      <c r="BU436" s="710">
        <f t="shared" si="753"/>
        <v>0</v>
      </c>
      <c r="BV436" s="710">
        <f t="shared" ref="BV436:CV436" si="754" xml:space="preserve"> BV433 + BV434 - BV435</f>
        <v>0</v>
      </c>
      <c r="BW436" s="710">
        <f t="shared" si="754"/>
        <v>0</v>
      </c>
      <c r="BX436" s="710">
        <f t="shared" si="754"/>
        <v>0</v>
      </c>
      <c r="BY436" s="710">
        <f t="shared" si="754"/>
        <v>0</v>
      </c>
      <c r="BZ436" s="710">
        <f t="shared" si="754"/>
        <v>0</v>
      </c>
      <c r="CA436" s="710">
        <f t="shared" si="754"/>
        <v>0</v>
      </c>
      <c r="CB436" s="710">
        <f t="shared" si="754"/>
        <v>0</v>
      </c>
      <c r="CC436" s="710">
        <f t="shared" si="754"/>
        <v>0</v>
      </c>
      <c r="CD436" s="710">
        <f t="shared" si="754"/>
        <v>0</v>
      </c>
      <c r="CE436" s="710">
        <f t="shared" si="754"/>
        <v>0</v>
      </c>
      <c r="CF436" s="710">
        <f t="shared" si="754"/>
        <v>0</v>
      </c>
      <c r="CG436" s="710">
        <f t="shared" si="754"/>
        <v>0</v>
      </c>
      <c r="CH436" s="710">
        <f t="shared" si="754"/>
        <v>0</v>
      </c>
      <c r="CI436" s="710">
        <f t="shared" si="754"/>
        <v>0</v>
      </c>
      <c r="CJ436" s="710">
        <f t="shared" si="754"/>
        <v>0</v>
      </c>
      <c r="CK436" s="710">
        <f t="shared" si="754"/>
        <v>0</v>
      </c>
      <c r="CL436" s="710">
        <f t="shared" si="754"/>
        <v>0</v>
      </c>
      <c r="CM436" s="710">
        <f t="shared" si="754"/>
        <v>0</v>
      </c>
      <c r="CN436" s="710">
        <f t="shared" si="754"/>
        <v>0</v>
      </c>
      <c r="CO436" s="710">
        <f t="shared" si="754"/>
        <v>0</v>
      </c>
      <c r="CP436" s="710">
        <f t="shared" si="754"/>
        <v>0</v>
      </c>
      <c r="CQ436" s="710">
        <f t="shared" si="754"/>
        <v>0</v>
      </c>
      <c r="CR436" s="710">
        <f t="shared" si="754"/>
        <v>0</v>
      </c>
      <c r="CS436" s="710">
        <f t="shared" si="754"/>
        <v>0</v>
      </c>
      <c r="CT436" s="710">
        <f t="shared" si="754"/>
        <v>0</v>
      </c>
      <c r="CU436" s="710">
        <f t="shared" si="754"/>
        <v>0</v>
      </c>
      <c r="CV436" s="710">
        <f t="shared" si="754"/>
        <v>0</v>
      </c>
    </row>
    <row r="437" spans="1:100" ht="12.75" outlineLevel="2" x14ac:dyDescent="0.2">
      <c r="A437" s="522"/>
      <c r="B437" s="522"/>
      <c r="C437" s="523"/>
      <c r="D437" s="524"/>
      <c r="E437" s="525"/>
      <c r="F437" s="525"/>
      <c r="G437" s="525"/>
      <c r="H437" s="525"/>
      <c r="I437" s="526"/>
      <c r="J437" s="525"/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</row>
    <row r="438" spans="1:100" ht="12.75" x14ac:dyDescent="0.2"/>
    <row r="439" spans="1:100" ht="12.75" x14ac:dyDescent="0.2">
      <c r="A439" s="15" t="s">
        <v>336</v>
      </c>
    </row>
    <row r="440" spans="1:100" ht="12.75" outlineLevel="1" x14ac:dyDescent="0.2">
      <c r="E440" s="6" t="s">
        <v>185</v>
      </c>
    </row>
    <row r="441" spans="1:100" s="114" customFormat="1" ht="12.75" outlineLevel="1" x14ac:dyDescent="0.2">
      <c r="A441" s="522"/>
      <c r="B441" s="522" t="s">
        <v>342</v>
      </c>
      <c r="C441" s="523"/>
      <c r="D441" s="524"/>
      <c r="E441" s="664"/>
      <c r="F441" s="525"/>
      <c r="G441" s="525"/>
      <c r="H441" s="525"/>
      <c r="I441" s="526"/>
      <c r="J441" s="525"/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</row>
    <row r="442" spans="1:100" s="114" customFormat="1" ht="12.75" outlineLevel="2" x14ac:dyDescent="0.2">
      <c r="A442" s="522"/>
      <c r="B442" s="522"/>
      <c r="C442" s="523"/>
      <c r="D442" s="524"/>
      <c r="E442" s="668" t="str">
        <f xml:space="preserve"> Debt!E$676</f>
        <v>Equity bridge bullet repayment during operations</v>
      </c>
      <c r="F442" s="668">
        <f xml:space="preserve"> Debt!F$676</f>
        <v>0</v>
      </c>
      <c r="G442" s="668" t="str">
        <f xml:space="preserve"> Debt!G$676</f>
        <v>$ 000s</v>
      </c>
      <c r="H442" s="668">
        <f xml:space="preserve"> Debt!H$676</f>
        <v>0</v>
      </c>
      <c r="I442" s="668">
        <f xml:space="preserve"> Debt!I$676</f>
        <v>0</v>
      </c>
      <c r="J442" s="668">
        <f xml:space="preserve"> Debt!J$676</f>
        <v>0</v>
      </c>
      <c r="K442" s="668">
        <f xml:space="preserve"> Debt!K$676</f>
        <v>0</v>
      </c>
      <c r="L442" s="668">
        <f xml:space="preserve"> Debt!L$676</f>
        <v>0</v>
      </c>
      <c r="M442" s="668">
        <f xml:space="preserve"> Debt!M$676</f>
        <v>0</v>
      </c>
      <c r="N442" s="668">
        <f xml:space="preserve"> Debt!N$676</f>
        <v>0</v>
      </c>
      <c r="O442" s="668">
        <f xml:space="preserve"> Debt!O$676</f>
        <v>0</v>
      </c>
      <c r="P442" s="668">
        <f xml:space="preserve"> Debt!P$676</f>
        <v>0</v>
      </c>
      <c r="Q442" s="668">
        <f xml:space="preserve"> Debt!Q$676</f>
        <v>0</v>
      </c>
      <c r="R442" s="668">
        <f xml:space="preserve"> Debt!R$676</f>
        <v>0</v>
      </c>
      <c r="S442" s="668">
        <f xml:space="preserve"> Debt!S$676</f>
        <v>0</v>
      </c>
      <c r="T442" s="668">
        <f xml:space="preserve"> Debt!T$676</f>
        <v>0</v>
      </c>
      <c r="U442" s="668">
        <f xml:space="preserve"> Debt!U$676</f>
        <v>0</v>
      </c>
      <c r="V442" s="668">
        <f xml:space="preserve"> Debt!V$676</f>
        <v>0</v>
      </c>
      <c r="W442" s="668">
        <f xml:space="preserve"> Debt!W$676</f>
        <v>0</v>
      </c>
      <c r="X442" s="668">
        <f xml:space="preserve"> Debt!X$676</f>
        <v>0</v>
      </c>
      <c r="Y442" s="668">
        <f xml:space="preserve"> Debt!Y$676</f>
        <v>0</v>
      </c>
      <c r="Z442" s="668">
        <f xml:space="preserve"> Debt!Z$676</f>
        <v>0</v>
      </c>
      <c r="AA442" s="668">
        <f xml:space="preserve"> Debt!AA$676</f>
        <v>0</v>
      </c>
      <c r="AB442" s="668">
        <f xml:space="preserve"> Debt!AB$676</f>
        <v>0</v>
      </c>
      <c r="AC442" s="668">
        <f xml:space="preserve"> Debt!AC$676</f>
        <v>0</v>
      </c>
      <c r="AD442" s="668">
        <f xml:space="preserve"> Debt!AD$676</f>
        <v>0</v>
      </c>
      <c r="AE442" s="668">
        <f xml:space="preserve"> Debt!AE$676</f>
        <v>0</v>
      </c>
      <c r="AF442" s="668">
        <f xml:space="preserve"> Debt!AF$676</f>
        <v>0</v>
      </c>
      <c r="AG442" s="668">
        <f xml:space="preserve"> Debt!AG$676</f>
        <v>0</v>
      </c>
      <c r="AH442" s="668">
        <f xml:space="preserve"> Debt!AH$676</f>
        <v>0</v>
      </c>
      <c r="AI442" s="668">
        <f xml:space="preserve"> Debt!AI$676</f>
        <v>0</v>
      </c>
      <c r="AJ442" s="668">
        <f xml:space="preserve"> Debt!AJ$676</f>
        <v>0</v>
      </c>
      <c r="AK442" s="668">
        <f xml:space="preserve"> Debt!AK$676</f>
        <v>0</v>
      </c>
      <c r="AL442" s="668">
        <f xml:space="preserve"> Debt!AL$676</f>
        <v>0</v>
      </c>
      <c r="AM442" s="668">
        <f xml:space="preserve"> Debt!AM$676</f>
        <v>0</v>
      </c>
      <c r="AN442" s="668">
        <f xml:space="preserve"> Debt!AN$676</f>
        <v>0</v>
      </c>
      <c r="AO442" s="668">
        <f xml:space="preserve"> Debt!AO$676</f>
        <v>0</v>
      </c>
      <c r="AP442" s="668">
        <f xml:space="preserve"> Debt!AP$676</f>
        <v>0</v>
      </c>
      <c r="AQ442" s="668">
        <f xml:space="preserve"> Debt!AQ$676</f>
        <v>0</v>
      </c>
      <c r="AR442" s="668">
        <f xml:space="preserve"> Debt!AR$676</f>
        <v>0</v>
      </c>
      <c r="AS442" s="668">
        <f xml:space="preserve"> Debt!AS$676</f>
        <v>0</v>
      </c>
      <c r="AT442" s="668">
        <f xml:space="preserve"> Debt!AT$676</f>
        <v>0</v>
      </c>
      <c r="AU442" s="668">
        <f xml:space="preserve"> Debt!AU$676</f>
        <v>0</v>
      </c>
      <c r="AV442" s="668">
        <f xml:space="preserve"> Debt!AV$676</f>
        <v>0</v>
      </c>
      <c r="AW442" s="668">
        <f xml:space="preserve"> Debt!AW$676</f>
        <v>0</v>
      </c>
      <c r="AX442" s="668">
        <f xml:space="preserve"> Debt!AX$676</f>
        <v>0</v>
      </c>
      <c r="AY442" s="668">
        <f xml:space="preserve"> Debt!AY$676</f>
        <v>0</v>
      </c>
      <c r="AZ442" s="668">
        <f xml:space="preserve"> Debt!AZ$676</f>
        <v>0</v>
      </c>
      <c r="BA442" s="668">
        <f xml:space="preserve"> Debt!BA$676</f>
        <v>0</v>
      </c>
      <c r="BB442" s="668">
        <f xml:space="preserve"> Debt!BB$676</f>
        <v>0</v>
      </c>
      <c r="BC442" s="668">
        <f xml:space="preserve"> Debt!BC$676</f>
        <v>0</v>
      </c>
      <c r="BD442" s="668">
        <f xml:space="preserve"> Debt!BD$676</f>
        <v>0</v>
      </c>
      <c r="BE442" s="668">
        <f xml:space="preserve"> Debt!BE$676</f>
        <v>0</v>
      </c>
      <c r="BF442" s="668">
        <f xml:space="preserve"> Debt!BF$676</f>
        <v>0</v>
      </c>
      <c r="BG442" s="668">
        <f xml:space="preserve"> Debt!BG$676</f>
        <v>0</v>
      </c>
      <c r="BH442" s="668">
        <f xml:space="preserve"> Debt!BH$676</f>
        <v>0</v>
      </c>
      <c r="BI442" s="668">
        <f xml:space="preserve"> Debt!BI$676</f>
        <v>0</v>
      </c>
      <c r="BJ442" s="668">
        <f xml:space="preserve"> Debt!BJ$676</f>
        <v>0</v>
      </c>
      <c r="BK442" s="668">
        <f xml:space="preserve"> Debt!BK$676</f>
        <v>0</v>
      </c>
      <c r="BL442" s="668">
        <f xml:space="preserve"> Debt!BL$676</f>
        <v>0</v>
      </c>
      <c r="BM442" s="668">
        <f xml:space="preserve"> Debt!BM$676</f>
        <v>0</v>
      </c>
      <c r="BN442" s="668">
        <f xml:space="preserve"> Debt!BN$676</f>
        <v>0</v>
      </c>
      <c r="BO442" s="668">
        <f xml:space="preserve"> Debt!BO$676</f>
        <v>0</v>
      </c>
      <c r="BP442" s="668">
        <f xml:space="preserve"> Debt!BP$676</f>
        <v>0</v>
      </c>
      <c r="BQ442" s="668">
        <f xml:space="preserve"> Debt!BQ$676</f>
        <v>0</v>
      </c>
      <c r="BR442" s="668">
        <f xml:space="preserve"> Debt!BR$676</f>
        <v>0</v>
      </c>
      <c r="BS442" s="668">
        <f xml:space="preserve"> Debt!BS$676</f>
        <v>0</v>
      </c>
      <c r="BT442" s="668">
        <f xml:space="preserve"> Debt!BT$676</f>
        <v>0</v>
      </c>
      <c r="BU442" s="668">
        <f xml:space="preserve"> Debt!BU$676</f>
        <v>0</v>
      </c>
      <c r="BV442" s="668">
        <f xml:space="preserve"> Debt!BV$676</f>
        <v>0</v>
      </c>
      <c r="BW442" s="668">
        <f xml:space="preserve"> Debt!BW$676</f>
        <v>0</v>
      </c>
      <c r="BX442" s="668">
        <f xml:space="preserve"> Debt!BX$676</f>
        <v>0</v>
      </c>
      <c r="BY442" s="668">
        <f xml:space="preserve"> Debt!BY$676</f>
        <v>0</v>
      </c>
      <c r="BZ442" s="668">
        <f xml:space="preserve"> Debt!BZ$676</f>
        <v>0</v>
      </c>
      <c r="CA442" s="668">
        <f xml:space="preserve"> Debt!CA$676</f>
        <v>0</v>
      </c>
      <c r="CB442" s="668">
        <f xml:space="preserve"> Debt!CB$676</f>
        <v>0</v>
      </c>
      <c r="CC442" s="668">
        <f xml:space="preserve"> Debt!CC$676</f>
        <v>0</v>
      </c>
      <c r="CD442" s="668">
        <f xml:space="preserve"> Debt!CD$676</f>
        <v>0</v>
      </c>
      <c r="CE442" s="668">
        <f xml:space="preserve"> Debt!CE$676</f>
        <v>0</v>
      </c>
      <c r="CF442" s="668">
        <f xml:space="preserve"> Debt!CF$676</f>
        <v>0</v>
      </c>
      <c r="CG442" s="668">
        <f xml:space="preserve"> Debt!CG$676</f>
        <v>0</v>
      </c>
      <c r="CH442" s="668">
        <f xml:space="preserve"> Debt!CH$676</f>
        <v>0</v>
      </c>
      <c r="CI442" s="668">
        <f xml:space="preserve"> Debt!CI$676</f>
        <v>0</v>
      </c>
      <c r="CJ442" s="668">
        <f xml:space="preserve"> Debt!CJ$676</f>
        <v>0</v>
      </c>
      <c r="CK442" s="668">
        <f xml:space="preserve"> Debt!CK$676</f>
        <v>0</v>
      </c>
      <c r="CL442" s="668">
        <f xml:space="preserve"> Debt!CL$676</f>
        <v>0</v>
      </c>
      <c r="CM442" s="668">
        <f xml:space="preserve"> Debt!CM$676</f>
        <v>0</v>
      </c>
      <c r="CN442" s="668">
        <f xml:space="preserve"> Debt!CN$676</f>
        <v>0</v>
      </c>
      <c r="CO442" s="668">
        <f xml:space="preserve"> Debt!CO$676</f>
        <v>0</v>
      </c>
      <c r="CP442" s="668">
        <f xml:space="preserve"> Debt!CP$676</f>
        <v>0</v>
      </c>
      <c r="CQ442" s="668">
        <f xml:space="preserve"> Debt!CQ$676</f>
        <v>0</v>
      </c>
      <c r="CR442" s="668">
        <f xml:space="preserve"> Debt!CR$676</f>
        <v>0</v>
      </c>
      <c r="CS442" s="668">
        <f xml:space="preserve"> Debt!CS$676</f>
        <v>0</v>
      </c>
      <c r="CT442" s="668">
        <f xml:space="preserve"> Debt!CT$676</f>
        <v>0</v>
      </c>
      <c r="CU442" s="668">
        <f xml:space="preserve"> Debt!CU$676</f>
        <v>0</v>
      </c>
      <c r="CV442" s="668">
        <f xml:space="preserve"> Debt!CV$676</f>
        <v>0</v>
      </c>
    </row>
    <row r="443" spans="1:100" s="757" customFormat="1" ht="12.75" outlineLevel="2" x14ac:dyDescent="0.2">
      <c r="A443" s="527"/>
      <c r="B443" s="527"/>
      <c r="C443" s="528"/>
      <c r="D443" s="529"/>
      <c r="E443" s="806" t="s">
        <v>545</v>
      </c>
      <c r="F443" s="806"/>
      <c r="G443" s="806" t="str">
        <f xml:space="preserve"> SMU</f>
        <v>$ 000s</v>
      </c>
      <c r="H443" s="806">
        <f xml:space="preserve"> SUM(J443:CV443)</f>
        <v>0</v>
      </c>
      <c r="I443" s="806"/>
      <c r="J443" s="806">
        <f t="shared" ref="J443:AO443" si="755" xml:space="preserve"> J442</f>
        <v>0</v>
      </c>
      <c r="K443" s="806">
        <f t="shared" si="755"/>
        <v>0</v>
      </c>
      <c r="L443" s="806">
        <f t="shared" si="755"/>
        <v>0</v>
      </c>
      <c r="M443" s="806">
        <f t="shared" si="755"/>
        <v>0</v>
      </c>
      <c r="N443" s="806">
        <f t="shared" si="755"/>
        <v>0</v>
      </c>
      <c r="O443" s="806">
        <f t="shared" si="755"/>
        <v>0</v>
      </c>
      <c r="P443" s="806">
        <f t="shared" si="755"/>
        <v>0</v>
      </c>
      <c r="Q443" s="806">
        <f t="shared" si="755"/>
        <v>0</v>
      </c>
      <c r="R443" s="806">
        <f t="shared" si="755"/>
        <v>0</v>
      </c>
      <c r="S443" s="806">
        <f t="shared" si="755"/>
        <v>0</v>
      </c>
      <c r="T443" s="806">
        <f t="shared" si="755"/>
        <v>0</v>
      </c>
      <c r="U443" s="806">
        <f t="shared" si="755"/>
        <v>0</v>
      </c>
      <c r="V443" s="806">
        <f t="shared" si="755"/>
        <v>0</v>
      </c>
      <c r="W443" s="806">
        <f t="shared" si="755"/>
        <v>0</v>
      </c>
      <c r="X443" s="806">
        <f t="shared" si="755"/>
        <v>0</v>
      </c>
      <c r="Y443" s="806">
        <f t="shared" si="755"/>
        <v>0</v>
      </c>
      <c r="Z443" s="806">
        <f t="shared" si="755"/>
        <v>0</v>
      </c>
      <c r="AA443" s="806">
        <f t="shared" si="755"/>
        <v>0</v>
      </c>
      <c r="AB443" s="806">
        <f t="shared" si="755"/>
        <v>0</v>
      </c>
      <c r="AC443" s="806">
        <f t="shared" si="755"/>
        <v>0</v>
      </c>
      <c r="AD443" s="806">
        <f t="shared" si="755"/>
        <v>0</v>
      </c>
      <c r="AE443" s="806">
        <f t="shared" si="755"/>
        <v>0</v>
      </c>
      <c r="AF443" s="806">
        <f t="shared" si="755"/>
        <v>0</v>
      </c>
      <c r="AG443" s="806">
        <f t="shared" si="755"/>
        <v>0</v>
      </c>
      <c r="AH443" s="806">
        <f t="shared" si="755"/>
        <v>0</v>
      </c>
      <c r="AI443" s="806">
        <f t="shared" si="755"/>
        <v>0</v>
      </c>
      <c r="AJ443" s="806">
        <f t="shared" si="755"/>
        <v>0</v>
      </c>
      <c r="AK443" s="806">
        <f t="shared" si="755"/>
        <v>0</v>
      </c>
      <c r="AL443" s="806">
        <f t="shared" si="755"/>
        <v>0</v>
      </c>
      <c r="AM443" s="806">
        <f t="shared" si="755"/>
        <v>0</v>
      </c>
      <c r="AN443" s="806">
        <f t="shared" si="755"/>
        <v>0</v>
      </c>
      <c r="AO443" s="806">
        <f t="shared" si="755"/>
        <v>0</v>
      </c>
      <c r="AP443" s="806">
        <f t="shared" ref="AP443:BU443" si="756" xml:space="preserve"> AP442</f>
        <v>0</v>
      </c>
      <c r="AQ443" s="806">
        <f t="shared" si="756"/>
        <v>0</v>
      </c>
      <c r="AR443" s="806">
        <f t="shared" si="756"/>
        <v>0</v>
      </c>
      <c r="AS443" s="806">
        <f t="shared" si="756"/>
        <v>0</v>
      </c>
      <c r="AT443" s="806">
        <f t="shared" si="756"/>
        <v>0</v>
      </c>
      <c r="AU443" s="806">
        <f t="shared" si="756"/>
        <v>0</v>
      </c>
      <c r="AV443" s="806">
        <f t="shared" si="756"/>
        <v>0</v>
      </c>
      <c r="AW443" s="806">
        <f t="shared" si="756"/>
        <v>0</v>
      </c>
      <c r="AX443" s="806">
        <f t="shared" si="756"/>
        <v>0</v>
      </c>
      <c r="AY443" s="806">
        <f t="shared" si="756"/>
        <v>0</v>
      </c>
      <c r="AZ443" s="806">
        <f t="shared" si="756"/>
        <v>0</v>
      </c>
      <c r="BA443" s="806">
        <f t="shared" si="756"/>
        <v>0</v>
      </c>
      <c r="BB443" s="806">
        <f t="shared" si="756"/>
        <v>0</v>
      </c>
      <c r="BC443" s="806">
        <f t="shared" si="756"/>
        <v>0</v>
      </c>
      <c r="BD443" s="806">
        <f t="shared" si="756"/>
        <v>0</v>
      </c>
      <c r="BE443" s="806">
        <f t="shared" si="756"/>
        <v>0</v>
      </c>
      <c r="BF443" s="806">
        <f t="shared" si="756"/>
        <v>0</v>
      </c>
      <c r="BG443" s="806">
        <f t="shared" si="756"/>
        <v>0</v>
      </c>
      <c r="BH443" s="806">
        <f t="shared" si="756"/>
        <v>0</v>
      </c>
      <c r="BI443" s="806">
        <f t="shared" si="756"/>
        <v>0</v>
      </c>
      <c r="BJ443" s="806">
        <f t="shared" si="756"/>
        <v>0</v>
      </c>
      <c r="BK443" s="806">
        <f t="shared" si="756"/>
        <v>0</v>
      </c>
      <c r="BL443" s="806">
        <f t="shared" si="756"/>
        <v>0</v>
      </c>
      <c r="BM443" s="806">
        <f t="shared" si="756"/>
        <v>0</v>
      </c>
      <c r="BN443" s="806">
        <f t="shared" si="756"/>
        <v>0</v>
      </c>
      <c r="BO443" s="806">
        <f t="shared" si="756"/>
        <v>0</v>
      </c>
      <c r="BP443" s="806">
        <f t="shared" si="756"/>
        <v>0</v>
      </c>
      <c r="BQ443" s="806">
        <f t="shared" si="756"/>
        <v>0</v>
      </c>
      <c r="BR443" s="806">
        <f t="shared" si="756"/>
        <v>0</v>
      </c>
      <c r="BS443" s="806">
        <f t="shared" si="756"/>
        <v>0</v>
      </c>
      <c r="BT443" s="806">
        <f t="shared" si="756"/>
        <v>0</v>
      </c>
      <c r="BU443" s="806">
        <f t="shared" si="756"/>
        <v>0</v>
      </c>
      <c r="BV443" s="806">
        <f t="shared" ref="BV443:CV443" si="757" xml:space="preserve"> BV442</f>
        <v>0</v>
      </c>
      <c r="BW443" s="806">
        <f t="shared" si="757"/>
        <v>0</v>
      </c>
      <c r="BX443" s="806">
        <f t="shared" si="757"/>
        <v>0</v>
      </c>
      <c r="BY443" s="806">
        <f t="shared" si="757"/>
        <v>0</v>
      </c>
      <c r="BZ443" s="806">
        <f t="shared" si="757"/>
        <v>0</v>
      </c>
      <c r="CA443" s="806">
        <f t="shared" si="757"/>
        <v>0</v>
      </c>
      <c r="CB443" s="806">
        <f t="shared" si="757"/>
        <v>0</v>
      </c>
      <c r="CC443" s="806">
        <f t="shared" si="757"/>
        <v>0</v>
      </c>
      <c r="CD443" s="806">
        <f t="shared" si="757"/>
        <v>0</v>
      </c>
      <c r="CE443" s="806">
        <f t="shared" si="757"/>
        <v>0</v>
      </c>
      <c r="CF443" s="806">
        <f t="shared" si="757"/>
        <v>0</v>
      </c>
      <c r="CG443" s="806">
        <f t="shared" si="757"/>
        <v>0</v>
      </c>
      <c r="CH443" s="806">
        <f t="shared" si="757"/>
        <v>0</v>
      </c>
      <c r="CI443" s="806">
        <f t="shared" si="757"/>
        <v>0</v>
      </c>
      <c r="CJ443" s="806">
        <f t="shared" si="757"/>
        <v>0</v>
      </c>
      <c r="CK443" s="806">
        <f t="shared" si="757"/>
        <v>0</v>
      </c>
      <c r="CL443" s="806">
        <f t="shared" si="757"/>
        <v>0</v>
      </c>
      <c r="CM443" s="806">
        <f t="shared" si="757"/>
        <v>0</v>
      </c>
      <c r="CN443" s="806">
        <f t="shared" si="757"/>
        <v>0</v>
      </c>
      <c r="CO443" s="806">
        <f t="shared" si="757"/>
        <v>0</v>
      </c>
      <c r="CP443" s="806">
        <f t="shared" si="757"/>
        <v>0</v>
      </c>
      <c r="CQ443" s="806">
        <f t="shared" si="757"/>
        <v>0</v>
      </c>
      <c r="CR443" s="806">
        <f t="shared" si="757"/>
        <v>0</v>
      </c>
      <c r="CS443" s="806">
        <f t="shared" si="757"/>
        <v>0</v>
      </c>
      <c r="CT443" s="806">
        <f t="shared" si="757"/>
        <v>0</v>
      </c>
      <c r="CU443" s="806">
        <f t="shared" si="757"/>
        <v>0</v>
      </c>
      <c r="CV443" s="806">
        <f t="shared" si="757"/>
        <v>0</v>
      </c>
    </row>
    <row r="444" spans="1:100" s="114" customFormat="1" ht="12.75" outlineLevel="2" x14ac:dyDescent="0.2">
      <c r="A444" s="522"/>
      <c r="B444" s="522"/>
      <c r="C444" s="523"/>
      <c r="D444" s="524"/>
      <c r="E444" s="664"/>
      <c r="F444" s="525"/>
      <c r="G444" s="525"/>
      <c r="H444" s="525"/>
      <c r="I444" s="526"/>
      <c r="J444" s="525"/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</row>
    <row r="445" spans="1:100" s="114" customFormat="1" ht="12.75" outlineLevel="2" x14ac:dyDescent="0.2">
      <c r="A445" s="522"/>
      <c r="B445" s="522"/>
      <c r="C445" s="523"/>
      <c r="D445" s="524"/>
      <c r="E445" s="695" t="str">
        <f xml:space="preserve"> ConFin!E$626</f>
        <v>Shareholder loan drawdown - construction</v>
      </c>
      <c r="F445" s="695">
        <f xml:space="preserve"> ConFin!F$626</f>
        <v>0</v>
      </c>
      <c r="G445" s="695" t="str">
        <f xml:space="preserve"> ConFin!G$626</f>
        <v>$ 000s</v>
      </c>
      <c r="H445" s="695">
        <f xml:space="preserve"> ConFin!H$626</f>
        <v>86318.253106861201</v>
      </c>
      <c r="I445" s="695">
        <f xml:space="preserve"> ConFin!I$626</f>
        <v>0</v>
      </c>
      <c r="J445" s="695">
        <f xml:space="preserve"> ConFin!J$626</f>
        <v>0</v>
      </c>
      <c r="K445" s="695">
        <f xml:space="preserve"> ConFin!K$626</f>
        <v>0</v>
      </c>
      <c r="L445" s="695">
        <f xml:space="preserve"> ConFin!L$626</f>
        <v>0</v>
      </c>
      <c r="M445" s="695">
        <f xml:space="preserve"> ConFin!M$626</f>
        <v>0</v>
      </c>
      <c r="N445" s="695">
        <f xml:space="preserve"> ConFin!N$626</f>
        <v>86318.253106861201</v>
      </c>
      <c r="O445" s="695">
        <f xml:space="preserve"> ConFin!O$626</f>
        <v>0</v>
      </c>
      <c r="P445" s="695">
        <f xml:space="preserve"> ConFin!P$626</f>
        <v>0</v>
      </c>
      <c r="Q445" s="695">
        <f xml:space="preserve"> ConFin!Q$626</f>
        <v>0</v>
      </c>
      <c r="R445" s="695">
        <f xml:space="preserve"> ConFin!R$626</f>
        <v>0</v>
      </c>
      <c r="S445" s="695">
        <f xml:space="preserve"> ConFin!S$626</f>
        <v>0</v>
      </c>
      <c r="T445" s="695">
        <f xml:space="preserve"> ConFin!T$626</f>
        <v>0</v>
      </c>
      <c r="U445" s="695">
        <f xml:space="preserve"> ConFin!U$626</f>
        <v>0</v>
      </c>
      <c r="V445" s="695">
        <f xml:space="preserve"> ConFin!V$626</f>
        <v>0</v>
      </c>
      <c r="W445" s="695">
        <f xml:space="preserve"> ConFin!W$626</f>
        <v>0</v>
      </c>
      <c r="X445" s="695">
        <f xml:space="preserve"> ConFin!X$626</f>
        <v>0</v>
      </c>
      <c r="Y445" s="695">
        <f xml:space="preserve"> ConFin!Y$626</f>
        <v>0</v>
      </c>
      <c r="Z445" s="695">
        <f xml:space="preserve"> ConFin!Z$626</f>
        <v>0</v>
      </c>
      <c r="AA445" s="695">
        <f xml:space="preserve"> ConFin!AA$626</f>
        <v>0</v>
      </c>
      <c r="AB445" s="695">
        <f xml:space="preserve"> ConFin!AB$626</f>
        <v>0</v>
      </c>
      <c r="AC445" s="695">
        <f xml:space="preserve"> ConFin!AC$626</f>
        <v>0</v>
      </c>
      <c r="AD445" s="695">
        <f xml:space="preserve"> ConFin!AD$626</f>
        <v>0</v>
      </c>
      <c r="AE445" s="695">
        <f xml:space="preserve"> ConFin!AE$626</f>
        <v>0</v>
      </c>
      <c r="AF445" s="695">
        <f xml:space="preserve"> ConFin!AF$626</f>
        <v>0</v>
      </c>
      <c r="AG445" s="695">
        <f xml:space="preserve"> ConFin!AG$626</f>
        <v>0</v>
      </c>
      <c r="AH445" s="695">
        <f xml:space="preserve"> ConFin!AH$626</f>
        <v>0</v>
      </c>
      <c r="AI445" s="695">
        <f xml:space="preserve"> ConFin!AI$626</f>
        <v>0</v>
      </c>
      <c r="AJ445" s="695">
        <f xml:space="preserve"> ConFin!AJ$626</f>
        <v>0</v>
      </c>
      <c r="AK445" s="695">
        <f xml:space="preserve"> ConFin!AK$626</f>
        <v>0</v>
      </c>
      <c r="AL445" s="695">
        <f xml:space="preserve"> ConFin!AL$626</f>
        <v>0</v>
      </c>
      <c r="AM445" s="695">
        <f xml:space="preserve"> ConFin!AM$626</f>
        <v>0</v>
      </c>
      <c r="AN445" s="695">
        <f xml:space="preserve"> ConFin!AN$626</f>
        <v>0</v>
      </c>
      <c r="AO445" s="695">
        <f xml:space="preserve"> ConFin!AO$626</f>
        <v>0</v>
      </c>
      <c r="AP445" s="695">
        <f xml:space="preserve"> ConFin!AP$626</f>
        <v>0</v>
      </c>
      <c r="AQ445" s="695">
        <f xml:space="preserve"> ConFin!AQ$626</f>
        <v>0</v>
      </c>
      <c r="AR445" s="695">
        <f xml:space="preserve"> ConFin!AR$626</f>
        <v>0</v>
      </c>
      <c r="AS445" s="695">
        <f xml:space="preserve"> ConFin!AS$626</f>
        <v>0</v>
      </c>
      <c r="AT445" s="695">
        <f xml:space="preserve"> ConFin!AT$626</f>
        <v>0</v>
      </c>
      <c r="AU445" s="695">
        <f xml:space="preserve"> ConFin!AU$626</f>
        <v>0</v>
      </c>
      <c r="AV445" s="695">
        <f xml:space="preserve"> ConFin!AV$626</f>
        <v>0</v>
      </c>
      <c r="AW445" s="695">
        <f xml:space="preserve"> ConFin!AW$626</f>
        <v>0</v>
      </c>
      <c r="AX445" s="695">
        <f xml:space="preserve"> ConFin!AX$626</f>
        <v>0</v>
      </c>
      <c r="AY445" s="695">
        <f xml:space="preserve"> ConFin!AY$626</f>
        <v>0</v>
      </c>
      <c r="AZ445" s="695">
        <f xml:space="preserve"> ConFin!AZ$626</f>
        <v>0</v>
      </c>
      <c r="BA445" s="695">
        <f xml:space="preserve"> ConFin!BA$626</f>
        <v>0</v>
      </c>
      <c r="BB445" s="695">
        <f xml:space="preserve"> ConFin!BB$626</f>
        <v>0</v>
      </c>
      <c r="BC445" s="695">
        <f xml:space="preserve"> ConFin!BC$626</f>
        <v>0</v>
      </c>
      <c r="BD445" s="695">
        <f xml:space="preserve"> ConFin!BD$626</f>
        <v>0</v>
      </c>
      <c r="BE445" s="695">
        <f xml:space="preserve"> ConFin!BE$626</f>
        <v>0</v>
      </c>
      <c r="BF445" s="695">
        <f xml:space="preserve"> ConFin!BF$626</f>
        <v>0</v>
      </c>
      <c r="BG445" s="695">
        <f xml:space="preserve"> ConFin!BG$626</f>
        <v>0</v>
      </c>
      <c r="BH445" s="695">
        <f xml:space="preserve"> ConFin!BH$626</f>
        <v>0</v>
      </c>
      <c r="BI445" s="695">
        <f xml:space="preserve"> ConFin!BI$626</f>
        <v>0</v>
      </c>
      <c r="BJ445" s="695">
        <f xml:space="preserve"> ConFin!BJ$626</f>
        <v>0</v>
      </c>
      <c r="BK445" s="695">
        <f xml:space="preserve"> ConFin!BK$626</f>
        <v>0</v>
      </c>
      <c r="BL445" s="695">
        <f xml:space="preserve"> ConFin!BL$626</f>
        <v>0</v>
      </c>
      <c r="BM445" s="695">
        <f xml:space="preserve"> ConFin!BM$626</f>
        <v>0</v>
      </c>
      <c r="BN445" s="695">
        <f xml:space="preserve"> ConFin!BN$626</f>
        <v>0</v>
      </c>
      <c r="BO445" s="695">
        <f xml:space="preserve"> ConFin!BO$626</f>
        <v>0</v>
      </c>
      <c r="BP445" s="695">
        <f xml:space="preserve"> ConFin!BP$626</f>
        <v>0</v>
      </c>
      <c r="BQ445" s="695">
        <f xml:space="preserve"> ConFin!BQ$626</f>
        <v>0</v>
      </c>
      <c r="BR445" s="695">
        <f xml:space="preserve"> ConFin!BR$626</f>
        <v>0</v>
      </c>
      <c r="BS445" s="695">
        <f xml:space="preserve"> ConFin!BS$626</f>
        <v>0</v>
      </c>
      <c r="BT445" s="695">
        <f xml:space="preserve"> ConFin!BT$626</f>
        <v>0</v>
      </c>
      <c r="BU445" s="695">
        <f xml:space="preserve"> ConFin!BU$626</f>
        <v>0</v>
      </c>
      <c r="BV445" s="695">
        <f xml:space="preserve"> ConFin!BV$626</f>
        <v>0</v>
      </c>
      <c r="BW445" s="695">
        <f xml:space="preserve"> ConFin!BW$626</f>
        <v>0</v>
      </c>
      <c r="BX445" s="695">
        <f xml:space="preserve"> ConFin!BX$626</f>
        <v>0</v>
      </c>
      <c r="BY445" s="695">
        <f xml:space="preserve"> ConFin!BY$626</f>
        <v>0</v>
      </c>
      <c r="BZ445" s="695">
        <f xml:space="preserve"> ConFin!BZ$626</f>
        <v>0</v>
      </c>
      <c r="CA445" s="695">
        <f xml:space="preserve"> ConFin!CA$626</f>
        <v>0</v>
      </c>
      <c r="CB445" s="695">
        <f xml:space="preserve"> ConFin!CB$626</f>
        <v>0</v>
      </c>
      <c r="CC445" s="695">
        <f xml:space="preserve"> ConFin!CC$626</f>
        <v>0</v>
      </c>
      <c r="CD445" s="695">
        <f xml:space="preserve"> ConFin!CD$626</f>
        <v>0</v>
      </c>
      <c r="CE445" s="695">
        <f xml:space="preserve"> ConFin!CE$626</f>
        <v>0</v>
      </c>
      <c r="CF445" s="695">
        <f xml:space="preserve"> ConFin!CF$626</f>
        <v>0</v>
      </c>
      <c r="CG445" s="695">
        <f xml:space="preserve"> ConFin!CG$626</f>
        <v>0</v>
      </c>
      <c r="CH445" s="695">
        <f xml:space="preserve"> ConFin!CH$626</f>
        <v>0</v>
      </c>
      <c r="CI445" s="695">
        <f xml:space="preserve"> ConFin!CI$626</f>
        <v>0</v>
      </c>
      <c r="CJ445" s="695">
        <f xml:space="preserve"> ConFin!CJ$626</f>
        <v>0</v>
      </c>
      <c r="CK445" s="695">
        <f xml:space="preserve"> ConFin!CK$626</f>
        <v>0</v>
      </c>
      <c r="CL445" s="695">
        <f xml:space="preserve"> ConFin!CL$626</f>
        <v>0</v>
      </c>
      <c r="CM445" s="695">
        <f xml:space="preserve"> ConFin!CM$626</f>
        <v>0</v>
      </c>
      <c r="CN445" s="695">
        <f xml:space="preserve"> ConFin!CN$626</f>
        <v>0</v>
      </c>
      <c r="CO445" s="695">
        <f xml:space="preserve"> ConFin!CO$626</f>
        <v>0</v>
      </c>
      <c r="CP445" s="695">
        <f xml:space="preserve"> ConFin!CP$626</f>
        <v>0</v>
      </c>
      <c r="CQ445" s="695">
        <f xml:space="preserve"> ConFin!CQ$626</f>
        <v>0</v>
      </c>
      <c r="CR445" s="695">
        <f xml:space="preserve"> ConFin!CR$626</f>
        <v>0</v>
      </c>
      <c r="CS445" s="695">
        <f xml:space="preserve"> ConFin!CS$626</f>
        <v>0</v>
      </c>
      <c r="CT445" s="695">
        <f xml:space="preserve"> ConFin!CT$626</f>
        <v>0</v>
      </c>
      <c r="CU445" s="695">
        <f xml:space="preserve"> ConFin!CU$626</f>
        <v>0</v>
      </c>
      <c r="CV445" s="695">
        <f xml:space="preserve"> ConFin!CV$626</f>
        <v>0</v>
      </c>
    </row>
    <row r="446" spans="1:100" s="114" customFormat="1" ht="12.75" outlineLevel="2" x14ac:dyDescent="0.2">
      <c r="A446" s="522"/>
      <c r="B446" s="522"/>
      <c r="C446" s="523"/>
      <c r="D446" s="524"/>
      <c r="E446" s="668" t="str">
        <f t="shared" ref="E446:AJ446" si="758" xml:space="preserve"> E$443</f>
        <v>Shareholder loan drawdown during operations</v>
      </c>
      <c r="F446" s="668">
        <f t="shared" si="758"/>
        <v>0</v>
      </c>
      <c r="G446" s="668" t="str">
        <f t="shared" si="758"/>
        <v>$ 000s</v>
      </c>
      <c r="H446" s="668">
        <f t="shared" si="758"/>
        <v>0</v>
      </c>
      <c r="I446" s="668">
        <f t="shared" si="758"/>
        <v>0</v>
      </c>
      <c r="J446" s="668">
        <f t="shared" si="758"/>
        <v>0</v>
      </c>
      <c r="K446" s="668">
        <f t="shared" si="758"/>
        <v>0</v>
      </c>
      <c r="L446" s="668">
        <f t="shared" si="758"/>
        <v>0</v>
      </c>
      <c r="M446" s="668">
        <f t="shared" si="758"/>
        <v>0</v>
      </c>
      <c r="N446" s="668">
        <f t="shared" si="758"/>
        <v>0</v>
      </c>
      <c r="O446" s="668">
        <f t="shared" si="758"/>
        <v>0</v>
      </c>
      <c r="P446" s="668">
        <f t="shared" si="758"/>
        <v>0</v>
      </c>
      <c r="Q446" s="668">
        <f t="shared" si="758"/>
        <v>0</v>
      </c>
      <c r="R446" s="668">
        <f t="shared" si="758"/>
        <v>0</v>
      </c>
      <c r="S446" s="668">
        <f t="shared" si="758"/>
        <v>0</v>
      </c>
      <c r="T446" s="668">
        <f t="shared" si="758"/>
        <v>0</v>
      </c>
      <c r="U446" s="668">
        <f t="shared" si="758"/>
        <v>0</v>
      </c>
      <c r="V446" s="668">
        <f t="shared" si="758"/>
        <v>0</v>
      </c>
      <c r="W446" s="668">
        <f t="shared" si="758"/>
        <v>0</v>
      </c>
      <c r="X446" s="668">
        <f t="shared" si="758"/>
        <v>0</v>
      </c>
      <c r="Y446" s="668">
        <f t="shared" si="758"/>
        <v>0</v>
      </c>
      <c r="Z446" s="668">
        <f t="shared" si="758"/>
        <v>0</v>
      </c>
      <c r="AA446" s="668">
        <f t="shared" si="758"/>
        <v>0</v>
      </c>
      <c r="AB446" s="668">
        <f t="shared" si="758"/>
        <v>0</v>
      </c>
      <c r="AC446" s="668">
        <f t="shared" si="758"/>
        <v>0</v>
      </c>
      <c r="AD446" s="668">
        <f t="shared" si="758"/>
        <v>0</v>
      </c>
      <c r="AE446" s="668">
        <f t="shared" si="758"/>
        <v>0</v>
      </c>
      <c r="AF446" s="668">
        <f t="shared" si="758"/>
        <v>0</v>
      </c>
      <c r="AG446" s="668">
        <f t="shared" si="758"/>
        <v>0</v>
      </c>
      <c r="AH446" s="668">
        <f t="shared" si="758"/>
        <v>0</v>
      </c>
      <c r="AI446" s="668">
        <f t="shared" si="758"/>
        <v>0</v>
      </c>
      <c r="AJ446" s="668">
        <f t="shared" si="758"/>
        <v>0</v>
      </c>
      <c r="AK446" s="668">
        <f t="shared" ref="AK446:BP446" si="759" xml:space="preserve"> AK$443</f>
        <v>0</v>
      </c>
      <c r="AL446" s="668">
        <f t="shared" si="759"/>
        <v>0</v>
      </c>
      <c r="AM446" s="668">
        <f t="shared" si="759"/>
        <v>0</v>
      </c>
      <c r="AN446" s="668">
        <f t="shared" si="759"/>
        <v>0</v>
      </c>
      <c r="AO446" s="668">
        <f t="shared" si="759"/>
        <v>0</v>
      </c>
      <c r="AP446" s="668">
        <f t="shared" si="759"/>
        <v>0</v>
      </c>
      <c r="AQ446" s="668">
        <f t="shared" si="759"/>
        <v>0</v>
      </c>
      <c r="AR446" s="668">
        <f t="shared" si="759"/>
        <v>0</v>
      </c>
      <c r="AS446" s="668">
        <f t="shared" si="759"/>
        <v>0</v>
      </c>
      <c r="AT446" s="668">
        <f t="shared" si="759"/>
        <v>0</v>
      </c>
      <c r="AU446" s="668">
        <f t="shared" si="759"/>
        <v>0</v>
      </c>
      <c r="AV446" s="668">
        <f t="shared" si="759"/>
        <v>0</v>
      </c>
      <c r="AW446" s="668">
        <f t="shared" si="759"/>
        <v>0</v>
      </c>
      <c r="AX446" s="668">
        <f t="shared" si="759"/>
        <v>0</v>
      </c>
      <c r="AY446" s="668">
        <f t="shared" si="759"/>
        <v>0</v>
      </c>
      <c r="AZ446" s="668">
        <f t="shared" si="759"/>
        <v>0</v>
      </c>
      <c r="BA446" s="668">
        <f t="shared" si="759"/>
        <v>0</v>
      </c>
      <c r="BB446" s="668">
        <f t="shared" si="759"/>
        <v>0</v>
      </c>
      <c r="BC446" s="668">
        <f t="shared" si="759"/>
        <v>0</v>
      </c>
      <c r="BD446" s="668">
        <f t="shared" si="759"/>
        <v>0</v>
      </c>
      <c r="BE446" s="668">
        <f t="shared" si="759"/>
        <v>0</v>
      </c>
      <c r="BF446" s="668">
        <f t="shared" si="759"/>
        <v>0</v>
      </c>
      <c r="BG446" s="668">
        <f t="shared" si="759"/>
        <v>0</v>
      </c>
      <c r="BH446" s="668">
        <f t="shared" si="759"/>
        <v>0</v>
      </c>
      <c r="BI446" s="668">
        <f t="shared" si="759"/>
        <v>0</v>
      </c>
      <c r="BJ446" s="668">
        <f t="shared" si="759"/>
        <v>0</v>
      </c>
      <c r="BK446" s="668">
        <f t="shared" si="759"/>
        <v>0</v>
      </c>
      <c r="BL446" s="668">
        <f t="shared" si="759"/>
        <v>0</v>
      </c>
      <c r="BM446" s="668">
        <f t="shared" si="759"/>
        <v>0</v>
      </c>
      <c r="BN446" s="668">
        <f t="shared" si="759"/>
        <v>0</v>
      </c>
      <c r="BO446" s="668">
        <f t="shared" si="759"/>
        <v>0</v>
      </c>
      <c r="BP446" s="668">
        <f t="shared" si="759"/>
        <v>0</v>
      </c>
      <c r="BQ446" s="668">
        <f t="shared" ref="BQ446:CV446" si="760" xml:space="preserve"> BQ$443</f>
        <v>0</v>
      </c>
      <c r="BR446" s="668">
        <f t="shared" si="760"/>
        <v>0</v>
      </c>
      <c r="BS446" s="668">
        <f t="shared" si="760"/>
        <v>0</v>
      </c>
      <c r="BT446" s="668">
        <f t="shared" si="760"/>
        <v>0</v>
      </c>
      <c r="BU446" s="668">
        <f t="shared" si="760"/>
        <v>0</v>
      </c>
      <c r="BV446" s="668">
        <f t="shared" si="760"/>
        <v>0</v>
      </c>
      <c r="BW446" s="668">
        <f t="shared" si="760"/>
        <v>0</v>
      </c>
      <c r="BX446" s="668">
        <f t="shared" si="760"/>
        <v>0</v>
      </c>
      <c r="BY446" s="668">
        <f t="shared" si="760"/>
        <v>0</v>
      </c>
      <c r="BZ446" s="668">
        <f t="shared" si="760"/>
        <v>0</v>
      </c>
      <c r="CA446" s="668">
        <f t="shared" si="760"/>
        <v>0</v>
      </c>
      <c r="CB446" s="668">
        <f t="shared" si="760"/>
        <v>0</v>
      </c>
      <c r="CC446" s="668">
        <f t="shared" si="760"/>
        <v>0</v>
      </c>
      <c r="CD446" s="668">
        <f t="shared" si="760"/>
        <v>0</v>
      </c>
      <c r="CE446" s="668">
        <f t="shared" si="760"/>
        <v>0</v>
      </c>
      <c r="CF446" s="668">
        <f t="shared" si="760"/>
        <v>0</v>
      </c>
      <c r="CG446" s="668">
        <f t="shared" si="760"/>
        <v>0</v>
      </c>
      <c r="CH446" s="668">
        <f t="shared" si="760"/>
        <v>0</v>
      </c>
      <c r="CI446" s="668">
        <f t="shared" si="760"/>
        <v>0</v>
      </c>
      <c r="CJ446" s="668">
        <f t="shared" si="760"/>
        <v>0</v>
      </c>
      <c r="CK446" s="668">
        <f t="shared" si="760"/>
        <v>0</v>
      </c>
      <c r="CL446" s="668">
        <f t="shared" si="760"/>
        <v>0</v>
      </c>
      <c r="CM446" s="668">
        <f t="shared" si="760"/>
        <v>0</v>
      </c>
      <c r="CN446" s="668">
        <f t="shared" si="760"/>
        <v>0</v>
      </c>
      <c r="CO446" s="668">
        <f t="shared" si="760"/>
        <v>0</v>
      </c>
      <c r="CP446" s="668">
        <f t="shared" si="760"/>
        <v>0</v>
      </c>
      <c r="CQ446" s="668">
        <f t="shared" si="760"/>
        <v>0</v>
      </c>
      <c r="CR446" s="668">
        <f t="shared" si="760"/>
        <v>0</v>
      </c>
      <c r="CS446" s="668">
        <f t="shared" si="760"/>
        <v>0</v>
      </c>
      <c r="CT446" s="668">
        <f t="shared" si="760"/>
        <v>0</v>
      </c>
      <c r="CU446" s="668">
        <f t="shared" si="760"/>
        <v>0</v>
      </c>
      <c r="CV446" s="668">
        <f t="shared" si="760"/>
        <v>0</v>
      </c>
    </row>
    <row r="447" spans="1:100" s="757" customFormat="1" ht="12.75" outlineLevel="2" x14ac:dyDescent="0.2">
      <c r="A447" s="527"/>
      <c r="B447" s="527"/>
      <c r="C447" s="528"/>
      <c r="D447" s="529"/>
      <c r="E447" s="1096" t="s">
        <v>342</v>
      </c>
      <c r="F447" s="807"/>
      <c r="G447" s="807" t="str">
        <f xml:space="preserve"> SMU</f>
        <v>$ 000s</v>
      </c>
      <c r="H447" s="807">
        <f xml:space="preserve"> SUM(J447:CV447)</f>
        <v>86318.253106861201</v>
      </c>
      <c r="I447" s="807"/>
      <c r="J447" s="807">
        <f t="shared" ref="J447:AO447" si="761">SUM(J445:J446)</f>
        <v>0</v>
      </c>
      <c r="K447" s="807">
        <f t="shared" si="761"/>
        <v>0</v>
      </c>
      <c r="L447" s="807">
        <f t="shared" si="761"/>
        <v>0</v>
      </c>
      <c r="M447" s="807">
        <f t="shared" si="761"/>
        <v>0</v>
      </c>
      <c r="N447" s="807">
        <f t="shared" si="761"/>
        <v>86318.253106861201</v>
      </c>
      <c r="O447" s="807">
        <f t="shared" si="761"/>
        <v>0</v>
      </c>
      <c r="P447" s="807">
        <f t="shared" si="761"/>
        <v>0</v>
      </c>
      <c r="Q447" s="807">
        <f t="shared" si="761"/>
        <v>0</v>
      </c>
      <c r="R447" s="807">
        <f t="shared" si="761"/>
        <v>0</v>
      </c>
      <c r="S447" s="807">
        <f t="shared" si="761"/>
        <v>0</v>
      </c>
      <c r="T447" s="807">
        <f t="shared" si="761"/>
        <v>0</v>
      </c>
      <c r="U447" s="807">
        <f t="shared" si="761"/>
        <v>0</v>
      </c>
      <c r="V447" s="807">
        <f t="shared" si="761"/>
        <v>0</v>
      </c>
      <c r="W447" s="807">
        <f t="shared" si="761"/>
        <v>0</v>
      </c>
      <c r="X447" s="807">
        <f t="shared" si="761"/>
        <v>0</v>
      </c>
      <c r="Y447" s="807">
        <f t="shared" si="761"/>
        <v>0</v>
      </c>
      <c r="Z447" s="807">
        <f t="shared" si="761"/>
        <v>0</v>
      </c>
      <c r="AA447" s="807">
        <f t="shared" si="761"/>
        <v>0</v>
      </c>
      <c r="AB447" s="807">
        <f t="shared" si="761"/>
        <v>0</v>
      </c>
      <c r="AC447" s="807">
        <f t="shared" si="761"/>
        <v>0</v>
      </c>
      <c r="AD447" s="807">
        <f t="shared" si="761"/>
        <v>0</v>
      </c>
      <c r="AE447" s="807">
        <f t="shared" si="761"/>
        <v>0</v>
      </c>
      <c r="AF447" s="807">
        <f t="shared" si="761"/>
        <v>0</v>
      </c>
      <c r="AG447" s="807">
        <f t="shared" si="761"/>
        <v>0</v>
      </c>
      <c r="AH447" s="807">
        <f t="shared" si="761"/>
        <v>0</v>
      </c>
      <c r="AI447" s="807">
        <f t="shared" si="761"/>
        <v>0</v>
      </c>
      <c r="AJ447" s="807">
        <f t="shared" si="761"/>
        <v>0</v>
      </c>
      <c r="AK447" s="807">
        <f t="shared" si="761"/>
        <v>0</v>
      </c>
      <c r="AL447" s="807">
        <f t="shared" si="761"/>
        <v>0</v>
      </c>
      <c r="AM447" s="807">
        <f t="shared" si="761"/>
        <v>0</v>
      </c>
      <c r="AN447" s="807">
        <f t="shared" si="761"/>
        <v>0</v>
      </c>
      <c r="AO447" s="807">
        <f t="shared" si="761"/>
        <v>0</v>
      </c>
      <c r="AP447" s="807">
        <f t="shared" ref="AP447:BU447" si="762">SUM(AP445:AP446)</f>
        <v>0</v>
      </c>
      <c r="AQ447" s="807">
        <f t="shared" si="762"/>
        <v>0</v>
      </c>
      <c r="AR447" s="807">
        <f t="shared" si="762"/>
        <v>0</v>
      </c>
      <c r="AS447" s="807">
        <f t="shared" si="762"/>
        <v>0</v>
      </c>
      <c r="AT447" s="807">
        <f t="shared" si="762"/>
        <v>0</v>
      </c>
      <c r="AU447" s="807">
        <f t="shared" si="762"/>
        <v>0</v>
      </c>
      <c r="AV447" s="807">
        <f t="shared" si="762"/>
        <v>0</v>
      </c>
      <c r="AW447" s="807">
        <f t="shared" si="762"/>
        <v>0</v>
      </c>
      <c r="AX447" s="807">
        <f t="shared" si="762"/>
        <v>0</v>
      </c>
      <c r="AY447" s="807">
        <f t="shared" si="762"/>
        <v>0</v>
      </c>
      <c r="AZ447" s="807">
        <f t="shared" si="762"/>
        <v>0</v>
      </c>
      <c r="BA447" s="807">
        <f t="shared" si="762"/>
        <v>0</v>
      </c>
      <c r="BB447" s="807">
        <f t="shared" si="762"/>
        <v>0</v>
      </c>
      <c r="BC447" s="807">
        <f t="shared" si="762"/>
        <v>0</v>
      </c>
      <c r="BD447" s="807">
        <f t="shared" si="762"/>
        <v>0</v>
      </c>
      <c r="BE447" s="807">
        <f t="shared" si="762"/>
        <v>0</v>
      </c>
      <c r="BF447" s="807">
        <f t="shared" si="762"/>
        <v>0</v>
      </c>
      <c r="BG447" s="807">
        <f t="shared" si="762"/>
        <v>0</v>
      </c>
      <c r="BH447" s="807">
        <f t="shared" si="762"/>
        <v>0</v>
      </c>
      <c r="BI447" s="807">
        <f t="shared" si="762"/>
        <v>0</v>
      </c>
      <c r="BJ447" s="807">
        <f t="shared" si="762"/>
        <v>0</v>
      </c>
      <c r="BK447" s="807">
        <f t="shared" si="762"/>
        <v>0</v>
      </c>
      <c r="BL447" s="807">
        <f t="shared" si="762"/>
        <v>0</v>
      </c>
      <c r="BM447" s="807">
        <f t="shared" si="762"/>
        <v>0</v>
      </c>
      <c r="BN447" s="807">
        <f t="shared" si="762"/>
        <v>0</v>
      </c>
      <c r="BO447" s="807">
        <f t="shared" si="762"/>
        <v>0</v>
      </c>
      <c r="BP447" s="807">
        <f t="shared" si="762"/>
        <v>0</v>
      </c>
      <c r="BQ447" s="807">
        <f t="shared" si="762"/>
        <v>0</v>
      </c>
      <c r="BR447" s="807">
        <f t="shared" si="762"/>
        <v>0</v>
      </c>
      <c r="BS447" s="807">
        <f t="shared" si="762"/>
        <v>0</v>
      </c>
      <c r="BT447" s="807">
        <f t="shared" si="762"/>
        <v>0</v>
      </c>
      <c r="BU447" s="807">
        <f t="shared" si="762"/>
        <v>0</v>
      </c>
      <c r="BV447" s="807">
        <f t="shared" ref="BV447:CV447" si="763">SUM(BV445:BV446)</f>
        <v>0</v>
      </c>
      <c r="BW447" s="807">
        <f t="shared" si="763"/>
        <v>0</v>
      </c>
      <c r="BX447" s="807">
        <f t="shared" si="763"/>
        <v>0</v>
      </c>
      <c r="BY447" s="807">
        <f t="shared" si="763"/>
        <v>0</v>
      </c>
      <c r="BZ447" s="807">
        <f t="shared" si="763"/>
        <v>0</v>
      </c>
      <c r="CA447" s="807">
        <f t="shared" si="763"/>
        <v>0</v>
      </c>
      <c r="CB447" s="807">
        <f t="shared" si="763"/>
        <v>0</v>
      </c>
      <c r="CC447" s="807">
        <f t="shared" si="763"/>
        <v>0</v>
      </c>
      <c r="CD447" s="807">
        <f t="shared" si="763"/>
        <v>0</v>
      </c>
      <c r="CE447" s="807">
        <f t="shared" si="763"/>
        <v>0</v>
      </c>
      <c r="CF447" s="807">
        <f t="shared" si="763"/>
        <v>0</v>
      </c>
      <c r="CG447" s="807">
        <f t="shared" si="763"/>
        <v>0</v>
      </c>
      <c r="CH447" s="807">
        <f t="shared" si="763"/>
        <v>0</v>
      </c>
      <c r="CI447" s="807">
        <f t="shared" si="763"/>
        <v>0</v>
      </c>
      <c r="CJ447" s="807">
        <f t="shared" si="763"/>
        <v>0</v>
      </c>
      <c r="CK447" s="807">
        <f t="shared" si="763"/>
        <v>0</v>
      </c>
      <c r="CL447" s="807">
        <f t="shared" si="763"/>
        <v>0</v>
      </c>
      <c r="CM447" s="807">
        <f t="shared" si="763"/>
        <v>0</v>
      </c>
      <c r="CN447" s="807">
        <f t="shared" si="763"/>
        <v>0</v>
      </c>
      <c r="CO447" s="807">
        <f t="shared" si="763"/>
        <v>0</v>
      </c>
      <c r="CP447" s="807">
        <f t="shared" si="763"/>
        <v>0</v>
      </c>
      <c r="CQ447" s="807">
        <f t="shared" si="763"/>
        <v>0</v>
      </c>
      <c r="CR447" s="807">
        <f t="shared" si="763"/>
        <v>0</v>
      </c>
      <c r="CS447" s="807">
        <f t="shared" si="763"/>
        <v>0</v>
      </c>
      <c r="CT447" s="807">
        <f t="shared" si="763"/>
        <v>0</v>
      </c>
      <c r="CU447" s="807">
        <f t="shared" si="763"/>
        <v>0</v>
      </c>
      <c r="CV447" s="807">
        <f t="shared" si="763"/>
        <v>0</v>
      </c>
    </row>
    <row r="448" spans="1:100" s="114" customFormat="1" ht="12.75" outlineLevel="1" x14ac:dyDescent="0.2">
      <c r="A448" s="522"/>
      <c r="B448" s="522"/>
      <c r="C448" s="523"/>
      <c r="D448" s="524"/>
      <c r="E448" s="664"/>
      <c r="F448" s="525"/>
      <c r="G448" s="525"/>
      <c r="H448" s="525"/>
      <c r="I448" s="526"/>
      <c r="J448" s="525"/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</row>
    <row r="449" spans="1:100" ht="12.75" outlineLevel="1" x14ac:dyDescent="0.2">
      <c r="B449" s="15" t="s">
        <v>335</v>
      </c>
      <c r="E449" s="6"/>
    </row>
    <row r="450" spans="1:100" s="283" customFormat="1" ht="12.75" outlineLevel="2" x14ac:dyDescent="0.2">
      <c r="A450" s="556"/>
      <c r="B450" s="556"/>
      <c r="C450" s="557"/>
      <c r="D450" s="115"/>
      <c r="E450" s="450" t="str">
        <f xml:space="preserve"> InpC!E$372</f>
        <v>Shareholder loan annual interest rate</v>
      </c>
      <c r="F450" s="450">
        <f xml:space="preserve"> InpC!F$372</f>
        <v>0.12</v>
      </c>
      <c r="G450" s="450" t="str">
        <f xml:space="preserve"> InpC!G$372</f>
        <v>% p.a.</v>
      </c>
      <c r="H450" s="282"/>
      <c r="I450" s="112"/>
      <c r="J450" s="282"/>
      <c r="K450" s="282"/>
      <c r="L450" s="282"/>
      <c r="M450" s="282"/>
      <c r="N450" s="282"/>
      <c r="O450" s="282"/>
      <c r="P450" s="282"/>
      <c r="Q450" s="282"/>
      <c r="R450" s="282"/>
      <c r="S450" s="282"/>
      <c r="T450" s="282"/>
      <c r="U450" s="282"/>
      <c r="V450" s="282"/>
      <c r="W450" s="282"/>
      <c r="X450" s="282"/>
      <c r="Y450" s="282"/>
      <c r="Z450" s="282"/>
      <c r="AA450" s="282"/>
      <c r="AB450" s="282"/>
      <c r="AC450" s="282"/>
      <c r="AD450" s="282"/>
      <c r="AE450" s="282"/>
      <c r="AF450" s="282"/>
      <c r="AG450" s="282"/>
      <c r="AH450" s="282"/>
      <c r="AI450" s="282"/>
      <c r="AJ450" s="282"/>
      <c r="AK450" s="282"/>
      <c r="AL450" s="282"/>
      <c r="AM450" s="282"/>
      <c r="AN450" s="282"/>
      <c r="AO450" s="282"/>
      <c r="AP450" s="282"/>
      <c r="AQ450" s="282"/>
      <c r="AR450" s="282"/>
      <c r="AS450" s="282"/>
      <c r="AT450" s="282"/>
      <c r="AU450" s="282"/>
      <c r="AV450" s="282"/>
      <c r="AW450" s="282"/>
      <c r="AX450" s="282"/>
      <c r="AY450" s="282"/>
      <c r="AZ450" s="282"/>
      <c r="BA450" s="282"/>
      <c r="BB450" s="282"/>
      <c r="BC450" s="282"/>
      <c r="BD450" s="282"/>
      <c r="BE450" s="282"/>
      <c r="BF450" s="282"/>
      <c r="BG450" s="282"/>
      <c r="BH450" s="282"/>
      <c r="BI450" s="282"/>
      <c r="BJ450" s="282"/>
      <c r="BK450" s="282"/>
      <c r="BL450" s="282"/>
      <c r="BM450" s="282"/>
      <c r="BN450" s="282"/>
      <c r="BO450" s="282"/>
      <c r="BP450" s="282"/>
      <c r="BQ450" s="282"/>
      <c r="BR450" s="282"/>
      <c r="BS450" s="282"/>
      <c r="BT450" s="282"/>
      <c r="BU450" s="282"/>
      <c r="BV450" s="282"/>
      <c r="BW450" s="282"/>
      <c r="BX450" s="282"/>
      <c r="BY450" s="282"/>
      <c r="BZ450" s="282"/>
      <c r="CA450" s="282"/>
      <c r="CB450" s="282"/>
      <c r="CC450" s="282"/>
      <c r="CD450" s="282"/>
      <c r="CE450" s="282"/>
      <c r="CF450" s="282"/>
      <c r="CG450" s="282"/>
      <c r="CH450" s="282"/>
      <c r="CI450" s="282"/>
      <c r="CJ450" s="282"/>
      <c r="CK450" s="282"/>
      <c r="CL450" s="282"/>
      <c r="CM450" s="282"/>
      <c r="CN450" s="282"/>
      <c r="CO450" s="282"/>
      <c r="CP450" s="282"/>
      <c r="CQ450" s="282"/>
      <c r="CR450" s="282"/>
      <c r="CS450" s="282"/>
      <c r="CT450" s="282"/>
      <c r="CU450" s="282"/>
      <c r="CV450" s="282"/>
    </row>
    <row r="451" spans="1:100" ht="12.75" outlineLevel="2" x14ac:dyDescent="0.2">
      <c r="E451" s="186" t="str">
        <f xml:space="preserve"> InpC!E$415</f>
        <v>Number of periods in a year</v>
      </c>
      <c r="F451" s="186">
        <f xml:space="preserve"> InpC!F$415</f>
        <v>2</v>
      </c>
      <c r="G451" s="186" t="str">
        <f xml:space="preserve"> InpC!G$415</f>
        <v>periods</v>
      </c>
    </row>
    <row r="452" spans="1:100" ht="12.75" outlineLevel="2" x14ac:dyDescent="0.2">
      <c r="E452" s="12" t="str">
        <f t="shared" ref="E452:AJ452" si="764" xml:space="preserve"> E$483</f>
        <v>Shareholder loan balance BEG</v>
      </c>
      <c r="F452" s="12">
        <f t="shared" si="764"/>
        <v>0</v>
      </c>
      <c r="G452" s="12" t="str">
        <f t="shared" si="764"/>
        <v>$ 000s</v>
      </c>
      <c r="H452" s="12">
        <f t="shared" si="764"/>
        <v>0</v>
      </c>
      <c r="I452" s="12">
        <f t="shared" si="764"/>
        <v>0</v>
      </c>
      <c r="J452" s="12">
        <f t="shared" si="764"/>
        <v>0</v>
      </c>
      <c r="K452" s="12">
        <f t="shared" si="764"/>
        <v>0</v>
      </c>
      <c r="L452" s="12">
        <f t="shared" si="764"/>
        <v>0</v>
      </c>
      <c r="M452" s="12">
        <f t="shared" si="764"/>
        <v>0</v>
      </c>
      <c r="N452" s="12">
        <f t="shared" si="764"/>
        <v>0</v>
      </c>
      <c r="O452" s="12">
        <f t="shared" si="764"/>
        <v>86318.253106861201</v>
      </c>
      <c r="P452" s="12">
        <f t="shared" si="764"/>
        <v>86538.908620951392</v>
      </c>
      <c r="Q452" s="12">
        <f t="shared" si="764"/>
        <v>87312.182243400777</v>
      </c>
      <c r="R452" s="12">
        <f t="shared" si="764"/>
        <v>88119.387817577794</v>
      </c>
      <c r="S452" s="12">
        <f t="shared" si="764"/>
        <v>89015.457194694158</v>
      </c>
      <c r="T452" s="12">
        <f t="shared" si="764"/>
        <v>89953.246591619041</v>
      </c>
      <c r="U452" s="12">
        <f t="shared" si="764"/>
        <v>90995.088701463945</v>
      </c>
      <c r="V452" s="12">
        <f t="shared" si="764"/>
        <v>92072.785886511716</v>
      </c>
      <c r="W452" s="12">
        <f t="shared" si="764"/>
        <v>93249.754362541978</v>
      </c>
      <c r="X452" s="12">
        <f t="shared" si="764"/>
        <v>94512.69720564509</v>
      </c>
      <c r="Y452" s="12">
        <f t="shared" si="764"/>
        <v>95877.825116988068</v>
      </c>
      <c r="Z452" s="12">
        <f t="shared" si="764"/>
        <v>97318.028720348229</v>
      </c>
      <c r="AA452" s="12">
        <f t="shared" si="764"/>
        <v>98884.301242578513</v>
      </c>
      <c r="AB452" s="12">
        <f t="shared" si="764"/>
        <v>100534.24358519429</v>
      </c>
      <c r="AC452" s="12">
        <f t="shared" si="764"/>
        <v>102329.93393908079</v>
      </c>
      <c r="AD452" s="12">
        <f t="shared" si="764"/>
        <v>104208.94818800513</v>
      </c>
      <c r="AE452" s="12">
        <f t="shared" si="764"/>
        <v>106234.59238082725</v>
      </c>
      <c r="AF452" s="12">
        <f t="shared" si="764"/>
        <v>108398.11124891452</v>
      </c>
      <c r="AG452" s="12">
        <f t="shared" si="764"/>
        <v>110717.47804403142</v>
      </c>
      <c r="AH452" s="12">
        <f t="shared" si="764"/>
        <v>113167.00709125634</v>
      </c>
      <c r="AI452" s="12">
        <f t="shared" si="764"/>
        <v>115802.44240908351</v>
      </c>
      <c r="AJ452" s="12">
        <f t="shared" si="764"/>
        <v>118590.4199464952</v>
      </c>
      <c r="AK452" s="12">
        <f t="shared" ref="AK452:BP452" si="765" xml:space="preserve"> AK$483</f>
        <v>121591.25837551881</v>
      </c>
      <c r="AL452" s="12">
        <f t="shared" si="765"/>
        <v>124749.91711200298</v>
      </c>
      <c r="AM452" s="12">
        <f t="shared" si="765"/>
        <v>128131.11839780939</v>
      </c>
      <c r="AN452" s="12">
        <f t="shared" si="765"/>
        <v>131732.39390944995</v>
      </c>
      <c r="AO452" s="12">
        <f t="shared" si="765"/>
        <v>135575.30013515614</v>
      </c>
      <c r="AP452" s="12">
        <f t="shared" si="765"/>
        <v>139641.43101423365</v>
      </c>
      <c r="AQ452" s="12">
        <f t="shared" si="765"/>
        <v>143989.4920103694</v>
      </c>
      <c r="AR452" s="12">
        <f t="shared" si="765"/>
        <v>148591.51679182475</v>
      </c>
      <c r="AS452" s="12">
        <f t="shared" si="765"/>
        <v>153514.15300015948</v>
      </c>
      <c r="AT452" s="12">
        <f t="shared" si="765"/>
        <v>158712.18262284272</v>
      </c>
      <c r="AU452" s="12">
        <f t="shared" si="765"/>
        <v>164254.64492832238</v>
      </c>
      <c r="AV452" s="12">
        <f t="shared" si="765"/>
        <v>165288.19910540234</v>
      </c>
      <c r="AW452" s="12">
        <f t="shared" si="765"/>
        <v>166461.56984272745</v>
      </c>
      <c r="AX452" s="12">
        <f t="shared" si="765"/>
        <v>162841.492735915</v>
      </c>
      <c r="AY452" s="12">
        <f t="shared" si="765"/>
        <v>159150.53070207225</v>
      </c>
      <c r="AZ452" s="12">
        <f t="shared" si="765"/>
        <v>155241.78730509544</v>
      </c>
      <c r="BA452" s="12">
        <f t="shared" si="765"/>
        <v>151244.15464843449</v>
      </c>
      <c r="BB452" s="12">
        <f t="shared" si="765"/>
        <v>147013.20324411371</v>
      </c>
      <c r="BC452" s="12">
        <f t="shared" si="765"/>
        <v>139388.03567530261</v>
      </c>
      <c r="BD452" s="12">
        <f t="shared" si="765"/>
        <v>139388.03567530261</v>
      </c>
      <c r="BE452" s="12">
        <f t="shared" si="765"/>
        <v>139388.03567530261</v>
      </c>
      <c r="BF452" s="12">
        <f t="shared" si="765"/>
        <v>139388.03567530261</v>
      </c>
      <c r="BG452" s="12">
        <f t="shared" si="765"/>
        <v>139388.03567530261</v>
      </c>
      <c r="BH452" s="12">
        <f t="shared" si="765"/>
        <v>139388.03567530261</v>
      </c>
      <c r="BI452" s="12">
        <f t="shared" si="765"/>
        <v>139388.03567530261</v>
      </c>
      <c r="BJ452" s="12">
        <f t="shared" si="765"/>
        <v>139388.03567530261</v>
      </c>
      <c r="BK452" s="12">
        <f t="shared" si="765"/>
        <v>139388.03567530261</v>
      </c>
      <c r="BL452" s="12">
        <f t="shared" si="765"/>
        <v>139388.03567530261</v>
      </c>
      <c r="BM452" s="12">
        <f t="shared" si="765"/>
        <v>139388.03567530261</v>
      </c>
      <c r="BN452" s="12">
        <f t="shared" si="765"/>
        <v>139388.03567530261</v>
      </c>
      <c r="BO452" s="12">
        <f t="shared" si="765"/>
        <v>139388.03567530261</v>
      </c>
      <c r="BP452" s="12">
        <f t="shared" si="765"/>
        <v>139388.03567530261</v>
      </c>
      <c r="BQ452" s="12">
        <f t="shared" ref="BQ452:CV452" si="766" xml:space="preserve"> BQ$483</f>
        <v>139388.03567530261</v>
      </c>
      <c r="BR452" s="12">
        <f t="shared" si="766"/>
        <v>139388.03567530261</v>
      </c>
      <c r="BS452" s="12">
        <f t="shared" si="766"/>
        <v>139388.03567530261</v>
      </c>
      <c r="BT452" s="12">
        <f t="shared" si="766"/>
        <v>139388.03567530261</v>
      </c>
      <c r="BU452" s="12">
        <f t="shared" si="766"/>
        <v>139388.03567530261</v>
      </c>
      <c r="BV452" s="12">
        <f t="shared" si="766"/>
        <v>139388.03567530261</v>
      </c>
      <c r="BW452" s="12">
        <f t="shared" si="766"/>
        <v>139388.03567530261</v>
      </c>
      <c r="BX452" s="12">
        <f t="shared" si="766"/>
        <v>139388.03567530261</v>
      </c>
      <c r="BY452" s="12">
        <f t="shared" si="766"/>
        <v>139388.03567530261</v>
      </c>
      <c r="BZ452" s="12">
        <f t="shared" si="766"/>
        <v>139388.03567530261</v>
      </c>
      <c r="CA452" s="12">
        <f t="shared" si="766"/>
        <v>139388.03567530261</v>
      </c>
      <c r="CB452" s="12">
        <f t="shared" si="766"/>
        <v>139388.03567530261</v>
      </c>
      <c r="CC452" s="12">
        <f t="shared" si="766"/>
        <v>139388.03567530261</v>
      </c>
      <c r="CD452" s="12">
        <f t="shared" si="766"/>
        <v>139388.03567530261</v>
      </c>
      <c r="CE452" s="12">
        <f t="shared" si="766"/>
        <v>139388.03567530261</v>
      </c>
      <c r="CF452" s="12">
        <f t="shared" si="766"/>
        <v>139388.03567530261</v>
      </c>
      <c r="CG452" s="12">
        <f t="shared" si="766"/>
        <v>139388.03567530261</v>
      </c>
      <c r="CH452" s="12">
        <f t="shared" si="766"/>
        <v>139388.03567530261</v>
      </c>
      <c r="CI452" s="12">
        <f t="shared" si="766"/>
        <v>139388.03567530261</v>
      </c>
      <c r="CJ452" s="12">
        <f t="shared" si="766"/>
        <v>139388.03567530261</v>
      </c>
      <c r="CK452" s="12">
        <f t="shared" si="766"/>
        <v>139388.03567530261</v>
      </c>
      <c r="CL452" s="12">
        <f t="shared" si="766"/>
        <v>139388.03567530261</v>
      </c>
      <c r="CM452" s="12">
        <f t="shared" si="766"/>
        <v>139388.03567530261</v>
      </c>
      <c r="CN452" s="12">
        <f t="shared" si="766"/>
        <v>139388.03567530261</v>
      </c>
      <c r="CO452" s="12">
        <f t="shared" si="766"/>
        <v>139388.03567530261</v>
      </c>
      <c r="CP452" s="12">
        <f t="shared" si="766"/>
        <v>139388.03567530261</v>
      </c>
      <c r="CQ452" s="12">
        <f t="shared" si="766"/>
        <v>139388.03567530261</v>
      </c>
      <c r="CR452" s="12">
        <f t="shared" si="766"/>
        <v>139388.03567530261</v>
      </c>
      <c r="CS452" s="12">
        <f t="shared" si="766"/>
        <v>139388.03567530261</v>
      </c>
      <c r="CT452" s="12">
        <f t="shared" si="766"/>
        <v>139388.03567530261</v>
      </c>
      <c r="CU452" s="12">
        <f t="shared" si="766"/>
        <v>139388.03567530261</v>
      </c>
      <c r="CV452" s="12">
        <f t="shared" si="766"/>
        <v>139388.03567530261</v>
      </c>
    </row>
    <row r="453" spans="1:100" s="125" customFormat="1" ht="12.75" outlineLevel="2" x14ac:dyDescent="0.2">
      <c r="A453" s="85"/>
      <c r="B453" s="85"/>
      <c r="C453" s="86"/>
      <c r="D453" s="87"/>
      <c r="E453" s="186" t="str">
        <f xml:space="preserve"> Time!E$106</f>
        <v>Operating period flag</v>
      </c>
      <c r="F453" s="186">
        <f xml:space="preserve"> Time!F$106</f>
        <v>0</v>
      </c>
      <c r="G453" s="186" t="str">
        <f xml:space="preserve"> Time!G$106</f>
        <v>flag</v>
      </c>
      <c r="H453" s="186">
        <f xml:space="preserve"> Time!H$106</f>
        <v>40</v>
      </c>
      <c r="I453" s="186">
        <f xml:space="preserve"> Time!I$106</f>
        <v>0</v>
      </c>
      <c r="J453" s="186">
        <f xml:space="preserve"> Time!J$106</f>
        <v>0</v>
      </c>
      <c r="K453" s="186">
        <f xml:space="preserve"> Time!K$106</f>
        <v>0</v>
      </c>
      <c r="L453" s="186">
        <f xml:space="preserve"> Time!L$106</f>
        <v>0</v>
      </c>
      <c r="M453" s="186">
        <f xml:space="preserve"> Time!M$106</f>
        <v>0</v>
      </c>
      <c r="N453" s="186">
        <f xml:space="preserve"> Time!N$106</f>
        <v>0</v>
      </c>
      <c r="O453" s="186">
        <f xml:space="preserve"> Time!O$106</f>
        <v>1</v>
      </c>
      <c r="P453" s="186">
        <f xml:space="preserve"> Time!P$106</f>
        <v>1</v>
      </c>
      <c r="Q453" s="186">
        <f xml:space="preserve"> Time!Q$106</f>
        <v>1</v>
      </c>
      <c r="R453" s="186">
        <f xml:space="preserve"> Time!R$106</f>
        <v>1</v>
      </c>
      <c r="S453" s="186">
        <f xml:space="preserve"> Time!S$106</f>
        <v>1</v>
      </c>
      <c r="T453" s="186">
        <f xml:space="preserve"> Time!T$106</f>
        <v>1</v>
      </c>
      <c r="U453" s="186">
        <f xml:space="preserve"> Time!U$106</f>
        <v>1</v>
      </c>
      <c r="V453" s="186">
        <f xml:space="preserve"> Time!V$106</f>
        <v>1</v>
      </c>
      <c r="W453" s="186">
        <f xml:space="preserve"> Time!W$106</f>
        <v>1</v>
      </c>
      <c r="X453" s="186">
        <f xml:space="preserve"> Time!X$106</f>
        <v>1</v>
      </c>
      <c r="Y453" s="186">
        <f xml:space="preserve"> Time!Y$106</f>
        <v>1</v>
      </c>
      <c r="Z453" s="186">
        <f xml:space="preserve"> Time!Z$106</f>
        <v>1</v>
      </c>
      <c r="AA453" s="186">
        <f xml:space="preserve"> Time!AA$106</f>
        <v>1</v>
      </c>
      <c r="AB453" s="186">
        <f xml:space="preserve"> Time!AB$106</f>
        <v>1</v>
      </c>
      <c r="AC453" s="186">
        <f xml:space="preserve"> Time!AC$106</f>
        <v>1</v>
      </c>
      <c r="AD453" s="186">
        <f xml:space="preserve"> Time!AD$106</f>
        <v>1</v>
      </c>
      <c r="AE453" s="186">
        <f xml:space="preserve"> Time!AE$106</f>
        <v>1</v>
      </c>
      <c r="AF453" s="186">
        <f xml:space="preserve"> Time!AF$106</f>
        <v>1</v>
      </c>
      <c r="AG453" s="186">
        <f xml:space="preserve"> Time!AG$106</f>
        <v>1</v>
      </c>
      <c r="AH453" s="186">
        <f xml:space="preserve"> Time!AH$106</f>
        <v>1</v>
      </c>
      <c r="AI453" s="186">
        <f xml:space="preserve"> Time!AI$106</f>
        <v>1</v>
      </c>
      <c r="AJ453" s="186">
        <f xml:space="preserve"> Time!AJ$106</f>
        <v>1</v>
      </c>
      <c r="AK453" s="186">
        <f xml:space="preserve"> Time!AK$106</f>
        <v>1</v>
      </c>
      <c r="AL453" s="186">
        <f xml:space="preserve"> Time!AL$106</f>
        <v>1</v>
      </c>
      <c r="AM453" s="186">
        <f xml:space="preserve"> Time!AM$106</f>
        <v>1</v>
      </c>
      <c r="AN453" s="186">
        <f xml:space="preserve"> Time!AN$106</f>
        <v>1</v>
      </c>
      <c r="AO453" s="186">
        <f xml:space="preserve"> Time!AO$106</f>
        <v>1</v>
      </c>
      <c r="AP453" s="186">
        <f xml:space="preserve"> Time!AP$106</f>
        <v>1</v>
      </c>
      <c r="AQ453" s="186">
        <f xml:space="preserve"> Time!AQ$106</f>
        <v>1</v>
      </c>
      <c r="AR453" s="186">
        <f xml:space="preserve"> Time!AR$106</f>
        <v>1</v>
      </c>
      <c r="AS453" s="186">
        <f xml:space="preserve"> Time!AS$106</f>
        <v>1</v>
      </c>
      <c r="AT453" s="186">
        <f xml:space="preserve"> Time!AT$106</f>
        <v>1</v>
      </c>
      <c r="AU453" s="186">
        <f xml:space="preserve"> Time!AU$106</f>
        <v>1</v>
      </c>
      <c r="AV453" s="186">
        <f xml:space="preserve"> Time!AV$106</f>
        <v>1</v>
      </c>
      <c r="AW453" s="186">
        <f xml:space="preserve"> Time!AW$106</f>
        <v>1</v>
      </c>
      <c r="AX453" s="186">
        <f xml:space="preserve"> Time!AX$106</f>
        <v>1</v>
      </c>
      <c r="AY453" s="186">
        <f xml:space="preserve"> Time!AY$106</f>
        <v>1</v>
      </c>
      <c r="AZ453" s="186">
        <f xml:space="preserve"> Time!AZ$106</f>
        <v>1</v>
      </c>
      <c r="BA453" s="186">
        <f xml:space="preserve"> Time!BA$106</f>
        <v>1</v>
      </c>
      <c r="BB453" s="186">
        <f xml:space="preserve"> Time!BB$106</f>
        <v>1</v>
      </c>
      <c r="BC453" s="186">
        <f xml:space="preserve"> Time!BC$106</f>
        <v>0</v>
      </c>
      <c r="BD453" s="186">
        <f xml:space="preserve"> Time!BD$106</f>
        <v>0</v>
      </c>
      <c r="BE453" s="186">
        <f xml:space="preserve"> Time!BE$106</f>
        <v>0</v>
      </c>
      <c r="BF453" s="186">
        <f xml:space="preserve"> Time!BF$106</f>
        <v>0</v>
      </c>
      <c r="BG453" s="186">
        <f xml:space="preserve"> Time!BG$106</f>
        <v>0</v>
      </c>
      <c r="BH453" s="186">
        <f xml:space="preserve"> Time!BH$106</f>
        <v>0</v>
      </c>
      <c r="BI453" s="186">
        <f xml:space="preserve"> Time!BI$106</f>
        <v>0</v>
      </c>
      <c r="BJ453" s="186">
        <f xml:space="preserve"> Time!BJ$106</f>
        <v>0</v>
      </c>
      <c r="BK453" s="186">
        <f xml:space="preserve"> Time!BK$106</f>
        <v>0</v>
      </c>
      <c r="BL453" s="186">
        <f xml:space="preserve"> Time!BL$106</f>
        <v>0</v>
      </c>
      <c r="BM453" s="186">
        <f xml:space="preserve"> Time!BM$106</f>
        <v>0</v>
      </c>
      <c r="BN453" s="186">
        <f xml:space="preserve"> Time!BN$106</f>
        <v>0</v>
      </c>
      <c r="BO453" s="186">
        <f xml:space="preserve"> Time!BO$106</f>
        <v>0</v>
      </c>
      <c r="BP453" s="186">
        <f xml:space="preserve"> Time!BP$106</f>
        <v>0</v>
      </c>
      <c r="BQ453" s="186">
        <f xml:space="preserve"> Time!BQ$106</f>
        <v>0</v>
      </c>
      <c r="BR453" s="186">
        <f xml:space="preserve"> Time!BR$106</f>
        <v>0</v>
      </c>
      <c r="BS453" s="186">
        <f xml:space="preserve"> Time!BS$106</f>
        <v>0</v>
      </c>
      <c r="BT453" s="186">
        <f xml:space="preserve"> Time!BT$106</f>
        <v>0</v>
      </c>
      <c r="BU453" s="186">
        <f xml:space="preserve"> Time!BU$106</f>
        <v>0</v>
      </c>
      <c r="BV453" s="186">
        <f xml:space="preserve"> Time!BV$106</f>
        <v>0</v>
      </c>
      <c r="BW453" s="186">
        <f xml:space="preserve"> Time!BW$106</f>
        <v>0</v>
      </c>
      <c r="BX453" s="186">
        <f xml:space="preserve"> Time!BX$106</f>
        <v>0</v>
      </c>
      <c r="BY453" s="186">
        <f xml:space="preserve"> Time!BY$106</f>
        <v>0</v>
      </c>
      <c r="BZ453" s="186">
        <f xml:space="preserve"> Time!BZ$106</f>
        <v>0</v>
      </c>
      <c r="CA453" s="186">
        <f xml:space="preserve"> Time!CA$106</f>
        <v>0</v>
      </c>
      <c r="CB453" s="186">
        <f xml:space="preserve"> Time!CB$106</f>
        <v>0</v>
      </c>
      <c r="CC453" s="186">
        <f xml:space="preserve"> Time!CC$106</f>
        <v>0</v>
      </c>
      <c r="CD453" s="186">
        <f xml:space="preserve"> Time!CD$106</f>
        <v>0</v>
      </c>
      <c r="CE453" s="186">
        <f xml:space="preserve"> Time!CE$106</f>
        <v>0</v>
      </c>
      <c r="CF453" s="186">
        <f xml:space="preserve"> Time!CF$106</f>
        <v>0</v>
      </c>
      <c r="CG453" s="186">
        <f xml:space="preserve"> Time!CG$106</f>
        <v>0</v>
      </c>
      <c r="CH453" s="186">
        <f xml:space="preserve"> Time!CH$106</f>
        <v>0</v>
      </c>
      <c r="CI453" s="186">
        <f xml:space="preserve"> Time!CI$106</f>
        <v>0</v>
      </c>
      <c r="CJ453" s="186">
        <f xml:space="preserve"> Time!CJ$106</f>
        <v>0</v>
      </c>
      <c r="CK453" s="186">
        <f xml:space="preserve"> Time!CK$106</f>
        <v>0</v>
      </c>
      <c r="CL453" s="186">
        <f xml:space="preserve"> Time!CL$106</f>
        <v>0</v>
      </c>
      <c r="CM453" s="186">
        <f xml:space="preserve"> Time!CM$106</f>
        <v>0</v>
      </c>
      <c r="CN453" s="186">
        <f xml:space="preserve"> Time!CN$106</f>
        <v>0</v>
      </c>
      <c r="CO453" s="186">
        <f xml:space="preserve"> Time!CO$106</f>
        <v>0</v>
      </c>
      <c r="CP453" s="186">
        <f xml:space="preserve"> Time!CP$106</f>
        <v>0</v>
      </c>
      <c r="CQ453" s="186">
        <f xml:space="preserve"> Time!CQ$106</f>
        <v>0</v>
      </c>
      <c r="CR453" s="186">
        <f xml:space="preserve"> Time!CR$106</f>
        <v>0</v>
      </c>
      <c r="CS453" s="186">
        <f xml:space="preserve"> Time!CS$106</f>
        <v>0</v>
      </c>
      <c r="CT453" s="186">
        <f xml:space="preserve"> Time!CT$106</f>
        <v>0</v>
      </c>
      <c r="CU453" s="186">
        <f xml:space="preserve"> Time!CU$106</f>
        <v>0</v>
      </c>
      <c r="CV453" s="186">
        <f xml:space="preserve"> Time!CV$106</f>
        <v>0</v>
      </c>
    </row>
    <row r="454" spans="1:100" s="188" customFormat="1" ht="12.75" outlineLevel="2" x14ac:dyDescent="0.2">
      <c r="A454" s="141"/>
      <c r="B454" s="141"/>
      <c r="C454" s="142"/>
      <c r="D454" s="143"/>
      <c r="E454" s="187" t="s">
        <v>346</v>
      </c>
      <c r="F454" s="187"/>
      <c r="G454" s="187" t="str">
        <f xml:space="preserve"> SMU</f>
        <v>$ 000s</v>
      </c>
      <c r="H454" s="187">
        <f xml:space="preserve"> SUM(J454:CV454)</f>
        <v>289672.52637153119</v>
      </c>
      <c r="I454" s="144"/>
      <c r="J454" s="187">
        <f t="shared" ref="J454:AO454" si="767" xml:space="preserve"> J452 * $F450 / $F451 * J453</f>
        <v>0</v>
      </c>
      <c r="K454" s="187">
        <f t="shared" si="767"/>
        <v>0</v>
      </c>
      <c r="L454" s="187">
        <f t="shared" si="767"/>
        <v>0</v>
      </c>
      <c r="M454" s="187">
        <f t="shared" si="767"/>
        <v>0</v>
      </c>
      <c r="N454" s="187">
        <f t="shared" si="767"/>
        <v>0</v>
      </c>
      <c r="O454" s="187">
        <f t="shared" si="767"/>
        <v>5179.0951864116714</v>
      </c>
      <c r="P454" s="187">
        <f t="shared" si="767"/>
        <v>5192.3345172570835</v>
      </c>
      <c r="Q454" s="187">
        <f t="shared" si="767"/>
        <v>5238.7309346040465</v>
      </c>
      <c r="R454" s="187">
        <f t="shared" si="767"/>
        <v>5287.1632690546676</v>
      </c>
      <c r="S454" s="187">
        <f t="shared" si="767"/>
        <v>5340.9274316816491</v>
      </c>
      <c r="T454" s="187">
        <f t="shared" si="767"/>
        <v>5397.194795497142</v>
      </c>
      <c r="U454" s="187">
        <f t="shared" si="767"/>
        <v>5459.7053220878361</v>
      </c>
      <c r="V454" s="187">
        <f t="shared" si="767"/>
        <v>5524.367153190703</v>
      </c>
      <c r="W454" s="187">
        <f t="shared" si="767"/>
        <v>5594.9852617525185</v>
      </c>
      <c r="X454" s="187">
        <f t="shared" si="767"/>
        <v>5670.7618323387051</v>
      </c>
      <c r="Y454" s="187">
        <f t="shared" si="767"/>
        <v>5752.6695070192836</v>
      </c>
      <c r="Z454" s="187">
        <f t="shared" si="767"/>
        <v>5839.0817232208938</v>
      </c>
      <c r="AA454" s="187">
        <f t="shared" si="767"/>
        <v>5933.0580745547104</v>
      </c>
      <c r="AB454" s="187">
        <f t="shared" si="767"/>
        <v>6032.0546151116569</v>
      </c>
      <c r="AC454" s="187">
        <f t="shared" si="767"/>
        <v>6139.7960363448474</v>
      </c>
      <c r="AD454" s="187">
        <f t="shared" si="767"/>
        <v>6252.5368912803078</v>
      </c>
      <c r="AE454" s="187">
        <f t="shared" si="767"/>
        <v>6374.075542849635</v>
      </c>
      <c r="AF454" s="187">
        <f t="shared" si="767"/>
        <v>6503.8866749348708</v>
      </c>
      <c r="AG454" s="187">
        <f t="shared" si="767"/>
        <v>6643.0486826418846</v>
      </c>
      <c r="AH454" s="187">
        <f t="shared" si="767"/>
        <v>6790.0204254753799</v>
      </c>
      <c r="AI454" s="187">
        <f t="shared" si="767"/>
        <v>6948.1465445450103</v>
      </c>
      <c r="AJ454" s="187">
        <f t="shared" si="767"/>
        <v>7115.4251967897117</v>
      </c>
      <c r="AK454" s="187">
        <f t="shared" si="767"/>
        <v>7295.4755025311288</v>
      </c>
      <c r="AL454" s="187">
        <f t="shared" si="767"/>
        <v>7484.9950267201784</v>
      </c>
      <c r="AM454" s="187">
        <f t="shared" si="767"/>
        <v>7687.8671038685634</v>
      </c>
      <c r="AN454" s="187">
        <f t="shared" si="767"/>
        <v>7903.9436345669965</v>
      </c>
      <c r="AO454" s="187">
        <f t="shared" si="767"/>
        <v>8134.5180081093677</v>
      </c>
      <c r="AP454" s="187">
        <f t="shared" ref="AP454:BU454" si="768" xml:space="preserve"> AP452 * $F450 / $F451 * AP453</f>
        <v>8378.485860854018</v>
      </c>
      <c r="AQ454" s="187">
        <f t="shared" si="768"/>
        <v>8639.3695206221637</v>
      </c>
      <c r="AR454" s="187">
        <f t="shared" si="768"/>
        <v>8915.4910075094849</v>
      </c>
      <c r="AS454" s="187">
        <f t="shared" si="768"/>
        <v>9210.849180009569</v>
      </c>
      <c r="AT454" s="187">
        <f t="shared" si="768"/>
        <v>9522.7309573705625</v>
      </c>
      <c r="AU454" s="187">
        <f t="shared" si="768"/>
        <v>9855.2786956993423</v>
      </c>
      <c r="AV454" s="187">
        <f t="shared" si="768"/>
        <v>9917.2919463241396</v>
      </c>
      <c r="AW454" s="187">
        <f t="shared" si="768"/>
        <v>9987.6941905636468</v>
      </c>
      <c r="AX454" s="187">
        <f t="shared" si="768"/>
        <v>9770.4895641548992</v>
      </c>
      <c r="AY454" s="187">
        <f t="shared" si="768"/>
        <v>9549.0318421243355</v>
      </c>
      <c r="AZ454" s="187">
        <f t="shared" si="768"/>
        <v>9314.507238305725</v>
      </c>
      <c r="BA454" s="187">
        <f t="shared" si="768"/>
        <v>9074.6492789060685</v>
      </c>
      <c r="BB454" s="187">
        <f t="shared" si="768"/>
        <v>8820.7921946468232</v>
      </c>
      <c r="BC454" s="187">
        <f t="shared" si="768"/>
        <v>0</v>
      </c>
      <c r="BD454" s="187">
        <f t="shared" si="768"/>
        <v>0</v>
      </c>
      <c r="BE454" s="187">
        <f t="shared" si="768"/>
        <v>0</v>
      </c>
      <c r="BF454" s="187">
        <f t="shared" si="768"/>
        <v>0</v>
      </c>
      <c r="BG454" s="187">
        <f t="shared" si="768"/>
        <v>0</v>
      </c>
      <c r="BH454" s="187">
        <f t="shared" si="768"/>
        <v>0</v>
      </c>
      <c r="BI454" s="187">
        <f t="shared" si="768"/>
        <v>0</v>
      </c>
      <c r="BJ454" s="187">
        <f t="shared" si="768"/>
        <v>0</v>
      </c>
      <c r="BK454" s="187">
        <f t="shared" si="768"/>
        <v>0</v>
      </c>
      <c r="BL454" s="187">
        <f t="shared" si="768"/>
        <v>0</v>
      </c>
      <c r="BM454" s="187">
        <f t="shared" si="768"/>
        <v>0</v>
      </c>
      <c r="BN454" s="187">
        <f t="shared" si="768"/>
        <v>0</v>
      </c>
      <c r="BO454" s="187">
        <f t="shared" si="768"/>
        <v>0</v>
      </c>
      <c r="BP454" s="187">
        <f t="shared" si="768"/>
        <v>0</v>
      </c>
      <c r="BQ454" s="187">
        <f t="shared" si="768"/>
        <v>0</v>
      </c>
      <c r="BR454" s="187">
        <f t="shared" si="768"/>
        <v>0</v>
      </c>
      <c r="BS454" s="187">
        <f t="shared" si="768"/>
        <v>0</v>
      </c>
      <c r="BT454" s="187">
        <f t="shared" si="768"/>
        <v>0</v>
      </c>
      <c r="BU454" s="187">
        <f t="shared" si="768"/>
        <v>0</v>
      </c>
      <c r="BV454" s="187">
        <f t="shared" ref="BV454:CV454" si="769" xml:space="preserve"> BV452 * $F450 / $F451 * BV453</f>
        <v>0</v>
      </c>
      <c r="BW454" s="187">
        <f t="shared" si="769"/>
        <v>0</v>
      </c>
      <c r="BX454" s="187">
        <f t="shared" si="769"/>
        <v>0</v>
      </c>
      <c r="BY454" s="187">
        <f t="shared" si="769"/>
        <v>0</v>
      </c>
      <c r="BZ454" s="187">
        <f t="shared" si="769"/>
        <v>0</v>
      </c>
      <c r="CA454" s="187">
        <f t="shared" si="769"/>
        <v>0</v>
      </c>
      <c r="CB454" s="187">
        <f t="shared" si="769"/>
        <v>0</v>
      </c>
      <c r="CC454" s="187">
        <f t="shared" si="769"/>
        <v>0</v>
      </c>
      <c r="CD454" s="187">
        <f t="shared" si="769"/>
        <v>0</v>
      </c>
      <c r="CE454" s="187">
        <f t="shared" si="769"/>
        <v>0</v>
      </c>
      <c r="CF454" s="187">
        <f t="shared" si="769"/>
        <v>0</v>
      </c>
      <c r="CG454" s="187">
        <f t="shared" si="769"/>
        <v>0</v>
      </c>
      <c r="CH454" s="187">
        <f t="shared" si="769"/>
        <v>0</v>
      </c>
      <c r="CI454" s="187">
        <f t="shared" si="769"/>
        <v>0</v>
      </c>
      <c r="CJ454" s="187">
        <f t="shared" si="769"/>
        <v>0</v>
      </c>
      <c r="CK454" s="187">
        <f t="shared" si="769"/>
        <v>0</v>
      </c>
      <c r="CL454" s="187">
        <f t="shared" si="769"/>
        <v>0</v>
      </c>
      <c r="CM454" s="187">
        <f t="shared" si="769"/>
        <v>0</v>
      </c>
      <c r="CN454" s="187">
        <f t="shared" si="769"/>
        <v>0</v>
      </c>
      <c r="CO454" s="187">
        <f t="shared" si="769"/>
        <v>0</v>
      </c>
      <c r="CP454" s="187">
        <f t="shared" si="769"/>
        <v>0</v>
      </c>
      <c r="CQ454" s="187">
        <f t="shared" si="769"/>
        <v>0</v>
      </c>
      <c r="CR454" s="187">
        <f t="shared" si="769"/>
        <v>0</v>
      </c>
      <c r="CS454" s="187">
        <f t="shared" si="769"/>
        <v>0</v>
      </c>
      <c r="CT454" s="187">
        <f t="shared" si="769"/>
        <v>0</v>
      </c>
      <c r="CU454" s="187">
        <f t="shared" si="769"/>
        <v>0</v>
      </c>
      <c r="CV454" s="187">
        <f t="shared" si="769"/>
        <v>0</v>
      </c>
    </row>
    <row r="455" spans="1:100" s="188" customFormat="1" ht="12.75" outlineLevel="2" x14ac:dyDescent="0.2">
      <c r="A455" s="141"/>
      <c r="B455" s="141"/>
      <c r="C455" s="142"/>
      <c r="D455" s="482" t="s">
        <v>418</v>
      </c>
      <c r="E455" s="187" t="str">
        <f xml:space="preserve"> LEFT(E454, LEN(E454) - 4)</f>
        <v>Shareholder loan interest expense</v>
      </c>
      <c r="F455" s="187"/>
      <c r="G455" s="187" t="str">
        <f xml:space="preserve"> SMU</f>
        <v>$ 000s</v>
      </c>
      <c r="H455" s="187">
        <f xml:space="preserve"> SUM(J455:CV455)</f>
        <v>-289672.52637153119</v>
      </c>
      <c r="I455" s="144"/>
      <c r="J455" s="187">
        <f t="shared" ref="J455:AO455" si="770" xml:space="preserve"> -1 * J454</f>
        <v>0</v>
      </c>
      <c r="K455" s="187">
        <f t="shared" si="770"/>
        <v>0</v>
      </c>
      <c r="L455" s="187">
        <f t="shared" si="770"/>
        <v>0</v>
      </c>
      <c r="M455" s="187">
        <f t="shared" si="770"/>
        <v>0</v>
      </c>
      <c r="N455" s="187">
        <f t="shared" si="770"/>
        <v>0</v>
      </c>
      <c r="O455" s="187">
        <f t="shared" si="770"/>
        <v>-5179.0951864116714</v>
      </c>
      <c r="P455" s="187">
        <f t="shared" si="770"/>
        <v>-5192.3345172570835</v>
      </c>
      <c r="Q455" s="187">
        <f t="shared" si="770"/>
        <v>-5238.7309346040465</v>
      </c>
      <c r="R455" s="187">
        <f t="shared" si="770"/>
        <v>-5287.1632690546676</v>
      </c>
      <c r="S455" s="187">
        <f t="shared" si="770"/>
        <v>-5340.9274316816491</v>
      </c>
      <c r="T455" s="187">
        <f t="shared" si="770"/>
        <v>-5397.194795497142</v>
      </c>
      <c r="U455" s="187">
        <f t="shared" si="770"/>
        <v>-5459.7053220878361</v>
      </c>
      <c r="V455" s="187">
        <f t="shared" si="770"/>
        <v>-5524.367153190703</v>
      </c>
      <c r="W455" s="187">
        <f t="shared" si="770"/>
        <v>-5594.9852617525185</v>
      </c>
      <c r="X455" s="187">
        <f t="shared" si="770"/>
        <v>-5670.7618323387051</v>
      </c>
      <c r="Y455" s="187">
        <f t="shared" si="770"/>
        <v>-5752.6695070192836</v>
      </c>
      <c r="Z455" s="187">
        <f t="shared" si="770"/>
        <v>-5839.0817232208938</v>
      </c>
      <c r="AA455" s="187">
        <f t="shared" si="770"/>
        <v>-5933.0580745547104</v>
      </c>
      <c r="AB455" s="187">
        <f t="shared" si="770"/>
        <v>-6032.0546151116569</v>
      </c>
      <c r="AC455" s="187">
        <f t="shared" si="770"/>
        <v>-6139.7960363448474</v>
      </c>
      <c r="AD455" s="187">
        <f t="shared" si="770"/>
        <v>-6252.5368912803078</v>
      </c>
      <c r="AE455" s="187">
        <f t="shared" si="770"/>
        <v>-6374.075542849635</v>
      </c>
      <c r="AF455" s="187">
        <f t="shared" si="770"/>
        <v>-6503.8866749348708</v>
      </c>
      <c r="AG455" s="187">
        <f t="shared" si="770"/>
        <v>-6643.0486826418846</v>
      </c>
      <c r="AH455" s="187">
        <f t="shared" si="770"/>
        <v>-6790.0204254753799</v>
      </c>
      <c r="AI455" s="187">
        <f t="shared" si="770"/>
        <v>-6948.1465445450103</v>
      </c>
      <c r="AJ455" s="187">
        <f t="shared" si="770"/>
        <v>-7115.4251967897117</v>
      </c>
      <c r="AK455" s="187">
        <f t="shared" si="770"/>
        <v>-7295.4755025311288</v>
      </c>
      <c r="AL455" s="187">
        <f t="shared" si="770"/>
        <v>-7484.9950267201784</v>
      </c>
      <c r="AM455" s="187">
        <f t="shared" si="770"/>
        <v>-7687.8671038685634</v>
      </c>
      <c r="AN455" s="187">
        <f t="shared" si="770"/>
        <v>-7903.9436345669965</v>
      </c>
      <c r="AO455" s="187">
        <f t="shared" si="770"/>
        <v>-8134.5180081093677</v>
      </c>
      <c r="AP455" s="187">
        <f t="shared" ref="AP455:BU455" si="771" xml:space="preserve"> -1 * AP454</f>
        <v>-8378.485860854018</v>
      </c>
      <c r="AQ455" s="187">
        <f t="shared" si="771"/>
        <v>-8639.3695206221637</v>
      </c>
      <c r="AR455" s="187">
        <f t="shared" si="771"/>
        <v>-8915.4910075094849</v>
      </c>
      <c r="AS455" s="187">
        <f t="shared" si="771"/>
        <v>-9210.849180009569</v>
      </c>
      <c r="AT455" s="187">
        <f t="shared" si="771"/>
        <v>-9522.7309573705625</v>
      </c>
      <c r="AU455" s="187">
        <f t="shared" si="771"/>
        <v>-9855.2786956993423</v>
      </c>
      <c r="AV455" s="187">
        <f t="shared" si="771"/>
        <v>-9917.2919463241396</v>
      </c>
      <c r="AW455" s="187">
        <f t="shared" si="771"/>
        <v>-9987.6941905636468</v>
      </c>
      <c r="AX455" s="187">
        <f t="shared" si="771"/>
        <v>-9770.4895641548992</v>
      </c>
      <c r="AY455" s="187">
        <f t="shared" si="771"/>
        <v>-9549.0318421243355</v>
      </c>
      <c r="AZ455" s="187">
        <f t="shared" si="771"/>
        <v>-9314.507238305725</v>
      </c>
      <c r="BA455" s="187">
        <f t="shared" si="771"/>
        <v>-9074.6492789060685</v>
      </c>
      <c r="BB455" s="187">
        <f t="shared" si="771"/>
        <v>-8820.7921946468232</v>
      </c>
      <c r="BC455" s="187">
        <f t="shared" si="771"/>
        <v>0</v>
      </c>
      <c r="BD455" s="187">
        <f t="shared" si="771"/>
        <v>0</v>
      </c>
      <c r="BE455" s="187">
        <f t="shared" si="771"/>
        <v>0</v>
      </c>
      <c r="BF455" s="187">
        <f t="shared" si="771"/>
        <v>0</v>
      </c>
      <c r="BG455" s="187">
        <f t="shared" si="771"/>
        <v>0</v>
      </c>
      <c r="BH455" s="187">
        <f t="shared" si="771"/>
        <v>0</v>
      </c>
      <c r="BI455" s="187">
        <f t="shared" si="771"/>
        <v>0</v>
      </c>
      <c r="BJ455" s="187">
        <f t="shared" si="771"/>
        <v>0</v>
      </c>
      <c r="BK455" s="187">
        <f t="shared" si="771"/>
        <v>0</v>
      </c>
      <c r="BL455" s="187">
        <f t="shared" si="771"/>
        <v>0</v>
      </c>
      <c r="BM455" s="187">
        <f t="shared" si="771"/>
        <v>0</v>
      </c>
      <c r="BN455" s="187">
        <f t="shared" si="771"/>
        <v>0</v>
      </c>
      <c r="BO455" s="187">
        <f t="shared" si="771"/>
        <v>0</v>
      </c>
      <c r="BP455" s="187">
        <f t="shared" si="771"/>
        <v>0</v>
      </c>
      <c r="BQ455" s="187">
        <f t="shared" si="771"/>
        <v>0</v>
      </c>
      <c r="BR455" s="187">
        <f t="shared" si="771"/>
        <v>0</v>
      </c>
      <c r="BS455" s="187">
        <f t="shared" si="771"/>
        <v>0</v>
      </c>
      <c r="BT455" s="187">
        <f t="shared" si="771"/>
        <v>0</v>
      </c>
      <c r="BU455" s="187">
        <f t="shared" si="771"/>
        <v>0</v>
      </c>
      <c r="BV455" s="187">
        <f t="shared" ref="BV455:CV455" si="772" xml:space="preserve"> -1 * BV454</f>
        <v>0</v>
      </c>
      <c r="BW455" s="187">
        <f t="shared" si="772"/>
        <v>0</v>
      </c>
      <c r="BX455" s="187">
        <f t="shared" si="772"/>
        <v>0</v>
      </c>
      <c r="BY455" s="187">
        <f t="shared" si="772"/>
        <v>0</v>
      </c>
      <c r="BZ455" s="187">
        <f t="shared" si="772"/>
        <v>0</v>
      </c>
      <c r="CA455" s="187">
        <f t="shared" si="772"/>
        <v>0</v>
      </c>
      <c r="CB455" s="187">
        <f t="shared" si="772"/>
        <v>0</v>
      </c>
      <c r="CC455" s="187">
        <f t="shared" si="772"/>
        <v>0</v>
      </c>
      <c r="CD455" s="187">
        <f t="shared" si="772"/>
        <v>0</v>
      </c>
      <c r="CE455" s="187">
        <f t="shared" si="772"/>
        <v>0</v>
      </c>
      <c r="CF455" s="187">
        <f t="shared" si="772"/>
        <v>0</v>
      </c>
      <c r="CG455" s="187">
        <f t="shared" si="772"/>
        <v>0</v>
      </c>
      <c r="CH455" s="187">
        <f t="shared" si="772"/>
        <v>0</v>
      </c>
      <c r="CI455" s="187">
        <f t="shared" si="772"/>
        <v>0</v>
      </c>
      <c r="CJ455" s="187">
        <f t="shared" si="772"/>
        <v>0</v>
      </c>
      <c r="CK455" s="187">
        <f t="shared" si="772"/>
        <v>0</v>
      </c>
      <c r="CL455" s="187">
        <f t="shared" si="772"/>
        <v>0</v>
      </c>
      <c r="CM455" s="187">
        <f t="shared" si="772"/>
        <v>0</v>
      </c>
      <c r="CN455" s="187">
        <f t="shared" si="772"/>
        <v>0</v>
      </c>
      <c r="CO455" s="187">
        <f t="shared" si="772"/>
        <v>0</v>
      </c>
      <c r="CP455" s="187">
        <f t="shared" si="772"/>
        <v>0</v>
      </c>
      <c r="CQ455" s="187">
        <f t="shared" si="772"/>
        <v>0</v>
      </c>
      <c r="CR455" s="187">
        <f t="shared" si="772"/>
        <v>0</v>
      </c>
      <c r="CS455" s="187">
        <f t="shared" si="772"/>
        <v>0</v>
      </c>
      <c r="CT455" s="187">
        <f t="shared" si="772"/>
        <v>0</v>
      </c>
      <c r="CU455" s="187">
        <f t="shared" si="772"/>
        <v>0</v>
      </c>
      <c r="CV455" s="187">
        <f t="shared" si="772"/>
        <v>0</v>
      </c>
    </row>
    <row r="456" spans="1:100" ht="12.75" outlineLevel="1" x14ac:dyDescent="0.2">
      <c r="E456" s="6"/>
    </row>
    <row r="457" spans="1:100" ht="12.75" outlineLevel="1" x14ac:dyDescent="0.2">
      <c r="B457" s="15" t="s">
        <v>331</v>
      </c>
      <c r="E457" s="6"/>
    </row>
    <row r="458" spans="1:100" ht="12.75" outlineLevel="2" x14ac:dyDescent="0.2">
      <c r="E458" s="186" t="str">
        <f xml:space="preserve"> Equity!E$53</f>
        <v>Retained cash balance BEG</v>
      </c>
      <c r="F458" s="186">
        <f xml:space="preserve"> Equity!F$53</f>
        <v>0</v>
      </c>
      <c r="G458" s="186" t="str">
        <f xml:space="preserve"> Equity!G$53</f>
        <v>$ 000s</v>
      </c>
      <c r="H458" s="186">
        <f xml:space="preserve"> Equity!H$53</f>
        <v>0</v>
      </c>
      <c r="I458" s="186">
        <f xml:space="preserve"> Equity!I$53</f>
        <v>0</v>
      </c>
      <c r="J458" s="186">
        <f xml:space="preserve"> Equity!J$53</f>
        <v>0</v>
      </c>
      <c r="K458" s="186">
        <f xml:space="preserve"> Equity!K$53</f>
        <v>-1.5558398445136845E-6</v>
      </c>
      <c r="L458" s="186">
        <f xml:space="preserve"> Equity!L$53</f>
        <v>-1.402249836246483E-5</v>
      </c>
      <c r="M458" s="186">
        <f xml:space="preserve"> Equity!M$53</f>
        <v>-3.0776860512560233E-5</v>
      </c>
      <c r="N458" s="186">
        <f xml:space="preserve"> Equity!N$53</f>
        <v>-5.0199549150420353E-5</v>
      </c>
      <c r="O458" s="186">
        <f xml:space="preserve"> Equity!O$53</f>
        <v>-4.0178145100071561E-3</v>
      </c>
      <c r="P458" s="186">
        <f xml:space="preserve"> Equity!P$53</f>
        <v>0</v>
      </c>
      <c r="Q458" s="186">
        <f xml:space="preserve"> Equity!Q$53</f>
        <v>0</v>
      </c>
      <c r="R458" s="186">
        <f xml:space="preserve"> Equity!R$53</f>
        <v>0</v>
      </c>
      <c r="S458" s="186">
        <f xml:space="preserve"> Equity!S$53</f>
        <v>0</v>
      </c>
      <c r="T458" s="186">
        <f xml:space="preserve"> Equity!T$53</f>
        <v>0</v>
      </c>
      <c r="U458" s="186">
        <f xml:space="preserve"> Equity!U$53</f>
        <v>0</v>
      </c>
      <c r="V458" s="186">
        <f xml:space="preserve"> Equity!V$53</f>
        <v>0</v>
      </c>
      <c r="W458" s="186">
        <f xml:space="preserve"> Equity!W$53</f>
        <v>0</v>
      </c>
      <c r="X458" s="186">
        <f xml:space="preserve"> Equity!X$53</f>
        <v>0</v>
      </c>
      <c r="Y458" s="186">
        <f xml:space="preserve"> Equity!Y$53</f>
        <v>0</v>
      </c>
      <c r="Z458" s="186">
        <f xml:space="preserve"> Equity!Z$53</f>
        <v>0</v>
      </c>
      <c r="AA458" s="186">
        <f xml:space="preserve"> Equity!AA$53</f>
        <v>0</v>
      </c>
      <c r="AB458" s="186">
        <f xml:space="preserve"> Equity!AB$53</f>
        <v>0</v>
      </c>
      <c r="AC458" s="186">
        <f xml:space="preserve"> Equity!AC$53</f>
        <v>0</v>
      </c>
      <c r="AD458" s="186">
        <f xml:space="preserve"> Equity!AD$53</f>
        <v>0</v>
      </c>
      <c r="AE458" s="186">
        <f xml:space="preserve"> Equity!AE$53</f>
        <v>0</v>
      </c>
      <c r="AF458" s="186">
        <f xml:space="preserve"> Equity!AF$53</f>
        <v>0</v>
      </c>
      <c r="AG458" s="186">
        <f xml:space="preserve"> Equity!AG$53</f>
        <v>0</v>
      </c>
      <c r="AH458" s="186">
        <f xml:space="preserve"> Equity!AH$53</f>
        <v>0</v>
      </c>
      <c r="AI458" s="186">
        <f xml:space="preserve"> Equity!AI$53</f>
        <v>0</v>
      </c>
      <c r="AJ458" s="186">
        <f xml:space="preserve"> Equity!AJ$53</f>
        <v>0</v>
      </c>
      <c r="AK458" s="186">
        <f xml:space="preserve"> Equity!AK$53</f>
        <v>0</v>
      </c>
      <c r="AL458" s="186">
        <f xml:space="preserve"> Equity!AL$53</f>
        <v>0</v>
      </c>
      <c r="AM458" s="186">
        <f xml:space="preserve"> Equity!AM$53</f>
        <v>0</v>
      </c>
      <c r="AN458" s="186">
        <f xml:space="preserve"> Equity!AN$53</f>
        <v>0</v>
      </c>
      <c r="AO458" s="186">
        <f xml:space="preserve"> Equity!AO$53</f>
        <v>0</v>
      </c>
      <c r="AP458" s="186">
        <f xml:space="preserve"> Equity!AP$53</f>
        <v>0</v>
      </c>
      <c r="AQ458" s="186">
        <f xml:space="preserve"> Equity!AQ$53</f>
        <v>0</v>
      </c>
      <c r="AR458" s="186">
        <f xml:space="preserve"> Equity!AR$53</f>
        <v>0</v>
      </c>
      <c r="AS458" s="186">
        <f xml:space="preserve"> Equity!AS$53</f>
        <v>0</v>
      </c>
      <c r="AT458" s="186">
        <f xml:space="preserve"> Equity!AT$53</f>
        <v>0</v>
      </c>
      <c r="AU458" s="186">
        <f xml:space="preserve"> Equity!AU$53</f>
        <v>0</v>
      </c>
      <c r="AV458" s="186">
        <f xml:space="preserve"> Equity!AV$53</f>
        <v>0</v>
      </c>
      <c r="AW458" s="186">
        <f xml:space="preserve"> Equity!AW$53</f>
        <v>0</v>
      </c>
      <c r="AX458" s="186">
        <f xml:space="preserve"> Equity!AX$53</f>
        <v>0</v>
      </c>
      <c r="AY458" s="186">
        <f xml:space="preserve"> Equity!AY$53</f>
        <v>0</v>
      </c>
      <c r="AZ458" s="186">
        <f xml:space="preserve"> Equity!AZ$53</f>
        <v>0</v>
      </c>
      <c r="BA458" s="186">
        <f xml:space="preserve"> Equity!BA$53</f>
        <v>0</v>
      </c>
      <c r="BB458" s="186">
        <f xml:space="preserve"> Equity!BB$53</f>
        <v>0</v>
      </c>
      <c r="BC458" s="186">
        <f xml:space="preserve"> Equity!BC$53</f>
        <v>0</v>
      </c>
      <c r="BD458" s="186">
        <f xml:space="preserve"> Equity!BD$53</f>
        <v>0</v>
      </c>
      <c r="BE458" s="186">
        <f xml:space="preserve"> Equity!BE$53</f>
        <v>0</v>
      </c>
      <c r="BF458" s="186">
        <f xml:space="preserve"> Equity!BF$53</f>
        <v>0</v>
      </c>
      <c r="BG458" s="186">
        <f xml:space="preserve"> Equity!BG$53</f>
        <v>0</v>
      </c>
      <c r="BH458" s="186">
        <f xml:space="preserve"> Equity!BH$53</f>
        <v>0</v>
      </c>
      <c r="BI458" s="186">
        <f xml:space="preserve"> Equity!BI$53</f>
        <v>0</v>
      </c>
      <c r="BJ458" s="186">
        <f xml:space="preserve"> Equity!BJ$53</f>
        <v>0</v>
      </c>
      <c r="BK458" s="186">
        <f xml:space="preserve"> Equity!BK$53</f>
        <v>0</v>
      </c>
      <c r="BL458" s="186">
        <f xml:space="preserve"> Equity!BL$53</f>
        <v>0</v>
      </c>
      <c r="BM458" s="186">
        <f xml:space="preserve"> Equity!BM$53</f>
        <v>0</v>
      </c>
      <c r="BN458" s="186">
        <f xml:space="preserve"> Equity!BN$53</f>
        <v>0</v>
      </c>
      <c r="BO458" s="186">
        <f xml:space="preserve"> Equity!BO$53</f>
        <v>0</v>
      </c>
      <c r="BP458" s="186">
        <f xml:space="preserve"> Equity!BP$53</f>
        <v>0</v>
      </c>
      <c r="BQ458" s="186">
        <f xml:space="preserve"> Equity!BQ$53</f>
        <v>0</v>
      </c>
      <c r="BR458" s="186">
        <f xml:space="preserve"> Equity!BR$53</f>
        <v>0</v>
      </c>
      <c r="BS458" s="186">
        <f xml:space="preserve"> Equity!BS$53</f>
        <v>0</v>
      </c>
      <c r="BT458" s="186">
        <f xml:space="preserve"> Equity!BT$53</f>
        <v>0</v>
      </c>
      <c r="BU458" s="186">
        <f xml:space="preserve"> Equity!BU$53</f>
        <v>0</v>
      </c>
      <c r="BV458" s="186">
        <f xml:space="preserve"> Equity!BV$53</f>
        <v>0</v>
      </c>
      <c r="BW458" s="186">
        <f xml:space="preserve"> Equity!BW$53</f>
        <v>0</v>
      </c>
      <c r="BX458" s="186">
        <f xml:space="preserve"> Equity!BX$53</f>
        <v>0</v>
      </c>
      <c r="BY458" s="186">
        <f xml:space="preserve"> Equity!BY$53</f>
        <v>0</v>
      </c>
      <c r="BZ458" s="186">
        <f xml:space="preserve"> Equity!BZ$53</f>
        <v>0</v>
      </c>
      <c r="CA458" s="186">
        <f xml:space="preserve"> Equity!CA$53</f>
        <v>0</v>
      </c>
      <c r="CB458" s="186">
        <f xml:space="preserve"> Equity!CB$53</f>
        <v>0</v>
      </c>
      <c r="CC458" s="186">
        <f xml:space="preserve"> Equity!CC$53</f>
        <v>0</v>
      </c>
      <c r="CD458" s="186">
        <f xml:space="preserve"> Equity!CD$53</f>
        <v>0</v>
      </c>
      <c r="CE458" s="186">
        <f xml:space="preserve"> Equity!CE$53</f>
        <v>0</v>
      </c>
      <c r="CF458" s="186">
        <f xml:space="preserve"> Equity!CF$53</f>
        <v>0</v>
      </c>
      <c r="CG458" s="186">
        <f xml:space="preserve"> Equity!CG$53</f>
        <v>0</v>
      </c>
      <c r="CH458" s="186">
        <f xml:space="preserve"> Equity!CH$53</f>
        <v>0</v>
      </c>
      <c r="CI458" s="186">
        <f xml:space="preserve"> Equity!CI$53</f>
        <v>0</v>
      </c>
      <c r="CJ458" s="186">
        <f xml:space="preserve"> Equity!CJ$53</f>
        <v>0</v>
      </c>
      <c r="CK458" s="186">
        <f xml:space="preserve"> Equity!CK$53</f>
        <v>0</v>
      </c>
      <c r="CL458" s="186">
        <f xml:space="preserve"> Equity!CL$53</f>
        <v>0</v>
      </c>
      <c r="CM458" s="186">
        <f xml:space="preserve"> Equity!CM$53</f>
        <v>0</v>
      </c>
      <c r="CN458" s="186">
        <f xml:space="preserve"> Equity!CN$53</f>
        <v>0</v>
      </c>
      <c r="CO458" s="186">
        <f xml:space="preserve"> Equity!CO$53</f>
        <v>0</v>
      </c>
      <c r="CP458" s="186">
        <f xml:space="preserve"> Equity!CP$53</f>
        <v>0</v>
      </c>
      <c r="CQ458" s="186">
        <f xml:space="preserve"> Equity!CQ$53</f>
        <v>0</v>
      </c>
      <c r="CR458" s="186">
        <f xml:space="preserve"> Equity!CR$53</f>
        <v>0</v>
      </c>
      <c r="CS458" s="186">
        <f xml:space="preserve"> Equity!CS$53</f>
        <v>0</v>
      </c>
      <c r="CT458" s="186">
        <f xml:space="preserve"> Equity!CT$53</f>
        <v>0</v>
      </c>
      <c r="CU458" s="186">
        <f xml:space="preserve"> Equity!CU$53</f>
        <v>0</v>
      </c>
      <c r="CV458" s="186">
        <f xml:space="preserve"> Equity!CV$53</f>
        <v>0</v>
      </c>
    </row>
    <row r="459" spans="1:100" ht="12.75" outlineLevel="2" x14ac:dyDescent="0.2">
      <c r="E459" s="186" t="str">
        <f xml:space="preserve"> 'FS Semi'!E$85</f>
        <v>Cashflow available for shareholder loan</v>
      </c>
      <c r="F459" s="186">
        <f xml:space="preserve"> 'FS Semi'!F$85</f>
        <v>0</v>
      </c>
      <c r="G459" s="186" t="str">
        <f xml:space="preserve"> 'FS Semi'!G$85</f>
        <v>$ 000s</v>
      </c>
      <c r="H459" s="186">
        <f xml:space="preserve"> 'FS Semi'!H$85</f>
        <v>236602.74380308986</v>
      </c>
      <c r="I459" s="186">
        <f xml:space="preserve"> 'FS Semi'!I$85</f>
        <v>0</v>
      </c>
      <c r="J459" s="186">
        <f xml:space="preserve"> 'FS Semi'!J$85</f>
        <v>-1.5558398445136845E-6</v>
      </c>
      <c r="K459" s="186">
        <f xml:space="preserve"> 'FS Semi'!K$85</f>
        <v>-1.2466658517951146E-5</v>
      </c>
      <c r="L459" s="186">
        <f xml:space="preserve"> 'FS Semi'!L$85</f>
        <v>-1.6754362150095403E-5</v>
      </c>
      <c r="M459" s="186">
        <f xml:space="preserve"> 'FS Semi'!M$85</f>
        <v>-1.9422688637860119E-5</v>
      </c>
      <c r="N459" s="186">
        <f xml:space="preserve"> 'FS Semi'!N$85</f>
        <v>-3.9676149608567357E-3</v>
      </c>
      <c r="O459" s="186">
        <f xml:space="preserve"> 'FS Semi'!O$85</f>
        <v>4958.443690135995</v>
      </c>
      <c r="P459" s="186">
        <f xml:space="preserve"> 'FS Semi'!P$85</f>
        <v>4419.0608948077006</v>
      </c>
      <c r="Q459" s="186">
        <f xml:space="preserve"> 'FS Semi'!Q$85</f>
        <v>4431.5253604270329</v>
      </c>
      <c r="R459" s="186">
        <f xml:space="preserve"> 'FS Semi'!R$85</f>
        <v>4391.093891938297</v>
      </c>
      <c r="S459" s="186">
        <f xml:space="preserve"> 'FS Semi'!S$85</f>
        <v>4403.1380347567629</v>
      </c>
      <c r="T459" s="186">
        <f xml:space="preserve"> 'FS Semi'!T$85</f>
        <v>4355.3526856522458</v>
      </c>
      <c r="U459" s="186">
        <f xml:space="preserve"> 'FS Semi'!U$85</f>
        <v>4382.0081370400603</v>
      </c>
      <c r="V459" s="186">
        <f xml:space="preserve"> 'FS Semi'!V$85</f>
        <v>4347.3986771604377</v>
      </c>
      <c r="W459" s="186">
        <f xml:space="preserve"> 'FS Semi'!W$85</f>
        <v>4332.0424186494074</v>
      </c>
      <c r="X459" s="186">
        <f xml:space="preserve"> 'FS Semi'!X$85</f>
        <v>4305.6339209957259</v>
      </c>
      <c r="Y459" s="186">
        <f xml:space="preserve"> 'FS Semi'!Y$85</f>
        <v>4312.4659036591293</v>
      </c>
      <c r="Z459" s="186">
        <f xml:space="preserve"> 'FS Semi'!Z$85</f>
        <v>4272.8092009906122</v>
      </c>
      <c r="AA459" s="186">
        <f xml:space="preserve"> 'FS Semi'!AA$85</f>
        <v>4283.115731938944</v>
      </c>
      <c r="AB459" s="186">
        <f xml:space="preserve"> 'FS Semi'!AB$85</f>
        <v>4236.3642612251533</v>
      </c>
      <c r="AC459" s="186">
        <f xml:space="preserve"> 'FS Semi'!AC$85</f>
        <v>4260.7817874205048</v>
      </c>
      <c r="AD459" s="186">
        <f xml:space="preserve"> 'FS Semi'!AD$85</f>
        <v>4226.8926984581904</v>
      </c>
      <c r="AE459" s="186">
        <f xml:space="preserve"> 'FS Semi'!AE$85</f>
        <v>4210.5566747623652</v>
      </c>
      <c r="AF459" s="186">
        <f xml:space="preserve"> 'FS Semi'!AF$85</f>
        <v>4184.5198798179717</v>
      </c>
      <c r="AG459" s="186">
        <f xml:space="preserve"> 'FS Semi'!AG$85</f>
        <v>4193.5196354169639</v>
      </c>
      <c r="AH459" s="186">
        <f xml:space="preserve"> 'FS Semi'!AH$85</f>
        <v>4154.5851076482049</v>
      </c>
      <c r="AI459" s="186">
        <f xml:space="preserve"> 'FS Semi'!AI$85</f>
        <v>4160.1690071333178</v>
      </c>
      <c r="AJ459" s="186">
        <f xml:space="preserve"> 'FS Semi'!AJ$85</f>
        <v>4114.5867677660935</v>
      </c>
      <c r="AK459" s="186">
        <f xml:space="preserve"> 'FS Semi'!AK$85</f>
        <v>4136.8167660469644</v>
      </c>
      <c r="AL459" s="186">
        <f xml:space="preserve"> 'FS Semi'!AL$85</f>
        <v>4103.793740913763</v>
      </c>
      <c r="AM459" s="186">
        <f xml:space="preserve"> 'FS Semi'!AM$85</f>
        <v>4086.5915922280165</v>
      </c>
      <c r="AN459" s="186">
        <f xml:space="preserve"> 'FS Semi'!AN$85</f>
        <v>4061.0374088608005</v>
      </c>
      <c r="AO459" s="186">
        <f xml:space="preserve"> 'FS Semi'!AO$85</f>
        <v>4068.3871290318584</v>
      </c>
      <c r="AP459" s="186">
        <f xml:space="preserve"> 'FS Semi'!AP$85</f>
        <v>4030.4248647182721</v>
      </c>
      <c r="AQ459" s="186">
        <f xml:space="preserve"> 'FS Semi'!AQ$85</f>
        <v>4037.3447391668196</v>
      </c>
      <c r="AR459" s="186">
        <f xml:space="preserve"> 'FS Semi'!AR$85</f>
        <v>3992.8547991747637</v>
      </c>
      <c r="AS459" s="186">
        <f xml:space="preserve"> 'FS Semi'!AS$85</f>
        <v>4012.8195573263183</v>
      </c>
      <c r="AT459" s="186">
        <f xml:space="preserve"> 'FS Semi'!AT$85</f>
        <v>3980.2686518909049</v>
      </c>
      <c r="AU459" s="186">
        <f xml:space="preserve"> 'FS Semi'!AU$85</f>
        <v>8821.7245186193904</v>
      </c>
      <c r="AV459" s="186">
        <f xml:space="preserve"> 'FS Semi'!AV$85</f>
        <v>8743.9212089990451</v>
      </c>
      <c r="AW459" s="186">
        <f xml:space="preserve"> 'FS Semi'!AW$85</f>
        <v>13607.771297376097</v>
      </c>
      <c r="AX459" s="186">
        <f xml:space="preserve"> 'FS Semi'!AX$85</f>
        <v>13461.451597997637</v>
      </c>
      <c r="AY459" s="186">
        <f xml:space="preserve"> 'FS Semi'!AY$85</f>
        <v>13457.775239101149</v>
      </c>
      <c r="AZ459" s="186">
        <f xml:space="preserve"> 'FS Semi'!AZ$85</f>
        <v>13312.139894966671</v>
      </c>
      <c r="BA459" s="186">
        <f xml:space="preserve"> 'FS Semi'!BA$85</f>
        <v>13305.600683226843</v>
      </c>
      <c r="BB459" s="186">
        <f xml:space="preserve"> 'FS Semi'!BB$85</f>
        <v>16445.959763457937</v>
      </c>
      <c r="BC459" s="186">
        <f xml:space="preserve"> 'FS Semi'!BC$85</f>
        <v>0</v>
      </c>
      <c r="BD459" s="186">
        <f xml:space="preserve"> 'FS Semi'!BD$85</f>
        <v>0</v>
      </c>
      <c r="BE459" s="186">
        <f xml:space="preserve"> 'FS Semi'!BE$85</f>
        <v>0</v>
      </c>
      <c r="BF459" s="186">
        <f xml:space="preserve"> 'FS Semi'!BF$85</f>
        <v>0</v>
      </c>
      <c r="BG459" s="186">
        <f xml:space="preserve"> 'FS Semi'!BG$85</f>
        <v>0</v>
      </c>
      <c r="BH459" s="186">
        <f xml:space="preserve"> 'FS Semi'!BH$85</f>
        <v>0</v>
      </c>
      <c r="BI459" s="186">
        <f xml:space="preserve"> 'FS Semi'!BI$85</f>
        <v>0</v>
      </c>
      <c r="BJ459" s="186">
        <f xml:space="preserve"> 'FS Semi'!BJ$85</f>
        <v>0</v>
      </c>
      <c r="BK459" s="186">
        <f xml:space="preserve"> 'FS Semi'!BK$85</f>
        <v>0</v>
      </c>
      <c r="BL459" s="186">
        <f xml:space="preserve"> 'FS Semi'!BL$85</f>
        <v>0</v>
      </c>
      <c r="BM459" s="186">
        <f xml:space="preserve"> 'FS Semi'!BM$85</f>
        <v>0</v>
      </c>
      <c r="BN459" s="186">
        <f xml:space="preserve"> 'FS Semi'!BN$85</f>
        <v>0</v>
      </c>
      <c r="BO459" s="186">
        <f xml:space="preserve"> 'FS Semi'!BO$85</f>
        <v>0</v>
      </c>
      <c r="BP459" s="186">
        <f xml:space="preserve"> 'FS Semi'!BP$85</f>
        <v>0</v>
      </c>
      <c r="BQ459" s="186">
        <f xml:space="preserve"> 'FS Semi'!BQ$85</f>
        <v>0</v>
      </c>
      <c r="BR459" s="186">
        <f xml:space="preserve"> 'FS Semi'!BR$85</f>
        <v>0</v>
      </c>
      <c r="BS459" s="186">
        <f xml:space="preserve"> 'FS Semi'!BS$85</f>
        <v>0</v>
      </c>
      <c r="BT459" s="186">
        <f xml:space="preserve"> 'FS Semi'!BT$85</f>
        <v>0</v>
      </c>
      <c r="BU459" s="186">
        <f xml:space="preserve"> 'FS Semi'!BU$85</f>
        <v>0</v>
      </c>
      <c r="BV459" s="186">
        <f xml:space="preserve"> 'FS Semi'!BV$85</f>
        <v>0</v>
      </c>
      <c r="BW459" s="186">
        <f xml:space="preserve"> 'FS Semi'!BW$85</f>
        <v>0</v>
      </c>
      <c r="BX459" s="186">
        <f xml:space="preserve"> 'FS Semi'!BX$85</f>
        <v>0</v>
      </c>
      <c r="BY459" s="186">
        <f xml:space="preserve"> 'FS Semi'!BY$85</f>
        <v>0</v>
      </c>
      <c r="BZ459" s="186">
        <f xml:space="preserve"> 'FS Semi'!BZ$85</f>
        <v>0</v>
      </c>
      <c r="CA459" s="186">
        <f xml:space="preserve"> 'FS Semi'!CA$85</f>
        <v>0</v>
      </c>
      <c r="CB459" s="186">
        <f xml:space="preserve"> 'FS Semi'!CB$85</f>
        <v>0</v>
      </c>
      <c r="CC459" s="186">
        <f xml:space="preserve"> 'FS Semi'!CC$85</f>
        <v>0</v>
      </c>
      <c r="CD459" s="186">
        <f xml:space="preserve"> 'FS Semi'!CD$85</f>
        <v>0</v>
      </c>
      <c r="CE459" s="186">
        <f xml:space="preserve"> 'FS Semi'!CE$85</f>
        <v>0</v>
      </c>
      <c r="CF459" s="186">
        <f xml:space="preserve"> 'FS Semi'!CF$85</f>
        <v>0</v>
      </c>
      <c r="CG459" s="186">
        <f xml:space="preserve"> 'FS Semi'!CG$85</f>
        <v>0</v>
      </c>
      <c r="CH459" s="186">
        <f xml:space="preserve"> 'FS Semi'!CH$85</f>
        <v>0</v>
      </c>
      <c r="CI459" s="186">
        <f xml:space="preserve"> 'FS Semi'!CI$85</f>
        <v>0</v>
      </c>
      <c r="CJ459" s="186">
        <f xml:space="preserve"> 'FS Semi'!CJ$85</f>
        <v>0</v>
      </c>
      <c r="CK459" s="186">
        <f xml:space="preserve"> 'FS Semi'!CK$85</f>
        <v>0</v>
      </c>
      <c r="CL459" s="186">
        <f xml:space="preserve"> 'FS Semi'!CL$85</f>
        <v>0</v>
      </c>
      <c r="CM459" s="186">
        <f xml:space="preserve"> 'FS Semi'!CM$85</f>
        <v>0</v>
      </c>
      <c r="CN459" s="186">
        <f xml:space="preserve"> 'FS Semi'!CN$85</f>
        <v>0</v>
      </c>
      <c r="CO459" s="186">
        <f xml:space="preserve"> 'FS Semi'!CO$85</f>
        <v>0</v>
      </c>
      <c r="CP459" s="186">
        <f xml:space="preserve"> 'FS Semi'!CP$85</f>
        <v>0</v>
      </c>
      <c r="CQ459" s="186">
        <f xml:space="preserve"> 'FS Semi'!CQ$85</f>
        <v>0</v>
      </c>
      <c r="CR459" s="186">
        <f xml:space="preserve"> 'FS Semi'!CR$85</f>
        <v>0</v>
      </c>
      <c r="CS459" s="186">
        <f xml:space="preserve"> 'FS Semi'!CS$85</f>
        <v>0</v>
      </c>
      <c r="CT459" s="186">
        <f xml:space="preserve"> 'FS Semi'!CT$85</f>
        <v>0</v>
      </c>
      <c r="CU459" s="186">
        <f xml:space="preserve"> 'FS Semi'!CU$85</f>
        <v>0</v>
      </c>
      <c r="CV459" s="186">
        <f xml:space="preserve"> 'FS Semi'!CV$85</f>
        <v>0</v>
      </c>
    </row>
    <row r="460" spans="1:100" s="498" customFormat="1" ht="12.75" outlineLevel="2" x14ac:dyDescent="0.2">
      <c r="A460" s="15"/>
      <c r="B460" s="15"/>
      <c r="C460" s="21"/>
      <c r="D460" s="48"/>
      <c r="E460" s="46" t="s">
        <v>628</v>
      </c>
      <c r="F460" s="38"/>
      <c r="G460" s="38" t="str">
        <f xml:space="preserve"> SMU</f>
        <v>$ 000s</v>
      </c>
      <c r="H460" s="38"/>
      <c r="I460" s="38"/>
      <c r="J460" s="38">
        <f t="shared" ref="J460:AO460" si="773" xml:space="preserve"> MAX(0, SUM(J458:J459))</f>
        <v>0</v>
      </c>
      <c r="K460" s="38">
        <f t="shared" si="773"/>
        <v>0</v>
      </c>
      <c r="L460" s="38">
        <f t="shared" si="773"/>
        <v>0</v>
      </c>
      <c r="M460" s="38">
        <f t="shared" si="773"/>
        <v>0</v>
      </c>
      <c r="N460" s="38">
        <f t="shared" si="773"/>
        <v>0</v>
      </c>
      <c r="O460" s="38">
        <f t="shared" si="773"/>
        <v>4958.439672321485</v>
      </c>
      <c r="P460" s="38">
        <f t="shared" si="773"/>
        <v>4419.0608948077006</v>
      </c>
      <c r="Q460" s="38">
        <f t="shared" si="773"/>
        <v>4431.5253604270329</v>
      </c>
      <c r="R460" s="38">
        <f t="shared" si="773"/>
        <v>4391.093891938297</v>
      </c>
      <c r="S460" s="38">
        <f t="shared" si="773"/>
        <v>4403.1380347567629</v>
      </c>
      <c r="T460" s="38">
        <f t="shared" si="773"/>
        <v>4355.3526856522458</v>
      </c>
      <c r="U460" s="38">
        <f t="shared" si="773"/>
        <v>4382.0081370400603</v>
      </c>
      <c r="V460" s="38">
        <f t="shared" si="773"/>
        <v>4347.3986771604377</v>
      </c>
      <c r="W460" s="38">
        <f t="shared" si="773"/>
        <v>4332.0424186494074</v>
      </c>
      <c r="X460" s="38">
        <f t="shared" si="773"/>
        <v>4305.6339209957259</v>
      </c>
      <c r="Y460" s="38">
        <f t="shared" si="773"/>
        <v>4312.4659036591293</v>
      </c>
      <c r="Z460" s="38">
        <f t="shared" si="773"/>
        <v>4272.8092009906122</v>
      </c>
      <c r="AA460" s="38">
        <f t="shared" si="773"/>
        <v>4283.115731938944</v>
      </c>
      <c r="AB460" s="38">
        <f t="shared" si="773"/>
        <v>4236.3642612251533</v>
      </c>
      <c r="AC460" s="38">
        <f t="shared" si="773"/>
        <v>4260.7817874205048</v>
      </c>
      <c r="AD460" s="38">
        <f t="shared" si="773"/>
        <v>4226.8926984581904</v>
      </c>
      <c r="AE460" s="38">
        <f t="shared" si="773"/>
        <v>4210.5566747623652</v>
      </c>
      <c r="AF460" s="38">
        <f t="shared" si="773"/>
        <v>4184.5198798179717</v>
      </c>
      <c r="AG460" s="38">
        <f t="shared" si="773"/>
        <v>4193.5196354169639</v>
      </c>
      <c r="AH460" s="38">
        <f t="shared" si="773"/>
        <v>4154.5851076482049</v>
      </c>
      <c r="AI460" s="38">
        <f t="shared" si="773"/>
        <v>4160.1690071333178</v>
      </c>
      <c r="AJ460" s="38">
        <f t="shared" si="773"/>
        <v>4114.5867677660935</v>
      </c>
      <c r="AK460" s="38">
        <f t="shared" si="773"/>
        <v>4136.8167660469644</v>
      </c>
      <c r="AL460" s="38">
        <f t="shared" si="773"/>
        <v>4103.793740913763</v>
      </c>
      <c r="AM460" s="38">
        <f t="shared" si="773"/>
        <v>4086.5915922280165</v>
      </c>
      <c r="AN460" s="38">
        <f t="shared" si="773"/>
        <v>4061.0374088608005</v>
      </c>
      <c r="AO460" s="38">
        <f t="shared" si="773"/>
        <v>4068.3871290318584</v>
      </c>
      <c r="AP460" s="38">
        <f t="shared" ref="AP460:BU460" si="774" xml:space="preserve"> MAX(0, SUM(AP458:AP459))</f>
        <v>4030.4248647182721</v>
      </c>
      <c r="AQ460" s="38">
        <f t="shared" si="774"/>
        <v>4037.3447391668196</v>
      </c>
      <c r="AR460" s="38">
        <f t="shared" si="774"/>
        <v>3992.8547991747637</v>
      </c>
      <c r="AS460" s="38">
        <f t="shared" si="774"/>
        <v>4012.8195573263183</v>
      </c>
      <c r="AT460" s="38">
        <f t="shared" si="774"/>
        <v>3980.2686518909049</v>
      </c>
      <c r="AU460" s="38">
        <f t="shared" si="774"/>
        <v>8821.7245186193904</v>
      </c>
      <c r="AV460" s="38">
        <f t="shared" si="774"/>
        <v>8743.9212089990451</v>
      </c>
      <c r="AW460" s="38">
        <f t="shared" si="774"/>
        <v>13607.771297376097</v>
      </c>
      <c r="AX460" s="38">
        <f t="shared" si="774"/>
        <v>13461.451597997637</v>
      </c>
      <c r="AY460" s="38">
        <f t="shared" si="774"/>
        <v>13457.775239101149</v>
      </c>
      <c r="AZ460" s="38">
        <f t="shared" si="774"/>
        <v>13312.139894966671</v>
      </c>
      <c r="BA460" s="38">
        <f t="shared" si="774"/>
        <v>13305.600683226843</v>
      </c>
      <c r="BB460" s="38">
        <f t="shared" si="774"/>
        <v>16445.959763457937</v>
      </c>
      <c r="BC460" s="38">
        <f t="shared" si="774"/>
        <v>0</v>
      </c>
      <c r="BD460" s="38">
        <f t="shared" si="774"/>
        <v>0</v>
      </c>
      <c r="BE460" s="38">
        <f t="shared" si="774"/>
        <v>0</v>
      </c>
      <c r="BF460" s="38">
        <f t="shared" si="774"/>
        <v>0</v>
      </c>
      <c r="BG460" s="38">
        <f t="shared" si="774"/>
        <v>0</v>
      </c>
      <c r="BH460" s="38">
        <f t="shared" si="774"/>
        <v>0</v>
      </c>
      <c r="BI460" s="38">
        <f t="shared" si="774"/>
        <v>0</v>
      </c>
      <c r="BJ460" s="38">
        <f t="shared" si="774"/>
        <v>0</v>
      </c>
      <c r="BK460" s="38">
        <f t="shared" si="774"/>
        <v>0</v>
      </c>
      <c r="BL460" s="38">
        <f t="shared" si="774"/>
        <v>0</v>
      </c>
      <c r="BM460" s="38">
        <f t="shared" si="774"/>
        <v>0</v>
      </c>
      <c r="BN460" s="38">
        <f t="shared" si="774"/>
        <v>0</v>
      </c>
      <c r="BO460" s="38">
        <f t="shared" si="774"/>
        <v>0</v>
      </c>
      <c r="BP460" s="38">
        <f t="shared" si="774"/>
        <v>0</v>
      </c>
      <c r="BQ460" s="38">
        <f t="shared" si="774"/>
        <v>0</v>
      </c>
      <c r="BR460" s="38">
        <f t="shared" si="774"/>
        <v>0</v>
      </c>
      <c r="BS460" s="38">
        <f t="shared" si="774"/>
        <v>0</v>
      </c>
      <c r="BT460" s="38">
        <f t="shared" si="774"/>
        <v>0</v>
      </c>
      <c r="BU460" s="38">
        <f t="shared" si="774"/>
        <v>0</v>
      </c>
      <c r="BV460" s="38">
        <f t="shared" ref="BV460:CV460" si="775" xml:space="preserve"> MAX(0, SUM(BV458:BV459))</f>
        <v>0</v>
      </c>
      <c r="BW460" s="38">
        <f t="shared" si="775"/>
        <v>0</v>
      </c>
      <c r="BX460" s="38">
        <f t="shared" si="775"/>
        <v>0</v>
      </c>
      <c r="BY460" s="38">
        <f t="shared" si="775"/>
        <v>0</v>
      </c>
      <c r="BZ460" s="38">
        <f t="shared" si="775"/>
        <v>0</v>
      </c>
      <c r="CA460" s="38">
        <f t="shared" si="775"/>
        <v>0</v>
      </c>
      <c r="CB460" s="38">
        <f t="shared" si="775"/>
        <v>0</v>
      </c>
      <c r="CC460" s="38">
        <f t="shared" si="775"/>
        <v>0</v>
      </c>
      <c r="CD460" s="38">
        <f t="shared" si="775"/>
        <v>0</v>
      </c>
      <c r="CE460" s="38">
        <f t="shared" si="775"/>
        <v>0</v>
      </c>
      <c r="CF460" s="38">
        <f t="shared" si="775"/>
        <v>0</v>
      </c>
      <c r="CG460" s="38">
        <f t="shared" si="775"/>
        <v>0</v>
      </c>
      <c r="CH460" s="38">
        <f t="shared" si="775"/>
        <v>0</v>
      </c>
      <c r="CI460" s="38">
        <f t="shared" si="775"/>
        <v>0</v>
      </c>
      <c r="CJ460" s="38">
        <f t="shared" si="775"/>
        <v>0</v>
      </c>
      <c r="CK460" s="38">
        <f t="shared" si="775"/>
        <v>0</v>
      </c>
      <c r="CL460" s="38">
        <f t="shared" si="775"/>
        <v>0</v>
      </c>
      <c r="CM460" s="38">
        <f t="shared" si="775"/>
        <v>0</v>
      </c>
      <c r="CN460" s="38">
        <f t="shared" si="775"/>
        <v>0</v>
      </c>
      <c r="CO460" s="38">
        <f t="shared" si="775"/>
        <v>0</v>
      </c>
      <c r="CP460" s="38">
        <f t="shared" si="775"/>
        <v>0</v>
      </c>
      <c r="CQ460" s="38">
        <f t="shared" si="775"/>
        <v>0</v>
      </c>
      <c r="CR460" s="38">
        <f t="shared" si="775"/>
        <v>0</v>
      </c>
      <c r="CS460" s="38">
        <f t="shared" si="775"/>
        <v>0</v>
      </c>
      <c r="CT460" s="38">
        <f t="shared" si="775"/>
        <v>0</v>
      </c>
      <c r="CU460" s="38">
        <f t="shared" si="775"/>
        <v>0</v>
      </c>
      <c r="CV460" s="38">
        <f t="shared" si="775"/>
        <v>0</v>
      </c>
    </row>
    <row r="461" spans="1:100" ht="12.75" outlineLevel="2" x14ac:dyDescent="0.2">
      <c r="E461" s="6"/>
    </row>
    <row r="462" spans="1:100" ht="12.75" outlineLevel="2" x14ac:dyDescent="0.2">
      <c r="E462" s="12" t="str">
        <f t="shared" ref="E462:AJ462" si="776" xml:space="preserve"> E$454</f>
        <v>Shareholder loan interest expense POS</v>
      </c>
      <c r="F462" s="12">
        <f t="shared" si="776"/>
        <v>0</v>
      </c>
      <c r="G462" s="12" t="str">
        <f t="shared" si="776"/>
        <v>$ 000s</v>
      </c>
      <c r="H462" s="12">
        <f t="shared" si="776"/>
        <v>289672.52637153119</v>
      </c>
      <c r="I462" s="12">
        <f t="shared" si="776"/>
        <v>0</v>
      </c>
      <c r="J462" s="12">
        <f t="shared" si="776"/>
        <v>0</v>
      </c>
      <c r="K462" s="12">
        <f t="shared" si="776"/>
        <v>0</v>
      </c>
      <c r="L462" s="12">
        <f t="shared" si="776"/>
        <v>0</v>
      </c>
      <c r="M462" s="12">
        <f t="shared" si="776"/>
        <v>0</v>
      </c>
      <c r="N462" s="12">
        <f t="shared" si="776"/>
        <v>0</v>
      </c>
      <c r="O462" s="12">
        <f t="shared" si="776"/>
        <v>5179.0951864116714</v>
      </c>
      <c r="P462" s="12">
        <f t="shared" si="776"/>
        <v>5192.3345172570835</v>
      </c>
      <c r="Q462" s="12">
        <f t="shared" si="776"/>
        <v>5238.7309346040465</v>
      </c>
      <c r="R462" s="12">
        <f t="shared" si="776"/>
        <v>5287.1632690546676</v>
      </c>
      <c r="S462" s="12">
        <f t="shared" si="776"/>
        <v>5340.9274316816491</v>
      </c>
      <c r="T462" s="12">
        <f t="shared" si="776"/>
        <v>5397.194795497142</v>
      </c>
      <c r="U462" s="12">
        <f t="shared" si="776"/>
        <v>5459.7053220878361</v>
      </c>
      <c r="V462" s="12">
        <f t="shared" si="776"/>
        <v>5524.367153190703</v>
      </c>
      <c r="W462" s="12">
        <f t="shared" si="776"/>
        <v>5594.9852617525185</v>
      </c>
      <c r="X462" s="12">
        <f t="shared" si="776"/>
        <v>5670.7618323387051</v>
      </c>
      <c r="Y462" s="12">
        <f t="shared" si="776"/>
        <v>5752.6695070192836</v>
      </c>
      <c r="Z462" s="12">
        <f t="shared" si="776"/>
        <v>5839.0817232208938</v>
      </c>
      <c r="AA462" s="12">
        <f t="shared" si="776"/>
        <v>5933.0580745547104</v>
      </c>
      <c r="AB462" s="12">
        <f t="shared" si="776"/>
        <v>6032.0546151116569</v>
      </c>
      <c r="AC462" s="12">
        <f t="shared" si="776"/>
        <v>6139.7960363448474</v>
      </c>
      <c r="AD462" s="12">
        <f t="shared" si="776"/>
        <v>6252.5368912803078</v>
      </c>
      <c r="AE462" s="12">
        <f t="shared" si="776"/>
        <v>6374.075542849635</v>
      </c>
      <c r="AF462" s="12">
        <f t="shared" si="776"/>
        <v>6503.8866749348708</v>
      </c>
      <c r="AG462" s="12">
        <f t="shared" si="776"/>
        <v>6643.0486826418846</v>
      </c>
      <c r="AH462" s="12">
        <f t="shared" si="776"/>
        <v>6790.0204254753799</v>
      </c>
      <c r="AI462" s="12">
        <f t="shared" si="776"/>
        <v>6948.1465445450103</v>
      </c>
      <c r="AJ462" s="12">
        <f t="shared" si="776"/>
        <v>7115.4251967897117</v>
      </c>
      <c r="AK462" s="12">
        <f t="shared" ref="AK462:BP462" si="777" xml:space="preserve"> AK$454</f>
        <v>7295.4755025311288</v>
      </c>
      <c r="AL462" s="12">
        <f t="shared" si="777"/>
        <v>7484.9950267201784</v>
      </c>
      <c r="AM462" s="12">
        <f t="shared" si="777"/>
        <v>7687.8671038685634</v>
      </c>
      <c r="AN462" s="12">
        <f t="shared" si="777"/>
        <v>7903.9436345669965</v>
      </c>
      <c r="AO462" s="12">
        <f t="shared" si="777"/>
        <v>8134.5180081093677</v>
      </c>
      <c r="AP462" s="12">
        <f t="shared" si="777"/>
        <v>8378.485860854018</v>
      </c>
      <c r="AQ462" s="12">
        <f t="shared" si="777"/>
        <v>8639.3695206221637</v>
      </c>
      <c r="AR462" s="12">
        <f t="shared" si="777"/>
        <v>8915.4910075094849</v>
      </c>
      <c r="AS462" s="12">
        <f t="shared" si="777"/>
        <v>9210.849180009569</v>
      </c>
      <c r="AT462" s="12">
        <f t="shared" si="777"/>
        <v>9522.7309573705625</v>
      </c>
      <c r="AU462" s="12">
        <f t="shared" si="777"/>
        <v>9855.2786956993423</v>
      </c>
      <c r="AV462" s="12">
        <f t="shared" si="777"/>
        <v>9917.2919463241396</v>
      </c>
      <c r="AW462" s="12">
        <f t="shared" si="777"/>
        <v>9987.6941905636468</v>
      </c>
      <c r="AX462" s="12">
        <f t="shared" si="777"/>
        <v>9770.4895641548992</v>
      </c>
      <c r="AY462" s="12">
        <f t="shared" si="777"/>
        <v>9549.0318421243355</v>
      </c>
      <c r="AZ462" s="12">
        <f t="shared" si="777"/>
        <v>9314.507238305725</v>
      </c>
      <c r="BA462" s="12">
        <f t="shared" si="777"/>
        <v>9074.6492789060685</v>
      </c>
      <c r="BB462" s="12">
        <f t="shared" si="777"/>
        <v>8820.7921946468232</v>
      </c>
      <c r="BC462" s="12">
        <f t="shared" si="777"/>
        <v>0</v>
      </c>
      <c r="BD462" s="12">
        <f t="shared" si="777"/>
        <v>0</v>
      </c>
      <c r="BE462" s="12">
        <f t="shared" si="777"/>
        <v>0</v>
      </c>
      <c r="BF462" s="12">
        <f t="shared" si="777"/>
        <v>0</v>
      </c>
      <c r="BG462" s="12">
        <f t="shared" si="777"/>
        <v>0</v>
      </c>
      <c r="BH462" s="12">
        <f t="shared" si="777"/>
        <v>0</v>
      </c>
      <c r="BI462" s="12">
        <f t="shared" si="777"/>
        <v>0</v>
      </c>
      <c r="BJ462" s="12">
        <f t="shared" si="777"/>
        <v>0</v>
      </c>
      <c r="BK462" s="12">
        <f t="shared" si="777"/>
        <v>0</v>
      </c>
      <c r="BL462" s="12">
        <f t="shared" si="777"/>
        <v>0</v>
      </c>
      <c r="BM462" s="12">
        <f t="shared" si="777"/>
        <v>0</v>
      </c>
      <c r="BN462" s="12">
        <f t="shared" si="777"/>
        <v>0</v>
      </c>
      <c r="BO462" s="12">
        <f t="shared" si="777"/>
        <v>0</v>
      </c>
      <c r="BP462" s="12">
        <f t="shared" si="777"/>
        <v>0</v>
      </c>
      <c r="BQ462" s="12">
        <f t="shared" ref="BQ462:CV462" si="778" xml:space="preserve"> BQ$454</f>
        <v>0</v>
      </c>
      <c r="BR462" s="12">
        <f t="shared" si="778"/>
        <v>0</v>
      </c>
      <c r="BS462" s="12">
        <f t="shared" si="778"/>
        <v>0</v>
      </c>
      <c r="BT462" s="12">
        <f t="shared" si="778"/>
        <v>0</v>
      </c>
      <c r="BU462" s="12">
        <f t="shared" si="778"/>
        <v>0</v>
      </c>
      <c r="BV462" s="12">
        <f t="shared" si="778"/>
        <v>0</v>
      </c>
      <c r="BW462" s="12">
        <f t="shared" si="778"/>
        <v>0</v>
      </c>
      <c r="BX462" s="12">
        <f t="shared" si="778"/>
        <v>0</v>
      </c>
      <c r="BY462" s="12">
        <f t="shared" si="778"/>
        <v>0</v>
      </c>
      <c r="BZ462" s="12">
        <f t="shared" si="778"/>
        <v>0</v>
      </c>
      <c r="CA462" s="12">
        <f t="shared" si="778"/>
        <v>0</v>
      </c>
      <c r="CB462" s="12">
        <f t="shared" si="778"/>
        <v>0</v>
      </c>
      <c r="CC462" s="12">
        <f t="shared" si="778"/>
        <v>0</v>
      </c>
      <c r="CD462" s="12">
        <f t="shared" si="778"/>
        <v>0</v>
      </c>
      <c r="CE462" s="12">
        <f t="shared" si="778"/>
        <v>0</v>
      </c>
      <c r="CF462" s="12">
        <f t="shared" si="778"/>
        <v>0</v>
      </c>
      <c r="CG462" s="12">
        <f t="shared" si="778"/>
        <v>0</v>
      </c>
      <c r="CH462" s="12">
        <f t="shared" si="778"/>
        <v>0</v>
      </c>
      <c r="CI462" s="12">
        <f t="shared" si="778"/>
        <v>0</v>
      </c>
      <c r="CJ462" s="12">
        <f t="shared" si="778"/>
        <v>0</v>
      </c>
      <c r="CK462" s="12">
        <f t="shared" si="778"/>
        <v>0</v>
      </c>
      <c r="CL462" s="12">
        <f t="shared" si="778"/>
        <v>0</v>
      </c>
      <c r="CM462" s="12">
        <f t="shared" si="778"/>
        <v>0</v>
      </c>
      <c r="CN462" s="12">
        <f t="shared" si="778"/>
        <v>0</v>
      </c>
      <c r="CO462" s="12">
        <f t="shared" si="778"/>
        <v>0</v>
      </c>
      <c r="CP462" s="12">
        <f t="shared" si="778"/>
        <v>0</v>
      </c>
      <c r="CQ462" s="12">
        <f t="shared" si="778"/>
        <v>0</v>
      </c>
      <c r="CR462" s="12">
        <f t="shared" si="778"/>
        <v>0</v>
      </c>
      <c r="CS462" s="12">
        <f t="shared" si="778"/>
        <v>0</v>
      </c>
      <c r="CT462" s="12">
        <f t="shared" si="778"/>
        <v>0</v>
      </c>
      <c r="CU462" s="12">
        <f t="shared" si="778"/>
        <v>0</v>
      </c>
      <c r="CV462" s="12">
        <f t="shared" si="778"/>
        <v>0</v>
      </c>
    </row>
    <row r="463" spans="1:100" ht="12.75" outlineLevel="2" x14ac:dyDescent="0.2">
      <c r="E463" s="12" t="str">
        <f t="shared" ref="E463:AJ463" si="779" xml:space="preserve"> E$460</f>
        <v>Cash available for shareholder loan</v>
      </c>
      <c r="F463" s="12">
        <f t="shared" si="779"/>
        <v>0</v>
      </c>
      <c r="G463" s="12" t="str">
        <f t="shared" si="779"/>
        <v>$ 000s</v>
      </c>
      <c r="H463" s="12">
        <f t="shared" si="779"/>
        <v>0</v>
      </c>
      <c r="I463" s="12">
        <f t="shared" si="779"/>
        <v>0</v>
      </c>
      <c r="J463" s="12">
        <f t="shared" si="779"/>
        <v>0</v>
      </c>
      <c r="K463" s="12">
        <f t="shared" si="779"/>
        <v>0</v>
      </c>
      <c r="L463" s="12">
        <f t="shared" si="779"/>
        <v>0</v>
      </c>
      <c r="M463" s="12">
        <f t="shared" si="779"/>
        <v>0</v>
      </c>
      <c r="N463" s="12">
        <f t="shared" si="779"/>
        <v>0</v>
      </c>
      <c r="O463" s="12">
        <f t="shared" si="779"/>
        <v>4958.439672321485</v>
      </c>
      <c r="P463" s="12">
        <f t="shared" si="779"/>
        <v>4419.0608948077006</v>
      </c>
      <c r="Q463" s="12">
        <f t="shared" si="779"/>
        <v>4431.5253604270329</v>
      </c>
      <c r="R463" s="12">
        <f t="shared" si="779"/>
        <v>4391.093891938297</v>
      </c>
      <c r="S463" s="12">
        <f t="shared" si="779"/>
        <v>4403.1380347567629</v>
      </c>
      <c r="T463" s="12">
        <f t="shared" si="779"/>
        <v>4355.3526856522458</v>
      </c>
      <c r="U463" s="12">
        <f t="shared" si="779"/>
        <v>4382.0081370400603</v>
      </c>
      <c r="V463" s="12">
        <f t="shared" si="779"/>
        <v>4347.3986771604377</v>
      </c>
      <c r="W463" s="12">
        <f t="shared" si="779"/>
        <v>4332.0424186494074</v>
      </c>
      <c r="X463" s="12">
        <f t="shared" si="779"/>
        <v>4305.6339209957259</v>
      </c>
      <c r="Y463" s="12">
        <f t="shared" si="779"/>
        <v>4312.4659036591293</v>
      </c>
      <c r="Z463" s="12">
        <f t="shared" si="779"/>
        <v>4272.8092009906122</v>
      </c>
      <c r="AA463" s="12">
        <f t="shared" si="779"/>
        <v>4283.115731938944</v>
      </c>
      <c r="AB463" s="12">
        <f t="shared" si="779"/>
        <v>4236.3642612251533</v>
      </c>
      <c r="AC463" s="12">
        <f t="shared" si="779"/>
        <v>4260.7817874205048</v>
      </c>
      <c r="AD463" s="12">
        <f t="shared" si="779"/>
        <v>4226.8926984581904</v>
      </c>
      <c r="AE463" s="12">
        <f t="shared" si="779"/>
        <v>4210.5566747623652</v>
      </c>
      <c r="AF463" s="12">
        <f t="shared" si="779"/>
        <v>4184.5198798179717</v>
      </c>
      <c r="AG463" s="12">
        <f t="shared" si="779"/>
        <v>4193.5196354169639</v>
      </c>
      <c r="AH463" s="12">
        <f t="shared" si="779"/>
        <v>4154.5851076482049</v>
      </c>
      <c r="AI463" s="12">
        <f t="shared" si="779"/>
        <v>4160.1690071333178</v>
      </c>
      <c r="AJ463" s="12">
        <f t="shared" si="779"/>
        <v>4114.5867677660935</v>
      </c>
      <c r="AK463" s="12">
        <f t="shared" ref="AK463:BP463" si="780" xml:space="preserve"> AK$460</f>
        <v>4136.8167660469644</v>
      </c>
      <c r="AL463" s="12">
        <f t="shared" si="780"/>
        <v>4103.793740913763</v>
      </c>
      <c r="AM463" s="12">
        <f t="shared" si="780"/>
        <v>4086.5915922280165</v>
      </c>
      <c r="AN463" s="12">
        <f t="shared" si="780"/>
        <v>4061.0374088608005</v>
      </c>
      <c r="AO463" s="12">
        <f t="shared" si="780"/>
        <v>4068.3871290318584</v>
      </c>
      <c r="AP463" s="12">
        <f t="shared" si="780"/>
        <v>4030.4248647182721</v>
      </c>
      <c r="AQ463" s="12">
        <f t="shared" si="780"/>
        <v>4037.3447391668196</v>
      </c>
      <c r="AR463" s="12">
        <f t="shared" si="780"/>
        <v>3992.8547991747637</v>
      </c>
      <c r="AS463" s="12">
        <f t="shared" si="780"/>
        <v>4012.8195573263183</v>
      </c>
      <c r="AT463" s="12">
        <f t="shared" si="780"/>
        <v>3980.2686518909049</v>
      </c>
      <c r="AU463" s="12">
        <f t="shared" si="780"/>
        <v>8821.7245186193904</v>
      </c>
      <c r="AV463" s="12">
        <f t="shared" si="780"/>
        <v>8743.9212089990451</v>
      </c>
      <c r="AW463" s="12">
        <f t="shared" si="780"/>
        <v>13607.771297376097</v>
      </c>
      <c r="AX463" s="12">
        <f t="shared" si="780"/>
        <v>13461.451597997637</v>
      </c>
      <c r="AY463" s="12">
        <f t="shared" si="780"/>
        <v>13457.775239101149</v>
      </c>
      <c r="AZ463" s="12">
        <f t="shared" si="780"/>
        <v>13312.139894966671</v>
      </c>
      <c r="BA463" s="12">
        <f t="shared" si="780"/>
        <v>13305.600683226843</v>
      </c>
      <c r="BB463" s="12">
        <f t="shared" si="780"/>
        <v>16445.959763457937</v>
      </c>
      <c r="BC463" s="12">
        <f t="shared" si="780"/>
        <v>0</v>
      </c>
      <c r="BD463" s="12">
        <f t="shared" si="780"/>
        <v>0</v>
      </c>
      <c r="BE463" s="12">
        <f t="shared" si="780"/>
        <v>0</v>
      </c>
      <c r="BF463" s="12">
        <f t="shared" si="780"/>
        <v>0</v>
      </c>
      <c r="BG463" s="12">
        <f t="shared" si="780"/>
        <v>0</v>
      </c>
      <c r="BH463" s="12">
        <f t="shared" si="780"/>
        <v>0</v>
      </c>
      <c r="BI463" s="12">
        <f t="shared" si="780"/>
        <v>0</v>
      </c>
      <c r="BJ463" s="12">
        <f t="shared" si="780"/>
        <v>0</v>
      </c>
      <c r="BK463" s="12">
        <f t="shared" si="780"/>
        <v>0</v>
      </c>
      <c r="BL463" s="12">
        <f t="shared" si="780"/>
        <v>0</v>
      </c>
      <c r="BM463" s="12">
        <f t="shared" si="780"/>
        <v>0</v>
      </c>
      <c r="BN463" s="12">
        <f t="shared" si="780"/>
        <v>0</v>
      </c>
      <c r="BO463" s="12">
        <f t="shared" si="780"/>
        <v>0</v>
      </c>
      <c r="BP463" s="12">
        <f t="shared" si="780"/>
        <v>0</v>
      </c>
      <c r="BQ463" s="12">
        <f t="shared" ref="BQ463:CV463" si="781" xml:space="preserve"> BQ$460</f>
        <v>0</v>
      </c>
      <c r="BR463" s="12">
        <f t="shared" si="781"/>
        <v>0</v>
      </c>
      <c r="BS463" s="12">
        <f t="shared" si="781"/>
        <v>0</v>
      </c>
      <c r="BT463" s="12">
        <f t="shared" si="781"/>
        <v>0</v>
      </c>
      <c r="BU463" s="12">
        <f t="shared" si="781"/>
        <v>0</v>
      </c>
      <c r="BV463" s="12">
        <f t="shared" si="781"/>
        <v>0</v>
      </c>
      <c r="BW463" s="12">
        <f t="shared" si="781"/>
        <v>0</v>
      </c>
      <c r="BX463" s="12">
        <f t="shared" si="781"/>
        <v>0</v>
      </c>
      <c r="BY463" s="12">
        <f t="shared" si="781"/>
        <v>0</v>
      </c>
      <c r="BZ463" s="12">
        <f t="shared" si="781"/>
        <v>0</v>
      </c>
      <c r="CA463" s="12">
        <f t="shared" si="781"/>
        <v>0</v>
      </c>
      <c r="CB463" s="12">
        <f t="shared" si="781"/>
        <v>0</v>
      </c>
      <c r="CC463" s="12">
        <f t="shared" si="781"/>
        <v>0</v>
      </c>
      <c r="CD463" s="12">
        <f t="shared" si="781"/>
        <v>0</v>
      </c>
      <c r="CE463" s="12">
        <f t="shared" si="781"/>
        <v>0</v>
      </c>
      <c r="CF463" s="12">
        <f t="shared" si="781"/>
        <v>0</v>
      </c>
      <c r="CG463" s="12">
        <f t="shared" si="781"/>
        <v>0</v>
      </c>
      <c r="CH463" s="12">
        <f t="shared" si="781"/>
        <v>0</v>
      </c>
      <c r="CI463" s="12">
        <f t="shared" si="781"/>
        <v>0</v>
      </c>
      <c r="CJ463" s="12">
        <f t="shared" si="781"/>
        <v>0</v>
      </c>
      <c r="CK463" s="12">
        <f t="shared" si="781"/>
        <v>0</v>
      </c>
      <c r="CL463" s="12">
        <f t="shared" si="781"/>
        <v>0</v>
      </c>
      <c r="CM463" s="12">
        <f t="shared" si="781"/>
        <v>0</v>
      </c>
      <c r="CN463" s="12">
        <f t="shared" si="781"/>
        <v>0</v>
      </c>
      <c r="CO463" s="12">
        <f t="shared" si="781"/>
        <v>0</v>
      </c>
      <c r="CP463" s="12">
        <f t="shared" si="781"/>
        <v>0</v>
      </c>
      <c r="CQ463" s="12">
        <f t="shared" si="781"/>
        <v>0</v>
      </c>
      <c r="CR463" s="12">
        <f t="shared" si="781"/>
        <v>0</v>
      </c>
      <c r="CS463" s="12">
        <f t="shared" si="781"/>
        <v>0</v>
      </c>
      <c r="CT463" s="12">
        <f t="shared" si="781"/>
        <v>0</v>
      </c>
      <c r="CU463" s="12">
        <f t="shared" si="781"/>
        <v>0</v>
      </c>
      <c r="CV463" s="12">
        <f t="shared" si="781"/>
        <v>0</v>
      </c>
    </row>
    <row r="464" spans="1:100" s="188" customFormat="1" ht="12.75" outlineLevel="2" x14ac:dyDescent="0.2">
      <c r="A464" s="141"/>
      <c r="B464" s="141"/>
      <c r="C464" s="142"/>
      <c r="D464" s="143"/>
      <c r="E464" s="187" t="s">
        <v>348</v>
      </c>
      <c r="F464" s="187"/>
      <c r="G464" s="187" t="str">
        <f xml:space="preserve"> SMU</f>
        <v>$ 000s</v>
      </c>
      <c r="H464" s="187">
        <f xml:space="preserve"> SUM(J464:CV464)</f>
        <v>209529.209635665</v>
      </c>
      <c r="I464" s="144"/>
      <c r="J464" s="187">
        <f t="shared" ref="J464:AO464" si="782" xml:space="preserve"> MIN(J462:J463)</f>
        <v>0</v>
      </c>
      <c r="K464" s="187">
        <f t="shared" si="782"/>
        <v>0</v>
      </c>
      <c r="L464" s="187">
        <f t="shared" si="782"/>
        <v>0</v>
      </c>
      <c r="M464" s="187">
        <f t="shared" si="782"/>
        <v>0</v>
      </c>
      <c r="N464" s="187">
        <f t="shared" si="782"/>
        <v>0</v>
      </c>
      <c r="O464" s="187">
        <f t="shared" si="782"/>
        <v>4958.439672321485</v>
      </c>
      <c r="P464" s="187">
        <f t="shared" si="782"/>
        <v>4419.0608948077006</v>
      </c>
      <c r="Q464" s="187">
        <f t="shared" si="782"/>
        <v>4431.5253604270329</v>
      </c>
      <c r="R464" s="187">
        <f t="shared" si="782"/>
        <v>4391.093891938297</v>
      </c>
      <c r="S464" s="187">
        <f t="shared" si="782"/>
        <v>4403.1380347567629</v>
      </c>
      <c r="T464" s="187">
        <f t="shared" si="782"/>
        <v>4355.3526856522458</v>
      </c>
      <c r="U464" s="187">
        <f t="shared" si="782"/>
        <v>4382.0081370400603</v>
      </c>
      <c r="V464" s="187">
        <f t="shared" si="782"/>
        <v>4347.3986771604377</v>
      </c>
      <c r="W464" s="187">
        <f t="shared" si="782"/>
        <v>4332.0424186494074</v>
      </c>
      <c r="X464" s="187">
        <f t="shared" si="782"/>
        <v>4305.6339209957259</v>
      </c>
      <c r="Y464" s="187">
        <f t="shared" si="782"/>
        <v>4312.4659036591293</v>
      </c>
      <c r="Z464" s="187">
        <f t="shared" si="782"/>
        <v>4272.8092009906122</v>
      </c>
      <c r="AA464" s="187">
        <f t="shared" si="782"/>
        <v>4283.115731938944</v>
      </c>
      <c r="AB464" s="187">
        <f t="shared" si="782"/>
        <v>4236.3642612251533</v>
      </c>
      <c r="AC464" s="187">
        <f t="shared" si="782"/>
        <v>4260.7817874205048</v>
      </c>
      <c r="AD464" s="187">
        <f t="shared" si="782"/>
        <v>4226.8926984581904</v>
      </c>
      <c r="AE464" s="187">
        <f t="shared" si="782"/>
        <v>4210.5566747623652</v>
      </c>
      <c r="AF464" s="187">
        <f t="shared" si="782"/>
        <v>4184.5198798179717</v>
      </c>
      <c r="AG464" s="187">
        <f t="shared" si="782"/>
        <v>4193.5196354169639</v>
      </c>
      <c r="AH464" s="187">
        <f t="shared" si="782"/>
        <v>4154.5851076482049</v>
      </c>
      <c r="AI464" s="187">
        <f t="shared" si="782"/>
        <v>4160.1690071333178</v>
      </c>
      <c r="AJ464" s="187">
        <f t="shared" si="782"/>
        <v>4114.5867677660935</v>
      </c>
      <c r="AK464" s="187">
        <f t="shared" si="782"/>
        <v>4136.8167660469644</v>
      </c>
      <c r="AL464" s="187">
        <f t="shared" si="782"/>
        <v>4103.793740913763</v>
      </c>
      <c r="AM464" s="187">
        <f t="shared" si="782"/>
        <v>4086.5915922280165</v>
      </c>
      <c r="AN464" s="187">
        <f t="shared" si="782"/>
        <v>4061.0374088608005</v>
      </c>
      <c r="AO464" s="187">
        <f t="shared" si="782"/>
        <v>4068.3871290318584</v>
      </c>
      <c r="AP464" s="187">
        <f t="shared" ref="AP464:BU464" si="783" xml:space="preserve"> MIN(AP462:AP463)</f>
        <v>4030.4248647182721</v>
      </c>
      <c r="AQ464" s="187">
        <f t="shared" si="783"/>
        <v>4037.3447391668196</v>
      </c>
      <c r="AR464" s="187">
        <f t="shared" si="783"/>
        <v>3992.8547991747637</v>
      </c>
      <c r="AS464" s="187">
        <f t="shared" si="783"/>
        <v>4012.8195573263183</v>
      </c>
      <c r="AT464" s="187">
        <f t="shared" si="783"/>
        <v>3980.2686518909049</v>
      </c>
      <c r="AU464" s="187">
        <f t="shared" si="783"/>
        <v>8821.7245186193904</v>
      </c>
      <c r="AV464" s="187">
        <f t="shared" si="783"/>
        <v>8743.9212089990451</v>
      </c>
      <c r="AW464" s="187">
        <f t="shared" si="783"/>
        <v>9987.6941905636468</v>
      </c>
      <c r="AX464" s="187">
        <f t="shared" si="783"/>
        <v>9770.4895641548992</v>
      </c>
      <c r="AY464" s="187">
        <f t="shared" si="783"/>
        <v>9549.0318421243355</v>
      </c>
      <c r="AZ464" s="187">
        <f t="shared" si="783"/>
        <v>9314.507238305725</v>
      </c>
      <c r="BA464" s="187">
        <f t="shared" si="783"/>
        <v>9074.6492789060685</v>
      </c>
      <c r="BB464" s="187">
        <f t="shared" si="783"/>
        <v>8820.7921946468232</v>
      </c>
      <c r="BC464" s="187">
        <f t="shared" si="783"/>
        <v>0</v>
      </c>
      <c r="BD464" s="187">
        <f t="shared" si="783"/>
        <v>0</v>
      </c>
      <c r="BE464" s="187">
        <f t="shared" si="783"/>
        <v>0</v>
      </c>
      <c r="BF464" s="187">
        <f t="shared" si="783"/>
        <v>0</v>
      </c>
      <c r="BG464" s="187">
        <f t="shared" si="783"/>
        <v>0</v>
      </c>
      <c r="BH464" s="187">
        <f t="shared" si="783"/>
        <v>0</v>
      </c>
      <c r="BI464" s="187">
        <f t="shared" si="783"/>
        <v>0</v>
      </c>
      <c r="BJ464" s="187">
        <f t="shared" si="783"/>
        <v>0</v>
      </c>
      <c r="BK464" s="187">
        <f t="shared" si="783"/>
        <v>0</v>
      </c>
      <c r="BL464" s="187">
        <f t="shared" si="783"/>
        <v>0</v>
      </c>
      <c r="BM464" s="187">
        <f t="shared" si="783"/>
        <v>0</v>
      </c>
      <c r="BN464" s="187">
        <f t="shared" si="783"/>
        <v>0</v>
      </c>
      <c r="BO464" s="187">
        <f t="shared" si="783"/>
        <v>0</v>
      </c>
      <c r="BP464" s="187">
        <f t="shared" si="783"/>
        <v>0</v>
      </c>
      <c r="BQ464" s="187">
        <f t="shared" si="783"/>
        <v>0</v>
      </c>
      <c r="BR464" s="187">
        <f t="shared" si="783"/>
        <v>0</v>
      </c>
      <c r="BS464" s="187">
        <f t="shared" si="783"/>
        <v>0</v>
      </c>
      <c r="BT464" s="187">
        <f t="shared" si="783"/>
        <v>0</v>
      </c>
      <c r="BU464" s="187">
        <f t="shared" si="783"/>
        <v>0</v>
      </c>
      <c r="BV464" s="187">
        <f t="shared" ref="BV464:CV464" si="784" xml:space="preserve"> MIN(BV462:BV463)</f>
        <v>0</v>
      </c>
      <c r="BW464" s="187">
        <f t="shared" si="784"/>
        <v>0</v>
      </c>
      <c r="BX464" s="187">
        <f t="shared" si="784"/>
        <v>0</v>
      </c>
      <c r="BY464" s="187">
        <f t="shared" si="784"/>
        <v>0</v>
      </c>
      <c r="BZ464" s="187">
        <f t="shared" si="784"/>
        <v>0</v>
      </c>
      <c r="CA464" s="187">
        <f t="shared" si="784"/>
        <v>0</v>
      </c>
      <c r="CB464" s="187">
        <f t="shared" si="784"/>
        <v>0</v>
      </c>
      <c r="CC464" s="187">
        <f t="shared" si="784"/>
        <v>0</v>
      </c>
      <c r="CD464" s="187">
        <f t="shared" si="784"/>
        <v>0</v>
      </c>
      <c r="CE464" s="187">
        <f t="shared" si="784"/>
        <v>0</v>
      </c>
      <c r="CF464" s="187">
        <f t="shared" si="784"/>
        <v>0</v>
      </c>
      <c r="CG464" s="187">
        <f t="shared" si="784"/>
        <v>0</v>
      </c>
      <c r="CH464" s="187">
        <f t="shared" si="784"/>
        <v>0</v>
      </c>
      <c r="CI464" s="187">
        <f t="shared" si="784"/>
        <v>0</v>
      </c>
      <c r="CJ464" s="187">
        <f t="shared" si="784"/>
        <v>0</v>
      </c>
      <c r="CK464" s="187">
        <f t="shared" si="784"/>
        <v>0</v>
      </c>
      <c r="CL464" s="187">
        <f t="shared" si="784"/>
        <v>0</v>
      </c>
      <c r="CM464" s="187">
        <f t="shared" si="784"/>
        <v>0</v>
      </c>
      <c r="CN464" s="187">
        <f t="shared" si="784"/>
        <v>0</v>
      </c>
      <c r="CO464" s="187">
        <f t="shared" si="784"/>
        <v>0</v>
      </c>
      <c r="CP464" s="187">
        <f t="shared" si="784"/>
        <v>0</v>
      </c>
      <c r="CQ464" s="187">
        <f t="shared" si="784"/>
        <v>0</v>
      </c>
      <c r="CR464" s="187">
        <f t="shared" si="784"/>
        <v>0</v>
      </c>
      <c r="CS464" s="187">
        <f t="shared" si="784"/>
        <v>0</v>
      </c>
      <c r="CT464" s="187">
        <f t="shared" si="784"/>
        <v>0</v>
      </c>
      <c r="CU464" s="187">
        <f t="shared" si="784"/>
        <v>0</v>
      </c>
      <c r="CV464" s="187">
        <f t="shared" si="784"/>
        <v>0</v>
      </c>
    </row>
    <row r="465" spans="1:100" s="188" customFormat="1" ht="12.75" outlineLevel="2" x14ac:dyDescent="0.2">
      <c r="A465" s="141"/>
      <c r="B465" s="141"/>
      <c r="C465" s="142"/>
      <c r="D465" s="482" t="s">
        <v>366</v>
      </c>
      <c r="E465" s="187" t="str">
        <f xml:space="preserve"> LEFT(E464, LEN(E464) - 4)</f>
        <v>Shareholder loan interest paid</v>
      </c>
      <c r="F465" s="187"/>
      <c r="G465" s="187" t="str">
        <f xml:space="preserve"> SMU</f>
        <v>$ 000s</v>
      </c>
      <c r="H465" s="187">
        <f xml:space="preserve"> SUM(J465:CV465)</f>
        <v>-209529.209635665</v>
      </c>
      <c r="I465" s="144"/>
      <c r="J465" s="187">
        <f t="shared" ref="J465:AO465" si="785" xml:space="preserve"> -1 * J464</f>
        <v>0</v>
      </c>
      <c r="K465" s="187">
        <f t="shared" si="785"/>
        <v>0</v>
      </c>
      <c r="L465" s="187">
        <f t="shared" si="785"/>
        <v>0</v>
      </c>
      <c r="M465" s="187">
        <f t="shared" si="785"/>
        <v>0</v>
      </c>
      <c r="N465" s="187">
        <f t="shared" si="785"/>
        <v>0</v>
      </c>
      <c r="O465" s="187">
        <f t="shared" si="785"/>
        <v>-4958.439672321485</v>
      </c>
      <c r="P465" s="187">
        <f t="shared" si="785"/>
        <v>-4419.0608948077006</v>
      </c>
      <c r="Q465" s="187">
        <f t="shared" si="785"/>
        <v>-4431.5253604270329</v>
      </c>
      <c r="R465" s="187">
        <f t="shared" si="785"/>
        <v>-4391.093891938297</v>
      </c>
      <c r="S465" s="187">
        <f t="shared" si="785"/>
        <v>-4403.1380347567629</v>
      </c>
      <c r="T465" s="187">
        <f t="shared" si="785"/>
        <v>-4355.3526856522458</v>
      </c>
      <c r="U465" s="187">
        <f t="shared" si="785"/>
        <v>-4382.0081370400603</v>
      </c>
      <c r="V465" s="187">
        <f t="shared" si="785"/>
        <v>-4347.3986771604377</v>
      </c>
      <c r="W465" s="187">
        <f t="shared" si="785"/>
        <v>-4332.0424186494074</v>
      </c>
      <c r="X465" s="187">
        <f t="shared" si="785"/>
        <v>-4305.6339209957259</v>
      </c>
      <c r="Y465" s="187">
        <f t="shared" si="785"/>
        <v>-4312.4659036591293</v>
      </c>
      <c r="Z465" s="187">
        <f t="shared" si="785"/>
        <v>-4272.8092009906122</v>
      </c>
      <c r="AA465" s="187">
        <f t="shared" si="785"/>
        <v>-4283.115731938944</v>
      </c>
      <c r="AB465" s="187">
        <f t="shared" si="785"/>
        <v>-4236.3642612251533</v>
      </c>
      <c r="AC465" s="187">
        <f t="shared" si="785"/>
        <v>-4260.7817874205048</v>
      </c>
      <c r="AD465" s="187">
        <f t="shared" si="785"/>
        <v>-4226.8926984581904</v>
      </c>
      <c r="AE465" s="187">
        <f t="shared" si="785"/>
        <v>-4210.5566747623652</v>
      </c>
      <c r="AF465" s="187">
        <f t="shared" si="785"/>
        <v>-4184.5198798179717</v>
      </c>
      <c r="AG465" s="187">
        <f t="shared" si="785"/>
        <v>-4193.5196354169639</v>
      </c>
      <c r="AH465" s="187">
        <f t="shared" si="785"/>
        <v>-4154.5851076482049</v>
      </c>
      <c r="AI465" s="187">
        <f t="shared" si="785"/>
        <v>-4160.1690071333178</v>
      </c>
      <c r="AJ465" s="187">
        <f t="shared" si="785"/>
        <v>-4114.5867677660935</v>
      </c>
      <c r="AK465" s="187">
        <f t="shared" si="785"/>
        <v>-4136.8167660469644</v>
      </c>
      <c r="AL465" s="187">
        <f t="shared" si="785"/>
        <v>-4103.793740913763</v>
      </c>
      <c r="AM465" s="187">
        <f t="shared" si="785"/>
        <v>-4086.5915922280165</v>
      </c>
      <c r="AN465" s="187">
        <f t="shared" si="785"/>
        <v>-4061.0374088608005</v>
      </c>
      <c r="AO465" s="187">
        <f t="shared" si="785"/>
        <v>-4068.3871290318584</v>
      </c>
      <c r="AP465" s="187">
        <f t="shared" ref="AP465:BU465" si="786" xml:space="preserve"> -1 * AP464</f>
        <v>-4030.4248647182721</v>
      </c>
      <c r="AQ465" s="187">
        <f t="shared" si="786"/>
        <v>-4037.3447391668196</v>
      </c>
      <c r="AR465" s="187">
        <f t="shared" si="786"/>
        <v>-3992.8547991747637</v>
      </c>
      <c r="AS465" s="187">
        <f t="shared" si="786"/>
        <v>-4012.8195573263183</v>
      </c>
      <c r="AT465" s="187">
        <f t="shared" si="786"/>
        <v>-3980.2686518909049</v>
      </c>
      <c r="AU465" s="187">
        <f t="shared" si="786"/>
        <v>-8821.7245186193904</v>
      </c>
      <c r="AV465" s="187">
        <f t="shared" si="786"/>
        <v>-8743.9212089990451</v>
      </c>
      <c r="AW465" s="187">
        <f t="shared" si="786"/>
        <v>-9987.6941905636468</v>
      </c>
      <c r="AX465" s="187">
        <f t="shared" si="786"/>
        <v>-9770.4895641548992</v>
      </c>
      <c r="AY465" s="187">
        <f t="shared" si="786"/>
        <v>-9549.0318421243355</v>
      </c>
      <c r="AZ465" s="187">
        <f t="shared" si="786"/>
        <v>-9314.507238305725</v>
      </c>
      <c r="BA465" s="187">
        <f t="shared" si="786"/>
        <v>-9074.6492789060685</v>
      </c>
      <c r="BB465" s="187">
        <f t="shared" si="786"/>
        <v>-8820.7921946468232</v>
      </c>
      <c r="BC465" s="187">
        <f t="shared" si="786"/>
        <v>0</v>
      </c>
      <c r="BD465" s="187">
        <f t="shared" si="786"/>
        <v>0</v>
      </c>
      <c r="BE465" s="187">
        <f t="shared" si="786"/>
        <v>0</v>
      </c>
      <c r="BF465" s="187">
        <f t="shared" si="786"/>
        <v>0</v>
      </c>
      <c r="BG465" s="187">
        <f t="shared" si="786"/>
        <v>0</v>
      </c>
      <c r="BH465" s="187">
        <f t="shared" si="786"/>
        <v>0</v>
      </c>
      <c r="BI465" s="187">
        <f t="shared" si="786"/>
        <v>0</v>
      </c>
      <c r="BJ465" s="187">
        <f t="shared" si="786"/>
        <v>0</v>
      </c>
      <c r="BK465" s="187">
        <f t="shared" si="786"/>
        <v>0</v>
      </c>
      <c r="BL465" s="187">
        <f t="shared" si="786"/>
        <v>0</v>
      </c>
      <c r="BM465" s="187">
        <f t="shared" si="786"/>
        <v>0</v>
      </c>
      <c r="BN465" s="187">
        <f t="shared" si="786"/>
        <v>0</v>
      </c>
      <c r="BO465" s="187">
        <f t="shared" si="786"/>
        <v>0</v>
      </c>
      <c r="BP465" s="187">
        <f t="shared" si="786"/>
        <v>0</v>
      </c>
      <c r="BQ465" s="187">
        <f t="shared" si="786"/>
        <v>0</v>
      </c>
      <c r="BR465" s="187">
        <f t="shared" si="786"/>
        <v>0</v>
      </c>
      <c r="BS465" s="187">
        <f t="shared" si="786"/>
        <v>0</v>
      </c>
      <c r="BT465" s="187">
        <f t="shared" si="786"/>
        <v>0</v>
      </c>
      <c r="BU465" s="187">
        <f t="shared" si="786"/>
        <v>0</v>
      </c>
      <c r="BV465" s="187">
        <f t="shared" ref="BV465:CV465" si="787" xml:space="preserve"> -1 * BV464</f>
        <v>0</v>
      </c>
      <c r="BW465" s="187">
        <f t="shared" si="787"/>
        <v>0</v>
      </c>
      <c r="BX465" s="187">
        <f t="shared" si="787"/>
        <v>0</v>
      </c>
      <c r="BY465" s="187">
        <f t="shared" si="787"/>
        <v>0</v>
      </c>
      <c r="BZ465" s="187">
        <f t="shared" si="787"/>
        <v>0</v>
      </c>
      <c r="CA465" s="187">
        <f t="shared" si="787"/>
        <v>0</v>
      </c>
      <c r="CB465" s="187">
        <f t="shared" si="787"/>
        <v>0</v>
      </c>
      <c r="CC465" s="187">
        <f t="shared" si="787"/>
        <v>0</v>
      </c>
      <c r="CD465" s="187">
        <f t="shared" si="787"/>
        <v>0</v>
      </c>
      <c r="CE465" s="187">
        <f t="shared" si="787"/>
        <v>0</v>
      </c>
      <c r="CF465" s="187">
        <f t="shared" si="787"/>
        <v>0</v>
      </c>
      <c r="CG465" s="187">
        <f t="shared" si="787"/>
        <v>0</v>
      </c>
      <c r="CH465" s="187">
        <f t="shared" si="787"/>
        <v>0</v>
      </c>
      <c r="CI465" s="187">
        <f t="shared" si="787"/>
        <v>0</v>
      </c>
      <c r="CJ465" s="187">
        <f t="shared" si="787"/>
        <v>0</v>
      </c>
      <c r="CK465" s="187">
        <f t="shared" si="787"/>
        <v>0</v>
      </c>
      <c r="CL465" s="187">
        <f t="shared" si="787"/>
        <v>0</v>
      </c>
      <c r="CM465" s="187">
        <f t="shared" si="787"/>
        <v>0</v>
      </c>
      <c r="CN465" s="187">
        <f t="shared" si="787"/>
        <v>0</v>
      </c>
      <c r="CO465" s="187">
        <f t="shared" si="787"/>
        <v>0</v>
      </c>
      <c r="CP465" s="187">
        <f t="shared" si="787"/>
        <v>0</v>
      </c>
      <c r="CQ465" s="187">
        <f t="shared" si="787"/>
        <v>0</v>
      </c>
      <c r="CR465" s="187">
        <f t="shared" si="787"/>
        <v>0</v>
      </c>
      <c r="CS465" s="187">
        <f t="shared" si="787"/>
        <v>0</v>
      </c>
      <c r="CT465" s="187">
        <f t="shared" si="787"/>
        <v>0</v>
      </c>
      <c r="CU465" s="187">
        <f t="shared" si="787"/>
        <v>0</v>
      </c>
      <c r="CV465" s="187">
        <f t="shared" si="787"/>
        <v>0</v>
      </c>
    </row>
    <row r="466" spans="1:100" ht="12.75" outlineLevel="1" x14ac:dyDescent="0.2">
      <c r="E466" s="6"/>
    </row>
    <row r="467" spans="1:100" ht="12.75" outlineLevel="1" x14ac:dyDescent="0.2">
      <c r="B467" s="15" t="s">
        <v>343</v>
      </c>
      <c r="E467" s="6"/>
    </row>
    <row r="468" spans="1:100" ht="12.75" outlineLevel="2" x14ac:dyDescent="0.2">
      <c r="E468" s="12" t="str">
        <f t="shared" ref="E468:AJ468" si="788" xml:space="preserve"> E$454</f>
        <v>Shareholder loan interest expense POS</v>
      </c>
      <c r="F468" s="12">
        <f t="shared" si="788"/>
        <v>0</v>
      </c>
      <c r="G468" s="12" t="str">
        <f t="shared" si="788"/>
        <v>$ 000s</v>
      </c>
      <c r="H468" s="12">
        <f t="shared" si="788"/>
        <v>289672.52637153119</v>
      </c>
      <c r="I468" s="12">
        <f t="shared" si="788"/>
        <v>0</v>
      </c>
      <c r="J468" s="12">
        <f t="shared" si="788"/>
        <v>0</v>
      </c>
      <c r="K468" s="12">
        <f t="shared" si="788"/>
        <v>0</v>
      </c>
      <c r="L468" s="12">
        <f t="shared" si="788"/>
        <v>0</v>
      </c>
      <c r="M468" s="12">
        <f t="shared" si="788"/>
        <v>0</v>
      </c>
      <c r="N468" s="12">
        <f t="shared" si="788"/>
        <v>0</v>
      </c>
      <c r="O468" s="12">
        <f t="shared" si="788"/>
        <v>5179.0951864116714</v>
      </c>
      <c r="P468" s="12">
        <f t="shared" si="788"/>
        <v>5192.3345172570835</v>
      </c>
      <c r="Q468" s="12">
        <f t="shared" si="788"/>
        <v>5238.7309346040465</v>
      </c>
      <c r="R468" s="12">
        <f t="shared" si="788"/>
        <v>5287.1632690546676</v>
      </c>
      <c r="S468" s="12">
        <f t="shared" si="788"/>
        <v>5340.9274316816491</v>
      </c>
      <c r="T468" s="12">
        <f t="shared" si="788"/>
        <v>5397.194795497142</v>
      </c>
      <c r="U468" s="12">
        <f t="shared" si="788"/>
        <v>5459.7053220878361</v>
      </c>
      <c r="V468" s="12">
        <f t="shared" si="788"/>
        <v>5524.367153190703</v>
      </c>
      <c r="W468" s="12">
        <f t="shared" si="788"/>
        <v>5594.9852617525185</v>
      </c>
      <c r="X468" s="12">
        <f t="shared" si="788"/>
        <v>5670.7618323387051</v>
      </c>
      <c r="Y468" s="12">
        <f t="shared" si="788"/>
        <v>5752.6695070192836</v>
      </c>
      <c r="Z468" s="12">
        <f t="shared" si="788"/>
        <v>5839.0817232208938</v>
      </c>
      <c r="AA468" s="12">
        <f t="shared" si="788"/>
        <v>5933.0580745547104</v>
      </c>
      <c r="AB468" s="12">
        <f t="shared" si="788"/>
        <v>6032.0546151116569</v>
      </c>
      <c r="AC468" s="12">
        <f t="shared" si="788"/>
        <v>6139.7960363448474</v>
      </c>
      <c r="AD468" s="12">
        <f t="shared" si="788"/>
        <v>6252.5368912803078</v>
      </c>
      <c r="AE468" s="12">
        <f t="shared" si="788"/>
        <v>6374.075542849635</v>
      </c>
      <c r="AF468" s="12">
        <f t="shared" si="788"/>
        <v>6503.8866749348708</v>
      </c>
      <c r="AG468" s="12">
        <f t="shared" si="788"/>
        <v>6643.0486826418846</v>
      </c>
      <c r="AH468" s="12">
        <f t="shared" si="788"/>
        <v>6790.0204254753799</v>
      </c>
      <c r="AI468" s="12">
        <f t="shared" si="788"/>
        <v>6948.1465445450103</v>
      </c>
      <c r="AJ468" s="12">
        <f t="shared" si="788"/>
        <v>7115.4251967897117</v>
      </c>
      <c r="AK468" s="12">
        <f t="shared" ref="AK468:BP468" si="789" xml:space="preserve"> AK$454</f>
        <v>7295.4755025311288</v>
      </c>
      <c r="AL468" s="12">
        <f t="shared" si="789"/>
        <v>7484.9950267201784</v>
      </c>
      <c r="AM468" s="12">
        <f t="shared" si="789"/>
        <v>7687.8671038685634</v>
      </c>
      <c r="AN468" s="12">
        <f t="shared" si="789"/>
        <v>7903.9436345669965</v>
      </c>
      <c r="AO468" s="12">
        <f t="shared" si="789"/>
        <v>8134.5180081093677</v>
      </c>
      <c r="AP468" s="12">
        <f t="shared" si="789"/>
        <v>8378.485860854018</v>
      </c>
      <c r="AQ468" s="12">
        <f t="shared" si="789"/>
        <v>8639.3695206221637</v>
      </c>
      <c r="AR468" s="12">
        <f t="shared" si="789"/>
        <v>8915.4910075094849</v>
      </c>
      <c r="AS468" s="12">
        <f t="shared" si="789"/>
        <v>9210.849180009569</v>
      </c>
      <c r="AT468" s="12">
        <f t="shared" si="789"/>
        <v>9522.7309573705625</v>
      </c>
      <c r="AU468" s="12">
        <f t="shared" si="789"/>
        <v>9855.2786956993423</v>
      </c>
      <c r="AV468" s="12">
        <f t="shared" si="789"/>
        <v>9917.2919463241396</v>
      </c>
      <c r="AW468" s="12">
        <f t="shared" si="789"/>
        <v>9987.6941905636468</v>
      </c>
      <c r="AX468" s="12">
        <f t="shared" si="789"/>
        <v>9770.4895641548992</v>
      </c>
      <c r="AY468" s="12">
        <f t="shared" si="789"/>
        <v>9549.0318421243355</v>
      </c>
      <c r="AZ468" s="12">
        <f t="shared" si="789"/>
        <v>9314.507238305725</v>
      </c>
      <c r="BA468" s="12">
        <f t="shared" si="789"/>
        <v>9074.6492789060685</v>
      </c>
      <c r="BB468" s="12">
        <f t="shared" si="789"/>
        <v>8820.7921946468232</v>
      </c>
      <c r="BC468" s="12">
        <f t="shared" si="789"/>
        <v>0</v>
      </c>
      <c r="BD468" s="12">
        <f t="shared" si="789"/>
        <v>0</v>
      </c>
      <c r="BE468" s="12">
        <f t="shared" si="789"/>
        <v>0</v>
      </c>
      <c r="BF468" s="12">
        <f t="shared" si="789"/>
        <v>0</v>
      </c>
      <c r="BG468" s="12">
        <f t="shared" si="789"/>
        <v>0</v>
      </c>
      <c r="BH468" s="12">
        <f t="shared" si="789"/>
        <v>0</v>
      </c>
      <c r="BI468" s="12">
        <f t="shared" si="789"/>
        <v>0</v>
      </c>
      <c r="BJ468" s="12">
        <f t="shared" si="789"/>
        <v>0</v>
      </c>
      <c r="BK468" s="12">
        <f t="shared" si="789"/>
        <v>0</v>
      </c>
      <c r="BL468" s="12">
        <f t="shared" si="789"/>
        <v>0</v>
      </c>
      <c r="BM468" s="12">
        <f t="shared" si="789"/>
        <v>0</v>
      </c>
      <c r="BN468" s="12">
        <f t="shared" si="789"/>
        <v>0</v>
      </c>
      <c r="BO468" s="12">
        <f t="shared" si="789"/>
        <v>0</v>
      </c>
      <c r="BP468" s="12">
        <f t="shared" si="789"/>
        <v>0</v>
      </c>
      <c r="BQ468" s="12">
        <f t="shared" ref="BQ468:CV468" si="790" xml:space="preserve"> BQ$454</f>
        <v>0</v>
      </c>
      <c r="BR468" s="12">
        <f t="shared" si="790"/>
        <v>0</v>
      </c>
      <c r="BS468" s="12">
        <f t="shared" si="790"/>
        <v>0</v>
      </c>
      <c r="BT468" s="12">
        <f t="shared" si="790"/>
        <v>0</v>
      </c>
      <c r="BU468" s="12">
        <f t="shared" si="790"/>
        <v>0</v>
      </c>
      <c r="BV468" s="12">
        <f t="shared" si="790"/>
        <v>0</v>
      </c>
      <c r="BW468" s="12">
        <f t="shared" si="790"/>
        <v>0</v>
      </c>
      <c r="BX468" s="12">
        <f t="shared" si="790"/>
        <v>0</v>
      </c>
      <c r="BY468" s="12">
        <f t="shared" si="790"/>
        <v>0</v>
      </c>
      <c r="BZ468" s="12">
        <f t="shared" si="790"/>
        <v>0</v>
      </c>
      <c r="CA468" s="12">
        <f t="shared" si="790"/>
        <v>0</v>
      </c>
      <c r="CB468" s="12">
        <f t="shared" si="790"/>
        <v>0</v>
      </c>
      <c r="CC468" s="12">
        <f t="shared" si="790"/>
        <v>0</v>
      </c>
      <c r="CD468" s="12">
        <f t="shared" si="790"/>
        <v>0</v>
      </c>
      <c r="CE468" s="12">
        <f t="shared" si="790"/>
        <v>0</v>
      </c>
      <c r="CF468" s="12">
        <f t="shared" si="790"/>
        <v>0</v>
      </c>
      <c r="CG468" s="12">
        <f t="shared" si="790"/>
        <v>0</v>
      </c>
      <c r="CH468" s="12">
        <f t="shared" si="790"/>
        <v>0</v>
      </c>
      <c r="CI468" s="12">
        <f t="shared" si="790"/>
        <v>0</v>
      </c>
      <c r="CJ468" s="12">
        <f t="shared" si="790"/>
        <v>0</v>
      </c>
      <c r="CK468" s="12">
        <f t="shared" si="790"/>
        <v>0</v>
      </c>
      <c r="CL468" s="12">
        <f t="shared" si="790"/>
        <v>0</v>
      </c>
      <c r="CM468" s="12">
        <f t="shared" si="790"/>
        <v>0</v>
      </c>
      <c r="CN468" s="12">
        <f t="shared" si="790"/>
        <v>0</v>
      </c>
      <c r="CO468" s="12">
        <f t="shared" si="790"/>
        <v>0</v>
      </c>
      <c r="CP468" s="12">
        <f t="shared" si="790"/>
        <v>0</v>
      </c>
      <c r="CQ468" s="12">
        <f t="shared" si="790"/>
        <v>0</v>
      </c>
      <c r="CR468" s="12">
        <f t="shared" si="790"/>
        <v>0</v>
      </c>
      <c r="CS468" s="12">
        <f t="shared" si="790"/>
        <v>0</v>
      </c>
      <c r="CT468" s="12">
        <f t="shared" si="790"/>
        <v>0</v>
      </c>
      <c r="CU468" s="12">
        <f t="shared" si="790"/>
        <v>0</v>
      </c>
      <c r="CV468" s="12">
        <f t="shared" si="790"/>
        <v>0</v>
      </c>
    </row>
    <row r="469" spans="1:100" ht="12.75" outlineLevel="2" x14ac:dyDescent="0.2">
      <c r="E469" s="12" t="str">
        <f t="shared" ref="E469:AJ469" si="791" xml:space="preserve"> E$464</f>
        <v>Shareholder loan interest paid POS</v>
      </c>
      <c r="F469" s="12">
        <f t="shared" si="791"/>
        <v>0</v>
      </c>
      <c r="G469" s="12" t="str">
        <f t="shared" si="791"/>
        <v>$ 000s</v>
      </c>
      <c r="H469" s="12">
        <f t="shared" si="791"/>
        <v>209529.209635665</v>
      </c>
      <c r="I469" s="12">
        <f t="shared" si="791"/>
        <v>0</v>
      </c>
      <c r="J469" s="12">
        <f t="shared" si="791"/>
        <v>0</v>
      </c>
      <c r="K469" s="12">
        <f t="shared" si="791"/>
        <v>0</v>
      </c>
      <c r="L469" s="12">
        <f t="shared" si="791"/>
        <v>0</v>
      </c>
      <c r="M469" s="12">
        <f t="shared" si="791"/>
        <v>0</v>
      </c>
      <c r="N469" s="12">
        <f t="shared" si="791"/>
        <v>0</v>
      </c>
      <c r="O469" s="12">
        <f t="shared" si="791"/>
        <v>4958.439672321485</v>
      </c>
      <c r="P469" s="12">
        <f t="shared" si="791"/>
        <v>4419.0608948077006</v>
      </c>
      <c r="Q469" s="12">
        <f t="shared" si="791"/>
        <v>4431.5253604270329</v>
      </c>
      <c r="R469" s="12">
        <f t="shared" si="791"/>
        <v>4391.093891938297</v>
      </c>
      <c r="S469" s="12">
        <f t="shared" si="791"/>
        <v>4403.1380347567629</v>
      </c>
      <c r="T469" s="12">
        <f t="shared" si="791"/>
        <v>4355.3526856522458</v>
      </c>
      <c r="U469" s="12">
        <f t="shared" si="791"/>
        <v>4382.0081370400603</v>
      </c>
      <c r="V469" s="12">
        <f t="shared" si="791"/>
        <v>4347.3986771604377</v>
      </c>
      <c r="W469" s="12">
        <f t="shared" si="791"/>
        <v>4332.0424186494074</v>
      </c>
      <c r="X469" s="12">
        <f t="shared" si="791"/>
        <v>4305.6339209957259</v>
      </c>
      <c r="Y469" s="12">
        <f t="shared" si="791"/>
        <v>4312.4659036591293</v>
      </c>
      <c r="Z469" s="12">
        <f t="shared" si="791"/>
        <v>4272.8092009906122</v>
      </c>
      <c r="AA469" s="12">
        <f t="shared" si="791"/>
        <v>4283.115731938944</v>
      </c>
      <c r="AB469" s="12">
        <f t="shared" si="791"/>
        <v>4236.3642612251533</v>
      </c>
      <c r="AC469" s="12">
        <f t="shared" si="791"/>
        <v>4260.7817874205048</v>
      </c>
      <c r="AD469" s="12">
        <f t="shared" si="791"/>
        <v>4226.8926984581904</v>
      </c>
      <c r="AE469" s="12">
        <f t="shared" si="791"/>
        <v>4210.5566747623652</v>
      </c>
      <c r="AF469" s="12">
        <f t="shared" si="791"/>
        <v>4184.5198798179717</v>
      </c>
      <c r="AG469" s="12">
        <f t="shared" si="791"/>
        <v>4193.5196354169639</v>
      </c>
      <c r="AH469" s="12">
        <f t="shared" si="791"/>
        <v>4154.5851076482049</v>
      </c>
      <c r="AI469" s="12">
        <f t="shared" si="791"/>
        <v>4160.1690071333178</v>
      </c>
      <c r="AJ469" s="12">
        <f t="shared" si="791"/>
        <v>4114.5867677660935</v>
      </c>
      <c r="AK469" s="12">
        <f t="shared" ref="AK469:BP469" si="792" xml:space="preserve"> AK$464</f>
        <v>4136.8167660469644</v>
      </c>
      <c r="AL469" s="12">
        <f t="shared" si="792"/>
        <v>4103.793740913763</v>
      </c>
      <c r="AM469" s="12">
        <f t="shared" si="792"/>
        <v>4086.5915922280165</v>
      </c>
      <c r="AN469" s="12">
        <f t="shared" si="792"/>
        <v>4061.0374088608005</v>
      </c>
      <c r="AO469" s="12">
        <f t="shared" si="792"/>
        <v>4068.3871290318584</v>
      </c>
      <c r="AP469" s="12">
        <f t="shared" si="792"/>
        <v>4030.4248647182721</v>
      </c>
      <c r="AQ469" s="12">
        <f t="shared" si="792"/>
        <v>4037.3447391668196</v>
      </c>
      <c r="AR469" s="12">
        <f t="shared" si="792"/>
        <v>3992.8547991747637</v>
      </c>
      <c r="AS469" s="12">
        <f t="shared" si="792"/>
        <v>4012.8195573263183</v>
      </c>
      <c r="AT469" s="12">
        <f t="shared" si="792"/>
        <v>3980.2686518909049</v>
      </c>
      <c r="AU469" s="12">
        <f t="shared" si="792"/>
        <v>8821.7245186193904</v>
      </c>
      <c r="AV469" s="12">
        <f t="shared" si="792"/>
        <v>8743.9212089990451</v>
      </c>
      <c r="AW469" s="12">
        <f t="shared" si="792"/>
        <v>9987.6941905636468</v>
      </c>
      <c r="AX469" s="12">
        <f t="shared" si="792"/>
        <v>9770.4895641548992</v>
      </c>
      <c r="AY469" s="12">
        <f t="shared" si="792"/>
        <v>9549.0318421243355</v>
      </c>
      <c r="AZ469" s="12">
        <f t="shared" si="792"/>
        <v>9314.507238305725</v>
      </c>
      <c r="BA469" s="12">
        <f t="shared" si="792"/>
        <v>9074.6492789060685</v>
      </c>
      <c r="BB469" s="12">
        <f t="shared" si="792"/>
        <v>8820.7921946468232</v>
      </c>
      <c r="BC469" s="12">
        <f t="shared" si="792"/>
        <v>0</v>
      </c>
      <c r="BD469" s="12">
        <f t="shared" si="792"/>
        <v>0</v>
      </c>
      <c r="BE469" s="12">
        <f t="shared" si="792"/>
        <v>0</v>
      </c>
      <c r="BF469" s="12">
        <f t="shared" si="792"/>
        <v>0</v>
      </c>
      <c r="BG469" s="12">
        <f t="shared" si="792"/>
        <v>0</v>
      </c>
      <c r="BH469" s="12">
        <f t="shared" si="792"/>
        <v>0</v>
      </c>
      <c r="BI469" s="12">
        <f t="shared" si="792"/>
        <v>0</v>
      </c>
      <c r="BJ469" s="12">
        <f t="shared" si="792"/>
        <v>0</v>
      </c>
      <c r="BK469" s="12">
        <f t="shared" si="792"/>
        <v>0</v>
      </c>
      <c r="BL469" s="12">
        <f t="shared" si="792"/>
        <v>0</v>
      </c>
      <c r="BM469" s="12">
        <f t="shared" si="792"/>
        <v>0</v>
      </c>
      <c r="BN469" s="12">
        <f t="shared" si="792"/>
        <v>0</v>
      </c>
      <c r="BO469" s="12">
        <f t="shared" si="792"/>
        <v>0</v>
      </c>
      <c r="BP469" s="12">
        <f t="shared" si="792"/>
        <v>0</v>
      </c>
      <c r="BQ469" s="12">
        <f t="shared" ref="BQ469:CV469" si="793" xml:space="preserve"> BQ$464</f>
        <v>0</v>
      </c>
      <c r="BR469" s="12">
        <f t="shared" si="793"/>
        <v>0</v>
      </c>
      <c r="BS469" s="12">
        <f t="shared" si="793"/>
        <v>0</v>
      </c>
      <c r="BT469" s="12">
        <f t="shared" si="793"/>
        <v>0</v>
      </c>
      <c r="BU469" s="12">
        <f t="shared" si="793"/>
        <v>0</v>
      </c>
      <c r="BV469" s="12">
        <f t="shared" si="793"/>
        <v>0</v>
      </c>
      <c r="BW469" s="12">
        <f t="shared" si="793"/>
        <v>0</v>
      </c>
      <c r="BX469" s="12">
        <f t="shared" si="793"/>
        <v>0</v>
      </c>
      <c r="BY469" s="12">
        <f t="shared" si="793"/>
        <v>0</v>
      </c>
      <c r="BZ469" s="12">
        <f t="shared" si="793"/>
        <v>0</v>
      </c>
      <c r="CA469" s="12">
        <f t="shared" si="793"/>
        <v>0</v>
      </c>
      <c r="CB469" s="12">
        <f t="shared" si="793"/>
        <v>0</v>
      </c>
      <c r="CC469" s="12">
        <f t="shared" si="793"/>
        <v>0</v>
      </c>
      <c r="CD469" s="12">
        <f t="shared" si="793"/>
        <v>0</v>
      </c>
      <c r="CE469" s="12">
        <f t="shared" si="793"/>
        <v>0</v>
      </c>
      <c r="CF469" s="12">
        <f t="shared" si="793"/>
        <v>0</v>
      </c>
      <c r="CG469" s="12">
        <f t="shared" si="793"/>
        <v>0</v>
      </c>
      <c r="CH469" s="12">
        <f t="shared" si="793"/>
        <v>0</v>
      </c>
      <c r="CI469" s="12">
        <f t="shared" si="793"/>
        <v>0</v>
      </c>
      <c r="CJ469" s="12">
        <f t="shared" si="793"/>
        <v>0</v>
      </c>
      <c r="CK469" s="12">
        <f t="shared" si="793"/>
        <v>0</v>
      </c>
      <c r="CL469" s="12">
        <f t="shared" si="793"/>
        <v>0</v>
      </c>
      <c r="CM469" s="12">
        <f t="shared" si="793"/>
        <v>0</v>
      </c>
      <c r="CN469" s="12">
        <f t="shared" si="793"/>
        <v>0</v>
      </c>
      <c r="CO469" s="12">
        <f t="shared" si="793"/>
        <v>0</v>
      </c>
      <c r="CP469" s="12">
        <f t="shared" si="793"/>
        <v>0</v>
      </c>
      <c r="CQ469" s="12">
        <f t="shared" si="793"/>
        <v>0</v>
      </c>
      <c r="CR469" s="12">
        <f t="shared" si="793"/>
        <v>0</v>
      </c>
      <c r="CS469" s="12">
        <f t="shared" si="793"/>
        <v>0</v>
      </c>
      <c r="CT469" s="12">
        <f t="shared" si="793"/>
        <v>0</v>
      </c>
      <c r="CU469" s="12">
        <f t="shared" si="793"/>
        <v>0</v>
      </c>
      <c r="CV469" s="12">
        <f t="shared" si="793"/>
        <v>0</v>
      </c>
    </row>
    <row r="470" spans="1:100" ht="12.75" outlineLevel="2" x14ac:dyDescent="0.2">
      <c r="E470" s="12" t="s">
        <v>349</v>
      </c>
      <c r="G470" s="12" t="str">
        <f xml:space="preserve"> SMU</f>
        <v>$ 000s</v>
      </c>
      <c r="H470" s="12">
        <f xml:space="preserve"> SUM(J470:CV470)</f>
        <v>80143.316735866189</v>
      </c>
      <c r="J470" s="12">
        <f t="shared" ref="J470:AO470" si="794" xml:space="preserve"> J468 - J469</f>
        <v>0</v>
      </c>
      <c r="K470" s="12">
        <f t="shared" si="794"/>
        <v>0</v>
      </c>
      <c r="L470" s="12">
        <f t="shared" si="794"/>
        <v>0</v>
      </c>
      <c r="M470" s="12">
        <f t="shared" si="794"/>
        <v>0</v>
      </c>
      <c r="N470" s="12">
        <f t="shared" si="794"/>
        <v>0</v>
      </c>
      <c r="O470" s="12">
        <f t="shared" si="794"/>
        <v>220.65551409018644</v>
      </c>
      <c r="P470" s="12">
        <f t="shared" si="794"/>
        <v>773.27362244938286</v>
      </c>
      <c r="Q470" s="12">
        <f t="shared" si="794"/>
        <v>807.20557417701366</v>
      </c>
      <c r="R470" s="12">
        <f t="shared" si="794"/>
        <v>896.06937711637056</v>
      </c>
      <c r="S470" s="12">
        <f t="shared" si="794"/>
        <v>937.7893969248862</v>
      </c>
      <c r="T470" s="12">
        <f t="shared" si="794"/>
        <v>1041.8421098448962</v>
      </c>
      <c r="U470" s="12">
        <f t="shared" si="794"/>
        <v>1077.6971850477757</v>
      </c>
      <c r="V470" s="12">
        <f t="shared" si="794"/>
        <v>1176.9684760302653</v>
      </c>
      <c r="W470" s="12">
        <f t="shared" si="794"/>
        <v>1262.942843103111</v>
      </c>
      <c r="X470" s="12">
        <f t="shared" si="794"/>
        <v>1365.1279113429791</v>
      </c>
      <c r="Y470" s="12">
        <f t="shared" si="794"/>
        <v>1440.2036033601544</v>
      </c>
      <c r="Z470" s="12">
        <f t="shared" si="794"/>
        <v>1566.2725222302815</v>
      </c>
      <c r="AA470" s="12">
        <f t="shared" si="794"/>
        <v>1649.9423426157664</v>
      </c>
      <c r="AB470" s="12">
        <f t="shared" si="794"/>
        <v>1795.6903538865035</v>
      </c>
      <c r="AC470" s="12">
        <f t="shared" si="794"/>
        <v>1879.0142489243426</v>
      </c>
      <c r="AD470" s="12">
        <f t="shared" si="794"/>
        <v>2025.6441928221175</v>
      </c>
      <c r="AE470" s="12">
        <f t="shared" si="794"/>
        <v>2163.5188680872698</v>
      </c>
      <c r="AF470" s="12">
        <f t="shared" si="794"/>
        <v>2319.3667951168991</v>
      </c>
      <c r="AG470" s="12">
        <f t="shared" si="794"/>
        <v>2449.5290472249208</v>
      </c>
      <c r="AH470" s="12">
        <f t="shared" si="794"/>
        <v>2635.4353178271749</v>
      </c>
      <c r="AI470" s="12">
        <f t="shared" si="794"/>
        <v>2787.9775374116925</v>
      </c>
      <c r="AJ470" s="12">
        <f t="shared" si="794"/>
        <v>3000.8384290236181</v>
      </c>
      <c r="AK470" s="12">
        <f t="shared" si="794"/>
        <v>3158.6587364841644</v>
      </c>
      <c r="AL470" s="12">
        <f t="shared" si="794"/>
        <v>3381.2012858064154</v>
      </c>
      <c r="AM470" s="12">
        <f t="shared" si="794"/>
        <v>3601.2755116405469</v>
      </c>
      <c r="AN470" s="12">
        <f t="shared" si="794"/>
        <v>3842.906225706196</v>
      </c>
      <c r="AO470" s="12">
        <f t="shared" si="794"/>
        <v>4066.1308790775092</v>
      </c>
      <c r="AP470" s="12">
        <f t="shared" ref="AP470:BU470" si="795" xml:space="preserve"> AP468 - AP469</f>
        <v>4348.0609961357459</v>
      </c>
      <c r="AQ470" s="12">
        <f t="shared" si="795"/>
        <v>4602.0247814553441</v>
      </c>
      <c r="AR470" s="12">
        <f t="shared" si="795"/>
        <v>4922.6362083347212</v>
      </c>
      <c r="AS470" s="12">
        <f t="shared" si="795"/>
        <v>5198.0296226832506</v>
      </c>
      <c r="AT470" s="12">
        <f t="shared" si="795"/>
        <v>5542.4623054796575</v>
      </c>
      <c r="AU470" s="12">
        <f t="shared" si="795"/>
        <v>1033.5541770799518</v>
      </c>
      <c r="AV470" s="12">
        <f t="shared" si="795"/>
        <v>1173.3707373250945</v>
      </c>
      <c r="AW470" s="12">
        <f t="shared" si="795"/>
        <v>0</v>
      </c>
      <c r="AX470" s="12">
        <f t="shared" si="795"/>
        <v>0</v>
      </c>
      <c r="AY470" s="12">
        <f t="shared" si="795"/>
        <v>0</v>
      </c>
      <c r="AZ470" s="12">
        <f t="shared" si="795"/>
        <v>0</v>
      </c>
      <c r="BA470" s="12">
        <f t="shared" si="795"/>
        <v>0</v>
      </c>
      <c r="BB470" s="12">
        <f t="shared" si="795"/>
        <v>0</v>
      </c>
      <c r="BC470" s="12">
        <f t="shared" si="795"/>
        <v>0</v>
      </c>
      <c r="BD470" s="12">
        <f t="shared" si="795"/>
        <v>0</v>
      </c>
      <c r="BE470" s="12">
        <f t="shared" si="795"/>
        <v>0</v>
      </c>
      <c r="BF470" s="12">
        <f t="shared" si="795"/>
        <v>0</v>
      </c>
      <c r="BG470" s="12">
        <f t="shared" si="795"/>
        <v>0</v>
      </c>
      <c r="BH470" s="12">
        <f t="shared" si="795"/>
        <v>0</v>
      </c>
      <c r="BI470" s="12">
        <f t="shared" si="795"/>
        <v>0</v>
      </c>
      <c r="BJ470" s="12">
        <f t="shared" si="795"/>
        <v>0</v>
      </c>
      <c r="BK470" s="12">
        <f t="shared" si="795"/>
        <v>0</v>
      </c>
      <c r="BL470" s="12">
        <f t="shared" si="795"/>
        <v>0</v>
      </c>
      <c r="BM470" s="12">
        <f t="shared" si="795"/>
        <v>0</v>
      </c>
      <c r="BN470" s="12">
        <f t="shared" si="795"/>
        <v>0</v>
      </c>
      <c r="BO470" s="12">
        <f t="shared" si="795"/>
        <v>0</v>
      </c>
      <c r="BP470" s="12">
        <f t="shared" si="795"/>
        <v>0</v>
      </c>
      <c r="BQ470" s="12">
        <f t="shared" si="795"/>
        <v>0</v>
      </c>
      <c r="BR470" s="12">
        <f t="shared" si="795"/>
        <v>0</v>
      </c>
      <c r="BS470" s="12">
        <f t="shared" si="795"/>
        <v>0</v>
      </c>
      <c r="BT470" s="12">
        <f t="shared" si="795"/>
        <v>0</v>
      </c>
      <c r="BU470" s="12">
        <f t="shared" si="795"/>
        <v>0</v>
      </c>
      <c r="BV470" s="12">
        <f t="shared" ref="BV470:CV470" si="796" xml:space="preserve"> BV468 - BV469</f>
        <v>0</v>
      </c>
      <c r="BW470" s="12">
        <f t="shared" si="796"/>
        <v>0</v>
      </c>
      <c r="BX470" s="12">
        <f t="shared" si="796"/>
        <v>0</v>
      </c>
      <c r="BY470" s="12">
        <f t="shared" si="796"/>
        <v>0</v>
      </c>
      <c r="BZ470" s="12">
        <f t="shared" si="796"/>
        <v>0</v>
      </c>
      <c r="CA470" s="12">
        <f t="shared" si="796"/>
        <v>0</v>
      </c>
      <c r="CB470" s="12">
        <f t="shared" si="796"/>
        <v>0</v>
      </c>
      <c r="CC470" s="12">
        <f t="shared" si="796"/>
        <v>0</v>
      </c>
      <c r="CD470" s="12">
        <f t="shared" si="796"/>
        <v>0</v>
      </c>
      <c r="CE470" s="12">
        <f t="shared" si="796"/>
        <v>0</v>
      </c>
      <c r="CF470" s="12">
        <f t="shared" si="796"/>
        <v>0</v>
      </c>
      <c r="CG470" s="12">
        <f t="shared" si="796"/>
        <v>0</v>
      </c>
      <c r="CH470" s="12">
        <f t="shared" si="796"/>
        <v>0</v>
      </c>
      <c r="CI470" s="12">
        <f t="shared" si="796"/>
        <v>0</v>
      </c>
      <c r="CJ470" s="12">
        <f t="shared" si="796"/>
        <v>0</v>
      </c>
      <c r="CK470" s="12">
        <f t="shared" si="796"/>
        <v>0</v>
      </c>
      <c r="CL470" s="12">
        <f t="shared" si="796"/>
        <v>0</v>
      </c>
      <c r="CM470" s="12">
        <f t="shared" si="796"/>
        <v>0</v>
      </c>
      <c r="CN470" s="12">
        <f t="shared" si="796"/>
        <v>0</v>
      </c>
      <c r="CO470" s="12">
        <f t="shared" si="796"/>
        <v>0</v>
      </c>
      <c r="CP470" s="12">
        <f t="shared" si="796"/>
        <v>0</v>
      </c>
      <c r="CQ470" s="12">
        <f t="shared" si="796"/>
        <v>0</v>
      </c>
      <c r="CR470" s="12">
        <f t="shared" si="796"/>
        <v>0</v>
      </c>
      <c r="CS470" s="12">
        <f t="shared" si="796"/>
        <v>0</v>
      </c>
      <c r="CT470" s="12">
        <f t="shared" si="796"/>
        <v>0</v>
      </c>
      <c r="CU470" s="12">
        <f t="shared" si="796"/>
        <v>0</v>
      </c>
      <c r="CV470" s="12">
        <f t="shared" si="796"/>
        <v>0</v>
      </c>
    </row>
    <row r="471" spans="1:100" ht="12.75" outlineLevel="1" x14ac:dyDescent="0.2"/>
    <row r="472" spans="1:100" ht="12.75" outlineLevel="1" x14ac:dyDescent="0.2">
      <c r="B472" s="15" t="s">
        <v>332</v>
      </c>
    </row>
    <row r="473" spans="1:100" ht="12.75" outlineLevel="2" x14ac:dyDescent="0.2">
      <c r="E473" s="12" t="str">
        <f t="shared" ref="E473:AJ473" si="797" xml:space="preserve"> E$460</f>
        <v>Cash available for shareholder loan</v>
      </c>
      <c r="F473" s="12">
        <f t="shared" si="797"/>
        <v>0</v>
      </c>
      <c r="G473" s="12" t="str">
        <f t="shared" si="797"/>
        <v>$ 000s</v>
      </c>
      <c r="H473" s="12">
        <f t="shared" si="797"/>
        <v>0</v>
      </c>
      <c r="I473" s="12">
        <f t="shared" si="797"/>
        <v>0</v>
      </c>
      <c r="J473" s="12">
        <f t="shared" si="797"/>
        <v>0</v>
      </c>
      <c r="K473" s="12">
        <f t="shared" si="797"/>
        <v>0</v>
      </c>
      <c r="L473" s="12">
        <f t="shared" si="797"/>
        <v>0</v>
      </c>
      <c r="M473" s="12">
        <f t="shared" si="797"/>
        <v>0</v>
      </c>
      <c r="N473" s="12">
        <f t="shared" si="797"/>
        <v>0</v>
      </c>
      <c r="O473" s="12">
        <f t="shared" si="797"/>
        <v>4958.439672321485</v>
      </c>
      <c r="P473" s="12">
        <f t="shared" si="797"/>
        <v>4419.0608948077006</v>
      </c>
      <c r="Q473" s="12">
        <f t="shared" si="797"/>
        <v>4431.5253604270329</v>
      </c>
      <c r="R473" s="12">
        <f t="shared" si="797"/>
        <v>4391.093891938297</v>
      </c>
      <c r="S473" s="12">
        <f t="shared" si="797"/>
        <v>4403.1380347567629</v>
      </c>
      <c r="T473" s="12">
        <f t="shared" si="797"/>
        <v>4355.3526856522458</v>
      </c>
      <c r="U473" s="12">
        <f t="shared" si="797"/>
        <v>4382.0081370400603</v>
      </c>
      <c r="V473" s="12">
        <f t="shared" si="797"/>
        <v>4347.3986771604377</v>
      </c>
      <c r="W473" s="12">
        <f t="shared" si="797"/>
        <v>4332.0424186494074</v>
      </c>
      <c r="X473" s="12">
        <f t="shared" si="797"/>
        <v>4305.6339209957259</v>
      </c>
      <c r="Y473" s="12">
        <f t="shared" si="797"/>
        <v>4312.4659036591293</v>
      </c>
      <c r="Z473" s="12">
        <f t="shared" si="797"/>
        <v>4272.8092009906122</v>
      </c>
      <c r="AA473" s="12">
        <f t="shared" si="797"/>
        <v>4283.115731938944</v>
      </c>
      <c r="AB473" s="12">
        <f t="shared" si="797"/>
        <v>4236.3642612251533</v>
      </c>
      <c r="AC473" s="12">
        <f t="shared" si="797"/>
        <v>4260.7817874205048</v>
      </c>
      <c r="AD473" s="12">
        <f t="shared" si="797"/>
        <v>4226.8926984581904</v>
      </c>
      <c r="AE473" s="12">
        <f t="shared" si="797"/>
        <v>4210.5566747623652</v>
      </c>
      <c r="AF473" s="12">
        <f t="shared" si="797"/>
        <v>4184.5198798179717</v>
      </c>
      <c r="AG473" s="12">
        <f t="shared" si="797"/>
        <v>4193.5196354169639</v>
      </c>
      <c r="AH473" s="12">
        <f t="shared" si="797"/>
        <v>4154.5851076482049</v>
      </c>
      <c r="AI473" s="12">
        <f t="shared" si="797"/>
        <v>4160.1690071333178</v>
      </c>
      <c r="AJ473" s="12">
        <f t="shared" si="797"/>
        <v>4114.5867677660935</v>
      </c>
      <c r="AK473" s="12">
        <f t="shared" ref="AK473:BP473" si="798" xml:space="preserve"> AK$460</f>
        <v>4136.8167660469644</v>
      </c>
      <c r="AL473" s="12">
        <f t="shared" si="798"/>
        <v>4103.793740913763</v>
      </c>
      <c r="AM473" s="12">
        <f t="shared" si="798"/>
        <v>4086.5915922280165</v>
      </c>
      <c r="AN473" s="12">
        <f t="shared" si="798"/>
        <v>4061.0374088608005</v>
      </c>
      <c r="AO473" s="12">
        <f t="shared" si="798"/>
        <v>4068.3871290318584</v>
      </c>
      <c r="AP473" s="12">
        <f t="shared" si="798"/>
        <v>4030.4248647182721</v>
      </c>
      <c r="AQ473" s="12">
        <f t="shared" si="798"/>
        <v>4037.3447391668196</v>
      </c>
      <c r="AR473" s="12">
        <f t="shared" si="798"/>
        <v>3992.8547991747637</v>
      </c>
      <c r="AS473" s="12">
        <f t="shared" si="798"/>
        <v>4012.8195573263183</v>
      </c>
      <c r="AT473" s="12">
        <f t="shared" si="798"/>
        <v>3980.2686518909049</v>
      </c>
      <c r="AU473" s="12">
        <f t="shared" si="798"/>
        <v>8821.7245186193904</v>
      </c>
      <c r="AV473" s="12">
        <f t="shared" si="798"/>
        <v>8743.9212089990451</v>
      </c>
      <c r="AW473" s="12">
        <f t="shared" si="798"/>
        <v>13607.771297376097</v>
      </c>
      <c r="AX473" s="12">
        <f t="shared" si="798"/>
        <v>13461.451597997637</v>
      </c>
      <c r="AY473" s="12">
        <f t="shared" si="798"/>
        <v>13457.775239101149</v>
      </c>
      <c r="AZ473" s="12">
        <f t="shared" si="798"/>
        <v>13312.139894966671</v>
      </c>
      <c r="BA473" s="12">
        <f t="shared" si="798"/>
        <v>13305.600683226843</v>
      </c>
      <c r="BB473" s="12">
        <f t="shared" si="798"/>
        <v>16445.959763457937</v>
      </c>
      <c r="BC473" s="12">
        <f t="shared" si="798"/>
        <v>0</v>
      </c>
      <c r="BD473" s="12">
        <f t="shared" si="798"/>
        <v>0</v>
      </c>
      <c r="BE473" s="12">
        <f t="shared" si="798"/>
        <v>0</v>
      </c>
      <c r="BF473" s="12">
        <f t="shared" si="798"/>
        <v>0</v>
      </c>
      <c r="BG473" s="12">
        <f t="shared" si="798"/>
        <v>0</v>
      </c>
      <c r="BH473" s="12">
        <f t="shared" si="798"/>
        <v>0</v>
      </c>
      <c r="BI473" s="12">
        <f t="shared" si="798"/>
        <v>0</v>
      </c>
      <c r="BJ473" s="12">
        <f t="shared" si="798"/>
        <v>0</v>
      </c>
      <c r="BK473" s="12">
        <f t="shared" si="798"/>
        <v>0</v>
      </c>
      <c r="BL473" s="12">
        <f t="shared" si="798"/>
        <v>0</v>
      </c>
      <c r="BM473" s="12">
        <f t="shared" si="798"/>
        <v>0</v>
      </c>
      <c r="BN473" s="12">
        <f t="shared" si="798"/>
        <v>0</v>
      </c>
      <c r="BO473" s="12">
        <f t="shared" si="798"/>
        <v>0</v>
      </c>
      <c r="BP473" s="12">
        <f t="shared" si="798"/>
        <v>0</v>
      </c>
      <c r="BQ473" s="12">
        <f t="shared" ref="BQ473:CV473" si="799" xml:space="preserve"> BQ$460</f>
        <v>0</v>
      </c>
      <c r="BR473" s="12">
        <f t="shared" si="799"/>
        <v>0</v>
      </c>
      <c r="BS473" s="12">
        <f t="shared" si="799"/>
        <v>0</v>
      </c>
      <c r="BT473" s="12">
        <f t="shared" si="799"/>
        <v>0</v>
      </c>
      <c r="BU473" s="12">
        <f t="shared" si="799"/>
        <v>0</v>
      </c>
      <c r="BV473" s="12">
        <f t="shared" si="799"/>
        <v>0</v>
      </c>
      <c r="BW473" s="12">
        <f t="shared" si="799"/>
        <v>0</v>
      </c>
      <c r="BX473" s="12">
        <f t="shared" si="799"/>
        <v>0</v>
      </c>
      <c r="BY473" s="12">
        <f t="shared" si="799"/>
        <v>0</v>
      </c>
      <c r="BZ473" s="12">
        <f t="shared" si="799"/>
        <v>0</v>
      </c>
      <c r="CA473" s="12">
        <f t="shared" si="799"/>
        <v>0</v>
      </c>
      <c r="CB473" s="12">
        <f t="shared" si="799"/>
        <v>0</v>
      </c>
      <c r="CC473" s="12">
        <f t="shared" si="799"/>
        <v>0</v>
      </c>
      <c r="CD473" s="12">
        <f t="shared" si="799"/>
        <v>0</v>
      </c>
      <c r="CE473" s="12">
        <f t="shared" si="799"/>
        <v>0</v>
      </c>
      <c r="CF473" s="12">
        <f t="shared" si="799"/>
        <v>0</v>
      </c>
      <c r="CG473" s="12">
        <f t="shared" si="799"/>
        <v>0</v>
      </c>
      <c r="CH473" s="12">
        <f t="shared" si="799"/>
        <v>0</v>
      </c>
      <c r="CI473" s="12">
        <f t="shared" si="799"/>
        <v>0</v>
      </c>
      <c r="CJ473" s="12">
        <f t="shared" si="799"/>
        <v>0</v>
      </c>
      <c r="CK473" s="12">
        <f t="shared" si="799"/>
        <v>0</v>
      </c>
      <c r="CL473" s="12">
        <f t="shared" si="799"/>
        <v>0</v>
      </c>
      <c r="CM473" s="12">
        <f t="shared" si="799"/>
        <v>0</v>
      </c>
      <c r="CN473" s="12">
        <f t="shared" si="799"/>
        <v>0</v>
      </c>
      <c r="CO473" s="12">
        <f t="shared" si="799"/>
        <v>0</v>
      </c>
      <c r="CP473" s="12">
        <f t="shared" si="799"/>
        <v>0</v>
      </c>
      <c r="CQ473" s="12">
        <f t="shared" si="799"/>
        <v>0</v>
      </c>
      <c r="CR473" s="12">
        <f t="shared" si="799"/>
        <v>0</v>
      </c>
      <c r="CS473" s="12">
        <f t="shared" si="799"/>
        <v>0</v>
      </c>
      <c r="CT473" s="12">
        <f t="shared" si="799"/>
        <v>0</v>
      </c>
      <c r="CU473" s="12">
        <f t="shared" si="799"/>
        <v>0</v>
      </c>
      <c r="CV473" s="12">
        <f t="shared" si="799"/>
        <v>0</v>
      </c>
    </row>
    <row r="474" spans="1:100" ht="12.75" outlineLevel="2" x14ac:dyDescent="0.2">
      <c r="E474" s="12" t="str">
        <f t="shared" ref="E474:AJ474" si="800" xml:space="preserve"> E$464</f>
        <v>Shareholder loan interest paid POS</v>
      </c>
      <c r="F474" s="12">
        <f t="shared" si="800"/>
        <v>0</v>
      </c>
      <c r="G474" s="12" t="str">
        <f t="shared" si="800"/>
        <v>$ 000s</v>
      </c>
      <c r="H474" s="12">
        <f t="shared" si="800"/>
        <v>209529.209635665</v>
      </c>
      <c r="I474" s="12">
        <f t="shared" si="800"/>
        <v>0</v>
      </c>
      <c r="J474" s="12">
        <f t="shared" si="800"/>
        <v>0</v>
      </c>
      <c r="K474" s="12">
        <f t="shared" si="800"/>
        <v>0</v>
      </c>
      <c r="L474" s="12">
        <f t="shared" si="800"/>
        <v>0</v>
      </c>
      <c r="M474" s="12">
        <f t="shared" si="800"/>
        <v>0</v>
      </c>
      <c r="N474" s="12">
        <f t="shared" si="800"/>
        <v>0</v>
      </c>
      <c r="O474" s="12">
        <f t="shared" si="800"/>
        <v>4958.439672321485</v>
      </c>
      <c r="P474" s="12">
        <f t="shared" si="800"/>
        <v>4419.0608948077006</v>
      </c>
      <c r="Q474" s="12">
        <f t="shared" si="800"/>
        <v>4431.5253604270329</v>
      </c>
      <c r="R474" s="12">
        <f t="shared" si="800"/>
        <v>4391.093891938297</v>
      </c>
      <c r="S474" s="12">
        <f t="shared" si="800"/>
        <v>4403.1380347567629</v>
      </c>
      <c r="T474" s="12">
        <f t="shared" si="800"/>
        <v>4355.3526856522458</v>
      </c>
      <c r="U474" s="12">
        <f t="shared" si="800"/>
        <v>4382.0081370400603</v>
      </c>
      <c r="V474" s="12">
        <f t="shared" si="800"/>
        <v>4347.3986771604377</v>
      </c>
      <c r="W474" s="12">
        <f t="shared" si="800"/>
        <v>4332.0424186494074</v>
      </c>
      <c r="X474" s="12">
        <f t="shared" si="800"/>
        <v>4305.6339209957259</v>
      </c>
      <c r="Y474" s="12">
        <f t="shared" si="800"/>
        <v>4312.4659036591293</v>
      </c>
      <c r="Z474" s="12">
        <f t="shared" si="800"/>
        <v>4272.8092009906122</v>
      </c>
      <c r="AA474" s="12">
        <f t="shared" si="800"/>
        <v>4283.115731938944</v>
      </c>
      <c r="AB474" s="12">
        <f t="shared" si="800"/>
        <v>4236.3642612251533</v>
      </c>
      <c r="AC474" s="12">
        <f t="shared" si="800"/>
        <v>4260.7817874205048</v>
      </c>
      <c r="AD474" s="12">
        <f t="shared" si="800"/>
        <v>4226.8926984581904</v>
      </c>
      <c r="AE474" s="12">
        <f t="shared" si="800"/>
        <v>4210.5566747623652</v>
      </c>
      <c r="AF474" s="12">
        <f t="shared" si="800"/>
        <v>4184.5198798179717</v>
      </c>
      <c r="AG474" s="12">
        <f t="shared" si="800"/>
        <v>4193.5196354169639</v>
      </c>
      <c r="AH474" s="12">
        <f t="shared" si="800"/>
        <v>4154.5851076482049</v>
      </c>
      <c r="AI474" s="12">
        <f t="shared" si="800"/>
        <v>4160.1690071333178</v>
      </c>
      <c r="AJ474" s="12">
        <f t="shared" si="800"/>
        <v>4114.5867677660935</v>
      </c>
      <c r="AK474" s="12">
        <f t="shared" ref="AK474:BP474" si="801" xml:space="preserve"> AK$464</f>
        <v>4136.8167660469644</v>
      </c>
      <c r="AL474" s="12">
        <f t="shared" si="801"/>
        <v>4103.793740913763</v>
      </c>
      <c r="AM474" s="12">
        <f t="shared" si="801"/>
        <v>4086.5915922280165</v>
      </c>
      <c r="AN474" s="12">
        <f t="shared" si="801"/>
        <v>4061.0374088608005</v>
      </c>
      <c r="AO474" s="12">
        <f t="shared" si="801"/>
        <v>4068.3871290318584</v>
      </c>
      <c r="AP474" s="12">
        <f t="shared" si="801"/>
        <v>4030.4248647182721</v>
      </c>
      <c r="AQ474" s="12">
        <f t="shared" si="801"/>
        <v>4037.3447391668196</v>
      </c>
      <c r="AR474" s="12">
        <f t="shared" si="801"/>
        <v>3992.8547991747637</v>
      </c>
      <c r="AS474" s="12">
        <f t="shared" si="801"/>
        <v>4012.8195573263183</v>
      </c>
      <c r="AT474" s="12">
        <f t="shared" si="801"/>
        <v>3980.2686518909049</v>
      </c>
      <c r="AU474" s="12">
        <f t="shared" si="801"/>
        <v>8821.7245186193904</v>
      </c>
      <c r="AV474" s="12">
        <f t="shared" si="801"/>
        <v>8743.9212089990451</v>
      </c>
      <c r="AW474" s="12">
        <f t="shared" si="801"/>
        <v>9987.6941905636468</v>
      </c>
      <c r="AX474" s="12">
        <f t="shared" si="801"/>
        <v>9770.4895641548992</v>
      </c>
      <c r="AY474" s="12">
        <f t="shared" si="801"/>
        <v>9549.0318421243355</v>
      </c>
      <c r="AZ474" s="12">
        <f t="shared" si="801"/>
        <v>9314.507238305725</v>
      </c>
      <c r="BA474" s="12">
        <f t="shared" si="801"/>
        <v>9074.6492789060685</v>
      </c>
      <c r="BB474" s="12">
        <f t="shared" si="801"/>
        <v>8820.7921946468232</v>
      </c>
      <c r="BC474" s="12">
        <f t="shared" si="801"/>
        <v>0</v>
      </c>
      <c r="BD474" s="12">
        <f t="shared" si="801"/>
        <v>0</v>
      </c>
      <c r="BE474" s="12">
        <f t="shared" si="801"/>
        <v>0</v>
      </c>
      <c r="BF474" s="12">
        <f t="shared" si="801"/>
        <v>0</v>
      </c>
      <c r="BG474" s="12">
        <f t="shared" si="801"/>
        <v>0</v>
      </c>
      <c r="BH474" s="12">
        <f t="shared" si="801"/>
        <v>0</v>
      </c>
      <c r="BI474" s="12">
        <f t="shared" si="801"/>
        <v>0</v>
      </c>
      <c r="BJ474" s="12">
        <f t="shared" si="801"/>
        <v>0</v>
      </c>
      <c r="BK474" s="12">
        <f t="shared" si="801"/>
        <v>0</v>
      </c>
      <c r="BL474" s="12">
        <f t="shared" si="801"/>
        <v>0</v>
      </c>
      <c r="BM474" s="12">
        <f t="shared" si="801"/>
        <v>0</v>
      </c>
      <c r="BN474" s="12">
        <f t="shared" si="801"/>
        <v>0</v>
      </c>
      <c r="BO474" s="12">
        <f t="shared" si="801"/>
        <v>0</v>
      </c>
      <c r="BP474" s="12">
        <f t="shared" si="801"/>
        <v>0</v>
      </c>
      <c r="BQ474" s="12">
        <f t="shared" ref="BQ474:CV474" si="802" xml:space="preserve"> BQ$464</f>
        <v>0</v>
      </c>
      <c r="BR474" s="12">
        <f t="shared" si="802"/>
        <v>0</v>
      </c>
      <c r="BS474" s="12">
        <f t="shared" si="802"/>
        <v>0</v>
      </c>
      <c r="BT474" s="12">
        <f t="shared" si="802"/>
        <v>0</v>
      </c>
      <c r="BU474" s="12">
        <f t="shared" si="802"/>
        <v>0</v>
      </c>
      <c r="BV474" s="12">
        <f t="shared" si="802"/>
        <v>0</v>
      </c>
      <c r="BW474" s="12">
        <f t="shared" si="802"/>
        <v>0</v>
      </c>
      <c r="BX474" s="12">
        <f t="shared" si="802"/>
        <v>0</v>
      </c>
      <c r="BY474" s="12">
        <f t="shared" si="802"/>
        <v>0</v>
      </c>
      <c r="BZ474" s="12">
        <f t="shared" si="802"/>
        <v>0</v>
      </c>
      <c r="CA474" s="12">
        <f t="shared" si="802"/>
        <v>0</v>
      </c>
      <c r="CB474" s="12">
        <f t="shared" si="802"/>
        <v>0</v>
      </c>
      <c r="CC474" s="12">
        <f t="shared" si="802"/>
        <v>0</v>
      </c>
      <c r="CD474" s="12">
        <f t="shared" si="802"/>
        <v>0</v>
      </c>
      <c r="CE474" s="12">
        <f t="shared" si="802"/>
        <v>0</v>
      </c>
      <c r="CF474" s="12">
        <f t="shared" si="802"/>
        <v>0</v>
      </c>
      <c r="CG474" s="12">
        <f t="shared" si="802"/>
        <v>0</v>
      </c>
      <c r="CH474" s="12">
        <f t="shared" si="802"/>
        <v>0</v>
      </c>
      <c r="CI474" s="12">
        <f t="shared" si="802"/>
        <v>0</v>
      </c>
      <c r="CJ474" s="12">
        <f t="shared" si="802"/>
        <v>0</v>
      </c>
      <c r="CK474" s="12">
        <f t="shared" si="802"/>
        <v>0</v>
      </c>
      <c r="CL474" s="12">
        <f t="shared" si="802"/>
        <v>0</v>
      </c>
      <c r="CM474" s="12">
        <f t="shared" si="802"/>
        <v>0</v>
      </c>
      <c r="CN474" s="12">
        <f t="shared" si="802"/>
        <v>0</v>
      </c>
      <c r="CO474" s="12">
        <f t="shared" si="802"/>
        <v>0</v>
      </c>
      <c r="CP474" s="12">
        <f t="shared" si="802"/>
        <v>0</v>
      </c>
      <c r="CQ474" s="12">
        <f t="shared" si="802"/>
        <v>0</v>
      </c>
      <c r="CR474" s="12">
        <f t="shared" si="802"/>
        <v>0</v>
      </c>
      <c r="CS474" s="12">
        <f t="shared" si="802"/>
        <v>0</v>
      </c>
      <c r="CT474" s="12">
        <f t="shared" si="802"/>
        <v>0</v>
      </c>
      <c r="CU474" s="12">
        <f t="shared" si="802"/>
        <v>0</v>
      </c>
      <c r="CV474" s="12">
        <f t="shared" si="802"/>
        <v>0</v>
      </c>
    </row>
    <row r="475" spans="1:100" ht="12.75" outlineLevel="2" x14ac:dyDescent="0.2">
      <c r="E475" s="12" t="s">
        <v>350</v>
      </c>
      <c r="G475" s="12" t="str">
        <f xml:space="preserve"> SMU</f>
        <v>$ 000s</v>
      </c>
      <c r="J475" s="12">
        <f t="shared" ref="J475:AO475" si="803" xml:space="preserve"> J473 - J474</f>
        <v>0</v>
      </c>
      <c r="K475" s="12">
        <f t="shared" si="803"/>
        <v>0</v>
      </c>
      <c r="L475" s="12">
        <f t="shared" si="803"/>
        <v>0</v>
      </c>
      <c r="M475" s="12">
        <f t="shared" si="803"/>
        <v>0</v>
      </c>
      <c r="N475" s="12">
        <f t="shared" si="803"/>
        <v>0</v>
      </c>
      <c r="O475" s="12">
        <f t="shared" si="803"/>
        <v>0</v>
      </c>
      <c r="P475" s="12">
        <f t="shared" si="803"/>
        <v>0</v>
      </c>
      <c r="Q475" s="12">
        <f t="shared" si="803"/>
        <v>0</v>
      </c>
      <c r="R475" s="12">
        <f t="shared" si="803"/>
        <v>0</v>
      </c>
      <c r="S475" s="12">
        <f t="shared" si="803"/>
        <v>0</v>
      </c>
      <c r="T475" s="12">
        <f t="shared" si="803"/>
        <v>0</v>
      </c>
      <c r="U475" s="12">
        <f t="shared" si="803"/>
        <v>0</v>
      </c>
      <c r="V475" s="12">
        <f t="shared" si="803"/>
        <v>0</v>
      </c>
      <c r="W475" s="12">
        <f t="shared" si="803"/>
        <v>0</v>
      </c>
      <c r="X475" s="12">
        <f t="shared" si="803"/>
        <v>0</v>
      </c>
      <c r="Y475" s="12">
        <f t="shared" si="803"/>
        <v>0</v>
      </c>
      <c r="Z475" s="12">
        <f t="shared" si="803"/>
        <v>0</v>
      </c>
      <c r="AA475" s="12">
        <f t="shared" si="803"/>
        <v>0</v>
      </c>
      <c r="AB475" s="12">
        <f t="shared" si="803"/>
        <v>0</v>
      </c>
      <c r="AC475" s="12">
        <f t="shared" si="803"/>
        <v>0</v>
      </c>
      <c r="AD475" s="12">
        <f t="shared" si="803"/>
        <v>0</v>
      </c>
      <c r="AE475" s="12">
        <f t="shared" si="803"/>
        <v>0</v>
      </c>
      <c r="AF475" s="12">
        <f t="shared" si="803"/>
        <v>0</v>
      </c>
      <c r="AG475" s="12">
        <f t="shared" si="803"/>
        <v>0</v>
      </c>
      <c r="AH475" s="12">
        <f t="shared" si="803"/>
        <v>0</v>
      </c>
      <c r="AI475" s="12">
        <f t="shared" si="803"/>
        <v>0</v>
      </c>
      <c r="AJ475" s="12">
        <f t="shared" si="803"/>
        <v>0</v>
      </c>
      <c r="AK475" s="12">
        <f t="shared" si="803"/>
        <v>0</v>
      </c>
      <c r="AL475" s="12">
        <f t="shared" si="803"/>
        <v>0</v>
      </c>
      <c r="AM475" s="12">
        <f t="shared" si="803"/>
        <v>0</v>
      </c>
      <c r="AN475" s="12">
        <f t="shared" si="803"/>
        <v>0</v>
      </c>
      <c r="AO475" s="12">
        <f t="shared" si="803"/>
        <v>0</v>
      </c>
      <c r="AP475" s="12">
        <f t="shared" ref="AP475:BU475" si="804" xml:space="preserve"> AP473 - AP474</f>
        <v>0</v>
      </c>
      <c r="AQ475" s="12">
        <f t="shared" si="804"/>
        <v>0</v>
      </c>
      <c r="AR475" s="12">
        <f t="shared" si="804"/>
        <v>0</v>
      </c>
      <c r="AS475" s="12">
        <f t="shared" si="804"/>
        <v>0</v>
      </c>
      <c r="AT475" s="12">
        <f t="shared" si="804"/>
        <v>0</v>
      </c>
      <c r="AU475" s="12">
        <f t="shared" si="804"/>
        <v>0</v>
      </c>
      <c r="AV475" s="12">
        <f t="shared" si="804"/>
        <v>0</v>
      </c>
      <c r="AW475" s="12">
        <f t="shared" si="804"/>
        <v>3620.0771068124504</v>
      </c>
      <c r="AX475" s="12">
        <f t="shared" si="804"/>
        <v>3690.9620338427376</v>
      </c>
      <c r="AY475" s="12">
        <f t="shared" si="804"/>
        <v>3908.7433969768135</v>
      </c>
      <c r="AZ475" s="12">
        <f t="shared" si="804"/>
        <v>3997.6326566609459</v>
      </c>
      <c r="BA475" s="12">
        <f t="shared" si="804"/>
        <v>4230.9514043207746</v>
      </c>
      <c r="BB475" s="12">
        <f t="shared" si="804"/>
        <v>7625.1675688111136</v>
      </c>
      <c r="BC475" s="12">
        <f t="shared" si="804"/>
        <v>0</v>
      </c>
      <c r="BD475" s="12">
        <f t="shared" si="804"/>
        <v>0</v>
      </c>
      <c r="BE475" s="12">
        <f t="shared" si="804"/>
        <v>0</v>
      </c>
      <c r="BF475" s="12">
        <f t="shared" si="804"/>
        <v>0</v>
      </c>
      <c r="BG475" s="12">
        <f t="shared" si="804"/>
        <v>0</v>
      </c>
      <c r="BH475" s="12">
        <f t="shared" si="804"/>
        <v>0</v>
      </c>
      <c r="BI475" s="12">
        <f t="shared" si="804"/>
        <v>0</v>
      </c>
      <c r="BJ475" s="12">
        <f t="shared" si="804"/>
        <v>0</v>
      </c>
      <c r="BK475" s="12">
        <f t="shared" si="804"/>
        <v>0</v>
      </c>
      <c r="BL475" s="12">
        <f t="shared" si="804"/>
        <v>0</v>
      </c>
      <c r="BM475" s="12">
        <f t="shared" si="804"/>
        <v>0</v>
      </c>
      <c r="BN475" s="12">
        <f t="shared" si="804"/>
        <v>0</v>
      </c>
      <c r="BO475" s="12">
        <f t="shared" si="804"/>
        <v>0</v>
      </c>
      <c r="BP475" s="12">
        <f t="shared" si="804"/>
        <v>0</v>
      </c>
      <c r="BQ475" s="12">
        <f t="shared" si="804"/>
        <v>0</v>
      </c>
      <c r="BR475" s="12">
        <f t="shared" si="804"/>
        <v>0</v>
      </c>
      <c r="BS475" s="12">
        <f t="shared" si="804"/>
        <v>0</v>
      </c>
      <c r="BT475" s="12">
        <f t="shared" si="804"/>
        <v>0</v>
      </c>
      <c r="BU475" s="12">
        <f t="shared" si="804"/>
        <v>0</v>
      </c>
      <c r="BV475" s="12">
        <f t="shared" ref="BV475:CV475" si="805" xml:space="preserve"> BV473 - BV474</f>
        <v>0</v>
      </c>
      <c r="BW475" s="12">
        <f t="shared" si="805"/>
        <v>0</v>
      </c>
      <c r="BX475" s="12">
        <f t="shared" si="805"/>
        <v>0</v>
      </c>
      <c r="BY475" s="12">
        <f t="shared" si="805"/>
        <v>0</v>
      </c>
      <c r="BZ475" s="12">
        <f t="shared" si="805"/>
        <v>0</v>
      </c>
      <c r="CA475" s="12">
        <f t="shared" si="805"/>
        <v>0</v>
      </c>
      <c r="CB475" s="12">
        <f t="shared" si="805"/>
        <v>0</v>
      </c>
      <c r="CC475" s="12">
        <f t="shared" si="805"/>
        <v>0</v>
      </c>
      <c r="CD475" s="12">
        <f t="shared" si="805"/>
        <v>0</v>
      </c>
      <c r="CE475" s="12">
        <f t="shared" si="805"/>
        <v>0</v>
      </c>
      <c r="CF475" s="12">
        <f t="shared" si="805"/>
        <v>0</v>
      </c>
      <c r="CG475" s="12">
        <f t="shared" si="805"/>
        <v>0</v>
      </c>
      <c r="CH475" s="12">
        <f t="shared" si="805"/>
        <v>0</v>
      </c>
      <c r="CI475" s="12">
        <f t="shared" si="805"/>
        <v>0</v>
      </c>
      <c r="CJ475" s="12">
        <f t="shared" si="805"/>
        <v>0</v>
      </c>
      <c r="CK475" s="12">
        <f t="shared" si="805"/>
        <v>0</v>
      </c>
      <c r="CL475" s="12">
        <f t="shared" si="805"/>
        <v>0</v>
      </c>
      <c r="CM475" s="12">
        <f t="shared" si="805"/>
        <v>0</v>
      </c>
      <c r="CN475" s="12">
        <f t="shared" si="805"/>
        <v>0</v>
      </c>
      <c r="CO475" s="12">
        <f t="shared" si="805"/>
        <v>0</v>
      </c>
      <c r="CP475" s="12">
        <f t="shared" si="805"/>
        <v>0</v>
      </c>
      <c r="CQ475" s="12">
        <f t="shared" si="805"/>
        <v>0</v>
      </c>
      <c r="CR475" s="12">
        <f t="shared" si="805"/>
        <v>0</v>
      </c>
      <c r="CS475" s="12">
        <f t="shared" si="805"/>
        <v>0</v>
      </c>
      <c r="CT475" s="12">
        <f t="shared" si="805"/>
        <v>0</v>
      </c>
      <c r="CU475" s="12">
        <f t="shared" si="805"/>
        <v>0</v>
      </c>
      <c r="CV475" s="12">
        <f t="shared" si="805"/>
        <v>0</v>
      </c>
    </row>
    <row r="476" spans="1:100" ht="12.75" outlineLevel="2" x14ac:dyDescent="0.2"/>
    <row r="477" spans="1:100" ht="12.75" outlineLevel="2" x14ac:dyDescent="0.2">
      <c r="E477" s="12" t="str">
        <f t="shared" ref="E477:AJ477" si="806" xml:space="preserve"> E$483</f>
        <v>Shareholder loan balance BEG</v>
      </c>
      <c r="F477" s="12">
        <f t="shared" si="806"/>
        <v>0</v>
      </c>
      <c r="G477" s="12" t="str">
        <f t="shared" si="806"/>
        <v>$ 000s</v>
      </c>
      <c r="H477" s="12">
        <f t="shared" si="806"/>
        <v>0</v>
      </c>
      <c r="I477" s="12">
        <f t="shared" si="806"/>
        <v>0</v>
      </c>
      <c r="J477" s="12">
        <f t="shared" si="806"/>
        <v>0</v>
      </c>
      <c r="K477" s="12">
        <f t="shared" si="806"/>
        <v>0</v>
      </c>
      <c r="L477" s="12">
        <f t="shared" si="806"/>
        <v>0</v>
      </c>
      <c r="M477" s="12">
        <f t="shared" si="806"/>
        <v>0</v>
      </c>
      <c r="N477" s="12">
        <f t="shared" si="806"/>
        <v>0</v>
      </c>
      <c r="O477" s="12">
        <f t="shared" si="806"/>
        <v>86318.253106861201</v>
      </c>
      <c r="P477" s="12">
        <f t="shared" si="806"/>
        <v>86538.908620951392</v>
      </c>
      <c r="Q477" s="12">
        <f t="shared" si="806"/>
        <v>87312.182243400777</v>
      </c>
      <c r="R477" s="12">
        <f t="shared" si="806"/>
        <v>88119.387817577794</v>
      </c>
      <c r="S477" s="12">
        <f t="shared" si="806"/>
        <v>89015.457194694158</v>
      </c>
      <c r="T477" s="12">
        <f t="shared" si="806"/>
        <v>89953.246591619041</v>
      </c>
      <c r="U477" s="12">
        <f t="shared" si="806"/>
        <v>90995.088701463945</v>
      </c>
      <c r="V477" s="12">
        <f t="shared" si="806"/>
        <v>92072.785886511716</v>
      </c>
      <c r="W477" s="12">
        <f t="shared" si="806"/>
        <v>93249.754362541978</v>
      </c>
      <c r="X477" s="12">
        <f t="shared" si="806"/>
        <v>94512.69720564509</v>
      </c>
      <c r="Y477" s="12">
        <f t="shared" si="806"/>
        <v>95877.825116988068</v>
      </c>
      <c r="Z477" s="12">
        <f t="shared" si="806"/>
        <v>97318.028720348229</v>
      </c>
      <c r="AA477" s="12">
        <f t="shared" si="806"/>
        <v>98884.301242578513</v>
      </c>
      <c r="AB477" s="12">
        <f t="shared" si="806"/>
        <v>100534.24358519429</v>
      </c>
      <c r="AC477" s="12">
        <f t="shared" si="806"/>
        <v>102329.93393908079</v>
      </c>
      <c r="AD477" s="12">
        <f t="shared" si="806"/>
        <v>104208.94818800513</v>
      </c>
      <c r="AE477" s="12">
        <f t="shared" si="806"/>
        <v>106234.59238082725</v>
      </c>
      <c r="AF477" s="12">
        <f t="shared" si="806"/>
        <v>108398.11124891452</v>
      </c>
      <c r="AG477" s="12">
        <f t="shared" si="806"/>
        <v>110717.47804403142</v>
      </c>
      <c r="AH477" s="12">
        <f t="shared" si="806"/>
        <v>113167.00709125634</v>
      </c>
      <c r="AI477" s="12">
        <f t="shared" si="806"/>
        <v>115802.44240908351</v>
      </c>
      <c r="AJ477" s="12">
        <f t="shared" si="806"/>
        <v>118590.4199464952</v>
      </c>
      <c r="AK477" s="12">
        <f t="shared" ref="AK477:BP477" si="807" xml:space="preserve"> AK$483</f>
        <v>121591.25837551881</v>
      </c>
      <c r="AL477" s="12">
        <f t="shared" si="807"/>
        <v>124749.91711200298</v>
      </c>
      <c r="AM477" s="12">
        <f t="shared" si="807"/>
        <v>128131.11839780939</v>
      </c>
      <c r="AN477" s="12">
        <f t="shared" si="807"/>
        <v>131732.39390944995</v>
      </c>
      <c r="AO477" s="12">
        <f t="shared" si="807"/>
        <v>135575.30013515614</v>
      </c>
      <c r="AP477" s="12">
        <f t="shared" si="807"/>
        <v>139641.43101423365</v>
      </c>
      <c r="AQ477" s="12">
        <f t="shared" si="807"/>
        <v>143989.4920103694</v>
      </c>
      <c r="AR477" s="12">
        <f t="shared" si="807"/>
        <v>148591.51679182475</v>
      </c>
      <c r="AS477" s="12">
        <f t="shared" si="807"/>
        <v>153514.15300015948</v>
      </c>
      <c r="AT477" s="12">
        <f t="shared" si="807"/>
        <v>158712.18262284272</v>
      </c>
      <c r="AU477" s="12">
        <f t="shared" si="807"/>
        <v>164254.64492832238</v>
      </c>
      <c r="AV477" s="12">
        <f t="shared" si="807"/>
        <v>165288.19910540234</v>
      </c>
      <c r="AW477" s="12">
        <f t="shared" si="807"/>
        <v>166461.56984272745</v>
      </c>
      <c r="AX477" s="12">
        <f t="shared" si="807"/>
        <v>162841.492735915</v>
      </c>
      <c r="AY477" s="12">
        <f t="shared" si="807"/>
        <v>159150.53070207225</v>
      </c>
      <c r="AZ477" s="12">
        <f t="shared" si="807"/>
        <v>155241.78730509544</v>
      </c>
      <c r="BA477" s="12">
        <f t="shared" si="807"/>
        <v>151244.15464843449</v>
      </c>
      <c r="BB477" s="12">
        <f t="shared" si="807"/>
        <v>147013.20324411371</v>
      </c>
      <c r="BC477" s="12">
        <f t="shared" si="807"/>
        <v>139388.03567530261</v>
      </c>
      <c r="BD477" s="12">
        <f t="shared" si="807"/>
        <v>139388.03567530261</v>
      </c>
      <c r="BE477" s="12">
        <f t="shared" si="807"/>
        <v>139388.03567530261</v>
      </c>
      <c r="BF477" s="12">
        <f t="shared" si="807"/>
        <v>139388.03567530261</v>
      </c>
      <c r="BG477" s="12">
        <f t="shared" si="807"/>
        <v>139388.03567530261</v>
      </c>
      <c r="BH477" s="12">
        <f t="shared" si="807"/>
        <v>139388.03567530261</v>
      </c>
      <c r="BI477" s="12">
        <f t="shared" si="807"/>
        <v>139388.03567530261</v>
      </c>
      <c r="BJ477" s="12">
        <f t="shared" si="807"/>
        <v>139388.03567530261</v>
      </c>
      <c r="BK477" s="12">
        <f t="shared" si="807"/>
        <v>139388.03567530261</v>
      </c>
      <c r="BL477" s="12">
        <f t="shared" si="807"/>
        <v>139388.03567530261</v>
      </c>
      <c r="BM477" s="12">
        <f t="shared" si="807"/>
        <v>139388.03567530261</v>
      </c>
      <c r="BN477" s="12">
        <f t="shared" si="807"/>
        <v>139388.03567530261</v>
      </c>
      <c r="BO477" s="12">
        <f t="shared" si="807"/>
        <v>139388.03567530261</v>
      </c>
      <c r="BP477" s="12">
        <f t="shared" si="807"/>
        <v>139388.03567530261</v>
      </c>
      <c r="BQ477" s="12">
        <f t="shared" ref="BQ477:CV477" si="808" xml:space="preserve"> BQ$483</f>
        <v>139388.03567530261</v>
      </c>
      <c r="BR477" s="12">
        <f t="shared" si="808"/>
        <v>139388.03567530261</v>
      </c>
      <c r="BS477" s="12">
        <f t="shared" si="808"/>
        <v>139388.03567530261</v>
      </c>
      <c r="BT477" s="12">
        <f t="shared" si="808"/>
        <v>139388.03567530261</v>
      </c>
      <c r="BU477" s="12">
        <f t="shared" si="808"/>
        <v>139388.03567530261</v>
      </c>
      <c r="BV477" s="12">
        <f t="shared" si="808"/>
        <v>139388.03567530261</v>
      </c>
      <c r="BW477" s="12">
        <f t="shared" si="808"/>
        <v>139388.03567530261</v>
      </c>
      <c r="BX477" s="12">
        <f t="shared" si="808"/>
        <v>139388.03567530261</v>
      </c>
      <c r="BY477" s="12">
        <f t="shared" si="808"/>
        <v>139388.03567530261</v>
      </c>
      <c r="BZ477" s="12">
        <f t="shared" si="808"/>
        <v>139388.03567530261</v>
      </c>
      <c r="CA477" s="12">
        <f t="shared" si="808"/>
        <v>139388.03567530261</v>
      </c>
      <c r="CB477" s="12">
        <f t="shared" si="808"/>
        <v>139388.03567530261</v>
      </c>
      <c r="CC477" s="12">
        <f t="shared" si="808"/>
        <v>139388.03567530261</v>
      </c>
      <c r="CD477" s="12">
        <f t="shared" si="808"/>
        <v>139388.03567530261</v>
      </c>
      <c r="CE477" s="12">
        <f t="shared" si="808"/>
        <v>139388.03567530261</v>
      </c>
      <c r="CF477" s="12">
        <f t="shared" si="808"/>
        <v>139388.03567530261</v>
      </c>
      <c r="CG477" s="12">
        <f t="shared" si="808"/>
        <v>139388.03567530261</v>
      </c>
      <c r="CH477" s="12">
        <f t="shared" si="808"/>
        <v>139388.03567530261</v>
      </c>
      <c r="CI477" s="12">
        <f t="shared" si="808"/>
        <v>139388.03567530261</v>
      </c>
      <c r="CJ477" s="12">
        <f t="shared" si="808"/>
        <v>139388.03567530261</v>
      </c>
      <c r="CK477" s="12">
        <f t="shared" si="808"/>
        <v>139388.03567530261</v>
      </c>
      <c r="CL477" s="12">
        <f t="shared" si="808"/>
        <v>139388.03567530261</v>
      </c>
      <c r="CM477" s="12">
        <f t="shared" si="808"/>
        <v>139388.03567530261</v>
      </c>
      <c r="CN477" s="12">
        <f t="shared" si="808"/>
        <v>139388.03567530261</v>
      </c>
      <c r="CO477" s="12">
        <f t="shared" si="808"/>
        <v>139388.03567530261</v>
      </c>
      <c r="CP477" s="12">
        <f t="shared" si="808"/>
        <v>139388.03567530261</v>
      </c>
      <c r="CQ477" s="12">
        <f t="shared" si="808"/>
        <v>139388.03567530261</v>
      </c>
      <c r="CR477" s="12">
        <f t="shared" si="808"/>
        <v>139388.03567530261</v>
      </c>
      <c r="CS477" s="12">
        <f t="shared" si="808"/>
        <v>139388.03567530261</v>
      </c>
      <c r="CT477" s="12">
        <f t="shared" si="808"/>
        <v>139388.03567530261</v>
      </c>
      <c r="CU477" s="12">
        <f t="shared" si="808"/>
        <v>139388.03567530261</v>
      </c>
      <c r="CV477" s="12">
        <f t="shared" si="808"/>
        <v>139388.03567530261</v>
      </c>
    </row>
    <row r="478" spans="1:100" ht="12.75" outlineLevel="2" x14ac:dyDescent="0.2">
      <c r="E478" s="12" t="str">
        <f t="shared" ref="E478:AJ478" si="809" xml:space="preserve"> E$475</f>
        <v>Cash availble for shareholder loan repayment</v>
      </c>
      <c r="F478" s="12">
        <f t="shared" si="809"/>
        <v>0</v>
      </c>
      <c r="G478" s="12" t="str">
        <f t="shared" si="809"/>
        <v>$ 000s</v>
      </c>
      <c r="H478" s="12">
        <f t="shared" si="809"/>
        <v>0</v>
      </c>
      <c r="I478" s="12">
        <f t="shared" si="809"/>
        <v>0</v>
      </c>
      <c r="J478" s="12">
        <f t="shared" si="809"/>
        <v>0</v>
      </c>
      <c r="K478" s="12">
        <f t="shared" si="809"/>
        <v>0</v>
      </c>
      <c r="L478" s="12">
        <f t="shared" si="809"/>
        <v>0</v>
      </c>
      <c r="M478" s="12">
        <f t="shared" si="809"/>
        <v>0</v>
      </c>
      <c r="N478" s="12">
        <f t="shared" si="809"/>
        <v>0</v>
      </c>
      <c r="O478" s="12">
        <f t="shared" si="809"/>
        <v>0</v>
      </c>
      <c r="P478" s="12">
        <f t="shared" si="809"/>
        <v>0</v>
      </c>
      <c r="Q478" s="12">
        <f t="shared" si="809"/>
        <v>0</v>
      </c>
      <c r="R478" s="12">
        <f t="shared" si="809"/>
        <v>0</v>
      </c>
      <c r="S478" s="12">
        <f t="shared" si="809"/>
        <v>0</v>
      </c>
      <c r="T478" s="12">
        <f t="shared" si="809"/>
        <v>0</v>
      </c>
      <c r="U478" s="12">
        <f t="shared" si="809"/>
        <v>0</v>
      </c>
      <c r="V478" s="12">
        <f t="shared" si="809"/>
        <v>0</v>
      </c>
      <c r="W478" s="12">
        <f t="shared" si="809"/>
        <v>0</v>
      </c>
      <c r="X478" s="12">
        <f t="shared" si="809"/>
        <v>0</v>
      </c>
      <c r="Y478" s="12">
        <f t="shared" si="809"/>
        <v>0</v>
      </c>
      <c r="Z478" s="12">
        <f t="shared" si="809"/>
        <v>0</v>
      </c>
      <c r="AA478" s="12">
        <f t="shared" si="809"/>
        <v>0</v>
      </c>
      <c r="AB478" s="12">
        <f t="shared" si="809"/>
        <v>0</v>
      </c>
      <c r="AC478" s="12">
        <f t="shared" si="809"/>
        <v>0</v>
      </c>
      <c r="AD478" s="12">
        <f t="shared" si="809"/>
        <v>0</v>
      </c>
      <c r="AE478" s="12">
        <f t="shared" si="809"/>
        <v>0</v>
      </c>
      <c r="AF478" s="12">
        <f t="shared" si="809"/>
        <v>0</v>
      </c>
      <c r="AG478" s="12">
        <f t="shared" si="809"/>
        <v>0</v>
      </c>
      <c r="AH478" s="12">
        <f t="shared" si="809"/>
        <v>0</v>
      </c>
      <c r="AI478" s="12">
        <f t="shared" si="809"/>
        <v>0</v>
      </c>
      <c r="AJ478" s="12">
        <f t="shared" si="809"/>
        <v>0</v>
      </c>
      <c r="AK478" s="12">
        <f t="shared" ref="AK478:BP478" si="810" xml:space="preserve"> AK$475</f>
        <v>0</v>
      </c>
      <c r="AL478" s="12">
        <f t="shared" si="810"/>
        <v>0</v>
      </c>
      <c r="AM478" s="12">
        <f t="shared" si="810"/>
        <v>0</v>
      </c>
      <c r="AN478" s="12">
        <f t="shared" si="810"/>
        <v>0</v>
      </c>
      <c r="AO478" s="12">
        <f t="shared" si="810"/>
        <v>0</v>
      </c>
      <c r="AP478" s="12">
        <f t="shared" si="810"/>
        <v>0</v>
      </c>
      <c r="AQ478" s="12">
        <f t="shared" si="810"/>
        <v>0</v>
      </c>
      <c r="AR478" s="12">
        <f t="shared" si="810"/>
        <v>0</v>
      </c>
      <c r="AS478" s="12">
        <f t="shared" si="810"/>
        <v>0</v>
      </c>
      <c r="AT478" s="12">
        <f t="shared" si="810"/>
        <v>0</v>
      </c>
      <c r="AU478" s="12">
        <f t="shared" si="810"/>
        <v>0</v>
      </c>
      <c r="AV478" s="12">
        <f t="shared" si="810"/>
        <v>0</v>
      </c>
      <c r="AW478" s="12">
        <f t="shared" si="810"/>
        <v>3620.0771068124504</v>
      </c>
      <c r="AX478" s="12">
        <f t="shared" si="810"/>
        <v>3690.9620338427376</v>
      </c>
      <c r="AY478" s="12">
        <f t="shared" si="810"/>
        <v>3908.7433969768135</v>
      </c>
      <c r="AZ478" s="12">
        <f t="shared" si="810"/>
        <v>3997.6326566609459</v>
      </c>
      <c r="BA478" s="12">
        <f t="shared" si="810"/>
        <v>4230.9514043207746</v>
      </c>
      <c r="BB478" s="12">
        <f t="shared" si="810"/>
        <v>7625.1675688111136</v>
      </c>
      <c r="BC478" s="12">
        <f t="shared" si="810"/>
        <v>0</v>
      </c>
      <c r="BD478" s="12">
        <f t="shared" si="810"/>
        <v>0</v>
      </c>
      <c r="BE478" s="12">
        <f t="shared" si="810"/>
        <v>0</v>
      </c>
      <c r="BF478" s="12">
        <f t="shared" si="810"/>
        <v>0</v>
      </c>
      <c r="BG478" s="12">
        <f t="shared" si="810"/>
        <v>0</v>
      </c>
      <c r="BH478" s="12">
        <f t="shared" si="810"/>
        <v>0</v>
      </c>
      <c r="BI478" s="12">
        <f t="shared" si="810"/>
        <v>0</v>
      </c>
      <c r="BJ478" s="12">
        <f t="shared" si="810"/>
        <v>0</v>
      </c>
      <c r="BK478" s="12">
        <f t="shared" si="810"/>
        <v>0</v>
      </c>
      <c r="BL478" s="12">
        <f t="shared" si="810"/>
        <v>0</v>
      </c>
      <c r="BM478" s="12">
        <f t="shared" si="810"/>
        <v>0</v>
      </c>
      <c r="BN478" s="12">
        <f t="shared" si="810"/>
        <v>0</v>
      </c>
      <c r="BO478" s="12">
        <f t="shared" si="810"/>
        <v>0</v>
      </c>
      <c r="BP478" s="12">
        <f t="shared" si="810"/>
        <v>0</v>
      </c>
      <c r="BQ478" s="12">
        <f t="shared" ref="BQ478:CV478" si="811" xml:space="preserve"> BQ$475</f>
        <v>0</v>
      </c>
      <c r="BR478" s="12">
        <f t="shared" si="811"/>
        <v>0</v>
      </c>
      <c r="BS478" s="12">
        <f t="shared" si="811"/>
        <v>0</v>
      </c>
      <c r="BT478" s="12">
        <f t="shared" si="811"/>
        <v>0</v>
      </c>
      <c r="BU478" s="12">
        <f t="shared" si="811"/>
        <v>0</v>
      </c>
      <c r="BV478" s="12">
        <f t="shared" si="811"/>
        <v>0</v>
      </c>
      <c r="BW478" s="12">
        <f t="shared" si="811"/>
        <v>0</v>
      </c>
      <c r="BX478" s="12">
        <f t="shared" si="811"/>
        <v>0</v>
      </c>
      <c r="BY478" s="12">
        <f t="shared" si="811"/>
        <v>0</v>
      </c>
      <c r="BZ478" s="12">
        <f t="shared" si="811"/>
        <v>0</v>
      </c>
      <c r="CA478" s="12">
        <f t="shared" si="811"/>
        <v>0</v>
      </c>
      <c r="CB478" s="12">
        <f t="shared" si="811"/>
        <v>0</v>
      </c>
      <c r="CC478" s="12">
        <f t="shared" si="811"/>
        <v>0</v>
      </c>
      <c r="CD478" s="12">
        <f t="shared" si="811"/>
        <v>0</v>
      </c>
      <c r="CE478" s="12">
        <f t="shared" si="811"/>
        <v>0</v>
      </c>
      <c r="CF478" s="12">
        <f t="shared" si="811"/>
        <v>0</v>
      </c>
      <c r="CG478" s="12">
        <f t="shared" si="811"/>
        <v>0</v>
      </c>
      <c r="CH478" s="12">
        <f t="shared" si="811"/>
        <v>0</v>
      </c>
      <c r="CI478" s="12">
        <f t="shared" si="811"/>
        <v>0</v>
      </c>
      <c r="CJ478" s="12">
        <f t="shared" si="811"/>
        <v>0</v>
      </c>
      <c r="CK478" s="12">
        <f t="shared" si="811"/>
        <v>0</v>
      </c>
      <c r="CL478" s="12">
        <f t="shared" si="811"/>
        <v>0</v>
      </c>
      <c r="CM478" s="12">
        <f t="shared" si="811"/>
        <v>0</v>
      </c>
      <c r="CN478" s="12">
        <f t="shared" si="811"/>
        <v>0</v>
      </c>
      <c r="CO478" s="12">
        <f t="shared" si="811"/>
        <v>0</v>
      </c>
      <c r="CP478" s="12">
        <f t="shared" si="811"/>
        <v>0</v>
      </c>
      <c r="CQ478" s="12">
        <f t="shared" si="811"/>
        <v>0</v>
      </c>
      <c r="CR478" s="12">
        <f t="shared" si="811"/>
        <v>0</v>
      </c>
      <c r="CS478" s="12">
        <f t="shared" si="811"/>
        <v>0</v>
      </c>
      <c r="CT478" s="12">
        <f t="shared" si="811"/>
        <v>0</v>
      </c>
      <c r="CU478" s="12">
        <f t="shared" si="811"/>
        <v>0</v>
      </c>
      <c r="CV478" s="12">
        <f t="shared" si="811"/>
        <v>0</v>
      </c>
    </row>
    <row r="479" spans="1:100" s="188" customFormat="1" ht="12.75" outlineLevel="2" x14ac:dyDescent="0.2">
      <c r="A479" s="141"/>
      <c r="B479" s="141"/>
      <c r="C479" s="142"/>
      <c r="D479" s="143"/>
      <c r="E479" s="187" t="s">
        <v>351</v>
      </c>
      <c r="F479" s="187"/>
      <c r="G479" s="187" t="str">
        <f xml:space="preserve"> SMU</f>
        <v>$ 000s</v>
      </c>
      <c r="H479" s="187">
        <f xml:space="preserve"> SUM(J479:CV479)</f>
        <v>27073.534167424834</v>
      </c>
      <c r="I479" s="144"/>
      <c r="J479" s="187">
        <f t="shared" ref="J479:AO479" si="812" xml:space="preserve"> MIN(J477:J478)</f>
        <v>0</v>
      </c>
      <c r="K479" s="187">
        <f t="shared" si="812"/>
        <v>0</v>
      </c>
      <c r="L479" s="187">
        <f t="shared" si="812"/>
        <v>0</v>
      </c>
      <c r="M479" s="187">
        <f t="shared" si="812"/>
        <v>0</v>
      </c>
      <c r="N479" s="187">
        <f t="shared" si="812"/>
        <v>0</v>
      </c>
      <c r="O479" s="187">
        <f t="shared" si="812"/>
        <v>0</v>
      </c>
      <c r="P479" s="187">
        <f t="shared" si="812"/>
        <v>0</v>
      </c>
      <c r="Q479" s="187">
        <f t="shared" si="812"/>
        <v>0</v>
      </c>
      <c r="R479" s="187">
        <f t="shared" si="812"/>
        <v>0</v>
      </c>
      <c r="S479" s="187">
        <f t="shared" si="812"/>
        <v>0</v>
      </c>
      <c r="T479" s="187">
        <f t="shared" si="812"/>
        <v>0</v>
      </c>
      <c r="U479" s="187">
        <f t="shared" si="812"/>
        <v>0</v>
      </c>
      <c r="V479" s="187">
        <f t="shared" si="812"/>
        <v>0</v>
      </c>
      <c r="W479" s="187">
        <f t="shared" si="812"/>
        <v>0</v>
      </c>
      <c r="X479" s="187">
        <f t="shared" si="812"/>
        <v>0</v>
      </c>
      <c r="Y479" s="187">
        <f t="shared" si="812"/>
        <v>0</v>
      </c>
      <c r="Z479" s="187">
        <f t="shared" si="812"/>
        <v>0</v>
      </c>
      <c r="AA479" s="187">
        <f t="shared" si="812"/>
        <v>0</v>
      </c>
      <c r="AB479" s="187">
        <f t="shared" si="812"/>
        <v>0</v>
      </c>
      <c r="AC479" s="187">
        <f t="shared" si="812"/>
        <v>0</v>
      </c>
      <c r="AD479" s="187">
        <f t="shared" si="812"/>
        <v>0</v>
      </c>
      <c r="AE479" s="187">
        <f t="shared" si="812"/>
        <v>0</v>
      </c>
      <c r="AF479" s="187">
        <f t="shared" si="812"/>
        <v>0</v>
      </c>
      <c r="AG479" s="187">
        <f t="shared" si="812"/>
        <v>0</v>
      </c>
      <c r="AH479" s="187">
        <f t="shared" si="812"/>
        <v>0</v>
      </c>
      <c r="AI479" s="187">
        <f t="shared" si="812"/>
        <v>0</v>
      </c>
      <c r="AJ479" s="187">
        <f t="shared" si="812"/>
        <v>0</v>
      </c>
      <c r="AK479" s="187">
        <f t="shared" si="812"/>
        <v>0</v>
      </c>
      <c r="AL479" s="187">
        <f t="shared" si="812"/>
        <v>0</v>
      </c>
      <c r="AM479" s="187">
        <f t="shared" si="812"/>
        <v>0</v>
      </c>
      <c r="AN479" s="187">
        <f t="shared" si="812"/>
        <v>0</v>
      </c>
      <c r="AO479" s="187">
        <f t="shared" si="812"/>
        <v>0</v>
      </c>
      <c r="AP479" s="187">
        <f t="shared" ref="AP479:BU479" si="813" xml:space="preserve"> MIN(AP477:AP478)</f>
        <v>0</v>
      </c>
      <c r="AQ479" s="187">
        <f t="shared" si="813"/>
        <v>0</v>
      </c>
      <c r="AR479" s="187">
        <f t="shared" si="813"/>
        <v>0</v>
      </c>
      <c r="AS479" s="187">
        <f t="shared" si="813"/>
        <v>0</v>
      </c>
      <c r="AT479" s="187">
        <f t="shared" si="813"/>
        <v>0</v>
      </c>
      <c r="AU479" s="187">
        <f t="shared" si="813"/>
        <v>0</v>
      </c>
      <c r="AV479" s="187">
        <f t="shared" si="813"/>
        <v>0</v>
      </c>
      <c r="AW479" s="187">
        <f t="shared" si="813"/>
        <v>3620.0771068124504</v>
      </c>
      <c r="AX479" s="187">
        <f t="shared" si="813"/>
        <v>3690.9620338427376</v>
      </c>
      <c r="AY479" s="187">
        <f t="shared" si="813"/>
        <v>3908.7433969768135</v>
      </c>
      <c r="AZ479" s="187">
        <f t="shared" si="813"/>
        <v>3997.6326566609459</v>
      </c>
      <c r="BA479" s="187">
        <f t="shared" si="813"/>
        <v>4230.9514043207746</v>
      </c>
      <c r="BB479" s="187">
        <f t="shared" si="813"/>
        <v>7625.1675688111136</v>
      </c>
      <c r="BC479" s="187">
        <f t="shared" si="813"/>
        <v>0</v>
      </c>
      <c r="BD479" s="187">
        <f t="shared" si="813"/>
        <v>0</v>
      </c>
      <c r="BE479" s="187">
        <f t="shared" si="813"/>
        <v>0</v>
      </c>
      <c r="BF479" s="187">
        <f t="shared" si="813"/>
        <v>0</v>
      </c>
      <c r="BG479" s="187">
        <f t="shared" si="813"/>
        <v>0</v>
      </c>
      <c r="BH479" s="187">
        <f t="shared" si="813"/>
        <v>0</v>
      </c>
      <c r="BI479" s="187">
        <f t="shared" si="813"/>
        <v>0</v>
      </c>
      <c r="BJ479" s="187">
        <f t="shared" si="813"/>
        <v>0</v>
      </c>
      <c r="BK479" s="187">
        <f t="shared" si="813"/>
        <v>0</v>
      </c>
      <c r="BL479" s="187">
        <f t="shared" si="813"/>
        <v>0</v>
      </c>
      <c r="BM479" s="187">
        <f t="shared" si="813"/>
        <v>0</v>
      </c>
      <c r="BN479" s="187">
        <f t="shared" si="813"/>
        <v>0</v>
      </c>
      <c r="BO479" s="187">
        <f t="shared" si="813"/>
        <v>0</v>
      </c>
      <c r="BP479" s="187">
        <f t="shared" si="813"/>
        <v>0</v>
      </c>
      <c r="BQ479" s="187">
        <f t="shared" si="813"/>
        <v>0</v>
      </c>
      <c r="BR479" s="187">
        <f t="shared" si="813"/>
        <v>0</v>
      </c>
      <c r="BS479" s="187">
        <f t="shared" si="813"/>
        <v>0</v>
      </c>
      <c r="BT479" s="187">
        <f t="shared" si="813"/>
        <v>0</v>
      </c>
      <c r="BU479" s="187">
        <f t="shared" si="813"/>
        <v>0</v>
      </c>
      <c r="BV479" s="187">
        <f t="shared" ref="BV479:CV479" si="814" xml:space="preserve"> MIN(BV477:BV478)</f>
        <v>0</v>
      </c>
      <c r="BW479" s="187">
        <f t="shared" si="814"/>
        <v>0</v>
      </c>
      <c r="BX479" s="187">
        <f t="shared" si="814"/>
        <v>0</v>
      </c>
      <c r="BY479" s="187">
        <f t="shared" si="814"/>
        <v>0</v>
      </c>
      <c r="BZ479" s="187">
        <f t="shared" si="814"/>
        <v>0</v>
      </c>
      <c r="CA479" s="187">
        <f t="shared" si="814"/>
        <v>0</v>
      </c>
      <c r="CB479" s="187">
        <f t="shared" si="814"/>
        <v>0</v>
      </c>
      <c r="CC479" s="187">
        <f t="shared" si="814"/>
        <v>0</v>
      </c>
      <c r="CD479" s="187">
        <f t="shared" si="814"/>
        <v>0</v>
      </c>
      <c r="CE479" s="187">
        <f t="shared" si="814"/>
        <v>0</v>
      </c>
      <c r="CF479" s="187">
        <f t="shared" si="814"/>
        <v>0</v>
      </c>
      <c r="CG479" s="187">
        <f t="shared" si="814"/>
        <v>0</v>
      </c>
      <c r="CH479" s="187">
        <f t="shared" si="814"/>
        <v>0</v>
      </c>
      <c r="CI479" s="187">
        <f t="shared" si="814"/>
        <v>0</v>
      </c>
      <c r="CJ479" s="187">
        <f t="shared" si="814"/>
        <v>0</v>
      </c>
      <c r="CK479" s="187">
        <f t="shared" si="814"/>
        <v>0</v>
      </c>
      <c r="CL479" s="187">
        <f t="shared" si="814"/>
        <v>0</v>
      </c>
      <c r="CM479" s="187">
        <f t="shared" si="814"/>
        <v>0</v>
      </c>
      <c r="CN479" s="187">
        <f t="shared" si="814"/>
        <v>0</v>
      </c>
      <c r="CO479" s="187">
        <f t="shared" si="814"/>
        <v>0</v>
      </c>
      <c r="CP479" s="187">
        <f t="shared" si="814"/>
        <v>0</v>
      </c>
      <c r="CQ479" s="187">
        <f t="shared" si="814"/>
        <v>0</v>
      </c>
      <c r="CR479" s="187">
        <f t="shared" si="814"/>
        <v>0</v>
      </c>
      <c r="CS479" s="187">
        <f t="shared" si="814"/>
        <v>0</v>
      </c>
      <c r="CT479" s="187">
        <f t="shared" si="814"/>
        <v>0</v>
      </c>
      <c r="CU479" s="187">
        <f t="shared" si="814"/>
        <v>0</v>
      </c>
      <c r="CV479" s="187">
        <f t="shared" si="814"/>
        <v>0</v>
      </c>
    </row>
    <row r="480" spans="1:100" s="188" customFormat="1" ht="12.75" outlineLevel="2" x14ac:dyDescent="0.2">
      <c r="A480" s="141"/>
      <c r="B480" s="141"/>
      <c r="C480" s="142"/>
      <c r="D480" s="482" t="s">
        <v>366</v>
      </c>
      <c r="E480" s="187" t="str">
        <f xml:space="preserve"> LEFT(E479, LEN(E479) - 4)</f>
        <v>Shareholder loan principal repayment</v>
      </c>
      <c r="F480" s="187"/>
      <c r="G480" s="187" t="str">
        <f xml:space="preserve"> SMU</f>
        <v>$ 000s</v>
      </c>
      <c r="H480" s="187">
        <f xml:space="preserve"> SUM(J480:CV480)</f>
        <v>-27073.534167424834</v>
      </c>
      <c r="I480" s="144"/>
      <c r="J480" s="187">
        <f t="shared" ref="J480:AO480" si="815" xml:space="preserve"> -1 * J479</f>
        <v>0</v>
      </c>
      <c r="K480" s="187">
        <f t="shared" si="815"/>
        <v>0</v>
      </c>
      <c r="L480" s="187">
        <f t="shared" si="815"/>
        <v>0</v>
      </c>
      <c r="M480" s="187">
        <f t="shared" si="815"/>
        <v>0</v>
      </c>
      <c r="N480" s="187">
        <f t="shared" si="815"/>
        <v>0</v>
      </c>
      <c r="O480" s="187">
        <f t="shared" si="815"/>
        <v>0</v>
      </c>
      <c r="P480" s="187">
        <f t="shared" si="815"/>
        <v>0</v>
      </c>
      <c r="Q480" s="187">
        <f t="shared" si="815"/>
        <v>0</v>
      </c>
      <c r="R480" s="187">
        <f t="shared" si="815"/>
        <v>0</v>
      </c>
      <c r="S480" s="187">
        <f t="shared" si="815"/>
        <v>0</v>
      </c>
      <c r="T480" s="187">
        <f t="shared" si="815"/>
        <v>0</v>
      </c>
      <c r="U480" s="187">
        <f t="shared" si="815"/>
        <v>0</v>
      </c>
      <c r="V480" s="187">
        <f t="shared" si="815"/>
        <v>0</v>
      </c>
      <c r="W480" s="187">
        <f t="shared" si="815"/>
        <v>0</v>
      </c>
      <c r="X480" s="187">
        <f t="shared" si="815"/>
        <v>0</v>
      </c>
      <c r="Y480" s="187">
        <f t="shared" si="815"/>
        <v>0</v>
      </c>
      <c r="Z480" s="187">
        <f t="shared" si="815"/>
        <v>0</v>
      </c>
      <c r="AA480" s="187">
        <f t="shared" si="815"/>
        <v>0</v>
      </c>
      <c r="AB480" s="187">
        <f t="shared" si="815"/>
        <v>0</v>
      </c>
      <c r="AC480" s="187">
        <f t="shared" si="815"/>
        <v>0</v>
      </c>
      <c r="AD480" s="187">
        <f t="shared" si="815"/>
        <v>0</v>
      </c>
      <c r="AE480" s="187">
        <f t="shared" si="815"/>
        <v>0</v>
      </c>
      <c r="AF480" s="187">
        <f t="shared" si="815"/>
        <v>0</v>
      </c>
      <c r="AG480" s="187">
        <f t="shared" si="815"/>
        <v>0</v>
      </c>
      <c r="AH480" s="187">
        <f t="shared" si="815"/>
        <v>0</v>
      </c>
      <c r="AI480" s="187">
        <f t="shared" si="815"/>
        <v>0</v>
      </c>
      <c r="AJ480" s="187">
        <f t="shared" si="815"/>
        <v>0</v>
      </c>
      <c r="AK480" s="187">
        <f t="shared" si="815"/>
        <v>0</v>
      </c>
      <c r="AL480" s="187">
        <f t="shared" si="815"/>
        <v>0</v>
      </c>
      <c r="AM480" s="187">
        <f t="shared" si="815"/>
        <v>0</v>
      </c>
      <c r="AN480" s="187">
        <f t="shared" si="815"/>
        <v>0</v>
      </c>
      <c r="AO480" s="187">
        <f t="shared" si="815"/>
        <v>0</v>
      </c>
      <c r="AP480" s="187">
        <f t="shared" ref="AP480:BU480" si="816" xml:space="preserve"> -1 * AP479</f>
        <v>0</v>
      </c>
      <c r="AQ480" s="187">
        <f t="shared" si="816"/>
        <v>0</v>
      </c>
      <c r="AR480" s="187">
        <f t="shared" si="816"/>
        <v>0</v>
      </c>
      <c r="AS480" s="187">
        <f t="shared" si="816"/>
        <v>0</v>
      </c>
      <c r="AT480" s="187">
        <f t="shared" si="816"/>
        <v>0</v>
      </c>
      <c r="AU480" s="187">
        <f t="shared" si="816"/>
        <v>0</v>
      </c>
      <c r="AV480" s="187">
        <f t="shared" si="816"/>
        <v>0</v>
      </c>
      <c r="AW480" s="187">
        <f t="shared" si="816"/>
        <v>-3620.0771068124504</v>
      </c>
      <c r="AX480" s="187">
        <f t="shared" si="816"/>
        <v>-3690.9620338427376</v>
      </c>
      <c r="AY480" s="187">
        <f t="shared" si="816"/>
        <v>-3908.7433969768135</v>
      </c>
      <c r="AZ480" s="187">
        <f t="shared" si="816"/>
        <v>-3997.6326566609459</v>
      </c>
      <c r="BA480" s="187">
        <f t="shared" si="816"/>
        <v>-4230.9514043207746</v>
      </c>
      <c r="BB480" s="187">
        <f t="shared" si="816"/>
        <v>-7625.1675688111136</v>
      </c>
      <c r="BC480" s="187">
        <f t="shared" si="816"/>
        <v>0</v>
      </c>
      <c r="BD480" s="187">
        <f t="shared" si="816"/>
        <v>0</v>
      </c>
      <c r="BE480" s="187">
        <f t="shared" si="816"/>
        <v>0</v>
      </c>
      <c r="BF480" s="187">
        <f t="shared" si="816"/>
        <v>0</v>
      </c>
      <c r="BG480" s="187">
        <f t="shared" si="816"/>
        <v>0</v>
      </c>
      <c r="BH480" s="187">
        <f t="shared" si="816"/>
        <v>0</v>
      </c>
      <c r="BI480" s="187">
        <f t="shared" si="816"/>
        <v>0</v>
      </c>
      <c r="BJ480" s="187">
        <f t="shared" si="816"/>
        <v>0</v>
      </c>
      <c r="BK480" s="187">
        <f t="shared" si="816"/>
        <v>0</v>
      </c>
      <c r="BL480" s="187">
        <f t="shared" si="816"/>
        <v>0</v>
      </c>
      <c r="BM480" s="187">
        <f t="shared" si="816"/>
        <v>0</v>
      </c>
      <c r="BN480" s="187">
        <f t="shared" si="816"/>
        <v>0</v>
      </c>
      <c r="BO480" s="187">
        <f t="shared" si="816"/>
        <v>0</v>
      </c>
      <c r="BP480" s="187">
        <f t="shared" si="816"/>
        <v>0</v>
      </c>
      <c r="BQ480" s="187">
        <f t="shared" si="816"/>
        <v>0</v>
      </c>
      <c r="BR480" s="187">
        <f t="shared" si="816"/>
        <v>0</v>
      </c>
      <c r="BS480" s="187">
        <f t="shared" si="816"/>
        <v>0</v>
      </c>
      <c r="BT480" s="187">
        <f t="shared" si="816"/>
        <v>0</v>
      </c>
      <c r="BU480" s="187">
        <f t="shared" si="816"/>
        <v>0</v>
      </c>
      <c r="BV480" s="187">
        <f t="shared" ref="BV480:CV480" si="817" xml:space="preserve"> -1 * BV479</f>
        <v>0</v>
      </c>
      <c r="BW480" s="187">
        <f t="shared" si="817"/>
        <v>0</v>
      </c>
      <c r="BX480" s="187">
        <f t="shared" si="817"/>
        <v>0</v>
      </c>
      <c r="BY480" s="187">
        <f t="shared" si="817"/>
        <v>0</v>
      </c>
      <c r="BZ480" s="187">
        <f t="shared" si="817"/>
        <v>0</v>
      </c>
      <c r="CA480" s="187">
        <f t="shared" si="817"/>
        <v>0</v>
      </c>
      <c r="CB480" s="187">
        <f t="shared" si="817"/>
        <v>0</v>
      </c>
      <c r="CC480" s="187">
        <f t="shared" si="817"/>
        <v>0</v>
      </c>
      <c r="CD480" s="187">
        <f t="shared" si="817"/>
        <v>0</v>
      </c>
      <c r="CE480" s="187">
        <f t="shared" si="817"/>
        <v>0</v>
      </c>
      <c r="CF480" s="187">
        <f t="shared" si="817"/>
        <v>0</v>
      </c>
      <c r="CG480" s="187">
        <f t="shared" si="817"/>
        <v>0</v>
      </c>
      <c r="CH480" s="187">
        <f t="shared" si="817"/>
        <v>0</v>
      </c>
      <c r="CI480" s="187">
        <f t="shared" si="817"/>
        <v>0</v>
      </c>
      <c r="CJ480" s="187">
        <f t="shared" si="817"/>
        <v>0</v>
      </c>
      <c r="CK480" s="187">
        <f t="shared" si="817"/>
        <v>0</v>
      </c>
      <c r="CL480" s="187">
        <f t="shared" si="817"/>
        <v>0</v>
      </c>
      <c r="CM480" s="187">
        <f t="shared" si="817"/>
        <v>0</v>
      </c>
      <c r="CN480" s="187">
        <f t="shared" si="817"/>
        <v>0</v>
      </c>
      <c r="CO480" s="187">
        <f t="shared" si="817"/>
        <v>0</v>
      </c>
      <c r="CP480" s="187">
        <f t="shared" si="817"/>
        <v>0</v>
      </c>
      <c r="CQ480" s="187">
        <f t="shared" si="817"/>
        <v>0</v>
      </c>
      <c r="CR480" s="187">
        <f t="shared" si="817"/>
        <v>0</v>
      </c>
      <c r="CS480" s="187">
        <f t="shared" si="817"/>
        <v>0</v>
      </c>
      <c r="CT480" s="187">
        <f t="shared" si="817"/>
        <v>0</v>
      </c>
      <c r="CU480" s="187">
        <f t="shared" si="817"/>
        <v>0</v>
      </c>
      <c r="CV480" s="187">
        <f t="shared" si="817"/>
        <v>0</v>
      </c>
    </row>
    <row r="481" spans="1:100" ht="12.75" outlineLevel="1" x14ac:dyDescent="0.2"/>
    <row r="482" spans="1:100" ht="12.75" outlineLevel="1" x14ac:dyDescent="0.2">
      <c r="B482" s="15" t="s">
        <v>334</v>
      </c>
    </row>
    <row r="483" spans="1:100" s="502" customFormat="1" ht="12.75" outlineLevel="2" x14ac:dyDescent="0.2">
      <c r="A483" s="216"/>
      <c r="B483" s="216"/>
      <c r="C483" s="217"/>
      <c r="D483" s="218"/>
      <c r="E483" s="219" t="s">
        <v>344</v>
      </c>
      <c r="F483" s="219"/>
      <c r="G483" s="219" t="str">
        <f xml:space="preserve"> SMU</f>
        <v>$ 000s</v>
      </c>
      <c r="H483" s="219"/>
      <c r="I483" s="220"/>
      <c r="J483" s="219">
        <f t="shared" ref="J483:AO483" si="818">I488</f>
        <v>0</v>
      </c>
      <c r="K483" s="219">
        <f t="shared" si="818"/>
        <v>0</v>
      </c>
      <c r="L483" s="219">
        <f t="shared" si="818"/>
        <v>0</v>
      </c>
      <c r="M483" s="219">
        <f t="shared" si="818"/>
        <v>0</v>
      </c>
      <c r="N483" s="219">
        <f t="shared" si="818"/>
        <v>0</v>
      </c>
      <c r="O483" s="219">
        <f t="shared" si="818"/>
        <v>86318.253106861201</v>
      </c>
      <c r="P483" s="219">
        <f t="shared" si="818"/>
        <v>86538.908620951392</v>
      </c>
      <c r="Q483" s="219">
        <f t="shared" si="818"/>
        <v>87312.182243400777</v>
      </c>
      <c r="R483" s="219">
        <f t="shared" si="818"/>
        <v>88119.387817577794</v>
      </c>
      <c r="S483" s="219">
        <f t="shared" si="818"/>
        <v>89015.457194694158</v>
      </c>
      <c r="T483" s="219">
        <f t="shared" si="818"/>
        <v>89953.246591619041</v>
      </c>
      <c r="U483" s="219">
        <f t="shared" si="818"/>
        <v>90995.088701463945</v>
      </c>
      <c r="V483" s="219">
        <f t="shared" si="818"/>
        <v>92072.785886511716</v>
      </c>
      <c r="W483" s="219">
        <f t="shared" si="818"/>
        <v>93249.754362541978</v>
      </c>
      <c r="X483" s="219">
        <f t="shared" si="818"/>
        <v>94512.69720564509</v>
      </c>
      <c r="Y483" s="219">
        <f t="shared" si="818"/>
        <v>95877.825116988068</v>
      </c>
      <c r="Z483" s="219">
        <f t="shared" si="818"/>
        <v>97318.028720348229</v>
      </c>
      <c r="AA483" s="219">
        <f t="shared" si="818"/>
        <v>98884.301242578513</v>
      </c>
      <c r="AB483" s="219">
        <f t="shared" si="818"/>
        <v>100534.24358519429</v>
      </c>
      <c r="AC483" s="219">
        <f t="shared" si="818"/>
        <v>102329.93393908079</v>
      </c>
      <c r="AD483" s="219">
        <f t="shared" si="818"/>
        <v>104208.94818800513</v>
      </c>
      <c r="AE483" s="219">
        <f t="shared" si="818"/>
        <v>106234.59238082725</v>
      </c>
      <c r="AF483" s="219">
        <f t="shared" si="818"/>
        <v>108398.11124891452</v>
      </c>
      <c r="AG483" s="219">
        <f t="shared" si="818"/>
        <v>110717.47804403142</v>
      </c>
      <c r="AH483" s="219">
        <f t="shared" si="818"/>
        <v>113167.00709125634</v>
      </c>
      <c r="AI483" s="219">
        <f t="shared" si="818"/>
        <v>115802.44240908351</v>
      </c>
      <c r="AJ483" s="219">
        <f t="shared" si="818"/>
        <v>118590.4199464952</v>
      </c>
      <c r="AK483" s="219">
        <f t="shared" si="818"/>
        <v>121591.25837551881</v>
      </c>
      <c r="AL483" s="219">
        <f t="shared" si="818"/>
        <v>124749.91711200298</v>
      </c>
      <c r="AM483" s="219">
        <f t="shared" si="818"/>
        <v>128131.11839780939</v>
      </c>
      <c r="AN483" s="219">
        <f t="shared" si="818"/>
        <v>131732.39390944995</v>
      </c>
      <c r="AO483" s="219">
        <f t="shared" si="818"/>
        <v>135575.30013515614</v>
      </c>
      <c r="AP483" s="219">
        <f t="shared" ref="AP483:BU483" si="819">AO488</f>
        <v>139641.43101423365</v>
      </c>
      <c r="AQ483" s="219">
        <f t="shared" si="819"/>
        <v>143989.4920103694</v>
      </c>
      <c r="AR483" s="219">
        <f t="shared" si="819"/>
        <v>148591.51679182475</v>
      </c>
      <c r="AS483" s="219">
        <f t="shared" si="819"/>
        <v>153514.15300015948</v>
      </c>
      <c r="AT483" s="219">
        <f t="shared" si="819"/>
        <v>158712.18262284272</v>
      </c>
      <c r="AU483" s="219">
        <f t="shared" si="819"/>
        <v>164254.64492832238</v>
      </c>
      <c r="AV483" s="219">
        <f t="shared" si="819"/>
        <v>165288.19910540234</v>
      </c>
      <c r="AW483" s="219">
        <f t="shared" si="819"/>
        <v>166461.56984272745</v>
      </c>
      <c r="AX483" s="219">
        <f t="shared" si="819"/>
        <v>162841.492735915</v>
      </c>
      <c r="AY483" s="219">
        <f t="shared" si="819"/>
        <v>159150.53070207225</v>
      </c>
      <c r="AZ483" s="219">
        <f t="shared" si="819"/>
        <v>155241.78730509544</v>
      </c>
      <c r="BA483" s="219">
        <f t="shared" si="819"/>
        <v>151244.15464843449</v>
      </c>
      <c r="BB483" s="219">
        <f t="shared" si="819"/>
        <v>147013.20324411371</v>
      </c>
      <c r="BC483" s="219">
        <f t="shared" si="819"/>
        <v>139388.03567530261</v>
      </c>
      <c r="BD483" s="219">
        <f t="shared" si="819"/>
        <v>139388.03567530261</v>
      </c>
      <c r="BE483" s="219">
        <f t="shared" si="819"/>
        <v>139388.03567530261</v>
      </c>
      <c r="BF483" s="219">
        <f t="shared" si="819"/>
        <v>139388.03567530261</v>
      </c>
      <c r="BG483" s="219">
        <f t="shared" si="819"/>
        <v>139388.03567530261</v>
      </c>
      <c r="BH483" s="219">
        <f t="shared" si="819"/>
        <v>139388.03567530261</v>
      </c>
      <c r="BI483" s="219">
        <f t="shared" si="819"/>
        <v>139388.03567530261</v>
      </c>
      <c r="BJ483" s="219">
        <f t="shared" si="819"/>
        <v>139388.03567530261</v>
      </c>
      <c r="BK483" s="219">
        <f t="shared" si="819"/>
        <v>139388.03567530261</v>
      </c>
      <c r="BL483" s="219">
        <f t="shared" si="819"/>
        <v>139388.03567530261</v>
      </c>
      <c r="BM483" s="219">
        <f t="shared" si="819"/>
        <v>139388.03567530261</v>
      </c>
      <c r="BN483" s="219">
        <f t="shared" si="819"/>
        <v>139388.03567530261</v>
      </c>
      <c r="BO483" s="219">
        <f t="shared" si="819"/>
        <v>139388.03567530261</v>
      </c>
      <c r="BP483" s="219">
        <f t="shared" si="819"/>
        <v>139388.03567530261</v>
      </c>
      <c r="BQ483" s="219">
        <f t="shared" si="819"/>
        <v>139388.03567530261</v>
      </c>
      <c r="BR483" s="219">
        <f t="shared" si="819"/>
        <v>139388.03567530261</v>
      </c>
      <c r="BS483" s="219">
        <f t="shared" si="819"/>
        <v>139388.03567530261</v>
      </c>
      <c r="BT483" s="219">
        <f t="shared" si="819"/>
        <v>139388.03567530261</v>
      </c>
      <c r="BU483" s="219">
        <f t="shared" si="819"/>
        <v>139388.03567530261</v>
      </c>
      <c r="BV483" s="219">
        <f t="shared" ref="BV483:CV483" si="820">BU488</f>
        <v>139388.03567530261</v>
      </c>
      <c r="BW483" s="219">
        <f t="shared" si="820"/>
        <v>139388.03567530261</v>
      </c>
      <c r="BX483" s="219">
        <f t="shared" si="820"/>
        <v>139388.03567530261</v>
      </c>
      <c r="BY483" s="219">
        <f t="shared" si="820"/>
        <v>139388.03567530261</v>
      </c>
      <c r="BZ483" s="219">
        <f t="shared" si="820"/>
        <v>139388.03567530261</v>
      </c>
      <c r="CA483" s="219">
        <f t="shared" si="820"/>
        <v>139388.03567530261</v>
      </c>
      <c r="CB483" s="219">
        <f t="shared" si="820"/>
        <v>139388.03567530261</v>
      </c>
      <c r="CC483" s="219">
        <f t="shared" si="820"/>
        <v>139388.03567530261</v>
      </c>
      <c r="CD483" s="219">
        <f t="shared" si="820"/>
        <v>139388.03567530261</v>
      </c>
      <c r="CE483" s="219">
        <f t="shared" si="820"/>
        <v>139388.03567530261</v>
      </c>
      <c r="CF483" s="219">
        <f t="shared" si="820"/>
        <v>139388.03567530261</v>
      </c>
      <c r="CG483" s="219">
        <f t="shared" si="820"/>
        <v>139388.03567530261</v>
      </c>
      <c r="CH483" s="219">
        <f t="shared" si="820"/>
        <v>139388.03567530261</v>
      </c>
      <c r="CI483" s="219">
        <f t="shared" si="820"/>
        <v>139388.03567530261</v>
      </c>
      <c r="CJ483" s="219">
        <f t="shared" si="820"/>
        <v>139388.03567530261</v>
      </c>
      <c r="CK483" s="219">
        <f t="shared" si="820"/>
        <v>139388.03567530261</v>
      </c>
      <c r="CL483" s="219">
        <f t="shared" si="820"/>
        <v>139388.03567530261</v>
      </c>
      <c r="CM483" s="219">
        <f t="shared" si="820"/>
        <v>139388.03567530261</v>
      </c>
      <c r="CN483" s="219">
        <f t="shared" si="820"/>
        <v>139388.03567530261</v>
      </c>
      <c r="CO483" s="219">
        <f t="shared" si="820"/>
        <v>139388.03567530261</v>
      </c>
      <c r="CP483" s="219">
        <f t="shared" si="820"/>
        <v>139388.03567530261</v>
      </c>
      <c r="CQ483" s="219">
        <f t="shared" si="820"/>
        <v>139388.03567530261</v>
      </c>
      <c r="CR483" s="219">
        <f t="shared" si="820"/>
        <v>139388.03567530261</v>
      </c>
      <c r="CS483" s="219">
        <f t="shared" si="820"/>
        <v>139388.03567530261</v>
      </c>
      <c r="CT483" s="219">
        <f t="shared" si="820"/>
        <v>139388.03567530261</v>
      </c>
      <c r="CU483" s="219">
        <f t="shared" si="820"/>
        <v>139388.03567530261</v>
      </c>
      <c r="CV483" s="219">
        <f t="shared" si="820"/>
        <v>139388.03567530261</v>
      </c>
    </row>
    <row r="484" spans="1:100" s="498" customFormat="1" ht="12.75" outlineLevel="2" x14ac:dyDescent="0.2">
      <c r="A484" s="15"/>
      <c r="B484" s="15"/>
      <c r="C484" s="21"/>
      <c r="D484" s="48"/>
      <c r="E484" s="501" t="str">
        <f xml:space="preserve"> ConFin!E$676</f>
        <v>Shareholder drawdown during construction</v>
      </c>
      <c r="F484" s="501">
        <f xml:space="preserve"> ConFin!F$676</f>
        <v>0</v>
      </c>
      <c r="G484" s="501" t="str">
        <f xml:space="preserve"> ConFin!G$676</f>
        <v>$ 000s</v>
      </c>
      <c r="H484" s="501">
        <f xml:space="preserve"> ConFin!H$676</f>
        <v>86318.253106861201</v>
      </c>
      <c r="I484" s="501">
        <f xml:space="preserve"> ConFin!I$676</f>
        <v>0</v>
      </c>
      <c r="J484" s="501">
        <f xml:space="preserve"> ConFin!J$676</f>
        <v>0</v>
      </c>
      <c r="K484" s="501">
        <f xml:space="preserve"> ConFin!K$676</f>
        <v>0</v>
      </c>
      <c r="L484" s="501">
        <f xml:space="preserve"> ConFin!L$676</f>
        <v>0</v>
      </c>
      <c r="M484" s="501">
        <f xml:space="preserve"> ConFin!M$676</f>
        <v>0</v>
      </c>
      <c r="N484" s="501">
        <f xml:space="preserve"> ConFin!N$676</f>
        <v>86318.253106861201</v>
      </c>
      <c r="O484" s="501">
        <f xml:space="preserve"> ConFin!O$676</f>
        <v>0</v>
      </c>
      <c r="P484" s="501">
        <f xml:space="preserve"> ConFin!P$676</f>
        <v>0</v>
      </c>
      <c r="Q484" s="501">
        <f xml:space="preserve"> ConFin!Q$676</f>
        <v>0</v>
      </c>
      <c r="R484" s="501">
        <f xml:space="preserve"> ConFin!R$676</f>
        <v>0</v>
      </c>
      <c r="S484" s="501">
        <f xml:space="preserve"> ConFin!S$676</f>
        <v>0</v>
      </c>
      <c r="T484" s="501">
        <f xml:space="preserve"> ConFin!T$676</f>
        <v>0</v>
      </c>
      <c r="U484" s="501">
        <f xml:space="preserve"> ConFin!U$676</f>
        <v>0</v>
      </c>
      <c r="V484" s="501">
        <f xml:space="preserve"> ConFin!V$676</f>
        <v>0</v>
      </c>
      <c r="W484" s="501">
        <f xml:space="preserve"> ConFin!W$676</f>
        <v>0</v>
      </c>
      <c r="X484" s="501">
        <f xml:space="preserve"> ConFin!X$676</f>
        <v>0</v>
      </c>
      <c r="Y484" s="501">
        <f xml:space="preserve"> ConFin!Y$676</f>
        <v>0</v>
      </c>
      <c r="Z484" s="501">
        <f xml:space="preserve"> ConFin!Z$676</f>
        <v>0</v>
      </c>
      <c r="AA484" s="501">
        <f xml:space="preserve"> ConFin!AA$676</f>
        <v>0</v>
      </c>
      <c r="AB484" s="501">
        <f xml:space="preserve"> ConFin!AB$676</f>
        <v>0</v>
      </c>
      <c r="AC484" s="501">
        <f xml:space="preserve"> ConFin!AC$676</f>
        <v>0</v>
      </c>
      <c r="AD484" s="501">
        <f xml:space="preserve"> ConFin!AD$676</f>
        <v>0</v>
      </c>
      <c r="AE484" s="501">
        <f xml:space="preserve"> ConFin!AE$676</f>
        <v>0</v>
      </c>
      <c r="AF484" s="501">
        <f xml:space="preserve"> ConFin!AF$676</f>
        <v>0</v>
      </c>
      <c r="AG484" s="501">
        <f xml:space="preserve"> ConFin!AG$676</f>
        <v>0</v>
      </c>
      <c r="AH484" s="501">
        <f xml:space="preserve"> ConFin!AH$676</f>
        <v>0</v>
      </c>
      <c r="AI484" s="501">
        <f xml:space="preserve"> ConFin!AI$676</f>
        <v>0</v>
      </c>
      <c r="AJ484" s="501">
        <f xml:space="preserve"> ConFin!AJ$676</f>
        <v>0</v>
      </c>
      <c r="AK484" s="501">
        <f xml:space="preserve"> ConFin!AK$676</f>
        <v>0</v>
      </c>
      <c r="AL484" s="501">
        <f xml:space="preserve"> ConFin!AL$676</f>
        <v>0</v>
      </c>
      <c r="AM484" s="501">
        <f xml:space="preserve"> ConFin!AM$676</f>
        <v>0</v>
      </c>
      <c r="AN484" s="501">
        <f xml:space="preserve"> ConFin!AN$676</f>
        <v>0</v>
      </c>
      <c r="AO484" s="501">
        <f xml:space="preserve"> ConFin!AO$676</f>
        <v>0</v>
      </c>
      <c r="AP484" s="501">
        <f xml:space="preserve"> ConFin!AP$676</f>
        <v>0</v>
      </c>
      <c r="AQ484" s="501">
        <f xml:space="preserve"> ConFin!AQ$676</f>
        <v>0</v>
      </c>
      <c r="AR484" s="501">
        <f xml:space="preserve"> ConFin!AR$676</f>
        <v>0</v>
      </c>
      <c r="AS484" s="501">
        <f xml:space="preserve"> ConFin!AS$676</f>
        <v>0</v>
      </c>
      <c r="AT484" s="501">
        <f xml:space="preserve"> ConFin!AT$676</f>
        <v>0</v>
      </c>
      <c r="AU484" s="501">
        <f xml:space="preserve"> ConFin!AU$676</f>
        <v>0</v>
      </c>
      <c r="AV484" s="501">
        <f xml:space="preserve"> ConFin!AV$676</f>
        <v>0</v>
      </c>
      <c r="AW484" s="501">
        <f xml:space="preserve"> ConFin!AW$676</f>
        <v>0</v>
      </c>
      <c r="AX484" s="501">
        <f xml:space="preserve"> ConFin!AX$676</f>
        <v>0</v>
      </c>
      <c r="AY484" s="501">
        <f xml:space="preserve"> ConFin!AY$676</f>
        <v>0</v>
      </c>
      <c r="AZ484" s="501">
        <f xml:space="preserve"> ConFin!AZ$676</f>
        <v>0</v>
      </c>
      <c r="BA484" s="501">
        <f xml:space="preserve"> ConFin!BA$676</f>
        <v>0</v>
      </c>
      <c r="BB484" s="501">
        <f xml:space="preserve"> ConFin!BB$676</f>
        <v>0</v>
      </c>
      <c r="BC484" s="501">
        <f xml:space="preserve"> ConFin!BC$676</f>
        <v>0</v>
      </c>
      <c r="BD484" s="501">
        <f xml:space="preserve"> ConFin!BD$676</f>
        <v>0</v>
      </c>
      <c r="BE484" s="501">
        <f xml:space="preserve"> ConFin!BE$676</f>
        <v>0</v>
      </c>
      <c r="BF484" s="501">
        <f xml:space="preserve"> ConFin!BF$676</f>
        <v>0</v>
      </c>
      <c r="BG484" s="501">
        <f xml:space="preserve"> ConFin!BG$676</f>
        <v>0</v>
      </c>
      <c r="BH484" s="501">
        <f xml:space="preserve"> ConFin!BH$676</f>
        <v>0</v>
      </c>
      <c r="BI484" s="501">
        <f xml:space="preserve"> ConFin!BI$676</f>
        <v>0</v>
      </c>
      <c r="BJ484" s="501">
        <f xml:space="preserve"> ConFin!BJ$676</f>
        <v>0</v>
      </c>
      <c r="BK484" s="501">
        <f xml:space="preserve"> ConFin!BK$676</f>
        <v>0</v>
      </c>
      <c r="BL484" s="501">
        <f xml:space="preserve"> ConFin!BL$676</f>
        <v>0</v>
      </c>
      <c r="BM484" s="501">
        <f xml:space="preserve"> ConFin!BM$676</f>
        <v>0</v>
      </c>
      <c r="BN484" s="501">
        <f xml:space="preserve"> ConFin!BN$676</f>
        <v>0</v>
      </c>
      <c r="BO484" s="501">
        <f xml:space="preserve"> ConFin!BO$676</f>
        <v>0</v>
      </c>
      <c r="BP484" s="501">
        <f xml:space="preserve"> ConFin!BP$676</f>
        <v>0</v>
      </c>
      <c r="BQ484" s="501">
        <f xml:space="preserve"> ConFin!BQ$676</f>
        <v>0</v>
      </c>
      <c r="BR484" s="501">
        <f xml:space="preserve"> ConFin!BR$676</f>
        <v>0</v>
      </c>
      <c r="BS484" s="501">
        <f xml:space="preserve"> ConFin!BS$676</f>
        <v>0</v>
      </c>
      <c r="BT484" s="501">
        <f xml:space="preserve"> ConFin!BT$676</f>
        <v>0</v>
      </c>
      <c r="BU484" s="501">
        <f xml:space="preserve"> ConFin!BU$676</f>
        <v>0</v>
      </c>
      <c r="BV484" s="501">
        <f xml:space="preserve"> ConFin!BV$676</f>
        <v>0</v>
      </c>
      <c r="BW484" s="501">
        <f xml:space="preserve"> ConFin!BW$676</f>
        <v>0</v>
      </c>
      <c r="BX484" s="501">
        <f xml:space="preserve"> ConFin!BX$676</f>
        <v>0</v>
      </c>
      <c r="BY484" s="501">
        <f xml:space="preserve"> ConFin!BY$676</f>
        <v>0</v>
      </c>
      <c r="BZ484" s="501">
        <f xml:space="preserve"> ConFin!BZ$676</f>
        <v>0</v>
      </c>
      <c r="CA484" s="501">
        <f xml:space="preserve"> ConFin!CA$676</f>
        <v>0</v>
      </c>
      <c r="CB484" s="501">
        <f xml:space="preserve"> ConFin!CB$676</f>
        <v>0</v>
      </c>
      <c r="CC484" s="501">
        <f xml:space="preserve"> ConFin!CC$676</f>
        <v>0</v>
      </c>
      <c r="CD484" s="501">
        <f xml:space="preserve"> ConFin!CD$676</f>
        <v>0</v>
      </c>
      <c r="CE484" s="501">
        <f xml:space="preserve"> ConFin!CE$676</f>
        <v>0</v>
      </c>
      <c r="CF484" s="501">
        <f xml:space="preserve"> ConFin!CF$676</f>
        <v>0</v>
      </c>
      <c r="CG484" s="501">
        <f xml:space="preserve"> ConFin!CG$676</f>
        <v>0</v>
      </c>
      <c r="CH484" s="501">
        <f xml:space="preserve"> ConFin!CH$676</f>
        <v>0</v>
      </c>
      <c r="CI484" s="501">
        <f xml:space="preserve"> ConFin!CI$676</f>
        <v>0</v>
      </c>
      <c r="CJ484" s="501">
        <f xml:space="preserve"> ConFin!CJ$676</f>
        <v>0</v>
      </c>
      <c r="CK484" s="501">
        <f xml:space="preserve"> ConFin!CK$676</f>
        <v>0</v>
      </c>
      <c r="CL484" s="501">
        <f xml:space="preserve"> ConFin!CL$676</f>
        <v>0</v>
      </c>
      <c r="CM484" s="501">
        <f xml:space="preserve"> ConFin!CM$676</f>
        <v>0</v>
      </c>
      <c r="CN484" s="501">
        <f xml:space="preserve"> ConFin!CN$676</f>
        <v>0</v>
      </c>
      <c r="CO484" s="501">
        <f xml:space="preserve"> ConFin!CO$676</f>
        <v>0</v>
      </c>
      <c r="CP484" s="501">
        <f xml:space="preserve"> ConFin!CP$676</f>
        <v>0</v>
      </c>
      <c r="CQ484" s="501">
        <f xml:space="preserve"> ConFin!CQ$676</f>
        <v>0</v>
      </c>
      <c r="CR484" s="501">
        <f xml:space="preserve"> ConFin!CR$676</f>
        <v>0</v>
      </c>
      <c r="CS484" s="501">
        <f xml:space="preserve"> ConFin!CS$676</f>
        <v>0</v>
      </c>
      <c r="CT484" s="501">
        <f xml:space="preserve"> ConFin!CT$676</f>
        <v>0</v>
      </c>
      <c r="CU484" s="501">
        <f xml:space="preserve"> ConFin!CU$676</f>
        <v>0</v>
      </c>
      <c r="CV484" s="501">
        <f xml:space="preserve"> ConFin!CV$676</f>
        <v>0</v>
      </c>
    </row>
    <row r="485" spans="1:100" s="751" customFormat="1" ht="12.75" outlineLevel="2" x14ac:dyDescent="0.2">
      <c r="A485" s="522"/>
      <c r="B485" s="522"/>
      <c r="C485" s="523"/>
      <c r="D485" s="524"/>
      <c r="E485" s="808" t="str">
        <f xml:space="preserve"> Debt!E$443</f>
        <v>Shareholder loan drawdown during operations</v>
      </c>
      <c r="F485" s="808">
        <f xml:space="preserve"> Debt!F$443</f>
        <v>0</v>
      </c>
      <c r="G485" s="808" t="str">
        <f xml:space="preserve"> Debt!G$443</f>
        <v>$ 000s</v>
      </c>
      <c r="H485" s="808">
        <f xml:space="preserve"> Debt!H$443</f>
        <v>0</v>
      </c>
      <c r="I485" s="808">
        <f xml:space="preserve"> Debt!I$443</f>
        <v>0</v>
      </c>
      <c r="J485" s="808">
        <f xml:space="preserve"> Debt!J$443</f>
        <v>0</v>
      </c>
      <c r="K485" s="808">
        <f xml:space="preserve"> Debt!K$443</f>
        <v>0</v>
      </c>
      <c r="L485" s="808">
        <f xml:space="preserve"> Debt!L$443</f>
        <v>0</v>
      </c>
      <c r="M485" s="808">
        <f xml:space="preserve"> Debt!M$443</f>
        <v>0</v>
      </c>
      <c r="N485" s="808">
        <f xml:space="preserve"> Debt!N$443</f>
        <v>0</v>
      </c>
      <c r="O485" s="808">
        <f xml:space="preserve"> Debt!O$443</f>
        <v>0</v>
      </c>
      <c r="P485" s="808">
        <f xml:space="preserve"> Debt!P$443</f>
        <v>0</v>
      </c>
      <c r="Q485" s="808">
        <f xml:space="preserve"> Debt!Q$443</f>
        <v>0</v>
      </c>
      <c r="R485" s="808">
        <f xml:space="preserve"> Debt!R$443</f>
        <v>0</v>
      </c>
      <c r="S485" s="808">
        <f xml:space="preserve"> Debt!S$443</f>
        <v>0</v>
      </c>
      <c r="T485" s="808">
        <f xml:space="preserve"> Debt!T$443</f>
        <v>0</v>
      </c>
      <c r="U485" s="808">
        <f xml:space="preserve"> Debt!U$443</f>
        <v>0</v>
      </c>
      <c r="V485" s="808">
        <f xml:space="preserve"> Debt!V$443</f>
        <v>0</v>
      </c>
      <c r="W485" s="808">
        <f xml:space="preserve"> Debt!W$443</f>
        <v>0</v>
      </c>
      <c r="X485" s="808">
        <f xml:space="preserve"> Debt!X$443</f>
        <v>0</v>
      </c>
      <c r="Y485" s="808">
        <f xml:space="preserve"> Debt!Y$443</f>
        <v>0</v>
      </c>
      <c r="Z485" s="808">
        <f xml:space="preserve"> Debt!Z$443</f>
        <v>0</v>
      </c>
      <c r="AA485" s="808">
        <f xml:space="preserve"> Debt!AA$443</f>
        <v>0</v>
      </c>
      <c r="AB485" s="808">
        <f xml:space="preserve"> Debt!AB$443</f>
        <v>0</v>
      </c>
      <c r="AC485" s="808">
        <f xml:space="preserve"> Debt!AC$443</f>
        <v>0</v>
      </c>
      <c r="AD485" s="808">
        <f xml:space="preserve"> Debt!AD$443</f>
        <v>0</v>
      </c>
      <c r="AE485" s="808">
        <f xml:space="preserve"> Debt!AE$443</f>
        <v>0</v>
      </c>
      <c r="AF485" s="808">
        <f xml:space="preserve"> Debt!AF$443</f>
        <v>0</v>
      </c>
      <c r="AG485" s="808">
        <f xml:space="preserve"> Debt!AG$443</f>
        <v>0</v>
      </c>
      <c r="AH485" s="808">
        <f xml:space="preserve"> Debt!AH$443</f>
        <v>0</v>
      </c>
      <c r="AI485" s="808">
        <f xml:space="preserve"> Debt!AI$443</f>
        <v>0</v>
      </c>
      <c r="AJ485" s="808">
        <f xml:space="preserve"> Debt!AJ$443</f>
        <v>0</v>
      </c>
      <c r="AK485" s="808">
        <f xml:space="preserve"> Debt!AK$443</f>
        <v>0</v>
      </c>
      <c r="AL485" s="808">
        <f xml:space="preserve"> Debt!AL$443</f>
        <v>0</v>
      </c>
      <c r="AM485" s="808">
        <f xml:space="preserve"> Debt!AM$443</f>
        <v>0</v>
      </c>
      <c r="AN485" s="808">
        <f xml:space="preserve"> Debt!AN$443</f>
        <v>0</v>
      </c>
      <c r="AO485" s="808">
        <f xml:space="preserve"> Debt!AO$443</f>
        <v>0</v>
      </c>
      <c r="AP485" s="808">
        <f xml:space="preserve"> Debt!AP$443</f>
        <v>0</v>
      </c>
      <c r="AQ485" s="808">
        <f xml:space="preserve"> Debt!AQ$443</f>
        <v>0</v>
      </c>
      <c r="AR485" s="808">
        <f xml:space="preserve"> Debt!AR$443</f>
        <v>0</v>
      </c>
      <c r="AS485" s="808">
        <f xml:space="preserve"> Debt!AS$443</f>
        <v>0</v>
      </c>
      <c r="AT485" s="808">
        <f xml:space="preserve"> Debt!AT$443</f>
        <v>0</v>
      </c>
      <c r="AU485" s="808">
        <f xml:space="preserve"> Debt!AU$443</f>
        <v>0</v>
      </c>
      <c r="AV485" s="808">
        <f xml:space="preserve"> Debt!AV$443</f>
        <v>0</v>
      </c>
      <c r="AW485" s="808">
        <f xml:space="preserve"> Debt!AW$443</f>
        <v>0</v>
      </c>
      <c r="AX485" s="808">
        <f xml:space="preserve"> Debt!AX$443</f>
        <v>0</v>
      </c>
      <c r="AY485" s="808">
        <f xml:space="preserve"> Debt!AY$443</f>
        <v>0</v>
      </c>
      <c r="AZ485" s="808">
        <f xml:space="preserve"> Debt!AZ$443</f>
        <v>0</v>
      </c>
      <c r="BA485" s="808">
        <f xml:space="preserve"> Debt!BA$443</f>
        <v>0</v>
      </c>
      <c r="BB485" s="808">
        <f xml:space="preserve"> Debt!BB$443</f>
        <v>0</v>
      </c>
      <c r="BC485" s="808">
        <f xml:space="preserve"> Debt!BC$443</f>
        <v>0</v>
      </c>
      <c r="BD485" s="808">
        <f xml:space="preserve"> Debt!BD$443</f>
        <v>0</v>
      </c>
      <c r="BE485" s="808">
        <f xml:space="preserve"> Debt!BE$443</f>
        <v>0</v>
      </c>
      <c r="BF485" s="808">
        <f xml:space="preserve"> Debt!BF$443</f>
        <v>0</v>
      </c>
      <c r="BG485" s="808">
        <f xml:space="preserve"> Debt!BG$443</f>
        <v>0</v>
      </c>
      <c r="BH485" s="808">
        <f xml:space="preserve"> Debt!BH$443</f>
        <v>0</v>
      </c>
      <c r="BI485" s="808">
        <f xml:space="preserve"> Debt!BI$443</f>
        <v>0</v>
      </c>
      <c r="BJ485" s="808">
        <f xml:space="preserve"> Debt!BJ$443</f>
        <v>0</v>
      </c>
      <c r="BK485" s="808">
        <f xml:space="preserve"> Debt!BK$443</f>
        <v>0</v>
      </c>
      <c r="BL485" s="808">
        <f xml:space="preserve"> Debt!BL$443</f>
        <v>0</v>
      </c>
      <c r="BM485" s="808">
        <f xml:space="preserve"> Debt!BM$443</f>
        <v>0</v>
      </c>
      <c r="BN485" s="808">
        <f xml:space="preserve"> Debt!BN$443</f>
        <v>0</v>
      </c>
      <c r="BO485" s="808">
        <f xml:space="preserve"> Debt!BO$443</f>
        <v>0</v>
      </c>
      <c r="BP485" s="808">
        <f xml:space="preserve"> Debt!BP$443</f>
        <v>0</v>
      </c>
      <c r="BQ485" s="808">
        <f xml:space="preserve"> Debt!BQ$443</f>
        <v>0</v>
      </c>
      <c r="BR485" s="808">
        <f xml:space="preserve"> Debt!BR$443</f>
        <v>0</v>
      </c>
      <c r="BS485" s="808">
        <f xml:space="preserve"> Debt!BS$443</f>
        <v>0</v>
      </c>
      <c r="BT485" s="808">
        <f xml:space="preserve"> Debt!BT$443</f>
        <v>0</v>
      </c>
      <c r="BU485" s="808">
        <f xml:space="preserve"> Debt!BU$443</f>
        <v>0</v>
      </c>
      <c r="BV485" s="808">
        <f xml:space="preserve"> Debt!BV$443</f>
        <v>0</v>
      </c>
      <c r="BW485" s="808">
        <f xml:space="preserve"> Debt!BW$443</f>
        <v>0</v>
      </c>
      <c r="BX485" s="808">
        <f xml:space="preserve"> Debt!BX$443</f>
        <v>0</v>
      </c>
      <c r="BY485" s="808">
        <f xml:space="preserve"> Debt!BY$443</f>
        <v>0</v>
      </c>
      <c r="BZ485" s="808">
        <f xml:space="preserve"> Debt!BZ$443</f>
        <v>0</v>
      </c>
      <c r="CA485" s="808">
        <f xml:space="preserve"> Debt!CA$443</f>
        <v>0</v>
      </c>
      <c r="CB485" s="808">
        <f xml:space="preserve"> Debt!CB$443</f>
        <v>0</v>
      </c>
      <c r="CC485" s="808">
        <f xml:space="preserve"> Debt!CC$443</f>
        <v>0</v>
      </c>
      <c r="CD485" s="808">
        <f xml:space="preserve"> Debt!CD$443</f>
        <v>0</v>
      </c>
      <c r="CE485" s="808">
        <f xml:space="preserve"> Debt!CE$443</f>
        <v>0</v>
      </c>
      <c r="CF485" s="808">
        <f xml:space="preserve"> Debt!CF$443</f>
        <v>0</v>
      </c>
      <c r="CG485" s="808">
        <f xml:space="preserve"> Debt!CG$443</f>
        <v>0</v>
      </c>
      <c r="CH485" s="808">
        <f xml:space="preserve"> Debt!CH$443</f>
        <v>0</v>
      </c>
      <c r="CI485" s="808">
        <f xml:space="preserve"> Debt!CI$443</f>
        <v>0</v>
      </c>
      <c r="CJ485" s="808">
        <f xml:space="preserve"> Debt!CJ$443</f>
        <v>0</v>
      </c>
      <c r="CK485" s="808">
        <f xml:space="preserve"> Debt!CK$443</f>
        <v>0</v>
      </c>
      <c r="CL485" s="808">
        <f xml:space="preserve"> Debt!CL$443</f>
        <v>0</v>
      </c>
      <c r="CM485" s="808">
        <f xml:space="preserve"> Debt!CM$443</f>
        <v>0</v>
      </c>
      <c r="CN485" s="808">
        <f xml:space="preserve"> Debt!CN$443</f>
        <v>0</v>
      </c>
      <c r="CO485" s="808">
        <f xml:space="preserve"> Debt!CO$443</f>
        <v>0</v>
      </c>
      <c r="CP485" s="808">
        <f xml:space="preserve"> Debt!CP$443</f>
        <v>0</v>
      </c>
      <c r="CQ485" s="808">
        <f xml:space="preserve"> Debt!CQ$443</f>
        <v>0</v>
      </c>
      <c r="CR485" s="808">
        <f xml:space="preserve"> Debt!CR$443</f>
        <v>0</v>
      </c>
      <c r="CS485" s="808">
        <f xml:space="preserve"> Debt!CS$443</f>
        <v>0</v>
      </c>
      <c r="CT485" s="808">
        <f xml:space="preserve"> Debt!CT$443</f>
        <v>0</v>
      </c>
      <c r="CU485" s="808">
        <f xml:space="preserve"> Debt!CU$443</f>
        <v>0</v>
      </c>
      <c r="CV485" s="808">
        <f xml:space="preserve"> Debt!CV$443</f>
        <v>0</v>
      </c>
    </row>
    <row r="486" spans="1:100" s="498" customFormat="1" ht="12.75" outlineLevel="2" x14ac:dyDescent="0.2">
      <c r="A486" s="15"/>
      <c r="B486" s="15"/>
      <c r="C486" s="21"/>
      <c r="D486" s="48"/>
      <c r="E486" s="38" t="str">
        <f t="shared" ref="E486:AJ486" si="821" xml:space="preserve"> E$470</f>
        <v>Unpaid shareholder loan interest</v>
      </c>
      <c r="F486" s="38">
        <f t="shared" si="821"/>
        <v>0</v>
      </c>
      <c r="G486" s="38" t="str">
        <f t="shared" si="821"/>
        <v>$ 000s</v>
      </c>
      <c r="H486" s="38">
        <f t="shared" si="821"/>
        <v>80143.316735866189</v>
      </c>
      <c r="I486" s="38">
        <f t="shared" si="821"/>
        <v>0</v>
      </c>
      <c r="J486" s="38">
        <f t="shared" si="821"/>
        <v>0</v>
      </c>
      <c r="K486" s="38">
        <f t="shared" si="821"/>
        <v>0</v>
      </c>
      <c r="L486" s="38">
        <f t="shared" si="821"/>
        <v>0</v>
      </c>
      <c r="M486" s="38">
        <f t="shared" si="821"/>
        <v>0</v>
      </c>
      <c r="N486" s="38">
        <f t="shared" si="821"/>
        <v>0</v>
      </c>
      <c r="O486" s="38">
        <f t="shared" si="821"/>
        <v>220.65551409018644</v>
      </c>
      <c r="P486" s="38">
        <f t="shared" si="821"/>
        <v>773.27362244938286</v>
      </c>
      <c r="Q486" s="38">
        <f t="shared" si="821"/>
        <v>807.20557417701366</v>
      </c>
      <c r="R486" s="38">
        <f t="shared" si="821"/>
        <v>896.06937711637056</v>
      </c>
      <c r="S486" s="38">
        <f t="shared" si="821"/>
        <v>937.7893969248862</v>
      </c>
      <c r="T486" s="38">
        <f t="shared" si="821"/>
        <v>1041.8421098448962</v>
      </c>
      <c r="U486" s="38">
        <f t="shared" si="821"/>
        <v>1077.6971850477757</v>
      </c>
      <c r="V486" s="38">
        <f t="shared" si="821"/>
        <v>1176.9684760302653</v>
      </c>
      <c r="W486" s="38">
        <f t="shared" si="821"/>
        <v>1262.942843103111</v>
      </c>
      <c r="X486" s="38">
        <f t="shared" si="821"/>
        <v>1365.1279113429791</v>
      </c>
      <c r="Y486" s="38">
        <f t="shared" si="821"/>
        <v>1440.2036033601544</v>
      </c>
      <c r="Z486" s="38">
        <f t="shared" si="821"/>
        <v>1566.2725222302815</v>
      </c>
      <c r="AA486" s="38">
        <f t="shared" si="821"/>
        <v>1649.9423426157664</v>
      </c>
      <c r="AB486" s="38">
        <f t="shared" si="821"/>
        <v>1795.6903538865035</v>
      </c>
      <c r="AC486" s="38">
        <f t="shared" si="821"/>
        <v>1879.0142489243426</v>
      </c>
      <c r="AD486" s="38">
        <f t="shared" si="821"/>
        <v>2025.6441928221175</v>
      </c>
      <c r="AE486" s="38">
        <f t="shared" si="821"/>
        <v>2163.5188680872698</v>
      </c>
      <c r="AF486" s="38">
        <f t="shared" si="821"/>
        <v>2319.3667951168991</v>
      </c>
      <c r="AG486" s="38">
        <f t="shared" si="821"/>
        <v>2449.5290472249208</v>
      </c>
      <c r="AH486" s="38">
        <f t="shared" si="821"/>
        <v>2635.4353178271749</v>
      </c>
      <c r="AI486" s="38">
        <f t="shared" si="821"/>
        <v>2787.9775374116925</v>
      </c>
      <c r="AJ486" s="38">
        <f t="shared" si="821"/>
        <v>3000.8384290236181</v>
      </c>
      <c r="AK486" s="38">
        <f t="shared" ref="AK486:BP486" si="822" xml:space="preserve"> AK$470</f>
        <v>3158.6587364841644</v>
      </c>
      <c r="AL486" s="38">
        <f t="shared" si="822"/>
        <v>3381.2012858064154</v>
      </c>
      <c r="AM486" s="38">
        <f t="shared" si="822"/>
        <v>3601.2755116405469</v>
      </c>
      <c r="AN486" s="38">
        <f t="shared" si="822"/>
        <v>3842.906225706196</v>
      </c>
      <c r="AO486" s="38">
        <f t="shared" si="822"/>
        <v>4066.1308790775092</v>
      </c>
      <c r="AP486" s="38">
        <f t="shared" si="822"/>
        <v>4348.0609961357459</v>
      </c>
      <c r="AQ486" s="38">
        <f t="shared" si="822"/>
        <v>4602.0247814553441</v>
      </c>
      <c r="AR486" s="38">
        <f t="shared" si="822"/>
        <v>4922.6362083347212</v>
      </c>
      <c r="AS486" s="38">
        <f t="shared" si="822"/>
        <v>5198.0296226832506</v>
      </c>
      <c r="AT486" s="38">
        <f t="shared" si="822"/>
        <v>5542.4623054796575</v>
      </c>
      <c r="AU486" s="38">
        <f t="shared" si="822"/>
        <v>1033.5541770799518</v>
      </c>
      <c r="AV486" s="38">
        <f t="shared" si="822"/>
        <v>1173.3707373250945</v>
      </c>
      <c r="AW486" s="38">
        <f t="shared" si="822"/>
        <v>0</v>
      </c>
      <c r="AX486" s="38">
        <f t="shared" si="822"/>
        <v>0</v>
      </c>
      <c r="AY486" s="38">
        <f t="shared" si="822"/>
        <v>0</v>
      </c>
      <c r="AZ486" s="38">
        <f t="shared" si="822"/>
        <v>0</v>
      </c>
      <c r="BA486" s="38">
        <f t="shared" si="822"/>
        <v>0</v>
      </c>
      <c r="BB486" s="38">
        <f t="shared" si="822"/>
        <v>0</v>
      </c>
      <c r="BC486" s="38">
        <f t="shared" si="822"/>
        <v>0</v>
      </c>
      <c r="BD486" s="38">
        <f t="shared" si="822"/>
        <v>0</v>
      </c>
      <c r="BE486" s="38">
        <f t="shared" si="822"/>
        <v>0</v>
      </c>
      <c r="BF486" s="38">
        <f t="shared" si="822"/>
        <v>0</v>
      </c>
      <c r="BG486" s="38">
        <f t="shared" si="822"/>
        <v>0</v>
      </c>
      <c r="BH486" s="38">
        <f t="shared" si="822"/>
        <v>0</v>
      </c>
      <c r="BI486" s="38">
        <f t="shared" si="822"/>
        <v>0</v>
      </c>
      <c r="BJ486" s="38">
        <f t="shared" si="822"/>
        <v>0</v>
      </c>
      <c r="BK486" s="38">
        <f t="shared" si="822"/>
        <v>0</v>
      </c>
      <c r="BL486" s="38">
        <f t="shared" si="822"/>
        <v>0</v>
      </c>
      <c r="BM486" s="38">
        <f t="shared" si="822"/>
        <v>0</v>
      </c>
      <c r="BN486" s="38">
        <f t="shared" si="822"/>
        <v>0</v>
      </c>
      <c r="BO486" s="38">
        <f t="shared" si="822"/>
        <v>0</v>
      </c>
      <c r="BP486" s="38">
        <f t="shared" si="822"/>
        <v>0</v>
      </c>
      <c r="BQ486" s="38">
        <f t="shared" ref="BQ486:CV486" si="823" xml:space="preserve"> BQ$470</f>
        <v>0</v>
      </c>
      <c r="BR486" s="38">
        <f t="shared" si="823"/>
        <v>0</v>
      </c>
      <c r="BS486" s="38">
        <f t="shared" si="823"/>
        <v>0</v>
      </c>
      <c r="BT486" s="38">
        <f t="shared" si="823"/>
        <v>0</v>
      </c>
      <c r="BU486" s="38">
        <f t="shared" si="823"/>
        <v>0</v>
      </c>
      <c r="BV486" s="38">
        <f t="shared" si="823"/>
        <v>0</v>
      </c>
      <c r="BW486" s="38">
        <f t="shared" si="823"/>
        <v>0</v>
      </c>
      <c r="BX486" s="38">
        <f t="shared" si="823"/>
        <v>0</v>
      </c>
      <c r="BY486" s="38">
        <f t="shared" si="823"/>
        <v>0</v>
      </c>
      <c r="BZ486" s="38">
        <f t="shared" si="823"/>
        <v>0</v>
      </c>
      <c r="CA486" s="38">
        <f t="shared" si="823"/>
        <v>0</v>
      </c>
      <c r="CB486" s="38">
        <f t="shared" si="823"/>
        <v>0</v>
      </c>
      <c r="CC486" s="38">
        <f t="shared" si="823"/>
        <v>0</v>
      </c>
      <c r="CD486" s="38">
        <f t="shared" si="823"/>
        <v>0</v>
      </c>
      <c r="CE486" s="38">
        <f t="shared" si="823"/>
        <v>0</v>
      </c>
      <c r="CF486" s="38">
        <f t="shared" si="823"/>
        <v>0</v>
      </c>
      <c r="CG486" s="38">
        <f t="shared" si="823"/>
        <v>0</v>
      </c>
      <c r="CH486" s="38">
        <f t="shared" si="823"/>
        <v>0</v>
      </c>
      <c r="CI486" s="38">
        <f t="shared" si="823"/>
        <v>0</v>
      </c>
      <c r="CJ486" s="38">
        <f t="shared" si="823"/>
        <v>0</v>
      </c>
      <c r="CK486" s="38">
        <f t="shared" si="823"/>
        <v>0</v>
      </c>
      <c r="CL486" s="38">
        <f t="shared" si="823"/>
        <v>0</v>
      </c>
      <c r="CM486" s="38">
        <f t="shared" si="823"/>
        <v>0</v>
      </c>
      <c r="CN486" s="38">
        <f t="shared" si="823"/>
        <v>0</v>
      </c>
      <c r="CO486" s="38">
        <f t="shared" si="823"/>
        <v>0</v>
      </c>
      <c r="CP486" s="38">
        <f t="shared" si="823"/>
        <v>0</v>
      </c>
      <c r="CQ486" s="38">
        <f t="shared" si="823"/>
        <v>0</v>
      </c>
      <c r="CR486" s="38">
        <f t="shared" si="823"/>
        <v>0</v>
      </c>
      <c r="CS486" s="38">
        <f t="shared" si="823"/>
        <v>0</v>
      </c>
      <c r="CT486" s="38">
        <f t="shared" si="823"/>
        <v>0</v>
      </c>
      <c r="CU486" s="38">
        <f t="shared" si="823"/>
        <v>0</v>
      </c>
      <c r="CV486" s="38">
        <f t="shared" si="823"/>
        <v>0</v>
      </c>
    </row>
    <row r="487" spans="1:100" s="498" customFormat="1" ht="12.75" outlineLevel="2" x14ac:dyDescent="0.2">
      <c r="A487" s="15"/>
      <c r="B487" s="15"/>
      <c r="C487" s="21"/>
      <c r="D487" s="48"/>
      <c r="E487" s="38" t="str">
        <f t="shared" ref="E487:AJ487" si="824" xml:space="preserve"> E$479</f>
        <v>Shareholder loan principal repayment POS</v>
      </c>
      <c r="F487" s="38">
        <f t="shared" si="824"/>
        <v>0</v>
      </c>
      <c r="G487" s="38" t="str">
        <f t="shared" si="824"/>
        <v>$ 000s</v>
      </c>
      <c r="H487" s="38">
        <f t="shared" si="824"/>
        <v>27073.534167424834</v>
      </c>
      <c r="I487" s="38">
        <f t="shared" si="824"/>
        <v>0</v>
      </c>
      <c r="J487" s="38">
        <f t="shared" si="824"/>
        <v>0</v>
      </c>
      <c r="K487" s="38">
        <f t="shared" si="824"/>
        <v>0</v>
      </c>
      <c r="L487" s="38">
        <f t="shared" si="824"/>
        <v>0</v>
      </c>
      <c r="M487" s="38">
        <f t="shared" si="824"/>
        <v>0</v>
      </c>
      <c r="N487" s="38">
        <f t="shared" si="824"/>
        <v>0</v>
      </c>
      <c r="O487" s="38">
        <f t="shared" si="824"/>
        <v>0</v>
      </c>
      <c r="P487" s="38">
        <f t="shared" si="824"/>
        <v>0</v>
      </c>
      <c r="Q487" s="38">
        <f t="shared" si="824"/>
        <v>0</v>
      </c>
      <c r="R487" s="38">
        <f t="shared" si="824"/>
        <v>0</v>
      </c>
      <c r="S487" s="38">
        <f t="shared" si="824"/>
        <v>0</v>
      </c>
      <c r="T487" s="38">
        <f t="shared" si="824"/>
        <v>0</v>
      </c>
      <c r="U487" s="38">
        <f t="shared" si="824"/>
        <v>0</v>
      </c>
      <c r="V487" s="38">
        <f t="shared" si="824"/>
        <v>0</v>
      </c>
      <c r="W487" s="38">
        <f t="shared" si="824"/>
        <v>0</v>
      </c>
      <c r="X487" s="38">
        <f t="shared" si="824"/>
        <v>0</v>
      </c>
      <c r="Y487" s="38">
        <f t="shared" si="824"/>
        <v>0</v>
      </c>
      <c r="Z487" s="38">
        <f t="shared" si="824"/>
        <v>0</v>
      </c>
      <c r="AA487" s="38">
        <f t="shared" si="824"/>
        <v>0</v>
      </c>
      <c r="AB487" s="38">
        <f t="shared" si="824"/>
        <v>0</v>
      </c>
      <c r="AC487" s="38">
        <f t="shared" si="824"/>
        <v>0</v>
      </c>
      <c r="AD487" s="38">
        <f t="shared" si="824"/>
        <v>0</v>
      </c>
      <c r="AE487" s="38">
        <f t="shared" si="824"/>
        <v>0</v>
      </c>
      <c r="AF487" s="38">
        <f t="shared" si="824"/>
        <v>0</v>
      </c>
      <c r="AG487" s="38">
        <f t="shared" si="824"/>
        <v>0</v>
      </c>
      <c r="AH487" s="38">
        <f t="shared" si="824"/>
        <v>0</v>
      </c>
      <c r="AI487" s="38">
        <f t="shared" si="824"/>
        <v>0</v>
      </c>
      <c r="AJ487" s="38">
        <f t="shared" si="824"/>
        <v>0</v>
      </c>
      <c r="AK487" s="38">
        <f t="shared" ref="AK487:BP487" si="825" xml:space="preserve"> AK$479</f>
        <v>0</v>
      </c>
      <c r="AL487" s="38">
        <f t="shared" si="825"/>
        <v>0</v>
      </c>
      <c r="AM487" s="38">
        <f t="shared" si="825"/>
        <v>0</v>
      </c>
      <c r="AN487" s="38">
        <f t="shared" si="825"/>
        <v>0</v>
      </c>
      <c r="AO487" s="38">
        <f t="shared" si="825"/>
        <v>0</v>
      </c>
      <c r="AP487" s="38">
        <f t="shared" si="825"/>
        <v>0</v>
      </c>
      <c r="AQ487" s="38">
        <f t="shared" si="825"/>
        <v>0</v>
      </c>
      <c r="AR487" s="38">
        <f t="shared" si="825"/>
        <v>0</v>
      </c>
      <c r="AS487" s="38">
        <f t="shared" si="825"/>
        <v>0</v>
      </c>
      <c r="AT487" s="38">
        <f t="shared" si="825"/>
        <v>0</v>
      </c>
      <c r="AU487" s="38">
        <f t="shared" si="825"/>
        <v>0</v>
      </c>
      <c r="AV487" s="38">
        <f t="shared" si="825"/>
        <v>0</v>
      </c>
      <c r="AW487" s="38">
        <f t="shared" si="825"/>
        <v>3620.0771068124504</v>
      </c>
      <c r="AX487" s="38">
        <f t="shared" si="825"/>
        <v>3690.9620338427376</v>
      </c>
      <c r="AY487" s="38">
        <f t="shared" si="825"/>
        <v>3908.7433969768135</v>
      </c>
      <c r="AZ487" s="38">
        <f t="shared" si="825"/>
        <v>3997.6326566609459</v>
      </c>
      <c r="BA487" s="38">
        <f t="shared" si="825"/>
        <v>4230.9514043207746</v>
      </c>
      <c r="BB487" s="38">
        <f t="shared" si="825"/>
        <v>7625.1675688111136</v>
      </c>
      <c r="BC487" s="38">
        <f t="shared" si="825"/>
        <v>0</v>
      </c>
      <c r="BD487" s="38">
        <f t="shared" si="825"/>
        <v>0</v>
      </c>
      <c r="BE487" s="38">
        <f t="shared" si="825"/>
        <v>0</v>
      </c>
      <c r="BF487" s="38">
        <f t="shared" si="825"/>
        <v>0</v>
      </c>
      <c r="BG487" s="38">
        <f t="shared" si="825"/>
        <v>0</v>
      </c>
      <c r="BH487" s="38">
        <f t="shared" si="825"/>
        <v>0</v>
      </c>
      <c r="BI487" s="38">
        <f t="shared" si="825"/>
        <v>0</v>
      </c>
      <c r="BJ487" s="38">
        <f t="shared" si="825"/>
        <v>0</v>
      </c>
      <c r="BK487" s="38">
        <f t="shared" si="825"/>
        <v>0</v>
      </c>
      <c r="BL487" s="38">
        <f t="shared" si="825"/>
        <v>0</v>
      </c>
      <c r="BM487" s="38">
        <f t="shared" si="825"/>
        <v>0</v>
      </c>
      <c r="BN487" s="38">
        <f t="shared" si="825"/>
        <v>0</v>
      </c>
      <c r="BO487" s="38">
        <f t="shared" si="825"/>
        <v>0</v>
      </c>
      <c r="BP487" s="38">
        <f t="shared" si="825"/>
        <v>0</v>
      </c>
      <c r="BQ487" s="38">
        <f t="shared" ref="BQ487:CV487" si="826" xml:space="preserve"> BQ$479</f>
        <v>0</v>
      </c>
      <c r="BR487" s="38">
        <f t="shared" si="826"/>
        <v>0</v>
      </c>
      <c r="BS487" s="38">
        <f t="shared" si="826"/>
        <v>0</v>
      </c>
      <c r="BT487" s="38">
        <f t="shared" si="826"/>
        <v>0</v>
      </c>
      <c r="BU487" s="38">
        <f t="shared" si="826"/>
        <v>0</v>
      </c>
      <c r="BV487" s="38">
        <f t="shared" si="826"/>
        <v>0</v>
      </c>
      <c r="BW487" s="38">
        <f t="shared" si="826"/>
        <v>0</v>
      </c>
      <c r="BX487" s="38">
        <f t="shared" si="826"/>
        <v>0</v>
      </c>
      <c r="BY487" s="38">
        <f t="shared" si="826"/>
        <v>0</v>
      </c>
      <c r="BZ487" s="38">
        <f t="shared" si="826"/>
        <v>0</v>
      </c>
      <c r="CA487" s="38">
        <f t="shared" si="826"/>
        <v>0</v>
      </c>
      <c r="CB487" s="38">
        <f t="shared" si="826"/>
        <v>0</v>
      </c>
      <c r="CC487" s="38">
        <f t="shared" si="826"/>
        <v>0</v>
      </c>
      <c r="CD487" s="38">
        <f t="shared" si="826"/>
        <v>0</v>
      </c>
      <c r="CE487" s="38">
        <f t="shared" si="826"/>
        <v>0</v>
      </c>
      <c r="CF487" s="38">
        <f t="shared" si="826"/>
        <v>0</v>
      </c>
      <c r="CG487" s="38">
        <f t="shared" si="826"/>
        <v>0</v>
      </c>
      <c r="CH487" s="38">
        <f t="shared" si="826"/>
        <v>0</v>
      </c>
      <c r="CI487" s="38">
        <f t="shared" si="826"/>
        <v>0</v>
      </c>
      <c r="CJ487" s="38">
        <f t="shared" si="826"/>
        <v>0</v>
      </c>
      <c r="CK487" s="38">
        <f t="shared" si="826"/>
        <v>0</v>
      </c>
      <c r="CL487" s="38">
        <f t="shared" si="826"/>
        <v>0</v>
      </c>
      <c r="CM487" s="38">
        <f t="shared" si="826"/>
        <v>0</v>
      </c>
      <c r="CN487" s="38">
        <f t="shared" si="826"/>
        <v>0</v>
      </c>
      <c r="CO487" s="38">
        <f t="shared" si="826"/>
        <v>0</v>
      </c>
      <c r="CP487" s="38">
        <f t="shared" si="826"/>
        <v>0</v>
      </c>
      <c r="CQ487" s="38">
        <f t="shared" si="826"/>
        <v>0</v>
      </c>
      <c r="CR487" s="38">
        <f t="shared" si="826"/>
        <v>0</v>
      </c>
      <c r="CS487" s="38">
        <f t="shared" si="826"/>
        <v>0</v>
      </c>
      <c r="CT487" s="38">
        <f t="shared" si="826"/>
        <v>0</v>
      </c>
      <c r="CU487" s="38">
        <f t="shared" si="826"/>
        <v>0</v>
      </c>
      <c r="CV487" s="38">
        <f t="shared" si="826"/>
        <v>0</v>
      </c>
    </row>
    <row r="488" spans="1:100" s="541" customFormat="1" ht="12.75" outlineLevel="2" x14ac:dyDescent="0.2">
      <c r="A488" s="391"/>
      <c r="B488" s="391"/>
      <c r="C488" s="392"/>
      <c r="D488" s="627" t="s">
        <v>372</v>
      </c>
      <c r="E488" s="394" t="s">
        <v>334</v>
      </c>
      <c r="F488" s="394"/>
      <c r="G488" s="394" t="str">
        <f xml:space="preserve"> SMU</f>
        <v>$ 000s</v>
      </c>
      <c r="H488" s="394"/>
      <c r="I488" s="395"/>
      <c r="J488" s="394">
        <f t="shared" ref="J488:AO488" si="827" xml:space="preserve"> SUM(J483:J486) - J487</f>
        <v>0</v>
      </c>
      <c r="K488" s="394">
        <f t="shared" si="827"/>
        <v>0</v>
      </c>
      <c r="L488" s="394">
        <f t="shared" si="827"/>
        <v>0</v>
      </c>
      <c r="M488" s="394">
        <f t="shared" si="827"/>
        <v>0</v>
      </c>
      <c r="N488" s="394">
        <f t="shared" si="827"/>
        <v>86318.253106861201</v>
      </c>
      <c r="O488" s="394">
        <f t="shared" si="827"/>
        <v>86538.908620951392</v>
      </c>
      <c r="P488" s="394">
        <f t="shared" si="827"/>
        <v>87312.182243400777</v>
      </c>
      <c r="Q488" s="394">
        <f t="shared" si="827"/>
        <v>88119.387817577794</v>
      </c>
      <c r="R488" s="394">
        <f t="shared" si="827"/>
        <v>89015.457194694158</v>
      </c>
      <c r="S488" s="394">
        <f t="shared" si="827"/>
        <v>89953.246591619041</v>
      </c>
      <c r="T488" s="394">
        <f t="shared" si="827"/>
        <v>90995.088701463945</v>
      </c>
      <c r="U488" s="394">
        <f t="shared" si="827"/>
        <v>92072.785886511716</v>
      </c>
      <c r="V488" s="394">
        <f t="shared" si="827"/>
        <v>93249.754362541978</v>
      </c>
      <c r="W488" s="394">
        <f t="shared" si="827"/>
        <v>94512.69720564509</v>
      </c>
      <c r="X488" s="394">
        <f t="shared" si="827"/>
        <v>95877.825116988068</v>
      </c>
      <c r="Y488" s="394">
        <f t="shared" si="827"/>
        <v>97318.028720348229</v>
      </c>
      <c r="Z488" s="394">
        <f t="shared" si="827"/>
        <v>98884.301242578513</v>
      </c>
      <c r="AA488" s="394">
        <f t="shared" si="827"/>
        <v>100534.24358519429</v>
      </c>
      <c r="AB488" s="394">
        <f t="shared" si="827"/>
        <v>102329.93393908079</v>
      </c>
      <c r="AC488" s="394">
        <f t="shared" si="827"/>
        <v>104208.94818800513</v>
      </c>
      <c r="AD488" s="394">
        <f t="shared" si="827"/>
        <v>106234.59238082725</v>
      </c>
      <c r="AE488" s="394">
        <f t="shared" si="827"/>
        <v>108398.11124891452</v>
      </c>
      <c r="AF488" s="394">
        <f t="shared" si="827"/>
        <v>110717.47804403142</v>
      </c>
      <c r="AG488" s="394">
        <f t="shared" si="827"/>
        <v>113167.00709125634</v>
      </c>
      <c r="AH488" s="394">
        <f t="shared" si="827"/>
        <v>115802.44240908351</v>
      </c>
      <c r="AI488" s="394">
        <f t="shared" si="827"/>
        <v>118590.4199464952</v>
      </c>
      <c r="AJ488" s="394">
        <f t="shared" si="827"/>
        <v>121591.25837551881</v>
      </c>
      <c r="AK488" s="394">
        <f t="shared" si="827"/>
        <v>124749.91711200298</v>
      </c>
      <c r="AL488" s="394">
        <f t="shared" si="827"/>
        <v>128131.11839780939</v>
      </c>
      <c r="AM488" s="394">
        <f t="shared" si="827"/>
        <v>131732.39390944995</v>
      </c>
      <c r="AN488" s="394">
        <f t="shared" si="827"/>
        <v>135575.30013515614</v>
      </c>
      <c r="AO488" s="394">
        <f t="shared" si="827"/>
        <v>139641.43101423365</v>
      </c>
      <c r="AP488" s="394">
        <f t="shared" ref="AP488:BU488" si="828" xml:space="preserve"> SUM(AP483:AP486) - AP487</f>
        <v>143989.4920103694</v>
      </c>
      <c r="AQ488" s="394">
        <f t="shared" si="828"/>
        <v>148591.51679182475</v>
      </c>
      <c r="AR488" s="394">
        <f t="shared" si="828"/>
        <v>153514.15300015948</v>
      </c>
      <c r="AS488" s="394">
        <f t="shared" si="828"/>
        <v>158712.18262284272</v>
      </c>
      <c r="AT488" s="394">
        <f t="shared" si="828"/>
        <v>164254.64492832238</v>
      </c>
      <c r="AU488" s="394">
        <f t="shared" si="828"/>
        <v>165288.19910540234</v>
      </c>
      <c r="AV488" s="394">
        <f t="shared" si="828"/>
        <v>166461.56984272745</v>
      </c>
      <c r="AW488" s="394">
        <f t="shared" si="828"/>
        <v>162841.492735915</v>
      </c>
      <c r="AX488" s="394">
        <f t="shared" si="828"/>
        <v>159150.53070207225</v>
      </c>
      <c r="AY488" s="394">
        <f t="shared" si="828"/>
        <v>155241.78730509544</v>
      </c>
      <c r="AZ488" s="394">
        <f t="shared" si="828"/>
        <v>151244.15464843449</v>
      </c>
      <c r="BA488" s="394">
        <f t="shared" si="828"/>
        <v>147013.20324411371</v>
      </c>
      <c r="BB488" s="394">
        <f t="shared" si="828"/>
        <v>139388.03567530261</v>
      </c>
      <c r="BC488" s="394">
        <f t="shared" si="828"/>
        <v>139388.03567530261</v>
      </c>
      <c r="BD488" s="394">
        <f t="shared" si="828"/>
        <v>139388.03567530261</v>
      </c>
      <c r="BE488" s="394">
        <f t="shared" si="828"/>
        <v>139388.03567530261</v>
      </c>
      <c r="BF488" s="394">
        <f t="shared" si="828"/>
        <v>139388.03567530261</v>
      </c>
      <c r="BG488" s="394">
        <f t="shared" si="828"/>
        <v>139388.03567530261</v>
      </c>
      <c r="BH488" s="394">
        <f t="shared" si="828"/>
        <v>139388.03567530261</v>
      </c>
      <c r="BI488" s="394">
        <f t="shared" si="828"/>
        <v>139388.03567530261</v>
      </c>
      <c r="BJ488" s="394">
        <f t="shared" si="828"/>
        <v>139388.03567530261</v>
      </c>
      <c r="BK488" s="394">
        <f t="shared" si="828"/>
        <v>139388.03567530261</v>
      </c>
      <c r="BL488" s="394">
        <f t="shared" si="828"/>
        <v>139388.03567530261</v>
      </c>
      <c r="BM488" s="394">
        <f t="shared" si="828"/>
        <v>139388.03567530261</v>
      </c>
      <c r="BN488" s="394">
        <f t="shared" si="828"/>
        <v>139388.03567530261</v>
      </c>
      <c r="BO488" s="394">
        <f t="shared" si="828"/>
        <v>139388.03567530261</v>
      </c>
      <c r="BP488" s="394">
        <f t="shared" si="828"/>
        <v>139388.03567530261</v>
      </c>
      <c r="BQ488" s="394">
        <f t="shared" si="828"/>
        <v>139388.03567530261</v>
      </c>
      <c r="BR488" s="394">
        <f t="shared" si="828"/>
        <v>139388.03567530261</v>
      </c>
      <c r="BS488" s="394">
        <f t="shared" si="828"/>
        <v>139388.03567530261</v>
      </c>
      <c r="BT488" s="394">
        <f t="shared" si="828"/>
        <v>139388.03567530261</v>
      </c>
      <c r="BU488" s="394">
        <f t="shared" si="828"/>
        <v>139388.03567530261</v>
      </c>
      <c r="BV488" s="394">
        <f t="shared" ref="BV488:CV488" si="829" xml:space="preserve"> SUM(BV483:BV486) - BV487</f>
        <v>139388.03567530261</v>
      </c>
      <c r="BW488" s="394">
        <f t="shared" si="829"/>
        <v>139388.03567530261</v>
      </c>
      <c r="BX488" s="394">
        <f t="shared" si="829"/>
        <v>139388.03567530261</v>
      </c>
      <c r="BY488" s="394">
        <f t="shared" si="829"/>
        <v>139388.03567530261</v>
      </c>
      <c r="BZ488" s="394">
        <f t="shared" si="829"/>
        <v>139388.03567530261</v>
      </c>
      <c r="CA488" s="394">
        <f t="shared" si="829"/>
        <v>139388.03567530261</v>
      </c>
      <c r="CB488" s="394">
        <f t="shared" si="829"/>
        <v>139388.03567530261</v>
      </c>
      <c r="CC488" s="394">
        <f t="shared" si="829"/>
        <v>139388.03567530261</v>
      </c>
      <c r="CD488" s="394">
        <f t="shared" si="829"/>
        <v>139388.03567530261</v>
      </c>
      <c r="CE488" s="394">
        <f t="shared" si="829"/>
        <v>139388.03567530261</v>
      </c>
      <c r="CF488" s="394">
        <f t="shared" si="829"/>
        <v>139388.03567530261</v>
      </c>
      <c r="CG488" s="394">
        <f t="shared" si="829"/>
        <v>139388.03567530261</v>
      </c>
      <c r="CH488" s="394">
        <f t="shared" si="829"/>
        <v>139388.03567530261</v>
      </c>
      <c r="CI488" s="394">
        <f t="shared" si="829"/>
        <v>139388.03567530261</v>
      </c>
      <c r="CJ488" s="394">
        <f t="shared" si="829"/>
        <v>139388.03567530261</v>
      </c>
      <c r="CK488" s="394">
        <f t="shared" si="829"/>
        <v>139388.03567530261</v>
      </c>
      <c r="CL488" s="394">
        <f t="shared" si="829"/>
        <v>139388.03567530261</v>
      </c>
      <c r="CM488" s="394">
        <f t="shared" si="829"/>
        <v>139388.03567530261</v>
      </c>
      <c r="CN488" s="394">
        <f t="shared" si="829"/>
        <v>139388.03567530261</v>
      </c>
      <c r="CO488" s="394">
        <f t="shared" si="829"/>
        <v>139388.03567530261</v>
      </c>
      <c r="CP488" s="394">
        <f t="shared" si="829"/>
        <v>139388.03567530261</v>
      </c>
      <c r="CQ488" s="394">
        <f t="shared" si="829"/>
        <v>139388.03567530261</v>
      </c>
      <c r="CR488" s="394">
        <f t="shared" si="829"/>
        <v>139388.03567530261</v>
      </c>
      <c r="CS488" s="394">
        <f t="shared" si="829"/>
        <v>139388.03567530261</v>
      </c>
      <c r="CT488" s="394">
        <f t="shared" si="829"/>
        <v>139388.03567530261</v>
      </c>
      <c r="CU488" s="394">
        <f t="shared" si="829"/>
        <v>139388.03567530261</v>
      </c>
      <c r="CV488" s="394">
        <f t="shared" si="829"/>
        <v>139388.03567530261</v>
      </c>
    </row>
    <row r="489" spans="1:100" ht="12.75" outlineLevel="2" x14ac:dyDescent="0.2"/>
    <row r="490" spans="1:100" ht="12.75" x14ac:dyDescent="0.2"/>
    <row r="491" spans="1:100" ht="12.75" x14ac:dyDescent="0.2">
      <c r="A491" s="15" t="s">
        <v>1183</v>
      </c>
    </row>
    <row r="492" spans="1:100" ht="12.75" outlineLevel="1" x14ac:dyDescent="0.2">
      <c r="E492" s="6"/>
    </row>
    <row r="493" spans="1:100" ht="12.75" outlineLevel="1" x14ac:dyDescent="0.2">
      <c r="B493" s="15" t="s">
        <v>1184</v>
      </c>
      <c r="E493" s="6"/>
    </row>
    <row r="494" spans="1:100" s="283" customFormat="1" ht="12.75" outlineLevel="2" x14ac:dyDescent="0.2">
      <c r="A494" s="556"/>
      <c r="B494" s="556"/>
      <c r="C494" s="557"/>
      <c r="D494" s="115"/>
      <c r="E494" s="450" t="str">
        <f xml:space="preserve"> InpC!E$372</f>
        <v>Shareholder loan annual interest rate</v>
      </c>
      <c r="F494" s="450">
        <f xml:space="preserve"> InpC!F$372</f>
        <v>0.12</v>
      </c>
      <c r="G494" s="450" t="str">
        <f xml:space="preserve"> InpC!G$372</f>
        <v>% p.a.</v>
      </c>
      <c r="H494" s="282"/>
      <c r="I494" s="112"/>
      <c r="J494" s="282"/>
      <c r="K494" s="282"/>
      <c r="L494" s="282"/>
      <c r="M494" s="282"/>
      <c r="N494" s="282"/>
      <c r="O494" s="282"/>
      <c r="P494" s="282"/>
      <c r="Q494" s="282"/>
      <c r="R494" s="282"/>
      <c r="S494" s="282"/>
      <c r="T494" s="282"/>
      <c r="U494" s="282"/>
      <c r="V494" s="282"/>
      <c r="W494" s="282"/>
      <c r="X494" s="282"/>
      <c r="Y494" s="282"/>
      <c r="Z494" s="282"/>
      <c r="AA494" s="282"/>
      <c r="AB494" s="282"/>
      <c r="AC494" s="282"/>
      <c r="AD494" s="282"/>
      <c r="AE494" s="282"/>
      <c r="AF494" s="282"/>
      <c r="AG494" s="282"/>
      <c r="AH494" s="282"/>
      <c r="AI494" s="282"/>
      <c r="AJ494" s="282"/>
      <c r="AK494" s="282"/>
      <c r="AL494" s="282"/>
      <c r="AM494" s="282"/>
      <c r="AN494" s="282"/>
      <c r="AO494" s="282"/>
      <c r="AP494" s="282"/>
      <c r="AQ494" s="282"/>
      <c r="AR494" s="282"/>
      <c r="AS494" s="282"/>
      <c r="AT494" s="282"/>
      <c r="AU494" s="282"/>
      <c r="AV494" s="282"/>
      <c r="AW494" s="282"/>
      <c r="AX494" s="282"/>
      <c r="AY494" s="282"/>
      <c r="AZ494" s="282"/>
      <c r="BA494" s="282"/>
      <c r="BB494" s="282"/>
      <c r="BC494" s="282"/>
      <c r="BD494" s="282"/>
      <c r="BE494" s="282"/>
      <c r="BF494" s="282"/>
      <c r="BG494" s="282"/>
      <c r="BH494" s="282"/>
      <c r="BI494" s="282"/>
      <c r="BJ494" s="282"/>
      <c r="BK494" s="282"/>
      <c r="BL494" s="282"/>
      <c r="BM494" s="282"/>
      <c r="BN494" s="282"/>
      <c r="BO494" s="282"/>
      <c r="BP494" s="282"/>
      <c r="BQ494" s="282"/>
      <c r="BR494" s="282"/>
      <c r="BS494" s="282"/>
      <c r="BT494" s="282"/>
      <c r="BU494" s="282"/>
      <c r="BV494" s="282"/>
      <c r="BW494" s="282"/>
      <c r="BX494" s="282"/>
      <c r="BY494" s="282"/>
      <c r="BZ494" s="282"/>
      <c r="CA494" s="282"/>
      <c r="CB494" s="282"/>
      <c r="CC494" s="282"/>
      <c r="CD494" s="282"/>
      <c r="CE494" s="282"/>
      <c r="CF494" s="282"/>
      <c r="CG494" s="282"/>
      <c r="CH494" s="282"/>
      <c r="CI494" s="282"/>
      <c r="CJ494" s="282"/>
      <c r="CK494" s="282"/>
      <c r="CL494" s="282"/>
      <c r="CM494" s="282"/>
      <c r="CN494" s="282"/>
      <c r="CO494" s="282"/>
      <c r="CP494" s="282"/>
      <c r="CQ494" s="282"/>
      <c r="CR494" s="282"/>
      <c r="CS494" s="282"/>
      <c r="CT494" s="282"/>
      <c r="CU494" s="282"/>
      <c r="CV494" s="282"/>
    </row>
    <row r="495" spans="1:100" ht="12.75" outlineLevel="2" x14ac:dyDescent="0.2">
      <c r="E495" s="186" t="str">
        <f xml:space="preserve"> InpC!E$415</f>
        <v>Number of periods in a year</v>
      </c>
      <c r="F495" s="186">
        <f xml:space="preserve"> InpC!F$415</f>
        <v>2</v>
      </c>
      <c r="G495" s="186" t="str">
        <f xml:space="preserve"> InpC!G$415</f>
        <v>periods</v>
      </c>
    </row>
    <row r="496" spans="1:100" ht="12.75" outlineLevel="2" x14ac:dyDescent="0.2">
      <c r="E496" s="12" t="str">
        <f t="shared" ref="E496:AJ496" si="830" xml:space="preserve"> E$527</f>
        <v>Shareholder loan balance BEG - P99</v>
      </c>
      <c r="F496" s="12">
        <f t="shared" si="830"/>
        <v>0</v>
      </c>
      <c r="G496" s="12" t="str">
        <f t="shared" si="830"/>
        <v>$ 000s</v>
      </c>
      <c r="H496" s="12">
        <f t="shared" si="830"/>
        <v>0</v>
      </c>
      <c r="I496" s="12">
        <f t="shared" si="830"/>
        <v>0</v>
      </c>
      <c r="J496" s="12">
        <f t="shared" si="830"/>
        <v>0</v>
      </c>
      <c r="K496" s="12">
        <f t="shared" ca="1" si="830"/>
        <v>0</v>
      </c>
      <c r="L496" s="12">
        <f t="shared" ca="1" si="830"/>
        <v>0</v>
      </c>
      <c r="M496" s="12">
        <f t="shared" ca="1" si="830"/>
        <v>0</v>
      </c>
      <c r="N496" s="12">
        <f t="shared" ca="1" si="830"/>
        <v>0</v>
      </c>
      <c r="O496" s="12">
        <f t="shared" ca="1" si="830"/>
        <v>86318.253106861201</v>
      </c>
      <c r="P496" s="12">
        <f t="shared" ca="1" si="830"/>
        <v>90163.650672716307</v>
      </c>
      <c r="Q496" s="12">
        <f t="shared" ca="1" si="830"/>
        <v>94720.339290282049</v>
      </c>
      <c r="R496" s="12">
        <f t="shared" ca="1" si="830"/>
        <v>99613.365538606842</v>
      </c>
      <c r="S496" s="12">
        <f t="shared" ca="1" si="830"/>
        <v>104764.80917874641</v>
      </c>
      <c r="T496" s="12">
        <f t="shared" ca="1" si="830"/>
        <v>110288.38984299544</v>
      </c>
      <c r="U496" s="12">
        <f t="shared" ca="1" si="830"/>
        <v>116116.09244347698</v>
      </c>
      <c r="V496" s="12">
        <f t="shared" ca="1" si="830"/>
        <v>122341.59041540218</v>
      </c>
      <c r="W496" s="12">
        <f t="shared" ca="1" si="830"/>
        <v>128921.20164661985</v>
      </c>
      <c r="X496" s="12">
        <f t="shared" ca="1" si="830"/>
        <v>135959.81047662592</v>
      </c>
      <c r="Y496" s="12">
        <f t="shared" ca="1" si="830"/>
        <v>143378.20034652972</v>
      </c>
      <c r="Z496" s="12">
        <f t="shared" ca="1" si="830"/>
        <v>151305.11391645728</v>
      </c>
      <c r="AA496" s="12">
        <f t="shared" ca="1" si="830"/>
        <v>159673.92203174141</v>
      </c>
      <c r="AB496" s="12">
        <f t="shared" ca="1" si="830"/>
        <v>168608.41174150584</v>
      </c>
      <c r="AC496" s="12">
        <f t="shared" ca="1" si="830"/>
        <v>178052.89625607719</v>
      </c>
      <c r="AD496" s="12">
        <f t="shared" ca="1" si="830"/>
        <v>188113.19731928763</v>
      </c>
      <c r="AE496" s="12">
        <f t="shared" ca="1" si="830"/>
        <v>198758.69299766427</v>
      </c>
      <c r="AF496" s="12">
        <f t="shared" ca="1" si="830"/>
        <v>210107.51556208919</v>
      </c>
      <c r="AG496" s="12">
        <f t="shared" ca="1" si="830"/>
        <v>222096.65040994092</v>
      </c>
      <c r="AH496" s="12">
        <f t="shared" ca="1" si="830"/>
        <v>234869.11464442016</v>
      </c>
      <c r="AI496" s="12">
        <f t="shared" ca="1" si="830"/>
        <v>248375.73565143239</v>
      </c>
      <c r="AJ496" s="12">
        <f t="shared" ca="1" si="830"/>
        <v>262756.88818668568</v>
      </c>
      <c r="AK496" s="12">
        <f t="shared" ref="AK496:BP496" ca="1" si="831" xml:space="preserve"> AK$527</f>
        <v>277976.12713497377</v>
      </c>
      <c r="AL496" s="12">
        <f t="shared" ca="1" si="831"/>
        <v>294158.78919677972</v>
      </c>
      <c r="AM496" s="12">
        <f t="shared" ca="1" si="831"/>
        <v>311295.04249252513</v>
      </c>
      <c r="AN496" s="12">
        <f t="shared" ca="1" si="831"/>
        <v>329524.51410482882</v>
      </c>
      <c r="AO496" s="12">
        <f t="shared" ca="1" si="831"/>
        <v>348809.1713601693</v>
      </c>
      <c r="AP496" s="12">
        <f t="shared" ca="1" si="831"/>
        <v>369315.53334659862</v>
      </c>
      <c r="AQ496" s="12">
        <f t="shared" ca="1" si="831"/>
        <v>391021.70778950391</v>
      </c>
      <c r="AR496" s="12">
        <f t="shared" ca="1" si="831"/>
        <v>414095.05345713603</v>
      </c>
      <c r="AS496" s="12">
        <f t="shared" ca="1" si="831"/>
        <v>438529.38904379995</v>
      </c>
      <c r="AT496" s="12">
        <f t="shared" ca="1" si="831"/>
        <v>464481.2917405513</v>
      </c>
      <c r="AU496" s="12">
        <f t="shared" ca="1" si="831"/>
        <v>491974.06389090966</v>
      </c>
      <c r="AV496" s="12">
        <f t="shared" ca="1" si="831"/>
        <v>516322.04550247529</v>
      </c>
      <c r="AW496" s="12">
        <f t="shared" ca="1" si="831"/>
        <v>542146.74228365324</v>
      </c>
      <c r="AX496" s="12">
        <f t="shared" ca="1" si="831"/>
        <v>564727.67107883748</v>
      </c>
      <c r="AY496" s="12">
        <f t="shared" ca="1" si="831"/>
        <v>588738.87842470815</v>
      </c>
      <c r="AZ496" s="12">
        <f t="shared" ca="1" si="831"/>
        <v>614259.96366180026</v>
      </c>
      <c r="BA496" s="12">
        <f t="shared" ca="1" si="831"/>
        <v>641387.69298768661</v>
      </c>
      <c r="BB496" s="12">
        <f t="shared" ca="1" si="831"/>
        <v>670214.55938726221</v>
      </c>
      <c r="BC496" s="12">
        <f t="shared" ca="1" si="831"/>
        <v>698370.04710673587</v>
      </c>
      <c r="BD496" s="12">
        <f t="shared" ca="1" si="831"/>
        <v>698370.04710673587</v>
      </c>
      <c r="BE496" s="12">
        <f t="shared" ca="1" si="831"/>
        <v>698370.04710673587</v>
      </c>
      <c r="BF496" s="12">
        <f t="shared" ca="1" si="831"/>
        <v>698370.04710673587</v>
      </c>
      <c r="BG496" s="12">
        <f t="shared" ca="1" si="831"/>
        <v>698370.04710673587</v>
      </c>
      <c r="BH496" s="12">
        <f t="shared" ca="1" si="831"/>
        <v>698370.04710673587</v>
      </c>
      <c r="BI496" s="12">
        <f t="shared" ca="1" si="831"/>
        <v>698370.04710673587</v>
      </c>
      <c r="BJ496" s="12">
        <f t="shared" ca="1" si="831"/>
        <v>698370.04710673587</v>
      </c>
      <c r="BK496" s="12">
        <f t="shared" ca="1" si="831"/>
        <v>698370.04710673587</v>
      </c>
      <c r="BL496" s="12">
        <f t="shared" ca="1" si="831"/>
        <v>698370.04710673587</v>
      </c>
      <c r="BM496" s="12">
        <f t="shared" ca="1" si="831"/>
        <v>698370.04710673587</v>
      </c>
      <c r="BN496" s="12">
        <f t="shared" ca="1" si="831"/>
        <v>698370.04710673587</v>
      </c>
      <c r="BO496" s="12">
        <f t="shared" ca="1" si="831"/>
        <v>698370.04710673587</v>
      </c>
      <c r="BP496" s="12">
        <f t="shared" ca="1" si="831"/>
        <v>698370.04710673587</v>
      </c>
      <c r="BQ496" s="12">
        <f t="shared" ref="BQ496:CV496" ca="1" si="832" xml:space="preserve"> BQ$527</f>
        <v>698370.04710673587</v>
      </c>
      <c r="BR496" s="12">
        <f t="shared" ca="1" si="832"/>
        <v>698370.04710673587</v>
      </c>
      <c r="BS496" s="12">
        <f t="shared" ca="1" si="832"/>
        <v>698370.04710673587</v>
      </c>
      <c r="BT496" s="12">
        <f t="shared" ca="1" si="832"/>
        <v>698370.04710673587</v>
      </c>
      <c r="BU496" s="12">
        <f t="shared" ca="1" si="832"/>
        <v>698370.04710673587</v>
      </c>
      <c r="BV496" s="12">
        <f t="shared" ca="1" si="832"/>
        <v>698370.04710673587</v>
      </c>
      <c r="BW496" s="12">
        <f t="shared" ca="1" si="832"/>
        <v>698370.04710673587</v>
      </c>
      <c r="BX496" s="12">
        <f t="shared" ca="1" si="832"/>
        <v>698370.04710673587</v>
      </c>
      <c r="BY496" s="12">
        <f t="shared" ca="1" si="832"/>
        <v>698370.04710673587</v>
      </c>
      <c r="BZ496" s="12">
        <f t="shared" ca="1" si="832"/>
        <v>698370.04710673587</v>
      </c>
      <c r="CA496" s="12">
        <f t="shared" ca="1" si="832"/>
        <v>698370.04710673587</v>
      </c>
      <c r="CB496" s="12">
        <f t="shared" ca="1" si="832"/>
        <v>698370.04710673587</v>
      </c>
      <c r="CC496" s="12">
        <f t="shared" ca="1" si="832"/>
        <v>698370.04710673587</v>
      </c>
      <c r="CD496" s="12">
        <f t="shared" ca="1" si="832"/>
        <v>698370.04710673587</v>
      </c>
      <c r="CE496" s="12">
        <f t="shared" ca="1" si="832"/>
        <v>698370.04710673587</v>
      </c>
      <c r="CF496" s="12">
        <f t="shared" ca="1" si="832"/>
        <v>698370.04710673587</v>
      </c>
      <c r="CG496" s="12">
        <f t="shared" ca="1" si="832"/>
        <v>698370.04710673587</v>
      </c>
      <c r="CH496" s="12">
        <f t="shared" ca="1" si="832"/>
        <v>698370.04710673587</v>
      </c>
      <c r="CI496" s="12">
        <f t="shared" ca="1" si="832"/>
        <v>698370.04710673587</v>
      </c>
      <c r="CJ496" s="12">
        <f t="shared" ca="1" si="832"/>
        <v>698370.04710673587</v>
      </c>
      <c r="CK496" s="12">
        <f t="shared" ca="1" si="832"/>
        <v>698370.04710673587</v>
      </c>
      <c r="CL496" s="12">
        <f t="shared" ca="1" si="832"/>
        <v>698370.04710673587</v>
      </c>
      <c r="CM496" s="12">
        <f t="shared" ca="1" si="832"/>
        <v>698370.04710673587</v>
      </c>
      <c r="CN496" s="12">
        <f t="shared" ca="1" si="832"/>
        <v>698370.04710673587</v>
      </c>
      <c r="CO496" s="12">
        <f t="shared" ca="1" si="832"/>
        <v>698370.04710673587</v>
      </c>
      <c r="CP496" s="12">
        <f t="shared" ca="1" si="832"/>
        <v>698370.04710673587</v>
      </c>
      <c r="CQ496" s="12">
        <f t="shared" ca="1" si="832"/>
        <v>698370.04710673587</v>
      </c>
      <c r="CR496" s="12">
        <f t="shared" ca="1" si="832"/>
        <v>698370.04710673587</v>
      </c>
      <c r="CS496" s="12">
        <f t="shared" ca="1" si="832"/>
        <v>698370.04710673587</v>
      </c>
      <c r="CT496" s="12">
        <f t="shared" ca="1" si="832"/>
        <v>698370.04710673587</v>
      </c>
      <c r="CU496" s="12">
        <f t="shared" ca="1" si="832"/>
        <v>698370.04710673587</v>
      </c>
      <c r="CV496" s="12">
        <f t="shared" ca="1" si="832"/>
        <v>698370.04710673587</v>
      </c>
    </row>
    <row r="497" spans="1:100" s="125" customFormat="1" ht="12.75" outlineLevel="2" x14ac:dyDescent="0.2">
      <c r="A497" s="85"/>
      <c r="B497" s="85"/>
      <c r="C497" s="86"/>
      <c r="D497" s="87"/>
      <c r="E497" s="186" t="str">
        <f xml:space="preserve"> Time!E$106</f>
        <v>Operating period flag</v>
      </c>
      <c r="F497" s="186">
        <f xml:space="preserve"> Time!F$106</f>
        <v>0</v>
      </c>
      <c r="G497" s="186" t="str">
        <f xml:space="preserve"> Time!G$106</f>
        <v>flag</v>
      </c>
      <c r="H497" s="186">
        <f xml:space="preserve"> Time!H$106</f>
        <v>40</v>
      </c>
      <c r="I497" s="186">
        <f xml:space="preserve"> Time!I$106</f>
        <v>0</v>
      </c>
      <c r="J497" s="186">
        <f xml:space="preserve"> Time!J$106</f>
        <v>0</v>
      </c>
      <c r="K497" s="186">
        <f xml:space="preserve"> Time!K$106</f>
        <v>0</v>
      </c>
      <c r="L497" s="186">
        <f xml:space="preserve"> Time!L$106</f>
        <v>0</v>
      </c>
      <c r="M497" s="186">
        <f xml:space="preserve"> Time!M$106</f>
        <v>0</v>
      </c>
      <c r="N497" s="186">
        <f xml:space="preserve"> Time!N$106</f>
        <v>0</v>
      </c>
      <c r="O497" s="186">
        <f xml:space="preserve"> Time!O$106</f>
        <v>1</v>
      </c>
      <c r="P497" s="186">
        <f xml:space="preserve"> Time!P$106</f>
        <v>1</v>
      </c>
      <c r="Q497" s="186">
        <f xml:space="preserve"> Time!Q$106</f>
        <v>1</v>
      </c>
      <c r="R497" s="186">
        <f xml:space="preserve"> Time!R$106</f>
        <v>1</v>
      </c>
      <c r="S497" s="186">
        <f xml:space="preserve"> Time!S$106</f>
        <v>1</v>
      </c>
      <c r="T497" s="186">
        <f xml:space="preserve"> Time!T$106</f>
        <v>1</v>
      </c>
      <c r="U497" s="186">
        <f xml:space="preserve"> Time!U$106</f>
        <v>1</v>
      </c>
      <c r="V497" s="186">
        <f xml:space="preserve"> Time!V$106</f>
        <v>1</v>
      </c>
      <c r="W497" s="186">
        <f xml:space="preserve"> Time!W$106</f>
        <v>1</v>
      </c>
      <c r="X497" s="186">
        <f xml:space="preserve"> Time!X$106</f>
        <v>1</v>
      </c>
      <c r="Y497" s="186">
        <f xml:space="preserve"> Time!Y$106</f>
        <v>1</v>
      </c>
      <c r="Z497" s="186">
        <f xml:space="preserve"> Time!Z$106</f>
        <v>1</v>
      </c>
      <c r="AA497" s="186">
        <f xml:space="preserve"> Time!AA$106</f>
        <v>1</v>
      </c>
      <c r="AB497" s="186">
        <f xml:space="preserve"> Time!AB$106</f>
        <v>1</v>
      </c>
      <c r="AC497" s="186">
        <f xml:space="preserve"> Time!AC$106</f>
        <v>1</v>
      </c>
      <c r="AD497" s="186">
        <f xml:space="preserve"> Time!AD$106</f>
        <v>1</v>
      </c>
      <c r="AE497" s="186">
        <f xml:space="preserve"> Time!AE$106</f>
        <v>1</v>
      </c>
      <c r="AF497" s="186">
        <f xml:space="preserve"> Time!AF$106</f>
        <v>1</v>
      </c>
      <c r="AG497" s="186">
        <f xml:space="preserve"> Time!AG$106</f>
        <v>1</v>
      </c>
      <c r="AH497" s="186">
        <f xml:space="preserve"> Time!AH$106</f>
        <v>1</v>
      </c>
      <c r="AI497" s="186">
        <f xml:space="preserve"> Time!AI$106</f>
        <v>1</v>
      </c>
      <c r="AJ497" s="186">
        <f xml:space="preserve"> Time!AJ$106</f>
        <v>1</v>
      </c>
      <c r="AK497" s="186">
        <f xml:space="preserve"> Time!AK$106</f>
        <v>1</v>
      </c>
      <c r="AL497" s="186">
        <f xml:space="preserve"> Time!AL$106</f>
        <v>1</v>
      </c>
      <c r="AM497" s="186">
        <f xml:space="preserve"> Time!AM$106</f>
        <v>1</v>
      </c>
      <c r="AN497" s="186">
        <f xml:space="preserve"> Time!AN$106</f>
        <v>1</v>
      </c>
      <c r="AO497" s="186">
        <f xml:space="preserve"> Time!AO$106</f>
        <v>1</v>
      </c>
      <c r="AP497" s="186">
        <f xml:space="preserve"> Time!AP$106</f>
        <v>1</v>
      </c>
      <c r="AQ497" s="186">
        <f xml:space="preserve"> Time!AQ$106</f>
        <v>1</v>
      </c>
      <c r="AR497" s="186">
        <f xml:space="preserve"> Time!AR$106</f>
        <v>1</v>
      </c>
      <c r="AS497" s="186">
        <f xml:space="preserve"> Time!AS$106</f>
        <v>1</v>
      </c>
      <c r="AT497" s="186">
        <f xml:space="preserve"> Time!AT$106</f>
        <v>1</v>
      </c>
      <c r="AU497" s="186">
        <f xml:space="preserve"> Time!AU$106</f>
        <v>1</v>
      </c>
      <c r="AV497" s="186">
        <f xml:space="preserve"> Time!AV$106</f>
        <v>1</v>
      </c>
      <c r="AW497" s="186">
        <f xml:space="preserve"> Time!AW$106</f>
        <v>1</v>
      </c>
      <c r="AX497" s="186">
        <f xml:space="preserve"> Time!AX$106</f>
        <v>1</v>
      </c>
      <c r="AY497" s="186">
        <f xml:space="preserve"> Time!AY$106</f>
        <v>1</v>
      </c>
      <c r="AZ497" s="186">
        <f xml:space="preserve"> Time!AZ$106</f>
        <v>1</v>
      </c>
      <c r="BA497" s="186">
        <f xml:space="preserve"> Time!BA$106</f>
        <v>1</v>
      </c>
      <c r="BB497" s="186">
        <f xml:space="preserve"> Time!BB$106</f>
        <v>1</v>
      </c>
      <c r="BC497" s="186">
        <f xml:space="preserve"> Time!BC$106</f>
        <v>0</v>
      </c>
      <c r="BD497" s="186">
        <f xml:space="preserve"> Time!BD$106</f>
        <v>0</v>
      </c>
      <c r="BE497" s="186">
        <f xml:space="preserve"> Time!BE$106</f>
        <v>0</v>
      </c>
      <c r="BF497" s="186">
        <f xml:space="preserve"> Time!BF$106</f>
        <v>0</v>
      </c>
      <c r="BG497" s="186">
        <f xml:space="preserve"> Time!BG$106</f>
        <v>0</v>
      </c>
      <c r="BH497" s="186">
        <f xml:space="preserve"> Time!BH$106</f>
        <v>0</v>
      </c>
      <c r="BI497" s="186">
        <f xml:space="preserve"> Time!BI$106</f>
        <v>0</v>
      </c>
      <c r="BJ497" s="186">
        <f xml:space="preserve"> Time!BJ$106</f>
        <v>0</v>
      </c>
      <c r="BK497" s="186">
        <f xml:space="preserve"> Time!BK$106</f>
        <v>0</v>
      </c>
      <c r="BL497" s="186">
        <f xml:space="preserve"> Time!BL$106</f>
        <v>0</v>
      </c>
      <c r="BM497" s="186">
        <f xml:space="preserve"> Time!BM$106</f>
        <v>0</v>
      </c>
      <c r="BN497" s="186">
        <f xml:space="preserve"> Time!BN$106</f>
        <v>0</v>
      </c>
      <c r="BO497" s="186">
        <f xml:space="preserve"> Time!BO$106</f>
        <v>0</v>
      </c>
      <c r="BP497" s="186">
        <f xml:space="preserve"> Time!BP$106</f>
        <v>0</v>
      </c>
      <c r="BQ497" s="186">
        <f xml:space="preserve"> Time!BQ$106</f>
        <v>0</v>
      </c>
      <c r="BR497" s="186">
        <f xml:space="preserve"> Time!BR$106</f>
        <v>0</v>
      </c>
      <c r="BS497" s="186">
        <f xml:space="preserve"> Time!BS$106</f>
        <v>0</v>
      </c>
      <c r="BT497" s="186">
        <f xml:space="preserve"> Time!BT$106</f>
        <v>0</v>
      </c>
      <c r="BU497" s="186">
        <f xml:space="preserve"> Time!BU$106</f>
        <v>0</v>
      </c>
      <c r="BV497" s="186">
        <f xml:space="preserve"> Time!BV$106</f>
        <v>0</v>
      </c>
      <c r="BW497" s="186">
        <f xml:space="preserve"> Time!BW$106</f>
        <v>0</v>
      </c>
      <c r="BX497" s="186">
        <f xml:space="preserve"> Time!BX$106</f>
        <v>0</v>
      </c>
      <c r="BY497" s="186">
        <f xml:space="preserve"> Time!BY$106</f>
        <v>0</v>
      </c>
      <c r="BZ497" s="186">
        <f xml:space="preserve"> Time!BZ$106</f>
        <v>0</v>
      </c>
      <c r="CA497" s="186">
        <f xml:space="preserve"> Time!CA$106</f>
        <v>0</v>
      </c>
      <c r="CB497" s="186">
        <f xml:space="preserve"> Time!CB$106</f>
        <v>0</v>
      </c>
      <c r="CC497" s="186">
        <f xml:space="preserve"> Time!CC$106</f>
        <v>0</v>
      </c>
      <c r="CD497" s="186">
        <f xml:space="preserve"> Time!CD$106</f>
        <v>0</v>
      </c>
      <c r="CE497" s="186">
        <f xml:space="preserve"> Time!CE$106</f>
        <v>0</v>
      </c>
      <c r="CF497" s="186">
        <f xml:space="preserve"> Time!CF$106</f>
        <v>0</v>
      </c>
      <c r="CG497" s="186">
        <f xml:space="preserve"> Time!CG$106</f>
        <v>0</v>
      </c>
      <c r="CH497" s="186">
        <f xml:space="preserve"> Time!CH$106</f>
        <v>0</v>
      </c>
      <c r="CI497" s="186">
        <f xml:space="preserve"> Time!CI$106</f>
        <v>0</v>
      </c>
      <c r="CJ497" s="186">
        <f xml:space="preserve"> Time!CJ$106</f>
        <v>0</v>
      </c>
      <c r="CK497" s="186">
        <f xml:space="preserve"> Time!CK$106</f>
        <v>0</v>
      </c>
      <c r="CL497" s="186">
        <f xml:space="preserve"> Time!CL$106</f>
        <v>0</v>
      </c>
      <c r="CM497" s="186">
        <f xml:space="preserve"> Time!CM$106</f>
        <v>0</v>
      </c>
      <c r="CN497" s="186">
        <f xml:space="preserve"> Time!CN$106</f>
        <v>0</v>
      </c>
      <c r="CO497" s="186">
        <f xml:space="preserve"> Time!CO$106</f>
        <v>0</v>
      </c>
      <c r="CP497" s="186">
        <f xml:space="preserve"> Time!CP$106</f>
        <v>0</v>
      </c>
      <c r="CQ497" s="186">
        <f xml:space="preserve"> Time!CQ$106</f>
        <v>0</v>
      </c>
      <c r="CR497" s="186">
        <f xml:space="preserve"> Time!CR$106</f>
        <v>0</v>
      </c>
      <c r="CS497" s="186">
        <f xml:space="preserve"> Time!CS$106</f>
        <v>0</v>
      </c>
      <c r="CT497" s="186">
        <f xml:space="preserve"> Time!CT$106</f>
        <v>0</v>
      </c>
      <c r="CU497" s="186">
        <f xml:space="preserve"> Time!CU$106</f>
        <v>0</v>
      </c>
      <c r="CV497" s="186">
        <f xml:space="preserve"> Time!CV$106</f>
        <v>0</v>
      </c>
    </row>
    <row r="498" spans="1:100" s="188" customFormat="1" ht="12.75" outlineLevel="2" x14ac:dyDescent="0.2">
      <c r="A498" s="141"/>
      <c r="B498" s="141"/>
      <c r="C498" s="142"/>
      <c r="D498" s="143"/>
      <c r="E498" s="187" t="s">
        <v>1185</v>
      </c>
      <c r="F498" s="187"/>
      <c r="G498" s="187" t="str">
        <f xml:space="preserve"> SMU</f>
        <v>$ 000s</v>
      </c>
      <c r="H498" s="187">
        <f ca="1" xml:space="preserve"> SUM(J498:CV498)</f>
        <v>703456.92471362185</v>
      </c>
      <c r="I498" s="144"/>
      <c r="J498" s="187">
        <f t="shared" ref="J498:AO498" si="833" xml:space="preserve"> J496 * $F494 / $F495 * J497</f>
        <v>0</v>
      </c>
      <c r="K498" s="187">
        <f t="shared" ca="1" si="833"/>
        <v>0</v>
      </c>
      <c r="L498" s="187">
        <f t="shared" ca="1" si="833"/>
        <v>0</v>
      </c>
      <c r="M498" s="187">
        <f t="shared" ca="1" si="833"/>
        <v>0</v>
      </c>
      <c r="N498" s="187">
        <f t="shared" ca="1" si="833"/>
        <v>0</v>
      </c>
      <c r="O498" s="187">
        <f t="shared" ca="1" si="833"/>
        <v>5179.0951864116714</v>
      </c>
      <c r="P498" s="187">
        <f t="shared" ca="1" si="833"/>
        <v>5409.8190403629778</v>
      </c>
      <c r="Q498" s="187">
        <f t="shared" ca="1" si="833"/>
        <v>5683.2203574169225</v>
      </c>
      <c r="R498" s="187">
        <f t="shared" ca="1" si="833"/>
        <v>5976.8019323164099</v>
      </c>
      <c r="S498" s="187">
        <f t="shared" ca="1" si="833"/>
        <v>6285.8885507247842</v>
      </c>
      <c r="T498" s="187">
        <f t="shared" ca="1" si="833"/>
        <v>6617.3033905797265</v>
      </c>
      <c r="U498" s="187">
        <f t="shared" ca="1" si="833"/>
        <v>6966.9655466086188</v>
      </c>
      <c r="V498" s="187">
        <f t="shared" ca="1" si="833"/>
        <v>7340.4954249241309</v>
      </c>
      <c r="W498" s="187">
        <f t="shared" ca="1" si="833"/>
        <v>7735.2720987971907</v>
      </c>
      <c r="X498" s="187">
        <f t="shared" ca="1" si="833"/>
        <v>8157.5886285975548</v>
      </c>
      <c r="Y498" s="187">
        <f t="shared" ca="1" si="833"/>
        <v>8602.6920207917829</v>
      </c>
      <c r="Z498" s="187">
        <f t="shared" ca="1" si="833"/>
        <v>9078.3068349874356</v>
      </c>
      <c r="AA498" s="187">
        <f t="shared" ca="1" si="833"/>
        <v>9580.4353219044842</v>
      </c>
      <c r="AB498" s="187">
        <f t="shared" ca="1" si="833"/>
        <v>10116.504704490349</v>
      </c>
      <c r="AC498" s="187">
        <f t="shared" ca="1" si="833"/>
        <v>10683.17377536463</v>
      </c>
      <c r="AD498" s="187">
        <f t="shared" ca="1" si="833"/>
        <v>11286.791839157257</v>
      </c>
      <c r="AE498" s="187">
        <f t="shared" ca="1" si="833"/>
        <v>11925.521579859857</v>
      </c>
      <c r="AF498" s="187">
        <f t="shared" ca="1" si="833"/>
        <v>12606.450933725351</v>
      </c>
      <c r="AG498" s="187">
        <f t="shared" ca="1" si="833"/>
        <v>13325.799024596456</v>
      </c>
      <c r="AH498" s="187">
        <f t="shared" ca="1" si="833"/>
        <v>14092.146878665209</v>
      </c>
      <c r="AI498" s="187">
        <f t="shared" ca="1" si="833"/>
        <v>14902.544139085943</v>
      </c>
      <c r="AJ498" s="187">
        <f t="shared" ca="1" si="833"/>
        <v>15765.413291201141</v>
      </c>
      <c r="AK498" s="187">
        <f t="shared" ca="1" si="833"/>
        <v>16678.567628098426</v>
      </c>
      <c r="AL498" s="187">
        <f t="shared" ca="1" si="833"/>
        <v>17649.527351806784</v>
      </c>
      <c r="AM498" s="187">
        <f t="shared" ca="1" si="833"/>
        <v>18677.702549551508</v>
      </c>
      <c r="AN498" s="187">
        <f t="shared" ca="1" si="833"/>
        <v>19771.470846289729</v>
      </c>
      <c r="AO498" s="187">
        <f t="shared" ca="1" si="833"/>
        <v>20928.550281610158</v>
      </c>
      <c r="AP498" s="187">
        <f t="shared" ref="AP498:BU498" ca="1" si="834" xml:space="preserve"> AP496 * $F494 / $F495 * AP497</f>
        <v>22158.932000795918</v>
      </c>
      <c r="AQ498" s="187">
        <f t="shared" ca="1" si="834"/>
        <v>23461.302467370235</v>
      </c>
      <c r="AR498" s="187">
        <f t="shared" ca="1" si="834"/>
        <v>24845.70320742816</v>
      </c>
      <c r="AS498" s="187">
        <f t="shared" ca="1" si="834"/>
        <v>26311.763342627997</v>
      </c>
      <c r="AT498" s="187">
        <f t="shared" ca="1" si="834"/>
        <v>27868.877504433076</v>
      </c>
      <c r="AU498" s="187">
        <f t="shared" ca="1" si="834"/>
        <v>29518.443833454578</v>
      </c>
      <c r="AV498" s="187">
        <f t="shared" ca="1" si="834"/>
        <v>30979.322730148517</v>
      </c>
      <c r="AW498" s="187">
        <f t="shared" ca="1" si="834"/>
        <v>32528.804537019194</v>
      </c>
      <c r="AX498" s="187">
        <f t="shared" ca="1" si="834"/>
        <v>33883.66026473025</v>
      </c>
      <c r="AY498" s="187">
        <f t="shared" ca="1" si="834"/>
        <v>35324.332705482491</v>
      </c>
      <c r="AZ498" s="187">
        <f t="shared" ca="1" si="834"/>
        <v>36855.597819708011</v>
      </c>
      <c r="BA498" s="187">
        <f t="shared" ca="1" si="834"/>
        <v>38483.261579261198</v>
      </c>
      <c r="BB498" s="187">
        <f t="shared" ca="1" si="834"/>
        <v>40212.873563235735</v>
      </c>
      <c r="BC498" s="187">
        <f t="shared" ca="1" si="834"/>
        <v>0</v>
      </c>
      <c r="BD498" s="187">
        <f t="shared" ca="1" si="834"/>
        <v>0</v>
      </c>
      <c r="BE498" s="187">
        <f t="shared" ca="1" si="834"/>
        <v>0</v>
      </c>
      <c r="BF498" s="187">
        <f t="shared" ca="1" si="834"/>
        <v>0</v>
      </c>
      <c r="BG498" s="187">
        <f t="shared" ca="1" si="834"/>
        <v>0</v>
      </c>
      <c r="BH498" s="187">
        <f t="shared" ca="1" si="834"/>
        <v>0</v>
      </c>
      <c r="BI498" s="187">
        <f t="shared" ca="1" si="834"/>
        <v>0</v>
      </c>
      <c r="BJ498" s="187">
        <f t="shared" ca="1" si="834"/>
        <v>0</v>
      </c>
      <c r="BK498" s="187">
        <f t="shared" ca="1" si="834"/>
        <v>0</v>
      </c>
      <c r="BL498" s="187">
        <f t="shared" ca="1" si="834"/>
        <v>0</v>
      </c>
      <c r="BM498" s="187">
        <f t="shared" ca="1" si="834"/>
        <v>0</v>
      </c>
      <c r="BN498" s="187">
        <f t="shared" ca="1" si="834"/>
        <v>0</v>
      </c>
      <c r="BO498" s="187">
        <f t="shared" ca="1" si="834"/>
        <v>0</v>
      </c>
      <c r="BP498" s="187">
        <f t="shared" ca="1" si="834"/>
        <v>0</v>
      </c>
      <c r="BQ498" s="187">
        <f t="shared" ca="1" si="834"/>
        <v>0</v>
      </c>
      <c r="BR498" s="187">
        <f t="shared" ca="1" si="834"/>
        <v>0</v>
      </c>
      <c r="BS498" s="187">
        <f t="shared" ca="1" si="834"/>
        <v>0</v>
      </c>
      <c r="BT498" s="187">
        <f t="shared" ca="1" si="834"/>
        <v>0</v>
      </c>
      <c r="BU498" s="187">
        <f t="shared" ca="1" si="834"/>
        <v>0</v>
      </c>
      <c r="BV498" s="187">
        <f t="shared" ref="BV498:CV498" ca="1" si="835" xml:space="preserve"> BV496 * $F494 / $F495 * BV497</f>
        <v>0</v>
      </c>
      <c r="BW498" s="187">
        <f t="shared" ca="1" si="835"/>
        <v>0</v>
      </c>
      <c r="BX498" s="187">
        <f t="shared" ca="1" si="835"/>
        <v>0</v>
      </c>
      <c r="BY498" s="187">
        <f t="shared" ca="1" si="835"/>
        <v>0</v>
      </c>
      <c r="BZ498" s="187">
        <f t="shared" ca="1" si="835"/>
        <v>0</v>
      </c>
      <c r="CA498" s="187">
        <f t="shared" ca="1" si="835"/>
        <v>0</v>
      </c>
      <c r="CB498" s="187">
        <f t="shared" ca="1" si="835"/>
        <v>0</v>
      </c>
      <c r="CC498" s="187">
        <f t="shared" ca="1" si="835"/>
        <v>0</v>
      </c>
      <c r="CD498" s="187">
        <f t="shared" ca="1" si="835"/>
        <v>0</v>
      </c>
      <c r="CE498" s="187">
        <f t="shared" ca="1" si="835"/>
        <v>0</v>
      </c>
      <c r="CF498" s="187">
        <f t="shared" ca="1" si="835"/>
        <v>0</v>
      </c>
      <c r="CG498" s="187">
        <f t="shared" ca="1" si="835"/>
        <v>0</v>
      </c>
      <c r="CH498" s="187">
        <f t="shared" ca="1" si="835"/>
        <v>0</v>
      </c>
      <c r="CI498" s="187">
        <f t="shared" ca="1" si="835"/>
        <v>0</v>
      </c>
      <c r="CJ498" s="187">
        <f t="shared" ca="1" si="835"/>
        <v>0</v>
      </c>
      <c r="CK498" s="187">
        <f t="shared" ca="1" si="835"/>
        <v>0</v>
      </c>
      <c r="CL498" s="187">
        <f t="shared" ca="1" si="835"/>
        <v>0</v>
      </c>
      <c r="CM498" s="187">
        <f t="shared" ca="1" si="835"/>
        <v>0</v>
      </c>
      <c r="CN498" s="187">
        <f t="shared" ca="1" si="835"/>
        <v>0</v>
      </c>
      <c r="CO498" s="187">
        <f t="shared" ca="1" si="835"/>
        <v>0</v>
      </c>
      <c r="CP498" s="187">
        <f t="shared" ca="1" si="835"/>
        <v>0</v>
      </c>
      <c r="CQ498" s="187">
        <f t="shared" ca="1" si="835"/>
        <v>0</v>
      </c>
      <c r="CR498" s="187">
        <f t="shared" ca="1" si="835"/>
        <v>0</v>
      </c>
      <c r="CS498" s="187">
        <f t="shared" ca="1" si="835"/>
        <v>0</v>
      </c>
      <c r="CT498" s="187">
        <f t="shared" ca="1" si="835"/>
        <v>0</v>
      </c>
      <c r="CU498" s="187">
        <f t="shared" ca="1" si="835"/>
        <v>0</v>
      </c>
      <c r="CV498" s="187">
        <f t="shared" ca="1" si="835"/>
        <v>0</v>
      </c>
    </row>
    <row r="499" spans="1:100" s="188" customFormat="1" ht="12.75" outlineLevel="2" x14ac:dyDescent="0.2">
      <c r="A499" s="141"/>
      <c r="B499" s="141"/>
      <c r="C499" s="142"/>
      <c r="D499" s="482" t="s">
        <v>418</v>
      </c>
      <c r="E499" s="187" t="str">
        <f xml:space="preserve"> LEFT(E498, LEN(E498) - 4)</f>
        <v>Shareholder loan interest expense - P99</v>
      </c>
      <c r="F499" s="187"/>
      <c r="G499" s="187" t="str">
        <f xml:space="preserve"> SMU</f>
        <v>$ 000s</v>
      </c>
      <c r="H499" s="187">
        <f ca="1" xml:space="preserve"> SUM(J499:CV499)</f>
        <v>-703456.92471362185</v>
      </c>
      <c r="I499" s="144"/>
      <c r="J499" s="187">
        <f t="shared" ref="J499:AO499" si="836" xml:space="preserve"> -1 * J498</f>
        <v>0</v>
      </c>
      <c r="K499" s="187">
        <f t="shared" ca="1" si="836"/>
        <v>0</v>
      </c>
      <c r="L499" s="187">
        <f t="shared" ca="1" si="836"/>
        <v>0</v>
      </c>
      <c r="M499" s="187">
        <f t="shared" ca="1" si="836"/>
        <v>0</v>
      </c>
      <c r="N499" s="187">
        <f t="shared" ca="1" si="836"/>
        <v>0</v>
      </c>
      <c r="O499" s="187">
        <f t="shared" ca="1" si="836"/>
        <v>-5179.0951864116714</v>
      </c>
      <c r="P499" s="187">
        <f t="shared" ca="1" si="836"/>
        <v>-5409.8190403629778</v>
      </c>
      <c r="Q499" s="187">
        <f t="shared" ca="1" si="836"/>
        <v>-5683.2203574169225</v>
      </c>
      <c r="R499" s="187">
        <f t="shared" ca="1" si="836"/>
        <v>-5976.8019323164099</v>
      </c>
      <c r="S499" s="187">
        <f t="shared" ca="1" si="836"/>
        <v>-6285.8885507247842</v>
      </c>
      <c r="T499" s="187">
        <f t="shared" ca="1" si="836"/>
        <v>-6617.3033905797265</v>
      </c>
      <c r="U499" s="187">
        <f t="shared" ca="1" si="836"/>
        <v>-6966.9655466086188</v>
      </c>
      <c r="V499" s="187">
        <f t="shared" ca="1" si="836"/>
        <v>-7340.4954249241309</v>
      </c>
      <c r="W499" s="187">
        <f t="shared" ca="1" si="836"/>
        <v>-7735.2720987971907</v>
      </c>
      <c r="X499" s="187">
        <f t="shared" ca="1" si="836"/>
        <v>-8157.5886285975548</v>
      </c>
      <c r="Y499" s="187">
        <f t="shared" ca="1" si="836"/>
        <v>-8602.6920207917829</v>
      </c>
      <c r="Z499" s="187">
        <f t="shared" ca="1" si="836"/>
        <v>-9078.3068349874356</v>
      </c>
      <c r="AA499" s="187">
        <f t="shared" ca="1" si="836"/>
        <v>-9580.4353219044842</v>
      </c>
      <c r="AB499" s="187">
        <f t="shared" ca="1" si="836"/>
        <v>-10116.504704490349</v>
      </c>
      <c r="AC499" s="187">
        <f t="shared" ca="1" si="836"/>
        <v>-10683.17377536463</v>
      </c>
      <c r="AD499" s="187">
        <f t="shared" ca="1" si="836"/>
        <v>-11286.791839157257</v>
      </c>
      <c r="AE499" s="187">
        <f t="shared" ca="1" si="836"/>
        <v>-11925.521579859857</v>
      </c>
      <c r="AF499" s="187">
        <f t="shared" ca="1" si="836"/>
        <v>-12606.450933725351</v>
      </c>
      <c r="AG499" s="187">
        <f t="shared" ca="1" si="836"/>
        <v>-13325.799024596456</v>
      </c>
      <c r="AH499" s="187">
        <f t="shared" ca="1" si="836"/>
        <v>-14092.146878665209</v>
      </c>
      <c r="AI499" s="187">
        <f t="shared" ca="1" si="836"/>
        <v>-14902.544139085943</v>
      </c>
      <c r="AJ499" s="187">
        <f t="shared" ca="1" si="836"/>
        <v>-15765.413291201141</v>
      </c>
      <c r="AK499" s="187">
        <f t="shared" ca="1" si="836"/>
        <v>-16678.567628098426</v>
      </c>
      <c r="AL499" s="187">
        <f t="shared" ca="1" si="836"/>
        <v>-17649.527351806784</v>
      </c>
      <c r="AM499" s="187">
        <f t="shared" ca="1" si="836"/>
        <v>-18677.702549551508</v>
      </c>
      <c r="AN499" s="187">
        <f t="shared" ca="1" si="836"/>
        <v>-19771.470846289729</v>
      </c>
      <c r="AO499" s="187">
        <f t="shared" ca="1" si="836"/>
        <v>-20928.550281610158</v>
      </c>
      <c r="AP499" s="187">
        <f t="shared" ref="AP499:BU499" ca="1" si="837" xml:space="preserve"> -1 * AP498</f>
        <v>-22158.932000795918</v>
      </c>
      <c r="AQ499" s="187">
        <f t="shared" ca="1" si="837"/>
        <v>-23461.302467370235</v>
      </c>
      <c r="AR499" s="187">
        <f t="shared" ca="1" si="837"/>
        <v>-24845.70320742816</v>
      </c>
      <c r="AS499" s="187">
        <f t="shared" ca="1" si="837"/>
        <v>-26311.763342627997</v>
      </c>
      <c r="AT499" s="187">
        <f t="shared" ca="1" si="837"/>
        <v>-27868.877504433076</v>
      </c>
      <c r="AU499" s="187">
        <f t="shared" ca="1" si="837"/>
        <v>-29518.443833454578</v>
      </c>
      <c r="AV499" s="187">
        <f t="shared" ca="1" si="837"/>
        <v>-30979.322730148517</v>
      </c>
      <c r="AW499" s="187">
        <f t="shared" ca="1" si="837"/>
        <v>-32528.804537019194</v>
      </c>
      <c r="AX499" s="187">
        <f t="shared" ca="1" si="837"/>
        <v>-33883.66026473025</v>
      </c>
      <c r="AY499" s="187">
        <f t="shared" ca="1" si="837"/>
        <v>-35324.332705482491</v>
      </c>
      <c r="AZ499" s="187">
        <f t="shared" ca="1" si="837"/>
        <v>-36855.597819708011</v>
      </c>
      <c r="BA499" s="187">
        <f t="shared" ca="1" si="837"/>
        <v>-38483.261579261198</v>
      </c>
      <c r="BB499" s="187">
        <f t="shared" ca="1" si="837"/>
        <v>-40212.873563235735</v>
      </c>
      <c r="BC499" s="187">
        <f t="shared" ca="1" si="837"/>
        <v>0</v>
      </c>
      <c r="BD499" s="187">
        <f t="shared" ca="1" si="837"/>
        <v>0</v>
      </c>
      <c r="BE499" s="187">
        <f t="shared" ca="1" si="837"/>
        <v>0</v>
      </c>
      <c r="BF499" s="187">
        <f t="shared" ca="1" si="837"/>
        <v>0</v>
      </c>
      <c r="BG499" s="187">
        <f t="shared" ca="1" si="837"/>
        <v>0</v>
      </c>
      <c r="BH499" s="187">
        <f t="shared" ca="1" si="837"/>
        <v>0</v>
      </c>
      <c r="BI499" s="187">
        <f t="shared" ca="1" si="837"/>
        <v>0</v>
      </c>
      <c r="BJ499" s="187">
        <f t="shared" ca="1" si="837"/>
        <v>0</v>
      </c>
      <c r="BK499" s="187">
        <f t="shared" ca="1" si="837"/>
        <v>0</v>
      </c>
      <c r="BL499" s="187">
        <f t="shared" ca="1" si="837"/>
        <v>0</v>
      </c>
      <c r="BM499" s="187">
        <f t="shared" ca="1" si="837"/>
        <v>0</v>
      </c>
      <c r="BN499" s="187">
        <f t="shared" ca="1" si="837"/>
        <v>0</v>
      </c>
      <c r="BO499" s="187">
        <f t="shared" ca="1" si="837"/>
        <v>0</v>
      </c>
      <c r="BP499" s="187">
        <f t="shared" ca="1" si="837"/>
        <v>0</v>
      </c>
      <c r="BQ499" s="187">
        <f t="shared" ca="1" si="837"/>
        <v>0</v>
      </c>
      <c r="BR499" s="187">
        <f t="shared" ca="1" si="837"/>
        <v>0</v>
      </c>
      <c r="BS499" s="187">
        <f t="shared" ca="1" si="837"/>
        <v>0</v>
      </c>
      <c r="BT499" s="187">
        <f t="shared" ca="1" si="837"/>
        <v>0</v>
      </c>
      <c r="BU499" s="187">
        <f t="shared" ca="1" si="837"/>
        <v>0</v>
      </c>
      <c r="BV499" s="187">
        <f t="shared" ref="BV499:CV499" ca="1" si="838" xml:space="preserve"> -1 * BV498</f>
        <v>0</v>
      </c>
      <c r="BW499" s="187">
        <f t="shared" ca="1" si="838"/>
        <v>0</v>
      </c>
      <c r="BX499" s="187">
        <f t="shared" ca="1" si="838"/>
        <v>0</v>
      </c>
      <c r="BY499" s="187">
        <f t="shared" ca="1" si="838"/>
        <v>0</v>
      </c>
      <c r="BZ499" s="187">
        <f t="shared" ca="1" si="838"/>
        <v>0</v>
      </c>
      <c r="CA499" s="187">
        <f t="shared" ca="1" si="838"/>
        <v>0</v>
      </c>
      <c r="CB499" s="187">
        <f t="shared" ca="1" si="838"/>
        <v>0</v>
      </c>
      <c r="CC499" s="187">
        <f t="shared" ca="1" si="838"/>
        <v>0</v>
      </c>
      <c r="CD499" s="187">
        <f t="shared" ca="1" si="838"/>
        <v>0</v>
      </c>
      <c r="CE499" s="187">
        <f t="shared" ca="1" si="838"/>
        <v>0</v>
      </c>
      <c r="CF499" s="187">
        <f t="shared" ca="1" si="838"/>
        <v>0</v>
      </c>
      <c r="CG499" s="187">
        <f t="shared" ca="1" si="838"/>
        <v>0</v>
      </c>
      <c r="CH499" s="187">
        <f t="shared" ca="1" si="838"/>
        <v>0</v>
      </c>
      <c r="CI499" s="187">
        <f t="shared" ca="1" si="838"/>
        <v>0</v>
      </c>
      <c r="CJ499" s="187">
        <f t="shared" ca="1" si="838"/>
        <v>0</v>
      </c>
      <c r="CK499" s="187">
        <f t="shared" ca="1" si="838"/>
        <v>0</v>
      </c>
      <c r="CL499" s="187">
        <f t="shared" ca="1" si="838"/>
        <v>0</v>
      </c>
      <c r="CM499" s="187">
        <f t="shared" ca="1" si="838"/>
        <v>0</v>
      </c>
      <c r="CN499" s="187">
        <f t="shared" ca="1" si="838"/>
        <v>0</v>
      </c>
      <c r="CO499" s="187">
        <f t="shared" ca="1" si="838"/>
        <v>0</v>
      </c>
      <c r="CP499" s="187">
        <f t="shared" ca="1" si="838"/>
        <v>0</v>
      </c>
      <c r="CQ499" s="187">
        <f t="shared" ca="1" si="838"/>
        <v>0</v>
      </c>
      <c r="CR499" s="187">
        <f t="shared" ca="1" si="838"/>
        <v>0</v>
      </c>
      <c r="CS499" s="187">
        <f t="shared" ca="1" si="838"/>
        <v>0</v>
      </c>
      <c r="CT499" s="187">
        <f t="shared" ca="1" si="838"/>
        <v>0</v>
      </c>
      <c r="CU499" s="187">
        <f t="shared" ca="1" si="838"/>
        <v>0</v>
      </c>
      <c r="CV499" s="187">
        <f t="shared" ca="1" si="838"/>
        <v>0</v>
      </c>
    </row>
    <row r="500" spans="1:100" ht="12.75" outlineLevel="1" x14ac:dyDescent="0.2">
      <c r="E500" s="6"/>
    </row>
    <row r="501" spans="1:100" ht="12.75" outlineLevel="1" x14ac:dyDescent="0.2">
      <c r="B501" s="15" t="s">
        <v>331</v>
      </c>
      <c r="E501" s="6"/>
    </row>
    <row r="502" spans="1:100" ht="12.75" outlineLevel="2" x14ac:dyDescent="0.2">
      <c r="E502" s="186" t="str">
        <f xml:space="preserve"> Equity!E$130</f>
        <v>Retained cash balance BEG - P99</v>
      </c>
      <c r="F502" s="186">
        <f xml:space="preserve"> Equity!F$130</f>
        <v>0</v>
      </c>
      <c r="G502" s="186" t="str">
        <f xml:space="preserve"> Equity!G$130</f>
        <v>$ 000s</v>
      </c>
      <c r="H502" s="186">
        <f xml:space="preserve"> Equity!H$130</f>
        <v>0</v>
      </c>
      <c r="I502" s="186">
        <f xml:space="preserve"> Equity!I$130</f>
        <v>0</v>
      </c>
      <c r="J502" s="186">
        <f xml:space="preserve"> Equity!J$130</f>
        <v>0</v>
      </c>
      <c r="K502" s="186">
        <f ca="1" xml:space="preserve"> Equity!K$130</f>
        <v>-1.5558398445136845E-6</v>
      </c>
      <c r="L502" s="186">
        <f ca="1" xml:space="preserve"> Equity!L$130</f>
        <v>-1.402249836246483E-5</v>
      </c>
      <c r="M502" s="186">
        <f ca="1" xml:space="preserve"> Equity!M$130</f>
        <v>-3.0776860512560233E-5</v>
      </c>
      <c r="N502" s="186">
        <f ca="1" xml:space="preserve"> Equity!N$130</f>
        <v>-5.0199549150420353E-5</v>
      </c>
      <c r="O502" s="186">
        <f ca="1" xml:space="preserve"> Equity!O$130</f>
        <v>-4.0178145100071561E-3</v>
      </c>
      <c r="P502" s="186">
        <f ca="1" xml:space="preserve"> Equity!P$130</f>
        <v>0</v>
      </c>
      <c r="Q502" s="186">
        <f ca="1" xml:space="preserve"> Equity!Q$130</f>
        <v>0</v>
      </c>
      <c r="R502" s="186">
        <f ca="1" xml:space="preserve"> Equity!R$130</f>
        <v>0</v>
      </c>
      <c r="S502" s="186">
        <f ca="1" xml:space="preserve"> Equity!S$130</f>
        <v>0</v>
      </c>
      <c r="T502" s="186">
        <f ca="1" xml:space="preserve"> Equity!T$130</f>
        <v>0</v>
      </c>
      <c r="U502" s="186">
        <f ca="1" xml:space="preserve"> Equity!U$130</f>
        <v>0</v>
      </c>
      <c r="V502" s="186">
        <f ca="1" xml:space="preserve"> Equity!V$130</f>
        <v>0</v>
      </c>
      <c r="W502" s="186">
        <f ca="1" xml:space="preserve"> Equity!W$130</f>
        <v>0</v>
      </c>
      <c r="X502" s="186">
        <f ca="1" xml:space="preserve"> Equity!X$130</f>
        <v>0</v>
      </c>
      <c r="Y502" s="186">
        <f ca="1" xml:space="preserve"> Equity!Y$130</f>
        <v>0</v>
      </c>
      <c r="Z502" s="186">
        <f ca="1" xml:space="preserve"> Equity!Z$130</f>
        <v>0</v>
      </c>
      <c r="AA502" s="186">
        <f ca="1" xml:space="preserve"> Equity!AA$130</f>
        <v>0</v>
      </c>
      <c r="AB502" s="186">
        <f ca="1" xml:space="preserve"> Equity!AB$130</f>
        <v>0</v>
      </c>
      <c r="AC502" s="186">
        <f ca="1" xml:space="preserve"> Equity!AC$130</f>
        <v>0</v>
      </c>
      <c r="AD502" s="186">
        <f ca="1" xml:space="preserve"> Equity!AD$130</f>
        <v>0</v>
      </c>
      <c r="AE502" s="186">
        <f ca="1" xml:space="preserve"> Equity!AE$130</f>
        <v>0</v>
      </c>
      <c r="AF502" s="186">
        <f ca="1" xml:space="preserve"> Equity!AF$130</f>
        <v>0</v>
      </c>
      <c r="AG502" s="186">
        <f ca="1" xml:space="preserve"> Equity!AG$130</f>
        <v>0</v>
      </c>
      <c r="AH502" s="186">
        <f ca="1" xml:space="preserve"> Equity!AH$130</f>
        <v>0</v>
      </c>
      <c r="AI502" s="186">
        <f ca="1" xml:space="preserve"> Equity!AI$130</f>
        <v>0</v>
      </c>
      <c r="AJ502" s="186">
        <f ca="1" xml:space="preserve"> Equity!AJ$130</f>
        <v>0</v>
      </c>
      <c r="AK502" s="186">
        <f ca="1" xml:space="preserve"> Equity!AK$130</f>
        <v>0</v>
      </c>
      <c r="AL502" s="186">
        <f ca="1" xml:space="preserve"> Equity!AL$130</f>
        <v>0</v>
      </c>
      <c r="AM502" s="186">
        <f ca="1" xml:space="preserve"> Equity!AM$130</f>
        <v>0</v>
      </c>
      <c r="AN502" s="186">
        <f ca="1" xml:space="preserve"> Equity!AN$130</f>
        <v>0</v>
      </c>
      <c r="AO502" s="186">
        <f ca="1" xml:space="preserve"> Equity!AO$130</f>
        <v>0</v>
      </c>
      <c r="AP502" s="186">
        <f ca="1" xml:space="preserve"> Equity!AP$130</f>
        <v>0</v>
      </c>
      <c r="AQ502" s="186">
        <f ca="1" xml:space="preserve"> Equity!AQ$130</f>
        <v>0</v>
      </c>
      <c r="AR502" s="186">
        <f ca="1" xml:space="preserve"> Equity!AR$130</f>
        <v>0</v>
      </c>
      <c r="AS502" s="186">
        <f ca="1" xml:space="preserve"> Equity!AS$130</f>
        <v>0</v>
      </c>
      <c r="AT502" s="186">
        <f ca="1" xml:space="preserve"> Equity!AT$130</f>
        <v>0</v>
      </c>
      <c r="AU502" s="186">
        <f ca="1" xml:space="preserve"> Equity!AU$130</f>
        <v>0</v>
      </c>
      <c r="AV502" s="186">
        <f ca="1" xml:space="preserve"> Equity!AV$130</f>
        <v>0</v>
      </c>
      <c r="AW502" s="186">
        <f ca="1" xml:space="preserve"> Equity!AW$130</f>
        <v>0</v>
      </c>
      <c r="AX502" s="186">
        <f ca="1" xml:space="preserve"> Equity!AX$130</f>
        <v>0</v>
      </c>
      <c r="AY502" s="186">
        <f ca="1" xml:space="preserve"> Equity!AY$130</f>
        <v>0</v>
      </c>
      <c r="AZ502" s="186">
        <f ca="1" xml:space="preserve"> Equity!AZ$130</f>
        <v>0</v>
      </c>
      <c r="BA502" s="186">
        <f ca="1" xml:space="preserve"> Equity!BA$130</f>
        <v>0</v>
      </c>
      <c r="BB502" s="186">
        <f ca="1" xml:space="preserve"> Equity!BB$130</f>
        <v>0</v>
      </c>
      <c r="BC502" s="186">
        <f ca="1" xml:space="preserve"> Equity!BC$130</f>
        <v>0</v>
      </c>
      <c r="BD502" s="186">
        <f ca="1" xml:space="preserve"> Equity!BD$130</f>
        <v>0</v>
      </c>
      <c r="BE502" s="186">
        <f ca="1" xml:space="preserve"> Equity!BE$130</f>
        <v>0</v>
      </c>
      <c r="BF502" s="186">
        <f ca="1" xml:space="preserve"> Equity!BF$130</f>
        <v>0</v>
      </c>
      <c r="BG502" s="186">
        <f ca="1" xml:space="preserve"> Equity!BG$130</f>
        <v>0</v>
      </c>
      <c r="BH502" s="186">
        <f ca="1" xml:space="preserve"> Equity!BH$130</f>
        <v>0</v>
      </c>
      <c r="BI502" s="186">
        <f ca="1" xml:space="preserve"> Equity!BI$130</f>
        <v>0</v>
      </c>
      <c r="BJ502" s="186">
        <f ca="1" xml:space="preserve"> Equity!BJ$130</f>
        <v>0</v>
      </c>
      <c r="BK502" s="186">
        <f ca="1" xml:space="preserve"> Equity!BK$130</f>
        <v>0</v>
      </c>
      <c r="BL502" s="186">
        <f ca="1" xml:space="preserve"> Equity!BL$130</f>
        <v>0</v>
      </c>
      <c r="BM502" s="186">
        <f ca="1" xml:space="preserve"> Equity!BM$130</f>
        <v>0</v>
      </c>
      <c r="BN502" s="186">
        <f ca="1" xml:space="preserve"> Equity!BN$130</f>
        <v>0</v>
      </c>
      <c r="BO502" s="186">
        <f ca="1" xml:space="preserve"> Equity!BO$130</f>
        <v>0</v>
      </c>
      <c r="BP502" s="186">
        <f ca="1" xml:space="preserve"> Equity!BP$130</f>
        <v>0</v>
      </c>
      <c r="BQ502" s="186">
        <f ca="1" xml:space="preserve"> Equity!BQ$130</f>
        <v>0</v>
      </c>
      <c r="BR502" s="186">
        <f ca="1" xml:space="preserve"> Equity!BR$130</f>
        <v>0</v>
      </c>
      <c r="BS502" s="186">
        <f ca="1" xml:space="preserve"> Equity!BS$130</f>
        <v>0</v>
      </c>
      <c r="BT502" s="186">
        <f ca="1" xml:space="preserve"> Equity!BT$130</f>
        <v>0</v>
      </c>
      <c r="BU502" s="186">
        <f ca="1" xml:space="preserve"> Equity!BU$130</f>
        <v>0</v>
      </c>
      <c r="BV502" s="186">
        <f ca="1" xml:space="preserve"> Equity!BV$130</f>
        <v>0</v>
      </c>
      <c r="BW502" s="186">
        <f ca="1" xml:space="preserve"> Equity!BW$130</f>
        <v>0</v>
      </c>
      <c r="BX502" s="186">
        <f ca="1" xml:space="preserve"> Equity!BX$130</f>
        <v>0</v>
      </c>
      <c r="BY502" s="186">
        <f ca="1" xml:space="preserve"> Equity!BY$130</f>
        <v>0</v>
      </c>
      <c r="BZ502" s="186">
        <f ca="1" xml:space="preserve"> Equity!BZ$130</f>
        <v>0</v>
      </c>
      <c r="CA502" s="186">
        <f ca="1" xml:space="preserve"> Equity!CA$130</f>
        <v>0</v>
      </c>
      <c r="CB502" s="186">
        <f ca="1" xml:space="preserve"> Equity!CB$130</f>
        <v>0</v>
      </c>
      <c r="CC502" s="186">
        <f ca="1" xml:space="preserve"> Equity!CC$130</f>
        <v>0</v>
      </c>
      <c r="CD502" s="186">
        <f ca="1" xml:space="preserve"> Equity!CD$130</f>
        <v>0</v>
      </c>
      <c r="CE502" s="186">
        <f ca="1" xml:space="preserve"> Equity!CE$130</f>
        <v>0</v>
      </c>
      <c r="CF502" s="186">
        <f ca="1" xml:space="preserve"> Equity!CF$130</f>
        <v>0</v>
      </c>
      <c r="CG502" s="186">
        <f ca="1" xml:space="preserve"> Equity!CG$130</f>
        <v>0</v>
      </c>
      <c r="CH502" s="186">
        <f ca="1" xml:space="preserve"> Equity!CH$130</f>
        <v>0</v>
      </c>
      <c r="CI502" s="186">
        <f ca="1" xml:space="preserve"> Equity!CI$130</f>
        <v>0</v>
      </c>
      <c r="CJ502" s="186">
        <f ca="1" xml:space="preserve"> Equity!CJ$130</f>
        <v>0</v>
      </c>
      <c r="CK502" s="186">
        <f ca="1" xml:space="preserve"> Equity!CK$130</f>
        <v>0</v>
      </c>
      <c r="CL502" s="186">
        <f ca="1" xml:space="preserve"> Equity!CL$130</f>
        <v>0</v>
      </c>
      <c r="CM502" s="186">
        <f ca="1" xml:space="preserve"> Equity!CM$130</f>
        <v>0</v>
      </c>
      <c r="CN502" s="186">
        <f ca="1" xml:space="preserve"> Equity!CN$130</f>
        <v>0</v>
      </c>
      <c r="CO502" s="186">
        <f ca="1" xml:space="preserve"> Equity!CO$130</f>
        <v>0</v>
      </c>
      <c r="CP502" s="186">
        <f ca="1" xml:space="preserve"> Equity!CP$130</f>
        <v>0</v>
      </c>
      <c r="CQ502" s="186">
        <f ca="1" xml:space="preserve"> Equity!CQ$130</f>
        <v>0</v>
      </c>
      <c r="CR502" s="186">
        <f ca="1" xml:space="preserve"> Equity!CR$130</f>
        <v>0</v>
      </c>
      <c r="CS502" s="186">
        <f ca="1" xml:space="preserve"> Equity!CS$130</f>
        <v>0</v>
      </c>
      <c r="CT502" s="186">
        <f ca="1" xml:space="preserve"> Equity!CT$130</f>
        <v>0</v>
      </c>
      <c r="CU502" s="186">
        <f ca="1" xml:space="preserve"> Equity!CU$130</f>
        <v>0</v>
      </c>
      <c r="CV502" s="186">
        <f ca="1" xml:space="preserve"> Equity!CV$130</f>
        <v>0</v>
      </c>
    </row>
    <row r="503" spans="1:100" ht="12.75" outlineLevel="2" x14ac:dyDescent="0.2">
      <c r="E503" s="186" t="str">
        <f xml:space="preserve"> 'FS Semi_P99'!E$81</f>
        <v>Cashflow available for shareholder loan - P99</v>
      </c>
      <c r="F503" s="186">
        <f xml:space="preserve"> 'FS Semi_P99'!F$81</f>
        <v>0</v>
      </c>
      <c r="G503" s="186" t="str">
        <f xml:space="preserve"> 'FS Semi_P99'!G$81</f>
        <v>$ 000s</v>
      </c>
      <c r="H503" s="186">
        <f ca="1" xml:space="preserve"> 'FS Semi_P99'!H$81</f>
        <v>91405.13071374697</v>
      </c>
      <c r="I503" s="186">
        <f xml:space="preserve"> 'FS Semi_P99'!I$81</f>
        <v>0</v>
      </c>
      <c r="J503" s="186">
        <f ca="1" xml:space="preserve"> 'FS Semi_P99'!J$81</f>
        <v>-1.5558398445136845E-6</v>
      </c>
      <c r="K503" s="186">
        <f ca="1" xml:space="preserve"> 'FS Semi_P99'!K$81</f>
        <v>-1.2466658517951146E-5</v>
      </c>
      <c r="L503" s="186">
        <f ca="1" xml:space="preserve"> 'FS Semi_P99'!L$81</f>
        <v>-1.6754362150095403E-5</v>
      </c>
      <c r="M503" s="186">
        <f ca="1" xml:space="preserve"> 'FS Semi_P99'!M$81</f>
        <v>-1.9422688637860119E-5</v>
      </c>
      <c r="N503" s="186">
        <f ca="1" xml:space="preserve"> 'FS Semi_P99'!N$81</f>
        <v>-3.9676149608567357E-3</v>
      </c>
      <c r="O503" s="186">
        <f ca="1" xml:space="preserve"> 'FS Semi_P99'!O$81</f>
        <v>1333.7016383710761</v>
      </c>
      <c r="P503" s="186">
        <f ca="1" xml:space="preserve"> 'FS Semi_P99'!P$81</f>
        <v>853.13042279723049</v>
      </c>
      <c r="Q503" s="186">
        <f ca="1" xml:space="preserve"> 'FS Semi_P99'!Q$81</f>
        <v>790.19410909212456</v>
      </c>
      <c r="R503" s="186">
        <f ca="1" xml:space="preserve"> 'FS Semi_P99'!R$81</f>
        <v>825.35829217683931</v>
      </c>
      <c r="S503" s="186">
        <f ca="1" xml:space="preserve"> 'FS Semi_P99'!S$81</f>
        <v>762.30788647574263</v>
      </c>
      <c r="T503" s="186">
        <f ca="1" xml:space="preserve"> 'FS Semi_P99'!T$81</f>
        <v>789.60079009818401</v>
      </c>
      <c r="U503" s="186">
        <f ca="1" xml:space="preserve"> 'FS Semi_P99'!U$81</f>
        <v>741.46757468341821</v>
      </c>
      <c r="V503" s="186">
        <f ca="1" xml:space="preserve"> 'FS Semi_P99'!V$81</f>
        <v>760.88419370646443</v>
      </c>
      <c r="W503" s="186">
        <f ca="1" xml:space="preserve"> 'FS Semi_P99'!W$81</f>
        <v>696.66326879112785</v>
      </c>
      <c r="X503" s="186">
        <f ca="1" xml:space="preserve"> 'FS Semi_P99'!X$81</f>
        <v>739.19875869376119</v>
      </c>
      <c r="Y503" s="186">
        <f ca="1" xml:space="preserve"> 'FS Semi_P99'!Y$81</f>
        <v>675.77845086423076</v>
      </c>
      <c r="Z503" s="186">
        <f ca="1" xml:space="preserve"> 'FS Semi_P99'!Z$81</f>
        <v>709.49871970328786</v>
      </c>
      <c r="AA503" s="186">
        <f ca="1" xml:space="preserve"> 'FS Semi_P99'!AA$81</f>
        <v>645.94561214004716</v>
      </c>
      <c r="AB503" s="186">
        <f ca="1" xml:space="preserve"> 'FS Semi_P99'!AB$81</f>
        <v>672.02018991900695</v>
      </c>
      <c r="AC503" s="186">
        <f ca="1" xml:space="preserve"> 'FS Semi_P99'!AC$81</f>
        <v>622.87271215417604</v>
      </c>
      <c r="AD503" s="186">
        <f ca="1" xml:space="preserve"> 'FS Semi_P99'!AD$81</f>
        <v>641.29616078062463</v>
      </c>
      <c r="AE503" s="186">
        <f ca="1" xml:space="preserve"> 'FS Semi_P99'!AE$81</f>
        <v>576.69901543492961</v>
      </c>
      <c r="AF503" s="186">
        <f ca="1" xml:space="preserve"> 'FS Semi_P99'!AF$81</f>
        <v>617.31608587360824</v>
      </c>
      <c r="AG503" s="186">
        <f ca="1" xml:space="preserve"> 'FS Semi_P99'!AG$81</f>
        <v>553.33479011720556</v>
      </c>
      <c r="AH503" s="186">
        <f ca="1" xml:space="preserve"> 'FS Semi_P99'!AH$81</f>
        <v>585.52587165296791</v>
      </c>
      <c r="AI503" s="186">
        <f ca="1" xml:space="preserve"> 'FS Semi_P99'!AI$81</f>
        <v>521.39160383262424</v>
      </c>
      <c r="AJ503" s="186">
        <f ca="1" xml:space="preserve"> 'FS Semi_P99'!AJ$81</f>
        <v>546.17434291308746</v>
      </c>
      <c r="AK503" s="186">
        <f ca="1" xml:space="preserve"> 'FS Semi_P99'!AK$81</f>
        <v>495.90556629246748</v>
      </c>
      <c r="AL503" s="186">
        <f ca="1" xml:space="preserve"> 'FS Semi_P99'!AL$81</f>
        <v>513.27405606138927</v>
      </c>
      <c r="AM503" s="186">
        <f ca="1" xml:space="preserve"> 'FS Semi_P99'!AM$81</f>
        <v>448.23093724782666</v>
      </c>
      <c r="AN503" s="186">
        <f ca="1" xml:space="preserve"> 'FS Semi_P99'!AN$81</f>
        <v>486.81359094925028</v>
      </c>
      <c r="AO503" s="186">
        <f ca="1" xml:space="preserve"> 'FS Semi_P99'!AO$81</f>
        <v>422.18829518086204</v>
      </c>
      <c r="AP503" s="186">
        <f ca="1" xml:space="preserve"> 'FS Semi_P99'!AP$81</f>
        <v>452.75755789060349</v>
      </c>
      <c r="AQ503" s="186">
        <f ca="1" xml:space="preserve"> 'FS Semi_P99'!AQ$81</f>
        <v>387.95679973809092</v>
      </c>
      <c r="AR503" s="186">
        <f ca="1" xml:space="preserve"> 'FS Semi_P99'!AR$81</f>
        <v>411.3676207642111</v>
      </c>
      <c r="AS503" s="186">
        <f ca="1" xml:space="preserve"> 'FS Semi_P99'!AS$81</f>
        <v>359.8606458766335</v>
      </c>
      <c r="AT503" s="186">
        <f ca="1" xml:space="preserve"> 'FS Semi_P99'!AT$81</f>
        <v>376.10535407469251</v>
      </c>
      <c r="AU503" s="186">
        <f ca="1" xml:space="preserve"> 'FS Semi_P99'!AU$81</f>
        <v>5170.462221888959</v>
      </c>
      <c r="AV503" s="186">
        <f ca="1" xml:space="preserve"> 'FS Semi_P99'!AV$81</f>
        <v>5154.6259489705117</v>
      </c>
      <c r="AW503" s="186">
        <f ca="1" xml:space="preserve"> 'FS Semi_P99'!AW$81</f>
        <v>9947.8757418349815</v>
      </c>
      <c r="AX503" s="186">
        <f ca="1" xml:space="preserve"> 'FS Semi_P99'!AX$81</f>
        <v>9872.4529188595952</v>
      </c>
      <c r="AY503" s="186">
        <f ca="1" xml:space="preserve"> 'FS Semi_P99'!AY$81</f>
        <v>9803.2474683903492</v>
      </c>
      <c r="AZ503" s="186">
        <f ca="1" xml:space="preserve"> 'FS Semi_P99'!AZ$81</f>
        <v>9727.8684938216247</v>
      </c>
      <c r="BA503" s="186">
        <f ca="1" xml:space="preserve"> 'FS Semi_P99'!BA$81</f>
        <v>9656.395179685629</v>
      </c>
      <c r="BB503" s="186">
        <f ca="1" xml:space="preserve"> 'FS Semi_P99'!BB$81</f>
        <v>12057.385843762037</v>
      </c>
      <c r="BC503" s="186">
        <f ca="1" xml:space="preserve"> 'FS Semi_P99'!BC$81</f>
        <v>0</v>
      </c>
      <c r="BD503" s="186">
        <f ca="1" xml:space="preserve"> 'FS Semi_P99'!BD$81</f>
        <v>0</v>
      </c>
      <c r="BE503" s="186">
        <f ca="1" xml:space="preserve"> 'FS Semi_P99'!BE$81</f>
        <v>0</v>
      </c>
      <c r="BF503" s="186">
        <f ca="1" xml:space="preserve"> 'FS Semi_P99'!BF$81</f>
        <v>0</v>
      </c>
      <c r="BG503" s="186">
        <f ca="1" xml:space="preserve"> 'FS Semi_P99'!BG$81</f>
        <v>0</v>
      </c>
      <c r="BH503" s="186">
        <f ca="1" xml:space="preserve"> 'FS Semi_P99'!BH$81</f>
        <v>0</v>
      </c>
      <c r="BI503" s="186">
        <f ca="1" xml:space="preserve"> 'FS Semi_P99'!BI$81</f>
        <v>0</v>
      </c>
      <c r="BJ503" s="186">
        <f ca="1" xml:space="preserve"> 'FS Semi_P99'!BJ$81</f>
        <v>0</v>
      </c>
      <c r="BK503" s="186">
        <f ca="1" xml:space="preserve"> 'FS Semi_P99'!BK$81</f>
        <v>0</v>
      </c>
      <c r="BL503" s="186">
        <f ca="1" xml:space="preserve"> 'FS Semi_P99'!BL$81</f>
        <v>0</v>
      </c>
      <c r="BM503" s="186">
        <f ca="1" xml:space="preserve"> 'FS Semi_P99'!BM$81</f>
        <v>0</v>
      </c>
      <c r="BN503" s="186">
        <f ca="1" xml:space="preserve"> 'FS Semi_P99'!BN$81</f>
        <v>0</v>
      </c>
      <c r="BO503" s="186">
        <f ca="1" xml:space="preserve"> 'FS Semi_P99'!BO$81</f>
        <v>0</v>
      </c>
      <c r="BP503" s="186">
        <f ca="1" xml:space="preserve"> 'FS Semi_P99'!BP$81</f>
        <v>0</v>
      </c>
      <c r="BQ503" s="186">
        <f ca="1" xml:space="preserve"> 'FS Semi_P99'!BQ$81</f>
        <v>0</v>
      </c>
      <c r="BR503" s="186">
        <f ca="1" xml:space="preserve"> 'FS Semi_P99'!BR$81</f>
        <v>0</v>
      </c>
      <c r="BS503" s="186">
        <f ca="1" xml:space="preserve"> 'FS Semi_P99'!BS$81</f>
        <v>0</v>
      </c>
      <c r="BT503" s="186">
        <f ca="1" xml:space="preserve"> 'FS Semi_P99'!BT$81</f>
        <v>0</v>
      </c>
      <c r="BU503" s="186">
        <f ca="1" xml:space="preserve"> 'FS Semi_P99'!BU$81</f>
        <v>0</v>
      </c>
      <c r="BV503" s="186">
        <f ca="1" xml:space="preserve"> 'FS Semi_P99'!BV$81</f>
        <v>0</v>
      </c>
      <c r="BW503" s="186">
        <f ca="1" xml:space="preserve"> 'FS Semi_P99'!BW$81</f>
        <v>0</v>
      </c>
      <c r="BX503" s="186">
        <f ca="1" xml:space="preserve"> 'FS Semi_P99'!BX$81</f>
        <v>0</v>
      </c>
      <c r="BY503" s="186">
        <f ca="1" xml:space="preserve"> 'FS Semi_P99'!BY$81</f>
        <v>0</v>
      </c>
      <c r="BZ503" s="186">
        <f ca="1" xml:space="preserve"> 'FS Semi_P99'!BZ$81</f>
        <v>0</v>
      </c>
      <c r="CA503" s="186">
        <f ca="1" xml:space="preserve"> 'FS Semi_P99'!CA$81</f>
        <v>0</v>
      </c>
      <c r="CB503" s="186">
        <f ca="1" xml:space="preserve"> 'FS Semi_P99'!CB$81</f>
        <v>0</v>
      </c>
      <c r="CC503" s="186">
        <f ca="1" xml:space="preserve"> 'FS Semi_P99'!CC$81</f>
        <v>0</v>
      </c>
      <c r="CD503" s="186">
        <f ca="1" xml:space="preserve"> 'FS Semi_P99'!CD$81</f>
        <v>0</v>
      </c>
      <c r="CE503" s="186">
        <f ca="1" xml:space="preserve"> 'FS Semi_P99'!CE$81</f>
        <v>0</v>
      </c>
      <c r="CF503" s="186">
        <f ca="1" xml:space="preserve"> 'FS Semi_P99'!CF$81</f>
        <v>0</v>
      </c>
      <c r="CG503" s="186">
        <f ca="1" xml:space="preserve"> 'FS Semi_P99'!CG$81</f>
        <v>0</v>
      </c>
      <c r="CH503" s="186">
        <f ca="1" xml:space="preserve"> 'FS Semi_P99'!CH$81</f>
        <v>0</v>
      </c>
      <c r="CI503" s="186">
        <f ca="1" xml:space="preserve"> 'FS Semi_P99'!CI$81</f>
        <v>0</v>
      </c>
      <c r="CJ503" s="186">
        <f ca="1" xml:space="preserve"> 'FS Semi_P99'!CJ$81</f>
        <v>0</v>
      </c>
      <c r="CK503" s="186">
        <f ca="1" xml:space="preserve"> 'FS Semi_P99'!CK$81</f>
        <v>0</v>
      </c>
      <c r="CL503" s="186">
        <f ca="1" xml:space="preserve"> 'FS Semi_P99'!CL$81</f>
        <v>0</v>
      </c>
      <c r="CM503" s="186">
        <f ca="1" xml:space="preserve"> 'FS Semi_P99'!CM$81</f>
        <v>0</v>
      </c>
      <c r="CN503" s="186">
        <f ca="1" xml:space="preserve"> 'FS Semi_P99'!CN$81</f>
        <v>0</v>
      </c>
      <c r="CO503" s="186">
        <f ca="1" xml:space="preserve"> 'FS Semi_P99'!CO$81</f>
        <v>0</v>
      </c>
      <c r="CP503" s="186">
        <f ca="1" xml:space="preserve"> 'FS Semi_P99'!CP$81</f>
        <v>0</v>
      </c>
      <c r="CQ503" s="186">
        <f ca="1" xml:space="preserve"> 'FS Semi_P99'!CQ$81</f>
        <v>0</v>
      </c>
      <c r="CR503" s="186">
        <f ca="1" xml:space="preserve"> 'FS Semi_P99'!CR$81</f>
        <v>0</v>
      </c>
      <c r="CS503" s="186">
        <f ca="1" xml:space="preserve"> 'FS Semi_P99'!CS$81</f>
        <v>0</v>
      </c>
      <c r="CT503" s="186">
        <f ca="1" xml:space="preserve"> 'FS Semi_P99'!CT$81</f>
        <v>0</v>
      </c>
      <c r="CU503" s="186">
        <f ca="1" xml:space="preserve"> 'FS Semi_P99'!CU$81</f>
        <v>0</v>
      </c>
      <c r="CV503" s="186">
        <f ca="1" xml:space="preserve"> 'FS Semi_P99'!CV$81</f>
        <v>0</v>
      </c>
    </row>
    <row r="504" spans="1:100" s="498" customFormat="1" ht="12.75" outlineLevel="2" x14ac:dyDescent="0.2">
      <c r="A504" s="15"/>
      <c r="B504" s="15"/>
      <c r="C504" s="21"/>
      <c r="D504" s="48"/>
      <c r="E504" s="46" t="s">
        <v>1186</v>
      </c>
      <c r="F504" s="38"/>
      <c r="G504" s="38" t="str">
        <f xml:space="preserve"> SMU</f>
        <v>$ 000s</v>
      </c>
      <c r="H504" s="38"/>
      <c r="I504" s="38"/>
      <c r="J504" s="38">
        <f t="shared" ref="J504:AO504" ca="1" si="839" xml:space="preserve"> MAX(0, SUM(J502:J503))</f>
        <v>0</v>
      </c>
      <c r="K504" s="38">
        <f t="shared" ca="1" si="839"/>
        <v>0</v>
      </c>
      <c r="L504" s="38">
        <f t="shared" ca="1" si="839"/>
        <v>0</v>
      </c>
      <c r="M504" s="38">
        <f t="shared" ca="1" si="839"/>
        <v>0</v>
      </c>
      <c r="N504" s="38">
        <f t="shared" ca="1" si="839"/>
        <v>0</v>
      </c>
      <c r="O504" s="38">
        <f t="shared" ca="1" si="839"/>
        <v>1333.6976205565661</v>
      </c>
      <c r="P504" s="38">
        <f t="shared" ca="1" si="839"/>
        <v>853.13042279723049</v>
      </c>
      <c r="Q504" s="38">
        <f t="shared" ca="1" si="839"/>
        <v>790.19410909212456</v>
      </c>
      <c r="R504" s="38">
        <f t="shared" ca="1" si="839"/>
        <v>825.35829217683931</v>
      </c>
      <c r="S504" s="38">
        <f t="shared" ca="1" si="839"/>
        <v>762.30788647574263</v>
      </c>
      <c r="T504" s="38">
        <f t="shared" ca="1" si="839"/>
        <v>789.60079009818401</v>
      </c>
      <c r="U504" s="38">
        <f t="shared" ca="1" si="839"/>
        <v>741.46757468341821</v>
      </c>
      <c r="V504" s="38">
        <f t="shared" ca="1" si="839"/>
        <v>760.88419370646443</v>
      </c>
      <c r="W504" s="38">
        <f t="shared" ca="1" si="839"/>
        <v>696.66326879112785</v>
      </c>
      <c r="X504" s="38">
        <f t="shared" ca="1" si="839"/>
        <v>739.19875869376119</v>
      </c>
      <c r="Y504" s="38">
        <f t="shared" ca="1" si="839"/>
        <v>675.77845086423076</v>
      </c>
      <c r="Z504" s="38">
        <f t="shared" ca="1" si="839"/>
        <v>709.49871970328786</v>
      </c>
      <c r="AA504" s="38">
        <f t="shared" ca="1" si="839"/>
        <v>645.94561214004716</v>
      </c>
      <c r="AB504" s="38">
        <f t="shared" ca="1" si="839"/>
        <v>672.02018991900695</v>
      </c>
      <c r="AC504" s="38">
        <f t="shared" ca="1" si="839"/>
        <v>622.87271215417604</v>
      </c>
      <c r="AD504" s="38">
        <f t="shared" ca="1" si="839"/>
        <v>641.29616078062463</v>
      </c>
      <c r="AE504" s="38">
        <f t="shared" ca="1" si="839"/>
        <v>576.69901543492961</v>
      </c>
      <c r="AF504" s="38">
        <f t="shared" ca="1" si="839"/>
        <v>617.31608587360824</v>
      </c>
      <c r="AG504" s="38">
        <f t="shared" ca="1" si="839"/>
        <v>553.33479011720556</v>
      </c>
      <c r="AH504" s="38">
        <f t="shared" ca="1" si="839"/>
        <v>585.52587165296791</v>
      </c>
      <c r="AI504" s="38">
        <f t="shared" ca="1" si="839"/>
        <v>521.39160383262424</v>
      </c>
      <c r="AJ504" s="38">
        <f t="shared" ca="1" si="839"/>
        <v>546.17434291308746</v>
      </c>
      <c r="AK504" s="38">
        <f t="shared" ca="1" si="839"/>
        <v>495.90556629246748</v>
      </c>
      <c r="AL504" s="38">
        <f t="shared" ca="1" si="839"/>
        <v>513.27405606138927</v>
      </c>
      <c r="AM504" s="38">
        <f t="shared" ca="1" si="839"/>
        <v>448.23093724782666</v>
      </c>
      <c r="AN504" s="38">
        <f t="shared" ca="1" si="839"/>
        <v>486.81359094925028</v>
      </c>
      <c r="AO504" s="38">
        <f t="shared" ca="1" si="839"/>
        <v>422.18829518086204</v>
      </c>
      <c r="AP504" s="38">
        <f t="shared" ref="AP504:BU504" ca="1" si="840" xml:space="preserve"> MAX(0, SUM(AP502:AP503))</f>
        <v>452.75755789060349</v>
      </c>
      <c r="AQ504" s="38">
        <f t="shared" ca="1" si="840"/>
        <v>387.95679973809092</v>
      </c>
      <c r="AR504" s="38">
        <f t="shared" ca="1" si="840"/>
        <v>411.3676207642111</v>
      </c>
      <c r="AS504" s="38">
        <f t="shared" ca="1" si="840"/>
        <v>359.8606458766335</v>
      </c>
      <c r="AT504" s="38">
        <f t="shared" ca="1" si="840"/>
        <v>376.10535407469251</v>
      </c>
      <c r="AU504" s="38">
        <f t="shared" ca="1" si="840"/>
        <v>5170.462221888959</v>
      </c>
      <c r="AV504" s="38">
        <f t="shared" ca="1" si="840"/>
        <v>5154.6259489705117</v>
      </c>
      <c r="AW504" s="38">
        <f t="shared" ca="1" si="840"/>
        <v>9947.8757418349815</v>
      </c>
      <c r="AX504" s="38">
        <f t="shared" ca="1" si="840"/>
        <v>9872.4529188595952</v>
      </c>
      <c r="AY504" s="38">
        <f t="shared" ca="1" si="840"/>
        <v>9803.2474683903492</v>
      </c>
      <c r="AZ504" s="38">
        <f t="shared" ca="1" si="840"/>
        <v>9727.8684938216247</v>
      </c>
      <c r="BA504" s="38">
        <f t="shared" ca="1" si="840"/>
        <v>9656.395179685629</v>
      </c>
      <c r="BB504" s="38">
        <f t="shared" ca="1" si="840"/>
        <v>12057.385843762037</v>
      </c>
      <c r="BC504" s="38">
        <f t="shared" ca="1" si="840"/>
        <v>0</v>
      </c>
      <c r="BD504" s="38">
        <f t="shared" ca="1" si="840"/>
        <v>0</v>
      </c>
      <c r="BE504" s="38">
        <f t="shared" ca="1" si="840"/>
        <v>0</v>
      </c>
      <c r="BF504" s="38">
        <f t="shared" ca="1" si="840"/>
        <v>0</v>
      </c>
      <c r="BG504" s="38">
        <f t="shared" ca="1" si="840"/>
        <v>0</v>
      </c>
      <c r="BH504" s="38">
        <f t="shared" ca="1" si="840"/>
        <v>0</v>
      </c>
      <c r="BI504" s="38">
        <f t="shared" ca="1" si="840"/>
        <v>0</v>
      </c>
      <c r="BJ504" s="38">
        <f t="shared" ca="1" si="840"/>
        <v>0</v>
      </c>
      <c r="BK504" s="38">
        <f t="shared" ca="1" si="840"/>
        <v>0</v>
      </c>
      <c r="BL504" s="38">
        <f t="shared" ca="1" si="840"/>
        <v>0</v>
      </c>
      <c r="BM504" s="38">
        <f t="shared" ca="1" si="840"/>
        <v>0</v>
      </c>
      <c r="BN504" s="38">
        <f t="shared" ca="1" si="840"/>
        <v>0</v>
      </c>
      <c r="BO504" s="38">
        <f t="shared" ca="1" si="840"/>
        <v>0</v>
      </c>
      <c r="BP504" s="38">
        <f t="shared" ca="1" si="840"/>
        <v>0</v>
      </c>
      <c r="BQ504" s="38">
        <f t="shared" ca="1" si="840"/>
        <v>0</v>
      </c>
      <c r="BR504" s="38">
        <f t="shared" ca="1" si="840"/>
        <v>0</v>
      </c>
      <c r="BS504" s="38">
        <f t="shared" ca="1" si="840"/>
        <v>0</v>
      </c>
      <c r="BT504" s="38">
        <f t="shared" ca="1" si="840"/>
        <v>0</v>
      </c>
      <c r="BU504" s="38">
        <f t="shared" ca="1" si="840"/>
        <v>0</v>
      </c>
      <c r="BV504" s="38">
        <f t="shared" ref="BV504:CV504" ca="1" si="841" xml:space="preserve"> MAX(0, SUM(BV502:BV503))</f>
        <v>0</v>
      </c>
      <c r="BW504" s="38">
        <f t="shared" ca="1" si="841"/>
        <v>0</v>
      </c>
      <c r="BX504" s="38">
        <f t="shared" ca="1" si="841"/>
        <v>0</v>
      </c>
      <c r="BY504" s="38">
        <f t="shared" ca="1" si="841"/>
        <v>0</v>
      </c>
      <c r="BZ504" s="38">
        <f t="shared" ca="1" si="841"/>
        <v>0</v>
      </c>
      <c r="CA504" s="38">
        <f t="shared" ca="1" si="841"/>
        <v>0</v>
      </c>
      <c r="CB504" s="38">
        <f t="shared" ca="1" si="841"/>
        <v>0</v>
      </c>
      <c r="CC504" s="38">
        <f t="shared" ca="1" si="841"/>
        <v>0</v>
      </c>
      <c r="CD504" s="38">
        <f t="shared" ca="1" si="841"/>
        <v>0</v>
      </c>
      <c r="CE504" s="38">
        <f t="shared" ca="1" si="841"/>
        <v>0</v>
      </c>
      <c r="CF504" s="38">
        <f t="shared" ca="1" si="841"/>
        <v>0</v>
      </c>
      <c r="CG504" s="38">
        <f t="shared" ca="1" si="841"/>
        <v>0</v>
      </c>
      <c r="CH504" s="38">
        <f t="shared" ca="1" si="841"/>
        <v>0</v>
      </c>
      <c r="CI504" s="38">
        <f t="shared" ca="1" si="841"/>
        <v>0</v>
      </c>
      <c r="CJ504" s="38">
        <f t="shared" ca="1" si="841"/>
        <v>0</v>
      </c>
      <c r="CK504" s="38">
        <f t="shared" ca="1" si="841"/>
        <v>0</v>
      </c>
      <c r="CL504" s="38">
        <f t="shared" ca="1" si="841"/>
        <v>0</v>
      </c>
      <c r="CM504" s="38">
        <f t="shared" ca="1" si="841"/>
        <v>0</v>
      </c>
      <c r="CN504" s="38">
        <f t="shared" ca="1" si="841"/>
        <v>0</v>
      </c>
      <c r="CO504" s="38">
        <f t="shared" ca="1" si="841"/>
        <v>0</v>
      </c>
      <c r="CP504" s="38">
        <f t="shared" ca="1" si="841"/>
        <v>0</v>
      </c>
      <c r="CQ504" s="38">
        <f t="shared" ca="1" si="841"/>
        <v>0</v>
      </c>
      <c r="CR504" s="38">
        <f t="shared" ca="1" si="841"/>
        <v>0</v>
      </c>
      <c r="CS504" s="38">
        <f t="shared" ca="1" si="841"/>
        <v>0</v>
      </c>
      <c r="CT504" s="38">
        <f t="shared" ca="1" si="841"/>
        <v>0</v>
      </c>
      <c r="CU504" s="38">
        <f t="shared" ca="1" si="841"/>
        <v>0</v>
      </c>
      <c r="CV504" s="38">
        <f t="shared" ca="1" si="841"/>
        <v>0</v>
      </c>
    </row>
    <row r="505" spans="1:100" ht="12.75" outlineLevel="2" x14ac:dyDescent="0.2">
      <c r="E505" s="6"/>
    </row>
    <row r="506" spans="1:100" ht="12.75" outlineLevel="2" x14ac:dyDescent="0.2">
      <c r="E506" s="12" t="str">
        <f t="shared" ref="E506:AJ506" si="842" xml:space="preserve"> E$498</f>
        <v>Shareholder loan interest expense - P99 POS</v>
      </c>
      <c r="F506" s="12">
        <f t="shared" si="842"/>
        <v>0</v>
      </c>
      <c r="G506" s="12" t="str">
        <f t="shared" si="842"/>
        <v>$ 000s</v>
      </c>
      <c r="H506" s="12">
        <f t="shared" ca="1" si="842"/>
        <v>703456.92471362185</v>
      </c>
      <c r="I506" s="12">
        <f t="shared" si="842"/>
        <v>0</v>
      </c>
      <c r="J506" s="12">
        <f t="shared" si="842"/>
        <v>0</v>
      </c>
      <c r="K506" s="12">
        <f t="shared" ca="1" si="842"/>
        <v>0</v>
      </c>
      <c r="L506" s="12">
        <f t="shared" ca="1" si="842"/>
        <v>0</v>
      </c>
      <c r="M506" s="12">
        <f t="shared" ca="1" si="842"/>
        <v>0</v>
      </c>
      <c r="N506" s="12">
        <f t="shared" ca="1" si="842"/>
        <v>0</v>
      </c>
      <c r="O506" s="12">
        <f t="shared" ca="1" si="842"/>
        <v>5179.0951864116714</v>
      </c>
      <c r="P506" s="12">
        <f t="shared" ca="1" si="842"/>
        <v>5409.8190403629778</v>
      </c>
      <c r="Q506" s="12">
        <f t="shared" ca="1" si="842"/>
        <v>5683.2203574169225</v>
      </c>
      <c r="R506" s="12">
        <f t="shared" ca="1" si="842"/>
        <v>5976.8019323164099</v>
      </c>
      <c r="S506" s="12">
        <f t="shared" ca="1" si="842"/>
        <v>6285.8885507247842</v>
      </c>
      <c r="T506" s="12">
        <f t="shared" ca="1" si="842"/>
        <v>6617.3033905797265</v>
      </c>
      <c r="U506" s="12">
        <f t="shared" ca="1" si="842"/>
        <v>6966.9655466086188</v>
      </c>
      <c r="V506" s="12">
        <f t="shared" ca="1" si="842"/>
        <v>7340.4954249241309</v>
      </c>
      <c r="W506" s="12">
        <f t="shared" ca="1" si="842"/>
        <v>7735.2720987971907</v>
      </c>
      <c r="X506" s="12">
        <f t="shared" ca="1" si="842"/>
        <v>8157.5886285975548</v>
      </c>
      <c r="Y506" s="12">
        <f t="shared" ca="1" si="842"/>
        <v>8602.6920207917829</v>
      </c>
      <c r="Z506" s="12">
        <f t="shared" ca="1" si="842"/>
        <v>9078.3068349874356</v>
      </c>
      <c r="AA506" s="12">
        <f t="shared" ca="1" si="842"/>
        <v>9580.4353219044842</v>
      </c>
      <c r="AB506" s="12">
        <f t="shared" ca="1" si="842"/>
        <v>10116.504704490349</v>
      </c>
      <c r="AC506" s="12">
        <f t="shared" ca="1" si="842"/>
        <v>10683.17377536463</v>
      </c>
      <c r="AD506" s="12">
        <f t="shared" ca="1" si="842"/>
        <v>11286.791839157257</v>
      </c>
      <c r="AE506" s="12">
        <f t="shared" ca="1" si="842"/>
        <v>11925.521579859857</v>
      </c>
      <c r="AF506" s="12">
        <f t="shared" ca="1" si="842"/>
        <v>12606.450933725351</v>
      </c>
      <c r="AG506" s="12">
        <f t="shared" ca="1" si="842"/>
        <v>13325.799024596456</v>
      </c>
      <c r="AH506" s="12">
        <f t="shared" ca="1" si="842"/>
        <v>14092.146878665209</v>
      </c>
      <c r="AI506" s="12">
        <f t="shared" ca="1" si="842"/>
        <v>14902.544139085943</v>
      </c>
      <c r="AJ506" s="12">
        <f t="shared" ca="1" si="842"/>
        <v>15765.413291201141</v>
      </c>
      <c r="AK506" s="12">
        <f t="shared" ref="AK506:BP506" ca="1" si="843" xml:space="preserve"> AK$498</f>
        <v>16678.567628098426</v>
      </c>
      <c r="AL506" s="12">
        <f t="shared" ca="1" si="843"/>
        <v>17649.527351806784</v>
      </c>
      <c r="AM506" s="12">
        <f t="shared" ca="1" si="843"/>
        <v>18677.702549551508</v>
      </c>
      <c r="AN506" s="12">
        <f t="shared" ca="1" si="843"/>
        <v>19771.470846289729</v>
      </c>
      <c r="AO506" s="12">
        <f t="shared" ca="1" si="843"/>
        <v>20928.550281610158</v>
      </c>
      <c r="AP506" s="12">
        <f t="shared" ca="1" si="843"/>
        <v>22158.932000795918</v>
      </c>
      <c r="AQ506" s="12">
        <f t="shared" ca="1" si="843"/>
        <v>23461.302467370235</v>
      </c>
      <c r="AR506" s="12">
        <f t="shared" ca="1" si="843"/>
        <v>24845.70320742816</v>
      </c>
      <c r="AS506" s="12">
        <f t="shared" ca="1" si="843"/>
        <v>26311.763342627997</v>
      </c>
      <c r="AT506" s="12">
        <f t="shared" ca="1" si="843"/>
        <v>27868.877504433076</v>
      </c>
      <c r="AU506" s="12">
        <f t="shared" ca="1" si="843"/>
        <v>29518.443833454578</v>
      </c>
      <c r="AV506" s="12">
        <f t="shared" ca="1" si="843"/>
        <v>30979.322730148517</v>
      </c>
      <c r="AW506" s="12">
        <f t="shared" ca="1" si="843"/>
        <v>32528.804537019194</v>
      </c>
      <c r="AX506" s="12">
        <f t="shared" ca="1" si="843"/>
        <v>33883.66026473025</v>
      </c>
      <c r="AY506" s="12">
        <f t="shared" ca="1" si="843"/>
        <v>35324.332705482491</v>
      </c>
      <c r="AZ506" s="12">
        <f t="shared" ca="1" si="843"/>
        <v>36855.597819708011</v>
      </c>
      <c r="BA506" s="12">
        <f t="shared" ca="1" si="843"/>
        <v>38483.261579261198</v>
      </c>
      <c r="BB506" s="12">
        <f t="shared" ca="1" si="843"/>
        <v>40212.873563235735</v>
      </c>
      <c r="BC506" s="12">
        <f t="shared" ca="1" si="843"/>
        <v>0</v>
      </c>
      <c r="BD506" s="12">
        <f t="shared" ca="1" si="843"/>
        <v>0</v>
      </c>
      <c r="BE506" s="12">
        <f t="shared" ca="1" si="843"/>
        <v>0</v>
      </c>
      <c r="BF506" s="12">
        <f t="shared" ca="1" si="843"/>
        <v>0</v>
      </c>
      <c r="BG506" s="12">
        <f t="shared" ca="1" si="843"/>
        <v>0</v>
      </c>
      <c r="BH506" s="12">
        <f t="shared" ca="1" si="843"/>
        <v>0</v>
      </c>
      <c r="BI506" s="12">
        <f t="shared" ca="1" si="843"/>
        <v>0</v>
      </c>
      <c r="BJ506" s="12">
        <f t="shared" ca="1" si="843"/>
        <v>0</v>
      </c>
      <c r="BK506" s="12">
        <f t="shared" ca="1" si="843"/>
        <v>0</v>
      </c>
      <c r="BL506" s="12">
        <f t="shared" ca="1" si="843"/>
        <v>0</v>
      </c>
      <c r="BM506" s="12">
        <f t="shared" ca="1" si="843"/>
        <v>0</v>
      </c>
      <c r="BN506" s="12">
        <f t="shared" ca="1" si="843"/>
        <v>0</v>
      </c>
      <c r="BO506" s="12">
        <f t="shared" ca="1" si="843"/>
        <v>0</v>
      </c>
      <c r="BP506" s="12">
        <f t="shared" ca="1" si="843"/>
        <v>0</v>
      </c>
      <c r="BQ506" s="12">
        <f t="shared" ref="BQ506:CV506" ca="1" si="844" xml:space="preserve"> BQ$498</f>
        <v>0</v>
      </c>
      <c r="BR506" s="12">
        <f t="shared" ca="1" si="844"/>
        <v>0</v>
      </c>
      <c r="BS506" s="12">
        <f t="shared" ca="1" si="844"/>
        <v>0</v>
      </c>
      <c r="BT506" s="12">
        <f t="shared" ca="1" si="844"/>
        <v>0</v>
      </c>
      <c r="BU506" s="12">
        <f t="shared" ca="1" si="844"/>
        <v>0</v>
      </c>
      <c r="BV506" s="12">
        <f t="shared" ca="1" si="844"/>
        <v>0</v>
      </c>
      <c r="BW506" s="12">
        <f t="shared" ca="1" si="844"/>
        <v>0</v>
      </c>
      <c r="BX506" s="12">
        <f t="shared" ca="1" si="844"/>
        <v>0</v>
      </c>
      <c r="BY506" s="12">
        <f t="shared" ca="1" si="844"/>
        <v>0</v>
      </c>
      <c r="BZ506" s="12">
        <f t="shared" ca="1" si="844"/>
        <v>0</v>
      </c>
      <c r="CA506" s="12">
        <f t="shared" ca="1" si="844"/>
        <v>0</v>
      </c>
      <c r="CB506" s="12">
        <f t="shared" ca="1" si="844"/>
        <v>0</v>
      </c>
      <c r="CC506" s="12">
        <f t="shared" ca="1" si="844"/>
        <v>0</v>
      </c>
      <c r="CD506" s="12">
        <f t="shared" ca="1" si="844"/>
        <v>0</v>
      </c>
      <c r="CE506" s="12">
        <f t="shared" ca="1" si="844"/>
        <v>0</v>
      </c>
      <c r="CF506" s="12">
        <f t="shared" ca="1" si="844"/>
        <v>0</v>
      </c>
      <c r="CG506" s="12">
        <f t="shared" ca="1" si="844"/>
        <v>0</v>
      </c>
      <c r="CH506" s="12">
        <f t="shared" ca="1" si="844"/>
        <v>0</v>
      </c>
      <c r="CI506" s="12">
        <f t="shared" ca="1" si="844"/>
        <v>0</v>
      </c>
      <c r="CJ506" s="12">
        <f t="shared" ca="1" si="844"/>
        <v>0</v>
      </c>
      <c r="CK506" s="12">
        <f t="shared" ca="1" si="844"/>
        <v>0</v>
      </c>
      <c r="CL506" s="12">
        <f t="shared" ca="1" si="844"/>
        <v>0</v>
      </c>
      <c r="CM506" s="12">
        <f t="shared" ca="1" si="844"/>
        <v>0</v>
      </c>
      <c r="CN506" s="12">
        <f t="shared" ca="1" si="844"/>
        <v>0</v>
      </c>
      <c r="CO506" s="12">
        <f t="shared" ca="1" si="844"/>
        <v>0</v>
      </c>
      <c r="CP506" s="12">
        <f t="shared" ca="1" si="844"/>
        <v>0</v>
      </c>
      <c r="CQ506" s="12">
        <f t="shared" ca="1" si="844"/>
        <v>0</v>
      </c>
      <c r="CR506" s="12">
        <f t="shared" ca="1" si="844"/>
        <v>0</v>
      </c>
      <c r="CS506" s="12">
        <f t="shared" ca="1" si="844"/>
        <v>0</v>
      </c>
      <c r="CT506" s="12">
        <f t="shared" ca="1" si="844"/>
        <v>0</v>
      </c>
      <c r="CU506" s="12">
        <f t="shared" ca="1" si="844"/>
        <v>0</v>
      </c>
      <c r="CV506" s="12">
        <f t="shared" ca="1" si="844"/>
        <v>0</v>
      </c>
    </row>
    <row r="507" spans="1:100" ht="12.75" outlineLevel="2" x14ac:dyDescent="0.2">
      <c r="E507" s="12" t="str">
        <f t="shared" ref="E507:AJ507" si="845" xml:space="preserve"> E$504</f>
        <v>Cash availble for shareholder loan - P99</v>
      </c>
      <c r="F507" s="12">
        <f t="shared" si="845"/>
        <v>0</v>
      </c>
      <c r="G507" s="12" t="str">
        <f t="shared" si="845"/>
        <v>$ 000s</v>
      </c>
      <c r="H507" s="12">
        <f t="shared" si="845"/>
        <v>0</v>
      </c>
      <c r="I507" s="12">
        <f t="shared" si="845"/>
        <v>0</v>
      </c>
      <c r="J507" s="12">
        <f t="shared" ca="1" si="845"/>
        <v>0</v>
      </c>
      <c r="K507" s="12">
        <f t="shared" ca="1" si="845"/>
        <v>0</v>
      </c>
      <c r="L507" s="12">
        <f t="shared" ca="1" si="845"/>
        <v>0</v>
      </c>
      <c r="M507" s="12">
        <f t="shared" ca="1" si="845"/>
        <v>0</v>
      </c>
      <c r="N507" s="12">
        <f t="shared" ca="1" si="845"/>
        <v>0</v>
      </c>
      <c r="O507" s="12">
        <f t="shared" ca="1" si="845"/>
        <v>1333.6976205565661</v>
      </c>
      <c r="P507" s="12">
        <f t="shared" ca="1" si="845"/>
        <v>853.13042279723049</v>
      </c>
      <c r="Q507" s="12">
        <f t="shared" ca="1" si="845"/>
        <v>790.19410909212456</v>
      </c>
      <c r="R507" s="12">
        <f t="shared" ca="1" si="845"/>
        <v>825.35829217683931</v>
      </c>
      <c r="S507" s="12">
        <f t="shared" ca="1" si="845"/>
        <v>762.30788647574263</v>
      </c>
      <c r="T507" s="12">
        <f t="shared" ca="1" si="845"/>
        <v>789.60079009818401</v>
      </c>
      <c r="U507" s="12">
        <f t="shared" ca="1" si="845"/>
        <v>741.46757468341821</v>
      </c>
      <c r="V507" s="12">
        <f t="shared" ca="1" si="845"/>
        <v>760.88419370646443</v>
      </c>
      <c r="W507" s="12">
        <f t="shared" ca="1" si="845"/>
        <v>696.66326879112785</v>
      </c>
      <c r="X507" s="12">
        <f t="shared" ca="1" si="845"/>
        <v>739.19875869376119</v>
      </c>
      <c r="Y507" s="12">
        <f t="shared" ca="1" si="845"/>
        <v>675.77845086423076</v>
      </c>
      <c r="Z507" s="12">
        <f t="shared" ca="1" si="845"/>
        <v>709.49871970328786</v>
      </c>
      <c r="AA507" s="12">
        <f t="shared" ca="1" si="845"/>
        <v>645.94561214004716</v>
      </c>
      <c r="AB507" s="12">
        <f t="shared" ca="1" si="845"/>
        <v>672.02018991900695</v>
      </c>
      <c r="AC507" s="12">
        <f t="shared" ca="1" si="845"/>
        <v>622.87271215417604</v>
      </c>
      <c r="AD507" s="12">
        <f t="shared" ca="1" si="845"/>
        <v>641.29616078062463</v>
      </c>
      <c r="AE507" s="12">
        <f t="shared" ca="1" si="845"/>
        <v>576.69901543492961</v>
      </c>
      <c r="AF507" s="12">
        <f t="shared" ca="1" si="845"/>
        <v>617.31608587360824</v>
      </c>
      <c r="AG507" s="12">
        <f t="shared" ca="1" si="845"/>
        <v>553.33479011720556</v>
      </c>
      <c r="AH507" s="12">
        <f t="shared" ca="1" si="845"/>
        <v>585.52587165296791</v>
      </c>
      <c r="AI507" s="12">
        <f t="shared" ca="1" si="845"/>
        <v>521.39160383262424</v>
      </c>
      <c r="AJ507" s="12">
        <f t="shared" ca="1" si="845"/>
        <v>546.17434291308746</v>
      </c>
      <c r="AK507" s="12">
        <f t="shared" ref="AK507:BP507" ca="1" si="846" xml:space="preserve"> AK$504</f>
        <v>495.90556629246748</v>
      </c>
      <c r="AL507" s="12">
        <f t="shared" ca="1" si="846"/>
        <v>513.27405606138927</v>
      </c>
      <c r="AM507" s="12">
        <f t="shared" ca="1" si="846"/>
        <v>448.23093724782666</v>
      </c>
      <c r="AN507" s="12">
        <f t="shared" ca="1" si="846"/>
        <v>486.81359094925028</v>
      </c>
      <c r="AO507" s="12">
        <f t="shared" ca="1" si="846"/>
        <v>422.18829518086204</v>
      </c>
      <c r="AP507" s="12">
        <f t="shared" ca="1" si="846"/>
        <v>452.75755789060349</v>
      </c>
      <c r="AQ507" s="12">
        <f t="shared" ca="1" si="846"/>
        <v>387.95679973809092</v>
      </c>
      <c r="AR507" s="12">
        <f t="shared" ca="1" si="846"/>
        <v>411.3676207642111</v>
      </c>
      <c r="AS507" s="12">
        <f t="shared" ca="1" si="846"/>
        <v>359.8606458766335</v>
      </c>
      <c r="AT507" s="12">
        <f t="shared" ca="1" si="846"/>
        <v>376.10535407469251</v>
      </c>
      <c r="AU507" s="12">
        <f t="shared" ca="1" si="846"/>
        <v>5170.462221888959</v>
      </c>
      <c r="AV507" s="12">
        <f t="shared" ca="1" si="846"/>
        <v>5154.6259489705117</v>
      </c>
      <c r="AW507" s="12">
        <f t="shared" ca="1" si="846"/>
        <v>9947.8757418349815</v>
      </c>
      <c r="AX507" s="12">
        <f t="shared" ca="1" si="846"/>
        <v>9872.4529188595952</v>
      </c>
      <c r="AY507" s="12">
        <f t="shared" ca="1" si="846"/>
        <v>9803.2474683903492</v>
      </c>
      <c r="AZ507" s="12">
        <f t="shared" ca="1" si="846"/>
        <v>9727.8684938216247</v>
      </c>
      <c r="BA507" s="12">
        <f t="shared" ca="1" si="846"/>
        <v>9656.395179685629</v>
      </c>
      <c r="BB507" s="12">
        <f t="shared" ca="1" si="846"/>
        <v>12057.385843762037</v>
      </c>
      <c r="BC507" s="12">
        <f t="shared" ca="1" si="846"/>
        <v>0</v>
      </c>
      <c r="BD507" s="12">
        <f t="shared" ca="1" si="846"/>
        <v>0</v>
      </c>
      <c r="BE507" s="12">
        <f t="shared" ca="1" si="846"/>
        <v>0</v>
      </c>
      <c r="BF507" s="12">
        <f t="shared" ca="1" si="846"/>
        <v>0</v>
      </c>
      <c r="BG507" s="12">
        <f t="shared" ca="1" si="846"/>
        <v>0</v>
      </c>
      <c r="BH507" s="12">
        <f t="shared" ca="1" si="846"/>
        <v>0</v>
      </c>
      <c r="BI507" s="12">
        <f t="shared" ca="1" si="846"/>
        <v>0</v>
      </c>
      <c r="BJ507" s="12">
        <f t="shared" ca="1" si="846"/>
        <v>0</v>
      </c>
      <c r="BK507" s="12">
        <f t="shared" ca="1" si="846"/>
        <v>0</v>
      </c>
      <c r="BL507" s="12">
        <f t="shared" ca="1" si="846"/>
        <v>0</v>
      </c>
      <c r="BM507" s="12">
        <f t="shared" ca="1" si="846"/>
        <v>0</v>
      </c>
      <c r="BN507" s="12">
        <f t="shared" ca="1" si="846"/>
        <v>0</v>
      </c>
      <c r="BO507" s="12">
        <f t="shared" ca="1" si="846"/>
        <v>0</v>
      </c>
      <c r="BP507" s="12">
        <f t="shared" ca="1" si="846"/>
        <v>0</v>
      </c>
      <c r="BQ507" s="12">
        <f t="shared" ref="BQ507:CV507" ca="1" si="847" xml:space="preserve"> BQ$504</f>
        <v>0</v>
      </c>
      <c r="BR507" s="12">
        <f t="shared" ca="1" si="847"/>
        <v>0</v>
      </c>
      <c r="BS507" s="12">
        <f t="shared" ca="1" si="847"/>
        <v>0</v>
      </c>
      <c r="BT507" s="12">
        <f t="shared" ca="1" si="847"/>
        <v>0</v>
      </c>
      <c r="BU507" s="12">
        <f t="shared" ca="1" si="847"/>
        <v>0</v>
      </c>
      <c r="BV507" s="12">
        <f t="shared" ca="1" si="847"/>
        <v>0</v>
      </c>
      <c r="BW507" s="12">
        <f t="shared" ca="1" si="847"/>
        <v>0</v>
      </c>
      <c r="BX507" s="12">
        <f t="shared" ca="1" si="847"/>
        <v>0</v>
      </c>
      <c r="BY507" s="12">
        <f t="shared" ca="1" si="847"/>
        <v>0</v>
      </c>
      <c r="BZ507" s="12">
        <f t="shared" ca="1" si="847"/>
        <v>0</v>
      </c>
      <c r="CA507" s="12">
        <f t="shared" ca="1" si="847"/>
        <v>0</v>
      </c>
      <c r="CB507" s="12">
        <f t="shared" ca="1" si="847"/>
        <v>0</v>
      </c>
      <c r="CC507" s="12">
        <f t="shared" ca="1" si="847"/>
        <v>0</v>
      </c>
      <c r="CD507" s="12">
        <f t="shared" ca="1" si="847"/>
        <v>0</v>
      </c>
      <c r="CE507" s="12">
        <f t="shared" ca="1" si="847"/>
        <v>0</v>
      </c>
      <c r="CF507" s="12">
        <f t="shared" ca="1" si="847"/>
        <v>0</v>
      </c>
      <c r="CG507" s="12">
        <f t="shared" ca="1" si="847"/>
        <v>0</v>
      </c>
      <c r="CH507" s="12">
        <f t="shared" ca="1" si="847"/>
        <v>0</v>
      </c>
      <c r="CI507" s="12">
        <f t="shared" ca="1" si="847"/>
        <v>0</v>
      </c>
      <c r="CJ507" s="12">
        <f t="shared" ca="1" si="847"/>
        <v>0</v>
      </c>
      <c r="CK507" s="12">
        <f t="shared" ca="1" si="847"/>
        <v>0</v>
      </c>
      <c r="CL507" s="12">
        <f t="shared" ca="1" si="847"/>
        <v>0</v>
      </c>
      <c r="CM507" s="12">
        <f t="shared" ca="1" si="847"/>
        <v>0</v>
      </c>
      <c r="CN507" s="12">
        <f t="shared" ca="1" si="847"/>
        <v>0</v>
      </c>
      <c r="CO507" s="12">
        <f t="shared" ca="1" si="847"/>
        <v>0</v>
      </c>
      <c r="CP507" s="12">
        <f t="shared" ca="1" si="847"/>
        <v>0</v>
      </c>
      <c r="CQ507" s="12">
        <f t="shared" ca="1" si="847"/>
        <v>0</v>
      </c>
      <c r="CR507" s="12">
        <f t="shared" ca="1" si="847"/>
        <v>0</v>
      </c>
      <c r="CS507" s="12">
        <f t="shared" ca="1" si="847"/>
        <v>0</v>
      </c>
      <c r="CT507" s="12">
        <f t="shared" ca="1" si="847"/>
        <v>0</v>
      </c>
      <c r="CU507" s="12">
        <f t="shared" ca="1" si="847"/>
        <v>0</v>
      </c>
      <c r="CV507" s="12">
        <f t="shared" ca="1" si="847"/>
        <v>0</v>
      </c>
    </row>
    <row r="508" spans="1:100" s="188" customFormat="1" ht="12.75" outlineLevel="2" x14ac:dyDescent="0.2">
      <c r="A508" s="141"/>
      <c r="B508" s="141"/>
      <c r="C508" s="142"/>
      <c r="D508" s="143"/>
      <c r="E508" s="187" t="s">
        <v>1187</v>
      </c>
      <c r="F508" s="187"/>
      <c r="G508" s="187" t="str">
        <f xml:space="preserve"> SMU</f>
        <v>$ 000s</v>
      </c>
      <c r="H508" s="187">
        <f ca="1" xml:space="preserve"> SUM(J508:CV508)</f>
        <v>91405.13071374697</v>
      </c>
      <c r="I508" s="144"/>
      <c r="J508" s="187">
        <f t="shared" ref="J508:AO508" ca="1" si="848" xml:space="preserve"> MIN(J506:J507)</f>
        <v>0</v>
      </c>
      <c r="K508" s="187">
        <f t="shared" ca="1" si="848"/>
        <v>0</v>
      </c>
      <c r="L508" s="187">
        <f t="shared" ca="1" si="848"/>
        <v>0</v>
      </c>
      <c r="M508" s="187">
        <f t="shared" ca="1" si="848"/>
        <v>0</v>
      </c>
      <c r="N508" s="187">
        <f t="shared" ca="1" si="848"/>
        <v>0</v>
      </c>
      <c r="O508" s="187">
        <f t="shared" ca="1" si="848"/>
        <v>1333.6976205565661</v>
      </c>
      <c r="P508" s="187">
        <f t="shared" ca="1" si="848"/>
        <v>853.13042279723049</v>
      </c>
      <c r="Q508" s="187">
        <f t="shared" ca="1" si="848"/>
        <v>790.19410909212456</v>
      </c>
      <c r="R508" s="187">
        <f t="shared" ca="1" si="848"/>
        <v>825.35829217683931</v>
      </c>
      <c r="S508" s="187">
        <f t="shared" ca="1" si="848"/>
        <v>762.30788647574263</v>
      </c>
      <c r="T508" s="187">
        <f t="shared" ca="1" si="848"/>
        <v>789.60079009818401</v>
      </c>
      <c r="U508" s="187">
        <f t="shared" ca="1" si="848"/>
        <v>741.46757468341821</v>
      </c>
      <c r="V508" s="187">
        <f t="shared" ca="1" si="848"/>
        <v>760.88419370646443</v>
      </c>
      <c r="W508" s="187">
        <f t="shared" ca="1" si="848"/>
        <v>696.66326879112785</v>
      </c>
      <c r="X508" s="187">
        <f t="shared" ca="1" si="848"/>
        <v>739.19875869376119</v>
      </c>
      <c r="Y508" s="187">
        <f t="shared" ca="1" si="848"/>
        <v>675.77845086423076</v>
      </c>
      <c r="Z508" s="187">
        <f t="shared" ca="1" si="848"/>
        <v>709.49871970328786</v>
      </c>
      <c r="AA508" s="187">
        <f t="shared" ca="1" si="848"/>
        <v>645.94561214004716</v>
      </c>
      <c r="AB508" s="187">
        <f t="shared" ca="1" si="848"/>
        <v>672.02018991900695</v>
      </c>
      <c r="AC508" s="187">
        <f t="shared" ca="1" si="848"/>
        <v>622.87271215417604</v>
      </c>
      <c r="AD508" s="187">
        <f t="shared" ca="1" si="848"/>
        <v>641.29616078062463</v>
      </c>
      <c r="AE508" s="187">
        <f t="shared" ca="1" si="848"/>
        <v>576.69901543492961</v>
      </c>
      <c r="AF508" s="187">
        <f t="shared" ca="1" si="848"/>
        <v>617.31608587360824</v>
      </c>
      <c r="AG508" s="187">
        <f t="shared" ca="1" si="848"/>
        <v>553.33479011720556</v>
      </c>
      <c r="AH508" s="187">
        <f t="shared" ca="1" si="848"/>
        <v>585.52587165296791</v>
      </c>
      <c r="AI508" s="187">
        <f t="shared" ca="1" si="848"/>
        <v>521.39160383262424</v>
      </c>
      <c r="AJ508" s="187">
        <f t="shared" ca="1" si="848"/>
        <v>546.17434291308746</v>
      </c>
      <c r="AK508" s="187">
        <f t="shared" ca="1" si="848"/>
        <v>495.90556629246748</v>
      </c>
      <c r="AL508" s="187">
        <f t="shared" ca="1" si="848"/>
        <v>513.27405606138927</v>
      </c>
      <c r="AM508" s="187">
        <f t="shared" ca="1" si="848"/>
        <v>448.23093724782666</v>
      </c>
      <c r="AN508" s="187">
        <f t="shared" ca="1" si="848"/>
        <v>486.81359094925028</v>
      </c>
      <c r="AO508" s="187">
        <f t="shared" ca="1" si="848"/>
        <v>422.18829518086204</v>
      </c>
      <c r="AP508" s="187">
        <f t="shared" ref="AP508:BU508" ca="1" si="849" xml:space="preserve"> MIN(AP506:AP507)</f>
        <v>452.75755789060349</v>
      </c>
      <c r="AQ508" s="187">
        <f t="shared" ca="1" si="849"/>
        <v>387.95679973809092</v>
      </c>
      <c r="AR508" s="187">
        <f t="shared" ca="1" si="849"/>
        <v>411.3676207642111</v>
      </c>
      <c r="AS508" s="187">
        <f t="shared" ca="1" si="849"/>
        <v>359.8606458766335</v>
      </c>
      <c r="AT508" s="187">
        <f t="shared" ca="1" si="849"/>
        <v>376.10535407469251</v>
      </c>
      <c r="AU508" s="187">
        <f t="shared" ca="1" si="849"/>
        <v>5170.462221888959</v>
      </c>
      <c r="AV508" s="187">
        <f t="shared" ca="1" si="849"/>
        <v>5154.6259489705117</v>
      </c>
      <c r="AW508" s="187">
        <f t="shared" ca="1" si="849"/>
        <v>9947.8757418349815</v>
      </c>
      <c r="AX508" s="187">
        <f t="shared" ca="1" si="849"/>
        <v>9872.4529188595952</v>
      </c>
      <c r="AY508" s="187">
        <f t="shared" ca="1" si="849"/>
        <v>9803.2474683903492</v>
      </c>
      <c r="AZ508" s="187">
        <f t="shared" ca="1" si="849"/>
        <v>9727.8684938216247</v>
      </c>
      <c r="BA508" s="187">
        <f t="shared" ca="1" si="849"/>
        <v>9656.395179685629</v>
      </c>
      <c r="BB508" s="187">
        <f t="shared" ca="1" si="849"/>
        <v>12057.385843762037</v>
      </c>
      <c r="BC508" s="187">
        <f t="shared" ca="1" si="849"/>
        <v>0</v>
      </c>
      <c r="BD508" s="187">
        <f t="shared" ca="1" si="849"/>
        <v>0</v>
      </c>
      <c r="BE508" s="187">
        <f t="shared" ca="1" si="849"/>
        <v>0</v>
      </c>
      <c r="BF508" s="187">
        <f t="shared" ca="1" si="849"/>
        <v>0</v>
      </c>
      <c r="BG508" s="187">
        <f t="shared" ca="1" si="849"/>
        <v>0</v>
      </c>
      <c r="BH508" s="187">
        <f t="shared" ca="1" si="849"/>
        <v>0</v>
      </c>
      <c r="BI508" s="187">
        <f t="shared" ca="1" si="849"/>
        <v>0</v>
      </c>
      <c r="BJ508" s="187">
        <f t="shared" ca="1" si="849"/>
        <v>0</v>
      </c>
      <c r="BK508" s="187">
        <f t="shared" ca="1" si="849"/>
        <v>0</v>
      </c>
      <c r="BL508" s="187">
        <f t="shared" ca="1" si="849"/>
        <v>0</v>
      </c>
      <c r="BM508" s="187">
        <f t="shared" ca="1" si="849"/>
        <v>0</v>
      </c>
      <c r="BN508" s="187">
        <f t="shared" ca="1" si="849"/>
        <v>0</v>
      </c>
      <c r="BO508" s="187">
        <f t="shared" ca="1" si="849"/>
        <v>0</v>
      </c>
      <c r="BP508" s="187">
        <f t="shared" ca="1" si="849"/>
        <v>0</v>
      </c>
      <c r="BQ508" s="187">
        <f t="shared" ca="1" si="849"/>
        <v>0</v>
      </c>
      <c r="BR508" s="187">
        <f t="shared" ca="1" si="849"/>
        <v>0</v>
      </c>
      <c r="BS508" s="187">
        <f t="shared" ca="1" si="849"/>
        <v>0</v>
      </c>
      <c r="BT508" s="187">
        <f t="shared" ca="1" si="849"/>
        <v>0</v>
      </c>
      <c r="BU508" s="187">
        <f t="shared" ca="1" si="849"/>
        <v>0</v>
      </c>
      <c r="BV508" s="187">
        <f t="shared" ref="BV508:CV508" ca="1" si="850" xml:space="preserve"> MIN(BV506:BV507)</f>
        <v>0</v>
      </c>
      <c r="BW508" s="187">
        <f t="shared" ca="1" si="850"/>
        <v>0</v>
      </c>
      <c r="BX508" s="187">
        <f t="shared" ca="1" si="850"/>
        <v>0</v>
      </c>
      <c r="BY508" s="187">
        <f t="shared" ca="1" si="850"/>
        <v>0</v>
      </c>
      <c r="BZ508" s="187">
        <f t="shared" ca="1" si="850"/>
        <v>0</v>
      </c>
      <c r="CA508" s="187">
        <f t="shared" ca="1" si="850"/>
        <v>0</v>
      </c>
      <c r="CB508" s="187">
        <f t="shared" ca="1" si="850"/>
        <v>0</v>
      </c>
      <c r="CC508" s="187">
        <f t="shared" ca="1" si="850"/>
        <v>0</v>
      </c>
      <c r="CD508" s="187">
        <f t="shared" ca="1" si="850"/>
        <v>0</v>
      </c>
      <c r="CE508" s="187">
        <f t="shared" ca="1" si="850"/>
        <v>0</v>
      </c>
      <c r="CF508" s="187">
        <f t="shared" ca="1" si="850"/>
        <v>0</v>
      </c>
      <c r="CG508" s="187">
        <f t="shared" ca="1" si="850"/>
        <v>0</v>
      </c>
      <c r="CH508" s="187">
        <f t="shared" ca="1" si="850"/>
        <v>0</v>
      </c>
      <c r="CI508" s="187">
        <f t="shared" ca="1" si="850"/>
        <v>0</v>
      </c>
      <c r="CJ508" s="187">
        <f t="shared" ca="1" si="850"/>
        <v>0</v>
      </c>
      <c r="CK508" s="187">
        <f t="shared" ca="1" si="850"/>
        <v>0</v>
      </c>
      <c r="CL508" s="187">
        <f t="shared" ca="1" si="850"/>
        <v>0</v>
      </c>
      <c r="CM508" s="187">
        <f t="shared" ca="1" si="850"/>
        <v>0</v>
      </c>
      <c r="CN508" s="187">
        <f t="shared" ca="1" si="850"/>
        <v>0</v>
      </c>
      <c r="CO508" s="187">
        <f t="shared" ca="1" si="850"/>
        <v>0</v>
      </c>
      <c r="CP508" s="187">
        <f t="shared" ca="1" si="850"/>
        <v>0</v>
      </c>
      <c r="CQ508" s="187">
        <f t="shared" ca="1" si="850"/>
        <v>0</v>
      </c>
      <c r="CR508" s="187">
        <f t="shared" ca="1" si="850"/>
        <v>0</v>
      </c>
      <c r="CS508" s="187">
        <f t="shared" ca="1" si="850"/>
        <v>0</v>
      </c>
      <c r="CT508" s="187">
        <f t="shared" ca="1" si="850"/>
        <v>0</v>
      </c>
      <c r="CU508" s="187">
        <f t="shared" ca="1" si="850"/>
        <v>0</v>
      </c>
      <c r="CV508" s="187">
        <f t="shared" ca="1" si="850"/>
        <v>0</v>
      </c>
    </row>
    <row r="509" spans="1:100" s="188" customFormat="1" ht="12.75" outlineLevel="2" x14ac:dyDescent="0.2">
      <c r="A509" s="141"/>
      <c r="B509" s="141"/>
      <c r="C509" s="142"/>
      <c r="D509" s="482" t="s">
        <v>366</v>
      </c>
      <c r="E509" s="187" t="str">
        <f xml:space="preserve"> LEFT(E508, LEN(E508) - 4)</f>
        <v>Shareholder loan interest paid - P99</v>
      </c>
      <c r="F509" s="187"/>
      <c r="G509" s="187" t="str">
        <f xml:space="preserve"> SMU</f>
        <v>$ 000s</v>
      </c>
      <c r="H509" s="187">
        <f ca="1" xml:space="preserve"> SUM(J509:CV509)</f>
        <v>-91405.13071374697</v>
      </c>
      <c r="I509" s="144"/>
      <c r="J509" s="187">
        <f t="shared" ref="J509:AO509" ca="1" si="851" xml:space="preserve"> -1 * J508</f>
        <v>0</v>
      </c>
      <c r="K509" s="187">
        <f t="shared" ca="1" si="851"/>
        <v>0</v>
      </c>
      <c r="L509" s="187">
        <f t="shared" ca="1" si="851"/>
        <v>0</v>
      </c>
      <c r="M509" s="187">
        <f t="shared" ca="1" si="851"/>
        <v>0</v>
      </c>
      <c r="N509" s="187">
        <f t="shared" ca="1" si="851"/>
        <v>0</v>
      </c>
      <c r="O509" s="187">
        <f t="shared" ca="1" si="851"/>
        <v>-1333.6976205565661</v>
      </c>
      <c r="P509" s="187">
        <f t="shared" ca="1" si="851"/>
        <v>-853.13042279723049</v>
      </c>
      <c r="Q509" s="187">
        <f t="shared" ca="1" si="851"/>
        <v>-790.19410909212456</v>
      </c>
      <c r="R509" s="187">
        <f t="shared" ca="1" si="851"/>
        <v>-825.35829217683931</v>
      </c>
      <c r="S509" s="187">
        <f t="shared" ca="1" si="851"/>
        <v>-762.30788647574263</v>
      </c>
      <c r="T509" s="187">
        <f t="shared" ca="1" si="851"/>
        <v>-789.60079009818401</v>
      </c>
      <c r="U509" s="187">
        <f t="shared" ca="1" si="851"/>
        <v>-741.46757468341821</v>
      </c>
      <c r="V509" s="187">
        <f t="shared" ca="1" si="851"/>
        <v>-760.88419370646443</v>
      </c>
      <c r="W509" s="187">
        <f t="shared" ca="1" si="851"/>
        <v>-696.66326879112785</v>
      </c>
      <c r="X509" s="187">
        <f t="shared" ca="1" si="851"/>
        <v>-739.19875869376119</v>
      </c>
      <c r="Y509" s="187">
        <f t="shared" ca="1" si="851"/>
        <v>-675.77845086423076</v>
      </c>
      <c r="Z509" s="187">
        <f t="shared" ca="1" si="851"/>
        <v>-709.49871970328786</v>
      </c>
      <c r="AA509" s="187">
        <f t="shared" ca="1" si="851"/>
        <v>-645.94561214004716</v>
      </c>
      <c r="AB509" s="187">
        <f t="shared" ca="1" si="851"/>
        <v>-672.02018991900695</v>
      </c>
      <c r="AC509" s="187">
        <f t="shared" ca="1" si="851"/>
        <v>-622.87271215417604</v>
      </c>
      <c r="AD509" s="187">
        <f t="shared" ca="1" si="851"/>
        <v>-641.29616078062463</v>
      </c>
      <c r="AE509" s="187">
        <f t="shared" ca="1" si="851"/>
        <v>-576.69901543492961</v>
      </c>
      <c r="AF509" s="187">
        <f t="shared" ca="1" si="851"/>
        <v>-617.31608587360824</v>
      </c>
      <c r="AG509" s="187">
        <f t="shared" ca="1" si="851"/>
        <v>-553.33479011720556</v>
      </c>
      <c r="AH509" s="187">
        <f t="shared" ca="1" si="851"/>
        <v>-585.52587165296791</v>
      </c>
      <c r="AI509" s="187">
        <f t="shared" ca="1" si="851"/>
        <v>-521.39160383262424</v>
      </c>
      <c r="AJ509" s="187">
        <f t="shared" ca="1" si="851"/>
        <v>-546.17434291308746</v>
      </c>
      <c r="AK509" s="187">
        <f t="shared" ca="1" si="851"/>
        <v>-495.90556629246748</v>
      </c>
      <c r="AL509" s="187">
        <f t="shared" ca="1" si="851"/>
        <v>-513.27405606138927</v>
      </c>
      <c r="AM509" s="187">
        <f t="shared" ca="1" si="851"/>
        <v>-448.23093724782666</v>
      </c>
      <c r="AN509" s="187">
        <f t="shared" ca="1" si="851"/>
        <v>-486.81359094925028</v>
      </c>
      <c r="AO509" s="187">
        <f t="shared" ca="1" si="851"/>
        <v>-422.18829518086204</v>
      </c>
      <c r="AP509" s="187">
        <f t="shared" ref="AP509:BU509" ca="1" si="852" xml:space="preserve"> -1 * AP508</f>
        <v>-452.75755789060349</v>
      </c>
      <c r="AQ509" s="187">
        <f t="shared" ca="1" si="852"/>
        <v>-387.95679973809092</v>
      </c>
      <c r="AR509" s="187">
        <f t="shared" ca="1" si="852"/>
        <v>-411.3676207642111</v>
      </c>
      <c r="AS509" s="187">
        <f t="shared" ca="1" si="852"/>
        <v>-359.8606458766335</v>
      </c>
      <c r="AT509" s="187">
        <f t="shared" ca="1" si="852"/>
        <v>-376.10535407469251</v>
      </c>
      <c r="AU509" s="187">
        <f t="shared" ca="1" si="852"/>
        <v>-5170.462221888959</v>
      </c>
      <c r="AV509" s="187">
        <f t="shared" ca="1" si="852"/>
        <v>-5154.6259489705117</v>
      </c>
      <c r="AW509" s="187">
        <f t="shared" ca="1" si="852"/>
        <v>-9947.8757418349815</v>
      </c>
      <c r="AX509" s="187">
        <f t="shared" ca="1" si="852"/>
        <v>-9872.4529188595952</v>
      </c>
      <c r="AY509" s="187">
        <f t="shared" ca="1" si="852"/>
        <v>-9803.2474683903492</v>
      </c>
      <c r="AZ509" s="187">
        <f t="shared" ca="1" si="852"/>
        <v>-9727.8684938216247</v>
      </c>
      <c r="BA509" s="187">
        <f t="shared" ca="1" si="852"/>
        <v>-9656.395179685629</v>
      </c>
      <c r="BB509" s="187">
        <f t="shared" ca="1" si="852"/>
        <v>-12057.385843762037</v>
      </c>
      <c r="BC509" s="187">
        <f t="shared" ca="1" si="852"/>
        <v>0</v>
      </c>
      <c r="BD509" s="187">
        <f t="shared" ca="1" si="852"/>
        <v>0</v>
      </c>
      <c r="BE509" s="187">
        <f t="shared" ca="1" si="852"/>
        <v>0</v>
      </c>
      <c r="BF509" s="187">
        <f t="shared" ca="1" si="852"/>
        <v>0</v>
      </c>
      <c r="BG509" s="187">
        <f t="shared" ca="1" si="852"/>
        <v>0</v>
      </c>
      <c r="BH509" s="187">
        <f t="shared" ca="1" si="852"/>
        <v>0</v>
      </c>
      <c r="BI509" s="187">
        <f t="shared" ca="1" si="852"/>
        <v>0</v>
      </c>
      <c r="BJ509" s="187">
        <f t="shared" ca="1" si="852"/>
        <v>0</v>
      </c>
      <c r="BK509" s="187">
        <f t="shared" ca="1" si="852"/>
        <v>0</v>
      </c>
      <c r="BL509" s="187">
        <f t="shared" ca="1" si="852"/>
        <v>0</v>
      </c>
      <c r="BM509" s="187">
        <f t="shared" ca="1" si="852"/>
        <v>0</v>
      </c>
      <c r="BN509" s="187">
        <f t="shared" ca="1" si="852"/>
        <v>0</v>
      </c>
      <c r="BO509" s="187">
        <f t="shared" ca="1" si="852"/>
        <v>0</v>
      </c>
      <c r="BP509" s="187">
        <f t="shared" ca="1" si="852"/>
        <v>0</v>
      </c>
      <c r="BQ509" s="187">
        <f t="shared" ca="1" si="852"/>
        <v>0</v>
      </c>
      <c r="BR509" s="187">
        <f t="shared" ca="1" si="852"/>
        <v>0</v>
      </c>
      <c r="BS509" s="187">
        <f t="shared" ca="1" si="852"/>
        <v>0</v>
      </c>
      <c r="BT509" s="187">
        <f t="shared" ca="1" si="852"/>
        <v>0</v>
      </c>
      <c r="BU509" s="187">
        <f t="shared" ca="1" si="852"/>
        <v>0</v>
      </c>
      <c r="BV509" s="187">
        <f t="shared" ref="BV509:CV509" ca="1" si="853" xml:space="preserve"> -1 * BV508</f>
        <v>0</v>
      </c>
      <c r="BW509" s="187">
        <f t="shared" ca="1" si="853"/>
        <v>0</v>
      </c>
      <c r="BX509" s="187">
        <f t="shared" ca="1" si="853"/>
        <v>0</v>
      </c>
      <c r="BY509" s="187">
        <f t="shared" ca="1" si="853"/>
        <v>0</v>
      </c>
      <c r="BZ509" s="187">
        <f t="shared" ca="1" si="853"/>
        <v>0</v>
      </c>
      <c r="CA509" s="187">
        <f t="shared" ca="1" si="853"/>
        <v>0</v>
      </c>
      <c r="CB509" s="187">
        <f t="shared" ca="1" si="853"/>
        <v>0</v>
      </c>
      <c r="CC509" s="187">
        <f t="shared" ca="1" si="853"/>
        <v>0</v>
      </c>
      <c r="CD509" s="187">
        <f t="shared" ca="1" si="853"/>
        <v>0</v>
      </c>
      <c r="CE509" s="187">
        <f t="shared" ca="1" si="853"/>
        <v>0</v>
      </c>
      <c r="CF509" s="187">
        <f t="shared" ca="1" si="853"/>
        <v>0</v>
      </c>
      <c r="CG509" s="187">
        <f t="shared" ca="1" si="853"/>
        <v>0</v>
      </c>
      <c r="CH509" s="187">
        <f t="shared" ca="1" si="853"/>
        <v>0</v>
      </c>
      <c r="CI509" s="187">
        <f t="shared" ca="1" si="853"/>
        <v>0</v>
      </c>
      <c r="CJ509" s="187">
        <f t="shared" ca="1" si="853"/>
        <v>0</v>
      </c>
      <c r="CK509" s="187">
        <f t="shared" ca="1" si="853"/>
        <v>0</v>
      </c>
      <c r="CL509" s="187">
        <f t="shared" ca="1" si="853"/>
        <v>0</v>
      </c>
      <c r="CM509" s="187">
        <f t="shared" ca="1" si="853"/>
        <v>0</v>
      </c>
      <c r="CN509" s="187">
        <f t="shared" ca="1" si="853"/>
        <v>0</v>
      </c>
      <c r="CO509" s="187">
        <f t="shared" ca="1" si="853"/>
        <v>0</v>
      </c>
      <c r="CP509" s="187">
        <f t="shared" ca="1" si="853"/>
        <v>0</v>
      </c>
      <c r="CQ509" s="187">
        <f t="shared" ca="1" si="853"/>
        <v>0</v>
      </c>
      <c r="CR509" s="187">
        <f t="shared" ca="1" si="853"/>
        <v>0</v>
      </c>
      <c r="CS509" s="187">
        <f t="shared" ca="1" si="853"/>
        <v>0</v>
      </c>
      <c r="CT509" s="187">
        <f t="shared" ca="1" si="853"/>
        <v>0</v>
      </c>
      <c r="CU509" s="187">
        <f t="shared" ca="1" si="853"/>
        <v>0</v>
      </c>
      <c r="CV509" s="187">
        <f t="shared" ca="1" si="853"/>
        <v>0</v>
      </c>
    </row>
    <row r="510" spans="1:100" ht="12.75" outlineLevel="1" x14ac:dyDescent="0.2">
      <c r="E510" s="6"/>
    </row>
    <row r="511" spans="1:100" ht="12.75" outlineLevel="1" x14ac:dyDescent="0.2">
      <c r="B511" s="15" t="s">
        <v>1188</v>
      </c>
      <c r="E511" s="6"/>
    </row>
    <row r="512" spans="1:100" ht="12.75" outlineLevel="2" x14ac:dyDescent="0.2">
      <c r="E512" s="12" t="str">
        <f t="shared" ref="E512:AJ512" si="854" xml:space="preserve"> E$498</f>
        <v>Shareholder loan interest expense - P99 POS</v>
      </c>
      <c r="F512" s="12">
        <f t="shared" si="854"/>
        <v>0</v>
      </c>
      <c r="G512" s="12" t="str">
        <f t="shared" si="854"/>
        <v>$ 000s</v>
      </c>
      <c r="H512" s="12">
        <f t="shared" ca="1" si="854"/>
        <v>703456.92471362185</v>
      </c>
      <c r="I512" s="12">
        <f t="shared" si="854"/>
        <v>0</v>
      </c>
      <c r="J512" s="12">
        <f t="shared" si="854"/>
        <v>0</v>
      </c>
      <c r="K512" s="12">
        <f t="shared" ca="1" si="854"/>
        <v>0</v>
      </c>
      <c r="L512" s="12">
        <f t="shared" ca="1" si="854"/>
        <v>0</v>
      </c>
      <c r="M512" s="12">
        <f t="shared" ca="1" si="854"/>
        <v>0</v>
      </c>
      <c r="N512" s="12">
        <f t="shared" ca="1" si="854"/>
        <v>0</v>
      </c>
      <c r="O512" s="12">
        <f t="shared" ca="1" si="854"/>
        <v>5179.0951864116714</v>
      </c>
      <c r="P512" s="12">
        <f t="shared" ca="1" si="854"/>
        <v>5409.8190403629778</v>
      </c>
      <c r="Q512" s="12">
        <f t="shared" ca="1" si="854"/>
        <v>5683.2203574169225</v>
      </c>
      <c r="R512" s="12">
        <f t="shared" ca="1" si="854"/>
        <v>5976.8019323164099</v>
      </c>
      <c r="S512" s="12">
        <f t="shared" ca="1" si="854"/>
        <v>6285.8885507247842</v>
      </c>
      <c r="T512" s="12">
        <f t="shared" ca="1" si="854"/>
        <v>6617.3033905797265</v>
      </c>
      <c r="U512" s="12">
        <f t="shared" ca="1" si="854"/>
        <v>6966.9655466086188</v>
      </c>
      <c r="V512" s="12">
        <f t="shared" ca="1" si="854"/>
        <v>7340.4954249241309</v>
      </c>
      <c r="W512" s="12">
        <f t="shared" ca="1" si="854"/>
        <v>7735.2720987971907</v>
      </c>
      <c r="X512" s="12">
        <f t="shared" ca="1" si="854"/>
        <v>8157.5886285975548</v>
      </c>
      <c r="Y512" s="12">
        <f t="shared" ca="1" si="854"/>
        <v>8602.6920207917829</v>
      </c>
      <c r="Z512" s="12">
        <f t="shared" ca="1" si="854"/>
        <v>9078.3068349874356</v>
      </c>
      <c r="AA512" s="12">
        <f t="shared" ca="1" si="854"/>
        <v>9580.4353219044842</v>
      </c>
      <c r="AB512" s="12">
        <f t="shared" ca="1" si="854"/>
        <v>10116.504704490349</v>
      </c>
      <c r="AC512" s="12">
        <f t="shared" ca="1" si="854"/>
        <v>10683.17377536463</v>
      </c>
      <c r="AD512" s="12">
        <f t="shared" ca="1" si="854"/>
        <v>11286.791839157257</v>
      </c>
      <c r="AE512" s="12">
        <f t="shared" ca="1" si="854"/>
        <v>11925.521579859857</v>
      </c>
      <c r="AF512" s="12">
        <f t="shared" ca="1" si="854"/>
        <v>12606.450933725351</v>
      </c>
      <c r="AG512" s="12">
        <f t="shared" ca="1" si="854"/>
        <v>13325.799024596456</v>
      </c>
      <c r="AH512" s="12">
        <f t="shared" ca="1" si="854"/>
        <v>14092.146878665209</v>
      </c>
      <c r="AI512" s="12">
        <f t="shared" ca="1" si="854"/>
        <v>14902.544139085943</v>
      </c>
      <c r="AJ512" s="12">
        <f t="shared" ca="1" si="854"/>
        <v>15765.413291201141</v>
      </c>
      <c r="AK512" s="12">
        <f t="shared" ref="AK512:BP512" ca="1" si="855" xml:space="preserve"> AK$498</f>
        <v>16678.567628098426</v>
      </c>
      <c r="AL512" s="12">
        <f t="shared" ca="1" si="855"/>
        <v>17649.527351806784</v>
      </c>
      <c r="AM512" s="12">
        <f t="shared" ca="1" si="855"/>
        <v>18677.702549551508</v>
      </c>
      <c r="AN512" s="12">
        <f t="shared" ca="1" si="855"/>
        <v>19771.470846289729</v>
      </c>
      <c r="AO512" s="12">
        <f t="shared" ca="1" si="855"/>
        <v>20928.550281610158</v>
      </c>
      <c r="AP512" s="12">
        <f t="shared" ca="1" si="855"/>
        <v>22158.932000795918</v>
      </c>
      <c r="AQ512" s="12">
        <f t="shared" ca="1" si="855"/>
        <v>23461.302467370235</v>
      </c>
      <c r="AR512" s="12">
        <f t="shared" ca="1" si="855"/>
        <v>24845.70320742816</v>
      </c>
      <c r="AS512" s="12">
        <f t="shared" ca="1" si="855"/>
        <v>26311.763342627997</v>
      </c>
      <c r="AT512" s="12">
        <f t="shared" ca="1" si="855"/>
        <v>27868.877504433076</v>
      </c>
      <c r="AU512" s="12">
        <f t="shared" ca="1" si="855"/>
        <v>29518.443833454578</v>
      </c>
      <c r="AV512" s="12">
        <f t="shared" ca="1" si="855"/>
        <v>30979.322730148517</v>
      </c>
      <c r="AW512" s="12">
        <f t="shared" ca="1" si="855"/>
        <v>32528.804537019194</v>
      </c>
      <c r="AX512" s="12">
        <f t="shared" ca="1" si="855"/>
        <v>33883.66026473025</v>
      </c>
      <c r="AY512" s="12">
        <f t="shared" ca="1" si="855"/>
        <v>35324.332705482491</v>
      </c>
      <c r="AZ512" s="12">
        <f t="shared" ca="1" si="855"/>
        <v>36855.597819708011</v>
      </c>
      <c r="BA512" s="12">
        <f t="shared" ca="1" si="855"/>
        <v>38483.261579261198</v>
      </c>
      <c r="BB512" s="12">
        <f t="shared" ca="1" si="855"/>
        <v>40212.873563235735</v>
      </c>
      <c r="BC512" s="12">
        <f t="shared" ca="1" si="855"/>
        <v>0</v>
      </c>
      <c r="BD512" s="12">
        <f t="shared" ca="1" si="855"/>
        <v>0</v>
      </c>
      <c r="BE512" s="12">
        <f t="shared" ca="1" si="855"/>
        <v>0</v>
      </c>
      <c r="BF512" s="12">
        <f t="shared" ca="1" si="855"/>
        <v>0</v>
      </c>
      <c r="BG512" s="12">
        <f t="shared" ca="1" si="855"/>
        <v>0</v>
      </c>
      <c r="BH512" s="12">
        <f t="shared" ca="1" si="855"/>
        <v>0</v>
      </c>
      <c r="BI512" s="12">
        <f t="shared" ca="1" si="855"/>
        <v>0</v>
      </c>
      <c r="BJ512" s="12">
        <f t="shared" ca="1" si="855"/>
        <v>0</v>
      </c>
      <c r="BK512" s="12">
        <f t="shared" ca="1" si="855"/>
        <v>0</v>
      </c>
      <c r="BL512" s="12">
        <f t="shared" ca="1" si="855"/>
        <v>0</v>
      </c>
      <c r="BM512" s="12">
        <f t="shared" ca="1" si="855"/>
        <v>0</v>
      </c>
      <c r="BN512" s="12">
        <f t="shared" ca="1" si="855"/>
        <v>0</v>
      </c>
      <c r="BO512" s="12">
        <f t="shared" ca="1" si="855"/>
        <v>0</v>
      </c>
      <c r="BP512" s="12">
        <f t="shared" ca="1" si="855"/>
        <v>0</v>
      </c>
      <c r="BQ512" s="12">
        <f t="shared" ref="BQ512:CV512" ca="1" si="856" xml:space="preserve"> BQ$498</f>
        <v>0</v>
      </c>
      <c r="BR512" s="12">
        <f t="shared" ca="1" si="856"/>
        <v>0</v>
      </c>
      <c r="BS512" s="12">
        <f t="shared" ca="1" si="856"/>
        <v>0</v>
      </c>
      <c r="BT512" s="12">
        <f t="shared" ca="1" si="856"/>
        <v>0</v>
      </c>
      <c r="BU512" s="12">
        <f t="shared" ca="1" si="856"/>
        <v>0</v>
      </c>
      <c r="BV512" s="12">
        <f t="shared" ca="1" si="856"/>
        <v>0</v>
      </c>
      <c r="BW512" s="12">
        <f t="shared" ca="1" si="856"/>
        <v>0</v>
      </c>
      <c r="BX512" s="12">
        <f t="shared" ca="1" si="856"/>
        <v>0</v>
      </c>
      <c r="BY512" s="12">
        <f t="shared" ca="1" si="856"/>
        <v>0</v>
      </c>
      <c r="BZ512" s="12">
        <f t="shared" ca="1" si="856"/>
        <v>0</v>
      </c>
      <c r="CA512" s="12">
        <f t="shared" ca="1" si="856"/>
        <v>0</v>
      </c>
      <c r="CB512" s="12">
        <f t="shared" ca="1" si="856"/>
        <v>0</v>
      </c>
      <c r="CC512" s="12">
        <f t="shared" ca="1" si="856"/>
        <v>0</v>
      </c>
      <c r="CD512" s="12">
        <f t="shared" ca="1" si="856"/>
        <v>0</v>
      </c>
      <c r="CE512" s="12">
        <f t="shared" ca="1" si="856"/>
        <v>0</v>
      </c>
      <c r="CF512" s="12">
        <f t="shared" ca="1" si="856"/>
        <v>0</v>
      </c>
      <c r="CG512" s="12">
        <f t="shared" ca="1" si="856"/>
        <v>0</v>
      </c>
      <c r="CH512" s="12">
        <f t="shared" ca="1" si="856"/>
        <v>0</v>
      </c>
      <c r="CI512" s="12">
        <f t="shared" ca="1" si="856"/>
        <v>0</v>
      </c>
      <c r="CJ512" s="12">
        <f t="shared" ca="1" si="856"/>
        <v>0</v>
      </c>
      <c r="CK512" s="12">
        <f t="shared" ca="1" si="856"/>
        <v>0</v>
      </c>
      <c r="CL512" s="12">
        <f t="shared" ca="1" si="856"/>
        <v>0</v>
      </c>
      <c r="CM512" s="12">
        <f t="shared" ca="1" si="856"/>
        <v>0</v>
      </c>
      <c r="CN512" s="12">
        <f t="shared" ca="1" si="856"/>
        <v>0</v>
      </c>
      <c r="CO512" s="12">
        <f t="shared" ca="1" si="856"/>
        <v>0</v>
      </c>
      <c r="CP512" s="12">
        <f t="shared" ca="1" si="856"/>
        <v>0</v>
      </c>
      <c r="CQ512" s="12">
        <f t="shared" ca="1" si="856"/>
        <v>0</v>
      </c>
      <c r="CR512" s="12">
        <f t="shared" ca="1" si="856"/>
        <v>0</v>
      </c>
      <c r="CS512" s="12">
        <f t="shared" ca="1" si="856"/>
        <v>0</v>
      </c>
      <c r="CT512" s="12">
        <f t="shared" ca="1" si="856"/>
        <v>0</v>
      </c>
      <c r="CU512" s="12">
        <f t="shared" ca="1" si="856"/>
        <v>0</v>
      </c>
      <c r="CV512" s="12">
        <f t="shared" ca="1" si="856"/>
        <v>0</v>
      </c>
    </row>
    <row r="513" spans="1:100" ht="12.75" outlineLevel="2" x14ac:dyDescent="0.2">
      <c r="E513" s="12" t="str">
        <f t="shared" ref="E513:AJ513" si="857" xml:space="preserve"> E$508</f>
        <v>Shareholder loan interest paid - P99 POS</v>
      </c>
      <c r="F513" s="12">
        <f t="shared" si="857"/>
        <v>0</v>
      </c>
      <c r="G513" s="12" t="str">
        <f t="shared" si="857"/>
        <v>$ 000s</v>
      </c>
      <c r="H513" s="12">
        <f t="shared" ca="1" si="857"/>
        <v>91405.13071374697</v>
      </c>
      <c r="I513" s="12">
        <f t="shared" si="857"/>
        <v>0</v>
      </c>
      <c r="J513" s="12">
        <f t="shared" ca="1" si="857"/>
        <v>0</v>
      </c>
      <c r="K513" s="12">
        <f t="shared" ca="1" si="857"/>
        <v>0</v>
      </c>
      <c r="L513" s="12">
        <f t="shared" ca="1" si="857"/>
        <v>0</v>
      </c>
      <c r="M513" s="12">
        <f t="shared" ca="1" si="857"/>
        <v>0</v>
      </c>
      <c r="N513" s="12">
        <f t="shared" ca="1" si="857"/>
        <v>0</v>
      </c>
      <c r="O513" s="12">
        <f t="shared" ca="1" si="857"/>
        <v>1333.6976205565661</v>
      </c>
      <c r="P513" s="12">
        <f t="shared" ca="1" si="857"/>
        <v>853.13042279723049</v>
      </c>
      <c r="Q513" s="12">
        <f t="shared" ca="1" si="857"/>
        <v>790.19410909212456</v>
      </c>
      <c r="R513" s="12">
        <f t="shared" ca="1" si="857"/>
        <v>825.35829217683931</v>
      </c>
      <c r="S513" s="12">
        <f t="shared" ca="1" si="857"/>
        <v>762.30788647574263</v>
      </c>
      <c r="T513" s="12">
        <f t="shared" ca="1" si="857"/>
        <v>789.60079009818401</v>
      </c>
      <c r="U513" s="12">
        <f t="shared" ca="1" si="857"/>
        <v>741.46757468341821</v>
      </c>
      <c r="V513" s="12">
        <f t="shared" ca="1" si="857"/>
        <v>760.88419370646443</v>
      </c>
      <c r="W513" s="12">
        <f t="shared" ca="1" si="857"/>
        <v>696.66326879112785</v>
      </c>
      <c r="X513" s="12">
        <f t="shared" ca="1" si="857"/>
        <v>739.19875869376119</v>
      </c>
      <c r="Y513" s="12">
        <f t="shared" ca="1" si="857"/>
        <v>675.77845086423076</v>
      </c>
      <c r="Z513" s="12">
        <f t="shared" ca="1" si="857"/>
        <v>709.49871970328786</v>
      </c>
      <c r="AA513" s="12">
        <f t="shared" ca="1" si="857"/>
        <v>645.94561214004716</v>
      </c>
      <c r="AB513" s="12">
        <f t="shared" ca="1" si="857"/>
        <v>672.02018991900695</v>
      </c>
      <c r="AC513" s="12">
        <f t="shared" ca="1" si="857"/>
        <v>622.87271215417604</v>
      </c>
      <c r="AD513" s="12">
        <f t="shared" ca="1" si="857"/>
        <v>641.29616078062463</v>
      </c>
      <c r="AE513" s="12">
        <f t="shared" ca="1" si="857"/>
        <v>576.69901543492961</v>
      </c>
      <c r="AF513" s="12">
        <f t="shared" ca="1" si="857"/>
        <v>617.31608587360824</v>
      </c>
      <c r="AG513" s="12">
        <f t="shared" ca="1" si="857"/>
        <v>553.33479011720556</v>
      </c>
      <c r="AH513" s="12">
        <f t="shared" ca="1" si="857"/>
        <v>585.52587165296791</v>
      </c>
      <c r="AI513" s="12">
        <f t="shared" ca="1" si="857"/>
        <v>521.39160383262424</v>
      </c>
      <c r="AJ513" s="12">
        <f t="shared" ca="1" si="857"/>
        <v>546.17434291308746</v>
      </c>
      <c r="AK513" s="12">
        <f t="shared" ref="AK513:BP513" ca="1" si="858" xml:space="preserve"> AK$508</f>
        <v>495.90556629246748</v>
      </c>
      <c r="AL513" s="12">
        <f t="shared" ca="1" si="858"/>
        <v>513.27405606138927</v>
      </c>
      <c r="AM513" s="12">
        <f t="shared" ca="1" si="858"/>
        <v>448.23093724782666</v>
      </c>
      <c r="AN513" s="12">
        <f t="shared" ca="1" si="858"/>
        <v>486.81359094925028</v>
      </c>
      <c r="AO513" s="12">
        <f t="shared" ca="1" si="858"/>
        <v>422.18829518086204</v>
      </c>
      <c r="AP513" s="12">
        <f t="shared" ca="1" si="858"/>
        <v>452.75755789060349</v>
      </c>
      <c r="AQ513" s="12">
        <f t="shared" ca="1" si="858"/>
        <v>387.95679973809092</v>
      </c>
      <c r="AR513" s="12">
        <f t="shared" ca="1" si="858"/>
        <v>411.3676207642111</v>
      </c>
      <c r="AS513" s="12">
        <f t="shared" ca="1" si="858"/>
        <v>359.8606458766335</v>
      </c>
      <c r="AT513" s="12">
        <f t="shared" ca="1" si="858"/>
        <v>376.10535407469251</v>
      </c>
      <c r="AU513" s="12">
        <f t="shared" ca="1" si="858"/>
        <v>5170.462221888959</v>
      </c>
      <c r="AV513" s="12">
        <f t="shared" ca="1" si="858"/>
        <v>5154.6259489705117</v>
      </c>
      <c r="AW513" s="12">
        <f t="shared" ca="1" si="858"/>
        <v>9947.8757418349815</v>
      </c>
      <c r="AX513" s="12">
        <f t="shared" ca="1" si="858"/>
        <v>9872.4529188595952</v>
      </c>
      <c r="AY513" s="12">
        <f t="shared" ca="1" si="858"/>
        <v>9803.2474683903492</v>
      </c>
      <c r="AZ513" s="12">
        <f t="shared" ca="1" si="858"/>
        <v>9727.8684938216247</v>
      </c>
      <c r="BA513" s="12">
        <f t="shared" ca="1" si="858"/>
        <v>9656.395179685629</v>
      </c>
      <c r="BB513" s="12">
        <f t="shared" ca="1" si="858"/>
        <v>12057.385843762037</v>
      </c>
      <c r="BC513" s="12">
        <f t="shared" ca="1" si="858"/>
        <v>0</v>
      </c>
      <c r="BD513" s="12">
        <f t="shared" ca="1" si="858"/>
        <v>0</v>
      </c>
      <c r="BE513" s="12">
        <f t="shared" ca="1" si="858"/>
        <v>0</v>
      </c>
      <c r="BF513" s="12">
        <f t="shared" ca="1" si="858"/>
        <v>0</v>
      </c>
      <c r="BG513" s="12">
        <f t="shared" ca="1" si="858"/>
        <v>0</v>
      </c>
      <c r="BH513" s="12">
        <f t="shared" ca="1" si="858"/>
        <v>0</v>
      </c>
      <c r="BI513" s="12">
        <f t="shared" ca="1" si="858"/>
        <v>0</v>
      </c>
      <c r="BJ513" s="12">
        <f t="shared" ca="1" si="858"/>
        <v>0</v>
      </c>
      <c r="BK513" s="12">
        <f t="shared" ca="1" si="858"/>
        <v>0</v>
      </c>
      <c r="BL513" s="12">
        <f t="shared" ca="1" si="858"/>
        <v>0</v>
      </c>
      <c r="BM513" s="12">
        <f t="shared" ca="1" si="858"/>
        <v>0</v>
      </c>
      <c r="BN513" s="12">
        <f t="shared" ca="1" si="858"/>
        <v>0</v>
      </c>
      <c r="BO513" s="12">
        <f t="shared" ca="1" si="858"/>
        <v>0</v>
      </c>
      <c r="BP513" s="12">
        <f t="shared" ca="1" si="858"/>
        <v>0</v>
      </c>
      <c r="BQ513" s="12">
        <f t="shared" ref="BQ513:CV513" ca="1" si="859" xml:space="preserve"> BQ$508</f>
        <v>0</v>
      </c>
      <c r="BR513" s="12">
        <f t="shared" ca="1" si="859"/>
        <v>0</v>
      </c>
      <c r="BS513" s="12">
        <f t="shared" ca="1" si="859"/>
        <v>0</v>
      </c>
      <c r="BT513" s="12">
        <f t="shared" ca="1" si="859"/>
        <v>0</v>
      </c>
      <c r="BU513" s="12">
        <f t="shared" ca="1" si="859"/>
        <v>0</v>
      </c>
      <c r="BV513" s="12">
        <f t="shared" ca="1" si="859"/>
        <v>0</v>
      </c>
      <c r="BW513" s="12">
        <f t="shared" ca="1" si="859"/>
        <v>0</v>
      </c>
      <c r="BX513" s="12">
        <f t="shared" ca="1" si="859"/>
        <v>0</v>
      </c>
      <c r="BY513" s="12">
        <f t="shared" ca="1" si="859"/>
        <v>0</v>
      </c>
      <c r="BZ513" s="12">
        <f t="shared" ca="1" si="859"/>
        <v>0</v>
      </c>
      <c r="CA513" s="12">
        <f t="shared" ca="1" si="859"/>
        <v>0</v>
      </c>
      <c r="CB513" s="12">
        <f t="shared" ca="1" si="859"/>
        <v>0</v>
      </c>
      <c r="CC513" s="12">
        <f t="shared" ca="1" si="859"/>
        <v>0</v>
      </c>
      <c r="CD513" s="12">
        <f t="shared" ca="1" si="859"/>
        <v>0</v>
      </c>
      <c r="CE513" s="12">
        <f t="shared" ca="1" si="859"/>
        <v>0</v>
      </c>
      <c r="CF513" s="12">
        <f t="shared" ca="1" si="859"/>
        <v>0</v>
      </c>
      <c r="CG513" s="12">
        <f t="shared" ca="1" si="859"/>
        <v>0</v>
      </c>
      <c r="CH513" s="12">
        <f t="shared" ca="1" si="859"/>
        <v>0</v>
      </c>
      <c r="CI513" s="12">
        <f t="shared" ca="1" si="859"/>
        <v>0</v>
      </c>
      <c r="CJ513" s="12">
        <f t="shared" ca="1" si="859"/>
        <v>0</v>
      </c>
      <c r="CK513" s="12">
        <f t="shared" ca="1" si="859"/>
        <v>0</v>
      </c>
      <c r="CL513" s="12">
        <f t="shared" ca="1" si="859"/>
        <v>0</v>
      </c>
      <c r="CM513" s="12">
        <f t="shared" ca="1" si="859"/>
        <v>0</v>
      </c>
      <c r="CN513" s="12">
        <f t="shared" ca="1" si="859"/>
        <v>0</v>
      </c>
      <c r="CO513" s="12">
        <f t="shared" ca="1" si="859"/>
        <v>0</v>
      </c>
      <c r="CP513" s="12">
        <f t="shared" ca="1" si="859"/>
        <v>0</v>
      </c>
      <c r="CQ513" s="12">
        <f t="shared" ca="1" si="859"/>
        <v>0</v>
      </c>
      <c r="CR513" s="12">
        <f t="shared" ca="1" si="859"/>
        <v>0</v>
      </c>
      <c r="CS513" s="12">
        <f t="shared" ca="1" si="859"/>
        <v>0</v>
      </c>
      <c r="CT513" s="12">
        <f t="shared" ca="1" si="859"/>
        <v>0</v>
      </c>
      <c r="CU513" s="12">
        <f t="shared" ca="1" si="859"/>
        <v>0</v>
      </c>
      <c r="CV513" s="12">
        <f t="shared" ca="1" si="859"/>
        <v>0</v>
      </c>
    </row>
    <row r="514" spans="1:100" ht="12.75" outlineLevel="2" x14ac:dyDescent="0.2">
      <c r="E514" s="12" t="s">
        <v>1189</v>
      </c>
      <c r="G514" s="12" t="str">
        <f xml:space="preserve"> SMU</f>
        <v>$ 000s</v>
      </c>
      <c r="H514" s="12">
        <f ca="1" xml:space="preserve"> SUM(J514:CV514)</f>
        <v>612051.79399987473</v>
      </c>
      <c r="J514" s="12">
        <f t="shared" ref="J514:AO514" ca="1" si="860" xml:space="preserve"> J512 - J513</f>
        <v>0</v>
      </c>
      <c r="K514" s="12">
        <f t="shared" ca="1" si="860"/>
        <v>0</v>
      </c>
      <c r="L514" s="12">
        <f t="shared" ca="1" si="860"/>
        <v>0</v>
      </c>
      <c r="M514" s="12">
        <f t="shared" ca="1" si="860"/>
        <v>0</v>
      </c>
      <c r="N514" s="12">
        <f t="shared" ca="1" si="860"/>
        <v>0</v>
      </c>
      <c r="O514" s="12">
        <f t="shared" ca="1" si="860"/>
        <v>3845.3975658551053</v>
      </c>
      <c r="P514" s="12">
        <f t="shared" ca="1" si="860"/>
        <v>4556.6886175657473</v>
      </c>
      <c r="Q514" s="12">
        <f t="shared" ca="1" si="860"/>
        <v>4893.026248324798</v>
      </c>
      <c r="R514" s="12">
        <f t="shared" ca="1" si="860"/>
        <v>5151.4436401395706</v>
      </c>
      <c r="S514" s="12">
        <f t="shared" ca="1" si="860"/>
        <v>5523.5806642490415</v>
      </c>
      <c r="T514" s="12">
        <f t="shared" ca="1" si="860"/>
        <v>5827.7026004815425</v>
      </c>
      <c r="U514" s="12">
        <f t="shared" ca="1" si="860"/>
        <v>6225.4979719252005</v>
      </c>
      <c r="V514" s="12">
        <f t="shared" ca="1" si="860"/>
        <v>6579.6112312176665</v>
      </c>
      <c r="W514" s="12">
        <f t="shared" ca="1" si="860"/>
        <v>7038.6088300060628</v>
      </c>
      <c r="X514" s="12">
        <f t="shared" ca="1" si="860"/>
        <v>7418.3898699037936</v>
      </c>
      <c r="Y514" s="12">
        <f t="shared" ca="1" si="860"/>
        <v>7926.9135699275521</v>
      </c>
      <c r="Z514" s="12">
        <f t="shared" ca="1" si="860"/>
        <v>8368.8081152841478</v>
      </c>
      <c r="AA514" s="12">
        <f t="shared" ca="1" si="860"/>
        <v>8934.4897097644371</v>
      </c>
      <c r="AB514" s="12">
        <f t="shared" ca="1" si="860"/>
        <v>9444.4845145713425</v>
      </c>
      <c r="AC514" s="12">
        <f t="shared" ca="1" si="860"/>
        <v>10060.301063210454</v>
      </c>
      <c r="AD514" s="12">
        <f t="shared" ca="1" si="860"/>
        <v>10645.495678376632</v>
      </c>
      <c r="AE514" s="12">
        <f t="shared" ca="1" si="860"/>
        <v>11348.822564424927</v>
      </c>
      <c r="AF514" s="12">
        <f t="shared" ca="1" si="860"/>
        <v>11989.134847851743</v>
      </c>
      <c r="AG514" s="12">
        <f t="shared" ca="1" si="860"/>
        <v>12772.46423447925</v>
      </c>
      <c r="AH514" s="12">
        <f t="shared" ca="1" si="860"/>
        <v>13506.621007012242</v>
      </c>
      <c r="AI514" s="12">
        <f t="shared" ca="1" si="860"/>
        <v>14381.152535253319</v>
      </c>
      <c r="AJ514" s="12">
        <f t="shared" ca="1" si="860"/>
        <v>15219.238948288054</v>
      </c>
      <c r="AK514" s="12">
        <f t="shared" ca="1" si="860"/>
        <v>16182.662061805959</v>
      </c>
      <c r="AL514" s="12">
        <f t="shared" ca="1" si="860"/>
        <v>17136.253295745395</v>
      </c>
      <c r="AM514" s="12">
        <f t="shared" ca="1" si="860"/>
        <v>18229.471612303681</v>
      </c>
      <c r="AN514" s="12">
        <f t="shared" ca="1" si="860"/>
        <v>19284.657255340477</v>
      </c>
      <c r="AO514" s="12">
        <f t="shared" ca="1" si="860"/>
        <v>20506.361986429296</v>
      </c>
      <c r="AP514" s="12">
        <f t="shared" ref="AP514:BU514" ca="1" si="861" xml:space="preserve"> AP512 - AP513</f>
        <v>21706.174442905314</v>
      </c>
      <c r="AQ514" s="12">
        <f t="shared" ca="1" si="861"/>
        <v>23073.345667632144</v>
      </c>
      <c r="AR514" s="12">
        <f t="shared" ca="1" si="861"/>
        <v>24434.335586663947</v>
      </c>
      <c r="AS514" s="12">
        <f t="shared" ca="1" si="861"/>
        <v>25951.902696751364</v>
      </c>
      <c r="AT514" s="12">
        <f t="shared" ca="1" si="861"/>
        <v>27492.772150358382</v>
      </c>
      <c r="AU514" s="12">
        <f t="shared" ca="1" si="861"/>
        <v>24347.981611565618</v>
      </c>
      <c r="AV514" s="12">
        <f t="shared" ca="1" si="861"/>
        <v>25824.696781178005</v>
      </c>
      <c r="AW514" s="12">
        <f t="shared" ca="1" si="861"/>
        <v>22580.928795184213</v>
      </c>
      <c r="AX514" s="12">
        <f t="shared" ca="1" si="861"/>
        <v>24011.207345870655</v>
      </c>
      <c r="AY514" s="12">
        <f t="shared" ca="1" si="861"/>
        <v>25521.085237092142</v>
      </c>
      <c r="AZ514" s="12">
        <f t="shared" ca="1" si="861"/>
        <v>27127.729325886387</v>
      </c>
      <c r="BA514" s="12">
        <f t="shared" ca="1" si="861"/>
        <v>28826.866399575571</v>
      </c>
      <c r="BB514" s="12">
        <f t="shared" ca="1" si="861"/>
        <v>28155.487719473698</v>
      </c>
      <c r="BC514" s="12">
        <f t="shared" ca="1" si="861"/>
        <v>0</v>
      </c>
      <c r="BD514" s="12">
        <f t="shared" ca="1" si="861"/>
        <v>0</v>
      </c>
      <c r="BE514" s="12">
        <f t="shared" ca="1" si="861"/>
        <v>0</v>
      </c>
      <c r="BF514" s="12">
        <f t="shared" ca="1" si="861"/>
        <v>0</v>
      </c>
      <c r="BG514" s="12">
        <f t="shared" ca="1" si="861"/>
        <v>0</v>
      </c>
      <c r="BH514" s="12">
        <f t="shared" ca="1" si="861"/>
        <v>0</v>
      </c>
      <c r="BI514" s="12">
        <f t="shared" ca="1" si="861"/>
        <v>0</v>
      </c>
      <c r="BJ514" s="12">
        <f t="shared" ca="1" si="861"/>
        <v>0</v>
      </c>
      <c r="BK514" s="12">
        <f t="shared" ca="1" si="861"/>
        <v>0</v>
      </c>
      <c r="BL514" s="12">
        <f t="shared" ca="1" si="861"/>
        <v>0</v>
      </c>
      <c r="BM514" s="12">
        <f t="shared" ca="1" si="861"/>
        <v>0</v>
      </c>
      <c r="BN514" s="12">
        <f t="shared" ca="1" si="861"/>
        <v>0</v>
      </c>
      <c r="BO514" s="12">
        <f t="shared" ca="1" si="861"/>
        <v>0</v>
      </c>
      <c r="BP514" s="12">
        <f t="shared" ca="1" si="861"/>
        <v>0</v>
      </c>
      <c r="BQ514" s="12">
        <f t="shared" ca="1" si="861"/>
        <v>0</v>
      </c>
      <c r="BR514" s="12">
        <f t="shared" ca="1" si="861"/>
        <v>0</v>
      </c>
      <c r="BS514" s="12">
        <f t="shared" ca="1" si="861"/>
        <v>0</v>
      </c>
      <c r="BT514" s="12">
        <f t="shared" ca="1" si="861"/>
        <v>0</v>
      </c>
      <c r="BU514" s="12">
        <f t="shared" ca="1" si="861"/>
        <v>0</v>
      </c>
      <c r="BV514" s="12">
        <f t="shared" ref="BV514:CV514" ca="1" si="862" xml:space="preserve"> BV512 - BV513</f>
        <v>0</v>
      </c>
      <c r="BW514" s="12">
        <f t="shared" ca="1" si="862"/>
        <v>0</v>
      </c>
      <c r="BX514" s="12">
        <f t="shared" ca="1" si="862"/>
        <v>0</v>
      </c>
      <c r="BY514" s="12">
        <f t="shared" ca="1" si="862"/>
        <v>0</v>
      </c>
      <c r="BZ514" s="12">
        <f t="shared" ca="1" si="862"/>
        <v>0</v>
      </c>
      <c r="CA514" s="12">
        <f t="shared" ca="1" si="862"/>
        <v>0</v>
      </c>
      <c r="CB514" s="12">
        <f t="shared" ca="1" si="862"/>
        <v>0</v>
      </c>
      <c r="CC514" s="12">
        <f t="shared" ca="1" si="862"/>
        <v>0</v>
      </c>
      <c r="CD514" s="12">
        <f t="shared" ca="1" si="862"/>
        <v>0</v>
      </c>
      <c r="CE514" s="12">
        <f t="shared" ca="1" si="862"/>
        <v>0</v>
      </c>
      <c r="CF514" s="12">
        <f t="shared" ca="1" si="862"/>
        <v>0</v>
      </c>
      <c r="CG514" s="12">
        <f t="shared" ca="1" si="862"/>
        <v>0</v>
      </c>
      <c r="CH514" s="12">
        <f t="shared" ca="1" si="862"/>
        <v>0</v>
      </c>
      <c r="CI514" s="12">
        <f t="shared" ca="1" si="862"/>
        <v>0</v>
      </c>
      <c r="CJ514" s="12">
        <f t="shared" ca="1" si="862"/>
        <v>0</v>
      </c>
      <c r="CK514" s="12">
        <f t="shared" ca="1" si="862"/>
        <v>0</v>
      </c>
      <c r="CL514" s="12">
        <f t="shared" ca="1" si="862"/>
        <v>0</v>
      </c>
      <c r="CM514" s="12">
        <f t="shared" ca="1" si="862"/>
        <v>0</v>
      </c>
      <c r="CN514" s="12">
        <f t="shared" ca="1" si="862"/>
        <v>0</v>
      </c>
      <c r="CO514" s="12">
        <f t="shared" ca="1" si="862"/>
        <v>0</v>
      </c>
      <c r="CP514" s="12">
        <f t="shared" ca="1" si="862"/>
        <v>0</v>
      </c>
      <c r="CQ514" s="12">
        <f t="shared" ca="1" si="862"/>
        <v>0</v>
      </c>
      <c r="CR514" s="12">
        <f t="shared" ca="1" si="862"/>
        <v>0</v>
      </c>
      <c r="CS514" s="12">
        <f t="shared" ca="1" si="862"/>
        <v>0</v>
      </c>
      <c r="CT514" s="12">
        <f t="shared" ca="1" si="862"/>
        <v>0</v>
      </c>
      <c r="CU514" s="12">
        <f t="shared" ca="1" si="862"/>
        <v>0</v>
      </c>
      <c r="CV514" s="12">
        <f t="shared" ca="1" si="862"/>
        <v>0</v>
      </c>
    </row>
    <row r="515" spans="1:100" ht="12.75" outlineLevel="1" x14ac:dyDescent="0.2"/>
    <row r="516" spans="1:100" ht="12.75" outlineLevel="1" x14ac:dyDescent="0.2">
      <c r="B516" s="15" t="s">
        <v>1190</v>
      </c>
    </row>
    <row r="517" spans="1:100" ht="12.75" outlineLevel="2" x14ac:dyDescent="0.2">
      <c r="E517" s="12" t="str">
        <f t="shared" ref="E517:AJ517" si="863" xml:space="preserve"> E$504</f>
        <v>Cash availble for shareholder loan - P99</v>
      </c>
      <c r="F517" s="12">
        <f t="shared" si="863"/>
        <v>0</v>
      </c>
      <c r="G517" s="12" t="str">
        <f t="shared" si="863"/>
        <v>$ 000s</v>
      </c>
      <c r="H517" s="12">
        <f t="shared" si="863"/>
        <v>0</v>
      </c>
      <c r="I517" s="12">
        <f t="shared" si="863"/>
        <v>0</v>
      </c>
      <c r="J517" s="12">
        <f t="shared" ca="1" si="863"/>
        <v>0</v>
      </c>
      <c r="K517" s="12">
        <f t="shared" ca="1" si="863"/>
        <v>0</v>
      </c>
      <c r="L517" s="12">
        <f t="shared" ca="1" si="863"/>
        <v>0</v>
      </c>
      <c r="M517" s="12">
        <f t="shared" ca="1" si="863"/>
        <v>0</v>
      </c>
      <c r="N517" s="12">
        <f t="shared" ca="1" si="863"/>
        <v>0</v>
      </c>
      <c r="O517" s="12">
        <f t="shared" ca="1" si="863"/>
        <v>1333.6976205565661</v>
      </c>
      <c r="P517" s="12">
        <f t="shared" ca="1" si="863"/>
        <v>853.13042279723049</v>
      </c>
      <c r="Q517" s="12">
        <f t="shared" ca="1" si="863"/>
        <v>790.19410909212456</v>
      </c>
      <c r="R517" s="12">
        <f t="shared" ca="1" si="863"/>
        <v>825.35829217683931</v>
      </c>
      <c r="S517" s="12">
        <f t="shared" ca="1" si="863"/>
        <v>762.30788647574263</v>
      </c>
      <c r="T517" s="12">
        <f t="shared" ca="1" si="863"/>
        <v>789.60079009818401</v>
      </c>
      <c r="U517" s="12">
        <f t="shared" ca="1" si="863"/>
        <v>741.46757468341821</v>
      </c>
      <c r="V517" s="12">
        <f t="shared" ca="1" si="863"/>
        <v>760.88419370646443</v>
      </c>
      <c r="W517" s="12">
        <f t="shared" ca="1" si="863"/>
        <v>696.66326879112785</v>
      </c>
      <c r="X517" s="12">
        <f t="shared" ca="1" si="863"/>
        <v>739.19875869376119</v>
      </c>
      <c r="Y517" s="12">
        <f t="shared" ca="1" si="863"/>
        <v>675.77845086423076</v>
      </c>
      <c r="Z517" s="12">
        <f t="shared" ca="1" si="863"/>
        <v>709.49871970328786</v>
      </c>
      <c r="AA517" s="12">
        <f t="shared" ca="1" si="863"/>
        <v>645.94561214004716</v>
      </c>
      <c r="AB517" s="12">
        <f t="shared" ca="1" si="863"/>
        <v>672.02018991900695</v>
      </c>
      <c r="AC517" s="12">
        <f t="shared" ca="1" si="863"/>
        <v>622.87271215417604</v>
      </c>
      <c r="AD517" s="12">
        <f t="shared" ca="1" si="863"/>
        <v>641.29616078062463</v>
      </c>
      <c r="AE517" s="12">
        <f t="shared" ca="1" si="863"/>
        <v>576.69901543492961</v>
      </c>
      <c r="AF517" s="12">
        <f t="shared" ca="1" si="863"/>
        <v>617.31608587360824</v>
      </c>
      <c r="AG517" s="12">
        <f t="shared" ca="1" si="863"/>
        <v>553.33479011720556</v>
      </c>
      <c r="AH517" s="12">
        <f t="shared" ca="1" si="863"/>
        <v>585.52587165296791</v>
      </c>
      <c r="AI517" s="12">
        <f t="shared" ca="1" si="863"/>
        <v>521.39160383262424</v>
      </c>
      <c r="AJ517" s="12">
        <f t="shared" ca="1" si="863"/>
        <v>546.17434291308746</v>
      </c>
      <c r="AK517" s="12">
        <f t="shared" ref="AK517:BP517" ca="1" si="864" xml:space="preserve"> AK$504</f>
        <v>495.90556629246748</v>
      </c>
      <c r="AL517" s="12">
        <f t="shared" ca="1" si="864"/>
        <v>513.27405606138927</v>
      </c>
      <c r="AM517" s="12">
        <f t="shared" ca="1" si="864"/>
        <v>448.23093724782666</v>
      </c>
      <c r="AN517" s="12">
        <f t="shared" ca="1" si="864"/>
        <v>486.81359094925028</v>
      </c>
      <c r="AO517" s="12">
        <f t="shared" ca="1" si="864"/>
        <v>422.18829518086204</v>
      </c>
      <c r="AP517" s="12">
        <f t="shared" ca="1" si="864"/>
        <v>452.75755789060349</v>
      </c>
      <c r="AQ517" s="12">
        <f t="shared" ca="1" si="864"/>
        <v>387.95679973809092</v>
      </c>
      <c r="AR517" s="12">
        <f t="shared" ca="1" si="864"/>
        <v>411.3676207642111</v>
      </c>
      <c r="AS517" s="12">
        <f t="shared" ca="1" si="864"/>
        <v>359.8606458766335</v>
      </c>
      <c r="AT517" s="12">
        <f t="shared" ca="1" si="864"/>
        <v>376.10535407469251</v>
      </c>
      <c r="AU517" s="12">
        <f t="shared" ca="1" si="864"/>
        <v>5170.462221888959</v>
      </c>
      <c r="AV517" s="12">
        <f t="shared" ca="1" si="864"/>
        <v>5154.6259489705117</v>
      </c>
      <c r="AW517" s="12">
        <f t="shared" ca="1" si="864"/>
        <v>9947.8757418349815</v>
      </c>
      <c r="AX517" s="12">
        <f t="shared" ca="1" si="864"/>
        <v>9872.4529188595952</v>
      </c>
      <c r="AY517" s="12">
        <f t="shared" ca="1" si="864"/>
        <v>9803.2474683903492</v>
      </c>
      <c r="AZ517" s="12">
        <f t="shared" ca="1" si="864"/>
        <v>9727.8684938216247</v>
      </c>
      <c r="BA517" s="12">
        <f t="shared" ca="1" si="864"/>
        <v>9656.395179685629</v>
      </c>
      <c r="BB517" s="12">
        <f t="shared" ca="1" si="864"/>
        <v>12057.385843762037</v>
      </c>
      <c r="BC517" s="12">
        <f t="shared" ca="1" si="864"/>
        <v>0</v>
      </c>
      <c r="BD517" s="12">
        <f t="shared" ca="1" si="864"/>
        <v>0</v>
      </c>
      <c r="BE517" s="12">
        <f t="shared" ca="1" si="864"/>
        <v>0</v>
      </c>
      <c r="BF517" s="12">
        <f t="shared" ca="1" si="864"/>
        <v>0</v>
      </c>
      <c r="BG517" s="12">
        <f t="shared" ca="1" si="864"/>
        <v>0</v>
      </c>
      <c r="BH517" s="12">
        <f t="shared" ca="1" si="864"/>
        <v>0</v>
      </c>
      <c r="BI517" s="12">
        <f t="shared" ca="1" si="864"/>
        <v>0</v>
      </c>
      <c r="BJ517" s="12">
        <f t="shared" ca="1" si="864"/>
        <v>0</v>
      </c>
      <c r="BK517" s="12">
        <f t="shared" ca="1" si="864"/>
        <v>0</v>
      </c>
      <c r="BL517" s="12">
        <f t="shared" ca="1" si="864"/>
        <v>0</v>
      </c>
      <c r="BM517" s="12">
        <f t="shared" ca="1" si="864"/>
        <v>0</v>
      </c>
      <c r="BN517" s="12">
        <f t="shared" ca="1" si="864"/>
        <v>0</v>
      </c>
      <c r="BO517" s="12">
        <f t="shared" ca="1" si="864"/>
        <v>0</v>
      </c>
      <c r="BP517" s="12">
        <f t="shared" ca="1" si="864"/>
        <v>0</v>
      </c>
      <c r="BQ517" s="12">
        <f t="shared" ref="BQ517:CV517" ca="1" si="865" xml:space="preserve"> BQ$504</f>
        <v>0</v>
      </c>
      <c r="BR517" s="12">
        <f t="shared" ca="1" si="865"/>
        <v>0</v>
      </c>
      <c r="BS517" s="12">
        <f t="shared" ca="1" si="865"/>
        <v>0</v>
      </c>
      <c r="BT517" s="12">
        <f t="shared" ca="1" si="865"/>
        <v>0</v>
      </c>
      <c r="BU517" s="12">
        <f t="shared" ca="1" si="865"/>
        <v>0</v>
      </c>
      <c r="BV517" s="12">
        <f t="shared" ca="1" si="865"/>
        <v>0</v>
      </c>
      <c r="BW517" s="12">
        <f t="shared" ca="1" si="865"/>
        <v>0</v>
      </c>
      <c r="BX517" s="12">
        <f t="shared" ca="1" si="865"/>
        <v>0</v>
      </c>
      <c r="BY517" s="12">
        <f t="shared" ca="1" si="865"/>
        <v>0</v>
      </c>
      <c r="BZ517" s="12">
        <f t="shared" ca="1" si="865"/>
        <v>0</v>
      </c>
      <c r="CA517" s="12">
        <f t="shared" ca="1" si="865"/>
        <v>0</v>
      </c>
      <c r="CB517" s="12">
        <f t="shared" ca="1" si="865"/>
        <v>0</v>
      </c>
      <c r="CC517" s="12">
        <f t="shared" ca="1" si="865"/>
        <v>0</v>
      </c>
      <c r="CD517" s="12">
        <f t="shared" ca="1" si="865"/>
        <v>0</v>
      </c>
      <c r="CE517" s="12">
        <f t="shared" ca="1" si="865"/>
        <v>0</v>
      </c>
      <c r="CF517" s="12">
        <f t="shared" ca="1" si="865"/>
        <v>0</v>
      </c>
      <c r="CG517" s="12">
        <f t="shared" ca="1" si="865"/>
        <v>0</v>
      </c>
      <c r="CH517" s="12">
        <f t="shared" ca="1" si="865"/>
        <v>0</v>
      </c>
      <c r="CI517" s="12">
        <f t="shared" ca="1" si="865"/>
        <v>0</v>
      </c>
      <c r="CJ517" s="12">
        <f t="shared" ca="1" si="865"/>
        <v>0</v>
      </c>
      <c r="CK517" s="12">
        <f t="shared" ca="1" si="865"/>
        <v>0</v>
      </c>
      <c r="CL517" s="12">
        <f t="shared" ca="1" si="865"/>
        <v>0</v>
      </c>
      <c r="CM517" s="12">
        <f t="shared" ca="1" si="865"/>
        <v>0</v>
      </c>
      <c r="CN517" s="12">
        <f t="shared" ca="1" si="865"/>
        <v>0</v>
      </c>
      <c r="CO517" s="12">
        <f t="shared" ca="1" si="865"/>
        <v>0</v>
      </c>
      <c r="CP517" s="12">
        <f t="shared" ca="1" si="865"/>
        <v>0</v>
      </c>
      <c r="CQ517" s="12">
        <f t="shared" ca="1" si="865"/>
        <v>0</v>
      </c>
      <c r="CR517" s="12">
        <f t="shared" ca="1" si="865"/>
        <v>0</v>
      </c>
      <c r="CS517" s="12">
        <f t="shared" ca="1" si="865"/>
        <v>0</v>
      </c>
      <c r="CT517" s="12">
        <f t="shared" ca="1" si="865"/>
        <v>0</v>
      </c>
      <c r="CU517" s="12">
        <f t="shared" ca="1" si="865"/>
        <v>0</v>
      </c>
      <c r="CV517" s="12">
        <f t="shared" ca="1" si="865"/>
        <v>0</v>
      </c>
    </row>
    <row r="518" spans="1:100" ht="12.75" outlineLevel="2" x14ac:dyDescent="0.2">
      <c r="E518" s="12" t="str">
        <f t="shared" ref="E518:AJ518" si="866" xml:space="preserve"> E$508</f>
        <v>Shareholder loan interest paid - P99 POS</v>
      </c>
      <c r="F518" s="12">
        <f t="shared" si="866"/>
        <v>0</v>
      </c>
      <c r="G518" s="12" t="str">
        <f t="shared" si="866"/>
        <v>$ 000s</v>
      </c>
      <c r="H518" s="12">
        <f t="shared" ca="1" si="866"/>
        <v>91405.13071374697</v>
      </c>
      <c r="I518" s="12">
        <f t="shared" si="866"/>
        <v>0</v>
      </c>
      <c r="J518" s="12">
        <f t="shared" ca="1" si="866"/>
        <v>0</v>
      </c>
      <c r="K518" s="12">
        <f t="shared" ca="1" si="866"/>
        <v>0</v>
      </c>
      <c r="L518" s="12">
        <f t="shared" ca="1" si="866"/>
        <v>0</v>
      </c>
      <c r="M518" s="12">
        <f t="shared" ca="1" si="866"/>
        <v>0</v>
      </c>
      <c r="N518" s="12">
        <f t="shared" ca="1" si="866"/>
        <v>0</v>
      </c>
      <c r="O518" s="12">
        <f t="shared" ca="1" si="866"/>
        <v>1333.6976205565661</v>
      </c>
      <c r="P518" s="12">
        <f t="shared" ca="1" si="866"/>
        <v>853.13042279723049</v>
      </c>
      <c r="Q518" s="12">
        <f t="shared" ca="1" si="866"/>
        <v>790.19410909212456</v>
      </c>
      <c r="R518" s="12">
        <f t="shared" ca="1" si="866"/>
        <v>825.35829217683931</v>
      </c>
      <c r="S518" s="12">
        <f t="shared" ca="1" si="866"/>
        <v>762.30788647574263</v>
      </c>
      <c r="T518" s="12">
        <f t="shared" ca="1" si="866"/>
        <v>789.60079009818401</v>
      </c>
      <c r="U518" s="12">
        <f t="shared" ca="1" si="866"/>
        <v>741.46757468341821</v>
      </c>
      <c r="V518" s="12">
        <f t="shared" ca="1" si="866"/>
        <v>760.88419370646443</v>
      </c>
      <c r="W518" s="12">
        <f t="shared" ca="1" si="866"/>
        <v>696.66326879112785</v>
      </c>
      <c r="X518" s="12">
        <f t="shared" ca="1" si="866"/>
        <v>739.19875869376119</v>
      </c>
      <c r="Y518" s="12">
        <f t="shared" ca="1" si="866"/>
        <v>675.77845086423076</v>
      </c>
      <c r="Z518" s="12">
        <f t="shared" ca="1" si="866"/>
        <v>709.49871970328786</v>
      </c>
      <c r="AA518" s="12">
        <f t="shared" ca="1" si="866"/>
        <v>645.94561214004716</v>
      </c>
      <c r="AB518" s="12">
        <f t="shared" ca="1" si="866"/>
        <v>672.02018991900695</v>
      </c>
      <c r="AC518" s="12">
        <f t="shared" ca="1" si="866"/>
        <v>622.87271215417604</v>
      </c>
      <c r="AD518" s="12">
        <f t="shared" ca="1" si="866"/>
        <v>641.29616078062463</v>
      </c>
      <c r="AE518" s="12">
        <f t="shared" ca="1" si="866"/>
        <v>576.69901543492961</v>
      </c>
      <c r="AF518" s="12">
        <f t="shared" ca="1" si="866"/>
        <v>617.31608587360824</v>
      </c>
      <c r="AG518" s="12">
        <f t="shared" ca="1" si="866"/>
        <v>553.33479011720556</v>
      </c>
      <c r="AH518" s="12">
        <f t="shared" ca="1" si="866"/>
        <v>585.52587165296791</v>
      </c>
      <c r="AI518" s="12">
        <f t="shared" ca="1" si="866"/>
        <v>521.39160383262424</v>
      </c>
      <c r="AJ518" s="12">
        <f t="shared" ca="1" si="866"/>
        <v>546.17434291308746</v>
      </c>
      <c r="AK518" s="12">
        <f t="shared" ref="AK518:BP518" ca="1" si="867" xml:space="preserve"> AK$508</f>
        <v>495.90556629246748</v>
      </c>
      <c r="AL518" s="12">
        <f t="shared" ca="1" si="867"/>
        <v>513.27405606138927</v>
      </c>
      <c r="AM518" s="12">
        <f t="shared" ca="1" si="867"/>
        <v>448.23093724782666</v>
      </c>
      <c r="AN518" s="12">
        <f t="shared" ca="1" si="867"/>
        <v>486.81359094925028</v>
      </c>
      <c r="AO518" s="12">
        <f t="shared" ca="1" si="867"/>
        <v>422.18829518086204</v>
      </c>
      <c r="AP518" s="12">
        <f t="shared" ca="1" si="867"/>
        <v>452.75755789060349</v>
      </c>
      <c r="AQ518" s="12">
        <f t="shared" ca="1" si="867"/>
        <v>387.95679973809092</v>
      </c>
      <c r="AR518" s="12">
        <f t="shared" ca="1" si="867"/>
        <v>411.3676207642111</v>
      </c>
      <c r="AS518" s="12">
        <f t="shared" ca="1" si="867"/>
        <v>359.8606458766335</v>
      </c>
      <c r="AT518" s="12">
        <f t="shared" ca="1" si="867"/>
        <v>376.10535407469251</v>
      </c>
      <c r="AU518" s="12">
        <f t="shared" ca="1" si="867"/>
        <v>5170.462221888959</v>
      </c>
      <c r="AV518" s="12">
        <f t="shared" ca="1" si="867"/>
        <v>5154.6259489705117</v>
      </c>
      <c r="AW518" s="12">
        <f t="shared" ca="1" si="867"/>
        <v>9947.8757418349815</v>
      </c>
      <c r="AX518" s="12">
        <f t="shared" ca="1" si="867"/>
        <v>9872.4529188595952</v>
      </c>
      <c r="AY518" s="12">
        <f t="shared" ca="1" si="867"/>
        <v>9803.2474683903492</v>
      </c>
      <c r="AZ518" s="12">
        <f t="shared" ca="1" si="867"/>
        <v>9727.8684938216247</v>
      </c>
      <c r="BA518" s="12">
        <f t="shared" ca="1" si="867"/>
        <v>9656.395179685629</v>
      </c>
      <c r="BB518" s="12">
        <f t="shared" ca="1" si="867"/>
        <v>12057.385843762037</v>
      </c>
      <c r="BC518" s="12">
        <f t="shared" ca="1" si="867"/>
        <v>0</v>
      </c>
      <c r="BD518" s="12">
        <f t="shared" ca="1" si="867"/>
        <v>0</v>
      </c>
      <c r="BE518" s="12">
        <f t="shared" ca="1" si="867"/>
        <v>0</v>
      </c>
      <c r="BF518" s="12">
        <f t="shared" ca="1" si="867"/>
        <v>0</v>
      </c>
      <c r="BG518" s="12">
        <f t="shared" ca="1" si="867"/>
        <v>0</v>
      </c>
      <c r="BH518" s="12">
        <f t="shared" ca="1" si="867"/>
        <v>0</v>
      </c>
      <c r="BI518" s="12">
        <f t="shared" ca="1" si="867"/>
        <v>0</v>
      </c>
      <c r="BJ518" s="12">
        <f t="shared" ca="1" si="867"/>
        <v>0</v>
      </c>
      <c r="BK518" s="12">
        <f t="shared" ca="1" si="867"/>
        <v>0</v>
      </c>
      <c r="BL518" s="12">
        <f t="shared" ca="1" si="867"/>
        <v>0</v>
      </c>
      <c r="BM518" s="12">
        <f t="shared" ca="1" si="867"/>
        <v>0</v>
      </c>
      <c r="BN518" s="12">
        <f t="shared" ca="1" si="867"/>
        <v>0</v>
      </c>
      <c r="BO518" s="12">
        <f t="shared" ca="1" si="867"/>
        <v>0</v>
      </c>
      <c r="BP518" s="12">
        <f t="shared" ca="1" si="867"/>
        <v>0</v>
      </c>
      <c r="BQ518" s="12">
        <f t="shared" ref="BQ518:CV518" ca="1" si="868" xml:space="preserve"> BQ$508</f>
        <v>0</v>
      </c>
      <c r="BR518" s="12">
        <f t="shared" ca="1" si="868"/>
        <v>0</v>
      </c>
      <c r="BS518" s="12">
        <f t="shared" ca="1" si="868"/>
        <v>0</v>
      </c>
      <c r="BT518" s="12">
        <f t="shared" ca="1" si="868"/>
        <v>0</v>
      </c>
      <c r="BU518" s="12">
        <f t="shared" ca="1" si="868"/>
        <v>0</v>
      </c>
      <c r="BV518" s="12">
        <f t="shared" ca="1" si="868"/>
        <v>0</v>
      </c>
      <c r="BW518" s="12">
        <f t="shared" ca="1" si="868"/>
        <v>0</v>
      </c>
      <c r="BX518" s="12">
        <f t="shared" ca="1" si="868"/>
        <v>0</v>
      </c>
      <c r="BY518" s="12">
        <f t="shared" ca="1" si="868"/>
        <v>0</v>
      </c>
      <c r="BZ518" s="12">
        <f t="shared" ca="1" si="868"/>
        <v>0</v>
      </c>
      <c r="CA518" s="12">
        <f t="shared" ca="1" si="868"/>
        <v>0</v>
      </c>
      <c r="CB518" s="12">
        <f t="shared" ca="1" si="868"/>
        <v>0</v>
      </c>
      <c r="CC518" s="12">
        <f t="shared" ca="1" si="868"/>
        <v>0</v>
      </c>
      <c r="CD518" s="12">
        <f t="shared" ca="1" si="868"/>
        <v>0</v>
      </c>
      <c r="CE518" s="12">
        <f t="shared" ca="1" si="868"/>
        <v>0</v>
      </c>
      <c r="CF518" s="12">
        <f t="shared" ca="1" si="868"/>
        <v>0</v>
      </c>
      <c r="CG518" s="12">
        <f t="shared" ca="1" si="868"/>
        <v>0</v>
      </c>
      <c r="CH518" s="12">
        <f t="shared" ca="1" si="868"/>
        <v>0</v>
      </c>
      <c r="CI518" s="12">
        <f t="shared" ca="1" si="868"/>
        <v>0</v>
      </c>
      <c r="CJ518" s="12">
        <f t="shared" ca="1" si="868"/>
        <v>0</v>
      </c>
      <c r="CK518" s="12">
        <f t="shared" ca="1" si="868"/>
        <v>0</v>
      </c>
      <c r="CL518" s="12">
        <f t="shared" ca="1" si="868"/>
        <v>0</v>
      </c>
      <c r="CM518" s="12">
        <f t="shared" ca="1" si="868"/>
        <v>0</v>
      </c>
      <c r="CN518" s="12">
        <f t="shared" ca="1" si="868"/>
        <v>0</v>
      </c>
      <c r="CO518" s="12">
        <f t="shared" ca="1" si="868"/>
        <v>0</v>
      </c>
      <c r="CP518" s="12">
        <f t="shared" ca="1" si="868"/>
        <v>0</v>
      </c>
      <c r="CQ518" s="12">
        <f t="shared" ca="1" si="868"/>
        <v>0</v>
      </c>
      <c r="CR518" s="12">
        <f t="shared" ca="1" si="868"/>
        <v>0</v>
      </c>
      <c r="CS518" s="12">
        <f t="shared" ca="1" si="868"/>
        <v>0</v>
      </c>
      <c r="CT518" s="12">
        <f t="shared" ca="1" si="868"/>
        <v>0</v>
      </c>
      <c r="CU518" s="12">
        <f t="shared" ca="1" si="868"/>
        <v>0</v>
      </c>
      <c r="CV518" s="12">
        <f t="shared" ca="1" si="868"/>
        <v>0</v>
      </c>
    </row>
    <row r="519" spans="1:100" ht="12.75" outlineLevel="2" x14ac:dyDescent="0.2">
      <c r="E519" s="12" t="s">
        <v>1191</v>
      </c>
      <c r="G519" s="12" t="str">
        <f xml:space="preserve"> SMU</f>
        <v>$ 000s</v>
      </c>
      <c r="J519" s="12">
        <f t="shared" ref="J519:AO519" ca="1" si="869" xml:space="preserve"> J517 - J518</f>
        <v>0</v>
      </c>
      <c r="K519" s="12">
        <f t="shared" ca="1" si="869"/>
        <v>0</v>
      </c>
      <c r="L519" s="12">
        <f t="shared" ca="1" si="869"/>
        <v>0</v>
      </c>
      <c r="M519" s="12">
        <f t="shared" ca="1" si="869"/>
        <v>0</v>
      </c>
      <c r="N519" s="12">
        <f t="shared" ca="1" si="869"/>
        <v>0</v>
      </c>
      <c r="O519" s="12">
        <f t="shared" ca="1" si="869"/>
        <v>0</v>
      </c>
      <c r="P519" s="12">
        <f t="shared" ca="1" si="869"/>
        <v>0</v>
      </c>
      <c r="Q519" s="12">
        <f t="shared" ca="1" si="869"/>
        <v>0</v>
      </c>
      <c r="R519" s="12">
        <f t="shared" ca="1" si="869"/>
        <v>0</v>
      </c>
      <c r="S519" s="12">
        <f t="shared" ca="1" si="869"/>
        <v>0</v>
      </c>
      <c r="T519" s="12">
        <f t="shared" ca="1" si="869"/>
        <v>0</v>
      </c>
      <c r="U519" s="12">
        <f t="shared" ca="1" si="869"/>
        <v>0</v>
      </c>
      <c r="V519" s="12">
        <f t="shared" ca="1" si="869"/>
        <v>0</v>
      </c>
      <c r="W519" s="12">
        <f t="shared" ca="1" si="869"/>
        <v>0</v>
      </c>
      <c r="X519" s="12">
        <f t="shared" ca="1" si="869"/>
        <v>0</v>
      </c>
      <c r="Y519" s="12">
        <f t="shared" ca="1" si="869"/>
        <v>0</v>
      </c>
      <c r="Z519" s="12">
        <f t="shared" ca="1" si="869"/>
        <v>0</v>
      </c>
      <c r="AA519" s="12">
        <f t="shared" ca="1" si="869"/>
        <v>0</v>
      </c>
      <c r="AB519" s="12">
        <f t="shared" ca="1" si="869"/>
        <v>0</v>
      </c>
      <c r="AC519" s="12">
        <f t="shared" ca="1" si="869"/>
        <v>0</v>
      </c>
      <c r="AD519" s="12">
        <f t="shared" ca="1" si="869"/>
        <v>0</v>
      </c>
      <c r="AE519" s="12">
        <f t="shared" ca="1" si="869"/>
        <v>0</v>
      </c>
      <c r="AF519" s="12">
        <f t="shared" ca="1" si="869"/>
        <v>0</v>
      </c>
      <c r="AG519" s="12">
        <f t="shared" ca="1" si="869"/>
        <v>0</v>
      </c>
      <c r="AH519" s="12">
        <f t="shared" ca="1" si="869"/>
        <v>0</v>
      </c>
      <c r="AI519" s="12">
        <f t="shared" ca="1" si="869"/>
        <v>0</v>
      </c>
      <c r="AJ519" s="12">
        <f t="shared" ca="1" si="869"/>
        <v>0</v>
      </c>
      <c r="AK519" s="12">
        <f t="shared" ca="1" si="869"/>
        <v>0</v>
      </c>
      <c r="AL519" s="12">
        <f t="shared" ca="1" si="869"/>
        <v>0</v>
      </c>
      <c r="AM519" s="12">
        <f t="shared" ca="1" si="869"/>
        <v>0</v>
      </c>
      <c r="AN519" s="12">
        <f t="shared" ca="1" si="869"/>
        <v>0</v>
      </c>
      <c r="AO519" s="12">
        <f t="shared" ca="1" si="869"/>
        <v>0</v>
      </c>
      <c r="AP519" s="12">
        <f t="shared" ref="AP519:BU519" ca="1" si="870" xml:space="preserve"> AP517 - AP518</f>
        <v>0</v>
      </c>
      <c r="AQ519" s="12">
        <f t="shared" ca="1" si="870"/>
        <v>0</v>
      </c>
      <c r="AR519" s="12">
        <f t="shared" ca="1" si="870"/>
        <v>0</v>
      </c>
      <c r="AS519" s="12">
        <f t="shared" ca="1" si="870"/>
        <v>0</v>
      </c>
      <c r="AT519" s="12">
        <f t="shared" ca="1" si="870"/>
        <v>0</v>
      </c>
      <c r="AU519" s="12">
        <f t="shared" ca="1" si="870"/>
        <v>0</v>
      </c>
      <c r="AV519" s="12">
        <f t="shared" ca="1" si="870"/>
        <v>0</v>
      </c>
      <c r="AW519" s="12">
        <f t="shared" ca="1" si="870"/>
        <v>0</v>
      </c>
      <c r="AX519" s="12">
        <f t="shared" ca="1" si="870"/>
        <v>0</v>
      </c>
      <c r="AY519" s="12">
        <f t="shared" ca="1" si="870"/>
        <v>0</v>
      </c>
      <c r="AZ519" s="12">
        <f t="shared" ca="1" si="870"/>
        <v>0</v>
      </c>
      <c r="BA519" s="12">
        <f t="shared" ca="1" si="870"/>
        <v>0</v>
      </c>
      <c r="BB519" s="12">
        <f t="shared" ca="1" si="870"/>
        <v>0</v>
      </c>
      <c r="BC519" s="12">
        <f t="shared" ca="1" si="870"/>
        <v>0</v>
      </c>
      <c r="BD519" s="12">
        <f t="shared" ca="1" si="870"/>
        <v>0</v>
      </c>
      <c r="BE519" s="12">
        <f t="shared" ca="1" si="870"/>
        <v>0</v>
      </c>
      <c r="BF519" s="12">
        <f t="shared" ca="1" si="870"/>
        <v>0</v>
      </c>
      <c r="BG519" s="12">
        <f t="shared" ca="1" si="870"/>
        <v>0</v>
      </c>
      <c r="BH519" s="12">
        <f t="shared" ca="1" si="870"/>
        <v>0</v>
      </c>
      <c r="BI519" s="12">
        <f t="shared" ca="1" si="870"/>
        <v>0</v>
      </c>
      <c r="BJ519" s="12">
        <f t="shared" ca="1" si="870"/>
        <v>0</v>
      </c>
      <c r="BK519" s="12">
        <f t="shared" ca="1" si="870"/>
        <v>0</v>
      </c>
      <c r="BL519" s="12">
        <f t="shared" ca="1" si="870"/>
        <v>0</v>
      </c>
      <c r="BM519" s="12">
        <f t="shared" ca="1" si="870"/>
        <v>0</v>
      </c>
      <c r="BN519" s="12">
        <f t="shared" ca="1" si="870"/>
        <v>0</v>
      </c>
      <c r="BO519" s="12">
        <f t="shared" ca="1" si="870"/>
        <v>0</v>
      </c>
      <c r="BP519" s="12">
        <f t="shared" ca="1" si="870"/>
        <v>0</v>
      </c>
      <c r="BQ519" s="12">
        <f t="shared" ca="1" si="870"/>
        <v>0</v>
      </c>
      <c r="BR519" s="12">
        <f t="shared" ca="1" si="870"/>
        <v>0</v>
      </c>
      <c r="BS519" s="12">
        <f t="shared" ca="1" si="870"/>
        <v>0</v>
      </c>
      <c r="BT519" s="12">
        <f t="shared" ca="1" si="870"/>
        <v>0</v>
      </c>
      <c r="BU519" s="12">
        <f t="shared" ca="1" si="870"/>
        <v>0</v>
      </c>
      <c r="BV519" s="12">
        <f t="shared" ref="BV519:CV519" ca="1" si="871" xml:space="preserve"> BV517 - BV518</f>
        <v>0</v>
      </c>
      <c r="BW519" s="12">
        <f t="shared" ca="1" si="871"/>
        <v>0</v>
      </c>
      <c r="BX519" s="12">
        <f t="shared" ca="1" si="871"/>
        <v>0</v>
      </c>
      <c r="BY519" s="12">
        <f t="shared" ca="1" si="871"/>
        <v>0</v>
      </c>
      <c r="BZ519" s="12">
        <f t="shared" ca="1" si="871"/>
        <v>0</v>
      </c>
      <c r="CA519" s="12">
        <f t="shared" ca="1" si="871"/>
        <v>0</v>
      </c>
      <c r="CB519" s="12">
        <f t="shared" ca="1" si="871"/>
        <v>0</v>
      </c>
      <c r="CC519" s="12">
        <f t="shared" ca="1" si="871"/>
        <v>0</v>
      </c>
      <c r="CD519" s="12">
        <f t="shared" ca="1" si="871"/>
        <v>0</v>
      </c>
      <c r="CE519" s="12">
        <f t="shared" ca="1" si="871"/>
        <v>0</v>
      </c>
      <c r="CF519" s="12">
        <f t="shared" ca="1" si="871"/>
        <v>0</v>
      </c>
      <c r="CG519" s="12">
        <f t="shared" ca="1" si="871"/>
        <v>0</v>
      </c>
      <c r="CH519" s="12">
        <f t="shared" ca="1" si="871"/>
        <v>0</v>
      </c>
      <c r="CI519" s="12">
        <f t="shared" ca="1" si="871"/>
        <v>0</v>
      </c>
      <c r="CJ519" s="12">
        <f t="shared" ca="1" si="871"/>
        <v>0</v>
      </c>
      <c r="CK519" s="12">
        <f t="shared" ca="1" si="871"/>
        <v>0</v>
      </c>
      <c r="CL519" s="12">
        <f t="shared" ca="1" si="871"/>
        <v>0</v>
      </c>
      <c r="CM519" s="12">
        <f t="shared" ca="1" si="871"/>
        <v>0</v>
      </c>
      <c r="CN519" s="12">
        <f t="shared" ca="1" si="871"/>
        <v>0</v>
      </c>
      <c r="CO519" s="12">
        <f t="shared" ca="1" si="871"/>
        <v>0</v>
      </c>
      <c r="CP519" s="12">
        <f t="shared" ca="1" si="871"/>
        <v>0</v>
      </c>
      <c r="CQ519" s="12">
        <f t="shared" ca="1" si="871"/>
        <v>0</v>
      </c>
      <c r="CR519" s="12">
        <f t="shared" ca="1" si="871"/>
        <v>0</v>
      </c>
      <c r="CS519" s="12">
        <f t="shared" ca="1" si="871"/>
        <v>0</v>
      </c>
      <c r="CT519" s="12">
        <f t="shared" ca="1" si="871"/>
        <v>0</v>
      </c>
      <c r="CU519" s="12">
        <f t="shared" ca="1" si="871"/>
        <v>0</v>
      </c>
      <c r="CV519" s="12">
        <f t="shared" ca="1" si="871"/>
        <v>0</v>
      </c>
    </row>
    <row r="520" spans="1:100" ht="12.75" outlineLevel="2" x14ac:dyDescent="0.2"/>
    <row r="521" spans="1:100" ht="12.75" outlineLevel="2" x14ac:dyDescent="0.2">
      <c r="E521" s="12" t="str">
        <f t="shared" ref="E521:AJ521" si="872" xml:space="preserve"> E$527</f>
        <v>Shareholder loan balance BEG - P99</v>
      </c>
      <c r="F521" s="12">
        <f t="shared" si="872"/>
        <v>0</v>
      </c>
      <c r="G521" s="12" t="str">
        <f t="shared" si="872"/>
        <v>$ 000s</v>
      </c>
      <c r="H521" s="12">
        <f t="shared" si="872"/>
        <v>0</v>
      </c>
      <c r="I521" s="12">
        <f t="shared" si="872"/>
        <v>0</v>
      </c>
      <c r="J521" s="12">
        <f t="shared" si="872"/>
        <v>0</v>
      </c>
      <c r="K521" s="12">
        <f t="shared" ca="1" si="872"/>
        <v>0</v>
      </c>
      <c r="L521" s="12">
        <f t="shared" ca="1" si="872"/>
        <v>0</v>
      </c>
      <c r="M521" s="12">
        <f t="shared" ca="1" si="872"/>
        <v>0</v>
      </c>
      <c r="N521" s="12">
        <f t="shared" ca="1" si="872"/>
        <v>0</v>
      </c>
      <c r="O521" s="12">
        <f t="shared" ca="1" si="872"/>
        <v>86318.253106861201</v>
      </c>
      <c r="P521" s="12">
        <f t="shared" ca="1" si="872"/>
        <v>90163.650672716307</v>
      </c>
      <c r="Q521" s="12">
        <f t="shared" ca="1" si="872"/>
        <v>94720.339290282049</v>
      </c>
      <c r="R521" s="12">
        <f t="shared" ca="1" si="872"/>
        <v>99613.365538606842</v>
      </c>
      <c r="S521" s="12">
        <f t="shared" ca="1" si="872"/>
        <v>104764.80917874641</v>
      </c>
      <c r="T521" s="12">
        <f t="shared" ca="1" si="872"/>
        <v>110288.38984299544</v>
      </c>
      <c r="U521" s="12">
        <f t="shared" ca="1" si="872"/>
        <v>116116.09244347698</v>
      </c>
      <c r="V521" s="12">
        <f t="shared" ca="1" si="872"/>
        <v>122341.59041540218</v>
      </c>
      <c r="W521" s="12">
        <f t="shared" ca="1" si="872"/>
        <v>128921.20164661985</v>
      </c>
      <c r="X521" s="12">
        <f t="shared" ca="1" si="872"/>
        <v>135959.81047662592</v>
      </c>
      <c r="Y521" s="12">
        <f t="shared" ca="1" si="872"/>
        <v>143378.20034652972</v>
      </c>
      <c r="Z521" s="12">
        <f t="shared" ca="1" si="872"/>
        <v>151305.11391645728</v>
      </c>
      <c r="AA521" s="12">
        <f t="shared" ca="1" si="872"/>
        <v>159673.92203174141</v>
      </c>
      <c r="AB521" s="12">
        <f t="shared" ca="1" si="872"/>
        <v>168608.41174150584</v>
      </c>
      <c r="AC521" s="12">
        <f t="shared" ca="1" si="872"/>
        <v>178052.89625607719</v>
      </c>
      <c r="AD521" s="12">
        <f t="shared" ca="1" si="872"/>
        <v>188113.19731928763</v>
      </c>
      <c r="AE521" s="12">
        <f t="shared" ca="1" si="872"/>
        <v>198758.69299766427</v>
      </c>
      <c r="AF521" s="12">
        <f t="shared" ca="1" si="872"/>
        <v>210107.51556208919</v>
      </c>
      <c r="AG521" s="12">
        <f t="shared" ca="1" si="872"/>
        <v>222096.65040994092</v>
      </c>
      <c r="AH521" s="12">
        <f t="shared" ca="1" si="872"/>
        <v>234869.11464442016</v>
      </c>
      <c r="AI521" s="12">
        <f t="shared" ca="1" si="872"/>
        <v>248375.73565143239</v>
      </c>
      <c r="AJ521" s="12">
        <f t="shared" ca="1" si="872"/>
        <v>262756.88818668568</v>
      </c>
      <c r="AK521" s="12">
        <f t="shared" ref="AK521:BP521" ca="1" si="873" xml:space="preserve"> AK$527</f>
        <v>277976.12713497377</v>
      </c>
      <c r="AL521" s="12">
        <f t="shared" ca="1" si="873"/>
        <v>294158.78919677972</v>
      </c>
      <c r="AM521" s="12">
        <f t="shared" ca="1" si="873"/>
        <v>311295.04249252513</v>
      </c>
      <c r="AN521" s="12">
        <f t="shared" ca="1" si="873"/>
        <v>329524.51410482882</v>
      </c>
      <c r="AO521" s="12">
        <f t="shared" ca="1" si="873"/>
        <v>348809.1713601693</v>
      </c>
      <c r="AP521" s="12">
        <f t="shared" ca="1" si="873"/>
        <v>369315.53334659862</v>
      </c>
      <c r="AQ521" s="12">
        <f t="shared" ca="1" si="873"/>
        <v>391021.70778950391</v>
      </c>
      <c r="AR521" s="12">
        <f t="shared" ca="1" si="873"/>
        <v>414095.05345713603</v>
      </c>
      <c r="AS521" s="12">
        <f t="shared" ca="1" si="873"/>
        <v>438529.38904379995</v>
      </c>
      <c r="AT521" s="12">
        <f t="shared" ca="1" si="873"/>
        <v>464481.2917405513</v>
      </c>
      <c r="AU521" s="12">
        <f t="shared" ca="1" si="873"/>
        <v>491974.06389090966</v>
      </c>
      <c r="AV521" s="12">
        <f t="shared" ca="1" si="873"/>
        <v>516322.04550247529</v>
      </c>
      <c r="AW521" s="12">
        <f t="shared" ca="1" si="873"/>
        <v>542146.74228365324</v>
      </c>
      <c r="AX521" s="12">
        <f t="shared" ca="1" si="873"/>
        <v>564727.67107883748</v>
      </c>
      <c r="AY521" s="12">
        <f t="shared" ca="1" si="873"/>
        <v>588738.87842470815</v>
      </c>
      <c r="AZ521" s="12">
        <f t="shared" ca="1" si="873"/>
        <v>614259.96366180026</v>
      </c>
      <c r="BA521" s="12">
        <f t="shared" ca="1" si="873"/>
        <v>641387.69298768661</v>
      </c>
      <c r="BB521" s="12">
        <f t="shared" ca="1" si="873"/>
        <v>670214.55938726221</v>
      </c>
      <c r="BC521" s="12">
        <f t="shared" ca="1" si="873"/>
        <v>698370.04710673587</v>
      </c>
      <c r="BD521" s="12">
        <f t="shared" ca="1" si="873"/>
        <v>698370.04710673587</v>
      </c>
      <c r="BE521" s="12">
        <f t="shared" ca="1" si="873"/>
        <v>698370.04710673587</v>
      </c>
      <c r="BF521" s="12">
        <f t="shared" ca="1" si="873"/>
        <v>698370.04710673587</v>
      </c>
      <c r="BG521" s="12">
        <f t="shared" ca="1" si="873"/>
        <v>698370.04710673587</v>
      </c>
      <c r="BH521" s="12">
        <f t="shared" ca="1" si="873"/>
        <v>698370.04710673587</v>
      </c>
      <c r="BI521" s="12">
        <f t="shared" ca="1" si="873"/>
        <v>698370.04710673587</v>
      </c>
      <c r="BJ521" s="12">
        <f t="shared" ca="1" si="873"/>
        <v>698370.04710673587</v>
      </c>
      <c r="BK521" s="12">
        <f t="shared" ca="1" si="873"/>
        <v>698370.04710673587</v>
      </c>
      <c r="BL521" s="12">
        <f t="shared" ca="1" si="873"/>
        <v>698370.04710673587</v>
      </c>
      <c r="BM521" s="12">
        <f t="shared" ca="1" si="873"/>
        <v>698370.04710673587</v>
      </c>
      <c r="BN521" s="12">
        <f t="shared" ca="1" si="873"/>
        <v>698370.04710673587</v>
      </c>
      <c r="BO521" s="12">
        <f t="shared" ca="1" si="873"/>
        <v>698370.04710673587</v>
      </c>
      <c r="BP521" s="12">
        <f t="shared" ca="1" si="873"/>
        <v>698370.04710673587</v>
      </c>
      <c r="BQ521" s="12">
        <f t="shared" ref="BQ521:CV521" ca="1" si="874" xml:space="preserve"> BQ$527</f>
        <v>698370.04710673587</v>
      </c>
      <c r="BR521" s="12">
        <f t="shared" ca="1" si="874"/>
        <v>698370.04710673587</v>
      </c>
      <c r="BS521" s="12">
        <f t="shared" ca="1" si="874"/>
        <v>698370.04710673587</v>
      </c>
      <c r="BT521" s="12">
        <f t="shared" ca="1" si="874"/>
        <v>698370.04710673587</v>
      </c>
      <c r="BU521" s="12">
        <f t="shared" ca="1" si="874"/>
        <v>698370.04710673587</v>
      </c>
      <c r="BV521" s="12">
        <f t="shared" ca="1" si="874"/>
        <v>698370.04710673587</v>
      </c>
      <c r="BW521" s="12">
        <f t="shared" ca="1" si="874"/>
        <v>698370.04710673587</v>
      </c>
      <c r="BX521" s="12">
        <f t="shared" ca="1" si="874"/>
        <v>698370.04710673587</v>
      </c>
      <c r="BY521" s="12">
        <f t="shared" ca="1" si="874"/>
        <v>698370.04710673587</v>
      </c>
      <c r="BZ521" s="12">
        <f t="shared" ca="1" si="874"/>
        <v>698370.04710673587</v>
      </c>
      <c r="CA521" s="12">
        <f t="shared" ca="1" si="874"/>
        <v>698370.04710673587</v>
      </c>
      <c r="CB521" s="12">
        <f t="shared" ca="1" si="874"/>
        <v>698370.04710673587</v>
      </c>
      <c r="CC521" s="12">
        <f t="shared" ca="1" si="874"/>
        <v>698370.04710673587</v>
      </c>
      <c r="CD521" s="12">
        <f t="shared" ca="1" si="874"/>
        <v>698370.04710673587</v>
      </c>
      <c r="CE521" s="12">
        <f t="shared" ca="1" si="874"/>
        <v>698370.04710673587</v>
      </c>
      <c r="CF521" s="12">
        <f t="shared" ca="1" si="874"/>
        <v>698370.04710673587</v>
      </c>
      <c r="CG521" s="12">
        <f t="shared" ca="1" si="874"/>
        <v>698370.04710673587</v>
      </c>
      <c r="CH521" s="12">
        <f t="shared" ca="1" si="874"/>
        <v>698370.04710673587</v>
      </c>
      <c r="CI521" s="12">
        <f t="shared" ca="1" si="874"/>
        <v>698370.04710673587</v>
      </c>
      <c r="CJ521" s="12">
        <f t="shared" ca="1" si="874"/>
        <v>698370.04710673587</v>
      </c>
      <c r="CK521" s="12">
        <f t="shared" ca="1" si="874"/>
        <v>698370.04710673587</v>
      </c>
      <c r="CL521" s="12">
        <f t="shared" ca="1" si="874"/>
        <v>698370.04710673587</v>
      </c>
      <c r="CM521" s="12">
        <f t="shared" ca="1" si="874"/>
        <v>698370.04710673587</v>
      </c>
      <c r="CN521" s="12">
        <f t="shared" ca="1" si="874"/>
        <v>698370.04710673587</v>
      </c>
      <c r="CO521" s="12">
        <f t="shared" ca="1" si="874"/>
        <v>698370.04710673587</v>
      </c>
      <c r="CP521" s="12">
        <f t="shared" ca="1" si="874"/>
        <v>698370.04710673587</v>
      </c>
      <c r="CQ521" s="12">
        <f t="shared" ca="1" si="874"/>
        <v>698370.04710673587</v>
      </c>
      <c r="CR521" s="12">
        <f t="shared" ca="1" si="874"/>
        <v>698370.04710673587</v>
      </c>
      <c r="CS521" s="12">
        <f t="shared" ca="1" si="874"/>
        <v>698370.04710673587</v>
      </c>
      <c r="CT521" s="12">
        <f t="shared" ca="1" si="874"/>
        <v>698370.04710673587</v>
      </c>
      <c r="CU521" s="12">
        <f t="shared" ca="1" si="874"/>
        <v>698370.04710673587</v>
      </c>
      <c r="CV521" s="12">
        <f t="shared" ca="1" si="874"/>
        <v>698370.04710673587</v>
      </c>
    </row>
    <row r="522" spans="1:100" ht="12.75" outlineLevel="2" x14ac:dyDescent="0.2">
      <c r="E522" s="12" t="str">
        <f t="shared" ref="E522:AJ522" si="875" xml:space="preserve"> E$519</f>
        <v>Cash availble for shareholder loan repayment - P99</v>
      </c>
      <c r="F522" s="12">
        <f t="shared" si="875"/>
        <v>0</v>
      </c>
      <c r="G522" s="12" t="str">
        <f t="shared" si="875"/>
        <v>$ 000s</v>
      </c>
      <c r="H522" s="12">
        <f t="shared" si="875"/>
        <v>0</v>
      </c>
      <c r="I522" s="12">
        <f t="shared" si="875"/>
        <v>0</v>
      </c>
      <c r="J522" s="12">
        <f t="shared" ca="1" si="875"/>
        <v>0</v>
      </c>
      <c r="K522" s="12">
        <f t="shared" ca="1" si="875"/>
        <v>0</v>
      </c>
      <c r="L522" s="12">
        <f t="shared" ca="1" si="875"/>
        <v>0</v>
      </c>
      <c r="M522" s="12">
        <f t="shared" ca="1" si="875"/>
        <v>0</v>
      </c>
      <c r="N522" s="12">
        <f t="shared" ca="1" si="875"/>
        <v>0</v>
      </c>
      <c r="O522" s="12">
        <f t="shared" ca="1" si="875"/>
        <v>0</v>
      </c>
      <c r="P522" s="12">
        <f t="shared" ca="1" si="875"/>
        <v>0</v>
      </c>
      <c r="Q522" s="12">
        <f t="shared" ca="1" si="875"/>
        <v>0</v>
      </c>
      <c r="R522" s="12">
        <f t="shared" ca="1" si="875"/>
        <v>0</v>
      </c>
      <c r="S522" s="12">
        <f t="shared" ca="1" si="875"/>
        <v>0</v>
      </c>
      <c r="T522" s="12">
        <f t="shared" ca="1" si="875"/>
        <v>0</v>
      </c>
      <c r="U522" s="12">
        <f t="shared" ca="1" si="875"/>
        <v>0</v>
      </c>
      <c r="V522" s="12">
        <f t="shared" ca="1" si="875"/>
        <v>0</v>
      </c>
      <c r="W522" s="12">
        <f t="shared" ca="1" si="875"/>
        <v>0</v>
      </c>
      <c r="X522" s="12">
        <f t="shared" ca="1" si="875"/>
        <v>0</v>
      </c>
      <c r="Y522" s="12">
        <f t="shared" ca="1" si="875"/>
        <v>0</v>
      </c>
      <c r="Z522" s="12">
        <f t="shared" ca="1" si="875"/>
        <v>0</v>
      </c>
      <c r="AA522" s="12">
        <f t="shared" ca="1" si="875"/>
        <v>0</v>
      </c>
      <c r="AB522" s="12">
        <f t="shared" ca="1" si="875"/>
        <v>0</v>
      </c>
      <c r="AC522" s="12">
        <f t="shared" ca="1" si="875"/>
        <v>0</v>
      </c>
      <c r="AD522" s="12">
        <f t="shared" ca="1" si="875"/>
        <v>0</v>
      </c>
      <c r="AE522" s="12">
        <f t="shared" ca="1" si="875"/>
        <v>0</v>
      </c>
      <c r="AF522" s="12">
        <f t="shared" ca="1" si="875"/>
        <v>0</v>
      </c>
      <c r="AG522" s="12">
        <f t="shared" ca="1" si="875"/>
        <v>0</v>
      </c>
      <c r="AH522" s="12">
        <f t="shared" ca="1" si="875"/>
        <v>0</v>
      </c>
      <c r="AI522" s="12">
        <f t="shared" ca="1" si="875"/>
        <v>0</v>
      </c>
      <c r="AJ522" s="12">
        <f t="shared" ca="1" si="875"/>
        <v>0</v>
      </c>
      <c r="AK522" s="12">
        <f t="shared" ref="AK522:BP522" ca="1" si="876" xml:space="preserve"> AK$519</f>
        <v>0</v>
      </c>
      <c r="AL522" s="12">
        <f t="shared" ca="1" si="876"/>
        <v>0</v>
      </c>
      <c r="AM522" s="12">
        <f t="shared" ca="1" si="876"/>
        <v>0</v>
      </c>
      <c r="AN522" s="12">
        <f t="shared" ca="1" si="876"/>
        <v>0</v>
      </c>
      <c r="AO522" s="12">
        <f t="shared" ca="1" si="876"/>
        <v>0</v>
      </c>
      <c r="AP522" s="12">
        <f t="shared" ca="1" si="876"/>
        <v>0</v>
      </c>
      <c r="AQ522" s="12">
        <f t="shared" ca="1" si="876"/>
        <v>0</v>
      </c>
      <c r="AR522" s="12">
        <f t="shared" ca="1" si="876"/>
        <v>0</v>
      </c>
      <c r="AS522" s="12">
        <f t="shared" ca="1" si="876"/>
        <v>0</v>
      </c>
      <c r="AT522" s="12">
        <f t="shared" ca="1" si="876"/>
        <v>0</v>
      </c>
      <c r="AU522" s="12">
        <f t="shared" ca="1" si="876"/>
        <v>0</v>
      </c>
      <c r="AV522" s="12">
        <f t="shared" ca="1" si="876"/>
        <v>0</v>
      </c>
      <c r="AW522" s="12">
        <f t="shared" ca="1" si="876"/>
        <v>0</v>
      </c>
      <c r="AX522" s="12">
        <f t="shared" ca="1" si="876"/>
        <v>0</v>
      </c>
      <c r="AY522" s="12">
        <f t="shared" ca="1" si="876"/>
        <v>0</v>
      </c>
      <c r="AZ522" s="12">
        <f t="shared" ca="1" si="876"/>
        <v>0</v>
      </c>
      <c r="BA522" s="12">
        <f t="shared" ca="1" si="876"/>
        <v>0</v>
      </c>
      <c r="BB522" s="12">
        <f t="shared" ca="1" si="876"/>
        <v>0</v>
      </c>
      <c r="BC522" s="12">
        <f t="shared" ca="1" si="876"/>
        <v>0</v>
      </c>
      <c r="BD522" s="12">
        <f t="shared" ca="1" si="876"/>
        <v>0</v>
      </c>
      <c r="BE522" s="12">
        <f t="shared" ca="1" si="876"/>
        <v>0</v>
      </c>
      <c r="BF522" s="12">
        <f t="shared" ca="1" si="876"/>
        <v>0</v>
      </c>
      <c r="BG522" s="12">
        <f t="shared" ca="1" si="876"/>
        <v>0</v>
      </c>
      <c r="BH522" s="12">
        <f t="shared" ca="1" si="876"/>
        <v>0</v>
      </c>
      <c r="BI522" s="12">
        <f t="shared" ca="1" si="876"/>
        <v>0</v>
      </c>
      <c r="BJ522" s="12">
        <f t="shared" ca="1" si="876"/>
        <v>0</v>
      </c>
      <c r="BK522" s="12">
        <f t="shared" ca="1" si="876"/>
        <v>0</v>
      </c>
      <c r="BL522" s="12">
        <f t="shared" ca="1" si="876"/>
        <v>0</v>
      </c>
      <c r="BM522" s="12">
        <f t="shared" ca="1" si="876"/>
        <v>0</v>
      </c>
      <c r="BN522" s="12">
        <f t="shared" ca="1" si="876"/>
        <v>0</v>
      </c>
      <c r="BO522" s="12">
        <f t="shared" ca="1" si="876"/>
        <v>0</v>
      </c>
      <c r="BP522" s="12">
        <f t="shared" ca="1" si="876"/>
        <v>0</v>
      </c>
      <c r="BQ522" s="12">
        <f t="shared" ref="BQ522:CV522" ca="1" si="877" xml:space="preserve"> BQ$519</f>
        <v>0</v>
      </c>
      <c r="BR522" s="12">
        <f t="shared" ca="1" si="877"/>
        <v>0</v>
      </c>
      <c r="BS522" s="12">
        <f t="shared" ca="1" si="877"/>
        <v>0</v>
      </c>
      <c r="BT522" s="12">
        <f t="shared" ca="1" si="877"/>
        <v>0</v>
      </c>
      <c r="BU522" s="12">
        <f t="shared" ca="1" si="877"/>
        <v>0</v>
      </c>
      <c r="BV522" s="12">
        <f t="shared" ca="1" si="877"/>
        <v>0</v>
      </c>
      <c r="BW522" s="12">
        <f t="shared" ca="1" si="877"/>
        <v>0</v>
      </c>
      <c r="BX522" s="12">
        <f t="shared" ca="1" si="877"/>
        <v>0</v>
      </c>
      <c r="BY522" s="12">
        <f t="shared" ca="1" si="877"/>
        <v>0</v>
      </c>
      <c r="BZ522" s="12">
        <f t="shared" ca="1" si="877"/>
        <v>0</v>
      </c>
      <c r="CA522" s="12">
        <f t="shared" ca="1" si="877"/>
        <v>0</v>
      </c>
      <c r="CB522" s="12">
        <f t="shared" ca="1" si="877"/>
        <v>0</v>
      </c>
      <c r="CC522" s="12">
        <f t="shared" ca="1" si="877"/>
        <v>0</v>
      </c>
      <c r="CD522" s="12">
        <f t="shared" ca="1" si="877"/>
        <v>0</v>
      </c>
      <c r="CE522" s="12">
        <f t="shared" ca="1" si="877"/>
        <v>0</v>
      </c>
      <c r="CF522" s="12">
        <f t="shared" ca="1" si="877"/>
        <v>0</v>
      </c>
      <c r="CG522" s="12">
        <f t="shared" ca="1" si="877"/>
        <v>0</v>
      </c>
      <c r="CH522" s="12">
        <f t="shared" ca="1" si="877"/>
        <v>0</v>
      </c>
      <c r="CI522" s="12">
        <f t="shared" ca="1" si="877"/>
        <v>0</v>
      </c>
      <c r="CJ522" s="12">
        <f t="shared" ca="1" si="877"/>
        <v>0</v>
      </c>
      <c r="CK522" s="12">
        <f t="shared" ca="1" si="877"/>
        <v>0</v>
      </c>
      <c r="CL522" s="12">
        <f t="shared" ca="1" si="877"/>
        <v>0</v>
      </c>
      <c r="CM522" s="12">
        <f t="shared" ca="1" si="877"/>
        <v>0</v>
      </c>
      <c r="CN522" s="12">
        <f t="shared" ca="1" si="877"/>
        <v>0</v>
      </c>
      <c r="CO522" s="12">
        <f t="shared" ca="1" si="877"/>
        <v>0</v>
      </c>
      <c r="CP522" s="12">
        <f t="shared" ca="1" si="877"/>
        <v>0</v>
      </c>
      <c r="CQ522" s="12">
        <f t="shared" ca="1" si="877"/>
        <v>0</v>
      </c>
      <c r="CR522" s="12">
        <f t="shared" ca="1" si="877"/>
        <v>0</v>
      </c>
      <c r="CS522" s="12">
        <f t="shared" ca="1" si="877"/>
        <v>0</v>
      </c>
      <c r="CT522" s="12">
        <f t="shared" ca="1" si="877"/>
        <v>0</v>
      </c>
      <c r="CU522" s="12">
        <f t="shared" ca="1" si="877"/>
        <v>0</v>
      </c>
      <c r="CV522" s="12">
        <f t="shared" ca="1" si="877"/>
        <v>0</v>
      </c>
    </row>
    <row r="523" spans="1:100" s="188" customFormat="1" ht="12.75" outlineLevel="2" x14ac:dyDescent="0.2">
      <c r="A523" s="141"/>
      <c r="B523" s="141"/>
      <c r="C523" s="142"/>
      <c r="D523" s="143"/>
      <c r="E523" s="187" t="s">
        <v>1192</v>
      </c>
      <c r="F523" s="187"/>
      <c r="G523" s="187" t="str">
        <f xml:space="preserve"> SMU</f>
        <v>$ 000s</v>
      </c>
      <c r="H523" s="187">
        <f ca="1" xml:space="preserve"> SUM(J523:CV523)</f>
        <v>0</v>
      </c>
      <c r="I523" s="144"/>
      <c r="J523" s="187">
        <f t="shared" ref="J523:AO523" ca="1" si="878" xml:space="preserve"> MIN(J521:J522)</f>
        <v>0</v>
      </c>
      <c r="K523" s="187">
        <f t="shared" ca="1" si="878"/>
        <v>0</v>
      </c>
      <c r="L523" s="187">
        <f t="shared" ca="1" si="878"/>
        <v>0</v>
      </c>
      <c r="M523" s="187">
        <f t="shared" ca="1" si="878"/>
        <v>0</v>
      </c>
      <c r="N523" s="187">
        <f t="shared" ca="1" si="878"/>
        <v>0</v>
      </c>
      <c r="O523" s="187">
        <f t="shared" ca="1" si="878"/>
        <v>0</v>
      </c>
      <c r="P523" s="187">
        <f t="shared" ca="1" si="878"/>
        <v>0</v>
      </c>
      <c r="Q523" s="187">
        <f t="shared" ca="1" si="878"/>
        <v>0</v>
      </c>
      <c r="R523" s="187">
        <f t="shared" ca="1" si="878"/>
        <v>0</v>
      </c>
      <c r="S523" s="187">
        <f t="shared" ca="1" si="878"/>
        <v>0</v>
      </c>
      <c r="T523" s="187">
        <f t="shared" ca="1" si="878"/>
        <v>0</v>
      </c>
      <c r="U523" s="187">
        <f t="shared" ca="1" si="878"/>
        <v>0</v>
      </c>
      <c r="V523" s="187">
        <f t="shared" ca="1" si="878"/>
        <v>0</v>
      </c>
      <c r="W523" s="187">
        <f t="shared" ca="1" si="878"/>
        <v>0</v>
      </c>
      <c r="X523" s="187">
        <f t="shared" ca="1" si="878"/>
        <v>0</v>
      </c>
      <c r="Y523" s="187">
        <f t="shared" ca="1" si="878"/>
        <v>0</v>
      </c>
      <c r="Z523" s="187">
        <f t="shared" ca="1" si="878"/>
        <v>0</v>
      </c>
      <c r="AA523" s="187">
        <f t="shared" ca="1" si="878"/>
        <v>0</v>
      </c>
      <c r="AB523" s="187">
        <f t="shared" ca="1" si="878"/>
        <v>0</v>
      </c>
      <c r="AC523" s="187">
        <f t="shared" ca="1" si="878"/>
        <v>0</v>
      </c>
      <c r="AD523" s="187">
        <f t="shared" ca="1" si="878"/>
        <v>0</v>
      </c>
      <c r="AE523" s="187">
        <f t="shared" ca="1" si="878"/>
        <v>0</v>
      </c>
      <c r="AF523" s="187">
        <f t="shared" ca="1" si="878"/>
        <v>0</v>
      </c>
      <c r="AG523" s="187">
        <f t="shared" ca="1" si="878"/>
        <v>0</v>
      </c>
      <c r="AH523" s="187">
        <f t="shared" ca="1" si="878"/>
        <v>0</v>
      </c>
      <c r="AI523" s="187">
        <f t="shared" ca="1" si="878"/>
        <v>0</v>
      </c>
      <c r="AJ523" s="187">
        <f t="shared" ca="1" si="878"/>
        <v>0</v>
      </c>
      <c r="AK523" s="187">
        <f t="shared" ca="1" si="878"/>
        <v>0</v>
      </c>
      <c r="AL523" s="187">
        <f t="shared" ca="1" si="878"/>
        <v>0</v>
      </c>
      <c r="AM523" s="187">
        <f t="shared" ca="1" si="878"/>
        <v>0</v>
      </c>
      <c r="AN523" s="187">
        <f t="shared" ca="1" si="878"/>
        <v>0</v>
      </c>
      <c r="AO523" s="187">
        <f t="shared" ca="1" si="878"/>
        <v>0</v>
      </c>
      <c r="AP523" s="187">
        <f t="shared" ref="AP523:BU523" ca="1" si="879" xml:space="preserve"> MIN(AP521:AP522)</f>
        <v>0</v>
      </c>
      <c r="AQ523" s="187">
        <f t="shared" ca="1" si="879"/>
        <v>0</v>
      </c>
      <c r="AR523" s="187">
        <f t="shared" ca="1" si="879"/>
        <v>0</v>
      </c>
      <c r="AS523" s="187">
        <f t="shared" ca="1" si="879"/>
        <v>0</v>
      </c>
      <c r="AT523" s="187">
        <f t="shared" ca="1" si="879"/>
        <v>0</v>
      </c>
      <c r="AU523" s="187">
        <f t="shared" ca="1" si="879"/>
        <v>0</v>
      </c>
      <c r="AV523" s="187">
        <f t="shared" ca="1" si="879"/>
        <v>0</v>
      </c>
      <c r="AW523" s="187">
        <f t="shared" ca="1" si="879"/>
        <v>0</v>
      </c>
      <c r="AX523" s="187">
        <f t="shared" ca="1" si="879"/>
        <v>0</v>
      </c>
      <c r="AY523" s="187">
        <f t="shared" ca="1" si="879"/>
        <v>0</v>
      </c>
      <c r="AZ523" s="187">
        <f t="shared" ca="1" si="879"/>
        <v>0</v>
      </c>
      <c r="BA523" s="187">
        <f t="shared" ca="1" si="879"/>
        <v>0</v>
      </c>
      <c r="BB523" s="187">
        <f t="shared" ca="1" si="879"/>
        <v>0</v>
      </c>
      <c r="BC523" s="187">
        <f t="shared" ca="1" si="879"/>
        <v>0</v>
      </c>
      <c r="BD523" s="187">
        <f t="shared" ca="1" si="879"/>
        <v>0</v>
      </c>
      <c r="BE523" s="187">
        <f t="shared" ca="1" si="879"/>
        <v>0</v>
      </c>
      <c r="BF523" s="187">
        <f t="shared" ca="1" si="879"/>
        <v>0</v>
      </c>
      <c r="BG523" s="187">
        <f t="shared" ca="1" si="879"/>
        <v>0</v>
      </c>
      <c r="BH523" s="187">
        <f t="shared" ca="1" si="879"/>
        <v>0</v>
      </c>
      <c r="BI523" s="187">
        <f t="shared" ca="1" si="879"/>
        <v>0</v>
      </c>
      <c r="BJ523" s="187">
        <f t="shared" ca="1" si="879"/>
        <v>0</v>
      </c>
      <c r="BK523" s="187">
        <f t="shared" ca="1" si="879"/>
        <v>0</v>
      </c>
      <c r="BL523" s="187">
        <f t="shared" ca="1" si="879"/>
        <v>0</v>
      </c>
      <c r="BM523" s="187">
        <f t="shared" ca="1" si="879"/>
        <v>0</v>
      </c>
      <c r="BN523" s="187">
        <f t="shared" ca="1" si="879"/>
        <v>0</v>
      </c>
      <c r="BO523" s="187">
        <f t="shared" ca="1" si="879"/>
        <v>0</v>
      </c>
      <c r="BP523" s="187">
        <f t="shared" ca="1" si="879"/>
        <v>0</v>
      </c>
      <c r="BQ523" s="187">
        <f t="shared" ca="1" si="879"/>
        <v>0</v>
      </c>
      <c r="BR523" s="187">
        <f t="shared" ca="1" si="879"/>
        <v>0</v>
      </c>
      <c r="BS523" s="187">
        <f t="shared" ca="1" si="879"/>
        <v>0</v>
      </c>
      <c r="BT523" s="187">
        <f t="shared" ca="1" si="879"/>
        <v>0</v>
      </c>
      <c r="BU523" s="187">
        <f t="shared" ca="1" si="879"/>
        <v>0</v>
      </c>
      <c r="BV523" s="187">
        <f t="shared" ref="BV523:CV523" ca="1" si="880" xml:space="preserve"> MIN(BV521:BV522)</f>
        <v>0</v>
      </c>
      <c r="BW523" s="187">
        <f t="shared" ca="1" si="880"/>
        <v>0</v>
      </c>
      <c r="BX523" s="187">
        <f t="shared" ca="1" si="880"/>
        <v>0</v>
      </c>
      <c r="BY523" s="187">
        <f t="shared" ca="1" si="880"/>
        <v>0</v>
      </c>
      <c r="BZ523" s="187">
        <f t="shared" ca="1" si="880"/>
        <v>0</v>
      </c>
      <c r="CA523" s="187">
        <f t="shared" ca="1" si="880"/>
        <v>0</v>
      </c>
      <c r="CB523" s="187">
        <f t="shared" ca="1" si="880"/>
        <v>0</v>
      </c>
      <c r="CC523" s="187">
        <f t="shared" ca="1" si="880"/>
        <v>0</v>
      </c>
      <c r="CD523" s="187">
        <f t="shared" ca="1" si="880"/>
        <v>0</v>
      </c>
      <c r="CE523" s="187">
        <f t="shared" ca="1" si="880"/>
        <v>0</v>
      </c>
      <c r="CF523" s="187">
        <f t="shared" ca="1" si="880"/>
        <v>0</v>
      </c>
      <c r="CG523" s="187">
        <f t="shared" ca="1" si="880"/>
        <v>0</v>
      </c>
      <c r="CH523" s="187">
        <f t="shared" ca="1" si="880"/>
        <v>0</v>
      </c>
      <c r="CI523" s="187">
        <f t="shared" ca="1" si="880"/>
        <v>0</v>
      </c>
      <c r="CJ523" s="187">
        <f t="shared" ca="1" si="880"/>
        <v>0</v>
      </c>
      <c r="CK523" s="187">
        <f t="shared" ca="1" si="880"/>
        <v>0</v>
      </c>
      <c r="CL523" s="187">
        <f t="shared" ca="1" si="880"/>
        <v>0</v>
      </c>
      <c r="CM523" s="187">
        <f t="shared" ca="1" si="880"/>
        <v>0</v>
      </c>
      <c r="CN523" s="187">
        <f t="shared" ca="1" si="880"/>
        <v>0</v>
      </c>
      <c r="CO523" s="187">
        <f t="shared" ca="1" si="880"/>
        <v>0</v>
      </c>
      <c r="CP523" s="187">
        <f t="shared" ca="1" si="880"/>
        <v>0</v>
      </c>
      <c r="CQ523" s="187">
        <f t="shared" ca="1" si="880"/>
        <v>0</v>
      </c>
      <c r="CR523" s="187">
        <f t="shared" ca="1" si="880"/>
        <v>0</v>
      </c>
      <c r="CS523" s="187">
        <f t="shared" ca="1" si="880"/>
        <v>0</v>
      </c>
      <c r="CT523" s="187">
        <f t="shared" ca="1" si="880"/>
        <v>0</v>
      </c>
      <c r="CU523" s="187">
        <f t="shared" ca="1" si="880"/>
        <v>0</v>
      </c>
      <c r="CV523" s="187">
        <f t="shared" ca="1" si="880"/>
        <v>0</v>
      </c>
    </row>
    <row r="524" spans="1:100" s="188" customFormat="1" ht="12.75" outlineLevel="2" x14ac:dyDescent="0.2">
      <c r="A524" s="141"/>
      <c r="B524" s="141"/>
      <c r="C524" s="142"/>
      <c r="D524" s="482" t="s">
        <v>366</v>
      </c>
      <c r="E524" s="187" t="str">
        <f xml:space="preserve"> LEFT(E523, LEN(E523) - 4)</f>
        <v>Shareholder loan principal repayment - P99</v>
      </c>
      <c r="F524" s="187"/>
      <c r="G524" s="187" t="str">
        <f xml:space="preserve"> SMU</f>
        <v>$ 000s</v>
      </c>
      <c r="H524" s="187">
        <f ca="1" xml:space="preserve"> SUM(J524:CV524)</f>
        <v>0</v>
      </c>
      <c r="I524" s="144"/>
      <c r="J524" s="187">
        <f t="shared" ref="J524:AO524" ca="1" si="881" xml:space="preserve"> -1 * J523</f>
        <v>0</v>
      </c>
      <c r="K524" s="187">
        <f t="shared" ca="1" si="881"/>
        <v>0</v>
      </c>
      <c r="L524" s="187">
        <f t="shared" ca="1" si="881"/>
        <v>0</v>
      </c>
      <c r="M524" s="187">
        <f t="shared" ca="1" si="881"/>
        <v>0</v>
      </c>
      <c r="N524" s="187">
        <f t="shared" ca="1" si="881"/>
        <v>0</v>
      </c>
      <c r="O524" s="187">
        <f t="shared" ca="1" si="881"/>
        <v>0</v>
      </c>
      <c r="P524" s="187">
        <f t="shared" ca="1" si="881"/>
        <v>0</v>
      </c>
      <c r="Q524" s="187">
        <f t="shared" ca="1" si="881"/>
        <v>0</v>
      </c>
      <c r="R524" s="187">
        <f t="shared" ca="1" si="881"/>
        <v>0</v>
      </c>
      <c r="S524" s="187">
        <f t="shared" ca="1" si="881"/>
        <v>0</v>
      </c>
      <c r="T524" s="187">
        <f t="shared" ca="1" si="881"/>
        <v>0</v>
      </c>
      <c r="U524" s="187">
        <f t="shared" ca="1" si="881"/>
        <v>0</v>
      </c>
      <c r="V524" s="187">
        <f t="shared" ca="1" si="881"/>
        <v>0</v>
      </c>
      <c r="W524" s="187">
        <f t="shared" ca="1" si="881"/>
        <v>0</v>
      </c>
      <c r="X524" s="187">
        <f t="shared" ca="1" si="881"/>
        <v>0</v>
      </c>
      <c r="Y524" s="187">
        <f t="shared" ca="1" si="881"/>
        <v>0</v>
      </c>
      <c r="Z524" s="187">
        <f t="shared" ca="1" si="881"/>
        <v>0</v>
      </c>
      <c r="AA524" s="187">
        <f t="shared" ca="1" si="881"/>
        <v>0</v>
      </c>
      <c r="AB524" s="187">
        <f t="shared" ca="1" si="881"/>
        <v>0</v>
      </c>
      <c r="AC524" s="187">
        <f t="shared" ca="1" si="881"/>
        <v>0</v>
      </c>
      <c r="AD524" s="187">
        <f t="shared" ca="1" si="881"/>
        <v>0</v>
      </c>
      <c r="AE524" s="187">
        <f t="shared" ca="1" si="881"/>
        <v>0</v>
      </c>
      <c r="AF524" s="187">
        <f t="shared" ca="1" si="881"/>
        <v>0</v>
      </c>
      <c r="AG524" s="187">
        <f t="shared" ca="1" si="881"/>
        <v>0</v>
      </c>
      <c r="AH524" s="187">
        <f t="shared" ca="1" si="881"/>
        <v>0</v>
      </c>
      <c r="AI524" s="187">
        <f t="shared" ca="1" si="881"/>
        <v>0</v>
      </c>
      <c r="AJ524" s="187">
        <f t="shared" ca="1" si="881"/>
        <v>0</v>
      </c>
      <c r="AK524" s="187">
        <f t="shared" ca="1" si="881"/>
        <v>0</v>
      </c>
      <c r="AL524" s="187">
        <f t="shared" ca="1" si="881"/>
        <v>0</v>
      </c>
      <c r="AM524" s="187">
        <f t="shared" ca="1" si="881"/>
        <v>0</v>
      </c>
      <c r="AN524" s="187">
        <f t="shared" ca="1" si="881"/>
        <v>0</v>
      </c>
      <c r="AO524" s="187">
        <f t="shared" ca="1" si="881"/>
        <v>0</v>
      </c>
      <c r="AP524" s="187">
        <f t="shared" ref="AP524:BU524" ca="1" si="882" xml:space="preserve"> -1 * AP523</f>
        <v>0</v>
      </c>
      <c r="AQ524" s="187">
        <f t="shared" ca="1" si="882"/>
        <v>0</v>
      </c>
      <c r="AR524" s="187">
        <f t="shared" ca="1" si="882"/>
        <v>0</v>
      </c>
      <c r="AS524" s="187">
        <f t="shared" ca="1" si="882"/>
        <v>0</v>
      </c>
      <c r="AT524" s="187">
        <f t="shared" ca="1" si="882"/>
        <v>0</v>
      </c>
      <c r="AU524" s="187">
        <f t="shared" ca="1" si="882"/>
        <v>0</v>
      </c>
      <c r="AV524" s="187">
        <f t="shared" ca="1" si="882"/>
        <v>0</v>
      </c>
      <c r="AW524" s="187">
        <f t="shared" ca="1" si="882"/>
        <v>0</v>
      </c>
      <c r="AX524" s="187">
        <f t="shared" ca="1" si="882"/>
        <v>0</v>
      </c>
      <c r="AY524" s="187">
        <f t="shared" ca="1" si="882"/>
        <v>0</v>
      </c>
      <c r="AZ524" s="187">
        <f t="shared" ca="1" si="882"/>
        <v>0</v>
      </c>
      <c r="BA524" s="187">
        <f t="shared" ca="1" si="882"/>
        <v>0</v>
      </c>
      <c r="BB524" s="187">
        <f t="shared" ca="1" si="882"/>
        <v>0</v>
      </c>
      <c r="BC524" s="187">
        <f t="shared" ca="1" si="882"/>
        <v>0</v>
      </c>
      <c r="BD524" s="187">
        <f t="shared" ca="1" si="882"/>
        <v>0</v>
      </c>
      <c r="BE524" s="187">
        <f t="shared" ca="1" si="882"/>
        <v>0</v>
      </c>
      <c r="BF524" s="187">
        <f t="shared" ca="1" si="882"/>
        <v>0</v>
      </c>
      <c r="BG524" s="187">
        <f t="shared" ca="1" si="882"/>
        <v>0</v>
      </c>
      <c r="BH524" s="187">
        <f t="shared" ca="1" si="882"/>
        <v>0</v>
      </c>
      <c r="BI524" s="187">
        <f t="shared" ca="1" si="882"/>
        <v>0</v>
      </c>
      <c r="BJ524" s="187">
        <f t="shared" ca="1" si="882"/>
        <v>0</v>
      </c>
      <c r="BK524" s="187">
        <f t="shared" ca="1" si="882"/>
        <v>0</v>
      </c>
      <c r="BL524" s="187">
        <f t="shared" ca="1" si="882"/>
        <v>0</v>
      </c>
      <c r="BM524" s="187">
        <f t="shared" ca="1" si="882"/>
        <v>0</v>
      </c>
      <c r="BN524" s="187">
        <f t="shared" ca="1" si="882"/>
        <v>0</v>
      </c>
      <c r="BO524" s="187">
        <f t="shared" ca="1" si="882"/>
        <v>0</v>
      </c>
      <c r="BP524" s="187">
        <f t="shared" ca="1" si="882"/>
        <v>0</v>
      </c>
      <c r="BQ524" s="187">
        <f t="shared" ca="1" si="882"/>
        <v>0</v>
      </c>
      <c r="BR524" s="187">
        <f t="shared" ca="1" si="882"/>
        <v>0</v>
      </c>
      <c r="BS524" s="187">
        <f t="shared" ca="1" si="882"/>
        <v>0</v>
      </c>
      <c r="BT524" s="187">
        <f t="shared" ca="1" si="882"/>
        <v>0</v>
      </c>
      <c r="BU524" s="187">
        <f t="shared" ca="1" si="882"/>
        <v>0</v>
      </c>
      <c r="BV524" s="187">
        <f t="shared" ref="BV524:CV524" ca="1" si="883" xml:space="preserve"> -1 * BV523</f>
        <v>0</v>
      </c>
      <c r="BW524" s="187">
        <f t="shared" ca="1" si="883"/>
        <v>0</v>
      </c>
      <c r="BX524" s="187">
        <f t="shared" ca="1" si="883"/>
        <v>0</v>
      </c>
      <c r="BY524" s="187">
        <f t="shared" ca="1" si="883"/>
        <v>0</v>
      </c>
      <c r="BZ524" s="187">
        <f t="shared" ca="1" si="883"/>
        <v>0</v>
      </c>
      <c r="CA524" s="187">
        <f t="shared" ca="1" si="883"/>
        <v>0</v>
      </c>
      <c r="CB524" s="187">
        <f t="shared" ca="1" si="883"/>
        <v>0</v>
      </c>
      <c r="CC524" s="187">
        <f t="shared" ca="1" si="883"/>
        <v>0</v>
      </c>
      <c r="CD524" s="187">
        <f t="shared" ca="1" si="883"/>
        <v>0</v>
      </c>
      <c r="CE524" s="187">
        <f t="shared" ca="1" si="883"/>
        <v>0</v>
      </c>
      <c r="CF524" s="187">
        <f t="shared" ca="1" si="883"/>
        <v>0</v>
      </c>
      <c r="CG524" s="187">
        <f t="shared" ca="1" si="883"/>
        <v>0</v>
      </c>
      <c r="CH524" s="187">
        <f t="shared" ca="1" si="883"/>
        <v>0</v>
      </c>
      <c r="CI524" s="187">
        <f t="shared" ca="1" si="883"/>
        <v>0</v>
      </c>
      <c r="CJ524" s="187">
        <f t="shared" ca="1" si="883"/>
        <v>0</v>
      </c>
      <c r="CK524" s="187">
        <f t="shared" ca="1" si="883"/>
        <v>0</v>
      </c>
      <c r="CL524" s="187">
        <f t="shared" ca="1" si="883"/>
        <v>0</v>
      </c>
      <c r="CM524" s="187">
        <f t="shared" ca="1" si="883"/>
        <v>0</v>
      </c>
      <c r="CN524" s="187">
        <f t="shared" ca="1" si="883"/>
        <v>0</v>
      </c>
      <c r="CO524" s="187">
        <f t="shared" ca="1" si="883"/>
        <v>0</v>
      </c>
      <c r="CP524" s="187">
        <f t="shared" ca="1" si="883"/>
        <v>0</v>
      </c>
      <c r="CQ524" s="187">
        <f t="shared" ca="1" si="883"/>
        <v>0</v>
      </c>
      <c r="CR524" s="187">
        <f t="shared" ca="1" si="883"/>
        <v>0</v>
      </c>
      <c r="CS524" s="187">
        <f t="shared" ca="1" si="883"/>
        <v>0</v>
      </c>
      <c r="CT524" s="187">
        <f t="shared" ca="1" si="883"/>
        <v>0</v>
      </c>
      <c r="CU524" s="187">
        <f t="shared" ca="1" si="883"/>
        <v>0</v>
      </c>
      <c r="CV524" s="187">
        <f t="shared" ca="1" si="883"/>
        <v>0</v>
      </c>
    </row>
    <row r="525" spans="1:100" ht="12.75" outlineLevel="1" x14ac:dyDescent="0.2"/>
    <row r="526" spans="1:100" ht="12.75" outlineLevel="1" x14ac:dyDescent="0.2">
      <c r="B526" s="15" t="s">
        <v>334</v>
      </c>
    </row>
    <row r="527" spans="1:100" s="502" customFormat="1" ht="12.75" outlineLevel="2" x14ac:dyDescent="0.2">
      <c r="A527" s="216"/>
      <c r="B527" s="216"/>
      <c r="C527" s="217"/>
      <c r="D527" s="218"/>
      <c r="E527" s="219" t="s">
        <v>1193</v>
      </c>
      <c r="F527" s="219"/>
      <c r="G527" s="219" t="str">
        <f xml:space="preserve"> SMU</f>
        <v>$ 000s</v>
      </c>
      <c r="H527" s="219"/>
      <c r="I527" s="220"/>
      <c r="J527" s="219">
        <f t="shared" ref="J527:AO527" si="884">I532</f>
        <v>0</v>
      </c>
      <c r="K527" s="219">
        <f t="shared" ca="1" si="884"/>
        <v>0</v>
      </c>
      <c r="L527" s="219">
        <f t="shared" ca="1" si="884"/>
        <v>0</v>
      </c>
      <c r="M527" s="219">
        <f t="shared" ca="1" si="884"/>
        <v>0</v>
      </c>
      <c r="N527" s="219">
        <f t="shared" ca="1" si="884"/>
        <v>0</v>
      </c>
      <c r="O527" s="219">
        <f t="shared" ca="1" si="884"/>
        <v>86318.253106861201</v>
      </c>
      <c r="P527" s="219">
        <f t="shared" ca="1" si="884"/>
        <v>90163.650672716307</v>
      </c>
      <c r="Q527" s="219">
        <f t="shared" ca="1" si="884"/>
        <v>94720.339290282049</v>
      </c>
      <c r="R527" s="219">
        <f t="shared" ca="1" si="884"/>
        <v>99613.365538606842</v>
      </c>
      <c r="S527" s="219">
        <f t="shared" ca="1" si="884"/>
        <v>104764.80917874641</v>
      </c>
      <c r="T527" s="219">
        <f t="shared" ca="1" si="884"/>
        <v>110288.38984299544</v>
      </c>
      <c r="U527" s="219">
        <f t="shared" ca="1" si="884"/>
        <v>116116.09244347698</v>
      </c>
      <c r="V527" s="219">
        <f t="shared" ca="1" si="884"/>
        <v>122341.59041540218</v>
      </c>
      <c r="W527" s="219">
        <f t="shared" ca="1" si="884"/>
        <v>128921.20164661985</v>
      </c>
      <c r="X527" s="219">
        <f t="shared" ca="1" si="884"/>
        <v>135959.81047662592</v>
      </c>
      <c r="Y527" s="219">
        <f t="shared" ca="1" si="884"/>
        <v>143378.20034652972</v>
      </c>
      <c r="Z527" s="219">
        <f t="shared" ca="1" si="884"/>
        <v>151305.11391645728</v>
      </c>
      <c r="AA527" s="219">
        <f t="shared" ca="1" si="884"/>
        <v>159673.92203174141</v>
      </c>
      <c r="AB527" s="219">
        <f t="shared" ca="1" si="884"/>
        <v>168608.41174150584</v>
      </c>
      <c r="AC527" s="219">
        <f t="shared" ca="1" si="884"/>
        <v>178052.89625607719</v>
      </c>
      <c r="AD527" s="219">
        <f t="shared" ca="1" si="884"/>
        <v>188113.19731928763</v>
      </c>
      <c r="AE527" s="219">
        <f t="shared" ca="1" si="884"/>
        <v>198758.69299766427</v>
      </c>
      <c r="AF527" s="219">
        <f t="shared" ca="1" si="884"/>
        <v>210107.51556208919</v>
      </c>
      <c r="AG527" s="219">
        <f t="shared" ca="1" si="884"/>
        <v>222096.65040994092</v>
      </c>
      <c r="AH527" s="219">
        <f t="shared" ca="1" si="884"/>
        <v>234869.11464442016</v>
      </c>
      <c r="AI527" s="219">
        <f t="shared" ca="1" si="884"/>
        <v>248375.73565143239</v>
      </c>
      <c r="AJ527" s="219">
        <f t="shared" ca="1" si="884"/>
        <v>262756.88818668568</v>
      </c>
      <c r="AK527" s="219">
        <f t="shared" ca="1" si="884"/>
        <v>277976.12713497377</v>
      </c>
      <c r="AL527" s="219">
        <f t="shared" ca="1" si="884"/>
        <v>294158.78919677972</v>
      </c>
      <c r="AM527" s="219">
        <f t="shared" ca="1" si="884"/>
        <v>311295.04249252513</v>
      </c>
      <c r="AN527" s="219">
        <f t="shared" ca="1" si="884"/>
        <v>329524.51410482882</v>
      </c>
      <c r="AO527" s="219">
        <f t="shared" ca="1" si="884"/>
        <v>348809.1713601693</v>
      </c>
      <c r="AP527" s="219">
        <f t="shared" ref="AP527:BU527" ca="1" si="885">AO532</f>
        <v>369315.53334659862</v>
      </c>
      <c r="AQ527" s="219">
        <f t="shared" ca="1" si="885"/>
        <v>391021.70778950391</v>
      </c>
      <c r="AR527" s="219">
        <f t="shared" ca="1" si="885"/>
        <v>414095.05345713603</v>
      </c>
      <c r="AS527" s="219">
        <f t="shared" ca="1" si="885"/>
        <v>438529.38904379995</v>
      </c>
      <c r="AT527" s="219">
        <f t="shared" ca="1" si="885"/>
        <v>464481.2917405513</v>
      </c>
      <c r="AU527" s="219">
        <f t="shared" ca="1" si="885"/>
        <v>491974.06389090966</v>
      </c>
      <c r="AV527" s="219">
        <f t="shared" ca="1" si="885"/>
        <v>516322.04550247529</v>
      </c>
      <c r="AW527" s="219">
        <f t="shared" ca="1" si="885"/>
        <v>542146.74228365324</v>
      </c>
      <c r="AX527" s="219">
        <f t="shared" ca="1" si="885"/>
        <v>564727.67107883748</v>
      </c>
      <c r="AY527" s="219">
        <f t="shared" ca="1" si="885"/>
        <v>588738.87842470815</v>
      </c>
      <c r="AZ527" s="219">
        <f t="shared" ca="1" si="885"/>
        <v>614259.96366180026</v>
      </c>
      <c r="BA527" s="219">
        <f t="shared" ca="1" si="885"/>
        <v>641387.69298768661</v>
      </c>
      <c r="BB527" s="219">
        <f t="shared" ca="1" si="885"/>
        <v>670214.55938726221</v>
      </c>
      <c r="BC527" s="219">
        <f t="shared" ca="1" si="885"/>
        <v>698370.04710673587</v>
      </c>
      <c r="BD527" s="219">
        <f t="shared" ca="1" si="885"/>
        <v>698370.04710673587</v>
      </c>
      <c r="BE527" s="219">
        <f t="shared" ca="1" si="885"/>
        <v>698370.04710673587</v>
      </c>
      <c r="BF527" s="219">
        <f t="shared" ca="1" si="885"/>
        <v>698370.04710673587</v>
      </c>
      <c r="BG527" s="219">
        <f t="shared" ca="1" si="885"/>
        <v>698370.04710673587</v>
      </c>
      <c r="BH527" s="219">
        <f t="shared" ca="1" si="885"/>
        <v>698370.04710673587</v>
      </c>
      <c r="BI527" s="219">
        <f t="shared" ca="1" si="885"/>
        <v>698370.04710673587</v>
      </c>
      <c r="BJ527" s="219">
        <f t="shared" ca="1" si="885"/>
        <v>698370.04710673587</v>
      </c>
      <c r="BK527" s="219">
        <f t="shared" ca="1" si="885"/>
        <v>698370.04710673587</v>
      </c>
      <c r="BL527" s="219">
        <f t="shared" ca="1" si="885"/>
        <v>698370.04710673587</v>
      </c>
      <c r="BM527" s="219">
        <f t="shared" ca="1" si="885"/>
        <v>698370.04710673587</v>
      </c>
      <c r="BN527" s="219">
        <f t="shared" ca="1" si="885"/>
        <v>698370.04710673587</v>
      </c>
      <c r="BO527" s="219">
        <f t="shared" ca="1" si="885"/>
        <v>698370.04710673587</v>
      </c>
      <c r="BP527" s="219">
        <f t="shared" ca="1" si="885"/>
        <v>698370.04710673587</v>
      </c>
      <c r="BQ527" s="219">
        <f t="shared" ca="1" si="885"/>
        <v>698370.04710673587</v>
      </c>
      <c r="BR527" s="219">
        <f t="shared" ca="1" si="885"/>
        <v>698370.04710673587</v>
      </c>
      <c r="BS527" s="219">
        <f t="shared" ca="1" si="885"/>
        <v>698370.04710673587</v>
      </c>
      <c r="BT527" s="219">
        <f t="shared" ca="1" si="885"/>
        <v>698370.04710673587</v>
      </c>
      <c r="BU527" s="219">
        <f t="shared" ca="1" si="885"/>
        <v>698370.04710673587</v>
      </c>
      <c r="BV527" s="219">
        <f t="shared" ref="BV527:CV527" ca="1" si="886">BU532</f>
        <v>698370.04710673587</v>
      </c>
      <c r="BW527" s="219">
        <f t="shared" ca="1" si="886"/>
        <v>698370.04710673587</v>
      </c>
      <c r="BX527" s="219">
        <f t="shared" ca="1" si="886"/>
        <v>698370.04710673587</v>
      </c>
      <c r="BY527" s="219">
        <f t="shared" ca="1" si="886"/>
        <v>698370.04710673587</v>
      </c>
      <c r="BZ527" s="219">
        <f t="shared" ca="1" si="886"/>
        <v>698370.04710673587</v>
      </c>
      <c r="CA527" s="219">
        <f t="shared" ca="1" si="886"/>
        <v>698370.04710673587</v>
      </c>
      <c r="CB527" s="219">
        <f t="shared" ca="1" si="886"/>
        <v>698370.04710673587</v>
      </c>
      <c r="CC527" s="219">
        <f t="shared" ca="1" si="886"/>
        <v>698370.04710673587</v>
      </c>
      <c r="CD527" s="219">
        <f t="shared" ca="1" si="886"/>
        <v>698370.04710673587</v>
      </c>
      <c r="CE527" s="219">
        <f t="shared" ca="1" si="886"/>
        <v>698370.04710673587</v>
      </c>
      <c r="CF527" s="219">
        <f t="shared" ca="1" si="886"/>
        <v>698370.04710673587</v>
      </c>
      <c r="CG527" s="219">
        <f t="shared" ca="1" si="886"/>
        <v>698370.04710673587</v>
      </c>
      <c r="CH527" s="219">
        <f t="shared" ca="1" si="886"/>
        <v>698370.04710673587</v>
      </c>
      <c r="CI527" s="219">
        <f t="shared" ca="1" si="886"/>
        <v>698370.04710673587</v>
      </c>
      <c r="CJ527" s="219">
        <f t="shared" ca="1" si="886"/>
        <v>698370.04710673587</v>
      </c>
      <c r="CK527" s="219">
        <f t="shared" ca="1" si="886"/>
        <v>698370.04710673587</v>
      </c>
      <c r="CL527" s="219">
        <f t="shared" ca="1" si="886"/>
        <v>698370.04710673587</v>
      </c>
      <c r="CM527" s="219">
        <f t="shared" ca="1" si="886"/>
        <v>698370.04710673587</v>
      </c>
      <c r="CN527" s="219">
        <f t="shared" ca="1" si="886"/>
        <v>698370.04710673587</v>
      </c>
      <c r="CO527" s="219">
        <f t="shared" ca="1" si="886"/>
        <v>698370.04710673587</v>
      </c>
      <c r="CP527" s="219">
        <f t="shared" ca="1" si="886"/>
        <v>698370.04710673587</v>
      </c>
      <c r="CQ527" s="219">
        <f t="shared" ca="1" si="886"/>
        <v>698370.04710673587</v>
      </c>
      <c r="CR527" s="219">
        <f t="shared" ca="1" si="886"/>
        <v>698370.04710673587</v>
      </c>
      <c r="CS527" s="219">
        <f t="shared" ca="1" si="886"/>
        <v>698370.04710673587</v>
      </c>
      <c r="CT527" s="219">
        <f t="shared" ca="1" si="886"/>
        <v>698370.04710673587</v>
      </c>
      <c r="CU527" s="219">
        <f t="shared" ca="1" si="886"/>
        <v>698370.04710673587</v>
      </c>
      <c r="CV527" s="219">
        <f t="shared" ca="1" si="886"/>
        <v>698370.04710673587</v>
      </c>
    </row>
    <row r="528" spans="1:100" s="498" customFormat="1" ht="12.75" outlineLevel="2" x14ac:dyDescent="0.2">
      <c r="A528" s="15"/>
      <c r="B528" s="15"/>
      <c r="C528" s="21"/>
      <c r="D528" s="48"/>
      <c r="E528" s="501" t="str">
        <f xml:space="preserve"> ConFin!E$676</f>
        <v>Shareholder drawdown during construction</v>
      </c>
      <c r="F528" s="501">
        <f xml:space="preserve"> ConFin!F$676</f>
        <v>0</v>
      </c>
      <c r="G528" s="501" t="str">
        <f xml:space="preserve"> ConFin!G$676</f>
        <v>$ 000s</v>
      </c>
      <c r="H528" s="501">
        <f xml:space="preserve"> ConFin!H$676</f>
        <v>86318.253106861201</v>
      </c>
      <c r="I528" s="501">
        <f xml:space="preserve"> ConFin!I$676</f>
        <v>0</v>
      </c>
      <c r="J528" s="501">
        <f xml:space="preserve"> ConFin!J$676</f>
        <v>0</v>
      </c>
      <c r="K528" s="501">
        <f xml:space="preserve"> ConFin!K$676</f>
        <v>0</v>
      </c>
      <c r="L528" s="501">
        <f xml:space="preserve"> ConFin!L$676</f>
        <v>0</v>
      </c>
      <c r="M528" s="501">
        <f xml:space="preserve"> ConFin!M$676</f>
        <v>0</v>
      </c>
      <c r="N528" s="501">
        <f xml:space="preserve"> ConFin!N$676</f>
        <v>86318.253106861201</v>
      </c>
      <c r="O528" s="501">
        <f xml:space="preserve"> ConFin!O$676</f>
        <v>0</v>
      </c>
      <c r="P528" s="501">
        <f xml:space="preserve"> ConFin!P$676</f>
        <v>0</v>
      </c>
      <c r="Q528" s="501">
        <f xml:space="preserve"> ConFin!Q$676</f>
        <v>0</v>
      </c>
      <c r="R528" s="501">
        <f xml:space="preserve"> ConFin!R$676</f>
        <v>0</v>
      </c>
      <c r="S528" s="501">
        <f xml:space="preserve"> ConFin!S$676</f>
        <v>0</v>
      </c>
      <c r="T528" s="501">
        <f xml:space="preserve"> ConFin!T$676</f>
        <v>0</v>
      </c>
      <c r="U528" s="501">
        <f xml:space="preserve"> ConFin!U$676</f>
        <v>0</v>
      </c>
      <c r="V528" s="501">
        <f xml:space="preserve"> ConFin!V$676</f>
        <v>0</v>
      </c>
      <c r="W528" s="501">
        <f xml:space="preserve"> ConFin!W$676</f>
        <v>0</v>
      </c>
      <c r="X528" s="501">
        <f xml:space="preserve"> ConFin!X$676</f>
        <v>0</v>
      </c>
      <c r="Y528" s="501">
        <f xml:space="preserve"> ConFin!Y$676</f>
        <v>0</v>
      </c>
      <c r="Z528" s="501">
        <f xml:space="preserve"> ConFin!Z$676</f>
        <v>0</v>
      </c>
      <c r="AA528" s="501">
        <f xml:space="preserve"> ConFin!AA$676</f>
        <v>0</v>
      </c>
      <c r="AB528" s="501">
        <f xml:space="preserve"> ConFin!AB$676</f>
        <v>0</v>
      </c>
      <c r="AC528" s="501">
        <f xml:space="preserve"> ConFin!AC$676</f>
        <v>0</v>
      </c>
      <c r="AD528" s="501">
        <f xml:space="preserve"> ConFin!AD$676</f>
        <v>0</v>
      </c>
      <c r="AE528" s="501">
        <f xml:space="preserve"> ConFin!AE$676</f>
        <v>0</v>
      </c>
      <c r="AF528" s="501">
        <f xml:space="preserve"> ConFin!AF$676</f>
        <v>0</v>
      </c>
      <c r="AG528" s="501">
        <f xml:space="preserve"> ConFin!AG$676</f>
        <v>0</v>
      </c>
      <c r="AH528" s="501">
        <f xml:space="preserve"> ConFin!AH$676</f>
        <v>0</v>
      </c>
      <c r="AI528" s="501">
        <f xml:space="preserve"> ConFin!AI$676</f>
        <v>0</v>
      </c>
      <c r="AJ528" s="501">
        <f xml:space="preserve"> ConFin!AJ$676</f>
        <v>0</v>
      </c>
      <c r="AK528" s="501">
        <f xml:space="preserve"> ConFin!AK$676</f>
        <v>0</v>
      </c>
      <c r="AL528" s="501">
        <f xml:space="preserve"> ConFin!AL$676</f>
        <v>0</v>
      </c>
      <c r="AM528" s="501">
        <f xml:space="preserve"> ConFin!AM$676</f>
        <v>0</v>
      </c>
      <c r="AN528" s="501">
        <f xml:space="preserve"> ConFin!AN$676</f>
        <v>0</v>
      </c>
      <c r="AO528" s="501">
        <f xml:space="preserve"> ConFin!AO$676</f>
        <v>0</v>
      </c>
      <c r="AP528" s="501">
        <f xml:space="preserve"> ConFin!AP$676</f>
        <v>0</v>
      </c>
      <c r="AQ528" s="501">
        <f xml:space="preserve"> ConFin!AQ$676</f>
        <v>0</v>
      </c>
      <c r="AR528" s="501">
        <f xml:space="preserve"> ConFin!AR$676</f>
        <v>0</v>
      </c>
      <c r="AS528" s="501">
        <f xml:space="preserve"> ConFin!AS$676</f>
        <v>0</v>
      </c>
      <c r="AT528" s="501">
        <f xml:space="preserve"> ConFin!AT$676</f>
        <v>0</v>
      </c>
      <c r="AU528" s="501">
        <f xml:space="preserve"> ConFin!AU$676</f>
        <v>0</v>
      </c>
      <c r="AV528" s="501">
        <f xml:space="preserve"> ConFin!AV$676</f>
        <v>0</v>
      </c>
      <c r="AW528" s="501">
        <f xml:space="preserve"> ConFin!AW$676</f>
        <v>0</v>
      </c>
      <c r="AX528" s="501">
        <f xml:space="preserve"> ConFin!AX$676</f>
        <v>0</v>
      </c>
      <c r="AY528" s="501">
        <f xml:space="preserve"> ConFin!AY$676</f>
        <v>0</v>
      </c>
      <c r="AZ528" s="501">
        <f xml:space="preserve"> ConFin!AZ$676</f>
        <v>0</v>
      </c>
      <c r="BA528" s="501">
        <f xml:space="preserve"> ConFin!BA$676</f>
        <v>0</v>
      </c>
      <c r="BB528" s="501">
        <f xml:space="preserve"> ConFin!BB$676</f>
        <v>0</v>
      </c>
      <c r="BC528" s="501">
        <f xml:space="preserve"> ConFin!BC$676</f>
        <v>0</v>
      </c>
      <c r="BD528" s="501">
        <f xml:space="preserve"> ConFin!BD$676</f>
        <v>0</v>
      </c>
      <c r="BE528" s="501">
        <f xml:space="preserve"> ConFin!BE$676</f>
        <v>0</v>
      </c>
      <c r="BF528" s="501">
        <f xml:space="preserve"> ConFin!BF$676</f>
        <v>0</v>
      </c>
      <c r="BG528" s="501">
        <f xml:space="preserve"> ConFin!BG$676</f>
        <v>0</v>
      </c>
      <c r="BH528" s="501">
        <f xml:space="preserve"> ConFin!BH$676</f>
        <v>0</v>
      </c>
      <c r="BI528" s="501">
        <f xml:space="preserve"> ConFin!BI$676</f>
        <v>0</v>
      </c>
      <c r="BJ528" s="501">
        <f xml:space="preserve"> ConFin!BJ$676</f>
        <v>0</v>
      </c>
      <c r="BK528" s="501">
        <f xml:space="preserve"> ConFin!BK$676</f>
        <v>0</v>
      </c>
      <c r="BL528" s="501">
        <f xml:space="preserve"> ConFin!BL$676</f>
        <v>0</v>
      </c>
      <c r="BM528" s="501">
        <f xml:space="preserve"> ConFin!BM$676</f>
        <v>0</v>
      </c>
      <c r="BN528" s="501">
        <f xml:space="preserve"> ConFin!BN$676</f>
        <v>0</v>
      </c>
      <c r="BO528" s="501">
        <f xml:space="preserve"> ConFin!BO$676</f>
        <v>0</v>
      </c>
      <c r="BP528" s="501">
        <f xml:space="preserve"> ConFin!BP$676</f>
        <v>0</v>
      </c>
      <c r="BQ528" s="501">
        <f xml:space="preserve"> ConFin!BQ$676</f>
        <v>0</v>
      </c>
      <c r="BR528" s="501">
        <f xml:space="preserve"> ConFin!BR$676</f>
        <v>0</v>
      </c>
      <c r="BS528" s="501">
        <f xml:space="preserve"> ConFin!BS$676</f>
        <v>0</v>
      </c>
      <c r="BT528" s="501">
        <f xml:space="preserve"> ConFin!BT$676</f>
        <v>0</v>
      </c>
      <c r="BU528" s="501">
        <f xml:space="preserve"> ConFin!BU$676</f>
        <v>0</v>
      </c>
      <c r="BV528" s="501">
        <f xml:space="preserve"> ConFin!BV$676</f>
        <v>0</v>
      </c>
      <c r="BW528" s="501">
        <f xml:space="preserve"> ConFin!BW$676</f>
        <v>0</v>
      </c>
      <c r="BX528" s="501">
        <f xml:space="preserve"> ConFin!BX$676</f>
        <v>0</v>
      </c>
      <c r="BY528" s="501">
        <f xml:space="preserve"> ConFin!BY$676</f>
        <v>0</v>
      </c>
      <c r="BZ528" s="501">
        <f xml:space="preserve"> ConFin!BZ$676</f>
        <v>0</v>
      </c>
      <c r="CA528" s="501">
        <f xml:space="preserve"> ConFin!CA$676</f>
        <v>0</v>
      </c>
      <c r="CB528" s="501">
        <f xml:space="preserve"> ConFin!CB$676</f>
        <v>0</v>
      </c>
      <c r="CC528" s="501">
        <f xml:space="preserve"> ConFin!CC$676</f>
        <v>0</v>
      </c>
      <c r="CD528" s="501">
        <f xml:space="preserve"> ConFin!CD$676</f>
        <v>0</v>
      </c>
      <c r="CE528" s="501">
        <f xml:space="preserve"> ConFin!CE$676</f>
        <v>0</v>
      </c>
      <c r="CF528" s="501">
        <f xml:space="preserve"> ConFin!CF$676</f>
        <v>0</v>
      </c>
      <c r="CG528" s="501">
        <f xml:space="preserve"> ConFin!CG$676</f>
        <v>0</v>
      </c>
      <c r="CH528" s="501">
        <f xml:space="preserve"> ConFin!CH$676</f>
        <v>0</v>
      </c>
      <c r="CI528" s="501">
        <f xml:space="preserve"> ConFin!CI$676</f>
        <v>0</v>
      </c>
      <c r="CJ528" s="501">
        <f xml:space="preserve"> ConFin!CJ$676</f>
        <v>0</v>
      </c>
      <c r="CK528" s="501">
        <f xml:space="preserve"> ConFin!CK$676</f>
        <v>0</v>
      </c>
      <c r="CL528" s="501">
        <f xml:space="preserve"> ConFin!CL$676</f>
        <v>0</v>
      </c>
      <c r="CM528" s="501">
        <f xml:space="preserve"> ConFin!CM$676</f>
        <v>0</v>
      </c>
      <c r="CN528" s="501">
        <f xml:space="preserve"> ConFin!CN$676</f>
        <v>0</v>
      </c>
      <c r="CO528" s="501">
        <f xml:space="preserve"> ConFin!CO$676</f>
        <v>0</v>
      </c>
      <c r="CP528" s="501">
        <f xml:space="preserve"> ConFin!CP$676</f>
        <v>0</v>
      </c>
      <c r="CQ528" s="501">
        <f xml:space="preserve"> ConFin!CQ$676</f>
        <v>0</v>
      </c>
      <c r="CR528" s="501">
        <f xml:space="preserve"> ConFin!CR$676</f>
        <v>0</v>
      </c>
      <c r="CS528" s="501">
        <f xml:space="preserve"> ConFin!CS$676</f>
        <v>0</v>
      </c>
      <c r="CT528" s="501">
        <f xml:space="preserve"> ConFin!CT$676</f>
        <v>0</v>
      </c>
      <c r="CU528" s="501">
        <f xml:space="preserve"> ConFin!CU$676</f>
        <v>0</v>
      </c>
      <c r="CV528" s="501">
        <f xml:space="preserve"> ConFin!CV$676</f>
        <v>0</v>
      </c>
    </row>
    <row r="529" spans="1:100" s="751" customFormat="1" ht="12.75" outlineLevel="2" x14ac:dyDescent="0.2">
      <c r="A529" s="522"/>
      <c r="B529" s="522"/>
      <c r="C529" s="523"/>
      <c r="D529" s="524"/>
      <c r="E529" s="808" t="str">
        <f xml:space="preserve"> Debt!E$443</f>
        <v>Shareholder loan drawdown during operations</v>
      </c>
      <c r="F529" s="808">
        <f xml:space="preserve"> Debt!F$443</f>
        <v>0</v>
      </c>
      <c r="G529" s="808" t="str">
        <f xml:space="preserve"> Debt!G$443</f>
        <v>$ 000s</v>
      </c>
      <c r="H529" s="808">
        <f xml:space="preserve"> Debt!H$443</f>
        <v>0</v>
      </c>
      <c r="I529" s="808">
        <f xml:space="preserve"> Debt!I$443</f>
        <v>0</v>
      </c>
      <c r="J529" s="808">
        <f xml:space="preserve"> Debt!J$443</f>
        <v>0</v>
      </c>
      <c r="K529" s="808">
        <f xml:space="preserve"> Debt!K$443</f>
        <v>0</v>
      </c>
      <c r="L529" s="808">
        <f xml:space="preserve"> Debt!L$443</f>
        <v>0</v>
      </c>
      <c r="M529" s="808">
        <f xml:space="preserve"> Debt!M$443</f>
        <v>0</v>
      </c>
      <c r="N529" s="808">
        <f xml:space="preserve"> Debt!N$443</f>
        <v>0</v>
      </c>
      <c r="O529" s="808">
        <f xml:space="preserve"> Debt!O$443</f>
        <v>0</v>
      </c>
      <c r="P529" s="808">
        <f xml:space="preserve"> Debt!P$443</f>
        <v>0</v>
      </c>
      <c r="Q529" s="808">
        <f xml:space="preserve"> Debt!Q$443</f>
        <v>0</v>
      </c>
      <c r="R529" s="808">
        <f xml:space="preserve"> Debt!R$443</f>
        <v>0</v>
      </c>
      <c r="S529" s="808">
        <f xml:space="preserve"> Debt!S$443</f>
        <v>0</v>
      </c>
      <c r="T529" s="808">
        <f xml:space="preserve"> Debt!T$443</f>
        <v>0</v>
      </c>
      <c r="U529" s="808">
        <f xml:space="preserve"> Debt!U$443</f>
        <v>0</v>
      </c>
      <c r="V529" s="808">
        <f xml:space="preserve"> Debt!V$443</f>
        <v>0</v>
      </c>
      <c r="W529" s="808">
        <f xml:space="preserve"> Debt!W$443</f>
        <v>0</v>
      </c>
      <c r="X529" s="808">
        <f xml:space="preserve"> Debt!X$443</f>
        <v>0</v>
      </c>
      <c r="Y529" s="808">
        <f xml:space="preserve"> Debt!Y$443</f>
        <v>0</v>
      </c>
      <c r="Z529" s="808">
        <f xml:space="preserve"> Debt!Z$443</f>
        <v>0</v>
      </c>
      <c r="AA529" s="808">
        <f xml:space="preserve"> Debt!AA$443</f>
        <v>0</v>
      </c>
      <c r="AB529" s="808">
        <f xml:space="preserve"> Debt!AB$443</f>
        <v>0</v>
      </c>
      <c r="AC529" s="808">
        <f xml:space="preserve"> Debt!AC$443</f>
        <v>0</v>
      </c>
      <c r="AD529" s="808">
        <f xml:space="preserve"> Debt!AD$443</f>
        <v>0</v>
      </c>
      <c r="AE529" s="808">
        <f xml:space="preserve"> Debt!AE$443</f>
        <v>0</v>
      </c>
      <c r="AF529" s="808">
        <f xml:space="preserve"> Debt!AF$443</f>
        <v>0</v>
      </c>
      <c r="AG529" s="808">
        <f xml:space="preserve"> Debt!AG$443</f>
        <v>0</v>
      </c>
      <c r="AH529" s="808">
        <f xml:space="preserve"> Debt!AH$443</f>
        <v>0</v>
      </c>
      <c r="AI529" s="808">
        <f xml:space="preserve"> Debt!AI$443</f>
        <v>0</v>
      </c>
      <c r="AJ529" s="808">
        <f xml:space="preserve"> Debt!AJ$443</f>
        <v>0</v>
      </c>
      <c r="AK529" s="808">
        <f xml:space="preserve"> Debt!AK$443</f>
        <v>0</v>
      </c>
      <c r="AL529" s="808">
        <f xml:space="preserve"> Debt!AL$443</f>
        <v>0</v>
      </c>
      <c r="AM529" s="808">
        <f xml:space="preserve"> Debt!AM$443</f>
        <v>0</v>
      </c>
      <c r="AN529" s="808">
        <f xml:space="preserve"> Debt!AN$443</f>
        <v>0</v>
      </c>
      <c r="AO529" s="808">
        <f xml:space="preserve"> Debt!AO$443</f>
        <v>0</v>
      </c>
      <c r="AP529" s="808">
        <f xml:space="preserve"> Debt!AP$443</f>
        <v>0</v>
      </c>
      <c r="AQ529" s="808">
        <f xml:space="preserve"> Debt!AQ$443</f>
        <v>0</v>
      </c>
      <c r="AR529" s="808">
        <f xml:space="preserve"> Debt!AR$443</f>
        <v>0</v>
      </c>
      <c r="AS529" s="808">
        <f xml:space="preserve"> Debt!AS$443</f>
        <v>0</v>
      </c>
      <c r="AT529" s="808">
        <f xml:space="preserve"> Debt!AT$443</f>
        <v>0</v>
      </c>
      <c r="AU529" s="808">
        <f xml:space="preserve"> Debt!AU$443</f>
        <v>0</v>
      </c>
      <c r="AV529" s="808">
        <f xml:space="preserve"> Debt!AV$443</f>
        <v>0</v>
      </c>
      <c r="AW529" s="808">
        <f xml:space="preserve"> Debt!AW$443</f>
        <v>0</v>
      </c>
      <c r="AX529" s="808">
        <f xml:space="preserve"> Debt!AX$443</f>
        <v>0</v>
      </c>
      <c r="AY529" s="808">
        <f xml:space="preserve"> Debt!AY$443</f>
        <v>0</v>
      </c>
      <c r="AZ529" s="808">
        <f xml:space="preserve"> Debt!AZ$443</f>
        <v>0</v>
      </c>
      <c r="BA529" s="808">
        <f xml:space="preserve"> Debt!BA$443</f>
        <v>0</v>
      </c>
      <c r="BB529" s="808">
        <f xml:space="preserve"> Debt!BB$443</f>
        <v>0</v>
      </c>
      <c r="BC529" s="808">
        <f xml:space="preserve"> Debt!BC$443</f>
        <v>0</v>
      </c>
      <c r="BD529" s="808">
        <f xml:space="preserve"> Debt!BD$443</f>
        <v>0</v>
      </c>
      <c r="BE529" s="808">
        <f xml:space="preserve"> Debt!BE$443</f>
        <v>0</v>
      </c>
      <c r="BF529" s="808">
        <f xml:space="preserve"> Debt!BF$443</f>
        <v>0</v>
      </c>
      <c r="BG529" s="808">
        <f xml:space="preserve"> Debt!BG$443</f>
        <v>0</v>
      </c>
      <c r="BH529" s="808">
        <f xml:space="preserve"> Debt!BH$443</f>
        <v>0</v>
      </c>
      <c r="BI529" s="808">
        <f xml:space="preserve"> Debt!BI$443</f>
        <v>0</v>
      </c>
      <c r="BJ529" s="808">
        <f xml:space="preserve"> Debt!BJ$443</f>
        <v>0</v>
      </c>
      <c r="BK529" s="808">
        <f xml:space="preserve"> Debt!BK$443</f>
        <v>0</v>
      </c>
      <c r="BL529" s="808">
        <f xml:space="preserve"> Debt!BL$443</f>
        <v>0</v>
      </c>
      <c r="BM529" s="808">
        <f xml:space="preserve"> Debt!BM$443</f>
        <v>0</v>
      </c>
      <c r="BN529" s="808">
        <f xml:space="preserve"> Debt!BN$443</f>
        <v>0</v>
      </c>
      <c r="BO529" s="808">
        <f xml:space="preserve"> Debt!BO$443</f>
        <v>0</v>
      </c>
      <c r="BP529" s="808">
        <f xml:space="preserve"> Debt!BP$443</f>
        <v>0</v>
      </c>
      <c r="BQ529" s="808">
        <f xml:space="preserve"> Debt!BQ$443</f>
        <v>0</v>
      </c>
      <c r="BR529" s="808">
        <f xml:space="preserve"> Debt!BR$443</f>
        <v>0</v>
      </c>
      <c r="BS529" s="808">
        <f xml:space="preserve"> Debt!BS$443</f>
        <v>0</v>
      </c>
      <c r="BT529" s="808">
        <f xml:space="preserve"> Debt!BT$443</f>
        <v>0</v>
      </c>
      <c r="BU529" s="808">
        <f xml:space="preserve"> Debt!BU$443</f>
        <v>0</v>
      </c>
      <c r="BV529" s="808">
        <f xml:space="preserve"> Debt!BV$443</f>
        <v>0</v>
      </c>
      <c r="BW529" s="808">
        <f xml:space="preserve"> Debt!BW$443</f>
        <v>0</v>
      </c>
      <c r="BX529" s="808">
        <f xml:space="preserve"> Debt!BX$443</f>
        <v>0</v>
      </c>
      <c r="BY529" s="808">
        <f xml:space="preserve"> Debt!BY$443</f>
        <v>0</v>
      </c>
      <c r="BZ529" s="808">
        <f xml:space="preserve"> Debt!BZ$443</f>
        <v>0</v>
      </c>
      <c r="CA529" s="808">
        <f xml:space="preserve"> Debt!CA$443</f>
        <v>0</v>
      </c>
      <c r="CB529" s="808">
        <f xml:space="preserve"> Debt!CB$443</f>
        <v>0</v>
      </c>
      <c r="CC529" s="808">
        <f xml:space="preserve"> Debt!CC$443</f>
        <v>0</v>
      </c>
      <c r="CD529" s="808">
        <f xml:space="preserve"> Debt!CD$443</f>
        <v>0</v>
      </c>
      <c r="CE529" s="808">
        <f xml:space="preserve"> Debt!CE$443</f>
        <v>0</v>
      </c>
      <c r="CF529" s="808">
        <f xml:space="preserve"> Debt!CF$443</f>
        <v>0</v>
      </c>
      <c r="CG529" s="808">
        <f xml:space="preserve"> Debt!CG$443</f>
        <v>0</v>
      </c>
      <c r="CH529" s="808">
        <f xml:space="preserve"> Debt!CH$443</f>
        <v>0</v>
      </c>
      <c r="CI529" s="808">
        <f xml:space="preserve"> Debt!CI$443</f>
        <v>0</v>
      </c>
      <c r="CJ529" s="808">
        <f xml:space="preserve"> Debt!CJ$443</f>
        <v>0</v>
      </c>
      <c r="CK529" s="808">
        <f xml:space="preserve"> Debt!CK$443</f>
        <v>0</v>
      </c>
      <c r="CL529" s="808">
        <f xml:space="preserve"> Debt!CL$443</f>
        <v>0</v>
      </c>
      <c r="CM529" s="808">
        <f xml:space="preserve"> Debt!CM$443</f>
        <v>0</v>
      </c>
      <c r="CN529" s="808">
        <f xml:space="preserve"> Debt!CN$443</f>
        <v>0</v>
      </c>
      <c r="CO529" s="808">
        <f xml:space="preserve"> Debt!CO$443</f>
        <v>0</v>
      </c>
      <c r="CP529" s="808">
        <f xml:space="preserve"> Debt!CP$443</f>
        <v>0</v>
      </c>
      <c r="CQ529" s="808">
        <f xml:space="preserve"> Debt!CQ$443</f>
        <v>0</v>
      </c>
      <c r="CR529" s="808">
        <f xml:space="preserve"> Debt!CR$443</f>
        <v>0</v>
      </c>
      <c r="CS529" s="808">
        <f xml:space="preserve"> Debt!CS$443</f>
        <v>0</v>
      </c>
      <c r="CT529" s="808">
        <f xml:space="preserve"> Debt!CT$443</f>
        <v>0</v>
      </c>
      <c r="CU529" s="808">
        <f xml:space="preserve"> Debt!CU$443</f>
        <v>0</v>
      </c>
      <c r="CV529" s="808">
        <f xml:space="preserve"> Debt!CV$443</f>
        <v>0</v>
      </c>
    </row>
    <row r="530" spans="1:100" s="498" customFormat="1" ht="12.75" outlineLevel="2" x14ac:dyDescent="0.2">
      <c r="A530" s="15"/>
      <c r="B530" s="15"/>
      <c r="C530" s="21"/>
      <c r="D530" s="48"/>
      <c r="E530" s="38" t="str">
        <f t="shared" ref="E530:AJ530" si="887" xml:space="preserve"> E$514</f>
        <v>Unpaid shareholder loan interest - P99</v>
      </c>
      <c r="F530" s="38">
        <f t="shared" si="887"/>
        <v>0</v>
      </c>
      <c r="G530" s="38" t="str">
        <f t="shared" si="887"/>
        <v>$ 000s</v>
      </c>
      <c r="H530" s="38">
        <f t="shared" ca="1" si="887"/>
        <v>612051.79399987473</v>
      </c>
      <c r="I530" s="38">
        <f t="shared" si="887"/>
        <v>0</v>
      </c>
      <c r="J530" s="38">
        <f t="shared" ca="1" si="887"/>
        <v>0</v>
      </c>
      <c r="K530" s="38">
        <f t="shared" ca="1" si="887"/>
        <v>0</v>
      </c>
      <c r="L530" s="38">
        <f t="shared" ca="1" si="887"/>
        <v>0</v>
      </c>
      <c r="M530" s="38">
        <f t="shared" ca="1" si="887"/>
        <v>0</v>
      </c>
      <c r="N530" s="38">
        <f t="shared" ca="1" si="887"/>
        <v>0</v>
      </c>
      <c r="O530" s="38">
        <f t="shared" ca="1" si="887"/>
        <v>3845.3975658551053</v>
      </c>
      <c r="P530" s="38">
        <f t="shared" ca="1" si="887"/>
        <v>4556.6886175657473</v>
      </c>
      <c r="Q530" s="38">
        <f t="shared" ca="1" si="887"/>
        <v>4893.026248324798</v>
      </c>
      <c r="R530" s="38">
        <f t="shared" ca="1" si="887"/>
        <v>5151.4436401395706</v>
      </c>
      <c r="S530" s="38">
        <f t="shared" ca="1" si="887"/>
        <v>5523.5806642490415</v>
      </c>
      <c r="T530" s="38">
        <f t="shared" ca="1" si="887"/>
        <v>5827.7026004815425</v>
      </c>
      <c r="U530" s="38">
        <f t="shared" ca="1" si="887"/>
        <v>6225.4979719252005</v>
      </c>
      <c r="V530" s="38">
        <f t="shared" ca="1" si="887"/>
        <v>6579.6112312176665</v>
      </c>
      <c r="W530" s="38">
        <f t="shared" ca="1" si="887"/>
        <v>7038.6088300060628</v>
      </c>
      <c r="X530" s="38">
        <f t="shared" ca="1" si="887"/>
        <v>7418.3898699037936</v>
      </c>
      <c r="Y530" s="38">
        <f t="shared" ca="1" si="887"/>
        <v>7926.9135699275521</v>
      </c>
      <c r="Z530" s="38">
        <f t="shared" ca="1" si="887"/>
        <v>8368.8081152841478</v>
      </c>
      <c r="AA530" s="38">
        <f t="shared" ca="1" si="887"/>
        <v>8934.4897097644371</v>
      </c>
      <c r="AB530" s="38">
        <f t="shared" ca="1" si="887"/>
        <v>9444.4845145713425</v>
      </c>
      <c r="AC530" s="38">
        <f t="shared" ca="1" si="887"/>
        <v>10060.301063210454</v>
      </c>
      <c r="AD530" s="38">
        <f t="shared" ca="1" si="887"/>
        <v>10645.495678376632</v>
      </c>
      <c r="AE530" s="38">
        <f t="shared" ca="1" si="887"/>
        <v>11348.822564424927</v>
      </c>
      <c r="AF530" s="38">
        <f t="shared" ca="1" si="887"/>
        <v>11989.134847851743</v>
      </c>
      <c r="AG530" s="38">
        <f t="shared" ca="1" si="887"/>
        <v>12772.46423447925</v>
      </c>
      <c r="AH530" s="38">
        <f t="shared" ca="1" si="887"/>
        <v>13506.621007012242</v>
      </c>
      <c r="AI530" s="38">
        <f t="shared" ca="1" si="887"/>
        <v>14381.152535253319</v>
      </c>
      <c r="AJ530" s="38">
        <f t="shared" ca="1" si="887"/>
        <v>15219.238948288054</v>
      </c>
      <c r="AK530" s="38">
        <f t="shared" ref="AK530:BP530" ca="1" si="888" xml:space="preserve"> AK$514</f>
        <v>16182.662061805959</v>
      </c>
      <c r="AL530" s="38">
        <f t="shared" ca="1" si="888"/>
        <v>17136.253295745395</v>
      </c>
      <c r="AM530" s="38">
        <f t="shared" ca="1" si="888"/>
        <v>18229.471612303681</v>
      </c>
      <c r="AN530" s="38">
        <f t="shared" ca="1" si="888"/>
        <v>19284.657255340477</v>
      </c>
      <c r="AO530" s="38">
        <f t="shared" ca="1" si="888"/>
        <v>20506.361986429296</v>
      </c>
      <c r="AP530" s="38">
        <f t="shared" ca="1" si="888"/>
        <v>21706.174442905314</v>
      </c>
      <c r="AQ530" s="38">
        <f t="shared" ca="1" si="888"/>
        <v>23073.345667632144</v>
      </c>
      <c r="AR530" s="38">
        <f t="shared" ca="1" si="888"/>
        <v>24434.335586663947</v>
      </c>
      <c r="AS530" s="38">
        <f t="shared" ca="1" si="888"/>
        <v>25951.902696751364</v>
      </c>
      <c r="AT530" s="38">
        <f t="shared" ca="1" si="888"/>
        <v>27492.772150358382</v>
      </c>
      <c r="AU530" s="38">
        <f t="shared" ca="1" si="888"/>
        <v>24347.981611565618</v>
      </c>
      <c r="AV530" s="38">
        <f t="shared" ca="1" si="888"/>
        <v>25824.696781178005</v>
      </c>
      <c r="AW530" s="38">
        <f t="shared" ca="1" si="888"/>
        <v>22580.928795184213</v>
      </c>
      <c r="AX530" s="38">
        <f t="shared" ca="1" si="888"/>
        <v>24011.207345870655</v>
      </c>
      <c r="AY530" s="38">
        <f t="shared" ca="1" si="888"/>
        <v>25521.085237092142</v>
      </c>
      <c r="AZ530" s="38">
        <f t="shared" ca="1" si="888"/>
        <v>27127.729325886387</v>
      </c>
      <c r="BA530" s="38">
        <f t="shared" ca="1" si="888"/>
        <v>28826.866399575571</v>
      </c>
      <c r="BB530" s="38">
        <f t="shared" ca="1" si="888"/>
        <v>28155.487719473698</v>
      </c>
      <c r="BC530" s="38">
        <f t="shared" ca="1" si="888"/>
        <v>0</v>
      </c>
      <c r="BD530" s="38">
        <f t="shared" ca="1" si="888"/>
        <v>0</v>
      </c>
      <c r="BE530" s="38">
        <f t="shared" ca="1" si="888"/>
        <v>0</v>
      </c>
      <c r="BF530" s="38">
        <f t="shared" ca="1" si="888"/>
        <v>0</v>
      </c>
      <c r="BG530" s="38">
        <f t="shared" ca="1" si="888"/>
        <v>0</v>
      </c>
      <c r="BH530" s="38">
        <f t="shared" ca="1" si="888"/>
        <v>0</v>
      </c>
      <c r="BI530" s="38">
        <f t="shared" ca="1" si="888"/>
        <v>0</v>
      </c>
      <c r="BJ530" s="38">
        <f t="shared" ca="1" si="888"/>
        <v>0</v>
      </c>
      <c r="BK530" s="38">
        <f t="shared" ca="1" si="888"/>
        <v>0</v>
      </c>
      <c r="BL530" s="38">
        <f t="shared" ca="1" si="888"/>
        <v>0</v>
      </c>
      <c r="BM530" s="38">
        <f t="shared" ca="1" si="888"/>
        <v>0</v>
      </c>
      <c r="BN530" s="38">
        <f t="shared" ca="1" si="888"/>
        <v>0</v>
      </c>
      <c r="BO530" s="38">
        <f t="shared" ca="1" si="888"/>
        <v>0</v>
      </c>
      <c r="BP530" s="38">
        <f t="shared" ca="1" si="888"/>
        <v>0</v>
      </c>
      <c r="BQ530" s="38">
        <f t="shared" ref="BQ530:CV530" ca="1" si="889" xml:space="preserve"> BQ$514</f>
        <v>0</v>
      </c>
      <c r="BR530" s="38">
        <f t="shared" ca="1" si="889"/>
        <v>0</v>
      </c>
      <c r="BS530" s="38">
        <f t="shared" ca="1" si="889"/>
        <v>0</v>
      </c>
      <c r="BT530" s="38">
        <f t="shared" ca="1" si="889"/>
        <v>0</v>
      </c>
      <c r="BU530" s="38">
        <f t="shared" ca="1" si="889"/>
        <v>0</v>
      </c>
      <c r="BV530" s="38">
        <f t="shared" ca="1" si="889"/>
        <v>0</v>
      </c>
      <c r="BW530" s="38">
        <f t="shared" ca="1" si="889"/>
        <v>0</v>
      </c>
      <c r="BX530" s="38">
        <f t="shared" ca="1" si="889"/>
        <v>0</v>
      </c>
      <c r="BY530" s="38">
        <f t="shared" ca="1" si="889"/>
        <v>0</v>
      </c>
      <c r="BZ530" s="38">
        <f t="shared" ca="1" si="889"/>
        <v>0</v>
      </c>
      <c r="CA530" s="38">
        <f t="shared" ca="1" si="889"/>
        <v>0</v>
      </c>
      <c r="CB530" s="38">
        <f t="shared" ca="1" si="889"/>
        <v>0</v>
      </c>
      <c r="CC530" s="38">
        <f t="shared" ca="1" si="889"/>
        <v>0</v>
      </c>
      <c r="CD530" s="38">
        <f t="shared" ca="1" si="889"/>
        <v>0</v>
      </c>
      <c r="CE530" s="38">
        <f t="shared" ca="1" si="889"/>
        <v>0</v>
      </c>
      <c r="CF530" s="38">
        <f t="shared" ca="1" si="889"/>
        <v>0</v>
      </c>
      <c r="CG530" s="38">
        <f t="shared" ca="1" si="889"/>
        <v>0</v>
      </c>
      <c r="CH530" s="38">
        <f t="shared" ca="1" si="889"/>
        <v>0</v>
      </c>
      <c r="CI530" s="38">
        <f t="shared" ca="1" si="889"/>
        <v>0</v>
      </c>
      <c r="CJ530" s="38">
        <f t="shared" ca="1" si="889"/>
        <v>0</v>
      </c>
      <c r="CK530" s="38">
        <f t="shared" ca="1" si="889"/>
        <v>0</v>
      </c>
      <c r="CL530" s="38">
        <f t="shared" ca="1" si="889"/>
        <v>0</v>
      </c>
      <c r="CM530" s="38">
        <f t="shared" ca="1" si="889"/>
        <v>0</v>
      </c>
      <c r="CN530" s="38">
        <f t="shared" ca="1" si="889"/>
        <v>0</v>
      </c>
      <c r="CO530" s="38">
        <f t="shared" ca="1" si="889"/>
        <v>0</v>
      </c>
      <c r="CP530" s="38">
        <f t="shared" ca="1" si="889"/>
        <v>0</v>
      </c>
      <c r="CQ530" s="38">
        <f t="shared" ca="1" si="889"/>
        <v>0</v>
      </c>
      <c r="CR530" s="38">
        <f t="shared" ca="1" si="889"/>
        <v>0</v>
      </c>
      <c r="CS530" s="38">
        <f t="shared" ca="1" si="889"/>
        <v>0</v>
      </c>
      <c r="CT530" s="38">
        <f t="shared" ca="1" si="889"/>
        <v>0</v>
      </c>
      <c r="CU530" s="38">
        <f t="shared" ca="1" si="889"/>
        <v>0</v>
      </c>
      <c r="CV530" s="38">
        <f t="shared" ca="1" si="889"/>
        <v>0</v>
      </c>
    </row>
    <row r="531" spans="1:100" s="498" customFormat="1" ht="12.75" outlineLevel="2" x14ac:dyDescent="0.2">
      <c r="A531" s="15"/>
      <c r="B531" s="15"/>
      <c r="C531" s="21"/>
      <c r="D531" s="48"/>
      <c r="E531" s="38" t="str">
        <f t="shared" ref="E531:AJ531" si="890" xml:space="preserve"> E$523</f>
        <v>Shareholder loan principal repayment - P99 POS</v>
      </c>
      <c r="F531" s="38">
        <f t="shared" si="890"/>
        <v>0</v>
      </c>
      <c r="G531" s="38" t="str">
        <f t="shared" si="890"/>
        <v>$ 000s</v>
      </c>
      <c r="H531" s="38">
        <f t="shared" ca="1" si="890"/>
        <v>0</v>
      </c>
      <c r="I531" s="38">
        <f t="shared" si="890"/>
        <v>0</v>
      </c>
      <c r="J531" s="38">
        <f t="shared" ca="1" si="890"/>
        <v>0</v>
      </c>
      <c r="K531" s="38">
        <f t="shared" ca="1" si="890"/>
        <v>0</v>
      </c>
      <c r="L531" s="38">
        <f t="shared" ca="1" si="890"/>
        <v>0</v>
      </c>
      <c r="M531" s="38">
        <f t="shared" ca="1" si="890"/>
        <v>0</v>
      </c>
      <c r="N531" s="38">
        <f t="shared" ca="1" si="890"/>
        <v>0</v>
      </c>
      <c r="O531" s="38">
        <f t="shared" ca="1" si="890"/>
        <v>0</v>
      </c>
      <c r="P531" s="38">
        <f t="shared" ca="1" si="890"/>
        <v>0</v>
      </c>
      <c r="Q531" s="38">
        <f t="shared" ca="1" si="890"/>
        <v>0</v>
      </c>
      <c r="R531" s="38">
        <f t="shared" ca="1" si="890"/>
        <v>0</v>
      </c>
      <c r="S531" s="38">
        <f t="shared" ca="1" si="890"/>
        <v>0</v>
      </c>
      <c r="T531" s="38">
        <f t="shared" ca="1" si="890"/>
        <v>0</v>
      </c>
      <c r="U531" s="38">
        <f t="shared" ca="1" si="890"/>
        <v>0</v>
      </c>
      <c r="V531" s="38">
        <f t="shared" ca="1" si="890"/>
        <v>0</v>
      </c>
      <c r="W531" s="38">
        <f t="shared" ca="1" si="890"/>
        <v>0</v>
      </c>
      <c r="X531" s="38">
        <f t="shared" ca="1" si="890"/>
        <v>0</v>
      </c>
      <c r="Y531" s="38">
        <f t="shared" ca="1" si="890"/>
        <v>0</v>
      </c>
      <c r="Z531" s="38">
        <f t="shared" ca="1" si="890"/>
        <v>0</v>
      </c>
      <c r="AA531" s="38">
        <f t="shared" ca="1" si="890"/>
        <v>0</v>
      </c>
      <c r="AB531" s="38">
        <f t="shared" ca="1" si="890"/>
        <v>0</v>
      </c>
      <c r="AC531" s="38">
        <f t="shared" ca="1" si="890"/>
        <v>0</v>
      </c>
      <c r="AD531" s="38">
        <f t="shared" ca="1" si="890"/>
        <v>0</v>
      </c>
      <c r="AE531" s="38">
        <f t="shared" ca="1" si="890"/>
        <v>0</v>
      </c>
      <c r="AF531" s="38">
        <f t="shared" ca="1" si="890"/>
        <v>0</v>
      </c>
      <c r="AG531" s="38">
        <f t="shared" ca="1" si="890"/>
        <v>0</v>
      </c>
      <c r="AH531" s="38">
        <f t="shared" ca="1" si="890"/>
        <v>0</v>
      </c>
      <c r="AI531" s="38">
        <f t="shared" ca="1" si="890"/>
        <v>0</v>
      </c>
      <c r="AJ531" s="38">
        <f t="shared" ca="1" si="890"/>
        <v>0</v>
      </c>
      <c r="AK531" s="38">
        <f t="shared" ref="AK531:BP531" ca="1" si="891" xml:space="preserve"> AK$523</f>
        <v>0</v>
      </c>
      <c r="AL531" s="38">
        <f t="shared" ca="1" si="891"/>
        <v>0</v>
      </c>
      <c r="AM531" s="38">
        <f t="shared" ca="1" si="891"/>
        <v>0</v>
      </c>
      <c r="AN531" s="38">
        <f t="shared" ca="1" si="891"/>
        <v>0</v>
      </c>
      <c r="AO531" s="38">
        <f t="shared" ca="1" si="891"/>
        <v>0</v>
      </c>
      <c r="AP531" s="38">
        <f t="shared" ca="1" si="891"/>
        <v>0</v>
      </c>
      <c r="AQ531" s="38">
        <f t="shared" ca="1" si="891"/>
        <v>0</v>
      </c>
      <c r="AR531" s="38">
        <f t="shared" ca="1" si="891"/>
        <v>0</v>
      </c>
      <c r="AS531" s="38">
        <f t="shared" ca="1" si="891"/>
        <v>0</v>
      </c>
      <c r="AT531" s="38">
        <f t="shared" ca="1" si="891"/>
        <v>0</v>
      </c>
      <c r="AU531" s="38">
        <f t="shared" ca="1" si="891"/>
        <v>0</v>
      </c>
      <c r="AV531" s="38">
        <f t="shared" ca="1" si="891"/>
        <v>0</v>
      </c>
      <c r="AW531" s="38">
        <f t="shared" ca="1" si="891"/>
        <v>0</v>
      </c>
      <c r="AX531" s="38">
        <f t="shared" ca="1" si="891"/>
        <v>0</v>
      </c>
      <c r="AY531" s="38">
        <f t="shared" ca="1" si="891"/>
        <v>0</v>
      </c>
      <c r="AZ531" s="38">
        <f t="shared" ca="1" si="891"/>
        <v>0</v>
      </c>
      <c r="BA531" s="38">
        <f t="shared" ca="1" si="891"/>
        <v>0</v>
      </c>
      <c r="BB531" s="38">
        <f t="shared" ca="1" si="891"/>
        <v>0</v>
      </c>
      <c r="BC531" s="38">
        <f t="shared" ca="1" si="891"/>
        <v>0</v>
      </c>
      <c r="BD531" s="38">
        <f t="shared" ca="1" si="891"/>
        <v>0</v>
      </c>
      <c r="BE531" s="38">
        <f t="shared" ca="1" si="891"/>
        <v>0</v>
      </c>
      <c r="BF531" s="38">
        <f t="shared" ca="1" si="891"/>
        <v>0</v>
      </c>
      <c r="BG531" s="38">
        <f t="shared" ca="1" si="891"/>
        <v>0</v>
      </c>
      <c r="BH531" s="38">
        <f t="shared" ca="1" si="891"/>
        <v>0</v>
      </c>
      <c r="BI531" s="38">
        <f t="shared" ca="1" si="891"/>
        <v>0</v>
      </c>
      <c r="BJ531" s="38">
        <f t="shared" ca="1" si="891"/>
        <v>0</v>
      </c>
      <c r="BK531" s="38">
        <f t="shared" ca="1" si="891"/>
        <v>0</v>
      </c>
      <c r="BL531" s="38">
        <f t="shared" ca="1" si="891"/>
        <v>0</v>
      </c>
      <c r="BM531" s="38">
        <f t="shared" ca="1" si="891"/>
        <v>0</v>
      </c>
      <c r="BN531" s="38">
        <f t="shared" ca="1" si="891"/>
        <v>0</v>
      </c>
      <c r="BO531" s="38">
        <f t="shared" ca="1" si="891"/>
        <v>0</v>
      </c>
      <c r="BP531" s="38">
        <f t="shared" ca="1" si="891"/>
        <v>0</v>
      </c>
      <c r="BQ531" s="38">
        <f t="shared" ref="BQ531:CV531" ca="1" si="892" xml:space="preserve"> BQ$523</f>
        <v>0</v>
      </c>
      <c r="BR531" s="38">
        <f t="shared" ca="1" si="892"/>
        <v>0</v>
      </c>
      <c r="BS531" s="38">
        <f t="shared" ca="1" si="892"/>
        <v>0</v>
      </c>
      <c r="BT531" s="38">
        <f t="shared" ca="1" si="892"/>
        <v>0</v>
      </c>
      <c r="BU531" s="38">
        <f t="shared" ca="1" si="892"/>
        <v>0</v>
      </c>
      <c r="BV531" s="38">
        <f t="shared" ca="1" si="892"/>
        <v>0</v>
      </c>
      <c r="BW531" s="38">
        <f t="shared" ca="1" si="892"/>
        <v>0</v>
      </c>
      <c r="BX531" s="38">
        <f t="shared" ca="1" si="892"/>
        <v>0</v>
      </c>
      <c r="BY531" s="38">
        <f t="shared" ca="1" si="892"/>
        <v>0</v>
      </c>
      <c r="BZ531" s="38">
        <f t="shared" ca="1" si="892"/>
        <v>0</v>
      </c>
      <c r="CA531" s="38">
        <f t="shared" ca="1" si="892"/>
        <v>0</v>
      </c>
      <c r="CB531" s="38">
        <f t="shared" ca="1" si="892"/>
        <v>0</v>
      </c>
      <c r="CC531" s="38">
        <f t="shared" ca="1" si="892"/>
        <v>0</v>
      </c>
      <c r="CD531" s="38">
        <f t="shared" ca="1" si="892"/>
        <v>0</v>
      </c>
      <c r="CE531" s="38">
        <f t="shared" ca="1" si="892"/>
        <v>0</v>
      </c>
      <c r="CF531" s="38">
        <f t="shared" ca="1" si="892"/>
        <v>0</v>
      </c>
      <c r="CG531" s="38">
        <f t="shared" ca="1" si="892"/>
        <v>0</v>
      </c>
      <c r="CH531" s="38">
        <f t="shared" ca="1" si="892"/>
        <v>0</v>
      </c>
      <c r="CI531" s="38">
        <f t="shared" ca="1" si="892"/>
        <v>0</v>
      </c>
      <c r="CJ531" s="38">
        <f t="shared" ca="1" si="892"/>
        <v>0</v>
      </c>
      <c r="CK531" s="38">
        <f t="shared" ca="1" si="892"/>
        <v>0</v>
      </c>
      <c r="CL531" s="38">
        <f t="shared" ca="1" si="892"/>
        <v>0</v>
      </c>
      <c r="CM531" s="38">
        <f t="shared" ca="1" si="892"/>
        <v>0</v>
      </c>
      <c r="CN531" s="38">
        <f t="shared" ca="1" si="892"/>
        <v>0</v>
      </c>
      <c r="CO531" s="38">
        <f t="shared" ca="1" si="892"/>
        <v>0</v>
      </c>
      <c r="CP531" s="38">
        <f t="shared" ca="1" si="892"/>
        <v>0</v>
      </c>
      <c r="CQ531" s="38">
        <f t="shared" ca="1" si="892"/>
        <v>0</v>
      </c>
      <c r="CR531" s="38">
        <f t="shared" ca="1" si="892"/>
        <v>0</v>
      </c>
      <c r="CS531" s="38">
        <f t="shared" ca="1" si="892"/>
        <v>0</v>
      </c>
      <c r="CT531" s="38">
        <f t="shared" ca="1" si="892"/>
        <v>0</v>
      </c>
      <c r="CU531" s="38">
        <f t="shared" ca="1" si="892"/>
        <v>0</v>
      </c>
      <c r="CV531" s="38">
        <f t="shared" ca="1" si="892"/>
        <v>0</v>
      </c>
    </row>
    <row r="532" spans="1:100" s="541" customFormat="1" ht="12.75" outlineLevel="2" x14ac:dyDescent="0.2">
      <c r="A532" s="391"/>
      <c r="B532" s="391"/>
      <c r="C532" s="392"/>
      <c r="D532" s="627" t="s">
        <v>372</v>
      </c>
      <c r="E532" s="394" t="s">
        <v>1194</v>
      </c>
      <c r="F532" s="394"/>
      <c r="G532" s="394" t="str">
        <f xml:space="preserve"> SMU</f>
        <v>$ 000s</v>
      </c>
      <c r="H532" s="394"/>
      <c r="I532" s="395"/>
      <c r="J532" s="394">
        <f t="shared" ref="J532:AO532" ca="1" si="893" xml:space="preserve"> SUM(J527:J530) - J531</f>
        <v>0</v>
      </c>
      <c r="K532" s="394">
        <f t="shared" ca="1" si="893"/>
        <v>0</v>
      </c>
      <c r="L532" s="394">
        <f t="shared" ca="1" si="893"/>
        <v>0</v>
      </c>
      <c r="M532" s="394">
        <f t="shared" ca="1" si="893"/>
        <v>0</v>
      </c>
      <c r="N532" s="394">
        <f t="shared" ca="1" si="893"/>
        <v>86318.253106861201</v>
      </c>
      <c r="O532" s="394">
        <f t="shared" ca="1" si="893"/>
        <v>90163.650672716307</v>
      </c>
      <c r="P532" s="394">
        <f t="shared" ca="1" si="893"/>
        <v>94720.339290282049</v>
      </c>
      <c r="Q532" s="394">
        <f t="shared" ca="1" si="893"/>
        <v>99613.365538606842</v>
      </c>
      <c r="R532" s="394">
        <f t="shared" ca="1" si="893"/>
        <v>104764.80917874641</v>
      </c>
      <c r="S532" s="394">
        <f t="shared" ca="1" si="893"/>
        <v>110288.38984299544</v>
      </c>
      <c r="T532" s="394">
        <f t="shared" ca="1" si="893"/>
        <v>116116.09244347698</v>
      </c>
      <c r="U532" s="394">
        <f t="shared" ca="1" si="893"/>
        <v>122341.59041540218</v>
      </c>
      <c r="V532" s="394">
        <f t="shared" ca="1" si="893"/>
        <v>128921.20164661985</v>
      </c>
      <c r="W532" s="394">
        <f t="shared" ca="1" si="893"/>
        <v>135959.81047662592</v>
      </c>
      <c r="X532" s="394">
        <f t="shared" ca="1" si="893"/>
        <v>143378.20034652972</v>
      </c>
      <c r="Y532" s="394">
        <f t="shared" ca="1" si="893"/>
        <v>151305.11391645728</v>
      </c>
      <c r="Z532" s="394">
        <f t="shared" ca="1" si="893"/>
        <v>159673.92203174141</v>
      </c>
      <c r="AA532" s="394">
        <f t="shared" ca="1" si="893"/>
        <v>168608.41174150584</v>
      </c>
      <c r="AB532" s="394">
        <f t="shared" ca="1" si="893"/>
        <v>178052.89625607719</v>
      </c>
      <c r="AC532" s="394">
        <f t="shared" ca="1" si="893"/>
        <v>188113.19731928763</v>
      </c>
      <c r="AD532" s="394">
        <f t="shared" ca="1" si="893"/>
        <v>198758.69299766427</v>
      </c>
      <c r="AE532" s="394">
        <f t="shared" ca="1" si="893"/>
        <v>210107.51556208919</v>
      </c>
      <c r="AF532" s="394">
        <f t="shared" ca="1" si="893"/>
        <v>222096.65040994092</v>
      </c>
      <c r="AG532" s="394">
        <f t="shared" ca="1" si="893"/>
        <v>234869.11464442016</v>
      </c>
      <c r="AH532" s="394">
        <f t="shared" ca="1" si="893"/>
        <v>248375.73565143239</v>
      </c>
      <c r="AI532" s="394">
        <f t="shared" ca="1" si="893"/>
        <v>262756.88818668568</v>
      </c>
      <c r="AJ532" s="394">
        <f t="shared" ca="1" si="893"/>
        <v>277976.12713497377</v>
      </c>
      <c r="AK532" s="394">
        <f t="shared" ca="1" si="893"/>
        <v>294158.78919677972</v>
      </c>
      <c r="AL532" s="394">
        <f t="shared" ca="1" si="893"/>
        <v>311295.04249252513</v>
      </c>
      <c r="AM532" s="394">
        <f t="shared" ca="1" si="893"/>
        <v>329524.51410482882</v>
      </c>
      <c r="AN532" s="394">
        <f t="shared" ca="1" si="893"/>
        <v>348809.1713601693</v>
      </c>
      <c r="AO532" s="394">
        <f t="shared" ca="1" si="893"/>
        <v>369315.53334659862</v>
      </c>
      <c r="AP532" s="394">
        <f t="shared" ref="AP532:BU532" ca="1" si="894" xml:space="preserve"> SUM(AP527:AP530) - AP531</f>
        <v>391021.70778950391</v>
      </c>
      <c r="AQ532" s="394">
        <f t="shared" ca="1" si="894"/>
        <v>414095.05345713603</v>
      </c>
      <c r="AR532" s="394">
        <f t="shared" ca="1" si="894"/>
        <v>438529.38904379995</v>
      </c>
      <c r="AS532" s="394">
        <f t="shared" ca="1" si="894"/>
        <v>464481.2917405513</v>
      </c>
      <c r="AT532" s="394">
        <f t="shared" ca="1" si="894"/>
        <v>491974.06389090966</v>
      </c>
      <c r="AU532" s="394">
        <f t="shared" ca="1" si="894"/>
        <v>516322.04550247529</v>
      </c>
      <c r="AV532" s="394">
        <f t="shared" ca="1" si="894"/>
        <v>542146.74228365324</v>
      </c>
      <c r="AW532" s="394">
        <f t="shared" ca="1" si="894"/>
        <v>564727.67107883748</v>
      </c>
      <c r="AX532" s="394">
        <f t="shared" ca="1" si="894"/>
        <v>588738.87842470815</v>
      </c>
      <c r="AY532" s="394">
        <f t="shared" ca="1" si="894"/>
        <v>614259.96366180026</v>
      </c>
      <c r="AZ532" s="394">
        <f t="shared" ca="1" si="894"/>
        <v>641387.69298768661</v>
      </c>
      <c r="BA532" s="394">
        <f t="shared" ca="1" si="894"/>
        <v>670214.55938726221</v>
      </c>
      <c r="BB532" s="394">
        <f t="shared" ca="1" si="894"/>
        <v>698370.04710673587</v>
      </c>
      <c r="BC532" s="394">
        <f t="shared" ca="1" si="894"/>
        <v>698370.04710673587</v>
      </c>
      <c r="BD532" s="394">
        <f t="shared" ca="1" si="894"/>
        <v>698370.04710673587</v>
      </c>
      <c r="BE532" s="394">
        <f t="shared" ca="1" si="894"/>
        <v>698370.04710673587</v>
      </c>
      <c r="BF532" s="394">
        <f t="shared" ca="1" si="894"/>
        <v>698370.04710673587</v>
      </c>
      <c r="BG532" s="394">
        <f t="shared" ca="1" si="894"/>
        <v>698370.04710673587</v>
      </c>
      <c r="BH532" s="394">
        <f t="shared" ca="1" si="894"/>
        <v>698370.04710673587</v>
      </c>
      <c r="BI532" s="394">
        <f t="shared" ca="1" si="894"/>
        <v>698370.04710673587</v>
      </c>
      <c r="BJ532" s="394">
        <f t="shared" ca="1" si="894"/>
        <v>698370.04710673587</v>
      </c>
      <c r="BK532" s="394">
        <f t="shared" ca="1" si="894"/>
        <v>698370.04710673587</v>
      </c>
      <c r="BL532" s="394">
        <f t="shared" ca="1" si="894"/>
        <v>698370.04710673587</v>
      </c>
      <c r="BM532" s="394">
        <f t="shared" ca="1" si="894"/>
        <v>698370.04710673587</v>
      </c>
      <c r="BN532" s="394">
        <f t="shared" ca="1" si="894"/>
        <v>698370.04710673587</v>
      </c>
      <c r="BO532" s="394">
        <f t="shared" ca="1" si="894"/>
        <v>698370.04710673587</v>
      </c>
      <c r="BP532" s="394">
        <f t="shared" ca="1" si="894"/>
        <v>698370.04710673587</v>
      </c>
      <c r="BQ532" s="394">
        <f t="shared" ca="1" si="894"/>
        <v>698370.04710673587</v>
      </c>
      <c r="BR532" s="394">
        <f t="shared" ca="1" si="894"/>
        <v>698370.04710673587</v>
      </c>
      <c r="BS532" s="394">
        <f t="shared" ca="1" si="894"/>
        <v>698370.04710673587</v>
      </c>
      <c r="BT532" s="394">
        <f t="shared" ca="1" si="894"/>
        <v>698370.04710673587</v>
      </c>
      <c r="BU532" s="394">
        <f t="shared" ca="1" si="894"/>
        <v>698370.04710673587</v>
      </c>
      <c r="BV532" s="394">
        <f t="shared" ref="BV532:CV532" ca="1" si="895" xml:space="preserve"> SUM(BV527:BV530) - BV531</f>
        <v>698370.04710673587</v>
      </c>
      <c r="BW532" s="394">
        <f t="shared" ca="1" si="895"/>
        <v>698370.04710673587</v>
      </c>
      <c r="BX532" s="394">
        <f t="shared" ca="1" si="895"/>
        <v>698370.04710673587</v>
      </c>
      <c r="BY532" s="394">
        <f t="shared" ca="1" si="895"/>
        <v>698370.04710673587</v>
      </c>
      <c r="BZ532" s="394">
        <f t="shared" ca="1" si="895"/>
        <v>698370.04710673587</v>
      </c>
      <c r="CA532" s="394">
        <f t="shared" ca="1" si="895"/>
        <v>698370.04710673587</v>
      </c>
      <c r="CB532" s="394">
        <f t="shared" ca="1" si="895"/>
        <v>698370.04710673587</v>
      </c>
      <c r="CC532" s="394">
        <f t="shared" ca="1" si="895"/>
        <v>698370.04710673587</v>
      </c>
      <c r="CD532" s="394">
        <f t="shared" ca="1" si="895"/>
        <v>698370.04710673587</v>
      </c>
      <c r="CE532" s="394">
        <f t="shared" ca="1" si="895"/>
        <v>698370.04710673587</v>
      </c>
      <c r="CF532" s="394">
        <f t="shared" ca="1" si="895"/>
        <v>698370.04710673587</v>
      </c>
      <c r="CG532" s="394">
        <f t="shared" ca="1" si="895"/>
        <v>698370.04710673587</v>
      </c>
      <c r="CH532" s="394">
        <f t="shared" ca="1" si="895"/>
        <v>698370.04710673587</v>
      </c>
      <c r="CI532" s="394">
        <f t="shared" ca="1" si="895"/>
        <v>698370.04710673587</v>
      </c>
      <c r="CJ532" s="394">
        <f t="shared" ca="1" si="895"/>
        <v>698370.04710673587</v>
      </c>
      <c r="CK532" s="394">
        <f t="shared" ca="1" si="895"/>
        <v>698370.04710673587</v>
      </c>
      <c r="CL532" s="394">
        <f t="shared" ca="1" si="895"/>
        <v>698370.04710673587</v>
      </c>
      <c r="CM532" s="394">
        <f t="shared" ca="1" si="895"/>
        <v>698370.04710673587</v>
      </c>
      <c r="CN532" s="394">
        <f t="shared" ca="1" si="895"/>
        <v>698370.04710673587</v>
      </c>
      <c r="CO532" s="394">
        <f t="shared" ca="1" si="895"/>
        <v>698370.04710673587</v>
      </c>
      <c r="CP532" s="394">
        <f t="shared" ca="1" si="895"/>
        <v>698370.04710673587</v>
      </c>
      <c r="CQ532" s="394">
        <f t="shared" ca="1" si="895"/>
        <v>698370.04710673587</v>
      </c>
      <c r="CR532" s="394">
        <f t="shared" ca="1" si="895"/>
        <v>698370.04710673587</v>
      </c>
      <c r="CS532" s="394">
        <f t="shared" ca="1" si="895"/>
        <v>698370.04710673587</v>
      </c>
      <c r="CT532" s="394">
        <f t="shared" ca="1" si="895"/>
        <v>698370.04710673587</v>
      </c>
      <c r="CU532" s="394">
        <f t="shared" ca="1" si="895"/>
        <v>698370.04710673587</v>
      </c>
      <c r="CV532" s="394">
        <f t="shared" ca="1" si="895"/>
        <v>698370.04710673587</v>
      </c>
    </row>
    <row r="533" spans="1:100" ht="12.75" outlineLevel="2" x14ac:dyDescent="0.2"/>
    <row r="534" spans="1:100" ht="12.75" x14ac:dyDescent="0.2"/>
    <row r="535" spans="1:100" ht="12.75" x14ac:dyDescent="0.2">
      <c r="A535" s="79" t="s">
        <v>471</v>
      </c>
      <c r="B535" s="79"/>
      <c r="C535" s="561"/>
      <c r="D535" s="60"/>
      <c r="E535" s="32"/>
      <c r="F535" s="32"/>
      <c r="G535" s="32"/>
      <c r="H535" s="32"/>
      <c r="I535" s="32"/>
      <c r="J535" s="32"/>
      <c r="K535" s="32"/>
      <c r="L535" s="32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</row>
    <row r="536" spans="1:100" ht="12.75" outlineLevel="1" x14ac:dyDescent="0.2">
      <c r="A536" s="79"/>
      <c r="B536" s="79"/>
      <c r="C536" s="561"/>
      <c r="D536" s="60"/>
      <c r="E536" s="32"/>
      <c r="F536" s="32"/>
      <c r="G536" s="32"/>
      <c r="H536" s="32"/>
      <c r="I536" s="32"/>
      <c r="J536" s="32"/>
      <c r="K536" s="32"/>
      <c r="L536" s="32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</row>
    <row r="537" spans="1:100" s="495" customFormat="1" ht="12.75" outlineLevel="1" x14ac:dyDescent="0.2">
      <c r="A537" s="236"/>
      <c r="B537" s="236"/>
      <c r="C537" s="237"/>
      <c r="D537" s="238"/>
      <c r="E537" s="68" t="str">
        <f xml:space="preserve"> InpC!E$360</f>
        <v>WCF active switch</v>
      </c>
      <c r="F537" s="68">
        <f xml:space="preserve"> InpC!F$360</f>
        <v>0</v>
      </c>
      <c r="G537" s="68" t="str">
        <f xml:space="preserve"> InpC!G$360</f>
        <v>1 = yes, 0 = no</v>
      </c>
      <c r="H537" s="235"/>
      <c r="I537" s="235"/>
      <c r="J537" s="235"/>
      <c r="K537" s="235"/>
      <c r="L537" s="235"/>
      <c r="M537" s="235"/>
      <c r="N537" s="235"/>
      <c r="O537" s="235"/>
      <c r="P537" s="235"/>
      <c r="Q537" s="235"/>
      <c r="R537" s="235"/>
      <c r="S537" s="235"/>
      <c r="T537" s="235"/>
      <c r="U537" s="235"/>
      <c r="V537" s="235"/>
      <c r="W537" s="235"/>
      <c r="X537" s="235"/>
      <c r="Y537" s="235"/>
      <c r="Z537" s="235"/>
      <c r="AA537" s="235"/>
      <c r="AB537" s="235"/>
      <c r="AC537" s="235"/>
      <c r="AD537" s="235"/>
      <c r="AE537" s="235"/>
      <c r="AF537" s="235"/>
      <c r="AG537" s="235"/>
      <c r="AH537" s="235"/>
      <c r="AI537" s="235"/>
      <c r="AJ537" s="235"/>
      <c r="AK537" s="235"/>
      <c r="AL537" s="235"/>
      <c r="AM537" s="235"/>
      <c r="AN537" s="235"/>
      <c r="AO537" s="235"/>
      <c r="AP537" s="235"/>
      <c r="AQ537" s="235"/>
      <c r="AR537" s="235"/>
      <c r="AS537" s="235"/>
      <c r="AT537" s="235"/>
      <c r="AU537" s="235"/>
      <c r="AV537" s="235"/>
      <c r="AW537" s="235"/>
      <c r="AX537" s="235"/>
      <c r="AY537" s="235"/>
      <c r="AZ537" s="235"/>
      <c r="BA537" s="235"/>
      <c r="BB537" s="235"/>
      <c r="BC537" s="235"/>
      <c r="BD537" s="235"/>
      <c r="BE537" s="235"/>
      <c r="BF537" s="235"/>
      <c r="BG537" s="235"/>
      <c r="BH537" s="235"/>
      <c r="BI537" s="235"/>
      <c r="BJ537" s="235"/>
      <c r="BK537" s="235"/>
      <c r="BL537" s="235"/>
      <c r="BM537" s="235"/>
      <c r="BN537" s="235"/>
      <c r="BO537" s="235"/>
      <c r="BP537" s="235"/>
      <c r="BQ537" s="235"/>
      <c r="BR537" s="235"/>
      <c r="BS537" s="235"/>
      <c r="BT537" s="235"/>
      <c r="BU537" s="235"/>
      <c r="BV537" s="235"/>
      <c r="BW537" s="235"/>
      <c r="BX537" s="235"/>
      <c r="BY537" s="235"/>
      <c r="BZ537" s="235"/>
      <c r="CA537" s="235"/>
      <c r="CB537" s="235"/>
      <c r="CC537" s="235"/>
      <c r="CD537" s="235"/>
      <c r="CE537" s="235"/>
      <c r="CF537" s="235"/>
      <c r="CG537" s="235"/>
      <c r="CH537" s="235"/>
      <c r="CI537" s="235"/>
      <c r="CJ537" s="235"/>
      <c r="CK537" s="235"/>
      <c r="CL537" s="235"/>
      <c r="CM537" s="235"/>
      <c r="CN537" s="235"/>
      <c r="CO537" s="235"/>
      <c r="CP537" s="235"/>
      <c r="CQ537" s="235"/>
      <c r="CR537" s="235"/>
      <c r="CS537" s="235"/>
      <c r="CT537" s="235"/>
      <c r="CU537" s="235"/>
      <c r="CV537" s="235"/>
    </row>
    <row r="538" spans="1:100" ht="12.75" outlineLevel="1" x14ac:dyDescent="0.2">
      <c r="A538" s="639"/>
      <c r="B538" s="639"/>
      <c r="C538" s="640"/>
      <c r="D538" s="641"/>
      <c r="E538" s="125" t="str">
        <f xml:space="preserve"> InpC!E$363</f>
        <v>WCF commitment amount</v>
      </c>
      <c r="F538" s="125">
        <f xml:space="preserve"> InpC!F$363</f>
        <v>6500</v>
      </c>
      <c r="G538" s="125" t="str">
        <f xml:space="preserve"> InpC!G$363</f>
        <v>$ 000s</v>
      </c>
      <c r="H538" s="125"/>
      <c r="I538" s="125"/>
      <c r="J538" s="125"/>
      <c r="K538" s="125"/>
      <c r="L538" s="1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</row>
    <row r="539" spans="1:100" ht="12.75" outlineLevel="1" x14ac:dyDescent="0.2">
      <c r="A539" s="79"/>
      <c r="B539" s="79"/>
      <c r="C539" s="561"/>
      <c r="D539" s="60"/>
      <c r="E539" s="32" t="str">
        <f t="shared" ref="E539:AJ539" si="896" xml:space="preserve"> E$608</f>
        <v>WCF balance BEG</v>
      </c>
      <c r="F539" s="32">
        <f t="shared" si="896"/>
        <v>0</v>
      </c>
      <c r="G539" s="32" t="str">
        <f t="shared" si="896"/>
        <v>$ 000s</v>
      </c>
      <c r="H539" s="32">
        <f t="shared" si="896"/>
        <v>0</v>
      </c>
      <c r="I539" s="32">
        <f t="shared" si="896"/>
        <v>0</v>
      </c>
      <c r="J539" s="32">
        <f t="shared" si="896"/>
        <v>0</v>
      </c>
      <c r="K539" s="32">
        <f t="shared" si="896"/>
        <v>0</v>
      </c>
      <c r="L539" s="32">
        <f t="shared" si="896"/>
        <v>0</v>
      </c>
      <c r="M539" s="32">
        <f t="shared" si="896"/>
        <v>0</v>
      </c>
      <c r="N539" s="32">
        <f t="shared" si="896"/>
        <v>0</v>
      </c>
      <c r="O539" s="32">
        <f t="shared" si="896"/>
        <v>0</v>
      </c>
      <c r="P539" s="32">
        <f t="shared" si="896"/>
        <v>0</v>
      </c>
      <c r="Q539" s="32">
        <f t="shared" si="896"/>
        <v>0</v>
      </c>
      <c r="R539" s="32">
        <f t="shared" si="896"/>
        <v>0</v>
      </c>
      <c r="S539" s="32">
        <f t="shared" si="896"/>
        <v>0</v>
      </c>
      <c r="T539" s="32">
        <f t="shared" si="896"/>
        <v>0</v>
      </c>
      <c r="U539" s="32">
        <f t="shared" si="896"/>
        <v>0</v>
      </c>
      <c r="V539" s="32">
        <f t="shared" si="896"/>
        <v>0</v>
      </c>
      <c r="W539" s="32">
        <f t="shared" si="896"/>
        <v>0</v>
      </c>
      <c r="X539" s="32">
        <f t="shared" si="896"/>
        <v>0</v>
      </c>
      <c r="Y539" s="32">
        <f t="shared" si="896"/>
        <v>0</v>
      </c>
      <c r="Z539" s="32">
        <f t="shared" si="896"/>
        <v>0</v>
      </c>
      <c r="AA539" s="32">
        <f t="shared" si="896"/>
        <v>0</v>
      </c>
      <c r="AB539" s="32">
        <f t="shared" si="896"/>
        <v>0</v>
      </c>
      <c r="AC539" s="32">
        <f t="shared" si="896"/>
        <v>0</v>
      </c>
      <c r="AD539" s="32">
        <f t="shared" si="896"/>
        <v>0</v>
      </c>
      <c r="AE539" s="32">
        <f t="shared" si="896"/>
        <v>0</v>
      </c>
      <c r="AF539" s="32">
        <f t="shared" si="896"/>
        <v>0</v>
      </c>
      <c r="AG539" s="32">
        <f t="shared" si="896"/>
        <v>0</v>
      </c>
      <c r="AH539" s="32">
        <f t="shared" si="896"/>
        <v>0</v>
      </c>
      <c r="AI539" s="32">
        <f t="shared" si="896"/>
        <v>0</v>
      </c>
      <c r="AJ539" s="32">
        <f t="shared" si="896"/>
        <v>0</v>
      </c>
      <c r="AK539" s="32">
        <f t="shared" ref="AK539:BP539" si="897" xml:space="preserve"> AK$608</f>
        <v>0</v>
      </c>
      <c r="AL539" s="32">
        <f t="shared" si="897"/>
        <v>0</v>
      </c>
      <c r="AM539" s="32">
        <f t="shared" si="897"/>
        <v>0</v>
      </c>
      <c r="AN539" s="32">
        <f t="shared" si="897"/>
        <v>0</v>
      </c>
      <c r="AO539" s="32">
        <f t="shared" si="897"/>
        <v>0</v>
      </c>
      <c r="AP539" s="32">
        <f t="shared" si="897"/>
        <v>0</v>
      </c>
      <c r="AQ539" s="32">
        <f t="shared" si="897"/>
        <v>0</v>
      </c>
      <c r="AR539" s="32">
        <f t="shared" si="897"/>
        <v>0</v>
      </c>
      <c r="AS539" s="32">
        <f t="shared" si="897"/>
        <v>0</v>
      </c>
      <c r="AT539" s="32">
        <f t="shared" si="897"/>
        <v>0</v>
      </c>
      <c r="AU539" s="32">
        <f t="shared" si="897"/>
        <v>0</v>
      </c>
      <c r="AV539" s="32">
        <f t="shared" si="897"/>
        <v>0</v>
      </c>
      <c r="AW539" s="32">
        <f t="shared" si="897"/>
        <v>0</v>
      </c>
      <c r="AX539" s="32">
        <f t="shared" si="897"/>
        <v>0</v>
      </c>
      <c r="AY539" s="32">
        <f t="shared" si="897"/>
        <v>0</v>
      </c>
      <c r="AZ539" s="32">
        <f t="shared" si="897"/>
        <v>0</v>
      </c>
      <c r="BA539" s="32">
        <f t="shared" si="897"/>
        <v>0</v>
      </c>
      <c r="BB539" s="32">
        <f t="shared" si="897"/>
        <v>0</v>
      </c>
      <c r="BC539" s="32">
        <f t="shared" si="897"/>
        <v>0</v>
      </c>
      <c r="BD539" s="32">
        <f t="shared" si="897"/>
        <v>0</v>
      </c>
      <c r="BE539" s="32">
        <f t="shared" si="897"/>
        <v>0</v>
      </c>
      <c r="BF539" s="32">
        <f t="shared" si="897"/>
        <v>0</v>
      </c>
      <c r="BG539" s="32">
        <f t="shared" si="897"/>
        <v>0</v>
      </c>
      <c r="BH539" s="32">
        <f t="shared" si="897"/>
        <v>0</v>
      </c>
      <c r="BI539" s="32">
        <f t="shared" si="897"/>
        <v>0</v>
      </c>
      <c r="BJ539" s="32">
        <f t="shared" si="897"/>
        <v>0</v>
      </c>
      <c r="BK539" s="32">
        <f t="shared" si="897"/>
        <v>0</v>
      </c>
      <c r="BL539" s="32">
        <f t="shared" si="897"/>
        <v>0</v>
      </c>
      <c r="BM539" s="32">
        <f t="shared" si="897"/>
        <v>0</v>
      </c>
      <c r="BN539" s="32">
        <f t="shared" si="897"/>
        <v>0</v>
      </c>
      <c r="BO539" s="32">
        <f t="shared" si="897"/>
        <v>0</v>
      </c>
      <c r="BP539" s="32">
        <f t="shared" si="897"/>
        <v>0</v>
      </c>
      <c r="BQ539" s="32">
        <f t="shared" ref="BQ539:CV539" si="898" xml:space="preserve"> BQ$608</f>
        <v>0</v>
      </c>
      <c r="BR539" s="32">
        <f t="shared" si="898"/>
        <v>0</v>
      </c>
      <c r="BS539" s="32">
        <f t="shared" si="898"/>
        <v>0</v>
      </c>
      <c r="BT539" s="32">
        <f t="shared" si="898"/>
        <v>0</v>
      </c>
      <c r="BU539" s="32">
        <f t="shared" si="898"/>
        <v>0</v>
      </c>
      <c r="BV539" s="32">
        <f t="shared" si="898"/>
        <v>0</v>
      </c>
      <c r="BW539" s="32">
        <f t="shared" si="898"/>
        <v>0</v>
      </c>
      <c r="BX539" s="32">
        <f t="shared" si="898"/>
        <v>0</v>
      </c>
      <c r="BY539" s="32">
        <f t="shared" si="898"/>
        <v>0</v>
      </c>
      <c r="BZ539" s="32">
        <f t="shared" si="898"/>
        <v>0</v>
      </c>
      <c r="CA539" s="32">
        <f t="shared" si="898"/>
        <v>0</v>
      </c>
      <c r="CB539" s="32">
        <f t="shared" si="898"/>
        <v>0</v>
      </c>
      <c r="CC539" s="32">
        <f t="shared" si="898"/>
        <v>0</v>
      </c>
      <c r="CD539" s="32">
        <f t="shared" si="898"/>
        <v>0</v>
      </c>
      <c r="CE539" s="32">
        <f t="shared" si="898"/>
        <v>0</v>
      </c>
      <c r="CF539" s="32">
        <f t="shared" si="898"/>
        <v>0</v>
      </c>
      <c r="CG539" s="32">
        <f t="shared" si="898"/>
        <v>0</v>
      </c>
      <c r="CH539" s="32">
        <f t="shared" si="898"/>
        <v>0</v>
      </c>
      <c r="CI539" s="32">
        <f t="shared" si="898"/>
        <v>0</v>
      </c>
      <c r="CJ539" s="32">
        <f t="shared" si="898"/>
        <v>0</v>
      </c>
      <c r="CK539" s="32">
        <f t="shared" si="898"/>
        <v>0</v>
      </c>
      <c r="CL539" s="32">
        <f t="shared" si="898"/>
        <v>0</v>
      </c>
      <c r="CM539" s="32">
        <f t="shared" si="898"/>
        <v>0</v>
      </c>
      <c r="CN539" s="32">
        <f t="shared" si="898"/>
        <v>0</v>
      </c>
      <c r="CO539" s="32">
        <f t="shared" si="898"/>
        <v>0</v>
      </c>
      <c r="CP539" s="32">
        <f t="shared" si="898"/>
        <v>0</v>
      </c>
      <c r="CQ539" s="32">
        <f t="shared" si="898"/>
        <v>0</v>
      </c>
      <c r="CR539" s="32">
        <f t="shared" si="898"/>
        <v>0</v>
      </c>
      <c r="CS539" s="32">
        <f t="shared" si="898"/>
        <v>0</v>
      </c>
      <c r="CT539" s="32">
        <f t="shared" si="898"/>
        <v>0</v>
      </c>
      <c r="CU539" s="32">
        <f t="shared" si="898"/>
        <v>0</v>
      </c>
      <c r="CV539" s="32">
        <f t="shared" si="898"/>
        <v>0</v>
      </c>
    </row>
    <row r="540" spans="1:100" ht="12.75" outlineLevel="1" x14ac:dyDescent="0.2">
      <c r="A540" s="79"/>
      <c r="B540" s="79"/>
      <c r="C540" s="561"/>
      <c r="D540" s="60"/>
      <c r="E540" s="125" t="str">
        <f xml:space="preserve"> Time!E$106</f>
        <v>Operating period flag</v>
      </c>
      <c r="F540" s="125">
        <f xml:space="preserve"> Time!F$106</f>
        <v>0</v>
      </c>
      <c r="G540" s="125" t="str">
        <f xml:space="preserve"> Time!G$106</f>
        <v>flag</v>
      </c>
      <c r="H540" s="125">
        <f xml:space="preserve"> Time!H$106</f>
        <v>40</v>
      </c>
      <c r="I540" s="125">
        <f xml:space="preserve"> Time!I$106</f>
        <v>0</v>
      </c>
      <c r="J540" s="125">
        <f xml:space="preserve"> Time!J$106</f>
        <v>0</v>
      </c>
      <c r="K540" s="125">
        <f xml:space="preserve"> Time!K$106</f>
        <v>0</v>
      </c>
      <c r="L540" s="125">
        <f xml:space="preserve"> Time!L$106</f>
        <v>0</v>
      </c>
      <c r="M540" s="125">
        <f xml:space="preserve"> Time!M$106</f>
        <v>0</v>
      </c>
      <c r="N540" s="125">
        <f xml:space="preserve"> Time!N$106</f>
        <v>0</v>
      </c>
      <c r="O540" s="125">
        <f xml:space="preserve"> Time!O$106</f>
        <v>1</v>
      </c>
      <c r="P540" s="125">
        <f xml:space="preserve"> Time!P$106</f>
        <v>1</v>
      </c>
      <c r="Q540" s="125">
        <f xml:space="preserve"> Time!Q$106</f>
        <v>1</v>
      </c>
      <c r="R540" s="125">
        <f xml:space="preserve"> Time!R$106</f>
        <v>1</v>
      </c>
      <c r="S540" s="125">
        <f xml:space="preserve"> Time!S$106</f>
        <v>1</v>
      </c>
      <c r="T540" s="125">
        <f xml:space="preserve"> Time!T$106</f>
        <v>1</v>
      </c>
      <c r="U540" s="125">
        <f xml:space="preserve"> Time!U$106</f>
        <v>1</v>
      </c>
      <c r="V540" s="125">
        <f xml:space="preserve"> Time!V$106</f>
        <v>1</v>
      </c>
      <c r="W540" s="125">
        <f xml:space="preserve"> Time!W$106</f>
        <v>1</v>
      </c>
      <c r="X540" s="125">
        <f xml:space="preserve"> Time!X$106</f>
        <v>1</v>
      </c>
      <c r="Y540" s="125">
        <f xml:space="preserve"> Time!Y$106</f>
        <v>1</v>
      </c>
      <c r="Z540" s="125">
        <f xml:space="preserve"> Time!Z$106</f>
        <v>1</v>
      </c>
      <c r="AA540" s="125">
        <f xml:space="preserve"> Time!AA$106</f>
        <v>1</v>
      </c>
      <c r="AB540" s="125">
        <f xml:space="preserve"> Time!AB$106</f>
        <v>1</v>
      </c>
      <c r="AC540" s="125">
        <f xml:space="preserve"> Time!AC$106</f>
        <v>1</v>
      </c>
      <c r="AD540" s="125">
        <f xml:space="preserve"> Time!AD$106</f>
        <v>1</v>
      </c>
      <c r="AE540" s="125">
        <f xml:space="preserve"> Time!AE$106</f>
        <v>1</v>
      </c>
      <c r="AF540" s="125">
        <f xml:space="preserve"> Time!AF$106</f>
        <v>1</v>
      </c>
      <c r="AG540" s="125">
        <f xml:space="preserve"> Time!AG$106</f>
        <v>1</v>
      </c>
      <c r="AH540" s="125">
        <f xml:space="preserve"> Time!AH$106</f>
        <v>1</v>
      </c>
      <c r="AI540" s="125">
        <f xml:space="preserve"> Time!AI$106</f>
        <v>1</v>
      </c>
      <c r="AJ540" s="125">
        <f xml:space="preserve"> Time!AJ$106</f>
        <v>1</v>
      </c>
      <c r="AK540" s="125">
        <f xml:space="preserve"> Time!AK$106</f>
        <v>1</v>
      </c>
      <c r="AL540" s="125">
        <f xml:space="preserve"> Time!AL$106</f>
        <v>1</v>
      </c>
      <c r="AM540" s="125">
        <f xml:space="preserve"> Time!AM$106</f>
        <v>1</v>
      </c>
      <c r="AN540" s="125">
        <f xml:space="preserve"> Time!AN$106</f>
        <v>1</v>
      </c>
      <c r="AO540" s="125">
        <f xml:space="preserve"> Time!AO$106</f>
        <v>1</v>
      </c>
      <c r="AP540" s="125">
        <f xml:space="preserve"> Time!AP$106</f>
        <v>1</v>
      </c>
      <c r="AQ540" s="125">
        <f xml:space="preserve"> Time!AQ$106</f>
        <v>1</v>
      </c>
      <c r="AR540" s="125">
        <f xml:space="preserve"> Time!AR$106</f>
        <v>1</v>
      </c>
      <c r="AS540" s="125">
        <f xml:space="preserve"> Time!AS$106</f>
        <v>1</v>
      </c>
      <c r="AT540" s="125">
        <f xml:space="preserve"> Time!AT$106</f>
        <v>1</v>
      </c>
      <c r="AU540" s="125">
        <f xml:space="preserve"> Time!AU$106</f>
        <v>1</v>
      </c>
      <c r="AV540" s="125">
        <f xml:space="preserve"> Time!AV$106</f>
        <v>1</v>
      </c>
      <c r="AW540" s="125">
        <f xml:space="preserve"> Time!AW$106</f>
        <v>1</v>
      </c>
      <c r="AX540" s="125">
        <f xml:space="preserve"> Time!AX$106</f>
        <v>1</v>
      </c>
      <c r="AY540" s="125">
        <f xml:space="preserve"> Time!AY$106</f>
        <v>1</v>
      </c>
      <c r="AZ540" s="125">
        <f xml:space="preserve"> Time!AZ$106</f>
        <v>1</v>
      </c>
      <c r="BA540" s="125">
        <f xml:space="preserve"> Time!BA$106</f>
        <v>1</v>
      </c>
      <c r="BB540" s="125">
        <f xml:space="preserve"> Time!BB$106</f>
        <v>1</v>
      </c>
      <c r="BC540" s="125">
        <f xml:space="preserve"> Time!BC$106</f>
        <v>0</v>
      </c>
      <c r="BD540" s="125">
        <f xml:space="preserve"> Time!BD$106</f>
        <v>0</v>
      </c>
      <c r="BE540" s="125">
        <f xml:space="preserve"> Time!BE$106</f>
        <v>0</v>
      </c>
      <c r="BF540" s="125">
        <f xml:space="preserve"> Time!BF$106</f>
        <v>0</v>
      </c>
      <c r="BG540" s="125">
        <f xml:space="preserve"> Time!BG$106</f>
        <v>0</v>
      </c>
      <c r="BH540" s="125">
        <f xml:space="preserve"> Time!BH$106</f>
        <v>0</v>
      </c>
      <c r="BI540" s="125">
        <f xml:space="preserve"> Time!BI$106</f>
        <v>0</v>
      </c>
      <c r="BJ540" s="125">
        <f xml:space="preserve"> Time!BJ$106</f>
        <v>0</v>
      </c>
      <c r="BK540" s="125">
        <f xml:space="preserve"> Time!BK$106</f>
        <v>0</v>
      </c>
      <c r="BL540" s="125">
        <f xml:space="preserve"> Time!BL$106</f>
        <v>0</v>
      </c>
      <c r="BM540" s="125">
        <f xml:space="preserve"> Time!BM$106</f>
        <v>0</v>
      </c>
      <c r="BN540" s="125">
        <f xml:space="preserve"> Time!BN$106</f>
        <v>0</v>
      </c>
      <c r="BO540" s="125">
        <f xml:space="preserve"> Time!BO$106</f>
        <v>0</v>
      </c>
      <c r="BP540" s="125">
        <f xml:space="preserve"> Time!BP$106</f>
        <v>0</v>
      </c>
      <c r="BQ540" s="125">
        <f xml:space="preserve"> Time!BQ$106</f>
        <v>0</v>
      </c>
      <c r="BR540" s="125">
        <f xml:space="preserve"> Time!BR$106</f>
        <v>0</v>
      </c>
      <c r="BS540" s="125">
        <f xml:space="preserve"> Time!BS$106</f>
        <v>0</v>
      </c>
      <c r="BT540" s="125">
        <f xml:space="preserve"> Time!BT$106</f>
        <v>0</v>
      </c>
      <c r="BU540" s="125">
        <f xml:space="preserve"> Time!BU$106</f>
        <v>0</v>
      </c>
      <c r="BV540" s="125">
        <f xml:space="preserve"> Time!BV$106</f>
        <v>0</v>
      </c>
      <c r="BW540" s="125">
        <f xml:space="preserve"> Time!BW$106</f>
        <v>0</v>
      </c>
      <c r="BX540" s="125">
        <f xml:space="preserve"> Time!BX$106</f>
        <v>0</v>
      </c>
      <c r="BY540" s="125">
        <f xml:space="preserve"> Time!BY$106</f>
        <v>0</v>
      </c>
      <c r="BZ540" s="125">
        <f xml:space="preserve"> Time!BZ$106</f>
        <v>0</v>
      </c>
      <c r="CA540" s="125">
        <f xml:space="preserve"> Time!CA$106</f>
        <v>0</v>
      </c>
      <c r="CB540" s="125">
        <f xml:space="preserve"> Time!CB$106</f>
        <v>0</v>
      </c>
      <c r="CC540" s="125">
        <f xml:space="preserve"> Time!CC$106</f>
        <v>0</v>
      </c>
      <c r="CD540" s="125">
        <f xml:space="preserve"> Time!CD$106</f>
        <v>0</v>
      </c>
      <c r="CE540" s="125">
        <f xml:space="preserve"> Time!CE$106</f>
        <v>0</v>
      </c>
      <c r="CF540" s="125">
        <f xml:space="preserve"> Time!CF$106</f>
        <v>0</v>
      </c>
      <c r="CG540" s="125">
        <f xml:space="preserve"> Time!CG$106</f>
        <v>0</v>
      </c>
      <c r="CH540" s="125">
        <f xml:space="preserve"> Time!CH$106</f>
        <v>0</v>
      </c>
      <c r="CI540" s="125">
        <f xml:space="preserve"> Time!CI$106</f>
        <v>0</v>
      </c>
      <c r="CJ540" s="125">
        <f xml:space="preserve"> Time!CJ$106</f>
        <v>0</v>
      </c>
      <c r="CK540" s="125">
        <f xml:space="preserve"> Time!CK$106</f>
        <v>0</v>
      </c>
      <c r="CL540" s="125">
        <f xml:space="preserve"> Time!CL$106</f>
        <v>0</v>
      </c>
      <c r="CM540" s="125">
        <f xml:space="preserve"> Time!CM$106</f>
        <v>0</v>
      </c>
      <c r="CN540" s="125">
        <f xml:space="preserve"> Time!CN$106</f>
        <v>0</v>
      </c>
      <c r="CO540" s="125">
        <f xml:space="preserve"> Time!CO$106</f>
        <v>0</v>
      </c>
      <c r="CP540" s="125">
        <f xml:space="preserve"> Time!CP$106</f>
        <v>0</v>
      </c>
      <c r="CQ540" s="125">
        <f xml:space="preserve"> Time!CQ$106</f>
        <v>0</v>
      </c>
      <c r="CR540" s="125">
        <f xml:space="preserve"> Time!CR$106</f>
        <v>0</v>
      </c>
      <c r="CS540" s="125">
        <f xml:space="preserve"> Time!CS$106</f>
        <v>0</v>
      </c>
      <c r="CT540" s="125">
        <f xml:space="preserve"> Time!CT$106</f>
        <v>0</v>
      </c>
      <c r="CU540" s="125">
        <f xml:space="preserve"> Time!CU$106</f>
        <v>0</v>
      </c>
      <c r="CV540" s="125">
        <f xml:space="preserve"> Time!CV$106</f>
        <v>0</v>
      </c>
    </row>
    <row r="541" spans="1:100" ht="12.75" outlineLevel="1" x14ac:dyDescent="0.2">
      <c r="A541" s="79"/>
      <c r="B541" s="79"/>
      <c r="C541" s="561"/>
      <c r="D541" s="60"/>
      <c r="E541" s="32" t="s">
        <v>472</v>
      </c>
      <c r="F541" s="32"/>
      <c r="G541" s="32" t="str">
        <f xml:space="preserve"> SMU</f>
        <v>$ 000s</v>
      </c>
      <c r="H541" s="32"/>
      <c r="I541" s="32"/>
      <c r="J541" s="31">
        <f t="shared" ref="J541:AO541" si="899" xml:space="preserve"> ($F538 - J539) * J540 * $F537</f>
        <v>0</v>
      </c>
      <c r="K541" s="31">
        <f t="shared" si="899"/>
        <v>0</v>
      </c>
      <c r="L541" s="31">
        <f t="shared" si="899"/>
        <v>0</v>
      </c>
      <c r="M541" s="31">
        <f t="shared" si="899"/>
        <v>0</v>
      </c>
      <c r="N541" s="31">
        <f t="shared" si="899"/>
        <v>0</v>
      </c>
      <c r="O541" s="31">
        <f t="shared" si="899"/>
        <v>0</v>
      </c>
      <c r="P541" s="31">
        <f t="shared" si="899"/>
        <v>0</v>
      </c>
      <c r="Q541" s="31">
        <f t="shared" si="899"/>
        <v>0</v>
      </c>
      <c r="R541" s="31">
        <f t="shared" si="899"/>
        <v>0</v>
      </c>
      <c r="S541" s="31">
        <f t="shared" si="899"/>
        <v>0</v>
      </c>
      <c r="T541" s="31">
        <f t="shared" si="899"/>
        <v>0</v>
      </c>
      <c r="U541" s="31">
        <f t="shared" si="899"/>
        <v>0</v>
      </c>
      <c r="V541" s="31">
        <f t="shared" si="899"/>
        <v>0</v>
      </c>
      <c r="W541" s="31">
        <f t="shared" si="899"/>
        <v>0</v>
      </c>
      <c r="X541" s="31">
        <f t="shared" si="899"/>
        <v>0</v>
      </c>
      <c r="Y541" s="31">
        <f t="shared" si="899"/>
        <v>0</v>
      </c>
      <c r="Z541" s="31">
        <f t="shared" si="899"/>
        <v>0</v>
      </c>
      <c r="AA541" s="31">
        <f t="shared" si="899"/>
        <v>0</v>
      </c>
      <c r="AB541" s="31">
        <f t="shared" si="899"/>
        <v>0</v>
      </c>
      <c r="AC541" s="31">
        <f t="shared" si="899"/>
        <v>0</v>
      </c>
      <c r="AD541" s="31">
        <f t="shared" si="899"/>
        <v>0</v>
      </c>
      <c r="AE541" s="31">
        <f t="shared" si="899"/>
        <v>0</v>
      </c>
      <c r="AF541" s="31">
        <f t="shared" si="899"/>
        <v>0</v>
      </c>
      <c r="AG541" s="31">
        <f t="shared" si="899"/>
        <v>0</v>
      </c>
      <c r="AH541" s="31">
        <f t="shared" si="899"/>
        <v>0</v>
      </c>
      <c r="AI541" s="31">
        <f t="shared" si="899"/>
        <v>0</v>
      </c>
      <c r="AJ541" s="31">
        <f t="shared" si="899"/>
        <v>0</v>
      </c>
      <c r="AK541" s="31">
        <f t="shared" si="899"/>
        <v>0</v>
      </c>
      <c r="AL541" s="31">
        <f t="shared" si="899"/>
        <v>0</v>
      </c>
      <c r="AM541" s="31">
        <f t="shared" si="899"/>
        <v>0</v>
      </c>
      <c r="AN541" s="31">
        <f t="shared" si="899"/>
        <v>0</v>
      </c>
      <c r="AO541" s="31">
        <f t="shared" si="899"/>
        <v>0</v>
      </c>
      <c r="AP541" s="31">
        <f t="shared" ref="AP541:BU541" si="900" xml:space="preserve"> ($F538 - AP539) * AP540 * $F537</f>
        <v>0</v>
      </c>
      <c r="AQ541" s="31">
        <f t="shared" si="900"/>
        <v>0</v>
      </c>
      <c r="AR541" s="31">
        <f t="shared" si="900"/>
        <v>0</v>
      </c>
      <c r="AS541" s="31">
        <f t="shared" si="900"/>
        <v>0</v>
      </c>
      <c r="AT541" s="31">
        <f t="shared" si="900"/>
        <v>0</v>
      </c>
      <c r="AU541" s="31">
        <f t="shared" si="900"/>
        <v>0</v>
      </c>
      <c r="AV541" s="31">
        <f t="shared" si="900"/>
        <v>0</v>
      </c>
      <c r="AW541" s="31">
        <f t="shared" si="900"/>
        <v>0</v>
      </c>
      <c r="AX541" s="31">
        <f t="shared" si="900"/>
        <v>0</v>
      </c>
      <c r="AY541" s="31">
        <f t="shared" si="900"/>
        <v>0</v>
      </c>
      <c r="AZ541" s="31">
        <f t="shared" si="900"/>
        <v>0</v>
      </c>
      <c r="BA541" s="31">
        <f t="shared" si="900"/>
        <v>0</v>
      </c>
      <c r="BB541" s="31">
        <f t="shared" si="900"/>
        <v>0</v>
      </c>
      <c r="BC541" s="31">
        <f t="shared" si="900"/>
        <v>0</v>
      </c>
      <c r="BD541" s="31">
        <f t="shared" si="900"/>
        <v>0</v>
      </c>
      <c r="BE541" s="31">
        <f t="shared" si="900"/>
        <v>0</v>
      </c>
      <c r="BF541" s="31">
        <f t="shared" si="900"/>
        <v>0</v>
      </c>
      <c r="BG541" s="31">
        <f t="shared" si="900"/>
        <v>0</v>
      </c>
      <c r="BH541" s="31">
        <f t="shared" si="900"/>
        <v>0</v>
      </c>
      <c r="BI541" s="31">
        <f t="shared" si="900"/>
        <v>0</v>
      </c>
      <c r="BJ541" s="31">
        <f t="shared" si="900"/>
        <v>0</v>
      </c>
      <c r="BK541" s="31">
        <f t="shared" si="900"/>
        <v>0</v>
      </c>
      <c r="BL541" s="31">
        <f t="shared" si="900"/>
        <v>0</v>
      </c>
      <c r="BM541" s="31">
        <f t="shared" si="900"/>
        <v>0</v>
      </c>
      <c r="BN541" s="31">
        <f t="shared" si="900"/>
        <v>0</v>
      </c>
      <c r="BO541" s="31">
        <f t="shared" si="900"/>
        <v>0</v>
      </c>
      <c r="BP541" s="31">
        <f t="shared" si="900"/>
        <v>0</v>
      </c>
      <c r="BQ541" s="31">
        <f t="shared" si="900"/>
        <v>0</v>
      </c>
      <c r="BR541" s="31">
        <f t="shared" si="900"/>
        <v>0</v>
      </c>
      <c r="BS541" s="31">
        <f t="shared" si="900"/>
        <v>0</v>
      </c>
      <c r="BT541" s="31">
        <f t="shared" si="900"/>
        <v>0</v>
      </c>
      <c r="BU541" s="31">
        <f t="shared" si="900"/>
        <v>0</v>
      </c>
      <c r="BV541" s="31">
        <f t="shared" ref="BV541:CV541" si="901" xml:space="preserve"> ($F538 - BV539) * BV540 * $F537</f>
        <v>0</v>
      </c>
      <c r="BW541" s="31">
        <f t="shared" si="901"/>
        <v>0</v>
      </c>
      <c r="BX541" s="31">
        <f t="shared" si="901"/>
        <v>0</v>
      </c>
      <c r="BY541" s="31">
        <f t="shared" si="901"/>
        <v>0</v>
      </c>
      <c r="BZ541" s="31">
        <f t="shared" si="901"/>
        <v>0</v>
      </c>
      <c r="CA541" s="31">
        <f t="shared" si="901"/>
        <v>0</v>
      </c>
      <c r="CB541" s="31">
        <f t="shared" si="901"/>
        <v>0</v>
      </c>
      <c r="CC541" s="31">
        <f t="shared" si="901"/>
        <v>0</v>
      </c>
      <c r="CD541" s="31">
        <f t="shared" si="901"/>
        <v>0</v>
      </c>
      <c r="CE541" s="31">
        <f t="shared" si="901"/>
        <v>0</v>
      </c>
      <c r="CF541" s="31">
        <f t="shared" si="901"/>
        <v>0</v>
      </c>
      <c r="CG541" s="31">
        <f t="shared" si="901"/>
        <v>0</v>
      </c>
      <c r="CH541" s="31">
        <f t="shared" si="901"/>
        <v>0</v>
      </c>
      <c r="CI541" s="31">
        <f t="shared" si="901"/>
        <v>0</v>
      </c>
      <c r="CJ541" s="31">
        <f t="shared" si="901"/>
        <v>0</v>
      </c>
      <c r="CK541" s="31">
        <f t="shared" si="901"/>
        <v>0</v>
      </c>
      <c r="CL541" s="31">
        <f t="shared" si="901"/>
        <v>0</v>
      </c>
      <c r="CM541" s="31">
        <f t="shared" si="901"/>
        <v>0</v>
      </c>
      <c r="CN541" s="31">
        <f t="shared" si="901"/>
        <v>0</v>
      </c>
      <c r="CO541" s="31">
        <f t="shared" si="901"/>
        <v>0</v>
      </c>
      <c r="CP541" s="31">
        <f t="shared" si="901"/>
        <v>0</v>
      </c>
      <c r="CQ541" s="31">
        <f t="shared" si="901"/>
        <v>0</v>
      </c>
      <c r="CR541" s="31">
        <f t="shared" si="901"/>
        <v>0</v>
      </c>
      <c r="CS541" s="31">
        <f t="shared" si="901"/>
        <v>0</v>
      </c>
      <c r="CT541" s="31">
        <f t="shared" si="901"/>
        <v>0</v>
      </c>
      <c r="CU541" s="31">
        <f t="shared" si="901"/>
        <v>0</v>
      </c>
      <c r="CV541" s="31">
        <f t="shared" si="901"/>
        <v>0</v>
      </c>
    </row>
    <row r="542" spans="1:100" ht="12.75" outlineLevel="1" x14ac:dyDescent="0.2">
      <c r="A542" s="79"/>
      <c r="B542" s="79"/>
      <c r="C542" s="561"/>
      <c r="D542" s="60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32"/>
      <c r="CS542" s="32"/>
      <c r="CT542" s="32"/>
      <c r="CU542" s="32"/>
      <c r="CV542" s="32"/>
    </row>
    <row r="543" spans="1:100" s="495" customFormat="1" ht="12.75" outlineLevel="1" x14ac:dyDescent="0.2">
      <c r="A543" s="236"/>
      <c r="B543" s="236"/>
      <c r="C543" s="237"/>
      <c r="D543" s="238"/>
      <c r="E543" s="68" t="str">
        <f xml:space="preserve"> InpC!E$360</f>
        <v>WCF active switch</v>
      </c>
      <c r="F543" s="68">
        <f xml:space="preserve"> InpC!F$360</f>
        <v>0</v>
      </c>
      <c r="G543" s="68" t="str">
        <f xml:space="preserve"> InpC!G$360</f>
        <v>1 = yes, 0 = no</v>
      </c>
      <c r="H543" s="235"/>
      <c r="I543" s="235"/>
      <c r="J543" s="235"/>
      <c r="K543" s="235"/>
      <c r="L543" s="235"/>
      <c r="M543" s="235"/>
      <c r="N543" s="235"/>
      <c r="O543" s="235"/>
      <c r="P543" s="235"/>
      <c r="Q543" s="235"/>
      <c r="R543" s="235"/>
      <c r="S543" s="235"/>
      <c r="T543" s="235"/>
      <c r="U543" s="235"/>
      <c r="V543" s="235"/>
      <c r="W543" s="235"/>
      <c r="X543" s="235"/>
      <c r="Y543" s="235"/>
      <c r="Z543" s="235"/>
      <c r="AA543" s="235"/>
      <c r="AB543" s="235"/>
      <c r="AC543" s="235"/>
      <c r="AD543" s="235"/>
      <c r="AE543" s="235"/>
      <c r="AF543" s="235"/>
      <c r="AG543" s="235"/>
      <c r="AH543" s="235"/>
      <c r="AI543" s="235"/>
      <c r="AJ543" s="235"/>
      <c r="AK543" s="235"/>
      <c r="AL543" s="235"/>
      <c r="AM543" s="235"/>
      <c r="AN543" s="235"/>
      <c r="AO543" s="235"/>
      <c r="AP543" s="235"/>
      <c r="AQ543" s="235"/>
      <c r="AR543" s="235"/>
      <c r="AS543" s="235"/>
      <c r="AT543" s="235"/>
      <c r="AU543" s="235"/>
      <c r="AV543" s="235"/>
      <c r="AW543" s="235"/>
      <c r="AX543" s="235"/>
      <c r="AY543" s="235"/>
      <c r="AZ543" s="235"/>
      <c r="BA543" s="235"/>
      <c r="BB543" s="235"/>
      <c r="BC543" s="235"/>
      <c r="BD543" s="235"/>
      <c r="BE543" s="235"/>
      <c r="BF543" s="235"/>
      <c r="BG543" s="235"/>
      <c r="BH543" s="235"/>
      <c r="BI543" s="235"/>
      <c r="BJ543" s="235"/>
      <c r="BK543" s="235"/>
      <c r="BL543" s="235"/>
      <c r="BM543" s="235"/>
      <c r="BN543" s="235"/>
      <c r="BO543" s="235"/>
      <c r="BP543" s="235"/>
      <c r="BQ543" s="235"/>
      <c r="BR543" s="235"/>
      <c r="BS543" s="235"/>
      <c r="BT543" s="235"/>
      <c r="BU543" s="235"/>
      <c r="BV543" s="235"/>
      <c r="BW543" s="235"/>
      <c r="BX543" s="235"/>
      <c r="BY543" s="235"/>
      <c r="BZ543" s="235"/>
      <c r="CA543" s="235"/>
      <c r="CB543" s="235"/>
      <c r="CC543" s="235"/>
      <c r="CD543" s="235"/>
      <c r="CE543" s="235"/>
      <c r="CF543" s="235"/>
      <c r="CG543" s="235"/>
      <c r="CH543" s="235"/>
      <c r="CI543" s="235"/>
      <c r="CJ543" s="235"/>
      <c r="CK543" s="235"/>
      <c r="CL543" s="235"/>
      <c r="CM543" s="235"/>
      <c r="CN543" s="235"/>
      <c r="CO543" s="235"/>
      <c r="CP543" s="235"/>
      <c r="CQ543" s="235"/>
      <c r="CR543" s="235"/>
      <c r="CS543" s="235"/>
      <c r="CT543" s="235"/>
      <c r="CU543" s="235"/>
      <c r="CV543" s="235"/>
    </row>
    <row r="544" spans="1:100" ht="12.75" outlineLevel="1" x14ac:dyDescent="0.2">
      <c r="A544" s="639"/>
      <c r="B544" s="639"/>
      <c r="C544" s="640"/>
      <c r="D544" s="641"/>
      <c r="E544" s="125" t="str">
        <f xml:space="preserve"> Ops!E$241</f>
        <v>Decrease / (increase) in working capital</v>
      </c>
      <c r="F544" s="125">
        <f xml:space="preserve"> Ops!F$241</f>
        <v>0</v>
      </c>
      <c r="G544" s="125" t="str">
        <f xml:space="preserve"> Ops!G$241</f>
        <v>$ 000s</v>
      </c>
      <c r="H544" s="125">
        <f xml:space="preserve"> Ops!H$241</f>
        <v>0</v>
      </c>
      <c r="I544" s="125">
        <f xml:space="preserve"> Ops!I$241</f>
        <v>0</v>
      </c>
      <c r="J544" s="125">
        <f xml:space="preserve"> Ops!J$241</f>
        <v>0</v>
      </c>
      <c r="K544" s="125">
        <f xml:space="preserve"> Ops!K$241</f>
        <v>0</v>
      </c>
      <c r="L544" s="125">
        <f xml:space="preserve"> Ops!L$241</f>
        <v>0</v>
      </c>
      <c r="M544" s="125">
        <f xml:space="preserve"> Ops!M$241</f>
        <v>0</v>
      </c>
      <c r="N544" s="125">
        <f xml:space="preserve"> Ops!N$241</f>
        <v>0</v>
      </c>
      <c r="O544" s="125">
        <f xml:space="preserve"> Ops!O$241</f>
        <v>-3857.1209730037863</v>
      </c>
      <c r="P544" s="125">
        <f xml:space="preserve"> Ops!P$241</f>
        <v>-63.930181872990943</v>
      </c>
      <c r="Q544" s="125">
        <f xml:space="preserve"> Ops!Q$241</f>
        <v>93.038958870848546</v>
      </c>
      <c r="R544" s="125">
        <f xml:space="preserve"> Ops!R$241</f>
        <v>-63.447715955897365</v>
      </c>
      <c r="S544" s="125">
        <f xml:space="preserve"> Ops!S$241</f>
        <v>92.930421187284082</v>
      </c>
      <c r="T544" s="125">
        <f xml:space="preserve"> Ops!T$241</f>
        <v>-62.95905233328358</v>
      </c>
      <c r="U544" s="125">
        <f xml:space="preserve"> Ops!U$241</f>
        <v>92.823648845254866</v>
      </c>
      <c r="V544" s="125">
        <f xml:space="preserve"> Ops!V$241</f>
        <v>-41.413899936950656</v>
      </c>
      <c r="W544" s="125">
        <f xml:space="preserve"> Ops!W$241</f>
        <v>71.668510306755707</v>
      </c>
      <c r="X544" s="125">
        <f xml:space="preserve"> Ops!X$241</f>
        <v>-61.962601390489908</v>
      </c>
      <c r="Y544" s="125">
        <f xml:space="preserve"> Ops!Y$241</f>
        <v>92.615510937814179</v>
      </c>
      <c r="Z544" s="125">
        <f xml:space="preserve"> Ops!Z$241</f>
        <v>-61.454542116222001</v>
      </c>
      <c r="AA544" s="125">
        <f xml:space="preserve"> Ops!AA$241</f>
        <v>92.514202180102984</v>
      </c>
      <c r="AB544" s="125">
        <f xml:space="preserve"> Ops!AB$241</f>
        <v>-60.939741120686449</v>
      </c>
      <c r="AC544" s="125">
        <f xml:space="preserve"> Ops!AC$241</f>
        <v>92.414772402261406</v>
      </c>
      <c r="AD544" s="125">
        <f xml:space="preserve"> Ops!AD$241</f>
        <v>-40.057392120876102</v>
      </c>
      <c r="AE544" s="125">
        <f xml:space="preserve"> Ops!AE$241</f>
        <v>71.956588093391474</v>
      </c>
      <c r="AF544" s="125">
        <f xml:space="preserve"> Ops!AF$241</f>
        <v>-59.889339563994326</v>
      </c>
      <c r="AG544" s="125">
        <f xml:space="preserve"> Ops!AG$241</f>
        <v>92.22166995137286</v>
      </c>
      <c r="AH544" s="125">
        <f xml:space="preserve"> Ops!AH$241</f>
        <v>-59.353444585193756</v>
      </c>
      <c r="AI544" s="125">
        <f xml:space="preserve"> Ops!AI$241</f>
        <v>92.128058910575419</v>
      </c>
      <c r="AJ544" s="125">
        <f xml:space="preserve"> Ops!AJ$241</f>
        <v>-58.810218933393116</v>
      </c>
      <c r="AK544" s="125">
        <f xml:space="preserve"> Ops!AK$241</f>
        <v>92.036450139025874</v>
      </c>
      <c r="AL544" s="125">
        <f xml:space="preserve"> Ops!AL$241</f>
        <v>-38.626267155046662</v>
      </c>
      <c r="AM544" s="125">
        <f xml:space="preserve"> Ops!AM$241</f>
        <v>72.313635294945925</v>
      </c>
      <c r="AN544" s="125">
        <f xml:space="preserve"> Ops!AN$241</f>
        <v>-57.701153750870617</v>
      </c>
      <c r="AO544" s="125">
        <f xml:space="preserve"> Ops!AO$241</f>
        <v>91.859369757785316</v>
      </c>
      <c r="AP544" s="125">
        <f xml:space="preserve"> Ops!AP$241</f>
        <v>-57.134995474510106</v>
      </c>
      <c r="AQ544" s="125">
        <f xml:space="preserve"> Ops!AQ$241</f>
        <v>91.773965002601471</v>
      </c>
      <c r="AR544" s="125">
        <f xml:space="preserve"> Ops!AR$241</f>
        <v>-56.560868907751683</v>
      </c>
      <c r="AS544" s="125">
        <f xml:space="preserve"> Ops!AS$241</f>
        <v>91.690696252550879</v>
      </c>
      <c r="AT544" s="125">
        <f xml:space="preserve"> Ops!AT$241</f>
        <v>-37.114021209774364</v>
      </c>
      <c r="AU544" s="125">
        <f xml:space="preserve"> Ops!AU$241</f>
        <v>72.745013306973306</v>
      </c>
      <c r="AV544" s="125">
        <f xml:space="preserve"> Ops!AV$241</f>
        <v>-55.388037646277553</v>
      </c>
      <c r="AW544" s="125">
        <f xml:space="preserve"> Ops!AW$241</f>
        <v>91.530708150919963</v>
      </c>
      <c r="AX544" s="125">
        <f xml:space="preserve"> Ops!AX$241</f>
        <v>-54.788987858909422</v>
      </c>
      <c r="AY544" s="125">
        <f xml:space="preserve"> Ops!AY$241</f>
        <v>91.454061306623771</v>
      </c>
      <c r="AZ544" s="125">
        <f xml:space="preserve"> Ops!AZ$241</f>
        <v>-54.181279459221514</v>
      </c>
      <c r="BA544" s="125">
        <f xml:space="preserve"> Ops!BA$241</f>
        <v>91.379695511095633</v>
      </c>
      <c r="BB544" s="125">
        <f xml:space="preserve"> Ops!BB$241</f>
        <v>3231.7387779879427</v>
      </c>
      <c r="BC544" s="125">
        <f xml:space="preserve"> Ops!BC$241</f>
        <v>0</v>
      </c>
      <c r="BD544" s="125">
        <f xml:space="preserve"> Ops!BD$241</f>
        <v>0</v>
      </c>
      <c r="BE544" s="125">
        <f xml:space="preserve"> Ops!BE$241</f>
        <v>0</v>
      </c>
      <c r="BF544" s="125">
        <f xml:space="preserve"> Ops!BF$241</f>
        <v>0</v>
      </c>
      <c r="BG544" s="125">
        <f xml:space="preserve"> Ops!BG$241</f>
        <v>0</v>
      </c>
      <c r="BH544" s="125">
        <f xml:space="preserve"> Ops!BH$241</f>
        <v>0</v>
      </c>
      <c r="BI544" s="125">
        <f xml:space="preserve"> Ops!BI$241</f>
        <v>0</v>
      </c>
      <c r="BJ544" s="125">
        <f xml:space="preserve"> Ops!BJ$241</f>
        <v>0</v>
      </c>
      <c r="BK544" s="125">
        <f xml:space="preserve"> Ops!BK$241</f>
        <v>0</v>
      </c>
      <c r="BL544" s="125">
        <f xml:space="preserve"> Ops!BL$241</f>
        <v>0</v>
      </c>
      <c r="BM544" s="125">
        <f xml:space="preserve"> Ops!BM$241</f>
        <v>0</v>
      </c>
      <c r="BN544" s="125">
        <f xml:space="preserve"> Ops!BN$241</f>
        <v>0</v>
      </c>
      <c r="BO544" s="125">
        <f xml:space="preserve"> Ops!BO$241</f>
        <v>0</v>
      </c>
      <c r="BP544" s="125">
        <f xml:space="preserve"> Ops!BP$241</f>
        <v>0</v>
      </c>
      <c r="BQ544" s="125">
        <f xml:space="preserve"> Ops!BQ$241</f>
        <v>0</v>
      </c>
      <c r="BR544" s="125">
        <f xml:space="preserve"> Ops!BR$241</f>
        <v>0</v>
      </c>
      <c r="BS544" s="125">
        <f xml:space="preserve"> Ops!BS$241</f>
        <v>0</v>
      </c>
      <c r="BT544" s="125">
        <f xml:space="preserve"> Ops!BT$241</f>
        <v>0</v>
      </c>
      <c r="BU544" s="125">
        <f xml:space="preserve"> Ops!BU$241</f>
        <v>0</v>
      </c>
      <c r="BV544" s="125">
        <f xml:space="preserve"> Ops!BV$241</f>
        <v>0</v>
      </c>
      <c r="BW544" s="125">
        <f xml:space="preserve"> Ops!BW$241</f>
        <v>0</v>
      </c>
      <c r="BX544" s="125">
        <f xml:space="preserve"> Ops!BX$241</f>
        <v>0</v>
      </c>
      <c r="BY544" s="125">
        <f xml:space="preserve"> Ops!BY$241</f>
        <v>0</v>
      </c>
      <c r="BZ544" s="125">
        <f xml:space="preserve"> Ops!BZ$241</f>
        <v>0</v>
      </c>
      <c r="CA544" s="125">
        <f xml:space="preserve"> Ops!CA$241</f>
        <v>0</v>
      </c>
      <c r="CB544" s="125">
        <f xml:space="preserve"> Ops!CB$241</f>
        <v>0</v>
      </c>
      <c r="CC544" s="125">
        <f xml:space="preserve"> Ops!CC$241</f>
        <v>0</v>
      </c>
      <c r="CD544" s="125">
        <f xml:space="preserve"> Ops!CD$241</f>
        <v>0</v>
      </c>
      <c r="CE544" s="125">
        <f xml:space="preserve"> Ops!CE$241</f>
        <v>0</v>
      </c>
      <c r="CF544" s="125">
        <f xml:space="preserve"> Ops!CF$241</f>
        <v>0</v>
      </c>
      <c r="CG544" s="125">
        <f xml:space="preserve"> Ops!CG$241</f>
        <v>0</v>
      </c>
      <c r="CH544" s="125">
        <f xml:space="preserve"> Ops!CH$241</f>
        <v>0</v>
      </c>
      <c r="CI544" s="125">
        <f xml:space="preserve"> Ops!CI$241</f>
        <v>0</v>
      </c>
      <c r="CJ544" s="125">
        <f xml:space="preserve"> Ops!CJ$241</f>
        <v>0</v>
      </c>
      <c r="CK544" s="125">
        <f xml:space="preserve"> Ops!CK$241</f>
        <v>0</v>
      </c>
      <c r="CL544" s="125">
        <f xml:space="preserve"> Ops!CL$241</f>
        <v>0</v>
      </c>
      <c r="CM544" s="125">
        <f xml:space="preserve"> Ops!CM$241</f>
        <v>0</v>
      </c>
      <c r="CN544" s="125">
        <f xml:space="preserve"> Ops!CN$241</f>
        <v>0</v>
      </c>
      <c r="CO544" s="125">
        <f xml:space="preserve"> Ops!CO$241</f>
        <v>0</v>
      </c>
      <c r="CP544" s="125">
        <f xml:space="preserve"> Ops!CP$241</f>
        <v>0</v>
      </c>
      <c r="CQ544" s="125">
        <f xml:space="preserve"> Ops!CQ$241</f>
        <v>0</v>
      </c>
      <c r="CR544" s="125">
        <f xml:space="preserve"> Ops!CR$241</f>
        <v>0</v>
      </c>
      <c r="CS544" s="125">
        <f xml:space="preserve"> Ops!CS$241</f>
        <v>0</v>
      </c>
      <c r="CT544" s="125">
        <f xml:space="preserve"> Ops!CT$241</f>
        <v>0</v>
      </c>
      <c r="CU544" s="125">
        <f xml:space="preserve"> Ops!CU$241</f>
        <v>0</v>
      </c>
      <c r="CV544" s="125">
        <f xml:space="preserve"> Ops!CV$241</f>
        <v>0</v>
      </c>
    </row>
    <row r="545" spans="1:100" ht="12.75" outlineLevel="1" x14ac:dyDescent="0.2">
      <c r="A545" s="79"/>
      <c r="B545" s="79"/>
      <c r="C545" s="561"/>
      <c r="D545" s="60"/>
      <c r="E545" s="125" t="str">
        <f xml:space="preserve"> Time!E$106</f>
        <v>Operating period flag</v>
      </c>
      <c r="F545" s="125">
        <f xml:space="preserve"> Time!F$106</f>
        <v>0</v>
      </c>
      <c r="G545" s="125" t="str">
        <f xml:space="preserve"> Time!G$106</f>
        <v>flag</v>
      </c>
      <c r="H545" s="125">
        <f xml:space="preserve"> Time!H$106</f>
        <v>40</v>
      </c>
      <c r="I545" s="125">
        <f xml:space="preserve"> Time!I$106</f>
        <v>0</v>
      </c>
      <c r="J545" s="125">
        <f xml:space="preserve"> Time!J$106</f>
        <v>0</v>
      </c>
      <c r="K545" s="125">
        <f xml:space="preserve"> Time!K$106</f>
        <v>0</v>
      </c>
      <c r="L545" s="125">
        <f xml:space="preserve"> Time!L$106</f>
        <v>0</v>
      </c>
      <c r="M545" s="125">
        <f xml:space="preserve"> Time!M$106</f>
        <v>0</v>
      </c>
      <c r="N545" s="125">
        <f xml:space="preserve"> Time!N$106</f>
        <v>0</v>
      </c>
      <c r="O545" s="125">
        <f xml:space="preserve"> Time!O$106</f>
        <v>1</v>
      </c>
      <c r="P545" s="125">
        <f xml:space="preserve"> Time!P$106</f>
        <v>1</v>
      </c>
      <c r="Q545" s="125">
        <f xml:space="preserve"> Time!Q$106</f>
        <v>1</v>
      </c>
      <c r="R545" s="125">
        <f xml:space="preserve"> Time!R$106</f>
        <v>1</v>
      </c>
      <c r="S545" s="125">
        <f xml:space="preserve"> Time!S$106</f>
        <v>1</v>
      </c>
      <c r="T545" s="125">
        <f xml:space="preserve"> Time!T$106</f>
        <v>1</v>
      </c>
      <c r="U545" s="125">
        <f xml:space="preserve"> Time!U$106</f>
        <v>1</v>
      </c>
      <c r="V545" s="125">
        <f xml:space="preserve"> Time!V$106</f>
        <v>1</v>
      </c>
      <c r="W545" s="125">
        <f xml:space="preserve"> Time!W$106</f>
        <v>1</v>
      </c>
      <c r="X545" s="125">
        <f xml:space="preserve"> Time!X$106</f>
        <v>1</v>
      </c>
      <c r="Y545" s="125">
        <f xml:space="preserve"> Time!Y$106</f>
        <v>1</v>
      </c>
      <c r="Z545" s="125">
        <f xml:space="preserve"> Time!Z$106</f>
        <v>1</v>
      </c>
      <c r="AA545" s="125">
        <f xml:space="preserve"> Time!AA$106</f>
        <v>1</v>
      </c>
      <c r="AB545" s="125">
        <f xml:space="preserve"> Time!AB$106</f>
        <v>1</v>
      </c>
      <c r="AC545" s="125">
        <f xml:space="preserve"> Time!AC$106</f>
        <v>1</v>
      </c>
      <c r="AD545" s="125">
        <f xml:space="preserve"> Time!AD$106</f>
        <v>1</v>
      </c>
      <c r="AE545" s="125">
        <f xml:space="preserve"> Time!AE$106</f>
        <v>1</v>
      </c>
      <c r="AF545" s="125">
        <f xml:space="preserve"> Time!AF$106</f>
        <v>1</v>
      </c>
      <c r="AG545" s="125">
        <f xml:space="preserve"> Time!AG$106</f>
        <v>1</v>
      </c>
      <c r="AH545" s="125">
        <f xml:space="preserve"> Time!AH$106</f>
        <v>1</v>
      </c>
      <c r="AI545" s="125">
        <f xml:space="preserve"> Time!AI$106</f>
        <v>1</v>
      </c>
      <c r="AJ545" s="125">
        <f xml:space="preserve"> Time!AJ$106</f>
        <v>1</v>
      </c>
      <c r="AK545" s="125">
        <f xml:space="preserve"> Time!AK$106</f>
        <v>1</v>
      </c>
      <c r="AL545" s="125">
        <f xml:space="preserve"> Time!AL$106</f>
        <v>1</v>
      </c>
      <c r="AM545" s="125">
        <f xml:space="preserve"> Time!AM$106</f>
        <v>1</v>
      </c>
      <c r="AN545" s="125">
        <f xml:space="preserve"> Time!AN$106</f>
        <v>1</v>
      </c>
      <c r="AO545" s="125">
        <f xml:space="preserve"> Time!AO$106</f>
        <v>1</v>
      </c>
      <c r="AP545" s="125">
        <f xml:space="preserve"> Time!AP$106</f>
        <v>1</v>
      </c>
      <c r="AQ545" s="125">
        <f xml:space="preserve"> Time!AQ$106</f>
        <v>1</v>
      </c>
      <c r="AR545" s="125">
        <f xml:space="preserve"> Time!AR$106</f>
        <v>1</v>
      </c>
      <c r="AS545" s="125">
        <f xml:space="preserve"> Time!AS$106</f>
        <v>1</v>
      </c>
      <c r="AT545" s="125">
        <f xml:space="preserve"> Time!AT$106</f>
        <v>1</v>
      </c>
      <c r="AU545" s="125">
        <f xml:space="preserve"> Time!AU$106</f>
        <v>1</v>
      </c>
      <c r="AV545" s="125">
        <f xml:space="preserve"> Time!AV$106</f>
        <v>1</v>
      </c>
      <c r="AW545" s="125">
        <f xml:space="preserve"> Time!AW$106</f>
        <v>1</v>
      </c>
      <c r="AX545" s="125">
        <f xml:space="preserve"> Time!AX$106</f>
        <v>1</v>
      </c>
      <c r="AY545" s="125">
        <f xml:space="preserve"> Time!AY$106</f>
        <v>1</v>
      </c>
      <c r="AZ545" s="125">
        <f xml:space="preserve"> Time!AZ$106</f>
        <v>1</v>
      </c>
      <c r="BA545" s="125">
        <f xml:space="preserve"> Time!BA$106</f>
        <v>1</v>
      </c>
      <c r="BB545" s="125">
        <f xml:space="preserve"> Time!BB$106</f>
        <v>1</v>
      </c>
      <c r="BC545" s="125">
        <f xml:space="preserve"> Time!BC$106</f>
        <v>0</v>
      </c>
      <c r="BD545" s="125">
        <f xml:space="preserve"> Time!BD$106</f>
        <v>0</v>
      </c>
      <c r="BE545" s="125">
        <f xml:space="preserve"> Time!BE$106</f>
        <v>0</v>
      </c>
      <c r="BF545" s="125">
        <f xml:space="preserve"> Time!BF$106</f>
        <v>0</v>
      </c>
      <c r="BG545" s="125">
        <f xml:space="preserve"> Time!BG$106</f>
        <v>0</v>
      </c>
      <c r="BH545" s="125">
        <f xml:space="preserve"> Time!BH$106</f>
        <v>0</v>
      </c>
      <c r="BI545" s="125">
        <f xml:space="preserve"> Time!BI$106</f>
        <v>0</v>
      </c>
      <c r="BJ545" s="125">
        <f xml:space="preserve"> Time!BJ$106</f>
        <v>0</v>
      </c>
      <c r="BK545" s="125">
        <f xml:space="preserve"> Time!BK$106</f>
        <v>0</v>
      </c>
      <c r="BL545" s="125">
        <f xml:space="preserve"> Time!BL$106</f>
        <v>0</v>
      </c>
      <c r="BM545" s="125">
        <f xml:space="preserve"> Time!BM$106</f>
        <v>0</v>
      </c>
      <c r="BN545" s="125">
        <f xml:space="preserve"> Time!BN$106</f>
        <v>0</v>
      </c>
      <c r="BO545" s="125">
        <f xml:space="preserve"> Time!BO$106</f>
        <v>0</v>
      </c>
      <c r="BP545" s="125">
        <f xml:space="preserve"> Time!BP$106</f>
        <v>0</v>
      </c>
      <c r="BQ545" s="125">
        <f xml:space="preserve"> Time!BQ$106</f>
        <v>0</v>
      </c>
      <c r="BR545" s="125">
        <f xml:space="preserve"> Time!BR$106</f>
        <v>0</v>
      </c>
      <c r="BS545" s="125">
        <f xml:space="preserve"> Time!BS$106</f>
        <v>0</v>
      </c>
      <c r="BT545" s="125">
        <f xml:space="preserve"> Time!BT$106</f>
        <v>0</v>
      </c>
      <c r="BU545" s="125">
        <f xml:space="preserve"> Time!BU$106</f>
        <v>0</v>
      </c>
      <c r="BV545" s="125">
        <f xml:space="preserve"> Time!BV$106</f>
        <v>0</v>
      </c>
      <c r="BW545" s="125">
        <f xml:space="preserve"> Time!BW$106</f>
        <v>0</v>
      </c>
      <c r="BX545" s="125">
        <f xml:space="preserve"> Time!BX$106</f>
        <v>0</v>
      </c>
      <c r="BY545" s="125">
        <f xml:space="preserve"> Time!BY$106</f>
        <v>0</v>
      </c>
      <c r="BZ545" s="125">
        <f xml:space="preserve"> Time!BZ$106</f>
        <v>0</v>
      </c>
      <c r="CA545" s="125">
        <f xml:space="preserve"> Time!CA$106</f>
        <v>0</v>
      </c>
      <c r="CB545" s="125">
        <f xml:space="preserve"> Time!CB$106</f>
        <v>0</v>
      </c>
      <c r="CC545" s="125">
        <f xml:space="preserve"> Time!CC$106</f>
        <v>0</v>
      </c>
      <c r="CD545" s="125">
        <f xml:space="preserve"> Time!CD$106</f>
        <v>0</v>
      </c>
      <c r="CE545" s="125">
        <f xml:space="preserve"> Time!CE$106</f>
        <v>0</v>
      </c>
      <c r="CF545" s="125">
        <f xml:space="preserve"> Time!CF$106</f>
        <v>0</v>
      </c>
      <c r="CG545" s="125">
        <f xml:space="preserve"> Time!CG$106</f>
        <v>0</v>
      </c>
      <c r="CH545" s="125">
        <f xml:space="preserve"> Time!CH$106</f>
        <v>0</v>
      </c>
      <c r="CI545" s="125">
        <f xml:space="preserve"> Time!CI$106</f>
        <v>0</v>
      </c>
      <c r="CJ545" s="125">
        <f xml:space="preserve"> Time!CJ$106</f>
        <v>0</v>
      </c>
      <c r="CK545" s="125">
        <f xml:space="preserve"> Time!CK$106</f>
        <v>0</v>
      </c>
      <c r="CL545" s="125">
        <f xml:space="preserve"> Time!CL$106</f>
        <v>0</v>
      </c>
      <c r="CM545" s="125">
        <f xml:space="preserve"> Time!CM$106</f>
        <v>0</v>
      </c>
      <c r="CN545" s="125">
        <f xml:space="preserve"> Time!CN$106</f>
        <v>0</v>
      </c>
      <c r="CO545" s="125">
        <f xml:space="preserve"> Time!CO$106</f>
        <v>0</v>
      </c>
      <c r="CP545" s="125">
        <f xml:space="preserve"> Time!CP$106</f>
        <v>0</v>
      </c>
      <c r="CQ545" s="125">
        <f xml:space="preserve"> Time!CQ$106</f>
        <v>0</v>
      </c>
      <c r="CR545" s="125">
        <f xml:space="preserve"> Time!CR$106</f>
        <v>0</v>
      </c>
      <c r="CS545" s="125">
        <f xml:space="preserve"> Time!CS$106</f>
        <v>0</v>
      </c>
      <c r="CT545" s="125">
        <f xml:space="preserve"> Time!CT$106</f>
        <v>0</v>
      </c>
      <c r="CU545" s="125">
        <f xml:space="preserve"> Time!CU$106</f>
        <v>0</v>
      </c>
      <c r="CV545" s="125">
        <f xml:space="preserve"> Time!CV$106</f>
        <v>0</v>
      </c>
    </row>
    <row r="546" spans="1:100" ht="12.75" outlineLevel="1" x14ac:dyDescent="0.2">
      <c r="A546" s="79"/>
      <c r="B546" s="79"/>
      <c r="C546" s="561"/>
      <c r="D546" s="60"/>
      <c r="E546" s="32" t="s">
        <v>473</v>
      </c>
      <c r="F546" s="32"/>
      <c r="G546" s="32" t="str">
        <f xml:space="preserve"> SMU</f>
        <v>$ 000s</v>
      </c>
      <c r="H546" s="32"/>
      <c r="I546" s="718"/>
      <c r="J546" s="31">
        <f t="shared" ref="J546:AO546" si="902" xml:space="preserve"> (I546 - J544) * J545 * $F543</f>
        <v>0</v>
      </c>
      <c r="K546" s="31">
        <f t="shared" si="902"/>
        <v>0</v>
      </c>
      <c r="L546" s="31">
        <f t="shared" si="902"/>
        <v>0</v>
      </c>
      <c r="M546" s="31">
        <f t="shared" si="902"/>
        <v>0</v>
      </c>
      <c r="N546" s="31">
        <f t="shared" si="902"/>
        <v>0</v>
      </c>
      <c r="O546" s="31">
        <f t="shared" si="902"/>
        <v>0</v>
      </c>
      <c r="P546" s="31">
        <f t="shared" si="902"/>
        <v>0</v>
      </c>
      <c r="Q546" s="31">
        <f t="shared" si="902"/>
        <v>0</v>
      </c>
      <c r="R546" s="31">
        <f t="shared" si="902"/>
        <v>0</v>
      </c>
      <c r="S546" s="31">
        <f t="shared" si="902"/>
        <v>0</v>
      </c>
      <c r="T546" s="31">
        <f t="shared" si="902"/>
        <v>0</v>
      </c>
      <c r="U546" s="31">
        <f t="shared" si="902"/>
        <v>0</v>
      </c>
      <c r="V546" s="31">
        <f t="shared" si="902"/>
        <v>0</v>
      </c>
      <c r="W546" s="31">
        <f t="shared" si="902"/>
        <v>0</v>
      </c>
      <c r="X546" s="31">
        <f t="shared" si="902"/>
        <v>0</v>
      </c>
      <c r="Y546" s="31">
        <f t="shared" si="902"/>
        <v>0</v>
      </c>
      <c r="Z546" s="31">
        <f t="shared" si="902"/>
        <v>0</v>
      </c>
      <c r="AA546" s="31">
        <f t="shared" si="902"/>
        <v>0</v>
      </c>
      <c r="AB546" s="31">
        <f t="shared" si="902"/>
        <v>0</v>
      </c>
      <c r="AC546" s="31">
        <f t="shared" si="902"/>
        <v>0</v>
      </c>
      <c r="AD546" s="31">
        <f t="shared" si="902"/>
        <v>0</v>
      </c>
      <c r="AE546" s="31">
        <f t="shared" si="902"/>
        <v>0</v>
      </c>
      <c r="AF546" s="31">
        <f t="shared" si="902"/>
        <v>0</v>
      </c>
      <c r="AG546" s="31">
        <f t="shared" si="902"/>
        <v>0</v>
      </c>
      <c r="AH546" s="31">
        <f t="shared" si="902"/>
        <v>0</v>
      </c>
      <c r="AI546" s="31">
        <f t="shared" si="902"/>
        <v>0</v>
      </c>
      <c r="AJ546" s="31">
        <f t="shared" si="902"/>
        <v>0</v>
      </c>
      <c r="AK546" s="31">
        <f t="shared" si="902"/>
        <v>0</v>
      </c>
      <c r="AL546" s="31">
        <f t="shared" si="902"/>
        <v>0</v>
      </c>
      <c r="AM546" s="31">
        <f t="shared" si="902"/>
        <v>0</v>
      </c>
      <c r="AN546" s="31">
        <f t="shared" si="902"/>
        <v>0</v>
      </c>
      <c r="AO546" s="31">
        <f t="shared" si="902"/>
        <v>0</v>
      </c>
      <c r="AP546" s="31">
        <f t="shared" ref="AP546:BU546" si="903" xml:space="preserve"> (AO546 - AP544) * AP545 * $F543</f>
        <v>0</v>
      </c>
      <c r="AQ546" s="31">
        <f t="shared" si="903"/>
        <v>0</v>
      </c>
      <c r="AR546" s="31">
        <f t="shared" si="903"/>
        <v>0</v>
      </c>
      <c r="AS546" s="31">
        <f t="shared" si="903"/>
        <v>0</v>
      </c>
      <c r="AT546" s="31">
        <f t="shared" si="903"/>
        <v>0</v>
      </c>
      <c r="AU546" s="31">
        <f t="shared" si="903"/>
        <v>0</v>
      </c>
      <c r="AV546" s="31">
        <f t="shared" si="903"/>
        <v>0</v>
      </c>
      <c r="AW546" s="31">
        <f t="shared" si="903"/>
        <v>0</v>
      </c>
      <c r="AX546" s="31">
        <f t="shared" si="903"/>
        <v>0</v>
      </c>
      <c r="AY546" s="31">
        <f t="shared" si="903"/>
        <v>0</v>
      </c>
      <c r="AZ546" s="31">
        <f t="shared" si="903"/>
        <v>0</v>
      </c>
      <c r="BA546" s="31">
        <f t="shared" si="903"/>
        <v>0</v>
      </c>
      <c r="BB546" s="31">
        <f t="shared" si="903"/>
        <v>0</v>
      </c>
      <c r="BC546" s="31">
        <f t="shared" si="903"/>
        <v>0</v>
      </c>
      <c r="BD546" s="31">
        <f t="shared" si="903"/>
        <v>0</v>
      </c>
      <c r="BE546" s="31">
        <f t="shared" si="903"/>
        <v>0</v>
      </c>
      <c r="BF546" s="31">
        <f t="shared" si="903"/>
        <v>0</v>
      </c>
      <c r="BG546" s="31">
        <f t="shared" si="903"/>
        <v>0</v>
      </c>
      <c r="BH546" s="31">
        <f t="shared" si="903"/>
        <v>0</v>
      </c>
      <c r="BI546" s="31">
        <f t="shared" si="903"/>
        <v>0</v>
      </c>
      <c r="BJ546" s="31">
        <f t="shared" si="903"/>
        <v>0</v>
      </c>
      <c r="BK546" s="31">
        <f t="shared" si="903"/>
        <v>0</v>
      </c>
      <c r="BL546" s="31">
        <f t="shared" si="903"/>
        <v>0</v>
      </c>
      <c r="BM546" s="31">
        <f t="shared" si="903"/>
        <v>0</v>
      </c>
      <c r="BN546" s="31">
        <f t="shared" si="903"/>
        <v>0</v>
      </c>
      <c r="BO546" s="31">
        <f t="shared" si="903"/>
        <v>0</v>
      </c>
      <c r="BP546" s="31">
        <f t="shared" si="903"/>
        <v>0</v>
      </c>
      <c r="BQ546" s="31">
        <f t="shared" si="903"/>
        <v>0</v>
      </c>
      <c r="BR546" s="31">
        <f t="shared" si="903"/>
        <v>0</v>
      </c>
      <c r="BS546" s="31">
        <f t="shared" si="903"/>
        <v>0</v>
      </c>
      <c r="BT546" s="31">
        <f t="shared" si="903"/>
        <v>0</v>
      </c>
      <c r="BU546" s="31">
        <f t="shared" si="903"/>
        <v>0</v>
      </c>
      <c r="BV546" s="31">
        <f t="shared" ref="BV546:CV546" si="904" xml:space="preserve"> (BU546 - BV544) * BV545 * $F543</f>
        <v>0</v>
      </c>
      <c r="BW546" s="31">
        <f t="shared" si="904"/>
        <v>0</v>
      </c>
      <c r="BX546" s="31">
        <f t="shared" si="904"/>
        <v>0</v>
      </c>
      <c r="BY546" s="31">
        <f t="shared" si="904"/>
        <v>0</v>
      </c>
      <c r="BZ546" s="31">
        <f t="shared" si="904"/>
        <v>0</v>
      </c>
      <c r="CA546" s="31">
        <f t="shared" si="904"/>
        <v>0</v>
      </c>
      <c r="CB546" s="31">
        <f t="shared" si="904"/>
        <v>0</v>
      </c>
      <c r="CC546" s="31">
        <f t="shared" si="904"/>
        <v>0</v>
      </c>
      <c r="CD546" s="31">
        <f t="shared" si="904"/>
        <v>0</v>
      </c>
      <c r="CE546" s="31">
        <f t="shared" si="904"/>
        <v>0</v>
      </c>
      <c r="CF546" s="31">
        <f t="shared" si="904"/>
        <v>0</v>
      </c>
      <c r="CG546" s="31">
        <f t="shared" si="904"/>
        <v>0</v>
      </c>
      <c r="CH546" s="31">
        <f t="shared" si="904"/>
        <v>0</v>
      </c>
      <c r="CI546" s="31">
        <f t="shared" si="904"/>
        <v>0</v>
      </c>
      <c r="CJ546" s="31">
        <f t="shared" si="904"/>
        <v>0</v>
      </c>
      <c r="CK546" s="31">
        <f t="shared" si="904"/>
        <v>0</v>
      </c>
      <c r="CL546" s="31">
        <f t="shared" si="904"/>
        <v>0</v>
      </c>
      <c r="CM546" s="31">
        <f t="shared" si="904"/>
        <v>0</v>
      </c>
      <c r="CN546" s="31">
        <f t="shared" si="904"/>
        <v>0</v>
      </c>
      <c r="CO546" s="31">
        <f t="shared" si="904"/>
        <v>0</v>
      </c>
      <c r="CP546" s="31">
        <f t="shared" si="904"/>
        <v>0</v>
      </c>
      <c r="CQ546" s="31">
        <f t="shared" si="904"/>
        <v>0</v>
      </c>
      <c r="CR546" s="31">
        <f t="shared" si="904"/>
        <v>0</v>
      </c>
      <c r="CS546" s="31">
        <f t="shared" si="904"/>
        <v>0</v>
      </c>
      <c r="CT546" s="31">
        <f t="shared" si="904"/>
        <v>0</v>
      </c>
      <c r="CU546" s="31">
        <f t="shared" si="904"/>
        <v>0</v>
      </c>
      <c r="CV546" s="31">
        <f t="shared" si="904"/>
        <v>0</v>
      </c>
    </row>
    <row r="547" spans="1:100" ht="12.75" outlineLevel="1" x14ac:dyDescent="0.2">
      <c r="A547" s="431"/>
      <c r="B547" s="431"/>
      <c r="C547" s="564"/>
      <c r="D547" s="565"/>
      <c r="E547" s="188" t="s">
        <v>474</v>
      </c>
      <c r="F547" s="230">
        <f xml:space="preserve"> MAX(J546:CV546)</f>
        <v>0</v>
      </c>
      <c r="G547" s="188" t="str">
        <f xml:space="preserve"> SMU</f>
        <v>$ 000s</v>
      </c>
      <c r="H547" s="192" t="s">
        <v>475</v>
      </c>
      <c r="I547" s="191"/>
      <c r="J547" s="191"/>
      <c r="K547" s="191"/>
      <c r="L547" s="191"/>
      <c r="M547" s="191"/>
      <c r="N547" s="191"/>
      <c r="O547" s="191"/>
      <c r="P547" s="191"/>
      <c r="Q547" s="191"/>
      <c r="R547" s="191"/>
      <c r="S547" s="191"/>
      <c r="T547" s="191"/>
      <c r="U547" s="191"/>
      <c r="V547" s="191"/>
      <c r="W547" s="191"/>
      <c r="X547" s="191"/>
      <c r="Y547" s="191"/>
      <c r="Z547" s="191"/>
      <c r="AA547" s="191"/>
      <c r="AB547" s="191"/>
      <c r="AC547" s="191"/>
      <c r="AD547" s="191"/>
      <c r="AE547" s="191"/>
      <c r="AF547" s="191"/>
      <c r="AG547" s="191"/>
      <c r="AH547" s="191"/>
      <c r="AI547" s="191"/>
      <c r="AJ547" s="191"/>
      <c r="AK547" s="191"/>
      <c r="AL547" s="191"/>
      <c r="AM547" s="191"/>
      <c r="AN547" s="191"/>
      <c r="AO547" s="191"/>
      <c r="AP547" s="191"/>
      <c r="AQ547" s="191"/>
      <c r="AR547" s="191"/>
      <c r="AS547" s="191"/>
      <c r="AT547" s="191"/>
      <c r="AU547" s="191"/>
      <c r="AV547" s="191"/>
      <c r="AW547" s="191"/>
      <c r="AX547" s="191"/>
      <c r="AY547" s="191"/>
      <c r="AZ547" s="191"/>
      <c r="BA547" s="191"/>
      <c r="BB547" s="191"/>
      <c r="BC547" s="191"/>
      <c r="BD547" s="191"/>
      <c r="BE547" s="191"/>
      <c r="BF547" s="191"/>
      <c r="BG547" s="191"/>
      <c r="BH547" s="191"/>
      <c r="BI547" s="191"/>
      <c r="BJ547" s="191"/>
      <c r="BK547" s="191"/>
      <c r="BL547" s="191"/>
      <c r="BM547" s="191"/>
      <c r="BN547" s="191"/>
      <c r="BO547" s="191"/>
      <c r="BP547" s="191"/>
      <c r="BQ547" s="191"/>
      <c r="BR547" s="191"/>
      <c r="BS547" s="191"/>
      <c r="BT547" s="191"/>
      <c r="BU547" s="191"/>
      <c r="BV547" s="191"/>
      <c r="BW547" s="191"/>
      <c r="BX547" s="191"/>
      <c r="BY547" s="191"/>
      <c r="BZ547" s="191"/>
      <c r="CA547" s="191"/>
      <c r="CB547" s="191"/>
      <c r="CC547" s="191"/>
      <c r="CD547" s="191"/>
      <c r="CE547" s="191"/>
      <c r="CF547" s="191"/>
      <c r="CG547" s="191"/>
      <c r="CH547" s="191"/>
      <c r="CI547" s="191"/>
      <c r="CJ547" s="191"/>
      <c r="CK547" s="191"/>
      <c r="CL547" s="191"/>
      <c r="CM547" s="191"/>
      <c r="CN547" s="191"/>
      <c r="CO547" s="191"/>
      <c r="CP547" s="191"/>
      <c r="CQ547" s="191"/>
      <c r="CR547" s="191"/>
      <c r="CS547" s="191"/>
      <c r="CT547" s="191"/>
      <c r="CU547" s="191"/>
      <c r="CV547" s="191"/>
    </row>
    <row r="548" spans="1:100" ht="12.75" outlineLevel="1" x14ac:dyDescent="0.2">
      <c r="A548" s="397"/>
      <c r="B548" s="397"/>
      <c r="C548" s="566"/>
      <c r="D548" s="567"/>
      <c r="E548" s="188"/>
      <c r="F548" s="592"/>
      <c r="G548" s="188"/>
      <c r="H548" s="188"/>
      <c r="I548" s="188"/>
      <c r="J548" s="188"/>
      <c r="K548" s="188"/>
      <c r="L548" s="188"/>
      <c r="M548" s="188"/>
      <c r="N548" s="188"/>
      <c r="O548" s="188"/>
      <c r="P548" s="188"/>
      <c r="Q548" s="188"/>
      <c r="R548" s="188"/>
      <c r="S548" s="188"/>
      <c r="T548" s="188"/>
      <c r="U548" s="188"/>
      <c r="V548" s="188"/>
      <c r="W548" s="188"/>
      <c r="X548" s="188"/>
      <c r="Y548" s="188"/>
      <c r="Z548" s="188"/>
      <c r="AA548" s="188"/>
      <c r="AB548" s="188"/>
      <c r="AC548" s="188"/>
      <c r="AD548" s="188"/>
      <c r="AE548" s="188"/>
      <c r="AF548" s="188"/>
      <c r="AG548" s="188"/>
      <c r="AH548" s="188"/>
      <c r="AI548" s="188"/>
      <c r="AJ548" s="188"/>
      <c r="AK548" s="188"/>
      <c r="AL548" s="188"/>
      <c r="AM548" s="188"/>
      <c r="AN548" s="188"/>
      <c r="AO548" s="188"/>
      <c r="AP548" s="188"/>
      <c r="AQ548" s="188"/>
      <c r="AR548" s="188"/>
      <c r="AS548" s="188"/>
      <c r="AT548" s="188"/>
      <c r="AU548" s="188"/>
      <c r="AV548" s="188"/>
      <c r="AW548" s="188"/>
      <c r="AX548" s="188"/>
      <c r="AY548" s="188"/>
      <c r="AZ548" s="188"/>
      <c r="BA548" s="188"/>
      <c r="BB548" s="188"/>
      <c r="BC548" s="188"/>
      <c r="BD548" s="188"/>
      <c r="BE548" s="188"/>
      <c r="BF548" s="188"/>
      <c r="BG548" s="188"/>
      <c r="BH548" s="188"/>
      <c r="BI548" s="188"/>
      <c r="BJ548" s="188"/>
      <c r="BK548" s="188"/>
      <c r="BL548" s="188"/>
      <c r="BM548" s="188"/>
      <c r="BN548" s="188"/>
      <c r="BO548" s="188"/>
      <c r="BP548" s="188"/>
      <c r="BQ548" s="188"/>
      <c r="BR548" s="188"/>
      <c r="BS548" s="188"/>
      <c r="BT548" s="188"/>
      <c r="BU548" s="188"/>
      <c r="BV548" s="188"/>
      <c r="BW548" s="188"/>
      <c r="BX548" s="188"/>
      <c r="BY548" s="188"/>
      <c r="BZ548" s="188"/>
      <c r="CA548" s="188"/>
      <c r="CB548" s="188"/>
      <c r="CC548" s="188"/>
      <c r="CD548" s="188"/>
      <c r="CE548" s="188"/>
      <c r="CF548" s="188"/>
      <c r="CG548" s="188"/>
      <c r="CH548" s="188"/>
      <c r="CI548" s="188"/>
      <c r="CJ548" s="188"/>
      <c r="CK548" s="188"/>
      <c r="CL548" s="188"/>
      <c r="CM548" s="188"/>
      <c r="CN548" s="188"/>
      <c r="CO548" s="188"/>
      <c r="CP548" s="188"/>
      <c r="CQ548" s="188"/>
      <c r="CR548" s="188"/>
      <c r="CS548" s="188"/>
      <c r="CT548" s="188"/>
      <c r="CU548" s="188"/>
      <c r="CV548" s="188"/>
    </row>
    <row r="549" spans="1:100" s="495" customFormat="1" ht="12.75" outlineLevel="1" x14ac:dyDescent="0.2">
      <c r="A549" s="236"/>
      <c r="B549" s="236"/>
      <c r="C549" s="237"/>
      <c r="D549" s="238"/>
      <c r="E549" s="68" t="str">
        <f xml:space="preserve"> InpC!E$360</f>
        <v>WCF active switch</v>
      </c>
      <c r="F549" s="68">
        <f xml:space="preserve"> InpC!F$360</f>
        <v>0</v>
      </c>
      <c r="G549" s="68" t="str">
        <f xml:space="preserve"> InpC!G$360</f>
        <v>1 = yes, 0 = no</v>
      </c>
      <c r="H549" s="235"/>
      <c r="I549" s="235"/>
      <c r="J549" s="235"/>
      <c r="K549" s="235"/>
      <c r="L549" s="235"/>
      <c r="M549" s="235"/>
      <c r="N549" s="235"/>
      <c r="O549" s="235"/>
      <c r="P549" s="235"/>
      <c r="Q549" s="235"/>
      <c r="R549" s="235"/>
      <c r="S549" s="235"/>
      <c r="T549" s="235"/>
      <c r="U549" s="235"/>
      <c r="V549" s="235"/>
      <c r="W549" s="235"/>
      <c r="X549" s="235"/>
      <c r="Y549" s="235"/>
      <c r="Z549" s="235"/>
      <c r="AA549" s="235"/>
      <c r="AB549" s="235"/>
      <c r="AC549" s="235"/>
      <c r="AD549" s="235"/>
      <c r="AE549" s="235"/>
      <c r="AF549" s="235"/>
      <c r="AG549" s="235"/>
      <c r="AH549" s="235"/>
      <c r="AI549" s="235"/>
      <c r="AJ549" s="235"/>
      <c r="AK549" s="235"/>
      <c r="AL549" s="235"/>
      <c r="AM549" s="235"/>
      <c r="AN549" s="235"/>
      <c r="AO549" s="235"/>
      <c r="AP549" s="235"/>
      <c r="AQ549" s="235"/>
      <c r="AR549" s="235"/>
      <c r="AS549" s="235"/>
      <c r="AT549" s="235"/>
      <c r="AU549" s="235"/>
      <c r="AV549" s="235"/>
      <c r="AW549" s="235"/>
      <c r="AX549" s="235"/>
      <c r="AY549" s="235"/>
      <c r="AZ549" s="235"/>
      <c r="BA549" s="235"/>
      <c r="BB549" s="235"/>
      <c r="BC549" s="235"/>
      <c r="BD549" s="235"/>
      <c r="BE549" s="235"/>
      <c r="BF549" s="235"/>
      <c r="BG549" s="235"/>
      <c r="BH549" s="235"/>
      <c r="BI549" s="235"/>
      <c r="BJ549" s="235"/>
      <c r="BK549" s="235"/>
      <c r="BL549" s="235"/>
      <c r="BM549" s="235"/>
      <c r="BN549" s="235"/>
      <c r="BO549" s="235"/>
      <c r="BP549" s="235"/>
      <c r="BQ549" s="235"/>
      <c r="BR549" s="235"/>
      <c r="BS549" s="235"/>
      <c r="BT549" s="235"/>
      <c r="BU549" s="235"/>
      <c r="BV549" s="235"/>
      <c r="BW549" s="235"/>
      <c r="BX549" s="235"/>
      <c r="BY549" s="235"/>
      <c r="BZ549" s="235"/>
      <c r="CA549" s="235"/>
      <c r="CB549" s="235"/>
      <c r="CC549" s="235"/>
      <c r="CD549" s="235"/>
      <c r="CE549" s="235"/>
      <c r="CF549" s="235"/>
      <c r="CG549" s="235"/>
      <c r="CH549" s="235"/>
      <c r="CI549" s="235"/>
      <c r="CJ549" s="235"/>
      <c r="CK549" s="235"/>
      <c r="CL549" s="235"/>
      <c r="CM549" s="235"/>
      <c r="CN549" s="235"/>
      <c r="CO549" s="235"/>
      <c r="CP549" s="235"/>
      <c r="CQ549" s="235"/>
      <c r="CR549" s="235"/>
      <c r="CS549" s="235"/>
      <c r="CT549" s="235"/>
      <c r="CU549" s="235"/>
      <c r="CV549" s="235"/>
    </row>
    <row r="550" spans="1:100" ht="12.75" outlineLevel="1" x14ac:dyDescent="0.2">
      <c r="A550" s="639"/>
      <c r="B550" s="639"/>
      <c r="C550" s="640"/>
      <c r="D550" s="641"/>
      <c r="E550" s="125" t="str">
        <f xml:space="preserve"> Ops!E$241</f>
        <v>Decrease / (increase) in working capital</v>
      </c>
      <c r="F550" s="125">
        <f xml:space="preserve"> Ops!F$241</f>
        <v>0</v>
      </c>
      <c r="G550" s="125" t="str">
        <f xml:space="preserve"> Ops!G$241</f>
        <v>$ 000s</v>
      </c>
      <c r="H550" s="125">
        <f xml:space="preserve"> Ops!H$241</f>
        <v>0</v>
      </c>
      <c r="I550" s="125">
        <f xml:space="preserve"> Ops!I$241</f>
        <v>0</v>
      </c>
      <c r="J550" s="125">
        <f xml:space="preserve"> Ops!J$241</f>
        <v>0</v>
      </c>
      <c r="K550" s="125">
        <f xml:space="preserve"> Ops!K$241</f>
        <v>0</v>
      </c>
      <c r="L550" s="125">
        <f xml:space="preserve"> Ops!L$241</f>
        <v>0</v>
      </c>
      <c r="M550" s="125">
        <f xml:space="preserve"> Ops!M$241</f>
        <v>0</v>
      </c>
      <c r="N550" s="125">
        <f xml:space="preserve"> Ops!N$241</f>
        <v>0</v>
      </c>
      <c r="O550" s="125">
        <f xml:space="preserve"> Ops!O$241</f>
        <v>-3857.1209730037863</v>
      </c>
      <c r="P550" s="125">
        <f xml:space="preserve"> Ops!P$241</f>
        <v>-63.930181872990943</v>
      </c>
      <c r="Q550" s="125">
        <f xml:space="preserve"> Ops!Q$241</f>
        <v>93.038958870848546</v>
      </c>
      <c r="R550" s="125">
        <f xml:space="preserve"> Ops!R$241</f>
        <v>-63.447715955897365</v>
      </c>
      <c r="S550" s="125">
        <f xml:space="preserve"> Ops!S$241</f>
        <v>92.930421187284082</v>
      </c>
      <c r="T550" s="125">
        <f xml:space="preserve"> Ops!T$241</f>
        <v>-62.95905233328358</v>
      </c>
      <c r="U550" s="125">
        <f xml:space="preserve"> Ops!U$241</f>
        <v>92.823648845254866</v>
      </c>
      <c r="V550" s="125">
        <f xml:space="preserve"> Ops!V$241</f>
        <v>-41.413899936950656</v>
      </c>
      <c r="W550" s="125">
        <f xml:space="preserve"> Ops!W$241</f>
        <v>71.668510306755707</v>
      </c>
      <c r="X550" s="125">
        <f xml:space="preserve"> Ops!X$241</f>
        <v>-61.962601390489908</v>
      </c>
      <c r="Y550" s="125">
        <f xml:space="preserve"> Ops!Y$241</f>
        <v>92.615510937814179</v>
      </c>
      <c r="Z550" s="125">
        <f xml:space="preserve"> Ops!Z$241</f>
        <v>-61.454542116222001</v>
      </c>
      <c r="AA550" s="125">
        <f xml:space="preserve"> Ops!AA$241</f>
        <v>92.514202180102984</v>
      </c>
      <c r="AB550" s="125">
        <f xml:space="preserve"> Ops!AB$241</f>
        <v>-60.939741120686449</v>
      </c>
      <c r="AC550" s="125">
        <f xml:space="preserve"> Ops!AC$241</f>
        <v>92.414772402261406</v>
      </c>
      <c r="AD550" s="125">
        <f xml:space="preserve"> Ops!AD$241</f>
        <v>-40.057392120876102</v>
      </c>
      <c r="AE550" s="125">
        <f xml:space="preserve"> Ops!AE$241</f>
        <v>71.956588093391474</v>
      </c>
      <c r="AF550" s="125">
        <f xml:space="preserve"> Ops!AF$241</f>
        <v>-59.889339563994326</v>
      </c>
      <c r="AG550" s="125">
        <f xml:space="preserve"> Ops!AG$241</f>
        <v>92.22166995137286</v>
      </c>
      <c r="AH550" s="125">
        <f xml:space="preserve"> Ops!AH$241</f>
        <v>-59.353444585193756</v>
      </c>
      <c r="AI550" s="125">
        <f xml:space="preserve"> Ops!AI$241</f>
        <v>92.128058910575419</v>
      </c>
      <c r="AJ550" s="125">
        <f xml:space="preserve"> Ops!AJ$241</f>
        <v>-58.810218933393116</v>
      </c>
      <c r="AK550" s="125">
        <f xml:space="preserve"> Ops!AK$241</f>
        <v>92.036450139025874</v>
      </c>
      <c r="AL550" s="125">
        <f xml:space="preserve"> Ops!AL$241</f>
        <v>-38.626267155046662</v>
      </c>
      <c r="AM550" s="125">
        <f xml:space="preserve"> Ops!AM$241</f>
        <v>72.313635294945925</v>
      </c>
      <c r="AN550" s="125">
        <f xml:space="preserve"> Ops!AN$241</f>
        <v>-57.701153750870617</v>
      </c>
      <c r="AO550" s="125">
        <f xml:space="preserve"> Ops!AO$241</f>
        <v>91.859369757785316</v>
      </c>
      <c r="AP550" s="125">
        <f xml:space="preserve"> Ops!AP$241</f>
        <v>-57.134995474510106</v>
      </c>
      <c r="AQ550" s="125">
        <f xml:space="preserve"> Ops!AQ$241</f>
        <v>91.773965002601471</v>
      </c>
      <c r="AR550" s="125">
        <f xml:space="preserve"> Ops!AR$241</f>
        <v>-56.560868907751683</v>
      </c>
      <c r="AS550" s="125">
        <f xml:space="preserve"> Ops!AS$241</f>
        <v>91.690696252550879</v>
      </c>
      <c r="AT550" s="125">
        <f xml:space="preserve"> Ops!AT$241</f>
        <v>-37.114021209774364</v>
      </c>
      <c r="AU550" s="125">
        <f xml:space="preserve"> Ops!AU$241</f>
        <v>72.745013306973306</v>
      </c>
      <c r="AV550" s="125">
        <f xml:space="preserve"> Ops!AV$241</f>
        <v>-55.388037646277553</v>
      </c>
      <c r="AW550" s="125">
        <f xml:space="preserve"> Ops!AW$241</f>
        <v>91.530708150919963</v>
      </c>
      <c r="AX550" s="125">
        <f xml:space="preserve"> Ops!AX$241</f>
        <v>-54.788987858909422</v>
      </c>
      <c r="AY550" s="125">
        <f xml:space="preserve"> Ops!AY$241</f>
        <v>91.454061306623771</v>
      </c>
      <c r="AZ550" s="125">
        <f xml:space="preserve"> Ops!AZ$241</f>
        <v>-54.181279459221514</v>
      </c>
      <c r="BA550" s="125">
        <f xml:space="preserve"> Ops!BA$241</f>
        <v>91.379695511095633</v>
      </c>
      <c r="BB550" s="125">
        <f xml:space="preserve"> Ops!BB$241</f>
        <v>3231.7387779879427</v>
      </c>
      <c r="BC550" s="125">
        <f xml:space="preserve"> Ops!BC$241</f>
        <v>0</v>
      </c>
      <c r="BD550" s="125">
        <f xml:space="preserve"> Ops!BD$241</f>
        <v>0</v>
      </c>
      <c r="BE550" s="125">
        <f xml:space="preserve"> Ops!BE$241</f>
        <v>0</v>
      </c>
      <c r="BF550" s="125">
        <f xml:space="preserve"> Ops!BF$241</f>
        <v>0</v>
      </c>
      <c r="BG550" s="125">
        <f xml:space="preserve"> Ops!BG$241</f>
        <v>0</v>
      </c>
      <c r="BH550" s="125">
        <f xml:space="preserve"> Ops!BH$241</f>
        <v>0</v>
      </c>
      <c r="BI550" s="125">
        <f xml:space="preserve"> Ops!BI$241</f>
        <v>0</v>
      </c>
      <c r="BJ550" s="125">
        <f xml:space="preserve"> Ops!BJ$241</f>
        <v>0</v>
      </c>
      <c r="BK550" s="125">
        <f xml:space="preserve"> Ops!BK$241</f>
        <v>0</v>
      </c>
      <c r="BL550" s="125">
        <f xml:space="preserve"> Ops!BL$241</f>
        <v>0</v>
      </c>
      <c r="BM550" s="125">
        <f xml:space="preserve"> Ops!BM$241</f>
        <v>0</v>
      </c>
      <c r="BN550" s="125">
        <f xml:space="preserve"> Ops!BN$241</f>
        <v>0</v>
      </c>
      <c r="BO550" s="125">
        <f xml:space="preserve"> Ops!BO$241</f>
        <v>0</v>
      </c>
      <c r="BP550" s="125">
        <f xml:space="preserve"> Ops!BP$241</f>
        <v>0</v>
      </c>
      <c r="BQ550" s="125">
        <f xml:space="preserve"> Ops!BQ$241</f>
        <v>0</v>
      </c>
      <c r="BR550" s="125">
        <f xml:space="preserve"> Ops!BR$241</f>
        <v>0</v>
      </c>
      <c r="BS550" s="125">
        <f xml:space="preserve"> Ops!BS$241</f>
        <v>0</v>
      </c>
      <c r="BT550" s="125">
        <f xml:space="preserve"> Ops!BT$241</f>
        <v>0</v>
      </c>
      <c r="BU550" s="125">
        <f xml:space="preserve"> Ops!BU$241</f>
        <v>0</v>
      </c>
      <c r="BV550" s="125">
        <f xml:space="preserve"> Ops!BV$241</f>
        <v>0</v>
      </c>
      <c r="BW550" s="125">
        <f xml:space="preserve"> Ops!BW$241</f>
        <v>0</v>
      </c>
      <c r="BX550" s="125">
        <f xml:space="preserve"> Ops!BX$241</f>
        <v>0</v>
      </c>
      <c r="BY550" s="125">
        <f xml:space="preserve"> Ops!BY$241</f>
        <v>0</v>
      </c>
      <c r="BZ550" s="125">
        <f xml:space="preserve"> Ops!BZ$241</f>
        <v>0</v>
      </c>
      <c r="CA550" s="125">
        <f xml:space="preserve"> Ops!CA$241</f>
        <v>0</v>
      </c>
      <c r="CB550" s="125">
        <f xml:space="preserve"> Ops!CB$241</f>
        <v>0</v>
      </c>
      <c r="CC550" s="125">
        <f xml:space="preserve"> Ops!CC$241</f>
        <v>0</v>
      </c>
      <c r="CD550" s="125">
        <f xml:space="preserve"> Ops!CD$241</f>
        <v>0</v>
      </c>
      <c r="CE550" s="125">
        <f xml:space="preserve"> Ops!CE$241</f>
        <v>0</v>
      </c>
      <c r="CF550" s="125">
        <f xml:space="preserve"> Ops!CF$241</f>
        <v>0</v>
      </c>
      <c r="CG550" s="125">
        <f xml:space="preserve"> Ops!CG$241</f>
        <v>0</v>
      </c>
      <c r="CH550" s="125">
        <f xml:space="preserve"> Ops!CH$241</f>
        <v>0</v>
      </c>
      <c r="CI550" s="125">
        <f xml:space="preserve"> Ops!CI$241</f>
        <v>0</v>
      </c>
      <c r="CJ550" s="125">
        <f xml:space="preserve"> Ops!CJ$241</f>
        <v>0</v>
      </c>
      <c r="CK550" s="125">
        <f xml:space="preserve"> Ops!CK$241</f>
        <v>0</v>
      </c>
      <c r="CL550" s="125">
        <f xml:space="preserve"> Ops!CL$241</f>
        <v>0</v>
      </c>
      <c r="CM550" s="125">
        <f xml:space="preserve"> Ops!CM$241</f>
        <v>0</v>
      </c>
      <c r="CN550" s="125">
        <f xml:space="preserve"> Ops!CN$241</f>
        <v>0</v>
      </c>
      <c r="CO550" s="125">
        <f xml:space="preserve"> Ops!CO$241</f>
        <v>0</v>
      </c>
      <c r="CP550" s="125">
        <f xml:space="preserve"> Ops!CP$241</f>
        <v>0</v>
      </c>
      <c r="CQ550" s="125">
        <f xml:space="preserve"> Ops!CQ$241</f>
        <v>0</v>
      </c>
      <c r="CR550" s="125">
        <f xml:space="preserve"> Ops!CR$241</f>
        <v>0</v>
      </c>
      <c r="CS550" s="125">
        <f xml:space="preserve"> Ops!CS$241</f>
        <v>0</v>
      </c>
      <c r="CT550" s="125">
        <f xml:space="preserve"> Ops!CT$241</f>
        <v>0</v>
      </c>
      <c r="CU550" s="125">
        <f xml:space="preserve"> Ops!CU$241</f>
        <v>0</v>
      </c>
      <c r="CV550" s="125">
        <f xml:space="preserve"> Ops!CV$241</f>
        <v>0</v>
      </c>
    </row>
    <row r="551" spans="1:100" ht="12.75" outlineLevel="1" x14ac:dyDescent="0.2">
      <c r="A551" s="79"/>
      <c r="B551" s="79"/>
      <c r="C551" s="561"/>
      <c r="D551" s="60"/>
      <c r="E551" s="125" t="str">
        <f xml:space="preserve"> Time!E$106</f>
        <v>Operating period flag</v>
      </c>
      <c r="F551" s="125">
        <f xml:space="preserve"> Time!F$106</f>
        <v>0</v>
      </c>
      <c r="G551" s="125" t="str">
        <f xml:space="preserve"> Time!G$106</f>
        <v>flag</v>
      </c>
      <c r="H551" s="125">
        <f xml:space="preserve"> Time!H$106</f>
        <v>40</v>
      </c>
      <c r="I551" s="125">
        <f xml:space="preserve"> Time!I$106</f>
        <v>0</v>
      </c>
      <c r="J551" s="125">
        <f xml:space="preserve"> Time!J$106</f>
        <v>0</v>
      </c>
      <c r="K551" s="125">
        <f xml:space="preserve"> Time!K$106</f>
        <v>0</v>
      </c>
      <c r="L551" s="125">
        <f xml:space="preserve"> Time!L$106</f>
        <v>0</v>
      </c>
      <c r="M551" s="125">
        <f xml:space="preserve"> Time!M$106</f>
        <v>0</v>
      </c>
      <c r="N551" s="125">
        <f xml:space="preserve"> Time!N$106</f>
        <v>0</v>
      </c>
      <c r="O551" s="125">
        <f xml:space="preserve"> Time!O$106</f>
        <v>1</v>
      </c>
      <c r="P551" s="125">
        <f xml:space="preserve"> Time!P$106</f>
        <v>1</v>
      </c>
      <c r="Q551" s="125">
        <f xml:space="preserve"> Time!Q$106</f>
        <v>1</v>
      </c>
      <c r="R551" s="125">
        <f xml:space="preserve"> Time!R$106</f>
        <v>1</v>
      </c>
      <c r="S551" s="125">
        <f xml:space="preserve"> Time!S$106</f>
        <v>1</v>
      </c>
      <c r="T551" s="125">
        <f xml:space="preserve"> Time!T$106</f>
        <v>1</v>
      </c>
      <c r="U551" s="125">
        <f xml:space="preserve"> Time!U$106</f>
        <v>1</v>
      </c>
      <c r="V551" s="125">
        <f xml:space="preserve"> Time!V$106</f>
        <v>1</v>
      </c>
      <c r="W551" s="125">
        <f xml:space="preserve"> Time!W$106</f>
        <v>1</v>
      </c>
      <c r="X551" s="125">
        <f xml:space="preserve"> Time!X$106</f>
        <v>1</v>
      </c>
      <c r="Y551" s="125">
        <f xml:space="preserve"> Time!Y$106</f>
        <v>1</v>
      </c>
      <c r="Z551" s="125">
        <f xml:space="preserve"> Time!Z$106</f>
        <v>1</v>
      </c>
      <c r="AA551" s="125">
        <f xml:space="preserve"> Time!AA$106</f>
        <v>1</v>
      </c>
      <c r="AB551" s="125">
        <f xml:space="preserve"> Time!AB$106</f>
        <v>1</v>
      </c>
      <c r="AC551" s="125">
        <f xml:space="preserve"> Time!AC$106</f>
        <v>1</v>
      </c>
      <c r="AD551" s="125">
        <f xml:space="preserve"> Time!AD$106</f>
        <v>1</v>
      </c>
      <c r="AE551" s="125">
        <f xml:space="preserve"> Time!AE$106</f>
        <v>1</v>
      </c>
      <c r="AF551" s="125">
        <f xml:space="preserve"> Time!AF$106</f>
        <v>1</v>
      </c>
      <c r="AG551" s="125">
        <f xml:space="preserve"> Time!AG$106</f>
        <v>1</v>
      </c>
      <c r="AH551" s="125">
        <f xml:space="preserve"> Time!AH$106</f>
        <v>1</v>
      </c>
      <c r="AI551" s="125">
        <f xml:space="preserve"> Time!AI$106</f>
        <v>1</v>
      </c>
      <c r="AJ551" s="125">
        <f xml:space="preserve"> Time!AJ$106</f>
        <v>1</v>
      </c>
      <c r="AK551" s="125">
        <f xml:space="preserve"> Time!AK$106</f>
        <v>1</v>
      </c>
      <c r="AL551" s="125">
        <f xml:space="preserve"> Time!AL$106</f>
        <v>1</v>
      </c>
      <c r="AM551" s="125">
        <f xml:space="preserve"> Time!AM$106</f>
        <v>1</v>
      </c>
      <c r="AN551" s="125">
        <f xml:space="preserve"> Time!AN$106</f>
        <v>1</v>
      </c>
      <c r="AO551" s="125">
        <f xml:space="preserve"> Time!AO$106</f>
        <v>1</v>
      </c>
      <c r="AP551" s="125">
        <f xml:space="preserve"> Time!AP$106</f>
        <v>1</v>
      </c>
      <c r="AQ551" s="125">
        <f xml:space="preserve"> Time!AQ$106</f>
        <v>1</v>
      </c>
      <c r="AR551" s="125">
        <f xml:space="preserve"> Time!AR$106</f>
        <v>1</v>
      </c>
      <c r="AS551" s="125">
        <f xml:space="preserve"> Time!AS$106</f>
        <v>1</v>
      </c>
      <c r="AT551" s="125">
        <f xml:space="preserve"> Time!AT$106</f>
        <v>1</v>
      </c>
      <c r="AU551" s="125">
        <f xml:space="preserve"> Time!AU$106</f>
        <v>1</v>
      </c>
      <c r="AV551" s="125">
        <f xml:space="preserve"> Time!AV$106</f>
        <v>1</v>
      </c>
      <c r="AW551" s="125">
        <f xml:space="preserve"> Time!AW$106</f>
        <v>1</v>
      </c>
      <c r="AX551" s="125">
        <f xml:space="preserve"> Time!AX$106</f>
        <v>1</v>
      </c>
      <c r="AY551" s="125">
        <f xml:space="preserve"> Time!AY$106</f>
        <v>1</v>
      </c>
      <c r="AZ551" s="125">
        <f xml:space="preserve"> Time!AZ$106</f>
        <v>1</v>
      </c>
      <c r="BA551" s="125">
        <f xml:space="preserve"> Time!BA$106</f>
        <v>1</v>
      </c>
      <c r="BB551" s="125">
        <f xml:space="preserve"> Time!BB$106</f>
        <v>1</v>
      </c>
      <c r="BC551" s="125">
        <f xml:space="preserve"> Time!BC$106</f>
        <v>0</v>
      </c>
      <c r="BD551" s="125">
        <f xml:space="preserve"> Time!BD$106</f>
        <v>0</v>
      </c>
      <c r="BE551" s="125">
        <f xml:space="preserve"> Time!BE$106</f>
        <v>0</v>
      </c>
      <c r="BF551" s="125">
        <f xml:space="preserve"> Time!BF$106</f>
        <v>0</v>
      </c>
      <c r="BG551" s="125">
        <f xml:space="preserve"> Time!BG$106</f>
        <v>0</v>
      </c>
      <c r="BH551" s="125">
        <f xml:space="preserve"> Time!BH$106</f>
        <v>0</v>
      </c>
      <c r="BI551" s="125">
        <f xml:space="preserve"> Time!BI$106</f>
        <v>0</v>
      </c>
      <c r="BJ551" s="125">
        <f xml:space="preserve"> Time!BJ$106</f>
        <v>0</v>
      </c>
      <c r="BK551" s="125">
        <f xml:space="preserve"> Time!BK$106</f>
        <v>0</v>
      </c>
      <c r="BL551" s="125">
        <f xml:space="preserve"> Time!BL$106</f>
        <v>0</v>
      </c>
      <c r="BM551" s="125">
        <f xml:space="preserve"> Time!BM$106</f>
        <v>0</v>
      </c>
      <c r="BN551" s="125">
        <f xml:space="preserve"> Time!BN$106</f>
        <v>0</v>
      </c>
      <c r="BO551" s="125">
        <f xml:space="preserve"> Time!BO$106</f>
        <v>0</v>
      </c>
      <c r="BP551" s="125">
        <f xml:space="preserve"> Time!BP$106</f>
        <v>0</v>
      </c>
      <c r="BQ551" s="125">
        <f xml:space="preserve"> Time!BQ$106</f>
        <v>0</v>
      </c>
      <c r="BR551" s="125">
        <f xml:space="preserve"> Time!BR$106</f>
        <v>0</v>
      </c>
      <c r="BS551" s="125">
        <f xml:space="preserve"> Time!BS$106</f>
        <v>0</v>
      </c>
      <c r="BT551" s="125">
        <f xml:space="preserve"> Time!BT$106</f>
        <v>0</v>
      </c>
      <c r="BU551" s="125">
        <f xml:space="preserve"> Time!BU$106</f>
        <v>0</v>
      </c>
      <c r="BV551" s="125">
        <f xml:space="preserve"> Time!BV$106</f>
        <v>0</v>
      </c>
      <c r="BW551" s="125">
        <f xml:space="preserve"> Time!BW$106</f>
        <v>0</v>
      </c>
      <c r="BX551" s="125">
        <f xml:space="preserve"> Time!BX$106</f>
        <v>0</v>
      </c>
      <c r="BY551" s="125">
        <f xml:space="preserve"> Time!BY$106</f>
        <v>0</v>
      </c>
      <c r="BZ551" s="125">
        <f xml:space="preserve"> Time!BZ$106</f>
        <v>0</v>
      </c>
      <c r="CA551" s="125">
        <f xml:space="preserve"> Time!CA$106</f>
        <v>0</v>
      </c>
      <c r="CB551" s="125">
        <f xml:space="preserve"> Time!CB$106</f>
        <v>0</v>
      </c>
      <c r="CC551" s="125">
        <f xml:space="preserve"> Time!CC$106</f>
        <v>0</v>
      </c>
      <c r="CD551" s="125">
        <f xml:space="preserve"> Time!CD$106</f>
        <v>0</v>
      </c>
      <c r="CE551" s="125">
        <f xml:space="preserve"> Time!CE$106</f>
        <v>0</v>
      </c>
      <c r="CF551" s="125">
        <f xml:space="preserve"> Time!CF$106</f>
        <v>0</v>
      </c>
      <c r="CG551" s="125">
        <f xml:space="preserve"> Time!CG$106</f>
        <v>0</v>
      </c>
      <c r="CH551" s="125">
        <f xml:space="preserve"> Time!CH$106</f>
        <v>0</v>
      </c>
      <c r="CI551" s="125">
        <f xml:space="preserve"> Time!CI$106</f>
        <v>0</v>
      </c>
      <c r="CJ551" s="125">
        <f xml:space="preserve"> Time!CJ$106</f>
        <v>0</v>
      </c>
      <c r="CK551" s="125">
        <f xml:space="preserve"> Time!CK$106</f>
        <v>0</v>
      </c>
      <c r="CL551" s="125">
        <f xml:space="preserve"> Time!CL$106</f>
        <v>0</v>
      </c>
      <c r="CM551" s="125">
        <f xml:space="preserve"> Time!CM$106</f>
        <v>0</v>
      </c>
      <c r="CN551" s="125">
        <f xml:space="preserve"> Time!CN$106</f>
        <v>0</v>
      </c>
      <c r="CO551" s="125">
        <f xml:space="preserve"> Time!CO$106</f>
        <v>0</v>
      </c>
      <c r="CP551" s="125">
        <f xml:space="preserve"> Time!CP$106</f>
        <v>0</v>
      </c>
      <c r="CQ551" s="125">
        <f xml:space="preserve"> Time!CQ$106</f>
        <v>0</v>
      </c>
      <c r="CR551" s="125">
        <f xml:space="preserve"> Time!CR$106</f>
        <v>0</v>
      </c>
      <c r="CS551" s="125">
        <f xml:space="preserve"> Time!CS$106</f>
        <v>0</v>
      </c>
      <c r="CT551" s="125">
        <f xml:space="preserve"> Time!CT$106</f>
        <v>0</v>
      </c>
      <c r="CU551" s="125">
        <f xml:space="preserve"> Time!CU$106</f>
        <v>0</v>
      </c>
      <c r="CV551" s="125">
        <f xml:space="preserve"> Time!CV$106</f>
        <v>0</v>
      </c>
    </row>
    <row r="552" spans="1:100" ht="12.75" outlineLevel="1" x14ac:dyDescent="0.2">
      <c r="A552" s="79"/>
      <c r="B552" s="79"/>
      <c r="C552" s="561"/>
      <c r="D552" s="60"/>
      <c r="E552" s="125" t="str">
        <f xml:space="preserve"> Time!E$101</f>
        <v xml:space="preserve">Last operating period flag </v>
      </c>
      <c r="F552" s="125">
        <f xml:space="preserve"> Time!F$101</f>
        <v>0</v>
      </c>
      <c r="G552" s="125" t="str">
        <f xml:space="preserve"> Time!G$101</f>
        <v>flag</v>
      </c>
      <c r="H552" s="125">
        <f xml:space="preserve"> Time!H$101</f>
        <v>1</v>
      </c>
      <c r="I552" s="125">
        <f xml:space="preserve"> Time!I$101</f>
        <v>0</v>
      </c>
      <c r="J552" s="125">
        <f xml:space="preserve"> Time!J$101</f>
        <v>0</v>
      </c>
      <c r="K552" s="125">
        <f xml:space="preserve"> Time!K$101</f>
        <v>0</v>
      </c>
      <c r="L552" s="125">
        <f xml:space="preserve"> Time!L$101</f>
        <v>0</v>
      </c>
      <c r="M552" s="125">
        <f xml:space="preserve"> Time!M$101</f>
        <v>0</v>
      </c>
      <c r="N552" s="125">
        <f xml:space="preserve"> Time!N$101</f>
        <v>0</v>
      </c>
      <c r="O552" s="125">
        <f xml:space="preserve"> Time!O$101</f>
        <v>0</v>
      </c>
      <c r="P552" s="125">
        <f xml:space="preserve"> Time!P$101</f>
        <v>0</v>
      </c>
      <c r="Q552" s="125">
        <f xml:space="preserve"> Time!Q$101</f>
        <v>0</v>
      </c>
      <c r="R552" s="125">
        <f xml:space="preserve"> Time!R$101</f>
        <v>0</v>
      </c>
      <c r="S552" s="125">
        <f xml:space="preserve"> Time!S$101</f>
        <v>0</v>
      </c>
      <c r="T552" s="125">
        <f xml:space="preserve"> Time!T$101</f>
        <v>0</v>
      </c>
      <c r="U552" s="125">
        <f xml:space="preserve"> Time!U$101</f>
        <v>0</v>
      </c>
      <c r="V552" s="125">
        <f xml:space="preserve"> Time!V$101</f>
        <v>0</v>
      </c>
      <c r="W552" s="125">
        <f xml:space="preserve"> Time!W$101</f>
        <v>0</v>
      </c>
      <c r="X552" s="125">
        <f xml:space="preserve"> Time!X$101</f>
        <v>0</v>
      </c>
      <c r="Y552" s="125">
        <f xml:space="preserve"> Time!Y$101</f>
        <v>0</v>
      </c>
      <c r="Z552" s="125">
        <f xml:space="preserve"> Time!Z$101</f>
        <v>0</v>
      </c>
      <c r="AA552" s="125">
        <f xml:space="preserve"> Time!AA$101</f>
        <v>0</v>
      </c>
      <c r="AB552" s="125">
        <f xml:space="preserve"> Time!AB$101</f>
        <v>0</v>
      </c>
      <c r="AC552" s="125">
        <f xml:space="preserve"> Time!AC$101</f>
        <v>0</v>
      </c>
      <c r="AD552" s="125">
        <f xml:space="preserve"> Time!AD$101</f>
        <v>0</v>
      </c>
      <c r="AE552" s="125">
        <f xml:space="preserve"> Time!AE$101</f>
        <v>0</v>
      </c>
      <c r="AF552" s="125">
        <f xml:space="preserve"> Time!AF$101</f>
        <v>0</v>
      </c>
      <c r="AG552" s="125">
        <f xml:space="preserve"> Time!AG$101</f>
        <v>0</v>
      </c>
      <c r="AH552" s="125">
        <f xml:space="preserve"> Time!AH$101</f>
        <v>0</v>
      </c>
      <c r="AI552" s="125">
        <f xml:space="preserve"> Time!AI$101</f>
        <v>0</v>
      </c>
      <c r="AJ552" s="125">
        <f xml:space="preserve"> Time!AJ$101</f>
        <v>0</v>
      </c>
      <c r="AK552" s="125">
        <f xml:space="preserve"> Time!AK$101</f>
        <v>0</v>
      </c>
      <c r="AL552" s="125">
        <f xml:space="preserve"> Time!AL$101</f>
        <v>0</v>
      </c>
      <c r="AM552" s="125">
        <f xml:space="preserve"> Time!AM$101</f>
        <v>0</v>
      </c>
      <c r="AN552" s="125">
        <f xml:space="preserve"> Time!AN$101</f>
        <v>0</v>
      </c>
      <c r="AO552" s="125">
        <f xml:space="preserve"> Time!AO$101</f>
        <v>0</v>
      </c>
      <c r="AP552" s="125">
        <f xml:space="preserve"> Time!AP$101</f>
        <v>0</v>
      </c>
      <c r="AQ552" s="125">
        <f xml:space="preserve"> Time!AQ$101</f>
        <v>0</v>
      </c>
      <c r="AR552" s="125">
        <f xml:space="preserve"> Time!AR$101</f>
        <v>0</v>
      </c>
      <c r="AS552" s="125">
        <f xml:space="preserve"> Time!AS$101</f>
        <v>0</v>
      </c>
      <c r="AT552" s="125">
        <f xml:space="preserve"> Time!AT$101</f>
        <v>0</v>
      </c>
      <c r="AU552" s="125">
        <f xml:space="preserve"> Time!AU$101</f>
        <v>0</v>
      </c>
      <c r="AV552" s="125">
        <f xml:space="preserve"> Time!AV$101</f>
        <v>0</v>
      </c>
      <c r="AW552" s="125">
        <f xml:space="preserve"> Time!AW$101</f>
        <v>0</v>
      </c>
      <c r="AX552" s="125">
        <f xml:space="preserve"> Time!AX$101</f>
        <v>0</v>
      </c>
      <c r="AY552" s="125">
        <f xml:space="preserve"> Time!AY$101</f>
        <v>0</v>
      </c>
      <c r="AZ552" s="125">
        <f xml:space="preserve"> Time!AZ$101</f>
        <v>0</v>
      </c>
      <c r="BA552" s="125">
        <f xml:space="preserve"> Time!BA$101</f>
        <v>0</v>
      </c>
      <c r="BB552" s="125">
        <f xml:space="preserve"> Time!BB$101</f>
        <v>1</v>
      </c>
      <c r="BC552" s="125">
        <f xml:space="preserve"> Time!BC$101</f>
        <v>0</v>
      </c>
      <c r="BD552" s="125">
        <f xml:space="preserve"> Time!BD$101</f>
        <v>0</v>
      </c>
      <c r="BE552" s="125">
        <f xml:space="preserve"> Time!BE$101</f>
        <v>0</v>
      </c>
      <c r="BF552" s="125">
        <f xml:space="preserve"> Time!BF$101</f>
        <v>0</v>
      </c>
      <c r="BG552" s="125">
        <f xml:space="preserve"> Time!BG$101</f>
        <v>0</v>
      </c>
      <c r="BH552" s="125">
        <f xml:space="preserve"> Time!BH$101</f>
        <v>0</v>
      </c>
      <c r="BI552" s="125">
        <f xml:space="preserve"> Time!BI$101</f>
        <v>0</v>
      </c>
      <c r="BJ552" s="125">
        <f xml:space="preserve"> Time!BJ$101</f>
        <v>0</v>
      </c>
      <c r="BK552" s="125">
        <f xml:space="preserve"> Time!BK$101</f>
        <v>0</v>
      </c>
      <c r="BL552" s="125">
        <f xml:space="preserve"> Time!BL$101</f>
        <v>0</v>
      </c>
      <c r="BM552" s="125">
        <f xml:space="preserve"> Time!BM$101</f>
        <v>0</v>
      </c>
      <c r="BN552" s="125">
        <f xml:space="preserve"> Time!BN$101</f>
        <v>0</v>
      </c>
      <c r="BO552" s="125">
        <f xml:space="preserve"> Time!BO$101</f>
        <v>0</v>
      </c>
      <c r="BP552" s="125">
        <f xml:space="preserve"> Time!BP$101</f>
        <v>0</v>
      </c>
      <c r="BQ552" s="125">
        <f xml:space="preserve"> Time!BQ$101</f>
        <v>0</v>
      </c>
      <c r="BR552" s="125">
        <f xml:space="preserve"> Time!BR$101</f>
        <v>0</v>
      </c>
      <c r="BS552" s="125">
        <f xml:space="preserve"> Time!BS$101</f>
        <v>0</v>
      </c>
      <c r="BT552" s="125">
        <f xml:space="preserve"> Time!BT$101</f>
        <v>0</v>
      </c>
      <c r="BU552" s="125">
        <f xml:space="preserve"> Time!BU$101</f>
        <v>0</v>
      </c>
      <c r="BV552" s="125">
        <f xml:space="preserve"> Time!BV$101</f>
        <v>0</v>
      </c>
      <c r="BW552" s="125">
        <f xml:space="preserve"> Time!BW$101</f>
        <v>0</v>
      </c>
      <c r="BX552" s="125">
        <f xml:space="preserve"> Time!BX$101</f>
        <v>0</v>
      </c>
      <c r="BY552" s="125">
        <f xml:space="preserve"> Time!BY$101</f>
        <v>0</v>
      </c>
      <c r="BZ552" s="125">
        <f xml:space="preserve"> Time!BZ$101</f>
        <v>0</v>
      </c>
      <c r="CA552" s="125">
        <f xml:space="preserve"> Time!CA$101</f>
        <v>0</v>
      </c>
      <c r="CB552" s="125">
        <f xml:space="preserve"> Time!CB$101</f>
        <v>0</v>
      </c>
      <c r="CC552" s="125">
        <f xml:space="preserve"> Time!CC$101</f>
        <v>0</v>
      </c>
      <c r="CD552" s="125">
        <f xml:space="preserve"> Time!CD$101</f>
        <v>0</v>
      </c>
      <c r="CE552" s="125">
        <f xml:space="preserve"> Time!CE$101</f>
        <v>0</v>
      </c>
      <c r="CF552" s="125">
        <f xml:space="preserve"> Time!CF$101</f>
        <v>0</v>
      </c>
      <c r="CG552" s="125">
        <f xml:space="preserve"> Time!CG$101</f>
        <v>0</v>
      </c>
      <c r="CH552" s="125">
        <f xml:space="preserve"> Time!CH$101</f>
        <v>0</v>
      </c>
      <c r="CI552" s="125">
        <f xml:space="preserve"> Time!CI$101</f>
        <v>0</v>
      </c>
      <c r="CJ552" s="125">
        <f xml:space="preserve"> Time!CJ$101</f>
        <v>0</v>
      </c>
      <c r="CK552" s="125">
        <f xml:space="preserve"> Time!CK$101</f>
        <v>0</v>
      </c>
      <c r="CL552" s="125">
        <f xml:space="preserve"> Time!CL$101</f>
        <v>0</v>
      </c>
      <c r="CM552" s="125">
        <f xml:space="preserve"> Time!CM$101</f>
        <v>0</v>
      </c>
      <c r="CN552" s="125">
        <f xml:space="preserve"> Time!CN$101</f>
        <v>0</v>
      </c>
      <c r="CO552" s="125">
        <f xml:space="preserve"> Time!CO$101</f>
        <v>0</v>
      </c>
      <c r="CP552" s="125">
        <f xml:space="preserve"> Time!CP$101</f>
        <v>0</v>
      </c>
      <c r="CQ552" s="125">
        <f xml:space="preserve"> Time!CQ$101</f>
        <v>0</v>
      </c>
      <c r="CR552" s="125">
        <f xml:space="preserve"> Time!CR$101</f>
        <v>0</v>
      </c>
      <c r="CS552" s="125">
        <f xml:space="preserve"> Time!CS$101</f>
        <v>0</v>
      </c>
      <c r="CT552" s="125">
        <f xml:space="preserve"> Time!CT$101</f>
        <v>0</v>
      </c>
      <c r="CU552" s="125">
        <f xml:space="preserve"> Time!CU$101</f>
        <v>0</v>
      </c>
      <c r="CV552" s="125">
        <f xml:space="preserve"> Time!CV$101</f>
        <v>0</v>
      </c>
    </row>
    <row r="553" spans="1:100" ht="12.75" outlineLevel="1" x14ac:dyDescent="0.2">
      <c r="A553" s="79"/>
      <c r="B553" s="79"/>
      <c r="C553" s="561"/>
      <c r="D553" s="60"/>
      <c r="E553" s="32" t="s">
        <v>476</v>
      </c>
      <c r="F553" s="32"/>
      <c r="G553" s="32" t="str">
        <f xml:space="preserve"> SMU</f>
        <v>$ 000s</v>
      </c>
      <c r="H553" s="32">
        <f xml:space="preserve"> SUM(J553:CV553)</f>
        <v>0</v>
      </c>
      <c r="I553" s="32"/>
      <c r="J553" s="31">
        <f t="shared" ref="J553:AO553" si="905" xml:space="preserve"> -1 * MIN(J550, 0) * J551 * (1 - J552) * $F549</f>
        <v>0</v>
      </c>
      <c r="K553" s="31">
        <f t="shared" si="905"/>
        <v>0</v>
      </c>
      <c r="L553" s="31">
        <f t="shared" si="905"/>
        <v>0</v>
      </c>
      <c r="M553" s="31">
        <f t="shared" si="905"/>
        <v>0</v>
      </c>
      <c r="N553" s="31">
        <f t="shared" si="905"/>
        <v>0</v>
      </c>
      <c r="O553" s="31">
        <f t="shared" si="905"/>
        <v>0</v>
      </c>
      <c r="P553" s="31">
        <f t="shared" si="905"/>
        <v>0</v>
      </c>
      <c r="Q553" s="31">
        <f t="shared" si="905"/>
        <v>0</v>
      </c>
      <c r="R553" s="31">
        <f t="shared" si="905"/>
        <v>0</v>
      </c>
      <c r="S553" s="31">
        <f t="shared" si="905"/>
        <v>0</v>
      </c>
      <c r="T553" s="31">
        <f t="shared" si="905"/>
        <v>0</v>
      </c>
      <c r="U553" s="31">
        <f t="shared" si="905"/>
        <v>0</v>
      </c>
      <c r="V553" s="31">
        <f t="shared" si="905"/>
        <v>0</v>
      </c>
      <c r="W553" s="31">
        <f t="shared" si="905"/>
        <v>0</v>
      </c>
      <c r="X553" s="31">
        <f t="shared" si="905"/>
        <v>0</v>
      </c>
      <c r="Y553" s="31">
        <f t="shared" si="905"/>
        <v>0</v>
      </c>
      <c r="Z553" s="31">
        <f t="shared" si="905"/>
        <v>0</v>
      </c>
      <c r="AA553" s="31">
        <f t="shared" si="905"/>
        <v>0</v>
      </c>
      <c r="AB553" s="31">
        <f t="shared" si="905"/>
        <v>0</v>
      </c>
      <c r="AC553" s="31">
        <f t="shared" si="905"/>
        <v>0</v>
      </c>
      <c r="AD553" s="31">
        <f t="shared" si="905"/>
        <v>0</v>
      </c>
      <c r="AE553" s="31">
        <f t="shared" si="905"/>
        <v>0</v>
      </c>
      <c r="AF553" s="31">
        <f t="shared" si="905"/>
        <v>0</v>
      </c>
      <c r="AG553" s="31">
        <f t="shared" si="905"/>
        <v>0</v>
      </c>
      <c r="AH553" s="31">
        <f t="shared" si="905"/>
        <v>0</v>
      </c>
      <c r="AI553" s="31">
        <f t="shared" si="905"/>
        <v>0</v>
      </c>
      <c r="AJ553" s="31">
        <f t="shared" si="905"/>
        <v>0</v>
      </c>
      <c r="AK553" s="31">
        <f t="shared" si="905"/>
        <v>0</v>
      </c>
      <c r="AL553" s="31">
        <f t="shared" si="905"/>
        <v>0</v>
      </c>
      <c r="AM553" s="31">
        <f t="shared" si="905"/>
        <v>0</v>
      </c>
      <c r="AN553" s="31">
        <f t="shared" si="905"/>
        <v>0</v>
      </c>
      <c r="AO553" s="31">
        <f t="shared" si="905"/>
        <v>0</v>
      </c>
      <c r="AP553" s="31">
        <f t="shared" ref="AP553:BU553" si="906" xml:space="preserve"> -1 * MIN(AP550, 0) * AP551 * (1 - AP552) * $F549</f>
        <v>0</v>
      </c>
      <c r="AQ553" s="31">
        <f t="shared" si="906"/>
        <v>0</v>
      </c>
      <c r="AR553" s="31">
        <f t="shared" si="906"/>
        <v>0</v>
      </c>
      <c r="AS553" s="31">
        <f t="shared" si="906"/>
        <v>0</v>
      </c>
      <c r="AT553" s="31">
        <f t="shared" si="906"/>
        <v>0</v>
      </c>
      <c r="AU553" s="31">
        <f t="shared" si="906"/>
        <v>0</v>
      </c>
      <c r="AV553" s="31">
        <f t="shared" si="906"/>
        <v>0</v>
      </c>
      <c r="AW553" s="31">
        <f t="shared" si="906"/>
        <v>0</v>
      </c>
      <c r="AX553" s="31">
        <f t="shared" si="906"/>
        <v>0</v>
      </c>
      <c r="AY553" s="31">
        <f t="shared" si="906"/>
        <v>0</v>
      </c>
      <c r="AZ553" s="31">
        <f t="shared" si="906"/>
        <v>0</v>
      </c>
      <c r="BA553" s="31">
        <f t="shared" si="906"/>
        <v>0</v>
      </c>
      <c r="BB553" s="31">
        <f t="shared" si="906"/>
        <v>0</v>
      </c>
      <c r="BC553" s="31">
        <f t="shared" si="906"/>
        <v>0</v>
      </c>
      <c r="BD553" s="31">
        <f t="shared" si="906"/>
        <v>0</v>
      </c>
      <c r="BE553" s="31">
        <f t="shared" si="906"/>
        <v>0</v>
      </c>
      <c r="BF553" s="31">
        <f t="shared" si="906"/>
        <v>0</v>
      </c>
      <c r="BG553" s="31">
        <f t="shared" si="906"/>
        <v>0</v>
      </c>
      <c r="BH553" s="31">
        <f t="shared" si="906"/>
        <v>0</v>
      </c>
      <c r="BI553" s="31">
        <f t="shared" si="906"/>
        <v>0</v>
      </c>
      <c r="BJ553" s="31">
        <f t="shared" si="906"/>
        <v>0</v>
      </c>
      <c r="BK553" s="31">
        <f t="shared" si="906"/>
        <v>0</v>
      </c>
      <c r="BL553" s="31">
        <f t="shared" si="906"/>
        <v>0</v>
      </c>
      <c r="BM553" s="31">
        <f t="shared" si="906"/>
        <v>0</v>
      </c>
      <c r="BN553" s="31">
        <f t="shared" si="906"/>
        <v>0</v>
      </c>
      <c r="BO553" s="31">
        <f t="shared" si="906"/>
        <v>0</v>
      </c>
      <c r="BP553" s="31">
        <f t="shared" si="906"/>
        <v>0</v>
      </c>
      <c r="BQ553" s="31">
        <f t="shared" si="906"/>
        <v>0</v>
      </c>
      <c r="BR553" s="31">
        <f t="shared" si="906"/>
        <v>0</v>
      </c>
      <c r="BS553" s="31">
        <f t="shared" si="906"/>
        <v>0</v>
      </c>
      <c r="BT553" s="31">
        <f t="shared" si="906"/>
        <v>0</v>
      </c>
      <c r="BU553" s="31">
        <f t="shared" si="906"/>
        <v>0</v>
      </c>
      <c r="BV553" s="31">
        <f t="shared" ref="BV553:CV553" si="907" xml:space="preserve"> -1 * MIN(BV550, 0) * BV551 * (1 - BV552) * $F549</f>
        <v>0</v>
      </c>
      <c r="BW553" s="31">
        <f t="shared" si="907"/>
        <v>0</v>
      </c>
      <c r="BX553" s="31">
        <f t="shared" si="907"/>
        <v>0</v>
      </c>
      <c r="BY553" s="31">
        <f t="shared" si="907"/>
        <v>0</v>
      </c>
      <c r="BZ553" s="31">
        <f t="shared" si="907"/>
        <v>0</v>
      </c>
      <c r="CA553" s="31">
        <f t="shared" si="907"/>
        <v>0</v>
      </c>
      <c r="CB553" s="31">
        <f t="shared" si="907"/>
        <v>0</v>
      </c>
      <c r="CC553" s="31">
        <f t="shared" si="907"/>
        <v>0</v>
      </c>
      <c r="CD553" s="31">
        <f t="shared" si="907"/>
        <v>0</v>
      </c>
      <c r="CE553" s="31">
        <f t="shared" si="907"/>
        <v>0</v>
      </c>
      <c r="CF553" s="31">
        <f t="shared" si="907"/>
        <v>0</v>
      </c>
      <c r="CG553" s="31">
        <f t="shared" si="907"/>
        <v>0</v>
      </c>
      <c r="CH553" s="31">
        <f t="shared" si="907"/>
        <v>0</v>
      </c>
      <c r="CI553" s="31">
        <f t="shared" si="907"/>
        <v>0</v>
      </c>
      <c r="CJ553" s="31">
        <f t="shared" si="907"/>
        <v>0</v>
      </c>
      <c r="CK553" s="31">
        <f t="shared" si="907"/>
        <v>0</v>
      </c>
      <c r="CL553" s="31">
        <f t="shared" si="907"/>
        <v>0</v>
      </c>
      <c r="CM553" s="31">
        <f t="shared" si="907"/>
        <v>0</v>
      </c>
      <c r="CN553" s="31">
        <f t="shared" si="907"/>
        <v>0</v>
      </c>
      <c r="CO553" s="31">
        <f t="shared" si="907"/>
        <v>0</v>
      </c>
      <c r="CP553" s="31">
        <f t="shared" si="907"/>
        <v>0</v>
      </c>
      <c r="CQ553" s="31">
        <f t="shared" si="907"/>
        <v>0</v>
      </c>
      <c r="CR553" s="31">
        <f t="shared" si="907"/>
        <v>0</v>
      </c>
      <c r="CS553" s="31">
        <f t="shared" si="907"/>
        <v>0</v>
      </c>
      <c r="CT553" s="31">
        <f t="shared" si="907"/>
        <v>0</v>
      </c>
      <c r="CU553" s="31">
        <f t="shared" si="907"/>
        <v>0</v>
      </c>
      <c r="CV553" s="31">
        <f t="shared" si="907"/>
        <v>0</v>
      </c>
    </row>
    <row r="554" spans="1:100" ht="12.75" outlineLevel="1" x14ac:dyDescent="0.2">
      <c r="A554" s="79"/>
      <c r="B554" s="79"/>
      <c r="C554" s="561"/>
      <c r="D554" s="60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32"/>
      <c r="CS554" s="32"/>
      <c r="CT554" s="32"/>
      <c r="CU554" s="32"/>
      <c r="CV554" s="32"/>
    </row>
    <row r="555" spans="1:100" ht="12.75" outlineLevel="1" x14ac:dyDescent="0.2">
      <c r="A555" s="639"/>
      <c r="B555" s="639"/>
      <c r="C555" s="640"/>
      <c r="D555" s="641"/>
      <c r="E555" s="32" t="str">
        <f t="shared" ref="E555:AJ555" si="908" xml:space="preserve"> E$541</f>
        <v>WCF available balance</v>
      </c>
      <c r="F555" s="32">
        <f t="shared" si="908"/>
        <v>0</v>
      </c>
      <c r="G555" s="32" t="str">
        <f t="shared" si="908"/>
        <v>$ 000s</v>
      </c>
      <c r="H555" s="32">
        <f t="shared" si="908"/>
        <v>0</v>
      </c>
      <c r="I555" s="32">
        <f t="shared" si="908"/>
        <v>0</v>
      </c>
      <c r="J555" s="32">
        <f t="shared" si="908"/>
        <v>0</v>
      </c>
      <c r="K555" s="32">
        <f t="shared" si="908"/>
        <v>0</v>
      </c>
      <c r="L555" s="32">
        <f t="shared" si="908"/>
        <v>0</v>
      </c>
      <c r="M555" s="32">
        <f t="shared" si="908"/>
        <v>0</v>
      </c>
      <c r="N555" s="32">
        <f t="shared" si="908"/>
        <v>0</v>
      </c>
      <c r="O555" s="32">
        <f t="shared" si="908"/>
        <v>0</v>
      </c>
      <c r="P555" s="32">
        <f t="shared" si="908"/>
        <v>0</v>
      </c>
      <c r="Q555" s="32">
        <f t="shared" si="908"/>
        <v>0</v>
      </c>
      <c r="R555" s="32">
        <f t="shared" si="908"/>
        <v>0</v>
      </c>
      <c r="S555" s="32">
        <f t="shared" si="908"/>
        <v>0</v>
      </c>
      <c r="T555" s="32">
        <f t="shared" si="908"/>
        <v>0</v>
      </c>
      <c r="U555" s="32">
        <f t="shared" si="908"/>
        <v>0</v>
      </c>
      <c r="V555" s="32">
        <f t="shared" si="908"/>
        <v>0</v>
      </c>
      <c r="W555" s="32">
        <f t="shared" si="908"/>
        <v>0</v>
      </c>
      <c r="X555" s="32">
        <f t="shared" si="908"/>
        <v>0</v>
      </c>
      <c r="Y555" s="32">
        <f t="shared" si="908"/>
        <v>0</v>
      </c>
      <c r="Z555" s="32">
        <f t="shared" si="908"/>
        <v>0</v>
      </c>
      <c r="AA555" s="32">
        <f t="shared" si="908"/>
        <v>0</v>
      </c>
      <c r="AB555" s="32">
        <f t="shared" si="908"/>
        <v>0</v>
      </c>
      <c r="AC555" s="32">
        <f t="shared" si="908"/>
        <v>0</v>
      </c>
      <c r="AD555" s="32">
        <f t="shared" si="908"/>
        <v>0</v>
      </c>
      <c r="AE555" s="32">
        <f t="shared" si="908"/>
        <v>0</v>
      </c>
      <c r="AF555" s="32">
        <f t="shared" si="908"/>
        <v>0</v>
      </c>
      <c r="AG555" s="32">
        <f t="shared" si="908"/>
        <v>0</v>
      </c>
      <c r="AH555" s="32">
        <f t="shared" si="908"/>
        <v>0</v>
      </c>
      <c r="AI555" s="32">
        <f t="shared" si="908"/>
        <v>0</v>
      </c>
      <c r="AJ555" s="32">
        <f t="shared" si="908"/>
        <v>0</v>
      </c>
      <c r="AK555" s="32">
        <f t="shared" ref="AK555:BP555" si="909" xml:space="preserve"> AK$541</f>
        <v>0</v>
      </c>
      <c r="AL555" s="32">
        <f t="shared" si="909"/>
        <v>0</v>
      </c>
      <c r="AM555" s="32">
        <f t="shared" si="909"/>
        <v>0</v>
      </c>
      <c r="AN555" s="32">
        <f t="shared" si="909"/>
        <v>0</v>
      </c>
      <c r="AO555" s="32">
        <f t="shared" si="909"/>
        <v>0</v>
      </c>
      <c r="AP555" s="32">
        <f t="shared" si="909"/>
        <v>0</v>
      </c>
      <c r="AQ555" s="32">
        <f t="shared" si="909"/>
        <v>0</v>
      </c>
      <c r="AR555" s="32">
        <f t="shared" si="909"/>
        <v>0</v>
      </c>
      <c r="AS555" s="32">
        <f t="shared" si="909"/>
        <v>0</v>
      </c>
      <c r="AT555" s="32">
        <f t="shared" si="909"/>
        <v>0</v>
      </c>
      <c r="AU555" s="32">
        <f t="shared" si="909"/>
        <v>0</v>
      </c>
      <c r="AV555" s="32">
        <f t="shared" si="909"/>
        <v>0</v>
      </c>
      <c r="AW555" s="32">
        <f t="shared" si="909"/>
        <v>0</v>
      </c>
      <c r="AX555" s="32">
        <f t="shared" si="909"/>
        <v>0</v>
      </c>
      <c r="AY555" s="32">
        <f t="shared" si="909"/>
        <v>0</v>
      </c>
      <c r="AZ555" s="32">
        <f t="shared" si="909"/>
        <v>0</v>
      </c>
      <c r="BA555" s="32">
        <f t="shared" si="909"/>
        <v>0</v>
      </c>
      <c r="BB555" s="32">
        <f t="shared" si="909"/>
        <v>0</v>
      </c>
      <c r="BC555" s="32">
        <f t="shared" si="909"/>
        <v>0</v>
      </c>
      <c r="BD555" s="32">
        <f t="shared" si="909"/>
        <v>0</v>
      </c>
      <c r="BE555" s="32">
        <f t="shared" si="909"/>
        <v>0</v>
      </c>
      <c r="BF555" s="32">
        <f t="shared" si="909"/>
        <v>0</v>
      </c>
      <c r="BG555" s="32">
        <f t="shared" si="909"/>
        <v>0</v>
      </c>
      <c r="BH555" s="32">
        <f t="shared" si="909"/>
        <v>0</v>
      </c>
      <c r="BI555" s="32">
        <f t="shared" si="909"/>
        <v>0</v>
      </c>
      <c r="BJ555" s="32">
        <f t="shared" si="909"/>
        <v>0</v>
      </c>
      <c r="BK555" s="32">
        <f t="shared" si="909"/>
        <v>0</v>
      </c>
      <c r="BL555" s="32">
        <f t="shared" si="909"/>
        <v>0</v>
      </c>
      <c r="BM555" s="32">
        <f t="shared" si="909"/>
        <v>0</v>
      </c>
      <c r="BN555" s="32">
        <f t="shared" si="909"/>
        <v>0</v>
      </c>
      <c r="BO555" s="32">
        <f t="shared" si="909"/>
        <v>0</v>
      </c>
      <c r="BP555" s="32">
        <f t="shared" si="909"/>
        <v>0</v>
      </c>
      <c r="BQ555" s="32">
        <f t="shared" ref="BQ555:CV555" si="910" xml:space="preserve"> BQ$541</f>
        <v>0</v>
      </c>
      <c r="BR555" s="32">
        <f t="shared" si="910"/>
        <v>0</v>
      </c>
      <c r="BS555" s="32">
        <f t="shared" si="910"/>
        <v>0</v>
      </c>
      <c r="BT555" s="32">
        <f t="shared" si="910"/>
        <v>0</v>
      </c>
      <c r="BU555" s="32">
        <f t="shared" si="910"/>
        <v>0</v>
      </c>
      <c r="BV555" s="32">
        <f t="shared" si="910"/>
        <v>0</v>
      </c>
      <c r="BW555" s="32">
        <f t="shared" si="910"/>
        <v>0</v>
      </c>
      <c r="BX555" s="32">
        <f t="shared" si="910"/>
        <v>0</v>
      </c>
      <c r="BY555" s="32">
        <f t="shared" si="910"/>
        <v>0</v>
      </c>
      <c r="BZ555" s="32">
        <f t="shared" si="910"/>
        <v>0</v>
      </c>
      <c r="CA555" s="32">
        <f t="shared" si="910"/>
        <v>0</v>
      </c>
      <c r="CB555" s="32">
        <f t="shared" si="910"/>
        <v>0</v>
      </c>
      <c r="CC555" s="32">
        <f t="shared" si="910"/>
        <v>0</v>
      </c>
      <c r="CD555" s="32">
        <f t="shared" si="910"/>
        <v>0</v>
      </c>
      <c r="CE555" s="32">
        <f t="shared" si="910"/>
        <v>0</v>
      </c>
      <c r="CF555" s="32">
        <f t="shared" si="910"/>
        <v>0</v>
      </c>
      <c r="CG555" s="32">
        <f t="shared" si="910"/>
        <v>0</v>
      </c>
      <c r="CH555" s="32">
        <f t="shared" si="910"/>
        <v>0</v>
      </c>
      <c r="CI555" s="32">
        <f t="shared" si="910"/>
        <v>0</v>
      </c>
      <c r="CJ555" s="32">
        <f t="shared" si="910"/>
        <v>0</v>
      </c>
      <c r="CK555" s="32">
        <f t="shared" si="910"/>
        <v>0</v>
      </c>
      <c r="CL555" s="32">
        <f t="shared" si="910"/>
        <v>0</v>
      </c>
      <c r="CM555" s="32">
        <f t="shared" si="910"/>
        <v>0</v>
      </c>
      <c r="CN555" s="32">
        <f t="shared" si="910"/>
        <v>0</v>
      </c>
      <c r="CO555" s="32">
        <f t="shared" si="910"/>
        <v>0</v>
      </c>
      <c r="CP555" s="32">
        <f t="shared" si="910"/>
        <v>0</v>
      </c>
      <c r="CQ555" s="32">
        <f t="shared" si="910"/>
        <v>0</v>
      </c>
      <c r="CR555" s="32">
        <f t="shared" si="910"/>
        <v>0</v>
      </c>
      <c r="CS555" s="32">
        <f t="shared" si="910"/>
        <v>0</v>
      </c>
      <c r="CT555" s="32">
        <f t="shared" si="910"/>
        <v>0</v>
      </c>
      <c r="CU555" s="32">
        <f t="shared" si="910"/>
        <v>0</v>
      </c>
      <c r="CV555" s="32">
        <f t="shared" si="910"/>
        <v>0</v>
      </c>
    </row>
    <row r="556" spans="1:100" ht="12.75" outlineLevel="1" x14ac:dyDescent="0.2">
      <c r="A556" s="79"/>
      <c r="B556" s="79"/>
      <c r="C556" s="561"/>
      <c r="D556" s="60"/>
      <c r="E556" s="32" t="str">
        <f t="shared" ref="E556:AJ556" si="911" xml:space="preserve"> E$553</f>
        <v>WCF target drawdown</v>
      </c>
      <c r="F556" s="32">
        <f t="shared" si="911"/>
        <v>0</v>
      </c>
      <c r="G556" s="32" t="str">
        <f t="shared" si="911"/>
        <v>$ 000s</v>
      </c>
      <c r="H556" s="32">
        <f t="shared" si="911"/>
        <v>0</v>
      </c>
      <c r="I556" s="32">
        <f t="shared" si="911"/>
        <v>0</v>
      </c>
      <c r="J556" s="32">
        <f t="shared" si="911"/>
        <v>0</v>
      </c>
      <c r="K556" s="32">
        <f t="shared" si="911"/>
        <v>0</v>
      </c>
      <c r="L556" s="32">
        <f t="shared" si="911"/>
        <v>0</v>
      </c>
      <c r="M556" s="32">
        <f t="shared" si="911"/>
        <v>0</v>
      </c>
      <c r="N556" s="32">
        <f t="shared" si="911"/>
        <v>0</v>
      </c>
      <c r="O556" s="32">
        <f t="shared" si="911"/>
        <v>0</v>
      </c>
      <c r="P556" s="32">
        <f t="shared" si="911"/>
        <v>0</v>
      </c>
      <c r="Q556" s="32">
        <f t="shared" si="911"/>
        <v>0</v>
      </c>
      <c r="R556" s="32">
        <f t="shared" si="911"/>
        <v>0</v>
      </c>
      <c r="S556" s="32">
        <f t="shared" si="911"/>
        <v>0</v>
      </c>
      <c r="T556" s="32">
        <f t="shared" si="911"/>
        <v>0</v>
      </c>
      <c r="U556" s="32">
        <f t="shared" si="911"/>
        <v>0</v>
      </c>
      <c r="V556" s="32">
        <f t="shared" si="911"/>
        <v>0</v>
      </c>
      <c r="W556" s="32">
        <f t="shared" si="911"/>
        <v>0</v>
      </c>
      <c r="X556" s="32">
        <f t="shared" si="911"/>
        <v>0</v>
      </c>
      <c r="Y556" s="32">
        <f t="shared" si="911"/>
        <v>0</v>
      </c>
      <c r="Z556" s="32">
        <f t="shared" si="911"/>
        <v>0</v>
      </c>
      <c r="AA556" s="32">
        <f t="shared" si="911"/>
        <v>0</v>
      </c>
      <c r="AB556" s="32">
        <f t="shared" si="911"/>
        <v>0</v>
      </c>
      <c r="AC556" s="32">
        <f t="shared" si="911"/>
        <v>0</v>
      </c>
      <c r="AD556" s="32">
        <f t="shared" si="911"/>
        <v>0</v>
      </c>
      <c r="AE556" s="32">
        <f t="shared" si="911"/>
        <v>0</v>
      </c>
      <c r="AF556" s="32">
        <f t="shared" si="911"/>
        <v>0</v>
      </c>
      <c r="AG556" s="32">
        <f t="shared" si="911"/>
        <v>0</v>
      </c>
      <c r="AH556" s="32">
        <f t="shared" si="911"/>
        <v>0</v>
      </c>
      <c r="AI556" s="32">
        <f t="shared" si="911"/>
        <v>0</v>
      </c>
      <c r="AJ556" s="32">
        <f t="shared" si="911"/>
        <v>0</v>
      </c>
      <c r="AK556" s="32">
        <f t="shared" ref="AK556:BP556" si="912" xml:space="preserve"> AK$553</f>
        <v>0</v>
      </c>
      <c r="AL556" s="32">
        <f t="shared" si="912"/>
        <v>0</v>
      </c>
      <c r="AM556" s="32">
        <f t="shared" si="912"/>
        <v>0</v>
      </c>
      <c r="AN556" s="32">
        <f t="shared" si="912"/>
        <v>0</v>
      </c>
      <c r="AO556" s="32">
        <f t="shared" si="912"/>
        <v>0</v>
      </c>
      <c r="AP556" s="32">
        <f t="shared" si="912"/>
        <v>0</v>
      </c>
      <c r="AQ556" s="32">
        <f t="shared" si="912"/>
        <v>0</v>
      </c>
      <c r="AR556" s="32">
        <f t="shared" si="912"/>
        <v>0</v>
      </c>
      <c r="AS556" s="32">
        <f t="shared" si="912"/>
        <v>0</v>
      </c>
      <c r="AT556" s="32">
        <f t="shared" si="912"/>
        <v>0</v>
      </c>
      <c r="AU556" s="32">
        <f t="shared" si="912"/>
        <v>0</v>
      </c>
      <c r="AV556" s="32">
        <f t="shared" si="912"/>
        <v>0</v>
      </c>
      <c r="AW556" s="32">
        <f t="shared" si="912"/>
        <v>0</v>
      </c>
      <c r="AX556" s="32">
        <f t="shared" si="912"/>
        <v>0</v>
      </c>
      <c r="AY556" s="32">
        <f t="shared" si="912"/>
        <v>0</v>
      </c>
      <c r="AZ556" s="32">
        <f t="shared" si="912"/>
        <v>0</v>
      </c>
      <c r="BA556" s="32">
        <f t="shared" si="912"/>
        <v>0</v>
      </c>
      <c r="BB556" s="32">
        <f t="shared" si="912"/>
        <v>0</v>
      </c>
      <c r="BC556" s="32">
        <f t="shared" si="912"/>
        <v>0</v>
      </c>
      <c r="BD556" s="32">
        <f t="shared" si="912"/>
        <v>0</v>
      </c>
      <c r="BE556" s="32">
        <f t="shared" si="912"/>
        <v>0</v>
      </c>
      <c r="BF556" s="32">
        <f t="shared" si="912"/>
        <v>0</v>
      </c>
      <c r="BG556" s="32">
        <f t="shared" si="912"/>
        <v>0</v>
      </c>
      <c r="BH556" s="32">
        <f t="shared" si="912"/>
        <v>0</v>
      </c>
      <c r="BI556" s="32">
        <f t="shared" si="912"/>
        <v>0</v>
      </c>
      <c r="BJ556" s="32">
        <f t="shared" si="912"/>
        <v>0</v>
      </c>
      <c r="BK556" s="32">
        <f t="shared" si="912"/>
        <v>0</v>
      </c>
      <c r="BL556" s="32">
        <f t="shared" si="912"/>
        <v>0</v>
      </c>
      <c r="BM556" s="32">
        <f t="shared" si="912"/>
        <v>0</v>
      </c>
      <c r="BN556" s="32">
        <f t="shared" si="912"/>
        <v>0</v>
      </c>
      <c r="BO556" s="32">
        <f t="shared" si="912"/>
        <v>0</v>
      </c>
      <c r="BP556" s="32">
        <f t="shared" si="912"/>
        <v>0</v>
      </c>
      <c r="BQ556" s="32">
        <f t="shared" ref="BQ556:CV556" si="913" xml:space="preserve"> BQ$553</f>
        <v>0</v>
      </c>
      <c r="BR556" s="32">
        <f t="shared" si="913"/>
        <v>0</v>
      </c>
      <c r="BS556" s="32">
        <f t="shared" si="913"/>
        <v>0</v>
      </c>
      <c r="BT556" s="32">
        <f t="shared" si="913"/>
        <v>0</v>
      </c>
      <c r="BU556" s="32">
        <f t="shared" si="913"/>
        <v>0</v>
      </c>
      <c r="BV556" s="32">
        <f t="shared" si="913"/>
        <v>0</v>
      </c>
      <c r="BW556" s="32">
        <f t="shared" si="913"/>
        <v>0</v>
      </c>
      <c r="BX556" s="32">
        <f t="shared" si="913"/>
        <v>0</v>
      </c>
      <c r="BY556" s="32">
        <f t="shared" si="913"/>
        <v>0</v>
      </c>
      <c r="BZ556" s="32">
        <f t="shared" si="913"/>
        <v>0</v>
      </c>
      <c r="CA556" s="32">
        <f t="shared" si="913"/>
        <v>0</v>
      </c>
      <c r="CB556" s="32">
        <f t="shared" si="913"/>
        <v>0</v>
      </c>
      <c r="CC556" s="32">
        <f t="shared" si="913"/>
        <v>0</v>
      </c>
      <c r="CD556" s="32">
        <f t="shared" si="913"/>
        <v>0</v>
      </c>
      <c r="CE556" s="32">
        <f t="shared" si="913"/>
        <v>0</v>
      </c>
      <c r="CF556" s="32">
        <f t="shared" si="913"/>
        <v>0</v>
      </c>
      <c r="CG556" s="32">
        <f t="shared" si="913"/>
        <v>0</v>
      </c>
      <c r="CH556" s="32">
        <f t="shared" si="913"/>
        <v>0</v>
      </c>
      <c r="CI556" s="32">
        <f t="shared" si="913"/>
        <v>0</v>
      </c>
      <c r="CJ556" s="32">
        <f t="shared" si="913"/>
        <v>0</v>
      </c>
      <c r="CK556" s="32">
        <f t="shared" si="913"/>
        <v>0</v>
      </c>
      <c r="CL556" s="32">
        <f t="shared" si="913"/>
        <v>0</v>
      </c>
      <c r="CM556" s="32">
        <f t="shared" si="913"/>
        <v>0</v>
      </c>
      <c r="CN556" s="32">
        <f t="shared" si="913"/>
        <v>0</v>
      </c>
      <c r="CO556" s="32">
        <f t="shared" si="913"/>
        <v>0</v>
      </c>
      <c r="CP556" s="32">
        <f t="shared" si="913"/>
        <v>0</v>
      </c>
      <c r="CQ556" s="32">
        <f t="shared" si="913"/>
        <v>0</v>
      </c>
      <c r="CR556" s="32">
        <f t="shared" si="913"/>
        <v>0</v>
      </c>
      <c r="CS556" s="32">
        <f t="shared" si="913"/>
        <v>0</v>
      </c>
      <c r="CT556" s="32">
        <f t="shared" si="913"/>
        <v>0</v>
      </c>
      <c r="CU556" s="32">
        <f t="shared" si="913"/>
        <v>0</v>
      </c>
      <c r="CV556" s="32">
        <f t="shared" si="913"/>
        <v>0</v>
      </c>
    </row>
    <row r="557" spans="1:100" s="188" customFormat="1" ht="12.75" outlineLevel="1" x14ac:dyDescent="0.2">
      <c r="A557" s="397"/>
      <c r="B557" s="397"/>
      <c r="C557" s="566"/>
      <c r="D557" s="567" t="s">
        <v>366</v>
      </c>
      <c r="E557" s="188" t="s">
        <v>477</v>
      </c>
      <c r="G557" s="188" t="str">
        <f xml:space="preserve"> SMU</f>
        <v>$ 000s</v>
      </c>
      <c r="H557" s="188">
        <f xml:space="preserve"> SUM(J557:CV557)</f>
        <v>0</v>
      </c>
      <c r="J557" s="188">
        <f t="shared" ref="J557:AO557" si="914" xml:space="preserve"> MIN(J555:J556)</f>
        <v>0</v>
      </c>
      <c r="K557" s="188">
        <f t="shared" si="914"/>
        <v>0</v>
      </c>
      <c r="L557" s="188">
        <f t="shared" si="914"/>
        <v>0</v>
      </c>
      <c r="M557" s="188">
        <f t="shared" si="914"/>
        <v>0</v>
      </c>
      <c r="N557" s="188">
        <f t="shared" si="914"/>
        <v>0</v>
      </c>
      <c r="O557" s="188">
        <f t="shared" si="914"/>
        <v>0</v>
      </c>
      <c r="P557" s="188">
        <f t="shared" si="914"/>
        <v>0</v>
      </c>
      <c r="Q557" s="188">
        <f t="shared" si="914"/>
        <v>0</v>
      </c>
      <c r="R557" s="188">
        <f t="shared" si="914"/>
        <v>0</v>
      </c>
      <c r="S557" s="188">
        <f t="shared" si="914"/>
        <v>0</v>
      </c>
      <c r="T557" s="188">
        <f t="shared" si="914"/>
        <v>0</v>
      </c>
      <c r="U557" s="188">
        <f t="shared" si="914"/>
        <v>0</v>
      </c>
      <c r="V557" s="188">
        <f t="shared" si="914"/>
        <v>0</v>
      </c>
      <c r="W557" s="188">
        <f t="shared" si="914"/>
        <v>0</v>
      </c>
      <c r="X557" s="188">
        <f t="shared" si="914"/>
        <v>0</v>
      </c>
      <c r="Y557" s="188">
        <f t="shared" si="914"/>
        <v>0</v>
      </c>
      <c r="Z557" s="188">
        <f t="shared" si="914"/>
        <v>0</v>
      </c>
      <c r="AA557" s="188">
        <f t="shared" si="914"/>
        <v>0</v>
      </c>
      <c r="AB557" s="188">
        <f t="shared" si="914"/>
        <v>0</v>
      </c>
      <c r="AC557" s="188">
        <f t="shared" si="914"/>
        <v>0</v>
      </c>
      <c r="AD557" s="188">
        <f t="shared" si="914"/>
        <v>0</v>
      </c>
      <c r="AE557" s="188">
        <f t="shared" si="914"/>
        <v>0</v>
      </c>
      <c r="AF557" s="188">
        <f t="shared" si="914"/>
        <v>0</v>
      </c>
      <c r="AG557" s="188">
        <f t="shared" si="914"/>
        <v>0</v>
      </c>
      <c r="AH557" s="188">
        <f t="shared" si="914"/>
        <v>0</v>
      </c>
      <c r="AI557" s="188">
        <f t="shared" si="914"/>
        <v>0</v>
      </c>
      <c r="AJ557" s="188">
        <f t="shared" si="914"/>
        <v>0</v>
      </c>
      <c r="AK557" s="188">
        <f t="shared" si="914"/>
        <v>0</v>
      </c>
      <c r="AL557" s="188">
        <f t="shared" si="914"/>
        <v>0</v>
      </c>
      <c r="AM557" s="188">
        <f t="shared" si="914"/>
        <v>0</v>
      </c>
      <c r="AN557" s="188">
        <f t="shared" si="914"/>
        <v>0</v>
      </c>
      <c r="AO557" s="188">
        <f t="shared" si="914"/>
        <v>0</v>
      </c>
      <c r="AP557" s="188">
        <f t="shared" ref="AP557:BU557" si="915" xml:space="preserve"> MIN(AP555:AP556)</f>
        <v>0</v>
      </c>
      <c r="AQ557" s="188">
        <f t="shared" si="915"/>
        <v>0</v>
      </c>
      <c r="AR557" s="188">
        <f t="shared" si="915"/>
        <v>0</v>
      </c>
      <c r="AS557" s="188">
        <f t="shared" si="915"/>
        <v>0</v>
      </c>
      <c r="AT557" s="188">
        <f t="shared" si="915"/>
        <v>0</v>
      </c>
      <c r="AU557" s="188">
        <f t="shared" si="915"/>
        <v>0</v>
      </c>
      <c r="AV557" s="188">
        <f t="shared" si="915"/>
        <v>0</v>
      </c>
      <c r="AW557" s="188">
        <f t="shared" si="915"/>
        <v>0</v>
      </c>
      <c r="AX557" s="188">
        <f t="shared" si="915"/>
        <v>0</v>
      </c>
      <c r="AY557" s="188">
        <f t="shared" si="915"/>
        <v>0</v>
      </c>
      <c r="AZ557" s="188">
        <f t="shared" si="915"/>
        <v>0</v>
      </c>
      <c r="BA557" s="188">
        <f t="shared" si="915"/>
        <v>0</v>
      </c>
      <c r="BB557" s="188">
        <f t="shared" si="915"/>
        <v>0</v>
      </c>
      <c r="BC557" s="188">
        <f t="shared" si="915"/>
        <v>0</v>
      </c>
      <c r="BD557" s="188">
        <f t="shared" si="915"/>
        <v>0</v>
      </c>
      <c r="BE557" s="188">
        <f t="shared" si="915"/>
        <v>0</v>
      </c>
      <c r="BF557" s="188">
        <f t="shared" si="915"/>
        <v>0</v>
      </c>
      <c r="BG557" s="188">
        <f t="shared" si="915"/>
        <v>0</v>
      </c>
      <c r="BH557" s="188">
        <f t="shared" si="915"/>
        <v>0</v>
      </c>
      <c r="BI557" s="188">
        <f t="shared" si="915"/>
        <v>0</v>
      </c>
      <c r="BJ557" s="188">
        <f t="shared" si="915"/>
        <v>0</v>
      </c>
      <c r="BK557" s="188">
        <f t="shared" si="915"/>
        <v>0</v>
      </c>
      <c r="BL557" s="188">
        <f t="shared" si="915"/>
        <v>0</v>
      </c>
      <c r="BM557" s="188">
        <f t="shared" si="915"/>
        <v>0</v>
      </c>
      <c r="BN557" s="188">
        <f t="shared" si="915"/>
        <v>0</v>
      </c>
      <c r="BO557" s="188">
        <f t="shared" si="915"/>
        <v>0</v>
      </c>
      <c r="BP557" s="188">
        <f t="shared" si="915"/>
        <v>0</v>
      </c>
      <c r="BQ557" s="188">
        <f t="shared" si="915"/>
        <v>0</v>
      </c>
      <c r="BR557" s="188">
        <f t="shared" si="915"/>
        <v>0</v>
      </c>
      <c r="BS557" s="188">
        <f t="shared" si="915"/>
        <v>0</v>
      </c>
      <c r="BT557" s="188">
        <f t="shared" si="915"/>
        <v>0</v>
      </c>
      <c r="BU557" s="188">
        <f t="shared" si="915"/>
        <v>0</v>
      </c>
      <c r="BV557" s="188">
        <f t="shared" ref="BV557:CV557" si="916" xml:space="preserve"> MIN(BV555:BV556)</f>
        <v>0</v>
      </c>
      <c r="BW557" s="188">
        <f t="shared" si="916"/>
        <v>0</v>
      </c>
      <c r="BX557" s="188">
        <f t="shared" si="916"/>
        <v>0</v>
      </c>
      <c r="BY557" s="188">
        <f t="shared" si="916"/>
        <v>0</v>
      </c>
      <c r="BZ557" s="188">
        <f t="shared" si="916"/>
        <v>0</v>
      </c>
      <c r="CA557" s="188">
        <f t="shared" si="916"/>
        <v>0</v>
      </c>
      <c r="CB557" s="188">
        <f t="shared" si="916"/>
        <v>0</v>
      </c>
      <c r="CC557" s="188">
        <f t="shared" si="916"/>
        <v>0</v>
      </c>
      <c r="CD557" s="188">
        <f t="shared" si="916"/>
        <v>0</v>
      </c>
      <c r="CE557" s="188">
        <f t="shared" si="916"/>
        <v>0</v>
      </c>
      <c r="CF557" s="188">
        <f t="shared" si="916"/>
        <v>0</v>
      </c>
      <c r="CG557" s="188">
        <f t="shared" si="916"/>
        <v>0</v>
      </c>
      <c r="CH557" s="188">
        <f t="shared" si="916"/>
        <v>0</v>
      </c>
      <c r="CI557" s="188">
        <f t="shared" si="916"/>
        <v>0</v>
      </c>
      <c r="CJ557" s="188">
        <f t="shared" si="916"/>
        <v>0</v>
      </c>
      <c r="CK557" s="188">
        <f t="shared" si="916"/>
        <v>0</v>
      </c>
      <c r="CL557" s="188">
        <f t="shared" si="916"/>
        <v>0</v>
      </c>
      <c r="CM557" s="188">
        <f t="shared" si="916"/>
        <v>0</v>
      </c>
      <c r="CN557" s="188">
        <f t="shared" si="916"/>
        <v>0</v>
      </c>
      <c r="CO557" s="188">
        <f t="shared" si="916"/>
        <v>0</v>
      </c>
      <c r="CP557" s="188">
        <f t="shared" si="916"/>
        <v>0</v>
      </c>
      <c r="CQ557" s="188">
        <f t="shared" si="916"/>
        <v>0</v>
      </c>
      <c r="CR557" s="188">
        <f t="shared" si="916"/>
        <v>0</v>
      </c>
      <c r="CS557" s="188">
        <f t="shared" si="916"/>
        <v>0</v>
      </c>
      <c r="CT557" s="188">
        <f t="shared" si="916"/>
        <v>0</v>
      </c>
      <c r="CU557" s="188">
        <f t="shared" si="916"/>
        <v>0</v>
      </c>
      <c r="CV557" s="188">
        <f t="shared" si="916"/>
        <v>0</v>
      </c>
    </row>
    <row r="558" spans="1:100" ht="12.75" outlineLevel="1" x14ac:dyDescent="0.2">
      <c r="A558" s="79"/>
      <c r="B558" s="79"/>
      <c r="C558" s="561"/>
      <c r="D558" s="60"/>
      <c r="E558" s="188"/>
      <c r="F558" s="188"/>
      <c r="G558" s="188"/>
      <c r="H558" s="188"/>
      <c r="I558" s="188"/>
      <c r="J558" s="188"/>
      <c r="K558" s="188"/>
      <c r="L558" s="188"/>
      <c r="M558" s="188"/>
      <c r="N558" s="188"/>
      <c r="O558" s="188"/>
      <c r="P558" s="188"/>
      <c r="Q558" s="188"/>
      <c r="R558" s="188"/>
      <c r="S558" s="188"/>
      <c r="T558" s="188"/>
      <c r="U558" s="188"/>
      <c r="V558" s="188"/>
      <c r="W558" s="188"/>
      <c r="X558" s="188"/>
      <c r="Y558" s="188"/>
      <c r="Z558" s="188"/>
      <c r="AA558" s="188"/>
      <c r="AB558" s="188"/>
      <c r="AC558" s="188"/>
      <c r="AD558" s="188"/>
      <c r="AE558" s="188"/>
      <c r="AF558" s="188"/>
      <c r="AG558" s="188"/>
      <c r="AH558" s="188"/>
      <c r="AI558" s="188"/>
      <c r="AJ558" s="188"/>
      <c r="AK558" s="188"/>
      <c r="AL558" s="188"/>
      <c r="AM558" s="188"/>
      <c r="AN558" s="188"/>
      <c r="AO558" s="188"/>
      <c r="AP558" s="188"/>
      <c r="AQ558" s="188"/>
      <c r="AR558" s="188"/>
      <c r="AS558" s="188"/>
      <c r="AT558" s="188"/>
      <c r="AU558" s="188"/>
      <c r="AV558" s="188"/>
      <c r="AW558" s="188"/>
      <c r="AX558" s="188"/>
      <c r="AY558" s="188"/>
      <c r="AZ558" s="188"/>
      <c r="BA558" s="188"/>
      <c r="BB558" s="188"/>
      <c r="BC558" s="188"/>
      <c r="BD558" s="188"/>
      <c r="BE558" s="188"/>
      <c r="BF558" s="188"/>
      <c r="BG558" s="188"/>
      <c r="BH558" s="188"/>
      <c r="BI558" s="188"/>
      <c r="BJ558" s="188"/>
      <c r="BK558" s="188"/>
      <c r="BL558" s="188"/>
      <c r="BM558" s="188"/>
      <c r="BN558" s="188"/>
      <c r="BO558" s="188"/>
      <c r="BP558" s="188"/>
      <c r="BQ558" s="188"/>
      <c r="BR558" s="188"/>
      <c r="BS558" s="188"/>
      <c r="BT558" s="188"/>
      <c r="BU558" s="188"/>
      <c r="BV558" s="188"/>
      <c r="BW558" s="188"/>
      <c r="BX558" s="188"/>
      <c r="BY558" s="188"/>
      <c r="BZ558" s="188"/>
      <c r="CA558" s="188"/>
      <c r="CB558" s="188"/>
      <c r="CC558" s="188"/>
      <c r="CD558" s="188"/>
      <c r="CE558" s="188"/>
      <c r="CF558" s="188"/>
      <c r="CG558" s="188"/>
      <c r="CH558" s="188"/>
      <c r="CI558" s="188"/>
      <c r="CJ558" s="188"/>
      <c r="CK558" s="188"/>
      <c r="CL558" s="188"/>
      <c r="CM558" s="188"/>
      <c r="CN558" s="188"/>
      <c r="CO558" s="188"/>
      <c r="CP558" s="188"/>
      <c r="CQ558" s="188"/>
      <c r="CR558" s="188"/>
      <c r="CS558" s="188"/>
      <c r="CT558" s="188"/>
      <c r="CU558" s="188"/>
      <c r="CV558" s="188"/>
    </row>
    <row r="559" spans="1:100" ht="12.75" outlineLevel="1" x14ac:dyDescent="0.2">
      <c r="A559" s="79"/>
      <c r="B559" s="79"/>
      <c r="C559" s="561"/>
      <c r="D559" s="60"/>
      <c r="E559" s="32" t="str">
        <f t="shared" ref="E559:AJ559" si="917" xml:space="preserve"> E$553</f>
        <v>WCF target drawdown</v>
      </c>
      <c r="F559" s="32">
        <f t="shared" si="917"/>
        <v>0</v>
      </c>
      <c r="G559" s="32" t="str">
        <f t="shared" si="917"/>
        <v>$ 000s</v>
      </c>
      <c r="H559" s="32">
        <f t="shared" si="917"/>
        <v>0</v>
      </c>
      <c r="I559" s="32">
        <f t="shared" si="917"/>
        <v>0</v>
      </c>
      <c r="J559" s="32">
        <f t="shared" si="917"/>
        <v>0</v>
      </c>
      <c r="K559" s="32">
        <f t="shared" si="917"/>
        <v>0</v>
      </c>
      <c r="L559" s="32">
        <f t="shared" si="917"/>
        <v>0</v>
      </c>
      <c r="M559" s="32">
        <f t="shared" si="917"/>
        <v>0</v>
      </c>
      <c r="N559" s="32">
        <f t="shared" si="917"/>
        <v>0</v>
      </c>
      <c r="O559" s="32">
        <f t="shared" si="917"/>
        <v>0</v>
      </c>
      <c r="P559" s="32">
        <f t="shared" si="917"/>
        <v>0</v>
      </c>
      <c r="Q559" s="32">
        <f t="shared" si="917"/>
        <v>0</v>
      </c>
      <c r="R559" s="32">
        <f t="shared" si="917"/>
        <v>0</v>
      </c>
      <c r="S559" s="32">
        <f t="shared" si="917"/>
        <v>0</v>
      </c>
      <c r="T559" s="32">
        <f t="shared" si="917"/>
        <v>0</v>
      </c>
      <c r="U559" s="32">
        <f t="shared" si="917"/>
        <v>0</v>
      </c>
      <c r="V559" s="32">
        <f t="shared" si="917"/>
        <v>0</v>
      </c>
      <c r="W559" s="32">
        <f t="shared" si="917"/>
        <v>0</v>
      </c>
      <c r="X559" s="32">
        <f t="shared" si="917"/>
        <v>0</v>
      </c>
      <c r="Y559" s="32">
        <f t="shared" si="917"/>
        <v>0</v>
      </c>
      <c r="Z559" s="32">
        <f t="shared" si="917"/>
        <v>0</v>
      </c>
      <c r="AA559" s="32">
        <f t="shared" si="917"/>
        <v>0</v>
      </c>
      <c r="AB559" s="32">
        <f t="shared" si="917"/>
        <v>0</v>
      </c>
      <c r="AC559" s="32">
        <f t="shared" si="917"/>
        <v>0</v>
      </c>
      <c r="AD559" s="32">
        <f t="shared" si="917"/>
        <v>0</v>
      </c>
      <c r="AE559" s="32">
        <f t="shared" si="917"/>
        <v>0</v>
      </c>
      <c r="AF559" s="32">
        <f t="shared" si="917"/>
        <v>0</v>
      </c>
      <c r="AG559" s="32">
        <f t="shared" si="917"/>
        <v>0</v>
      </c>
      <c r="AH559" s="32">
        <f t="shared" si="917"/>
        <v>0</v>
      </c>
      <c r="AI559" s="32">
        <f t="shared" si="917"/>
        <v>0</v>
      </c>
      <c r="AJ559" s="32">
        <f t="shared" si="917"/>
        <v>0</v>
      </c>
      <c r="AK559" s="32">
        <f t="shared" ref="AK559:BP559" si="918" xml:space="preserve"> AK$553</f>
        <v>0</v>
      </c>
      <c r="AL559" s="32">
        <f t="shared" si="918"/>
        <v>0</v>
      </c>
      <c r="AM559" s="32">
        <f t="shared" si="918"/>
        <v>0</v>
      </c>
      <c r="AN559" s="32">
        <f t="shared" si="918"/>
        <v>0</v>
      </c>
      <c r="AO559" s="32">
        <f t="shared" si="918"/>
        <v>0</v>
      </c>
      <c r="AP559" s="32">
        <f t="shared" si="918"/>
        <v>0</v>
      </c>
      <c r="AQ559" s="32">
        <f t="shared" si="918"/>
        <v>0</v>
      </c>
      <c r="AR559" s="32">
        <f t="shared" si="918"/>
        <v>0</v>
      </c>
      <c r="AS559" s="32">
        <f t="shared" si="918"/>
        <v>0</v>
      </c>
      <c r="AT559" s="32">
        <f t="shared" si="918"/>
        <v>0</v>
      </c>
      <c r="AU559" s="32">
        <f t="shared" si="918"/>
        <v>0</v>
      </c>
      <c r="AV559" s="32">
        <f t="shared" si="918"/>
        <v>0</v>
      </c>
      <c r="AW559" s="32">
        <f t="shared" si="918"/>
        <v>0</v>
      </c>
      <c r="AX559" s="32">
        <f t="shared" si="918"/>
        <v>0</v>
      </c>
      <c r="AY559" s="32">
        <f t="shared" si="918"/>
        <v>0</v>
      </c>
      <c r="AZ559" s="32">
        <f t="shared" si="918"/>
        <v>0</v>
      </c>
      <c r="BA559" s="32">
        <f t="shared" si="918"/>
        <v>0</v>
      </c>
      <c r="BB559" s="32">
        <f t="shared" si="918"/>
        <v>0</v>
      </c>
      <c r="BC559" s="32">
        <f t="shared" si="918"/>
        <v>0</v>
      </c>
      <c r="BD559" s="32">
        <f t="shared" si="918"/>
        <v>0</v>
      </c>
      <c r="BE559" s="32">
        <f t="shared" si="918"/>
        <v>0</v>
      </c>
      <c r="BF559" s="32">
        <f t="shared" si="918"/>
        <v>0</v>
      </c>
      <c r="BG559" s="32">
        <f t="shared" si="918"/>
        <v>0</v>
      </c>
      <c r="BH559" s="32">
        <f t="shared" si="918"/>
        <v>0</v>
      </c>
      <c r="BI559" s="32">
        <f t="shared" si="918"/>
        <v>0</v>
      </c>
      <c r="BJ559" s="32">
        <f t="shared" si="918"/>
        <v>0</v>
      </c>
      <c r="BK559" s="32">
        <f t="shared" si="918"/>
        <v>0</v>
      </c>
      <c r="BL559" s="32">
        <f t="shared" si="918"/>
        <v>0</v>
      </c>
      <c r="BM559" s="32">
        <f t="shared" si="918"/>
        <v>0</v>
      </c>
      <c r="BN559" s="32">
        <f t="shared" si="918"/>
        <v>0</v>
      </c>
      <c r="BO559" s="32">
        <f t="shared" si="918"/>
        <v>0</v>
      </c>
      <c r="BP559" s="32">
        <f t="shared" si="918"/>
        <v>0</v>
      </c>
      <c r="BQ559" s="32">
        <f t="shared" ref="BQ559:CV559" si="919" xml:space="preserve"> BQ$553</f>
        <v>0</v>
      </c>
      <c r="BR559" s="32">
        <f t="shared" si="919"/>
        <v>0</v>
      </c>
      <c r="BS559" s="32">
        <f t="shared" si="919"/>
        <v>0</v>
      </c>
      <c r="BT559" s="32">
        <f t="shared" si="919"/>
        <v>0</v>
      </c>
      <c r="BU559" s="32">
        <f t="shared" si="919"/>
        <v>0</v>
      </c>
      <c r="BV559" s="32">
        <f t="shared" si="919"/>
        <v>0</v>
      </c>
      <c r="BW559" s="32">
        <f t="shared" si="919"/>
        <v>0</v>
      </c>
      <c r="BX559" s="32">
        <f t="shared" si="919"/>
        <v>0</v>
      </c>
      <c r="BY559" s="32">
        <f t="shared" si="919"/>
        <v>0</v>
      </c>
      <c r="BZ559" s="32">
        <f t="shared" si="919"/>
        <v>0</v>
      </c>
      <c r="CA559" s="32">
        <f t="shared" si="919"/>
        <v>0</v>
      </c>
      <c r="CB559" s="32">
        <f t="shared" si="919"/>
        <v>0</v>
      </c>
      <c r="CC559" s="32">
        <f t="shared" si="919"/>
        <v>0</v>
      </c>
      <c r="CD559" s="32">
        <f t="shared" si="919"/>
        <v>0</v>
      </c>
      <c r="CE559" s="32">
        <f t="shared" si="919"/>
        <v>0</v>
      </c>
      <c r="CF559" s="32">
        <f t="shared" si="919"/>
        <v>0</v>
      </c>
      <c r="CG559" s="32">
        <f t="shared" si="919"/>
        <v>0</v>
      </c>
      <c r="CH559" s="32">
        <f t="shared" si="919"/>
        <v>0</v>
      </c>
      <c r="CI559" s="32">
        <f t="shared" si="919"/>
        <v>0</v>
      </c>
      <c r="CJ559" s="32">
        <f t="shared" si="919"/>
        <v>0</v>
      </c>
      <c r="CK559" s="32">
        <f t="shared" si="919"/>
        <v>0</v>
      </c>
      <c r="CL559" s="32">
        <f t="shared" si="919"/>
        <v>0</v>
      </c>
      <c r="CM559" s="32">
        <f t="shared" si="919"/>
        <v>0</v>
      </c>
      <c r="CN559" s="32">
        <f t="shared" si="919"/>
        <v>0</v>
      </c>
      <c r="CO559" s="32">
        <f t="shared" si="919"/>
        <v>0</v>
      </c>
      <c r="CP559" s="32">
        <f t="shared" si="919"/>
        <v>0</v>
      </c>
      <c r="CQ559" s="32">
        <f t="shared" si="919"/>
        <v>0</v>
      </c>
      <c r="CR559" s="32">
        <f t="shared" si="919"/>
        <v>0</v>
      </c>
      <c r="CS559" s="32">
        <f t="shared" si="919"/>
        <v>0</v>
      </c>
      <c r="CT559" s="32">
        <f t="shared" si="919"/>
        <v>0</v>
      </c>
      <c r="CU559" s="32">
        <f t="shared" si="919"/>
        <v>0</v>
      </c>
      <c r="CV559" s="32">
        <f t="shared" si="919"/>
        <v>0</v>
      </c>
    </row>
    <row r="560" spans="1:100" ht="12.75" outlineLevel="1" x14ac:dyDescent="0.2">
      <c r="A560" s="79"/>
      <c r="B560" s="79"/>
      <c r="C560" s="561"/>
      <c r="D560" s="60"/>
      <c r="E560" s="32" t="str">
        <f t="shared" ref="E560:AJ560" si="920" xml:space="preserve"> E$557</f>
        <v>WCF drawdown</v>
      </c>
      <c r="F560" s="32">
        <f t="shared" si="920"/>
        <v>0</v>
      </c>
      <c r="G560" s="32" t="str">
        <f t="shared" si="920"/>
        <v>$ 000s</v>
      </c>
      <c r="H560" s="32">
        <f t="shared" si="920"/>
        <v>0</v>
      </c>
      <c r="I560" s="32">
        <f t="shared" si="920"/>
        <v>0</v>
      </c>
      <c r="J560" s="32">
        <f t="shared" si="920"/>
        <v>0</v>
      </c>
      <c r="K560" s="32">
        <f t="shared" si="920"/>
        <v>0</v>
      </c>
      <c r="L560" s="32">
        <f t="shared" si="920"/>
        <v>0</v>
      </c>
      <c r="M560" s="32">
        <f t="shared" si="920"/>
        <v>0</v>
      </c>
      <c r="N560" s="32">
        <f t="shared" si="920"/>
        <v>0</v>
      </c>
      <c r="O560" s="32">
        <f t="shared" si="920"/>
        <v>0</v>
      </c>
      <c r="P560" s="32">
        <f t="shared" si="920"/>
        <v>0</v>
      </c>
      <c r="Q560" s="32">
        <f t="shared" si="920"/>
        <v>0</v>
      </c>
      <c r="R560" s="32">
        <f t="shared" si="920"/>
        <v>0</v>
      </c>
      <c r="S560" s="32">
        <f t="shared" si="920"/>
        <v>0</v>
      </c>
      <c r="T560" s="32">
        <f t="shared" si="920"/>
        <v>0</v>
      </c>
      <c r="U560" s="32">
        <f t="shared" si="920"/>
        <v>0</v>
      </c>
      <c r="V560" s="32">
        <f t="shared" si="920"/>
        <v>0</v>
      </c>
      <c r="W560" s="32">
        <f t="shared" si="920"/>
        <v>0</v>
      </c>
      <c r="X560" s="32">
        <f t="shared" si="920"/>
        <v>0</v>
      </c>
      <c r="Y560" s="32">
        <f t="shared" si="920"/>
        <v>0</v>
      </c>
      <c r="Z560" s="32">
        <f t="shared" si="920"/>
        <v>0</v>
      </c>
      <c r="AA560" s="32">
        <f t="shared" si="920"/>
        <v>0</v>
      </c>
      <c r="AB560" s="32">
        <f t="shared" si="920"/>
        <v>0</v>
      </c>
      <c r="AC560" s="32">
        <f t="shared" si="920"/>
        <v>0</v>
      </c>
      <c r="AD560" s="32">
        <f t="shared" si="920"/>
        <v>0</v>
      </c>
      <c r="AE560" s="32">
        <f t="shared" si="920"/>
        <v>0</v>
      </c>
      <c r="AF560" s="32">
        <f t="shared" si="920"/>
        <v>0</v>
      </c>
      <c r="AG560" s="32">
        <f t="shared" si="920"/>
        <v>0</v>
      </c>
      <c r="AH560" s="32">
        <f t="shared" si="920"/>
        <v>0</v>
      </c>
      <c r="AI560" s="32">
        <f t="shared" si="920"/>
        <v>0</v>
      </c>
      <c r="AJ560" s="32">
        <f t="shared" si="920"/>
        <v>0</v>
      </c>
      <c r="AK560" s="32">
        <f t="shared" ref="AK560:BP560" si="921" xml:space="preserve"> AK$557</f>
        <v>0</v>
      </c>
      <c r="AL560" s="32">
        <f t="shared" si="921"/>
        <v>0</v>
      </c>
      <c r="AM560" s="32">
        <f t="shared" si="921"/>
        <v>0</v>
      </c>
      <c r="AN560" s="32">
        <f t="shared" si="921"/>
        <v>0</v>
      </c>
      <c r="AO560" s="32">
        <f t="shared" si="921"/>
        <v>0</v>
      </c>
      <c r="AP560" s="32">
        <f t="shared" si="921"/>
        <v>0</v>
      </c>
      <c r="AQ560" s="32">
        <f t="shared" si="921"/>
        <v>0</v>
      </c>
      <c r="AR560" s="32">
        <f t="shared" si="921"/>
        <v>0</v>
      </c>
      <c r="AS560" s="32">
        <f t="shared" si="921"/>
        <v>0</v>
      </c>
      <c r="AT560" s="32">
        <f t="shared" si="921"/>
        <v>0</v>
      </c>
      <c r="AU560" s="32">
        <f t="shared" si="921"/>
        <v>0</v>
      </c>
      <c r="AV560" s="32">
        <f t="shared" si="921"/>
        <v>0</v>
      </c>
      <c r="AW560" s="32">
        <f t="shared" si="921"/>
        <v>0</v>
      </c>
      <c r="AX560" s="32">
        <f t="shared" si="921"/>
        <v>0</v>
      </c>
      <c r="AY560" s="32">
        <f t="shared" si="921"/>
        <v>0</v>
      </c>
      <c r="AZ560" s="32">
        <f t="shared" si="921"/>
        <v>0</v>
      </c>
      <c r="BA560" s="32">
        <f t="shared" si="921"/>
        <v>0</v>
      </c>
      <c r="BB560" s="32">
        <f t="shared" si="921"/>
        <v>0</v>
      </c>
      <c r="BC560" s="32">
        <f t="shared" si="921"/>
        <v>0</v>
      </c>
      <c r="BD560" s="32">
        <f t="shared" si="921"/>
        <v>0</v>
      </c>
      <c r="BE560" s="32">
        <f t="shared" si="921"/>
        <v>0</v>
      </c>
      <c r="BF560" s="32">
        <f t="shared" si="921"/>
        <v>0</v>
      </c>
      <c r="BG560" s="32">
        <f t="shared" si="921"/>
        <v>0</v>
      </c>
      <c r="BH560" s="32">
        <f t="shared" si="921"/>
        <v>0</v>
      </c>
      <c r="BI560" s="32">
        <f t="shared" si="921"/>
        <v>0</v>
      </c>
      <c r="BJ560" s="32">
        <f t="shared" si="921"/>
        <v>0</v>
      </c>
      <c r="BK560" s="32">
        <f t="shared" si="921"/>
        <v>0</v>
      </c>
      <c r="BL560" s="32">
        <f t="shared" si="921"/>
        <v>0</v>
      </c>
      <c r="BM560" s="32">
        <f t="shared" si="921"/>
        <v>0</v>
      </c>
      <c r="BN560" s="32">
        <f t="shared" si="921"/>
        <v>0</v>
      </c>
      <c r="BO560" s="32">
        <f t="shared" si="921"/>
        <v>0</v>
      </c>
      <c r="BP560" s="32">
        <f t="shared" si="921"/>
        <v>0</v>
      </c>
      <c r="BQ560" s="32">
        <f t="shared" ref="BQ560:CV560" si="922" xml:space="preserve"> BQ$557</f>
        <v>0</v>
      </c>
      <c r="BR560" s="32">
        <f t="shared" si="922"/>
        <v>0</v>
      </c>
      <c r="BS560" s="32">
        <f t="shared" si="922"/>
        <v>0</v>
      </c>
      <c r="BT560" s="32">
        <f t="shared" si="922"/>
        <v>0</v>
      </c>
      <c r="BU560" s="32">
        <f t="shared" si="922"/>
        <v>0</v>
      </c>
      <c r="BV560" s="32">
        <f t="shared" si="922"/>
        <v>0</v>
      </c>
      <c r="BW560" s="32">
        <f t="shared" si="922"/>
        <v>0</v>
      </c>
      <c r="BX560" s="32">
        <f t="shared" si="922"/>
        <v>0</v>
      </c>
      <c r="BY560" s="32">
        <f t="shared" si="922"/>
        <v>0</v>
      </c>
      <c r="BZ560" s="32">
        <f t="shared" si="922"/>
        <v>0</v>
      </c>
      <c r="CA560" s="32">
        <f t="shared" si="922"/>
        <v>0</v>
      </c>
      <c r="CB560" s="32">
        <f t="shared" si="922"/>
        <v>0</v>
      </c>
      <c r="CC560" s="32">
        <f t="shared" si="922"/>
        <v>0</v>
      </c>
      <c r="CD560" s="32">
        <f t="shared" si="922"/>
        <v>0</v>
      </c>
      <c r="CE560" s="32">
        <f t="shared" si="922"/>
        <v>0</v>
      </c>
      <c r="CF560" s="32">
        <f t="shared" si="922"/>
        <v>0</v>
      </c>
      <c r="CG560" s="32">
        <f t="shared" si="922"/>
        <v>0</v>
      </c>
      <c r="CH560" s="32">
        <f t="shared" si="922"/>
        <v>0</v>
      </c>
      <c r="CI560" s="32">
        <f t="shared" si="922"/>
        <v>0</v>
      </c>
      <c r="CJ560" s="32">
        <f t="shared" si="922"/>
        <v>0</v>
      </c>
      <c r="CK560" s="32">
        <f t="shared" si="922"/>
        <v>0</v>
      </c>
      <c r="CL560" s="32">
        <f t="shared" si="922"/>
        <v>0</v>
      </c>
      <c r="CM560" s="32">
        <f t="shared" si="922"/>
        <v>0</v>
      </c>
      <c r="CN560" s="32">
        <f t="shared" si="922"/>
        <v>0</v>
      </c>
      <c r="CO560" s="32">
        <f t="shared" si="922"/>
        <v>0</v>
      </c>
      <c r="CP560" s="32">
        <f t="shared" si="922"/>
        <v>0</v>
      </c>
      <c r="CQ560" s="32">
        <f t="shared" si="922"/>
        <v>0</v>
      </c>
      <c r="CR560" s="32">
        <f t="shared" si="922"/>
        <v>0</v>
      </c>
      <c r="CS560" s="32">
        <f t="shared" si="922"/>
        <v>0</v>
      </c>
      <c r="CT560" s="32">
        <f t="shared" si="922"/>
        <v>0</v>
      </c>
      <c r="CU560" s="32">
        <f t="shared" si="922"/>
        <v>0</v>
      </c>
      <c r="CV560" s="32">
        <f t="shared" si="922"/>
        <v>0</v>
      </c>
    </row>
    <row r="561" spans="1:100" s="188" customFormat="1" ht="12.75" outlineLevel="1" x14ac:dyDescent="0.2">
      <c r="A561" s="397"/>
      <c r="B561" s="397"/>
      <c r="C561" s="566"/>
      <c r="D561" s="567"/>
      <c r="E561" s="188" t="s">
        <v>478</v>
      </c>
      <c r="F561" s="633">
        <f xml:space="preserve"> IF(SUM(J561:CV561) &lt;&gt; 0, 1, 0)</f>
        <v>0</v>
      </c>
      <c r="G561" s="188" t="s">
        <v>39</v>
      </c>
      <c r="J561" s="633">
        <f t="shared" ref="J561:AO561" si="923" xml:space="preserve"> IF(J560 &lt; J559, 1, 0)</f>
        <v>0</v>
      </c>
      <c r="K561" s="633">
        <f t="shared" si="923"/>
        <v>0</v>
      </c>
      <c r="L561" s="633">
        <f t="shared" si="923"/>
        <v>0</v>
      </c>
      <c r="M561" s="633">
        <f t="shared" si="923"/>
        <v>0</v>
      </c>
      <c r="N561" s="633">
        <f t="shared" si="923"/>
        <v>0</v>
      </c>
      <c r="O561" s="633">
        <f t="shared" si="923"/>
        <v>0</v>
      </c>
      <c r="P561" s="633">
        <f t="shared" si="923"/>
        <v>0</v>
      </c>
      <c r="Q561" s="633">
        <f t="shared" si="923"/>
        <v>0</v>
      </c>
      <c r="R561" s="633">
        <f t="shared" si="923"/>
        <v>0</v>
      </c>
      <c r="S561" s="633">
        <f t="shared" si="923"/>
        <v>0</v>
      </c>
      <c r="T561" s="633">
        <f t="shared" si="923"/>
        <v>0</v>
      </c>
      <c r="U561" s="633">
        <f t="shared" si="923"/>
        <v>0</v>
      </c>
      <c r="V561" s="633">
        <f t="shared" si="923"/>
        <v>0</v>
      </c>
      <c r="W561" s="633">
        <f t="shared" si="923"/>
        <v>0</v>
      </c>
      <c r="X561" s="633">
        <f t="shared" si="923"/>
        <v>0</v>
      </c>
      <c r="Y561" s="633">
        <f t="shared" si="923"/>
        <v>0</v>
      </c>
      <c r="Z561" s="633">
        <f t="shared" si="923"/>
        <v>0</v>
      </c>
      <c r="AA561" s="633">
        <f t="shared" si="923"/>
        <v>0</v>
      </c>
      <c r="AB561" s="633">
        <f t="shared" si="923"/>
        <v>0</v>
      </c>
      <c r="AC561" s="633">
        <f t="shared" si="923"/>
        <v>0</v>
      </c>
      <c r="AD561" s="633">
        <f t="shared" si="923"/>
        <v>0</v>
      </c>
      <c r="AE561" s="633">
        <f t="shared" si="923"/>
        <v>0</v>
      </c>
      <c r="AF561" s="633">
        <f t="shared" si="923"/>
        <v>0</v>
      </c>
      <c r="AG561" s="633">
        <f t="shared" si="923"/>
        <v>0</v>
      </c>
      <c r="AH561" s="633">
        <f t="shared" si="923"/>
        <v>0</v>
      </c>
      <c r="AI561" s="633">
        <f t="shared" si="923"/>
        <v>0</v>
      </c>
      <c r="AJ561" s="633">
        <f t="shared" si="923"/>
        <v>0</v>
      </c>
      <c r="AK561" s="633">
        <f t="shared" si="923"/>
        <v>0</v>
      </c>
      <c r="AL561" s="633">
        <f t="shared" si="923"/>
        <v>0</v>
      </c>
      <c r="AM561" s="633">
        <f t="shared" si="923"/>
        <v>0</v>
      </c>
      <c r="AN561" s="633">
        <f t="shared" si="923"/>
        <v>0</v>
      </c>
      <c r="AO561" s="633">
        <f t="shared" si="923"/>
        <v>0</v>
      </c>
      <c r="AP561" s="633">
        <f t="shared" ref="AP561:BU561" si="924" xml:space="preserve"> IF(AP560 &lt; AP559, 1, 0)</f>
        <v>0</v>
      </c>
      <c r="AQ561" s="633">
        <f t="shared" si="924"/>
        <v>0</v>
      </c>
      <c r="AR561" s="633">
        <f t="shared" si="924"/>
        <v>0</v>
      </c>
      <c r="AS561" s="633">
        <f t="shared" si="924"/>
        <v>0</v>
      </c>
      <c r="AT561" s="633">
        <f t="shared" si="924"/>
        <v>0</v>
      </c>
      <c r="AU561" s="633">
        <f t="shared" si="924"/>
        <v>0</v>
      </c>
      <c r="AV561" s="633">
        <f t="shared" si="924"/>
        <v>0</v>
      </c>
      <c r="AW561" s="633">
        <f t="shared" si="924"/>
        <v>0</v>
      </c>
      <c r="AX561" s="633">
        <f t="shared" si="924"/>
        <v>0</v>
      </c>
      <c r="AY561" s="633">
        <f t="shared" si="924"/>
        <v>0</v>
      </c>
      <c r="AZ561" s="633">
        <f t="shared" si="924"/>
        <v>0</v>
      </c>
      <c r="BA561" s="633">
        <f t="shared" si="924"/>
        <v>0</v>
      </c>
      <c r="BB561" s="633">
        <f t="shared" si="924"/>
        <v>0</v>
      </c>
      <c r="BC561" s="633">
        <f t="shared" si="924"/>
        <v>0</v>
      </c>
      <c r="BD561" s="633">
        <f t="shared" si="924"/>
        <v>0</v>
      </c>
      <c r="BE561" s="633">
        <f t="shared" si="924"/>
        <v>0</v>
      </c>
      <c r="BF561" s="633">
        <f t="shared" si="924"/>
        <v>0</v>
      </c>
      <c r="BG561" s="633">
        <f t="shared" si="924"/>
        <v>0</v>
      </c>
      <c r="BH561" s="633">
        <f t="shared" si="924"/>
        <v>0</v>
      </c>
      <c r="BI561" s="633">
        <f t="shared" si="924"/>
        <v>0</v>
      </c>
      <c r="BJ561" s="633">
        <f t="shared" si="924"/>
        <v>0</v>
      </c>
      <c r="BK561" s="633">
        <f t="shared" si="924"/>
        <v>0</v>
      </c>
      <c r="BL561" s="633">
        <f t="shared" si="924"/>
        <v>0</v>
      </c>
      <c r="BM561" s="633">
        <f t="shared" si="924"/>
        <v>0</v>
      </c>
      <c r="BN561" s="633">
        <f t="shared" si="924"/>
        <v>0</v>
      </c>
      <c r="BO561" s="633">
        <f t="shared" si="924"/>
        <v>0</v>
      </c>
      <c r="BP561" s="633">
        <f t="shared" si="924"/>
        <v>0</v>
      </c>
      <c r="BQ561" s="633">
        <f t="shared" si="924"/>
        <v>0</v>
      </c>
      <c r="BR561" s="633">
        <f t="shared" si="924"/>
        <v>0</v>
      </c>
      <c r="BS561" s="633">
        <f t="shared" si="924"/>
        <v>0</v>
      </c>
      <c r="BT561" s="633">
        <f t="shared" si="924"/>
        <v>0</v>
      </c>
      <c r="BU561" s="633">
        <f t="shared" si="924"/>
        <v>0</v>
      </c>
      <c r="BV561" s="633">
        <f t="shared" ref="BV561:CV561" si="925" xml:space="preserve"> IF(BV560 &lt; BV559, 1, 0)</f>
        <v>0</v>
      </c>
      <c r="BW561" s="633">
        <f t="shared" si="925"/>
        <v>0</v>
      </c>
      <c r="BX561" s="633">
        <f t="shared" si="925"/>
        <v>0</v>
      </c>
      <c r="BY561" s="633">
        <f t="shared" si="925"/>
        <v>0</v>
      </c>
      <c r="BZ561" s="633">
        <f t="shared" si="925"/>
        <v>0</v>
      </c>
      <c r="CA561" s="633">
        <f t="shared" si="925"/>
        <v>0</v>
      </c>
      <c r="CB561" s="633">
        <f t="shared" si="925"/>
        <v>0</v>
      </c>
      <c r="CC561" s="633">
        <f t="shared" si="925"/>
        <v>0</v>
      </c>
      <c r="CD561" s="633">
        <f t="shared" si="925"/>
        <v>0</v>
      </c>
      <c r="CE561" s="633">
        <f t="shared" si="925"/>
        <v>0</v>
      </c>
      <c r="CF561" s="633">
        <f t="shared" si="925"/>
        <v>0</v>
      </c>
      <c r="CG561" s="633">
        <f t="shared" si="925"/>
        <v>0</v>
      </c>
      <c r="CH561" s="633">
        <f t="shared" si="925"/>
        <v>0</v>
      </c>
      <c r="CI561" s="633">
        <f t="shared" si="925"/>
        <v>0</v>
      </c>
      <c r="CJ561" s="633">
        <f t="shared" si="925"/>
        <v>0</v>
      </c>
      <c r="CK561" s="633">
        <f t="shared" si="925"/>
        <v>0</v>
      </c>
      <c r="CL561" s="633">
        <f t="shared" si="925"/>
        <v>0</v>
      </c>
      <c r="CM561" s="633">
        <f t="shared" si="925"/>
        <v>0</v>
      </c>
      <c r="CN561" s="633">
        <f t="shared" si="925"/>
        <v>0</v>
      </c>
      <c r="CO561" s="633">
        <f t="shared" si="925"/>
        <v>0</v>
      </c>
      <c r="CP561" s="633">
        <f t="shared" si="925"/>
        <v>0</v>
      </c>
      <c r="CQ561" s="633">
        <f t="shared" si="925"/>
        <v>0</v>
      </c>
      <c r="CR561" s="633">
        <f t="shared" si="925"/>
        <v>0</v>
      </c>
      <c r="CS561" s="633">
        <f t="shared" si="925"/>
        <v>0</v>
      </c>
      <c r="CT561" s="633">
        <f t="shared" si="925"/>
        <v>0</v>
      </c>
      <c r="CU561" s="633">
        <f t="shared" si="925"/>
        <v>0</v>
      </c>
      <c r="CV561" s="633">
        <f t="shared" si="925"/>
        <v>0</v>
      </c>
    </row>
    <row r="562" spans="1:100" ht="12.75" outlineLevel="1" x14ac:dyDescent="0.2">
      <c r="A562" s="79"/>
      <c r="B562" s="79"/>
      <c r="C562" s="561"/>
      <c r="D562" s="60"/>
      <c r="E562" s="32"/>
      <c r="F562" s="188"/>
      <c r="G562" s="188"/>
      <c r="H562" s="188"/>
      <c r="I562" s="188"/>
      <c r="J562" s="188"/>
      <c r="K562" s="188"/>
      <c r="L562" s="188"/>
      <c r="M562" s="188"/>
      <c r="N562" s="188"/>
      <c r="O562" s="188"/>
      <c r="P562" s="188"/>
      <c r="Q562" s="188"/>
      <c r="R562" s="188"/>
      <c r="S562" s="188"/>
      <c r="T562" s="188"/>
      <c r="U562" s="188"/>
      <c r="V562" s="188"/>
      <c r="W562" s="188"/>
      <c r="X562" s="188"/>
      <c r="Y562" s="188"/>
      <c r="Z562" s="188"/>
      <c r="AA562" s="188"/>
      <c r="AB562" s="188"/>
      <c r="AC562" s="188"/>
      <c r="AD562" s="188"/>
      <c r="AE562" s="188"/>
      <c r="AF562" s="188"/>
      <c r="AG562" s="188"/>
      <c r="AH562" s="188"/>
      <c r="AI562" s="188"/>
      <c r="AJ562" s="188"/>
      <c r="AK562" s="188"/>
      <c r="AL562" s="188"/>
      <c r="AM562" s="188"/>
      <c r="AN562" s="188"/>
      <c r="AO562" s="188"/>
      <c r="AP562" s="188"/>
      <c r="AQ562" s="188"/>
      <c r="AR562" s="188"/>
      <c r="AS562" s="188"/>
      <c r="AT562" s="188"/>
      <c r="AU562" s="188"/>
      <c r="AV562" s="188"/>
      <c r="AW562" s="188"/>
      <c r="AX562" s="188"/>
      <c r="AY562" s="188"/>
      <c r="AZ562" s="188"/>
      <c r="BA562" s="188"/>
      <c r="BB562" s="188"/>
      <c r="BC562" s="188"/>
      <c r="BD562" s="188"/>
      <c r="BE562" s="188"/>
      <c r="BF562" s="188"/>
      <c r="BG562" s="188"/>
      <c r="BH562" s="188"/>
      <c r="BI562" s="188"/>
      <c r="BJ562" s="188"/>
      <c r="BK562" s="188"/>
      <c r="BL562" s="188"/>
      <c r="BM562" s="188"/>
      <c r="BN562" s="188"/>
      <c r="BO562" s="188"/>
      <c r="BP562" s="188"/>
      <c r="BQ562" s="188"/>
      <c r="BR562" s="188"/>
      <c r="BS562" s="188"/>
      <c r="BT562" s="188"/>
      <c r="BU562" s="188"/>
      <c r="BV562" s="188"/>
      <c r="BW562" s="188"/>
      <c r="BX562" s="188"/>
      <c r="BY562" s="188"/>
      <c r="BZ562" s="188"/>
      <c r="CA562" s="188"/>
      <c r="CB562" s="188"/>
      <c r="CC562" s="188"/>
      <c r="CD562" s="188"/>
      <c r="CE562" s="188"/>
      <c r="CF562" s="188"/>
      <c r="CG562" s="188"/>
      <c r="CH562" s="188"/>
      <c r="CI562" s="188"/>
      <c r="CJ562" s="188"/>
      <c r="CK562" s="188"/>
      <c r="CL562" s="188"/>
      <c r="CM562" s="188"/>
      <c r="CN562" s="188"/>
      <c r="CO562" s="188"/>
      <c r="CP562" s="188"/>
      <c r="CQ562" s="188"/>
      <c r="CR562" s="188"/>
      <c r="CS562" s="188"/>
      <c r="CT562" s="188"/>
      <c r="CU562" s="188"/>
      <c r="CV562" s="188"/>
    </row>
    <row r="563" spans="1:100" ht="12.75" outlineLevel="1" x14ac:dyDescent="0.2">
      <c r="A563" s="79"/>
      <c r="B563" s="79"/>
      <c r="C563" s="561"/>
      <c r="D563" s="60"/>
      <c r="E563" s="32" t="str">
        <f t="shared" ref="E563:AJ563" si="926" xml:space="preserve"> E$608</f>
        <v>WCF balance BEG</v>
      </c>
      <c r="F563" s="32">
        <f t="shared" si="926"/>
        <v>0</v>
      </c>
      <c r="G563" s="32" t="str">
        <f t="shared" si="926"/>
        <v>$ 000s</v>
      </c>
      <c r="H563" s="32">
        <f t="shared" si="926"/>
        <v>0</v>
      </c>
      <c r="I563" s="32">
        <f t="shared" si="926"/>
        <v>0</v>
      </c>
      <c r="J563" s="32">
        <f t="shared" si="926"/>
        <v>0</v>
      </c>
      <c r="K563" s="32">
        <f t="shared" si="926"/>
        <v>0</v>
      </c>
      <c r="L563" s="32">
        <f t="shared" si="926"/>
        <v>0</v>
      </c>
      <c r="M563" s="32">
        <f t="shared" si="926"/>
        <v>0</v>
      </c>
      <c r="N563" s="32">
        <f t="shared" si="926"/>
        <v>0</v>
      </c>
      <c r="O563" s="32">
        <f t="shared" si="926"/>
        <v>0</v>
      </c>
      <c r="P563" s="32">
        <f t="shared" si="926"/>
        <v>0</v>
      </c>
      <c r="Q563" s="32">
        <f t="shared" si="926"/>
        <v>0</v>
      </c>
      <c r="R563" s="32">
        <f t="shared" si="926"/>
        <v>0</v>
      </c>
      <c r="S563" s="32">
        <f t="shared" si="926"/>
        <v>0</v>
      </c>
      <c r="T563" s="32">
        <f t="shared" si="926"/>
        <v>0</v>
      </c>
      <c r="U563" s="32">
        <f t="shared" si="926"/>
        <v>0</v>
      </c>
      <c r="V563" s="32">
        <f t="shared" si="926"/>
        <v>0</v>
      </c>
      <c r="W563" s="32">
        <f t="shared" si="926"/>
        <v>0</v>
      </c>
      <c r="X563" s="32">
        <f t="shared" si="926"/>
        <v>0</v>
      </c>
      <c r="Y563" s="32">
        <f t="shared" si="926"/>
        <v>0</v>
      </c>
      <c r="Z563" s="32">
        <f t="shared" si="926"/>
        <v>0</v>
      </c>
      <c r="AA563" s="32">
        <f t="shared" si="926"/>
        <v>0</v>
      </c>
      <c r="AB563" s="32">
        <f t="shared" si="926"/>
        <v>0</v>
      </c>
      <c r="AC563" s="32">
        <f t="shared" si="926"/>
        <v>0</v>
      </c>
      <c r="AD563" s="32">
        <f t="shared" si="926"/>
        <v>0</v>
      </c>
      <c r="AE563" s="32">
        <f t="shared" si="926"/>
        <v>0</v>
      </c>
      <c r="AF563" s="32">
        <f t="shared" si="926"/>
        <v>0</v>
      </c>
      <c r="AG563" s="32">
        <f t="shared" si="926"/>
        <v>0</v>
      </c>
      <c r="AH563" s="32">
        <f t="shared" si="926"/>
        <v>0</v>
      </c>
      <c r="AI563" s="32">
        <f t="shared" si="926"/>
        <v>0</v>
      </c>
      <c r="AJ563" s="32">
        <f t="shared" si="926"/>
        <v>0</v>
      </c>
      <c r="AK563" s="32">
        <f t="shared" ref="AK563:BP563" si="927" xml:space="preserve"> AK$608</f>
        <v>0</v>
      </c>
      <c r="AL563" s="32">
        <f t="shared" si="927"/>
        <v>0</v>
      </c>
      <c r="AM563" s="32">
        <f t="shared" si="927"/>
        <v>0</v>
      </c>
      <c r="AN563" s="32">
        <f t="shared" si="927"/>
        <v>0</v>
      </c>
      <c r="AO563" s="32">
        <f t="shared" si="927"/>
        <v>0</v>
      </c>
      <c r="AP563" s="32">
        <f t="shared" si="927"/>
        <v>0</v>
      </c>
      <c r="AQ563" s="32">
        <f t="shared" si="927"/>
        <v>0</v>
      </c>
      <c r="AR563" s="32">
        <f t="shared" si="927"/>
        <v>0</v>
      </c>
      <c r="AS563" s="32">
        <f t="shared" si="927"/>
        <v>0</v>
      </c>
      <c r="AT563" s="32">
        <f t="shared" si="927"/>
        <v>0</v>
      </c>
      <c r="AU563" s="32">
        <f t="shared" si="927"/>
        <v>0</v>
      </c>
      <c r="AV563" s="32">
        <f t="shared" si="927"/>
        <v>0</v>
      </c>
      <c r="AW563" s="32">
        <f t="shared" si="927"/>
        <v>0</v>
      </c>
      <c r="AX563" s="32">
        <f t="shared" si="927"/>
        <v>0</v>
      </c>
      <c r="AY563" s="32">
        <f t="shared" si="927"/>
        <v>0</v>
      </c>
      <c r="AZ563" s="32">
        <f t="shared" si="927"/>
        <v>0</v>
      </c>
      <c r="BA563" s="32">
        <f t="shared" si="927"/>
        <v>0</v>
      </c>
      <c r="BB563" s="32">
        <f t="shared" si="927"/>
        <v>0</v>
      </c>
      <c r="BC563" s="32">
        <f t="shared" si="927"/>
        <v>0</v>
      </c>
      <c r="BD563" s="32">
        <f t="shared" si="927"/>
        <v>0</v>
      </c>
      <c r="BE563" s="32">
        <f t="shared" si="927"/>
        <v>0</v>
      </c>
      <c r="BF563" s="32">
        <f t="shared" si="927"/>
        <v>0</v>
      </c>
      <c r="BG563" s="32">
        <f t="shared" si="927"/>
        <v>0</v>
      </c>
      <c r="BH563" s="32">
        <f t="shared" si="927"/>
        <v>0</v>
      </c>
      <c r="BI563" s="32">
        <f t="shared" si="927"/>
        <v>0</v>
      </c>
      <c r="BJ563" s="32">
        <f t="shared" si="927"/>
        <v>0</v>
      </c>
      <c r="BK563" s="32">
        <f t="shared" si="927"/>
        <v>0</v>
      </c>
      <c r="BL563" s="32">
        <f t="shared" si="927"/>
        <v>0</v>
      </c>
      <c r="BM563" s="32">
        <f t="shared" si="927"/>
        <v>0</v>
      </c>
      <c r="BN563" s="32">
        <f t="shared" si="927"/>
        <v>0</v>
      </c>
      <c r="BO563" s="32">
        <f t="shared" si="927"/>
        <v>0</v>
      </c>
      <c r="BP563" s="32">
        <f t="shared" si="927"/>
        <v>0</v>
      </c>
      <c r="BQ563" s="32">
        <f t="shared" ref="BQ563:CV563" si="928" xml:space="preserve"> BQ$608</f>
        <v>0</v>
      </c>
      <c r="BR563" s="32">
        <f t="shared" si="928"/>
        <v>0</v>
      </c>
      <c r="BS563" s="32">
        <f t="shared" si="928"/>
        <v>0</v>
      </c>
      <c r="BT563" s="32">
        <f t="shared" si="928"/>
        <v>0</v>
      </c>
      <c r="BU563" s="32">
        <f t="shared" si="928"/>
        <v>0</v>
      </c>
      <c r="BV563" s="32">
        <f t="shared" si="928"/>
        <v>0</v>
      </c>
      <c r="BW563" s="32">
        <f t="shared" si="928"/>
        <v>0</v>
      </c>
      <c r="BX563" s="32">
        <f t="shared" si="928"/>
        <v>0</v>
      </c>
      <c r="BY563" s="32">
        <f t="shared" si="928"/>
        <v>0</v>
      </c>
      <c r="BZ563" s="32">
        <f t="shared" si="928"/>
        <v>0</v>
      </c>
      <c r="CA563" s="32">
        <f t="shared" si="928"/>
        <v>0</v>
      </c>
      <c r="CB563" s="32">
        <f t="shared" si="928"/>
        <v>0</v>
      </c>
      <c r="CC563" s="32">
        <f t="shared" si="928"/>
        <v>0</v>
      </c>
      <c r="CD563" s="32">
        <f t="shared" si="928"/>
        <v>0</v>
      </c>
      <c r="CE563" s="32">
        <f t="shared" si="928"/>
        <v>0</v>
      </c>
      <c r="CF563" s="32">
        <f t="shared" si="928"/>
        <v>0</v>
      </c>
      <c r="CG563" s="32">
        <f t="shared" si="928"/>
        <v>0</v>
      </c>
      <c r="CH563" s="32">
        <f t="shared" si="928"/>
        <v>0</v>
      </c>
      <c r="CI563" s="32">
        <f t="shared" si="928"/>
        <v>0</v>
      </c>
      <c r="CJ563" s="32">
        <f t="shared" si="928"/>
        <v>0</v>
      </c>
      <c r="CK563" s="32">
        <f t="shared" si="928"/>
        <v>0</v>
      </c>
      <c r="CL563" s="32">
        <f t="shared" si="928"/>
        <v>0</v>
      </c>
      <c r="CM563" s="32">
        <f t="shared" si="928"/>
        <v>0</v>
      </c>
      <c r="CN563" s="32">
        <f t="shared" si="928"/>
        <v>0</v>
      </c>
      <c r="CO563" s="32">
        <f t="shared" si="928"/>
        <v>0</v>
      </c>
      <c r="CP563" s="32">
        <f t="shared" si="928"/>
        <v>0</v>
      </c>
      <c r="CQ563" s="32">
        <f t="shared" si="928"/>
        <v>0</v>
      </c>
      <c r="CR563" s="32">
        <f t="shared" si="928"/>
        <v>0</v>
      </c>
      <c r="CS563" s="32">
        <f t="shared" si="928"/>
        <v>0</v>
      </c>
      <c r="CT563" s="32">
        <f t="shared" si="928"/>
        <v>0</v>
      </c>
      <c r="CU563" s="32">
        <f t="shared" si="928"/>
        <v>0</v>
      </c>
      <c r="CV563" s="32">
        <f t="shared" si="928"/>
        <v>0</v>
      </c>
    </row>
    <row r="564" spans="1:100" ht="12.75" outlineLevel="1" x14ac:dyDescent="0.2">
      <c r="A564" s="639"/>
      <c r="B564" s="639"/>
      <c r="C564" s="640"/>
      <c r="D564" s="641"/>
      <c r="E564" s="125" t="str">
        <f xml:space="preserve"> Ops!E$241</f>
        <v>Decrease / (increase) in working capital</v>
      </c>
      <c r="F564" s="125">
        <f xml:space="preserve"> Ops!F$241</f>
        <v>0</v>
      </c>
      <c r="G564" s="125" t="str">
        <f xml:space="preserve"> Ops!G$241</f>
        <v>$ 000s</v>
      </c>
      <c r="H564" s="125">
        <f xml:space="preserve"> Ops!H$241</f>
        <v>0</v>
      </c>
      <c r="I564" s="125">
        <f xml:space="preserve"> Ops!I$241</f>
        <v>0</v>
      </c>
      <c r="J564" s="125">
        <f xml:space="preserve"> Ops!J$241</f>
        <v>0</v>
      </c>
      <c r="K564" s="125">
        <f xml:space="preserve"> Ops!K$241</f>
        <v>0</v>
      </c>
      <c r="L564" s="125">
        <f xml:space="preserve"> Ops!L$241</f>
        <v>0</v>
      </c>
      <c r="M564" s="125">
        <f xml:space="preserve"> Ops!M$241</f>
        <v>0</v>
      </c>
      <c r="N564" s="125">
        <f xml:space="preserve"> Ops!N$241</f>
        <v>0</v>
      </c>
      <c r="O564" s="125">
        <f xml:space="preserve"> Ops!O$241</f>
        <v>-3857.1209730037863</v>
      </c>
      <c r="P564" s="125">
        <f xml:space="preserve"> Ops!P$241</f>
        <v>-63.930181872990943</v>
      </c>
      <c r="Q564" s="125">
        <f xml:space="preserve"> Ops!Q$241</f>
        <v>93.038958870848546</v>
      </c>
      <c r="R564" s="125">
        <f xml:space="preserve"> Ops!R$241</f>
        <v>-63.447715955897365</v>
      </c>
      <c r="S564" s="125">
        <f xml:space="preserve"> Ops!S$241</f>
        <v>92.930421187284082</v>
      </c>
      <c r="T564" s="125">
        <f xml:space="preserve"> Ops!T$241</f>
        <v>-62.95905233328358</v>
      </c>
      <c r="U564" s="125">
        <f xml:space="preserve"> Ops!U$241</f>
        <v>92.823648845254866</v>
      </c>
      <c r="V564" s="125">
        <f xml:space="preserve"> Ops!V$241</f>
        <v>-41.413899936950656</v>
      </c>
      <c r="W564" s="125">
        <f xml:space="preserve"> Ops!W$241</f>
        <v>71.668510306755707</v>
      </c>
      <c r="X564" s="125">
        <f xml:space="preserve"> Ops!X$241</f>
        <v>-61.962601390489908</v>
      </c>
      <c r="Y564" s="125">
        <f xml:space="preserve"> Ops!Y$241</f>
        <v>92.615510937814179</v>
      </c>
      <c r="Z564" s="125">
        <f xml:space="preserve"> Ops!Z$241</f>
        <v>-61.454542116222001</v>
      </c>
      <c r="AA564" s="125">
        <f xml:space="preserve"> Ops!AA$241</f>
        <v>92.514202180102984</v>
      </c>
      <c r="AB564" s="125">
        <f xml:space="preserve"> Ops!AB$241</f>
        <v>-60.939741120686449</v>
      </c>
      <c r="AC564" s="125">
        <f xml:space="preserve"> Ops!AC$241</f>
        <v>92.414772402261406</v>
      </c>
      <c r="AD564" s="125">
        <f xml:space="preserve"> Ops!AD$241</f>
        <v>-40.057392120876102</v>
      </c>
      <c r="AE564" s="125">
        <f xml:space="preserve"> Ops!AE$241</f>
        <v>71.956588093391474</v>
      </c>
      <c r="AF564" s="125">
        <f xml:space="preserve"> Ops!AF$241</f>
        <v>-59.889339563994326</v>
      </c>
      <c r="AG564" s="125">
        <f xml:space="preserve"> Ops!AG$241</f>
        <v>92.22166995137286</v>
      </c>
      <c r="AH564" s="125">
        <f xml:space="preserve"> Ops!AH$241</f>
        <v>-59.353444585193756</v>
      </c>
      <c r="AI564" s="125">
        <f xml:space="preserve"> Ops!AI$241</f>
        <v>92.128058910575419</v>
      </c>
      <c r="AJ564" s="125">
        <f xml:space="preserve"> Ops!AJ$241</f>
        <v>-58.810218933393116</v>
      </c>
      <c r="AK564" s="125">
        <f xml:space="preserve"> Ops!AK$241</f>
        <v>92.036450139025874</v>
      </c>
      <c r="AL564" s="125">
        <f xml:space="preserve"> Ops!AL$241</f>
        <v>-38.626267155046662</v>
      </c>
      <c r="AM564" s="125">
        <f xml:space="preserve"> Ops!AM$241</f>
        <v>72.313635294945925</v>
      </c>
      <c r="AN564" s="125">
        <f xml:space="preserve"> Ops!AN$241</f>
        <v>-57.701153750870617</v>
      </c>
      <c r="AO564" s="125">
        <f xml:space="preserve"> Ops!AO$241</f>
        <v>91.859369757785316</v>
      </c>
      <c r="AP564" s="125">
        <f xml:space="preserve"> Ops!AP$241</f>
        <v>-57.134995474510106</v>
      </c>
      <c r="AQ564" s="125">
        <f xml:space="preserve"> Ops!AQ$241</f>
        <v>91.773965002601471</v>
      </c>
      <c r="AR564" s="125">
        <f xml:space="preserve"> Ops!AR$241</f>
        <v>-56.560868907751683</v>
      </c>
      <c r="AS564" s="125">
        <f xml:space="preserve"> Ops!AS$241</f>
        <v>91.690696252550879</v>
      </c>
      <c r="AT564" s="125">
        <f xml:space="preserve"> Ops!AT$241</f>
        <v>-37.114021209774364</v>
      </c>
      <c r="AU564" s="125">
        <f xml:space="preserve"> Ops!AU$241</f>
        <v>72.745013306973306</v>
      </c>
      <c r="AV564" s="125">
        <f xml:space="preserve"> Ops!AV$241</f>
        <v>-55.388037646277553</v>
      </c>
      <c r="AW564" s="125">
        <f xml:space="preserve"> Ops!AW$241</f>
        <v>91.530708150919963</v>
      </c>
      <c r="AX564" s="125">
        <f xml:space="preserve"> Ops!AX$241</f>
        <v>-54.788987858909422</v>
      </c>
      <c r="AY564" s="125">
        <f xml:space="preserve"> Ops!AY$241</f>
        <v>91.454061306623771</v>
      </c>
      <c r="AZ564" s="125">
        <f xml:space="preserve"> Ops!AZ$241</f>
        <v>-54.181279459221514</v>
      </c>
      <c r="BA564" s="125">
        <f xml:space="preserve"> Ops!BA$241</f>
        <v>91.379695511095633</v>
      </c>
      <c r="BB564" s="125">
        <f xml:space="preserve"> Ops!BB$241</f>
        <v>3231.7387779879427</v>
      </c>
      <c r="BC564" s="125">
        <f xml:space="preserve"> Ops!BC$241</f>
        <v>0</v>
      </c>
      <c r="BD564" s="125">
        <f xml:space="preserve"> Ops!BD$241</f>
        <v>0</v>
      </c>
      <c r="BE564" s="125">
        <f xml:space="preserve"> Ops!BE$241</f>
        <v>0</v>
      </c>
      <c r="BF564" s="125">
        <f xml:space="preserve"> Ops!BF$241</f>
        <v>0</v>
      </c>
      <c r="BG564" s="125">
        <f xml:space="preserve"> Ops!BG$241</f>
        <v>0</v>
      </c>
      <c r="BH564" s="125">
        <f xml:space="preserve"> Ops!BH$241</f>
        <v>0</v>
      </c>
      <c r="BI564" s="125">
        <f xml:space="preserve"> Ops!BI$241</f>
        <v>0</v>
      </c>
      <c r="BJ564" s="125">
        <f xml:space="preserve"> Ops!BJ$241</f>
        <v>0</v>
      </c>
      <c r="BK564" s="125">
        <f xml:space="preserve"> Ops!BK$241</f>
        <v>0</v>
      </c>
      <c r="BL564" s="125">
        <f xml:space="preserve"> Ops!BL$241</f>
        <v>0</v>
      </c>
      <c r="BM564" s="125">
        <f xml:space="preserve"> Ops!BM$241</f>
        <v>0</v>
      </c>
      <c r="BN564" s="125">
        <f xml:space="preserve"> Ops!BN$241</f>
        <v>0</v>
      </c>
      <c r="BO564" s="125">
        <f xml:space="preserve"> Ops!BO$241</f>
        <v>0</v>
      </c>
      <c r="BP564" s="125">
        <f xml:space="preserve"> Ops!BP$241</f>
        <v>0</v>
      </c>
      <c r="BQ564" s="125">
        <f xml:space="preserve"> Ops!BQ$241</f>
        <v>0</v>
      </c>
      <c r="BR564" s="125">
        <f xml:space="preserve"> Ops!BR$241</f>
        <v>0</v>
      </c>
      <c r="BS564" s="125">
        <f xml:space="preserve"> Ops!BS$241</f>
        <v>0</v>
      </c>
      <c r="BT564" s="125">
        <f xml:space="preserve"> Ops!BT$241</f>
        <v>0</v>
      </c>
      <c r="BU564" s="125">
        <f xml:space="preserve"> Ops!BU$241</f>
        <v>0</v>
      </c>
      <c r="BV564" s="125">
        <f xml:space="preserve"> Ops!BV$241</f>
        <v>0</v>
      </c>
      <c r="BW564" s="125">
        <f xml:space="preserve"> Ops!BW$241</f>
        <v>0</v>
      </c>
      <c r="BX564" s="125">
        <f xml:space="preserve"> Ops!BX$241</f>
        <v>0</v>
      </c>
      <c r="BY564" s="125">
        <f xml:space="preserve"> Ops!BY$241</f>
        <v>0</v>
      </c>
      <c r="BZ564" s="125">
        <f xml:space="preserve"> Ops!BZ$241</f>
        <v>0</v>
      </c>
      <c r="CA564" s="125">
        <f xml:space="preserve"> Ops!CA$241</f>
        <v>0</v>
      </c>
      <c r="CB564" s="125">
        <f xml:space="preserve"> Ops!CB$241</f>
        <v>0</v>
      </c>
      <c r="CC564" s="125">
        <f xml:space="preserve"> Ops!CC$241</f>
        <v>0</v>
      </c>
      <c r="CD564" s="125">
        <f xml:space="preserve"> Ops!CD$241</f>
        <v>0</v>
      </c>
      <c r="CE564" s="125">
        <f xml:space="preserve"> Ops!CE$241</f>
        <v>0</v>
      </c>
      <c r="CF564" s="125">
        <f xml:space="preserve"> Ops!CF$241</f>
        <v>0</v>
      </c>
      <c r="CG564" s="125">
        <f xml:space="preserve"> Ops!CG$241</f>
        <v>0</v>
      </c>
      <c r="CH564" s="125">
        <f xml:space="preserve"> Ops!CH$241</f>
        <v>0</v>
      </c>
      <c r="CI564" s="125">
        <f xml:space="preserve"> Ops!CI$241</f>
        <v>0</v>
      </c>
      <c r="CJ564" s="125">
        <f xml:space="preserve"> Ops!CJ$241</f>
        <v>0</v>
      </c>
      <c r="CK564" s="125">
        <f xml:space="preserve"> Ops!CK$241</f>
        <v>0</v>
      </c>
      <c r="CL564" s="125">
        <f xml:space="preserve"> Ops!CL$241</f>
        <v>0</v>
      </c>
      <c r="CM564" s="125">
        <f xml:space="preserve"> Ops!CM$241</f>
        <v>0</v>
      </c>
      <c r="CN564" s="125">
        <f xml:space="preserve"> Ops!CN$241</f>
        <v>0</v>
      </c>
      <c r="CO564" s="125">
        <f xml:space="preserve"> Ops!CO$241</f>
        <v>0</v>
      </c>
      <c r="CP564" s="125">
        <f xml:space="preserve"> Ops!CP$241</f>
        <v>0</v>
      </c>
      <c r="CQ564" s="125">
        <f xml:space="preserve"> Ops!CQ$241</f>
        <v>0</v>
      </c>
      <c r="CR564" s="125">
        <f xml:space="preserve"> Ops!CR$241</f>
        <v>0</v>
      </c>
      <c r="CS564" s="125">
        <f xml:space="preserve"> Ops!CS$241</f>
        <v>0</v>
      </c>
      <c r="CT564" s="125">
        <f xml:space="preserve"> Ops!CT$241</f>
        <v>0</v>
      </c>
      <c r="CU564" s="125">
        <f xml:space="preserve"> Ops!CU$241</f>
        <v>0</v>
      </c>
      <c r="CV564" s="125">
        <f xml:space="preserve"> Ops!CV$241</f>
        <v>0</v>
      </c>
    </row>
    <row r="565" spans="1:100" ht="12.75" outlineLevel="1" x14ac:dyDescent="0.2">
      <c r="A565" s="79"/>
      <c r="B565" s="79"/>
      <c r="C565" s="561"/>
      <c r="D565" s="60"/>
      <c r="E565" s="125" t="str">
        <f xml:space="preserve"> Time!E$106</f>
        <v>Operating period flag</v>
      </c>
      <c r="F565" s="125">
        <f xml:space="preserve"> Time!F$106</f>
        <v>0</v>
      </c>
      <c r="G565" s="125" t="str">
        <f xml:space="preserve"> Time!G$106</f>
        <v>flag</v>
      </c>
      <c r="H565" s="125">
        <f xml:space="preserve"> Time!H$106</f>
        <v>40</v>
      </c>
      <c r="I565" s="125">
        <f xml:space="preserve"> Time!I$106</f>
        <v>0</v>
      </c>
      <c r="J565" s="125">
        <f xml:space="preserve"> Time!J$106</f>
        <v>0</v>
      </c>
      <c r="K565" s="125">
        <f xml:space="preserve"> Time!K$106</f>
        <v>0</v>
      </c>
      <c r="L565" s="125">
        <f xml:space="preserve"> Time!L$106</f>
        <v>0</v>
      </c>
      <c r="M565" s="125">
        <f xml:space="preserve"> Time!M$106</f>
        <v>0</v>
      </c>
      <c r="N565" s="125">
        <f xml:space="preserve"> Time!N$106</f>
        <v>0</v>
      </c>
      <c r="O565" s="125">
        <f xml:space="preserve"> Time!O$106</f>
        <v>1</v>
      </c>
      <c r="P565" s="125">
        <f xml:space="preserve"> Time!P$106</f>
        <v>1</v>
      </c>
      <c r="Q565" s="125">
        <f xml:space="preserve"> Time!Q$106</f>
        <v>1</v>
      </c>
      <c r="R565" s="125">
        <f xml:space="preserve"> Time!R$106</f>
        <v>1</v>
      </c>
      <c r="S565" s="125">
        <f xml:space="preserve"> Time!S$106</f>
        <v>1</v>
      </c>
      <c r="T565" s="125">
        <f xml:space="preserve"> Time!T$106</f>
        <v>1</v>
      </c>
      <c r="U565" s="125">
        <f xml:space="preserve"> Time!U$106</f>
        <v>1</v>
      </c>
      <c r="V565" s="125">
        <f xml:space="preserve"> Time!V$106</f>
        <v>1</v>
      </c>
      <c r="W565" s="125">
        <f xml:space="preserve"> Time!W$106</f>
        <v>1</v>
      </c>
      <c r="X565" s="125">
        <f xml:space="preserve"> Time!X$106</f>
        <v>1</v>
      </c>
      <c r="Y565" s="125">
        <f xml:space="preserve"> Time!Y$106</f>
        <v>1</v>
      </c>
      <c r="Z565" s="125">
        <f xml:space="preserve"> Time!Z$106</f>
        <v>1</v>
      </c>
      <c r="AA565" s="125">
        <f xml:space="preserve"> Time!AA$106</f>
        <v>1</v>
      </c>
      <c r="AB565" s="125">
        <f xml:space="preserve"> Time!AB$106</f>
        <v>1</v>
      </c>
      <c r="AC565" s="125">
        <f xml:space="preserve"> Time!AC$106</f>
        <v>1</v>
      </c>
      <c r="AD565" s="125">
        <f xml:space="preserve"> Time!AD$106</f>
        <v>1</v>
      </c>
      <c r="AE565" s="125">
        <f xml:space="preserve"> Time!AE$106</f>
        <v>1</v>
      </c>
      <c r="AF565" s="125">
        <f xml:space="preserve"> Time!AF$106</f>
        <v>1</v>
      </c>
      <c r="AG565" s="125">
        <f xml:space="preserve"> Time!AG$106</f>
        <v>1</v>
      </c>
      <c r="AH565" s="125">
        <f xml:space="preserve"> Time!AH$106</f>
        <v>1</v>
      </c>
      <c r="AI565" s="125">
        <f xml:space="preserve"> Time!AI$106</f>
        <v>1</v>
      </c>
      <c r="AJ565" s="125">
        <f xml:space="preserve"> Time!AJ$106</f>
        <v>1</v>
      </c>
      <c r="AK565" s="125">
        <f xml:space="preserve"> Time!AK$106</f>
        <v>1</v>
      </c>
      <c r="AL565" s="125">
        <f xml:space="preserve"> Time!AL$106</f>
        <v>1</v>
      </c>
      <c r="AM565" s="125">
        <f xml:space="preserve"> Time!AM$106</f>
        <v>1</v>
      </c>
      <c r="AN565" s="125">
        <f xml:space="preserve"> Time!AN$106</f>
        <v>1</v>
      </c>
      <c r="AO565" s="125">
        <f xml:space="preserve"> Time!AO$106</f>
        <v>1</v>
      </c>
      <c r="AP565" s="125">
        <f xml:space="preserve"> Time!AP$106</f>
        <v>1</v>
      </c>
      <c r="AQ565" s="125">
        <f xml:space="preserve"> Time!AQ$106</f>
        <v>1</v>
      </c>
      <c r="AR565" s="125">
        <f xml:space="preserve"> Time!AR$106</f>
        <v>1</v>
      </c>
      <c r="AS565" s="125">
        <f xml:space="preserve"> Time!AS$106</f>
        <v>1</v>
      </c>
      <c r="AT565" s="125">
        <f xml:space="preserve"> Time!AT$106</f>
        <v>1</v>
      </c>
      <c r="AU565" s="125">
        <f xml:space="preserve"> Time!AU$106</f>
        <v>1</v>
      </c>
      <c r="AV565" s="125">
        <f xml:space="preserve"> Time!AV$106</f>
        <v>1</v>
      </c>
      <c r="AW565" s="125">
        <f xml:space="preserve"> Time!AW$106</f>
        <v>1</v>
      </c>
      <c r="AX565" s="125">
        <f xml:space="preserve"> Time!AX$106</f>
        <v>1</v>
      </c>
      <c r="AY565" s="125">
        <f xml:space="preserve"> Time!AY$106</f>
        <v>1</v>
      </c>
      <c r="AZ565" s="125">
        <f xml:space="preserve"> Time!AZ$106</f>
        <v>1</v>
      </c>
      <c r="BA565" s="125">
        <f xml:space="preserve"> Time!BA$106</f>
        <v>1</v>
      </c>
      <c r="BB565" s="125">
        <f xml:space="preserve"> Time!BB$106</f>
        <v>1</v>
      </c>
      <c r="BC565" s="125">
        <f xml:space="preserve"> Time!BC$106</f>
        <v>0</v>
      </c>
      <c r="BD565" s="125">
        <f xml:space="preserve"> Time!BD$106</f>
        <v>0</v>
      </c>
      <c r="BE565" s="125">
        <f xml:space="preserve"> Time!BE$106</f>
        <v>0</v>
      </c>
      <c r="BF565" s="125">
        <f xml:space="preserve"> Time!BF$106</f>
        <v>0</v>
      </c>
      <c r="BG565" s="125">
        <f xml:space="preserve"> Time!BG$106</f>
        <v>0</v>
      </c>
      <c r="BH565" s="125">
        <f xml:space="preserve"> Time!BH$106</f>
        <v>0</v>
      </c>
      <c r="BI565" s="125">
        <f xml:space="preserve"> Time!BI$106</f>
        <v>0</v>
      </c>
      <c r="BJ565" s="125">
        <f xml:space="preserve"> Time!BJ$106</f>
        <v>0</v>
      </c>
      <c r="BK565" s="125">
        <f xml:space="preserve"> Time!BK$106</f>
        <v>0</v>
      </c>
      <c r="BL565" s="125">
        <f xml:space="preserve"> Time!BL$106</f>
        <v>0</v>
      </c>
      <c r="BM565" s="125">
        <f xml:space="preserve"> Time!BM$106</f>
        <v>0</v>
      </c>
      <c r="BN565" s="125">
        <f xml:space="preserve"> Time!BN$106</f>
        <v>0</v>
      </c>
      <c r="BO565" s="125">
        <f xml:space="preserve"> Time!BO$106</f>
        <v>0</v>
      </c>
      <c r="BP565" s="125">
        <f xml:space="preserve"> Time!BP$106</f>
        <v>0</v>
      </c>
      <c r="BQ565" s="125">
        <f xml:space="preserve"> Time!BQ$106</f>
        <v>0</v>
      </c>
      <c r="BR565" s="125">
        <f xml:space="preserve"> Time!BR$106</f>
        <v>0</v>
      </c>
      <c r="BS565" s="125">
        <f xml:space="preserve"> Time!BS$106</f>
        <v>0</v>
      </c>
      <c r="BT565" s="125">
        <f xml:space="preserve"> Time!BT$106</f>
        <v>0</v>
      </c>
      <c r="BU565" s="125">
        <f xml:space="preserve"> Time!BU$106</f>
        <v>0</v>
      </c>
      <c r="BV565" s="125">
        <f xml:space="preserve"> Time!BV$106</f>
        <v>0</v>
      </c>
      <c r="BW565" s="125">
        <f xml:space="preserve"> Time!BW$106</f>
        <v>0</v>
      </c>
      <c r="BX565" s="125">
        <f xml:space="preserve"> Time!BX$106</f>
        <v>0</v>
      </c>
      <c r="BY565" s="125">
        <f xml:space="preserve"> Time!BY$106</f>
        <v>0</v>
      </c>
      <c r="BZ565" s="125">
        <f xml:space="preserve"> Time!BZ$106</f>
        <v>0</v>
      </c>
      <c r="CA565" s="125">
        <f xml:space="preserve"> Time!CA$106</f>
        <v>0</v>
      </c>
      <c r="CB565" s="125">
        <f xml:space="preserve"> Time!CB$106</f>
        <v>0</v>
      </c>
      <c r="CC565" s="125">
        <f xml:space="preserve"> Time!CC$106</f>
        <v>0</v>
      </c>
      <c r="CD565" s="125">
        <f xml:space="preserve"> Time!CD$106</f>
        <v>0</v>
      </c>
      <c r="CE565" s="125">
        <f xml:space="preserve"> Time!CE$106</f>
        <v>0</v>
      </c>
      <c r="CF565" s="125">
        <f xml:space="preserve"> Time!CF$106</f>
        <v>0</v>
      </c>
      <c r="CG565" s="125">
        <f xml:space="preserve"> Time!CG$106</f>
        <v>0</v>
      </c>
      <c r="CH565" s="125">
        <f xml:space="preserve"> Time!CH$106</f>
        <v>0</v>
      </c>
      <c r="CI565" s="125">
        <f xml:space="preserve"> Time!CI$106</f>
        <v>0</v>
      </c>
      <c r="CJ565" s="125">
        <f xml:space="preserve"> Time!CJ$106</f>
        <v>0</v>
      </c>
      <c r="CK565" s="125">
        <f xml:space="preserve"> Time!CK$106</f>
        <v>0</v>
      </c>
      <c r="CL565" s="125">
        <f xml:space="preserve"> Time!CL$106</f>
        <v>0</v>
      </c>
      <c r="CM565" s="125">
        <f xml:space="preserve"> Time!CM$106</f>
        <v>0</v>
      </c>
      <c r="CN565" s="125">
        <f xml:space="preserve"> Time!CN$106</f>
        <v>0</v>
      </c>
      <c r="CO565" s="125">
        <f xml:space="preserve"> Time!CO$106</f>
        <v>0</v>
      </c>
      <c r="CP565" s="125">
        <f xml:space="preserve"> Time!CP$106</f>
        <v>0</v>
      </c>
      <c r="CQ565" s="125">
        <f xml:space="preserve"> Time!CQ$106</f>
        <v>0</v>
      </c>
      <c r="CR565" s="125">
        <f xml:space="preserve"> Time!CR$106</f>
        <v>0</v>
      </c>
      <c r="CS565" s="125">
        <f xml:space="preserve"> Time!CS$106</f>
        <v>0</v>
      </c>
      <c r="CT565" s="125">
        <f xml:space="preserve"> Time!CT$106</f>
        <v>0</v>
      </c>
      <c r="CU565" s="125">
        <f xml:space="preserve"> Time!CU$106</f>
        <v>0</v>
      </c>
      <c r="CV565" s="125">
        <f xml:space="preserve"> Time!CV$106</f>
        <v>0</v>
      </c>
    </row>
    <row r="566" spans="1:100" ht="12.75" outlineLevel="1" x14ac:dyDescent="0.2">
      <c r="A566" s="79"/>
      <c r="B566" s="79"/>
      <c r="C566" s="561"/>
      <c r="D566" s="60"/>
      <c r="E566" s="125" t="str">
        <f xml:space="preserve"> Time!E$101</f>
        <v xml:space="preserve">Last operating period flag </v>
      </c>
      <c r="F566" s="125">
        <f xml:space="preserve"> Time!F$101</f>
        <v>0</v>
      </c>
      <c r="G566" s="125" t="str">
        <f xml:space="preserve"> Time!G$101</f>
        <v>flag</v>
      </c>
      <c r="H566" s="125">
        <f xml:space="preserve"> Time!H$101</f>
        <v>1</v>
      </c>
      <c r="I566" s="125">
        <f xml:space="preserve"> Time!I$101</f>
        <v>0</v>
      </c>
      <c r="J566" s="125">
        <f xml:space="preserve"> Time!J$101</f>
        <v>0</v>
      </c>
      <c r="K566" s="125">
        <f xml:space="preserve"> Time!K$101</f>
        <v>0</v>
      </c>
      <c r="L566" s="125">
        <f xml:space="preserve"> Time!L$101</f>
        <v>0</v>
      </c>
      <c r="M566" s="125">
        <f xml:space="preserve"> Time!M$101</f>
        <v>0</v>
      </c>
      <c r="N566" s="125">
        <f xml:space="preserve"> Time!N$101</f>
        <v>0</v>
      </c>
      <c r="O566" s="125">
        <f xml:space="preserve"> Time!O$101</f>
        <v>0</v>
      </c>
      <c r="P566" s="125">
        <f xml:space="preserve"> Time!P$101</f>
        <v>0</v>
      </c>
      <c r="Q566" s="125">
        <f xml:space="preserve"> Time!Q$101</f>
        <v>0</v>
      </c>
      <c r="R566" s="125">
        <f xml:space="preserve"> Time!R$101</f>
        <v>0</v>
      </c>
      <c r="S566" s="125">
        <f xml:space="preserve"> Time!S$101</f>
        <v>0</v>
      </c>
      <c r="T566" s="125">
        <f xml:space="preserve"> Time!T$101</f>
        <v>0</v>
      </c>
      <c r="U566" s="125">
        <f xml:space="preserve"> Time!U$101</f>
        <v>0</v>
      </c>
      <c r="V566" s="125">
        <f xml:space="preserve"> Time!V$101</f>
        <v>0</v>
      </c>
      <c r="W566" s="125">
        <f xml:space="preserve"> Time!W$101</f>
        <v>0</v>
      </c>
      <c r="X566" s="125">
        <f xml:space="preserve"> Time!X$101</f>
        <v>0</v>
      </c>
      <c r="Y566" s="125">
        <f xml:space="preserve"> Time!Y$101</f>
        <v>0</v>
      </c>
      <c r="Z566" s="125">
        <f xml:space="preserve"> Time!Z$101</f>
        <v>0</v>
      </c>
      <c r="AA566" s="125">
        <f xml:space="preserve"> Time!AA$101</f>
        <v>0</v>
      </c>
      <c r="AB566" s="125">
        <f xml:space="preserve"> Time!AB$101</f>
        <v>0</v>
      </c>
      <c r="AC566" s="125">
        <f xml:space="preserve"> Time!AC$101</f>
        <v>0</v>
      </c>
      <c r="AD566" s="125">
        <f xml:space="preserve"> Time!AD$101</f>
        <v>0</v>
      </c>
      <c r="AE566" s="125">
        <f xml:space="preserve"> Time!AE$101</f>
        <v>0</v>
      </c>
      <c r="AF566" s="125">
        <f xml:space="preserve"> Time!AF$101</f>
        <v>0</v>
      </c>
      <c r="AG566" s="125">
        <f xml:space="preserve"> Time!AG$101</f>
        <v>0</v>
      </c>
      <c r="AH566" s="125">
        <f xml:space="preserve"> Time!AH$101</f>
        <v>0</v>
      </c>
      <c r="AI566" s="125">
        <f xml:space="preserve"> Time!AI$101</f>
        <v>0</v>
      </c>
      <c r="AJ566" s="125">
        <f xml:space="preserve"> Time!AJ$101</f>
        <v>0</v>
      </c>
      <c r="AK566" s="125">
        <f xml:space="preserve"> Time!AK$101</f>
        <v>0</v>
      </c>
      <c r="AL566" s="125">
        <f xml:space="preserve"> Time!AL$101</f>
        <v>0</v>
      </c>
      <c r="AM566" s="125">
        <f xml:space="preserve"> Time!AM$101</f>
        <v>0</v>
      </c>
      <c r="AN566" s="125">
        <f xml:space="preserve"> Time!AN$101</f>
        <v>0</v>
      </c>
      <c r="AO566" s="125">
        <f xml:space="preserve"> Time!AO$101</f>
        <v>0</v>
      </c>
      <c r="AP566" s="125">
        <f xml:space="preserve"> Time!AP$101</f>
        <v>0</v>
      </c>
      <c r="AQ566" s="125">
        <f xml:space="preserve"> Time!AQ$101</f>
        <v>0</v>
      </c>
      <c r="AR566" s="125">
        <f xml:space="preserve"> Time!AR$101</f>
        <v>0</v>
      </c>
      <c r="AS566" s="125">
        <f xml:space="preserve"> Time!AS$101</f>
        <v>0</v>
      </c>
      <c r="AT566" s="125">
        <f xml:space="preserve"> Time!AT$101</f>
        <v>0</v>
      </c>
      <c r="AU566" s="125">
        <f xml:space="preserve"> Time!AU$101</f>
        <v>0</v>
      </c>
      <c r="AV566" s="125">
        <f xml:space="preserve"> Time!AV$101</f>
        <v>0</v>
      </c>
      <c r="AW566" s="125">
        <f xml:space="preserve"> Time!AW$101</f>
        <v>0</v>
      </c>
      <c r="AX566" s="125">
        <f xml:space="preserve"> Time!AX$101</f>
        <v>0</v>
      </c>
      <c r="AY566" s="125">
        <f xml:space="preserve"> Time!AY$101</f>
        <v>0</v>
      </c>
      <c r="AZ566" s="125">
        <f xml:space="preserve"> Time!AZ$101</f>
        <v>0</v>
      </c>
      <c r="BA566" s="125">
        <f xml:space="preserve"> Time!BA$101</f>
        <v>0</v>
      </c>
      <c r="BB566" s="125">
        <f xml:space="preserve"> Time!BB$101</f>
        <v>1</v>
      </c>
      <c r="BC566" s="125">
        <f xml:space="preserve"> Time!BC$101</f>
        <v>0</v>
      </c>
      <c r="BD566" s="125">
        <f xml:space="preserve"> Time!BD$101</f>
        <v>0</v>
      </c>
      <c r="BE566" s="125">
        <f xml:space="preserve"> Time!BE$101</f>
        <v>0</v>
      </c>
      <c r="BF566" s="125">
        <f xml:space="preserve"> Time!BF$101</f>
        <v>0</v>
      </c>
      <c r="BG566" s="125">
        <f xml:space="preserve"> Time!BG$101</f>
        <v>0</v>
      </c>
      <c r="BH566" s="125">
        <f xml:space="preserve"> Time!BH$101</f>
        <v>0</v>
      </c>
      <c r="BI566" s="125">
        <f xml:space="preserve"> Time!BI$101</f>
        <v>0</v>
      </c>
      <c r="BJ566" s="125">
        <f xml:space="preserve"> Time!BJ$101</f>
        <v>0</v>
      </c>
      <c r="BK566" s="125">
        <f xml:space="preserve"> Time!BK$101</f>
        <v>0</v>
      </c>
      <c r="BL566" s="125">
        <f xml:space="preserve"> Time!BL$101</f>
        <v>0</v>
      </c>
      <c r="BM566" s="125">
        <f xml:space="preserve"> Time!BM$101</f>
        <v>0</v>
      </c>
      <c r="BN566" s="125">
        <f xml:space="preserve"> Time!BN$101</f>
        <v>0</v>
      </c>
      <c r="BO566" s="125">
        <f xml:space="preserve"> Time!BO$101</f>
        <v>0</v>
      </c>
      <c r="BP566" s="125">
        <f xml:space="preserve"> Time!BP$101</f>
        <v>0</v>
      </c>
      <c r="BQ566" s="125">
        <f xml:space="preserve"> Time!BQ$101</f>
        <v>0</v>
      </c>
      <c r="BR566" s="125">
        <f xml:space="preserve"> Time!BR$101</f>
        <v>0</v>
      </c>
      <c r="BS566" s="125">
        <f xml:space="preserve"> Time!BS$101</f>
        <v>0</v>
      </c>
      <c r="BT566" s="125">
        <f xml:space="preserve"> Time!BT$101</f>
        <v>0</v>
      </c>
      <c r="BU566" s="125">
        <f xml:space="preserve"> Time!BU$101</f>
        <v>0</v>
      </c>
      <c r="BV566" s="125">
        <f xml:space="preserve"> Time!BV$101</f>
        <v>0</v>
      </c>
      <c r="BW566" s="125">
        <f xml:space="preserve"> Time!BW$101</f>
        <v>0</v>
      </c>
      <c r="BX566" s="125">
        <f xml:space="preserve"> Time!BX$101</f>
        <v>0</v>
      </c>
      <c r="BY566" s="125">
        <f xml:space="preserve"> Time!BY$101</f>
        <v>0</v>
      </c>
      <c r="BZ566" s="125">
        <f xml:space="preserve"> Time!BZ$101</f>
        <v>0</v>
      </c>
      <c r="CA566" s="125">
        <f xml:space="preserve"> Time!CA$101</f>
        <v>0</v>
      </c>
      <c r="CB566" s="125">
        <f xml:space="preserve"> Time!CB$101</f>
        <v>0</v>
      </c>
      <c r="CC566" s="125">
        <f xml:space="preserve"> Time!CC$101</f>
        <v>0</v>
      </c>
      <c r="CD566" s="125">
        <f xml:space="preserve"> Time!CD$101</f>
        <v>0</v>
      </c>
      <c r="CE566" s="125">
        <f xml:space="preserve"> Time!CE$101</f>
        <v>0</v>
      </c>
      <c r="CF566" s="125">
        <f xml:space="preserve"> Time!CF$101</f>
        <v>0</v>
      </c>
      <c r="CG566" s="125">
        <f xml:space="preserve"> Time!CG$101</f>
        <v>0</v>
      </c>
      <c r="CH566" s="125">
        <f xml:space="preserve"> Time!CH$101</f>
        <v>0</v>
      </c>
      <c r="CI566" s="125">
        <f xml:space="preserve"> Time!CI$101</f>
        <v>0</v>
      </c>
      <c r="CJ566" s="125">
        <f xml:space="preserve"> Time!CJ$101</f>
        <v>0</v>
      </c>
      <c r="CK566" s="125">
        <f xml:space="preserve"> Time!CK$101</f>
        <v>0</v>
      </c>
      <c r="CL566" s="125">
        <f xml:space="preserve"> Time!CL$101</f>
        <v>0</v>
      </c>
      <c r="CM566" s="125">
        <f xml:space="preserve"> Time!CM$101</f>
        <v>0</v>
      </c>
      <c r="CN566" s="125">
        <f xml:space="preserve"> Time!CN$101</f>
        <v>0</v>
      </c>
      <c r="CO566" s="125">
        <f xml:space="preserve"> Time!CO$101</f>
        <v>0</v>
      </c>
      <c r="CP566" s="125">
        <f xml:space="preserve"> Time!CP$101</f>
        <v>0</v>
      </c>
      <c r="CQ566" s="125">
        <f xml:space="preserve"> Time!CQ$101</f>
        <v>0</v>
      </c>
      <c r="CR566" s="125">
        <f xml:space="preserve"> Time!CR$101</f>
        <v>0</v>
      </c>
      <c r="CS566" s="125">
        <f xml:space="preserve"> Time!CS$101</f>
        <v>0</v>
      </c>
      <c r="CT566" s="125">
        <f xml:space="preserve"> Time!CT$101</f>
        <v>0</v>
      </c>
      <c r="CU566" s="125">
        <f xml:space="preserve"> Time!CU$101</f>
        <v>0</v>
      </c>
      <c r="CV566" s="125">
        <f xml:space="preserve"> Time!CV$101</f>
        <v>0</v>
      </c>
    </row>
    <row r="567" spans="1:100" ht="12.75" outlineLevel="1" x14ac:dyDescent="0.2">
      <c r="A567" s="79"/>
      <c r="B567" s="79"/>
      <c r="C567" s="561"/>
      <c r="D567" s="60"/>
      <c r="E567" s="32" t="s">
        <v>489</v>
      </c>
      <c r="F567" s="32"/>
      <c r="G567" s="32" t="str">
        <f xml:space="preserve"> SMU</f>
        <v>$ 000s</v>
      </c>
      <c r="H567" s="32">
        <f xml:space="preserve"> SUM(J567:CV567)</f>
        <v>0</v>
      </c>
      <c r="I567" s="32"/>
      <c r="J567" s="32">
        <f t="shared" ref="J567:AO567" si="929" xml:space="preserve"> IF(J566 = 1, J563, MIN(J563, MAX(J564, 0)) * J565)</f>
        <v>0</v>
      </c>
      <c r="K567" s="32">
        <f t="shared" si="929"/>
        <v>0</v>
      </c>
      <c r="L567" s="32">
        <f t="shared" si="929"/>
        <v>0</v>
      </c>
      <c r="M567" s="32">
        <f t="shared" si="929"/>
        <v>0</v>
      </c>
      <c r="N567" s="32">
        <f t="shared" si="929"/>
        <v>0</v>
      </c>
      <c r="O567" s="32">
        <f t="shared" si="929"/>
        <v>0</v>
      </c>
      <c r="P567" s="32">
        <f t="shared" si="929"/>
        <v>0</v>
      </c>
      <c r="Q567" s="32">
        <f t="shared" si="929"/>
        <v>0</v>
      </c>
      <c r="R567" s="32">
        <f t="shared" si="929"/>
        <v>0</v>
      </c>
      <c r="S567" s="32">
        <f t="shared" si="929"/>
        <v>0</v>
      </c>
      <c r="T567" s="32">
        <f t="shared" si="929"/>
        <v>0</v>
      </c>
      <c r="U567" s="32">
        <f t="shared" si="929"/>
        <v>0</v>
      </c>
      <c r="V567" s="32">
        <f t="shared" si="929"/>
        <v>0</v>
      </c>
      <c r="W567" s="32">
        <f t="shared" si="929"/>
        <v>0</v>
      </c>
      <c r="X567" s="32">
        <f t="shared" si="929"/>
        <v>0</v>
      </c>
      <c r="Y567" s="32">
        <f t="shared" si="929"/>
        <v>0</v>
      </c>
      <c r="Z567" s="32">
        <f t="shared" si="929"/>
        <v>0</v>
      </c>
      <c r="AA567" s="32">
        <f t="shared" si="929"/>
        <v>0</v>
      </c>
      <c r="AB567" s="32">
        <f t="shared" si="929"/>
        <v>0</v>
      </c>
      <c r="AC567" s="32">
        <f t="shared" si="929"/>
        <v>0</v>
      </c>
      <c r="AD567" s="32">
        <f t="shared" si="929"/>
        <v>0</v>
      </c>
      <c r="AE567" s="32">
        <f t="shared" si="929"/>
        <v>0</v>
      </c>
      <c r="AF567" s="32">
        <f t="shared" si="929"/>
        <v>0</v>
      </c>
      <c r="AG567" s="32">
        <f t="shared" si="929"/>
        <v>0</v>
      </c>
      <c r="AH567" s="32">
        <f t="shared" si="929"/>
        <v>0</v>
      </c>
      <c r="AI567" s="32">
        <f t="shared" si="929"/>
        <v>0</v>
      </c>
      <c r="AJ567" s="32">
        <f t="shared" si="929"/>
        <v>0</v>
      </c>
      <c r="AK567" s="32">
        <f t="shared" si="929"/>
        <v>0</v>
      </c>
      <c r="AL567" s="32">
        <f t="shared" si="929"/>
        <v>0</v>
      </c>
      <c r="AM567" s="32">
        <f t="shared" si="929"/>
        <v>0</v>
      </c>
      <c r="AN567" s="32">
        <f t="shared" si="929"/>
        <v>0</v>
      </c>
      <c r="AO567" s="32">
        <f t="shared" si="929"/>
        <v>0</v>
      </c>
      <c r="AP567" s="32">
        <f t="shared" ref="AP567:BU567" si="930" xml:space="preserve"> IF(AP566 = 1, AP563, MIN(AP563, MAX(AP564, 0)) * AP565)</f>
        <v>0</v>
      </c>
      <c r="AQ567" s="32">
        <f t="shared" si="930"/>
        <v>0</v>
      </c>
      <c r="AR567" s="32">
        <f t="shared" si="930"/>
        <v>0</v>
      </c>
      <c r="AS567" s="32">
        <f t="shared" si="930"/>
        <v>0</v>
      </c>
      <c r="AT567" s="32">
        <f t="shared" si="930"/>
        <v>0</v>
      </c>
      <c r="AU567" s="32">
        <f t="shared" si="930"/>
        <v>0</v>
      </c>
      <c r="AV567" s="32">
        <f t="shared" si="930"/>
        <v>0</v>
      </c>
      <c r="AW567" s="32">
        <f t="shared" si="930"/>
        <v>0</v>
      </c>
      <c r="AX567" s="32">
        <f t="shared" si="930"/>
        <v>0</v>
      </c>
      <c r="AY567" s="32">
        <f t="shared" si="930"/>
        <v>0</v>
      </c>
      <c r="AZ567" s="32">
        <f t="shared" si="930"/>
        <v>0</v>
      </c>
      <c r="BA567" s="32">
        <f t="shared" si="930"/>
        <v>0</v>
      </c>
      <c r="BB567" s="32">
        <f t="shared" si="930"/>
        <v>0</v>
      </c>
      <c r="BC567" s="32">
        <f t="shared" si="930"/>
        <v>0</v>
      </c>
      <c r="BD567" s="32">
        <f t="shared" si="930"/>
        <v>0</v>
      </c>
      <c r="BE567" s="32">
        <f t="shared" si="930"/>
        <v>0</v>
      </c>
      <c r="BF567" s="32">
        <f t="shared" si="930"/>
        <v>0</v>
      </c>
      <c r="BG567" s="32">
        <f t="shared" si="930"/>
        <v>0</v>
      </c>
      <c r="BH567" s="32">
        <f t="shared" si="930"/>
        <v>0</v>
      </c>
      <c r="BI567" s="32">
        <f t="shared" si="930"/>
        <v>0</v>
      </c>
      <c r="BJ567" s="32">
        <f t="shared" si="930"/>
        <v>0</v>
      </c>
      <c r="BK567" s="32">
        <f t="shared" si="930"/>
        <v>0</v>
      </c>
      <c r="BL567" s="32">
        <f t="shared" si="930"/>
        <v>0</v>
      </c>
      <c r="BM567" s="32">
        <f t="shared" si="930"/>
        <v>0</v>
      </c>
      <c r="BN567" s="32">
        <f t="shared" si="930"/>
        <v>0</v>
      </c>
      <c r="BO567" s="32">
        <f t="shared" si="930"/>
        <v>0</v>
      </c>
      <c r="BP567" s="32">
        <f t="shared" si="930"/>
        <v>0</v>
      </c>
      <c r="BQ567" s="32">
        <f t="shared" si="930"/>
        <v>0</v>
      </c>
      <c r="BR567" s="32">
        <f t="shared" si="930"/>
        <v>0</v>
      </c>
      <c r="BS567" s="32">
        <f t="shared" si="930"/>
        <v>0</v>
      </c>
      <c r="BT567" s="32">
        <f t="shared" si="930"/>
        <v>0</v>
      </c>
      <c r="BU567" s="32">
        <f t="shared" si="930"/>
        <v>0</v>
      </c>
      <c r="BV567" s="32">
        <f t="shared" ref="BV567:CV567" si="931" xml:space="preserve"> IF(BV566 = 1, BV563, MIN(BV563, MAX(BV564, 0)) * BV565)</f>
        <v>0</v>
      </c>
      <c r="BW567" s="32">
        <f t="shared" si="931"/>
        <v>0</v>
      </c>
      <c r="BX567" s="32">
        <f t="shared" si="931"/>
        <v>0</v>
      </c>
      <c r="BY567" s="32">
        <f t="shared" si="931"/>
        <v>0</v>
      </c>
      <c r="BZ567" s="32">
        <f t="shared" si="931"/>
        <v>0</v>
      </c>
      <c r="CA567" s="32">
        <f t="shared" si="931"/>
        <v>0</v>
      </c>
      <c r="CB567" s="32">
        <f t="shared" si="931"/>
        <v>0</v>
      </c>
      <c r="CC567" s="32">
        <f t="shared" si="931"/>
        <v>0</v>
      </c>
      <c r="CD567" s="32">
        <f t="shared" si="931"/>
        <v>0</v>
      </c>
      <c r="CE567" s="32">
        <f t="shared" si="931"/>
        <v>0</v>
      </c>
      <c r="CF567" s="32">
        <f t="shared" si="931"/>
        <v>0</v>
      </c>
      <c r="CG567" s="32">
        <f t="shared" si="931"/>
        <v>0</v>
      </c>
      <c r="CH567" s="32">
        <f t="shared" si="931"/>
        <v>0</v>
      </c>
      <c r="CI567" s="32">
        <f t="shared" si="931"/>
        <v>0</v>
      </c>
      <c r="CJ567" s="32">
        <f t="shared" si="931"/>
        <v>0</v>
      </c>
      <c r="CK567" s="32">
        <f t="shared" si="931"/>
        <v>0</v>
      </c>
      <c r="CL567" s="32">
        <f t="shared" si="931"/>
        <v>0</v>
      </c>
      <c r="CM567" s="32">
        <f t="shared" si="931"/>
        <v>0</v>
      </c>
      <c r="CN567" s="32">
        <f t="shared" si="931"/>
        <v>0</v>
      </c>
      <c r="CO567" s="32">
        <f t="shared" si="931"/>
        <v>0</v>
      </c>
      <c r="CP567" s="32">
        <f t="shared" si="931"/>
        <v>0</v>
      </c>
      <c r="CQ567" s="32">
        <f t="shared" si="931"/>
        <v>0</v>
      </c>
      <c r="CR567" s="32">
        <f t="shared" si="931"/>
        <v>0</v>
      </c>
      <c r="CS567" s="32">
        <f t="shared" si="931"/>
        <v>0</v>
      </c>
      <c r="CT567" s="32">
        <f t="shared" si="931"/>
        <v>0</v>
      </c>
      <c r="CU567" s="32">
        <f t="shared" si="931"/>
        <v>0</v>
      </c>
      <c r="CV567" s="32">
        <f t="shared" si="931"/>
        <v>0</v>
      </c>
    </row>
    <row r="568" spans="1:100" s="188" customFormat="1" ht="12.75" outlineLevel="1" x14ac:dyDescent="0.2">
      <c r="A568" s="397"/>
      <c r="B568" s="397"/>
      <c r="C568" s="566"/>
      <c r="D568" s="484" t="s">
        <v>366</v>
      </c>
      <c r="E568" s="188" t="str">
        <f xml:space="preserve"> LEFT(E567, LEN(E567) - 4)</f>
        <v>WCF repayment</v>
      </c>
      <c r="G568" s="188" t="str">
        <f xml:space="preserve"> SMU</f>
        <v>$ 000s</v>
      </c>
      <c r="H568" s="188">
        <f xml:space="preserve"> SUM(J568:CV568)</f>
        <v>0</v>
      </c>
      <c r="J568" s="188">
        <f t="shared" ref="J568:AO568" si="932" xml:space="preserve"> -1 * J567</f>
        <v>0</v>
      </c>
      <c r="K568" s="188">
        <f t="shared" si="932"/>
        <v>0</v>
      </c>
      <c r="L568" s="188">
        <f t="shared" si="932"/>
        <v>0</v>
      </c>
      <c r="M568" s="188">
        <f t="shared" si="932"/>
        <v>0</v>
      </c>
      <c r="N568" s="188">
        <f t="shared" si="932"/>
        <v>0</v>
      </c>
      <c r="O568" s="188">
        <f t="shared" si="932"/>
        <v>0</v>
      </c>
      <c r="P568" s="188">
        <f t="shared" si="932"/>
        <v>0</v>
      </c>
      <c r="Q568" s="188">
        <f t="shared" si="932"/>
        <v>0</v>
      </c>
      <c r="R568" s="188">
        <f t="shared" si="932"/>
        <v>0</v>
      </c>
      <c r="S568" s="188">
        <f t="shared" si="932"/>
        <v>0</v>
      </c>
      <c r="T568" s="188">
        <f t="shared" si="932"/>
        <v>0</v>
      </c>
      <c r="U568" s="188">
        <f t="shared" si="932"/>
        <v>0</v>
      </c>
      <c r="V568" s="188">
        <f t="shared" si="932"/>
        <v>0</v>
      </c>
      <c r="W568" s="188">
        <f t="shared" si="932"/>
        <v>0</v>
      </c>
      <c r="X568" s="188">
        <f t="shared" si="932"/>
        <v>0</v>
      </c>
      <c r="Y568" s="188">
        <f t="shared" si="932"/>
        <v>0</v>
      </c>
      <c r="Z568" s="188">
        <f t="shared" si="932"/>
        <v>0</v>
      </c>
      <c r="AA568" s="188">
        <f t="shared" si="932"/>
        <v>0</v>
      </c>
      <c r="AB568" s="188">
        <f t="shared" si="932"/>
        <v>0</v>
      </c>
      <c r="AC568" s="188">
        <f t="shared" si="932"/>
        <v>0</v>
      </c>
      <c r="AD568" s="188">
        <f t="shared" si="932"/>
        <v>0</v>
      </c>
      <c r="AE568" s="188">
        <f t="shared" si="932"/>
        <v>0</v>
      </c>
      <c r="AF568" s="188">
        <f t="shared" si="932"/>
        <v>0</v>
      </c>
      <c r="AG568" s="188">
        <f t="shared" si="932"/>
        <v>0</v>
      </c>
      <c r="AH568" s="188">
        <f t="shared" si="932"/>
        <v>0</v>
      </c>
      <c r="AI568" s="188">
        <f t="shared" si="932"/>
        <v>0</v>
      </c>
      <c r="AJ568" s="188">
        <f t="shared" si="932"/>
        <v>0</v>
      </c>
      <c r="AK568" s="188">
        <f t="shared" si="932"/>
        <v>0</v>
      </c>
      <c r="AL568" s="188">
        <f t="shared" si="932"/>
        <v>0</v>
      </c>
      <c r="AM568" s="188">
        <f t="shared" si="932"/>
        <v>0</v>
      </c>
      <c r="AN568" s="188">
        <f t="shared" si="932"/>
        <v>0</v>
      </c>
      <c r="AO568" s="188">
        <f t="shared" si="932"/>
        <v>0</v>
      </c>
      <c r="AP568" s="188">
        <f t="shared" ref="AP568:BU568" si="933" xml:space="preserve"> -1 * AP567</f>
        <v>0</v>
      </c>
      <c r="AQ568" s="188">
        <f t="shared" si="933"/>
        <v>0</v>
      </c>
      <c r="AR568" s="188">
        <f t="shared" si="933"/>
        <v>0</v>
      </c>
      <c r="AS568" s="188">
        <f t="shared" si="933"/>
        <v>0</v>
      </c>
      <c r="AT568" s="188">
        <f t="shared" si="933"/>
        <v>0</v>
      </c>
      <c r="AU568" s="188">
        <f t="shared" si="933"/>
        <v>0</v>
      </c>
      <c r="AV568" s="188">
        <f t="shared" si="933"/>
        <v>0</v>
      </c>
      <c r="AW568" s="188">
        <f t="shared" si="933"/>
        <v>0</v>
      </c>
      <c r="AX568" s="188">
        <f t="shared" si="933"/>
        <v>0</v>
      </c>
      <c r="AY568" s="188">
        <f t="shared" si="933"/>
        <v>0</v>
      </c>
      <c r="AZ568" s="188">
        <f t="shared" si="933"/>
        <v>0</v>
      </c>
      <c r="BA568" s="188">
        <f t="shared" si="933"/>
        <v>0</v>
      </c>
      <c r="BB568" s="188">
        <f t="shared" si="933"/>
        <v>0</v>
      </c>
      <c r="BC568" s="188">
        <f t="shared" si="933"/>
        <v>0</v>
      </c>
      <c r="BD568" s="188">
        <f t="shared" si="933"/>
        <v>0</v>
      </c>
      <c r="BE568" s="188">
        <f t="shared" si="933"/>
        <v>0</v>
      </c>
      <c r="BF568" s="188">
        <f t="shared" si="933"/>
        <v>0</v>
      </c>
      <c r="BG568" s="188">
        <f t="shared" si="933"/>
        <v>0</v>
      </c>
      <c r="BH568" s="188">
        <f t="shared" si="933"/>
        <v>0</v>
      </c>
      <c r="BI568" s="188">
        <f t="shared" si="933"/>
        <v>0</v>
      </c>
      <c r="BJ568" s="188">
        <f t="shared" si="933"/>
        <v>0</v>
      </c>
      <c r="BK568" s="188">
        <f t="shared" si="933"/>
        <v>0</v>
      </c>
      <c r="BL568" s="188">
        <f t="shared" si="933"/>
        <v>0</v>
      </c>
      <c r="BM568" s="188">
        <f t="shared" si="933"/>
        <v>0</v>
      </c>
      <c r="BN568" s="188">
        <f t="shared" si="933"/>
        <v>0</v>
      </c>
      <c r="BO568" s="188">
        <f t="shared" si="933"/>
        <v>0</v>
      </c>
      <c r="BP568" s="188">
        <f t="shared" si="933"/>
        <v>0</v>
      </c>
      <c r="BQ568" s="188">
        <f t="shared" si="933"/>
        <v>0</v>
      </c>
      <c r="BR568" s="188">
        <f t="shared" si="933"/>
        <v>0</v>
      </c>
      <c r="BS568" s="188">
        <f t="shared" si="933"/>
        <v>0</v>
      </c>
      <c r="BT568" s="188">
        <f t="shared" si="933"/>
        <v>0</v>
      </c>
      <c r="BU568" s="188">
        <f t="shared" si="933"/>
        <v>0</v>
      </c>
      <c r="BV568" s="188">
        <f t="shared" ref="BV568:CV568" si="934" xml:space="preserve"> -1 * BV567</f>
        <v>0</v>
      </c>
      <c r="BW568" s="188">
        <f t="shared" si="934"/>
        <v>0</v>
      </c>
      <c r="BX568" s="188">
        <f t="shared" si="934"/>
        <v>0</v>
      </c>
      <c r="BY568" s="188">
        <f t="shared" si="934"/>
        <v>0</v>
      </c>
      <c r="BZ568" s="188">
        <f t="shared" si="934"/>
        <v>0</v>
      </c>
      <c r="CA568" s="188">
        <f t="shared" si="934"/>
        <v>0</v>
      </c>
      <c r="CB568" s="188">
        <f t="shared" si="934"/>
        <v>0</v>
      </c>
      <c r="CC568" s="188">
        <f t="shared" si="934"/>
        <v>0</v>
      </c>
      <c r="CD568" s="188">
        <f t="shared" si="934"/>
        <v>0</v>
      </c>
      <c r="CE568" s="188">
        <f t="shared" si="934"/>
        <v>0</v>
      </c>
      <c r="CF568" s="188">
        <f t="shared" si="934"/>
        <v>0</v>
      </c>
      <c r="CG568" s="188">
        <f t="shared" si="934"/>
        <v>0</v>
      </c>
      <c r="CH568" s="188">
        <f t="shared" si="934"/>
        <v>0</v>
      </c>
      <c r="CI568" s="188">
        <f t="shared" si="934"/>
        <v>0</v>
      </c>
      <c r="CJ568" s="188">
        <f t="shared" si="934"/>
        <v>0</v>
      </c>
      <c r="CK568" s="188">
        <f t="shared" si="934"/>
        <v>0</v>
      </c>
      <c r="CL568" s="188">
        <f t="shared" si="934"/>
        <v>0</v>
      </c>
      <c r="CM568" s="188">
        <f t="shared" si="934"/>
        <v>0</v>
      </c>
      <c r="CN568" s="188">
        <f t="shared" si="934"/>
        <v>0</v>
      </c>
      <c r="CO568" s="188">
        <f t="shared" si="934"/>
        <v>0</v>
      </c>
      <c r="CP568" s="188">
        <f t="shared" si="934"/>
        <v>0</v>
      </c>
      <c r="CQ568" s="188">
        <f t="shared" si="934"/>
        <v>0</v>
      </c>
      <c r="CR568" s="188">
        <f t="shared" si="934"/>
        <v>0</v>
      </c>
      <c r="CS568" s="188">
        <f t="shared" si="934"/>
        <v>0</v>
      </c>
      <c r="CT568" s="188">
        <f t="shared" si="934"/>
        <v>0</v>
      </c>
      <c r="CU568" s="188">
        <f t="shared" si="934"/>
        <v>0</v>
      </c>
      <c r="CV568" s="188">
        <f t="shared" si="934"/>
        <v>0</v>
      </c>
    </row>
    <row r="569" spans="1:100" ht="12.75" outlineLevel="1" x14ac:dyDescent="0.2">
      <c r="A569" s="79"/>
      <c r="B569" s="79"/>
      <c r="C569" s="561"/>
      <c r="D569" s="60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32"/>
      <c r="CS569" s="32"/>
      <c r="CT569" s="32"/>
      <c r="CU569" s="32"/>
      <c r="CV569" s="32"/>
    </row>
    <row r="570" spans="1:100" ht="12.75" outlineLevel="1" x14ac:dyDescent="0.2">
      <c r="A570" s="79"/>
      <c r="B570" s="79" t="s">
        <v>468</v>
      </c>
      <c r="C570" s="561"/>
      <c r="D570" s="60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32"/>
      <c r="CS570" s="32"/>
      <c r="CT570" s="32"/>
      <c r="CU570" s="32"/>
      <c r="CV570" s="32"/>
    </row>
    <row r="571" spans="1:100" ht="12.75" outlineLevel="2" x14ac:dyDescent="0.2">
      <c r="A571" s="639"/>
      <c r="B571" s="639"/>
      <c r="C571" s="640"/>
      <c r="D571" s="641"/>
      <c r="E571" s="125" t="str">
        <f xml:space="preserve"> InpC!E$363</f>
        <v>WCF commitment amount</v>
      </c>
      <c r="F571" s="125">
        <f xml:space="preserve"> InpC!F$363</f>
        <v>6500</v>
      </c>
      <c r="G571" s="125" t="str">
        <f xml:space="preserve"> InpC!G$363</f>
        <v>$ 000s</v>
      </c>
      <c r="H571" s="125"/>
      <c r="I571" s="125"/>
      <c r="J571" s="125"/>
      <c r="K571" s="125"/>
      <c r="L571" s="1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</row>
    <row r="572" spans="1:100" ht="12.75" outlineLevel="2" x14ac:dyDescent="0.2">
      <c r="A572" s="79"/>
      <c r="B572" s="79"/>
      <c r="C572" s="561"/>
      <c r="D572" s="60"/>
      <c r="E572" s="32" t="str">
        <f t="shared" ref="E572:AJ572" si="935" xml:space="preserve"> E$608</f>
        <v>WCF balance BEG</v>
      </c>
      <c r="F572" s="32">
        <f t="shared" si="935"/>
        <v>0</v>
      </c>
      <c r="G572" s="32" t="str">
        <f t="shared" si="935"/>
        <v>$ 000s</v>
      </c>
      <c r="H572" s="32">
        <f t="shared" si="935"/>
        <v>0</v>
      </c>
      <c r="I572" s="32">
        <f t="shared" si="935"/>
        <v>0</v>
      </c>
      <c r="J572" s="32">
        <f t="shared" si="935"/>
        <v>0</v>
      </c>
      <c r="K572" s="32">
        <f t="shared" si="935"/>
        <v>0</v>
      </c>
      <c r="L572" s="32">
        <f t="shared" si="935"/>
        <v>0</v>
      </c>
      <c r="M572" s="32">
        <f t="shared" si="935"/>
        <v>0</v>
      </c>
      <c r="N572" s="32">
        <f t="shared" si="935"/>
        <v>0</v>
      </c>
      <c r="O572" s="32">
        <f t="shared" si="935"/>
        <v>0</v>
      </c>
      <c r="P572" s="32">
        <f t="shared" si="935"/>
        <v>0</v>
      </c>
      <c r="Q572" s="32">
        <f t="shared" si="935"/>
        <v>0</v>
      </c>
      <c r="R572" s="32">
        <f t="shared" si="935"/>
        <v>0</v>
      </c>
      <c r="S572" s="32">
        <f t="shared" si="935"/>
        <v>0</v>
      </c>
      <c r="T572" s="32">
        <f t="shared" si="935"/>
        <v>0</v>
      </c>
      <c r="U572" s="32">
        <f t="shared" si="935"/>
        <v>0</v>
      </c>
      <c r="V572" s="32">
        <f t="shared" si="935"/>
        <v>0</v>
      </c>
      <c r="W572" s="32">
        <f t="shared" si="935"/>
        <v>0</v>
      </c>
      <c r="X572" s="32">
        <f t="shared" si="935"/>
        <v>0</v>
      </c>
      <c r="Y572" s="32">
        <f t="shared" si="935"/>
        <v>0</v>
      </c>
      <c r="Z572" s="32">
        <f t="shared" si="935"/>
        <v>0</v>
      </c>
      <c r="AA572" s="32">
        <f t="shared" si="935"/>
        <v>0</v>
      </c>
      <c r="AB572" s="32">
        <f t="shared" si="935"/>
        <v>0</v>
      </c>
      <c r="AC572" s="32">
        <f t="shared" si="935"/>
        <v>0</v>
      </c>
      <c r="AD572" s="32">
        <f t="shared" si="935"/>
        <v>0</v>
      </c>
      <c r="AE572" s="32">
        <f t="shared" si="935"/>
        <v>0</v>
      </c>
      <c r="AF572" s="32">
        <f t="shared" si="935"/>
        <v>0</v>
      </c>
      <c r="AG572" s="32">
        <f t="shared" si="935"/>
        <v>0</v>
      </c>
      <c r="AH572" s="32">
        <f t="shared" si="935"/>
        <v>0</v>
      </c>
      <c r="AI572" s="32">
        <f t="shared" si="935"/>
        <v>0</v>
      </c>
      <c r="AJ572" s="32">
        <f t="shared" si="935"/>
        <v>0</v>
      </c>
      <c r="AK572" s="32">
        <f t="shared" ref="AK572:BP572" si="936" xml:space="preserve"> AK$608</f>
        <v>0</v>
      </c>
      <c r="AL572" s="32">
        <f t="shared" si="936"/>
        <v>0</v>
      </c>
      <c r="AM572" s="32">
        <f t="shared" si="936"/>
        <v>0</v>
      </c>
      <c r="AN572" s="32">
        <f t="shared" si="936"/>
        <v>0</v>
      </c>
      <c r="AO572" s="32">
        <f t="shared" si="936"/>
        <v>0</v>
      </c>
      <c r="AP572" s="32">
        <f t="shared" si="936"/>
        <v>0</v>
      </c>
      <c r="AQ572" s="32">
        <f t="shared" si="936"/>
        <v>0</v>
      </c>
      <c r="AR572" s="32">
        <f t="shared" si="936"/>
        <v>0</v>
      </c>
      <c r="AS572" s="32">
        <f t="shared" si="936"/>
        <v>0</v>
      </c>
      <c r="AT572" s="32">
        <f t="shared" si="936"/>
        <v>0</v>
      </c>
      <c r="AU572" s="32">
        <f t="shared" si="936"/>
        <v>0</v>
      </c>
      <c r="AV572" s="32">
        <f t="shared" si="936"/>
        <v>0</v>
      </c>
      <c r="AW572" s="32">
        <f t="shared" si="936"/>
        <v>0</v>
      </c>
      <c r="AX572" s="32">
        <f t="shared" si="936"/>
        <v>0</v>
      </c>
      <c r="AY572" s="32">
        <f t="shared" si="936"/>
        <v>0</v>
      </c>
      <c r="AZ572" s="32">
        <f t="shared" si="936"/>
        <v>0</v>
      </c>
      <c r="BA572" s="32">
        <f t="shared" si="936"/>
        <v>0</v>
      </c>
      <c r="BB572" s="32">
        <f t="shared" si="936"/>
        <v>0</v>
      </c>
      <c r="BC572" s="32">
        <f t="shared" si="936"/>
        <v>0</v>
      </c>
      <c r="BD572" s="32">
        <f t="shared" si="936"/>
        <v>0</v>
      </c>
      <c r="BE572" s="32">
        <f t="shared" si="936"/>
        <v>0</v>
      </c>
      <c r="BF572" s="32">
        <f t="shared" si="936"/>
        <v>0</v>
      </c>
      <c r="BG572" s="32">
        <f t="shared" si="936"/>
        <v>0</v>
      </c>
      <c r="BH572" s="32">
        <f t="shared" si="936"/>
        <v>0</v>
      </c>
      <c r="BI572" s="32">
        <f t="shared" si="936"/>
        <v>0</v>
      </c>
      <c r="BJ572" s="32">
        <f t="shared" si="936"/>
        <v>0</v>
      </c>
      <c r="BK572" s="32">
        <f t="shared" si="936"/>
        <v>0</v>
      </c>
      <c r="BL572" s="32">
        <f t="shared" si="936"/>
        <v>0</v>
      </c>
      <c r="BM572" s="32">
        <f t="shared" si="936"/>
        <v>0</v>
      </c>
      <c r="BN572" s="32">
        <f t="shared" si="936"/>
        <v>0</v>
      </c>
      <c r="BO572" s="32">
        <f t="shared" si="936"/>
        <v>0</v>
      </c>
      <c r="BP572" s="32">
        <f t="shared" si="936"/>
        <v>0</v>
      </c>
      <c r="BQ572" s="32">
        <f t="shared" ref="BQ572:CV572" si="937" xml:space="preserve"> BQ$608</f>
        <v>0</v>
      </c>
      <c r="BR572" s="32">
        <f t="shared" si="937"/>
        <v>0</v>
      </c>
      <c r="BS572" s="32">
        <f t="shared" si="937"/>
        <v>0</v>
      </c>
      <c r="BT572" s="32">
        <f t="shared" si="937"/>
        <v>0</v>
      </c>
      <c r="BU572" s="32">
        <f t="shared" si="937"/>
        <v>0</v>
      </c>
      <c r="BV572" s="32">
        <f t="shared" si="937"/>
        <v>0</v>
      </c>
      <c r="BW572" s="32">
        <f t="shared" si="937"/>
        <v>0</v>
      </c>
      <c r="BX572" s="32">
        <f t="shared" si="937"/>
        <v>0</v>
      </c>
      <c r="BY572" s="32">
        <f t="shared" si="937"/>
        <v>0</v>
      </c>
      <c r="BZ572" s="32">
        <f t="shared" si="937"/>
        <v>0</v>
      </c>
      <c r="CA572" s="32">
        <f t="shared" si="937"/>
        <v>0</v>
      </c>
      <c r="CB572" s="32">
        <f t="shared" si="937"/>
        <v>0</v>
      </c>
      <c r="CC572" s="32">
        <f t="shared" si="937"/>
        <v>0</v>
      </c>
      <c r="CD572" s="32">
        <f t="shared" si="937"/>
        <v>0</v>
      </c>
      <c r="CE572" s="32">
        <f t="shared" si="937"/>
        <v>0</v>
      </c>
      <c r="CF572" s="32">
        <f t="shared" si="937"/>
        <v>0</v>
      </c>
      <c r="CG572" s="32">
        <f t="shared" si="937"/>
        <v>0</v>
      </c>
      <c r="CH572" s="32">
        <f t="shared" si="937"/>
        <v>0</v>
      </c>
      <c r="CI572" s="32">
        <f t="shared" si="937"/>
        <v>0</v>
      </c>
      <c r="CJ572" s="32">
        <f t="shared" si="937"/>
        <v>0</v>
      </c>
      <c r="CK572" s="32">
        <f t="shared" si="937"/>
        <v>0</v>
      </c>
      <c r="CL572" s="32">
        <f t="shared" si="937"/>
        <v>0</v>
      </c>
      <c r="CM572" s="32">
        <f t="shared" si="937"/>
        <v>0</v>
      </c>
      <c r="CN572" s="32">
        <f t="shared" si="937"/>
        <v>0</v>
      </c>
      <c r="CO572" s="32">
        <f t="shared" si="937"/>
        <v>0</v>
      </c>
      <c r="CP572" s="32">
        <f t="shared" si="937"/>
        <v>0</v>
      </c>
      <c r="CQ572" s="32">
        <f t="shared" si="937"/>
        <v>0</v>
      </c>
      <c r="CR572" s="32">
        <f t="shared" si="937"/>
        <v>0</v>
      </c>
      <c r="CS572" s="32">
        <f t="shared" si="937"/>
        <v>0</v>
      </c>
      <c r="CT572" s="32">
        <f t="shared" si="937"/>
        <v>0</v>
      </c>
      <c r="CU572" s="32">
        <f t="shared" si="937"/>
        <v>0</v>
      </c>
      <c r="CV572" s="32">
        <f t="shared" si="937"/>
        <v>0</v>
      </c>
    </row>
    <row r="573" spans="1:100" ht="12.75" outlineLevel="2" x14ac:dyDescent="0.2">
      <c r="A573" s="79"/>
      <c r="B573" s="79"/>
      <c r="C573" s="561"/>
      <c r="D573" s="60"/>
      <c r="E573" s="125" t="str">
        <f xml:space="preserve"> Time!E$106</f>
        <v>Operating period flag</v>
      </c>
      <c r="F573" s="125">
        <f xml:space="preserve"> Time!F$106</f>
        <v>0</v>
      </c>
      <c r="G573" s="125" t="str">
        <f xml:space="preserve"> Time!G$106</f>
        <v>flag</v>
      </c>
      <c r="H573" s="125">
        <f xml:space="preserve"> Time!H$106</f>
        <v>40</v>
      </c>
      <c r="I573" s="125">
        <f xml:space="preserve"> Time!I$106</f>
        <v>0</v>
      </c>
      <c r="J573" s="125">
        <f xml:space="preserve"> Time!J$106</f>
        <v>0</v>
      </c>
      <c r="K573" s="125">
        <f xml:space="preserve"> Time!K$106</f>
        <v>0</v>
      </c>
      <c r="L573" s="125">
        <f xml:space="preserve"> Time!L$106</f>
        <v>0</v>
      </c>
      <c r="M573" s="125">
        <f xml:space="preserve"> Time!M$106</f>
        <v>0</v>
      </c>
      <c r="N573" s="125">
        <f xml:space="preserve"> Time!N$106</f>
        <v>0</v>
      </c>
      <c r="O573" s="125">
        <f xml:space="preserve"> Time!O$106</f>
        <v>1</v>
      </c>
      <c r="P573" s="125">
        <f xml:space="preserve"> Time!P$106</f>
        <v>1</v>
      </c>
      <c r="Q573" s="125">
        <f xml:space="preserve"> Time!Q$106</f>
        <v>1</v>
      </c>
      <c r="R573" s="125">
        <f xml:space="preserve"> Time!R$106</f>
        <v>1</v>
      </c>
      <c r="S573" s="125">
        <f xml:space="preserve"> Time!S$106</f>
        <v>1</v>
      </c>
      <c r="T573" s="125">
        <f xml:space="preserve"> Time!T$106</f>
        <v>1</v>
      </c>
      <c r="U573" s="125">
        <f xml:space="preserve"> Time!U$106</f>
        <v>1</v>
      </c>
      <c r="V573" s="125">
        <f xml:space="preserve"> Time!V$106</f>
        <v>1</v>
      </c>
      <c r="W573" s="125">
        <f xml:space="preserve"> Time!W$106</f>
        <v>1</v>
      </c>
      <c r="X573" s="125">
        <f xml:space="preserve"> Time!X$106</f>
        <v>1</v>
      </c>
      <c r="Y573" s="125">
        <f xml:space="preserve"> Time!Y$106</f>
        <v>1</v>
      </c>
      <c r="Z573" s="125">
        <f xml:space="preserve"> Time!Z$106</f>
        <v>1</v>
      </c>
      <c r="AA573" s="125">
        <f xml:space="preserve"> Time!AA$106</f>
        <v>1</v>
      </c>
      <c r="AB573" s="125">
        <f xml:space="preserve"> Time!AB$106</f>
        <v>1</v>
      </c>
      <c r="AC573" s="125">
        <f xml:space="preserve"> Time!AC$106</f>
        <v>1</v>
      </c>
      <c r="AD573" s="125">
        <f xml:space="preserve"> Time!AD$106</f>
        <v>1</v>
      </c>
      <c r="AE573" s="125">
        <f xml:space="preserve"> Time!AE$106</f>
        <v>1</v>
      </c>
      <c r="AF573" s="125">
        <f xml:space="preserve"> Time!AF$106</f>
        <v>1</v>
      </c>
      <c r="AG573" s="125">
        <f xml:space="preserve"> Time!AG$106</f>
        <v>1</v>
      </c>
      <c r="AH573" s="125">
        <f xml:space="preserve"> Time!AH$106</f>
        <v>1</v>
      </c>
      <c r="AI573" s="125">
        <f xml:space="preserve"> Time!AI$106</f>
        <v>1</v>
      </c>
      <c r="AJ573" s="125">
        <f xml:space="preserve"> Time!AJ$106</f>
        <v>1</v>
      </c>
      <c r="AK573" s="125">
        <f xml:space="preserve"> Time!AK$106</f>
        <v>1</v>
      </c>
      <c r="AL573" s="125">
        <f xml:space="preserve"> Time!AL$106</f>
        <v>1</v>
      </c>
      <c r="AM573" s="125">
        <f xml:space="preserve"> Time!AM$106</f>
        <v>1</v>
      </c>
      <c r="AN573" s="125">
        <f xml:space="preserve"> Time!AN$106</f>
        <v>1</v>
      </c>
      <c r="AO573" s="125">
        <f xml:space="preserve"> Time!AO$106</f>
        <v>1</v>
      </c>
      <c r="AP573" s="125">
        <f xml:space="preserve"> Time!AP$106</f>
        <v>1</v>
      </c>
      <c r="AQ573" s="125">
        <f xml:space="preserve"> Time!AQ$106</f>
        <v>1</v>
      </c>
      <c r="AR573" s="125">
        <f xml:space="preserve"> Time!AR$106</f>
        <v>1</v>
      </c>
      <c r="AS573" s="125">
        <f xml:space="preserve"> Time!AS$106</f>
        <v>1</v>
      </c>
      <c r="AT573" s="125">
        <f xml:space="preserve"> Time!AT$106</f>
        <v>1</v>
      </c>
      <c r="AU573" s="125">
        <f xml:space="preserve"> Time!AU$106</f>
        <v>1</v>
      </c>
      <c r="AV573" s="125">
        <f xml:space="preserve"> Time!AV$106</f>
        <v>1</v>
      </c>
      <c r="AW573" s="125">
        <f xml:space="preserve"> Time!AW$106</f>
        <v>1</v>
      </c>
      <c r="AX573" s="125">
        <f xml:space="preserve"> Time!AX$106</f>
        <v>1</v>
      </c>
      <c r="AY573" s="125">
        <f xml:space="preserve"> Time!AY$106</f>
        <v>1</v>
      </c>
      <c r="AZ573" s="125">
        <f xml:space="preserve"> Time!AZ$106</f>
        <v>1</v>
      </c>
      <c r="BA573" s="125">
        <f xml:space="preserve"> Time!BA$106</f>
        <v>1</v>
      </c>
      <c r="BB573" s="125">
        <f xml:space="preserve"> Time!BB$106</f>
        <v>1</v>
      </c>
      <c r="BC573" s="125">
        <f xml:space="preserve"> Time!BC$106</f>
        <v>0</v>
      </c>
      <c r="BD573" s="125">
        <f xml:space="preserve"> Time!BD$106</f>
        <v>0</v>
      </c>
      <c r="BE573" s="125">
        <f xml:space="preserve"> Time!BE$106</f>
        <v>0</v>
      </c>
      <c r="BF573" s="125">
        <f xml:space="preserve"> Time!BF$106</f>
        <v>0</v>
      </c>
      <c r="BG573" s="125">
        <f xml:space="preserve"> Time!BG$106</f>
        <v>0</v>
      </c>
      <c r="BH573" s="125">
        <f xml:space="preserve"> Time!BH$106</f>
        <v>0</v>
      </c>
      <c r="BI573" s="125">
        <f xml:space="preserve"> Time!BI$106</f>
        <v>0</v>
      </c>
      <c r="BJ573" s="125">
        <f xml:space="preserve"> Time!BJ$106</f>
        <v>0</v>
      </c>
      <c r="BK573" s="125">
        <f xml:space="preserve"> Time!BK$106</f>
        <v>0</v>
      </c>
      <c r="BL573" s="125">
        <f xml:space="preserve"> Time!BL$106</f>
        <v>0</v>
      </c>
      <c r="BM573" s="125">
        <f xml:space="preserve"> Time!BM$106</f>
        <v>0</v>
      </c>
      <c r="BN573" s="125">
        <f xml:space="preserve"> Time!BN$106</f>
        <v>0</v>
      </c>
      <c r="BO573" s="125">
        <f xml:space="preserve"> Time!BO$106</f>
        <v>0</v>
      </c>
      <c r="BP573" s="125">
        <f xml:space="preserve"> Time!BP$106</f>
        <v>0</v>
      </c>
      <c r="BQ573" s="125">
        <f xml:space="preserve"> Time!BQ$106</f>
        <v>0</v>
      </c>
      <c r="BR573" s="125">
        <f xml:space="preserve"> Time!BR$106</f>
        <v>0</v>
      </c>
      <c r="BS573" s="125">
        <f xml:space="preserve"> Time!BS$106</f>
        <v>0</v>
      </c>
      <c r="BT573" s="125">
        <f xml:space="preserve"> Time!BT$106</f>
        <v>0</v>
      </c>
      <c r="BU573" s="125">
        <f xml:space="preserve"> Time!BU$106</f>
        <v>0</v>
      </c>
      <c r="BV573" s="125">
        <f xml:space="preserve"> Time!BV$106</f>
        <v>0</v>
      </c>
      <c r="BW573" s="125">
        <f xml:space="preserve"> Time!BW$106</f>
        <v>0</v>
      </c>
      <c r="BX573" s="125">
        <f xml:space="preserve"> Time!BX$106</f>
        <v>0</v>
      </c>
      <c r="BY573" s="125">
        <f xml:space="preserve"> Time!BY$106</f>
        <v>0</v>
      </c>
      <c r="BZ573" s="125">
        <f xml:space="preserve"> Time!BZ$106</f>
        <v>0</v>
      </c>
      <c r="CA573" s="125">
        <f xml:space="preserve"> Time!CA$106</f>
        <v>0</v>
      </c>
      <c r="CB573" s="125">
        <f xml:space="preserve"> Time!CB$106</f>
        <v>0</v>
      </c>
      <c r="CC573" s="125">
        <f xml:space="preserve"> Time!CC$106</f>
        <v>0</v>
      </c>
      <c r="CD573" s="125">
        <f xml:space="preserve"> Time!CD$106</f>
        <v>0</v>
      </c>
      <c r="CE573" s="125">
        <f xml:space="preserve"> Time!CE$106</f>
        <v>0</v>
      </c>
      <c r="CF573" s="125">
        <f xml:space="preserve"> Time!CF$106</f>
        <v>0</v>
      </c>
      <c r="CG573" s="125">
        <f xml:space="preserve"> Time!CG$106</f>
        <v>0</v>
      </c>
      <c r="CH573" s="125">
        <f xml:space="preserve"> Time!CH$106</f>
        <v>0</v>
      </c>
      <c r="CI573" s="125">
        <f xml:space="preserve"> Time!CI$106</f>
        <v>0</v>
      </c>
      <c r="CJ573" s="125">
        <f xml:space="preserve"> Time!CJ$106</f>
        <v>0</v>
      </c>
      <c r="CK573" s="125">
        <f xml:space="preserve"> Time!CK$106</f>
        <v>0</v>
      </c>
      <c r="CL573" s="125">
        <f xml:space="preserve"> Time!CL$106</f>
        <v>0</v>
      </c>
      <c r="CM573" s="125">
        <f xml:space="preserve"> Time!CM$106</f>
        <v>0</v>
      </c>
      <c r="CN573" s="125">
        <f xml:space="preserve"> Time!CN$106</f>
        <v>0</v>
      </c>
      <c r="CO573" s="125">
        <f xml:space="preserve"> Time!CO$106</f>
        <v>0</v>
      </c>
      <c r="CP573" s="125">
        <f xml:space="preserve"> Time!CP$106</f>
        <v>0</v>
      </c>
      <c r="CQ573" s="125">
        <f xml:space="preserve"> Time!CQ$106</f>
        <v>0</v>
      </c>
      <c r="CR573" s="125">
        <f xml:space="preserve"> Time!CR$106</f>
        <v>0</v>
      </c>
      <c r="CS573" s="125">
        <f xml:space="preserve"> Time!CS$106</f>
        <v>0</v>
      </c>
      <c r="CT573" s="125">
        <f xml:space="preserve"> Time!CT$106</f>
        <v>0</v>
      </c>
      <c r="CU573" s="125">
        <f xml:space="preserve"> Time!CU$106</f>
        <v>0</v>
      </c>
      <c r="CV573" s="125">
        <f xml:space="preserve"> Time!CV$106</f>
        <v>0</v>
      </c>
    </row>
    <row r="574" spans="1:100" ht="12.75" outlineLevel="2" x14ac:dyDescent="0.2">
      <c r="A574" s="79"/>
      <c r="B574" s="79"/>
      <c r="C574" s="561"/>
      <c r="D574" s="60"/>
      <c r="E574" s="32" t="s">
        <v>479</v>
      </c>
      <c r="F574" s="32"/>
      <c r="G574" s="32" t="str">
        <f xml:space="preserve"> SMU</f>
        <v>$ 000s</v>
      </c>
      <c r="H574" s="32"/>
      <c r="I574" s="32"/>
      <c r="J574" s="32">
        <f t="shared" ref="J574:AO574" si="938" xml:space="preserve"> ($F571 - J572) * J573</f>
        <v>0</v>
      </c>
      <c r="K574" s="32">
        <f t="shared" si="938"/>
        <v>0</v>
      </c>
      <c r="L574" s="32">
        <f t="shared" si="938"/>
        <v>0</v>
      </c>
      <c r="M574" s="32">
        <f t="shared" si="938"/>
        <v>0</v>
      </c>
      <c r="N574" s="32">
        <f t="shared" si="938"/>
        <v>0</v>
      </c>
      <c r="O574" s="32">
        <f t="shared" si="938"/>
        <v>6500</v>
      </c>
      <c r="P574" s="32">
        <f t="shared" si="938"/>
        <v>6500</v>
      </c>
      <c r="Q574" s="32">
        <f t="shared" si="938"/>
        <v>6500</v>
      </c>
      <c r="R574" s="32">
        <f t="shared" si="938"/>
        <v>6500</v>
      </c>
      <c r="S574" s="32">
        <f t="shared" si="938"/>
        <v>6500</v>
      </c>
      <c r="T574" s="32">
        <f t="shared" si="938"/>
        <v>6500</v>
      </c>
      <c r="U574" s="32">
        <f t="shared" si="938"/>
        <v>6500</v>
      </c>
      <c r="V574" s="32">
        <f t="shared" si="938"/>
        <v>6500</v>
      </c>
      <c r="W574" s="32">
        <f t="shared" si="938"/>
        <v>6500</v>
      </c>
      <c r="X574" s="32">
        <f t="shared" si="938"/>
        <v>6500</v>
      </c>
      <c r="Y574" s="32">
        <f t="shared" si="938"/>
        <v>6500</v>
      </c>
      <c r="Z574" s="32">
        <f t="shared" si="938"/>
        <v>6500</v>
      </c>
      <c r="AA574" s="32">
        <f t="shared" si="938"/>
        <v>6500</v>
      </c>
      <c r="AB574" s="32">
        <f t="shared" si="938"/>
        <v>6500</v>
      </c>
      <c r="AC574" s="32">
        <f t="shared" si="938"/>
        <v>6500</v>
      </c>
      <c r="AD574" s="32">
        <f t="shared" si="938"/>
        <v>6500</v>
      </c>
      <c r="AE574" s="32">
        <f t="shared" si="938"/>
        <v>6500</v>
      </c>
      <c r="AF574" s="32">
        <f t="shared" si="938"/>
        <v>6500</v>
      </c>
      <c r="AG574" s="32">
        <f t="shared" si="938"/>
        <v>6500</v>
      </c>
      <c r="AH574" s="32">
        <f t="shared" si="938"/>
        <v>6500</v>
      </c>
      <c r="AI574" s="32">
        <f t="shared" si="938"/>
        <v>6500</v>
      </c>
      <c r="AJ574" s="32">
        <f t="shared" si="938"/>
        <v>6500</v>
      </c>
      <c r="AK574" s="32">
        <f t="shared" si="938"/>
        <v>6500</v>
      </c>
      <c r="AL574" s="32">
        <f t="shared" si="938"/>
        <v>6500</v>
      </c>
      <c r="AM574" s="32">
        <f t="shared" si="938"/>
        <v>6500</v>
      </c>
      <c r="AN574" s="32">
        <f t="shared" si="938"/>
        <v>6500</v>
      </c>
      <c r="AO574" s="32">
        <f t="shared" si="938"/>
        <v>6500</v>
      </c>
      <c r="AP574" s="32">
        <f t="shared" ref="AP574:BU574" si="939" xml:space="preserve"> ($F571 - AP572) * AP573</f>
        <v>6500</v>
      </c>
      <c r="AQ574" s="32">
        <f t="shared" si="939"/>
        <v>6500</v>
      </c>
      <c r="AR574" s="32">
        <f t="shared" si="939"/>
        <v>6500</v>
      </c>
      <c r="AS574" s="32">
        <f t="shared" si="939"/>
        <v>6500</v>
      </c>
      <c r="AT574" s="32">
        <f t="shared" si="939"/>
        <v>6500</v>
      </c>
      <c r="AU574" s="32">
        <f t="shared" si="939"/>
        <v>6500</v>
      </c>
      <c r="AV574" s="32">
        <f t="shared" si="939"/>
        <v>6500</v>
      </c>
      <c r="AW574" s="32">
        <f t="shared" si="939"/>
        <v>6500</v>
      </c>
      <c r="AX574" s="32">
        <f t="shared" si="939"/>
        <v>6500</v>
      </c>
      <c r="AY574" s="32">
        <f t="shared" si="939"/>
        <v>6500</v>
      </c>
      <c r="AZ574" s="32">
        <f t="shared" si="939"/>
        <v>6500</v>
      </c>
      <c r="BA574" s="32">
        <f t="shared" si="939"/>
        <v>6500</v>
      </c>
      <c r="BB574" s="32">
        <f t="shared" si="939"/>
        <v>6500</v>
      </c>
      <c r="BC574" s="32">
        <f t="shared" si="939"/>
        <v>0</v>
      </c>
      <c r="BD574" s="32">
        <f t="shared" si="939"/>
        <v>0</v>
      </c>
      <c r="BE574" s="32">
        <f t="shared" si="939"/>
        <v>0</v>
      </c>
      <c r="BF574" s="32">
        <f t="shared" si="939"/>
        <v>0</v>
      </c>
      <c r="BG574" s="32">
        <f t="shared" si="939"/>
        <v>0</v>
      </c>
      <c r="BH574" s="32">
        <f t="shared" si="939"/>
        <v>0</v>
      </c>
      <c r="BI574" s="32">
        <f t="shared" si="939"/>
        <v>0</v>
      </c>
      <c r="BJ574" s="32">
        <f t="shared" si="939"/>
        <v>0</v>
      </c>
      <c r="BK574" s="32">
        <f t="shared" si="939"/>
        <v>0</v>
      </c>
      <c r="BL574" s="32">
        <f t="shared" si="939"/>
        <v>0</v>
      </c>
      <c r="BM574" s="32">
        <f t="shared" si="939"/>
        <v>0</v>
      </c>
      <c r="BN574" s="32">
        <f t="shared" si="939"/>
        <v>0</v>
      </c>
      <c r="BO574" s="32">
        <f t="shared" si="939"/>
        <v>0</v>
      </c>
      <c r="BP574" s="32">
        <f t="shared" si="939"/>
        <v>0</v>
      </c>
      <c r="BQ574" s="32">
        <f t="shared" si="939"/>
        <v>0</v>
      </c>
      <c r="BR574" s="32">
        <f t="shared" si="939"/>
        <v>0</v>
      </c>
      <c r="BS574" s="32">
        <f t="shared" si="939"/>
        <v>0</v>
      </c>
      <c r="BT574" s="32">
        <f t="shared" si="939"/>
        <v>0</v>
      </c>
      <c r="BU574" s="32">
        <f t="shared" si="939"/>
        <v>0</v>
      </c>
      <c r="BV574" s="32">
        <f t="shared" ref="BV574:CV574" si="940" xml:space="preserve"> ($F571 - BV572) * BV573</f>
        <v>0</v>
      </c>
      <c r="BW574" s="32">
        <f t="shared" si="940"/>
        <v>0</v>
      </c>
      <c r="BX574" s="32">
        <f t="shared" si="940"/>
        <v>0</v>
      </c>
      <c r="BY574" s="32">
        <f t="shared" si="940"/>
        <v>0</v>
      </c>
      <c r="BZ574" s="32">
        <f t="shared" si="940"/>
        <v>0</v>
      </c>
      <c r="CA574" s="32">
        <f t="shared" si="940"/>
        <v>0</v>
      </c>
      <c r="CB574" s="32">
        <f t="shared" si="940"/>
        <v>0</v>
      </c>
      <c r="CC574" s="32">
        <f t="shared" si="940"/>
        <v>0</v>
      </c>
      <c r="CD574" s="32">
        <f t="shared" si="940"/>
        <v>0</v>
      </c>
      <c r="CE574" s="32">
        <f t="shared" si="940"/>
        <v>0</v>
      </c>
      <c r="CF574" s="32">
        <f t="shared" si="940"/>
        <v>0</v>
      </c>
      <c r="CG574" s="32">
        <f t="shared" si="940"/>
        <v>0</v>
      </c>
      <c r="CH574" s="32">
        <f t="shared" si="940"/>
        <v>0</v>
      </c>
      <c r="CI574" s="32">
        <f t="shared" si="940"/>
        <v>0</v>
      </c>
      <c r="CJ574" s="32">
        <f t="shared" si="940"/>
        <v>0</v>
      </c>
      <c r="CK574" s="32">
        <f t="shared" si="940"/>
        <v>0</v>
      </c>
      <c r="CL574" s="32">
        <f t="shared" si="940"/>
        <v>0</v>
      </c>
      <c r="CM574" s="32">
        <f t="shared" si="940"/>
        <v>0</v>
      </c>
      <c r="CN574" s="32">
        <f t="shared" si="940"/>
        <v>0</v>
      </c>
      <c r="CO574" s="32">
        <f t="shared" si="940"/>
        <v>0</v>
      </c>
      <c r="CP574" s="32">
        <f t="shared" si="940"/>
        <v>0</v>
      </c>
      <c r="CQ574" s="32">
        <f t="shared" si="940"/>
        <v>0</v>
      </c>
      <c r="CR574" s="32">
        <f t="shared" si="940"/>
        <v>0</v>
      </c>
      <c r="CS574" s="32">
        <f t="shared" si="940"/>
        <v>0</v>
      </c>
      <c r="CT574" s="32">
        <f t="shared" si="940"/>
        <v>0</v>
      </c>
      <c r="CU574" s="32">
        <f t="shared" si="940"/>
        <v>0</v>
      </c>
      <c r="CV574" s="32">
        <f t="shared" si="940"/>
        <v>0</v>
      </c>
    </row>
    <row r="575" spans="1:100" ht="12.75" outlineLevel="2" x14ac:dyDescent="0.2">
      <c r="A575" s="79"/>
      <c r="B575" s="79"/>
      <c r="C575" s="561"/>
      <c r="D575" s="60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32"/>
      <c r="CS575" s="32"/>
      <c r="CT575" s="32"/>
      <c r="CU575" s="32"/>
      <c r="CV575" s="32"/>
    </row>
    <row r="576" spans="1:100" s="495" customFormat="1" ht="12.75" outlineLevel="2" x14ac:dyDescent="0.2">
      <c r="A576" s="236"/>
      <c r="B576" s="236"/>
      <c r="C576" s="237"/>
      <c r="D576" s="238"/>
      <c r="E576" s="68" t="str">
        <f xml:space="preserve"> InpC!E$360</f>
        <v>WCF active switch</v>
      </c>
      <c r="F576" s="68">
        <f xml:space="preserve"> InpC!F$360</f>
        <v>0</v>
      </c>
      <c r="G576" s="68" t="str">
        <f xml:space="preserve"> InpC!G$360</f>
        <v>1 = yes, 0 = no</v>
      </c>
      <c r="H576" s="235"/>
      <c r="I576" s="235"/>
      <c r="J576" s="235"/>
      <c r="K576" s="235"/>
      <c r="L576" s="235"/>
      <c r="M576" s="235"/>
      <c r="N576" s="235"/>
      <c r="O576" s="235"/>
      <c r="P576" s="235"/>
      <c r="Q576" s="235"/>
      <c r="R576" s="235"/>
      <c r="S576" s="235"/>
      <c r="T576" s="235"/>
      <c r="U576" s="235"/>
      <c r="V576" s="235"/>
      <c r="W576" s="235"/>
      <c r="X576" s="235"/>
      <c r="Y576" s="235"/>
      <c r="Z576" s="235"/>
      <c r="AA576" s="235"/>
      <c r="AB576" s="235"/>
      <c r="AC576" s="235"/>
      <c r="AD576" s="235"/>
      <c r="AE576" s="235"/>
      <c r="AF576" s="235"/>
      <c r="AG576" s="235"/>
      <c r="AH576" s="235"/>
      <c r="AI576" s="235"/>
      <c r="AJ576" s="235"/>
      <c r="AK576" s="235"/>
      <c r="AL576" s="235"/>
      <c r="AM576" s="235"/>
      <c r="AN576" s="235"/>
      <c r="AO576" s="235"/>
      <c r="AP576" s="235"/>
      <c r="AQ576" s="235"/>
      <c r="AR576" s="235"/>
      <c r="AS576" s="235"/>
      <c r="AT576" s="235"/>
      <c r="AU576" s="235"/>
      <c r="AV576" s="235"/>
      <c r="AW576" s="235"/>
      <c r="AX576" s="235"/>
      <c r="AY576" s="235"/>
      <c r="AZ576" s="235"/>
      <c r="BA576" s="235"/>
      <c r="BB576" s="235"/>
      <c r="BC576" s="235"/>
      <c r="BD576" s="235"/>
      <c r="BE576" s="235"/>
      <c r="BF576" s="235"/>
      <c r="BG576" s="235"/>
      <c r="BH576" s="235"/>
      <c r="BI576" s="235"/>
      <c r="BJ576" s="235"/>
      <c r="BK576" s="235"/>
      <c r="BL576" s="235"/>
      <c r="BM576" s="235"/>
      <c r="BN576" s="235"/>
      <c r="BO576" s="235"/>
      <c r="BP576" s="235"/>
      <c r="BQ576" s="235"/>
      <c r="BR576" s="235"/>
      <c r="BS576" s="235"/>
      <c r="BT576" s="235"/>
      <c r="BU576" s="235"/>
      <c r="BV576" s="235"/>
      <c r="BW576" s="235"/>
      <c r="BX576" s="235"/>
      <c r="BY576" s="235"/>
      <c r="BZ576" s="235"/>
      <c r="CA576" s="235"/>
      <c r="CB576" s="235"/>
      <c r="CC576" s="235"/>
      <c r="CD576" s="235"/>
      <c r="CE576" s="235"/>
      <c r="CF576" s="235"/>
      <c r="CG576" s="235"/>
      <c r="CH576" s="235"/>
      <c r="CI576" s="235"/>
      <c r="CJ576" s="235"/>
      <c r="CK576" s="235"/>
      <c r="CL576" s="235"/>
      <c r="CM576" s="235"/>
      <c r="CN576" s="235"/>
      <c r="CO576" s="235"/>
      <c r="CP576" s="235"/>
      <c r="CQ576" s="235"/>
      <c r="CR576" s="235"/>
      <c r="CS576" s="235"/>
      <c r="CT576" s="235"/>
      <c r="CU576" s="235"/>
      <c r="CV576" s="235"/>
    </row>
    <row r="577" spans="1:100" ht="12.75" outlineLevel="2" x14ac:dyDescent="0.2">
      <c r="A577" s="639"/>
      <c r="B577" s="639"/>
      <c r="C577" s="640"/>
      <c r="D577" s="641"/>
      <c r="E577" s="125" t="str">
        <f xml:space="preserve"> InpC!E$365</f>
        <v>WFC day count convention</v>
      </c>
      <c r="F577" s="125">
        <f xml:space="preserve"> InpC!F$365</f>
        <v>360</v>
      </c>
      <c r="G577" s="125" t="str">
        <f xml:space="preserve"> InpC!G$365</f>
        <v>days</v>
      </c>
      <c r="H577" s="125"/>
      <c r="I577" s="125"/>
      <c r="J577" s="125"/>
      <c r="K577" s="125"/>
      <c r="L577" s="125"/>
      <c r="M577" s="125"/>
      <c r="N577" s="125"/>
      <c r="O577" s="125"/>
      <c r="P577" s="125"/>
      <c r="Q577" s="125"/>
      <c r="R577" s="125"/>
      <c r="S577" s="125"/>
      <c r="T577" s="125"/>
      <c r="U577" s="125"/>
      <c r="V577" s="125"/>
      <c r="W577" s="125"/>
      <c r="X577" s="125"/>
      <c r="Y577" s="125"/>
      <c r="Z577" s="125"/>
      <c r="AA577" s="125"/>
      <c r="AB577" s="125"/>
      <c r="AC577" s="125"/>
      <c r="AD577" s="125"/>
      <c r="AE577" s="125"/>
      <c r="AF577" s="125"/>
      <c r="AG577" s="125"/>
      <c r="AH577" s="125"/>
      <c r="AI577" s="125"/>
      <c r="AJ577" s="125"/>
      <c r="AK577" s="125"/>
      <c r="AL577" s="125"/>
      <c r="AM577" s="125"/>
      <c r="AN577" s="125"/>
      <c r="AO577" s="125"/>
      <c r="AP577" s="125"/>
      <c r="AQ577" s="125"/>
      <c r="AR577" s="125"/>
      <c r="AS577" s="125"/>
      <c r="AT577" s="125"/>
      <c r="AU577" s="125"/>
      <c r="AV577" s="125"/>
      <c r="AW577" s="125"/>
      <c r="AX577" s="125"/>
      <c r="AY577" s="125"/>
      <c r="AZ577" s="125"/>
      <c r="BA577" s="125"/>
      <c r="BB577" s="125"/>
      <c r="BC577" s="125"/>
      <c r="BD577" s="125"/>
      <c r="BE577" s="125"/>
      <c r="BF577" s="125"/>
      <c r="BG577" s="125"/>
      <c r="BH577" s="125"/>
      <c r="BI577" s="125"/>
      <c r="BJ577" s="125"/>
      <c r="BK577" s="125"/>
      <c r="BL577" s="125"/>
      <c r="BM577" s="125"/>
      <c r="BN577" s="125"/>
      <c r="BO577" s="125"/>
      <c r="BP577" s="125"/>
      <c r="BQ577" s="125"/>
      <c r="BR577" s="125"/>
      <c r="BS577" s="125"/>
      <c r="BT577" s="125"/>
      <c r="BU577" s="125"/>
      <c r="BV577" s="125"/>
      <c r="BW577" s="125"/>
      <c r="BX577" s="125"/>
      <c r="BY577" s="125"/>
      <c r="BZ577" s="125"/>
      <c r="CA577" s="125"/>
      <c r="CB577" s="125"/>
      <c r="CC577" s="125"/>
      <c r="CD577" s="125"/>
      <c r="CE577" s="125"/>
      <c r="CF577" s="125"/>
      <c r="CG577" s="125"/>
      <c r="CH577" s="125"/>
      <c r="CI577" s="125"/>
      <c r="CJ577" s="125"/>
      <c r="CK577" s="125"/>
      <c r="CL577" s="125"/>
      <c r="CM577" s="125"/>
      <c r="CN577" s="125"/>
      <c r="CO577" s="125"/>
      <c r="CP577" s="125"/>
      <c r="CQ577" s="125"/>
      <c r="CR577" s="125"/>
      <c r="CS577" s="125"/>
      <c r="CT577" s="125"/>
      <c r="CU577" s="125"/>
      <c r="CV577" s="125"/>
    </row>
    <row r="578" spans="1:100" s="283" customFormat="1" ht="12.75" outlineLevel="2" x14ac:dyDescent="0.2">
      <c r="A578" s="719"/>
      <c r="B578" s="719"/>
      <c r="C578" s="720"/>
      <c r="D578" s="450"/>
      <c r="E578" s="450" t="str">
        <f xml:space="preserve"> InpC!E$366</f>
        <v>WCF commitment fee</v>
      </c>
      <c r="F578" s="450">
        <f xml:space="preserve"> InpC!F$366</f>
        <v>0</v>
      </c>
      <c r="G578" s="450" t="str">
        <f xml:space="preserve"> InpC!G$366</f>
        <v>% p.a.</v>
      </c>
      <c r="H578" s="450"/>
      <c r="I578" s="450"/>
      <c r="J578" s="450"/>
      <c r="K578" s="450"/>
      <c r="L578" s="450"/>
      <c r="M578" s="450"/>
      <c r="N578" s="450"/>
      <c r="O578" s="450"/>
      <c r="P578" s="450"/>
      <c r="Q578" s="450"/>
      <c r="R578" s="450"/>
      <c r="S578" s="125"/>
      <c r="T578" s="450"/>
      <c r="U578" s="450"/>
      <c r="V578" s="450"/>
      <c r="W578" s="450"/>
      <c r="X578" s="450"/>
      <c r="Y578" s="450"/>
      <c r="Z578" s="450"/>
      <c r="AA578" s="450"/>
      <c r="AB578" s="450"/>
      <c r="AC578" s="450"/>
      <c r="AD578" s="450"/>
      <c r="AE578" s="450"/>
      <c r="AF578" s="450"/>
      <c r="AG578" s="450"/>
      <c r="AH578" s="450"/>
      <c r="AI578" s="450"/>
      <c r="AJ578" s="450"/>
      <c r="AK578" s="450"/>
      <c r="AL578" s="450"/>
      <c r="AM578" s="450"/>
      <c r="AN578" s="450"/>
      <c r="AO578" s="450"/>
      <c r="AP578" s="450"/>
      <c r="AQ578" s="450"/>
      <c r="AR578" s="450"/>
      <c r="AS578" s="450"/>
      <c r="AT578" s="450"/>
      <c r="AU578" s="450"/>
      <c r="AV578" s="450"/>
      <c r="AW578" s="450"/>
      <c r="AX578" s="450"/>
      <c r="AY578" s="450"/>
      <c r="AZ578" s="450"/>
      <c r="BA578" s="450"/>
      <c r="BB578" s="450"/>
      <c r="BC578" s="450"/>
      <c r="BD578" s="450"/>
      <c r="BE578" s="450"/>
      <c r="BF578" s="450"/>
      <c r="BG578" s="450"/>
      <c r="BH578" s="450"/>
      <c r="BI578" s="450"/>
      <c r="BJ578" s="450"/>
      <c r="BK578" s="450"/>
      <c r="BL578" s="450"/>
      <c r="BM578" s="450"/>
      <c r="BN578" s="450"/>
      <c r="BO578" s="450"/>
      <c r="BP578" s="450"/>
      <c r="BQ578" s="450"/>
      <c r="BR578" s="450"/>
      <c r="BS578" s="450"/>
      <c r="BT578" s="450"/>
      <c r="BU578" s="450"/>
      <c r="BV578" s="450"/>
      <c r="BW578" s="450"/>
      <c r="BX578" s="450"/>
      <c r="BY578" s="450"/>
      <c r="BZ578" s="450"/>
      <c r="CA578" s="450"/>
      <c r="CB578" s="450"/>
      <c r="CC578" s="450"/>
      <c r="CD578" s="450"/>
      <c r="CE578" s="450"/>
      <c r="CF578" s="450"/>
      <c r="CG578" s="450"/>
      <c r="CH578" s="450"/>
      <c r="CI578" s="450"/>
      <c r="CJ578" s="450"/>
      <c r="CK578" s="450"/>
      <c r="CL578" s="450"/>
      <c r="CM578" s="450"/>
      <c r="CN578" s="450"/>
      <c r="CO578" s="450"/>
      <c r="CP578" s="450"/>
      <c r="CQ578" s="450"/>
      <c r="CR578" s="450"/>
      <c r="CS578" s="450"/>
      <c r="CT578" s="450"/>
      <c r="CU578" s="450"/>
      <c r="CV578" s="450"/>
    </row>
    <row r="579" spans="1:100" ht="12.75" outlineLevel="2" x14ac:dyDescent="0.2">
      <c r="A579" s="79"/>
      <c r="B579" s="79"/>
      <c r="C579" s="561"/>
      <c r="D579" s="60"/>
      <c r="E579" s="721" t="str">
        <f xml:space="preserve"> Time!E$246</f>
        <v>Days in period</v>
      </c>
      <c r="F579" s="721">
        <f xml:space="preserve"> Time!F$246</f>
        <v>0</v>
      </c>
      <c r="G579" s="721" t="str">
        <f xml:space="preserve"> Time!G$246</f>
        <v>days</v>
      </c>
      <c r="H579" s="721">
        <f xml:space="preserve"> Time!H$246</f>
        <v>0</v>
      </c>
      <c r="I579" s="721">
        <f xml:space="preserve"> Time!I$246</f>
        <v>0</v>
      </c>
      <c r="J579" s="721">
        <f xml:space="preserve"> Time!J$246</f>
        <v>181</v>
      </c>
      <c r="K579" s="721">
        <f xml:space="preserve"> Time!K$246</f>
        <v>184</v>
      </c>
      <c r="L579" s="721">
        <f xml:space="preserve"> Time!L$246</f>
        <v>181</v>
      </c>
      <c r="M579" s="721">
        <f xml:space="preserve"> Time!M$246</f>
        <v>184</v>
      </c>
      <c r="N579" s="721">
        <f xml:space="preserve"> Time!N$246</f>
        <v>182</v>
      </c>
      <c r="O579" s="721">
        <f xml:space="preserve"> Time!O$246</f>
        <v>184</v>
      </c>
      <c r="P579" s="721">
        <f xml:space="preserve"> Time!P$246</f>
        <v>181</v>
      </c>
      <c r="Q579" s="721">
        <f xml:space="preserve"> Time!Q$246</f>
        <v>184</v>
      </c>
      <c r="R579" s="721">
        <f xml:space="preserve"> Time!R$246</f>
        <v>181</v>
      </c>
      <c r="S579" s="721">
        <f xml:space="preserve"> Time!S$246</f>
        <v>184</v>
      </c>
      <c r="T579" s="721">
        <f xml:space="preserve"> Time!T$246</f>
        <v>181</v>
      </c>
      <c r="U579" s="721">
        <f xml:space="preserve"> Time!U$246</f>
        <v>184</v>
      </c>
      <c r="V579" s="721">
        <f xml:space="preserve"> Time!V$246</f>
        <v>182</v>
      </c>
      <c r="W579" s="721">
        <f xml:space="preserve"> Time!W$246</f>
        <v>184</v>
      </c>
      <c r="X579" s="721">
        <f xml:space="preserve"> Time!X$246</f>
        <v>181</v>
      </c>
      <c r="Y579" s="721">
        <f xml:space="preserve"> Time!Y$246</f>
        <v>184</v>
      </c>
      <c r="Z579" s="721">
        <f xml:space="preserve"> Time!Z$246</f>
        <v>181</v>
      </c>
      <c r="AA579" s="721">
        <f xml:space="preserve"> Time!AA$246</f>
        <v>184</v>
      </c>
      <c r="AB579" s="721">
        <f xml:space="preserve"> Time!AB$246</f>
        <v>181</v>
      </c>
      <c r="AC579" s="721">
        <f xml:space="preserve"> Time!AC$246</f>
        <v>184</v>
      </c>
      <c r="AD579" s="721">
        <f xml:space="preserve"> Time!AD$246</f>
        <v>182</v>
      </c>
      <c r="AE579" s="721">
        <f xml:space="preserve"> Time!AE$246</f>
        <v>184</v>
      </c>
      <c r="AF579" s="721">
        <f xml:space="preserve"> Time!AF$246</f>
        <v>181</v>
      </c>
      <c r="AG579" s="721">
        <f xml:space="preserve"> Time!AG$246</f>
        <v>184</v>
      </c>
      <c r="AH579" s="721">
        <f xml:space="preserve"> Time!AH$246</f>
        <v>181</v>
      </c>
      <c r="AI579" s="721">
        <f xml:space="preserve"> Time!AI$246</f>
        <v>184</v>
      </c>
      <c r="AJ579" s="721">
        <f xml:space="preserve"> Time!AJ$246</f>
        <v>181</v>
      </c>
      <c r="AK579" s="721">
        <f xml:space="preserve"> Time!AK$246</f>
        <v>184</v>
      </c>
      <c r="AL579" s="721">
        <f xml:space="preserve"> Time!AL$246</f>
        <v>182</v>
      </c>
      <c r="AM579" s="721">
        <f xml:space="preserve"> Time!AM$246</f>
        <v>184</v>
      </c>
      <c r="AN579" s="721">
        <f xml:space="preserve"> Time!AN$246</f>
        <v>181</v>
      </c>
      <c r="AO579" s="721">
        <f xml:space="preserve"> Time!AO$246</f>
        <v>184</v>
      </c>
      <c r="AP579" s="721">
        <f xml:space="preserve"> Time!AP$246</f>
        <v>181</v>
      </c>
      <c r="AQ579" s="721">
        <f xml:space="preserve"> Time!AQ$246</f>
        <v>184</v>
      </c>
      <c r="AR579" s="721">
        <f xml:space="preserve"> Time!AR$246</f>
        <v>181</v>
      </c>
      <c r="AS579" s="721">
        <f xml:space="preserve"> Time!AS$246</f>
        <v>184</v>
      </c>
      <c r="AT579" s="721">
        <f xml:space="preserve"> Time!AT$246</f>
        <v>182</v>
      </c>
      <c r="AU579" s="721">
        <f xml:space="preserve"> Time!AU$246</f>
        <v>184</v>
      </c>
      <c r="AV579" s="721">
        <f xml:space="preserve"> Time!AV$246</f>
        <v>181</v>
      </c>
      <c r="AW579" s="721">
        <f xml:space="preserve"> Time!AW$246</f>
        <v>184</v>
      </c>
      <c r="AX579" s="721">
        <f xml:space="preserve"> Time!AX$246</f>
        <v>181</v>
      </c>
      <c r="AY579" s="721">
        <f xml:space="preserve"> Time!AY$246</f>
        <v>184</v>
      </c>
      <c r="AZ579" s="721">
        <f xml:space="preserve"> Time!AZ$246</f>
        <v>181</v>
      </c>
      <c r="BA579" s="721">
        <f xml:space="preserve"> Time!BA$246</f>
        <v>184</v>
      </c>
      <c r="BB579" s="721">
        <f xml:space="preserve"> Time!BB$246</f>
        <v>182</v>
      </c>
      <c r="BC579" s="721">
        <f xml:space="preserve"> Time!BC$246</f>
        <v>184</v>
      </c>
      <c r="BD579" s="721">
        <f xml:space="preserve"> Time!BD$246</f>
        <v>181</v>
      </c>
      <c r="BE579" s="721">
        <f xml:space="preserve"> Time!BE$246</f>
        <v>184</v>
      </c>
      <c r="BF579" s="721">
        <f xml:space="preserve"> Time!BF$246</f>
        <v>181</v>
      </c>
      <c r="BG579" s="721">
        <f xml:space="preserve"> Time!BG$246</f>
        <v>184</v>
      </c>
      <c r="BH579" s="721">
        <f xml:space="preserve"> Time!BH$246</f>
        <v>181</v>
      </c>
      <c r="BI579" s="721">
        <f xml:space="preserve"> Time!BI$246</f>
        <v>184</v>
      </c>
      <c r="BJ579" s="721">
        <f xml:space="preserve"> Time!BJ$246</f>
        <v>182</v>
      </c>
      <c r="BK579" s="721">
        <f xml:space="preserve"> Time!BK$246</f>
        <v>184</v>
      </c>
      <c r="BL579" s="721">
        <f xml:space="preserve"> Time!BL$246</f>
        <v>181</v>
      </c>
      <c r="BM579" s="721">
        <f xml:space="preserve"> Time!BM$246</f>
        <v>184</v>
      </c>
      <c r="BN579" s="721">
        <f xml:space="preserve"> Time!BN$246</f>
        <v>181</v>
      </c>
      <c r="BO579" s="721">
        <f xml:space="preserve"> Time!BO$246</f>
        <v>184</v>
      </c>
      <c r="BP579" s="721">
        <f xml:space="preserve"> Time!BP$246</f>
        <v>181</v>
      </c>
      <c r="BQ579" s="721">
        <f xml:space="preserve"> Time!BQ$246</f>
        <v>184</v>
      </c>
      <c r="BR579" s="721">
        <f xml:space="preserve"> Time!BR$246</f>
        <v>182</v>
      </c>
      <c r="BS579" s="721">
        <f xml:space="preserve"> Time!BS$246</f>
        <v>184</v>
      </c>
      <c r="BT579" s="721">
        <f xml:space="preserve"> Time!BT$246</f>
        <v>181</v>
      </c>
      <c r="BU579" s="721">
        <f xml:space="preserve"> Time!BU$246</f>
        <v>184</v>
      </c>
      <c r="BV579" s="721">
        <f xml:space="preserve"> Time!BV$246</f>
        <v>181</v>
      </c>
      <c r="BW579" s="721">
        <f xml:space="preserve"> Time!BW$246</f>
        <v>184</v>
      </c>
      <c r="BX579" s="721">
        <f xml:space="preserve"> Time!BX$246</f>
        <v>181</v>
      </c>
      <c r="BY579" s="721">
        <f xml:space="preserve"> Time!BY$246</f>
        <v>184</v>
      </c>
      <c r="BZ579" s="721">
        <f xml:space="preserve"> Time!BZ$246</f>
        <v>182</v>
      </c>
      <c r="CA579" s="721">
        <f xml:space="preserve"> Time!CA$246</f>
        <v>184</v>
      </c>
      <c r="CB579" s="721">
        <f xml:space="preserve"> Time!CB$246</f>
        <v>181</v>
      </c>
      <c r="CC579" s="721">
        <f xml:space="preserve"> Time!CC$246</f>
        <v>184</v>
      </c>
      <c r="CD579" s="721">
        <f xml:space="preserve"> Time!CD$246</f>
        <v>181</v>
      </c>
      <c r="CE579" s="721">
        <f xml:space="preserve"> Time!CE$246</f>
        <v>184</v>
      </c>
      <c r="CF579" s="721">
        <f xml:space="preserve"> Time!CF$246</f>
        <v>181</v>
      </c>
      <c r="CG579" s="721">
        <f xml:space="preserve"> Time!CG$246</f>
        <v>184</v>
      </c>
      <c r="CH579" s="721">
        <f xml:space="preserve"> Time!CH$246</f>
        <v>182</v>
      </c>
      <c r="CI579" s="721">
        <f xml:space="preserve"> Time!CI$246</f>
        <v>184</v>
      </c>
      <c r="CJ579" s="721">
        <f xml:space="preserve"> Time!CJ$246</f>
        <v>181</v>
      </c>
      <c r="CK579" s="721">
        <f xml:space="preserve"> Time!CK$246</f>
        <v>184</v>
      </c>
      <c r="CL579" s="721">
        <f xml:space="preserve"> Time!CL$246</f>
        <v>181</v>
      </c>
      <c r="CM579" s="721">
        <f xml:space="preserve"> Time!CM$246</f>
        <v>184</v>
      </c>
      <c r="CN579" s="721">
        <f xml:space="preserve"> Time!CN$246</f>
        <v>181</v>
      </c>
      <c r="CO579" s="721">
        <f xml:space="preserve"> Time!CO$246</f>
        <v>184</v>
      </c>
      <c r="CP579" s="721">
        <f xml:space="preserve"> Time!CP$246</f>
        <v>182</v>
      </c>
      <c r="CQ579" s="721">
        <f xml:space="preserve"> Time!CQ$246</f>
        <v>184</v>
      </c>
      <c r="CR579" s="721">
        <f xml:space="preserve"> Time!CR$246</f>
        <v>181</v>
      </c>
      <c r="CS579" s="721">
        <f xml:space="preserve"> Time!CS$246</f>
        <v>184</v>
      </c>
      <c r="CT579" s="721">
        <f xml:space="preserve"> Time!CT$246</f>
        <v>181</v>
      </c>
      <c r="CU579" s="721">
        <f xml:space="preserve"> Time!CU$246</f>
        <v>184</v>
      </c>
      <c r="CV579" s="721">
        <f xml:space="preserve"> Time!CV$246</f>
        <v>181</v>
      </c>
    </row>
    <row r="580" spans="1:100" ht="12.75" outlineLevel="2" x14ac:dyDescent="0.2">
      <c r="A580" s="79"/>
      <c r="B580" s="79"/>
      <c r="C580" s="561"/>
      <c r="D580" s="60"/>
      <c r="E580" s="32" t="str">
        <f t="shared" ref="E580:AJ580" si="941" xml:space="preserve"> E$574</f>
        <v>WCF undrawn balance BEG</v>
      </c>
      <c r="F580" s="32">
        <f t="shared" si="941"/>
        <v>0</v>
      </c>
      <c r="G580" s="32" t="str">
        <f t="shared" si="941"/>
        <v>$ 000s</v>
      </c>
      <c r="H580" s="32">
        <f t="shared" si="941"/>
        <v>0</v>
      </c>
      <c r="I580" s="32">
        <f t="shared" si="941"/>
        <v>0</v>
      </c>
      <c r="J580" s="32">
        <f t="shared" si="941"/>
        <v>0</v>
      </c>
      <c r="K580" s="32">
        <f t="shared" si="941"/>
        <v>0</v>
      </c>
      <c r="L580" s="32">
        <f t="shared" si="941"/>
        <v>0</v>
      </c>
      <c r="M580" s="32">
        <f t="shared" si="941"/>
        <v>0</v>
      </c>
      <c r="N580" s="32">
        <f t="shared" si="941"/>
        <v>0</v>
      </c>
      <c r="O580" s="32">
        <f t="shared" si="941"/>
        <v>6500</v>
      </c>
      <c r="P580" s="32">
        <f t="shared" si="941"/>
        <v>6500</v>
      </c>
      <c r="Q580" s="32">
        <f t="shared" si="941"/>
        <v>6500</v>
      </c>
      <c r="R580" s="32">
        <f t="shared" si="941"/>
        <v>6500</v>
      </c>
      <c r="S580" s="32">
        <f t="shared" si="941"/>
        <v>6500</v>
      </c>
      <c r="T580" s="32">
        <f t="shared" si="941"/>
        <v>6500</v>
      </c>
      <c r="U580" s="32">
        <f t="shared" si="941"/>
        <v>6500</v>
      </c>
      <c r="V580" s="32">
        <f t="shared" si="941"/>
        <v>6500</v>
      </c>
      <c r="W580" s="32">
        <f t="shared" si="941"/>
        <v>6500</v>
      </c>
      <c r="X580" s="32">
        <f t="shared" si="941"/>
        <v>6500</v>
      </c>
      <c r="Y580" s="32">
        <f t="shared" si="941"/>
        <v>6500</v>
      </c>
      <c r="Z580" s="32">
        <f t="shared" si="941"/>
        <v>6500</v>
      </c>
      <c r="AA580" s="32">
        <f t="shared" si="941"/>
        <v>6500</v>
      </c>
      <c r="AB580" s="32">
        <f t="shared" si="941"/>
        <v>6500</v>
      </c>
      <c r="AC580" s="32">
        <f t="shared" si="941"/>
        <v>6500</v>
      </c>
      <c r="AD580" s="32">
        <f t="shared" si="941"/>
        <v>6500</v>
      </c>
      <c r="AE580" s="32">
        <f t="shared" si="941"/>
        <v>6500</v>
      </c>
      <c r="AF580" s="32">
        <f t="shared" si="941"/>
        <v>6500</v>
      </c>
      <c r="AG580" s="32">
        <f t="shared" si="941"/>
        <v>6500</v>
      </c>
      <c r="AH580" s="32">
        <f t="shared" si="941"/>
        <v>6500</v>
      </c>
      <c r="AI580" s="32">
        <f t="shared" si="941"/>
        <v>6500</v>
      </c>
      <c r="AJ580" s="32">
        <f t="shared" si="941"/>
        <v>6500</v>
      </c>
      <c r="AK580" s="32">
        <f t="shared" ref="AK580:BP580" si="942" xml:space="preserve"> AK$574</f>
        <v>6500</v>
      </c>
      <c r="AL580" s="32">
        <f t="shared" si="942"/>
        <v>6500</v>
      </c>
      <c r="AM580" s="32">
        <f t="shared" si="942"/>
        <v>6500</v>
      </c>
      <c r="AN580" s="32">
        <f t="shared" si="942"/>
        <v>6500</v>
      </c>
      <c r="AO580" s="32">
        <f t="shared" si="942"/>
        <v>6500</v>
      </c>
      <c r="AP580" s="32">
        <f t="shared" si="942"/>
        <v>6500</v>
      </c>
      <c r="AQ580" s="32">
        <f t="shared" si="942"/>
        <v>6500</v>
      </c>
      <c r="AR580" s="32">
        <f t="shared" si="942"/>
        <v>6500</v>
      </c>
      <c r="AS580" s="32">
        <f t="shared" si="942"/>
        <v>6500</v>
      </c>
      <c r="AT580" s="32">
        <f t="shared" si="942"/>
        <v>6500</v>
      </c>
      <c r="AU580" s="32">
        <f t="shared" si="942"/>
        <v>6500</v>
      </c>
      <c r="AV580" s="32">
        <f t="shared" si="942"/>
        <v>6500</v>
      </c>
      <c r="AW580" s="32">
        <f t="shared" si="942"/>
        <v>6500</v>
      </c>
      <c r="AX580" s="32">
        <f t="shared" si="942"/>
        <v>6500</v>
      </c>
      <c r="AY580" s="32">
        <f t="shared" si="942"/>
        <v>6500</v>
      </c>
      <c r="AZ580" s="32">
        <f t="shared" si="942"/>
        <v>6500</v>
      </c>
      <c r="BA580" s="32">
        <f t="shared" si="942"/>
        <v>6500</v>
      </c>
      <c r="BB580" s="32">
        <f t="shared" si="942"/>
        <v>6500</v>
      </c>
      <c r="BC580" s="32">
        <f t="shared" si="942"/>
        <v>0</v>
      </c>
      <c r="BD580" s="32">
        <f t="shared" si="942"/>
        <v>0</v>
      </c>
      <c r="BE580" s="32">
        <f t="shared" si="942"/>
        <v>0</v>
      </c>
      <c r="BF580" s="32">
        <f t="shared" si="942"/>
        <v>0</v>
      </c>
      <c r="BG580" s="32">
        <f t="shared" si="942"/>
        <v>0</v>
      </c>
      <c r="BH580" s="32">
        <f t="shared" si="942"/>
        <v>0</v>
      </c>
      <c r="BI580" s="32">
        <f t="shared" si="942"/>
        <v>0</v>
      </c>
      <c r="BJ580" s="32">
        <f t="shared" si="942"/>
        <v>0</v>
      </c>
      <c r="BK580" s="32">
        <f t="shared" si="942"/>
        <v>0</v>
      </c>
      <c r="BL580" s="32">
        <f t="shared" si="942"/>
        <v>0</v>
      </c>
      <c r="BM580" s="32">
        <f t="shared" si="942"/>
        <v>0</v>
      </c>
      <c r="BN580" s="32">
        <f t="shared" si="942"/>
        <v>0</v>
      </c>
      <c r="BO580" s="32">
        <f t="shared" si="942"/>
        <v>0</v>
      </c>
      <c r="BP580" s="32">
        <f t="shared" si="942"/>
        <v>0</v>
      </c>
      <c r="BQ580" s="32">
        <f t="shared" ref="BQ580:CV580" si="943" xml:space="preserve"> BQ$574</f>
        <v>0</v>
      </c>
      <c r="BR580" s="32">
        <f t="shared" si="943"/>
        <v>0</v>
      </c>
      <c r="BS580" s="32">
        <f t="shared" si="943"/>
        <v>0</v>
      </c>
      <c r="BT580" s="32">
        <f t="shared" si="943"/>
        <v>0</v>
      </c>
      <c r="BU580" s="32">
        <f t="shared" si="943"/>
        <v>0</v>
      </c>
      <c r="BV580" s="32">
        <f t="shared" si="943"/>
        <v>0</v>
      </c>
      <c r="BW580" s="32">
        <f t="shared" si="943"/>
        <v>0</v>
      </c>
      <c r="BX580" s="32">
        <f t="shared" si="943"/>
        <v>0</v>
      </c>
      <c r="BY580" s="32">
        <f t="shared" si="943"/>
        <v>0</v>
      </c>
      <c r="BZ580" s="32">
        <f t="shared" si="943"/>
        <v>0</v>
      </c>
      <c r="CA580" s="32">
        <f t="shared" si="943"/>
        <v>0</v>
      </c>
      <c r="CB580" s="32">
        <f t="shared" si="943"/>
        <v>0</v>
      </c>
      <c r="CC580" s="32">
        <f t="shared" si="943"/>
        <v>0</v>
      </c>
      <c r="CD580" s="32">
        <f t="shared" si="943"/>
        <v>0</v>
      </c>
      <c r="CE580" s="32">
        <f t="shared" si="943"/>
        <v>0</v>
      </c>
      <c r="CF580" s="32">
        <f t="shared" si="943"/>
        <v>0</v>
      </c>
      <c r="CG580" s="32">
        <f t="shared" si="943"/>
        <v>0</v>
      </c>
      <c r="CH580" s="32">
        <f t="shared" si="943"/>
        <v>0</v>
      </c>
      <c r="CI580" s="32">
        <f t="shared" si="943"/>
        <v>0</v>
      </c>
      <c r="CJ580" s="32">
        <f t="shared" si="943"/>
        <v>0</v>
      </c>
      <c r="CK580" s="32">
        <f t="shared" si="943"/>
        <v>0</v>
      </c>
      <c r="CL580" s="32">
        <f t="shared" si="943"/>
        <v>0</v>
      </c>
      <c r="CM580" s="32">
        <f t="shared" si="943"/>
        <v>0</v>
      </c>
      <c r="CN580" s="32">
        <f t="shared" si="943"/>
        <v>0</v>
      </c>
      <c r="CO580" s="32">
        <f t="shared" si="943"/>
        <v>0</v>
      </c>
      <c r="CP580" s="32">
        <f t="shared" si="943"/>
        <v>0</v>
      </c>
      <c r="CQ580" s="32">
        <f t="shared" si="943"/>
        <v>0</v>
      </c>
      <c r="CR580" s="32">
        <f t="shared" si="943"/>
        <v>0</v>
      </c>
      <c r="CS580" s="32">
        <f t="shared" si="943"/>
        <v>0</v>
      </c>
      <c r="CT580" s="32">
        <f t="shared" si="943"/>
        <v>0</v>
      </c>
      <c r="CU580" s="32">
        <f t="shared" si="943"/>
        <v>0</v>
      </c>
      <c r="CV580" s="32">
        <f t="shared" si="943"/>
        <v>0</v>
      </c>
    </row>
    <row r="581" spans="1:100" ht="12.75" outlineLevel="2" x14ac:dyDescent="0.2">
      <c r="A581" s="79"/>
      <c r="B581" s="79"/>
      <c r="C581" s="561"/>
      <c r="D581" s="60"/>
      <c r="E581" s="125" t="str">
        <f xml:space="preserve"> Time!E$106</f>
        <v>Operating period flag</v>
      </c>
      <c r="F581" s="125">
        <f xml:space="preserve"> Time!F$106</f>
        <v>0</v>
      </c>
      <c r="G581" s="125" t="str">
        <f xml:space="preserve"> Time!G$106</f>
        <v>flag</v>
      </c>
      <c r="H581" s="125">
        <f xml:space="preserve"> Time!H$106</f>
        <v>40</v>
      </c>
      <c r="I581" s="125">
        <f xml:space="preserve"> Time!I$106</f>
        <v>0</v>
      </c>
      <c r="J581" s="125">
        <f xml:space="preserve"> Time!J$106</f>
        <v>0</v>
      </c>
      <c r="K581" s="125">
        <f xml:space="preserve"> Time!K$106</f>
        <v>0</v>
      </c>
      <c r="L581" s="125">
        <f xml:space="preserve"> Time!L$106</f>
        <v>0</v>
      </c>
      <c r="M581" s="125">
        <f xml:space="preserve"> Time!M$106</f>
        <v>0</v>
      </c>
      <c r="N581" s="125">
        <f xml:space="preserve"> Time!N$106</f>
        <v>0</v>
      </c>
      <c r="O581" s="125">
        <f xml:space="preserve"> Time!O$106</f>
        <v>1</v>
      </c>
      <c r="P581" s="125">
        <f xml:space="preserve"> Time!P$106</f>
        <v>1</v>
      </c>
      <c r="Q581" s="125">
        <f xml:space="preserve"> Time!Q$106</f>
        <v>1</v>
      </c>
      <c r="R581" s="125">
        <f xml:space="preserve"> Time!R$106</f>
        <v>1</v>
      </c>
      <c r="S581" s="125">
        <f xml:space="preserve"> Time!S$106</f>
        <v>1</v>
      </c>
      <c r="T581" s="125">
        <f xml:space="preserve"> Time!T$106</f>
        <v>1</v>
      </c>
      <c r="U581" s="125">
        <f xml:space="preserve"> Time!U$106</f>
        <v>1</v>
      </c>
      <c r="V581" s="125">
        <f xml:space="preserve"> Time!V$106</f>
        <v>1</v>
      </c>
      <c r="W581" s="125">
        <f xml:space="preserve"> Time!W$106</f>
        <v>1</v>
      </c>
      <c r="X581" s="125">
        <f xml:space="preserve"> Time!X$106</f>
        <v>1</v>
      </c>
      <c r="Y581" s="125">
        <f xml:space="preserve"> Time!Y$106</f>
        <v>1</v>
      </c>
      <c r="Z581" s="125">
        <f xml:space="preserve"> Time!Z$106</f>
        <v>1</v>
      </c>
      <c r="AA581" s="125">
        <f xml:space="preserve"> Time!AA$106</f>
        <v>1</v>
      </c>
      <c r="AB581" s="125">
        <f xml:space="preserve"> Time!AB$106</f>
        <v>1</v>
      </c>
      <c r="AC581" s="125">
        <f xml:space="preserve"> Time!AC$106</f>
        <v>1</v>
      </c>
      <c r="AD581" s="125">
        <f xml:space="preserve"> Time!AD$106</f>
        <v>1</v>
      </c>
      <c r="AE581" s="125">
        <f xml:space="preserve"> Time!AE$106</f>
        <v>1</v>
      </c>
      <c r="AF581" s="125">
        <f xml:space="preserve"> Time!AF$106</f>
        <v>1</v>
      </c>
      <c r="AG581" s="125">
        <f xml:space="preserve"> Time!AG$106</f>
        <v>1</v>
      </c>
      <c r="AH581" s="125">
        <f xml:space="preserve"> Time!AH$106</f>
        <v>1</v>
      </c>
      <c r="AI581" s="125">
        <f xml:space="preserve"> Time!AI$106</f>
        <v>1</v>
      </c>
      <c r="AJ581" s="125">
        <f xml:space="preserve"> Time!AJ$106</f>
        <v>1</v>
      </c>
      <c r="AK581" s="125">
        <f xml:space="preserve"> Time!AK$106</f>
        <v>1</v>
      </c>
      <c r="AL581" s="125">
        <f xml:space="preserve"> Time!AL$106</f>
        <v>1</v>
      </c>
      <c r="AM581" s="125">
        <f xml:space="preserve"> Time!AM$106</f>
        <v>1</v>
      </c>
      <c r="AN581" s="125">
        <f xml:space="preserve"> Time!AN$106</f>
        <v>1</v>
      </c>
      <c r="AO581" s="125">
        <f xml:space="preserve"> Time!AO$106</f>
        <v>1</v>
      </c>
      <c r="AP581" s="125">
        <f xml:space="preserve"> Time!AP$106</f>
        <v>1</v>
      </c>
      <c r="AQ581" s="125">
        <f xml:space="preserve"> Time!AQ$106</f>
        <v>1</v>
      </c>
      <c r="AR581" s="125">
        <f xml:space="preserve"> Time!AR$106</f>
        <v>1</v>
      </c>
      <c r="AS581" s="125">
        <f xml:space="preserve"> Time!AS$106</f>
        <v>1</v>
      </c>
      <c r="AT581" s="125">
        <f xml:space="preserve"> Time!AT$106</f>
        <v>1</v>
      </c>
      <c r="AU581" s="125">
        <f xml:space="preserve"> Time!AU$106</f>
        <v>1</v>
      </c>
      <c r="AV581" s="125">
        <f xml:space="preserve"> Time!AV$106</f>
        <v>1</v>
      </c>
      <c r="AW581" s="125">
        <f xml:space="preserve"> Time!AW$106</f>
        <v>1</v>
      </c>
      <c r="AX581" s="125">
        <f xml:space="preserve"> Time!AX$106</f>
        <v>1</v>
      </c>
      <c r="AY581" s="125">
        <f xml:space="preserve"> Time!AY$106</f>
        <v>1</v>
      </c>
      <c r="AZ581" s="125">
        <f xml:space="preserve"> Time!AZ$106</f>
        <v>1</v>
      </c>
      <c r="BA581" s="125">
        <f xml:space="preserve"> Time!BA$106</f>
        <v>1</v>
      </c>
      <c r="BB581" s="125">
        <f xml:space="preserve"> Time!BB$106</f>
        <v>1</v>
      </c>
      <c r="BC581" s="125">
        <f xml:space="preserve"> Time!BC$106</f>
        <v>0</v>
      </c>
      <c r="BD581" s="125">
        <f xml:space="preserve"> Time!BD$106</f>
        <v>0</v>
      </c>
      <c r="BE581" s="125">
        <f xml:space="preserve"> Time!BE$106</f>
        <v>0</v>
      </c>
      <c r="BF581" s="125">
        <f xml:space="preserve"> Time!BF$106</f>
        <v>0</v>
      </c>
      <c r="BG581" s="125">
        <f xml:space="preserve"> Time!BG$106</f>
        <v>0</v>
      </c>
      <c r="BH581" s="125">
        <f xml:space="preserve"> Time!BH$106</f>
        <v>0</v>
      </c>
      <c r="BI581" s="125">
        <f xml:space="preserve"> Time!BI$106</f>
        <v>0</v>
      </c>
      <c r="BJ581" s="125">
        <f xml:space="preserve"> Time!BJ$106</f>
        <v>0</v>
      </c>
      <c r="BK581" s="125">
        <f xml:space="preserve"> Time!BK$106</f>
        <v>0</v>
      </c>
      <c r="BL581" s="125">
        <f xml:space="preserve"> Time!BL$106</f>
        <v>0</v>
      </c>
      <c r="BM581" s="125">
        <f xml:space="preserve"> Time!BM$106</f>
        <v>0</v>
      </c>
      <c r="BN581" s="125">
        <f xml:space="preserve"> Time!BN$106</f>
        <v>0</v>
      </c>
      <c r="BO581" s="125">
        <f xml:space="preserve"> Time!BO$106</f>
        <v>0</v>
      </c>
      <c r="BP581" s="125">
        <f xml:space="preserve"> Time!BP$106</f>
        <v>0</v>
      </c>
      <c r="BQ581" s="125">
        <f xml:space="preserve"> Time!BQ$106</f>
        <v>0</v>
      </c>
      <c r="BR581" s="125">
        <f xml:space="preserve"> Time!BR$106</f>
        <v>0</v>
      </c>
      <c r="BS581" s="125">
        <f xml:space="preserve"> Time!BS$106</f>
        <v>0</v>
      </c>
      <c r="BT581" s="125">
        <f xml:space="preserve"> Time!BT$106</f>
        <v>0</v>
      </c>
      <c r="BU581" s="125">
        <f xml:space="preserve"> Time!BU$106</f>
        <v>0</v>
      </c>
      <c r="BV581" s="125">
        <f xml:space="preserve"> Time!BV$106</f>
        <v>0</v>
      </c>
      <c r="BW581" s="125">
        <f xml:space="preserve"> Time!BW$106</f>
        <v>0</v>
      </c>
      <c r="BX581" s="125">
        <f xml:space="preserve"> Time!BX$106</f>
        <v>0</v>
      </c>
      <c r="BY581" s="125">
        <f xml:space="preserve"> Time!BY$106</f>
        <v>0</v>
      </c>
      <c r="BZ581" s="125">
        <f xml:space="preserve"> Time!BZ$106</f>
        <v>0</v>
      </c>
      <c r="CA581" s="125">
        <f xml:space="preserve"> Time!CA$106</f>
        <v>0</v>
      </c>
      <c r="CB581" s="125">
        <f xml:space="preserve"> Time!CB$106</f>
        <v>0</v>
      </c>
      <c r="CC581" s="125">
        <f xml:space="preserve"> Time!CC$106</f>
        <v>0</v>
      </c>
      <c r="CD581" s="125">
        <f xml:space="preserve"> Time!CD$106</f>
        <v>0</v>
      </c>
      <c r="CE581" s="125">
        <f xml:space="preserve"> Time!CE$106</f>
        <v>0</v>
      </c>
      <c r="CF581" s="125">
        <f xml:space="preserve"> Time!CF$106</f>
        <v>0</v>
      </c>
      <c r="CG581" s="125">
        <f xml:space="preserve"> Time!CG$106</f>
        <v>0</v>
      </c>
      <c r="CH581" s="125">
        <f xml:space="preserve"> Time!CH$106</f>
        <v>0</v>
      </c>
      <c r="CI581" s="125">
        <f xml:space="preserve"> Time!CI$106</f>
        <v>0</v>
      </c>
      <c r="CJ581" s="125">
        <f xml:space="preserve"> Time!CJ$106</f>
        <v>0</v>
      </c>
      <c r="CK581" s="125">
        <f xml:space="preserve"> Time!CK$106</f>
        <v>0</v>
      </c>
      <c r="CL581" s="125">
        <f xml:space="preserve"> Time!CL$106</f>
        <v>0</v>
      </c>
      <c r="CM581" s="125">
        <f xml:space="preserve"> Time!CM$106</f>
        <v>0</v>
      </c>
      <c r="CN581" s="125">
        <f xml:space="preserve"> Time!CN$106</f>
        <v>0</v>
      </c>
      <c r="CO581" s="125">
        <f xml:space="preserve"> Time!CO$106</f>
        <v>0</v>
      </c>
      <c r="CP581" s="125">
        <f xml:space="preserve"> Time!CP$106</f>
        <v>0</v>
      </c>
      <c r="CQ581" s="125">
        <f xml:space="preserve"> Time!CQ$106</f>
        <v>0</v>
      </c>
      <c r="CR581" s="125">
        <f xml:space="preserve"> Time!CR$106</f>
        <v>0</v>
      </c>
      <c r="CS581" s="125">
        <f xml:space="preserve"> Time!CS$106</f>
        <v>0</v>
      </c>
      <c r="CT581" s="125">
        <f xml:space="preserve"> Time!CT$106</f>
        <v>0</v>
      </c>
      <c r="CU581" s="125">
        <f xml:space="preserve"> Time!CU$106</f>
        <v>0</v>
      </c>
      <c r="CV581" s="125">
        <f xml:space="preserve"> Time!CV$106</f>
        <v>0</v>
      </c>
    </row>
    <row r="582" spans="1:100" s="188" customFormat="1" ht="12.75" outlineLevel="2" x14ac:dyDescent="0.2">
      <c r="A582" s="397"/>
      <c r="B582" s="397"/>
      <c r="C582" s="566"/>
      <c r="D582" s="567"/>
      <c r="E582" s="188" t="s">
        <v>480</v>
      </c>
      <c r="G582" s="188" t="str">
        <f xml:space="preserve"> SMU</f>
        <v>$ 000s</v>
      </c>
      <c r="H582" s="188">
        <f xml:space="preserve"> SUM(J582:CV582)</f>
        <v>0</v>
      </c>
      <c r="J582" s="230">
        <f t="shared" ref="J582:AO582" si="944" xml:space="preserve"> $F578 * J579 / $F577 * J580 * J581 * $F576</f>
        <v>0</v>
      </c>
      <c r="K582" s="230">
        <f t="shared" si="944"/>
        <v>0</v>
      </c>
      <c r="L582" s="230">
        <f t="shared" si="944"/>
        <v>0</v>
      </c>
      <c r="M582" s="230">
        <f t="shared" si="944"/>
        <v>0</v>
      </c>
      <c r="N582" s="230">
        <f t="shared" si="944"/>
        <v>0</v>
      </c>
      <c r="O582" s="230">
        <f t="shared" si="944"/>
        <v>0</v>
      </c>
      <c r="P582" s="230">
        <f t="shared" si="944"/>
        <v>0</v>
      </c>
      <c r="Q582" s="230">
        <f t="shared" si="944"/>
        <v>0</v>
      </c>
      <c r="R582" s="230">
        <f t="shared" si="944"/>
        <v>0</v>
      </c>
      <c r="S582" s="230">
        <f t="shared" si="944"/>
        <v>0</v>
      </c>
      <c r="T582" s="230">
        <f t="shared" si="944"/>
        <v>0</v>
      </c>
      <c r="U582" s="230">
        <f t="shared" si="944"/>
        <v>0</v>
      </c>
      <c r="V582" s="230">
        <f t="shared" si="944"/>
        <v>0</v>
      </c>
      <c r="W582" s="230">
        <f t="shared" si="944"/>
        <v>0</v>
      </c>
      <c r="X582" s="230">
        <f t="shared" si="944"/>
        <v>0</v>
      </c>
      <c r="Y582" s="230">
        <f t="shared" si="944"/>
        <v>0</v>
      </c>
      <c r="Z582" s="230">
        <f t="shared" si="944"/>
        <v>0</v>
      </c>
      <c r="AA582" s="230">
        <f t="shared" si="944"/>
        <v>0</v>
      </c>
      <c r="AB582" s="230">
        <f t="shared" si="944"/>
        <v>0</v>
      </c>
      <c r="AC582" s="230">
        <f t="shared" si="944"/>
        <v>0</v>
      </c>
      <c r="AD582" s="230">
        <f t="shared" si="944"/>
        <v>0</v>
      </c>
      <c r="AE582" s="230">
        <f t="shared" si="944"/>
        <v>0</v>
      </c>
      <c r="AF582" s="230">
        <f t="shared" si="944"/>
        <v>0</v>
      </c>
      <c r="AG582" s="230">
        <f t="shared" si="944"/>
        <v>0</v>
      </c>
      <c r="AH582" s="230">
        <f t="shared" si="944"/>
        <v>0</v>
      </c>
      <c r="AI582" s="230">
        <f t="shared" si="944"/>
        <v>0</v>
      </c>
      <c r="AJ582" s="230">
        <f t="shared" si="944"/>
        <v>0</v>
      </c>
      <c r="AK582" s="230">
        <f t="shared" si="944"/>
        <v>0</v>
      </c>
      <c r="AL582" s="230">
        <f t="shared" si="944"/>
        <v>0</v>
      </c>
      <c r="AM582" s="230">
        <f t="shared" si="944"/>
        <v>0</v>
      </c>
      <c r="AN582" s="230">
        <f t="shared" si="944"/>
        <v>0</v>
      </c>
      <c r="AO582" s="230">
        <f t="shared" si="944"/>
        <v>0</v>
      </c>
      <c r="AP582" s="230">
        <f t="shared" ref="AP582:BU582" si="945" xml:space="preserve"> $F578 * AP579 / $F577 * AP580 * AP581 * $F576</f>
        <v>0</v>
      </c>
      <c r="AQ582" s="230">
        <f t="shared" si="945"/>
        <v>0</v>
      </c>
      <c r="AR582" s="230">
        <f t="shared" si="945"/>
        <v>0</v>
      </c>
      <c r="AS582" s="230">
        <f t="shared" si="945"/>
        <v>0</v>
      </c>
      <c r="AT582" s="230">
        <f t="shared" si="945"/>
        <v>0</v>
      </c>
      <c r="AU582" s="230">
        <f t="shared" si="945"/>
        <v>0</v>
      </c>
      <c r="AV582" s="230">
        <f t="shared" si="945"/>
        <v>0</v>
      </c>
      <c r="AW582" s="230">
        <f t="shared" si="945"/>
        <v>0</v>
      </c>
      <c r="AX582" s="230">
        <f t="shared" si="945"/>
        <v>0</v>
      </c>
      <c r="AY582" s="230">
        <f t="shared" si="945"/>
        <v>0</v>
      </c>
      <c r="AZ582" s="230">
        <f t="shared" si="945"/>
        <v>0</v>
      </c>
      <c r="BA582" s="230">
        <f t="shared" si="945"/>
        <v>0</v>
      </c>
      <c r="BB582" s="230">
        <f t="shared" si="945"/>
        <v>0</v>
      </c>
      <c r="BC582" s="230">
        <f t="shared" si="945"/>
        <v>0</v>
      </c>
      <c r="BD582" s="230">
        <f t="shared" si="945"/>
        <v>0</v>
      </c>
      <c r="BE582" s="230">
        <f t="shared" si="945"/>
        <v>0</v>
      </c>
      <c r="BF582" s="230">
        <f t="shared" si="945"/>
        <v>0</v>
      </c>
      <c r="BG582" s="230">
        <f t="shared" si="945"/>
        <v>0</v>
      </c>
      <c r="BH582" s="230">
        <f t="shared" si="945"/>
        <v>0</v>
      </c>
      <c r="BI582" s="230">
        <f t="shared" si="945"/>
        <v>0</v>
      </c>
      <c r="BJ582" s="230">
        <f t="shared" si="945"/>
        <v>0</v>
      </c>
      <c r="BK582" s="230">
        <f t="shared" si="945"/>
        <v>0</v>
      </c>
      <c r="BL582" s="230">
        <f t="shared" si="945"/>
        <v>0</v>
      </c>
      <c r="BM582" s="230">
        <f t="shared" si="945"/>
        <v>0</v>
      </c>
      <c r="BN582" s="230">
        <f t="shared" si="945"/>
        <v>0</v>
      </c>
      <c r="BO582" s="230">
        <f t="shared" si="945"/>
        <v>0</v>
      </c>
      <c r="BP582" s="230">
        <f t="shared" si="945"/>
        <v>0</v>
      </c>
      <c r="BQ582" s="230">
        <f t="shared" si="945"/>
        <v>0</v>
      </c>
      <c r="BR582" s="230">
        <f t="shared" si="945"/>
        <v>0</v>
      </c>
      <c r="BS582" s="230">
        <f t="shared" si="945"/>
        <v>0</v>
      </c>
      <c r="BT582" s="230">
        <f t="shared" si="945"/>
        <v>0</v>
      </c>
      <c r="BU582" s="230">
        <f t="shared" si="945"/>
        <v>0</v>
      </c>
      <c r="BV582" s="230">
        <f t="shared" ref="BV582:CV582" si="946" xml:space="preserve"> $F578 * BV579 / $F577 * BV580 * BV581 * $F576</f>
        <v>0</v>
      </c>
      <c r="BW582" s="230">
        <f t="shared" si="946"/>
        <v>0</v>
      </c>
      <c r="BX582" s="230">
        <f t="shared" si="946"/>
        <v>0</v>
      </c>
      <c r="BY582" s="230">
        <f t="shared" si="946"/>
        <v>0</v>
      </c>
      <c r="BZ582" s="230">
        <f t="shared" si="946"/>
        <v>0</v>
      </c>
      <c r="CA582" s="230">
        <f t="shared" si="946"/>
        <v>0</v>
      </c>
      <c r="CB582" s="230">
        <f t="shared" si="946"/>
        <v>0</v>
      </c>
      <c r="CC582" s="230">
        <f t="shared" si="946"/>
        <v>0</v>
      </c>
      <c r="CD582" s="230">
        <f t="shared" si="946"/>
        <v>0</v>
      </c>
      <c r="CE582" s="230">
        <f t="shared" si="946"/>
        <v>0</v>
      </c>
      <c r="CF582" s="230">
        <f t="shared" si="946"/>
        <v>0</v>
      </c>
      <c r="CG582" s="230">
        <f t="shared" si="946"/>
        <v>0</v>
      </c>
      <c r="CH582" s="230">
        <f t="shared" si="946"/>
        <v>0</v>
      </c>
      <c r="CI582" s="230">
        <f t="shared" si="946"/>
        <v>0</v>
      </c>
      <c r="CJ582" s="230">
        <f t="shared" si="946"/>
        <v>0</v>
      </c>
      <c r="CK582" s="230">
        <f t="shared" si="946"/>
        <v>0</v>
      </c>
      <c r="CL582" s="230">
        <f t="shared" si="946"/>
        <v>0</v>
      </c>
      <c r="CM582" s="230">
        <f t="shared" si="946"/>
        <v>0</v>
      </c>
      <c r="CN582" s="230">
        <f t="shared" si="946"/>
        <v>0</v>
      </c>
      <c r="CO582" s="230">
        <f t="shared" si="946"/>
        <v>0</v>
      </c>
      <c r="CP582" s="230">
        <f t="shared" si="946"/>
        <v>0</v>
      </c>
      <c r="CQ582" s="230">
        <f t="shared" si="946"/>
        <v>0</v>
      </c>
      <c r="CR582" s="230">
        <f t="shared" si="946"/>
        <v>0</v>
      </c>
      <c r="CS582" s="230">
        <f t="shared" si="946"/>
        <v>0</v>
      </c>
      <c r="CT582" s="230">
        <f t="shared" si="946"/>
        <v>0</v>
      </c>
      <c r="CU582" s="230">
        <f t="shared" si="946"/>
        <v>0</v>
      </c>
      <c r="CV582" s="230">
        <f t="shared" si="946"/>
        <v>0</v>
      </c>
    </row>
    <row r="583" spans="1:100" s="188" customFormat="1" ht="12.75" outlineLevel="2" x14ac:dyDescent="0.2">
      <c r="A583" s="397"/>
      <c r="B583" s="397"/>
      <c r="C583" s="566"/>
      <c r="D583" s="484" t="s">
        <v>366</v>
      </c>
      <c r="E583" s="188" t="str">
        <f xml:space="preserve"> LEFT(E582, LEN(E582) - 4)</f>
        <v>WCF commitment fee</v>
      </c>
      <c r="G583" s="188" t="str">
        <f xml:space="preserve"> SMU</f>
        <v>$ 000s</v>
      </c>
      <c r="H583" s="188">
        <f xml:space="preserve"> SUM(J583:CV583)</f>
        <v>0</v>
      </c>
      <c r="J583" s="188">
        <f t="shared" ref="J583:AO583" si="947" xml:space="preserve"> -1 * J582</f>
        <v>0</v>
      </c>
      <c r="K583" s="188">
        <f t="shared" si="947"/>
        <v>0</v>
      </c>
      <c r="L583" s="188">
        <f t="shared" si="947"/>
        <v>0</v>
      </c>
      <c r="M583" s="188">
        <f t="shared" si="947"/>
        <v>0</v>
      </c>
      <c r="N583" s="188">
        <f t="shared" si="947"/>
        <v>0</v>
      </c>
      <c r="O583" s="188">
        <f t="shared" si="947"/>
        <v>0</v>
      </c>
      <c r="P583" s="188">
        <f t="shared" si="947"/>
        <v>0</v>
      </c>
      <c r="Q583" s="188">
        <f t="shared" si="947"/>
        <v>0</v>
      </c>
      <c r="R583" s="188">
        <f t="shared" si="947"/>
        <v>0</v>
      </c>
      <c r="S583" s="188">
        <f t="shared" si="947"/>
        <v>0</v>
      </c>
      <c r="T583" s="188">
        <f t="shared" si="947"/>
        <v>0</v>
      </c>
      <c r="U583" s="188">
        <f t="shared" si="947"/>
        <v>0</v>
      </c>
      <c r="V583" s="188">
        <f t="shared" si="947"/>
        <v>0</v>
      </c>
      <c r="W583" s="188">
        <f t="shared" si="947"/>
        <v>0</v>
      </c>
      <c r="X583" s="188">
        <f t="shared" si="947"/>
        <v>0</v>
      </c>
      <c r="Y583" s="188">
        <f t="shared" si="947"/>
        <v>0</v>
      </c>
      <c r="Z583" s="188">
        <f t="shared" si="947"/>
        <v>0</v>
      </c>
      <c r="AA583" s="188">
        <f t="shared" si="947"/>
        <v>0</v>
      </c>
      <c r="AB583" s="188">
        <f t="shared" si="947"/>
        <v>0</v>
      </c>
      <c r="AC583" s="188">
        <f t="shared" si="947"/>
        <v>0</v>
      </c>
      <c r="AD583" s="188">
        <f t="shared" si="947"/>
        <v>0</v>
      </c>
      <c r="AE583" s="188">
        <f t="shared" si="947"/>
        <v>0</v>
      </c>
      <c r="AF583" s="188">
        <f t="shared" si="947"/>
        <v>0</v>
      </c>
      <c r="AG583" s="188">
        <f t="shared" si="947"/>
        <v>0</v>
      </c>
      <c r="AH583" s="188">
        <f t="shared" si="947"/>
        <v>0</v>
      </c>
      <c r="AI583" s="188">
        <f t="shared" si="947"/>
        <v>0</v>
      </c>
      <c r="AJ583" s="188">
        <f t="shared" si="947"/>
        <v>0</v>
      </c>
      <c r="AK583" s="188">
        <f t="shared" si="947"/>
        <v>0</v>
      </c>
      <c r="AL583" s="188">
        <f t="shared" si="947"/>
        <v>0</v>
      </c>
      <c r="AM583" s="188">
        <f t="shared" si="947"/>
        <v>0</v>
      </c>
      <c r="AN583" s="188">
        <f t="shared" si="947"/>
        <v>0</v>
      </c>
      <c r="AO583" s="188">
        <f t="shared" si="947"/>
        <v>0</v>
      </c>
      <c r="AP583" s="188">
        <f t="shared" ref="AP583:BU583" si="948" xml:space="preserve"> -1 * AP582</f>
        <v>0</v>
      </c>
      <c r="AQ583" s="188">
        <f t="shared" si="948"/>
        <v>0</v>
      </c>
      <c r="AR583" s="188">
        <f t="shared" si="948"/>
        <v>0</v>
      </c>
      <c r="AS583" s="188">
        <f t="shared" si="948"/>
        <v>0</v>
      </c>
      <c r="AT583" s="188">
        <f t="shared" si="948"/>
        <v>0</v>
      </c>
      <c r="AU583" s="188">
        <f t="shared" si="948"/>
        <v>0</v>
      </c>
      <c r="AV583" s="188">
        <f t="shared" si="948"/>
        <v>0</v>
      </c>
      <c r="AW583" s="188">
        <f t="shared" si="948"/>
        <v>0</v>
      </c>
      <c r="AX583" s="188">
        <f t="shared" si="948"/>
        <v>0</v>
      </c>
      <c r="AY583" s="188">
        <f t="shared" si="948"/>
        <v>0</v>
      </c>
      <c r="AZ583" s="188">
        <f t="shared" si="948"/>
        <v>0</v>
      </c>
      <c r="BA583" s="188">
        <f t="shared" si="948"/>
        <v>0</v>
      </c>
      <c r="BB583" s="188">
        <f t="shared" si="948"/>
        <v>0</v>
      </c>
      <c r="BC583" s="188">
        <f t="shared" si="948"/>
        <v>0</v>
      </c>
      <c r="BD583" s="188">
        <f t="shared" si="948"/>
        <v>0</v>
      </c>
      <c r="BE583" s="188">
        <f t="shared" si="948"/>
        <v>0</v>
      </c>
      <c r="BF583" s="188">
        <f t="shared" si="948"/>
        <v>0</v>
      </c>
      <c r="BG583" s="188">
        <f t="shared" si="948"/>
        <v>0</v>
      </c>
      <c r="BH583" s="188">
        <f t="shared" si="948"/>
        <v>0</v>
      </c>
      <c r="BI583" s="188">
        <f t="shared" si="948"/>
        <v>0</v>
      </c>
      <c r="BJ583" s="188">
        <f t="shared" si="948"/>
        <v>0</v>
      </c>
      <c r="BK583" s="188">
        <f t="shared" si="948"/>
        <v>0</v>
      </c>
      <c r="BL583" s="188">
        <f t="shared" si="948"/>
        <v>0</v>
      </c>
      <c r="BM583" s="188">
        <f t="shared" si="948"/>
        <v>0</v>
      </c>
      <c r="BN583" s="188">
        <f t="shared" si="948"/>
        <v>0</v>
      </c>
      <c r="BO583" s="188">
        <f t="shared" si="948"/>
        <v>0</v>
      </c>
      <c r="BP583" s="188">
        <f t="shared" si="948"/>
        <v>0</v>
      </c>
      <c r="BQ583" s="188">
        <f t="shared" si="948"/>
        <v>0</v>
      </c>
      <c r="BR583" s="188">
        <f t="shared" si="948"/>
        <v>0</v>
      </c>
      <c r="BS583" s="188">
        <f t="shared" si="948"/>
        <v>0</v>
      </c>
      <c r="BT583" s="188">
        <f t="shared" si="948"/>
        <v>0</v>
      </c>
      <c r="BU583" s="188">
        <f t="shared" si="948"/>
        <v>0</v>
      </c>
      <c r="BV583" s="188">
        <f t="shared" ref="BV583:CV583" si="949" xml:space="preserve"> -1 * BV582</f>
        <v>0</v>
      </c>
      <c r="BW583" s="188">
        <f t="shared" si="949"/>
        <v>0</v>
      </c>
      <c r="BX583" s="188">
        <f t="shared" si="949"/>
        <v>0</v>
      </c>
      <c r="BY583" s="188">
        <f t="shared" si="949"/>
        <v>0</v>
      </c>
      <c r="BZ583" s="188">
        <f t="shared" si="949"/>
        <v>0</v>
      </c>
      <c r="CA583" s="188">
        <f t="shared" si="949"/>
        <v>0</v>
      </c>
      <c r="CB583" s="188">
        <f t="shared" si="949"/>
        <v>0</v>
      </c>
      <c r="CC583" s="188">
        <f t="shared" si="949"/>
        <v>0</v>
      </c>
      <c r="CD583" s="188">
        <f t="shared" si="949"/>
        <v>0</v>
      </c>
      <c r="CE583" s="188">
        <f t="shared" si="949"/>
        <v>0</v>
      </c>
      <c r="CF583" s="188">
        <f t="shared" si="949"/>
        <v>0</v>
      </c>
      <c r="CG583" s="188">
        <f t="shared" si="949"/>
        <v>0</v>
      </c>
      <c r="CH583" s="188">
        <f t="shared" si="949"/>
        <v>0</v>
      </c>
      <c r="CI583" s="188">
        <f t="shared" si="949"/>
        <v>0</v>
      </c>
      <c r="CJ583" s="188">
        <f t="shared" si="949"/>
        <v>0</v>
      </c>
      <c r="CK583" s="188">
        <f t="shared" si="949"/>
        <v>0</v>
      </c>
      <c r="CL583" s="188">
        <f t="shared" si="949"/>
        <v>0</v>
      </c>
      <c r="CM583" s="188">
        <f t="shared" si="949"/>
        <v>0</v>
      </c>
      <c r="CN583" s="188">
        <f t="shared" si="949"/>
        <v>0</v>
      </c>
      <c r="CO583" s="188">
        <f t="shared" si="949"/>
        <v>0</v>
      </c>
      <c r="CP583" s="188">
        <f t="shared" si="949"/>
        <v>0</v>
      </c>
      <c r="CQ583" s="188">
        <f t="shared" si="949"/>
        <v>0</v>
      </c>
      <c r="CR583" s="188">
        <f t="shared" si="949"/>
        <v>0</v>
      </c>
      <c r="CS583" s="188">
        <f t="shared" si="949"/>
        <v>0</v>
      </c>
      <c r="CT583" s="188">
        <f t="shared" si="949"/>
        <v>0</v>
      </c>
      <c r="CU583" s="188">
        <f t="shared" si="949"/>
        <v>0</v>
      </c>
      <c r="CV583" s="188">
        <f t="shared" si="949"/>
        <v>0</v>
      </c>
    </row>
    <row r="584" spans="1:100" ht="12.75" outlineLevel="1" x14ac:dyDescent="0.2">
      <c r="A584" s="79"/>
      <c r="B584" s="79"/>
      <c r="C584" s="561"/>
      <c r="D584" s="60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32"/>
      <c r="CS584" s="32"/>
      <c r="CT584" s="32"/>
      <c r="CU584" s="32"/>
      <c r="CV584" s="32"/>
    </row>
    <row r="585" spans="1:100" ht="12.75" outlineLevel="1" x14ac:dyDescent="0.2">
      <c r="A585" s="79"/>
      <c r="B585" s="79" t="s">
        <v>469</v>
      </c>
      <c r="C585" s="561"/>
      <c r="D585" s="60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32"/>
      <c r="CS585" s="32"/>
      <c r="CT585" s="32"/>
      <c r="CU585" s="32"/>
      <c r="CV585" s="32"/>
    </row>
    <row r="586" spans="1:100" s="495" customFormat="1" ht="12.75" outlineLevel="2" x14ac:dyDescent="0.2">
      <c r="A586" s="236"/>
      <c r="B586" s="236"/>
      <c r="C586" s="237"/>
      <c r="D586" s="238"/>
      <c r="E586" s="68" t="str">
        <f xml:space="preserve"> InpC!E$360</f>
        <v>WCF active switch</v>
      </c>
      <c r="F586" s="68">
        <f xml:space="preserve"> InpC!F$360</f>
        <v>0</v>
      </c>
      <c r="G586" s="68" t="str">
        <f xml:space="preserve"> InpC!G$360</f>
        <v>1 = yes, 0 = no</v>
      </c>
      <c r="H586" s="235"/>
      <c r="I586" s="235"/>
      <c r="J586" s="235"/>
      <c r="K586" s="235"/>
      <c r="L586" s="235"/>
      <c r="M586" s="235"/>
      <c r="N586" s="235"/>
      <c r="O586" s="235"/>
      <c r="P586" s="235"/>
      <c r="Q586" s="235"/>
      <c r="R586" s="235"/>
      <c r="S586" s="235"/>
      <c r="T586" s="235"/>
      <c r="U586" s="235"/>
      <c r="V586" s="235"/>
      <c r="W586" s="235"/>
      <c r="X586" s="235"/>
      <c r="Y586" s="235"/>
      <c r="Z586" s="235"/>
      <c r="AA586" s="235"/>
      <c r="AB586" s="235"/>
      <c r="AC586" s="235"/>
      <c r="AD586" s="235"/>
      <c r="AE586" s="235"/>
      <c r="AF586" s="235"/>
      <c r="AG586" s="235"/>
      <c r="AH586" s="235"/>
      <c r="AI586" s="235"/>
      <c r="AJ586" s="235"/>
      <c r="AK586" s="235"/>
      <c r="AL586" s="235"/>
      <c r="AM586" s="235"/>
      <c r="AN586" s="235"/>
      <c r="AO586" s="235"/>
      <c r="AP586" s="235"/>
      <c r="AQ586" s="235"/>
      <c r="AR586" s="235"/>
      <c r="AS586" s="235"/>
      <c r="AT586" s="235"/>
      <c r="AU586" s="235"/>
      <c r="AV586" s="235"/>
      <c r="AW586" s="235"/>
      <c r="AX586" s="235"/>
      <c r="AY586" s="235"/>
      <c r="AZ586" s="235"/>
      <c r="BA586" s="235"/>
      <c r="BB586" s="235"/>
      <c r="BC586" s="235"/>
      <c r="BD586" s="235"/>
      <c r="BE586" s="235"/>
      <c r="BF586" s="235"/>
      <c r="BG586" s="235"/>
      <c r="BH586" s="235"/>
      <c r="BI586" s="235"/>
      <c r="BJ586" s="235"/>
      <c r="BK586" s="235"/>
      <c r="BL586" s="235"/>
      <c r="BM586" s="235"/>
      <c r="BN586" s="235"/>
      <c r="BO586" s="235"/>
      <c r="BP586" s="235"/>
      <c r="BQ586" s="235"/>
      <c r="BR586" s="235"/>
      <c r="BS586" s="235"/>
      <c r="BT586" s="235"/>
      <c r="BU586" s="235"/>
      <c r="BV586" s="235"/>
      <c r="BW586" s="235"/>
      <c r="BX586" s="235"/>
      <c r="BY586" s="235"/>
      <c r="BZ586" s="235"/>
      <c r="CA586" s="235"/>
      <c r="CB586" s="235"/>
      <c r="CC586" s="235"/>
      <c r="CD586" s="235"/>
      <c r="CE586" s="235"/>
      <c r="CF586" s="235"/>
      <c r="CG586" s="235"/>
      <c r="CH586" s="235"/>
      <c r="CI586" s="235"/>
      <c r="CJ586" s="235"/>
      <c r="CK586" s="235"/>
      <c r="CL586" s="235"/>
      <c r="CM586" s="235"/>
      <c r="CN586" s="235"/>
      <c r="CO586" s="235"/>
      <c r="CP586" s="235"/>
      <c r="CQ586" s="235"/>
      <c r="CR586" s="235"/>
      <c r="CS586" s="235"/>
      <c r="CT586" s="235"/>
      <c r="CU586" s="235"/>
      <c r="CV586" s="235"/>
    </row>
    <row r="587" spans="1:100" s="283" customFormat="1" ht="12.75" outlineLevel="2" x14ac:dyDescent="0.2">
      <c r="A587" s="719"/>
      <c r="B587" s="719"/>
      <c r="C587" s="720"/>
      <c r="D587" s="450"/>
      <c r="E587" s="450" t="str">
        <f xml:space="preserve"> InpC!E$367</f>
        <v>WCF upfront fee</v>
      </c>
      <c r="F587" s="450">
        <f xml:space="preserve"> InpC!F$367</f>
        <v>0.02</v>
      </c>
      <c r="G587" s="450" t="str">
        <f xml:space="preserve"> InpC!G$367</f>
        <v>%</v>
      </c>
      <c r="H587" s="450"/>
      <c r="I587" s="450"/>
      <c r="J587" s="450"/>
      <c r="K587" s="450"/>
      <c r="L587" s="450"/>
      <c r="M587" s="450"/>
      <c r="N587" s="450"/>
      <c r="O587" s="450"/>
      <c r="P587" s="450"/>
      <c r="Q587" s="450"/>
      <c r="R587" s="450"/>
      <c r="S587" s="450"/>
      <c r="T587" s="450"/>
      <c r="U587" s="450"/>
      <c r="V587" s="450"/>
      <c r="W587" s="450"/>
      <c r="X587" s="450"/>
      <c r="Y587" s="450"/>
      <c r="Z587" s="450"/>
      <c r="AA587" s="450"/>
      <c r="AB587" s="450"/>
      <c r="AC587" s="450"/>
      <c r="AD587" s="450"/>
      <c r="AE587" s="450"/>
      <c r="AF587" s="450"/>
      <c r="AG587" s="450"/>
      <c r="AH587" s="450"/>
      <c r="AI587" s="450"/>
      <c r="AJ587" s="450"/>
      <c r="AK587" s="450"/>
      <c r="AL587" s="450"/>
      <c r="AM587" s="450"/>
      <c r="AN587" s="450"/>
      <c r="AO587" s="450"/>
      <c r="AP587" s="450"/>
      <c r="AQ587" s="450"/>
      <c r="AR587" s="450"/>
      <c r="AS587" s="450"/>
      <c r="AT587" s="450"/>
      <c r="AU587" s="450"/>
      <c r="AV587" s="450"/>
      <c r="AW587" s="450"/>
      <c r="AX587" s="450"/>
      <c r="AY587" s="450"/>
      <c r="AZ587" s="450"/>
      <c r="BA587" s="450"/>
      <c r="BB587" s="450"/>
      <c r="BC587" s="450"/>
      <c r="BD587" s="450"/>
      <c r="BE587" s="450"/>
      <c r="BF587" s="450"/>
      <c r="BG587" s="450"/>
      <c r="BH587" s="450"/>
      <c r="BI587" s="450"/>
      <c r="BJ587" s="450"/>
      <c r="BK587" s="450"/>
      <c r="BL587" s="450"/>
      <c r="BM587" s="450"/>
      <c r="BN587" s="450"/>
      <c r="BO587" s="450"/>
      <c r="BP587" s="450"/>
      <c r="BQ587" s="450"/>
      <c r="BR587" s="450"/>
      <c r="BS587" s="450"/>
      <c r="BT587" s="450"/>
      <c r="BU587" s="450"/>
      <c r="BV587" s="450"/>
      <c r="BW587" s="450"/>
      <c r="BX587" s="450"/>
      <c r="BY587" s="450"/>
      <c r="BZ587" s="450"/>
      <c r="CA587" s="450"/>
      <c r="CB587" s="450"/>
      <c r="CC587" s="450"/>
      <c r="CD587" s="450"/>
      <c r="CE587" s="450"/>
      <c r="CF587" s="450"/>
      <c r="CG587" s="450"/>
      <c r="CH587" s="450"/>
      <c r="CI587" s="450"/>
      <c r="CJ587" s="450"/>
      <c r="CK587" s="450"/>
      <c r="CL587" s="450"/>
      <c r="CM587" s="450"/>
      <c r="CN587" s="450"/>
      <c r="CO587" s="450"/>
      <c r="CP587" s="450"/>
      <c r="CQ587" s="450"/>
      <c r="CR587" s="450"/>
      <c r="CS587" s="450"/>
      <c r="CT587" s="450"/>
      <c r="CU587" s="450"/>
      <c r="CV587" s="450"/>
    </row>
    <row r="588" spans="1:100" ht="12.75" outlineLevel="2" x14ac:dyDescent="0.2">
      <c r="A588" s="639"/>
      <c r="B588" s="639"/>
      <c r="C588" s="640"/>
      <c r="D588" s="641"/>
      <c r="E588" s="125" t="str">
        <f xml:space="preserve"> InpC!E$363</f>
        <v>WCF commitment amount</v>
      </c>
      <c r="F588" s="125">
        <f xml:space="preserve"> InpC!F$363</f>
        <v>6500</v>
      </c>
      <c r="G588" s="125" t="str">
        <f xml:space="preserve"> InpC!G$363</f>
        <v>$ 000s</v>
      </c>
      <c r="H588" s="125"/>
      <c r="I588" s="125"/>
      <c r="J588" s="125"/>
      <c r="K588" s="125"/>
      <c r="L588" s="1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</row>
    <row r="589" spans="1:100" ht="12.75" outlineLevel="2" x14ac:dyDescent="0.2">
      <c r="A589" s="79"/>
      <c r="B589" s="79"/>
      <c r="C589" s="561"/>
      <c r="D589" s="60"/>
      <c r="E589" s="125" t="str">
        <f xml:space="preserve"> Time!E$90</f>
        <v>First operating period flag</v>
      </c>
      <c r="F589" s="125">
        <f xml:space="preserve"> Time!F$90</f>
        <v>0</v>
      </c>
      <c r="G589" s="125" t="str">
        <f xml:space="preserve"> Time!G$90</f>
        <v>flag</v>
      </c>
      <c r="H589" s="125">
        <f xml:space="preserve"> Time!H$90</f>
        <v>1</v>
      </c>
      <c r="I589" s="125">
        <f xml:space="preserve"> Time!I$90</f>
        <v>0</v>
      </c>
      <c r="J589" s="125">
        <f xml:space="preserve"> Time!J$90</f>
        <v>0</v>
      </c>
      <c r="K589" s="125">
        <f xml:space="preserve"> Time!K$90</f>
        <v>0</v>
      </c>
      <c r="L589" s="125">
        <f xml:space="preserve"> Time!L$90</f>
        <v>0</v>
      </c>
      <c r="M589" s="125">
        <f xml:space="preserve"> Time!M$90</f>
        <v>0</v>
      </c>
      <c r="N589" s="125">
        <f xml:space="preserve"> Time!N$90</f>
        <v>0</v>
      </c>
      <c r="O589" s="125">
        <f xml:space="preserve"> Time!O$90</f>
        <v>1</v>
      </c>
      <c r="P589" s="125">
        <f xml:space="preserve"> Time!P$90</f>
        <v>0</v>
      </c>
      <c r="Q589" s="125">
        <f xml:space="preserve"> Time!Q$90</f>
        <v>0</v>
      </c>
      <c r="R589" s="125">
        <f xml:space="preserve"> Time!R$90</f>
        <v>0</v>
      </c>
      <c r="S589" s="125">
        <f xml:space="preserve"> Time!S$90</f>
        <v>0</v>
      </c>
      <c r="T589" s="125">
        <f xml:space="preserve"> Time!T$90</f>
        <v>0</v>
      </c>
      <c r="U589" s="125">
        <f xml:space="preserve"> Time!U$90</f>
        <v>0</v>
      </c>
      <c r="V589" s="125">
        <f xml:space="preserve"> Time!V$90</f>
        <v>0</v>
      </c>
      <c r="W589" s="125">
        <f xml:space="preserve"> Time!W$90</f>
        <v>0</v>
      </c>
      <c r="X589" s="125">
        <f xml:space="preserve"> Time!X$90</f>
        <v>0</v>
      </c>
      <c r="Y589" s="125">
        <f xml:space="preserve"> Time!Y$90</f>
        <v>0</v>
      </c>
      <c r="Z589" s="125">
        <f xml:space="preserve"> Time!Z$90</f>
        <v>0</v>
      </c>
      <c r="AA589" s="125">
        <f xml:space="preserve"> Time!AA$90</f>
        <v>0</v>
      </c>
      <c r="AB589" s="125">
        <f xml:space="preserve"> Time!AB$90</f>
        <v>0</v>
      </c>
      <c r="AC589" s="125">
        <f xml:space="preserve"> Time!AC$90</f>
        <v>0</v>
      </c>
      <c r="AD589" s="125">
        <f xml:space="preserve"> Time!AD$90</f>
        <v>0</v>
      </c>
      <c r="AE589" s="125">
        <f xml:space="preserve"> Time!AE$90</f>
        <v>0</v>
      </c>
      <c r="AF589" s="125">
        <f xml:space="preserve"> Time!AF$90</f>
        <v>0</v>
      </c>
      <c r="AG589" s="125">
        <f xml:space="preserve"> Time!AG$90</f>
        <v>0</v>
      </c>
      <c r="AH589" s="125">
        <f xml:space="preserve"> Time!AH$90</f>
        <v>0</v>
      </c>
      <c r="AI589" s="125">
        <f xml:space="preserve"> Time!AI$90</f>
        <v>0</v>
      </c>
      <c r="AJ589" s="125">
        <f xml:space="preserve"> Time!AJ$90</f>
        <v>0</v>
      </c>
      <c r="AK589" s="125">
        <f xml:space="preserve"> Time!AK$90</f>
        <v>0</v>
      </c>
      <c r="AL589" s="125">
        <f xml:space="preserve"> Time!AL$90</f>
        <v>0</v>
      </c>
      <c r="AM589" s="125">
        <f xml:space="preserve"> Time!AM$90</f>
        <v>0</v>
      </c>
      <c r="AN589" s="125">
        <f xml:space="preserve"> Time!AN$90</f>
        <v>0</v>
      </c>
      <c r="AO589" s="125">
        <f xml:space="preserve"> Time!AO$90</f>
        <v>0</v>
      </c>
      <c r="AP589" s="125">
        <f xml:space="preserve"> Time!AP$90</f>
        <v>0</v>
      </c>
      <c r="AQ589" s="125">
        <f xml:space="preserve"> Time!AQ$90</f>
        <v>0</v>
      </c>
      <c r="AR589" s="125">
        <f xml:space="preserve"> Time!AR$90</f>
        <v>0</v>
      </c>
      <c r="AS589" s="125">
        <f xml:space="preserve"> Time!AS$90</f>
        <v>0</v>
      </c>
      <c r="AT589" s="125">
        <f xml:space="preserve"> Time!AT$90</f>
        <v>0</v>
      </c>
      <c r="AU589" s="125">
        <f xml:space="preserve"> Time!AU$90</f>
        <v>0</v>
      </c>
      <c r="AV589" s="125">
        <f xml:space="preserve"> Time!AV$90</f>
        <v>0</v>
      </c>
      <c r="AW589" s="125">
        <f xml:space="preserve"> Time!AW$90</f>
        <v>0</v>
      </c>
      <c r="AX589" s="125">
        <f xml:space="preserve"> Time!AX$90</f>
        <v>0</v>
      </c>
      <c r="AY589" s="125">
        <f xml:space="preserve"> Time!AY$90</f>
        <v>0</v>
      </c>
      <c r="AZ589" s="125">
        <f xml:space="preserve"> Time!AZ$90</f>
        <v>0</v>
      </c>
      <c r="BA589" s="125">
        <f xml:space="preserve"> Time!BA$90</f>
        <v>0</v>
      </c>
      <c r="BB589" s="125">
        <f xml:space="preserve"> Time!BB$90</f>
        <v>0</v>
      </c>
      <c r="BC589" s="125">
        <f xml:space="preserve"> Time!BC$90</f>
        <v>0</v>
      </c>
      <c r="BD589" s="125">
        <f xml:space="preserve"> Time!BD$90</f>
        <v>0</v>
      </c>
      <c r="BE589" s="125">
        <f xml:space="preserve"> Time!BE$90</f>
        <v>0</v>
      </c>
      <c r="BF589" s="125">
        <f xml:space="preserve"> Time!BF$90</f>
        <v>0</v>
      </c>
      <c r="BG589" s="125">
        <f xml:space="preserve"> Time!BG$90</f>
        <v>0</v>
      </c>
      <c r="BH589" s="125">
        <f xml:space="preserve"> Time!BH$90</f>
        <v>0</v>
      </c>
      <c r="BI589" s="125">
        <f xml:space="preserve"> Time!BI$90</f>
        <v>0</v>
      </c>
      <c r="BJ589" s="125">
        <f xml:space="preserve"> Time!BJ$90</f>
        <v>0</v>
      </c>
      <c r="BK589" s="125">
        <f xml:space="preserve"> Time!BK$90</f>
        <v>0</v>
      </c>
      <c r="BL589" s="125">
        <f xml:space="preserve"> Time!BL$90</f>
        <v>0</v>
      </c>
      <c r="BM589" s="125">
        <f xml:space="preserve"> Time!BM$90</f>
        <v>0</v>
      </c>
      <c r="BN589" s="125">
        <f xml:space="preserve"> Time!BN$90</f>
        <v>0</v>
      </c>
      <c r="BO589" s="125">
        <f xml:space="preserve"> Time!BO$90</f>
        <v>0</v>
      </c>
      <c r="BP589" s="125">
        <f xml:space="preserve"> Time!BP$90</f>
        <v>0</v>
      </c>
      <c r="BQ589" s="125">
        <f xml:space="preserve"> Time!BQ$90</f>
        <v>0</v>
      </c>
      <c r="BR589" s="125">
        <f xml:space="preserve"> Time!BR$90</f>
        <v>0</v>
      </c>
      <c r="BS589" s="125">
        <f xml:space="preserve"> Time!BS$90</f>
        <v>0</v>
      </c>
      <c r="BT589" s="125">
        <f xml:space="preserve"> Time!BT$90</f>
        <v>0</v>
      </c>
      <c r="BU589" s="125">
        <f xml:space="preserve"> Time!BU$90</f>
        <v>0</v>
      </c>
      <c r="BV589" s="125">
        <f xml:space="preserve"> Time!BV$90</f>
        <v>0</v>
      </c>
      <c r="BW589" s="125">
        <f xml:space="preserve"> Time!BW$90</f>
        <v>0</v>
      </c>
      <c r="BX589" s="125">
        <f xml:space="preserve"> Time!BX$90</f>
        <v>0</v>
      </c>
      <c r="BY589" s="125">
        <f xml:space="preserve"> Time!BY$90</f>
        <v>0</v>
      </c>
      <c r="BZ589" s="125">
        <f xml:space="preserve"> Time!BZ$90</f>
        <v>0</v>
      </c>
      <c r="CA589" s="125">
        <f xml:space="preserve"> Time!CA$90</f>
        <v>0</v>
      </c>
      <c r="CB589" s="125">
        <f xml:space="preserve"> Time!CB$90</f>
        <v>0</v>
      </c>
      <c r="CC589" s="125">
        <f xml:space="preserve"> Time!CC$90</f>
        <v>0</v>
      </c>
      <c r="CD589" s="125">
        <f xml:space="preserve"> Time!CD$90</f>
        <v>0</v>
      </c>
      <c r="CE589" s="125">
        <f xml:space="preserve"> Time!CE$90</f>
        <v>0</v>
      </c>
      <c r="CF589" s="125">
        <f xml:space="preserve"> Time!CF$90</f>
        <v>0</v>
      </c>
      <c r="CG589" s="125">
        <f xml:space="preserve"> Time!CG$90</f>
        <v>0</v>
      </c>
      <c r="CH589" s="125">
        <f xml:space="preserve"> Time!CH$90</f>
        <v>0</v>
      </c>
      <c r="CI589" s="125">
        <f xml:space="preserve"> Time!CI$90</f>
        <v>0</v>
      </c>
      <c r="CJ589" s="125">
        <f xml:space="preserve"> Time!CJ$90</f>
        <v>0</v>
      </c>
      <c r="CK589" s="125">
        <f xml:space="preserve"> Time!CK$90</f>
        <v>0</v>
      </c>
      <c r="CL589" s="125">
        <f xml:space="preserve"> Time!CL$90</f>
        <v>0</v>
      </c>
      <c r="CM589" s="125">
        <f xml:space="preserve"> Time!CM$90</f>
        <v>0</v>
      </c>
      <c r="CN589" s="125">
        <f xml:space="preserve"> Time!CN$90</f>
        <v>0</v>
      </c>
      <c r="CO589" s="125">
        <f xml:space="preserve"> Time!CO$90</f>
        <v>0</v>
      </c>
      <c r="CP589" s="125">
        <f xml:space="preserve"> Time!CP$90</f>
        <v>0</v>
      </c>
      <c r="CQ589" s="125">
        <f xml:space="preserve"> Time!CQ$90</f>
        <v>0</v>
      </c>
      <c r="CR589" s="125">
        <f xml:space="preserve"> Time!CR$90</f>
        <v>0</v>
      </c>
      <c r="CS589" s="125">
        <f xml:space="preserve"> Time!CS$90</f>
        <v>0</v>
      </c>
      <c r="CT589" s="125">
        <f xml:space="preserve"> Time!CT$90</f>
        <v>0</v>
      </c>
      <c r="CU589" s="125">
        <f xml:space="preserve"> Time!CU$90</f>
        <v>0</v>
      </c>
      <c r="CV589" s="125">
        <f xml:space="preserve"> Time!CV$90</f>
        <v>0</v>
      </c>
    </row>
    <row r="590" spans="1:100" s="188" customFormat="1" ht="12.75" outlineLevel="2" x14ac:dyDescent="0.2">
      <c r="A590" s="397"/>
      <c r="B590" s="397"/>
      <c r="C590" s="566"/>
      <c r="D590" s="567"/>
      <c r="E590" s="188" t="s">
        <v>481</v>
      </c>
      <c r="G590" s="188" t="str">
        <f xml:space="preserve"> SMU</f>
        <v>$ 000s</v>
      </c>
      <c r="H590" s="188">
        <f xml:space="preserve"> SUM(J590:CV590)</f>
        <v>0</v>
      </c>
      <c r="J590" s="230">
        <f t="shared" ref="J590:AO590" si="950" xml:space="preserve"> $F587 * $F588 * J589 * $F586</f>
        <v>0</v>
      </c>
      <c r="K590" s="230">
        <f t="shared" si="950"/>
        <v>0</v>
      </c>
      <c r="L590" s="230">
        <f t="shared" si="950"/>
        <v>0</v>
      </c>
      <c r="M590" s="230">
        <f t="shared" si="950"/>
        <v>0</v>
      </c>
      <c r="N590" s="230">
        <f t="shared" si="950"/>
        <v>0</v>
      </c>
      <c r="O590" s="230">
        <f t="shared" si="950"/>
        <v>0</v>
      </c>
      <c r="P590" s="230">
        <f t="shared" si="950"/>
        <v>0</v>
      </c>
      <c r="Q590" s="230">
        <f t="shared" si="950"/>
        <v>0</v>
      </c>
      <c r="R590" s="230">
        <f t="shared" si="950"/>
        <v>0</v>
      </c>
      <c r="S590" s="230">
        <f t="shared" si="950"/>
        <v>0</v>
      </c>
      <c r="T590" s="230">
        <f t="shared" si="950"/>
        <v>0</v>
      </c>
      <c r="U590" s="230">
        <f t="shared" si="950"/>
        <v>0</v>
      </c>
      <c r="V590" s="230">
        <f t="shared" si="950"/>
        <v>0</v>
      </c>
      <c r="W590" s="230">
        <f t="shared" si="950"/>
        <v>0</v>
      </c>
      <c r="X590" s="230">
        <f t="shared" si="950"/>
        <v>0</v>
      </c>
      <c r="Y590" s="230">
        <f t="shared" si="950"/>
        <v>0</v>
      </c>
      <c r="Z590" s="230">
        <f t="shared" si="950"/>
        <v>0</v>
      </c>
      <c r="AA590" s="230">
        <f t="shared" si="950"/>
        <v>0</v>
      </c>
      <c r="AB590" s="230">
        <f t="shared" si="950"/>
        <v>0</v>
      </c>
      <c r="AC590" s="230">
        <f t="shared" si="950"/>
        <v>0</v>
      </c>
      <c r="AD590" s="230">
        <f t="shared" si="950"/>
        <v>0</v>
      </c>
      <c r="AE590" s="230">
        <f t="shared" si="950"/>
        <v>0</v>
      </c>
      <c r="AF590" s="230">
        <f t="shared" si="950"/>
        <v>0</v>
      </c>
      <c r="AG590" s="230">
        <f t="shared" si="950"/>
        <v>0</v>
      </c>
      <c r="AH590" s="230">
        <f t="shared" si="950"/>
        <v>0</v>
      </c>
      <c r="AI590" s="230">
        <f t="shared" si="950"/>
        <v>0</v>
      </c>
      <c r="AJ590" s="230">
        <f t="shared" si="950"/>
        <v>0</v>
      </c>
      <c r="AK590" s="230">
        <f t="shared" si="950"/>
        <v>0</v>
      </c>
      <c r="AL590" s="230">
        <f t="shared" si="950"/>
        <v>0</v>
      </c>
      <c r="AM590" s="230">
        <f t="shared" si="950"/>
        <v>0</v>
      </c>
      <c r="AN590" s="230">
        <f t="shared" si="950"/>
        <v>0</v>
      </c>
      <c r="AO590" s="230">
        <f t="shared" si="950"/>
        <v>0</v>
      </c>
      <c r="AP590" s="230">
        <f t="shared" ref="AP590:BU590" si="951" xml:space="preserve"> $F587 * $F588 * AP589 * $F586</f>
        <v>0</v>
      </c>
      <c r="AQ590" s="230">
        <f t="shared" si="951"/>
        <v>0</v>
      </c>
      <c r="AR590" s="230">
        <f t="shared" si="951"/>
        <v>0</v>
      </c>
      <c r="AS590" s="230">
        <f t="shared" si="951"/>
        <v>0</v>
      </c>
      <c r="AT590" s="230">
        <f t="shared" si="951"/>
        <v>0</v>
      </c>
      <c r="AU590" s="230">
        <f t="shared" si="951"/>
        <v>0</v>
      </c>
      <c r="AV590" s="230">
        <f t="shared" si="951"/>
        <v>0</v>
      </c>
      <c r="AW590" s="230">
        <f t="shared" si="951"/>
        <v>0</v>
      </c>
      <c r="AX590" s="230">
        <f t="shared" si="951"/>
        <v>0</v>
      </c>
      <c r="AY590" s="230">
        <f t="shared" si="951"/>
        <v>0</v>
      </c>
      <c r="AZ590" s="230">
        <f t="shared" si="951"/>
        <v>0</v>
      </c>
      <c r="BA590" s="230">
        <f t="shared" si="951"/>
        <v>0</v>
      </c>
      <c r="BB590" s="230">
        <f t="shared" si="951"/>
        <v>0</v>
      </c>
      <c r="BC590" s="230">
        <f t="shared" si="951"/>
        <v>0</v>
      </c>
      <c r="BD590" s="230">
        <f t="shared" si="951"/>
        <v>0</v>
      </c>
      <c r="BE590" s="230">
        <f t="shared" si="951"/>
        <v>0</v>
      </c>
      <c r="BF590" s="230">
        <f t="shared" si="951"/>
        <v>0</v>
      </c>
      <c r="BG590" s="230">
        <f t="shared" si="951"/>
        <v>0</v>
      </c>
      <c r="BH590" s="230">
        <f t="shared" si="951"/>
        <v>0</v>
      </c>
      <c r="BI590" s="230">
        <f t="shared" si="951"/>
        <v>0</v>
      </c>
      <c r="BJ590" s="230">
        <f t="shared" si="951"/>
        <v>0</v>
      </c>
      <c r="BK590" s="230">
        <f t="shared" si="951"/>
        <v>0</v>
      </c>
      <c r="BL590" s="230">
        <f t="shared" si="951"/>
        <v>0</v>
      </c>
      <c r="BM590" s="230">
        <f t="shared" si="951"/>
        <v>0</v>
      </c>
      <c r="BN590" s="230">
        <f t="shared" si="951"/>
        <v>0</v>
      </c>
      <c r="BO590" s="230">
        <f t="shared" si="951"/>
        <v>0</v>
      </c>
      <c r="BP590" s="230">
        <f t="shared" si="951"/>
        <v>0</v>
      </c>
      <c r="BQ590" s="230">
        <f t="shared" si="951"/>
        <v>0</v>
      </c>
      <c r="BR590" s="230">
        <f t="shared" si="951"/>
        <v>0</v>
      </c>
      <c r="BS590" s="230">
        <f t="shared" si="951"/>
        <v>0</v>
      </c>
      <c r="BT590" s="230">
        <f t="shared" si="951"/>
        <v>0</v>
      </c>
      <c r="BU590" s="230">
        <f t="shared" si="951"/>
        <v>0</v>
      </c>
      <c r="BV590" s="230">
        <f t="shared" ref="BV590:CV590" si="952" xml:space="preserve"> $F587 * $F588 * BV589 * $F586</f>
        <v>0</v>
      </c>
      <c r="BW590" s="230">
        <f t="shared" si="952"/>
        <v>0</v>
      </c>
      <c r="BX590" s="230">
        <f t="shared" si="952"/>
        <v>0</v>
      </c>
      <c r="BY590" s="230">
        <f t="shared" si="952"/>
        <v>0</v>
      </c>
      <c r="BZ590" s="230">
        <f t="shared" si="952"/>
        <v>0</v>
      </c>
      <c r="CA590" s="230">
        <f t="shared" si="952"/>
        <v>0</v>
      </c>
      <c r="CB590" s="230">
        <f t="shared" si="952"/>
        <v>0</v>
      </c>
      <c r="CC590" s="230">
        <f t="shared" si="952"/>
        <v>0</v>
      </c>
      <c r="CD590" s="230">
        <f t="shared" si="952"/>
        <v>0</v>
      </c>
      <c r="CE590" s="230">
        <f t="shared" si="952"/>
        <v>0</v>
      </c>
      <c r="CF590" s="230">
        <f t="shared" si="952"/>
        <v>0</v>
      </c>
      <c r="CG590" s="230">
        <f t="shared" si="952"/>
        <v>0</v>
      </c>
      <c r="CH590" s="230">
        <f t="shared" si="952"/>
        <v>0</v>
      </c>
      <c r="CI590" s="230">
        <f t="shared" si="952"/>
        <v>0</v>
      </c>
      <c r="CJ590" s="230">
        <f t="shared" si="952"/>
        <v>0</v>
      </c>
      <c r="CK590" s="230">
        <f t="shared" si="952"/>
        <v>0</v>
      </c>
      <c r="CL590" s="230">
        <f t="shared" si="952"/>
        <v>0</v>
      </c>
      <c r="CM590" s="230">
        <f t="shared" si="952"/>
        <v>0</v>
      </c>
      <c r="CN590" s="230">
        <f t="shared" si="952"/>
        <v>0</v>
      </c>
      <c r="CO590" s="230">
        <f t="shared" si="952"/>
        <v>0</v>
      </c>
      <c r="CP590" s="230">
        <f t="shared" si="952"/>
        <v>0</v>
      </c>
      <c r="CQ590" s="230">
        <f t="shared" si="952"/>
        <v>0</v>
      </c>
      <c r="CR590" s="230">
        <f t="shared" si="952"/>
        <v>0</v>
      </c>
      <c r="CS590" s="230">
        <f t="shared" si="952"/>
        <v>0</v>
      </c>
      <c r="CT590" s="230">
        <f t="shared" si="952"/>
        <v>0</v>
      </c>
      <c r="CU590" s="230">
        <f t="shared" si="952"/>
        <v>0</v>
      </c>
      <c r="CV590" s="230">
        <f t="shared" si="952"/>
        <v>0</v>
      </c>
    </row>
    <row r="591" spans="1:100" s="188" customFormat="1" ht="12.75" outlineLevel="2" x14ac:dyDescent="0.2">
      <c r="A591" s="397"/>
      <c r="B591" s="397"/>
      <c r="C591" s="566"/>
      <c r="D591" s="484" t="s">
        <v>366</v>
      </c>
      <c r="E591" s="188" t="str">
        <f xml:space="preserve"> LEFT(E590, LEN(E590) - 4)</f>
        <v>WCF upfront fee</v>
      </c>
      <c r="G591" s="188" t="str">
        <f xml:space="preserve"> SMU</f>
        <v>$ 000s</v>
      </c>
      <c r="H591" s="188">
        <f xml:space="preserve"> SUM(J591:CV591)</f>
        <v>0</v>
      </c>
      <c r="J591" s="188">
        <f t="shared" ref="J591:AO591" si="953" xml:space="preserve"> -1 * J590</f>
        <v>0</v>
      </c>
      <c r="K591" s="188">
        <f t="shared" si="953"/>
        <v>0</v>
      </c>
      <c r="L591" s="188">
        <f t="shared" si="953"/>
        <v>0</v>
      </c>
      <c r="M591" s="188">
        <f t="shared" si="953"/>
        <v>0</v>
      </c>
      <c r="N591" s="188">
        <f t="shared" si="953"/>
        <v>0</v>
      </c>
      <c r="O591" s="188">
        <f t="shared" si="953"/>
        <v>0</v>
      </c>
      <c r="P591" s="188">
        <f t="shared" si="953"/>
        <v>0</v>
      </c>
      <c r="Q591" s="188">
        <f t="shared" si="953"/>
        <v>0</v>
      </c>
      <c r="R591" s="188">
        <f t="shared" si="953"/>
        <v>0</v>
      </c>
      <c r="S591" s="188">
        <f t="shared" si="953"/>
        <v>0</v>
      </c>
      <c r="T591" s="188">
        <f t="shared" si="953"/>
        <v>0</v>
      </c>
      <c r="U591" s="188">
        <f t="shared" si="953"/>
        <v>0</v>
      </c>
      <c r="V591" s="188">
        <f t="shared" si="953"/>
        <v>0</v>
      </c>
      <c r="W591" s="188">
        <f t="shared" si="953"/>
        <v>0</v>
      </c>
      <c r="X591" s="188">
        <f t="shared" si="953"/>
        <v>0</v>
      </c>
      <c r="Y591" s="188">
        <f t="shared" si="953"/>
        <v>0</v>
      </c>
      <c r="Z591" s="188">
        <f t="shared" si="953"/>
        <v>0</v>
      </c>
      <c r="AA591" s="188">
        <f t="shared" si="953"/>
        <v>0</v>
      </c>
      <c r="AB591" s="188">
        <f t="shared" si="953"/>
        <v>0</v>
      </c>
      <c r="AC591" s="188">
        <f t="shared" si="953"/>
        <v>0</v>
      </c>
      <c r="AD591" s="188">
        <f t="shared" si="953"/>
        <v>0</v>
      </c>
      <c r="AE591" s="188">
        <f t="shared" si="953"/>
        <v>0</v>
      </c>
      <c r="AF591" s="188">
        <f t="shared" si="953"/>
        <v>0</v>
      </c>
      <c r="AG591" s="188">
        <f t="shared" si="953"/>
        <v>0</v>
      </c>
      <c r="AH591" s="188">
        <f t="shared" si="953"/>
        <v>0</v>
      </c>
      <c r="AI591" s="188">
        <f t="shared" si="953"/>
        <v>0</v>
      </c>
      <c r="AJ591" s="188">
        <f t="shared" si="953"/>
        <v>0</v>
      </c>
      <c r="AK591" s="188">
        <f t="shared" si="953"/>
        <v>0</v>
      </c>
      <c r="AL591" s="188">
        <f t="shared" si="953"/>
        <v>0</v>
      </c>
      <c r="AM591" s="188">
        <f t="shared" si="953"/>
        <v>0</v>
      </c>
      <c r="AN591" s="188">
        <f t="shared" si="953"/>
        <v>0</v>
      </c>
      <c r="AO591" s="188">
        <f t="shared" si="953"/>
        <v>0</v>
      </c>
      <c r="AP591" s="188">
        <f t="shared" ref="AP591:BU591" si="954" xml:space="preserve"> -1 * AP590</f>
        <v>0</v>
      </c>
      <c r="AQ591" s="188">
        <f t="shared" si="954"/>
        <v>0</v>
      </c>
      <c r="AR591" s="188">
        <f t="shared" si="954"/>
        <v>0</v>
      </c>
      <c r="AS591" s="188">
        <f t="shared" si="954"/>
        <v>0</v>
      </c>
      <c r="AT591" s="188">
        <f t="shared" si="954"/>
        <v>0</v>
      </c>
      <c r="AU591" s="188">
        <f t="shared" si="954"/>
        <v>0</v>
      </c>
      <c r="AV591" s="188">
        <f t="shared" si="954"/>
        <v>0</v>
      </c>
      <c r="AW591" s="188">
        <f t="shared" si="954"/>
        <v>0</v>
      </c>
      <c r="AX591" s="188">
        <f t="shared" si="954"/>
        <v>0</v>
      </c>
      <c r="AY591" s="188">
        <f t="shared" si="954"/>
        <v>0</v>
      </c>
      <c r="AZ591" s="188">
        <f t="shared" si="954"/>
        <v>0</v>
      </c>
      <c r="BA591" s="188">
        <f t="shared" si="954"/>
        <v>0</v>
      </c>
      <c r="BB591" s="188">
        <f t="shared" si="954"/>
        <v>0</v>
      </c>
      <c r="BC591" s="188">
        <f t="shared" si="954"/>
        <v>0</v>
      </c>
      <c r="BD591" s="188">
        <f t="shared" si="954"/>
        <v>0</v>
      </c>
      <c r="BE591" s="188">
        <f t="shared" si="954"/>
        <v>0</v>
      </c>
      <c r="BF591" s="188">
        <f t="shared" si="954"/>
        <v>0</v>
      </c>
      <c r="BG591" s="188">
        <f t="shared" si="954"/>
        <v>0</v>
      </c>
      <c r="BH591" s="188">
        <f t="shared" si="954"/>
        <v>0</v>
      </c>
      <c r="BI591" s="188">
        <f t="shared" si="954"/>
        <v>0</v>
      </c>
      <c r="BJ591" s="188">
        <f t="shared" si="954"/>
        <v>0</v>
      </c>
      <c r="BK591" s="188">
        <f t="shared" si="954"/>
        <v>0</v>
      </c>
      <c r="BL591" s="188">
        <f t="shared" si="954"/>
        <v>0</v>
      </c>
      <c r="BM591" s="188">
        <f t="shared" si="954"/>
        <v>0</v>
      </c>
      <c r="BN591" s="188">
        <f t="shared" si="954"/>
        <v>0</v>
      </c>
      <c r="BO591" s="188">
        <f t="shared" si="954"/>
        <v>0</v>
      </c>
      <c r="BP591" s="188">
        <f t="shared" si="954"/>
        <v>0</v>
      </c>
      <c r="BQ591" s="188">
        <f t="shared" si="954"/>
        <v>0</v>
      </c>
      <c r="BR591" s="188">
        <f t="shared" si="954"/>
        <v>0</v>
      </c>
      <c r="BS591" s="188">
        <f t="shared" si="954"/>
        <v>0</v>
      </c>
      <c r="BT591" s="188">
        <f t="shared" si="954"/>
        <v>0</v>
      </c>
      <c r="BU591" s="188">
        <f t="shared" si="954"/>
        <v>0</v>
      </c>
      <c r="BV591" s="188">
        <f t="shared" ref="BV591:CV591" si="955" xml:space="preserve"> -1 * BV590</f>
        <v>0</v>
      </c>
      <c r="BW591" s="188">
        <f t="shared" si="955"/>
        <v>0</v>
      </c>
      <c r="BX591" s="188">
        <f t="shared" si="955"/>
        <v>0</v>
      </c>
      <c r="BY591" s="188">
        <f t="shared" si="955"/>
        <v>0</v>
      </c>
      <c r="BZ591" s="188">
        <f t="shared" si="955"/>
        <v>0</v>
      </c>
      <c r="CA591" s="188">
        <f t="shared" si="955"/>
        <v>0</v>
      </c>
      <c r="CB591" s="188">
        <f t="shared" si="955"/>
        <v>0</v>
      </c>
      <c r="CC591" s="188">
        <f t="shared" si="955"/>
        <v>0</v>
      </c>
      <c r="CD591" s="188">
        <f t="shared" si="955"/>
        <v>0</v>
      </c>
      <c r="CE591" s="188">
        <f t="shared" si="955"/>
        <v>0</v>
      </c>
      <c r="CF591" s="188">
        <f t="shared" si="955"/>
        <v>0</v>
      </c>
      <c r="CG591" s="188">
        <f t="shared" si="955"/>
        <v>0</v>
      </c>
      <c r="CH591" s="188">
        <f t="shared" si="955"/>
        <v>0</v>
      </c>
      <c r="CI591" s="188">
        <f t="shared" si="955"/>
        <v>0</v>
      </c>
      <c r="CJ591" s="188">
        <f t="shared" si="955"/>
        <v>0</v>
      </c>
      <c r="CK591" s="188">
        <f t="shared" si="955"/>
        <v>0</v>
      </c>
      <c r="CL591" s="188">
        <f t="shared" si="955"/>
        <v>0</v>
      </c>
      <c r="CM591" s="188">
        <f t="shared" si="955"/>
        <v>0</v>
      </c>
      <c r="CN591" s="188">
        <f t="shared" si="955"/>
        <v>0</v>
      </c>
      <c r="CO591" s="188">
        <f t="shared" si="955"/>
        <v>0</v>
      </c>
      <c r="CP591" s="188">
        <f t="shared" si="955"/>
        <v>0</v>
      </c>
      <c r="CQ591" s="188">
        <f t="shared" si="955"/>
        <v>0</v>
      </c>
      <c r="CR591" s="188">
        <f t="shared" si="955"/>
        <v>0</v>
      </c>
      <c r="CS591" s="188">
        <f t="shared" si="955"/>
        <v>0</v>
      </c>
      <c r="CT591" s="188">
        <f t="shared" si="955"/>
        <v>0</v>
      </c>
      <c r="CU591" s="188">
        <f t="shared" si="955"/>
        <v>0</v>
      </c>
      <c r="CV591" s="188">
        <f t="shared" si="955"/>
        <v>0</v>
      </c>
    </row>
    <row r="592" spans="1:100" ht="12.75" outlineLevel="1" x14ac:dyDescent="0.2">
      <c r="A592" s="79"/>
      <c r="B592" s="79"/>
      <c r="C592" s="561"/>
      <c r="D592" s="60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32"/>
      <c r="CS592" s="32"/>
      <c r="CT592" s="32"/>
      <c r="CU592" s="32"/>
      <c r="CV592" s="32"/>
    </row>
    <row r="593" spans="1:100" ht="12.75" outlineLevel="1" x14ac:dyDescent="0.2">
      <c r="A593" s="79"/>
      <c r="B593" s="79" t="s">
        <v>482</v>
      </c>
      <c r="C593" s="561"/>
      <c r="D593" s="60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32"/>
      <c r="CS593" s="32"/>
      <c r="CT593" s="32"/>
      <c r="CU593" s="32"/>
      <c r="CV593" s="32"/>
    </row>
    <row r="594" spans="1:100" s="283" customFormat="1" ht="12.75" outlineLevel="2" x14ac:dyDescent="0.2">
      <c r="A594" s="719"/>
      <c r="B594" s="719"/>
      <c r="C594" s="720"/>
      <c r="D594" s="450"/>
      <c r="E594" s="450" t="str">
        <f xml:space="preserve"> InpC!E$368</f>
        <v>WCF margin</v>
      </c>
      <c r="F594" s="450">
        <f xml:space="preserve"> InpC!F$368</f>
        <v>0.03</v>
      </c>
      <c r="G594" s="450" t="str">
        <f xml:space="preserve"> InpC!G$368</f>
        <v>% p.a.</v>
      </c>
      <c r="H594" s="450"/>
      <c r="I594" s="450"/>
      <c r="J594" s="450"/>
      <c r="K594" s="450"/>
      <c r="L594" s="450"/>
      <c r="M594" s="450"/>
      <c r="N594" s="450"/>
      <c r="O594" s="450"/>
      <c r="P594" s="450"/>
      <c r="Q594" s="450"/>
      <c r="R594" s="450"/>
      <c r="S594" s="450"/>
      <c r="T594" s="450"/>
      <c r="U594" s="450"/>
      <c r="V594" s="450"/>
      <c r="W594" s="450"/>
      <c r="X594" s="450"/>
      <c r="Y594" s="450"/>
      <c r="Z594" s="450"/>
      <c r="AA594" s="450"/>
      <c r="AB594" s="450"/>
      <c r="AC594" s="450"/>
      <c r="AD594" s="450"/>
      <c r="AE594" s="450"/>
      <c r="AF594" s="450"/>
      <c r="AG594" s="450"/>
      <c r="AH594" s="450"/>
      <c r="AI594" s="450"/>
      <c r="AJ594" s="450"/>
      <c r="AK594" s="450"/>
      <c r="AL594" s="450"/>
      <c r="AM594" s="450"/>
      <c r="AN594" s="450"/>
      <c r="AO594" s="450"/>
      <c r="AP594" s="450"/>
      <c r="AQ594" s="450"/>
      <c r="AR594" s="450"/>
      <c r="AS594" s="450"/>
      <c r="AT594" s="450"/>
      <c r="AU594" s="450"/>
      <c r="AV594" s="450"/>
      <c r="AW594" s="450"/>
      <c r="AX594" s="450"/>
      <c r="AY594" s="450"/>
      <c r="AZ594" s="450"/>
      <c r="BA594" s="450"/>
      <c r="BB594" s="450"/>
      <c r="BC594" s="450"/>
      <c r="BD594" s="450"/>
      <c r="BE594" s="450"/>
      <c r="BF594" s="450"/>
      <c r="BG594" s="450"/>
      <c r="BH594" s="450"/>
      <c r="BI594" s="450"/>
      <c r="BJ594" s="450"/>
      <c r="BK594" s="450"/>
      <c r="BL594" s="450"/>
      <c r="BM594" s="450"/>
      <c r="BN594" s="450"/>
      <c r="BO594" s="450"/>
      <c r="BP594" s="450"/>
      <c r="BQ594" s="450"/>
      <c r="BR594" s="450"/>
      <c r="BS594" s="450"/>
      <c r="BT594" s="450"/>
      <c r="BU594" s="450"/>
      <c r="BV594" s="450"/>
      <c r="BW594" s="450"/>
      <c r="BX594" s="450"/>
      <c r="BY594" s="450"/>
      <c r="BZ594" s="450"/>
      <c r="CA594" s="450"/>
      <c r="CB594" s="450"/>
      <c r="CC594" s="450"/>
      <c r="CD594" s="450"/>
      <c r="CE594" s="450"/>
      <c r="CF594" s="450"/>
      <c r="CG594" s="450"/>
      <c r="CH594" s="450"/>
      <c r="CI594" s="450"/>
      <c r="CJ594" s="450"/>
      <c r="CK594" s="450"/>
      <c r="CL594" s="450"/>
      <c r="CM594" s="450"/>
      <c r="CN594" s="450"/>
      <c r="CO594" s="450"/>
      <c r="CP594" s="450"/>
      <c r="CQ594" s="450"/>
      <c r="CR594" s="450"/>
      <c r="CS594" s="450"/>
      <c r="CT594" s="450"/>
      <c r="CU594" s="450"/>
      <c r="CV594" s="450"/>
    </row>
    <row r="595" spans="1:100" s="283" customFormat="1" ht="12.75" outlineLevel="2" x14ac:dyDescent="0.2">
      <c r="A595" s="556"/>
      <c r="B595" s="556"/>
      <c r="C595" s="557"/>
      <c r="D595" s="115"/>
      <c r="E595" s="316" t="str">
        <f xml:space="preserve"> Sensitivity!E$16</f>
        <v>Interest rate - sensitivity</v>
      </c>
      <c r="F595" s="316">
        <f xml:space="preserve"> Sensitivity!F$16</f>
        <v>0</v>
      </c>
      <c r="G595" s="316" t="str">
        <f xml:space="preserve"> Sensitivity!G$16</f>
        <v>% p.a.</v>
      </c>
      <c r="H595" s="115"/>
      <c r="I595" s="112"/>
      <c r="J595" s="282"/>
      <c r="K595" s="282"/>
      <c r="L595" s="282"/>
      <c r="M595" s="282"/>
      <c r="N595" s="282"/>
      <c r="O595" s="282"/>
      <c r="P595" s="282"/>
      <c r="Q595" s="282"/>
      <c r="R595" s="282"/>
      <c r="S595" s="282"/>
      <c r="T595" s="282"/>
      <c r="U595" s="282"/>
      <c r="V595" s="282"/>
      <c r="W595" s="282"/>
      <c r="X595" s="282"/>
      <c r="Y595" s="282"/>
      <c r="Z595" s="282"/>
      <c r="AA595" s="282"/>
      <c r="AB595" s="282"/>
      <c r="AC595" s="282"/>
      <c r="AD595" s="282"/>
      <c r="AE595" s="282"/>
      <c r="AF595" s="282"/>
      <c r="AG595" s="282"/>
      <c r="AH595" s="282"/>
      <c r="AI595" s="282"/>
      <c r="AJ595" s="282"/>
      <c r="AK595" s="282"/>
      <c r="AL595" s="282"/>
      <c r="AM595" s="282"/>
      <c r="AN595" s="282"/>
      <c r="AO595" s="282"/>
      <c r="AP595" s="282"/>
      <c r="AQ595" s="282"/>
      <c r="AR595" s="282"/>
      <c r="AS595" s="282"/>
      <c r="AT595" s="282"/>
      <c r="AU595" s="282"/>
      <c r="AV595" s="282"/>
      <c r="AW595" s="282"/>
      <c r="AX595" s="282"/>
      <c r="AY595" s="282"/>
      <c r="AZ595" s="282"/>
      <c r="BA595" s="282"/>
      <c r="BB595" s="282"/>
      <c r="BC595" s="282"/>
      <c r="BD595" s="282"/>
      <c r="BE595" s="282"/>
      <c r="BF595" s="282"/>
      <c r="BG595" s="282"/>
      <c r="BH595" s="282"/>
      <c r="BI595" s="282"/>
      <c r="BJ595" s="282"/>
      <c r="BK595" s="282"/>
      <c r="BL595" s="282"/>
      <c r="BM595" s="282"/>
      <c r="BN595" s="282"/>
      <c r="BO595" s="282"/>
      <c r="BP595" s="282"/>
      <c r="BQ595" s="282"/>
      <c r="BR595" s="282"/>
      <c r="BS595" s="282"/>
      <c r="BT595" s="282"/>
      <c r="BU595" s="282"/>
      <c r="BV595" s="282"/>
      <c r="BW595" s="282"/>
      <c r="BX595" s="282"/>
      <c r="BY595" s="282"/>
      <c r="BZ595" s="282"/>
      <c r="CA595" s="282"/>
      <c r="CB595" s="282"/>
      <c r="CC595" s="282"/>
      <c r="CD595" s="282"/>
      <c r="CE595" s="282"/>
      <c r="CF595" s="282"/>
      <c r="CG595" s="282"/>
      <c r="CH595" s="282"/>
      <c r="CI595" s="282"/>
      <c r="CJ595" s="282"/>
      <c r="CK595" s="282"/>
      <c r="CL595" s="282"/>
      <c r="CM595" s="282"/>
      <c r="CN595" s="282"/>
      <c r="CO595" s="282"/>
      <c r="CP595" s="282"/>
      <c r="CQ595" s="282"/>
      <c r="CR595" s="282"/>
      <c r="CS595" s="282"/>
      <c r="CT595" s="282"/>
      <c r="CU595" s="282"/>
      <c r="CV595" s="282"/>
    </row>
    <row r="596" spans="1:100" ht="12.75" outlineLevel="2" x14ac:dyDescent="0.2">
      <c r="A596" s="639"/>
      <c r="B596" s="639"/>
      <c r="C596" s="640"/>
      <c r="D596" s="641"/>
      <c r="E596" s="125" t="str">
        <f xml:space="preserve"> InpC!E$365</f>
        <v>WFC day count convention</v>
      </c>
      <c r="F596" s="125">
        <f xml:space="preserve"> InpC!F$365</f>
        <v>360</v>
      </c>
      <c r="G596" s="125" t="str">
        <f xml:space="preserve"> InpC!G$365</f>
        <v>days</v>
      </c>
      <c r="H596" s="125"/>
      <c r="I596" s="125"/>
      <c r="J596" s="125"/>
      <c r="K596" s="125"/>
      <c r="L596" s="125"/>
      <c r="M596" s="125"/>
      <c r="N596" s="125"/>
      <c r="O596" s="125"/>
      <c r="P596" s="125"/>
      <c r="Q596" s="125"/>
      <c r="R596" s="125"/>
      <c r="S596" s="125"/>
      <c r="T596" s="125"/>
      <c r="U596" s="125"/>
      <c r="V596" s="125"/>
      <c r="W596" s="125"/>
      <c r="X596" s="125"/>
      <c r="Y596" s="125"/>
      <c r="Z596" s="125"/>
      <c r="AA596" s="125"/>
      <c r="AB596" s="125"/>
      <c r="AC596" s="125"/>
      <c r="AD596" s="125"/>
      <c r="AE596" s="125"/>
      <c r="AF596" s="125"/>
      <c r="AG596" s="125"/>
      <c r="AH596" s="125"/>
      <c r="AI596" s="125"/>
      <c r="AJ596" s="125"/>
      <c r="AK596" s="125"/>
      <c r="AL596" s="125"/>
      <c r="AM596" s="125"/>
      <c r="AN596" s="125"/>
      <c r="AO596" s="125"/>
      <c r="AP596" s="125"/>
      <c r="AQ596" s="125"/>
      <c r="AR596" s="125"/>
      <c r="AS596" s="125"/>
      <c r="AT596" s="125"/>
      <c r="AU596" s="125"/>
      <c r="AV596" s="125"/>
      <c r="AW596" s="125"/>
      <c r="AX596" s="125"/>
      <c r="AY596" s="125"/>
      <c r="AZ596" s="125"/>
      <c r="BA596" s="125"/>
      <c r="BB596" s="125"/>
      <c r="BC596" s="125"/>
      <c r="BD596" s="125"/>
      <c r="BE596" s="125"/>
      <c r="BF596" s="125"/>
      <c r="BG596" s="125"/>
      <c r="BH596" s="125"/>
      <c r="BI596" s="125"/>
      <c r="BJ596" s="125"/>
      <c r="BK596" s="125"/>
      <c r="BL596" s="125"/>
      <c r="BM596" s="125"/>
      <c r="BN596" s="125"/>
      <c r="BO596" s="125"/>
      <c r="BP596" s="125"/>
      <c r="BQ596" s="125"/>
      <c r="BR596" s="125"/>
      <c r="BS596" s="125"/>
      <c r="BT596" s="125"/>
      <c r="BU596" s="125"/>
      <c r="BV596" s="125"/>
      <c r="BW596" s="125"/>
      <c r="BX596" s="125"/>
      <c r="BY596" s="125"/>
      <c r="BZ596" s="125"/>
      <c r="CA596" s="125"/>
      <c r="CB596" s="125"/>
      <c r="CC596" s="125"/>
      <c r="CD596" s="125"/>
      <c r="CE596" s="125"/>
      <c r="CF596" s="125"/>
      <c r="CG596" s="125"/>
      <c r="CH596" s="125"/>
      <c r="CI596" s="125"/>
      <c r="CJ596" s="125"/>
      <c r="CK596" s="125"/>
      <c r="CL596" s="125"/>
      <c r="CM596" s="125"/>
      <c r="CN596" s="125"/>
      <c r="CO596" s="125"/>
      <c r="CP596" s="125"/>
      <c r="CQ596" s="125"/>
      <c r="CR596" s="125"/>
      <c r="CS596" s="125"/>
      <c r="CT596" s="125"/>
      <c r="CU596" s="125"/>
      <c r="CV596" s="125"/>
    </row>
    <row r="597" spans="1:100" s="283" customFormat="1" ht="12.75" outlineLevel="2" x14ac:dyDescent="0.2">
      <c r="A597" s="597"/>
      <c r="B597" s="597"/>
      <c r="C597" s="598"/>
      <c r="D597" s="282"/>
      <c r="E597" s="450" t="str">
        <f xml:space="preserve"> InpS!E$13</f>
        <v>Active debt forward curve</v>
      </c>
      <c r="F597" s="450">
        <f xml:space="preserve"> InpS!F$13</f>
        <v>0</v>
      </c>
      <c r="G597" s="450" t="str">
        <f xml:space="preserve"> InpS!G$13</f>
        <v>% p.a.</v>
      </c>
      <c r="H597" s="450">
        <f xml:space="preserve"> InpS!H$13</f>
        <v>0</v>
      </c>
      <c r="I597" s="450">
        <f xml:space="preserve"> InpS!I$13</f>
        <v>0</v>
      </c>
      <c r="J597" s="450">
        <f xml:space="preserve"> InpS!J$13</f>
        <v>2.0062E-2</v>
      </c>
      <c r="K597" s="450">
        <f xml:space="preserve"> InpS!K$13</f>
        <v>2.0124E-2</v>
      </c>
      <c r="L597" s="450">
        <f xml:space="preserve"> InpS!L$13</f>
        <v>2.0184000000000001E-2</v>
      </c>
      <c r="M597" s="450">
        <f xml:space="preserve"> InpS!M$13</f>
        <v>2.0241000000000002E-2</v>
      </c>
      <c r="N597" s="450">
        <f xml:space="preserve"> InpS!N$13</f>
        <v>2.0308000000000003E-2</v>
      </c>
      <c r="O597" s="450">
        <f xml:space="preserve"> InpS!O$13</f>
        <v>2.0375000000000004E-2</v>
      </c>
      <c r="P597" s="450">
        <f xml:space="preserve"> InpS!P$13</f>
        <v>2.0434000000000004E-2</v>
      </c>
      <c r="Q597" s="450">
        <f xml:space="preserve"> InpS!Q$13</f>
        <v>2.0506000000000003E-2</v>
      </c>
      <c r="R597" s="450">
        <f xml:space="preserve"> InpS!R$13</f>
        <v>2.0569000000000004E-2</v>
      </c>
      <c r="S597" s="450">
        <f xml:space="preserve"> InpS!S$13</f>
        <v>2.0620000000000003E-2</v>
      </c>
      <c r="T597" s="450">
        <f xml:space="preserve"> InpS!T$13</f>
        <v>2.0666000000000004E-2</v>
      </c>
      <c r="U597" s="450">
        <f xml:space="preserve"> InpS!U$13</f>
        <v>2.0719000000000005E-2</v>
      </c>
      <c r="V597" s="450">
        <f xml:space="preserve"> InpS!V$13</f>
        <v>2.0757000000000005E-2</v>
      </c>
      <c r="W597" s="450">
        <f xml:space="preserve"> InpS!W$13</f>
        <v>2.0795000000000004E-2</v>
      </c>
      <c r="X597" s="450">
        <f xml:space="preserve"> InpS!X$13</f>
        <v>2.0850000000000004E-2</v>
      </c>
      <c r="Y597" s="450">
        <f xml:space="preserve"> InpS!Y$13</f>
        <v>2.0888000000000004E-2</v>
      </c>
      <c r="Z597" s="450">
        <f xml:space="preserve"> InpS!Z$13</f>
        <v>2.0954000000000004E-2</v>
      </c>
      <c r="AA597" s="450">
        <f xml:space="preserve"> InpS!AA$13</f>
        <v>2.1024000000000004E-2</v>
      </c>
      <c r="AB597" s="450">
        <f xml:space="preserve"> InpS!AB$13</f>
        <v>2.1091000000000006E-2</v>
      </c>
      <c r="AC597" s="450">
        <f xml:space="preserve"> InpS!AC$13</f>
        <v>2.1134000000000007E-2</v>
      </c>
      <c r="AD597" s="450">
        <f xml:space="preserve"> InpS!AD$13</f>
        <v>2.1205000000000009E-2</v>
      </c>
      <c r="AE597" s="450">
        <f xml:space="preserve"> InpS!AE$13</f>
        <v>2.127900000000001E-2</v>
      </c>
      <c r="AF597" s="450">
        <f xml:space="preserve"> InpS!AF$13</f>
        <v>2.1316000000000009E-2</v>
      </c>
      <c r="AG597" s="450">
        <f xml:space="preserve"> InpS!AG$13</f>
        <v>2.1367000000000008E-2</v>
      </c>
      <c r="AH597" s="450">
        <f xml:space="preserve"> InpS!AH$13</f>
        <v>2.1421000000000006E-2</v>
      </c>
      <c r="AI597" s="450">
        <f xml:space="preserve"> InpS!AI$13</f>
        <v>2.1470000000000006E-2</v>
      </c>
      <c r="AJ597" s="450">
        <f xml:space="preserve"> InpS!AJ$13</f>
        <v>2.1516000000000007E-2</v>
      </c>
      <c r="AK597" s="450">
        <f xml:space="preserve"> InpS!AK$13</f>
        <v>2.1570000000000006E-2</v>
      </c>
      <c r="AL597" s="450">
        <f xml:space="preserve"> InpS!AL$13</f>
        <v>2.1639000000000005E-2</v>
      </c>
      <c r="AM597" s="450">
        <f xml:space="preserve"> InpS!AM$13</f>
        <v>2.1709000000000006E-2</v>
      </c>
      <c r="AN597" s="450">
        <f xml:space="preserve"> InpS!AN$13</f>
        <v>2.1772000000000007E-2</v>
      </c>
      <c r="AO597" s="450">
        <f xml:space="preserve"> InpS!AO$13</f>
        <v>2.1813000000000006E-2</v>
      </c>
      <c r="AP597" s="450">
        <f xml:space="preserve"> InpS!AP$13</f>
        <v>2.1858000000000006E-2</v>
      </c>
      <c r="AQ597" s="450">
        <f xml:space="preserve"> InpS!AQ$13</f>
        <v>2.1913000000000005E-2</v>
      </c>
      <c r="AR597" s="450">
        <f xml:space="preserve"> InpS!AR$13</f>
        <v>2.1986000000000006E-2</v>
      </c>
      <c r="AS597" s="450">
        <f xml:space="preserve"> InpS!AS$13</f>
        <v>2.2041000000000005E-2</v>
      </c>
      <c r="AT597" s="450">
        <f xml:space="preserve"> InpS!AT$13</f>
        <v>2.2089000000000004E-2</v>
      </c>
      <c r="AU597" s="450">
        <f xml:space="preserve"> InpS!AU$13</f>
        <v>2.2148000000000004E-2</v>
      </c>
      <c r="AV597" s="450">
        <f xml:space="preserve"> InpS!AV$13</f>
        <v>2.2216000000000003E-2</v>
      </c>
      <c r="AW597" s="450">
        <f xml:space="preserve"> InpS!AW$13</f>
        <v>2.2282000000000003E-2</v>
      </c>
      <c r="AX597" s="450">
        <f xml:space="preserve"> InpS!AX$13</f>
        <v>2.2351000000000003E-2</v>
      </c>
      <c r="AY597" s="450">
        <f xml:space="preserve"> InpS!AY$13</f>
        <v>2.2409000000000002E-2</v>
      </c>
      <c r="AZ597" s="450">
        <f xml:space="preserve"> InpS!AZ$13</f>
        <v>2.2445000000000003E-2</v>
      </c>
      <c r="BA597" s="450">
        <f xml:space="preserve"> InpS!BA$13</f>
        <v>2.2489000000000002E-2</v>
      </c>
      <c r="BB597" s="450">
        <f xml:space="preserve"> InpS!BB$13</f>
        <v>2.2535000000000003E-2</v>
      </c>
      <c r="BC597" s="450">
        <f xml:space="preserve"> InpS!BC$13</f>
        <v>2.2607000000000002E-2</v>
      </c>
      <c r="BD597" s="450">
        <f xml:space="preserve"> InpS!BD$13</f>
        <v>2.2647E-2</v>
      </c>
      <c r="BE597" s="450">
        <f xml:space="preserve"> InpS!BE$13</f>
        <v>2.2683999999999999E-2</v>
      </c>
      <c r="BF597" s="450">
        <f xml:space="preserve"> InpS!BF$13</f>
        <v>2.2734000000000001E-2</v>
      </c>
      <c r="BG597" s="450">
        <f xml:space="preserve"> InpS!BG$13</f>
        <v>2.2806E-2</v>
      </c>
      <c r="BH597" s="450">
        <f xml:space="preserve"> InpS!BH$13</f>
        <v>2.2852000000000001E-2</v>
      </c>
      <c r="BI597" s="450">
        <f xml:space="preserve"> InpS!BI$13</f>
        <v>2.2898999999999999E-2</v>
      </c>
      <c r="BJ597" s="450">
        <f xml:space="preserve"> InpS!BJ$13</f>
        <v>2.2952999999999998E-2</v>
      </c>
      <c r="BK597" s="450">
        <f xml:space="preserve"> InpS!BK$13</f>
        <v>2.3027999999999996E-2</v>
      </c>
      <c r="BL597" s="450">
        <f xml:space="preserve"> InpS!BL$13</f>
        <v>2.3093999999999996E-2</v>
      </c>
      <c r="BM597" s="450">
        <f xml:space="preserve"> InpS!BM$13</f>
        <v>2.3145999999999996E-2</v>
      </c>
      <c r="BN597" s="450">
        <f xml:space="preserve"> InpS!BN$13</f>
        <v>2.3211999999999997E-2</v>
      </c>
      <c r="BO597" s="450">
        <f xml:space="preserve"> InpS!BO$13</f>
        <v>2.3253999999999997E-2</v>
      </c>
      <c r="BP597" s="450">
        <f xml:space="preserve"> InpS!BP$13</f>
        <v>2.3288999999999997E-2</v>
      </c>
      <c r="BQ597" s="450">
        <f xml:space="preserve"> InpS!BQ$13</f>
        <v>2.3333999999999997E-2</v>
      </c>
      <c r="BR597" s="450">
        <f xml:space="preserve"> InpS!BR$13</f>
        <v>2.3372999999999998E-2</v>
      </c>
      <c r="BS597" s="450">
        <f xml:space="preserve"> InpS!BS$13</f>
        <v>2.3413999999999997E-2</v>
      </c>
      <c r="BT597" s="450">
        <f xml:space="preserve"> InpS!BT$13</f>
        <v>2.3472999999999997E-2</v>
      </c>
      <c r="BU597" s="450">
        <f xml:space="preserve"> InpS!BU$13</f>
        <v>2.3519999999999996E-2</v>
      </c>
      <c r="BV597" s="450">
        <f xml:space="preserve"> InpS!BV$13</f>
        <v>2.3592999999999996E-2</v>
      </c>
      <c r="BW597" s="450">
        <f xml:space="preserve"> InpS!BW$13</f>
        <v>2.3660999999999995E-2</v>
      </c>
      <c r="BX597" s="450">
        <f xml:space="preserve"> InpS!BX$13</f>
        <v>2.3728999999999993E-2</v>
      </c>
      <c r="BY597" s="450">
        <f xml:space="preserve"> InpS!BY$13</f>
        <v>2.3785999999999995E-2</v>
      </c>
      <c r="BZ597" s="450">
        <f xml:space="preserve"> InpS!BZ$13</f>
        <v>2.3841999999999995E-2</v>
      </c>
      <c r="CA597" s="450">
        <f xml:space="preserve"> InpS!CA$13</f>
        <v>2.3907999999999995E-2</v>
      </c>
      <c r="CB597" s="450">
        <f xml:space="preserve"> InpS!CB$13</f>
        <v>2.3961999999999994E-2</v>
      </c>
      <c r="CC597" s="450">
        <f xml:space="preserve"> InpS!CC$13</f>
        <v>2.4011999999999995E-2</v>
      </c>
      <c r="CD597" s="450">
        <f xml:space="preserve"> InpS!CD$13</f>
        <v>2.4070999999999995E-2</v>
      </c>
      <c r="CE597" s="450">
        <f xml:space="preserve"> InpS!CE$13</f>
        <v>2.4119999999999996E-2</v>
      </c>
      <c r="CF597" s="450">
        <f xml:space="preserve"> InpS!CF$13</f>
        <v>2.4166999999999994E-2</v>
      </c>
      <c r="CG597" s="450">
        <f xml:space="preserve"> InpS!CG$13</f>
        <v>2.4215999999999994E-2</v>
      </c>
      <c r="CH597" s="450">
        <f xml:space="preserve"> InpS!CH$13</f>
        <v>2.4263999999999994E-2</v>
      </c>
      <c r="CI597" s="450">
        <f xml:space="preserve"> InpS!CI$13</f>
        <v>2.4301999999999994E-2</v>
      </c>
      <c r="CJ597" s="450">
        <f xml:space="preserve"> InpS!CJ$13</f>
        <v>2.4365999999999995E-2</v>
      </c>
      <c r="CK597" s="450">
        <f xml:space="preserve"> InpS!CK$13</f>
        <v>2.4408999999999997E-2</v>
      </c>
      <c r="CL597" s="450">
        <f xml:space="preserve"> InpS!CL$13</f>
        <v>2.4462999999999995E-2</v>
      </c>
      <c r="CM597" s="450">
        <f xml:space="preserve"> InpS!CM$13</f>
        <v>2.4530999999999994E-2</v>
      </c>
      <c r="CN597" s="450">
        <f xml:space="preserve"> InpS!CN$13</f>
        <v>2.4586999999999994E-2</v>
      </c>
      <c r="CO597" s="450">
        <f xml:space="preserve"> InpS!CO$13</f>
        <v>2.4622999999999996E-2</v>
      </c>
      <c r="CP597" s="450">
        <f xml:space="preserve"> InpS!CP$13</f>
        <v>2.4688999999999996E-2</v>
      </c>
      <c r="CQ597" s="450">
        <f xml:space="preserve"> InpS!CQ$13</f>
        <v>2.4738999999999997E-2</v>
      </c>
      <c r="CR597" s="450">
        <f xml:space="preserve"> InpS!CR$13</f>
        <v>2.4789999999999996E-2</v>
      </c>
      <c r="CS597" s="450">
        <f xml:space="preserve"> InpS!CS$13</f>
        <v>2.4834999999999996E-2</v>
      </c>
      <c r="CT597" s="450">
        <f xml:space="preserve"> InpS!CT$13</f>
        <v>2.4872999999999996E-2</v>
      </c>
      <c r="CU597" s="450">
        <f xml:space="preserve"> InpS!CU$13</f>
        <v>2.4930999999999995E-2</v>
      </c>
      <c r="CV597" s="450">
        <f xml:space="preserve"> InpS!CV$13</f>
        <v>2.4983999999999996E-2</v>
      </c>
    </row>
    <row r="598" spans="1:100" ht="12.75" outlineLevel="2" x14ac:dyDescent="0.2">
      <c r="A598" s="79"/>
      <c r="B598" s="79"/>
      <c r="C598" s="561"/>
      <c r="D598" s="60"/>
      <c r="E598" s="721" t="str">
        <f xml:space="preserve"> Time!E$246</f>
        <v>Days in period</v>
      </c>
      <c r="F598" s="721">
        <f xml:space="preserve"> Time!F$246</f>
        <v>0</v>
      </c>
      <c r="G598" s="721" t="str">
        <f xml:space="preserve"> Time!G$246</f>
        <v>days</v>
      </c>
      <c r="H598" s="721">
        <f xml:space="preserve"> Time!H$246</f>
        <v>0</v>
      </c>
      <c r="I598" s="721">
        <f xml:space="preserve"> Time!I$246</f>
        <v>0</v>
      </c>
      <c r="J598" s="721">
        <f xml:space="preserve"> Time!J$246</f>
        <v>181</v>
      </c>
      <c r="K598" s="721">
        <f xml:space="preserve"> Time!K$246</f>
        <v>184</v>
      </c>
      <c r="L598" s="721">
        <f xml:space="preserve"> Time!L$246</f>
        <v>181</v>
      </c>
      <c r="M598" s="721">
        <f xml:space="preserve"> Time!M$246</f>
        <v>184</v>
      </c>
      <c r="N598" s="721">
        <f xml:space="preserve"> Time!N$246</f>
        <v>182</v>
      </c>
      <c r="O598" s="721">
        <f xml:space="preserve"> Time!O$246</f>
        <v>184</v>
      </c>
      <c r="P598" s="721">
        <f xml:space="preserve"> Time!P$246</f>
        <v>181</v>
      </c>
      <c r="Q598" s="721">
        <f xml:space="preserve"> Time!Q$246</f>
        <v>184</v>
      </c>
      <c r="R598" s="721">
        <f xml:space="preserve"> Time!R$246</f>
        <v>181</v>
      </c>
      <c r="S598" s="721">
        <f xml:space="preserve"> Time!S$246</f>
        <v>184</v>
      </c>
      <c r="T598" s="721">
        <f xml:space="preserve"> Time!T$246</f>
        <v>181</v>
      </c>
      <c r="U598" s="721">
        <f xml:space="preserve"> Time!U$246</f>
        <v>184</v>
      </c>
      <c r="V598" s="721">
        <f xml:space="preserve"> Time!V$246</f>
        <v>182</v>
      </c>
      <c r="W598" s="721">
        <f xml:space="preserve"> Time!W$246</f>
        <v>184</v>
      </c>
      <c r="X598" s="721">
        <f xml:space="preserve"> Time!X$246</f>
        <v>181</v>
      </c>
      <c r="Y598" s="721">
        <f xml:space="preserve"> Time!Y$246</f>
        <v>184</v>
      </c>
      <c r="Z598" s="721">
        <f xml:space="preserve"> Time!Z$246</f>
        <v>181</v>
      </c>
      <c r="AA598" s="721">
        <f xml:space="preserve"> Time!AA$246</f>
        <v>184</v>
      </c>
      <c r="AB598" s="721">
        <f xml:space="preserve"> Time!AB$246</f>
        <v>181</v>
      </c>
      <c r="AC598" s="721">
        <f xml:space="preserve"> Time!AC$246</f>
        <v>184</v>
      </c>
      <c r="AD598" s="721">
        <f xml:space="preserve"> Time!AD$246</f>
        <v>182</v>
      </c>
      <c r="AE598" s="721">
        <f xml:space="preserve"> Time!AE$246</f>
        <v>184</v>
      </c>
      <c r="AF598" s="721">
        <f xml:space="preserve"> Time!AF$246</f>
        <v>181</v>
      </c>
      <c r="AG598" s="721">
        <f xml:space="preserve"> Time!AG$246</f>
        <v>184</v>
      </c>
      <c r="AH598" s="721">
        <f xml:space="preserve"> Time!AH$246</f>
        <v>181</v>
      </c>
      <c r="AI598" s="721">
        <f xml:space="preserve"> Time!AI$246</f>
        <v>184</v>
      </c>
      <c r="AJ598" s="721">
        <f xml:space="preserve"> Time!AJ$246</f>
        <v>181</v>
      </c>
      <c r="AK598" s="721">
        <f xml:space="preserve"> Time!AK$246</f>
        <v>184</v>
      </c>
      <c r="AL598" s="721">
        <f xml:space="preserve"> Time!AL$246</f>
        <v>182</v>
      </c>
      <c r="AM598" s="721">
        <f xml:space="preserve"> Time!AM$246</f>
        <v>184</v>
      </c>
      <c r="AN598" s="721">
        <f xml:space="preserve"> Time!AN$246</f>
        <v>181</v>
      </c>
      <c r="AO598" s="721">
        <f xml:space="preserve"> Time!AO$246</f>
        <v>184</v>
      </c>
      <c r="AP598" s="721">
        <f xml:space="preserve"> Time!AP$246</f>
        <v>181</v>
      </c>
      <c r="AQ598" s="721">
        <f xml:space="preserve"> Time!AQ$246</f>
        <v>184</v>
      </c>
      <c r="AR598" s="721">
        <f xml:space="preserve"> Time!AR$246</f>
        <v>181</v>
      </c>
      <c r="AS598" s="721">
        <f xml:space="preserve"> Time!AS$246</f>
        <v>184</v>
      </c>
      <c r="AT598" s="721">
        <f xml:space="preserve"> Time!AT$246</f>
        <v>182</v>
      </c>
      <c r="AU598" s="721">
        <f xml:space="preserve"> Time!AU$246</f>
        <v>184</v>
      </c>
      <c r="AV598" s="721">
        <f xml:space="preserve"> Time!AV$246</f>
        <v>181</v>
      </c>
      <c r="AW598" s="721">
        <f xml:space="preserve"> Time!AW$246</f>
        <v>184</v>
      </c>
      <c r="AX598" s="721">
        <f xml:space="preserve"> Time!AX$246</f>
        <v>181</v>
      </c>
      <c r="AY598" s="721">
        <f xml:space="preserve"> Time!AY$246</f>
        <v>184</v>
      </c>
      <c r="AZ598" s="721">
        <f xml:space="preserve"> Time!AZ$246</f>
        <v>181</v>
      </c>
      <c r="BA598" s="721">
        <f xml:space="preserve"> Time!BA$246</f>
        <v>184</v>
      </c>
      <c r="BB598" s="721">
        <f xml:space="preserve"> Time!BB$246</f>
        <v>182</v>
      </c>
      <c r="BC598" s="721">
        <f xml:space="preserve"> Time!BC$246</f>
        <v>184</v>
      </c>
      <c r="BD598" s="721">
        <f xml:space="preserve"> Time!BD$246</f>
        <v>181</v>
      </c>
      <c r="BE598" s="721">
        <f xml:space="preserve"> Time!BE$246</f>
        <v>184</v>
      </c>
      <c r="BF598" s="721">
        <f xml:space="preserve"> Time!BF$246</f>
        <v>181</v>
      </c>
      <c r="BG598" s="721">
        <f xml:space="preserve"> Time!BG$246</f>
        <v>184</v>
      </c>
      <c r="BH598" s="721">
        <f xml:space="preserve"> Time!BH$246</f>
        <v>181</v>
      </c>
      <c r="BI598" s="721">
        <f xml:space="preserve"> Time!BI$246</f>
        <v>184</v>
      </c>
      <c r="BJ598" s="721">
        <f xml:space="preserve"> Time!BJ$246</f>
        <v>182</v>
      </c>
      <c r="BK598" s="721">
        <f xml:space="preserve"> Time!BK$246</f>
        <v>184</v>
      </c>
      <c r="BL598" s="721">
        <f xml:space="preserve"> Time!BL$246</f>
        <v>181</v>
      </c>
      <c r="BM598" s="721">
        <f xml:space="preserve"> Time!BM$246</f>
        <v>184</v>
      </c>
      <c r="BN598" s="721">
        <f xml:space="preserve"> Time!BN$246</f>
        <v>181</v>
      </c>
      <c r="BO598" s="721">
        <f xml:space="preserve"> Time!BO$246</f>
        <v>184</v>
      </c>
      <c r="BP598" s="721">
        <f xml:space="preserve"> Time!BP$246</f>
        <v>181</v>
      </c>
      <c r="BQ598" s="721">
        <f xml:space="preserve"> Time!BQ$246</f>
        <v>184</v>
      </c>
      <c r="BR598" s="721">
        <f xml:space="preserve"> Time!BR$246</f>
        <v>182</v>
      </c>
      <c r="BS598" s="721">
        <f xml:space="preserve"> Time!BS$246</f>
        <v>184</v>
      </c>
      <c r="BT598" s="721">
        <f xml:space="preserve"> Time!BT$246</f>
        <v>181</v>
      </c>
      <c r="BU598" s="721">
        <f xml:space="preserve"> Time!BU$246</f>
        <v>184</v>
      </c>
      <c r="BV598" s="721">
        <f xml:space="preserve"> Time!BV$246</f>
        <v>181</v>
      </c>
      <c r="BW598" s="721">
        <f xml:space="preserve"> Time!BW$246</f>
        <v>184</v>
      </c>
      <c r="BX598" s="721">
        <f xml:space="preserve"> Time!BX$246</f>
        <v>181</v>
      </c>
      <c r="BY598" s="721">
        <f xml:space="preserve"> Time!BY$246</f>
        <v>184</v>
      </c>
      <c r="BZ598" s="721">
        <f xml:space="preserve"> Time!BZ$246</f>
        <v>182</v>
      </c>
      <c r="CA598" s="721">
        <f xml:space="preserve"> Time!CA$246</f>
        <v>184</v>
      </c>
      <c r="CB598" s="721">
        <f xml:space="preserve"> Time!CB$246</f>
        <v>181</v>
      </c>
      <c r="CC598" s="721">
        <f xml:space="preserve"> Time!CC$246</f>
        <v>184</v>
      </c>
      <c r="CD598" s="721">
        <f xml:space="preserve"> Time!CD$246</f>
        <v>181</v>
      </c>
      <c r="CE598" s="721">
        <f xml:space="preserve"> Time!CE$246</f>
        <v>184</v>
      </c>
      <c r="CF598" s="721">
        <f xml:space="preserve"> Time!CF$246</f>
        <v>181</v>
      </c>
      <c r="CG598" s="721">
        <f xml:space="preserve"> Time!CG$246</f>
        <v>184</v>
      </c>
      <c r="CH598" s="721">
        <f xml:space="preserve"> Time!CH$246</f>
        <v>182</v>
      </c>
      <c r="CI598" s="721">
        <f xml:space="preserve"> Time!CI$246</f>
        <v>184</v>
      </c>
      <c r="CJ598" s="721">
        <f xml:space="preserve"> Time!CJ$246</f>
        <v>181</v>
      </c>
      <c r="CK598" s="721">
        <f xml:space="preserve"> Time!CK$246</f>
        <v>184</v>
      </c>
      <c r="CL598" s="721">
        <f xml:space="preserve"> Time!CL$246</f>
        <v>181</v>
      </c>
      <c r="CM598" s="721">
        <f xml:space="preserve"> Time!CM$246</f>
        <v>184</v>
      </c>
      <c r="CN598" s="721">
        <f xml:space="preserve"> Time!CN$246</f>
        <v>181</v>
      </c>
      <c r="CO598" s="721">
        <f xml:space="preserve"> Time!CO$246</f>
        <v>184</v>
      </c>
      <c r="CP598" s="721">
        <f xml:space="preserve"> Time!CP$246</f>
        <v>182</v>
      </c>
      <c r="CQ598" s="721">
        <f xml:space="preserve"> Time!CQ$246</f>
        <v>184</v>
      </c>
      <c r="CR598" s="721">
        <f xml:space="preserve"> Time!CR$246</f>
        <v>181</v>
      </c>
      <c r="CS598" s="721">
        <f xml:space="preserve"> Time!CS$246</f>
        <v>184</v>
      </c>
      <c r="CT598" s="721">
        <f xml:space="preserve"> Time!CT$246</f>
        <v>181</v>
      </c>
      <c r="CU598" s="721">
        <f xml:space="preserve"> Time!CU$246</f>
        <v>184</v>
      </c>
      <c r="CV598" s="721">
        <f xml:space="preserve"> Time!CV$246</f>
        <v>181</v>
      </c>
    </row>
    <row r="599" spans="1:100" s="314" customFormat="1" ht="12.75" outlineLevel="2" x14ac:dyDescent="0.2">
      <c r="A599" s="562"/>
      <c r="B599" s="562"/>
      <c r="C599" s="563"/>
      <c r="E599" s="314" t="s">
        <v>488</v>
      </c>
      <c r="G599" s="314" t="s">
        <v>103</v>
      </c>
      <c r="J599" s="314">
        <f t="shared" ref="J599:AO599" si="956" xml:space="preserve"> ($F594 + $F595 + J597) / $F596 * J598</f>
        <v>2.5170061111111107E-2</v>
      </c>
      <c r="K599" s="314">
        <f t="shared" si="956"/>
        <v>2.5618933333333337E-2</v>
      </c>
      <c r="L599" s="314">
        <f t="shared" si="956"/>
        <v>2.5231400000000001E-2</v>
      </c>
      <c r="M599" s="314">
        <f t="shared" si="956"/>
        <v>2.5678733333333335E-2</v>
      </c>
      <c r="N599" s="314">
        <f t="shared" si="956"/>
        <v>2.543348888888889E-2</v>
      </c>
      <c r="O599" s="314">
        <f t="shared" si="956"/>
        <v>2.5747222222222227E-2</v>
      </c>
      <c r="P599" s="314">
        <f t="shared" si="956"/>
        <v>2.535709444444445E-2</v>
      </c>
      <c r="Q599" s="314">
        <f t="shared" si="956"/>
        <v>2.5814177777777777E-2</v>
      </c>
      <c r="R599" s="314">
        <f t="shared" si="956"/>
        <v>2.5424969444444449E-2</v>
      </c>
      <c r="S599" s="314">
        <f t="shared" si="956"/>
        <v>2.5872444444444441E-2</v>
      </c>
      <c r="T599" s="314">
        <f t="shared" si="956"/>
        <v>2.5473738888888892E-2</v>
      </c>
      <c r="U599" s="314">
        <f t="shared" si="956"/>
        <v>2.5923044444444446E-2</v>
      </c>
      <c r="V599" s="314">
        <f t="shared" si="956"/>
        <v>2.5660483333333334E-2</v>
      </c>
      <c r="W599" s="314">
        <f t="shared" si="956"/>
        <v>2.5961888888888895E-2</v>
      </c>
      <c r="X599" s="314">
        <f t="shared" si="956"/>
        <v>2.5566250000000002E-2</v>
      </c>
      <c r="Y599" s="314">
        <f t="shared" si="956"/>
        <v>2.6009422222222224E-2</v>
      </c>
      <c r="Z599" s="314">
        <f t="shared" si="956"/>
        <v>2.5618538888888889E-2</v>
      </c>
      <c r="AA599" s="314">
        <f t="shared" si="956"/>
        <v>2.6078933333333332E-2</v>
      </c>
      <c r="AB599" s="314">
        <f t="shared" si="956"/>
        <v>2.5687419444444446E-2</v>
      </c>
      <c r="AC599" s="314">
        <f t="shared" si="956"/>
        <v>2.613515555555556E-2</v>
      </c>
      <c r="AD599" s="314">
        <f t="shared" si="956"/>
        <v>2.5886972222222224E-2</v>
      </c>
      <c r="AE599" s="314">
        <f t="shared" si="956"/>
        <v>2.6209266666666668E-2</v>
      </c>
      <c r="AF599" s="314">
        <f t="shared" si="956"/>
        <v>2.5800544444444448E-2</v>
      </c>
      <c r="AG599" s="314">
        <f t="shared" si="956"/>
        <v>2.6254244444444449E-2</v>
      </c>
      <c r="AH599" s="314">
        <f t="shared" si="956"/>
        <v>2.5853336111111118E-2</v>
      </c>
      <c r="AI599" s="314">
        <f t="shared" si="956"/>
        <v>2.630688888888889E-2</v>
      </c>
      <c r="AJ599" s="314">
        <f t="shared" si="956"/>
        <v>2.5901100000000003E-2</v>
      </c>
      <c r="AK599" s="314">
        <f t="shared" si="956"/>
        <v>2.6358000000000003E-2</v>
      </c>
      <c r="AL599" s="314">
        <f t="shared" si="956"/>
        <v>2.6106383333333337E-2</v>
      </c>
      <c r="AM599" s="314">
        <f t="shared" si="956"/>
        <v>2.6429044444444449E-2</v>
      </c>
      <c r="AN599" s="314">
        <f t="shared" si="956"/>
        <v>2.6029811111111113E-2</v>
      </c>
      <c r="AO599" s="314">
        <f t="shared" si="956"/>
        <v>2.6482200000000004E-2</v>
      </c>
      <c r="AP599" s="314">
        <f t="shared" ref="AP599:BU599" si="957" xml:space="preserve"> ($F594 + $F595 + AP597) / $F596 * AP598</f>
        <v>2.607305E-2</v>
      </c>
      <c r="AQ599" s="314">
        <f t="shared" si="957"/>
        <v>2.653331111111111E-2</v>
      </c>
      <c r="AR599" s="314">
        <f t="shared" si="957"/>
        <v>2.6137405555555555E-2</v>
      </c>
      <c r="AS599" s="314">
        <f t="shared" si="957"/>
        <v>2.6598733333333336E-2</v>
      </c>
      <c r="AT599" s="314">
        <f t="shared" si="957"/>
        <v>2.6333883333333336E-2</v>
      </c>
      <c r="AU599" s="314">
        <f t="shared" si="957"/>
        <v>2.6653422222222219E-2</v>
      </c>
      <c r="AV599" s="314">
        <f t="shared" si="957"/>
        <v>2.6253044444444446E-2</v>
      </c>
      <c r="AW599" s="314">
        <f t="shared" si="957"/>
        <v>2.6721911111111111E-2</v>
      </c>
      <c r="AX599" s="314">
        <f t="shared" si="957"/>
        <v>2.6320919444444445E-2</v>
      </c>
      <c r="AY599" s="314">
        <f t="shared" si="957"/>
        <v>2.6786822222222222E-2</v>
      </c>
      <c r="AZ599" s="314">
        <f t="shared" si="957"/>
        <v>2.6368180555555561E-2</v>
      </c>
      <c r="BA599" s="314">
        <f t="shared" si="957"/>
        <v>2.6827711111111111E-2</v>
      </c>
      <c r="BB599" s="314">
        <f t="shared" si="957"/>
        <v>2.6559361111111113E-2</v>
      </c>
      <c r="BC599" s="314">
        <f t="shared" si="957"/>
        <v>2.6888022222222224E-2</v>
      </c>
      <c r="BD599" s="314">
        <f t="shared" si="957"/>
        <v>2.6469741666666668E-2</v>
      </c>
      <c r="BE599" s="314">
        <f t="shared" si="957"/>
        <v>2.6927377777777775E-2</v>
      </c>
      <c r="BF599" s="314">
        <f t="shared" si="957"/>
        <v>2.6513483333333334E-2</v>
      </c>
      <c r="BG599" s="314">
        <f t="shared" si="957"/>
        <v>2.6989733333333335E-2</v>
      </c>
      <c r="BH599" s="314">
        <f t="shared" si="957"/>
        <v>2.6572811111111108E-2</v>
      </c>
      <c r="BI599" s="314">
        <f t="shared" si="957"/>
        <v>2.7037266666666671E-2</v>
      </c>
      <c r="BJ599" s="314">
        <f t="shared" si="957"/>
        <v>2.6770683333333333E-2</v>
      </c>
      <c r="BK599" s="314">
        <f t="shared" si="957"/>
        <v>2.7103199999999994E-2</v>
      </c>
      <c r="BL599" s="314">
        <f t="shared" si="957"/>
        <v>2.6694483333333335E-2</v>
      </c>
      <c r="BM599" s="314">
        <f t="shared" si="957"/>
        <v>2.7163511111111111E-2</v>
      </c>
      <c r="BN599" s="314">
        <f t="shared" si="957"/>
        <v>2.6753811111111105E-2</v>
      </c>
      <c r="BO599" s="314">
        <f t="shared" si="957"/>
        <v>2.7218711111111109E-2</v>
      </c>
      <c r="BP599" s="314">
        <f t="shared" si="957"/>
        <v>2.6792524999999998E-2</v>
      </c>
      <c r="BQ599" s="314">
        <f t="shared" si="957"/>
        <v>2.7259599999999995E-2</v>
      </c>
      <c r="BR599" s="314">
        <f t="shared" si="957"/>
        <v>2.6983016666666668E-2</v>
      </c>
      <c r="BS599" s="314">
        <f t="shared" si="957"/>
        <v>2.7300488888888884E-2</v>
      </c>
      <c r="BT599" s="314">
        <f t="shared" si="957"/>
        <v>2.6885036111111107E-2</v>
      </c>
      <c r="BU599" s="314">
        <f t="shared" si="957"/>
        <v>2.7354666666666666E-2</v>
      </c>
      <c r="BV599" s="314">
        <f t="shared" ref="BV599:CV599" si="958" xml:space="preserve"> ($F594 + $F595 + BV597) / $F596 * BV598</f>
        <v>2.694536944444444E-2</v>
      </c>
      <c r="BW599" s="314">
        <f t="shared" si="958"/>
        <v>2.7426733333333328E-2</v>
      </c>
      <c r="BX599" s="314">
        <f t="shared" si="958"/>
        <v>2.7013747222222221E-2</v>
      </c>
      <c r="BY599" s="314">
        <f t="shared" si="958"/>
        <v>2.7490622222222223E-2</v>
      </c>
      <c r="BZ599" s="314">
        <f t="shared" si="958"/>
        <v>2.7220122222222219E-2</v>
      </c>
      <c r="CA599" s="314">
        <f t="shared" si="958"/>
        <v>2.7552977777777776E-2</v>
      </c>
      <c r="CB599" s="314">
        <f t="shared" si="958"/>
        <v>2.7130894444444442E-2</v>
      </c>
      <c r="CC599" s="314">
        <f t="shared" si="958"/>
        <v>2.7606133333333331E-2</v>
      </c>
      <c r="CD599" s="314">
        <f t="shared" si="958"/>
        <v>2.7185697222222218E-2</v>
      </c>
      <c r="CE599" s="314">
        <f t="shared" si="958"/>
        <v>2.7661333333333329E-2</v>
      </c>
      <c r="CF599" s="314">
        <f t="shared" si="958"/>
        <v>2.7233963888888883E-2</v>
      </c>
      <c r="CG599" s="314">
        <f t="shared" si="958"/>
        <v>2.7710399999999996E-2</v>
      </c>
      <c r="CH599" s="314">
        <f t="shared" si="958"/>
        <v>2.7433466666666659E-2</v>
      </c>
      <c r="CI599" s="314">
        <f t="shared" si="958"/>
        <v>2.7754355555555547E-2</v>
      </c>
      <c r="CJ599" s="314">
        <f t="shared" si="958"/>
        <v>2.7334016666666665E-2</v>
      </c>
      <c r="CK599" s="314">
        <f t="shared" si="958"/>
        <v>2.7809044444444441E-2</v>
      </c>
      <c r="CL599" s="314">
        <f t="shared" si="958"/>
        <v>2.7382786111111109E-2</v>
      </c>
      <c r="CM599" s="314">
        <f t="shared" si="958"/>
        <v>2.7871399999999998E-2</v>
      </c>
      <c r="CN599" s="314">
        <f t="shared" si="958"/>
        <v>2.7445130555555551E-2</v>
      </c>
      <c r="CO599" s="314">
        <f t="shared" si="958"/>
        <v>2.7918422222222218E-2</v>
      </c>
      <c r="CP599" s="314">
        <f t="shared" si="958"/>
        <v>2.7648327777777773E-2</v>
      </c>
      <c r="CQ599" s="314">
        <f t="shared" si="958"/>
        <v>2.7977711111111109E-2</v>
      </c>
      <c r="CR599" s="314">
        <f t="shared" si="958"/>
        <v>2.7547194444444437E-2</v>
      </c>
      <c r="CS599" s="314">
        <f t="shared" si="958"/>
        <v>2.8026777777777775E-2</v>
      </c>
      <c r="CT599" s="314">
        <f t="shared" si="958"/>
        <v>2.7588924999999997E-2</v>
      </c>
      <c r="CU599" s="314">
        <f t="shared" si="958"/>
        <v>2.8075844444444439E-2</v>
      </c>
      <c r="CV599" s="314">
        <f t="shared" si="958"/>
        <v>2.7644733333333327E-2</v>
      </c>
    </row>
    <row r="600" spans="1:100" ht="12.75" outlineLevel="2" x14ac:dyDescent="0.2">
      <c r="A600" s="79"/>
      <c r="B600" s="79"/>
      <c r="C600" s="561"/>
      <c r="D600" s="60"/>
      <c r="E600" s="721"/>
      <c r="F600" s="721"/>
      <c r="G600" s="721"/>
      <c r="H600" s="721"/>
      <c r="I600" s="721"/>
      <c r="J600" s="721"/>
      <c r="K600" s="721"/>
      <c r="L600" s="721"/>
      <c r="M600" s="721"/>
      <c r="N600" s="721"/>
      <c r="O600" s="721"/>
      <c r="P600" s="721"/>
      <c r="Q600" s="721"/>
      <c r="R600" s="721"/>
      <c r="S600" s="721"/>
      <c r="T600" s="721"/>
      <c r="U600" s="721"/>
      <c r="V600" s="721"/>
      <c r="W600" s="721"/>
      <c r="X600" s="721"/>
      <c r="Y600" s="721"/>
      <c r="Z600" s="721"/>
      <c r="AA600" s="721"/>
      <c r="AB600" s="721"/>
      <c r="AC600" s="721"/>
      <c r="AD600" s="721"/>
      <c r="AE600" s="721"/>
      <c r="AF600" s="721"/>
      <c r="AG600" s="721"/>
      <c r="AH600" s="721"/>
      <c r="AI600" s="721"/>
      <c r="AJ600" s="721"/>
      <c r="AK600" s="721"/>
      <c r="AL600" s="721"/>
      <c r="AM600" s="721"/>
      <c r="AN600" s="721"/>
      <c r="AO600" s="721"/>
      <c r="AP600" s="721"/>
      <c r="AQ600" s="721"/>
      <c r="AR600" s="721"/>
      <c r="AS600" s="721"/>
      <c r="AT600" s="721"/>
      <c r="AU600" s="721"/>
      <c r="AV600" s="721"/>
      <c r="AW600" s="721"/>
      <c r="AX600" s="721"/>
      <c r="AY600" s="721"/>
      <c r="AZ600" s="721"/>
      <c r="BA600" s="721"/>
      <c r="BB600" s="721"/>
      <c r="BC600" s="721"/>
      <c r="BD600" s="721"/>
      <c r="BE600" s="721"/>
      <c r="BF600" s="721"/>
      <c r="BG600" s="721"/>
      <c r="BH600" s="721"/>
      <c r="BI600" s="721"/>
      <c r="BJ600" s="721"/>
      <c r="BK600" s="721"/>
      <c r="BL600" s="721"/>
      <c r="BM600" s="721"/>
      <c r="BN600" s="721"/>
      <c r="BO600" s="721"/>
      <c r="BP600" s="721"/>
      <c r="BQ600" s="721"/>
      <c r="BR600" s="721"/>
      <c r="BS600" s="721"/>
      <c r="BT600" s="721"/>
      <c r="BU600" s="721"/>
      <c r="BV600" s="721"/>
      <c r="BW600" s="721"/>
      <c r="BX600" s="721"/>
      <c r="BY600" s="721"/>
      <c r="BZ600" s="721"/>
      <c r="CA600" s="721"/>
      <c r="CB600" s="721"/>
      <c r="CC600" s="721"/>
      <c r="CD600" s="721"/>
      <c r="CE600" s="721"/>
      <c r="CF600" s="721"/>
      <c r="CG600" s="721"/>
      <c r="CH600" s="721"/>
      <c r="CI600" s="721"/>
      <c r="CJ600" s="721"/>
      <c r="CK600" s="721"/>
      <c r="CL600" s="721"/>
      <c r="CM600" s="721"/>
      <c r="CN600" s="721"/>
      <c r="CO600" s="721"/>
      <c r="CP600" s="721"/>
      <c r="CQ600" s="721"/>
      <c r="CR600" s="721"/>
      <c r="CS600" s="721"/>
      <c r="CT600" s="721"/>
      <c r="CU600" s="721"/>
      <c r="CV600" s="721"/>
    </row>
    <row r="601" spans="1:100" ht="12.75" outlineLevel="2" x14ac:dyDescent="0.2">
      <c r="A601" s="79"/>
      <c r="B601" s="79"/>
      <c r="C601" s="561"/>
      <c r="D601" s="60"/>
      <c r="E601" s="32" t="str">
        <f t="shared" ref="E601:AJ601" si="959" xml:space="preserve"> E$608</f>
        <v>WCF balance BEG</v>
      </c>
      <c r="F601" s="32">
        <f t="shared" si="959"/>
        <v>0</v>
      </c>
      <c r="G601" s="32" t="str">
        <f t="shared" si="959"/>
        <v>$ 000s</v>
      </c>
      <c r="H601" s="32">
        <f t="shared" si="959"/>
        <v>0</v>
      </c>
      <c r="I601" s="32">
        <f t="shared" si="959"/>
        <v>0</v>
      </c>
      <c r="J601" s="32">
        <f t="shared" si="959"/>
        <v>0</v>
      </c>
      <c r="K601" s="32">
        <f t="shared" si="959"/>
        <v>0</v>
      </c>
      <c r="L601" s="32">
        <f t="shared" si="959"/>
        <v>0</v>
      </c>
      <c r="M601" s="32">
        <f t="shared" si="959"/>
        <v>0</v>
      </c>
      <c r="N601" s="32">
        <f t="shared" si="959"/>
        <v>0</v>
      </c>
      <c r="O601" s="32">
        <f t="shared" si="959"/>
        <v>0</v>
      </c>
      <c r="P601" s="32">
        <f t="shared" si="959"/>
        <v>0</v>
      </c>
      <c r="Q601" s="32">
        <f t="shared" si="959"/>
        <v>0</v>
      </c>
      <c r="R601" s="32">
        <f t="shared" si="959"/>
        <v>0</v>
      </c>
      <c r="S601" s="32">
        <f t="shared" si="959"/>
        <v>0</v>
      </c>
      <c r="T601" s="32">
        <f t="shared" si="959"/>
        <v>0</v>
      </c>
      <c r="U601" s="32">
        <f t="shared" si="959"/>
        <v>0</v>
      </c>
      <c r="V601" s="32">
        <f t="shared" si="959"/>
        <v>0</v>
      </c>
      <c r="W601" s="32">
        <f t="shared" si="959"/>
        <v>0</v>
      </c>
      <c r="X601" s="32">
        <f t="shared" si="959"/>
        <v>0</v>
      </c>
      <c r="Y601" s="32">
        <f t="shared" si="959"/>
        <v>0</v>
      </c>
      <c r="Z601" s="32">
        <f t="shared" si="959"/>
        <v>0</v>
      </c>
      <c r="AA601" s="32">
        <f t="shared" si="959"/>
        <v>0</v>
      </c>
      <c r="AB601" s="32">
        <f t="shared" si="959"/>
        <v>0</v>
      </c>
      <c r="AC601" s="32">
        <f t="shared" si="959"/>
        <v>0</v>
      </c>
      <c r="AD601" s="32">
        <f t="shared" si="959"/>
        <v>0</v>
      </c>
      <c r="AE601" s="32">
        <f t="shared" si="959"/>
        <v>0</v>
      </c>
      <c r="AF601" s="32">
        <f t="shared" si="959"/>
        <v>0</v>
      </c>
      <c r="AG601" s="32">
        <f t="shared" si="959"/>
        <v>0</v>
      </c>
      <c r="AH601" s="32">
        <f t="shared" si="959"/>
        <v>0</v>
      </c>
      <c r="AI601" s="32">
        <f t="shared" si="959"/>
        <v>0</v>
      </c>
      <c r="AJ601" s="32">
        <f t="shared" si="959"/>
        <v>0</v>
      </c>
      <c r="AK601" s="32">
        <f t="shared" ref="AK601:BP601" si="960" xml:space="preserve"> AK$608</f>
        <v>0</v>
      </c>
      <c r="AL601" s="32">
        <f t="shared" si="960"/>
        <v>0</v>
      </c>
      <c r="AM601" s="32">
        <f t="shared" si="960"/>
        <v>0</v>
      </c>
      <c r="AN601" s="32">
        <f t="shared" si="960"/>
        <v>0</v>
      </c>
      <c r="AO601" s="32">
        <f t="shared" si="960"/>
        <v>0</v>
      </c>
      <c r="AP601" s="32">
        <f t="shared" si="960"/>
        <v>0</v>
      </c>
      <c r="AQ601" s="32">
        <f t="shared" si="960"/>
        <v>0</v>
      </c>
      <c r="AR601" s="32">
        <f t="shared" si="960"/>
        <v>0</v>
      </c>
      <c r="AS601" s="32">
        <f t="shared" si="960"/>
        <v>0</v>
      </c>
      <c r="AT601" s="32">
        <f t="shared" si="960"/>
        <v>0</v>
      </c>
      <c r="AU601" s="32">
        <f t="shared" si="960"/>
        <v>0</v>
      </c>
      <c r="AV601" s="32">
        <f t="shared" si="960"/>
        <v>0</v>
      </c>
      <c r="AW601" s="32">
        <f t="shared" si="960"/>
        <v>0</v>
      </c>
      <c r="AX601" s="32">
        <f t="shared" si="960"/>
        <v>0</v>
      </c>
      <c r="AY601" s="32">
        <f t="shared" si="960"/>
        <v>0</v>
      </c>
      <c r="AZ601" s="32">
        <f t="shared" si="960"/>
        <v>0</v>
      </c>
      <c r="BA601" s="32">
        <f t="shared" si="960"/>
        <v>0</v>
      </c>
      <c r="BB601" s="32">
        <f t="shared" si="960"/>
        <v>0</v>
      </c>
      <c r="BC601" s="32">
        <f t="shared" si="960"/>
        <v>0</v>
      </c>
      <c r="BD601" s="32">
        <f t="shared" si="960"/>
        <v>0</v>
      </c>
      <c r="BE601" s="32">
        <f t="shared" si="960"/>
        <v>0</v>
      </c>
      <c r="BF601" s="32">
        <f t="shared" si="960"/>
        <v>0</v>
      </c>
      <c r="BG601" s="32">
        <f t="shared" si="960"/>
        <v>0</v>
      </c>
      <c r="BH601" s="32">
        <f t="shared" si="960"/>
        <v>0</v>
      </c>
      <c r="BI601" s="32">
        <f t="shared" si="960"/>
        <v>0</v>
      </c>
      <c r="BJ601" s="32">
        <f t="shared" si="960"/>
        <v>0</v>
      </c>
      <c r="BK601" s="32">
        <f t="shared" si="960"/>
        <v>0</v>
      </c>
      <c r="BL601" s="32">
        <f t="shared" si="960"/>
        <v>0</v>
      </c>
      <c r="BM601" s="32">
        <f t="shared" si="960"/>
        <v>0</v>
      </c>
      <c r="BN601" s="32">
        <f t="shared" si="960"/>
        <v>0</v>
      </c>
      <c r="BO601" s="32">
        <f t="shared" si="960"/>
        <v>0</v>
      </c>
      <c r="BP601" s="32">
        <f t="shared" si="960"/>
        <v>0</v>
      </c>
      <c r="BQ601" s="32">
        <f t="shared" ref="BQ601:CV601" si="961" xml:space="preserve"> BQ$608</f>
        <v>0</v>
      </c>
      <c r="BR601" s="32">
        <f t="shared" si="961"/>
        <v>0</v>
      </c>
      <c r="BS601" s="32">
        <f t="shared" si="961"/>
        <v>0</v>
      </c>
      <c r="BT601" s="32">
        <f t="shared" si="961"/>
        <v>0</v>
      </c>
      <c r="BU601" s="32">
        <f t="shared" si="961"/>
        <v>0</v>
      </c>
      <c r="BV601" s="32">
        <f t="shared" si="961"/>
        <v>0</v>
      </c>
      <c r="BW601" s="32">
        <f t="shared" si="961"/>
        <v>0</v>
      </c>
      <c r="BX601" s="32">
        <f t="shared" si="961"/>
        <v>0</v>
      </c>
      <c r="BY601" s="32">
        <f t="shared" si="961"/>
        <v>0</v>
      </c>
      <c r="BZ601" s="32">
        <f t="shared" si="961"/>
        <v>0</v>
      </c>
      <c r="CA601" s="32">
        <f t="shared" si="961"/>
        <v>0</v>
      </c>
      <c r="CB601" s="32">
        <f t="shared" si="961"/>
        <v>0</v>
      </c>
      <c r="CC601" s="32">
        <f t="shared" si="961"/>
        <v>0</v>
      </c>
      <c r="CD601" s="32">
        <f t="shared" si="961"/>
        <v>0</v>
      </c>
      <c r="CE601" s="32">
        <f t="shared" si="961"/>
        <v>0</v>
      </c>
      <c r="CF601" s="32">
        <f t="shared" si="961"/>
        <v>0</v>
      </c>
      <c r="CG601" s="32">
        <f t="shared" si="961"/>
        <v>0</v>
      </c>
      <c r="CH601" s="32">
        <f t="shared" si="961"/>
        <v>0</v>
      </c>
      <c r="CI601" s="32">
        <f t="shared" si="961"/>
        <v>0</v>
      </c>
      <c r="CJ601" s="32">
        <f t="shared" si="961"/>
        <v>0</v>
      </c>
      <c r="CK601" s="32">
        <f t="shared" si="961"/>
        <v>0</v>
      </c>
      <c r="CL601" s="32">
        <f t="shared" si="961"/>
        <v>0</v>
      </c>
      <c r="CM601" s="32">
        <f t="shared" si="961"/>
        <v>0</v>
      </c>
      <c r="CN601" s="32">
        <f t="shared" si="961"/>
        <v>0</v>
      </c>
      <c r="CO601" s="32">
        <f t="shared" si="961"/>
        <v>0</v>
      </c>
      <c r="CP601" s="32">
        <f t="shared" si="961"/>
        <v>0</v>
      </c>
      <c r="CQ601" s="32">
        <f t="shared" si="961"/>
        <v>0</v>
      </c>
      <c r="CR601" s="32">
        <f t="shared" si="961"/>
        <v>0</v>
      </c>
      <c r="CS601" s="32">
        <f t="shared" si="961"/>
        <v>0</v>
      </c>
      <c r="CT601" s="32">
        <f t="shared" si="961"/>
        <v>0</v>
      </c>
      <c r="CU601" s="32">
        <f t="shared" si="961"/>
        <v>0</v>
      </c>
      <c r="CV601" s="32">
        <f t="shared" si="961"/>
        <v>0</v>
      </c>
    </row>
    <row r="602" spans="1:100" ht="12.75" outlineLevel="2" x14ac:dyDescent="0.2">
      <c r="A602" s="79"/>
      <c r="B602" s="79"/>
      <c r="C602" s="561"/>
      <c r="D602" s="60"/>
      <c r="E602" s="589" t="str">
        <f t="shared" ref="E602:AJ602" si="962" xml:space="preserve"> E$599</f>
        <v>All-in interest rate</v>
      </c>
      <c r="F602" s="589">
        <f t="shared" si="962"/>
        <v>0</v>
      </c>
      <c r="G602" s="589" t="str">
        <f t="shared" si="962"/>
        <v>%</v>
      </c>
      <c r="H602" s="589">
        <f t="shared" si="962"/>
        <v>0</v>
      </c>
      <c r="I602" s="589">
        <f t="shared" si="962"/>
        <v>0</v>
      </c>
      <c r="J602" s="589">
        <f t="shared" si="962"/>
        <v>2.5170061111111107E-2</v>
      </c>
      <c r="K602" s="589">
        <f t="shared" si="962"/>
        <v>2.5618933333333337E-2</v>
      </c>
      <c r="L602" s="589">
        <f t="shared" si="962"/>
        <v>2.5231400000000001E-2</v>
      </c>
      <c r="M602" s="589">
        <f t="shared" si="962"/>
        <v>2.5678733333333335E-2</v>
      </c>
      <c r="N602" s="589">
        <f t="shared" si="962"/>
        <v>2.543348888888889E-2</v>
      </c>
      <c r="O602" s="589">
        <f t="shared" si="962"/>
        <v>2.5747222222222227E-2</v>
      </c>
      <c r="P602" s="589">
        <f t="shared" si="962"/>
        <v>2.535709444444445E-2</v>
      </c>
      <c r="Q602" s="589">
        <f t="shared" si="962"/>
        <v>2.5814177777777777E-2</v>
      </c>
      <c r="R602" s="589">
        <f t="shared" si="962"/>
        <v>2.5424969444444449E-2</v>
      </c>
      <c r="S602" s="589">
        <f t="shared" si="962"/>
        <v>2.5872444444444441E-2</v>
      </c>
      <c r="T602" s="589">
        <f t="shared" si="962"/>
        <v>2.5473738888888892E-2</v>
      </c>
      <c r="U602" s="589">
        <f t="shared" si="962"/>
        <v>2.5923044444444446E-2</v>
      </c>
      <c r="V602" s="589">
        <f t="shared" si="962"/>
        <v>2.5660483333333334E-2</v>
      </c>
      <c r="W602" s="589">
        <f t="shared" si="962"/>
        <v>2.5961888888888895E-2</v>
      </c>
      <c r="X602" s="589">
        <f t="shared" si="962"/>
        <v>2.5566250000000002E-2</v>
      </c>
      <c r="Y602" s="589">
        <f t="shared" si="962"/>
        <v>2.6009422222222224E-2</v>
      </c>
      <c r="Z602" s="589">
        <f t="shared" si="962"/>
        <v>2.5618538888888889E-2</v>
      </c>
      <c r="AA602" s="589">
        <f t="shared" si="962"/>
        <v>2.6078933333333332E-2</v>
      </c>
      <c r="AB602" s="589">
        <f t="shared" si="962"/>
        <v>2.5687419444444446E-2</v>
      </c>
      <c r="AC602" s="589">
        <f t="shared" si="962"/>
        <v>2.613515555555556E-2</v>
      </c>
      <c r="AD602" s="589">
        <f t="shared" si="962"/>
        <v>2.5886972222222224E-2</v>
      </c>
      <c r="AE602" s="589">
        <f t="shared" si="962"/>
        <v>2.6209266666666668E-2</v>
      </c>
      <c r="AF602" s="589">
        <f t="shared" si="962"/>
        <v>2.5800544444444448E-2</v>
      </c>
      <c r="AG602" s="589">
        <f t="shared" si="962"/>
        <v>2.6254244444444449E-2</v>
      </c>
      <c r="AH602" s="589">
        <f t="shared" si="962"/>
        <v>2.5853336111111118E-2</v>
      </c>
      <c r="AI602" s="589">
        <f t="shared" si="962"/>
        <v>2.630688888888889E-2</v>
      </c>
      <c r="AJ602" s="589">
        <f t="shared" si="962"/>
        <v>2.5901100000000003E-2</v>
      </c>
      <c r="AK602" s="589">
        <f t="shared" ref="AK602:BP602" si="963" xml:space="preserve"> AK$599</f>
        <v>2.6358000000000003E-2</v>
      </c>
      <c r="AL602" s="589">
        <f t="shared" si="963"/>
        <v>2.6106383333333337E-2</v>
      </c>
      <c r="AM602" s="589">
        <f t="shared" si="963"/>
        <v>2.6429044444444449E-2</v>
      </c>
      <c r="AN602" s="589">
        <f t="shared" si="963"/>
        <v>2.6029811111111113E-2</v>
      </c>
      <c r="AO602" s="589">
        <f t="shared" si="963"/>
        <v>2.6482200000000004E-2</v>
      </c>
      <c r="AP602" s="589">
        <f t="shared" si="963"/>
        <v>2.607305E-2</v>
      </c>
      <c r="AQ602" s="589">
        <f t="shared" si="963"/>
        <v>2.653331111111111E-2</v>
      </c>
      <c r="AR602" s="589">
        <f t="shared" si="963"/>
        <v>2.6137405555555555E-2</v>
      </c>
      <c r="AS602" s="589">
        <f t="shared" si="963"/>
        <v>2.6598733333333336E-2</v>
      </c>
      <c r="AT602" s="589">
        <f t="shared" si="963"/>
        <v>2.6333883333333336E-2</v>
      </c>
      <c r="AU602" s="589">
        <f t="shared" si="963"/>
        <v>2.6653422222222219E-2</v>
      </c>
      <c r="AV602" s="589">
        <f t="shared" si="963"/>
        <v>2.6253044444444446E-2</v>
      </c>
      <c r="AW602" s="589">
        <f t="shared" si="963"/>
        <v>2.6721911111111111E-2</v>
      </c>
      <c r="AX602" s="589">
        <f t="shared" si="963"/>
        <v>2.6320919444444445E-2</v>
      </c>
      <c r="AY602" s="589">
        <f t="shared" si="963"/>
        <v>2.6786822222222222E-2</v>
      </c>
      <c r="AZ602" s="589">
        <f t="shared" si="963"/>
        <v>2.6368180555555561E-2</v>
      </c>
      <c r="BA602" s="589">
        <f t="shared" si="963"/>
        <v>2.6827711111111111E-2</v>
      </c>
      <c r="BB602" s="589">
        <f t="shared" si="963"/>
        <v>2.6559361111111113E-2</v>
      </c>
      <c r="BC602" s="589">
        <f t="shared" si="963"/>
        <v>2.6888022222222224E-2</v>
      </c>
      <c r="BD602" s="589">
        <f t="shared" si="963"/>
        <v>2.6469741666666668E-2</v>
      </c>
      <c r="BE602" s="589">
        <f t="shared" si="963"/>
        <v>2.6927377777777775E-2</v>
      </c>
      <c r="BF602" s="589">
        <f t="shared" si="963"/>
        <v>2.6513483333333334E-2</v>
      </c>
      <c r="BG602" s="589">
        <f t="shared" si="963"/>
        <v>2.6989733333333335E-2</v>
      </c>
      <c r="BH602" s="589">
        <f t="shared" si="963"/>
        <v>2.6572811111111108E-2</v>
      </c>
      <c r="BI602" s="589">
        <f t="shared" si="963"/>
        <v>2.7037266666666671E-2</v>
      </c>
      <c r="BJ602" s="589">
        <f t="shared" si="963"/>
        <v>2.6770683333333333E-2</v>
      </c>
      <c r="BK602" s="589">
        <f t="shared" si="963"/>
        <v>2.7103199999999994E-2</v>
      </c>
      <c r="BL602" s="589">
        <f t="shared" si="963"/>
        <v>2.6694483333333335E-2</v>
      </c>
      <c r="BM602" s="589">
        <f t="shared" si="963"/>
        <v>2.7163511111111111E-2</v>
      </c>
      <c r="BN602" s="589">
        <f t="shared" si="963"/>
        <v>2.6753811111111105E-2</v>
      </c>
      <c r="BO602" s="589">
        <f t="shared" si="963"/>
        <v>2.7218711111111109E-2</v>
      </c>
      <c r="BP602" s="589">
        <f t="shared" si="963"/>
        <v>2.6792524999999998E-2</v>
      </c>
      <c r="BQ602" s="589">
        <f t="shared" ref="BQ602:CV602" si="964" xml:space="preserve"> BQ$599</f>
        <v>2.7259599999999995E-2</v>
      </c>
      <c r="BR602" s="589">
        <f t="shared" si="964"/>
        <v>2.6983016666666668E-2</v>
      </c>
      <c r="BS602" s="589">
        <f t="shared" si="964"/>
        <v>2.7300488888888884E-2</v>
      </c>
      <c r="BT602" s="589">
        <f t="shared" si="964"/>
        <v>2.6885036111111107E-2</v>
      </c>
      <c r="BU602" s="589">
        <f t="shared" si="964"/>
        <v>2.7354666666666666E-2</v>
      </c>
      <c r="BV602" s="589">
        <f t="shared" si="964"/>
        <v>2.694536944444444E-2</v>
      </c>
      <c r="BW602" s="589">
        <f t="shared" si="964"/>
        <v>2.7426733333333328E-2</v>
      </c>
      <c r="BX602" s="589">
        <f t="shared" si="964"/>
        <v>2.7013747222222221E-2</v>
      </c>
      <c r="BY602" s="589">
        <f t="shared" si="964"/>
        <v>2.7490622222222223E-2</v>
      </c>
      <c r="BZ602" s="589">
        <f t="shared" si="964"/>
        <v>2.7220122222222219E-2</v>
      </c>
      <c r="CA602" s="589">
        <f t="shared" si="964"/>
        <v>2.7552977777777776E-2</v>
      </c>
      <c r="CB602" s="589">
        <f t="shared" si="964"/>
        <v>2.7130894444444442E-2</v>
      </c>
      <c r="CC602" s="589">
        <f t="shared" si="964"/>
        <v>2.7606133333333331E-2</v>
      </c>
      <c r="CD602" s="589">
        <f t="shared" si="964"/>
        <v>2.7185697222222218E-2</v>
      </c>
      <c r="CE602" s="589">
        <f t="shared" si="964"/>
        <v>2.7661333333333329E-2</v>
      </c>
      <c r="CF602" s="589">
        <f t="shared" si="964"/>
        <v>2.7233963888888883E-2</v>
      </c>
      <c r="CG602" s="589">
        <f t="shared" si="964"/>
        <v>2.7710399999999996E-2</v>
      </c>
      <c r="CH602" s="589">
        <f t="shared" si="964"/>
        <v>2.7433466666666659E-2</v>
      </c>
      <c r="CI602" s="589">
        <f t="shared" si="964"/>
        <v>2.7754355555555547E-2</v>
      </c>
      <c r="CJ602" s="589">
        <f t="shared" si="964"/>
        <v>2.7334016666666665E-2</v>
      </c>
      <c r="CK602" s="589">
        <f t="shared" si="964"/>
        <v>2.7809044444444441E-2</v>
      </c>
      <c r="CL602" s="589">
        <f t="shared" si="964"/>
        <v>2.7382786111111109E-2</v>
      </c>
      <c r="CM602" s="589">
        <f t="shared" si="964"/>
        <v>2.7871399999999998E-2</v>
      </c>
      <c r="CN602" s="589">
        <f t="shared" si="964"/>
        <v>2.7445130555555551E-2</v>
      </c>
      <c r="CO602" s="589">
        <f t="shared" si="964"/>
        <v>2.7918422222222218E-2</v>
      </c>
      <c r="CP602" s="589">
        <f t="shared" si="964"/>
        <v>2.7648327777777773E-2</v>
      </c>
      <c r="CQ602" s="589">
        <f t="shared" si="964"/>
        <v>2.7977711111111109E-2</v>
      </c>
      <c r="CR602" s="589">
        <f t="shared" si="964"/>
        <v>2.7547194444444437E-2</v>
      </c>
      <c r="CS602" s="589">
        <f t="shared" si="964"/>
        <v>2.8026777777777775E-2</v>
      </c>
      <c r="CT602" s="589">
        <f t="shared" si="964"/>
        <v>2.7588924999999997E-2</v>
      </c>
      <c r="CU602" s="589">
        <f t="shared" si="964"/>
        <v>2.8075844444444439E-2</v>
      </c>
      <c r="CV602" s="589">
        <f t="shared" si="964"/>
        <v>2.7644733333333327E-2</v>
      </c>
    </row>
    <row r="603" spans="1:100" ht="12.75" outlineLevel="2" x14ac:dyDescent="0.2">
      <c r="A603" s="79"/>
      <c r="B603" s="79"/>
      <c r="C603" s="561"/>
      <c r="D603" s="60"/>
      <c r="E603" s="125" t="str">
        <f xml:space="preserve"> Time!E$106</f>
        <v>Operating period flag</v>
      </c>
      <c r="F603" s="125">
        <f xml:space="preserve"> Time!F$106</f>
        <v>0</v>
      </c>
      <c r="G603" s="125" t="str">
        <f xml:space="preserve"> Time!G$106</f>
        <v>flag</v>
      </c>
      <c r="H603" s="125">
        <f xml:space="preserve"> Time!H$106</f>
        <v>40</v>
      </c>
      <c r="I603" s="125">
        <f xml:space="preserve"> Time!I$106</f>
        <v>0</v>
      </c>
      <c r="J603" s="125">
        <f xml:space="preserve"> Time!J$106</f>
        <v>0</v>
      </c>
      <c r="K603" s="125">
        <f xml:space="preserve"> Time!K$106</f>
        <v>0</v>
      </c>
      <c r="L603" s="125">
        <f xml:space="preserve"> Time!L$106</f>
        <v>0</v>
      </c>
      <c r="M603" s="125">
        <f xml:space="preserve"> Time!M$106</f>
        <v>0</v>
      </c>
      <c r="N603" s="125">
        <f xml:space="preserve"> Time!N$106</f>
        <v>0</v>
      </c>
      <c r="O603" s="125">
        <f xml:space="preserve"> Time!O$106</f>
        <v>1</v>
      </c>
      <c r="P603" s="125">
        <f xml:space="preserve"> Time!P$106</f>
        <v>1</v>
      </c>
      <c r="Q603" s="125">
        <f xml:space="preserve"> Time!Q$106</f>
        <v>1</v>
      </c>
      <c r="R603" s="125">
        <f xml:space="preserve"> Time!R$106</f>
        <v>1</v>
      </c>
      <c r="S603" s="125">
        <f xml:space="preserve"> Time!S$106</f>
        <v>1</v>
      </c>
      <c r="T603" s="125">
        <f xml:space="preserve"> Time!T$106</f>
        <v>1</v>
      </c>
      <c r="U603" s="125">
        <f xml:space="preserve"> Time!U$106</f>
        <v>1</v>
      </c>
      <c r="V603" s="125">
        <f xml:space="preserve"> Time!V$106</f>
        <v>1</v>
      </c>
      <c r="W603" s="125">
        <f xml:space="preserve"> Time!W$106</f>
        <v>1</v>
      </c>
      <c r="X603" s="125">
        <f xml:space="preserve"> Time!X$106</f>
        <v>1</v>
      </c>
      <c r="Y603" s="125">
        <f xml:space="preserve"> Time!Y$106</f>
        <v>1</v>
      </c>
      <c r="Z603" s="125">
        <f xml:space="preserve"> Time!Z$106</f>
        <v>1</v>
      </c>
      <c r="AA603" s="125">
        <f xml:space="preserve"> Time!AA$106</f>
        <v>1</v>
      </c>
      <c r="AB603" s="125">
        <f xml:space="preserve"> Time!AB$106</f>
        <v>1</v>
      </c>
      <c r="AC603" s="125">
        <f xml:space="preserve"> Time!AC$106</f>
        <v>1</v>
      </c>
      <c r="AD603" s="125">
        <f xml:space="preserve"> Time!AD$106</f>
        <v>1</v>
      </c>
      <c r="AE603" s="125">
        <f xml:space="preserve"> Time!AE$106</f>
        <v>1</v>
      </c>
      <c r="AF603" s="125">
        <f xml:space="preserve"> Time!AF$106</f>
        <v>1</v>
      </c>
      <c r="AG603" s="125">
        <f xml:space="preserve"> Time!AG$106</f>
        <v>1</v>
      </c>
      <c r="AH603" s="125">
        <f xml:space="preserve"> Time!AH$106</f>
        <v>1</v>
      </c>
      <c r="AI603" s="125">
        <f xml:space="preserve"> Time!AI$106</f>
        <v>1</v>
      </c>
      <c r="AJ603" s="125">
        <f xml:space="preserve"> Time!AJ$106</f>
        <v>1</v>
      </c>
      <c r="AK603" s="125">
        <f xml:space="preserve"> Time!AK$106</f>
        <v>1</v>
      </c>
      <c r="AL603" s="125">
        <f xml:space="preserve"> Time!AL$106</f>
        <v>1</v>
      </c>
      <c r="AM603" s="125">
        <f xml:space="preserve"> Time!AM$106</f>
        <v>1</v>
      </c>
      <c r="AN603" s="125">
        <f xml:space="preserve"> Time!AN$106</f>
        <v>1</v>
      </c>
      <c r="AO603" s="125">
        <f xml:space="preserve"> Time!AO$106</f>
        <v>1</v>
      </c>
      <c r="AP603" s="125">
        <f xml:space="preserve"> Time!AP$106</f>
        <v>1</v>
      </c>
      <c r="AQ603" s="125">
        <f xml:space="preserve"> Time!AQ$106</f>
        <v>1</v>
      </c>
      <c r="AR603" s="125">
        <f xml:space="preserve"> Time!AR$106</f>
        <v>1</v>
      </c>
      <c r="AS603" s="125">
        <f xml:space="preserve"> Time!AS$106</f>
        <v>1</v>
      </c>
      <c r="AT603" s="125">
        <f xml:space="preserve"> Time!AT$106</f>
        <v>1</v>
      </c>
      <c r="AU603" s="125">
        <f xml:space="preserve"> Time!AU$106</f>
        <v>1</v>
      </c>
      <c r="AV603" s="125">
        <f xml:space="preserve"> Time!AV$106</f>
        <v>1</v>
      </c>
      <c r="AW603" s="125">
        <f xml:space="preserve"> Time!AW$106</f>
        <v>1</v>
      </c>
      <c r="AX603" s="125">
        <f xml:space="preserve"> Time!AX$106</f>
        <v>1</v>
      </c>
      <c r="AY603" s="125">
        <f xml:space="preserve"> Time!AY$106</f>
        <v>1</v>
      </c>
      <c r="AZ603" s="125">
        <f xml:space="preserve"> Time!AZ$106</f>
        <v>1</v>
      </c>
      <c r="BA603" s="125">
        <f xml:space="preserve"> Time!BA$106</f>
        <v>1</v>
      </c>
      <c r="BB603" s="125">
        <f xml:space="preserve"> Time!BB$106</f>
        <v>1</v>
      </c>
      <c r="BC603" s="125">
        <f xml:space="preserve"> Time!BC$106</f>
        <v>0</v>
      </c>
      <c r="BD603" s="125">
        <f xml:space="preserve"> Time!BD$106</f>
        <v>0</v>
      </c>
      <c r="BE603" s="125">
        <f xml:space="preserve"> Time!BE$106</f>
        <v>0</v>
      </c>
      <c r="BF603" s="125">
        <f xml:space="preserve"> Time!BF$106</f>
        <v>0</v>
      </c>
      <c r="BG603" s="125">
        <f xml:space="preserve"> Time!BG$106</f>
        <v>0</v>
      </c>
      <c r="BH603" s="125">
        <f xml:space="preserve"> Time!BH$106</f>
        <v>0</v>
      </c>
      <c r="BI603" s="125">
        <f xml:space="preserve"> Time!BI$106</f>
        <v>0</v>
      </c>
      <c r="BJ603" s="125">
        <f xml:space="preserve"> Time!BJ$106</f>
        <v>0</v>
      </c>
      <c r="BK603" s="125">
        <f xml:space="preserve"> Time!BK$106</f>
        <v>0</v>
      </c>
      <c r="BL603" s="125">
        <f xml:space="preserve"> Time!BL$106</f>
        <v>0</v>
      </c>
      <c r="BM603" s="125">
        <f xml:space="preserve"> Time!BM$106</f>
        <v>0</v>
      </c>
      <c r="BN603" s="125">
        <f xml:space="preserve"> Time!BN$106</f>
        <v>0</v>
      </c>
      <c r="BO603" s="125">
        <f xml:space="preserve"> Time!BO$106</f>
        <v>0</v>
      </c>
      <c r="BP603" s="125">
        <f xml:space="preserve"> Time!BP$106</f>
        <v>0</v>
      </c>
      <c r="BQ603" s="125">
        <f xml:space="preserve"> Time!BQ$106</f>
        <v>0</v>
      </c>
      <c r="BR603" s="125">
        <f xml:space="preserve"> Time!BR$106</f>
        <v>0</v>
      </c>
      <c r="BS603" s="125">
        <f xml:space="preserve"> Time!BS$106</f>
        <v>0</v>
      </c>
      <c r="BT603" s="125">
        <f xml:space="preserve"> Time!BT$106</f>
        <v>0</v>
      </c>
      <c r="BU603" s="125">
        <f xml:space="preserve"> Time!BU$106</f>
        <v>0</v>
      </c>
      <c r="BV603" s="125">
        <f xml:space="preserve"> Time!BV$106</f>
        <v>0</v>
      </c>
      <c r="BW603" s="125">
        <f xml:space="preserve"> Time!BW$106</f>
        <v>0</v>
      </c>
      <c r="BX603" s="125">
        <f xml:space="preserve"> Time!BX$106</f>
        <v>0</v>
      </c>
      <c r="BY603" s="125">
        <f xml:space="preserve"> Time!BY$106</f>
        <v>0</v>
      </c>
      <c r="BZ603" s="125">
        <f xml:space="preserve"> Time!BZ$106</f>
        <v>0</v>
      </c>
      <c r="CA603" s="125">
        <f xml:space="preserve"> Time!CA$106</f>
        <v>0</v>
      </c>
      <c r="CB603" s="125">
        <f xml:space="preserve"> Time!CB$106</f>
        <v>0</v>
      </c>
      <c r="CC603" s="125">
        <f xml:space="preserve"> Time!CC$106</f>
        <v>0</v>
      </c>
      <c r="CD603" s="125">
        <f xml:space="preserve"> Time!CD$106</f>
        <v>0</v>
      </c>
      <c r="CE603" s="125">
        <f xml:space="preserve"> Time!CE$106</f>
        <v>0</v>
      </c>
      <c r="CF603" s="125">
        <f xml:space="preserve"> Time!CF$106</f>
        <v>0</v>
      </c>
      <c r="CG603" s="125">
        <f xml:space="preserve"> Time!CG$106</f>
        <v>0</v>
      </c>
      <c r="CH603" s="125">
        <f xml:space="preserve"> Time!CH$106</f>
        <v>0</v>
      </c>
      <c r="CI603" s="125">
        <f xml:space="preserve"> Time!CI$106</f>
        <v>0</v>
      </c>
      <c r="CJ603" s="125">
        <f xml:space="preserve"> Time!CJ$106</f>
        <v>0</v>
      </c>
      <c r="CK603" s="125">
        <f xml:space="preserve"> Time!CK$106</f>
        <v>0</v>
      </c>
      <c r="CL603" s="125">
        <f xml:space="preserve"> Time!CL$106</f>
        <v>0</v>
      </c>
      <c r="CM603" s="125">
        <f xml:space="preserve"> Time!CM$106</f>
        <v>0</v>
      </c>
      <c r="CN603" s="125">
        <f xml:space="preserve"> Time!CN$106</f>
        <v>0</v>
      </c>
      <c r="CO603" s="125">
        <f xml:space="preserve"> Time!CO$106</f>
        <v>0</v>
      </c>
      <c r="CP603" s="125">
        <f xml:space="preserve"> Time!CP$106</f>
        <v>0</v>
      </c>
      <c r="CQ603" s="125">
        <f xml:space="preserve"> Time!CQ$106</f>
        <v>0</v>
      </c>
      <c r="CR603" s="125">
        <f xml:space="preserve"> Time!CR$106</f>
        <v>0</v>
      </c>
      <c r="CS603" s="125">
        <f xml:space="preserve"> Time!CS$106</f>
        <v>0</v>
      </c>
      <c r="CT603" s="125">
        <f xml:space="preserve"> Time!CT$106</f>
        <v>0</v>
      </c>
      <c r="CU603" s="125">
        <f xml:space="preserve"> Time!CU$106</f>
        <v>0</v>
      </c>
      <c r="CV603" s="125">
        <f xml:space="preserve"> Time!CV$106</f>
        <v>0</v>
      </c>
    </row>
    <row r="604" spans="1:100" s="188" customFormat="1" ht="12.75" outlineLevel="2" x14ac:dyDescent="0.2">
      <c r="A604" s="397"/>
      <c r="B604" s="397"/>
      <c r="C604" s="566"/>
      <c r="D604" s="567"/>
      <c r="E604" s="188" t="s">
        <v>483</v>
      </c>
      <c r="G604" s="188" t="str">
        <f xml:space="preserve"> SMU</f>
        <v>$ 000s</v>
      </c>
      <c r="H604" s="188">
        <f xml:space="preserve"> SUM(J604:CV604)</f>
        <v>0</v>
      </c>
      <c r="J604" s="188">
        <f t="shared" ref="J604:AO604" si="965" xml:space="preserve"> J601 * J602 * J603</f>
        <v>0</v>
      </c>
      <c r="K604" s="188">
        <f t="shared" si="965"/>
        <v>0</v>
      </c>
      <c r="L604" s="188">
        <f t="shared" si="965"/>
        <v>0</v>
      </c>
      <c r="M604" s="188">
        <f t="shared" si="965"/>
        <v>0</v>
      </c>
      <c r="N604" s="188">
        <f t="shared" si="965"/>
        <v>0</v>
      </c>
      <c r="O604" s="188">
        <f t="shared" si="965"/>
        <v>0</v>
      </c>
      <c r="P604" s="188">
        <f t="shared" si="965"/>
        <v>0</v>
      </c>
      <c r="Q604" s="188">
        <f t="shared" si="965"/>
        <v>0</v>
      </c>
      <c r="R604" s="188">
        <f t="shared" si="965"/>
        <v>0</v>
      </c>
      <c r="S604" s="188">
        <f t="shared" si="965"/>
        <v>0</v>
      </c>
      <c r="T604" s="188">
        <f t="shared" si="965"/>
        <v>0</v>
      </c>
      <c r="U604" s="188">
        <f t="shared" si="965"/>
        <v>0</v>
      </c>
      <c r="V604" s="188">
        <f t="shared" si="965"/>
        <v>0</v>
      </c>
      <c r="W604" s="188">
        <f t="shared" si="965"/>
        <v>0</v>
      </c>
      <c r="X604" s="188">
        <f t="shared" si="965"/>
        <v>0</v>
      </c>
      <c r="Y604" s="188">
        <f t="shared" si="965"/>
        <v>0</v>
      </c>
      <c r="Z604" s="188">
        <f t="shared" si="965"/>
        <v>0</v>
      </c>
      <c r="AA604" s="188">
        <f t="shared" si="965"/>
        <v>0</v>
      </c>
      <c r="AB604" s="188">
        <f t="shared" si="965"/>
        <v>0</v>
      </c>
      <c r="AC604" s="188">
        <f t="shared" si="965"/>
        <v>0</v>
      </c>
      <c r="AD604" s="188">
        <f t="shared" si="965"/>
        <v>0</v>
      </c>
      <c r="AE604" s="188">
        <f t="shared" si="965"/>
        <v>0</v>
      </c>
      <c r="AF604" s="188">
        <f t="shared" si="965"/>
        <v>0</v>
      </c>
      <c r="AG604" s="188">
        <f t="shared" si="965"/>
        <v>0</v>
      </c>
      <c r="AH604" s="188">
        <f t="shared" si="965"/>
        <v>0</v>
      </c>
      <c r="AI604" s="188">
        <f t="shared" si="965"/>
        <v>0</v>
      </c>
      <c r="AJ604" s="188">
        <f t="shared" si="965"/>
        <v>0</v>
      </c>
      <c r="AK604" s="188">
        <f t="shared" si="965"/>
        <v>0</v>
      </c>
      <c r="AL604" s="188">
        <f t="shared" si="965"/>
        <v>0</v>
      </c>
      <c r="AM604" s="188">
        <f t="shared" si="965"/>
        <v>0</v>
      </c>
      <c r="AN604" s="188">
        <f t="shared" si="965"/>
        <v>0</v>
      </c>
      <c r="AO604" s="188">
        <f t="shared" si="965"/>
        <v>0</v>
      </c>
      <c r="AP604" s="188">
        <f t="shared" ref="AP604:BU604" si="966" xml:space="preserve"> AP601 * AP602 * AP603</f>
        <v>0</v>
      </c>
      <c r="AQ604" s="188">
        <f t="shared" si="966"/>
        <v>0</v>
      </c>
      <c r="AR604" s="188">
        <f t="shared" si="966"/>
        <v>0</v>
      </c>
      <c r="AS604" s="188">
        <f t="shared" si="966"/>
        <v>0</v>
      </c>
      <c r="AT604" s="188">
        <f t="shared" si="966"/>
        <v>0</v>
      </c>
      <c r="AU604" s="188">
        <f t="shared" si="966"/>
        <v>0</v>
      </c>
      <c r="AV604" s="188">
        <f t="shared" si="966"/>
        <v>0</v>
      </c>
      <c r="AW604" s="188">
        <f t="shared" si="966"/>
        <v>0</v>
      </c>
      <c r="AX604" s="188">
        <f t="shared" si="966"/>
        <v>0</v>
      </c>
      <c r="AY604" s="188">
        <f t="shared" si="966"/>
        <v>0</v>
      </c>
      <c r="AZ604" s="188">
        <f t="shared" si="966"/>
        <v>0</v>
      </c>
      <c r="BA604" s="188">
        <f t="shared" si="966"/>
        <v>0</v>
      </c>
      <c r="BB604" s="188">
        <f t="shared" si="966"/>
        <v>0</v>
      </c>
      <c r="BC604" s="188">
        <f t="shared" si="966"/>
        <v>0</v>
      </c>
      <c r="BD604" s="188">
        <f t="shared" si="966"/>
        <v>0</v>
      </c>
      <c r="BE604" s="188">
        <f t="shared" si="966"/>
        <v>0</v>
      </c>
      <c r="BF604" s="188">
        <f t="shared" si="966"/>
        <v>0</v>
      </c>
      <c r="BG604" s="188">
        <f t="shared" si="966"/>
        <v>0</v>
      </c>
      <c r="BH604" s="188">
        <f t="shared" si="966"/>
        <v>0</v>
      </c>
      <c r="BI604" s="188">
        <f t="shared" si="966"/>
        <v>0</v>
      </c>
      <c r="BJ604" s="188">
        <f t="shared" si="966"/>
        <v>0</v>
      </c>
      <c r="BK604" s="188">
        <f t="shared" si="966"/>
        <v>0</v>
      </c>
      <c r="BL604" s="188">
        <f t="shared" si="966"/>
        <v>0</v>
      </c>
      <c r="BM604" s="188">
        <f t="shared" si="966"/>
        <v>0</v>
      </c>
      <c r="BN604" s="188">
        <f t="shared" si="966"/>
        <v>0</v>
      </c>
      <c r="BO604" s="188">
        <f t="shared" si="966"/>
        <v>0</v>
      </c>
      <c r="BP604" s="188">
        <f t="shared" si="966"/>
        <v>0</v>
      </c>
      <c r="BQ604" s="188">
        <f t="shared" si="966"/>
        <v>0</v>
      </c>
      <c r="BR604" s="188">
        <f t="shared" si="966"/>
        <v>0</v>
      </c>
      <c r="BS604" s="188">
        <f t="shared" si="966"/>
        <v>0</v>
      </c>
      <c r="BT604" s="188">
        <f t="shared" si="966"/>
        <v>0</v>
      </c>
      <c r="BU604" s="188">
        <f t="shared" si="966"/>
        <v>0</v>
      </c>
      <c r="BV604" s="188">
        <f t="shared" ref="BV604:CV604" si="967" xml:space="preserve"> BV601 * BV602 * BV603</f>
        <v>0</v>
      </c>
      <c r="BW604" s="188">
        <f t="shared" si="967"/>
        <v>0</v>
      </c>
      <c r="BX604" s="188">
        <f t="shared" si="967"/>
        <v>0</v>
      </c>
      <c r="BY604" s="188">
        <f t="shared" si="967"/>
        <v>0</v>
      </c>
      <c r="BZ604" s="188">
        <f t="shared" si="967"/>
        <v>0</v>
      </c>
      <c r="CA604" s="188">
        <f t="shared" si="967"/>
        <v>0</v>
      </c>
      <c r="CB604" s="188">
        <f t="shared" si="967"/>
        <v>0</v>
      </c>
      <c r="CC604" s="188">
        <f t="shared" si="967"/>
        <v>0</v>
      </c>
      <c r="CD604" s="188">
        <f t="shared" si="967"/>
        <v>0</v>
      </c>
      <c r="CE604" s="188">
        <f t="shared" si="967"/>
        <v>0</v>
      </c>
      <c r="CF604" s="188">
        <f t="shared" si="967"/>
        <v>0</v>
      </c>
      <c r="CG604" s="188">
        <f t="shared" si="967"/>
        <v>0</v>
      </c>
      <c r="CH604" s="188">
        <f t="shared" si="967"/>
        <v>0</v>
      </c>
      <c r="CI604" s="188">
        <f t="shared" si="967"/>
        <v>0</v>
      </c>
      <c r="CJ604" s="188">
        <f t="shared" si="967"/>
        <v>0</v>
      </c>
      <c r="CK604" s="188">
        <f t="shared" si="967"/>
        <v>0</v>
      </c>
      <c r="CL604" s="188">
        <f t="shared" si="967"/>
        <v>0</v>
      </c>
      <c r="CM604" s="188">
        <f t="shared" si="967"/>
        <v>0</v>
      </c>
      <c r="CN604" s="188">
        <f t="shared" si="967"/>
        <v>0</v>
      </c>
      <c r="CO604" s="188">
        <f t="shared" si="967"/>
        <v>0</v>
      </c>
      <c r="CP604" s="188">
        <f t="shared" si="967"/>
        <v>0</v>
      </c>
      <c r="CQ604" s="188">
        <f t="shared" si="967"/>
        <v>0</v>
      </c>
      <c r="CR604" s="188">
        <f t="shared" si="967"/>
        <v>0</v>
      </c>
      <c r="CS604" s="188">
        <f t="shared" si="967"/>
        <v>0</v>
      </c>
      <c r="CT604" s="188">
        <f t="shared" si="967"/>
        <v>0</v>
      </c>
      <c r="CU604" s="188">
        <f t="shared" si="967"/>
        <v>0</v>
      </c>
      <c r="CV604" s="188">
        <f t="shared" si="967"/>
        <v>0</v>
      </c>
    </row>
    <row r="605" spans="1:100" s="188" customFormat="1" ht="12.75" outlineLevel="2" x14ac:dyDescent="0.2">
      <c r="A605" s="397"/>
      <c r="B605" s="397"/>
      <c r="C605" s="566"/>
      <c r="D605" s="484" t="s">
        <v>366</v>
      </c>
      <c r="E605" s="188" t="str">
        <f xml:space="preserve"> LEFT(E604, LEN(E604) - 4)</f>
        <v>WCF interest accrued and paid</v>
      </c>
      <c r="G605" s="188" t="str">
        <f xml:space="preserve"> SMU</f>
        <v>$ 000s</v>
      </c>
      <c r="H605" s="188">
        <f xml:space="preserve"> SUM(J605:CV605)</f>
        <v>0</v>
      </c>
      <c r="J605" s="188">
        <f t="shared" ref="J605:AO605" si="968" xml:space="preserve"> -1 * J604</f>
        <v>0</v>
      </c>
      <c r="K605" s="188">
        <f t="shared" si="968"/>
        <v>0</v>
      </c>
      <c r="L605" s="188">
        <f t="shared" si="968"/>
        <v>0</v>
      </c>
      <c r="M605" s="188">
        <f t="shared" si="968"/>
        <v>0</v>
      </c>
      <c r="N605" s="188">
        <f t="shared" si="968"/>
        <v>0</v>
      </c>
      <c r="O605" s="188">
        <f t="shared" si="968"/>
        <v>0</v>
      </c>
      <c r="P605" s="188">
        <f t="shared" si="968"/>
        <v>0</v>
      </c>
      <c r="Q605" s="188">
        <f t="shared" si="968"/>
        <v>0</v>
      </c>
      <c r="R605" s="188">
        <f t="shared" si="968"/>
        <v>0</v>
      </c>
      <c r="S605" s="188">
        <f t="shared" si="968"/>
        <v>0</v>
      </c>
      <c r="T605" s="188">
        <f t="shared" si="968"/>
        <v>0</v>
      </c>
      <c r="U605" s="188">
        <f t="shared" si="968"/>
        <v>0</v>
      </c>
      <c r="V605" s="188">
        <f t="shared" si="968"/>
        <v>0</v>
      </c>
      <c r="W605" s="188">
        <f t="shared" si="968"/>
        <v>0</v>
      </c>
      <c r="X605" s="188">
        <f t="shared" si="968"/>
        <v>0</v>
      </c>
      <c r="Y605" s="188">
        <f t="shared" si="968"/>
        <v>0</v>
      </c>
      <c r="Z605" s="188">
        <f t="shared" si="968"/>
        <v>0</v>
      </c>
      <c r="AA605" s="188">
        <f t="shared" si="968"/>
        <v>0</v>
      </c>
      <c r="AB605" s="188">
        <f t="shared" si="968"/>
        <v>0</v>
      </c>
      <c r="AC605" s="188">
        <f t="shared" si="968"/>
        <v>0</v>
      </c>
      <c r="AD605" s="188">
        <f t="shared" si="968"/>
        <v>0</v>
      </c>
      <c r="AE605" s="188">
        <f t="shared" si="968"/>
        <v>0</v>
      </c>
      <c r="AF605" s="188">
        <f t="shared" si="968"/>
        <v>0</v>
      </c>
      <c r="AG605" s="188">
        <f t="shared" si="968"/>
        <v>0</v>
      </c>
      <c r="AH605" s="188">
        <f t="shared" si="968"/>
        <v>0</v>
      </c>
      <c r="AI605" s="188">
        <f t="shared" si="968"/>
        <v>0</v>
      </c>
      <c r="AJ605" s="188">
        <f t="shared" si="968"/>
        <v>0</v>
      </c>
      <c r="AK605" s="188">
        <f t="shared" si="968"/>
        <v>0</v>
      </c>
      <c r="AL605" s="188">
        <f t="shared" si="968"/>
        <v>0</v>
      </c>
      <c r="AM605" s="188">
        <f t="shared" si="968"/>
        <v>0</v>
      </c>
      <c r="AN605" s="188">
        <f t="shared" si="968"/>
        <v>0</v>
      </c>
      <c r="AO605" s="188">
        <f t="shared" si="968"/>
        <v>0</v>
      </c>
      <c r="AP605" s="188">
        <f t="shared" ref="AP605:BU605" si="969" xml:space="preserve"> -1 * AP604</f>
        <v>0</v>
      </c>
      <c r="AQ605" s="188">
        <f t="shared" si="969"/>
        <v>0</v>
      </c>
      <c r="AR605" s="188">
        <f t="shared" si="969"/>
        <v>0</v>
      </c>
      <c r="AS605" s="188">
        <f t="shared" si="969"/>
        <v>0</v>
      </c>
      <c r="AT605" s="188">
        <f t="shared" si="969"/>
        <v>0</v>
      </c>
      <c r="AU605" s="188">
        <f t="shared" si="969"/>
        <v>0</v>
      </c>
      <c r="AV605" s="188">
        <f t="shared" si="969"/>
        <v>0</v>
      </c>
      <c r="AW605" s="188">
        <f t="shared" si="969"/>
        <v>0</v>
      </c>
      <c r="AX605" s="188">
        <f t="shared" si="969"/>
        <v>0</v>
      </c>
      <c r="AY605" s="188">
        <f t="shared" si="969"/>
        <v>0</v>
      </c>
      <c r="AZ605" s="188">
        <f t="shared" si="969"/>
        <v>0</v>
      </c>
      <c r="BA605" s="188">
        <f t="shared" si="969"/>
        <v>0</v>
      </c>
      <c r="BB605" s="188">
        <f t="shared" si="969"/>
        <v>0</v>
      </c>
      <c r="BC605" s="188">
        <f t="shared" si="969"/>
        <v>0</v>
      </c>
      <c r="BD605" s="188">
        <f t="shared" si="969"/>
        <v>0</v>
      </c>
      <c r="BE605" s="188">
        <f t="shared" si="969"/>
        <v>0</v>
      </c>
      <c r="BF605" s="188">
        <f t="shared" si="969"/>
        <v>0</v>
      </c>
      <c r="BG605" s="188">
        <f t="shared" si="969"/>
        <v>0</v>
      </c>
      <c r="BH605" s="188">
        <f t="shared" si="969"/>
        <v>0</v>
      </c>
      <c r="BI605" s="188">
        <f t="shared" si="969"/>
        <v>0</v>
      </c>
      <c r="BJ605" s="188">
        <f t="shared" si="969"/>
        <v>0</v>
      </c>
      <c r="BK605" s="188">
        <f t="shared" si="969"/>
        <v>0</v>
      </c>
      <c r="BL605" s="188">
        <f t="shared" si="969"/>
        <v>0</v>
      </c>
      <c r="BM605" s="188">
        <f t="shared" si="969"/>
        <v>0</v>
      </c>
      <c r="BN605" s="188">
        <f t="shared" si="969"/>
        <v>0</v>
      </c>
      <c r="BO605" s="188">
        <f t="shared" si="969"/>
        <v>0</v>
      </c>
      <c r="BP605" s="188">
        <f t="shared" si="969"/>
        <v>0</v>
      </c>
      <c r="BQ605" s="188">
        <f t="shared" si="969"/>
        <v>0</v>
      </c>
      <c r="BR605" s="188">
        <f t="shared" si="969"/>
        <v>0</v>
      </c>
      <c r="BS605" s="188">
        <f t="shared" si="969"/>
        <v>0</v>
      </c>
      <c r="BT605" s="188">
        <f t="shared" si="969"/>
        <v>0</v>
      </c>
      <c r="BU605" s="188">
        <f t="shared" si="969"/>
        <v>0</v>
      </c>
      <c r="BV605" s="188">
        <f t="shared" ref="BV605:CV605" si="970" xml:space="preserve"> -1 * BV604</f>
        <v>0</v>
      </c>
      <c r="BW605" s="188">
        <f t="shared" si="970"/>
        <v>0</v>
      </c>
      <c r="BX605" s="188">
        <f t="shared" si="970"/>
        <v>0</v>
      </c>
      <c r="BY605" s="188">
        <f t="shared" si="970"/>
        <v>0</v>
      </c>
      <c r="BZ605" s="188">
        <f t="shared" si="970"/>
        <v>0</v>
      </c>
      <c r="CA605" s="188">
        <f t="shared" si="970"/>
        <v>0</v>
      </c>
      <c r="CB605" s="188">
        <f t="shared" si="970"/>
        <v>0</v>
      </c>
      <c r="CC605" s="188">
        <f t="shared" si="970"/>
        <v>0</v>
      </c>
      <c r="CD605" s="188">
        <f t="shared" si="970"/>
        <v>0</v>
      </c>
      <c r="CE605" s="188">
        <f t="shared" si="970"/>
        <v>0</v>
      </c>
      <c r="CF605" s="188">
        <f t="shared" si="970"/>
        <v>0</v>
      </c>
      <c r="CG605" s="188">
        <f t="shared" si="970"/>
        <v>0</v>
      </c>
      <c r="CH605" s="188">
        <f t="shared" si="970"/>
        <v>0</v>
      </c>
      <c r="CI605" s="188">
        <f t="shared" si="970"/>
        <v>0</v>
      </c>
      <c r="CJ605" s="188">
        <f t="shared" si="970"/>
        <v>0</v>
      </c>
      <c r="CK605" s="188">
        <f t="shared" si="970"/>
        <v>0</v>
      </c>
      <c r="CL605" s="188">
        <f t="shared" si="970"/>
        <v>0</v>
      </c>
      <c r="CM605" s="188">
        <f t="shared" si="970"/>
        <v>0</v>
      </c>
      <c r="CN605" s="188">
        <f t="shared" si="970"/>
        <v>0</v>
      </c>
      <c r="CO605" s="188">
        <f t="shared" si="970"/>
        <v>0</v>
      </c>
      <c r="CP605" s="188">
        <f t="shared" si="970"/>
        <v>0</v>
      </c>
      <c r="CQ605" s="188">
        <f t="shared" si="970"/>
        <v>0</v>
      </c>
      <c r="CR605" s="188">
        <f t="shared" si="970"/>
        <v>0</v>
      </c>
      <c r="CS605" s="188">
        <f t="shared" si="970"/>
        <v>0</v>
      </c>
      <c r="CT605" s="188">
        <f t="shared" si="970"/>
        <v>0</v>
      </c>
      <c r="CU605" s="188">
        <f t="shared" si="970"/>
        <v>0</v>
      </c>
      <c r="CV605" s="188">
        <f t="shared" si="970"/>
        <v>0</v>
      </c>
    </row>
    <row r="606" spans="1:100" ht="12.75" outlineLevel="1" x14ac:dyDescent="0.2">
      <c r="A606" s="79"/>
      <c r="B606" s="79"/>
      <c r="C606" s="561"/>
      <c r="D606" s="60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  <c r="AW606" s="32"/>
      <c r="AX606" s="32"/>
      <c r="AY606" s="32"/>
      <c r="AZ606" s="32"/>
      <c r="BA606" s="32"/>
      <c r="BB606" s="32"/>
      <c r="BC606" s="32"/>
      <c r="BD606" s="32"/>
      <c r="BE606" s="32"/>
      <c r="BF606" s="32"/>
      <c r="BG606" s="32"/>
      <c r="BH606" s="32"/>
      <c r="BI606" s="32"/>
      <c r="BJ606" s="32"/>
      <c r="BK606" s="32"/>
      <c r="BL606" s="32"/>
      <c r="BM606" s="32"/>
      <c r="BN606" s="32"/>
      <c r="BO606" s="32"/>
      <c r="BP606" s="32"/>
      <c r="BQ606" s="32"/>
      <c r="BR606" s="32"/>
      <c r="BS606" s="32"/>
      <c r="BT606" s="32"/>
      <c r="BU606" s="32"/>
      <c r="BV606" s="32"/>
      <c r="BW606" s="32"/>
      <c r="BX606" s="32"/>
      <c r="BY606" s="32"/>
      <c r="BZ606" s="32"/>
      <c r="CA606" s="32"/>
      <c r="CB606" s="32"/>
      <c r="CC606" s="32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32"/>
      <c r="CS606" s="32"/>
      <c r="CT606" s="32"/>
      <c r="CU606" s="32"/>
      <c r="CV606" s="32"/>
    </row>
    <row r="607" spans="1:100" ht="12.75" outlineLevel="1" x14ac:dyDescent="0.2">
      <c r="A607" s="79"/>
      <c r="B607" s="79" t="s">
        <v>484</v>
      </c>
      <c r="C607" s="561"/>
      <c r="D607" s="60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  <c r="AW607" s="32"/>
      <c r="AX607" s="32"/>
      <c r="AY607" s="32"/>
      <c r="AZ607" s="32"/>
      <c r="BA607" s="32"/>
      <c r="BB607" s="32"/>
      <c r="BC607" s="32"/>
      <c r="BD607" s="32"/>
      <c r="BE607" s="32"/>
      <c r="BF607" s="32"/>
      <c r="BG607" s="32"/>
      <c r="BH607" s="32"/>
      <c r="BI607" s="32"/>
      <c r="BJ607" s="32"/>
      <c r="BK607" s="32"/>
      <c r="BL607" s="32"/>
      <c r="BM607" s="32"/>
      <c r="BN607" s="32"/>
      <c r="BO607" s="32"/>
      <c r="BP607" s="32"/>
      <c r="BQ607" s="32"/>
      <c r="BR607" s="32"/>
      <c r="BS607" s="32"/>
      <c r="BT607" s="32"/>
      <c r="BU607" s="32"/>
      <c r="BV607" s="32"/>
      <c r="BW607" s="32"/>
      <c r="BX607" s="32"/>
      <c r="BY607" s="32"/>
      <c r="BZ607" s="32"/>
      <c r="CA607" s="32"/>
      <c r="CB607" s="32"/>
      <c r="CC607" s="32"/>
      <c r="CD607" s="32"/>
      <c r="CE607" s="32"/>
      <c r="CF607" s="32"/>
      <c r="CG607" s="32"/>
      <c r="CH607" s="32"/>
      <c r="CI607" s="32"/>
      <c r="CJ607" s="32"/>
      <c r="CK607" s="32"/>
      <c r="CL607" s="32"/>
      <c r="CM607" s="32"/>
      <c r="CN607" s="32"/>
      <c r="CO607" s="32"/>
      <c r="CP607" s="32"/>
      <c r="CQ607" s="32"/>
      <c r="CR607" s="32"/>
      <c r="CS607" s="32"/>
      <c r="CT607" s="32"/>
      <c r="CU607" s="32"/>
      <c r="CV607" s="32"/>
    </row>
    <row r="608" spans="1:100" ht="12.75" outlineLevel="2" x14ac:dyDescent="0.2">
      <c r="A608" s="568"/>
      <c r="B608" s="568"/>
      <c r="C608" s="569"/>
      <c r="D608" s="570"/>
      <c r="E608" s="571" t="s">
        <v>485</v>
      </c>
      <c r="F608" s="571"/>
      <c r="G608" s="571" t="str">
        <f xml:space="preserve"> SMU</f>
        <v>$ 000s</v>
      </c>
      <c r="H608" s="571"/>
      <c r="I608" s="571"/>
      <c r="J608" s="571">
        <f t="shared" ref="J608:AO608" si="971" xml:space="preserve"> I611</f>
        <v>0</v>
      </c>
      <c r="K608" s="571">
        <f t="shared" si="971"/>
        <v>0</v>
      </c>
      <c r="L608" s="571">
        <f t="shared" si="971"/>
        <v>0</v>
      </c>
      <c r="M608" s="571">
        <f t="shared" si="971"/>
        <v>0</v>
      </c>
      <c r="N608" s="571">
        <f t="shared" si="971"/>
        <v>0</v>
      </c>
      <c r="O608" s="571">
        <f t="shared" si="971"/>
        <v>0</v>
      </c>
      <c r="P608" s="571">
        <f t="shared" si="971"/>
        <v>0</v>
      </c>
      <c r="Q608" s="571">
        <f t="shared" si="971"/>
        <v>0</v>
      </c>
      <c r="R608" s="571">
        <f t="shared" si="971"/>
        <v>0</v>
      </c>
      <c r="S608" s="571">
        <f t="shared" si="971"/>
        <v>0</v>
      </c>
      <c r="T608" s="571">
        <f t="shared" si="971"/>
        <v>0</v>
      </c>
      <c r="U608" s="571">
        <f t="shared" si="971"/>
        <v>0</v>
      </c>
      <c r="V608" s="571">
        <f t="shared" si="971"/>
        <v>0</v>
      </c>
      <c r="W608" s="571">
        <f t="shared" si="971"/>
        <v>0</v>
      </c>
      <c r="X608" s="571">
        <f t="shared" si="971"/>
        <v>0</v>
      </c>
      <c r="Y608" s="571">
        <f t="shared" si="971"/>
        <v>0</v>
      </c>
      <c r="Z608" s="571">
        <f t="shared" si="971"/>
        <v>0</v>
      </c>
      <c r="AA608" s="571">
        <f t="shared" si="971"/>
        <v>0</v>
      </c>
      <c r="AB608" s="571">
        <f t="shared" si="971"/>
        <v>0</v>
      </c>
      <c r="AC608" s="571">
        <f t="shared" si="971"/>
        <v>0</v>
      </c>
      <c r="AD608" s="571">
        <f t="shared" si="971"/>
        <v>0</v>
      </c>
      <c r="AE608" s="571">
        <f t="shared" si="971"/>
        <v>0</v>
      </c>
      <c r="AF608" s="571">
        <f t="shared" si="971"/>
        <v>0</v>
      </c>
      <c r="AG608" s="571">
        <f t="shared" si="971"/>
        <v>0</v>
      </c>
      <c r="AH608" s="571">
        <f t="shared" si="971"/>
        <v>0</v>
      </c>
      <c r="AI608" s="571">
        <f t="shared" si="971"/>
        <v>0</v>
      </c>
      <c r="AJ608" s="571">
        <f t="shared" si="971"/>
        <v>0</v>
      </c>
      <c r="AK608" s="571">
        <f t="shared" si="971"/>
        <v>0</v>
      </c>
      <c r="AL608" s="571">
        <f t="shared" si="971"/>
        <v>0</v>
      </c>
      <c r="AM608" s="571">
        <f t="shared" si="971"/>
        <v>0</v>
      </c>
      <c r="AN608" s="571">
        <f t="shared" si="971"/>
        <v>0</v>
      </c>
      <c r="AO608" s="571">
        <f t="shared" si="971"/>
        <v>0</v>
      </c>
      <c r="AP608" s="571">
        <f t="shared" ref="AP608:BU608" si="972" xml:space="preserve"> AO611</f>
        <v>0</v>
      </c>
      <c r="AQ608" s="571">
        <f t="shared" si="972"/>
        <v>0</v>
      </c>
      <c r="AR608" s="571">
        <f t="shared" si="972"/>
        <v>0</v>
      </c>
      <c r="AS608" s="571">
        <f t="shared" si="972"/>
        <v>0</v>
      </c>
      <c r="AT608" s="571">
        <f t="shared" si="972"/>
        <v>0</v>
      </c>
      <c r="AU608" s="571">
        <f t="shared" si="972"/>
        <v>0</v>
      </c>
      <c r="AV608" s="571">
        <f t="shared" si="972"/>
        <v>0</v>
      </c>
      <c r="AW608" s="571">
        <f t="shared" si="972"/>
        <v>0</v>
      </c>
      <c r="AX608" s="571">
        <f t="shared" si="972"/>
        <v>0</v>
      </c>
      <c r="AY608" s="571">
        <f t="shared" si="972"/>
        <v>0</v>
      </c>
      <c r="AZ608" s="571">
        <f t="shared" si="972"/>
        <v>0</v>
      </c>
      <c r="BA608" s="571">
        <f t="shared" si="972"/>
        <v>0</v>
      </c>
      <c r="BB608" s="571">
        <f t="shared" si="972"/>
        <v>0</v>
      </c>
      <c r="BC608" s="571">
        <f t="shared" si="972"/>
        <v>0</v>
      </c>
      <c r="BD608" s="571">
        <f t="shared" si="972"/>
        <v>0</v>
      </c>
      <c r="BE608" s="571">
        <f t="shared" si="972"/>
        <v>0</v>
      </c>
      <c r="BF608" s="571">
        <f t="shared" si="972"/>
        <v>0</v>
      </c>
      <c r="BG608" s="571">
        <f t="shared" si="972"/>
        <v>0</v>
      </c>
      <c r="BH608" s="571">
        <f t="shared" si="972"/>
        <v>0</v>
      </c>
      <c r="BI608" s="571">
        <f t="shared" si="972"/>
        <v>0</v>
      </c>
      <c r="BJ608" s="571">
        <f t="shared" si="972"/>
        <v>0</v>
      </c>
      <c r="BK608" s="571">
        <f t="shared" si="972"/>
        <v>0</v>
      </c>
      <c r="BL608" s="571">
        <f t="shared" si="972"/>
        <v>0</v>
      </c>
      <c r="BM608" s="571">
        <f t="shared" si="972"/>
        <v>0</v>
      </c>
      <c r="BN608" s="571">
        <f t="shared" si="972"/>
        <v>0</v>
      </c>
      <c r="BO608" s="571">
        <f t="shared" si="972"/>
        <v>0</v>
      </c>
      <c r="BP608" s="571">
        <f t="shared" si="972"/>
        <v>0</v>
      </c>
      <c r="BQ608" s="571">
        <f t="shared" si="972"/>
        <v>0</v>
      </c>
      <c r="BR608" s="571">
        <f t="shared" si="972"/>
        <v>0</v>
      </c>
      <c r="BS608" s="571">
        <f t="shared" si="972"/>
        <v>0</v>
      </c>
      <c r="BT608" s="571">
        <f t="shared" si="972"/>
        <v>0</v>
      </c>
      <c r="BU608" s="571">
        <f t="shared" si="972"/>
        <v>0</v>
      </c>
      <c r="BV608" s="571">
        <f t="shared" ref="BV608:CV608" si="973" xml:space="preserve"> BU611</f>
        <v>0</v>
      </c>
      <c r="BW608" s="571">
        <f t="shared" si="973"/>
        <v>0</v>
      </c>
      <c r="BX608" s="571">
        <f t="shared" si="973"/>
        <v>0</v>
      </c>
      <c r="BY608" s="571">
        <f t="shared" si="973"/>
        <v>0</v>
      </c>
      <c r="BZ608" s="571">
        <f t="shared" si="973"/>
        <v>0</v>
      </c>
      <c r="CA608" s="571">
        <f t="shared" si="973"/>
        <v>0</v>
      </c>
      <c r="CB608" s="571">
        <f t="shared" si="973"/>
        <v>0</v>
      </c>
      <c r="CC608" s="571">
        <f t="shared" si="973"/>
        <v>0</v>
      </c>
      <c r="CD608" s="571">
        <f t="shared" si="973"/>
        <v>0</v>
      </c>
      <c r="CE608" s="571">
        <f t="shared" si="973"/>
        <v>0</v>
      </c>
      <c r="CF608" s="571">
        <f t="shared" si="973"/>
        <v>0</v>
      </c>
      <c r="CG608" s="571">
        <f t="shared" si="973"/>
        <v>0</v>
      </c>
      <c r="CH608" s="571">
        <f t="shared" si="973"/>
        <v>0</v>
      </c>
      <c r="CI608" s="571">
        <f t="shared" si="973"/>
        <v>0</v>
      </c>
      <c r="CJ608" s="571">
        <f t="shared" si="973"/>
        <v>0</v>
      </c>
      <c r="CK608" s="571">
        <f t="shared" si="973"/>
        <v>0</v>
      </c>
      <c r="CL608" s="571">
        <f t="shared" si="973"/>
        <v>0</v>
      </c>
      <c r="CM608" s="571">
        <f t="shared" si="973"/>
        <v>0</v>
      </c>
      <c r="CN608" s="571">
        <f t="shared" si="973"/>
        <v>0</v>
      </c>
      <c r="CO608" s="571">
        <f t="shared" si="973"/>
        <v>0</v>
      </c>
      <c r="CP608" s="571">
        <f t="shared" si="973"/>
        <v>0</v>
      </c>
      <c r="CQ608" s="571">
        <f t="shared" si="973"/>
        <v>0</v>
      </c>
      <c r="CR608" s="571">
        <f t="shared" si="973"/>
        <v>0</v>
      </c>
      <c r="CS608" s="571">
        <f t="shared" si="973"/>
        <v>0</v>
      </c>
      <c r="CT608" s="571">
        <f t="shared" si="973"/>
        <v>0</v>
      </c>
      <c r="CU608" s="571">
        <f t="shared" si="973"/>
        <v>0</v>
      </c>
      <c r="CV608" s="571">
        <f t="shared" si="973"/>
        <v>0</v>
      </c>
    </row>
    <row r="609" spans="1:100" ht="12.75" outlineLevel="2" x14ac:dyDescent="0.2">
      <c r="A609" s="79"/>
      <c r="B609" s="79"/>
      <c r="C609" s="561"/>
      <c r="D609" s="60" t="s">
        <v>371</v>
      </c>
      <c r="E609" s="32" t="str">
        <f t="shared" ref="E609:AJ609" si="974" xml:space="preserve"> E$557</f>
        <v>WCF drawdown</v>
      </c>
      <c r="F609" s="32">
        <f t="shared" si="974"/>
        <v>0</v>
      </c>
      <c r="G609" s="32" t="str">
        <f t="shared" si="974"/>
        <v>$ 000s</v>
      </c>
      <c r="H609" s="32">
        <f t="shared" si="974"/>
        <v>0</v>
      </c>
      <c r="I609" s="32">
        <f t="shared" si="974"/>
        <v>0</v>
      </c>
      <c r="J609" s="32">
        <f t="shared" si="974"/>
        <v>0</v>
      </c>
      <c r="K609" s="32">
        <f t="shared" si="974"/>
        <v>0</v>
      </c>
      <c r="L609" s="32">
        <f t="shared" si="974"/>
        <v>0</v>
      </c>
      <c r="M609" s="32">
        <f t="shared" si="974"/>
        <v>0</v>
      </c>
      <c r="N609" s="32">
        <f t="shared" si="974"/>
        <v>0</v>
      </c>
      <c r="O609" s="32">
        <f t="shared" si="974"/>
        <v>0</v>
      </c>
      <c r="P609" s="32">
        <f t="shared" si="974"/>
        <v>0</v>
      </c>
      <c r="Q609" s="32">
        <f t="shared" si="974"/>
        <v>0</v>
      </c>
      <c r="R609" s="32">
        <f t="shared" si="974"/>
        <v>0</v>
      </c>
      <c r="S609" s="32">
        <f t="shared" si="974"/>
        <v>0</v>
      </c>
      <c r="T609" s="32">
        <f t="shared" si="974"/>
        <v>0</v>
      </c>
      <c r="U609" s="32">
        <f t="shared" si="974"/>
        <v>0</v>
      </c>
      <c r="V609" s="32">
        <f t="shared" si="974"/>
        <v>0</v>
      </c>
      <c r="W609" s="32">
        <f t="shared" si="974"/>
        <v>0</v>
      </c>
      <c r="X609" s="32">
        <f t="shared" si="974"/>
        <v>0</v>
      </c>
      <c r="Y609" s="32">
        <f t="shared" si="974"/>
        <v>0</v>
      </c>
      <c r="Z609" s="32">
        <f t="shared" si="974"/>
        <v>0</v>
      </c>
      <c r="AA609" s="32">
        <f t="shared" si="974"/>
        <v>0</v>
      </c>
      <c r="AB609" s="32">
        <f t="shared" si="974"/>
        <v>0</v>
      </c>
      <c r="AC609" s="32">
        <f t="shared" si="974"/>
        <v>0</v>
      </c>
      <c r="AD609" s="32">
        <f t="shared" si="974"/>
        <v>0</v>
      </c>
      <c r="AE609" s="32">
        <f t="shared" si="974"/>
        <v>0</v>
      </c>
      <c r="AF609" s="32">
        <f t="shared" si="974"/>
        <v>0</v>
      </c>
      <c r="AG609" s="32">
        <f t="shared" si="974"/>
        <v>0</v>
      </c>
      <c r="AH609" s="32">
        <f t="shared" si="974"/>
        <v>0</v>
      </c>
      <c r="AI609" s="32">
        <f t="shared" si="974"/>
        <v>0</v>
      </c>
      <c r="AJ609" s="32">
        <f t="shared" si="974"/>
        <v>0</v>
      </c>
      <c r="AK609" s="32">
        <f t="shared" ref="AK609:BP609" si="975" xml:space="preserve"> AK$557</f>
        <v>0</v>
      </c>
      <c r="AL609" s="32">
        <f t="shared" si="975"/>
        <v>0</v>
      </c>
      <c r="AM609" s="32">
        <f t="shared" si="975"/>
        <v>0</v>
      </c>
      <c r="AN609" s="32">
        <f t="shared" si="975"/>
        <v>0</v>
      </c>
      <c r="AO609" s="32">
        <f t="shared" si="975"/>
        <v>0</v>
      </c>
      <c r="AP609" s="32">
        <f t="shared" si="975"/>
        <v>0</v>
      </c>
      <c r="AQ609" s="32">
        <f t="shared" si="975"/>
        <v>0</v>
      </c>
      <c r="AR609" s="32">
        <f t="shared" si="975"/>
        <v>0</v>
      </c>
      <c r="AS609" s="32">
        <f t="shared" si="975"/>
        <v>0</v>
      </c>
      <c r="AT609" s="32">
        <f t="shared" si="975"/>
        <v>0</v>
      </c>
      <c r="AU609" s="32">
        <f t="shared" si="975"/>
        <v>0</v>
      </c>
      <c r="AV609" s="32">
        <f t="shared" si="975"/>
        <v>0</v>
      </c>
      <c r="AW609" s="32">
        <f t="shared" si="975"/>
        <v>0</v>
      </c>
      <c r="AX609" s="32">
        <f t="shared" si="975"/>
        <v>0</v>
      </c>
      <c r="AY609" s="32">
        <f t="shared" si="975"/>
        <v>0</v>
      </c>
      <c r="AZ609" s="32">
        <f t="shared" si="975"/>
        <v>0</v>
      </c>
      <c r="BA609" s="32">
        <f t="shared" si="975"/>
        <v>0</v>
      </c>
      <c r="BB609" s="32">
        <f t="shared" si="975"/>
        <v>0</v>
      </c>
      <c r="BC609" s="32">
        <f t="shared" si="975"/>
        <v>0</v>
      </c>
      <c r="BD609" s="32">
        <f t="shared" si="975"/>
        <v>0</v>
      </c>
      <c r="BE609" s="32">
        <f t="shared" si="975"/>
        <v>0</v>
      </c>
      <c r="BF609" s="32">
        <f t="shared" si="975"/>
        <v>0</v>
      </c>
      <c r="BG609" s="32">
        <f t="shared" si="975"/>
        <v>0</v>
      </c>
      <c r="BH609" s="32">
        <f t="shared" si="975"/>
        <v>0</v>
      </c>
      <c r="BI609" s="32">
        <f t="shared" si="975"/>
        <v>0</v>
      </c>
      <c r="BJ609" s="32">
        <f t="shared" si="975"/>
        <v>0</v>
      </c>
      <c r="BK609" s="32">
        <f t="shared" si="975"/>
        <v>0</v>
      </c>
      <c r="BL609" s="32">
        <f t="shared" si="975"/>
        <v>0</v>
      </c>
      <c r="BM609" s="32">
        <f t="shared" si="975"/>
        <v>0</v>
      </c>
      <c r="BN609" s="32">
        <f t="shared" si="975"/>
        <v>0</v>
      </c>
      <c r="BO609" s="32">
        <f t="shared" si="975"/>
        <v>0</v>
      </c>
      <c r="BP609" s="32">
        <f t="shared" si="975"/>
        <v>0</v>
      </c>
      <c r="BQ609" s="32">
        <f t="shared" ref="BQ609:CV609" si="976" xml:space="preserve"> BQ$557</f>
        <v>0</v>
      </c>
      <c r="BR609" s="32">
        <f t="shared" si="976"/>
        <v>0</v>
      </c>
      <c r="BS609" s="32">
        <f t="shared" si="976"/>
        <v>0</v>
      </c>
      <c r="BT609" s="32">
        <f t="shared" si="976"/>
        <v>0</v>
      </c>
      <c r="BU609" s="32">
        <f t="shared" si="976"/>
        <v>0</v>
      </c>
      <c r="BV609" s="32">
        <f t="shared" si="976"/>
        <v>0</v>
      </c>
      <c r="BW609" s="32">
        <f t="shared" si="976"/>
        <v>0</v>
      </c>
      <c r="BX609" s="32">
        <f t="shared" si="976"/>
        <v>0</v>
      </c>
      <c r="BY609" s="32">
        <f t="shared" si="976"/>
        <v>0</v>
      </c>
      <c r="BZ609" s="32">
        <f t="shared" si="976"/>
        <v>0</v>
      </c>
      <c r="CA609" s="32">
        <f t="shared" si="976"/>
        <v>0</v>
      </c>
      <c r="CB609" s="32">
        <f t="shared" si="976"/>
        <v>0</v>
      </c>
      <c r="CC609" s="32">
        <f t="shared" si="976"/>
        <v>0</v>
      </c>
      <c r="CD609" s="32">
        <f t="shared" si="976"/>
        <v>0</v>
      </c>
      <c r="CE609" s="32">
        <f t="shared" si="976"/>
        <v>0</v>
      </c>
      <c r="CF609" s="32">
        <f t="shared" si="976"/>
        <v>0</v>
      </c>
      <c r="CG609" s="32">
        <f t="shared" si="976"/>
        <v>0</v>
      </c>
      <c r="CH609" s="32">
        <f t="shared" si="976"/>
        <v>0</v>
      </c>
      <c r="CI609" s="32">
        <f t="shared" si="976"/>
        <v>0</v>
      </c>
      <c r="CJ609" s="32">
        <f t="shared" si="976"/>
        <v>0</v>
      </c>
      <c r="CK609" s="32">
        <f t="shared" si="976"/>
        <v>0</v>
      </c>
      <c r="CL609" s="32">
        <f t="shared" si="976"/>
        <v>0</v>
      </c>
      <c r="CM609" s="32">
        <f t="shared" si="976"/>
        <v>0</v>
      </c>
      <c r="CN609" s="32">
        <f t="shared" si="976"/>
        <v>0</v>
      </c>
      <c r="CO609" s="32">
        <f t="shared" si="976"/>
        <v>0</v>
      </c>
      <c r="CP609" s="32">
        <f t="shared" si="976"/>
        <v>0</v>
      </c>
      <c r="CQ609" s="32">
        <f t="shared" si="976"/>
        <v>0</v>
      </c>
      <c r="CR609" s="32">
        <f t="shared" si="976"/>
        <v>0</v>
      </c>
      <c r="CS609" s="32">
        <f t="shared" si="976"/>
        <v>0</v>
      </c>
      <c r="CT609" s="32">
        <f t="shared" si="976"/>
        <v>0</v>
      </c>
      <c r="CU609" s="32">
        <f t="shared" si="976"/>
        <v>0</v>
      </c>
      <c r="CV609" s="32">
        <f t="shared" si="976"/>
        <v>0</v>
      </c>
    </row>
    <row r="610" spans="1:100" ht="12.75" outlineLevel="2" x14ac:dyDescent="0.2">
      <c r="A610" s="79"/>
      <c r="B610" s="79"/>
      <c r="C610" s="561"/>
      <c r="D610" s="60" t="s">
        <v>170</v>
      </c>
      <c r="E610" s="32" t="str">
        <f t="shared" ref="E610:AJ610" si="977" xml:space="preserve"> E$567</f>
        <v>WCF repayment POS</v>
      </c>
      <c r="F610" s="32">
        <f t="shared" si="977"/>
        <v>0</v>
      </c>
      <c r="G610" s="32" t="str">
        <f t="shared" si="977"/>
        <v>$ 000s</v>
      </c>
      <c r="H610" s="32">
        <f t="shared" si="977"/>
        <v>0</v>
      </c>
      <c r="I610" s="32">
        <f t="shared" si="977"/>
        <v>0</v>
      </c>
      <c r="J610" s="32">
        <f t="shared" si="977"/>
        <v>0</v>
      </c>
      <c r="K610" s="32">
        <f t="shared" si="977"/>
        <v>0</v>
      </c>
      <c r="L610" s="32">
        <f t="shared" si="977"/>
        <v>0</v>
      </c>
      <c r="M610" s="32">
        <f t="shared" si="977"/>
        <v>0</v>
      </c>
      <c r="N610" s="32">
        <f t="shared" si="977"/>
        <v>0</v>
      </c>
      <c r="O610" s="32">
        <f t="shared" si="977"/>
        <v>0</v>
      </c>
      <c r="P610" s="32">
        <f t="shared" si="977"/>
        <v>0</v>
      </c>
      <c r="Q610" s="32">
        <f t="shared" si="977"/>
        <v>0</v>
      </c>
      <c r="R610" s="32">
        <f t="shared" si="977"/>
        <v>0</v>
      </c>
      <c r="S610" s="32">
        <f t="shared" si="977"/>
        <v>0</v>
      </c>
      <c r="T610" s="32">
        <f t="shared" si="977"/>
        <v>0</v>
      </c>
      <c r="U610" s="32">
        <f t="shared" si="977"/>
        <v>0</v>
      </c>
      <c r="V610" s="32">
        <f t="shared" si="977"/>
        <v>0</v>
      </c>
      <c r="W610" s="32">
        <f t="shared" si="977"/>
        <v>0</v>
      </c>
      <c r="X610" s="32">
        <f t="shared" si="977"/>
        <v>0</v>
      </c>
      <c r="Y610" s="32">
        <f t="shared" si="977"/>
        <v>0</v>
      </c>
      <c r="Z610" s="32">
        <f t="shared" si="977"/>
        <v>0</v>
      </c>
      <c r="AA610" s="32">
        <f t="shared" si="977"/>
        <v>0</v>
      </c>
      <c r="AB610" s="32">
        <f t="shared" si="977"/>
        <v>0</v>
      </c>
      <c r="AC610" s="32">
        <f t="shared" si="977"/>
        <v>0</v>
      </c>
      <c r="AD610" s="32">
        <f t="shared" si="977"/>
        <v>0</v>
      </c>
      <c r="AE610" s="32">
        <f t="shared" si="977"/>
        <v>0</v>
      </c>
      <c r="AF610" s="32">
        <f t="shared" si="977"/>
        <v>0</v>
      </c>
      <c r="AG610" s="32">
        <f t="shared" si="977"/>
        <v>0</v>
      </c>
      <c r="AH610" s="32">
        <f t="shared" si="977"/>
        <v>0</v>
      </c>
      <c r="AI610" s="32">
        <f t="shared" si="977"/>
        <v>0</v>
      </c>
      <c r="AJ610" s="32">
        <f t="shared" si="977"/>
        <v>0</v>
      </c>
      <c r="AK610" s="32">
        <f t="shared" ref="AK610:BP610" si="978" xml:space="preserve"> AK$567</f>
        <v>0</v>
      </c>
      <c r="AL610" s="32">
        <f t="shared" si="978"/>
        <v>0</v>
      </c>
      <c r="AM610" s="32">
        <f t="shared" si="978"/>
        <v>0</v>
      </c>
      <c r="AN610" s="32">
        <f t="shared" si="978"/>
        <v>0</v>
      </c>
      <c r="AO610" s="32">
        <f t="shared" si="978"/>
        <v>0</v>
      </c>
      <c r="AP610" s="32">
        <f t="shared" si="978"/>
        <v>0</v>
      </c>
      <c r="AQ610" s="32">
        <f t="shared" si="978"/>
        <v>0</v>
      </c>
      <c r="AR610" s="32">
        <f t="shared" si="978"/>
        <v>0</v>
      </c>
      <c r="AS610" s="32">
        <f t="shared" si="978"/>
        <v>0</v>
      </c>
      <c r="AT610" s="32">
        <f t="shared" si="978"/>
        <v>0</v>
      </c>
      <c r="AU610" s="32">
        <f t="shared" si="978"/>
        <v>0</v>
      </c>
      <c r="AV610" s="32">
        <f t="shared" si="978"/>
        <v>0</v>
      </c>
      <c r="AW610" s="32">
        <f t="shared" si="978"/>
        <v>0</v>
      </c>
      <c r="AX610" s="32">
        <f t="shared" si="978"/>
        <v>0</v>
      </c>
      <c r="AY610" s="32">
        <f t="shared" si="978"/>
        <v>0</v>
      </c>
      <c r="AZ610" s="32">
        <f t="shared" si="978"/>
        <v>0</v>
      </c>
      <c r="BA610" s="32">
        <f t="shared" si="978"/>
        <v>0</v>
      </c>
      <c r="BB610" s="32">
        <f t="shared" si="978"/>
        <v>0</v>
      </c>
      <c r="BC610" s="32">
        <f t="shared" si="978"/>
        <v>0</v>
      </c>
      <c r="BD610" s="32">
        <f t="shared" si="978"/>
        <v>0</v>
      </c>
      <c r="BE610" s="32">
        <f t="shared" si="978"/>
        <v>0</v>
      </c>
      <c r="BF610" s="32">
        <f t="shared" si="978"/>
        <v>0</v>
      </c>
      <c r="BG610" s="32">
        <f t="shared" si="978"/>
        <v>0</v>
      </c>
      <c r="BH610" s="32">
        <f t="shared" si="978"/>
        <v>0</v>
      </c>
      <c r="BI610" s="32">
        <f t="shared" si="978"/>
        <v>0</v>
      </c>
      <c r="BJ610" s="32">
        <f t="shared" si="978"/>
        <v>0</v>
      </c>
      <c r="BK610" s="32">
        <f t="shared" si="978"/>
        <v>0</v>
      </c>
      <c r="BL610" s="32">
        <f t="shared" si="978"/>
        <v>0</v>
      </c>
      <c r="BM610" s="32">
        <f t="shared" si="978"/>
        <v>0</v>
      </c>
      <c r="BN610" s="32">
        <f t="shared" si="978"/>
        <v>0</v>
      </c>
      <c r="BO610" s="32">
        <f t="shared" si="978"/>
        <v>0</v>
      </c>
      <c r="BP610" s="32">
        <f t="shared" si="978"/>
        <v>0</v>
      </c>
      <c r="BQ610" s="32">
        <f t="shared" ref="BQ610:CV610" si="979" xml:space="preserve"> BQ$567</f>
        <v>0</v>
      </c>
      <c r="BR610" s="32">
        <f t="shared" si="979"/>
        <v>0</v>
      </c>
      <c r="BS610" s="32">
        <f t="shared" si="979"/>
        <v>0</v>
      </c>
      <c r="BT610" s="32">
        <f t="shared" si="979"/>
        <v>0</v>
      </c>
      <c r="BU610" s="32">
        <f t="shared" si="979"/>
        <v>0</v>
      </c>
      <c r="BV610" s="32">
        <f t="shared" si="979"/>
        <v>0</v>
      </c>
      <c r="BW610" s="32">
        <f t="shared" si="979"/>
        <v>0</v>
      </c>
      <c r="BX610" s="32">
        <f t="shared" si="979"/>
        <v>0</v>
      </c>
      <c r="BY610" s="32">
        <f t="shared" si="979"/>
        <v>0</v>
      </c>
      <c r="BZ610" s="32">
        <f t="shared" si="979"/>
        <v>0</v>
      </c>
      <c r="CA610" s="32">
        <f t="shared" si="979"/>
        <v>0</v>
      </c>
      <c r="CB610" s="32">
        <f t="shared" si="979"/>
        <v>0</v>
      </c>
      <c r="CC610" s="32">
        <f t="shared" si="979"/>
        <v>0</v>
      </c>
      <c r="CD610" s="32">
        <f t="shared" si="979"/>
        <v>0</v>
      </c>
      <c r="CE610" s="32">
        <f t="shared" si="979"/>
        <v>0</v>
      </c>
      <c r="CF610" s="32">
        <f t="shared" si="979"/>
        <v>0</v>
      </c>
      <c r="CG610" s="32">
        <f t="shared" si="979"/>
        <v>0</v>
      </c>
      <c r="CH610" s="32">
        <f t="shared" si="979"/>
        <v>0</v>
      </c>
      <c r="CI610" s="32">
        <f t="shared" si="979"/>
        <v>0</v>
      </c>
      <c r="CJ610" s="32">
        <f t="shared" si="979"/>
        <v>0</v>
      </c>
      <c r="CK610" s="32">
        <f t="shared" si="979"/>
        <v>0</v>
      </c>
      <c r="CL610" s="32">
        <f t="shared" si="979"/>
        <v>0</v>
      </c>
      <c r="CM610" s="32">
        <f t="shared" si="979"/>
        <v>0</v>
      </c>
      <c r="CN610" s="32">
        <f t="shared" si="979"/>
        <v>0</v>
      </c>
      <c r="CO610" s="32">
        <f t="shared" si="979"/>
        <v>0</v>
      </c>
      <c r="CP610" s="32">
        <f t="shared" si="979"/>
        <v>0</v>
      </c>
      <c r="CQ610" s="32">
        <f t="shared" si="979"/>
        <v>0</v>
      </c>
      <c r="CR610" s="32">
        <f t="shared" si="979"/>
        <v>0</v>
      </c>
      <c r="CS610" s="32">
        <f t="shared" si="979"/>
        <v>0</v>
      </c>
      <c r="CT610" s="32">
        <f t="shared" si="979"/>
        <v>0</v>
      </c>
      <c r="CU610" s="32">
        <f t="shared" si="979"/>
        <v>0</v>
      </c>
      <c r="CV610" s="32">
        <f t="shared" si="979"/>
        <v>0</v>
      </c>
    </row>
    <row r="611" spans="1:100" s="188" customFormat="1" ht="12.75" outlineLevel="2" x14ac:dyDescent="0.2">
      <c r="A611" s="572"/>
      <c r="B611" s="572"/>
      <c r="C611" s="573"/>
      <c r="D611" s="574" t="s">
        <v>372</v>
      </c>
      <c r="E611" s="541" t="s">
        <v>484</v>
      </c>
      <c r="F611" s="541"/>
      <c r="G611" s="541" t="str">
        <f xml:space="preserve"> SMU</f>
        <v>$ 000s</v>
      </c>
      <c r="H611" s="541"/>
      <c r="I611" s="541"/>
      <c r="J611" s="541">
        <f t="shared" ref="J611:AO611" si="980" xml:space="preserve"> SUM(J608:J609) - J610</f>
        <v>0</v>
      </c>
      <c r="K611" s="541">
        <f t="shared" si="980"/>
        <v>0</v>
      </c>
      <c r="L611" s="541">
        <f t="shared" si="980"/>
        <v>0</v>
      </c>
      <c r="M611" s="541">
        <f t="shared" si="980"/>
        <v>0</v>
      </c>
      <c r="N611" s="541">
        <f t="shared" si="980"/>
        <v>0</v>
      </c>
      <c r="O611" s="541">
        <f t="shared" si="980"/>
        <v>0</v>
      </c>
      <c r="P611" s="541">
        <f t="shared" si="980"/>
        <v>0</v>
      </c>
      <c r="Q611" s="541">
        <f t="shared" si="980"/>
        <v>0</v>
      </c>
      <c r="R611" s="541">
        <f t="shared" si="980"/>
        <v>0</v>
      </c>
      <c r="S611" s="541">
        <f t="shared" si="980"/>
        <v>0</v>
      </c>
      <c r="T611" s="541">
        <f t="shared" si="980"/>
        <v>0</v>
      </c>
      <c r="U611" s="541">
        <f t="shared" si="980"/>
        <v>0</v>
      </c>
      <c r="V611" s="541">
        <f t="shared" si="980"/>
        <v>0</v>
      </c>
      <c r="W611" s="541">
        <f t="shared" si="980"/>
        <v>0</v>
      </c>
      <c r="X611" s="541">
        <f t="shared" si="980"/>
        <v>0</v>
      </c>
      <c r="Y611" s="541">
        <f t="shared" si="980"/>
        <v>0</v>
      </c>
      <c r="Z611" s="541">
        <f t="shared" si="980"/>
        <v>0</v>
      </c>
      <c r="AA611" s="541">
        <f t="shared" si="980"/>
        <v>0</v>
      </c>
      <c r="AB611" s="541">
        <f t="shared" si="980"/>
        <v>0</v>
      </c>
      <c r="AC611" s="541">
        <f t="shared" si="980"/>
        <v>0</v>
      </c>
      <c r="AD611" s="541">
        <f t="shared" si="980"/>
        <v>0</v>
      </c>
      <c r="AE611" s="541">
        <f t="shared" si="980"/>
        <v>0</v>
      </c>
      <c r="AF611" s="541">
        <f t="shared" si="980"/>
        <v>0</v>
      </c>
      <c r="AG611" s="541">
        <f t="shared" si="980"/>
        <v>0</v>
      </c>
      <c r="AH611" s="541">
        <f t="shared" si="980"/>
        <v>0</v>
      </c>
      <c r="AI611" s="541">
        <f t="shared" si="980"/>
        <v>0</v>
      </c>
      <c r="AJ611" s="541">
        <f t="shared" si="980"/>
        <v>0</v>
      </c>
      <c r="AK611" s="541">
        <f t="shared" si="980"/>
        <v>0</v>
      </c>
      <c r="AL611" s="541">
        <f t="shared" si="980"/>
        <v>0</v>
      </c>
      <c r="AM611" s="541">
        <f t="shared" si="980"/>
        <v>0</v>
      </c>
      <c r="AN611" s="541">
        <f t="shared" si="980"/>
        <v>0</v>
      </c>
      <c r="AO611" s="541">
        <f t="shared" si="980"/>
        <v>0</v>
      </c>
      <c r="AP611" s="541">
        <f t="shared" ref="AP611:BU611" si="981" xml:space="preserve"> SUM(AP608:AP609) - AP610</f>
        <v>0</v>
      </c>
      <c r="AQ611" s="541">
        <f t="shared" si="981"/>
        <v>0</v>
      </c>
      <c r="AR611" s="541">
        <f t="shared" si="981"/>
        <v>0</v>
      </c>
      <c r="AS611" s="541">
        <f t="shared" si="981"/>
        <v>0</v>
      </c>
      <c r="AT611" s="541">
        <f t="shared" si="981"/>
        <v>0</v>
      </c>
      <c r="AU611" s="541">
        <f t="shared" si="981"/>
        <v>0</v>
      </c>
      <c r="AV611" s="541">
        <f t="shared" si="981"/>
        <v>0</v>
      </c>
      <c r="AW611" s="541">
        <f t="shared" si="981"/>
        <v>0</v>
      </c>
      <c r="AX611" s="541">
        <f t="shared" si="981"/>
        <v>0</v>
      </c>
      <c r="AY611" s="541">
        <f t="shared" si="981"/>
        <v>0</v>
      </c>
      <c r="AZ611" s="541">
        <f t="shared" si="981"/>
        <v>0</v>
      </c>
      <c r="BA611" s="541">
        <f t="shared" si="981"/>
        <v>0</v>
      </c>
      <c r="BB611" s="541">
        <f t="shared" si="981"/>
        <v>0</v>
      </c>
      <c r="BC611" s="541">
        <f t="shared" si="981"/>
        <v>0</v>
      </c>
      <c r="BD611" s="541">
        <f t="shared" si="981"/>
        <v>0</v>
      </c>
      <c r="BE611" s="541">
        <f t="shared" si="981"/>
        <v>0</v>
      </c>
      <c r="BF611" s="541">
        <f t="shared" si="981"/>
        <v>0</v>
      </c>
      <c r="BG611" s="541">
        <f t="shared" si="981"/>
        <v>0</v>
      </c>
      <c r="BH611" s="541">
        <f t="shared" si="981"/>
        <v>0</v>
      </c>
      <c r="BI611" s="541">
        <f t="shared" si="981"/>
        <v>0</v>
      </c>
      <c r="BJ611" s="541">
        <f t="shared" si="981"/>
        <v>0</v>
      </c>
      <c r="BK611" s="541">
        <f t="shared" si="981"/>
        <v>0</v>
      </c>
      <c r="BL611" s="541">
        <f t="shared" si="981"/>
        <v>0</v>
      </c>
      <c r="BM611" s="541">
        <f t="shared" si="981"/>
        <v>0</v>
      </c>
      <c r="BN611" s="541">
        <f t="shared" si="981"/>
        <v>0</v>
      </c>
      <c r="BO611" s="541">
        <f t="shared" si="981"/>
        <v>0</v>
      </c>
      <c r="BP611" s="541">
        <f t="shared" si="981"/>
        <v>0</v>
      </c>
      <c r="BQ611" s="541">
        <f t="shared" si="981"/>
        <v>0</v>
      </c>
      <c r="BR611" s="541">
        <f t="shared" si="981"/>
        <v>0</v>
      </c>
      <c r="BS611" s="541">
        <f t="shared" si="981"/>
        <v>0</v>
      </c>
      <c r="BT611" s="541">
        <f t="shared" si="981"/>
        <v>0</v>
      </c>
      <c r="BU611" s="541">
        <f t="shared" si="981"/>
        <v>0</v>
      </c>
      <c r="BV611" s="541">
        <f t="shared" ref="BV611:CV611" si="982" xml:space="preserve"> SUM(BV608:BV609) - BV610</f>
        <v>0</v>
      </c>
      <c r="BW611" s="541">
        <f t="shared" si="982"/>
        <v>0</v>
      </c>
      <c r="BX611" s="541">
        <f t="shared" si="982"/>
        <v>0</v>
      </c>
      <c r="BY611" s="541">
        <f t="shared" si="982"/>
        <v>0</v>
      </c>
      <c r="BZ611" s="541">
        <f t="shared" si="982"/>
        <v>0</v>
      </c>
      <c r="CA611" s="541">
        <f t="shared" si="982"/>
        <v>0</v>
      </c>
      <c r="CB611" s="541">
        <f t="shared" si="982"/>
        <v>0</v>
      </c>
      <c r="CC611" s="541">
        <f t="shared" si="982"/>
        <v>0</v>
      </c>
      <c r="CD611" s="541">
        <f t="shared" si="982"/>
        <v>0</v>
      </c>
      <c r="CE611" s="541">
        <f t="shared" si="982"/>
        <v>0</v>
      </c>
      <c r="CF611" s="541">
        <f t="shared" si="982"/>
        <v>0</v>
      </c>
      <c r="CG611" s="541">
        <f t="shared" si="982"/>
        <v>0</v>
      </c>
      <c r="CH611" s="541">
        <f t="shared" si="982"/>
        <v>0</v>
      </c>
      <c r="CI611" s="541">
        <f t="shared" si="982"/>
        <v>0</v>
      </c>
      <c r="CJ611" s="541">
        <f t="shared" si="982"/>
        <v>0</v>
      </c>
      <c r="CK611" s="541">
        <f t="shared" si="982"/>
        <v>0</v>
      </c>
      <c r="CL611" s="541">
        <f t="shared" si="982"/>
        <v>0</v>
      </c>
      <c r="CM611" s="541">
        <f t="shared" si="982"/>
        <v>0</v>
      </c>
      <c r="CN611" s="541">
        <f t="shared" si="982"/>
        <v>0</v>
      </c>
      <c r="CO611" s="541">
        <f t="shared" si="982"/>
        <v>0</v>
      </c>
      <c r="CP611" s="541">
        <f t="shared" si="982"/>
        <v>0</v>
      </c>
      <c r="CQ611" s="541">
        <f t="shared" si="982"/>
        <v>0</v>
      </c>
      <c r="CR611" s="541">
        <f t="shared" si="982"/>
        <v>0</v>
      </c>
      <c r="CS611" s="541">
        <f t="shared" si="982"/>
        <v>0</v>
      </c>
      <c r="CT611" s="541">
        <f t="shared" si="982"/>
        <v>0</v>
      </c>
      <c r="CU611" s="541">
        <f t="shared" si="982"/>
        <v>0</v>
      </c>
      <c r="CV611" s="541">
        <f t="shared" si="982"/>
        <v>0</v>
      </c>
    </row>
    <row r="612" spans="1:100" ht="12.75" outlineLevel="1" x14ac:dyDescent="0.2">
      <c r="A612" s="79"/>
      <c r="B612" s="79"/>
      <c r="C612" s="561"/>
      <c r="D612" s="60"/>
      <c r="E612" s="32"/>
      <c r="F612" s="32"/>
      <c r="G612" s="32"/>
      <c r="H612" s="32"/>
      <c r="I612" s="32"/>
      <c r="J612" s="32"/>
      <c r="K612" s="32"/>
      <c r="L612" s="32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</row>
    <row r="613" spans="1:100" ht="12.75" outlineLevel="1" x14ac:dyDescent="0.2">
      <c r="A613" s="79"/>
      <c r="B613" s="79" t="s">
        <v>1195</v>
      </c>
      <c r="C613" s="561"/>
      <c r="D613" s="60"/>
      <c r="E613" s="32"/>
      <c r="F613" s="32"/>
      <c r="G613" s="32"/>
      <c r="H613" s="32"/>
      <c r="I613" s="32"/>
      <c r="J613" s="32"/>
      <c r="K613" s="32"/>
      <c r="L613" s="32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</row>
    <row r="614" spans="1:100" s="495" customFormat="1" ht="12.75" outlineLevel="2" x14ac:dyDescent="0.2">
      <c r="A614" s="236"/>
      <c r="B614" s="236"/>
      <c r="C614" s="237"/>
      <c r="D614" s="238"/>
      <c r="E614" s="68" t="str">
        <f xml:space="preserve"> InpC!E$360</f>
        <v>WCF active switch</v>
      </c>
      <c r="F614" s="68">
        <f xml:space="preserve"> InpC!F$360</f>
        <v>0</v>
      </c>
      <c r="G614" s="68" t="str">
        <f xml:space="preserve"> InpC!G$360</f>
        <v>1 = yes, 0 = no</v>
      </c>
      <c r="H614" s="235"/>
      <c r="I614" s="235"/>
      <c r="J614" s="235"/>
      <c r="K614" s="235"/>
      <c r="L614" s="235"/>
      <c r="M614" s="235"/>
      <c r="N614" s="235"/>
      <c r="O614" s="235"/>
      <c r="P614" s="235"/>
      <c r="Q614" s="235"/>
      <c r="R614" s="235"/>
      <c r="S614" s="235"/>
      <c r="T614" s="235"/>
      <c r="U614" s="235"/>
      <c r="V614" s="235"/>
      <c r="W614" s="235"/>
      <c r="X614" s="235"/>
      <c r="Y614" s="235"/>
      <c r="Z614" s="235"/>
      <c r="AA614" s="235"/>
      <c r="AB614" s="235"/>
      <c r="AC614" s="235"/>
      <c r="AD614" s="235"/>
      <c r="AE614" s="235"/>
      <c r="AF614" s="235"/>
      <c r="AG614" s="235"/>
      <c r="AH614" s="235"/>
      <c r="AI614" s="235"/>
      <c r="AJ614" s="235"/>
      <c r="AK614" s="235"/>
      <c r="AL614" s="235"/>
      <c r="AM614" s="235"/>
      <c r="AN614" s="235"/>
      <c r="AO614" s="235"/>
      <c r="AP614" s="235"/>
      <c r="AQ614" s="235"/>
      <c r="AR614" s="235"/>
      <c r="AS614" s="235"/>
      <c r="AT614" s="235"/>
      <c r="AU614" s="235"/>
      <c r="AV614" s="235"/>
      <c r="AW614" s="235"/>
      <c r="AX614" s="235"/>
      <c r="AY614" s="235"/>
      <c r="AZ614" s="235"/>
      <c r="BA614" s="235"/>
      <c r="BB614" s="235"/>
      <c r="BC614" s="235"/>
      <c r="BD614" s="235"/>
      <c r="BE614" s="235"/>
      <c r="BF614" s="235"/>
      <c r="BG614" s="235"/>
      <c r="BH614" s="235"/>
      <c r="BI614" s="235"/>
      <c r="BJ614" s="235"/>
      <c r="BK614" s="235"/>
      <c r="BL614" s="235"/>
      <c r="BM614" s="235"/>
      <c r="BN614" s="235"/>
      <c r="BO614" s="235"/>
      <c r="BP614" s="235"/>
      <c r="BQ614" s="235"/>
      <c r="BR614" s="235"/>
      <c r="BS614" s="235"/>
      <c r="BT614" s="235"/>
      <c r="BU614" s="235"/>
      <c r="BV614" s="235"/>
      <c r="BW614" s="235"/>
      <c r="BX614" s="235"/>
      <c r="BY614" s="235"/>
      <c r="BZ614" s="235"/>
      <c r="CA614" s="235"/>
      <c r="CB614" s="235"/>
      <c r="CC614" s="235"/>
      <c r="CD614" s="235"/>
      <c r="CE614" s="235"/>
      <c r="CF614" s="235"/>
      <c r="CG614" s="235"/>
      <c r="CH614" s="235"/>
      <c r="CI614" s="235"/>
      <c r="CJ614" s="235"/>
      <c r="CK614" s="235"/>
      <c r="CL614" s="235"/>
      <c r="CM614" s="235"/>
      <c r="CN614" s="235"/>
      <c r="CO614" s="235"/>
      <c r="CP614" s="235"/>
      <c r="CQ614" s="235"/>
      <c r="CR614" s="235"/>
      <c r="CS614" s="235"/>
      <c r="CT614" s="235"/>
      <c r="CU614" s="235"/>
      <c r="CV614" s="235"/>
    </row>
    <row r="615" spans="1:100" ht="12.75" outlineLevel="2" x14ac:dyDescent="0.2">
      <c r="A615" s="639"/>
      <c r="B615" s="639"/>
      <c r="C615" s="640"/>
      <c r="D615" s="641"/>
      <c r="E615" s="125" t="str">
        <f xml:space="preserve"> InpC!E$363</f>
        <v>WCF commitment amount</v>
      </c>
      <c r="F615" s="125">
        <f xml:space="preserve"> InpC!F$363</f>
        <v>6500</v>
      </c>
      <c r="G615" s="125" t="str">
        <f xml:space="preserve"> InpC!G$363</f>
        <v>$ 000s</v>
      </c>
      <c r="H615" s="125"/>
      <c r="I615" s="125"/>
      <c r="J615" s="125"/>
      <c r="K615" s="125"/>
      <c r="L615" s="1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</row>
    <row r="616" spans="1:100" ht="12.75" outlineLevel="2" x14ac:dyDescent="0.2">
      <c r="A616" s="79"/>
      <c r="B616" s="79"/>
      <c r="C616" s="561"/>
      <c r="D616" s="60"/>
      <c r="E616" s="32" t="str">
        <f t="shared" ref="E616:AJ616" si="983" xml:space="preserve"> E$664</f>
        <v>WCF balance P99 BEG</v>
      </c>
      <c r="F616" s="32">
        <f t="shared" si="983"/>
        <v>0</v>
      </c>
      <c r="G616" s="32" t="str">
        <f t="shared" si="983"/>
        <v>$ 000s</v>
      </c>
      <c r="H616" s="32">
        <f t="shared" si="983"/>
        <v>0</v>
      </c>
      <c r="I616" s="32">
        <f t="shared" si="983"/>
        <v>0</v>
      </c>
      <c r="J616" s="32">
        <f t="shared" si="983"/>
        <v>0</v>
      </c>
      <c r="K616" s="32">
        <f t="shared" si="983"/>
        <v>0</v>
      </c>
      <c r="L616" s="32">
        <f t="shared" si="983"/>
        <v>0</v>
      </c>
      <c r="M616" s="32">
        <f t="shared" si="983"/>
        <v>0</v>
      </c>
      <c r="N616" s="32">
        <f t="shared" si="983"/>
        <v>0</v>
      </c>
      <c r="O616" s="32">
        <f t="shared" si="983"/>
        <v>0</v>
      </c>
      <c r="P616" s="32">
        <f t="shared" si="983"/>
        <v>0</v>
      </c>
      <c r="Q616" s="32">
        <f t="shared" si="983"/>
        <v>0</v>
      </c>
      <c r="R616" s="32">
        <f t="shared" si="983"/>
        <v>0</v>
      </c>
      <c r="S616" s="32">
        <f t="shared" si="983"/>
        <v>0</v>
      </c>
      <c r="T616" s="32">
        <f t="shared" si="983"/>
        <v>0</v>
      </c>
      <c r="U616" s="32">
        <f t="shared" si="983"/>
        <v>0</v>
      </c>
      <c r="V616" s="32">
        <f t="shared" si="983"/>
        <v>0</v>
      </c>
      <c r="W616" s="32">
        <f t="shared" si="983"/>
        <v>0</v>
      </c>
      <c r="X616" s="32">
        <f t="shared" si="983"/>
        <v>0</v>
      </c>
      <c r="Y616" s="32">
        <f t="shared" si="983"/>
        <v>0</v>
      </c>
      <c r="Z616" s="32">
        <f t="shared" si="983"/>
        <v>0</v>
      </c>
      <c r="AA616" s="32">
        <f t="shared" si="983"/>
        <v>0</v>
      </c>
      <c r="AB616" s="32">
        <f t="shared" si="983"/>
        <v>0</v>
      </c>
      <c r="AC616" s="32">
        <f t="shared" si="983"/>
        <v>0</v>
      </c>
      <c r="AD616" s="32">
        <f t="shared" si="983"/>
        <v>0</v>
      </c>
      <c r="AE616" s="32">
        <f t="shared" si="983"/>
        <v>0</v>
      </c>
      <c r="AF616" s="32">
        <f t="shared" si="983"/>
        <v>0</v>
      </c>
      <c r="AG616" s="32">
        <f t="shared" si="983"/>
        <v>0</v>
      </c>
      <c r="AH616" s="32">
        <f t="shared" si="983"/>
        <v>0</v>
      </c>
      <c r="AI616" s="32">
        <f t="shared" si="983"/>
        <v>0</v>
      </c>
      <c r="AJ616" s="32">
        <f t="shared" si="983"/>
        <v>0</v>
      </c>
      <c r="AK616" s="32">
        <f t="shared" ref="AK616:BP616" si="984" xml:space="preserve"> AK$664</f>
        <v>0</v>
      </c>
      <c r="AL616" s="32">
        <f t="shared" si="984"/>
        <v>0</v>
      </c>
      <c r="AM616" s="32">
        <f t="shared" si="984"/>
        <v>0</v>
      </c>
      <c r="AN616" s="32">
        <f t="shared" si="984"/>
        <v>0</v>
      </c>
      <c r="AO616" s="32">
        <f t="shared" si="984"/>
        <v>0</v>
      </c>
      <c r="AP616" s="32">
        <f t="shared" si="984"/>
        <v>0</v>
      </c>
      <c r="AQ616" s="32">
        <f t="shared" si="984"/>
        <v>0</v>
      </c>
      <c r="AR616" s="32">
        <f t="shared" si="984"/>
        <v>0</v>
      </c>
      <c r="AS616" s="32">
        <f t="shared" si="984"/>
        <v>0</v>
      </c>
      <c r="AT616" s="32">
        <f t="shared" si="984"/>
        <v>0</v>
      </c>
      <c r="AU616" s="32">
        <f t="shared" si="984"/>
        <v>0</v>
      </c>
      <c r="AV616" s="32">
        <f t="shared" si="984"/>
        <v>0</v>
      </c>
      <c r="AW616" s="32">
        <f t="shared" si="984"/>
        <v>0</v>
      </c>
      <c r="AX616" s="32">
        <f t="shared" si="984"/>
        <v>0</v>
      </c>
      <c r="AY616" s="32">
        <f t="shared" si="984"/>
        <v>0</v>
      </c>
      <c r="AZ616" s="32">
        <f t="shared" si="984"/>
        <v>0</v>
      </c>
      <c r="BA616" s="32">
        <f t="shared" si="984"/>
        <v>0</v>
      </c>
      <c r="BB616" s="32">
        <f t="shared" si="984"/>
        <v>0</v>
      </c>
      <c r="BC616" s="32">
        <f t="shared" si="984"/>
        <v>0</v>
      </c>
      <c r="BD616" s="32">
        <f t="shared" si="984"/>
        <v>0</v>
      </c>
      <c r="BE616" s="32">
        <f t="shared" si="984"/>
        <v>0</v>
      </c>
      <c r="BF616" s="32">
        <f t="shared" si="984"/>
        <v>0</v>
      </c>
      <c r="BG616" s="32">
        <f t="shared" si="984"/>
        <v>0</v>
      </c>
      <c r="BH616" s="32">
        <f t="shared" si="984"/>
        <v>0</v>
      </c>
      <c r="BI616" s="32">
        <f t="shared" si="984"/>
        <v>0</v>
      </c>
      <c r="BJ616" s="32">
        <f t="shared" si="984"/>
        <v>0</v>
      </c>
      <c r="BK616" s="32">
        <f t="shared" si="984"/>
        <v>0</v>
      </c>
      <c r="BL616" s="32">
        <f t="shared" si="984"/>
        <v>0</v>
      </c>
      <c r="BM616" s="32">
        <f t="shared" si="984"/>
        <v>0</v>
      </c>
      <c r="BN616" s="32">
        <f t="shared" si="984"/>
        <v>0</v>
      </c>
      <c r="BO616" s="32">
        <f t="shared" si="984"/>
        <v>0</v>
      </c>
      <c r="BP616" s="32">
        <f t="shared" si="984"/>
        <v>0</v>
      </c>
      <c r="BQ616" s="32">
        <f t="shared" ref="BQ616:CV616" si="985" xml:space="preserve"> BQ$664</f>
        <v>0</v>
      </c>
      <c r="BR616" s="32">
        <f t="shared" si="985"/>
        <v>0</v>
      </c>
      <c r="BS616" s="32">
        <f t="shared" si="985"/>
        <v>0</v>
      </c>
      <c r="BT616" s="32">
        <f t="shared" si="985"/>
        <v>0</v>
      </c>
      <c r="BU616" s="32">
        <f t="shared" si="985"/>
        <v>0</v>
      </c>
      <c r="BV616" s="32">
        <f t="shared" si="985"/>
        <v>0</v>
      </c>
      <c r="BW616" s="32">
        <f t="shared" si="985"/>
        <v>0</v>
      </c>
      <c r="BX616" s="32">
        <f t="shared" si="985"/>
        <v>0</v>
      </c>
      <c r="BY616" s="32">
        <f t="shared" si="985"/>
        <v>0</v>
      </c>
      <c r="BZ616" s="32">
        <f t="shared" si="985"/>
        <v>0</v>
      </c>
      <c r="CA616" s="32">
        <f t="shared" si="985"/>
        <v>0</v>
      </c>
      <c r="CB616" s="32">
        <f t="shared" si="985"/>
        <v>0</v>
      </c>
      <c r="CC616" s="32">
        <f t="shared" si="985"/>
        <v>0</v>
      </c>
      <c r="CD616" s="32">
        <f t="shared" si="985"/>
        <v>0</v>
      </c>
      <c r="CE616" s="32">
        <f t="shared" si="985"/>
        <v>0</v>
      </c>
      <c r="CF616" s="32">
        <f t="shared" si="985"/>
        <v>0</v>
      </c>
      <c r="CG616" s="32">
        <f t="shared" si="985"/>
        <v>0</v>
      </c>
      <c r="CH616" s="32">
        <f t="shared" si="985"/>
        <v>0</v>
      </c>
      <c r="CI616" s="32">
        <f t="shared" si="985"/>
        <v>0</v>
      </c>
      <c r="CJ616" s="32">
        <f t="shared" si="985"/>
        <v>0</v>
      </c>
      <c r="CK616" s="32">
        <f t="shared" si="985"/>
        <v>0</v>
      </c>
      <c r="CL616" s="32">
        <f t="shared" si="985"/>
        <v>0</v>
      </c>
      <c r="CM616" s="32">
        <f t="shared" si="985"/>
        <v>0</v>
      </c>
      <c r="CN616" s="32">
        <f t="shared" si="985"/>
        <v>0</v>
      </c>
      <c r="CO616" s="32">
        <f t="shared" si="985"/>
        <v>0</v>
      </c>
      <c r="CP616" s="32">
        <f t="shared" si="985"/>
        <v>0</v>
      </c>
      <c r="CQ616" s="32">
        <f t="shared" si="985"/>
        <v>0</v>
      </c>
      <c r="CR616" s="32">
        <f t="shared" si="985"/>
        <v>0</v>
      </c>
      <c r="CS616" s="32">
        <f t="shared" si="985"/>
        <v>0</v>
      </c>
      <c r="CT616" s="32">
        <f t="shared" si="985"/>
        <v>0</v>
      </c>
      <c r="CU616" s="32">
        <f t="shared" si="985"/>
        <v>0</v>
      </c>
      <c r="CV616" s="32">
        <f t="shared" si="985"/>
        <v>0</v>
      </c>
    </row>
    <row r="617" spans="1:100" ht="12.75" outlineLevel="2" x14ac:dyDescent="0.2">
      <c r="A617" s="79"/>
      <c r="B617" s="79"/>
      <c r="C617" s="561"/>
      <c r="D617" s="60"/>
      <c r="E617" s="125" t="str">
        <f xml:space="preserve"> Time!E$106</f>
        <v>Operating period flag</v>
      </c>
      <c r="F617" s="125">
        <f xml:space="preserve"> Time!F$106</f>
        <v>0</v>
      </c>
      <c r="G617" s="125" t="str">
        <f xml:space="preserve"> Time!G$106</f>
        <v>flag</v>
      </c>
      <c r="H617" s="125">
        <f xml:space="preserve"> Time!H$106</f>
        <v>40</v>
      </c>
      <c r="I617" s="125">
        <f xml:space="preserve"> Time!I$106</f>
        <v>0</v>
      </c>
      <c r="J617" s="125">
        <f xml:space="preserve"> Time!J$106</f>
        <v>0</v>
      </c>
      <c r="K617" s="125">
        <f xml:space="preserve"> Time!K$106</f>
        <v>0</v>
      </c>
      <c r="L617" s="125">
        <f xml:space="preserve"> Time!L$106</f>
        <v>0</v>
      </c>
      <c r="M617" s="125">
        <f xml:space="preserve"> Time!M$106</f>
        <v>0</v>
      </c>
      <c r="N617" s="125">
        <f xml:space="preserve"> Time!N$106</f>
        <v>0</v>
      </c>
      <c r="O617" s="125">
        <f xml:space="preserve"> Time!O$106</f>
        <v>1</v>
      </c>
      <c r="P617" s="125">
        <f xml:space="preserve"> Time!P$106</f>
        <v>1</v>
      </c>
      <c r="Q617" s="125">
        <f xml:space="preserve"> Time!Q$106</f>
        <v>1</v>
      </c>
      <c r="R617" s="125">
        <f xml:space="preserve"> Time!R$106</f>
        <v>1</v>
      </c>
      <c r="S617" s="125">
        <f xml:space="preserve"> Time!S$106</f>
        <v>1</v>
      </c>
      <c r="T617" s="125">
        <f xml:space="preserve"> Time!T$106</f>
        <v>1</v>
      </c>
      <c r="U617" s="125">
        <f xml:space="preserve"> Time!U$106</f>
        <v>1</v>
      </c>
      <c r="V617" s="125">
        <f xml:space="preserve"> Time!V$106</f>
        <v>1</v>
      </c>
      <c r="W617" s="125">
        <f xml:space="preserve"> Time!W$106</f>
        <v>1</v>
      </c>
      <c r="X617" s="125">
        <f xml:space="preserve"> Time!X$106</f>
        <v>1</v>
      </c>
      <c r="Y617" s="125">
        <f xml:space="preserve"> Time!Y$106</f>
        <v>1</v>
      </c>
      <c r="Z617" s="125">
        <f xml:space="preserve"> Time!Z$106</f>
        <v>1</v>
      </c>
      <c r="AA617" s="125">
        <f xml:space="preserve"> Time!AA$106</f>
        <v>1</v>
      </c>
      <c r="AB617" s="125">
        <f xml:space="preserve"> Time!AB$106</f>
        <v>1</v>
      </c>
      <c r="AC617" s="125">
        <f xml:space="preserve"> Time!AC$106</f>
        <v>1</v>
      </c>
      <c r="AD617" s="125">
        <f xml:space="preserve"> Time!AD$106</f>
        <v>1</v>
      </c>
      <c r="AE617" s="125">
        <f xml:space="preserve"> Time!AE$106</f>
        <v>1</v>
      </c>
      <c r="AF617" s="125">
        <f xml:space="preserve"> Time!AF$106</f>
        <v>1</v>
      </c>
      <c r="AG617" s="125">
        <f xml:space="preserve"> Time!AG$106</f>
        <v>1</v>
      </c>
      <c r="AH617" s="125">
        <f xml:space="preserve"> Time!AH$106</f>
        <v>1</v>
      </c>
      <c r="AI617" s="125">
        <f xml:space="preserve"> Time!AI$106</f>
        <v>1</v>
      </c>
      <c r="AJ617" s="125">
        <f xml:space="preserve"> Time!AJ$106</f>
        <v>1</v>
      </c>
      <c r="AK617" s="125">
        <f xml:space="preserve"> Time!AK$106</f>
        <v>1</v>
      </c>
      <c r="AL617" s="125">
        <f xml:space="preserve"> Time!AL$106</f>
        <v>1</v>
      </c>
      <c r="AM617" s="125">
        <f xml:space="preserve"> Time!AM$106</f>
        <v>1</v>
      </c>
      <c r="AN617" s="125">
        <f xml:space="preserve"> Time!AN$106</f>
        <v>1</v>
      </c>
      <c r="AO617" s="125">
        <f xml:space="preserve"> Time!AO$106</f>
        <v>1</v>
      </c>
      <c r="AP617" s="125">
        <f xml:space="preserve"> Time!AP$106</f>
        <v>1</v>
      </c>
      <c r="AQ617" s="125">
        <f xml:space="preserve"> Time!AQ$106</f>
        <v>1</v>
      </c>
      <c r="AR617" s="125">
        <f xml:space="preserve"> Time!AR$106</f>
        <v>1</v>
      </c>
      <c r="AS617" s="125">
        <f xml:space="preserve"> Time!AS$106</f>
        <v>1</v>
      </c>
      <c r="AT617" s="125">
        <f xml:space="preserve"> Time!AT$106</f>
        <v>1</v>
      </c>
      <c r="AU617" s="125">
        <f xml:space="preserve"> Time!AU$106</f>
        <v>1</v>
      </c>
      <c r="AV617" s="125">
        <f xml:space="preserve"> Time!AV$106</f>
        <v>1</v>
      </c>
      <c r="AW617" s="125">
        <f xml:space="preserve"> Time!AW$106</f>
        <v>1</v>
      </c>
      <c r="AX617" s="125">
        <f xml:space="preserve"> Time!AX$106</f>
        <v>1</v>
      </c>
      <c r="AY617" s="125">
        <f xml:space="preserve"> Time!AY$106</f>
        <v>1</v>
      </c>
      <c r="AZ617" s="125">
        <f xml:space="preserve"> Time!AZ$106</f>
        <v>1</v>
      </c>
      <c r="BA617" s="125">
        <f xml:space="preserve"> Time!BA$106</f>
        <v>1</v>
      </c>
      <c r="BB617" s="125">
        <f xml:space="preserve"> Time!BB$106</f>
        <v>1</v>
      </c>
      <c r="BC617" s="125">
        <f xml:space="preserve"> Time!BC$106</f>
        <v>0</v>
      </c>
      <c r="BD617" s="125">
        <f xml:space="preserve"> Time!BD$106</f>
        <v>0</v>
      </c>
      <c r="BE617" s="125">
        <f xml:space="preserve"> Time!BE$106</f>
        <v>0</v>
      </c>
      <c r="BF617" s="125">
        <f xml:space="preserve"> Time!BF$106</f>
        <v>0</v>
      </c>
      <c r="BG617" s="125">
        <f xml:space="preserve"> Time!BG$106</f>
        <v>0</v>
      </c>
      <c r="BH617" s="125">
        <f xml:space="preserve"> Time!BH$106</f>
        <v>0</v>
      </c>
      <c r="BI617" s="125">
        <f xml:space="preserve"> Time!BI$106</f>
        <v>0</v>
      </c>
      <c r="BJ617" s="125">
        <f xml:space="preserve"> Time!BJ$106</f>
        <v>0</v>
      </c>
      <c r="BK617" s="125">
        <f xml:space="preserve"> Time!BK$106</f>
        <v>0</v>
      </c>
      <c r="BL617" s="125">
        <f xml:space="preserve"> Time!BL$106</f>
        <v>0</v>
      </c>
      <c r="BM617" s="125">
        <f xml:space="preserve"> Time!BM$106</f>
        <v>0</v>
      </c>
      <c r="BN617" s="125">
        <f xml:space="preserve"> Time!BN$106</f>
        <v>0</v>
      </c>
      <c r="BO617" s="125">
        <f xml:space="preserve"> Time!BO$106</f>
        <v>0</v>
      </c>
      <c r="BP617" s="125">
        <f xml:space="preserve"> Time!BP$106</f>
        <v>0</v>
      </c>
      <c r="BQ617" s="125">
        <f xml:space="preserve"> Time!BQ$106</f>
        <v>0</v>
      </c>
      <c r="BR617" s="125">
        <f xml:space="preserve"> Time!BR$106</f>
        <v>0</v>
      </c>
      <c r="BS617" s="125">
        <f xml:space="preserve"> Time!BS$106</f>
        <v>0</v>
      </c>
      <c r="BT617" s="125">
        <f xml:space="preserve"> Time!BT$106</f>
        <v>0</v>
      </c>
      <c r="BU617" s="125">
        <f xml:space="preserve"> Time!BU$106</f>
        <v>0</v>
      </c>
      <c r="BV617" s="125">
        <f xml:space="preserve"> Time!BV$106</f>
        <v>0</v>
      </c>
      <c r="BW617" s="125">
        <f xml:space="preserve"> Time!BW$106</f>
        <v>0</v>
      </c>
      <c r="BX617" s="125">
        <f xml:space="preserve"> Time!BX$106</f>
        <v>0</v>
      </c>
      <c r="BY617" s="125">
        <f xml:space="preserve"> Time!BY$106</f>
        <v>0</v>
      </c>
      <c r="BZ617" s="125">
        <f xml:space="preserve"> Time!BZ$106</f>
        <v>0</v>
      </c>
      <c r="CA617" s="125">
        <f xml:space="preserve"> Time!CA$106</f>
        <v>0</v>
      </c>
      <c r="CB617" s="125">
        <f xml:space="preserve"> Time!CB$106</f>
        <v>0</v>
      </c>
      <c r="CC617" s="125">
        <f xml:space="preserve"> Time!CC$106</f>
        <v>0</v>
      </c>
      <c r="CD617" s="125">
        <f xml:space="preserve"> Time!CD$106</f>
        <v>0</v>
      </c>
      <c r="CE617" s="125">
        <f xml:space="preserve"> Time!CE$106</f>
        <v>0</v>
      </c>
      <c r="CF617" s="125">
        <f xml:space="preserve"> Time!CF$106</f>
        <v>0</v>
      </c>
      <c r="CG617" s="125">
        <f xml:space="preserve"> Time!CG$106</f>
        <v>0</v>
      </c>
      <c r="CH617" s="125">
        <f xml:space="preserve"> Time!CH$106</f>
        <v>0</v>
      </c>
      <c r="CI617" s="125">
        <f xml:space="preserve"> Time!CI$106</f>
        <v>0</v>
      </c>
      <c r="CJ617" s="125">
        <f xml:space="preserve"> Time!CJ$106</f>
        <v>0</v>
      </c>
      <c r="CK617" s="125">
        <f xml:space="preserve"> Time!CK$106</f>
        <v>0</v>
      </c>
      <c r="CL617" s="125">
        <f xml:space="preserve"> Time!CL$106</f>
        <v>0</v>
      </c>
      <c r="CM617" s="125">
        <f xml:space="preserve"> Time!CM$106</f>
        <v>0</v>
      </c>
      <c r="CN617" s="125">
        <f xml:space="preserve"> Time!CN$106</f>
        <v>0</v>
      </c>
      <c r="CO617" s="125">
        <f xml:space="preserve"> Time!CO$106</f>
        <v>0</v>
      </c>
      <c r="CP617" s="125">
        <f xml:space="preserve"> Time!CP$106</f>
        <v>0</v>
      </c>
      <c r="CQ617" s="125">
        <f xml:space="preserve"> Time!CQ$106</f>
        <v>0</v>
      </c>
      <c r="CR617" s="125">
        <f xml:space="preserve"> Time!CR$106</f>
        <v>0</v>
      </c>
      <c r="CS617" s="125">
        <f xml:space="preserve"> Time!CS$106</f>
        <v>0</v>
      </c>
      <c r="CT617" s="125">
        <f xml:space="preserve"> Time!CT$106</f>
        <v>0</v>
      </c>
      <c r="CU617" s="125">
        <f xml:space="preserve"> Time!CU$106</f>
        <v>0</v>
      </c>
      <c r="CV617" s="125">
        <f xml:space="preserve"> Time!CV$106</f>
        <v>0</v>
      </c>
    </row>
    <row r="618" spans="1:100" ht="12.75" outlineLevel="2" x14ac:dyDescent="0.2">
      <c r="A618" s="79"/>
      <c r="B618" s="79"/>
      <c r="C618" s="561"/>
      <c r="D618" s="60"/>
      <c r="E618" s="32" t="s">
        <v>1196</v>
      </c>
      <c r="F618" s="32"/>
      <c r="G618" s="32" t="str">
        <f xml:space="preserve"> SMU</f>
        <v>$ 000s</v>
      </c>
      <c r="H618" s="32"/>
      <c r="I618" s="32"/>
      <c r="J618" s="32">
        <f t="shared" ref="J618:AO618" si="986" xml:space="preserve"> ($F615 - J616) * J617 * $F614</f>
        <v>0</v>
      </c>
      <c r="K618" s="32">
        <f t="shared" si="986"/>
        <v>0</v>
      </c>
      <c r="L618" s="32">
        <f t="shared" si="986"/>
        <v>0</v>
      </c>
      <c r="M618" s="32">
        <f t="shared" si="986"/>
        <v>0</v>
      </c>
      <c r="N618" s="32">
        <f t="shared" si="986"/>
        <v>0</v>
      </c>
      <c r="O618" s="32">
        <f t="shared" si="986"/>
        <v>0</v>
      </c>
      <c r="P618" s="32">
        <f t="shared" si="986"/>
        <v>0</v>
      </c>
      <c r="Q618" s="32">
        <f t="shared" si="986"/>
        <v>0</v>
      </c>
      <c r="R618" s="32">
        <f t="shared" si="986"/>
        <v>0</v>
      </c>
      <c r="S618" s="32">
        <f t="shared" si="986"/>
        <v>0</v>
      </c>
      <c r="T618" s="32">
        <f t="shared" si="986"/>
        <v>0</v>
      </c>
      <c r="U618" s="32">
        <f t="shared" si="986"/>
        <v>0</v>
      </c>
      <c r="V618" s="32">
        <f t="shared" si="986"/>
        <v>0</v>
      </c>
      <c r="W618" s="32">
        <f t="shared" si="986"/>
        <v>0</v>
      </c>
      <c r="X618" s="32">
        <f t="shared" si="986"/>
        <v>0</v>
      </c>
      <c r="Y618" s="32">
        <f t="shared" si="986"/>
        <v>0</v>
      </c>
      <c r="Z618" s="32">
        <f t="shared" si="986"/>
        <v>0</v>
      </c>
      <c r="AA618" s="32">
        <f t="shared" si="986"/>
        <v>0</v>
      </c>
      <c r="AB618" s="32">
        <f t="shared" si="986"/>
        <v>0</v>
      </c>
      <c r="AC618" s="32">
        <f t="shared" si="986"/>
        <v>0</v>
      </c>
      <c r="AD618" s="32">
        <f t="shared" si="986"/>
        <v>0</v>
      </c>
      <c r="AE618" s="32">
        <f t="shared" si="986"/>
        <v>0</v>
      </c>
      <c r="AF618" s="32">
        <f t="shared" si="986"/>
        <v>0</v>
      </c>
      <c r="AG618" s="32">
        <f t="shared" si="986"/>
        <v>0</v>
      </c>
      <c r="AH618" s="32">
        <f t="shared" si="986"/>
        <v>0</v>
      </c>
      <c r="AI618" s="32">
        <f t="shared" si="986"/>
        <v>0</v>
      </c>
      <c r="AJ618" s="32">
        <f t="shared" si="986"/>
        <v>0</v>
      </c>
      <c r="AK618" s="32">
        <f t="shared" si="986"/>
        <v>0</v>
      </c>
      <c r="AL618" s="32">
        <f t="shared" si="986"/>
        <v>0</v>
      </c>
      <c r="AM618" s="32">
        <f t="shared" si="986"/>
        <v>0</v>
      </c>
      <c r="AN618" s="32">
        <f t="shared" si="986"/>
        <v>0</v>
      </c>
      <c r="AO618" s="32">
        <f t="shared" si="986"/>
        <v>0</v>
      </c>
      <c r="AP618" s="32">
        <f t="shared" ref="AP618:BU618" si="987" xml:space="preserve"> ($F615 - AP616) * AP617 * $F614</f>
        <v>0</v>
      </c>
      <c r="AQ618" s="32">
        <f t="shared" si="987"/>
        <v>0</v>
      </c>
      <c r="AR618" s="32">
        <f t="shared" si="987"/>
        <v>0</v>
      </c>
      <c r="AS618" s="32">
        <f t="shared" si="987"/>
        <v>0</v>
      </c>
      <c r="AT618" s="32">
        <f t="shared" si="987"/>
        <v>0</v>
      </c>
      <c r="AU618" s="32">
        <f t="shared" si="987"/>
        <v>0</v>
      </c>
      <c r="AV618" s="32">
        <f t="shared" si="987"/>
        <v>0</v>
      </c>
      <c r="AW618" s="32">
        <f t="shared" si="987"/>
        <v>0</v>
      </c>
      <c r="AX618" s="32">
        <f t="shared" si="987"/>
        <v>0</v>
      </c>
      <c r="AY618" s="32">
        <f t="shared" si="987"/>
        <v>0</v>
      </c>
      <c r="AZ618" s="32">
        <f t="shared" si="987"/>
        <v>0</v>
      </c>
      <c r="BA618" s="32">
        <f t="shared" si="987"/>
        <v>0</v>
      </c>
      <c r="BB618" s="32">
        <f t="shared" si="987"/>
        <v>0</v>
      </c>
      <c r="BC618" s="32">
        <f t="shared" si="987"/>
        <v>0</v>
      </c>
      <c r="BD618" s="32">
        <f t="shared" si="987"/>
        <v>0</v>
      </c>
      <c r="BE618" s="32">
        <f t="shared" si="987"/>
        <v>0</v>
      </c>
      <c r="BF618" s="32">
        <f t="shared" si="987"/>
        <v>0</v>
      </c>
      <c r="BG618" s="32">
        <f t="shared" si="987"/>
        <v>0</v>
      </c>
      <c r="BH618" s="32">
        <f t="shared" si="987"/>
        <v>0</v>
      </c>
      <c r="BI618" s="32">
        <f t="shared" si="987"/>
        <v>0</v>
      </c>
      <c r="BJ618" s="32">
        <f t="shared" si="987"/>
        <v>0</v>
      </c>
      <c r="BK618" s="32">
        <f t="shared" si="987"/>
        <v>0</v>
      </c>
      <c r="BL618" s="32">
        <f t="shared" si="987"/>
        <v>0</v>
      </c>
      <c r="BM618" s="32">
        <f t="shared" si="987"/>
        <v>0</v>
      </c>
      <c r="BN618" s="32">
        <f t="shared" si="987"/>
        <v>0</v>
      </c>
      <c r="BO618" s="32">
        <f t="shared" si="987"/>
        <v>0</v>
      </c>
      <c r="BP618" s="32">
        <f t="shared" si="987"/>
        <v>0</v>
      </c>
      <c r="BQ618" s="32">
        <f t="shared" si="987"/>
        <v>0</v>
      </c>
      <c r="BR618" s="32">
        <f t="shared" si="987"/>
        <v>0</v>
      </c>
      <c r="BS618" s="32">
        <f t="shared" si="987"/>
        <v>0</v>
      </c>
      <c r="BT618" s="32">
        <f t="shared" si="987"/>
        <v>0</v>
      </c>
      <c r="BU618" s="32">
        <f t="shared" si="987"/>
        <v>0</v>
      </c>
      <c r="BV618" s="32">
        <f t="shared" ref="BV618:CV618" si="988" xml:space="preserve"> ($F615 - BV616) * BV617 * $F614</f>
        <v>0</v>
      </c>
      <c r="BW618" s="32">
        <f t="shared" si="988"/>
        <v>0</v>
      </c>
      <c r="BX618" s="32">
        <f t="shared" si="988"/>
        <v>0</v>
      </c>
      <c r="BY618" s="32">
        <f t="shared" si="988"/>
        <v>0</v>
      </c>
      <c r="BZ618" s="32">
        <f t="shared" si="988"/>
        <v>0</v>
      </c>
      <c r="CA618" s="32">
        <f t="shared" si="988"/>
        <v>0</v>
      </c>
      <c r="CB618" s="32">
        <f t="shared" si="988"/>
        <v>0</v>
      </c>
      <c r="CC618" s="32">
        <f t="shared" si="988"/>
        <v>0</v>
      </c>
      <c r="CD618" s="32">
        <f t="shared" si="988"/>
        <v>0</v>
      </c>
      <c r="CE618" s="32">
        <f t="shared" si="988"/>
        <v>0</v>
      </c>
      <c r="CF618" s="32">
        <f t="shared" si="988"/>
        <v>0</v>
      </c>
      <c r="CG618" s="32">
        <f t="shared" si="988"/>
        <v>0</v>
      </c>
      <c r="CH618" s="32">
        <f t="shared" si="988"/>
        <v>0</v>
      </c>
      <c r="CI618" s="32">
        <f t="shared" si="988"/>
        <v>0</v>
      </c>
      <c r="CJ618" s="32">
        <f t="shared" si="988"/>
        <v>0</v>
      </c>
      <c r="CK618" s="32">
        <f t="shared" si="988"/>
        <v>0</v>
      </c>
      <c r="CL618" s="32">
        <f t="shared" si="988"/>
        <v>0</v>
      </c>
      <c r="CM618" s="32">
        <f t="shared" si="988"/>
        <v>0</v>
      </c>
      <c r="CN618" s="32">
        <f t="shared" si="988"/>
        <v>0</v>
      </c>
      <c r="CO618" s="32">
        <f t="shared" si="988"/>
        <v>0</v>
      </c>
      <c r="CP618" s="32">
        <f t="shared" si="988"/>
        <v>0</v>
      </c>
      <c r="CQ618" s="32">
        <f t="shared" si="988"/>
        <v>0</v>
      </c>
      <c r="CR618" s="32">
        <f t="shared" si="988"/>
        <v>0</v>
      </c>
      <c r="CS618" s="32">
        <f t="shared" si="988"/>
        <v>0</v>
      </c>
      <c r="CT618" s="32">
        <f t="shared" si="988"/>
        <v>0</v>
      </c>
      <c r="CU618" s="32">
        <f t="shared" si="988"/>
        <v>0</v>
      </c>
      <c r="CV618" s="32">
        <f t="shared" si="988"/>
        <v>0</v>
      </c>
    </row>
    <row r="619" spans="1:100" ht="12.75" outlineLevel="2" x14ac:dyDescent="0.2">
      <c r="A619" s="79"/>
      <c r="B619" s="79"/>
      <c r="C619" s="561"/>
      <c r="D619" s="60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  <c r="AW619" s="32"/>
      <c r="AX619" s="32"/>
      <c r="AY619" s="32"/>
      <c r="AZ619" s="32"/>
      <c r="BA619" s="32"/>
      <c r="BB619" s="32"/>
      <c r="BC619" s="32"/>
      <c r="BD619" s="32"/>
      <c r="BE619" s="32"/>
      <c r="BF619" s="32"/>
      <c r="BG619" s="32"/>
      <c r="BH619" s="32"/>
      <c r="BI619" s="32"/>
      <c r="BJ619" s="32"/>
      <c r="BK619" s="32"/>
      <c r="BL619" s="32"/>
      <c r="BM619" s="32"/>
      <c r="BN619" s="32"/>
      <c r="BO619" s="32"/>
      <c r="BP619" s="32"/>
      <c r="BQ619" s="32"/>
      <c r="BR619" s="32"/>
      <c r="BS619" s="32"/>
      <c r="BT619" s="32"/>
      <c r="BU619" s="32"/>
      <c r="BV619" s="32"/>
      <c r="BW619" s="32"/>
      <c r="BX619" s="32"/>
      <c r="BY619" s="32"/>
      <c r="BZ619" s="32"/>
      <c r="CA619" s="32"/>
      <c r="CB619" s="32"/>
      <c r="CC619" s="32"/>
      <c r="CD619" s="32"/>
      <c r="CE619" s="32"/>
      <c r="CF619" s="32"/>
      <c r="CG619" s="32"/>
      <c r="CH619" s="32"/>
      <c r="CI619" s="32"/>
      <c r="CJ619" s="32"/>
      <c r="CK619" s="32"/>
      <c r="CL619" s="32"/>
      <c r="CM619" s="32"/>
      <c r="CN619" s="32"/>
      <c r="CO619" s="32"/>
      <c r="CP619" s="32"/>
      <c r="CQ619" s="32"/>
      <c r="CR619" s="32"/>
      <c r="CS619" s="32"/>
      <c r="CT619" s="32"/>
      <c r="CU619" s="32"/>
      <c r="CV619" s="32"/>
    </row>
    <row r="620" spans="1:100" s="495" customFormat="1" ht="12.75" outlineLevel="2" x14ac:dyDescent="0.2">
      <c r="A620" s="236"/>
      <c r="B620" s="236"/>
      <c r="C620" s="237"/>
      <c r="D620" s="238"/>
      <c r="E620" s="68" t="str">
        <f xml:space="preserve"> InpC!E$360</f>
        <v>WCF active switch</v>
      </c>
      <c r="F620" s="68">
        <f xml:space="preserve"> InpC!F$360</f>
        <v>0</v>
      </c>
      <c r="G620" s="68" t="str">
        <f xml:space="preserve"> InpC!G$360</f>
        <v>1 = yes, 0 = no</v>
      </c>
      <c r="H620" s="235"/>
      <c r="I620" s="235"/>
      <c r="J620" s="235"/>
      <c r="K620" s="235"/>
      <c r="L620" s="235"/>
      <c r="M620" s="235"/>
      <c r="N620" s="235"/>
      <c r="O620" s="235"/>
      <c r="P620" s="235"/>
      <c r="Q620" s="235"/>
      <c r="R620" s="235"/>
      <c r="S620" s="235"/>
      <c r="T620" s="235"/>
      <c r="U620" s="235"/>
      <c r="V620" s="235"/>
      <c r="W620" s="235"/>
      <c r="X620" s="235"/>
      <c r="Y620" s="235"/>
      <c r="Z620" s="235"/>
      <c r="AA620" s="235"/>
      <c r="AB620" s="235"/>
      <c r="AC620" s="235"/>
      <c r="AD620" s="235"/>
      <c r="AE620" s="235"/>
      <c r="AF620" s="235"/>
      <c r="AG620" s="235"/>
      <c r="AH620" s="235"/>
      <c r="AI620" s="235"/>
      <c r="AJ620" s="235"/>
      <c r="AK620" s="235"/>
      <c r="AL620" s="235"/>
      <c r="AM620" s="235"/>
      <c r="AN620" s="235"/>
      <c r="AO620" s="235"/>
      <c r="AP620" s="235"/>
      <c r="AQ620" s="235"/>
      <c r="AR620" s="235"/>
      <c r="AS620" s="235"/>
      <c r="AT620" s="235"/>
      <c r="AU620" s="235"/>
      <c r="AV620" s="235"/>
      <c r="AW620" s="235"/>
      <c r="AX620" s="235"/>
      <c r="AY620" s="235"/>
      <c r="AZ620" s="235"/>
      <c r="BA620" s="235"/>
      <c r="BB620" s="235"/>
      <c r="BC620" s="235"/>
      <c r="BD620" s="235"/>
      <c r="BE620" s="235"/>
      <c r="BF620" s="235"/>
      <c r="BG620" s="235"/>
      <c r="BH620" s="235"/>
      <c r="BI620" s="235"/>
      <c r="BJ620" s="235"/>
      <c r="BK620" s="235"/>
      <c r="BL620" s="235"/>
      <c r="BM620" s="235"/>
      <c r="BN620" s="235"/>
      <c r="BO620" s="235"/>
      <c r="BP620" s="235"/>
      <c r="BQ620" s="235"/>
      <c r="BR620" s="235"/>
      <c r="BS620" s="235"/>
      <c r="BT620" s="235"/>
      <c r="BU620" s="235"/>
      <c r="BV620" s="235"/>
      <c r="BW620" s="235"/>
      <c r="BX620" s="235"/>
      <c r="BY620" s="235"/>
      <c r="BZ620" s="235"/>
      <c r="CA620" s="235"/>
      <c r="CB620" s="235"/>
      <c r="CC620" s="235"/>
      <c r="CD620" s="235"/>
      <c r="CE620" s="235"/>
      <c r="CF620" s="235"/>
      <c r="CG620" s="235"/>
      <c r="CH620" s="235"/>
      <c r="CI620" s="235"/>
      <c r="CJ620" s="235"/>
      <c r="CK620" s="235"/>
      <c r="CL620" s="235"/>
      <c r="CM620" s="235"/>
      <c r="CN620" s="235"/>
      <c r="CO620" s="235"/>
      <c r="CP620" s="235"/>
      <c r="CQ620" s="235"/>
      <c r="CR620" s="235"/>
      <c r="CS620" s="235"/>
      <c r="CT620" s="235"/>
      <c r="CU620" s="235"/>
      <c r="CV620" s="235"/>
    </row>
    <row r="621" spans="1:100" ht="12.75" outlineLevel="2" x14ac:dyDescent="0.2">
      <c r="A621" s="639"/>
      <c r="B621" s="639"/>
      <c r="C621" s="640"/>
      <c r="D621" s="641"/>
      <c r="E621" s="125" t="str">
        <f xml:space="preserve"> Ops!E$248</f>
        <v>Decrease / (increase) in working capital - P99</v>
      </c>
      <c r="F621" s="125">
        <f xml:space="preserve"> Ops!F$248</f>
        <v>0</v>
      </c>
      <c r="G621" s="125" t="str">
        <f xml:space="preserve"> Ops!G$248</f>
        <v>$ 000s</v>
      </c>
      <c r="H621" s="125">
        <f xml:space="preserve"> Ops!H$248</f>
        <v>0</v>
      </c>
      <c r="I621" s="125">
        <f xml:space="preserve"> Ops!I$248</f>
        <v>0</v>
      </c>
      <c r="J621" s="125">
        <f xml:space="preserve"> Ops!J$248</f>
        <v>0</v>
      </c>
      <c r="K621" s="125">
        <f xml:space="preserve"> Ops!K$248</f>
        <v>0</v>
      </c>
      <c r="L621" s="125">
        <f xml:space="preserve"> Ops!L$248</f>
        <v>0</v>
      </c>
      <c r="M621" s="125">
        <f xml:space="preserve"> Ops!M$248</f>
        <v>0</v>
      </c>
      <c r="N621" s="125">
        <f xml:space="preserve"> Ops!N$248</f>
        <v>0</v>
      </c>
      <c r="O621" s="125">
        <f xml:space="preserve"> Ops!O$248</f>
        <v>-2942.2107868979674</v>
      </c>
      <c r="P621" s="125">
        <f xml:space="preserve"> Ops!P$248</f>
        <v>-48.765924644716506</v>
      </c>
      <c r="Q621" s="125">
        <f xml:space="preserve"> Ops!Q$248</f>
        <v>76.398725765154268</v>
      </c>
      <c r="R621" s="125">
        <f xml:space="preserve"> Ops!R$248</f>
        <v>-48.307922416201109</v>
      </c>
      <c r="S621" s="125">
        <f xml:space="preserve"> Ops!S$248</f>
        <v>76.323888706903745</v>
      </c>
      <c r="T621" s="125">
        <f xml:space="preserve"> Ops!T$248</f>
        <v>-47.843569383759132</v>
      </c>
      <c r="U621" s="125">
        <f xml:space="preserve"> Ops!U$248</f>
        <v>76.250758464559112</v>
      </c>
      <c r="V621" s="125">
        <f xml:space="preserve"> Ops!V$248</f>
        <v>-31.40829483962716</v>
      </c>
      <c r="W621" s="125">
        <f xml:space="preserve"> Ops!W$248</f>
        <v>60.214925701877291</v>
      </c>
      <c r="X621" s="125">
        <f xml:space="preserve"> Ops!X$248</f>
        <v>-46.895274025585422</v>
      </c>
      <c r="Y621" s="125">
        <f xml:space="preserve"> Ops!Y$248</f>
        <v>76.109730277243216</v>
      </c>
      <c r="Z621" s="125">
        <f xml:space="preserve"> Ops!Z$248</f>
        <v>-46.411056518652913</v>
      </c>
      <c r="AA621" s="125">
        <f xml:space="preserve"> Ops!AA$248</f>
        <v>76.041889694531164</v>
      </c>
      <c r="AB621" s="125">
        <f xml:space="preserve"> Ops!AB$248</f>
        <v>-45.919937736734937</v>
      </c>
      <c r="AC621" s="125">
        <f xml:space="preserve"> Ops!AC$248</f>
        <v>75.975870675257283</v>
      </c>
      <c r="AD621" s="125">
        <f xml:space="preserve"> Ops!AD$248</f>
        <v>-30.114801947007436</v>
      </c>
      <c r="AE621" s="125">
        <f xml:space="preserve"> Ops!AE$248</f>
        <v>60.604732234822222</v>
      </c>
      <c r="AF621" s="125">
        <f xml:space="preserve"> Ops!AF$248</f>
        <v>-44.916415141821744</v>
      </c>
      <c r="AG621" s="125">
        <f xml:space="preserve"> Ops!AG$248</f>
        <v>75.849418627566592</v>
      </c>
      <c r="AH621" s="125">
        <f xml:space="preserve"> Ops!AH$248</f>
        <v>-44.403713426588183</v>
      </c>
      <c r="AI621" s="125">
        <f xml:space="preserve"> Ops!AI$248</f>
        <v>75.789047805285009</v>
      </c>
      <c r="AJ621" s="125">
        <f xml:space="preserve"> Ops!AJ$248</f>
        <v>-43.883514514232957</v>
      </c>
      <c r="AK621" s="125">
        <f xml:space="preserve"> Ops!AK$248</f>
        <v>75.730622983678586</v>
      </c>
      <c r="AL621" s="125">
        <f xml:space="preserve"> Ops!AL$248</f>
        <v>-28.744962643471808</v>
      </c>
      <c r="AM621" s="125">
        <f xml:space="preserve"> Ops!AM$248</f>
        <v>61.063477634055744</v>
      </c>
      <c r="AN621" s="125">
        <f xml:space="preserve"> Ops!AN$248</f>
        <v>-42.819995893350097</v>
      </c>
      <c r="AO621" s="125">
        <f xml:space="preserve"> Ops!AO$248</f>
        <v>75.619742872813731</v>
      </c>
      <c r="AP621" s="125">
        <f xml:space="preserve"> Ops!AP$248</f>
        <v>-42.276353678219493</v>
      </c>
      <c r="AQ621" s="125">
        <f xml:space="preserve"> Ops!AQ$248</f>
        <v>75.56735503285563</v>
      </c>
      <c r="AR621" s="125">
        <f xml:space="preserve"> Ops!AR$248</f>
        <v>-41.724569125380185</v>
      </c>
      <c r="AS621" s="125">
        <f xml:space="preserve"> Ops!AS$248</f>
        <v>75.517048119184437</v>
      </c>
      <c r="AT621" s="125">
        <f xml:space="preserve"> Ops!AT$248</f>
        <v>-27.292196244370643</v>
      </c>
      <c r="AU621" s="125">
        <f xml:space="preserve"> Ops!AU$248</f>
        <v>61.596581057702679</v>
      </c>
      <c r="AV621" s="125">
        <f xml:space="preserve"> Ops!AV$248</f>
        <v>-40.595891824711543</v>
      </c>
      <c r="AW621" s="125">
        <f xml:space="preserve"> Ops!AW$248</f>
        <v>75.422819674129641</v>
      </c>
      <c r="AX621" s="125">
        <f xml:space="preserve"> Ops!AX$248</f>
        <v>-40.018649926655598</v>
      </c>
      <c r="AY621" s="125">
        <f xml:space="preserve"> Ops!AY$248</f>
        <v>75.378971267460656</v>
      </c>
      <c r="AZ621" s="125">
        <f xml:space="preserve"> Ops!AZ$248</f>
        <v>-39.432567252496483</v>
      </c>
      <c r="BA621" s="125">
        <f xml:space="preserve"> Ops!BA$248</f>
        <v>75.337350065727151</v>
      </c>
      <c r="BB621" s="125">
        <f xml:space="preserve"> Ops!BB$248</f>
        <v>2343.1934414207426</v>
      </c>
      <c r="BC621" s="125">
        <f xml:space="preserve"> Ops!BC$248</f>
        <v>0</v>
      </c>
      <c r="BD621" s="125">
        <f xml:space="preserve"> Ops!BD$248</f>
        <v>0</v>
      </c>
      <c r="BE621" s="125">
        <f xml:space="preserve"> Ops!BE$248</f>
        <v>0</v>
      </c>
      <c r="BF621" s="125">
        <f xml:space="preserve"> Ops!BF$248</f>
        <v>0</v>
      </c>
      <c r="BG621" s="125">
        <f xml:space="preserve"> Ops!BG$248</f>
        <v>0</v>
      </c>
      <c r="BH621" s="125">
        <f xml:space="preserve"> Ops!BH$248</f>
        <v>0</v>
      </c>
      <c r="BI621" s="125">
        <f xml:space="preserve"> Ops!BI$248</f>
        <v>0</v>
      </c>
      <c r="BJ621" s="125">
        <f xml:space="preserve"> Ops!BJ$248</f>
        <v>0</v>
      </c>
      <c r="BK621" s="125">
        <f xml:space="preserve"> Ops!BK$248</f>
        <v>0</v>
      </c>
      <c r="BL621" s="125">
        <f xml:space="preserve"> Ops!BL$248</f>
        <v>0</v>
      </c>
      <c r="BM621" s="125">
        <f xml:space="preserve"> Ops!BM$248</f>
        <v>0</v>
      </c>
      <c r="BN621" s="125">
        <f xml:space="preserve"> Ops!BN$248</f>
        <v>0</v>
      </c>
      <c r="BO621" s="125">
        <f xml:space="preserve"> Ops!BO$248</f>
        <v>0</v>
      </c>
      <c r="BP621" s="125">
        <f xml:space="preserve"> Ops!BP$248</f>
        <v>0</v>
      </c>
      <c r="BQ621" s="125">
        <f xml:space="preserve"> Ops!BQ$248</f>
        <v>0</v>
      </c>
      <c r="BR621" s="125">
        <f xml:space="preserve"> Ops!BR$248</f>
        <v>0</v>
      </c>
      <c r="BS621" s="125">
        <f xml:space="preserve"> Ops!BS$248</f>
        <v>0</v>
      </c>
      <c r="BT621" s="125">
        <f xml:space="preserve"> Ops!BT$248</f>
        <v>0</v>
      </c>
      <c r="BU621" s="125">
        <f xml:space="preserve"> Ops!BU$248</f>
        <v>0</v>
      </c>
      <c r="BV621" s="125">
        <f xml:space="preserve"> Ops!BV$248</f>
        <v>0</v>
      </c>
      <c r="BW621" s="125">
        <f xml:space="preserve"> Ops!BW$248</f>
        <v>0</v>
      </c>
      <c r="BX621" s="125">
        <f xml:space="preserve"> Ops!BX$248</f>
        <v>0</v>
      </c>
      <c r="BY621" s="125">
        <f xml:space="preserve"> Ops!BY$248</f>
        <v>0</v>
      </c>
      <c r="BZ621" s="125">
        <f xml:space="preserve"> Ops!BZ$248</f>
        <v>0</v>
      </c>
      <c r="CA621" s="125">
        <f xml:space="preserve"> Ops!CA$248</f>
        <v>0</v>
      </c>
      <c r="CB621" s="125">
        <f xml:space="preserve"> Ops!CB$248</f>
        <v>0</v>
      </c>
      <c r="CC621" s="125">
        <f xml:space="preserve"> Ops!CC$248</f>
        <v>0</v>
      </c>
      <c r="CD621" s="125">
        <f xml:space="preserve"> Ops!CD$248</f>
        <v>0</v>
      </c>
      <c r="CE621" s="125">
        <f xml:space="preserve"> Ops!CE$248</f>
        <v>0</v>
      </c>
      <c r="CF621" s="125">
        <f xml:space="preserve"> Ops!CF$248</f>
        <v>0</v>
      </c>
      <c r="CG621" s="125">
        <f xml:space="preserve"> Ops!CG$248</f>
        <v>0</v>
      </c>
      <c r="CH621" s="125">
        <f xml:space="preserve"> Ops!CH$248</f>
        <v>0</v>
      </c>
      <c r="CI621" s="125">
        <f xml:space="preserve"> Ops!CI$248</f>
        <v>0</v>
      </c>
      <c r="CJ621" s="125">
        <f xml:space="preserve"> Ops!CJ$248</f>
        <v>0</v>
      </c>
      <c r="CK621" s="125">
        <f xml:space="preserve"> Ops!CK$248</f>
        <v>0</v>
      </c>
      <c r="CL621" s="125">
        <f xml:space="preserve"> Ops!CL$248</f>
        <v>0</v>
      </c>
      <c r="CM621" s="125">
        <f xml:space="preserve"> Ops!CM$248</f>
        <v>0</v>
      </c>
      <c r="CN621" s="125">
        <f xml:space="preserve"> Ops!CN$248</f>
        <v>0</v>
      </c>
      <c r="CO621" s="125">
        <f xml:space="preserve"> Ops!CO$248</f>
        <v>0</v>
      </c>
      <c r="CP621" s="125">
        <f xml:space="preserve"> Ops!CP$248</f>
        <v>0</v>
      </c>
      <c r="CQ621" s="125">
        <f xml:space="preserve"> Ops!CQ$248</f>
        <v>0</v>
      </c>
      <c r="CR621" s="125">
        <f xml:space="preserve"> Ops!CR$248</f>
        <v>0</v>
      </c>
      <c r="CS621" s="125">
        <f xml:space="preserve"> Ops!CS$248</f>
        <v>0</v>
      </c>
      <c r="CT621" s="125">
        <f xml:space="preserve"> Ops!CT$248</f>
        <v>0</v>
      </c>
      <c r="CU621" s="125">
        <f xml:space="preserve"> Ops!CU$248</f>
        <v>0</v>
      </c>
      <c r="CV621" s="125">
        <f xml:space="preserve"> Ops!CV$248</f>
        <v>0</v>
      </c>
    </row>
    <row r="622" spans="1:100" ht="12.75" outlineLevel="2" x14ac:dyDescent="0.2">
      <c r="A622" s="79"/>
      <c r="B622" s="79"/>
      <c r="C622" s="561"/>
      <c r="D622" s="60"/>
      <c r="E622" s="125" t="str">
        <f xml:space="preserve"> Time!E$106</f>
        <v>Operating period flag</v>
      </c>
      <c r="F622" s="125">
        <f xml:space="preserve"> Time!F$106</f>
        <v>0</v>
      </c>
      <c r="G622" s="125" t="str">
        <f xml:space="preserve"> Time!G$106</f>
        <v>flag</v>
      </c>
      <c r="H622" s="125">
        <f xml:space="preserve"> Time!H$106</f>
        <v>40</v>
      </c>
      <c r="I622" s="125">
        <f xml:space="preserve"> Time!I$106</f>
        <v>0</v>
      </c>
      <c r="J622" s="125">
        <f xml:space="preserve"> Time!J$106</f>
        <v>0</v>
      </c>
      <c r="K622" s="125">
        <f xml:space="preserve"> Time!K$106</f>
        <v>0</v>
      </c>
      <c r="L622" s="125">
        <f xml:space="preserve"> Time!L$106</f>
        <v>0</v>
      </c>
      <c r="M622" s="125">
        <f xml:space="preserve"> Time!M$106</f>
        <v>0</v>
      </c>
      <c r="N622" s="125">
        <f xml:space="preserve"> Time!N$106</f>
        <v>0</v>
      </c>
      <c r="O622" s="125">
        <f xml:space="preserve"> Time!O$106</f>
        <v>1</v>
      </c>
      <c r="P622" s="125">
        <f xml:space="preserve"> Time!P$106</f>
        <v>1</v>
      </c>
      <c r="Q622" s="125">
        <f xml:space="preserve"> Time!Q$106</f>
        <v>1</v>
      </c>
      <c r="R622" s="125">
        <f xml:space="preserve"> Time!R$106</f>
        <v>1</v>
      </c>
      <c r="S622" s="125">
        <f xml:space="preserve"> Time!S$106</f>
        <v>1</v>
      </c>
      <c r="T622" s="125">
        <f xml:space="preserve"> Time!T$106</f>
        <v>1</v>
      </c>
      <c r="U622" s="125">
        <f xml:space="preserve"> Time!U$106</f>
        <v>1</v>
      </c>
      <c r="V622" s="125">
        <f xml:space="preserve"> Time!V$106</f>
        <v>1</v>
      </c>
      <c r="W622" s="125">
        <f xml:space="preserve"> Time!W$106</f>
        <v>1</v>
      </c>
      <c r="X622" s="125">
        <f xml:space="preserve"> Time!X$106</f>
        <v>1</v>
      </c>
      <c r="Y622" s="125">
        <f xml:space="preserve"> Time!Y$106</f>
        <v>1</v>
      </c>
      <c r="Z622" s="125">
        <f xml:space="preserve"> Time!Z$106</f>
        <v>1</v>
      </c>
      <c r="AA622" s="125">
        <f xml:space="preserve"> Time!AA$106</f>
        <v>1</v>
      </c>
      <c r="AB622" s="125">
        <f xml:space="preserve"> Time!AB$106</f>
        <v>1</v>
      </c>
      <c r="AC622" s="125">
        <f xml:space="preserve"> Time!AC$106</f>
        <v>1</v>
      </c>
      <c r="AD622" s="125">
        <f xml:space="preserve"> Time!AD$106</f>
        <v>1</v>
      </c>
      <c r="AE622" s="125">
        <f xml:space="preserve"> Time!AE$106</f>
        <v>1</v>
      </c>
      <c r="AF622" s="125">
        <f xml:space="preserve"> Time!AF$106</f>
        <v>1</v>
      </c>
      <c r="AG622" s="125">
        <f xml:space="preserve"> Time!AG$106</f>
        <v>1</v>
      </c>
      <c r="AH622" s="125">
        <f xml:space="preserve"> Time!AH$106</f>
        <v>1</v>
      </c>
      <c r="AI622" s="125">
        <f xml:space="preserve"> Time!AI$106</f>
        <v>1</v>
      </c>
      <c r="AJ622" s="125">
        <f xml:space="preserve"> Time!AJ$106</f>
        <v>1</v>
      </c>
      <c r="AK622" s="125">
        <f xml:space="preserve"> Time!AK$106</f>
        <v>1</v>
      </c>
      <c r="AL622" s="125">
        <f xml:space="preserve"> Time!AL$106</f>
        <v>1</v>
      </c>
      <c r="AM622" s="125">
        <f xml:space="preserve"> Time!AM$106</f>
        <v>1</v>
      </c>
      <c r="AN622" s="125">
        <f xml:space="preserve"> Time!AN$106</f>
        <v>1</v>
      </c>
      <c r="AO622" s="125">
        <f xml:space="preserve"> Time!AO$106</f>
        <v>1</v>
      </c>
      <c r="AP622" s="125">
        <f xml:space="preserve"> Time!AP$106</f>
        <v>1</v>
      </c>
      <c r="AQ622" s="125">
        <f xml:space="preserve"> Time!AQ$106</f>
        <v>1</v>
      </c>
      <c r="AR622" s="125">
        <f xml:space="preserve"> Time!AR$106</f>
        <v>1</v>
      </c>
      <c r="AS622" s="125">
        <f xml:space="preserve"> Time!AS$106</f>
        <v>1</v>
      </c>
      <c r="AT622" s="125">
        <f xml:space="preserve"> Time!AT$106</f>
        <v>1</v>
      </c>
      <c r="AU622" s="125">
        <f xml:space="preserve"> Time!AU$106</f>
        <v>1</v>
      </c>
      <c r="AV622" s="125">
        <f xml:space="preserve"> Time!AV$106</f>
        <v>1</v>
      </c>
      <c r="AW622" s="125">
        <f xml:space="preserve"> Time!AW$106</f>
        <v>1</v>
      </c>
      <c r="AX622" s="125">
        <f xml:space="preserve"> Time!AX$106</f>
        <v>1</v>
      </c>
      <c r="AY622" s="125">
        <f xml:space="preserve"> Time!AY$106</f>
        <v>1</v>
      </c>
      <c r="AZ622" s="125">
        <f xml:space="preserve"> Time!AZ$106</f>
        <v>1</v>
      </c>
      <c r="BA622" s="125">
        <f xml:space="preserve"> Time!BA$106</f>
        <v>1</v>
      </c>
      <c r="BB622" s="125">
        <f xml:space="preserve"> Time!BB$106</f>
        <v>1</v>
      </c>
      <c r="BC622" s="125">
        <f xml:space="preserve"> Time!BC$106</f>
        <v>0</v>
      </c>
      <c r="BD622" s="125">
        <f xml:space="preserve"> Time!BD$106</f>
        <v>0</v>
      </c>
      <c r="BE622" s="125">
        <f xml:space="preserve"> Time!BE$106</f>
        <v>0</v>
      </c>
      <c r="BF622" s="125">
        <f xml:space="preserve"> Time!BF$106</f>
        <v>0</v>
      </c>
      <c r="BG622" s="125">
        <f xml:space="preserve"> Time!BG$106</f>
        <v>0</v>
      </c>
      <c r="BH622" s="125">
        <f xml:space="preserve"> Time!BH$106</f>
        <v>0</v>
      </c>
      <c r="BI622" s="125">
        <f xml:space="preserve"> Time!BI$106</f>
        <v>0</v>
      </c>
      <c r="BJ622" s="125">
        <f xml:space="preserve"> Time!BJ$106</f>
        <v>0</v>
      </c>
      <c r="BK622" s="125">
        <f xml:space="preserve"> Time!BK$106</f>
        <v>0</v>
      </c>
      <c r="BL622" s="125">
        <f xml:space="preserve"> Time!BL$106</f>
        <v>0</v>
      </c>
      <c r="BM622" s="125">
        <f xml:space="preserve"> Time!BM$106</f>
        <v>0</v>
      </c>
      <c r="BN622" s="125">
        <f xml:space="preserve"> Time!BN$106</f>
        <v>0</v>
      </c>
      <c r="BO622" s="125">
        <f xml:space="preserve"> Time!BO$106</f>
        <v>0</v>
      </c>
      <c r="BP622" s="125">
        <f xml:space="preserve"> Time!BP$106</f>
        <v>0</v>
      </c>
      <c r="BQ622" s="125">
        <f xml:space="preserve"> Time!BQ$106</f>
        <v>0</v>
      </c>
      <c r="BR622" s="125">
        <f xml:space="preserve"> Time!BR$106</f>
        <v>0</v>
      </c>
      <c r="BS622" s="125">
        <f xml:space="preserve"> Time!BS$106</f>
        <v>0</v>
      </c>
      <c r="BT622" s="125">
        <f xml:space="preserve"> Time!BT$106</f>
        <v>0</v>
      </c>
      <c r="BU622" s="125">
        <f xml:space="preserve"> Time!BU$106</f>
        <v>0</v>
      </c>
      <c r="BV622" s="125">
        <f xml:space="preserve"> Time!BV$106</f>
        <v>0</v>
      </c>
      <c r="BW622" s="125">
        <f xml:space="preserve"> Time!BW$106</f>
        <v>0</v>
      </c>
      <c r="BX622" s="125">
        <f xml:space="preserve"> Time!BX$106</f>
        <v>0</v>
      </c>
      <c r="BY622" s="125">
        <f xml:space="preserve"> Time!BY$106</f>
        <v>0</v>
      </c>
      <c r="BZ622" s="125">
        <f xml:space="preserve"> Time!BZ$106</f>
        <v>0</v>
      </c>
      <c r="CA622" s="125">
        <f xml:space="preserve"> Time!CA$106</f>
        <v>0</v>
      </c>
      <c r="CB622" s="125">
        <f xml:space="preserve"> Time!CB$106</f>
        <v>0</v>
      </c>
      <c r="CC622" s="125">
        <f xml:space="preserve"> Time!CC$106</f>
        <v>0</v>
      </c>
      <c r="CD622" s="125">
        <f xml:space="preserve"> Time!CD$106</f>
        <v>0</v>
      </c>
      <c r="CE622" s="125">
        <f xml:space="preserve"> Time!CE$106</f>
        <v>0</v>
      </c>
      <c r="CF622" s="125">
        <f xml:space="preserve"> Time!CF$106</f>
        <v>0</v>
      </c>
      <c r="CG622" s="125">
        <f xml:space="preserve"> Time!CG$106</f>
        <v>0</v>
      </c>
      <c r="CH622" s="125">
        <f xml:space="preserve"> Time!CH$106</f>
        <v>0</v>
      </c>
      <c r="CI622" s="125">
        <f xml:space="preserve"> Time!CI$106</f>
        <v>0</v>
      </c>
      <c r="CJ622" s="125">
        <f xml:space="preserve"> Time!CJ$106</f>
        <v>0</v>
      </c>
      <c r="CK622" s="125">
        <f xml:space="preserve"> Time!CK$106</f>
        <v>0</v>
      </c>
      <c r="CL622" s="125">
        <f xml:space="preserve"> Time!CL$106</f>
        <v>0</v>
      </c>
      <c r="CM622" s="125">
        <f xml:space="preserve"> Time!CM$106</f>
        <v>0</v>
      </c>
      <c r="CN622" s="125">
        <f xml:space="preserve"> Time!CN$106</f>
        <v>0</v>
      </c>
      <c r="CO622" s="125">
        <f xml:space="preserve"> Time!CO$106</f>
        <v>0</v>
      </c>
      <c r="CP622" s="125">
        <f xml:space="preserve"> Time!CP$106</f>
        <v>0</v>
      </c>
      <c r="CQ622" s="125">
        <f xml:space="preserve"> Time!CQ$106</f>
        <v>0</v>
      </c>
      <c r="CR622" s="125">
        <f xml:space="preserve"> Time!CR$106</f>
        <v>0</v>
      </c>
      <c r="CS622" s="125">
        <f xml:space="preserve"> Time!CS$106</f>
        <v>0</v>
      </c>
      <c r="CT622" s="125">
        <f xml:space="preserve"> Time!CT$106</f>
        <v>0</v>
      </c>
      <c r="CU622" s="125">
        <f xml:space="preserve"> Time!CU$106</f>
        <v>0</v>
      </c>
      <c r="CV622" s="125">
        <f xml:space="preserve"> Time!CV$106</f>
        <v>0</v>
      </c>
    </row>
    <row r="623" spans="1:100" ht="12.75" outlineLevel="2" x14ac:dyDescent="0.2">
      <c r="A623" s="79"/>
      <c r="B623" s="79"/>
      <c r="C623" s="561"/>
      <c r="D623" s="60"/>
      <c r="E623" s="125" t="str">
        <f xml:space="preserve"> Time!E$101</f>
        <v xml:space="preserve">Last operating period flag </v>
      </c>
      <c r="F623" s="125">
        <f xml:space="preserve"> Time!F$101</f>
        <v>0</v>
      </c>
      <c r="G623" s="125" t="str">
        <f xml:space="preserve"> Time!G$101</f>
        <v>flag</v>
      </c>
      <c r="H623" s="125">
        <f xml:space="preserve"> Time!H$101</f>
        <v>1</v>
      </c>
      <c r="I623" s="125">
        <f xml:space="preserve"> Time!I$101</f>
        <v>0</v>
      </c>
      <c r="J623" s="125">
        <f xml:space="preserve"> Time!J$101</f>
        <v>0</v>
      </c>
      <c r="K623" s="125">
        <f xml:space="preserve"> Time!K$101</f>
        <v>0</v>
      </c>
      <c r="L623" s="125">
        <f xml:space="preserve"> Time!L$101</f>
        <v>0</v>
      </c>
      <c r="M623" s="125">
        <f xml:space="preserve"> Time!M$101</f>
        <v>0</v>
      </c>
      <c r="N623" s="125">
        <f xml:space="preserve"> Time!N$101</f>
        <v>0</v>
      </c>
      <c r="O623" s="125">
        <f xml:space="preserve"> Time!O$101</f>
        <v>0</v>
      </c>
      <c r="P623" s="125">
        <f xml:space="preserve"> Time!P$101</f>
        <v>0</v>
      </c>
      <c r="Q623" s="125">
        <f xml:space="preserve"> Time!Q$101</f>
        <v>0</v>
      </c>
      <c r="R623" s="125">
        <f xml:space="preserve"> Time!R$101</f>
        <v>0</v>
      </c>
      <c r="S623" s="125">
        <f xml:space="preserve"> Time!S$101</f>
        <v>0</v>
      </c>
      <c r="T623" s="125">
        <f xml:space="preserve"> Time!T$101</f>
        <v>0</v>
      </c>
      <c r="U623" s="125">
        <f xml:space="preserve"> Time!U$101</f>
        <v>0</v>
      </c>
      <c r="V623" s="125">
        <f xml:space="preserve"> Time!V$101</f>
        <v>0</v>
      </c>
      <c r="W623" s="125">
        <f xml:space="preserve"> Time!W$101</f>
        <v>0</v>
      </c>
      <c r="X623" s="125">
        <f xml:space="preserve"> Time!X$101</f>
        <v>0</v>
      </c>
      <c r="Y623" s="125">
        <f xml:space="preserve"> Time!Y$101</f>
        <v>0</v>
      </c>
      <c r="Z623" s="125">
        <f xml:space="preserve"> Time!Z$101</f>
        <v>0</v>
      </c>
      <c r="AA623" s="125">
        <f xml:space="preserve"> Time!AA$101</f>
        <v>0</v>
      </c>
      <c r="AB623" s="125">
        <f xml:space="preserve"> Time!AB$101</f>
        <v>0</v>
      </c>
      <c r="AC623" s="125">
        <f xml:space="preserve"> Time!AC$101</f>
        <v>0</v>
      </c>
      <c r="AD623" s="125">
        <f xml:space="preserve"> Time!AD$101</f>
        <v>0</v>
      </c>
      <c r="AE623" s="125">
        <f xml:space="preserve"> Time!AE$101</f>
        <v>0</v>
      </c>
      <c r="AF623" s="125">
        <f xml:space="preserve"> Time!AF$101</f>
        <v>0</v>
      </c>
      <c r="AG623" s="125">
        <f xml:space="preserve"> Time!AG$101</f>
        <v>0</v>
      </c>
      <c r="AH623" s="125">
        <f xml:space="preserve"> Time!AH$101</f>
        <v>0</v>
      </c>
      <c r="AI623" s="125">
        <f xml:space="preserve"> Time!AI$101</f>
        <v>0</v>
      </c>
      <c r="AJ623" s="125">
        <f xml:space="preserve"> Time!AJ$101</f>
        <v>0</v>
      </c>
      <c r="AK623" s="125">
        <f xml:space="preserve"> Time!AK$101</f>
        <v>0</v>
      </c>
      <c r="AL623" s="125">
        <f xml:space="preserve"> Time!AL$101</f>
        <v>0</v>
      </c>
      <c r="AM623" s="125">
        <f xml:space="preserve"> Time!AM$101</f>
        <v>0</v>
      </c>
      <c r="AN623" s="125">
        <f xml:space="preserve"> Time!AN$101</f>
        <v>0</v>
      </c>
      <c r="AO623" s="125">
        <f xml:space="preserve"> Time!AO$101</f>
        <v>0</v>
      </c>
      <c r="AP623" s="125">
        <f xml:space="preserve"> Time!AP$101</f>
        <v>0</v>
      </c>
      <c r="AQ623" s="125">
        <f xml:space="preserve"> Time!AQ$101</f>
        <v>0</v>
      </c>
      <c r="AR623" s="125">
        <f xml:space="preserve"> Time!AR$101</f>
        <v>0</v>
      </c>
      <c r="AS623" s="125">
        <f xml:space="preserve"> Time!AS$101</f>
        <v>0</v>
      </c>
      <c r="AT623" s="125">
        <f xml:space="preserve"> Time!AT$101</f>
        <v>0</v>
      </c>
      <c r="AU623" s="125">
        <f xml:space="preserve"> Time!AU$101</f>
        <v>0</v>
      </c>
      <c r="AV623" s="125">
        <f xml:space="preserve"> Time!AV$101</f>
        <v>0</v>
      </c>
      <c r="AW623" s="125">
        <f xml:space="preserve"> Time!AW$101</f>
        <v>0</v>
      </c>
      <c r="AX623" s="125">
        <f xml:space="preserve"> Time!AX$101</f>
        <v>0</v>
      </c>
      <c r="AY623" s="125">
        <f xml:space="preserve"> Time!AY$101</f>
        <v>0</v>
      </c>
      <c r="AZ623" s="125">
        <f xml:space="preserve"> Time!AZ$101</f>
        <v>0</v>
      </c>
      <c r="BA623" s="125">
        <f xml:space="preserve"> Time!BA$101</f>
        <v>0</v>
      </c>
      <c r="BB623" s="125">
        <f xml:space="preserve"> Time!BB$101</f>
        <v>1</v>
      </c>
      <c r="BC623" s="125">
        <f xml:space="preserve"> Time!BC$101</f>
        <v>0</v>
      </c>
      <c r="BD623" s="125">
        <f xml:space="preserve"> Time!BD$101</f>
        <v>0</v>
      </c>
      <c r="BE623" s="125">
        <f xml:space="preserve"> Time!BE$101</f>
        <v>0</v>
      </c>
      <c r="BF623" s="125">
        <f xml:space="preserve"> Time!BF$101</f>
        <v>0</v>
      </c>
      <c r="BG623" s="125">
        <f xml:space="preserve"> Time!BG$101</f>
        <v>0</v>
      </c>
      <c r="BH623" s="125">
        <f xml:space="preserve"> Time!BH$101</f>
        <v>0</v>
      </c>
      <c r="BI623" s="125">
        <f xml:space="preserve"> Time!BI$101</f>
        <v>0</v>
      </c>
      <c r="BJ623" s="125">
        <f xml:space="preserve"> Time!BJ$101</f>
        <v>0</v>
      </c>
      <c r="BK623" s="125">
        <f xml:space="preserve"> Time!BK$101</f>
        <v>0</v>
      </c>
      <c r="BL623" s="125">
        <f xml:space="preserve"> Time!BL$101</f>
        <v>0</v>
      </c>
      <c r="BM623" s="125">
        <f xml:space="preserve"> Time!BM$101</f>
        <v>0</v>
      </c>
      <c r="BN623" s="125">
        <f xml:space="preserve"> Time!BN$101</f>
        <v>0</v>
      </c>
      <c r="BO623" s="125">
        <f xml:space="preserve"> Time!BO$101</f>
        <v>0</v>
      </c>
      <c r="BP623" s="125">
        <f xml:space="preserve"> Time!BP$101</f>
        <v>0</v>
      </c>
      <c r="BQ623" s="125">
        <f xml:space="preserve"> Time!BQ$101</f>
        <v>0</v>
      </c>
      <c r="BR623" s="125">
        <f xml:space="preserve"> Time!BR$101</f>
        <v>0</v>
      </c>
      <c r="BS623" s="125">
        <f xml:space="preserve"> Time!BS$101</f>
        <v>0</v>
      </c>
      <c r="BT623" s="125">
        <f xml:space="preserve"> Time!BT$101</f>
        <v>0</v>
      </c>
      <c r="BU623" s="125">
        <f xml:space="preserve"> Time!BU$101</f>
        <v>0</v>
      </c>
      <c r="BV623" s="125">
        <f xml:space="preserve"> Time!BV$101</f>
        <v>0</v>
      </c>
      <c r="BW623" s="125">
        <f xml:space="preserve"> Time!BW$101</f>
        <v>0</v>
      </c>
      <c r="BX623" s="125">
        <f xml:space="preserve"> Time!BX$101</f>
        <v>0</v>
      </c>
      <c r="BY623" s="125">
        <f xml:space="preserve"> Time!BY$101</f>
        <v>0</v>
      </c>
      <c r="BZ623" s="125">
        <f xml:space="preserve"> Time!BZ$101</f>
        <v>0</v>
      </c>
      <c r="CA623" s="125">
        <f xml:space="preserve"> Time!CA$101</f>
        <v>0</v>
      </c>
      <c r="CB623" s="125">
        <f xml:space="preserve"> Time!CB$101</f>
        <v>0</v>
      </c>
      <c r="CC623" s="125">
        <f xml:space="preserve"> Time!CC$101</f>
        <v>0</v>
      </c>
      <c r="CD623" s="125">
        <f xml:space="preserve"> Time!CD$101</f>
        <v>0</v>
      </c>
      <c r="CE623" s="125">
        <f xml:space="preserve"> Time!CE$101</f>
        <v>0</v>
      </c>
      <c r="CF623" s="125">
        <f xml:space="preserve"> Time!CF$101</f>
        <v>0</v>
      </c>
      <c r="CG623" s="125">
        <f xml:space="preserve"> Time!CG$101</f>
        <v>0</v>
      </c>
      <c r="CH623" s="125">
        <f xml:space="preserve"> Time!CH$101</f>
        <v>0</v>
      </c>
      <c r="CI623" s="125">
        <f xml:space="preserve"> Time!CI$101</f>
        <v>0</v>
      </c>
      <c r="CJ623" s="125">
        <f xml:space="preserve"> Time!CJ$101</f>
        <v>0</v>
      </c>
      <c r="CK623" s="125">
        <f xml:space="preserve"> Time!CK$101</f>
        <v>0</v>
      </c>
      <c r="CL623" s="125">
        <f xml:space="preserve"> Time!CL$101</f>
        <v>0</v>
      </c>
      <c r="CM623" s="125">
        <f xml:space="preserve"> Time!CM$101</f>
        <v>0</v>
      </c>
      <c r="CN623" s="125">
        <f xml:space="preserve"> Time!CN$101</f>
        <v>0</v>
      </c>
      <c r="CO623" s="125">
        <f xml:space="preserve"> Time!CO$101</f>
        <v>0</v>
      </c>
      <c r="CP623" s="125">
        <f xml:space="preserve"> Time!CP$101</f>
        <v>0</v>
      </c>
      <c r="CQ623" s="125">
        <f xml:space="preserve"> Time!CQ$101</f>
        <v>0</v>
      </c>
      <c r="CR623" s="125">
        <f xml:space="preserve"> Time!CR$101</f>
        <v>0</v>
      </c>
      <c r="CS623" s="125">
        <f xml:space="preserve"> Time!CS$101</f>
        <v>0</v>
      </c>
      <c r="CT623" s="125">
        <f xml:space="preserve"> Time!CT$101</f>
        <v>0</v>
      </c>
      <c r="CU623" s="125">
        <f xml:space="preserve"> Time!CU$101</f>
        <v>0</v>
      </c>
      <c r="CV623" s="125">
        <f xml:space="preserve"> Time!CV$101</f>
        <v>0</v>
      </c>
    </row>
    <row r="624" spans="1:100" ht="12.75" outlineLevel="2" x14ac:dyDescent="0.2">
      <c r="A624" s="79"/>
      <c r="B624" s="79"/>
      <c r="C624" s="561"/>
      <c r="D624" s="60"/>
      <c r="E624" s="32" t="s">
        <v>1197</v>
      </c>
      <c r="F624" s="32"/>
      <c r="G624" s="32" t="str">
        <f xml:space="preserve"> SMU</f>
        <v>$ 000s</v>
      </c>
      <c r="H624" s="32">
        <f xml:space="preserve"> SUM(J624:CV624)</f>
        <v>0</v>
      </c>
      <c r="I624" s="32"/>
      <c r="J624" s="32">
        <f t="shared" ref="J624:AO624" si="989" xml:space="preserve"> -1 * MIN(J621, 0) * J622 * (1 - J623) * $F620</f>
        <v>0</v>
      </c>
      <c r="K624" s="32">
        <f t="shared" si="989"/>
        <v>0</v>
      </c>
      <c r="L624" s="32">
        <f t="shared" si="989"/>
        <v>0</v>
      </c>
      <c r="M624" s="32">
        <f t="shared" si="989"/>
        <v>0</v>
      </c>
      <c r="N624" s="32">
        <f t="shared" si="989"/>
        <v>0</v>
      </c>
      <c r="O624" s="32">
        <f t="shared" si="989"/>
        <v>0</v>
      </c>
      <c r="P624" s="32">
        <f t="shared" si="989"/>
        <v>0</v>
      </c>
      <c r="Q624" s="32">
        <f t="shared" si="989"/>
        <v>0</v>
      </c>
      <c r="R624" s="32">
        <f t="shared" si="989"/>
        <v>0</v>
      </c>
      <c r="S624" s="32">
        <f t="shared" si="989"/>
        <v>0</v>
      </c>
      <c r="T624" s="32">
        <f t="shared" si="989"/>
        <v>0</v>
      </c>
      <c r="U624" s="32">
        <f t="shared" si="989"/>
        <v>0</v>
      </c>
      <c r="V624" s="32">
        <f t="shared" si="989"/>
        <v>0</v>
      </c>
      <c r="W624" s="32">
        <f t="shared" si="989"/>
        <v>0</v>
      </c>
      <c r="X624" s="32">
        <f t="shared" si="989"/>
        <v>0</v>
      </c>
      <c r="Y624" s="32">
        <f t="shared" si="989"/>
        <v>0</v>
      </c>
      <c r="Z624" s="32">
        <f t="shared" si="989"/>
        <v>0</v>
      </c>
      <c r="AA624" s="32">
        <f t="shared" si="989"/>
        <v>0</v>
      </c>
      <c r="AB624" s="32">
        <f t="shared" si="989"/>
        <v>0</v>
      </c>
      <c r="AC624" s="32">
        <f t="shared" si="989"/>
        <v>0</v>
      </c>
      <c r="AD624" s="32">
        <f t="shared" si="989"/>
        <v>0</v>
      </c>
      <c r="AE624" s="32">
        <f t="shared" si="989"/>
        <v>0</v>
      </c>
      <c r="AF624" s="32">
        <f t="shared" si="989"/>
        <v>0</v>
      </c>
      <c r="AG624" s="32">
        <f t="shared" si="989"/>
        <v>0</v>
      </c>
      <c r="AH624" s="32">
        <f t="shared" si="989"/>
        <v>0</v>
      </c>
      <c r="AI624" s="32">
        <f t="shared" si="989"/>
        <v>0</v>
      </c>
      <c r="AJ624" s="32">
        <f t="shared" si="989"/>
        <v>0</v>
      </c>
      <c r="AK624" s="32">
        <f t="shared" si="989"/>
        <v>0</v>
      </c>
      <c r="AL624" s="32">
        <f t="shared" si="989"/>
        <v>0</v>
      </c>
      <c r="AM624" s="32">
        <f t="shared" si="989"/>
        <v>0</v>
      </c>
      <c r="AN624" s="32">
        <f t="shared" si="989"/>
        <v>0</v>
      </c>
      <c r="AO624" s="32">
        <f t="shared" si="989"/>
        <v>0</v>
      </c>
      <c r="AP624" s="32">
        <f t="shared" ref="AP624:BU624" si="990" xml:space="preserve"> -1 * MIN(AP621, 0) * AP622 * (1 - AP623) * $F620</f>
        <v>0</v>
      </c>
      <c r="AQ624" s="32">
        <f t="shared" si="990"/>
        <v>0</v>
      </c>
      <c r="AR624" s="32">
        <f t="shared" si="990"/>
        <v>0</v>
      </c>
      <c r="AS624" s="32">
        <f t="shared" si="990"/>
        <v>0</v>
      </c>
      <c r="AT624" s="32">
        <f t="shared" si="990"/>
        <v>0</v>
      </c>
      <c r="AU624" s="32">
        <f t="shared" si="990"/>
        <v>0</v>
      </c>
      <c r="AV624" s="32">
        <f t="shared" si="990"/>
        <v>0</v>
      </c>
      <c r="AW624" s="32">
        <f t="shared" si="990"/>
        <v>0</v>
      </c>
      <c r="AX624" s="32">
        <f t="shared" si="990"/>
        <v>0</v>
      </c>
      <c r="AY624" s="32">
        <f t="shared" si="990"/>
        <v>0</v>
      </c>
      <c r="AZ624" s="32">
        <f t="shared" si="990"/>
        <v>0</v>
      </c>
      <c r="BA624" s="32">
        <f t="shared" si="990"/>
        <v>0</v>
      </c>
      <c r="BB624" s="32">
        <f t="shared" si="990"/>
        <v>0</v>
      </c>
      <c r="BC624" s="32">
        <f t="shared" si="990"/>
        <v>0</v>
      </c>
      <c r="BD624" s="32">
        <f t="shared" si="990"/>
        <v>0</v>
      </c>
      <c r="BE624" s="32">
        <f t="shared" si="990"/>
        <v>0</v>
      </c>
      <c r="BF624" s="32">
        <f t="shared" si="990"/>
        <v>0</v>
      </c>
      <c r="BG624" s="32">
        <f t="shared" si="990"/>
        <v>0</v>
      </c>
      <c r="BH624" s="32">
        <f t="shared" si="990"/>
        <v>0</v>
      </c>
      <c r="BI624" s="32">
        <f t="shared" si="990"/>
        <v>0</v>
      </c>
      <c r="BJ624" s="32">
        <f t="shared" si="990"/>
        <v>0</v>
      </c>
      <c r="BK624" s="32">
        <f t="shared" si="990"/>
        <v>0</v>
      </c>
      <c r="BL624" s="32">
        <f t="shared" si="990"/>
        <v>0</v>
      </c>
      <c r="BM624" s="32">
        <f t="shared" si="990"/>
        <v>0</v>
      </c>
      <c r="BN624" s="32">
        <f t="shared" si="990"/>
        <v>0</v>
      </c>
      <c r="BO624" s="32">
        <f t="shared" si="990"/>
        <v>0</v>
      </c>
      <c r="BP624" s="32">
        <f t="shared" si="990"/>
        <v>0</v>
      </c>
      <c r="BQ624" s="32">
        <f t="shared" si="990"/>
        <v>0</v>
      </c>
      <c r="BR624" s="32">
        <f t="shared" si="990"/>
        <v>0</v>
      </c>
      <c r="BS624" s="32">
        <f t="shared" si="990"/>
        <v>0</v>
      </c>
      <c r="BT624" s="32">
        <f t="shared" si="990"/>
        <v>0</v>
      </c>
      <c r="BU624" s="32">
        <f t="shared" si="990"/>
        <v>0</v>
      </c>
      <c r="BV624" s="32">
        <f t="shared" ref="BV624:CV624" si="991" xml:space="preserve"> -1 * MIN(BV621, 0) * BV622 * (1 - BV623) * $F620</f>
        <v>0</v>
      </c>
      <c r="BW624" s="32">
        <f t="shared" si="991"/>
        <v>0</v>
      </c>
      <c r="BX624" s="32">
        <f t="shared" si="991"/>
        <v>0</v>
      </c>
      <c r="BY624" s="32">
        <f t="shared" si="991"/>
        <v>0</v>
      </c>
      <c r="BZ624" s="32">
        <f t="shared" si="991"/>
        <v>0</v>
      </c>
      <c r="CA624" s="32">
        <f t="shared" si="991"/>
        <v>0</v>
      </c>
      <c r="CB624" s="32">
        <f t="shared" si="991"/>
        <v>0</v>
      </c>
      <c r="CC624" s="32">
        <f t="shared" si="991"/>
        <v>0</v>
      </c>
      <c r="CD624" s="32">
        <f t="shared" si="991"/>
        <v>0</v>
      </c>
      <c r="CE624" s="32">
        <f t="shared" si="991"/>
        <v>0</v>
      </c>
      <c r="CF624" s="32">
        <f t="shared" si="991"/>
        <v>0</v>
      </c>
      <c r="CG624" s="32">
        <f t="shared" si="991"/>
        <v>0</v>
      </c>
      <c r="CH624" s="32">
        <f t="shared" si="991"/>
        <v>0</v>
      </c>
      <c r="CI624" s="32">
        <f t="shared" si="991"/>
        <v>0</v>
      </c>
      <c r="CJ624" s="32">
        <f t="shared" si="991"/>
        <v>0</v>
      </c>
      <c r="CK624" s="32">
        <f t="shared" si="991"/>
        <v>0</v>
      </c>
      <c r="CL624" s="32">
        <f t="shared" si="991"/>
        <v>0</v>
      </c>
      <c r="CM624" s="32">
        <f t="shared" si="991"/>
        <v>0</v>
      </c>
      <c r="CN624" s="32">
        <f t="shared" si="991"/>
        <v>0</v>
      </c>
      <c r="CO624" s="32">
        <f t="shared" si="991"/>
        <v>0</v>
      </c>
      <c r="CP624" s="32">
        <f t="shared" si="991"/>
        <v>0</v>
      </c>
      <c r="CQ624" s="32">
        <f t="shared" si="991"/>
        <v>0</v>
      </c>
      <c r="CR624" s="32">
        <f t="shared" si="991"/>
        <v>0</v>
      </c>
      <c r="CS624" s="32">
        <f t="shared" si="991"/>
        <v>0</v>
      </c>
      <c r="CT624" s="32">
        <f t="shared" si="991"/>
        <v>0</v>
      </c>
      <c r="CU624" s="32">
        <f t="shared" si="991"/>
        <v>0</v>
      </c>
      <c r="CV624" s="32">
        <f t="shared" si="991"/>
        <v>0</v>
      </c>
    </row>
    <row r="625" spans="1:100" ht="12.75" outlineLevel="2" x14ac:dyDescent="0.2">
      <c r="A625" s="79"/>
      <c r="B625" s="79"/>
      <c r="C625" s="561"/>
      <c r="D625" s="60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  <c r="AY625" s="32"/>
      <c r="AZ625" s="32"/>
      <c r="BA625" s="32"/>
      <c r="BB625" s="32"/>
      <c r="BC625" s="32"/>
      <c r="BD625" s="32"/>
      <c r="BE625" s="32"/>
      <c r="BF625" s="32"/>
      <c r="BG625" s="32"/>
      <c r="BH625" s="32"/>
      <c r="BI625" s="32"/>
      <c r="BJ625" s="32"/>
      <c r="BK625" s="32"/>
      <c r="BL625" s="32"/>
      <c r="BM625" s="32"/>
      <c r="BN625" s="32"/>
      <c r="BO625" s="32"/>
      <c r="BP625" s="32"/>
      <c r="BQ625" s="32"/>
      <c r="BR625" s="32"/>
      <c r="BS625" s="32"/>
      <c r="BT625" s="32"/>
      <c r="BU625" s="32"/>
      <c r="BV625" s="32"/>
      <c r="BW625" s="32"/>
      <c r="BX625" s="32"/>
      <c r="BY625" s="32"/>
      <c r="BZ625" s="32"/>
      <c r="CA625" s="32"/>
      <c r="CB625" s="32"/>
      <c r="CC625" s="32"/>
      <c r="CD625" s="32"/>
      <c r="CE625" s="32"/>
      <c r="CF625" s="32"/>
      <c r="CG625" s="32"/>
      <c r="CH625" s="32"/>
      <c r="CI625" s="32"/>
      <c r="CJ625" s="32"/>
      <c r="CK625" s="32"/>
      <c r="CL625" s="32"/>
      <c r="CM625" s="32"/>
      <c r="CN625" s="32"/>
      <c r="CO625" s="32"/>
      <c r="CP625" s="32"/>
      <c r="CQ625" s="32"/>
      <c r="CR625" s="32"/>
      <c r="CS625" s="32"/>
      <c r="CT625" s="32"/>
      <c r="CU625" s="32"/>
      <c r="CV625" s="32"/>
    </row>
    <row r="626" spans="1:100" ht="12.75" outlineLevel="2" x14ac:dyDescent="0.2">
      <c r="A626" s="639"/>
      <c r="B626" s="639"/>
      <c r="C626" s="640"/>
      <c r="D626" s="641"/>
      <c r="E626" s="32" t="str">
        <f t="shared" ref="E626:AJ626" si="992" xml:space="preserve"> E$618</f>
        <v>WCF available balance - P99</v>
      </c>
      <c r="F626" s="32">
        <f t="shared" si="992"/>
        <v>0</v>
      </c>
      <c r="G626" s="32" t="str">
        <f t="shared" si="992"/>
        <v>$ 000s</v>
      </c>
      <c r="H626" s="32">
        <f t="shared" si="992"/>
        <v>0</v>
      </c>
      <c r="I626" s="32">
        <f t="shared" si="992"/>
        <v>0</v>
      </c>
      <c r="J626" s="32">
        <f t="shared" si="992"/>
        <v>0</v>
      </c>
      <c r="K626" s="32">
        <f t="shared" si="992"/>
        <v>0</v>
      </c>
      <c r="L626" s="32">
        <f t="shared" si="992"/>
        <v>0</v>
      </c>
      <c r="M626" s="32">
        <f t="shared" si="992"/>
        <v>0</v>
      </c>
      <c r="N626" s="32">
        <f t="shared" si="992"/>
        <v>0</v>
      </c>
      <c r="O626" s="32">
        <f t="shared" si="992"/>
        <v>0</v>
      </c>
      <c r="P626" s="32">
        <f t="shared" si="992"/>
        <v>0</v>
      </c>
      <c r="Q626" s="32">
        <f t="shared" si="992"/>
        <v>0</v>
      </c>
      <c r="R626" s="32">
        <f t="shared" si="992"/>
        <v>0</v>
      </c>
      <c r="S626" s="32">
        <f t="shared" si="992"/>
        <v>0</v>
      </c>
      <c r="T626" s="32">
        <f t="shared" si="992"/>
        <v>0</v>
      </c>
      <c r="U626" s="32">
        <f t="shared" si="992"/>
        <v>0</v>
      </c>
      <c r="V626" s="32">
        <f t="shared" si="992"/>
        <v>0</v>
      </c>
      <c r="W626" s="32">
        <f t="shared" si="992"/>
        <v>0</v>
      </c>
      <c r="X626" s="32">
        <f t="shared" si="992"/>
        <v>0</v>
      </c>
      <c r="Y626" s="32">
        <f t="shared" si="992"/>
        <v>0</v>
      </c>
      <c r="Z626" s="32">
        <f t="shared" si="992"/>
        <v>0</v>
      </c>
      <c r="AA626" s="32">
        <f t="shared" si="992"/>
        <v>0</v>
      </c>
      <c r="AB626" s="32">
        <f t="shared" si="992"/>
        <v>0</v>
      </c>
      <c r="AC626" s="32">
        <f t="shared" si="992"/>
        <v>0</v>
      </c>
      <c r="AD626" s="32">
        <f t="shared" si="992"/>
        <v>0</v>
      </c>
      <c r="AE626" s="32">
        <f t="shared" si="992"/>
        <v>0</v>
      </c>
      <c r="AF626" s="32">
        <f t="shared" si="992"/>
        <v>0</v>
      </c>
      <c r="AG626" s="32">
        <f t="shared" si="992"/>
        <v>0</v>
      </c>
      <c r="AH626" s="32">
        <f t="shared" si="992"/>
        <v>0</v>
      </c>
      <c r="AI626" s="32">
        <f t="shared" si="992"/>
        <v>0</v>
      </c>
      <c r="AJ626" s="32">
        <f t="shared" si="992"/>
        <v>0</v>
      </c>
      <c r="AK626" s="32">
        <f t="shared" ref="AK626:BP626" si="993" xml:space="preserve"> AK$618</f>
        <v>0</v>
      </c>
      <c r="AL626" s="32">
        <f t="shared" si="993"/>
        <v>0</v>
      </c>
      <c r="AM626" s="32">
        <f t="shared" si="993"/>
        <v>0</v>
      </c>
      <c r="AN626" s="32">
        <f t="shared" si="993"/>
        <v>0</v>
      </c>
      <c r="AO626" s="32">
        <f t="shared" si="993"/>
        <v>0</v>
      </c>
      <c r="AP626" s="32">
        <f t="shared" si="993"/>
        <v>0</v>
      </c>
      <c r="AQ626" s="32">
        <f t="shared" si="993"/>
        <v>0</v>
      </c>
      <c r="AR626" s="32">
        <f t="shared" si="993"/>
        <v>0</v>
      </c>
      <c r="AS626" s="32">
        <f t="shared" si="993"/>
        <v>0</v>
      </c>
      <c r="AT626" s="32">
        <f t="shared" si="993"/>
        <v>0</v>
      </c>
      <c r="AU626" s="32">
        <f t="shared" si="993"/>
        <v>0</v>
      </c>
      <c r="AV626" s="32">
        <f t="shared" si="993"/>
        <v>0</v>
      </c>
      <c r="AW626" s="32">
        <f t="shared" si="993"/>
        <v>0</v>
      </c>
      <c r="AX626" s="32">
        <f t="shared" si="993"/>
        <v>0</v>
      </c>
      <c r="AY626" s="32">
        <f t="shared" si="993"/>
        <v>0</v>
      </c>
      <c r="AZ626" s="32">
        <f t="shared" si="993"/>
        <v>0</v>
      </c>
      <c r="BA626" s="32">
        <f t="shared" si="993"/>
        <v>0</v>
      </c>
      <c r="BB626" s="32">
        <f t="shared" si="993"/>
        <v>0</v>
      </c>
      <c r="BC626" s="32">
        <f t="shared" si="993"/>
        <v>0</v>
      </c>
      <c r="BD626" s="32">
        <f t="shared" si="993"/>
        <v>0</v>
      </c>
      <c r="BE626" s="32">
        <f t="shared" si="993"/>
        <v>0</v>
      </c>
      <c r="BF626" s="32">
        <f t="shared" si="993"/>
        <v>0</v>
      </c>
      <c r="BG626" s="32">
        <f t="shared" si="993"/>
        <v>0</v>
      </c>
      <c r="BH626" s="32">
        <f t="shared" si="993"/>
        <v>0</v>
      </c>
      <c r="BI626" s="32">
        <f t="shared" si="993"/>
        <v>0</v>
      </c>
      <c r="BJ626" s="32">
        <f t="shared" si="993"/>
        <v>0</v>
      </c>
      <c r="BK626" s="32">
        <f t="shared" si="993"/>
        <v>0</v>
      </c>
      <c r="BL626" s="32">
        <f t="shared" si="993"/>
        <v>0</v>
      </c>
      <c r="BM626" s="32">
        <f t="shared" si="993"/>
        <v>0</v>
      </c>
      <c r="BN626" s="32">
        <f t="shared" si="993"/>
        <v>0</v>
      </c>
      <c r="BO626" s="32">
        <f t="shared" si="993"/>
        <v>0</v>
      </c>
      <c r="BP626" s="32">
        <f t="shared" si="993"/>
        <v>0</v>
      </c>
      <c r="BQ626" s="32">
        <f t="shared" ref="BQ626:CV626" si="994" xml:space="preserve"> BQ$618</f>
        <v>0</v>
      </c>
      <c r="BR626" s="32">
        <f t="shared" si="994"/>
        <v>0</v>
      </c>
      <c r="BS626" s="32">
        <f t="shared" si="994"/>
        <v>0</v>
      </c>
      <c r="BT626" s="32">
        <f t="shared" si="994"/>
        <v>0</v>
      </c>
      <c r="BU626" s="32">
        <f t="shared" si="994"/>
        <v>0</v>
      </c>
      <c r="BV626" s="32">
        <f t="shared" si="994"/>
        <v>0</v>
      </c>
      <c r="BW626" s="32">
        <f t="shared" si="994"/>
        <v>0</v>
      </c>
      <c r="BX626" s="32">
        <f t="shared" si="994"/>
        <v>0</v>
      </c>
      <c r="BY626" s="32">
        <f t="shared" si="994"/>
        <v>0</v>
      </c>
      <c r="BZ626" s="32">
        <f t="shared" si="994"/>
        <v>0</v>
      </c>
      <c r="CA626" s="32">
        <f t="shared" si="994"/>
        <v>0</v>
      </c>
      <c r="CB626" s="32">
        <f t="shared" si="994"/>
        <v>0</v>
      </c>
      <c r="CC626" s="32">
        <f t="shared" si="994"/>
        <v>0</v>
      </c>
      <c r="CD626" s="32">
        <f t="shared" si="994"/>
        <v>0</v>
      </c>
      <c r="CE626" s="32">
        <f t="shared" si="994"/>
        <v>0</v>
      </c>
      <c r="CF626" s="32">
        <f t="shared" si="994"/>
        <v>0</v>
      </c>
      <c r="CG626" s="32">
        <f t="shared" si="994"/>
        <v>0</v>
      </c>
      <c r="CH626" s="32">
        <f t="shared" si="994"/>
        <v>0</v>
      </c>
      <c r="CI626" s="32">
        <f t="shared" si="994"/>
        <v>0</v>
      </c>
      <c r="CJ626" s="32">
        <f t="shared" si="994"/>
        <v>0</v>
      </c>
      <c r="CK626" s="32">
        <f t="shared" si="994"/>
        <v>0</v>
      </c>
      <c r="CL626" s="32">
        <f t="shared" si="994"/>
        <v>0</v>
      </c>
      <c r="CM626" s="32">
        <f t="shared" si="994"/>
        <v>0</v>
      </c>
      <c r="CN626" s="32">
        <f t="shared" si="994"/>
        <v>0</v>
      </c>
      <c r="CO626" s="32">
        <f t="shared" si="994"/>
        <v>0</v>
      </c>
      <c r="CP626" s="32">
        <f t="shared" si="994"/>
        <v>0</v>
      </c>
      <c r="CQ626" s="32">
        <f t="shared" si="994"/>
        <v>0</v>
      </c>
      <c r="CR626" s="32">
        <f t="shared" si="994"/>
        <v>0</v>
      </c>
      <c r="CS626" s="32">
        <f t="shared" si="994"/>
        <v>0</v>
      </c>
      <c r="CT626" s="32">
        <f t="shared" si="994"/>
        <v>0</v>
      </c>
      <c r="CU626" s="32">
        <f t="shared" si="994"/>
        <v>0</v>
      </c>
      <c r="CV626" s="32">
        <f t="shared" si="994"/>
        <v>0</v>
      </c>
    </row>
    <row r="627" spans="1:100" ht="12.75" outlineLevel="2" x14ac:dyDescent="0.2">
      <c r="A627" s="79"/>
      <c r="B627" s="79"/>
      <c r="C627" s="561"/>
      <c r="D627" s="60"/>
      <c r="E627" s="32" t="str">
        <f t="shared" ref="E627:AJ627" si="995" xml:space="preserve"> E$624</f>
        <v>WCF target drawdown - P99</v>
      </c>
      <c r="F627" s="32">
        <f t="shared" si="995"/>
        <v>0</v>
      </c>
      <c r="G627" s="32" t="str">
        <f t="shared" si="995"/>
        <v>$ 000s</v>
      </c>
      <c r="H627" s="32">
        <f t="shared" si="995"/>
        <v>0</v>
      </c>
      <c r="I627" s="32">
        <f t="shared" si="995"/>
        <v>0</v>
      </c>
      <c r="J627" s="32">
        <f t="shared" si="995"/>
        <v>0</v>
      </c>
      <c r="K627" s="32">
        <f t="shared" si="995"/>
        <v>0</v>
      </c>
      <c r="L627" s="32">
        <f t="shared" si="995"/>
        <v>0</v>
      </c>
      <c r="M627" s="32">
        <f t="shared" si="995"/>
        <v>0</v>
      </c>
      <c r="N627" s="32">
        <f t="shared" si="995"/>
        <v>0</v>
      </c>
      <c r="O627" s="32">
        <f t="shared" si="995"/>
        <v>0</v>
      </c>
      <c r="P627" s="32">
        <f t="shared" si="995"/>
        <v>0</v>
      </c>
      <c r="Q627" s="32">
        <f t="shared" si="995"/>
        <v>0</v>
      </c>
      <c r="R627" s="32">
        <f t="shared" si="995"/>
        <v>0</v>
      </c>
      <c r="S627" s="32">
        <f t="shared" si="995"/>
        <v>0</v>
      </c>
      <c r="T627" s="32">
        <f t="shared" si="995"/>
        <v>0</v>
      </c>
      <c r="U627" s="32">
        <f t="shared" si="995"/>
        <v>0</v>
      </c>
      <c r="V627" s="32">
        <f t="shared" si="995"/>
        <v>0</v>
      </c>
      <c r="W627" s="32">
        <f t="shared" si="995"/>
        <v>0</v>
      </c>
      <c r="X627" s="32">
        <f t="shared" si="995"/>
        <v>0</v>
      </c>
      <c r="Y627" s="32">
        <f t="shared" si="995"/>
        <v>0</v>
      </c>
      <c r="Z627" s="32">
        <f t="shared" si="995"/>
        <v>0</v>
      </c>
      <c r="AA627" s="32">
        <f t="shared" si="995"/>
        <v>0</v>
      </c>
      <c r="AB627" s="32">
        <f t="shared" si="995"/>
        <v>0</v>
      </c>
      <c r="AC627" s="32">
        <f t="shared" si="995"/>
        <v>0</v>
      </c>
      <c r="AD627" s="32">
        <f t="shared" si="995"/>
        <v>0</v>
      </c>
      <c r="AE627" s="32">
        <f t="shared" si="995"/>
        <v>0</v>
      </c>
      <c r="AF627" s="32">
        <f t="shared" si="995"/>
        <v>0</v>
      </c>
      <c r="AG627" s="32">
        <f t="shared" si="995"/>
        <v>0</v>
      </c>
      <c r="AH627" s="32">
        <f t="shared" si="995"/>
        <v>0</v>
      </c>
      <c r="AI627" s="32">
        <f t="shared" si="995"/>
        <v>0</v>
      </c>
      <c r="AJ627" s="32">
        <f t="shared" si="995"/>
        <v>0</v>
      </c>
      <c r="AK627" s="32">
        <f t="shared" ref="AK627:BP627" si="996" xml:space="preserve"> AK$624</f>
        <v>0</v>
      </c>
      <c r="AL627" s="32">
        <f t="shared" si="996"/>
        <v>0</v>
      </c>
      <c r="AM627" s="32">
        <f t="shared" si="996"/>
        <v>0</v>
      </c>
      <c r="AN627" s="32">
        <f t="shared" si="996"/>
        <v>0</v>
      </c>
      <c r="AO627" s="32">
        <f t="shared" si="996"/>
        <v>0</v>
      </c>
      <c r="AP627" s="32">
        <f t="shared" si="996"/>
        <v>0</v>
      </c>
      <c r="AQ627" s="32">
        <f t="shared" si="996"/>
        <v>0</v>
      </c>
      <c r="AR627" s="32">
        <f t="shared" si="996"/>
        <v>0</v>
      </c>
      <c r="AS627" s="32">
        <f t="shared" si="996"/>
        <v>0</v>
      </c>
      <c r="AT627" s="32">
        <f t="shared" si="996"/>
        <v>0</v>
      </c>
      <c r="AU627" s="32">
        <f t="shared" si="996"/>
        <v>0</v>
      </c>
      <c r="AV627" s="32">
        <f t="shared" si="996"/>
        <v>0</v>
      </c>
      <c r="AW627" s="32">
        <f t="shared" si="996"/>
        <v>0</v>
      </c>
      <c r="AX627" s="32">
        <f t="shared" si="996"/>
        <v>0</v>
      </c>
      <c r="AY627" s="32">
        <f t="shared" si="996"/>
        <v>0</v>
      </c>
      <c r="AZ627" s="32">
        <f t="shared" si="996"/>
        <v>0</v>
      </c>
      <c r="BA627" s="32">
        <f t="shared" si="996"/>
        <v>0</v>
      </c>
      <c r="BB627" s="32">
        <f t="shared" si="996"/>
        <v>0</v>
      </c>
      <c r="BC627" s="32">
        <f t="shared" si="996"/>
        <v>0</v>
      </c>
      <c r="BD627" s="32">
        <f t="shared" si="996"/>
        <v>0</v>
      </c>
      <c r="BE627" s="32">
        <f t="shared" si="996"/>
        <v>0</v>
      </c>
      <c r="BF627" s="32">
        <f t="shared" si="996"/>
        <v>0</v>
      </c>
      <c r="BG627" s="32">
        <f t="shared" si="996"/>
        <v>0</v>
      </c>
      <c r="BH627" s="32">
        <f t="shared" si="996"/>
        <v>0</v>
      </c>
      <c r="BI627" s="32">
        <f t="shared" si="996"/>
        <v>0</v>
      </c>
      <c r="BJ627" s="32">
        <f t="shared" si="996"/>
        <v>0</v>
      </c>
      <c r="BK627" s="32">
        <f t="shared" si="996"/>
        <v>0</v>
      </c>
      <c r="BL627" s="32">
        <f t="shared" si="996"/>
        <v>0</v>
      </c>
      <c r="BM627" s="32">
        <f t="shared" si="996"/>
        <v>0</v>
      </c>
      <c r="BN627" s="32">
        <f t="shared" si="996"/>
        <v>0</v>
      </c>
      <c r="BO627" s="32">
        <f t="shared" si="996"/>
        <v>0</v>
      </c>
      <c r="BP627" s="32">
        <f t="shared" si="996"/>
        <v>0</v>
      </c>
      <c r="BQ627" s="32">
        <f t="shared" ref="BQ627:CV627" si="997" xml:space="preserve"> BQ$624</f>
        <v>0</v>
      </c>
      <c r="BR627" s="32">
        <f t="shared" si="997"/>
        <v>0</v>
      </c>
      <c r="BS627" s="32">
        <f t="shared" si="997"/>
        <v>0</v>
      </c>
      <c r="BT627" s="32">
        <f t="shared" si="997"/>
        <v>0</v>
      </c>
      <c r="BU627" s="32">
        <f t="shared" si="997"/>
        <v>0</v>
      </c>
      <c r="BV627" s="32">
        <f t="shared" si="997"/>
        <v>0</v>
      </c>
      <c r="BW627" s="32">
        <f t="shared" si="997"/>
        <v>0</v>
      </c>
      <c r="BX627" s="32">
        <f t="shared" si="997"/>
        <v>0</v>
      </c>
      <c r="BY627" s="32">
        <f t="shared" si="997"/>
        <v>0</v>
      </c>
      <c r="BZ627" s="32">
        <f t="shared" si="997"/>
        <v>0</v>
      </c>
      <c r="CA627" s="32">
        <f t="shared" si="997"/>
        <v>0</v>
      </c>
      <c r="CB627" s="32">
        <f t="shared" si="997"/>
        <v>0</v>
      </c>
      <c r="CC627" s="32">
        <f t="shared" si="997"/>
        <v>0</v>
      </c>
      <c r="CD627" s="32">
        <f t="shared" si="997"/>
        <v>0</v>
      </c>
      <c r="CE627" s="32">
        <f t="shared" si="997"/>
        <v>0</v>
      </c>
      <c r="CF627" s="32">
        <f t="shared" si="997"/>
        <v>0</v>
      </c>
      <c r="CG627" s="32">
        <f t="shared" si="997"/>
        <v>0</v>
      </c>
      <c r="CH627" s="32">
        <f t="shared" si="997"/>
        <v>0</v>
      </c>
      <c r="CI627" s="32">
        <f t="shared" si="997"/>
        <v>0</v>
      </c>
      <c r="CJ627" s="32">
        <f t="shared" si="997"/>
        <v>0</v>
      </c>
      <c r="CK627" s="32">
        <f t="shared" si="997"/>
        <v>0</v>
      </c>
      <c r="CL627" s="32">
        <f t="shared" si="997"/>
        <v>0</v>
      </c>
      <c r="CM627" s="32">
        <f t="shared" si="997"/>
        <v>0</v>
      </c>
      <c r="CN627" s="32">
        <f t="shared" si="997"/>
        <v>0</v>
      </c>
      <c r="CO627" s="32">
        <f t="shared" si="997"/>
        <v>0</v>
      </c>
      <c r="CP627" s="32">
        <f t="shared" si="997"/>
        <v>0</v>
      </c>
      <c r="CQ627" s="32">
        <f t="shared" si="997"/>
        <v>0</v>
      </c>
      <c r="CR627" s="32">
        <f t="shared" si="997"/>
        <v>0</v>
      </c>
      <c r="CS627" s="32">
        <f t="shared" si="997"/>
        <v>0</v>
      </c>
      <c r="CT627" s="32">
        <f t="shared" si="997"/>
        <v>0</v>
      </c>
      <c r="CU627" s="32">
        <f t="shared" si="997"/>
        <v>0</v>
      </c>
      <c r="CV627" s="32">
        <f t="shared" si="997"/>
        <v>0</v>
      </c>
    </row>
    <row r="628" spans="1:100" s="188" customFormat="1" ht="12.75" outlineLevel="2" x14ac:dyDescent="0.2">
      <c r="A628" s="397"/>
      <c r="B628" s="397"/>
      <c r="C628" s="566"/>
      <c r="D628" s="567" t="s">
        <v>366</v>
      </c>
      <c r="E628" s="188" t="s">
        <v>1198</v>
      </c>
      <c r="G628" s="188" t="str">
        <f xml:space="preserve"> SMU</f>
        <v>$ 000s</v>
      </c>
      <c r="H628" s="188">
        <f xml:space="preserve"> SUM(J628:CV628)</f>
        <v>0</v>
      </c>
      <c r="J628" s="188">
        <f t="shared" ref="J628:AO628" si="998" xml:space="preserve"> MIN(J626:J627)</f>
        <v>0</v>
      </c>
      <c r="K628" s="188">
        <f t="shared" si="998"/>
        <v>0</v>
      </c>
      <c r="L628" s="188">
        <f t="shared" si="998"/>
        <v>0</v>
      </c>
      <c r="M628" s="188">
        <f t="shared" si="998"/>
        <v>0</v>
      </c>
      <c r="N628" s="188">
        <f t="shared" si="998"/>
        <v>0</v>
      </c>
      <c r="O628" s="188">
        <f t="shared" si="998"/>
        <v>0</v>
      </c>
      <c r="P628" s="188">
        <f t="shared" si="998"/>
        <v>0</v>
      </c>
      <c r="Q628" s="188">
        <f t="shared" si="998"/>
        <v>0</v>
      </c>
      <c r="R628" s="188">
        <f t="shared" si="998"/>
        <v>0</v>
      </c>
      <c r="S628" s="188">
        <f t="shared" si="998"/>
        <v>0</v>
      </c>
      <c r="T628" s="188">
        <f t="shared" si="998"/>
        <v>0</v>
      </c>
      <c r="U628" s="188">
        <f t="shared" si="998"/>
        <v>0</v>
      </c>
      <c r="V628" s="188">
        <f t="shared" si="998"/>
        <v>0</v>
      </c>
      <c r="W628" s="188">
        <f t="shared" si="998"/>
        <v>0</v>
      </c>
      <c r="X628" s="188">
        <f t="shared" si="998"/>
        <v>0</v>
      </c>
      <c r="Y628" s="188">
        <f t="shared" si="998"/>
        <v>0</v>
      </c>
      <c r="Z628" s="188">
        <f t="shared" si="998"/>
        <v>0</v>
      </c>
      <c r="AA628" s="188">
        <f t="shared" si="998"/>
        <v>0</v>
      </c>
      <c r="AB628" s="188">
        <f t="shared" si="998"/>
        <v>0</v>
      </c>
      <c r="AC628" s="188">
        <f t="shared" si="998"/>
        <v>0</v>
      </c>
      <c r="AD628" s="188">
        <f t="shared" si="998"/>
        <v>0</v>
      </c>
      <c r="AE628" s="188">
        <f t="shared" si="998"/>
        <v>0</v>
      </c>
      <c r="AF628" s="188">
        <f t="shared" si="998"/>
        <v>0</v>
      </c>
      <c r="AG628" s="188">
        <f t="shared" si="998"/>
        <v>0</v>
      </c>
      <c r="AH628" s="188">
        <f t="shared" si="998"/>
        <v>0</v>
      </c>
      <c r="AI628" s="188">
        <f t="shared" si="998"/>
        <v>0</v>
      </c>
      <c r="AJ628" s="188">
        <f t="shared" si="998"/>
        <v>0</v>
      </c>
      <c r="AK628" s="188">
        <f t="shared" si="998"/>
        <v>0</v>
      </c>
      <c r="AL628" s="188">
        <f t="shared" si="998"/>
        <v>0</v>
      </c>
      <c r="AM628" s="188">
        <f t="shared" si="998"/>
        <v>0</v>
      </c>
      <c r="AN628" s="188">
        <f t="shared" si="998"/>
        <v>0</v>
      </c>
      <c r="AO628" s="188">
        <f t="shared" si="998"/>
        <v>0</v>
      </c>
      <c r="AP628" s="188">
        <f t="shared" ref="AP628:BU628" si="999" xml:space="preserve"> MIN(AP626:AP627)</f>
        <v>0</v>
      </c>
      <c r="AQ628" s="188">
        <f t="shared" si="999"/>
        <v>0</v>
      </c>
      <c r="AR628" s="188">
        <f t="shared" si="999"/>
        <v>0</v>
      </c>
      <c r="AS628" s="188">
        <f t="shared" si="999"/>
        <v>0</v>
      </c>
      <c r="AT628" s="188">
        <f t="shared" si="999"/>
        <v>0</v>
      </c>
      <c r="AU628" s="188">
        <f t="shared" si="999"/>
        <v>0</v>
      </c>
      <c r="AV628" s="188">
        <f t="shared" si="999"/>
        <v>0</v>
      </c>
      <c r="AW628" s="188">
        <f t="shared" si="999"/>
        <v>0</v>
      </c>
      <c r="AX628" s="188">
        <f t="shared" si="999"/>
        <v>0</v>
      </c>
      <c r="AY628" s="188">
        <f t="shared" si="999"/>
        <v>0</v>
      </c>
      <c r="AZ628" s="188">
        <f t="shared" si="999"/>
        <v>0</v>
      </c>
      <c r="BA628" s="188">
        <f t="shared" si="999"/>
        <v>0</v>
      </c>
      <c r="BB628" s="188">
        <f t="shared" si="999"/>
        <v>0</v>
      </c>
      <c r="BC628" s="188">
        <f t="shared" si="999"/>
        <v>0</v>
      </c>
      <c r="BD628" s="188">
        <f t="shared" si="999"/>
        <v>0</v>
      </c>
      <c r="BE628" s="188">
        <f t="shared" si="999"/>
        <v>0</v>
      </c>
      <c r="BF628" s="188">
        <f t="shared" si="999"/>
        <v>0</v>
      </c>
      <c r="BG628" s="188">
        <f t="shared" si="999"/>
        <v>0</v>
      </c>
      <c r="BH628" s="188">
        <f t="shared" si="999"/>
        <v>0</v>
      </c>
      <c r="BI628" s="188">
        <f t="shared" si="999"/>
        <v>0</v>
      </c>
      <c r="BJ628" s="188">
        <f t="shared" si="999"/>
        <v>0</v>
      </c>
      <c r="BK628" s="188">
        <f t="shared" si="999"/>
        <v>0</v>
      </c>
      <c r="BL628" s="188">
        <f t="shared" si="999"/>
        <v>0</v>
      </c>
      <c r="BM628" s="188">
        <f t="shared" si="999"/>
        <v>0</v>
      </c>
      <c r="BN628" s="188">
        <f t="shared" si="999"/>
        <v>0</v>
      </c>
      <c r="BO628" s="188">
        <f t="shared" si="999"/>
        <v>0</v>
      </c>
      <c r="BP628" s="188">
        <f t="shared" si="999"/>
        <v>0</v>
      </c>
      <c r="BQ628" s="188">
        <f t="shared" si="999"/>
        <v>0</v>
      </c>
      <c r="BR628" s="188">
        <f t="shared" si="999"/>
        <v>0</v>
      </c>
      <c r="BS628" s="188">
        <f t="shared" si="999"/>
        <v>0</v>
      </c>
      <c r="BT628" s="188">
        <f t="shared" si="999"/>
        <v>0</v>
      </c>
      <c r="BU628" s="188">
        <f t="shared" si="999"/>
        <v>0</v>
      </c>
      <c r="BV628" s="188">
        <f t="shared" ref="BV628:CV628" si="1000" xml:space="preserve"> MIN(BV626:BV627)</f>
        <v>0</v>
      </c>
      <c r="BW628" s="188">
        <f t="shared" si="1000"/>
        <v>0</v>
      </c>
      <c r="BX628" s="188">
        <f t="shared" si="1000"/>
        <v>0</v>
      </c>
      <c r="BY628" s="188">
        <f t="shared" si="1000"/>
        <v>0</v>
      </c>
      <c r="BZ628" s="188">
        <f t="shared" si="1000"/>
        <v>0</v>
      </c>
      <c r="CA628" s="188">
        <f t="shared" si="1000"/>
        <v>0</v>
      </c>
      <c r="CB628" s="188">
        <f t="shared" si="1000"/>
        <v>0</v>
      </c>
      <c r="CC628" s="188">
        <f t="shared" si="1000"/>
        <v>0</v>
      </c>
      <c r="CD628" s="188">
        <f t="shared" si="1000"/>
        <v>0</v>
      </c>
      <c r="CE628" s="188">
        <f t="shared" si="1000"/>
        <v>0</v>
      </c>
      <c r="CF628" s="188">
        <f t="shared" si="1000"/>
        <v>0</v>
      </c>
      <c r="CG628" s="188">
        <f t="shared" si="1000"/>
        <v>0</v>
      </c>
      <c r="CH628" s="188">
        <f t="shared" si="1000"/>
        <v>0</v>
      </c>
      <c r="CI628" s="188">
        <f t="shared" si="1000"/>
        <v>0</v>
      </c>
      <c r="CJ628" s="188">
        <f t="shared" si="1000"/>
        <v>0</v>
      </c>
      <c r="CK628" s="188">
        <f t="shared" si="1000"/>
        <v>0</v>
      </c>
      <c r="CL628" s="188">
        <f t="shared" si="1000"/>
        <v>0</v>
      </c>
      <c r="CM628" s="188">
        <f t="shared" si="1000"/>
        <v>0</v>
      </c>
      <c r="CN628" s="188">
        <f t="shared" si="1000"/>
        <v>0</v>
      </c>
      <c r="CO628" s="188">
        <f t="shared" si="1000"/>
        <v>0</v>
      </c>
      <c r="CP628" s="188">
        <f t="shared" si="1000"/>
        <v>0</v>
      </c>
      <c r="CQ628" s="188">
        <f t="shared" si="1000"/>
        <v>0</v>
      </c>
      <c r="CR628" s="188">
        <f t="shared" si="1000"/>
        <v>0</v>
      </c>
      <c r="CS628" s="188">
        <f t="shared" si="1000"/>
        <v>0</v>
      </c>
      <c r="CT628" s="188">
        <f t="shared" si="1000"/>
        <v>0</v>
      </c>
      <c r="CU628" s="188">
        <f t="shared" si="1000"/>
        <v>0</v>
      </c>
      <c r="CV628" s="188">
        <f t="shared" si="1000"/>
        <v>0</v>
      </c>
    </row>
    <row r="629" spans="1:100" ht="12.75" outlineLevel="2" x14ac:dyDescent="0.2">
      <c r="A629" s="79"/>
      <c r="B629" s="79"/>
      <c r="C629" s="561"/>
      <c r="D629" s="60"/>
      <c r="E629" s="188"/>
      <c r="F629" s="188"/>
      <c r="G629" s="188"/>
      <c r="H629" s="188"/>
      <c r="I629" s="188"/>
      <c r="J629" s="188"/>
      <c r="K629" s="188"/>
      <c r="L629" s="188"/>
      <c r="M629" s="188"/>
      <c r="N629" s="188"/>
      <c r="O629" s="188"/>
      <c r="P629" s="188"/>
      <c r="Q629" s="188"/>
      <c r="R629" s="188"/>
      <c r="S629" s="188"/>
      <c r="T629" s="188"/>
      <c r="U629" s="188"/>
      <c r="V629" s="188"/>
      <c r="W629" s="188"/>
      <c r="X629" s="188"/>
      <c r="Y629" s="188"/>
      <c r="Z629" s="188"/>
      <c r="AA629" s="188"/>
      <c r="AB629" s="188"/>
      <c r="AC629" s="188"/>
      <c r="AD629" s="188"/>
      <c r="AE629" s="188"/>
      <c r="AF629" s="188"/>
      <c r="AG629" s="188"/>
      <c r="AH629" s="188"/>
      <c r="AI629" s="188"/>
      <c r="AJ629" s="188"/>
      <c r="AK629" s="188"/>
      <c r="AL629" s="188"/>
      <c r="AM629" s="188"/>
      <c r="AN629" s="188"/>
      <c r="AO629" s="188"/>
      <c r="AP629" s="188"/>
      <c r="AQ629" s="188"/>
      <c r="AR629" s="188"/>
      <c r="AS629" s="188"/>
      <c r="AT629" s="188"/>
      <c r="AU629" s="188"/>
      <c r="AV629" s="188"/>
      <c r="AW629" s="188"/>
      <c r="AX629" s="188"/>
      <c r="AY629" s="188"/>
      <c r="AZ629" s="188"/>
      <c r="BA629" s="188"/>
      <c r="BB629" s="188"/>
      <c r="BC629" s="188"/>
      <c r="BD629" s="188"/>
      <c r="BE629" s="188"/>
      <c r="BF629" s="188"/>
      <c r="BG629" s="188"/>
      <c r="BH629" s="188"/>
      <c r="BI629" s="188"/>
      <c r="BJ629" s="188"/>
      <c r="BK629" s="188"/>
      <c r="BL629" s="188"/>
      <c r="BM629" s="188"/>
      <c r="BN629" s="188"/>
      <c r="BO629" s="188"/>
      <c r="BP629" s="188"/>
      <c r="BQ629" s="188"/>
      <c r="BR629" s="188"/>
      <c r="BS629" s="188"/>
      <c r="BT629" s="188"/>
      <c r="BU629" s="188"/>
      <c r="BV629" s="188"/>
      <c r="BW629" s="188"/>
      <c r="BX629" s="188"/>
      <c r="BY629" s="188"/>
      <c r="BZ629" s="188"/>
      <c r="CA629" s="188"/>
      <c r="CB629" s="188"/>
      <c r="CC629" s="188"/>
      <c r="CD629" s="188"/>
      <c r="CE629" s="188"/>
      <c r="CF629" s="188"/>
      <c r="CG629" s="188"/>
      <c r="CH629" s="188"/>
      <c r="CI629" s="188"/>
      <c r="CJ629" s="188"/>
      <c r="CK629" s="188"/>
      <c r="CL629" s="188"/>
      <c r="CM629" s="188"/>
      <c r="CN629" s="188"/>
      <c r="CO629" s="188"/>
      <c r="CP629" s="188"/>
      <c r="CQ629" s="188"/>
      <c r="CR629" s="188"/>
      <c r="CS629" s="188"/>
      <c r="CT629" s="188"/>
      <c r="CU629" s="188"/>
      <c r="CV629" s="188"/>
    </row>
    <row r="630" spans="1:100" ht="12.75" outlineLevel="2" x14ac:dyDescent="0.2">
      <c r="A630" s="79"/>
      <c r="B630" s="79"/>
      <c r="C630" s="561"/>
      <c r="D630" s="60"/>
      <c r="E630" s="32" t="str">
        <f t="shared" ref="E630:AJ630" si="1001" xml:space="preserve"> E$624</f>
        <v>WCF target drawdown - P99</v>
      </c>
      <c r="F630" s="32">
        <f t="shared" si="1001"/>
        <v>0</v>
      </c>
      <c r="G630" s="32" t="str">
        <f t="shared" si="1001"/>
        <v>$ 000s</v>
      </c>
      <c r="H630" s="32">
        <f t="shared" si="1001"/>
        <v>0</v>
      </c>
      <c r="I630" s="32">
        <f t="shared" si="1001"/>
        <v>0</v>
      </c>
      <c r="J630" s="32">
        <f t="shared" si="1001"/>
        <v>0</v>
      </c>
      <c r="K630" s="32">
        <f t="shared" si="1001"/>
        <v>0</v>
      </c>
      <c r="L630" s="32">
        <f t="shared" si="1001"/>
        <v>0</v>
      </c>
      <c r="M630" s="32">
        <f t="shared" si="1001"/>
        <v>0</v>
      </c>
      <c r="N630" s="32">
        <f t="shared" si="1001"/>
        <v>0</v>
      </c>
      <c r="O630" s="32">
        <f t="shared" si="1001"/>
        <v>0</v>
      </c>
      <c r="P630" s="32">
        <f t="shared" si="1001"/>
        <v>0</v>
      </c>
      <c r="Q630" s="32">
        <f t="shared" si="1001"/>
        <v>0</v>
      </c>
      <c r="R630" s="32">
        <f t="shared" si="1001"/>
        <v>0</v>
      </c>
      <c r="S630" s="32">
        <f t="shared" si="1001"/>
        <v>0</v>
      </c>
      <c r="T630" s="32">
        <f t="shared" si="1001"/>
        <v>0</v>
      </c>
      <c r="U630" s="32">
        <f t="shared" si="1001"/>
        <v>0</v>
      </c>
      <c r="V630" s="32">
        <f t="shared" si="1001"/>
        <v>0</v>
      </c>
      <c r="W630" s="32">
        <f t="shared" si="1001"/>
        <v>0</v>
      </c>
      <c r="X630" s="32">
        <f t="shared" si="1001"/>
        <v>0</v>
      </c>
      <c r="Y630" s="32">
        <f t="shared" si="1001"/>
        <v>0</v>
      </c>
      <c r="Z630" s="32">
        <f t="shared" si="1001"/>
        <v>0</v>
      </c>
      <c r="AA630" s="32">
        <f t="shared" si="1001"/>
        <v>0</v>
      </c>
      <c r="AB630" s="32">
        <f t="shared" si="1001"/>
        <v>0</v>
      </c>
      <c r="AC630" s="32">
        <f t="shared" si="1001"/>
        <v>0</v>
      </c>
      <c r="AD630" s="32">
        <f t="shared" si="1001"/>
        <v>0</v>
      </c>
      <c r="AE630" s="32">
        <f t="shared" si="1001"/>
        <v>0</v>
      </c>
      <c r="AF630" s="32">
        <f t="shared" si="1001"/>
        <v>0</v>
      </c>
      <c r="AG630" s="32">
        <f t="shared" si="1001"/>
        <v>0</v>
      </c>
      <c r="AH630" s="32">
        <f t="shared" si="1001"/>
        <v>0</v>
      </c>
      <c r="AI630" s="32">
        <f t="shared" si="1001"/>
        <v>0</v>
      </c>
      <c r="AJ630" s="32">
        <f t="shared" si="1001"/>
        <v>0</v>
      </c>
      <c r="AK630" s="32">
        <f t="shared" ref="AK630:BP630" si="1002" xml:space="preserve"> AK$624</f>
        <v>0</v>
      </c>
      <c r="AL630" s="32">
        <f t="shared" si="1002"/>
        <v>0</v>
      </c>
      <c r="AM630" s="32">
        <f t="shared" si="1002"/>
        <v>0</v>
      </c>
      <c r="AN630" s="32">
        <f t="shared" si="1002"/>
        <v>0</v>
      </c>
      <c r="AO630" s="32">
        <f t="shared" si="1002"/>
        <v>0</v>
      </c>
      <c r="AP630" s="32">
        <f t="shared" si="1002"/>
        <v>0</v>
      </c>
      <c r="AQ630" s="32">
        <f t="shared" si="1002"/>
        <v>0</v>
      </c>
      <c r="AR630" s="32">
        <f t="shared" si="1002"/>
        <v>0</v>
      </c>
      <c r="AS630" s="32">
        <f t="shared" si="1002"/>
        <v>0</v>
      </c>
      <c r="AT630" s="32">
        <f t="shared" si="1002"/>
        <v>0</v>
      </c>
      <c r="AU630" s="32">
        <f t="shared" si="1002"/>
        <v>0</v>
      </c>
      <c r="AV630" s="32">
        <f t="shared" si="1002"/>
        <v>0</v>
      </c>
      <c r="AW630" s="32">
        <f t="shared" si="1002"/>
        <v>0</v>
      </c>
      <c r="AX630" s="32">
        <f t="shared" si="1002"/>
        <v>0</v>
      </c>
      <c r="AY630" s="32">
        <f t="shared" si="1002"/>
        <v>0</v>
      </c>
      <c r="AZ630" s="32">
        <f t="shared" si="1002"/>
        <v>0</v>
      </c>
      <c r="BA630" s="32">
        <f t="shared" si="1002"/>
        <v>0</v>
      </c>
      <c r="BB630" s="32">
        <f t="shared" si="1002"/>
        <v>0</v>
      </c>
      <c r="BC630" s="32">
        <f t="shared" si="1002"/>
        <v>0</v>
      </c>
      <c r="BD630" s="32">
        <f t="shared" si="1002"/>
        <v>0</v>
      </c>
      <c r="BE630" s="32">
        <f t="shared" si="1002"/>
        <v>0</v>
      </c>
      <c r="BF630" s="32">
        <f t="shared" si="1002"/>
        <v>0</v>
      </c>
      <c r="BG630" s="32">
        <f t="shared" si="1002"/>
        <v>0</v>
      </c>
      <c r="BH630" s="32">
        <f t="shared" si="1002"/>
        <v>0</v>
      </c>
      <c r="BI630" s="32">
        <f t="shared" si="1002"/>
        <v>0</v>
      </c>
      <c r="BJ630" s="32">
        <f t="shared" si="1002"/>
        <v>0</v>
      </c>
      <c r="BK630" s="32">
        <f t="shared" si="1002"/>
        <v>0</v>
      </c>
      <c r="BL630" s="32">
        <f t="shared" si="1002"/>
        <v>0</v>
      </c>
      <c r="BM630" s="32">
        <f t="shared" si="1002"/>
        <v>0</v>
      </c>
      <c r="BN630" s="32">
        <f t="shared" si="1002"/>
        <v>0</v>
      </c>
      <c r="BO630" s="32">
        <f t="shared" si="1002"/>
        <v>0</v>
      </c>
      <c r="BP630" s="32">
        <f t="shared" si="1002"/>
        <v>0</v>
      </c>
      <c r="BQ630" s="32">
        <f t="shared" ref="BQ630:CV630" si="1003" xml:space="preserve"> BQ$624</f>
        <v>0</v>
      </c>
      <c r="BR630" s="32">
        <f t="shared" si="1003"/>
        <v>0</v>
      </c>
      <c r="BS630" s="32">
        <f t="shared" si="1003"/>
        <v>0</v>
      </c>
      <c r="BT630" s="32">
        <f t="shared" si="1003"/>
        <v>0</v>
      </c>
      <c r="BU630" s="32">
        <f t="shared" si="1003"/>
        <v>0</v>
      </c>
      <c r="BV630" s="32">
        <f t="shared" si="1003"/>
        <v>0</v>
      </c>
      <c r="BW630" s="32">
        <f t="shared" si="1003"/>
        <v>0</v>
      </c>
      <c r="BX630" s="32">
        <f t="shared" si="1003"/>
        <v>0</v>
      </c>
      <c r="BY630" s="32">
        <f t="shared" si="1003"/>
        <v>0</v>
      </c>
      <c r="BZ630" s="32">
        <f t="shared" si="1003"/>
        <v>0</v>
      </c>
      <c r="CA630" s="32">
        <f t="shared" si="1003"/>
        <v>0</v>
      </c>
      <c r="CB630" s="32">
        <f t="shared" si="1003"/>
        <v>0</v>
      </c>
      <c r="CC630" s="32">
        <f t="shared" si="1003"/>
        <v>0</v>
      </c>
      <c r="CD630" s="32">
        <f t="shared" si="1003"/>
        <v>0</v>
      </c>
      <c r="CE630" s="32">
        <f t="shared" si="1003"/>
        <v>0</v>
      </c>
      <c r="CF630" s="32">
        <f t="shared" si="1003"/>
        <v>0</v>
      </c>
      <c r="CG630" s="32">
        <f t="shared" si="1003"/>
        <v>0</v>
      </c>
      <c r="CH630" s="32">
        <f t="shared" si="1003"/>
        <v>0</v>
      </c>
      <c r="CI630" s="32">
        <f t="shared" si="1003"/>
        <v>0</v>
      </c>
      <c r="CJ630" s="32">
        <f t="shared" si="1003"/>
        <v>0</v>
      </c>
      <c r="CK630" s="32">
        <f t="shared" si="1003"/>
        <v>0</v>
      </c>
      <c r="CL630" s="32">
        <f t="shared" si="1003"/>
        <v>0</v>
      </c>
      <c r="CM630" s="32">
        <f t="shared" si="1003"/>
        <v>0</v>
      </c>
      <c r="CN630" s="32">
        <f t="shared" si="1003"/>
        <v>0</v>
      </c>
      <c r="CO630" s="32">
        <f t="shared" si="1003"/>
        <v>0</v>
      </c>
      <c r="CP630" s="32">
        <f t="shared" si="1003"/>
        <v>0</v>
      </c>
      <c r="CQ630" s="32">
        <f t="shared" si="1003"/>
        <v>0</v>
      </c>
      <c r="CR630" s="32">
        <f t="shared" si="1003"/>
        <v>0</v>
      </c>
      <c r="CS630" s="32">
        <f t="shared" si="1003"/>
        <v>0</v>
      </c>
      <c r="CT630" s="32">
        <f t="shared" si="1003"/>
        <v>0</v>
      </c>
      <c r="CU630" s="32">
        <f t="shared" si="1003"/>
        <v>0</v>
      </c>
      <c r="CV630" s="32">
        <f t="shared" si="1003"/>
        <v>0</v>
      </c>
    </row>
    <row r="631" spans="1:100" ht="12.75" outlineLevel="2" x14ac:dyDescent="0.2">
      <c r="A631" s="79"/>
      <c r="B631" s="79"/>
      <c r="C631" s="561"/>
      <c r="D631" s="60"/>
      <c r="E631" s="32" t="str">
        <f t="shared" ref="E631:AJ631" si="1004" xml:space="preserve"> E$628</f>
        <v>WCF drawdown - P99</v>
      </c>
      <c r="F631" s="32">
        <f t="shared" si="1004"/>
        <v>0</v>
      </c>
      <c r="G631" s="32" t="str">
        <f t="shared" si="1004"/>
        <v>$ 000s</v>
      </c>
      <c r="H631" s="32">
        <f t="shared" si="1004"/>
        <v>0</v>
      </c>
      <c r="I631" s="32">
        <f t="shared" si="1004"/>
        <v>0</v>
      </c>
      <c r="J631" s="32">
        <f t="shared" si="1004"/>
        <v>0</v>
      </c>
      <c r="K631" s="32">
        <f t="shared" si="1004"/>
        <v>0</v>
      </c>
      <c r="L631" s="32">
        <f t="shared" si="1004"/>
        <v>0</v>
      </c>
      <c r="M631" s="32">
        <f t="shared" si="1004"/>
        <v>0</v>
      </c>
      <c r="N631" s="32">
        <f t="shared" si="1004"/>
        <v>0</v>
      </c>
      <c r="O631" s="32">
        <f t="shared" si="1004"/>
        <v>0</v>
      </c>
      <c r="P631" s="32">
        <f t="shared" si="1004"/>
        <v>0</v>
      </c>
      <c r="Q631" s="32">
        <f t="shared" si="1004"/>
        <v>0</v>
      </c>
      <c r="R631" s="32">
        <f t="shared" si="1004"/>
        <v>0</v>
      </c>
      <c r="S631" s="32">
        <f t="shared" si="1004"/>
        <v>0</v>
      </c>
      <c r="T631" s="32">
        <f t="shared" si="1004"/>
        <v>0</v>
      </c>
      <c r="U631" s="32">
        <f t="shared" si="1004"/>
        <v>0</v>
      </c>
      <c r="V631" s="32">
        <f t="shared" si="1004"/>
        <v>0</v>
      </c>
      <c r="W631" s="32">
        <f t="shared" si="1004"/>
        <v>0</v>
      </c>
      <c r="X631" s="32">
        <f t="shared" si="1004"/>
        <v>0</v>
      </c>
      <c r="Y631" s="32">
        <f t="shared" si="1004"/>
        <v>0</v>
      </c>
      <c r="Z631" s="32">
        <f t="shared" si="1004"/>
        <v>0</v>
      </c>
      <c r="AA631" s="32">
        <f t="shared" si="1004"/>
        <v>0</v>
      </c>
      <c r="AB631" s="32">
        <f t="shared" si="1004"/>
        <v>0</v>
      </c>
      <c r="AC631" s="32">
        <f t="shared" si="1004"/>
        <v>0</v>
      </c>
      <c r="AD631" s="32">
        <f t="shared" si="1004"/>
        <v>0</v>
      </c>
      <c r="AE631" s="32">
        <f t="shared" si="1004"/>
        <v>0</v>
      </c>
      <c r="AF631" s="32">
        <f t="shared" si="1004"/>
        <v>0</v>
      </c>
      <c r="AG631" s="32">
        <f t="shared" si="1004"/>
        <v>0</v>
      </c>
      <c r="AH631" s="32">
        <f t="shared" si="1004"/>
        <v>0</v>
      </c>
      <c r="AI631" s="32">
        <f t="shared" si="1004"/>
        <v>0</v>
      </c>
      <c r="AJ631" s="32">
        <f t="shared" si="1004"/>
        <v>0</v>
      </c>
      <c r="AK631" s="32">
        <f t="shared" ref="AK631:BP631" si="1005" xml:space="preserve"> AK$628</f>
        <v>0</v>
      </c>
      <c r="AL631" s="32">
        <f t="shared" si="1005"/>
        <v>0</v>
      </c>
      <c r="AM631" s="32">
        <f t="shared" si="1005"/>
        <v>0</v>
      </c>
      <c r="AN631" s="32">
        <f t="shared" si="1005"/>
        <v>0</v>
      </c>
      <c r="AO631" s="32">
        <f t="shared" si="1005"/>
        <v>0</v>
      </c>
      <c r="AP631" s="32">
        <f t="shared" si="1005"/>
        <v>0</v>
      </c>
      <c r="AQ631" s="32">
        <f t="shared" si="1005"/>
        <v>0</v>
      </c>
      <c r="AR631" s="32">
        <f t="shared" si="1005"/>
        <v>0</v>
      </c>
      <c r="AS631" s="32">
        <f t="shared" si="1005"/>
        <v>0</v>
      </c>
      <c r="AT631" s="32">
        <f t="shared" si="1005"/>
        <v>0</v>
      </c>
      <c r="AU631" s="32">
        <f t="shared" si="1005"/>
        <v>0</v>
      </c>
      <c r="AV631" s="32">
        <f t="shared" si="1005"/>
        <v>0</v>
      </c>
      <c r="AW631" s="32">
        <f t="shared" si="1005"/>
        <v>0</v>
      </c>
      <c r="AX631" s="32">
        <f t="shared" si="1005"/>
        <v>0</v>
      </c>
      <c r="AY631" s="32">
        <f t="shared" si="1005"/>
        <v>0</v>
      </c>
      <c r="AZ631" s="32">
        <f t="shared" si="1005"/>
        <v>0</v>
      </c>
      <c r="BA631" s="32">
        <f t="shared" si="1005"/>
        <v>0</v>
      </c>
      <c r="BB631" s="32">
        <f t="shared" si="1005"/>
        <v>0</v>
      </c>
      <c r="BC631" s="32">
        <f t="shared" si="1005"/>
        <v>0</v>
      </c>
      <c r="BD631" s="32">
        <f t="shared" si="1005"/>
        <v>0</v>
      </c>
      <c r="BE631" s="32">
        <f t="shared" si="1005"/>
        <v>0</v>
      </c>
      <c r="BF631" s="32">
        <f t="shared" si="1005"/>
        <v>0</v>
      </c>
      <c r="BG631" s="32">
        <f t="shared" si="1005"/>
        <v>0</v>
      </c>
      <c r="BH631" s="32">
        <f t="shared" si="1005"/>
        <v>0</v>
      </c>
      <c r="BI631" s="32">
        <f t="shared" si="1005"/>
        <v>0</v>
      </c>
      <c r="BJ631" s="32">
        <f t="shared" si="1005"/>
        <v>0</v>
      </c>
      <c r="BK631" s="32">
        <f t="shared" si="1005"/>
        <v>0</v>
      </c>
      <c r="BL631" s="32">
        <f t="shared" si="1005"/>
        <v>0</v>
      </c>
      <c r="BM631" s="32">
        <f t="shared" si="1005"/>
        <v>0</v>
      </c>
      <c r="BN631" s="32">
        <f t="shared" si="1005"/>
        <v>0</v>
      </c>
      <c r="BO631" s="32">
        <f t="shared" si="1005"/>
        <v>0</v>
      </c>
      <c r="BP631" s="32">
        <f t="shared" si="1005"/>
        <v>0</v>
      </c>
      <c r="BQ631" s="32">
        <f t="shared" ref="BQ631:CV631" si="1006" xml:space="preserve"> BQ$628</f>
        <v>0</v>
      </c>
      <c r="BR631" s="32">
        <f t="shared" si="1006"/>
        <v>0</v>
      </c>
      <c r="BS631" s="32">
        <f t="shared" si="1006"/>
        <v>0</v>
      </c>
      <c r="BT631" s="32">
        <f t="shared" si="1006"/>
        <v>0</v>
      </c>
      <c r="BU631" s="32">
        <f t="shared" si="1006"/>
        <v>0</v>
      </c>
      <c r="BV631" s="32">
        <f t="shared" si="1006"/>
        <v>0</v>
      </c>
      <c r="BW631" s="32">
        <f t="shared" si="1006"/>
        <v>0</v>
      </c>
      <c r="BX631" s="32">
        <f t="shared" si="1006"/>
        <v>0</v>
      </c>
      <c r="BY631" s="32">
        <f t="shared" si="1006"/>
        <v>0</v>
      </c>
      <c r="BZ631" s="32">
        <f t="shared" si="1006"/>
        <v>0</v>
      </c>
      <c r="CA631" s="32">
        <f t="shared" si="1006"/>
        <v>0</v>
      </c>
      <c r="CB631" s="32">
        <f t="shared" si="1006"/>
        <v>0</v>
      </c>
      <c r="CC631" s="32">
        <f t="shared" si="1006"/>
        <v>0</v>
      </c>
      <c r="CD631" s="32">
        <f t="shared" si="1006"/>
        <v>0</v>
      </c>
      <c r="CE631" s="32">
        <f t="shared" si="1006"/>
        <v>0</v>
      </c>
      <c r="CF631" s="32">
        <f t="shared" si="1006"/>
        <v>0</v>
      </c>
      <c r="CG631" s="32">
        <f t="shared" si="1006"/>
        <v>0</v>
      </c>
      <c r="CH631" s="32">
        <f t="shared" si="1006"/>
        <v>0</v>
      </c>
      <c r="CI631" s="32">
        <f t="shared" si="1006"/>
        <v>0</v>
      </c>
      <c r="CJ631" s="32">
        <f t="shared" si="1006"/>
        <v>0</v>
      </c>
      <c r="CK631" s="32">
        <f t="shared" si="1006"/>
        <v>0</v>
      </c>
      <c r="CL631" s="32">
        <f t="shared" si="1006"/>
        <v>0</v>
      </c>
      <c r="CM631" s="32">
        <f t="shared" si="1006"/>
        <v>0</v>
      </c>
      <c r="CN631" s="32">
        <f t="shared" si="1006"/>
        <v>0</v>
      </c>
      <c r="CO631" s="32">
        <f t="shared" si="1006"/>
        <v>0</v>
      </c>
      <c r="CP631" s="32">
        <f t="shared" si="1006"/>
        <v>0</v>
      </c>
      <c r="CQ631" s="32">
        <f t="shared" si="1006"/>
        <v>0</v>
      </c>
      <c r="CR631" s="32">
        <f t="shared" si="1006"/>
        <v>0</v>
      </c>
      <c r="CS631" s="32">
        <f t="shared" si="1006"/>
        <v>0</v>
      </c>
      <c r="CT631" s="32">
        <f t="shared" si="1006"/>
        <v>0</v>
      </c>
      <c r="CU631" s="32">
        <f t="shared" si="1006"/>
        <v>0</v>
      </c>
      <c r="CV631" s="32">
        <f t="shared" si="1006"/>
        <v>0</v>
      </c>
    </row>
    <row r="632" spans="1:100" s="188" customFormat="1" ht="12.75" outlineLevel="2" x14ac:dyDescent="0.2">
      <c r="A632" s="655"/>
      <c r="B632" s="655"/>
      <c r="C632" s="723"/>
      <c r="D632" s="484"/>
      <c r="E632" s="230" t="s">
        <v>1199</v>
      </c>
      <c r="F632" s="633">
        <f xml:space="preserve"> IF(SUM(J632:CV632) &lt;&gt; 0, 1, 0)</f>
        <v>0</v>
      </c>
      <c r="G632" s="188" t="s">
        <v>39</v>
      </c>
      <c r="J632" s="633">
        <f t="shared" ref="J632:AO632" si="1007" xml:space="preserve"> IF(J631 &lt; J630, 1, 0)</f>
        <v>0</v>
      </c>
      <c r="K632" s="633">
        <f t="shared" si="1007"/>
        <v>0</v>
      </c>
      <c r="L632" s="633">
        <f t="shared" si="1007"/>
        <v>0</v>
      </c>
      <c r="M632" s="633">
        <f t="shared" si="1007"/>
        <v>0</v>
      </c>
      <c r="N632" s="633">
        <f t="shared" si="1007"/>
        <v>0</v>
      </c>
      <c r="O632" s="633">
        <f t="shared" si="1007"/>
        <v>0</v>
      </c>
      <c r="P632" s="633">
        <f t="shared" si="1007"/>
        <v>0</v>
      </c>
      <c r="Q632" s="633">
        <f t="shared" si="1007"/>
        <v>0</v>
      </c>
      <c r="R632" s="633">
        <f t="shared" si="1007"/>
        <v>0</v>
      </c>
      <c r="S632" s="633">
        <f t="shared" si="1007"/>
        <v>0</v>
      </c>
      <c r="T632" s="633">
        <f t="shared" si="1007"/>
        <v>0</v>
      </c>
      <c r="U632" s="633">
        <f t="shared" si="1007"/>
        <v>0</v>
      </c>
      <c r="V632" s="633">
        <f t="shared" si="1007"/>
        <v>0</v>
      </c>
      <c r="W632" s="633">
        <f t="shared" si="1007"/>
        <v>0</v>
      </c>
      <c r="X632" s="633">
        <f t="shared" si="1007"/>
        <v>0</v>
      </c>
      <c r="Y632" s="633">
        <f t="shared" si="1007"/>
        <v>0</v>
      </c>
      <c r="Z632" s="633">
        <f t="shared" si="1007"/>
        <v>0</v>
      </c>
      <c r="AA632" s="633">
        <f t="shared" si="1007"/>
        <v>0</v>
      </c>
      <c r="AB632" s="633">
        <f t="shared" si="1007"/>
        <v>0</v>
      </c>
      <c r="AC632" s="633">
        <f t="shared" si="1007"/>
        <v>0</v>
      </c>
      <c r="AD632" s="633">
        <f t="shared" si="1007"/>
        <v>0</v>
      </c>
      <c r="AE632" s="633">
        <f t="shared" si="1007"/>
        <v>0</v>
      </c>
      <c r="AF632" s="633">
        <f t="shared" si="1007"/>
        <v>0</v>
      </c>
      <c r="AG632" s="633">
        <f t="shared" si="1007"/>
        <v>0</v>
      </c>
      <c r="AH632" s="633">
        <f t="shared" si="1007"/>
        <v>0</v>
      </c>
      <c r="AI632" s="633">
        <f t="shared" si="1007"/>
        <v>0</v>
      </c>
      <c r="AJ632" s="633">
        <f t="shared" si="1007"/>
        <v>0</v>
      </c>
      <c r="AK632" s="633">
        <f t="shared" si="1007"/>
        <v>0</v>
      </c>
      <c r="AL632" s="633">
        <f t="shared" si="1007"/>
        <v>0</v>
      </c>
      <c r="AM632" s="633">
        <f t="shared" si="1007"/>
        <v>0</v>
      </c>
      <c r="AN632" s="633">
        <f t="shared" si="1007"/>
        <v>0</v>
      </c>
      <c r="AO632" s="633">
        <f t="shared" si="1007"/>
        <v>0</v>
      </c>
      <c r="AP632" s="633">
        <f t="shared" ref="AP632:BU632" si="1008" xml:space="preserve"> IF(AP631 &lt; AP630, 1, 0)</f>
        <v>0</v>
      </c>
      <c r="AQ632" s="633">
        <f t="shared" si="1008"/>
        <v>0</v>
      </c>
      <c r="AR632" s="633">
        <f t="shared" si="1008"/>
        <v>0</v>
      </c>
      <c r="AS632" s="633">
        <f t="shared" si="1008"/>
        <v>0</v>
      </c>
      <c r="AT632" s="633">
        <f t="shared" si="1008"/>
        <v>0</v>
      </c>
      <c r="AU632" s="633">
        <f t="shared" si="1008"/>
        <v>0</v>
      </c>
      <c r="AV632" s="633">
        <f t="shared" si="1008"/>
        <v>0</v>
      </c>
      <c r="AW632" s="633">
        <f t="shared" si="1008"/>
        <v>0</v>
      </c>
      <c r="AX632" s="633">
        <f t="shared" si="1008"/>
        <v>0</v>
      </c>
      <c r="AY632" s="633">
        <f t="shared" si="1008"/>
        <v>0</v>
      </c>
      <c r="AZ632" s="633">
        <f t="shared" si="1008"/>
        <v>0</v>
      </c>
      <c r="BA632" s="633">
        <f t="shared" si="1008"/>
        <v>0</v>
      </c>
      <c r="BB632" s="633">
        <f t="shared" si="1008"/>
        <v>0</v>
      </c>
      <c r="BC632" s="633">
        <f t="shared" si="1008"/>
        <v>0</v>
      </c>
      <c r="BD632" s="633">
        <f t="shared" si="1008"/>
        <v>0</v>
      </c>
      <c r="BE632" s="633">
        <f t="shared" si="1008"/>
        <v>0</v>
      </c>
      <c r="BF632" s="633">
        <f t="shared" si="1008"/>
        <v>0</v>
      </c>
      <c r="BG632" s="633">
        <f t="shared" si="1008"/>
        <v>0</v>
      </c>
      <c r="BH632" s="633">
        <f t="shared" si="1008"/>
        <v>0</v>
      </c>
      <c r="BI632" s="633">
        <f t="shared" si="1008"/>
        <v>0</v>
      </c>
      <c r="BJ632" s="633">
        <f t="shared" si="1008"/>
        <v>0</v>
      </c>
      <c r="BK632" s="633">
        <f t="shared" si="1008"/>
        <v>0</v>
      </c>
      <c r="BL632" s="633">
        <f t="shared" si="1008"/>
        <v>0</v>
      </c>
      <c r="BM632" s="633">
        <f t="shared" si="1008"/>
        <v>0</v>
      </c>
      <c r="BN632" s="633">
        <f t="shared" si="1008"/>
        <v>0</v>
      </c>
      <c r="BO632" s="633">
        <f t="shared" si="1008"/>
        <v>0</v>
      </c>
      <c r="BP632" s="633">
        <f t="shared" si="1008"/>
        <v>0</v>
      </c>
      <c r="BQ632" s="633">
        <f t="shared" si="1008"/>
        <v>0</v>
      </c>
      <c r="BR632" s="633">
        <f t="shared" si="1008"/>
        <v>0</v>
      </c>
      <c r="BS632" s="633">
        <f t="shared" si="1008"/>
        <v>0</v>
      </c>
      <c r="BT632" s="633">
        <f t="shared" si="1008"/>
        <v>0</v>
      </c>
      <c r="BU632" s="633">
        <f t="shared" si="1008"/>
        <v>0</v>
      </c>
      <c r="BV632" s="633">
        <f t="shared" ref="BV632:CV632" si="1009" xml:space="preserve"> IF(BV631 &lt; BV630, 1, 0)</f>
        <v>0</v>
      </c>
      <c r="BW632" s="633">
        <f t="shared" si="1009"/>
        <v>0</v>
      </c>
      <c r="BX632" s="633">
        <f t="shared" si="1009"/>
        <v>0</v>
      </c>
      <c r="BY632" s="633">
        <f t="shared" si="1009"/>
        <v>0</v>
      </c>
      <c r="BZ632" s="633">
        <f t="shared" si="1009"/>
        <v>0</v>
      </c>
      <c r="CA632" s="633">
        <f t="shared" si="1009"/>
        <v>0</v>
      </c>
      <c r="CB632" s="633">
        <f t="shared" si="1009"/>
        <v>0</v>
      </c>
      <c r="CC632" s="633">
        <f t="shared" si="1009"/>
        <v>0</v>
      </c>
      <c r="CD632" s="633">
        <f t="shared" si="1009"/>
        <v>0</v>
      </c>
      <c r="CE632" s="633">
        <f t="shared" si="1009"/>
        <v>0</v>
      </c>
      <c r="CF632" s="633">
        <f t="shared" si="1009"/>
        <v>0</v>
      </c>
      <c r="CG632" s="633">
        <f t="shared" si="1009"/>
        <v>0</v>
      </c>
      <c r="CH632" s="633">
        <f t="shared" si="1009"/>
        <v>0</v>
      </c>
      <c r="CI632" s="633">
        <f t="shared" si="1009"/>
        <v>0</v>
      </c>
      <c r="CJ632" s="633">
        <f t="shared" si="1009"/>
        <v>0</v>
      </c>
      <c r="CK632" s="633">
        <f t="shared" si="1009"/>
        <v>0</v>
      </c>
      <c r="CL632" s="633">
        <f t="shared" si="1009"/>
        <v>0</v>
      </c>
      <c r="CM632" s="633">
        <f t="shared" si="1009"/>
        <v>0</v>
      </c>
      <c r="CN632" s="633">
        <f t="shared" si="1009"/>
        <v>0</v>
      </c>
      <c r="CO632" s="633">
        <f t="shared" si="1009"/>
        <v>0</v>
      </c>
      <c r="CP632" s="633">
        <f t="shared" si="1009"/>
        <v>0</v>
      </c>
      <c r="CQ632" s="633">
        <f t="shared" si="1009"/>
        <v>0</v>
      </c>
      <c r="CR632" s="633">
        <f t="shared" si="1009"/>
        <v>0</v>
      </c>
      <c r="CS632" s="633">
        <f t="shared" si="1009"/>
        <v>0</v>
      </c>
      <c r="CT632" s="633">
        <f t="shared" si="1009"/>
        <v>0</v>
      </c>
      <c r="CU632" s="633">
        <f t="shared" si="1009"/>
        <v>0</v>
      </c>
      <c r="CV632" s="633">
        <f t="shared" si="1009"/>
        <v>0</v>
      </c>
    </row>
    <row r="633" spans="1:100" ht="12.75" outlineLevel="2" x14ac:dyDescent="0.2">
      <c r="A633" s="79"/>
      <c r="B633" s="79"/>
      <c r="C633" s="561"/>
      <c r="D633" s="60"/>
      <c r="E633" s="32"/>
      <c r="F633" s="188"/>
      <c r="G633" s="188"/>
      <c r="H633" s="188"/>
      <c r="I633" s="188"/>
      <c r="J633" s="188"/>
      <c r="K633" s="188"/>
      <c r="L633" s="188"/>
      <c r="M633" s="188"/>
      <c r="N633" s="188"/>
      <c r="O633" s="188"/>
      <c r="P633" s="188"/>
      <c r="Q633" s="188"/>
      <c r="R633" s="188"/>
      <c r="S633" s="188"/>
      <c r="T633" s="188"/>
      <c r="U633" s="188"/>
      <c r="V633" s="188"/>
      <c r="W633" s="188"/>
      <c r="X633" s="188"/>
      <c r="Y633" s="188"/>
      <c r="Z633" s="188"/>
      <c r="AA633" s="188"/>
      <c r="AB633" s="188"/>
      <c r="AC633" s="188"/>
      <c r="AD633" s="188"/>
      <c r="AE633" s="188"/>
      <c r="AF633" s="188"/>
      <c r="AG633" s="188"/>
      <c r="AH633" s="188"/>
      <c r="AI633" s="188"/>
      <c r="AJ633" s="188"/>
      <c r="AK633" s="188"/>
      <c r="AL633" s="188"/>
      <c r="AM633" s="188"/>
      <c r="AN633" s="188"/>
      <c r="AO633" s="188"/>
      <c r="AP633" s="188"/>
      <c r="AQ633" s="188"/>
      <c r="AR633" s="188"/>
      <c r="AS633" s="188"/>
      <c r="AT633" s="188"/>
      <c r="AU633" s="188"/>
      <c r="AV633" s="188"/>
      <c r="AW633" s="188"/>
      <c r="AX633" s="188"/>
      <c r="AY633" s="188"/>
      <c r="AZ633" s="188"/>
      <c r="BA633" s="188"/>
      <c r="BB633" s="188"/>
      <c r="BC633" s="188"/>
      <c r="BD633" s="188"/>
      <c r="BE633" s="188"/>
      <c r="BF633" s="188"/>
      <c r="BG633" s="188"/>
      <c r="BH633" s="188"/>
      <c r="BI633" s="188"/>
      <c r="BJ633" s="188"/>
      <c r="BK633" s="188"/>
      <c r="BL633" s="188"/>
      <c r="BM633" s="188"/>
      <c r="BN633" s="188"/>
      <c r="BO633" s="188"/>
      <c r="BP633" s="188"/>
      <c r="BQ633" s="188"/>
      <c r="BR633" s="188"/>
      <c r="BS633" s="188"/>
      <c r="BT633" s="188"/>
      <c r="BU633" s="188"/>
      <c r="BV633" s="188"/>
      <c r="BW633" s="188"/>
      <c r="BX633" s="188"/>
      <c r="BY633" s="188"/>
      <c r="BZ633" s="188"/>
      <c r="CA633" s="188"/>
      <c r="CB633" s="188"/>
      <c r="CC633" s="188"/>
      <c r="CD633" s="188"/>
      <c r="CE633" s="188"/>
      <c r="CF633" s="188"/>
      <c r="CG633" s="188"/>
      <c r="CH633" s="188"/>
      <c r="CI633" s="188"/>
      <c r="CJ633" s="188"/>
      <c r="CK633" s="188"/>
      <c r="CL633" s="188"/>
      <c r="CM633" s="188"/>
      <c r="CN633" s="188"/>
      <c r="CO633" s="188"/>
      <c r="CP633" s="188"/>
      <c r="CQ633" s="188"/>
      <c r="CR633" s="188"/>
      <c r="CS633" s="188"/>
      <c r="CT633" s="188"/>
      <c r="CU633" s="188"/>
      <c r="CV633" s="188"/>
    </row>
    <row r="634" spans="1:100" ht="12.75" outlineLevel="2" x14ac:dyDescent="0.2">
      <c r="A634" s="79"/>
      <c r="B634" s="79"/>
      <c r="C634" s="561"/>
      <c r="D634" s="60"/>
      <c r="E634" s="32" t="str">
        <f t="shared" ref="E634:AJ634" si="1010" xml:space="preserve"> E$664</f>
        <v>WCF balance P99 BEG</v>
      </c>
      <c r="F634" s="32">
        <f t="shared" si="1010"/>
        <v>0</v>
      </c>
      <c r="G634" s="32" t="str">
        <f t="shared" si="1010"/>
        <v>$ 000s</v>
      </c>
      <c r="H634" s="32">
        <f t="shared" si="1010"/>
        <v>0</v>
      </c>
      <c r="I634" s="32">
        <f t="shared" si="1010"/>
        <v>0</v>
      </c>
      <c r="J634" s="32">
        <f t="shared" si="1010"/>
        <v>0</v>
      </c>
      <c r="K634" s="32">
        <f t="shared" si="1010"/>
        <v>0</v>
      </c>
      <c r="L634" s="32">
        <f t="shared" si="1010"/>
        <v>0</v>
      </c>
      <c r="M634" s="32">
        <f t="shared" si="1010"/>
        <v>0</v>
      </c>
      <c r="N634" s="32">
        <f t="shared" si="1010"/>
        <v>0</v>
      </c>
      <c r="O634" s="32">
        <f t="shared" si="1010"/>
        <v>0</v>
      </c>
      <c r="P634" s="32">
        <f t="shared" si="1010"/>
        <v>0</v>
      </c>
      <c r="Q634" s="32">
        <f t="shared" si="1010"/>
        <v>0</v>
      </c>
      <c r="R634" s="32">
        <f t="shared" si="1010"/>
        <v>0</v>
      </c>
      <c r="S634" s="32">
        <f t="shared" si="1010"/>
        <v>0</v>
      </c>
      <c r="T634" s="32">
        <f t="shared" si="1010"/>
        <v>0</v>
      </c>
      <c r="U634" s="32">
        <f t="shared" si="1010"/>
        <v>0</v>
      </c>
      <c r="V634" s="32">
        <f t="shared" si="1010"/>
        <v>0</v>
      </c>
      <c r="W634" s="32">
        <f t="shared" si="1010"/>
        <v>0</v>
      </c>
      <c r="X634" s="32">
        <f t="shared" si="1010"/>
        <v>0</v>
      </c>
      <c r="Y634" s="32">
        <f t="shared" si="1010"/>
        <v>0</v>
      </c>
      <c r="Z634" s="32">
        <f t="shared" si="1010"/>
        <v>0</v>
      </c>
      <c r="AA634" s="32">
        <f t="shared" si="1010"/>
        <v>0</v>
      </c>
      <c r="AB634" s="32">
        <f t="shared" si="1010"/>
        <v>0</v>
      </c>
      <c r="AC634" s="32">
        <f t="shared" si="1010"/>
        <v>0</v>
      </c>
      <c r="AD634" s="32">
        <f t="shared" si="1010"/>
        <v>0</v>
      </c>
      <c r="AE634" s="32">
        <f t="shared" si="1010"/>
        <v>0</v>
      </c>
      <c r="AF634" s="32">
        <f t="shared" si="1010"/>
        <v>0</v>
      </c>
      <c r="AG634" s="32">
        <f t="shared" si="1010"/>
        <v>0</v>
      </c>
      <c r="AH634" s="32">
        <f t="shared" si="1010"/>
        <v>0</v>
      </c>
      <c r="AI634" s="32">
        <f t="shared" si="1010"/>
        <v>0</v>
      </c>
      <c r="AJ634" s="32">
        <f t="shared" si="1010"/>
        <v>0</v>
      </c>
      <c r="AK634" s="32">
        <f t="shared" ref="AK634:BP634" si="1011" xml:space="preserve"> AK$664</f>
        <v>0</v>
      </c>
      <c r="AL634" s="32">
        <f t="shared" si="1011"/>
        <v>0</v>
      </c>
      <c r="AM634" s="32">
        <f t="shared" si="1011"/>
        <v>0</v>
      </c>
      <c r="AN634" s="32">
        <f t="shared" si="1011"/>
        <v>0</v>
      </c>
      <c r="AO634" s="32">
        <f t="shared" si="1011"/>
        <v>0</v>
      </c>
      <c r="AP634" s="32">
        <f t="shared" si="1011"/>
        <v>0</v>
      </c>
      <c r="AQ634" s="32">
        <f t="shared" si="1011"/>
        <v>0</v>
      </c>
      <c r="AR634" s="32">
        <f t="shared" si="1011"/>
        <v>0</v>
      </c>
      <c r="AS634" s="32">
        <f t="shared" si="1011"/>
        <v>0</v>
      </c>
      <c r="AT634" s="32">
        <f t="shared" si="1011"/>
        <v>0</v>
      </c>
      <c r="AU634" s="32">
        <f t="shared" si="1011"/>
        <v>0</v>
      </c>
      <c r="AV634" s="32">
        <f t="shared" si="1011"/>
        <v>0</v>
      </c>
      <c r="AW634" s="32">
        <f t="shared" si="1011"/>
        <v>0</v>
      </c>
      <c r="AX634" s="32">
        <f t="shared" si="1011"/>
        <v>0</v>
      </c>
      <c r="AY634" s="32">
        <f t="shared" si="1011"/>
        <v>0</v>
      </c>
      <c r="AZ634" s="32">
        <f t="shared" si="1011"/>
        <v>0</v>
      </c>
      <c r="BA634" s="32">
        <f t="shared" si="1011"/>
        <v>0</v>
      </c>
      <c r="BB634" s="32">
        <f t="shared" si="1011"/>
        <v>0</v>
      </c>
      <c r="BC634" s="32">
        <f t="shared" si="1011"/>
        <v>0</v>
      </c>
      <c r="BD634" s="32">
        <f t="shared" si="1011"/>
        <v>0</v>
      </c>
      <c r="BE634" s="32">
        <f t="shared" si="1011"/>
        <v>0</v>
      </c>
      <c r="BF634" s="32">
        <f t="shared" si="1011"/>
        <v>0</v>
      </c>
      <c r="BG634" s="32">
        <f t="shared" si="1011"/>
        <v>0</v>
      </c>
      <c r="BH634" s="32">
        <f t="shared" si="1011"/>
        <v>0</v>
      </c>
      <c r="BI634" s="32">
        <f t="shared" si="1011"/>
        <v>0</v>
      </c>
      <c r="BJ634" s="32">
        <f t="shared" si="1011"/>
        <v>0</v>
      </c>
      <c r="BK634" s="32">
        <f t="shared" si="1011"/>
        <v>0</v>
      </c>
      <c r="BL634" s="32">
        <f t="shared" si="1011"/>
        <v>0</v>
      </c>
      <c r="BM634" s="32">
        <f t="shared" si="1011"/>
        <v>0</v>
      </c>
      <c r="BN634" s="32">
        <f t="shared" si="1011"/>
        <v>0</v>
      </c>
      <c r="BO634" s="32">
        <f t="shared" si="1011"/>
        <v>0</v>
      </c>
      <c r="BP634" s="32">
        <f t="shared" si="1011"/>
        <v>0</v>
      </c>
      <c r="BQ634" s="32">
        <f t="shared" ref="BQ634:CV634" si="1012" xml:space="preserve"> BQ$664</f>
        <v>0</v>
      </c>
      <c r="BR634" s="32">
        <f t="shared" si="1012"/>
        <v>0</v>
      </c>
      <c r="BS634" s="32">
        <f t="shared" si="1012"/>
        <v>0</v>
      </c>
      <c r="BT634" s="32">
        <f t="shared" si="1012"/>
        <v>0</v>
      </c>
      <c r="BU634" s="32">
        <f t="shared" si="1012"/>
        <v>0</v>
      </c>
      <c r="BV634" s="32">
        <f t="shared" si="1012"/>
        <v>0</v>
      </c>
      <c r="BW634" s="32">
        <f t="shared" si="1012"/>
        <v>0</v>
      </c>
      <c r="BX634" s="32">
        <f t="shared" si="1012"/>
        <v>0</v>
      </c>
      <c r="BY634" s="32">
        <f t="shared" si="1012"/>
        <v>0</v>
      </c>
      <c r="BZ634" s="32">
        <f t="shared" si="1012"/>
        <v>0</v>
      </c>
      <c r="CA634" s="32">
        <f t="shared" si="1012"/>
        <v>0</v>
      </c>
      <c r="CB634" s="32">
        <f t="shared" si="1012"/>
        <v>0</v>
      </c>
      <c r="CC634" s="32">
        <f t="shared" si="1012"/>
        <v>0</v>
      </c>
      <c r="CD634" s="32">
        <f t="shared" si="1012"/>
        <v>0</v>
      </c>
      <c r="CE634" s="32">
        <f t="shared" si="1012"/>
        <v>0</v>
      </c>
      <c r="CF634" s="32">
        <f t="shared" si="1012"/>
        <v>0</v>
      </c>
      <c r="CG634" s="32">
        <f t="shared" si="1012"/>
        <v>0</v>
      </c>
      <c r="CH634" s="32">
        <f t="shared" si="1012"/>
        <v>0</v>
      </c>
      <c r="CI634" s="32">
        <f t="shared" si="1012"/>
        <v>0</v>
      </c>
      <c r="CJ634" s="32">
        <f t="shared" si="1012"/>
        <v>0</v>
      </c>
      <c r="CK634" s="32">
        <f t="shared" si="1012"/>
        <v>0</v>
      </c>
      <c r="CL634" s="32">
        <f t="shared" si="1012"/>
        <v>0</v>
      </c>
      <c r="CM634" s="32">
        <f t="shared" si="1012"/>
        <v>0</v>
      </c>
      <c r="CN634" s="32">
        <f t="shared" si="1012"/>
        <v>0</v>
      </c>
      <c r="CO634" s="32">
        <f t="shared" si="1012"/>
        <v>0</v>
      </c>
      <c r="CP634" s="32">
        <f t="shared" si="1012"/>
        <v>0</v>
      </c>
      <c r="CQ634" s="32">
        <f t="shared" si="1012"/>
        <v>0</v>
      </c>
      <c r="CR634" s="32">
        <f t="shared" si="1012"/>
        <v>0</v>
      </c>
      <c r="CS634" s="32">
        <f t="shared" si="1012"/>
        <v>0</v>
      </c>
      <c r="CT634" s="32">
        <f t="shared" si="1012"/>
        <v>0</v>
      </c>
      <c r="CU634" s="32">
        <f t="shared" si="1012"/>
        <v>0</v>
      </c>
      <c r="CV634" s="32">
        <f t="shared" si="1012"/>
        <v>0</v>
      </c>
    </row>
    <row r="635" spans="1:100" ht="12.75" outlineLevel="2" x14ac:dyDescent="0.2">
      <c r="A635" s="639"/>
      <c r="B635" s="639"/>
      <c r="C635" s="640"/>
      <c r="D635" s="641"/>
      <c r="E635" s="125" t="str">
        <f xml:space="preserve"> Ops!E$248</f>
        <v>Decrease / (increase) in working capital - P99</v>
      </c>
      <c r="F635" s="125">
        <f xml:space="preserve"> Ops!F$248</f>
        <v>0</v>
      </c>
      <c r="G635" s="125" t="str">
        <f xml:space="preserve"> Ops!G$248</f>
        <v>$ 000s</v>
      </c>
      <c r="H635" s="125">
        <f xml:space="preserve"> Ops!H$248</f>
        <v>0</v>
      </c>
      <c r="I635" s="125">
        <f xml:space="preserve"> Ops!I$248</f>
        <v>0</v>
      </c>
      <c r="J635" s="125">
        <f xml:space="preserve"> Ops!J$248</f>
        <v>0</v>
      </c>
      <c r="K635" s="125">
        <f xml:space="preserve"> Ops!K$248</f>
        <v>0</v>
      </c>
      <c r="L635" s="125">
        <f xml:space="preserve"> Ops!L$248</f>
        <v>0</v>
      </c>
      <c r="M635" s="125">
        <f xml:space="preserve"> Ops!M$248</f>
        <v>0</v>
      </c>
      <c r="N635" s="125">
        <f xml:space="preserve"> Ops!N$248</f>
        <v>0</v>
      </c>
      <c r="O635" s="125">
        <f xml:space="preserve"> Ops!O$248</f>
        <v>-2942.2107868979674</v>
      </c>
      <c r="P635" s="125">
        <f xml:space="preserve"> Ops!P$248</f>
        <v>-48.765924644716506</v>
      </c>
      <c r="Q635" s="125">
        <f xml:space="preserve"> Ops!Q$248</f>
        <v>76.398725765154268</v>
      </c>
      <c r="R635" s="125">
        <f xml:space="preserve"> Ops!R$248</f>
        <v>-48.307922416201109</v>
      </c>
      <c r="S635" s="125">
        <f xml:space="preserve"> Ops!S$248</f>
        <v>76.323888706903745</v>
      </c>
      <c r="T635" s="125">
        <f xml:space="preserve"> Ops!T$248</f>
        <v>-47.843569383759132</v>
      </c>
      <c r="U635" s="125">
        <f xml:space="preserve"> Ops!U$248</f>
        <v>76.250758464559112</v>
      </c>
      <c r="V635" s="125">
        <f xml:space="preserve"> Ops!V$248</f>
        <v>-31.40829483962716</v>
      </c>
      <c r="W635" s="125">
        <f xml:space="preserve"> Ops!W$248</f>
        <v>60.214925701877291</v>
      </c>
      <c r="X635" s="125">
        <f xml:space="preserve"> Ops!X$248</f>
        <v>-46.895274025585422</v>
      </c>
      <c r="Y635" s="125">
        <f xml:space="preserve"> Ops!Y$248</f>
        <v>76.109730277243216</v>
      </c>
      <c r="Z635" s="125">
        <f xml:space="preserve"> Ops!Z$248</f>
        <v>-46.411056518652913</v>
      </c>
      <c r="AA635" s="125">
        <f xml:space="preserve"> Ops!AA$248</f>
        <v>76.041889694531164</v>
      </c>
      <c r="AB635" s="125">
        <f xml:space="preserve"> Ops!AB$248</f>
        <v>-45.919937736734937</v>
      </c>
      <c r="AC635" s="125">
        <f xml:space="preserve"> Ops!AC$248</f>
        <v>75.975870675257283</v>
      </c>
      <c r="AD635" s="125">
        <f xml:space="preserve"> Ops!AD$248</f>
        <v>-30.114801947007436</v>
      </c>
      <c r="AE635" s="125">
        <f xml:space="preserve"> Ops!AE$248</f>
        <v>60.604732234822222</v>
      </c>
      <c r="AF635" s="125">
        <f xml:space="preserve"> Ops!AF$248</f>
        <v>-44.916415141821744</v>
      </c>
      <c r="AG635" s="125">
        <f xml:space="preserve"> Ops!AG$248</f>
        <v>75.849418627566592</v>
      </c>
      <c r="AH635" s="125">
        <f xml:space="preserve"> Ops!AH$248</f>
        <v>-44.403713426588183</v>
      </c>
      <c r="AI635" s="125">
        <f xml:space="preserve"> Ops!AI$248</f>
        <v>75.789047805285009</v>
      </c>
      <c r="AJ635" s="125">
        <f xml:space="preserve"> Ops!AJ$248</f>
        <v>-43.883514514232957</v>
      </c>
      <c r="AK635" s="125">
        <f xml:space="preserve"> Ops!AK$248</f>
        <v>75.730622983678586</v>
      </c>
      <c r="AL635" s="125">
        <f xml:space="preserve"> Ops!AL$248</f>
        <v>-28.744962643471808</v>
      </c>
      <c r="AM635" s="125">
        <f xml:space="preserve"> Ops!AM$248</f>
        <v>61.063477634055744</v>
      </c>
      <c r="AN635" s="125">
        <f xml:space="preserve"> Ops!AN$248</f>
        <v>-42.819995893350097</v>
      </c>
      <c r="AO635" s="125">
        <f xml:space="preserve"> Ops!AO$248</f>
        <v>75.619742872813731</v>
      </c>
      <c r="AP635" s="125">
        <f xml:space="preserve"> Ops!AP$248</f>
        <v>-42.276353678219493</v>
      </c>
      <c r="AQ635" s="125">
        <f xml:space="preserve"> Ops!AQ$248</f>
        <v>75.56735503285563</v>
      </c>
      <c r="AR635" s="125">
        <f xml:space="preserve"> Ops!AR$248</f>
        <v>-41.724569125380185</v>
      </c>
      <c r="AS635" s="125">
        <f xml:space="preserve"> Ops!AS$248</f>
        <v>75.517048119184437</v>
      </c>
      <c r="AT635" s="125">
        <f xml:space="preserve"> Ops!AT$248</f>
        <v>-27.292196244370643</v>
      </c>
      <c r="AU635" s="125">
        <f xml:space="preserve"> Ops!AU$248</f>
        <v>61.596581057702679</v>
      </c>
      <c r="AV635" s="125">
        <f xml:space="preserve"> Ops!AV$248</f>
        <v>-40.595891824711543</v>
      </c>
      <c r="AW635" s="125">
        <f xml:space="preserve"> Ops!AW$248</f>
        <v>75.422819674129641</v>
      </c>
      <c r="AX635" s="125">
        <f xml:space="preserve"> Ops!AX$248</f>
        <v>-40.018649926655598</v>
      </c>
      <c r="AY635" s="125">
        <f xml:space="preserve"> Ops!AY$248</f>
        <v>75.378971267460656</v>
      </c>
      <c r="AZ635" s="125">
        <f xml:space="preserve"> Ops!AZ$248</f>
        <v>-39.432567252496483</v>
      </c>
      <c r="BA635" s="125">
        <f xml:space="preserve"> Ops!BA$248</f>
        <v>75.337350065727151</v>
      </c>
      <c r="BB635" s="125">
        <f xml:space="preserve"> Ops!BB$248</f>
        <v>2343.1934414207426</v>
      </c>
      <c r="BC635" s="125">
        <f xml:space="preserve"> Ops!BC$248</f>
        <v>0</v>
      </c>
      <c r="BD635" s="125">
        <f xml:space="preserve"> Ops!BD$248</f>
        <v>0</v>
      </c>
      <c r="BE635" s="125">
        <f xml:space="preserve"> Ops!BE$248</f>
        <v>0</v>
      </c>
      <c r="BF635" s="125">
        <f xml:space="preserve"> Ops!BF$248</f>
        <v>0</v>
      </c>
      <c r="BG635" s="125">
        <f xml:space="preserve"> Ops!BG$248</f>
        <v>0</v>
      </c>
      <c r="BH635" s="125">
        <f xml:space="preserve"> Ops!BH$248</f>
        <v>0</v>
      </c>
      <c r="BI635" s="125">
        <f xml:space="preserve"> Ops!BI$248</f>
        <v>0</v>
      </c>
      <c r="BJ635" s="125">
        <f xml:space="preserve"> Ops!BJ$248</f>
        <v>0</v>
      </c>
      <c r="BK635" s="125">
        <f xml:space="preserve"> Ops!BK$248</f>
        <v>0</v>
      </c>
      <c r="BL635" s="125">
        <f xml:space="preserve"> Ops!BL$248</f>
        <v>0</v>
      </c>
      <c r="BM635" s="125">
        <f xml:space="preserve"> Ops!BM$248</f>
        <v>0</v>
      </c>
      <c r="BN635" s="125">
        <f xml:space="preserve"> Ops!BN$248</f>
        <v>0</v>
      </c>
      <c r="BO635" s="125">
        <f xml:space="preserve"> Ops!BO$248</f>
        <v>0</v>
      </c>
      <c r="BP635" s="125">
        <f xml:space="preserve"> Ops!BP$248</f>
        <v>0</v>
      </c>
      <c r="BQ635" s="125">
        <f xml:space="preserve"> Ops!BQ$248</f>
        <v>0</v>
      </c>
      <c r="BR635" s="125">
        <f xml:space="preserve"> Ops!BR$248</f>
        <v>0</v>
      </c>
      <c r="BS635" s="125">
        <f xml:space="preserve"> Ops!BS$248</f>
        <v>0</v>
      </c>
      <c r="BT635" s="125">
        <f xml:space="preserve"> Ops!BT$248</f>
        <v>0</v>
      </c>
      <c r="BU635" s="125">
        <f xml:space="preserve"> Ops!BU$248</f>
        <v>0</v>
      </c>
      <c r="BV635" s="125">
        <f xml:space="preserve"> Ops!BV$248</f>
        <v>0</v>
      </c>
      <c r="BW635" s="125">
        <f xml:space="preserve"> Ops!BW$248</f>
        <v>0</v>
      </c>
      <c r="BX635" s="125">
        <f xml:space="preserve"> Ops!BX$248</f>
        <v>0</v>
      </c>
      <c r="BY635" s="125">
        <f xml:space="preserve"> Ops!BY$248</f>
        <v>0</v>
      </c>
      <c r="BZ635" s="125">
        <f xml:space="preserve"> Ops!BZ$248</f>
        <v>0</v>
      </c>
      <c r="CA635" s="125">
        <f xml:space="preserve"> Ops!CA$248</f>
        <v>0</v>
      </c>
      <c r="CB635" s="125">
        <f xml:space="preserve"> Ops!CB$248</f>
        <v>0</v>
      </c>
      <c r="CC635" s="125">
        <f xml:space="preserve"> Ops!CC$248</f>
        <v>0</v>
      </c>
      <c r="CD635" s="125">
        <f xml:space="preserve"> Ops!CD$248</f>
        <v>0</v>
      </c>
      <c r="CE635" s="125">
        <f xml:space="preserve"> Ops!CE$248</f>
        <v>0</v>
      </c>
      <c r="CF635" s="125">
        <f xml:space="preserve"> Ops!CF$248</f>
        <v>0</v>
      </c>
      <c r="CG635" s="125">
        <f xml:space="preserve"> Ops!CG$248</f>
        <v>0</v>
      </c>
      <c r="CH635" s="125">
        <f xml:space="preserve"> Ops!CH$248</f>
        <v>0</v>
      </c>
      <c r="CI635" s="125">
        <f xml:space="preserve"> Ops!CI$248</f>
        <v>0</v>
      </c>
      <c r="CJ635" s="125">
        <f xml:space="preserve"> Ops!CJ$248</f>
        <v>0</v>
      </c>
      <c r="CK635" s="125">
        <f xml:space="preserve"> Ops!CK$248</f>
        <v>0</v>
      </c>
      <c r="CL635" s="125">
        <f xml:space="preserve"> Ops!CL$248</f>
        <v>0</v>
      </c>
      <c r="CM635" s="125">
        <f xml:space="preserve"> Ops!CM$248</f>
        <v>0</v>
      </c>
      <c r="CN635" s="125">
        <f xml:space="preserve"> Ops!CN$248</f>
        <v>0</v>
      </c>
      <c r="CO635" s="125">
        <f xml:space="preserve"> Ops!CO$248</f>
        <v>0</v>
      </c>
      <c r="CP635" s="125">
        <f xml:space="preserve"> Ops!CP$248</f>
        <v>0</v>
      </c>
      <c r="CQ635" s="125">
        <f xml:space="preserve"> Ops!CQ$248</f>
        <v>0</v>
      </c>
      <c r="CR635" s="125">
        <f xml:space="preserve"> Ops!CR$248</f>
        <v>0</v>
      </c>
      <c r="CS635" s="125">
        <f xml:space="preserve"> Ops!CS$248</f>
        <v>0</v>
      </c>
      <c r="CT635" s="125">
        <f xml:space="preserve"> Ops!CT$248</f>
        <v>0</v>
      </c>
      <c r="CU635" s="125">
        <f xml:space="preserve"> Ops!CU$248</f>
        <v>0</v>
      </c>
      <c r="CV635" s="125">
        <f xml:space="preserve"> Ops!CV$248</f>
        <v>0</v>
      </c>
    </row>
    <row r="636" spans="1:100" ht="12.75" outlineLevel="2" x14ac:dyDescent="0.2">
      <c r="A636" s="79"/>
      <c r="B636" s="79"/>
      <c r="C636" s="561"/>
      <c r="D636" s="60"/>
      <c r="E636" s="125" t="str">
        <f xml:space="preserve"> Time!E$106</f>
        <v>Operating period flag</v>
      </c>
      <c r="F636" s="125">
        <f xml:space="preserve"> Time!F$106</f>
        <v>0</v>
      </c>
      <c r="G636" s="125" t="str">
        <f xml:space="preserve"> Time!G$106</f>
        <v>flag</v>
      </c>
      <c r="H636" s="125">
        <f xml:space="preserve"> Time!H$106</f>
        <v>40</v>
      </c>
      <c r="I636" s="125">
        <f xml:space="preserve"> Time!I$106</f>
        <v>0</v>
      </c>
      <c r="J636" s="125">
        <f xml:space="preserve"> Time!J$106</f>
        <v>0</v>
      </c>
      <c r="K636" s="125">
        <f xml:space="preserve"> Time!K$106</f>
        <v>0</v>
      </c>
      <c r="L636" s="125">
        <f xml:space="preserve"> Time!L$106</f>
        <v>0</v>
      </c>
      <c r="M636" s="125">
        <f xml:space="preserve"> Time!M$106</f>
        <v>0</v>
      </c>
      <c r="N636" s="125">
        <f xml:space="preserve"> Time!N$106</f>
        <v>0</v>
      </c>
      <c r="O636" s="125">
        <f xml:space="preserve"> Time!O$106</f>
        <v>1</v>
      </c>
      <c r="P636" s="125">
        <f xml:space="preserve"> Time!P$106</f>
        <v>1</v>
      </c>
      <c r="Q636" s="125">
        <f xml:space="preserve"> Time!Q$106</f>
        <v>1</v>
      </c>
      <c r="R636" s="125">
        <f xml:space="preserve"> Time!R$106</f>
        <v>1</v>
      </c>
      <c r="S636" s="125">
        <f xml:space="preserve"> Time!S$106</f>
        <v>1</v>
      </c>
      <c r="T636" s="125">
        <f xml:space="preserve"> Time!T$106</f>
        <v>1</v>
      </c>
      <c r="U636" s="125">
        <f xml:space="preserve"> Time!U$106</f>
        <v>1</v>
      </c>
      <c r="V636" s="125">
        <f xml:space="preserve"> Time!V$106</f>
        <v>1</v>
      </c>
      <c r="W636" s="125">
        <f xml:space="preserve"> Time!W$106</f>
        <v>1</v>
      </c>
      <c r="X636" s="125">
        <f xml:space="preserve"> Time!X$106</f>
        <v>1</v>
      </c>
      <c r="Y636" s="125">
        <f xml:space="preserve"> Time!Y$106</f>
        <v>1</v>
      </c>
      <c r="Z636" s="125">
        <f xml:space="preserve"> Time!Z$106</f>
        <v>1</v>
      </c>
      <c r="AA636" s="125">
        <f xml:space="preserve"> Time!AA$106</f>
        <v>1</v>
      </c>
      <c r="AB636" s="125">
        <f xml:space="preserve"> Time!AB$106</f>
        <v>1</v>
      </c>
      <c r="AC636" s="125">
        <f xml:space="preserve"> Time!AC$106</f>
        <v>1</v>
      </c>
      <c r="AD636" s="125">
        <f xml:space="preserve"> Time!AD$106</f>
        <v>1</v>
      </c>
      <c r="AE636" s="125">
        <f xml:space="preserve"> Time!AE$106</f>
        <v>1</v>
      </c>
      <c r="AF636" s="125">
        <f xml:space="preserve"> Time!AF$106</f>
        <v>1</v>
      </c>
      <c r="AG636" s="125">
        <f xml:space="preserve"> Time!AG$106</f>
        <v>1</v>
      </c>
      <c r="AH636" s="125">
        <f xml:space="preserve"> Time!AH$106</f>
        <v>1</v>
      </c>
      <c r="AI636" s="125">
        <f xml:space="preserve"> Time!AI$106</f>
        <v>1</v>
      </c>
      <c r="AJ636" s="125">
        <f xml:space="preserve"> Time!AJ$106</f>
        <v>1</v>
      </c>
      <c r="AK636" s="125">
        <f xml:space="preserve"> Time!AK$106</f>
        <v>1</v>
      </c>
      <c r="AL636" s="125">
        <f xml:space="preserve"> Time!AL$106</f>
        <v>1</v>
      </c>
      <c r="AM636" s="125">
        <f xml:space="preserve"> Time!AM$106</f>
        <v>1</v>
      </c>
      <c r="AN636" s="125">
        <f xml:space="preserve"> Time!AN$106</f>
        <v>1</v>
      </c>
      <c r="AO636" s="125">
        <f xml:space="preserve"> Time!AO$106</f>
        <v>1</v>
      </c>
      <c r="AP636" s="125">
        <f xml:space="preserve"> Time!AP$106</f>
        <v>1</v>
      </c>
      <c r="AQ636" s="125">
        <f xml:space="preserve"> Time!AQ$106</f>
        <v>1</v>
      </c>
      <c r="AR636" s="125">
        <f xml:space="preserve"> Time!AR$106</f>
        <v>1</v>
      </c>
      <c r="AS636" s="125">
        <f xml:space="preserve"> Time!AS$106</f>
        <v>1</v>
      </c>
      <c r="AT636" s="125">
        <f xml:space="preserve"> Time!AT$106</f>
        <v>1</v>
      </c>
      <c r="AU636" s="125">
        <f xml:space="preserve"> Time!AU$106</f>
        <v>1</v>
      </c>
      <c r="AV636" s="125">
        <f xml:space="preserve"> Time!AV$106</f>
        <v>1</v>
      </c>
      <c r="AW636" s="125">
        <f xml:space="preserve"> Time!AW$106</f>
        <v>1</v>
      </c>
      <c r="AX636" s="125">
        <f xml:space="preserve"> Time!AX$106</f>
        <v>1</v>
      </c>
      <c r="AY636" s="125">
        <f xml:space="preserve"> Time!AY$106</f>
        <v>1</v>
      </c>
      <c r="AZ636" s="125">
        <f xml:space="preserve"> Time!AZ$106</f>
        <v>1</v>
      </c>
      <c r="BA636" s="125">
        <f xml:space="preserve"> Time!BA$106</f>
        <v>1</v>
      </c>
      <c r="BB636" s="125">
        <f xml:space="preserve"> Time!BB$106</f>
        <v>1</v>
      </c>
      <c r="BC636" s="125">
        <f xml:space="preserve"> Time!BC$106</f>
        <v>0</v>
      </c>
      <c r="BD636" s="125">
        <f xml:space="preserve"> Time!BD$106</f>
        <v>0</v>
      </c>
      <c r="BE636" s="125">
        <f xml:space="preserve"> Time!BE$106</f>
        <v>0</v>
      </c>
      <c r="BF636" s="125">
        <f xml:space="preserve"> Time!BF$106</f>
        <v>0</v>
      </c>
      <c r="BG636" s="125">
        <f xml:space="preserve"> Time!BG$106</f>
        <v>0</v>
      </c>
      <c r="BH636" s="125">
        <f xml:space="preserve"> Time!BH$106</f>
        <v>0</v>
      </c>
      <c r="BI636" s="125">
        <f xml:space="preserve"> Time!BI$106</f>
        <v>0</v>
      </c>
      <c r="BJ636" s="125">
        <f xml:space="preserve"> Time!BJ$106</f>
        <v>0</v>
      </c>
      <c r="BK636" s="125">
        <f xml:space="preserve"> Time!BK$106</f>
        <v>0</v>
      </c>
      <c r="BL636" s="125">
        <f xml:space="preserve"> Time!BL$106</f>
        <v>0</v>
      </c>
      <c r="BM636" s="125">
        <f xml:space="preserve"> Time!BM$106</f>
        <v>0</v>
      </c>
      <c r="BN636" s="125">
        <f xml:space="preserve"> Time!BN$106</f>
        <v>0</v>
      </c>
      <c r="BO636" s="125">
        <f xml:space="preserve"> Time!BO$106</f>
        <v>0</v>
      </c>
      <c r="BP636" s="125">
        <f xml:space="preserve"> Time!BP$106</f>
        <v>0</v>
      </c>
      <c r="BQ636" s="125">
        <f xml:space="preserve"> Time!BQ$106</f>
        <v>0</v>
      </c>
      <c r="BR636" s="125">
        <f xml:space="preserve"> Time!BR$106</f>
        <v>0</v>
      </c>
      <c r="BS636" s="125">
        <f xml:space="preserve"> Time!BS$106</f>
        <v>0</v>
      </c>
      <c r="BT636" s="125">
        <f xml:space="preserve"> Time!BT$106</f>
        <v>0</v>
      </c>
      <c r="BU636" s="125">
        <f xml:space="preserve"> Time!BU$106</f>
        <v>0</v>
      </c>
      <c r="BV636" s="125">
        <f xml:space="preserve"> Time!BV$106</f>
        <v>0</v>
      </c>
      <c r="BW636" s="125">
        <f xml:space="preserve"> Time!BW$106</f>
        <v>0</v>
      </c>
      <c r="BX636" s="125">
        <f xml:space="preserve"> Time!BX$106</f>
        <v>0</v>
      </c>
      <c r="BY636" s="125">
        <f xml:space="preserve"> Time!BY$106</f>
        <v>0</v>
      </c>
      <c r="BZ636" s="125">
        <f xml:space="preserve"> Time!BZ$106</f>
        <v>0</v>
      </c>
      <c r="CA636" s="125">
        <f xml:space="preserve"> Time!CA$106</f>
        <v>0</v>
      </c>
      <c r="CB636" s="125">
        <f xml:space="preserve"> Time!CB$106</f>
        <v>0</v>
      </c>
      <c r="CC636" s="125">
        <f xml:space="preserve"> Time!CC$106</f>
        <v>0</v>
      </c>
      <c r="CD636" s="125">
        <f xml:space="preserve"> Time!CD$106</f>
        <v>0</v>
      </c>
      <c r="CE636" s="125">
        <f xml:space="preserve"> Time!CE$106</f>
        <v>0</v>
      </c>
      <c r="CF636" s="125">
        <f xml:space="preserve"> Time!CF$106</f>
        <v>0</v>
      </c>
      <c r="CG636" s="125">
        <f xml:space="preserve"> Time!CG$106</f>
        <v>0</v>
      </c>
      <c r="CH636" s="125">
        <f xml:space="preserve"> Time!CH$106</f>
        <v>0</v>
      </c>
      <c r="CI636" s="125">
        <f xml:space="preserve"> Time!CI$106</f>
        <v>0</v>
      </c>
      <c r="CJ636" s="125">
        <f xml:space="preserve"> Time!CJ$106</f>
        <v>0</v>
      </c>
      <c r="CK636" s="125">
        <f xml:space="preserve"> Time!CK$106</f>
        <v>0</v>
      </c>
      <c r="CL636" s="125">
        <f xml:space="preserve"> Time!CL$106</f>
        <v>0</v>
      </c>
      <c r="CM636" s="125">
        <f xml:space="preserve"> Time!CM$106</f>
        <v>0</v>
      </c>
      <c r="CN636" s="125">
        <f xml:space="preserve"> Time!CN$106</f>
        <v>0</v>
      </c>
      <c r="CO636" s="125">
        <f xml:space="preserve"> Time!CO$106</f>
        <v>0</v>
      </c>
      <c r="CP636" s="125">
        <f xml:space="preserve"> Time!CP$106</f>
        <v>0</v>
      </c>
      <c r="CQ636" s="125">
        <f xml:space="preserve"> Time!CQ$106</f>
        <v>0</v>
      </c>
      <c r="CR636" s="125">
        <f xml:space="preserve"> Time!CR$106</f>
        <v>0</v>
      </c>
      <c r="CS636" s="125">
        <f xml:space="preserve"> Time!CS$106</f>
        <v>0</v>
      </c>
      <c r="CT636" s="125">
        <f xml:space="preserve"> Time!CT$106</f>
        <v>0</v>
      </c>
      <c r="CU636" s="125">
        <f xml:space="preserve"> Time!CU$106</f>
        <v>0</v>
      </c>
      <c r="CV636" s="125">
        <f xml:space="preserve"> Time!CV$106</f>
        <v>0</v>
      </c>
    </row>
    <row r="637" spans="1:100" ht="12.75" outlineLevel="2" x14ac:dyDescent="0.2">
      <c r="A637" s="79"/>
      <c r="B637" s="79"/>
      <c r="C637" s="561"/>
      <c r="D637" s="60"/>
      <c r="E637" s="125" t="str">
        <f xml:space="preserve"> Time!E$101</f>
        <v xml:space="preserve">Last operating period flag </v>
      </c>
      <c r="F637" s="125">
        <f xml:space="preserve"> Time!F$101</f>
        <v>0</v>
      </c>
      <c r="G637" s="125" t="str">
        <f xml:space="preserve"> Time!G$101</f>
        <v>flag</v>
      </c>
      <c r="H637" s="125">
        <f xml:space="preserve"> Time!H$101</f>
        <v>1</v>
      </c>
      <c r="I637" s="125">
        <f xml:space="preserve"> Time!I$101</f>
        <v>0</v>
      </c>
      <c r="J637" s="125">
        <f xml:space="preserve"> Time!J$101</f>
        <v>0</v>
      </c>
      <c r="K637" s="125">
        <f xml:space="preserve"> Time!K$101</f>
        <v>0</v>
      </c>
      <c r="L637" s="125">
        <f xml:space="preserve"> Time!L$101</f>
        <v>0</v>
      </c>
      <c r="M637" s="125">
        <f xml:space="preserve"> Time!M$101</f>
        <v>0</v>
      </c>
      <c r="N637" s="125">
        <f xml:space="preserve"> Time!N$101</f>
        <v>0</v>
      </c>
      <c r="O637" s="125">
        <f xml:space="preserve"> Time!O$101</f>
        <v>0</v>
      </c>
      <c r="P637" s="125">
        <f xml:space="preserve"> Time!P$101</f>
        <v>0</v>
      </c>
      <c r="Q637" s="125">
        <f xml:space="preserve"> Time!Q$101</f>
        <v>0</v>
      </c>
      <c r="R637" s="125">
        <f xml:space="preserve"> Time!R$101</f>
        <v>0</v>
      </c>
      <c r="S637" s="125">
        <f xml:space="preserve"> Time!S$101</f>
        <v>0</v>
      </c>
      <c r="T637" s="125">
        <f xml:space="preserve"> Time!T$101</f>
        <v>0</v>
      </c>
      <c r="U637" s="125">
        <f xml:space="preserve"> Time!U$101</f>
        <v>0</v>
      </c>
      <c r="V637" s="125">
        <f xml:space="preserve"> Time!V$101</f>
        <v>0</v>
      </c>
      <c r="W637" s="125">
        <f xml:space="preserve"> Time!W$101</f>
        <v>0</v>
      </c>
      <c r="X637" s="125">
        <f xml:space="preserve"> Time!X$101</f>
        <v>0</v>
      </c>
      <c r="Y637" s="125">
        <f xml:space="preserve"> Time!Y$101</f>
        <v>0</v>
      </c>
      <c r="Z637" s="125">
        <f xml:space="preserve"> Time!Z$101</f>
        <v>0</v>
      </c>
      <c r="AA637" s="125">
        <f xml:space="preserve"> Time!AA$101</f>
        <v>0</v>
      </c>
      <c r="AB637" s="125">
        <f xml:space="preserve"> Time!AB$101</f>
        <v>0</v>
      </c>
      <c r="AC637" s="125">
        <f xml:space="preserve"> Time!AC$101</f>
        <v>0</v>
      </c>
      <c r="AD637" s="125">
        <f xml:space="preserve"> Time!AD$101</f>
        <v>0</v>
      </c>
      <c r="AE637" s="125">
        <f xml:space="preserve"> Time!AE$101</f>
        <v>0</v>
      </c>
      <c r="AF637" s="125">
        <f xml:space="preserve"> Time!AF$101</f>
        <v>0</v>
      </c>
      <c r="AG637" s="125">
        <f xml:space="preserve"> Time!AG$101</f>
        <v>0</v>
      </c>
      <c r="AH637" s="125">
        <f xml:space="preserve"> Time!AH$101</f>
        <v>0</v>
      </c>
      <c r="AI637" s="125">
        <f xml:space="preserve"> Time!AI$101</f>
        <v>0</v>
      </c>
      <c r="AJ637" s="125">
        <f xml:space="preserve"> Time!AJ$101</f>
        <v>0</v>
      </c>
      <c r="AK637" s="125">
        <f xml:space="preserve"> Time!AK$101</f>
        <v>0</v>
      </c>
      <c r="AL637" s="125">
        <f xml:space="preserve"> Time!AL$101</f>
        <v>0</v>
      </c>
      <c r="AM637" s="125">
        <f xml:space="preserve"> Time!AM$101</f>
        <v>0</v>
      </c>
      <c r="AN637" s="125">
        <f xml:space="preserve"> Time!AN$101</f>
        <v>0</v>
      </c>
      <c r="AO637" s="125">
        <f xml:space="preserve"> Time!AO$101</f>
        <v>0</v>
      </c>
      <c r="AP637" s="125">
        <f xml:space="preserve"> Time!AP$101</f>
        <v>0</v>
      </c>
      <c r="AQ637" s="125">
        <f xml:space="preserve"> Time!AQ$101</f>
        <v>0</v>
      </c>
      <c r="AR637" s="125">
        <f xml:space="preserve"> Time!AR$101</f>
        <v>0</v>
      </c>
      <c r="AS637" s="125">
        <f xml:space="preserve"> Time!AS$101</f>
        <v>0</v>
      </c>
      <c r="AT637" s="125">
        <f xml:space="preserve"> Time!AT$101</f>
        <v>0</v>
      </c>
      <c r="AU637" s="125">
        <f xml:space="preserve"> Time!AU$101</f>
        <v>0</v>
      </c>
      <c r="AV637" s="125">
        <f xml:space="preserve"> Time!AV$101</f>
        <v>0</v>
      </c>
      <c r="AW637" s="125">
        <f xml:space="preserve"> Time!AW$101</f>
        <v>0</v>
      </c>
      <c r="AX637" s="125">
        <f xml:space="preserve"> Time!AX$101</f>
        <v>0</v>
      </c>
      <c r="AY637" s="125">
        <f xml:space="preserve"> Time!AY$101</f>
        <v>0</v>
      </c>
      <c r="AZ637" s="125">
        <f xml:space="preserve"> Time!AZ$101</f>
        <v>0</v>
      </c>
      <c r="BA637" s="125">
        <f xml:space="preserve"> Time!BA$101</f>
        <v>0</v>
      </c>
      <c r="BB637" s="125">
        <f xml:space="preserve"> Time!BB$101</f>
        <v>1</v>
      </c>
      <c r="BC637" s="125">
        <f xml:space="preserve"> Time!BC$101</f>
        <v>0</v>
      </c>
      <c r="BD637" s="125">
        <f xml:space="preserve"> Time!BD$101</f>
        <v>0</v>
      </c>
      <c r="BE637" s="125">
        <f xml:space="preserve"> Time!BE$101</f>
        <v>0</v>
      </c>
      <c r="BF637" s="125">
        <f xml:space="preserve"> Time!BF$101</f>
        <v>0</v>
      </c>
      <c r="BG637" s="125">
        <f xml:space="preserve"> Time!BG$101</f>
        <v>0</v>
      </c>
      <c r="BH637" s="125">
        <f xml:space="preserve"> Time!BH$101</f>
        <v>0</v>
      </c>
      <c r="BI637" s="125">
        <f xml:space="preserve"> Time!BI$101</f>
        <v>0</v>
      </c>
      <c r="BJ637" s="125">
        <f xml:space="preserve"> Time!BJ$101</f>
        <v>0</v>
      </c>
      <c r="BK637" s="125">
        <f xml:space="preserve"> Time!BK$101</f>
        <v>0</v>
      </c>
      <c r="BL637" s="125">
        <f xml:space="preserve"> Time!BL$101</f>
        <v>0</v>
      </c>
      <c r="BM637" s="125">
        <f xml:space="preserve"> Time!BM$101</f>
        <v>0</v>
      </c>
      <c r="BN637" s="125">
        <f xml:space="preserve"> Time!BN$101</f>
        <v>0</v>
      </c>
      <c r="BO637" s="125">
        <f xml:space="preserve"> Time!BO$101</f>
        <v>0</v>
      </c>
      <c r="BP637" s="125">
        <f xml:space="preserve"> Time!BP$101</f>
        <v>0</v>
      </c>
      <c r="BQ637" s="125">
        <f xml:space="preserve"> Time!BQ$101</f>
        <v>0</v>
      </c>
      <c r="BR637" s="125">
        <f xml:space="preserve"> Time!BR$101</f>
        <v>0</v>
      </c>
      <c r="BS637" s="125">
        <f xml:space="preserve"> Time!BS$101</f>
        <v>0</v>
      </c>
      <c r="BT637" s="125">
        <f xml:space="preserve"> Time!BT$101</f>
        <v>0</v>
      </c>
      <c r="BU637" s="125">
        <f xml:space="preserve"> Time!BU$101</f>
        <v>0</v>
      </c>
      <c r="BV637" s="125">
        <f xml:space="preserve"> Time!BV$101</f>
        <v>0</v>
      </c>
      <c r="BW637" s="125">
        <f xml:space="preserve"> Time!BW$101</f>
        <v>0</v>
      </c>
      <c r="BX637" s="125">
        <f xml:space="preserve"> Time!BX$101</f>
        <v>0</v>
      </c>
      <c r="BY637" s="125">
        <f xml:space="preserve"> Time!BY$101</f>
        <v>0</v>
      </c>
      <c r="BZ637" s="125">
        <f xml:space="preserve"> Time!BZ$101</f>
        <v>0</v>
      </c>
      <c r="CA637" s="125">
        <f xml:space="preserve"> Time!CA$101</f>
        <v>0</v>
      </c>
      <c r="CB637" s="125">
        <f xml:space="preserve"> Time!CB$101</f>
        <v>0</v>
      </c>
      <c r="CC637" s="125">
        <f xml:space="preserve"> Time!CC$101</f>
        <v>0</v>
      </c>
      <c r="CD637" s="125">
        <f xml:space="preserve"> Time!CD$101</f>
        <v>0</v>
      </c>
      <c r="CE637" s="125">
        <f xml:space="preserve"> Time!CE$101</f>
        <v>0</v>
      </c>
      <c r="CF637" s="125">
        <f xml:space="preserve"> Time!CF$101</f>
        <v>0</v>
      </c>
      <c r="CG637" s="125">
        <f xml:space="preserve"> Time!CG$101</f>
        <v>0</v>
      </c>
      <c r="CH637" s="125">
        <f xml:space="preserve"> Time!CH$101</f>
        <v>0</v>
      </c>
      <c r="CI637" s="125">
        <f xml:space="preserve"> Time!CI$101</f>
        <v>0</v>
      </c>
      <c r="CJ637" s="125">
        <f xml:space="preserve"> Time!CJ$101</f>
        <v>0</v>
      </c>
      <c r="CK637" s="125">
        <f xml:space="preserve"> Time!CK$101</f>
        <v>0</v>
      </c>
      <c r="CL637" s="125">
        <f xml:space="preserve"> Time!CL$101</f>
        <v>0</v>
      </c>
      <c r="CM637" s="125">
        <f xml:space="preserve"> Time!CM$101</f>
        <v>0</v>
      </c>
      <c r="CN637" s="125">
        <f xml:space="preserve"> Time!CN$101</f>
        <v>0</v>
      </c>
      <c r="CO637" s="125">
        <f xml:space="preserve"> Time!CO$101</f>
        <v>0</v>
      </c>
      <c r="CP637" s="125">
        <f xml:space="preserve"> Time!CP$101</f>
        <v>0</v>
      </c>
      <c r="CQ637" s="125">
        <f xml:space="preserve"> Time!CQ$101</f>
        <v>0</v>
      </c>
      <c r="CR637" s="125">
        <f xml:space="preserve"> Time!CR$101</f>
        <v>0</v>
      </c>
      <c r="CS637" s="125">
        <f xml:space="preserve"> Time!CS$101</f>
        <v>0</v>
      </c>
      <c r="CT637" s="125">
        <f xml:space="preserve"> Time!CT$101</f>
        <v>0</v>
      </c>
      <c r="CU637" s="125">
        <f xml:space="preserve"> Time!CU$101</f>
        <v>0</v>
      </c>
      <c r="CV637" s="125">
        <f xml:space="preserve"> Time!CV$101</f>
        <v>0</v>
      </c>
    </row>
    <row r="638" spans="1:100" ht="12.75" outlineLevel="2" x14ac:dyDescent="0.2">
      <c r="A638" s="79"/>
      <c r="B638" s="79"/>
      <c r="C638" s="561"/>
      <c r="D638" s="60"/>
      <c r="E638" s="32" t="s">
        <v>1200</v>
      </c>
      <c r="F638" s="32"/>
      <c r="G638" s="32" t="str">
        <f xml:space="preserve"> SMU</f>
        <v>$ 000s</v>
      </c>
      <c r="H638" s="32">
        <f xml:space="preserve"> SUM(J638:CV638)</f>
        <v>0</v>
      </c>
      <c r="I638" s="32"/>
      <c r="J638" s="32">
        <f t="shared" ref="J638:AO638" si="1013" xml:space="preserve"> IF(J637 = 1, J634, MIN(J634, MAX(J635, 0)) * J636)</f>
        <v>0</v>
      </c>
      <c r="K638" s="32">
        <f t="shared" si="1013"/>
        <v>0</v>
      </c>
      <c r="L638" s="32">
        <f t="shared" si="1013"/>
        <v>0</v>
      </c>
      <c r="M638" s="32">
        <f t="shared" si="1013"/>
        <v>0</v>
      </c>
      <c r="N638" s="32">
        <f t="shared" si="1013"/>
        <v>0</v>
      </c>
      <c r="O638" s="32">
        <f t="shared" si="1013"/>
        <v>0</v>
      </c>
      <c r="P638" s="32">
        <f t="shared" si="1013"/>
        <v>0</v>
      </c>
      <c r="Q638" s="32">
        <f t="shared" si="1013"/>
        <v>0</v>
      </c>
      <c r="R638" s="32">
        <f t="shared" si="1013"/>
        <v>0</v>
      </c>
      <c r="S638" s="32">
        <f t="shared" si="1013"/>
        <v>0</v>
      </c>
      <c r="T638" s="32">
        <f t="shared" si="1013"/>
        <v>0</v>
      </c>
      <c r="U638" s="32">
        <f t="shared" si="1013"/>
        <v>0</v>
      </c>
      <c r="V638" s="32">
        <f t="shared" si="1013"/>
        <v>0</v>
      </c>
      <c r="W638" s="32">
        <f t="shared" si="1013"/>
        <v>0</v>
      </c>
      <c r="X638" s="32">
        <f t="shared" si="1013"/>
        <v>0</v>
      </c>
      <c r="Y638" s="32">
        <f t="shared" si="1013"/>
        <v>0</v>
      </c>
      <c r="Z638" s="32">
        <f t="shared" si="1013"/>
        <v>0</v>
      </c>
      <c r="AA638" s="32">
        <f t="shared" si="1013"/>
        <v>0</v>
      </c>
      <c r="AB638" s="32">
        <f t="shared" si="1013"/>
        <v>0</v>
      </c>
      <c r="AC638" s="32">
        <f t="shared" si="1013"/>
        <v>0</v>
      </c>
      <c r="AD638" s="32">
        <f t="shared" si="1013"/>
        <v>0</v>
      </c>
      <c r="AE638" s="32">
        <f t="shared" si="1013"/>
        <v>0</v>
      </c>
      <c r="AF638" s="32">
        <f t="shared" si="1013"/>
        <v>0</v>
      </c>
      <c r="AG638" s="32">
        <f t="shared" si="1013"/>
        <v>0</v>
      </c>
      <c r="AH638" s="32">
        <f t="shared" si="1013"/>
        <v>0</v>
      </c>
      <c r="AI638" s="32">
        <f t="shared" si="1013"/>
        <v>0</v>
      </c>
      <c r="AJ638" s="32">
        <f t="shared" si="1013"/>
        <v>0</v>
      </c>
      <c r="AK638" s="32">
        <f t="shared" si="1013"/>
        <v>0</v>
      </c>
      <c r="AL638" s="32">
        <f t="shared" si="1013"/>
        <v>0</v>
      </c>
      <c r="AM638" s="32">
        <f t="shared" si="1013"/>
        <v>0</v>
      </c>
      <c r="AN638" s="32">
        <f t="shared" si="1013"/>
        <v>0</v>
      </c>
      <c r="AO638" s="32">
        <f t="shared" si="1013"/>
        <v>0</v>
      </c>
      <c r="AP638" s="32">
        <f t="shared" ref="AP638:BU638" si="1014" xml:space="preserve"> IF(AP637 = 1, AP634, MIN(AP634, MAX(AP635, 0)) * AP636)</f>
        <v>0</v>
      </c>
      <c r="AQ638" s="32">
        <f t="shared" si="1014"/>
        <v>0</v>
      </c>
      <c r="AR638" s="32">
        <f t="shared" si="1014"/>
        <v>0</v>
      </c>
      <c r="AS638" s="32">
        <f t="shared" si="1014"/>
        <v>0</v>
      </c>
      <c r="AT638" s="32">
        <f t="shared" si="1014"/>
        <v>0</v>
      </c>
      <c r="AU638" s="32">
        <f t="shared" si="1014"/>
        <v>0</v>
      </c>
      <c r="AV638" s="32">
        <f t="shared" si="1014"/>
        <v>0</v>
      </c>
      <c r="AW638" s="32">
        <f t="shared" si="1014"/>
        <v>0</v>
      </c>
      <c r="AX638" s="32">
        <f t="shared" si="1014"/>
        <v>0</v>
      </c>
      <c r="AY638" s="32">
        <f t="shared" si="1014"/>
        <v>0</v>
      </c>
      <c r="AZ638" s="32">
        <f t="shared" si="1014"/>
        <v>0</v>
      </c>
      <c r="BA638" s="32">
        <f t="shared" si="1014"/>
        <v>0</v>
      </c>
      <c r="BB638" s="32">
        <f t="shared" si="1014"/>
        <v>0</v>
      </c>
      <c r="BC638" s="32">
        <f t="shared" si="1014"/>
        <v>0</v>
      </c>
      <c r="BD638" s="32">
        <f t="shared" si="1014"/>
        <v>0</v>
      </c>
      <c r="BE638" s="32">
        <f t="shared" si="1014"/>
        <v>0</v>
      </c>
      <c r="BF638" s="32">
        <f t="shared" si="1014"/>
        <v>0</v>
      </c>
      <c r="BG638" s="32">
        <f t="shared" si="1014"/>
        <v>0</v>
      </c>
      <c r="BH638" s="32">
        <f t="shared" si="1014"/>
        <v>0</v>
      </c>
      <c r="BI638" s="32">
        <f t="shared" si="1014"/>
        <v>0</v>
      </c>
      <c r="BJ638" s="32">
        <f t="shared" si="1014"/>
        <v>0</v>
      </c>
      <c r="BK638" s="32">
        <f t="shared" si="1014"/>
        <v>0</v>
      </c>
      <c r="BL638" s="32">
        <f t="shared" si="1014"/>
        <v>0</v>
      </c>
      <c r="BM638" s="32">
        <f t="shared" si="1014"/>
        <v>0</v>
      </c>
      <c r="BN638" s="32">
        <f t="shared" si="1014"/>
        <v>0</v>
      </c>
      <c r="BO638" s="32">
        <f t="shared" si="1014"/>
        <v>0</v>
      </c>
      <c r="BP638" s="32">
        <f t="shared" si="1014"/>
        <v>0</v>
      </c>
      <c r="BQ638" s="32">
        <f t="shared" si="1014"/>
        <v>0</v>
      </c>
      <c r="BR638" s="32">
        <f t="shared" si="1014"/>
        <v>0</v>
      </c>
      <c r="BS638" s="32">
        <f t="shared" si="1014"/>
        <v>0</v>
      </c>
      <c r="BT638" s="32">
        <f t="shared" si="1014"/>
        <v>0</v>
      </c>
      <c r="BU638" s="32">
        <f t="shared" si="1014"/>
        <v>0</v>
      </c>
      <c r="BV638" s="32">
        <f t="shared" ref="BV638:CV638" si="1015" xml:space="preserve"> IF(BV637 = 1, BV634, MIN(BV634, MAX(BV635, 0)) * BV636)</f>
        <v>0</v>
      </c>
      <c r="BW638" s="32">
        <f t="shared" si="1015"/>
        <v>0</v>
      </c>
      <c r="BX638" s="32">
        <f t="shared" si="1015"/>
        <v>0</v>
      </c>
      <c r="BY638" s="32">
        <f t="shared" si="1015"/>
        <v>0</v>
      </c>
      <c r="BZ638" s="32">
        <f t="shared" si="1015"/>
        <v>0</v>
      </c>
      <c r="CA638" s="32">
        <f t="shared" si="1015"/>
        <v>0</v>
      </c>
      <c r="CB638" s="32">
        <f t="shared" si="1015"/>
        <v>0</v>
      </c>
      <c r="CC638" s="32">
        <f t="shared" si="1015"/>
        <v>0</v>
      </c>
      <c r="CD638" s="32">
        <f t="shared" si="1015"/>
        <v>0</v>
      </c>
      <c r="CE638" s="32">
        <f t="shared" si="1015"/>
        <v>0</v>
      </c>
      <c r="CF638" s="32">
        <f t="shared" si="1015"/>
        <v>0</v>
      </c>
      <c r="CG638" s="32">
        <f t="shared" si="1015"/>
        <v>0</v>
      </c>
      <c r="CH638" s="32">
        <f t="shared" si="1015"/>
        <v>0</v>
      </c>
      <c r="CI638" s="32">
        <f t="shared" si="1015"/>
        <v>0</v>
      </c>
      <c r="CJ638" s="32">
        <f t="shared" si="1015"/>
        <v>0</v>
      </c>
      <c r="CK638" s="32">
        <f t="shared" si="1015"/>
        <v>0</v>
      </c>
      <c r="CL638" s="32">
        <f t="shared" si="1015"/>
        <v>0</v>
      </c>
      <c r="CM638" s="32">
        <f t="shared" si="1015"/>
        <v>0</v>
      </c>
      <c r="CN638" s="32">
        <f t="shared" si="1015"/>
        <v>0</v>
      </c>
      <c r="CO638" s="32">
        <f t="shared" si="1015"/>
        <v>0</v>
      </c>
      <c r="CP638" s="32">
        <f t="shared" si="1015"/>
        <v>0</v>
      </c>
      <c r="CQ638" s="32">
        <f t="shared" si="1015"/>
        <v>0</v>
      </c>
      <c r="CR638" s="32">
        <f t="shared" si="1015"/>
        <v>0</v>
      </c>
      <c r="CS638" s="32">
        <f t="shared" si="1015"/>
        <v>0</v>
      </c>
      <c r="CT638" s="32">
        <f t="shared" si="1015"/>
        <v>0</v>
      </c>
      <c r="CU638" s="32">
        <f t="shared" si="1015"/>
        <v>0</v>
      </c>
      <c r="CV638" s="32">
        <f t="shared" si="1015"/>
        <v>0</v>
      </c>
    </row>
    <row r="639" spans="1:100" s="188" customFormat="1" ht="12.75" outlineLevel="2" x14ac:dyDescent="0.2">
      <c r="A639" s="397"/>
      <c r="B639" s="397"/>
      <c r="C639" s="566"/>
      <c r="D639" s="484" t="s">
        <v>366</v>
      </c>
      <c r="E639" s="188" t="str">
        <f xml:space="preserve"> LEFT(E638, LEN(E638) - 4)</f>
        <v>WCF repayment - P99</v>
      </c>
      <c r="G639" s="188" t="str">
        <f xml:space="preserve"> SMU</f>
        <v>$ 000s</v>
      </c>
      <c r="H639" s="188">
        <f xml:space="preserve"> SUM(J639:CV639)</f>
        <v>0</v>
      </c>
      <c r="J639" s="188">
        <f t="shared" ref="J639:AO639" si="1016" xml:space="preserve"> -1 * J638</f>
        <v>0</v>
      </c>
      <c r="K639" s="188">
        <f t="shared" si="1016"/>
        <v>0</v>
      </c>
      <c r="L639" s="188">
        <f t="shared" si="1016"/>
        <v>0</v>
      </c>
      <c r="M639" s="188">
        <f t="shared" si="1016"/>
        <v>0</v>
      </c>
      <c r="N639" s="188">
        <f t="shared" si="1016"/>
        <v>0</v>
      </c>
      <c r="O639" s="188">
        <f t="shared" si="1016"/>
        <v>0</v>
      </c>
      <c r="P639" s="188">
        <f t="shared" si="1016"/>
        <v>0</v>
      </c>
      <c r="Q639" s="188">
        <f t="shared" si="1016"/>
        <v>0</v>
      </c>
      <c r="R639" s="188">
        <f t="shared" si="1016"/>
        <v>0</v>
      </c>
      <c r="S639" s="188">
        <f t="shared" si="1016"/>
        <v>0</v>
      </c>
      <c r="T639" s="188">
        <f t="shared" si="1016"/>
        <v>0</v>
      </c>
      <c r="U639" s="188">
        <f t="shared" si="1016"/>
        <v>0</v>
      </c>
      <c r="V639" s="188">
        <f t="shared" si="1016"/>
        <v>0</v>
      </c>
      <c r="W639" s="188">
        <f t="shared" si="1016"/>
        <v>0</v>
      </c>
      <c r="X639" s="188">
        <f t="shared" si="1016"/>
        <v>0</v>
      </c>
      <c r="Y639" s="188">
        <f t="shared" si="1016"/>
        <v>0</v>
      </c>
      <c r="Z639" s="188">
        <f t="shared" si="1016"/>
        <v>0</v>
      </c>
      <c r="AA639" s="188">
        <f t="shared" si="1016"/>
        <v>0</v>
      </c>
      <c r="AB639" s="188">
        <f t="shared" si="1016"/>
        <v>0</v>
      </c>
      <c r="AC639" s="188">
        <f t="shared" si="1016"/>
        <v>0</v>
      </c>
      <c r="AD639" s="188">
        <f t="shared" si="1016"/>
        <v>0</v>
      </c>
      <c r="AE639" s="188">
        <f t="shared" si="1016"/>
        <v>0</v>
      </c>
      <c r="AF639" s="188">
        <f t="shared" si="1016"/>
        <v>0</v>
      </c>
      <c r="AG639" s="188">
        <f t="shared" si="1016"/>
        <v>0</v>
      </c>
      <c r="AH639" s="188">
        <f t="shared" si="1016"/>
        <v>0</v>
      </c>
      <c r="AI639" s="188">
        <f t="shared" si="1016"/>
        <v>0</v>
      </c>
      <c r="AJ639" s="188">
        <f t="shared" si="1016"/>
        <v>0</v>
      </c>
      <c r="AK639" s="188">
        <f t="shared" si="1016"/>
        <v>0</v>
      </c>
      <c r="AL639" s="188">
        <f t="shared" si="1016"/>
        <v>0</v>
      </c>
      <c r="AM639" s="188">
        <f t="shared" si="1016"/>
        <v>0</v>
      </c>
      <c r="AN639" s="188">
        <f t="shared" si="1016"/>
        <v>0</v>
      </c>
      <c r="AO639" s="188">
        <f t="shared" si="1016"/>
        <v>0</v>
      </c>
      <c r="AP639" s="188">
        <f t="shared" ref="AP639:BU639" si="1017" xml:space="preserve"> -1 * AP638</f>
        <v>0</v>
      </c>
      <c r="AQ639" s="188">
        <f t="shared" si="1017"/>
        <v>0</v>
      </c>
      <c r="AR639" s="188">
        <f t="shared" si="1017"/>
        <v>0</v>
      </c>
      <c r="AS639" s="188">
        <f t="shared" si="1017"/>
        <v>0</v>
      </c>
      <c r="AT639" s="188">
        <f t="shared" si="1017"/>
        <v>0</v>
      </c>
      <c r="AU639" s="188">
        <f t="shared" si="1017"/>
        <v>0</v>
      </c>
      <c r="AV639" s="188">
        <f t="shared" si="1017"/>
        <v>0</v>
      </c>
      <c r="AW639" s="188">
        <f t="shared" si="1017"/>
        <v>0</v>
      </c>
      <c r="AX639" s="188">
        <f t="shared" si="1017"/>
        <v>0</v>
      </c>
      <c r="AY639" s="188">
        <f t="shared" si="1017"/>
        <v>0</v>
      </c>
      <c r="AZ639" s="188">
        <f t="shared" si="1017"/>
        <v>0</v>
      </c>
      <c r="BA639" s="188">
        <f t="shared" si="1017"/>
        <v>0</v>
      </c>
      <c r="BB639" s="188">
        <f t="shared" si="1017"/>
        <v>0</v>
      </c>
      <c r="BC639" s="188">
        <f t="shared" si="1017"/>
        <v>0</v>
      </c>
      <c r="BD639" s="188">
        <f t="shared" si="1017"/>
        <v>0</v>
      </c>
      <c r="BE639" s="188">
        <f t="shared" si="1017"/>
        <v>0</v>
      </c>
      <c r="BF639" s="188">
        <f t="shared" si="1017"/>
        <v>0</v>
      </c>
      <c r="BG639" s="188">
        <f t="shared" si="1017"/>
        <v>0</v>
      </c>
      <c r="BH639" s="188">
        <f t="shared" si="1017"/>
        <v>0</v>
      </c>
      <c r="BI639" s="188">
        <f t="shared" si="1017"/>
        <v>0</v>
      </c>
      <c r="BJ639" s="188">
        <f t="shared" si="1017"/>
        <v>0</v>
      </c>
      <c r="BK639" s="188">
        <f t="shared" si="1017"/>
        <v>0</v>
      </c>
      <c r="BL639" s="188">
        <f t="shared" si="1017"/>
        <v>0</v>
      </c>
      <c r="BM639" s="188">
        <f t="shared" si="1017"/>
        <v>0</v>
      </c>
      <c r="BN639" s="188">
        <f t="shared" si="1017"/>
        <v>0</v>
      </c>
      <c r="BO639" s="188">
        <f t="shared" si="1017"/>
        <v>0</v>
      </c>
      <c r="BP639" s="188">
        <f t="shared" si="1017"/>
        <v>0</v>
      </c>
      <c r="BQ639" s="188">
        <f t="shared" si="1017"/>
        <v>0</v>
      </c>
      <c r="BR639" s="188">
        <f t="shared" si="1017"/>
        <v>0</v>
      </c>
      <c r="BS639" s="188">
        <f t="shared" si="1017"/>
        <v>0</v>
      </c>
      <c r="BT639" s="188">
        <f t="shared" si="1017"/>
        <v>0</v>
      </c>
      <c r="BU639" s="188">
        <f t="shared" si="1017"/>
        <v>0</v>
      </c>
      <c r="BV639" s="188">
        <f t="shared" ref="BV639:CV639" si="1018" xml:space="preserve"> -1 * BV638</f>
        <v>0</v>
      </c>
      <c r="BW639" s="188">
        <f t="shared" si="1018"/>
        <v>0</v>
      </c>
      <c r="BX639" s="188">
        <f t="shared" si="1018"/>
        <v>0</v>
      </c>
      <c r="BY639" s="188">
        <f t="shared" si="1018"/>
        <v>0</v>
      </c>
      <c r="BZ639" s="188">
        <f t="shared" si="1018"/>
        <v>0</v>
      </c>
      <c r="CA639" s="188">
        <f t="shared" si="1018"/>
        <v>0</v>
      </c>
      <c r="CB639" s="188">
        <f t="shared" si="1018"/>
        <v>0</v>
      </c>
      <c r="CC639" s="188">
        <f t="shared" si="1018"/>
        <v>0</v>
      </c>
      <c r="CD639" s="188">
        <f t="shared" si="1018"/>
        <v>0</v>
      </c>
      <c r="CE639" s="188">
        <f t="shared" si="1018"/>
        <v>0</v>
      </c>
      <c r="CF639" s="188">
        <f t="shared" si="1018"/>
        <v>0</v>
      </c>
      <c r="CG639" s="188">
        <f t="shared" si="1018"/>
        <v>0</v>
      </c>
      <c r="CH639" s="188">
        <f t="shared" si="1018"/>
        <v>0</v>
      </c>
      <c r="CI639" s="188">
        <f t="shared" si="1018"/>
        <v>0</v>
      </c>
      <c r="CJ639" s="188">
        <f t="shared" si="1018"/>
        <v>0</v>
      </c>
      <c r="CK639" s="188">
        <f t="shared" si="1018"/>
        <v>0</v>
      </c>
      <c r="CL639" s="188">
        <f t="shared" si="1018"/>
        <v>0</v>
      </c>
      <c r="CM639" s="188">
        <f t="shared" si="1018"/>
        <v>0</v>
      </c>
      <c r="CN639" s="188">
        <f t="shared" si="1018"/>
        <v>0</v>
      </c>
      <c r="CO639" s="188">
        <f t="shared" si="1018"/>
        <v>0</v>
      </c>
      <c r="CP639" s="188">
        <f t="shared" si="1018"/>
        <v>0</v>
      </c>
      <c r="CQ639" s="188">
        <f t="shared" si="1018"/>
        <v>0</v>
      </c>
      <c r="CR639" s="188">
        <f t="shared" si="1018"/>
        <v>0</v>
      </c>
      <c r="CS639" s="188">
        <f t="shared" si="1018"/>
        <v>0</v>
      </c>
      <c r="CT639" s="188">
        <f t="shared" si="1018"/>
        <v>0</v>
      </c>
      <c r="CU639" s="188">
        <f t="shared" si="1018"/>
        <v>0</v>
      </c>
      <c r="CV639" s="188">
        <f t="shared" si="1018"/>
        <v>0</v>
      </c>
    </row>
    <row r="640" spans="1:100" ht="12.75" outlineLevel="1" x14ac:dyDescent="0.2">
      <c r="A640" s="79"/>
      <c r="B640" s="79"/>
      <c r="C640" s="561"/>
      <c r="D640" s="60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  <c r="AY640" s="32"/>
      <c r="AZ640" s="32"/>
      <c r="BA640" s="32"/>
      <c r="BB640" s="32"/>
      <c r="BC640" s="32"/>
      <c r="BD640" s="32"/>
      <c r="BE640" s="32"/>
      <c r="BF640" s="32"/>
      <c r="BG640" s="32"/>
      <c r="BH640" s="32"/>
      <c r="BI640" s="32"/>
      <c r="BJ640" s="32"/>
      <c r="BK640" s="32"/>
      <c r="BL640" s="32"/>
      <c r="BM640" s="32"/>
      <c r="BN640" s="32"/>
      <c r="BO640" s="32"/>
      <c r="BP640" s="32"/>
      <c r="BQ640" s="32"/>
      <c r="BR640" s="32"/>
      <c r="BS640" s="32"/>
      <c r="BT640" s="32"/>
      <c r="BU640" s="32"/>
      <c r="BV640" s="32"/>
      <c r="BW640" s="32"/>
      <c r="BX640" s="32"/>
      <c r="BY640" s="32"/>
      <c r="BZ640" s="32"/>
      <c r="CA640" s="32"/>
      <c r="CB640" s="32"/>
      <c r="CC640" s="32"/>
      <c r="CD640" s="32"/>
      <c r="CE640" s="32"/>
      <c r="CF640" s="32"/>
      <c r="CG640" s="32"/>
      <c r="CH640" s="32"/>
      <c r="CI640" s="32"/>
      <c r="CJ640" s="32"/>
      <c r="CK640" s="32"/>
      <c r="CL640" s="32"/>
      <c r="CM640" s="32"/>
      <c r="CN640" s="32"/>
      <c r="CO640" s="32"/>
      <c r="CP640" s="32"/>
      <c r="CQ640" s="32"/>
      <c r="CR640" s="32"/>
      <c r="CS640" s="32"/>
      <c r="CT640" s="32"/>
      <c r="CU640" s="32"/>
      <c r="CV640" s="32"/>
    </row>
    <row r="641" spans="1:100" ht="12.75" outlineLevel="1" x14ac:dyDescent="0.2">
      <c r="A641" s="79"/>
      <c r="B641" s="79" t="s">
        <v>468</v>
      </c>
      <c r="C641" s="561"/>
      <c r="D641" s="60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  <c r="AV641" s="32"/>
      <c r="AW641" s="32"/>
      <c r="AX641" s="32"/>
      <c r="AY641" s="32"/>
      <c r="AZ641" s="32"/>
      <c r="BA641" s="32"/>
      <c r="BB641" s="32"/>
      <c r="BC641" s="32"/>
      <c r="BD641" s="32"/>
      <c r="BE641" s="32"/>
      <c r="BF641" s="32"/>
      <c r="BG641" s="32"/>
      <c r="BH641" s="32"/>
      <c r="BI641" s="32"/>
      <c r="BJ641" s="32"/>
      <c r="BK641" s="32"/>
      <c r="BL641" s="32"/>
      <c r="BM641" s="32"/>
      <c r="BN641" s="32"/>
      <c r="BO641" s="32"/>
      <c r="BP641" s="32"/>
      <c r="BQ641" s="32"/>
      <c r="BR641" s="32"/>
      <c r="BS641" s="32"/>
      <c r="BT641" s="32"/>
      <c r="BU641" s="32"/>
      <c r="BV641" s="32"/>
      <c r="BW641" s="32"/>
      <c r="BX641" s="32"/>
      <c r="BY641" s="32"/>
      <c r="BZ641" s="32"/>
      <c r="CA641" s="32"/>
      <c r="CB641" s="32"/>
      <c r="CC641" s="32"/>
      <c r="CD641" s="32"/>
      <c r="CE641" s="32"/>
      <c r="CF641" s="32"/>
      <c r="CG641" s="32"/>
      <c r="CH641" s="32"/>
      <c r="CI641" s="32"/>
      <c r="CJ641" s="32"/>
      <c r="CK641" s="32"/>
      <c r="CL641" s="32"/>
      <c r="CM641" s="32"/>
      <c r="CN641" s="32"/>
      <c r="CO641" s="32"/>
      <c r="CP641" s="32"/>
      <c r="CQ641" s="32"/>
      <c r="CR641" s="32"/>
      <c r="CS641" s="32"/>
      <c r="CT641" s="32"/>
      <c r="CU641" s="32"/>
      <c r="CV641" s="32"/>
    </row>
    <row r="642" spans="1:100" ht="12.75" outlineLevel="2" x14ac:dyDescent="0.2">
      <c r="A642" s="639"/>
      <c r="B642" s="639"/>
      <c r="C642" s="640"/>
      <c r="D642" s="641"/>
      <c r="E642" s="125" t="str">
        <f xml:space="preserve"> InpC!E$363</f>
        <v>WCF commitment amount</v>
      </c>
      <c r="F642" s="125">
        <f xml:space="preserve"> InpC!F$363</f>
        <v>6500</v>
      </c>
      <c r="G642" s="125" t="str">
        <f xml:space="preserve"> InpC!G$363</f>
        <v>$ 000s</v>
      </c>
      <c r="H642" s="125"/>
      <c r="I642" s="125"/>
      <c r="J642" s="125"/>
      <c r="K642" s="125"/>
      <c r="L642" s="1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</row>
    <row r="643" spans="1:100" ht="12.75" outlineLevel="2" x14ac:dyDescent="0.2">
      <c r="A643" s="79"/>
      <c r="B643" s="79"/>
      <c r="C643" s="561"/>
      <c r="D643" s="60"/>
      <c r="E643" s="32" t="str">
        <f t="shared" ref="E643:AJ643" si="1019" xml:space="preserve"> E$664</f>
        <v>WCF balance P99 BEG</v>
      </c>
      <c r="F643" s="32">
        <f t="shared" si="1019"/>
        <v>0</v>
      </c>
      <c r="G643" s="32" t="str">
        <f t="shared" si="1019"/>
        <v>$ 000s</v>
      </c>
      <c r="H643" s="32">
        <f t="shared" si="1019"/>
        <v>0</v>
      </c>
      <c r="I643" s="32">
        <f t="shared" si="1019"/>
        <v>0</v>
      </c>
      <c r="J643" s="32">
        <f t="shared" si="1019"/>
        <v>0</v>
      </c>
      <c r="K643" s="32">
        <f t="shared" si="1019"/>
        <v>0</v>
      </c>
      <c r="L643" s="32">
        <f t="shared" si="1019"/>
        <v>0</v>
      </c>
      <c r="M643" s="32">
        <f t="shared" si="1019"/>
        <v>0</v>
      </c>
      <c r="N643" s="32">
        <f t="shared" si="1019"/>
        <v>0</v>
      </c>
      <c r="O643" s="32">
        <f t="shared" si="1019"/>
        <v>0</v>
      </c>
      <c r="P643" s="32">
        <f t="shared" si="1019"/>
        <v>0</v>
      </c>
      <c r="Q643" s="32">
        <f t="shared" si="1019"/>
        <v>0</v>
      </c>
      <c r="R643" s="32">
        <f t="shared" si="1019"/>
        <v>0</v>
      </c>
      <c r="S643" s="32">
        <f t="shared" si="1019"/>
        <v>0</v>
      </c>
      <c r="T643" s="32">
        <f t="shared" si="1019"/>
        <v>0</v>
      </c>
      <c r="U643" s="32">
        <f t="shared" si="1019"/>
        <v>0</v>
      </c>
      <c r="V643" s="32">
        <f t="shared" si="1019"/>
        <v>0</v>
      </c>
      <c r="W643" s="32">
        <f t="shared" si="1019"/>
        <v>0</v>
      </c>
      <c r="X643" s="32">
        <f t="shared" si="1019"/>
        <v>0</v>
      </c>
      <c r="Y643" s="32">
        <f t="shared" si="1019"/>
        <v>0</v>
      </c>
      <c r="Z643" s="32">
        <f t="shared" si="1019"/>
        <v>0</v>
      </c>
      <c r="AA643" s="32">
        <f t="shared" si="1019"/>
        <v>0</v>
      </c>
      <c r="AB643" s="32">
        <f t="shared" si="1019"/>
        <v>0</v>
      </c>
      <c r="AC643" s="32">
        <f t="shared" si="1019"/>
        <v>0</v>
      </c>
      <c r="AD643" s="32">
        <f t="shared" si="1019"/>
        <v>0</v>
      </c>
      <c r="AE643" s="32">
        <f t="shared" si="1019"/>
        <v>0</v>
      </c>
      <c r="AF643" s="32">
        <f t="shared" si="1019"/>
        <v>0</v>
      </c>
      <c r="AG643" s="32">
        <f t="shared" si="1019"/>
        <v>0</v>
      </c>
      <c r="AH643" s="32">
        <f t="shared" si="1019"/>
        <v>0</v>
      </c>
      <c r="AI643" s="32">
        <f t="shared" si="1019"/>
        <v>0</v>
      </c>
      <c r="AJ643" s="32">
        <f t="shared" si="1019"/>
        <v>0</v>
      </c>
      <c r="AK643" s="32">
        <f t="shared" ref="AK643:BP643" si="1020" xml:space="preserve"> AK$664</f>
        <v>0</v>
      </c>
      <c r="AL643" s="32">
        <f t="shared" si="1020"/>
        <v>0</v>
      </c>
      <c r="AM643" s="32">
        <f t="shared" si="1020"/>
        <v>0</v>
      </c>
      <c r="AN643" s="32">
        <f t="shared" si="1020"/>
        <v>0</v>
      </c>
      <c r="AO643" s="32">
        <f t="shared" si="1020"/>
        <v>0</v>
      </c>
      <c r="AP643" s="32">
        <f t="shared" si="1020"/>
        <v>0</v>
      </c>
      <c r="AQ643" s="32">
        <f t="shared" si="1020"/>
        <v>0</v>
      </c>
      <c r="AR643" s="32">
        <f t="shared" si="1020"/>
        <v>0</v>
      </c>
      <c r="AS643" s="32">
        <f t="shared" si="1020"/>
        <v>0</v>
      </c>
      <c r="AT643" s="32">
        <f t="shared" si="1020"/>
        <v>0</v>
      </c>
      <c r="AU643" s="32">
        <f t="shared" si="1020"/>
        <v>0</v>
      </c>
      <c r="AV643" s="32">
        <f t="shared" si="1020"/>
        <v>0</v>
      </c>
      <c r="AW643" s="32">
        <f t="shared" si="1020"/>
        <v>0</v>
      </c>
      <c r="AX643" s="32">
        <f t="shared" si="1020"/>
        <v>0</v>
      </c>
      <c r="AY643" s="32">
        <f t="shared" si="1020"/>
        <v>0</v>
      </c>
      <c r="AZ643" s="32">
        <f t="shared" si="1020"/>
        <v>0</v>
      </c>
      <c r="BA643" s="32">
        <f t="shared" si="1020"/>
        <v>0</v>
      </c>
      <c r="BB643" s="32">
        <f t="shared" si="1020"/>
        <v>0</v>
      </c>
      <c r="BC643" s="32">
        <f t="shared" si="1020"/>
        <v>0</v>
      </c>
      <c r="BD643" s="32">
        <f t="shared" si="1020"/>
        <v>0</v>
      </c>
      <c r="BE643" s="32">
        <f t="shared" si="1020"/>
        <v>0</v>
      </c>
      <c r="BF643" s="32">
        <f t="shared" si="1020"/>
        <v>0</v>
      </c>
      <c r="BG643" s="32">
        <f t="shared" si="1020"/>
        <v>0</v>
      </c>
      <c r="BH643" s="32">
        <f t="shared" si="1020"/>
        <v>0</v>
      </c>
      <c r="BI643" s="32">
        <f t="shared" si="1020"/>
        <v>0</v>
      </c>
      <c r="BJ643" s="32">
        <f t="shared" si="1020"/>
        <v>0</v>
      </c>
      <c r="BK643" s="32">
        <f t="shared" si="1020"/>
        <v>0</v>
      </c>
      <c r="BL643" s="32">
        <f t="shared" si="1020"/>
        <v>0</v>
      </c>
      <c r="BM643" s="32">
        <f t="shared" si="1020"/>
        <v>0</v>
      </c>
      <c r="BN643" s="32">
        <f t="shared" si="1020"/>
        <v>0</v>
      </c>
      <c r="BO643" s="32">
        <f t="shared" si="1020"/>
        <v>0</v>
      </c>
      <c r="BP643" s="32">
        <f t="shared" si="1020"/>
        <v>0</v>
      </c>
      <c r="BQ643" s="32">
        <f t="shared" ref="BQ643:CV643" si="1021" xml:space="preserve"> BQ$664</f>
        <v>0</v>
      </c>
      <c r="BR643" s="32">
        <f t="shared" si="1021"/>
        <v>0</v>
      </c>
      <c r="BS643" s="32">
        <f t="shared" si="1021"/>
        <v>0</v>
      </c>
      <c r="BT643" s="32">
        <f t="shared" si="1021"/>
        <v>0</v>
      </c>
      <c r="BU643" s="32">
        <f t="shared" si="1021"/>
        <v>0</v>
      </c>
      <c r="BV643" s="32">
        <f t="shared" si="1021"/>
        <v>0</v>
      </c>
      <c r="BW643" s="32">
        <f t="shared" si="1021"/>
        <v>0</v>
      </c>
      <c r="BX643" s="32">
        <f t="shared" si="1021"/>
        <v>0</v>
      </c>
      <c r="BY643" s="32">
        <f t="shared" si="1021"/>
        <v>0</v>
      </c>
      <c r="BZ643" s="32">
        <f t="shared" si="1021"/>
        <v>0</v>
      </c>
      <c r="CA643" s="32">
        <f t="shared" si="1021"/>
        <v>0</v>
      </c>
      <c r="CB643" s="32">
        <f t="shared" si="1021"/>
        <v>0</v>
      </c>
      <c r="CC643" s="32">
        <f t="shared" si="1021"/>
        <v>0</v>
      </c>
      <c r="CD643" s="32">
        <f t="shared" si="1021"/>
        <v>0</v>
      </c>
      <c r="CE643" s="32">
        <f t="shared" si="1021"/>
        <v>0</v>
      </c>
      <c r="CF643" s="32">
        <f t="shared" si="1021"/>
        <v>0</v>
      </c>
      <c r="CG643" s="32">
        <f t="shared" si="1021"/>
        <v>0</v>
      </c>
      <c r="CH643" s="32">
        <f t="shared" si="1021"/>
        <v>0</v>
      </c>
      <c r="CI643" s="32">
        <f t="shared" si="1021"/>
        <v>0</v>
      </c>
      <c r="CJ643" s="32">
        <f t="shared" si="1021"/>
        <v>0</v>
      </c>
      <c r="CK643" s="32">
        <f t="shared" si="1021"/>
        <v>0</v>
      </c>
      <c r="CL643" s="32">
        <f t="shared" si="1021"/>
        <v>0</v>
      </c>
      <c r="CM643" s="32">
        <f t="shared" si="1021"/>
        <v>0</v>
      </c>
      <c r="CN643" s="32">
        <f t="shared" si="1021"/>
        <v>0</v>
      </c>
      <c r="CO643" s="32">
        <f t="shared" si="1021"/>
        <v>0</v>
      </c>
      <c r="CP643" s="32">
        <f t="shared" si="1021"/>
        <v>0</v>
      </c>
      <c r="CQ643" s="32">
        <f t="shared" si="1021"/>
        <v>0</v>
      </c>
      <c r="CR643" s="32">
        <f t="shared" si="1021"/>
        <v>0</v>
      </c>
      <c r="CS643" s="32">
        <f t="shared" si="1021"/>
        <v>0</v>
      </c>
      <c r="CT643" s="32">
        <f t="shared" si="1021"/>
        <v>0</v>
      </c>
      <c r="CU643" s="32">
        <f t="shared" si="1021"/>
        <v>0</v>
      </c>
      <c r="CV643" s="32">
        <f t="shared" si="1021"/>
        <v>0</v>
      </c>
    </row>
    <row r="644" spans="1:100" ht="12.75" outlineLevel="2" x14ac:dyDescent="0.2">
      <c r="A644" s="79"/>
      <c r="B644" s="79"/>
      <c r="C644" s="561"/>
      <c r="D644" s="60"/>
      <c r="E644" s="125" t="str">
        <f xml:space="preserve"> Time!E$106</f>
        <v>Operating period flag</v>
      </c>
      <c r="F644" s="125">
        <f xml:space="preserve"> Time!F$106</f>
        <v>0</v>
      </c>
      <c r="G644" s="125" t="str">
        <f xml:space="preserve"> Time!G$106</f>
        <v>flag</v>
      </c>
      <c r="H644" s="125">
        <f xml:space="preserve"> Time!H$106</f>
        <v>40</v>
      </c>
      <c r="I644" s="125">
        <f xml:space="preserve"> Time!I$106</f>
        <v>0</v>
      </c>
      <c r="J644" s="125">
        <f xml:space="preserve"> Time!J$106</f>
        <v>0</v>
      </c>
      <c r="K644" s="125">
        <f xml:space="preserve"> Time!K$106</f>
        <v>0</v>
      </c>
      <c r="L644" s="125">
        <f xml:space="preserve"> Time!L$106</f>
        <v>0</v>
      </c>
      <c r="M644" s="125">
        <f xml:space="preserve"> Time!M$106</f>
        <v>0</v>
      </c>
      <c r="N644" s="125">
        <f xml:space="preserve"> Time!N$106</f>
        <v>0</v>
      </c>
      <c r="O644" s="125">
        <f xml:space="preserve"> Time!O$106</f>
        <v>1</v>
      </c>
      <c r="P644" s="125">
        <f xml:space="preserve"> Time!P$106</f>
        <v>1</v>
      </c>
      <c r="Q644" s="125">
        <f xml:space="preserve"> Time!Q$106</f>
        <v>1</v>
      </c>
      <c r="R644" s="125">
        <f xml:space="preserve"> Time!R$106</f>
        <v>1</v>
      </c>
      <c r="S644" s="125">
        <f xml:space="preserve"> Time!S$106</f>
        <v>1</v>
      </c>
      <c r="T644" s="125">
        <f xml:space="preserve"> Time!T$106</f>
        <v>1</v>
      </c>
      <c r="U644" s="125">
        <f xml:space="preserve"> Time!U$106</f>
        <v>1</v>
      </c>
      <c r="V644" s="125">
        <f xml:space="preserve"> Time!V$106</f>
        <v>1</v>
      </c>
      <c r="W644" s="125">
        <f xml:space="preserve"> Time!W$106</f>
        <v>1</v>
      </c>
      <c r="X644" s="125">
        <f xml:space="preserve"> Time!X$106</f>
        <v>1</v>
      </c>
      <c r="Y644" s="125">
        <f xml:space="preserve"> Time!Y$106</f>
        <v>1</v>
      </c>
      <c r="Z644" s="125">
        <f xml:space="preserve"> Time!Z$106</f>
        <v>1</v>
      </c>
      <c r="AA644" s="125">
        <f xml:space="preserve"> Time!AA$106</f>
        <v>1</v>
      </c>
      <c r="AB644" s="125">
        <f xml:space="preserve"> Time!AB$106</f>
        <v>1</v>
      </c>
      <c r="AC644" s="125">
        <f xml:space="preserve"> Time!AC$106</f>
        <v>1</v>
      </c>
      <c r="AD644" s="125">
        <f xml:space="preserve"> Time!AD$106</f>
        <v>1</v>
      </c>
      <c r="AE644" s="125">
        <f xml:space="preserve"> Time!AE$106</f>
        <v>1</v>
      </c>
      <c r="AF644" s="125">
        <f xml:space="preserve"> Time!AF$106</f>
        <v>1</v>
      </c>
      <c r="AG644" s="125">
        <f xml:space="preserve"> Time!AG$106</f>
        <v>1</v>
      </c>
      <c r="AH644" s="125">
        <f xml:space="preserve"> Time!AH$106</f>
        <v>1</v>
      </c>
      <c r="AI644" s="125">
        <f xml:space="preserve"> Time!AI$106</f>
        <v>1</v>
      </c>
      <c r="AJ644" s="125">
        <f xml:space="preserve"> Time!AJ$106</f>
        <v>1</v>
      </c>
      <c r="AK644" s="125">
        <f xml:space="preserve"> Time!AK$106</f>
        <v>1</v>
      </c>
      <c r="AL644" s="125">
        <f xml:space="preserve"> Time!AL$106</f>
        <v>1</v>
      </c>
      <c r="AM644" s="125">
        <f xml:space="preserve"> Time!AM$106</f>
        <v>1</v>
      </c>
      <c r="AN644" s="125">
        <f xml:space="preserve"> Time!AN$106</f>
        <v>1</v>
      </c>
      <c r="AO644" s="125">
        <f xml:space="preserve"> Time!AO$106</f>
        <v>1</v>
      </c>
      <c r="AP644" s="125">
        <f xml:space="preserve"> Time!AP$106</f>
        <v>1</v>
      </c>
      <c r="AQ644" s="125">
        <f xml:space="preserve"> Time!AQ$106</f>
        <v>1</v>
      </c>
      <c r="AR644" s="125">
        <f xml:space="preserve"> Time!AR$106</f>
        <v>1</v>
      </c>
      <c r="AS644" s="125">
        <f xml:space="preserve"> Time!AS$106</f>
        <v>1</v>
      </c>
      <c r="AT644" s="125">
        <f xml:space="preserve"> Time!AT$106</f>
        <v>1</v>
      </c>
      <c r="AU644" s="125">
        <f xml:space="preserve"> Time!AU$106</f>
        <v>1</v>
      </c>
      <c r="AV644" s="125">
        <f xml:space="preserve"> Time!AV$106</f>
        <v>1</v>
      </c>
      <c r="AW644" s="125">
        <f xml:space="preserve"> Time!AW$106</f>
        <v>1</v>
      </c>
      <c r="AX644" s="125">
        <f xml:space="preserve"> Time!AX$106</f>
        <v>1</v>
      </c>
      <c r="AY644" s="125">
        <f xml:space="preserve"> Time!AY$106</f>
        <v>1</v>
      </c>
      <c r="AZ644" s="125">
        <f xml:space="preserve"> Time!AZ$106</f>
        <v>1</v>
      </c>
      <c r="BA644" s="125">
        <f xml:space="preserve"> Time!BA$106</f>
        <v>1</v>
      </c>
      <c r="BB644" s="125">
        <f xml:space="preserve"> Time!BB$106</f>
        <v>1</v>
      </c>
      <c r="BC644" s="125">
        <f xml:space="preserve"> Time!BC$106</f>
        <v>0</v>
      </c>
      <c r="BD644" s="125">
        <f xml:space="preserve"> Time!BD$106</f>
        <v>0</v>
      </c>
      <c r="BE644" s="125">
        <f xml:space="preserve"> Time!BE$106</f>
        <v>0</v>
      </c>
      <c r="BF644" s="125">
        <f xml:space="preserve"> Time!BF$106</f>
        <v>0</v>
      </c>
      <c r="BG644" s="125">
        <f xml:space="preserve"> Time!BG$106</f>
        <v>0</v>
      </c>
      <c r="BH644" s="125">
        <f xml:space="preserve"> Time!BH$106</f>
        <v>0</v>
      </c>
      <c r="BI644" s="125">
        <f xml:space="preserve"> Time!BI$106</f>
        <v>0</v>
      </c>
      <c r="BJ644" s="125">
        <f xml:space="preserve"> Time!BJ$106</f>
        <v>0</v>
      </c>
      <c r="BK644" s="125">
        <f xml:space="preserve"> Time!BK$106</f>
        <v>0</v>
      </c>
      <c r="BL644" s="125">
        <f xml:space="preserve"> Time!BL$106</f>
        <v>0</v>
      </c>
      <c r="BM644" s="125">
        <f xml:space="preserve"> Time!BM$106</f>
        <v>0</v>
      </c>
      <c r="BN644" s="125">
        <f xml:space="preserve"> Time!BN$106</f>
        <v>0</v>
      </c>
      <c r="BO644" s="125">
        <f xml:space="preserve"> Time!BO$106</f>
        <v>0</v>
      </c>
      <c r="BP644" s="125">
        <f xml:space="preserve"> Time!BP$106</f>
        <v>0</v>
      </c>
      <c r="BQ644" s="125">
        <f xml:space="preserve"> Time!BQ$106</f>
        <v>0</v>
      </c>
      <c r="BR644" s="125">
        <f xml:space="preserve"> Time!BR$106</f>
        <v>0</v>
      </c>
      <c r="BS644" s="125">
        <f xml:space="preserve"> Time!BS$106</f>
        <v>0</v>
      </c>
      <c r="BT644" s="125">
        <f xml:space="preserve"> Time!BT$106</f>
        <v>0</v>
      </c>
      <c r="BU644" s="125">
        <f xml:space="preserve"> Time!BU$106</f>
        <v>0</v>
      </c>
      <c r="BV644" s="125">
        <f xml:space="preserve"> Time!BV$106</f>
        <v>0</v>
      </c>
      <c r="BW644" s="125">
        <f xml:space="preserve"> Time!BW$106</f>
        <v>0</v>
      </c>
      <c r="BX644" s="125">
        <f xml:space="preserve"> Time!BX$106</f>
        <v>0</v>
      </c>
      <c r="BY644" s="125">
        <f xml:space="preserve"> Time!BY$106</f>
        <v>0</v>
      </c>
      <c r="BZ644" s="125">
        <f xml:space="preserve"> Time!BZ$106</f>
        <v>0</v>
      </c>
      <c r="CA644" s="125">
        <f xml:space="preserve"> Time!CA$106</f>
        <v>0</v>
      </c>
      <c r="CB644" s="125">
        <f xml:space="preserve"> Time!CB$106</f>
        <v>0</v>
      </c>
      <c r="CC644" s="125">
        <f xml:space="preserve"> Time!CC$106</f>
        <v>0</v>
      </c>
      <c r="CD644" s="125">
        <f xml:space="preserve"> Time!CD$106</f>
        <v>0</v>
      </c>
      <c r="CE644" s="125">
        <f xml:space="preserve"> Time!CE$106</f>
        <v>0</v>
      </c>
      <c r="CF644" s="125">
        <f xml:space="preserve"> Time!CF$106</f>
        <v>0</v>
      </c>
      <c r="CG644" s="125">
        <f xml:space="preserve"> Time!CG$106</f>
        <v>0</v>
      </c>
      <c r="CH644" s="125">
        <f xml:space="preserve"> Time!CH$106</f>
        <v>0</v>
      </c>
      <c r="CI644" s="125">
        <f xml:space="preserve"> Time!CI$106</f>
        <v>0</v>
      </c>
      <c r="CJ644" s="125">
        <f xml:space="preserve"> Time!CJ$106</f>
        <v>0</v>
      </c>
      <c r="CK644" s="125">
        <f xml:space="preserve"> Time!CK$106</f>
        <v>0</v>
      </c>
      <c r="CL644" s="125">
        <f xml:space="preserve"> Time!CL$106</f>
        <v>0</v>
      </c>
      <c r="CM644" s="125">
        <f xml:space="preserve"> Time!CM$106</f>
        <v>0</v>
      </c>
      <c r="CN644" s="125">
        <f xml:space="preserve"> Time!CN$106</f>
        <v>0</v>
      </c>
      <c r="CO644" s="125">
        <f xml:space="preserve"> Time!CO$106</f>
        <v>0</v>
      </c>
      <c r="CP644" s="125">
        <f xml:space="preserve"> Time!CP$106</f>
        <v>0</v>
      </c>
      <c r="CQ644" s="125">
        <f xml:space="preserve"> Time!CQ$106</f>
        <v>0</v>
      </c>
      <c r="CR644" s="125">
        <f xml:space="preserve"> Time!CR$106</f>
        <v>0</v>
      </c>
      <c r="CS644" s="125">
        <f xml:space="preserve"> Time!CS$106</f>
        <v>0</v>
      </c>
      <c r="CT644" s="125">
        <f xml:space="preserve"> Time!CT$106</f>
        <v>0</v>
      </c>
      <c r="CU644" s="125">
        <f xml:space="preserve"> Time!CU$106</f>
        <v>0</v>
      </c>
      <c r="CV644" s="125">
        <f xml:space="preserve"> Time!CV$106</f>
        <v>0</v>
      </c>
    </row>
    <row r="645" spans="1:100" ht="12.75" outlineLevel="2" x14ac:dyDescent="0.2">
      <c r="A645" s="79"/>
      <c r="B645" s="79"/>
      <c r="C645" s="561"/>
      <c r="D645" s="60"/>
      <c r="E645" s="32" t="s">
        <v>1201</v>
      </c>
      <c r="F645" s="32"/>
      <c r="G645" s="32" t="str">
        <f xml:space="preserve"> SMU</f>
        <v>$ 000s</v>
      </c>
      <c r="H645" s="32"/>
      <c r="I645" s="32"/>
      <c r="J645" s="32">
        <f t="shared" ref="J645:AO645" si="1022" xml:space="preserve"> ($F642 - J643) * J644</f>
        <v>0</v>
      </c>
      <c r="K645" s="32">
        <f t="shared" si="1022"/>
        <v>0</v>
      </c>
      <c r="L645" s="32">
        <f t="shared" si="1022"/>
        <v>0</v>
      </c>
      <c r="M645" s="32">
        <f t="shared" si="1022"/>
        <v>0</v>
      </c>
      <c r="N645" s="32">
        <f t="shared" si="1022"/>
        <v>0</v>
      </c>
      <c r="O645" s="32">
        <f t="shared" si="1022"/>
        <v>6500</v>
      </c>
      <c r="P645" s="32">
        <f t="shared" si="1022"/>
        <v>6500</v>
      </c>
      <c r="Q645" s="32">
        <f t="shared" si="1022"/>
        <v>6500</v>
      </c>
      <c r="R645" s="32">
        <f t="shared" si="1022"/>
        <v>6500</v>
      </c>
      <c r="S645" s="32">
        <f t="shared" si="1022"/>
        <v>6500</v>
      </c>
      <c r="T645" s="32">
        <f t="shared" si="1022"/>
        <v>6500</v>
      </c>
      <c r="U645" s="32">
        <f t="shared" si="1022"/>
        <v>6500</v>
      </c>
      <c r="V645" s="32">
        <f t="shared" si="1022"/>
        <v>6500</v>
      </c>
      <c r="W645" s="32">
        <f t="shared" si="1022"/>
        <v>6500</v>
      </c>
      <c r="X645" s="32">
        <f t="shared" si="1022"/>
        <v>6500</v>
      </c>
      <c r="Y645" s="32">
        <f t="shared" si="1022"/>
        <v>6500</v>
      </c>
      <c r="Z645" s="32">
        <f t="shared" si="1022"/>
        <v>6500</v>
      </c>
      <c r="AA645" s="32">
        <f t="shared" si="1022"/>
        <v>6500</v>
      </c>
      <c r="AB645" s="32">
        <f t="shared" si="1022"/>
        <v>6500</v>
      </c>
      <c r="AC645" s="32">
        <f t="shared" si="1022"/>
        <v>6500</v>
      </c>
      <c r="AD645" s="32">
        <f t="shared" si="1022"/>
        <v>6500</v>
      </c>
      <c r="AE645" s="32">
        <f t="shared" si="1022"/>
        <v>6500</v>
      </c>
      <c r="AF645" s="32">
        <f t="shared" si="1022"/>
        <v>6500</v>
      </c>
      <c r="AG645" s="32">
        <f t="shared" si="1022"/>
        <v>6500</v>
      </c>
      <c r="AH645" s="32">
        <f t="shared" si="1022"/>
        <v>6500</v>
      </c>
      <c r="AI645" s="32">
        <f t="shared" si="1022"/>
        <v>6500</v>
      </c>
      <c r="AJ645" s="32">
        <f t="shared" si="1022"/>
        <v>6500</v>
      </c>
      <c r="AK645" s="32">
        <f t="shared" si="1022"/>
        <v>6500</v>
      </c>
      <c r="AL645" s="32">
        <f t="shared" si="1022"/>
        <v>6500</v>
      </c>
      <c r="AM645" s="32">
        <f t="shared" si="1022"/>
        <v>6500</v>
      </c>
      <c r="AN645" s="32">
        <f t="shared" si="1022"/>
        <v>6500</v>
      </c>
      <c r="AO645" s="32">
        <f t="shared" si="1022"/>
        <v>6500</v>
      </c>
      <c r="AP645" s="32">
        <f t="shared" ref="AP645:BU645" si="1023" xml:space="preserve"> ($F642 - AP643) * AP644</f>
        <v>6500</v>
      </c>
      <c r="AQ645" s="32">
        <f t="shared" si="1023"/>
        <v>6500</v>
      </c>
      <c r="AR645" s="32">
        <f t="shared" si="1023"/>
        <v>6500</v>
      </c>
      <c r="AS645" s="32">
        <f t="shared" si="1023"/>
        <v>6500</v>
      </c>
      <c r="AT645" s="32">
        <f t="shared" si="1023"/>
        <v>6500</v>
      </c>
      <c r="AU645" s="32">
        <f t="shared" si="1023"/>
        <v>6500</v>
      </c>
      <c r="AV645" s="32">
        <f t="shared" si="1023"/>
        <v>6500</v>
      </c>
      <c r="AW645" s="32">
        <f t="shared" si="1023"/>
        <v>6500</v>
      </c>
      <c r="AX645" s="32">
        <f t="shared" si="1023"/>
        <v>6500</v>
      </c>
      <c r="AY645" s="32">
        <f t="shared" si="1023"/>
        <v>6500</v>
      </c>
      <c r="AZ645" s="32">
        <f t="shared" si="1023"/>
        <v>6500</v>
      </c>
      <c r="BA645" s="32">
        <f t="shared" si="1023"/>
        <v>6500</v>
      </c>
      <c r="BB645" s="32">
        <f t="shared" si="1023"/>
        <v>6500</v>
      </c>
      <c r="BC645" s="32">
        <f t="shared" si="1023"/>
        <v>0</v>
      </c>
      <c r="BD645" s="32">
        <f t="shared" si="1023"/>
        <v>0</v>
      </c>
      <c r="BE645" s="32">
        <f t="shared" si="1023"/>
        <v>0</v>
      </c>
      <c r="BF645" s="32">
        <f t="shared" si="1023"/>
        <v>0</v>
      </c>
      <c r="BG645" s="32">
        <f t="shared" si="1023"/>
        <v>0</v>
      </c>
      <c r="BH645" s="32">
        <f t="shared" si="1023"/>
        <v>0</v>
      </c>
      <c r="BI645" s="32">
        <f t="shared" si="1023"/>
        <v>0</v>
      </c>
      <c r="BJ645" s="32">
        <f t="shared" si="1023"/>
        <v>0</v>
      </c>
      <c r="BK645" s="32">
        <f t="shared" si="1023"/>
        <v>0</v>
      </c>
      <c r="BL645" s="32">
        <f t="shared" si="1023"/>
        <v>0</v>
      </c>
      <c r="BM645" s="32">
        <f t="shared" si="1023"/>
        <v>0</v>
      </c>
      <c r="BN645" s="32">
        <f t="shared" si="1023"/>
        <v>0</v>
      </c>
      <c r="BO645" s="32">
        <f t="shared" si="1023"/>
        <v>0</v>
      </c>
      <c r="BP645" s="32">
        <f t="shared" si="1023"/>
        <v>0</v>
      </c>
      <c r="BQ645" s="32">
        <f t="shared" si="1023"/>
        <v>0</v>
      </c>
      <c r="BR645" s="32">
        <f t="shared" si="1023"/>
        <v>0</v>
      </c>
      <c r="BS645" s="32">
        <f t="shared" si="1023"/>
        <v>0</v>
      </c>
      <c r="BT645" s="32">
        <f t="shared" si="1023"/>
        <v>0</v>
      </c>
      <c r="BU645" s="32">
        <f t="shared" si="1023"/>
        <v>0</v>
      </c>
      <c r="BV645" s="32">
        <f t="shared" ref="BV645:CV645" si="1024" xml:space="preserve"> ($F642 - BV643) * BV644</f>
        <v>0</v>
      </c>
      <c r="BW645" s="32">
        <f t="shared" si="1024"/>
        <v>0</v>
      </c>
      <c r="BX645" s="32">
        <f t="shared" si="1024"/>
        <v>0</v>
      </c>
      <c r="BY645" s="32">
        <f t="shared" si="1024"/>
        <v>0</v>
      </c>
      <c r="BZ645" s="32">
        <f t="shared" si="1024"/>
        <v>0</v>
      </c>
      <c r="CA645" s="32">
        <f t="shared" si="1024"/>
        <v>0</v>
      </c>
      <c r="CB645" s="32">
        <f t="shared" si="1024"/>
        <v>0</v>
      </c>
      <c r="CC645" s="32">
        <f t="shared" si="1024"/>
        <v>0</v>
      </c>
      <c r="CD645" s="32">
        <f t="shared" si="1024"/>
        <v>0</v>
      </c>
      <c r="CE645" s="32">
        <f t="shared" si="1024"/>
        <v>0</v>
      </c>
      <c r="CF645" s="32">
        <f t="shared" si="1024"/>
        <v>0</v>
      </c>
      <c r="CG645" s="32">
        <f t="shared" si="1024"/>
        <v>0</v>
      </c>
      <c r="CH645" s="32">
        <f t="shared" si="1024"/>
        <v>0</v>
      </c>
      <c r="CI645" s="32">
        <f t="shared" si="1024"/>
        <v>0</v>
      </c>
      <c r="CJ645" s="32">
        <f t="shared" si="1024"/>
        <v>0</v>
      </c>
      <c r="CK645" s="32">
        <f t="shared" si="1024"/>
        <v>0</v>
      </c>
      <c r="CL645" s="32">
        <f t="shared" si="1024"/>
        <v>0</v>
      </c>
      <c r="CM645" s="32">
        <f t="shared" si="1024"/>
        <v>0</v>
      </c>
      <c r="CN645" s="32">
        <f t="shared" si="1024"/>
        <v>0</v>
      </c>
      <c r="CO645" s="32">
        <f t="shared" si="1024"/>
        <v>0</v>
      </c>
      <c r="CP645" s="32">
        <f t="shared" si="1024"/>
        <v>0</v>
      </c>
      <c r="CQ645" s="32">
        <f t="shared" si="1024"/>
        <v>0</v>
      </c>
      <c r="CR645" s="32">
        <f t="shared" si="1024"/>
        <v>0</v>
      </c>
      <c r="CS645" s="32">
        <f t="shared" si="1024"/>
        <v>0</v>
      </c>
      <c r="CT645" s="32">
        <f t="shared" si="1024"/>
        <v>0</v>
      </c>
      <c r="CU645" s="32">
        <f t="shared" si="1024"/>
        <v>0</v>
      </c>
      <c r="CV645" s="32">
        <f t="shared" si="1024"/>
        <v>0</v>
      </c>
    </row>
    <row r="646" spans="1:100" ht="12.75" outlineLevel="2" x14ac:dyDescent="0.2">
      <c r="A646" s="79"/>
      <c r="B646" s="79"/>
      <c r="C646" s="561"/>
      <c r="D646" s="60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  <c r="AY646" s="32"/>
      <c r="AZ646" s="32"/>
      <c r="BA646" s="32"/>
      <c r="BB646" s="32"/>
      <c r="BC646" s="32"/>
      <c r="BD646" s="32"/>
      <c r="BE646" s="32"/>
      <c r="BF646" s="32"/>
      <c r="BG646" s="32"/>
      <c r="BH646" s="32"/>
      <c r="BI646" s="32"/>
      <c r="BJ646" s="32"/>
      <c r="BK646" s="32"/>
      <c r="BL646" s="32"/>
      <c r="BM646" s="32"/>
      <c r="BN646" s="32"/>
      <c r="BO646" s="32"/>
      <c r="BP646" s="32"/>
      <c r="BQ646" s="32"/>
      <c r="BR646" s="32"/>
      <c r="BS646" s="32"/>
      <c r="BT646" s="32"/>
      <c r="BU646" s="32"/>
      <c r="BV646" s="32"/>
      <c r="BW646" s="32"/>
      <c r="BX646" s="32"/>
      <c r="BY646" s="32"/>
      <c r="BZ646" s="32"/>
      <c r="CA646" s="32"/>
      <c r="CB646" s="32"/>
      <c r="CC646" s="32"/>
      <c r="CD646" s="32"/>
      <c r="CE646" s="32"/>
      <c r="CF646" s="32"/>
      <c r="CG646" s="32"/>
      <c r="CH646" s="32"/>
      <c r="CI646" s="32"/>
      <c r="CJ646" s="32"/>
      <c r="CK646" s="32"/>
      <c r="CL646" s="32"/>
      <c r="CM646" s="32"/>
      <c r="CN646" s="32"/>
      <c r="CO646" s="32"/>
      <c r="CP646" s="32"/>
      <c r="CQ646" s="32"/>
      <c r="CR646" s="32"/>
      <c r="CS646" s="32"/>
      <c r="CT646" s="32"/>
      <c r="CU646" s="32"/>
      <c r="CV646" s="32"/>
    </row>
    <row r="647" spans="1:100" s="495" customFormat="1" ht="12.75" outlineLevel="2" x14ac:dyDescent="0.2">
      <c r="A647" s="236"/>
      <c r="B647" s="236"/>
      <c r="C647" s="237"/>
      <c r="D647" s="238"/>
      <c r="E647" s="68" t="str">
        <f xml:space="preserve"> InpC!E$360</f>
        <v>WCF active switch</v>
      </c>
      <c r="F647" s="68">
        <f xml:space="preserve"> InpC!F$360</f>
        <v>0</v>
      </c>
      <c r="G647" s="68" t="str">
        <f xml:space="preserve"> InpC!G$360</f>
        <v>1 = yes, 0 = no</v>
      </c>
      <c r="H647" s="235"/>
      <c r="I647" s="235"/>
      <c r="J647" s="235"/>
      <c r="K647" s="235"/>
      <c r="L647" s="235"/>
      <c r="M647" s="235"/>
      <c r="N647" s="235"/>
      <c r="O647" s="235"/>
      <c r="P647" s="235"/>
      <c r="Q647" s="235"/>
      <c r="R647" s="235"/>
      <c r="S647" s="235"/>
      <c r="T647" s="235"/>
      <c r="U647" s="235"/>
      <c r="V647" s="235"/>
      <c r="W647" s="235"/>
      <c r="X647" s="235"/>
      <c r="Y647" s="235"/>
      <c r="Z647" s="235"/>
      <c r="AA647" s="235"/>
      <c r="AB647" s="235"/>
      <c r="AC647" s="235"/>
      <c r="AD647" s="235"/>
      <c r="AE647" s="235"/>
      <c r="AF647" s="235"/>
      <c r="AG647" s="235"/>
      <c r="AH647" s="235"/>
      <c r="AI647" s="235"/>
      <c r="AJ647" s="235"/>
      <c r="AK647" s="235"/>
      <c r="AL647" s="235"/>
      <c r="AM647" s="235"/>
      <c r="AN647" s="235"/>
      <c r="AO647" s="235"/>
      <c r="AP647" s="235"/>
      <c r="AQ647" s="235"/>
      <c r="AR647" s="235"/>
      <c r="AS647" s="235"/>
      <c r="AT647" s="235"/>
      <c r="AU647" s="235"/>
      <c r="AV647" s="235"/>
      <c r="AW647" s="235"/>
      <c r="AX647" s="235"/>
      <c r="AY647" s="235"/>
      <c r="AZ647" s="235"/>
      <c r="BA647" s="235"/>
      <c r="BB647" s="235"/>
      <c r="BC647" s="235"/>
      <c r="BD647" s="235"/>
      <c r="BE647" s="235"/>
      <c r="BF647" s="235"/>
      <c r="BG647" s="235"/>
      <c r="BH647" s="235"/>
      <c r="BI647" s="235"/>
      <c r="BJ647" s="235"/>
      <c r="BK647" s="235"/>
      <c r="BL647" s="235"/>
      <c r="BM647" s="235"/>
      <c r="BN647" s="235"/>
      <c r="BO647" s="235"/>
      <c r="BP647" s="235"/>
      <c r="BQ647" s="235"/>
      <c r="BR647" s="235"/>
      <c r="BS647" s="235"/>
      <c r="BT647" s="235"/>
      <c r="BU647" s="235"/>
      <c r="BV647" s="235"/>
      <c r="BW647" s="235"/>
      <c r="BX647" s="235"/>
      <c r="BY647" s="235"/>
      <c r="BZ647" s="235"/>
      <c r="CA647" s="235"/>
      <c r="CB647" s="235"/>
      <c r="CC647" s="235"/>
      <c r="CD647" s="235"/>
      <c r="CE647" s="235"/>
      <c r="CF647" s="235"/>
      <c r="CG647" s="235"/>
      <c r="CH647" s="235"/>
      <c r="CI647" s="235"/>
      <c r="CJ647" s="235"/>
      <c r="CK647" s="235"/>
      <c r="CL647" s="235"/>
      <c r="CM647" s="235"/>
      <c r="CN647" s="235"/>
      <c r="CO647" s="235"/>
      <c r="CP647" s="235"/>
      <c r="CQ647" s="235"/>
      <c r="CR647" s="235"/>
      <c r="CS647" s="235"/>
      <c r="CT647" s="235"/>
      <c r="CU647" s="235"/>
      <c r="CV647" s="235"/>
    </row>
    <row r="648" spans="1:100" ht="12.75" outlineLevel="2" x14ac:dyDescent="0.2">
      <c r="A648" s="639"/>
      <c r="B648" s="639"/>
      <c r="C648" s="640"/>
      <c r="D648" s="641"/>
      <c r="E648" s="125" t="str">
        <f xml:space="preserve"> InpC!E$365</f>
        <v>WFC day count convention</v>
      </c>
      <c r="F648" s="125">
        <f xml:space="preserve"> InpC!F$365</f>
        <v>360</v>
      </c>
      <c r="G648" s="125" t="str">
        <f xml:space="preserve"> InpC!G$365</f>
        <v>days</v>
      </c>
      <c r="H648" s="125"/>
      <c r="I648" s="125"/>
      <c r="J648" s="125"/>
      <c r="K648" s="125"/>
      <c r="L648" s="125"/>
      <c r="M648" s="125"/>
      <c r="N648" s="125"/>
      <c r="O648" s="125"/>
      <c r="P648" s="125"/>
      <c r="Q648" s="125"/>
      <c r="R648" s="125"/>
      <c r="S648" s="125"/>
      <c r="T648" s="125"/>
      <c r="U648" s="125"/>
      <c r="V648" s="125"/>
      <c r="W648" s="125"/>
      <c r="X648" s="125"/>
      <c r="Y648" s="125"/>
      <c r="Z648" s="125"/>
      <c r="AA648" s="125"/>
      <c r="AB648" s="125"/>
      <c r="AC648" s="125"/>
      <c r="AD648" s="125"/>
      <c r="AE648" s="125"/>
      <c r="AF648" s="125"/>
      <c r="AG648" s="125"/>
      <c r="AH648" s="125"/>
      <c r="AI648" s="125"/>
      <c r="AJ648" s="125"/>
      <c r="AK648" s="125"/>
      <c r="AL648" s="125"/>
      <c r="AM648" s="125"/>
      <c r="AN648" s="125"/>
      <c r="AO648" s="125"/>
      <c r="AP648" s="125"/>
      <c r="AQ648" s="125"/>
      <c r="AR648" s="125"/>
      <c r="AS648" s="125"/>
      <c r="AT648" s="125"/>
      <c r="AU648" s="125"/>
      <c r="AV648" s="125"/>
      <c r="AW648" s="125"/>
      <c r="AX648" s="125"/>
      <c r="AY648" s="125"/>
      <c r="AZ648" s="125"/>
      <c r="BA648" s="125"/>
      <c r="BB648" s="125"/>
      <c r="BC648" s="125"/>
      <c r="BD648" s="125"/>
      <c r="BE648" s="125"/>
      <c r="BF648" s="125"/>
      <c r="BG648" s="125"/>
      <c r="BH648" s="125"/>
      <c r="BI648" s="125"/>
      <c r="BJ648" s="125"/>
      <c r="BK648" s="125"/>
      <c r="BL648" s="125"/>
      <c r="BM648" s="125"/>
      <c r="BN648" s="125"/>
      <c r="BO648" s="125"/>
      <c r="BP648" s="125"/>
      <c r="BQ648" s="125"/>
      <c r="BR648" s="125"/>
      <c r="BS648" s="125"/>
      <c r="BT648" s="125"/>
      <c r="BU648" s="125"/>
      <c r="BV648" s="125"/>
      <c r="BW648" s="125"/>
      <c r="BX648" s="125"/>
      <c r="BY648" s="125"/>
      <c r="BZ648" s="125"/>
      <c r="CA648" s="125"/>
      <c r="CB648" s="125"/>
      <c r="CC648" s="125"/>
      <c r="CD648" s="125"/>
      <c r="CE648" s="125"/>
      <c r="CF648" s="125"/>
      <c r="CG648" s="125"/>
      <c r="CH648" s="125"/>
      <c r="CI648" s="125"/>
      <c r="CJ648" s="125"/>
      <c r="CK648" s="125"/>
      <c r="CL648" s="125"/>
      <c r="CM648" s="125"/>
      <c r="CN648" s="125"/>
      <c r="CO648" s="125"/>
      <c r="CP648" s="125"/>
      <c r="CQ648" s="125"/>
      <c r="CR648" s="125"/>
      <c r="CS648" s="125"/>
      <c r="CT648" s="125"/>
      <c r="CU648" s="125"/>
      <c r="CV648" s="125"/>
    </row>
    <row r="649" spans="1:100" s="283" customFormat="1" ht="12.75" outlineLevel="2" x14ac:dyDescent="0.2">
      <c r="A649" s="719"/>
      <c r="B649" s="719"/>
      <c r="C649" s="720"/>
      <c r="D649" s="450"/>
      <c r="E649" s="450" t="str">
        <f xml:space="preserve"> InpC!E$366</f>
        <v>WCF commitment fee</v>
      </c>
      <c r="F649" s="450">
        <f xml:space="preserve"> InpC!F$366</f>
        <v>0</v>
      </c>
      <c r="G649" s="450" t="str">
        <f xml:space="preserve"> InpC!G$366</f>
        <v>% p.a.</v>
      </c>
      <c r="H649" s="450"/>
      <c r="I649" s="450"/>
      <c r="J649" s="450"/>
      <c r="K649" s="450"/>
      <c r="L649" s="450"/>
      <c r="M649" s="450"/>
      <c r="N649" s="450"/>
      <c r="O649" s="450"/>
      <c r="P649" s="450"/>
      <c r="Q649" s="450"/>
      <c r="R649" s="450"/>
      <c r="S649" s="125"/>
      <c r="T649" s="450"/>
      <c r="U649" s="450"/>
      <c r="V649" s="450"/>
      <c r="W649" s="450"/>
      <c r="X649" s="450"/>
      <c r="Y649" s="450"/>
      <c r="Z649" s="450"/>
      <c r="AA649" s="450"/>
      <c r="AB649" s="450"/>
      <c r="AC649" s="450"/>
      <c r="AD649" s="450"/>
      <c r="AE649" s="450"/>
      <c r="AF649" s="450"/>
      <c r="AG649" s="450"/>
      <c r="AH649" s="450"/>
      <c r="AI649" s="450"/>
      <c r="AJ649" s="450"/>
      <c r="AK649" s="450"/>
      <c r="AL649" s="450"/>
      <c r="AM649" s="450"/>
      <c r="AN649" s="450"/>
      <c r="AO649" s="450"/>
      <c r="AP649" s="450"/>
      <c r="AQ649" s="450"/>
      <c r="AR649" s="450"/>
      <c r="AS649" s="450"/>
      <c r="AT649" s="450"/>
      <c r="AU649" s="450"/>
      <c r="AV649" s="450"/>
      <c r="AW649" s="450"/>
      <c r="AX649" s="450"/>
      <c r="AY649" s="450"/>
      <c r="AZ649" s="450"/>
      <c r="BA649" s="450"/>
      <c r="BB649" s="450"/>
      <c r="BC649" s="450"/>
      <c r="BD649" s="450"/>
      <c r="BE649" s="450"/>
      <c r="BF649" s="450"/>
      <c r="BG649" s="450"/>
      <c r="BH649" s="450"/>
      <c r="BI649" s="450"/>
      <c r="BJ649" s="450"/>
      <c r="BK649" s="450"/>
      <c r="BL649" s="450"/>
      <c r="BM649" s="450"/>
      <c r="BN649" s="450"/>
      <c r="BO649" s="450"/>
      <c r="BP649" s="450"/>
      <c r="BQ649" s="450"/>
      <c r="BR649" s="450"/>
      <c r="BS649" s="450"/>
      <c r="BT649" s="450"/>
      <c r="BU649" s="450"/>
      <c r="BV649" s="450"/>
      <c r="BW649" s="450"/>
      <c r="BX649" s="450"/>
      <c r="BY649" s="450"/>
      <c r="BZ649" s="450"/>
      <c r="CA649" s="450"/>
      <c r="CB649" s="450"/>
      <c r="CC649" s="450"/>
      <c r="CD649" s="450"/>
      <c r="CE649" s="450"/>
      <c r="CF649" s="450"/>
      <c r="CG649" s="450"/>
      <c r="CH649" s="450"/>
      <c r="CI649" s="450"/>
      <c r="CJ649" s="450"/>
      <c r="CK649" s="450"/>
      <c r="CL649" s="450"/>
      <c r="CM649" s="450"/>
      <c r="CN649" s="450"/>
      <c r="CO649" s="450"/>
      <c r="CP649" s="450"/>
      <c r="CQ649" s="450"/>
      <c r="CR649" s="450"/>
      <c r="CS649" s="450"/>
      <c r="CT649" s="450"/>
      <c r="CU649" s="450"/>
      <c r="CV649" s="450"/>
    </row>
    <row r="650" spans="1:100" ht="12.75" outlineLevel="2" x14ac:dyDescent="0.2">
      <c r="A650" s="79"/>
      <c r="B650" s="79"/>
      <c r="C650" s="561"/>
      <c r="D650" s="60"/>
      <c r="E650" s="721" t="str">
        <f xml:space="preserve"> Time!E$246</f>
        <v>Days in period</v>
      </c>
      <c r="F650" s="721">
        <f xml:space="preserve"> Time!F$246</f>
        <v>0</v>
      </c>
      <c r="G650" s="721" t="str">
        <f xml:space="preserve"> Time!G$246</f>
        <v>days</v>
      </c>
      <c r="H650" s="721">
        <f xml:space="preserve"> Time!H$246</f>
        <v>0</v>
      </c>
      <c r="I650" s="721">
        <f xml:space="preserve"> Time!I$246</f>
        <v>0</v>
      </c>
      <c r="J650" s="721">
        <f xml:space="preserve"> Time!J$246</f>
        <v>181</v>
      </c>
      <c r="K650" s="721">
        <f xml:space="preserve"> Time!K$246</f>
        <v>184</v>
      </c>
      <c r="L650" s="721">
        <f xml:space="preserve"> Time!L$246</f>
        <v>181</v>
      </c>
      <c r="M650" s="721">
        <f xml:space="preserve"> Time!M$246</f>
        <v>184</v>
      </c>
      <c r="N650" s="721">
        <f xml:space="preserve"> Time!N$246</f>
        <v>182</v>
      </c>
      <c r="O650" s="721">
        <f xml:space="preserve"> Time!O$246</f>
        <v>184</v>
      </c>
      <c r="P650" s="721">
        <f xml:space="preserve"> Time!P$246</f>
        <v>181</v>
      </c>
      <c r="Q650" s="721">
        <f xml:space="preserve"> Time!Q$246</f>
        <v>184</v>
      </c>
      <c r="R650" s="721">
        <f xml:space="preserve"> Time!R$246</f>
        <v>181</v>
      </c>
      <c r="S650" s="721">
        <f xml:space="preserve"> Time!S$246</f>
        <v>184</v>
      </c>
      <c r="T650" s="721">
        <f xml:space="preserve"> Time!T$246</f>
        <v>181</v>
      </c>
      <c r="U650" s="721">
        <f xml:space="preserve"> Time!U$246</f>
        <v>184</v>
      </c>
      <c r="V650" s="721">
        <f xml:space="preserve"> Time!V$246</f>
        <v>182</v>
      </c>
      <c r="W650" s="721">
        <f xml:space="preserve"> Time!W$246</f>
        <v>184</v>
      </c>
      <c r="X650" s="721">
        <f xml:space="preserve"> Time!X$246</f>
        <v>181</v>
      </c>
      <c r="Y650" s="721">
        <f xml:space="preserve"> Time!Y$246</f>
        <v>184</v>
      </c>
      <c r="Z650" s="721">
        <f xml:space="preserve"> Time!Z$246</f>
        <v>181</v>
      </c>
      <c r="AA650" s="721">
        <f xml:space="preserve"> Time!AA$246</f>
        <v>184</v>
      </c>
      <c r="AB650" s="721">
        <f xml:space="preserve"> Time!AB$246</f>
        <v>181</v>
      </c>
      <c r="AC650" s="721">
        <f xml:space="preserve"> Time!AC$246</f>
        <v>184</v>
      </c>
      <c r="AD650" s="721">
        <f xml:space="preserve"> Time!AD$246</f>
        <v>182</v>
      </c>
      <c r="AE650" s="721">
        <f xml:space="preserve"> Time!AE$246</f>
        <v>184</v>
      </c>
      <c r="AF650" s="721">
        <f xml:space="preserve"> Time!AF$246</f>
        <v>181</v>
      </c>
      <c r="AG650" s="721">
        <f xml:space="preserve"> Time!AG$246</f>
        <v>184</v>
      </c>
      <c r="AH650" s="721">
        <f xml:space="preserve"> Time!AH$246</f>
        <v>181</v>
      </c>
      <c r="AI650" s="721">
        <f xml:space="preserve"> Time!AI$246</f>
        <v>184</v>
      </c>
      <c r="AJ650" s="721">
        <f xml:space="preserve"> Time!AJ$246</f>
        <v>181</v>
      </c>
      <c r="AK650" s="721">
        <f xml:space="preserve"> Time!AK$246</f>
        <v>184</v>
      </c>
      <c r="AL650" s="721">
        <f xml:space="preserve"> Time!AL$246</f>
        <v>182</v>
      </c>
      <c r="AM650" s="721">
        <f xml:space="preserve"> Time!AM$246</f>
        <v>184</v>
      </c>
      <c r="AN650" s="721">
        <f xml:space="preserve"> Time!AN$246</f>
        <v>181</v>
      </c>
      <c r="AO650" s="721">
        <f xml:space="preserve"> Time!AO$246</f>
        <v>184</v>
      </c>
      <c r="AP650" s="721">
        <f xml:space="preserve"> Time!AP$246</f>
        <v>181</v>
      </c>
      <c r="AQ650" s="721">
        <f xml:space="preserve"> Time!AQ$246</f>
        <v>184</v>
      </c>
      <c r="AR650" s="721">
        <f xml:space="preserve"> Time!AR$246</f>
        <v>181</v>
      </c>
      <c r="AS650" s="721">
        <f xml:space="preserve"> Time!AS$246</f>
        <v>184</v>
      </c>
      <c r="AT650" s="721">
        <f xml:space="preserve"> Time!AT$246</f>
        <v>182</v>
      </c>
      <c r="AU650" s="721">
        <f xml:space="preserve"> Time!AU$246</f>
        <v>184</v>
      </c>
      <c r="AV650" s="721">
        <f xml:space="preserve"> Time!AV$246</f>
        <v>181</v>
      </c>
      <c r="AW650" s="721">
        <f xml:space="preserve"> Time!AW$246</f>
        <v>184</v>
      </c>
      <c r="AX650" s="721">
        <f xml:space="preserve"> Time!AX$246</f>
        <v>181</v>
      </c>
      <c r="AY650" s="721">
        <f xml:space="preserve"> Time!AY$246</f>
        <v>184</v>
      </c>
      <c r="AZ650" s="721">
        <f xml:space="preserve"> Time!AZ$246</f>
        <v>181</v>
      </c>
      <c r="BA650" s="721">
        <f xml:space="preserve"> Time!BA$246</f>
        <v>184</v>
      </c>
      <c r="BB650" s="721">
        <f xml:space="preserve"> Time!BB$246</f>
        <v>182</v>
      </c>
      <c r="BC650" s="721">
        <f xml:space="preserve"> Time!BC$246</f>
        <v>184</v>
      </c>
      <c r="BD650" s="721">
        <f xml:space="preserve"> Time!BD$246</f>
        <v>181</v>
      </c>
      <c r="BE650" s="721">
        <f xml:space="preserve"> Time!BE$246</f>
        <v>184</v>
      </c>
      <c r="BF650" s="721">
        <f xml:space="preserve"> Time!BF$246</f>
        <v>181</v>
      </c>
      <c r="BG650" s="721">
        <f xml:space="preserve"> Time!BG$246</f>
        <v>184</v>
      </c>
      <c r="BH650" s="721">
        <f xml:space="preserve"> Time!BH$246</f>
        <v>181</v>
      </c>
      <c r="BI650" s="721">
        <f xml:space="preserve"> Time!BI$246</f>
        <v>184</v>
      </c>
      <c r="BJ650" s="721">
        <f xml:space="preserve"> Time!BJ$246</f>
        <v>182</v>
      </c>
      <c r="BK650" s="721">
        <f xml:space="preserve"> Time!BK$246</f>
        <v>184</v>
      </c>
      <c r="BL650" s="721">
        <f xml:space="preserve"> Time!BL$246</f>
        <v>181</v>
      </c>
      <c r="BM650" s="721">
        <f xml:space="preserve"> Time!BM$246</f>
        <v>184</v>
      </c>
      <c r="BN650" s="721">
        <f xml:space="preserve"> Time!BN$246</f>
        <v>181</v>
      </c>
      <c r="BO650" s="721">
        <f xml:space="preserve"> Time!BO$246</f>
        <v>184</v>
      </c>
      <c r="BP650" s="721">
        <f xml:space="preserve"> Time!BP$246</f>
        <v>181</v>
      </c>
      <c r="BQ650" s="721">
        <f xml:space="preserve"> Time!BQ$246</f>
        <v>184</v>
      </c>
      <c r="BR650" s="721">
        <f xml:space="preserve"> Time!BR$246</f>
        <v>182</v>
      </c>
      <c r="BS650" s="721">
        <f xml:space="preserve"> Time!BS$246</f>
        <v>184</v>
      </c>
      <c r="BT650" s="721">
        <f xml:space="preserve"> Time!BT$246</f>
        <v>181</v>
      </c>
      <c r="BU650" s="721">
        <f xml:space="preserve"> Time!BU$246</f>
        <v>184</v>
      </c>
      <c r="BV650" s="721">
        <f xml:space="preserve"> Time!BV$246</f>
        <v>181</v>
      </c>
      <c r="BW650" s="721">
        <f xml:space="preserve"> Time!BW$246</f>
        <v>184</v>
      </c>
      <c r="BX650" s="721">
        <f xml:space="preserve"> Time!BX$246</f>
        <v>181</v>
      </c>
      <c r="BY650" s="721">
        <f xml:space="preserve"> Time!BY$246</f>
        <v>184</v>
      </c>
      <c r="BZ650" s="721">
        <f xml:space="preserve"> Time!BZ$246</f>
        <v>182</v>
      </c>
      <c r="CA650" s="721">
        <f xml:space="preserve"> Time!CA$246</f>
        <v>184</v>
      </c>
      <c r="CB650" s="721">
        <f xml:space="preserve"> Time!CB$246</f>
        <v>181</v>
      </c>
      <c r="CC650" s="721">
        <f xml:space="preserve"> Time!CC$246</f>
        <v>184</v>
      </c>
      <c r="CD650" s="721">
        <f xml:space="preserve"> Time!CD$246</f>
        <v>181</v>
      </c>
      <c r="CE650" s="721">
        <f xml:space="preserve"> Time!CE$246</f>
        <v>184</v>
      </c>
      <c r="CF650" s="721">
        <f xml:space="preserve"> Time!CF$246</f>
        <v>181</v>
      </c>
      <c r="CG650" s="721">
        <f xml:space="preserve"> Time!CG$246</f>
        <v>184</v>
      </c>
      <c r="CH650" s="721">
        <f xml:space="preserve"> Time!CH$246</f>
        <v>182</v>
      </c>
      <c r="CI650" s="721">
        <f xml:space="preserve"> Time!CI$246</f>
        <v>184</v>
      </c>
      <c r="CJ650" s="721">
        <f xml:space="preserve"> Time!CJ$246</f>
        <v>181</v>
      </c>
      <c r="CK650" s="721">
        <f xml:space="preserve"> Time!CK$246</f>
        <v>184</v>
      </c>
      <c r="CL650" s="721">
        <f xml:space="preserve"> Time!CL$246</f>
        <v>181</v>
      </c>
      <c r="CM650" s="721">
        <f xml:space="preserve"> Time!CM$246</f>
        <v>184</v>
      </c>
      <c r="CN650" s="721">
        <f xml:space="preserve"> Time!CN$246</f>
        <v>181</v>
      </c>
      <c r="CO650" s="721">
        <f xml:space="preserve"> Time!CO$246</f>
        <v>184</v>
      </c>
      <c r="CP650" s="721">
        <f xml:space="preserve"> Time!CP$246</f>
        <v>182</v>
      </c>
      <c r="CQ650" s="721">
        <f xml:space="preserve"> Time!CQ$246</f>
        <v>184</v>
      </c>
      <c r="CR650" s="721">
        <f xml:space="preserve"> Time!CR$246</f>
        <v>181</v>
      </c>
      <c r="CS650" s="721">
        <f xml:space="preserve"> Time!CS$246</f>
        <v>184</v>
      </c>
      <c r="CT650" s="721">
        <f xml:space="preserve"> Time!CT$246</f>
        <v>181</v>
      </c>
      <c r="CU650" s="721">
        <f xml:space="preserve"> Time!CU$246</f>
        <v>184</v>
      </c>
      <c r="CV650" s="721">
        <f xml:space="preserve"> Time!CV$246</f>
        <v>181</v>
      </c>
    </row>
    <row r="651" spans="1:100" ht="12.75" outlineLevel="2" x14ac:dyDescent="0.2">
      <c r="A651" s="79"/>
      <c r="B651" s="79"/>
      <c r="C651" s="561"/>
      <c r="D651" s="60"/>
      <c r="E651" s="32" t="str">
        <f t="shared" ref="E651:AJ651" si="1025" xml:space="preserve"> E$645</f>
        <v>WCF undrawn balance - P99 BEG</v>
      </c>
      <c r="F651" s="32">
        <f t="shared" si="1025"/>
        <v>0</v>
      </c>
      <c r="G651" s="32" t="str">
        <f t="shared" si="1025"/>
        <v>$ 000s</v>
      </c>
      <c r="H651" s="32">
        <f t="shared" si="1025"/>
        <v>0</v>
      </c>
      <c r="I651" s="32">
        <f t="shared" si="1025"/>
        <v>0</v>
      </c>
      <c r="J651" s="32">
        <f t="shared" si="1025"/>
        <v>0</v>
      </c>
      <c r="K651" s="32">
        <f t="shared" si="1025"/>
        <v>0</v>
      </c>
      <c r="L651" s="32">
        <f t="shared" si="1025"/>
        <v>0</v>
      </c>
      <c r="M651" s="32">
        <f t="shared" si="1025"/>
        <v>0</v>
      </c>
      <c r="N651" s="32">
        <f t="shared" si="1025"/>
        <v>0</v>
      </c>
      <c r="O651" s="32">
        <f t="shared" si="1025"/>
        <v>6500</v>
      </c>
      <c r="P651" s="32">
        <f t="shared" si="1025"/>
        <v>6500</v>
      </c>
      <c r="Q651" s="32">
        <f t="shared" si="1025"/>
        <v>6500</v>
      </c>
      <c r="R651" s="32">
        <f t="shared" si="1025"/>
        <v>6500</v>
      </c>
      <c r="S651" s="32">
        <f t="shared" si="1025"/>
        <v>6500</v>
      </c>
      <c r="T651" s="32">
        <f t="shared" si="1025"/>
        <v>6500</v>
      </c>
      <c r="U651" s="32">
        <f t="shared" si="1025"/>
        <v>6500</v>
      </c>
      <c r="V651" s="32">
        <f t="shared" si="1025"/>
        <v>6500</v>
      </c>
      <c r="W651" s="32">
        <f t="shared" si="1025"/>
        <v>6500</v>
      </c>
      <c r="X651" s="32">
        <f t="shared" si="1025"/>
        <v>6500</v>
      </c>
      <c r="Y651" s="32">
        <f t="shared" si="1025"/>
        <v>6500</v>
      </c>
      <c r="Z651" s="32">
        <f t="shared" si="1025"/>
        <v>6500</v>
      </c>
      <c r="AA651" s="32">
        <f t="shared" si="1025"/>
        <v>6500</v>
      </c>
      <c r="AB651" s="32">
        <f t="shared" si="1025"/>
        <v>6500</v>
      </c>
      <c r="AC651" s="32">
        <f t="shared" si="1025"/>
        <v>6500</v>
      </c>
      <c r="AD651" s="32">
        <f t="shared" si="1025"/>
        <v>6500</v>
      </c>
      <c r="AE651" s="32">
        <f t="shared" si="1025"/>
        <v>6500</v>
      </c>
      <c r="AF651" s="32">
        <f t="shared" si="1025"/>
        <v>6500</v>
      </c>
      <c r="AG651" s="32">
        <f t="shared" si="1025"/>
        <v>6500</v>
      </c>
      <c r="AH651" s="32">
        <f t="shared" si="1025"/>
        <v>6500</v>
      </c>
      <c r="AI651" s="32">
        <f t="shared" si="1025"/>
        <v>6500</v>
      </c>
      <c r="AJ651" s="32">
        <f t="shared" si="1025"/>
        <v>6500</v>
      </c>
      <c r="AK651" s="32">
        <f t="shared" ref="AK651:BP651" si="1026" xml:space="preserve"> AK$645</f>
        <v>6500</v>
      </c>
      <c r="AL651" s="32">
        <f t="shared" si="1026"/>
        <v>6500</v>
      </c>
      <c r="AM651" s="32">
        <f t="shared" si="1026"/>
        <v>6500</v>
      </c>
      <c r="AN651" s="32">
        <f t="shared" si="1026"/>
        <v>6500</v>
      </c>
      <c r="AO651" s="32">
        <f t="shared" si="1026"/>
        <v>6500</v>
      </c>
      <c r="AP651" s="32">
        <f t="shared" si="1026"/>
        <v>6500</v>
      </c>
      <c r="AQ651" s="32">
        <f t="shared" si="1026"/>
        <v>6500</v>
      </c>
      <c r="AR651" s="32">
        <f t="shared" si="1026"/>
        <v>6500</v>
      </c>
      <c r="AS651" s="32">
        <f t="shared" si="1026"/>
        <v>6500</v>
      </c>
      <c r="AT651" s="32">
        <f t="shared" si="1026"/>
        <v>6500</v>
      </c>
      <c r="AU651" s="32">
        <f t="shared" si="1026"/>
        <v>6500</v>
      </c>
      <c r="AV651" s="32">
        <f t="shared" si="1026"/>
        <v>6500</v>
      </c>
      <c r="AW651" s="32">
        <f t="shared" si="1026"/>
        <v>6500</v>
      </c>
      <c r="AX651" s="32">
        <f t="shared" si="1026"/>
        <v>6500</v>
      </c>
      <c r="AY651" s="32">
        <f t="shared" si="1026"/>
        <v>6500</v>
      </c>
      <c r="AZ651" s="32">
        <f t="shared" si="1026"/>
        <v>6500</v>
      </c>
      <c r="BA651" s="32">
        <f t="shared" si="1026"/>
        <v>6500</v>
      </c>
      <c r="BB651" s="32">
        <f t="shared" si="1026"/>
        <v>6500</v>
      </c>
      <c r="BC651" s="32">
        <f t="shared" si="1026"/>
        <v>0</v>
      </c>
      <c r="BD651" s="32">
        <f t="shared" si="1026"/>
        <v>0</v>
      </c>
      <c r="BE651" s="32">
        <f t="shared" si="1026"/>
        <v>0</v>
      </c>
      <c r="BF651" s="32">
        <f t="shared" si="1026"/>
        <v>0</v>
      </c>
      <c r="BG651" s="32">
        <f t="shared" si="1026"/>
        <v>0</v>
      </c>
      <c r="BH651" s="32">
        <f t="shared" si="1026"/>
        <v>0</v>
      </c>
      <c r="BI651" s="32">
        <f t="shared" si="1026"/>
        <v>0</v>
      </c>
      <c r="BJ651" s="32">
        <f t="shared" si="1026"/>
        <v>0</v>
      </c>
      <c r="BK651" s="32">
        <f t="shared" si="1026"/>
        <v>0</v>
      </c>
      <c r="BL651" s="32">
        <f t="shared" si="1026"/>
        <v>0</v>
      </c>
      <c r="BM651" s="32">
        <f t="shared" si="1026"/>
        <v>0</v>
      </c>
      <c r="BN651" s="32">
        <f t="shared" si="1026"/>
        <v>0</v>
      </c>
      <c r="BO651" s="32">
        <f t="shared" si="1026"/>
        <v>0</v>
      </c>
      <c r="BP651" s="32">
        <f t="shared" si="1026"/>
        <v>0</v>
      </c>
      <c r="BQ651" s="32">
        <f t="shared" ref="BQ651:CV651" si="1027" xml:space="preserve"> BQ$645</f>
        <v>0</v>
      </c>
      <c r="BR651" s="32">
        <f t="shared" si="1027"/>
        <v>0</v>
      </c>
      <c r="BS651" s="32">
        <f t="shared" si="1027"/>
        <v>0</v>
      </c>
      <c r="BT651" s="32">
        <f t="shared" si="1027"/>
        <v>0</v>
      </c>
      <c r="BU651" s="32">
        <f t="shared" si="1027"/>
        <v>0</v>
      </c>
      <c r="BV651" s="32">
        <f t="shared" si="1027"/>
        <v>0</v>
      </c>
      <c r="BW651" s="32">
        <f t="shared" si="1027"/>
        <v>0</v>
      </c>
      <c r="BX651" s="32">
        <f t="shared" si="1027"/>
        <v>0</v>
      </c>
      <c r="BY651" s="32">
        <f t="shared" si="1027"/>
        <v>0</v>
      </c>
      <c r="BZ651" s="32">
        <f t="shared" si="1027"/>
        <v>0</v>
      </c>
      <c r="CA651" s="32">
        <f t="shared" si="1027"/>
        <v>0</v>
      </c>
      <c r="CB651" s="32">
        <f t="shared" si="1027"/>
        <v>0</v>
      </c>
      <c r="CC651" s="32">
        <f t="shared" si="1027"/>
        <v>0</v>
      </c>
      <c r="CD651" s="32">
        <f t="shared" si="1027"/>
        <v>0</v>
      </c>
      <c r="CE651" s="32">
        <f t="shared" si="1027"/>
        <v>0</v>
      </c>
      <c r="CF651" s="32">
        <f t="shared" si="1027"/>
        <v>0</v>
      </c>
      <c r="CG651" s="32">
        <f t="shared" si="1027"/>
        <v>0</v>
      </c>
      <c r="CH651" s="32">
        <f t="shared" si="1027"/>
        <v>0</v>
      </c>
      <c r="CI651" s="32">
        <f t="shared" si="1027"/>
        <v>0</v>
      </c>
      <c r="CJ651" s="32">
        <f t="shared" si="1027"/>
        <v>0</v>
      </c>
      <c r="CK651" s="32">
        <f t="shared" si="1027"/>
        <v>0</v>
      </c>
      <c r="CL651" s="32">
        <f t="shared" si="1027"/>
        <v>0</v>
      </c>
      <c r="CM651" s="32">
        <f t="shared" si="1027"/>
        <v>0</v>
      </c>
      <c r="CN651" s="32">
        <f t="shared" si="1027"/>
        <v>0</v>
      </c>
      <c r="CO651" s="32">
        <f t="shared" si="1027"/>
        <v>0</v>
      </c>
      <c r="CP651" s="32">
        <f t="shared" si="1027"/>
        <v>0</v>
      </c>
      <c r="CQ651" s="32">
        <f t="shared" si="1027"/>
        <v>0</v>
      </c>
      <c r="CR651" s="32">
        <f t="shared" si="1027"/>
        <v>0</v>
      </c>
      <c r="CS651" s="32">
        <f t="shared" si="1027"/>
        <v>0</v>
      </c>
      <c r="CT651" s="32">
        <f t="shared" si="1027"/>
        <v>0</v>
      </c>
      <c r="CU651" s="32">
        <f t="shared" si="1027"/>
        <v>0</v>
      </c>
      <c r="CV651" s="32">
        <f t="shared" si="1027"/>
        <v>0</v>
      </c>
    </row>
    <row r="652" spans="1:100" ht="12.75" outlineLevel="2" x14ac:dyDescent="0.2">
      <c r="A652" s="79"/>
      <c r="B652" s="79"/>
      <c r="C652" s="561"/>
      <c r="D652" s="60"/>
      <c r="E652" s="125" t="str">
        <f xml:space="preserve"> Time!E$106</f>
        <v>Operating period flag</v>
      </c>
      <c r="F652" s="125">
        <f xml:space="preserve"> Time!F$106</f>
        <v>0</v>
      </c>
      <c r="G652" s="125" t="str">
        <f xml:space="preserve"> Time!G$106</f>
        <v>flag</v>
      </c>
      <c r="H652" s="125">
        <f xml:space="preserve"> Time!H$106</f>
        <v>40</v>
      </c>
      <c r="I652" s="125">
        <f xml:space="preserve"> Time!I$106</f>
        <v>0</v>
      </c>
      <c r="J652" s="125">
        <f xml:space="preserve"> Time!J$106</f>
        <v>0</v>
      </c>
      <c r="K652" s="125">
        <f xml:space="preserve"> Time!K$106</f>
        <v>0</v>
      </c>
      <c r="L652" s="125">
        <f xml:space="preserve"> Time!L$106</f>
        <v>0</v>
      </c>
      <c r="M652" s="125">
        <f xml:space="preserve"> Time!M$106</f>
        <v>0</v>
      </c>
      <c r="N652" s="125">
        <f xml:space="preserve"> Time!N$106</f>
        <v>0</v>
      </c>
      <c r="O652" s="125">
        <f xml:space="preserve"> Time!O$106</f>
        <v>1</v>
      </c>
      <c r="P652" s="125">
        <f xml:space="preserve"> Time!P$106</f>
        <v>1</v>
      </c>
      <c r="Q652" s="125">
        <f xml:space="preserve"> Time!Q$106</f>
        <v>1</v>
      </c>
      <c r="R652" s="125">
        <f xml:space="preserve"> Time!R$106</f>
        <v>1</v>
      </c>
      <c r="S652" s="125">
        <f xml:space="preserve"> Time!S$106</f>
        <v>1</v>
      </c>
      <c r="T652" s="125">
        <f xml:space="preserve"> Time!T$106</f>
        <v>1</v>
      </c>
      <c r="U652" s="125">
        <f xml:space="preserve"> Time!U$106</f>
        <v>1</v>
      </c>
      <c r="V652" s="125">
        <f xml:space="preserve"> Time!V$106</f>
        <v>1</v>
      </c>
      <c r="W652" s="125">
        <f xml:space="preserve"> Time!W$106</f>
        <v>1</v>
      </c>
      <c r="X652" s="125">
        <f xml:space="preserve"> Time!X$106</f>
        <v>1</v>
      </c>
      <c r="Y652" s="125">
        <f xml:space="preserve"> Time!Y$106</f>
        <v>1</v>
      </c>
      <c r="Z652" s="125">
        <f xml:space="preserve"> Time!Z$106</f>
        <v>1</v>
      </c>
      <c r="AA652" s="125">
        <f xml:space="preserve"> Time!AA$106</f>
        <v>1</v>
      </c>
      <c r="AB652" s="125">
        <f xml:space="preserve"> Time!AB$106</f>
        <v>1</v>
      </c>
      <c r="AC652" s="125">
        <f xml:space="preserve"> Time!AC$106</f>
        <v>1</v>
      </c>
      <c r="AD652" s="125">
        <f xml:space="preserve"> Time!AD$106</f>
        <v>1</v>
      </c>
      <c r="AE652" s="125">
        <f xml:space="preserve"> Time!AE$106</f>
        <v>1</v>
      </c>
      <c r="AF652" s="125">
        <f xml:space="preserve"> Time!AF$106</f>
        <v>1</v>
      </c>
      <c r="AG652" s="125">
        <f xml:space="preserve"> Time!AG$106</f>
        <v>1</v>
      </c>
      <c r="AH652" s="125">
        <f xml:space="preserve"> Time!AH$106</f>
        <v>1</v>
      </c>
      <c r="AI652" s="125">
        <f xml:space="preserve"> Time!AI$106</f>
        <v>1</v>
      </c>
      <c r="AJ652" s="125">
        <f xml:space="preserve"> Time!AJ$106</f>
        <v>1</v>
      </c>
      <c r="AK652" s="125">
        <f xml:space="preserve"> Time!AK$106</f>
        <v>1</v>
      </c>
      <c r="AL652" s="125">
        <f xml:space="preserve"> Time!AL$106</f>
        <v>1</v>
      </c>
      <c r="AM652" s="125">
        <f xml:space="preserve"> Time!AM$106</f>
        <v>1</v>
      </c>
      <c r="AN652" s="125">
        <f xml:space="preserve"> Time!AN$106</f>
        <v>1</v>
      </c>
      <c r="AO652" s="125">
        <f xml:space="preserve"> Time!AO$106</f>
        <v>1</v>
      </c>
      <c r="AP652" s="125">
        <f xml:space="preserve"> Time!AP$106</f>
        <v>1</v>
      </c>
      <c r="AQ652" s="125">
        <f xml:space="preserve"> Time!AQ$106</f>
        <v>1</v>
      </c>
      <c r="AR652" s="125">
        <f xml:space="preserve"> Time!AR$106</f>
        <v>1</v>
      </c>
      <c r="AS652" s="125">
        <f xml:space="preserve"> Time!AS$106</f>
        <v>1</v>
      </c>
      <c r="AT652" s="125">
        <f xml:space="preserve"> Time!AT$106</f>
        <v>1</v>
      </c>
      <c r="AU652" s="125">
        <f xml:space="preserve"> Time!AU$106</f>
        <v>1</v>
      </c>
      <c r="AV652" s="125">
        <f xml:space="preserve"> Time!AV$106</f>
        <v>1</v>
      </c>
      <c r="AW652" s="125">
        <f xml:space="preserve"> Time!AW$106</f>
        <v>1</v>
      </c>
      <c r="AX652" s="125">
        <f xml:space="preserve"> Time!AX$106</f>
        <v>1</v>
      </c>
      <c r="AY652" s="125">
        <f xml:space="preserve"> Time!AY$106</f>
        <v>1</v>
      </c>
      <c r="AZ652" s="125">
        <f xml:space="preserve"> Time!AZ$106</f>
        <v>1</v>
      </c>
      <c r="BA652" s="125">
        <f xml:space="preserve"> Time!BA$106</f>
        <v>1</v>
      </c>
      <c r="BB652" s="125">
        <f xml:space="preserve"> Time!BB$106</f>
        <v>1</v>
      </c>
      <c r="BC652" s="125">
        <f xml:space="preserve"> Time!BC$106</f>
        <v>0</v>
      </c>
      <c r="BD652" s="125">
        <f xml:space="preserve"> Time!BD$106</f>
        <v>0</v>
      </c>
      <c r="BE652" s="125">
        <f xml:space="preserve"> Time!BE$106</f>
        <v>0</v>
      </c>
      <c r="BF652" s="125">
        <f xml:space="preserve"> Time!BF$106</f>
        <v>0</v>
      </c>
      <c r="BG652" s="125">
        <f xml:space="preserve"> Time!BG$106</f>
        <v>0</v>
      </c>
      <c r="BH652" s="125">
        <f xml:space="preserve"> Time!BH$106</f>
        <v>0</v>
      </c>
      <c r="BI652" s="125">
        <f xml:space="preserve"> Time!BI$106</f>
        <v>0</v>
      </c>
      <c r="BJ652" s="125">
        <f xml:space="preserve"> Time!BJ$106</f>
        <v>0</v>
      </c>
      <c r="BK652" s="125">
        <f xml:space="preserve"> Time!BK$106</f>
        <v>0</v>
      </c>
      <c r="BL652" s="125">
        <f xml:space="preserve"> Time!BL$106</f>
        <v>0</v>
      </c>
      <c r="BM652" s="125">
        <f xml:space="preserve"> Time!BM$106</f>
        <v>0</v>
      </c>
      <c r="BN652" s="125">
        <f xml:space="preserve"> Time!BN$106</f>
        <v>0</v>
      </c>
      <c r="BO652" s="125">
        <f xml:space="preserve"> Time!BO$106</f>
        <v>0</v>
      </c>
      <c r="BP652" s="125">
        <f xml:space="preserve"> Time!BP$106</f>
        <v>0</v>
      </c>
      <c r="BQ652" s="125">
        <f xml:space="preserve"> Time!BQ$106</f>
        <v>0</v>
      </c>
      <c r="BR652" s="125">
        <f xml:space="preserve"> Time!BR$106</f>
        <v>0</v>
      </c>
      <c r="BS652" s="125">
        <f xml:space="preserve"> Time!BS$106</f>
        <v>0</v>
      </c>
      <c r="BT652" s="125">
        <f xml:space="preserve"> Time!BT$106</f>
        <v>0</v>
      </c>
      <c r="BU652" s="125">
        <f xml:space="preserve"> Time!BU$106</f>
        <v>0</v>
      </c>
      <c r="BV652" s="125">
        <f xml:space="preserve"> Time!BV$106</f>
        <v>0</v>
      </c>
      <c r="BW652" s="125">
        <f xml:space="preserve"> Time!BW$106</f>
        <v>0</v>
      </c>
      <c r="BX652" s="125">
        <f xml:space="preserve"> Time!BX$106</f>
        <v>0</v>
      </c>
      <c r="BY652" s="125">
        <f xml:space="preserve"> Time!BY$106</f>
        <v>0</v>
      </c>
      <c r="BZ652" s="125">
        <f xml:space="preserve"> Time!BZ$106</f>
        <v>0</v>
      </c>
      <c r="CA652" s="125">
        <f xml:space="preserve"> Time!CA$106</f>
        <v>0</v>
      </c>
      <c r="CB652" s="125">
        <f xml:space="preserve"> Time!CB$106</f>
        <v>0</v>
      </c>
      <c r="CC652" s="125">
        <f xml:space="preserve"> Time!CC$106</f>
        <v>0</v>
      </c>
      <c r="CD652" s="125">
        <f xml:space="preserve"> Time!CD$106</f>
        <v>0</v>
      </c>
      <c r="CE652" s="125">
        <f xml:space="preserve"> Time!CE$106</f>
        <v>0</v>
      </c>
      <c r="CF652" s="125">
        <f xml:space="preserve"> Time!CF$106</f>
        <v>0</v>
      </c>
      <c r="CG652" s="125">
        <f xml:space="preserve"> Time!CG$106</f>
        <v>0</v>
      </c>
      <c r="CH652" s="125">
        <f xml:space="preserve"> Time!CH$106</f>
        <v>0</v>
      </c>
      <c r="CI652" s="125">
        <f xml:space="preserve"> Time!CI$106</f>
        <v>0</v>
      </c>
      <c r="CJ652" s="125">
        <f xml:space="preserve"> Time!CJ$106</f>
        <v>0</v>
      </c>
      <c r="CK652" s="125">
        <f xml:space="preserve"> Time!CK$106</f>
        <v>0</v>
      </c>
      <c r="CL652" s="125">
        <f xml:space="preserve"> Time!CL$106</f>
        <v>0</v>
      </c>
      <c r="CM652" s="125">
        <f xml:space="preserve"> Time!CM$106</f>
        <v>0</v>
      </c>
      <c r="CN652" s="125">
        <f xml:space="preserve"> Time!CN$106</f>
        <v>0</v>
      </c>
      <c r="CO652" s="125">
        <f xml:space="preserve"> Time!CO$106</f>
        <v>0</v>
      </c>
      <c r="CP652" s="125">
        <f xml:space="preserve"> Time!CP$106</f>
        <v>0</v>
      </c>
      <c r="CQ652" s="125">
        <f xml:space="preserve"> Time!CQ$106</f>
        <v>0</v>
      </c>
      <c r="CR652" s="125">
        <f xml:space="preserve"> Time!CR$106</f>
        <v>0</v>
      </c>
      <c r="CS652" s="125">
        <f xml:space="preserve"> Time!CS$106</f>
        <v>0</v>
      </c>
      <c r="CT652" s="125">
        <f xml:space="preserve"> Time!CT$106</f>
        <v>0</v>
      </c>
      <c r="CU652" s="125">
        <f xml:space="preserve"> Time!CU$106</f>
        <v>0</v>
      </c>
      <c r="CV652" s="125">
        <f xml:space="preserve"> Time!CV$106</f>
        <v>0</v>
      </c>
    </row>
    <row r="653" spans="1:100" s="188" customFormat="1" ht="12.75" outlineLevel="2" x14ac:dyDescent="0.2">
      <c r="A653" s="397"/>
      <c r="B653" s="397"/>
      <c r="C653" s="566"/>
      <c r="D653" s="567"/>
      <c r="E653" s="188" t="s">
        <v>1202</v>
      </c>
      <c r="G653" s="188" t="str">
        <f xml:space="preserve"> SMU</f>
        <v>$ 000s</v>
      </c>
      <c r="H653" s="188">
        <f xml:space="preserve"> SUM(J653:CV653)</f>
        <v>0</v>
      </c>
      <c r="J653" s="188">
        <f t="shared" ref="J653:AO653" si="1028" xml:space="preserve"> $F649 * J650 / $F648 * J651 * J652 * $F647</f>
        <v>0</v>
      </c>
      <c r="K653" s="188">
        <f t="shared" si="1028"/>
        <v>0</v>
      </c>
      <c r="L653" s="188">
        <f t="shared" si="1028"/>
        <v>0</v>
      </c>
      <c r="M653" s="188">
        <f t="shared" si="1028"/>
        <v>0</v>
      </c>
      <c r="N653" s="188">
        <f t="shared" si="1028"/>
        <v>0</v>
      </c>
      <c r="O653" s="188">
        <f t="shared" si="1028"/>
        <v>0</v>
      </c>
      <c r="P653" s="188">
        <f t="shared" si="1028"/>
        <v>0</v>
      </c>
      <c r="Q653" s="188">
        <f t="shared" si="1028"/>
        <v>0</v>
      </c>
      <c r="R653" s="188">
        <f t="shared" si="1028"/>
        <v>0</v>
      </c>
      <c r="S653" s="188">
        <f t="shared" si="1028"/>
        <v>0</v>
      </c>
      <c r="T653" s="188">
        <f t="shared" si="1028"/>
        <v>0</v>
      </c>
      <c r="U653" s="188">
        <f t="shared" si="1028"/>
        <v>0</v>
      </c>
      <c r="V653" s="188">
        <f t="shared" si="1028"/>
        <v>0</v>
      </c>
      <c r="W653" s="188">
        <f t="shared" si="1028"/>
        <v>0</v>
      </c>
      <c r="X653" s="188">
        <f t="shared" si="1028"/>
        <v>0</v>
      </c>
      <c r="Y653" s="188">
        <f t="shared" si="1028"/>
        <v>0</v>
      </c>
      <c r="Z653" s="188">
        <f t="shared" si="1028"/>
        <v>0</v>
      </c>
      <c r="AA653" s="188">
        <f t="shared" si="1028"/>
        <v>0</v>
      </c>
      <c r="AB653" s="188">
        <f t="shared" si="1028"/>
        <v>0</v>
      </c>
      <c r="AC653" s="188">
        <f t="shared" si="1028"/>
        <v>0</v>
      </c>
      <c r="AD653" s="188">
        <f t="shared" si="1028"/>
        <v>0</v>
      </c>
      <c r="AE653" s="188">
        <f t="shared" si="1028"/>
        <v>0</v>
      </c>
      <c r="AF653" s="188">
        <f t="shared" si="1028"/>
        <v>0</v>
      </c>
      <c r="AG653" s="188">
        <f t="shared" si="1028"/>
        <v>0</v>
      </c>
      <c r="AH653" s="188">
        <f t="shared" si="1028"/>
        <v>0</v>
      </c>
      <c r="AI653" s="188">
        <f t="shared" si="1028"/>
        <v>0</v>
      </c>
      <c r="AJ653" s="188">
        <f t="shared" si="1028"/>
        <v>0</v>
      </c>
      <c r="AK653" s="188">
        <f t="shared" si="1028"/>
        <v>0</v>
      </c>
      <c r="AL653" s="188">
        <f t="shared" si="1028"/>
        <v>0</v>
      </c>
      <c r="AM653" s="188">
        <f t="shared" si="1028"/>
        <v>0</v>
      </c>
      <c r="AN653" s="188">
        <f t="shared" si="1028"/>
        <v>0</v>
      </c>
      <c r="AO653" s="188">
        <f t="shared" si="1028"/>
        <v>0</v>
      </c>
      <c r="AP653" s="188">
        <f t="shared" ref="AP653:BU653" si="1029" xml:space="preserve"> $F649 * AP650 / $F648 * AP651 * AP652 * $F647</f>
        <v>0</v>
      </c>
      <c r="AQ653" s="188">
        <f t="shared" si="1029"/>
        <v>0</v>
      </c>
      <c r="AR653" s="188">
        <f t="shared" si="1029"/>
        <v>0</v>
      </c>
      <c r="AS653" s="188">
        <f t="shared" si="1029"/>
        <v>0</v>
      </c>
      <c r="AT653" s="188">
        <f t="shared" si="1029"/>
        <v>0</v>
      </c>
      <c r="AU653" s="188">
        <f t="shared" si="1029"/>
        <v>0</v>
      </c>
      <c r="AV653" s="188">
        <f t="shared" si="1029"/>
        <v>0</v>
      </c>
      <c r="AW653" s="188">
        <f t="shared" si="1029"/>
        <v>0</v>
      </c>
      <c r="AX653" s="188">
        <f t="shared" si="1029"/>
        <v>0</v>
      </c>
      <c r="AY653" s="188">
        <f t="shared" si="1029"/>
        <v>0</v>
      </c>
      <c r="AZ653" s="188">
        <f t="shared" si="1029"/>
        <v>0</v>
      </c>
      <c r="BA653" s="188">
        <f t="shared" si="1029"/>
        <v>0</v>
      </c>
      <c r="BB653" s="188">
        <f t="shared" si="1029"/>
        <v>0</v>
      </c>
      <c r="BC653" s="188">
        <f t="shared" si="1029"/>
        <v>0</v>
      </c>
      <c r="BD653" s="188">
        <f t="shared" si="1029"/>
        <v>0</v>
      </c>
      <c r="BE653" s="188">
        <f t="shared" si="1029"/>
        <v>0</v>
      </c>
      <c r="BF653" s="188">
        <f t="shared" si="1029"/>
        <v>0</v>
      </c>
      <c r="BG653" s="188">
        <f t="shared" si="1029"/>
        <v>0</v>
      </c>
      <c r="BH653" s="188">
        <f t="shared" si="1029"/>
        <v>0</v>
      </c>
      <c r="BI653" s="188">
        <f t="shared" si="1029"/>
        <v>0</v>
      </c>
      <c r="BJ653" s="188">
        <f t="shared" si="1029"/>
        <v>0</v>
      </c>
      <c r="BK653" s="188">
        <f t="shared" si="1029"/>
        <v>0</v>
      </c>
      <c r="BL653" s="188">
        <f t="shared" si="1029"/>
        <v>0</v>
      </c>
      <c r="BM653" s="188">
        <f t="shared" si="1029"/>
        <v>0</v>
      </c>
      <c r="BN653" s="188">
        <f t="shared" si="1029"/>
        <v>0</v>
      </c>
      <c r="BO653" s="188">
        <f t="shared" si="1029"/>
        <v>0</v>
      </c>
      <c r="BP653" s="188">
        <f t="shared" si="1029"/>
        <v>0</v>
      </c>
      <c r="BQ653" s="188">
        <f t="shared" si="1029"/>
        <v>0</v>
      </c>
      <c r="BR653" s="188">
        <f t="shared" si="1029"/>
        <v>0</v>
      </c>
      <c r="BS653" s="188">
        <f t="shared" si="1029"/>
        <v>0</v>
      </c>
      <c r="BT653" s="188">
        <f t="shared" si="1029"/>
        <v>0</v>
      </c>
      <c r="BU653" s="188">
        <f t="shared" si="1029"/>
        <v>0</v>
      </c>
      <c r="BV653" s="188">
        <f t="shared" ref="BV653:CV653" si="1030" xml:space="preserve"> $F649 * BV650 / $F648 * BV651 * BV652 * $F647</f>
        <v>0</v>
      </c>
      <c r="BW653" s="188">
        <f t="shared" si="1030"/>
        <v>0</v>
      </c>
      <c r="BX653" s="188">
        <f t="shared" si="1030"/>
        <v>0</v>
      </c>
      <c r="BY653" s="188">
        <f t="shared" si="1030"/>
        <v>0</v>
      </c>
      <c r="BZ653" s="188">
        <f t="shared" si="1030"/>
        <v>0</v>
      </c>
      <c r="CA653" s="188">
        <f t="shared" si="1030"/>
        <v>0</v>
      </c>
      <c r="CB653" s="188">
        <f t="shared" si="1030"/>
        <v>0</v>
      </c>
      <c r="CC653" s="188">
        <f t="shared" si="1030"/>
        <v>0</v>
      </c>
      <c r="CD653" s="188">
        <f t="shared" si="1030"/>
        <v>0</v>
      </c>
      <c r="CE653" s="188">
        <f t="shared" si="1030"/>
        <v>0</v>
      </c>
      <c r="CF653" s="188">
        <f t="shared" si="1030"/>
        <v>0</v>
      </c>
      <c r="CG653" s="188">
        <f t="shared" si="1030"/>
        <v>0</v>
      </c>
      <c r="CH653" s="188">
        <f t="shared" si="1030"/>
        <v>0</v>
      </c>
      <c r="CI653" s="188">
        <f t="shared" si="1030"/>
        <v>0</v>
      </c>
      <c r="CJ653" s="188">
        <f t="shared" si="1030"/>
        <v>0</v>
      </c>
      <c r="CK653" s="188">
        <f t="shared" si="1030"/>
        <v>0</v>
      </c>
      <c r="CL653" s="188">
        <f t="shared" si="1030"/>
        <v>0</v>
      </c>
      <c r="CM653" s="188">
        <f t="shared" si="1030"/>
        <v>0</v>
      </c>
      <c r="CN653" s="188">
        <f t="shared" si="1030"/>
        <v>0</v>
      </c>
      <c r="CO653" s="188">
        <f t="shared" si="1030"/>
        <v>0</v>
      </c>
      <c r="CP653" s="188">
        <f t="shared" si="1030"/>
        <v>0</v>
      </c>
      <c r="CQ653" s="188">
        <f t="shared" si="1030"/>
        <v>0</v>
      </c>
      <c r="CR653" s="188">
        <f t="shared" si="1030"/>
        <v>0</v>
      </c>
      <c r="CS653" s="188">
        <f t="shared" si="1030"/>
        <v>0</v>
      </c>
      <c r="CT653" s="188">
        <f t="shared" si="1030"/>
        <v>0</v>
      </c>
      <c r="CU653" s="188">
        <f t="shared" si="1030"/>
        <v>0</v>
      </c>
      <c r="CV653" s="188">
        <f t="shared" si="1030"/>
        <v>0</v>
      </c>
    </row>
    <row r="654" spans="1:100" s="188" customFormat="1" ht="12.75" outlineLevel="2" x14ac:dyDescent="0.2">
      <c r="A654" s="397"/>
      <c r="B654" s="397"/>
      <c r="C654" s="566"/>
      <c r="D654" s="484" t="s">
        <v>366</v>
      </c>
      <c r="E654" s="188" t="str">
        <f xml:space="preserve"> LEFT(E653, LEN(E653) - 4)</f>
        <v>WCF commitment fee - P99</v>
      </c>
      <c r="G654" s="188" t="str">
        <f xml:space="preserve"> SMU</f>
        <v>$ 000s</v>
      </c>
      <c r="H654" s="188">
        <f xml:space="preserve"> SUM(J654:CV654)</f>
        <v>0</v>
      </c>
      <c r="J654" s="188">
        <f t="shared" ref="J654:AO654" si="1031" xml:space="preserve"> -1 * J653</f>
        <v>0</v>
      </c>
      <c r="K654" s="188">
        <f t="shared" si="1031"/>
        <v>0</v>
      </c>
      <c r="L654" s="188">
        <f t="shared" si="1031"/>
        <v>0</v>
      </c>
      <c r="M654" s="188">
        <f t="shared" si="1031"/>
        <v>0</v>
      </c>
      <c r="N654" s="188">
        <f t="shared" si="1031"/>
        <v>0</v>
      </c>
      <c r="O654" s="188">
        <f t="shared" si="1031"/>
        <v>0</v>
      </c>
      <c r="P654" s="188">
        <f t="shared" si="1031"/>
        <v>0</v>
      </c>
      <c r="Q654" s="188">
        <f t="shared" si="1031"/>
        <v>0</v>
      </c>
      <c r="R654" s="188">
        <f t="shared" si="1031"/>
        <v>0</v>
      </c>
      <c r="S654" s="188">
        <f t="shared" si="1031"/>
        <v>0</v>
      </c>
      <c r="T654" s="188">
        <f t="shared" si="1031"/>
        <v>0</v>
      </c>
      <c r="U654" s="188">
        <f t="shared" si="1031"/>
        <v>0</v>
      </c>
      <c r="V654" s="188">
        <f t="shared" si="1031"/>
        <v>0</v>
      </c>
      <c r="W654" s="188">
        <f t="shared" si="1031"/>
        <v>0</v>
      </c>
      <c r="X654" s="188">
        <f t="shared" si="1031"/>
        <v>0</v>
      </c>
      <c r="Y654" s="188">
        <f t="shared" si="1031"/>
        <v>0</v>
      </c>
      <c r="Z654" s="188">
        <f t="shared" si="1031"/>
        <v>0</v>
      </c>
      <c r="AA654" s="188">
        <f t="shared" si="1031"/>
        <v>0</v>
      </c>
      <c r="AB654" s="188">
        <f t="shared" si="1031"/>
        <v>0</v>
      </c>
      <c r="AC654" s="188">
        <f t="shared" si="1031"/>
        <v>0</v>
      </c>
      <c r="AD654" s="188">
        <f t="shared" si="1031"/>
        <v>0</v>
      </c>
      <c r="AE654" s="188">
        <f t="shared" si="1031"/>
        <v>0</v>
      </c>
      <c r="AF654" s="188">
        <f t="shared" si="1031"/>
        <v>0</v>
      </c>
      <c r="AG654" s="188">
        <f t="shared" si="1031"/>
        <v>0</v>
      </c>
      <c r="AH654" s="188">
        <f t="shared" si="1031"/>
        <v>0</v>
      </c>
      <c r="AI654" s="188">
        <f t="shared" si="1031"/>
        <v>0</v>
      </c>
      <c r="AJ654" s="188">
        <f t="shared" si="1031"/>
        <v>0</v>
      </c>
      <c r="AK654" s="188">
        <f t="shared" si="1031"/>
        <v>0</v>
      </c>
      <c r="AL654" s="188">
        <f t="shared" si="1031"/>
        <v>0</v>
      </c>
      <c r="AM654" s="188">
        <f t="shared" si="1031"/>
        <v>0</v>
      </c>
      <c r="AN654" s="188">
        <f t="shared" si="1031"/>
        <v>0</v>
      </c>
      <c r="AO654" s="188">
        <f t="shared" si="1031"/>
        <v>0</v>
      </c>
      <c r="AP654" s="188">
        <f t="shared" ref="AP654:BU654" si="1032" xml:space="preserve"> -1 * AP653</f>
        <v>0</v>
      </c>
      <c r="AQ654" s="188">
        <f t="shared" si="1032"/>
        <v>0</v>
      </c>
      <c r="AR654" s="188">
        <f t="shared" si="1032"/>
        <v>0</v>
      </c>
      <c r="AS654" s="188">
        <f t="shared" si="1032"/>
        <v>0</v>
      </c>
      <c r="AT654" s="188">
        <f t="shared" si="1032"/>
        <v>0</v>
      </c>
      <c r="AU654" s="188">
        <f t="shared" si="1032"/>
        <v>0</v>
      </c>
      <c r="AV654" s="188">
        <f t="shared" si="1032"/>
        <v>0</v>
      </c>
      <c r="AW654" s="188">
        <f t="shared" si="1032"/>
        <v>0</v>
      </c>
      <c r="AX654" s="188">
        <f t="shared" si="1032"/>
        <v>0</v>
      </c>
      <c r="AY654" s="188">
        <f t="shared" si="1032"/>
        <v>0</v>
      </c>
      <c r="AZ654" s="188">
        <f t="shared" si="1032"/>
        <v>0</v>
      </c>
      <c r="BA654" s="188">
        <f t="shared" si="1032"/>
        <v>0</v>
      </c>
      <c r="BB654" s="188">
        <f t="shared" si="1032"/>
        <v>0</v>
      </c>
      <c r="BC654" s="188">
        <f t="shared" si="1032"/>
        <v>0</v>
      </c>
      <c r="BD654" s="188">
        <f t="shared" si="1032"/>
        <v>0</v>
      </c>
      <c r="BE654" s="188">
        <f t="shared" si="1032"/>
        <v>0</v>
      </c>
      <c r="BF654" s="188">
        <f t="shared" si="1032"/>
        <v>0</v>
      </c>
      <c r="BG654" s="188">
        <f t="shared" si="1032"/>
        <v>0</v>
      </c>
      <c r="BH654" s="188">
        <f t="shared" si="1032"/>
        <v>0</v>
      </c>
      <c r="BI654" s="188">
        <f t="shared" si="1032"/>
        <v>0</v>
      </c>
      <c r="BJ654" s="188">
        <f t="shared" si="1032"/>
        <v>0</v>
      </c>
      <c r="BK654" s="188">
        <f t="shared" si="1032"/>
        <v>0</v>
      </c>
      <c r="BL654" s="188">
        <f t="shared" si="1032"/>
        <v>0</v>
      </c>
      <c r="BM654" s="188">
        <f t="shared" si="1032"/>
        <v>0</v>
      </c>
      <c r="BN654" s="188">
        <f t="shared" si="1032"/>
        <v>0</v>
      </c>
      <c r="BO654" s="188">
        <f t="shared" si="1032"/>
        <v>0</v>
      </c>
      <c r="BP654" s="188">
        <f t="shared" si="1032"/>
        <v>0</v>
      </c>
      <c r="BQ654" s="188">
        <f t="shared" si="1032"/>
        <v>0</v>
      </c>
      <c r="BR654" s="188">
        <f t="shared" si="1032"/>
        <v>0</v>
      </c>
      <c r="BS654" s="188">
        <f t="shared" si="1032"/>
        <v>0</v>
      </c>
      <c r="BT654" s="188">
        <f t="shared" si="1032"/>
        <v>0</v>
      </c>
      <c r="BU654" s="188">
        <f t="shared" si="1032"/>
        <v>0</v>
      </c>
      <c r="BV654" s="188">
        <f t="shared" ref="BV654:CV654" si="1033" xml:space="preserve"> -1 * BV653</f>
        <v>0</v>
      </c>
      <c r="BW654" s="188">
        <f t="shared" si="1033"/>
        <v>0</v>
      </c>
      <c r="BX654" s="188">
        <f t="shared" si="1033"/>
        <v>0</v>
      </c>
      <c r="BY654" s="188">
        <f t="shared" si="1033"/>
        <v>0</v>
      </c>
      <c r="BZ654" s="188">
        <f t="shared" si="1033"/>
        <v>0</v>
      </c>
      <c r="CA654" s="188">
        <f t="shared" si="1033"/>
        <v>0</v>
      </c>
      <c r="CB654" s="188">
        <f t="shared" si="1033"/>
        <v>0</v>
      </c>
      <c r="CC654" s="188">
        <f t="shared" si="1033"/>
        <v>0</v>
      </c>
      <c r="CD654" s="188">
        <f t="shared" si="1033"/>
        <v>0</v>
      </c>
      <c r="CE654" s="188">
        <f t="shared" si="1033"/>
        <v>0</v>
      </c>
      <c r="CF654" s="188">
        <f t="shared" si="1033"/>
        <v>0</v>
      </c>
      <c r="CG654" s="188">
        <f t="shared" si="1033"/>
        <v>0</v>
      </c>
      <c r="CH654" s="188">
        <f t="shared" si="1033"/>
        <v>0</v>
      </c>
      <c r="CI654" s="188">
        <f t="shared" si="1033"/>
        <v>0</v>
      </c>
      <c r="CJ654" s="188">
        <f t="shared" si="1033"/>
        <v>0</v>
      </c>
      <c r="CK654" s="188">
        <f t="shared" si="1033"/>
        <v>0</v>
      </c>
      <c r="CL654" s="188">
        <f t="shared" si="1033"/>
        <v>0</v>
      </c>
      <c r="CM654" s="188">
        <f t="shared" si="1033"/>
        <v>0</v>
      </c>
      <c r="CN654" s="188">
        <f t="shared" si="1033"/>
        <v>0</v>
      </c>
      <c r="CO654" s="188">
        <f t="shared" si="1033"/>
        <v>0</v>
      </c>
      <c r="CP654" s="188">
        <f t="shared" si="1033"/>
        <v>0</v>
      </c>
      <c r="CQ654" s="188">
        <f t="shared" si="1033"/>
        <v>0</v>
      </c>
      <c r="CR654" s="188">
        <f t="shared" si="1033"/>
        <v>0</v>
      </c>
      <c r="CS654" s="188">
        <f t="shared" si="1033"/>
        <v>0</v>
      </c>
      <c r="CT654" s="188">
        <f t="shared" si="1033"/>
        <v>0</v>
      </c>
      <c r="CU654" s="188">
        <f t="shared" si="1033"/>
        <v>0</v>
      </c>
      <c r="CV654" s="188">
        <f t="shared" si="1033"/>
        <v>0</v>
      </c>
    </row>
    <row r="655" spans="1:100" ht="12.75" outlineLevel="1" x14ac:dyDescent="0.2">
      <c r="A655" s="79"/>
      <c r="B655" s="79"/>
      <c r="C655" s="561"/>
      <c r="D655" s="60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  <c r="AV655" s="32"/>
      <c r="AW655" s="32"/>
      <c r="AX655" s="32"/>
      <c r="AY655" s="32"/>
      <c r="AZ655" s="32"/>
      <c r="BA655" s="32"/>
      <c r="BB655" s="32"/>
      <c r="BC655" s="32"/>
      <c r="BD655" s="32"/>
      <c r="BE655" s="32"/>
      <c r="BF655" s="32"/>
      <c r="BG655" s="32"/>
      <c r="BH655" s="32"/>
      <c r="BI655" s="32"/>
      <c r="BJ655" s="32"/>
      <c r="BK655" s="32"/>
      <c r="BL655" s="32"/>
      <c r="BM655" s="32"/>
      <c r="BN655" s="32"/>
      <c r="BO655" s="32"/>
      <c r="BP655" s="32"/>
      <c r="BQ655" s="32"/>
      <c r="BR655" s="32"/>
      <c r="BS655" s="32"/>
      <c r="BT655" s="32"/>
      <c r="BU655" s="32"/>
      <c r="BV655" s="32"/>
      <c r="BW655" s="32"/>
      <c r="BX655" s="32"/>
      <c r="BY655" s="32"/>
      <c r="BZ655" s="32"/>
      <c r="CA655" s="32"/>
      <c r="CB655" s="32"/>
      <c r="CC655" s="32"/>
      <c r="CD655" s="32"/>
      <c r="CE655" s="32"/>
      <c r="CF655" s="32"/>
      <c r="CG655" s="32"/>
      <c r="CH655" s="32"/>
      <c r="CI655" s="32"/>
      <c r="CJ655" s="32"/>
      <c r="CK655" s="32"/>
      <c r="CL655" s="32"/>
      <c r="CM655" s="32"/>
      <c r="CN655" s="32"/>
      <c r="CO655" s="32"/>
      <c r="CP655" s="32"/>
      <c r="CQ655" s="32"/>
      <c r="CR655" s="32"/>
      <c r="CS655" s="32"/>
      <c r="CT655" s="32"/>
      <c r="CU655" s="32"/>
      <c r="CV655" s="32"/>
    </row>
    <row r="656" spans="1:100" ht="12.75" outlineLevel="1" x14ac:dyDescent="0.2">
      <c r="A656" s="79"/>
      <c r="B656" s="79" t="s">
        <v>482</v>
      </c>
      <c r="C656" s="561"/>
      <c r="D656" s="60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  <c r="AV656" s="32"/>
      <c r="AW656" s="32"/>
      <c r="AX656" s="32"/>
      <c r="AY656" s="32"/>
      <c r="AZ656" s="32"/>
      <c r="BA656" s="32"/>
      <c r="BB656" s="32"/>
      <c r="BC656" s="32"/>
      <c r="BD656" s="32"/>
      <c r="BE656" s="32"/>
      <c r="BF656" s="32"/>
      <c r="BG656" s="32"/>
      <c r="BH656" s="32"/>
      <c r="BI656" s="32"/>
      <c r="BJ656" s="32"/>
      <c r="BK656" s="32"/>
      <c r="BL656" s="32"/>
      <c r="BM656" s="32"/>
      <c r="BN656" s="32"/>
      <c r="BO656" s="32"/>
      <c r="BP656" s="32"/>
      <c r="BQ656" s="32"/>
      <c r="BR656" s="32"/>
      <c r="BS656" s="32"/>
      <c r="BT656" s="32"/>
      <c r="BU656" s="32"/>
      <c r="BV656" s="32"/>
      <c r="BW656" s="32"/>
      <c r="BX656" s="32"/>
      <c r="BY656" s="32"/>
      <c r="BZ656" s="32"/>
      <c r="CA656" s="32"/>
      <c r="CB656" s="32"/>
      <c r="CC656" s="32"/>
      <c r="CD656" s="32"/>
      <c r="CE656" s="32"/>
      <c r="CF656" s="32"/>
      <c r="CG656" s="32"/>
      <c r="CH656" s="32"/>
      <c r="CI656" s="32"/>
      <c r="CJ656" s="32"/>
      <c r="CK656" s="32"/>
      <c r="CL656" s="32"/>
      <c r="CM656" s="32"/>
      <c r="CN656" s="32"/>
      <c r="CO656" s="32"/>
      <c r="CP656" s="32"/>
      <c r="CQ656" s="32"/>
      <c r="CR656" s="32"/>
      <c r="CS656" s="32"/>
      <c r="CT656" s="32"/>
      <c r="CU656" s="32"/>
      <c r="CV656" s="32"/>
    </row>
    <row r="657" spans="1:100" ht="12.75" outlineLevel="2" x14ac:dyDescent="0.2">
      <c r="A657" s="79"/>
      <c r="B657" s="79"/>
      <c r="C657" s="561"/>
      <c r="D657" s="60"/>
      <c r="E657" s="32" t="str">
        <f t="shared" ref="E657:AJ657" si="1034" xml:space="preserve"> E$664</f>
        <v>WCF balance P99 BEG</v>
      </c>
      <c r="F657" s="32">
        <f t="shared" si="1034"/>
        <v>0</v>
      </c>
      <c r="G657" s="32" t="str">
        <f t="shared" si="1034"/>
        <v>$ 000s</v>
      </c>
      <c r="H657" s="32">
        <f t="shared" si="1034"/>
        <v>0</v>
      </c>
      <c r="I657" s="32">
        <f t="shared" si="1034"/>
        <v>0</v>
      </c>
      <c r="J657" s="32">
        <f t="shared" si="1034"/>
        <v>0</v>
      </c>
      <c r="K657" s="32">
        <f t="shared" si="1034"/>
        <v>0</v>
      </c>
      <c r="L657" s="32">
        <f t="shared" si="1034"/>
        <v>0</v>
      </c>
      <c r="M657" s="32">
        <f t="shared" si="1034"/>
        <v>0</v>
      </c>
      <c r="N657" s="32">
        <f t="shared" si="1034"/>
        <v>0</v>
      </c>
      <c r="O657" s="32">
        <f t="shared" si="1034"/>
        <v>0</v>
      </c>
      <c r="P657" s="32">
        <f t="shared" si="1034"/>
        <v>0</v>
      </c>
      <c r="Q657" s="32">
        <f t="shared" si="1034"/>
        <v>0</v>
      </c>
      <c r="R657" s="32">
        <f t="shared" si="1034"/>
        <v>0</v>
      </c>
      <c r="S657" s="32">
        <f t="shared" si="1034"/>
        <v>0</v>
      </c>
      <c r="T657" s="32">
        <f t="shared" si="1034"/>
        <v>0</v>
      </c>
      <c r="U657" s="32">
        <f t="shared" si="1034"/>
        <v>0</v>
      </c>
      <c r="V657" s="32">
        <f t="shared" si="1034"/>
        <v>0</v>
      </c>
      <c r="W657" s="32">
        <f t="shared" si="1034"/>
        <v>0</v>
      </c>
      <c r="X657" s="32">
        <f t="shared" si="1034"/>
        <v>0</v>
      </c>
      <c r="Y657" s="32">
        <f t="shared" si="1034"/>
        <v>0</v>
      </c>
      <c r="Z657" s="32">
        <f t="shared" si="1034"/>
        <v>0</v>
      </c>
      <c r="AA657" s="32">
        <f t="shared" si="1034"/>
        <v>0</v>
      </c>
      <c r="AB657" s="32">
        <f t="shared" si="1034"/>
        <v>0</v>
      </c>
      <c r="AC657" s="32">
        <f t="shared" si="1034"/>
        <v>0</v>
      </c>
      <c r="AD657" s="32">
        <f t="shared" si="1034"/>
        <v>0</v>
      </c>
      <c r="AE657" s="32">
        <f t="shared" si="1034"/>
        <v>0</v>
      </c>
      <c r="AF657" s="32">
        <f t="shared" si="1034"/>
        <v>0</v>
      </c>
      <c r="AG657" s="32">
        <f t="shared" si="1034"/>
        <v>0</v>
      </c>
      <c r="AH657" s="32">
        <f t="shared" si="1034"/>
        <v>0</v>
      </c>
      <c r="AI657" s="32">
        <f t="shared" si="1034"/>
        <v>0</v>
      </c>
      <c r="AJ657" s="32">
        <f t="shared" si="1034"/>
        <v>0</v>
      </c>
      <c r="AK657" s="32">
        <f t="shared" ref="AK657:BP657" si="1035" xml:space="preserve"> AK$664</f>
        <v>0</v>
      </c>
      <c r="AL657" s="32">
        <f t="shared" si="1035"/>
        <v>0</v>
      </c>
      <c r="AM657" s="32">
        <f t="shared" si="1035"/>
        <v>0</v>
      </c>
      <c r="AN657" s="32">
        <f t="shared" si="1035"/>
        <v>0</v>
      </c>
      <c r="AO657" s="32">
        <f t="shared" si="1035"/>
        <v>0</v>
      </c>
      <c r="AP657" s="32">
        <f t="shared" si="1035"/>
        <v>0</v>
      </c>
      <c r="AQ657" s="32">
        <f t="shared" si="1035"/>
        <v>0</v>
      </c>
      <c r="AR657" s="32">
        <f t="shared" si="1035"/>
        <v>0</v>
      </c>
      <c r="AS657" s="32">
        <f t="shared" si="1035"/>
        <v>0</v>
      </c>
      <c r="AT657" s="32">
        <f t="shared" si="1035"/>
        <v>0</v>
      </c>
      <c r="AU657" s="32">
        <f t="shared" si="1035"/>
        <v>0</v>
      </c>
      <c r="AV657" s="32">
        <f t="shared" si="1035"/>
        <v>0</v>
      </c>
      <c r="AW657" s="32">
        <f t="shared" si="1035"/>
        <v>0</v>
      </c>
      <c r="AX657" s="32">
        <f t="shared" si="1035"/>
        <v>0</v>
      </c>
      <c r="AY657" s="32">
        <f t="shared" si="1035"/>
        <v>0</v>
      </c>
      <c r="AZ657" s="32">
        <f t="shared" si="1035"/>
        <v>0</v>
      </c>
      <c r="BA657" s="32">
        <f t="shared" si="1035"/>
        <v>0</v>
      </c>
      <c r="BB657" s="32">
        <f t="shared" si="1035"/>
        <v>0</v>
      </c>
      <c r="BC657" s="32">
        <f t="shared" si="1035"/>
        <v>0</v>
      </c>
      <c r="BD657" s="32">
        <f t="shared" si="1035"/>
        <v>0</v>
      </c>
      <c r="BE657" s="32">
        <f t="shared" si="1035"/>
        <v>0</v>
      </c>
      <c r="BF657" s="32">
        <f t="shared" si="1035"/>
        <v>0</v>
      </c>
      <c r="BG657" s="32">
        <f t="shared" si="1035"/>
        <v>0</v>
      </c>
      <c r="BH657" s="32">
        <f t="shared" si="1035"/>
        <v>0</v>
      </c>
      <c r="BI657" s="32">
        <f t="shared" si="1035"/>
        <v>0</v>
      </c>
      <c r="BJ657" s="32">
        <f t="shared" si="1035"/>
        <v>0</v>
      </c>
      <c r="BK657" s="32">
        <f t="shared" si="1035"/>
        <v>0</v>
      </c>
      <c r="BL657" s="32">
        <f t="shared" si="1035"/>
        <v>0</v>
      </c>
      <c r="BM657" s="32">
        <f t="shared" si="1035"/>
        <v>0</v>
      </c>
      <c r="BN657" s="32">
        <f t="shared" si="1035"/>
        <v>0</v>
      </c>
      <c r="BO657" s="32">
        <f t="shared" si="1035"/>
        <v>0</v>
      </c>
      <c r="BP657" s="32">
        <f t="shared" si="1035"/>
        <v>0</v>
      </c>
      <c r="BQ657" s="32">
        <f t="shared" ref="BQ657:CV657" si="1036" xml:space="preserve"> BQ$664</f>
        <v>0</v>
      </c>
      <c r="BR657" s="32">
        <f t="shared" si="1036"/>
        <v>0</v>
      </c>
      <c r="BS657" s="32">
        <f t="shared" si="1036"/>
        <v>0</v>
      </c>
      <c r="BT657" s="32">
        <f t="shared" si="1036"/>
        <v>0</v>
      </c>
      <c r="BU657" s="32">
        <f t="shared" si="1036"/>
        <v>0</v>
      </c>
      <c r="BV657" s="32">
        <f t="shared" si="1036"/>
        <v>0</v>
      </c>
      <c r="BW657" s="32">
        <f t="shared" si="1036"/>
        <v>0</v>
      </c>
      <c r="BX657" s="32">
        <f t="shared" si="1036"/>
        <v>0</v>
      </c>
      <c r="BY657" s="32">
        <f t="shared" si="1036"/>
        <v>0</v>
      </c>
      <c r="BZ657" s="32">
        <f t="shared" si="1036"/>
        <v>0</v>
      </c>
      <c r="CA657" s="32">
        <f t="shared" si="1036"/>
        <v>0</v>
      </c>
      <c r="CB657" s="32">
        <f t="shared" si="1036"/>
        <v>0</v>
      </c>
      <c r="CC657" s="32">
        <f t="shared" si="1036"/>
        <v>0</v>
      </c>
      <c r="CD657" s="32">
        <f t="shared" si="1036"/>
        <v>0</v>
      </c>
      <c r="CE657" s="32">
        <f t="shared" si="1036"/>
        <v>0</v>
      </c>
      <c r="CF657" s="32">
        <f t="shared" si="1036"/>
        <v>0</v>
      </c>
      <c r="CG657" s="32">
        <f t="shared" si="1036"/>
        <v>0</v>
      </c>
      <c r="CH657" s="32">
        <f t="shared" si="1036"/>
        <v>0</v>
      </c>
      <c r="CI657" s="32">
        <f t="shared" si="1036"/>
        <v>0</v>
      </c>
      <c r="CJ657" s="32">
        <f t="shared" si="1036"/>
        <v>0</v>
      </c>
      <c r="CK657" s="32">
        <f t="shared" si="1036"/>
        <v>0</v>
      </c>
      <c r="CL657" s="32">
        <f t="shared" si="1036"/>
        <v>0</v>
      </c>
      <c r="CM657" s="32">
        <f t="shared" si="1036"/>
        <v>0</v>
      </c>
      <c r="CN657" s="32">
        <f t="shared" si="1036"/>
        <v>0</v>
      </c>
      <c r="CO657" s="32">
        <f t="shared" si="1036"/>
        <v>0</v>
      </c>
      <c r="CP657" s="32">
        <f t="shared" si="1036"/>
        <v>0</v>
      </c>
      <c r="CQ657" s="32">
        <f t="shared" si="1036"/>
        <v>0</v>
      </c>
      <c r="CR657" s="32">
        <f t="shared" si="1036"/>
        <v>0</v>
      </c>
      <c r="CS657" s="32">
        <f t="shared" si="1036"/>
        <v>0</v>
      </c>
      <c r="CT657" s="32">
        <f t="shared" si="1036"/>
        <v>0</v>
      </c>
      <c r="CU657" s="32">
        <f t="shared" si="1036"/>
        <v>0</v>
      </c>
      <c r="CV657" s="32">
        <f t="shared" si="1036"/>
        <v>0</v>
      </c>
    </row>
    <row r="658" spans="1:100" ht="12.75" outlineLevel="2" x14ac:dyDescent="0.2">
      <c r="A658" s="79"/>
      <c r="B658" s="79"/>
      <c r="C658" s="561"/>
      <c r="D658" s="60"/>
      <c r="E658" s="589" t="str">
        <f t="shared" ref="E658:AJ658" si="1037" xml:space="preserve"> E$599</f>
        <v>All-in interest rate</v>
      </c>
      <c r="F658" s="589">
        <f t="shared" si="1037"/>
        <v>0</v>
      </c>
      <c r="G658" s="589" t="str">
        <f t="shared" si="1037"/>
        <v>%</v>
      </c>
      <c r="H658" s="589">
        <f t="shared" si="1037"/>
        <v>0</v>
      </c>
      <c r="I658" s="589">
        <f t="shared" si="1037"/>
        <v>0</v>
      </c>
      <c r="J658" s="589">
        <f t="shared" si="1037"/>
        <v>2.5170061111111107E-2</v>
      </c>
      <c r="K658" s="589">
        <f t="shared" si="1037"/>
        <v>2.5618933333333337E-2</v>
      </c>
      <c r="L658" s="589">
        <f t="shared" si="1037"/>
        <v>2.5231400000000001E-2</v>
      </c>
      <c r="M658" s="589">
        <f t="shared" si="1037"/>
        <v>2.5678733333333335E-2</v>
      </c>
      <c r="N658" s="589">
        <f t="shared" si="1037"/>
        <v>2.543348888888889E-2</v>
      </c>
      <c r="O658" s="589">
        <f t="shared" si="1037"/>
        <v>2.5747222222222227E-2</v>
      </c>
      <c r="P658" s="589">
        <f t="shared" si="1037"/>
        <v>2.535709444444445E-2</v>
      </c>
      <c r="Q658" s="589">
        <f t="shared" si="1037"/>
        <v>2.5814177777777777E-2</v>
      </c>
      <c r="R658" s="589">
        <f t="shared" si="1037"/>
        <v>2.5424969444444449E-2</v>
      </c>
      <c r="S658" s="589">
        <f t="shared" si="1037"/>
        <v>2.5872444444444441E-2</v>
      </c>
      <c r="T658" s="589">
        <f t="shared" si="1037"/>
        <v>2.5473738888888892E-2</v>
      </c>
      <c r="U658" s="589">
        <f t="shared" si="1037"/>
        <v>2.5923044444444446E-2</v>
      </c>
      <c r="V658" s="589">
        <f t="shared" si="1037"/>
        <v>2.5660483333333334E-2</v>
      </c>
      <c r="W658" s="589">
        <f t="shared" si="1037"/>
        <v>2.5961888888888895E-2</v>
      </c>
      <c r="X658" s="589">
        <f t="shared" si="1037"/>
        <v>2.5566250000000002E-2</v>
      </c>
      <c r="Y658" s="589">
        <f t="shared" si="1037"/>
        <v>2.6009422222222224E-2</v>
      </c>
      <c r="Z658" s="589">
        <f t="shared" si="1037"/>
        <v>2.5618538888888889E-2</v>
      </c>
      <c r="AA658" s="589">
        <f t="shared" si="1037"/>
        <v>2.6078933333333332E-2</v>
      </c>
      <c r="AB658" s="589">
        <f t="shared" si="1037"/>
        <v>2.5687419444444446E-2</v>
      </c>
      <c r="AC658" s="589">
        <f t="shared" si="1037"/>
        <v>2.613515555555556E-2</v>
      </c>
      <c r="AD658" s="589">
        <f t="shared" si="1037"/>
        <v>2.5886972222222224E-2</v>
      </c>
      <c r="AE658" s="589">
        <f t="shared" si="1037"/>
        <v>2.6209266666666668E-2</v>
      </c>
      <c r="AF658" s="589">
        <f t="shared" si="1037"/>
        <v>2.5800544444444448E-2</v>
      </c>
      <c r="AG658" s="589">
        <f t="shared" si="1037"/>
        <v>2.6254244444444449E-2</v>
      </c>
      <c r="AH658" s="589">
        <f t="shared" si="1037"/>
        <v>2.5853336111111118E-2</v>
      </c>
      <c r="AI658" s="589">
        <f t="shared" si="1037"/>
        <v>2.630688888888889E-2</v>
      </c>
      <c r="AJ658" s="589">
        <f t="shared" si="1037"/>
        <v>2.5901100000000003E-2</v>
      </c>
      <c r="AK658" s="589">
        <f t="shared" ref="AK658:BP658" si="1038" xml:space="preserve"> AK$599</f>
        <v>2.6358000000000003E-2</v>
      </c>
      <c r="AL658" s="589">
        <f t="shared" si="1038"/>
        <v>2.6106383333333337E-2</v>
      </c>
      <c r="AM658" s="589">
        <f t="shared" si="1038"/>
        <v>2.6429044444444449E-2</v>
      </c>
      <c r="AN658" s="589">
        <f t="shared" si="1038"/>
        <v>2.6029811111111113E-2</v>
      </c>
      <c r="AO658" s="589">
        <f t="shared" si="1038"/>
        <v>2.6482200000000004E-2</v>
      </c>
      <c r="AP658" s="589">
        <f t="shared" si="1038"/>
        <v>2.607305E-2</v>
      </c>
      <c r="AQ658" s="589">
        <f t="shared" si="1038"/>
        <v>2.653331111111111E-2</v>
      </c>
      <c r="AR658" s="589">
        <f t="shared" si="1038"/>
        <v>2.6137405555555555E-2</v>
      </c>
      <c r="AS658" s="589">
        <f t="shared" si="1038"/>
        <v>2.6598733333333336E-2</v>
      </c>
      <c r="AT658" s="589">
        <f t="shared" si="1038"/>
        <v>2.6333883333333336E-2</v>
      </c>
      <c r="AU658" s="589">
        <f t="shared" si="1038"/>
        <v>2.6653422222222219E-2</v>
      </c>
      <c r="AV658" s="589">
        <f t="shared" si="1038"/>
        <v>2.6253044444444446E-2</v>
      </c>
      <c r="AW658" s="589">
        <f t="shared" si="1038"/>
        <v>2.6721911111111111E-2</v>
      </c>
      <c r="AX658" s="589">
        <f t="shared" si="1038"/>
        <v>2.6320919444444445E-2</v>
      </c>
      <c r="AY658" s="589">
        <f t="shared" si="1038"/>
        <v>2.6786822222222222E-2</v>
      </c>
      <c r="AZ658" s="589">
        <f t="shared" si="1038"/>
        <v>2.6368180555555561E-2</v>
      </c>
      <c r="BA658" s="589">
        <f t="shared" si="1038"/>
        <v>2.6827711111111111E-2</v>
      </c>
      <c r="BB658" s="589">
        <f t="shared" si="1038"/>
        <v>2.6559361111111113E-2</v>
      </c>
      <c r="BC658" s="589">
        <f t="shared" si="1038"/>
        <v>2.6888022222222224E-2</v>
      </c>
      <c r="BD658" s="589">
        <f t="shared" si="1038"/>
        <v>2.6469741666666668E-2</v>
      </c>
      <c r="BE658" s="589">
        <f t="shared" si="1038"/>
        <v>2.6927377777777775E-2</v>
      </c>
      <c r="BF658" s="589">
        <f t="shared" si="1038"/>
        <v>2.6513483333333334E-2</v>
      </c>
      <c r="BG658" s="589">
        <f t="shared" si="1038"/>
        <v>2.6989733333333335E-2</v>
      </c>
      <c r="BH658" s="589">
        <f t="shared" si="1038"/>
        <v>2.6572811111111108E-2</v>
      </c>
      <c r="BI658" s="589">
        <f t="shared" si="1038"/>
        <v>2.7037266666666671E-2</v>
      </c>
      <c r="BJ658" s="589">
        <f t="shared" si="1038"/>
        <v>2.6770683333333333E-2</v>
      </c>
      <c r="BK658" s="589">
        <f t="shared" si="1038"/>
        <v>2.7103199999999994E-2</v>
      </c>
      <c r="BL658" s="589">
        <f t="shared" si="1038"/>
        <v>2.6694483333333335E-2</v>
      </c>
      <c r="BM658" s="589">
        <f t="shared" si="1038"/>
        <v>2.7163511111111111E-2</v>
      </c>
      <c r="BN658" s="589">
        <f t="shared" si="1038"/>
        <v>2.6753811111111105E-2</v>
      </c>
      <c r="BO658" s="589">
        <f t="shared" si="1038"/>
        <v>2.7218711111111109E-2</v>
      </c>
      <c r="BP658" s="589">
        <f t="shared" si="1038"/>
        <v>2.6792524999999998E-2</v>
      </c>
      <c r="BQ658" s="589">
        <f t="shared" ref="BQ658:CV658" si="1039" xml:space="preserve"> BQ$599</f>
        <v>2.7259599999999995E-2</v>
      </c>
      <c r="BR658" s="589">
        <f t="shared" si="1039"/>
        <v>2.6983016666666668E-2</v>
      </c>
      <c r="BS658" s="589">
        <f t="shared" si="1039"/>
        <v>2.7300488888888884E-2</v>
      </c>
      <c r="BT658" s="589">
        <f t="shared" si="1039"/>
        <v>2.6885036111111107E-2</v>
      </c>
      <c r="BU658" s="589">
        <f t="shared" si="1039"/>
        <v>2.7354666666666666E-2</v>
      </c>
      <c r="BV658" s="589">
        <f t="shared" si="1039"/>
        <v>2.694536944444444E-2</v>
      </c>
      <c r="BW658" s="589">
        <f t="shared" si="1039"/>
        <v>2.7426733333333328E-2</v>
      </c>
      <c r="BX658" s="589">
        <f t="shared" si="1039"/>
        <v>2.7013747222222221E-2</v>
      </c>
      <c r="BY658" s="589">
        <f t="shared" si="1039"/>
        <v>2.7490622222222223E-2</v>
      </c>
      <c r="BZ658" s="589">
        <f t="shared" si="1039"/>
        <v>2.7220122222222219E-2</v>
      </c>
      <c r="CA658" s="589">
        <f t="shared" si="1039"/>
        <v>2.7552977777777776E-2</v>
      </c>
      <c r="CB658" s="589">
        <f t="shared" si="1039"/>
        <v>2.7130894444444442E-2</v>
      </c>
      <c r="CC658" s="589">
        <f t="shared" si="1039"/>
        <v>2.7606133333333331E-2</v>
      </c>
      <c r="CD658" s="589">
        <f t="shared" si="1039"/>
        <v>2.7185697222222218E-2</v>
      </c>
      <c r="CE658" s="589">
        <f t="shared" si="1039"/>
        <v>2.7661333333333329E-2</v>
      </c>
      <c r="CF658" s="589">
        <f t="shared" si="1039"/>
        <v>2.7233963888888883E-2</v>
      </c>
      <c r="CG658" s="589">
        <f t="shared" si="1039"/>
        <v>2.7710399999999996E-2</v>
      </c>
      <c r="CH658" s="589">
        <f t="shared" si="1039"/>
        <v>2.7433466666666659E-2</v>
      </c>
      <c r="CI658" s="589">
        <f t="shared" si="1039"/>
        <v>2.7754355555555547E-2</v>
      </c>
      <c r="CJ658" s="589">
        <f t="shared" si="1039"/>
        <v>2.7334016666666665E-2</v>
      </c>
      <c r="CK658" s="589">
        <f t="shared" si="1039"/>
        <v>2.7809044444444441E-2</v>
      </c>
      <c r="CL658" s="589">
        <f t="shared" si="1039"/>
        <v>2.7382786111111109E-2</v>
      </c>
      <c r="CM658" s="589">
        <f t="shared" si="1039"/>
        <v>2.7871399999999998E-2</v>
      </c>
      <c r="CN658" s="589">
        <f t="shared" si="1039"/>
        <v>2.7445130555555551E-2</v>
      </c>
      <c r="CO658" s="589">
        <f t="shared" si="1039"/>
        <v>2.7918422222222218E-2</v>
      </c>
      <c r="CP658" s="589">
        <f t="shared" si="1039"/>
        <v>2.7648327777777773E-2</v>
      </c>
      <c r="CQ658" s="589">
        <f t="shared" si="1039"/>
        <v>2.7977711111111109E-2</v>
      </c>
      <c r="CR658" s="589">
        <f t="shared" si="1039"/>
        <v>2.7547194444444437E-2</v>
      </c>
      <c r="CS658" s="589">
        <f t="shared" si="1039"/>
        <v>2.8026777777777775E-2</v>
      </c>
      <c r="CT658" s="589">
        <f t="shared" si="1039"/>
        <v>2.7588924999999997E-2</v>
      </c>
      <c r="CU658" s="589">
        <f t="shared" si="1039"/>
        <v>2.8075844444444439E-2</v>
      </c>
      <c r="CV658" s="589">
        <f t="shared" si="1039"/>
        <v>2.7644733333333327E-2</v>
      </c>
    </row>
    <row r="659" spans="1:100" ht="12.75" outlineLevel="2" x14ac:dyDescent="0.2">
      <c r="A659" s="79"/>
      <c r="B659" s="79"/>
      <c r="C659" s="561"/>
      <c r="D659" s="60"/>
      <c r="E659" s="125" t="str">
        <f xml:space="preserve"> Time!E$106</f>
        <v>Operating period flag</v>
      </c>
      <c r="F659" s="125">
        <f xml:space="preserve"> Time!F$106</f>
        <v>0</v>
      </c>
      <c r="G659" s="125" t="str">
        <f xml:space="preserve"> Time!G$106</f>
        <v>flag</v>
      </c>
      <c r="H659" s="125">
        <f xml:space="preserve"> Time!H$106</f>
        <v>40</v>
      </c>
      <c r="I659" s="125">
        <f xml:space="preserve"> Time!I$106</f>
        <v>0</v>
      </c>
      <c r="J659" s="125">
        <f xml:space="preserve"> Time!J$106</f>
        <v>0</v>
      </c>
      <c r="K659" s="125">
        <f xml:space="preserve"> Time!K$106</f>
        <v>0</v>
      </c>
      <c r="L659" s="125">
        <f xml:space="preserve"> Time!L$106</f>
        <v>0</v>
      </c>
      <c r="M659" s="125">
        <f xml:space="preserve"> Time!M$106</f>
        <v>0</v>
      </c>
      <c r="N659" s="125">
        <f xml:space="preserve"> Time!N$106</f>
        <v>0</v>
      </c>
      <c r="O659" s="125">
        <f xml:space="preserve"> Time!O$106</f>
        <v>1</v>
      </c>
      <c r="P659" s="125">
        <f xml:space="preserve"> Time!P$106</f>
        <v>1</v>
      </c>
      <c r="Q659" s="125">
        <f xml:space="preserve"> Time!Q$106</f>
        <v>1</v>
      </c>
      <c r="R659" s="125">
        <f xml:space="preserve"> Time!R$106</f>
        <v>1</v>
      </c>
      <c r="S659" s="125">
        <f xml:space="preserve"> Time!S$106</f>
        <v>1</v>
      </c>
      <c r="T659" s="125">
        <f xml:space="preserve"> Time!T$106</f>
        <v>1</v>
      </c>
      <c r="U659" s="125">
        <f xml:space="preserve"> Time!U$106</f>
        <v>1</v>
      </c>
      <c r="V659" s="125">
        <f xml:space="preserve"> Time!V$106</f>
        <v>1</v>
      </c>
      <c r="W659" s="125">
        <f xml:space="preserve"> Time!W$106</f>
        <v>1</v>
      </c>
      <c r="X659" s="125">
        <f xml:space="preserve"> Time!X$106</f>
        <v>1</v>
      </c>
      <c r="Y659" s="125">
        <f xml:space="preserve"> Time!Y$106</f>
        <v>1</v>
      </c>
      <c r="Z659" s="125">
        <f xml:space="preserve"> Time!Z$106</f>
        <v>1</v>
      </c>
      <c r="AA659" s="125">
        <f xml:space="preserve"> Time!AA$106</f>
        <v>1</v>
      </c>
      <c r="AB659" s="125">
        <f xml:space="preserve"> Time!AB$106</f>
        <v>1</v>
      </c>
      <c r="AC659" s="125">
        <f xml:space="preserve"> Time!AC$106</f>
        <v>1</v>
      </c>
      <c r="AD659" s="125">
        <f xml:space="preserve"> Time!AD$106</f>
        <v>1</v>
      </c>
      <c r="AE659" s="125">
        <f xml:space="preserve"> Time!AE$106</f>
        <v>1</v>
      </c>
      <c r="AF659" s="125">
        <f xml:space="preserve"> Time!AF$106</f>
        <v>1</v>
      </c>
      <c r="AG659" s="125">
        <f xml:space="preserve"> Time!AG$106</f>
        <v>1</v>
      </c>
      <c r="AH659" s="125">
        <f xml:space="preserve"> Time!AH$106</f>
        <v>1</v>
      </c>
      <c r="AI659" s="125">
        <f xml:space="preserve"> Time!AI$106</f>
        <v>1</v>
      </c>
      <c r="AJ659" s="125">
        <f xml:space="preserve"> Time!AJ$106</f>
        <v>1</v>
      </c>
      <c r="AK659" s="125">
        <f xml:space="preserve"> Time!AK$106</f>
        <v>1</v>
      </c>
      <c r="AL659" s="125">
        <f xml:space="preserve"> Time!AL$106</f>
        <v>1</v>
      </c>
      <c r="AM659" s="125">
        <f xml:space="preserve"> Time!AM$106</f>
        <v>1</v>
      </c>
      <c r="AN659" s="125">
        <f xml:space="preserve"> Time!AN$106</f>
        <v>1</v>
      </c>
      <c r="AO659" s="125">
        <f xml:space="preserve"> Time!AO$106</f>
        <v>1</v>
      </c>
      <c r="AP659" s="125">
        <f xml:space="preserve"> Time!AP$106</f>
        <v>1</v>
      </c>
      <c r="AQ659" s="125">
        <f xml:space="preserve"> Time!AQ$106</f>
        <v>1</v>
      </c>
      <c r="AR659" s="125">
        <f xml:space="preserve"> Time!AR$106</f>
        <v>1</v>
      </c>
      <c r="AS659" s="125">
        <f xml:space="preserve"> Time!AS$106</f>
        <v>1</v>
      </c>
      <c r="AT659" s="125">
        <f xml:space="preserve"> Time!AT$106</f>
        <v>1</v>
      </c>
      <c r="AU659" s="125">
        <f xml:space="preserve"> Time!AU$106</f>
        <v>1</v>
      </c>
      <c r="AV659" s="125">
        <f xml:space="preserve"> Time!AV$106</f>
        <v>1</v>
      </c>
      <c r="AW659" s="125">
        <f xml:space="preserve"> Time!AW$106</f>
        <v>1</v>
      </c>
      <c r="AX659" s="125">
        <f xml:space="preserve"> Time!AX$106</f>
        <v>1</v>
      </c>
      <c r="AY659" s="125">
        <f xml:space="preserve"> Time!AY$106</f>
        <v>1</v>
      </c>
      <c r="AZ659" s="125">
        <f xml:space="preserve"> Time!AZ$106</f>
        <v>1</v>
      </c>
      <c r="BA659" s="125">
        <f xml:space="preserve"> Time!BA$106</f>
        <v>1</v>
      </c>
      <c r="BB659" s="125">
        <f xml:space="preserve"> Time!BB$106</f>
        <v>1</v>
      </c>
      <c r="BC659" s="125">
        <f xml:space="preserve"> Time!BC$106</f>
        <v>0</v>
      </c>
      <c r="BD659" s="125">
        <f xml:space="preserve"> Time!BD$106</f>
        <v>0</v>
      </c>
      <c r="BE659" s="125">
        <f xml:space="preserve"> Time!BE$106</f>
        <v>0</v>
      </c>
      <c r="BF659" s="125">
        <f xml:space="preserve"> Time!BF$106</f>
        <v>0</v>
      </c>
      <c r="BG659" s="125">
        <f xml:space="preserve"> Time!BG$106</f>
        <v>0</v>
      </c>
      <c r="BH659" s="125">
        <f xml:space="preserve"> Time!BH$106</f>
        <v>0</v>
      </c>
      <c r="BI659" s="125">
        <f xml:space="preserve"> Time!BI$106</f>
        <v>0</v>
      </c>
      <c r="BJ659" s="125">
        <f xml:space="preserve"> Time!BJ$106</f>
        <v>0</v>
      </c>
      <c r="BK659" s="125">
        <f xml:space="preserve"> Time!BK$106</f>
        <v>0</v>
      </c>
      <c r="BL659" s="125">
        <f xml:space="preserve"> Time!BL$106</f>
        <v>0</v>
      </c>
      <c r="BM659" s="125">
        <f xml:space="preserve"> Time!BM$106</f>
        <v>0</v>
      </c>
      <c r="BN659" s="125">
        <f xml:space="preserve"> Time!BN$106</f>
        <v>0</v>
      </c>
      <c r="BO659" s="125">
        <f xml:space="preserve"> Time!BO$106</f>
        <v>0</v>
      </c>
      <c r="BP659" s="125">
        <f xml:space="preserve"> Time!BP$106</f>
        <v>0</v>
      </c>
      <c r="BQ659" s="125">
        <f xml:space="preserve"> Time!BQ$106</f>
        <v>0</v>
      </c>
      <c r="BR659" s="125">
        <f xml:space="preserve"> Time!BR$106</f>
        <v>0</v>
      </c>
      <c r="BS659" s="125">
        <f xml:space="preserve"> Time!BS$106</f>
        <v>0</v>
      </c>
      <c r="BT659" s="125">
        <f xml:space="preserve"> Time!BT$106</f>
        <v>0</v>
      </c>
      <c r="BU659" s="125">
        <f xml:space="preserve"> Time!BU$106</f>
        <v>0</v>
      </c>
      <c r="BV659" s="125">
        <f xml:space="preserve"> Time!BV$106</f>
        <v>0</v>
      </c>
      <c r="BW659" s="125">
        <f xml:space="preserve"> Time!BW$106</f>
        <v>0</v>
      </c>
      <c r="BX659" s="125">
        <f xml:space="preserve"> Time!BX$106</f>
        <v>0</v>
      </c>
      <c r="BY659" s="125">
        <f xml:space="preserve"> Time!BY$106</f>
        <v>0</v>
      </c>
      <c r="BZ659" s="125">
        <f xml:space="preserve"> Time!BZ$106</f>
        <v>0</v>
      </c>
      <c r="CA659" s="125">
        <f xml:space="preserve"> Time!CA$106</f>
        <v>0</v>
      </c>
      <c r="CB659" s="125">
        <f xml:space="preserve"> Time!CB$106</f>
        <v>0</v>
      </c>
      <c r="CC659" s="125">
        <f xml:space="preserve"> Time!CC$106</f>
        <v>0</v>
      </c>
      <c r="CD659" s="125">
        <f xml:space="preserve"> Time!CD$106</f>
        <v>0</v>
      </c>
      <c r="CE659" s="125">
        <f xml:space="preserve"> Time!CE$106</f>
        <v>0</v>
      </c>
      <c r="CF659" s="125">
        <f xml:space="preserve"> Time!CF$106</f>
        <v>0</v>
      </c>
      <c r="CG659" s="125">
        <f xml:space="preserve"> Time!CG$106</f>
        <v>0</v>
      </c>
      <c r="CH659" s="125">
        <f xml:space="preserve"> Time!CH$106</f>
        <v>0</v>
      </c>
      <c r="CI659" s="125">
        <f xml:space="preserve"> Time!CI$106</f>
        <v>0</v>
      </c>
      <c r="CJ659" s="125">
        <f xml:space="preserve"> Time!CJ$106</f>
        <v>0</v>
      </c>
      <c r="CK659" s="125">
        <f xml:space="preserve"> Time!CK$106</f>
        <v>0</v>
      </c>
      <c r="CL659" s="125">
        <f xml:space="preserve"> Time!CL$106</f>
        <v>0</v>
      </c>
      <c r="CM659" s="125">
        <f xml:space="preserve"> Time!CM$106</f>
        <v>0</v>
      </c>
      <c r="CN659" s="125">
        <f xml:space="preserve"> Time!CN$106</f>
        <v>0</v>
      </c>
      <c r="CO659" s="125">
        <f xml:space="preserve"> Time!CO$106</f>
        <v>0</v>
      </c>
      <c r="CP659" s="125">
        <f xml:space="preserve"> Time!CP$106</f>
        <v>0</v>
      </c>
      <c r="CQ659" s="125">
        <f xml:space="preserve"> Time!CQ$106</f>
        <v>0</v>
      </c>
      <c r="CR659" s="125">
        <f xml:space="preserve"> Time!CR$106</f>
        <v>0</v>
      </c>
      <c r="CS659" s="125">
        <f xml:space="preserve"> Time!CS$106</f>
        <v>0</v>
      </c>
      <c r="CT659" s="125">
        <f xml:space="preserve"> Time!CT$106</f>
        <v>0</v>
      </c>
      <c r="CU659" s="125">
        <f xml:space="preserve"> Time!CU$106</f>
        <v>0</v>
      </c>
      <c r="CV659" s="125">
        <f xml:space="preserve"> Time!CV$106</f>
        <v>0</v>
      </c>
    </row>
    <row r="660" spans="1:100" s="188" customFormat="1" ht="12.75" outlineLevel="2" x14ac:dyDescent="0.2">
      <c r="A660" s="397"/>
      <c r="B660" s="397"/>
      <c r="C660" s="566"/>
      <c r="D660" s="567"/>
      <c r="E660" s="188" t="s">
        <v>1203</v>
      </c>
      <c r="G660" s="188" t="str">
        <f xml:space="preserve"> SMU</f>
        <v>$ 000s</v>
      </c>
      <c r="H660" s="188">
        <f xml:space="preserve"> SUM(J660:CV660)</f>
        <v>0</v>
      </c>
      <c r="J660" s="188">
        <f t="shared" ref="J660:AO660" si="1040" xml:space="preserve"> J657 * J658 * J659</f>
        <v>0</v>
      </c>
      <c r="K660" s="188">
        <f t="shared" si="1040"/>
        <v>0</v>
      </c>
      <c r="L660" s="188">
        <f t="shared" si="1040"/>
        <v>0</v>
      </c>
      <c r="M660" s="188">
        <f t="shared" si="1040"/>
        <v>0</v>
      </c>
      <c r="N660" s="188">
        <f t="shared" si="1040"/>
        <v>0</v>
      </c>
      <c r="O660" s="188">
        <f t="shared" si="1040"/>
        <v>0</v>
      </c>
      <c r="P660" s="188">
        <f t="shared" si="1040"/>
        <v>0</v>
      </c>
      <c r="Q660" s="188">
        <f t="shared" si="1040"/>
        <v>0</v>
      </c>
      <c r="R660" s="188">
        <f t="shared" si="1040"/>
        <v>0</v>
      </c>
      <c r="S660" s="188">
        <f t="shared" si="1040"/>
        <v>0</v>
      </c>
      <c r="T660" s="188">
        <f t="shared" si="1040"/>
        <v>0</v>
      </c>
      <c r="U660" s="188">
        <f t="shared" si="1040"/>
        <v>0</v>
      </c>
      <c r="V660" s="188">
        <f t="shared" si="1040"/>
        <v>0</v>
      </c>
      <c r="W660" s="188">
        <f t="shared" si="1040"/>
        <v>0</v>
      </c>
      <c r="X660" s="188">
        <f t="shared" si="1040"/>
        <v>0</v>
      </c>
      <c r="Y660" s="188">
        <f t="shared" si="1040"/>
        <v>0</v>
      </c>
      <c r="Z660" s="188">
        <f t="shared" si="1040"/>
        <v>0</v>
      </c>
      <c r="AA660" s="188">
        <f t="shared" si="1040"/>
        <v>0</v>
      </c>
      <c r="AB660" s="188">
        <f t="shared" si="1040"/>
        <v>0</v>
      </c>
      <c r="AC660" s="188">
        <f t="shared" si="1040"/>
        <v>0</v>
      </c>
      <c r="AD660" s="188">
        <f t="shared" si="1040"/>
        <v>0</v>
      </c>
      <c r="AE660" s="188">
        <f t="shared" si="1040"/>
        <v>0</v>
      </c>
      <c r="AF660" s="188">
        <f t="shared" si="1040"/>
        <v>0</v>
      </c>
      <c r="AG660" s="188">
        <f t="shared" si="1040"/>
        <v>0</v>
      </c>
      <c r="AH660" s="188">
        <f t="shared" si="1040"/>
        <v>0</v>
      </c>
      <c r="AI660" s="188">
        <f t="shared" si="1040"/>
        <v>0</v>
      </c>
      <c r="AJ660" s="188">
        <f t="shared" si="1040"/>
        <v>0</v>
      </c>
      <c r="AK660" s="188">
        <f t="shared" si="1040"/>
        <v>0</v>
      </c>
      <c r="AL660" s="188">
        <f t="shared" si="1040"/>
        <v>0</v>
      </c>
      <c r="AM660" s="188">
        <f t="shared" si="1040"/>
        <v>0</v>
      </c>
      <c r="AN660" s="188">
        <f t="shared" si="1040"/>
        <v>0</v>
      </c>
      <c r="AO660" s="188">
        <f t="shared" si="1040"/>
        <v>0</v>
      </c>
      <c r="AP660" s="188">
        <f t="shared" ref="AP660:BU660" si="1041" xml:space="preserve"> AP657 * AP658 * AP659</f>
        <v>0</v>
      </c>
      <c r="AQ660" s="188">
        <f t="shared" si="1041"/>
        <v>0</v>
      </c>
      <c r="AR660" s="188">
        <f t="shared" si="1041"/>
        <v>0</v>
      </c>
      <c r="AS660" s="188">
        <f t="shared" si="1041"/>
        <v>0</v>
      </c>
      <c r="AT660" s="188">
        <f t="shared" si="1041"/>
        <v>0</v>
      </c>
      <c r="AU660" s="188">
        <f t="shared" si="1041"/>
        <v>0</v>
      </c>
      <c r="AV660" s="188">
        <f t="shared" si="1041"/>
        <v>0</v>
      </c>
      <c r="AW660" s="188">
        <f t="shared" si="1041"/>
        <v>0</v>
      </c>
      <c r="AX660" s="188">
        <f t="shared" si="1041"/>
        <v>0</v>
      </c>
      <c r="AY660" s="188">
        <f t="shared" si="1041"/>
        <v>0</v>
      </c>
      <c r="AZ660" s="188">
        <f t="shared" si="1041"/>
        <v>0</v>
      </c>
      <c r="BA660" s="188">
        <f t="shared" si="1041"/>
        <v>0</v>
      </c>
      <c r="BB660" s="188">
        <f t="shared" si="1041"/>
        <v>0</v>
      </c>
      <c r="BC660" s="188">
        <f t="shared" si="1041"/>
        <v>0</v>
      </c>
      <c r="BD660" s="188">
        <f t="shared" si="1041"/>
        <v>0</v>
      </c>
      <c r="BE660" s="188">
        <f t="shared" si="1041"/>
        <v>0</v>
      </c>
      <c r="BF660" s="188">
        <f t="shared" si="1041"/>
        <v>0</v>
      </c>
      <c r="BG660" s="188">
        <f t="shared" si="1041"/>
        <v>0</v>
      </c>
      <c r="BH660" s="188">
        <f t="shared" si="1041"/>
        <v>0</v>
      </c>
      <c r="BI660" s="188">
        <f t="shared" si="1041"/>
        <v>0</v>
      </c>
      <c r="BJ660" s="188">
        <f t="shared" si="1041"/>
        <v>0</v>
      </c>
      <c r="BK660" s="188">
        <f t="shared" si="1041"/>
        <v>0</v>
      </c>
      <c r="BL660" s="188">
        <f t="shared" si="1041"/>
        <v>0</v>
      </c>
      <c r="BM660" s="188">
        <f t="shared" si="1041"/>
        <v>0</v>
      </c>
      <c r="BN660" s="188">
        <f t="shared" si="1041"/>
        <v>0</v>
      </c>
      <c r="BO660" s="188">
        <f t="shared" si="1041"/>
        <v>0</v>
      </c>
      <c r="BP660" s="188">
        <f t="shared" si="1041"/>
        <v>0</v>
      </c>
      <c r="BQ660" s="188">
        <f t="shared" si="1041"/>
        <v>0</v>
      </c>
      <c r="BR660" s="188">
        <f t="shared" si="1041"/>
        <v>0</v>
      </c>
      <c r="BS660" s="188">
        <f t="shared" si="1041"/>
        <v>0</v>
      </c>
      <c r="BT660" s="188">
        <f t="shared" si="1041"/>
        <v>0</v>
      </c>
      <c r="BU660" s="188">
        <f t="shared" si="1041"/>
        <v>0</v>
      </c>
      <c r="BV660" s="188">
        <f t="shared" ref="BV660:CV660" si="1042" xml:space="preserve"> BV657 * BV658 * BV659</f>
        <v>0</v>
      </c>
      <c r="BW660" s="188">
        <f t="shared" si="1042"/>
        <v>0</v>
      </c>
      <c r="BX660" s="188">
        <f t="shared" si="1042"/>
        <v>0</v>
      </c>
      <c r="BY660" s="188">
        <f t="shared" si="1042"/>
        <v>0</v>
      </c>
      <c r="BZ660" s="188">
        <f t="shared" si="1042"/>
        <v>0</v>
      </c>
      <c r="CA660" s="188">
        <f t="shared" si="1042"/>
        <v>0</v>
      </c>
      <c r="CB660" s="188">
        <f t="shared" si="1042"/>
        <v>0</v>
      </c>
      <c r="CC660" s="188">
        <f t="shared" si="1042"/>
        <v>0</v>
      </c>
      <c r="CD660" s="188">
        <f t="shared" si="1042"/>
        <v>0</v>
      </c>
      <c r="CE660" s="188">
        <f t="shared" si="1042"/>
        <v>0</v>
      </c>
      <c r="CF660" s="188">
        <f t="shared" si="1042"/>
        <v>0</v>
      </c>
      <c r="CG660" s="188">
        <f t="shared" si="1042"/>
        <v>0</v>
      </c>
      <c r="CH660" s="188">
        <f t="shared" si="1042"/>
        <v>0</v>
      </c>
      <c r="CI660" s="188">
        <f t="shared" si="1042"/>
        <v>0</v>
      </c>
      <c r="CJ660" s="188">
        <f t="shared" si="1042"/>
        <v>0</v>
      </c>
      <c r="CK660" s="188">
        <f t="shared" si="1042"/>
        <v>0</v>
      </c>
      <c r="CL660" s="188">
        <f t="shared" si="1042"/>
        <v>0</v>
      </c>
      <c r="CM660" s="188">
        <f t="shared" si="1042"/>
        <v>0</v>
      </c>
      <c r="CN660" s="188">
        <f t="shared" si="1042"/>
        <v>0</v>
      </c>
      <c r="CO660" s="188">
        <f t="shared" si="1042"/>
        <v>0</v>
      </c>
      <c r="CP660" s="188">
        <f t="shared" si="1042"/>
        <v>0</v>
      </c>
      <c r="CQ660" s="188">
        <f t="shared" si="1042"/>
        <v>0</v>
      </c>
      <c r="CR660" s="188">
        <f t="shared" si="1042"/>
        <v>0</v>
      </c>
      <c r="CS660" s="188">
        <f t="shared" si="1042"/>
        <v>0</v>
      </c>
      <c r="CT660" s="188">
        <f t="shared" si="1042"/>
        <v>0</v>
      </c>
      <c r="CU660" s="188">
        <f t="shared" si="1042"/>
        <v>0</v>
      </c>
      <c r="CV660" s="188">
        <f t="shared" si="1042"/>
        <v>0</v>
      </c>
    </row>
    <row r="661" spans="1:100" s="188" customFormat="1" ht="12.75" outlineLevel="2" x14ac:dyDescent="0.2">
      <c r="A661" s="397"/>
      <c r="B661" s="397"/>
      <c r="C661" s="566"/>
      <c r="D661" s="484" t="s">
        <v>366</v>
      </c>
      <c r="E661" s="188" t="str">
        <f xml:space="preserve"> LEFT(E660, LEN(E660) - 4)</f>
        <v>WCF interest accrued and paid - P99</v>
      </c>
      <c r="G661" s="188" t="str">
        <f xml:space="preserve"> SMU</f>
        <v>$ 000s</v>
      </c>
      <c r="H661" s="188">
        <f xml:space="preserve"> SUM(J661:CV661)</f>
        <v>0</v>
      </c>
      <c r="J661" s="188">
        <f t="shared" ref="J661:AO661" si="1043" xml:space="preserve"> -1 * J660</f>
        <v>0</v>
      </c>
      <c r="K661" s="188">
        <f t="shared" si="1043"/>
        <v>0</v>
      </c>
      <c r="L661" s="188">
        <f t="shared" si="1043"/>
        <v>0</v>
      </c>
      <c r="M661" s="188">
        <f t="shared" si="1043"/>
        <v>0</v>
      </c>
      <c r="N661" s="188">
        <f t="shared" si="1043"/>
        <v>0</v>
      </c>
      <c r="O661" s="188">
        <f t="shared" si="1043"/>
        <v>0</v>
      </c>
      <c r="P661" s="188">
        <f t="shared" si="1043"/>
        <v>0</v>
      </c>
      <c r="Q661" s="188">
        <f t="shared" si="1043"/>
        <v>0</v>
      </c>
      <c r="R661" s="188">
        <f t="shared" si="1043"/>
        <v>0</v>
      </c>
      <c r="S661" s="188">
        <f t="shared" si="1043"/>
        <v>0</v>
      </c>
      <c r="T661" s="188">
        <f t="shared" si="1043"/>
        <v>0</v>
      </c>
      <c r="U661" s="188">
        <f t="shared" si="1043"/>
        <v>0</v>
      </c>
      <c r="V661" s="188">
        <f t="shared" si="1043"/>
        <v>0</v>
      </c>
      <c r="W661" s="188">
        <f t="shared" si="1043"/>
        <v>0</v>
      </c>
      <c r="X661" s="188">
        <f t="shared" si="1043"/>
        <v>0</v>
      </c>
      <c r="Y661" s="188">
        <f t="shared" si="1043"/>
        <v>0</v>
      </c>
      <c r="Z661" s="188">
        <f t="shared" si="1043"/>
        <v>0</v>
      </c>
      <c r="AA661" s="188">
        <f t="shared" si="1043"/>
        <v>0</v>
      </c>
      <c r="AB661" s="188">
        <f t="shared" si="1043"/>
        <v>0</v>
      </c>
      <c r="AC661" s="188">
        <f t="shared" si="1043"/>
        <v>0</v>
      </c>
      <c r="AD661" s="188">
        <f t="shared" si="1043"/>
        <v>0</v>
      </c>
      <c r="AE661" s="188">
        <f t="shared" si="1043"/>
        <v>0</v>
      </c>
      <c r="AF661" s="188">
        <f t="shared" si="1043"/>
        <v>0</v>
      </c>
      <c r="AG661" s="188">
        <f t="shared" si="1043"/>
        <v>0</v>
      </c>
      <c r="AH661" s="188">
        <f t="shared" si="1043"/>
        <v>0</v>
      </c>
      <c r="AI661" s="188">
        <f t="shared" si="1043"/>
        <v>0</v>
      </c>
      <c r="AJ661" s="188">
        <f t="shared" si="1043"/>
        <v>0</v>
      </c>
      <c r="AK661" s="188">
        <f t="shared" si="1043"/>
        <v>0</v>
      </c>
      <c r="AL661" s="188">
        <f t="shared" si="1043"/>
        <v>0</v>
      </c>
      <c r="AM661" s="188">
        <f t="shared" si="1043"/>
        <v>0</v>
      </c>
      <c r="AN661" s="188">
        <f t="shared" si="1043"/>
        <v>0</v>
      </c>
      <c r="AO661" s="188">
        <f t="shared" si="1043"/>
        <v>0</v>
      </c>
      <c r="AP661" s="188">
        <f t="shared" ref="AP661:BU661" si="1044" xml:space="preserve"> -1 * AP660</f>
        <v>0</v>
      </c>
      <c r="AQ661" s="188">
        <f t="shared" si="1044"/>
        <v>0</v>
      </c>
      <c r="AR661" s="188">
        <f t="shared" si="1044"/>
        <v>0</v>
      </c>
      <c r="AS661" s="188">
        <f t="shared" si="1044"/>
        <v>0</v>
      </c>
      <c r="AT661" s="188">
        <f t="shared" si="1044"/>
        <v>0</v>
      </c>
      <c r="AU661" s="188">
        <f t="shared" si="1044"/>
        <v>0</v>
      </c>
      <c r="AV661" s="188">
        <f t="shared" si="1044"/>
        <v>0</v>
      </c>
      <c r="AW661" s="188">
        <f t="shared" si="1044"/>
        <v>0</v>
      </c>
      <c r="AX661" s="188">
        <f t="shared" si="1044"/>
        <v>0</v>
      </c>
      <c r="AY661" s="188">
        <f t="shared" si="1044"/>
        <v>0</v>
      </c>
      <c r="AZ661" s="188">
        <f t="shared" si="1044"/>
        <v>0</v>
      </c>
      <c r="BA661" s="188">
        <f t="shared" si="1044"/>
        <v>0</v>
      </c>
      <c r="BB661" s="188">
        <f t="shared" si="1044"/>
        <v>0</v>
      </c>
      <c r="BC661" s="188">
        <f t="shared" si="1044"/>
        <v>0</v>
      </c>
      <c r="BD661" s="188">
        <f t="shared" si="1044"/>
        <v>0</v>
      </c>
      <c r="BE661" s="188">
        <f t="shared" si="1044"/>
        <v>0</v>
      </c>
      <c r="BF661" s="188">
        <f t="shared" si="1044"/>
        <v>0</v>
      </c>
      <c r="BG661" s="188">
        <f t="shared" si="1044"/>
        <v>0</v>
      </c>
      <c r="BH661" s="188">
        <f t="shared" si="1044"/>
        <v>0</v>
      </c>
      <c r="BI661" s="188">
        <f t="shared" si="1044"/>
        <v>0</v>
      </c>
      <c r="BJ661" s="188">
        <f t="shared" si="1044"/>
        <v>0</v>
      </c>
      <c r="BK661" s="188">
        <f t="shared" si="1044"/>
        <v>0</v>
      </c>
      <c r="BL661" s="188">
        <f t="shared" si="1044"/>
        <v>0</v>
      </c>
      <c r="BM661" s="188">
        <f t="shared" si="1044"/>
        <v>0</v>
      </c>
      <c r="BN661" s="188">
        <f t="shared" si="1044"/>
        <v>0</v>
      </c>
      <c r="BO661" s="188">
        <f t="shared" si="1044"/>
        <v>0</v>
      </c>
      <c r="BP661" s="188">
        <f t="shared" si="1044"/>
        <v>0</v>
      </c>
      <c r="BQ661" s="188">
        <f t="shared" si="1044"/>
        <v>0</v>
      </c>
      <c r="BR661" s="188">
        <f t="shared" si="1044"/>
        <v>0</v>
      </c>
      <c r="BS661" s="188">
        <f t="shared" si="1044"/>
        <v>0</v>
      </c>
      <c r="BT661" s="188">
        <f t="shared" si="1044"/>
        <v>0</v>
      </c>
      <c r="BU661" s="188">
        <f t="shared" si="1044"/>
        <v>0</v>
      </c>
      <c r="BV661" s="188">
        <f t="shared" ref="BV661:CV661" si="1045" xml:space="preserve"> -1 * BV660</f>
        <v>0</v>
      </c>
      <c r="BW661" s="188">
        <f t="shared" si="1045"/>
        <v>0</v>
      </c>
      <c r="BX661" s="188">
        <f t="shared" si="1045"/>
        <v>0</v>
      </c>
      <c r="BY661" s="188">
        <f t="shared" si="1045"/>
        <v>0</v>
      </c>
      <c r="BZ661" s="188">
        <f t="shared" si="1045"/>
        <v>0</v>
      </c>
      <c r="CA661" s="188">
        <f t="shared" si="1045"/>
        <v>0</v>
      </c>
      <c r="CB661" s="188">
        <f t="shared" si="1045"/>
        <v>0</v>
      </c>
      <c r="CC661" s="188">
        <f t="shared" si="1045"/>
        <v>0</v>
      </c>
      <c r="CD661" s="188">
        <f t="shared" si="1045"/>
        <v>0</v>
      </c>
      <c r="CE661" s="188">
        <f t="shared" si="1045"/>
        <v>0</v>
      </c>
      <c r="CF661" s="188">
        <f t="shared" si="1045"/>
        <v>0</v>
      </c>
      <c r="CG661" s="188">
        <f t="shared" si="1045"/>
        <v>0</v>
      </c>
      <c r="CH661" s="188">
        <f t="shared" si="1045"/>
        <v>0</v>
      </c>
      <c r="CI661" s="188">
        <f t="shared" si="1045"/>
        <v>0</v>
      </c>
      <c r="CJ661" s="188">
        <f t="shared" si="1045"/>
        <v>0</v>
      </c>
      <c r="CK661" s="188">
        <f t="shared" si="1045"/>
        <v>0</v>
      </c>
      <c r="CL661" s="188">
        <f t="shared" si="1045"/>
        <v>0</v>
      </c>
      <c r="CM661" s="188">
        <f t="shared" si="1045"/>
        <v>0</v>
      </c>
      <c r="CN661" s="188">
        <f t="shared" si="1045"/>
        <v>0</v>
      </c>
      <c r="CO661" s="188">
        <f t="shared" si="1045"/>
        <v>0</v>
      </c>
      <c r="CP661" s="188">
        <f t="shared" si="1045"/>
        <v>0</v>
      </c>
      <c r="CQ661" s="188">
        <f t="shared" si="1045"/>
        <v>0</v>
      </c>
      <c r="CR661" s="188">
        <f t="shared" si="1045"/>
        <v>0</v>
      </c>
      <c r="CS661" s="188">
        <f t="shared" si="1045"/>
        <v>0</v>
      </c>
      <c r="CT661" s="188">
        <f t="shared" si="1045"/>
        <v>0</v>
      </c>
      <c r="CU661" s="188">
        <f t="shared" si="1045"/>
        <v>0</v>
      </c>
      <c r="CV661" s="188">
        <f t="shared" si="1045"/>
        <v>0</v>
      </c>
    </row>
    <row r="662" spans="1:100" ht="12.75" outlineLevel="1" x14ac:dyDescent="0.2">
      <c r="A662" s="79"/>
      <c r="B662" s="79"/>
      <c r="C662" s="561"/>
      <c r="D662" s="60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  <c r="AV662" s="32"/>
      <c r="AW662" s="32"/>
      <c r="AX662" s="32"/>
      <c r="AY662" s="32"/>
      <c r="AZ662" s="32"/>
      <c r="BA662" s="32"/>
      <c r="BB662" s="32"/>
      <c r="BC662" s="32"/>
      <c r="BD662" s="32"/>
      <c r="BE662" s="32"/>
      <c r="BF662" s="32"/>
      <c r="BG662" s="32"/>
      <c r="BH662" s="32"/>
      <c r="BI662" s="32"/>
      <c r="BJ662" s="32"/>
      <c r="BK662" s="32"/>
      <c r="BL662" s="32"/>
      <c r="BM662" s="32"/>
      <c r="BN662" s="32"/>
      <c r="BO662" s="32"/>
      <c r="BP662" s="32"/>
      <c r="BQ662" s="32"/>
      <c r="BR662" s="32"/>
      <c r="BS662" s="32"/>
      <c r="BT662" s="32"/>
      <c r="BU662" s="32"/>
      <c r="BV662" s="32"/>
      <c r="BW662" s="32"/>
      <c r="BX662" s="32"/>
      <c r="BY662" s="32"/>
      <c r="BZ662" s="32"/>
      <c r="CA662" s="32"/>
      <c r="CB662" s="32"/>
      <c r="CC662" s="32"/>
      <c r="CD662" s="32"/>
      <c r="CE662" s="32"/>
      <c r="CF662" s="32"/>
      <c r="CG662" s="32"/>
      <c r="CH662" s="32"/>
      <c r="CI662" s="32"/>
      <c r="CJ662" s="32"/>
      <c r="CK662" s="32"/>
      <c r="CL662" s="32"/>
      <c r="CM662" s="32"/>
      <c r="CN662" s="32"/>
      <c r="CO662" s="32"/>
      <c r="CP662" s="32"/>
      <c r="CQ662" s="32"/>
      <c r="CR662" s="32"/>
      <c r="CS662" s="32"/>
      <c r="CT662" s="32"/>
      <c r="CU662" s="32"/>
      <c r="CV662" s="32"/>
    </row>
    <row r="663" spans="1:100" ht="12.75" outlineLevel="1" x14ac:dyDescent="0.2">
      <c r="A663" s="79"/>
      <c r="B663" s="79" t="s">
        <v>484</v>
      </c>
      <c r="C663" s="561"/>
      <c r="D663" s="60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  <c r="AV663" s="32"/>
      <c r="AW663" s="32"/>
      <c r="AX663" s="32"/>
      <c r="AY663" s="32"/>
      <c r="AZ663" s="32"/>
      <c r="BA663" s="32"/>
      <c r="BB663" s="32"/>
      <c r="BC663" s="32"/>
      <c r="BD663" s="32"/>
      <c r="BE663" s="32"/>
      <c r="BF663" s="32"/>
      <c r="BG663" s="32"/>
      <c r="BH663" s="32"/>
      <c r="BI663" s="32"/>
      <c r="BJ663" s="32"/>
      <c r="BK663" s="32"/>
      <c r="BL663" s="32"/>
      <c r="BM663" s="32"/>
      <c r="BN663" s="32"/>
      <c r="BO663" s="32"/>
      <c r="BP663" s="32"/>
      <c r="BQ663" s="32"/>
      <c r="BR663" s="32"/>
      <c r="BS663" s="32"/>
      <c r="BT663" s="32"/>
      <c r="BU663" s="32"/>
      <c r="BV663" s="32"/>
      <c r="BW663" s="32"/>
      <c r="BX663" s="32"/>
      <c r="BY663" s="32"/>
      <c r="BZ663" s="32"/>
      <c r="CA663" s="32"/>
      <c r="CB663" s="32"/>
      <c r="CC663" s="32"/>
      <c r="CD663" s="32"/>
      <c r="CE663" s="32"/>
      <c r="CF663" s="32"/>
      <c r="CG663" s="32"/>
      <c r="CH663" s="32"/>
      <c r="CI663" s="32"/>
      <c r="CJ663" s="32"/>
      <c r="CK663" s="32"/>
      <c r="CL663" s="32"/>
      <c r="CM663" s="32"/>
      <c r="CN663" s="32"/>
      <c r="CO663" s="32"/>
      <c r="CP663" s="32"/>
      <c r="CQ663" s="32"/>
      <c r="CR663" s="32"/>
      <c r="CS663" s="32"/>
      <c r="CT663" s="32"/>
      <c r="CU663" s="32"/>
      <c r="CV663" s="32"/>
    </row>
    <row r="664" spans="1:100" ht="12.75" outlineLevel="2" x14ac:dyDescent="0.2">
      <c r="A664" s="568"/>
      <c r="B664" s="568"/>
      <c r="C664" s="569"/>
      <c r="D664" s="570"/>
      <c r="E664" s="571" t="s">
        <v>1204</v>
      </c>
      <c r="F664" s="571"/>
      <c r="G664" s="571" t="str">
        <f xml:space="preserve"> SMU</f>
        <v>$ 000s</v>
      </c>
      <c r="H664" s="571"/>
      <c r="I664" s="571"/>
      <c r="J664" s="571">
        <f t="shared" ref="J664:AO664" si="1046" xml:space="preserve"> I667</f>
        <v>0</v>
      </c>
      <c r="K664" s="571">
        <f t="shared" si="1046"/>
        <v>0</v>
      </c>
      <c r="L664" s="571">
        <f t="shared" si="1046"/>
        <v>0</v>
      </c>
      <c r="M664" s="571">
        <f t="shared" si="1046"/>
        <v>0</v>
      </c>
      <c r="N664" s="571">
        <f t="shared" si="1046"/>
        <v>0</v>
      </c>
      <c r="O664" s="571">
        <f t="shared" si="1046"/>
        <v>0</v>
      </c>
      <c r="P664" s="571">
        <f t="shared" si="1046"/>
        <v>0</v>
      </c>
      <c r="Q664" s="571">
        <f t="shared" si="1046"/>
        <v>0</v>
      </c>
      <c r="R664" s="571">
        <f t="shared" si="1046"/>
        <v>0</v>
      </c>
      <c r="S664" s="571">
        <f t="shared" si="1046"/>
        <v>0</v>
      </c>
      <c r="T664" s="571">
        <f t="shared" si="1046"/>
        <v>0</v>
      </c>
      <c r="U664" s="571">
        <f t="shared" si="1046"/>
        <v>0</v>
      </c>
      <c r="V664" s="571">
        <f t="shared" si="1046"/>
        <v>0</v>
      </c>
      <c r="W664" s="571">
        <f t="shared" si="1046"/>
        <v>0</v>
      </c>
      <c r="X664" s="571">
        <f t="shared" si="1046"/>
        <v>0</v>
      </c>
      <c r="Y664" s="571">
        <f t="shared" si="1046"/>
        <v>0</v>
      </c>
      <c r="Z664" s="571">
        <f t="shared" si="1046"/>
        <v>0</v>
      </c>
      <c r="AA664" s="571">
        <f t="shared" si="1046"/>
        <v>0</v>
      </c>
      <c r="AB664" s="571">
        <f t="shared" si="1046"/>
        <v>0</v>
      </c>
      <c r="AC664" s="571">
        <f t="shared" si="1046"/>
        <v>0</v>
      </c>
      <c r="AD664" s="571">
        <f t="shared" si="1046"/>
        <v>0</v>
      </c>
      <c r="AE664" s="571">
        <f t="shared" si="1046"/>
        <v>0</v>
      </c>
      <c r="AF664" s="571">
        <f t="shared" si="1046"/>
        <v>0</v>
      </c>
      <c r="AG664" s="571">
        <f t="shared" si="1046"/>
        <v>0</v>
      </c>
      <c r="AH664" s="571">
        <f t="shared" si="1046"/>
        <v>0</v>
      </c>
      <c r="AI664" s="571">
        <f t="shared" si="1046"/>
        <v>0</v>
      </c>
      <c r="AJ664" s="571">
        <f t="shared" si="1046"/>
        <v>0</v>
      </c>
      <c r="AK664" s="571">
        <f t="shared" si="1046"/>
        <v>0</v>
      </c>
      <c r="AL664" s="571">
        <f t="shared" si="1046"/>
        <v>0</v>
      </c>
      <c r="AM664" s="571">
        <f t="shared" si="1046"/>
        <v>0</v>
      </c>
      <c r="AN664" s="571">
        <f t="shared" si="1046"/>
        <v>0</v>
      </c>
      <c r="AO664" s="571">
        <f t="shared" si="1046"/>
        <v>0</v>
      </c>
      <c r="AP664" s="571">
        <f t="shared" ref="AP664:BU664" si="1047" xml:space="preserve"> AO667</f>
        <v>0</v>
      </c>
      <c r="AQ664" s="571">
        <f t="shared" si="1047"/>
        <v>0</v>
      </c>
      <c r="AR664" s="571">
        <f t="shared" si="1047"/>
        <v>0</v>
      </c>
      <c r="AS664" s="571">
        <f t="shared" si="1047"/>
        <v>0</v>
      </c>
      <c r="AT664" s="571">
        <f t="shared" si="1047"/>
        <v>0</v>
      </c>
      <c r="AU664" s="571">
        <f t="shared" si="1047"/>
        <v>0</v>
      </c>
      <c r="AV664" s="571">
        <f t="shared" si="1047"/>
        <v>0</v>
      </c>
      <c r="AW664" s="571">
        <f t="shared" si="1047"/>
        <v>0</v>
      </c>
      <c r="AX664" s="571">
        <f t="shared" si="1047"/>
        <v>0</v>
      </c>
      <c r="AY664" s="571">
        <f t="shared" si="1047"/>
        <v>0</v>
      </c>
      <c r="AZ664" s="571">
        <f t="shared" si="1047"/>
        <v>0</v>
      </c>
      <c r="BA664" s="571">
        <f t="shared" si="1047"/>
        <v>0</v>
      </c>
      <c r="BB664" s="571">
        <f t="shared" si="1047"/>
        <v>0</v>
      </c>
      <c r="BC664" s="571">
        <f t="shared" si="1047"/>
        <v>0</v>
      </c>
      <c r="BD664" s="571">
        <f t="shared" si="1047"/>
        <v>0</v>
      </c>
      <c r="BE664" s="571">
        <f t="shared" si="1047"/>
        <v>0</v>
      </c>
      <c r="BF664" s="571">
        <f t="shared" si="1047"/>
        <v>0</v>
      </c>
      <c r="BG664" s="571">
        <f t="shared" si="1047"/>
        <v>0</v>
      </c>
      <c r="BH664" s="571">
        <f t="shared" si="1047"/>
        <v>0</v>
      </c>
      <c r="BI664" s="571">
        <f t="shared" si="1047"/>
        <v>0</v>
      </c>
      <c r="BJ664" s="571">
        <f t="shared" si="1047"/>
        <v>0</v>
      </c>
      <c r="BK664" s="571">
        <f t="shared" si="1047"/>
        <v>0</v>
      </c>
      <c r="BL664" s="571">
        <f t="shared" si="1047"/>
        <v>0</v>
      </c>
      <c r="BM664" s="571">
        <f t="shared" si="1047"/>
        <v>0</v>
      </c>
      <c r="BN664" s="571">
        <f t="shared" si="1047"/>
        <v>0</v>
      </c>
      <c r="BO664" s="571">
        <f t="shared" si="1047"/>
        <v>0</v>
      </c>
      <c r="BP664" s="571">
        <f t="shared" si="1047"/>
        <v>0</v>
      </c>
      <c r="BQ664" s="571">
        <f t="shared" si="1047"/>
        <v>0</v>
      </c>
      <c r="BR664" s="571">
        <f t="shared" si="1047"/>
        <v>0</v>
      </c>
      <c r="BS664" s="571">
        <f t="shared" si="1047"/>
        <v>0</v>
      </c>
      <c r="BT664" s="571">
        <f t="shared" si="1047"/>
        <v>0</v>
      </c>
      <c r="BU664" s="571">
        <f t="shared" si="1047"/>
        <v>0</v>
      </c>
      <c r="BV664" s="571">
        <f t="shared" ref="BV664:CV664" si="1048" xml:space="preserve"> BU667</f>
        <v>0</v>
      </c>
      <c r="BW664" s="571">
        <f t="shared" si="1048"/>
        <v>0</v>
      </c>
      <c r="BX664" s="571">
        <f t="shared" si="1048"/>
        <v>0</v>
      </c>
      <c r="BY664" s="571">
        <f t="shared" si="1048"/>
        <v>0</v>
      </c>
      <c r="BZ664" s="571">
        <f t="shared" si="1048"/>
        <v>0</v>
      </c>
      <c r="CA664" s="571">
        <f t="shared" si="1048"/>
        <v>0</v>
      </c>
      <c r="CB664" s="571">
        <f t="shared" si="1048"/>
        <v>0</v>
      </c>
      <c r="CC664" s="571">
        <f t="shared" si="1048"/>
        <v>0</v>
      </c>
      <c r="CD664" s="571">
        <f t="shared" si="1048"/>
        <v>0</v>
      </c>
      <c r="CE664" s="571">
        <f t="shared" si="1048"/>
        <v>0</v>
      </c>
      <c r="CF664" s="571">
        <f t="shared" si="1048"/>
        <v>0</v>
      </c>
      <c r="CG664" s="571">
        <f t="shared" si="1048"/>
        <v>0</v>
      </c>
      <c r="CH664" s="571">
        <f t="shared" si="1048"/>
        <v>0</v>
      </c>
      <c r="CI664" s="571">
        <f t="shared" si="1048"/>
        <v>0</v>
      </c>
      <c r="CJ664" s="571">
        <f t="shared" si="1048"/>
        <v>0</v>
      </c>
      <c r="CK664" s="571">
        <f t="shared" si="1048"/>
        <v>0</v>
      </c>
      <c r="CL664" s="571">
        <f t="shared" si="1048"/>
        <v>0</v>
      </c>
      <c r="CM664" s="571">
        <f t="shared" si="1048"/>
        <v>0</v>
      </c>
      <c r="CN664" s="571">
        <f t="shared" si="1048"/>
        <v>0</v>
      </c>
      <c r="CO664" s="571">
        <f t="shared" si="1048"/>
        <v>0</v>
      </c>
      <c r="CP664" s="571">
        <f t="shared" si="1048"/>
        <v>0</v>
      </c>
      <c r="CQ664" s="571">
        <f t="shared" si="1048"/>
        <v>0</v>
      </c>
      <c r="CR664" s="571">
        <f t="shared" si="1048"/>
        <v>0</v>
      </c>
      <c r="CS664" s="571">
        <f t="shared" si="1048"/>
        <v>0</v>
      </c>
      <c r="CT664" s="571">
        <f t="shared" si="1048"/>
        <v>0</v>
      </c>
      <c r="CU664" s="571">
        <f t="shared" si="1048"/>
        <v>0</v>
      </c>
      <c r="CV664" s="571">
        <f t="shared" si="1048"/>
        <v>0</v>
      </c>
    </row>
    <row r="665" spans="1:100" ht="12.75" outlineLevel="2" x14ac:dyDescent="0.2">
      <c r="A665" s="79"/>
      <c r="B665" s="79"/>
      <c r="C665" s="561"/>
      <c r="D665" s="60" t="s">
        <v>371</v>
      </c>
      <c r="E665" s="32" t="str">
        <f t="shared" ref="E665:AJ665" si="1049" xml:space="preserve"> E$628</f>
        <v>WCF drawdown - P99</v>
      </c>
      <c r="F665" s="32">
        <f t="shared" si="1049"/>
        <v>0</v>
      </c>
      <c r="G665" s="32" t="str">
        <f t="shared" si="1049"/>
        <v>$ 000s</v>
      </c>
      <c r="H665" s="32">
        <f t="shared" si="1049"/>
        <v>0</v>
      </c>
      <c r="I665" s="32">
        <f t="shared" si="1049"/>
        <v>0</v>
      </c>
      <c r="J665" s="32">
        <f t="shared" si="1049"/>
        <v>0</v>
      </c>
      <c r="K665" s="32">
        <f t="shared" si="1049"/>
        <v>0</v>
      </c>
      <c r="L665" s="32">
        <f t="shared" si="1049"/>
        <v>0</v>
      </c>
      <c r="M665" s="32">
        <f t="shared" si="1049"/>
        <v>0</v>
      </c>
      <c r="N665" s="32">
        <f t="shared" si="1049"/>
        <v>0</v>
      </c>
      <c r="O665" s="32">
        <f t="shared" si="1049"/>
        <v>0</v>
      </c>
      <c r="P665" s="32">
        <f t="shared" si="1049"/>
        <v>0</v>
      </c>
      <c r="Q665" s="32">
        <f t="shared" si="1049"/>
        <v>0</v>
      </c>
      <c r="R665" s="32">
        <f t="shared" si="1049"/>
        <v>0</v>
      </c>
      <c r="S665" s="32">
        <f t="shared" si="1049"/>
        <v>0</v>
      </c>
      <c r="T665" s="32">
        <f t="shared" si="1049"/>
        <v>0</v>
      </c>
      <c r="U665" s="32">
        <f t="shared" si="1049"/>
        <v>0</v>
      </c>
      <c r="V665" s="32">
        <f t="shared" si="1049"/>
        <v>0</v>
      </c>
      <c r="W665" s="32">
        <f t="shared" si="1049"/>
        <v>0</v>
      </c>
      <c r="X665" s="32">
        <f t="shared" si="1049"/>
        <v>0</v>
      </c>
      <c r="Y665" s="32">
        <f t="shared" si="1049"/>
        <v>0</v>
      </c>
      <c r="Z665" s="32">
        <f t="shared" si="1049"/>
        <v>0</v>
      </c>
      <c r="AA665" s="32">
        <f t="shared" si="1049"/>
        <v>0</v>
      </c>
      <c r="AB665" s="32">
        <f t="shared" si="1049"/>
        <v>0</v>
      </c>
      <c r="AC665" s="32">
        <f t="shared" si="1049"/>
        <v>0</v>
      </c>
      <c r="AD665" s="32">
        <f t="shared" si="1049"/>
        <v>0</v>
      </c>
      <c r="AE665" s="32">
        <f t="shared" si="1049"/>
        <v>0</v>
      </c>
      <c r="AF665" s="32">
        <f t="shared" si="1049"/>
        <v>0</v>
      </c>
      <c r="AG665" s="32">
        <f t="shared" si="1049"/>
        <v>0</v>
      </c>
      <c r="AH665" s="32">
        <f t="shared" si="1049"/>
        <v>0</v>
      </c>
      <c r="AI665" s="32">
        <f t="shared" si="1049"/>
        <v>0</v>
      </c>
      <c r="AJ665" s="32">
        <f t="shared" si="1049"/>
        <v>0</v>
      </c>
      <c r="AK665" s="32">
        <f t="shared" ref="AK665:BP665" si="1050" xml:space="preserve"> AK$628</f>
        <v>0</v>
      </c>
      <c r="AL665" s="32">
        <f t="shared" si="1050"/>
        <v>0</v>
      </c>
      <c r="AM665" s="32">
        <f t="shared" si="1050"/>
        <v>0</v>
      </c>
      <c r="AN665" s="32">
        <f t="shared" si="1050"/>
        <v>0</v>
      </c>
      <c r="AO665" s="32">
        <f t="shared" si="1050"/>
        <v>0</v>
      </c>
      <c r="AP665" s="32">
        <f t="shared" si="1050"/>
        <v>0</v>
      </c>
      <c r="AQ665" s="32">
        <f t="shared" si="1050"/>
        <v>0</v>
      </c>
      <c r="AR665" s="32">
        <f t="shared" si="1050"/>
        <v>0</v>
      </c>
      <c r="AS665" s="32">
        <f t="shared" si="1050"/>
        <v>0</v>
      </c>
      <c r="AT665" s="32">
        <f t="shared" si="1050"/>
        <v>0</v>
      </c>
      <c r="AU665" s="32">
        <f t="shared" si="1050"/>
        <v>0</v>
      </c>
      <c r="AV665" s="32">
        <f t="shared" si="1050"/>
        <v>0</v>
      </c>
      <c r="AW665" s="32">
        <f t="shared" si="1050"/>
        <v>0</v>
      </c>
      <c r="AX665" s="32">
        <f t="shared" si="1050"/>
        <v>0</v>
      </c>
      <c r="AY665" s="32">
        <f t="shared" si="1050"/>
        <v>0</v>
      </c>
      <c r="AZ665" s="32">
        <f t="shared" si="1050"/>
        <v>0</v>
      </c>
      <c r="BA665" s="32">
        <f t="shared" si="1050"/>
        <v>0</v>
      </c>
      <c r="BB665" s="32">
        <f t="shared" si="1050"/>
        <v>0</v>
      </c>
      <c r="BC665" s="32">
        <f t="shared" si="1050"/>
        <v>0</v>
      </c>
      <c r="BD665" s="32">
        <f t="shared" si="1050"/>
        <v>0</v>
      </c>
      <c r="BE665" s="32">
        <f t="shared" si="1050"/>
        <v>0</v>
      </c>
      <c r="BF665" s="32">
        <f t="shared" si="1050"/>
        <v>0</v>
      </c>
      <c r="BG665" s="32">
        <f t="shared" si="1050"/>
        <v>0</v>
      </c>
      <c r="BH665" s="32">
        <f t="shared" si="1050"/>
        <v>0</v>
      </c>
      <c r="BI665" s="32">
        <f t="shared" si="1050"/>
        <v>0</v>
      </c>
      <c r="BJ665" s="32">
        <f t="shared" si="1050"/>
        <v>0</v>
      </c>
      <c r="BK665" s="32">
        <f t="shared" si="1050"/>
        <v>0</v>
      </c>
      <c r="BL665" s="32">
        <f t="shared" si="1050"/>
        <v>0</v>
      </c>
      <c r="BM665" s="32">
        <f t="shared" si="1050"/>
        <v>0</v>
      </c>
      <c r="BN665" s="32">
        <f t="shared" si="1050"/>
        <v>0</v>
      </c>
      <c r="BO665" s="32">
        <f t="shared" si="1050"/>
        <v>0</v>
      </c>
      <c r="BP665" s="32">
        <f t="shared" si="1050"/>
        <v>0</v>
      </c>
      <c r="BQ665" s="32">
        <f t="shared" ref="BQ665:CV665" si="1051" xml:space="preserve"> BQ$628</f>
        <v>0</v>
      </c>
      <c r="BR665" s="32">
        <f t="shared" si="1051"/>
        <v>0</v>
      </c>
      <c r="BS665" s="32">
        <f t="shared" si="1051"/>
        <v>0</v>
      </c>
      <c r="BT665" s="32">
        <f t="shared" si="1051"/>
        <v>0</v>
      </c>
      <c r="BU665" s="32">
        <f t="shared" si="1051"/>
        <v>0</v>
      </c>
      <c r="BV665" s="32">
        <f t="shared" si="1051"/>
        <v>0</v>
      </c>
      <c r="BW665" s="32">
        <f t="shared" si="1051"/>
        <v>0</v>
      </c>
      <c r="BX665" s="32">
        <f t="shared" si="1051"/>
        <v>0</v>
      </c>
      <c r="BY665" s="32">
        <f t="shared" si="1051"/>
        <v>0</v>
      </c>
      <c r="BZ665" s="32">
        <f t="shared" si="1051"/>
        <v>0</v>
      </c>
      <c r="CA665" s="32">
        <f t="shared" si="1051"/>
        <v>0</v>
      </c>
      <c r="CB665" s="32">
        <f t="shared" si="1051"/>
        <v>0</v>
      </c>
      <c r="CC665" s="32">
        <f t="shared" si="1051"/>
        <v>0</v>
      </c>
      <c r="CD665" s="32">
        <f t="shared" si="1051"/>
        <v>0</v>
      </c>
      <c r="CE665" s="32">
        <f t="shared" si="1051"/>
        <v>0</v>
      </c>
      <c r="CF665" s="32">
        <f t="shared" si="1051"/>
        <v>0</v>
      </c>
      <c r="CG665" s="32">
        <f t="shared" si="1051"/>
        <v>0</v>
      </c>
      <c r="CH665" s="32">
        <f t="shared" si="1051"/>
        <v>0</v>
      </c>
      <c r="CI665" s="32">
        <f t="shared" si="1051"/>
        <v>0</v>
      </c>
      <c r="CJ665" s="32">
        <f t="shared" si="1051"/>
        <v>0</v>
      </c>
      <c r="CK665" s="32">
        <f t="shared" si="1051"/>
        <v>0</v>
      </c>
      <c r="CL665" s="32">
        <f t="shared" si="1051"/>
        <v>0</v>
      </c>
      <c r="CM665" s="32">
        <f t="shared" si="1051"/>
        <v>0</v>
      </c>
      <c r="CN665" s="32">
        <f t="shared" si="1051"/>
        <v>0</v>
      </c>
      <c r="CO665" s="32">
        <f t="shared" si="1051"/>
        <v>0</v>
      </c>
      <c r="CP665" s="32">
        <f t="shared" si="1051"/>
        <v>0</v>
      </c>
      <c r="CQ665" s="32">
        <f t="shared" si="1051"/>
        <v>0</v>
      </c>
      <c r="CR665" s="32">
        <f t="shared" si="1051"/>
        <v>0</v>
      </c>
      <c r="CS665" s="32">
        <f t="shared" si="1051"/>
        <v>0</v>
      </c>
      <c r="CT665" s="32">
        <f t="shared" si="1051"/>
        <v>0</v>
      </c>
      <c r="CU665" s="32">
        <f t="shared" si="1051"/>
        <v>0</v>
      </c>
      <c r="CV665" s="32">
        <f t="shared" si="1051"/>
        <v>0</v>
      </c>
    </row>
    <row r="666" spans="1:100" ht="12.75" outlineLevel="2" x14ac:dyDescent="0.2">
      <c r="A666" s="79"/>
      <c r="B666" s="79"/>
      <c r="C666" s="561"/>
      <c r="D666" s="60" t="s">
        <v>170</v>
      </c>
      <c r="E666" s="32" t="str">
        <f t="shared" ref="E666:AJ666" si="1052" xml:space="preserve"> E$638</f>
        <v>WCF repayment - P99 POS</v>
      </c>
      <c r="F666" s="32">
        <f t="shared" si="1052"/>
        <v>0</v>
      </c>
      <c r="G666" s="32" t="str">
        <f t="shared" si="1052"/>
        <v>$ 000s</v>
      </c>
      <c r="H666" s="32">
        <f t="shared" si="1052"/>
        <v>0</v>
      </c>
      <c r="I666" s="32">
        <f t="shared" si="1052"/>
        <v>0</v>
      </c>
      <c r="J666" s="32">
        <f t="shared" si="1052"/>
        <v>0</v>
      </c>
      <c r="K666" s="32">
        <f t="shared" si="1052"/>
        <v>0</v>
      </c>
      <c r="L666" s="32">
        <f t="shared" si="1052"/>
        <v>0</v>
      </c>
      <c r="M666" s="32">
        <f t="shared" si="1052"/>
        <v>0</v>
      </c>
      <c r="N666" s="32">
        <f t="shared" si="1052"/>
        <v>0</v>
      </c>
      <c r="O666" s="32">
        <f t="shared" si="1052"/>
        <v>0</v>
      </c>
      <c r="P666" s="32">
        <f t="shared" si="1052"/>
        <v>0</v>
      </c>
      <c r="Q666" s="32">
        <f t="shared" si="1052"/>
        <v>0</v>
      </c>
      <c r="R666" s="32">
        <f t="shared" si="1052"/>
        <v>0</v>
      </c>
      <c r="S666" s="32">
        <f t="shared" si="1052"/>
        <v>0</v>
      </c>
      <c r="T666" s="32">
        <f t="shared" si="1052"/>
        <v>0</v>
      </c>
      <c r="U666" s="32">
        <f t="shared" si="1052"/>
        <v>0</v>
      </c>
      <c r="V666" s="32">
        <f t="shared" si="1052"/>
        <v>0</v>
      </c>
      <c r="W666" s="32">
        <f t="shared" si="1052"/>
        <v>0</v>
      </c>
      <c r="X666" s="32">
        <f t="shared" si="1052"/>
        <v>0</v>
      </c>
      <c r="Y666" s="32">
        <f t="shared" si="1052"/>
        <v>0</v>
      </c>
      <c r="Z666" s="32">
        <f t="shared" si="1052"/>
        <v>0</v>
      </c>
      <c r="AA666" s="32">
        <f t="shared" si="1052"/>
        <v>0</v>
      </c>
      <c r="AB666" s="32">
        <f t="shared" si="1052"/>
        <v>0</v>
      </c>
      <c r="AC666" s="32">
        <f t="shared" si="1052"/>
        <v>0</v>
      </c>
      <c r="AD666" s="32">
        <f t="shared" si="1052"/>
        <v>0</v>
      </c>
      <c r="AE666" s="32">
        <f t="shared" si="1052"/>
        <v>0</v>
      </c>
      <c r="AF666" s="32">
        <f t="shared" si="1052"/>
        <v>0</v>
      </c>
      <c r="AG666" s="32">
        <f t="shared" si="1052"/>
        <v>0</v>
      </c>
      <c r="AH666" s="32">
        <f t="shared" si="1052"/>
        <v>0</v>
      </c>
      <c r="AI666" s="32">
        <f t="shared" si="1052"/>
        <v>0</v>
      </c>
      <c r="AJ666" s="32">
        <f t="shared" si="1052"/>
        <v>0</v>
      </c>
      <c r="AK666" s="32">
        <f t="shared" ref="AK666:BP666" si="1053" xml:space="preserve"> AK$638</f>
        <v>0</v>
      </c>
      <c r="AL666" s="32">
        <f t="shared" si="1053"/>
        <v>0</v>
      </c>
      <c r="AM666" s="32">
        <f t="shared" si="1053"/>
        <v>0</v>
      </c>
      <c r="AN666" s="32">
        <f t="shared" si="1053"/>
        <v>0</v>
      </c>
      <c r="AO666" s="32">
        <f t="shared" si="1053"/>
        <v>0</v>
      </c>
      <c r="AP666" s="32">
        <f t="shared" si="1053"/>
        <v>0</v>
      </c>
      <c r="AQ666" s="32">
        <f t="shared" si="1053"/>
        <v>0</v>
      </c>
      <c r="AR666" s="32">
        <f t="shared" si="1053"/>
        <v>0</v>
      </c>
      <c r="AS666" s="32">
        <f t="shared" si="1053"/>
        <v>0</v>
      </c>
      <c r="AT666" s="32">
        <f t="shared" si="1053"/>
        <v>0</v>
      </c>
      <c r="AU666" s="32">
        <f t="shared" si="1053"/>
        <v>0</v>
      </c>
      <c r="AV666" s="32">
        <f t="shared" si="1053"/>
        <v>0</v>
      </c>
      <c r="AW666" s="32">
        <f t="shared" si="1053"/>
        <v>0</v>
      </c>
      <c r="AX666" s="32">
        <f t="shared" si="1053"/>
        <v>0</v>
      </c>
      <c r="AY666" s="32">
        <f t="shared" si="1053"/>
        <v>0</v>
      </c>
      <c r="AZ666" s="32">
        <f t="shared" si="1053"/>
        <v>0</v>
      </c>
      <c r="BA666" s="32">
        <f t="shared" si="1053"/>
        <v>0</v>
      </c>
      <c r="BB666" s="32">
        <f t="shared" si="1053"/>
        <v>0</v>
      </c>
      <c r="BC666" s="32">
        <f t="shared" si="1053"/>
        <v>0</v>
      </c>
      <c r="BD666" s="32">
        <f t="shared" si="1053"/>
        <v>0</v>
      </c>
      <c r="BE666" s="32">
        <f t="shared" si="1053"/>
        <v>0</v>
      </c>
      <c r="BF666" s="32">
        <f t="shared" si="1053"/>
        <v>0</v>
      </c>
      <c r="BG666" s="32">
        <f t="shared" si="1053"/>
        <v>0</v>
      </c>
      <c r="BH666" s="32">
        <f t="shared" si="1053"/>
        <v>0</v>
      </c>
      <c r="BI666" s="32">
        <f t="shared" si="1053"/>
        <v>0</v>
      </c>
      <c r="BJ666" s="32">
        <f t="shared" si="1053"/>
        <v>0</v>
      </c>
      <c r="BK666" s="32">
        <f t="shared" si="1053"/>
        <v>0</v>
      </c>
      <c r="BL666" s="32">
        <f t="shared" si="1053"/>
        <v>0</v>
      </c>
      <c r="BM666" s="32">
        <f t="shared" si="1053"/>
        <v>0</v>
      </c>
      <c r="BN666" s="32">
        <f t="shared" si="1053"/>
        <v>0</v>
      </c>
      <c r="BO666" s="32">
        <f t="shared" si="1053"/>
        <v>0</v>
      </c>
      <c r="BP666" s="32">
        <f t="shared" si="1053"/>
        <v>0</v>
      </c>
      <c r="BQ666" s="32">
        <f t="shared" ref="BQ666:CV666" si="1054" xml:space="preserve"> BQ$638</f>
        <v>0</v>
      </c>
      <c r="BR666" s="32">
        <f t="shared" si="1054"/>
        <v>0</v>
      </c>
      <c r="BS666" s="32">
        <f t="shared" si="1054"/>
        <v>0</v>
      </c>
      <c r="BT666" s="32">
        <f t="shared" si="1054"/>
        <v>0</v>
      </c>
      <c r="BU666" s="32">
        <f t="shared" si="1054"/>
        <v>0</v>
      </c>
      <c r="BV666" s="32">
        <f t="shared" si="1054"/>
        <v>0</v>
      </c>
      <c r="BW666" s="32">
        <f t="shared" si="1054"/>
        <v>0</v>
      </c>
      <c r="BX666" s="32">
        <f t="shared" si="1054"/>
        <v>0</v>
      </c>
      <c r="BY666" s="32">
        <f t="shared" si="1054"/>
        <v>0</v>
      </c>
      <c r="BZ666" s="32">
        <f t="shared" si="1054"/>
        <v>0</v>
      </c>
      <c r="CA666" s="32">
        <f t="shared" si="1054"/>
        <v>0</v>
      </c>
      <c r="CB666" s="32">
        <f t="shared" si="1054"/>
        <v>0</v>
      </c>
      <c r="CC666" s="32">
        <f t="shared" si="1054"/>
        <v>0</v>
      </c>
      <c r="CD666" s="32">
        <f t="shared" si="1054"/>
        <v>0</v>
      </c>
      <c r="CE666" s="32">
        <f t="shared" si="1054"/>
        <v>0</v>
      </c>
      <c r="CF666" s="32">
        <f t="shared" si="1054"/>
        <v>0</v>
      </c>
      <c r="CG666" s="32">
        <f t="shared" si="1054"/>
        <v>0</v>
      </c>
      <c r="CH666" s="32">
        <f t="shared" si="1054"/>
        <v>0</v>
      </c>
      <c r="CI666" s="32">
        <f t="shared" si="1054"/>
        <v>0</v>
      </c>
      <c r="CJ666" s="32">
        <f t="shared" si="1054"/>
        <v>0</v>
      </c>
      <c r="CK666" s="32">
        <f t="shared" si="1054"/>
        <v>0</v>
      </c>
      <c r="CL666" s="32">
        <f t="shared" si="1054"/>
        <v>0</v>
      </c>
      <c r="CM666" s="32">
        <f t="shared" si="1054"/>
        <v>0</v>
      </c>
      <c r="CN666" s="32">
        <f t="shared" si="1054"/>
        <v>0</v>
      </c>
      <c r="CO666" s="32">
        <f t="shared" si="1054"/>
        <v>0</v>
      </c>
      <c r="CP666" s="32">
        <f t="shared" si="1054"/>
        <v>0</v>
      </c>
      <c r="CQ666" s="32">
        <f t="shared" si="1054"/>
        <v>0</v>
      </c>
      <c r="CR666" s="32">
        <f t="shared" si="1054"/>
        <v>0</v>
      </c>
      <c r="CS666" s="32">
        <f t="shared" si="1054"/>
        <v>0</v>
      </c>
      <c r="CT666" s="32">
        <f t="shared" si="1054"/>
        <v>0</v>
      </c>
      <c r="CU666" s="32">
        <f t="shared" si="1054"/>
        <v>0</v>
      </c>
      <c r="CV666" s="32">
        <f t="shared" si="1054"/>
        <v>0</v>
      </c>
    </row>
    <row r="667" spans="1:100" s="188" customFormat="1" ht="12.75" outlineLevel="2" x14ac:dyDescent="0.2">
      <c r="A667" s="572"/>
      <c r="B667" s="572"/>
      <c r="C667" s="573"/>
      <c r="D667" s="574" t="s">
        <v>372</v>
      </c>
      <c r="E667" s="541" t="s">
        <v>1205</v>
      </c>
      <c r="F667" s="541"/>
      <c r="G667" s="541" t="str">
        <f xml:space="preserve"> SMU</f>
        <v>$ 000s</v>
      </c>
      <c r="H667" s="541"/>
      <c r="I667" s="541"/>
      <c r="J667" s="541">
        <f t="shared" ref="J667:AO667" si="1055" xml:space="preserve"> SUM(J664:J665) - J666</f>
        <v>0</v>
      </c>
      <c r="K667" s="541">
        <f t="shared" si="1055"/>
        <v>0</v>
      </c>
      <c r="L667" s="541">
        <f t="shared" si="1055"/>
        <v>0</v>
      </c>
      <c r="M667" s="541">
        <f t="shared" si="1055"/>
        <v>0</v>
      </c>
      <c r="N667" s="541">
        <f t="shared" si="1055"/>
        <v>0</v>
      </c>
      <c r="O667" s="541">
        <f t="shared" si="1055"/>
        <v>0</v>
      </c>
      <c r="P667" s="541">
        <f t="shared" si="1055"/>
        <v>0</v>
      </c>
      <c r="Q667" s="541">
        <f t="shared" si="1055"/>
        <v>0</v>
      </c>
      <c r="R667" s="541">
        <f t="shared" si="1055"/>
        <v>0</v>
      </c>
      <c r="S667" s="541">
        <f t="shared" si="1055"/>
        <v>0</v>
      </c>
      <c r="T667" s="541">
        <f t="shared" si="1055"/>
        <v>0</v>
      </c>
      <c r="U667" s="541">
        <f t="shared" si="1055"/>
        <v>0</v>
      </c>
      <c r="V667" s="541">
        <f t="shared" si="1055"/>
        <v>0</v>
      </c>
      <c r="W667" s="541">
        <f t="shared" si="1055"/>
        <v>0</v>
      </c>
      <c r="X667" s="541">
        <f t="shared" si="1055"/>
        <v>0</v>
      </c>
      <c r="Y667" s="541">
        <f t="shared" si="1055"/>
        <v>0</v>
      </c>
      <c r="Z667" s="541">
        <f t="shared" si="1055"/>
        <v>0</v>
      </c>
      <c r="AA667" s="541">
        <f t="shared" si="1055"/>
        <v>0</v>
      </c>
      <c r="AB667" s="541">
        <f t="shared" si="1055"/>
        <v>0</v>
      </c>
      <c r="AC667" s="541">
        <f t="shared" si="1055"/>
        <v>0</v>
      </c>
      <c r="AD667" s="541">
        <f t="shared" si="1055"/>
        <v>0</v>
      </c>
      <c r="AE667" s="541">
        <f t="shared" si="1055"/>
        <v>0</v>
      </c>
      <c r="AF667" s="541">
        <f t="shared" si="1055"/>
        <v>0</v>
      </c>
      <c r="AG667" s="541">
        <f t="shared" si="1055"/>
        <v>0</v>
      </c>
      <c r="AH667" s="541">
        <f t="shared" si="1055"/>
        <v>0</v>
      </c>
      <c r="AI667" s="541">
        <f t="shared" si="1055"/>
        <v>0</v>
      </c>
      <c r="AJ667" s="541">
        <f t="shared" si="1055"/>
        <v>0</v>
      </c>
      <c r="AK667" s="541">
        <f t="shared" si="1055"/>
        <v>0</v>
      </c>
      <c r="AL667" s="541">
        <f t="shared" si="1055"/>
        <v>0</v>
      </c>
      <c r="AM667" s="541">
        <f t="shared" si="1055"/>
        <v>0</v>
      </c>
      <c r="AN667" s="541">
        <f t="shared" si="1055"/>
        <v>0</v>
      </c>
      <c r="AO667" s="541">
        <f t="shared" si="1055"/>
        <v>0</v>
      </c>
      <c r="AP667" s="541">
        <f t="shared" ref="AP667:BU667" si="1056" xml:space="preserve"> SUM(AP664:AP665) - AP666</f>
        <v>0</v>
      </c>
      <c r="AQ667" s="541">
        <f t="shared" si="1056"/>
        <v>0</v>
      </c>
      <c r="AR667" s="541">
        <f t="shared" si="1056"/>
        <v>0</v>
      </c>
      <c r="AS667" s="541">
        <f t="shared" si="1056"/>
        <v>0</v>
      </c>
      <c r="AT667" s="541">
        <f t="shared" si="1056"/>
        <v>0</v>
      </c>
      <c r="AU667" s="541">
        <f t="shared" si="1056"/>
        <v>0</v>
      </c>
      <c r="AV667" s="541">
        <f t="shared" si="1056"/>
        <v>0</v>
      </c>
      <c r="AW667" s="541">
        <f t="shared" si="1056"/>
        <v>0</v>
      </c>
      <c r="AX667" s="541">
        <f t="shared" si="1056"/>
        <v>0</v>
      </c>
      <c r="AY667" s="541">
        <f t="shared" si="1056"/>
        <v>0</v>
      </c>
      <c r="AZ667" s="541">
        <f t="shared" si="1056"/>
        <v>0</v>
      </c>
      <c r="BA667" s="541">
        <f t="shared" si="1056"/>
        <v>0</v>
      </c>
      <c r="BB667" s="541">
        <f t="shared" si="1056"/>
        <v>0</v>
      </c>
      <c r="BC667" s="541">
        <f t="shared" si="1056"/>
        <v>0</v>
      </c>
      <c r="BD667" s="541">
        <f t="shared" si="1056"/>
        <v>0</v>
      </c>
      <c r="BE667" s="541">
        <f t="shared" si="1056"/>
        <v>0</v>
      </c>
      <c r="BF667" s="541">
        <f t="shared" si="1056"/>
        <v>0</v>
      </c>
      <c r="BG667" s="541">
        <f t="shared" si="1056"/>
        <v>0</v>
      </c>
      <c r="BH667" s="541">
        <f t="shared" si="1056"/>
        <v>0</v>
      </c>
      <c r="BI667" s="541">
        <f t="shared" si="1056"/>
        <v>0</v>
      </c>
      <c r="BJ667" s="541">
        <f t="shared" si="1056"/>
        <v>0</v>
      </c>
      <c r="BK667" s="541">
        <f t="shared" si="1056"/>
        <v>0</v>
      </c>
      <c r="BL667" s="541">
        <f t="shared" si="1056"/>
        <v>0</v>
      </c>
      <c r="BM667" s="541">
        <f t="shared" si="1056"/>
        <v>0</v>
      </c>
      <c r="BN667" s="541">
        <f t="shared" si="1056"/>
        <v>0</v>
      </c>
      <c r="BO667" s="541">
        <f t="shared" si="1056"/>
        <v>0</v>
      </c>
      <c r="BP667" s="541">
        <f t="shared" si="1056"/>
        <v>0</v>
      </c>
      <c r="BQ667" s="541">
        <f t="shared" si="1056"/>
        <v>0</v>
      </c>
      <c r="BR667" s="541">
        <f t="shared" si="1056"/>
        <v>0</v>
      </c>
      <c r="BS667" s="541">
        <f t="shared" si="1056"/>
        <v>0</v>
      </c>
      <c r="BT667" s="541">
        <f t="shared" si="1056"/>
        <v>0</v>
      </c>
      <c r="BU667" s="541">
        <f t="shared" si="1056"/>
        <v>0</v>
      </c>
      <c r="BV667" s="541">
        <f t="shared" ref="BV667:CV667" si="1057" xml:space="preserve"> SUM(BV664:BV665) - BV666</f>
        <v>0</v>
      </c>
      <c r="BW667" s="541">
        <f t="shared" si="1057"/>
        <v>0</v>
      </c>
      <c r="BX667" s="541">
        <f t="shared" si="1057"/>
        <v>0</v>
      </c>
      <c r="BY667" s="541">
        <f t="shared" si="1057"/>
        <v>0</v>
      </c>
      <c r="BZ667" s="541">
        <f t="shared" si="1057"/>
        <v>0</v>
      </c>
      <c r="CA667" s="541">
        <f t="shared" si="1057"/>
        <v>0</v>
      </c>
      <c r="CB667" s="541">
        <f t="shared" si="1057"/>
        <v>0</v>
      </c>
      <c r="CC667" s="541">
        <f t="shared" si="1057"/>
        <v>0</v>
      </c>
      <c r="CD667" s="541">
        <f t="shared" si="1057"/>
        <v>0</v>
      </c>
      <c r="CE667" s="541">
        <f t="shared" si="1057"/>
        <v>0</v>
      </c>
      <c r="CF667" s="541">
        <f t="shared" si="1057"/>
        <v>0</v>
      </c>
      <c r="CG667" s="541">
        <f t="shared" si="1057"/>
        <v>0</v>
      </c>
      <c r="CH667" s="541">
        <f t="shared" si="1057"/>
        <v>0</v>
      </c>
      <c r="CI667" s="541">
        <f t="shared" si="1057"/>
        <v>0</v>
      </c>
      <c r="CJ667" s="541">
        <f t="shared" si="1057"/>
        <v>0</v>
      </c>
      <c r="CK667" s="541">
        <f t="shared" si="1057"/>
        <v>0</v>
      </c>
      <c r="CL667" s="541">
        <f t="shared" si="1057"/>
        <v>0</v>
      </c>
      <c r="CM667" s="541">
        <f t="shared" si="1057"/>
        <v>0</v>
      </c>
      <c r="CN667" s="541">
        <f t="shared" si="1057"/>
        <v>0</v>
      </c>
      <c r="CO667" s="541">
        <f t="shared" si="1057"/>
        <v>0</v>
      </c>
      <c r="CP667" s="541">
        <f t="shared" si="1057"/>
        <v>0</v>
      </c>
      <c r="CQ667" s="541">
        <f t="shared" si="1057"/>
        <v>0</v>
      </c>
      <c r="CR667" s="541">
        <f t="shared" si="1057"/>
        <v>0</v>
      </c>
      <c r="CS667" s="541">
        <f t="shared" si="1057"/>
        <v>0</v>
      </c>
      <c r="CT667" s="541">
        <f t="shared" si="1057"/>
        <v>0</v>
      </c>
      <c r="CU667" s="541">
        <f t="shared" si="1057"/>
        <v>0</v>
      </c>
      <c r="CV667" s="541">
        <f t="shared" si="1057"/>
        <v>0</v>
      </c>
    </row>
    <row r="668" spans="1:100" ht="12.75" outlineLevel="2" x14ac:dyDescent="0.2">
      <c r="A668" s="79"/>
      <c r="B668" s="79"/>
      <c r="C668" s="561"/>
      <c r="D668" s="60"/>
      <c r="E668" s="32"/>
      <c r="F668" s="32"/>
      <c r="G668" s="32"/>
      <c r="H668" s="32"/>
      <c r="I668" s="32"/>
      <c r="J668" s="32"/>
      <c r="K668" s="32"/>
      <c r="L668" s="32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</row>
    <row r="669" spans="1:100" ht="12.75" x14ac:dyDescent="0.2">
      <c r="A669" s="522"/>
      <c r="B669" s="522"/>
      <c r="C669" s="523"/>
      <c r="D669" s="524"/>
      <c r="E669" s="525"/>
      <c r="F669" s="525"/>
      <c r="G669" s="525"/>
      <c r="H669" s="525"/>
      <c r="I669" s="526"/>
      <c r="J669" s="525"/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</row>
    <row r="670" spans="1:100" s="734" customFormat="1" ht="13.15" customHeight="1" x14ac:dyDescent="0.2">
      <c r="A670" s="763" t="s">
        <v>513</v>
      </c>
      <c r="B670" s="732"/>
      <c r="C670" s="732"/>
      <c r="D670" s="732"/>
      <c r="E670" s="114"/>
      <c r="F670" s="114"/>
      <c r="G670" s="114"/>
      <c r="H670" s="114"/>
      <c r="I670" s="114"/>
      <c r="J670" s="114"/>
      <c r="K670" s="114"/>
      <c r="L670" s="114"/>
      <c r="M670" s="114"/>
      <c r="N670" s="114"/>
      <c r="O670" s="114"/>
      <c r="P670" s="114"/>
      <c r="Q670" s="114"/>
      <c r="R670" s="114"/>
      <c r="S670" s="114"/>
      <c r="T670" s="114"/>
      <c r="U670" s="114"/>
      <c r="V670" s="114"/>
      <c r="W670" s="114"/>
      <c r="X670" s="114"/>
      <c r="Y670" s="114"/>
      <c r="Z670" s="114"/>
      <c r="AA670" s="114"/>
      <c r="AB670" s="114"/>
      <c r="AC670" s="114"/>
      <c r="AD670" s="114"/>
      <c r="AE670" s="114"/>
      <c r="AF670" s="114"/>
      <c r="AG670" s="114"/>
      <c r="AH670" s="114"/>
      <c r="AI670" s="114"/>
      <c r="AJ670" s="114"/>
      <c r="AK670" s="114"/>
      <c r="AL670" s="114"/>
      <c r="AM670" s="114"/>
      <c r="AN670" s="114"/>
      <c r="AO670" s="114"/>
      <c r="AP670" s="114"/>
      <c r="AQ670" s="114"/>
      <c r="AR670" s="114"/>
      <c r="AS670" s="114"/>
      <c r="AT670" s="114"/>
      <c r="AU670" s="114"/>
      <c r="AV670" s="114"/>
      <c r="AW670" s="114"/>
      <c r="AX670" s="114"/>
      <c r="AY670" s="114"/>
      <c r="AZ670" s="114"/>
      <c r="BA670" s="114"/>
      <c r="BB670" s="114"/>
      <c r="BC670" s="114"/>
      <c r="BD670" s="114"/>
      <c r="BE670" s="114"/>
      <c r="BF670" s="114"/>
      <c r="BG670" s="114"/>
      <c r="BH670" s="114"/>
      <c r="BI670" s="114"/>
      <c r="BJ670" s="114"/>
      <c r="BK670" s="114"/>
      <c r="BL670" s="114"/>
      <c r="BM670" s="114"/>
      <c r="BN670" s="114"/>
      <c r="BO670" s="114"/>
      <c r="BP670" s="114"/>
      <c r="BQ670" s="114"/>
      <c r="BR670" s="114"/>
      <c r="BS670" s="114"/>
      <c r="BT670" s="114"/>
      <c r="BU670" s="114"/>
      <c r="BV670" s="114"/>
      <c r="BW670" s="114"/>
      <c r="BX670" s="114"/>
      <c r="BY670" s="114"/>
      <c r="BZ670" s="114"/>
      <c r="CA670" s="114"/>
      <c r="CB670" s="114"/>
      <c r="CC670" s="114"/>
      <c r="CD670" s="114"/>
      <c r="CE670" s="114"/>
      <c r="CF670" s="114"/>
      <c r="CG670" s="114"/>
      <c r="CH670" s="114"/>
      <c r="CI670" s="114"/>
      <c r="CJ670" s="114"/>
      <c r="CK670" s="114"/>
      <c r="CL670" s="114"/>
      <c r="CM670" s="114"/>
      <c r="CN670" s="114"/>
      <c r="CO670" s="114"/>
      <c r="CP670" s="114"/>
      <c r="CQ670" s="114"/>
      <c r="CR670" s="114"/>
      <c r="CS670" s="114"/>
      <c r="CT670" s="114"/>
      <c r="CU670" s="114"/>
      <c r="CV670" s="114"/>
    </row>
    <row r="671" spans="1:100" s="734" customFormat="1" ht="13.15" customHeight="1" outlineLevel="1" x14ac:dyDescent="0.2">
      <c r="A671" s="732"/>
      <c r="B671" s="732"/>
      <c r="C671" s="732"/>
      <c r="D671" s="732"/>
      <c r="E671" s="114"/>
      <c r="F671" s="114"/>
      <c r="G671" s="114"/>
      <c r="H671" s="114"/>
      <c r="I671" s="114"/>
      <c r="J671" s="114"/>
      <c r="K671" s="114"/>
      <c r="L671" s="114"/>
      <c r="M671" s="114"/>
      <c r="N671" s="114"/>
      <c r="O671" s="114"/>
      <c r="P671" s="114"/>
      <c r="Q671" s="114"/>
      <c r="R671" s="114"/>
      <c r="S671" s="114"/>
      <c r="T671" s="114"/>
      <c r="U671" s="114"/>
      <c r="V671" s="114"/>
      <c r="W671" s="114"/>
      <c r="X671" s="114"/>
      <c r="Y671" s="114"/>
      <c r="Z671" s="114"/>
      <c r="AA671" s="114"/>
      <c r="AB671" s="114"/>
      <c r="AC671" s="114"/>
      <c r="AD671" s="114"/>
      <c r="AE671" s="114"/>
      <c r="AF671" s="114"/>
      <c r="AG671" s="114"/>
      <c r="AH671" s="114"/>
      <c r="AI671" s="114"/>
      <c r="AJ671" s="114"/>
      <c r="AK671" s="114"/>
      <c r="AL671" s="114"/>
      <c r="AM671" s="114"/>
      <c r="AN671" s="114"/>
      <c r="AO671" s="114"/>
      <c r="AP671" s="114"/>
      <c r="AQ671" s="114"/>
      <c r="AR671" s="114"/>
      <c r="AS671" s="114"/>
      <c r="AT671" s="114"/>
      <c r="AU671" s="114"/>
      <c r="AV671" s="114"/>
      <c r="AW671" s="114"/>
      <c r="AX671" s="114"/>
      <c r="AY671" s="114"/>
      <c r="AZ671" s="114"/>
      <c r="BA671" s="114"/>
      <c r="BB671" s="114"/>
      <c r="BC671" s="114"/>
      <c r="BD671" s="114"/>
      <c r="BE671" s="114"/>
      <c r="BF671" s="114"/>
      <c r="BG671" s="114"/>
      <c r="BH671" s="114"/>
      <c r="BI671" s="114"/>
      <c r="BJ671" s="114"/>
      <c r="BK671" s="114"/>
      <c r="BL671" s="114"/>
      <c r="BM671" s="114"/>
      <c r="BN671" s="114"/>
      <c r="BO671" s="114"/>
      <c r="BP671" s="114"/>
      <c r="BQ671" s="114"/>
      <c r="BR671" s="114"/>
      <c r="BS671" s="114"/>
      <c r="BT671" s="114"/>
      <c r="BU671" s="114"/>
      <c r="BV671" s="114"/>
      <c r="BW671" s="114"/>
      <c r="BX671" s="114"/>
      <c r="BY671" s="114"/>
      <c r="BZ671" s="114"/>
      <c r="CA671" s="114"/>
      <c r="CB671" s="114"/>
      <c r="CC671" s="114"/>
      <c r="CD671" s="114"/>
      <c r="CE671" s="114"/>
      <c r="CF671" s="114"/>
      <c r="CG671" s="114"/>
      <c r="CH671" s="114"/>
      <c r="CI671" s="114"/>
      <c r="CJ671" s="114"/>
      <c r="CK671" s="114"/>
      <c r="CL671" s="114"/>
      <c r="CM671" s="114"/>
      <c r="CN671" s="114"/>
      <c r="CO671" s="114"/>
      <c r="CP671" s="114"/>
      <c r="CQ671" s="114"/>
      <c r="CR671" s="114"/>
      <c r="CS671" s="114"/>
      <c r="CT671" s="114"/>
      <c r="CU671" s="114"/>
      <c r="CV671" s="114"/>
    </row>
    <row r="672" spans="1:100" s="734" customFormat="1" ht="13.15" customHeight="1" outlineLevel="1" x14ac:dyDescent="0.2">
      <c r="A672" s="732"/>
      <c r="B672" s="763" t="s">
        <v>539</v>
      </c>
      <c r="C672" s="732"/>
      <c r="D672" s="732"/>
      <c r="E672" s="114"/>
      <c r="F672" s="114"/>
      <c r="G672" s="114"/>
      <c r="H672" s="114"/>
      <c r="I672" s="114"/>
      <c r="J672" s="114"/>
      <c r="K672" s="114"/>
      <c r="L672" s="114"/>
      <c r="M672" s="114"/>
      <c r="N672" s="114"/>
      <c r="O672" s="114"/>
      <c r="P672" s="114"/>
      <c r="Q672" s="114"/>
      <c r="R672" s="114"/>
      <c r="S672" s="114"/>
      <c r="T672" s="114"/>
      <c r="U672" s="114"/>
      <c r="V672" s="114"/>
      <c r="W672" s="114"/>
      <c r="X672" s="114"/>
      <c r="Y672" s="114"/>
      <c r="Z672" s="114"/>
      <c r="AA672" s="114"/>
      <c r="AB672" s="114"/>
      <c r="AC672" s="114"/>
      <c r="AD672" s="114"/>
      <c r="AE672" s="114"/>
      <c r="AF672" s="114"/>
      <c r="AG672" s="114"/>
      <c r="AH672" s="114"/>
      <c r="AI672" s="114"/>
      <c r="AJ672" s="114"/>
      <c r="AK672" s="114"/>
      <c r="AL672" s="114"/>
      <c r="AM672" s="114"/>
      <c r="AN672" s="114"/>
      <c r="AO672" s="114"/>
      <c r="AP672" s="114"/>
      <c r="AQ672" s="114"/>
      <c r="AR672" s="114"/>
      <c r="AS672" s="114"/>
      <c r="AT672" s="114"/>
      <c r="AU672" s="114"/>
      <c r="AV672" s="114"/>
      <c r="AW672" s="114"/>
      <c r="AX672" s="114"/>
      <c r="AY672" s="114"/>
      <c r="AZ672" s="114"/>
      <c r="BA672" s="114"/>
      <c r="BB672" s="114"/>
      <c r="BC672" s="114"/>
      <c r="BD672" s="114"/>
      <c r="BE672" s="114"/>
      <c r="BF672" s="114"/>
      <c r="BG672" s="114"/>
      <c r="BH672" s="114"/>
      <c r="BI672" s="114"/>
      <c r="BJ672" s="114"/>
      <c r="BK672" s="114"/>
      <c r="BL672" s="114"/>
      <c r="BM672" s="114"/>
      <c r="BN672" s="114"/>
      <c r="BO672" s="114"/>
      <c r="BP672" s="114"/>
      <c r="BQ672" s="114"/>
      <c r="BR672" s="114"/>
      <c r="BS672" s="114"/>
      <c r="BT672" s="114"/>
      <c r="BU672" s="114"/>
      <c r="BV672" s="114"/>
      <c r="BW672" s="114"/>
      <c r="BX672" s="114"/>
      <c r="BY672" s="114"/>
      <c r="BZ672" s="114"/>
      <c r="CA672" s="114"/>
      <c r="CB672" s="114"/>
      <c r="CC672" s="114"/>
      <c r="CD672" s="114"/>
      <c r="CE672" s="114"/>
      <c r="CF672" s="114"/>
      <c r="CG672" s="114"/>
      <c r="CH672" s="114"/>
      <c r="CI672" s="114"/>
      <c r="CJ672" s="114"/>
      <c r="CK672" s="114"/>
      <c r="CL672" s="114"/>
      <c r="CM672" s="114"/>
      <c r="CN672" s="114"/>
      <c r="CO672" s="114"/>
      <c r="CP672" s="114"/>
      <c r="CQ672" s="114"/>
      <c r="CR672" s="114"/>
      <c r="CS672" s="114"/>
      <c r="CT672" s="114"/>
      <c r="CU672" s="114"/>
      <c r="CV672" s="114"/>
    </row>
    <row r="673" spans="1:100" s="734" customFormat="1" ht="13.15" customHeight="1" outlineLevel="2" x14ac:dyDescent="0.2">
      <c r="A673" s="732"/>
      <c r="B673" s="732"/>
      <c r="C673" s="732"/>
      <c r="D673" s="732"/>
      <c r="E673" s="740" t="str">
        <f t="shared" ref="E673:AJ673" si="1058" xml:space="preserve"> E$684</f>
        <v>Equity bridge balance BEG</v>
      </c>
      <c r="F673" s="740">
        <f t="shared" si="1058"/>
        <v>0</v>
      </c>
      <c r="G673" s="740" t="str">
        <f t="shared" si="1058"/>
        <v>$ 000s</v>
      </c>
      <c r="H673" s="740">
        <f t="shared" si="1058"/>
        <v>0</v>
      </c>
      <c r="I673" s="740">
        <f t="shared" si="1058"/>
        <v>0</v>
      </c>
      <c r="J673" s="740">
        <f t="shared" si="1058"/>
        <v>0</v>
      </c>
      <c r="K673" s="740">
        <f t="shared" si="1058"/>
        <v>38555.01232134179</v>
      </c>
      <c r="L673" s="740">
        <f t="shared" si="1058"/>
        <v>86318.253106861201</v>
      </c>
      <c r="M673" s="740">
        <f t="shared" si="1058"/>
        <v>86318.253106861201</v>
      </c>
      <c r="N673" s="740">
        <f t="shared" si="1058"/>
        <v>86318.253106861201</v>
      </c>
      <c r="O673" s="740">
        <f t="shared" si="1058"/>
        <v>0</v>
      </c>
      <c r="P673" s="740">
        <f t="shared" si="1058"/>
        <v>0</v>
      </c>
      <c r="Q673" s="740">
        <f t="shared" si="1058"/>
        <v>0</v>
      </c>
      <c r="R673" s="740">
        <f t="shared" si="1058"/>
        <v>0</v>
      </c>
      <c r="S673" s="740">
        <f t="shared" si="1058"/>
        <v>0</v>
      </c>
      <c r="T673" s="740">
        <f t="shared" si="1058"/>
        <v>0</v>
      </c>
      <c r="U673" s="740">
        <f t="shared" si="1058"/>
        <v>0</v>
      </c>
      <c r="V673" s="740">
        <f t="shared" si="1058"/>
        <v>0</v>
      </c>
      <c r="W673" s="740">
        <f t="shared" si="1058"/>
        <v>0</v>
      </c>
      <c r="X673" s="740">
        <f t="shared" si="1058"/>
        <v>0</v>
      </c>
      <c r="Y673" s="740">
        <f t="shared" si="1058"/>
        <v>0</v>
      </c>
      <c r="Z673" s="740">
        <f t="shared" si="1058"/>
        <v>0</v>
      </c>
      <c r="AA673" s="740">
        <f t="shared" si="1058"/>
        <v>0</v>
      </c>
      <c r="AB673" s="740">
        <f t="shared" si="1058"/>
        <v>0</v>
      </c>
      <c r="AC673" s="740">
        <f t="shared" si="1058"/>
        <v>0</v>
      </c>
      <c r="AD673" s="740">
        <f t="shared" si="1058"/>
        <v>0</v>
      </c>
      <c r="AE673" s="740">
        <f t="shared" si="1058"/>
        <v>0</v>
      </c>
      <c r="AF673" s="740">
        <f t="shared" si="1058"/>
        <v>0</v>
      </c>
      <c r="AG673" s="740">
        <f t="shared" si="1058"/>
        <v>0</v>
      </c>
      <c r="AH673" s="740">
        <f t="shared" si="1058"/>
        <v>0</v>
      </c>
      <c r="AI673" s="740">
        <f t="shared" si="1058"/>
        <v>0</v>
      </c>
      <c r="AJ673" s="740">
        <f t="shared" si="1058"/>
        <v>0</v>
      </c>
      <c r="AK673" s="740">
        <f t="shared" ref="AK673:BP673" si="1059" xml:space="preserve"> AK$684</f>
        <v>0</v>
      </c>
      <c r="AL673" s="740">
        <f t="shared" si="1059"/>
        <v>0</v>
      </c>
      <c r="AM673" s="740">
        <f t="shared" si="1059"/>
        <v>0</v>
      </c>
      <c r="AN673" s="740">
        <f t="shared" si="1059"/>
        <v>0</v>
      </c>
      <c r="AO673" s="740">
        <f t="shared" si="1059"/>
        <v>0</v>
      </c>
      <c r="AP673" s="740">
        <f t="shared" si="1059"/>
        <v>0</v>
      </c>
      <c r="AQ673" s="740">
        <f t="shared" si="1059"/>
        <v>0</v>
      </c>
      <c r="AR673" s="740">
        <f t="shared" si="1059"/>
        <v>0</v>
      </c>
      <c r="AS673" s="740">
        <f t="shared" si="1059"/>
        <v>0</v>
      </c>
      <c r="AT673" s="740">
        <f t="shared" si="1059"/>
        <v>0</v>
      </c>
      <c r="AU673" s="740">
        <f t="shared" si="1059"/>
        <v>0</v>
      </c>
      <c r="AV673" s="740">
        <f t="shared" si="1059"/>
        <v>0</v>
      </c>
      <c r="AW673" s="740">
        <f t="shared" si="1059"/>
        <v>0</v>
      </c>
      <c r="AX673" s="740">
        <f t="shared" si="1059"/>
        <v>0</v>
      </c>
      <c r="AY673" s="740">
        <f t="shared" si="1059"/>
        <v>0</v>
      </c>
      <c r="AZ673" s="740">
        <f t="shared" si="1059"/>
        <v>0</v>
      </c>
      <c r="BA673" s="740">
        <f t="shared" si="1059"/>
        <v>0</v>
      </c>
      <c r="BB673" s="740">
        <f t="shared" si="1059"/>
        <v>0</v>
      </c>
      <c r="BC673" s="740">
        <f t="shared" si="1059"/>
        <v>0</v>
      </c>
      <c r="BD673" s="740">
        <f t="shared" si="1059"/>
        <v>0</v>
      </c>
      <c r="BE673" s="740">
        <f t="shared" si="1059"/>
        <v>0</v>
      </c>
      <c r="BF673" s="740">
        <f t="shared" si="1059"/>
        <v>0</v>
      </c>
      <c r="BG673" s="740">
        <f t="shared" si="1059"/>
        <v>0</v>
      </c>
      <c r="BH673" s="740">
        <f t="shared" si="1059"/>
        <v>0</v>
      </c>
      <c r="BI673" s="740">
        <f t="shared" si="1059"/>
        <v>0</v>
      </c>
      <c r="BJ673" s="740">
        <f t="shared" si="1059"/>
        <v>0</v>
      </c>
      <c r="BK673" s="740">
        <f t="shared" si="1059"/>
        <v>0</v>
      </c>
      <c r="BL673" s="740">
        <f t="shared" si="1059"/>
        <v>0</v>
      </c>
      <c r="BM673" s="740">
        <f t="shared" si="1059"/>
        <v>0</v>
      </c>
      <c r="BN673" s="740">
        <f t="shared" si="1059"/>
        <v>0</v>
      </c>
      <c r="BO673" s="740">
        <f t="shared" si="1059"/>
        <v>0</v>
      </c>
      <c r="BP673" s="740">
        <f t="shared" si="1059"/>
        <v>0</v>
      </c>
      <c r="BQ673" s="740">
        <f t="shared" ref="BQ673:CV673" si="1060" xml:space="preserve"> BQ$684</f>
        <v>0</v>
      </c>
      <c r="BR673" s="740">
        <f t="shared" si="1060"/>
        <v>0</v>
      </c>
      <c r="BS673" s="740">
        <f t="shared" si="1060"/>
        <v>0</v>
      </c>
      <c r="BT673" s="740">
        <f t="shared" si="1060"/>
        <v>0</v>
      </c>
      <c r="BU673" s="740">
        <f t="shared" si="1060"/>
        <v>0</v>
      </c>
      <c r="BV673" s="740">
        <f t="shared" si="1060"/>
        <v>0</v>
      </c>
      <c r="BW673" s="740">
        <f t="shared" si="1060"/>
        <v>0</v>
      </c>
      <c r="BX673" s="740">
        <f t="shared" si="1060"/>
        <v>0</v>
      </c>
      <c r="BY673" s="740">
        <f t="shared" si="1060"/>
        <v>0</v>
      </c>
      <c r="BZ673" s="740">
        <f t="shared" si="1060"/>
        <v>0</v>
      </c>
      <c r="CA673" s="740">
        <f t="shared" si="1060"/>
        <v>0</v>
      </c>
      <c r="CB673" s="740">
        <f t="shared" si="1060"/>
        <v>0</v>
      </c>
      <c r="CC673" s="740">
        <f t="shared" si="1060"/>
        <v>0</v>
      </c>
      <c r="CD673" s="740">
        <f t="shared" si="1060"/>
        <v>0</v>
      </c>
      <c r="CE673" s="740">
        <f t="shared" si="1060"/>
        <v>0</v>
      </c>
      <c r="CF673" s="740">
        <f t="shared" si="1060"/>
        <v>0</v>
      </c>
      <c r="CG673" s="740">
        <f t="shared" si="1060"/>
        <v>0</v>
      </c>
      <c r="CH673" s="740">
        <f t="shared" si="1060"/>
        <v>0</v>
      </c>
      <c r="CI673" s="740">
        <f t="shared" si="1060"/>
        <v>0</v>
      </c>
      <c r="CJ673" s="740">
        <f t="shared" si="1060"/>
        <v>0</v>
      </c>
      <c r="CK673" s="740">
        <f t="shared" si="1060"/>
        <v>0</v>
      </c>
      <c r="CL673" s="740">
        <f t="shared" si="1060"/>
        <v>0</v>
      </c>
      <c r="CM673" s="740">
        <f t="shared" si="1060"/>
        <v>0</v>
      </c>
      <c r="CN673" s="740">
        <f t="shared" si="1060"/>
        <v>0</v>
      </c>
      <c r="CO673" s="740">
        <f t="shared" si="1060"/>
        <v>0</v>
      </c>
      <c r="CP673" s="740">
        <f t="shared" si="1060"/>
        <v>0</v>
      </c>
      <c r="CQ673" s="740">
        <f t="shared" si="1060"/>
        <v>0</v>
      </c>
      <c r="CR673" s="740">
        <f t="shared" si="1060"/>
        <v>0</v>
      </c>
      <c r="CS673" s="740">
        <f t="shared" si="1060"/>
        <v>0</v>
      </c>
      <c r="CT673" s="740">
        <f t="shared" si="1060"/>
        <v>0</v>
      </c>
      <c r="CU673" s="740">
        <f t="shared" si="1060"/>
        <v>0</v>
      </c>
      <c r="CV673" s="740">
        <f t="shared" si="1060"/>
        <v>0</v>
      </c>
    </row>
    <row r="674" spans="1:100" s="764" customFormat="1" ht="13.15" customHeight="1" outlineLevel="2" x14ac:dyDescent="0.2">
      <c r="A674" s="787"/>
      <c r="B674" s="787"/>
      <c r="C674" s="787"/>
      <c r="D674" s="787"/>
      <c r="E674" s="789" t="str">
        <f xml:space="preserve"> Time!E$259</f>
        <v>Equity bridge repayment date flag</v>
      </c>
      <c r="F674" s="789">
        <f xml:space="preserve"> Time!F$259</f>
        <v>0</v>
      </c>
      <c r="G674" s="789" t="str">
        <f xml:space="preserve"> Time!G$259</f>
        <v>flag</v>
      </c>
      <c r="H674" s="789">
        <f xml:space="preserve"> Time!H$259</f>
        <v>1</v>
      </c>
      <c r="I674" s="789">
        <f xml:space="preserve"> Time!I$259</f>
        <v>0</v>
      </c>
      <c r="J674" s="789">
        <f xml:space="preserve"> Time!J$259</f>
        <v>0</v>
      </c>
      <c r="K674" s="789">
        <f xml:space="preserve"> Time!K$259</f>
        <v>0</v>
      </c>
      <c r="L674" s="789">
        <f xml:space="preserve"> Time!L$259</f>
        <v>0</v>
      </c>
      <c r="M674" s="789">
        <f xml:space="preserve"> Time!M$259</f>
        <v>0</v>
      </c>
      <c r="N674" s="789">
        <f xml:space="preserve"> Time!N$259</f>
        <v>1</v>
      </c>
      <c r="O674" s="789">
        <f xml:space="preserve"> Time!O$259</f>
        <v>0</v>
      </c>
      <c r="P674" s="789">
        <f xml:space="preserve"> Time!P$259</f>
        <v>0</v>
      </c>
      <c r="Q674" s="789">
        <f xml:space="preserve"> Time!Q$259</f>
        <v>0</v>
      </c>
      <c r="R674" s="789">
        <f xml:space="preserve"> Time!R$259</f>
        <v>0</v>
      </c>
      <c r="S674" s="789">
        <f xml:space="preserve"> Time!S$259</f>
        <v>0</v>
      </c>
      <c r="T674" s="789">
        <f xml:space="preserve"> Time!T$259</f>
        <v>0</v>
      </c>
      <c r="U674" s="789">
        <f xml:space="preserve"> Time!U$259</f>
        <v>0</v>
      </c>
      <c r="V674" s="789">
        <f xml:space="preserve"> Time!V$259</f>
        <v>0</v>
      </c>
      <c r="W674" s="789">
        <f xml:space="preserve"> Time!W$259</f>
        <v>0</v>
      </c>
      <c r="X674" s="789">
        <f xml:space="preserve"> Time!X$259</f>
        <v>0</v>
      </c>
      <c r="Y674" s="789">
        <f xml:space="preserve"> Time!Y$259</f>
        <v>0</v>
      </c>
      <c r="Z674" s="789">
        <f xml:space="preserve"> Time!Z$259</f>
        <v>0</v>
      </c>
      <c r="AA674" s="789">
        <f xml:space="preserve"> Time!AA$259</f>
        <v>0</v>
      </c>
      <c r="AB674" s="789">
        <f xml:space="preserve"> Time!AB$259</f>
        <v>0</v>
      </c>
      <c r="AC674" s="789">
        <f xml:space="preserve"> Time!AC$259</f>
        <v>0</v>
      </c>
      <c r="AD674" s="789">
        <f xml:space="preserve"> Time!AD$259</f>
        <v>0</v>
      </c>
      <c r="AE674" s="789">
        <f xml:space="preserve"> Time!AE$259</f>
        <v>0</v>
      </c>
      <c r="AF674" s="789">
        <f xml:space="preserve"> Time!AF$259</f>
        <v>0</v>
      </c>
      <c r="AG674" s="789">
        <f xml:space="preserve"> Time!AG$259</f>
        <v>0</v>
      </c>
      <c r="AH674" s="789">
        <f xml:space="preserve"> Time!AH$259</f>
        <v>0</v>
      </c>
      <c r="AI674" s="789">
        <f xml:space="preserve"> Time!AI$259</f>
        <v>0</v>
      </c>
      <c r="AJ674" s="789">
        <f xml:space="preserve"> Time!AJ$259</f>
        <v>0</v>
      </c>
      <c r="AK674" s="789">
        <f xml:space="preserve"> Time!AK$259</f>
        <v>0</v>
      </c>
      <c r="AL674" s="789">
        <f xml:space="preserve"> Time!AL$259</f>
        <v>0</v>
      </c>
      <c r="AM674" s="789">
        <f xml:space="preserve"> Time!AM$259</f>
        <v>0</v>
      </c>
      <c r="AN674" s="789">
        <f xml:space="preserve"> Time!AN$259</f>
        <v>0</v>
      </c>
      <c r="AO674" s="789">
        <f xml:space="preserve"> Time!AO$259</f>
        <v>0</v>
      </c>
      <c r="AP674" s="789">
        <f xml:space="preserve"> Time!AP$259</f>
        <v>0</v>
      </c>
      <c r="AQ674" s="789">
        <f xml:space="preserve"> Time!AQ$259</f>
        <v>0</v>
      </c>
      <c r="AR674" s="789">
        <f xml:space="preserve"> Time!AR$259</f>
        <v>0</v>
      </c>
      <c r="AS674" s="789">
        <f xml:space="preserve"> Time!AS$259</f>
        <v>0</v>
      </c>
      <c r="AT674" s="789">
        <f xml:space="preserve"> Time!AT$259</f>
        <v>0</v>
      </c>
      <c r="AU674" s="789">
        <f xml:space="preserve"> Time!AU$259</f>
        <v>0</v>
      </c>
      <c r="AV674" s="789">
        <f xml:space="preserve"> Time!AV$259</f>
        <v>0</v>
      </c>
      <c r="AW674" s="789">
        <f xml:space="preserve"> Time!AW$259</f>
        <v>0</v>
      </c>
      <c r="AX674" s="789">
        <f xml:space="preserve"> Time!AX$259</f>
        <v>0</v>
      </c>
      <c r="AY674" s="789">
        <f xml:space="preserve"> Time!AY$259</f>
        <v>0</v>
      </c>
      <c r="AZ674" s="789">
        <f xml:space="preserve"> Time!AZ$259</f>
        <v>0</v>
      </c>
      <c r="BA674" s="789">
        <f xml:space="preserve"> Time!BA$259</f>
        <v>0</v>
      </c>
      <c r="BB674" s="789">
        <f xml:space="preserve"> Time!BB$259</f>
        <v>0</v>
      </c>
      <c r="BC674" s="789">
        <f xml:space="preserve"> Time!BC$259</f>
        <v>0</v>
      </c>
      <c r="BD674" s="789">
        <f xml:space="preserve"> Time!BD$259</f>
        <v>0</v>
      </c>
      <c r="BE674" s="789">
        <f xml:space="preserve"> Time!BE$259</f>
        <v>0</v>
      </c>
      <c r="BF674" s="789">
        <f xml:space="preserve"> Time!BF$259</f>
        <v>0</v>
      </c>
      <c r="BG674" s="789">
        <f xml:space="preserve"> Time!BG$259</f>
        <v>0</v>
      </c>
      <c r="BH674" s="789">
        <f xml:space="preserve"> Time!BH$259</f>
        <v>0</v>
      </c>
      <c r="BI674" s="789">
        <f xml:space="preserve"> Time!BI$259</f>
        <v>0</v>
      </c>
      <c r="BJ674" s="789">
        <f xml:space="preserve"> Time!BJ$259</f>
        <v>0</v>
      </c>
      <c r="BK674" s="789">
        <f xml:space="preserve"> Time!BK$259</f>
        <v>0</v>
      </c>
      <c r="BL674" s="789">
        <f xml:space="preserve"> Time!BL$259</f>
        <v>0</v>
      </c>
      <c r="BM674" s="789">
        <f xml:space="preserve"> Time!BM$259</f>
        <v>0</v>
      </c>
      <c r="BN674" s="789">
        <f xml:space="preserve"> Time!BN$259</f>
        <v>0</v>
      </c>
      <c r="BO674" s="789">
        <f xml:space="preserve"> Time!BO$259</f>
        <v>0</v>
      </c>
      <c r="BP674" s="789">
        <f xml:space="preserve"> Time!BP$259</f>
        <v>0</v>
      </c>
      <c r="BQ674" s="789">
        <f xml:space="preserve"> Time!BQ$259</f>
        <v>0</v>
      </c>
      <c r="BR674" s="789">
        <f xml:space="preserve"> Time!BR$259</f>
        <v>0</v>
      </c>
      <c r="BS674" s="789">
        <f xml:space="preserve"> Time!BS$259</f>
        <v>0</v>
      </c>
      <c r="BT674" s="789">
        <f xml:space="preserve"> Time!BT$259</f>
        <v>0</v>
      </c>
      <c r="BU674" s="789">
        <f xml:space="preserve"> Time!BU$259</f>
        <v>0</v>
      </c>
      <c r="BV674" s="789">
        <f xml:space="preserve"> Time!BV$259</f>
        <v>0</v>
      </c>
      <c r="BW674" s="789">
        <f xml:space="preserve"> Time!BW$259</f>
        <v>0</v>
      </c>
      <c r="BX674" s="789">
        <f xml:space="preserve"> Time!BX$259</f>
        <v>0</v>
      </c>
      <c r="BY674" s="789">
        <f xml:space="preserve"> Time!BY$259</f>
        <v>0</v>
      </c>
      <c r="BZ674" s="789">
        <f xml:space="preserve"> Time!BZ$259</f>
        <v>0</v>
      </c>
      <c r="CA674" s="789">
        <f xml:space="preserve"> Time!CA$259</f>
        <v>0</v>
      </c>
      <c r="CB674" s="789">
        <f xml:space="preserve"> Time!CB$259</f>
        <v>0</v>
      </c>
      <c r="CC674" s="789">
        <f xml:space="preserve"> Time!CC$259</f>
        <v>0</v>
      </c>
      <c r="CD674" s="789">
        <f xml:space="preserve"> Time!CD$259</f>
        <v>0</v>
      </c>
      <c r="CE674" s="789">
        <f xml:space="preserve"> Time!CE$259</f>
        <v>0</v>
      </c>
      <c r="CF674" s="789">
        <f xml:space="preserve"> Time!CF$259</f>
        <v>0</v>
      </c>
      <c r="CG674" s="789">
        <f xml:space="preserve"> Time!CG$259</f>
        <v>0</v>
      </c>
      <c r="CH674" s="789">
        <f xml:space="preserve"> Time!CH$259</f>
        <v>0</v>
      </c>
      <c r="CI674" s="789">
        <f xml:space="preserve"> Time!CI$259</f>
        <v>0</v>
      </c>
      <c r="CJ674" s="789">
        <f xml:space="preserve"> Time!CJ$259</f>
        <v>0</v>
      </c>
      <c r="CK674" s="789">
        <f xml:space="preserve"> Time!CK$259</f>
        <v>0</v>
      </c>
      <c r="CL674" s="789">
        <f xml:space="preserve"> Time!CL$259</f>
        <v>0</v>
      </c>
      <c r="CM674" s="789">
        <f xml:space="preserve"> Time!CM$259</f>
        <v>0</v>
      </c>
      <c r="CN674" s="789">
        <f xml:space="preserve"> Time!CN$259</f>
        <v>0</v>
      </c>
      <c r="CO674" s="789">
        <f xml:space="preserve"> Time!CO$259</f>
        <v>0</v>
      </c>
      <c r="CP674" s="789">
        <f xml:space="preserve"> Time!CP$259</f>
        <v>0</v>
      </c>
      <c r="CQ674" s="789">
        <f xml:space="preserve"> Time!CQ$259</f>
        <v>0</v>
      </c>
      <c r="CR674" s="789">
        <f xml:space="preserve"> Time!CR$259</f>
        <v>0</v>
      </c>
      <c r="CS674" s="789">
        <f xml:space="preserve"> Time!CS$259</f>
        <v>0</v>
      </c>
      <c r="CT674" s="789">
        <f xml:space="preserve"> Time!CT$259</f>
        <v>0</v>
      </c>
      <c r="CU674" s="789">
        <f xml:space="preserve"> Time!CU$259</f>
        <v>0</v>
      </c>
      <c r="CV674" s="789">
        <f xml:space="preserve"> Time!CV$259</f>
        <v>0</v>
      </c>
    </row>
    <row r="675" spans="1:100" s="764" customFormat="1" ht="13.15" customHeight="1" outlineLevel="2" x14ac:dyDescent="0.2">
      <c r="A675" s="787"/>
      <c r="B675" s="787"/>
      <c r="C675" s="787"/>
      <c r="D675" s="787"/>
      <c r="E675" s="792" t="str">
        <f xml:space="preserve"> Time!E$106</f>
        <v>Operating period flag</v>
      </c>
      <c r="F675" s="792">
        <f xml:space="preserve"> Time!F$106</f>
        <v>0</v>
      </c>
      <c r="G675" s="792" t="str">
        <f xml:space="preserve"> Time!G$106</f>
        <v>flag</v>
      </c>
      <c r="H675" s="792">
        <f xml:space="preserve"> Time!H$106</f>
        <v>40</v>
      </c>
      <c r="I675" s="792">
        <f xml:space="preserve"> Time!I$106</f>
        <v>0</v>
      </c>
      <c r="J675" s="792">
        <f xml:space="preserve"> Time!J$106</f>
        <v>0</v>
      </c>
      <c r="K675" s="792">
        <f xml:space="preserve"> Time!K$106</f>
        <v>0</v>
      </c>
      <c r="L675" s="792">
        <f xml:space="preserve"> Time!L$106</f>
        <v>0</v>
      </c>
      <c r="M675" s="792">
        <f xml:space="preserve"> Time!M$106</f>
        <v>0</v>
      </c>
      <c r="N675" s="792">
        <f xml:space="preserve"> Time!N$106</f>
        <v>0</v>
      </c>
      <c r="O675" s="792">
        <f xml:space="preserve"> Time!O$106</f>
        <v>1</v>
      </c>
      <c r="P675" s="792">
        <f xml:space="preserve"> Time!P$106</f>
        <v>1</v>
      </c>
      <c r="Q675" s="792">
        <f xml:space="preserve"> Time!Q$106</f>
        <v>1</v>
      </c>
      <c r="R675" s="792">
        <f xml:space="preserve"> Time!R$106</f>
        <v>1</v>
      </c>
      <c r="S675" s="792">
        <f xml:space="preserve"> Time!S$106</f>
        <v>1</v>
      </c>
      <c r="T675" s="792">
        <f xml:space="preserve"> Time!T$106</f>
        <v>1</v>
      </c>
      <c r="U675" s="792">
        <f xml:space="preserve"> Time!U$106</f>
        <v>1</v>
      </c>
      <c r="V675" s="792">
        <f xml:space="preserve"> Time!V$106</f>
        <v>1</v>
      </c>
      <c r="W675" s="792">
        <f xml:space="preserve"> Time!W$106</f>
        <v>1</v>
      </c>
      <c r="X675" s="792">
        <f xml:space="preserve"> Time!X$106</f>
        <v>1</v>
      </c>
      <c r="Y675" s="792">
        <f xml:space="preserve"> Time!Y$106</f>
        <v>1</v>
      </c>
      <c r="Z675" s="792">
        <f xml:space="preserve"> Time!Z$106</f>
        <v>1</v>
      </c>
      <c r="AA675" s="792">
        <f xml:space="preserve"> Time!AA$106</f>
        <v>1</v>
      </c>
      <c r="AB675" s="792">
        <f xml:space="preserve"> Time!AB$106</f>
        <v>1</v>
      </c>
      <c r="AC675" s="792">
        <f xml:space="preserve"> Time!AC$106</f>
        <v>1</v>
      </c>
      <c r="AD675" s="792">
        <f xml:space="preserve"> Time!AD$106</f>
        <v>1</v>
      </c>
      <c r="AE675" s="792">
        <f xml:space="preserve"> Time!AE$106</f>
        <v>1</v>
      </c>
      <c r="AF675" s="792">
        <f xml:space="preserve"> Time!AF$106</f>
        <v>1</v>
      </c>
      <c r="AG675" s="792">
        <f xml:space="preserve"> Time!AG$106</f>
        <v>1</v>
      </c>
      <c r="AH675" s="792">
        <f xml:space="preserve"> Time!AH$106</f>
        <v>1</v>
      </c>
      <c r="AI675" s="792">
        <f xml:space="preserve"> Time!AI$106</f>
        <v>1</v>
      </c>
      <c r="AJ675" s="792">
        <f xml:space="preserve"> Time!AJ$106</f>
        <v>1</v>
      </c>
      <c r="AK675" s="792">
        <f xml:space="preserve"> Time!AK$106</f>
        <v>1</v>
      </c>
      <c r="AL675" s="792">
        <f xml:space="preserve"> Time!AL$106</f>
        <v>1</v>
      </c>
      <c r="AM675" s="792">
        <f xml:space="preserve"> Time!AM$106</f>
        <v>1</v>
      </c>
      <c r="AN675" s="792">
        <f xml:space="preserve"> Time!AN$106</f>
        <v>1</v>
      </c>
      <c r="AO675" s="792">
        <f xml:space="preserve"> Time!AO$106</f>
        <v>1</v>
      </c>
      <c r="AP675" s="792">
        <f xml:space="preserve"> Time!AP$106</f>
        <v>1</v>
      </c>
      <c r="AQ675" s="792">
        <f xml:space="preserve"> Time!AQ$106</f>
        <v>1</v>
      </c>
      <c r="AR675" s="792">
        <f xml:space="preserve"> Time!AR$106</f>
        <v>1</v>
      </c>
      <c r="AS675" s="792">
        <f xml:space="preserve"> Time!AS$106</f>
        <v>1</v>
      </c>
      <c r="AT675" s="792">
        <f xml:space="preserve"> Time!AT$106</f>
        <v>1</v>
      </c>
      <c r="AU675" s="792">
        <f xml:space="preserve"> Time!AU$106</f>
        <v>1</v>
      </c>
      <c r="AV675" s="792">
        <f xml:space="preserve"> Time!AV$106</f>
        <v>1</v>
      </c>
      <c r="AW675" s="792">
        <f xml:space="preserve"> Time!AW$106</f>
        <v>1</v>
      </c>
      <c r="AX675" s="792">
        <f xml:space="preserve"> Time!AX$106</f>
        <v>1</v>
      </c>
      <c r="AY675" s="792">
        <f xml:space="preserve"> Time!AY$106</f>
        <v>1</v>
      </c>
      <c r="AZ675" s="792">
        <f xml:space="preserve"> Time!AZ$106</f>
        <v>1</v>
      </c>
      <c r="BA675" s="792">
        <f xml:space="preserve"> Time!BA$106</f>
        <v>1</v>
      </c>
      <c r="BB675" s="792">
        <f xml:space="preserve"> Time!BB$106</f>
        <v>1</v>
      </c>
      <c r="BC675" s="792">
        <f xml:space="preserve"> Time!BC$106</f>
        <v>0</v>
      </c>
      <c r="BD675" s="792">
        <f xml:space="preserve"> Time!BD$106</f>
        <v>0</v>
      </c>
      <c r="BE675" s="792">
        <f xml:space="preserve"> Time!BE$106</f>
        <v>0</v>
      </c>
      <c r="BF675" s="792">
        <f xml:space="preserve"> Time!BF$106</f>
        <v>0</v>
      </c>
      <c r="BG675" s="792">
        <f xml:space="preserve"> Time!BG$106</f>
        <v>0</v>
      </c>
      <c r="BH675" s="792">
        <f xml:space="preserve"> Time!BH$106</f>
        <v>0</v>
      </c>
      <c r="BI675" s="792">
        <f xml:space="preserve"> Time!BI$106</f>
        <v>0</v>
      </c>
      <c r="BJ675" s="792">
        <f xml:space="preserve"> Time!BJ$106</f>
        <v>0</v>
      </c>
      <c r="BK675" s="792">
        <f xml:space="preserve"> Time!BK$106</f>
        <v>0</v>
      </c>
      <c r="BL675" s="792">
        <f xml:space="preserve"> Time!BL$106</f>
        <v>0</v>
      </c>
      <c r="BM675" s="792">
        <f xml:space="preserve"> Time!BM$106</f>
        <v>0</v>
      </c>
      <c r="BN675" s="792">
        <f xml:space="preserve"> Time!BN$106</f>
        <v>0</v>
      </c>
      <c r="BO675" s="792">
        <f xml:space="preserve"> Time!BO$106</f>
        <v>0</v>
      </c>
      <c r="BP675" s="792">
        <f xml:space="preserve"> Time!BP$106</f>
        <v>0</v>
      </c>
      <c r="BQ675" s="792">
        <f xml:space="preserve"> Time!BQ$106</f>
        <v>0</v>
      </c>
      <c r="BR675" s="792">
        <f xml:space="preserve"> Time!BR$106</f>
        <v>0</v>
      </c>
      <c r="BS675" s="792">
        <f xml:space="preserve"> Time!BS$106</f>
        <v>0</v>
      </c>
      <c r="BT675" s="792">
        <f xml:space="preserve"> Time!BT$106</f>
        <v>0</v>
      </c>
      <c r="BU675" s="792">
        <f xml:space="preserve"> Time!BU$106</f>
        <v>0</v>
      </c>
      <c r="BV675" s="792">
        <f xml:space="preserve"> Time!BV$106</f>
        <v>0</v>
      </c>
      <c r="BW675" s="792">
        <f xml:space="preserve"> Time!BW$106</f>
        <v>0</v>
      </c>
      <c r="BX675" s="792">
        <f xml:space="preserve"> Time!BX$106</f>
        <v>0</v>
      </c>
      <c r="BY675" s="792">
        <f xml:space="preserve"> Time!BY$106</f>
        <v>0</v>
      </c>
      <c r="BZ675" s="792">
        <f xml:space="preserve"> Time!BZ$106</f>
        <v>0</v>
      </c>
      <c r="CA675" s="792">
        <f xml:space="preserve"> Time!CA$106</f>
        <v>0</v>
      </c>
      <c r="CB675" s="792">
        <f xml:space="preserve"> Time!CB$106</f>
        <v>0</v>
      </c>
      <c r="CC675" s="792">
        <f xml:space="preserve"> Time!CC$106</f>
        <v>0</v>
      </c>
      <c r="CD675" s="792">
        <f xml:space="preserve"> Time!CD$106</f>
        <v>0</v>
      </c>
      <c r="CE675" s="792">
        <f xml:space="preserve"> Time!CE$106</f>
        <v>0</v>
      </c>
      <c r="CF675" s="792">
        <f xml:space="preserve"> Time!CF$106</f>
        <v>0</v>
      </c>
      <c r="CG675" s="792">
        <f xml:space="preserve"> Time!CG$106</f>
        <v>0</v>
      </c>
      <c r="CH675" s="792">
        <f xml:space="preserve"> Time!CH$106</f>
        <v>0</v>
      </c>
      <c r="CI675" s="792">
        <f xml:space="preserve"> Time!CI$106</f>
        <v>0</v>
      </c>
      <c r="CJ675" s="792">
        <f xml:space="preserve"> Time!CJ$106</f>
        <v>0</v>
      </c>
      <c r="CK675" s="792">
        <f xml:space="preserve"> Time!CK$106</f>
        <v>0</v>
      </c>
      <c r="CL675" s="792">
        <f xml:space="preserve"> Time!CL$106</f>
        <v>0</v>
      </c>
      <c r="CM675" s="792">
        <f xml:space="preserve"> Time!CM$106</f>
        <v>0</v>
      </c>
      <c r="CN675" s="792">
        <f xml:space="preserve"> Time!CN$106</f>
        <v>0</v>
      </c>
      <c r="CO675" s="792">
        <f xml:space="preserve"> Time!CO$106</f>
        <v>0</v>
      </c>
      <c r="CP675" s="792">
        <f xml:space="preserve"> Time!CP$106</f>
        <v>0</v>
      </c>
      <c r="CQ675" s="792">
        <f xml:space="preserve"> Time!CQ$106</f>
        <v>0</v>
      </c>
      <c r="CR675" s="792">
        <f xml:space="preserve"> Time!CR$106</f>
        <v>0</v>
      </c>
      <c r="CS675" s="792">
        <f xml:space="preserve"> Time!CS$106</f>
        <v>0</v>
      </c>
      <c r="CT675" s="792">
        <f xml:space="preserve"> Time!CT$106</f>
        <v>0</v>
      </c>
      <c r="CU675" s="792">
        <f xml:space="preserve"> Time!CU$106</f>
        <v>0</v>
      </c>
      <c r="CV675" s="792">
        <f xml:space="preserve"> Time!CV$106</f>
        <v>0</v>
      </c>
    </row>
    <row r="676" spans="1:100" s="340" customFormat="1" ht="13.15" customHeight="1" outlineLevel="2" x14ac:dyDescent="0.2">
      <c r="A676" s="794"/>
      <c r="B676" s="794"/>
      <c r="C676" s="794"/>
      <c r="D676" s="794"/>
      <c r="E676" s="746" t="s">
        <v>546</v>
      </c>
      <c r="F676" s="1115"/>
      <c r="G676" s="746" t="str">
        <f>SMU</f>
        <v>$ 000s</v>
      </c>
      <c r="H676" s="746">
        <f xml:space="preserve"> SUM(J676:CV676)</f>
        <v>0</v>
      </c>
      <c r="I676" s="1115"/>
      <c r="J676" s="746">
        <f t="shared" ref="J676:AO676" si="1061" xml:space="preserve"> J673  * J674 * J675</f>
        <v>0</v>
      </c>
      <c r="K676" s="746">
        <f t="shared" si="1061"/>
        <v>0</v>
      </c>
      <c r="L676" s="746">
        <f t="shared" si="1061"/>
        <v>0</v>
      </c>
      <c r="M676" s="746">
        <f t="shared" si="1061"/>
        <v>0</v>
      </c>
      <c r="N676" s="746">
        <f t="shared" si="1061"/>
        <v>0</v>
      </c>
      <c r="O676" s="746">
        <f t="shared" si="1061"/>
        <v>0</v>
      </c>
      <c r="P676" s="746">
        <f t="shared" si="1061"/>
        <v>0</v>
      </c>
      <c r="Q676" s="746">
        <f t="shared" si="1061"/>
        <v>0</v>
      </c>
      <c r="R676" s="746">
        <f t="shared" si="1061"/>
        <v>0</v>
      </c>
      <c r="S676" s="746">
        <f t="shared" si="1061"/>
        <v>0</v>
      </c>
      <c r="T676" s="746">
        <f t="shared" si="1061"/>
        <v>0</v>
      </c>
      <c r="U676" s="746">
        <f t="shared" si="1061"/>
        <v>0</v>
      </c>
      <c r="V676" s="746">
        <f t="shared" si="1061"/>
        <v>0</v>
      </c>
      <c r="W676" s="746">
        <f t="shared" si="1061"/>
        <v>0</v>
      </c>
      <c r="X676" s="746">
        <f t="shared" si="1061"/>
        <v>0</v>
      </c>
      <c r="Y676" s="746">
        <f t="shared" si="1061"/>
        <v>0</v>
      </c>
      <c r="Z676" s="746">
        <f t="shared" si="1061"/>
        <v>0</v>
      </c>
      <c r="AA676" s="746">
        <f t="shared" si="1061"/>
        <v>0</v>
      </c>
      <c r="AB676" s="746">
        <f t="shared" si="1061"/>
        <v>0</v>
      </c>
      <c r="AC676" s="746">
        <f t="shared" si="1061"/>
        <v>0</v>
      </c>
      <c r="AD676" s="746">
        <f t="shared" si="1061"/>
        <v>0</v>
      </c>
      <c r="AE676" s="746">
        <f t="shared" si="1061"/>
        <v>0</v>
      </c>
      <c r="AF676" s="746">
        <f t="shared" si="1061"/>
        <v>0</v>
      </c>
      <c r="AG676" s="746">
        <f t="shared" si="1061"/>
        <v>0</v>
      </c>
      <c r="AH676" s="746">
        <f t="shared" si="1061"/>
        <v>0</v>
      </c>
      <c r="AI676" s="746">
        <f t="shared" si="1061"/>
        <v>0</v>
      </c>
      <c r="AJ676" s="746">
        <f t="shared" si="1061"/>
        <v>0</v>
      </c>
      <c r="AK676" s="746">
        <f t="shared" si="1061"/>
        <v>0</v>
      </c>
      <c r="AL676" s="746">
        <f t="shared" si="1061"/>
        <v>0</v>
      </c>
      <c r="AM676" s="746">
        <f t="shared" si="1061"/>
        <v>0</v>
      </c>
      <c r="AN676" s="746">
        <f t="shared" si="1061"/>
        <v>0</v>
      </c>
      <c r="AO676" s="746">
        <f t="shared" si="1061"/>
        <v>0</v>
      </c>
      <c r="AP676" s="746">
        <f t="shared" ref="AP676:BU676" si="1062" xml:space="preserve"> AP673  * AP674 * AP675</f>
        <v>0</v>
      </c>
      <c r="AQ676" s="746">
        <f t="shared" si="1062"/>
        <v>0</v>
      </c>
      <c r="AR676" s="746">
        <f t="shared" si="1062"/>
        <v>0</v>
      </c>
      <c r="AS676" s="746">
        <f t="shared" si="1062"/>
        <v>0</v>
      </c>
      <c r="AT676" s="746">
        <f t="shared" si="1062"/>
        <v>0</v>
      </c>
      <c r="AU676" s="746">
        <f t="shared" si="1062"/>
        <v>0</v>
      </c>
      <c r="AV676" s="746">
        <f t="shared" si="1062"/>
        <v>0</v>
      </c>
      <c r="AW676" s="746">
        <f t="shared" si="1062"/>
        <v>0</v>
      </c>
      <c r="AX676" s="746">
        <f t="shared" si="1062"/>
        <v>0</v>
      </c>
      <c r="AY676" s="746">
        <f t="shared" si="1062"/>
        <v>0</v>
      </c>
      <c r="AZ676" s="746">
        <f t="shared" si="1062"/>
        <v>0</v>
      </c>
      <c r="BA676" s="746">
        <f t="shared" si="1062"/>
        <v>0</v>
      </c>
      <c r="BB676" s="746">
        <f t="shared" si="1062"/>
        <v>0</v>
      </c>
      <c r="BC676" s="746">
        <f t="shared" si="1062"/>
        <v>0</v>
      </c>
      <c r="BD676" s="746">
        <f t="shared" si="1062"/>
        <v>0</v>
      </c>
      <c r="BE676" s="746">
        <f t="shared" si="1062"/>
        <v>0</v>
      </c>
      <c r="BF676" s="746">
        <f t="shared" si="1062"/>
        <v>0</v>
      </c>
      <c r="BG676" s="746">
        <f t="shared" si="1062"/>
        <v>0</v>
      </c>
      <c r="BH676" s="746">
        <f t="shared" si="1062"/>
        <v>0</v>
      </c>
      <c r="BI676" s="746">
        <f t="shared" si="1062"/>
        <v>0</v>
      </c>
      <c r="BJ676" s="746">
        <f t="shared" si="1062"/>
        <v>0</v>
      </c>
      <c r="BK676" s="746">
        <f t="shared" si="1062"/>
        <v>0</v>
      </c>
      <c r="BL676" s="746">
        <f t="shared" si="1062"/>
        <v>0</v>
      </c>
      <c r="BM676" s="746">
        <f t="shared" si="1062"/>
        <v>0</v>
      </c>
      <c r="BN676" s="746">
        <f t="shared" si="1062"/>
        <v>0</v>
      </c>
      <c r="BO676" s="746">
        <f t="shared" si="1062"/>
        <v>0</v>
      </c>
      <c r="BP676" s="746">
        <f t="shared" si="1062"/>
        <v>0</v>
      </c>
      <c r="BQ676" s="746">
        <f t="shared" si="1062"/>
        <v>0</v>
      </c>
      <c r="BR676" s="746">
        <f t="shared" si="1062"/>
        <v>0</v>
      </c>
      <c r="BS676" s="746">
        <f t="shared" si="1062"/>
        <v>0</v>
      </c>
      <c r="BT676" s="746">
        <f t="shared" si="1062"/>
        <v>0</v>
      </c>
      <c r="BU676" s="746">
        <f t="shared" si="1062"/>
        <v>0</v>
      </c>
      <c r="BV676" s="746">
        <f t="shared" ref="BV676:CV676" si="1063" xml:space="preserve"> BV673  * BV674 * BV675</f>
        <v>0</v>
      </c>
      <c r="BW676" s="746">
        <f t="shared" si="1063"/>
        <v>0</v>
      </c>
      <c r="BX676" s="746">
        <f t="shared" si="1063"/>
        <v>0</v>
      </c>
      <c r="BY676" s="746">
        <f t="shared" si="1063"/>
        <v>0</v>
      </c>
      <c r="BZ676" s="746">
        <f t="shared" si="1063"/>
        <v>0</v>
      </c>
      <c r="CA676" s="746">
        <f t="shared" si="1063"/>
        <v>0</v>
      </c>
      <c r="CB676" s="746">
        <f t="shared" si="1063"/>
        <v>0</v>
      </c>
      <c r="CC676" s="746">
        <f t="shared" si="1063"/>
        <v>0</v>
      </c>
      <c r="CD676" s="746">
        <f t="shared" si="1063"/>
        <v>0</v>
      </c>
      <c r="CE676" s="746">
        <f t="shared" si="1063"/>
        <v>0</v>
      </c>
      <c r="CF676" s="746">
        <f t="shared" si="1063"/>
        <v>0</v>
      </c>
      <c r="CG676" s="746">
        <f t="shared" si="1063"/>
        <v>0</v>
      </c>
      <c r="CH676" s="746">
        <f t="shared" si="1063"/>
        <v>0</v>
      </c>
      <c r="CI676" s="746">
        <f t="shared" si="1063"/>
        <v>0</v>
      </c>
      <c r="CJ676" s="746">
        <f t="shared" si="1063"/>
        <v>0</v>
      </c>
      <c r="CK676" s="746">
        <f t="shared" si="1063"/>
        <v>0</v>
      </c>
      <c r="CL676" s="746">
        <f t="shared" si="1063"/>
        <v>0</v>
      </c>
      <c r="CM676" s="746">
        <f t="shared" si="1063"/>
        <v>0</v>
      </c>
      <c r="CN676" s="746">
        <f t="shared" si="1063"/>
        <v>0</v>
      </c>
      <c r="CO676" s="746">
        <f t="shared" si="1063"/>
        <v>0</v>
      </c>
      <c r="CP676" s="746">
        <f t="shared" si="1063"/>
        <v>0</v>
      </c>
      <c r="CQ676" s="746">
        <f t="shared" si="1063"/>
        <v>0</v>
      </c>
      <c r="CR676" s="746">
        <f t="shared" si="1063"/>
        <v>0</v>
      </c>
      <c r="CS676" s="746">
        <f t="shared" si="1063"/>
        <v>0</v>
      </c>
      <c r="CT676" s="746">
        <f t="shared" si="1063"/>
        <v>0</v>
      </c>
      <c r="CU676" s="746">
        <f t="shared" si="1063"/>
        <v>0</v>
      </c>
      <c r="CV676" s="746">
        <f t="shared" si="1063"/>
        <v>0</v>
      </c>
    </row>
    <row r="677" spans="1:100" s="734" customFormat="1" ht="13.15" customHeight="1" outlineLevel="2" x14ac:dyDescent="0.2">
      <c r="A677" s="732"/>
      <c r="B677" s="732"/>
      <c r="C677" s="732"/>
      <c r="D677" s="732"/>
      <c r="E677" s="114"/>
      <c r="F677" s="114"/>
      <c r="G677" s="114"/>
      <c r="H677" s="114"/>
      <c r="I677" s="114"/>
      <c r="J677" s="114"/>
      <c r="K677" s="114"/>
      <c r="L677" s="114"/>
      <c r="M677" s="114"/>
      <c r="N677" s="114"/>
      <c r="O677" s="114"/>
      <c r="P677" s="114"/>
      <c r="Q677" s="114"/>
      <c r="R677" s="114"/>
      <c r="S677" s="114"/>
      <c r="T677" s="114"/>
      <c r="U677" s="114"/>
      <c r="V677" s="114"/>
      <c r="W677" s="114"/>
      <c r="X677" s="114"/>
      <c r="Y677" s="114"/>
      <c r="Z677" s="114"/>
      <c r="AA677" s="114"/>
      <c r="AB677" s="114"/>
      <c r="AC677" s="114"/>
      <c r="AD677" s="114"/>
      <c r="AE677" s="114"/>
      <c r="AF677" s="114"/>
      <c r="AG677" s="114"/>
      <c r="AH677" s="114"/>
      <c r="AI677" s="114"/>
      <c r="AJ677" s="114"/>
      <c r="AK677" s="114"/>
      <c r="AL677" s="114"/>
      <c r="AM677" s="114"/>
      <c r="AN677" s="114"/>
      <c r="AO677" s="114"/>
      <c r="AP677" s="114"/>
      <c r="AQ677" s="114"/>
      <c r="AR677" s="114"/>
      <c r="AS677" s="114"/>
      <c r="AT677" s="114"/>
      <c r="AU677" s="114"/>
      <c r="AV677" s="114"/>
      <c r="AW677" s="114"/>
      <c r="AX677" s="114"/>
      <c r="AY677" s="114"/>
      <c r="AZ677" s="114"/>
      <c r="BA677" s="114"/>
      <c r="BB677" s="114"/>
      <c r="BC677" s="114"/>
      <c r="BD677" s="114"/>
      <c r="BE677" s="114"/>
      <c r="BF677" s="114"/>
      <c r="BG677" s="114"/>
      <c r="BH677" s="114"/>
      <c r="BI677" s="114"/>
      <c r="BJ677" s="114"/>
      <c r="BK677" s="114"/>
      <c r="BL677" s="114"/>
      <c r="BM677" s="114"/>
      <c r="BN677" s="114"/>
      <c r="BO677" s="114"/>
      <c r="BP677" s="114"/>
      <c r="BQ677" s="114"/>
      <c r="BR677" s="114"/>
      <c r="BS677" s="114"/>
      <c r="BT677" s="114"/>
      <c r="BU677" s="114"/>
      <c r="BV677" s="114"/>
      <c r="BW677" s="114"/>
      <c r="BX677" s="114"/>
      <c r="BY677" s="114"/>
      <c r="BZ677" s="114"/>
      <c r="CA677" s="114"/>
      <c r="CB677" s="114"/>
      <c r="CC677" s="114"/>
      <c r="CD677" s="114"/>
      <c r="CE677" s="114"/>
      <c r="CF677" s="114"/>
      <c r="CG677" s="114"/>
      <c r="CH677" s="114"/>
      <c r="CI677" s="114"/>
      <c r="CJ677" s="114"/>
      <c r="CK677" s="114"/>
      <c r="CL677" s="114"/>
      <c r="CM677" s="114"/>
      <c r="CN677" s="114"/>
      <c r="CO677" s="114"/>
      <c r="CP677" s="114"/>
      <c r="CQ677" s="114"/>
      <c r="CR677" s="114"/>
      <c r="CS677" s="114"/>
      <c r="CT677" s="114"/>
      <c r="CU677" s="114"/>
      <c r="CV677" s="114"/>
    </row>
    <row r="678" spans="1:100" s="734" customFormat="1" ht="13.15" customHeight="1" outlineLevel="2" x14ac:dyDescent="0.2">
      <c r="A678" s="732"/>
      <c r="B678" s="732"/>
      <c r="C678" s="732"/>
      <c r="D678" s="732"/>
      <c r="E678" s="809" t="str">
        <f xml:space="preserve"> ConFin!E$233</f>
        <v>Repayment of equity bridge POS</v>
      </c>
      <c r="F678" s="809">
        <f xml:space="preserve"> ConFin!F$233</f>
        <v>0</v>
      </c>
      <c r="G678" s="809" t="str">
        <f xml:space="preserve"> ConFin!G$233</f>
        <v>$ 000s</v>
      </c>
      <c r="H678" s="809">
        <f xml:space="preserve"> ConFin!H$233</f>
        <v>86318.253106861201</v>
      </c>
      <c r="I678" s="809">
        <f xml:space="preserve"> ConFin!I$233</f>
        <v>0</v>
      </c>
      <c r="J678" s="809">
        <f xml:space="preserve"> ConFin!J$233</f>
        <v>0</v>
      </c>
      <c r="K678" s="809">
        <f xml:space="preserve"> ConFin!K$233</f>
        <v>0</v>
      </c>
      <c r="L678" s="809">
        <f xml:space="preserve"> ConFin!L$233</f>
        <v>0</v>
      </c>
      <c r="M678" s="809">
        <f xml:space="preserve"> ConFin!M$233</f>
        <v>0</v>
      </c>
      <c r="N678" s="809">
        <f xml:space="preserve"> ConFin!N$233</f>
        <v>86318.253106861201</v>
      </c>
      <c r="O678" s="809">
        <f xml:space="preserve"> ConFin!O$233</f>
        <v>0</v>
      </c>
      <c r="P678" s="809">
        <f xml:space="preserve"> ConFin!P$233</f>
        <v>0</v>
      </c>
      <c r="Q678" s="809">
        <f xml:space="preserve"> ConFin!Q$233</f>
        <v>0</v>
      </c>
      <c r="R678" s="809">
        <f xml:space="preserve"> ConFin!R$233</f>
        <v>0</v>
      </c>
      <c r="S678" s="809">
        <f xml:space="preserve"> ConFin!S$233</f>
        <v>0</v>
      </c>
      <c r="T678" s="809">
        <f xml:space="preserve"> ConFin!T$233</f>
        <v>0</v>
      </c>
      <c r="U678" s="809">
        <f xml:space="preserve"> ConFin!U$233</f>
        <v>0</v>
      </c>
      <c r="V678" s="809">
        <f xml:space="preserve"> ConFin!V$233</f>
        <v>0</v>
      </c>
      <c r="W678" s="809">
        <f xml:space="preserve"> ConFin!W$233</f>
        <v>0</v>
      </c>
      <c r="X678" s="809">
        <f xml:space="preserve"> ConFin!X$233</f>
        <v>0</v>
      </c>
      <c r="Y678" s="809">
        <f xml:space="preserve"> ConFin!Y$233</f>
        <v>0</v>
      </c>
      <c r="Z678" s="809">
        <f xml:space="preserve"> ConFin!Z$233</f>
        <v>0</v>
      </c>
      <c r="AA678" s="809">
        <f xml:space="preserve"> ConFin!AA$233</f>
        <v>0</v>
      </c>
      <c r="AB678" s="809">
        <f xml:space="preserve"> ConFin!AB$233</f>
        <v>0</v>
      </c>
      <c r="AC678" s="809">
        <f xml:space="preserve"> ConFin!AC$233</f>
        <v>0</v>
      </c>
      <c r="AD678" s="809">
        <f xml:space="preserve"> ConFin!AD$233</f>
        <v>0</v>
      </c>
      <c r="AE678" s="809">
        <f xml:space="preserve"> ConFin!AE$233</f>
        <v>0</v>
      </c>
      <c r="AF678" s="809">
        <f xml:space="preserve"> ConFin!AF$233</f>
        <v>0</v>
      </c>
      <c r="AG678" s="809">
        <f xml:space="preserve"> ConFin!AG$233</f>
        <v>0</v>
      </c>
      <c r="AH678" s="809">
        <f xml:space="preserve"> ConFin!AH$233</f>
        <v>0</v>
      </c>
      <c r="AI678" s="809">
        <f xml:space="preserve"> ConFin!AI$233</f>
        <v>0</v>
      </c>
      <c r="AJ678" s="809">
        <f xml:space="preserve"> ConFin!AJ$233</f>
        <v>0</v>
      </c>
      <c r="AK678" s="809">
        <f xml:space="preserve"> ConFin!AK$233</f>
        <v>0</v>
      </c>
      <c r="AL678" s="809">
        <f xml:space="preserve"> ConFin!AL$233</f>
        <v>0</v>
      </c>
      <c r="AM678" s="809">
        <f xml:space="preserve"> ConFin!AM$233</f>
        <v>0</v>
      </c>
      <c r="AN678" s="809">
        <f xml:space="preserve"> ConFin!AN$233</f>
        <v>0</v>
      </c>
      <c r="AO678" s="809">
        <f xml:space="preserve"> ConFin!AO$233</f>
        <v>0</v>
      </c>
      <c r="AP678" s="809">
        <f xml:space="preserve"> ConFin!AP$233</f>
        <v>0</v>
      </c>
      <c r="AQ678" s="809">
        <f xml:space="preserve"> ConFin!AQ$233</f>
        <v>0</v>
      </c>
      <c r="AR678" s="809">
        <f xml:space="preserve"> ConFin!AR$233</f>
        <v>0</v>
      </c>
      <c r="AS678" s="809">
        <f xml:space="preserve"> ConFin!AS$233</f>
        <v>0</v>
      </c>
      <c r="AT678" s="809">
        <f xml:space="preserve"> ConFin!AT$233</f>
        <v>0</v>
      </c>
      <c r="AU678" s="809">
        <f xml:space="preserve"> ConFin!AU$233</f>
        <v>0</v>
      </c>
      <c r="AV678" s="809">
        <f xml:space="preserve"> ConFin!AV$233</f>
        <v>0</v>
      </c>
      <c r="AW678" s="809">
        <f xml:space="preserve"> ConFin!AW$233</f>
        <v>0</v>
      </c>
      <c r="AX678" s="809">
        <f xml:space="preserve"> ConFin!AX$233</f>
        <v>0</v>
      </c>
      <c r="AY678" s="809">
        <f xml:space="preserve"> ConFin!AY$233</f>
        <v>0</v>
      </c>
      <c r="AZ678" s="809">
        <f xml:space="preserve"> ConFin!AZ$233</f>
        <v>0</v>
      </c>
      <c r="BA678" s="809">
        <f xml:space="preserve"> ConFin!BA$233</f>
        <v>0</v>
      </c>
      <c r="BB678" s="809">
        <f xml:space="preserve"> ConFin!BB$233</f>
        <v>0</v>
      </c>
      <c r="BC678" s="809">
        <f xml:space="preserve"> ConFin!BC$233</f>
        <v>0</v>
      </c>
      <c r="BD678" s="809">
        <f xml:space="preserve"> ConFin!BD$233</f>
        <v>0</v>
      </c>
      <c r="BE678" s="809">
        <f xml:space="preserve"> ConFin!BE$233</f>
        <v>0</v>
      </c>
      <c r="BF678" s="809">
        <f xml:space="preserve"> ConFin!BF$233</f>
        <v>0</v>
      </c>
      <c r="BG678" s="809">
        <f xml:space="preserve"> ConFin!BG$233</f>
        <v>0</v>
      </c>
      <c r="BH678" s="809">
        <f xml:space="preserve"> ConFin!BH$233</f>
        <v>0</v>
      </c>
      <c r="BI678" s="809">
        <f xml:space="preserve"> ConFin!BI$233</f>
        <v>0</v>
      </c>
      <c r="BJ678" s="809">
        <f xml:space="preserve"> ConFin!BJ$233</f>
        <v>0</v>
      </c>
      <c r="BK678" s="809">
        <f xml:space="preserve"> ConFin!BK$233</f>
        <v>0</v>
      </c>
      <c r="BL678" s="809">
        <f xml:space="preserve"> ConFin!BL$233</f>
        <v>0</v>
      </c>
      <c r="BM678" s="809">
        <f xml:space="preserve"> ConFin!BM$233</f>
        <v>0</v>
      </c>
      <c r="BN678" s="809">
        <f xml:space="preserve"> ConFin!BN$233</f>
        <v>0</v>
      </c>
      <c r="BO678" s="809">
        <f xml:space="preserve"> ConFin!BO$233</f>
        <v>0</v>
      </c>
      <c r="BP678" s="809">
        <f xml:space="preserve"> ConFin!BP$233</f>
        <v>0</v>
      </c>
      <c r="BQ678" s="809">
        <f xml:space="preserve"> ConFin!BQ$233</f>
        <v>0</v>
      </c>
      <c r="BR678" s="809">
        <f xml:space="preserve"> ConFin!BR$233</f>
        <v>0</v>
      </c>
      <c r="BS678" s="809">
        <f xml:space="preserve"> ConFin!BS$233</f>
        <v>0</v>
      </c>
      <c r="BT678" s="809">
        <f xml:space="preserve"> ConFin!BT$233</f>
        <v>0</v>
      </c>
      <c r="BU678" s="809">
        <f xml:space="preserve"> ConFin!BU$233</f>
        <v>0</v>
      </c>
      <c r="BV678" s="809">
        <f xml:space="preserve"> ConFin!BV$233</f>
        <v>0</v>
      </c>
      <c r="BW678" s="809">
        <f xml:space="preserve"> ConFin!BW$233</f>
        <v>0</v>
      </c>
      <c r="BX678" s="809">
        <f xml:space="preserve"> ConFin!BX$233</f>
        <v>0</v>
      </c>
      <c r="BY678" s="809">
        <f xml:space="preserve"> ConFin!BY$233</f>
        <v>0</v>
      </c>
      <c r="BZ678" s="809">
        <f xml:space="preserve"> ConFin!BZ$233</f>
        <v>0</v>
      </c>
      <c r="CA678" s="809">
        <f xml:space="preserve"> ConFin!CA$233</f>
        <v>0</v>
      </c>
      <c r="CB678" s="809">
        <f xml:space="preserve"> ConFin!CB$233</f>
        <v>0</v>
      </c>
      <c r="CC678" s="809">
        <f xml:space="preserve"> ConFin!CC$233</f>
        <v>0</v>
      </c>
      <c r="CD678" s="809">
        <f xml:space="preserve"> ConFin!CD$233</f>
        <v>0</v>
      </c>
      <c r="CE678" s="809">
        <f xml:space="preserve"> ConFin!CE$233</f>
        <v>0</v>
      </c>
      <c r="CF678" s="809">
        <f xml:space="preserve"> ConFin!CF$233</f>
        <v>0</v>
      </c>
      <c r="CG678" s="809">
        <f xml:space="preserve"> ConFin!CG$233</f>
        <v>0</v>
      </c>
      <c r="CH678" s="809">
        <f xml:space="preserve"> ConFin!CH$233</f>
        <v>0</v>
      </c>
      <c r="CI678" s="809">
        <f xml:space="preserve"> ConFin!CI$233</f>
        <v>0</v>
      </c>
      <c r="CJ678" s="809">
        <f xml:space="preserve"> ConFin!CJ$233</f>
        <v>0</v>
      </c>
      <c r="CK678" s="809">
        <f xml:space="preserve"> ConFin!CK$233</f>
        <v>0</v>
      </c>
      <c r="CL678" s="809">
        <f xml:space="preserve"> ConFin!CL$233</f>
        <v>0</v>
      </c>
      <c r="CM678" s="809">
        <f xml:space="preserve"> ConFin!CM$233</f>
        <v>0</v>
      </c>
      <c r="CN678" s="809">
        <f xml:space="preserve"> ConFin!CN$233</f>
        <v>0</v>
      </c>
      <c r="CO678" s="809">
        <f xml:space="preserve"> ConFin!CO$233</f>
        <v>0</v>
      </c>
      <c r="CP678" s="809">
        <f xml:space="preserve"> ConFin!CP$233</f>
        <v>0</v>
      </c>
      <c r="CQ678" s="809">
        <f xml:space="preserve"> ConFin!CQ$233</f>
        <v>0</v>
      </c>
      <c r="CR678" s="809">
        <f xml:space="preserve"> ConFin!CR$233</f>
        <v>0</v>
      </c>
      <c r="CS678" s="809">
        <f xml:space="preserve"> ConFin!CS$233</f>
        <v>0</v>
      </c>
      <c r="CT678" s="809">
        <f xml:space="preserve"> ConFin!CT$233</f>
        <v>0</v>
      </c>
      <c r="CU678" s="809">
        <f xml:space="preserve"> ConFin!CU$233</f>
        <v>0</v>
      </c>
      <c r="CV678" s="809">
        <f xml:space="preserve"> ConFin!CV$233</f>
        <v>0</v>
      </c>
    </row>
    <row r="679" spans="1:100" s="734" customFormat="1" ht="13.15" customHeight="1" outlineLevel="2" x14ac:dyDescent="0.2">
      <c r="A679" s="732"/>
      <c r="B679" s="732"/>
      <c r="C679" s="732"/>
      <c r="D679" s="732"/>
      <c r="E679" s="101" t="str">
        <f t="shared" ref="E679:AJ679" si="1064" xml:space="preserve"> E$676</f>
        <v>Equity bridge bullet repayment during operations</v>
      </c>
      <c r="F679" s="101">
        <f t="shared" si="1064"/>
        <v>0</v>
      </c>
      <c r="G679" s="101" t="str">
        <f t="shared" si="1064"/>
        <v>$ 000s</v>
      </c>
      <c r="H679" s="101">
        <f t="shared" si="1064"/>
        <v>0</v>
      </c>
      <c r="I679" s="101">
        <f t="shared" si="1064"/>
        <v>0</v>
      </c>
      <c r="J679" s="101">
        <f t="shared" si="1064"/>
        <v>0</v>
      </c>
      <c r="K679" s="101">
        <f t="shared" si="1064"/>
        <v>0</v>
      </c>
      <c r="L679" s="101">
        <f t="shared" si="1064"/>
        <v>0</v>
      </c>
      <c r="M679" s="101">
        <f t="shared" si="1064"/>
        <v>0</v>
      </c>
      <c r="N679" s="101">
        <f t="shared" si="1064"/>
        <v>0</v>
      </c>
      <c r="O679" s="101">
        <f t="shared" si="1064"/>
        <v>0</v>
      </c>
      <c r="P679" s="101">
        <f t="shared" si="1064"/>
        <v>0</v>
      </c>
      <c r="Q679" s="101">
        <f t="shared" si="1064"/>
        <v>0</v>
      </c>
      <c r="R679" s="101">
        <f t="shared" si="1064"/>
        <v>0</v>
      </c>
      <c r="S679" s="101">
        <f t="shared" si="1064"/>
        <v>0</v>
      </c>
      <c r="T679" s="101">
        <f t="shared" si="1064"/>
        <v>0</v>
      </c>
      <c r="U679" s="101">
        <f t="shared" si="1064"/>
        <v>0</v>
      </c>
      <c r="V679" s="101">
        <f t="shared" si="1064"/>
        <v>0</v>
      </c>
      <c r="W679" s="101">
        <f t="shared" si="1064"/>
        <v>0</v>
      </c>
      <c r="X679" s="101">
        <f t="shared" si="1064"/>
        <v>0</v>
      </c>
      <c r="Y679" s="101">
        <f t="shared" si="1064"/>
        <v>0</v>
      </c>
      <c r="Z679" s="101">
        <f t="shared" si="1064"/>
        <v>0</v>
      </c>
      <c r="AA679" s="101">
        <f t="shared" si="1064"/>
        <v>0</v>
      </c>
      <c r="AB679" s="101">
        <f t="shared" si="1064"/>
        <v>0</v>
      </c>
      <c r="AC679" s="101">
        <f t="shared" si="1064"/>
        <v>0</v>
      </c>
      <c r="AD679" s="101">
        <f t="shared" si="1064"/>
        <v>0</v>
      </c>
      <c r="AE679" s="101">
        <f t="shared" si="1064"/>
        <v>0</v>
      </c>
      <c r="AF679" s="101">
        <f t="shared" si="1064"/>
        <v>0</v>
      </c>
      <c r="AG679" s="101">
        <f t="shared" si="1064"/>
        <v>0</v>
      </c>
      <c r="AH679" s="101">
        <f t="shared" si="1064"/>
        <v>0</v>
      </c>
      <c r="AI679" s="101">
        <f t="shared" si="1064"/>
        <v>0</v>
      </c>
      <c r="AJ679" s="101">
        <f t="shared" si="1064"/>
        <v>0</v>
      </c>
      <c r="AK679" s="101">
        <f t="shared" ref="AK679:BP679" si="1065" xml:space="preserve"> AK$676</f>
        <v>0</v>
      </c>
      <c r="AL679" s="101">
        <f t="shared" si="1065"/>
        <v>0</v>
      </c>
      <c r="AM679" s="101">
        <f t="shared" si="1065"/>
        <v>0</v>
      </c>
      <c r="AN679" s="101">
        <f t="shared" si="1065"/>
        <v>0</v>
      </c>
      <c r="AO679" s="101">
        <f t="shared" si="1065"/>
        <v>0</v>
      </c>
      <c r="AP679" s="101">
        <f t="shared" si="1065"/>
        <v>0</v>
      </c>
      <c r="AQ679" s="101">
        <f t="shared" si="1065"/>
        <v>0</v>
      </c>
      <c r="AR679" s="101">
        <f t="shared" si="1065"/>
        <v>0</v>
      </c>
      <c r="AS679" s="101">
        <f t="shared" si="1065"/>
        <v>0</v>
      </c>
      <c r="AT679" s="101">
        <f t="shared" si="1065"/>
        <v>0</v>
      </c>
      <c r="AU679" s="101">
        <f t="shared" si="1065"/>
        <v>0</v>
      </c>
      <c r="AV679" s="101">
        <f t="shared" si="1065"/>
        <v>0</v>
      </c>
      <c r="AW679" s="101">
        <f t="shared" si="1065"/>
        <v>0</v>
      </c>
      <c r="AX679" s="101">
        <f t="shared" si="1065"/>
        <v>0</v>
      </c>
      <c r="AY679" s="101">
        <f t="shared" si="1065"/>
        <v>0</v>
      </c>
      <c r="AZ679" s="101">
        <f t="shared" si="1065"/>
        <v>0</v>
      </c>
      <c r="BA679" s="101">
        <f t="shared" si="1065"/>
        <v>0</v>
      </c>
      <c r="BB679" s="101">
        <f t="shared" si="1065"/>
        <v>0</v>
      </c>
      <c r="BC679" s="101">
        <f t="shared" si="1065"/>
        <v>0</v>
      </c>
      <c r="BD679" s="101">
        <f t="shared" si="1065"/>
        <v>0</v>
      </c>
      <c r="BE679" s="101">
        <f t="shared" si="1065"/>
        <v>0</v>
      </c>
      <c r="BF679" s="101">
        <f t="shared" si="1065"/>
        <v>0</v>
      </c>
      <c r="BG679" s="101">
        <f t="shared" si="1065"/>
        <v>0</v>
      </c>
      <c r="BH679" s="101">
        <f t="shared" si="1065"/>
        <v>0</v>
      </c>
      <c r="BI679" s="101">
        <f t="shared" si="1065"/>
        <v>0</v>
      </c>
      <c r="BJ679" s="101">
        <f t="shared" si="1065"/>
        <v>0</v>
      </c>
      <c r="BK679" s="101">
        <f t="shared" si="1065"/>
        <v>0</v>
      </c>
      <c r="BL679" s="101">
        <f t="shared" si="1065"/>
        <v>0</v>
      </c>
      <c r="BM679" s="101">
        <f t="shared" si="1065"/>
        <v>0</v>
      </c>
      <c r="BN679" s="101">
        <f t="shared" si="1065"/>
        <v>0</v>
      </c>
      <c r="BO679" s="101">
        <f t="shared" si="1065"/>
        <v>0</v>
      </c>
      <c r="BP679" s="101">
        <f t="shared" si="1065"/>
        <v>0</v>
      </c>
      <c r="BQ679" s="101">
        <f t="shared" ref="BQ679:CV679" si="1066" xml:space="preserve"> BQ$676</f>
        <v>0</v>
      </c>
      <c r="BR679" s="101">
        <f t="shared" si="1066"/>
        <v>0</v>
      </c>
      <c r="BS679" s="101">
        <f t="shared" si="1066"/>
        <v>0</v>
      </c>
      <c r="BT679" s="101">
        <f t="shared" si="1066"/>
        <v>0</v>
      </c>
      <c r="BU679" s="101">
        <f t="shared" si="1066"/>
        <v>0</v>
      </c>
      <c r="BV679" s="101">
        <f t="shared" si="1066"/>
        <v>0</v>
      </c>
      <c r="BW679" s="101">
        <f t="shared" si="1066"/>
        <v>0</v>
      </c>
      <c r="BX679" s="101">
        <f t="shared" si="1066"/>
        <v>0</v>
      </c>
      <c r="BY679" s="101">
        <f t="shared" si="1066"/>
        <v>0</v>
      </c>
      <c r="BZ679" s="101">
        <f t="shared" si="1066"/>
        <v>0</v>
      </c>
      <c r="CA679" s="101">
        <f t="shared" si="1066"/>
        <v>0</v>
      </c>
      <c r="CB679" s="101">
        <f t="shared" si="1066"/>
        <v>0</v>
      </c>
      <c r="CC679" s="101">
        <f t="shared" si="1066"/>
        <v>0</v>
      </c>
      <c r="CD679" s="101">
        <f t="shared" si="1066"/>
        <v>0</v>
      </c>
      <c r="CE679" s="101">
        <f t="shared" si="1066"/>
        <v>0</v>
      </c>
      <c r="CF679" s="101">
        <f t="shared" si="1066"/>
        <v>0</v>
      </c>
      <c r="CG679" s="101">
        <f t="shared" si="1066"/>
        <v>0</v>
      </c>
      <c r="CH679" s="101">
        <f t="shared" si="1066"/>
        <v>0</v>
      </c>
      <c r="CI679" s="101">
        <f t="shared" si="1066"/>
        <v>0</v>
      </c>
      <c r="CJ679" s="101">
        <f t="shared" si="1066"/>
        <v>0</v>
      </c>
      <c r="CK679" s="101">
        <f t="shared" si="1066"/>
        <v>0</v>
      </c>
      <c r="CL679" s="101">
        <f t="shared" si="1066"/>
        <v>0</v>
      </c>
      <c r="CM679" s="101">
        <f t="shared" si="1066"/>
        <v>0</v>
      </c>
      <c r="CN679" s="101">
        <f t="shared" si="1066"/>
        <v>0</v>
      </c>
      <c r="CO679" s="101">
        <f t="shared" si="1066"/>
        <v>0</v>
      </c>
      <c r="CP679" s="101">
        <f t="shared" si="1066"/>
        <v>0</v>
      </c>
      <c r="CQ679" s="101">
        <f t="shared" si="1066"/>
        <v>0</v>
      </c>
      <c r="CR679" s="101">
        <f t="shared" si="1066"/>
        <v>0</v>
      </c>
      <c r="CS679" s="101">
        <f t="shared" si="1066"/>
        <v>0</v>
      </c>
      <c r="CT679" s="101">
        <f t="shared" si="1066"/>
        <v>0</v>
      </c>
      <c r="CU679" s="101">
        <f t="shared" si="1066"/>
        <v>0</v>
      </c>
      <c r="CV679" s="101">
        <f t="shared" si="1066"/>
        <v>0</v>
      </c>
    </row>
    <row r="680" spans="1:100" s="734" customFormat="1" ht="13.15" customHeight="1" outlineLevel="2" x14ac:dyDescent="0.2">
      <c r="A680" s="732"/>
      <c r="B680" s="732"/>
      <c r="C680" s="732"/>
      <c r="D680" s="732"/>
      <c r="E680" s="726" t="s">
        <v>547</v>
      </c>
      <c r="F680" s="726"/>
      <c r="G680" s="726" t="str">
        <f xml:space="preserve"> SMU</f>
        <v>$ 000s</v>
      </c>
      <c r="H680" s="726">
        <f xml:space="preserve"> SUM(J680:CV680)</f>
        <v>86318.253106861201</v>
      </c>
      <c r="I680" s="726"/>
      <c r="J680" s="726">
        <f t="shared" ref="J680:AO680" si="1067">SUM(J678:J679)</f>
        <v>0</v>
      </c>
      <c r="K680" s="726">
        <f t="shared" si="1067"/>
        <v>0</v>
      </c>
      <c r="L680" s="726">
        <f t="shared" si="1067"/>
        <v>0</v>
      </c>
      <c r="M680" s="726">
        <f t="shared" si="1067"/>
        <v>0</v>
      </c>
      <c r="N680" s="726">
        <f t="shared" si="1067"/>
        <v>86318.253106861201</v>
      </c>
      <c r="O680" s="726">
        <f t="shared" si="1067"/>
        <v>0</v>
      </c>
      <c r="P680" s="726">
        <f t="shared" si="1067"/>
        <v>0</v>
      </c>
      <c r="Q680" s="726">
        <f t="shared" si="1067"/>
        <v>0</v>
      </c>
      <c r="R680" s="726">
        <f t="shared" si="1067"/>
        <v>0</v>
      </c>
      <c r="S680" s="726">
        <f t="shared" si="1067"/>
        <v>0</v>
      </c>
      <c r="T680" s="726">
        <f t="shared" si="1067"/>
        <v>0</v>
      </c>
      <c r="U680" s="726">
        <f t="shared" si="1067"/>
        <v>0</v>
      </c>
      <c r="V680" s="726">
        <f t="shared" si="1067"/>
        <v>0</v>
      </c>
      <c r="W680" s="726">
        <f t="shared" si="1067"/>
        <v>0</v>
      </c>
      <c r="X680" s="726">
        <f t="shared" si="1067"/>
        <v>0</v>
      </c>
      <c r="Y680" s="726">
        <f t="shared" si="1067"/>
        <v>0</v>
      </c>
      <c r="Z680" s="726">
        <f t="shared" si="1067"/>
        <v>0</v>
      </c>
      <c r="AA680" s="726">
        <f t="shared" si="1067"/>
        <v>0</v>
      </c>
      <c r="AB680" s="726">
        <f t="shared" si="1067"/>
        <v>0</v>
      </c>
      <c r="AC680" s="726">
        <f t="shared" si="1067"/>
        <v>0</v>
      </c>
      <c r="AD680" s="726">
        <f t="shared" si="1067"/>
        <v>0</v>
      </c>
      <c r="AE680" s="726">
        <f t="shared" si="1067"/>
        <v>0</v>
      </c>
      <c r="AF680" s="726">
        <f t="shared" si="1067"/>
        <v>0</v>
      </c>
      <c r="AG680" s="726">
        <f t="shared" si="1067"/>
        <v>0</v>
      </c>
      <c r="AH680" s="726">
        <f t="shared" si="1067"/>
        <v>0</v>
      </c>
      <c r="AI680" s="726">
        <f t="shared" si="1067"/>
        <v>0</v>
      </c>
      <c r="AJ680" s="726">
        <f t="shared" si="1067"/>
        <v>0</v>
      </c>
      <c r="AK680" s="726">
        <f t="shared" si="1067"/>
        <v>0</v>
      </c>
      <c r="AL680" s="726">
        <f t="shared" si="1067"/>
        <v>0</v>
      </c>
      <c r="AM680" s="726">
        <f t="shared" si="1067"/>
        <v>0</v>
      </c>
      <c r="AN680" s="726">
        <f t="shared" si="1067"/>
        <v>0</v>
      </c>
      <c r="AO680" s="726">
        <f t="shared" si="1067"/>
        <v>0</v>
      </c>
      <c r="AP680" s="726">
        <f t="shared" ref="AP680:BU680" si="1068">SUM(AP678:AP679)</f>
        <v>0</v>
      </c>
      <c r="AQ680" s="726">
        <f t="shared" si="1068"/>
        <v>0</v>
      </c>
      <c r="AR680" s="726">
        <f t="shared" si="1068"/>
        <v>0</v>
      </c>
      <c r="AS680" s="726">
        <f t="shared" si="1068"/>
        <v>0</v>
      </c>
      <c r="AT680" s="726">
        <f t="shared" si="1068"/>
        <v>0</v>
      </c>
      <c r="AU680" s="726">
        <f t="shared" si="1068"/>
        <v>0</v>
      </c>
      <c r="AV680" s="726">
        <f t="shared" si="1068"/>
        <v>0</v>
      </c>
      <c r="AW680" s="726">
        <f t="shared" si="1068"/>
        <v>0</v>
      </c>
      <c r="AX680" s="726">
        <f t="shared" si="1068"/>
        <v>0</v>
      </c>
      <c r="AY680" s="726">
        <f t="shared" si="1068"/>
        <v>0</v>
      </c>
      <c r="AZ680" s="726">
        <f t="shared" si="1068"/>
        <v>0</v>
      </c>
      <c r="BA680" s="726">
        <f t="shared" si="1068"/>
        <v>0</v>
      </c>
      <c r="BB680" s="726">
        <f t="shared" si="1068"/>
        <v>0</v>
      </c>
      <c r="BC680" s="726">
        <f t="shared" si="1068"/>
        <v>0</v>
      </c>
      <c r="BD680" s="726">
        <f t="shared" si="1068"/>
        <v>0</v>
      </c>
      <c r="BE680" s="726">
        <f t="shared" si="1068"/>
        <v>0</v>
      </c>
      <c r="BF680" s="726">
        <f t="shared" si="1068"/>
        <v>0</v>
      </c>
      <c r="BG680" s="726">
        <f t="shared" si="1068"/>
        <v>0</v>
      </c>
      <c r="BH680" s="726">
        <f t="shared" si="1068"/>
        <v>0</v>
      </c>
      <c r="BI680" s="726">
        <f t="shared" si="1068"/>
        <v>0</v>
      </c>
      <c r="BJ680" s="726">
        <f t="shared" si="1068"/>
        <v>0</v>
      </c>
      <c r="BK680" s="726">
        <f t="shared" si="1068"/>
        <v>0</v>
      </c>
      <c r="BL680" s="726">
        <f t="shared" si="1068"/>
        <v>0</v>
      </c>
      <c r="BM680" s="726">
        <f t="shared" si="1068"/>
        <v>0</v>
      </c>
      <c r="BN680" s="726">
        <f t="shared" si="1068"/>
        <v>0</v>
      </c>
      <c r="BO680" s="726">
        <f t="shared" si="1068"/>
        <v>0</v>
      </c>
      <c r="BP680" s="726">
        <f t="shared" si="1068"/>
        <v>0</v>
      </c>
      <c r="BQ680" s="726">
        <f t="shared" si="1068"/>
        <v>0</v>
      </c>
      <c r="BR680" s="726">
        <f t="shared" si="1068"/>
        <v>0</v>
      </c>
      <c r="BS680" s="726">
        <f t="shared" si="1068"/>
        <v>0</v>
      </c>
      <c r="BT680" s="726">
        <f t="shared" si="1068"/>
        <v>0</v>
      </c>
      <c r="BU680" s="726">
        <f t="shared" si="1068"/>
        <v>0</v>
      </c>
      <c r="BV680" s="726">
        <f t="shared" ref="BV680:CV680" si="1069">SUM(BV678:BV679)</f>
        <v>0</v>
      </c>
      <c r="BW680" s="726">
        <f t="shared" si="1069"/>
        <v>0</v>
      </c>
      <c r="BX680" s="726">
        <f t="shared" si="1069"/>
        <v>0</v>
      </c>
      <c r="BY680" s="726">
        <f t="shared" si="1069"/>
        <v>0</v>
      </c>
      <c r="BZ680" s="726">
        <f t="shared" si="1069"/>
        <v>0</v>
      </c>
      <c r="CA680" s="726">
        <f t="shared" si="1069"/>
        <v>0</v>
      </c>
      <c r="CB680" s="726">
        <f t="shared" si="1069"/>
        <v>0</v>
      </c>
      <c r="CC680" s="726">
        <f t="shared" si="1069"/>
        <v>0</v>
      </c>
      <c r="CD680" s="726">
        <f t="shared" si="1069"/>
        <v>0</v>
      </c>
      <c r="CE680" s="726">
        <f t="shared" si="1069"/>
        <v>0</v>
      </c>
      <c r="CF680" s="726">
        <f t="shared" si="1069"/>
        <v>0</v>
      </c>
      <c r="CG680" s="726">
        <f t="shared" si="1069"/>
        <v>0</v>
      </c>
      <c r="CH680" s="726">
        <f t="shared" si="1069"/>
        <v>0</v>
      </c>
      <c r="CI680" s="726">
        <f t="shared" si="1069"/>
        <v>0</v>
      </c>
      <c r="CJ680" s="726">
        <f t="shared" si="1069"/>
        <v>0</v>
      </c>
      <c r="CK680" s="726">
        <f t="shared" si="1069"/>
        <v>0</v>
      </c>
      <c r="CL680" s="726">
        <f t="shared" si="1069"/>
        <v>0</v>
      </c>
      <c r="CM680" s="726">
        <f t="shared" si="1069"/>
        <v>0</v>
      </c>
      <c r="CN680" s="726">
        <f t="shared" si="1069"/>
        <v>0</v>
      </c>
      <c r="CO680" s="726">
        <f t="shared" si="1069"/>
        <v>0</v>
      </c>
      <c r="CP680" s="726">
        <f t="shared" si="1069"/>
        <v>0</v>
      </c>
      <c r="CQ680" s="726">
        <f t="shared" si="1069"/>
        <v>0</v>
      </c>
      <c r="CR680" s="726">
        <f t="shared" si="1069"/>
        <v>0</v>
      </c>
      <c r="CS680" s="726">
        <f t="shared" si="1069"/>
        <v>0</v>
      </c>
      <c r="CT680" s="726">
        <f t="shared" si="1069"/>
        <v>0</v>
      </c>
      <c r="CU680" s="726">
        <f t="shared" si="1069"/>
        <v>0</v>
      </c>
      <c r="CV680" s="726">
        <f t="shared" si="1069"/>
        <v>0</v>
      </c>
    </row>
    <row r="681" spans="1:100" s="757" customFormat="1" ht="13.15" customHeight="1" outlineLevel="2" x14ac:dyDescent="0.2">
      <c r="A681" s="769"/>
      <c r="B681" s="769"/>
      <c r="C681" s="769"/>
      <c r="D681" s="769"/>
      <c r="E681" s="770" t="str">
        <f xml:space="preserve"> LEFT(E680, LEN(E680) - 4)</f>
        <v>Equity bridge repayment</v>
      </c>
      <c r="F681" s="771"/>
      <c r="G681" s="770" t="str">
        <f>SMU</f>
        <v>$ 000s</v>
      </c>
      <c r="H681" s="770">
        <f xml:space="preserve"> SUM(J681:CV681)</f>
        <v>-86318.253106861201</v>
      </c>
      <c r="I681" s="771"/>
      <c r="J681" s="770">
        <f t="shared" ref="J681:AO681" si="1070" xml:space="preserve"> -1 * J680</f>
        <v>0</v>
      </c>
      <c r="K681" s="770">
        <f t="shared" si="1070"/>
        <v>0</v>
      </c>
      <c r="L681" s="770">
        <f t="shared" si="1070"/>
        <v>0</v>
      </c>
      <c r="M681" s="770">
        <f t="shared" si="1070"/>
        <v>0</v>
      </c>
      <c r="N681" s="770">
        <f t="shared" si="1070"/>
        <v>-86318.253106861201</v>
      </c>
      <c r="O681" s="770">
        <f t="shared" si="1070"/>
        <v>0</v>
      </c>
      <c r="P681" s="770">
        <f t="shared" si="1070"/>
        <v>0</v>
      </c>
      <c r="Q681" s="770">
        <f t="shared" si="1070"/>
        <v>0</v>
      </c>
      <c r="R681" s="770">
        <f t="shared" si="1070"/>
        <v>0</v>
      </c>
      <c r="S681" s="770">
        <f t="shared" si="1070"/>
        <v>0</v>
      </c>
      <c r="T681" s="770">
        <f t="shared" si="1070"/>
        <v>0</v>
      </c>
      <c r="U681" s="770">
        <f t="shared" si="1070"/>
        <v>0</v>
      </c>
      <c r="V681" s="770">
        <f t="shared" si="1070"/>
        <v>0</v>
      </c>
      <c r="W681" s="770">
        <f t="shared" si="1070"/>
        <v>0</v>
      </c>
      <c r="X681" s="770">
        <f t="shared" si="1070"/>
        <v>0</v>
      </c>
      <c r="Y681" s="770">
        <f t="shared" si="1070"/>
        <v>0</v>
      </c>
      <c r="Z681" s="770">
        <f t="shared" si="1070"/>
        <v>0</v>
      </c>
      <c r="AA681" s="770">
        <f t="shared" si="1070"/>
        <v>0</v>
      </c>
      <c r="AB681" s="770">
        <f t="shared" si="1070"/>
        <v>0</v>
      </c>
      <c r="AC681" s="770">
        <f t="shared" si="1070"/>
        <v>0</v>
      </c>
      <c r="AD681" s="770">
        <f t="shared" si="1070"/>
        <v>0</v>
      </c>
      <c r="AE681" s="770">
        <f t="shared" si="1070"/>
        <v>0</v>
      </c>
      <c r="AF681" s="770">
        <f t="shared" si="1070"/>
        <v>0</v>
      </c>
      <c r="AG681" s="770">
        <f t="shared" si="1070"/>
        <v>0</v>
      </c>
      <c r="AH681" s="770">
        <f t="shared" si="1070"/>
        <v>0</v>
      </c>
      <c r="AI681" s="770">
        <f t="shared" si="1070"/>
        <v>0</v>
      </c>
      <c r="AJ681" s="770">
        <f t="shared" si="1070"/>
        <v>0</v>
      </c>
      <c r="AK681" s="770">
        <f t="shared" si="1070"/>
        <v>0</v>
      </c>
      <c r="AL681" s="770">
        <f t="shared" si="1070"/>
        <v>0</v>
      </c>
      <c r="AM681" s="770">
        <f t="shared" si="1070"/>
        <v>0</v>
      </c>
      <c r="AN681" s="770">
        <f t="shared" si="1070"/>
        <v>0</v>
      </c>
      <c r="AO681" s="770">
        <f t="shared" si="1070"/>
        <v>0</v>
      </c>
      <c r="AP681" s="770">
        <f t="shared" ref="AP681:BU681" si="1071" xml:space="preserve"> -1 * AP680</f>
        <v>0</v>
      </c>
      <c r="AQ681" s="770">
        <f t="shared" si="1071"/>
        <v>0</v>
      </c>
      <c r="AR681" s="770">
        <f t="shared" si="1071"/>
        <v>0</v>
      </c>
      <c r="AS681" s="770">
        <f t="shared" si="1071"/>
        <v>0</v>
      </c>
      <c r="AT681" s="770">
        <f t="shared" si="1071"/>
        <v>0</v>
      </c>
      <c r="AU681" s="770">
        <f t="shared" si="1071"/>
        <v>0</v>
      </c>
      <c r="AV681" s="770">
        <f t="shared" si="1071"/>
        <v>0</v>
      </c>
      <c r="AW681" s="770">
        <f t="shared" si="1071"/>
        <v>0</v>
      </c>
      <c r="AX681" s="770">
        <f t="shared" si="1071"/>
        <v>0</v>
      </c>
      <c r="AY681" s="770">
        <f t="shared" si="1071"/>
        <v>0</v>
      </c>
      <c r="AZ681" s="770">
        <f t="shared" si="1071"/>
        <v>0</v>
      </c>
      <c r="BA681" s="770">
        <f t="shared" si="1071"/>
        <v>0</v>
      </c>
      <c r="BB681" s="770">
        <f t="shared" si="1071"/>
        <v>0</v>
      </c>
      <c r="BC681" s="770">
        <f t="shared" si="1071"/>
        <v>0</v>
      </c>
      <c r="BD681" s="770">
        <f t="shared" si="1071"/>
        <v>0</v>
      </c>
      <c r="BE681" s="770">
        <f t="shared" si="1071"/>
        <v>0</v>
      </c>
      <c r="BF681" s="770">
        <f t="shared" si="1071"/>
        <v>0</v>
      </c>
      <c r="BG681" s="770">
        <f t="shared" si="1071"/>
        <v>0</v>
      </c>
      <c r="BH681" s="770">
        <f t="shared" si="1071"/>
        <v>0</v>
      </c>
      <c r="BI681" s="770">
        <f t="shared" si="1071"/>
        <v>0</v>
      </c>
      <c r="BJ681" s="770">
        <f t="shared" si="1071"/>
        <v>0</v>
      </c>
      <c r="BK681" s="770">
        <f t="shared" si="1071"/>
        <v>0</v>
      </c>
      <c r="BL681" s="770">
        <f t="shared" si="1071"/>
        <v>0</v>
      </c>
      <c r="BM681" s="770">
        <f t="shared" si="1071"/>
        <v>0</v>
      </c>
      <c r="BN681" s="770">
        <f t="shared" si="1071"/>
        <v>0</v>
      </c>
      <c r="BO681" s="770">
        <f t="shared" si="1071"/>
        <v>0</v>
      </c>
      <c r="BP681" s="770">
        <f t="shared" si="1071"/>
        <v>0</v>
      </c>
      <c r="BQ681" s="770">
        <f t="shared" si="1071"/>
        <v>0</v>
      </c>
      <c r="BR681" s="770">
        <f t="shared" si="1071"/>
        <v>0</v>
      </c>
      <c r="BS681" s="770">
        <f t="shared" si="1071"/>
        <v>0</v>
      </c>
      <c r="BT681" s="770">
        <f t="shared" si="1071"/>
        <v>0</v>
      </c>
      <c r="BU681" s="770">
        <f t="shared" si="1071"/>
        <v>0</v>
      </c>
      <c r="BV681" s="770">
        <f t="shared" ref="BV681:CV681" si="1072" xml:space="preserve"> -1 * BV680</f>
        <v>0</v>
      </c>
      <c r="BW681" s="770">
        <f t="shared" si="1072"/>
        <v>0</v>
      </c>
      <c r="BX681" s="770">
        <f t="shared" si="1072"/>
        <v>0</v>
      </c>
      <c r="BY681" s="770">
        <f t="shared" si="1072"/>
        <v>0</v>
      </c>
      <c r="BZ681" s="770">
        <f t="shared" si="1072"/>
        <v>0</v>
      </c>
      <c r="CA681" s="770">
        <f t="shared" si="1072"/>
        <v>0</v>
      </c>
      <c r="CB681" s="770">
        <f t="shared" si="1072"/>
        <v>0</v>
      </c>
      <c r="CC681" s="770">
        <f t="shared" si="1072"/>
        <v>0</v>
      </c>
      <c r="CD681" s="770">
        <f t="shared" si="1072"/>
        <v>0</v>
      </c>
      <c r="CE681" s="770">
        <f t="shared" si="1072"/>
        <v>0</v>
      </c>
      <c r="CF681" s="770">
        <f t="shared" si="1072"/>
        <v>0</v>
      </c>
      <c r="CG681" s="770">
        <f t="shared" si="1072"/>
        <v>0</v>
      </c>
      <c r="CH681" s="770">
        <f t="shared" si="1072"/>
        <v>0</v>
      </c>
      <c r="CI681" s="770">
        <f t="shared" si="1072"/>
        <v>0</v>
      </c>
      <c r="CJ681" s="770">
        <f t="shared" si="1072"/>
        <v>0</v>
      </c>
      <c r="CK681" s="770">
        <f t="shared" si="1072"/>
        <v>0</v>
      </c>
      <c r="CL681" s="770">
        <f t="shared" si="1072"/>
        <v>0</v>
      </c>
      <c r="CM681" s="770">
        <f t="shared" si="1072"/>
        <v>0</v>
      </c>
      <c r="CN681" s="770">
        <f t="shared" si="1072"/>
        <v>0</v>
      </c>
      <c r="CO681" s="770">
        <f t="shared" si="1072"/>
        <v>0</v>
      </c>
      <c r="CP681" s="770">
        <f t="shared" si="1072"/>
        <v>0</v>
      </c>
      <c r="CQ681" s="770">
        <f t="shared" si="1072"/>
        <v>0</v>
      </c>
      <c r="CR681" s="770">
        <f t="shared" si="1072"/>
        <v>0</v>
      </c>
      <c r="CS681" s="770">
        <f t="shared" si="1072"/>
        <v>0</v>
      </c>
      <c r="CT681" s="770">
        <f t="shared" si="1072"/>
        <v>0</v>
      </c>
      <c r="CU681" s="770">
        <f t="shared" si="1072"/>
        <v>0</v>
      </c>
      <c r="CV681" s="770">
        <f t="shared" si="1072"/>
        <v>0</v>
      </c>
    </row>
    <row r="682" spans="1:100" s="734" customFormat="1" ht="13.15" customHeight="1" outlineLevel="1" x14ac:dyDescent="0.2">
      <c r="A682" s="732"/>
      <c r="B682" s="732"/>
      <c r="C682" s="732"/>
      <c r="D682" s="732"/>
      <c r="E682" s="114"/>
      <c r="F682" s="114"/>
      <c r="G682" s="114"/>
      <c r="H682" s="114"/>
      <c r="I682" s="114"/>
      <c r="J682" s="114"/>
      <c r="K682" s="114"/>
      <c r="L682" s="114"/>
      <c r="M682" s="114"/>
      <c r="N682" s="114"/>
      <c r="O682" s="114"/>
      <c r="P682" s="114"/>
      <c r="Q682" s="114"/>
      <c r="R682" s="114"/>
      <c r="S682" s="114"/>
      <c r="T682" s="114"/>
      <c r="U682" s="114"/>
      <c r="V682" s="114"/>
      <c r="W682" s="114"/>
      <c r="X682" s="114"/>
      <c r="Y682" s="114"/>
      <c r="Z682" s="114"/>
      <c r="AA682" s="114"/>
      <c r="AB682" s="114"/>
      <c r="AC682" s="114"/>
      <c r="AD682" s="114"/>
      <c r="AE682" s="114"/>
      <c r="AF682" s="114"/>
      <c r="AG682" s="114"/>
      <c r="AH682" s="114"/>
      <c r="AI682" s="114"/>
      <c r="AJ682" s="114"/>
      <c r="AK682" s="114"/>
      <c r="AL682" s="114"/>
      <c r="AM682" s="114"/>
      <c r="AN682" s="114"/>
      <c r="AO682" s="114"/>
      <c r="AP682" s="114"/>
      <c r="AQ682" s="114"/>
      <c r="AR682" s="114"/>
      <c r="AS682" s="114"/>
      <c r="AT682" s="114"/>
      <c r="AU682" s="114"/>
      <c r="AV682" s="114"/>
      <c r="AW682" s="114"/>
      <c r="AX682" s="114"/>
      <c r="AY682" s="114"/>
      <c r="AZ682" s="114"/>
      <c r="BA682" s="114"/>
      <c r="BB682" s="114"/>
      <c r="BC682" s="114"/>
      <c r="BD682" s="114"/>
      <c r="BE682" s="114"/>
      <c r="BF682" s="114"/>
      <c r="BG682" s="114"/>
      <c r="BH682" s="114"/>
      <c r="BI682" s="114"/>
      <c r="BJ682" s="114"/>
      <c r="BK682" s="114"/>
      <c r="BL682" s="114"/>
      <c r="BM682" s="114"/>
      <c r="BN682" s="114"/>
      <c r="BO682" s="114"/>
      <c r="BP682" s="114"/>
      <c r="BQ682" s="114"/>
      <c r="BR682" s="114"/>
      <c r="BS682" s="114"/>
      <c r="BT682" s="114"/>
      <c r="BU682" s="114"/>
      <c r="BV682" s="114"/>
      <c r="BW682" s="114"/>
      <c r="BX682" s="114"/>
      <c r="BY682" s="114"/>
      <c r="BZ682" s="114"/>
      <c r="CA682" s="114"/>
      <c r="CB682" s="114"/>
      <c r="CC682" s="114"/>
      <c r="CD682" s="114"/>
      <c r="CE682" s="114"/>
      <c r="CF682" s="114"/>
      <c r="CG682" s="114"/>
      <c r="CH682" s="114"/>
      <c r="CI682" s="114"/>
      <c r="CJ682" s="114"/>
      <c r="CK682" s="114"/>
      <c r="CL682" s="114"/>
      <c r="CM682" s="114"/>
      <c r="CN682" s="114"/>
      <c r="CO682" s="114"/>
      <c r="CP682" s="114"/>
      <c r="CQ682" s="114"/>
      <c r="CR682" s="114"/>
      <c r="CS682" s="114"/>
      <c r="CT682" s="114"/>
      <c r="CU682" s="114"/>
      <c r="CV682" s="114"/>
    </row>
    <row r="683" spans="1:100" s="734" customFormat="1" ht="13.15" customHeight="1" outlineLevel="1" x14ac:dyDescent="0.2">
      <c r="A683" s="732"/>
      <c r="B683" s="763" t="s">
        <v>521</v>
      </c>
      <c r="C683" s="732"/>
      <c r="D683" s="732"/>
      <c r="E683" s="114"/>
      <c r="F683" s="114"/>
      <c r="G683" s="114"/>
      <c r="H683" s="114"/>
      <c r="I683" s="114"/>
      <c r="J683" s="114"/>
      <c r="K683" s="114"/>
      <c r="L683" s="114"/>
      <c r="M683" s="114"/>
      <c r="N683" s="114"/>
      <c r="O683" s="114"/>
      <c r="P683" s="114"/>
      <c r="Q683" s="114"/>
      <c r="R683" s="114"/>
      <c r="S683" s="114"/>
      <c r="T683" s="114"/>
      <c r="U683" s="114"/>
      <c r="V683" s="114"/>
      <c r="W683" s="114"/>
      <c r="X683" s="114"/>
      <c r="Y683" s="114"/>
      <c r="Z683" s="114"/>
      <c r="AA683" s="114"/>
      <c r="AB683" s="114"/>
      <c r="AC683" s="114"/>
      <c r="AD683" s="114"/>
      <c r="AE683" s="114"/>
      <c r="AF683" s="114"/>
      <c r="AG683" s="114"/>
      <c r="AH683" s="114"/>
      <c r="AI683" s="114"/>
      <c r="AJ683" s="114"/>
      <c r="AK683" s="114"/>
      <c r="AL683" s="114"/>
      <c r="AM683" s="114"/>
      <c r="AN683" s="114"/>
      <c r="AO683" s="114"/>
      <c r="AP683" s="114"/>
      <c r="AQ683" s="114"/>
      <c r="AR683" s="114"/>
      <c r="AS683" s="114"/>
      <c r="AT683" s="114"/>
      <c r="AU683" s="114"/>
      <c r="AV683" s="114"/>
      <c r="AW683" s="114"/>
      <c r="AX683" s="114"/>
      <c r="AY683" s="114"/>
      <c r="AZ683" s="114"/>
      <c r="BA683" s="114"/>
      <c r="BB683" s="114"/>
      <c r="BC683" s="114"/>
      <c r="BD683" s="114"/>
      <c r="BE683" s="114"/>
      <c r="BF683" s="114"/>
      <c r="BG683" s="114"/>
      <c r="BH683" s="114"/>
      <c r="BI683" s="114"/>
      <c r="BJ683" s="114"/>
      <c r="BK683" s="114"/>
      <c r="BL683" s="114"/>
      <c r="BM683" s="114"/>
      <c r="BN683" s="114"/>
      <c r="BO683" s="114"/>
      <c r="BP683" s="114"/>
      <c r="BQ683" s="114"/>
      <c r="BR683" s="114"/>
      <c r="BS683" s="114"/>
      <c r="BT683" s="114"/>
      <c r="BU683" s="114"/>
      <c r="BV683" s="114"/>
      <c r="BW683" s="114"/>
      <c r="BX683" s="114"/>
      <c r="BY683" s="114"/>
      <c r="BZ683" s="114"/>
      <c r="CA683" s="114"/>
      <c r="CB683" s="114"/>
      <c r="CC683" s="114"/>
      <c r="CD683" s="114"/>
      <c r="CE683" s="114"/>
      <c r="CF683" s="114"/>
      <c r="CG683" s="114"/>
      <c r="CH683" s="114"/>
      <c r="CI683" s="114"/>
      <c r="CJ683" s="114"/>
      <c r="CK683" s="114"/>
      <c r="CL683" s="114"/>
      <c r="CM683" s="114"/>
      <c r="CN683" s="114"/>
      <c r="CO683" s="114"/>
      <c r="CP683" s="114"/>
      <c r="CQ683" s="114"/>
      <c r="CR683" s="114"/>
      <c r="CS683" s="114"/>
      <c r="CT683" s="114"/>
      <c r="CU683" s="114"/>
      <c r="CV683" s="114"/>
    </row>
    <row r="684" spans="1:100" s="775" customFormat="1" ht="13.15" customHeight="1" outlineLevel="2" x14ac:dyDescent="0.2">
      <c r="A684" s="772"/>
      <c r="B684" s="772"/>
      <c r="C684" s="772"/>
      <c r="D684" s="772"/>
      <c r="E684" s="773" t="s">
        <v>520</v>
      </c>
      <c r="F684" s="774"/>
      <c r="G684" s="773" t="str">
        <f>SMU</f>
        <v>$ 000s</v>
      </c>
      <c r="H684" s="774"/>
      <c r="I684" s="774"/>
      <c r="J684" s="773">
        <f t="shared" ref="J684:AO684" si="1073">I688</f>
        <v>0</v>
      </c>
      <c r="K684" s="773">
        <f t="shared" si="1073"/>
        <v>38555.01232134179</v>
      </c>
      <c r="L684" s="773">
        <f t="shared" si="1073"/>
        <v>86318.253106861201</v>
      </c>
      <c r="M684" s="773">
        <f t="shared" si="1073"/>
        <v>86318.253106861201</v>
      </c>
      <c r="N684" s="773">
        <f t="shared" si="1073"/>
        <v>86318.253106861201</v>
      </c>
      <c r="O684" s="773">
        <f t="shared" si="1073"/>
        <v>0</v>
      </c>
      <c r="P684" s="773">
        <f t="shared" si="1073"/>
        <v>0</v>
      </c>
      <c r="Q684" s="773">
        <f t="shared" si="1073"/>
        <v>0</v>
      </c>
      <c r="R684" s="773">
        <f t="shared" si="1073"/>
        <v>0</v>
      </c>
      <c r="S684" s="773">
        <f t="shared" si="1073"/>
        <v>0</v>
      </c>
      <c r="T684" s="773">
        <f t="shared" si="1073"/>
        <v>0</v>
      </c>
      <c r="U684" s="773">
        <f t="shared" si="1073"/>
        <v>0</v>
      </c>
      <c r="V684" s="773">
        <f t="shared" si="1073"/>
        <v>0</v>
      </c>
      <c r="W684" s="773">
        <f t="shared" si="1073"/>
        <v>0</v>
      </c>
      <c r="X684" s="773">
        <f t="shared" si="1073"/>
        <v>0</v>
      </c>
      <c r="Y684" s="773">
        <f t="shared" si="1073"/>
        <v>0</v>
      </c>
      <c r="Z684" s="773">
        <f t="shared" si="1073"/>
        <v>0</v>
      </c>
      <c r="AA684" s="773">
        <f t="shared" si="1073"/>
        <v>0</v>
      </c>
      <c r="AB684" s="773">
        <f t="shared" si="1073"/>
        <v>0</v>
      </c>
      <c r="AC684" s="773">
        <f t="shared" si="1073"/>
        <v>0</v>
      </c>
      <c r="AD684" s="773">
        <f t="shared" si="1073"/>
        <v>0</v>
      </c>
      <c r="AE684" s="773">
        <f t="shared" si="1073"/>
        <v>0</v>
      </c>
      <c r="AF684" s="773">
        <f t="shared" si="1073"/>
        <v>0</v>
      </c>
      <c r="AG684" s="773">
        <f t="shared" si="1073"/>
        <v>0</v>
      </c>
      <c r="AH684" s="773">
        <f t="shared" si="1073"/>
        <v>0</v>
      </c>
      <c r="AI684" s="773">
        <f t="shared" si="1073"/>
        <v>0</v>
      </c>
      <c r="AJ684" s="773">
        <f t="shared" si="1073"/>
        <v>0</v>
      </c>
      <c r="AK684" s="773">
        <f t="shared" si="1073"/>
        <v>0</v>
      </c>
      <c r="AL684" s="773">
        <f t="shared" si="1073"/>
        <v>0</v>
      </c>
      <c r="AM684" s="773">
        <f t="shared" si="1073"/>
        <v>0</v>
      </c>
      <c r="AN684" s="773">
        <f t="shared" si="1073"/>
        <v>0</v>
      </c>
      <c r="AO684" s="773">
        <f t="shared" si="1073"/>
        <v>0</v>
      </c>
      <c r="AP684" s="773">
        <f t="shared" ref="AP684:BU684" si="1074">AO688</f>
        <v>0</v>
      </c>
      <c r="AQ684" s="773">
        <f t="shared" si="1074"/>
        <v>0</v>
      </c>
      <c r="AR684" s="773">
        <f t="shared" si="1074"/>
        <v>0</v>
      </c>
      <c r="AS684" s="773">
        <f t="shared" si="1074"/>
        <v>0</v>
      </c>
      <c r="AT684" s="773">
        <f t="shared" si="1074"/>
        <v>0</v>
      </c>
      <c r="AU684" s="773">
        <f t="shared" si="1074"/>
        <v>0</v>
      </c>
      <c r="AV684" s="773">
        <f t="shared" si="1074"/>
        <v>0</v>
      </c>
      <c r="AW684" s="773">
        <f t="shared" si="1074"/>
        <v>0</v>
      </c>
      <c r="AX684" s="773">
        <f t="shared" si="1074"/>
        <v>0</v>
      </c>
      <c r="AY684" s="773">
        <f t="shared" si="1074"/>
        <v>0</v>
      </c>
      <c r="AZ684" s="773">
        <f t="shared" si="1074"/>
        <v>0</v>
      </c>
      <c r="BA684" s="773">
        <f t="shared" si="1074"/>
        <v>0</v>
      </c>
      <c r="BB684" s="773">
        <f t="shared" si="1074"/>
        <v>0</v>
      </c>
      <c r="BC684" s="773">
        <f t="shared" si="1074"/>
        <v>0</v>
      </c>
      <c r="BD684" s="773">
        <f t="shared" si="1074"/>
        <v>0</v>
      </c>
      <c r="BE684" s="773">
        <f t="shared" si="1074"/>
        <v>0</v>
      </c>
      <c r="BF684" s="773">
        <f t="shared" si="1074"/>
        <v>0</v>
      </c>
      <c r="BG684" s="773">
        <f t="shared" si="1074"/>
        <v>0</v>
      </c>
      <c r="BH684" s="773">
        <f t="shared" si="1074"/>
        <v>0</v>
      </c>
      <c r="BI684" s="773">
        <f t="shared" si="1074"/>
        <v>0</v>
      </c>
      <c r="BJ684" s="773">
        <f t="shared" si="1074"/>
        <v>0</v>
      </c>
      <c r="BK684" s="773">
        <f t="shared" si="1074"/>
        <v>0</v>
      </c>
      <c r="BL684" s="773">
        <f t="shared" si="1074"/>
        <v>0</v>
      </c>
      <c r="BM684" s="773">
        <f t="shared" si="1074"/>
        <v>0</v>
      </c>
      <c r="BN684" s="773">
        <f t="shared" si="1074"/>
        <v>0</v>
      </c>
      <c r="BO684" s="773">
        <f t="shared" si="1074"/>
        <v>0</v>
      </c>
      <c r="BP684" s="773">
        <f t="shared" si="1074"/>
        <v>0</v>
      </c>
      <c r="BQ684" s="773">
        <f t="shared" si="1074"/>
        <v>0</v>
      </c>
      <c r="BR684" s="773">
        <f t="shared" si="1074"/>
        <v>0</v>
      </c>
      <c r="BS684" s="773">
        <f t="shared" si="1074"/>
        <v>0</v>
      </c>
      <c r="BT684" s="773">
        <f t="shared" si="1074"/>
        <v>0</v>
      </c>
      <c r="BU684" s="773">
        <f t="shared" si="1074"/>
        <v>0</v>
      </c>
      <c r="BV684" s="773">
        <f t="shared" ref="BV684:CV684" si="1075">BU688</f>
        <v>0</v>
      </c>
      <c r="BW684" s="773">
        <f t="shared" si="1075"/>
        <v>0</v>
      </c>
      <c r="BX684" s="773">
        <f t="shared" si="1075"/>
        <v>0</v>
      </c>
      <c r="BY684" s="773">
        <f t="shared" si="1075"/>
        <v>0</v>
      </c>
      <c r="BZ684" s="773">
        <f t="shared" si="1075"/>
        <v>0</v>
      </c>
      <c r="CA684" s="773">
        <f t="shared" si="1075"/>
        <v>0</v>
      </c>
      <c r="CB684" s="773">
        <f t="shared" si="1075"/>
        <v>0</v>
      </c>
      <c r="CC684" s="773">
        <f t="shared" si="1075"/>
        <v>0</v>
      </c>
      <c r="CD684" s="773">
        <f t="shared" si="1075"/>
        <v>0</v>
      </c>
      <c r="CE684" s="773">
        <f t="shared" si="1075"/>
        <v>0</v>
      </c>
      <c r="CF684" s="773">
        <f t="shared" si="1075"/>
        <v>0</v>
      </c>
      <c r="CG684" s="773">
        <f t="shared" si="1075"/>
        <v>0</v>
      </c>
      <c r="CH684" s="773">
        <f t="shared" si="1075"/>
        <v>0</v>
      </c>
      <c r="CI684" s="773">
        <f t="shared" si="1075"/>
        <v>0</v>
      </c>
      <c r="CJ684" s="773">
        <f t="shared" si="1075"/>
        <v>0</v>
      </c>
      <c r="CK684" s="773">
        <f t="shared" si="1075"/>
        <v>0</v>
      </c>
      <c r="CL684" s="773">
        <f t="shared" si="1075"/>
        <v>0</v>
      </c>
      <c r="CM684" s="773">
        <f t="shared" si="1075"/>
        <v>0</v>
      </c>
      <c r="CN684" s="773">
        <f t="shared" si="1075"/>
        <v>0</v>
      </c>
      <c r="CO684" s="773">
        <f t="shared" si="1075"/>
        <v>0</v>
      </c>
      <c r="CP684" s="773">
        <f t="shared" si="1075"/>
        <v>0</v>
      </c>
      <c r="CQ684" s="773">
        <f t="shared" si="1075"/>
        <v>0</v>
      </c>
      <c r="CR684" s="773">
        <f t="shared" si="1075"/>
        <v>0</v>
      </c>
      <c r="CS684" s="773">
        <f t="shared" si="1075"/>
        <v>0</v>
      </c>
      <c r="CT684" s="773">
        <f t="shared" si="1075"/>
        <v>0</v>
      </c>
      <c r="CU684" s="773">
        <f t="shared" si="1075"/>
        <v>0</v>
      </c>
      <c r="CV684" s="773">
        <f t="shared" si="1075"/>
        <v>0</v>
      </c>
    </row>
    <row r="685" spans="1:100" s="767" customFormat="1" ht="13.15" customHeight="1" outlineLevel="2" x14ac:dyDescent="0.2">
      <c r="A685" s="762"/>
      <c r="B685" s="762"/>
      <c r="C685" s="762"/>
      <c r="D685" s="762"/>
      <c r="E685" s="1080" t="str">
        <f xml:space="preserve"> ConFin!E$666</f>
        <v>Equity bridge drawdown</v>
      </c>
      <c r="F685" s="1080">
        <f xml:space="preserve"> ConFin!F$666</f>
        <v>0</v>
      </c>
      <c r="G685" s="1080" t="str">
        <f xml:space="preserve"> ConFin!G$666</f>
        <v>$ 000s</v>
      </c>
      <c r="H685" s="1080">
        <f xml:space="preserve"> ConFin!H$666</f>
        <v>86318.253106861201</v>
      </c>
      <c r="I685" s="1080">
        <f xml:space="preserve"> ConFin!I$666</f>
        <v>0</v>
      </c>
      <c r="J685" s="1080">
        <f xml:space="preserve"> ConFin!J$666</f>
        <v>38555.01232134179</v>
      </c>
      <c r="K685" s="1080">
        <f xml:space="preserve"> ConFin!K$666</f>
        <v>47763.240785519411</v>
      </c>
      <c r="L685" s="1080">
        <f xml:space="preserve"> ConFin!L$666</f>
        <v>0</v>
      </c>
      <c r="M685" s="1080">
        <f xml:space="preserve"> ConFin!M$666</f>
        <v>0</v>
      </c>
      <c r="N685" s="1080">
        <f xml:space="preserve"> ConFin!N$666</f>
        <v>0</v>
      </c>
      <c r="O685" s="1080">
        <f xml:space="preserve"> ConFin!O$666</f>
        <v>0</v>
      </c>
      <c r="P685" s="1080">
        <f xml:space="preserve"> ConFin!P$666</f>
        <v>0</v>
      </c>
      <c r="Q685" s="1080">
        <f xml:space="preserve"> ConFin!Q$666</f>
        <v>0</v>
      </c>
      <c r="R685" s="1080">
        <f xml:space="preserve"> ConFin!R$666</f>
        <v>0</v>
      </c>
      <c r="S685" s="1080">
        <f xml:space="preserve"> ConFin!S$666</f>
        <v>0</v>
      </c>
      <c r="T685" s="1080">
        <f xml:space="preserve"> ConFin!T$666</f>
        <v>0</v>
      </c>
      <c r="U685" s="1080">
        <f xml:space="preserve"> ConFin!U$666</f>
        <v>0</v>
      </c>
      <c r="V685" s="1080">
        <f xml:space="preserve"> ConFin!V$666</f>
        <v>0</v>
      </c>
      <c r="W685" s="1080">
        <f xml:space="preserve"> ConFin!W$666</f>
        <v>0</v>
      </c>
      <c r="X685" s="1080">
        <f xml:space="preserve"> ConFin!X$666</f>
        <v>0</v>
      </c>
      <c r="Y685" s="1080">
        <f xml:space="preserve"> ConFin!Y$666</f>
        <v>0</v>
      </c>
      <c r="Z685" s="1080">
        <f xml:space="preserve"> ConFin!Z$666</f>
        <v>0</v>
      </c>
      <c r="AA685" s="1080">
        <f xml:space="preserve"> ConFin!AA$666</f>
        <v>0</v>
      </c>
      <c r="AB685" s="1080">
        <f xml:space="preserve"> ConFin!AB$666</f>
        <v>0</v>
      </c>
      <c r="AC685" s="1080">
        <f xml:space="preserve"> ConFin!AC$666</f>
        <v>0</v>
      </c>
      <c r="AD685" s="1080">
        <f xml:space="preserve"> ConFin!AD$666</f>
        <v>0</v>
      </c>
      <c r="AE685" s="1080">
        <f xml:space="preserve"> ConFin!AE$666</f>
        <v>0</v>
      </c>
      <c r="AF685" s="1080">
        <f xml:space="preserve"> ConFin!AF$666</f>
        <v>0</v>
      </c>
      <c r="AG685" s="1080">
        <f xml:space="preserve"> ConFin!AG$666</f>
        <v>0</v>
      </c>
      <c r="AH685" s="1080">
        <f xml:space="preserve"> ConFin!AH$666</f>
        <v>0</v>
      </c>
      <c r="AI685" s="1080">
        <f xml:space="preserve"> ConFin!AI$666</f>
        <v>0</v>
      </c>
      <c r="AJ685" s="1080">
        <f xml:space="preserve"> ConFin!AJ$666</f>
        <v>0</v>
      </c>
      <c r="AK685" s="1080">
        <f xml:space="preserve"> ConFin!AK$666</f>
        <v>0</v>
      </c>
      <c r="AL685" s="1080">
        <f xml:space="preserve"> ConFin!AL$666</f>
        <v>0</v>
      </c>
      <c r="AM685" s="1080">
        <f xml:space="preserve"> ConFin!AM$666</f>
        <v>0</v>
      </c>
      <c r="AN685" s="1080">
        <f xml:space="preserve"> ConFin!AN$666</f>
        <v>0</v>
      </c>
      <c r="AO685" s="1080">
        <f xml:space="preserve"> ConFin!AO$666</f>
        <v>0</v>
      </c>
      <c r="AP685" s="1080">
        <f xml:space="preserve"> ConFin!AP$666</f>
        <v>0</v>
      </c>
      <c r="AQ685" s="1080">
        <f xml:space="preserve"> ConFin!AQ$666</f>
        <v>0</v>
      </c>
      <c r="AR685" s="1080">
        <f xml:space="preserve"> ConFin!AR$666</f>
        <v>0</v>
      </c>
      <c r="AS685" s="1080">
        <f xml:space="preserve"> ConFin!AS$666</f>
        <v>0</v>
      </c>
      <c r="AT685" s="1080">
        <f xml:space="preserve"> ConFin!AT$666</f>
        <v>0</v>
      </c>
      <c r="AU685" s="1080">
        <f xml:space="preserve"> ConFin!AU$666</f>
        <v>0</v>
      </c>
      <c r="AV685" s="1080">
        <f xml:space="preserve"> ConFin!AV$666</f>
        <v>0</v>
      </c>
      <c r="AW685" s="1080">
        <f xml:space="preserve"> ConFin!AW$666</f>
        <v>0</v>
      </c>
      <c r="AX685" s="1080">
        <f xml:space="preserve"> ConFin!AX$666</f>
        <v>0</v>
      </c>
      <c r="AY685" s="1080">
        <f xml:space="preserve"> ConFin!AY$666</f>
        <v>0</v>
      </c>
      <c r="AZ685" s="1080">
        <f xml:space="preserve"> ConFin!AZ$666</f>
        <v>0</v>
      </c>
      <c r="BA685" s="1080">
        <f xml:space="preserve"> ConFin!BA$666</f>
        <v>0</v>
      </c>
      <c r="BB685" s="1080">
        <f xml:space="preserve"> ConFin!BB$666</f>
        <v>0</v>
      </c>
      <c r="BC685" s="1080">
        <f xml:space="preserve"> ConFin!BC$666</f>
        <v>0</v>
      </c>
      <c r="BD685" s="1080">
        <f xml:space="preserve"> ConFin!BD$666</f>
        <v>0</v>
      </c>
      <c r="BE685" s="1080">
        <f xml:space="preserve"> ConFin!BE$666</f>
        <v>0</v>
      </c>
      <c r="BF685" s="1080">
        <f xml:space="preserve"> ConFin!BF$666</f>
        <v>0</v>
      </c>
      <c r="BG685" s="1080">
        <f xml:space="preserve"> ConFin!BG$666</f>
        <v>0</v>
      </c>
      <c r="BH685" s="1080">
        <f xml:space="preserve"> ConFin!BH$666</f>
        <v>0</v>
      </c>
      <c r="BI685" s="1080">
        <f xml:space="preserve"> ConFin!BI$666</f>
        <v>0</v>
      </c>
      <c r="BJ685" s="1080">
        <f xml:space="preserve"> ConFin!BJ$666</f>
        <v>0</v>
      </c>
      <c r="BK685" s="1080">
        <f xml:space="preserve"> ConFin!BK$666</f>
        <v>0</v>
      </c>
      <c r="BL685" s="1080">
        <f xml:space="preserve"> ConFin!BL$666</f>
        <v>0</v>
      </c>
      <c r="BM685" s="1080">
        <f xml:space="preserve"> ConFin!BM$666</f>
        <v>0</v>
      </c>
      <c r="BN685" s="1080">
        <f xml:space="preserve"> ConFin!BN$666</f>
        <v>0</v>
      </c>
      <c r="BO685" s="1080">
        <f xml:space="preserve"> ConFin!BO$666</f>
        <v>0</v>
      </c>
      <c r="BP685" s="1080">
        <f xml:space="preserve"> ConFin!BP$666</f>
        <v>0</v>
      </c>
      <c r="BQ685" s="1080">
        <f xml:space="preserve"> ConFin!BQ$666</f>
        <v>0</v>
      </c>
      <c r="BR685" s="1080">
        <f xml:space="preserve"> ConFin!BR$666</f>
        <v>0</v>
      </c>
      <c r="BS685" s="1080">
        <f xml:space="preserve"> ConFin!BS$666</f>
        <v>0</v>
      </c>
      <c r="BT685" s="1080">
        <f xml:space="preserve"> ConFin!BT$666</f>
        <v>0</v>
      </c>
      <c r="BU685" s="1080">
        <f xml:space="preserve"> ConFin!BU$666</f>
        <v>0</v>
      </c>
      <c r="BV685" s="1080">
        <f xml:space="preserve"> ConFin!BV$666</f>
        <v>0</v>
      </c>
      <c r="BW685" s="1080">
        <f xml:space="preserve"> ConFin!BW$666</f>
        <v>0</v>
      </c>
      <c r="BX685" s="1080">
        <f xml:space="preserve"> ConFin!BX$666</f>
        <v>0</v>
      </c>
      <c r="BY685" s="1080">
        <f xml:space="preserve"> ConFin!BY$666</f>
        <v>0</v>
      </c>
      <c r="BZ685" s="1080">
        <f xml:space="preserve"> ConFin!BZ$666</f>
        <v>0</v>
      </c>
      <c r="CA685" s="1080">
        <f xml:space="preserve"> ConFin!CA$666</f>
        <v>0</v>
      </c>
      <c r="CB685" s="1080">
        <f xml:space="preserve"> ConFin!CB$666</f>
        <v>0</v>
      </c>
      <c r="CC685" s="1080">
        <f xml:space="preserve"> ConFin!CC$666</f>
        <v>0</v>
      </c>
      <c r="CD685" s="1080">
        <f xml:space="preserve"> ConFin!CD$666</f>
        <v>0</v>
      </c>
      <c r="CE685" s="1080">
        <f xml:space="preserve"> ConFin!CE$666</f>
        <v>0</v>
      </c>
      <c r="CF685" s="1080">
        <f xml:space="preserve"> ConFin!CF$666</f>
        <v>0</v>
      </c>
      <c r="CG685" s="1080">
        <f xml:space="preserve"> ConFin!CG$666</f>
        <v>0</v>
      </c>
      <c r="CH685" s="1080">
        <f xml:space="preserve"> ConFin!CH$666</f>
        <v>0</v>
      </c>
      <c r="CI685" s="1080">
        <f xml:space="preserve"> ConFin!CI$666</f>
        <v>0</v>
      </c>
      <c r="CJ685" s="1080">
        <f xml:space="preserve"> ConFin!CJ$666</f>
        <v>0</v>
      </c>
      <c r="CK685" s="1080">
        <f xml:space="preserve"> ConFin!CK$666</f>
        <v>0</v>
      </c>
      <c r="CL685" s="1080">
        <f xml:space="preserve"> ConFin!CL$666</f>
        <v>0</v>
      </c>
      <c r="CM685" s="1080">
        <f xml:space="preserve"> ConFin!CM$666</f>
        <v>0</v>
      </c>
      <c r="CN685" s="1080">
        <f xml:space="preserve"> ConFin!CN$666</f>
        <v>0</v>
      </c>
      <c r="CO685" s="1080">
        <f xml:space="preserve"> ConFin!CO$666</f>
        <v>0</v>
      </c>
      <c r="CP685" s="1080">
        <f xml:space="preserve"> ConFin!CP$666</f>
        <v>0</v>
      </c>
      <c r="CQ685" s="1080">
        <f xml:space="preserve"> ConFin!CQ$666</f>
        <v>0</v>
      </c>
      <c r="CR685" s="1080">
        <f xml:space="preserve"> ConFin!CR$666</f>
        <v>0</v>
      </c>
      <c r="CS685" s="1080">
        <f xml:space="preserve"> ConFin!CS$666</f>
        <v>0</v>
      </c>
      <c r="CT685" s="1080">
        <f xml:space="preserve"> ConFin!CT$666</f>
        <v>0</v>
      </c>
      <c r="CU685" s="1080">
        <f xml:space="preserve"> ConFin!CU$666</f>
        <v>0</v>
      </c>
      <c r="CV685" s="1080">
        <f xml:space="preserve"> ConFin!CV$666</f>
        <v>0</v>
      </c>
    </row>
    <row r="686" spans="1:100" s="767" customFormat="1" ht="13.15" customHeight="1" outlineLevel="2" x14ac:dyDescent="0.2">
      <c r="A686" s="762"/>
      <c r="B686" s="762"/>
      <c r="C686" s="762"/>
      <c r="D686" s="762"/>
      <c r="E686" s="1080" t="str">
        <f xml:space="preserve"> ConFin!E$671</f>
        <v>Equity bridge interest and fees rolled up</v>
      </c>
      <c r="F686" s="1080">
        <f xml:space="preserve"> ConFin!F$671</f>
        <v>0</v>
      </c>
      <c r="G686" s="1080" t="str">
        <f xml:space="preserve"> ConFin!G$671</f>
        <v>$ 000s</v>
      </c>
      <c r="H686" s="1080">
        <f xml:space="preserve"> ConFin!H$671</f>
        <v>0</v>
      </c>
      <c r="I686" s="1080">
        <f xml:space="preserve"> ConFin!I$671</f>
        <v>0</v>
      </c>
      <c r="J686" s="1080">
        <f xml:space="preserve"> ConFin!J$671</f>
        <v>0</v>
      </c>
      <c r="K686" s="1080">
        <f xml:space="preserve"> ConFin!K$671</f>
        <v>0</v>
      </c>
      <c r="L686" s="1080">
        <f xml:space="preserve"> ConFin!L$671</f>
        <v>0</v>
      </c>
      <c r="M686" s="1080">
        <f xml:space="preserve"> ConFin!M$671</f>
        <v>0</v>
      </c>
      <c r="N686" s="1080">
        <f xml:space="preserve"> ConFin!N$671</f>
        <v>0</v>
      </c>
      <c r="O686" s="1080">
        <f xml:space="preserve"> ConFin!O$671</f>
        <v>0</v>
      </c>
      <c r="P686" s="1080">
        <f xml:space="preserve"> ConFin!P$671</f>
        <v>0</v>
      </c>
      <c r="Q686" s="1080">
        <f xml:space="preserve"> ConFin!Q$671</f>
        <v>0</v>
      </c>
      <c r="R686" s="1080">
        <f xml:space="preserve"> ConFin!R$671</f>
        <v>0</v>
      </c>
      <c r="S686" s="1080">
        <f xml:space="preserve"> ConFin!S$671</f>
        <v>0</v>
      </c>
      <c r="T686" s="1080">
        <f xml:space="preserve"> ConFin!T$671</f>
        <v>0</v>
      </c>
      <c r="U686" s="1080">
        <f xml:space="preserve"> ConFin!U$671</f>
        <v>0</v>
      </c>
      <c r="V686" s="1080">
        <f xml:space="preserve"> ConFin!V$671</f>
        <v>0</v>
      </c>
      <c r="W686" s="1080">
        <f xml:space="preserve"> ConFin!W$671</f>
        <v>0</v>
      </c>
      <c r="X686" s="1080">
        <f xml:space="preserve"> ConFin!X$671</f>
        <v>0</v>
      </c>
      <c r="Y686" s="1080">
        <f xml:space="preserve"> ConFin!Y$671</f>
        <v>0</v>
      </c>
      <c r="Z686" s="1080">
        <f xml:space="preserve"> ConFin!Z$671</f>
        <v>0</v>
      </c>
      <c r="AA686" s="1080">
        <f xml:space="preserve"> ConFin!AA$671</f>
        <v>0</v>
      </c>
      <c r="AB686" s="1080">
        <f xml:space="preserve"> ConFin!AB$671</f>
        <v>0</v>
      </c>
      <c r="AC686" s="1080">
        <f xml:space="preserve"> ConFin!AC$671</f>
        <v>0</v>
      </c>
      <c r="AD686" s="1080">
        <f xml:space="preserve"> ConFin!AD$671</f>
        <v>0</v>
      </c>
      <c r="AE686" s="1080">
        <f xml:space="preserve"> ConFin!AE$671</f>
        <v>0</v>
      </c>
      <c r="AF686" s="1080">
        <f xml:space="preserve"> ConFin!AF$671</f>
        <v>0</v>
      </c>
      <c r="AG686" s="1080">
        <f xml:space="preserve"> ConFin!AG$671</f>
        <v>0</v>
      </c>
      <c r="AH686" s="1080">
        <f xml:space="preserve"> ConFin!AH$671</f>
        <v>0</v>
      </c>
      <c r="AI686" s="1080">
        <f xml:space="preserve"> ConFin!AI$671</f>
        <v>0</v>
      </c>
      <c r="AJ686" s="1080">
        <f xml:space="preserve"> ConFin!AJ$671</f>
        <v>0</v>
      </c>
      <c r="AK686" s="1080">
        <f xml:space="preserve"> ConFin!AK$671</f>
        <v>0</v>
      </c>
      <c r="AL686" s="1080">
        <f xml:space="preserve"> ConFin!AL$671</f>
        <v>0</v>
      </c>
      <c r="AM686" s="1080">
        <f xml:space="preserve"> ConFin!AM$671</f>
        <v>0</v>
      </c>
      <c r="AN686" s="1080">
        <f xml:space="preserve"> ConFin!AN$671</f>
        <v>0</v>
      </c>
      <c r="AO686" s="1080">
        <f xml:space="preserve"> ConFin!AO$671</f>
        <v>0</v>
      </c>
      <c r="AP686" s="1080">
        <f xml:space="preserve"> ConFin!AP$671</f>
        <v>0</v>
      </c>
      <c r="AQ686" s="1080">
        <f xml:space="preserve"> ConFin!AQ$671</f>
        <v>0</v>
      </c>
      <c r="AR686" s="1080">
        <f xml:space="preserve"> ConFin!AR$671</f>
        <v>0</v>
      </c>
      <c r="AS686" s="1080">
        <f xml:space="preserve"> ConFin!AS$671</f>
        <v>0</v>
      </c>
      <c r="AT686" s="1080">
        <f xml:space="preserve"> ConFin!AT$671</f>
        <v>0</v>
      </c>
      <c r="AU686" s="1080">
        <f xml:space="preserve"> ConFin!AU$671</f>
        <v>0</v>
      </c>
      <c r="AV686" s="1080">
        <f xml:space="preserve"> ConFin!AV$671</f>
        <v>0</v>
      </c>
      <c r="AW686" s="1080">
        <f xml:space="preserve"> ConFin!AW$671</f>
        <v>0</v>
      </c>
      <c r="AX686" s="1080">
        <f xml:space="preserve"> ConFin!AX$671</f>
        <v>0</v>
      </c>
      <c r="AY686" s="1080">
        <f xml:space="preserve"> ConFin!AY$671</f>
        <v>0</v>
      </c>
      <c r="AZ686" s="1080">
        <f xml:space="preserve"> ConFin!AZ$671</f>
        <v>0</v>
      </c>
      <c r="BA686" s="1080">
        <f xml:space="preserve"> ConFin!BA$671</f>
        <v>0</v>
      </c>
      <c r="BB686" s="1080">
        <f xml:space="preserve"> ConFin!BB$671</f>
        <v>0</v>
      </c>
      <c r="BC686" s="1080">
        <f xml:space="preserve"> ConFin!BC$671</f>
        <v>0</v>
      </c>
      <c r="BD686" s="1080">
        <f xml:space="preserve"> ConFin!BD$671</f>
        <v>0</v>
      </c>
      <c r="BE686" s="1080">
        <f xml:space="preserve"> ConFin!BE$671</f>
        <v>0</v>
      </c>
      <c r="BF686" s="1080">
        <f xml:space="preserve"> ConFin!BF$671</f>
        <v>0</v>
      </c>
      <c r="BG686" s="1080">
        <f xml:space="preserve"> ConFin!BG$671</f>
        <v>0</v>
      </c>
      <c r="BH686" s="1080">
        <f xml:space="preserve"> ConFin!BH$671</f>
        <v>0</v>
      </c>
      <c r="BI686" s="1080">
        <f xml:space="preserve"> ConFin!BI$671</f>
        <v>0</v>
      </c>
      <c r="BJ686" s="1080">
        <f xml:space="preserve"> ConFin!BJ$671</f>
        <v>0</v>
      </c>
      <c r="BK686" s="1080">
        <f xml:space="preserve"> ConFin!BK$671</f>
        <v>0</v>
      </c>
      <c r="BL686" s="1080">
        <f xml:space="preserve"> ConFin!BL$671</f>
        <v>0</v>
      </c>
      <c r="BM686" s="1080">
        <f xml:space="preserve"> ConFin!BM$671</f>
        <v>0</v>
      </c>
      <c r="BN686" s="1080">
        <f xml:space="preserve"> ConFin!BN$671</f>
        <v>0</v>
      </c>
      <c r="BO686" s="1080">
        <f xml:space="preserve"> ConFin!BO$671</f>
        <v>0</v>
      </c>
      <c r="BP686" s="1080">
        <f xml:space="preserve"> ConFin!BP$671</f>
        <v>0</v>
      </c>
      <c r="BQ686" s="1080">
        <f xml:space="preserve"> ConFin!BQ$671</f>
        <v>0</v>
      </c>
      <c r="BR686" s="1080">
        <f xml:space="preserve"> ConFin!BR$671</f>
        <v>0</v>
      </c>
      <c r="BS686" s="1080">
        <f xml:space="preserve"> ConFin!BS$671</f>
        <v>0</v>
      </c>
      <c r="BT686" s="1080">
        <f xml:space="preserve"> ConFin!BT$671</f>
        <v>0</v>
      </c>
      <c r="BU686" s="1080">
        <f xml:space="preserve"> ConFin!BU$671</f>
        <v>0</v>
      </c>
      <c r="BV686" s="1080">
        <f xml:space="preserve"> ConFin!BV$671</f>
        <v>0</v>
      </c>
      <c r="BW686" s="1080">
        <f xml:space="preserve"> ConFin!BW$671</f>
        <v>0</v>
      </c>
      <c r="BX686" s="1080">
        <f xml:space="preserve"> ConFin!BX$671</f>
        <v>0</v>
      </c>
      <c r="BY686" s="1080">
        <f xml:space="preserve"> ConFin!BY$671</f>
        <v>0</v>
      </c>
      <c r="BZ686" s="1080">
        <f xml:space="preserve"> ConFin!BZ$671</f>
        <v>0</v>
      </c>
      <c r="CA686" s="1080">
        <f xml:space="preserve"> ConFin!CA$671</f>
        <v>0</v>
      </c>
      <c r="CB686" s="1080">
        <f xml:space="preserve"> ConFin!CB$671</f>
        <v>0</v>
      </c>
      <c r="CC686" s="1080">
        <f xml:space="preserve"> ConFin!CC$671</f>
        <v>0</v>
      </c>
      <c r="CD686" s="1080">
        <f xml:space="preserve"> ConFin!CD$671</f>
        <v>0</v>
      </c>
      <c r="CE686" s="1080">
        <f xml:space="preserve"> ConFin!CE$671</f>
        <v>0</v>
      </c>
      <c r="CF686" s="1080">
        <f xml:space="preserve"> ConFin!CF$671</f>
        <v>0</v>
      </c>
      <c r="CG686" s="1080">
        <f xml:space="preserve"> ConFin!CG$671</f>
        <v>0</v>
      </c>
      <c r="CH686" s="1080">
        <f xml:space="preserve"> ConFin!CH$671</f>
        <v>0</v>
      </c>
      <c r="CI686" s="1080">
        <f xml:space="preserve"> ConFin!CI$671</f>
        <v>0</v>
      </c>
      <c r="CJ686" s="1080">
        <f xml:space="preserve"> ConFin!CJ$671</f>
        <v>0</v>
      </c>
      <c r="CK686" s="1080">
        <f xml:space="preserve"> ConFin!CK$671</f>
        <v>0</v>
      </c>
      <c r="CL686" s="1080">
        <f xml:space="preserve"> ConFin!CL$671</f>
        <v>0</v>
      </c>
      <c r="CM686" s="1080">
        <f xml:space="preserve"> ConFin!CM$671</f>
        <v>0</v>
      </c>
      <c r="CN686" s="1080">
        <f xml:space="preserve"> ConFin!CN$671</f>
        <v>0</v>
      </c>
      <c r="CO686" s="1080">
        <f xml:space="preserve"> ConFin!CO$671</f>
        <v>0</v>
      </c>
      <c r="CP686" s="1080">
        <f xml:space="preserve"> ConFin!CP$671</f>
        <v>0</v>
      </c>
      <c r="CQ686" s="1080">
        <f xml:space="preserve"> ConFin!CQ$671</f>
        <v>0</v>
      </c>
      <c r="CR686" s="1080">
        <f xml:space="preserve"> ConFin!CR$671</f>
        <v>0</v>
      </c>
      <c r="CS686" s="1080">
        <f xml:space="preserve"> ConFin!CS$671</f>
        <v>0</v>
      </c>
      <c r="CT686" s="1080">
        <f xml:space="preserve"> ConFin!CT$671</f>
        <v>0</v>
      </c>
      <c r="CU686" s="1080">
        <f xml:space="preserve"> ConFin!CU$671</f>
        <v>0</v>
      </c>
      <c r="CV686" s="1080">
        <f xml:space="preserve"> ConFin!CV$671</f>
        <v>0</v>
      </c>
    </row>
    <row r="687" spans="1:100" s="767" customFormat="1" ht="13.15" customHeight="1" outlineLevel="2" x14ac:dyDescent="0.2">
      <c r="A687" s="762"/>
      <c r="B687" s="762"/>
      <c r="C687" s="762"/>
      <c r="D687" s="776" t="s">
        <v>170</v>
      </c>
      <c r="E687" s="799" t="str">
        <f t="shared" ref="E687:AJ687" si="1076" xml:space="preserve"> E$680</f>
        <v>Equity bridge repayment POS</v>
      </c>
      <c r="F687" s="799">
        <f t="shared" si="1076"/>
        <v>0</v>
      </c>
      <c r="G687" s="799" t="str">
        <f t="shared" si="1076"/>
        <v>$ 000s</v>
      </c>
      <c r="H687" s="799">
        <f t="shared" si="1076"/>
        <v>86318.253106861201</v>
      </c>
      <c r="I687" s="799">
        <f t="shared" si="1076"/>
        <v>0</v>
      </c>
      <c r="J687" s="799">
        <f t="shared" si="1076"/>
        <v>0</v>
      </c>
      <c r="K687" s="799">
        <f t="shared" si="1076"/>
        <v>0</v>
      </c>
      <c r="L687" s="799">
        <f t="shared" si="1076"/>
        <v>0</v>
      </c>
      <c r="M687" s="799">
        <f t="shared" si="1076"/>
        <v>0</v>
      </c>
      <c r="N687" s="799">
        <f t="shared" si="1076"/>
        <v>86318.253106861201</v>
      </c>
      <c r="O687" s="799">
        <f t="shared" si="1076"/>
        <v>0</v>
      </c>
      <c r="P687" s="799">
        <f t="shared" si="1076"/>
        <v>0</v>
      </c>
      <c r="Q687" s="799">
        <f t="shared" si="1076"/>
        <v>0</v>
      </c>
      <c r="R687" s="799">
        <f t="shared" si="1076"/>
        <v>0</v>
      </c>
      <c r="S687" s="799">
        <f t="shared" si="1076"/>
        <v>0</v>
      </c>
      <c r="T687" s="799">
        <f t="shared" si="1076"/>
        <v>0</v>
      </c>
      <c r="U687" s="799">
        <f t="shared" si="1076"/>
        <v>0</v>
      </c>
      <c r="V687" s="799">
        <f t="shared" si="1076"/>
        <v>0</v>
      </c>
      <c r="W687" s="799">
        <f t="shared" si="1076"/>
        <v>0</v>
      </c>
      <c r="X687" s="799">
        <f t="shared" si="1076"/>
        <v>0</v>
      </c>
      <c r="Y687" s="799">
        <f t="shared" si="1076"/>
        <v>0</v>
      </c>
      <c r="Z687" s="799">
        <f t="shared" si="1076"/>
        <v>0</v>
      </c>
      <c r="AA687" s="799">
        <f t="shared" si="1076"/>
        <v>0</v>
      </c>
      <c r="AB687" s="799">
        <f t="shared" si="1076"/>
        <v>0</v>
      </c>
      <c r="AC687" s="799">
        <f t="shared" si="1076"/>
        <v>0</v>
      </c>
      <c r="AD687" s="799">
        <f t="shared" si="1076"/>
        <v>0</v>
      </c>
      <c r="AE687" s="799">
        <f t="shared" si="1076"/>
        <v>0</v>
      </c>
      <c r="AF687" s="799">
        <f t="shared" si="1076"/>
        <v>0</v>
      </c>
      <c r="AG687" s="799">
        <f t="shared" si="1076"/>
        <v>0</v>
      </c>
      <c r="AH687" s="799">
        <f t="shared" si="1076"/>
        <v>0</v>
      </c>
      <c r="AI687" s="799">
        <f t="shared" si="1076"/>
        <v>0</v>
      </c>
      <c r="AJ687" s="799">
        <f t="shared" si="1076"/>
        <v>0</v>
      </c>
      <c r="AK687" s="799">
        <f t="shared" ref="AK687:BP687" si="1077" xml:space="preserve"> AK$680</f>
        <v>0</v>
      </c>
      <c r="AL687" s="799">
        <f t="shared" si="1077"/>
        <v>0</v>
      </c>
      <c r="AM687" s="799">
        <f t="shared" si="1077"/>
        <v>0</v>
      </c>
      <c r="AN687" s="799">
        <f t="shared" si="1077"/>
        <v>0</v>
      </c>
      <c r="AO687" s="799">
        <f t="shared" si="1077"/>
        <v>0</v>
      </c>
      <c r="AP687" s="799">
        <f t="shared" si="1077"/>
        <v>0</v>
      </c>
      <c r="AQ687" s="799">
        <f t="shared" si="1077"/>
        <v>0</v>
      </c>
      <c r="AR687" s="799">
        <f t="shared" si="1077"/>
        <v>0</v>
      </c>
      <c r="AS687" s="799">
        <f t="shared" si="1077"/>
        <v>0</v>
      </c>
      <c r="AT687" s="799">
        <f t="shared" si="1077"/>
        <v>0</v>
      </c>
      <c r="AU687" s="799">
        <f t="shared" si="1077"/>
        <v>0</v>
      </c>
      <c r="AV687" s="799">
        <f t="shared" si="1077"/>
        <v>0</v>
      </c>
      <c r="AW687" s="799">
        <f t="shared" si="1077"/>
        <v>0</v>
      </c>
      <c r="AX687" s="799">
        <f t="shared" si="1077"/>
        <v>0</v>
      </c>
      <c r="AY687" s="799">
        <f t="shared" si="1077"/>
        <v>0</v>
      </c>
      <c r="AZ687" s="799">
        <f t="shared" si="1077"/>
        <v>0</v>
      </c>
      <c r="BA687" s="799">
        <f t="shared" si="1077"/>
        <v>0</v>
      </c>
      <c r="BB687" s="799">
        <f t="shared" si="1077"/>
        <v>0</v>
      </c>
      <c r="BC687" s="799">
        <f t="shared" si="1077"/>
        <v>0</v>
      </c>
      <c r="BD687" s="799">
        <f t="shared" si="1077"/>
        <v>0</v>
      </c>
      <c r="BE687" s="799">
        <f t="shared" si="1077"/>
        <v>0</v>
      </c>
      <c r="BF687" s="799">
        <f t="shared" si="1077"/>
        <v>0</v>
      </c>
      <c r="BG687" s="799">
        <f t="shared" si="1077"/>
        <v>0</v>
      </c>
      <c r="BH687" s="799">
        <f t="shared" si="1077"/>
        <v>0</v>
      </c>
      <c r="BI687" s="799">
        <f t="shared" si="1077"/>
        <v>0</v>
      </c>
      <c r="BJ687" s="799">
        <f t="shared" si="1077"/>
        <v>0</v>
      </c>
      <c r="BK687" s="799">
        <f t="shared" si="1077"/>
        <v>0</v>
      </c>
      <c r="BL687" s="799">
        <f t="shared" si="1077"/>
        <v>0</v>
      </c>
      <c r="BM687" s="799">
        <f t="shared" si="1077"/>
        <v>0</v>
      </c>
      <c r="BN687" s="799">
        <f t="shared" si="1077"/>
        <v>0</v>
      </c>
      <c r="BO687" s="799">
        <f t="shared" si="1077"/>
        <v>0</v>
      </c>
      <c r="BP687" s="799">
        <f t="shared" si="1077"/>
        <v>0</v>
      </c>
      <c r="BQ687" s="799">
        <f t="shared" ref="BQ687:CV687" si="1078" xml:space="preserve"> BQ$680</f>
        <v>0</v>
      </c>
      <c r="BR687" s="799">
        <f t="shared" si="1078"/>
        <v>0</v>
      </c>
      <c r="BS687" s="799">
        <f t="shared" si="1078"/>
        <v>0</v>
      </c>
      <c r="BT687" s="799">
        <f t="shared" si="1078"/>
        <v>0</v>
      </c>
      <c r="BU687" s="799">
        <f t="shared" si="1078"/>
        <v>0</v>
      </c>
      <c r="BV687" s="799">
        <f t="shared" si="1078"/>
        <v>0</v>
      </c>
      <c r="BW687" s="799">
        <f t="shared" si="1078"/>
        <v>0</v>
      </c>
      <c r="BX687" s="799">
        <f t="shared" si="1078"/>
        <v>0</v>
      </c>
      <c r="BY687" s="799">
        <f t="shared" si="1078"/>
        <v>0</v>
      </c>
      <c r="BZ687" s="799">
        <f t="shared" si="1078"/>
        <v>0</v>
      </c>
      <c r="CA687" s="799">
        <f t="shared" si="1078"/>
        <v>0</v>
      </c>
      <c r="CB687" s="799">
        <f t="shared" si="1078"/>
        <v>0</v>
      </c>
      <c r="CC687" s="799">
        <f t="shared" si="1078"/>
        <v>0</v>
      </c>
      <c r="CD687" s="799">
        <f t="shared" si="1078"/>
        <v>0</v>
      </c>
      <c r="CE687" s="799">
        <f t="shared" si="1078"/>
        <v>0</v>
      </c>
      <c r="CF687" s="799">
        <f t="shared" si="1078"/>
        <v>0</v>
      </c>
      <c r="CG687" s="799">
        <f t="shared" si="1078"/>
        <v>0</v>
      </c>
      <c r="CH687" s="799">
        <f t="shared" si="1078"/>
        <v>0</v>
      </c>
      <c r="CI687" s="799">
        <f t="shared" si="1078"/>
        <v>0</v>
      </c>
      <c r="CJ687" s="799">
        <f t="shared" si="1078"/>
        <v>0</v>
      </c>
      <c r="CK687" s="799">
        <f t="shared" si="1078"/>
        <v>0</v>
      </c>
      <c r="CL687" s="799">
        <f t="shared" si="1078"/>
        <v>0</v>
      </c>
      <c r="CM687" s="799">
        <f t="shared" si="1078"/>
        <v>0</v>
      </c>
      <c r="CN687" s="799">
        <f t="shared" si="1078"/>
        <v>0</v>
      </c>
      <c r="CO687" s="799">
        <f t="shared" si="1078"/>
        <v>0</v>
      </c>
      <c r="CP687" s="799">
        <f t="shared" si="1078"/>
        <v>0</v>
      </c>
      <c r="CQ687" s="799">
        <f t="shared" si="1078"/>
        <v>0</v>
      </c>
      <c r="CR687" s="799">
        <f t="shared" si="1078"/>
        <v>0</v>
      </c>
      <c r="CS687" s="799">
        <f t="shared" si="1078"/>
        <v>0</v>
      </c>
      <c r="CT687" s="799">
        <f t="shared" si="1078"/>
        <v>0</v>
      </c>
      <c r="CU687" s="799">
        <f t="shared" si="1078"/>
        <v>0</v>
      </c>
      <c r="CV687" s="799">
        <f t="shared" si="1078"/>
        <v>0</v>
      </c>
    </row>
    <row r="688" spans="1:100" s="805" customFormat="1" ht="13.15" customHeight="1" outlineLevel="2" x14ac:dyDescent="0.2">
      <c r="A688" s="810"/>
      <c r="B688" s="810"/>
      <c r="C688" s="810"/>
      <c r="D688" s="810"/>
      <c r="E688" s="811" t="s">
        <v>521</v>
      </c>
      <c r="F688" s="812"/>
      <c r="G688" s="811" t="str">
        <f>SMU</f>
        <v>$ 000s</v>
      </c>
      <c r="H688" s="812"/>
      <c r="I688" s="813"/>
      <c r="J688" s="811">
        <f t="shared" ref="J688:AO688" si="1079" xml:space="preserve"> J684 + J685 + J686 - J687</f>
        <v>38555.01232134179</v>
      </c>
      <c r="K688" s="811">
        <f t="shared" si="1079"/>
        <v>86318.253106861201</v>
      </c>
      <c r="L688" s="811">
        <f t="shared" si="1079"/>
        <v>86318.253106861201</v>
      </c>
      <c r="M688" s="811">
        <f t="shared" si="1079"/>
        <v>86318.253106861201</v>
      </c>
      <c r="N688" s="811">
        <f t="shared" si="1079"/>
        <v>0</v>
      </c>
      <c r="O688" s="811">
        <f t="shared" si="1079"/>
        <v>0</v>
      </c>
      <c r="P688" s="811">
        <f t="shared" si="1079"/>
        <v>0</v>
      </c>
      <c r="Q688" s="811">
        <f t="shared" si="1079"/>
        <v>0</v>
      </c>
      <c r="R688" s="811">
        <f t="shared" si="1079"/>
        <v>0</v>
      </c>
      <c r="S688" s="811">
        <f t="shared" si="1079"/>
        <v>0</v>
      </c>
      <c r="T688" s="811">
        <f t="shared" si="1079"/>
        <v>0</v>
      </c>
      <c r="U688" s="811">
        <f t="shared" si="1079"/>
        <v>0</v>
      </c>
      <c r="V688" s="811">
        <f t="shared" si="1079"/>
        <v>0</v>
      </c>
      <c r="W688" s="811">
        <f t="shared" si="1079"/>
        <v>0</v>
      </c>
      <c r="X688" s="811">
        <f t="shared" si="1079"/>
        <v>0</v>
      </c>
      <c r="Y688" s="811">
        <f t="shared" si="1079"/>
        <v>0</v>
      </c>
      <c r="Z688" s="811">
        <f t="shared" si="1079"/>
        <v>0</v>
      </c>
      <c r="AA688" s="811">
        <f t="shared" si="1079"/>
        <v>0</v>
      </c>
      <c r="AB688" s="811">
        <f t="shared" si="1079"/>
        <v>0</v>
      </c>
      <c r="AC688" s="811">
        <f t="shared" si="1079"/>
        <v>0</v>
      </c>
      <c r="AD688" s="811">
        <f t="shared" si="1079"/>
        <v>0</v>
      </c>
      <c r="AE688" s="811">
        <f t="shared" si="1079"/>
        <v>0</v>
      </c>
      <c r="AF688" s="811">
        <f t="shared" si="1079"/>
        <v>0</v>
      </c>
      <c r="AG688" s="811">
        <f t="shared" si="1079"/>
        <v>0</v>
      </c>
      <c r="AH688" s="811">
        <f t="shared" si="1079"/>
        <v>0</v>
      </c>
      <c r="AI688" s="811">
        <f t="shared" si="1079"/>
        <v>0</v>
      </c>
      <c r="AJ688" s="811">
        <f t="shared" si="1079"/>
        <v>0</v>
      </c>
      <c r="AK688" s="811">
        <f t="shared" si="1079"/>
        <v>0</v>
      </c>
      <c r="AL688" s="811">
        <f t="shared" si="1079"/>
        <v>0</v>
      </c>
      <c r="AM688" s="811">
        <f t="shared" si="1079"/>
        <v>0</v>
      </c>
      <c r="AN688" s="811">
        <f t="shared" si="1079"/>
        <v>0</v>
      </c>
      <c r="AO688" s="811">
        <f t="shared" si="1079"/>
        <v>0</v>
      </c>
      <c r="AP688" s="811">
        <f t="shared" ref="AP688:BU688" si="1080" xml:space="preserve"> AP684 + AP685 + AP686 - AP687</f>
        <v>0</v>
      </c>
      <c r="AQ688" s="811">
        <f t="shared" si="1080"/>
        <v>0</v>
      </c>
      <c r="AR688" s="811">
        <f t="shared" si="1080"/>
        <v>0</v>
      </c>
      <c r="AS688" s="811">
        <f t="shared" si="1080"/>
        <v>0</v>
      </c>
      <c r="AT688" s="811">
        <f t="shared" si="1080"/>
        <v>0</v>
      </c>
      <c r="AU688" s="811">
        <f t="shared" si="1080"/>
        <v>0</v>
      </c>
      <c r="AV688" s="811">
        <f t="shared" si="1080"/>
        <v>0</v>
      </c>
      <c r="AW688" s="811">
        <f t="shared" si="1080"/>
        <v>0</v>
      </c>
      <c r="AX688" s="811">
        <f t="shared" si="1080"/>
        <v>0</v>
      </c>
      <c r="AY688" s="811">
        <f t="shared" si="1080"/>
        <v>0</v>
      </c>
      <c r="AZ688" s="811">
        <f t="shared" si="1080"/>
        <v>0</v>
      </c>
      <c r="BA688" s="811">
        <f t="shared" si="1080"/>
        <v>0</v>
      </c>
      <c r="BB688" s="811">
        <f t="shared" si="1080"/>
        <v>0</v>
      </c>
      <c r="BC688" s="811">
        <f t="shared" si="1080"/>
        <v>0</v>
      </c>
      <c r="BD688" s="811">
        <f t="shared" si="1080"/>
        <v>0</v>
      </c>
      <c r="BE688" s="811">
        <f t="shared" si="1080"/>
        <v>0</v>
      </c>
      <c r="BF688" s="811">
        <f t="shared" si="1080"/>
        <v>0</v>
      </c>
      <c r="BG688" s="811">
        <f t="shared" si="1080"/>
        <v>0</v>
      </c>
      <c r="BH688" s="811">
        <f t="shared" si="1080"/>
        <v>0</v>
      </c>
      <c r="BI688" s="811">
        <f t="shared" si="1080"/>
        <v>0</v>
      </c>
      <c r="BJ688" s="811">
        <f t="shared" si="1080"/>
        <v>0</v>
      </c>
      <c r="BK688" s="811">
        <f t="shared" si="1080"/>
        <v>0</v>
      </c>
      <c r="BL688" s="811">
        <f t="shared" si="1080"/>
        <v>0</v>
      </c>
      <c r="BM688" s="811">
        <f t="shared" si="1080"/>
        <v>0</v>
      </c>
      <c r="BN688" s="811">
        <f t="shared" si="1080"/>
        <v>0</v>
      </c>
      <c r="BO688" s="811">
        <f t="shared" si="1080"/>
        <v>0</v>
      </c>
      <c r="BP688" s="811">
        <f t="shared" si="1080"/>
        <v>0</v>
      </c>
      <c r="BQ688" s="811">
        <f t="shared" si="1080"/>
        <v>0</v>
      </c>
      <c r="BR688" s="811">
        <f t="shared" si="1080"/>
        <v>0</v>
      </c>
      <c r="BS688" s="811">
        <f t="shared" si="1080"/>
        <v>0</v>
      </c>
      <c r="BT688" s="811">
        <f t="shared" si="1080"/>
        <v>0</v>
      </c>
      <c r="BU688" s="811">
        <f t="shared" si="1080"/>
        <v>0</v>
      </c>
      <c r="BV688" s="811">
        <f t="shared" ref="BV688:CV688" si="1081" xml:space="preserve"> BV684 + BV685 + BV686 - BV687</f>
        <v>0</v>
      </c>
      <c r="BW688" s="811">
        <f t="shared" si="1081"/>
        <v>0</v>
      </c>
      <c r="BX688" s="811">
        <f t="shared" si="1081"/>
        <v>0</v>
      </c>
      <c r="BY688" s="811">
        <f t="shared" si="1081"/>
        <v>0</v>
      </c>
      <c r="BZ688" s="811">
        <f t="shared" si="1081"/>
        <v>0</v>
      </c>
      <c r="CA688" s="811">
        <f t="shared" si="1081"/>
        <v>0</v>
      </c>
      <c r="CB688" s="811">
        <f t="shared" si="1081"/>
        <v>0</v>
      </c>
      <c r="CC688" s="811">
        <f t="shared" si="1081"/>
        <v>0</v>
      </c>
      <c r="CD688" s="811">
        <f t="shared" si="1081"/>
        <v>0</v>
      </c>
      <c r="CE688" s="811">
        <f t="shared" si="1081"/>
        <v>0</v>
      </c>
      <c r="CF688" s="811">
        <f t="shared" si="1081"/>
        <v>0</v>
      </c>
      <c r="CG688" s="811">
        <f t="shared" si="1081"/>
        <v>0</v>
      </c>
      <c r="CH688" s="811">
        <f t="shared" si="1081"/>
        <v>0</v>
      </c>
      <c r="CI688" s="811">
        <f t="shared" si="1081"/>
        <v>0</v>
      </c>
      <c r="CJ688" s="811">
        <f t="shared" si="1081"/>
        <v>0</v>
      </c>
      <c r="CK688" s="811">
        <f t="shared" si="1081"/>
        <v>0</v>
      </c>
      <c r="CL688" s="811">
        <f t="shared" si="1081"/>
        <v>0</v>
      </c>
      <c r="CM688" s="811">
        <f t="shared" si="1081"/>
        <v>0</v>
      </c>
      <c r="CN688" s="811">
        <f t="shared" si="1081"/>
        <v>0</v>
      </c>
      <c r="CO688" s="811">
        <f t="shared" si="1081"/>
        <v>0</v>
      </c>
      <c r="CP688" s="811">
        <f t="shared" si="1081"/>
        <v>0</v>
      </c>
      <c r="CQ688" s="811">
        <f t="shared" si="1081"/>
        <v>0</v>
      </c>
      <c r="CR688" s="811">
        <f t="shared" si="1081"/>
        <v>0</v>
      </c>
      <c r="CS688" s="811">
        <f t="shared" si="1081"/>
        <v>0</v>
      </c>
      <c r="CT688" s="811">
        <f t="shared" si="1081"/>
        <v>0</v>
      </c>
      <c r="CU688" s="811">
        <f t="shared" si="1081"/>
        <v>0</v>
      </c>
      <c r="CV688" s="811">
        <f t="shared" si="1081"/>
        <v>0</v>
      </c>
    </row>
    <row r="689" spans="1:100" s="734" customFormat="1" ht="13.15" customHeight="1" outlineLevel="1" x14ac:dyDescent="0.2">
      <c r="A689" s="732"/>
      <c r="B689" s="732"/>
      <c r="C689" s="732"/>
      <c r="D689" s="732"/>
      <c r="E689" s="114"/>
      <c r="F689" s="114"/>
      <c r="G689" s="114"/>
      <c r="H689" s="114"/>
      <c r="I689" s="114"/>
      <c r="J689" s="114"/>
      <c r="K689" s="114"/>
      <c r="L689" s="114"/>
      <c r="M689" s="114"/>
      <c r="N689" s="114"/>
      <c r="O689" s="114"/>
      <c r="P689" s="114"/>
      <c r="Q689" s="114"/>
      <c r="R689" s="114"/>
      <c r="S689" s="114"/>
      <c r="T689" s="114"/>
      <c r="U689" s="114"/>
      <c r="V689" s="114"/>
      <c r="W689" s="114"/>
      <c r="X689" s="114"/>
      <c r="Y689" s="114"/>
      <c r="Z689" s="114"/>
      <c r="AA689" s="114"/>
      <c r="AB689" s="114"/>
      <c r="AC689" s="114"/>
      <c r="AD689" s="114"/>
      <c r="AE689" s="114"/>
      <c r="AF689" s="114"/>
      <c r="AG689" s="114"/>
      <c r="AH689" s="114"/>
      <c r="AI689" s="114"/>
      <c r="AJ689" s="114"/>
      <c r="AK689" s="114"/>
      <c r="AL689" s="114"/>
      <c r="AM689" s="114"/>
      <c r="AN689" s="114"/>
      <c r="AO689" s="114"/>
      <c r="AP689" s="114"/>
      <c r="AQ689" s="114"/>
      <c r="AR689" s="114"/>
      <c r="AS689" s="114"/>
      <c r="AT689" s="114"/>
      <c r="AU689" s="114"/>
      <c r="AV689" s="114"/>
      <c r="AW689" s="114"/>
      <c r="AX689" s="114"/>
      <c r="AY689" s="114"/>
      <c r="AZ689" s="114"/>
      <c r="BA689" s="114"/>
      <c r="BB689" s="114"/>
      <c r="BC689" s="114"/>
      <c r="BD689" s="114"/>
      <c r="BE689" s="114"/>
      <c r="BF689" s="114"/>
      <c r="BG689" s="114"/>
      <c r="BH689" s="114"/>
      <c r="BI689" s="114"/>
      <c r="BJ689" s="114"/>
      <c r="BK689" s="114"/>
      <c r="BL689" s="114"/>
      <c r="BM689" s="114"/>
      <c r="BN689" s="114"/>
      <c r="BO689" s="114"/>
      <c r="BP689" s="114"/>
      <c r="BQ689" s="114"/>
      <c r="BR689" s="114"/>
      <c r="BS689" s="114"/>
      <c r="BT689" s="114"/>
      <c r="BU689" s="114"/>
      <c r="BV689" s="114"/>
      <c r="BW689" s="114"/>
      <c r="BX689" s="114"/>
      <c r="BY689" s="114"/>
      <c r="BZ689" s="114"/>
      <c r="CA689" s="114"/>
      <c r="CB689" s="114"/>
      <c r="CC689" s="114"/>
      <c r="CD689" s="114"/>
      <c r="CE689" s="114"/>
      <c r="CF689" s="114"/>
      <c r="CG689" s="114"/>
      <c r="CH689" s="114"/>
      <c r="CI689" s="114"/>
      <c r="CJ689" s="114"/>
      <c r="CK689" s="114"/>
      <c r="CL689" s="114"/>
      <c r="CM689" s="114"/>
      <c r="CN689" s="114"/>
      <c r="CO689" s="114"/>
      <c r="CP689" s="114"/>
      <c r="CQ689" s="114"/>
      <c r="CR689" s="114"/>
      <c r="CS689" s="114"/>
      <c r="CT689" s="114"/>
      <c r="CU689" s="114"/>
      <c r="CV689" s="114"/>
    </row>
    <row r="690" spans="1:100" s="734" customFormat="1" ht="13.15" customHeight="1" outlineLevel="1" x14ac:dyDescent="0.2">
      <c r="A690" s="732"/>
      <c r="B690" s="763" t="s">
        <v>522</v>
      </c>
      <c r="C690" s="732"/>
      <c r="D690" s="732"/>
      <c r="E690" s="114"/>
      <c r="F690" s="114"/>
      <c r="G690" s="114"/>
      <c r="H690" s="114"/>
      <c r="I690" s="114"/>
      <c r="J690" s="114"/>
      <c r="K690" s="114"/>
      <c r="L690" s="114"/>
      <c r="M690" s="114"/>
      <c r="N690" s="114"/>
      <c r="O690" s="114"/>
      <c r="P690" s="114"/>
      <c r="Q690" s="114"/>
      <c r="R690" s="114"/>
      <c r="S690" s="114"/>
      <c r="T690" s="114"/>
      <c r="U690" s="114"/>
      <c r="V690" s="114"/>
      <c r="W690" s="114"/>
      <c r="X690" s="114"/>
      <c r="Y690" s="114"/>
      <c r="Z690" s="114"/>
      <c r="AA690" s="114"/>
      <c r="AB690" s="114"/>
      <c r="AC690" s="114"/>
      <c r="AD690" s="114"/>
      <c r="AE690" s="114"/>
      <c r="AF690" s="114"/>
      <c r="AG690" s="114"/>
      <c r="AH690" s="114"/>
      <c r="AI690" s="114"/>
      <c r="AJ690" s="114"/>
      <c r="AK690" s="114"/>
      <c r="AL690" s="114"/>
      <c r="AM690" s="114"/>
      <c r="AN690" s="114"/>
      <c r="AO690" s="114"/>
      <c r="AP690" s="114"/>
      <c r="AQ690" s="114"/>
      <c r="AR690" s="114"/>
      <c r="AS690" s="114"/>
      <c r="AT690" s="114"/>
      <c r="AU690" s="114"/>
      <c r="AV690" s="114"/>
      <c r="AW690" s="114"/>
      <c r="AX690" s="114"/>
      <c r="AY690" s="114"/>
      <c r="AZ690" s="114"/>
      <c r="BA690" s="114"/>
      <c r="BB690" s="114"/>
      <c r="BC690" s="114"/>
      <c r="BD690" s="114"/>
      <c r="BE690" s="114"/>
      <c r="BF690" s="114"/>
      <c r="BG690" s="114"/>
      <c r="BH690" s="114"/>
      <c r="BI690" s="114"/>
      <c r="BJ690" s="114"/>
      <c r="BK690" s="114"/>
      <c r="BL690" s="114"/>
      <c r="BM690" s="114"/>
      <c r="BN690" s="114"/>
      <c r="BO690" s="114"/>
      <c r="BP690" s="114"/>
      <c r="BQ690" s="114"/>
      <c r="BR690" s="114"/>
      <c r="BS690" s="114"/>
      <c r="BT690" s="114"/>
      <c r="BU690" s="114"/>
      <c r="BV690" s="114"/>
      <c r="BW690" s="114"/>
      <c r="BX690" s="114"/>
      <c r="BY690" s="114"/>
      <c r="BZ690" s="114"/>
      <c r="CA690" s="114"/>
      <c r="CB690" s="114"/>
      <c r="CC690" s="114"/>
      <c r="CD690" s="114"/>
      <c r="CE690" s="114"/>
      <c r="CF690" s="114"/>
      <c r="CG690" s="114"/>
      <c r="CH690" s="114"/>
      <c r="CI690" s="114"/>
      <c r="CJ690" s="114"/>
      <c r="CK690" s="114"/>
      <c r="CL690" s="114"/>
      <c r="CM690" s="114"/>
      <c r="CN690" s="114"/>
      <c r="CO690" s="114"/>
      <c r="CP690" s="114"/>
      <c r="CQ690" s="114"/>
      <c r="CR690" s="114"/>
      <c r="CS690" s="114"/>
      <c r="CT690" s="114"/>
      <c r="CU690" s="114"/>
      <c r="CV690" s="114"/>
    </row>
    <row r="691" spans="1:100" s="734" customFormat="1" ht="13.15" customHeight="1" outlineLevel="2" x14ac:dyDescent="0.2">
      <c r="A691" s="732"/>
      <c r="B691" s="732"/>
      <c r="C691" s="786" t="s">
        <v>522</v>
      </c>
      <c r="D691" s="732"/>
      <c r="E691" s="114"/>
      <c r="F691" s="114"/>
      <c r="G691" s="114"/>
      <c r="H691" s="114"/>
      <c r="I691" s="114"/>
      <c r="J691" s="114"/>
      <c r="K691" s="114"/>
      <c r="L691" s="114"/>
      <c r="M691" s="114"/>
      <c r="N691" s="114"/>
      <c r="O691" s="114"/>
      <c r="P691" s="114"/>
      <c r="Q691" s="114"/>
      <c r="R691" s="114"/>
      <c r="S691" s="114"/>
      <c r="T691" s="114"/>
      <c r="U691" s="114"/>
      <c r="V691" s="114"/>
      <c r="W691" s="114"/>
      <c r="X691" s="114"/>
      <c r="Y691" s="114"/>
      <c r="Z691" s="114"/>
      <c r="AA691" s="114"/>
      <c r="AB691" s="114"/>
      <c r="AC691" s="114"/>
      <c r="AD691" s="114"/>
      <c r="AE691" s="114"/>
      <c r="AF691" s="114"/>
      <c r="AG691" s="114"/>
      <c r="AH691" s="114"/>
      <c r="AI691" s="114"/>
      <c r="AJ691" s="114"/>
      <c r="AK691" s="114"/>
      <c r="AL691" s="114"/>
      <c r="AM691" s="114"/>
      <c r="AN691" s="114"/>
      <c r="AO691" s="114"/>
      <c r="AP691" s="114"/>
      <c r="AQ691" s="114"/>
      <c r="AR691" s="114"/>
      <c r="AS691" s="114"/>
      <c r="AT691" s="114"/>
      <c r="AU691" s="114"/>
      <c r="AV691" s="114"/>
      <c r="AW691" s="114"/>
      <c r="AX691" s="114"/>
      <c r="AY691" s="114"/>
      <c r="AZ691" s="114"/>
      <c r="BA691" s="114"/>
      <c r="BB691" s="114"/>
      <c r="BC691" s="114"/>
      <c r="BD691" s="114"/>
      <c r="BE691" s="114"/>
      <c r="BF691" s="114"/>
      <c r="BG691" s="114"/>
      <c r="BH691" s="114"/>
      <c r="BI691" s="114"/>
      <c r="BJ691" s="114"/>
      <c r="BK691" s="114"/>
      <c r="BL691" s="114"/>
      <c r="BM691" s="114"/>
      <c r="BN691" s="114"/>
      <c r="BO691" s="114"/>
      <c r="BP691" s="114"/>
      <c r="BQ691" s="114"/>
      <c r="BR691" s="114"/>
      <c r="BS691" s="114"/>
      <c r="BT691" s="114"/>
      <c r="BU691" s="114"/>
      <c r="BV691" s="114"/>
      <c r="BW691" s="114"/>
      <c r="BX691" s="114"/>
      <c r="BY691" s="114"/>
      <c r="BZ691" s="114"/>
      <c r="CA691" s="114"/>
      <c r="CB691" s="114"/>
      <c r="CC691" s="114"/>
      <c r="CD691" s="114"/>
      <c r="CE691" s="114"/>
      <c r="CF691" s="114"/>
      <c r="CG691" s="114"/>
      <c r="CH691" s="114"/>
      <c r="CI691" s="114"/>
      <c r="CJ691" s="114"/>
      <c r="CK691" s="114"/>
      <c r="CL691" s="114"/>
      <c r="CM691" s="114"/>
      <c r="CN691" s="114"/>
      <c r="CO691" s="114"/>
      <c r="CP691" s="114"/>
      <c r="CQ691" s="114"/>
      <c r="CR691" s="114"/>
      <c r="CS691" s="114"/>
      <c r="CT691" s="114"/>
      <c r="CU691" s="114"/>
      <c r="CV691" s="114"/>
    </row>
    <row r="692" spans="1:100" s="734" customFormat="1" ht="13.15" customHeight="1" outlineLevel="2" x14ac:dyDescent="0.2">
      <c r="A692" s="787"/>
      <c r="B692" s="787"/>
      <c r="C692" s="787"/>
      <c r="D692" s="787"/>
      <c r="E692" s="450" t="str">
        <f xml:space="preserve"> InpC!E$162</f>
        <v>% of EBL hedged</v>
      </c>
      <c r="F692" s="450">
        <f xml:space="preserve"> InpC!F$162</f>
        <v>1</v>
      </c>
      <c r="G692" s="450" t="str">
        <f xml:space="preserve"> InpC!G$162</f>
        <v>%</v>
      </c>
      <c r="H692" s="788"/>
      <c r="I692" s="788"/>
      <c r="J692" s="788"/>
      <c r="K692" s="788"/>
      <c r="L692" s="788"/>
      <c r="M692" s="788"/>
      <c r="N692" s="788"/>
      <c r="O692" s="788"/>
      <c r="P692" s="788"/>
      <c r="Q692" s="788"/>
      <c r="R692" s="788"/>
      <c r="S692" s="788"/>
      <c r="T692" s="788"/>
      <c r="U692" s="788"/>
      <c r="V692" s="788"/>
      <c r="W692" s="788"/>
      <c r="X692" s="788"/>
      <c r="Y692" s="788"/>
      <c r="Z692" s="788"/>
      <c r="AA692" s="788"/>
      <c r="AB692" s="788"/>
      <c r="AC692" s="788"/>
      <c r="AD692" s="788"/>
      <c r="AE692" s="788"/>
      <c r="AF692" s="788"/>
      <c r="AG692" s="788"/>
      <c r="AH692" s="788"/>
      <c r="AI692" s="788"/>
      <c r="AJ692" s="788"/>
      <c r="AK692" s="788"/>
      <c r="AL692" s="788"/>
      <c r="AM692" s="788"/>
      <c r="AN692" s="788"/>
      <c r="AO692" s="788"/>
      <c r="AP692" s="788"/>
      <c r="AQ692" s="788"/>
      <c r="AR692" s="788"/>
      <c r="AS692" s="788"/>
      <c r="AT692" s="788"/>
      <c r="AU692" s="788"/>
      <c r="AV692" s="788"/>
      <c r="AW692" s="788"/>
      <c r="AX692" s="788"/>
      <c r="AY692" s="788"/>
      <c r="AZ692" s="788"/>
      <c r="BA692" s="788"/>
      <c r="BB692" s="788"/>
      <c r="BC692" s="788"/>
      <c r="BD692" s="788"/>
      <c r="BE692" s="788"/>
      <c r="BF692" s="788"/>
      <c r="BG692" s="788"/>
      <c r="BH692" s="788"/>
      <c r="BI692" s="788"/>
      <c r="BJ692" s="788"/>
      <c r="BK692" s="788"/>
      <c r="BL692" s="788"/>
      <c r="BM692" s="788"/>
      <c r="BN692" s="788"/>
      <c r="BO692" s="788"/>
      <c r="BP692" s="788"/>
      <c r="BQ692" s="788"/>
      <c r="BR692" s="788"/>
      <c r="BS692" s="788"/>
      <c r="BT692" s="788"/>
      <c r="BU692" s="788"/>
      <c r="BV692" s="788"/>
      <c r="BW692" s="788"/>
      <c r="BX692" s="788"/>
      <c r="BY692" s="788"/>
      <c r="BZ692" s="788"/>
      <c r="CA692" s="788"/>
      <c r="CB692" s="788"/>
      <c r="CC692" s="788"/>
      <c r="CD692" s="788"/>
      <c r="CE692" s="788"/>
      <c r="CF692" s="788"/>
      <c r="CG692" s="788"/>
      <c r="CH692" s="788"/>
      <c r="CI692" s="788"/>
      <c r="CJ692" s="788"/>
      <c r="CK692" s="788"/>
      <c r="CL692" s="788"/>
      <c r="CM692" s="788"/>
      <c r="CN692" s="788"/>
      <c r="CO692" s="788"/>
      <c r="CP692" s="788"/>
      <c r="CQ692" s="788"/>
      <c r="CR692" s="788"/>
      <c r="CS692" s="788"/>
      <c r="CT692" s="788"/>
      <c r="CU692" s="788"/>
      <c r="CV692" s="788"/>
    </row>
    <row r="693" spans="1:100" s="734" customFormat="1" ht="13.15" customHeight="1" outlineLevel="2" x14ac:dyDescent="0.2">
      <c r="A693" s="732"/>
      <c r="B693" s="732"/>
      <c r="C693" s="732"/>
      <c r="D693" s="732"/>
      <c r="E693" s="742" t="str">
        <f t="shared" ref="E693:AJ693" si="1082" xml:space="preserve"> E$684</f>
        <v>Equity bridge balance BEG</v>
      </c>
      <c r="F693" s="742">
        <f t="shared" si="1082"/>
        <v>0</v>
      </c>
      <c r="G693" s="742" t="str">
        <f t="shared" si="1082"/>
        <v>$ 000s</v>
      </c>
      <c r="H693" s="742">
        <f t="shared" si="1082"/>
        <v>0</v>
      </c>
      <c r="I693" s="742">
        <f t="shared" si="1082"/>
        <v>0</v>
      </c>
      <c r="J693" s="742">
        <f t="shared" si="1082"/>
        <v>0</v>
      </c>
      <c r="K693" s="742">
        <f t="shared" si="1082"/>
        <v>38555.01232134179</v>
      </c>
      <c r="L693" s="742">
        <f t="shared" si="1082"/>
        <v>86318.253106861201</v>
      </c>
      <c r="M693" s="742">
        <f t="shared" si="1082"/>
        <v>86318.253106861201</v>
      </c>
      <c r="N693" s="742">
        <f t="shared" si="1082"/>
        <v>86318.253106861201</v>
      </c>
      <c r="O693" s="742">
        <f t="shared" si="1082"/>
        <v>0</v>
      </c>
      <c r="P693" s="742">
        <f t="shared" si="1082"/>
        <v>0</v>
      </c>
      <c r="Q693" s="742">
        <f t="shared" si="1082"/>
        <v>0</v>
      </c>
      <c r="R693" s="742">
        <f t="shared" si="1082"/>
        <v>0</v>
      </c>
      <c r="S693" s="742">
        <f t="shared" si="1082"/>
        <v>0</v>
      </c>
      <c r="T693" s="742">
        <f t="shared" si="1082"/>
        <v>0</v>
      </c>
      <c r="U693" s="742">
        <f t="shared" si="1082"/>
        <v>0</v>
      </c>
      <c r="V693" s="742">
        <f t="shared" si="1082"/>
        <v>0</v>
      </c>
      <c r="W693" s="742">
        <f t="shared" si="1082"/>
        <v>0</v>
      </c>
      <c r="X693" s="742">
        <f t="shared" si="1082"/>
        <v>0</v>
      </c>
      <c r="Y693" s="742">
        <f t="shared" si="1082"/>
        <v>0</v>
      </c>
      <c r="Z693" s="742">
        <f t="shared" si="1082"/>
        <v>0</v>
      </c>
      <c r="AA693" s="742">
        <f t="shared" si="1082"/>
        <v>0</v>
      </c>
      <c r="AB693" s="742">
        <f t="shared" si="1082"/>
        <v>0</v>
      </c>
      <c r="AC693" s="742">
        <f t="shared" si="1082"/>
        <v>0</v>
      </c>
      <c r="AD693" s="742">
        <f t="shared" si="1082"/>
        <v>0</v>
      </c>
      <c r="AE693" s="742">
        <f t="shared" si="1082"/>
        <v>0</v>
      </c>
      <c r="AF693" s="742">
        <f t="shared" si="1082"/>
        <v>0</v>
      </c>
      <c r="AG693" s="742">
        <f t="shared" si="1082"/>
        <v>0</v>
      </c>
      <c r="AH693" s="742">
        <f t="shared" si="1082"/>
        <v>0</v>
      </c>
      <c r="AI693" s="742">
        <f t="shared" si="1082"/>
        <v>0</v>
      </c>
      <c r="AJ693" s="742">
        <f t="shared" si="1082"/>
        <v>0</v>
      </c>
      <c r="AK693" s="742">
        <f t="shared" ref="AK693:BP693" si="1083" xml:space="preserve"> AK$684</f>
        <v>0</v>
      </c>
      <c r="AL693" s="742">
        <f t="shared" si="1083"/>
        <v>0</v>
      </c>
      <c r="AM693" s="742">
        <f t="shared" si="1083"/>
        <v>0</v>
      </c>
      <c r="AN693" s="742">
        <f t="shared" si="1083"/>
        <v>0</v>
      </c>
      <c r="AO693" s="742">
        <f t="shared" si="1083"/>
        <v>0</v>
      </c>
      <c r="AP693" s="742">
        <f t="shared" si="1083"/>
        <v>0</v>
      </c>
      <c r="AQ693" s="742">
        <f t="shared" si="1083"/>
        <v>0</v>
      </c>
      <c r="AR693" s="742">
        <f t="shared" si="1083"/>
        <v>0</v>
      </c>
      <c r="AS693" s="742">
        <f t="shared" si="1083"/>
        <v>0</v>
      </c>
      <c r="AT693" s="742">
        <f t="shared" si="1083"/>
        <v>0</v>
      </c>
      <c r="AU693" s="742">
        <f t="shared" si="1083"/>
        <v>0</v>
      </c>
      <c r="AV693" s="742">
        <f t="shared" si="1083"/>
        <v>0</v>
      </c>
      <c r="AW693" s="742">
        <f t="shared" si="1083"/>
        <v>0</v>
      </c>
      <c r="AX693" s="742">
        <f t="shared" si="1083"/>
        <v>0</v>
      </c>
      <c r="AY693" s="742">
        <f t="shared" si="1083"/>
        <v>0</v>
      </c>
      <c r="AZ693" s="742">
        <f t="shared" si="1083"/>
        <v>0</v>
      </c>
      <c r="BA693" s="742">
        <f t="shared" si="1083"/>
        <v>0</v>
      </c>
      <c r="BB693" s="742">
        <f t="shared" si="1083"/>
        <v>0</v>
      </c>
      <c r="BC693" s="742">
        <f t="shared" si="1083"/>
        <v>0</v>
      </c>
      <c r="BD693" s="742">
        <f t="shared" si="1083"/>
        <v>0</v>
      </c>
      <c r="BE693" s="742">
        <f t="shared" si="1083"/>
        <v>0</v>
      </c>
      <c r="BF693" s="742">
        <f t="shared" si="1083"/>
        <v>0</v>
      </c>
      <c r="BG693" s="742">
        <f t="shared" si="1083"/>
        <v>0</v>
      </c>
      <c r="BH693" s="742">
        <f t="shared" si="1083"/>
        <v>0</v>
      </c>
      <c r="BI693" s="742">
        <f t="shared" si="1083"/>
        <v>0</v>
      </c>
      <c r="BJ693" s="742">
        <f t="shared" si="1083"/>
        <v>0</v>
      </c>
      <c r="BK693" s="742">
        <f t="shared" si="1083"/>
        <v>0</v>
      </c>
      <c r="BL693" s="742">
        <f t="shared" si="1083"/>
        <v>0</v>
      </c>
      <c r="BM693" s="742">
        <f t="shared" si="1083"/>
        <v>0</v>
      </c>
      <c r="BN693" s="742">
        <f t="shared" si="1083"/>
        <v>0</v>
      </c>
      <c r="BO693" s="742">
        <f t="shared" si="1083"/>
        <v>0</v>
      </c>
      <c r="BP693" s="742">
        <f t="shared" si="1083"/>
        <v>0</v>
      </c>
      <c r="BQ693" s="742">
        <f t="shared" ref="BQ693:CV693" si="1084" xml:space="preserve"> BQ$684</f>
        <v>0</v>
      </c>
      <c r="BR693" s="742">
        <f t="shared" si="1084"/>
        <v>0</v>
      </c>
      <c r="BS693" s="742">
        <f t="shared" si="1084"/>
        <v>0</v>
      </c>
      <c r="BT693" s="742">
        <f t="shared" si="1084"/>
        <v>0</v>
      </c>
      <c r="BU693" s="742">
        <f t="shared" si="1084"/>
        <v>0</v>
      </c>
      <c r="BV693" s="742">
        <f t="shared" si="1084"/>
        <v>0</v>
      </c>
      <c r="BW693" s="742">
        <f t="shared" si="1084"/>
        <v>0</v>
      </c>
      <c r="BX693" s="742">
        <f t="shared" si="1084"/>
        <v>0</v>
      </c>
      <c r="BY693" s="742">
        <f t="shared" si="1084"/>
        <v>0</v>
      </c>
      <c r="BZ693" s="742">
        <f t="shared" si="1084"/>
        <v>0</v>
      </c>
      <c r="CA693" s="742">
        <f t="shared" si="1084"/>
        <v>0</v>
      </c>
      <c r="CB693" s="742">
        <f t="shared" si="1084"/>
        <v>0</v>
      </c>
      <c r="CC693" s="742">
        <f t="shared" si="1084"/>
        <v>0</v>
      </c>
      <c r="CD693" s="742">
        <f t="shared" si="1084"/>
        <v>0</v>
      </c>
      <c r="CE693" s="742">
        <f t="shared" si="1084"/>
        <v>0</v>
      </c>
      <c r="CF693" s="742">
        <f t="shared" si="1084"/>
        <v>0</v>
      </c>
      <c r="CG693" s="742">
        <f t="shared" si="1084"/>
        <v>0</v>
      </c>
      <c r="CH693" s="742">
        <f t="shared" si="1084"/>
        <v>0</v>
      </c>
      <c r="CI693" s="742">
        <f t="shared" si="1084"/>
        <v>0</v>
      </c>
      <c r="CJ693" s="742">
        <f t="shared" si="1084"/>
        <v>0</v>
      </c>
      <c r="CK693" s="742">
        <f t="shared" si="1084"/>
        <v>0</v>
      </c>
      <c r="CL693" s="742">
        <f t="shared" si="1084"/>
        <v>0</v>
      </c>
      <c r="CM693" s="742">
        <f t="shared" si="1084"/>
        <v>0</v>
      </c>
      <c r="CN693" s="742">
        <f t="shared" si="1084"/>
        <v>0</v>
      </c>
      <c r="CO693" s="742">
        <f t="shared" si="1084"/>
        <v>0</v>
      </c>
      <c r="CP693" s="742">
        <f t="shared" si="1084"/>
        <v>0</v>
      </c>
      <c r="CQ693" s="742">
        <f t="shared" si="1084"/>
        <v>0</v>
      </c>
      <c r="CR693" s="742">
        <f t="shared" si="1084"/>
        <v>0</v>
      </c>
      <c r="CS693" s="742">
        <f t="shared" si="1084"/>
        <v>0</v>
      </c>
      <c r="CT693" s="742">
        <f t="shared" si="1084"/>
        <v>0</v>
      </c>
      <c r="CU693" s="742">
        <f t="shared" si="1084"/>
        <v>0</v>
      </c>
      <c r="CV693" s="742">
        <f t="shared" si="1084"/>
        <v>0</v>
      </c>
    </row>
    <row r="694" spans="1:100" s="764" customFormat="1" ht="13.15" customHeight="1" outlineLevel="2" x14ac:dyDescent="0.2">
      <c r="A694" s="787"/>
      <c r="B694" s="787"/>
      <c r="C694" s="787"/>
      <c r="D694" s="787"/>
      <c r="E694" s="792" t="str">
        <f xml:space="preserve"> Time!E$106</f>
        <v>Operating period flag</v>
      </c>
      <c r="F694" s="792">
        <f xml:space="preserve"> Time!F$106</f>
        <v>0</v>
      </c>
      <c r="G694" s="792" t="str">
        <f xml:space="preserve"> Time!G$106</f>
        <v>flag</v>
      </c>
      <c r="H694" s="792">
        <f xml:space="preserve"> Time!H$106</f>
        <v>40</v>
      </c>
      <c r="I694" s="792">
        <f xml:space="preserve"> Time!I$106</f>
        <v>0</v>
      </c>
      <c r="J694" s="792">
        <f xml:space="preserve"> Time!J$106</f>
        <v>0</v>
      </c>
      <c r="K694" s="792">
        <f xml:space="preserve"> Time!K$106</f>
        <v>0</v>
      </c>
      <c r="L694" s="792">
        <f xml:space="preserve"> Time!L$106</f>
        <v>0</v>
      </c>
      <c r="M694" s="792">
        <f xml:space="preserve"> Time!M$106</f>
        <v>0</v>
      </c>
      <c r="N694" s="792">
        <f xml:space="preserve"> Time!N$106</f>
        <v>0</v>
      </c>
      <c r="O694" s="792">
        <f xml:space="preserve"> Time!O$106</f>
        <v>1</v>
      </c>
      <c r="P694" s="792">
        <f xml:space="preserve"> Time!P$106</f>
        <v>1</v>
      </c>
      <c r="Q694" s="792">
        <f xml:space="preserve"> Time!Q$106</f>
        <v>1</v>
      </c>
      <c r="R694" s="792">
        <f xml:space="preserve"> Time!R$106</f>
        <v>1</v>
      </c>
      <c r="S694" s="792">
        <f xml:space="preserve"> Time!S$106</f>
        <v>1</v>
      </c>
      <c r="T694" s="792">
        <f xml:space="preserve"> Time!T$106</f>
        <v>1</v>
      </c>
      <c r="U694" s="792">
        <f xml:space="preserve"> Time!U$106</f>
        <v>1</v>
      </c>
      <c r="V694" s="792">
        <f xml:space="preserve"> Time!V$106</f>
        <v>1</v>
      </c>
      <c r="W694" s="792">
        <f xml:space="preserve"> Time!W$106</f>
        <v>1</v>
      </c>
      <c r="X694" s="792">
        <f xml:space="preserve"> Time!X$106</f>
        <v>1</v>
      </c>
      <c r="Y694" s="792">
        <f xml:space="preserve"> Time!Y$106</f>
        <v>1</v>
      </c>
      <c r="Z694" s="792">
        <f xml:space="preserve"> Time!Z$106</f>
        <v>1</v>
      </c>
      <c r="AA694" s="792">
        <f xml:space="preserve"> Time!AA$106</f>
        <v>1</v>
      </c>
      <c r="AB694" s="792">
        <f xml:space="preserve"> Time!AB$106</f>
        <v>1</v>
      </c>
      <c r="AC694" s="792">
        <f xml:space="preserve"> Time!AC$106</f>
        <v>1</v>
      </c>
      <c r="AD694" s="792">
        <f xml:space="preserve"> Time!AD$106</f>
        <v>1</v>
      </c>
      <c r="AE694" s="792">
        <f xml:space="preserve"> Time!AE$106</f>
        <v>1</v>
      </c>
      <c r="AF694" s="792">
        <f xml:space="preserve"> Time!AF$106</f>
        <v>1</v>
      </c>
      <c r="AG694" s="792">
        <f xml:space="preserve"> Time!AG$106</f>
        <v>1</v>
      </c>
      <c r="AH694" s="792">
        <f xml:space="preserve"> Time!AH$106</f>
        <v>1</v>
      </c>
      <c r="AI694" s="792">
        <f xml:space="preserve"> Time!AI$106</f>
        <v>1</v>
      </c>
      <c r="AJ694" s="792">
        <f xml:space="preserve"> Time!AJ$106</f>
        <v>1</v>
      </c>
      <c r="AK694" s="792">
        <f xml:space="preserve"> Time!AK$106</f>
        <v>1</v>
      </c>
      <c r="AL694" s="792">
        <f xml:space="preserve"> Time!AL$106</f>
        <v>1</v>
      </c>
      <c r="AM694" s="792">
        <f xml:space="preserve"> Time!AM$106</f>
        <v>1</v>
      </c>
      <c r="AN694" s="792">
        <f xml:space="preserve"> Time!AN$106</f>
        <v>1</v>
      </c>
      <c r="AO694" s="792">
        <f xml:space="preserve"> Time!AO$106</f>
        <v>1</v>
      </c>
      <c r="AP694" s="792">
        <f xml:space="preserve"> Time!AP$106</f>
        <v>1</v>
      </c>
      <c r="AQ694" s="792">
        <f xml:space="preserve"> Time!AQ$106</f>
        <v>1</v>
      </c>
      <c r="AR694" s="792">
        <f xml:space="preserve"> Time!AR$106</f>
        <v>1</v>
      </c>
      <c r="AS694" s="792">
        <f xml:space="preserve"> Time!AS$106</f>
        <v>1</v>
      </c>
      <c r="AT694" s="792">
        <f xml:space="preserve"> Time!AT$106</f>
        <v>1</v>
      </c>
      <c r="AU694" s="792">
        <f xml:space="preserve"> Time!AU$106</f>
        <v>1</v>
      </c>
      <c r="AV694" s="792">
        <f xml:space="preserve"> Time!AV$106</f>
        <v>1</v>
      </c>
      <c r="AW694" s="792">
        <f xml:space="preserve"> Time!AW$106</f>
        <v>1</v>
      </c>
      <c r="AX694" s="792">
        <f xml:space="preserve"> Time!AX$106</f>
        <v>1</v>
      </c>
      <c r="AY694" s="792">
        <f xml:space="preserve"> Time!AY$106</f>
        <v>1</v>
      </c>
      <c r="AZ694" s="792">
        <f xml:space="preserve"> Time!AZ$106</f>
        <v>1</v>
      </c>
      <c r="BA694" s="792">
        <f xml:space="preserve"> Time!BA$106</f>
        <v>1</v>
      </c>
      <c r="BB694" s="792">
        <f xml:space="preserve"> Time!BB$106</f>
        <v>1</v>
      </c>
      <c r="BC694" s="792">
        <f xml:space="preserve"> Time!BC$106</f>
        <v>0</v>
      </c>
      <c r="BD694" s="792">
        <f xml:space="preserve"> Time!BD$106</f>
        <v>0</v>
      </c>
      <c r="BE694" s="792">
        <f xml:space="preserve"> Time!BE$106</f>
        <v>0</v>
      </c>
      <c r="BF694" s="792">
        <f xml:space="preserve"> Time!BF$106</f>
        <v>0</v>
      </c>
      <c r="BG694" s="792">
        <f xml:space="preserve"> Time!BG$106</f>
        <v>0</v>
      </c>
      <c r="BH694" s="792">
        <f xml:space="preserve"> Time!BH$106</f>
        <v>0</v>
      </c>
      <c r="BI694" s="792">
        <f xml:space="preserve"> Time!BI$106</f>
        <v>0</v>
      </c>
      <c r="BJ694" s="792">
        <f xml:space="preserve"> Time!BJ$106</f>
        <v>0</v>
      </c>
      <c r="BK694" s="792">
        <f xml:space="preserve"> Time!BK$106</f>
        <v>0</v>
      </c>
      <c r="BL694" s="792">
        <f xml:space="preserve"> Time!BL$106</f>
        <v>0</v>
      </c>
      <c r="BM694" s="792">
        <f xml:space="preserve"> Time!BM$106</f>
        <v>0</v>
      </c>
      <c r="BN694" s="792">
        <f xml:space="preserve"> Time!BN$106</f>
        <v>0</v>
      </c>
      <c r="BO694" s="792">
        <f xml:space="preserve"> Time!BO$106</f>
        <v>0</v>
      </c>
      <c r="BP694" s="792">
        <f xml:space="preserve"> Time!BP$106</f>
        <v>0</v>
      </c>
      <c r="BQ694" s="792">
        <f xml:space="preserve"> Time!BQ$106</f>
        <v>0</v>
      </c>
      <c r="BR694" s="792">
        <f xml:space="preserve"> Time!BR$106</f>
        <v>0</v>
      </c>
      <c r="BS694" s="792">
        <f xml:space="preserve"> Time!BS$106</f>
        <v>0</v>
      </c>
      <c r="BT694" s="792">
        <f xml:space="preserve"> Time!BT$106</f>
        <v>0</v>
      </c>
      <c r="BU694" s="792">
        <f xml:space="preserve"> Time!BU$106</f>
        <v>0</v>
      </c>
      <c r="BV694" s="792">
        <f xml:space="preserve"> Time!BV$106</f>
        <v>0</v>
      </c>
      <c r="BW694" s="792">
        <f xml:space="preserve"> Time!BW$106</f>
        <v>0</v>
      </c>
      <c r="BX694" s="792">
        <f xml:space="preserve"> Time!BX$106</f>
        <v>0</v>
      </c>
      <c r="BY694" s="792">
        <f xml:space="preserve"> Time!BY$106</f>
        <v>0</v>
      </c>
      <c r="BZ694" s="792">
        <f xml:space="preserve"> Time!BZ$106</f>
        <v>0</v>
      </c>
      <c r="CA694" s="792">
        <f xml:space="preserve"> Time!CA$106</f>
        <v>0</v>
      </c>
      <c r="CB694" s="792">
        <f xml:space="preserve"> Time!CB$106</f>
        <v>0</v>
      </c>
      <c r="CC694" s="792">
        <f xml:space="preserve"> Time!CC$106</f>
        <v>0</v>
      </c>
      <c r="CD694" s="792">
        <f xml:space="preserve"> Time!CD$106</f>
        <v>0</v>
      </c>
      <c r="CE694" s="792">
        <f xml:space="preserve"> Time!CE$106</f>
        <v>0</v>
      </c>
      <c r="CF694" s="792">
        <f xml:space="preserve"> Time!CF$106</f>
        <v>0</v>
      </c>
      <c r="CG694" s="792">
        <f xml:space="preserve"> Time!CG$106</f>
        <v>0</v>
      </c>
      <c r="CH694" s="792">
        <f xml:space="preserve"> Time!CH$106</f>
        <v>0</v>
      </c>
      <c r="CI694" s="792">
        <f xml:space="preserve"> Time!CI$106</f>
        <v>0</v>
      </c>
      <c r="CJ694" s="792">
        <f xml:space="preserve"> Time!CJ$106</f>
        <v>0</v>
      </c>
      <c r="CK694" s="792">
        <f xml:space="preserve"> Time!CK$106</f>
        <v>0</v>
      </c>
      <c r="CL694" s="792">
        <f xml:space="preserve"> Time!CL$106</f>
        <v>0</v>
      </c>
      <c r="CM694" s="792">
        <f xml:space="preserve"> Time!CM$106</f>
        <v>0</v>
      </c>
      <c r="CN694" s="792">
        <f xml:space="preserve"> Time!CN$106</f>
        <v>0</v>
      </c>
      <c r="CO694" s="792">
        <f xml:space="preserve"> Time!CO$106</f>
        <v>0</v>
      </c>
      <c r="CP694" s="792">
        <f xml:space="preserve"> Time!CP$106</f>
        <v>0</v>
      </c>
      <c r="CQ694" s="792">
        <f xml:space="preserve"> Time!CQ$106</f>
        <v>0</v>
      </c>
      <c r="CR694" s="792">
        <f xml:space="preserve"> Time!CR$106</f>
        <v>0</v>
      </c>
      <c r="CS694" s="792">
        <f xml:space="preserve"> Time!CS$106</f>
        <v>0</v>
      </c>
      <c r="CT694" s="792">
        <f xml:space="preserve"> Time!CT$106</f>
        <v>0</v>
      </c>
      <c r="CU694" s="792">
        <f xml:space="preserve"> Time!CU$106</f>
        <v>0</v>
      </c>
      <c r="CV694" s="792">
        <f xml:space="preserve"> Time!CV$106</f>
        <v>0</v>
      </c>
    </row>
    <row r="695" spans="1:100" s="734" customFormat="1" ht="13.15" customHeight="1" outlineLevel="2" x14ac:dyDescent="0.2">
      <c r="A695" s="732"/>
      <c r="B695" s="732"/>
      <c r="C695" s="732"/>
      <c r="D695" s="732"/>
      <c r="E695" s="282" t="s">
        <v>548</v>
      </c>
      <c r="F695" s="114"/>
      <c r="G695" s="282" t="s">
        <v>103</v>
      </c>
      <c r="H695" s="114"/>
      <c r="I695" s="114"/>
      <c r="J695" s="282">
        <f t="shared" ref="J695:AO695" si="1085" xml:space="preserve"> IF(AND(J693 &gt; CHK_TOL, J694 = 1), $F692, 0)</f>
        <v>0</v>
      </c>
      <c r="K695" s="282">
        <f t="shared" si="1085"/>
        <v>0</v>
      </c>
      <c r="L695" s="282">
        <f t="shared" si="1085"/>
        <v>0</v>
      </c>
      <c r="M695" s="282">
        <f t="shared" si="1085"/>
        <v>0</v>
      </c>
      <c r="N695" s="282">
        <f t="shared" si="1085"/>
        <v>0</v>
      </c>
      <c r="O695" s="282">
        <f t="shared" si="1085"/>
        <v>0</v>
      </c>
      <c r="P695" s="282">
        <f t="shared" si="1085"/>
        <v>0</v>
      </c>
      <c r="Q695" s="282">
        <f t="shared" si="1085"/>
        <v>0</v>
      </c>
      <c r="R695" s="282">
        <f t="shared" si="1085"/>
        <v>0</v>
      </c>
      <c r="S695" s="282">
        <f t="shared" si="1085"/>
        <v>0</v>
      </c>
      <c r="T695" s="282">
        <f t="shared" si="1085"/>
        <v>0</v>
      </c>
      <c r="U695" s="282">
        <f t="shared" si="1085"/>
        <v>0</v>
      </c>
      <c r="V695" s="282">
        <f t="shared" si="1085"/>
        <v>0</v>
      </c>
      <c r="W695" s="282">
        <f t="shared" si="1085"/>
        <v>0</v>
      </c>
      <c r="X695" s="282">
        <f t="shared" si="1085"/>
        <v>0</v>
      </c>
      <c r="Y695" s="282">
        <f t="shared" si="1085"/>
        <v>0</v>
      </c>
      <c r="Z695" s="282">
        <f t="shared" si="1085"/>
        <v>0</v>
      </c>
      <c r="AA695" s="282">
        <f t="shared" si="1085"/>
        <v>0</v>
      </c>
      <c r="AB695" s="282">
        <f t="shared" si="1085"/>
        <v>0</v>
      </c>
      <c r="AC695" s="282">
        <f t="shared" si="1085"/>
        <v>0</v>
      </c>
      <c r="AD695" s="282">
        <f t="shared" si="1085"/>
        <v>0</v>
      </c>
      <c r="AE695" s="282">
        <f t="shared" si="1085"/>
        <v>0</v>
      </c>
      <c r="AF695" s="282">
        <f t="shared" si="1085"/>
        <v>0</v>
      </c>
      <c r="AG695" s="282">
        <f t="shared" si="1085"/>
        <v>0</v>
      </c>
      <c r="AH695" s="282">
        <f t="shared" si="1085"/>
        <v>0</v>
      </c>
      <c r="AI695" s="282">
        <f t="shared" si="1085"/>
        <v>0</v>
      </c>
      <c r="AJ695" s="282">
        <f t="shared" si="1085"/>
        <v>0</v>
      </c>
      <c r="AK695" s="282">
        <f t="shared" si="1085"/>
        <v>0</v>
      </c>
      <c r="AL695" s="282">
        <f t="shared" si="1085"/>
        <v>0</v>
      </c>
      <c r="AM695" s="282">
        <f t="shared" si="1085"/>
        <v>0</v>
      </c>
      <c r="AN695" s="282">
        <f t="shared" si="1085"/>
        <v>0</v>
      </c>
      <c r="AO695" s="282">
        <f t="shared" si="1085"/>
        <v>0</v>
      </c>
      <c r="AP695" s="282">
        <f t="shared" ref="AP695:BU695" si="1086" xml:space="preserve"> IF(AND(AP693 &gt; CHK_TOL, AP694 = 1), $F692, 0)</f>
        <v>0</v>
      </c>
      <c r="AQ695" s="282">
        <f t="shared" si="1086"/>
        <v>0</v>
      </c>
      <c r="AR695" s="282">
        <f t="shared" si="1086"/>
        <v>0</v>
      </c>
      <c r="AS695" s="282">
        <f t="shared" si="1086"/>
        <v>0</v>
      </c>
      <c r="AT695" s="282">
        <f t="shared" si="1086"/>
        <v>0</v>
      </c>
      <c r="AU695" s="282">
        <f t="shared" si="1086"/>
        <v>0</v>
      </c>
      <c r="AV695" s="282">
        <f t="shared" si="1086"/>
        <v>0</v>
      </c>
      <c r="AW695" s="282">
        <f t="shared" si="1086"/>
        <v>0</v>
      </c>
      <c r="AX695" s="282">
        <f t="shared" si="1086"/>
        <v>0</v>
      </c>
      <c r="AY695" s="282">
        <f t="shared" si="1086"/>
        <v>0</v>
      </c>
      <c r="AZ695" s="282">
        <f t="shared" si="1086"/>
        <v>0</v>
      </c>
      <c r="BA695" s="282">
        <f t="shared" si="1086"/>
        <v>0</v>
      </c>
      <c r="BB695" s="282">
        <f t="shared" si="1086"/>
        <v>0</v>
      </c>
      <c r="BC695" s="282">
        <f t="shared" si="1086"/>
        <v>0</v>
      </c>
      <c r="BD695" s="282">
        <f t="shared" si="1086"/>
        <v>0</v>
      </c>
      <c r="BE695" s="282">
        <f t="shared" si="1086"/>
        <v>0</v>
      </c>
      <c r="BF695" s="282">
        <f t="shared" si="1086"/>
        <v>0</v>
      </c>
      <c r="BG695" s="282">
        <f t="shared" si="1086"/>
        <v>0</v>
      </c>
      <c r="BH695" s="282">
        <f t="shared" si="1086"/>
        <v>0</v>
      </c>
      <c r="BI695" s="282">
        <f t="shared" si="1086"/>
        <v>0</v>
      </c>
      <c r="BJ695" s="282">
        <f t="shared" si="1086"/>
        <v>0</v>
      </c>
      <c r="BK695" s="282">
        <f t="shared" si="1086"/>
        <v>0</v>
      </c>
      <c r="BL695" s="282">
        <f t="shared" si="1086"/>
        <v>0</v>
      </c>
      <c r="BM695" s="282">
        <f t="shared" si="1086"/>
        <v>0</v>
      </c>
      <c r="BN695" s="282">
        <f t="shared" si="1086"/>
        <v>0</v>
      </c>
      <c r="BO695" s="282">
        <f t="shared" si="1086"/>
        <v>0</v>
      </c>
      <c r="BP695" s="282">
        <f t="shared" si="1086"/>
        <v>0</v>
      </c>
      <c r="BQ695" s="282">
        <f t="shared" si="1086"/>
        <v>0</v>
      </c>
      <c r="BR695" s="282">
        <f t="shared" si="1086"/>
        <v>0</v>
      </c>
      <c r="BS695" s="282">
        <f t="shared" si="1086"/>
        <v>0</v>
      </c>
      <c r="BT695" s="282">
        <f t="shared" si="1086"/>
        <v>0</v>
      </c>
      <c r="BU695" s="282">
        <f t="shared" si="1086"/>
        <v>0</v>
      </c>
      <c r="BV695" s="282">
        <f t="shared" ref="BV695:CV695" si="1087" xml:space="preserve"> IF(AND(BV693 &gt; CHK_TOL, BV694 = 1), $F692, 0)</f>
        <v>0</v>
      </c>
      <c r="BW695" s="282">
        <f t="shared" si="1087"/>
        <v>0</v>
      </c>
      <c r="BX695" s="282">
        <f t="shared" si="1087"/>
        <v>0</v>
      </c>
      <c r="BY695" s="282">
        <f t="shared" si="1087"/>
        <v>0</v>
      </c>
      <c r="BZ695" s="282">
        <f t="shared" si="1087"/>
        <v>0</v>
      </c>
      <c r="CA695" s="282">
        <f t="shared" si="1087"/>
        <v>0</v>
      </c>
      <c r="CB695" s="282">
        <f t="shared" si="1087"/>
        <v>0</v>
      </c>
      <c r="CC695" s="282">
        <f t="shared" si="1087"/>
        <v>0</v>
      </c>
      <c r="CD695" s="282">
        <f t="shared" si="1087"/>
        <v>0</v>
      </c>
      <c r="CE695" s="282">
        <f t="shared" si="1087"/>
        <v>0</v>
      </c>
      <c r="CF695" s="282">
        <f t="shared" si="1087"/>
        <v>0</v>
      </c>
      <c r="CG695" s="282">
        <f t="shared" si="1087"/>
        <v>0</v>
      </c>
      <c r="CH695" s="282">
        <f t="shared" si="1087"/>
        <v>0</v>
      </c>
      <c r="CI695" s="282">
        <f t="shared" si="1087"/>
        <v>0</v>
      </c>
      <c r="CJ695" s="282">
        <f t="shared" si="1087"/>
        <v>0</v>
      </c>
      <c r="CK695" s="282">
        <f t="shared" si="1087"/>
        <v>0</v>
      </c>
      <c r="CL695" s="282">
        <f t="shared" si="1087"/>
        <v>0</v>
      </c>
      <c r="CM695" s="282">
        <f t="shared" si="1087"/>
        <v>0</v>
      </c>
      <c r="CN695" s="282">
        <f t="shared" si="1087"/>
        <v>0</v>
      </c>
      <c r="CO695" s="282">
        <f t="shared" si="1087"/>
        <v>0</v>
      </c>
      <c r="CP695" s="282">
        <f t="shared" si="1087"/>
        <v>0</v>
      </c>
      <c r="CQ695" s="282">
        <f t="shared" si="1087"/>
        <v>0</v>
      </c>
      <c r="CR695" s="282">
        <f t="shared" si="1087"/>
        <v>0</v>
      </c>
      <c r="CS695" s="282">
        <f t="shared" si="1087"/>
        <v>0</v>
      </c>
      <c r="CT695" s="282">
        <f t="shared" si="1087"/>
        <v>0</v>
      </c>
      <c r="CU695" s="282">
        <f t="shared" si="1087"/>
        <v>0</v>
      </c>
      <c r="CV695" s="282">
        <f t="shared" si="1087"/>
        <v>0</v>
      </c>
    </row>
    <row r="696" spans="1:100" s="734" customFormat="1" ht="13.15" customHeight="1" outlineLevel="2" x14ac:dyDescent="0.2">
      <c r="A696" s="732"/>
      <c r="B696" s="732"/>
      <c r="C696" s="732"/>
      <c r="D696" s="732"/>
      <c r="E696" s="114"/>
      <c r="F696" s="114"/>
      <c r="G696" s="114"/>
      <c r="H696" s="114"/>
      <c r="I696" s="114"/>
      <c r="J696" s="114"/>
      <c r="K696" s="114"/>
      <c r="L696" s="114"/>
      <c r="M696" s="114"/>
      <c r="N696" s="114"/>
      <c r="O696" s="114"/>
      <c r="P696" s="114"/>
      <c r="Q696" s="114"/>
      <c r="R696" s="114"/>
      <c r="S696" s="114"/>
      <c r="T696" s="114"/>
      <c r="U696" s="114"/>
      <c r="V696" s="114"/>
      <c r="W696" s="114"/>
      <c r="X696" s="114"/>
      <c r="Y696" s="114"/>
      <c r="Z696" s="114"/>
      <c r="AA696" s="114"/>
      <c r="AB696" s="114"/>
      <c r="AC696" s="114"/>
      <c r="AD696" s="114"/>
      <c r="AE696" s="114"/>
      <c r="AF696" s="114"/>
      <c r="AG696" s="114"/>
      <c r="AH696" s="114"/>
      <c r="AI696" s="114"/>
      <c r="AJ696" s="114"/>
      <c r="AK696" s="114"/>
      <c r="AL696" s="114"/>
      <c r="AM696" s="114"/>
      <c r="AN696" s="114"/>
      <c r="AO696" s="114"/>
      <c r="AP696" s="114"/>
      <c r="AQ696" s="114"/>
      <c r="AR696" s="114"/>
      <c r="AS696" s="114"/>
      <c r="AT696" s="114"/>
      <c r="AU696" s="114"/>
      <c r="AV696" s="114"/>
      <c r="AW696" s="114"/>
      <c r="AX696" s="114"/>
      <c r="AY696" s="114"/>
      <c r="AZ696" s="114"/>
      <c r="BA696" s="114"/>
      <c r="BB696" s="114"/>
      <c r="BC696" s="114"/>
      <c r="BD696" s="114"/>
      <c r="BE696" s="114"/>
      <c r="BF696" s="114"/>
      <c r="BG696" s="114"/>
      <c r="BH696" s="114"/>
      <c r="BI696" s="114"/>
      <c r="BJ696" s="114"/>
      <c r="BK696" s="114"/>
      <c r="BL696" s="114"/>
      <c r="BM696" s="114"/>
      <c r="BN696" s="114"/>
      <c r="BO696" s="114"/>
      <c r="BP696" s="114"/>
      <c r="BQ696" s="114"/>
      <c r="BR696" s="114"/>
      <c r="BS696" s="114"/>
      <c r="BT696" s="114"/>
      <c r="BU696" s="114"/>
      <c r="BV696" s="114"/>
      <c r="BW696" s="114"/>
      <c r="BX696" s="114"/>
      <c r="BY696" s="114"/>
      <c r="BZ696" s="114"/>
      <c r="CA696" s="114"/>
      <c r="CB696" s="114"/>
      <c r="CC696" s="114"/>
      <c r="CD696" s="114"/>
      <c r="CE696" s="114"/>
      <c r="CF696" s="114"/>
      <c r="CG696" s="114"/>
      <c r="CH696" s="114"/>
      <c r="CI696" s="114"/>
      <c r="CJ696" s="114"/>
      <c r="CK696" s="114"/>
      <c r="CL696" s="114"/>
      <c r="CM696" s="114"/>
      <c r="CN696" s="114"/>
      <c r="CO696" s="114"/>
      <c r="CP696" s="114"/>
      <c r="CQ696" s="114"/>
      <c r="CR696" s="114"/>
      <c r="CS696" s="114"/>
      <c r="CT696" s="114"/>
      <c r="CU696" s="114"/>
      <c r="CV696" s="114"/>
    </row>
    <row r="697" spans="1:100" s="734" customFormat="1" ht="13.15" customHeight="1" outlineLevel="2" x14ac:dyDescent="0.2">
      <c r="A697" s="732"/>
      <c r="B697" s="732"/>
      <c r="C697" s="732"/>
      <c r="D697" s="732"/>
      <c r="E697" s="790" t="str">
        <f xml:space="preserve"> InpC!E$163</f>
        <v>Equity bridge swap rate</v>
      </c>
      <c r="F697" s="790">
        <f xml:space="preserve"> InpC!F$163</f>
        <v>1.4999999999999999E-2</v>
      </c>
      <c r="G697" s="790" t="str">
        <f xml:space="preserve"> InpC!G$163</f>
        <v>% p.a.</v>
      </c>
      <c r="H697" s="114"/>
      <c r="I697" s="114"/>
      <c r="J697" s="114"/>
      <c r="K697" s="114"/>
      <c r="L697" s="114"/>
      <c r="M697" s="114"/>
      <c r="N697" s="114"/>
      <c r="O697" s="114"/>
      <c r="P697" s="114"/>
      <c r="Q697" s="114"/>
      <c r="R697" s="114"/>
      <c r="S697" s="114"/>
      <c r="T697" s="114"/>
      <c r="U697" s="114"/>
      <c r="V697" s="114"/>
      <c r="W697" s="114"/>
      <c r="X697" s="114"/>
      <c r="Y697" s="114"/>
      <c r="Z697" s="114"/>
      <c r="AA697" s="114"/>
      <c r="AB697" s="114"/>
      <c r="AC697" s="114"/>
      <c r="AD697" s="114"/>
      <c r="AE697" s="114"/>
      <c r="AF697" s="114"/>
      <c r="AG697" s="114"/>
      <c r="AH697" s="114"/>
      <c r="AI697" s="114"/>
      <c r="AJ697" s="114"/>
      <c r="AK697" s="114"/>
      <c r="AL697" s="114"/>
      <c r="AM697" s="114"/>
      <c r="AN697" s="114"/>
      <c r="AO697" s="114"/>
      <c r="AP697" s="114"/>
      <c r="AQ697" s="114"/>
      <c r="AR697" s="114"/>
      <c r="AS697" s="114"/>
      <c r="AT697" s="114"/>
      <c r="AU697" s="114"/>
      <c r="AV697" s="114"/>
      <c r="AW697" s="114"/>
      <c r="AX697" s="114"/>
      <c r="AY697" s="114"/>
      <c r="AZ697" s="114"/>
      <c r="BA697" s="114"/>
      <c r="BB697" s="114"/>
      <c r="BC697" s="114"/>
      <c r="BD697" s="114"/>
      <c r="BE697" s="114"/>
      <c r="BF697" s="114"/>
      <c r="BG697" s="114"/>
      <c r="BH697" s="114"/>
      <c r="BI697" s="114"/>
      <c r="BJ697" s="114"/>
      <c r="BK697" s="114"/>
      <c r="BL697" s="114"/>
      <c r="BM697" s="114"/>
      <c r="BN697" s="114"/>
      <c r="BO697" s="114"/>
      <c r="BP697" s="114"/>
      <c r="BQ697" s="114"/>
      <c r="BR697" s="114"/>
      <c r="BS697" s="114"/>
      <c r="BT697" s="114"/>
      <c r="BU697" s="114"/>
      <c r="BV697" s="114"/>
      <c r="BW697" s="114"/>
      <c r="BX697" s="114"/>
      <c r="BY697" s="114"/>
      <c r="BZ697" s="114"/>
      <c r="CA697" s="114"/>
      <c r="CB697" s="114"/>
      <c r="CC697" s="114"/>
      <c r="CD697" s="114"/>
      <c r="CE697" s="114"/>
      <c r="CF697" s="114"/>
      <c r="CG697" s="114"/>
      <c r="CH697" s="114"/>
      <c r="CI697" s="114"/>
      <c r="CJ697" s="114"/>
      <c r="CK697" s="114"/>
      <c r="CL697" s="114"/>
      <c r="CM697" s="114"/>
      <c r="CN697" s="114"/>
      <c r="CO697" s="114"/>
      <c r="CP697" s="114"/>
      <c r="CQ697" s="114"/>
      <c r="CR697" s="114"/>
      <c r="CS697" s="114"/>
      <c r="CT697" s="114"/>
      <c r="CU697" s="114"/>
      <c r="CV697" s="114"/>
    </row>
    <row r="698" spans="1:100" s="283" customFormat="1" ht="12.75" outlineLevel="2" x14ac:dyDescent="0.2">
      <c r="A698" s="556"/>
      <c r="B698" s="556"/>
      <c r="C698" s="557"/>
      <c r="D698" s="115"/>
      <c r="E698" s="316" t="str">
        <f xml:space="preserve"> Sensitivity!E$16</f>
        <v>Interest rate - sensitivity</v>
      </c>
      <c r="F698" s="316">
        <f xml:space="preserve"> Sensitivity!F$16</f>
        <v>0</v>
      </c>
      <c r="G698" s="316" t="str">
        <f xml:space="preserve"> Sensitivity!G$16</f>
        <v>% p.a.</v>
      </c>
      <c r="H698" s="115"/>
      <c r="I698" s="112"/>
      <c r="J698" s="282"/>
      <c r="K698" s="282"/>
      <c r="L698" s="282"/>
      <c r="M698" s="282"/>
      <c r="N698" s="282"/>
      <c r="O698" s="282"/>
      <c r="P698" s="282"/>
      <c r="Q698" s="282"/>
      <c r="R698" s="282"/>
      <c r="S698" s="282"/>
      <c r="T698" s="282"/>
      <c r="U698" s="282"/>
      <c r="V698" s="282"/>
      <c r="W698" s="282"/>
      <c r="X698" s="282"/>
      <c r="Y698" s="282"/>
      <c r="Z698" s="282"/>
      <c r="AA698" s="282"/>
      <c r="AB698" s="282"/>
      <c r="AC698" s="282"/>
      <c r="AD698" s="282"/>
      <c r="AE698" s="282"/>
      <c r="AF698" s="282"/>
      <c r="AG698" s="282"/>
      <c r="AH698" s="282"/>
      <c r="AI698" s="282"/>
      <c r="AJ698" s="282"/>
      <c r="AK698" s="282"/>
      <c r="AL698" s="282"/>
      <c r="AM698" s="282"/>
      <c r="AN698" s="282"/>
      <c r="AO698" s="282"/>
      <c r="AP698" s="282"/>
      <c r="AQ698" s="282"/>
      <c r="AR698" s="282"/>
      <c r="AS698" s="282"/>
      <c r="AT698" s="282"/>
      <c r="AU698" s="282"/>
      <c r="AV698" s="282"/>
      <c r="AW698" s="282"/>
      <c r="AX698" s="282"/>
      <c r="AY698" s="282"/>
      <c r="AZ698" s="282"/>
      <c r="BA698" s="282"/>
      <c r="BB698" s="282"/>
      <c r="BC698" s="282"/>
      <c r="BD698" s="282"/>
      <c r="BE698" s="282"/>
      <c r="BF698" s="282"/>
      <c r="BG698" s="282"/>
      <c r="BH698" s="282"/>
      <c r="BI698" s="282"/>
      <c r="BJ698" s="282"/>
      <c r="BK698" s="282"/>
      <c r="BL698" s="282"/>
      <c r="BM698" s="282"/>
      <c r="BN698" s="282"/>
      <c r="BO698" s="282"/>
      <c r="BP698" s="282"/>
      <c r="BQ698" s="282"/>
      <c r="BR698" s="282"/>
      <c r="BS698" s="282"/>
      <c r="BT698" s="282"/>
      <c r="BU698" s="282"/>
      <c r="BV698" s="282"/>
      <c r="BW698" s="282"/>
      <c r="BX698" s="282"/>
      <c r="BY698" s="282"/>
      <c r="BZ698" s="282"/>
      <c r="CA698" s="282"/>
      <c r="CB698" s="282"/>
      <c r="CC698" s="282"/>
      <c r="CD698" s="282"/>
      <c r="CE698" s="282"/>
      <c r="CF698" s="282"/>
      <c r="CG698" s="282"/>
      <c r="CH698" s="282"/>
      <c r="CI698" s="282"/>
      <c r="CJ698" s="282"/>
      <c r="CK698" s="282"/>
      <c r="CL698" s="282"/>
      <c r="CM698" s="282"/>
      <c r="CN698" s="282"/>
      <c r="CO698" s="282"/>
      <c r="CP698" s="282"/>
      <c r="CQ698" s="282"/>
      <c r="CR698" s="282"/>
      <c r="CS698" s="282"/>
      <c r="CT698" s="282"/>
      <c r="CU698" s="282"/>
      <c r="CV698" s="282"/>
    </row>
    <row r="699" spans="1:100" s="734" customFormat="1" ht="13.15" customHeight="1" outlineLevel="2" x14ac:dyDescent="0.2">
      <c r="A699" s="732"/>
      <c r="B699" s="732"/>
      <c r="C699" s="732"/>
      <c r="D699" s="732"/>
      <c r="E699" s="282" t="str">
        <f t="shared" ref="E699:AJ699" si="1088" xml:space="preserve"> E$695</f>
        <v>% of EBL hedged during operations</v>
      </c>
      <c r="F699" s="282">
        <f t="shared" si="1088"/>
        <v>0</v>
      </c>
      <c r="G699" s="282" t="str">
        <f t="shared" si="1088"/>
        <v>%</v>
      </c>
      <c r="H699" s="282">
        <f t="shared" si="1088"/>
        <v>0</v>
      </c>
      <c r="I699" s="282">
        <f t="shared" si="1088"/>
        <v>0</v>
      </c>
      <c r="J699" s="282">
        <f t="shared" si="1088"/>
        <v>0</v>
      </c>
      <c r="K699" s="282">
        <f t="shared" si="1088"/>
        <v>0</v>
      </c>
      <c r="L699" s="282">
        <f t="shared" si="1088"/>
        <v>0</v>
      </c>
      <c r="M699" s="282">
        <f t="shared" si="1088"/>
        <v>0</v>
      </c>
      <c r="N699" s="282">
        <f t="shared" si="1088"/>
        <v>0</v>
      </c>
      <c r="O699" s="282">
        <f t="shared" si="1088"/>
        <v>0</v>
      </c>
      <c r="P699" s="282">
        <f t="shared" si="1088"/>
        <v>0</v>
      </c>
      <c r="Q699" s="282">
        <f t="shared" si="1088"/>
        <v>0</v>
      </c>
      <c r="R699" s="282">
        <f t="shared" si="1088"/>
        <v>0</v>
      </c>
      <c r="S699" s="282">
        <f t="shared" si="1088"/>
        <v>0</v>
      </c>
      <c r="T699" s="282">
        <f t="shared" si="1088"/>
        <v>0</v>
      </c>
      <c r="U699" s="282">
        <f t="shared" si="1088"/>
        <v>0</v>
      </c>
      <c r="V699" s="282">
        <f t="shared" si="1088"/>
        <v>0</v>
      </c>
      <c r="W699" s="282">
        <f t="shared" si="1088"/>
        <v>0</v>
      </c>
      <c r="X699" s="282">
        <f t="shared" si="1088"/>
        <v>0</v>
      </c>
      <c r="Y699" s="282">
        <f t="shared" si="1088"/>
        <v>0</v>
      </c>
      <c r="Z699" s="282">
        <f t="shared" si="1088"/>
        <v>0</v>
      </c>
      <c r="AA699" s="282">
        <f t="shared" si="1088"/>
        <v>0</v>
      </c>
      <c r="AB699" s="282">
        <f t="shared" si="1088"/>
        <v>0</v>
      </c>
      <c r="AC699" s="282">
        <f t="shared" si="1088"/>
        <v>0</v>
      </c>
      <c r="AD699" s="282">
        <f t="shared" si="1088"/>
        <v>0</v>
      </c>
      <c r="AE699" s="282">
        <f t="shared" si="1088"/>
        <v>0</v>
      </c>
      <c r="AF699" s="282">
        <f t="shared" si="1088"/>
        <v>0</v>
      </c>
      <c r="AG699" s="282">
        <f t="shared" si="1088"/>
        <v>0</v>
      </c>
      <c r="AH699" s="282">
        <f t="shared" si="1088"/>
        <v>0</v>
      </c>
      <c r="AI699" s="282">
        <f t="shared" si="1088"/>
        <v>0</v>
      </c>
      <c r="AJ699" s="282">
        <f t="shared" si="1088"/>
        <v>0</v>
      </c>
      <c r="AK699" s="282">
        <f t="shared" ref="AK699:BP699" si="1089" xml:space="preserve"> AK$695</f>
        <v>0</v>
      </c>
      <c r="AL699" s="282">
        <f t="shared" si="1089"/>
        <v>0</v>
      </c>
      <c r="AM699" s="282">
        <f t="shared" si="1089"/>
        <v>0</v>
      </c>
      <c r="AN699" s="282">
        <f t="shared" si="1089"/>
        <v>0</v>
      </c>
      <c r="AO699" s="282">
        <f t="shared" si="1089"/>
        <v>0</v>
      </c>
      <c r="AP699" s="282">
        <f t="shared" si="1089"/>
        <v>0</v>
      </c>
      <c r="AQ699" s="282">
        <f t="shared" si="1089"/>
        <v>0</v>
      </c>
      <c r="AR699" s="282">
        <f t="shared" si="1089"/>
        <v>0</v>
      </c>
      <c r="AS699" s="282">
        <f t="shared" si="1089"/>
        <v>0</v>
      </c>
      <c r="AT699" s="282">
        <f t="shared" si="1089"/>
        <v>0</v>
      </c>
      <c r="AU699" s="282">
        <f t="shared" si="1089"/>
        <v>0</v>
      </c>
      <c r="AV699" s="282">
        <f t="shared" si="1089"/>
        <v>0</v>
      </c>
      <c r="AW699" s="282">
        <f t="shared" si="1089"/>
        <v>0</v>
      </c>
      <c r="AX699" s="282">
        <f t="shared" si="1089"/>
        <v>0</v>
      </c>
      <c r="AY699" s="282">
        <f t="shared" si="1089"/>
        <v>0</v>
      </c>
      <c r="AZ699" s="282">
        <f t="shared" si="1089"/>
        <v>0</v>
      </c>
      <c r="BA699" s="282">
        <f t="shared" si="1089"/>
        <v>0</v>
      </c>
      <c r="BB699" s="282">
        <f t="shared" si="1089"/>
        <v>0</v>
      </c>
      <c r="BC699" s="282">
        <f t="shared" si="1089"/>
        <v>0</v>
      </c>
      <c r="BD699" s="282">
        <f t="shared" si="1089"/>
        <v>0</v>
      </c>
      <c r="BE699" s="282">
        <f t="shared" si="1089"/>
        <v>0</v>
      </c>
      <c r="BF699" s="282">
        <f t="shared" si="1089"/>
        <v>0</v>
      </c>
      <c r="BG699" s="282">
        <f t="shared" si="1089"/>
        <v>0</v>
      </c>
      <c r="BH699" s="282">
        <f t="shared" si="1089"/>
        <v>0</v>
      </c>
      <c r="BI699" s="282">
        <f t="shared" si="1089"/>
        <v>0</v>
      </c>
      <c r="BJ699" s="282">
        <f t="shared" si="1089"/>
        <v>0</v>
      </c>
      <c r="BK699" s="282">
        <f t="shared" si="1089"/>
        <v>0</v>
      </c>
      <c r="BL699" s="282">
        <f t="shared" si="1089"/>
        <v>0</v>
      </c>
      <c r="BM699" s="282">
        <f t="shared" si="1089"/>
        <v>0</v>
      </c>
      <c r="BN699" s="282">
        <f t="shared" si="1089"/>
        <v>0</v>
      </c>
      <c r="BO699" s="282">
        <f t="shared" si="1089"/>
        <v>0</v>
      </c>
      <c r="BP699" s="282">
        <f t="shared" si="1089"/>
        <v>0</v>
      </c>
      <c r="BQ699" s="282">
        <f t="shared" ref="BQ699:CV699" si="1090" xml:space="preserve"> BQ$695</f>
        <v>0</v>
      </c>
      <c r="BR699" s="282">
        <f t="shared" si="1090"/>
        <v>0</v>
      </c>
      <c r="BS699" s="282">
        <f t="shared" si="1090"/>
        <v>0</v>
      </c>
      <c r="BT699" s="282">
        <f t="shared" si="1090"/>
        <v>0</v>
      </c>
      <c r="BU699" s="282">
        <f t="shared" si="1090"/>
        <v>0</v>
      </c>
      <c r="BV699" s="282">
        <f t="shared" si="1090"/>
        <v>0</v>
      </c>
      <c r="BW699" s="282">
        <f t="shared" si="1090"/>
        <v>0</v>
      </c>
      <c r="BX699" s="282">
        <f t="shared" si="1090"/>
        <v>0</v>
      </c>
      <c r="BY699" s="282">
        <f t="shared" si="1090"/>
        <v>0</v>
      </c>
      <c r="BZ699" s="282">
        <f t="shared" si="1090"/>
        <v>0</v>
      </c>
      <c r="CA699" s="282">
        <f t="shared" si="1090"/>
        <v>0</v>
      </c>
      <c r="CB699" s="282">
        <f t="shared" si="1090"/>
        <v>0</v>
      </c>
      <c r="CC699" s="282">
        <f t="shared" si="1090"/>
        <v>0</v>
      </c>
      <c r="CD699" s="282">
        <f t="shared" si="1090"/>
        <v>0</v>
      </c>
      <c r="CE699" s="282">
        <f t="shared" si="1090"/>
        <v>0</v>
      </c>
      <c r="CF699" s="282">
        <f t="shared" si="1090"/>
        <v>0</v>
      </c>
      <c r="CG699" s="282">
        <f t="shared" si="1090"/>
        <v>0</v>
      </c>
      <c r="CH699" s="282">
        <f t="shared" si="1090"/>
        <v>0</v>
      </c>
      <c r="CI699" s="282">
        <f t="shared" si="1090"/>
        <v>0</v>
      </c>
      <c r="CJ699" s="282">
        <f t="shared" si="1090"/>
        <v>0</v>
      </c>
      <c r="CK699" s="282">
        <f t="shared" si="1090"/>
        <v>0</v>
      </c>
      <c r="CL699" s="282">
        <f t="shared" si="1090"/>
        <v>0</v>
      </c>
      <c r="CM699" s="282">
        <f t="shared" si="1090"/>
        <v>0</v>
      </c>
      <c r="CN699" s="282">
        <f t="shared" si="1090"/>
        <v>0</v>
      </c>
      <c r="CO699" s="282">
        <f t="shared" si="1090"/>
        <v>0</v>
      </c>
      <c r="CP699" s="282">
        <f t="shared" si="1090"/>
        <v>0</v>
      </c>
      <c r="CQ699" s="282">
        <f t="shared" si="1090"/>
        <v>0</v>
      </c>
      <c r="CR699" s="282">
        <f t="shared" si="1090"/>
        <v>0</v>
      </c>
      <c r="CS699" s="282">
        <f t="shared" si="1090"/>
        <v>0</v>
      </c>
      <c r="CT699" s="282">
        <f t="shared" si="1090"/>
        <v>0</v>
      </c>
      <c r="CU699" s="282">
        <f t="shared" si="1090"/>
        <v>0</v>
      </c>
      <c r="CV699" s="282">
        <f t="shared" si="1090"/>
        <v>0</v>
      </c>
    </row>
    <row r="700" spans="1:100" s="764" customFormat="1" ht="13.15" customHeight="1" outlineLevel="2" x14ac:dyDescent="0.2">
      <c r="A700" s="732"/>
      <c r="B700" s="732"/>
      <c r="C700" s="732"/>
      <c r="D700" s="732"/>
      <c r="E700" s="453" t="str">
        <f xml:space="preserve"> InpS!E$13</f>
        <v>Active debt forward curve</v>
      </c>
      <c r="F700" s="453">
        <f xml:space="preserve"> InpS!F$13</f>
        <v>0</v>
      </c>
      <c r="G700" s="453" t="str">
        <f xml:space="preserve"> InpS!G$13</f>
        <v>% p.a.</v>
      </c>
      <c r="H700" s="453">
        <f xml:space="preserve"> InpS!H$13</f>
        <v>0</v>
      </c>
      <c r="I700" s="453">
        <f xml:space="preserve"> InpS!I$13</f>
        <v>0</v>
      </c>
      <c r="J700" s="453">
        <f xml:space="preserve"> InpS!J$13</f>
        <v>2.0062E-2</v>
      </c>
      <c r="K700" s="453">
        <f xml:space="preserve"> InpS!K$13</f>
        <v>2.0124E-2</v>
      </c>
      <c r="L700" s="453">
        <f xml:space="preserve"> InpS!L$13</f>
        <v>2.0184000000000001E-2</v>
      </c>
      <c r="M700" s="453">
        <f xml:space="preserve"> InpS!M$13</f>
        <v>2.0241000000000002E-2</v>
      </c>
      <c r="N700" s="453">
        <f xml:space="preserve"> InpS!N$13</f>
        <v>2.0308000000000003E-2</v>
      </c>
      <c r="O700" s="453">
        <f xml:space="preserve"> InpS!O$13</f>
        <v>2.0375000000000004E-2</v>
      </c>
      <c r="P700" s="453">
        <f xml:space="preserve"> InpS!P$13</f>
        <v>2.0434000000000004E-2</v>
      </c>
      <c r="Q700" s="453">
        <f xml:space="preserve"> InpS!Q$13</f>
        <v>2.0506000000000003E-2</v>
      </c>
      <c r="R700" s="453">
        <f xml:space="preserve"> InpS!R$13</f>
        <v>2.0569000000000004E-2</v>
      </c>
      <c r="S700" s="453">
        <f xml:space="preserve"> InpS!S$13</f>
        <v>2.0620000000000003E-2</v>
      </c>
      <c r="T700" s="453">
        <f xml:space="preserve"> InpS!T$13</f>
        <v>2.0666000000000004E-2</v>
      </c>
      <c r="U700" s="453">
        <f xml:space="preserve"> InpS!U$13</f>
        <v>2.0719000000000005E-2</v>
      </c>
      <c r="V700" s="453">
        <f xml:space="preserve"> InpS!V$13</f>
        <v>2.0757000000000005E-2</v>
      </c>
      <c r="W700" s="453">
        <f xml:space="preserve"> InpS!W$13</f>
        <v>2.0795000000000004E-2</v>
      </c>
      <c r="X700" s="453">
        <f xml:space="preserve"> InpS!X$13</f>
        <v>2.0850000000000004E-2</v>
      </c>
      <c r="Y700" s="453">
        <f xml:space="preserve"> InpS!Y$13</f>
        <v>2.0888000000000004E-2</v>
      </c>
      <c r="Z700" s="453">
        <f xml:space="preserve"> InpS!Z$13</f>
        <v>2.0954000000000004E-2</v>
      </c>
      <c r="AA700" s="453">
        <f xml:space="preserve"> InpS!AA$13</f>
        <v>2.1024000000000004E-2</v>
      </c>
      <c r="AB700" s="453">
        <f xml:space="preserve"> InpS!AB$13</f>
        <v>2.1091000000000006E-2</v>
      </c>
      <c r="AC700" s="453">
        <f xml:space="preserve"> InpS!AC$13</f>
        <v>2.1134000000000007E-2</v>
      </c>
      <c r="AD700" s="453">
        <f xml:space="preserve"> InpS!AD$13</f>
        <v>2.1205000000000009E-2</v>
      </c>
      <c r="AE700" s="453">
        <f xml:space="preserve"> InpS!AE$13</f>
        <v>2.127900000000001E-2</v>
      </c>
      <c r="AF700" s="453">
        <f xml:space="preserve"> InpS!AF$13</f>
        <v>2.1316000000000009E-2</v>
      </c>
      <c r="AG700" s="453">
        <f xml:space="preserve"> InpS!AG$13</f>
        <v>2.1367000000000008E-2</v>
      </c>
      <c r="AH700" s="453">
        <f xml:space="preserve"> InpS!AH$13</f>
        <v>2.1421000000000006E-2</v>
      </c>
      <c r="AI700" s="453">
        <f xml:space="preserve"> InpS!AI$13</f>
        <v>2.1470000000000006E-2</v>
      </c>
      <c r="AJ700" s="453">
        <f xml:space="preserve"> InpS!AJ$13</f>
        <v>2.1516000000000007E-2</v>
      </c>
      <c r="AK700" s="453">
        <f xml:space="preserve"> InpS!AK$13</f>
        <v>2.1570000000000006E-2</v>
      </c>
      <c r="AL700" s="453">
        <f xml:space="preserve"> InpS!AL$13</f>
        <v>2.1639000000000005E-2</v>
      </c>
      <c r="AM700" s="453">
        <f xml:space="preserve"> InpS!AM$13</f>
        <v>2.1709000000000006E-2</v>
      </c>
      <c r="AN700" s="453">
        <f xml:space="preserve"> InpS!AN$13</f>
        <v>2.1772000000000007E-2</v>
      </c>
      <c r="AO700" s="453">
        <f xml:space="preserve"> InpS!AO$13</f>
        <v>2.1813000000000006E-2</v>
      </c>
      <c r="AP700" s="453">
        <f xml:space="preserve"> InpS!AP$13</f>
        <v>2.1858000000000006E-2</v>
      </c>
      <c r="AQ700" s="453">
        <f xml:space="preserve"> InpS!AQ$13</f>
        <v>2.1913000000000005E-2</v>
      </c>
      <c r="AR700" s="453">
        <f xml:space="preserve"> InpS!AR$13</f>
        <v>2.1986000000000006E-2</v>
      </c>
      <c r="AS700" s="453">
        <f xml:space="preserve"> InpS!AS$13</f>
        <v>2.2041000000000005E-2</v>
      </c>
      <c r="AT700" s="453">
        <f xml:space="preserve"> InpS!AT$13</f>
        <v>2.2089000000000004E-2</v>
      </c>
      <c r="AU700" s="453">
        <f xml:space="preserve"> InpS!AU$13</f>
        <v>2.2148000000000004E-2</v>
      </c>
      <c r="AV700" s="453">
        <f xml:space="preserve"> InpS!AV$13</f>
        <v>2.2216000000000003E-2</v>
      </c>
      <c r="AW700" s="453">
        <f xml:space="preserve"> InpS!AW$13</f>
        <v>2.2282000000000003E-2</v>
      </c>
      <c r="AX700" s="453">
        <f xml:space="preserve"> InpS!AX$13</f>
        <v>2.2351000000000003E-2</v>
      </c>
      <c r="AY700" s="453">
        <f xml:space="preserve"> InpS!AY$13</f>
        <v>2.2409000000000002E-2</v>
      </c>
      <c r="AZ700" s="453">
        <f xml:space="preserve"> InpS!AZ$13</f>
        <v>2.2445000000000003E-2</v>
      </c>
      <c r="BA700" s="453">
        <f xml:space="preserve"> InpS!BA$13</f>
        <v>2.2489000000000002E-2</v>
      </c>
      <c r="BB700" s="453">
        <f xml:space="preserve"> InpS!BB$13</f>
        <v>2.2535000000000003E-2</v>
      </c>
      <c r="BC700" s="453">
        <f xml:space="preserve"> InpS!BC$13</f>
        <v>2.2607000000000002E-2</v>
      </c>
      <c r="BD700" s="453">
        <f xml:space="preserve"> InpS!BD$13</f>
        <v>2.2647E-2</v>
      </c>
      <c r="BE700" s="453">
        <f xml:space="preserve"> InpS!BE$13</f>
        <v>2.2683999999999999E-2</v>
      </c>
      <c r="BF700" s="453">
        <f xml:space="preserve"> InpS!BF$13</f>
        <v>2.2734000000000001E-2</v>
      </c>
      <c r="BG700" s="453">
        <f xml:space="preserve"> InpS!BG$13</f>
        <v>2.2806E-2</v>
      </c>
      <c r="BH700" s="453">
        <f xml:space="preserve"> InpS!BH$13</f>
        <v>2.2852000000000001E-2</v>
      </c>
      <c r="BI700" s="453">
        <f xml:space="preserve"> InpS!BI$13</f>
        <v>2.2898999999999999E-2</v>
      </c>
      <c r="BJ700" s="453">
        <f xml:space="preserve"> InpS!BJ$13</f>
        <v>2.2952999999999998E-2</v>
      </c>
      <c r="BK700" s="453">
        <f xml:space="preserve"> InpS!BK$13</f>
        <v>2.3027999999999996E-2</v>
      </c>
      <c r="BL700" s="453">
        <f xml:space="preserve"> InpS!BL$13</f>
        <v>2.3093999999999996E-2</v>
      </c>
      <c r="BM700" s="453">
        <f xml:space="preserve"> InpS!BM$13</f>
        <v>2.3145999999999996E-2</v>
      </c>
      <c r="BN700" s="453">
        <f xml:space="preserve"> InpS!BN$13</f>
        <v>2.3211999999999997E-2</v>
      </c>
      <c r="BO700" s="453">
        <f xml:space="preserve"> InpS!BO$13</f>
        <v>2.3253999999999997E-2</v>
      </c>
      <c r="BP700" s="453">
        <f xml:space="preserve"> InpS!BP$13</f>
        <v>2.3288999999999997E-2</v>
      </c>
      <c r="BQ700" s="453">
        <f xml:space="preserve"> InpS!BQ$13</f>
        <v>2.3333999999999997E-2</v>
      </c>
      <c r="BR700" s="453">
        <f xml:space="preserve"> InpS!BR$13</f>
        <v>2.3372999999999998E-2</v>
      </c>
      <c r="BS700" s="453">
        <f xml:space="preserve"> InpS!BS$13</f>
        <v>2.3413999999999997E-2</v>
      </c>
      <c r="BT700" s="453">
        <f xml:space="preserve"> InpS!BT$13</f>
        <v>2.3472999999999997E-2</v>
      </c>
      <c r="BU700" s="453">
        <f xml:space="preserve"> InpS!BU$13</f>
        <v>2.3519999999999996E-2</v>
      </c>
      <c r="BV700" s="453">
        <f xml:space="preserve"> InpS!BV$13</f>
        <v>2.3592999999999996E-2</v>
      </c>
      <c r="BW700" s="453">
        <f xml:space="preserve"> InpS!BW$13</f>
        <v>2.3660999999999995E-2</v>
      </c>
      <c r="BX700" s="453">
        <f xml:space="preserve"> InpS!BX$13</f>
        <v>2.3728999999999993E-2</v>
      </c>
      <c r="BY700" s="453">
        <f xml:space="preserve"> InpS!BY$13</f>
        <v>2.3785999999999995E-2</v>
      </c>
      <c r="BZ700" s="453">
        <f xml:space="preserve"> InpS!BZ$13</f>
        <v>2.3841999999999995E-2</v>
      </c>
      <c r="CA700" s="453">
        <f xml:space="preserve"> InpS!CA$13</f>
        <v>2.3907999999999995E-2</v>
      </c>
      <c r="CB700" s="453">
        <f xml:space="preserve"> InpS!CB$13</f>
        <v>2.3961999999999994E-2</v>
      </c>
      <c r="CC700" s="453">
        <f xml:space="preserve"> InpS!CC$13</f>
        <v>2.4011999999999995E-2</v>
      </c>
      <c r="CD700" s="453">
        <f xml:space="preserve"> InpS!CD$13</f>
        <v>2.4070999999999995E-2</v>
      </c>
      <c r="CE700" s="453">
        <f xml:space="preserve"> InpS!CE$13</f>
        <v>2.4119999999999996E-2</v>
      </c>
      <c r="CF700" s="453">
        <f xml:space="preserve"> InpS!CF$13</f>
        <v>2.4166999999999994E-2</v>
      </c>
      <c r="CG700" s="453">
        <f xml:space="preserve"> InpS!CG$13</f>
        <v>2.4215999999999994E-2</v>
      </c>
      <c r="CH700" s="453">
        <f xml:space="preserve"> InpS!CH$13</f>
        <v>2.4263999999999994E-2</v>
      </c>
      <c r="CI700" s="453">
        <f xml:space="preserve"> InpS!CI$13</f>
        <v>2.4301999999999994E-2</v>
      </c>
      <c r="CJ700" s="453">
        <f xml:space="preserve"> InpS!CJ$13</f>
        <v>2.4365999999999995E-2</v>
      </c>
      <c r="CK700" s="453">
        <f xml:space="preserve"> InpS!CK$13</f>
        <v>2.4408999999999997E-2</v>
      </c>
      <c r="CL700" s="453">
        <f xml:space="preserve"> InpS!CL$13</f>
        <v>2.4462999999999995E-2</v>
      </c>
      <c r="CM700" s="453">
        <f xml:space="preserve"> InpS!CM$13</f>
        <v>2.4530999999999994E-2</v>
      </c>
      <c r="CN700" s="453">
        <f xml:space="preserve"> InpS!CN$13</f>
        <v>2.4586999999999994E-2</v>
      </c>
      <c r="CO700" s="453">
        <f xml:space="preserve"> InpS!CO$13</f>
        <v>2.4622999999999996E-2</v>
      </c>
      <c r="CP700" s="453">
        <f xml:space="preserve"> InpS!CP$13</f>
        <v>2.4688999999999996E-2</v>
      </c>
      <c r="CQ700" s="453">
        <f xml:space="preserve"> InpS!CQ$13</f>
        <v>2.4738999999999997E-2</v>
      </c>
      <c r="CR700" s="453">
        <f xml:space="preserve"> InpS!CR$13</f>
        <v>2.4789999999999996E-2</v>
      </c>
      <c r="CS700" s="453">
        <f xml:space="preserve"> InpS!CS$13</f>
        <v>2.4834999999999996E-2</v>
      </c>
      <c r="CT700" s="453">
        <f xml:space="preserve"> InpS!CT$13</f>
        <v>2.4872999999999996E-2</v>
      </c>
      <c r="CU700" s="453">
        <f xml:space="preserve"> InpS!CU$13</f>
        <v>2.4930999999999995E-2</v>
      </c>
      <c r="CV700" s="453">
        <f xml:space="preserve"> InpS!CV$13</f>
        <v>2.4983999999999996E-2</v>
      </c>
    </row>
    <row r="701" spans="1:100" s="764" customFormat="1" ht="13.15" customHeight="1" outlineLevel="2" x14ac:dyDescent="0.2">
      <c r="A701" s="787"/>
      <c r="B701" s="787"/>
      <c r="C701" s="787"/>
      <c r="D701" s="787"/>
      <c r="E701" s="792" t="str">
        <f xml:space="preserve"> Time!E$106</f>
        <v>Operating period flag</v>
      </c>
      <c r="F701" s="792">
        <f xml:space="preserve"> Time!F$106</f>
        <v>0</v>
      </c>
      <c r="G701" s="792" t="str">
        <f xml:space="preserve"> Time!G$106</f>
        <v>flag</v>
      </c>
      <c r="H701" s="792">
        <f xml:space="preserve"> Time!H$106</f>
        <v>40</v>
      </c>
      <c r="I701" s="792">
        <f xml:space="preserve"> Time!I$106</f>
        <v>0</v>
      </c>
      <c r="J701" s="792">
        <f xml:space="preserve"> Time!J$106</f>
        <v>0</v>
      </c>
      <c r="K701" s="792">
        <f xml:space="preserve"> Time!K$106</f>
        <v>0</v>
      </c>
      <c r="L701" s="792">
        <f xml:space="preserve"> Time!L$106</f>
        <v>0</v>
      </c>
      <c r="M701" s="792">
        <f xml:space="preserve"> Time!M$106</f>
        <v>0</v>
      </c>
      <c r="N701" s="792">
        <f xml:space="preserve"> Time!N$106</f>
        <v>0</v>
      </c>
      <c r="O701" s="792">
        <f xml:space="preserve"> Time!O$106</f>
        <v>1</v>
      </c>
      <c r="P701" s="792">
        <f xml:space="preserve"> Time!P$106</f>
        <v>1</v>
      </c>
      <c r="Q701" s="792">
        <f xml:space="preserve"> Time!Q$106</f>
        <v>1</v>
      </c>
      <c r="R701" s="792">
        <f xml:space="preserve"> Time!R$106</f>
        <v>1</v>
      </c>
      <c r="S701" s="792">
        <f xml:space="preserve"> Time!S$106</f>
        <v>1</v>
      </c>
      <c r="T701" s="792">
        <f xml:space="preserve"> Time!T$106</f>
        <v>1</v>
      </c>
      <c r="U701" s="792">
        <f xml:space="preserve"> Time!U$106</f>
        <v>1</v>
      </c>
      <c r="V701" s="792">
        <f xml:space="preserve"> Time!V$106</f>
        <v>1</v>
      </c>
      <c r="W701" s="792">
        <f xml:space="preserve"> Time!W$106</f>
        <v>1</v>
      </c>
      <c r="X701" s="792">
        <f xml:space="preserve"> Time!X$106</f>
        <v>1</v>
      </c>
      <c r="Y701" s="792">
        <f xml:space="preserve"> Time!Y$106</f>
        <v>1</v>
      </c>
      <c r="Z701" s="792">
        <f xml:space="preserve"> Time!Z$106</f>
        <v>1</v>
      </c>
      <c r="AA701" s="792">
        <f xml:space="preserve"> Time!AA$106</f>
        <v>1</v>
      </c>
      <c r="AB701" s="792">
        <f xml:space="preserve"> Time!AB$106</f>
        <v>1</v>
      </c>
      <c r="AC701" s="792">
        <f xml:space="preserve"> Time!AC$106</f>
        <v>1</v>
      </c>
      <c r="AD701" s="792">
        <f xml:space="preserve"> Time!AD$106</f>
        <v>1</v>
      </c>
      <c r="AE701" s="792">
        <f xml:space="preserve"> Time!AE$106</f>
        <v>1</v>
      </c>
      <c r="AF701" s="792">
        <f xml:space="preserve"> Time!AF$106</f>
        <v>1</v>
      </c>
      <c r="AG701" s="792">
        <f xml:space="preserve"> Time!AG$106</f>
        <v>1</v>
      </c>
      <c r="AH701" s="792">
        <f xml:space="preserve"> Time!AH$106</f>
        <v>1</v>
      </c>
      <c r="AI701" s="792">
        <f xml:space="preserve"> Time!AI$106</f>
        <v>1</v>
      </c>
      <c r="AJ701" s="792">
        <f xml:space="preserve"> Time!AJ$106</f>
        <v>1</v>
      </c>
      <c r="AK701" s="792">
        <f xml:space="preserve"> Time!AK$106</f>
        <v>1</v>
      </c>
      <c r="AL701" s="792">
        <f xml:space="preserve"> Time!AL$106</f>
        <v>1</v>
      </c>
      <c r="AM701" s="792">
        <f xml:space="preserve"> Time!AM$106</f>
        <v>1</v>
      </c>
      <c r="AN701" s="792">
        <f xml:space="preserve"> Time!AN$106</f>
        <v>1</v>
      </c>
      <c r="AO701" s="792">
        <f xml:space="preserve"> Time!AO$106</f>
        <v>1</v>
      </c>
      <c r="AP701" s="792">
        <f xml:space="preserve"> Time!AP$106</f>
        <v>1</v>
      </c>
      <c r="AQ701" s="792">
        <f xml:space="preserve"> Time!AQ$106</f>
        <v>1</v>
      </c>
      <c r="AR701" s="792">
        <f xml:space="preserve"> Time!AR$106</f>
        <v>1</v>
      </c>
      <c r="AS701" s="792">
        <f xml:space="preserve"> Time!AS$106</f>
        <v>1</v>
      </c>
      <c r="AT701" s="792">
        <f xml:space="preserve"> Time!AT$106</f>
        <v>1</v>
      </c>
      <c r="AU701" s="792">
        <f xml:space="preserve"> Time!AU$106</f>
        <v>1</v>
      </c>
      <c r="AV701" s="792">
        <f xml:space="preserve"> Time!AV$106</f>
        <v>1</v>
      </c>
      <c r="AW701" s="792">
        <f xml:space="preserve"> Time!AW$106</f>
        <v>1</v>
      </c>
      <c r="AX701" s="792">
        <f xml:space="preserve"> Time!AX$106</f>
        <v>1</v>
      </c>
      <c r="AY701" s="792">
        <f xml:space="preserve"> Time!AY$106</f>
        <v>1</v>
      </c>
      <c r="AZ701" s="792">
        <f xml:space="preserve"> Time!AZ$106</f>
        <v>1</v>
      </c>
      <c r="BA701" s="792">
        <f xml:space="preserve"> Time!BA$106</f>
        <v>1</v>
      </c>
      <c r="BB701" s="792">
        <f xml:space="preserve"> Time!BB$106</f>
        <v>1</v>
      </c>
      <c r="BC701" s="792">
        <f xml:space="preserve"> Time!BC$106</f>
        <v>0</v>
      </c>
      <c r="BD701" s="792">
        <f xml:space="preserve"> Time!BD$106</f>
        <v>0</v>
      </c>
      <c r="BE701" s="792">
        <f xml:space="preserve"> Time!BE$106</f>
        <v>0</v>
      </c>
      <c r="BF701" s="792">
        <f xml:space="preserve"> Time!BF$106</f>
        <v>0</v>
      </c>
      <c r="BG701" s="792">
        <f xml:space="preserve"> Time!BG$106</f>
        <v>0</v>
      </c>
      <c r="BH701" s="792">
        <f xml:space="preserve"> Time!BH$106</f>
        <v>0</v>
      </c>
      <c r="BI701" s="792">
        <f xml:space="preserve"> Time!BI$106</f>
        <v>0</v>
      </c>
      <c r="BJ701" s="792">
        <f xml:space="preserve"> Time!BJ$106</f>
        <v>0</v>
      </c>
      <c r="BK701" s="792">
        <f xml:space="preserve"> Time!BK$106</f>
        <v>0</v>
      </c>
      <c r="BL701" s="792">
        <f xml:space="preserve"> Time!BL$106</f>
        <v>0</v>
      </c>
      <c r="BM701" s="792">
        <f xml:space="preserve"> Time!BM$106</f>
        <v>0</v>
      </c>
      <c r="BN701" s="792">
        <f xml:space="preserve"> Time!BN$106</f>
        <v>0</v>
      </c>
      <c r="BO701" s="792">
        <f xml:space="preserve"> Time!BO$106</f>
        <v>0</v>
      </c>
      <c r="BP701" s="792">
        <f xml:space="preserve"> Time!BP$106</f>
        <v>0</v>
      </c>
      <c r="BQ701" s="792">
        <f xml:space="preserve"> Time!BQ$106</f>
        <v>0</v>
      </c>
      <c r="BR701" s="792">
        <f xml:space="preserve"> Time!BR$106</f>
        <v>0</v>
      </c>
      <c r="BS701" s="792">
        <f xml:space="preserve"> Time!BS$106</f>
        <v>0</v>
      </c>
      <c r="BT701" s="792">
        <f xml:space="preserve"> Time!BT$106</f>
        <v>0</v>
      </c>
      <c r="BU701" s="792">
        <f xml:space="preserve"> Time!BU$106</f>
        <v>0</v>
      </c>
      <c r="BV701" s="792">
        <f xml:space="preserve"> Time!BV$106</f>
        <v>0</v>
      </c>
      <c r="BW701" s="792">
        <f xml:space="preserve"> Time!BW$106</f>
        <v>0</v>
      </c>
      <c r="BX701" s="792">
        <f xml:space="preserve"> Time!BX$106</f>
        <v>0</v>
      </c>
      <c r="BY701" s="792">
        <f xml:space="preserve"> Time!BY$106</f>
        <v>0</v>
      </c>
      <c r="BZ701" s="792">
        <f xml:space="preserve"> Time!BZ$106</f>
        <v>0</v>
      </c>
      <c r="CA701" s="792">
        <f xml:space="preserve"> Time!CA$106</f>
        <v>0</v>
      </c>
      <c r="CB701" s="792">
        <f xml:space="preserve"> Time!CB$106</f>
        <v>0</v>
      </c>
      <c r="CC701" s="792">
        <f xml:space="preserve"> Time!CC$106</f>
        <v>0</v>
      </c>
      <c r="CD701" s="792">
        <f xml:space="preserve"> Time!CD$106</f>
        <v>0</v>
      </c>
      <c r="CE701" s="792">
        <f xml:space="preserve"> Time!CE$106</f>
        <v>0</v>
      </c>
      <c r="CF701" s="792">
        <f xml:space="preserve"> Time!CF$106</f>
        <v>0</v>
      </c>
      <c r="CG701" s="792">
        <f xml:space="preserve"> Time!CG$106</f>
        <v>0</v>
      </c>
      <c r="CH701" s="792">
        <f xml:space="preserve"> Time!CH$106</f>
        <v>0</v>
      </c>
      <c r="CI701" s="792">
        <f xml:space="preserve"> Time!CI$106</f>
        <v>0</v>
      </c>
      <c r="CJ701" s="792">
        <f xml:space="preserve"> Time!CJ$106</f>
        <v>0</v>
      </c>
      <c r="CK701" s="792">
        <f xml:space="preserve"> Time!CK$106</f>
        <v>0</v>
      </c>
      <c r="CL701" s="792">
        <f xml:space="preserve"> Time!CL$106</f>
        <v>0</v>
      </c>
      <c r="CM701" s="792">
        <f xml:space="preserve"> Time!CM$106</f>
        <v>0</v>
      </c>
      <c r="CN701" s="792">
        <f xml:space="preserve"> Time!CN$106</f>
        <v>0</v>
      </c>
      <c r="CO701" s="792">
        <f xml:space="preserve"> Time!CO$106</f>
        <v>0</v>
      </c>
      <c r="CP701" s="792">
        <f xml:space="preserve"> Time!CP$106</f>
        <v>0</v>
      </c>
      <c r="CQ701" s="792">
        <f xml:space="preserve"> Time!CQ$106</f>
        <v>0</v>
      </c>
      <c r="CR701" s="792">
        <f xml:space="preserve"> Time!CR$106</f>
        <v>0</v>
      </c>
      <c r="CS701" s="792">
        <f xml:space="preserve"> Time!CS$106</f>
        <v>0</v>
      </c>
      <c r="CT701" s="792">
        <f xml:space="preserve"> Time!CT$106</f>
        <v>0</v>
      </c>
      <c r="CU701" s="792">
        <f xml:space="preserve"> Time!CU$106</f>
        <v>0</v>
      </c>
      <c r="CV701" s="792">
        <f xml:space="preserve"> Time!CV$106</f>
        <v>0</v>
      </c>
    </row>
    <row r="702" spans="1:100" s="734" customFormat="1" ht="13.15" customHeight="1" outlineLevel="2" x14ac:dyDescent="0.2">
      <c r="A702" s="732"/>
      <c r="B702" s="732"/>
      <c r="C702" s="732"/>
      <c r="D702" s="732"/>
      <c r="E702" s="282" t="s">
        <v>549</v>
      </c>
      <c r="F702" s="114"/>
      <c r="G702" s="282" t="s">
        <v>116</v>
      </c>
      <c r="H702" s="114"/>
      <c r="I702" s="114"/>
      <c r="J702" s="282">
        <f t="shared" ref="J702:AO702" si="1091" xml:space="preserve"> IF(J701 = 1, (J699 * $F697) + ((1- J699) * J700), 0) + $F698</f>
        <v>0</v>
      </c>
      <c r="K702" s="282">
        <f t="shared" si="1091"/>
        <v>0</v>
      </c>
      <c r="L702" s="282">
        <f t="shared" si="1091"/>
        <v>0</v>
      </c>
      <c r="M702" s="282">
        <f t="shared" si="1091"/>
        <v>0</v>
      </c>
      <c r="N702" s="282">
        <f t="shared" si="1091"/>
        <v>0</v>
      </c>
      <c r="O702" s="282">
        <f t="shared" si="1091"/>
        <v>2.0375000000000004E-2</v>
      </c>
      <c r="P702" s="282">
        <f t="shared" si="1091"/>
        <v>2.0434000000000004E-2</v>
      </c>
      <c r="Q702" s="282">
        <f t="shared" si="1091"/>
        <v>2.0506000000000003E-2</v>
      </c>
      <c r="R702" s="282">
        <f t="shared" si="1091"/>
        <v>2.0569000000000004E-2</v>
      </c>
      <c r="S702" s="282">
        <f t="shared" si="1091"/>
        <v>2.0620000000000003E-2</v>
      </c>
      <c r="T702" s="282">
        <f t="shared" si="1091"/>
        <v>2.0666000000000004E-2</v>
      </c>
      <c r="U702" s="282">
        <f t="shared" si="1091"/>
        <v>2.0719000000000005E-2</v>
      </c>
      <c r="V702" s="282">
        <f t="shared" si="1091"/>
        <v>2.0757000000000005E-2</v>
      </c>
      <c r="W702" s="282">
        <f t="shared" si="1091"/>
        <v>2.0795000000000004E-2</v>
      </c>
      <c r="X702" s="282">
        <f t="shared" si="1091"/>
        <v>2.0850000000000004E-2</v>
      </c>
      <c r="Y702" s="282">
        <f t="shared" si="1091"/>
        <v>2.0888000000000004E-2</v>
      </c>
      <c r="Z702" s="282">
        <f t="shared" si="1091"/>
        <v>2.0954000000000004E-2</v>
      </c>
      <c r="AA702" s="282">
        <f t="shared" si="1091"/>
        <v>2.1024000000000004E-2</v>
      </c>
      <c r="AB702" s="282">
        <f t="shared" si="1091"/>
        <v>2.1091000000000006E-2</v>
      </c>
      <c r="AC702" s="282">
        <f t="shared" si="1091"/>
        <v>2.1134000000000007E-2</v>
      </c>
      <c r="AD702" s="282">
        <f t="shared" si="1091"/>
        <v>2.1205000000000009E-2</v>
      </c>
      <c r="AE702" s="282">
        <f t="shared" si="1091"/>
        <v>2.127900000000001E-2</v>
      </c>
      <c r="AF702" s="282">
        <f t="shared" si="1091"/>
        <v>2.1316000000000009E-2</v>
      </c>
      <c r="AG702" s="282">
        <f t="shared" si="1091"/>
        <v>2.1367000000000008E-2</v>
      </c>
      <c r="AH702" s="282">
        <f t="shared" si="1091"/>
        <v>2.1421000000000006E-2</v>
      </c>
      <c r="AI702" s="282">
        <f t="shared" si="1091"/>
        <v>2.1470000000000006E-2</v>
      </c>
      <c r="AJ702" s="282">
        <f t="shared" si="1091"/>
        <v>2.1516000000000007E-2</v>
      </c>
      <c r="AK702" s="282">
        <f t="shared" si="1091"/>
        <v>2.1570000000000006E-2</v>
      </c>
      <c r="AL702" s="282">
        <f t="shared" si="1091"/>
        <v>2.1639000000000005E-2</v>
      </c>
      <c r="AM702" s="282">
        <f t="shared" si="1091"/>
        <v>2.1709000000000006E-2</v>
      </c>
      <c r="AN702" s="282">
        <f t="shared" si="1091"/>
        <v>2.1772000000000007E-2</v>
      </c>
      <c r="AO702" s="282">
        <f t="shared" si="1091"/>
        <v>2.1813000000000006E-2</v>
      </c>
      <c r="AP702" s="282">
        <f t="shared" ref="AP702:BU702" si="1092" xml:space="preserve"> IF(AP701 = 1, (AP699 * $F697) + ((1- AP699) * AP700), 0) + $F698</f>
        <v>2.1858000000000006E-2</v>
      </c>
      <c r="AQ702" s="282">
        <f t="shared" si="1092"/>
        <v>2.1913000000000005E-2</v>
      </c>
      <c r="AR702" s="282">
        <f t="shared" si="1092"/>
        <v>2.1986000000000006E-2</v>
      </c>
      <c r="AS702" s="282">
        <f t="shared" si="1092"/>
        <v>2.2041000000000005E-2</v>
      </c>
      <c r="AT702" s="282">
        <f t="shared" si="1092"/>
        <v>2.2089000000000004E-2</v>
      </c>
      <c r="AU702" s="282">
        <f t="shared" si="1092"/>
        <v>2.2148000000000004E-2</v>
      </c>
      <c r="AV702" s="282">
        <f t="shared" si="1092"/>
        <v>2.2216000000000003E-2</v>
      </c>
      <c r="AW702" s="282">
        <f t="shared" si="1092"/>
        <v>2.2282000000000003E-2</v>
      </c>
      <c r="AX702" s="282">
        <f t="shared" si="1092"/>
        <v>2.2351000000000003E-2</v>
      </c>
      <c r="AY702" s="282">
        <f t="shared" si="1092"/>
        <v>2.2409000000000002E-2</v>
      </c>
      <c r="AZ702" s="282">
        <f t="shared" si="1092"/>
        <v>2.2445000000000003E-2</v>
      </c>
      <c r="BA702" s="282">
        <f t="shared" si="1092"/>
        <v>2.2489000000000002E-2</v>
      </c>
      <c r="BB702" s="282">
        <f t="shared" si="1092"/>
        <v>2.2535000000000003E-2</v>
      </c>
      <c r="BC702" s="282">
        <f t="shared" si="1092"/>
        <v>0</v>
      </c>
      <c r="BD702" s="282">
        <f t="shared" si="1092"/>
        <v>0</v>
      </c>
      <c r="BE702" s="282">
        <f t="shared" si="1092"/>
        <v>0</v>
      </c>
      <c r="BF702" s="282">
        <f t="shared" si="1092"/>
        <v>0</v>
      </c>
      <c r="BG702" s="282">
        <f t="shared" si="1092"/>
        <v>0</v>
      </c>
      <c r="BH702" s="282">
        <f t="shared" si="1092"/>
        <v>0</v>
      </c>
      <c r="BI702" s="282">
        <f t="shared" si="1092"/>
        <v>0</v>
      </c>
      <c r="BJ702" s="282">
        <f t="shared" si="1092"/>
        <v>0</v>
      </c>
      <c r="BK702" s="282">
        <f t="shared" si="1092"/>
        <v>0</v>
      </c>
      <c r="BL702" s="282">
        <f t="shared" si="1092"/>
        <v>0</v>
      </c>
      <c r="BM702" s="282">
        <f t="shared" si="1092"/>
        <v>0</v>
      </c>
      <c r="BN702" s="282">
        <f t="shared" si="1092"/>
        <v>0</v>
      </c>
      <c r="BO702" s="282">
        <f t="shared" si="1092"/>
        <v>0</v>
      </c>
      <c r="BP702" s="282">
        <f t="shared" si="1092"/>
        <v>0</v>
      </c>
      <c r="BQ702" s="282">
        <f t="shared" si="1092"/>
        <v>0</v>
      </c>
      <c r="BR702" s="282">
        <f t="shared" si="1092"/>
        <v>0</v>
      </c>
      <c r="BS702" s="282">
        <f t="shared" si="1092"/>
        <v>0</v>
      </c>
      <c r="BT702" s="282">
        <f t="shared" si="1092"/>
        <v>0</v>
      </c>
      <c r="BU702" s="282">
        <f t="shared" si="1092"/>
        <v>0</v>
      </c>
      <c r="BV702" s="282">
        <f t="shared" ref="BV702:CV702" si="1093" xml:space="preserve"> IF(BV701 = 1, (BV699 * $F697) + ((1- BV699) * BV700), 0) + $F698</f>
        <v>0</v>
      </c>
      <c r="BW702" s="282">
        <f t="shared" si="1093"/>
        <v>0</v>
      </c>
      <c r="BX702" s="282">
        <f t="shared" si="1093"/>
        <v>0</v>
      </c>
      <c r="BY702" s="282">
        <f t="shared" si="1093"/>
        <v>0</v>
      </c>
      <c r="BZ702" s="282">
        <f t="shared" si="1093"/>
        <v>0</v>
      </c>
      <c r="CA702" s="282">
        <f t="shared" si="1093"/>
        <v>0</v>
      </c>
      <c r="CB702" s="282">
        <f t="shared" si="1093"/>
        <v>0</v>
      </c>
      <c r="CC702" s="282">
        <f t="shared" si="1093"/>
        <v>0</v>
      </c>
      <c r="CD702" s="282">
        <f t="shared" si="1093"/>
        <v>0</v>
      </c>
      <c r="CE702" s="282">
        <f t="shared" si="1093"/>
        <v>0</v>
      </c>
      <c r="CF702" s="282">
        <f t="shared" si="1093"/>
        <v>0</v>
      </c>
      <c r="CG702" s="282">
        <f t="shared" si="1093"/>
        <v>0</v>
      </c>
      <c r="CH702" s="282">
        <f t="shared" si="1093"/>
        <v>0</v>
      </c>
      <c r="CI702" s="282">
        <f t="shared" si="1093"/>
        <v>0</v>
      </c>
      <c r="CJ702" s="282">
        <f t="shared" si="1093"/>
        <v>0</v>
      </c>
      <c r="CK702" s="282">
        <f t="shared" si="1093"/>
        <v>0</v>
      </c>
      <c r="CL702" s="282">
        <f t="shared" si="1093"/>
        <v>0</v>
      </c>
      <c r="CM702" s="282">
        <f t="shared" si="1093"/>
        <v>0</v>
      </c>
      <c r="CN702" s="282">
        <f t="shared" si="1093"/>
        <v>0</v>
      </c>
      <c r="CO702" s="282">
        <f t="shared" si="1093"/>
        <v>0</v>
      </c>
      <c r="CP702" s="282">
        <f t="shared" si="1093"/>
        <v>0</v>
      </c>
      <c r="CQ702" s="282">
        <f t="shared" si="1093"/>
        <v>0</v>
      </c>
      <c r="CR702" s="282">
        <f t="shared" si="1093"/>
        <v>0</v>
      </c>
      <c r="CS702" s="282">
        <f t="shared" si="1093"/>
        <v>0</v>
      </c>
      <c r="CT702" s="282">
        <f t="shared" si="1093"/>
        <v>0</v>
      </c>
      <c r="CU702" s="282">
        <f t="shared" si="1093"/>
        <v>0</v>
      </c>
      <c r="CV702" s="282">
        <f t="shared" si="1093"/>
        <v>0</v>
      </c>
    </row>
    <row r="703" spans="1:100" s="734" customFormat="1" ht="13.15" customHeight="1" outlineLevel="2" x14ac:dyDescent="0.2">
      <c r="A703" s="732"/>
      <c r="B703" s="732"/>
      <c r="C703" s="732"/>
      <c r="D703" s="732"/>
      <c r="E703" s="114"/>
      <c r="F703" s="114"/>
      <c r="G703" s="114"/>
      <c r="H703" s="114"/>
      <c r="I703" s="114"/>
      <c r="J703" s="114"/>
      <c r="K703" s="114"/>
      <c r="L703" s="114"/>
      <c r="M703" s="114"/>
      <c r="N703" s="114"/>
      <c r="O703" s="114"/>
      <c r="P703" s="114"/>
      <c r="Q703" s="114"/>
      <c r="R703" s="114"/>
      <c r="S703" s="114"/>
      <c r="T703" s="114"/>
      <c r="U703" s="114"/>
      <c r="V703" s="114"/>
      <c r="W703" s="114"/>
      <c r="X703" s="114"/>
      <c r="Y703" s="114"/>
      <c r="Z703" s="114"/>
      <c r="AA703" s="114"/>
      <c r="AB703" s="114"/>
      <c r="AC703" s="114"/>
      <c r="AD703" s="114"/>
      <c r="AE703" s="114"/>
      <c r="AF703" s="114"/>
      <c r="AG703" s="114"/>
      <c r="AH703" s="114"/>
      <c r="AI703" s="114"/>
      <c r="AJ703" s="114"/>
      <c r="AK703" s="114"/>
      <c r="AL703" s="114"/>
      <c r="AM703" s="114"/>
      <c r="AN703" s="114"/>
      <c r="AO703" s="114"/>
      <c r="AP703" s="114"/>
      <c r="AQ703" s="114"/>
      <c r="AR703" s="114"/>
      <c r="AS703" s="114"/>
      <c r="AT703" s="114"/>
      <c r="AU703" s="114"/>
      <c r="AV703" s="114"/>
      <c r="AW703" s="114"/>
      <c r="AX703" s="114"/>
      <c r="AY703" s="114"/>
      <c r="AZ703" s="114"/>
      <c r="BA703" s="114"/>
      <c r="BB703" s="114"/>
      <c r="BC703" s="114"/>
      <c r="BD703" s="114"/>
      <c r="BE703" s="114"/>
      <c r="BF703" s="114"/>
      <c r="BG703" s="114"/>
      <c r="BH703" s="114"/>
      <c r="BI703" s="114"/>
      <c r="BJ703" s="114"/>
      <c r="BK703" s="114"/>
      <c r="BL703" s="114"/>
      <c r="BM703" s="114"/>
      <c r="BN703" s="114"/>
      <c r="BO703" s="114"/>
      <c r="BP703" s="114"/>
      <c r="BQ703" s="114"/>
      <c r="BR703" s="114"/>
      <c r="BS703" s="114"/>
      <c r="BT703" s="114"/>
      <c r="BU703" s="114"/>
      <c r="BV703" s="114"/>
      <c r="BW703" s="114"/>
      <c r="BX703" s="114"/>
      <c r="BY703" s="114"/>
      <c r="BZ703" s="114"/>
      <c r="CA703" s="114"/>
      <c r="CB703" s="114"/>
      <c r="CC703" s="114"/>
      <c r="CD703" s="114"/>
      <c r="CE703" s="114"/>
      <c r="CF703" s="114"/>
      <c r="CG703" s="114"/>
      <c r="CH703" s="114"/>
      <c r="CI703" s="114"/>
      <c r="CJ703" s="114"/>
      <c r="CK703" s="114"/>
      <c r="CL703" s="114"/>
      <c r="CM703" s="114"/>
      <c r="CN703" s="114"/>
      <c r="CO703" s="114"/>
      <c r="CP703" s="114"/>
      <c r="CQ703" s="114"/>
      <c r="CR703" s="114"/>
      <c r="CS703" s="114"/>
      <c r="CT703" s="114"/>
      <c r="CU703" s="114"/>
      <c r="CV703" s="114"/>
    </row>
    <row r="704" spans="1:100" s="450" customFormat="1" ht="13.15" customHeight="1" outlineLevel="2" x14ac:dyDescent="0.2">
      <c r="A704" s="453"/>
      <c r="B704" s="453"/>
      <c r="C704" s="453"/>
      <c r="D704" s="453"/>
      <c r="E704" s="450" t="str">
        <f xml:space="preserve"> InpC!E$166</f>
        <v>Equity bridge margin - operations</v>
      </c>
      <c r="F704" s="450">
        <f xml:space="preserve"> InpC!F$166</f>
        <v>2.5000000000000001E-2</v>
      </c>
      <c r="G704" s="450" t="str">
        <f xml:space="preserve"> InpC!G$166</f>
        <v>% p.a.</v>
      </c>
    </row>
    <row r="705" spans="1:100" s="759" customFormat="1" ht="13.15" customHeight="1" outlineLevel="2" x14ac:dyDescent="0.2">
      <c r="A705" s="577"/>
      <c r="B705" s="577"/>
      <c r="C705" s="577"/>
      <c r="D705" s="577"/>
      <c r="E705" s="450" t="str">
        <f xml:space="preserve"> InpC!E$157</f>
        <v>Equity bridge day count convention</v>
      </c>
      <c r="F705" s="759">
        <f xml:space="preserve"> InpC!F$157</f>
        <v>360</v>
      </c>
      <c r="G705" s="450" t="str">
        <f xml:space="preserve"> InpC!G$157</f>
        <v>days</v>
      </c>
      <c r="J705" s="450"/>
      <c r="K705" s="450"/>
      <c r="L705" s="450"/>
      <c r="M705" s="450"/>
      <c r="N705" s="450"/>
      <c r="O705" s="450"/>
      <c r="P705" s="450"/>
      <c r="Q705" s="450"/>
      <c r="R705" s="450"/>
      <c r="S705" s="450"/>
      <c r="T705" s="450"/>
      <c r="U705" s="450"/>
      <c r="V705" s="450"/>
      <c r="W705" s="450"/>
      <c r="X705" s="450"/>
      <c r="Y705" s="450"/>
      <c r="Z705" s="450"/>
      <c r="AA705" s="450"/>
      <c r="AB705" s="450"/>
      <c r="AC705" s="450"/>
      <c r="AD705" s="450"/>
      <c r="AE705" s="450"/>
      <c r="AF705" s="450"/>
      <c r="AG705" s="450"/>
      <c r="AH705" s="450"/>
      <c r="AI705" s="450"/>
      <c r="AJ705" s="450"/>
      <c r="AK705" s="450"/>
      <c r="AL705" s="450"/>
      <c r="AM705" s="450"/>
      <c r="AN705" s="450"/>
      <c r="AO705" s="450"/>
      <c r="AP705" s="450"/>
      <c r="AQ705" s="450"/>
      <c r="AR705" s="450"/>
      <c r="AS705" s="450"/>
      <c r="AT705" s="450"/>
      <c r="AU705" s="450"/>
      <c r="AV705" s="450"/>
      <c r="AW705" s="450"/>
      <c r="AX705" s="450"/>
      <c r="AY705" s="450"/>
      <c r="AZ705" s="450"/>
      <c r="BA705" s="450"/>
      <c r="BB705" s="450"/>
      <c r="BC705" s="450"/>
      <c r="BD705" s="450"/>
      <c r="BE705" s="450"/>
      <c r="BF705" s="450"/>
      <c r="BG705" s="450"/>
      <c r="BH705" s="450"/>
      <c r="BI705" s="450"/>
      <c r="BJ705" s="450"/>
      <c r="BK705" s="450"/>
      <c r="BL705" s="450"/>
      <c r="BM705" s="450"/>
      <c r="BN705" s="450"/>
      <c r="BO705" s="450"/>
      <c r="BP705" s="450"/>
      <c r="BQ705" s="450"/>
      <c r="BR705" s="450"/>
      <c r="BS705" s="450"/>
      <c r="BT705" s="450"/>
      <c r="BU705" s="450"/>
      <c r="BV705" s="450"/>
      <c r="BW705" s="450"/>
      <c r="BX705" s="450"/>
      <c r="BY705" s="450"/>
      <c r="BZ705" s="450"/>
      <c r="CA705" s="450"/>
      <c r="CB705" s="450"/>
      <c r="CC705" s="450"/>
      <c r="CD705" s="450"/>
      <c r="CE705" s="450"/>
      <c r="CF705" s="450"/>
      <c r="CG705" s="450"/>
      <c r="CH705" s="450"/>
      <c r="CI705" s="450"/>
      <c r="CJ705" s="450"/>
      <c r="CK705" s="450"/>
      <c r="CL705" s="450"/>
      <c r="CM705" s="450"/>
      <c r="CN705" s="450"/>
      <c r="CO705" s="450"/>
      <c r="CP705" s="450"/>
      <c r="CQ705" s="450"/>
      <c r="CR705" s="450"/>
      <c r="CS705" s="450"/>
      <c r="CT705" s="450"/>
      <c r="CU705" s="450"/>
      <c r="CV705" s="450"/>
    </row>
    <row r="706" spans="1:100" s="734" customFormat="1" ht="13.15" customHeight="1" outlineLevel="2" x14ac:dyDescent="0.2">
      <c r="A706" s="732"/>
      <c r="B706" s="732"/>
      <c r="C706" s="732"/>
      <c r="D706" s="732"/>
      <c r="E706" s="814" t="str">
        <f t="shared" ref="E706:AJ706" si="1094" xml:space="preserve"> E$702</f>
        <v>All in equity bridge base rate</v>
      </c>
      <c r="F706" s="814">
        <f t="shared" si="1094"/>
        <v>0</v>
      </c>
      <c r="G706" s="814" t="str">
        <f t="shared" si="1094"/>
        <v>% p.a.</v>
      </c>
      <c r="H706" s="814">
        <f t="shared" si="1094"/>
        <v>0</v>
      </c>
      <c r="I706" s="814">
        <f t="shared" si="1094"/>
        <v>0</v>
      </c>
      <c r="J706" s="814">
        <f t="shared" si="1094"/>
        <v>0</v>
      </c>
      <c r="K706" s="814">
        <f t="shared" si="1094"/>
        <v>0</v>
      </c>
      <c r="L706" s="814">
        <f t="shared" si="1094"/>
        <v>0</v>
      </c>
      <c r="M706" s="814">
        <f t="shared" si="1094"/>
        <v>0</v>
      </c>
      <c r="N706" s="814">
        <f t="shared" si="1094"/>
        <v>0</v>
      </c>
      <c r="O706" s="814">
        <f t="shared" si="1094"/>
        <v>2.0375000000000004E-2</v>
      </c>
      <c r="P706" s="814">
        <f t="shared" si="1094"/>
        <v>2.0434000000000004E-2</v>
      </c>
      <c r="Q706" s="814">
        <f t="shared" si="1094"/>
        <v>2.0506000000000003E-2</v>
      </c>
      <c r="R706" s="814">
        <f t="shared" si="1094"/>
        <v>2.0569000000000004E-2</v>
      </c>
      <c r="S706" s="814">
        <f t="shared" si="1094"/>
        <v>2.0620000000000003E-2</v>
      </c>
      <c r="T706" s="814">
        <f t="shared" si="1094"/>
        <v>2.0666000000000004E-2</v>
      </c>
      <c r="U706" s="814">
        <f t="shared" si="1094"/>
        <v>2.0719000000000005E-2</v>
      </c>
      <c r="V706" s="814">
        <f t="shared" si="1094"/>
        <v>2.0757000000000005E-2</v>
      </c>
      <c r="W706" s="814">
        <f t="shared" si="1094"/>
        <v>2.0795000000000004E-2</v>
      </c>
      <c r="X706" s="814">
        <f t="shared" si="1094"/>
        <v>2.0850000000000004E-2</v>
      </c>
      <c r="Y706" s="814">
        <f t="shared" si="1094"/>
        <v>2.0888000000000004E-2</v>
      </c>
      <c r="Z706" s="814">
        <f t="shared" si="1094"/>
        <v>2.0954000000000004E-2</v>
      </c>
      <c r="AA706" s="814">
        <f t="shared" si="1094"/>
        <v>2.1024000000000004E-2</v>
      </c>
      <c r="AB706" s="814">
        <f t="shared" si="1094"/>
        <v>2.1091000000000006E-2</v>
      </c>
      <c r="AC706" s="814">
        <f t="shared" si="1094"/>
        <v>2.1134000000000007E-2</v>
      </c>
      <c r="AD706" s="814">
        <f t="shared" si="1094"/>
        <v>2.1205000000000009E-2</v>
      </c>
      <c r="AE706" s="814">
        <f t="shared" si="1094"/>
        <v>2.127900000000001E-2</v>
      </c>
      <c r="AF706" s="814">
        <f t="shared" si="1094"/>
        <v>2.1316000000000009E-2</v>
      </c>
      <c r="AG706" s="814">
        <f t="shared" si="1094"/>
        <v>2.1367000000000008E-2</v>
      </c>
      <c r="AH706" s="814">
        <f t="shared" si="1094"/>
        <v>2.1421000000000006E-2</v>
      </c>
      <c r="AI706" s="814">
        <f t="shared" si="1094"/>
        <v>2.1470000000000006E-2</v>
      </c>
      <c r="AJ706" s="814">
        <f t="shared" si="1094"/>
        <v>2.1516000000000007E-2</v>
      </c>
      <c r="AK706" s="814">
        <f t="shared" ref="AK706:BP706" si="1095" xml:space="preserve"> AK$702</f>
        <v>2.1570000000000006E-2</v>
      </c>
      <c r="AL706" s="814">
        <f t="shared" si="1095"/>
        <v>2.1639000000000005E-2</v>
      </c>
      <c r="AM706" s="814">
        <f t="shared" si="1095"/>
        <v>2.1709000000000006E-2</v>
      </c>
      <c r="AN706" s="814">
        <f t="shared" si="1095"/>
        <v>2.1772000000000007E-2</v>
      </c>
      <c r="AO706" s="814">
        <f t="shared" si="1095"/>
        <v>2.1813000000000006E-2</v>
      </c>
      <c r="AP706" s="814">
        <f t="shared" si="1095"/>
        <v>2.1858000000000006E-2</v>
      </c>
      <c r="AQ706" s="814">
        <f t="shared" si="1095"/>
        <v>2.1913000000000005E-2</v>
      </c>
      <c r="AR706" s="814">
        <f t="shared" si="1095"/>
        <v>2.1986000000000006E-2</v>
      </c>
      <c r="AS706" s="814">
        <f t="shared" si="1095"/>
        <v>2.2041000000000005E-2</v>
      </c>
      <c r="AT706" s="814">
        <f t="shared" si="1095"/>
        <v>2.2089000000000004E-2</v>
      </c>
      <c r="AU706" s="814">
        <f t="shared" si="1095"/>
        <v>2.2148000000000004E-2</v>
      </c>
      <c r="AV706" s="814">
        <f t="shared" si="1095"/>
        <v>2.2216000000000003E-2</v>
      </c>
      <c r="AW706" s="814">
        <f t="shared" si="1095"/>
        <v>2.2282000000000003E-2</v>
      </c>
      <c r="AX706" s="814">
        <f t="shared" si="1095"/>
        <v>2.2351000000000003E-2</v>
      </c>
      <c r="AY706" s="814">
        <f t="shared" si="1095"/>
        <v>2.2409000000000002E-2</v>
      </c>
      <c r="AZ706" s="814">
        <f t="shared" si="1095"/>
        <v>2.2445000000000003E-2</v>
      </c>
      <c r="BA706" s="814">
        <f t="shared" si="1095"/>
        <v>2.2489000000000002E-2</v>
      </c>
      <c r="BB706" s="814">
        <f t="shared" si="1095"/>
        <v>2.2535000000000003E-2</v>
      </c>
      <c r="BC706" s="814">
        <f t="shared" si="1095"/>
        <v>0</v>
      </c>
      <c r="BD706" s="814">
        <f t="shared" si="1095"/>
        <v>0</v>
      </c>
      <c r="BE706" s="814">
        <f t="shared" si="1095"/>
        <v>0</v>
      </c>
      <c r="BF706" s="814">
        <f t="shared" si="1095"/>
        <v>0</v>
      </c>
      <c r="BG706" s="814">
        <f t="shared" si="1095"/>
        <v>0</v>
      </c>
      <c r="BH706" s="814">
        <f t="shared" si="1095"/>
        <v>0</v>
      </c>
      <c r="BI706" s="814">
        <f t="shared" si="1095"/>
        <v>0</v>
      </c>
      <c r="BJ706" s="814">
        <f t="shared" si="1095"/>
        <v>0</v>
      </c>
      <c r="BK706" s="814">
        <f t="shared" si="1095"/>
        <v>0</v>
      </c>
      <c r="BL706" s="814">
        <f t="shared" si="1095"/>
        <v>0</v>
      </c>
      <c r="BM706" s="814">
        <f t="shared" si="1095"/>
        <v>0</v>
      </c>
      <c r="BN706" s="814">
        <f t="shared" si="1095"/>
        <v>0</v>
      </c>
      <c r="BO706" s="814">
        <f t="shared" si="1095"/>
        <v>0</v>
      </c>
      <c r="BP706" s="814">
        <f t="shared" si="1095"/>
        <v>0</v>
      </c>
      <c r="BQ706" s="814">
        <f t="shared" ref="BQ706:CV706" si="1096" xml:space="preserve"> BQ$702</f>
        <v>0</v>
      </c>
      <c r="BR706" s="814">
        <f t="shared" si="1096"/>
        <v>0</v>
      </c>
      <c r="BS706" s="814">
        <f t="shared" si="1096"/>
        <v>0</v>
      </c>
      <c r="BT706" s="814">
        <f t="shared" si="1096"/>
        <v>0</v>
      </c>
      <c r="BU706" s="814">
        <f t="shared" si="1096"/>
        <v>0</v>
      </c>
      <c r="BV706" s="814">
        <f t="shared" si="1096"/>
        <v>0</v>
      </c>
      <c r="BW706" s="814">
        <f t="shared" si="1096"/>
        <v>0</v>
      </c>
      <c r="BX706" s="814">
        <f t="shared" si="1096"/>
        <v>0</v>
      </c>
      <c r="BY706" s="814">
        <f t="shared" si="1096"/>
        <v>0</v>
      </c>
      <c r="BZ706" s="814">
        <f t="shared" si="1096"/>
        <v>0</v>
      </c>
      <c r="CA706" s="814">
        <f t="shared" si="1096"/>
        <v>0</v>
      </c>
      <c r="CB706" s="814">
        <f t="shared" si="1096"/>
        <v>0</v>
      </c>
      <c r="CC706" s="814">
        <f t="shared" si="1096"/>
        <v>0</v>
      </c>
      <c r="CD706" s="814">
        <f t="shared" si="1096"/>
        <v>0</v>
      </c>
      <c r="CE706" s="814">
        <f t="shared" si="1096"/>
        <v>0</v>
      </c>
      <c r="CF706" s="814">
        <f t="shared" si="1096"/>
        <v>0</v>
      </c>
      <c r="CG706" s="814">
        <f t="shared" si="1096"/>
        <v>0</v>
      </c>
      <c r="CH706" s="814">
        <f t="shared" si="1096"/>
        <v>0</v>
      </c>
      <c r="CI706" s="814">
        <f t="shared" si="1096"/>
        <v>0</v>
      </c>
      <c r="CJ706" s="814">
        <f t="shared" si="1096"/>
        <v>0</v>
      </c>
      <c r="CK706" s="814">
        <f t="shared" si="1096"/>
        <v>0</v>
      </c>
      <c r="CL706" s="814">
        <f t="shared" si="1096"/>
        <v>0</v>
      </c>
      <c r="CM706" s="814">
        <f t="shared" si="1096"/>
        <v>0</v>
      </c>
      <c r="CN706" s="814">
        <f t="shared" si="1096"/>
        <v>0</v>
      </c>
      <c r="CO706" s="814">
        <f t="shared" si="1096"/>
        <v>0</v>
      </c>
      <c r="CP706" s="814">
        <f t="shared" si="1096"/>
        <v>0</v>
      </c>
      <c r="CQ706" s="814">
        <f t="shared" si="1096"/>
        <v>0</v>
      </c>
      <c r="CR706" s="814">
        <f t="shared" si="1096"/>
        <v>0</v>
      </c>
      <c r="CS706" s="814">
        <f t="shared" si="1096"/>
        <v>0</v>
      </c>
      <c r="CT706" s="814">
        <f t="shared" si="1096"/>
        <v>0</v>
      </c>
      <c r="CU706" s="814">
        <f t="shared" si="1096"/>
        <v>0</v>
      </c>
      <c r="CV706" s="814">
        <f t="shared" si="1096"/>
        <v>0</v>
      </c>
    </row>
    <row r="707" spans="1:100" s="764" customFormat="1" ht="13.15" customHeight="1" outlineLevel="2" x14ac:dyDescent="0.2">
      <c r="A707" s="787"/>
      <c r="B707" s="787"/>
      <c r="C707" s="787"/>
      <c r="D707" s="787"/>
      <c r="E707" s="789" t="str">
        <f xml:space="preserve"> Time!E$246</f>
        <v>Days in period</v>
      </c>
      <c r="F707" s="789">
        <f xml:space="preserve"> Time!F$246</f>
        <v>0</v>
      </c>
      <c r="G707" s="789" t="str">
        <f xml:space="preserve"> Time!G$246</f>
        <v>days</v>
      </c>
      <c r="H707" s="789">
        <f xml:space="preserve"> Time!H$246</f>
        <v>0</v>
      </c>
      <c r="I707" s="789">
        <f xml:space="preserve"> Time!I$246</f>
        <v>0</v>
      </c>
      <c r="J707" s="789">
        <f xml:space="preserve"> Time!J$246</f>
        <v>181</v>
      </c>
      <c r="K707" s="789">
        <f xml:space="preserve"> Time!K$246</f>
        <v>184</v>
      </c>
      <c r="L707" s="789">
        <f xml:space="preserve"> Time!L$246</f>
        <v>181</v>
      </c>
      <c r="M707" s="789">
        <f xml:space="preserve"> Time!M$246</f>
        <v>184</v>
      </c>
      <c r="N707" s="789">
        <f xml:space="preserve"> Time!N$246</f>
        <v>182</v>
      </c>
      <c r="O707" s="789">
        <f xml:space="preserve"> Time!O$246</f>
        <v>184</v>
      </c>
      <c r="P707" s="789">
        <f xml:space="preserve"> Time!P$246</f>
        <v>181</v>
      </c>
      <c r="Q707" s="789">
        <f xml:space="preserve"> Time!Q$246</f>
        <v>184</v>
      </c>
      <c r="R707" s="789">
        <f xml:space="preserve"> Time!R$246</f>
        <v>181</v>
      </c>
      <c r="S707" s="789">
        <f xml:space="preserve"> Time!S$246</f>
        <v>184</v>
      </c>
      <c r="T707" s="789">
        <f xml:space="preserve"> Time!T$246</f>
        <v>181</v>
      </c>
      <c r="U707" s="789">
        <f xml:space="preserve"> Time!U$246</f>
        <v>184</v>
      </c>
      <c r="V707" s="789">
        <f xml:space="preserve"> Time!V$246</f>
        <v>182</v>
      </c>
      <c r="W707" s="789">
        <f xml:space="preserve"> Time!W$246</f>
        <v>184</v>
      </c>
      <c r="X707" s="789">
        <f xml:space="preserve"> Time!X$246</f>
        <v>181</v>
      </c>
      <c r="Y707" s="789">
        <f xml:space="preserve"> Time!Y$246</f>
        <v>184</v>
      </c>
      <c r="Z707" s="789">
        <f xml:space="preserve"> Time!Z$246</f>
        <v>181</v>
      </c>
      <c r="AA707" s="789">
        <f xml:space="preserve"> Time!AA$246</f>
        <v>184</v>
      </c>
      <c r="AB707" s="789">
        <f xml:space="preserve"> Time!AB$246</f>
        <v>181</v>
      </c>
      <c r="AC707" s="789">
        <f xml:space="preserve"> Time!AC$246</f>
        <v>184</v>
      </c>
      <c r="AD707" s="789">
        <f xml:space="preserve"> Time!AD$246</f>
        <v>182</v>
      </c>
      <c r="AE707" s="789">
        <f xml:space="preserve"> Time!AE$246</f>
        <v>184</v>
      </c>
      <c r="AF707" s="789">
        <f xml:space="preserve"> Time!AF$246</f>
        <v>181</v>
      </c>
      <c r="AG707" s="789">
        <f xml:space="preserve"> Time!AG$246</f>
        <v>184</v>
      </c>
      <c r="AH707" s="789">
        <f xml:space="preserve"> Time!AH$246</f>
        <v>181</v>
      </c>
      <c r="AI707" s="789">
        <f xml:space="preserve"> Time!AI$246</f>
        <v>184</v>
      </c>
      <c r="AJ707" s="789">
        <f xml:space="preserve"> Time!AJ$246</f>
        <v>181</v>
      </c>
      <c r="AK707" s="789">
        <f xml:space="preserve"> Time!AK$246</f>
        <v>184</v>
      </c>
      <c r="AL707" s="789">
        <f xml:space="preserve"> Time!AL$246</f>
        <v>182</v>
      </c>
      <c r="AM707" s="789">
        <f xml:space="preserve"> Time!AM$246</f>
        <v>184</v>
      </c>
      <c r="AN707" s="789">
        <f xml:space="preserve"> Time!AN$246</f>
        <v>181</v>
      </c>
      <c r="AO707" s="789">
        <f xml:space="preserve"> Time!AO$246</f>
        <v>184</v>
      </c>
      <c r="AP707" s="789">
        <f xml:space="preserve"> Time!AP$246</f>
        <v>181</v>
      </c>
      <c r="AQ707" s="789">
        <f xml:space="preserve"> Time!AQ$246</f>
        <v>184</v>
      </c>
      <c r="AR707" s="789">
        <f xml:space="preserve"> Time!AR$246</f>
        <v>181</v>
      </c>
      <c r="AS707" s="789">
        <f xml:space="preserve"> Time!AS$246</f>
        <v>184</v>
      </c>
      <c r="AT707" s="789">
        <f xml:space="preserve"> Time!AT$246</f>
        <v>182</v>
      </c>
      <c r="AU707" s="789">
        <f xml:space="preserve"> Time!AU$246</f>
        <v>184</v>
      </c>
      <c r="AV707" s="789">
        <f xml:space="preserve"> Time!AV$246</f>
        <v>181</v>
      </c>
      <c r="AW707" s="789">
        <f xml:space="preserve"> Time!AW$246</f>
        <v>184</v>
      </c>
      <c r="AX707" s="789">
        <f xml:space="preserve"> Time!AX$246</f>
        <v>181</v>
      </c>
      <c r="AY707" s="789">
        <f xml:space="preserve"> Time!AY$246</f>
        <v>184</v>
      </c>
      <c r="AZ707" s="789">
        <f xml:space="preserve"> Time!AZ$246</f>
        <v>181</v>
      </c>
      <c r="BA707" s="789">
        <f xml:space="preserve"> Time!BA$246</f>
        <v>184</v>
      </c>
      <c r="BB707" s="789">
        <f xml:space="preserve"> Time!BB$246</f>
        <v>182</v>
      </c>
      <c r="BC707" s="789">
        <f xml:space="preserve"> Time!BC$246</f>
        <v>184</v>
      </c>
      <c r="BD707" s="789">
        <f xml:space="preserve"> Time!BD$246</f>
        <v>181</v>
      </c>
      <c r="BE707" s="789">
        <f xml:space="preserve"> Time!BE$246</f>
        <v>184</v>
      </c>
      <c r="BF707" s="789">
        <f xml:space="preserve"> Time!BF$246</f>
        <v>181</v>
      </c>
      <c r="BG707" s="789">
        <f xml:space="preserve"> Time!BG$246</f>
        <v>184</v>
      </c>
      <c r="BH707" s="789">
        <f xml:space="preserve"> Time!BH$246</f>
        <v>181</v>
      </c>
      <c r="BI707" s="789">
        <f xml:space="preserve"> Time!BI$246</f>
        <v>184</v>
      </c>
      <c r="BJ707" s="789">
        <f xml:space="preserve"> Time!BJ$246</f>
        <v>182</v>
      </c>
      <c r="BK707" s="789">
        <f xml:space="preserve"> Time!BK$246</f>
        <v>184</v>
      </c>
      <c r="BL707" s="789">
        <f xml:space="preserve"> Time!BL$246</f>
        <v>181</v>
      </c>
      <c r="BM707" s="789">
        <f xml:space="preserve"> Time!BM$246</f>
        <v>184</v>
      </c>
      <c r="BN707" s="789">
        <f xml:space="preserve"> Time!BN$246</f>
        <v>181</v>
      </c>
      <c r="BO707" s="789">
        <f xml:space="preserve"> Time!BO$246</f>
        <v>184</v>
      </c>
      <c r="BP707" s="789">
        <f xml:space="preserve"> Time!BP$246</f>
        <v>181</v>
      </c>
      <c r="BQ707" s="789">
        <f xml:space="preserve"> Time!BQ$246</f>
        <v>184</v>
      </c>
      <c r="BR707" s="789">
        <f xml:space="preserve"> Time!BR$246</f>
        <v>182</v>
      </c>
      <c r="BS707" s="789">
        <f xml:space="preserve"> Time!BS$246</f>
        <v>184</v>
      </c>
      <c r="BT707" s="789">
        <f xml:space="preserve"> Time!BT$246</f>
        <v>181</v>
      </c>
      <c r="BU707" s="789">
        <f xml:space="preserve"> Time!BU$246</f>
        <v>184</v>
      </c>
      <c r="BV707" s="789">
        <f xml:space="preserve"> Time!BV$246</f>
        <v>181</v>
      </c>
      <c r="BW707" s="789">
        <f xml:space="preserve"> Time!BW$246</f>
        <v>184</v>
      </c>
      <c r="BX707" s="789">
        <f xml:space="preserve"> Time!BX$246</f>
        <v>181</v>
      </c>
      <c r="BY707" s="789">
        <f xml:space="preserve"> Time!BY$246</f>
        <v>184</v>
      </c>
      <c r="BZ707" s="789">
        <f xml:space="preserve"> Time!BZ$246</f>
        <v>182</v>
      </c>
      <c r="CA707" s="789">
        <f xml:space="preserve"> Time!CA$246</f>
        <v>184</v>
      </c>
      <c r="CB707" s="789">
        <f xml:space="preserve"> Time!CB$246</f>
        <v>181</v>
      </c>
      <c r="CC707" s="789">
        <f xml:space="preserve"> Time!CC$246</f>
        <v>184</v>
      </c>
      <c r="CD707" s="789">
        <f xml:space="preserve"> Time!CD$246</f>
        <v>181</v>
      </c>
      <c r="CE707" s="789">
        <f xml:space="preserve"> Time!CE$246</f>
        <v>184</v>
      </c>
      <c r="CF707" s="789">
        <f xml:space="preserve"> Time!CF$246</f>
        <v>181</v>
      </c>
      <c r="CG707" s="789">
        <f xml:space="preserve"> Time!CG$246</f>
        <v>184</v>
      </c>
      <c r="CH707" s="789">
        <f xml:space="preserve"> Time!CH$246</f>
        <v>182</v>
      </c>
      <c r="CI707" s="789">
        <f xml:space="preserve"> Time!CI$246</f>
        <v>184</v>
      </c>
      <c r="CJ707" s="789">
        <f xml:space="preserve"> Time!CJ$246</f>
        <v>181</v>
      </c>
      <c r="CK707" s="789">
        <f xml:space="preserve"> Time!CK$246</f>
        <v>184</v>
      </c>
      <c r="CL707" s="789">
        <f xml:space="preserve"> Time!CL$246</f>
        <v>181</v>
      </c>
      <c r="CM707" s="789">
        <f xml:space="preserve"> Time!CM$246</f>
        <v>184</v>
      </c>
      <c r="CN707" s="789">
        <f xml:space="preserve"> Time!CN$246</f>
        <v>181</v>
      </c>
      <c r="CO707" s="789">
        <f xml:space="preserve"> Time!CO$246</f>
        <v>184</v>
      </c>
      <c r="CP707" s="789">
        <f xml:space="preserve"> Time!CP$246</f>
        <v>182</v>
      </c>
      <c r="CQ707" s="789">
        <f xml:space="preserve"> Time!CQ$246</f>
        <v>184</v>
      </c>
      <c r="CR707" s="789">
        <f xml:space="preserve"> Time!CR$246</f>
        <v>181</v>
      </c>
      <c r="CS707" s="789">
        <f xml:space="preserve"> Time!CS$246</f>
        <v>184</v>
      </c>
      <c r="CT707" s="789">
        <f xml:space="preserve"> Time!CT$246</f>
        <v>181</v>
      </c>
      <c r="CU707" s="789">
        <f xml:space="preserve"> Time!CU$246</f>
        <v>184</v>
      </c>
      <c r="CV707" s="789">
        <f xml:space="preserve"> Time!CV$246</f>
        <v>181</v>
      </c>
    </row>
    <row r="708" spans="1:100" s="764" customFormat="1" ht="13.15" customHeight="1" outlineLevel="2" x14ac:dyDescent="0.2">
      <c r="A708" s="787"/>
      <c r="B708" s="787"/>
      <c r="C708" s="787"/>
      <c r="D708" s="787"/>
      <c r="E708" s="792" t="str">
        <f xml:space="preserve"> Time!E$106</f>
        <v>Operating period flag</v>
      </c>
      <c r="F708" s="792">
        <f xml:space="preserve"> Time!F$106</f>
        <v>0</v>
      </c>
      <c r="G708" s="792" t="str">
        <f xml:space="preserve"> Time!G$106</f>
        <v>flag</v>
      </c>
      <c r="H708" s="792">
        <f xml:space="preserve"> Time!H$106</f>
        <v>40</v>
      </c>
      <c r="I708" s="792">
        <f xml:space="preserve"> Time!I$106</f>
        <v>0</v>
      </c>
      <c r="J708" s="792">
        <f xml:space="preserve"> Time!J$106</f>
        <v>0</v>
      </c>
      <c r="K708" s="792">
        <f xml:space="preserve"> Time!K$106</f>
        <v>0</v>
      </c>
      <c r="L708" s="792">
        <f xml:space="preserve"> Time!L$106</f>
        <v>0</v>
      </c>
      <c r="M708" s="792">
        <f xml:space="preserve"> Time!M$106</f>
        <v>0</v>
      </c>
      <c r="N708" s="792">
        <f xml:space="preserve"> Time!N$106</f>
        <v>0</v>
      </c>
      <c r="O708" s="792">
        <f xml:space="preserve"> Time!O$106</f>
        <v>1</v>
      </c>
      <c r="P708" s="792">
        <f xml:space="preserve"> Time!P$106</f>
        <v>1</v>
      </c>
      <c r="Q708" s="792">
        <f xml:space="preserve"> Time!Q$106</f>
        <v>1</v>
      </c>
      <c r="R708" s="792">
        <f xml:space="preserve"> Time!R$106</f>
        <v>1</v>
      </c>
      <c r="S708" s="792">
        <f xml:space="preserve"> Time!S$106</f>
        <v>1</v>
      </c>
      <c r="T708" s="792">
        <f xml:space="preserve"> Time!T$106</f>
        <v>1</v>
      </c>
      <c r="U708" s="792">
        <f xml:space="preserve"> Time!U$106</f>
        <v>1</v>
      </c>
      <c r="V708" s="792">
        <f xml:space="preserve"> Time!V$106</f>
        <v>1</v>
      </c>
      <c r="W708" s="792">
        <f xml:space="preserve"> Time!W$106</f>
        <v>1</v>
      </c>
      <c r="X708" s="792">
        <f xml:space="preserve"> Time!X$106</f>
        <v>1</v>
      </c>
      <c r="Y708" s="792">
        <f xml:space="preserve"> Time!Y$106</f>
        <v>1</v>
      </c>
      <c r="Z708" s="792">
        <f xml:space="preserve"> Time!Z$106</f>
        <v>1</v>
      </c>
      <c r="AA708" s="792">
        <f xml:space="preserve"> Time!AA$106</f>
        <v>1</v>
      </c>
      <c r="AB708" s="792">
        <f xml:space="preserve"> Time!AB$106</f>
        <v>1</v>
      </c>
      <c r="AC708" s="792">
        <f xml:space="preserve"> Time!AC$106</f>
        <v>1</v>
      </c>
      <c r="AD708" s="792">
        <f xml:space="preserve"> Time!AD$106</f>
        <v>1</v>
      </c>
      <c r="AE708" s="792">
        <f xml:space="preserve"> Time!AE$106</f>
        <v>1</v>
      </c>
      <c r="AF708" s="792">
        <f xml:space="preserve"> Time!AF$106</f>
        <v>1</v>
      </c>
      <c r="AG708" s="792">
        <f xml:space="preserve"> Time!AG$106</f>
        <v>1</v>
      </c>
      <c r="AH708" s="792">
        <f xml:space="preserve"> Time!AH$106</f>
        <v>1</v>
      </c>
      <c r="AI708" s="792">
        <f xml:space="preserve"> Time!AI$106</f>
        <v>1</v>
      </c>
      <c r="AJ708" s="792">
        <f xml:space="preserve"> Time!AJ$106</f>
        <v>1</v>
      </c>
      <c r="AK708" s="792">
        <f xml:space="preserve"> Time!AK$106</f>
        <v>1</v>
      </c>
      <c r="AL708" s="792">
        <f xml:space="preserve"> Time!AL$106</f>
        <v>1</v>
      </c>
      <c r="AM708" s="792">
        <f xml:space="preserve"> Time!AM$106</f>
        <v>1</v>
      </c>
      <c r="AN708" s="792">
        <f xml:space="preserve"> Time!AN$106</f>
        <v>1</v>
      </c>
      <c r="AO708" s="792">
        <f xml:space="preserve"> Time!AO$106</f>
        <v>1</v>
      </c>
      <c r="AP708" s="792">
        <f xml:space="preserve"> Time!AP$106</f>
        <v>1</v>
      </c>
      <c r="AQ708" s="792">
        <f xml:space="preserve"> Time!AQ$106</f>
        <v>1</v>
      </c>
      <c r="AR708" s="792">
        <f xml:space="preserve"> Time!AR$106</f>
        <v>1</v>
      </c>
      <c r="AS708" s="792">
        <f xml:space="preserve"> Time!AS$106</f>
        <v>1</v>
      </c>
      <c r="AT708" s="792">
        <f xml:space="preserve"> Time!AT$106</f>
        <v>1</v>
      </c>
      <c r="AU708" s="792">
        <f xml:space="preserve"> Time!AU$106</f>
        <v>1</v>
      </c>
      <c r="AV708" s="792">
        <f xml:space="preserve"> Time!AV$106</f>
        <v>1</v>
      </c>
      <c r="AW708" s="792">
        <f xml:space="preserve"> Time!AW$106</f>
        <v>1</v>
      </c>
      <c r="AX708" s="792">
        <f xml:space="preserve"> Time!AX$106</f>
        <v>1</v>
      </c>
      <c r="AY708" s="792">
        <f xml:space="preserve"> Time!AY$106</f>
        <v>1</v>
      </c>
      <c r="AZ708" s="792">
        <f xml:space="preserve"> Time!AZ$106</f>
        <v>1</v>
      </c>
      <c r="BA708" s="792">
        <f xml:space="preserve"> Time!BA$106</f>
        <v>1</v>
      </c>
      <c r="BB708" s="792">
        <f xml:space="preserve"> Time!BB$106</f>
        <v>1</v>
      </c>
      <c r="BC708" s="792">
        <f xml:space="preserve"> Time!BC$106</f>
        <v>0</v>
      </c>
      <c r="BD708" s="792">
        <f xml:space="preserve"> Time!BD$106</f>
        <v>0</v>
      </c>
      <c r="BE708" s="792">
        <f xml:space="preserve"> Time!BE$106</f>
        <v>0</v>
      </c>
      <c r="BF708" s="792">
        <f xml:space="preserve"> Time!BF$106</f>
        <v>0</v>
      </c>
      <c r="BG708" s="792">
        <f xml:space="preserve"> Time!BG$106</f>
        <v>0</v>
      </c>
      <c r="BH708" s="792">
        <f xml:space="preserve"> Time!BH$106</f>
        <v>0</v>
      </c>
      <c r="BI708" s="792">
        <f xml:space="preserve"> Time!BI$106</f>
        <v>0</v>
      </c>
      <c r="BJ708" s="792">
        <f xml:space="preserve"> Time!BJ$106</f>
        <v>0</v>
      </c>
      <c r="BK708" s="792">
        <f xml:space="preserve"> Time!BK$106</f>
        <v>0</v>
      </c>
      <c r="BL708" s="792">
        <f xml:space="preserve"> Time!BL$106</f>
        <v>0</v>
      </c>
      <c r="BM708" s="792">
        <f xml:space="preserve"> Time!BM$106</f>
        <v>0</v>
      </c>
      <c r="BN708" s="792">
        <f xml:space="preserve"> Time!BN$106</f>
        <v>0</v>
      </c>
      <c r="BO708" s="792">
        <f xml:space="preserve"> Time!BO$106</f>
        <v>0</v>
      </c>
      <c r="BP708" s="792">
        <f xml:space="preserve"> Time!BP$106</f>
        <v>0</v>
      </c>
      <c r="BQ708" s="792">
        <f xml:space="preserve"> Time!BQ$106</f>
        <v>0</v>
      </c>
      <c r="BR708" s="792">
        <f xml:space="preserve"> Time!BR$106</f>
        <v>0</v>
      </c>
      <c r="BS708" s="792">
        <f xml:space="preserve"> Time!BS$106</f>
        <v>0</v>
      </c>
      <c r="BT708" s="792">
        <f xml:space="preserve"> Time!BT$106</f>
        <v>0</v>
      </c>
      <c r="BU708" s="792">
        <f xml:space="preserve"> Time!BU$106</f>
        <v>0</v>
      </c>
      <c r="BV708" s="792">
        <f xml:space="preserve"> Time!BV$106</f>
        <v>0</v>
      </c>
      <c r="BW708" s="792">
        <f xml:space="preserve"> Time!BW$106</f>
        <v>0</v>
      </c>
      <c r="BX708" s="792">
        <f xml:space="preserve"> Time!BX$106</f>
        <v>0</v>
      </c>
      <c r="BY708" s="792">
        <f xml:space="preserve"> Time!BY$106</f>
        <v>0</v>
      </c>
      <c r="BZ708" s="792">
        <f xml:space="preserve"> Time!BZ$106</f>
        <v>0</v>
      </c>
      <c r="CA708" s="792">
        <f xml:space="preserve"> Time!CA$106</f>
        <v>0</v>
      </c>
      <c r="CB708" s="792">
        <f xml:space="preserve"> Time!CB$106</f>
        <v>0</v>
      </c>
      <c r="CC708" s="792">
        <f xml:space="preserve"> Time!CC$106</f>
        <v>0</v>
      </c>
      <c r="CD708" s="792">
        <f xml:space="preserve"> Time!CD$106</f>
        <v>0</v>
      </c>
      <c r="CE708" s="792">
        <f xml:space="preserve"> Time!CE$106</f>
        <v>0</v>
      </c>
      <c r="CF708" s="792">
        <f xml:space="preserve"> Time!CF$106</f>
        <v>0</v>
      </c>
      <c r="CG708" s="792">
        <f xml:space="preserve"> Time!CG$106</f>
        <v>0</v>
      </c>
      <c r="CH708" s="792">
        <f xml:space="preserve"> Time!CH$106</f>
        <v>0</v>
      </c>
      <c r="CI708" s="792">
        <f xml:space="preserve"> Time!CI$106</f>
        <v>0</v>
      </c>
      <c r="CJ708" s="792">
        <f xml:space="preserve"> Time!CJ$106</f>
        <v>0</v>
      </c>
      <c r="CK708" s="792">
        <f xml:space="preserve"> Time!CK$106</f>
        <v>0</v>
      </c>
      <c r="CL708" s="792">
        <f xml:space="preserve"> Time!CL$106</f>
        <v>0</v>
      </c>
      <c r="CM708" s="792">
        <f xml:space="preserve"> Time!CM$106</f>
        <v>0</v>
      </c>
      <c r="CN708" s="792">
        <f xml:space="preserve"> Time!CN$106</f>
        <v>0</v>
      </c>
      <c r="CO708" s="792">
        <f xml:space="preserve"> Time!CO$106</f>
        <v>0</v>
      </c>
      <c r="CP708" s="792">
        <f xml:space="preserve"> Time!CP$106</f>
        <v>0</v>
      </c>
      <c r="CQ708" s="792">
        <f xml:space="preserve"> Time!CQ$106</f>
        <v>0</v>
      </c>
      <c r="CR708" s="792">
        <f xml:space="preserve"> Time!CR$106</f>
        <v>0</v>
      </c>
      <c r="CS708" s="792">
        <f xml:space="preserve"> Time!CS$106</f>
        <v>0</v>
      </c>
      <c r="CT708" s="792">
        <f xml:space="preserve"> Time!CT$106</f>
        <v>0</v>
      </c>
      <c r="CU708" s="792">
        <f xml:space="preserve"> Time!CU$106</f>
        <v>0</v>
      </c>
      <c r="CV708" s="792">
        <f xml:space="preserve"> Time!CV$106</f>
        <v>0</v>
      </c>
    </row>
    <row r="709" spans="1:100" s="734" customFormat="1" ht="13.15" customHeight="1" outlineLevel="2" x14ac:dyDescent="0.2">
      <c r="A709" s="732"/>
      <c r="B709" s="732"/>
      <c r="C709" s="732"/>
      <c r="D709" s="732"/>
      <c r="E709" s="282" t="s">
        <v>550</v>
      </c>
      <c r="F709" s="114"/>
      <c r="G709" s="282" t="s">
        <v>103</v>
      </c>
      <c r="H709" s="114"/>
      <c r="I709" s="114"/>
      <c r="J709" s="282">
        <f t="shared" ref="J709:AO709" si="1097" xml:space="preserve"> ($F704 + J706) / $F705 * J707 * J708</f>
        <v>0</v>
      </c>
      <c r="K709" s="282">
        <f t="shared" si="1097"/>
        <v>0</v>
      </c>
      <c r="L709" s="282">
        <f t="shared" si="1097"/>
        <v>0</v>
      </c>
      <c r="M709" s="282">
        <f t="shared" si="1097"/>
        <v>0</v>
      </c>
      <c r="N709" s="282">
        <f t="shared" si="1097"/>
        <v>0</v>
      </c>
      <c r="O709" s="282">
        <f t="shared" si="1097"/>
        <v>2.3191666666666669E-2</v>
      </c>
      <c r="P709" s="282">
        <f t="shared" si="1097"/>
        <v>2.2843205555555555E-2</v>
      </c>
      <c r="Q709" s="282">
        <f t="shared" si="1097"/>
        <v>2.3258622222222223E-2</v>
      </c>
      <c r="R709" s="282">
        <f t="shared" si="1097"/>
        <v>2.291108055555556E-2</v>
      </c>
      <c r="S709" s="282">
        <f t="shared" si="1097"/>
        <v>2.3316888888888894E-2</v>
      </c>
      <c r="T709" s="282">
        <f t="shared" si="1097"/>
        <v>2.2959850000000004E-2</v>
      </c>
      <c r="U709" s="282">
        <f t="shared" si="1097"/>
        <v>2.3367488888888892E-2</v>
      </c>
      <c r="V709" s="282">
        <f t="shared" si="1097"/>
        <v>2.3132705555555556E-2</v>
      </c>
      <c r="W709" s="282">
        <f t="shared" si="1097"/>
        <v>2.3406333333333335E-2</v>
      </c>
      <c r="X709" s="282">
        <f t="shared" si="1097"/>
        <v>2.305236111111111E-2</v>
      </c>
      <c r="Y709" s="282">
        <f t="shared" si="1097"/>
        <v>2.345386666666667E-2</v>
      </c>
      <c r="Z709" s="282">
        <f t="shared" si="1097"/>
        <v>2.3104650000000001E-2</v>
      </c>
      <c r="AA709" s="282">
        <f t="shared" si="1097"/>
        <v>2.3523377777777781E-2</v>
      </c>
      <c r="AB709" s="282">
        <f t="shared" si="1097"/>
        <v>2.3173530555555561E-2</v>
      </c>
      <c r="AC709" s="282">
        <f t="shared" si="1097"/>
        <v>2.3579600000000006E-2</v>
      </c>
      <c r="AD709" s="282">
        <f t="shared" si="1097"/>
        <v>2.3359194444444446E-2</v>
      </c>
      <c r="AE709" s="282">
        <f t="shared" si="1097"/>
        <v>2.3653711111111121E-2</v>
      </c>
      <c r="AF709" s="282">
        <f t="shared" si="1097"/>
        <v>2.328665555555556E-2</v>
      </c>
      <c r="AG709" s="282">
        <f t="shared" si="1097"/>
        <v>2.3698688888888889E-2</v>
      </c>
      <c r="AH709" s="282">
        <f t="shared" si="1097"/>
        <v>2.3339447222222223E-2</v>
      </c>
      <c r="AI709" s="282">
        <f t="shared" si="1097"/>
        <v>2.375133333333334E-2</v>
      </c>
      <c r="AJ709" s="282">
        <f t="shared" si="1097"/>
        <v>2.3387211111111115E-2</v>
      </c>
      <c r="AK709" s="282">
        <f t="shared" si="1097"/>
        <v>2.3802444444444446E-2</v>
      </c>
      <c r="AL709" s="282">
        <f t="shared" si="1097"/>
        <v>2.3578605555555559E-2</v>
      </c>
      <c r="AM709" s="282">
        <f t="shared" si="1097"/>
        <v>2.3873488888888895E-2</v>
      </c>
      <c r="AN709" s="282">
        <f t="shared" si="1097"/>
        <v>2.3515922222222225E-2</v>
      </c>
      <c r="AO709" s="282">
        <f t="shared" si="1097"/>
        <v>2.3926644444444447E-2</v>
      </c>
      <c r="AP709" s="282">
        <f t="shared" ref="AP709:BU709" si="1098" xml:space="preserve"> ($F704 + AP706) / $F705 * AP707 * AP708</f>
        <v>2.3559161111111119E-2</v>
      </c>
      <c r="AQ709" s="282">
        <f t="shared" si="1098"/>
        <v>2.397775555555556E-2</v>
      </c>
      <c r="AR709" s="282">
        <f t="shared" si="1098"/>
        <v>2.3623516666666667E-2</v>
      </c>
      <c r="AS709" s="282">
        <f t="shared" si="1098"/>
        <v>2.4043177777777782E-2</v>
      </c>
      <c r="AT709" s="282">
        <f t="shared" si="1098"/>
        <v>2.3806105555555557E-2</v>
      </c>
      <c r="AU709" s="282">
        <f t="shared" si="1098"/>
        <v>2.4097866666666669E-2</v>
      </c>
      <c r="AV709" s="282">
        <f t="shared" si="1098"/>
        <v>2.3739155555555558E-2</v>
      </c>
      <c r="AW709" s="282">
        <f t="shared" si="1098"/>
        <v>2.4166355555555557E-2</v>
      </c>
      <c r="AX709" s="282">
        <f t="shared" si="1098"/>
        <v>2.3807030555555556E-2</v>
      </c>
      <c r="AY709" s="282">
        <f t="shared" si="1098"/>
        <v>2.4231266666666671E-2</v>
      </c>
      <c r="AZ709" s="282">
        <f t="shared" si="1098"/>
        <v>2.3854291666666666E-2</v>
      </c>
      <c r="BA709" s="282">
        <f t="shared" si="1098"/>
        <v>2.4272155555555557E-2</v>
      </c>
      <c r="BB709" s="282">
        <f t="shared" si="1098"/>
        <v>2.4031583333333339E-2</v>
      </c>
      <c r="BC709" s="282">
        <f t="shared" si="1098"/>
        <v>0</v>
      </c>
      <c r="BD709" s="282">
        <f t="shared" si="1098"/>
        <v>0</v>
      </c>
      <c r="BE709" s="282">
        <f t="shared" si="1098"/>
        <v>0</v>
      </c>
      <c r="BF709" s="282">
        <f t="shared" si="1098"/>
        <v>0</v>
      </c>
      <c r="BG709" s="282">
        <f t="shared" si="1098"/>
        <v>0</v>
      </c>
      <c r="BH709" s="282">
        <f t="shared" si="1098"/>
        <v>0</v>
      </c>
      <c r="BI709" s="282">
        <f t="shared" si="1098"/>
        <v>0</v>
      </c>
      <c r="BJ709" s="282">
        <f t="shared" si="1098"/>
        <v>0</v>
      </c>
      <c r="BK709" s="282">
        <f t="shared" si="1098"/>
        <v>0</v>
      </c>
      <c r="BL709" s="282">
        <f t="shared" si="1098"/>
        <v>0</v>
      </c>
      <c r="BM709" s="282">
        <f t="shared" si="1098"/>
        <v>0</v>
      </c>
      <c r="BN709" s="282">
        <f t="shared" si="1098"/>
        <v>0</v>
      </c>
      <c r="BO709" s="282">
        <f t="shared" si="1098"/>
        <v>0</v>
      </c>
      <c r="BP709" s="282">
        <f t="shared" si="1098"/>
        <v>0</v>
      </c>
      <c r="BQ709" s="282">
        <f t="shared" si="1098"/>
        <v>0</v>
      </c>
      <c r="BR709" s="282">
        <f t="shared" si="1098"/>
        <v>0</v>
      </c>
      <c r="BS709" s="282">
        <f t="shared" si="1098"/>
        <v>0</v>
      </c>
      <c r="BT709" s="282">
        <f t="shared" si="1098"/>
        <v>0</v>
      </c>
      <c r="BU709" s="282">
        <f t="shared" si="1098"/>
        <v>0</v>
      </c>
      <c r="BV709" s="282">
        <f t="shared" ref="BV709:CV709" si="1099" xml:space="preserve"> ($F704 + BV706) / $F705 * BV707 * BV708</f>
        <v>0</v>
      </c>
      <c r="BW709" s="282">
        <f t="shared" si="1099"/>
        <v>0</v>
      </c>
      <c r="BX709" s="282">
        <f t="shared" si="1099"/>
        <v>0</v>
      </c>
      <c r="BY709" s="282">
        <f t="shared" si="1099"/>
        <v>0</v>
      </c>
      <c r="BZ709" s="282">
        <f t="shared" si="1099"/>
        <v>0</v>
      </c>
      <c r="CA709" s="282">
        <f t="shared" si="1099"/>
        <v>0</v>
      </c>
      <c r="CB709" s="282">
        <f t="shared" si="1099"/>
        <v>0</v>
      </c>
      <c r="CC709" s="282">
        <f t="shared" si="1099"/>
        <v>0</v>
      </c>
      <c r="CD709" s="282">
        <f t="shared" si="1099"/>
        <v>0</v>
      </c>
      <c r="CE709" s="282">
        <f t="shared" si="1099"/>
        <v>0</v>
      </c>
      <c r="CF709" s="282">
        <f t="shared" si="1099"/>
        <v>0</v>
      </c>
      <c r="CG709" s="282">
        <f t="shared" si="1099"/>
        <v>0</v>
      </c>
      <c r="CH709" s="282">
        <f t="shared" si="1099"/>
        <v>0</v>
      </c>
      <c r="CI709" s="282">
        <f t="shared" si="1099"/>
        <v>0</v>
      </c>
      <c r="CJ709" s="282">
        <f t="shared" si="1099"/>
        <v>0</v>
      </c>
      <c r="CK709" s="282">
        <f t="shared" si="1099"/>
        <v>0</v>
      </c>
      <c r="CL709" s="282">
        <f t="shared" si="1099"/>
        <v>0</v>
      </c>
      <c r="CM709" s="282">
        <f t="shared" si="1099"/>
        <v>0</v>
      </c>
      <c r="CN709" s="282">
        <f t="shared" si="1099"/>
        <v>0</v>
      </c>
      <c r="CO709" s="282">
        <f t="shared" si="1099"/>
        <v>0</v>
      </c>
      <c r="CP709" s="282">
        <f t="shared" si="1099"/>
        <v>0</v>
      </c>
      <c r="CQ709" s="282">
        <f t="shared" si="1099"/>
        <v>0</v>
      </c>
      <c r="CR709" s="282">
        <f t="shared" si="1099"/>
        <v>0</v>
      </c>
      <c r="CS709" s="282">
        <f t="shared" si="1099"/>
        <v>0</v>
      </c>
      <c r="CT709" s="282">
        <f t="shared" si="1099"/>
        <v>0</v>
      </c>
      <c r="CU709" s="282">
        <f t="shared" si="1099"/>
        <v>0</v>
      </c>
      <c r="CV709" s="282">
        <f t="shared" si="1099"/>
        <v>0</v>
      </c>
    </row>
    <row r="710" spans="1:100" s="734" customFormat="1" ht="13.15" customHeight="1" outlineLevel="2" x14ac:dyDescent="0.2">
      <c r="A710" s="732"/>
      <c r="B710" s="732"/>
      <c r="C710" s="732"/>
      <c r="D710" s="732"/>
      <c r="E710" s="114"/>
      <c r="F710" s="114"/>
      <c r="G710" s="114"/>
      <c r="H710" s="114"/>
      <c r="I710" s="114"/>
      <c r="J710" s="114"/>
      <c r="K710" s="114"/>
      <c r="L710" s="114"/>
      <c r="M710" s="114"/>
      <c r="N710" s="114"/>
      <c r="O710" s="114"/>
      <c r="P710" s="114"/>
      <c r="Q710" s="114"/>
      <c r="R710" s="114"/>
      <c r="S710" s="114"/>
      <c r="T710" s="114"/>
      <c r="U710" s="114"/>
      <c r="V710" s="114"/>
      <c r="W710" s="114"/>
      <c r="X710" s="114"/>
      <c r="Y710" s="114"/>
      <c r="Z710" s="114"/>
      <c r="AA710" s="114"/>
      <c r="AB710" s="114"/>
      <c r="AC710" s="114"/>
      <c r="AD710" s="114"/>
      <c r="AE710" s="114"/>
      <c r="AF710" s="114"/>
      <c r="AG710" s="114"/>
      <c r="AH710" s="114"/>
      <c r="AI710" s="114"/>
      <c r="AJ710" s="114"/>
      <c r="AK710" s="114"/>
      <c r="AL710" s="114"/>
      <c r="AM710" s="114"/>
      <c r="AN710" s="114"/>
      <c r="AO710" s="114"/>
      <c r="AP710" s="114"/>
      <c r="AQ710" s="114"/>
      <c r="AR710" s="114"/>
      <c r="AS710" s="114"/>
      <c r="AT710" s="114"/>
      <c r="AU710" s="114"/>
      <c r="AV710" s="114"/>
      <c r="AW710" s="114"/>
      <c r="AX710" s="114"/>
      <c r="AY710" s="114"/>
      <c r="AZ710" s="114"/>
      <c r="BA710" s="114"/>
      <c r="BB710" s="114"/>
      <c r="BC710" s="114"/>
      <c r="BD710" s="114"/>
      <c r="BE710" s="114"/>
      <c r="BF710" s="114"/>
      <c r="BG710" s="114"/>
      <c r="BH710" s="114"/>
      <c r="BI710" s="114"/>
      <c r="BJ710" s="114"/>
      <c r="BK710" s="114"/>
      <c r="BL710" s="114"/>
      <c r="BM710" s="114"/>
      <c r="BN710" s="114"/>
      <c r="BO710" s="114"/>
      <c r="BP710" s="114"/>
      <c r="BQ710" s="114"/>
      <c r="BR710" s="114"/>
      <c r="BS710" s="114"/>
      <c r="BT710" s="114"/>
      <c r="BU710" s="114"/>
      <c r="BV710" s="114"/>
      <c r="BW710" s="114"/>
      <c r="BX710" s="114"/>
      <c r="BY710" s="114"/>
      <c r="BZ710" s="114"/>
      <c r="CA710" s="114"/>
      <c r="CB710" s="114"/>
      <c r="CC710" s="114"/>
      <c r="CD710" s="114"/>
      <c r="CE710" s="114"/>
      <c r="CF710" s="114"/>
      <c r="CG710" s="114"/>
      <c r="CH710" s="114"/>
      <c r="CI710" s="114"/>
      <c r="CJ710" s="114"/>
      <c r="CK710" s="114"/>
      <c r="CL710" s="114"/>
      <c r="CM710" s="114"/>
      <c r="CN710" s="114"/>
      <c r="CO710" s="114"/>
      <c r="CP710" s="114"/>
      <c r="CQ710" s="114"/>
      <c r="CR710" s="114"/>
      <c r="CS710" s="114"/>
      <c r="CT710" s="114"/>
      <c r="CU710" s="114"/>
      <c r="CV710" s="114"/>
    </row>
    <row r="711" spans="1:100" s="734" customFormat="1" ht="13.15" customHeight="1" outlineLevel="2" x14ac:dyDescent="0.2">
      <c r="A711" s="732"/>
      <c r="B711" s="732"/>
      <c r="C711" s="732"/>
      <c r="D711" s="732"/>
      <c r="E711" s="282" t="str">
        <f t="shared" ref="E711:AJ711" si="1100" xml:space="preserve"> E$709</f>
        <v>Equity bridge applicable interest rate</v>
      </c>
      <c r="F711" s="282">
        <f t="shared" si="1100"/>
        <v>0</v>
      </c>
      <c r="G711" s="282" t="str">
        <f t="shared" si="1100"/>
        <v>%</v>
      </c>
      <c r="H711" s="282">
        <f t="shared" si="1100"/>
        <v>0</v>
      </c>
      <c r="I711" s="282">
        <f t="shared" si="1100"/>
        <v>0</v>
      </c>
      <c r="J711" s="282">
        <f t="shared" si="1100"/>
        <v>0</v>
      </c>
      <c r="K711" s="282">
        <f t="shared" si="1100"/>
        <v>0</v>
      </c>
      <c r="L711" s="282">
        <f t="shared" si="1100"/>
        <v>0</v>
      </c>
      <c r="M711" s="282">
        <f t="shared" si="1100"/>
        <v>0</v>
      </c>
      <c r="N711" s="282">
        <f t="shared" si="1100"/>
        <v>0</v>
      </c>
      <c r="O711" s="282">
        <f t="shared" si="1100"/>
        <v>2.3191666666666669E-2</v>
      </c>
      <c r="P711" s="282">
        <f t="shared" si="1100"/>
        <v>2.2843205555555555E-2</v>
      </c>
      <c r="Q711" s="282">
        <f t="shared" si="1100"/>
        <v>2.3258622222222223E-2</v>
      </c>
      <c r="R711" s="282">
        <f t="shared" si="1100"/>
        <v>2.291108055555556E-2</v>
      </c>
      <c r="S711" s="282">
        <f t="shared" si="1100"/>
        <v>2.3316888888888894E-2</v>
      </c>
      <c r="T711" s="282">
        <f t="shared" si="1100"/>
        <v>2.2959850000000004E-2</v>
      </c>
      <c r="U711" s="282">
        <f t="shared" si="1100"/>
        <v>2.3367488888888892E-2</v>
      </c>
      <c r="V711" s="282">
        <f t="shared" si="1100"/>
        <v>2.3132705555555556E-2</v>
      </c>
      <c r="W711" s="282">
        <f t="shared" si="1100"/>
        <v>2.3406333333333335E-2</v>
      </c>
      <c r="X711" s="282">
        <f t="shared" si="1100"/>
        <v>2.305236111111111E-2</v>
      </c>
      <c r="Y711" s="282">
        <f t="shared" si="1100"/>
        <v>2.345386666666667E-2</v>
      </c>
      <c r="Z711" s="282">
        <f t="shared" si="1100"/>
        <v>2.3104650000000001E-2</v>
      </c>
      <c r="AA711" s="282">
        <f t="shared" si="1100"/>
        <v>2.3523377777777781E-2</v>
      </c>
      <c r="AB711" s="282">
        <f t="shared" si="1100"/>
        <v>2.3173530555555561E-2</v>
      </c>
      <c r="AC711" s="282">
        <f t="shared" si="1100"/>
        <v>2.3579600000000006E-2</v>
      </c>
      <c r="AD711" s="282">
        <f t="shared" si="1100"/>
        <v>2.3359194444444446E-2</v>
      </c>
      <c r="AE711" s="282">
        <f t="shared" si="1100"/>
        <v>2.3653711111111121E-2</v>
      </c>
      <c r="AF711" s="282">
        <f t="shared" si="1100"/>
        <v>2.328665555555556E-2</v>
      </c>
      <c r="AG711" s="282">
        <f t="shared" si="1100"/>
        <v>2.3698688888888889E-2</v>
      </c>
      <c r="AH711" s="282">
        <f t="shared" si="1100"/>
        <v>2.3339447222222223E-2</v>
      </c>
      <c r="AI711" s="282">
        <f t="shared" si="1100"/>
        <v>2.375133333333334E-2</v>
      </c>
      <c r="AJ711" s="282">
        <f t="shared" si="1100"/>
        <v>2.3387211111111115E-2</v>
      </c>
      <c r="AK711" s="282">
        <f t="shared" ref="AK711:BP711" si="1101" xml:space="preserve"> AK$709</f>
        <v>2.3802444444444446E-2</v>
      </c>
      <c r="AL711" s="282">
        <f t="shared" si="1101"/>
        <v>2.3578605555555559E-2</v>
      </c>
      <c r="AM711" s="282">
        <f t="shared" si="1101"/>
        <v>2.3873488888888895E-2</v>
      </c>
      <c r="AN711" s="282">
        <f t="shared" si="1101"/>
        <v>2.3515922222222225E-2</v>
      </c>
      <c r="AO711" s="282">
        <f t="shared" si="1101"/>
        <v>2.3926644444444447E-2</v>
      </c>
      <c r="AP711" s="282">
        <f t="shared" si="1101"/>
        <v>2.3559161111111119E-2</v>
      </c>
      <c r="AQ711" s="282">
        <f t="shared" si="1101"/>
        <v>2.397775555555556E-2</v>
      </c>
      <c r="AR711" s="282">
        <f t="shared" si="1101"/>
        <v>2.3623516666666667E-2</v>
      </c>
      <c r="AS711" s="282">
        <f t="shared" si="1101"/>
        <v>2.4043177777777782E-2</v>
      </c>
      <c r="AT711" s="282">
        <f t="shared" si="1101"/>
        <v>2.3806105555555557E-2</v>
      </c>
      <c r="AU711" s="282">
        <f t="shared" si="1101"/>
        <v>2.4097866666666669E-2</v>
      </c>
      <c r="AV711" s="282">
        <f t="shared" si="1101"/>
        <v>2.3739155555555558E-2</v>
      </c>
      <c r="AW711" s="282">
        <f t="shared" si="1101"/>
        <v>2.4166355555555557E-2</v>
      </c>
      <c r="AX711" s="282">
        <f t="shared" si="1101"/>
        <v>2.3807030555555556E-2</v>
      </c>
      <c r="AY711" s="282">
        <f t="shared" si="1101"/>
        <v>2.4231266666666671E-2</v>
      </c>
      <c r="AZ711" s="282">
        <f t="shared" si="1101"/>
        <v>2.3854291666666666E-2</v>
      </c>
      <c r="BA711" s="282">
        <f t="shared" si="1101"/>
        <v>2.4272155555555557E-2</v>
      </c>
      <c r="BB711" s="282">
        <f t="shared" si="1101"/>
        <v>2.4031583333333339E-2</v>
      </c>
      <c r="BC711" s="282">
        <f t="shared" si="1101"/>
        <v>0</v>
      </c>
      <c r="BD711" s="282">
        <f t="shared" si="1101"/>
        <v>0</v>
      </c>
      <c r="BE711" s="282">
        <f t="shared" si="1101"/>
        <v>0</v>
      </c>
      <c r="BF711" s="282">
        <f t="shared" si="1101"/>
        <v>0</v>
      </c>
      <c r="BG711" s="282">
        <f t="shared" si="1101"/>
        <v>0</v>
      </c>
      <c r="BH711" s="282">
        <f t="shared" si="1101"/>
        <v>0</v>
      </c>
      <c r="BI711" s="282">
        <f t="shared" si="1101"/>
        <v>0</v>
      </c>
      <c r="BJ711" s="282">
        <f t="shared" si="1101"/>
        <v>0</v>
      </c>
      <c r="BK711" s="282">
        <f t="shared" si="1101"/>
        <v>0</v>
      </c>
      <c r="BL711" s="282">
        <f t="shared" si="1101"/>
        <v>0</v>
      </c>
      <c r="BM711" s="282">
        <f t="shared" si="1101"/>
        <v>0</v>
      </c>
      <c r="BN711" s="282">
        <f t="shared" si="1101"/>
        <v>0</v>
      </c>
      <c r="BO711" s="282">
        <f t="shared" si="1101"/>
        <v>0</v>
      </c>
      <c r="BP711" s="282">
        <f t="shared" si="1101"/>
        <v>0</v>
      </c>
      <c r="BQ711" s="282">
        <f t="shared" ref="BQ711:CV711" si="1102" xml:space="preserve"> BQ$709</f>
        <v>0</v>
      </c>
      <c r="BR711" s="282">
        <f t="shared" si="1102"/>
        <v>0</v>
      </c>
      <c r="BS711" s="282">
        <f t="shared" si="1102"/>
        <v>0</v>
      </c>
      <c r="BT711" s="282">
        <f t="shared" si="1102"/>
        <v>0</v>
      </c>
      <c r="BU711" s="282">
        <f t="shared" si="1102"/>
        <v>0</v>
      </c>
      <c r="BV711" s="282">
        <f t="shared" si="1102"/>
        <v>0</v>
      </c>
      <c r="BW711" s="282">
        <f t="shared" si="1102"/>
        <v>0</v>
      </c>
      <c r="BX711" s="282">
        <f t="shared" si="1102"/>
        <v>0</v>
      </c>
      <c r="BY711" s="282">
        <f t="shared" si="1102"/>
        <v>0</v>
      </c>
      <c r="BZ711" s="282">
        <f t="shared" si="1102"/>
        <v>0</v>
      </c>
      <c r="CA711" s="282">
        <f t="shared" si="1102"/>
        <v>0</v>
      </c>
      <c r="CB711" s="282">
        <f t="shared" si="1102"/>
        <v>0</v>
      </c>
      <c r="CC711" s="282">
        <f t="shared" si="1102"/>
        <v>0</v>
      </c>
      <c r="CD711" s="282">
        <f t="shared" si="1102"/>
        <v>0</v>
      </c>
      <c r="CE711" s="282">
        <f t="shared" si="1102"/>
        <v>0</v>
      </c>
      <c r="CF711" s="282">
        <f t="shared" si="1102"/>
        <v>0</v>
      </c>
      <c r="CG711" s="282">
        <f t="shared" si="1102"/>
        <v>0</v>
      </c>
      <c r="CH711" s="282">
        <f t="shared" si="1102"/>
        <v>0</v>
      </c>
      <c r="CI711" s="282">
        <f t="shared" si="1102"/>
        <v>0</v>
      </c>
      <c r="CJ711" s="282">
        <f t="shared" si="1102"/>
        <v>0</v>
      </c>
      <c r="CK711" s="282">
        <f t="shared" si="1102"/>
        <v>0</v>
      </c>
      <c r="CL711" s="282">
        <f t="shared" si="1102"/>
        <v>0</v>
      </c>
      <c r="CM711" s="282">
        <f t="shared" si="1102"/>
        <v>0</v>
      </c>
      <c r="CN711" s="282">
        <f t="shared" si="1102"/>
        <v>0</v>
      </c>
      <c r="CO711" s="282">
        <f t="shared" si="1102"/>
        <v>0</v>
      </c>
      <c r="CP711" s="282">
        <f t="shared" si="1102"/>
        <v>0</v>
      </c>
      <c r="CQ711" s="282">
        <f t="shared" si="1102"/>
        <v>0</v>
      </c>
      <c r="CR711" s="282">
        <f t="shared" si="1102"/>
        <v>0</v>
      </c>
      <c r="CS711" s="282">
        <f t="shared" si="1102"/>
        <v>0</v>
      </c>
      <c r="CT711" s="282">
        <f t="shared" si="1102"/>
        <v>0</v>
      </c>
      <c r="CU711" s="282">
        <f t="shared" si="1102"/>
        <v>0</v>
      </c>
      <c r="CV711" s="282">
        <f t="shared" si="1102"/>
        <v>0</v>
      </c>
    </row>
    <row r="712" spans="1:100" s="734" customFormat="1" ht="13.15" customHeight="1" outlineLevel="2" x14ac:dyDescent="0.2">
      <c r="A712" s="732"/>
      <c r="B712" s="732"/>
      <c r="C712" s="732"/>
      <c r="D712" s="732"/>
      <c r="E712" s="740" t="str">
        <f t="shared" ref="E712:AJ712" si="1103" xml:space="preserve"> E$684</f>
        <v>Equity bridge balance BEG</v>
      </c>
      <c r="F712" s="740">
        <f t="shared" si="1103"/>
        <v>0</v>
      </c>
      <c r="G712" s="740" t="str">
        <f t="shared" si="1103"/>
        <v>$ 000s</v>
      </c>
      <c r="H712" s="740">
        <f t="shared" si="1103"/>
        <v>0</v>
      </c>
      <c r="I712" s="740">
        <f t="shared" si="1103"/>
        <v>0</v>
      </c>
      <c r="J712" s="740">
        <f t="shared" si="1103"/>
        <v>0</v>
      </c>
      <c r="K712" s="740">
        <f t="shared" si="1103"/>
        <v>38555.01232134179</v>
      </c>
      <c r="L712" s="740">
        <f t="shared" si="1103"/>
        <v>86318.253106861201</v>
      </c>
      <c r="M712" s="740">
        <f t="shared" si="1103"/>
        <v>86318.253106861201</v>
      </c>
      <c r="N712" s="740">
        <f t="shared" si="1103"/>
        <v>86318.253106861201</v>
      </c>
      <c r="O712" s="740">
        <f t="shared" si="1103"/>
        <v>0</v>
      </c>
      <c r="P712" s="740">
        <f t="shared" si="1103"/>
        <v>0</v>
      </c>
      <c r="Q712" s="740">
        <f t="shared" si="1103"/>
        <v>0</v>
      </c>
      <c r="R712" s="740">
        <f t="shared" si="1103"/>
        <v>0</v>
      </c>
      <c r="S712" s="740">
        <f t="shared" si="1103"/>
        <v>0</v>
      </c>
      <c r="T712" s="740">
        <f t="shared" si="1103"/>
        <v>0</v>
      </c>
      <c r="U712" s="740">
        <f t="shared" si="1103"/>
        <v>0</v>
      </c>
      <c r="V712" s="740">
        <f t="shared" si="1103"/>
        <v>0</v>
      </c>
      <c r="W712" s="740">
        <f t="shared" si="1103"/>
        <v>0</v>
      </c>
      <c r="X712" s="740">
        <f t="shared" si="1103"/>
        <v>0</v>
      </c>
      <c r="Y712" s="740">
        <f t="shared" si="1103"/>
        <v>0</v>
      </c>
      <c r="Z712" s="740">
        <f t="shared" si="1103"/>
        <v>0</v>
      </c>
      <c r="AA712" s="740">
        <f t="shared" si="1103"/>
        <v>0</v>
      </c>
      <c r="AB712" s="740">
        <f t="shared" si="1103"/>
        <v>0</v>
      </c>
      <c r="AC712" s="740">
        <f t="shared" si="1103"/>
        <v>0</v>
      </c>
      <c r="AD712" s="740">
        <f t="shared" si="1103"/>
        <v>0</v>
      </c>
      <c r="AE712" s="740">
        <f t="shared" si="1103"/>
        <v>0</v>
      </c>
      <c r="AF712" s="740">
        <f t="shared" si="1103"/>
        <v>0</v>
      </c>
      <c r="AG712" s="740">
        <f t="shared" si="1103"/>
        <v>0</v>
      </c>
      <c r="AH712" s="740">
        <f t="shared" si="1103"/>
        <v>0</v>
      </c>
      <c r="AI712" s="740">
        <f t="shared" si="1103"/>
        <v>0</v>
      </c>
      <c r="AJ712" s="740">
        <f t="shared" si="1103"/>
        <v>0</v>
      </c>
      <c r="AK712" s="740">
        <f t="shared" ref="AK712:BP712" si="1104" xml:space="preserve"> AK$684</f>
        <v>0</v>
      </c>
      <c r="AL712" s="740">
        <f t="shared" si="1104"/>
        <v>0</v>
      </c>
      <c r="AM712" s="740">
        <f t="shared" si="1104"/>
        <v>0</v>
      </c>
      <c r="AN712" s="740">
        <f t="shared" si="1104"/>
        <v>0</v>
      </c>
      <c r="AO712" s="740">
        <f t="shared" si="1104"/>
        <v>0</v>
      </c>
      <c r="AP712" s="740">
        <f t="shared" si="1104"/>
        <v>0</v>
      </c>
      <c r="AQ712" s="740">
        <f t="shared" si="1104"/>
        <v>0</v>
      </c>
      <c r="AR712" s="740">
        <f t="shared" si="1104"/>
        <v>0</v>
      </c>
      <c r="AS712" s="740">
        <f t="shared" si="1104"/>
        <v>0</v>
      </c>
      <c r="AT712" s="740">
        <f t="shared" si="1104"/>
        <v>0</v>
      </c>
      <c r="AU712" s="740">
        <f t="shared" si="1104"/>
        <v>0</v>
      </c>
      <c r="AV712" s="740">
        <f t="shared" si="1104"/>
        <v>0</v>
      </c>
      <c r="AW712" s="740">
        <f t="shared" si="1104"/>
        <v>0</v>
      </c>
      <c r="AX712" s="740">
        <f t="shared" si="1104"/>
        <v>0</v>
      </c>
      <c r="AY712" s="740">
        <f t="shared" si="1104"/>
        <v>0</v>
      </c>
      <c r="AZ712" s="740">
        <f t="shared" si="1104"/>
        <v>0</v>
      </c>
      <c r="BA712" s="740">
        <f t="shared" si="1104"/>
        <v>0</v>
      </c>
      <c r="BB712" s="740">
        <f t="shared" si="1104"/>
        <v>0</v>
      </c>
      <c r="BC712" s="740">
        <f t="shared" si="1104"/>
        <v>0</v>
      </c>
      <c r="BD712" s="740">
        <f t="shared" si="1104"/>
        <v>0</v>
      </c>
      <c r="BE712" s="740">
        <f t="shared" si="1104"/>
        <v>0</v>
      </c>
      <c r="BF712" s="740">
        <f t="shared" si="1104"/>
        <v>0</v>
      </c>
      <c r="BG712" s="740">
        <f t="shared" si="1104"/>
        <v>0</v>
      </c>
      <c r="BH712" s="740">
        <f t="shared" si="1104"/>
        <v>0</v>
      </c>
      <c r="BI712" s="740">
        <f t="shared" si="1104"/>
        <v>0</v>
      </c>
      <c r="BJ712" s="740">
        <f t="shared" si="1104"/>
        <v>0</v>
      </c>
      <c r="BK712" s="740">
        <f t="shared" si="1104"/>
        <v>0</v>
      </c>
      <c r="BL712" s="740">
        <f t="shared" si="1104"/>
        <v>0</v>
      </c>
      <c r="BM712" s="740">
        <f t="shared" si="1104"/>
        <v>0</v>
      </c>
      <c r="BN712" s="740">
        <f t="shared" si="1104"/>
        <v>0</v>
      </c>
      <c r="BO712" s="740">
        <f t="shared" si="1104"/>
        <v>0</v>
      </c>
      <c r="BP712" s="740">
        <f t="shared" si="1104"/>
        <v>0</v>
      </c>
      <c r="BQ712" s="740">
        <f t="shared" ref="BQ712:CV712" si="1105" xml:space="preserve"> BQ$684</f>
        <v>0</v>
      </c>
      <c r="BR712" s="740">
        <f t="shared" si="1105"/>
        <v>0</v>
      </c>
      <c r="BS712" s="740">
        <f t="shared" si="1105"/>
        <v>0</v>
      </c>
      <c r="BT712" s="740">
        <f t="shared" si="1105"/>
        <v>0</v>
      </c>
      <c r="BU712" s="740">
        <f t="shared" si="1105"/>
        <v>0</v>
      </c>
      <c r="BV712" s="740">
        <f t="shared" si="1105"/>
        <v>0</v>
      </c>
      <c r="BW712" s="740">
        <f t="shared" si="1105"/>
        <v>0</v>
      </c>
      <c r="BX712" s="740">
        <f t="shared" si="1105"/>
        <v>0</v>
      </c>
      <c r="BY712" s="740">
        <f t="shared" si="1105"/>
        <v>0</v>
      </c>
      <c r="BZ712" s="740">
        <f t="shared" si="1105"/>
        <v>0</v>
      </c>
      <c r="CA712" s="740">
        <f t="shared" si="1105"/>
        <v>0</v>
      </c>
      <c r="CB712" s="740">
        <f t="shared" si="1105"/>
        <v>0</v>
      </c>
      <c r="CC712" s="740">
        <f t="shared" si="1105"/>
        <v>0</v>
      </c>
      <c r="CD712" s="740">
        <f t="shared" si="1105"/>
        <v>0</v>
      </c>
      <c r="CE712" s="740">
        <f t="shared" si="1105"/>
        <v>0</v>
      </c>
      <c r="CF712" s="740">
        <f t="shared" si="1105"/>
        <v>0</v>
      </c>
      <c r="CG712" s="740">
        <f t="shared" si="1105"/>
        <v>0</v>
      </c>
      <c r="CH712" s="740">
        <f t="shared" si="1105"/>
        <v>0</v>
      </c>
      <c r="CI712" s="740">
        <f t="shared" si="1105"/>
        <v>0</v>
      </c>
      <c r="CJ712" s="740">
        <f t="shared" si="1105"/>
        <v>0</v>
      </c>
      <c r="CK712" s="740">
        <f t="shared" si="1105"/>
        <v>0</v>
      </c>
      <c r="CL712" s="740">
        <f t="shared" si="1105"/>
        <v>0</v>
      </c>
      <c r="CM712" s="740">
        <f t="shared" si="1105"/>
        <v>0</v>
      </c>
      <c r="CN712" s="740">
        <f t="shared" si="1105"/>
        <v>0</v>
      </c>
      <c r="CO712" s="740">
        <f t="shared" si="1105"/>
        <v>0</v>
      </c>
      <c r="CP712" s="740">
        <f t="shared" si="1105"/>
        <v>0</v>
      </c>
      <c r="CQ712" s="740">
        <f t="shared" si="1105"/>
        <v>0</v>
      </c>
      <c r="CR712" s="740">
        <f t="shared" si="1105"/>
        <v>0</v>
      </c>
      <c r="CS712" s="740">
        <f t="shared" si="1105"/>
        <v>0</v>
      </c>
      <c r="CT712" s="740">
        <f t="shared" si="1105"/>
        <v>0</v>
      </c>
      <c r="CU712" s="740">
        <f t="shared" si="1105"/>
        <v>0</v>
      </c>
      <c r="CV712" s="740">
        <f t="shared" si="1105"/>
        <v>0</v>
      </c>
    </row>
    <row r="713" spans="1:100" s="764" customFormat="1" ht="13.15" customHeight="1" outlineLevel="2" x14ac:dyDescent="0.2">
      <c r="A713" s="787"/>
      <c r="B713" s="787"/>
      <c r="C713" s="787"/>
      <c r="D713" s="787"/>
      <c r="E713" s="792" t="str">
        <f xml:space="preserve"> Time!E$106</f>
        <v>Operating period flag</v>
      </c>
      <c r="F713" s="792">
        <f xml:space="preserve"> Time!F$106</f>
        <v>0</v>
      </c>
      <c r="G713" s="792" t="str">
        <f xml:space="preserve"> Time!G$106</f>
        <v>flag</v>
      </c>
      <c r="H713" s="792">
        <f xml:space="preserve"> Time!H$106</f>
        <v>40</v>
      </c>
      <c r="I713" s="792">
        <f xml:space="preserve"> Time!I$106</f>
        <v>0</v>
      </c>
      <c r="J713" s="792">
        <f xml:space="preserve"> Time!J$106</f>
        <v>0</v>
      </c>
      <c r="K713" s="792">
        <f xml:space="preserve"> Time!K$106</f>
        <v>0</v>
      </c>
      <c r="L713" s="792">
        <f xml:space="preserve"> Time!L$106</f>
        <v>0</v>
      </c>
      <c r="M713" s="792">
        <f xml:space="preserve"> Time!M$106</f>
        <v>0</v>
      </c>
      <c r="N713" s="792">
        <f xml:space="preserve"> Time!N$106</f>
        <v>0</v>
      </c>
      <c r="O713" s="792">
        <f xml:space="preserve"> Time!O$106</f>
        <v>1</v>
      </c>
      <c r="P713" s="792">
        <f xml:space="preserve"> Time!P$106</f>
        <v>1</v>
      </c>
      <c r="Q713" s="792">
        <f xml:space="preserve"> Time!Q$106</f>
        <v>1</v>
      </c>
      <c r="R713" s="792">
        <f xml:space="preserve"> Time!R$106</f>
        <v>1</v>
      </c>
      <c r="S713" s="792">
        <f xml:space="preserve"> Time!S$106</f>
        <v>1</v>
      </c>
      <c r="T713" s="792">
        <f xml:space="preserve"> Time!T$106</f>
        <v>1</v>
      </c>
      <c r="U713" s="792">
        <f xml:space="preserve"> Time!U$106</f>
        <v>1</v>
      </c>
      <c r="V713" s="792">
        <f xml:space="preserve"> Time!V$106</f>
        <v>1</v>
      </c>
      <c r="W713" s="792">
        <f xml:space="preserve"> Time!W$106</f>
        <v>1</v>
      </c>
      <c r="X713" s="792">
        <f xml:space="preserve"> Time!X$106</f>
        <v>1</v>
      </c>
      <c r="Y713" s="792">
        <f xml:space="preserve"> Time!Y$106</f>
        <v>1</v>
      </c>
      <c r="Z713" s="792">
        <f xml:space="preserve"> Time!Z$106</f>
        <v>1</v>
      </c>
      <c r="AA713" s="792">
        <f xml:space="preserve"> Time!AA$106</f>
        <v>1</v>
      </c>
      <c r="AB713" s="792">
        <f xml:space="preserve"> Time!AB$106</f>
        <v>1</v>
      </c>
      <c r="AC713" s="792">
        <f xml:space="preserve"> Time!AC$106</f>
        <v>1</v>
      </c>
      <c r="AD713" s="792">
        <f xml:space="preserve"> Time!AD$106</f>
        <v>1</v>
      </c>
      <c r="AE713" s="792">
        <f xml:space="preserve"> Time!AE$106</f>
        <v>1</v>
      </c>
      <c r="AF713" s="792">
        <f xml:space="preserve"> Time!AF$106</f>
        <v>1</v>
      </c>
      <c r="AG713" s="792">
        <f xml:space="preserve"> Time!AG$106</f>
        <v>1</v>
      </c>
      <c r="AH713" s="792">
        <f xml:space="preserve"> Time!AH$106</f>
        <v>1</v>
      </c>
      <c r="AI713" s="792">
        <f xml:space="preserve"> Time!AI$106</f>
        <v>1</v>
      </c>
      <c r="AJ713" s="792">
        <f xml:space="preserve"> Time!AJ$106</f>
        <v>1</v>
      </c>
      <c r="AK713" s="792">
        <f xml:space="preserve"> Time!AK$106</f>
        <v>1</v>
      </c>
      <c r="AL713" s="792">
        <f xml:space="preserve"> Time!AL$106</f>
        <v>1</v>
      </c>
      <c r="AM713" s="792">
        <f xml:space="preserve"> Time!AM$106</f>
        <v>1</v>
      </c>
      <c r="AN713" s="792">
        <f xml:space="preserve"> Time!AN$106</f>
        <v>1</v>
      </c>
      <c r="AO713" s="792">
        <f xml:space="preserve"> Time!AO$106</f>
        <v>1</v>
      </c>
      <c r="AP713" s="792">
        <f xml:space="preserve"> Time!AP$106</f>
        <v>1</v>
      </c>
      <c r="AQ713" s="792">
        <f xml:space="preserve"> Time!AQ$106</f>
        <v>1</v>
      </c>
      <c r="AR713" s="792">
        <f xml:space="preserve"> Time!AR$106</f>
        <v>1</v>
      </c>
      <c r="AS713" s="792">
        <f xml:space="preserve"> Time!AS$106</f>
        <v>1</v>
      </c>
      <c r="AT713" s="792">
        <f xml:space="preserve"> Time!AT$106</f>
        <v>1</v>
      </c>
      <c r="AU713" s="792">
        <f xml:space="preserve"> Time!AU$106</f>
        <v>1</v>
      </c>
      <c r="AV713" s="792">
        <f xml:space="preserve"> Time!AV$106</f>
        <v>1</v>
      </c>
      <c r="AW713" s="792">
        <f xml:space="preserve"> Time!AW$106</f>
        <v>1</v>
      </c>
      <c r="AX713" s="792">
        <f xml:space="preserve"> Time!AX$106</f>
        <v>1</v>
      </c>
      <c r="AY713" s="792">
        <f xml:space="preserve"> Time!AY$106</f>
        <v>1</v>
      </c>
      <c r="AZ713" s="792">
        <f xml:space="preserve"> Time!AZ$106</f>
        <v>1</v>
      </c>
      <c r="BA713" s="792">
        <f xml:space="preserve"> Time!BA$106</f>
        <v>1</v>
      </c>
      <c r="BB713" s="792">
        <f xml:space="preserve"> Time!BB$106</f>
        <v>1</v>
      </c>
      <c r="BC713" s="792">
        <f xml:space="preserve"> Time!BC$106</f>
        <v>0</v>
      </c>
      <c r="BD713" s="792">
        <f xml:space="preserve"> Time!BD$106</f>
        <v>0</v>
      </c>
      <c r="BE713" s="792">
        <f xml:space="preserve"> Time!BE$106</f>
        <v>0</v>
      </c>
      <c r="BF713" s="792">
        <f xml:space="preserve"> Time!BF$106</f>
        <v>0</v>
      </c>
      <c r="BG713" s="792">
        <f xml:space="preserve"> Time!BG$106</f>
        <v>0</v>
      </c>
      <c r="BH713" s="792">
        <f xml:space="preserve"> Time!BH$106</f>
        <v>0</v>
      </c>
      <c r="BI713" s="792">
        <f xml:space="preserve"> Time!BI$106</f>
        <v>0</v>
      </c>
      <c r="BJ713" s="792">
        <f xml:space="preserve"> Time!BJ$106</f>
        <v>0</v>
      </c>
      <c r="BK713" s="792">
        <f xml:space="preserve"> Time!BK$106</f>
        <v>0</v>
      </c>
      <c r="BL713" s="792">
        <f xml:space="preserve"> Time!BL$106</f>
        <v>0</v>
      </c>
      <c r="BM713" s="792">
        <f xml:space="preserve"> Time!BM$106</f>
        <v>0</v>
      </c>
      <c r="BN713" s="792">
        <f xml:space="preserve"> Time!BN$106</f>
        <v>0</v>
      </c>
      <c r="BO713" s="792">
        <f xml:space="preserve"> Time!BO$106</f>
        <v>0</v>
      </c>
      <c r="BP713" s="792">
        <f xml:space="preserve"> Time!BP$106</f>
        <v>0</v>
      </c>
      <c r="BQ713" s="792">
        <f xml:space="preserve"> Time!BQ$106</f>
        <v>0</v>
      </c>
      <c r="BR713" s="792">
        <f xml:space="preserve"> Time!BR$106</f>
        <v>0</v>
      </c>
      <c r="BS713" s="792">
        <f xml:space="preserve"> Time!BS$106</f>
        <v>0</v>
      </c>
      <c r="BT713" s="792">
        <f xml:space="preserve"> Time!BT$106</f>
        <v>0</v>
      </c>
      <c r="BU713" s="792">
        <f xml:space="preserve"> Time!BU$106</f>
        <v>0</v>
      </c>
      <c r="BV713" s="792">
        <f xml:space="preserve"> Time!BV$106</f>
        <v>0</v>
      </c>
      <c r="BW713" s="792">
        <f xml:space="preserve"> Time!BW$106</f>
        <v>0</v>
      </c>
      <c r="BX713" s="792">
        <f xml:space="preserve"> Time!BX$106</f>
        <v>0</v>
      </c>
      <c r="BY713" s="792">
        <f xml:space="preserve"> Time!BY$106</f>
        <v>0</v>
      </c>
      <c r="BZ713" s="792">
        <f xml:space="preserve"> Time!BZ$106</f>
        <v>0</v>
      </c>
      <c r="CA713" s="792">
        <f xml:space="preserve"> Time!CA$106</f>
        <v>0</v>
      </c>
      <c r="CB713" s="792">
        <f xml:space="preserve"> Time!CB$106</f>
        <v>0</v>
      </c>
      <c r="CC713" s="792">
        <f xml:space="preserve"> Time!CC$106</f>
        <v>0</v>
      </c>
      <c r="CD713" s="792">
        <f xml:space="preserve"> Time!CD$106</f>
        <v>0</v>
      </c>
      <c r="CE713" s="792">
        <f xml:space="preserve"> Time!CE$106</f>
        <v>0</v>
      </c>
      <c r="CF713" s="792">
        <f xml:space="preserve"> Time!CF$106</f>
        <v>0</v>
      </c>
      <c r="CG713" s="792">
        <f xml:space="preserve"> Time!CG$106</f>
        <v>0</v>
      </c>
      <c r="CH713" s="792">
        <f xml:space="preserve"> Time!CH$106</f>
        <v>0</v>
      </c>
      <c r="CI713" s="792">
        <f xml:space="preserve"> Time!CI$106</f>
        <v>0</v>
      </c>
      <c r="CJ713" s="792">
        <f xml:space="preserve"> Time!CJ$106</f>
        <v>0</v>
      </c>
      <c r="CK713" s="792">
        <f xml:space="preserve"> Time!CK$106</f>
        <v>0</v>
      </c>
      <c r="CL713" s="792">
        <f xml:space="preserve"> Time!CL$106</f>
        <v>0</v>
      </c>
      <c r="CM713" s="792">
        <f xml:space="preserve"> Time!CM$106</f>
        <v>0</v>
      </c>
      <c r="CN713" s="792">
        <f xml:space="preserve"> Time!CN$106</f>
        <v>0</v>
      </c>
      <c r="CO713" s="792">
        <f xml:space="preserve"> Time!CO$106</f>
        <v>0</v>
      </c>
      <c r="CP713" s="792">
        <f xml:space="preserve"> Time!CP$106</f>
        <v>0</v>
      </c>
      <c r="CQ713" s="792">
        <f xml:space="preserve"> Time!CQ$106</f>
        <v>0</v>
      </c>
      <c r="CR713" s="792">
        <f xml:space="preserve"> Time!CR$106</f>
        <v>0</v>
      </c>
      <c r="CS713" s="792">
        <f xml:space="preserve"> Time!CS$106</f>
        <v>0</v>
      </c>
      <c r="CT713" s="792">
        <f xml:space="preserve"> Time!CT$106</f>
        <v>0</v>
      </c>
      <c r="CU713" s="792">
        <f xml:space="preserve"> Time!CU$106</f>
        <v>0</v>
      </c>
      <c r="CV713" s="792">
        <f xml:space="preserve"> Time!CV$106</f>
        <v>0</v>
      </c>
    </row>
    <row r="714" spans="1:100" s="757" customFormat="1" ht="13.15" customHeight="1" outlineLevel="2" x14ac:dyDescent="0.2">
      <c r="A714" s="769"/>
      <c r="B714" s="769"/>
      <c r="C714" s="769"/>
      <c r="D714" s="769"/>
      <c r="E714" s="770" t="s">
        <v>551</v>
      </c>
      <c r="F714" s="771"/>
      <c r="G714" s="770" t="str">
        <f>SMU</f>
        <v>$ 000s</v>
      </c>
      <c r="H714" s="770">
        <f xml:space="preserve"> SUM(J714:CV714)</f>
        <v>0</v>
      </c>
      <c r="I714" s="771"/>
      <c r="J714" s="770">
        <f t="shared" ref="J714:AO714" si="1106" xml:space="preserve"> J711 * J712 * J713</f>
        <v>0</v>
      </c>
      <c r="K714" s="770">
        <f t="shared" si="1106"/>
        <v>0</v>
      </c>
      <c r="L714" s="770">
        <f t="shared" si="1106"/>
        <v>0</v>
      </c>
      <c r="M714" s="770">
        <f t="shared" si="1106"/>
        <v>0</v>
      </c>
      <c r="N714" s="770">
        <f t="shared" si="1106"/>
        <v>0</v>
      </c>
      <c r="O714" s="770">
        <f t="shared" si="1106"/>
        <v>0</v>
      </c>
      <c r="P714" s="770">
        <f t="shared" si="1106"/>
        <v>0</v>
      </c>
      <c r="Q714" s="770">
        <f t="shared" si="1106"/>
        <v>0</v>
      </c>
      <c r="R714" s="770">
        <f t="shared" si="1106"/>
        <v>0</v>
      </c>
      <c r="S714" s="770">
        <f t="shared" si="1106"/>
        <v>0</v>
      </c>
      <c r="T714" s="770">
        <f t="shared" si="1106"/>
        <v>0</v>
      </c>
      <c r="U714" s="770">
        <f t="shared" si="1106"/>
        <v>0</v>
      </c>
      <c r="V714" s="770">
        <f t="shared" si="1106"/>
        <v>0</v>
      </c>
      <c r="W714" s="770">
        <f t="shared" si="1106"/>
        <v>0</v>
      </c>
      <c r="X714" s="770">
        <f t="shared" si="1106"/>
        <v>0</v>
      </c>
      <c r="Y714" s="770">
        <f t="shared" si="1106"/>
        <v>0</v>
      </c>
      <c r="Z714" s="770">
        <f t="shared" si="1106"/>
        <v>0</v>
      </c>
      <c r="AA714" s="770">
        <f t="shared" si="1106"/>
        <v>0</v>
      </c>
      <c r="AB714" s="770">
        <f t="shared" si="1106"/>
        <v>0</v>
      </c>
      <c r="AC714" s="770">
        <f t="shared" si="1106"/>
        <v>0</v>
      </c>
      <c r="AD714" s="770">
        <f t="shared" si="1106"/>
        <v>0</v>
      </c>
      <c r="AE714" s="770">
        <f t="shared" si="1106"/>
        <v>0</v>
      </c>
      <c r="AF714" s="770">
        <f t="shared" si="1106"/>
        <v>0</v>
      </c>
      <c r="AG714" s="770">
        <f t="shared" si="1106"/>
        <v>0</v>
      </c>
      <c r="AH714" s="770">
        <f t="shared" si="1106"/>
        <v>0</v>
      </c>
      <c r="AI714" s="770">
        <f t="shared" si="1106"/>
        <v>0</v>
      </c>
      <c r="AJ714" s="770">
        <f t="shared" si="1106"/>
        <v>0</v>
      </c>
      <c r="AK714" s="770">
        <f t="shared" si="1106"/>
        <v>0</v>
      </c>
      <c r="AL714" s="770">
        <f t="shared" si="1106"/>
        <v>0</v>
      </c>
      <c r="AM714" s="770">
        <f t="shared" si="1106"/>
        <v>0</v>
      </c>
      <c r="AN714" s="770">
        <f t="shared" si="1106"/>
        <v>0</v>
      </c>
      <c r="AO714" s="770">
        <f t="shared" si="1106"/>
        <v>0</v>
      </c>
      <c r="AP714" s="770">
        <f t="shared" ref="AP714:BU714" si="1107" xml:space="preserve"> AP711 * AP712 * AP713</f>
        <v>0</v>
      </c>
      <c r="AQ714" s="770">
        <f t="shared" si="1107"/>
        <v>0</v>
      </c>
      <c r="AR714" s="770">
        <f t="shared" si="1107"/>
        <v>0</v>
      </c>
      <c r="AS714" s="770">
        <f t="shared" si="1107"/>
        <v>0</v>
      </c>
      <c r="AT714" s="770">
        <f t="shared" si="1107"/>
        <v>0</v>
      </c>
      <c r="AU714" s="770">
        <f t="shared" si="1107"/>
        <v>0</v>
      </c>
      <c r="AV714" s="770">
        <f t="shared" si="1107"/>
        <v>0</v>
      </c>
      <c r="AW714" s="770">
        <f t="shared" si="1107"/>
        <v>0</v>
      </c>
      <c r="AX714" s="770">
        <f t="shared" si="1107"/>
        <v>0</v>
      </c>
      <c r="AY714" s="770">
        <f t="shared" si="1107"/>
        <v>0</v>
      </c>
      <c r="AZ714" s="770">
        <f t="shared" si="1107"/>
        <v>0</v>
      </c>
      <c r="BA714" s="770">
        <f t="shared" si="1107"/>
        <v>0</v>
      </c>
      <c r="BB714" s="770">
        <f t="shared" si="1107"/>
        <v>0</v>
      </c>
      <c r="BC714" s="770">
        <f t="shared" si="1107"/>
        <v>0</v>
      </c>
      <c r="BD714" s="770">
        <f t="shared" si="1107"/>
        <v>0</v>
      </c>
      <c r="BE714" s="770">
        <f t="shared" si="1107"/>
        <v>0</v>
      </c>
      <c r="BF714" s="770">
        <f t="shared" si="1107"/>
        <v>0</v>
      </c>
      <c r="BG714" s="770">
        <f t="shared" si="1107"/>
        <v>0</v>
      </c>
      <c r="BH714" s="770">
        <f t="shared" si="1107"/>
        <v>0</v>
      </c>
      <c r="BI714" s="770">
        <f t="shared" si="1107"/>
        <v>0</v>
      </c>
      <c r="BJ714" s="770">
        <f t="shared" si="1107"/>
        <v>0</v>
      </c>
      <c r="BK714" s="770">
        <f t="shared" si="1107"/>
        <v>0</v>
      </c>
      <c r="BL714" s="770">
        <f t="shared" si="1107"/>
        <v>0</v>
      </c>
      <c r="BM714" s="770">
        <f t="shared" si="1107"/>
        <v>0</v>
      </c>
      <c r="BN714" s="770">
        <f t="shared" si="1107"/>
        <v>0</v>
      </c>
      <c r="BO714" s="770">
        <f t="shared" si="1107"/>
        <v>0</v>
      </c>
      <c r="BP714" s="770">
        <f t="shared" si="1107"/>
        <v>0</v>
      </c>
      <c r="BQ714" s="770">
        <f t="shared" si="1107"/>
        <v>0</v>
      </c>
      <c r="BR714" s="770">
        <f t="shared" si="1107"/>
        <v>0</v>
      </c>
      <c r="BS714" s="770">
        <f t="shared" si="1107"/>
        <v>0</v>
      </c>
      <c r="BT714" s="770">
        <f t="shared" si="1107"/>
        <v>0</v>
      </c>
      <c r="BU714" s="770">
        <f t="shared" si="1107"/>
        <v>0</v>
      </c>
      <c r="BV714" s="770">
        <f t="shared" ref="BV714:CV714" si="1108" xml:space="preserve"> BV711 * BV712 * BV713</f>
        <v>0</v>
      </c>
      <c r="BW714" s="770">
        <f t="shared" si="1108"/>
        <v>0</v>
      </c>
      <c r="BX714" s="770">
        <f t="shared" si="1108"/>
        <v>0</v>
      </c>
      <c r="BY714" s="770">
        <f t="shared" si="1108"/>
        <v>0</v>
      </c>
      <c r="BZ714" s="770">
        <f t="shared" si="1108"/>
        <v>0</v>
      </c>
      <c r="CA714" s="770">
        <f t="shared" si="1108"/>
        <v>0</v>
      </c>
      <c r="CB714" s="770">
        <f t="shared" si="1108"/>
        <v>0</v>
      </c>
      <c r="CC714" s="770">
        <f t="shared" si="1108"/>
        <v>0</v>
      </c>
      <c r="CD714" s="770">
        <f t="shared" si="1108"/>
        <v>0</v>
      </c>
      <c r="CE714" s="770">
        <f t="shared" si="1108"/>
        <v>0</v>
      </c>
      <c r="CF714" s="770">
        <f t="shared" si="1108"/>
        <v>0</v>
      </c>
      <c r="CG714" s="770">
        <f t="shared" si="1108"/>
        <v>0</v>
      </c>
      <c r="CH714" s="770">
        <f t="shared" si="1108"/>
        <v>0</v>
      </c>
      <c r="CI714" s="770">
        <f t="shared" si="1108"/>
        <v>0</v>
      </c>
      <c r="CJ714" s="770">
        <f t="shared" si="1108"/>
        <v>0</v>
      </c>
      <c r="CK714" s="770">
        <f t="shared" si="1108"/>
        <v>0</v>
      </c>
      <c r="CL714" s="770">
        <f t="shared" si="1108"/>
        <v>0</v>
      </c>
      <c r="CM714" s="770">
        <f t="shared" si="1108"/>
        <v>0</v>
      </c>
      <c r="CN714" s="770">
        <f t="shared" si="1108"/>
        <v>0</v>
      </c>
      <c r="CO714" s="770">
        <f t="shared" si="1108"/>
        <v>0</v>
      </c>
      <c r="CP714" s="770">
        <f t="shared" si="1108"/>
        <v>0</v>
      </c>
      <c r="CQ714" s="770">
        <f t="shared" si="1108"/>
        <v>0</v>
      </c>
      <c r="CR714" s="770">
        <f t="shared" si="1108"/>
        <v>0</v>
      </c>
      <c r="CS714" s="770">
        <f t="shared" si="1108"/>
        <v>0</v>
      </c>
      <c r="CT714" s="770">
        <f t="shared" si="1108"/>
        <v>0</v>
      </c>
      <c r="CU714" s="770">
        <f t="shared" si="1108"/>
        <v>0</v>
      </c>
      <c r="CV714" s="770">
        <f t="shared" si="1108"/>
        <v>0</v>
      </c>
    </row>
    <row r="715" spans="1:100" s="757" customFormat="1" ht="13.15" customHeight="1" outlineLevel="2" x14ac:dyDescent="0.2">
      <c r="A715" s="769"/>
      <c r="B715" s="769"/>
      <c r="C715" s="769"/>
      <c r="D715" s="769"/>
      <c r="E715" s="770" t="str">
        <f xml:space="preserve"> LEFT(E714, LEN(E714) - 4)</f>
        <v>Equity bridge interest</v>
      </c>
      <c r="F715" s="771"/>
      <c r="G715" s="770" t="str">
        <f>SMU</f>
        <v>$ 000s</v>
      </c>
      <c r="H715" s="770">
        <f xml:space="preserve"> SUM(J715:CV715)</f>
        <v>0</v>
      </c>
      <c r="I715" s="771"/>
      <c r="J715" s="770">
        <f t="shared" ref="J715:AO715" si="1109" xml:space="preserve"> -1 * J714</f>
        <v>0</v>
      </c>
      <c r="K715" s="770">
        <f t="shared" si="1109"/>
        <v>0</v>
      </c>
      <c r="L715" s="770">
        <f t="shared" si="1109"/>
        <v>0</v>
      </c>
      <c r="M715" s="770">
        <f t="shared" si="1109"/>
        <v>0</v>
      </c>
      <c r="N715" s="770">
        <f t="shared" si="1109"/>
        <v>0</v>
      </c>
      <c r="O715" s="770">
        <f t="shared" si="1109"/>
        <v>0</v>
      </c>
      <c r="P715" s="770">
        <f t="shared" si="1109"/>
        <v>0</v>
      </c>
      <c r="Q715" s="770">
        <f t="shared" si="1109"/>
        <v>0</v>
      </c>
      <c r="R715" s="770">
        <f t="shared" si="1109"/>
        <v>0</v>
      </c>
      <c r="S715" s="770">
        <f t="shared" si="1109"/>
        <v>0</v>
      </c>
      <c r="T715" s="770">
        <f t="shared" si="1109"/>
        <v>0</v>
      </c>
      <c r="U715" s="770">
        <f t="shared" si="1109"/>
        <v>0</v>
      </c>
      <c r="V715" s="770">
        <f t="shared" si="1109"/>
        <v>0</v>
      </c>
      <c r="W715" s="770">
        <f t="shared" si="1109"/>
        <v>0</v>
      </c>
      <c r="X715" s="770">
        <f t="shared" si="1109"/>
        <v>0</v>
      </c>
      <c r="Y715" s="770">
        <f t="shared" si="1109"/>
        <v>0</v>
      </c>
      <c r="Z715" s="770">
        <f t="shared" si="1109"/>
        <v>0</v>
      </c>
      <c r="AA715" s="770">
        <f t="shared" si="1109"/>
        <v>0</v>
      </c>
      <c r="AB715" s="770">
        <f t="shared" si="1109"/>
        <v>0</v>
      </c>
      <c r="AC715" s="770">
        <f t="shared" si="1109"/>
        <v>0</v>
      </c>
      <c r="AD715" s="770">
        <f t="shared" si="1109"/>
        <v>0</v>
      </c>
      <c r="AE715" s="770">
        <f t="shared" si="1109"/>
        <v>0</v>
      </c>
      <c r="AF715" s="770">
        <f t="shared" si="1109"/>
        <v>0</v>
      </c>
      <c r="AG715" s="770">
        <f t="shared" si="1109"/>
        <v>0</v>
      </c>
      <c r="AH715" s="770">
        <f t="shared" si="1109"/>
        <v>0</v>
      </c>
      <c r="AI715" s="770">
        <f t="shared" si="1109"/>
        <v>0</v>
      </c>
      <c r="AJ715" s="770">
        <f t="shared" si="1109"/>
        <v>0</v>
      </c>
      <c r="AK715" s="770">
        <f t="shared" si="1109"/>
        <v>0</v>
      </c>
      <c r="AL715" s="770">
        <f t="shared" si="1109"/>
        <v>0</v>
      </c>
      <c r="AM715" s="770">
        <f t="shared" si="1109"/>
        <v>0</v>
      </c>
      <c r="AN715" s="770">
        <f t="shared" si="1109"/>
        <v>0</v>
      </c>
      <c r="AO715" s="770">
        <f t="shared" si="1109"/>
        <v>0</v>
      </c>
      <c r="AP715" s="770">
        <f t="shared" ref="AP715:BU715" si="1110" xml:space="preserve"> -1 * AP714</f>
        <v>0</v>
      </c>
      <c r="AQ715" s="770">
        <f t="shared" si="1110"/>
        <v>0</v>
      </c>
      <c r="AR715" s="770">
        <f t="shared" si="1110"/>
        <v>0</v>
      </c>
      <c r="AS715" s="770">
        <f t="shared" si="1110"/>
        <v>0</v>
      </c>
      <c r="AT715" s="770">
        <f t="shared" si="1110"/>
        <v>0</v>
      </c>
      <c r="AU715" s="770">
        <f t="shared" si="1110"/>
        <v>0</v>
      </c>
      <c r="AV715" s="770">
        <f t="shared" si="1110"/>
        <v>0</v>
      </c>
      <c r="AW715" s="770">
        <f t="shared" si="1110"/>
        <v>0</v>
      </c>
      <c r="AX715" s="770">
        <f t="shared" si="1110"/>
        <v>0</v>
      </c>
      <c r="AY715" s="770">
        <f t="shared" si="1110"/>
        <v>0</v>
      </c>
      <c r="AZ715" s="770">
        <f t="shared" si="1110"/>
        <v>0</v>
      </c>
      <c r="BA715" s="770">
        <f t="shared" si="1110"/>
        <v>0</v>
      </c>
      <c r="BB715" s="770">
        <f t="shared" si="1110"/>
        <v>0</v>
      </c>
      <c r="BC715" s="770">
        <f t="shared" si="1110"/>
        <v>0</v>
      </c>
      <c r="BD715" s="770">
        <f t="shared" si="1110"/>
        <v>0</v>
      </c>
      <c r="BE715" s="770">
        <f t="shared" si="1110"/>
        <v>0</v>
      </c>
      <c r="BF715" s="770">
        <f t="shared" si="1110"/>
        <v>0</v>
      </c>
      <c r="BG715" s="770">
        <f t="shared" si="1110"/>
        <v>0</v>
      </c>
      <c r="BH715" s="770">
        <f t="shared" si="1110"/>
        <v>0</v>
      </c>
      <c r="BI715" s="770">
        <f t="shared" si="1110"/>
        <v>0</v>
      </c>
      <c r="BJ715" s="770">
        <f t="shared" si="1110"/>
        <v>0</v>
      </c>
      <c r="BK715" s="770">
        <f t="shared" si="1110"/>
        <v>0</v>
      </c>
      <c r="BL715" s="770">
        <f t="shared" si="1110"/>
        <v>0</v>
      </c>
      <c r="BM715" s="770">
        <f t="shared" si="1110"/>
        <v>0</v>
      </c>
      <c r="BN715" s="770">
        <f t="shared" si="1110"/>
        <v>0</v>
      </c>
      <c r="BO715" s="770">
        <f t="shared" si="1110"/>
        <v>0</v>
      </c>
      <c r="BP715" s="770">
        <f t="shared" si="1110"/>
        <v>0</v>
      </c>
      <c r="BQ715" s="770">
        <f t="shared" si="1110"/>
        <v>0</v>
      </c>
      <c r="BR715" s="770">
        <f t="shared" si="1110"/>
        <v>0</v>
      </c>
      <c r="BS715" s="770">
        <f t="shared" si="1110"/>
        <v>0</v>
      </c>
      <c r="BT715" s="770">
        <f t="shared" si="1110"/>
        <v>0</v>
      </c>
      <c r="BU715" s="770">
        <f t="shared" si="1110"/>
        <v>0</v>
      </c>
      <c r="BV715" s="770">
        <f t="shared" ref="BV715:CV715" si="1111" xml:space="preserve"> -1 * BV714</f>
        <v>0</v>
      </c>
      <c r="BW715" s="770">
        <f t="shared" si="1111"/>
        <v>0</v>
      </c>
      <c r="BX715" s="770">
        <f t="shared" si="1111"/>
        <v>0</v>
      </c>
      <c r="BY715" s="770">
        <f t="shared" si="1111"/>
        <v>0</v>
      </c>
      <c r="BZ715" s="770">
        <f t="shared" si="1111"/>
        <v>0</v>
      </c>
      <c r="CA715" s="770">
        <f t="shared" si="1111"/>
        <v>0</v>
      </c>
      <c r="CB715" s="770">
        <f t="shared" si="1111"/>
        <v>0</v>
      </c>
      <c r="CC715" s="770">
        <f t="shared" si="1111"/>
        <v>0</v>
      </c>
      <c r="CD715" s="770">
        <f t="shared" si="1111"/>
        <v>0</v>
      </c>
      <c r="CE715" s="770">
        <f t="shared" si="1111"/>
        <v>0</v>
      </c>
      <c r="CF715" s="770">
        <f t="shared" si="1111"/>
        <v>0</v>
      </c>
      <c r="CG715" s="770">
        <f t="shared" si="1111"/>
        <v>0</v>
      </c>
      <c r="CH715" s="770">
        <f t="shared" si="1111"/>
        <v>0</v>
      </c>
      <c r="CI715" s="770">
        <f t="shared" si="1111"/>
        <v>0</v>
      </c>
      <c r="CJ715" s="770">
        <f t="shared" si="1111"/>
        <v>0</v>
      </c>
      <c r="CK715" s="770">
        <f t="shared" si="1111"/>
        <v>0</v>
      </c>
      <c r="CL715" s="770">
        <f t="shared" si="1111"/>
        <v>0</v>
      </c>
      <c r="CM715" s="770">
        <f t="shared" si="1111"/>
        <v>0</v>
      </c>
      <c r="CN715" s="770">
        <f t="shared" si="1111"/>
        <v>0</v>
      </c>
      <c r="CO715" s="770">
        <f t="shared" si="1111"/>
        <v>0</v>
      </c>
      <c r="CP715" s="770">
        <f t="shared" si="1111"/>
        <v>0</v>
      </c>
      <c r="CQ715" s="770">
        <f t="shared" si="1111"/>
        <v>0</v>
      </c>
      <c r="CR715" s="770">
        <f t="shared" si="1111"/>
        <v>0</v>
      </c>
      <c r="CS715" s="770">
        <f t="shared" si="1111"/>
        <v>0</v>
      </c>
      <c r="CT715" s="770">
        <f t="shared" si="1111"/>
        <v>0</v>
      </c>
      <c r="CU715" s="770">
        <f t="shared" si="1111"/>
        <v>0</v>
      </c>
      <c r="CV715" s="770">
        <f t="shared" si="1111"/>
        <v>0</v>
      </c>
    </row>
    <row r="716" spans="1:100" s="734" customFormat="1" ht="13.15" customHeight="1" outlineLevel="2" x14ac:dyDescent="0.2">
      <c r="A716" s="764"/>
      <c r="B716" s="764"/>
      <c r="C716" s="764"/>
      <c r="D716" s="764"/>
    </row>
    <row r="717" spans="1:100" ht="13.15" customHeight="1" x14ac:dyDescent="0.2"/>
    <row r="718" spans="1:100" ht="13.15" customHeight="1" x14ac:dyDescent="0.2">
      <c r="A718" s="15" t="s">
        <v>62</v>
      </c>
    </row>
    <row r="732" ht="13.35" customHeight="1" x14ac:dyDescent="0.2"/>
    <row r="733" ht="13.35" customHeight="1" x14ac:dyDescent="0.2"/>
    <row r="734" ht="13.35" customHeight="1" x14ac:dyDescent="0.2"/>
    <row r="735" ht="13.35" customHeight="1" x14ac:dyDescent="0.2"/>
    <row r="736" ht="13.35" customHeight="1" x14ac:dyDescent="0.2"/>
    <row r="737" ht="13.35" customHeight="1" x14ac:dyDescent="0.2"/>
    <row r="738" ht="13.35" customHeight="1" x14ac:dyDescent="0.2"/>
    <row r="739" ht="13.35" customHeight="1" x14ac:dyDescent="0.2"/>
    <row r="740" ht="13.35" customHeight="1" x14ac:dyDescent="0.2"/>
    <row r="741" ht="13.35" customHeight="1" x14ac:dyDescent="0.2"/>
    <row r="742" ht="13.35" customHeight="1" x14ac:dyDescent="0.2"/>
    <row r="743" ht="13.35" customHeight="1" x14ac:dyDescent="0.2"/>
    <row r="744" ht="13.35" customHeight="1" x14ac:dyDescent="0.2"/>
    <row r="745" ht="13.35" customHeight="1" x14ac:dyDescent="0.2"/>
    <row r="746" ht="13.35" customHeight="1" x14ac:dyDescent="0.2"/>
    <row r="747" ht="13.35" customHeight="1" x14ac:dyDescent="0.2"/>
    <row r="748" ht="13.35" customHeight="1" x14ac:dyDescent="0.2"/>
    <row r="749" ht="13.35" customHeight="1" x14ac:dyDescent="0.2"/>
    <row r="750" ht="13.35" customHeight="1" x14ac:dyDescent="0.2"/>
    <row r="751" ht="13.35" customHeight="1" x14ac:dyDescent="0.2"/>
    <row r="752" ht="13.35" customHeight="1" x14ac:dyDescent="0.2"/>
    <row r="753" ht="13.35" customHeight="1" x14ac:dyDescent="0.2"/>
    <row r="754" ht="13.35" customHeight="1" x14ac:dyDescent="0.2"/>
    <row r="755" ht="13.35" customHeight="1" x14ac:dyDescent="0.2"/>
    <row r="756" ht="13.35" customHeight="1" x14ac:dyDescent="0.2"/>
    <row r="757" ht="13.35" customHeight="1" x14ac:dyDescent="0.2"/>
    <row r="758" ht="13.35" customHeight="1" x14ac:dyDescent="0.2"/>
    <row r="759" ht="13.35" customHeight="1" x14ac:dyDescent="0.2"/>
    <row r="760" ht="13.35" customHeight="1" x14ac:dyDescent="0.2"/>
    <row r="761" ht="13.35" customHeight="1" x14ac:dyDescent="0.2"/>
    <row r="762" ht="13.35" customHeight="1" x14ac:dyDescent="0.2"/>
    <row r="763" ht="13.35" customHeight="1" x14ac:dyDescent="0.2"/>
    <row r="764" ht="13.35" customHeight="1" x14ac:dyDescent="0.2"/>
    <row r="765" ht="13.35" customHeight="1" x14ac:dyDescent="0.2"/>
    <row r="766" ht="13.35" customHeight="1" x14ac:dyDescent="0.2"/>
    <row r="767" ht="13.35" customHeight="1" x14ac:dyDescent="0.2"/>
    <row r="768" ht="13.35" customHeight="1" x14ac:dyDescent="0.2"/>
    <row r="769" ht="13.35" customHeight="1" x14ac:dyDescent="0.2"/>
    <row r="770" ht="13.35" customHeight="1" x14ac:dyDescent="0.2"/>
    <row r="771" ht="13.35" customHeight="1" x14ac:dyDescent="0.2"/>
    <row r="772" ht="13.35" customHeight="1" x14ac:dyDescent="0.2"/>
    <row r="773" ht="13.35" customHeight="1" x14ac:dyDescent="0.2"/>
    <row r="774" ht="13.35" customHeight="1" x14ac:dyDescent="0.2"/>
    <row r="775" ht="13.35" customHeight="1" x14ac:dyDescent="0.2"/>
    <row r="776" ht="13.35" customHeight="1" x14ac:dyDescent="0.2"/>
    <row r="777" ht="13.35" customHeight="1" x14ac:dyDescent="0.2"/>
    <row r="778" ht="13.35" customHeight="1" x14ac:dyDescent="0.2"/>
    <row r="779" ht="13.35" customHeight="1" x14ac:dyDescent="0.2"/>
    <row r="780" ht="13.35" customHeight="1" x14ac:dyDescent="0.2"/>
    <row r="781" ht="13.35" customHeight="1" x14ac:dyDescent="0.2"/>
    <row r="782" ht="13.35" customHeight="1" x14ac:dyDescent="0.2"/>
    <row r="783" ht="13.35" customHeight="1" x14ac:dyDescent="0.2"/>
    <row r="784" ht="13.35" customHeight="1" x14ac:dyDescent="0.2"/>
    <row r="785" ht="13.35" customHeight="1" x14ac:dyDescent="0.2"/>
    <row r="786" ht="13.35" customHeight="1" x14ac:dyDescent="0.2"/>
    <row r="787" ht="13.35" customHeight="1" x14ac:dyDescent="0.2"/>
    <row r="788" ht="13.35" customHeight="1" x14ac:dyDescent="0.2"/>
    <row r="789" ht="13.35" customHeight="1" x14ac:dyDescent="0.2"/>
    <row r="790" ht="13.35" customHeight="1" x14ac:dyDescent="0.2"/>
    <row r="791" ht="13.35" customHeight="1" x14ac:dyDescent="0.2"/>
    <row r="792" ht="13.35" customHeight="1" x14ac:dyDescent="0.2"/>
    <row r="793" ht="13.35" customHeight="1" x14ac:dyDescent="0.2"/>
    <row r="794" ht="13.35" customHeight="1" x14ac:dyDescent="0.2"/>
    <row r="795" ht="13.35" customHeight="1" x14ac:dyDescent="0.2"/>
    <row r="796" ht="13.35" customHeight="1" x14ac:dyDescent="0.2"/>
    <row r="797" ht="13.35" customHeight="1" x14ac:dyDescent="0.2"/>
    <row r="798" ht="13.35" customHeight="1" x14ac:dyDescent="0.2"/>
    <row r="799" ht="13.35" customHeight="1" x14ac:dyDescent="0.2"/>
    <row r="800" ht="13.35" customHeight="1" x14ac:dyDescent="0.2"/>
    <row r="801" ht="13.35" customHeight="1" x14ac:dyDescent="0.2"/>
    <row r="802" ht="13.35" customHeight="1" x14ac:dyDescent="0.2"/>
    <row r="803" ht="13.35" customHeight="1" x14ac:dyDescent="0.2"/>
    <row r="804" ht="13.35" customHeight="1" x14ac:dyDescent="0.2"/>
    <row r="805" ht="13.35" customHeight="1" x14ac:dyDescent="0.2"/>
    <row r="806" ht="13.35" customHeight="1" x14ac:dyDescent="0.2"/>
    <row r="807" ht="13.35" customHeight="1" x14ac:dyDescent="0.2"/>
    <row r="808" ht="13.35" customHeight="1" x14ac:dyDescent="0.2"/>
    <row r="809" ht="13.35" customHeight="1" x14ac:dyDescent="0.2"/>
    <row r="810" ht="13.35" customHeight="1" x14ac:dyDescent="0.2"/>
    <row r="811" ht="13.35" customHeight="1" x14ac:dyDescent="0.2"/>
    <row r="812" ht="13.35" customHeight="1" x14ac:dyDescent="0.2"/>
    <row r="813" ht="13.35" customHeight="1" x14ac:dyDescent="0.2"/>
    <row r="814" ht="13.35" customHeight="1" x14ac:dyDescent="0.2"/>
    <row r="815" ht="13.35" customHeight="1" x14ac:dyDescent="0.2"/>
    <row r="816" ht="13.35" customHeight="1" x14ac:dyDescent="0.2"/>
    <row r="817" ht="13.35" customHeight="1" x14ac:dyDescent="0.2"/>
    <row r="818" ht="13.35" customHeight="1" x14ac:dyDescent="0.2"/>
    <row r="819" ht="13.35" customHeight="1" x14ac:dyDescent="0.2"/>
    <row r="820" ht="13.35" customHeight="1" x14ac:dyDescent="0.2"/>
    <row r="821" ht="13.35" customHeight="1" x14ac:dyDescent="0.2"/>
    <row r="822" ht="13.35" customHeight="1" x14ac:dyDescent="0.2"/>
    <row r="823" ht="13.35" customHeight="1" x14ac:dyDescent="0.2"/>
    <row r="824" ht="13.35" customHeight="1" x14ac:dyDescent="0.2"/>
    <row r="825" ht="13.35" customHeight="1" x14ac:dyDescent="0.2"/>
    <row r="826" ht="13.35" customHeight="1" x14ac:dyDescent="0.2"/>
    <row r="827" ht="13.35" customHeight="1" x14ac:dyDescent="0.2"/>
    <row r="828" ht="13.35" customHeight="1" x14ac:dyDescent="0.2"/>
    <row r="829" ht="13.35" customHeight="1" x14ac:dyDescent="0.2"/>
    <row r="830" ht="13.35" customHeight="1" x14ac:dyDescent="0.2"/>
    <row r="831" ht="13.35" customHeight="1" x14ac:dyDescent="0.2"/>
    <row r="832" ht="13.35" customHeight="1" x14ac:dyDescent="0.2"/>
    <row r="833" ht="13.35" customHeight="1" x14ac:dyDescent="0.2"/>
    <row r="834" ht="13.35" customHeight="1" x14ac:dyDescent="0.2"/>
    <row r="835" ht="13.35" customHeight="1" x14ac:dyDescent="0.2"/>
    <row r="836" ht="13.35" customHeight="1" x14ac:dyDescent="0.2"/>
    <row r="837" ht="13.35" customHeight="1" x14ac:dyDescent="0.2"/>
    <row r="838" ht="13.35" customHeight="1" x14ac:dyDescent="0.2"/>
    <row r="839" ht="13.35" customHeight="1" x14ac:dyDescent="0.2"/>
    <row r="840" ht="13.35" customHeight="1" x14ac:dyDescent="0.2"/>
    <row r="841" ht="13.35" customHeight="1" x14ac:dyDescent="0.2"/>
    <row r="842" ht="13.35" customHeight="1" x14ac:dyDescent="0.2"/>
    <row r="843" ht="13.35" customHeight="1" x14ac:dyDescent="0.2"/>
    <row r="844" ht="13.35" customHeight="1" x14ac:dyDescent="0.2"/>
    <row r="845" ht="13.35" customHeight="1" x14ac:dyDescent="0.2"/>
    <row r="846" ht="13.35" customHeight="1" x14ac:dyDescent="0.2"/>
    <row r="847" ht="13.35" customHeight="1" x14ac:dyDescent="0.2"/>
    <row r="848" ht="13.35" customHeight="1" x14ac:dyDescent="0.2"/>
    <row r="849" ht="13.35" customHeight="1" x14ac:dyDescent="0.2"/>
    <row r="850" ht="13.35" customHeight="1" x14ac:dyDescent="0.2"/>
    <row r="851" ht="13.35" customHeight="1" x14ac:dyDescent="0.2"/>
    <row r="852" ht="13.35" customHeight="1" x14ac:dyDescent="0.2"/>
    <row r="853" ht="13.35" customHeight="1" x14ac:dyDescent="0.2"/>
    <row r="854" ht="13.35" customHeight="1" x14ac:dyDescent="0.2"/>
    <row r="855" ht="13.35" customHeight="1" x14ac:dyDescent="0.2"/>
    <row r="856" ht="13.35" customHeight="1" x14ac:dyDescent="0.2"/>
    <row r="857" ht="13.35" customHeight="1" x14ac:dyDescent="0.2"/>
    <row r="858" ht="13.35" customHeight="1" x14ac:dyDescent="0.2"/>
    <row r="859" ht="13.35" customHeight="1" x14ac:dyDescent="0.2"/>
    <row r="860" ht="13.35" customHeight="1" x14ac:dyDescent="0.2"/>
    <row r="861" ht="13.35" customHeight="1" x14ac:dyDescent="0.2"/>
    <row r="862" ht="13.35" customHeight="1" x14ac:dyDescent="0.2"/>
    <row r="863" ht="13.35" customHeight="1" x14ac:dyDescent="0.2"/>
    <row r="864" ht="13.35" customHeight="1" x14ac:dyDescent="0.2"/>
    <row r="865" ht="13.35" customHeight="1" x14ac:dyDescent="0.2"/>
    <row r="866" ht="13.35" customHeight="1" x14ac:dyDescent="0.2"/>
    <row r="867" ht="13.35" customHeight="1" x14ac:dyDescent="0.2"/>
    <row r="868" ht="13.35" customHeight="1" x14ac:dyDescent="0.2"/>
    <row r="869" ht="13.35" customHeight="1" x14ac:dyDescent="0.2"/>
    <row r="870" ht="13.35" customHeight="1" x14ac:dyDescent="0.2"/>
    <row r="871" ht="13.35" customHeight="1" x14ac:dyDescent="0.2"/>
    <row r="872" ht="13.35" customHeight="1" x14ac:dyDescent="0.2"/>
    <row r="873" ht="13.35" customHeight="1" x14ac:dyDescent="0.2"/>
    <row r="874" ht="13.35" customHeight="1" x14ac:dyDescent="0.2"/>
    <row r="875" ht="13.35" customHeight="1" x14ac:dyDescent="0.2"/>
    <row r="876" ht="13.35" customHeight="1" x14ac:dyDescent="0.2"/>
    <row r="877" ht="13.35" customHeight="1" x14ac:dyDescent="0.2"/>
    <row r="878" ht="13.35" customHeight="1" x14ac:dyDescent="0.2"/>
    <row r="879" ht="13.35" customHeight="1" x14ac:dyDescent="0.2"/>
    <row r="880" ht="13.35" customHeight="1" x14ac:dyDescent="0.2"/>
    <row r="881" ht="13.35" customHeight="1" x14ac:dyDescent="0.2"/>
    <row r="882" ht="13.35" customHeight="1" x14ac:dyDescent="0.2"/>
    <row r="883" ht="13.35" customHeight="1" x14ac:dyDescent="0.2"/>
    <row r="884" ht="13.35" customHeight="1" x14ac:dyDescent="0.2"/>
    <row r="885" ht="13.35" customHeight="1" x14ac:dyDescent="0.2"/>
    <row r="886" ht="13.35" customHeight="1" x14ac:dyDescent="0.2"/>
    <row r="887" ht="13.35" customHeight="1" x14ac:dyDescent="0.2"/>
    <row r="888" ht="13.35" customHeight="1" x14ac:dyDescent="0.2"/>
    <row r="889" ht="13.35" customHeight="1" x14ac:dyDescent="0.2"/>
    <row r="890" ht="13.35" customHeight="1" x14ac:dyDescent="0.2"/>
    <row r="891" ht="13.35" customHeight="1" x14ac:dyDescent="0.2"/>
    <row r="892" ht="13.35" customHeight="1" x14ac:dyDescent="0.2"/>
    <row r="893" ht="13.35" customHeight="1" x14ac:dyDescent="0.2"/>
    <row r="894" ht="13.35" customHeight="1" x14ac:dyDescent="0.2"/>
    <row r="895" ht="13.35" customHeight="1" x14ac:dyDescent="0.2"/>
    <row r="896" ht="13.35" customHeight="1" x14ac:dyDescent="0.2"/>
    <row r="897" ht="13.35" customHeight="1" x14ac:dyDescent="0.2"/>
    <row r="898" ht="13.35" customHeight="1" x14ac:dyDescent="0.2"/>
    <row r="899" ht="13.35" customHeight="1" x14ac:dyDescent="0.2"/>
    <row r="900" ht="13.35" customHeight="1" x14ac:dyDescent="0.2"/>
    <row r="901" ht="13.35" customHeight="1" x14ac:dyDescent="0.2"/>
    <row r="902" ht="13.35" customHeight="1" x14ac:dyDescent="0.2"/>
    <row r="903" ht="13.35" customHeight="1" x14ac:dyDescent="0.2"/>
    <row r="904" ht="13.35" customHeight="1" x14ac:dyDescent="0.2"/>
    <row r="905" ht="13.35" customHeight="1" x14ac:dyDescent="0.2"/>
    <row r="906" ht="13.35" customHeight="1" x14ac:dyDescent="0.2"/>
    <row r="907" ht="13.35" customHeight="1" x14ac:dyDescent="0.2"/>
    <row r="908" ht="13.35" customHeight="1" x14ac:dyDescent="0.2"/>
    <row r="909" ht="13.35" customHeight="1" x14ac:dyDescent="0.2"/>
    <row r="910" ht="13.35" customHeight="1" x14ac:dyDescent="0.2"/>
    <row r="911" ht="13.35" customHeight="1" x14ac:dyDescent="0.2"/>
    <row r="912" ht="13.35" customHeight="1" x14ac:dyDescent="0.2"/>
    <row r="913" ht="13.35" customHeight="1" x14ac:dyDescent="0.2"/>
    <row r="914" ht="13.35" customHeight="1" x14ac:dyDescent="0.2"/>
    <row r="915" ht="13.35" customHeight="1" x14ac:dyDescent="0.2"/>
    <row r="916" ht="13.35" customHeight="1" x14ac:dyDescent="0.2"/>
    <row r="917" ht="13.35" customHeight="1" x14ac:dyDescent="0.2"/>
    <row r="918" ht="13.35" customHeight="1" x14ac:dyDescent="0.2"/>
    <row r="919" ht="13.35" customHeight="1" x14ac:dyDescent="0.2"/>
    <row r="920" ht="13.35" customHeight="1" x14ac:dyDescent="0.2"/>
    <row r="921" ht="13.35" customHeight="1" x14ac:dyDescent="0.2"/>
    <row r="922" ht="13.35" customHeight="1" x14ac:dyDescent="0.2"/>
    <row r="923" ht="13.35" customHeight="1" x14ac:dyDescent="0.2"/>
    <row r="924" ht="13.35" customHeight="1" x14ac:dyDescent="0.2"/>
    <row r="925" ht="13.35" customHeight="1" x14ac:dyDescent="0.2"/>
    <row r="926" ht="13.35" customHeight="1" x14ac:dyDescent="0.2"/>
    <row r="927" ht="13.35" customHeight="1" x14ac:dyDescent="0.2"/>
    <row r="928" ht="13.35" customHeight="1" x14ac:dyDescent="0.2"/>
    <row r="929" ht="13.35" customHeight="1" x14ac:dyDescent="0.2"/>
    <row r="930" ht="13.35" customHeight="1" x14ac:dyDescent="0.2"/>
    <row r="931" ht="13.35" customHeight="1" x14ac:dyDescent="0.2"/>
    <row r="932" ht="13.35" customHeight="1" x14ac:dyDescent="0.2"/>
    <row r="933" ht="13.35" customHeight="1" x14ac:dyDescent="0.2"/>
    <row r="934" ht="13.35" customHeight="1" x14ac:dyDescent="0.2"/>
    <row r="935" ht="13.35" customHeight="1" x14ac:dyDescent="0.2"/>
    <row r="936" ht="13.35" customHeight="1" x14ac:dyDescent="0.2"/>
    <row r="937" ht="13.35" customHeight="1" x14ac:dyDescent="0.2"/>
    <row r="938" ht="13.35" customHeight="1" x14ac:dyDescent="0.2"/>
    <row r="939" ht="13.35" customHeight="1" x14ac:dyDescent="0.2"/>
    <row r="940" ht="13.35" customHeight="1" x14ac:dyDescent="0.2"/>
    <row r="941" ht="13.35" customHeight="1" x14ac:dyDescent="0.2"/>
    <row r="942" ht="13.35" customHeight="1" x14ac:dyDescent="0.2"/>
    <row r="943" ht="13.35" customHeight="1" x14ac:dyDescent="0.2"/>
    <row r="944" ht="13.35" customHeight="1" x14ac:dyDescent="0.2"/>
    <row r="945" ht="13.35" customHeight="1" x14ac:dyDescent="0.2"/>
    <row r="946" ht="13.35" customHeight="1" x14ac:dyDescent="0.2"/>
    <row r="947" ht="13.35" customHeight="1" x14ac:dyDescent="0.2"/>
    <row r="948" ht="13.35" customHeight="1" x14ac:dyDescent="0.2"/>
    <row r="949" ht="13.35" customHeight="1" x14ac:dyDescent="0.2"/>
    <row r="950" ht="13.35" customHeight="1" x14ac:dyDescent="0.2"/>
    <row r="951" ht="13.35" customHeight="1" x14ac:dyDescent="0.2"/>
    <row r="952" ht="13.35" customHeight="1" x14ac:dyDescent="0.2"/>
    <row r="953" ht="13.35" customHeight="1" x14ac:dyDescent="0.2"/>
    <row r="954" ht="13.35" customHeight="1" x14ac:dyDescent="0.2"/>
    <row r="955" ht="13.35" customHeight="1" x14ac:dyDescent="0.2"/>
    <row r="956" ht="13.35" customHeight="1" x14ac:dyDescent="0.2"/>
    <row r="957" ht="13.35" customHeight="1" x14ac:dyDescent="0.2"/>
    <row r="958" ht="13.35" customHeight="1" x14ac:dyDescent="0.2"/>
    <row r="959" ht="13.35" customHeight="1" x14ac:dyDescent="0.2"/>
    <row r="960" ht="13.35" customHeight="1" x14ac:dyDescent="0.2"/>
    <row r="961" ht="13.35" customHeight="1" x14ac:dyDescent="0.2"/>
    <row r="962" ht="13.35" customHeight="1" x14ac:dyDescent="0.2"/>
    <row r="963" ht="13.35" customHeight="1" x14ac:dyDescent="0.2"/>
    <row r="964" ht="13.35" customHeight="1" x14ac:dyDescent="0.2"/>
    <row r="965" ht="13.35" customHeight="1" x14ac:dyDescent="0.2"/>
    <row r="966" ht="13.35" customHeight="1" x14ac:dyDescent="0.2"/>
    <row r="967" ht="13.35" customHeight="1" x14ac:dyDescent="0.2"/>
    <row r="968" ht="13.35" customHeight="1" x14ac:dyDescent="0.2"/>
    <row r="969" ht="13.35" customHeight="1" x14ac:dyDescent="0.2"/>
    <row r="970" ht="13.35" customHeight="1" x14ac:dyDescent="0.2"/>
    <row r="971" ht="13.35" customHeight="1" x14ac:dyDescent="0.2"/>
    <row r="972" ht="13.35" customHeight="1" x14ac:dyDescent="0.2"/>
    <row r="973" ht="13.35" customHeight="1" x14ac:dyDescent="0.2"/>
    <row r="974" ht="13.35" customHeight="1" x14ac:dyDescent="0.2"/>
    <row r="975" ht="13.35" customHeight="1" x14ac:dyDescent="0.2"/>
    <row r="976" ht="13.35" customHeight="1" x14ac:dyDescent="0.2"/>
    <row r="977" ht="13.35" customHeight="1" x14ac:dyDescent="0.2"/>
    <row r="978" ht="13.35" customHeight="1" x14ac:dyDescent="0.2"/>
    <row r="979" ht="13.35" customHeight="1" x14ac:dyDescent="0.2"/>
    <row r="980" ht="13.35" customHeight="1" x14ac:dyDescent="0.2"/>
    <row r="981" ht="13.35" customHeight="1" x14ac:dyDescent="0.2"/>
    <row r="982" ht="13.35" customHeight="1" x14ac:dyDescent="0.2"/>
    <row r="983" ht="13.35" customHeight="1" x14ac:dyDescent="0.2"/>
    <row r="984" ht="13.35" customHeight="1" x14ac:dyDescent="0.2"/>
    <row r="985" ht="13.35" customHeight="1" x14ac:dyDescent="0.2"/>
    <row r="986" ht="13.35" customHeight="1" x14ac:dyDescent="0.2"/>
    <row r="987" ht="13.35" customHeight="1" x14ac:dyDescent="0.2"/>
    <row r="988" ht="13.35" customHeight="1" x14ac:dyDescent="0.2"/>
    <row r="989" ht="13.35" customHeight="1" x14ac:dyDescent="0.2"/>
    <row r="990" ht="13.35" customHeight="1" x14ac:dyDescent="0.2"/>
    <row r="991" ht="13.35" customHeight="1" x14ac:dyDescent="0.2"/>
    <row r="992" ht="13.35" customHeight="1" x14ac:dyDescent="0.2"/>
    <row r="993" ht="13.35" customHeight="1" x14ac:dyDescent="0.2"/>
    <row r="994" ht="13.35" customHeight="1" x14ac:dyDescent="0.2"/>
    <row r="995" ht="13.35" customHeight="1" x14ac:dyDescent="0.2"/>
    <row r="996" ht="13.35" customHeight="1" x14ac:dyDescent="0.2"/>
    <row r="997" ht="13.35" customHeight="1" x14ac:dyDescent="0.2"/>
    <row r="998" ht="13.35" customHeight="1" x14ac:dyDescent="0.2"/>
    <row r="999" ht="13.35" customHeight="1" x14ac:dyDescent="0.2"/>
    <row r="1000" ht="13.35" customHeight="1" x14ac:dyDescent="0.2"/>
    <row r="1001" ht="13.35" customHeight="1" x14ac:dyDescent="0.2"/>
    <row r="1002" ht="13.35" customHeight="1" x14ac:dyDescent="0.2"/>
    <row r="1003" ht="13.35" customHeight="1" x14ac:dyDescent="0.2"/>
    <row r="1004" ht="13.35" customHeight="1" x14ac:dyDescent="0.2"/>
    <row r="1005" ht="13.35" customHeight="1" x14ac:dyDescent="0.2"/>
    <row r="1006" ht="13.35" customHeight="1" x14ac:dyDescent="0.2"/>
    <row r="1007" ht="13.35" customHeight="1" x14ac:dyDescent="0.2"/>
    <row r="1008" ht="13.35" customHeight="1" x14ac:dyDescent="0.2"/>
    <row r="1009" ht="13.35" customHeight="1" x14ac:dyDescent="0.2"/>
    <row r="1010" ht="13.35" customHeight="1" x14ac:dyDescent="0.2"/>
    <row r="1011" ht="13.35" customHeight="1" x14ac:dyDescent="0.2"/>
    <row r="1012" ht="13.35" customHeight="1" x14ac:dyDescent="0.2"/>
    <row r="1013" ht="13.35" customHeight="1" x14ac:dyDescent="0.2"/>
    <row r="1014" ht="13.35" customHeight="1" x14ac:dyDescent="0.2"/>
    <row r="1015" ht="13.35" customHeight="1" x14ac:dyDescent="0.2"/>
    <row r="1016" ht="13.35" customHeight="1" x14ac:dyDescent="0.2"/>
    <row r="1017" ht="13.35" customHeight="1" x14ac:dyDescent="0.2"/>
    <row r="1018" ht="13.35" customHeight="1" x14ac:dyDescent="0.2"/>
    <row r="1019" ht="13.35" customHeight="1" x14ac:dyDescent="0.2"/>
    <row r="1020" ht="13.35" customHeight="1" x14ac:dyDescent="0.2"/>
    <row r="1021" ht="13.35" customHeight="1" x14ac:dyDescent="0.2"/>
    <row r="1022" ht="13.35" customHeight="1" x14ac:dyDescent="0.2"/>
    <row r="1023" ht="13.35" customHeight="1" x14ac:dyDescent="0.2"/>
    <row r="1024" ht="13.35" customHeight="1" x14ac:dyDescent="0.2"/>
    <row r="1025" ht="13.35" customHeight="1" x14ac:dyDescent="0.2"/>
    <row r="1026" ht="13.35" customHeight="1" x14ac:dyDescent="0.2"/>
    <row r="1027" ht="13.35" customHeight="1" x14ac:dyDescent="0.2"/>
    <row r="1028" ht="13.35" customHeight="1" x14ac:dyDescent="0.2"/>
    <row r="1029" ht="13.35" customHeight="1" x14ac:dyDescent="0.2"/>
    <row r="1030" ht="13.35" customHeight="1" x14ac:dyDescent="0.2"/>
    <row r="1031" ht="13.35" customHeight="1" x14ac:dyDescent="0.2"/>
    <row r="1032" ht="13.35" customHeight="1" x14ac:dyDescent="0.2"/>
    <row r="1033" ht="13.35" customHeight="1" x14ac:dyDescent="0.2"/>
    <row r="1034" ht="13.35" customHeight="1" x14ac:dyDescent="0.2"/>
    <row r="1035" ht="13.35" customHeight="1" x14ac:dyDescent="0.2"/>
    <row r="1036" ht="13.35" customHeight="1" x14ac:dyDescent="0.2"/>
    <row r="1037" ht="13.35" customHeight="1" x14ac:dyDescent="0.2"/>
    <row r="1038" ht="13.35" customHeight="1" x14ac:dyDescent="0.2"/>
    <row r="1039" ht="13.35" customHeight="1" x14ac:dyDescent="0.2"/>
    <row r="1040" ht="13.35" customHeight="1" x14ac:dyDescent="0.2"/>
    <row r="1041" ht="13.35" customHeight="1" x14ac:dyDescent="0.2"/>
    <row r="1042" ht="13.35" customHeight="1" x14ac:dyDescent="0.2"/>
    <row r="1043" ht="13.35" customHeight="1" x14ac:dyDescent="0.2"/>
    <row r="1044" ht="13.35" customHeight="1" x14ac:dyDescent="0.2"/>
    <row r="1045" ht="13.35" customHeight="1" x14ac:dyDescent="0.2"/>
    <row r="1046" ht="13.35" customHeight="1" x14ac:dyDescent="0.2"/>
    <row r="1047" ht="13.35" customHeight="1" x14ac:dyDescent="0.2"/>
    <row r="1048" ht="13.35" customHeight="1" x14ac:dyDescent="0.2"/>
    <row r="1049" ht="13.35" customHeight="1" x14ac:dyDescent="0.2"/>
    <row r="1050" ht="13.35" customHeight="1" x14ac:dyDescent="0.2"/>
    <row r="1051" ht="13.35" customHeight="1" x14ac:dyDescent="0.2"/>
    <row r="1052" ht="13.35" customHeight="1" x14ac:dyDescent="0.2"/>
    <row r="1053" ht="13.35" customHeight="1" x14ac:dyDescent="0.2"/>
    <row r="1054" ht="13.35" customHeight="1" x14ac:dyDescent="0.2"/>
    <row r="1055" ht="13.35" customHeight="1" x14ac:dyDescent="0.2"/>
    <row r="1056" ht="13.35" customHeight="1" x14ac:dyDescent="0.2"/>
    <row r="1057" ht="13.35" customHeight="1" x14ac:dyDescent="0.2"/>
    <row r="1058" ht="13.35" customHeight="1" x14ac:dyDescent="0.2"/>
    <row r="1059" ht="13.35" customHeight="1" x14ac:dyDescent="0.2"/>
    <row r="1060" ht="13.35" customHeight="1" x14ac:dyDescent="0.2"/>
    <row r="1061" ht="13.35" customHeight="1" x14ac:dyDescent="0.2"/>
    <row r="1062" ht="13.35" customHeight="1" x14ac:dyDescent="0.2"/>
    <row r="1063" ht="13.35" customHeight="1" x14ac:dyDescent="0.2"/>
    <row r="1064" ht="13.35" customHeight="1" x14ac:dyDescent="0.2"/>
    <row r="1065" ht="13.35" customHeight="1" x14ac:dyDescent="0.2"/>
    <row r="1066" ht="13.35" customHeight="1" x14ac:dyDescent="0.2"/>
    <row r="1067" ht="13.35" customHeight="1" x14ac:dyDescent="0.2"/>
    <row r="1068" ht="13.35" customHeight="1" x14ac:dyDescent="0.2"/>
    <row r="1069" ht="13.35" customHeight="1" x14ac:dyDescent="0.2"/>
    <row r="1070" ht="13.35" customHeight="1" x14ac:dyDescent="0.2"/>
    <row r="1071" ht="13.35" customHeight="1" x14ac:dyDescent="0.2"/>
    <row r="1072" ht="13.35" customHeight="1" x14ac:dyDescent="0.2"/>
    <row r="1073" ht="13.35" customHeight="1" x14ac:dyDescent="0.2"/>
    <row r="1074" ht="13.35" customHeight="1" x14ac:dyDescent="0.2"/>
    <row r="1075" ht="13.35" customHeight="1" x14ac:dyDescent="0.2"/>
    <row r="1076" ht="13.35" customHeight="1" x14ac:dyDescent="0.2"/>
    <row r="1077" ht="13.35" customHeight="1" x14ac:dyDescent="0.2"/>
    <row r="1078" ht="13.35" customHeight="1" x14ac:dyDescent="0.2"/>
    <row r="1079" ht="13.35" customHeight="1" x14ac:dyDescent="0.2"/>
    <row r="1080" ht="13.35" customHeight="1" x14ac:dyDescent="0.2"/>
    <row r="1081" ht="13.35" customHeight="1" x14ac:dyDescent="0.2"/>
    <row r="1082" ht="13.35" customHeight="1" x14ac:dyDescent="0.2"/>
    <row r="1083" ht="13.35" customHeight="1" x14ac:dyDescent="0.2"/>
    <row r="1084" ht="13.35" customHeight="1" x14ac:dyDescent="0.2"/>
    <row r="1085" ht="13.35" customHeight="1" x14ac:dyDescent="0.2"/>
    <row r="1086" ht="13.35" customHeight="1" x14ac:dyDescent="0.2"/>
    <row r="1087" ht="13.35" customHeight="1" x14ac:dyDescent="0.2"/>
    <row r="1088" ht="13.35" customHeight="1" x14ac:dyDescent="0.2"/>
    <row r="1089" ht="13.35" customHeight="1" x14ac:dyDescent="0.2"/>
    <row r="1090" ht="13.35" customHeight="1" x14ac:dyDescent="0.2"/>
    <row r="1091" ht="13.35" customHeight="1" x14ac:dyDescent="0.2"/>
    <row r="1092" ht="13.35" customHeight="1" x14ac:dyDescent="0.2"/>
    <row r="1093" ht="13.35" customHeight="1" x14ac:dyDescent="0.2"/>
    <row r="1094" ht="13.35" customHeight="1" x14ac:dyDescent="0.2"/>
    <row r="1095" ht="13.35" customHeight="1" x14ac:dyDescent="0.2"/>
    <row r="1096" ht="13.35" customHeight="1" x14ac:dyDescent="0.2"/>
    <row r="1097" ht="13.35" customHeight="1" x14ac:dyDescent="0.2"/>
  </sheetData>
  <conditionalFormatting sqref="J3:CV3">
    <cfRule type="cellIs" dxfId="162" priority="24" stopIfTrue="1" operator="equal">
      <formula>"Construction"</formula>
    </cfRule>
    <cfRule type="cellIs" dxfId="161" priority="25" stopIfTrue="1" operator="equal">
      <formula>"Operations"</formula>
    </cfRule>
  </conditionalFormatting>
  <conditionalFormatting sqref="J3:CV3">
    <cfRule type="cellIs" dxfId="160" priority="23" operator="equal">
      <formula>"Fin Close"</formula>
    </cfRule>
  </conditionalFormatting>
  <conditionalFormatting sqref="J3:CV3">
    <cfRule type="cellIs" dxfId="159" priority="21" operator="equal">
      <formula>"PPA ext."</formula>
    </cfRule>
    <cfRule type="cellIs" dxfId="158" priority="22" operator="equal">
      <formula>"Delay"</formula>
    </cfRule>
  </conditionalFormatting>
  <conditionalFormatting sqref="F2:F4">
    <cfRule type="cellIs" dxfId="157" priority="17" stopIfTrue="1" operator="notEqual">
      <formula>0</formula>
    </cfRule>
    <cfRule type="cellIs" dxfId="156" priority="18" stopIfTrue="1" operator="equal">
      <formula>""</formula>
    </cfRule>
  </conditionalFormatting>
  <conditionalFormatting sqref="F2:F4">
    <cfRule type="cellIs" dxfId="155" priority="19" stopIfTrue="1" operator="notEqual">
      <formula>0</formula>
    </cfRule>
    <cfRule type="cellIs" dxfId="154" priority="20" stopIfTrue="1" operator="equal">
      <formula>""</formula>
    </cfRule>
  </conditionalFormatting>
  <conditionalFormatting sqref="J561:CV561">
    <cfRule type="cellIs" dxfId="153" priority="13" stopIfTrue="1" operator="notEqual">
      <formula>0</formula>
    </cfRule>
    <cfRule type="cellIs" dxfId="152" priority="14" stopIfTrue="1" operator="equal">
      <formula>""</formula>
    </cfRule>
  </conditionalFormatting>
  <conditionalFormatting sqref="J561:CV561">
    <cfRule type="cellIs" dxfId="151" priority="15" stopIfTrue="1" operator="notEqual">
      <formula>0</formula>
    </cfRule>
    <cfRule type="cellIs" dxfId="150" priority="16" stopIfTrue="1" operator="equal">
      <formula>""</formula>
    </cfRule>
  </conditionalFormatting>
  <conditionalFormatting sqref="F561">
    <cfRule type="cellIs" dxfId="149" priority="9" stopIfTrue="1" operator="notEqual">
      <formula>0</formula>
    </cfRule>
    <cfRule type="cellIs" dxfId="148" priority="10" stopIfTrue="1" operator="equal">
      <formula>""</formula>
    </cfRule>
  </conditionalFormatting>
  <conditionalFormatting sqref="F561">
    <cfRule type="cellIs" dxfId="147" priority="11" stopIfTrue="1" operator="notEqual">
      <formula>0</formula>
    </cfRule>
    <cfRule type="cellIs" dxfId="146" priority="12" stopIfTrue="1" operator="equal">
      <formula>""</formula>
    </cfRule>
  </conditionalFormatting>
  <conditionalFormatting sqref="J632:CV632">
    <cfRule type="cellIs" dxfId="145" priority="5" stopIfTrue="1" operator="notEqual">
      <formula>0</formula>
    </cfRule>
    <cfRule type="cellIs" dxfId="144" priority="6" stopIfTrue="1" operator="equal">
      <formula>""</formula>
    </cfRule>
  </conditionalFormatting>
  <conditionalFormatting sqref="J632:CV632">
    <cfRule type="cellIs" dxfId="143" priority="7" stopIfTrue="1" operator="notEqual">
      <formula>0</formula>
    </cfRule>
    <cfRule type="cellIs" dxfId="142" priority="8" stopIfTrue="1" operator="equal">
      <formula>""</formula>
    </cfRule>
  </conditionalFormatting>
  <conditionalFormatting sqref="F632">
    <cfRule type="cellIs" dxfId="141" priority="1" stopIfTrue="1" operator="notEqual">
      <formula>0</formula>
    </cfRule>
    <cfRule type="cellIs" dxfId="140" priority="2" stopIfTrue="1" operator="equal">
      <formula>""</formula>
    </cfRule>
  </conditionalFormatting>
  <conditionalFormatting sqref="F632">
    <cfRule type="cellIs" dxfId="139" priority="3" stopIfTrue="1" operator="notEqual">
      <formula>0</formula>
    </cfRule>
    <cfRule type="cellIs" dxfId="138" priority="4" stopIfTrue="1" operator="equal">
      <formula>""</formula>
    </cfRule>
  </conditionalFormatting>
  <dataValidations count="1">
    <dataValidation allowBlank="1" showInputMessage="1" showErrorMessage="1" sqref="E139:H139 E229:H229 E271:H271 E56:H66 E168:H168 E375:H375 E390:H390 E595:H595 E698:H698 E251:H251 E341:H341 E159:H159 E280:H280 E174:G174 E178:G178 E286:G286 E290:G290 E407:H407 E422:H422 E385:H386 E222:H225 E334:H337 E417:H418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17A92-5673-4CD1-9D7A-B9429194C35D}">
  <sheetPr codeName="Sheet25">
    <outlinePr summaryBelow="0" summaryRight="0"/>
  </sheetPr>
  <dimension ref="A1:GJ112"/>
  <sheetViews>
    <sheetView defaultGridColor="0" colorId="8" zoomScale="75" zoomScaleNormal="75" workbookViewId="0">
      <pane xSplit="9" ySplit="5" topLeftCell="J106" activePane="bottomRight" state="frozen"/>
      <selection activeCell="F117" sqref="F117"/>
      <selection pane="topRight" activeCell="F117" sqref="F117"/>
      <selection pane="bottomLeft" activeCell="F117" sqref="F117"/>
      <selection pane="bottomRight" activeCell="L47" sqref="L47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Solve - Base case 1</v>
      </c>
    </row>
    <row r="2" spans="1:100" x14ac:dyDescent="0.2">
      <c r="A2" s="49"/>
      <c r="B2" s="49"/>
      <c r="C2" s="50"/>
      <c r="D2" s="51"/>
      <c r="E2" s="36"/>
      <c r="F2" s="271">
        <f ca="1" xml:space="preserve"> Check!$F$9</f>
        <v>1</v>
      </c>
      <c r="G2" s="37" t="s">
        <v>23</v>
      </c>
      <c r="H2" s="25"/>
      <c r="I2" s="13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</row>
    <row r="3" spans="1:100" x14ac:dyDescent="0.2">
      <c r="E3" s="17"/>
      <c r="F3" s="271">
        <f ca="1" xml:space="preserve"> Output!J2</f>
        <v>82</v>
      </c>
      <c r="G3" s="80" t="s">
        <v>25</v>
      </c>
      <c r="H3" s="17"/>
      <c r="I3" s="13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</row>
    <row r="4" spans="1:100" x14ac:dyDescent="0.2">
      <c r="E4" s="196"/>
      <c r="F4" s="271">
        <f xml:space="preserve"> Check!$F$28</f>
        <v>0</v>
      </c>
      <c r="G4" s="80" t="s">
        <v>24</v>
      </c>
      <c r="H4" s="2"/>
      <c r="I4" s="1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0" x14ac:dyDescent="0.2">
      <c r="E5" s="2"/>
      <c r="F5" s="39" t="s">
        <v>19</v>
      </c>
      <c r="G5" s="40" t="s">
        <v>17</v>
      </c>
      <c r="H5" s="39" t="s">
        <v>18</v>
      </c>
      <c r="I5" s="1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</row>
    <row r="6" spans="1:100" x14ac:dyDescent="0.2"/>
    <row r="7" spans="1:100" x14ac:dyDescent="0.2">
      <c r="A7" s="15" t="s">
        <v>321</v>
      </c>
    </row>
    <row r="8" spans="1:100" outlineLevel="1" x14ac:dyDescent="0.2"/>
    <row r="9" spans="1:100" outlineLevel="1" x14ac:dyDescent="0.2">
      <c r="E9" s="186" t="str">
        <f xml:space="preserve"> Metrics!E$60</f>
        <v>Blended equity IRR</v>
      </c>
      <c r="F9" s="493">
        <f xml:space="preserve"> Metrics!F$60</f>
        <v>9.9999994039535522E-2</v>
      </c>
      <c r="G9" s="186" t="str">
        <f xml:space="preserve"> Metrics!G$60</f>
        <v>%</v>
      </c>
    </row>
    <row r="10" spans="1:100" s="283" customFormat="1" outlineLevel="1" x14ac:dyDescent="0.2">
      <c r="A10" s="556"/>
      <c r="B10" s="556"/>
      <c r="C10" s="557"/>
      <c r="D10" s="115"/>
      <c r="E10" s="450" t="str">
        <f xml:space="preserve"> InpC!E$28</f>
        <v>Target IRR</v>
      </c>
      <c r="F10" s="450">
        <f xml:space="preserve"> InpC!F$28</f>
        <v>0.1</v>
      </c>
      <c r="G10" s="450" t="str">
        <f xml:space="preserve"> InpC!G$28</f>
        <v>%</v>
      </c>
      <c r="H10" s="282"/>
      <c r="I10" s="11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2"/>
      <c r="AN10" s="282"/>
      <c r="AO10" s="282"/>
      <c r="AP10" s="282"/>
      <c r="AQ10" s="282"/>
      <c r="AR10" s="282"/>
      <c r="AS10" s="282"/>
      <c r="AT10" s="282"/>
      <c r="AU10" s="282"/>
      <c r="AV10" s="282"/>
      <c r="AW10" s="282"/>
      <c r="AX10" s="282"/>
      <c r="AY10" s="282"/>
      <c r="AZ10" s="282"/>
      <c r="BA10" s="282"/>
      <c r="BB10" s="282"/>
      <c r="BC10" s="282"/>
      <c r="BD10" s="282"/>
      <c r="BE10" s="282"/>
      <c r="BF10" s="282"/>
      <c r="BG10" s="282"/>
      <c r="BH10" s="282"/>
      <c r="BI10" s="282"/>
      <c r="BJ10" s="282"/>
      <c r="BK10" s="282"/>
      <c r="BL10" s="282"/>
      <c r="BM10" s="282"/>
      <c r="BN10" s="282"/>
      <c r="BO10" s="282"/>
      <c r="BP10" s="282"/>
      <c r="BQ10" s="282"/>
      <c r="BR10" s="282"/>
      <c r="BS10" s="282"/>
      <c r="BT10" s="282"/>
      <c r="BU10" s="282"/>
      <c r="BV10" s="282"/>
      <c r="BW10" s="282"/>
      <c r="BX10" s="282"/>
      <c r="BY10" s="282"/>
      <c r="BZ10" s="282"/>
      <c r="CA10" s="282"/>
      <c r="CB10" s="282"/>
      <c r="CC10" s="282"/>
      <c r="CD10" s="282"/>
      <c r="CE10" s="282"/>
      <c r="CF10" s="282"/>
      <c r="CG10" s="282"/>
      <c r="CH10" s="282"/>
      <c r="CI10" s="282"/>
      <c r="CJ10" s="282"/>
      <c r="CK10" s="282"/>
      <c r="CL10" s="282"/>
      <c r="CM10" s="282"/>
      <c r="CN10" s="282"/>
      <c r="CO10" s="282"/>
      <c r="CP10" s="282"/>
      <c r="CQ10" s="282"/>
      <c r="CR10" s="282"/>
      <c r="CS10" s="282"/>
      <c r="CT10" s="282"/>
      <c r="CU10" s="282"/>
      <c r="CV10" s="282"/>
    </row>
    <row r="11" spans="1:100" outlineLevel="1" x14ac:dyDescent="0.2">
      <c r="E11" s="12" t="s">
        <v>632</v>
      </c>
      <c r="F11" s="282">
        <f xml:space="preserve"> F10 - F9</f>
        <v>5.9604644830901776E-9</v>
      </c>
      <c r="G11" s="12" t="s">
        <v>103</v>
      </c>
    </row>
    <row r="12" spans="1:100" outlineLevel="1" x14ac:dyDescent="0.2"/>
    <row r="13" spans="1:100" outlineLevel="1" x14ac:dyDescent="0.2">
      <c r="E13" s="186" t="str">
        <f xml:space="preserve"> InpC!E$27</f>
        <v>Tariff solving mode</v>
      </c>
      <c r="F13" s="68">
        <f xml:space="preserve"> InpC!F$27</f>
        <v>1</v>
      </c>
      <c r="G13" s="186" t="str">
        <f xml:space="preserve"> InpC!G$27</f>
        <v>1 = changes go to tariff, 2 = changes go to IRR</v>
      </c>
    </row>
    <row r="14" spans="1:100" outlineLevel="1" x14ac:dyDescent="0.2">
      <c r="E14" s="12" t="str">
        <f xml:space="preserve"> E$48</f>
        <v>Power tariff (fixed)</v>
      </c>
      <c r="F14" s="549">
        <f xml:space="preserve"> F$48</f>
        <v>19.483770556130601</v>
      </c>
      <c r="G14" s="12" t="str">
        <f xml:space="preserve"> G$48</f>
        <v>WID Cents / kWh</v>
      </c>
    </row>
    <row r="15" spans="1:100" outlineLevel="1" x14ac:dyDescent="0.2">
      <c r="E15" s="12" t="str">
        <f xml:space="preserve"> E$11</f>
        <v>Difference in target vs actual IRR</v>
      </c>
      <c r="F15" s="287">
        <f xml:space="preserve"> F$11</f>
        <v>5.9604644830901776E-9</v>
      </c>
      <c r="G15" s="12" t="str">
        <f xml:space="preserve"> G$11</f>
        <v>%</v>
      </c>
    </row>
    <row r="16" spans="1:100" outlineLevel="1" x14ac:dyDescent="0.2">
      <c r="E16" s="12" t="s">
        <v>325</v>
      </c>
      <c r="F16" s="82">
        <f xml:space="preserve"> IF(F13 = 1, J48 * (1 + F15), F14)</f>
        <v>19.483770672262924</v>
      </c>
      <c r="G16" s="12" t="s">
        <v>622</v>
      </c>
    </row>
    <row r="17" spans="1:100" outlineLevel="1" x14ac:dyDescent="0.2"/>
    <row r="18" spans="1:100" outlineLevel="1" x14ac:dyDescent="0.2">
      <c r="E18" s="630" t="str">
        <f xml:space="preserve"> InpC!E$30</f>
        <v>Post FC/Post bid switch</v>
      </c>
      <c r="F18" s="383">
        <f xml:space="preserve"> InpC!F$30</f>
        <v>0</v>
      </c>
      <c r="G18" s="630" t="str">
        <f xml:space="preserve"> InpC!G$30</f>
        <v>0= Off, 1=On</v>
      </c>
    </row>
    <row r="19" spans="1:100" outlineLevel="1" x14ac:dyDescent="0.2">
      <c r="E19" s="189" t="str">
        <f xml:space="preserve"> InpC!E$153</f>
        <v>EBL active switch</v>
      </c>
      <c r="F19" s="189">
        <f xml:space="preserve"> InpC!F$153</f>
        <v>1</v>
      </c>
      <c r="G19" s="189" t="str">
        <f xml:space="preserve"> InpC!G$153</f>
        <v>1 = yes; 0 = no</v>
      </c>
    </row>
    <row r="20" spans="1:100" outlineLevel="1" x14ac:dyDescent="0.2">
      <c r="E20" s="189"/>
      <c r="F20" s="189"/>
      <c r="G20" s="189"/>
    </row>
    <row r="21" spans="1:100" x14ac:dyDescent="0.2">
      <c r="E21" s="189"/>
      <c r="F21" s="189"/>
      <c r="G21" s="189"/>
    </row>
    <row r="22" spans="1:100" x14ac:dyDescent="0.2">
      <c r="A22" s="15" t="s">
        <v>286</v>
      </c>
      <c r="J22" s="650"/>
    </row>
    <row r="23" spans="1:100" outlineLevel="1" x14ac:dyDescent="0.2"/>
    <row r="24" spans="1:100" s="502" customFormat="1" outlineLevel="1" x14ac:dyDescent="0.2">
      <c r="A24" s="216"/>
      <c r="B24" s="216" t="s">
        <v>289</v>
      </c>
      <c r="C24" s="217"/>
      <c r="D24" s="218"/>
      <c r="E24" s="219"/>
      <c r="F24" s="219"/>
      <c r="G24" s="219"/>
      <c r="H24" s="219"/>
      <c r="I24" s="220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  <c r="BR24" s="219"/>
      <c r="BS24" s="219"/>
      <c r="BT24" s="219"/>
      <c r="BU24" s="219"/>
      <c r="BV24" s="219"/>
      <c r="BW24" s="219"/>
      <c r="BX24" s="219"/>
      <c r="BY24" s="219"/>
      <c r="BZ24" s="219"/>
      <c r="CA24" s="219"/>
      <c r="CB24" s="219"/>
      <c r="CC24" s="219"/>
      <c r="CD24" s="219"/>
      <c r="CE24" s="219"/>
      <c r="CF24" s="219"/>
      <c r="CG24" s="219"/>
      <c r="CH24" s="219"/>
      <c r="CI24" s="219"/>
      <c r="CJ24" s="219"/>
      <c r="CK24" s="219"/>
      <c r="CL24" s="219"/>
      <c r="CM24" s="219"/>
      <c r="CN24" s="219"/>
      <c r="CO24" s="219"/>
      <c r="CP24" s="219"/>
      <c r="CQ24" s="219"/>
      <c r="CR24" s="219"/>
      <c r="CS24" s="219"/>
      <c r="CT24" s="219"/>
      <c r="CU24" s="219"/>
      <c r="CV24" s="219"/>
    </row>
    <row r="25" spans="1:100" s="498" customFormat="1" outlineLevel="2" x14ac:dyDescent="0.2">
      <c r="A25" s="15"/>
      <c r="B25" s="15"/>
      <c r="C25" s="21"/>
      <c r="D25" s="48"/>
      <c r="E25" s="214" t="str">
        <f xml:space="preserve"> E$16</f>
        <v>Adjusted tariff</v>
      </c>
      <c r="F25" s="896">
        <f xml:space="preserve"> IF($F18 = 1, $J48, F$16)</f>
        <v>19.483770672262924</v>
      </c>
      <c r="G25" s="214" t="s">
        <v>622</v>
      </c>
      <c r="H25" s="214"/>
      <c r="I25" s="38"/>
      <c r="J25" s="279">
        <f xml:space="preserve"> F25</f>
        <v>19.483770672262924</v>
      </c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  <c r="CO25" s="214"/>
      <c r="CP25" s="214"/>
      <c r="CQ25" s="214"/>
      <c r="CR25" s="214"/>
      <c r="CS25" s="214"/>
      <c r="CT25" s="214"/>
      <c r="CU25" s="214"/>
      <c r="CV25" s="214"/>
    </row>
    <row r="26" spans="1:100" s="751" customFormat="1" outlineLevel="2" x14ac:dyDescent="0.2">
      <c r="A26" s="522"/>
      <c r="B26" s="522"/>
      <c r="C26" s="523"/>
      <c r="D26" s="524"/>
      <c r="E26" s="815" t="str">
        <f xml:space="preserve"> ConFin!E$99</f>
        <v>EBL requirement</v>
      </c>
      <c r="F26" s="815">
        <f xml:space="preserve"> ConFin!F$99</f>
        <v>86318.253106861201</v>
      </c>
      <c r="G26" s="815" t="str">
        <f xml:space="preserve"> ConFin!G$99</f>
        <v>$ 000s</v>
      </c>
      <c r="H26" s="706"/>
      <c r="I26" s="663"/>
      <c r="J26" s="104">
        <f xml:space="preserve"> AVERAGE(F26, Solve!J49) * Solve!$F$19</f>
        <v>86318.25818524108</v>
      </c>
      <c r="K26" s="706"/>
      <c r="L26" s="706"/>
      <c r="M26" s="706"/>
      <c r="N26" s="706"/>
      <c r="O26" s="706"/>
      <c r="P26" s="706"/>
      <c r="Q26" s="706"/>
      <c r="R26" s="706"/>
      <c r="S26" s="706"/>
      <c r="T26" s="706"/>
      <c r="U26" s="706"/>
      <c r="V26" s="706"/>
      <c r="W26" s="706"/>
      <c r="X26" s="706"/>
      <c r="Y26" s="706"/>
      <c r="Z26" s="706"/>
      <c r="AA26" s="706"/>
      <c r="AB26" s="706"/>
      <c r="AC26" s="706"/>
      <c r="AD26" s="706"/>
      <c r="AE26" s="706"/>
      <c r="AF26" s="706"/>
      <c r="AG26" s="706"/>
      <c r="AH26" s="706"/>
      <c r="AI26" s="706"/>
      <c r="AJ26" s="706"/>
      <c r="AK26" s="706"/>
      <c r="AL26" s="706"/>
      <c r="AM26" s="706"/>
      <c r="AN26" s="706"/>
      <c r="AO26" s="706"/>
      <c r="AP26" s="706"/>
      <c r="AQ26" s="706"/>
      <c r="AR26" s="706"/>
      <c r="AS26" s="706"/>
      <c r="AT26" s="706"/>
      <c r="AU26" s="706"/>
      <c r="AV26" s="706"/>
      <c r="AW26" s="706"/>
      <c r="AX26" s="706"/>
      <c r="AY26" s="706"/>
      <c r="AZ26" s="706"/>
      <c r="BA26" s="706"/>
      <c r="BB26" s="706"/>
      <c r="BC26" s="706"/>
      <c r="BD26" s="706"/>
      <c r="BE26" s="706"/>
      <c r="BF26" s="706"/>
      <c r="BG26" s="706"/>
      <c r="BH26" s="706"/>
      <c r="BI26" s="706"/>
      <c r="BJ26" s="706"/>
      <c r="BK26" s="706"/>
      <c r="BL26" s="706"/>
      <c r="BM26" s="706"/>
      <c r="BN26" s="706"/>
      <c r="BO26" s="706"/>
      <c r="BP26" s="706"/>
      <c r="BQ26" s="706"/>
      <c r="BR26" s="706"/>
      <c r="BS26" s="706"/>
      <c r="BT26" s="706"/>
      <c r="BU26" s="706"/>
      <c r="BV26" s="706"/>
      <c r="BW26" s="706"/>
      <c r="BX26" s="706"/>
      <c r="BY26" s="706"/>
      <c r="BZ26" s="706"/>
      <c r="CA26" s="706"/>
      <c r="CB26" s="706"/>
      <c r="CC26" s="706"/>
      <c r="CD26" s="706"/>
      <c r="CE26" s="706"/>
      <c r="CF26" s="706"/>
      <c r="CG26" s="706"/>
      <c r="CH26" s="706"/>
      <c r="CI26" s="706"/>
      <c r="CJ26" s="706"/>
      <c r="CK26" s="706"/>
      <c r="CL26" s="706"/>
      <c r="CM26" s="706"/>
      <c r="CN26" s="706"/>
      <c r="CO26" s="706"/>
      <c r="CP26" s="706"/>
      <c r="CQ26" s="706"/>
      <c r="CR26" s="706"/>
      <c r="CS26" s="706"/>
      <c r="CT26" s="706"/>
      <c r="CU26" s="706"/>
      <c r="CV26" s="706"/>
    </row>
    <row r="27" spans="1:100" s="751" customFormat="1" outlineLevel="2" x14ac:dyDescent="0.2">
      <c r="A27" s="522"/>
      <c r="B27" s="522"/>
      <c r="C27" s="523"/>
      <c r="D27" s="524"/>
      <c r="E27" s="705" t="str">
        <f xml:space="preserve"> ConFin!E$209</f>
        <v>Equity bridge interest and fees rolled up - total - calc</v>
      </c>
      <c r="F27" s="705">
        <f xml:space="preserve"> ConFin!F$209</f>
        <v>0</v>
      </c>
      <c r="G27" s="705" t="str">
        <f xml:space="preserve"> ConFin!G$209</f>
        <v>$ 000s</v>
      </c>
      <c r="H27" s="706"/>
      <c r="I27" s="663"/>
      <c r="J27" s="104">
        <f xml:space="preserve"> AVERAGE(F27, Solve!J50) * Solve!$F$19</f>
        <v>0</v>
      </c>
      <c r="K27" s="706"/>
      <c r="L27" s="706"/>
      <c r="M27" s="706"/>
      <c r="N27" s="706"/>
      <c r="O27" s="706"/>
      <c r="P27" s="706"/>
      <c r="Q27" s="706"/>
      <c r="R27" s="706"/>
      <c r="S27" s="706"/>
      <c r="T27" s="706"/>
      <c r="U27" s="706"/>
      <c r="V27" s="706"/>
      <c r="W27" s="706"/>
      <c r="X27" s="706"/>
      <c r="Y27" s="706"/>
      <c r="Z27" s="706"/>
      <c r="AA27" s="706"/>
      <c r="AB27" s="706"/>
      <c r="AC27" s="706"/>
      <c r="AD27" s="706"/>
      <c r="AE27" s="706"/>
      <c r="AF27" s="706"/>
      <c r="AG27" s="706"/>
      <c r="AH27" s="706"/>
      <c r="AI27" s="706"/>
      <c r="AJ27" s="706"/>
      <c r="AK27" s="706"/>
      <c r="AL27" s="706"/>
      <c r="AM27" s="706"/>
      <c r="AN27" s="706"/>
      <c r="AO27" s="706"/>
      <c r="AP27" s="706"/>
      <c r="AQ27" s="706"/>
      <c r="AR27" s="706"/>
      <c r="AS27" s="706"/>
      <c r="AT27" s="706"/>
      <c r="AU27" s="706"/>
      <c r="AV27" s="706"/>
      <c r="AW27" s="706"/>
      <c r="AX27" s="706"/>
      <c r="AY27" s="706"/>
      <c r="AZ27" s="706"/>
      <c r="BA27" s="706"/>
      <c r="BB27" s="706"/>
      <c r="BC27" s="706"/>
      <c r="BD27" s="706"/>
      <c r="BE27" s="706"/>
      <c r="BF27" s="706"/>
      <c r="BG27" s="706"/>
      <c r="BH27" s="706"/>
      <c r="BI27" s="706"/>
      <c r="BJ27" s="706"/>
      <c r="BK27" s="706"/>
      <c r="BL27" s="706"/>
      <c r="BM27" s="706"/>
      <c r="BN27" s="706"/>
      <c r="BO27" s="706"/>
      <c r="BP27" s="706"/>
      <c r="BQ27" s="706"/>
      <c r="BR27" s="706"/>
      <c r="BS27" s="706"/>
      <c r="BT27" s="706"/>
      <c r="BU27" s="706"/>
      <c r="BV27" s="706"/>
      <c r="BW27" s="706"/>
      <c r="BX27" s="706"/>
      <c r="BY27" s="706"/>
      <c r="BZ27" s="706"/>
      <c r="CA27" s="706"/>
      <c r="CB27" s="706"/>
      <c r="CC27" s="706"/>
      <c r="CD27" s="706"/>
      <c r="CE27" s="706"/>
      <c r="CF27" s="706"/>
      <c r="CG27" s="706"/>
      <c r="CH27" s="706"/>
      <c r="CI27" s="706"/>
      <c r="CJ27" s="706"/>
      <c r="CK27" s="706"/>
      <c r="CL27" s="706"/>
      <c r="CM27" s="706"/>
      <c r="CN27" s="706"/>
      <c r="CO27" s="706"/>
      <c r="CP27" s="706"/>
      <c r="CQ27" s="706"/>
      <c r="CR27" s="706"/>
      <c r="CS27" s="706"/>
      <c r="CT27" s="706"/>
      <c r="CU27" s="706"/>
      <c r="CV27" s="706"/>
    </row>
    <row r="28" spans="1:100" s="498" customFormat="1" outlineLevel="2" x14ac:dyDescent="0.2">
      <c r="A28" s="15"/>
      <c r="B28" s="15"/>
      <c r="C28" s="21"/>
      <c r="D28" s="48"/>
      <c r="E28" s="501" t="str">
        <f xml:space="preserve"> Debt!E$53</f>
        <v>Debt capacity at target DSCR - Calc</v>
      </c>
      <c r="F28" s="281">
        <f xml:space="preserve"> IF($F$18 = 1, F51, Debt!F$53)</f>
        <v>250389.84250993346</v>
      </c>
      <c r="G28" s="501" t="str">
        <f xml:space="preserve"> Debt!G$53</f>
        <v>$ 000s</v>
      </c>
      <c r="H28" s="214"/>
      <c r="I28" s="38"/>
      <c r="J28" s="510">
        <f xml:space="preserve"> F28</f>
        <v>250389.84250993346</v>
      </c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</row>
    <row r="29" spans="1:100" s="498" customFormat="1" outlineLevel="2" x14ac:dyDescent="0.2">
      <c r="A29" s="15"/>
      <c r="B29" s="15"/>
      <c r="C29" s="21"/>
      <c r="D29" s="48"/>
      <c r="E29" s="501" t="str">
        <f xml:space="preserve"> Debt!E$80</f>
        <v>Debt repayment amount - all tranche active - Calc</v>
      </c>
      <c r="F29" s="510">
        <f xml:space="preserve"> IF($F$18 = 1, F52, Debt!F$80)</f>
        <v>213278.56948618923</v>
      </c>
      <c r="G29" s="501" t="str">
        <f xml:space="preserve"> Debt!G$80</f>
        <v>$ 000s</v>
      </c>
      <c r="H29" s="715"/>
      <c r="I29" s="716"/>
      <c r="J29" s="510">
        <f xml:space="preserve"> F29</f>
        <v>213278.56948618923</v>
      </c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</row>
    <row r="30" spans="1:100" s="332" customFormat="1" outlineLevel="2" x14ac:dyDescent="0.2">
      <c r="A30" s="429"/>
      <c r="B30" s="429"/>
      <c r="C30" s="430"/>
      <c r="D30" s="190"/>
      <c r="E30" s="698" t="str">
        <f xml:space="preserve"> ConFin!E$43</f>
        <v>Total equity requirement - calc</v>
      </c>
      <c r="F30" s="190">
        <f xml:space="preserve"> IF($F$18 = 1, F53, ConFin!F$43)</f>
        <v>86418.256815268309</v>
      </c>
      <c r="G30" s="698" t="str">
        <f xml:space="preserve"> ConFin!G$43</f>
        <v>$ 000s</v>
      </c>
      <c r="H30" s="698"/>
      <c r="I30" s="578"/>
      <c r="J30" s="35">
        <f>F30</f>
        <v>86418.256815268309</v>
      </c>
    </row>
    <row r="31" spans="1:100" s="498" customFormat="1" outlineLevel="2" x14ac:dyDescent="0.2">
      <c r="A31" s="15"/>
      <c r="B31" s="15"/>
      <c r="C31" s="21"/>
      <c r="D31" s="48"/>
      <c r="E31" s="606" t="s">
        <v>440</v>
      </c>
      <c r="F31" s="313">
        <f>IF($F$18 = 1,  F54, Debt!F67)</f>
        <v>0.71796762690416871</v>
      </c>
      <c r="G31" s="606" t="str">
        <f xml:space="preserve"> Debt!G67</f>
        <v>%</v>
      </c>
      <c r="H31" s="214"/>
      <c r="I31" s="38"/>
      <c r="J31" s="115">
        <f>F31</f>
        <v>0.71796762690416871</v>
      </c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</row>
    <row r="32" spans="1:100" s="498" customFormat="1" outlineLevel="1" x14ac:dyDescent="0.2">
      <c r="A32" s="15"/>
      <c r="B32" s="15"/>
      <c r="C32" s="21"/>
      <c r="D32" s="48"/>
      <c r="E32" s="214"/>
      <c r="F32" s="214"/>
      <c r="G32" s="214"/>
      <c r="H32" s="214"/>
      <c r="I32" s="38"/>
      <c r="J32" s="38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</row>
    <row r="33" spans="1:100" s="498" customFormat="1" outlineLevel="1" x14ac:dyDescent="0.2">
      <c r="A33" s="15"/>
      <c r="B33" s="15" t="s">
        <v>288</v>
      </c>
      <c r="C33" s="21"/>
      <c r="D33" s="48"/>
      <c r="E33" s="214"/>
      <c r="F33" s="214"/>
      <c r="G33" s="214"/>
      <c r="H33" s="214"/>
      <c r="I33" s="38"/>
      <c r="J33" s="38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</row>
    <row r="34" spans="1:100" s="500" customFormat="1" outlineLevel="2" x14ac:dyDescent="0.2">
      <c r="A34" s="15"/>
      <c r="B34" s="15"/>
      <c r="C34" s="21"/>
      <c r="D34" s="48"/>
      <c r="E34" s="499" t="str">
        <f xml:space="preserve"> ConTime!E$23</f>
        <v>Model period ending - m</v>
      </c>
      <c r="F34" s="499">
        <f xml:space="preserve"> ConTime!F$23</f>
        <v>0</v>
      </c>
      <c r="G34" s="499" t="str">
        <f xml:space="preserve"> ConTime!G$23</f>
        <v>date</v>
      </c>
      <c r="H34" s="499">
        <f xml:space="preserve"> ConTime!H$23</f>
        <v>0</v>
      </c>
      <c r="I34" s="499">
        <f xml:space="preserve"> ConTime!I$23</f>
        <v>0</v>
      </c>
      <c r="J34" s="631">
        <f xml:space="preserve"> ConTime!J$23</f>
        <v>44592</v>
      </c>
      <c r="K34" s="499">
        <f xml:space="preserve"> ConTime!K$23</f>
        <v>44620</v>
      </c>
      <c r="L34" s="499">
        <f xml:space="preserve"> ConTime!L$23</f>
        <v>44651</v>
      </c>
      <c r="M34" s="499">
        <f xml:space="preserve"> ConTime!M$23</f>
        <v>44681</v>
      </c>
      <c r="N34" s="499">
        <f xml:space="preserve"> ConTime!N$23</f>
        <v>44712</v>
      </c>
      <c r="O34" s="499">
        <f xml:space="preserve"> ConTime!O$23</f>
        <v>44742</v>
      </c>
      <c r="P34" s="499">
        <f xml:space="preserve"> ConTime!P$23</f>
        <v>44773</v>
      </c>
      <c r="Q34" s="499">
        <f xml:space="preserve"> ConTime!Q$23</f>
        <v>44804</v>
      </c>
      <c r="R34" s="499">
        <f xml:space="preserve"> ConTime!R$23</f>
        <v>44834</v>
      </c>
      <c r="S34" s="499">
        <f xml:space="preserve"> ConTime!S$23</f>
        <v>44865</v>
      </c>
      <c r="T34" s="499">
        <f xml:space="preserve"> ConTime!T$23</f>
        <v>44895</v>
      </c>
      <c r="U34" s="499">
        <f xml:space="preserve"> ConTime!U$23</f>
        <v>44926</v>
      </c>
      <c r="V34" s="499">
        <f xml:space="preserve"> ConTime!V$23</f>
        <v>44957</v>
      </c>
      <c r="W34" s="499">
        <f xml:space="preserve"> ConTime!W$23</f>
        <v>44985</v>
      </c>
      <c r="X34" s="499">
        <f xml:space="preserve"> ConTime!X$23</f>
        <v>45016</v>
      </c>
      <c r="Y34" s="499">
        <f xml:space="preserve"> ConTime!Y$23</f>
        <v>45046</v>
      </c>
      <c r="Z34" s="499">
        <f xml:space="preserve"> ConTime!Z$23</f>
        <v>45077</v>
      </c>
      <c r="AA34" s="499">
        <f xml:space="preserve"> ConTime!AA$23</f>
        <v>45107</v>
      </c>
      <c r="AB34" s="499">
        <f xml:space="preserve"> ConTime!AB$23</f>
        <v>45138</v>
      </c>
      <c r="AC34" s="499">
        <f xml:space="preserve"> ConTime!AC$23</f>
        <v>45169</v>
      </c>
      <c r="AD34" s="499">
        <f xml:space="preserve"> ConTime!AD$23</f>
        <v>45199</v>
      </c>
      <c r="AE34" s="499">
        <f xml:space="preserve"> ConTime!AE$23</f>
        <v>45230</v>
      </c>
      <c r="AF34" s="499">
        <f xml:space="preserve"> ConTime!AF$23</f>
        <v>45260</v>
      </c>
      <c r="AG34" s="499">
        <f xml:space="preserve"> ConTime!AG$23</f>
        <v>45291</v>
      </c>
      <c r="AH34" s="499">
        <f xml:space="preserve"> ConTime!AH$23</f>
        <v>45322</v>
      </c>
      <c r="AI34" s="499">
        <f xml:space="preserve"> ConTime!AI$23</f>
        <v>45351</v>
      </c>
      <c r="AJ34" s="499">
        <f xml:space="preserve"> ConTime!AJ$23</f>
        <v>45382</v>
      </c>
      <c r="AK34" s="499">
        <f xml:space="preserve"> ConTime!AK$23</f>
        <v>45412</v>
      </c>
      <c r="AL34" s="499">
        <f xml:space="preserve"> ConTime!AL$23</f>
        <v>45443</v>
      </c>
      <c r="AM34" s="499">
        <f xml:space="preserve"> ConTime!AM$23</f>
        <v>45473</v>
      </c>
      <c r="AN34" s="499">
        <f xml:space="preserve"> ConTime!AN$23</f>
        <v>45504</v>
      </c>
      <c r="AO34" s="499">
        <f xml:space="preserve"> ConTime!AO$23</f>
        <v>45535</v>
      </c>
      <c r="AP34" s="499">
        <f xml:space="preserve"> ConTime!AP$23</f>
        <v>45565</v>
      </c>
      <c r="AQ34" s="499">
        <f xml:space="preserve"> ConTime!AQ$23</f>
        <v>45596</v>
      </c>
      <c r="AR34" s="499">
        <f xml:space="preserve"> ConTime!AR$23</f>
        <v>45626</v>
      </c>
      <c r="AS34" s="499">
        <f xml:space="preserve"> ConTime!AS$23</f>
        <v>45657</v>
      </c>
      <c r="AT34" s="499">
        <f xml:space="preserve"> ConTime!AT$23</f>
        <v>45688</v>
      </c>
      <c r="AU34" s="499">
        <f xml:space="preserve"> ConTime!AU$23</f>
        <v>45716</v>
      </c>
      <c r="AV34" s="499">
        <f xml:space="preserve"> ConTime!AV$23</f>
        <v>45747</v>
      </c>
      <c r="AW34" s="499">
        <f xml:space="preserve"> ConTime!AW$23</f>
        <v>45777</v>
      </c>
      <c r="AX34" s="499">
        <f xml:space="preserve"> ConTime!AX$23</f>
        <v>45808</v>
      </c>
      <c r="AY34" s="499">
        <f xml:space="preserve"> ConTime!AY$23</f>
        <v>45838</v>
      </c>
      <c r="AZ34" s="499">
        <f xml:space="preserve"> ConTime!AZ$23</f>
        <v>45869</v>
      </c>
      <c r="BA34" s="499">
        <f xml:space="preserve"> ConTime!BA$23</f>
        <v>45900</v>
      </c>
      <c r="BB34" s="499">
        <f xml:space="preserve"> ConTime!BB$23</f>
        <v>45930</v>
      </c>
      <c r="BC34" s="499">
        <f xml:space="preserve"> ConTime!BC$23</f>
        <v>45961</v>
      </c>
      <c r="BD34" s="499">
        <f xml:space="preserve"> ConTime!BD$23</f>
        <v>45991</v>
      </c>
      <c r="BE34" s="499">
        <f xml:space="preserve"> ConTime!BE$23</f>
        <v>46022</v>
      </c>
      <c r="BF34" s="609"/>
      <c r="BG34" s="609"/>
      <c r="BH34" s="609"/>
      <c r="BI34" s="609"/>
      <c r="BJ34" s="609"/>
      <c r="BK34" s="609"/>
      <c r="BL34" s="609"/>
      <c r="BM34" s="609"/>
      <c r="BN34" s="609"/>
      <c r="BO34" s="609"/>
      <c r="BP34" s="609"/>
      <c r="BQ34" s="609"/>
      <c r="BR34" s="609"/>
      <c r="BS34" s="609"/>
      <c r="BT34" s="609"/>
      <c r="BU34" s="609"/>
      <c r="BV34" s="609"/>
      <c r="BW34" s="609"/>
      <c r="BX34" s="609"/>
      <c r="BY34" s="609"/>
      <c r="BZ34" s="609"/>
      <c r="CA34" s="609"/>
      <c r="CB34" s="609"/>
      <c r="CC34" s="609"/>
      <c r="CD34" s="609"/>
      <c r="CE34" s="609"/>
      <c r="CF34" s="609"/>
      <c r="CG34" s="609"/>
      <c r="CH34" s="609"/>
      <c r="CI34" s="609"/>
      <c r="CJ34" s="609"/>
      <c r="CK34" s="609"/>
      <c r="CL34" s="609"/>
      <c r="CM34" s="609"/>
      <c r="CN34" s="609"/>
      <c r="CO34" s="609"/>
      <c r="CP34" s="609"/>
      <c r="CQ34" s="609"/>
      <c r="CR34" s="609"/>
      <c r="CS34" s="609"/>
      <c r="CT34" s="609"/>
      <c r="CU34" s="609"/>
      <c r="CV34" s="609"/>
    </row>
    <row r="35" spans="1:100" s="498" customFormat="1" outlineLevel="2" x14ac:dyDescent="0.2">
      <c r="A35" s="15"/>
      <c r="B35" s="15"/>
      <c r="C35" s="21"/>
      <c r="D35" s="48"/>
      <c r="E35" s="501" t="str">
        <f xml:space="preserve"> ConFin!E$32</f>
        <v>Project costs / funding requirement</v>
      </c>
      <c r="F35" s="501">
        <f xml:space="preserve"> ConFin!F$32</f>
        <v>0</v>
      </c>
      <c r="G35" s="501" t="str">
        <f xml:space="preserve"> ConFin!G$32</f>
        <v>$ 000s</v>
      </c>
      <c r="H35" s="501">
        <f xml:space="preserve"> ConFin!H$32</f>
        <v>348748.10938498261</v>
      </c>
      <c r="I35" s="501">
        <f xml:space="preserve"> ConFin!I$32</f>
        <v>0</v>
      </c>
      <c r="J35" s="145">
        <f xml:space="preserve"> ConFin!J$32</f>
        <v>0</v>
      </c>
      <c r="K35" s="501">
        <f xml:space="preserve"> ConFin!K$32</f>
        <v>0</v>
      </c>
      <c r="L35" s="501">
        <f xml:space="preserve"> ConFin!L$32</f>
        <v>0</v>
      </c>
      <c r="M35" s="501">
        <f xml:space="preserve"> ConFin!M$32</f>
        <v>14943.424768648449</v>
      </c>
      <c r="N35" s="501">
        <f xml:space="preserve"> ConFin!N$32</f>
        <v>11841.3278099945</v>
      </c>
      <c r="O35" s="501">
        <f xml:space="preserve"> ConFin!O$32</f>
        <v>11870.259744254683</v>
      </c>
      <c r="P35" s="501">
        <f xml:space="preserve"> ConFin!P$32</f>
        <v>11907.687322377085</v>
      </c>
      <c r="Q35" s="501">
        <f xml:space="preserve"> ConFin!Q$32</f>
        <v>11941.012308420399</v>
      </c>
      <c r="R35" s="501">
        <f xml:space="preserve"> ConFin!R$32</f>
        <v>11966.998592548676</v>
      </c>
      <c r="S35" s="501">
        <f xml:space="preserve"> ConFin!S$32</f>
        <v>12007.921533362938</v>
      </c>
      <c r="T35" s="501">
        <f xml:space="preserve"> ConFin!T$32</f>
        <v>12031.934189986556</v>
      </c>
      <c r="U35" s="501">
        <f xml:space="preserve"> ConFin!U$32</f>
        <v>12076.190638570888</v>
      </c>
      <c r="V35" s="501">
        <f xml:space="preserve"> ConFin!V$32</f>
        <v>12110.976776596031</v>
      </c>
      <c r="W35" s="501">
        <f xml:space="preserve"> ConFin!W$32</f>
        <v>12104.694877162179</v>
      </c>
      <c r="X35" s="501">
        <f xml:space="preserve"> ConFin!X$32</f>
        <v>12180.731364095845</v>
      </c>
      <c r="Y35" s="501">
        <f xml:space="preserve"> ConFin!Y$32</f>
        <v>12199.330050324086</v>
      </c>
      <c r="Z35" s="501">
        <f xml:space="preserve"> ConFin!Z$32</f>
        <v>12250.959485430985</v>
      </c>
      <c r="AA35" s="501">
        <f xml:space="preserve"> ConFin!AA$32</f>
        <v>12266.975851356518</v>
      </c>
      <c r="AB35" s="501">
        <f xml:space="preserve"> ConFin!AB$32</f>
        <v>12321.58476025874</v>
      </c>
      <c r="AC35" s="501">
        <f xml:space="preserve"> ConFin!AC$32</f>
        <v>12357.077769683647</v>
      </c>
      <c r="AD35" s="501">
        <f xml:space="preserve"> ConFin!AD$32</f>
        <v>12369.192117518647</v>
      </c>
      <c r="AE35" s="501">
        <f xml:space="preserve"> ConFin!AE$32</f>
        <v>12428.303163757388</v>
      </c>
      <c r="AF35" s="501">
        <f xml:space="preserve"> ConFin!AF$32</f>
        <v>12437.798521112683</v>
      </c>
      <c r="AG35" s="501">
        <f xml:space="preserve"> ConFin!AG$32</f>
        <v>12499.931351092338</v>
      </c>
      <c r="AH35" s="501">
        <f xml:space="preserve"> ConFin!AH$32</f>
        <v>12535.938097779766</v>
      </c>
      <c r="AI35" s="501">
        <f xml:space="preserve"> ConFin!AI$32</f>
        <v>12505.623746591666</v>
      </c>
      <c r="AJ35" s="501">
        <f xml:space="preserve"> ConFin!AJ$32</f>
        <v>12596.607096741589</v>
      </c>
      <c r="AK35" s="501">
        <f xml:space="preserve"> ConFin!AK$32</f>
        <v>12594.408174451448</v>
      </c>
      <c r="AL35" s="501">
        <f xml:space="preserve"> ConFin!AL$32</f>
        <v>12657.706604600613</v>
      </c>
      <c r="AM35" s="501">
        <f xml:space="preserve"> ConFin!AM$32</f>
        <v>27743.512668264302</v>
      </c>
      <c r="AN35" s="501">
        <f xml:space="preserve"> ConFin!AN$32</f>
        <v>0</v>
      </c>
      <c r="AO35" s="501">
        <f xml:space="preserve"> ConFin!AO$32</f>
        <v>0</v>
      </c>
      <c r="AP35" s="501">
        <f xml:space="preserve"> ConFin!AP$32</f>
        <v>0</v>
      </c>
      <c r="AQ35" s="501">
        <f xml:space="preserve"> ConFin!AQ$32</f>
        <v>0</v>
      </c>
      <c r="AR35" s="501">
        <f xml:space="preserve"> ConFin!AR$32</f>
        <v>0</v>
      </c>
      <c r="AS35" s="501">
        <f xml:space="preserve"> ConFin!AS$32</f>
        <v>0</v>
      </c>
      <c r="AT35" s="501">
        <f xml:space="preserve"> ConFin!AT$32</f>
        <v>0</v>
      </c>
      <c r="AU35" s="501">
        <f xml:space="preserve"> ConFin!AU$32</f>
        <v>0</v>
      </c>
      <c r="AV35" s="501">
        <f xml:space="preserve"> ConFin!AV$32</f>
        <v>0</v>
      </c>
      <c r="AW35" s="501">
        <f xml:space="preserve"> ConFin!AW$32</f>
        <v>0</v>
      </c>
      <c r="AX35" s="501">
        <f xml:space="preserve"> ConFin!AX$32</f>
        <v>0</v>
      </c>
      <c r="AY35" s="501">
        <f xml:space="preserve"> ConFin!AY$32</f>
        <v>0</v>
      </c>
      <c r="AZ35" s="501">
        <f xml:space="preserve"> ConFin!AZ$32</f>
        <v>0</v>
      </c>
      <c r="BA35" s="501">
        <f xml:space="preserve"> ConFin!BA$32</f>
        <v>0</v>
      </c>
      <c r="BB35" s="501">
        <f xml:space="preserve"> ConFin!BB$32</f>
        <v>0</v>
      </c>
      <c r="BC35" s="501">
        <f xml:space="preserve"> ConFin!BC$32</f>
        <v>0</v>
      </c>
      <c r="BD35" s="501">
        <f xml:space="preserve"> ConFin!BD$32</f>
        <v>0</v>
      </c>
      <c r="BE35" s="501">
        <f xml:space="preserve"> ConFin!BE$32</f>
        <v>0</v>
      </c>
      <c r="BF35" s="610"/>
      <c r="BG35" s="610"/>
      <c r="BH35" s="610"/>
      <c r="BI35" s="610"/>
      <c r="BJ35" s="610"/>
      <c r="BK35" s="610"/>
      <c r="BL35" s="610"/>
      <c r="BM35" s="610"/>
      <c r="BN35" s="610"/>
      <c r="BO35" s="610"/>
      <c r="BP35" s="610"/>
      <c r="BQ35" s="610"/>
      <c r="BR35" s="610"/>
      <c r="BS35" s="610"/>
      <c r="BT35" s="610"/>
      <c r="BU35" s="610"/>
      <c r="BV35" s="610"/>
      <c r="BW35" s="610"/>
      <c r="BX35" s="610"/>
      <c r="BY35" s="610"/>
      <c r="BZ35" s="610"/>
      <c r="CA35" s="610"/>
      <c r="CB35" s="610"/>
      <c r="CC35" s="610"/>
      <c r="CD35" s="610"/>
      <c r="CE35" s="610"/>
      <c r="CF35" s="610"/>
      <c r="CG35" s="610"/>
      <c r="CH35" s="610"/>
      <c r="CI35" s="610"/>
      <c r="CJ35" s="610"/>
      <c r="CK35" s="610"/>
      <c r="CL35" s="610"/>
      <c r="CM35" s="610"/>
      <c r="CN35" s="610"/>
      <c r="CO35" s="610"/>
      <c r="CP35" s="610"/>
      <c r="CQ35" s="610"/>
      <c r="CR35" s="610"/>
      <c r="CS35" s="610"/>
      <c r="CT35" s="610"/>
      <c r="CU35" s="610"/>
      <c r="CV35" s="610"/>
    </row>
    <row r="36" spans="1:100" s="498" customFormat="1" outlineLevel="1" x14ac:dyDescent="0.2">
      <c r="A36" s="15"/>
      <c r="B36" s="15"/>
      <c r="C36" s="21"/>
      <c r="D36" s="48"/>
      <c r="E36" s="214"/>
      <c r="F36" s="214"/>
      <c r="G36" s="214"/>
      <c r="H36" s="214"/>
      <c r="I36" s="38"/>
      <c r="J36" s="38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</row>
    <row r="37" spans="1:100" s="498" customFormat="1" outlineLevel="1" x14ac:dyDescent="0.2">
      <c r="A37" s="15"/>
      <c r="B37" s="15" t="s">
        <v>1282</v>
      </c>
      <c r="C37" s="21"/>
      <c r="D37" s="48"/>
      <c r="E37" s="214"/>
      <c r="F37" s="214"/>
      <c r="G37" s="214"/>
      <c r="H37" s="214"/>
      <c r="I37" s="38"/>
      <c r="J37" s="38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</row>
    <row r="38" spans="1:100" s="498" customFormat="1" outlineLevel="2" x14ac:dyDescent="0.2">
      <c r="A38" s="15"/>
      <c r="B38" s="15"/>
      <c r="C38" s="21"/>
      <c r="D38" s="48"/>
      <c r="E38" s="499" t="str">
        <f xml:space="preserve"> Time!E$25</f>
        <v>Model period ending</v>
      </c>
      <c r="F38" s="499">
        <f xml:space="preserve"> Time!F$25</f>
        <v>0</v>
      </c>
      <c r="G38" s="499" t="str">
        <f xml:space="preserve"> Time!G$25</f>
        <v>date</v>
      </c>
      <c r="H38" s="499">
        <f xml:space="preserve"> Time!H$25</f>
        <v>0</v>
      </c>
      <c r="I38" s="499">
        <f xml:space="preserve"> Time!I$25</f>
        <v>0</v>
      </c>
      <c r="J38" s="631">
        <f xml:space="preserve"> Time!J$25</f>
        <v>44742</v>
      </c>
      <c r="K38" s="499">
        <f xml:space="preserve"> Time!K$25</f>
        <v>44926</v>
      </c>
      <c r="L38" s="499">
        <f xml:space="preserve"> Time!L$25</f>
        <v>45107</v>
      </c>
      <c r="M38" s="499">
        <f xml:space="preserve"> Time!M$25</f>
        <v>45291</v>
      </c>
      <c r="N38" s="499">
        <f xml:space="preserve"> Time!N$25</f>
        <v>45473</v>
      </c>
      <c r="O38" s="499">
        <f xml:space="preserve"> Time!O$25</f>
        <v>45657</v>
      </c>
      <c r="P38" s="499">
        <f xml:space="preserve"> Time!P$25</f>
        <v>45838</v>
      </c>
      <c r="Q38" s="499">
        <f xml:space="preserve"> Time!Q$25</f>
        <v>46022</v>
      </c>
      <c r="R38" s="499">
        <f xml:space="preserve"> Time!R$25</f>
        <v>46203</v>
      </c>
      <c r="S38" s="499">
        <f xml:space="preserve"> Time!S$25</f>
        <v>46387</v>
      </c>
      <c r="T38" s="499">
        <f xml:space="preserve"> Time!T$25</f>
        <v>46568</v>
      </c>
      <c r="U38" s="499">
        <f xml:space="preserve"> Time!U$25</f>
        <v>46752</v>
      </c>
      <c r="V38" s="499">
        <f xml:space="preserve"> Time!V$25</f>
        <v>46934</v>
      </c>
      <c r="W38" s="499">
        <f xml:space="preserve"> Time!W$25</f>
        <v>47118</v>
      </c>
      <c r="X38" s="499">
        <f xml:space="preserve"> Time!X$25</f>
        <v>47299</v>
      </c>
      <c r="Y38" s="499">
        <f xml:space="preserve"> Time!Y$25</f>
        <v>47483</v>
      </c>
      <c r="Z38" s="499">
        <f xml:space="preserve"> Time!Z$25</f>
        <v>47664</v>
      </c>
      <c r="AA38" s="499">
        <f xml:space="preserve"> Time!AA$25</f>
        <v>47848</v>
      </c>
      <c r="AB38" s="499">
        <f xml:space="preserve"> Time!AB$25</f>
        <v>48029</v>
      </c>
      <c r="AC38" s="499">
        <f xml:space="preserve"> Time!AC$25</f>
        <v>48213</v>
      </c>
      <c r="AD38" s="499">
        <f xml:space="preserve"> Time!AD$25</f>
        <v>48395</v>
      </c>
      <c r="AE38" s="499">
        <f xml:space="preserve"> Time!AE$25</f>
        <v>48579</v>
      </c>
      <c r="AF38" s="499">
        <f xml:space="preserve"> Time!AF$25</f>
        <v>48760</v>
      </c>
      <c r="AG38" s="499">
        <f xml:space="preserve"> Time!AG$25</f>
        <v>48944</v>
      </c>
      <c r="AH38" s="499">
        <f xml:space="preserve"> Time!AH$25</f>
        <v>49125</v>
      </c>
      <c r="AI38" s="499">
        <f xml:space="preserve"> Time!AI$25</f>
        <v>49309</v>
      </c>
      <c r="AJ38" s="499">
        <f xml:space="preserve"> Time!AJ$25</f>
        <v>49490</v>
      </c>
      <c r="AK38" s="499">
        <f xml:space="preserve"> Time!AK$25</f>
        <v>49674</v>
      </c>
      <c r="AL38" s="499">
        <f xml:space="preserve"> Time!AL$25</f>
        <v>49856</v>
      </c>
      <c r="AM38" s="499">
        <f xml:space="preserve"> Time!AM$25</f>
        <v>50040</v>
      </c>
      <c r="AN38" s="499">
        <f xml:space="preserve"> Time!AN$25</f>
        <v>50221</v>
      </c>
      <c r="AO38" s="499">
        <f xml:space="preserve"> Time!AO$25</f>
        <v>50405</v>
      </c>
      <c r="AP38" s="499">
        <f xml:space="preserve"> Time!AP$25</f>
        <v>50586</v>
      </c>
      <c r="AQ38" s="499">
        <f xml:space="preserve"> Time!AQ$25</f>
        <v>50770</v>
      </c>
      <c r="AR38" s="499">
        <f xml:space="preserve"> Time!AR$25</f>
        <v>50951</v>
      </c>
      <c r="AS38" s="499">
        <f xml:space="preserve"> Time!AS$25</f>
        <v>51135</v>
      </c>
      <c r="AT38" s="499">
        <f xml:space="preserve"> Time!AT$25</f>
        <v>51317</v>
      </c>
      <c r="AU38" s="499">
        <f xml:space="preserve"> Time!AU$25</f>
        <v>51501</v>
      </c>
      <c r="AV38" s="499">
        <f xml:space="preserve"> Time!AV$25</f>
        <v>51682</v>
      </c>
      <c r="AW38" s="499">
        <f xml:space="preserve"> Time!AW$25</f>
        <v>51866</v>
      </c>
      <c r="AX38" s="499">
        <f xml:space="preserve"> Time!AX$25</f>
        <v>52047</v>
      </c>
      <c r="AY38" s="499">
        <f xml:space="preserve"> Time!AY$25</f>
        <v>52231</v>
      </c>
      <c r="AZ38" s="499">
        <f xml:space="preserve"> Time!AZ$25</f>
        <v>52412</v>
      </c>
      <c r="BA38" s="499">
        <f xml:space="preserve"> Time!BA$25</f>
        <v>52596</v>
      </c>
      <c r="BB38" s="499">
        <f xml:space="preserve"> Time!BB$25</f>
        <v>52778</v>
      </c>
      <c r="BC38" s="499">
        <f xml:space="preserve"> Time!BC$25</f>
        <v>52962</v>
      </c>
      <c r="BD38" s="499">
        <f xml:space="preserve"> Time!BD$25</f>
        <v>53143</v>
      </c>
      <c r="BE38" s="499">
        <f xml:space="preserve"> Time!BE$25</f>
        <v>53327</v>
      </c>
      <c r="BF38" s="499">
        <f xml:space="preserve"> Time!BF$25</f>
        <v>53508</v>
      </c>
      <c r="BG38" s="499">
        <f xml:space="preserve"> Time!BG$25</f>
        <v>53692</v>
      </c>
      <c r="BH38" s="499">
        <f xml:space="preserve"> Time!BH$25</f>
        <v>53873</v>
      </c>
      <c r="BI38" s="499">
        <f xml:space="preserve"> Time!BI$25</f>
        <v>54057</v>
      </c>
      <c r="BJ38" s="499">
        <f xml:space="preserve"> Time!BJ$25</f>
        <v>54239</v>
      </c>
      <c r="BK38" s="499">
        <f xml:space="preserve"> Time!BK$25</f>
        <v>54423</v>
      </c>
      <c r="BL38" s="499">
        <f xml:space="preserve"> Time!BL$25</f>
        <v>54604</v>
      </c>
      <c r="BM38" s="499">
        <f xml:space="preserve"> Time!BM$25</f>
        <v>54788</v>
      </c>
      <c r="BN38" s="499">
        <f xml:space="preserve"> Time!BN$25</f>
        <v>54969</v>
      </c>
      <c r="BO38" s="499">
        <f xml:space="preserve"> Time!BO$25</f>
        <v>55153</v>
      </c>
      <c r="BP38" s="499">
        <f xml:space="preserve"> Time!BP$25</f>
        <v>55334</v>
      </c>
      <c r="BQ38" s="499">
        <f xml:space="preserve"> Time!BQ$25</f>
        <v>55518</v>
      </c>
      <c r="BR38" s="499">
        <f xml:space="preserve"> Time!BR$25</f>
        <v>55700</v>
      </c>
      <c r="BS38" s="499">
        <f xml:space="preserve"> Time!BS$25</f>
        <v>55884</v>
      </c>
      <c r="BT38" s="499">
        <f xml:space="preserve"> Time!BT$25</f>
        <v>56065</v>
      </c>
      <c r="BU38" s="499">
        <f xml:space="preserve"> Time!BU$25</f>
        <v>56249</v>
      </c>
      <c r="BV38" s="499">
        <f xml:space="preserve"> Time!BV$25</f>
        <v>56430</v>
      </c>
      <c r="BW38" s="499">
        <f xml:space="preserve"> Time!BW$25</f>
        <v>56614</v>
      </c>
      <c r="BX38" s="499">
        <f xml:space="preserve"> Time!BX$25</f>
        <v>56795</v>
      </c>
      <c r="BY38" s="499">
        <f xml:space="preserve"> Time!BY$25</f>
        <v>56979</v>
      </c>
      <c r="BZ38" s="499">
        <f xml:space="preserve"> Time!BZ$25</f>
        <v>57161</v>
      </c>
      <c r="CA38" s="499">
        <f xml:space="preserve"> Time!CA$25</f>
        <v>57345</v>
      </c>
      <c r="CB38" s="499">
        <f xml:space="preserve"> Time!CB$25</f>
        <v>57526</v>
      </c>
      <c r="CC38" s="499">
        <f xml:space="preserve"> Time!CC$25</f>
        <v>57710</v>
      </c>
      <c r="CD38" s="499">
        <f xml:space="preserve"> Time!CD$25</f>
        <v>57891</v>
      </c>
      <c r="CE38" s="499">
        <f xml:space="preserve"> Time!CE$25</f>
        <v>58075</v>
      </c>
      <c r="CF38" s="499">
        <f xml:space="preserve"> Time!CF$25</f>
        <v>58256</v>
      </c>
      <c r="CG38" s="499">
        <f xml:space="preserve"> Time!CG$25</f>
        <v>58440</v>
      </c>
      <c r="CH38" s="499">
        <f xml:space="preserve"> Time!CH$25</f>
        <v>58622</v>
      </c>
      <c r="CI38" s="499">
        <f xml:space="preserve"> Time!CI$25</f>
        <v>58806</v>
      </c>
      <c r="CJ38" s="499">
        <f xml:space="preserve"> Time!CJ$25</f>
        <v>58987</v>
      </c>
      <c r="CK38" s="499">
        <f xml:space="preserve"> Time!CK$25</f>
        <v>59171</v>
      </c>
      <c r="CL38" s="499">
        <f xml:space="preserve"> Time!CL$25</f>
        <v>59352</v>
      </c>
      <c r="CM38" s="499">
        <f xml:space="preserve"> Time!CM$25</f>
        <v>59536</v>
      </c>
      <c r="CN38" s="499">
        <f xml:space="preserve"> Time!CN$25</f>
        <v>59717</v>
      </c>
      <c r="CO38" s="499">
        <f xml:space="preserve"> Time!CO$25</f>
        <v>59901</v>
      </c>
      <c r="CP38" s="499">
        <f xml:space="preserve"> Time!CP$25</f>
        <v>60083</v>
      </c>
      <c r="CQ38" s="499">
        <f xml:space="preserve"> Time!CQ$25</f>
        <v>60267</v>
      </c>
      <c r="CR38" s="499">
        <f xml:space="preserve"> Time!CR$25</f>
        <v>60448</v>
      </c>
      <c r="CS38" s="499">
        <f xml:space="preserve"> Time!CS$25</f>
        <v>60632</v>
      </c>
      <c r="CT38" s="499">
        <f xml:space="preserve"> Time!CT$25</f>
        <v>60813</v>
      </c>
      <c r="CU38" s="499">
        <f xml:space="preserve"> Time!CU$25</f>
        <v>60997</v>
      </c>
      <c r="CV38" s="499">
        <f xml:space="preserve"> Time!CV$25</f>
        <v>61178</v>
      </c>
    </row>
    <row r="39" spans="1:100" s="498" customFormat="1" outlineLevel="2" x14ac:dyDescent="0.2">
      <c r="A39" s="15"/>
      <c r="B39" s="15"/>
      <c r="C39" s="21"/>
      <c r="D39" s="48"/>
      <c r="E39" s="501" t="str">
        <f xml:space="preserve"> Debt!E$12</f>
        <v>CFADS over term of Senior debt - Calc</v>
      </c>
      <c r="F39" s="501">
        <f xml:space="preserve"> Debt!F$12</f>
        <v>0</v>
      </c>
      <c r="G39" s="501" t="str">
        <f xml:space="preserve"> Debt!G$12</f>
        <v>$ 000s</v>
      </c>
      <c r="H39" s="501">
        <f xml:space="preserve"> SUM(J39:CV39)</f>
        <v>504058.61393279413</v>
      </c>
      <c r="I39" s="501"/>
      <c r="J39" s="145">
        <f xml:space="preserve"> AVERAGE(Debt!J$12, J62)</f>
        <v>0</v>
      </c>
      <c r="K39" s="145">
        <f xml:space="preserve"> AVERAGE(Debt!K$12, K62)</f>
        <v>0</v>
      </c>
      <c r="L39" s="145">
        <f xml:space="preserve"> AVERAGE(Debt!L$12, L62)</f>
        <v>0</v>
      </c>
      <c r="M39" s="145">
        <f xml:space="preserve"> AVERAGE(Debt!M$12, M62)</f>
        <v>0</v>
      </c>
      <c r="N39" s="145">
        <f xml:space="preserve"> AVERAGE(Debt!N$12, N62)</f>
        <v>0</v>
      </c>
      <c r="O39" s="145">
        <f xml:space="preserve"> AVERAGE(Debt!O$12, O62)</f>
        <v>17761.339070438356</v>
      </c>
      <c r="P39" s="145">
        <f xml:space="preserve"> AVERAGE(Debt!P$12, P62)</f>
        <v>15707.408888643098</v>
      </c>
      <c r="Q39" s="145">
        <f xml:space="preserve"> AVERAGE(Debt!Q$12, Q62)</f>
        <v>15745.355474424703</v>
      </c>
      <c r="R39" s="145">
        <f xml:space="preserve"> AVERAGE(Debt!R$12, R62)</f>
        <v>15588.868799762635</v>
      </c>
      <c r="S39" s="145">
        <f xml:space="preserve"> AVERAGE(Debt!S$12, S62)</f>
        <v>15624.695430944521</v>
      </c>
      <c r="T39" s="145">
        <f xml:space="preserve"> AVERAGE(Debt!T$12, T62)</f>
        <v>15468.805957588302</v>
      </c>
      <c r="U39" s="145">
        <f xml:space="preserve"> AVERAGE(Debt!U$12, U62)</f>
        <v>15502.475641791829</v>
      </c>
      <c r="V39" s="145">
        <f xml:space="preserve"> AVERAGE(Debt!V$12, V62)</f>
        <v>15368.238093147604</v>
      </c>
      <c r="W39" s="145">
        <f xml:space="preserve"> AVERAGE(Debt!W$12, W62)</f>
        <v>15357.612763138843</v>
      </c>
      <c r="X39" s="145">
        <f xml:space="preserve"> AVERAGE(Debt!X$12, X62)</f>
        <v>15223.981651579252</v>
      </c>
      <c r="Y39" s="145">
        <f xml:space="preserve"> AVERAGE(Debt!Y$12, Y62)</f>
        <v>15253.223422521827</v>
      </c>
      <c r="Z39" s="145">
        <f xml:space="preserve"> AVERAGE(Debt!Z$12, Z62)</f>
        <v>15099.153369631156</v>
      </c>
      <c r="AA39" s="145">
        <f xml:space="preserve"> AVERAGE(Debt!AA$12, AA62)</f>
        <v>15126.122614874315</v>
      </c>
      <c r="AB39" s="145">
        <f xml:space="preserve"> AVERAGE(Debt!AB$12, AB62)</f>
        <v>14972.668671736563</v>
      </c>
      <c r="AC39" s="145">
        <f xml:space="preserve"> AVERAGE(Debt!AC$12, AC62)</f>
        <v>14997.325279449806</v>
      </c>
      <c r="AD39" s="145">
        <f xml:space="preserve"> AVERAGE(Debt!AD$12, AD62)</f>
        <v>14864.853115063546</v>
      </c>
      <c r="AE39" s="145">
        <f xml:space="preserve"> AVERAGE(Debt!AE$12, AE62)</f>
        <v>14846.434827228186</v>
      </c>
      <c r="AF39" s="145">
        <f xml:space="preserve"> AVERAGE(Debt!AF$12, AF62)</f>
        <v>14714.58889970736</v>
      </c>
      <c r="AG39" s="145">
        <f xml:space="preserve"> AVERAGE(Debt!AG$12, AG62)</f>
        <v>14734.496602625335</v>
      </c>
      <c r="AH39" s="145">
        <f xml:space="preserve"> AVERAGE(Debt!AH$12, AH62)</f>
        <v>14582.921488250835</v>
      </c>
      <c r="AI39" s="145">
        <f xml:space="preserve"> AVERAGE(Debt!AI$12, AI62)</f>
        <v>14600.391235269628</v>
      </c>
      <c r="AJ39" s="145">
        <f xml:space="preserve"> AVERAGE(Debt!AJ$12, AJ62)</f>
        <v>14449.452957587402</v>
      </c>
      <c r="AK39" s="145">
        <f xml:space="preserve"> AVERAGE(Debt!AK$12, AK62)</f>
        <v>14464.441258939412</v>
      </c>
      <c r="AL39" s="145">
        <f xml:space="preserve"> AVERAGE(Debt!AL$12, AL62)</f>
        <v>14333.778541781136</v>
      </c>
      <c r="AM39" s="145">
        <f xml:space="preserve"> AVERAGE(Debt!AM$12, AM62)</f>
        <v>14306.974538875431</v>
      </c>
      <c r="AN39" s="145">
        <f xml:space="preserve"> AVERAGE(Debt!AN$12, AN62)</f>
        <v>14176.959749965084</v>
      </c>
      <c r="AO39" s="145">
        <f xml:space="preserve"> AVERAGE(Debt!AO$12, AO62)</f>
        <v>14186.851123455241</v>
      </c>
      <c r="AP39" s="145">
        <f xml:space="preserve"> AVERAGE(Debt!AP$12, AP62)</f>
        <v>14037.856758383721</v>
      </c>
      <c r="AQ39" s="145">
        <f xml:space="preserve"> AVERAGE(Debt!AQ$12, AQ62)</f>
        <v>14045.130821111557</v>
      </c>
      <c r="AR39" s="145">
        <f xml:space="preserve"> AVERAGE(Debt!AR$12, AR62)</f>
        <v>13896.79598736166</v>
      </c>
      <c r="AS39" s="145">
        <f xml:space="preserve"> AVERAGE(Debt!AS$12, AS62)</f>
        <v>13901.405591700157</v>
      </c>
      <c r="AT39" s="145">
        <f xml:space="preserve"> AVERAGE(Debt!AT$12, AT62)</f>
        <v>13772.600874372543</v>
      </c>
      <c r="AU39" s="145">
        <f xml:space="preserve"> AVERAGE(Debt!AU$12, AU62)</f>
        <v>13736.768741130993</v>
      </c>
      <c r="AV39" s="145">
        <f xml:space="preserve"> AVERAGE(Debt!AV$12, AV62)</f>
        <v>13608.635690312136</v>
      </c>
      <c r="AW39" s="145">
        <f xml:space="preserve"> AVERAGE(Debt!AW$12, AW62)</f>
        <v>6.4217016290429186E-137</v>
      </c>
      <c r="AX39" s="145">
        <f xml:space="preserve"> AVERAGE(Debt!AX$12, AX62)</f>
        <v>6.704066649423577E-137</v>
      </c>
      <c r="AY39" s="145">
        <f xml:space="preserve"> AVERAGE(Debt!AY$12, AY62)</f>
        <v>6.3403778355616466E-137</v>
      </c>
      <c r="AZ39" s="145">
        <f xml:space="preserve"> AVERAGE(Debt!AZ$12, AZ62)</f>
        <v>6.625080865911E-137</v>
      </c>
      <c r="BA39" s="145">
        <f xml:space="preserve"> AVERAGE(Debt!BA$12, BA62)</f>
        <v>0</v>
      </c>
      <c r="BB39" s="145">
        <f xml:space="preserve"> AVERAGE(Debt!BB$12, BB62)</f>
        <v>0</v>
      </c>
      <c r="BC39" s="145">
        <f xml:space="preserve"> AVERAGE(Debt!BC$12, BC62)</f>
        <v>0</v>
      </c>
      <c r="BD39" s="145">
        <f xml:space="preserve"> AVERAGE(Debt!BD$12, BD62)</f>
        <v>0</v>
      </c>
      <c r="BE39" s="145">
        <f xml:space="preserve"> AVERAGE(Debt!BE$12, BE62)</f>
        <v>0</v>
      </c>
      <c r="BF39" s="145">
        <f xml:space="preserve"> AVERAGE(Debt!BF$12, BF62)</f>
        <v>0</v>
      </c>
      <c r="BG39" s="145">
        <f xml:space="preserve"> AVERAGE(Debt!BG$12, BG62)</f>
        <v>0</v>
      </c>
      <c r="BH39" s="145">
        <f xml:space="preserve"> AVERAGE(Debt!BH$12, BH62)</f>
        <v>0</v>
      </c>
      <c r="BI39" s="145">
        <f xml:space="preserve"> AVERAGE(Debt!BI$12, BI62)</f>
        <v>0</v>
      </c>
      <c r="BJ39" s="145">
        <f xml:space="preserve"> AVERAGE(Debt!BJ$12, BJ62)</f>
        <v>0</v>
      </c>
      <c r="BK39" s="145">
        <f xml:space="preserve"> AVERAGE(Debt!BK$12, BK62)</f>
        <v>0</v>
      </c>
      <c r="BL39" s="145">
        <f xml:space="preserve"> AVERAGE(Debt!BL$12, BL62)</f>
        <v>0</v>
      </c>
      <c r="BM39" s="145">
        <f xml:space="preserve"> AVERAGE(Debt!BM$12, BM62)</f>
        <v>0</v>
      </c>
      <c r="BN39" s="145">
        <f xml:space="preserve"> AVERAGE(Debt!BN$12, BN62)</f>
        <v>0</v>
      </c>
      <c r="BO39" s="145">
        <f xml:space="preserve"> AVERAGE(Debt!BO$12, BO62)</f>
        <v>0</v>
      </c>
      <c r="BP39" s="145">
        <f xml:space="preserve"> AVERAGE(Debt!BP$12, BP62)</f>
        <v>0</v>
      </c>
      <c r="BQ39" s="145">
        <f xml:space="preserve"> AVERAGE(Debt!BQ$12, BQ62)</f>
        <v>0</v>
      </c>
      <c r="BR39" s="145">
        <f xml:space="preserve"> AVERAGE(Debt!BR$12, BR62)</f>
        <v>0</v>
      </c>
      <c r="BS39" s="145">
        <f xml:space="preserve"> AVERAGE(Debt!BS$12, BS62)</f>
        <v>0</v>
      </c>
      <c r="BT39" s="145">
        <f xml:space="preserve"> AVERAGE(Debt!BT$12, BT62)</f>
        <v>0</v>
      </c>
      <c r="BU39" s="145">
        <f xml:space="preserve"> AVERAGE(Debt!BU$12, BU62)</f>
        <v>0</v>
      </c>
      <c r="BV39" s="145">
        <f xml:space="preserve"> AVERAGE(Debt!BV$12, BV62)</f>
        <v>0</v>
      </c>
      <c r="BW39" s="145">
        <f xml:space="preserve"> AVERAGE(Debt!BW$12, BW62)</f>
        <v>0</v>
      </c>
      <c r="BX39" s="145">
        <f xml:space="preserve"> AVERAGE(Debt!BX$12, BX62)</f>
        <v>0</v>
      </c>
      <c r="BY39" s="145">
        <f xml:space="preserve"> AVERAGE(Debt!BY$12, BY62)</f>
        <v>0</v>
      </c>
      <c r="BZ39" s="145">
        <f xml:space="preserve"> AVERAGE(Debt!BZ$12, BZ62)</f>
        <v>0</v>
      </c>
      <c r="CA39" s="145">
        <f xml:space="preserve"> AVERAGE(Debt!CA$12, CA62)</f>
        <v>0</v>
      </c>
      <c r="CB39" s="145">
        <f xml:space="preserve"> AVERAGE(Debt!CB$12, CB62)</f>
        <v>0</v>
      </c>
      <c r="CC39" s="145">
        <f xml:space="preserve"> AVERAGE(Debt!CC$12, CC62)</f>
        <v>0</v>
      </c>
      <c r="CD39" s="145">
        <f xml:space="preserve"> AVERAGE(Debt!CD$12, CD62)</f>
        <v>0</v>
      </c>
      <c r="CE39" s="145">
        <f xml:space="preserve"> AVERAGE(Debt!CE$12, CE62)</f>
        <v>0</v>
      </c>
      <c r="CF39" s="145">
        <f xml:space="preserve"> AVERAGE(Debt!CF$12, CF62)</f>
        <v>0</v>
      </c>
      <c r="CG39" s="145">
        <f xml:space="preserve"> AVERAGE(Debt!CG$12, CG62)</f>
        <v>0</v>
      </c>
      <c r="CH39" s="145">
        <f xml:space="preserve"> AVERAGE(Debt!CH$12, CH62)</f>
        <v>0</v>
      </c>
      <c r="CI39" s="145">
        <f xml:space="preserve"> AVERAGE(Debt!CI$12, CI62)</f>
        <v>0</v>
      </c>
      <c r="CJ39" s="145">
        <f xml:space="preserve"> AVERAGE(Debt!CJ$12, CJ62)</f>
        <v>0</v>
      </c>
      <c r="CK39" s="145">
        <f xml:space="preserve"> AVERAGE(Debt!CK$12, CK62)</f>
        <v>0</v>
      </c>
      <c r="CL39" s="145">
        <f xml:space="preserve"> AVERAGE(Debt!CL$12, CL62)</f>
        <v>0</v>
      </c>
      <c r="CM39" s="145">
        <f xml:space="preserve"> AVERAGE(Debt!CM$12, CM62)</f>
        <v>0</v>
      </c>
      <c r="CN39" s="145">
        <f xml:space="preserve"> AVERAGE(Debt!CN$12, CN62)</f>
        <v>0</v>
      </c>
      <c r="CO39" s="145">
        <f xml:space="preserve"> AVERAGE(Debt!CO$12, CO62)</f>
        <v>0</v>
      </c>
      <c r="CP39" s="145">
        <f xml:space="preserve"> AVERAGE(Debt!CP$12, CP62)</f>
        <v>0</v>
      </c>
      <c r="CQ39" s="145">
        <f xml:space="preserve"> AVERAGE(Debt!CQ$12, CQ62)</f>
        <v>0</v>
      </c>
      <c r="CR39" s="145">
        <f xml:space="preserve"> AVERAGE(Debt!CR$12, CR62)</f>
        <v>0</v>
      </c>
      <c r="CS39" s="145">
        <f xml:space="preserve"> AVERAGE(Debt!CS$12, CS62)</f>
        <v>0</v>
      </c>
      <c r="CT39" s="145">
        <f xml:space="preserve"> AVERAGE(Debt!CT$12, CT62)</f>
        <v>0</v>
      </c>
      <c r="CU39" s="145">
        <f xml:space="preserve"> AVERAGE(Debt!CU$12, CU62)</f>
        <v>0</v>
      </c>
      <c r="CV39" s="145">
        <f xml:space="preserve"> AVERAGE(Debt!CV$12, CV62)</f>
        <v>0</v>
      </c>
    </row>
    <row r="40" spans="1:100" s="498" customFormat="1" outlineLevel="2" x14ac:dyDescent="0.2">
      <c r="A40" s="15"/>
      <c r="B40" s="15"/>
      <c r="C40" s="21"/>
      <c r="D40" s="48"/>
      <c r="E40" s="612" t="str">
        <f xml:space="preserve"> Debt!E$176</f>
        <v>Senior repayment % profile - calc - T1</v>
      </c>
      <c r="F40" s="612">
        <f xml:space="preserve"> Debt!F$176</f>
        <v>0</v>
      </c>
      <c r="G40" s="612" t="str">
        <f xml:space="preserve"> Debt!G$176</f>
        <v>%</v>
      </c>
      <c r="H40" s="612">
        <f xml:space="preserve"> SUM(J40:CV40)</f>
        <v>0.99999992866526399</v>
      </c>
      <c r="I40" s="612"/>
      <c r="J40" s="632">
        <f xml:space="preserve"> IF($F$18 = 1, J63, Debt!J$176)</f>
        <v>0</v>
      </c>
      <c r="K40" s="632">
        <f xml:space="preserve"> IF($F$18 = 1, K63, Debt!K$176)</f>
        <v>0</v>
      </c>
      <c r="L40" s="632">
        <f xml:space="preserve"> IF($F$18 = 1, L63, Debt!L$176)</f>
        <v>0</v>
      </c>
      <c r="M40" s="632">
        <f xml:space="preserve"> IF($F$18 = 1, M63, Debt!M$176)</f>
        <v>0</v>
      </c>
      <c r="N40" s="632">
        <f xml:space="preserve"> IF($F$18 = 1, N63, Debt!N$176)</f>
        <v>0</v>
      </c>
      <c r="O40" s="632">
        <f xml:space="preserve"> IF($F$18 = 1, O63, Debt!O$176)</f>
        <v>2.3064480562526492E-2</v>
      </c>
      <c r="P40" s="632">
        <f xml:space="preserve"> IF($F$18 = 1, P63, Debt!P$176)</f>
        <v>1.9052161663010238E-2</v>
      </c>
      <c r="Q40" s="632">
        <f xml:space="preserve"> IF($F$18 = 1, Q63, Debt!Q$176)</f>
        <v>1.9281472408275737E-2</v>
      </c>
      <c r="R40" s="632">
        <f xml:space="preserve"> IF($F$18 = 1, R63, Debt!R$176)</f>
        <v>1.9638889862709168E-2</v>
      </c>
      <c r="S40" s="632">
        <f xml:space="preserve"> IF($F$18 = 1, S63, Debt!S$176)</f>
        <v>1.9891034940279394E-2</v>
      </c>
      <c r="T40" s="632">
        <f xml:space="preserve"> IF($F$18 = 1, T63, Debt!T$176)</f>
        <v>2.0249056965636596E-2</v>
      </c>
      <c r="U40" s="632">
        <f xml:space="preserve"> IF($F$18 = 1, U63, Debt!U$176)</f>
        <v>2.0524935487135451E-2</v>
      </c>
      <c r="V40" s="632">
        <f xml:space="preserve"> IF($F$18 = 1, V63, Debt!V$176)</f>
        <v>2.0848851614863755E-2</v>
      </c>
      <c r="W40" s="632">
        <f xml:space="preserve"> IF($F$18 = 1, W63, Debt!W$176)</f>
        <v>2.1133815797625206E-2</v>
      </c>
      <c r="X40" s="632">
        <f xml:space="preserve"> IF($F$18 = 1, X63, Debt!X$176)</f>
        <v>2.15418392792808E-2</v>
      </c>
      <c r="Y40" s="632">
        <f xml:space="preserve"> IF($F$18 = 1, Y63, Debt!Y$176)</f>
        <v>2.1233399656639253E-2</v>
      </c>
      <c r="Z40" s="632">
        <f xml:space="preserve"> IF($F$18 = 1, Z63, Debt!Z$176)</f>
        <v>2.1611229656913405E-2</v>
      </c>
      <c r="AA40" s="632">
        <f xml:space="preserve"> IF($F$18 = 1, AA63, Debt!AA$176)</f>
        <v>2.1961710250272923E-2</v>
      </c>
      <c r="AB40" s="632">
        <f xml:space="preserve"> IF($F$18 = 1, AB63, Debt!AB$176)</f>
        <v>2.2341420974952744E-2</v>
      </c>
      <c r="AC40" s="632">
        <f xml:space="preserve"> IF($F$18 = 1, AC63, Debt!AC$176)</f>
        <v>2.2721011300822328E-2</v>
      </c>
      <c r="AD40" s="632">
        <f xml:space="preserve"> IF($F$18 = 1, AD63, Debt!AD$176)</f>
        <v>2.3085140911060172E-2</v>
      </c>
      <c r="AE40" s="632">
        <f xml:space="preserve"> IF($F$18 = 1, AE63, Debt!AE$176)</f>
        <v>2.3464309991839804E-2</v>
      </c>
      <c r="AF40" s="632">
        <f xml:space="preserve"> IF($F$18 = 1, AF63, Debt!AF$176)</f>
        <v>2.3895150168927487E-2</v>
      </c>
      <c r="AG40" s="632">
        <f xml:space="preserve"> IF($F$18 = 1, AG63, Debt!AG$176)</f>
        <v>2.4336654706004823E-2</v>
      </c>
      <c r="AH40" s="632">
        <f xml:space="preserve"> IF($F$18 = 1, AH63, Debt!AH$176)</f>
        <v>2.4723068719925981E-2</v>
      </c>
      <c r="AI40" s="632">
        <f xml:space="preserve"> IF($F$18 = 1, AI63, Debt!AI$176)</f>
        <v>2.4716762046726109E-2</v>
      </c>
      <c r="AJ40" s="632">
        <f xml:space="preserve"> IF($F$18 = 1, AJ63, Debt!AJ$176)</f>
        <v>2.5134445665373314E-2</v>
      </c>
      <c r="AK40" s="632">
        <f xml:space="preserve"> IF($F$18 = 1, AK63, Debt!AK$176)</f>
        <v>2.5658217596067692E-2</v>
      </c>
      <c r="AL40" s="632">
        <f xml:space="preserve"> IF($F$18 = 1, AL63, Debt!AL$176)</f>
        <v>2.6084288867811233E-2</v>
      </c>
      <c r="AM40" s="632">
        <f xml:space="preserve"> IF($F$18 = 1, AM63, Debt!AM$176)</f>
        <v>2.6596844059836797E-2</v>
      </c>
      <c r="AN40" s="632">
        <f xml:space="preserve"> IF($F$18 = 1, AN63, Debt!AN$176)</f>
        <v>2.7068715307122838E-2</v>
      </c>
      <c r="AO40" s="632">
        <f xml:space="preserve"> IF($F$18 = 1, AO63, Debt!AO$176)</f>
        <v>2.7672137978257377E-2</v>
      </c>
      <c r="AP40" s="632">
        <f xml:space="preserve"> IF($F$18 = 1, AP63, Debt!AP$176)</f>
        <v>2.8103913758003307E-2</v>
      </c>
      <c r="AQ40" s="632">
        <f xml:space="preserve"> IF($F$18 = 1, AQ63, Debt!AQ$176)</f>
        <v>2.8749962032454099E-2</v>
      </c>
      <c r="AR40" s="632">
        <f xml:space="preserve"> IF($F$18 = 1, AR63, Debt!AR$176)</f>
        <v>2.9187110295759214E-2</v>
      </c>
      <c r="AS40" s="632">
        <f xml:space="preserve"> IF($F$18 = 1, AS63, Debt!AS$176)</f>
        <v>7.2343569274471789E-2</v>
      </c>
      <c r="AT40" s="632">
        <f xml:space="preserve"> IF($F$18 = 1, AT63, Debt!AT$176)</f>
        <v>7.3366831034237093E-2</v>
      </c>
      <c r="AU40" s="632">
        <f xml:space="preserve"> IF($F$18 = 1, AU63, Debt!AU$176)</f>
        <v>7.4830062224346655E-2</v>
      </c>
      <c r="AV40" s="632">
        <f xml:space="preserve"> IF($F$18 = 1, AV63, Debt!AV$176)</f>
        <v>7.5887433606094692E-2</v>
      </c>
      <c r="AW40" s="632">
        <f xml:space="preserve"> IF($F$18 = 1, AW63, Debt!AW$176)</f>
        <v>0</v>
      </c>
      <c r="AX40" s="632">
        <f xml:space="preserve"> IF($F$18 = 1, AX63, Debt!AX$176)</f>
        <v>0</v>
      </c>
      <c r="AY40" s="632">
        <f xml:space="preserve"> IF($F$18 = 1, AY63, Debt!AY$176)</f>
        <v>0</v>
      </c>
      <c r="AZ40" s="632">
        <f xml:space="preserve"> IF($F$18 = 1, AZ63, Debt!AZ$176)</f>
        <v>0</v>
      </c>
      <c r="BA40" s="632">
        <f xml:space="preserve"> IF($F$18 = 1, BA63, Debt!BA$176)</f>
        <v>0</v>
      </c>
      <c r="BB40" s="632">
        <f xml:space="preserve"> IF($F$18 = 1, BB63, Debt!BB$176)</f>
        <v>0</v>
      </c>
      <c r="BC40" s="632">
        <f xml:space="preserve"> IF($F$18 = 1, BC63, Debt!BC$176)</f>
        <v>0</v>
      </c>
      <c r="BD40" s="632">
        <f xml:space="preserve"> IF($F$18 = 1, BD63, Debt!BD$176)</f>
        <v>0</v>
      </c>
      <c r="BE40" s="632">
        <f xml:space="preserve"> IF($F$18 = 1, BE63, Debt!BE$176)</f>
        <v>0</v>
      </c>
      <c r="BF40" s="632">
        <f xml:space="preserve"> IF($F$18 = 1, BF63, Debt!BF$176)</f>
        <v>0</v>
      </c>
      <c r="BG40" s="632">
        <f xml:space="preserve"> IF($F$18 = 1, BG63, Debt!BG$176)</f>
        <v>0</v>
      </c>
      <c r="BH40" s="632">
        <f xml:space="preserve"> IF($F$18 = 1, BH63, Debt!BH$176)</f>
        <v>0</v>
      </c>
      <c r="BI40" s="632">
        <f xml:space="preserve"> IF($F$18 = 1, BI63, Debt!BI$176)</f>
        <v>0</v>
      </c>
      <c r="BJ40" s="632">
        <f xml:space="preserve"> IF($F$18 = 1, BJ63, Debt!BJ$176)</f>
        <v>0</v>
      </c>
      <c r="BK40" s="632">
        <f xml:space="preserve"> IF($F$18 = 1, BK63, Debt!BK$176)</f>
        <v>0</v>
      </c>
      <c r="BL40" s="632">
        <f xml:space="preserve"> IF($F$18 = 1, BL63, Debt!BL$176)</f>
        <v>0</v>
      </c>
      <c r="BM40" s="632">
        <f xml:space="preserve"> IF($F$18 = 1, BM63, Debt!BM$176)</f>
        <v>0</v>
      </c>
      <c r="BN40" s="632">
        <f xml:space="preserve"> IF($F$18 = 1, BN63, Debt!BN$176)</f>
        <v>0</v>
      </c>
      <c r="BO40" s="632">
        <f xml:space="preserve"> IF($F$18 = 1, BO63, Debt!BO$176)</f>
        <v>0</v>
      </c>
      <c r="BP40" s="632">
        <f xml:space="preserve"> IF($F$18 = 1, BP63, Debt!BP$176)</f>
        <v>0</v>
      </c>
      <c r="BQ40" s="632">
        <f xml:space="preserve"> IF($F$18 = 1, BQ63, Debt!BQ$176)</f>
        <v>0</v>
      </c>
      <c r="BR40" s="632">
        <f xml:space="preserve"> IF($F$18 = 1, BR63, Debt!BR$176)</f>
        <v>0</v>
      </c>
      <c r="BS40" s="632">
        <f xml:space="preserve"> IF($F$18 = 1, BS63, Debt!BS$176)</f>
        <v>0</v>
      </c>
      <c r="BT40" s="632">
        <f xml:space="preserve"> IF($F$18 = 1, BT63, Debt!BT$176)</f>
        <v>0</v>
      </c>
      <c r="BU40" s="632">
        <f xml:space="preserve"> IF($F$18 = 1, BU63, Debt!BU$176)</f>
        <v>0</v>
      </c>
      <c r="BV40" s="632">
        <f xml:space="preserve"> IF($F$18 = 1, BV63, Debt!BV$176)</f>
        <v>0</v>
      </c>
      <c r="BW40" s="632">
        <f xml:space="preserve"> IF($F$18 = 1, BW63, Debt!BW$176)</f>
        <v>0</v>
      </c>
      <c r="BX40" s="632">
        <f xml:space="preserve"> IF($F$18 = 1, BX63, Debt!BX$176)</f>
        <v>0</v>
      </c>
      <c r="BY40" s="632">
        <f xml:space="preserve"> IF($F$18 = 1, BY63, Debt!BY$176)</f>
        <v>0</v>
      </c>
      <c r="BZ40" s="632">
        <f xml:space="preserve"> IF($F$18 = 1, BZ63, Debt!BZ$176)</f>
        <v>0</v>
      </c>
      <c r="CA40" s="632">
        <f xml:space="preserve"> IF($F$18 = 1, CA63, Debt!CA$176)</f>
        <v>0</v>
      </c>
      <c r="CB40" s="632">
        <f xml:space="preserve"> IF($F$18 = 1, CB63, Debt!CB$176)</f>
        <v>0</v>
      </c>
      <c r="CC40" s="632">
        <f xml:space="preserve"> IF($F$18 = 1, CC63, Debt!CC$176)</f>
        <v>0</v>
      </c>
      <c r="CD40" s="632">
        <f xml:space="preserve"> IF($F$18 = 1, CD63, Debt!CD$176)</f>
        <v>0</v>
      </c>
      <c r="CE40" s="632">
        <f xml:space="preserve"> IF($F$18 = 1, CE63, Debt!CE$176)</f>
        <v>0</v>
      </c>
      <c r="CF40" s="632">
        <f xml:space="preserve"> IF($F$18 = 1, CF63, Debt!CF$176)</f>
        <v>0</v>
      </c>
      <c r="CG40" s="632">
        <f xml:space="preserve"> IF($F$18 = 1, CG63, Debt!CG$176)</f>
        <v>0</v>
      </c>
      <c r="CH40" s="632">
        <f xml:space="preserve"> IF($F$18 = 1, CH63, Debt!CH$176)</f>
        <v>0</v>
      </c>
      <c r="CI40" s="632">
        <f xml:space="preserve"> IF($F$18 = 1, CI63, Debt!CI$176)</f>
        <v>0</v>
      </c>
      <c r="CJ40" s="632">
        <f xml:space="preserve"> IF($F$18 = 1, CJ63, Debt!CJ$176)</f>
        <v>0</v>
      </c>
      <c r="CK40" s="632">
        <f xml:space="preserve"> IF($F$18 = 1, CK63, Debt!CK$176)</f>
        <v>0</v>
      </c>
      <c r="CL40" s="632">
        <f xml:space="preserve"> IF($F$18 = 1, CL63, Debt!CL$176)</f>
        <v>0</v>
      </c>
      <c r="CM40" s="632">
        <f xml:space="preserve"> IF($F$18 = 1, CM63, Debt!CM$176)</f>
        <v>0</v>
      </c>
      <c r="CN40" s="632">
        <f xml:space="preserve"> IF($F$18 = 1, CN63, Debt!CN$176)</f>
        <v>0</v>
      </c>
      <c r="CO40" s="632">
        <f xml:space="preserve"> IF($F$18 = 1, CO63, Debt!CO$176)</f>
        <v>0</v>
      </c>
      <c r="CP40" s="632">
        <f xml:space="preserve"> IF($F$18 = 1, CP63, Debt!CP$176)</f>
        <v>0</v>
      </c>
      <c r="CQ40" s="632">
        <f xml:space="preserve"> IF($F$18 = 1, CQ63, Debt!CQ$176)</f>
        <v>0</v>
      </c>
      <c r="CR40" s="632">
        <f xml:space="preserve"> IF($F$18 = 1, CR63, Debt!CR$176)</f>
        <v>0</v>
      </c>
      <c r="CS40" s="632">
        <f xml:space="preserve"> IF($F$18 = 1, CS63, Debt!CS$176)</f>
        <v>0</v>
      </c>
      <c r="CT40" s="632">
        <f xml:space="preserve"> IF($F$18 = 1, CT63, Debt!CT$176)</f>
        <v>0</v>
      </c>
      <c r="CU40" s="632">
        <f xml:space="preserve"> IF($F$18 = 1, CU63, Debt!CU$176)</f>
        <v>0</v>
      </c>
      <c r="CV40" s="632">
        <f xml:space="preserve"> IF($F$18 = 1, CV63, Debt!CV$176)</f>
        <v>0</v>
      </c>
    </row>
    <row r="41" spans="1:100" s="498" customFormat="1" outlineLevel="2" x14ac:dyDescent="0.2">
      <c r="A41" s="15"/>
      <c r="B41" s="15"/>
      <c r="C41" s="21"/>
      <c r="D41" s="48"/>
      <c r="E41" s="612" t="str">
        <f xml:space="preserve"> Debt!E$288</f>
        <v>Senior repayment % profile - calc - T2</v>
      </c>
      <c r="F41" s="612">
        <f xml:space="preserve"> Debt!F$288</f>
        <v>0</v>
      </c>
      <c r="G41" s="612" t="str">
        <f xml:space="preserve"> Debt!G$288</f>
        <v>%</v>
      </c>
      <c r="H41" s="612">
        <f xml:space="preserve"> Debt!H$288</f>
        <v>0.99999995779930484</v>
      </c>
      <c r="I41" s="612"/>
      <c r="J41" s="632">
        <f xml:space="preserve"> IF($F$18 = 1, J64, Debt!J$288)</f>
        <v>0</v>
      </c>
      <c r="K41" s="612">
        <f xml:space="preserve"> IF($F$18 = 1, K64, Debt!K$288)</f>
        <v>0</v>
      </c>
      <c r="L41" s="612">
        <f xml:space="preserve"> IF($F$18 = 1, L64, Debt!L$288)</f>
        <v>0</v>
      </c>
      <c r="M41" s="612">
        <f xml:space="preserve"> IF($F$18 = 1, M64, Debt!M$288)</f>
        <v>0</v>
      </c>
      <c r="N41" s="612">
        <f xml:space="preserve"> IF($F$18 = 1, N64, Debt!N$288)</f>
        <v>0</v>
      </c>
      <c r="O41" s="612">
        <f xml:space="preserve"> IF($F$18 = 1, O64, Debt!O$288)</f>
        <v>3.2781973306099707E-2</v>
      </c>
      <c r="P41" s="612">
        <f xml:space="preserve"> IF($F$18 = 1, P64, Debt!P$288)</f>
        <v>2.7079190158526702E-2</v>
      </c>
      <c r="Q41" s="612">
        <f xml:space="preserve"> IF($F$18 = 1, Q64, Debt!Q$288)</f>
        <v>2.7405113766895708E-2</v>
      </c>
      <c r="R41" s="612">
        <f xml:space="preserve"> IF($F$18 = 1, R64, Debt!R$288)</f>
        <v>2.7913117813143661E-2</v>
      </c>
      <c r="S41" s="612">
        <f xml:space="preserve"> IF($F$18 = 1, S64, Debt!S$288)</f>
        <v>2.8271496280838332E-2</v>
      </c>
      <c r="T41" s="612">
        <f xml:space="preserve"> IF($F$18 = 1, T64, Debt!T$288)</f>
        <v>2.8780359614935021E-2</v>
      </c>
      <c r="U41" s="612">
        <f xml:space="preserve"> IF($F$18 = 1, U64, Debt!U$288)</f>
        <v>2.917247086595515E-2</v>
      </c>
      <c r="V41" s="612">
        <f xml:space="preserve"> IF($F$18 = 1, V64, Debt!V$288)</f>
        <v>2.963285885621654E-2</v>
      </c>
      <c r="W41" s="612">
        <f xml:space="preserve"> IF($F$18 = 1, W64, Debt!W$288)</f>
        <v>3.0037883725827441E-2</v>
      </c>
      <c r="X41" s="612">
        <f xml:space="preserve"> IF($F$18 = 1, X64, Debt!X$288)</f>
        <v>3.0617815055632783E-2</v>
      </c>
      <c r="Y41" s="612">
        <f xml:space="preserve"> IF($F$18 = 1, Y64, Debt!Y$288)</f>
        <v>3.0179424108628033E-2</v>
      </c>
      <c r="Z41" s="612">
        <f xml:space="preserve"> IF($F$18 = 1, Z64, Debt!Z$288)</f>
        <v>3.0716440884256391E-2</v>
      </c>
      <c r="AA41" s="612">
        <f xml:space="preserve"> IF($F$18 = 1, AA64, Debt!AA$288)</f>
        <v>3.1214585441410859E-2</v>
      </c>
      <c r="AB41" s="612">
        <f xml:space="preserve"> IF($F$18 = 1, AB64, Debt!AB$288)</f>
        <v>3.1754275325462177E-2</v>
      </c>
      <c r="AC41" s="612">
        <f xml:space="preserve"> IF($F$18 = 1, AC64, Debt!AC$288)</f>
        <v>3.2293794084455089E-2</v>
      </c>
      <c r="AD41" s="612">
        <f xml:space="preserve"> IF($F$18 = 1, AD64, Debt!AD$288)</f>
        <v>3.2811338242036144E-2</v>
      </c>
      <c r="AE41" s="612">
        <f xml:space="preserve"> IF($F$18 = 1, AE64, Debt!AE$288)</f>
        <v>3.3350258277582562E-2</v>
      </c>
      <c r="AF41" s="612">
        <f xml:space="preserve"> IF($F$18 = 1, AF64, Debt!AF$288)</f>
        <v>3.3962619399099898E-2</v>
      </c>
      <c r="AG41" s="612">
        <f xml:space="preserve"> IF($F$18 = 1, AG64, Debt!AG$288)</f>
        <v>3.459013797294138E-2</v>
      </c>
      <c r="AH41" s="612">
        <f xml:space="preserve"> IF($F$18 = 1, AH64, Debt!AH$288)</f>
        <v>3.5139355366115517E-2</v>
      </c>
      <c r="AI41" s="612">
        <f xml:space="preserve"> IF($F$18 = 1, AI64, Debt!AI$288)</f>
        <v>3.5130391574716521E-2</v>
      </c>
      <c r="AJ41" s="612">
        <f xml:space="preserve"> IF($F$18 = 1, AJ64, Debt!AJ$288)</f>
        <v>3.5724053036103792E-2</v>
      </c>
      <c r="AK41" s="612">
        <f xml:space="preserve"> IF($F$18 = 1, AK64, Debt!AK$288)</f>
        <v>3.6468499779829924E-2</v>
      </c>
      <c r="AL41" s="612">
        <f xml:space="preserve"> IF($F$18 = 1, AL64, Debt!AL$288)</f>
        <v>3.7074082767876319E-2</v>
      </c>
      <c r="AM41" s="612">
        <f xml:space="preserve"> IF($F$18 = 1, AM64, Debt!AM$288)</f>
        <v>3.7802586953233269E-2</v>
      </c>
      <c r="AN41" s="612">
        <f xml:space="preserve"> IF($F$18 = 1, AN64, Debt!AN$288)</f>
        <v>3.8473266294591593E-2</v>
      </c>
      <c r="AO41" s="612">
        <f xml:space="preserve"> IF($F$18 = 1, AO64, Debt!AO$288)</f>
        <v>3.9330922110589778E-2</v>
      </c>
      <c r="AP41" s="612">
        <f xml:space="preserve"> IF($F$18 = 1, AP64, Debt!AP$288)</f>
        <v>3.9944613021489737E-2</v>
      </c>
      <c r="AQ41" s="612">
        <f xml:space="preserve"> IF($F$18 = 1, AQ64, Debt!AQ$288)</f>
        <v>4.0862853396775159E-2</v>
      </c>
      <c r="AR41" s="612">
        <f xml:space="preserve"> IF($F$18 = 1, AR64, Debt!AR$288)</f>
        <v>4.1484180318039521E-2</v>
      </c>
      <c r="AS41" s="612">
        <f xml:space="preserve"> IF($F$18 = 1, AS64, Debt!AS$288)</f>
        <v>0</v>
      </c>
      <c r="AT41" s="612">
        <f xml:space="preserve"> IF($F$18 = 1, AT64, Debt!AT$288)</f>
        <v>0</v>
      </c>
      <c r="AU41" s="612">
        <f xml:space="preserve"> IF($F$18 = 1, AU64, Debt!AU$288)</f>
        <v>0</v>
      </c>
      <c r="AV41" s="612">
        <f xml:space="preserve"> IF($F$18 = 1, AV64, Debt!AV$288)</f>
        <v>0</v>
      </c>
      <c r="AW41" s="612">
        <f xml:space="preserve"> IF($F$18 = 1, AW64, Debt!AW$288)</f>
        <v>0</v>
      </c>
      <c r="AX41" s="612">
        <f xml:space="preserve"> IF($F$18 = 1, AX64, Debt!AX$288)</f>
        <v>0</v>
      </c>
      <c r="AY41" s="612">
        <f xml:space="preserve"> IF($F$18 = 1, AY64, Debt!AY$288)</f>
        <v>0</v>
      </c>
      <c r="AZ41" s="612">
        <f xml:space="preserve"> IF($F$18 = 1, AZ64, Debt!AZ$288)</f>
        <v>0</v>
      </c>
      <c r="BA41" s="612">
        <f xml:space="preserve"> IF($F$18 = 1, BA64, Debt!BA$288)</f>
        <v>0</v>
      </c>
      <c r="BB41" s="612">
        <f xml:space="preserve"> IF($F$18 = 1, BB64, Debt!BB$288)</f>
        <v>0</v>
      </c>
      <c r="BC41" s="612">
        <f xml:space="preserve"> IF($F$18 = 1, BC64, Debt!BC$288)</f>
        <v>0</v>
      </c>
      <c r="BD41" s="612">
        <f xml:space="preserve"> IF($F$18 = 1, BD64, Debt!BD$288)</f>
        <v>0</v>
      </c>
      <c r="BE41" s="612">
        <f xml:space="preserve"> IF($F$18 = 1, BE64, Debt!BE$288)</f>
        <v>0</v>
      </c>
      <c r="BF41" s="612">
        <f xml:space="preserve"> IF($F$18 = 1, BF64, Debt!BF$288)</f>
        <v>0</v>
      </c>
      <c r="BG41" s="612">
        <f xml:space="preserve"> IF($F$18 = 1, BG64, Debt!BG$288)</f>
        <v>0</v>
      </c>
      <c r="BH41" s="612">
        <f xml:space="preserve"> IF($F$18 = 1, BH64, Debt!BH$288)</f>
        <v>0</v>
      </c>
      <c r="BI41" s="612">
        <f xml:space="preserve"> IF($F$18 = 1, BI64, Debt!BI$288)</f>
        <v>0</v>
      </c>
      <c r="BJ41" s="612">
        <f xml:space="preserve"> IF($F$18 = 1, BJ64, Debt!BJ$288)</f>
        <v>0</v>
      </c>
      <c r="BK41" s="612">
        <f xml:space="preserve"> IF($F$18 = 1, BK64, Debt!BK$288)</f>
        <v>0</v>
      </c>
      <c r="BL41" s="612">
        <f xml:space="preserve"> IF($F$18 = 1, BL64, Debt!BL$288)</f>
        <v>0</v>
      </c>
      <c r="BM41" s="612">
        <f xml:space="preserve"> IF($F$18 = 1, BM64, Debt!BM$288)</f>
        <v>0</v>
      </c>
      <c r="BN41" s="612">
        <f xml:space="preserve"> IF($F$18 = 1, BN64, Debt!BN$288)</f>
        <v>0</v>
      </c>
      <c r="BO41" s="612">
        <f xml:space="preserve"> IF($F$18 = 1, BO64, Debt!BO$288)</f>
        <v>0</v>
      </c>
      <c r="BP41" s="612">
        <f xml:space="preserve"> IF($F$18 = 1, BP64, Debt!BP$288)</f>
        <v>0</v>
      </c>
      <c r="BQ41" s="612">
        <f xml:space="preserve"> IF($F$18 = 1, BQ64, Debt!BQ$288)</f>
        <v>0</v>
      </c>
      <c r="BR41" s="612">
        <f xml:space="preserve"> IF($F$18 = 1, BR64, Debt!BR$288)</f>
        <v>0</v>
      </c>
      <c r="BS41" s="612">
        <f xml:space="preserve"> IF($F$18 = 1, BS64, Debt!BS$288)</f>
        <v>0</v>
      </c>
      <c r="BT41" s="612">
        <f xml:space="preserve"> IF($F$18 = 1, BT64, Debt!BT$288)</f>
        <v>0</v>
      </c>
      <c r="BU41" s="612">
        <f xml:space="preserve"> IF($F$18 = 1, BU64, Debt!BU$288)</f>
        <v>0</v>
      </c>
      <c r="BV41" s="612">
        <f xml:space="preserve"> IF($F$18 = 1, BV64, Debt!BV$288)</f>
        <v>0</v>
      </c>
      <c r="BW41" s="612">
        <f xml:space="preserve"> IF($F$18 = 1, BW64, Debt!BW$288)</f>
        <v>0</v>
      </c>
      <c r="BX41" s="612">
        <f xml:space="preserve"> IF($F$18 = 1, BX64, Debt!BX$288)</f>
        <v>0</v>
      </c>
      <c r="BY41" s="612">
        <f xml:space="preserve"> IF($F$18 = 1, BY64, Debt!BY$288)</f>
        <v>0</v>
      </c>
      <c r="BZ41" s="612">
        <f xml:space="preserve"> IF($F$18 = 1, BZ64, Debt!BZ$288)</f>
        <v>0</v>
      </c>
      <c r="CA41" s="612">
        <f xml:space="preserve"> IF($F$18 = 1, CA64, Debt!CA$288)</f>
        <v>0</v>
      </c>
      <c r="CB41" s="612">
        <f xml:space="preserve"> IF($F$18 = 1, CB64, Debt!CB$288)</f>
        <v>0</v>
      </c>
      <c r="CC41" s="612">
        <f xml:space="preserve"> IF($F$18 = 1, CC64, Debt!CC$288)</f>
        <v>0</v>
      </c>
      <c r="CD41" s="612">
        <f xml:space="preserve"> IF($F$18 = 1, CD64, Debt!CD$288)</f>
        <v>0</v>
      </c>
      <c r="CE41" s="612">
        <f xml:space="preserve"> IF($F$18 = 1, CE64, Debt!CE$288)</f>
        <v>0</v>
      </c>
      <c r="CF41" s="612">
        <f xml:space="preserve"> IF($F$18 = 1, CF64, Debt!CF$288)</f>
        <v>0</v>
      </c>
      <c r="CG41" s="612">
        <f xml:space="preserve"> IF($F$18 = 1, CG64, Debt!CG$288)</f>
        <v>0</v>
      </c>
      <c r="CH41" s="612">
        <f xml:space="preserve"> IF($F$18 = 1, CH64, Debt!CH$288)</f>
        <v>0</v>
      </c>
      <c r="CI41" s="612">
        <f xml:space="preserve"> IF($F$18 = 1, CI64, Debt!CI$288)</f>
        <v>0</v>
      </c>
      <c r="CJ41" s="612">
        <f xml:space="preserve"> IF($F$18 = 1, CJ64, Debt!CJ$288)</f>
        <v>0</v>
      </c>
      <c r="CK41" s="612">
        <f xml:space="preserve"> IF($F$18 = 1, CK64, Debt!CK$288)</f>
        <v>0</v>
      </c>
      <c r="CL41" s="612">
        <f xml:space="preserve"> IF($F$18 = 1, CL64, Debt!CL$288)</f>
        <v>0</v>
      </c>
      <c r="CM41" s="612">
        <f xml:space="preserve"> IF($F$18 = 1, CM64, Debt!CM$288)</f>
        <v>0</v>
      </c>
      <c r="CN41" s="612">
        <f xml:space="preserve"> IF($F$18 = 1, CN64, Debt!CN$288)</f>
        <v>0</v>
      </c>
      <c r="CO41" s="612">
        <f xml:space="preserve"> IF($F$18 = 1, CO64, Debt!CO$288)</f>
        <v>0</v>
      </c>
      <c r="CP41" s="612">
        <f xml:space="preserve"> IF($F$18 = 1, CP64, Debt!CP$288)</f>
        <v>0</v>
      </c>
      <c r="CQ41" s="612">
        <f xml:space="preserve"> IF($F$18 = 1, CQ64, Debt!CQ$288)</f>
        <v>0</v>
      </c>
      <c r="CR41" s="612">
        <f xml:space="preserve"> IF($F$18 = 1, CR64, Debt!CR$288)</f>
        <v>0</v>
      </c>
      <c r="CS41" s="612">
        <f xml:space="preserve"> IF($F$18 = 1, CS64, Debt!CS$288)</f>
        <v>0</v>
      </c>
      <c r="CT41" s="612">
        <f xml:space="preserve"> IF($F$18 = 1, CT64, Debt!CT$288)</f>
        <v>0</v>
      </c>
      <c r="CU41" s="612">
        <f xml:space="preserve"> IF($F$18 = 1, CU64, Debt!CU$288)</f>
        <v>0</v>
      </c>
      <c r="CV41" s="612">
        <f xml:space="preserve"> IF($F$18 = 1, CV64, Debt!CV$288)</f>
        <v>0</v>
      </c>
    </row>
    <row r="42" spans="1:100" s="503" customFormat="1" outlineLevel="2" x14ac:dyDescent="0.2">
      <c r="A42" s="221"/>
      <c r="B42" s="221"/>
      <c r="C42" s="222"/>
      <c r="D42" s="223"/>
      <c r="E42" s="224"/>
      <c r="F42" s="224"/>
      <c r="G42" s="224"/>
      <c r="H42" s="224"/>
      <c r="I42" s="225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24"/>
      <c r="BP42" s="224"/>
      <c r="BQ42" s="224"/>
      <c r="BR42" s="224"/>
      <c r="BS42" s="224"/>
      <c r="BT42" s="224"/>
      <c r="BU42" s="224"/>
      <c r="BV42" s="224"/>
      <c r="BW42" s="224"/>
      <c r="BX42" s="224"/>
      <c r="BY42" s="224"/>
      <c r="BZ42" s="224"/>
      <c r="CA42" s="224"/>
      <c r="CB42" s="224"/>
      <c r="CC42" s="224"/>
      <c r="CD42" s="224"/>
      <c r="CE42" s="224"/>
      <c r="CF42" s="224"/>
      <c r="CG42" s="224"/>
      <c r="CH42" s="224"/>
      <c r="CI42" s="224"/>
      <c r="CJ42" s="224"/>
      <c r="CK42" s="224"/>
      <c r="CL42" s="224"/>
      <c r="CM42" s="224"/>
      <c r="CN42" s="224"/>
      <c r="CO42" s="224"/>
      <c r="CP42" s="224"/>
      <c r="CQ42" s="224"/>
      <c r="CR42" s="224"/>
      <c r="CS42" s="224"/>
      <c r="CT42" s="224"/>
      <c r="CU42" s="224"/>
      <c r="CV42" s="224"/>
    </row>
    <row r="43" spans="1:100" outlineLevel="2" x14ac:dyDescent="0.2"/>
    <row r="44" spans="1:100" x14ac:dyDescent="0.2"/>
    <row r="45" spans="1:100" x14ac:dyDescent="0.2">
      <c r="A45" s="15" t="s">
        <v>285</v>
      </c>
    </row>
    <row r="46" spans="1:100" outlineLevel="1" x14ac:dyDescent="0.2"/>
    <row r="47" spans="1:100" s="509" customFormat="1" outlineLevel="1" x14ac:dyDescent="0.2">
      <c r="A47" s="504"/>
      <c r="B47" s="504" t="s">
        <v>289</v>
      </c>
      <c r="C47" s="505"/>
      <c r="D47" s="506"/>
      <c r="E47" s="507"/>
      <c r="F47" s="507"/>
      <c r="G47" s="507"/>
      <c r="H47" s="507"/>
      <c r="I47" s="508"/>
      <c r="J47" s="507"/>
      <c r="K47" s="507"/>
      <c r="L47" s="507"/>
      <c r="M47" s="507"/>
      <c r="N47" s="507"/>
      <c r="O47" s="507"/>
      <c r="P47" s="507"/>
      <c r="Q47" s="507"/>
      <c r="R47" s="507"/>
      <c r="S47" s="507"/>
      <c r="T47" s="507"/>
      <c r="U47" s="507"/>
      <c r="V47" s="507"/>
      <c r="W47" s="507"/>
      <c r="X47" s="507"/>
      <c r="Y47" s="507"/>
      <c r="Z47" s="507"/>
      <c r="AA47" s="507"/>
      <c r="AB47" s="507"/>
      <c r="AC47" s="507"/>
      <c r="AD47" s="507"/>
      <c r="AE47" s="507"/>
      <c r="AF47" s="507"/>
      <c r="AG47" s="507"/>
      <c r="AH47" s="507"/>
      <c r="AI47" s="507"/>
      <c r="AJ47" s="507"/>
      <c r="AK47" s="507"/>
      <c r="AL47" s="507"/>
      <c r="AM47" s="507"/>
      <c r="AN47" s="507"/>
      <c r="AO47" s="507"/>
      <c r="AP47" s="507"/>
      <c r="AQ47" s="507"/>
      <c r="AR47" s="507"/>
      <c r="AS47" s="507"/>
      <c r="AT47" s="507"/>
      <c r="AU47" s="507"/>
      <c r="AV47" s="507"/>
      <c r="AW47" s="507"/>
      <c r="AX47" s="507"/>
      <c r="AY47" s="507"/>
      <c r="AZ47" s="507"/>
      <c r="BA47" s="507"/>
      <c r="BB47" s="507"/>
      <c r="BC47" s="507"/>
      <c r="BD47" s="507"/>
      <c r="BE47" s="507"/>
      <c r="BF47" s="507"/>
      <c r="BG47" s="507"/>
      <c r="BH47" s="507"/>
      <c r="BI47" s="507"/>
      <c r="BJ47" s="507"/>
      <c r="BK47" s="507"/>
      <c r="BL47" s="507"/>
      <c r="BM47" s="507"/>
      <c r="BN47" s="507"/>
      <c r="BO47" s="507"/>
      <c r="BP47" s="507"/>
      <c r="BQ47" s="507"/>
      <c r="BR47" s="507"/>
      <c r="BS47" s="507"/>
      <c r="BT47" s="507"/>
      <c r="BU47" s="507"/>
      <c r="BV47" s="507"/>
      <c r="BW47" s="507"/>
      <c r="BX47" s="507"/>
      <c r="BY47" s="507"/>
      <c r="BZ47" s="507"/>
      <c r="CA47" s="507"/>
      <c r="CB47" s="507"/>
      <c r="CC47" s="507"/>
      <c r="CD47" s="507"/>
      <c r="CE47" s="507"/>
      <c r="CF47" s="507"/>
      <c r="CG47" s="507"/>
      <c r="CH47" s="507"/>
      <c r="CI47" s="507"/>
      <c r="CJ47" s="507"/>
      <c r="CK47" s="507"/>
      <c r="CL47" s="507"/>
      <c r="CM47" s="507"/>
      <c r="CN47" s="507"/>
      <c r="CO47" s="507"/>
      <c r="CP47" s="507"/>
      <c r="CQ47" s="507"/>
      <c r="CR47" s="507"/>
      <c r="CS47" s="507"/>
      <c r="CT47" s="507"/>
      <c r="CU47" s="507"/>
      <c r="CV47" s="507"/>
    </row>
    <row r="48" spans="1:100" s="332" customFormat="1" outlineLevel="2" x14ac:dyDescent="0.2">
      <c r="A48" s="236"/>
      <c r="B48" s="236"/>
      <c r="C48" s="237"/>
      <c r="D48" s="238"/>
      <c r="E48" s="510" t="s">
        <v>1335</v>
      </c>
      <c r="F48" s="553">
        <f t="shared" ref="F48:F54" si="0">J48</f>
        <v>19.483770556130601</v>
      </c>
      <c r="G48" s="510" t="s">
        <v>622</v>
      </c>
      <c r="H48" s="510"/>
      <c r="I48" s="281"/>
      <c r="J48" s="554">
        <v>19.483770556130601</v>
      </c>
      <c r="K48" s="510"/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510"/>
      <c r="BA48" s="510"/>
      <c r="BB48" s="510"/>
      <c r="BC48" s="510"/>
      <c r="BD48" s="510"/>
      <c r="BE48" s="510"/>
      <c r="BF48" s="510"/>
      <c r="BG48" s="510"/>
      <c r="BH48" s="510"/>
      <c r="BI48" s="510"/>
      <c r="BJ48" s="510"/>
      <c r="BK48" s="510"/>
      <c r="BL48" s="510"/>
      <c r="BM48" s="510"/>
      <c r="BN48" s="510"/>
      <c r="BO48" s="510"/>
      <c r="BP48" s="510"/>
      <c r="BQ48" s="510"/>
      <c r="BR48" s="510"/>
      <c r="BS48" s="510"/>
      <c r="BT48" s="510"/>
      <c r="BU48" s="510"/>
      <c r="BV48" s="510"/>
      <c r="BW48" s="510"/>
      <c r="BX48" s="510"/>
      <c r="BY48" s="510"/>
      <c r="BZ48" s="510"/>
      <c r="CA48" s="510"/>
      <c r="CB48" s="510"/>
      <c r="CC48" s="510"/>
      <c r="CD48" s="510"/>
      <c r="CE48" s="510"/>
      <c r="CF48" s="510"/>
      <c r="CG48" s="510"/>
      <c r="CH48" s="510"/>
      <c r="CI48" s="510"/>
      <c r="CJ48" s="510"/>
      <c r="CK48" s="510"/>
      <c r="CL48" s="510"/>
      <c r="CM48" s="510"/>
      <c r="CN48" s="510"/>
      <c r="CO48" s="510"/>
      <c r="CP48" s="510"/>
      <c r="CQ48" s="510"/>
      <c r="CR48" s="510"/>
      <c r="CS48" s="510"/>
      <c r="CT48" s="510"/>
      <c r="CU48" s="510"/>
      <c r="CV48" s="510"/>
    </row>
    <row r="49" spans="1:100" s="365" customFormat="1" outlineLevel="2" x14ac:dyDescent="0.2">
      <c r="A49" s="363"/>
      <c r="B49" s="363"/>
      <c r="C49" s="364"/>
      <c r="D49" s="318"/>
      <c r="E49" s="365" t="s">
        <v>552</v>
      </c>
      <c r="F49" s="365">
        <f>J49</f>
        <v>86318.263263620975</v>
      </c>
      <c r="G49" s="365" t="s">
        <v>105</v>
      </c>
      <c r="I49" s="318"/>
      <c r="J49" s="816">
        <v>86318.263263620975</v>
      </c>
    </row>
    <row r="50" spans="1:100" s="365" customFormat="1" outlineLevel="2" x14ac:dyDescent="0.2">
      <c r="A50" s="700"/>
      <c r="B50" s="700"/>
      <c r="C50" s="701"/>
      <c r="D50" s="702"/>
      <c r="E50" s="715" t="s">
        <v>553</v>
      </c>
      <c r="F50" s="365">
        <f>J50</f>
        <v>0</v>
      </c>
      <c r="G50" s="715" t="s">
        <v>105</v>
      </c>
      <c r="H50" s="715"/>
      <c r="I50" s="716"/>
      <c r="J50" s="816">
        <v>0</v>
      </c>
      <c r="K50" s="715"/>
      <c r="L50" s="715"/>
      <c r="M50" s="715"/>
      <c r="N50" s="715"/>
      <c r="O50" s="715"/>
      <c r="P50" s="715"/>
      <c r="Q50" s="715"/>
      <c r="R50" s="715"/>
      <c r="S50" s="715"/>
      <c r="T50" s="715"/>
      <c r="U50" s="715"/>
      <c r="V50" s="715"/>
      <c r="W50" s="715"/>
      <c r="X50" s="715"/>
      <c r="Y50" s="715"/>
      <c r="Z50" s="715"/>
      <c r="AA50" s="715"/>
      <c r="AB50" s="715"/>
      <c r="AC50" s="715"/>
      <c r="AD50" s="715"/>
      <c r="AE50" s="715"/>
      <c r="AF50" s="715"/>
      <c r="AG50" s="715"/>
      <c r="AH50" s="715"/>
      <c r="AI50" s="715"/>
      <c r="AJ50" s="715"/>
      <c r="AK50" s="715"/>
      <c r="AL50" s="715"/>
      <c r="AM50" s="715"/>
      <c r="AN50" s="715"/>
      <c r="AO50" s="715"/>
      <c r="AP50" s="715"/>
      <c r="AQ50" s="715"/>
      <c r="AR50" s="715"/>
      <c r="AS50" s="715"/>
      <c r="AT50" s="715"/>
      <c r="AU50" s="715"/>
      <c r="AV50" s="715"/>
      <c r="AW50" s="715"/>
      <c r="AX50" s="715"/>
      <c r="AY50" s="715"/>
      <c r="AZ50" s="715"/>
      <c r="BA50" s="715"/>
      <c r="BB50" s="715"/>
      <c r="BC50" s="715"/>
      <c r="BD50" s="715"/>
      <c r="BE50" s="715"/>
      <c r="BF50" s="715"/>
      <c r="BG50" s="715"/>
      <c r="BH50" s="715"/>
      <c r="BI50" s="715"/>
      <c r="BJ50" s="715"/>
      <c r="BK50" s="715"/>
      <c r="BL50" s="715"/>
      <c r="BM50" s="715"/>
      <c r="BN50" s="715"/>
      <c r="BO50" s="715"/>
      <c r="BP50" s="715"/>
      <c r="BQ50" s="715"/>
      <c r="BR50" s="715"/>
      <c r="BS50" s="715"/>
      <c r="BT50" s="715"/>
      <c r="BU50" s="715"/>
      <c r="BV50" s="715"/>
      <c r="BW50" s="715"/>
      <c r="BX50" s="715"/>
      <c r="BY50" s="715"/>
      <c r="BZ50" s="715"/>
      <c r="CA50" s="715"/>
      <c r="CB50" s="715"/>
      <c r="CC50" s="715"/>
      <c r="CD50" s="715"/>
      <c r="CE50" s="715"/>
      <c r="CF50" s="715"/>
      <c r="CG50" s="715"/>
      <c r="CH50" s="715"/>
      <c r="CI50" s="715"/>
      <c r="CJ50" s="715"/>
      <c r="CK50" s="715"/>
      <c r="CL50" s="715"/>
      <c r="CM50" s="715"/>
      <c r="CN50" s="715"/>
      <c r="CO50" s="715"/>
      <c r="CP50" s="715"/>
      <c r="CQ50" s="715"/>
      <c r="CR50" s="715"/>
      <c r="CS50" s="715"/>
      <c r="CT50" s="715"/>
      <c r="CU50" s="715"/>
      <c r="CV50" s="715"/>
    </row>
    <row r="51" spans="1:100" s="601" customFormat="1" outlineLevel="2" x14ac:dyDescent="0.2">
      <c r="A51" s="227"/>
      <c r="B51" s="227"/>
      <c r="C51" s="228"/>
      <c r="D51" s="229"/>
      <c r="E51" s="332" t="s">
        <v>1140</v>
      </c>
      <c r="F51" s="190">
        <f t="shared" si="0"/>
        <v>250389.85226030689</v>
      </c>
      <c r="G51" s="332" t="str">
        <f xml:space="preserve"> SMU</f>
        <v>$ 000s</v>
      </c>
      <c r="I51" s="229"/>
      <c r="J51" s="611">
        <v>250389.85226030689</v>
      </c>
    </row>
    <row r="52" spans="1:100" s="601" customFormat="1" outlineLevel="2" x14ac:dyDescent="0.2">
      <c r="A52" s="227"/>
      <c r="B52" s="227"/>
      <c r="C52" s="228"/>
      <c r="D52" s="229"/>
      <c r="E52" s="332" t="s">
        <v>971</v>
      </c>
      <c r="F52" s="715">
        <f>J52</f>
        <v>213278.57848669353</v>
      </c>
      <c r="G52" s="332" t="str">
        <f xml:space="preserve"> SMU</f>
        <v>$ 000s</v>
      </c>
      <c r="H52" s="715"/>
      <c r="I52" s="716"/>
      <c r="J52" s="1107">
        <v>213278.57848669353</v>
      </c>
    </row>
    <row r="53" spans="1:100" s="332" customFormat="1" outlineLevel="2" x14ac:dyDescent="0.2">
      <c r="A53" s="429"/>
      <c r="B53" s="429"/>
      <c r="C53" s="430"/>
      <c r="D53" s="190"/>
      <c r="E53" s="332" t="s">
        <v>452</v>
      </c>
      <c r="F53" s="332">
        <f t="shared" si="0"/>
        <v>86418.253106861201</v>
      </c>
      <c r="G53" s="332" t="str">
        <f xml:space="preserve"> SMU</f>
        <v>$ 000s</v>
      </c>
      <c r="I53" s="190"/>
      <c r="J53" s="611">
        <v>86418.253106861201</v>
      </c>
    </row>
    <row r="54" spans="1:100" s="332" customFormat="1" outlineLevel="2" x14ac:dyDescent="0.2">
      <c r="A54" s="429"/>
      <c r="B54" s="429"/>
      <c r="C54" s="430"/>
      <c r="D54" s="190"/>
      <c r="E54" s="332" t="s">
        <v>453</v>
      </c>
      <c r="F54" s="333">
        <f t="shared" si="0"/>
        <v>0.71796763672768571</v>
      </c>
      <c r="G54" s="332" t="s">
        <v>103</v>
      </c>
      <c r="I54" s="190"/>
      <c r="J54" s="688">
        <v>0.71796763672768571</v>
      </c>
    </row>
    <row r="55" spans="1:100" s="332" customFormat="1" outlineLevel="1" x14ac:dyDescent="0.2">
      <c r="A55" s="236"/>
      <c r="B55" s="236"/>
      <c r="C55" s="237"/>
      <c r="D55" s="238"/>
      <c r="E55" s="510"/>
      <c r="F55" s="510"/>
      <c r="G55" s="510"/>
      <c r="H55" s="510"/>
      <c r="I55" s="281"/>
      <c r="J55" s="510"/>
      <c r="K55" s="510"/>
      <c r="L55" s="510"/>
      <c r="M55" s="510"/>
      <c r="N55" s="510"/>
      <c r="O55" s="510"/>
      <c r="P55" s="510"/>
      <c r="Q55" s="510"/>
      <c r="R55" s="510"/>
      <c r="S55" s="510"/>
      <c r="T55" s="510"/>
      <c r="U55" s="510"/>
      <c r="V55" s="510"/>
      <c r="W55" s="510"/>
      <c r="X55" s="510"/>
      <c r="Y55" s="510"/>
      <c r="Z55" s="510"/>
      <c r="AA55" s="510"/>
      <c r="AB55" s="510"/>
      <c r="AC55" s="510"/>
      <c r="AD55" s="510"/>
      <c r="AE55" s="510"/>
      <c r="AF55" s="510"/>
      <c r="AG55" s="510"/>
      <c r="AH55" s="510"/>
      <c r="AI55" s="510"/>
      <c r="AJ55" s="510"/>
      <c r="AK55" s="510"/>
      <c r="AL55" s="510"/>
      <c r="AM55" s="510"/>
      <c r="AN55" s="510"/>
      <c r="AO55" s="510"/>
      <c r="AP55" s="510"/>
      <c r="AQ55" s="510"/>
      <c r="AR55" s="510"/>
      <c r="AS55" s="510"/>
      <c r="AT55" s="510"/>
      <c r="AU55" s="510"/>
      <c r="AV55" s="510"/>
      <c r="AW55" s="510"/>
      <c r="AX55" s="510"/>
      <c r="AY55" s="510"/>
      <c r="AZ55" s="510"/>
      <c r="BA55" s="510"/>
      <c r="BB55" s="510"/>
      <c r="BC55" s="510"/>
      <c r="BD55" s="510"/>
      <c r="BE55" s="510"/>
      <c r="BF55" s="510"/>
      <c r="BG55" s="510"/>
      <c r="BH55" s="510"/>
      <c r="BI55" s="510"/>
      <c r="BJ55" s="510"/>
      <c r="BK55" s="510"/>
      <c r="BL55" s="510"/>
      <c r="BM55" s="510"/>
      <c r="BN55" s="510"/>
      <c r="BO55" s="510"/>
      <c r="BP55" s="510"/>
      <c r="BQ55" s="510"/>
      <c r="BR55" s="510"/>
      <c r="BS55" s="510"/>
      <c r="BT55" s="510"/>
      <c r="BU55" s="510"/>
      <c r="BV55" s="510"/>
      <c r="BW55" s="510"/>
      <c r="BX55" s="510"/>
      <c r="BY55" s="510"/>
      <c r="BZ55" s="510"/>
      <c r="CA55" s="510"/>
      <c r="CB55" s="510"/>
      <c r="CC55" s="510"/>
      <c r="CD55" s="510"/>
      <c r="CE55" s="510"/>
      <c r="CF55" s="510"/>
      <c r="CG55" s="510"/>
      <c r="CH55" s="510"/>
      <c r="CI55" s="510"/>
      <c r="CJ55" s="510"/>
      <c r="CK55" s="510"/>
      <c r="CL55" s="510"/>
      <c r="CM55" s="510"/>
      <c r="CN55" s="510"/>
      <c r="CO55" s="510"/>
      <c r="CP55" s="510"/>
      <c r="CQ55" s="510"/>
      <c r="CR55" s="510"/>
      <c r="CS55" s="510"/>
      <c r="CT55" s="510"/>
      <c r="CU55" s="510"/>
      <c r="CV55" s="510"/>
    </row>
    <row r="56" spans="1:100" s="332" customFormat="1" outlineLevel="1" x14ac:dyDescent="0.2">
      <c r="A56" s="236"/>
      <c r="B56" s="236" t="s">
        <v>288</v>
      </c>
      <c r="C56" s="237"/>
      <c r="D56" s="238"/>
      <c r="E56" s="510"/>
      <c r="F56" s="510"/>
      <c r="G56" s="510"/>
      <c r="H56" s="510"/>
      <c r="I56" s="281"/>
      <c r="J56" s="510"/>
      <c r="K56" s="510"/>
      <c r="L56" s="510"/>
      <c r="M56" s="510"/>
      <c r="N56" s="510"/>
      <c r="O56" s="510"/>
      <c r="P56" s="510"/>
      <c r="Q56" s="510"/>
      <c r="R56" s="510"/>
      <c r="S56" s="510"/>
      <c r="T56" s="510"/>
      <c r="U56" s="510"/>
      <c r="V56" s="510"/>
      <c r="W56" s="510"/>
      <c r="X56" s="510"/>
      <c r="Y56" s="510"/>
      <c r="Z56" s="510"/>
      <c r="AA56" s="510"/>
      <c r="AB56" s="510"/>
      <c r="AC56" s="510"/>
      <c r="AD56" s="510"/>
      <c r="AE56" s="510"/>
      <c r="AF56" s="510"/>
      <c r="AG56" s="510"/>
      <c r="AH56" s="510"/>
      <c r="AI56" s="510"/>
      <c r="AJ56" s="510"/>
      <c r="AK56" s="510"/>
      <c r="AL56" s="510"/>
      <c r="AM56" s="510"/>
      <c r="AN56" s="510"/>
      <c r="AO56" s="510"/>
      <c r="AP56" s="510"/>
      <c r="AQ56" s="510"/>
      <c r="AR56" s="510"/>
      <c r="AS56" s="510"/>
      <c r="AT56" s="510"/>
      <c r="AU56" s="510"/>
      <c r="AV56" s="510"/>
      <c r="AW56" s="510"/>
      <c r="AX56" s="510"/>
      <c r="AY56" s="510"/>
      <c r="AZ56" s="510"/>
      <c r="BA56" s="510"/>
      <c r="BB56" s="510"/>
      <c r="BC56" s="510"/>
      <c r="BD56" s="510"/>
      <c r="BE56" s="510"/>
      <c r="BF56" s="510"/>
      <c r="BG56" s="510"/>
      <c r="BH56" s="510"/>
      <c r="BI56" s="510"/>
      <c r="BJ56" s="510"/>
      <c r="BK56" s="510"/>
      <c r="BL56" s="510"/>
      <c r="BM56" s="510"/>
      <c r="BN56" s="510"/>
      <c r="BO56" s="510"/>
      <c r="BP56" s="510"/>
      <c r="BQ56" s="510"/>
      <c r="BR56" s="510"/>
      <c r="BS56" s="510"/>
      <c r="BT56" s="510"/>
      <c r="BU56" s="510"/>
      <c r="BV56" s="510"/>
      <c r="BW56" s="510"/>
      <c r="BX56" s="510"/>
      <c r="BY56" s="510"/>
      <c r="BZ56" s="510"/>
      <c r="CA56" s="510"/>
      <c r="CB56" s="510"/>
      <c r="CC56" s="510"/>
      <c r="CD56" s="510"/>
      <c r="CE56" s="510"/>
      <c r="CF56" s="510"/>
      <c r="CG56" s="510"/>
      <c r="CH56" s="510"/>
      <c r="CI56" s="510"/>
      <c r="CJ56" s="510"/>
      <c r="CK56" s="510"/>
      <c r="CL56" s="510"/>
      <c r="CM56" s="510"/>
      <c r="CN56" s="510"/>
      <c r="CO56" s="510"/>
      <c r="CP56" s="510"/>
      <c r="CQ56" s="510"/>
      <c r="CR56" s="510"/>
      <c r="CS56" s="510"/>
      <c r="CT56" s="510"/>
      <c r="CU56" s="510"/>
      <c r="CV56" s="510"/>
    </row>
    <row r="57" spans="1:100" s="332" customFormat="1" outlineLevel="2" x14ac:dyDescent="0.2">
      <c r="A57" s="236"/>
      <c r="B57" s="236"/>
      <c r="C57" s="237"/>
      <c r="D57" s="238"/>
      <c r="E57" s="1097" t="s">
        <v>222</v>
      </c>
      <c r="F57" s="511"/>
      <c r="G57" s="511" t="s">
        <v>6</v>
      </c>
      <c r="H57" s="511"/>
      <c r="I57" s="511"/>
      <c r="J57" s="518">
        <v>44592</v>
      </c>
      <c r="K57" s="518">
        <v>44620</v>
      </c>
      <c r="L57" s="518">
        <v>44651</v>
      </c>
      <c r="M57" s="518">
        <v>44681</v>
      </c>
      <c r="N57" s="518">
        <v>44712</v>
      </c>
      <c r="O57" s="518">
        <v>44742</v>
      </c>
      <c r="P57" s="518">
        <v>44773</v>
      </c>
      <c r="Q57" s="518">
        <v>44804</v>
      </c>
      <c r="R57" s="518">
        <v>44834</v>
      </c>
      <c r="S57" s="518">
        <v>44865</v>
      </c>
      <c r="T57" s="518">
        <v>44895</v>
      </c>
      <c r="U57" s="518">
        <v>44926</v>
      </c>
      <c r="V57" s="518">
        <v>44957</v>
      </c>
      <c r="W57" s="518">
        <v>44985</v>
      </c>
      <c r="X57" s="518">
        <v>45016</v>
      </c>
      <c r="Y57" s="518">
        <v>45046</v>
      </c>
      <c r="Z57" s="518">
        <v>45077</v>
      </c>
      <c r="AA57" s="518">
        <v>45107</v>
      </c>
      <c r="AB57" s="518">
        <v>45138</v>
      </c>
      <c r="AC57" s="518">
        <v>45169</v>
      </c>
      <c r="AD57" s="518">
        <v>45199</v>
      </c>
      <c r="AE57" s="518">
        <v>45230</v>
      </c>
      <c r="AF57" s="518">
        <v>45260</v>
      </c>
      <c r="AG57" s="518">
        <v>45291</v>
      </c>
      <c r="AH57" s="518">
        <v>45322</v>
      </c>
      <c r="AI57" s="518">
        <v>45351</v>
      </c>
      <c r="AJ57" s="518">
        <v>45382</v>
      </c>
      <c r="AK57" s="518">
        <v>45412</v>
      </c>
      <c r="AL57" s="518">
        <v>45443</v>
      </c>
      <c r="AM57" s="518">
        <v>45473</v>
      </c>
      <c r="AN57" s="518">
        <v>45504</v>
      </c>
      <c r="AO57" s="518">
        <v>45535</v>
      </c>
      <c r="AP57" s="518">
        <v>45565</v>
      </c>
      <c r="AQ57" s="518">
        <v>45596</v>
      </c>
      <c r="AR57" s="518">
        <v>45626</v>
      </c>
      <c r="AS57" s="518">
        <v>45657</v>
      </c>
      <c r="AT57" s="518">
        <v>45688</v>
      </c>
      <c r="AU57" s="518">
        <v>45716</v>
      </c>
      <c r="AV57" s="518">
        <v>45747</v>
      </c>
      <c r="AW57" s="518">
        <v>45777</v>
      </c>
      <c r="AX57" s="518">
        <v>45808</v>
      </c>
      <c r="AY57" s="518">
        <v>45838</v>
      </c>
      <c r="AZ57" s="518">
        <v>45869</v>
      </c>
      <c r="BA57" s="518">
        <v>45900</v>
      </c>
      <c r="BB57" s="518">
        <v>45930</v>
      </c>
      <c r="BC57" s="518">
        <v>45961</v>
      </c>
      <c r="BD57" s="518">
        <v>45991</v>
      </c>
      <c r="BE57" s="518">
        <v>46022</v>
      </c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  <c r="CI57" s="518"/>
      <c r="CJ57" s="518"/>
      <c r="CK57" s="518"/>
      <c r="CL57" s="518"/>
      <c r="CM57" s="518"/>
      <c r="CN57" s="518"/>
      <c r="CO57" s="518"/>
      <c r="CP57" s="518"/>
      <c r="CQ57" s="518"/>
      <c r="CR57" s="518"/>
      <c r="CS57" s="518"/>
      <c r="CT57" s="518"/>
      <c r="CU57" s="518"/>
      <c r="CV57" s="518"/>
    </row>
    <row r="58" spans="1:100" s="332" customFormat="1" outlineLevel="2" x14ac:dyDescent="0.2">
      <c r="A58" s="236"/>
      <c r="B58" s="236"/>
      <c r="C58" s="237"/>
      <c r="D58" s="238"/>
      <c r="E58" s="510" t="s">
        <v>850</v>
      </c>
      <c r="F58" s="510"/>
      <c r="G58" s="510" t="s">
        <v>105</v>
      </c>
      <c r="H58" s="510">
        <f xml:space="preserve"> SUM(J58:CV58)</f>
        <v>348748.10907557519</v>
      </c>
      <c r="I58" s="510"/>
      <c r="J58" s="519">
        <v>0</v>
      </c>
      <c r="K58" s="519">
        <v>0</v>
      </c>
      <c r="L58" s="519">
        <v>0</v>
      </c>
      <c r="M58" s="519">
        <v>14943.424770244494</v>
      </c>
      <c r="N58" s="519">
        <v>11841.327808384644</v>
      </c>
      <c r="O58" s="519">
        <v>11870.259742712651</v>
      </c>
      <c r="P58" s="519">
        <v>11907.687320687248</v>
      </c>
      <c r="Q58" s="519">
        <v>11941.012306690816</v>
      </c>
      <c r="R58" s="519">
        <v>11966.998590891828</v>
      </c>
      <c r="S58" s="519">
        <v>12007.921531555499</v>
      </c>
      <c r="T58" s="519">
        <v>12031.934187437519</v>
      </c>
      <c r="U58" s="519">
        <v>12076.190635536972</v>
      </c>
      <c r="V58" s="519">
        <v>12110.976773522409</v>
      </c>
      <c r="W58" s="519">
        <v>12104.694875399815</v>
      </c>
      <c r="X58" s="519">
        <v>12180.731360946033</v>
      </c>
      <c r="Y58" s="519">
        <v>12199.330047588888</v>
      </c>
      <c r="Z58" s="519">
        <v>12250.959482205111</v>
      </c>
      <c r="AA58" s="519">
        <v>12266.975848549024</v>
      </c>
      <c r="AB58" s="519">
        <v>12321.584756958357</v>
      </c>
      <c r="AC58" s="519">
        <v>12357.077766346292</v>
      </c>
      <c r="AD58" s="519">
        <v>12369.192114605235</v>
      </c>
      <c r="AE58" s="519">
        <v>12428.303160347879</v>
      </c>
      <c r="AF58" s="519">
        <v>12437.798518130739</v>
      </c>
      <c r="AG58" s="519">
        <v>12499.931347612244</v>
      </c>
      <c r="AH58" s="519">
        <v>12535.938094264708</v>
      </c>
      <c r="AI58" s="519">
        <v>12505.623743976959</v>
      </c>
      <c r="AJ58" s="519">
        <v>12596.607093158804</v>
      </c>
      <c r="AK58" s="519">
        <v>12594.408171304991</v>
      </c>
      <c r="AL58" s="519">
        <v>12657.706600951156</v>
      </c>
      <c r="AM58" s="519">
        <v>27743.512425564993</v>
      </c>
      <c r="AN58" s="519">
        <v>0</v>
      </c>
      <c r="AO58" s="519">
        <v>0</v>
      </c>
      <c r="AP58" s="519">
        <v>0</v>
      </c>
      <c r="AQ58" s="519">
        <v>0</v>
      </c>
      <c r="AR58" s="519">
        <v>0</v>
      </c>
      <c r="AS58" s="519">
        <v>0</v>
      </c>
      <c r="AT58" s="519">
        <v>0</v>
      </c>
      <c r="AU58" s="519">
        <v>0</v>
      </c>
      <c r="AV58" s="519">
        <v>0</v>
      </c>
      <c r="AW58" s="519">
        <v>0</v>
      </c>
      <c r="AX58" s="519">
        <v>0</v>
      </c>
      <c r="AY58" s="519">
        <v>0</v>
      </c>
      <c r="AZ58" s="519">
        <v>0</v>
      </c>
      <c r="BA58" s="519">
        <v>0</v>
      </c>
      <c r="BB58" s="519">
        <v>0</v>
      </c>
      <c r="BC58" s="519">
        <v>0</v>
      </c>
      <c r="BD58" s="519">
        <v>0</v>
      </c>
      <c r="BE58" s="519">
        <v>0</v>
      </c>
      <c r="BF58" s="519"/>
      <c r="BG58" s="519"/>
      <c r="BH58" s="519"/>
      <c r="BI58" s="519"/>
      <c r="BJ58" s="519"/>
      <c r="BK58" s="519"/>
      <c r="BL58" s="519"/>
      <c r="BM58" s="519"/>
      <c r="BN58" s="519"/>
      <c r="BO58" s="519"/>
      <c r="BP58" s="519"/>
      <c r="BQ58" s="519"/>
      <c r="BR58" s="519"/>
      <c r="BS58" s="519"/>
      <c r="BT58" s="519"/>
      <c r="BU58" s="519"/>
      <c r="BV58" s="519"/>
      <c r="BW58" s="519"/>
      <c r="BX58" s="519"/>
      <c r="BY58" s="519"/>
      <c r="BZ58" s="519"/>
      <c r="CA58" s="519"/>
      <c r="CB58" s="519"/>
      <c r="CC58" s="519"/>
      <c r="CD58" s="519"/>
      <c r="CE58" s="519"/>
      <c r="CF58" s="519"/>
      <c r="CG58" s="519"/>
      <c r="CH58" s="519"/>
      <c r="CI58" s="519"/>
      <c r="CJ58" s="519"/>
      <c r="CK58" s="519"/>
      <c r="CL58" s="519"/>
      <c r="CM58" s="519"/>
      <c r="CN58" s="519"/>
      <c r="CO58" s="519"/>
      <c r="CP58" s="519"/>
      <c r="CQ58" s="519"/>
      <c r="CR58" s="519"/>
      <c r="CS58" s="519"/>
      <c r="CT58" s="519"/>
      <c r="CU58" s="519"/>
      <c r="CV58" s="519"/>
    </row>
    <row r="59" spans="1:100" s="332" customFormat="1" outlineLevel="1" x14ac:dyDescent="0.2">
      <c r="A59" s="236"/>
      <c r="B59" s="236"/>
      <c r="C59" s="237"/>
      <c r="D59" s="238"/>
      <c r="E59" s="510"/>
      <c r="F59" s="510"/>
      <c r="G59" s="510"/>
      <c r="H59" s="510"/>
      <c r="I59" s="281"/>
      <c r="J59" s="510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0"/>
      <c r="AA59" s="510"/>
      <c r="AB59" s="510"/>
      <c r="AC59" s="510"/>
      <c r="AD59" s="510"/>
      <c r="AE59" s="510"/>
      <c r="AF59" s="510"/>
      <c r="AG59" s="510"/>
      <c r="AH59" s="510"/>
      <c r="AI59" s="510"/>
      <c r="AJ59" s="510"/>
      <c r="AK59" s="510"/>
      <c r="AL59" s="510"/>
      <c r="AM59" s="510"/>
      <c r="AN59" s="510"/>
      <c r="AO59" s="510"/>
      <c r="AP59" s="510"/>
      <c r="AQ59" s="510"/>
      <c r="AR59" s="510"/>
      <c r="AS59" s="510"/>
      <c r="AT59" s="510"/>
      <c r="AU59" s="510"/>
      <c r="AV59" s="510"/>
      <c r="AW59" s="510"/>
      <c r="AX59" s="510"/>
      <c r="AY59" s="510"/>
      <c r="AZ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B59" s="510"/>
      <c r="CC59" s="510"/>
      <c r="CD59" s="510"/>
      <c r="CE59" s="510"/>
      <c r="CF59" s="510"/>
      <c r="CG59" s="510"/>
      <c r="CH59" s="510"/>
      <c r="CI59" s="510"/>
      <c r="CJ59" s="510"/>
      <c r="CK59" s="510"/>
      <c r="CL59" s="510"/>
      <c r="CM59" s="510"/>
      <c r="CN59" s="510"/>
      <c r="CO59" s="510"/>
      <c r="CP59" s="510"/>
      <c r="CQ59" s="510"/>
      <c r="CR59" s="510"/>
      <c r="CS59" s="510"/>
      <c r="CT59" s="510"/>
      <c r="CU59" s="510"/>
      <c r="CV59" s="510"/>
    </row>
    <row r="60" spans="1:100" s="332" customFormat="1" outlineLevel="1" x14ac:dyDescent="0.2">
      <c r="A60" s="236"/>
      <c r="B60" s="236" t="s">
        <v>1282</v>
      </c>
      <c r="C60" s="237"/>
      <c r="D60" s="238"/>
      <c r="E60" s="510"/>
      <c r="F60" s="510"/>
      <c r="G60" s="510"/>
      <c r="H60" s="510"/>
      <c r="I60" s="281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510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10"/>
      <c r="AV60" s="510"/>
      <c r="AW60" s="510"/>
      <c r="AX60" s="510"/>
      <c r="AY60" s="510"/>
      <c r="AZ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B60" s="510"/>
      <c r="CC60" s="510"/>
      <c r="CD60" s="510"/>
      <c r="CE60" s="510"/>
      <c r="CF60" s="510"/>
      <c r="CG60" s="510"/>
      <c r="CH60" s="510"/>
      <c r="CI60" s="510"/>
      <c r="CJ60" s="510"/>
      <c r="CK60" s="510"/>
      <c r="CL60" s="510"/>
      <c r="CM60" s="510"/>
      <c r="CN60" s="510"/>
      <c r="CO60" s="510"/>
      <c r="CP60" s="510"/>
      <c r="CQ60" s="510"/>
      <c r="CR60" s="510"/>
      <c r="CS60" s="510"/>
      <c r="CT60" s="510"/>
      <c r="CU60" s="510"/>
      <c r="CV60" s="510"/>
    </row>
    <row r="61" spans="1:100" s="332" customFormat="1" outlineLevel="2" x14ac:dyDescent="0.2">
      <c r="A61" s="236"/>
      <c r="B61" s="236"/>
      <c r="C61" s="237"/>
      <c r="D61" s="238"/>
      <c r="E61" s="1097" t="s">
        <v>11</v>
      </c>
      <c r="F61" s="511"/>
      <c r="G61" s="511" t="s">
        <v>6</v>
      </c>
      <c r="H61" s="511"/>
      <c r="I61" s="511"/>
      <c r="J61" s="518">
        <v>44742</v>
      </c>
      <c r="K61" s="518">
        <v>44926</v>
      </c>
      <c r="L61" s="518">
        <v>45107</v>
      </c>
      <c r="M61" s="518">
        <v>45291</v>
      </c>
      <c r="N61" s="518">
        <v>45473</v>
      </c>
      <c r="O61" s="518">
        <v>45657</v>
      </c>
      <c r="P61" s="518">
        <v>45838</v>
      </c>
      <c r="Q61" s="518">
        <v>46022</v>
      </c>
      <c r="R61" s="518">
        <v>46203</v>
      </c>
      <c r="S61" s="518">
        <v>46387</v>
      </c>
      <c r="T61" s="518">
        <v>46568</v>
      </c>
      <c r="U61" s="518">
        <v>46752</v>
      </c>
      <c r="V61" s="518">
        <v>46934</v>
      </c>
      <c r="W61" s="518">
        <v>47118</v>
      </c>
      <c r="X61" s="518">
        <v>47299</v>
      </c>
      <c r="Y61" s="518">
        <v>47483</v>
      </c>
      <c r="Z61" s="518">
        <v>47664</v>
      </c>
      <c r="AA61" s="518">
        <v>47848</v>
      </c>
      <c r="AB61" s="518">
        <v>48029</v>
      </c>
      <c r="AC61" s="518">
        <v>48213</v>
      </c>
      <c r="AD61" s="518">
        <v>48395</v>
      </c>
      <c r="AE61" s="518">
        <v>48579</v>
      </c>
      <c r="AF61" s="518">
        <v>48760</v>
      </c>
      <c r="AG61" s="518">
        <v>48944</v>
      </c>
      <c r="AH61" s="518">
        <v>49125</v>
      </c>
      <c r="AI61" s="518">
        <v>49309</v>
      </c>
      <c r="AJ61" s="518">
        <v>49490</v>
      </c>
      <c r="AK61" s="518">
        <v>49674</v>
      </c>
      <c r="AL61" s="518">
        <v>49856</v>
      </c>
      <c r="AM61" s="518">
        <v>50040</v>
      </c>
      <c r="AN61" s="518">
        <v>50221</v>
      </c>
      <c r="AO61" s="518">
        <v>50405</v>
      </c>
      <c r="AP61" s="518">
        <v>50586</v>
      </c>
      <c r="AQ61" s="518">
        <v>50770</v>
      </c>
      <c r="AR61" s="518">
        <v>50951</v>
      </c>
      <c r="AS61" s="518">
        <v>51135</v>
      </c>
      <c r="AT61" s="518">
        <v>51317</v>
      </c>
      <c r="AU61" s="518">
        <v>51501</v>
      </c>
      <c r="AV61" s="518">
        <v>51682</v>
      </c>
      <c r="AW61" s="518">
        <v>51866</v>
      </c>
      <c r="AX61" s="518">
        <v>52047</v>
      </c>
      <c r="AY61" s="518">
        <v>52231</v>
      </c>
      <c r="AZ61" s="518">
        <v>52412</v>
      </c>
      <c r="BA61" s="518">
        <v>52596</v>
      </c>
      <c r="BB61" s="518">
        <v>52778</v>
      </c>
      <c r="BC61" s="518">
        <v>52962</v>
      </c>
      <c r="BD61" s="518">
        <v>53143</v>
      </c>
      <c r="BE61" s="518">
        <v>53327</v>
      </c>
      <c r="BF61" s="518">
        <v>53508</v>
      </c>
      <c r="BG61" s="518">
        <v>53692</v>
      </c>
      <c r="BH61" s="518">
        <v>53873</v>
      </c>
      <c r="BI61" s="518">
        <v>54057</v>
      </c>
      <c r="BJ61" s="518">
        <v>54239</v>
      </c>
      <c r="BK61" s="518">
        <v>54423</v>
      </c>
      <c r="BL61" s="518">
        <v>54604</v>
      </c>
      <c r="BM61" s="518">
        <v>54788</v>
      </c>
      <c r="BN61" s="518">
        <v>54969</v>
      </c>
      <c r="BO61" s="518">
        <v>55153</v>
      </c>
      <c r="BP61" s="518">
        <v>55334</v>
      </c>
      <c r="BQ61" s="518">
        <v>55518</v>
      </c>
      <c r="BR61" s="518">
        <v>55700</v>
      </c>
      <c r="BS61" s="518">
        <v>55884</v>
      </c>
      <c r="BT61" s="518">
        <v>56065</v>
      </c>
      <c r="BU61" s="518">
        <v>56249</v>
      </c>
      <c r="BV61" s="518">
        <v>56430</v>
      </c>
      <c r="BW61" s="518">
        <v>56614</v>
      </c>
      <c r="BX61" s="518">
        <v>56795</v>
      </c>
      <c r="BY61" s="518">
        <v>56979</v>
      </c>
      <c r="BZ61" s="518">
        <v>57161</v>
      </c>
      <c r="CA61" s="518">
        <v>57345</v>
      </c>
      <c r="CB61" s="518">
        <v>57526</v>
      </c>
      <c r="CC61" s="518">
        <v>57710</v>
      </c>
      <c r="CD61" s="518">
        <v>57891</v>
      </c>
      <c r="CE61" s="518">
        <v>58075</v>
      </c>
      <c r="CF61" s="518">
        <v>58256</v>
      </c>
      <c r="CG61" s="518">
        <v>58440</v>
      </c>
      <c r="CH61" s="518">
        <v>58622</v>
      </c>
      <c r="CI61" s="518">
        <v>58806</v>
      </c>
      <c r="CJ61" s="518">
        <v>58987</v>
      </c>
      <c r="CK61" s="518">
        <v>59171</v>
      </c>
      <c r="CL61" s="518">
        <v>59352</v>
      </c>
      <c r="CM61" s="518">
        <v>59536</v>
      </c>
      <c r="CN61" s="518">
        <v>59717</v>
      </c>
      <c r="CO61" s="518">
        <v>59901</v>
      </c>
      <c r="CP61" s="518">
        <v>60083</v>
      </c>
      <c r="CQ61" s="518">
        <v>60267</v>
      </c>
      <c r="CR61" s="518">
        <v>60448</v>
      </c>
      <c r="CS61" s="518">
        <v>60632</v>
      </c>
      <c r="CT61" s="518">
        <v>60813</v>
      </c>
      <c r="CU61" s="518">
        <v>60997</v>
      </c>
      <c r="CV61" s="518">
        <v>61178</v>
      </c>
    </row>
    <row r="62" spans="1:100" s="332" customFormat="1" outlineLevel="2" x14ac:dyDescent="0.2">
      <c r="A62" s="236"/>
      <c r="B62" s="236"/>
      <c r="C62" s="237"/>
      <c r="D62" s="238"/>
      <c r="E62" s="510" t="s">
        <v>1135</v>
      </c>
      <c r="F62" s="510"/>
      <c r="G62" s="510" t="s">
        <v>105</v>
      </c>
      <c r="H62" s="510">
        <f xml:space="preserve"> SUM(J62:CV62)</f>
        <v>504058.61329100828</v>
      </c>
      <c r="I62" s="510"/>
      <c r="J62" s="519">
        <v>0</v>
      </c>
      <c r="K62" s="519">
        <v>0</v>
      </c>
      <c r="L62" s="519">
        <v>0</v>
      </c>
      <c r="M62" s="519">
        <v>0</v>
      </c>
      <c r="N62" s="519">
        <v>0</v>
      </c>
      <c r="O62" s="519">
        <v>17761.339051261231</v>
      </c>
      <c r="P62" s="519">
        <v>15707.408869543713</v>
      </c>
      <c r="Q62" s="519">
        <v>15745.355455198762</v>
      </c>
      <c r="R62" s="519">
        <v>15588.86878070137</v>
      </c>
      <c r="S62" s="519">
        <v>15624.695411756953</v>
      </c>
      <c r="T62" s="519">
        <v>15468.805938565087</v>
      </c>
      <c r="U62" s="519">
        <v>15502.47562264256</v>
      </c>
      <c r="V62" s="519">
        <v>15368.238074136316</v>
      </c>
      <c r="W62" s="519">
        <v>15357.612744053837</v>
      </c>
      <c r="X62" s="519">
        <v>15223.981632631901</v>
      </c>
      <c r="Y62" s="519">
        <v>15253.223403448927</v>
      </c>
      <c r="Z62" s="519">
        <v>15099.153350721625</v>
      </c>
      <c r="AA62" s="519">
        <v>15126.122595839483</v>
      </c>
      <c r="AB62" s="519">
        <v>14972.66865286477</v>
      </c>
      <c r="AC62" s="519">
        <v>14997.32526045297</v>
      </c>
      <c r="AD62" s="519">
        <v>14864.853096203591</v>
      </c>
      <c r="AE62" s="519">
        <v>14846.4348082951</v>
      </c>
      <c r="AF62" s="519">
        <v>14714.588880910831</v>
      </c>
      <c r="AG62" s="519">
        <v>14734.496583704258</v>
      </c>
      <c r="AH62" s="519">
        <v>14582.921469491826</v>
      </c>
      <c r="AI62" s="519">
        <v>14600.391216386319</v>
      </c>
      <c r="AJ62" s="519">
        <v>14449.452938865834</v>
      </c>
      <c r="AK62" s="519">
        <v>14464.441240093791</v>
      </c>
      <c r="AL62" s="519">
        <v>14333.778523071309</v>
      </c>
      <c r="AM62" s="519">
        <v>14306.974520093056</v>
      </c>
      <c r="AN62" s="519">
        <v>14176.95973131818</v>
      </c>
      <c r="AO62" s="519">
        <v>14186.851104684778</v>
      </c>
      <c r="AP62" s="519">
        <v>14037.856739774033</v>
      </c>
      <c r="AQ62" s="519">
        <v>14045.13080237856</v>
      </c>
      <c r="AR62" s="519">
        <v>13896.79596878912</v>
      </c>
      <c r="AS62" s="519">
        <v>13901.405573004551</v>
      </c>
      <c r="AT62" s="519">
        <v>13772.600855811652</v>
      </c>
      <c r="AU62" s="519">
        <v>13736.768722498127</v>
      </c>
      <c r="AV62" s="519">
        <v>13608.635671813663</v>
      </c>
      <c r="AW62" s="519">
        <v>1.2843403258085837E-136</v>
      </c>
      <c r="AX62" s="519">
        <v>1.3408133298847154E-136</v>
      </c>
      <c r="AY62" s="519">
        <v>1.2680755671123293E-136</v>
      </c>
      <c r="AZ62" s="519">
        <v>1.3250161731822E-136</v>
      </c>
      <c r="BA62" s="519">
        <v>0</v>
      </c>
      <c r="BB62" s="519">
        <v>0</v>
      </c>
      <c r="BC62" s="519">
        <v>0</v>
      </c>
      <c r="BD62" s="519">
        <v>0</v>
      </c>
      <c r="BE62" s="519">
        <v>0</v>
      </c>
      <c r="BF62" s="519">
        <v>0</v>
      </c>
      <c r="BG62" s="519">
        <v>0</v>
      </c>
      <c r="BH62" s="519">
        <v>0</v>
      </c>
      <c r="BI62" s="519">
        <v>0</v>
      </c>
      <c r="BJ62" s="519">
        <v>0</v>
      </c>
      <c r="BK62" s="519">
        <v>0</v>
      </c>
      <c r="BL62" s="519">
        <v>0</v>
      </c>
      <c r="BM62" s="519">
        <v>0</v>
      </c>
      <c r="BN62" s="519">
        <v>0</v>
      </c>
      <c r="BO62" s="519">
        <v>0</v>
      </c>
      <c r="BP62" s="519">
        <v>0</v>
      </c>
      <c r="BQ62" s="519">
        <v>0</v>
      </c>
      <c r="BR62" s="519">
        <v>0</v>
      </c>
      <c r="BS62" s="519">
        <v>0</v>
      </c>
      <c r="BT62" s="519">
        <v>0</v>
      </c>
      <c r="BU62" s="519">
        <v>0</v>
      </c>
      <c r="BV62" s="519">
        <v>0</v>
      </c>
      <c r="BW62" s="519">
        <v>0</v>
      </c>
      <c r="BX62" s="519">
        <v>0</v>
      </c>
      <c r="BY62" s="519">
        <v>0</v>
      </c>
      <c r="BZ62" s="519">
        <v>0</v>
      </c>
      <c r="CA62" s="519">
        <v>0</v>
      </c>
      <c r="CB62" s="519">
        <v>0</v>
      </c>
      <c r="CC62" s="519">
        <v>0</v>
      </c>
      <c r="CD62" s="519">
        <v>0</v>
      </c>
      <c r="CE62" s="519">
        <v>0</v>
      </c>
      <c r="CF62" s="519">
        <v>0</v>
      </c>
      <c r="CG62" s="519">
        <v>0</v>
      </c>
      <c r="CH62" s="519">
        <v>0</v>
      </c>
      <c r="CI62" s="519">
        <v>0</v>
      </c>
      <c r="CJ62" s="519">
        <v>0</v>
      </c>
      <c r="CK62" s="519">
        <v>0</v>
      </c>
      <c r="CL62" s="519">
        <v>0</v>
      </c>
      <c r="CM62" s="519">
        <v>0</v>
      </c>
      <c r="CN62" s="519">
        <v>0</v>
      </c>
      <c r="CO62" s="519">
        <v>0</v>
      </c>
      <c r="CP62" s="519">
        <v>0</v>
      </c>
      <c r="CQ62" s="519">
        <v>0</v>
      </c>
      <c r="CR62" s="519">
        <v>0</v>
      </c>
      <c r="CS62" s="519">
        <v>0</v>
      </c>
      <c r="CT62" s="519">
        <v>0</v>
      </c>
      <c r="CU62" s="519">
        <v>0</v>
      </c>
      <c r="CV62" s="519">
        <v>0</v>
      </c>
    </row>
    <row r="63" spans="1:100" s="332" customFormat="1" outlineLevel="2" x14ac:dyDescent="0.2">
      <c r="A63" s="236"/>
      <c r="B63" s="236"/>
      <c r="C63" s="237"/>
      <c r="D63" s="238"/>
      <c r="E63" s="617" t="s">
        <v>1136</v>
      </c>
      <c r="F63" s="617"/>
      <c r="G63" s="617" t="s">
        <v>103</v>
      </c>
      <c r="H63" s="617">
        <f xml:space="preserve"> SUM(J63:CV63)</f>
        <v>1.0000002033750179</v>
      </c>
      <c r="I63" s="617"/>
      <c r="J63" s="619">
        <v>0</v>
      </c>
      <c r="K63" s="619">
        <v>0</v>
      </c>
      <c r="L63" s="619">
        <v>0</v>
      </c>
      <c r="M63" s="619">
        <v>0</v>
      </c>
      <c r="N63" s="619">
        <v>0</v>
      </c>
      <c r="O63" s="619">
        <v>2.3064484542946101E-2</v>
      </c>
      <c r="P63" s="619">
        <v>1.9052165112778029E-2</v>
      </c>
      <c r="Q63" s="619">
        <v>1.9281475906112996E-2</v>
      </c>
      <c r="R63" s="619">
        <v>1.9638893395302046E-2</v>
      </c>
      <c r="S63" s="619">
        <v>1.9891038522920877E-2</v>
      </c>
      <c r="T63" s="619">
        <v>2.0249060581832744E-2</v>
      </c>
      <c r="U63" s="619">
        <v>2.0524939155266313E-2</v>
      </c>
      <c r="V63" s="619">
        <v>2.0848855315500105E-2</v>
      </c>
      <c r="W63" s="619">
        <v>2.1133819545010223E-2</v>
      </c>
      <c r="X63" s="619">
        <v>2.1541843064013463E-2</v>
      </c>
      <c r="Y63" s="619">
        <v>2.1233403451487554E-2</v>
      </c>
      <c r="Z63" s="619">
        <v>2.1611233482992622E-2</v>
      </c>
      <c r="AA63" s="619">
        <v>2.1961714133914869E-2</v>
      </c>
      <c r="AB63" s="619">
        <v>2.2341424888137448E-2</v>
      </c>
      <c r="AC63" s="619">
        <v>2.2721015273114775E-2</v>
      </c>
      <c r="AD63" s="619">
        <v>2.3085144913694001E-2</v>
      </c>
      <c r="AE63" s="619">
        <v>2.3464314045988637E-2</v>
      </c>
      <c r="AF63" s="619">
        <v>2.3895154255339293E-2</v>
      </c>
      <c r="AG63" s="619">
        <v>2.43366588543871E-2</v>
      </c>
      <c r="AH63" s="619">
        <v>2.4723072892368594E-2</v>
      </c>
      <c r="AI63" s="619">
        <v>2.4716766266870669E-2</v>
      </c>
      <c r="AJ63" s="619">
        <v>2.5134449909969905E-2</v>
      </c>
      <c r="AK63" s="619">
        <v>2.5658221907127406E-2</v>
      </c>
      <c r="AL63" s="619">
        <v>2.608429320630775E-2</v>
      </c>
      <c r="AM63" s="619">
        <v>2.6596848454685133E-2</v>
      </c>
      <c r="AN63" s="619">
        <v>2.7068719728314265E-2</v>
      </c>
      <c r="AO63" s="619">
        <v>2.7672142468372483E-2</v>
      </c>
      <c r="AP63" s="619">
        <v>2.8103918266281155E-2</v>
      </c>
      <c r="AQ63" s="619">
        <v>2.874996661088032E-2</v>
      </c>
      <c r="AR63" s="619">
        <v>2.9187114890294977E-2</v>
      </c>
      <c r="AS63" s="619">
        <v>7.2343590337416927E-2</v>
      </c>
      <c r="AT63" s="619">
        <v>7.3366857339355163E-2</v>
      </c>
      <c r="AU63" s="619">
        <v>7.4830099363004193E-2</v>
      </c>
      <c r="AV63" s="619">
        <v>7.5887503293029776E-2</v>
      </c>
      <c r="AW63" s="619">
        <v>0</v>
      </c>
      <c r="AX63" s="619">
        <v>0</v>
      </c>
      <c r="AY63" s="619">
        <v>0</v>
      </c>
      <c r="AZ63" s="619">
        <v>0</v>
      </c>
      <c r="BA63" s="619">
        <v>0</v>
      </c>
      <c r="BB63" s="619">
        <v>0</v>
      </c>
      <c r="BC63" s="619">
        <v>0</v>
      </c>
      <c r="BD63" s="619">
        <v>0</v>
      </c>
      <c r="BE63" s="619">
        <v>0</v>
      </c>
      <c r="BF63" s="619">
        <v>0</v>
      </c>
      <c r="BG63" s="619">
        <v>0</v>
      </c>
      <c r="BH63" s="619">
        <v>0</v>
      </c>
      <c r="BI63" s="619">
        <v>0</v>
      </c>
      <c r="BJ63" s="619">
        <v>0</v>
      </c>
      <c r="BK63" s="619">
        <v>0</v>
      </c>
      <c r="BL63" s="619">
        <v>0</v>
      </c>
      <c r="BM63" s="619">
        <v>0</v>
      </c>
      <c r="BN63" s="619">
        <v>0</v>
      </c>
      <c r="BO63" s="619">
        <v>0</v>
      </c>
      <c r="BP63" s="619">
        <v>0</v>
      </c>
      <c r="BQ63" s="619">
        <v>0</v>
      </c>
      <c r="BR63" s="619">
        <v>0</v>
      </c>
      <c r="BS63" s="619">
        <v>0</v>
      </c>
      <c r="BT63" s="619">
        <v>0</v>
      </c>
      <c r="BU63" s="619">
        <v>0</v>
      </c>
      <c r="BV63" s="619">
        <v>0</v>
      </c>
      <c r="BW63" s="619">
        <v>0</v>
      </c>
      <c r="BX63" s="619">
        <v>0</v>
      </c>
      <c r="BY63" s="619">
        <v>0</v>
      </c>
      <c r="BZ63" s="619">
        <v>0</v>
      </c>
      <c r="CA63" s="619">
        <v>0</v>
      </c>
      <c r="CB63" s="619">
        <v>0</v>
      </c>
      <c r="CC63" s="619">
        <v>0</v>
      </c>
      <c r="CD63" s="619">
        <v>0</v>
      </c>
      <c r="CE63" s="619">
        <v>0</v>
      </c>
      <c r="CF63" s="619">
        <v>0</v>
      </c>
      <c r="CG63" s="619">
        <v>0</v>
      </c>
      <c r="CH63" s="619">
        <v>0</v>
      </c>
      <c r="CI63" s="619">
        <v>0</v>
      </c>
      <c r="CJ63" s="619">
        <v>0</v>
      </c>
      <c r="CK63" s="619">
        <v>0</v>
      </c>
      <c r="CL63" s="619">
        <v>0</v>
      </c>
      <c r="CM63" s="619">
        <v>0</v>
      </c>
      <c r="CN63" s="619">
        <v>0</v>
      </c>
      <c r="CO63" s="619">
        <v>0</v>
      </c>
      <c r="CP63" s="619">
        <v>0</v>
      </c>
      <c r="CQ63" s="619">
        <v>0</v>
      </c>
      <c r="CR63" s="619">
        <v>0</v>
      </c>
      <c r="CS63" s="619">
        <v>0</v>
      </c>
      <c r="CT63" s="619">
        <v>0</v>
      </c>
      <c r="CU63" s="619">
        <v>0</v>
      </c>
      <c r="CV63" s="619">
        <v>0</v>
      </c>
    </row>
    <row r="64" spans="1:100" s="332" customFormat="1" outlineLevel="2" x14ac:dyDescent="0.2">
      <c r="A64" s="236"/>
      <c r="B64" s="236"/>
      <c r="C64" s="237"/>
      <c r="D64" s="238"/>
      <c r="E64" s="617" t="s">
        <v>1137</v>
      </c>
      <c r="F64" s="617"/>
      <c r="G64" s="617" t="s">
        <v>103</v>
      </c>
      <c r="H64" s="617">
        <f xml:space="preserve"> SUM(J64:CV64)</f>
        <v>0.99999998275884616</v>
      </c>
      <c r="I64" s="617"/>
      <c r="J64" s="619">
        <v>0</v>
      </c>
      <c r="K64" s="619">
        <v>0</v>
      </c>
      <c r="L64" s="619">
        <v>0</v>
      </c>
      <c r="M64" s="619">
        <v>0</v>
      </c>
      <c r="N64" s="619">
        <v>0</v>
      </c>
      <c r="O64" s="619">
        <v>3.2781974166484651E-2</v>
      </c>
      <c r="P64" s="619">
        <v>2.7079191099187317E-2</v>
      </c>
      <c r="Q64" s="619">
        <v>2.7405114728185215E-2</v>
      </c>
      <c r="R64" s="619">
        <v>2.7913118749494623E-2</v>
      </c>
      <c r="S64" s="619">
        <v>2.827149723588197E-2</v>
      </c>
      <c r="T64" s="619">
        <v>2.8780360543207428E-2</v>
      </c>
      <c r="U64" s="619">
        <v>2.9172471810664818E-2</v>
      </c>
      <c r="V64" s="619">
        <v>2.9632859779757267E-2</v>
      </c>
      <c r="W64" s="619">
        <v>3.0037884656544722E-2</v>
      </c>
      <c r="X64" s="619">
        <v>3.0617815954570332E-2</v>
      </c>
      <c r="Y64" s="619">
        <v>3.0179425086093833E-2</v>
      </c>
      <c r="Z64" s="619">
        <v>3.0716441827528418E-2</v>
      </c>
      <c r="AA64" s="619">
        <v>3.121458639360326E-2</v>
      </c>
      <c r="AB64" s="619">
        <v>3.1754276240670232E-2</v>
      </c>
      <c r="AC64" s="619">
        <v>3.2293795004725082E-2</v>
      </c>
      <c r="AD64" s="619">
        <v>3.2811339129697532E-2</v>
      </c>
      <c r="AE64" s="619">
        <v>3.3350259159601804E-2</v>
      </c>
      <c r="AF64" s="619">
        <v>3.3962620237366951E-2</v>
      </c>
      <c r="AG64" s="619">
        <v>3.459013880746202E-2</v>
      </c>
      <c r="AH64" s="619">
        <v>3.5139356154465361E-2</v>
      </c>
      <c r="AI64" s="619">
        <v>3.5130392432177714E-2</v>
      </c>
      <c r="AJ64" s="619">
        <v>3.572405384144732E-2</v>
      </c>
      <c r="AK64" s="619">
        <v>3.6468500570702167E-2</v>
      </c>
      <c r="AL64" s="619">
        <v>3.7074083509128698E-2</v>
      </c>
      <c r="AM64" s="619">
        <v>3.7802587667975909E-2</v>
      </c>
      <c r="AN64" s="619">
        <v>3.8473266948634156E-2</v>
      </c>
      <c r="AO64" s="619">
        <v>3.9330922737092169E-2</v>
      </c>
      <c r="AP64" s="619">
        <v>3.9944613584004432E-2</v>
      </c>
      <c r="AQ64" s="619">
        <v>4.0862853924624874E-2</v>
      </c>
      <c r="AR64" s="619">
        <v>4.1484180777865885E-2</v>
      </c>
      <c r="AS64" s="619">
        <v>0</v>
      </c>
      <c r="AT64" s="619">
        <v>0</v>
      </c>
      <c r="AU64" s="619">
        <v>0</v>
      </c>
      <c r="AV64" s="619">
        <v>0</v>
      </c>
      <c r="AW64" s="619">
        <v>0</v>
      </c>
      <c r="AX64" s="619">
        <v>0</v>
      </c>
      <c r="AY64" s="619">
        <v>0</v>
      </c>
      <c r="AZ64" s="619">
        <v>0</v>
      </c>
      <c r="BA64" s="619">
        <v>0</v>
      </c>
      <c r="BB64" s="619">
        <v>0</v>
      </c>
      <c r="BC64" s="619">
        <v>0</v>
      </c>
      <c r="BD64" s="619">
        <v>0</v>
      </c>
      <c r="BE64" s="619">
        <v>0</v>
      </c>
      <c r="BF64" s="619">
        <v>0</v>
      </c>
      <c r="BG64" s="619">
        <v>0</v>
      </c>
      <c r="BH64" s="619">
        <v>0</v>
      </c>
      <c r="BI64" s="619">
        <v>0</v>
      </c>
      <c r="BJ64" s="619">
        <v>0</v>
      </c>
      <c r="BK64" s="619">
        <v>0</v>
      </c>
      <c r="BL64" s="619">
        <v>0</v>
      </c>
      <c r="BM64" s="619">
        <v>0</v>
      </c>
      <c r="BN64" s="619">
        <v>0</v>
      </c>
      <c r="BO64" s="619">
        <v>0</v>
      </c>
      <c r="BP64" s="619">
        <v>0</v>
      </c>
      <c r="BQ64" s="619">
        <v>0</v>
      </c>
      <c r="BR64" s="619">
        <v>0</v>
      </c>
      <c r="BS64" s="619">
        <v>0</v>
      </c>
      <c r="BT64" s="619">
        <v>0</v>
      </c>
      <c r="BU64" s="619">
        <v>0</v>
      </c>
      <c r="BV64" s="619">
        <v>0</v>
      </c>
      <c r="BW64" s="619">
        <v>0</v>
      </c>
      <c r="BX64" s="619">
        <v>0</v>
      </c>
      <c r="BY64" s="619">
        <v>0</v>
      </c>
      <c r="BZ64" s="619">
        <v>0</v>
      </c>
      <c r="CA64" s="619">
        <v>0</v>
      </c>
      <c r="CB64" s="619">
        <v>0</v>
      </c>
      <c r="CC64" s="619">
        <v>0</v>
      </c>
      <c r="CD64" s="619">
        <v>0</v>
      </c>
      <c r="CE64" s="619">
        <v>0</v>
      </c>
      <c r="CF64" s="619">
        <v>0</v>
      </c>
      <c r="CG64" s="619">
        <v>0</v>
      </c>
      <c r="CH64" s="619">
        <v>0</v>
      </c>
      <c r="CI64" s="619">
        <v>0</v>
      </c>
      <c r="CJ64" s="619">
        <v>0</v>
      </c>
      <c r="CK64" s="619">
        <v>0</v>
      </c>
      <c r="CL64" s="619">
        <v>0</v>
      </c>
      <c r="CM64" s="619">
        <v>0</v>
      </c>
      <c r="CN64" s="619">
        <v>0</v>
      </c>
      <c r="CO64" s="619">
        <v>0</v>
      </c>
      <c r="CP64" s="619">
        <v>0</v>
      </c>
      <c r="CQ64" s="619">
        <v>0</v>
      </c>
      <c r="CR64" s="619">
        <v>0</v>
      </c>
      <c r="CS64" s="619">
        <v>0</v>
      </c>
      <c r="CT64" s="619">
        <v>0</v>
      </c>
      <c r="CU64" s="619">
        <v>0</v>
      </c>
      <c r="CV64" s="619">
        <v>0</v>
      </c>
    </row>
    <row r="65" spans="1:100" s="517" customFormat="1" outlineLevel="2" x14ac:dyDescent="0.2">
      <c r="A65" s="512"/>
      <c r="B65" s="512"/>
      <c r="C65" s="513"/>
      <c r="D65" s="514"/>
      <c r="E65" s="515"/>
      <c r="F65" s="515"/>
      <c r="G65" s="515"/>
      <c r="H65" s="515"/>
      <c r="I65" s="516"/>
      <c r="J65" s="515"/>
      <c r="K65" s="515"/>
      <c r="L65" s="515"/>
      <c r="M65" s="515"/>
      <c r="N65" s="515"/>
      <c r="O65" s="515"/>
      <c r="P65" s="515"/>
      <c r="Q65" s="515"/>
      <c r="R65" s="515"/>
      <c r="S65" s="515"/>
      <c r="T65" s="515"/>
      <c r="U65" s="515"/>
      <c r="V65" s="515"/>
      <c r="W65" s="515"/>
      <c r="X65" s="515"/>
      <c r="Y65" s="515"/>
      <c r="Z65" s="515"/>
      <c r="AA65" s="515"/>
      <c r="AB65" s="515"/>
      <c r="AC65" s="515"/>
      <c r="AD65" s="515"/>
      <c r="AE65" s="515"/>
      <c r="AF65" s="515"/>
      <c r="AG65" s="515"/>
      <c r="AH65" s="515"/>
      <c r="AI65" s="515"/>
      <c r="AJ65" s="515"/>
      <c r="AK65" s="515"/>
      <c r="AL65" s="515"/>
      <c r="AM65" s="515"/>
      <c r="AN65" s="515"/>
      <c r="AO65" s="515"/>
      <c r="AP65" s="515"/>
      <c r="AQ65" s="515"/>
      <c r="AR65" s="515"/>
      <c r="AS65" s="515"/>
      <c r="AT65" s="515"/>
      <c r="AU65" s="515"/>
      <c r="AV65" s="515"/>
      <c r="AW65" s="515"/>
      <c r="AX65" s="515"/>
      <c r="AY65" s="515"/>
      <c r="AZ65" s="515"/>
      <c r="BA65" s="515"/>
      <c r="BB65" s="515"/>
      <c r="BC65" s="515"/>
      <c r="BD65" s="515"/>
      <c r="BE65" s="515"/>
      <c r="BF65" s="515"/>
      <c r="BG65" s="515"/>
      <c r="BH65" s="515"/>
      <c r="BI65" s="515"/>
      <c r="BJ65" s="515"/>
      <c r="BK65" s="515"/>
      <c r="BL65" s="515"/>
      <c r="BM65" s="515"/>
      <c r="BN65" s="515"/>
      <c r="BO65" s="515"/>
      <c r="BP65" s="515"/>
      <c r="BQ65" s="515"/>
      <c r="BR65" s="515"/>
      <c r="BS65" s="515"/>
      <c r="BT65" s="515"/>
      <c r="BU65" s="515"/>
      <c r="BV65" s="515"/>
      <c r="BW65" s="515"/>
      <c r="BX65" s="515"/>
      <c r="BY65" s="515"/>
      <c r="BZ65" s="515"/>
      <c r="CA65" s="515"/>
      <c r="CB65" s="515"/>
      <c r="CC65" s="515"/>
      <c r="CD65" s="515"/>
      <c r="CE65" s="515"/>
      <c r="CF65" s="515"/>
      <c r="CG65" s="515"/>
      <c r="CH65" s="515"/>
      <c r="CI65" s="515"/>
      <c r="CJ65" s="515"/>
      <c r="CK65" s="515"/>
      <c r="CL65" s="515"/>
      <c r="CM65" s="515"/>
      <c r="CN65" s="515"/>
      <c r="CO65" s="515"/>
      <c r="CP65" s="515"/>
      <c r="CQ65" s="515"/>
      <c r="CR65" s="515"/>
      <c r="CS65" s="515"/>
      <c r="CT65" s="515"/>
      <c r="CU65" s="515"/>
      <c r="CV65" s="515"/>
    </row>
    <row r="66" spans="1:100" outlineLevel="2" x14ac:dyDescent="0.2"/>
    <row r="67" spans="1:100" x14ac:dyDescent="0.2">
      <c r="S67" s="32"/>
    </row>
    <row r="68" spans="1:100" x14ac:dyDescent="0.2">
      <c r="A68" s="15" t="s">
        <v>287</v>
      </c>
      <c r="S68" s="32"/>
    </row>
    <row r="69" spans="1:100" outlineLevel="1" x14ac:dyDescent="0.2"/>
    <row r="70" spans="1:100" outlineLevel="1" x14ac:dyDescent="0.2">
      <c r="E70" s="606" t="str">
        <f xml:space="preserve"> InpC!E$411</f>
        <v>Tariff check precision adjustment</v>
      </c>
      <c r="F70" s="606">
        <f xml:space="preserve"> InpC!F$411</f>
        <v>1E-4</v>
      </c>
      <c r="G70" s="606" t="str">
        <f xml:space="preserve"> InpC!G$411</f>
        <v>factor</v>
      </c>
    </row>
    <row r="71" spans="1:100" s="502" customFormat="1" outlineLevel="1" x14ac:dyDescent="0.2">
      <c r="A71" s="216"/>
      <c r="B71" s="216"/>
      <c r="C71" s="217"/>
      <c r="D71" s="218"/>
      <c r="E71" s="507"/>
      <c r="F71" s="219"/>
      <c r="G71" s="219"/>
      <c r="H71" s="219"/>
      <c r="I71" s="220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  <c r="BR71" s="219"/>
      <c r="BS71" s="219"/>
      <c r="BT71" s="219"/>
      <c r="BU71" s="219"/>
      <c r="BV71" s="219"/>
      <c r="BW71" s="219"/>
      <c r="BX71" s="219"/>
      <c r="BY71" s="219"/>
      <c r="BZ71" s="219"/>
      <c r="CA71" s="219"/>
      <c r="CB71" s="219"/>
      <c r="CC71" s="219"/>
      <c r="CD71" s="219"/>
      <c r="CE71" s="219"/>
      <c r="CF71" s="219"/>
      <c r="CG71" s="219"/>
      <c r="CH71" s="219"/>
      <c r="CI71" s="219"/>
      <c r="CJ71" s="219"/>
      <c r="CK71" s="219"/>
      <c r="CL71" s="219"/>
      <c r="CM71" s="219"/>
      <c r="CN71" s="219"/>
      <c r="CO71" s="219"/>
      <c r="CP71" s="219"/>
      <c r="CQ71" s="219"/>
      <c r="CR71" s="219"/>
      <c r="CS71" s="219"/>
      <c r="CT71" s="219"/>
      <c r="CU71" s="219"/>
      <c r="CV71" s="219"/>
    </row>
    <row r="72" spans="1:100" s="498" customFormat="1" outlineLevel="1" x14ac:dyDescent="0.2">
      <c r="A72" s="15"/>
      <c r="B72" s="15"/>
      <c r="C72" s="21"/>
      <c r="D72" s="48"/>
      <c r="E72" s="510" t="s">
        <v>326</v>
      </c>
      <c r="F72" s="443">
        <f xml:space="preserve"> IF(J72 &gt; CHK_TOL* F70, 1, 0)</f>
        <v>0</v>
      </c>
      <c r="G72" s="214" t="s">
        <v>20</v>
      </c>
      <c r="H72" s="214"/>
      <c r="I72" s="38"/>
      <c r="J72" s="279">
        <f xml:space="preserve"> ABS(J25 - J48)</f>
        <v>1.161323233134226E-7</v>
      </c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</row>
    <row r="73" spans="1:100" s="751" customFormat="1" outlineLevel="1" x14ac:dyDescent="0.2">
      <c r="A73" s="522"/>
      <c r="B73" s="522"/>
      <c r="C73" s="523"/>
      <c r="D73" s="524"/>
      <c r="E73" s="715" t="s">
        <v>554</v>
      </c>
      <c r="F73" s="360">
        <f xml:space="preserve"> IF(J73 &gt; CHK_TOL, 1, 0)</f>
        <v>0</v>
      </c>
      <c r="G73" s="706" t="s">
        <v>20</v>
      </c>
      <c r="H73" s="706"/>
      <c r="I73" s="663"/>
      <c r="J73" s="500">
        <f xml:space="preserve"> ABS(Solve!J26 - Solve!J49)</f>
        <v>5.0783798942575231E-3</v>
      </c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H73" s="706"/>
      <c r="AI73" s="706"/>
      <c r="AJ73" s="706"/>
      <c r="AK73" s="706"/>
      <c r="AL73" s="706"/>
      <c r="AM73" s="706"/>
      <c r="AN73" s="706"/>
      <c r="AO73" s="706"/>
      <c r="AP73" s="706"/>
      <c r="AQ73" s="706"/>
      <c r="AR73" s="706"/>
      <c r="AS73" s="706"/>
      <c r="AT73" s="706"/>
      <c r="AU73" s="706"/>
      <c r="AV73" s="706"/>
      <c r="AW73" s="706"/>
      <c r="AX73" s="706"/>
      <c r="AY73" s="706"/>
      <c r="AZ73" s="706"/>
      <c r="BA73" s="706"/>
      <c r="BB73" s="706"/>
      <c r="BC73" s="706"/>
      <c r="BD73" s="706"/>
      <c r="BE73" s="706"/>
      <c r="BF73" s="706"/>
      <c r="BG73" s="706"/>
      <c r="BH73" s="706"/>
      <c r="BI73" s="706"/>
      <c r="BJ73" s="706"/>
      <c r="BK73" s="706"/>
      <c r="BL73" s="706"/>
      <c r="BM73" s="706"/>
      <c r="BN73" s="706"/>
      <c r="BO73" s="706"/>
      <c r="BP73" s="706"/>
      <c r="BQ73" s="706"/>
      <c r="BR73" s="706"/>
      <c r="BS73" s="706"/>
      <c r="BT73" s="706"/>
      <c r="BU73" s="706"/>
      <c r="BV73" s="706"/>
      <c r="BW73" s="706"/>
      <c r="BX73" s="706"/>
      <c r="BY73" s="706"/>
      <c r="BZ73" s="706"/>
      <c r="CA73" s="706"/>
      <c r="CB73" s="706"/>
      <c r="CC73" s="706"/>
      <c r="CD73" s="706"/>
      <c r="CE73" s="706"/>
      <c r="CF73" s="706"/>
      <c r="CG73" s="706"/>
      <c r="CH73" s="706"/>
      <c r="CI73" s="706"/>
      <c r="CJ73" s="706"/>
      <c r="CK73" s="706"/>
      <c r="CL73" s="706"/>
      <c r="CM73" s="706"/>
      <c r="CN73" s="706"/>
      <c r="CO73" s="706"/>
      <c r="CP73" s="706"/>
      <c r="CQ73" s="706"/>
      <c r="CR73" s="706"/>
      <c r="CS73" s="706"/>
      <c r="CT73" s="706"/>
      <c r="CU73" s="706"/>
      <c r="CV73" s="706"/>
    </row>
    <row r="74" spans="1:100" s="751" customFormat="1" outlineLevel="1" x14ac:dyDescent="0.2">
      <c r="A74" s="522"/>
      <c r="B74" s="522"/>
      <c r="C74" s="523"/>
      <c r="D74" s="524"/>
      <c r="E74" s="715" t="s">
        <v>555</v>
      </c>
      <c r="F74" s="360">
        <f xml:space="preserve"> IF(J74 &gt; CHK_TOL, 1, 0)</f>
        <v>0</v>
      </c>
      <c r="G74" s="706" t="s">
        <v>20</v>
      </c>
      <c r="H74" s="706"/>
      <c r="I74" s="663"/>
      <c r="J74" s="500">
        <f xml:space="preserve"> ABS(Solve!J27 - Solve!J50)</f>
        <v>0</v>
      </c>
      <c r="K74" s="706"/>
      <c r="L74" s="706"/>
      <c r="M74" s="706"/>
      <c r="N74" s="706"/>
      <c r="O74" s="706"/>
      <c r="P74" s="706"/>
      <c r="Q74" s="706"/>
      <c r="R74" s="706"/>
      <c r="S74" s="706"/>
      <c r="T74" s="706"/>
      <c r="U74" s="706"/>
      <c r="V74" s="706"/>
      <c r="W74" s="706"/>
      <c r="X74" s="706"/>
      <c r="Y74" s="706"/>
      <c r="Z74" s="706"/>
      <c r="AA74" s="706"/>
      <c r="AB74" s="706"/>
      <c r="AC74" s="706"/>
      <c r="AD74" s="706"/>
      <c r="AE74" s="706"/>
      <c r="AF74" s="706"/>
      <c r="AG74" s="706"/>
      <c r="AH74" s="706"/>
      <c r="AI74" s="706"/>
      <c r="AJ74" s="706"/>
      <c r="AK74" s="706"/>
      <c r="AL74" s="706"/>
      <c r="AM74" s="706"/>
      <c r="AN74" s="706"/>
      <c r="AO74" s="706"/>
      <c r="AP74" s="706"/>
      <c r="AQ74" s="706"/>
      <c r="AR74" s="706"/>
      <c r="AS74" s="706"/>
      <c r="AT74" s="706"/>
      <c r="AU74" s="706"/>
      <c r="AV74" s="706"/>
      <c r="AW74" s="706"/>
      <c r="AX74" s="706"/>
      <c r="AY74" s="706"/>
      <c r="AZ74" s="706"/>
      <c r="BA74" s="706"/>
      <c r="BB74" s="706"/>
      <c r="BC74" s="706"/>
      <c r="BD74" s="706"/>
      <c r="BE74" s="706"/>
      <c r="BF74" s="706"/>
      <c r="BG74" s="706"/>
      <c r="BH74" s="706"/>
      <c r="BI74" s="706"/>
      <c r="BJ74" s="706"/>
      <c r="BK74" s="706"/>
      <c r="BL74" s="706"/>
      <c r="BM74" s="706"/>
      <c r="BN74" s="706"/>
      <c r="BO74" s="706"/>
      <c r="BP74" s="706"/>
      <c r="BQ74" s="706"/>
      <c r="BR74" s="706"/>
      <c r="BS74" s="706"/>
      <c r="BT74" s="706"/>
      <c r="BU74" s="706"/>
      <c r="BV74" s="706"/>
      <c r="BW74" s="706"/>
      <c r="BX74" s="706"/>
      <c r="BY74" s="706"/>
      <c r="BZ74" s="706"/>
      <c r="CA74" s="706"/>
      <c r="CB74" s="706"/>
      <c r="CC74" s="706"/>
      <c r="CD74" s="706"/>
      <c r="CE74" s="706"/>
      <c r="CF74" s="706"/>
      <c r="CG74" s="706"/>
      <c r="CH74" s="706"/>
      <c r="CI74" s="706"/>
      <c r="CJ74" s="706"/>
      <c r="CK74" s="706"/>
      <c r="CL74" s="706"/>
      <c r="CM74" s="706"/>
      <c r="CN74" s="706"/>
      <c r="CO74" s="706"/>
      <c r="CP74" s="706"/>
      <c r="CQ74" s="706"/>
      <c r="CR74" s="706"/>
      <c r="CS74" s="706"/>
      <c r="CT74" s="706"/>
      <c r="CU74" s="706"/>
      <c r="CV74" s="706"/>
    </row>
    <row r="75" spans="1:100" s="498" customFormat="1" outlineLevel="1" x14ac:dyDescent="0.2">
      <c r="A75" s="15"/>
      <c r="B75" s="15"/>
      <c r="C75" s="21"/>
      <c r="D75" s="48"/>
      <c r="E75" s="510" t="s">
        <v>414</v>
      </c>
      <c r="F75" s="443">
        <f xml:space="preserve"> IF(J75 &gt; CHK_TOL, 1, 0)</f>
        <v>0</v>
      </c>
      <c r="G75" s="214" t="s">
        <v>20</v>
      </c>
      <c r="H75" s="214"/>
      <c r="I75" s="38"/>
      <c r="J75" s="35">
        <f xml:space="preserve"> ABS(J28 - J51)</f>
        <v>9.7503734286874533E-3</v>
      </c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  <c r="BR75" s="214"/>
      <c r="BS75" s="214"/>
      <c r="BT75" s="214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I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</row>
    <row r="76" spans="1:100" s="498" customFormat="1" outlineLevel="1" x14ac:dyDescent="0.2">
      <c r="A76" s="15"/>
      <c r="B76" s="15"/>
      <c r="C76" s="21"/>
      <c r="D76" s="48"/>
      <c r="E76" s="510" t="s">
        <v>972</v>
      </c>
      <c r="F76" s="443">
        <f xml:space="preserve"> IF(J76 &gt; CHK_TOL, 1, 0)</f>
        <v>0</v>
      </c>
      <c r="G76" s="214" t="s">
        <v>20</v>
      </c>
      <c r="H76" s="214"/>
      <c r="I76" s="38"/>
      <c r="J76" s="35">
        <f xml:space="preserve"> ABS(J29 - J52)</f>
        <v>9.0005043020937592E-3</v>
      </c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14"/>
      <c r="BS76" s="214"/>
      <c r="BT76" s="214"/>
      <c r="BU76" s="214"/>
      <c r="BV76" s="214"/>
      <c r="BW76" s="214"/>
      <c r="BX76" s="214"/>
      <c r="BY76" s="214"/>
      <c r="BZ76" s="214"/>
      <c r="CA76" s="214"/>
      <c r="CB76" s="214"/>
      <c r="CC76" s="214"/>
      <c r="CD76" s="214"/>
      <c r="CE76" s="214"/>
      <c r="CF76" s="214"/>
      <c r="CG76" s="214"/>
      <c r="CH76" s="214"/>
      <c r="CI76" s="214"/>
      <c r="CJ76" s="214"/>
      <c r="CK76" s="214"/>
      <c r="CL76" s="214"/>
      <c r="CM76" s="214"/>
      <c r="CN76" s="214"/>
      <c r="CO76" s="214"/>
      <c r="CP76" s="214"/>
      <c r="CQ76" s="214"/>
      <c r="CR76" s="214"/>
      <c r="CS76" s="214"/>
      <c r="CT76" s="214"/>
      <c r="CU76" s="214"/>
      <c r="CV76" s="214"/>
    </row>
    <row r="77" spans="1:100" s="498" customFormat="1" outlineLevel="1" x14ac:dyDescent="0.2">
      <c r="A77" s="15"/>
      <c r="B77" s="15"/>
      <c r="C77" s="21"/>
      <c r="D77" s="48"/>
      <c r="E77" s="510" t="s">
        <v>454</v>
      </c>
      <c r="F77" s="443">
        <f xml:space="preserve"> IF(J77 &gt; CHK_TOL, 1, 0)</f>
        <v>0</v>
      </c>
      <c r="G77" s="214" t="s">
        <v>20</v>
      </c>
      <c r="H77" s="214"/>
      <c r="I77" s="38"/>
      <c r="J77" s="35">
        <f xml:space="preserve"> ABS(J30 - J53)</f>
        <v>3.7084071082063019E-3</v>
      </c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214"/>
      <c r="CI77" s="214"/>
      <c r="CJ77" s="214"/>
      <c r="CK77" s="214"/>
      <c r="CL77" s="214"/>
      <c r="CM77" s="214"/>
      <c r="CN77" s="214"/>
      <c r="CO77" s="214"/>
      <c r="CP77" s="214"/>
      <c r="CQ77" s="214"/>
      <c r="CR77" s="214"/>
      <c r="CS77" s="214"/>
      <c r="CT77" s="214"/>
      <c r="CU77" s="214"/>
      <c r="CV77" s="214"/>
    </row>
    <row r="78" spans="1:100" s="498" customFormat="1" outlineLevel="1" x14ac:dyDescent="0.2">
      <c r="A78" s="15"/>
      <c r="B78" s="15"/>
      <c r="C78" s="21"/>
      <c r="D78" s="48"/>
      <c r="E78" s="510" t="s">
        <v>441</v>
      </c>
      <c r="F78" s="443">
        <f xml:space="preserve"> IF(J78 &gt; PCT_TOL, 1, 0)</f>
        <v>0</v>
      </c>
      <c r="G78" s="214" t="s">
        <v>20</v>
      </c>
      <c r="H78" s="214"/>
      <c r="I78" s="38"/>
      <c r="J78" s="115">
        <f xml:space="preserve"> ABS(J31 - J54)</f>
        <v>9.8235169998517335E-9</v>
      </c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  <c r="BR78" s="214"/>
      <c r="BS78" s="214"/>
      <c r="BT78" s="214"/>
      <c r="BU78" s="214"/>
      <c r="BV78" s="214"/>
      <c r="BW78" s="214"/>
      <c r="BX78" s="214"/>
      <c r="BY78" s="214"/>
      <c r="BZ78" s="214"/>
      <c r="CA78" s="214"/>
      <c r="CB78" s="214"/>
      <c r="CC78" s="214"/>
      <c r="CD78" s="214"/>
      <c r="CE78" s="214"/>
      <c r="CF78" s="214"/>
      <c r="CG78" s="214"/>
      <c r="CH78" s="214"/>
      <c r="CI78" s="214"/>
      <c r="CJ78" s="214"/>
      <c r="CK78" s="214"/>
      <c r="CL78" s="214"/>
      <c r="CM78" s="214"/>
      <c r="CN78" s="214"/>
      <c r="CO78" s="214"/>
      <c r="CP78" s="214"/>
      <c r="CQ78" s="214"/>
      <c r="CR78" s="214"/>
      <c r="CS78" s="214"/>
      <c r="CT78" s="214"/>
      <c r="CU78" s="214"/>
      <c r="CV78" s="214"/>
    </row>
    <row r="79" spans="1:100" s="498" customFormat="1" outlineLevel="1" x14ac:dyDescent="0.2">
      <c r="A79" s="15"/>
      <c r="B79" s="15"/>
      <c r="C79" s="21"/>
      <c r="D79" s="48"/>
      <c r="E79" s="510" t="s">
        <v>290</v>
      </c>
      <c r="F79" s="443">
        <f xml:space="preserve"> IF( MAX(J79:CV79) &gt; CHK_TOL, 1, 0)</f>
        <v>0</v>
      </c>
      <c r="G79" s="214" t="s">
        <v>20</v>
      </c>
      <c r="H79" s="214"/>
      <c r="I79" s="38"/>
      <c r="J79" s="279">
        <f t="shared" ref="J79:AO79" si="1" xml:space="preserve"> ABS(J35 - J58)</f>
        <v>0</v>
      </c>
      <c r="K79" s="520">
        <f t="shared" si="1"/>
        <v>0</v>
      </c>
      <c r="L79" s="520">
        <f t="shared" si="1"/>
        <v>0</v>
      </c>
      <c r="M79" s="520">
        <f t="shared" si="1"/>
        <v>1.5960449673002586E-6</v>
      </c>
      <c r="N79" s="520">
        <f t="shared" si="1"/>
        <v>1.6098565538413823E-6</v>
      </c>
      <c r="O79" s="520">
        <f t="shared" si="1"/>
        <v>1.5420318959513679E-6</v>
      </c>
      <c r="P79" s="520">
        <f t="shared" si="1"/>
        <v>1.6898375179152936E-6</v>
      </c>
      <c r="Q79" s="520">
        <f t="shared" si="1"/>
        <v>1.7295824363827705E-6</v>
      </c>
      <c r="R79" s="520">
        <f t="shared" si="1"/>
        <v>1.6568483260925859E-6</v>
      </c>
      <c r="S79" s="520">
        <f t="shared" si="1"/>
        <v>1.8074388208333403E-6</v>
      </c>
      <c r="T79" s="520">
        <f t="shared" si="1"/>
        <v>2.5490371626801789E-6</v>
      </c>
      <c r="U79" s="520">
        <f t="shared" si="1"/>
        <v>3.0339160730363801E-6</v>
      </c>
      <c r="V79" s="520">
        <f t="shared" si="1"/>
        <v>3.0736227927263826E-6</v>
      </c>
      <c r="W79" s="520">
        <f t="shared" si="1"/>
        <v>1.762364263413474E-6</v>
      </c>
      <c r="X79" s="520">
        <f t="shared" si="1"/>
        <v>3.1498129828833044E-6</v>
      </c>
      <c r="Y79" s="520">
        <f t="shared" si="1"/>
        <v>2.7351979952072725E-6</v>
      </c>
      <c r="Z79" s="520">
        <f t="shared" si="1"/>
        <v>3.2258740247925743E-6</v>
      </c>
      <c r="AA79" s="520">
        <f t="shared" si="1"/>
        <v>2.8074937290512025E-6</v>
      </c>
      <c r="AB79" s="520">
        <f t="shared" si="1"/>
        <v>3.3003834687406197E-6</v>
      </c>
      <c r="AC79" s="520">
        <f t="shared" si="1"/>
        <v>3.3373544283676893E-6</v>
      </c>
      <c r="AD79" s="520">
        <f t="shared" si="1"/>
        <v>2.9134116630302742E-6</v>
      </c>
      <c r="AE79" s="520">
        <f t="shared" si="1"/>
        <v>3.4095082810381427E-6</v>
      </c>
      <c r="AF79" s="520">
        <f t="shared" si="1"/>
        <v>2.9819439077982679E-6</v>
      </c>
      <c r="AG79" s="520">
        <f t="shared" si="1"/>
        <v>3.4800941648427397E-6</v>
      </c>
      <c r="AH79" s="520">
        <f t="shared" si="1"/>
        <v>3.5150587791576982E-6</v>
      </c>
      <c r="AI79" s="520">
        <f t="shared" si="1"/>
        <v>2.6147063181269914E-6</v>
      </c>
      <c r="AJ79" s="520">
        <f t="shared" si="1"/>
        <v>3.582785211619921E-6</v>
      </c>
      <c r="AK79" s="520">
        <f t="shared" si="1"/>
        <v>3.1464569474337623E-6</v>
      </c>
      <c r="AL79" s="520">
        <f t="shared" si="1"/>
        <v>3.6494566302280873E-6</v>
      </c>
      <c r="AM79" s="520">
        <f t="shared" si="1"/>
        <v>2.4269930872833356E-4</v>
      </c>
      <c r="AN79" s="520">
        <f t="shared" si="1"/>
        <v>0</v>
      </c>
      <c r="AO79" s="520">
        <f t="shared" si="1"/>
        <v>0</v>
      </c>
      <c r="AP79" s="520">
        <f t="shared" ref="AP79:BU79" si="2" xml:space="preserve"> ABS(AP35 - AP58)</f>
        <v>0</v>
      </c>
      <c r="AQ79" s="520">
        <f t="shared" si="2"/>
        <v>0</v>
      </c>
      <c r="AR79" s="520">
        <f t="shared" si="2"/>
        <v>0</v>
      </c>
      <c r="AS79" s="520">
        <f t="shared" si="2"/>
        <v>0</v>
      </c>
      <c r="AT79" s="520">
        <f t="shared" si="2"/>
        <v>0</v>
      </c>
      <c r="AU79" s="520">
        <f t="shared" si="2"/>
        <v>0</v>
      </c>
      <c r="AV79" s="520">
        <f t="shared" si="2"/>
        <v>0</v>
      </c>
      <c r="AW79" s="520">
        <f t="shared" si="2"/>
        <v>0</v>
      </c>
      <c r="AX79" s="520">
        <f t="shared" si="2"/>
        <v>0</v>
      </c>
      <c r="AY79" s="520">
        <f t="shared" si="2"/>
        <v>0</v>
      </c>
      <c r="AZ79" s="520">
        <f t="shared" si="2"/>
        <v>0</v>
      </c>
      <c r="BA79" s="520">
        <f t="shared" si="2"/>
        <v>0</v>
      </c>
      <c r="BB79" s="520">
        <f t="shared" si="2"/>
        <v>0</v>
      </c>
      <c r="BC79" s="520">
        <f t="shared" si="2"/>
        <v>0</v>
      </c>
      <c r="BD79" s="520">
        <f t="shared" si="2"/>
        <v>0</v>
      </c>
      <c r="BE79" s="520">
        <f t="shared" si="2"/>
        <v>0</v>
      </c>
      <c r="BF79" s="520">
        <f t="shared" si="2"/>
        <v>0</v>
      </c>
      <c r="BG79" s="520">
        <f t="shared" si="2"/>
        <v>0</v>
      </c>
      <c r="BH79" s="520">
        <f t="shared" si="2"/>
        <v>0</v>
      </c>
      <c r="BI79" s="520">
        <f t="shared" si="2"/>
        <v>0</v>
      </c>
      <c r="BJ79" s="520">
        <f t="shared" si="2"/>
        <v>0</v>
      </c>
      <c r="BK79" s="520">
        <f t="shared" si="2"/>
        <v>0</v>
      </c>
      <c r="BL79" s="520">
        <f t="shared" si="2"/>
        <v>0</v>
      </c>
      <c r="BM79" s="520">
        <f t="shared" si="2"/>
        <v>0</v>
      </c>
      <c r="BN79" s="520">
        <f t="shared" si="2"/>
        <v>0</v>
      </c>
      <c r="BO79" s="520">
        <f t="shared" si="2"/>
        <v>0</v>
      </c>
      <c r="BP79" s="520">
        <f t="shared" si="2"/>
        <v>0</v>
      </c>
      <c r="BQ79" s="520">
        <f t="shared" si="2"/>
        <v>0</v>
      </c>
      <c r="BR79" s="520">
        <f t="shared" si="2"/>
        <v>0</v>
      </c>
      <c r="BS79" s="520">
        <f t="shared" si="2"/>
        <v>0</v>
      </c>
      <c r="BT79" s="520">
        <f t="shared" si="2"/>
        <v>0</v>
      </c>
      <c r="BU79" s="520">
        <f t="shared" si="2"/>
        <v>0</v>
      </c>
      <c r="BV79" s="520">
        <f t="shared" ref="BV79:CV79" si="3" xml:space="preserve"> ABS(BV35 - BV58)</f>
        <v>0</v>
      </c>
      <c r="BW79" s="520">
        <f t="shared" si="3"/>
        <v>0</v>
      </c>
      <c r="BX79" s="520">
        <f t="shared" si="3"/>
        <v>0</v>
      </c>
      <c r="BY79" s="520">
        <f t="shared" si="3"/>
        <v>0</v>
      </c>
      <c r="BZ79" s="520">
        <f t="shared" si="3"/>
        <v>0</v>
      </c>
      <c r="CA79" s="520">
        <f t="shared" si="3"/>
        <v>0</v>
      </c>
      <c r="CB79" s="520">
        <f t="shared" si="3"/>
        <v>0</v>
      </c>
      <c r="CC79" s="520">
        <f t="shared" si="3"/>
        <v>0</v>
      </c>
      <c r="CD79" s="520">
        <f t="shared" si="3"/>
        <v>0</v>
      </c>
      <c r="CE79" s="520">
        <f t="shared" si="3"/>
        <v>0</v>
      </c>
      <c r="CF79" s="520">
        <f t="shared" si="3"/>
        <v>0</v>
      </c>
      <c r="CG79" s="520">
        <f t="shared" si="3"/>
        <v>0</v>
      </c>
      <c r="CH79" s="520">
        <f t="shared" si="3"/>
        <v>0</v>
      </c>
      <c r="CI79" s="520">
        <f t="shared" si="3"/>
        <v>0</v>
      </c>
      <c r="CJ79" s="520">
        <f t="shared" si="3"/>
        <v>0</v>
      </c>
      <c r="CK79" s="520">
        <f t="shared" si="3"/>
        <v>0</v>
      </c>
      <c r="CL79" s="520">
        <f t="shared" si="3"/>
        <v>0</v>
      </c>
      <c r="CM79" s="520">
        <f t="shared" si="3"/>
        <v>0</v>
      </c>
      <c r="CN79" s="520">
        <f t="shared" si="3"/>
        <v>0</v>
      </c>
      <c r="CO79" s="520">
        <f t="shared" si="3"/>
        <v>0</v>
      </c>
      <c r="CP79" s="520">
        <f t="shared" si="3"/>
        <v>0</v>
      </c>
      <c r="CQ79" s="520">
        <f t="shared" si="3"/>
        <v>0</v>
      </c>
      <c r="CR79" s="520">
        <f t="shared" si="3"/>
        <v>0</v>
      </c>
      <c r="CS79" s="520">
        <f t="shared" si="3"/>
        <v>0</v>
      </c>
      <c r="CT79" s="520">
        <f t="shared" si="3"/>
        <v>0</v>
      </c>
      <c r="CU79" s="520">
        <f t="shared" si="3"/>
        <v>0</v>
      </c>
      <c r="CV79" s="520">
        <f t="shared" si="3"/>
        <v>0</v>
      </c>
    </row>
    <row r="80" spans="1:100" s="498" customFormat="1" outlineLevel="1" x14ac:dyDescent="0.2">
      <c r="A80" s="15"/>
      <c r="B80" s="15"/>
      <c r="C80" s="21"/>
      <c r="D80" s="48"/>
      <c r="E80" s="510" t="s">
        <v>852</v>
      </c>
      <c r="F80" s="443">
        <f xml:space="preserve"> IF( MAX(J80:CV80) &gt; CHK_TOL, 1, 0)</f>
        <v>0</v>
      </c>
      <c r="G80" s="214" t="s">
        <v>20</v>
      </c>
      <c r="H80" s="214"/>
      <c r="I80" s="38"/>
      <c r="J80" s="279">
        <f t="shared" ref="J80:AO80" si="4" xml:space="preserve"> ABS(J39 - J62)</f>
        <v>0</v>
      </c>
      <c r="K80" s="520">
        <f t="shared" si="4"/>
        <v>0</v>
      </c>
      <c r="L80" s="520">
        <f t="shared" si="4"/>
        <v>0</v>
      </c>
      <c r="M80" s="520">
        <f t="shared" si="4"/>
        <v>0</v>
      </c>
      <c r="N80" s="520">
        <f t="shared" si="4"/>
        <v>0</v>
      </c>
      <c r="O80" s="520">
        <f t="shared" si="4"/>
        <v>1.9177125068381429E-5</v>
      </c>
      <c r="P80" s="520">
        <f t="shared" si="4"/>
        <v>1.9099385099252686E-5</v>
      </c>
      <c r="Q80" s="520">
        <f t="shared" si="4"/>
        <v>1.9225941287004389E-5</v>
      </c>
      <c r="R80" s="520">
        <f t="shared" si="4"/>
        <v>1.9061264538322575E-5</v>
      </c>
      <c r="S80" s="520">
        <f t="shared" si="4"/>
        <v>1.9187567886547185E-5</v>
      </c>
      <c r="T80" s="520">
        <f t="shared" si="4"/>
        <v>1.9023214917979203E-5</v>
      </c>
      <c r="U80" s="520">
        <f t="shared" si="4"/>
        <v>1.9149269064655527E-5</v>
      </c>
      <c r="V80" s="520">
        <f t="shared" si="4"/>
        <v>1.9011287804460153E-5</v>
      </c>
      <c r="W80" s="520">
        <f t="shared" si="4"/>
        <v>1.9085005988017656E-5</v>
      </c>
      <c r="X80" s="520">
        <f t="shared" si="4"/>
        <v>1.8947350326925516E-5</v>
      </c>
      <c r="Y80" s="520">
        <f t="shared" si="4"/>
        <v>1.9072900613537058E-5</v>
      </c>
      <c r="Z80" s="520">
        <f t="shared" si="4"/>
        <v>1.8909531718236394E-5</v>
      </c>
      <c r="AA80" s="520">
        <f t="shared" si="4"/>
        <v>1.9034832803299651E-5</v>
      </c>
      <c r="AB80" s="520">
        <f t="shared" si="4"/>
        <v>1.8871793145081028E-5</v>
      </c>
      <c r="AC80" s="520">
        <f t="shared" si="4"/>
        <v>1.8996835933648981E-5</v>
      </c>
      <c r="AD80" s="520">
        <f t="shared" si="4"/>
        <v>1.8859955162042752E-5</v>
      </c>
      <c r="AE80" s="520">
        <f t="shared" si="4"/>
        <v>1.893308581202291E-5</v>
      </c>
      <c r="AF80" s="520">
        <f t="shared" si="4"/>
        <v>1.8796528820530511E-5</v>
      </c>
      <c r="AG80" s="520">
        <f t="shared" si="4"/>
        <v>1.89210768439807E-5</v>
      </c>
      <c r="AH80" s="520">
        <f t="shared" si="4"/>
        <v>1.8759008526103571E-5</v>
      </c>
      <c r="AI80" s="520">
        <f t="shared" si="4"/>
        <v>1.8883309166994877E-5</v>
      </c>
      <c r="AJ80" s="520">
        <f t="shared" si="4"/>
        <v>1.8721568267210387E-5</v>
      </c>
      <c r="AK80" s="520">
        <f t="shared" si="4"/>
        <v>1.8845621525542811E-5</v>
      </c>
      <c r="AL80" s="520">
        <f t="shared" si="4"/>
        <v>1.8709826690610498E-5</v>
      </c>
      <c r="AM80" s="520">
        <f t="shared" si="4"/>
        <v>1.8782375263981521E-5</v>
      </c>
      <c r="AN80" s="520">
        <f t="shared" si="4"/>
        <v>1.864690420916304E-5</v>
      </c>
      <c r="AO80" s="520">
        <f t="shared" si="4"/>
        <v>1.8770462702377699E-5</v>
      </c>
      <c r="AP80" s="520">
        <f t="shared" ref="AP80:BU80" si="5" xml:space="preserve"> ABS(AP39 - AP62)</f>
        <v>1.8609687685966492E-5</v>
      </c>
      <c r="AQ80" s="520">
        <f t="shared" si="5"/>
        <v>1.8732996977632865E-5</v>
      </c>
      <c r="AR80" s="520">
        <f t="shared" si="5"/>
        <v>1.8572540284367278E-5</v>
      </c>
      <c r="AS80" s="520">
        <f t="shared" si="5"/>
        <v>1.8695605831453577E-5</v>
      </c>
      <c r="AT80" s="520">
        <f t="shared" si="5"/>
        <v>1.8560891476226971E-5</v>
      </c>
      <c r="AU80" s="520">
        <f t="shared" si="5"/>
        <v>1.8632865248946473E-5</v>
      </c>
      <c r="AV80" s="520">
        <f t="shared" si="5"/>
        <v>1.8498472854844294E-5</v>
      </c>
      <c r="AW80" s="520">
        <f t="shared" si="5"/>
        <v>6.4217016290429186E-137</v>
      </c>
      <c r="AX80" s="520">
        <f t="shared" si="5"/>
        <v>6.704066649423577E-137</v>
      </c>
      <c r="AY80" s="520">
        <f t="shared" si="5"/>
        <v>6.3403778355616466E-137</v>
      </c>
      <c r="AZ80" s="520">
        <f t="shared" si="5"/>
        <v>6.625080865911E-137</v>
      </c>
      <c r="BA80" s="520">
        <f t="shared" si="5"/>
        <v>0</v>
      </c>
      <c r="BB80" s="520">
        <f t="shared" si="5"/>
        <v>0</v>
      </c>
      <c r="BC80" s="520">
        <f t="shared" si="5"/>
        <v>0</v>
      </c>
      <c r="BD80" s="520">
        <f t="shared" si="5"/>
        <v>0</v>
      </c>
      <c r="BE80" s="520">
        <f t="shared" si="5"/>
        <v>0</v>
      </c>
      <c r="BF80" s="520">
        <f t="shared" si="5"/>
        <v>0</v>
      </c>
      <c r="BG80" s="520">
        <f t="shared" si="5"/>
        <v>0</v>
      </c>
      <c r="BH80" s="520">
        <f t="shared" si="5"/>
        <v>0</v>
      </c>
      <c r="BI80" s="520">
        <f t="shared" si="5"/>
        <v>0</v>
      </c>
      <c r="BJ80" s="520">
        <f t="shared" si="5"/>
        <v>0</v>
      </c>
      <c r="BK80" s="520">
        <f t="shared" si="5"/>
        <v>0</v>
      </c>
      <c r="BL80" s="520">
        <f t="shared" si="5"/>
        <v>0</v>
      </c>
      <c r="BM80" s="520">
        <f t="shared" si="5"/>
        <v>0</v>
      </c>
      <c r="BN80" s="520">
        <f t="shared" si="5"/>
        <v>0</v>
      </c>
      <c r="BO80" s="520">
        <f t="shared" si="5"/>
        <v>0</v>
      </c>
      <c r="BP80" s="520">
        <f t="shared" si="5"/>
        <v>0</v>
      </c>
      <c r="BQ80" s="520">
        <f t="shared" si="5"/>
        <v>0</v>
      </c>
      <c r="BR80" s="520">
        <f t="shared" si="5"/>
        <v>0</v>
      </c>
      <c r="BS80" s="520">
        <f t="shared" si="5"/>
        <v>0</v>
      </c>
      <c r="BT80" s="520">
        <f t="shared" si="5"/>
        <v>0</v>
      </c>
      <c r="BU80" s="520">
        <f t="shared" si="5"/>
        <v>0</v>
      </c>
      <c r="BV80" s="520">
        <f t="shared" ref="BV80:CV80" si="6" xml:space="preserve"> ABS(BV39 - BV62)</f>
        <v>0</v>
      </c>
      <c r="BW80" s="520">
        <f t="shared" si="6"/>
        <v>0</v>
      </c>
      <c r="BX80" s="520">
        <f t="shared" si="6"/>
        <v>0</v>
      </c>
      <c r="BY80" s="520">
        <f t="shared" si="6"/>
        <v>0</v>
      </c>
      <c r="BZ80" s="520">
        <f t="shared" si="6"/>
        <v>0</v>
      </c>
      <c r="CA80" s="520">
        <f t="shared" si="6"/>
        <v>0</v>
      </c>
      <c r="CB80" s="520">
        <f t="shared" si="6"/>
        <v>0</v>
      </c>
      <c r="CC80" s="520">
        <f t="shared" si="6"/>
        <v>0</v>
      </c>
      <c r="CD80" s="520">
        <f t="shared" si="6"/>
        <v>0</v>
      </c>
      <c r="CE80" s="520">
        <f t="shared" si="6"/>
        <v>0</v>
      </c>
      <c r="CF80" s="520">
        <f t="shared" si="6"/>
        <v>0</v>
      </c>
      <c r="CG80" s="520">
        <f t="shared" si="6"/>
        <v>0</v>
      </c>
      <c r="CH80" s="520">
        <f t="shared" si="6"/>
        <v>0</v>
      </c>
      <c r="CI80" s="520">
        <f t="shared" si="6"/>
        <v>0</v>
      </c>
      <c r="CJ80" s="520">
        <f t="shared" si="6"/>
        <v>0</v>
      </c>
      <c r="CK80" s="520">
        <f t="shared" si="6"/>
        <v>0</v>
      </c>
      <c r="CL80" s="520">
        <f t="shared" si="6"/>
        <v>0</v>
      </c>
      <c r="CM80" s="520">
        <f t="shared" si="6"/>
        <v>0</v>
      </c>
      <c r="CN80" s="520">
        <f t="shared" si="6"/>
        <v>0</v>
      </c>
      <c r="CO80" s="520">
        <f t="shared" si="6"/>
        <v>0</v>
      </c>
      <c r="CP80" s="520">
        <f t="shared" si="6"/>
        <v>0</v>
      </c>
      <c r="CQ80" s="520">
        <f t="shared" si="6"/>
        <v>0</v>
      </c>
      <c r="CR80" s="520">
        <f t="shared" si="6"/>
        <v>0</v>
      </c>
      <c r="CS80" s="520">
        <f t="shared" si="6"/>
        <v>0</v>
      </c>
      <c r="CT80" s="520">
        <f t="shared" si="6"/>
        <v>0</v>
      </c>
      <c r="CU80" s="520">
        <f t="shared" si="6"/>
        <v>0</v>
      </c>
      <c r="CV80" s="520">
        <f t="shared" si="6"/>
        <v>0</v>
      </c>
    </row>
    <row r="81" spans="1:100" s="498" customFormat="1" outlineLevel="1" x14ac:dyDescent="0.2">
      <c r="A81" s="15"/>
      <c r="B81" s="15"/>
      <c r="C81" s="21"/>
      <c r="D81" s="48"/>
      <c r="E81" s="510" t="s">
        <v>1021</v>
      </c>
      <c r="F81" s="443">
        <f xml:space="preserve"> IF( MAX(J81:CV81) &gt; PCT_TOL, 1, 0)</f>
        <v>0</v>
      </c>
      <c r="G81" s="214" t="s">
        <v>20</v>
      </c>
      <c r="H81" s="214"/>
      <c r="I81" s="38"/>
      <c r="J81" s="115">
        <f t="shared" ref="J81:AO82" si="7" xml:space="preserve"> ABS(J40 - J63)</f>
        <v>0</v>
      </c>
      <c r="K81" s="618">
        <f t="shared" si="7"/>
        <v>0</v>
      </c>
      <c r="L81" s="618">
        <f t="shared" si="7"/>
        <v>0</v>
      </c>
      <c r="M81" s="618">
        <f t="shared" si="7"/>
        <v>0</v>
      </c>
      <c r="N81" s="618">
        <f t="shared" si="7"/>
        <v>0</v>
      </c>
      <c r="O81" s="618">
        <f t="shared" si="7"/>
        <v>3.9804196085013732E-9</v>
      </c>
      <c r="P81" s="618">
        <f t="shared" si="7"/>
        <v>3.4497677908751356E-9</v>
      </c>
      <c r="Q81" s="618">
        <f t="shared" si="7"/>
        <v>3.4978372594196561E-9</v>
      </c>
      <c r="R81" s="618">
        <f t="shared" si="7"/>
        <v>3.5325928779417204E-9</v>
      </c>
      <c r="S81" s="618">
        <f t="shared" si="7"/>
        <v>3.5826414820916419E-9</v>
      </c>
      <c r="T81" s="618">
        <f t="shared" si="7"/>
        <v>3.6161961480818405E-9</v>
      </c>
      <c r="U81" s="618">
        <f t="shared" si="7"/>
        <v>3.6681308615560404E-9</v>
      </c>
      <c r="V81" s="618">
        <f t="shared" si="7"/>
        <v>3.7006363494407335E-9</v>
      </c>
      <c r="W81" s="618">
        <f t="shared" si="7"/>
        <v>3.7473850168778799E-9</v>
      </c>
      <c r="X81" s="618">
        <f t="shared" si="7"/>
        <v>3.7847326626871958E-9</v>
      </c>
      <c r="Y81" s="618">
        <f t="shared" si="7"/>
        <v>3.7948483001815081E-9</v>
      </c>
      <c r="Z81" s="618">
        <f t="shared" si="7"/>
        <v>3.826079217339462E-9</v>
      </c>
      <c r="AA81" s="618">
        <f t="shared" si="7"/>
        <v>3.8836419462284777E-9</v>
      </c>
      <c r="AB81" s="618">
        <f t="shared" si="7"/>
        <v>3.913184703357997E-9</v>
      </c>
      <c r="AC81" s="618">
        <f t="shared" si="7"/>
        <v>3.9722924463636566E-9</v>
      </c>
      <c r="AD81" s="618">
        <f t="shared" si="7"/>
        <v>4.0026338285481522E-9</v>
      </c>
      <c r="AE81" s="618">
        <f t="shared" si="7"/>
        <v>4.0541488326162334E-9</v>
      </c>
      <c r="AF81" s="618">
        <f t="shared" si="7"/>
        <v>4.0864118061589849E-9</v>
      </c>
      <c r="AG81" s="618">
        <f t="shared" si="7"/>
        <v>4.1483822765808753E-9</v>
      </c>
      <c r="AH81" s="618">
        <f t="shared" si="7"/>
        <v>4.1724426136369175E-9</v>
      </c>
      <c r="AI81" s="618">
        <f t="shared" si="7"/>
        <v>4.2201445601963705E-9</v>
      </c>
      <c r="AJ81" s="618">
        <f t="shared" si="7"/>
        <v>4.2445965908743943E-9</v>
      </c>
      <c r="AK81" s="618">
        <f t="shared" si="7"/>
        <v>4.3110597140738616E-9</v>
      </c>
      <c r="AL81" s="618">
        <f t="shared" si="7"/>
        <v>4.338496516903545E-9</v>
      </c>
      <c r="AM81" s="618">
        <f t="shared" si="7"/>
        <v>4.3948483359479429E-9</v>
      </c>
      <c r="AN81" s="618">
        <f t="shared" si="7"/>
        <v>4.4211914268510455E-9</v>
      </c>
      <c r="AO81" s="618">
        <f t="shared" si="7"/>
        <v>4.4901151061149669E-9</v>
      </c>
      <c r="AP81" s="618">
        <f t="shared" ref="AP81:BU82" si="8" xml:space="preserve"> ABS(AP40 - AP63)</f>
        <v>4.5082778482585795E-9</v>
      </c>
      <c r="AQ81" s="618">
        <f t="shared" si="8"/>
        <v>4.5784262214798588E-9</v>
      </c>
      <c r="AR81" s="618">
        <f t="shared" si="8"/>
        <v>4.59453576226454E-9</v>
      </c>
      <c r="AS81" s="618">
        <f t="shared" si="8"/>
        <v>2.1062945138039524E-8</v>
      </c>
      <c r="AT81" s="618">
        <f t="shared" si="8"/>
        <v>2.6305118069891442E-8</v>
      </c>
      <c r="AU81" s="618">
        <f t="shared" si="8"/>
        <v>3.7138657538182684E-8</v>
      </c>
      <c r="AV81" s="618">
        <f t="shared" si="8"/>
        <v>6.9686935083579371E-8</v>
      </c>
      <c r="AW81" s="618">
        <f t="shared" si="8"/>
        <v>0</v>
      </c>
      <c r="AX81" s="618">
        <f t="shared" si="8"/>
        <v>0</v>
      </c>
      <c r="AY81" s="618">
        <f t="shared" si="8"/>
        <v>0</v>
      </c>
      <c r="AZ81" s="618">
        <f t="shared" si="8"/>
        <v>0</v>
      </c>
      <c r="BA81" s="618">
        <f t="shared" si="8"/>
        <v>0</v>
      </c>
      <c r="BB81" s="618">
        <f t="shared" si="8"/>
        <v>0</v>
      </c>
      <c r="BC81" s="618">
        <f t="shared" si="8"/>
        <v>0</v>
      </c>
      <c r="BD81" s="618">
        <f t="shared" si="8"/>
        <v>0</v>
      </c>
      <c r="BE81" s="618">
        <f t="shared" si="8"/>
        <v>0</v>
      </c>
      <c r="BF81" s="618">
        <f t="shared" si="8"/>
        <v>0</v>
      </c>
      <c r="BG81" s="618">
        <f t="shared" si="8"/>
        <v>0</v>
      </c>
      <c r="BH81" s="618">
        <f t="shared" si="8"/>
        <v>0</v>
      </c>
      <c r="BI81" s="618">
        <f t="shared" si="8"/>
        <v>0</v>
      </c>
      <c r="BJ81" s="618">
        <f t="shared" si="8"/>
        <v>0</v>
      </c>
      <c r="BK81" s="618">
        <f t="shared" si="8"/>
        <v>0</v>
      </c>
      <c r="BL81" s="618">
        <f t="shared" si="8"/>
        <v>0</v>
      </c>
      <c r="BM81" s="618">
        <f t="shared" si="8"/>
        <v>0</v>
      </c>
      <c r="BN81" s="618">
        <f t="shared" si="8"/>
        <v>0</v>
      </c>
      <c r="BO81" s="618">
        <f t="shared" si="8"/>
        <v>0</v>
      </c>
      <c r="BP81" s="618">
        <f t="shared" si="8"/>
        <v>0</v>
      </c>
      <c r="BQ81" s="618">
        <f t="shared" si="8"/>
        <v>0</v>
      </c>
      <c r="BR81" s="618">
        <f t="shared" si="8"/>
        <v>0</v>
      </c>
      <c r="BS81" s="618">
        <f t="shared" si="8"/>
        <v>0</v>
      </c>
      <c r="BT81" s="618">
        <f t="shared" si="8"/>
        <v>0</v>
      </c>
      <c r="BU81" s="618">
        <f t="shared" si="8"/>
        <v>0</v>
      </c>
      <c r="BV81" s="618">
        <f t="shared" ref="BV81:CV82" si="9" xml:space="preserve"> ABS(BV40 - BV63)</f>
        <v>0</v>
      </c>
      <c r="BW81" s="618">
        <f t="shared" si="9"/>
        <v>0</v>
      </c>
      <c r="BX81" s="618">
        <f t="shared" si="9"/>
        <v>0</v>
      </c>
      <c r="BY81" s="618">
        <f t="shared" si="9"/>
        <v>0</v>
      </c>
      <c r="BZ81" s="618">
        <f t="shared" si="9"/>
        <v>0</v>
      </c>
      <c r="CA81" s="618">
        <f t="shared" si="9"/>
        <v>0</v>
      </c>
      <c r="CB81" s="618">
        <f t="shared" si="9"/>
        <v>0</v>
      </c>
      <c r="CC81" s="618">
        <f t="shared" si="9"/>
        <v>0</v>
      </c>
      <c r="CD81" s="618">
        <f t="shared" si="9"/>
        <v>0</v>
      </c>
      <c r="CE81" s="618">
        <f t="shared" si="9"/>
        <v>0</v>
      </c>
      <c r="CF81" s="618">
        <f t="shared" si="9"/>
        <v>0</v>
      </c>
      <c r="CG81" s="618">
        <f t="shared" si="9"/>
        <v>0</v>
      </c>
      <c r="CH81" s="618">
        <f t="shared" si="9"/>
        <v>0</v>
      </c>
      <c r="CI81" s="618">
        <f t="shared" si="9"/>
        <v>0</v>
      </c>
      <c r="CJ81" s="618">
        <f t="shared" si="9"/>
        <v>0</v>
      </c>
      <c r="CK81" s="618">
        <f t="shared" si="9"/>
        <v>0</v>
      </c>
      <c r="CL81" s="618">
        <f t="shared" si="9"/>
        <v>0</v>
      </c>
      <c r="CM81" s="618">
        <f t="shared" si="9"/>
        <v>0</v>
      </c>
      <c r="CN81" s="618">
        <f t="shared" si="9"/>
        <v>0</v>
      </c>
      <c r="CO81" s="618">
        <f t="shared" si="9"/>
        <v>0</v>
      </c>
      <c r="CP81" s="618">
        <f t="shared" si="9"/>
        <v>0</v>
      </c>
      <c r="CQ81" s="618">
        <f t="shared" si="9"/>
        <v>0</v>
      </c>
      <c r="CR81" s="618">
        <f t="shared" si="9"/>
        <v>0</v>
      </c>
      <c r="CS81" s="618">
        <f t="shared" si="9"/>
        <v>0</v>
      </c>
      <c r="CT81" s="618">
        <f t="shared" si="9"/>
        <v>0</v>
      </c>
      <c r="CU81" s="618">
        <f t="shared" si="9"/>
        <v>0</v>
      </c>
      <c r="CV81" s="618">
        <f t="shared" si="9"/>
        <v>0</v>
      </c>
    </row>
    <row r="82" spans="1:100" s="498" customFormat="1" outlineLevel="1" x14ac:dyDescent="0.2">
      <c r="A82" s="15"/>
      <c r="B82" s="15"/>
      <c r="C82" s="21"/>
      <c r="D82" s="48"/>
      <c r="E82" s="510" t="s">
        <v>1022</v>
      </c>
      <c r="F82" s="443">
        <f xml:space="preserve"> IF( MAX(J82:CV82) &gt; PCT_TOL, 1, 0)</f>
        <v>0</v>
      </c>
      <c r="G82" s="214" t="s">
        <v>20</v>
      </c>
      <c r="H82" s="214"/>
      <c r="I82" s="38"/>
      <c r="J82" s="115">
        <f t="shared" si="7"/>
        <v>0</v>
      </c>
      <c r="K82" s="618">
        <f t="shared" si="7"/>
        <v>0</v>
      </c>
      <c r="L82" s="618">
        <f t="shared" si="7"/>
        <v>0</v>
      </c>
      <c r="M82" s="618">
        <f t="shared" si="7"/>
        <v>0</v>
      </c>
      <c r="N82" s="618">
        <f t="shared" si="7"/>
        <v>0</v>
      </c>
      <c r="O82" s="618">
        <f t="shared" si="7"/>
        <v>8.6038494384599318E-10</v>
      </c>
      <c r="P82" s="618">
        <f t="shared" si="7"/>
        <v>9.4066061537279033E-10</v>
      </c>
      <c r="Q82" s="618">
        <f t="shared" si="7"/>
        <v>9.6128950632934362E-10</v>
      </c>
      <c r="R82" s="618">
        <f t="shared" si="7"/>
        <v>9.3635096204414126E-10</v>
      </c>
      <c r="S82" s="618">
        <f t="shared" si="7"/>
        <v>9.5504363792353608E-10</v>
      </c>
      <c r="T82" s="618">
        <f t="shared" si="7"/>
        <v>9.2827240685822154E-10</v>
      </c>
      <c r="U82" s="618">
        <f t="shared" si="7"/>
        <v>9.4470966813253732E-10</v>
      </c>
      <c r="V82" s="618">
        <f t="shared" si="7"/>
        <v>9.2354072653288988E-10</v>
      </c>
      <c r="W82" s="618">
        <f t="shared" si="7"/>
        <v>9.3071728102245288E-10</v>
      </c>
      <c r="X82" s="618">
        <f t="shared" si="7"/>
        <v>8.989375493984042E-10</v>
      </c>
      <c r="Y82" s="618">
        <f t="shared" si="7"/>
        <v>9.774657992733804E-10</v>
      </c>
      <c r="Z82" s="618">
        <f t="shared" si="7"/>
        <v>9.4327202646016239E-10</v>
      </c>
      <c r="AA82" s="618">
        <f t="shared" si="7"/>
        <v>9.5219240131561023E-10</v>
      </c>
      <c r="AB82" s="618">
        <f t="shared" si="7"/>
        <v>9.1520805517442128E-10</v>
      </c>
      <c r="AC82" s="618">
        <f t="shared" si="7"/>
        <v>9.2026999215510941E-10</v>
      </c>
      <c r="AD82" s="618">
        <f t="shared" si="7"/>
        <v>8.876613888375573E-10</v>
      </c>
      <c r="AE82" s="618">
        <f t="shared" si="7"/>
        <v>8.8201924236530616E-10</v>
      </c>
      <c r="AF82" s="618">
        <f t="shared" si="7"/>
        <v>8.3826705299383519E-10</v>
      </c>
      <c r="AG82" s="618">
        <f t="shared" si="7"/>
        <v>8.3452064009170712E-10</v>
      </c>
      <c r="AH82" s="618">
        <f t="shared" si="7"/>
        <v>7.8834984373887806E-10</v>
      </c>
      <c r="AI82" s="618">
        <f t="shared" si="7"/>
        <v>8.5746119232732454E-10</v>
      </c>
      <c r="AJ82" s="618">
        <f t="shared" si="7"/>
        <v>8.0534352797645425E-10</v>
      </c>
      <c r="AK82" s="618">
        <f t="shared" si="7"/>
        <v>7.908722426952508E-10</v>
      </c>
      <c r="AL82" s="618">
        <f t="shared" si="7"/>
        <v>7.4125237892186391E-10</v>
      </c>
      <c r="AM82" s="618">
        <f t="shared" si="7"/>
        <v>7.1474264007331811E-10</v>
      </c>
      <c r="AN82" s="618">
        <f t="shared" si="7"/>
        <v>6.5404256316403675E-10</v>
      </c>
      <c r="AO82" s="618">
        <f t="shared" si="7"/>
        <v>6.2650239163186683E-10</v>
      </c>
      <c r="AP82" s="618">
        <f t="shared" si="8"/>
        <v>5.6251469454648984E-10</v>
      </c>
      <c r="AQ82" s="618">
        <f t="shared" si="8"/>
        <v>5.278497153260453E-10</v>
      </c>
      <c r="AR82" s="618">
        <f t="shared" si="8"/>
        <v>4.5982636448504977E-10</v>
      </c>
      <c r="AS82" s="618">
        <f t="shared" si="8"/>
        <v>0</v>
      </c>
      <c r="AT82" s="618">
        <f t="shared" si="8"/>
        <v>0</v>
      </c>
      <c r="AU82" s="618">
        <f t="shared" si="8"/>
        <v>0</v>
      </c>
      <c r="AV82" s="618">
        <f t="shared" si="8"/>
        <v>0</v>
      </c>
      <c r="AW82" s="618">
        <f t="shared" si="8"/>
        <v>0</v>
      </c>
      <c r="AX82" s="618">
        <f t="shared" si="8"/>
        <v>0</v>
      </c>
      <c r="AY82" s="618">
        <f t="shared" si="8"/>
        <v>0</v>
      </c>
      <c r="AZ82" s="618">
        <f t="shared" si="8"/>
        <v>0</v>
      </c>
      <c r="BA82" s="618">
        <f t="shared" si="8"/>
        <v>0</v>
      </c>
      <c r="BB82" s="618">
        <f t="shared" si="8"/>
        <v>0</v>
      </c>
      <c r="BC82" s="618">
        <f t="shared" si="8"/>
        <v>0</v>
      </c>
      <c r="BD82" s="618">
        <f t="shared" si="8"/>
        <v>0</v>
      </c>
      <c r="BE82" s="618">
        <f t="shared" si="8"/>
        <v>0</v>
      </c>
      <c r="BF82" s="618">
        <f t="shared" si="8"/>
        <v>0</v>
      </c>
      <c r="BG82" s="618">
        <f t="shared" si="8"/>
        <v>0</v>
      </c>
      <c r="BH82" s="618">
        <f t="shared" si="8"/>
        <v>0</v>
      </c>
      <c r="BI82" s="618">
        <f t="shared" si="8"/>
        <v>0</v>
      </c>
      <c r="BJ82" s="618">
        <f t="shared" si="8"/>
        <v>0</v>
      </c>
      <c r="BK82" s="618">
        <f t="shared" si="8"/>
        <v>0</v>
      </c>
      <c r="BL82" s="618">
        <f t="shared" si="8"/>
        <v>0</v>
      </c>
      <c r="BM82" s="618">
        <f t="shared" si="8"/>
        <v>0</v>
      </c>
      <c r="BN82" s="618">
        <f t="shared" si="8"/>
        <v>0</v>
      </c>
      <c r="BO82" s="618">
        <f t="shared" si="8"/>
        <v>0</v>
      </c>
      <c r="BP82" s="618">
        <f t="shared" si="8"/>
        <v>0</v>
      </c>
      <c r="BQ82" s="618">
        <f t="shared" si="8"/>
        <v>0</v>
      </c>
      <c r="BR82" s="618">
        <f t="shared" si="8"/>
        <v>0</v>
      </c>
      <c r="BS82" s="618">
        <f t="shared" si="8"/>
        <v>0</v>
      </c>
      <c r="BT82" s="618">
        <f t="shared" si="8"/>
        <v>0</v>
      </c>
      <c r="BU82" s="618">
        <f t="shared" si="8"/>
        <v>0</v>
      </c>
      <c r="BV82" s="618">
        <f t="shared" si="9"/>
        <v>0</v>
      </c>
      <c r="BW82" s="618">
        <f t="shared" si="9"/>
        <v>0</v>
      </c>
      <c r="BX82" s="618">
        <f t="shared" si="9"/>
        <v>0</v>
      </c>
      <c r="BY82" s="618">
        <f t="shared" si="9"/>
        <v>0</v>
      </c>
      <c r="BZ82" s="618">
        <f t="shared" si="9"/>
        <v>0</v>
      </c>
      <c r="CA82" s="618">
        <f t="shared" si="9"/>
        <v>0</v>
      </c>
      <c r="CB82" s="618">
        <f t="shared" si="9"/>
        <v>0</v>
      </c>
      <c r="CC82" s="618">
        <f t="shared" si="9"/>
        <v>0</v>
      </c>
      <c r="CD82" s="618">
        <f t="shared" si="9"/>
        <v>0</v>
      </c>
      <c r="CE82" s="618">
        <f t="shared" si="9"/>
        <v>0</v>
      </c>
      <c r="CF82" s="618">
        <f t="shared" si="9"/>
        <v>0</v>
      </c>
      <c r="CG82" s="618">
        <f t="shared" si="9"/>
        <v>0</v>
      </c>
      <c r="CH82" s="618">
        <f t="shared" si="9"/>
        <v>0</v>
      </c>
      <c r="CI82" s="618">
        <f t="shared" si="9"/>
        <v>0</v>
      </c>
      <c r="CJ82" s="618">
        <f t="shared" si="9"/>
        <v>0</v>
      </c>
      <c r="CK82" s="618">
        <f t="shared" si="9"/>
        <v>0</v>
      </c>
      <c r="CL82" s="618">
        <f t="shared" si="9"/>
        <v>0</v>
      </c>
      <c r="CM82" s="618">
        <f t="shared" si="9"/>
        <v>0</v>
      </c>
      <c r="CN82" s="618">
        <f t="shared" si="9"/>
        <v>0</v>
      </c>
      <c r="CO82" s="618">
        <f t="shared" si="9"/>
        <v>0</v>
      </c>
      <c r="CP82" s="618">
        <f t="shared" si="9"/>
        <v>0</v>
      </c>
      <c r="CQ82" s="618">
        <f t="shared" si="9"/>
        <v>0</v>
      </c>
      <c r="CR82" s="618">
        <f t="shared" si="9"/>
        <v>0</v>
      </c>
      <c r="CS82" s="618">
        <f t="shared" si="9"/>
        <v>0</v>
      </c>
      <c r="CT82" s="618">
        <f t="shared" si="9"/>
        <v>0</v>
      </c>
      <c r="CU82" s="618">
        <f t="shared" si="9"/>
        <v>0</v>
      </c>
      <c r="CV82" s="618">
        <f t="shared" si="9"/>
        <v>0</v>
      </c>
    </row>
    <row r="83" spans="1:100" s="503" customFormat="1" outlineLevel="1" x14ac:dyDescent="0.2">
      <c r="A83" s="221"/>
      <c r="B83" s="221"/>
      <c r="C83" s="222"/>
      <c r="D83" s="223"/>
      <c r="E83" s="224"/>
      <c r="F83" s="224"/>
      <c r="G83" s="224"/>
      <c r="H83" s="224"/>
      <c r="I83" s="225"/>
      <c r="J83" s="224"/>
      <c r="K83" s="224"/>
      <c r="L83" s="224"/>
      <c r="M83" s="224"/>
      <c r="N83" s="224"/>
      <c r="O83" s="224"/>
      <c r="P83" s="224"/>
      <c r="Q83" s="224"/>
      <c r="R83" s="224"/>
      <c r="S83" s="224"/>
      <c r="T83" s="224"/>
      <c r="U83" s="224"/>
      <c r="V83" s="224"/>
      <c r="W83" s="224"/>
      <c r="X83" s="224"/>
      <c r="Y83" s="224"/>
      <c r="Z83" s="224"/>
      <c r="AA83" s="224"/>
      <c r="AB83" s="224"/>
      <c r="AC83" s="224"/>
      <c r="AD83" s="224"/>
      <c r="AE83" s="224"/>
      <c r="AF83" s="224"/>
      <c r="AG83" s="224"/>
      <c r="AH83" s="224"/>
      <c r="AI83" s="224"/>
      <c r="AJ83" s="224"/>
      <c r="AK83" s="224"/>
      <c r="AL83" s="224"/>
      <c r="AM83" s="224"/>
      <c r="AN83" s="224"/>
      <c r="AO83" s="224"/>
      <c r="AP83" s="224"/>
      <c r="AQ83" s="224"/>
      <c r="AR83" s="224"/>
      <c r="AS83" s="224"/>
      <c r="AT83" s="224"/>
      <c r="AU83" s="224"/>
      <c r="AV83" s="224"/>
      <c r="AW83" s="224"/>
      <c r="AX83" s="224"/>
      <c r="AY83" s="224"/>
      <c r="AZ83" s="224"/>
      <c r="BA83" s="224"/>
      <c r="BB83" s="224"/>
      <c r="BC83" s="224"/>
      <c r="BD83" s="224"/>
      <c r="BE83" s="224"/>
      <c r="BF83" s="224"/>
      <c r="BG83" s="224"/>
      <c r="BH83" s="224"/>
      <c r="BI83" s="224"/>
      <c r="BJ83" s="224"/>
      <c r="BK83" s="224"/>
      <c r="BL83" s="224"/>
      <c r="BM83" s="224"/>
      <c r="BN83" s="224"/>
      <c r="BO83" s="224"/>
      <c r="BP83" s="224"/>
      <c r="BQ83" s="224"/>
      <c r="BR83" s="224"/>
      <c r="BS83" s="224"/>
      <c r="BT83" s="224"/>
      <c r="BU83" s="224"/>
      <c r="BV83" s="224"/>
      <c r="BW83" s="224"/>
      <c r="BX83" s="224"/>
      <c r="BY83" s="224"/>
      <c r="BZ83" s="224"/>
      <c r="CA83" s="224"/>
      <c r="CB83" s="224"/>
      <c r="CC83" s="224"/>
      <c r="CD83" s="224"/>
      <c r="CE83" s="224"/>
      <c r="CF83" s="224"/>
      <c r="CG83" s="224"/>
      <c r="CH83" s="224"/>
      <c r="CI83" s="224"/>
      <c r="CJ83" s="224"/>
      <c r="CK83" s="224"/>
      <c r="CL83" s="224"/>
      <c r="CM83" s="224"/>
      <c r="CN83" s="224"/>
      <c r="CO83" s="224"/>
      <c r="CP83" s="224"/>
      <c r="CQ83" s="224"/>
      <c r="CR83" s="224"/>
      <c r="CS83" s="224"/>
      <c r="CT83" s="224"/>
      <c r="CU83" s="224"/>
      <c r="CV83" s="224"/>
    </row>
    <row r="84" spans="1:100" s="188" customFormat="1" outlineLevel="1" x14ac:dyDescent="0.2">
      <c r="A84" s="141"/>
      <c r="B84" s="141"/>
      <c r="C84" s="142"/>
      <c r="D84" s="143"/>
      <c r="E84" s="187" t="s">
        <v>291</v>
      </c>
      <c r="F84" s="482">
        <f xml:space="preserve"> MAX(F71:F83)</f>
        <v>0</v>
      </c>
      <c r="G84" s="187" t="s">
        <v>20</v>
      </c>
      <c r="H84" s="187"/>
      <c r="I84" s="144"/>
      <c r="J84" s="187"/>
      <c r="K84" s="187"/>
      <c r="L84" s="187"/>
      <c r="M84" s="187"/>
      <c r="N84" s="187"/>
      <c r="O84" s="187"/>
      <c r="P84" s="187"/>
      <c r="Q84" s="187"/>
      <c r="R84" s="187"/>
      <c r="S84" s="187"/>
      <c r="T84" s="187"/>
      <c r="U84" s="187"/>
      <c r="V84" s="187"/>
      <c r="W84" s="187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X84" s="187"/>
      <c r="AY84" s="187"/>
      <c r="AZ84" s="187"/>
      <c r="BA84" s="187"/>
      <c r="BB84" s="187"/>
      <c r="BC84" s="187"/>
      <c r="BD84" s="187"/>
      <c r="BE84" s="187"/>
      <c r="BF84" s="187"/>
      <c r="BG84" s="187"/>
      <c r="BH84" s="187"/>
      <c r="BI84" s="187"/>
      <c r="BJ84" s="187"/>
      <c r="BK84" s="187"/>
      <c r="BL84" s="187"/>
      <c r="BM84" s="187"/>
      <c r="BN84" s="187"/>
      <c r="BO84" s="187"/>
      <c r="BP84" s="187"/>
      <c r="BQ84" s="187"/>
      <c r="BR84" s="187"/>
      <c r="BS84" s="187"/>
      <c r="BT84" s="187"/>
      <c r="BU84" s="187"/>
      <c r="BV84" s="187"/>
      <c r="BW84" s="187"/>
      <c r="BX84" s="187"/>
      <c r="BY84" s="187"/>
      <c r="BZ84" s="187"/>
      <c r="CA84" s="187"/>
      <c r="CB84" s="187"/>
      <c r="CC84" s="187"/>
      <c r="CD84" s="187"/>
      <c r="CE84" s="187"/>
      <c r="CF84" s="187"/>
      <c r="CG84" s="187"/>
      <c r="CH84" s="187"/>
      <c r="CI84" s="187"/>
      <c r="CJ84" s="187"/>
      <c r="CK84" s="187"/>
      <c r="CL84" s="187"/>
      <c r="CM84" s="187"/>
      <c r="CN84" s="187"/>
      <c r="CO84" s="187"/>
      <c r="CP84" s="187"/>
      <c r="CQ84" s="187"/>
      <c r="CR84" s="187"/>
      <c r="CS84" s="187"/>
      <c r="CT84" s="187"/>
      <c r="CU84" s="187"/>
      <c r="CV84" s="187"/>
    </row>
    <row r="85" spans="1:100" x14ac:dyDescent="0.2"/>
    <row r="86" spans="1:100" x14ac:dyDescent="0.2">
      <c r="A86" s="15" t="s">
        <v>62</v>
      </c>
    </row>
    <row r="91" spans="1:100" x14ac:dyDescent="0.2"/>
    <row r="92" spans="1:100" x14ac:dyDescent="0.2"/>
    <row r="93" spans="1:100" x14ac:dyDescent="0.2"/>
    <row r="94" spans="1:100" x14ac:dyDescent="0.2"/>
    <row r="95" spans="1:100" x14ac:dyDescent="0.2"/>
    <row r="96" spans="1:100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</sheetData>
  <conditionalFormatting sqref="F2:F4">
    <cfRule type="cellIs" dxfId="137" priority="65" stopIfTrue="1" operator="notEqual">
      <formula>0</formula>
    </cfRule>
    <cfRule type="cellIs" dxfId="136" priority="66" stopIfTrue="1" operator="equal">
      <formula>""</formula>
    </cfRule>
  </conditionalFormatting>
  <conditionalFormatting sqref="F2:F4">
    <cfRule type="cellIs" dxfId="135" priority="67" stopIfTrue="1" operator="notEqual">
      <formula>0</formula>
    </cfRule>
    <cfRule type="cellIs" dxfId="134" priority="68" stopIfTrue="1" operator="equal">
      <formula>""</formula>
    </cfRule>
  </conditionalFormatting>
  <conditionalFormatting sqref="F79:F80">
    <cfRule type="cellIs" dxfId="133" priority="61" stopIfTrue="1" operator="notEqual">
      <formula>0</formula>
    </cfRule>
    <cfRule type="cellIs" dxfId="132" priority="62" stopIfTrue="1" operator="equal">
      <formula>""</formula>
    </cfRule>
  </conditionalFormatting>
  <conditionalFormatting sqref="F79:F80">
    <cfRule type="cellIs" dxfId="131" priority="63" stopIfTrue="1" operator="notEqual">
      <formula>0</formula>
    </cfRule>
    <cfRule type="cellIs" dxfId="130" priority="64" stopIfTrue="1" operator="equal">
      <formula>""</formula>
    </cfRule>
  </conditionalFormatting>
  <conditionalFormatting sqref="F84">
    <cfRule type="cellIs" dxfId="129" priority="57" stopIfTrue="1" operator="notEqual">
      <formula>0</formula>
    </cfRule>
    <cfRule type="cellIs" dxfId="128" priority="58" stopIfTrue="1" operator="equal">
      <formula>""</formula>
    </cfRule>
  </conditionalFormatting>
  <conditionalFormatting sqref="F84">
    <cfRule type="cellIs" dxfId="127" priority="59" stopIfTrue="1" operator="notEqual">
      <formula>0</formula>
    </cfRule>
    <cfRule type="cellIs" dxfId="126" priority="60" stopIfTrue="1" operator="equal">
      <formula>""</formula>
    </cfRule>
  </conditionalFormatting>
  <conditionalFormatting sqref="F72">
    <cfRule type="cellIs" dxfId="125" priority="53" stopIfTrue="1" operator="notEqual">
      <formula>0</formula>
    </cfRule>
    <cfRule type="cellIs" dxfId="124" priority="54" stopIfTrue="1" operator="equal">
      <formula>""</formula>
    </cfRule>
  </conditionalFormatting>
  <conditionalFormatting sqref="F72">
    <cfRule type="cellIs" dxfId="123" priority="55" stopIfTrue="1" operator="notEqual">
      <formula>0</formula>
    </cfRule>
    <cfRule type="cellIs" dxfId="122" priority="56" stopIfTrue="1" operator="equal">
      <formula>""</formula>
    </cfRule>
  </conditionalFormatting>
  <conditionalFormatting sqref="F75">
    <cfRule type="cellIs" dxfId="121" priority="49" stopIfTrue="1" operator="notEqual">
      <formula>0</formula>
    </cfRule>
    <cfRule type="cellIs" dxfId="120" priority="50" stopIfTrue="1" operator="equal">
      <formula>""</formula>
    </cfRule>
  </conditionalFormatting>
  <conditionalFormatting sqref="F75">
    <cfRule type="cellIs" dxfId="119" priority="51" stopIfTrue="1" operator="notEqual">
      <formula>0</formula>
    </cfRule>
    <cfRule type="cellIs" dxfId="118" priority="52" stopIfTrue="1" operator="equal">
      <formula>""</formula>
    </cfRule>
  </conditionalFormatting>
  <conditionalFormatting sqref="F81">
    <cfRule type="cellIs" dxfId="117" priority="45" stopIfTrue="1" operator="notEqual">
      <formula>0</formula>
    </cfRule>
    <cfRule type="cellIs" dxfId="116" priority="46" stopIfTrue="1" operator="equal">
      <formula>""</formula>
    </cfRule>
  </conditionalFormatting>
  <conditionalFormatting sqref="F81">
    <cfRule type="cellIs" dxfId="115" priority="47" stopIfTrue="1" operator="notEqual">
      <formula>0</formula>
    </cfRule>
    <cfRule type="cellIs" dxfId="114" priority="48" stopIfTrue="1" operator="equal">
      <formula>""</formula>
    </cfRule>
  </conditionalFormatting>
  <conditionalFormatting sqref="F78">
    <cfRule type="cellIs" dxfId="113" priority="25" stopIfTrue="1" operator="notEqual">
      <formula>0</formula>
    </cfRule>
    <cfRule type="cellIs" dxfId="112" priority="26" stopIfTrue="1" operator="equal">
      <formula>""</formula>
    </cfRule>
  </conditionalFormatting>
  <conditionalFormatting sqref="F78">
    <cfRule type="cellIs" dxfId="111" priority="27" stopIfTrue="1" operator="notEqual">
      <formula>0</formula>
    </cfRule>
    <cfRule type="cellIs" dxfId="110" priority="28" stopIfTrue="1" operator="equal">
      <formula>""</formula>
    </cfRule>
  </conditionalFormatting>
  <conditionalFormatting sqref="F77">
    <cfRule type="cellIs" dxfId="109" priority="17" stopIfTrue="1" operator="notEqual">
      <formula>0</formula>
    </cfRule>
    <cfRule type="cellIs" dxfId="108" priority="18" stopIfTrue="1" operator="equal">
      <formula>""</formula>
    </cfRule>
  </conditionalFormatting>
  <conditionalFormatting sqref="F77">
    <cfRule type="cellIs" dxfId="107" priority="19" stopIfTrue="1" operator="notEqual">
      <formula>0</formula>
    </cfRule>
    <cfRule type="cellIs" dxfId="106" priority="20" stopIfTrue="1" operator="equal">
      <formula>""</formula>
    </cfRule>
  </conditionalFormatting>
  <conditionalFormatting sqref="F73:F74">
    <cfRule type="cellIs" dxfId="105" priority="13" stopIfTrue="1" operator="notEqual">
      <formula>0</formula>
    </cfRule>
    <cfRule type="cellIs" dxfId="104" priority="14" stopIfTrue="1" operator="equal">
      <formula>""</formula>
    </cfRule>
  </conditionalFormatting>
  <conditionalFormatting sqref="F73:F74">
    <cfRule type="cellIs" dxfId="103" priority="15" stopIfTrue="1" operator="notEqual">
      <formula>0</formula>
    </cfRule>
    <cfRule type="cellIs" dxfId="102" priority="16" stopIfTrue="1" operator="equal">
      <formula>""</formula>
    </cfRule>
  </conditionalFormatting>
  <conditionalFormatting sqref="F73:F74">
    <cfRule type="cellIs" dxfId="101" priority="9" stopIfTrue="1" operator="notEqual">
      <formula>0</formula>
    </cfRule>
    <cfRule type="cellIs" dxfId="100" priority="10" stopIfTrue="1" operator="equal">
      <formula>""</formula>
    </cfRule>
  </conditionalFormatting>
  <conditionalFormatting sqref="F73:F74">
    <cfRule type="cellIs" dxfId="99" priority="11" stopIfTrue="1" operator="notEqual">
      <formula>0</formula>
    </cfRule>
    <cfRule type="cellIs" dxfId="98" priority="12" stopIfTrue="1" operator="equal">
      <formula>""</formula>
    </cfRule>
  </conditionalFormatting>
  <conditionalFormatting sqref="F76">
    <cfRule type="cellIs" dxfId="97" priority="5" stopIfTrue="1" operator="notEqual">
      <formula>0</formula>
    </cfRule>
    <cfRule type="cellIs" dxfId="96" priority="6" stopIfTrue="1" operator="equal">
      <formula>""</formula>
    </cfRule>
  </conditionalFormatting>
  <conditionalFormatting sqref="F76">
    <cfRule type="cellIs" dxfId="95" priority="7" stopIfTrue="1" operator="notEqual">
      <formula>0</formula>
    </cfRule>
    <cfRule type="cellIs" dxfId="94" priority="8" stopIfTrue="1" operator="equal">
      <formula>""</formula>
    </cfRule>
  </conditionalFormatting>
  <conditionalFormatting sqref="F82">
    <cfRule type="cellIs" dxfId="93" priority="1" stopIfTrue="1" operator="notEqual">
      <formula>0</formula>
    </cfRule>
    <cfRule type="cellIs" dxfId="92" priority="2" stopIfTrue="1" operator="equal">
      <formula>""</formula>
    </cfRule>
  </conditionalFormatting>
  <conditionalFormatting sqref="F82">
    <cfRule type="cellIs" dxfId="91" priority="3" stopIfTrue="1" operator="notEqual">
      <formula>0</formula>
    </cfRule>
    <cfRule type="cellIs" dxfId="9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sterSolve">
                <anchor moveWithCells="1" sizeWithCells="1">
                  <from>
                    <xdr:col>4</xdr:col>
                    <xdr:colOff>638175</xdr:colOff>
                    <xdr:row>1</xdr:row>
                    <xdr:rowOff>142875</xdr:rowOff>
                  </from>
                  <to>
                    <xdr:col>4</xdr:col>
                    <xdr:colOff>2124075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4ACB-95A4-4822-96E8-B950772A1888}">
  <sheetPr codeName="Sheet15">
    <outlinePr summaryBelow="0" summaryRight="0"/>
  </sheetPr>
  <dimension ref="A1:GJ223"/>
  <sheetViews>
    <sheetView defaultGridColor="0" colorId="8" zoomScale="75" zoomScaleNormal="75" workbookViewId="0">
      <pane xSplit="9" ySplit="5" topLeftCell="J6" activePane="bottomRight" state="frozen"/>
      <selection activeCell="K137" sqref="K137"/>
      <selection pane="topRight" activeCell="K137" sqref="K137"/>
      <selection pane="bottomLeft" activeCell="K137" sqref="K137"/>
      <selection pane="bottomRight" activeCell="M173" sqref="M173"/>
    </sheetView>
  </sheetViews>
  <sheetFormatPr defaultColWidth="0" defaultRowHeight="12.75" zeroHeight="1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3" width="11.5703125" style="12" customWidth="1"/>
    <col min="14" max="14" width="12.85546875" style="12" bestFit="1" customWidth="1"/>
    <col min="15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DSRA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/>
    <row r="7" spans="1:100" ht="15" x14ac:dyDescent="0.2">
      <c r="A7" s="654" t="s">
        <v>352</v>
      </c>
      <c r="B7"/>
      <c r="C7"/>
      <c r="D7"/>
      <c r="E7"/>
      <c r="F7" s="125"/>
      <c r="G7"/>
      <c r="H7"/>
      <c r="I7"/>
      <c r="J7"/>
      <c r="K7"/>
      <c r="L7"/>
      <c r="M7"/>
      <c r="N7"/>
      <c r="O7"/>
    </row>
    <row r="8" spans="1:100" outlineLevel="1" x14ac:dyDescent="0.2">
      <c r="A8" s="495"/>
      <c r="B8"/>
      <c r="C8"/>
      <c r="D8"/>
      <c r="E8"/>
      <c r="F8" s="125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</row>
    <row r="9" spans="1:100" outlineLevel="1" x14ac:dyDescent="0.2">
      <c r="A9" s="33"/>
      <c r="B9" s="79" t="s">
        <v>353</v>
      </c>
      <c r="C9" s="561"/>
      <c r="D9" s="60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</row>
    <row r="10" spans="1:100" outlineLevel="2" x14ac:dyDescent="0.2">
      <c r="A10" s="33"/>
      <c r="B10" s="79"/>
      <c r="C10" s="561"/>
      <c r="D10" s="60"/>
      <c r="E10" s="125" t="str">
        <f xml:space="preserve"> InpC!E$412</f>
        <v>Months in year</v>
      </c>
      <c r="F10" s="125">
        <f xml:space="preserve"> InpC!F$412</f>
        <v>12</v>
      </c>
      <c r="G10" s="125" t="str">
        <f xml:space="preserve"> InpC!G$412</f>
        <v>months</v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</row>
    <row r="11" spans="1:100" outlineLevel="2" x14ac:dyDescent="0.2">
      <c r="A11" s="33"/>
      <c r="B11" s="79"/>
      <c r="C11" s="561"/>
      <c r="D11" s="60"/>
      <c r="E11" s="125" t="str">
        <f xml:space="preserve"> InpC!E$16</f>
        <v>Length of operating period</v>
      </c>
      <c r="F11" s="125">
        <f xml:space="preserve"> InpC!F$16</f>
        <v>6</v>
      </c>
      <c r="G11" s="125" t="str">
        <f xml:space="preserve"> InpC!G$16</f>
        <v>months</v>
      </c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</row>
    <row r="12" spans="1:100" s="188" customFormat="1" outlineLevel="2" x14ac:dyDescent="0.2">
      <c r="A12" s="655"/>
      <c r="B12" s="397"/>
      <c r="C12" s="566"/>
      <c r="D12" s="567"/>
      <c r="E12" s="188" t="s">
        <v>374</v>
      </c>
      <c r="F12" s="188">
        <f xml:space="preserve"> F10 / F11</f>
        <v>2</v>
      </c>
      <c r="G12" s="188" t="s">
        <v>87</v>
      </c>
    </row>
    <row r="13" spans="1:100" outlineLevel="2" x14ac:dyDescent="0.2">
      <c r="A13" s="33"/>
      <c r="B13" s="79"/>
      <c r="C13" s="561"/>
      <c r="D13" s="60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</row>
    <row r="14" spans="1:100" s="495" customFormat="1" outlineLevel="2" x14ac:dyDescent="0.2">
      <c r="A14" s="33"/>
      <c r="B14" s="33"/>
      <c r="C14" s="30"/>
      <c r="D14" s="81"/>
      <c r="E14" s="35" t="str">
        <f t="shared" ref="E14:G14" si="0" xml:space="preserve"> E$12</f>
        <v>Periods in a year</v>
      </c>
      <c r="F14" s="35">
        <f t="shared" si="0"/>
        <v>2</v>
      </c>
      <c r="G14" s="35" t="str">
        <f t="shared" si="0"/>
        <v>periods</v>
      </c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</row>
    <row r="15" spans="1:100" s="495" customFormat="1" outlineLevel="2" x14ac:dyDescent="0.2">
      <c r="A15" s="405"/>
      <c r="B15" s="405"/>
      <c r="C15" s="406"/>
      <c r="D15" s="575"/>
      <c r="E15" s="576" t="str">
        <f xml:space="preserve"> Time!E$10</f>
        <v>Model column counter</v>
      </c>
      <c r="F15" s="576">
        <f xml:space="preserve"> Time!F$10</f>
        <v>0</v>
      </c>
      <c r="G15" s="576" t="str">
        <f xml:space="preserve"> Time!G$10</f>
        <v>counter</v>
      </c>
      <c r="H15" s="576">
        <f xml:space="preserve"> Time!H$10</f>
        <v>0</v>
      </c>
      <c r="I15" s="576">
        <f xml:space="preserve"> Time!I$10</f>
        <v>0</v>
      </c>
      <c r="J15" s="576">
        <f xml:space="preserve"> Time!J$10</f>
        <v>1</v>
      </c>
      <c r="K15" s="576">
        <f xml:space="preserve"> Time!K$10</f>
        <v>2</v>
      </c>
      <c r="L15" s="576">
        <f xml:space="preserve"> Time!L$10</f>
        <v>3</v>
      </c>
      <c r="M15" s="576">
        <f xml:space="preserve"> Time!M$10</f>
        <v>4</v>
      </c>
      <c r="N15" s="576">
        <f xml:space="preserve"> Time!N$10</f>
        <v>5</v>
      </c>
      <c r="O15" s="576">
        <f xml:space="preserve"> Time!O$10</f>
        <v>6</v>
      </c>
      <c r="P15" s="576">
        <f xml:space="preserve"> Time!P$10</f>
        <v>7</v>
      </c>
      <c r="Q15" s="576">
        <f xml:space="preserve"> Time!Q$10</f>
        <v>8</v>
      </c>
      <c r="R15" s="576">
        <f xml:space="preserve"> Time!R$10</f>
        <v>9</v>
      </c>
      <c r="S15" s="576">
        <f xml:space="preserve"> Time!S$10</f>
        <v>10</v>
      </c>
      <c r="T15" s="576">
        <f xml:space="preserve"> Time!T$10</f>
        <v>11</v>
      </c>
      <c r="U15" s="576">
        <f xml:space="preserve"> Time!U$10</f>
        <v>12</v>
      </c>
      <c r="V15" s="576">
        <f xml:space="preserve"> Time!V$10</f>
        <v>13</v>
      </c>
      <c r="W15" s="576">
        <f xml:space="preserve"> Time!W$10</f>
        <v>14</v>
      </c>
      <c r="X15" s="576">
        <f xml:space="preserve"> Time!X$10</f>
        <v>15</v>
      </c>
      <c r="Y15" s="576">
        <f xml:space="preserve"> Time!Y$10</f>
        <v>16</v>
      </c>
      <c r="Z15" s="576">
        <f xml:space="preserve"> Time!Z$10</f>
        <v>17</v>
      </c>
      <c r="AA15" s="576">
        <f xml:space="preserve"> Time!AA$10</f>
        <v>18</v>
      </c>
      <c r="AB15" s="576">
        <f xml:space="preserve"> Time!AB$10</f>
        <v>19</v>
      </c>
      <c r="AC15" s="576">
        <f xml:space="preserve"> Time!AC$10</f>
        <v>20</v>
      </c>
      <c r="AD15" s="576">
        <f xml:space="preserve"> Time!AD$10</f>
        <v>21</v>
      </c>
      <c r="AE15" s="576">
        <f xml:space="preserve"> Time!AE$10</f>
        <v>22</v>
      </c>
      <c r="AF15" s="576">
        <f xml:space="preserve"> Time!AF$10</f>
        <v>23</v>
      </c>
      <c r="AG15" s="576">
        <f xml:space="preserve"> Time!AG$10</f>
        <v>24</v>
      </c>
      <c r="AH15" s="576">
        <f xml:space="preserve"> Time!AH$10</f>
        <v>25</v>
      </c>
      <c r="AI15" s="576">
        <f xml:space="preserve"> Time!AI$10</f>
        <v>26</v>
      </c>
      <c r="AJ15" s="576">
        <f xml:space="preserve"> Time!AJ$10</f>
        <v>27</v>
      </c>
      <c r="AK15" s="576">
        <f xml:space="preserve"> Time!AK$10</f>
        <v>28</v>
      </c>
      <c r="AL15" s="576">
        <f xml:space="preserve"> Time!AL$10</f>
        <v>29</v>
      </c>
      <c r="AM15" s="576">
        <f xml:space="preserve"> Time!AM$10</f>
        <v>30</v>
      </c>
      <c r="AN15" s="576">
        <f xml:space="preserve"> Time!AN$10</f>
        <v>31</v>
      </c>
      <c r="AO15" s="576">
        <f xml:space="preserve"> Time!AO$10</f>
        <v>32</v>
      </c>
      <c r="AP15" s="576">
        <f xml:space="preserve"> Time!AP$10</f>
        <v>33</v>
      </c>
      <c r="AQ15" s="576">
        <f xml:space="preserve"> Time!AQ$10</f>
        <v>34</v>
      </c>
      <c r="AR15" s="576">
        <f xml:space="preserve"> Time!AR$10</f>
        <v>35</v>
      </c>
      <c r="AS15" s="576">
        <f xml:space="preserve"> Time!AS$10</f>
        <v>36</v>
      </c>
      <c r="AT15" s="576">
        <f xml:space="preserve"> Time!AT$10</f>
        <v>37</v>
      </c>
      <c r="AU15" s="576">
        <f xml:space="preserve"> Time!AU$10</f>
        <v>38</v>
      </c>
      <c r="AV15" s="576">
        <f xml:space="preserve"> Time!AV$10</f>
        <v>39</v>
      </c>
      <c r="AW15" s="576">
        <f xml:space="preserve"> Time!AW$10</f>
        <v>40</v>
      </c>
      <c r="AX15" s="576">
        <f xml:space="preserve"> Time!AX$10</f>
        <v>41</v>
      </c>
      <c r="AY15" s="576">
        <f xml:space="preserve"> Time!AY$10</f>
        <v>42</v>
      </c>
      <c r="AZ15" s="576">
        <f xml:space="preserve"> Time!AZ$10</f>
        <v>43</v>
      </c>
      <c r="BA15" s="576">
        <f xml:space="preserve"> Time!BA$10</f>
        <v>44</v>
      </c>
      <c r="BB15" s="576">
        <f xml:space="preserve"> Time!BB$10</f>
        <v>45</v>
      </c>
      <c r="BC15" s="576">
        <f xml:space="preserve"> Time!BC$10</f>
        <v>46</v>
      </c>
      <c r="BD15" s="576">
        <f xml:space="preserve"> Time!BD$10</f>
        <v>47</v>
      </c>
      <c r="BE15" s="576">
        <f xml:space="preserve"> Time!BE$10</f>
        <v>48</v>
      </c>
      <c r="BF15" s="576">
        <f xml:space="preserve"> Time!BF$10</f>
        <v>49</v>
      </c>
      <c r="BG15" s="576">
        <f xml:space="preserve"> Time!BG$10</f>
        <v>50</v>
      </c>
      <c r="BH15" s="576">
        <f xml:space="preserve"> Time!BH$10</f>
        <v>51</v>
      </c>
      <c r="BI15" s="576">
        <f xml:space="preserve"> Time!BI$10</f>
        <v>52</v>
      </c>
      <c r="BJ15" s="576">
        <f xml:space="preserve"> Time!BJ$10</f>
        <v>53</v>
      </c>
      <c r="BK15" s="576">
        <f xml:space="preserve"> Time!BK$10</f>
        <v>54</v>
      </c>
      <c r="BL15" s="576">
        <f xml:space="preserve"> Time!BL$10</f>
        <v>55</v>
      </c>
      <c r="BM15" s="576">
        <f xml:space="preserve"> Time!BM$10</f>
        <v>56</v>
      </c>
      <c r="BN15" s="576">
        <f xml:space="preserve"> Time!BN$10</f>
        <v>57</v>
      </c>
      <c r="BO15" s="576">
        <f xml:space="preserve"> Time!BO$10</f>
        <v>58</v>
      </c>
      <c r="BP15" s="576">
        <f xml:space="preserve"> Time!BP$10</f>
        <v>59</v>
      </c>
      <c r="BQ15" s="576">
        <f xml:space="preserve"> Time!BQ$10</f>
        <v>60</v>
      </c>
      <c r="BR15" s="576">
        <f xml:space="preserve"> Time!BR$10</f>
        <v>61</v>
      </c>
      <c r="BS15" s="576">
        <f xml:space="preserve"> Time!BS$10</f>
        <v>62</v>
      </c>
      <c r="BT15" s="576">
        <f xml:space="preserve"> Time!BT$10</f>
        <v>63</v>
      </c>
      <c r="BU15" s="576">
        <f xml:space="preserve"> Time!BU$10</f>
        <v>64</v>
      </c>
      <c r="BV15" s="576">
        <f xml:space="preserve"> Time!BV$10</f>
        <v>65</v>
      </c>
      <c r="BW15" s="576">
        <f xml:space="preserve"> Time!BW$10</f>
        <v>66</v>
      </c>
      <c r="BX15" s="576">
        <f xml:space="preserve"> Time!BX$10</f>
        <v>67</v>
      </c>
      <c r="BY15" s="576">
        <f xml:space="preserve"> Time!BY$10</f>
        <v>68</v>
      </c>
      <c r="BZ15" s="576">
        <f xml:space="preserve"> Time!BZ$10</f>
        <v>69</v>
      </c>
      <c r="CA15" s="576">
        <f xml:space="preserve"> Time!CA$10</f>
        <v>70</v>
      </c>
      <c r="CB15" s="576">
        <f xml:space="preserve"> Time!CB$10</f>
        <v>71</v>
      </c>
      <c r="CC15" s="576">
        <f xml:space="preserve"> Time!CC$10</f>
        <v>72</v>
      </c>
      <c r="CD15" s="576">
        <f xml:space="preserve"> Time!CD$10</f>
        <v>73</v>
      </c>
      <c r="CE15" s="576">
        <f xml:space="preserve"> Time!CE$10</f>
        <v>74</v>
      </c>
      <c r="CF15" s="576">
        <f xml:space="preserve"> Time!CF$10</f>
        <v>75</v>
      </c>
      <c r="CG15" s="576">
        <f xml:space="preserve"> Time!CG$10</f>
        <v>76</v>
      </c>
      <c r="CH15" s="576">
        <f xml:space="preserve"> Time!CH$10</f>
        <v>77</v>
      </c>
      <c r="CI15" s="576">
        <f xml:space="preserve"> Time!CI$10</f>
        <v>78</v>
      </c>
      <c r="CJ15" s="576">
        <f xml:space="preserve"> Time!CJ$10</f>
        <v>79</v>
      </c>
      <c r="CK15" s="576">
        <f xml:space="preserve"> Time!CK$10</f>
        <v>80</v>
      </c>
      <c r="CL15" s="576">
        <f xml:space="preserve"> Time!CL$10</f>
        <v>81</v>
      </c>
      <c r="CM15" s="576">
        <f xml:space="preserve"> Time!CM$10</f>
        <v>82</v>
      </c>
      <c r="CN15" s="576">
        <f xml:space="preserve"> Time!CN$10</f>
        <v>83</v>
      </c>
      <c r="CO15" s="576">
        <f xml:space="preserve"> Time!CO$10</f>
        <v>84</v>
      </c>
      <c r="CP15" s="576">
        <f xml:space="preserve"> Time!CP$10</f>
        <v>85</v>
      </c>
      <c r="CQ15" s="576">
        <f xml:space="preserve"> Time!CQ$10</f>
        <v>86</v>
      </c>
      <c r="CR15" s="576">
        <f xml:space="preserve"> Time!CR$10</f>
        <v>87</v>
      </c>
      <c r="CS15" s="576">
        <f xml:space="preserve"> Time!CS$10</f>
        <v>88</v>
      </c>
      <c r="CT15" s="576">
        <f xml:space="preserve"> Time!CT$10</f>
        <v>89</v>
      </c>
      <c r="CU15" s="576">
        <f xml:space="preserve"> Time!CU$10</f>
        <v>90</v>
      </c>
      <c r="CV15" s="576">
        <f xml:space="preserve"> Time!CV$10</f>
        <v>91</v>
      </c>
    </row>
    <row r="16" spans="1:100" s="495" customFormat="1" outlineLevel="2" x14ac:dyDescent="0.2">
      <c r="A16" s="405"/>
      <c r="B16" s="405"/>
      <c r="C16" s="406"/>
      <c r="D16" s="575"/>
      <c r="E16" s="77" t="str">
        <f xml:space="preserve"> Debt!E$369</f>
        <v>Senior debt service</v>
      </c>
      <c r="F16" s="77">
        <f xml:space="preserve"> Debt!F$369</f>
        <v>0</v>
      </c>
      <c r="G16" s="77" t="str">
        <f xml:space="preserve"> Debt!G$369</f>
        <v>$ 000s</v>
      </c>
      <c r="H16" s="77">
        <f xml:space="preserve"> Debt!H$369</f>
        <v>360041.89848376269</v>
      </c>
      <c r="I16" s="77">
        <f xml:space="preserve"> Debt!I$369</f>
        <v>0</v>
      </c>
      <c r="J16" s="77">
        <f xml:space="preserve"> Debt!J$369</f>
        <v>0</v>
      </c>
      <c r="K16" s="77">
        <f xml:space="preserve"> Debt!K$369</f>
        <v>0</v>
      </c>
      <c r="L16" s="77">
        <f xml:space="preserve"> Debt!L$369</f>
        <v>0</v>
      </c>
      <c r="M16" s="77">
        <f xml:space="preserve"> Debt!M$369</f>
        <v>0</v>
      </c>
      <c r="N16" s="77">
        <f xml:space="preserve"> Debt!N$369</f>
        <v>0</v>
      </c>
      <c r="O16" s="77">
        <f xml:space="preserve"> Debt!O$369</f>
        <v>12686.671356945051</v>
      </c>
      <c r="P16" s="77">
        <f xml:space="preserve"> Debt!P$369</f>
        <v>11219.578313619157</v>
      </c>
      <c r="Q16" s="77">
        <f xml:space="preserve"> Debt!Q$369</f>
        <v>11246.683026259163</v>
      </c>
      <c r="R16" s="77">
        <f xml:space="preserve"> Debt!R$369</f>
        <v>11134.906831418644</v>
      </c>
      <c r="S16" s="77">
        <f xml:space="preserve"> Debt!S$369</f>
        <v>11160.497290778691</v>
      </c>
      <c r="T16" s="77">
        <f xml:space="preserve"> Debt!T$369</f>
        <v>11049.147667919469</v>
      </c>
      <c r="U16" s="77">
        <f xml:space="preserve"> Debt!U$369</f>
        <v>11073.197450820346</v>
      </c>
      <c r="V16" s="77">
        <f xml:space="preserve"> Debt!V$369</f>
        <v>10977.313489020877</v>
      </c>
      <c r="W16" s="77">
        <f xml:space="preserve"> Debt!W$369</f>
        <v>10969.723974284556</v>
      </c>
      <c r="X16" s="77">
        <f xml:space="preserve"> Debt!X$369</f>
        <v>10874.27318110882</v>
      </c>
      <c r="Y16" s="77">
        <f xml:space="preserve"> Debt!Y$369</f>
        <v>10895.160171361602</v>
      </c>
      <c r="Z16" s="77">
        <f xml:space="preserve"> Debt!Z$369</f>
        <v>10785.110133328311</v>
      </c>
      <c r="AA16" s="77">
        <f xml:space="preserve"> Debt!AA$369</f>
        <v>10804.373888164411</v>
      </c>
      <c r="AB16" s="77">
        <f xml:space="preserve"> Debt!AB$369</f>
        <v>10694.76392796511</v>
      </c>
      <c r="AC16" s="77">
        <f xml:space="preserve"> Debt!AC$369</f>
        <v>10712.37579856183</v>
      </c>
      <c r="AD16" s="77">
        <f xml:space="preserve"> Debt!AD$369</f>
        <v>10617.752823814142</v>
      </c>
      <c r="AE16" s="77">
        <f xml:space="preserve"> Debt!AE$369</f>
        <v>10604.596909622556</v>
      </c>
      <c r="AF16" s="77">
        <f xml:space="preserve"> Debt!AF$369</f>
        <v>10510.421245766829</v>
      </c>
      <c r="AG16" s="77">
        <f xml:space="preserve"> Debt!AG$369</f>
        <v>10524.641040765775</v>
      </c>
      <c r="AH16" s="77">
        <f xml:space="preserve"> Debt!AH$369</f>
        <v>10416.373099274493</v>
      </c>
      <c r="AI16" s="77">
        <f xml:space="preserve"> Debt!AI$369</f>
        <v>10428.851504537852</v>
      </c>
      <c r="AJ16" s="77">
        <f xml:space="preserve"> Debt!AJ$369</f>
        <v>10321.038445702476</v>
      </c>
      <c r="AK16" s="77">
        <f xml:space="preserve"> Debt!AK$369</f>
        <v>10331.74438166013</v>
      </c>
      <c r="AL16" s="77">
        <f xml:space="preserve"> Debt!AL$369</f>
        <v>10238.413866724009</v>
      </c>
      <c r="AM16" s="77">
        <f xml:space="preserve"> Debt!AM$369</f>
        <v>10219.268154047048</v>
      </c>
      <c r="AN16" s="77">
        <f xml:space="preserve"> Debt!AN$369</f>
        <v>10126.400443477962</v>
      </c>
      <c r="AO16" s="77">
        <f xml:space="preserve"> Debt!AO$369</f>
        <v>10133.465715349392</v>
      </c>
      <c r="AP16" s="77">
        <f xml:space="preserve"> Debt!AP$369</f>
        <v>10027.041163247522</v>
      </c>
      <c r="AQ16" s="77">
        <f xml:space="preserve"> Debt!AQ$369</f>
        <v>10032.236926693096</v>
      </c>
      <c r="AR16" s="77">
        <f xml:space="preserve"> Debt!AR$369</f>
        <v>9926.2834676298662</v>
      </c>
      <c r="AS16" s="77">
        <f xml:space="preserve"> Debt!AS$369</f>
        <v>9929.5775194771086</v>
      </c>
      <c r="AT16" s="77">
        <f xml:space="preserve"> Debt!AT$369</f>
        <v>9837.5746264223908</v>
      </c>
      <c r="AU16" s="77">
        <f xml:space="preserve"> Debt!AU$369</f>
        <v>9811.9812368171188</v>
      </c>
      <c r="AV16" s="77">
        <f xml:space="preserve"> Debt!AV$369</f>
        <v>9720.4606172373533</v>
      </c>
      <c r="AW16" s="77">
        <f xml:space="preserve"> Debt!AW$369</f>
        <v>-2.024773110608092E-4</v>
      </c>
      <c r="AX16" s="77">
        <f xml:space="preserve"> Debt!AX$369</f>
        <v>-1.9917605055438296E-4</v>
      </c>
      <c r="AY16" s="77">
        <f xml:space="preserve"> Debt!AY$369</f>
        <v>-2.024773110608092E-4</v>
      </c>
      <c r="AZ16" s="77">
        <f xml:space="preserve"> Debt!AZ$369</f>
        <v>-1.9917605055438296E-4</v>
      </c>
      <c r="BA16" s="77">
        <f xml:space="preserve"> Debt!BA$369</f>
        <v>-2.024773110608092E-4</v>
      </c>
      <c r="BB16" s="77">
        <f xml:space="preserve"> Debt!BB$369</f>
        <v>-2.0027647072319173E-4</v>
      </c>
      <c r="BC16" s="77">
        <f xml:space="preserve"> Debt!BC$369</f>
        <v>0</v>
      </c>
      <c r="BD16" s="77">
        <f xml:space="preserve"> Debt!BD$369</f>
        <v>0</v>
      </c>
      <c r="BE16" s="77">
        <f xml:space="preserve"> Debt!BE$369</f>
        <v>0</v>
      </c>
      <c r="BF16" s="77">
        <f xml:space="preserve"> Debt!BF$369</f>
        <v>0</v>
      </c>
      <c r="BG16" s="77">
        <f xml:space="preserve"> Debt!BG$369</f>
        <v>0</v>
      </c>
      <c r="BH16" s="77">
        <f xml:space="preserve"> Debt!BH$369</f>
        <v>0</v>
      </c>
      <c r="BI16" s="77">
        <f xml:space="preserve"> Debt!BI$369</f>
        <v>0</v>
      </c>
      <c r="BJ16" s="77">
        <f xml:space="preserve"> Debt!BJ$369</f>
        <v>0</v>
      </c>
      <c r="BK16" s="77">
        <f xml:space="preserve"> Debt!BK$369</f>
        <v>0</v>
      </c>
      <c r="BL16" s="77">
        <f xml:space="preserve"> Debt!BL$369</f>
        <v>0</v>
      </c>
      <c r="BM16" s="77">
        <f xml:space="preserve"> Debt!BM$369</f>
        <v>0</v>
      </c>
      <c r="BN16" s="77">
        <f xml:space="preserve"> Debt!BN$369</f>
        <v>0</v>
      </c>
      <c r="BO16" s="77">
        <f xml:space="preserve"> Debt!BO$369</f>
        <v>0</v>
      </c>
      <c r="BP16" s="77">
        <f xml:space="preserve"> Debt!BP$369</f>
        <v>0</v>
      </c>
      <c r="BQ16" s="77">
        <f xml:space="preserve"> Debt!BQ$369</f>
        <v>0</v>
      </c>
      <c r="BR16" s="77">
        <f xml:space="preserve"> Debt!BR$369</f>
        <v>0</v>
      </c>
      <c r="BS16" s="77">
        <f xml:space="preserve"> Debt!BS$369</f>
        <v>0</v>
      </c>
      <c r="BT16" s="77">
        <f xml:space="preserve"> Debt!BT$369</f>
        <v>0</v>
      </c>
      <c r="BU16" s="77">
        <f xml:space="preserve"> Debt!BU$369</f>
        <v>0</v>
      </c>
      <c r="BV16" s="77">
        <f xml:space="preserve"> Debt!BV$369</f>
        <v>0</v>
      </c>
      <c r="BW16" s="77">
        <f xml:space="preserve"> Debt!BW$369</f>
        <v>0</v>
      </c>
      <c r="BX16" s="77">
        <f xml:space="preserve"> Debt!BX$369</f>
        <v>0</v>
      </c>
      <c r="BY16" s="77">
        <f xml:space="preserve"> Debt!BY$369</f>
        <v>0</v>
      </c>
      <c r="BZ16" s="77">
        <f xml:space="preserve"> Debt!BZ$369</f>
        <v>0</v>
      </c>
      <c r="CA16" s="77">
        <f xml:space="preserve"> Debt!CA$369</f>
        <v>0</v>
      </c>
      <c r="CB16" s="77">
        <f xml:space="preserve"> Debt!CB$369</f>
        <v>0</v>
      </c>
      <c r="CC16" s="77">
        <f xml:space="preserve"> Debt!CC$369</f>
        <v>0</v>
      </c>
      <c r="CD16" s="77">
        <f xml:space="preserve"> Debt!CD$369</f>
        <v>0</v>
      </c>
      <c r="CE16" s="77">
        <f xml:space="preserve"> Debt!CE$369</f>
        <v>0</v>
      </c>
      <c r="CF16" s="77">
        <f xml:space="preserve"> Debt!CF$369</f>
        <v>0</v>
      </c>
      <c r="CG16" s="77">
        <f xml:space="preserve"> Debt!CG$369</f>
        <v>0</v>
      </c>
      <c r="CH16" s="77">
        <f xml:space="preserve"> Debt!CH$369</f>
        <v>0</v>
      </c>
      <c r="CI16" s="77">
        <f xml:space="preserve"> Debt!CI$369</f>
        <v>0</v>
      </c>
      <c r="CJ16" s="77">
        <f xml:space="preserve"> Debt!CJ$369</f>
        <v>0</v>
      </c>
      <c r="CK16" s="77">
        <f xml:space="preserve"> Debt!CK$369</f>
        <v>0</v>
      </c>
      <c r="CL16" s="77">
        <f xml:space="preserve"> Debt!CL$369</f>
        <v>0</v>
      </c>
      <c r="CM16" s="77">
        <f xml:space="preserve"> Debt!CM$369</f>
        <v>0</v>
      </c>
      <c r="CN16" s="77">
        <f xml:space="preserve"> Debt!CN$369</f>
        <v>0</v>
      </c>
      <c r="CO16" s="77">
        <f xml:space="preserve"> Debt!CO$369</f>
        <v>0</v>
      </c>
      <c r="CP16" s="77">
        <f xml:space="preserve"> Debt!CP$369</f>
        <v>0</v>
      </c>
      <c r="CQ16" s="77">
        <f xml:space="preserve"> Debt!CQ$369</f>
        <v>0</v>
      </c>
      <c r="CR16" s="77">
        <f xml:space="preserve"> Debt!CR$369</f>
        <v>0</v>
      </c>
      <c r="CS16" s="77">
        <f xml:space="preserve"> Debt!CS$369</f>
        <v>0</v>
      </c>
      <c r="CT16" s="77">
        <f xml:space="preserve"> Debt!CT$369</f>
        <v>0</v>
      </c>
      <c r="CU16" s="77">
        <f xml:space="preserve"> Debt!CU$369</f>
        <v>0</v>
      </c>
      <c r="CV16" s="77">
        <f xml:space="preserve"> Debt!CV$369</f>
        <v>0</v>
      </c>
    </row>
    <row r="17" spans="1:100" s="495" customFormat="1" outlineLevel="2" x14ac:dyDescent="0.2">
      <c r="A17" s="405"/>
      <c r="B17" s="405"/>
      <c r="C17" s="406"/>
      <c r="D17" s="575"/>
      <c r="E17" s="577" t="str">
        <f xml:space="preserve"> Time!E$106</f>
        <v>Operating period flag</v>
      </c>
      <c r="F17" s="577">
        <f xml:space="preserve"> Time!F$106</f>
        <v>0</v>
      </c>
      <c r="G17" s="577" t="str">
        <f xml:space="preserve"> Time!G$106</f>
        <v>flag</v>
      </c>
      <c r="H17" s="577">
        <f xml:space="preserve"> Time!H$106</f>
        <v>40</v>
      </c>
      <c r="I17" s="577">
        <f xml:space="preserve"> Time!I$106</f>
        <v>0</v>
      </c>
      <c r="J17" s="577">
        <f xml:space="preserve"> Time!J$106</f>
        <v>0</v>
      </c>
      <c r="K17" s="577">
        <f xml:space="preserve"> Time!K$106</f>
        <v>0</v>
      </c>
      <c r="L17" s="577">
        <f xml:space="preserve"> Time!L$106</f>
        <v>0</v>
      </c>
      <c r="M17" s="577">
        <f xml:space="preserve"> Time!M$106</f>
        <v>0</v>
      </c>
      <c r="N17" s="577">
        <f xml:space="preserve"> Time!N$106</f>
        <v>0</v>
      </c>
      <c r="O17" s="577">
        <f xml:space="preserve"> Time!O$106</f>
        <v>1</v>
      </c>
      <c r="P17" s="577">
        <f xml:space="preserve"> Time!P$106</f>
        <v>1</v>
      </c>
      <c r="Q17" s="577">
        <f xml:space="preserve"> Time!Q$106</f>
        <v>1</v>
      </c>
      <c r="R17" s="577">
        <f xml:space="preserve"> Time!R$106</f>
        <v>1</v>
      </c>
      <c r="S17" s="577">
        <f xml:space="preserve"> Time!S$106</f>
        <v>1</v>
      </c>
      <c r="T17" s="577">
        <f xml:space="preserve"> Time!T$106</f>
        <v>1</v>
      </c>
      <c r="U17" s="577">
        <f xml:space="preserve"> Time!U$106</f>
        <v>1</v>
      </c>
      <c r="V17" s="577">
        <f xml:space="preserve"> Time!V$106</f>
        <v>1</v>
      </c>
      <c r="W17" s="577">
        <f xml:space="preserve"> Time!W$106</f>
        <v>1</v>
      </c>
      <c r="X17" s="577">
        <f xml:space="preserve"> Time!X$106</f>
        <v>1</v>
      </c>
      <c r="Y17" s="577">
        <f xml:space="preserve"> Time!Y$106</f>
        <v>1</v>
      </c>
      <c r="Z17" s="577">
        <f xml:space="preserve"> Time!Z$106</f>
        <v>1</v>
      </c>
      <c r="AA17" s="577">
        <f xml:space="preserve"> Time!AA$106</f>
        <v>1</v>
      </c>
      <c r="AB17" s="577">
        <f xml:space="preserve"> Time!AB$106</f>
        <v>1</v>
      </c>
      <c r="AC17" s="577">
        <f xml:space="preserve"> Time!AC$106</f>
        <v>1</v>
      </c>
      <c r="AD17" s="577">
        <f xml:space="preserve"> Time!AD$106</f>
        <v>1</v>
      </c>
      <c r="AE17" s="577">
        <f xml:space="preserve"> Time!AE$106</f>
        <v>1</v>
      </c>
      <c r="AF17" s="577">
        <f xml:space="preserve"> Time!AF$106</f>
        <v>1</v>
      </c>
      <c r="AG17" s="577">
        <f xml:space="preserve"> Time!AG$106</f>
        <v>1</v>
      </c>
      <c r="AH17" s="577">
        <f xml:space="preserve"> Time!AH$106</f>
        <v>1</v>
      </c>
      <c r="AI17" s="577">
        <f xml:space="preserve"> Time!AI$106</f>
        <v>1</v>
      </c>
      <c r="AJ17" s="577">
        <f xml:space="preserve"> Time!AJ$106</f>
        <v>1</v>
      </c>
      <c r="AK17" s="577">
        <f xml:space="preserve"> Time!AK$106</f>
        <v>1</v>
      </c>
      <c r="AL17" s="577">
        <f xml:space="preserve"> Time!AL$106</f>
        <v>1</v>
      </c>
      <c r="AM17" s="577">
        <f xml:space="preserve"> Time!AM$106</f>
        <v>1</v>
      </c>
      <c r="AN17" s="577">
        <f xml:space="preserve"> Time!AN$106</f>
        <v>1</v>
      </c>
      <c r="AO17" s="577">
        <f xml:space="preserve"> Time!AO$106</f>
        <v>1</v>
      </c>
      <c r="AP17" s="577">
        <f xml:space="preserve"> Time!AP$106</f>
        <v>1</v>
      </c>
      <c r="AQ17" s="577">
        <f xml:space="preserve"> Time!AQ$106</f>
        <v>1</v>
      </c>
      <c r="AR17" s="577">
        <f xml:space="preserve"> Time!AR$106</f>
        <v>1</v>
      </c>
      <c r="AS17" s="577">
        <f xml:space="preserve"> Time!AS$106</f>
        <v>1</v>
      </c>
      <c r="AT17" s="577">
        <f xml:space="preserve"> Time!AT$106</f>
        <v>1</v>
      </c>
      <c r="AU17" s="577">
        <f xml:space="preserve"> Time!AU$106</f>
        <v>1</v>
      </c>
      <c r="AV17" s="577">
        <f xml:space="preserve"> Time!AV$106</f>
        <v>1</v>
      </c>
      <c r="AW17" s="577">
        <f xml:space="preserve"> Time!AW$106</f>
        <v>1</v>
      </c>
      <c r="AX17" s="577">
        <f xml:space="preserve"> Time!AX$106</f>
        <v>1</v>
      </c>
      <c r="AY17" s="577">
        <f xml:space="preserve"> Time!AY$106</f>
        <v>1</v>
      </c>
      <c r="AZ17" s="577">
        <f xml:space="preserve"> Time!AZ$106</f>
        <v>1</v>
      </c>
      <c r="BA17" s="577">
        <f xml:space="preserve"> Time!BA$106</f>
        <v>1</v>
      </c>
      <c r="BB17" s="577">
        <f xml:space="preserve"> Time!BB$106</f>
        <v>1</v>
      </c>
      <c r="BC17" s="577">
        <f xml:space="preserve"> Time!BC$106</f>
        <v>0</v>
      </c>
      <c r="BD17" s="577">
        <f xml:space="preserve"> Time!BD$106</f>
        <v>0</v>
      </c>
      <c r="BE17" s="577">
        <f xml:space="preserve"> Time!BE$106</f>
        <v>0</v>
      </c>
      <c r="BF17" s="577">
        <f xml:space="preserve"> Time!BF$106</f>
        <v>0</v>
      </c>
      <c r="BG17" s="577">
        <f xml:space="preserve"> Time!BG$106</f>
        <v>0</v>
      </c>
      <c r="BH17" s="577">
        <f xml:space="preserve"> Time!BH$106</f>
        <v>0</v>
      </c>
      <c r="BI17" s="577">
        <f xml:space="preserve"> Time!BI$106</f>
        <v>0</v>
      </c>
      <c r="BJ17" s="577">
        <f xml:space="preserve"> Time!BJ$106</f>
        <v>0</v>
      </c>
      <c r="BK17" s="577">
        <f xml:space="preserve"> Time!BK$106</f>
        <v>0</v>
      </c>
      <c r="BL17" s="577">
        <f xml:space="preserve"> Time!BL$106</f>
        <v>0</v>
      </c>
      <c r="BM17" s="577">
        <f xml:space="preserve"> Time!BM$106</f>
        <v>0</v>
      </c>
      <c r="BN17" s="577">
        <f xml:space="preserve"> Time!BN$106</f>
        <v>0</v>
      </c>
      <c r="BO17" s="577">
        <f xml:space="preserve"> Time!BO$106</f>
        <v>0</v>
      </c>
      <c r="BP17" s="577">
        <f xml:space="preserve"> Time!BP$106</f>
        <v>0</v>
      </c>
      <c r="BQ17" s="577">
        <f xml:space="preserve"> Time!BQ$106</f>
        <v>0</v>
      </c>
      <c r="BR17" s="577">
        <f xml:space="preserve"> Time!BR$106</f>
        <v>0</v>
      </c>
      <c r="BS17" s="577">
        <f xml:space="preserve"> Time!BS$106</f>
        <v>0</v>
      </c>
      <c r="BT17" s="577">
        <f xml:space="preserve"> Time!BT$106</f>
        <v>0</v>
      </c>
      <c r="BU17" s="577">
        <f xml:space="preserve"> Time!BU$106</f>
        <v>0</v>
      </c>
      <c r="BV17" s="577">
        <f xml:space="preserve"> Time!BV$106</f>
        <v>0</v>
      </c>
      <c r="BW17" s="577">
        <f xml:space="preserve"> Time!BW$106</f>
        <v>0</v>
      </c>
      <c r="BX17" s="577">
        <f xml:space="preserve"> Time!BX$106</f>
        <v>0</v>
      </c>
      <c r="BY17" s="577">
        <f xml:space="preserve"> Time!BY$106</f>
        <v>0</v>
      </c>
      <c r="BZ17" s="577">
        <f xml:space="preserve"> Time!BZ$106</f>
        <v>0</v>
      </c>
      <c r="CA17" s="577">
        <f xml:space="preserve"> Time!CA$106</f>
        <v>0</v>
      </c>
      <c r="CB17" s="577">
        <f xml:space="preserve"> Time!CB$106</f>
        <v>0</v>
      </c>
      <c r="CC17" s="577">
        <f xml:space="preserve"> Time!CC$106</f>
        <v>0</v>
      </c>
      <c r="CD17" s="577">
        <f xml:space="preserve"> Time!CD$106</f>
        <v>0</v>
      </c>
      <c r="CE17" s="577">
        <f xml:space="preserve"> Time!CE$106</f>
        <v>0</v>
      </c>
      <c r="CF17" s="577">
        <f xml:space="preserve"> Time!CF$106</f>
        <v>0</v>
      </c>
      <c r="CG17" s="577">
        <f xml:space="preserve"> Time!CG$106</f>
        <v>0</v>
      </c>
      <c r="CH17" s="577">
        <f xml:space="preserve"> Time!CH$106</f>
        <v>0</v>
      </c>
      <c r="CI17" s="577">
        <f xml:space="preserve"> Time!CI$106</f>
        <v>0</v>
      </c>
      <c r="CJ17" s="577">
        <f xml:space="preserve"> Time!CJ$106</f>
        <v>0</v>
      </c>
      <c r="CK17" s="577">
        <f xml:space="preserve"> Time!CK$106</f>
        <v>0</v>
      </c>
      <c r="CL17" s="577">
        <f xml:space="preserve"> Time!CL$106</f>
        <v>0</v>
      </c>
      <c r="CM17" s="577">
        <f xml:space="preserve"> Time!CM$106</f>
        <v>0</v>
      </c>
      <c r="CN17" s="577">
        <f xml:space="preserve"> Time!CN$106</f>
        <v>0</v>
      </c>
      <c r="CO17" s="577">
        <f xml:space="preserve"> Time!CO$106</f>
        <v>0</v>
      </c>
      <c r="CP17" s="577">
        <f xml:space="preserve"> Time!CP$106</f>
        <v>0</v>
      </c>
      <c r="CQ17" s="577">
        <f xml:space="preserve"> Time!CQ$106</f>
        <v>0</v>
      </c>
      <c r="CR17" s="577">
        <f xml:space="preserve"> Time!CR$106</f>
        <v>0</v>
      </c>
      <c r="CS17" s="577">
        <f xml:space="preserve"> Time!CS$106</f>
        <v>0</v>
      </c>
      <c r="CT17" s="577">
        <f xml:space="preserve"> Time!CT$106</f>
        <v>0</v>
      </c>
      <c r="CU17" s="577">
        <f xml:space="preserve"> Time!CU$106</f>
        <v>0</v>
      </c>
      <c r="CV17" s="577">
        <f xml:space="preserve"> Time!CV$106</f>
        <v>0</v>
      </c>
    </row>
    <row r="18" spans="1:100" outlineLevel="2" x14ac:dyDescent="0.2">
      <c r="A18" s="33"/>
      <c r="B18" s="79"/>
      <c r="C18" s="561"/>
      <c r="D18" s="60"/>
      <c r="E18" s="32" t="s">
        <v>375</v>
      </c>
      <c r="F18" s="32"/>
      <c r="G18" s="32" t="str">
        <f xml:space="preserve"> SMU</f>
        <v>$ 000s</v>
      </c>
      <c r="H18" s="32"/>
      <c r="I18" s="32"/>
      <c r="J18" s="32">
        <f t="shared" ref="J18:AO18" si="1">SUMIFS( $J$16:$CV$16, $J$15:$CV$15, "&gt;" &amp; J15, $J$15:$CV$15, "&lt;=" &amp; J15 + $F14 ) * J17</f>
        <v>0</v>
      </c>
      <c r="K18" s="32">
        <f t="shared" si="1"/>
        <v>0</v>
      </c>
      <c r="L18" s="32">
        <f t="shared" si="1"/>
        <v>0</v>
      </c>
      <c r="M18" s="32">
        <f t="shared" si="1"/>
        <v>0</v>
      </c>
      <c r="N18" s="32">
        <f t="shared" si="1"/>
        <v>0</v>
      </c>
      <c r="O18" s="32">
        <f t="shared" si="1"/>
        <v>22466.261339878321</v>
      </c>
      <c r="P18" s="32">
        <f t="shared" si="1"/>
        <v>22381.589857677805</v>
      </c>
      <c r="Q18" s="32">
        <f t="shared" si="1"/>
        <v>22295.404122197335</v>
      </c>
      <c r="R18" s="32">
        <f t="shared" si="1"/>
        <v>22209.644958698162</v>
      </c>
      <c r="S18" s="32">
        <f t="shared" si="1"/>
        <v>22122.345118739817</v>
      </c>
      <c r="T18" s="32">
        <f t="shared" si="1"/>
        <v>22050.510939841224</v>
      </c>
      <c r="U18" s="32">
        <f t="shared" si="1"/>
        <v>21947.037463305431</v>
      </c>
      <c r="V18" s="32">
        <f t="shared" si="1"/>
        <v>21843.997155393376</v>
      </c>
      <c r="W18" s="32">
        <f t="shared" si="1"/>
        <v>21769.43335247042</v>
      </c>
      <c r="X18" s="32">
        <f t="shared" si="1"/>
        <v>21680.270304689911</v>
      </c>
      <c r="Y18" s="32">
        <f t="shared" si="1"/>
        <v>21589.484021492724</v>
      </c>
      <c r="Z18" s="32">
        <f t="shared" si="1"/>
        <v>21499.137816129522</v>
      </c>
      <c r="AA18" s="32">
        <f t="shared" si="1"/>
        <v>21407.139726526941</v>
      </c>
      <c r="AB18" s="32">
        <f t="shared" si="1"/>
        <v>21330.128622375974</v>
      </c>
      <c r="AC18" s="32">
        <f t="shared" si="1"/>
        <v>21222.349733436698</v>
      </c>
      <c r="AD18" s="32">
        <f t="shared" si="1"/>
        <v>21115.018155389385</v>
      </c>
      <c r="AE18" s="32">
        <f t="shared" si="1"/>
        <v>21035.062286532604</v>
      </c>
      <c r="AF18" s="32">
        <f t="shared" si="1"/>
        <v>20941.014140040268</v>
      </c>
      <c r="AG18" s="32">
        <f t="shared" si="1"/>
        <v>20845.224603812345</v>
      </c>
      <c r="AH18" s="32">
        <f t="shared" si="1"/>
        <v>20749.889950240329</v>
      </c>
      <c r="AI18" s="32">
        <f t="shared" si="1"/>
        <v>20652.782827362607</v>
      </c>
      <c r="AJ18" s="32">
        <f t="shared" si="1"/>
        <v>20570.158248384141</v>
      </c>
      <c r="AK18" s="32">
        <f t="shared" si="1"/>
        <v>20457.682020771055</v>
      </c>
      <c r="AL18" s="32">
        <f t="shared" si="1"/>
        <v>20345.668597525007</v>
      </c>
      <c r="AM18" s="32">
        <f t="shared" si="1"/>
        <v>20259.866158827354</v>
      </c>
      <c r="AN18" s="32">
        <f t="shared" si="1"/>
        <v>20160.506878596912</v>
      </c>
      <c r="AO18" s="32">
        <f t="shared" si="1"/>
        <v>20059.278089940621</v>
      </c>
      <c r="AP18" s="32">
        <f t="shared" ref="AP18:BU18" si="2">SUMIFS( $J$16:$CV$16, $J$15:$CV$15, "&gt;" &amp; AP15, $J$15:$CV$15, "&lt;=" &amp; AP15 + $F14 ) * AP17</f>
        <v>19958.520394322964</v>
      </c>
      <c r="AQ18" s="32">
        <f t="shared" si="2"/>
        <v>19855.860987106975</v>
      </c>
      <c r="AR18" s="32">
        <f t="shared" si="2"/>
        <v>19767.152145899498</v>
      </c>
      <c r="AS18" s="32">
        <f t="shared" si="2"/>
        <v>19649.555863239511</v>
      </c>
      <c r="AT18" s="32">
        <f t="shared" si="2"/>
        <v>19532.441854054472</v>
      </c>
      <c r="AU18" s="32">
        <f t="shared" si="2"/>
        <v>9720.4604147600421</v>
      </c>
      <c r="AV18" s="32">
        <f t="shared" si="2"/>
        <v>-4.0165336161519219E-4</v>
      </c>
      <c r="AW18" s="32">
        <f t="shared" si="2"/>
        <v>-4.0165336161519219E-4</v>
      </c>
      <c r="AX18" s="32">
        <f t="shared" si="2"/>
        <v>-4.0165336161519219E-4</v>
      </c>
      <c r="AY18" s="32">
        <f t="shared" si="2"/>
        <v>-4.0165336161519219E-4</v>
      </c>
      <c r="AZ18" s="32">
        <f t="shared" si="2"/>
        <v>-4.0275378178400092E-4</v>
      </c>
      <c r="BA18" s="32">
        <f t="shared" si="2"/>
        <v>-2.0027647072319173E-4</v>
      </c>
      <c r="BB18" s="32">
        <f t="shared" si="2"/>
        <v>0</v>
      </c>
      <c r="BC18" s="32">
        <f t="shared" si="2"/>
        <v>0</v>
      </c>
      <c r="BD18" s="32">
        <f t="shared" si="2"/>
        <v>0</v>
      </c>
      <c r="BE18" s="32">
        <f t="shared" si="2"/>
        <v>0</v>
      </c>
      <c r="BF18" s="32">
        <f t="shared" si="2"/>
        <v>0</v>
      </c>
      <c r="BG18" s="32">
        <f t="shared" si="2"/>
        <v>0</v>
      </c>
      <c r="BH18" s="32">
        <f t="shared" si="2"/>
        <v>0</v>
      </c>
      <c r="BI18" s="32">
        <f t="shared" si="2"/>
        <v>0</v>
      </c>
      <c r="BJ18" s="32">
        <f t="shared" si="2"/>
        <v>0</v>
      </c>
      <c r="BK18" s="32">
        <f t="shared" si="2"/>
        <v>0</v>
      </c>
      <c r="BL18" s="32">
        <f t="shared" si="2"/>
        <v>0</v>
      </c>
      <c r="BM18" s="32">
        <f t="shared" si="2"/>
        <v>0</v>
      </c>
      <c r="BN18" s="32">
        <f t="shared" si="2"/>
        <v>0</v>
      </c>
      <c r="BO18" s="32">
        <f t="shared" si="2"/>
        <v>0</v>
      </c>
      <c r="BP18" s="32">
        <f t="shared" si="2"/>
        <v>0</v>
      </c>
      <c r="BQ18" s="32">
        <f t="shared" si="2"/>
        <v>0</v>
      </c>
      <c r="BR18" s="32">
        <f t="shared" si="2"/>
        <v>0</v>
      </c>
      <c r="BS18" s="32">
        <f t="shared" si="2"/>
        <v>0</v>
      </c>
      <c r="BT18" s="32">
        <f t="shared" si="2"/>
        <v>0</v>
      </c>
      <c r="BU18" s="32">
        <f t="shared" si="2"/>
        <v>0</v>
      </c>
      <c r="BV18" s="32">
        <f t="shared" ref="BV18:CV18" si="3">SUMIFS( $J$16:$CV$16, $J$15:$CV$15, "&gt;" &amp; BV15, $J$15:$CV$15, "&lt;=" &amp; BV15 + $F14 ) * BV17</f>
        <v>0</v>
      </c>
      <c r="BW18" s="32">
        <f t="shared" si="3"/>
        <v>0</v>
      </c>
      <c r="BX18" s="32">
        <f t="shared" si="3"/>
        <v>0</v>
      </c>
      <c r="BY18" s="32">
        <f t="shared" si="3"/>
        <v>0</v>
      </c>
      <c r="BZ18" s="32">
        <f t="shared" si="3"/>
        <v>0</v>
      </c>
      <c r="CA18" s="32">
        <f t="shared" si="3"/>
        <v>0</v>
      </c>
      <c r="CB18" s="32">
        <f t="shared" si="3"/>
        <v>0</v>
      </c>
      <c r="CC18" s="32">
        <f t="shared" si="3"/>
        <v>0</v>
      </c>
      <c r="CD18" s="32">
        <f t="shared" si="3"/>
        <v>0</v>
      </c>
      <c r="CE18" s="32">
        <f t="shared" si="3"/>
        <v>0</v>
      </c>
      <c r="CF18" s="32">
        <f t="shared" si="3"/>
        <v>0</v>
      </c>
      <c r="CG18" s="32">
        <f t="shared" si="3"/>
        <v>0</v>
      </c>
      <c r="CH18" s="32">
        <f t="shared" si="3"/>
        <v>0</v>
      </c>
      <c r="CI18" s="32">
        <f t="shared" si="3"/>
        <v>0</v>
      </c>
      <c r="CJ18" s="32">
        <f t="shared" si="3"/>
        <v>0</v>
      </c>
      <c r="CK18" s="32">
        <f t="shared" si="3"/>
        <v>0</v>
      </c>
      <c r="CL18" s="32">
        <f t="shared" si="3"/>
        <v>0</v>
      </c>
      <c r="CM18" s="32">
        <f t="shared" si="3"/>
        <v>0</v>
      </c>
      <c r="CN18" s="32">
        <f t="shared" si="3"/>
        <v>0</v>
      </c>
      <c r="CO18" s="32">
        <f t="shared" si="3"/>
        <v>0</v>
      </c>
      <c r="CP18" s="32">
        <f t="shared" si="3"/>
        <v>0</v>
      </c>
      <c r="CQ18" s="32">
        <f t="shared" si="3"/>
        <v>0</v>
      </c>
      <c r="CR18" s="32">
        <f t="shared" si="3"/>
        <v>0</v>
      </c>
      <c r="CS18" s="32">
        <f t="shared" si="3"/>
        <v>0</v>
      </c>
      <c r="CT18" s="32">
        <f t="shared" si="3"/>
        <v>0</v>
      </c>
      <c r="CU18" s="32">
        <f t="shared" si="3"/>
        <v>0</v>
      </c>
      <c r="CV18" s="32">
        <f t="shared" si="3"/>
        <v>0</v>
      </c>
    </row>
    <row r="19" spans="1:100" outlineLevel="2" x14ac:dyDescent="0.2">
      <c r="A19" s="33"/>
      <c r="B19" s="79"/>
      <c r="C19" s="561"/>
      <c r="D19" s="60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</row>
    <row r="20" spans="1:100" outlineLevel="2" x14ac:dyDescent="0.2">
      <c r="A20" s="33"/>
      <c r="B20" s="79"/>
      <c r="C20" s="561"/>
      <c r="D20" s="60"/>
      <c r="E20" s="125" t="str">
        <f xml:space="preserve"> InpC!E$350</f>
        <v>DSRA target balance selection switch</v>
      </c>
      <c r="F20" s="125">
        <f xml:space="preserve"> InpC!F$350</f>
        <v>1</v>
      </c>
      <c r="G20" s="125" t="str">
        <f xml:space="preserve"> InpC!G$350</f>
        <v>1 = 50% of 12m, 2 = next 6m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</row>
    <row r="21" spans="1:100" outlineLevel="2" x14ac:dyDescent="0.2">
      <c r="A21" s="651"/>
      <c r="B21" s="562"/>
      <c r="C21" s="563"/>
      <c r="D21" s="314"/>
      <c r="E21" s="450" t="str">
        <f xml:space="preserve"> InpC!E$351</f>
        <v>DSRA target balance % of 12 month debt service - Post TRD</v>
      </c>
      <c r="F21" s="450">
        <f xml:space="preserve"> InpC!F$351</f>
        <v>0.5</v>
      </c>
      <c r="G21" s="450" t="str">
        <f xml:space="preserve"> InpC!G$351</f>
        <v>%</v>
      </c>
      <c r="H21" s="314"/>
      <c r="I21" s="314"/>
      <c r="J21" s="314"/>
      <c r="K21" s="314"/>
      <c r="L21" s="314"/>
      <c r="M21" s="314"/>
      <c r="N21" s="314"/>
      <c r="O21" s="314"/>
      <c r="P21" s="314"/>
      <c r="Q21" s="314"/>
      <c r="R21" s="314"/>
      <c r="S21" s="314"/>
      <c r="T21" s="314"/>
      <c r="U21" s="314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314"/>
      <c r="BG21" s="314"/>
      <c r="BH21" s="314"/>
      <c r="BI21" s="314"/>
      <c r="BJ21" s="314"/>
      <c r="BK21" s="314"/>
      <c r="BL21" s="314"/>
      <c r="BM21" s="314"/>
      <c r="BN21" s="314"/>
      <c r="BO21" s="314"/>
      <c r="BP21" s="314"/>
      <c r="BQ21" s="314"/>
      <c r="BR21" s="314"/>
      <c r="BS21" s="314"/>
      <c r="BT21" s="314"/>
      <c r="BU21" s="314"/>
      <c r="BV21" s="314"/>
      <c r="BW21" s="314"/>
      <c r="BX21" s="314"/>
      <c r="BY21" s="314"/>
      <c r="BZ21" s="314"/>
      <c r="CA21" s="314"/>
      <c r="CB21" s="314"/>
      <c r="CC21" s="314"/>
      <c r="CD21" s="314"/>
      <c r="CE21" s="314"/>
      <c r="CF21" s="314"/>
      <c r="CG21" s="314"/>
      <c r="CH21" s="314"/>
      <c r="CI21" s="314"/>
      <c r="CJ21" s="314"/>
      <c r="CK21" s="314"/>
      <c r="CL21" s="314"/>
      <c r="CM21" s="314"/>
      <c r="CN21" s="314"/>
      <c r="CO21" s="314"/>
      <c r="CP21" s="314"/>
      <c r="CQ21" s="314"/>
      <c r="CR21" s="314"/>
      <c r="CS21" s="314"/>
      <c r="CT21" s="314"/>
      <c r="CU21" s="314"/>
      <c r="CV21" s="314"/>
    </row>
    <row r="22" spans="1:100" outlineLevel="2" x14ac:dyDescent="0.2">
      <c r="A22" s="33"/>
      <c r="B22" s="79"/>
      <c r="C22" s="561"/>
      <c r="D22" s="60"/>
      <c r="E22" s="32" t="str">
        <f xml:space="preserve"> E$18</f>
        <v>Annual debt service for target balance</v>
      </c>
      <c r="F22" s="32">
        <f t="shared" ref="F22:BQ22" si="4" xml:space="preserve"> F$18</f>
        <v>0</v>
      </c>
      <c r="G22" s="32" t="str">
        <f t="shared" si="4"/>
        <v>$ 000s</v>
      </c>
      <c r="H22" s="32">
        <f t="shared" si="4"/>
        <v>0</v>
      </c>
      <c r="I22" s="32">
        <f t="shared" si="4"/>
        <v>0</v>
      </c>
      <c r="J22" s="32">
        <f t="shared" si="4"/>
        <v>0</v>
      </c>
      <c r="K22" s="32">
        <f t="shared" si="4"/>
        <v>0</v>
      </c>
      <c r="L22" s="32">
        <f t="shared" si="4"/>
        <v>0</v>
      </c>
      <c r="M22" s="32">
        <f t="shared" si="4"/>
        <v>0</v>
      </c>
      <c r="N22" s="32">
        <f t="shared" si="4"/>
        <v>0</v>
      </c>
      <c r="O22" s="32">
        <f t="shared" si="4"/>
        <v>22466.261339878321</v>
      </c>
      <c r="P22" s="32">
        <f t="shared" si="4"/>
        <v>22381.589857677805</v>
      </c>
      <c r="Q22" s="32">
        <f t="shared" si="4"/>
        <v>22295.404122197335</v>
      </c>
      <c r="R22" s="32">
        <f t="shared" si="4"/>
        <v>22209.644958698162</v>
      </c>
      <c r="S22" s="32">
        <f t="shared" si="4"/>
        <v>22122.345118739817</v>
      </c>
      <c r="T22" s="32">
        <f t="shared" si="4"/>
        <v>22050.510939841224</v>
      </c>
      <c r="U22" s="32">
        <f t="shared" si="4"/>
        <v>21947.037463305431</v>
      </c>
      <c r="V22" s="32">
        <f t="shared" si="4"/>
        <v>21843.997155393376</v>
      </c>
      <c r="W22" s="32">
        <f t="shared" si="4"/>
        <v>21769.43335247042</v>
      </c>
      <c r="X22" s="32">
        <f t="shared" si="4"/>
        <v>21680.270304689911</v>
      </c>
      <c r="Y22" s="32">
        <f t="shared" si="4"/>
        <v>21589.484021492724</v>
      </c>
      <c r="Z22" s="32">
        <f t="shared" si="4"/>
        <v>21499.137816129522</v>
      </c>
      <c r="AA22" s="32">
        <f t="shared" si="4"/>
        <v>21407.139726526941</v>
      </c>
      <c r="AB22" s="32">
        <f t="shared" si="4"/>
        <v>21330.128622375974</v>
      </c>
      <c r="AC22" s="32">
        <f t="shared" si="4"/>
        <v>21222.349733436698</v>
      </c>
      <c r="AD22" s="32">
        <f t="shared" si="4"/>
        <v>21115.018155389385</v>
      </c>
      <c r="AE22" s="32">
        <f t="shared" si="4"/>
        <v>21035.062286532604</v>
      </c>
      <c r="AF22" s="32">
        <f t="shared" si="4"/>
        <v>20941.014140040268</v>
      </c>
      <c r="AG22" s="32">
        <f t="shared" si="4"/>
        <v>20845.224603812345</v>
      </c>
      <c r="AH22" s="32">
        <f t="shared" si="4"/>
        <v>20749.889950240329</v>
      </c>
      <c r="AI22" s="32">
        <f t="shared" si="4"/>
        <v>20652.782827362607</v>
      </c>
      <c r="AJ22" s="32">
        <f t="shared" si="4"/>
        <v>20570.158248384141</v>
      </c>
      <c r="AK22" s="32">
        <f t="shared" si="4"/>
        <v>20457.682020771055</v>
      </c>
      <c r="AL22" s="32">
        <f t="shared" si="4"/>
        <v>20345.668597525007</v>
      </c>
      <c r="AM22" s="32">
        <f t="shared" si="4"/>
        <v>20259.866158827354</v>
      </c>
      <c r="AN22" s="32">
        <f t="shared" si="4"/>
        <v>20160.506878596912</v>
      </c>
      <c r="AO22" s="32">
        <f t="shared" si="4"/>
        <v>20059.278089940621</v>
      </c>
      <c r="AP22" s="32">
        <f t="shared" si="4"/>
        <v>19958.520394322964</v>
      </c>
      <c r="AQ22" s="32">
        <f t="shared" si="4"/>
        <v>19855.860987106975</v>
      </c>
      <c r="AR22" s="32">
        <f t="shared" si="4"/>
        <v>19767.152145899498</v>
      </c>
      <c r="AS22" s="32">
        <f t="shared" si="4"/>
        <v>19649.555863239511</v>
      </c>
      <c r="AT22" s="32">
        <f t="shared" si="4"/>
        <v>19532.441854054472</v>
      </c>
      <c r="AU22" s="32">
        <f t="shared" si="4"/>
        <v>9720.4604147600421</v>
      </c>
      <c r="AV22" s="32">
        <f t="shared" si="4"/>
        <v>-4.0165336161519219E-4</v>
      </c>
      <c r="AW22" s="32">
        <f t="shared" si="4"/>
        <v>-4.0165336161519219E-4</v>
      </c>
      <c r="AX22" s="32">
        <f t="shared" si="4"/>
        <v>-4.0165336161519219E-4</v>
      </c>
      <c r="AY22" s="32">
        <f t="shared" si="4"/>
        <v>-4.0165336161519219E-4</v>
      </c>
      <c r="AZ22" s="32">
        <f t="shared" si="4"/>
        <v>-4.0275378178400092E-4</v>
      </c>
      <c r="BA22" s="32">
        <f t="shared" si="4"/>
        <v>-2.0027647072319173E-4</v>
      </c>
      <c r="BB22" s="32">
        <f t="shared" si="4"/>
        <v>0</v>
      </c>
      <c r="BC22" s="32">
        <f t="shared" si="4"/>
        <v>0</v>
      </c>
      <c r="BD22" s="32">
        <f t="shared" si="4"/>
        <v>0</v>
      </c>
      <c r="BE22" s="32">
        <f t="shared" si="4"/>
        <v>0</v>
      </c>
      <c r="BF22" s="32">
        <f t="shared" si="4"/>
        <v>0</v>
      </c>
      <c r="BG22" s="32">
        <f t="shared" si="4"/>
        <v>0</v>
      </c>
      <c r="BH22" s="32">
        <f t="shared" si="4"/>
        <v>0</v>
      </c>
      <c r="BI22" s="32">
        <f t="shared" si="4"/>
        <v>0</v>
      </c>
      <c r="BJ22" s="32">
        <f t="shared" si="4"/>
        <v>0</v>
      </c>
      <c r="BK22" s="32">
        <f t="shared" si="4"/>
        <v>0</v>
      </c>
      <c r="BL22" s="32">
        <f t="shared" si="4"/>
        <v>0</v>
      </c>
      <c r="BM22" s="32">
        <f t="shared" si="4"/>
        <v>0</v>
      </c>
      <c r="BN22" s="32">
        <f t="shared" si="4"/>
        <v>0</v>
      </c>
      <c r="BO22" s="32">
        <f t="shared" si="4"/>
        <v>0</v>
      </c>
      <c r="BP22" s="32">
        <f t="shared" si="4"/>
        <v>0</v>
      </c>
      <c r="BQ22" s="32">
        <f t="shared" si="4"/>
        <v>0</v>
      </c>
      <c r="BR22" s="32">
        <f t="shared" ref="BR22:CV22" si="5" xml:space="preserve"> BR$18</f>
        <v>0</v>
      </c>
      <c r="BS22" s="32">
        <f t="shared" si="5"/>
        <v>0</v>
      </c>
      <c r="BT22" s="32">
        <f t="shared" si="5"/>
        <v>0</v>
      </c>
      <c r="BU22" s="32">
        <f t="shared" si="5"/>
        <v>0</v>
      </c>
      <c r="BV22" s="32">
        <f t="shared" si="5"/>
        <v>0</v>
      </c>
      <c r="BW22" s="32">
        <f t="shared" si="5"/>
        <v>0</v>
      </c>
      <c r="BX22" s="32">
        <f t="shared" si="5"/>
        <v>0</v>
      </c>
      <c r="BY22" s="32">
        <f t="shared" si="5"/>
        <v>0</v>
      </c>
      <c r="BZ22" s="32">
        <f t="shared" si="5"/>
        <v>0</v>
      </c>
      <c r="CA22" s="32">
        <f t="shared" si="5"/>
        <v>0</v>
      </c>
      <c r="CB22" s="32">
        <f t="shared" si="5"/>
        <v>0</v>
      </c>
      <c r="CC22" s="32">
        <f t="shared" si="5"/>
        <v>0</v>
      </c>
      <c r="CD22" s="32">
        <f t="shared" si="5"/>
        <v>0</v>
      </c>
      <c r="CE22" s="32">
        <f t="shared" si="5"/>
        <v>0</v>
      </c>
      <c r="CF22" s="32">
        <f t="shared" si="5"/>
        <v>0</v>
      </c>
      <c r="CG22" s="32">
        <f t="shared" si="5"/>
        <v>0</v>
      </c>
      <c r="CH22" s="32">
        <f t="shared" si="5"/>
        <v>0</v>
      </c>
      <c r="CI22" s="32">
        <f t="shared" si="5"/>
        <v>0</v>
      </c>
      <c r="CJ22" s="32">
        <f t="shared" si="5"/>
        <v>0</v>
      </c>
      <c r="CK22" s="32">
        <f t="shared" si="5"/>
        <v>0</v>
      </c>
      <c r="CL22" s="32">
        <f t="shared" si="5"/>
        <v>0</v>
      </c>
      <c r="CM22" s="32">
        <f t="shared" si="5"/>
        <v>0</v>
      </c>
      <c r="CN22" s="32">
        <f t="shared" si="5"/>
        <v>0</v>
      </c>
      <c r="CO22" s="32">
        <f t="shared" si="5"/>
        <v>0</v>
      </c>
      <c r="CP22" s="32">
        <f t="shared" si="5"/>
        <v>0</v>
      </c>
      <c r="CQ22" s="32">
        <f t="shared" si="5"/>
        <v>0</v>
      </c>
      <c r="CR22" s="32">
        <f t="shared" si="5"/>
        <v>0</v>
      </c>
      <c r="CS22" s="32">
        <f t="shared" si="5"/>
        <v>0</v>
      </c>
      <c r="CT22" s="32">
        <f t="shared" si="5"/>
        <v>0</v>
      </c>
      <c r="CU22" s="32">
        <f t="shared" si="5"/>
        <v>0</v>
      </c>
      <c r="CV22" s="32">
        <f t="shared" si="5"/>
        <v>0</v>
      </c>
    </row>
    <row r="23" spans="1:100" s="495" customFormat="1" outlineLevel="2" x14ac:dyDescent="0.2">
      <c r="A23" s="405"/>
      <c r="B23" s="405"/>
      <c r="C23" s="406"/>
      <c r="D23" s="575"/>
      <c r="E23" s="77" t="str">
        <f xml:space="preserve"> Debt!E$369</f>
        <v>Senior debt service</v>
      </c>
      <c r="F23" s="77">
        <f xml:space="preserve"> Debt!F$369</f>
        <v>0</v>
      </c>
      <c r="G23" s="77" t="str">
        <f xml:space="preserve"> Debt!G$369</f>
        <v>$ 000s</v>
      </c>
      <c r="H23" s="77">
        <f xml:space="preserve"> Debt!H$369</f>
        <v>360041.89848376269</v>
      </c>
      <c r="I23" s="77">
        <f xml:space="preserve"> Debt!I$369</f>
        <v>0</v>
      </c>
      <c r="J23" s="77">
        <f xml:space="preserve"> Debt!J$369</f>
        <v>0</v>
      </c>
      <c r="K23" s="77">
        <f xml:space="preserve"> Debt!K$369</f>
        <v>0</v>
      </c>
      <c r="L23" s="77">
        <f xml:space="preserve"> Debt!L$369</f>
        <v>0</v>
      </c>
      <c r="M23" s="77">
        <f xml:space="preserve"> Debt!M$369</f>
        <v>0</v>
      </c>
      <c r="N23" s="77">
        <f xml:space="preserve"> Debt!N$369</f>
        <v>0</v>
      </c>
      <c r="O23" s="77">
        <f xml:space="preserve"> Debt!O$369</f>
        <v>12686.671356945051</v>
      </c>
      <c r="P23" s="77">
        <f xml:space="preserve"> Debt!P$369</f>
        <v>11219.578313619157</v>
      </c>
      <c r="Q23" s="77">
        <f xml:space="preserve"> Debt!Q$369</f>
        <v>11246.683026259163</v>
      </c>
      <c r="R23" s="77">
        <f xml:space="preserve"> Debt!R$369</f>
        <v>11134.906831418644</v>
      </c>
      <c r="S23" s="77">
        <f xml:space="preserve"> Debt!S$369</f>
        <v>11160.497290778691</v>
      </c>
      <c r="T23" s="77">
        <f xml:space="preserve"> Debt!T$369</f>
        <v>11049.147667919469</v>
      </c>
      <c r="U23" s="77">
        <f xml:space="preserve"> Debt!U$369</f>
        <v>11073.197450820346</v>
      </c>
      <c r="V23" s="77">
        <f xml:space="preserve"> Debt!V$369</f>
        <v>10977.313489020877</v>
      </c>
      <c r="W23" s="77">
        <f xml:space="preserve"> Debt!W$369</f>
        <v>10969.723974284556</v>
      </c>
      <c r="X23" s="77">
        <f xml:space="preserve"> Debt!X$369</f>
        <v>10874.27318110882</v>
      </c>
      <c r="Y23" s="77">
        <f xml:space="preserve"> Debt!Y$369</f>
        <v>10895.160171361602</v>
      </c>
      <c r="Z23" s="77">
        <f xml:space="preserve"> Debt!Z$369</f>
        <v>10785.110133328311</v>
      </c>
      <c r="AA23" s="77">
        <f xml:space="preserve"> Debt!AA$369</f>
        <v>10804.373888164411</v>
      </c>
      <c r="AB23" s="77">
        <f xml:space="preserve"> Debt!AB$369</f>
        <v>10694.76392796511</v>
      </c>
      <c r="AC23" s="77">
        <f xml:space="preserve"> Debt!AC$369</f>
        <v>10712.37579856183</v>
      </c>
      <c r="AD23" s="77">
        <f xml:space="preserve"> Debt!AD$369</f>
        <v>10617.752823814142</v>
      </c>
      <c r="AE23" s="77">
        <f xml:space="preserve"> Debt!AE$369</f>
        <v>10604.596909622556</v>
      </c>
      <c r="AF23" s="77">
        <f xml:space="preserve"> Debt!AF$369</f>
        <v>10510.421245766829</v>
      </c>
      <c r="AG23" s="77">
        <f xml:space="preserve"> Debt!AG$369</f>
        <v>10524.641040765775</v>
      </c>
      <c r="AH23" s="77">
        <f xml:space="preserve"> Debt!AH$369</f>
        <v>10416.373099274493</v>
      </c>
      <c r="AI23" s="77">
        <f xml:space="preserve"> Debt!AI$369</f>
        <v>10428.851504537852</v>
      </c>
      <c r="AJ23" s="77">
        <f xml:space="preserve"> Debt!AJ$369</f>
        <v>10321.038445702476</v>
      </c>
      <c r="AK23" s="77">
        <f xml:space="preserve"> Debt!AK$369</f>
        <v>10331.74438166013</v>
      </c>
      <c r="AL23" s="77">
        <f xml:space="preserve"> Debt!AL$369</f>
        <v>10238.413866724009</v>
      </c>
      <c r="AM23" s="77">
        <f xml:space="preserve"> Debt!AM$369</f>
        <v>10219.268154047048</v>
      </c>
      <c r="AN23" s="77">
        <f xml:space="preserve"> Debt!AN$369</f>
        <v>10126.400443477962</v>
      </c>
      <c r="AO23" s="77">
        <f xml:space="preserve"> Debt!AO$369</f>
        <v>10133.465715349392</v>
      </c>
      <c r="AP23" s="77">
        <f xml:space="preserve"> Debt!AP$369</f>
        <v>10027.041163247522</v>
      </c>
      <c r="AQ23" s="77">
        <f xml:space="preserve"> Debt!AQ$369</f>
        <v>10032.236926693096</v>
      </c>
      <c r="AR23" s="77">
        <f xml:space="preserve"> Debt!AR$369</f>
        <v>9926.2834676298662</v>
      </c>
      <c r="AS23" s="77">
        <f xml:space="preserve"> Debt!AS$369</f>
        <v>9929.5775194771086</v>
      </c>
      <c r="AT23" s="77">
        <f xml:space="preserve"> Debt!AT$369</f>
        <v>9837.5746264223908</v>
      </c>
      <c r="AU23" s="77">
        <f xml:space="preserve"> Debt!AU$369</f>
        <v>9811.9812368171188</v>
      </c>
      <c r="AV23" s="77">
        <f xml:space="preserve"> Debt!AV$369</f>
        <v>9720.4606172373533</v>
      </c>
      <c r="AW23" s="77">
        <f xml:space="preserve"> Debt!AW$369</f>
        <v>-2.024773110608092E-4</v>
      </c>
      <c r="AX23" s="77">
        <f xml:space="preserve"> Debt!AX$369</f>
        <v>-1.9917605055438296E-4</v>
      </c>
      <c r="AY23" s="77">
        <f xml:space="preserve"> Debt!AY$369</f>
        <v>-2.024773110608092E-4</v>
      </c>
      <c r="AZ23" s="77">
        <f xml:space="preserve"> Debt!AZ$369</f>
        <v>-1.9917605055438296E-4</v>
      </c>
      <c r="BA23" s="77">
        <f xml:space="preserve"> Debt!BA$369</f>
        <v>-2.024773110608092E-4</v>
      </c>
      <c r="BB23" s="77">
        <f xml:space="preserve"> Debt!BB$369</f>
        <v>-2.0027647072319173E-4</v>
      </c>
      <c r="BC23" s="77">
        <f xml:space="preserve"> Debt!BC$369</f>
        <v>0</v>
      </c>
      <c r="BD23" s="77">
        <f xml:space="preserve"> Debt!BD$369</f>
        <v>0</v>
      </c>
      <c r="BE23" s="77">
        <f xml:space="preserve"> Debt!BE$369</f>
        <v>0</v>
      </c>
      <c r="BF23" s="77">
        <f xml:space="preserve"> Debt!BF$369</f>
        <v>0</v>
      </c>
      <c r="BG23" s="77">
        <f xml:space="preserve"> Debt!BG$369</f>
        <v>0</v>
      </c>
      <c r="BH23" s="77">
        <f xml:space="preserve"> Debt!BH$369</f>
        <v>0</v>
      </c>
      <c r="BI23" s="77">
        <f xml:space="preserve"> Debt!BI$369</f>
        <v>0</v>
      </c>
      <c r="BJ23" s="77">
        <f xml:space="preserve"> Debt!BJ$369</f>
        <v>0</v>
      </c>
      <c r="BK23" s="77">
        <f xml:space="preserve"> Debt!BK$369</f>
        <v>0</v>
      </c>
      <c r="BL23" s="77">
        <f xml:space="preserve"> Debt!BL$369</f>
        <v>0</v>
      </c>
      <c r="BM23" s="77">
        <f xml:space="preserve"> Debt!BM$369</f>
        <v>0</v>
      </c>
      <c r="BN23" s="77">
        <f xml:space="preserve"> Debt!BN$369</f>
        <v>0</v>
      </c>
      <c r="BO23" s="77">
        <f xml:space="preserve"> Debt!BO$369</f>
        <v>0</v>
      </c>
      <c r="BP23" s="77">
        <f xml:space="preserve"> Debt!BP$369</f>
        <v>0</v>
      </c>
      <c r="BQ23" s="77">
        <f xml:space="preserve"> Debt!BQ$369</f>
        <v>0</v>
      </c>
      <c r="BR23" s="77">
        <f xml:space="preserve"> Debt!BR$369</f>
        <v>0</v>
      </c>
      <c r="BS23" s="77">
        <f xml:space="preserve"> Debt!BS$369</f>
        <v>0</v>
      </c>
      <c r="BT23" s="77">
        <f xml:space="preserve"> Debt!BT$369</f>
        <v>0</v>
      </c>
      <c r="BU23" s="77">
        <f xml:space="preserve"> Debt!BU$369</f>
        <v>0</v>
      </c>
      <c r="BV23" s="77">
        <f xml:space="preserve"> Debt!BV$369</f>
        <v>0</v>
      </c>
      <c r="BW23" s="77">
        <f xml:space="preserve"> Debt!BW$369</f>
        <v>0</v>
      </c>
      <c r="BX23" s="77">
        <f xml:space="preserve"> Debt!BX$369</f>
        <v>0</v>
      </c>
      <c r="BY23" s="77">
        <f xml:space="preserve"> Debt!BY$369</f>
        <v>0</v>
      </c>
      <c r="BZ23" s="77">
        <f xml:space="preserve"> Debt!BZ$369</f>
        <v>0</v>
      </c>
      <c r="CA23" s="77">
        <f xml:space="preserve"> Debt!CA$369</f>
        <v>0</v>
      </c>
      <c r="CB23" s="77">
        <f xml:space="preserve"> Debt!CB$369</f>
        <v>0</v>
      </c>
      <c r="CC23" s="77">
        <f xml:space="preserve"> Debt!CC$369</f>
        <v>0</v>
      </c>
      <c r="CD23" s="77">
        <f xml:space="preserve"> Debt!CD$369</f>
        <v>0</v>
      </c>
      <c r="CE23" s="77">
        <f xml:space="preserve"> Debt!CE$369</f>
        <v>0</v>
      </c>
      <c r="CF23" s="77">
        <f xml:space="preserve"> Debt!CF$369</f>
        <v>0</v>
      </c>
      <c r="CG23" s="77">
        <f xml:space="preserve"> Debt!CG$369</f>
        <v>0</v>
      </c>
      <c r="CH23" s="77">
        <f xml:space="preserve"> Debt!CH$369</f>
        <v>0</v>
      </c>
      <c r="CI23" s="77">
        <f xml:space="preserve"> Debt!CI$369</f>
        <v>0</v>
      </c>
      <c r="CJ23" s="77">
        <f xml:space="preserve"> Debt!CJ$369</f>
        <v>0</v>
      </c>
      <c r="CK23" s="77">
        <f xml:space="preserve"> Debt!CK$369</f>
        <v>0</v>
      </c>
      <c r="CL23" s="77">
        <f xml:space="preserve"> Debt!CL$369</f>
        <v>0</v>
      </c>
      <c r="CM23" s="77">
        <f xml:space="preserve"> Debt!CM$369</f>
        <v>0</v>
      </c>
      <c r="CN23" s="77">
        <f xml:space="preserve"> Debt!CN$369</f>
        <v>0</v>
      </c>
      <c r="CO23" s="77">
        <f xml:space="preserve"> Debt!CO$369</f>
        <v>0</v>
      </c>
      <c r="CP23" s="77">
        <f xml:space="preserve"> Debt!CP$369</f>
        <v>0</v>
      </c>
      <c r="CQ23" s="77">
        <f xml:space="preserve"> Debt!CQ$369</f>
        <v>0</v>
      </c>
      <c r="CR23" s="77">
        <f xml:space="preserve"> Debt!CR$369</f>
        <v>0</v>
      </c>
      <c r="CS23" s="77">
        <f xml:space="preserve"> Debt!CS$369</f>
        <v>0</v>
      </c>
      <c r="CT23" s="77">
        <f xml:space="preserve"> Debt!CT$369</f>
        <v>0</v>
      </c>
      <c r="CU23" s="77">
        <f xml:space="preserve"> Debt!CU$369</f>
        <v>0</v>
      </c>
      <c r="CV23" s="77">
        <f xml:space="preserve"> Debt!CV$369</f>
        <v>0</v>
      </c>
    </row>
    <row r="24" spans="1:100" s="495" customFormat="1" outlineLevel="2" x14ac:dyDescent="0.2">
      <c r="A24" s="405"/>
      <c r="B24" s="405"/>
      <c r="C24" s="406"/>
      <c r="D24" s="575"/>
      <c r="E24" s="77" t="str">
        <f xml:space="preserve"> Time!E$209</f>
        <v>Senior debt service period flag</v>
      </c>
      <c r="F24" s="77">
        <f xml:space="preserve"> Time!F$209</f>
        <v>0</v>
      </c>
      <c r="G24" s="77" t="str">
        <f xml:space="preserve"> Time!G$209</f>
        <v>flag</v>
      </c>
      <c r="H24" s="77">
        <f xml:space="preserve"> Time!H$209</f>
        <v>34</v>
      </c>
      <c r="I24" s="77">
        <f xml:space="preserve"> Time!I$209</f>
        <v>0</v>
      </c>
      <c r="J24" s="77">
        <f xml:space="preserve"> Time!J$209</f>
        <v>0</v>
      </c>
      <c r="K24" s="77">
        <f xml:space="preserve"> Time!K$209</f>
        <v>0</v>
      </c>
      <c r="L24" s="77">
        <f xml:space="preserve"> Time!L$209</f>
        <v>0</v>
      </c>
      <c r="M24" s="77">
        <f xml:space="preserve"> Time!M$209</f>
        <v>0</v>
      </c>
      <c r="N24" s="77">
        <f xml:space="preserve"> Time!N$209</f>
        <v>0</v>
      </c>
      <c r="O24" s="77">
        <f xml:space="preserve"> Time!O$209</f>
        <v>1</v>
      </c>
      <c r="P24" s="77">
        <f xml:space="preserve"> Time!P$209</f>
        <v>1</v>
      </c>
      <c r="Q24" s="77">
        <f xml:space="preserve"> Time!Q$209</f>
        <v>1</v>
      </c>
      <c r="R24" s="77">
        <f xml:space="preserve"> Time!R$209</f>
        <v>1</v>
      </c>
      <c r="S24" s="77">
        <f xml:space="preserve"> Time!S$209</f>
        <v>1</v>
      </c>
      <c r="T24" s="77">
        <f xml:space="preserve"> Time!T$209</f>
        <v>1</v>
      </c>
      <c r="U24" s="77">
        <f xml:space="preserve"> Time!U$209</f>
        <v>1</v>
      </c>
      <c r="V24" s="77">
        <f xml:space="preserve"> Time!V$209</f>
        <v>1</v>
      </c>
      <c r="W24" s="77">
        <f xml:space="preserve"> Time!W$209</f>
        <v>1</v>
      </c>
      <c r="X24" s="77">
        <f xml:space="preserve"> Time!X$209</f>
        <v>1</v>
      </c>
      <c r="Y24" s="77">
        <f xml:space="preserve"> Time!Y$209</f>
        <v>1</v>
      </c>
      <c r="Z24" s="77">
        <f xml:space="preserve"> Time!Z$209</f>
        <v>1</v>
      </c>
      <c r="AA24" s="77">
        <f xml:space="preserve"> Time!AA$209</f>
        <v>1</v>
      </c>
      <c r="AB24" s="77">
        <f xml:space="preserve"> Time!AB$209</f>
        <v>1</v>
      </c>
      <c r="AC24" s="77">
        <f xml:space="preserve"> Time!AC$209</f>
        <v>1</v>
      </c>
      <c r="AD24" s="77">
        <f xml:space="preserve"> Time!AD$209</f>
        <v>1</v>
      </c>
      <c r="AE24" s="77">
        <f xml:space="preserve"> Time!AE$209</f>
        <v>1</v>
      </c>
      <c r="AF24" s="77">
        <f xml:space="preserve"> Time!AF$209</f>
        <v>1</v>
      </c>
      <c r="AG24" s="77">
        <f xml:space="preserve"> Time!AG$209</f>
        <v>1</v>
      </c>
      <c r="AH24" s="77">
        <f xml:space="preserve"> Time!AH$209</f>
        <v>1</v>
      </c>
      <c r="AI24" s="77">
        <f xml:space="preserve"> Time!AI$209</f>
        <v>1</v>
      </c>
      <c r="AJ24" s="77">
        <f xml:space="preserve"> Time!AJ$209</f>
        <v>1</v>
      </c>
      <c r="AK24" s="77">
        <f xml:space="preserve"> Time!AK$209</f>
        <v>1</v>
      </c>
      <c r="AL24" s="77">
        <f xml:space="preserve"> Time!AL$209</f>
        <v>1</v>
      </c>
      <c r="AM24" s="77">
        <f xml:space="preserve"> Time!AM$209</f>
        <v>1</v>
      </c>
      <c r="AN24" s="77">
        <f xml:space="preserve"> Time!AN$209</f>
        <v>1</v>
      </c>
      <c r="AO24" s="77">
        <f xml:space="preserve"> Time!AO$209</f>
        <v>1</v>
      </c>
      <c r="AP24" s="77">
        <f xml:space="preserve"> Time!AP$209</f>
        <v>1</v>
      </c>
      <c r="AQ24" s="77">
        <f xml:space="preserve"> Time!AQ$209</f>
        <v>1</v>
      </c>
      <c r="AR24" s="77">
        <f xml:space="preserve"> Time!AR$209</f>
        <v>1</v>
      </c>
      <c r="AS24" s="77">
        <f xml:space="preserve"> Time!AS$209</f>
        <v>1</v>
      </c>
      <c r="AT24" s="77">
        <f xml:space="preserve"> Time!AT$209</f>
        <v>1</v>
      </c>
      <c r="AU24" s="77">
        <f xml:space="preserve"> Time!AU$209</f>
        <v>1</v>
      </c>
      <c r="AV24" s="77">
        <f xml:space="preserve"> Time!AV$209</f>
        <v>1</v>
      </c>
      <c r="AW24" s="77">
        <f xml:space="preserve"> Time!AW$209</f>
        <v>0</v>
      </c>
      <c r="AX24" s="77">
        <f xml:space="preserve"> Time!AX$209</f>
        <v>0</v>
      </c>
      <c r="AY24" s="77">
        <f xml:space="preserve"> Time!AY$209</f>
        <v>0</v>
      </c>
      <c r="AZ24" s="77">
        <f xml:space="preserve"> Time!AZ$209</f>
        <v>0</v>
      </c>
      <c r="BA24" s="77">
        <f xml:space="preserve"> Time!BA$209</f>
        <v>0</v>
      </c>
      <c r="BB24" s="77">
        <f xml:space="preserve"> Time!BB$209</f>
        <v>0</v>
      </c>
      <c r="BC24" s="77">
        <f xml:space="preserve"> Time!BC$209</f>
        <v>0</v>
      </c>
      <c r="BD24" s="77">
        <f xml:space="preserve"> Time!BD$209</f>
        <v>0</v>
      </c>
      <c r="BE24" s="77">
        <f xml:space="preserve"> Time!BE$209</f>
        <v>0</v>
      </c>
      <c r="BF24" s="77">
        <f xml:space="preserve"> Time!BF$209</f>
        <v>0</v>
      </c>
      <c r="BG24" s="77">
        <f xml:space="preserve"> Time!BG$209</f>
        <v>0</v>
      </c>
      <c r="BH24" s="77">
        <f xml:space="preserve"> Time!BH$209</f>
        <v>0</v>
      </c>
      <c r="BI24" s="77">
        <f xml:space="preserve"> Time!BI$209</f>
        <v>0</v>
      </c>
      <c r="BJ24" s="77">
        <f xml:space="preserve"> Time!BJ$209</f>
        <v>0</v>
      </c>
      <c r="BK24" s="77">
        <f xml:space="preserve"> Time!BK$209</f>
        <v>0</v>
      </c>
      <c r="BL24" s="77">
        <f xml:space="preserve"> Time!BL$209</f>
        <v>0</v>
      </c>
      <c r="BM24" s="77">
        <f xml:space="preserve"> Time!BM$209</f>
        <v>0</v>
      </c>
      <c r="BN24" s="77">
        <f xml:space="preserve"> Time!BN$209</f>
        <v>0</v>
      </c>
      <c r="BO24" s="77">
        <f xml:space="preserve"> Time!BO$209</f>
        <v>0</v>
      </c>
      <c r="BP24" s="77">
        <f xml:space="preserve"> Time!BP$209</f>
        <v>0</v>
      </c>
      <c r="BQ24" s="77">
        <f xml:space="preserve"> Time!BQ$209</f>
        <v>0</v>
      </c>
      <c r="BR24" s="77">
        <f xml:space="preserve"> Time!BR$209</f>
        <v>0</v>
      </c>
      <c r="BS24" s="77">
        <f xml:space="preserve"> Time!BS$209</f>
        <v>0</v>
      </c>
      <c r="BT24" s="77">
        <f xml:space="preserve"> Time!BT$209</f>
        <v>0</v>
      </c>
      <c r="BU24" s="77">
        <f xml:space="preserve"> Time!BU$209</f>
        <v>0</v>
      </c>
      <c r="BV24" s="77">
        <f xml:space="preserve"> Time!BV$209</f>
        <v>0</v>
      </c>
      <c r="BW24" s="77">
        <f xml:space="preserve"> Time!BW$209</f>
        <v>0</v>
      </c>
      <c r="BX24" s="77">
        <f xml:space="preserve"> Time!BX$209</f>
        <v>0</v>
      </c>
      <c r="BY24" s="77">
        <f xml:space="preserve"> Time!BY$209</f>
        <v>0</v>
      </c>
      <c r="BZ24" s="77">
        <f xml:space="preserve"> Time!BZ$209</f>
        <v>0</v>
      </c>
      <c r="CA24" s="77">
        <f xml:space="preserve"> Time!CA$209</f>
        <v>0</v>
      </c>
      <c r="CB24" s="77">
        <f xml:space="preserve"> Time!CB$209</f>
        <v>0</v>
      </c>
      <c r="CC24" s="77">
        <f xml:space="preserve"> Time!CC$209</f>
        <v>0</v>
      </c>
      <c r="CD24" s="77">
        <f xml:space="preserve"> Time!CD$209</f>
        <v>0</v>
      </c>
      <c r="CE24" s="77">
        <f xml:space="preserve"> Time!CE$209</f>
        <v>0</v>
      </c>
      <c r="CF24" s="77">
        <f xml:space="preserve"> Time!CF$209</f>
        <v>0</v>
      </c>
      <c r="CG24" s="77">
        <f xml:space="preserve"> Time!CG$209</f>
        <v>0</v>
      </c>
      <c r="CH24" s="77">
        <f xml:space="preserve"> Time!CH$209</f>
        <v>0</v>
      </c>
      <c r="CI24" s="77">
        <f xml:space="preserve"> Time!CI$209</f>
        <v>0</v>
      </c>
      <c r="CJ24" s="77">
        <f xml:space="preserve"> Time!CJ$209</f>
        <v>0</v>
      </c>
      <c r="CK24" s="77">
        <f xml:space="preserve"> Time!CK$209</f>
        <v>0</v>
      </c>
      <c r="CL24" s="77">
        <f xml:space="preserve"> Time!CL$209</f>
        <v>0</v>
      </c>
      <c r="CM24" s="77">
        <f xml:space="preserve"> Time!CM$209</f>
        <v>0</v>
      </c>
      <c r="CN24" s="77">
        <f xml:space="preserve"> Time!CN$209</f>
        <v>0</v>
      </c>
      <c r="CO24" s="77">
        <f xml:space="preserve"> Time!CO$209</f>
        <v>0</v>
      </c>
      <c r="CP24" s="77">
        <f xml:space="preserve"> Time!CP$209</f>
        <v>0</v>
      </c>
      <c r="CQ24" s="77">
        <f xml:space="preserve"> Time!CQ$209</f>
        <v>0</v>
      </c>
      <c r="CR24" s="77">
        <f xml:space="preserve"> Time!CR$209</f>
        <v>0</v>
      </c>
      <c r="CS24" s="77">
        <f xml:space="preserve"> Time!CS$209</f>
        <v>0</v>
      </c>
      <c r="CT24" s="77">
        <f xml:space="preserve"> Time!CT$209</f>
        <v>0</v>
      </c>
      <c r="CU24" s="77">
        <f xml:space="preserve"> Time!CU$209</f>
        <v>0</v>
      </c>
      <c r="CV24" s="77">
        <f xml:space="preserve"> Time!CV$209</f>
        <v>0</v>
      </c>
    </row>
    <row r="25" spans="1:100" outlineLevel="2" x14ac:dyDescent="0.2">
      <c r="A25" s="33"/>
      <c r="B25" s="79"/>
      <c r="C25" s="561"/>
      <c r="D25" s="60"/>
      <c r="E25" s="32" t="s">
        <v>355</v>
      </c>
      <c r="F25" s="32"/>
      <c r="G25" s="32" t="str">
        <f xml:space="preserve"> SMU</f>
        <v>$ 000s</v>
      </c>
      <c r="H25" s="32"/>
      <c r="I25" s="32"/>
      <c r="J25" s="32">
        <f t="shared" ref="J25:AO25" si="6" xml:space="preserve"> IF($F20 = 1, $F21 * J22, SUM(K23)) * J24</f>
        <v>0</v>
      </c>
      <c r="K25" s="32">
        <f t="shared" si="6"/>
        <v>0</v>
      </c>
      <c r="L25" s="32">
        <f t="shared" si="6"/>
        <v>0</v>
      </c>
      <c r="M25" s="32">
        <f t="shared" si="6"/>
        <v>0</v>
      </c>
      <c r="N25" s="32">
        <f t="shared" si="6"/>
        <v>0</v>
      </c>
      <c r="O25" s="32">
        <f t="shared" si="6"/>
        <v>11233.130669939161</v>
      </c>
      <c r="P25" s="32">
        <f t="shared" si="6"/>
        <v>11190.794928838903</v>
      </c>
      <c r="Q25" s="32">
        <f t="shared" si="6"/>
        <v>11147.702061098667</v>
      </c>
      <c r="R25" s="32">
        <f t="shared" si="6"/>
        <v>11104.822479349081</v>
      </c>
      <c r="S25" s="32">
        <f t="shared" si="6"/>
        <v>11061.172559369908</v>
      </c>
      <c r="T25" s="32">
        <f t="shared" si="6"/>
        <v>11025.255469920612</v>
      </c>
      <c r="U25" s="32">
        <f t="shared" si="6"/>
        <v>10973.518731652715</v>
      </c>
      <c r="V25" s="32">
        <f t="shared" si="6"/>
        <v>10921.998577696688</v>
      </c>
      <c r="W25" s="32">
        <f t="shared" si="6"/>
        <v>10884.71667623521</v>
      </c>
      <c r="X25" s="32">
        <f t="shared" si="6"/>
        <v>10840.135152344956</v>
      </c>
      <c r="Y25" s="32">
        <f t="shared" si="6"/>
        <v>10794.742010746362</v>
      </c>
      <c r="Z25" s="32">
        <f t="shared" si="6"/>
        <v>10749.568908064761</v>
      </c>
      <c r="AA25" s="32">
        <f t="shared" si="6"/>
        <v>10703.56986326347</v>
      </c>
      <c r="AB25" s="32">
        <f t="shared" si="6"/>
        <v>10665.064311187987</v>
      </c>
      <c r="AC25" s="32">
        <f t="shared" si="6"/>
        <v>10611.174866718349</v>
      </c>
      <c r="AD25" s="32">
        <f t="shared" si="6"/>
        <v>10557.509077694693</v>
      </c>
      <c r="AE25" s="32">
        <f t="shared" si="6"/>
        <v>10517.531143266302</v>
      </c>
      <c r="AF25" s="32">
        <f t="shared" si="6"/>
        <v>10470.507070020134</v>
      </c>
      <c r="AG25" s="32">
        <f t="shared" si="6"/>
        <v>10422.612301906172</v>
      </c>
      <c r="AH25" s="32">
        <f t="shared" si="6"/>
        <v>10374.944975120165</v>
      </c>
      <c r="AI25" s="32">
        <f t="shared" si="6"/>
        <v>10326.391413681304</v>
      </c>
      <c r="AJ25" s="32">
        <f t="shared" si="6"/>
        <v>10285.079124192071</v>
      </c>
      <c r="AK25" s="32">
        <f t="shared" si="6"/>
        <v>10228.841010385528</v>
      </c>
      <c r="AL25" s="32">
        <f t="shared" si="6"/>
        <v>10172.834298762504</v>
      </c>
      <c r="AM25" s="32">
        <f t="shared" si="6"/>
        <v>10129.933079413677</v>
      </c>
      <c r="AN25" s="32">
        <f t="shared" si="6"/>
        <v>10080.253439298456</v>
      </c>
      <c r="AO25" s="32">
        <f t="shared" si="6"/>
        <v>10029.63904497031</v>
      </c>
      <c r="AP25" s="32">
        <f t="shared" ref="AP25:BU25" si="7" xml:space="preserve"> IF($F20 = 1, $F21 * AP22, SUM(AQ23)) * AP24</f>
        <v>9979.2601971614822</v>
      </c>
      <c r="AQ25" s="32">
        <f t="shared" si="7"/>
        <v>9927.9304935534874</v>
      </c>
      <c r="AR25" s="32">
        <f t="shared" si="7"/>
        <v>9883.5760729497488</v>
      </c>
      <c r="AS25" s="32">
        <f t="shared" si="7"/>
        <v>9824.7779316197557</v>
      </c>
      <c r="AT25" s="32">
        <f t="shared" si="7"/>
        <v>9766.220927027236</v>
      </c>
      <c r="AU25" s="32">
        <f t="shared" si="7"/>
        <v>4860.2302073800211</v>
      </c>
      <c r="AV25" s="32">
        <f t="shared" si="7"/>
        <v>-2.0082668080759609E-4</v>
      </c>
      <c r="AW25" s="32">
        <f t="shared" si="7"/>
        <v>0</v>
      </c>
      <c r="AX25" s="32">
        <f t="shared" si="7"/>
        <v>0</v>
      </c>
      <c r="AY25" s="32">
        <f t="shared" si="7"/>
        <v>0</v>
      </c>
      <c r="AZ25" s="32">
        <f t="shared" si="7"/>
        <v>0</v>
      </c>
      <c r="BA25" s="32">
        <f t="shared" si="7"/>
        <v>0</v>
      </c>
      <c r="BB25" s="32">
        <f t="shared" si="7"/>
        <v>0</v>
      </c>
      <c r="BC25" s="32">
        <f t="shared" si="7"/>
        <v>0</v>
      </c>
      <c r="BD25" s="32">
        <f t="shared" si="7"/>
        <v>0</v>
      </c>
      <c r="BE25" s="32">
        <f t="shared" si="7"/>
        <v>0</v>
      </c>
      <c r="BF25" s="32">
        <f t="shared" si="7"/>
        <v>0</v>
      </c>
      <c r="BG25" s="32">
        <f t="shared" si="7"/>
        <v>0</v>
      </c>
      <c r="BH25" s="32">
        <f t="shared" si="7"/>
        <v>0</v>
      </c>
      <c r="BI25" s="32">
        <f t="shared" si="7"/>
        <v>0</v>
      </c>
      <c r="BJ25" s="32">
        <f t="shared" si="7"/>
        <v>0</v>
      </c>
      <c r="BK25" s="32">
        <f t="shared" si="7"/>
        <v>0</v>
      </c>
      <c r="BL25" s="32">
        <f t="shared" si="7"/>
        <v>0</v>
      </c>
      <c r="BM25" s="32">
        <f t="shared" si="7"/>
        <v>0</v>
      </c>
      <c r="BN25" s="32">
        <f t="shared" si="7"/>
        <v>0</v>
      </c>
      <c r="BO25" s="32">
        <f t="shared" si="7"/>
        <v>0</v>
      </c>
      <c r="BP25" s="32">
        <f t="shared" si="7"/>
        <v>0</v>
      </c>
      <c r="BQ25" s="32">
        <f t="shared" si="7"/>
        <v>0</v>
      </c>
      <c r="BR25" s="32">
        <f t="shared" si="7"/>
        <v>0</v>
      </c>
      <c r="BS25" s="32">
        <f t="shared" si="7"/>
        <v>0</v>
      </c>
      <c r="BT25" s="32">
        <f t="shared" si="7"/>
        <v>0</v>
      </c>
      <c r="BU25" s="32">
        <f t="shared" si="7"/>
        <v>0</v>
      </c>
      <c r="BV25" s="32">
        <f t="shared" ref="BV25:CV25" si="8" xml:space="preserve"> IF($F20 = 1, $F21 * BV22, SUM(BW23)) * BV24</f>
        <v>0</v>
      </c>
      <c r="BW25" s="32">
        <f t="shared" si="8"/>
        <v>0</v>
      </c>
      <c r="BX25" s="32">
        <f t="shared" si="8"/>
        <v>0</v>
      </c>
      <c r="BY25" s="32">
        <f t="shared" si="8"/>
        <v>0</v>
      </c>
      <c r="BZ25" s="32">
        <f t="shared" si="8"/>
        <v>0</v>
      </c>
      <c r="CA25" s="32">
        <f t="shared" si="8"/>
        <v>0</v>
      </c>
      <c r="CB25" s="32">
        <f t="shared" si="8"/>
        <v>0</v>
      </c>
      <c r="CC25" s="32">
        <f t="shared" si="8"/>
        <v>0</v>
      </c>
      <c r="CD25" s="32">
        <f t="shared" si="8"/>
        <v>0</v>
      </c>
      <c r="CE25" s="32">
        <f t="shared" si="8"/>
        <v>0</v>
      </c>
      <c r="CF25" s="32">
        <f t="shared" si="8"/>
        <v>0</v>
      </c>
      <c r="CG25" s="32">
        <f t="shared" si="8"/>
        <v>0</v>
      </c>
      <c r="CH25" s="32">
        <f t="shared" si="8"/>
        <v>0</v>
      </c>
      <c r="CI25" s="32">
        <f t="shared" si="8"/>
        <v>0</v>
      </c>
      <c r="CJ25" s="32">
        <f t="shared" si="8"/>
        <v>0</v>
      </c>
      <c r="CK25" s="32">
        <f t="shared" si="8"/>
        <v>0</v>
      </c>
      <c r="CL25" s="32">
        <f t="shared" si="8"/>
        <v>0</v>
      </c>
      <c r="CM25" s="32">
        <f t="shared" si="8"/>
        <v>0</v>
      </c>
      <c r="CN25" s="32">
        <f t="shared" si="8"/>
        <v>0</v>
      </c>
      <c r="CO25" s="32">
        <f t="shared" si="8"/>
        <v>0</v>
      </c>
      <c r="CP25" s="32">
        <f t="shared" si="8"/>
        <v>0</v>
      </c>
      <c r="CQ25" s="32">
        <f t="shared" si="8"/>
        <v>0</v>
      </c>
      <c r="CR25" s="32">
        <f t="shared" si="8"/>
        <v>0</v>
      </c>
      <c r="CS25" s="32">
        <f t="shared" si="8"/>
        <v>0</v>
      </c>
      <c r="CT25" s="32">
        <f t="shared" si="8"/>
        <v>0</v>
      </c>
      <c r="CU25" s="32">
        <f t="shared" si="8"/>
        <v>0</v>
      </c>
      <c r="CV25" s="32">
        <f t="shared" si="8"/>
        <v>0</v>
      </c>
    </row>
    <row r="26" spans="1:100" outlineLevel="2" x14ac:dyDescent="0.2">
      <c r="A26" s="33"/>
      <c r="B26" s="79"/>
      <c r="C26" s="561"/>
      <c r="D26" s="60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</row>
    <row r="27" spans="1:100" outlineLevel="2" x14ac:dyDescent="0.2">
      <c r="A27" s="33"/>
      <c r="B27" s="79"/>
      <c r="C27" s="561"/>
      <c r="D27" s="32"/>
      <c r="E27" s="32" t="str">
        <f xml:space="preserve"> E$25</f>
        <v>DSRA target balance</v>
      </c>
      <c r="F27" s="32">
        <f t="shared" ref="F27:BQ27" si="9" xml:space="preserve"> F$25</f>
        <v>0</v>
      </c>
      <c r="G27" s="32" t="str">
        <f t="shared" si="9"/>
        <v>$ 000s</v>
      </c>
      <c r="H27" s="32">
        <f t="shared" si="9"/>
        <v>0</v>
      </c>
      <c r="I27" s="32">
        <f t="shared" si="9"/>
        <v>0</v>
      </c>
      <c r="J27" s="32">
        <f t="shared" si="9"/>
        <v>0</v>
      </c>
      <c r="K27" s="32">
        <f t="shared" si="9"/>
        <v>0</v>
      </c>
      <c r="L27" s="32">
        <f t="shared" si="9"/>
        <v>0</v>
      </c>
      <c r="M27" s="32">
        <f t="shared" si="9"/>
        <v>0</v>
      </c>
      <c r="N27" s="32">
        <f t="shared" si="9"/>
        <v>0</v>
      </c>
      <c r="O27" s="32">
        <f t="shared" si="9"/>
        <v>11233.130669939161</v>
      </c>
      <c r="P27" s="32">
        <f t="shared" si="9"/>
        <v>11190.794928838903</v>
      </c>
      <c r="Q27" s="32">
        <f t="shared" si="9"/>
        <v>11147.702061098667</v>
      </c>
      <c r="R27" s="32">
        <f t="shared" si="9"/>
        <v>11104.822479349081</v>
      </c>
      <c r="S27" s="32">
        <f t="shared" si="9"/>
        <v>11061.172559369908</v>
      </c>
      <c r="T27" s="32">
        <f t="shared" si="9"/>
        <v>11025.255469920612</v>
      </c>
      <c r="U27" s="32">
        <f t="shared" si="9"/>
        <v>10973.518731652715</v>
      </c>
      <c r="V27" s="32">
        <f t="shared" si="9"/>
        <v>10921.998577696688</v>
      </c>
      <c r="W27" s="32">
        <f t="shared" si="9"/>
        <v>10884.71667623521</v>
      </c>
      <c r="X27" s="32">
        <f t="shared" si="9"/>
        <v>10840.135152344956</v>
      </c>
      <c r="Y27" s="32">
        <f t="shared" si="9"/>
        <v>10794.742010746362</v>
      </c>
      <c r="Z27" s="32">
        <f t="shared" si="9"/>
        <v>10749.568908064761</v>
      </c>
      <c r="AA27" s="32">
        <f t="shared" si="9"/>
        <v>10703.56986326347</v>
      </c>
      <c r="AB27" s="32">
        <f t="shared" si="9"/>
        <v>10665.064311187987</v>
      </c>
      <c r="AC27" s="32">
        <f t="shared" si="9"/>
        <v>10611.174866718349</v>
      </c>
      <c r="AD27" s="32">
        <f t="shared" si="9"/>
        <v>10557.509077694693</v>
      </c>
      <c r="AE27" s="32">
        <f t="shared" si="9"/>
        <v>10517.531143266302</v>
      </c>
      <c r="AF27" s="32">
        <f t="shared" si="9"/>
        <v>10470.507070020134</v>
      </c>
      <c r="AG27" s="32">
        <f t="shared" si="9"/>
        <v>10422.612301906172</v>
      </c>
      <c r="AH27" s="32">
        <f t="shared" si="9"/>
        <v>10374.944975120165</v>
      </c>
      <c r="AI27" s="32">
        <f t="shared" si="9"/>
        <v>10326.391413681304</v>
      </c>
      <c r="AJ27" s="32">
        <f t="shared" si="9"/>
        <v>10285.079124192071</v>
      </c>
      <c r="AK27" s="32">
        <f t="shared" si="9"/>
        <v>10228.841010385528</v>
      </c>
      <c r="AL27" s="32">
        <f t="shared" si="9"/>
        <v>10172.834298762504</v>
      </c>
      <c r="AM27" s="32">
        <f t="shared" si="9"/>
        <v>10129.933079413677</v>
      </c>
      <c r="AN27" s="32">
        <f t="shared" si="9"/>
        <v>10080.253439298456</v>
      </c>
      <c r="AO27" s="32">
        <f t="shared" si="9"/>
        <v>10029.63904497031</v>
      </c>
      <c r="AP27" s="32">
        <f t="shared" si="9"/>
        <v>9979.2601971614822</v>
      </c>
      <c r="AQ27" s="32">
        <f t="shared" si="9"/>
        <v>9927.9304935534874</v>
      </c>
      <c r="AR27" s="32">
        <f t="shared" si="9"/>
        <v>9883.5760729497488</v>
      </c>
      <c r="AS27" s="32">
        <f t="shared" si="9"/>
        <v>9824.7779316197557</v>
      </c>
      <c r="AT27" s="32">
        <f t="shared" si="9"/>
        <v>9766.220927027236</v>
      </c>
      <c r="AU27" s="32">
        <f t="shared" si="9"/>
        <v>4860.2302073800211</v>
      </c>
      <c r="AV27" s="32">
        <f t="shared" si="9"/>
        <v>-2.0082668080759609E-4</v>
      </c>
      <c r="AW27" s="32">
        <f t="shared" si="9"/>
        <v>0</v>
      </c>
      <c r="AX27" s="32">
        <f t="shared" si="9"/>
        <v>0</v>
      </c>
      <c r="AY27" s="32">
        <f t="shared" si="9"/>
        <v>0</v>
      </c>
      <c r="AZ27" s="32">
        <f t="shared" si="9"/>
        <v>0</v>
      </c>
      <c r="BA27" s="32">
        <f t="shared" si="9"/>
        <v>0</v>
      </c>
      <c r="BB27" s="32">
        <f t="shared" si="9"/>
        <v>0</v>
      </c>
      <c r="BC27" s="32">
        <f t="shared" si="9"/>
        <v>0</v>
      </c>
      <c r="BD27" s="32">
        <f t="shared" si="9"/>
        <v>0</v>
      </c>
      <c r="BE27" s="32">
        <f t="shared" si="9"/>
        <v>0</v>
      </c>
      <c r="BF27" s="32">
        <f t="shared" si="9"/>
        <v>0</v>
      </c>
      <c r="BG27" s="32">
        <f t="shared" si="9"/>
        <v>0</v>
      </c>
      <c r="BH27" s="32">
        <f t="shared" si="9"/>
        <v>0</v>
      </c>
      <c r="BI27" s="32">
        <f t="shared" si="9"/>
        <v>0</v>
      </c>
      <c r="BJ27" s="32">
        <f t="shared" si="9"/>
        <v>0</v>
      </c>
      <c r="BK27" s="32">
        <f t="shared" si="9"/>
        <v>0</v>
      </c>
      <c r="BL27" s="32">
        <f t="shared" si="9"/>
        <v>0</v>
      </c>
      <c r="BM27" s="32">
        <f t="shared" si="9"/>
        <v>0</v>
      </c>
      <c r="BN27" s="32">
        <f t="shared" si="9"/>
        <v>0</v>
      </c>
      <c r="BO27" s="32">
        <f t="shared" si="9"/>
        <v>0</v>
      </c>
      <c r="BP27" s="32">
        <f t="shared" si="9"/>
        <v>0</v>
      </c>
      <c r="BQ27" s="32">
        <f t="shared" si="9"/>
        <v>0</v>
      </c>
      <c r="BR27" s="32">
        <f t="shared" ref="BR27:CV27" si="10" xml:space="preserve"> BR$25</f>
        <v>0</v>
      </c>
      <c r="BS27" s="32">
        <f t="shared" si="10"/>
        <v>0</v>
      </c>
      <c r="BT27" s="32">
        <f t="shared" si="10"/>
        <v>0</v>
      </c>
      <c r="BU27" s="32">
        <f t="shared" si="10"/>
        <v>0</v>
      </c>
      <c r="BV27" s="32">
        <f t="shared" si="10"/>
        <v>0</v>
      </c>
      <c r="BW27" s="32">
        <f t="shared" si="10"/>
        <v>0</v>
      </c>
      <c r="BX27" s="32">
        <f t="shared" si="10"/>
        <v>0</v>
      </c>
      <c r="BY27" s="32">
        <f t="shared" si="10"/>
        <v>0</v>
      </c>
      <c r="BZ27" s="32">
        <f t="shared" si="10"/>
        <v>0</v>
      </c>
      <c r="CA27" s="32">
        <f t="shared" si="10"/>
        <v>0</v>
      </c>
      <c r="CB27" s="32">
        <f t="shared" si="10"/>
        <v>0</v>
      </c>
      <c r="CC27" s="32">
        <f t="shared" si="10"/>
        <v>0</v>
      </c>
      <c r="CD27" s="32">
        <f t="shared" si="10"/>
        <v>0</v>
      </c>
      <c r="CE27" s="32">
        <f t="shared" si="10"/>
        <v>0</v>
      </c>
      <c r="CF27" s="32">
        <f t="shared" si="10"/>
        <v>0</v>
      </c>
      <c r="CG27" s="32">
        <f t="shared" si="10"/>
        <v>0</v>
      </c>
      <c r="CH27" s="32">
        <f t="shared" si="10"/>
        <v>0</v>
      </c>
      <c r="CI27" s="32">
        <f t="shared" si="10"/>
        <v>0</v>
      </c>
      <c r="CJ27" s="32">
        <f t="shared" si="10"/>
        <v>0</v>
      </c>
      <c r="CK27" s="32">
        <f t="shared" si="10"/>
        <v>0</v>
      </c>
      <c r="CL27" s="32">
        <f t="shared" si="10"/>
        <v>0</v>
      </c>
      <c r="CM27" s="32">
        <f t="shared" si="10"/>
        <v>0</v>
      </c>
      <c r="CN27" s="32">
        <f t="shared" si="10"/>
        <v>0</v>
      </c>
      <c r="CO27" s="32">
        <f t="shared" si="10"/>
        <v>0</v>
      </c>
      <c r="CP27" s="32">
        <f t="shared" si="10"/>
        <v>0</v>
      </c>
      <c r="CQ27" s="32">
        <f t="shared" si="10"/>
        <v>0</v>
      </c>
      <c r="CR27" s="32">
        <f t="shared" si="10"/>
        <v>0</v>
      </c>
      <c r="CS27" s="32">
        <f t="shared" si="10"/>
        <v>0</v>
      </c>
      <c r="CT27" s="32">
        <f t="shared" si="10"/>
        <v>0</v>
      </c>
      <c r="CU27" s="32">
        <f t="shared" si="10"/>
        <v>0</v>
      </c>
      <c r="CV27" s="32">
        <f t="shared" si="10"/>
        <v>0</v>
      </c>
    </row>
    <row r="28" spans="1:100" s="495" customFormat="1" outlineLevel="2" x14ac:dyDescent="0.2">
      <c r="A28" s="405"/>
      <c r="B28" s="405"/>
      <c r="C28" s="406"/>
      <c r="D28" s="192"/>
      <c r="E28" s="77" t="str">
        <f xml:space="preserve"> Time!E$90</f>
        <v>First operating period flag</v>
      </c>
      <c r="F28" s="77">
        <f xml:space="preserve"> Time!F$90</f>
        <v>0</v>
      </c>
      <c r="G28" s="77" t="str">
        <f xml:space="preserve"> Time!G$90</f>
        <v>flag</v>
      </c>
      <c r="H28" s="77">
        <f xml:space="preserve"> Time!H$90</f>
        <v>1</v>
      </c>
      <c r="I28" s="77">
        <f xml:space="preserve"> Time!I$90</f>
        <v>0</v>
      </c>
      <c r="J28" s="77">
        <f xml:space="preserve"> Time!J$90</f>
        <v>0</v>
      </c>
      <c r="K28" s="77">
        <f xml:space="preserve"> Time!K$90</f>
        <v>0</v>
      </c>
      <c r="L28" s="77">
        <f xml:space="preserve"> Time!L$90</f>
        <v>0</v>
      </c>
      <c r="M28" s="77">
        <f xml:space="preserve"> Time!M$90</f>
        <v>0</v>
      </c>
      <c r="N28" s="77">
        <f xml:space="preserve"> Time!N$90</f>
        <v>0</v>
      </c>
      <c r="O28" s="77">
        <f xml:space="preserve"> Time!O$90</f>
        <v>1</v>
      </c>
      <c r="P28" s="77">
        <f xml:space="preserve"> Time!P$90</f>
        <v>0</v>
      </c>
      <c r="Q28" s="77">
        <f xml:space="preserve"> Time!Q$90</f>
        <v>0</v>
      </c>
      <c r="R28" s="77">
        <f xml:space="preserve"> Time!R$90</f>
        <v>0</v>
      </c>
      <c r="S28" s="77">
        <f xml:space="preserve"> Time!S$90</f>
        <v>0</v>
      </c>
      <c r="T28" s="77">
        <f xml:space="preserve"> Time!T$90</f>
        <v>0</v>
      </c>
      <c r="U28" s="77">
        <f xml:space="preserve"> Time!U$90</f>
        <v>0</v>
      </c>
      <c r="V28" s="77">
        <f xml:space="preserve"> Time!V$90</f>
        <v>0</v>
      </c>
      <c r="W28" s="77">
        <f xml:space="preserve"> Time!W$90</f>
        <v>0</v>
      </c>
      <c r="X28" s="77">
        <f xml:space="preserve"> Time!X$90</f>
        <v>0</v>
      </c>
      <c r="Y28" s="77">
        <f xml:space="preserve"> Time!Y$90</f>
        <v>0</v>
      </c>
      <c r="Z28" s="77">
        <f xml:space="preserve"> Time!Z$90</f>
        <v>0</v>
      </c>
      <c r="AA28" s="77">
        <f xml:space="preserve"> Time!AA$90</f>
        <v>0</v>
      </c>
      <c r="AB28" s="77">
        <f xml:space="preserve"> Time!AB$90</f>
        <v>0</v>
      </c>
      <c r="AC28" s="77">
        <f xml:space="preserve"> Time!AC$90</f>
        <v>0</v>
      </c>
      <c r="AD28" s="77">
        <f xml:space="preserve"> Time!AD$90</f>
        <v>0</v>
      </c>
      <c r="AE28" s="77">
        <f xml:space="preserve"> Time!AE$90</f>
        <v>0</v>
      </c>
      <c r="AF28" s="77">
        <f xml:space="preserve"> Time!AF$90</f>
        <v>0</v>
      </c>
      <c r="AG28" s="77">
        <f xml:space="preserve"> Time!AG$90</f>
        <v>0</v>
      </c>
      <c r="AH28" s="77">
        <f xml:space="preserve"> Time!AH$90</f>
        <v>0</v>
      </c>
      <c r="AI28" s="77">
        <f xml:space="preserve"> Time!AI$90</f>
        <v>0</v>
      </c>
      <c r="AJ28" s="77">
        <f xml:space="preserve"> Time!AJ$90</f>
        <v>0</v>
      </c>
      <c r="AK28" s="77">
        <f xml:space="preserve"> Time!AK$90</f>
        <v>0</v>
      </c>
      <c r="AL28" s="77">
        <f xml:space="preserve"> Time!AL$90</f>
        <v>0</v>
      </c>
      <c r="AM28" s="77">
        <f xml:space="preserve"> Time!AM$90</f>
        <v>0</v>
      </c>
      <c r="AN28" s="77">
        <f xml:space="preserve"> Time!AN$90</f>
        <v>0</v>
      </c>
      <c r="AO28" s="77">
        <f xml:space="preserve"> Time!AO$90</f>
        <v>0</v>
      </c>
      <c r="AP28" s="77">
        <f xml:space="preserve"> Time!AP$90</f>
        <v>0</v>
      </c>
      <c r="AQ28" s="77">
        <f xml:space="preserve"> Time!AQ$90</f>
        <v>0</v>
      </c>
      <c r="AR28" s="77">
        <f xml:space="preserve"> Time!AR$90</f>
        <v>0</v>
      </c>
      <c r="AS28" s="77">
        <f xml:space="preserve"> Time!AS$90</f>
        <v>0</v>
      </c>
      <c r="AT28" s="77">
        <f xml:space="preserve"> Time!AT$90</f>
        <v>0</v>
      </c>
      <c r="AU28" s="77">
        <f xml:space="preserve"> Time!AU$90</f>
        <v>0</v>
      </c>
      <c r="AV28" s="77">
        <f xml:space="preserve"> Time!AV$90</f>
        <v>0</v>
      </c>
      <c r="AW28" s="77">
        <f xml:space="preserve"> Time!AW$90</f>
        <v>0</v>
      </c>
      <c r="AX28" s="77">
        <f xml:space="preserve"> Time!AX$90</f>
        <v>0</v>
      </c>
      <c r="AY28" s="77">
        <f xml:space="preserve"> Time!AY$90</f>
        <v>0</v>
      </c>
      <c r="AZ28" s="77">
        <f xml:space="preserve"> Time!AZ$90</f>
        <v>0</v>
      </c>
      <c r="BA28" s="77">
        <f xml:space="preserve"> Time!BA$90</f>
        <v>0</v>
      </c>
      <c r="BB28" s="77">
        <f xml:space="preserve"> Time!BB$90</f>
        <v>0</v>
      </c>
      <c r="BC28" s="77">
        <f xml:space="preserve"> Time!BC$90</f>
        <v>0</v>
      </c>
      <c r="BD28" s="77">
        <f xml:space="preserve"> Time!BD$90</f>
        <v>0</v>
      </c>
      <c r="BE28" s="77">
        <f xml:space="preserve"> Time!BE$90</f>
        <v>0</v>
      </c>
      <c r="BF28" s="77">
        <f xml:space="preserve"> Time!BF$90</f>
        <v>0</v>
      </c>
      <c r="BG28" s="77">
        <f xml:space="preserve"> Time!BG$90</f>
        <v>0</v>
      </c>
      <c r="BH28" s="77">
        <f xml:space="preserve"> Time!BH$90</f>
        <v>0</v>
      </c>
      <c r="BI28" s="77">
        <f xml:space="preserve"> Time!BI$90</f>
        <v>0</v>
      </c>
      <c r="BJ28" s="77">
        <f xml:space="preserve"> Time!BJ$90</f>
        <v>0</v>
      </c>
      <c r="BK28" s="77">
        <f xml:space="preserve"> Time!BK$90</f>
        <v>0</v>
      </c>
      <c r="BL28" s="77">
        <f xml:space="preserve"> Time!BL$90</f>
        <v>0</v>
      </c>
      <c r="BM28" s="77">
        <f xml:space="preserve"> Time!BM$90</f>
        <v>0</v>
      </c>
      <c r="BN28" s="77">
        <f xml:space="preserve"> Time!BN$90</f>
        <v>0</v>
      </c>
      <c r="BO28" s="77">
        <f xml:space="preserve"> Time!BO$90</f>
        <v>0</v>
      </c>
      <c r="BP28" s="77">
        <f xml:space="preserve"> Time!BP$90</f>
        <v>0</v>
      </c>
      <c r="BQ28" s="77">
        <f xml:space="preserve"> Time!BQ$90</f>
        <v>0</v>
      </c>
      <c r="BR28" s="77">
        <f xml:space="preserve"> Time!BR$90</f>
        <v>0</v>
      </c>
      <c r="BS28" s="77">
        <f xml:space="preserve"> Time!BS$90</f>
        <v>0</v>
      </c>
      <c r="BT28" s="77">
        <f xml:space="preserve"> Time!BT$90</f>
        <v>0</v>
      </c>
      <c r="BU28" s="77">
        <f xml:space="preserve"> Time!BU$90</f>
        <v>0</v>
      </c>
      <c r="BV28" s="77">
        <f xml:space="preserve"> Time!BV$90</f>
        <v>0</v>
      </c>
      <c r="BW28" s="77">
        <f xml:space="preserve"> Time!BW$90</f>
        <v>0</v>
      </c>
      <c r="BX28" s="77">
        <f xml:space="preserve"> Time!BX$90</f>
        <v>0</v>
      </c>
      <c r="BY28" s="77">
        <f xml:space="preserve"> Time!BY$90</f>
        <v>0</v>
      </c>
      <c r="BZ28" s="77">
        <f xml:space="preserve"> Time!BZ$90</f>
        <v>0</v>
      </c>
      <c r="CA28" s="77">
        <f xml:space="preserve"> Time!CA$90</f>
        <v>0</v>
      </c>
      <c r="CB28" s="77">
        <f xml:space="preserve"> Time!CB$90</f>
        <v>0</v>
      </c>
      <c r="CC28" s="77">
        <f xml:space="preserve"> Time!CC$90</f>
        <v>0</v>
      </c>
      <c r="CD28" s="77">
        <f xml:space="preserve"> Time!CD$90</f>
        <v>0</v>
      </c>
      <c r="CE28" s="77">
        <f xml:space="preserve"> Time!CE$90</f>
        <v>0</v>
      </c>
      <c r="CF28" s="77">
        <f xml:space="preserve"> Time!CF$90</f>
        <v>0</v>
      </c>
      <c r="CG28" s="77">
        <f xml:space="preserve"> Time!CG$90</f>
        <v>0</v>
      </c>
      <c r="CH28" s="77">
        <f xml:space="preserve"> Time!CH$90</f>
        <v>0</v>
      </c>
      <c r="CI28" s="77">
        <f xml:space="preserve"> Time!CI$90</f>
        <v>0</v>
      </c>
      <c r="CJ28" s="77">
        <f xml:space="preserve"> Time!CJ$90</f>
        <v>0</v>
      </c>
      <c r="CK28" s="77">
        <f xml:space="preserve"> Time!CK$90</f>
        <v>0</v>
      </c>
      <c r="CL28" s="77">
        <f xml:space="preserve"> Time!CL$90</f>
        <v>0</v>
      </c>
      <c r="CM28" s="77">
        <f xml:space="preserve"> Time!CM$90</f>
        <v>0</v>
      </c>
      <c r="CN28" s="77">
        <f xml:space="preserve"> Time!CN$90</f>
        <v>0</v>
      </c>
      <c r="CO28" s="77">
        <f xml:space="preserve"> Time!CO$90</f>
        <v>0</v>
      </c>
      <c r="CP28" s="77">
        <f xml:space="preserve"> Time!CP$90</f>
        <v>0</v>
      </c>
      <c r="CQ28" s="77">
        <f xml:space="preserve"> Time!CQ$90</f>
        <v>0</v>
      </c>
      <c r="CR28" s="77">
        <f xml:space="preserve"> Time!CR$90</f>
        <v>0</v>
      </c>
      <c r="CS28" s="77">
        <f xml:space="preserve"> Time!CS$90</f>
        <v>0</v>
      </c>
      <c r="CT28" s="77">
        <f xml:space="preserve"> Time!CT$90</f>
        <v>0</v>
      </c>
      <c r="CU28" s="77">
        <f xml:space="preserve"> Time!CU$90</f>
        <v>0</v>
      </c>
      <c r="CV28" s="77">
        <f xml:space="preserve"> Time!CV$90</f>
        <v>0</v>
      </c>
    </row>
    <row r="29" spans="1:100" outlineLevel="2" x14ac:dyDescent="0.2">
      <c r="A29" s="405"/>
      <c r="B29" s="431"/>
      <c r="C29" s="564"/>
      <c r="D29" s="191"/>
      <c r="E29" s="191" t="s">
        <v>356</v>
      </c>
      <c r="F29" s="191"/>
      <c r="G29" s="191" t="str">
        <f xml:space="preserve"> SMU</f>
        <v>$ 000s</v>
      </c>
      <c r="H29" s="191">
        <f xml:space="preserve"> SUM(J29:CV29)</f>
        <v>11233.130669939161</v>
      </c>
      <c r="I29" s="191"/>
      <c r="J29" s="191">
        <f xml:space="preserve"> K27 * K28</f>
        <v>0</v>
      </c>
      <c r="K29" s="191">
        <f t="shared" ref="K29:BV29" si="11" xml:space="preserve"> L27 * L28</f>
        <v>0</v>
      </c>
      <c r="L29" s="191">
        <f t="shared" si="11"/>
        <v>0</v>
      </c>
      <c r="M29" s="191">
        <f t="shared" si="11"/>
        <v>0</v>
      </c>
      <c r="N29" s="191">
        <f t="shared" si="11"/>
        <v>11233.130669939161</v>
      </c>
      <c r="O29" s="191">
        <f t="shared" si="11"/>
        <v>0</v>
      </c>
      <c r="P29" s="191">
        <f t="shared" si="11"/>
        <v>0</v>
      </c>
      <c r="Q29" s="191">
        <f t="shared" si="11"/>
        <v>0</v>
      </c>
      <c r="R29" s="191">
        <f t="shared" si="11"/>
        <v>0</v>
      </c>
      <c r="S29" s="191">
        <f t="shared" si="11"/>
        <v>0</v>
      </c>
      <c r="T29" s="191">
        <f t="shared" si="11"/>
        <v>0</v>
      </c>
      <c r="U29" s="191">
        <f t="shared" si="11"/>
        <v>0</v>
      </c>
      <c r="V29" s="191">
        <f t="shared" si="11"/>
        <v>0</v>
      </c>
      <c r="W29" s="191">
        <f t="shared" si="11"/>
        <v>0</v>
      </c>
      <c r="X29" s="191">
        <f t="shared" si="11"/>
        <v>0</v>
      </c>
      <c r="Y29" s="191">
        <f t="shared" si="11"/>
        <v>0</v>
      </c>
      <c r="Z29" s="191">
        <f t="shared" si="11"/>
        <v>0</v>
      </c>
      <c r="AA29" s="191">
        <f t="shared" si="11"/>
        <v>0</v>
      </c>
      <c r="AB29" s="191">
        <f t="shared" si="11"/>
        <v>0</v>
      </c>
      <c r="AC29" s="191">
        <f t="shared" si="11"/>
        <v>0</v>
      </c>
      <c r="AD29" s="191">
        <f t="shared" si="11"/>
        <v>0</v>
      </c>
      <c r="AE29" s="191">
        <f t="shared" si="11"/>
        <v>0</v>
      </c>
      <c r="AF29" s="191">
        <f t="shared" si="11"/>
        <v>0</v>
      </c>
      <c r="AG29" s="191">
        <f t="shared" si="11"/>
        <v>0</v>
      </c>
      <c r="AH29" s="191">
        <f t="shared" si="11"/>
        <v>0</v>
      </c>
      <c r="AI29" s="191">
        <f t="shared" si="11"/>
        <v>0</v>
      </c>
      <c r="AJ29" s="191">
        <f t="shared" si="11"/>
        <v>0</v>
      </c>
      <c r="AK29" s="191">
        <f t="shared" si="11"/>
        <v>0</v>
      </c>
      <c r="AL29" s="191">
        <f t="shared" si="11"/>
        <v>0</v>
      </c>
      <c r="AM29" s="191">
        <f t="shared" si="11"/>
        <v>0</v>
      </c>
      <c r="AN29" s="191">
        <f t="shared" si="11"/>
        <v>0</v>
      </c>
      <c r="AO29" s="191">
        <f t="shared" si="11"/>
        <v>0</v>
      </c>
      <c r="AP29" s="191">
        <f t="shared" si="11"/>
        <v>0</v>
      </c>
      <c r="AQ29" s="191">
        <f t="shared" si="11"/>
        <v>0</v>
      </c>
      <c r="AR29" s="191">
        <f t="shared" si="11"/>
        <v>0</v>
      </c>
      <c r="AS29" s="191">
        <f t="shared" si="11"/>
        <v>0</v>
      </c>
      <c r="AT29" s="191">
        <f t="shared" si="11"/>
        <v>0</v>
      </c>
      <c r="AU29" s="191">
        <f t="shared" si="11"/>
        <v>0</v>
      </c>
      <c r="AV29" s="191">
        <f t="shared" si="11"/>
        <v>0</v>
      </c>
      <c r="AW29" s="191">
        <f t="shared" si="11"/>
        <v>0</v>
      </c>
      <c r="AX29" s="191">
        <f t="shared" si="11"/>
        <v>0</v>
      </c>
      <c r="AY29" s="191">
        <f t="shared" si="11"/>
        <v>0</v>
      </c>
      <c r="AZ29" s="191">
        <f t="shared" si="11"/>
        <v>0</v>
      </c>
      <c r="BA29" s="191">
        <f t="shared" si="11"/>
        <v>0</v>
      </c>
      <c r="BB29" s="191">
        <f t="shared" si="11"/>
        <v>0</v>
      </c>
      <c r="BC29" s="191">
        <f t="shared" si="11"/>
        <v>0</v>
      </c>
      <c r="BD29" s="191">
        <f t="shared" si="11"/>
        <v>0</v>
      </c>
      <c r="BE29" s="191">
        <f t="shared" si="11"/>
        <v>0</v>
      </c>
      <c r="BF29" s="191">
        <f t="shared" si="11"/>
        <v>0</v>
      </c>
      <c r="BG29" s="191">
        <f t="shared" si="11"/>
        <v>0</v>
      </c>
      <c r="BH29" s="191">
        <f t="shared" si="11"/>
        <v>0</v>
      </c>
      <c r="BI29" s="191">
        <f t="shared" si="11"/>
        <v>0</v>
      </c>
      <c r="BJ29" s="191">
        <f t="shared" si="11"/>
        <v>0</v>
      </c>
      <c r="BK29" s="191">
        <f t="shared" si="11"/>
        <v>0</v>
      </c>
      <c r="BL29" s="191">
        <f t="shared" si="11"/>
        <v>0</v>
      </c>
      <c r="BM29" s="191">
        <f t="shared" si="11"/>
        <v>0</v>
      </c>
      <c r="BN29" s="191">
        <f t="shared" si="11"/>
        <v>0</v>
      </c>
      <c r="BO29" s="191">
        <f t="shared" si="11"/>
        <v>0</v>
      </c>
      <c r="BP29" s="191">
        <f t="shared" si="11"/>
        <v>0</v>
      </c>
      <c r="BQ29" s="191">
        <f t="shared" si="11"/>
        <v>0</v>
      </c>
      <c r="BR29" s="191">
        <f t="shared" si="11"/>
        <v>0</v>
      </c>
      <c r="BS29" s="191">
        <f t="shared" si="11"/>
        <v>0</v>
      </c>
      <c r="BT29" s="191">
        <f t="shared" si="11"/>
        <v>0</v>
      </c>
      <c r="BU29" s="191">
        <f t="shared" si="11"/>
        <v>0</v>
      </c>
      <c r="BV29" s="191">
        <f t="shared" si="11"/>
        <v>0</v>
      </c>
      <c r="BW29" s="191">
        <f t="shared" ref="BW29:CV29" si="12" xml:space="preserve"> BX27 * BX28</f>
        <v>0</v>
      </c>
      <c r="BX29" s="191">
        <f t="shared" si="12"/>
        <v>0</v>
      </c>
      <c r="BY29" s="191">
        <f t="shared" si="12"/>
        <v>0</v>
      </c>
      <c r="BZ29" s="191">
        <f t="shared" si="12"/>
        <v>0</v>
      </c>
      <c r="CA29" s="191">
        <f t="shared" si="12"/>
        <v>0</v>
      </c>
      <c r="CB29" s="191">
        <f t="shared" si="12"/>
        <v>0</v>
      </c>
      <c r="CC29" s="191">
        <f t="shared" si="12"/>
        <v>0</v>
      </c>
      <c r="CD29" s="191">
        <f t="shared" si="12"/>
        <v>0</v>
      </c>
      <c r="CE29" s="191">
        <f t="shared" si="12"/>
        <v>0</v>
      </c>
      <c r="CF29" s="191">
        <f t="shared" si="12"/>
        <v>0</v>
      </c>
      <c r="CG29" s="191">
        <f t="shared" si="12"/>
        <v>0</v>
      </c>
      <c r="CH29" s="191">
        <f t="shared" si="12"/>
        <v>0</v>
      </c>
      <c r="CI29" s="191">
        <f t="shared" si="12"/>
        <v>0</v>
      </c>
      <c r="CJ29" s="191">
        <f t="shared" si="12"/>
        <v>0</v>
      </c>
      <c r="CK29" s="191">
        <f t="shared" si="12"/>
        <v>0</v>
      </c>
      <c r="CL29" s="191">
        <f t="shared" si="12"/>
        <v>0</v>
      </c>
      <c r="CM29" s="191">
        <f t="shared" si="12"/>
        <v>0</v>
      </c>
      <c r="CN29" s="191">
        <f t="shared" si="12"/>
        <v>0</v>
      </c>
      <c r="CO29" s="191">
        <f t="shared" si="12"/>
        <v>0</v>
      </c>
      <c r="CP29" s="191">
        <f t="shared" si="12"/>
        <v>0</v>
      </c>
      <c r="CQ29" s="191">
        <f t="shared" si="12"/>
        <v>0</v>
      </c>
      <c r="CR29" s="191">
        <f t="shared" si="12"/>
        <v>0</v>
      </c>
      <c r="CS29" s="191">
        <f t="shared" si="12"/>
        <v>0</v>
      </c>
      <c r="CT29" s="191">
        <f t="shared" si="12"/>
        <v>0</v>
      </c>
      <c r="CU29" s="191">
        <f t="shared" si="12"/>
        <v>0</v>
      </c>
      <c r="CV29" s="191">
        <f t="shared" si="12"/>
        <v>0</v>
      </c>
    </row>
    <row r="30" spans="1:100" outlineLevel="2" x14ac:dyDescent="0.2">
      <c r="A30" s="405"/>
      <c r="B30" s="431"/>
      <c r="C30" s="564"/>
      <c r="D30" s="565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</row>
    <row r="31" spans="1:100" outlineLevel="2" x14ac:dyDescent="0.2">
      <c r="A31" s="33"/>
      <c r="B31" s="79"/>
      <c r="C31" s="561"/>
      <c r="D31" s="60"/>
      <c r="E31" s="125" t="str">
        <f xml:space="preserve"> InpC!E$353</f>
        <v>Cash pre-funding of DSRA</v>
      </c>
      <c r="F31" s="125">
        <f xml:space="preserve"> InpC!F$353</f>
        <v>1</v>
      </c>
      <c r="G31" s="125" t="str">
        <f xml:space="preserve"> InpC!G$353</f>
        <v>1 = yes, 0 = no</v>
      </c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</row>
    <row r="32" spans="1:100" outlineLevel="2" x14ac:dyDescent="0.2">
      <c r="A32" s="33"/>
      <c r="B32" s="79"/>
      <c r="C32" s="561"/>
      <c r="D32" s="561"/>
      <c r="E32" s="32" t="str">
        <f t="shared" ref="E32:BP32" si="13" xml:space="preserve"> E$29</f>
        <v>Target DSRA balance at end construction - periodic</v>
      </c>
      <c r="F32" s="32">
        <f t="shared" si="13"/>
        <v>0</v>
      </c>
      <c r="G32" s="32" t="str">
        <f t="shared" si="13"/>
        <v>$ 000s</v>
      </c>
      <c r="H32" s="32">
        <f t="shared" si="13"/>
        <v>11233.130669939161</v>
      </c>
      <c r="I32" s="32">
        <f t="shared" si="13"/>
        <v>0</v>
      </c>
      <c r="J32" s="32">
        <f t="shared" si="13"/>
        <v>0</v>
      </c>
      <c r="K32" s="32">
        <f t="shared" si="13"/>
        <v>0</v>
      </c>
      <c r="L32" s="32">
        <f t="shared" si="13"/>
        <v>0</v>
      </c>
      <c r="M32" s="32">
        <f t="shared" si="13"/>
        <v>0</v>
      </c>
      <c r="N32" s="32">
        <f t="shared" si="13"/>
        <v>11233.130669939161</v>
      </c>
      <c r="O32" s="32">
        <f t="shared" si="13"/>
        <v>0</v>
      </c>
      <c r="P32" s="32">
        <f t="shared" si="13"/>
        <v>0</v>
      </c>
      <c r="Q32" s="32">
        <f t="shared" si="13"/>
        <v>0</v>
      </c>
      <c r="R32" s="32">
        <f t="shared" si="13"/>
        <v>0</v>
      </c>
      <c r="S32" s="32">
        <f t="shared" si="13"/>
        <v>0</v>
      </c>
      <c r="T32" s="32">
        <f t="shared" si="13"/>
        <v>0</v>
      </c>
      <c r="U32" s="32">
        <f t="shared" si="13"/>
        <v>0</v>
      </c>
      <c r="V32" s="32">
        <f t="shared" si="13"/>
        <v>0</v>
      </c>
      <c r="W32" s="32">
        <f t="shared" si="13"/>
        <v>0</v>
      </c>
      <c r="X32" s="32">
        <f t="shared" si="13"/>
        <v>0</v>
      </c>
      <c r="Y32" s="32">
        <f t="shared" si="13"/>
        <v>0</v>
      </c>
      <c r="Z32" s="32">
        <f t="shared" si="13"/>
        <v>0</v>
      </c>
      <c r="AA32" s="32">
        <f t="shared" si="13"/>
        <v>0</v>
      </c>
      <c r="AB32" s="32">
        <f t="shared" si="13"/>
        <v>0</v>
      </c>
      <c r="AC32" s="32">
        <f t="shared" si="13"/>
        <v>0</v>
      </c>
      <c r="AD32" s="32">
        <f t="shared" si="13"/>
        <v>0</v>
      </c>
      <c r="AE32" s="32">
        <f t="shared" si="13"/>
        <v>0</v>
      </c>
      <c r="AF32" s="32">
        <f t="shared" si="13"/>
        <v>0</v>
      </c>
      <c r="AG32" s="32">
        <f t="shared" si="13"/>
        <v>0</v>
      </c>
      <c r="AH32" s="32">
        <f t="shared" si="13"/>
        <v>0</v>
      </c>
      <c r="AI32" s="32">
        <f t="shared" si="13"/>
        <v>0</v>
      </c>
      <c r="AJ32" s="32">
        <f t="shared" si="13"/>
        <v>0</v>
      </c>
      <c r="AK32" s="32">
        <f t="shared" si="13"/>
        <v>0</v>
      </c>
      <c r="AL32" s="32">
        <f t="shared" si="13"/>
        <v>0</v>
      </c>
      <c r="AM32" s="32">
        <f t="shared" si="13"/>
        <v>0</v>
      </c>
      <c r="AN32" s="32">
        <f t="shared" si="13"/>
        <v>0</v>
      </c>
      <c r="AO32" s="32">
        <f t="shared" si="13"/>
        <v>0</v>
      </c>
      <c r="AP32" s="32">
        <f t="shared" si="13"/>
        <v>0</v>
      </c>
      <c r="AQ32" s="32">
        <f t="shared" si="13"/>
        <v>0</v>
      </c>
      <c r="AR32" s="32">
        <f t="shared" si="13"/>
        <v>0</v>
      </c>
      <c r="AS32" s="32">
        <f t="shared" si="13"/>
        <v>0</v>
      </c>
      <c r="AT32" s="32">
        <f t="shared" si="13"/>
        <v>0</v>
      </c>
      <c r="AU32" s="32">
        <f t="shared" si="13"/>
        <v>0</v>
      </c>
      <c r="AV32" s="32">
        <f t="shared" si="13"/>
        <v>0</v>
      </c>
      <c r="AW32" s="32">
        <f t="shared" si="13"/>
        <v>0</v>
      </c>
      <c r="AX32" s="32">
        <f t="shared" si="13"/>
        <v>0</v>
      </c>
      <c r="AY32" s="32">
        <f t="shared" si="13"/>
        <v>0</v>
      </c>
      <c r="AZ32" s="32">
        <f t="shared" si="13"/>
        <v>0</v>
      </c>
      <c r="BA32" s="32">
        <f t="shared" si="13"/>
        <v>0</v>
      </c>
      <c r="BB32" s="32">
        <f t="shared" si="13"/>
        <v>0</v>
      </c>
      <c r="BC32" s="32">
        <f t="shared" si="13"/>
        <v>0</v>
      </c>
      <c r="BD32" s="32">
        <f t="shared" si="13"/>
        <v>0</v>
      </c>
      <c r="BE32" s="32">
        <f t="shared" si="13"/>
        <v>0</v>
      </c>
      <c r="BF32" s="32">
        <f t="shared" si="13"/>
        <v>0</v>
      </c>
      <c r="BG32" s="32">
        <f t="shared" si="13"/>
        <v>0</v>
      </c>
      <c r="BH32" s="32">
        <f t="shared" si="13"/>
        <v>0</v>
      </c>
      <c r="BI32" s="32">
        <f t="shared" si="13"/>
        <v>0</v>
      </c>
      <c r="BJ32" s="32">
        <f t="shared" si="13"/>
        <v>0</v>
      </c>
      <c r="BK32" s="32">
        <f t="shared" si="13"/>
        <v>0</v>
      </c>
      <c r="BL32" s="32">
        <f t="shared" si="13"/>
        <v>0</v>
      </c>
      <c r="BM32" s="32">
        <f t="shared" si="13"/>
        <v>0</v>
      </c>
      <c r="BN32" s="32">
        <f t="shared" si="13"/>
        <v>0</v>
      </c>
      <c r="BO32" s="32">
        <f t="shared" si="13"/>
        <v>0</v>
      </c>
      <c r="BP32" s="32">
        <f t="shared" si="13"/>
        <v>0</v>
      </c>
      <c r="BQ32" s="32">
        <f t="shared" ref="BQ32:CV32" si="14" xml:space="preserve"> BQ$29</f>
        <v>0</v>
      </c>
      <c r="BR32" s="32">
        <f t="shared" si="14"/>
        <v>0</v>
      </c>
      <c r="BS32" s="32">
        <f t="shared" si="14"/>
        <v>0</v>
      </c>
      <c r="BT32" s="32">
        <f t="shared" si="14"/>
        <v>0</v>
      </c>
      <c r="BU32" s="32">
        <f t="shared" si="14"/>
        <v>0</v>
      </c>
      <c r="BV32" s="32">
        <f t="shared" si="14"/>
        <v>0</v>
      </c>
      <c r="BW32" s="32">
        <f t="shared" si="14"/>
        <v>0</v>
      </c>
      <c r="BX32" s="32">
        <f t="shared" si="14"/>
        <v>0</v>
      </c>
      <c r="BY32" s="32">
        <f t="shared" si="14"/>
        <v>0</v>
      </c>
      <c r="BZ32" s="32">
        <f t="shared" si="14"/>
        <v>0</v>
      </c>
      <c r="CA32" s="32">
        <f t="shared" si="14"/>
        <v>0</v>
      </c>
      <c r="CB32" s="32">
        <f t="shared" si="14"/>
        <v>0</v>
      </c>
      <c r="CC32" s="32">
        <f t="shared" si="14"/>
        <v>0</v>
      </c>
      <c r="CD32" s="32">
        <f t="shared" si="14"/>
        <v>0</v>
      </c>
      <c r="CE32" s="32">
        <f t="shared" si="14"/>
        <v>0</v>
      </c>
      <c r="CF32" s="32">
        <f t="shared" si="14"/>
        <v>0</v>
      </c>
      <c r="CG32" s="32">
        <f t="shared" si="14"/>
        <v>0</v>
      </c>
      <c r="CH32" s="32">
        <f t="shared" si="14"/>
        <v>0</v>
      </c>
      <c r="CI32" s="32">
        <f t="shared" si="14"/>
        <v>0</v>
      </c>
      <c r="CJ32" s="32">
        <f t="shared" si="14"/>
        <v>0</v>
      </c>
      <c r="CK32" s="32">
        <f t="shared" si="14"/>
        <v>0</v>
      </c>
      <c r="CL32" s="32">
        <f t="shared" si="14"/>
        <v>0</v>
      </c>
      <c r="CM32" s="32">
        <f t="shared" si="14"/>
        <v>0</v>
      </c>
      <c r="CN32" s="32">
        <f t="shared" si="14"/>
        <v>0</v>
      </c>
      <c r="CO32" s="32">
        <f t="shared" si="14"/>
        <v>0</v>
      </c>
      <c r="CP32" s="32">
        <f t="shared" si="14"/>
        <v>0</v>
      </c>
      <c r="CQ32" s="32">
        <f t="shared" si="14"/>
        <v>0</v>
      </c>
      <c r="CR32" s="32">
        <f t="shared" si="14"/>
        <v>0</v>
      </c>
      <c r="CS32" s="32">
        <f t="shared" si="14"/>
        <v>0</v>
      </c>
      <c r="CT32" s="32">
        <f t="shared" si="14"/>
        <v>0</v>
      </c>
      <c r="CU32" s="32">
        <f t="shared" si="14"/>
        <v>0</v>
      </c>
      <c r="CV32" s="32">
        <f t="shared" si="14"/>
        <v>0</v>
      </c>
    </row>
    <row r="33" spans="1:100" s="188" customFormat="1" outlineLevel="2" x14ac:dyDescent="0.2">
      <c r="A33" s="655"/>
      <c r="B33" s="397"/>
      <c r="C33" s="566"/>
      <c r="D33" s="567"/>
      <c r="E33" s="188" t="s">
        <v>369</v>
      </c>
      <c r="F33" s="230">
        <f xml:space="preserve"> SUM(J32:CV32) * F31</f>
        <v>11233.130669939161</v>
      </c>
      <c r="G33" s="188" t="str">
        <f xml:space="preserve"> SMU</f>
        <v>$ 000s</v>
      </c>
    </row>
    <row r="34" spans="1:100" outlineLevel="2" x14ac:dyDescent="0.2">
      <c r="A34" s="33"/>
      <c r="B34" s="79"/>
      <c r="C34" s="561"/>
      <c r="D34" s="60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</row>
    <row r="35" spans="1:100" s="125" customFormat="1" outlineLevel="2" x14ac:dyDescent="0.2">
      <c r="A35" s="75"/>
      <c r="B35" s="639"/>
      <c r="C35" s="640"/>
      <c r="D35" s="641"/>
      <c r="E35" s="125" t="str">
        <f xml:space="preserve"> InpC!E$354</f>
        <v>Distribute DSRA to sponsors at COD</v>
      </c>
      <c r="F35" s="125">
        <f xml:space="preserve"> InpC!F$354</f>
        <v>0</v>
      </c>
      <c r="G35" s="125" t="str">
        <f xml:space="preserve"> InpC!G$354</f>
        <v>1 = yes, 0 = no</v>
      </c>
    </row>
    <row r="36" spans="1:100" outlineLevel="2" x14ac:dyDescent="0.2">
      <c r="A36" s="33"/>
      <c r="B36" s="79"/>
      <c r="C36" s="561"/>
      <c r="D36" s="60"/>
      <c r="E36" s="32" t="str">
        <f t="shared" ref="E36:BP36" si="15" xml:space="preserve"> E$25</f>
        <v>DSRA target balance</v>
      </c>
      <c r="F36" s="32">
        <f t="shared" si="15"/>
        <v>0</v>
      </c>
      <c r="G36" s="32" t="str">
        <f t="shared" si="15"/>
        <v>$ 000s</v>
      </c>
      <c r="H36" s="32">
        <f t="shared" si="15"/>
        <v>0</v>
      </c>
      <c r="I36" s="32">
        <f t="shared" si="15"/>
        <v>0</v>
      </c>
      <c r="J36" s="32">
        <f t="shared" si="15"/>
        <v>0</v>
      </c>
      <c r="K36" s="32">
        <f t="shared" si="15"/>
        <v>0</v>
      </c>
      <c r="L36" s="32">
        <f t="shared" si="15"/>
        <v>0</v>
      </c>
      <c r="M36" s="32">
        <f t="shared" si="15"/>
        <v>0</v>
      </c>
      <c r="N36" s="32">
        <f t="shared" si="15"/>
        <v>0</v>
      </c>
      <c r="O36" s="32">
        <f t="shared" si="15"/>
        <v>11233.130669939161</v>
      </c>
      <c r="P36" s="32">
        <f t="shared" si="15"/>
        <v>11190.794928838903</v>
      </c>
      <c r="Q36" s="32">
        <f t="shared" si="15"/>
        <v>11147.702061098667</v>
      </c>
      <c r="R36" s="32">
        <f t="shared" si="15"/>
        <v>11104.822479349081</v>
      </c>
      <c r="S36" s="32">
        <f t="shared" si="15"/>
        <v>11061.172559369908</v>
      </c>
      <c r="T36" s="32">
        <f t="shared" si="15"/>
        <v>11025.255469920612</v>
      </c>
      <c r="U36" s="32">
        <f t="shared" si="15"/>
        <v>10973.518731652715</v>
      </c>
      <c r="V36" s="32">
        <f t="shared" si="15"/>
        <v>10921.998577696688</v>
      </c>
      <c r="W36" s="32">
        <f t="shared" si="15"/>
        <v>10884.71667623521</v>
      </c>
      <c r="X36" s="32">
        <f t="shared" si="15"/>
        <v>10840.135152344956</v>
      </c>
      <c r="Y36" s="32">
        <f t="shared" si="15"/>
        <v>10794.742010746362</v>
      </c>
      <c r="Z36" s="32">
        <f t="shared" si="15"/>
        <v>10749.568908064761</v>
      </c>
      <c r="AA36" s="32">
        <f t="shared" si="15"/>
        <v>10703.56986326347</v>
      </c>
      <c r="AB36" s="32">
        <f t="shared" si="15"/>
        <v>10665.064311187987</v>
      </c>
      <c r="AC36" s="32">
        <f t="shared" si="15"/>
        <v>10611.174866718349</v>
      </c>
      <c r="AD36" s="32">
        <f t="shared" si="15"/>
        <v>10557.509077694693</v>
      </c>
      <c r="AE36" s="32">
        <f t="shared" si="15"/>
        <v>10517.531143266302</v>
      </c>
      <c r="AF36" s="32">
        <f t="shared" si="15"/>
        <v>10470.507070020134</v>
      </c>
      <c r="AG36" s="32">
        <f t="shared" si="15"/>
        <v>10422.612301906172</v>
      </c>
      <c r="AH36" s="32">
        <f t="shared" si="15"/>
        <v>10374.944975120165</v>
      </c>
      <c r="AI36" s="32">
        <f t="shared" si="15"/>
        <v>10326.391413681304</v>
      </c>
      <c r="AJ36" s="32">
        <f t="shared" si="15"/>
        <v>10285.079124192071</v>
      </c>
      <c r="AK36" s="32">
        <f t="shared" si="15"/>
        <v>10228.841010385528</v>
      </c>
      <c r="AL36" s="32">
        <f t="shared" si="15"/>
        <v>10172.834298762504</v>
      </c>
      <c r="AM36" s="32">
        <f t="shared" si="15"/>
        <v>10129.933079413677</v>
      </c>
      <c r="AN36" s="32">
        <f t="shared" si="15"/>
        <v>10080.253439298456</v>
      </c>
      <c r="AO36" s="32">
        <f t="shared" si="15"/>
        <v>10029.63904497031</v>
      </c>
      <c r="AP36" s="32">
        <f t="shared" si="15"/>
        <v>9979.2601971614822</v>
      </c>
      <c r="AQ36" s="32">
        <f t="shared" si="15"/>
        <v>9927.9304935534874</v>
      </c>
      <c r="AR36" s="32">
        <f t="shared" si="15"/>
        <v>9883.5760729497488</v>
      </c>
      <c r="AS36" s="32">
        <f t="shared" si="15"/>
        <v>9824.7779316197557</v>
      </c>
      <c r="AT36" s="32">
        <f t="shared" si="15"/>
        <v>9766.220927027236</v>
      </c>
      <c r="AU36" s="32">
        <f t="shared" si="15"/>
        <v>4860.2302073800211</v>
      </c>
      <c r="AV36" s="32">
        <f t="shared" si="15"/>
        <v>-2.0082668080759609E-4</v>
      </c>
      <c r="AW36" s="32">
        <f t="shared" si="15"/>
        <v>0</v>
      </c>
      <c r="AX36" s="32">
        <f t="shared" si="15"/>
        <v>0</v>
      </c>
      <c r="AY36" s="32">
        <f t="shared" si="15"/>
        <v>0</v>
      </c>
      <c r="AZ36" s="32">
        <f t="shared" si="15"/>
        <v>0</v>
      </c>
      <c r="BA36" s="32">
        <f t="shared" si="15"/>
        <v>0</v>
      </c>
      <c r="BB36" s="32">
        <f t="shared" si="15"/>
        <v>0</v>
      </c>
      <c r="BC36" s="32">
        <f t="shared" si="15"/>
        <v>0</v>
      </c>
      <c r="BD36" s="32">
        <f t="shared" si="15"/>
        <v>0</v>
      </c>
      <c r="BE36" s="32">
        <f t="shared" si="15"/>
        <v>0</v>
      </c>
      <c r="BF36" s="32">
        <f t="shared" si="15"/>
        <v>0</v>
      </c>
      <c r="BG36" s="32">
        <f t="shared" si="15"/>
        <v>0</v>
      </c>
      <c r="BH36" s="32">
        <f t="shared" si="15"/>
        <v>0</v>
      </c>
      <c r="BI36" s="32">
        <f t="shared" si="15"/>
        <v>0</v>
      </c>
      <c r="BJ36" s="32">
        <f t="shared" si="15"/>
        <v>0</v>
      </c>
      <c r="BK36" s="32">
        <f t="shared" si="15"/>
        <v>0</v>
      </c>
      <c r="BL36" s="32">
        <f t="shared" si="15"/>
        <v>0</v>
      </c>
      <c r="BM36" s="32">
        <f t="shared" si="15"/>
        <v>0</v>
      </c>
      <c r="BN36" s="32">
        <f t="shared" si="15"/>
        <v>0</v>
      </c>
      <c r="BO36" s="32">
        <f t="shared" si="15"/>
        <v>0</v>
      </c>
      <c r="BP36" s="32">
        <f t="shared" si="15"/>
        <v>0</v>
      </c>
      <c r="BQ36" s="32">
        <f t="shared" ref="BQ36:CV36" si="16" xml:space="preserve"> BQ$25</f>
        <v>0</v>
      </c>
      <c r="BR36" s="32">
        <f t="shared" si="16"/>
        <v>0</v>
      </c>
      <c r="BS36" s="32">
        <f t="shared" si="16"/>
        <v>0</v>
      </c>
      <c r="BT36" s="32">
        <f t="shared" si="16"/>
        <v>0</v>
      </c>
      <c r="BU36" s="32">
        <f t="shared" si="16"/>
        <v>0</v>
      </c>
      <c r="BV36" s="32">
        <f t="shared" si="16"/>
        <v>0</v>
      </c>
      <c r="BW36" s="32">
        <f t="shared" si="16"/>
        <v>0</v>
      </c>
      <c r="BX36" s="32">
        <f t="shared" si="16"/>
        <v>0</v>
      </c>
      <c r="BY36" s="32">
        <f t="shared" si="16"/>
        <v>0</v>
      </c>
      <c r="BZ36" s="32">
        <f t="shared" si="16"/>
        <v>0</v>
      </c>
      <c r="CA36" s="32">
        <f t="shared" si="16"/>
        <v>0</v>
      </c>
      <c r="CB36" s="32">
        <f t="shared" si="16"/>
        <v>0</v>
      </c>
      <c r="CC36" s="32">
        <f t="shared" si="16"/>
        <v>0</v>
      </c>
      <c r="CD36" s="32">
        <f t="shared" si="16"/>
        <v>0</v>
      </c>
      <c r="CE36" s="32">
        <f t="shared" si="16"/>
        <v>0</v>
      </c>
      <c r="CF36" s="32">
        <f t="shared" si="16"/>
        <v>0</v>
      </c>
      <c r="CG36" s="32">
        <f t="shared" si="16"/>
        <v>0</v>
      </c>
      <c r="CH36" s="32">
        <f t="shared" si="16"/>
        <v>0</v>
      </c>
      <c r="CI36" s="32">
        <f t="shared" si="16"/>
        <v>0</v>
      </c>
      <c r="CJ36" s="32">
        <f t="shared" si="16"/>
        <v>0</v>
      </c>
      <c r="CK36" s="32">
        <f t="shared" si="16"/>
        <v>0</v>
      </c>
      <c r="CL36" s="32">
        <f t="shared" si="16"/>
        <v>0</v>
      </c>
      <c r="CM36" s="32">
        <f t="shared" si="16"/>
        <v>0</v>
      </c>
      <c r="CN36" s="32">
        <f t="shared" si="16"/>
        <v>0</v>
      </c>
      <c r="CO36" s="32">
        <f t="shared" si="16"/>
        <v>0</v>
      </c>
      <c r="CP36" s="32">
        <f t="shared" si="16"/>
        <v>0</v>
      </c>
      <c r="CQ36" s="32">
        <f t="shared" si="16"/>
        <v>0</v>
      </c>
      <c r="CR36" s="32">
        <f t="shared" si="16"/>
        <v>0</v>
      </c>
      <c r="CS36" s="32">
        <f t="shared" si="16"/>
        <v>0</v>
      </c>
      <c r="CT36" s="32">
        <f t="shared" si="16"/>
        <v>0</v>
      </c>
      <c r="CU36" s="32">
        <f t="shared" si="16"/>
        <v>0</v>
      </c>
      <c r="CV36" s="32">
        <f t="shared" si="16"/>
        <v>0</v>
      </c>
    </row>
    <row r="37" spans="1:100" outlineLevel="2" x14ac:dyDescent="0.2">
      <c r="A37" s="33"/>
      <c r="B37" s="79"/>
      <c r="C37" s="561"/>
      <c r="D37" s="60"/>
      <c r="E37" s="32" t="str">
        <f xml:space="preserve"> E$81</f>
        <v>DSRA balance BEG</v>
      </c>
      <c r="F37" s="32">
        <f t="shared" ref="F37:BQ37" si="17" xml:space="preserve"> F$81</f>
        <v>0</v>
      </c>
      <c r="G37" s="32" t="str">
        <f t="shared" si="17"/>
        <v>$ 000s</v>
      </c>
      <c r="H37" s="32">
        <f t="shared" si="17"/>
        <v>0</v>
      </c>
      <c r="I37" s="32">
        <f t="shared" si="17"/>
        <v>0</v>
      </c>
      <c r="J37" s="32">
        <f t="shared" si="17"/>
        <v>0</v>
      </c>
      <c r="K37" s="32">
        <f t="shared" si="17"/>
        <v>0</v>
      </c>
      <c r="L37" s="32">
        <f t="shared" si="17"/>
        <v>0</v>
      </c>
      <c r="M37" s="32">
        <f t="shared" si="17"/>
        <v>0</v>
      </c>
      <c r="N37" s="32">
        <f t="shared" si="17"/>
        <v>0</v>
      </c>
      <c r="O37" s="32">
        <f t="shared" si="17"/>
        <v>11233.130669939161</v>
      </c>
      <c r="P37" s="32">
        <f t="shared" si="17"/>
        <v>11233.130669939161</v>
      </c>
      <c r="Q37" s="32">
        <f t="shared" si="17"/>
        <v>11190.794928838903</v>
      </c>
      <c r="R37" s="32">
        <f t="shared" si="17"/>
        <v>11147.702061098667</v>
      </c>
      <c r="S37" s="32">
        <f t="shared" si="17"/>
        <v>11104.822479349081</v>
      </c>
      <c r="T37" s="32">
        <f t="shared" si="17"/>
        <v>11061.172559369908</v>
      </c>
      <c r="U37" s="32">
        <f t="shared" si="17"/>
        <v>11025.255469920612</v>
      </c>
      <c r="V37" s="32">
        <f t="shared" si="17"/>
        <v>10973.518731652715</v>
      </c>
      <c r="W37" s="32">
        <f t="shared" si="17"/>
        <v>10921.998577696688</v>
      </c>
      <c r="X37" s="32">
        <f t="shared" si="17"/>
        <v>10884.71667623521</v>
      </c>
      <c r="Y37" s="32">
        <f t="shared" si="17"/>
        <v>10840.135152344956</v>
      </c>
      <c r="Z37" s="32">
        <f t="shared" si="17"/>
        <v>10794.742010746362</v>
      </c>
      <c r="AA37" s="32">
        <f t="shared" si="17"/>
        <v>10749.568908064761</v>
      </c>
      <c r="AB37" s="32">
        <f t="shared" si="17"/>
        <v>10703.56986326347</v>
      </c>
      <c r="AC37" s="32">
        <f t="shared" si="17"/>
        <v>10665.064311187987</v>
      </c>
      <c r="AD37" s="32">
        <f t="shared" si="17"/>
        <v>10611.174866718349</v>
      </c>
      <c r="AE37" s="32">
        <f t="shared" si="17"/>
        <v>10557.509077694693</v>
      </c>
      <c r="AF37" s="32">
        <f t="shared" si="17"/>
        <v>10517.531143266302</v>
      </c>
      <c r="AG37" s="32">
        <f t="shared" si="17"/>
        <v>10470.507070020134</v>
      </c>
      <c r="AH37" s="32">
        <f t="shared" si="17"/>
        <v>10422.612301906172</v>
      </c>
      <c r="AI37" s="32">
        <f t="shared" si="17"/>
        <v>10374.944975120165</v>
      </c>
      <c r="AJ37" s="32">
        <f t="shared" si="17"/>
        <v>10326.391413681304</v>
      </c>
      <c r="AK37" s="32">
        <f t="shared" si="17"/>
        <v>10285.079124192071</v>
      </c>
      <c r="AL37" s="32">
        <f t="shared" si="17"/>
        <v>10228.841010385528</v>
      </c>
      <c r="AM37" s="32">
        <f t="shared" si="17"/>
        <v>10172.834298762504</v>
      </c>
      <c r="AN37" s="32">
        <f t="shared" si="17"/>
        <v>10129.933079413677</v>
      </c>
      <c r="AO37" s="32">
        <f t="shared" si="17"/>
        <v>10080.253439298456</v>
      </c>
      <c r="AP37" s="32">
        <f t="shared" si="17"/>
        <v>10029.63904497031</v>
      </c>
      <c r="AQ37" s="32">
        <f t="shared" si="17"/>
        <v>9979.2601971614822</v>
      </c>
      <c r="AR37" s="32">
        <f t="shared" si="17"/>
        <v>9927.9304935534874</v>
      </c>
      <c r="AS37" s="32">
        <f t="shared" si="17"/>
        <v>9883.5760729497488</v>
      </c>
      <c r="AT37" s="32">
        <f t="shared" si="17"/>
        <v>9824.7779316197557</v>
      </c>
      <c r="AU37" s="32">
        <f t="shared" si="17"/>
        <v>9766.220927027236</v>
      </c>
      <c r="AV37" s="32">
        <f t="shared" si="17"/>
        <v>4860.2302073800211</v>
      </c>
      <c r="AW37" s="32">
        <f t="shared" si="17"/>
        <v>-2.0082668106624624E-4</v>
      </c>
      <c r="AX37" s="32">
        <f t="shared" si="17"/>
        <v>-2.0082668106624624E-4</v>
      </c>
      <c r="AY37" s="32">
        <f t="shared" si="17"/>
        <v>-2.0082668106624624E-4</v>
      </c>
      <c r="AZ37" s="32">
        <f t="shared" si="17"/>
        <v>-2.0082668106624624E-4</v>
      </c>
      <c r="BA37" s="32">
        <f t="shared" si="17"/>
        <v>-2.0082668106624624E-4</v>
      </c>
      <c r="BB37" s="32">
        <f t="shared" si="17"/>
        <v>-2.0082668106624624E-4</v>
      </c>
      <c r="BC37" s="32">
        <f t="shared" si="17"/>
        <v>-2.0082668106624624E-4</v>
      </c>
      <c r="BD37" s="32">
        <f t="shared" si="17"/>
        <v>-2.0082668106624624E-4</v>
      </c>
      <c r="BE37" s="32">
        <f t="shared" si="17"/>
        <v>-2.0082668106624624E-4</v>
      </c>
      <c r="BF37" s="32">
        <f t="shared" si="17"/>
        <v>-2.0082668106624624E-4</v>
      </c>
      <c r="BG37" s="32">
        <f t="shared" si="17"/>
        <v>-2.0082668106624624E-4</v>
      </c>
      <c r="BH37" s="32">
        <f t="shared" si="17"/>
        <v>-2.0082668106624624E-4</v>
      </c>
      <c r="BI37" s="32">
        <f t="shared" si="17"/>
        <v>-2.0082668106624624E-4</v>
      </c>
      <c r="BJ37" s="32">
        <f t="shared" si="17"/>
        <v>-2.0082668106624624E-4</v>
      </c>
      <c r="BK37" s="32">
        <f t="shared" si="17"/>
        <v>-2.0082668106624624E-4</v>
      </c>
      <c r="BL37" s="32">
        <f t="shared" si="17"/>
        <v>-2.0082668106624624E-4</v>
      </c>
      <c r="BM37" s="32">
        <f t="shared" si="17"/>
        <v>-2.0082668106624624E-4</v>
      </c>
      <c r="BN37" s="32">
        <f t="shared" si="17"/>
        <v>-2.0082668106624624E-4</v>
      </c>
      <c r="BO37" s="32">
        <f t="shared" si="17"/>
        <v>-2.0082668106624624E-4</v>
      </c>
      <c r="BP37" s="32">
        <f t="shared" si="17"/>
        <v>-2.0082668106624624E-4</v>
      </c>
      <c r="BQ37" s="32">
        <f t="shared" si="17"/>
        <v>-2.0082668106624624E-4</v>
      </c>
      <c r="BR37" s="32">
        <f t="shared" ref="BR37:CV37" si="18" xml:space="preserve"> BR$81</f>
        <v>-2.0082668106624624E-4</v>
      </c>
      <c r="BS37" s="32">
        <f t="shared" si="18"/>
        <v>-2.0082668106624624E-4</v>
      </c>
      <c r="BT37" s="32">
        <f t="shared" si="18"/>
        <v>-2.0082668106624624E-4</v>
      </c>
      <c r="BU37" s="32">
        <f t="shared" si="18"/>
        <v>-2.0082668106624624E-4</v>
      </c>
      <c r="BV37" s="32">
        <f t="shared" si="18"/>
        <v>-2.0082668106624624E-4</v>
      </c>
      <c r="BW37" s="32">
        <f t="shared" si="18"/>
        <v>-2.0082668106624624E-4</v>
      </c>
      <c r="BX37" s="32">
        <f t="shared" si="18"/>
        <v>-2.0082668106624624E-4</v>
      </c>
      <c r="BY37" s="32">
        <f t="shared" si="18"/>
        <v>-2.0082668106624624E-4</v>
      </c>
      <c r="BZ37" s="32">
        <f t="shared" si="18"/>
        <v>-2.0082668106624624E-4</v>
      </c>
      <c r="CA37" s="32">
        <f t="shared" si="18"/>
        <v>-2.0082668106624624E-4</v>
      </c>
      <c r="CB37" s="32">
        <f t="shared" si="18"/>
        <v>-2.0082668106624624E-4</v>
      </c>
      <c r="CC37" s="32">
        <f t="shared" si="18"/>
        <v>-2.0082668106624624E-4</v>
      </c>
      <c r="CD37" s="32">
        <f t="shared" si="18"/>
        <v>-2.0082668106624624E-4</v>
      </c>
      <c r="CE37" s="32">
        <f t="shared" si="18"/>
        <v>-2.0082668106624624E-4</v>
      </c>
      <c r="CF37" s="32">
        <f t="shared" si="18"/>
        <v>-2.0082668106624624E-4</v>
      </c>
      <c r="CG37" s="32">
        <f t="shared" si="18"/>
        <v>-2.0082668106624624E-4</v>
      </c>
      <c r="CH37" s="32">
        <f t="shared" si="18"/>
        <v>-2.0082668106624624E-4</v>
      </c>
      <c r="CI37" s="32">
        <f t="shared" si="18"/>
        <v>-2.0082668106624624E-4</v>
      </c>
      <c r="CJ37" s="32">
        <f t="shared" si="18"/>
        <v>-2.0082668106624624E-4</v>
      </c>
      <c r="CK37" s="32">
        <f t="shared" si="18"/>
        <v>-2.0082668106624624E-4</v>
      </c>
      <c r="CL37" s="32">
        <f t="shared" si="18"/>
        <v>-2.0082668106624624E-4</v>
      </c>
      <c r="CM37" s="32">
        <f t="shared" si="18"/>
        <v>-2.0082668106624624E-4</v>
      </c>
      <c r="CN37" s="32">
        <f t="shared" si="18"/>
        <v>-2.0082668106624624E-4</v>
      </c>
      <c r="CO37" s="32">
        <f t="shared" si="18"/>
        <v>-2.0082668106624624E-4</v>
      </c>
      <c r="CP37" s="32">
        <f t="shared" si="18"/>
        <v>-2.0082668106624624E-4</v>
      </c>
      <c r="CQ37" s="32">
        <f t="shared" si="18"/>
        <v>-2.0082668106624624E-4</v>
      </c>
      <c r="CR37" s="32">
        <f t="shared" si="18"/>
        <v>-2.0082668106624624E-4</v>
      </c>
      <c r="CS37" s="32">
        <f t="shared" si="18"/>
        <v>-2.0082668106624624E-4</v>
      </c>
      <c r="CT37" s="32">
        <f t="shared" si="18"/>
        <v>-2.0082668106624624E-4</v>
      </c>
      <c r="CU37" s="32">
        <f t="shared" si="18"/>
        <v>-2.0082668106624624E-4</v>
      </c>
      <c r="CV37" s="32">
        <f t="shared" si="18"/>
        <v>-2.0082668106624624E-4</v>
      </c>
    </row>
    <row r="38" spans="1:100" outlineLevel="2" x14ac:dyDescent="0.2">
      <c r="A38" s="33"/>
      <c r="B38" s="79"/>
      <c r="C38" s="561"/>
      <c r="D38" s="60"/>
      <c r="E38" s="77" t="str">
        <f xml:space="preserve"> Time!E$90</f>
        <v>First operating period flag</v>
      </c>
      <c r="F38" s="77">
        <f xml:space="preserve"> Time!F$90</f>
        <v>0</v>
      </c>
      <c r="G38" s="77" t="str">
        <f xml:space="preserve"> Time!G$90</f>
        <v>flag</v>
      </c>
      <c r="H38" s="77">
        <f xml:space="preserve"> Time!H$90</f>
        <v>1</v>
      </c>
      <c r="I38" s="77">
        <f xml:space="preserve"> Time!I$90</f>
        <v>0</v>
      </c>
      <c r="J38" s="77">
        <f xml:space="preserve"> Time!J$90</f>
        <v>0</v>
      </c>
      <c r="K38" s="77">
        <f xml:space="preserve"> Time!K$90</f>
        <v>0</v>
      </c>
      <c r="L38" s="77">
        <f xml:space="preserve"> Time!L$90</f>
        <v>0</v>
      </c>
      <c r="M38" s="77">
        <f xml:space="preserve"> Time!M$90</f>
        <v>0</v>
      </c>
      <c r="N38" s="77">
        <f xml:space="preserve"> Time!N$90</f>
        <v>0</v>
      </c>
      <c r="O38" s="77">
        <f xml:space="preserve"> Time!O$90</f>
        <v>1</v>
      </c>
      <c r="P38" s="77">
        <f xml:space="preserve"> Time!P$90</f>
        <v>0</v>
      </c>
      <c r="Q38" s="77">
        <f xml:space="preserve"> Time!Q$90</f>
        <v>0</v>
      </c>
      <c r="R38" s="77">
        <f xml:space="preserve"> Time!R$90</f>
        <v>0</v>
      </c>
      <c r="S38" s="77">
        <f xml:space="preserve"> Time!S$90</f>
        <v>0</v>
      </c>
      <c r="T38" s="77">
        <f xml:space="preserve"> Time!T$90</f>
        <v>0</v>
      </c>
      <c r="U38" s="77">
        <f xml:space="preserve"> Time!U$90</f>
        <v>0</v>
      </c>
      <c r="V38" s="77">
        <f xml:space="preserve"> Time!V$90</f>
        <v>0</v>
      </c>
      <c r="W38" s="77">
        <f xml:space="preserve"> Time!W$90</f>
        <v>0</v>
      </c>
      <c r="X38" s="77">
        <f xml:space="preserve"> Time!X$90</f>
        <v>0</v>
      </c>
      <c r="Y38" s="77">
        <f xml:space="preserve"> Time!Y$90</f>
        <v>0</v>
      </c>
      <c r="Z38" s="77">
        <f xml:space="preserve"> Time!Z$90</f>
        <v>0</v>
      </c>
      <c r="AA38" s="77">
        <f xml:space="preserve"> Time!AA$90</f>
        <v>0</v>
      </c>
      <c r="AB38" s="77">
        <f xml:space="preserve"> Time!AB$90</f>
        <v>0</v>
      </c>
      <c r="AC38" s="77">
        <f xml:space="preserve"> Time!AC$90</f>
        <v>0</v>
      </c>
      <c r="AD38" s="77">
        <f xml:space="preserve"> Time!AD$90</f>
        <v>0</v>
      </c>
      <c r="AE38" s="77">
        <f xml:space="preserve"> Time!AE$90</f>
        <v>0</v>
      </c>
      <c r="AF38" s="77">
        <f xml:space="preserve"> Time!AF$90</f>
        <v>0</v>
      </c>
      <c r="AG38" s="77">
        <f xml:space="preserve"> Time!AG$90</f>
        <v>0</v>
      </c>
      <c r="AH38" s="77">
        <f xml:space="preserve"> Time!AH$90</f>
        <v>0</v>
      </c>
      <c r="AI38" s="77">
        <f xml:space="preserve"> Time!AI$90</f>
        <v>0</v>
      </c>
      <c r="AJ38" s="77">
        <f xml:space="preserve"> Time!AJ$90</f>
        <v>0</v>
      </c>
      <c r="AK38" s="77">
        <f xml:space="preserve"> Time!AK$90</f>
        <v>0</v>
      </c>
      <c r="AL38" s="77">
        <f xml:space="preserve"> Time!AL$90</f>
        <v>0</v>
      </c>
      <c r="AM38" s="77">
        <f xml:space="preserve"> Time!AM$90</f>
        <v>0</v>
      </c>
      <c r="AN38" s="77">
        <f xml:space="preserve"> Time!AN$90</f>
        <v>0</v>
      </c>
      <c r="AO38" s="77">
        <f xml:space="preserve"> Time!AO$90</f>
        <v>0</v>
      </c>
      <c r="AP38" s="77">
        <f xml:space="preserve"> Time!AP$90</f>
        <v>0</v>
      </c>
      <c r="AQ38" s="77">
        <f xml:space="preserve"> Time!AQ$90</f>
        <v>0</v>
      </c>
      <c r="AR38" s="77">
        <f xml:space="preserve"> Time!AR$90</f>
        <v>0</v>
      </c>
      <c r="AS38" s="77">
        <f xml:space="preserve"> Time!AS$90</f>
        <v>0</v>
      </c>
      <c r="AT38" s="77">
        <f xml:space="preserve"> Time!AT$90</f>
        <v>0</v>
      </c>
      <c r="AU38" s="77">
        <f xml:space="preserve"> Time!AU$90</f>
        <v>0</v>
      </c>
      <c r="AV38" s="77">
        <f xml:space="preserve"> Time!AV$90</f>
        <v>0</v>
      </c>
      <c r="AW38" s="77">
        <f xml:space="preserve"> Time!AW$90</f>
        <v>0</v>
      </c>
      <c r="AX38" s="77">
        <f xml:space="preserve"> Time!AX$90</f>
        <v>0</v>
      </c>
      <c r="AY38" s="77">
        <f xml:space="preserve"> Time!AY$90</f>
        <v>0</v>
      </c>
      <c r="AZ38" s="77">
        <f xml:space="preserve"> Time!AZ$90</f>
        <v>0</v>
      </c>
      <c r="BA38" s="77">
        <f xml:space="preserve"> Time!BA$90</f>
        <v>0</v>
      </c>
      <c r="BB38" s="77">
        <f xml:space="preserve"> Time!BB$90</f>
        <v>0</v>
      </c>
      <c r="BC38" s="77">
        <f xml:space="preserve"> Time!BC$90</f>
        <v>0</v>
      </c>
      <c r="BD38" s="77">
        <f xml:space="preserve"> Time!BD$90</f>
        <v>0</v>
      </c>
      <c r="BE38" s="77">
        <f xml:space="preserve"> Time!BE$90</f>
        <v>0</v>
      </c>
      <c r="BF38" s="77">
        <f xml:space="preserve"> Time!BF$90</f>
        <v>0</v>
      </c>
      <c r="BG38" s="77">
        <f xml:space="preserve"> Time!BG$90</f>
        <v>0</v>
      </c>
      <c r="BH38" s="77">
        <f xml:space="preserve"> Time!BH$90</f>
        <v>0</v>
      </c>
      <c r="BI38" s="77">
        <f xml:space="preserve"> Time!BI$90</f>
        <v>0</v>
      </c>
      <c r="BJ38" s="77">
        <f xml:space="preserve"> Time!BJ$90</f>
        <v>0</v>
      </c>
      <c r="BK38" s="77">
        <f xml:space="preserve"> Time!BK$90</f>
        <v>0</v>
      </c>
      <c r="BL38" s="77">
        <f xml:space="preserve"> Time!BL$90</f>
        <v>0</v>
      </c>
      <c r="BM38" s="77">
        <f xml:space="preserve"> Time!BM$90</f>
        <v>0</v>
      </c>
      <c r="BN38" s="77">
        <f xml:space="preserve"> Time!BN$90</f>
        <v>0</v>
      </c>
      <c r="BO38" s="77">
        <f xml:space="preserve"> Time!BO$90</f>
        <v>0</v>
      </c>
      <c r="BP38" s="77">
        <f xml:space="preserve"> Time!BP$90</f>
        <v>0</v>
      </c>
      <c r="BQ38" s="77">
        <f xml:space="preserve"> Time!BQ$90</f>
        <v>0</v>
      </c>
      <c r="BR38" s="77">
        <f xml:space="preserve"> Time!BR$90</f>
        <v>0</v>
      </c>
      <c r="BS38" s="77">
        <f xml:space="preserve"> Time!BS$90</f>
        <v>0</v>
      </c>
      <c r="BT38" s="77">
        <f xml:space="preserve"> Time!BT$90</f>
        <v>0</v>
      </c>
      <c r="BU38" s="77">
        <f xml:space="preserve"> Time!BU$90</f>
        <v>0</v>
      </c>
      <c r="BV38" s="77">
        <f xml:space="preserve"> Time!BV$90</f>
        <v>0</v>
      </c>
      <c r="BW38" s="77">
        <f xml:space="preserve"> Time!BW$90</f>
        <v>0</v>
      </c>
      <c r="BX38" s="77">
        <f xml:space="preserve"> Time!BX$90</f>
        <v>0</v>
      </c>
      <c r="BY38" s="77">
        <f xml:space="preserve"> Time!BY$90</f>
        <v>0</v>
      </c>
      <c r="BZ38" s="77">
        <f xml:space="preserve"> Time!BZ$90</f>
        <v>0</v>
      </c>
      <c r="CA38" s="77">
        <f xml:space="preserve"> Time!CA$90</f>
        <v>0</v>
      </c>
      <c r="CB38" s="77">
        <f xml:space="preserve"> Time!CB$90</f>
        <v>0</v>
      </c>
      <c r="CC38" s="77">
        <f xml:space="preserve"> Time!CC$90</f>
        <v>0</v>
      </c>
      <c r="CD38" s="77">
        <f xml:space="preserve"> Time!CD$90</f>
        <v>0</v>
      </c>
      <c r="CE38" s="77">
        <f xml:space="preserve"> Time!CE$90</f>
        <v>0</v>
      </c>
      <c r="CF38" s="77">
        <f xml:space="preserve"> Time!CF$90</f>
        <v>0</v>
      </c>
      <c r="CG38" s="77">
        <f xml:space="preserve"> Time!CG$90</f>
        <v>0</v>
      </c>
      <c r="CH38" s="77">
        <f xml:space="preserve"> Time!CH$90</f>
        <v>0</v>
      </c>
      <c r="CI38" s="77">
        <f xml:space="preserve"> Time!CI$90</f>
        <v>0</v>
      </c>
      <c r="CJ38" s="77">
        <f xml:space="preserve"> Time!CJ$90</f>
        <v>0</v>
      </c>
      <c r="CK38" s="77">
        <f xml:space="preserve"> Time!CK$90</f>
        <v>0</v>
      </c>
      <c r="CL38" s="77">
        <f xml:space="preserve"> Time!CL$90</f>
        <v>0</v>
      </c>
      <c r="CM38" s="77">
        <f xml:space="preserve"> Time!CM$90</f>
        <v>0</v>
      </c>
      <c r="CN38" s="77">
        <f xml:space="preserve"> Time!CN$90</f>
        <v>0</v>
      </c>
      <c r="CO38" s="77">
        <f xml:space="preserve"> Time!CO$90</f>
        <v>0</v>
      </c>
      <c r="CP38" s="77">
        <f xml:space="preserve"> Time!CP$90</f>
        <v>0</v>
      </c>
      <c r="CQ38" s="77">
        <f xml:space="preserve"> Time!CQ$90</f>
        <v>0</v>
      </c>
      <c r="CR38" s="77">
        <f xml:space="preserve"> Time!CR$90</f>
        <v>0</v>
      </c>
      <c r="CS38" s="77">
        <f xml:space="preserve"> Time!CS$90</f>
        <v>0</v>
      </c>
      <c r="CT38" s="77">
        <f xml:space="preserve"> Time!CT$90</f>
        <v>0</v>
      </c>
      <c r="CU38" s="77">
        <f xml:space="preserve"> Time!CU$90</f>
        <v>0</v>
      </c>
      <c r="CV38" s="77">
        <f xml:space="preserve"> Time!CV$90</f>
        <v>0</v>
      </c>
    </row>
    <row r="39" spans="1:100" s="495" customFormat="1" outlineLevel="2" x14ac:dyDescent="0.2">
      <c r="A39" s="405"/>
      <c r="B39" s="405"/>
      <c r="C39" s="406"/>
      <c r="D39" s="575"/>
      <c r="E39" s="77" t="str">
        <f xml:space="preserve"> Time!E$81</f>
        <v>End of construction period flag</v>
      </c>
      <c r="F39" s="77">
        <f xml:space="preserve"> Time!F$81</f>
        <v>0</v>
      </c>
      <c r="G39" s="77" t="str">
        <f xml:space="preserve"> Time!G$81</f>
        <v>flag</v>
      </c>
      <c r="H39" s="77">
        <f xml:space="preserve"> Time!H$81</f>
        <v>1</v>
      </c>
      <c r="I39" s="77">
        <f xml:space="preserve"> Time!I$81</f>
        <v>0</v>
      </c>
      <c r="J39" s="77">
        <f xml:space="preserve"> Time!J$81</f>
        <v>0</v>
      </c>
      <c r="K39" s="77">
        <f xml:space="preserve"> Time!K$81</f>
        <v>0</v>
      </c>
      <c r="L39" s="77">
        <f xml:space="preserve"> Time!L$81</f>
        <v>0</v>
      </c>
      <c r="M39" s="77">
        <f xml:space="preserve"> Time!M$81</f>
        <v>0</v>
      </c>
      <c r="N39" s="77">
        <f xml:space="preserve"> Time!N$81</f>
        <v>1</v>
      </c>
      <c r="O39" s="77">
        <f xml:space="preserve"> Time!O$81</f>
        <v>0</v>
      </c>
      <c r="P39" s="77">
        <f xml:space="preserve"> Time!P$81</f>
        <v>0</v>
      </c>
      <c r="Q39" s="77">
        <f xml:space="preserve"> Time!Q$81</f>
        <v>0</v>
      </c>
      <c r="R39" s="77">
        <f xml:space="preserve"> Time!R$81</f>
        <v>0</v>
      </c>
      <c r="S39" s="77">
        <f xml:space="preserve"> Time!S$81</f>
        <v>0</v>
      </c>
      <c r="T39" s="77">
        <f xml:space="preserve"> Time!T$81</f>
        <v>0</v>
      </c>
      <c r="U39" s="77">
        <f xml:space="preserve"> Time!U$81</f>
        <v>0</v>
      </c>
      <c r="V39" s="77">
        <f xml:space="preserve"> Time!V$81</f>
        <v>0</v>
      </c>
      <c r="W39" s="77">
        <f xml:space="preserve"> Time!W$81</f>
        <v>0</v>
      </c>
      <c r="X39" s="77">
        <f xml:space="preserve"> Time!X$81</f>
        <v>0</v>
      </c>
      <c r="Y39" s="77">
        <f xml:space="preserve"> Time!Y$81</f>
        <v>0</v>
      </c>
      <c r="Z39" s="77">
        <f xml:space="preserve"> Time!Z$81</f>
        <v>0</v>
      </c>
      <c r="AA39" s="77">
        <f xml:space="preserve"> Time!AA$81</f>
        <v>0</v>
      </c>
      <c r="AB39" s="77">
        <f xml:space="preserve"> Time!AB$81</f>
        <v>0</v>
      </c>
      <c r="AC39" s="77">
        <f xml:space="preserve"> Time!AC$81</f>
        <v>0</v>
      </c>
      <c r="AD39" s="77">
        <f xml:space="preserve"> Time!AD$81</f>
        <v>0</v>
      </c>
      <c r="AE39" s="77">
        <f xml:space="preserve"> Time!AE$81</f>
        <v>0</v>
      </c>
      <c r="AF39" s="77">
        <f xml:space="preserve"> Time!AF$81</f>
        <v>0</v>
      </c>
      <c r="AG39" s="77">
        <f xml:space="preserve"> Time!AG$81</f>
        <v>0</v>
      </c>
      <c r="AH39" s="77">
        <f xml:space="preserve"> Time!AH$81</f>
        <v>0</v>
      </c>
      <c r="AI39" s="77">
        <f xml:space="preserve"> Time!AI$81</f>
        <v>0</v>
      </c>
      <c r="AJ39" s="77">
        <f xml:space="preserve"> Time!AJ$81</f>
        <v>0</v>
      </c>
      <c r="AK39" s="77">
        <f xml:space="preserve"> Time!AK$81</f>
        <v>0</v>
      </c>
      <c r="AL39" s="77">
        <f xml:space="preserve"> Time!AL$81</f>
        <v>0</v>
      </c>
      <c r="AM39" s="77">
        <f xml:space="preserve"> Time!AM$81</f>
        <v>0</v>
      </c>
      <c r="AN39" s="77">
        <f xml:space="preserve"> Time!AN$81</f>
        <v>0</v>
      </c>
      <c r="AO39" s="77">
        <f xml:space="preserve"> Time!AO$81</f>
        <v>0</v>
      </c>
      <c r="AP39" s="77">
        <f xml:space="preserve"> Time!AP$81</f>
        <v>0</v>
      </c>
      <c r="AQ39" s="77">
        <f xml:space="preserve"> Time!AQ$81</f>
        <v>0</v>
      </c>
      <c r="AR39" s="77">
        <f xml:space="preserve"> Time!AR$81</f>
        <v>0</v>
      </c>
      <c r="AS39" s="77">
        <f xml:space="preserve"> Time!AS$81</f>
        <v>0</v>
      </c>
      <c r="AT39" s="77">
        <f xml:space="preserve"> Time!AT$81</f>
        <v>0</v>
      </c>
      <c r="AU39" s="77">
        <f xml:space="preserve"> Time!AU$81</f>
        <v>0</v>
      </c>
      <c r="AV39" s="77">
        <f xml:space="preserve"> Time!AV$81</f>
        <v>0</v>
      </c>
      <c r="AW39" s="77">
        <f xml:space="preserve"> Time!AW$81</f>
        <v>0</v>
      </c>
      <c r="AX39" s="77">
        <f xml:space="preserve"> Time!AX$81</f>
        <v>0</v>
      </c>
      <c r="AY39" s="77">
        <f xml:space="preserve"> Time!AY$81</f>
        <v>0</v>
      </c>
      <c r="AZ39" s="77">
        <f xml:space="preserve"> Time!AZ$81</f>
        <v>0</v>
      </c>
      <c r="BA39" s="77">
        <f xml:space="preserve"> Time!BA$81</f>
        <v>0</v>
      </c>
      <c r="BB39" s="77">
        <f xml:space="preserve"> Time!BB$81</f>
        <v>0</v>
      </c>
      <c r="BC39" s="77">
        <f xml:space="preserve"> Time!BC$81</f>
        <v>0</v>
      </c>
      <c r="BD39" s="77">
        <f xml:space="preserve"> Time!BD$81</f>
        <v>0</v>
      </c>
      <c r="BE39" s="77">
        <f xml:space="preserve"> Time!BE$81</f>
        <v>0</v>
      </c>
      <c r="BF39" s="77">
        <f xml:space="preserve"> Time!BF$81</f>
        <v>0</v>
      </c>
      <c r="BG39" s="77">
        <f xml:space="preserve"> Time!BG$81</f>
        <v>0</v>
      </c>
      <c r="BH39" s="77">
        <f xml:space="preserve"> Time!BH$81</f>
        <v>0</v>
      </c>
      <c r="BI39" s="77">
        <f xml:space="preserve"> Time!BI$81</f>
        <v>0</v>
      </c>
      <c r="BJ39" s="77">
        <f xml:space="preserve"> Time!BJ$81</f>
        <v>0</v>
      </c>
      <c r="BK39" s="77">
        <f xml:space="preserve"> Time!BK$81</f>
        <v>0</v>
      </c>
      <c r="BL39" s="77">
        <f xml:space="preserve"> Time!BL$81</f>
        <v>0</v>
      </c>
      <c r="BM39" s="77">
        <f xml:space="preserve"> Time!BM$81</f>
        <v>0</v>
      </c>
      <c r="BN39" s="77">
        <f xml:space="preserve"> Time!BN$81</f>
        <v>0</v>
      </c>
      <c r="BO39" s="77">
        <f xml:space="preserve"> Time!BO$81</f>
        <v>0</v>
      </c>
      <c r="BP39" s="77">
        <f xml:space="preserve"> Time!BP$81</f>
        <v>0</v>
      </c>
      <c r="BQ39" s="77">
        <f xml:space="preserve"> Time!BQ$81</f>
        <v>0</v>
      </c>
      <c r="BR39" s="77">
        <f xml:space="preserve"> Time!BR$81</f>
        <v>0</v>
      </c>
      <c r="BS39" s="77">
        <f xml:space="preserve"> Time!BS$81</f>
        <v>0</v>
      </c>
      <c r="BT39" s="77">
        <f xml:space="preserve"> Time!BT$81</f>
        <v>0</v>
      </c>
      <c r="BU39" s="77">
        <f xml:space="preserve"> Time!BU$81</f>
        <v>0</v>
      </c>
      <c r="BV39" s="77">
        <f xml:space="preserve"> Time!BV$81</f>
        <v>0</v>
      </c>
      <c r="BW39" s="77">
        <f xml:space="preserve"> Time!BW$81</f>
        <v>0</v>
      </c>
      <c r="BX39" s="77">
        <f xml:space="preserve"> Time!BX$81</f>
        <v>0</v>
      </c>
      <c r="BY39" s="77">
        <f xml:space="preserve"> Time!BY$81</f>
        <v>0</v>
      </c>
      <c r="BZ39" s="77">
        <f xml:space="preserve"> Time!BZ$81</f>
        <v>0</v>
      </c>
      <c r="CA39" s="77">
        <f xml:space="preserve"> Time!CA$81</f>
        <v>0</v>
      </c>
      <c r="CB39" s="77">
        <f xml:space="preserve"> Time!CB$81</f>
        <v>0</v>
      </c>
      <c r="CC39" s="77">
        <f xml:space="preserve"> Time!CC$81</f>
        <v>0</v>
      </c>
      <c r="CD39" s="77">
        <f xml:space="preserve"> Time!CD$81</f>
        <v>0</v>
      </c>
      <c r="CE39" s="77">
        <f xml:space="preserve"> Time!CE$81</f>
        <v>0</v>
      </c>
      <c r="CF39" s="77">
        <f xml:space="preserve"> Time!CF$81</f>
        <v>0</v>
      </c>
      <c r="CG39" s="77">
        <f xml:space="preserve"> Time!CG$81</f>
        <v>0</v>
      </c>
      <c r="CH39" s="77">
        <f xml:space="preserve"> Time!CH$81</f>
        <v>0</v>
      </c>
      <c r="CI39" s="77">
        <f xml:space="preserve"> Time!CI$81</f>
        <v>0</v>
      </c>
      <c r="CJ39" s="77">
        <f xml:space="preserve"> Time!CJ$81</f>
        <v>0</v>
      </c>
      <c r="CK39" s="77">
        <f xml:space="preserve"> Time!CK$81</f>
        <v>0</v>
      </c>
      <c r="CL39" s="77">
        <f xml:space="preserve"> Time!CL$81</f>
        <v>0</v>
      </c>
      <c r="CM39" s="77">
        <f xml:space="preserve"> Time!CM$81</f>
        <v>0</v>
      </c>
      <c r="CN39" s="77">
        <f xml:space="preserve"> Time!CN$81</f>
        <v>0</v>
      </c>
      <c r="CO39" s="77">
        <f xml:space="preserve"> Time!CO$81</f>
        <v>0</v>
      </c>
      <c r="CP39" s="77">
        <f xml:space="preserve"> Time!CP$81</f>
        <v>0</v>
      </c>
      <c r="CQ39" s="77">
        <f xml:space="preserve"> Time!CQ$81</f>
        <v>0</v>
      </c>
      <c r="CR39" s="77">
        <f xml:space="preserve"> Time!CR$81</f>
        <v>0</v>
      </c>
      <c r="CS39" s="77">
        <f xml:space="preserve"> Time!CS$81</f>
        <v>0</v>
      </c>
      <c r="CT39" s="77">
        <f xml:space="preserve"> Time!CT$81</f>
        <v>0</v>
      </c>
      <c r="CU39" s="77">
        <f xml:space="preserve"> Time!CU$81</f>
        <v>0</v>
      </c>
      <c r="CV39" s="77">
        <f xml:space="preserve"> Time!CV$81</f>
        <v>0</v>
      </c>
    </row>
    <row r="40" spans="1:100" outlineLevel="2" x14ac:dyDescent="0.2">
      <c r="A40" s="33"/>
      <c r="B40" s="79"/>
      <c r="C40" s="561"/>
      <c r="D40" s="60"/>
      <c r="E40" s="32" t="s">
        <v>358</v>
      </c>
      <c r="F40" s="32"/>
      <c r="G40" s="32" t="str">
        <f xml:space="preserve"> SMU</f>
        <v>$ 000s</v>
      </c>
      <c r="H40" s="32"/>
      <c r="I40" s="32"/>
      <c r="J40" s="32">
        <f t="shared" ref="J40:AO40" si="19" xml:space="preserve"> IF($F35 = 1, -1 * J37 * J38, (J36 - J37) * (1 - J39))</f>
        <v>0</v>
      </c>
      <c r="K40" s="32">
        <f t="shared" si="19"/>
        <v>0</v>
      </c>
      <c r="L40" s="32">
        <f t="shared" si="19"/>
        <v>0</v>
      </c>
      <c r="M40" s="32">
        <f t="shared" si="19"/>
        <v>0</v>
      </c>
      <c r="N40" s="32">
        <f t="shared" si="19"/>
        <v>0</v>
      </c>
      <c r="O40" s="32">
        <f t="shared" si="19"/>
        <v>0</v>
      </c>
      <c r="P40" s="32">
        <f t="shared" si="19"/>
        <v>-42.335741100258019</v>
      </c>
      <c r="Q40" s="32">
        <f t="shared" si="19"/>
        <v>-43.092867740235306</v>
      </c>
      <c r="R40" s="32">
        <f t="shared" si="19"/>
        <v>-42.879581749586578</v>
      </c>
      <c r="S40" s="32">
        <f t="shared" si="19"/>
        <v>-43.64991997917241</v>
      </c>
      <c r="T40" s="32">
        <f t="shared" si="19"/>
        <v>-35.917089449296327</v>
      </c>
      <c r="U40" s="32">
        <f t="shared" si="19"/>
        <v>-51.736738267896726</v>
      </c>
      <c r="V40" s="32">
        <f t="shared" si="19"/>
        <v>-51.520153956027571</v>
      </c>
      <c r="W40" s="32">
        <f t="shared" si="19"/>
        <v>-37.281901461477901</v>
      </c>
      <c r="X40" s="32">
        <f t="shared" si="19"/>
        <v>-44.581523890254175</v>
      </c>
      <c r="Y40" s="32">
        <f t="shared" si="19"/>
        <v>-45.393141598593502</v>
      </c>
      <c r="Z40" s="32">
        <f t="shared" si="19"/>
        <v>-45.173102681601449</v>
      </c>
      <c r="AA40" s="32">
        <f t="shared" si="19"/>
        <v>-45.999044801290438</v>
      </c>
      <c r="AB40" s="32">
        <f t="shared" si="19"/>
        <v>-38.505552075483138</v>
      </c>
      <c r="AC40" s="32">
        <f t="shared" si="19"/>
        <v>-53.889444469637965</v>
      </c>
      <c r="AD40" s="32">
        <f t="shared" si="19"/>
        <v>-53.665789023656544</v>
      </c>
      <c r="AE40" s="32">
        <f t="shared" si="19"/>
        <v>-39.977934428390654</v>
      </c>
      <c r="AF40" s="32">
        <f t="shared" si="19"/>
        <v>-47.024073246167973</v>
      </c>
      <c r="AG40" s="32">
        <f t="shared" si="19"/>
        <v>-47.894768113961618</v>
      </c>
      <c r="AH40" s="32">
        <f t="shared" si="19"/>
        <v>-47.667326786007834</v>
      </c>
      <c r="AI40" s="32">
        <f t="shared" si="19"/>
        <v>-48.553561438860925</v>
      </c>
      <c r="AJ40" s="32">
        <f t="shared" si="19"/>
        <v>-41.312289489233081</v>
      </c>
      <c r="AK40" s="32">
        <f t="shared" si="19"/>
        <v>-56.23811380654297</v>
      </c>
      <c r="AL40" s="32">
        <f t="shared" si="19"/>
        <v>-56.006711623023875</v>
      </c>
      <c r="AM40" s="32">
        <f t="shared" si="19"/>
        <v>-42.901219348826999</v>
      </c>
      <c r="AN40" s="32">
        <f t="shared" si="19"/>
        <v>-49.679640115220536</v>
      </c>
      <c r="AO40" s="32">
        <f t="shared" si="19"/>
        <v>-50.614394328145863</v>
      </c>
      <c r="AP40" s="32">
        <f t="shared" ref="AP40:BU40" si="20" xml:space="preserve"> IF($F35 = 1, -1 * AP37 * AP38, (AP36 - AP37) * (1 - AP39))</f>
        <v>-50.378847808828141</v>
      </c>
      <c r="AQ40" s="32">
        <f t="shared" si="20"/>
        <v>-51.329703607994816</v>
      </c>
      <c r="AR40" s="32">
        <f t="shared" si="20"/>
        <v>-44.354420603738618</v>
      </c>
      <c r="AS40" s="32">
        <f t="shared" si="20"/>
        <v>-58.798141329993086</v>
      </c>
      <c r="AT40" s="32">
        <f t="shared" si="20"/>
        <v>-58.557004592519661</v>
      </c>
      <c r="AU40" s="32">
        <f t="shared" si="20"/>
        <v>-4905.990719647215</v>
      </c>
      <c r="AV40" s="32">
        <f t="shared" si="20"/>
        <v>-4860.2304082067021</v>
      </c>
      <c r="AW40" s="32">
        <f t="shared" si="20"/>
        <v>2.0082668106624624E-4</v>
      </c>
      <c r="AX40" s="32">
        <f t="shared" si="20"/>
        <v>2.0082668106624624E-4</v>
      </c>
      <c r="AY40" s="32">
        <f t="shared" si="20"/>
        <v>2.0082668106624624E-4</v>
      </c>
      <c r="AZ40" s="32">
        <f t="shared" si="20"/>
        <v>2.0082668106624624E-4</v>
      </c>
      <c r="BA40" s="32">
        <f t="shared" si="20"/>
        <v>2.0082668106624624E-4</v>
      </c>
      <c r="BB40" s="32">
        <f t="shared" si="20"/>
        <v>2.0082668106624624E-4</v>
      </c>
      <c r="BC40" s="32">
        <f t="shared" si="20"/>
        <v>2.0082668106624624E-4</v>
      </c>
      <c r="BD40" s="32">
        <f t="shared" si="20"/>
        <v>2.0082668106624624E-4</v>
      </c>
      <c r="BE40" s="32">
        <f t="shared" si="20"/>
        <v>2.0082668106624624E-4</v>
      </c>
      <c r="BF40" s="32">
        <f t="shared" si="20"/>
        <v>2.0082668106624624E-4</v>
      </c>
      <c r="BG40" s="32">
        <f t="shared" si="20"/>
        <v>2.0082668106624624E-4</v>
      </c>
      <c r="BH40" s="32">
        <f t="shared" si="20"/>
        <v>2.0082668106624624E-4</v>
      </c>
      <c r="BI40" s="32">
        <f t="shared" si="20"/>
        <v>2.0082668106624624E-4</v>
      </c>
      <c r="BJ40" s="32">
        <f t="shared" si="20"/>
        <v>2.0082668106624624E-4</v>
      </c>
      <c r="BK40" s="32">
        <f t="shared" si="20"/>
        <v>2.0082668106624624E-4</v>
      </c>
      <c r="BL40" s="32">
        <f t="shared" si="20"/>
        <v>2.0082668106624624E-4</v>
      </c>
      <c r="BM40" s="32">
        <f t="shared" si="20"/>
        <v>2.0082668106624624E-4</v>
      </c>
      <c r="BN40" s="32">
        <f t="shared" si="20"/>
        <v>2.0082668106624624E-4</v>
      </c>
      <c r="BO40" s="32">
        <f t="shared" si="20"/>
        <v>2.0082668106624624E-4</v>
      </c>
      <c r="BP40" s="32">
        <f t="shared" si="20"/>
        <v>2.0082668106624624E-4</v>
      </c>
      <c r="BQ40" s="32">
        <f t="shared" si="20"/>
        <v>2.0082668106624624E-4</v>
      </c>
      <c r="BR40" s="32">
        <f t="shared" si="20"/>
        <v>2.0082668106624624E-4</v>
      </c>
      <c r="BS40" s="32">
        <f t="shared" si="20"/>
        <v>2.0082668106624624E-4</v>
      </c>
      <c r="BT40" s="32">
        <f t="shared" si="20"/>
        <v>2.0082668106624624E-4</v>
      </c>
      <c r="BU40" s="32">
        <f t="shared" si="20"/>
        <v>2.0082668106624624E-4</v>
      </c>
      <c r="BV40" s="32">
        <f t="shared" ref="BV40:CV40" si="21" xml:space="preserve"> IF($F35 = 1, -1 * BV37 * BV38, (BV36 - BV37) * (1 - BV39))</f>
        <v>2.0082668106624624E-4</v>
      </c>
      <c r="BW40" s="32">
        <f t="shared" si="21"/>
        <v>2.0082668106624624E-4</v>
      </c>
      <c r="BX40" s="32">
        <f t="shared" si="21"/>
        <v>2.0082668106624624E-4</v>
      </c>
      <c r="BY40" s="32">
        <f t="shared" si="21"/>
        <v>2.0082668106624624E-4</v>
      </c>
      <c r="BZ40" s="32">
        <f t="shared" si="21"/>
        <v>2.0082668106624624E-4</v>
      </c>
      <c r="CA40" s="32">
        <f t="shared" si="21"/>
        <v>2.0082668106624624E-4</v>
      </c>
      <c r="CB40" s="32">
        <f t="shared" si="21"/>
        <v>2.0082668106624624E-4</v>
      </c>
      <c r="CC40" s="32">
        <f t="shared" si="21"/>
        <v>2.0082668106624624E-4</v>
      </c>
      <c r="CD40" s="32">
        <f t="shared" si="21"/>
        <v>2.0082668106624624E-4</v>
      </c>
      <c r="CE40" s="32">
        <f t="shared" si="21"/>
        <v>2.0082668106624624E-4</v>
      </c>
      <c r="CF40" s="32">
        <f t="shared" si="21"/>
        <v>2.0082668106624624E-4</v>
      </c>
      <c r="CG40" s="32">
        <f t="shared" si="21"/>
        <v>2.0082668106624624E-4</v>
      </c>
      <c r="CH40" s="32">
        <f t="shared" si="21"/>
        <v>2.0082668106624624E-4</v>
      </c>
      <c r="CI40" s="32">
        <f t="shared" si="21"/>
        <v>2.0082668106624624E-4</v>
      </c>
      <c r="CJ40" s="32">
        <f t="shared" si="21"/>
        <v>2.0082668106624624E-4</v>
      </c>
      <c r="CK40" s="32">
        <f t="shared" si="21"/>
        <v>2.0082668106624624E-4</v>
      </c>
      <c r="CL40" s="32">
        <f t="shared" si="21"/>
        <v>2.0082668106624624E-4</v>
      </c>
      <c r="CM40" s="32">
        <f t="shared" si="21"/>
        <v>2.0082668106624624E-4</v>
      </c>
      <c r="CN40" s="32">
        <f t="shared" si="21"/>
        <v>2.0082668106624624E-4</v>
      </c>
      <c r="CO40" s="32">
        <f t="shared" si="21"/>
        <v>2.0082668106624624E-4</v>
      </c>
      <c r="CP40" s="32">
        <f t="shared" si="21"/>
        <v>2.0082668106624624E-4</v>
      </c>
      <c r="CQ40" s="32">
        <f t="shared" si="21"/>
        <v>2.0082668106624624E-4</v>
      </c>
      <c r="CR40" s="32">
        <f t="shared" si="21"/>
        <v>2.0082668106624624E-4</v>
      </c>
      <c r="CS40" s="32">
        <f t="shared" si="21"/>
        <v>2.0082668106624624E-4</v>
      </c>
      <c r="CT40" s="32">
        <f t="shared" si="21"/>
        <v>2.0082668106624624E-4</v>
      </c>
      <c r="CU40" s="32">
        <f t="shared" si="21"/>
        <v>2.0082668106624624E-4</v>
      </c>
      <c r="CV40" s="32">
        <f t="shared" si="21"/>
        <v>2.0082668106624624E-4</v>
      </c>
    </row>
    <row r="41" spans="1:100" outlineLevel="2" x14ac:dyDescent="0.2">
      <c r="A41" s="33"/>
      <c r="B41" s="79"/>
      <c r="C41" s="561"/>
      <c r="D41" s="60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</row>
    <row r="42" spans="1:100" s="125" customFormat="1" outlineLevel="2" x14ac:dyDescent="0.2">
      <c r="A42" s="75"/>
      <c r="B42" s="639"/>
      <c r="C42" s="640"/>
      <c r="D42" s="641"/>
      <c r="E42" s="125" t="str">
        <f xml:space="preserve"> InpC!E$355</f>
        <v>DSRA cash or LC funded</v>
      </c>
      <c r="F42" s="125">
        <f xml:space="preserve"> InpC!F$355</f>
        <v>1</v>
      </c>
      <c r="G42" s="125" t="str">
        <f xml:space="preserve"> InpC!G$355</f>
        <v>1 = cash, 2 = LC</v>
      </c>
    </row>
    <row r="43" spans="1:100" outlineLevel="2" x14ac:dyDescent="0.2">
      <c r="A43" s="33"/>
      <c r="B43" s="79"/>
      <c r="C43" s="561"/>
      <c r="D43" s="60"/>
      <c r="E43" s="32" t="str">
        <f t="shared" ref="E43:BP43" si="22" xml:space="preserve"> E$40</f>
        <v>Target deposit / (release)</v>
      </c>
      <c r="F43" s="32">
        <f t="shared" si="22"/>
        <v>0</v>
      </c>
      <c r="G43" s="32" t="str">
        <f t="shared" si="22"/>
        <v>$ 000s</v>
      </c>
      <c r="H43" s="32">
        <f t="shared" si="22"/>
        <v>0</v>
      </c>
      <c r="I43" s="32">
        <f t="shared" si="22"/>
        <v>0</v>
      </c>
      <c r="J43" s="32">
        <f t="shared" si="22"/>
        <v>0</v>
      </c>
      <c r="K43" s="32">
        <f t="shared" si="22"/>
        <v>0</v>
      </c>
      <c r="L43" s="32">
        <f t="shared" si="22"/>
        <v>0</v>
      </c>
      <c r="M43" s="32">
        <f t="shared" si="22"/>
        <v>0</v>
      </c>
      <c r="N43" s="32">
        <f t="shared" si="22"/>
        <v>0</v>
      </c>
      <c r="O43" s="32">
        <f t="shared" si="22"/>
        <v>0</v>
      </c>
      <c r="P43" s="32">
        <f t="shared" si="22"/>
        <v>-42.335741100258019</v>
      </c>
      <c r="Q43" s="32">
        <f t="shared" si="22"/>
        <v>-43.092867740235306</v>
      </c>
      <c r="R43" s="32">
        <f t="shared" si="22"/>
        <v>-42.879581749586578</v>
      </c>
      <c r="S43" s="32">
        <f t="shared" si="22"/>
        <v>-43.64991997917241</v>
      </c>
      <c r="T43" s="32">
        <f t="shared" si="22"/>
        <v>-35.917089449296327</v>
      </c>
      <c r="U43" s="32">
        <f t="shared" si="22"/>
        <v>-51.736738267896726</v>
      </c>
      <c r="V43" s="32">
        <f t="shared" si="22"/>
        <v>-51.520153956027571</v>
      </c>
      <c r="W43" s="32">
        <f t="shared" si="22"/>
        <v>-37.281901461477901</v>
      </c>
      <c r="X43" s="32">
        <f t="shared" si="22"/>
        <v>-44.581523890254175</v>
      </c>
      <c r="Y43" s="32">
        <f t="shared" si="22"/>
        <v>-45.393141598593502</v>
      </c>
      <c r="Z43" s="32">
        <f t="shared" si="22"/>
        <v>-45.173102681601449</v>
      </c>
      <c r="AA43" s="32">
        <f t="shared" si="22"/>
        <v>-45.999044801290438</v>
      </c>
      <c r="AB43" s="32">
        <f t="shared" si="22"/>
        <v>-38.505552075483138</v>
      </c>
      <c r="AC43" s="32">
        <f t="shared" si="22"/>
        <v>-53.889444469637965</v>
      </c>
      <c r="AD43" s="32">
        <f t="shared" si="22"/>
        <v>-53.665789023656544</v>
      </c>
      <c r="AE43" s="32">
        <f t="shared" si="22"/>
        <v>-39.977934428390654</v>
      </c>
      <c r="AF43" s="32">
        <f t="shared" si="22"/>
        <v>-47.024073246167973</v>
      </c>
      <c r="AG43" s="32">
        <f t="shared" si="22"/>
        <v>-47.894768113961618</v>
      </c>
      <c r="AH43" s="32">
        <f t="shared" si="22"/>
        <v>-47.667326786007834</v>
      </c>
      <c r="AI43" s="32">
        <f t="shared" si="22"/>
        <v>-48.553561438860925</v>
      </c>
      <c r="AJ43" s="32">
        <f t="shared" si="22"/>
        <v>-41.312289489233081</v>
      </c>
      <c r="AK43" s="32">
        <f t="shared" si="22"/>
        <v>-56.23811380654297</v>
      </c>
      <c r="AL43" s="32">
        <f t="shared" si="22"/>
        <v>-56.006711623023875</v>
      </c>
      <c r="AM43" s="32">
        <f t="shared" si="22"/>
        <v>-42.901219348826999</v>
      </c>
      <c r="AN43" s="32">
        <f t="shared" si="22"/>
        <v>-49.679640115220536</v>
      </c>
      <c r="AO43" s="32">
        <f t="shared" si="22"/>
        <v>-50.614394328145863</v>
      </c>
      <c r="AP43" s="32">
        <f t="shared" si="22"/>
        <v>-50.378847808828141</v>
      </c>
      <c r="AQ43" s="32">
        <f t="shared" si="22"/>
        <v>-51.329703607994816</v>
      </c>
      <c r="AR43" s="32">
        <f t="shared" si="22"/>
        <v>-44.354420603738618</v>
      </c>
      <c r="AS43" s="32">
        <f t="shared" si="22"/>
        <v>-58.798141329993086</v>
      </c>
      <c r="AT43" s="32">
        <f t="shared" si="22"/>
        <v>-58.557004592519661</v>
      </c>
      <c r="AU43" s="32">
        <f t="shared" si="22"/>
        <v>-4905.990719647215</v>
      </c>
      <c r="AV43" s="32">
        <f t="shared" si="22"/>
        <v>-4860.2304082067021</v>
      </c>
      <c r="AW43" s="32">
        <f t="shared" si="22"/>
        <v>2.0082668106624624E-4</v>
      </c>
      <c r="AX43" s="32">
        <f t="shared" si="22"/>
        <v>2.0082668106624624E-4</v>
      </c>
      <c r="AY43" s="32">
        <f t="shared" si="22"/>
        <v>2.0082668106624624E-4</v>
      </c>
      <c r="AZ43" s="32">
        <f t="shared" si="22"/>
        <v>2.0082668106624624E-4</v>
      </c>
      <c r="BA43" s="32">
        <f t="shared" si="22"/>
        <v>2.0082668106624624E-4</v>
      </c>
      <c r="BB43" s="32">
        <f t="shared" si="22"/>
        <v>2.0082668106624624E-4</v>
      </c>
      <c r="BC43" s="32">
        <f t="shared" si="22"/>
        <v>2.0082668106624624E-4</v>
      </c>
      <c r="BD43" s="32">
        <f t="shared" si="22"/>
        <v>2.0082668106624624E-4</v>
      </c>
      <c r="BE43" s="32">
        <f t="shared" si="22"/>
        <v>2.0082668106624624E-4</v>
      </c>
      <c r="BF43" s="32">
        <f t="shared" si="22"/>
        <v>2.0082668106624624E-4</v>
      </c>
      <c r="BG43" s="32">
        <f t="shared" si="22"/>
        <v>2.0082668106624624E-4</v>
      </c>
      <c r="BH43" s="32">
        <f t="shared" si="22"/>
        <v>2.0082668106624624E-4</v>
      </c>
      <c r="BI43" s="32">
        <f t="shared" si="22"/>
        <v>2.0082668106624624E-4</v>
      </c>
      <c r="BJ43" s="32">
        <f t="shared" si="22"/>
        <v>2.0082668106624624E-4</v>
      </c>
      <c r="BK43" s="32">
        <f t="shared" si="22"/>
        <v>2.0082668106624624E-4</v>
      </c>
      <c r="BL43" s="32">
        <f t="shared" si="22"/>
        <v>2.0082668106624624E-4</v>
      </c>
      <c r="BM43" s="32">
        <f t="shared" si="22"/>
        <v>2.0082668106624624E-4</v>
      </c>
      <c r="BN43" s="32">
        <f t="shared" si="22"/>
        <v>2.0082668106624624E-4</v>
      </c>
      <c r="BO43" s="32">
        <f t="shared" si="22"/>
        <v>2.0082668106624624E-4</v>
      </c>
      <c r="BP43" s="32">
        <f t="shared" si="22"/>
        <v>2.0082668106624624E-4</v>
      </c>
      <c r="BQ43" s="32">
        <f t="shared" ref="BQ43:CV43" si="23" xml:space="preserve"> BQ$40</f>
        <v>2.0082668106624624E-4</v>
      </c>
      <c r="BR43" s="32">
        <f t="shared" si="23"/>
        <v>2.0082668106624624E-4</v>
      </c>
      <c r="BS43" s="32">
        <f t="shared" si="23"/>
        <v>2.0082668106624624E-4</v>
      </c>
      <c r="BT43" s="32">
        <f t="shared" si="23"/>
        <v>2.0082668106624624E-4</v>
      </c>
      <c r="BU43" s="32">
        <f t="shared" si="23"/>
        <v>2.0082668106624624E-4</v>
      </c>
      <c r="BV43" s="32">
        <f t="shared" si="23"/>
        <v>2.0082668106624624E-4</v>
      </c>
      <c r="BW43" s="32">
        <f t="shared" si="23"/>
        <v>2.0082668106624624E-4</v>
      </c>
      <c r="BX43" s="32">
        <f t="shared" si="23"/>
        <v>2.0082668106624624E-4</v>
      </c>
      <c r="BY43" s="32">
        <f t="shared" si="23"/>
        <v>2.0082668106624624E-4</v>
      </c>
      <c r="BZ43" s="32">
        <f t="shared" si="23"/>
        <v>2.0082668106624624E-4</v>
      </c>
      <c r="CA43" s="32">
        <f t="shared" si="23"/>
        <v>2.0082668106624624E-4</v>
      </c>
      <c r="CB43" s="32">
        <f t="shared" si="23"/>
        <v>2.0082668106624624E-4</v>
      </c>
      <c r="CC43" s="32">
        <f t="shared" si="23"/>
        <v>2.0082668106624624E-4</v>
      </c>
      <c r="CD43" s="32">
        <f t="shared" si="23"/>
        <v>2.0082668106624624E-4</v>
      </c>
      <c r="CE43" s="32">
        <f t="shared" si="23"/>
        <v>2.0082668106624624E-4</v>
      </c>
      <c r="CF43" s="32">
        <f t="shared" si="23"/>
        <v>2.0082668106624624E-4</v>
      </c>
      <c r="CG43" s="32">
        <f t="shared" si="23"/>
        <v>2.0082668106624624E-4</v>
      </c>
      <c r="CH43" s="32">
        <f t="shared" si="23"/>
        <v>2.0082668106624624E-4</v>
      </c>
      <c r="CI43" s="32">
        <f t="shared" si="23"/>
        <v>2.0082668106624624E-4</v>
      </c>
      <c r="CJ43" s="32">
        <f t="shared" si="23"/>
        <v>2.0082668106624624E-4</v>
      </c>
      <c r="CK43" s="32">
        <f t="shared" si="23"/>
        <v>2.0082668106624624E-4</v>
      </c>
      <c r="CL43" s="32">
        <f t="shared" si="23"/>
        <v>2.0082668106624624E-4</v>
      </c>
      <c r="CM43" s="32">
        <f t="shared" si="23"/>
        <v>2.0082668106624624E-4</v>
      </c>
      <c r="CN43" s="32">
        <f t="shared" si="23"/>
        <v>2.0082668106624624E-4</v>
      </c>
      <c r="CO43" s="32">
        <f t="shared" si="23"/>
        <v>2.0082668106624624E-4</v>
      </c>
      <c r="CP43" s="32">
        <f t="shared" si="23"/>
        <v>2.0082668106624624E-4</v>
      </c>
      <c r="CQ43" s="32">
        <f t="shared" si="23"/>
        <v>2.0082668106624624E-4</v>
      </c>
      <c r="CR43" s="32">
        <f t="shared" si="23"/>
        <v>2.0082668106624624E-4</v>
      </c>
      <c r="CS43" s="32">
        <f t="shared" si="23"/>
        <v>2.0082668106624624E-4</v>
      </c>
      <c r="CT43" s="32">
        <f t="shared" si="23"/>
        <v>2.0082668106624624E-4</v>
      </c>
      <c r="CU43" s="32">
        <f t="shared" si="23"/>
        <v>2.0082668106624624E-4</v>
      </c>
      <c r="CV43" s="32">
        <f t="shared" si="23"/>
        <v>2.0082668106624624E-4</v>
      </c>
    </row>
    <row r="44" spans="1:100" s="495" customFormat="1" outlineLevel="2" x14ac:dyDescent="0.2">
      <c r="A44" s="405"/>
      <c r="B44" s="405"/>
      <c r="C44" s="406"/>
      <c r="D44" s="575"/>
      <c r="E44" s="77" t="str">
        <f xml:space="preserve"> Time!E$209</f>
        <v>Senior debt service period flag</v>
      </c>
      <c r="F44" s="77">
        <f xml:space="preserve"> Time!F$209</f>
        <v>0</v>
      </c>
      <c r="G44" s="77" t="str">
        <f xml:space="preserve"> Time!G$209</f>
        <v>flag</v>
      </c>
      <c r="H44" s="77">
        <f xml:space="preserve"> Time!H$209</f>
        <v>34</v>
      </c>
      <c r="I44" s="77">
        <f xml:space="preserve"> Time!I$209</f>
        <v>0</v>
      </c>
      <c r="J44" s="77">
        <f xml:space="preserve"> Time!J$209</f>
        <v>0</v>
      </c>
      <c r="K44" s="77">
        <f xml:space="preserve"> Time!K$209</f>
        <v>0</v>
      </c>
      <c r="L44" s="77">
        <f xml:space="preserve"> Time!L$209</f>
        <v>0</v>
      </c>
      <c r="M44" s="77">
        <f xml:space="preserve"> Time!M$209</f>
        <v>0</v>
      </c>
      <c r="N44" s="77">
        <f xml:space="preserve"> Time!N$209</f>
        <v>0</v>
      </c>
      <c r="O44" s="77">
        <f xml:space="preserve"> Time!O$209</f>
        <v>1</v>
      </c>
      <c r="P44" s="77">
        <f xml:space="preserve"> Time!P$209</f>
        <v>1</v>
      </c>
      <c r="Q44" s="77">
        <f xml:space="preserve"> Time!Q$209</f>
        <v>1</v>
      </c>
      <c r="R44" s="77">
        <f xml:space="preserve"> Time!R$209</f>
        <v>1</v>
      </c>
      <c r="S44" s="77">
        <f xml:space="preserve"> Time!S$209</f>
        <v>1</v>
      </c>
      <c r="T44" s="77">
        <f xml:space="preserve"> Time!T$209</f>
        <v>1</v>
      </c>
      <c r="U44" s="77">
        <f xml:space="preserve"> Time!U$209</f>
        <v>1</v>
      </c>
      <c r="V44" s="77">
        <f xml:space="preserve"> Time!V$209</f>
        <v>1</v>
      </c>
      <c r="W44" s="77">
        <f xml:space="preserve"> Time!W$209</f>
        <v>1</v>
      </c>
      <c r="X44" s="77">
        <f xml:space="preserve"> Time!X$209</f>
        <v>1</v>
      </c>
      <c r="Y44" s="77">
        <f xml:space="preserve"> Time!Y$209</f>
        <v>1</v>
      </c>
      <c r="Z44" s="77">
        <f xml:space="preserve"> Time!Z$209</f>
        <v>1</v>
      </c>
      <c r="AA44" s="77">
        <f xml:space="preserve"> Time!AA$209</f>
        <v>1</v>
      </c>
      <c r="AB44" s="77">
        <f xml:space="preserve"> Time!AB$209</f>
        <v>1</v>
      </c>
      <c r="AC44" s="77">
        <f xml:space="preserve"> Time!AC$209</f>
        <v>1</v>
      </c>
      <c r="AD44" s="77">
        <f xml:space="preserve"> Time!AD$209</f>
        <v>1</v>
      </c>
      <c r="AE44" s="77">
        <f xml:space="preserve"> Time!AE$209</f>
        <v>1</v>
      </c>
      <c r="AF44" s="77">
        <f xml:space="preserve"> Time!AF$209</f>
        <v>1</v>
      </c>
      <c r="AG44" s="77">
        <f xml:space="preserve"> Time!AG$209</f>
        <v>1</v>
      </c>
      <c r="AH44" s="77">
        <f xml:space="preserve"> Time!AH$209</f>
        <v>1</v>
      </c>
      <c r="AI44" s="77">
        <f xml:space="preserve"> Time!AI$209</f>
        <v>1</v>
      </c>
      <c r="AJ44" s="77">
        <f xml:space="preserve"> Time!AJ$209</f>
        <v>1</v>
      </c>
      <c r="AK44" s="77">
        <f xml:space="preserve"> Time!AK$209</f>
        <v>1</v>
      </c>
      <c r="AL44" s="77">
        <f xml:space="preserve"> Time!AL$209</f>
        <v>1</v>
      </c>
      <c r="AM44" s="77">
        <f xml:space="preserve"> Time!AM$209</f>
        <v>1</v>
      </c>
      <c r="AN44" s="77">
        <f xml:space="preserve"> Time!AN$209</f>
        <v>1</v>
      </c>
      <c r="AO44" s="77">
        <f xml:space="preserve"> Time!AO$209</f>
        <v>1</v>
      </c>
      <c r="AP44" s="77">
        <f xml:space="preserve"> Time!AP$209</f>
        <v>1</v>
      </c>
      <c r="AQ44" s="77">
        <f xml:space="preserve"> Time!AQ$209</f>
        <v>1</v>
      </c>
      <c r="AR44" s="77">
        <f xml:space="preserve"> Time!AR$209</f>
        <v>1</v>
      </c>
      <c r="AS44" s="77">
        <f xml:space="preserve"> Time!AS$209</f>
        <v>1</v>
      </c>
      <c r="AT44" s="77">
        <f xml:space="preserve"> Time!AT$209</f>
        <v>1</v>
      </c>
      <c r="AU44" s="77">
        <f xml:space="preserve"> Time!AU$209</f>
        <v>1</v>
      </c>
      <c r="AV44" s="77">
        <f xml:space="preserve"> Time!AV$209</f>
        <v>1</v>
      </c>
      <c r="AW44" s="77">
        <f xml:space="preserve"> Time!AW$209</f>
        <v>0</v>
      </c>
      <c r="AX44" s="77">
        <f xml:space="preserve"> Time!AX$209</f>
        <v>0</v>
      </c>
      <c r="AY44" s="77">
        <f xml:space="preserve"> Time!AY$209</f>
        <v>0</v>
      </c>
      <c r="AZ44" s="77">
        <f xml:space="preserve"> Time!AZ$209</f>
        <v>0</v>
      </c>
      <c r="BA44" s="77">
        <f xml:space="preserve"> Time!BA$209</f>
        <v>0</v>
      </c>
      <c r="BB44" s="77">
        <f xml:space="preserve"> Time!BB$209</f>
        <v>0</v>
      </c>
      <c r="BC44" s="77">
        <f xml:space="preserve"> Time!BC$209</f>
        <v>0</v>
      </c>
      <c r="BD44" s="77">
        <f xml:space="preserve"> Time!BD$209</f>
        <v>0</v>
      </c>
      <c r="BE44" s="77">
        <f xml:space="preserve"> Time!BE$209</f>
        <v>0</v>
      </c>
      <c r="BF44" s="77">
        <f xml:space="preserve"> Time!BF$209</f>
        <v>0</v>
      </c>
      <c r="BG44" s="77">
        <f xml:space="preserve"> Time!BG$209</f>
        <v>0</v>
      </c>
      <c r="BH44" s="77">
        <f xml:space="preserve"> Time!BH$209</f>
        <v>0</v>
      </c>
      <c r="BI44" s="77">
        <f xml:space="preserve"> Time!BI$209</f>
        <v>0</v>
      </c>
      <c r="BJ44" s="77">
        <f xml:space="preserve"> Time!BJ$209</f>
        <v>0</v>
      </c>
      <c r="BK44" s="77">
        <f xml:space="preserve"> Time!BK$209</f>
        <v>0</v>
      </c>
      <c r="BL44" s="77">
        <f xml:space="preserve"> Time!BL$209</f>
        <v>0</v>
      </c>
      <c r="BM44" s="77">
        <f xml:space="preserve"> Time!BM$209</f>
        <v>0</v>
      </c>
      <c r="BN44" s="77">
        <f xml:space="preserve"> Time!BN$209</f>
        <v>0</v>
      </c>
      <c r="BO44" s="77">
        <f xml:space="preserve"> Time!BO$209</f>
        <v>0</v>
      </c>
      <c r="BP44" s="77">
        <f xml:space="preserve"> Time!BP$209</f>
        <v>0</v>
      </c>
      <c r="BQ44" s="77">
        <f xml:space="preserve"> Time!BQ$209</f>
        <v>0</v>
      </c>
      <c r="BR44" s="77">
        <f xml:space="preserve"> Time!BR$209</f>
        <v>0</v>
      </c>
      <c r="BS44" s="77">
        <f xml:space="preserve"> Time!BS$209</f>
        <v>0</v>
      </c>
      <c r="BT44" s="77">
        <f xml:space="preserve"> Time!BT$209</f>
        <v>0</v>
      </c>
      <c r="BU44" s="77">
        <f xml:space="preserve"> Time!BU$209</f>
        <v>0</v>
      </c>
      <c r="BV44" s="77">
        <f xml:space="preserve"> Time!BV$209</f>
        <v>0</v>
      </c>
      <c r="BW44" s="77">
        <f xml:space="preserve"> Time!BW$209</f>
        <v>0</v>
      </c>
      <c r="BX44" s="77">
        <f xml:space="preserve"> Time!BX$209</f>
        <v>0</v>
      </c>
      <c r="BY44" s="77">
        <f xml:space="preserve"> Time!BY$209</f>
        <v>0</v>
      </c>
      <c r="BZ44" s="77">
        <f xml:space="preserve"> Time!BZ$209</f>
        <v>0</v>
      </c>
      <c r="CA44" s="77">
        <f xml:space="preserve"> Time!CA$209</f>
        <v>0</v>
      </c>
      <c r="CB44" s="77">
        <f xml:space="preserve"> Time!CB$209</f>
        <v>0</v>
      </c>
      <c r="CC44" s="77">
        <f xml:space="preserve"> Time!CC$209</f>
        <v>0</v>
      </c>
      <c r="CD44" s="77">
        <f xml:space="preserve"> Time!CD$209</f>
        <v>0</v>
      </c>
      <c r="CE44" s="77">
        <f xml:space="preserve"> Time!CE$209</f>
        <v>0</v>
      </c>
      <c r="CF44" s="77">
        <f xml:space="preserve"> Time!CF$209</f>
        <v>0</v>
      </c>
      <c r="CG44" s="77">
        <f xml:space="preserve"> Time!CG$209</f>
        <v>0</v>
      </c>
      <c r="CH44" s="77">
        <f xml:space="preserve"> Time!CH$209</f>
        <v>0</v>
      </c>
      <c r="CI44" s="77">
        <f xml:space="preserve"> Time!CI$209</f>
        <v>0</v>
      </c>
      <c r="CJ44" s="77">
        <f xml:space="preserve"> Time!CJ$209</f>
        <v>0</v>
      </c>
      <c r="CK44" s="77">
        <f xml:space="preserve"> Time!CK$209</f>
        <v>0</v>
      </c>
      <c r="CL44" s="77">
        <f xml:space="preserve"> Time!CL$209</f>
        <v>0</v>
      </c>
      <c r="CM44" s="77">
        <f xml:space="preserve"> Time!CM$209</f>
        <v>0</v>
      </c>
      <c r="CN44" s="77">
        <f xml:space="preserve"> Time!CN$209</f>
        <v>0</v>
      </c>
      <c r="CO44" s="77">
        <f xml:space="preserve"> Time!CO$209</f>
        <v>0</v>
      </c>
      <c r="CP44" s="77">
        <f xml:space="preserve"> Time!CP$209</f>
        <v>0</v>
      </c>
      <c r="CQ44" s="77">
        <f xml:space="preserve"> Time!CQ$209</f>
        <v>0</v>
      </c>
      <c r="CR44" s="77">
        <f xml:space="preserve"> Time!CR$209</f>
        <v>0</v>
      </c>
      <c r="CS44" s="77">
        <f xml:space="preserve"> Time!CS$209</f>
        <v>0</v>
      </c>
      <c r="CT44" s="77">
        <f xml:space="preserve"> Time!CT$209</f>
        <v>0</v>
      </c>
      <c r="CU44" s="77">
        <f xml:space="preserve"> Time!CU$209</f>
        <v>0</v>
      </c>
      <c r="CV44" s="77">
        <f xml:space="preserve"> Time!CV$209</f>
        <v>0</v>
      </c>
    </row>
    <row r="45" spans="1:100" outlineLevel="2" x14ac:dyDescent="0.2">
      <c r="A45" s="33"/>
      <c r="B45" s="79"/>
      <c r="C45" s="561"/>
      <c r="D45" s="60"/>
      <c r="E45" s="32" t="s">
        <v>359</v>
      </c>
      <c r="F45" s="32"/>
      <c r="G45" s="32" t="str">
        <f xml:space="preserve"> SMU</f>
        <v>$ 000s</v>
      </c>
      <c r="H45" s="32">
        <f xml:space="preserve"> SUM(J45:CV45)</f>
        <v>0</v>
      </c>
      <c r="I45" s="32"/>
      <c r="J45" s="32">
        <f t="shared" ref="J45:AO45" si="24" xml:space="preserve"> MAX(J43, 0) * J44 * ($F42 = 1)</f>
        <v>0</v>
      </c>
      <c r="K45" s="32">
        <f t="shared" si="24"/>
        <v>0</v>
      </c>
      <c r="L45" s="32">
        <f t="shared" si="24"/>
        <v>0</v>
      </c>
      <c r="M45" s="32">
        <f t="shared" si="24"/>
        <v>0</v>
      </c>
      <c r="N45" s="32">
        <f t="shared" si="24"/>
        <v>0</v>
      </c>
      <c r="O45" s="32">
        <f t="shared" si="24"/>
        <v>0</v>
      </c>
      <c r="P45" s="32">
        <f t="shared" si="24"/>
        <v>0</v>
      </c>
      <c r="Q45" s="32">
        <f t="shared" si="24"/>
        <v>0</v>
      </c>
      <c r="R45" s="32">
        <f t="shared" si="24"/>
        <v>0</v>
      </c>
      <c r="S45" s="32">
        <f t="shared" si="24"/>
        <v>0</v>
      </c>
      <c r="T45" s="32">
        <f t="shared" si="24"/>
        <v>0</v>
      </c>
      <c r="U45" s="32">
        <f t="shared" si="24"/>
        <v>0</v>
      </c>
      <c r="V45" s="32">
        <f t="shared" si="24"/>
        <v>0</v>
      </c>
      <c r="W45" s="32">
        <f t="shared" si="24"/>
        <v>0</v>
      </c>
      <c r="X45" s="32">
        <f t="shared" si="24"/>
        <v>0</v>
      </c>
      <c r="Y45" s="32">
        <f t="shared" si="24"/>
        <v>0</v>
      </c>
      <c r="Z45" s="32">
        <f t="shared" si="24"/>
        <v>0</v>
      </c>
      <c r="AA45" s="32">
        <f t="shared" si="24"/>
        <v>0</v>
      </c>
      <c r="AB45" s="32">
        <f t="shared" si="24"/>
        <v>0</v>
      </c>
      <c r="AC45" s="32">
        <f t="shared" si="24"/>
        <v>0</v>
      </c>
      <c r="AD45" s="32">
        <f t="shared" si="24"/>
        <v>0</v>
      </c>
      <c r="AE45" s="32">
        <f t="shared" si="24"/>
        <v>0</v>
      </c>
      <c r="AF45" s="32">
        <f t="shared" si="24"/>
        <v>0</v>
      </c>
      <c r="AG45" s="32">
        <f t="shared" si="24"/>
        <v>0</v>
      </c>
      <c r="AH45" s="32">
        <f t="shared" si="24"/>
        <v>0</v>
      </c>
      <c r="AI45" s="32">
        <f t="shared" si="24"/>
        <v>0</v>
      </c>
      <c r="AJ45" s="32">
        <f t="shared" si="24"/>
        <v>0</v>
      </c>
      <c r="AK45" s="32">
        <f t="shared" si="24"/>
        <v>0</v>
      </c>
      <c r="AL45" s="32">
        <f t="shared" si="24"/>
        <v>0</v>
      </c>
      <c r="AM45" s="32">
        <f t="shared" si="24"/>
        <v>0</v>
      </c>
      <c r="AN45" s="32">
        <f t="shared" si="24"/>
        <v>0</v>
      </c>
      <c r="AO45" s="32">
        <f t="shared" si="24"/>
        <v>0</v>
      </c>
      <c r="AP45" s="32">
        <f t="shared" ref="AP45:BU45" si="25" xml:space="preserve"> MAX(AP43, 0) * AP44 * ($F42 = 1)</f>
        <v>0</v>
      </c>
      <c r="AQ45" s="32">
        <f t="shared" si="25"/>
        <v>0</v>
      </c>
      <c r="AR45" s="32">
        <f t="shared" si="25"/>
        <v>0</v>
      </c>
      <c r="AS45" s="32">
        <f t="shared" si="25"/>
        <v>0</v>
      </c>
      <c r="AT45" s="32">
        <f t="shared" si="25"/>
        <v>0</v>
      </c>
      <c r="AU45" s="32">
        <f t="shared" si="25"/>
        <v>0</v>
      </c>
      <c r="AV45" s="32">
        <f t="shared" si="25"/>
        <v>0</v>
      </c>
      <c r="AW45" s="32">
        <f t="shared" si="25"/>
        <v>0</v>
      </c>
      <c r="AX45" s="32">
        <f t="shared" si="25"/>
        <v>0</v>
      </c>
      <c r="AY45" s="32">
        <f t="shared" si="25"/>
        <v>0</v>
      </c>
      <c r="AZ45" s="32">
        <f t="shared" si="25"/>
        <v>0</v>
      </c>
      <c r="BA45" s="32">
        <f t="shared" si="25"/>
        <v>0</v>
      </c>
      <c r="BB45" s="32">
        <f t="shared" si="25"/>
        <v>0</v>
      </c>
      <c r="BC45" s="32">
        <f t="shared" si="25"/>
        <v>0</v>
      </c>
      <c r="BD45" s="32">
        <f t="shared" si="25"/>
        <v>0</v>
      </c>
      <c r="BE45" s="32">
        <f t="shared" si="25"/>
        <v>0</v>
      </c>
      <c r="BF45" s="32">
        <f t="shared" si="25"/>
        <v>0</v>
      </c>
      <c r="BG45" s="32">
        <f t="shared" si="25"/>
        <v>0</v>
      </c>
      <c r="BH45" s="32">
        <f t="shared" si="25"/>
        <v>0</v>
      </c>
      <c r="BI45" s="32">
        <f t="shared" si="25"/>
        <v>0</v>
      </c>
      <c r="BJ45" s="32">
        <f t="shared" si="25"/>
        <v>0</v>
      </c>
      <c r="BK45" s="32">
        <f t="shared" si="25"/>
        <v>0</v>
      </c>
      <c r="BL45" s="32">
        <f t="shared" si="25"/>
        <v>0</v>
      </c>
      <c r="BM45" s="32">
        <f t="shared" si="25"/>
        <v>0</v>
      </c>
      <c r="BN45" s="32">
        <f t="shared" si="25"/>
        <v>0</v>
      </c>
      <c r="BO45" s="32">
        <f t="shared" si="25"/>
        <v>0</v>
      </c>
      <c r="BP45" s="32">
        <f t="shared" si="25"/>
        <v>0</v>
      </c>
      <c r="BQ45" s="32">
        <f t="shared" si="25"/>
        <v>0</v>
      </c>
      <c r="BR45" s="32">
        <f t="shared" si="25"/>
        <v>0</v>
      </c>
      <c r="BS45" s="32">
        <f t="shared" si="25"/>
        <v>0</v>
      </c>
      <c r="BT45" s="32">
        <f t="shared" si="25"/>
        <v>0</v>
      </c>
      <c r="BU45" s="32">
        <f t="shared" si="25"/>
        <v>0</v>
      </c>
      <c r="BV45" s="32">
        <f t="shared" ref="BV45:CV45" si="26" xml:space="preserve"> MAX(BV43, 0) * BV44 * ($F42 = 1)</f>
        <v>0</v>
      </c>
      <c r="BW45" s="32">
        <f t="shared" si="26"/>
        <v>0</v>
      </c>
      <c r="BX45" s="32">
        <f t="shared" si="26"/>
        <v>0</v>
      </c>
      <c r="BY45" s="32">
        <f t="shared" si="26"/>
        <v>0</v>
      </c>
      <c r="BZ45" s="32">
        <f t="shared" si="26"/>
        <v>0</v>
      </c>
      <c r="CA45" s="32">
        <f t="shared" si="26"/>
        <v>0</v>
      </c>
      <c r="CB45" s="32">
        <f t="shared" si="26"/>
        <v>0</v>
      </c>
      <c r="CC45" s="32">
        <f t="shared" si="26"/>
        <v>0</v>
      </c>
      <c r="CD45" s="32">
        <f t="shared" si="26"/>
        <v>0</v>
      </c>
      <c r="CE45" s="32">
        <f t="shared" si="26"/>
        <v>0</v>
      </c>
      <c r="CF45" s="32">
        <f t="shared" si="26"/>
        <v>0</v>
      </c>
      <c r="CG45" s="32">
        <f t="shared" si="26"/>
        <v>0</v>
      </c>
      <c r="CH45" s="32">
        <f t="shared" si="26"/>
        <v>0</v>
      </c>
      <c r="CI45" s="32">
        <f t="shared" si="26"/>
        <v>0</v>
      </c>
      <c r="CJ45" s="32">
        <f t="shared" si="26"/>
        <v>0</v>
      </c>
      <c r="CK45" s="32">
        <f t="shared" si="26"/>
        <v>0</v>
      </c>
      <c r="CL45" s="32">
        <f t="shared" si="26"/>
        <v>0</v>
      </c>
      <c r="CM45" s="32">
        <f t="shared" si="26"/>
        <v>0</v>
      </c>
      <c r="CN45" s="32">
        <f t="shared" si="26"/>
        <v>0</v>
      </c>
      <c r="CO45" s="32">
        <f t="shared" si="26"/>
        <v>0</v>
      </c>
      <c r="CP45" s="32">
        <f t="shared" si="26"/>
        <v>0</v>
      </c>
      <c r="CQ45" s="32">
        <f t="shared" si="26"/>
        <v>0</v>
      </c>
      <c r="CR45" s="32">
        <f t="shared" si="26"/>
        <v>0</v>
      </c>
      <c r="CS45" s="32">
        <f t="shared" si="26"/>
        <v>0</v>
      </c>
      <c r="CT45" s="32">
        <f t="shared" si="26"/>
        <v>0</v>
      </c>
      <c r="CU45" s="32">
        <f t="shared" si="26"/>
        <v>0</v>
      </c>
      <c r="CV45" s="32">
        <f t="shared" si="26"/>
        <v>0</v>
      </c>
    </row>
    <row r="46" spans="1:100" outlineLevel="1" x14ac:dyDescent="0.2">
      <c r="A46" s="33"/>
      <c r="B46" s="79"/>
      <c r="C46" s="561"/>
      <c r="D46" s="60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</row>
    <row r="47" spans="1:100" outlineLevel="1" x14ac:dyDescent="0.2">
      <c r="A47" s="33"/>
      <c r="B47" s="79" t="s">
        <v>360</v>
      </c>
      <c r="C47" s="561"/>
      <c r="D47" s="60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</row>
    <row r="48" spans="1:100" s="495" customFormat="1" outlineLevel="2" x14ac:dyDescent="0.2">
      <c r="A48" s="405"/>
      <c r="B48" s="405"/>
      <c r="C48" s="406"/>
      <c r="D48" s="575"/>
      <c r="E48" s="77" t="str">
        <f xml:space="preserve"> Equity!E$53</f>
        <v>Retained cash balance BEG</v>
      </c>
      <c r="F48" s="77">
        <f xml:space="preserve"> Equity!F$53</f>
        <v>0</v>
      </c>
      <c r="G48" s="77" t="str">
        <f xml:space="preserve"> Equity!G$53</f>
        <v>$ 000s</v>
      </c>
      <c r="H48" s="77">
        <f xml:space="preserve"> Equity!H$53</f>
        <v>0</v>
      </c>
      <c r="I48" s="77">
        <f xml:space="preserve"> Equity!I$53</f>
        <v>0</v>
      </c>
      <c r="J48" s="77">
        <f xml:space="preserve"> Equity!J$53</f>
        <v>0</v>
      </c>
      <c r="K48" s="77">
        <f xml:space="preserve"> Equity!K$53</f>
        <v>-1.5558398445136845E-6</v>
      </c>
      <c r="L48" s="77">
        <f xml:space="preserve"> Equity!L$53</f>
        <v>-1.402249836246483E-5</v>
      </c>
      <c r="M48" s="77">
        <f xml:space="preserve"> Equity!M$53</f>
        <v>-3.0776860512560233E-5</v>
      </c>
      <c r="N48" s="77">
        <f xml:space="preserve"> Equity!N$53</f>
        <v>-5.0199549150420353E-5</v>
      </c>
      <c r="O48" s="77">
        <f xml:space="preserve"> Equity!O$53</f>
        <v>-4.0178145100071561E-3</v>
      </c>
      <c r="P48" s="77">
        <f xml:space="preserve"> Equity!P$53</f>
        <v>0</v>
      </c>
      <c r="Q48" s="77">
        <f xml:space="preserve"> Equity!Q$53</f>
        <v>0</v>
      </c>
      <c r="R48" s="77">
        <f xml:space="preserve"> Equity!R$53</f>
        <v>0</v>
      </c>
      <c r="S48" s="77">
        <f xml:space="preserve"> Equity!S$53</f>
        <v>0</v>
      </c>
      <c r="T48" s="77">
        <f xml:space="preserve"> Equity!T$53</f>
        <v>0</v>
      </c>
      <c r="U48" s="77">
        <f xml:space="preserve"> Equity!U$53</f>
        <v>0</v>
      </c>
      <c r="V48" s="77">
        <f xml:space="preserve"> Equity!V$53</f>
        <v>0</v>
      </c>
      <c r="W48" s="77">
        <f xml:space="preserve"> Equity!W$53</f>
        <v>0</v>
      </c>
      <c r="X48" s="77">
        <f xml:space="preserve"> Equity!X$53</f>
        <v>0</v>
      </c>
      <c r="Y48" s="77">
        <f xml:space="preserve"> Equity!Y$53</f>
        <v>0</v>
      </c>
      <c r="Z48" s="77">
        <f xml:space="preserve"> Equity!Z$53</f>
        <v>0</v>
      </c>
      <c r="AA48" s="77">
        <f xml:space="preserve"> Equity!AA$53</f>
        <v>0</v>
      </c>
      <c r="AB48" s="77">
        <f xml:space="preserve"> Equity!AB$53</f>
        <v>0</v>
      </c>
      <c r="AC48" s="77">
        <f xml:space="preserve"> Equity!AC$53</f>
        <v>0</v>
      </c>
      <c r="AD48" s="77">
        <f xml:space="preserve"> Equity!AD$53</f>
        <v>0</v>
      </c>
      <c r="AE48" s="77">
        <f xml:space="preserve"> Equity!AE$53</f>
        <v>0</v>
      </c>
      <c r="AF48" s="77">
        <f xml:space="preserve"> Equity!AF$53</f>
        <v>0</v>
      </c>
      <c r="AG48" s="77">
        <f xml:space="preserve"> Equity!AG$53</f>
        <v>0</v>
      </c>
      <c r="AH48" s="77">
        <f xml:space="preserve"> Equity!AH$53</f>
        <v>0</v>
      </c>
      <c r="AI48" s="77">
        <f xml:space="preserve"> Equity!AI$53</f>
        <v>0</v>
      </c>
      <c r="AJ48" s="77">
        <f xml:space="preserve"> Equity!AJ$53</f>
        <v>0</v>
      </c>
      <c r="AK48" s="77">
        <f xml:space="preserve"> Equity!AK$53</f>
        <v>0</v>
      </c>
      <c r="AL48" s="77">
        <f xml:space="preserve"> Equity!AL$53</f>
        <v>0</v>
      </c>
      <c r="AM48" s="77">
        <f xml:space="preserve"> Equity!AM$53</f>
        <v>0</v>
      </c>
      <c r="AN48" s="77">
        <f xml:space="preserve"> Equity!AN$53</f>
        <v>0</v>
      </c>
      <c r="AO48" s="77">
        <f xml:space="preserve"> Equity!AO$53</f>
        <v>0</v>
      </c>
      <c r="AP48" s="77">
        <f xml:space="preserve"> Equity!AP$53</f>
        <v>0</v>
      </c>
      <c r="AQ48" s="77">
        <f xml:space="preserve"> Equity!AQ$53</f>
        <v>0</v>
      </c>
      <c r="AR48" s="77">
        <f xml:space="preserve"> Equity!AR$53</f>
        <v>0</v>
      </c>
      <c r="AS48" s="77">
        <f xml:space="preserve"> Equity!AS$53</f>
        <v>0</v>
      </c>
      <c r="AT48" s="77">
        <f xml:space="preserve"> Equity!AT$53</f>
        <v>0</v>
      </c>
      <c r="AU48" s="77">
        <f xml:space="preserve"> Equity!AU$53</f>
        <v>0</v>
      </c>
      <c r="AV48" s="77">
        <f xml:space="preserve"> Equity!AV$53</f>
        <v>0</v>
      </c>
      <c r="AW48" s="77">
        <f xml:space="preserve"> Equity!AW$53</f>
        <v>0</v>
      </c>
      <c r="AX48" s="77">
        <f xml:space="preserve"> Equity!AX$53</f>
        <v>0</v>
      </c>
      <c r="AY48" s="77">
        <f xml:space="preserve"> Equity!AY$53</f>
        <v>0</v>
      </c>
      <c r="AZ48" s="77">
        <f xml:space="preserve"> Equity!AZ$53</f>
        <v>0</v>
      </c>
      <c r="BA48" s="77">
        <f xml:space="preserve"> Equity!BA$53</f>
        <v>0</v>
      </c>
      <c r="BB48" s="77">
        <f xml:space="preserve"> Equity!BB$53</f>
        <v>0</v>
      </c>
      <c r="BC48" s="77">
        <f xml:space="preserve"> Equity!BC$53</f>
        <v>0</v>
      </c>
      <c r="BD48" s="77">
        <f xml:space="preserve"> Equity!BD$53</f>
        <v>0</v>
      </c>
      <c r="BE48" s="77">
        <f xml:space="preserve"> Equity!BE$53</f>
        <v>0</v>
      </c>
      <c r="BF48" s="77">
        <f xml:space="preserve"> Equity!BF$53</f>
        <v>0</v>
      </c>
      <c r="BG48" s="77">
        <f xml:space="preserve"> Equity!BG$53</f>
        <v>0</v>
      </c>
      <c r="BH48" s="77">
        <f xml:space="preserve"> Equity!BH$53</f>
        <v>0</v>
      </c>
      <c r="BI48" s="77">
        <f xml:space="preserve"> Equity!BI$53</f>
        <v>0</v>
      </c>
      <c r="BJ48" s="77">
        <f xml:space="preserve"> Equity!BJ$53</f>
        <v>0</v>
      </c>
      <c r="BK48" s="77">
        <f xml:space="preserve"> Equity!BK$53</f>
        <v>0</v>
      </c>
      <c r="BL48" s="77">
        <f xml:space="preserve"> Equity!BL$53</f>
        <v>0</v>
      </c>
      <c r="BM48" s="77">
        <f xml:space="preserve"> Equity!BM$53</f>
        <v>0</v>
      </c>
      <c r="BN48" s="77">
        <f xml:space="preserve"> Equity!BN$53</f>
        <v>0</v>
      </c>
      <c r="BO48" s="77">
        <f xml:space="preserve"> Equity!BO$53</f>
        <v>0</v>
      </c>
      <c r="BP48" s="77">
        <f xml:space="preserve"> Equity!BP$53</f>
        <v>0</v>
      </c>
      <c r="BQ48" s="77">
        <f xml:space="preserve"> Equity!BQ$53</f>
        <v>0</v>
      </c>
      <c r="BR48" s="77">
        <f xml:space="preserve"> Equity!BR$53</f>
        <v>0</v>
      </c>
      <c r="BS48" s="77">
        <f xml:space="preserve"> Equity!BS$53</f>
        <v>0</v>
      </c>
      <c r="BT48" s="77">
        <f xml:space="preserve"> Equity!BT$53</f>
        <v>0</v>
      </c>
      <c r="BU48" s="77">
        <f xml:space="preserve"> Equity!BU$53</f>
        <v>0</v>
      </c>
      <c r="BV48" s="77">
        <f xml:space="preserve"> Equity!BV$53</f>
        <v>0</v>
      </c>
      <c r="BW48" s="77">
        <f xml:space="preserve"> Equity!BW$53</f>
        <v>0</v>
      </c>
      <c r="BX48" s="77">
        <f xml:space="preserve"> Equity!BX$53</f>
        <v>0</v>
      </c>
      <c r="BY48" s="77">
        <f xml:space="preserve"> Equity!BY$53</f>
        <v>0</v>
      </c>
      <c r="BZ48" s="77">
        <f xml:space="preserve"> Equity!BZ$53</f>
        <v>0</v>
      </c>
      <c r="CA48" s="77">
        <f xml:space="preserve"> Equity!CA$53</f>
        <v>0</v>
      </c>
      <c r="CB48" s="77">
        <f xml:space="preserve"> Equity!CB$53</f>
        <v>0</v>
      </c>
      <c r="CC48" s="77">
        <f xml:space="preserve"> Equity!CC$53</f>
        <v>0</v>
      </c>
      <c r="CD48" s="77">
        <f xml:space="preserve"> Equity!CD$53</f>
        <v>0</v>
      </c>
      <c r="CE48" s="77">
        <f xml:space="preserve"> Equity!CE$53</f>
        <v>0</v>
      </c>
      <c r="CF48" s="77">
        <f xml:space="preserve"> Equity!CF$53</f>
        <v>0</v>
      </c>
      <c r="CG48" s="77">
        <f xml:space="preserve"> Equity!CG$53</f>
        <v>0</v>
      </c>
      <c r="CH48" s="77">
        <f xml:space="preserve"> Equity!CH$53</f>
        <v>0</v>
      </c>
      <c r="CI48" s="77">
        <f xml:space="preserve"> Equity!CI$53</f>
        <v>0</v>
      </c>
      <c r="CJ48" s="77">
        <f xml:space="preserve"> Equity!CJ$53</f>
        <v>0</v>
      </c>
      <c r="CK48" s="77">
        <f xml:space="preserve"> Equity!CK$53</f>
        <v>0</v>
      </c>
      <c r="CL48" s="77">
        <f xml:space="preserve"> Equity!CL$53</f>
        <v>0</v>
      </c>
      <c r="CM48" s="77">
        <f xml:space="preserve"> Equity!CM$53</f>
        <v>0</v>
      </c>
      <c r="CN48" s="77">
        <f xml:space="preserve"> Equity!CN$53</f>
        <v>0</v>
      </c>
      <c r="CO48" s="77">
        <f xml:space="preserve"> Equity!CO$53</f>
        <v>0</v>
      </c>
      <c r="CP48" s="77">
        <f xml:space="preserve"> Equity!CP$53</f>
        <v>0</v>
      </c>
      <c r="CQ48" s="77">
        <f xml:space="preserve"> Equity!CQ$53</f>
        <v>0</v>
      </c>
      <c r="CR48" s="77">
        <f xml:space="preserve"> Equity!CR$53</f>
        <v>0</v>
      </c>
      <c r="CS48" s="77">
        <f xml:space="preserve"> Equity!CS$53</f>
        <v>0</v>
      </c>
      <c r="CT48" s="77">
        <f xml:space="preserve"> Equity!CT$53</f>
        <v>0</v>
      </c>
      <c r="CU48" s="77">
        <f xml:space="preserve"> Equity!CU$53</f>
        <v>0</v>
      </c>
      <c r="CV48" s="77">
        <f xml:space="preserve"> Equity!CV$53</f>
        <v>0</v>
      </c>
    </row>
    <row r="49" spans="1:100" s="495" customFormat="1" outlineLevel="2" x14ac:dyDescent="0.2">
      <c r="A49" s="405"/>
      <c r="B49" s="405"/>
      <c r="C49" s="406"/>
      <c r="D49" s="575"/>
      <c r="E49" s="77" t="str">
        <f xml:space="preserve"> 'FS Semi'!E$77</f>
        <v>Cashflow available for DSRA</v>
      </c>
      <c r="F49" s="77">
        <f xml:space="preserve"> 'FS Semi'!F$77</f>
        <v>0</v>
      </c>
      <c r="G49" s="77" t="str">
        <f xml:space="preserve"> 'FS Semi'!G$77</f>
        <v>$ 000s</v>
      </c>
      <c r="H49" s="77">
        <f xml:space="preserve"> 'FS Semi'!H$77</f>
        <v>225369.61293232403</v>
      </c>
      <c r="I49" s="77">
        <f xml:space="preserve"> 'FS Semi'!I$77</f>
        <v>0</v>
      </c>
      <c r="J49" s="77">
        <f xml:space="preserve"> 'FS Semi'!J$77</f>
        <v>-1.5558398445136845E-6</v>
      </c>
      <c r="K49" s="77">
        <f xml:space="preserve"> 'FS Semi'!K$77</f>
        <v>-1.2466658517951146E-5</v>
      </c>
      <c r="L49" s="77">
        <f xml:space="preserve"> 'FS Semi'!L$77</f>
        <v>-1.6754362150095403E-5</v>
      </c>
      <c r="M49" s="77">
        <f xml:space="preserve"> 'FS Semi'!M$77</f>
        <v>-1.9422688637860119E-5</v>
      </c>
      <c r="N49" s="77">
        <f xml:space="preserve"> 'FS Semi'!N$77</f>
        <v>-3.9676149608567357E-3</v>
      </c>
      <c r="O49" s="77">
        <f xml:space="preserve"> 'FS Semi'!O$77</f>
        <v>4958.443690135995</v>
      </c>
      <c r="P49" s="77">
        <f xml:space="preserve"> 'FS Semi'!P$77</f>
        <v>4376.7251537074426</v>
      </c>
      <c r="Q49" s="77">
        <f xml:space="preserve"> 'FS Semi'!Q$77</f>
        <v>4388.4324926867976</v>
      </c>
      <c r="R49" s="77">
        <f xml:space="preserve"> 'FS Semi'!R$77</f>
        <v>4348.2143101887104</v>
      </c>
      <c r="S49" s="77">
        <f xml:space="preserve"> 'FS Semi'!S$77</f>
        <v>4359.4881147775905</v>
      </c>
      <c r="T49" s="77">
        <f xml:space="preserve"> 'FS Semi'!T$77</f>
        <v>4319.4355962029495</v>
      </c>
      <c r="U49" s="77">
        <f xml:space="preserve"> 'FS Semi'!U$77</f>
        <v>4330.2713987721636</v>
      </c>
      <c r="V49" s="77">
        <f xml:space="preserve"> 'FS Semi'!V$77</f>
        <v>4295.8785232044102</v>
      </c>
      <c r="W49" s="77">
        <f xml:space="preserve"> 'FS Semi'!W$77</f>
        <v>4294.7605171879295</v>
      </c>
      <c r="X49" s="77">
        <f xml:space="preserve"> 'FS Semi'!X$77</f>
        <v>4261.0523971054718</v>
      </c>
      <c r="Y49" s="77">
        <f xml:space="preserve"> 'FS Semi'!Y$77</f>
        <v>4267.0727620605358</v>
      </c>
      <c r="Z49" s="77">
        <f xml:space="preserve"> 'FS Semi'!Z$77</f>
        <v>4227.6360983090108</v>
      </c>
      <c r="AA49" s="77">
        <f xml:space="preserve"> 'FS Semi'!AA$77</f>
        <v>4237.1166871376536</v>
      </c>
      <c r="AB49" s="77">
        <f xml:space="preserve"> 'FS Semi'!AB$77</f>
        <v>4197.8587091496702</v>
      </c>
      <c r="AC49" s="77">
        <f xml:space="preserve"> 'FS Semi'!AC$77</f>
        <v>4206.8923429508668</v>
      </c>
      <c r="AD49" s="77">
        <f xml:space="preserve"> 'FS Semi'!AD$77</f>
        <v>4173.2269094345338</v>
      </c>
      <c r="AE49" s="77">
        <f xml:space="preserve"> 'FS Semi'!AE$77</f>
        <v>4170.5787403339746</v>
      </c>
      <c r="AF49" s="77">
        <f xml:space="preserve"> 'FS Semi'!AF$77</f>
        <v>4137.4958065718038</v>
      </c>
      <c r="AG49" s="77">
        <f xml:space="preserve"> 'FS Semi'!AG$77</f>
        <v>4145.6248673030022</v>
      </c>
      <c r="AH49" s="77">
        <f xml:space="preserve"> 'FS Semi'!AH$77</f>
        <v>4106.9177808621971</v>
      </c>
      <c r="AI49" s="77">
        <f xml:space="preserve"> 'FS Semi'!AI$77</f>
        <v>4111.6154456944569</v>
      </c>
      <c r="AJ49" s="77">
        <f xml:space="preserve"> 'FS Semi'!AJ$77</f>
        <v>4073.2744782768605</v>
      </c>
      <c r="AK49" s="77">
        <f xml:space="preserve"> 'FS Semi'!AK$77</f>
        <v>4080.5786522404214</v>
      </c>
      <c r="AL49" s="77">
        <f xml:space="preserve"> 'FS Semi'!AL$77</f>
        <v>4047.7870292907392</v>
      </c>
      <c r="AM49" s="77">
        <f xml:space="preserve"> 'FS Semi'!AM$77</f>
        <v>4043.6903728791895</v>
      </c>
      <c r="AN49" s="77">
        <f xml:space="preserve"> 'FS Semi'!AN$77</f>
        <v>4011.35776874558</v>
      </c>
      <c r="AO49" s="77">
        <f xml:space="preserve"> 'FS Semi'!AO$77</f>
        <v>4017.7727347037126</v>
      </c>
      <c r="AP49" s="77">
        <f xml:space="preserve"> 'FS Semi'!AP$77</f>
        <v>3980.046016909444</v>
      </c>
      <c r="AQ49" s="77">
        <f xml:space="preserve"> 'FS Semi'!AQ$77</f>
        <v>3986.0150355588248</v>
      </c>
      <c r="AR49" s="77">
        <f xml:space="preserve"> 'FS Semi'!AR$77</f>
        <v>3948.5003785710251</v>
      </c>
      <c r="AS49" s="77">
        <f xml:space="preserve"> 'FS Semi'!AS$77</f>
        <v>3954.0214159963252</v>
      </c>
      <c r="AT49" s="77">
        <f xml:space="preserve"> 'FS Semi'!AT$77</f>
        <v>3921.7116472983853</v>
      </c>
      <c r="AU49" s="77">
        <f xml:space="preserve"> 'FS Semi'!AU$77</f>
        <v>3915.7337989721746</v>
      </c>
      <c r="AV49" s="77">
        <f xml:space="preserve"> 'FS Semi'!AV$77</f>
        <v>3883.690800792343</v>
      </c>
      <c r="AW49" s="77">
        <f xml:space="preserve"> 'FS Semi'!AW$77</f>
        <v>13607.771297376097</v>
      </c>
      <c r="AX49" s="77">
        <f xml:space="preserve"> 'FS Semi'!AX$77</f>
        <v>13461.451597997637</v>
      </c>
      <c r="AY49" s="77">
        <f xml:space="preserve"> 'FS Semi'!AY$77</f>
        <v>13457.775239101149</v>
      </c>
      <c r="AZ49" s="77">
        <f xml:space="preserve"> 'FS Semi'!AZ$77</f>
        <v>13312.139894966671</v>
      </c>
      <c r="BA49" s="77">
        <f xml:space="preserve"> 'FS Semi'!BA$77</f>
        <v>13305.600683226843</v>
      </c>
      <c r="BB49" s="77">
        <f xml:space="preserve"> 'FS Semi'!BB$77</f>
        <v>16445.959763457937</v>
      </c>
      <c r="BC49" s="77">
        <f xml:space="preserve"> 'FS Semi'!BC$77</f>
        <v>0</v>
      </c>
      <c r="BD49" s="77">
        <f xml:space="preserve"> 'FS Semi'!BD$77</f>
        <v>0</v>
      </c>
      <c r="BE49" s="77">
        <f xml:space="preserve"> 'FS Semi'!BE$77</f>
        <v>0</v>
      </c>
      <c r="BF49" s="77">
        <f xml:space="preserve"> 'FS Semi'!BF$77</f>
        <v>0</v>
      </c>
      <c r="BG49" s="77">
        <f xml:space="preserve"> 'FS Semi'!BG$77</f>
        <v>0</v>
      </c>
      <c r="BH49" s="77">
        <f xml:space="preserve"> 'FS Semi'!BH$77</f>
        <v>0</v>
      </c>
      <c r="BI49" s="77">
        <f xml:space="preserve"> 'FS Semi'!BI$77</f>
        <v>0</v>
      </c>
      <c r="BJ49" s="77">
        <f xml:space="preserve"> 'FS Semi'!BJ$77</f>
        <v>0</v>
      </c>
      <c r="BK49" s="77">
        <f xml:space="preserve"> 'FS Semi'!BK$77</f>
        <v>0</v>
      </c>
      <c r="BL49" s="77">
        <f xml:space="preserve"> 'FS Semi'!BL$77</f>
        <v>0</v>
      </c>
      <c r="BM49" s="77">
        <f xml:space="preserve"> 'FS Semi'!BM$77</f>
        <v>0</v>
      </c>
      <c r="BN49" s="77">
        <f xml:space="preserve"> 'FS Semi'!BN$77</f>
        <v>0</v>
      </c>
      <c r="BO49" s="77">
        <f xml:space="preserve"> 'FS Semi'!BO$77</f>
        <v>0</v>
      </c>
      <c r="BP49" s="77">
        <f xml:space="preserve"> 'FS Semi'!BP$77</f>
        <v>0</v>
      </c>
      <c r="BQ49" s="77">
        <f xml:space="preserve"> 'FS Semi'!BQ$77</f>
        <v>0</v>
      </c>
      <c r="BR49" s="77">
        <f xml:space="preserve"> 'FS Semi'!BR$77</f>
        <v>0</v>
      </c>
      <c r="BS49" s="77">
        <f xml:space="preserve"> 'FS Semi'!BS$77</f>
        <v>0</v>
      </c>
      <c r="BT49" s="77">
        <f xml:space="preserve"> 'FS Semi'!BT$77</f>
        <v>0</v>
      </c>
      <c r="BU49" s="77">
        <f xml:space="preserve"> 'FS Semi'!BU$77</f>
        <v>0</v>
      </c>
      <c r="BV49" s="77">
        <f xml:space="preserve"> 'FS Semi'!BV$77</f>
        <v>0</v>
      </c>
      <c r="BW49" s="77">
        <f xml:space="preserve"> 'FS Semi'!BW$77</f>
        <v>0</v>
      </c>
      <c r="BX49" s="77">
        <f xml:space="preserve"> 'FS Semi'!BX$77</f>
        <v>0</v>
      </c>
      <c r="BY49" s="77">
        <f xml:space="preserve"> 'FS Semi'!BY$77</f>
        <v>0</v>
      </c>
      <c r="BZ49" s="77">
        <f xml:space="preserve"> 'FS Semi'!BZ$77</f>
        <v>0</v>
      </c>
      <c r="CA49" s="77">
        <f xml:space="preserve"> 'FS Semi'!CA$77</f>
        <v>0</v>
      </c>
      <c r="CB49" s="77">
        <f xml:space="preserve"> 'FS Semi'!CB$77</f>
        <v>0</v>
      </c>
      <c r="CC49" s="77">
        <f xml:space="preserve"> 'FS Semi'!CC$77</f>
        <v>0</v>
      </c>
      <c r="CD49" s="77">
        <f xml:space="preserve"> 'FS Semi'!CD$77</f>
        <v>0</v>
      </c>
      <c r="CE49" s="77">
        <f xml:space="preserve"> 'FS Semi'!CE$77</f>
        <v>0</v>
      </c>
      <c r="CF49" s="77">
        <f xml:space="preserve"> 'FS Semi'!CF$77</f>
        <v>0</v>
      </c>
      <c r="CG49" s="77">
        <f xml:space="preserve"> 'FS Semi'!CG$77</f>
        <v>0</v>
      </c>
      <c r="CH49" s="77">
        <f xml:space="preserve"> 'FS Semi'!CH$77</f>
        <v>0</v>
      </c>
      <c r="CI49" s="77">
        <f xml:space="preserve"> 'FS Semi'!CI$77</f>
        <v>0</v>
      </c>
      <c r="CJ49" s="77">
        <f xml:space="preserve"> 'FS Semi'!CJ$77</f>
        <v>0</v>
      </c>
      <c r="CK49" s="77">
        <f xml:space="preserve"> 'FS Semi'!CK$77</f>
        <v>0</v>
      </c>
      <c r="CL49" s="77">
        <f xml:space="preserve"> 'FS Semi'!CL$77</f>
        <v>0</v>
      </c>
      <c r="CM49" s="77">
        <f xml:space="preserve"> 'FS Semi'!CM$77</f>
        <v>0</v>
      </c>
      <c r="CN49" s="77">
        <f xml:space="preserve"> 'FS Semi'!CN$77</f>
        <v>0</v>
      </c>
      <c r="CO49" s="77">
        <f xml:space="preserve"> 'FS Semi'!CO$77</f>
        <v>0</v>
      </c>
      <c r="CP49" s="77">
        <f xml:space="preserve"> 'FS Semi'!CP$77</f>
        <v>0</v>
      </c>
      <c r="CQ49" s="77">
        <f xml:space="preserve"> 'FS Semi'!CQ$77</f>
        <v>0</v>
      </c>
      <c r="CR49" s="77">
        <f xml:space="preserve"> 'FS Semi'!CR$77</f>
        <v>0</v>
      </c>
      <c r="CS49" s="77">
        <f xml:space="preserve"> 'FS Semi'!CS$77</f>
        <v>0</v>
      </c>
      <c r="CT49" s="77">
        <f xml:space="preserve"> 'FS Semi'!CT$77</f>
        <v>0</v>
      </c>
      <c r="CU49" s="77">
        <f xml:space="preserve"> 'FS Semi'!CU$77</f>
        <v>0</v>
      </c>
      <c r="CV49" s="77">
        <f xml:space="preserve"> 'FS Semi'!CV$77</f>
        <v>0</v>
      </c>
    </row>
    <row r="50" spans="1:100" s="495" customFormat="1" outlineLevel="2" x14ac:dyDescent="0.2">
      <c r="A50" s="405"/>
      <c r="B50" s="405"/>
      <c r="C50" s="406"/>
      <c r="D50" s="575"/>
      <c r="E50" s="577" t="str">
        <f xml:space="preserve"> Time!E$106</f>
        <v>Operating period flag</v>
      </c>
      <c r="F50" s="577">
        <f xml:space="preserve"> Time!F$106</f>
        <v>0</v>
      </c>
      <c r="G50" s="577" t="str">
        <f xml:space="preserve"> Time!G$106</f>
        <v>flag</v>
      </c>
      <c r="H50" s="577">
        <f xml:space="preserve"> Time!H$106</f>
        <v>40</v>
      </c>
      <c r="I50" s="577">
        <f xml:space="preserve"> Time!I$106</f>
        <v>0</v>
      </c>
      <c r="J50" s="577">
        <f xml:space="preserve"> Time!J$106</f>
        <v>0</v>
      </c>
      <c r="K50" s="577">
        <f xml:space="preserve"> Time!K$106</f>
        <v>0</v>
      </c>
      <c r="L50" s="577">
        <f xml:space="preserve"> Time!L$106</f>
        <v>0</v>
      </c>
      <c r="M50" s="577">
        <f xml:space="preserve"> Time!M$106</f>
        <v>0</v>
      </c>
      <c r="N50" s="577">
        <f xml:space="preserve"> Time!N$106</f>
        <v>0</v>
      </c>
      <c r="O50" s="577">
        <f xml:space="preserve"> Time!O$106</f>
        <v>1</v>
      </c>
      <c r="P50" s="577">
        <f xml:space="preserve"> Time!P$106</f>
        <v>1</v>
      </c>
      <c r="Q50" s="577">
        <f xml:space="preserve"> Time!Q$106</f>
        <v>1</v>
      </c>
      <c r="R50" s="577">
        <f xml:space="preserve"> Time!R$106</f>
        <v>1</v>
      </c>
      <c r="S50" s="577">
        <f xml:space="preserve"> Time!S$106</f>
        <v>1</v>
      </c>
      <c r="T50" s="577">
        <f xml:space="preserve"> Time!T$106</f>
        <v>1</v>
      </c>
      <c r="U50" s="577">
        <f xml:space="preserve"> Time!U$106</f>
        <v>1</v>
      </c>
      <c r="V50" s="577">
        <f xml:space="preserve"> Time!V$106</f>
        <v>1</v>
      </c>
      <c r="W50" s="577">
        <f xml:space="preserve"> Time!W$106</f>
        <v>1</v>
      </c>
      <c r="X50" s="577">
        <f xml:space="preserve"> Time!X$106</f>
        <v>1</v>
      </c>
      <c r="Y50" s="577">
        <f xml:space="preserve"> Time!Y$106</f>
        <v>1</v>
      </c>
      <c r="Z50" s="577">
        <f xml:space="preserve"> Time!Z$106</f>
        <v>1</v>
      </c>
      <c r="AA50" s="577">
        <f xml:space="preserve"> Time!AA$106</f>
        <v>1</v>
      </c>
      <c r="AB50" s="577">
        <f xml:space="preserve"> Time!AB$106</f>
        <v>1</v>
      </c>
      <c r="AC50" s="577">
        <f xml:space="preserve"> Time!AC$106</f>
        <v>1</v>
      </c>
      <c r="AD50" s="577">
        <f xml:space="preserve"> Time!AD$106</f>
        <v>1</v>
      </c>
      <c r="AE50" s="577">
        <f xml:space="preserve"> Time!AE$106</f>
        <v>1</v>
      </c>
      <c r="AF50" s="577">
        <f xml:space="preserve"> Time!AF$106</f>
        <v>1</v>
      </c>
      <c r="AG50" s="577">
        <f xml:space="preserve"> Time!AG$106</f>
        <v>1</v>
      </c>
      <c r="AH50" s="577">
        <f xml:space="preserve"> Time!AH$106</f>
        <v>1</v>
      </c>
      <c r="AI50" s="577">
        <f xml:space="preserve"> Time!AI$106</f>
        <v>1</v>
      </c>
      <c r="AJ50" s="577">
        <f xml:space="preserve"> Time!AJ$106</f>
        <v>1</v>
      </c>
      <c r="AK50" s="577">
        <f xml:space="preserve"> Time!AK$106</f>
        <v>1</v>
      </c>
      <c r="AL50" s="577">
        <f xml:space="preserve"> Time!AL$106</f>
        <v>1</v>
      </c>
      <c r="AM50" s="577">
        <f xml:space="preserve"> Time!AM$106</f>
        <v>1</v>
      </c>
      <c r="AN50" s="577">
        <f xml:space="preserve"> Time!AN$106</f>
        <v>1</v>
      </c>
      <c r="AO50" s="577">
        <f xml:space="preserve"> Time!AO$106</f>
        <v>1</v>
      </c>
      <c r="AP50" s="577">
        <f xml:space="preserve"> Time!AP$106</f>
        <v>1</v>
      </c>
      <c r="AQ50" s="577">
        <f xml:space="preserve"> Time!AQ$106</f>
        <v>1</v>
      </c>
      <c r="AR50" s="577">
        <f xml:space="preserve"> Time!AR$106</f>
        <v>1</v>
      </c>
      <c r="AS50" s="577">
        <f xml:space="preserve"> Time!AS$106</f>
        <v>1</v>
      </c>
      <c r="AT50" s="577">
        <f xml:space="preserve"> Time!AT$106</f>
        <v>1</v>
      </c>
      <c r="AU50" s="577">
        <f xml:space="preserve"> Time!AU$106</f>
        <v>1</v>
      </c>
      <c r="AV50" s="577">
        <f xml:space="preserve"> Time!AV$106</f>
        <v>1</v>
      </c>
      <c r="AW50" s="577">
        <f xml:space="preserve"> Time!AW$106</f>
        <v>1</v>
      </c>
      <c r="AX50" s="577">
        <f xml:space="preserve"> Time!AX$106</f>
        <v>1</v>
      </c>
      <c r="AY50" s="577">
        <f xml:space="preserve"> Time!AY$106</f>
        <v>1</v>
      </c>
      <c r="AZ50" s="577">
        <f xml:space="preserve"> Time!AZ$106</f>
        <v>1</v>
      </c>
      <c r="BA50" s="577">
        <f xml:space="preserve"> Time!BA$106</f>
        <v>1</v>
      </c>
      <c r="BB50" s="577">
        <f xml:space="preserve"> Time!BB$106</f>
        <v>1</v>
      </c>
      <c r="BC50" s="577">
        <f xml:space="preserve"> Time!BC$106</f>
        <v>0</v>
      </c>
      <c r="BD50" s="577">
        <f xml:space="preserve"> Time!BD$106</f>
        <v>0</v>
      </c>
      <c r="BE50" s="577">
        <f xml:space="preserve"> Time!BE$106</f>
        <v>0</v>
      </c>
      <c r="BF50" s="577">
        <f xml:space="preserve"> Time!BF$106</f>
        <v>0</v>
      </c>
      <c r="BG50" s="577">
        <f xml:space="preserve"> Time!BG$106</f>
        <v>0</v>
      </c>
      <c r="BH50" s="577">
        <f xml:space="preserve"> Time!BH$106</f>
        <v>0</v>
      </c>
      <c r="BI50" s="577">
        <f xml:space="preserve"> Time!BI$106</f>
        <v>0</v>
      </c>
      <c r="BJ50" s="577">
        <f xml:space="preserve"> Time!BJ$106</f>
        <v>0</v>
      </c>
      <c r="BK50" s="577">
        <f xml:space="preserve"> Time!BK$106</f>
        <v>0</v>
      </c>
      <c r="BL50" s="577">
        <f xml:space="preserve"> Time!BL$106</f>
        <v>0</v>
      </c>
      <c r="BM50" s="577">
        <f xml:space="preserve"> Time!BM$106</f>
        <v>0</v>
      </c>
      <c r="BN50" s="577">
        <f xml:space="preserve"> Time!BN$106</f>
        <v>0</v>
      </c>
      <c r="BO50" s="577">
        <f xml:space="preserve"> Time!BO$106</f>
        <v>0</v>
      </c>
      <c r="BP50" s="577">
        <f xml:space="preserve"> Time!BP$106</f>
        <v>0</v>
      </c>
      <c r="BQ50" s="577">
        <f xml:space="preserve"> Time!BQ$106</f>
        <v>0</v>
      </c>
      <c r="BR50" s="577">
        <f xml:space="preserve"> Time!BR$106</f>
        <v>0</v>
      </c>
      <c r="BS50" s="577">
        <f xml:space="preserve"> Time!BS$106</f>
        <v>0</v>
      </c>
      <c r="BT50" s="577">
        <f xml:space="preserve"> Time!BT$106</f>
        <v>0</v>
      </c>
      <c r="BU50" s="577">
        <f xml:space="preserve"> Time!BU$106</f>
        <v>0</v>
      </c>
      <c r="BV50" s="577">
        <f xml:space="preserve"> Time!BV$106</f>
        <v>0</v>
      </c>
      <c r="BW50" s="577">
        <f xml:space="preserve"> Time!BW$106</f>
        <v>0</v>
      </c>
      <c r="BX50" s="577">
        <f xml:space="preserve"> Time!BX$106</f>
        <v>0</v>
      </c>
      <c r="BY50" s="577">
        <f xml:space="preserve"> Time!BY$106</f>
        <v>0</v>
      </c>
      <c r="BZ50" s="577">
        <f xml:space="preserve"> Time!BZ$106</f>
        <v>0</v>
      </c>
      <c r="CA50" s="577">
        <f xml:space="preserve"> Time!CA$106</f>
        <v>0</v>
      </c>
      <c r="CB50" s="577">
        <f xml:space="preserve"> Time!CB$106</f>
        <v>0</v>
      </c>
      <c r="CC50" s="577">
        <f xml:space="preserve"> Time!CC$106</f>
        <v>0</v>
      </c>
      <c r="CD50" s="577">
        <f xml:space="preserve"> Time!CD$106</f>
        <v>0</v>
      </c>
      <c r="CE50" s="577">
        <f xml:space="preserve"> Time!CE$106</f>
        <v>0</v>
      </c>
      <c r="CF50" s="577">
        <f xml:space="preserve"> Time!CF$106</f>
        <v>0</v>
      </c>
      <c r="CG50" s="577">
        <f xml:space="preserve"> Time!CG$106</f>
        <v>0</v>
      </c>
      <c r="CH50" s="577">
        <f xml:space="preserve"> Time!CH$106</f>
        <v>0</v>
      </c>
      <c r="CI50" s="577">
        <f xml:space="preserve"> Time!CI$106</f>
        <v>0</v>
      </c>
      <c r="CJ50" s="577">
        <f xml:space="preserve"> Time!CJ$106</f>
        <v>0</v>
      </c>
      <c r="CK50" s="577">
        <f xml:space="preserve"> Time!CK$106</f>
        <v>0</v>
      </c>
      <c r="CL50" s="577">
        <f xml:space="preserve"> Time!CL$106</f>
        <v>0</v>
      </c>
      <c r="CM50" s="577">
        <f xml:space="preserve"> Time!CM$106</f>
        <v>0</v>
      </c>
      <c r="CN50" s="577">
        <f xml:space="preserve"> Time!CN$106</f>
        <v>0</v>
      </c>
      <c r="CO50" s="577">
        <f xml:space="preserve"> Time!CO$106</f>
        <v>0</v>
      </c>
      <c r="CP50" s="577">
        <f xml:space="preserve"> Time!CP$106</f>
        <v>0</v>
      </c>
      <c r="CQ50" s="577">
        <f xml:space="preserve"> Time!CQ$106</f>
        <v>0</v>
      </c>
      <c r="CR50" s="577">
        <f xml:space="preserve"> Time!CR$106</f>
        <v>0</v>
      </c>
      <c r="CS50" s="577">
        <f xml:space="preserve"> Time!CS$106</f>
        <v>0</v>
      </c>
      <c r="CT50" s="577">
        <f xml:space="preserve"> Time!CT$106</f>
        <v>0</v>
      </c>
      <c r="CU50" s="577">
        <f xml:space="preserve"> Time!CU$106</f>
        <v>0</v>
      </c>
      <c r="CV50" s="577">
        <f xml:space="preserve"> Time!CV$106</f>
        <v>0</v>
      </c>
    </row>
    <row r="51" spans="1:100" outlineLevel="2" x14ac:dyDescent="0.2">
      <c r="A51" s="33"/>
      <c r="B51" s="79"/>
      <c r="C51" s="561"/>
      <c r="D51" s="60"/>
      <c r="E51" s="32" t="s">
        <v>361</v>
      </c>
      <c r="F51" s="32"/>
      <c r="G51" s="32" t="str">
        <f xml:space="preserve"> SMU</f>
        <v>$ 000s</v>
      </c>
      <c r="H51" s="32"/>
      <c r="I51" s="32"/>
      <c r="J51" s="32">
        <f t="shared" ref="J51" si="27">SUM(J48:J49) * J50</f>
        <v>0</v>
      </c>
      <c r="K51" s="32">
        <f t="shared" ref="K51:BV51" si="28">SUM(K48:K49) * K50</f>
        <v>0</v>
      </c>
      <c r="L51" s="32">
        <f t="shared" si="28"/>
        <v>0</v>
      </c>
      <c r="M51" s="32">
        <f t="shared" si="28"/>
        <v>0</v>
      </c>
      <c r="N51" s="32">
        <f t="shared" si="28"/>
        <v>0</v>
      </c>
      <c r="O51" s="32">
        <f t="shared" si="28"/>
        <v>4958.439672321485</v>
      </c>
      <c r="P51" s="32">
        <f t="shared" si="28"/>
        <v>4376.7251537074426</v>
      </c>
      <c r="Q51" s="32">
        <f t="shared" si="28"/>
        <v>4388.4324926867976</v>
      </c>
      <c r="R51" s="32">
        <f t="shared" si="28"/>
        <v>4348.2143101887104</v>
      </c>
      <c r="S51" s="32">
        <f t="shared" si="28"/>
        <v>4359.4881147775905</v>
      </c>
      <c r="T51" s="32">
        <f t="shared" si="28"/>
        <v>4319.4355962029495</v>
      </c>
      <c r="U51" s="32">
        <f t="shared" si="28"/>
        <v>4330.2713987721636</v>
      </c>
      <c r="V51" s="32">
        <f t="shared" si="28"/>
        <v>4295.8785232044102</v>
      </c>
      <c r="W51" s="32">
        <f t="shared" si="28"/>
        <v>4294.7605171879295</v>
      </c>
      <c r="X51" s="32">
        <f t="shared" si="28"/>
        <v>4261.0523971054718</v>
      </c>
      <c r="Y51" s="32">
        <f t="shared" si="28"/>
        <v>4267.0727620605358</v>
      </c>
      <c r="Z51" s="32">
        <f t="shared" si="28"/>
        <v>4227.6360983090108</v>
      </c>
      <c r="AA51" s="32">
        <f t="shared" si="28"/>
        <v>4237.1166871376536</v>
      </c>
      <c r="AB51" s="32">
        <f t="shared" si="28"/>
        <v>4197.8587091496702</v>
      </c>
      <c r="AC51" s="32">
        <f t="shared" si="28"/>
        <v>4206.8923429508668</v>
      </c>
      <c r="AD51" s="32">
        <f t="shared" si="28"/>
        <v>4173.2269094345338</v>
      </c>
      <c r="AE51" s="32">
        <f t="shared" si="28"/>
        <v>4170.5787403339746</v>
      </c>
      <c r="AF51" s="32">
        <f t="shared" si="28"/>
        <v>4137.4958065718038</v>
      </c>
      <c r="AG51" s="32">
        <f t="shared" si="28"/>
        <v>4145.6248673030022</v>
      </c>
      <c r="AH51" s="32">
        <f t="shared" si="28"/>
        <v>4106.9177808621971</v>
      </c>
      <c r="AI51" s="32">
        <f t="shared" si="28"/>
        <v>4111.6154456944569</v>
      </c>
      <c r="AJ51" s="32">
        <f t="shared" si="28"/>
        <v>4073.2744782768605</v>
      </c>
      <c r="AK51" s="32">
        <f t="shared" si="28"/>
        <v>4080.5786522404214</v>
      </c>
      <c r="AL51" s="32">
        <f t="shared" si="28"/>
        <v>4047.7870292907392</v>
      </c>
      <c r="AM51" s="32">
        <f t="shared" si="28"/>
        <v>4043.6903728791895</v>
      </c>
      <c r="AN51" s="32">
        <f t="shared" si="28"/>
        <v>4011.35776874558</v>
      </c>
      <c r="AO51" s="32">
        <f t="shared" si="28"/>
        <v>4017.7727347037126</v>
      </c>
      <c r="AP51" s="32">
        <f t="shared" si="28"/>
        <v>3980.046016909444</v>
      </c>
      <c r="AQ51" s="32">
        <f t="shared" si="28"/>
        <v>3986.0150355588248</v>
      </c>
      <c r="AR51" s="32">
        <f t="shared" si="28"/>
        <v>3948.5003785710251</v>
      </c>
      <c r="AS51" s="32">
        <f t="shared" si="28"/>
        <v>3954.0214159963252</v>
      </c>
      <c r="AT51" s="32">
        <f t="shared" si="28"/>
        <v>3921.7116472983853</v>
      </c>
      <c r="AU51" s="32">
        <f t="shared" si="28"/>
        <v>3915.7337989721746</v>
      </c>
      <c r="AV51" s="32">
        <f t="shared" si="28"/>
        <v>3883.690800792343</v>
      </c>
      <c r="AW51" s="32">
        <f t="shared" si="28"/>
        <v>13607.771297376097</v>
      </c>
      <c r="AX51" s="32">
        <f t="shared" si="28"/>
        <v>13461.451597997637</v>
      </c>
      <c r="AY51" s="32">
        <f t="shared" si="28"/>
        <v>13457.775239101149</v>
      </c>
      <c r="AZ51" s="32">
        <f t="shared" si="28"/>
        <v>13312.139894966671</v>
      </c>
      <c r="BA51" s="32">
        <f t="shared" si="28"/>
        <v>13305.600683226843</v>
      </c>
      <c r="BB51" s="32">
        <f t="shared" si="28"/>
        <v>16445.959763457937</v>
      </c>
      <c r="BC51" s="32">
        <f t="shared" si="28"/>
        <v>0</v>
      </c>
      <c r="BD51" s="32">
        <f t="shared" si="28"/>
        <v>0</v>
      </c>
      <c r="BE51" s="32">
        <f t="shared" si="28"/>
        <v>0</v>
      </c>
      <c r="BF51" s="32">
        <f t="shared" si="28"/>
        <v>0</v>
      </c>
      <c r="BG51" s="32">
        <f t="shared" si="28"/>
        <v>0</v>
      </c>
      <c r="BH51" s="32">
        <f t="shared" si="28"/>
        <v>0</v>
      </c>
      <c r="BI51" s="32">
        <f t="shared" si="28"/>
        <v>0</v>
      </c>
      <c r="BJ51" s="32">
        <f t="shared" si="28"/>
        <v>0</v>
      </c>
      <c r="BK51" s="32">
        <f t="shared" si="28"/>
        <v>0</v>
      </c>
      <c r="BL51" s="32">
        <f t="shared" si="28"/>
        <v>0</v>
      </c>
      <c r="BM51" s="32">
        <f t="shared" si="28"/>
        <v>0</v>
      </c>
      <c r="BN51" s="32">
        <f t="shared" si="28"/>
        <v>0</v>
      </c>
      <c r="BO51" s="32">
        <f t="shared" si="28"/>
        <v>0</v>
      </c>
      <c r="BP51" s="32">
        <f t="shared" si="28"/>
        <v>0</v>
      </c>
      <c r="BQ51" s="32">
        <f t="shared" si="28"/>
        <v>0</v>
      </c>
      <c r="BR51" s="32">
        <f t="shared" si="28"/>
        <v>0</v>
      </c>
      <c r="BS51" s="32">
        <f t="shared" si="28"/>
        <v>0</v>
      </c>
      <c r="BT51" s="32">
        <f t="shared" si="28"/>
        <v>0</v>
      </c>
      <c r="BU51" s="32">
        <f t="shared" si="28"/>
        <v>0</v>
      </c>
      <c r="BV51" s="32">
        <f t="shared" si="28"/>
        <v>0</v>
      </c>
      <c r="BW51" s="32">
        <f t="shared" ref="BW51:CV51" si="29">SUM(BW48:BW49) * BW50</f>
        <v>0</v>
      </c>
      <c r="BX51" s="32">
        <f t="shared" si="29"/>
        <v>0</v>
      </c>
      <c r="BY51" s="32">
        <f t="shared" si="29"/>
        <v>0</v>
      </c>
      <c r="BZ51" s="32">
        <f t="shared" si="29"/>
        <v>0</v>
      </c>
      <c r="CA51" s="32">
        <f t="shared" si="29"/>
        <v>0</v>
      </c>
      <c r="CB51" s="32">
        <f t="shared" si="29"/>
        <v>0</v>
      </c>
      <c r="CC51" s="32">
        <f t="shared" si="29"/>
        <v>0</v>
      </c>
      <c r="CD51" s="32">
        <f t="shared" si="29"/>
        <v>0</v>
      </c>
      <c r="CE51" s="32">
        <f t="shared" si="29"/>
        <v>0</v>
      </c>
      <c r="CF51" s="32">
        <f t="shared" si="29"/>
        <v>0</v>
      </c>
      <c r="CG51" s="32">
        <f t="shared" si="29"/>
        <v>0</v>
      </c>
      <c r="CH51" s="32">
        <f t="shared" si="29"/>
        <v>0</v>
      </c>
      <c r="CI51" s="32">
        <f t="shared" si="29"/>
        <v>0</v>
      </c>
      <c r="CJ51" s="32">
        <f t="shared" si="29"/>
        <v>0</v>
      </c>
      <c r="CK51" s="32">
        <f t="shared" si="29"/>
        <v>0</v>
      </c>
      <c r="CL51" s="32">
        <f t="shared" si="29"/>
        <v>0</v>
      </c>
      <c r="CM51" s="32">
        <f t="shared" si="29"/>
        <v>0</v>
      </c>
      <c r="CN51" s="32">
        <f t="shared" si="29"/>
        <v>0</v>
      </c>
      <c r="CO51" s="32">
        <f t="shared" si="29"/>
        <v>0</v>
      </c>
      <c r="CP51" s="32">
        <f t="shared" si="29"/>
        <v>0</v>
      </c>
      <c r="CQ51" s="32">
        <f t="shared" si="29"/>
        <v>0</v>
      </c>
      <c r="CR51" s="32">
        <f t="shared" si="29"/>
        <v>0</v>
      </c>
      <c r="CS51" s="32">
        <f t="shared" si="29"/>
        <v>0</v>
      </c>
      <c r="CT51" s="32">
        <f t="shared" si="29"/>
        <v>0</v>
      </c>
      <c r="CU51" s="32">
        <f t="shared" si="29"/>
        <v>0</v>
      </c>
      <c r="CV51" s="32">
        <f t="shared" si="29"/>
        <v>0</v>
      </c>
    </row>
    <row r="52" spans="1:100" outlineLevel="2" x14ac:dyDescent="0.2">
      <c r="A52" s="33"/>
      <c r="B52" s="79"/>
      <c r="C52" s="561"/>
      <c r="D52" s="60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</row>
    <row r="53" spans="1:100" outlineLevel="2" x14ac:dyDescent="0.2">
      <c r="A53" s="33"/>
      <c r="B53" s="79"/>
      <c r="C53" s="561"/>
      <c r="D53" s="60"/>
      <c r="E53" s="32" t="str">
        <f t="shared" ref="E53:BP53" si="30" xml:space="preserve"> E$51</f>
        <v>Cash available for DSRA / (DS shortfall)</v>
      </c>
      <c r="F53" s="32">
        <f t="shared" si="30"/>
        <v>0</v>
      </c>
      <c r="G53" s="32" t="str">
        <f t="shared" si="30"/>
        <v>$ 000s</v>
      </c>
      <c r="H53" s="32">
        <f t="shared" si="30"/>
        <v>0</v>
      </c>
      <c r="I53" s="32">
        <f t="shared" si="30"/>
        <v>0</v>
      </c>
      <c r="J53" s="32">
        <f t="shared" si="30"/>
        <v>0</v>
      </c>
      <c r="K53" s="32">
        <f t="shared" si="30"/>
        <v>0</v>
      </c>
      <c r="L53" s="32">
        <f t="shared" si="30"/>
        <v>0</v>
      </c>
      <c r="M53" s="32">
        <f t="shared" si="30"/>
        <v>0</v>
      </c>
      <c r="N53" s="32">
        <f t="shared" si="30"/>
        <v>0</v>
      </c>
      <c r="O53" s="32">
        <f t="shared" si="30"/>
        <v>4958.439672321485</v>
      </c>
      <c r="P53" s="32">
        <f t="shared" si="30"/>
        <v>4376.7251537074426</v>
      </c>
      <c r="Q53" s="32">
        <f t="shared" si="30"/>
        <v>4388.4324926867976</v>
      </c>
      <c r="R53" s="32">
        <f t="shared" si="30"/>
        <v>4348.2143101887104</v>
      </c>
      <c r="S53" s="32">
        <f t="shared" si="30"/>
        <v>4359.4881147775905</v>
      </c>
      <c r="T53" s="32">
        <f t="shared" si="30"/>
        <v>4319.4355962029495</v>
      </c>
      <c r="U53" s="32">
        <f t="shared" si="30"/>
        <v>4330.2713987721636</v>
      </c>
      <c r="V53" s="32">
        <f t="shared" si="30"/>
        <v>4295.8785232044102</v>
      </c>
      <c r="W53" s="32">
        <f t="shared" si="30"/>
        <v>4294.7605171879295</v>
      </c>
      <c r="X53" s="32">
        <f t="shared" si="30"/>
        <v>4261.0523971054718</v>
      </c>
      <c r="Y53" s="32">
        <f t="shared" si="30"/>
        <v>4267.0727620605358</v>
      </c>
      <c r="Z53" s="32">
        <f t="shared" si="30"/>
        <v>4227.6360983090108</v>
      </c>
      <c r="AA53" s="32">
        <f t="shared" si="30"/>
        <v>4237.1166871376536</v>
      </c>
      <c r="AB53" s="32">
        <f t="shared" si="30"/>
        <v>4197.8587091496702</v>
      </c>
      <c r="AC53" s="32">
        <f t="shared" si="30"/>
        <v>4206.8923429508668</v>
      </c>
      <c r="AD53" s="32">
        <f t="shared" si="30"/>
        <v>4173.2269094345338</v>
      </c>
      <c r="AE53" s="32">
        <f t="shared" si="30"/>
        <v>4170.5787403339746</v>
      </c>
      <c r="AF53" s="32">
        <f t="shared" si="30"/>
        <v>4137.4958065718038</v>
      </c>
      <c r="AG53" s="32">
        <f t="shared" si="30"/>
        <v>4145.6248673030022</v>
      </c>
      <c r="AH53" s="32">
        <f t="shared" si="30"/>
        <v>4106.9177808621971</v>
      </c>
      <c r="AI53" s="32">
        <f t="shared" si="30"/>
        <v>4111.6154456944569</v>
      </c>
      <c r="AJ53" s="32">
        <f t="shared" si="30"/>
        <v>4073.2744782768605</v>
      </c>
      <c r="AK53" s="32">
        <f t="shared" si="30"/>
        <v>4080.5786522404214</v>
      </c>
      <c r="AL53" s="32">
        <f t="shared" si="30"/>
        <v>4047.7870292907392</v>
      </c>
      <c r="AM53" s="32">
        <f t="shared" si="30"/>
        <v>4043.6903728791895</v>
      </c>
      <c r="AN53" s="32">
        <f t="shared" si="30"/>
        <v>4011.35776874558</v>
      </c>
      <c r="AO53" s="32">
        <f t="shared" si="30"/>
        <v>4017.7727347037126</v>
      </c>
      <c r="AP53" s="32">
        <f t="shared" si="30"/>
        <v>3980.046016909444</v>
      </c>
      <c r="AQ53" s="32">
        <f t="shared" si="30"/>
        <v>3986.0150355588248</v>
      </c>
      <c r="AR53" s="32">
        <f t="shared" si="30"/>
        <v>3948.5003785710251</v>
      </c>
      <c r="AS53" s="32">
        <f t="shared" si="30"/>
        <v>3954.0214159963252</v>
      </c>
      <c r="AT53" s="32">
        <f t="shared" si="30"/>
        <v>3921.7116472983853</v>
      </c>
      <c r="AU53" s="32">
        <f t="shared" si="30"/>
        <v>3915.7337989721746</v>
      </c>
      <c r="AV53" s="32">
        <f t="shared" si="30"/>
        <v>3883.690800792343</v>
      </c>
      <c r="AW53" s="32">
        <f t="shared" si="30"/>
        <v>13607.771297376097</v>
      </c>
      <c r="AX53" s="32">
        <f t="shared" si="30"/>
        <v>13461.451597997637</v>
      </c>
      <c r="AY53" s="32">
        <f t="shared" si="30"/>
        <v>13457.775239101149</v>
      </c>
      <c r="AZ53" s="32">
        <f t="shared" si="30"/>
        <v>13312.139894966671</v>
      </c>
      <c r="BA53" s="32">
        <f t="shared" si="30"/>
        <v>13305.600683226843</v>
      </c>
      <c r="BB53" s="32">
        <f t="shared" si="30"/>
        <v>16445.959763457937</v>
      </c>
      <c r="BC53" s="32">
        <f t="shared" si="30"/>
        <v>0</v>
      </c>
      <c r="BD53" s="32">
        <f t="shared" si="30"/>
        <v>0</v>
      </c>
      <c r="BE53" s="32">
        <f t="shared" si="30"/>
        <v>0</v>
      </c>
      <c r="BF53" s="32">
        <f t="shared" si="30"/>
        <v>0</v>
      </c>
      <c r="BG53" s="32">
        <f t="shared" si="30"/>
        <v>0</v>
      </c>
      <c r="BH53" s="32">
        <f t="shared" si="30"/>
        <v>0</v>
      </c>
      <c r="BI53" s="32">
        <f t="shared" si="30"/>
        <v>0</v>
      </c>
      <c r="BJ53" s="32">
        <f t="shared" si="30"/>
        <v>0</v>
      </c>
      <c r="BK53" s="32">
        <f t="shared" si="30"/>
        <v>0</v>
      </c>
      <c r="BL53" s="32">
        <f t="shared" si="30"/>
        <v>0</v>
      </c>
      <c r="BM53" s="32">
        <f t="shared" si="30"/>
        <v>0</v>
      </c>
      <c r="BN53" s="32">
        <f t="shared" si="30"/>
        <v>0</v>
      </c>
      <c r="BO53" s="32">
        <f t="shared" si="30"/>
        <v>0</v>
      </c>
      <c r="BP53" s="32">
        <f t="shared" si="30"/>
        <v>0</v>
      </c>
      <c r="BQ53" s="32">
        <f t="shared" ref="BQ53:CV53" si="31" xml:space="preserve"> BQ$51</f>
        <v>0</v>
      </c>
      <c r="BR53" s="32">
        <f t="shared" si="31"/>
        <v>0</v>
      </c>
      <c r="BS53" s="32">
        <f t="shared" si="31"/>
        <v>0</v>
      </c>
      <c r="BT53" s="32">
        <f t="shared" si="31"/>
        <v>0</v>
      </c>
      <c r="BU53" s="32">
        <f t="shared" si="31"/>
        <v>0</v>
      </c>
      <c r="BV53" s="32">
        <f t="shared" si="31"/>
        <v>0</v>
      </c>
      <c r="BW53" s="32">
        <f t="shared" si="31"/>
        <v>0</v>
      </c>
      <c r="BX53" s="32">
        <f t="shared" si="31"/>
        <v>0</v>
      </c>
      <c r="BY53" s="32">
        <f t="shared" si="31"/>
        <v>0</v>
      </c>
      <c r="BZ53" s="32">
        <f t="shared" si="31"/>
        <v>0</v>
      </c>
      <c r="CA53" s="32">
        <f t="shared" si="31"/>
        <v>0</v>
      </c>
      <c r="CB53" s="32">
        <f t="shared" si="31"/>
        <v>0</v>
      </c>
      <c r="CC53" s="32">
        <f t="shared" si="31"/>
        <v>0</v>
      </c>
      <c r="CD53" s="32">
        <f t="shared" si="31"/>
        <v>0</v>
      </c>
      <c r="CE53" s="32">
        <f t="shared" si="31"/>
        <v>0</v>
      </c>
      <c r="CF53" s="32">
        <f t="shared" si="31"/>
        <v>0</v>
      </c>
      <c r="CG53" s="32">
        <f t="shared" si="31"/>
        <v>0</v>
      </c>
      <c r="CH53" s="32">
        <f t="shared" si="31"/>
        <v>0</v>
      </c>
      <c r="CI53" s="32">
        <f t="shared" si="31"/>
        <v>0</v>
      </c>
      <c r="CJ53" s="32">
        <f t="shared" si="31"/>
        <v>0</v>
      </c>
      <c r="CK53" s="32">
        <f t="shared" si="31"/>
        <v>0</v>
      </c>
      <c r="CL53" s="32">
        <f t="shared" si="31"/>
        <v>0</v>
      </c>
      <c r="CM53" s="32">
        <f t="shared" si="31"/>
        <v>0</v>
      </c>
      <c r="CN53" s="32">
        <f t="shared" si="31"/>
        <v>0</v>
      </c>
      <c r="CO53" s="32">
        <f t="shared" si="31"/>
        <v>0</v>
      </c>
      <c r="CP53" s="32">
        <f t="shared" si="31"/>
        <v>0</v>
      </c>
      <c r="CQ53" s="32">
        <f t="shared" si="31"/>
        <v>0</v>
      </c>
      <c r="CR53" s="32">
        <f t="shared" si="31"/>
        <v>0</v>
      </c>
      <c r="CS53" s="32">
        <f t="shared" si="31"/>
        <v>0</v>
      </c>
      <c r="CT53" s="32">
        <f t="shared" si="31"/>
        <v>0</v>
      </c>
      <c r="CU53" s="32">
        <f t="shared" si="31"/>
        <v>0</v>
      </c>
      <c r="CV53" s="32">
        <f t="shared" si="31"/>
        <v>0</v>
      </c>
    </row>
    <row r="54" spans="1:100" outlineLevel="2" x14ac:dyDescent="0.2">
      <c r="A54" s="33"/>
      <c r="B54" s="79"/>
      <c r="C54" s="561"/>
      <c r="D54" s="60"/>
      <c r="E54" s="32" t="s">
        <v>362</v>
      </c>
      <c r="F54" s="32"/>
      <c r="G54" s="32" t="str">
        <f xml:space="preserve"> SMU</f>
        <v>$ 000s</v>
      </c>
      <c r="H54" s="32"/>
      <c r="I54" s="32"/>
      <c r="J54" s="32">
        <f t="shared" ref="J54" si="32" xml:space="preserve"> MAX(J53, 0)</f>
        <v>0</v>
      </c>
      <c r="K54" s="32">
        <f t="shared" ref="K54:BV54" si="33" xml:space="preserve"> MAX(K53, 0)</f>
        <v>0</v>
      </c>
      <c r="L54" s="32">
        <f t="shared" si="33"/>
        <v>0</v>
      </c>
      <c r="M54" s="32">
        <f t="shared" si="33"/>
        <v>0</v>
      </c>
      <c r="N54" s="32">
        <f t="shared" si="33"/>
        <v>0</v>
      </c>
      <c r="O54" s="32">
        <f t="shared" si="33"/>
        <v>4958.439672321485</v>
      </c>
      <c r="P54" s="32">
        <f t="shared" si="33"/>
        <v>4376.7251537074426</v>
      </c>
      <c r="Q54" s="32">
        <f t="shared" si="33"/>
        <v>4388.4324926867976</v>
      </c>
      <c r="R54" s="32">
        <f t="shared" si="33"/>
        <v>4348.2143101887104</v>
      </c>
      <c r="S54" s="32">
        <f t="shared" si="33"/>
        <v>4359.4881147775905</v>
      </c>
      <c r="T54" s="32">
        <f t="shared" si="33"/>
        <v>4319.4355962029495</v>
      </c>
      <c r="U54" s="32">
        <f t="shared" si="33"/>
        <v>4330.2713987721636</v>
      </c>
      <c r="V54" s="32">
        <f t="shared" si="33"/>
        <v>4295.8785232044102</v>
      </c>
      <c r="W54" s="32">
        <f t="shared" si="33"/>
        <v>4294.7605171879295</v>
      </c>
      <c r="X54" s="32">
        <f t="shared" si="33"/>
        <v>4261.0523971054718</v>
      </c>
      <c r="Y54" s="32">
        <f t="shared" si="33"/>
        <v>4267.0727620605358</v>
      </c>
      <c r="Z54" s="32">
        <f t="shared" si="33"/>
        <v>4227.6360983090108</v>
      </c>
      <c r="AA54" s="32">
        <f t="shared" si="33"/>
        <v>4237.1166871376536</v>
      </c>
      <c r="AB54" s="32">
        <f t="shared" si="33"/>
        <v>4197.8587091496702</v>
      </c>
      <c r="AC54" s="32">
        <f t="shared" si="33"/>
        <v>4206.8923429508668</v>
      </c>
      <c r="AD54" s="32">
        <f t="shared" si="33"/>
        <v>4173.2269094345338</v>
      </c>
      <c r="AE54" s="32">
        <f t="shared" si="33"/>
        <v>4170.5787403339746</v>
      </c>
      <c r="AF54" s="32">
        <f t="shared" si="33"/>
        <v>4137.4958065718038</v>
      </c>
      <c r="AG54" s="32">
        <f t="shared" si="33"/>
        <v>4145.6248673030022</v>
      </c>
      <c r="AH54" s="32">
        <f t="shared" si="33"/>
        <v>4106.9177808621971</v>
      </c>
      <c r="AI54" s="32">
        <f t="shared" si="33"/>
        <v>4111.6154456944569</v>
      </c>
      <c r="AJ54" s="32">
        <f t="shared" si="33"/>
        <v>4073.2744782768605</v>
      </c>
      <c r="AK54" s="32">
        <f t="shared" si="33"/>
        <v>4080.5786522404214</v>
      </c>
      <c r="AL54" s="32">
        <f t="shared" si="33"/>
        <v>4047.7870292907392</v>
      </c>
      <c r="AM54" s="32">
        <f t="shared" si="33"/>
        <v>4043.6903728791895</v>
      </c>
      <c r="AN54" s="32">
        <f t="shared" si="33"/>
        <v>4011.35776874558</v>
      </c>
      <c r="AO54" s="32">
        <f t="shared" si="33"/>
        <v>4017.7727347037126</v>
      </c>
      <c r="AP54" s="32">
        <f t="shared" si="33"/>
        <v>3980.046016909444</v>
      </c>
      <c r="AQ54" s="32">
        <f t="shared" si="33"/>
        <v>3986.0150355588248</v>
      </c>
      <c r="AR54" s="32">
        <f t="shared" si="33"/>
        <v>3948.5003785710251</v>
      </c>
      <c r="AS54" s="32">
        <f t="shared" si="33"/>
        <v>3954.0214159963252</v>
      </c>
      <c r="AT54" s="32">
        <f t="shared" si="33"/>
        <v>3921.7116472983853</v>
      </c>
      <c r="AU54" s="32">
        <f t="shared" si="33"/>
        <v>3915.7337989721746</v>
      </c>
      <c r="AV54" s="32">
        <f t="shared" si="33"/>
        <v>3883.690800792343</v>
      </c>
      <c r="AW54" s="32">
        <f t="shared" si="33"/>
        <v>13607.771297376097</v>
      </c>
      <c r="AX54" s="32">
        <f t="shared" si="33"/>
        <v>13461.451597997637</v>
      </c>
      <c r="AY54" s="32">
        <f t="shared" si="33"/>
        <v>13457.775239101149</v>
      </c>
      <c r="AZ54" s="32">
        <f t="shared" si="33"/>
        <v>13312.139894966671</v>
      </c>
      <c r="BA54" s="32">
        <f t="shared" si="33"/>
        <v>13305.600683226843</v>
      </c>
      <c r="BB54" s="32">
        <f t="shared" si="33"/>
        <v>16445.959763457937</v>
      </c>
      <c r="BC54" s="32">
        <f t="shared" si="33"/>
        <v>0</v>
      </c>
      <c r="BD54" s="32">
        <f t="shared" si="33"/>
        <v>0</v>
      </c>
      <c r="BE54" s="32">
        <f t="shared" si="33"/>
        <v>0</v>
      </c>
      <c r="BF54" s="32">
        <f t="shared" si="33"/>
        <v>0</v>
      </c>
      <c r="BG54" s="32">
        <f t="shared" si="33"/>
        <v>0</v>
      </c>
      <c r="BH54" s="32">
        <f t="shared" si="33"/>
        <v>0</v>
      </c>
      <c r="BI54" s="32">
        <f t="shared" si="33"/>
        <v>0</v>
      </c>
      <c r="BJ54" s="32">
        <f t="shared" si="33"/>
        <v>0</v>
      </c>
      <c r="BK54" s="32">
        <f t="shared" si="33"/>
        <v>0</v>
      </c>
      <c r="BL54" s="32">
        <f t="shared" si="33"/>
        <v>0</v>
      </c>
      <c r="BM54" s="32">
        <f t="shared" si="33"/>
        <v>0</v>
      </c>
      <c r="BN54" s="32">
        <f t="shared" si="33"/>
        <v>0</v>
      </c>
      <c r="BO54" s="32">
        <f t="shared" si="33"/>
        <v>0</v>
      </c>
      <c r="BP54" s="32">
        <f t="shared" si="33"/>
        <v>0</v>
      </c>
      <c r="BQ54" s="32">
        <f t="shared" si="33"/>
        <v>0</v>
      </c>
      <c r="BR54" s="32">
        <f t="shared" si="33"/>
        <v>0</v>
      </c>
      <c r="BS54" s="32">
        <f t="shared" si="33"/>
        <v>0</v>
      </c>
      <c r="BT54" s="32">
        <f t="shared" si="33"/>
        <v>0</v>
      </c>
      <c r="BU54" s="32">
        <f t="shared" si="33"/>
        <v>0</v>
      </c>
      <c r="BV54" s="32">
        <f t="shared" si="33"/>
        <v>0</v>
      </c>
      <c r="BW54" s="32">
        <f t="shared" ref="BW54:CV54" si="34" xml:space="preserve"> MAX(BW53, 0)</f>
        <v>0</v>
      </c>
      <c r="BX54" s="32">
        <f t="shared" si="34"/>
        <v>0</v>
      </c>
      <c r="BY54" s="32">
        <f t="shared" si="34"/>
        <v>0</v>
      </c>
      <c r="BZ54" s="32">
        <f t="shared" si="34"/>
        <v>0</v>
      </c>
      <c r="CA54" s="32">
        <f t="shared" si="34"/>
        <v>0</v>
      </c>
      <c r="CB54" s="32">
        <f t="shared" si="34"/>
        <v>0</v>
      </c>
      <c r="CC54" s="32">
        <f t="shared" si="34"/>
        <v>0</v>
      </c>
      <c r="CD54" s="32">
        <f t="shared" si="34"/>
        <v>0</v>
      </c>
      <c r="CE54" s="32">
        <f t="shared" si="34"/>
        <v>0</v>
      </c>
      <c r="CF54" s="32">
        <f t="shared" si="34"/>
        <v>0</v>
      </c>
      <c r="CG54" s="32">
        <f t="shared" si="34"/>
        <v>0</v>
      </c>
      <c r="CH54" s="32">
        <f t="shared" si="34"/>
        <v>0</v>
      </c>
      <c r="CI54" s="32">
        <f t="shared" si="34"/>
        <v>0</v>
      </c>
      <c r="CJ54" s="32">
        <f t="shared" si="34"/>
        <v>0</v>
      </c>
      <c r="CK54" s="32">
        <f t="shared" si="34"/>
        <v>0</v>
      </c>
      <c r="CL54" s="32">
        <f t="shared" si="34"/>
        <v>0</v>
      </c>
      <c r="CM54" s="32">
        <f t="shared" si="34"/>
        <v>0</v>
      </c>
      <c r="CN54" s="32">
        <f t="shared" si="34"/>
        <v>0</v>
      </c>
      <c r="CO54" s="32">
        <f t="shared" si="34"/>
        <v>0</v>
      </c>
      <c r="CP54" s="32">
        <f t="shared" si="34"/>
        <v>0</v>
      </c>
      <c r="CQ54" s="32">
        <f t="shared" si="34"/>
        <v>0</v>
      </c>
      <c r="CR54" s="32">
        <f t="shared" si="34"/>
        <v>0</v>
      </c>
      <c r="CS54" s="32">
        <f t="shared" si="34"/>
        <v>0</v>
      </c>
      <c r="CT54" s="32">
        <f t="shared" si="34"/>
        <v>0</v>
      </c>
      <c r="CU54" s="32">
        <f t="shared" si="34"/>
        <v>0</v>
      </c>
      <c r="CV54" s="32">
        <f t="shared" si="34"/>
        <v>0</v>
      </c>
    </row>
    <row r="55" spans="1:100" outlineLevel="2" x14ac:dyDescent="0.2">
      <c r="A55" s="33"/>
      <c r="B55" s="79"/>
      <c r="C55" s="561"/>
      <c r="D55" s="60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</row>
    <row r="56" spans="1:100" outlineLevel="2" x14ac:dyDescent="0.2">
      <c r="A56" s="33"/>
      <c r="B56" s="79"/>
      <c r="C56" s="561"/>
      <c r="D56" s="60"/>
      <c r="E56" s="32" t="str">
        <f t="shared" ref="E56:BP56" si="35" xml:space="preserve"> E$51</f>
        <v>Cash available for DSRA / (DS shortfall)</v>
      </c>
      <c r="F56" s="32">
        <f t="shared" si="35"/>
        <v>0</v>
      </c>
      <c r="G56" s="32" t="str">
        <f t="shared" si="35"/>
        <v>$ 000s</v>
      </c>
      <c r="H56" s="32">
        <f t="shared" si="35"/>
        <v>0</v>
      </c>
      <c r="I56" s="32">
        <f t="shared" si="35"/>
        <v>0</v>
      </c>
      <c r="J56" s="32">
        <f t="shared" si="35"/>
        <v>0</v>
      </c>
      <c r="K56" s="32">
        <f t="shared" si="35"/>
        <v>0</v>
      </c>
      <c r="L56" s="32">
        <f t="shared" si="35"/>
        <v>0</v>
      </c>
      <c r="M56" s="32">
        <f t="shared" si="35"/>
        <v>0</v>
      </c>
      <c r="N56" s="32">
        <f t="shared" si="35"/>
        <v>0</v>
      </c>
      <c r="O56" s="32">
        <f t="shared" si="35"/>
        <v>4958.439672321485</v>
      </c>
      <c r="P56" s="32">
        <f t="shared" si="35"/>
        <v>4376.7251537074426</v>
      </c>
      <c r="Q56" s="32">
        <f t="shared" si="35"/>
        <v>4388.4324926867976</v>
      </c>
      <c r="R56" s="32">
        <f t="shared" si="35"/>
        <v>4348.2143101887104</v>
      </c>
      <c r="S56" s="32">
        <f t="shared" si="35"/>
        <v>4359.4881147775905</v>
      </c>
      <c r="T56" s="32">
        <f t="shared" si="35"/>
        <v>4319.4355962029495</v>
      </c>
      <c r="U56" s="32">
        <f t="shared" si="35"/>
        <v>4330.2713987721636</v>
      </c>
      <c r="V56" s="32">
        <f t="shared" si="35"/>
        <v>4295.8785232044102</v>
      </c>
      <c r="W56" s="32">
        <f t="shared" si="35"/>
        <v>4294.7605171879295</v>
      </c>
      <c r="X56" s="32">
        <f t="shared" si="35"/>
        <v>4261.0523971054718</v>
      </c>
      <c r="Y56" s="32">
        <f t="shared" si="35"/>
        <v>4267.0727620605358</v>
      </c>
      <c r="Z56" s="32">
        <f t="shared" si="35"/>
        <v>4227.6360983090108</v>
      </c>
      <c r="AA56" s="32">
        <f t="shared" si="35"/>
        <v>4237.1166871376536</v>
      </c>
      <c r="AB56" s="32">
        <f t="shared" si="35"/>
        <v>4197.8587091496702</v>
      </c>
      <c r="AC56" s="32">
        <f t="shared" si="35"/>
        <v>4206.8923429508668</v>
      </c>
      <c r="AD56" s="32">
        <f t="shared" si="35"/>
        <v>4173.2269094345338</v>
      </c>
      <c r="AE56" s="32">
        <f t="shared" si="35"/>
        <v>4170.5787403339746</v>
      </c>
      <c r="AF56" s="32">
        <f t="shared" si="35"/>
        <v>4137.4958065718038</v>
      </c>
      <c r="AG56" s="32">
        <f t="shared" si="35"/>
        <v>4145.6248673030022</v>
      </c>
      <c r="AH56" s="32">
        <f t="shared" si="35"/>
        <v>4106.9177808621971</v>
      </c>
      <c r="AI56" s="32">
        <f t="shared" si="35"/>
        <v>4111.6154456944569</v>
      </c>
      <c r="AJ56" s="32">
        <f t="shared" si="35"/>
        <v>4073.2744782768605</v>
      </c>
      <c r="AK56" s="32">
        <f t="shared" si="35"/>
        <v>4080.5786522404214</v>
      </c>
      <c r="AL56" s="32">
        <f t="shared" si="35"/>
        <v>4047.7870292907392</v>
      </c>
      <c r="AM56" s="32">
        <f t="shared" si="35"/>
        <v>4043.6903728791895</v>
      </c>
      <c r="AN56" s="32">
        <f t="shared" si="35"/>
        <v>4011.35776874558</v>
      </c>
      <c r="AO56" s="32">
        <f t="shared" si="35"/>
        <v>4017.7727347037126</v>
      </c>
      <c r="AP56" s="32">
        <f t="shared" si="35"/>
        <v>3980.046016909444</v>
      </c>
      <c r="AQ56" s="32">
        <f t="shared" si="35"/>
        <v>3986.0150355588248</v>
      </c>
      <c r="AR56" s="32">
        <f t="shared" si="35"/>
        <v>3948.5003785710251</v>
      </c>
      <c r="AS56" s="32">
        <f t="shared" si="35"/>
        <v>3954.0214159963252</v>
      </c>
      <c r="AT56" s="32">
        <f t="shared" si="35"/>
        <v>3921.7116472983853</v>
      </c>
      <c r="AU56" s="32">
        <f t="shared" si="35"/>
        <v>3915.7337989721746</v>
      </c>
      <c r="AV56" s="32">
        <f t="shared" si="35"/>
        <v>3883.690800792343</v>
      </c>
      <c r="AW56" s="32">
        <f t="shared" si="35"/>
        <v>13607.771297376097</v>
      </c>
      <c r="AX56" s="32">
        <f t="shared" si="35"/>
        <v>13461.451597997637</v>
      </c>
      <c r="AY56" s="32">
        <f t="shared" si="35"/>
        <v>13457.775239101149</v>
      </c>
      <c r="AZ56" s="32">
        <f t="shared" si="35"/>
        <v>13312.139894966671</v>
      </c>
      <c r="BA56" s="32">
        <f t="shared" si="35"/>
        <v>13305.600683226843</v>
      </c>
      <c r="BB56" s="32">
        <f t="shared" si="35"/>
        <v>16445.959763457937</v>
      </c>
      <c r="BC56" s="32">
        <f t="shared" si="35"/>
        <v>0</v>
      </c>
      <c r="BD56" s="32">
        <f t="shared" si="35"/>
        <v>0</v>
      </c>
      <c r="BE56" s="32">
        <f t="shared" si="35"/>
        <v>0</v>
      </c>
      <c r="BF56" s="32">
        <f t="shared" si="35"/>
        <v>0</v>
      </c>
      <c r="BG56" s="32">
        <f t="shared" si="35"/>
        <v>0</v>
      </c>
      <c r="BH56" s="32">
        <f t="shared" si="35"/>
        <v>0</v>
      </c>
      <c r="BI56" s="32">
        <f t="shared" si="35"/>
        <v>0</v>
      </c>
      <c r="BJ56" s="32">
        <f t="shared" si="35"/>
        <v>0</v>
      </c>
      <c r="BK56" s="32">
        <f t="shared" si="35"/>
        <v>0</v>
      </c>
      <c r="BL56" s="32">
        <f t="shared" si="35"/>
        <v>0</v>
      </c>
      <c r="BM56" s="32">
        <f t="shared" si="35"/>
        <v>0</v>
      </c>
      <c r="BN56" s="32">
        <f t="shared" si="35"/>
        <v>0</v>
      </c>
      <c r="BO56" s="32">
        <f t="shared" si="35"/>
        <v>0</v>
      </c>
      <c r="BP56" s="32">
        <f t="shared" si="35"/>
        <v>0</v>
      </c>
      <c r="BQ56" s="32">
        <f t="shared" ref="BQ56:CV56" si="36" xml:space="preserve"> BQ$51</f>
        <v>0</v>
      </c>
      <c r="BR56" s="32">
        <f t="shared" si="36"/>
        <v>0</v>
      </c>
      <c r="BS56" s="32">
        <f t="shared" si="36"/>
        <v>0</v>
      </c>
      <c r="BT56" s="32">
        <f t="shared" si="36"/>
        <v>0</v>
      </c>
      <c r="BU56" s="32">
        <f t="shared" si="36"/>
        <v>0</v>
      </c>
      <c r="BV56" s="32">
        <f t="shared" si="36"/>
        <v>0</v>
      </c>
      <c r="BW56" s="32">
        <f t="shared" si="36"/>
        <v>0</v>
      </c>
      <c r="BX56" s="32">
        <f t="shared" si="36"/>
        <v>0</v>
      </c>
      <c r="BY56" s="32">
        <f t="shared" si="36"/>
        <v>0</v>
      </c>
      <c r="BZ56" s="32">
        <f t="shared" si="36"/>
        <v>0</v>
      </c>
      <c r="CA56" s="32">
        <f t="shared" si="36"/>
        <v>0</v>
      </c>
      <c r="CB56" s="32">
        <f t="shared" si="36"/>
        <v>0</v>
      </c>
      <c r="CC56" s="32">
        <f t="shared" si="36"/>
        <v>0</v>
      </c>
      <c r="CD56" s="32">
        <f t="shared" si="36"/>
        <v>0</v>
      </c>
      <c r="CE56" s="32">
        <f t="shared" si="36"/>
        <v>0</v>
      </c>
      <c r="CF56" s="32">
        <f t="shared" si="36"/>
        <v>0</v>
      </c>
      <c r="CG56" s="32">
        <f t="shared" si="36"/>
        <v>0</v>
      </c>
      <c r="CH56" s="32">
        <f t="shared" si="36"/>
        <v>0</v>
      </c>
      <c r="CI56" s="32">
        <f t="shared" si="36"/>
        <v>0</v>
      </c>
      <c r="CJ56" s="32">
        <f t="shared" si="36"/>
        <v>0</v>
      </c>
      <c r="CK56" s="32">
        <f t="shared" si="36"/>
        <v>0</v>
      </c>
      <c r="CL56" s="32">
        <f t="shared" si="36"/>
        <v>0</v>
      </c>
      <c r="CM56" s="32">
        <f t="shared" si="36"/>
        <v>0</v>
      </c>
      <c r="CN56" s="32">
        <f t="shared" si="36"/>
        <v>0</v>
      </c>
      <c r="CO56" s="32">
        <f t="shared" si="36"/>
        <v>0</v>
      </c>
      <c r="CP56" s="32">
        <f t="shared" si="36"/>
        <v>0</v>
      </c>
      <c r="CQ56" s="32">
        <f t="shared" si="36"/>
        <v>0</v>
      </c>
      <c r="CR56" s="32">
        <f t="shared" si="36"/>
        <v>0</v>
      </c>
      <c r="CS56" s="32">
        <f t="shared" si="36"/>
        <v>0</v>
      </c>
      <c r="CT56" s="32">
        <f t="shared" si="36"/>
        <v>0</v>
      </c>
      <c r="CU56" s="32">
        <f t="shared" si="36"/>
        <v>0</v>
      </c>
      <c r="CV56" s="32">
        <f t="shared" si="36"/>
        <v>0</v>
      </c>
    </row>
    <row r="57" spans="1:100" s="495" customFormat="1" outlineLevel="2" x14ac:dyDescent="0.2">
      <c r="A57" s="405"/>
      <c r="B57" s="405"/>
      <c r="C57" s="406"/>
      <c r="D57" s="575"/>
      <c r="E57" s="577" t="str">
        <f xml:space="preserve"> Time!E$106</f>
        <v>Operating period flag</v>
      </c>
      <c r="F57" s="577">
        <f xml:space="preserve"> Time!F$106</f>
        <v>0</v>
      </c>
      <c r="G57" s="577" t="str">
        <f xml:space="preserve"> Time!G$106</f>
        <v>flag</v>
      </c>
      <c r="H57" s="577">
        <f xml:space="preserve"> Time!H$106</f>
        <v>40</v>
      </c>
      <c r="I57" s="577">
        <f xml:space="preserve"> Time!I$106</f>
        <v>0</v>
      </c>
      <c r="J57" s="577">
        <f xml:space="preserve"> Time!J$106</f>
        <v>0</v>
      </c>
      <c r="K57" s="577">
        <f xml:space="preserve"> Time!K$106</f>
        <v>0</v>
      </c>
      <c r="L57" s="577">
        <f xml:space="preserve"> Time!L$106</f>
        <v>0</v>
      </c>
      <c r="M57" s="577">
        <f xml:space="preserve"> Time!M$106</f>
        <v>0</v>
      </c>
      <c r="N57" s="577">
        <f xml:space="preserve"> Time!N$106</f>
        <v>0</v>
      </c>
      <c r="O57" s="577">
        <f xml:space="preserve"> Time!O$106</f>
        <v>1</v>
      </c>
      <c r="P57" s="577">
        <f xml:space="preserve"> Time!P$106</f>
        <v>1</v>
      </c>
      <c r="Q57" s="577">
        <f xml:space="preserve"> Time!Q$106</f>
        <v>1</v>
      </c>
      <c r="R57" s="577">
        <f xml:space="preserve"> Time!R$106</f>
        <v>1</v>
      </c>
      <c r="S57" s="577">
        <f xml:space="preserve"> Time!S$106</f>
        <v>1</v>
      </c>
      <c r="T57" s="577">
        <f xml:space="preserve"> Time!T$106</f>
        <v>1</v>
      </c>
      <c r="U57" s="577">
        <f xml:space="preserve"> Time!U$106</f>
        <v>1</v>
      </c>
      <c r="V57" s="577">
        <f xml:space="preserve"> Time!V$106</f>
        <v>1</v>
      </c>
      <c r="W57" s="577">
        <f xml:space="preserve"> Time!W$106</f>
        <v>1</v>
      </c>
      <c r="X57" s="577">
        <f xml:space="preserve"> Time!X$106</f>
        <v>1</v>
      </c>
      <c r="Y57" s="577">
        <f xml:space="preserve"> Time!Y$106</f>
        <v>1</v>
      </c>
      <c r="Z57" s="577">
        <f xml:space="preserve"> Time!Z$106</f>
        <v>1</v>
      </c>
      <c r="AA57" s="577">
        <f xml:space="preserve"> Time!AA$106</f>
        <v>1</v>
      </c>
      <c r="AB57" s="577">
        <f xml:space="preserve"> Time!AB$106</f>
        <v>1</v>
      </c>
      <c r="AC57" s="577">
        <f xml:space="preserve"> Time!AC$106</f>
        <v>1</v>
      </c>
      <c r="AD57" s="577">
        <f xml:space="preserve"> Time!AD$106</f>
        <v>1</v>
      </c>
      <c r="AE57" s="577">
        <f xml:space="preserve"> Time!AE$106</f>
        <v>1</v>
      </c>
      <c r="AF57" s="577">
        <f xml:space="preserve"> Time!AF$106</f>
        <v>1</v>
      </c>
      <c r="AG57" s="577">
        <f xml:space="preserve"> Time!AG$106</f>
        <v>1</v>
      </c>
      <c r="AH57" s="577">
        <f xml:space="preserve"> Time!AH$106</f>
        <v>1</v>
      </c>
      <c r="AI57" s="577">
        <f xml:space="preserve"> Time!AI$106</f>
        <v>1</v>
      </c>
      <c r="AJ57" s="577">
        <f xml:space="preserve"> Time!AJ$106</f>
        <v>1</v>
      </c>
      <c r="AK57" s="577">
        <f xml:space="preserve"> Time!AK$106</f>
        <v>1</v>
      </c>
      <c r="AL57" s="577">
        <f xml:space="preserve"> Time!AL$106</f>
        <v>1</v>
      </c>
      <c r="AM57" s="577">
        <f xml:space="preserve"> Time!AM$106</f>
        <v>1</v>
      </c>
      <c r="AN57" s="577">
        <f xml:space="preserve"> Time!AN$106</f>
        <v>1</v>
      </c>
      <c r="AO57" s="577">
        <f xml:space="preserve"> Time!AO$106</f>
        <v>1</v>
      </c>
      <c r="AP57" s="577">
        <f xml:space="preserve"> Time!AP$106</f>
        <v>1</v>
      </c>
      <c r="AQ57" s="577">
        <f xml:space="preserve"> Time!AQ$106</f>
        <v>1</v>
      </c>
      <c r="AR57" s="577">
        <f xml:space="preserve"> Time!AR$106</f>
        <v>1</v>
      </c>
      <c r="AS57" s="577">
        <f xml:space="preserve"> Time!AS$106</f>
        <v>1</v>
      </c>
      <c r="AT57" s="577">
        <f xml:space="preserve"> Time!AT$106</f>
        <v>1</v>
      </c>
      <c r="AU57" s="577">
        <f xml:space="preserve"> Time!AU$106</f>
        <v>1</v>
      </c>
      <c r="AV57" s="577">
        <f xml:space="preserve"> Time!AV$106</f>
        <v>1</v>
      </c>
      <c r="AW57" s="577">
        <f xml:space="preserve"> Time!AW$106</f>
        <v>1</v>
      </c>
      <c r="AX57" s="577">
        <f xml:space="preserve"> Time!AX$106</f>
        <v>1</v>
      </c>
      <c r="AY57" s="577">
        <f xml:space="preserve"> Time!AY$106</f>
        <v>1</v>
      </c>
      <c r="AZ57" s="577">
        <f xml:space="preserve"> Time!AZ$106</f>
        <v>1</v>
      </c>
      <c r="BA57" s="577">
        <f xml:space="preserve"> Time!BA$106</f>
        <v>1</v>
      </c>
      <c r="BB57" s="577">
        <f xml:space="preserve"> Time!BB$106</f>
        <v>1</v>
      </c>
      <c r="BC57" s="577">
        <f xml:space="preserve"> Time!BC$106</f>
        <v>0</v>
      </c>
      <c r="BD57" s="577">
        <f xml:space="preserve"> Time!BD$106</f>
        <v>0</v>
      </c>
      <c r="BE57" s="577">
        <f xml:space="preserve"> Time!BE$106</f>
        <v>0</v>
      </c>
      <c r="BF57" s="577">
        <f xml:space="preserve"> Time!BF$106</f>
        <v>0</v>
      </c>
      <c r="BG57" s="577">
        <f xml:space="preserve"> Time!BG$106</f>
        <v>0</v>
      </c>
      <c r="BH57" s="577">
        <f xml:space="preserve"> Time!BH$106</f>
        <v>0</v>
      </c>
      <c r="BI57" s="577">
        <f xml:space="preserve"> Time!BI$106</f>
        <v>0</v>
      </c>
      <c r="BJ57" s="577">
        <f xml:space="preserve"> Time!BJ$106</f>
        <v>0</v>
      </c>
      <c r="BK57" s="577">
        <f xml:space="preserve"> Time!BK$106</f>
        <v>0</v>
      </c>
      <c r="BL57" s="577">
        <f xml:space="preserve"> Time!BL$106</f>
        <v>0</v>
      </c>
      <c r="BM57" s="577">
        <f xml:space="preserve"> Time!BM$106</f>
        <v>0</v>
      </c>
      <c r="BN57" s="577">
        <f xml:space="preserve"> Time!BN$106</f>
        <v>0</v>
      </c>
      <c r="BO57" s="577">
        <f xml:space="preserve"> Time!BO$106</f>
        <v>0</v>
      </c>
      <c r="BP57" s="577">
        <f xml:space="preserve"> Time!BP$106</f>
        <v>0</v>
      </c>
      <c r="BQ57" s="577">
        <f xml:space="preserve"> Time!BQ$106</f>
        <v>0</v>
      </c>
      <c r="BR57" s="577">
        <f xml:space="preserve"> Time!BR$106</f>
        <v>0</v>
      </c>
      <c r="BS57" s="577">
        <f xml:space="preserve"> Time!BS$106</f>
        <v>0</v>
      </c>
      <c r="BT57" s="577">
        <f xml:space="preserve"> Time!BT$106</f>
        <v>0</v>
      </c>
      <c r="BU57" s="577">
        <f xml:space="preserve"> Time!BU$106</f>
        <v>0</v>
      </c>
      <c r="BV57" s="577">
        <f xml:space="preserve"> Time!BV$106</f>
        <v>0</v>
      </c>
      <c r="BW57" s="577">
        <f xml:space="preserve"> Time!BW$106</f>
        <v>0</v>
      </c>
      <c r="BX57" s="577">
        <f xml:space="preserve"> Time!BX$106</f>
        <v>0</v>
      </c>
      <c r="BY57" s="577">
        <f xml:space="preserve"> Time!BY$106</f>
        <v>0</v>
      </c>
      <c r="BZ57" s="577">
        <f xml:space="preserve"> Time!BZ$106</f>
        <v>0</v>
      </c>
      <c r="CA57" s="577">
        <f xml:space="preserve"> Time!CA$106</f>
        <v>0</v>
      </c>
      <c r="CB57" s="577">
        <f xml:space="preserve"> Time!CB$106</f>
        <v>0</v>
      </c>
      <c r="CC57" s="577">
        <f xml:space="preserve"> Time!CC$106</f>
        <v>0</v>
      </c>
      <c r="CD57" s="577">
        <f xml:space="preserve"> Time!CD$106</f>
        <v>0</v>
      </c>
      <c r="CE57" s="577">
        <f xml:space="preserve"> Time!CE$106</f>
        <v>0</v>
      </c>
      <c r="CF57" s="577">
        <f xml:space="preserve"> Time!CF$106</f>
        <v>0</v>
      </c>
      <c r="CG57" s="577">
        <f xml:space="preserve"> Time!CG$106</f>
        <v>0</v>
      </c>
      <c r="CH57" s="577">
        <f xml:space="preserve"> Time!CH$106</f>
        <v>0</v>
      </c>
      <c r="CI57" s="577">
        <f xml:space="preserve"> Time!CI$106</f>
        <v>0</v>
      </c>
      <c r="CJ57" s="577">
        <f xml:space="preserve"> Time!CJ$106</f>
        <v>0</v>
      </c>
      <c r="CK57" s="577">
        <f xml:space="preserve"> Time!CK$106</f>
        <v>0</v>
      </c>
      <c r="CL57" s="577">
        <f xml:space="preserve"> Time!CL$106</f>
        <v>0</v>
      </c>
      <c r="CM57" s="577">
        <f xml:space="preserve"> Time!CM$106</f>
        <v>0</v>
      </c>
      <c r="CN57" s="577">
        <f xml:space="preserve"> Time!CN$106</f>
        <v>0</v>
      </c>
      <c r="CO57" s="577">
        <f xml:space="preserve"> Time!CO$106</f>
        <v>0</v>
      </c>
      <c r="CP57" s="577">
        <f xml:space="preserve"> Time!CP$106</f>
        <v>0</v>
      </c>
      <c r="CQ57" s="577">
        <f xml:space="preserve"> Time!CQ$106</f>
        <v>0</v>
      </c>
      <c r="CR57" s="577">
        <f xml:space="preserve"> Time!CR$106</f>
        <v>0</v>
      </c>
      <c r="CS57" s="577">
        <f xml:space="preserve"> Time!CS$106</f>
        <v>0</v>
      </c>
      <c r="CT57" s="577">
        <f xml:space="preserve"> Time!CT$106</f>
        <v>0</v>
      </c>
      <c r="CU57" s="577">
        <f xml:space="preserve"> Time!CU$106</f>
        <v>0</v>
      </c>
      <c r="CV57" s="577">
        <f xml:space="preserve"> Time!CV$106</f>
        <v>0</v>
      </c>
    </row>
    <row r="58" spans="1:100" outlineLevel="2" x14ac:dyDescent="0.2">
      <c r="A58" s="33"/>
      <c r="B58" s="79"/>
      <c r="C58" s="561"/>
      <c r="D58" s="60"/>
      <c r="E58" s="32" t="s">
        <v>363</v>
      </c>
      <c r="F58" s="32"/>
      <c r="G58" s="32" t="str">
        <f xml:space="preserve"> SMU</f>
        <v>$ 000s</v>
      </c>
      <c r="H58" s="32">
        <f xml:space="preserve"> SUM(J58:CV58)</f>
        <v>0</v>
      </c>
      <c r="I58" s="32"/>
      <c r="J58" s="32">
        <f xml:space="preserve"> -1 * MIN(J56, 0) * J57</f>
        <v>0</v>
      </c>
      <c r="K58" s="32">
        <f t="shared" ref="K58:BV58" si="37" xml:space="preserve"> -1 * MIN(K56, 0) * K57</f>
        <v>0</v>
      </c>
      <c r="L58" s="32">
        <f t="shared" si="37"/>
        <v>0</v>
      </c>
      <c r="M58" s="32">
        <f t="shared" si="37"/>
        <v>0</v>
      </c>
      <c r="N58" s="32">
        <f t="shared" si="37"/>
        <v>0</v>
      </c>
      <c r="O58" s="32">
        <f t="shared" si="37"/>
        <v>0</v>
      </c>
      <c r="P58" s="32">
        <f t="shared" si="37"/>
        <v>0</v>
      </c>
      <c r="Q58" s="32">
        <f t="shared" si="37"/>
        <v>0</v>
      </c>
      <c r="R58" s="32">
        <f t="shared" si="37"/>
        <v>0</v>
      </c>
      <c r="S58" s="32">
        <f t="shared" si="37"/>
        <v>0</v>
      </c>
      <c r="T58" s="32">
        <f t="shared" si="37"/>
        <v>0</v>
      </c>
      <c r="U58" s="32">
        <f t="shared" si="37"/>
        <v>0</v>
      </c>
      <c r="V58" s="32">
        <f t="shared" si="37"/>
        <v>0</v>
      </c>
      <c r="W58" s="32">
        <f t="shared" si="37"/>
        <v>0</v>
      </c>
      <c r="X58" s="32">
        <f t="shared" si="37"/>
        <v>0</v>
      </c>
      <c r="Y58" s="32">
        <f t="shared" si="37"/>
        <v>0</v>
      </c>
      <c r="Z58" s="32">
        <f t="shared" si="37"/>
        <v>0</v>
      </c>
      <c r="AA58" s="32">
        <f t="shared" si="37"/>
        <v>0</v>
      </c>
      <c r="AB58" s="32">
        <f t="shared" si="37"/>
        <v>0</v>
      </c>
      <c r="AC58" s="32">
        <f t="shared" si="37"/>
        <v>0</v>
      </c>
      <c r="AD58" s="32">
        <f t="shared" si="37"/>
        <v>0</v>
      </c>
      <c r="AE58" s="32">
        <f t="shared" si="37"/>
        <v>0</v>
      </c>
      <c r="AF58" s="32">
        <f t="shared" si="37"/>
        <v>0</v>
      </c>
      <c r="AG58" s="32">
        <f t="shared" si="37"/>
        <v>0</v>
      </c>
      <c r="AH58" s="32">
        <f t="shared" si="37"/>
        <v>0</v>
      </c>
      <c r="AI58" s="32">
        <f t="shared" si="37"/>
        <v>0</v>
      </c>
      <c r="AJ58" s="32">
        <f t="shared" si="37"/>
        <v>0</v>
      </c>
      <c r="AK58" s="32">
        <f t="shared" si="37"/>
        <v>0</v>
      </c>
      <c r="AL58" s="32">
        <f t="shared" si="37"/>
        <v>0</v>
      </c>
      <c r="AM58" s="32">
        <f t="shared" si="37"/>
        <v>0</v>
      </c>
      <c r="AN58" s="32">
        <f t="shared" si="37"/>
        <v>0</v>
      </c>
      <c r="AO58" s="32">
        <f t="shared" si="37"/>
        <v>0</v>
      </c>
      <c r="AP58" s="32">
        <f t="shared" si="37"/>
        <v>0</v>
      </c>
      <c r="AQ58" s="32">
        <f t="shared" si="37"/>
        <v>0</v>
      </c>
      <c r="AR58" s="32">
        <f t="shared" si="37"/>
        <v>0</v>
      </c>
      <c r="AS58" s="32">
        <f t="shared" si="37"/>
        <v>0</v>
      </c>
      <c r="AT58" s="32">
        <f t="shared" si="37"/>
        <v>0</v>
      </c>
      <c r="AU58" s="32">
        <f t="shared" si="37"/>
        <v>0</v>
      </c>
      <c r="AV58" s="32">
        <f t="shared" si="37"/>
        <v>0</v>
      </c>
      <c r="AW58" s="32">
        <f t="shared" si="37"/>
        <v>0</v>
      </c>
      <c r="AX58" s="32">
        <f t="shared" si="37"/>
        <v>0</v>
      </c>
      <c r="AY58" s="32">
        <f t="shared" si="37"/>
        <v>0</v>
      </c>
      <c r="AZ58" s="32">
        <f t="shared" si="37"/>
        <v>0</v>
      </c>
      <c r="BA58" s="32">
        <f t="shared" si="37"/>
        <v>0</v>
      </c>
      <c r="BB58" s="32">
        <f t="shared" si="37"/>
        <v>0</v>
      </c>
      <c r="BC58" s="32">
        <f t="shared" si="37"/>
        <v>0</v>
      </c>
      <c r="BD58" s="32">
        <f t="shared" si="37"/>
        <v>0</v>
      </c>
      <c r="BE58" s="32">
        <f t="shared" si="37"/>
        <v>0</v>
      </c>
      <c r="BF58" s="32">
        <f t="shared" si="37"/>
        <v>0</v>
      </c>
      <c r="BG58" s="32">
        <f t="shared" si="37"/>
        <v>0</v>
      </c>
      <c r="BH58" s="32">
        <f t="shared" si="37"/>
        <v>0</v>
      </c>
      <c r="BI58" s="32">
        <f t="shared" si="37"/>
        <v>0</v>
      </c>
      <c r="BJ58" s="32">
        <f t="shared" si="37"/>
        <v>0</v>
      </c>
      <c r="BK58" s="32">
        <f t="shared" si="37"/>
        <v>0</v>
      </c>
      <c r="BL58" s="32">
        <f t="shared" si="37"/>
        <v>0</v>
      </c>
      <c r="BM58" s="32">
        <f t="shared" si="37"/>
        <v>0</v>
      </c>
      <c r="BN58" s="32">
        <f t="shared" si="37"/>
        <v>0</v>
      </c>
      <c r="BO58" s="32">
        <f t="shared" si="37"/>
        <v>0</v>
      </c>
      <c r="BP58" s="32">
        <f t="shared" si="37"/>
        <v>0</v>
      </c>
      <c r="BQ58" s="32">
        <f t="shared" si="37"/>
        <v>0</v>
      </c>
      <c r="BR58" s="32">
        <f t="shared" si="37"/>
        <v>0</v>
      </c>
      <c r="BS58" s="32">
        <f t="shared" si="37"/>
        <v>0</v>
      </c>
      <c r="BT58" s="32">
        <f t="shared" si="37"/>
        <v>0</v>
      </c>
      <c r="BU58" s="32">
        <f t="shared" si="37"/>
        <v>0</v>
      </c>
      <c r="BV58" s="32">
        <f t="shared" si="37"/>
        <v>0</v>
      </c>
      <c r="BW58" s="32">
        <f t="shared" ref="BW58:CV58" si="38" xml:space="preserve"> -1 * MIN(BW56, 0) * BW57</f>
        <v>0</v>
      </c>
      <c r="BX58" s="32">
        <f t="shared" si="38"/>
        <v>0</v>
      </c>
      <c r="BY58" s="32">
        <f t="shared" si="38"/>
        <v>0</v>
      </c>
      <c r="BZ58" s="32">
        <f t="shared" si="38"/>
        <v>0</v>
      </c>
      <c r="CA58" s="32">
        <f t="shared" si="38"/>
        <v>0</v>
      </c>
      <c r="CB58" s="32">
        <f t="shared" si="38"/>
        <v>0</v>
      </c>
      <c r="CC58" s="32">
        <f t="shared" si="38"/>
        <v>0</v>
      </c>
      <c r="CD58" s="32">
        <f t="shared" si="38"/>
        <v>0</v>
      </c>
      <c r="CE58" s="32">
        <f t="shared" si="38"/>
        <v>0</v>
      </c>
      <c r="CF58" s="32">
        <f t="shared" si="38"/>
        <v>0</v>
      </c>
      <c r="CG58" s="32">
        <f t="shared" si="38"/>
        <v>0</v>
      </c>
      <c r="CH58" s="32">
        <f t="shared" si="38"/>
        <v>0</v>
      </c>
      <c r="CI58" s="32">
        <f t="shared" si="38"/>
        <v>0</v>
      </c>
      <c r="CJ58" s="32">
        <f t="shared" si="38"/>
        <v>0</v>
      </c>
      <c r="CK58" s="32">
        <f t="shared" si="38"/>
        <v>0</v>
      </c>
      <c r="CL58" s="32">
        <f t="shared" si="38"/>
        <v>0</v>
      </c>
      <c r="CM58" s="32">
        <f t="shared" si="38"/>
        <v>0</v>
      </c>
      <c r="CN58" s="32">
        <f t="shared" si="38"/>
        <v>0</v>
      </c>
      <c r="CO58" s="32">
        <f t="shared" si="38"/>
        <v>0</v>
      </c>
      <c r="CP58" s="32">
        <f t="shared" si="38"/>
        <v>0</v>
      </c>
      <c r="CQ58" s="32">
        <f t="shared" si="38"/>
        <v>0</v>
      </c>
      <c r="CR58" s="32">
        <f t="shared" si="38"/>
        <v>0</v>
      </c>
      <c r="CS58" s="32">
        <f t="shared" si="38"/>
        <v>0</v>
      </c>
      <c r="CT58" s="32">
        <f t="shared" si="38"/>
        <v>0</v>
      </c>
      <c r="CU58" s="32">
        <f t="shared" si="38"/>
        <v>0</v>
      </c>
      <c r="CV58" s="32">
        <f t="shared" si="38"/>
        <v>0</v>
      </c>
    </row>
    <row r="59" spans="1:100" outlineLevel="2" x14ac:dyDescent="0.2">
      <c r="A59" s="33"/>
      <c r="B59" s="79"/>
      <c r="C59" s="561"/>
      <c r="D59" s="60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</row>
    <row r="60" spans="1:100" outlineLevel="2" x14ac:dyDescent="0.2">
      <c r="A60" s="33"/>
      <c r="B60" s="79"/>
      <c r="C60" s="561"/>
      <c r="D60" s="60"/>
      <c r="E60" s="32" t="str">
        <f t="shared" ref="E60:BP60" si="39" xml:space="preserve"> E$58</f>
        <v>DS shortfall target withdrawal</v>
      </c>
      <c r="F60" s="32">
        <f t="shared" si="39"/>
        <v>0</v>
      </c>
      <c r="G60" s="32" t="str">
        <f t="shared" si="39"/>
        <v>$ 000s</v>
      </c>
      <c r="H60" s="32">
        <f t="shared" si="39"/>
        <v>0</v>
      </c>
      <c r="I60" s="32">
        <f t="shared" si="39"/>
        <v>0</v>
      </c>
      <c r="J60" s="32">
        <f t="shared" si="39"/>
        <v>0</v>
      </c>
      <c r="K60" s="32">
        <f t="shared" si="39"/>
        <v>0</v>
      </c>
      <c r="L60" s="32">
        <f t="shared" si="39"/>
        <v>0</v>
      </c>
      <c r="M60" s="32">
        <f t="shared" si="39"/>
        <v>0</v>
      </c>
      <c r="N60" s="32">
        <f t="shared" si="39"/>
        <v>0</v>
      </c>
      <c r="O60" s="32">
        <f t="shared" si="39"/>
        <v>0</v>
      </c>
      <c r="P60" s="32">
        <f t="shared" si="39"/>
        <v>0</v>
      </c>
      <c r="Q60" s="32">
        <f t="shared" si="39"/>
        <v>0</v>
      </c>
      <c r="R60" s="32">
        <f t="shared" si="39"/>
        <v>0</v>
      </c>
      <c r="S60" s="32">
        <f t="shared" si="39"/>
        <v>0</v>
      </c>
      <c r="T60" s="32">
        <f t="shared" si="39"/>
        <v>0</v>
      </c>
      <c r="U60" s="32">
        <f t="shared" si="39"/>
        <v>0</v>
      </c>
      <c r="V60" s="32">
        <f t="shared" si="39"/>
        <v>0</v>
      </c>
      <c r="W60" s="32">
        <f t="shared" si="39"/>
        <v>0</v>
      </c>
      <c r="X60" s="32">
        <f t="shared" si="39"/>
        <v>0</v>
      </c>
      <c r="Y60" s="32">
        <f t="shared" si="39"/>
        <v>0</v>
      </c>
      <c r="Z60" s="32">
        <f t="shared" si="39"/>
        <v>0</v>
      </c>
      <c r="AA60" s="32">
        <f t="shared" si="39"/>
        <v>0</v>
      </c>
      <c r="AB60" s="32">
        <f t="shared" si="39"/>
        <v>0</v>
      </c>
      <c r="AC60" s="32">
        <f t="shared" si="39"/>
        <v>0</v>
      </c>
      <c r="AD60" s="32">
        <f t="shared" si="39"/>
        <v>0</v>
      </c>
      <c r="AE60" s="32">
        <f t="shared" si="39"/>
        <v>0</v>
      </c>
      <c r="AF60" s="32">
        <f t="shared" si="39"/>
        <v>0</v>
      </c>
      <c r="AG60" s="32">
        <f t="shared" si="39"/>
        <v>0</v>
      </c>
      <c r="AH60" s="32">
        <f t="shared" si="39"/>
        <v>0</v>
      </c>
      <c r="AI60" s="32">
        <f t="shared" si="39"/>
        <v>0</v>
      </c>
      <c r="AJ60" s="32">
        <f t="shared" si="39"/>
        <v>0</v>
      </c>
      <c r="AK60" s="32">
        <f t="shared" si="39"/>
        <v>0</v>
      </c>
      <c r="AL60" s="32">
        <f t="shared" si="39"/>
        <v>0</v>
      </c>
      <c r="AM60" s="32">
        <f t="shared" si="39"/>
        <v>0</v>
      </c>
      <c r="AN60" s="32">
        <f t="shared" si="39"/>
        <v>0</v>
      </c>
      <c r="AO60" s="32">
        <f t="shared" si="39"/>
        <v>0</v>
      </c>
      <c r="AP60" s="32">
        <f t="shared" si="39"/>
        <v>0</v>
      </c>
      <c r="AQ60" s="32">
        <f t="shared" si="39"/>
        <v>0</v>
      </c>
      <c r="AR60" s="32">
        <f t="shared" si="39"/>
        <v>0</v>
      </c>
      <c r="AS60" s="32">
        <f t="shared" si="39"/>
        <v>0</v>
      </c>
      <c r="AT60" s="32">
        <f t="shared" si="39"/>
        <v>0</v>
      </c>
      <c r="AU60" s="32">
        <f t="shared" si="39"/>
        <v>0</v>
      </c>
      <c r="AV60" s="32">
        <f t="shared" si="39"/>
        <v>0</v>
      </c>
      <c r="AW60" s="32">
        <f t="shared" si="39"/>
        <v>0</v>
      </c>
      <c r="AX60" s="32">
        <f t="shared" si="39"/>
        <v>0</v>
      </c>
      <c r="AY60" s="32">
        <f t="shared" si="39"/>
        <v>0</v>
      </c>
      <c r="AZ60" s="32">
        <f t="shared" si="39"/>
        <v>0</v>
      </c>
      <c r="BA60" s="32">
        <f t="shared" si="39"/>
        <v>0</v>
      </c>
      <c r="BB60" s="32">
        <f t="shared" si="39"/>
        <v>0</v>
      </c>
      <c r="BC60" s="32">
        <f t="shared" si="39"/>
        <v>0</v>
      </c>
      <c r="BD60" s="32">
        <f t="shared" si="39"/>
        <v>0</v>
      </c>
      <c r="BE60" s="32">
        <f t="shared" si="39"/>
        <v>0</v>
      </c>
      <c r="BF60" s="32">
        <f t="shared" si="39"/>
        <v>0</v>
      </c>
      <c r="BG60" s="32">
        <f t="shared" si="39"/>
        <v>0</v>
      </c>
      <c r="BH60" s="32">
        <f t="shared" si="39"/>
        <v>0</v>
      </c>
      <c r="BI60" s="32">
        <f t="shared" si="39"/>
        <v>0</v>
      </c>
      <c r="BJ60" s="32">
        <f t="shared" si="39"/>
        <v>0</v>
      </c>
      <c r="BK60" s="32">
        <f t="shared" si="39"/>
        <v>0</v>
      </c>
      <c r="BL60" s="32">
        <f t="shared" si="39"/>
        <v>0</v>
      </c>
      <c r="BM60" s="32">
        <f t="shared" si="39"/>
        <v>0</v>
      </c>
      <c r="BN60" s="32">
        <f t="shared" si="39"/>
        <v>0</v>
      </c>
      <c r="BO60" s="32">
        <f t="shared" si="39"/>
        <v>0</v>
      </c>
      <c r="BP60" s="32">
        <f t="shared" si="39"/>
        <v>0</v>
      </c>
      <c r="BQ60" s="32">
        <f t="shared" ref="BQ60:CV60" si="40" xml:space="preserve"> BQ$58</f>
        <v>0</v>
      </c>
      <c r="BR60" s="32">
        <f t="shared" si="40"/>
        <v>0</v>
      </c>
      <c r="BS60" s="32">
        <f t="shared" si="40"/>
        <v>0</v>
      </c>
      <c r="BT60" s="32">
        <f t="shared" si="40"/>
        <v>0</v>
      </c>
      <c r="BU60" s="32">
        <f t="shared" si="40"/>
        <v>0</v>
      </c>
      <c r="BV60" s="32">
        <f t="shared" si="40"/>
        <v>0</v>
      </c>
      <c r="BW60" s="32">
        <f t="shared" si="40"/>
        <v>0</v>
      </c>
      <c r="BX60" s="32">
        <f t="shared" si="40"/>
        <v>0</v>
      </c>
      <c r="BY60" s="32">
        <f t="shared" si="40"/>
        <v>0</v>
      </c>
      <c r="BZ60" s="32">
        <f t="shared" si="40"/>
        <v>0</v>
      </c>
      <c r="CA60" s="32">
        <f t="shared" si="40"/>
        <v>0</v>
      </c>
      <c r="CB60" s="32">
        <f t="shared" si="40"/>
        <v>0</v>
      </c>
      <c r="CC60" s="32">
        <f t="shared" si="40"/>
        <v>0</v>
      </c>
      <c r="CD60" s="32">
        <f t="shared" si="40"/>
        <v>0</v>
      </c>
      <c r="CE60" s="32">
        <f t="shared" si="40"/>
        <v>0</v>
      </c>
      <c r="CF60" s="32">
        <f t="shared" si="40"/>
        <v>0</v>
      </c>
      <c r="CG60" s="32">
        <f t="shared" si="40"/>
        <v>0</v>
      </c>
      <c r="CH60" s="32">
        <f t="shared" si="40"/>
        <v>0</v>
      </c>
      <c r="CI60" s="32">
        <f t="shared" si="40"/>
        <v>0</v>
      </c>
      <c r="CJ60" s="32">
        <f t="shared" si="40"/>
        <v>0</v>
      </c>
      <c r="CK60" s="32">
        <f t="shared" si="40"/>
        <v>0</v>
      </c>
      <c r="CL60" s="32">
        <f t="shared" si="40"/>
        <v>0</v>
      </c>
      <c r="CM60" s="32">
        <f t="shared" si="40"/>
        <v>0</v>
      </c>
      <c r="CN60" s="32">
        <f t="shared" si="40"/>
        <v>0</v>
      </c>
      <c r="CO60" s="32">
        <f t="shared" si="40"/>
        <v>0</v>
      </c>
      <c r="CP60" s="32">
        <f t="shared" si="40"/>
        <v>0</v>
      </c>
      <c r="CQ60" s="32">
        <f t="shared" si="40"/>
        <v>0</v>
      </c>
      <c r="CR60" s="32">
        <f t="shared" si="40"/>
        <v>0</v>
      </c>
      <c r="CS60" s="32">
        <f t="shared" si="40"/>
        <v>0</v>
      </c>
      <c r="CT60" s="32">
        <f t="shared" si="40"/>
        <v>0</v>
      </c>
      <c r="CU60" s="32">
        <f t="shared" si="40"/>
        <v>0</v>
      </c>
      <c r="CV60" s="32">
        <f t="shared" si="40"/>
        <v>0</v>
      </c>
    </row>
    <row r="61" spans="1:100" outlineLevel="2" x14ac:dyDescent="0.2">
      <c r="A61" s="33"/>
      <c r="B61" s="79"/>
      <c r="C61" s="561"/>
      <c r="D61" s="60"/>
      <c r="E61" s="32" t="str">
        <f xml:space="preserve"> E$81</f>
        <v>DSRA balance BEG</v>
      </c>
      <c r="F61" s="32">
        <f t="shared" ref="F61:BQ61" si="41" xml:space="preserve"> F$81</f>
        <v>0</v>
      </c>
      <c r="G61" s="32" t="str">
        <f t="shared" si="41"/>
        <v>$ 000s</v>
      </c>
      <c r="H61" s="32">
        <f t="shared" si="41"/>
        <v>0</v>
      </c>
      <c r="I61" s="32">
        <f t="shared" si="41"/>
        <v>0</v>
      </c>
      <c r="J61" s="32">
        <f t="shared" si="41"/>
        <v>0</v>
      </c>
      <c r="K61" s="32">
        <f t="shared" si="41"/>
        <v>0</v>
      </c>
      <c r="L61" s="32">
        <f t="shared" si="41"/>
        <v>0</v>
      </c>
      <c r="M61" s="32">
        <f t="shared" si="41"/>
        <v>0</v>
      </c>
      <c r="N61" s="32">
        <f t="shared" si="41"/>
        <v>0</v>
      </c>
      <c r="O61" s="32">
        <f t="shared" si="41"/>
        <v>11233.130669939161</v>
      </c>
      <c r="P61" s="32">
        <f t="shared" si="41"/>
        <v>11233.130669939161</v>
      </c>
      <c r="Q61" s="32">
        <f t="shared" si="41"/>
        <v>11190.794928838903</v>
      </c>
      <c r="R61" s="32">
        <f t="shared" si="41"/>
        <v>11147.702061098667</v>
      </c>
      <c r="S61" s="32">
        <f t="shared" si="41"/>
        <v>11104.822479349081</v>
      </c>
      <c r="T61" s="32">
        <f t="shared" si="41"/>
        <v>11061.172559369908</v>
      </c>
      <c r="U61" s="32">
        <f t="shared" si="41"/>
        <v>11025.255469920612</v>
      </c>
      <c r="V61" s="32">
        <f t="shared" si="41"/>
        <v>10973.518731652715</v>
      </c>
      <c r="W61" s="32">
        <f t="shared" si="41"/>
        <v>10921.998577696688</v>
      </c>
      <c r="X61" s="32">
        <f t="shared" si="41"/>
        <v>10884.71667623521</v>
      </c>
      <c r="Y61" s="32">
        <f t="shared" si="41"/>
        <v>10840.135152344956</v>
      </c>
      <c r="Z61" s="32">
        <f t="shared" si="41"/>
        <v>10794.742010746362</v>
      </c>
      <c r="AA61" s="32">
        <f t="shared" si="41"/>
        <v>10749.568908064761</v>
      </c>
      <c r="AB61" s="32">
        <f t="shared" si="41"/>
        <v>10703.56986326347</v>
      </c>
      <c r="AC61" s="32">
        <f t="shared" si="41"/>
        <v>10665.064311187987</v>
      </c>
      <c r="AD61" s="32">
        <f t="shared" si="41"/>
        <v>10611.174866718349</v>
      </c>
      <c r="AE61" s="32">
        <f t="shared" si="41"/>
        <v>10557.509077694693</v>
      </c>
      <c r="AF61" s="32">
        <f t="shared" si="41"/>
        <v>10517.531143266302</v>
      </c>
      <c r="AG61" s="32">
        <f t="shared" si="41"/>
        <v>10470.507070020134</v>
      </c>
      <c r="AH61" s="32">
        <f t="shared" si="41"/>
        <v>10422.612301906172</v>
      </c>
      <c r="AI61" s="32">
        <f t="shared" si="41"/>
        <v>10374.944975120165</v>
      </c>
      <c r="AJ61" s="32">
        <f t="shared" si="41"/>
        <v>10326.391413681304</v>
      </c>
      <c r="AK61" s="32">
        <f t="shared" si="41"/>
        <v>10285.079124192071</v>
      </c>
      <c r="AL61" s="32">
        <f t="shared" si="41"/>
        <v>10228.841010385528</v>
      </c>
      <c r="AM61" s="32">
        <f t="shared" si="41"/>
        <v>10172.834298762504</v>
      </c>
      <c r="AN61" s="32">
        <f t="shared" si="41"/>
        <v>10129.933079413677</v>
      </c>
      <c r="AO61" s="32">
        <f t="shared" si="41"/>
        <v>10080.253439298456</v>
      </c>
      <c r="AP61" s="32">
        <f t="shared" si="41"/>
        <v>10029.63904497031</v>
      </c>
      <c r="AQ61" s="32">
        <f t="shared" si="41"/>
        <v>9979.2601971614822</v>
      </c>
      <c r="AR61" s="32">
        <f t="shared" si="41"/>
        <v>9927.9304935534874</v>
      </c>
      <c r="AS61" s="32">
        <f t="shared" si="41"/>
        <v>9883.5760729497488</v>
      </c>
      <c r="AT61" s="32">
        <f t="shared" si="41"/>
        <v>9824.7779316197557</v>
      </c>
      <c r="AU61" s="32">
        <f t="shared" si="41"/>
        <v>9766.220927027236</v>
      </c>
      <c r="AV61" s="32">
        <f t="shared" si="41"/>
        <v>4860.2302073800211</v>
      </c>
      <c r="AW61" s="32">
        <f t="shared" si="41"/>
        <v>-2.0082668106624624E-4</v>
      </c>
      <c r="AX61" s="32">
        <f t="shared" si="41"/>
        <v>-2.0082668106624624E-4</v>
      </c>
      <c r="AY61" s="32">
        <f t="shared" si="41"/>
        <v>-2.0082668106624624E-4</v>
      </c>
      <c r="AZ61" s="32">
        <f t="shared" si="41"/>
        <v>-2.0082668106624624E-4</v>
      </c>
      <c r="BA61" s="32">
        <f t="shared" si="41"/>
        <v>-2.0082668106624624E-4</v>
      </c>
      <c r="BB61" s="32">
        <f t="shared" si="41"/>
        <v>-2.0082668106624624E-4</v>
      </c>
      <c r="BC61" s="32">
        <f t="shared" si="41"/>
        <v>-2.0082668106624624E-4</v>
      </c>
      <c r="BD61" s="32">
        <f t="shared" si="41"/>
        <v>-2.0082668106624624E-4</v>
      </c>
      <c r="BE61" s="32">
        <f t="shared" si="41"/>
        <v>-2.0082668106624624E-4</v>
      </c>
      <c r="BF61" s="32">
        <f t="shared" si="41"/>
        <v>-2.0082668106624624E-4</v>
      </c>
      <c r="BG61" s="32">
        <f t="shared" si="41"/>
        <v>-2.0082668106624624E-4</v>
      </c>
      <c r="BH61" s="32">
        <f t="shared" si="41"/>
        <v>-2.0082668106624624E-4</v>
      </c>
      <c r="BI61" s="32">
        <f t="shared" si="41"/>
        <v>-2.0082668106624624E-4</v>
      </c>
      <c r="BJ61" s="32">
        <f t="shared" si="41"/>
        <v>-2.0082668106624624E-4</v>
      </c>
      <c r="BK61" s="32">
        <f t="shared" si="41"/>
        <v>-2.0082668106624624E-4</v>
      </c>
      <c r="BL61" s="32">
        <f t="shared" si="41"/>
        <v>-2.0082668106624624E-4</v>
      </c>
      <c r="BM61" s="32">
        <f t="shared" si="41"/>
        <v>-2.0082668106624624E-4</v>
      </c>
      <c r="BN61" s="32">
        <f t="shared" si="41"/>
        <v>-2.0082668106624624E-4</v>
      </c>
      <c r="BO61" s="32">
        <f t="shared" si="41"/>
        <v>-2.0082668106624624E-4</v>
      </c>
      <c r="BP61" s="32">
        <f t="shared" si="41"/>
        <v>-2.0082668106624624E-4</v>
      </c>
      <c r="BQ61" s="32">
        <f t="shared" si="41"/>
        <v>-2.0082668106624624E-4</v>
      </c>
      <c r="BR61" s="32">
        <f t="shared" ref="BR61:CV61" si="42" xml:space="preserve"> BR$81</f>
        <v>-2.0082668106624624E-4</v>
      </c>
      <c r="BS61" s="32">
        <f t="shared" si="42"/>
        <v>-2.0082668106624624E-4</v>
      </c>
      <c r="BT61" s="32">
        <f t="shared" si="42"/>
        <v>-2.0082668106624624E-4</v>
      </c>
      <c r="BU61" s="32">
        <f t="shared" si="42"/>
        <v>-2.0082668106624624E-4</v>
      </c>
      <c r="BV61" s="32">
        <f t="shared" si="42"/>
        <v>-2.0082668106624624E-4</v>
      </c>
      <c r="BW61" s="32">
        <f t="shared" si="42"/>
        <v>-2.0082668106624624E-4</v>
      </c>
      <c r="BX61" s="32">
        <f t="shared" si="42"/>
        <v>-2.0082668106624624E-4</v>
      </c>
      <c r="BY61" s="32">
        <f t="shared" si="42"/>
        <v>-2.0082668106624624E-4</v>
      </c>
      <c r="BZ61" s="32">
        <f t="shared" si="42"/>
        <v>-2.0082668106624624E-4</v>
      </c>
      <c r="CA61" s="32">
        <f t="shared" si="42"/>
        <v>-2.0082668106624624E-4</v>
      </c>
      <c r="CB61" s="32">
        <f t="shared" si="42"/>
        <v>-2.0082668106624624E-4</v>
      </c>
      <c r="CC61" s="32">
        <f t="shared" si="42"/>
        <v>-2.0082668106624624E-4</v>
      </c>
      <c r="CD61" s="32">
        <f t="shared" si="42"/>
        <v>-2.0082668106624624E-4</v>
      </c>
      <c r="CE61" s="32">
        <f t="shared" si="42"/>
        <v>-2.0082668106624624E-4</v>
      </c>
      <c r="CF61" s="32">
        <f t="shared" si="42"/>
        <v>-2.0082668106624624E-4</v>
      </c>
      <c r="CG61" s="32">
        <f t="shared" si="42"/>
        <v>-2.0082668106624624E-4</v>
      </c>
      <c r="CH61" s="32">
        <f t="shared" si="42"/>
        <v>-2.0082668106624624E-4</v>
      </c>
      <c r="CI61" s="32">
        <f t="shared" si="42"/>
        <v>-2.0082668106624624E-4</v>
      </c>
      <c r="CJ61" s="32">
        <f t="shared" si="42"/>
        <v>-2.0082668106624624E-4</v>
      </c>
      <c r="CK61" s="32">
        <f t="shared" si="42"/>
        <v>-2.0082668106624624E-4</v>
      </c>
      <c r="CL61" s="32">
        <f t="shared" si="42"/>
        <v>-2.0082668106624624E-4</v>
      </c>
      <c r="CM61" s="32">
        <f t="shared" si="42"/>
        <v>-2.0082668106624624E-4</v>
      </c>
      <c r="CN61" s="32">
        <f t="shared" si="42"/>
        <v>-2.0082668106624624E-4</v>
      </c>
      <c r="CO61" s="32">
        <f t="shared" si="42"/>
        <v>-2.0082668106624624E-4</v>
      </c>
      <c r="CP61" s="32">
        <f t="shared" si="42"/>
        <v>-2.0082668106624624E-4</v>
      </c>
      <c r="CQ61" s="32">
        <f t="shared" si="42"/>
        <v>-2.0082668106624624E-4</v>
      </c>
      <c r="CR61" s="32">
        <f t="shared" si="42"/>
        <v>-2.0082668106624624E-4</v>
      </c>
      <c r="CS61" s="32">
        <f t="shared" si="42"/>
        <v>-2.0082668106624624E-4</v>
      </c>
      <c r="CT61" s="32">
        <f t="shared" si="42"/>
        <v>-2.0082668106624624E-4</v>
      </c>
      <c r="CU61" s="32">
        <f t="shared" si="42"/>
        <v>-2.0082668106624624E-4</v>
      </c>
      <c r="CV61" s="32">
        <f t="shared" si="42"/>
        <v>-2.0082668106624624E-4</v>
      </c>
    </row>
    <row r="62" spans="1:100" outlineLevel="2" x14ac:dyDescent="0.2">
      <c r="A62" s="33"/>
      <c r="B62" s="79"/>
      <c r="C62" s="561"/>
      <c r="D62" s="60"/>
      <c r="E62" s="32" t="s">
        <v>364</v>
      </c>
      <c r="F62" s="32"/>
      <c r="G62" s="32" t="str">
        <f xml:space="preserve"> SMU</f>
        <v>$ 000s</v>
      </c>
      <c r="H62" s="32">
        <f xml:space="preserve"> SUM(J62:CV62)</f>
        <v>-1.0442987415444804E-2</v>
      </c>
      <c r="I62" s="32"/>
      <c r="J62" s="32">
        <f t="shared" ref="J62" si="43" xml:space="preserve"> MIN(J60:J61)</f>
        <v>0</v>
      </c>
      <c r="K62" s="32">
        <f t="shared" ref="K62:BV62" si="44" xml:space="preserve"> MIN(K60:K61)</f>
        <v>0</v>
      </c>
      <c r="L62" s="32">
        <f t="shared" si="44"/>
        <v>0</v>
      </c>
      <c r="M62" s="32">
        <f t="shared" si="44"/>
        <v>0</v>
      </c>
      <c r="N62" s="32">
        <f t="shared" si="44"/>
        <v>0</v>
      </c>
      <c r="O62" s="32">
        <f t="shared" si="44"/>
        <v>0</v>
      </c>
      <c r="P62" s="32">
        <f t="shared" si="44"/>
        <v>0</v>
      </c>
      <c r="Q62" s="32">
        <f t="shared" si="44"/>
        <v>0</v>
      </c>
      <c r="R62" s="32">
        <f t="shared" si="44"/>
        <v>0</v>
      </c>
      <c r="S62" s="32">
        <f t="shared" si="44"/>
        <v>0</v>
      </c>
      <c r="T62" s="32">
        <f t="shared" si="44"/>
        <v>0</v>
      </c>
      <c r="U62" s="32">
        <f t="shared" si="44"/>
        <v>0</v>
      </c>
      <c r="V62" s="32">
        <f t="shared" si="44"/>
        <v>0</v>
      </c>
      <c r="W62" s="32">
        <f t="shared" si="44"/>
        <v>0</v>
      </c>
      <c r="X62" s="32">
        <f t="shared" si="44"/>
        <v>0</v>
      </c>
      <c r="Y62" s="32">
        <f t="shared" si="44"/>
        <v>0</v>
      </c>
      <c r="Z62" s="32">
        <f t="shared" si="44"/>
        <v>0</v>
      </c>
      <c r="AA62" s="32">
        <f t="shared" si="44"/>
        <v>0</v>
      </c>
      <c r="AB62" s="32">
        <f t="shared" si="44"/>
        <v>0</v>
      </c>
      <c r="AC62" s="32">
        <f t="shared" si="44"/>
        <v>0</v>
      </c>
      <c r="AD62" s="32">
        <f t="shared" si="44"/>
        <v>0</v>
      </c>
      <c r="AE62" s="32">
        <f t="shared" si="44"/>
        <v>0</v>
      </c>
      <c r="AF62" s="32">
        <f t="shared" si="44"/>
        <v>0</v>
      </c>
      <c r="AG62" s="32">
        <f t="shared" si="44"/>
        <v>0</v>
      </c>
      <c r="AH62" s="32">
        <f t="shared" si="44"/>
        <v>0</v>
      </c>
      <c r="AI62" s="32">
        <f t="shared" si="44"/>
        <v>0</v>
      </c>
      <c r="AJ62" s="32">
        <f t="shared" si="44"/>
        <v>0</v>
      </c>
      <c r="AK62" s="32">
        <f t="shared" si="44"/>
        <v>0</v>
      </c>
      <c r="AL62" s="32">
        <f t="shared" si="44"/>
        <v>0</v>
      </c>
      <c r="AM62" s="32">
        <f t="shared" si="44"/>
        <v>0</v>
      </c>
      <c r="AN62" s="32">
        <f t="shared" si="44"/>
        <v>0</v>
      </c>
      <c r="AO62" s="32">
        <f t="shared" si="44"/>
        <v>0</v>
      </c>
      <c r="AP62" s="32">
        <f t="shared" si="44"/>
        <v>0</v>
      </c>
      <c r="AQ62" s="32">
        <f t="shared" si="44"/>
        <v>0</v>
      </c>
      <c r="AR62" s="32">
        <f t="shared" si="44"/>
        <v>0</v>
      </c>
      <c r="AS62" s="32">
        <f t="shared" si="44"/>
        <v>0</v>
      </c>
      <c r="AT62" s="32">
        <f t="shared" si="44"/>
        <v>0</v>
      </c>
      <c r="AU62" s="32">
        <f t="shared" si="44"/>
        <v>0</v>
      </c>
      <c r="AV62" s="32">
        <f t="shared" si="44"/>
        <v>0</v>
      </c>
      <c r="AW62" s="32">
        <f t="shared" si="44"/>
        <v>-2.0082668106624624E-4</v>
      </c>
      <c r="AX62" s="32">
        <f t="shared" si="44"/>
        <v>-2.0082668106624624E-4</v>
      </c>
      <c r="AY62" s="32">
        <f t="shared" si="44"/>
        <v>-2.0082668106624624E-4</v>
      </c>
      <c r="AZ62" s="32">
        <f t="shared" si="44"/>
        <v>-2.0082668106624624E-4</v>
      </c>
      <c r="BA62" s="32">
        <f t="shared" si="44"/>
        <v>-2.0082668106624624E-4</v>
      </c>
      <c r="BB62" s="32">
        <f t="shared" si="44"/>
        <v>-2.0082668106624624E-4</v>
      </c>
      <c r="BC62" s="32">
        <f t="shared" si="44"/>
        <v>-2.0082668106624624E-4</v>
      </c>
      <c r="BD62" s="32">
        <f t="shared" si="44"/>
        <v>-2.0082668106624624E-4</v>
      </c>
      <c r="BE62" s="32">
        <f t="shared" si="44"/>
        <v>-2.0082668106624624E-4</v>
      </c>
      <c r="BF62" s="32">
        <f t="shared" si="44"/>
        <v>-2.0082668106624624E-4</v>
      </c>
      <c r="BG62" s="32">
        <f t="shared" si="44"/>
        <v>-2.0082668106624624E-4</v>
      </c>
      <c r="BH62" s="32">
        <f t="shared" si="44"/>
        <v>-2.0082668106624624E-4</v>
      </c>
      <c r="BI62" s="32">
        <f t="shared" si="44"/>
        <v>-2.0082668106624624E-4</v>
      </c>
      <c r="BJ62" s="32">
        <f t="shared" si="44"/>
        <v>-2.0082668106624624E-4</v>
      </c>
      <c r="BK62" s="32">
        <f t="shared" si="44"/>
        <v>-2.0082668106624624E-4</v>
      </c>
      <c r="BL62" s="32">
        <f t="shared" si="44"/>
        <v>-2.0082668106624624E-4</v>
      </c>
      <c r="BM62" s="32">
        <f t="shared" si="44"/>
        <v>-2.0082668106624624E-4</v>
      </c>
      <c r="BN62" s="32">
        <f t="shared" si="44"/>
        <v>-2.0082668106624624E-4</v>
      </c>
      <c r="BO62" s="32">
        <f t="shared" si="44"/>
        <v>-2.0082668106624624E-4</v>
      </c>
      <c r="BP62" s="32">
        <f t="shared" si="44"/>
        <v>-2.0082668106624624E-4</v>
      </c>
      <c r="BQ62" s="32">
        <f t="shared" si="44"/>
        <v>-2.0082668106624624E-4</v>
      </c>
      <c r="BR62" s="32">
        <f t="shared" si="44"/>
        <v>-2.0082668106624624E-4</v>
      </c>
      <c r="BS62" s="32">
        <f t="shared" si="44"/>
        <v>-2.0082668106624624E-4</v>
      </c>
      <c r="BT62" s="32">
        <f t="shared" si="44"/>
        <v>-2.0082668106624624E-4</v>
      </c>
      <c r="BU62" s="32">
        <f t="shared" si="44"/>
        <v>-2.0082668106624624E-4</v>
      </c>
      <c r="BV62" s="32">
        <f t="shared" si="44"/>
        <v>-2.0082668106624624E-4</v>
      </c>
      <c r="BW62" s="32">
        <f t="shared" ref="BW62:CV62" si="45" xml:space="preserve"> MIN(BW60:BW61)</f>
        <v>-2.0082668106624624E-4</v>
      </c>
      <c r="BX62" s="32">
        <f t="shared" si="45"/>
        <v>-2.0082668106624624E-4</v>
      </c>
      <c r="BY62" s="32">
        <f t="shared" si="45"/>
        <v>-2.0082668106624624E-4</v>
      </c>
      <c r="BZ62" s="32">
        <f t="shared" si="45"/>
        <v>-2.0082668106624624E-4</v>
      </c>
      <c r="CA62" s="32">
        <f t="shared" si="45"/>
        <v>-2.0082668106624624E-4</v>
      </c>
      <c r="CB62" s="32">
        <f t="shared" si="45"/>
        <v>-2.0082668106624624E-4</v>
      </c>
      <c r="CC62" s="32">
        <f t="shared" si="45"/>
        <v>-2.0082668106624624E-4</v>
      </c>
      <c r="CD62" s="32">
        <f t="shared" si="45"/>
        <v>-2.0082668106624624E-4</v>
      </c>
      <c r="CE62" s="32">
        <f t="shared" si="45"/>
        <v>-2.0082668106624624E-4</v>
      </c>
      <c r="CF62" s="32">
        <f t="shared" si="45"/>
        <v>-2.0082668106624624E-4</v>
      </c>
      <c r="CG62" s="32">
        <f t="shared" si="45"/>
        <v>-2.0082668106624624E-4</v>
      </c>
      <c r="CH62" s="32">
        <f t="shared" si="45"/>
        <v>-2.0082668106624624E-4</v>
      </c>
      <c r="CI62" s="32">
        <f t="shared" si="45"/>
        <v>-2.0082668106624624E-4</v>
      </c>
      <c r="CJ62" s="32">
        <f t="shared" si="45"/>
        <v>-2.0082668106624624E-4</v>
      </c>
      <c r="CK62" s="32">
        <f t="shared" si="45"/>
        <v>-2.0082668106624624E-4</v>
      </c>
      <c r="CL62" s="32">
        <f t="shared" si="45"/>
        <v>-2.0082668106624624E-4</v>
      </c>
      <c r="CM62" s="32">
        <f t="shared" si="45"/>
        <v>-2.0082668106624624E-4</v>
      </c>
      <c r="CN62" s="32">
        <f t="shared" si="45"/>
        <v>-2.0082668106624624E-4</v>
      </c>
      <c r="CO62" s="32">
        <f t="shared" si="45"/>
        <v>-2.0082668106624624E-4</v>
      </c>
      <c r="CP62" s="32">
        <f t="shared" si="45"/>
        <v>-2.0082668106624624E-4</v>
      </c>
      <c r="CQ62" s="32">
        <f t="shared" si="45"/>
        <v>-2.0082668106624624E-4</v>
      </c>
      <c r="CR62" s="32">
        <f t="shared" si="45"/>
        <v>-2.0082668106624624E-4</v>
      </c>
      <c r="CS62" s="32">
        <f t="shared" si="45"/>
        <v>-2.0082668106624624E-4</v>
      </c>
      <c r="CT62" s="32">
        <f t="shared" si="45"/>
        <v>-2.0082668106624624E-4</v>
      </c>
      <c r="CU62" s="32">
        <f t="shared" si="45"/>
        <v>-2.0082668106624624E-4</v>
      </c>
      <c r="CV62" s="32">
        <f t="shared" si="45"/>
        <v>-2.0082668106624624E-4</v>
      </c>
    </row>
    <row r="63" spans="1:100" outlineLevel="2" x14ac:dyDescent="0.2">
      <c r="A63" s="33"/>
      <c r="B63" s="79"/>
      <c r="C63" s="561"/>
      <c r="D63" s="60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</row>
    <row r="64" spans="1:100" outlineLevel="2" x14ac:dyDescent="0.2">
      <c r="A64" s="33"/>
      <c r="B64" s="79"/>
      <c r="C64" s="561"/>
      <c r="D64" s="60"/>
      <c r="E64" s="32" t="str">
        <f t="shared" ref="E64:BP64" si="46" xml:space="preserve"> E$54</f>
        <v>Cash available for DSRA</v>
      </c>
      <c r="F64" s="32">
        <f t="shared" si="46"/>
        <v>0</v>
      </c>
      <c r="G64" s="32" t="str">
        <f t="shared" si="46"/>
        <v>$ 000s</v>
      </c>
      <c r="H64" s="32">
        <f t="shared" si="46"/>
        <v>0</v>
      </c>
      <c r="I64" s="32">
        <f t="shared" si="46"/>
        <v>0</v>
      </c>
      <c r="J64" s="32">
        <f t="shared" si="46"/>
        <v>0</v>
      </c>
      <c r="K64" s="32">
        <f t="shared" si="46"/>
        <v>0</v>
      </c>
      <c r="L64" s="32">
        <f t="shared" si="46"/>
        <v>0</v>
      </c>
      <c r="M64" s="32">
        <f t="shared" si="46"/>
        <v>0</v>
      </c>
      <c r="N64" s="32">
        <f t="shared" si="46"/>
        <v>0</v>
      </c>
      <c r="O64" s="32">
        <f t="shared" si="46"/>
        <v>4958.439672321485</v>
      </c>
      <c r="P64" s="32">
        <f t="shared" si="46"/>
        <v>4376.7251537074426</v>
      </c>
      <c r="Q64" s="32">
        <f t="shared" si="46"/>
        <v>4388.4324926867976</v>
      </c>
      <c r="R64" s="32">
        <f t="shared" si="46"/>
        <v>4348.2143101887104</v>
      </c>
      <c r="S64" s="32">
        <f t="shared" si="46"/>
        <v>4359.4881147775905</v>
      </c>
      <c r="T64" s="32">
        <f t="shared" si="46"/>
        <v>4319.4355962029495</v>
      </c>
      <c r="U64" s="32">
        <f t="shared" si="46"/>
        <v>4330.2713987721636</v>
      </c>
      <c r="V64" s="32">
        <f t="shared" si="46"/>
        <v>4295.8785232044102</v>
      </c>
      <c r="W64" s="32">
        <f t="shared" si="46"/>
        <v>4294.7605171879295</v>
      </c>
      <c r="X64" s="32">
        <f t="shared" si="46"/>
        <v>4261.0523971054718</v>
      </c>
      <c r="Y64" s="32">
        <f t="shared" si="46"/>
        <v>4267.0727620605358</v>
      </c>
      <c r="Z64" s="32">
        <f t="shared" si="46"/>
        <v>4227.6360983090108</v>
      </c>
      <c r="AA64" s="32">
        <f t="shared" si="46"/>
        <v>4237.1166871376536</v>
      </c>
      <c r="AB64" s="32">
        <f t="shared" si="46"/>
        <v>4197.8587091496702</v>
      </c>
      <c r="AC64" s="32">
        <f t="shared" si="46"/>
        <v>4206.8923429508668</v>
      </c>
      <c r="AD64" s="32">
        <f t="shared" si="46"/>
        <v>4173.2269094345338</v>
      </c>
      <c r="AE64" s="32">
        <f t="shared" si="46"/>
        <v>4170.5787403339746</v>
      </c>
      <c r="AF64" s="32">
        <f t="shared" si="46"/>
        <v>4137.4958065718038</v>
      </c>
      <c r="AG64" s="32">
        <f t="shared" si="46"/>
        <v>4145.6248673030022</v>
      </c>
      <c r="AH64" s="32">
        <f t="shared" si="46"/>
        <v>4106.9177808621971</v>
      </c>
      <c r="AI64" s="32">
        <f t="shared" si="46"/>
        <v>4111.6154456944569</v>
      </c>
      <c r="AJ64" s="32">
        <f t="shared" si="46"/>
        <v>4073.2744782768605</v>
      </c>
      <c r="AK64" s="32">
        <f t="shared" si="46"/>
        <v>4080.5786522404214</v>
      </c>
      <c r="AL64" s="32">
        <f t="shared" si="46"/>
        <v>4047.7870292907392</v>
      </c>
      <c r="AM64" s="32">
        <f t="shared" si="46"/>
        <v>4043.6903728791895</v>
      </c>
      <c r="AN64" s="32">
        <f t="shared" si="46"/>
        <v>4011.35776874558</v>
      </c>
      <c r="AO64" s="32">
        <f t="shared" si="46"/>
        <v>4017.7727347037126</v>
      </c>
      <c r="AP64" s="32">
        <f t="shared" si="46"/>
        <v>3980.046016909444</v>
      </c>
      <c r="AQ64" s="32">
        <f t="shared" si="46"/>
        <v>3986.0150355588248</v>
      </c>
      <c r="AR64" s="32">
        <f t="shared" si="46"/>
        <v>3948.5003785710251</v>
      </c>
      <c r="AS64" s="32">
        <f t="shared" si="46"/>
        <v>3954.0214159963252</v>
      </c>
      <c r="AT64" s="32">
        <f t="shared" si="46"/>
        <v>3921.7116472983853</v>
      </c>
      <c r="AU64" s="32">
        <f t="shared" si="46"/>
        <v>3915.7337989721746</v>
      </c>
      <c r="AV64" s="32">
        <f t="shared" si="46"/>
        <v>3883.690800792343</v>
      </c>
      <c r="AW64" s="32">
        <f t="shared" si="46"/>
        <v>13607.771297376097</v>
      </c>
      <c r="AX64" s="32">
        <f t="shared" si="46"/>
        <v>13461.451597997637</v>
      </c>
      <c r="AY64" s="32">
        <f t="shared" si="46"/>
        <v>13457.775239101149</v>
      </c>
      <c r="AZ64" s="32">
        <f t="shared" si="46"/>
        <v>13312.139894966671</v>
      </c>
      <c r="BA64" s="32">
        <f t="shared" si="46"/>
        <v>13305.600683226843</v>
      </c>
      <c r="BB64" s="32">
        <f t="shared" si="46"/>
        <v>16445.959763457937</v>
      </c>
      <c r="BC64" s="32">
        <f t="shared" si="46"/>
        <v>0</v>
      </c>
      <c r="BD64" s="32">
        <f t="shared" si="46"/>
        <v>0</v>
      </c>
      <c r="BE64" s="32">
        <f t="shared" si="46"/>
        <v>0</v>
      </c>
      <c r="BF64" s="32">
        <f t="shared" si="46"/>
        <v>0</v>
      </c>
      <c r="BG64" s="32">
        <f t="shared" si="46"/>
        <v>0</v>
      </c>
      <c r="BH64" s="32">
        <f t="shared" si="46"/>
        <v>0</v>
      </c>
      <c r="BI64" s="32">
        <f t="shared" si="46"/>
        <v>0</v>
      </c>
      <c r="BJ64" s="32">
        <f t="shared" si="46"/>
        <v>0</v>
      </c>
      <c r="BK64" s="32">
        <f t="shared" si="46"/>
        <v>0</v>
      </c>
      <c r="BL64" s="32">
        <f t="shared" si="46"/>
        <v>0</v>
      </c>
      <c r="BM64" s="32">
        <f t="shared" si="46"/>
        <v>0</v>
      </c>
      <c r="BN64" s="32">
        <f t="shared" si="46"/>
        <v>0</v>
      </c>
      <c r="BO64" s="32">
        <f t="shared" si="46"/>
        <v>0</v>
      </c>
      <c r="BP64" s="32">
        <f t="shared" si="46"/>
        <v>0</v>
      </c>
      <c r="BQ64" s="32">
        <f t="shared" ref="BQ64:CV64" si="47" xml:space="preserve"> BQ$54</f>
        <v>0</v>
      </c>
      <c r="BR64" s="32">
        <f t="shared" si="47"/>
        <v>0</v>
      </c>
      <c r="BS64" s="32">
        <f t="shared" si="47"/>
        <v>0</v>
      </c>
      <c r="BT64" s="32">
        <f t="shared" si="47"/>
        <v>0</v>
      </c>
      <c r="BU64" s="32">
        <f t="shared" si="47"/>
        <v>0</v>
      </c>
      <c r="BV64" s="32">
        <f t="shared" si="47"/>
        <v>0</v>
      </c>
      <c r="BW64" s="32">
        <f t="shared" si="47"/>
        <v>0</v>
      </c>
      <c r="BX64" s="32">
        <f t="shared" si="47"/>
        <v>0</v>
      </c>
      <c r="BY64" s="32">
        <f t="shared" si="47"/>
        <v>0</v>
      </c>
      <c r="BZ64" s="32">
        <f t="shared" si="47"/>
        <v>0</v>
      </c>
      <c r="CA64" s="32">
        <f t="shared" si="47"/>
        <v>0</v>
      </c>
      <c r="CB64" s="32">
        <f t="shared" si="47"/>
        <v>0</v>
      </c>
      <c r="CC64" s="32">
        <f t="shared" si="47"/>
        <v>0</v>
      </c>
      <c r="CD64" s="32">
        <f t="shared" si="47"/>
        <v>0</v>
      </c>
      <c r="CE64" s="32">
        <f t="shared" si="47"/>
        <v>0</v>
      </c>
      <c r="CF64" s="32">
        <f t="shared" si="47"/>
        <v>0</v>
      </c>
      <c r="CG64" s="32">
        <f t="shared" si="47"/>
        <v>0</v>
      </c>
      <c r="CH64" s="32">
        <f t="shared" si="47"/>
        <v>0</v>
      </c>
      <c r="CI64" s="32">
        <f t="shared" si="47"/>
        <v>0</v>
      </c>
      <c r="CJ64" s="32">
        <f t="shared" si="47"/>
        <v>0</v>
      </c>
      <c r="CK64" s="32">
        <f t="shared" si="47"/>
        <v>0</v>
      </c>
      <c r="CL64" s="32">
        <f t="shared" si="47"/>
        <v>0</v>
      </c>
      <c r="CM64" s="32">
        <f t="shared" si="47"/>
        <v>0</v>
      </c>
      <c r="CN64" s="32">
        <f t="shared" si="47"/>
        <v>0</v>
      </c>
      <c r="CO64" s="32">
        <f t="shared" si="47"/>
        <v>0</v>
      </c>
      <c r="CP64" s="32">
        <f t="shared" si="47"/>
        <v>0</v>
      </c>
      <c r="CQ64" s="32">
        <f t="shared" si="47"/>
        <v>0</v>
      </c>
      <c r="CR64" s="32">
        <f t="shared" si="47"/>
        <v>0</v>
      </c>
      <c r="CS64" s="32">
        <f t="shared" si="47"/>
        <v>0</v>
      </c>
      <c r="CT64" s="32">
        <f t="shared" si="47"/>
        <v>0</v>
      </c>
      <c r="CU64" s="32">
        <f t="shared" si="47"/>
        <v>0</v>
      </c>
      <c r="CV64" s="32">
        <f t="shared" si="47"/>
        <v>0</v>
      </c>
    </row>
    <row r="65" spans="1:100" outlineLevel="2" x14ac:dyDescent="0.2">
      <c r="A65" s="33"/>
      <c r="B65" s="79"/>
      <c r="C65" s="561"/>
      <c r="D65" s="60"/>
      <c r="E65" s="32" t="str">
        <f t="shared" ref="E65:BP65" si="48" xml:space="preserve"> E$45</f>
        <v>Target deposit</v>
      </c>
      <c r="F65" s="32">
        <f t="shared" si="48"/>
        <v>0</v>
      </c>
      <c r="G65" s="32" t="str">
        <f t="shared" si="48"/>
        <v>$ 000s</v>
      </c>
      <c r="H65" s="32">
        <f t="shared" si="48"/>
        <v>0</v>
      </c>
      <c r="I65" s="32">
        <f t="shared" si="48"/>
        <v>0</v>
      </c>
      <c r="J65" s="32">
        <f t="shared" si="48"/>
        <v>0</v>
      </c>
      <c r="K65" s="32">
        <f t="shared" si="48"/>
        <v>0</v>
      </c>
      <c r="L65" s="32">
        <f t="shared" si="48"/>
        <v>0</v>
      </c>
      <c r="M65" s="32">
        <f t="shared" si="48"/>
        <v>0</v>
      </c>
      <c r="N65" s="32">
        <f t="shared" si="48"/>
        <v>0</v>
      </c>
      <c r="O65" s="32">
        <f t="shared" si="48"/>
        <v>0</v>
      </c>
      <c r="P65" s="32">
        <f t="shared" si="48"/>
        <v>0</v>
      </c>
      <c r="Q65" s="32">
        <f t="shared" si="48"/>
        <v>0</v>
      </c>
      <c r="R65" s="32">
        <f t="shared" si="48"/>
        <v>0</v>
      </c>
      <c r="S65" s="32">
        <f t="shared" si="48"/>
        <v>0</v>
      </c>
      <c r="T65" s="32">
        <f t="shared" si="48"/>
        <v>0</v>
      </c>
      <c r="U65" s="32">
        <f t="shared" si="48"/>
        <v>0</v>
      </c>
      <c r="V65" s="32">
        <f t="shared" si="48"/>
        <v>0</v>
      </c>
      <c r="W65" s="32">
        <f t="shared" si="48"/>
        <v>0</v>
      </c>
      <c r="X65" s="32">
        <f t="shared" si="48"/>
        <v>0</v>
      </c>
      <c r="Y65" s="32">
        <f t="shared" si="48"/>
        <v>0</v>
      </c>
      <c r="Z65" s="32">
        <f t="shared" si="48"/>
        <v>0</v>
      </c>
      <c r="AA65" s="32">
        <f t="shared" si="48"/>
        <v>0</v>
      </c>
      <c r="AB65" s="32">
        <f t="shared" si="48"/>
        <v>0</v>
      </c>
      <c r="AC65" s="32">
        <f t="shared" si="48"/>
        <v>0</v>
      </c>
      <c r="AD65" s="32">
        <f t="shared" si="48"/>
        <v>0</v>
      </c>
      <c r="AE65" s="32">
        <f t="shared" si="48"/>
        <v>0</v>
      </c>
      <c r="AF65" s="32">
        <f t="shared" si="48"/>
        <v>0</v>
      </c>
      <c r="AG65" s="32">
        <f t="shared" si="48"/>
        <v>0</v>
      </c>
      <c r="AH65" s="32">
        <f t="shared" si="48"/>
        <v>0</v>
      </c>
      <c r="AI65" s="32">
        <f t="shared" si="48"/>
        <v>0</v>
      </c>
      <c r="AJ65" s="32">
        <f t="shared" si="48"/>
        <v>0</v>
      </c>
      <c r="AK65" s="32">
        <f t="shared" si="48"/>
        <v>0</v>
      </c>
      <c r="AL65" s="32">
        <f t="shared" si="48"/>
        <v>0</v>
      </c>
      <c r="AM65" s="32">
        <f t="shared" si="48"/>
        <v>0</v>
      </c>
      <c r="AN65" s="32">
        <f t="shared" si="48"/>
        <v>0</v>
      </c>
      <c r="AO65" s="32">
        <f t="shared" si="48"/>
        <v>0</v>
      </c>
      <c r="AP65" s="32">
        <f t="shared" si="48"/>
        <v>0</v>
      </c>
      <c r="AQ65" s="32">
        <f t="shared" si="48"/>
        <v>0</v>
      </c>
      <c r="AR65" s="32">
        <f t="shared" si="48"/>
        <v>0</v>
      </c>
      <c r="AS65" s="32">
        <f t="shared" si="48"/>
        <v>0</v>
      </c>
      <c r="AT65" s="32">
        <f t="shared" si="48"/>
        <v>0</v>
      </c>
      <c r="AU65" s="32">
        <f t="shared" si="48"/>
        <v>0</v>
      </c>
      <c r="AV65" s="32">
        <f t="shared" si="48"/>
        <v>0</v>
      </c>
      <c r="AW65" s="32">
        <f t="shared" si="48"/>
        <v>0</v>
      </c>
      <c r="AX65" s="32">
        <f t="shared" si="48"/>
        <v>0</v>
      </c>
      <c r="AY65" s="32">
        <f t="shared" si="48"/>
        <v>0</v>
      </c>
      <c r="AZ65" s="32">
        <f t="shared" si="48"/>
        <v>0</v>
      </c>
      <c r="BA65" s="32">
        <f t="shared" si="48"/>
        <v>0</v>
      </c>
      <c r="BB65" s="32">
        <f t="shared" si="48"/>
        <v>0</v>
      </c>
      <c r="BC65" s="32">
        <f t="shared" si="48"/>
        <v>0</v>
      </c>
      <c r="BD65" s="32">
        <f t="shared" si="48"/>
        <v>0</v>
      </c>
      <c r="BE65" s="32">
        <f t="shared" si="48"/>
        <v>0</v>
      </c>
      <c r="BF65" s="32">
        <f t="shared" si="48"/>
        <v>0</v>
      </c>
      <c r="BG65" s="32">
        <f t="shared" si="48"/>
        <v>0</v>
      </c>
      <c r="BH65" s="32">
        <f t="shared" si="48"/>
        <v>0</v>
      </c>
      <c r="BI65" s="32">
        <f t="shared" si="48"/>
        <v>0</v>
      </c>
      <c r="BJ65" s="32">
        <f t="shared" si="48"/>
        <v>0</v>
      </c>
      <c r="BK65" s="32">
        <f t="shared" si="48"/>
        <v>0</v>
      </c>
      <c r="BL65" s="32">
        <f t="shared" si="48"/>
        <v>0</v>
      </c>
      <c r="BM65" s="32">
        <f t="shared" si="48"/>
        <v>0</v>
      </c>
      <c r="BN65" s="32">
        <f t="shared" si="48"/>
        <v>0</v>
      </c>
      <c r="BO65" s="32">
        <f t="shared" si="48"/>
        <v>0</v>
      </c>
      <c r="BP65" s="32">
        <f t="shared" si="48"/>
        <v>0</v>
      </c>
      <c r="BQ65" s="32">
        <f t="shared" ref="BQ65:CV65" si="49" xml:space="preserve"> BQ$45</f>
        <v>0</v>
      </c>
      <c r="BR65" s="32">
        <f t="shared" si="49"/>
        <v>0</v>
      </c>
      <c r="BS65" s="32">
        <f t="shared" si="49"/>
        <v>0</v>
      </c>
      <c r="BT65" s="32">
        <f t="shared" si="49"/>
        <v>0</v>
      </c>
      <c r="BU65" s="32">
        <f t="shared" si="49"/>
        <v>0</v>
      </c>
      <c r="BV65" s="32">
        <f t="shared" si="49"/>
        <v>0</v>
      </c>
      <c r="BW65" s="32">
        <f t="shared" si="49"/>
        <v>0</v>
      </c>
      <c r="BX65" s="32">
        <f t="shared" si="49"/>
        <v>0</v>
      </c>
      <c r="BY65" s="32">
        <f t="shared" si="49"/>
        <v>0</v>
      </c>
      <c r="BZ65" s="32">
        <f t="shared" si="49"/>
        <v>0</v>
      </c>
      <c r="CA65" s="32">
        <f t="shared" si="49"/>
        <v>0</v>
      </c>
      <c r="CB65" s="32">
        <f t="shared" si="49"/>
        <v>0</v>
      </c>
      <c r="CC65" s="32">
        <f t="shared" si="49"/>
        <v>0</v>
      </c>
      <c r="CD65" s="32">
        <f t="shared" si="49"/>
        <v>0</v>
      </c>
      <c r="CE65" s="32">
        <f t="shared" si="49"/>
        <v>0</v>
      </c>
      <c r="CF65" s="32">
        <f t="shared" si="49"/>
        <v>0</v>
      </c>
      <c r="CG65" s="32">
        <f t="shared" si="49"/>
        <v>0</v>
      </c>
      <c r="CH65" s="32">
        <f t="shared" si="49"/>
        <v>0</v>
      </c>
      <c r="CI65" s="32">
        <f t="shared" si="49"/>
        <v>0</v>
      </c>
      <c r="CJ65" s="32">
        <f t="shared" si="49"/>
        <v>0</v>
      </c>
      <c r="CK65" s="32">
        <f t="shared" si="49"/>
        <v>0</v>
      </c>
      <c r="CL65" s="32">
        <f t="shared" si="49"/>
        <v>0</v>
      </c>
      <c r="CM65" s="32">
        <f t="shared" si="49"/>
        <v>0</v>
      </c>
      <c r="CN65" s="32">
        <f t="shared" si="49"/>
        <v>0</v>
      </c>
      <c r="CO65" s="32">
        <f t="shared" si="49"/>
        <v>0</v>
      </c>
      <c r="CP65" s="32">
        <f t="shared" si="49"/>
        <v>0</v>
      </c>
      <c r="CQ65" s="32">
        <f t="shared" si="49"/>
        <v>0</v>
      </c>
      <c r="CR65" s="32">
        <f t="shared" si="49"/>
        <v>0</v>
      </c>
      <c r="CS65" s="32">
        <f t="shared" si="49"/>
        <v>0</v>
      </c>
      <c r="CT65" s="32">
        <f t="shared" si="49"/>
        <v>0</v>
      </c>
      <c r="CU65" s="32">
        <f t="shared" si="49"/>
        <v>0</v>
      </c>
      <c r="CV65" s="32">
        <f t="shared" si="49"/>
        <v>0</v>
      </c>
    </row>
    <row r="66" spans="1:100" s="191" customFormat="1" outlineLevel="2" x14ac:dyDescent="0.2">
      <c r="A66" s="405"/>
      <c r="B66" s="431"/>
      <c r="C66" s="564"/>
      <c r="D66" s="565"/>
      <c r="E66" s="191" t="s">
        <v>379</v>
      </c>
      <c r="G66" s="191" t="str">
        <f xml:space="preserve"> SMU</f>
        <v>$ 000s</v>
      </c>
      <c r="H66" s="191">
        <f xml:space="preserve"> SUM(J66:CV66)</f>
        <v>0</v>
      </c>
      <c r="J66" s="191">
        <f t="shared" ref="J66" si="50" xml:space="preserve"> MIN(J64:J65)</f>
        <v>0</v>
      </c>
      <c r="K66" s="191">
        <f t="shared" ref="K66:BV66" si="51" xml:space="preserve"> MIN(K64:K65)</f>
        <v>0</v>
      </c>
      <c r="L66" s="191">
        <f t="shared" si="51"/>
        <v>0</v>
      </c>
      <c r="M66" s="191">
        <f t="shared" si="51"/>
        <v>0</v>
      </c>
      <c r="N66" s="191">
        <f t="shared" si="51"/>
        <v>0</v>
      </c>
      <c r="O66" s="191">
        <f t="shared" si="51"/>
        <v>0</v>
      </c>
      <c r="P66" s="191">
        <f t="shared" si="51"/>
        <v>0</v>
      </c>
      <c r="Q66" s="191">
        <f t="shared" si="51"/>
        <v>0</v>
      </c>
      <c r="R66" s="191">
        <f t="shared" si="51"/>
        <v>0</v>
      </c>
      <c r="S66" s="191">
        <f t="shared" si="51"/>
        <v>0</v>
      </c>
      <c r="T66" s="191">
        <f t="shared" si="51"/>
        <v>0</v>
      </c>
      <c r="U66" s="191">
        <f t="shared" si="51"/>
        <v>0</v>
      </c>
      <c r="V66" s="191">
        <f t="shared" si="51"/>
        <v>0</v>
      </c>
      <c r="W66" s="191">
        <f t="shared" si="51"/>
        <v>0</v>
      </c>
      <c r="X66" s="191">
        <f t="shared" si="51"/>
        <v>0</v>
      </c>
      <c r="Y66" s="191">
        <f t="shared" si="51"/>
        <v>0</v>
      </c>
      <c r="Z66" s="191">
        <f t="shared" si="51"/>
        <v>0</v>
      </c>
      <c r="AA66" s="191">
        <f t="shared" si="51"/>
        <v>0</v>
      </c>
      <c r="AB66" s="191">
        <f t="shared" si="51"/>
        <v>0</v>
      </c>
      <c r="AC66" s="191">
        <f t="shared" si="51"/>
        <v>0</v>
      </c>
      <c r="AD66" s="191">
        <f t="shared" si="51"/>
        <v>0</v>
      </c>
      <c r="AE66" s="191">
        <f t="shared" si="51"/>
        <v>0</v>
      </c>
      <c r="AF66" s="191">
        <f t="shared" si="51"/>
        <v>0</v>
      </c>
      <c r="AG66" s="191">
        <f t="shared" si="51"/>
        <v>0</v>
      </c>
      <c r="AH66" s="191">
        <f t="shared" si="51"/>
        <v>0</v>
      </c>
      <c r="AI66" s="191">
        <f t="shared" si="51"/>
        <v>0</v>
      </c>
      <c r="AJ66" s="191">
        <f t="shared" si="51"/>
        <v>0</v>
      </c>
      <c r="AK66" s="191">
        <f t="shared" si="51"/>
        <v>0</v>
      </c>
      <c r="AL66" s="191">
        <f t="shared" si="51"/>
        <v>0</v>
      </c>
      <c r="AM66" s="191">
        <f t="shared" si="51"/>
        <v>0</v>
      </c>
      <c r="AN66" s="191">
        <f t="shared" si="51"/>
        <v>0</v>
      </c>
      <c r="AO66" s="191">
        <f t="shared" si="51"/>
        <v>0</v>
      </c>
      <c r="AP66" s="191">
        <f t="shared" si="51"/>
        <v>0</v>
      </c>
      <c r="AQ66" s="191">
        <f t="shared" si="51"/>
        <v>0</v>
      </c>
      <c r="AR66" s="191">
        <f t="shared" si="51"/>
        <v>0</v>
      </c>
      <c r="AS66" s="191">
        <f t="shared" si="51"/>
        <v>0</v>
      </c>
      <c r="AT66" s="191">
        <f t="shared" si="51"/>
        <v>0</v>
      </c>
      <c r="AU66" s="191">
        <f t="shared" si="51"/>
        <v>0</v>
      </c>
      <c r="AV66" s="191">
        <f t="shared" si="51"/>
        <v>0</v>
      </c>
      <c r="AW66" s="191">
        <f t="shared" si="51"/>
        <v>0</v>
      </c>
      <c r="AX66" s="191">
        <f t="shared" si="51"/>
        <v>0</v>
      </c>
      <c r="AY66" s="191">
        <f t="shared" si="51"/>
        <v>0</v>
      </c>
      <c r="AZ66" s="191">
        <f t="shared" si="51"/>
        <v>0</v>
      </c>
      <c r="BA66" s="191">
        <f t="shared" si="51"/>
        <v>0</v>
      </c>
      <c r="BB66" s="191">
        <f t="shared" si="51"/>
        <v>0</v>
      </c>
      <c r="BC66" s="191">
        <f t="shared" si="51"/>
        <v>0</v>
      </c>
      <c r="BD66" s="191">
        <f t="shared" si="51"/>
        <v>0</v>
      </c>
      <c r="BE66" s="191">
        <f t="shared" si="51"/>
        <v>0</v>
      </c>
      <c r="BF66" s="191">
        <f t="shared" si="51"/>
        <v>0</v>
      </c>
      <c r="BG66" s="191">
        <f t="shared" si="51"/>
        <v>0</v>
      </c>
      <c r="BH66" s="191">
        <f t="shared" si="51"/>
        <v>0</v>
      </c>
      <c r="BI66" s="191">
        <f t="shared" si="51"/>
        <v>0</v>
      </c>
      <c r="BJ66" s="191">
        <f t="shared" si="51"/>
        <v>0</v>
      </c>
      <c r="BK66" s="191">
        <f t="shared" si="51"/>
        <v>0</v>
      </c>
      <c r="BL66" s="191">
        <f t="shared" si="51"/>
        <v>0</v>
      </c>
      <c r="BM66" s="191">
        <f t="shared" si="51"/>
        <v>0</v>
      </c>
      <c r="BN66" s="191">
        <f t="shared" si="51"/>
        <v>0</v>
      </c>
      <c r="BO66" s="191">
        <f t="shared" si="51"/>
        <v>0</v>
      </c>
      <c r="BP66" s="191">
        <f t="shared" si="51"/>
        <v>0</v>
      </c>
      <c r="BQ66" s="191">
        <f t="shared" si="51"/>
        <v>0</v>
      </c>
      <c r="BR66" s="191">
        <f t="shared" si="51"/>
        <v>0</v>
      </c>
      <c r="BS66" s="191">
        <f t="shared" si="51"/>
        <v>0</v>
      </c>
      <c r="BT66" s="191">
        <f t="shared" si="51"/>
        <v>0</v>
      </c>
      <c r="BU66" s="191">
        <f t="shared" si="51"/>
        <v>0</v>
      </c>
      <c r="BV66" s="191">
        <f t="shared" si="51"/>
        <v>0</v>
      </c>
      <c r="BW66" s="191">
        <f t="shared" ref="BW66:CV66" si="52" xml:space="preserve"> MIN(BW64:BW65)</f>
        <v>0</v>
      </c>
      <c r="BX66" s="191">
        <f t="shared" si="52"/>
        <v>0</v>
      </c>
      <c r="BY66" s="191">
        <f t="shared" si="52"/>
        <v>0</v>
      </c>
      <c r="BZ66" s="191">
        <f t="shared" si="52"/>
        <v>0</v>
      </c>
      <c r="CA66" s="191">
        <f t="shared" si="52"/>
        <v>0</v>
      </c>
      <c r="CB66" s="191">
        <f t="shared" si="52"/>
        <v>0</v>
      </c>
      <c r="CC66" s="191">
        <f t="shared" si="52"/>
        <v>0</v>
      </c>
      <c r="CD66" s="191">
        <f t="shared" si="52"/>
        <v>0</v>
      </c>
      <c r="CE66" s="191">
        <f t="shared" si="52"/>
        <v>0</v>
      </c>
      <c r="CF66" s="191">
        <f t="shared" si="52"/>
        <v>0</v>
      </c>
      <c r="CG66" s="191">
        <f t="shared" si="52"/>
        <v>0</v>
      </c>
      <c r="CH66" s="191">
        <f t="shared" si="52"/>
        <v>0</v>
      </c>
      <c r="CI66" s="191">
        <f t="shared" si="52"/>
        <v>0</v>
      </c>
      <c r="CJ66" s="191">
        <f t="shared" si="52"/>
        <v>0</v>
      </c>
      <c r="CK66" s="191">
        <f t="shared" si="52"/>
        <v>0</v>
      </c>
      <c r="CL66" s="191">
        <f t="shared" si="52"/>
        <v>0</v>
      </c>
      <c r="CM66" s="191">
        <f t="shared" si="52"/>
        <v>0</v>
      </c>
      <c r="CN66" s="191">
        <f t="shared" si="52"/>
        <v>0</v>
      </c>
      <c r="CO66" s="191">
        <f t="shared" si="52"/>
        <v>0</v>
      </c>
      <c r="CP66" s="191">
        <f t="shared" si="52"/>
        <v>0</v>
      </c>
      <c r="CQ66" s="191">
        <f t="shared" si="52"/>
        <v>0</v>
      </c>
      <c r="CR66" s="191">
        <f t="shared" si="52"/>
        <v>0</v>
      </c>
      <c r="CS66" s="191">
        <f t="shared" si="52"/>
        <v>0</v>
      </c>
      <c r="CT66" s="191">
        <f t="shared" si="52"/>
        <v>0</v>
      </c>
      <c r="CU66" s="191">
        <f t="shared" si="52"/>
        <v>0</v>
      </c>
      <c r="CV66" s="191">
        <f t="shared" si="52"/>
        <v>0</v>
      </c>
    </row>
    <row r="67" spans="1:100" s="188" customFormat="1" outlineLevel="2" x14ac:dyDescent="0.2">
      <c r="A67" s="141"/>
      <c r="B67" s="141"/>
      <c r="C67" s="142"/>
      <c r="D67" s="81" t="s">
        <v>366</v>
      </c>
      <c r="E67" s="187" t="str">
        <f xml:space="preserve"> LEFT(E66, LEN(E66) - 4)</f>
        <v>DSRA deposit</v>
      </c>
      <c r="F67" s="187"/>
      <c r="G67" s="187" t="str">
        <f xml:space="preserve"> SMU</f>
        <v>$ 000s</v>
      </c>
      <c r="H67" s="187">
        <f xml:space="preserve"> SUM(J67:CV67)</f>
        <v>0</v>
      </c>
      <c r="I67" s="144"/>
      <c r="J67" s="187">
        <f t="shared" ref="J67" si="53" xml:space="preserve"> -1 * J66</f>
        <v>0</v>
      </c>
      <c r="K67" s="187">
        <f t="shared" ref="K67:BV67" si="54" xml:space="preserve"> -1 * K66</f>
        <v>0</v>
      </c>
      <c r="L67" s="187">
        <f t="shared" si="54"/>
        <v>0</v>
      </c>
      <c r="M67" s="187">
        <f t="shared" si="54"/>
        <v>0</v>
      </c>
      <c r="N67" s="187">
        <f t="shared" si="54"/>
        <v>0</v>
      </c>
      <c r="O67" s="187">
        <f t="shared" si="54"/>
        <v>0</v>
      </c>
      <c r="P67" s="187">
        <f t="shared" si="54"/>
        <v>0</v>
      </c>
      <c r="Q67" s="187">
        <f t="shared" si="54"/>
        <v>0</v>
      </c>
      <c r="R67" s="187">
        <f t="shared" si="54"/>
        <v>0</v>
      </c>
      <c r="S67" s="187">
        <f t="shared" si="54"/>
        <v>0</v>
      </c>
      <c r="T67" s="187">
        <f t="shared" si="54"/>
        <v>0</v>
      </c>
      <c r="U67" s="187">
        <f t="shared" si="54"/>
        <v>0</v>
      </c>
      <c r="V67" s="187">
        <f t="shared" si="54"/>
        <v>0</v>
      </c>
      <c r="W67" s="187">
        <f t="shared" si="54"/>
        <v>0</v>
      </c>
      <c r="X67" s="187">
        <f t="shared" si="54"/>
        <v>0</v>
      </c>
      <c r="Y67" s="187">
        <f t="shared" si="54"/>
        <v>0</v>
      </c>
      <c r="Z67" s="187">
        <f t="shared" si="54"/>
        <v>0</v>
      </c>
      <c r="AA67" s="187">
        <f t="shared" si="54"/>
        <v>0</v>
      </c>
      <c r="AB67" s="187">
        <f t="shared" si="54"/>
        <v>0</v>
      </c>
      <c r="AC67" s="187">
        <f t="shared" si="54"/>
        <v>0</v>
      </c>
      <c r="AD67" s="187">
        <f t="shared" si="54"/>
        <v>0</v>
      </c>
      <c r="AE67" s="187">
        <f t="shared" si="54"/>
        <v>0</v>
      </c>
      <c r="AF67" s="187">
        <f t="shared" si="54"/>
        <v>0</v>
      </c>
      <c r="AG67" s="187">
        <f t="shared" si="54"/>
        <v>0</v>
      </c>
      <c r="AH67" s="187">
        <f t="shared" si="54"/>
        <v>0</v>
      </c>
      <c r="AI67" s="187">
        <f t="shared" si="54"/>
        <v>0</v>
      </c>
      <c r="AJ67" s="187">
        <f t="shared" si="54"/>
        <v>0</v>
      </c>
      <c r="AK67" s="187">
        <f t="shared" si="54"/>
        <v>0</v>
      </c>
      <c r="AL67" s="187">
        <f t="shared" si="54"/>
        <v>0</v>
      </c>
      <c r="AM67" s="187">
        <f t="shared" si="54"/>
        <v>0</v>
      </c>
      <c r="AN67" s="187">
        <f t="shared" si="54"/>
        <v>0</v>
      </c>
      <c r="AO67" s="187">
        <f t="shared" si="54"/>
        <v>0</v>
      </c>
      <c r="AP67" s="187">
        <f t="shared" si="54"/>
        <v>0</v>
      </c>
      <c r="AQ67" s="187">
        <f t="shared" si="54"/>
        <v>0</v>
      </c>
      <c r="AR67" s="187">
        <f t="shared" si="54"/>
        <v>0</v>
      </c>
      <c r="AS67" s="187">
        <f t="shared" si="54"/>
        <v>0</v>
      </c>
      <c r="AT67" s="187">
        <f t="shared" si="54"/>
        <v>0</v>
      </c>
      <c r="AU67" s="187">
        <f t="shared" si="54"/>
        <v>0</v>
      </c>
      <c r="AV67" s="187">
        <f t="shared" si="54"/>
        <v>0</v>
      </c>
      <c r="AW67" s="187">
        <f t="shared" si="54"/>
        <v>0</v>
      </c>
      <c r="AX67" s="187">
        <f t="shared" si="54"/>
        <v>0</v>
      </c>
      <c r="AY67" s="187">
        <f t="shared" si="54"/>
        <v>0</v>
      </c>
      <c r="AZ67" s="187">
        <f t="shared" si="54"/>
        <v>0</v>
      </c>
      <c r="BA67" s="187">
        <f t="shared" si="54"/>
        <v>0</v>
      </c>
      <c r="BB67" s="187">
        <f t="shared" si="54"/>
        <v>0</v>
      </c>
      <c r="BC67" s="187">
        <f t="shared" si="54"/>
        <v>0</v>
      </c>
      <c r="BD67" s="187">
        <f t="shared" si="54"/>
        <v>0</v>
      </c>
      <c r="BE67" s="187">
        <f t="shared" si="54"/>
        <v>0</v>
      </c>
      <c r="BF67" s="187">
        <f t="shared" si="54"/>
        <v>0</v>
      </c>
      <c r="BG67" s="187">
        <f t="shared" si="54"/>
        <v>0</v>
      </c>
      <c r="BH67" s="187">
        <f t="shared" si="54"/>
        <v>0</v>
      </c>
      <c r="BI67" s="187">
        <f t="shared" si="54"/>
        <v>0</v>
      </c>
      <c r="BJ67" s="187">
        <f t="shared" si="54"/>
        <v>0</v>
      </c>
      <c r="BK67" s="187">
        <f t="shared" si="54"/>
        <v>0</v>
      </c>
      <c r="BL67" s="187">
        <f t="shared" si="54"/>
        <v>0</v>
      </c>
      <c r="BM67" s="187">
        <f t="shared" si="54"/>
        <v>0</v>
      </c>
      <c r="BN67" s="187">
        <f t="shared" si="54"/>
        <v>0</v>
      </c>
      <c r="BO67" s="187">
        <f t="shared" si="54"/>
        <v>0</v>
      </c>
      <c r="BP67" s="187">
        <f t="shared" si="54"/>
        <v>0</v>
      </c>
      <c r="BQ67" s="187">
        <f t="shared" si="54"/>
        <v>0</v>
      </c>
      <c r="BR67" s="187">
        <f t="shared" si="54"/>
        <v>0</v>
      </c>
      <c r="BS67" s="187">
        <f t="shared" si="54"/>
        <v>0</v>
      </c>
      <c r="BT67" s="187">
        <f t="shared" si="54"/>
        <v>0</v>
      </c>
      <c r="BU67" s="187">
        <f t="shared" si="54"/>
        <v>0</v>
      </c>
      <c r="BV67" s="187">
        <f t="shared" si="54"/>
        <v>0</v>
      </c>
      <c r="BW67" s="187">
        <f t="shared" ref="BW67:CV67" si="55" xml:space="preserve"> -1 * BW66</f>
        <v>0</v>
      </c>
      <c r="BX67" s="187">
        <f t="shared" si="55"/>
        <v>0</v>
      </c>
      <c r="BY67" s="187">
        <f t="shared" si="55"/>
        <v>0</v>
      </c>
      <c r="BZ67" s="187">
        <f t="shared" si="55"/>
        <v>0</v>
      </c>
      <c r="CA67" s="187">
        <f t="shared" si="55"/>
        <v>0</v>
      </c>
      <c r="CB67" s="187">
        <f t="shared" si="55"/>
        <v>0</v>
      </c>
      <c r="CC67" s="187">
        <f t="shared" si="55"/>
        <v>0</v>
      </c>
      <c r="CD67" s="187">
        <f t="shared" si="55"/>
        <v>0</v>
      </c>
      <c r="CE67" s="187">
        <f t="shared" si="55"/>
        <v>0</v>
      </c>
      <c r="CF67" s="187">
        <f t="shared" si="55"/>
        <v>0</v>
      </c>
      <c r="CG67" s="187">
        <f t="shared" si="55"/>
        <v>0</v>
      </c>
      <c r="CH67" s="187">
        <f t="shared" si="55"/>
        <v>0</v>
      </c>
      <c r="CI67" s="187">
        <f t="shared" si="55"/>
        <v>0</v>
      </c>
      <c r="CJ67" s="187">
        <f t="shared" si="55"/>
        <v>0</v>
      </c>
      <c r="CK67" s="187">
        <f t="shared" si="55"/>
        <v>0</v>
      </c>
      <c r="CL67" s="187">
        <f t="shared" si="55"/>
        <v>0</v>
      </c>
      <c r="CM67" s="187">
        <f t="shared" si="55"/>
        <v>0</v>
      </c>
      <c r="CN67" s="187">
        <f t="shared" si="55"/>
        <v>0</v>
      </c>
      <c r="CO67" s="187">
        <f t="shared" si="55"/>
        <v>0</v>
      </c>
      <c r="CP67" s="187">
        <f t="shared" si="55"/>
        <v>0</v>
      </c>
      <c r="CQ67" s="187">
        <f t="shared" si="55"/>
        <v>0</v>
      </c>
      <c r="CR67" s="187">
        <f t="shared" si="55"/>
        <v>0</v>
      </c>
      <c r="CS67" s="187">
        <f t="shared" si="55"/>
        <v>0</v>
      </c>
      <c r="CT67" s="187">
        <f t="shared" si="55"/>
        <v>0</v>
      </c>
      <c r="CU67" s="187">
        <f t="shared" si="55"/>
        <v>0</v>
      </c>
      <c r="CV67" s="187">
        <f t="shared" si="55"/>
        <v>0</v>
      </c>
    </row>
    <row r="68" spans="1:100" outlineLevel="1" x14ac:dyDescent="0.2">
      <c r="A68" s="420"/>
      <c r="B68" s="420"/>
      <c r="C68" s="421"/>
      <c r="D68" s="422"/>
      <c r="E68" s="423"/>
      <c r="F68" s="423"/>
      <c r="G68" s="423"/>
      <c r="H68" s="423"/>
      <c r="I68" s="424"/>
      <c r="J68" s="423"/>
      <c r="K68" s="423"/>
      <c r="L68" s="423"/>
      <c r="M68" s="423"/>
      <c r="N68" s="423"/>
      <c r="O68" s="423"/>
      <c r="P68" s="423"/>
      <c r="Q68" s="423"/>
      <c r="R68" s="423"/>
      <c r="S68" s="423"/>
      <c r="T68" s="423"/>
      <c r="U68" s="423"/>
      <c r="V68" s="423"/>
      <c r="W68" s="423"/>
      <c r="X68" s="423"/>
      <c r="Y68" s="423"/>
      <c r="Z68" s="423"/>
      <c r="AA68" s="423"/>
      <c r="AB68" s="423"/>
      <c r="AC68" s="423"/>
      <c r="AD68" s="423"/>
      <c r="AE68" s="423"/>
      <c r="AF68" s="423"/>
      <c r="AG68" s="423"/>
      <c r="AH68" s="423"/>
      <c r="AI68" s="423"/>
      <c r="AJ68" s="423"/>
      <c r="AK68" s="423"/>
      <c r="AL68" s="423"/>
      <c r="AM68" s="423"/>
      <c r="AN68" s="423"/>
      <c r="AO68" s="423"/>
      <c r="AP68" s="423"/>
      <c r="AQ68" s="423"/>
      <c r="AR68" s="423"/>
      <c r="AS68" s="423"/>
      <c r="AT68" s="423"/>
      <c r="AU68" s="423"/>
      <c r="AV68" s="423"/>
      <c r="AW68" s="423"/>
      <c r="AX68" s="423"/>
      <c r="AY68" s="423"/>
      <c r="AZ68" s="423"/>
      <c r="BA68" s="423"/>
      <c r="BB68" s="423"/>
      <c r="BC68" s="423"/>
      <c r="BD68" s="423"/>
      <c r="BE68" s="423"/>
      <c r="BF68" s="423"/>
      <c r="BG68" s="423"/>
      <c r="BH68" s="423"/>
      <c r="BI68" s="423"/>
      <c r="BJ68" s="423"/>
      <c r="BK68" s="423"/>
      <c r="BL68" s="423"/>
      <c r="BM68" s="423"/>
      <c r="BN68" s="423"/>
      <c r="BO68" s="423"/>
      <c r="BP68" s="423"/>
      <c r="BQ68" s="423"/>
      <c r="BR68" s="423"/>
      <c r="BS68" s="423"/>
      <c r="BT68" s="423"/>
      <c r="BU68" s="423"/>
      <c r="BV68" s="423"/>
      <c r="BW68" s="423"/>
      <c r="BX68" s="423"/>
      <c r="BY68" s="423"/>
      <c r="BZ68" s="423"/>
      <c r="CA68" s="423"/>
      <c r="CB68" s="423"/>
      <c r="CC68" s="423"/>
      <c r="CD68" s="423"/>
      <c r="CE68" s="423"/>
      <c r="CF68" s="423"/>
      <c r="CG68" s="423"/>
      <c r="CH68" s="423"/>
      <c r="CI68" s="423"/>
      <c r="CJ68" s="423"/>
      <c r="CK68" s="423"/>
      <c r="CL68" s="423"/>
      <c r="CM68" s="423"/>
      <c r="CN68" s="423"/>
      <c r="CO68" s="423"/>
      <c r="CP68" s="423"/>
      <c r="CQ68" s="423"/>
      <c r="CR68" s="423"/>
      <c r="CS68" s="423"/>
      <c r="CT68" s="423"/>
      <c r="CU68" s="423"/>
      <c r="CV68" s="423"/>
    </row>
    <row r="69" spans="1:100" outlineLevel="1" x14ac:dyDescent="0.2">
      <c r="A69" s="33"/>
      <c r="B69" s="79" t="s">
        <v>365</v>
      </c>
      <c r="C69" s="561"/>
      <c r="D69" s="60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</row>
    <row r="70" spans="1:100" outlineLevel="2" x14ac:dyDescent="0.2">
      <c r="A70" s="33"/>
      <c r="B70" s="79"/>
      <c r="C70" s="561"/>
      <c r="D70" s="60"/>
      <c r="E70" s="32" t="str">
        <f t="shared" ref="E70:BP70" si="56" xml:space="preserve"> E$40</f>
        <v>Target deposit / (release)</v>
      </c>
      <c r="F70" s="32">
        <f t="shared" si="56"/>
        <v>0</v>
      </c>
      <c r="G70" s="32" t="str">
        <f t="shared" si="56"/>
        <v>$ 000s</v>
      </c>
      <c r="H70" s="32">
        <f t="shared" si="56"/>
        <v>0</v>
      </c>
      <c r="I70" s="32">
        <f t="shared" si="56"/>
        <v>0</v>
      </c>
      <c r="J70" s="32">
        <f t="shared" si="56"/>
        <v>0</v>
      </c>
      <c r="K70" s="32">
        <f t="shared" si="56"/>
        <v>0</v>
      </c>
      <c r="L70" s="32">
        <f t="shared" si="56"/>
        <v>0</v>
      </c>
      <c r="M70" s="32">
        <f t="shared" si="56"/>
        <v>0</v>
      </c>
      <c r="N70" s="32">
        <f t="shared" si="56"/>
        <v>0</v>
      </c>
      <c r="O70" s="32">
        <f t="shared" si="56"/>
        <v>0</v>
      </c>
      <c r="P70" s="32">
        <f t="shared" si="56"/>
        <v>-42.335741100258019</v>
      </c>
      <c r="Q70" s="32">
        <f t="shared" si="56"/>
        <v>-43.092867740235306</v>
      </c>
      <c r="R70" s="32">
        <f t="shared" si="56"/>
        <v>-42.879581749586578</v>
      </c>
      <c r="S70" s="32">
        <f t="shared" si="56"/>
        <v>-43.64991997917241</v>
      </c>
      <c r="T70" s="32">
        <f t="shared" si="56"/>
        <v>-35.917089449296327</v>
      </c>
      <c r="U70" s="32">
        <f t="shared" si="56"/>
        <v>-51.736738267896726</v>
      </c>
      <c r="V70" s="32">
        <f t="shared" si="56"/>
        <v>-51.520153956027571</v>
      </c>
      <c r="W70" s="32">
        <f t="shared" si="56"/>
        <v>-37.281901461477901</v>
      </c>
      <c r="X70" s="32">
        <f t="shared" si="56"/>
        <v>-44.581523890254175</v>
      </c>
      <c r="Y70" s="32">
        <f t="shared" si="56"/>
        <v>-45.393141598593502</v>
      </c>
      <c r="Z70" s="32">
        <f t="shared" si="56"/>
        <v>-45.173102681601449</v>
      </c>
      <c r="AA70" s="32">
        <f t="shared" si="56"/>
        <v>-45.999044801290438</v>
      </c>
      <c r="AB70" s="32">
        <f t="shared" si="56"/>
        <v>-38.505552075483138</v>
      </c>
      <c r="AC70" s="32">
        <f t="shared" si="56"/>
        <v>-53.889444469637965</v>
      </c>
      <c r="AD70" s="32">
        <f t="shared" si="56"/>
        <v>-53.665789023656544</v>
      </c>
      <c r="AE70" s="32">
        <f t="shared" si="56"/>
        <v>-39.977934428390654</v>
      </c>
      <c r="AF70" s="32">
        <f t="shared" si="56"/>
        <v>-47.024073246167973</v>
      </c>
      <c r="AG70" s="32">
        <f t="shared" si="56"/>
        <v>-47.894768113961618</v>
      </c>
      <c r="AH70" s="32">
        <f t="shared" si="56"/>
        <v>-47.667326786007834</v>
      </c>
      <c r="AI70" s="32">
        <f t="shared" si="56"/>
        <v>-48.553561438860925</v>
      </c>
      <c r="AJ70" s="32">
        <f t="shared" si="56"/>
        <v>-41.312289489233081</v>
      </c>
      <c r="AK70" s="32">
        <f t="shared" si="56"/>
        <v>-56.23811380654297</v>
      </c>
      <c r="AL70" s="32">
        <f t="shared" si="56"/>
        <v>-56.006711623023875</v>
      </c>
      <c r="AM70" s="32">
        <f t="shared" si="56"/>
        <v>-42.901219348826999</v>
      </c>
      <c r="AN70" s="32">
        <f t="shared" si="56"/>
        <v>-49.679640115220536</v>
      </c>
      <c r="AO70" s="32">
        <f t="shared" si="56"/>
        <v>-50.614394328145863</v>
      </c>
      <c r="AP70" s="32">
        <f t="shared" si="56"/>
        <v>-50.378847808828141</v>
      </c>
      <c r="AQ70" s="32">
        <f t="shared" si="56"/>
        <v>-51.329703607994816</v>
      </c>
      <c r="AR70" s="32">
        <f t="shared" si="56"/>
        <v>-44.354420603738618</v>
      </c>
      <c r="AS70" s="32">
        <f t="shared" si="56"/>
        <v>-58.798141329993086</v>
      </c>
      <c r="AT70" s="32">
        <f t="shared" si="56"/>
        <v>-58.557004592519661</v>
      </c>
      <c r="AU70" s="32">
        <f t="shared" si="56"/>
        <v>-4905.990719647215</v>
      </c>
      <c r="AV70" s="32">
        <f t="shared" si="56"/>
        <v>-4860.2304082067021</v>
      </c>
      <c r="AW70" s="32">
        <f t="shared" si="56"/>
        <v>2.0082668106624624E-4</v>
      </c>
      <c r="AX70" s="32">
        <f t="shared" si="56"/>
        <v>2.0082668106624624E-4</v>
      </c>
      <c r="AY70" s="32">
        <f t="shared" si="56"/>
        <v>2.0082668106624624E-4</v>
      </c>
      <c r="AZ70" s="32">
        <f t="shared" si="56"/>
        <v>2.0082668106624624E-4</v>
      </c>
      <c r="BA70" s="32">
        <f t="shared" si="56"/>
        <v>2.0082668106624624E-4</v>
      </c>
      <c r="BB70" s="32">
        <f t="shared" si="56"/>
        <v>2.0082668106624624E-4</v>
      </c>
      <c r="BC70" s="32">
        <f t="shared" si="56"/>
        <v>2.0082668106624624E-4</v>
      </c>
      <c r="BD70" s="32">
        <f t="shared" si="56"/>
        <v>2.0082668106624624E-4</v>
      </c>
      <c r="BE70" s="32">
        <f t="shared" si="56"/>
        <v>2.0082668106624624E-4</v>
      </c>
      <c r="BF70" s="32">
        <f t="shared" si="56"/>
        <v>2.0082668106624624E-4</v>
      </c>
      <c r="BG70" s="32">
        <f t="shared" si="56"/>
        <v>2.0082668106624624E-4</v>
      </c>
      <c r="BH70" s="32">
        <f t="shared" si="56"/>
        <v>2.0082668106624624E-4</v>
      </c>
      <c r="BI70" s="32">
        <f t="shared" si="56"/>
        <v>2.0082668106624624E-4</v>
      </c>
      <c r="BJ70" s="32">
        <f t="shared" si="56"/>
        <v>2.0082668106624624E-4</v>
      </c>
      <c r="BK70" s="32">
        <f t="shared" si="56"/>
        <v>2.0082668106624624E-4</v>
      </c>
      <c r="BL70" s="32">
        <f t="shared" si="56"/>
        <v>2.0082668106624624E-4</v>
      </c>
      <c r="BM70" s="32">
        <f t="shared" si="56"/>
        <v>2.0082668106624624E-4</v>
      </c>
      <c r="BN70" s="32">
        <f t="shared" si="56"/>
        <v>2.0082668106624624E-4</v>
      </c>
      <c r="BO70" s="32">
        <f t="shared" si="56"/>
        <v>2.0082668106624624E-4</v>
      </c>
      <c r="BP70" s="32">
        <f t="shared" si="56"/>
        <v>2.0082668106624624E-4</v>
      </c>
      <c r="BQ70" s="32">
        <f t="shared" ref="BQ70:CV70" si="57" xml:space="preserve"> BQ$40</f>
        <v>2.0082668106624624E-4</v>
      </c>
      <c r="BR70" s="32">
        <f t="shared" si="57"/>
        <v>2.0082668106624624E-4</v>
      </c>
      <c r="BS70" s="32">
        <f t="shared" si="57"/>
        <v>2.0082668106624624E-4</v>
      </c>
      <c r="BT70" s="32">
        <f t="shared" si="57"/>
        <v>2.0082668106624624E-4</v>
      </c>
      <c r="BU70" s="32">
        <f t="shared" si="57"/>
        <v>2.0082668106624624E-4</v>
      </c>
      <c r="BV70" s="32">
        <f t="shared" si="57"/>
        <v>2.0082668106624624E-4</v>
      </c>
      <c r="BW70" s="32">
        <f t="shared" si="57"/>
        <v>2.0082668106624624E-4</v>
      </c>
      <c r="BX70" s="32">
        <f t="shared" si="57"/>
        <v>2.0082668106624624E-4</v>
      </c>
      <c r="BY70" s="32">
        <f t="shared" si="57"/>
        <v>2.0082668106624624E-4</v>
      </c>
      <c r="BZ70" s="32">
        <f t="shared" si="57"/>
        <v>2.0082668106624624E-4</v>
      </c>
      <c r="CA70" s="32">
        <f t="shared" si="57"/>
        <v>2.0082668106624624E-4</v>
      </c>
      <c r="CB70" s="32">
        <f t="shared" si="57"/>
        <v>2.0082668106624624E-4</v>
      </c>
      <c r="CC70" s="32">
        <f t="shared" si="57"/>
        <v>2.0082668106624624E-4</v>
      </c>
      <c r="CD70" s="32">
        <f t="shared" si="57"/>
        <v>2.0082668106624624E-4</v>
      </c>
      <c r="CE70" s="32">
        <f t="shared" si="57"/>
        <v>2.0082668106624624E-4</v>
      </c>
      <c r="CF70" s="32">
        <f t="shared" si="57"/>
        <v>2.0082668106624624E-4</v>
      </c>
      <c r="CG70" s="32">
        <f t="shared" si="57"/>
        <v>2.0082668106624624E-4</v>
      </c>
      <c r="CH70" s="32">
        <f t="shared" si="57"/>
        <v>2.0082668106624624E-4</v>
      </c>
      <c r="CI70" s="32">
        <f t="shared" si="57"/>
        <v>2.0082668106624624E-4</v>
      </c>
      <c r="CJ70" s="32">
        <f t="shared" si="57"/>
        <v>2.0082668106624624E-4</v>
      </c>
      <c r="CK70" s="32">
        <f t="shared" si="57"/>
        <v>2.0082668106624624E-4</v>
      </c>
      <c r="CL70" s="32">
        <f t="shared" si="57"/>
        <v>2.0082668106624624E-4</v>
      </c>
      <c r="CM70" s="32">
        <f t="shared" si="57"/>
        <v>2.0082668106624624E-4</v>
      </c>
      <c r="CN70" s="32">
        <f t="shared" si="57"/>
        <v>2.0082668106624624E-4</v>
      </c>
      <c r="CO70" s="32">
        <f t="shared" si="57"/>
        <v>2.0082668106624624E-4</v>
      </c>
      <c r="CP70" s="32">
        <f t="shared" si="57"/>
        <v>2.0082668106624624E-4</v>
      </c>
      <c r="CQ70" s="32">
        <f t="shared" si="57"/>
        <v>2.0082668106624624E-4</v>
      </c>
      <c r="CR70" s="32">
        <f t="shared" si="57"/>
        <v>2.0082668106624624E-4</v>
      </c>
      <c r="CS70" s="32">
        <f t="shared" si="57"/>
        <v>2.0082668106624624E-4</v>
      </c>
      <c r="CT70" s="32">
        <f t="shared" si="57"/>
        <v>2.0082668106624624E-4</v>
      </c>
      <c r="CU70" s="32">
        <f t="shared" si="57"/>
        <v>2.0082668106624624E-4</v>
      </c>
      <c r="CV70" s="32">
        <f t="shared" si="57"/>
        <v>2.0082668106624624E-4</v>
      </c>
    </row>
    <row r="71" spans="1:100" outlineLevel="2" x14ac:dyDescent="0.2">
      <c r="A71" s="33"/>
      <c r="B71" s="79"/>
      <c r="C71" s="561"/>
      <c r="D71" s="60"/>
      <c r="E71" s="32" t="s">
        <v>365</v>
      </c>
      <c r="F71" s="32"/>
      <c r="G71" s="32" t="str">
        <f xml:space="preserve"> SMU</f>
        <v>$ 000s</v>
      </c>
      <c r="H71" s="32">
        <f xml:space="preserve"> SUM(J71:CV71)</f>
        <v>11233.130870765843</v>
      </c>
      <c r="I71" s="32"/>
      <c r="J71" s="32">
        <f t="shared" ref="J71" si="58" xml:space="preserve"> -1 * MIN(J70, 0)</f>
        <v>0</v>
      </c>
      <c r="K71" s="32">
        <f t="shared" ref="K71:BV71" si="59" xml:space="preserve"> -1 * MIN(K70, 0)</f>
        <v>0</v>
      </c>
      <c r="L71" s="32">
        <f t="shared" si="59"/>
        <v>0</v>
      </c>
      <c r="M71" s="32">
        <f t="shared" si="59"/>
        <v>0</v>
      </c>
      <c r="N71" s="32">
        <f t="shared" si="59"/>
        <v>0</v>
      </c>
      <c r="O71" s="32">
        <f t="shared" si="59"/>
        <v>0</v>
      </c>
      <c r="P71" s="32">
        <f t="shared" si="59"/>
        <v>42.335741100258019</v>
      </c>
      <c r="Q71" s="32">
        <f t="shared" si="59"/>
        <v>43.092867740235306</v>
      </c>
      <c r="R71" s="32">
        <f t="shared" si="59"/>
        <v>42.879581749586578</v>
      </c>
      <c r="S71" s="32">
        <f t="shared" si="59"/>
        <v>43.64991997917241</v>
      </c>
      <c r="T71" s="32">
        <f t="shared" si="59"/>
        <v>35.917089449296327</v>
      </c>
      <c r="U71" s="32">
        <f t="shared" si="59"/>
        <v>51.736738267896726</v>
      </c>
      <c r="V71" s="32">
        <f t="shared" si="59"/>
        <v>51.520153956027571</v>
      </c>
      <c r="W71" s="32">
        <f t="shared" si="59"/>
        <v>37.281901461477901</v>
      </c>
      <c r="X71" s="32">
        <f t="shared" si="59"/>
        <v>44.581523890254175</v>
      </c>
      <c r="Y71" s="32">
        <f t="shared" si="59"/>
        <v>45.393141598593502</v>
      </c>
      <c r="Z71" s="32">
        <f t="shared" si="59"/>
        <v>45.173102681601449</v>
      </c>
      <c r="AA71" s="32">
        <f t="shared" si="59"/>
        <v>45.999044801290438</v>
      </c>
      <c r="AB71" s="32">
        <f t="shared" si="59"/>
        <v>38.505552075483138</v>
      </c>
      <c r="AC71" s="32">
        <f t="shared" si="59"/>
        <v>53.889444469637965</v>
      </c>
      <c r="AD71" s="32">
        <f t="shared" si="59"/>
        <v>53.665789023656544</v>
      </c>
      <c r="AE71" s="32">
        <f t="shared" si="59"/>
        <v>39.977934428390654</v>
      </c>
      <c r="AF71" s="32">
        <f t="shared" si="59"/>
        <v>47.024073246167973</v>
      </c>
      <c r="AG71" s="32">
        <f t="shared" si="59"/>
        <v>47.894768113961618</v>
      </c>
      <c r="AH71" s="32">
        <f t="shared" si="59"/>
        <v>47.667326786007834</v>
      </c>
      <c r="AI71" s="32">
        <f t="shared" si="59"/>
        <v>48.553561438860925</v>
      </c>
      <c r="AJ71" s="32">
        <f t="shared" si="59"/>
        <v>41.312289489233081</v>
      </c>
      <c r="AK71" s="32">
        <f t="shared" si="59"/>
        <v>56.23811380654297</v>
      </c>
      <c r="AL71" s="32">
        <f t="shared" si="59"/>
        <v>56.006711623023875</v>
      </c>
      <c r="AM71" s="32">
        <f t="shared" si="59"/>
        <v>42.901219348826999</v>
      </c>
      <c r="AN71" s="32">
        <f t="shared" si="59"/>
        <v>49.679640115220536</v>
      </c>
      <c r="AO71" s="32">
        <f t="shared" si="59"/>
        <v>50.614394328145863</v>
      </c>
      <c r="AP71" s="32">
        <f t="shared" si="59"/>
        <v>50.378847808828141</v>
      </c>
      <c r="AQ71" s="32">
        <f t="shared" si="59"/>
        <v>51.329703607994816</v>
      </c>
      <c r="AR71" s="32">
        <f t="shared" si="59"/>
        <v>44.354420603738618</v>
      </c>
      <c r="AS71" s="32">
        <f t="shared" si="59"/>
        <v>58.798141329993086</v>
      </c>
      <c r="AT71" s="32">
        <f t="shared" si="59"/>
        <v>58.557004592519661</v>
      </c>
      <c r="AU71" s="32">
        <f t="shared" si="59"/>
        <v>4905.990719647215</v>
      </c>
      <c r="AV71" s="32">
        <f t="shared" si="59"/>
        <v>4860.2304082067021</v>
      </c>
      <c r="AW71" s="32">
        <f t="shared" si="59"/>
        <v>0</v>
      </c>
      <c r="AX71" s="32">
        <f t="shared" si="59"/>
        <v>0</v>
      </c>
      <c r="AY71" s="32">
        <f t="shared" si="59"/>
        <v>0</v>
      </c>
      <c r="AZ71" s="32">
        <f t="shared" si="59"/>
        <v>0</v>
      </c>
      <c r="BA71" s="32">
        <f t="shared" si="59"/>
        <v>0</v>
      </c>
      <c r="BB71" s="32">
        <f t="shared" si="59"/>
        <v>0</v>
      </c>
      <c r="BC71" s="32">
        <f t="shared" si="59"/>
        <v>0</v>
      </c>
      <c r="BD71" s="32">
        <f t="shared" si="59"/>
        <v>0</v>
      </c>
      <c r="BE71" s="32">
        <f t="shared" si="59"/>
        <v>0</v>
      </c>
      <c r="BF71" s="32">
        <f t="shared" si="59"/>
        <v>0</v>
      </c>
      <c r="BG71" s="32">
        <f t="shared" si="59"/>
        <v>0</v>
      </c>
      <c r="BH71" s="32">
        <f t="shared" si="59"/>
        <v>0</v>
      </c>
      <c r="BI71" s="32">
        <f t="shared" si="59"/>
        <v>0</v>
      </c>
      <c r="BJ71" s="32">
        <f t="shared" si="59"/>
        <v>0</v>
      </c>
      <c r="BK71" s="32">
        <f t="shared" si="59"/>
        <v>0</v>
      </c>
      <c r="BL71" s="32">
        <f t="shared" si="59"/>
        <v>0</v>
      </c>
      <c r="BM71" s="32">
        <f t="shared" si="59"/>
        <v>0</v>
      </c>
      <c r="BN71" s="32">
        <f t="shared" si="59"/>
        <v>0</v>
      </c>
      <c r="BO71" s="32">
        <f t="shared" si="59"/>
        <v>0</v>
      </c>
      <c r="BP71" s="32">
        <f t="shared" si="59"/>
        <v>0</v>
      </c>
      <c r="BQ71" s="32">
        <f t="shared" si="59"/>
        <v>0</v>
      </c>
      <c r="BR71" s="32">
        <f t="shared" si="59"/>
        <v>0</v>
      </c>
      <c r="BS71" s="32">
        <f t="shared" si="59"/>
        <v>0</v>
      </c>
      <c r="BT71" s="32">
        <f t="shared" si="59"/>
        <v>0</v>
      </c>
      <c r="BU71" s="32">
        <f t="shared" si="59"/>
        <v>0</v>
      </c>
      <c r="BV71" s="32">
        <f t="shared" si="59"/>
        <v>0</v>
      </c>
      <c r="BW71" s="32">
        <f t="shared" ref="BW71:CV71" si="60" xml:space="preserve"> -1 * MIN(BW70, 0)</f>
        <v>0</v>
      </c>
      <c r="BX71" s="32">
        <f t="shared" si="60"/>
        <v>0</v>
      </c>
      <c r="BY71" s="32">
        <f t="shared" si="60"/>
        <v>0</v>
      </c>
      <c r="BZ71" s="32">
        <f t="shared" si="60"/>
        <v>0</v>
      </c>
      <c r="CA71" s="32">
        <f t="shared" si="60"/>
        <v>0</v>
      </c>
      <c r="CB71" s="32">
        <f t="shared" si="60"/>
        <v>0</v>
      </c>
      <c r="CC71" s="32">
        <f t="shared" si="60"/>
        <v>0</v>
      </c>
      <c r="CD71" s="32">
        <f t="shared" si="60"/>
        <v>0</v>
      </c>
      <c r="CE71" s="32">
        <f t="shared" si="60"/>
        <v>0</v>
      </c>
      <c r="CF71" s="32">
        <f t="shared" si="60"/>
        <v>0</v>
      </c>
      <c r="CG71" s="32">
        <f t="shared" si="60"/>
        <v>0</v>
      </c>
      <c r="CH71" s="32">
        <f t="shared" si="60"/>
        <v>0</v>
      </c>
      <c r="CI71" s="32">
        <f t="shared" si="60"/>
        <v>0</v>
      </c>
      <c r="CJ71" s="32">
        <f t="shared" si="60"/>
        <v>0</v>
      </c>
      <c r="CK71" s="32">
        <f t="shared" si="60"/>
        <v>0</v>
      </c>
      <c r="CL71" s="32">
        <f t="shared" si="60"/>
        <v>0</v>
      </c>
      <c r="CM71" s="32">
        <f t="shared" si="60"/>
        <v>0</v>
      </c>
      <c r="CN71" s="32">
        <f t="shared" si="60"/>
        <v>0</v>
      </c>
      <c r="CO71" s="32">
        <f t="shared" si="60"/>
        <v>0</v>
      </c>
      <c r="CP71" s="32">
        <f t="shared" si="60"/>
        <v>0</v>
      </c>
      <c r="CQ71" s="32">
        <f t="shared" si="60"/>
        <v>0</v>
      </c>
      <c r="CR71" s="32">
        <f t="shared" si="60"/>
        <v>0</v>
      </c>
      <c r="CS71" s="32">
        <f t="shared" si="60"/>
        <v>0</v>
      </c>
      <c r="CT71" s="32">
        <f t="shared" si="60"/>
        <v>0</v>
      </c>
      <c r="CU71" s="32">
        <f t="shared" si="60"/>
        <v>0</v>
      </c>
      <c r="CV71" s="32">
        <f t="shared" si="60"/>
        <v>0</v>
      </c>
    </row>
    <row r="72" spans="1:100" outlineLevel="2" x14ac:dyDescent="0.2">
      <c r="A72" s="33"/>
      <c r="B72" s="79"/>
      <c r="C72" s="561"/>
      <c r="D72" s="60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32"/>
    </row>
    <row r="73" spans="1:100" outlineLevel="2" x14ac:dyDescent="0.2">
      <c r="A73" s="33"/>
      <c r="B73" s="79"/>
      <c r="C73" s="561"/>
      <c r="D73" s="60"/>
      <c r="E73" s="32" t="str">
        <f t="shared" ref="E73:BP73" si="61" xml:space="preserve"> E$62</f>
        <v>DS shortfall withdrawal</v>
      </c>
      <c r="F73" s="32">
        <f t="shared" si="61"/>
        <v>0</v>
      </c>
      <c r="G73" s="32" t="str">
        <f t="shared" si="61"/>
        <v>$ 000s</v>
      </c>
      <c r="H73" s="32">
        <f t="shared" si="61"/>
        <v>-1.0442987415444804E-2</v>
      </c>
      <c r="I73" s="32">
        <f t="shared" si="61"/>
        <v>0</v>
      </c>
      <c r="J73" s="32">
        <f t="shared" si="61"/>
        <v>0</v>
      </c>
      <c r="K73" s="32">
        <f t="shared" si="61"/>
        <v>0</v>
      </c>
      <c r="L73" s="32">
        <f t="shared" si="61"/>
        <v>0</v>
      </c>
      <c r="M73" s="32">
        <f t="shared" si="61"/>
        <v>0</v>
      </c>
      <c r="N73" s="32">
        <f t="shared" si="61"/>
        <v>0</v>
      </c>
      <c r="O73" s="32">
        <f t="shared" si="61"/>
        <v>0</v>
      </c>
      <c r="P73" s="32">
        <f t="shared" si="61"/>
        <v>0</v>
      </c>
      <c r="Q73" s="32">
        <f t="shared" si="61"/>
        <v>0</v>
      </c>
      <c r="R73" s="32">
        <f t="shared" si="61"/>
        <v>0</v>
      </c>
      <c r="S73" s="32">
        <f t="shared" si="61"/>
        <v>0</v>
      </c>
      <c r="T73" s="32">
        <f t="shared" si="61"/>
        <v>0</v>
      </c>
      <c r="U73" s="32">
        <f t="shared" si="61"/>
        <v>0</v>
      </c>
      <c r="V73" s="32">
        <f t="shared" si="61"/>
        <v>0</v>
      </c>
      <c r="W73" s="32">
        <f t="shared" si="61"/>
        <v>0</v>
      </c>
      <c r="X73" s="32">
        <f t="shared" si="61"/>
        <v>0</v>
      </c>
      <c r="Y73" s="32">
        <f t="shared" si="61"/>
        <v>0</v>
      </c>
      <c r="Z73" s="32">
        <f t="shared" si="61"/>
        <v>0</v>
      </c>
      <c r="AA73" s="32">
        <f t="shared" si="61"/>
        <v>0</v>
      </c>
      <c r="AB73" s="32">
        <f t="shared" si="61"/>
        <v>0</v>
      </c>
      <c r="AC73" s="32">
        <f t="shared" si="61"/>
        <v>0</v>
      </c>
      <c r="AD73" s="32">
        <f t="shared" si="61"/>
        <v>0</v>
      </c>
      <c r="AE73" s="32">
        <f t="shared" si="61"/>
        <v>0</v>
      </c>
      <c r="AF73" s="32">
        <f t="shared" si="61"/>
        <v>0</v>
      </c>
      <c r="AG73" s="32">
        <f t="shared" si="61"/>
        <v>0</v>
      </c>
      <c r="AH73" s="32">
        <f t="shared" si="61"/>
        <v>0</v>
      </c>
      <c r="AI73" s="32">
        <f t="shared" si="61"/>
        <v>0</v>
      </c>
      <c r="AJ73" s="32">
        <f t="shared" si="61"/>
        <v>0</v>
      </c>
      <c r="AK73" s="32">
        <f t="shared" si="61"/>
        <v>0</v>
      </c>
      <c r="AL73" s="32">
        <f t="shared" si="61"/>
        <v>0</v>
      </c>
      <c r="AM73" s="32">
        <f t="shared" si="61"/>
        <v>0</v>
      </c>
      <c r="AN73" s="32">
        <f t="shared" si="61"/>
        <v>0</v>
      </c>
      <c r="AO73" s="32">
        <f t="shared" si="61"/>
        <v>0</v>
      </c>
      <c r="AP73" s="32">
        <f t="shared" si="61"/>
        <v>0</v>
      </c>
      <c r="AQ73" s="32">
        <f t="shared" si="61"/>
        <v>0</v>
      </c>
      <c r="AR73" s="32">
        <f t="shared" si="61"/>
        <v>0</v>
      </c>
      <c r="AS73" s="32">
        <f t="shared" si="61"/>
        <v>0</v>
      </c>
      <c r="AT73" s="32">
        <f t="shared" si="61"/>
        <v>0</v>
      </c>
      <c r="AU73" s="32">
        <f t="shared" si="61"/>
        <v>0</v>
      </c>
      <c r="AV73" s="32">
        <f t="shared" si="61"/>
        <v>0</v>
      </c>
      <c r="AW73" s="32">
        <f t="shared" si="61"/>
        <v>-2.0082668106624624E-4</v>
      </c>
      <c r="AX73" s="32">
        <f t="shared" si="61"/>
        <v>-2.0082668106624624E-4</v>
      </c>
      <c r="AY73" s="32">
        <f t="shared" si="61"/>
        <v>-2.0082668106624624E-4</v>
      </c>
      <c r="AZ73" s="32">
        <f t="shared" si="61"/>
        <v>-2.0082668106624624E-4</v>
      </c>
      <c r="BA73" s="32">
        <f t="shared" si="61"/>
        <v>-2.0082668106624624E-4</v>
      </c>
      <c r="BB73" s="32">
        <f t="shared" si="61"/>
        <v>-2.0082668106624624E-4</v>
      </c>
      <c r="BC73" s="32">
        <f t="shared" si="61"/>
        <v>-2.0082668106624624E-4</v>
      </c>
      <c r="BD73" s="32">
        <f t="shared" si="61"/>
        <v>-2.0082668106624624E-4</v>
      </c>
      <c r="BE73" s="32">
        <f t="shared" si="61"/>
        <v>-2.0082668106624624E-4</v>
      </c>
      <c r="BF73" s="32">
        <f t="shared" si="61"/>
        <v>-2.0082668106624624E-4</v>
      </c>
      <c r="BG73" s="32">
        <f t="shared" si="61"/>
        <v>-2.0082668106624624E-4</v>
      </c>
      <c r="BH73" s="32">
        <f t="shared" si="61"/>
        <v>-2.0082668106624624E-4</v>
      </c>
      <c r="BI73" s="32">
        <f t="shared" si="61"/>
        <v>-2.0082668106624624E-4</v>
      </c>
      <c r="BJ73" s="32">
        <f t="shared" si="61"/>
        <v>-2.0082668106624624E-4</v>
      </c>
      <c r="BK73" s="32">
        <f t="shared" si="61"/>
        <v>-2.0082668106624624E-4</v>
      </c>
      <c r="BL73" s="32">
        <f t="shared" si="61"/>
        <v>-2.0082668106624624E-4</v>
      </c>
      <c r="BM73" s="32">
        <f t="shared" si="61"/>
        <v>-2.0082668106624624E-4</v>
      </c>
      <c r="BN73" s="32">
        <f t="shared" si="61"/>
        <v>-2.0082668106624624E-4</v>
      </c>
      <c r="BO73" s="32">
        <f t="shared" si="61"/>
        <v>-2.0082668106624624E-4</v>
      </c>
      <c r="BP73" s="32">
        <f t="shared" si="61"/>
        <v>-2.0082668106624624E-4</v>
      </c>
      <c r="BQ73" s="32">
        <f t="shared" ref="BQ73:CV73" si="62" xml:space="preserve"> BQ$62</f>
        <v>-2.0082668106624624E-4</v>
      </c>
      <c r="BR73" s="32">
        <f t="shared" si="62"/>
        <v>-2.0082668106624624E-4</v>
      </c>
      <c r="BS73" s="32">
        <f t="shared" si="62"/>
        <v>-2.0082668106624624E-4</v>
      </c>
      <c r="BT73" s="32">
        <f t="shared" si="62"/>
        <v>-2.0082668106624624E-4</v>
      </c>
      <c r="BU73" s="32">
        <f t="shared" si="62"/>
        <v>-2.0082668106624624E-4</v>
      </c>
      <c r="BV73" s="32">
        <f t="shared" si="62"/>
        <v>-2.0082668106624624E-4</v>
      </c>
      <c r="BW73" s="32">
        <f t="shared" si="62"/>
        <v>-2.0082668106624624E-4</v>
      </c>
      <c r="BX73" s="32">
        <f t="shared" si="62"/>
        <v>-2.0082668106624624E-4</v>
      </c>
      <c r="BY73" s="32">
        <f t="shared" si="62"/>
        <v>-2.0082668106624624E-4</v>
      </c>
      <c r="BZ73" s="32">
        <f t="shared" si="62"/>
        <v>-2.0082668106624624E-4</v>
      </c>
      <c r="CA73" s="32">
        <f t="shared" si="62"/>
        <v>-2.0082668106624624E-4</v>
      </c>
      <c r="CB73" s="32">
        <f t="shared" si="62"/>
        <v>-2.0082668106624624E-4</v>
      </c>
      <c r="CC73" s="32">
        <f t="shared" si="62"/>
        <v>-2.0082668106624624E-4</v>
      </c>
      <c r="CD73" s="32">
        <f t="shared" si="62"/>
        <v>-2.0082668106624624E-4</v>
      </c>
      <c r="CE73" s="32">
        <f t="shared" si="62"/>
        <v>-2.0082668106624624E-4</v>
      </c>
      <c r="CF73" s="32">
        <f t="shared" si="62"/>
        <v>-2.0082668106624624E-4</v>
      </c>
      <c r="CG73" s="32">
        <f t="shared" si="62"/>
        <v>-2.0082668106624624E-4</v>
      </c>
      <c r="CH73" s="32">
        <f t="shared" si="62"/>
        <v>-2.0082668106624624E-4</v>
      </c>
      <c r="CI73" s="32">
        <f t="shared" si="62"/>
        <v>-2.0082668106624624E-4</v>
      </c>
      <c r="CJ73" s="32">
        <f t="shared" si="62"/>
        <v>-2.0082668106624624E-4</v>
      </c>
      <c r="CK73" s="32">
        <f t="shared" si="62"/>
        <v>-2.0082668106624624E-4</v>
      </c>
      <c r="CL73" s="32">
        <f t="shared" si="62"/>
        <v>-2.0082668106624624E-4</v>
      </c>
      <c r="CM73" s="32">
        <f t="shared" si="62"/>
        <v>-2.0082668106624624E-4</v>
      </c>
      <c r="CN73" s="32">
        <f t="shared" si="62"/>
        <v>-2.0082668106624624E-4</v>
      </c>
      <c r="CO73" s="32">
        <f t="shared" si="62"/>
        <v>-2.0082668106624624E-4</v>
      </c>
      <c r="CP73" s="32">
        <f t="shared" si="62"/>
        <v>-2.0082668106624624E-4</v>
      </c>
      <c r="CQ73" s="32">
        <f t="shared" si="62"/>
        <v>-2.0082668106624624E-4</v>
      </c>
      <c r="CR73" s="32">
        <f t="shared" si="62"/>
        <v>-2.0082668106624624E-4</v>
      </c>
      <c r="CS73" s="32">
        <f t="shared" si="62"/>
        <v>-2.0082668106624624E-4</v>
      </c>
      <c r="CT73" s="32">
        <f t="shared" si="62"/>
        <v>-2.0082668106624624E-4</v>
      </c>
      <c r="CU73" s="32">
        <f t="shared" si="62"/>
        <v>-2.0082668106624624E-4</v>
      </c>
      <c r="CV73" s="32">
        <f t="shared" si="62"/>
        <v>-2.0082668106624624E-4</v>
      </c>
    </row>
    <row r="74" spans="1:100" outlineLevel="2" x14ac:dyDescent="0.2">
      <c r="A74" s="33"/>
      <c r="B74" s="79"/>
      <c r="C74" s="561"/>
      <c r="D74" s="60"/>
      <c r="E74" s="32" t="str">
        <f t="shared" ref="E74:BP74" si="63" xml:space="preserve"> E$71</f>
        <v>DSRA release</v>
      </c>
      <c r="F74" s="32">
        <f t="shared" si="63"/>
        <v>0</v>
      </c>
      <c r="G74" s="32" t="str">
        <f t="shared" si="63"/>
        <v>$ 000s</v>
      </c>
      <c r="H74" s="32">
        <f t="shared" si="63"/>
        <v>11233.130870765843</v>
      </c>
      <c r="I74" s="32">
        <f t="shared" si="63"/>
        <v>0</v>
      </c>
      <c r="J74" s="32">
        <f t="shared" si="63"/>
        <v>0</v>
      </c>
      <c r="K74" s="32">
        <f t="shared" si="63"/>
        <v>0</v>
      </c>
      <c r="L74" s="32">
        <f t="shared" si="63"/>
        <v>0</v>
      </c>
      <c r="M74" s="32">
        <f t="shared" si="63"/>
        <v>0</v>
      </c>
      <c r="N74" s="32">
        <f t="shared" si="63"/>
        <v>0</v>
      </c>
      <c r="O74" s="32">
        <f t="shared" si="63"/>
        <v>0</v>
      </c>
      <c r="P74" s="32">
        <f t="shared" si="63"/>
        <v>42.335741100258019</v>
      </c>
      <c r="Q74" s="32">
        <f t="shared" si="63"/>
        <v>43.092867740235306</v>
      </c>
      <c r="R74" s="32">
        <f t="shared" si="63"/>
        <v>42.879581749586578</v>
      </c>
      <c r="S74" s="32">
        <f t="shared" si="63"/>
        <v>43.64991997917241</v>
      </c>
      <c r="T74" s="32">
        <f t="shared" si="63"/>
        <v>35.917089449296327</v>
      </c>
      <c r="U74" s="32">
        <f t="shared" si="63"/>
        <v>51.736738267896726</v>
      </c>
      <c r="V74" s="32">
        <f t="shared" si="63"/>
        <v>51.520153956027571</v>
      </c>
      <c r="W74" s="32">
        <f t="shared" si="63"/>
        <v>37.281901461477901</v>
      </c>
      <c r="X74" s="32">
        <f t="shared" si="63"/>
        <v>44.581523890254175</v>
      </c>
      <c r="Y74" s="32">
        <f t="shared" si="63"/>
        <v>45.393141598593502</v>
      </c>
      <c r="Z74" s="32">
        <f t="shared" si="63"/>
        <v>45.173102681601449</v>
      </c>
      <c r="AA74" s="32">
        <f t="shared" si="63"/>
        <v>45.999044801290438</v>
      </c>
      <c r="AB74" s="32">
        <f t="shared" si="63"/>
        <v>38.505552075483138</v>
      </c>
      <c r="AC74" s="32">
        <f t="shared" si="63"/>
        <v>53.889444469637965</v>
      </c>
      <c r="AD74" s="32">
        <f t="shared" si="63"/>
        <v>53.665789023656544</v>
      </c>
      <c r="AE74" s="32">
        <f t="shared" si="63"/>
        <v>39.977934428390654</v>
      </c>
      <c r="AF74" s="32">
        <f t="shared" si="63"/>
        <v>47.024073246167973</v>
      </c>
      <c r="AG74" s="32">
        <f t="shared" si="63"/>
        <v>47.894768113961618</v>
      </c>
      <c r="AH74" s="32">
        <f t="shared" si="63"/>
        <v>47.667326786007834</v>
      </c>
      <c r="AI74" s="32">
        <f t="shared" si="63"/>
        <v>48.553561438860925</v>
      </c>
      <c r="AJ74" s="32">
        <f t="shared" si="63"/>
        <v>41.312289489233081</v>
      </c>
      <c r="AK74" s="32">
        <f t="shared" si="63"/>
        <v>56.23811380654297</v>
      </c>
      <c r="AL74" s="32">
        <f t="shared" si="63"/>
        <v>56.006711623023875</v>
      </c>
      <c r="AM74" s="32">
        <f t="shared" si="63"/>
        <v>42.901219348826999</v>
      </c>
      <c r="AN74" s="32">
        <f t="shared" si="63"/>
        <v>49.679640115220536</v>
      </c>
      <c r="AO74" s="32">
        <f t="shared" si="63"/>
        <v>50.614394328145863</v>
      </c>
      <c r="AP74" s="32">
        <f t="shared" si="63"/>
        <v>50.378847808828141</v>
      </c>
      <c r="AQ74" s="32">
        <f t="shared" si="63"/>
        <v>51.329703607994816</v>
      </c>
      <c r="AR74" s="32">
        <f t="shared" si="63"/>
        <v>44.354420603738618</v>
      </c>
      <c r="AS74" s="32">
        <f t="shared" si="63"/>
        <v>58.798141329993086</v>
      </c>
      <c r="AT74" s="32">
        <f t="shared" si="63"/>
        <v>58.557004592519661</v>
      </c>
      <c r="AU74" s="32">
        <f t="shared" si="63"/>
        <v>4905.990719647215</v>
      </c>
      <c r="AV74" s="32">
        <f t="shared" si="63"/>
        <v>4860.2304082067021</v>
      </c>
      <c r="AW74" s="32">
        <f t="shared" si="63"/>
        <v>0</v>
      </c>
      <c r="AX74" s="32">
        <f t="shared" si="63"/>
        <v>0</v>
      </c>
      <c r="AY74" s="32">
        <f t="shared" si="63"/>
        <v>0</v>
      </c>
      <c r="AZ74" s="32">
        <f t="shared" si="63"/>
        <v>0</v>
      </c>
      <c r="BA74" s="32">
        <f t="shared" si="63"/>
        <v>0</v>
      </c>
      <c r="BB74" s="32">
        <f t="shared" si="63"/>
        <v>0</v>
      </c>
      <c r="BC74" s="32">
        <f t="shared" si="63"/>
        <v>0</v>
      </c>
      <c r="BD74" s="32">
        <f t="shared" si="63"/>
        <v>0</v>
      </c>
      <c r="BE74" s="32">
        <f t="shared" si="63"/>
        <v>0</v>
      </c>
      <c r="BF74" s="32">
        <f t="shared" si="63"/>
        <v>0</v>
      </c>
      <c r="BG74" s="32">
        <f t="shared" si="63"/>
        <v>0</v>
      </c>
      <c r="BH74" s="32">
        <f t="shared" si="63"/>
        <v>0</v>
      </c>
      <c r="BI74" s="32">
        <f t="shared" si="63"/>
        <v>0</v>
      </c>
      <c r="BJ74" s="32">
        <f t="shared" si="63"/>
        <v>0</v>
      </c>
      <c r="BK74" s="32">
        <f t="shared" si="63"/>
        <v>0</v>
      </c>
      <c r="BL74" s="32">
        <f t="shared" si="63"/>
        <v>0</v>
      </c>
      <c r="BM74" s="32">
        <f t="shared" si="63"/>
        <v>0</v>
      </c>
      <c r="BN74" s="32">
        <f t="shared" si="63"/>
        <v>0</v>
      </c>
      <c r="BO74" s="32">
        <f t="shared" si="63"/>
        <v>0</v>
      </c>
      <c r="BP74" s="32">
        <f t="shared" si="63"/>
        <v>0</v>
      </c>
      <c r="BQ74" s="32">
        <f t="shared" ref="BQ74:CV74" si="64" xml:space="preserve"> BQ$71</f>
        <v>0</v>
      </c>
      <c r="BR74" s="32">
        <f t="shared" si="64"/>
        <v>0</v>
      </c>
      <c r="BS74" s="32">
        <f t="shared" si="64"/>
        <v>0</v>
      </c>
      <c r="BT74" s="32">
        <f t="shared" si="64"/>
        <v>0</v>
      </c>
      <c r="BU74" s="32">
        <f t="shared" si="64"/>
        <v>0</v>
      </c>
      <c r="BV74" s="32">
        <f t="shared" si="64"/>
        <v>0</v>
      </c>
      <c r="BW74" s="32">
        <f t="shared" si="64"/>
        <v>0</v>
      </c>
      <c r="BX74" s="32">
        <f t="shared" si="64"/>
        <v>0</v>
      </c>
      <c r="BY74" s="32">
        <f t="shared" si="64"/>
        <v>0</v>
      </c>
      <c r="BZ74" s="32">
        <f t="shared" si="64"/>
        <v>0</v>
      </c>
      <c r="CA74" s="32">
        <f t="shared" si="64"/>
        <v>0</v>
      </c>
      <c r="CB74" s="32">
        <f t="shared" si="64"/>
        <v>0</v>
      </c>
      <c r="CC74" s="32">
        <f t="shared" si="64"/>
        <v>0</v>
      </c>
      <c r="CD74" s="32">
        <f t="shared" si="64"/>
        <v>0</v>
      </c>
      <c r="CE74" s="32">
        <f t="shared" si="64"/>
        <v>0</v>
      </c>
      <c r="CF74" s="32">
        <f t="shared" si="64"/>
        <v>0</v>
      </c>
      <c r="CG74" s="32">
        <f t="shared" si="64"/>
        <v>0</v>
      </c>
      <c r="CH74" s="32">
        <f t="shared" si="64"/>
        <v>0</v>
      </c>
      <c r="CI74" s="32">
        <f t="shared" si="64"/>
        <v>0</v>
      </c>
      <c r="CJ74" s="32">
        <f t="shared" si="64"/>
        <v>0</v>
      </c>
      <c r="CK74" s="32">
        <f t="shared" si="64"/>
        <v>0</v>
      </c>
      <c r="CL74" s="32">
        <f t="shared" si="64"/>
        <v>0</v>
      </c>
      <c r="CM74" s="32">
        <f t="shared" si="64"/>
        <v>0</v>
      </c>
      <c r="CN74" s="32">
        <f t="shared" si="64"/>
        <v>0</v>
      </c>
      <c r="CO74" s="32">
        <f t="shared" si="64"/>
        <v>0</v>
      </c>
      <c r="CP74" s="32">
        <f t="shared" si="64"/>
        <v>0</v>
      </c>
      <c r="CQ74" s="32">
        <f t="shared" si="64"/>
        <v>0</v>
      </c>
      <c r="CR74" s="32">
        <f t="shared" si="64"/>
        <v>0</v>
      </c>
      <c r="CS74" s="32">
        <f t="shared" si="64"/>
        <v>0</v>
      </c>
      <c r="CT74" s="32">
        <f t="shared" si="64"/>
        <v>0</v>
      </c>
      <c r="CU74" s="32">
        <f t="shared" si="64"/>
        <v>0</v>
      </c>
      <c r="CV74" s="32">
        <f t="shared" si="64"/>
        <v>0</v>
      </c>
    </row>
    <row r="75" spans="1:100" s="188" customFormat="1" outlineLevel="2" x14ac:dyDescent="0.2">
      <c r="A75" s="655"/>
      <c r="B75" s="397"/>
      <c r="C75" s="566"/>
      <c r="D75" s="484" t="s">
        <v>366</v>
      </c>
      <c r="E75" s="188" t="s">
        <v>367</v>
      </c>
      <c r="G75" s="188" t="str">
        <f xml:space="preserve"> SMU</f>
        <v>$ 000s</v>
      </c>
      <c r="H75" s="188">
        <f xml:space="preserve"> SUM(J75:CV75)</f>
        <v>11233.130870765843</v>
      </c>
      <c r="J75" s="188">
        <f xml:space="preserve"> MAX(J73:J74)</f>
        <v>0</v>
      </c>
      <c r="K75" s="188">
        <f t="shared" ref="K75:BV75" si="65" xml:space="preserve"> MAX(K73:K74)</f>
        <v>0</v>
      </c>
      <c r="L75" s="188">
        <f t="shared" si="65"/>
        <v>0</v>
      </c>
      <c r="M75" s="188">
        <f t="shared" si="65"/>
        <v>0</v>
      </c>
      <c r="N75" s="188">
        <f t="shared" si="65"/>
        <v>0</v>
      </c>
      <c r="O75" s="188">
        <f t="shared" si="65"/>
        <v>0</v>
      </c>
      <c r="P75" s="188">
        <f t="shared" si="65"/>
        <v>42.335741100258019</v>
      </c>
      <c r="Q75" s="188">
        <f t="shared" si="65"/>
        <v>43.092867740235306</v>
      </c>
      <c r="R75" s="188">
        <f t="shared" si="65"/>
        <v>42.879581749586578</v>
      </c>
      <c r="S75" s="188">
        <f t="shared" si="65"/>
        <v>43.64991997917241</v>
      </c>
      <c r="T75" s="188">
        <f t="shared" si="65"/>
        <v>35.917089449296327</v>
      </c>
      <c r="U75" s="188">
        <f t="shared" si="65"/>
        <v>51.736738267896726</v>
      </c>
      <c r="V75" s="188">
        <f t="shared" si="65"/>
        <v>51.520153956027571</v>
      </c>
      <c r="W75" s="188">
        <f t="shared" si="65"/>
        <v>37.281901461477901</v>
      </c>
      <c r="X75" s="188">
        <f t="shared" si="65"/>
        <v>44.581523890254175</v>
      </c>
      <c r="Y75" s="188">
        <f t="shared" si="65"/>
        <v>45.393141598593502</v>
      </c>
      <c r="Z75" s="188">
        <f t="shared" si="65"/>
        <v>45.173102681601449</v>
      </c>
      <c r="AA75" s="188">
        <f t="shared" si="65"/>
        <v>45.999044801290438</v>
      </c>
      <c r="AB75" s="188">
        <f t="shared" si="65"/>
        <v>38.505552075483138</v>
      </c>
      <c r="AC75" s="188">
        <f t="shared" si="65"/>
        <v>53.889444469637965</v>
      </c>
      <c r="AD75" s="188">
        <f t="shared" si="65"/>
        <v>53.665789023656544</v>
      </c>
      <c r="AE75" s="188">
        <f t="shared" si="65"/>
        <v>39.977934428390654</v>
      </c>
      <c r="AF75" s="188">
        <f t="shared" si="65"/>
        <v>47.024073246167973</v>
      </c>
      <c r="AG75" s="188">
        <f t="shared" si="65"/>
        <v>47.894768113961618</v>
      </c>
      <c r="AH75" s="188">
        <f t="shared" si="65"/>
        <v>47.667326786007834</v>
      </c>
      <c r="AI75" s="188">
        <f t="shared" si="65"/>
        <v>48.553561438860925</v>
      </c>
      <c r="AJ75" s="188">
        <f t="shared" si="65"/>
        <v>41.312289489233081</v>
      </c>
      <c r="AK75" s="188">
        <f t="shared" si="65"/>
        <v>56.23811380654297</v>
      </c>
      <c r="AL75" s="188">
        <f t="shared" si="65"/>
        <v>56.006711623023875</v>
      </c>
      <c r="AM75" s="188">
        <f t="shared" si="65"/>
        <v>42.901219348826999</v>
      </c>
      <c r="AN75" s="188">
        <f t="shared" si="65"/>
        <v>49.679640115220536</v>
      </c>
      <c r="AO75" s="188">
        <f t="shared" si="65"/>
        <v>50.614394328145863</v>
      </c>
      <c r="AP75" s="188">
        <f t="shared" si="65"/>
        <v>50.378847808828141</v>
      </c>
      <c r="AQ75" s="188">
        <f t="shared" si="65"/>
        <v>51.329703607994816</v>
      </c>
      <c r="AR75" s="188">
        <f t="shared" si="65"/>
        <v>44.354420603738618</v>
      </c>
      <c r="AS75" s="188">
        <f t="shared" si="65"/>
        <v>58.798141329993086</v>
      </c>
      <c r="AT75" s="188">
        <f t="shared" si="65"/>
        <v>58.557004592519661</v>
      </c>
      <c r="AU75" s="188">
        <f t="shared" si="65"/>
        <v>4905.990719647215</v>
      </c>
      <c r="AV75" s="188">
        <f t="shared" si="65"/>
        <v>4860.2304082067021</v>
      </c>
      <c r="AW75" s="188">
        <f t="shared" si="65"/>
        <v>0</v>
      </c>
      <c r="AX75" s="188">
        <f t="shared" si="65"/>
        <v>0</v>
      </c>
      <c r="AY75" s="188">
        <f t="shared" si="65"/>
        <v>0</v>
      </c>
      <c r="AZ75" s="188">
        <f t="shared" si="65"/>
        <v>0</v>
      </c>
      <c r="BA75" s="188">
        <f t="shared" si="65"/>
        <v>0</v>
      </c>
      <c r="BB75" s="188">
        <f t="shared" si="65"/>
        <v>0</v>
      </c>
      <c r="BC75" s="188">
        <f t="shared" si="65"/>
        <v>0</v>
      </c>
      <c r="BD75" s="188">
        <f t="shared" si="65"/>
        <v>0</v>
      </c>
      <c r="BE75" s="188">
        <f t="shared" si="65"/>
        <v>0</v>
      </c>
      <c r="BF75" s="188">
        <f t="shared" si="65"/>
        <v>0</v>
      </c>
      <c r="BG75" s="188">
        <f t="shared" si="65"/>
        <v>0</v>
      </c>
      <c r="BH75" s="188">
        <f t="shared" si="65"/>
        <v>0</v>
      </c>
      <c r="BI75" s="188">
        <f t="shared" si="65"/>
        <v>0</v>
      </c>
      <c r="BJ75" s="188">
        <f t="shared" si="65"/>
        <v>0</v>
      </c>
      <c r="BK75" s="188">
        <f t="shared" si="65"/>
        <v>0</v>
      </c>
      <c r="BL75" s="188">
        <f t="shared" si="65"/>
        <v>0</v>
      </c>
      <c r="BM75" s="188">
        <f t="shared" si="65"/>
        <v>0</v>
      </c>
      <c r="BN75" s="188">
        <f t="shared" si="65"/>
        <v>0</v>
      </c>
      <c r="BO75" s="188">
        <f t="shared" si="65"/>
        <v>0</v>
      </c>
      <c r="BP75" s="188">
        <f t="shared" si="65"/>
        <v>0</v>
      </c>
      <c r="BQ75" s="188">
        <f t="shared" si="65"/>
        <v>0</v>
      </c>
      <c r="BR75" s="188">
        <f t="shared" si="65"/>
        <v>0</v>
      </c>
      <c r="BS75" s="188">
        <f t="shared" si="65"/>
        <v>0</v>
      </c>
      <c r="BT75" s="188">
        <f t="shared" si="65"/>
        <v>0</v>
      </c>
      <c r="BU75" s="188">
        <f t="shared" si="65"/>
        <v>0</v>
      </c>
      <c r="BV75" s="188">
        <f t="shared" si="65"/>
        <v>0</v>
      </c>
      <c r="BW75" s="188">
        <f t="shared" ref="BW75:CV75" si="66" xml:space="preserve"> MAX(BW73:BW74)</f>
        <v>0</v>
      </c>
      <c r="BX75" s="188">
        <f t="shared" si="66"/>
        <v>0</v>
      </c>
      <c r="BY75" s="188">
        <f t="shared" si="66"/>
        <v>0</v>
      </c>
      <c r="BZ75" s="188">
        <f t="shared" si="66"/>
        <v>0</v>
      </c>
      <c r="CA75" s="188">
        <f t="shared" si="66"/>
        <v>0</v>
      </c>
      <c r="CB75" s="188">
        <f t="shared" si="66"/>
        <v>0</v>
      </c>
      <c r="CC75" s="188">
        <f t="shared" si="66"/>
        <v>0</v>
      </c>
      <c r="CD75" s="188">
        <f t="shared" si="66"/>
        <v>0</v>
      </c>
      <c r="CE75" s="188">
        <f t="shared" si="66"/>
        <v>0</v>
      </c>
      <c r="CF75" s="188">
        <f t="shared" si="66"/>
        <v>0</v>
      </c>
      <c r="CG75" s="188">
        <f t="shared" si="66"/>
        <v>0</v>
      </c>
      <c r="CH75" s="188">
        <f t="shared" si="66"/>
        <v>0</v>
      </c>
      <c r="CI75" s="188">
        <f t="shared" si="66"/>
        <v>0</v>
      </c>
      <c r="CJ75" s="188">
        <f t="shared" si="66"/>
        <v>0</v>
      </c>
      <c r="CK75" s="188">
        <f t="shared" si="66"/>
        <v>0</v>
      </c>
      <c r="CL75" s="188">
        <f t="shared" si="66"/>
        <v>0</v>
      </c>
      <c r="CM75" s="188">
        <f t="shared" si="66"/>
        <v>0</v>
      </c>
      <c r="CN75" s="188">
        <f t="shared" si="66"/>
        <v>0</v>
      </c>
      <c r="CO75" s="188">
        <f t="shared" si="66"/>
        <v>0</v>
      </c>
      <c r="CP75" s="188">
        <f t="shared" si="66"/>
        <v>0</v>
      </c>
      <c r="CQ75" s="188">
        <f t="shared" si="66"/>
        <v>0</v>
      </c>
      <c r="CR75" s="188">
        <f t="shared" si="66"/>
        <v>0</v>
      </c>
      <c r="CS75" s="188">
        <f t="shared" si="66"/>
        <v>0</v>
      </c>
      <c r="CT75" s="188">
        <f t="shared" si="66"/>
        <v>0</v>
      </c>
      <c r="CU75" s="188">
        <f t="shared" si="66"/>
        <v>0</v>
      </c>
      <c r="CV75" s="188">
        <f t="shared" si="66"/>
        <v>0</v>
      </c>
    </row>
    <row r="76" spans="1:100" outlineLevel="1" x14ac:dyDescent="0.2">
      <c r="A76" s="33"/>
      <c r="B76" s="79"/>
      <c r="C76" s="561"/>
      <c r="D76" s="60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2"/>
      <c r="CT76" s="32"/>
      <c r="CU76" s="32"/>
      <c r="CV76" s="32"/>
    </row>
    <row r="77" spans="1:100" outlineLevel="1" x14ac:dyDescent="0.2">
      <c r="A77" s="33"/>
      <c r="B77" s="79" t="s">
        <v>368</v>
      </c>
      <c r="C77" s="561"/>
      <c r="D77" s="60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2"/>
      <c r="CT77" s="32"/>
      <c r="CU77" s="32"/>
      <c r="CV77" s="32"/>
    </row>
    <row r="78" spans="1:100" s="502" customFormat="1" outlineLevel="2" x14ac:dyDescent="0.2">
      <c r="A78" s="656"/>
      <c r="B78" s="568"/>
      <c r="C78" s="569"/>
      <c r="D78" s="570"/>
      <c r="E78" s="585" t="str">
        <f xml:space="preserve"> E$33</f>
        <v>Target DSRA balance at end construction</v>
      </c>
      <c r="F78" s="585">
        <f xml:space="preserve"> F$33</f>
        <v>11233.130669939161</v>
      </c>
      <c r="G78" s="585" t="str">
        <f xml:space="preserve"> G$33</f>
        <v>$ 000s</v>
      </c>
      <c r="H78" s="571"/>
      <c r="I78" s="571"/>
      <c r="J78" s="571"/>
      <c r="K78" s="571"/>
      <c r="L78" s="571"/>
      <c r="M78" s="571"/>
      <c r="N78" s="571"/>
      <c r="O78" s="571"/>
      <c r="P78" s="571"/>
      <c r="Q78" s="571"/>
      <c r="R78" s="571"/>
      <c r="S78" s="571"/>
      <c r="T78" s="571"/>
      <c r="U78" s="571"/>
      <c r="V78" s="571"/>
      <c r="W78" s="571"/>
      <c r="X78" s="571"/>
      <c r="Y78" s="571"/>
      <c r="Z78" s="571"/>
      <c r="AA78" s="571"/>
      <c r="AB78" s="571"/>
      <c r="AC78" s="571"/>
      <c r="AD78" s="571"/>
      <c r="AE78" s="571"/>
      <c r="AF78" s="571"/>
      <c r="AG78" s="571"/>
      <c r="AH78" s="571"/>
      <c r="AI78" s="571"/>
      <c r="AJ78" s="571"/>
      <c r="AK78" s="571"/>
      <c r="AL78" s="571"/>
      <c r="AM78" s="571"/>
      <c r="AN78" s="571"/>
      <c r="AO78" s="571"/>
      <c r="AP78" s="571"/>
      <c r="AQ78" s="571"/>
      <c r="AR78" s="571"/>
      <c r="AS78" s="571"/>
      <c r="AT78" s="571"/>
      <c r="AU78" s="571"/>
      <c r="AV78" s="571"/>
      <c r="AW78" s="571"/>
      <c r="AX78" s="571"/>
      <c r="AY78" s="571"/>
      <c r="AZ78" s="571"/>
      <c r="BA78" s="571"/>
      <c r="BB78" s="571"/>
      <c r="BC78" s="571"/>
      <c r="BD78" s="571"/>
      <c r="BE78" s="571"/>
      <c r="BF78" s="571"/>
      <c r="BG78" s="571"/>
      <c r="BH78" s="571"/>
      <c r="BI78" s="571"/>
      <c r="BJ78" s="571"/>
      <c r="BK78" s="571"/>
      <c r="BL78" s="571"/>
      <c r="BM78" s="571"/>
      <c r="BN78" s="571"/>
      <c r="BO78" s="571"/>
      <c r="BP78" s="571"/>
      <c r="BQ78" s="571"/>
      <c r="BR78" s="571"/>
      <c r="BS78" s="571"/>
      <c r="BT78" s="571"/>
      <c r="BU78" s="571"/>
      <c r="BV78" s="571"/>
      <c r="BW78" s="571"/>
      <c r="BX78" s="571"/>
      <c r="BY78" s="571"/>
      <c r="BZ78" s="571"/>
      <c r="CA78" s="571"/>
      <c r="CB78" s="571"/>
      <c r="CC78" s="571"/>
      <c r="CD78" s="571"/>
      <c r="CE78" s="571"/>
      <c r="CF78" s="571"/>
      <c r="CG78" s="571"/>
      <c r="CH78" s="571"/>
      <c r="CI78" s="571"/>
      <c r="CJ78" s="571"/>
      <c r="CK78" s="571"/>
      <c r="CL78" s="571"/>
      <c r="CM78" s="571"/>
      <c r="CN78" s="571"/>
      <c r="CO78" s="571"/>
      <c r="CP78" s="571"/>
      <c r="CQ78" s="571"/>
      <c r="CR78" s="571"/>
      <c r="CS78" s="571"/>
      <c r="CT78" s="571"/>
      <c r="CU78" s="571"/>
      <c r="CV78" s="571"/>
    </row>
    <row r="79" spans="1:100" s="540" customFormat="1" outlineLevel="2" x14ac:dyDescent="0.2">
      <c r="A79" s="429"/>
      <c r="B79" s="429"/>
      <c r="C79" s="430"/>
      <c r="D79" s="443"/>
      <c r="E79" s="578" t="str">
        <f xml:space="preserve"> Time!E$81</f>
        <v>End of construction period flag</v>
      </c>
      <c r="F79" s="578">
        <f xml:space="preserve"> Time!F$81</f>
        <v>0</v>
      </c>
      <c r="G79" s="578" t="str">
        <f xml:space="preserve"> Time!G$81</f>
        <v>flag</v>
      </c>
      <c r="H79" s="578">
        <f xml:space="preserve"> Time!H$81</f>
        <v>1</v>
      </c>
      <c r="I79" s="578">
        <f xml:space="preserve"> Time!I$81</f>
        <v>0</v>
      </c>
      <c r="J79" s="578">
        <f xml:space="preserve"> Time!J$81</f>
        <v>0</v>
      </c>
      <c r="K79" s="578">
        <f xml:space="preserve"> Time!K$81</f>
        <v>0</v>
      </c>
      <c r="L79" s="578">
        <f xml:space="preserve"> Time!L$81</f>
        <v>0</v>
      </c>
      <c r="M79" s="578">
        <f xml:space="preserve"> Time!M$81</f>
        <v>0</v>
      </c>
      <c r="N79" s="578">
        <f xml:space="preserve"> Time!N$81</f>
        <v>1</v>
      </c>
      <c r="O79" s="578">
        <f xml:space="preserve"> Time!O$81</f>
        <v>0</v>
      </c>
      <c r="P79" s="578">
        <f xml:space="preserve"> Time!P$81</f>
        <v>0</v>
      </c>
      <c r="Q79" s="578">
        <f xml:space="preserve"> Time!Q$81</f>
        <v>0</v>
      </c>
      <c r="R79" s="578">
        <f xml:space="preserve"> Time!R$81</f>
        <v>0</v>
      </c>
      <c r="S79" s="578">
        <f xml:space="preserve"> Time!S$81</f>
        <v>0</v>
      </c>
      <c r="T79" s="578">
        <f xml:space="preserve"> Time!T$81</f>
        <v>0</v>
      </c>
      <c r="U79" s="578">
        <f xml:space="preserve"> Time!U$81</f>
        <v>0</v>
      </c>
      <c r="V79" s="578">
        <f xml:space="preserve"> Time!V$81</f>
        <v>0</v>
      </c>
      <c r="W79" s="578">
        <f xml:space="preserve"> Time!W$81</f>
        <v>0</v>
      </c>
      <c r="X79" s="578">
        <f xml:space="preserve"> Time!X$81</f>
        <v>0</v>
      </c>
      <c r="Y79" s="578">
        <f xml:space="preserve"> Time!Y$81</f>
        <v>0</v>
      </c>
      <c r="Z79" s="578">
        <f xml:space="preserve"> Time!Z$81</f>
        <v>0</v>
      </c>
      <c r="AA79" s="578">
        <f xml:space="preserve"> Time!AA$81</f>
        <v>0</v>
      </c>
      <c r="AB79" s="578">
        <f xml:space="preserve"> Time!AB$81</f>
        <v>0</v>
      </c>
      <c r="AC79" s="578">
        <f xml:space="preserve"> Time!AC$81</f>
        <v>0</v>
      </c>
      <c r="AD79" s="578">
        <f xml:space="preserve"> Time!AD$81</f>
        <v>0</v>
      </c>
      <c r="AE79" s="578">
        <f xml:space="preserve"> Time!AE$81</f>
        <v>0</v>
      </c>
      <c r="AF79" s="578">
        <f xml:space="preserve"> Time!AF$81</f>
        <v>0</v>
      </c>
      <c r="AG79" s="578">
        <f xml:space="preserve"> Time!AG$81</f>
        <v>0</v>
      </c>
      <c r="AH79" s="578">
        <f xml:space="preserve"> Time!AH$81</f>
        <v>0</v>
      </c>
      <c r="AI79" s="578">
        <f xml:space="preserve"> Time!AI$81</f>
        <v>0</v>
      </c>
      <c r="AJ79" s="578">
        <f xml:space="preserve"> Time!AJ$81</f>
        <v>0</v>
      </c>
      <c r="AK79" s="578">
        <f xml:space="preserve"> Time!AK$81</f>
        <v>0</v>
      </c>
      <c r="AL79" s="578">
        <f xml:space="preserve"> Time!AL$81</f>
        <v>0</v>
      </c>
      <c r="AM79" s="578">
        <f xml:space="preserve"> Time!AM$81</f>
        <v>0</v>
      </c>
      <c r="AN79" s="578">
        <f xml:space="preserve"> Time!AN$81</f>
        <v>0</v>
      </c>
      <c r="AO79" s="578">
        <f xml:space="preserve"> Time!AO$81</f>
        <v>0</v>
      </c>
      <c r="AP79" s="578">
        <f xml:space="preserve"> Time!AP$81</f>
        <v>0</v>
      </c>
      <c r="AQ79" s="578">
        <f xml:space="preserve"> Time!AQ$81</f>
        <v>0</v>
      </c>
      <c r="AR79" s="578">
        <f xml:space="preserve"> Time!AR$81</f>
        <v>0</v>
      </c>
      <c r="AS79" s="578">
        <f xml:space="preserve"> Time!AS$81</f>
        <v>0</v>
      </c>
      <c r="AT79" s="578">
        <f xml:space="preserve"> Time!AT$81</f>
        <v>0</v>
      </c>
      <c r="AU79" s="578">
        <f xml:space="preserve"> Time!AU$81</f>
        <v>0</v>
      </c>
      <c r="AV79" s="578">
        <f xml:space="preserve"> Time!AV$81</f>
        <v>0</v>
      </c>
      <c r="AW79" s="578">
        <f xml:space="preserve"> Time!AW$81</f>
        <v>0</v>
      </c>
      <c r="AX79" s="578">
        <f xml:space="preserve"> Time!AX$81</f>
        <v>0</v>
      </c>
      <c r="AY79" s="578">
        <f xml:space="preserve"> Time!AY$81</f>
        <v>0</v>
      </c>
      <c r="AZ79" s="578">
        <f xml:space="preserve"> Time!AZ$81</f>
        <v>0</v>
      </c>
      <c r="BA79" s="578">
        <f xml:space="preserve"> Time!BA$81</f>
        <v>0</v>
      </c>
      <c r="BB79" s="578">
        <f xml:space="preserve"> Time!BB$81</f>
        <v>0</v>
      </c>
      <c r="BC79" s="578">
        <f xml:space="preserve"> Time!BC$81</f>
        <v>0</v>
      </c>
      <c r="BD79" s="578">
        <f xml:space="preserve"> Time!BD$81</f>
        <v>0</v>
      </c>
      <c r="BE79" s="578">
        <f xml:space="preserve"> Time!BE$81</f>
        <v>0</v>
      </c>
      <c r="BF79" s="578">
        <f xml:space="preserve"> Time!BF$81</f>
        <v>0</v>
      </c>
      <c r="BG79" s="578">
        <f xml:space="preserve"> Time!BG$81</f>
        <v>0</v>
      </c>
      <c r="BH79" s="578">
        <f xml:space="preserve"> Time!BH$81</f>
        <v>0</v>
      </c>
      <c r="BI79" s="578">
        <f xml:space="preserve"> Time!BI$81</f>
        <v>0</v>
      </c>
      <c r="BJ79" s="578">
        <f xml:space="preserve"> Time!BJ$81</f>
        <v>0</v>
      </c>
      <c r="BK79" s="578">
        <f xml:space="preserve"> Time!BK$81</f>
        <v>0</v>
      </c>
      <c r="BL79" s="578">
        <f xml:space="preserve"> Time!BL$81</f>
        <v>0</v>
      </c>
      <c r="BM79" s="578">
        <f xml:space="preserve"> Time!BM$81</f>
        <v>0</v>
      </c>
      <c r="BN79" s="578">
        <f xml:space="preserve"> Time!BN$81</f>
        <v>0</v>
      </c>
      <c r="BO79" s="578">
        <f xml:space="preserve"> Time!BO$81</f>
        <v>0</v>
      </c>
      <c r="BP79" s="578">
        <f xml:space="preserve"> Time!BP$81</f>
        <v>0</v>
      </c>
      <c r="BQ79" s="578">
        <f xml:space="preserve"> Time!BQ$81</f>
        <v>0</v>
      </c>
      <c r="BR79" s="578">
        <f xml:space="preserve"> Time!BR$81</f>
        <v>0</v>
      </c>
      <c r="BS79" s="578">
        <f xml:space="preserve"> Time!BS$81</f>
        <v>0</v>
      </c>
      <c r="BT79" s="578">
        <f xml:space="preserve"> Time!BT$81</f>
        <v>0</v>
      </c>
      <c r="BU79" s="578">
        <f xml:space="preserve"> Time!BU$81</f>
        <v>0</v>
      </c>
      <c r="BV79" s="578">
        <f xml:space="preserve"> Time!BV$81</f>
        <v>0</v>
      </c>
      <c r="BW79" s="578">
        <f xml:space="preserve"> Time!BW$81</f>
        <v>0</v>
      </c>
      <c r="BX79" s="578">
        <f xml:space="preserve"> Time!BX$81</f>
        <v>0</v>
      </c>
      <c r="BY79" s="578">
        <f xml:space="preserve"> Time!BY$81</f>
        <v>0</v>
      </c>
      <c r="BZ79" s="578">
        <f xml:space="preserve"> Time!BZ$81</f>
        <v>0</v>
      </c>
      <c r="CA79" s="578">
        <f xml:space="preserve"> Time!CA$81</f>
        <v>0</v>
      </c>
      <c r="CB79" s="578">
        <f xml:space="preserve"> Time!CB$81</f>
        <v>0</v>
      </c>
      <c r="CC79" s="578">
        <f xml:space="preserve"> Time!CC$81</f>
        <v>0</v>
      </c>
      <c r="CD79" s="578">
        <f xml:space="preserve"> Time!CD$81</f>
        <v>0</v>
      </c>
      <c r="CE79" s="578">
        <f xml:space="preserve"> Time!CE$81</f>
        <v>0</v>
      </c>
      <c r="CF79" s="578">
        <f xml:space="preserve"> Time!CF$81</f>
        <v>0</v>
      </c>
      <c r="CG79" s="578">
        <f xml:space="preserve"> Time!CG$81</f>
        <v>0</v>
      </c>
      <c r="CH79" s="578">
        <f xml:space="preserve"> Time!CH$81</f>
        <v>0</v>
      </c>
      <c r="CI79" s="578">
        <f xml:space="preserve"> Time!CI$81</f>
        <v>0</v>
      </c>
      <c r="CJ79" s="578">
        <f xml:space="preserve"> Time!CJ$81</f>
        <v>0</v>
      </c>
      <c r="CK79" s="578">
        <f xml:space="preserve"> Time!CK$81</f>
        <v>0</v>
      </c>
      <c r="CL79" s="578">
        <f xml:space="preserve"> Time!CL$81</f>
        <v>0</v>
      </c>
      <c r="CM79" s="578">
        <f xml:space="preserve"> Time!CM$81</f>
        <v>0</v>
      </c>
      <c r="CN79" s="578">
        <f xml:space="preserve"> Time!CN$81</f>
        <v>0</v>
      </c>
      <c r="CO79" s="578">
        <f xml:space="preserve"> Time!CO$81</f>
        <v>0</v>
      </c>
      <c r="CP79" s="578">
        <f xml:space="preserve"> Time!CP$81</f>
        <v>0</v>
      </c>
      <c r="CQ79" s="578">
        <f xml:space="preserve"> Time!CQ$81</f>
        <v>0</v>
      </c>
      <c r="CR79" s="578">
        <f xml:space="preserve"> Time!CR$81</f>
        <v>0</v>
      </c>
      <c r="CS79" s="578">
        <f xml:space="preserve"> Time!CS$81</f>
        <v>0</v>
      </c>
      <c r="CT79" s="578">
        <f xml:space="preserve"> Time!CT$81</f>
        <v>0</v>
      </c>
      <c r="CU79" s="578">
        <f xml:space="preserve"> Time!CU$81</f>
        <v>0</v>
      </c>
      <c r="CV79" s="578">
        <f xml:space="preserve"> Time!CV$81</f>
        <v>0</v>
      </c>
    </row>
    <row r="80" spans="1:100" s="498" customFormat="1" outlineLevel="2" x14ac:dyDescent="0.2">
      <c r="A80" s="52"/>
      <c r="B80" s="249"/>
      <c r="C80" s="299"/>
      <c r="D80" s="579"/>
      <c r="E80" s="500"/>
      <c r="F80" s="500"/>
      <c r="G80" s="500"/>
      <c r="H80" s="500"/>
      <c r="I80" s="500"/>
      <c r="J80" s="500"/>
      <c r="K80" s="500"/>
      <c r="L80" s="500"/>
      <c r="M80" s="500"/>
      <c r="N80" s="500"/>
      <c r="O80" s="500"/>
      <c r="P80" s="500"/>
      <c r="Q80" s="500"/>
      <c r="R80" s="500"/>
      <c r="S80" s="500"/>
      <c r="T80" s="500"/>
      <c r="U80" s="500"/>
      <c r="V80" s="500"/>
      <c r="W80" s="500"/>
      <c r="X80" s="500"/>
      <c r="Y80" s="500"/>
      <c r="Z80" s="500"/>
      <c r="AA80" s="500"/>
      <c r="AB80" s="500"/>
      <c r="AC80" s="500"/>
      <c r="AD80" s="500"/>
      <c r="AE80" s="500"/>
      <c r="AF80" s="500"/>
      <c r="AG80" s="500"/>
      <c r="AH80" s="500"/>
      <c r="AI80" s="500"/>
      <c r="AJ80" s="500"/>
      <c r="AK80" s="500"/>
      <c r="AL80" s="500"/>
      <c r="AM80" s="500"/>
      <c r="AN80" s="500"/>
      <c r="AO80" s="500"/>
      <c r="AP80" s="500"/>
      <c r="AQ80" s="500"/>
      <c r="AR80" s="500"/>
      <c r="AS80" s="500"/>
      <c r="AT80" s="500"/>
      <c r="AU80" s="500"/>
      <c r="AV80" s="500"/>
      <c r="AW80" s="500"/>
      <c r="AX80" s="500"/>
      <c r="AY80" s="500"/>
      <c r="AZ80" s="500"/>
      <c r="BA80" s="500"/>
      <c r="BB80" s="500"/>
      <c r="BC80" s="500"/>
      <c r="BD80" s="500"/>
      <c r="BE80" s="500"/>
      <c r="BF80" s="500"/>
      <c r="BG80" s="500"/>
      <c r="BH80" s="500"/>
      <c r="BI80" s="500"/>
      <c r="BJ80" s="500"/>
      <c r="BK80" s="500"/>
      <c r="BL80" s="500"/>
      <c r="BM80" s="500"/>
      <c r="BN80" s="500"/>
      <c r="BO80" s="500"/>
      <c r="BP80" s="500"/>
      <c r="BQ80" s="500"/>
      <c r="BR80" s="500"/>
      <c r="BS80" s="500"/>
      <c r="BT80" s="500"/>
      <c r="BU80" s="500"/>
      <c r="BV80" s="500"/>
      <c r="BW80" s="500"/>
      <c r="BX80" s="500"/>
      <c r="BY80" s="500"/>
      <c r="BZ80" s="500"/>
      <c r="CA80" s="500"/>
      <c r="CB80" s="500"/>
      <c r="CC80" s="500"/>
      <c r="CD80" s="500"/>
      <c r="CE80" s="500"/>
      <c r="CF80" s="500"/>
      <c r="CG80" s="500"/>
      <c r="CH80" s="500"/>
      <c r="CI80" s="500"/>
      <c r="CJ80" s="500"/>
      <c r="CK80" s="500"/>
      <c r="CL80" s="500"/>
      <c r="CM80" s="500"/>
      <c r="CN80" s="500"/>
      <c r="CO80" s="500"/>
      <c r="CP80" s="500"/>
      <c r="CQ80" s="500"/>
      <c r="CR80" s="500"/>
      <c r="CS80" s="500"/>
      <c r="CT80" s="500"/>
      <c r="CU80" s="500"/>
      <c r="CV80" s="500"/>
    </row>
    <row r="81" spans="1:100" s="498" customFormat="1" outlineLevel="2" x14ac:dyDescent="0.2">
      <c r="A81" s="227"/>
      <c r="B81" s="580"/>
      <c r="C81" s="581"/>
      <c r="D81" s="582"/>
      <c r="E81" s="332" t="s">
        <v>370</v>
      </c>
      <c r="F81" s="332"/>
      <c r="G81" s="332" t="str">
        <f xml:space="preserve"> SMU</f>
        <v>$ 000s</v>
      </c>
      <c r="H81" s="332"/>
      <c r="I81" s="332"/>
      <c r="J81" s="332">
        <f t="shared" ref="J81" si="67">I84</f>
        <v>0</v>
      </c>
      <c r="K81" s="332">
        <f t="shared" ref="K81" si="68">J84</f>
        <v>0</v>
      </c>
      <c r="L81" s="332">
        <f t="shared" ref="L81" si="69">K84</f>
        <v>0</v>
      </c>
      <c r="M81" s="332">
        <f t="shared" ref="M81" si="70">L84</f>
        <v>0</v>
      </c>
      <c r="N81" s="332">
        <f t="shared" ref="N81" si="71">M84</f>
        <v>0</v>
      </c>
      <c r="O81" s="332">
        <f t="shared" ref="O81" si="72">N84</f>
        <v>11233.130669939161</v>
      </c>
      <c r="P81" s="332">
        <f t="shared" ref="P81" si="73">O84</f>
        <v>11233.130669939161</v>
      </c>
      <c r="Q81" s="332">
        <f t="shared" ref="Q81" si="74">P84</f>
        <v>11190.794928838903</v>
      </c>
      <c r="R81" s="332">
        <f t="shared" ref="R81" si="75">Q84</f>
        <v>11147.702061098667</v>
      </c>
      <c r="S81" s="332">
        <f t="shared" ref="S81" si="76">R84</f>
        <v>11104.822479349081</v>
      </c>
      <c r="T81" s="332">
        <f t="shared" ref="T81" si="77">S84</f>
        <v>11061.172559369908</v>
      </c>
      <c r="U81" s="332">
        <f t="shared" ref="U81" si="78">T84</f>
        <v>11025.255469920612</v>
      </c>
      <c r="V81" s="332">
        <f t="shared" ref="V81" si="79">U84</f>
        <v>10973.518731652715</v>
      </c>
      <c r="W81" s="332">
        <f t="shared" ref="W81" si="80">V84</f>
        <v>10921.998577696688</v>
      </c>
      <c r="X81" s="332">
        <f t="shared" ref="X81" si="81">W84</f>
        <v>10884.71667623521</v>
      </c>
      <c r="Y81" s="332">
        <f t="shared" ref="Y81" si="82">X84</f>
        <v>10840.135152344956</v>
      </c>
      <c r="Z81" s="332">
        <f t="shared" ref="Z81" si="83">Y84</f>
        <v>10794.742010746362</v>
      </c>
      <c r="AA81" s="332">
        <f t="shared" ref="AA81" si="84">Z84</f>
        <v>10749.568908064761</v>
      </c>
      <c r="AB81" s="332">
        <f t="shared" ref="AB81" si="85">AA84</f>
        <v>10703.56986326347</v>
      </c>
      <c r="AC81" s="332">
        <f t="shared" ref="AC81" si="86">AB84</f>
        <v>10665.064311187987</v>
      </c>
      <c r="AD81" s="332">
        <f t="shared" ref="AD81" si="87">AC84</f>
        <v>10611.174866718349</v>
      </c>
      <c r="AE81" s="332">
        <f t="shared" ref="AE81" si="88">AD84</f>
        <v>10557.509077694693</v>
      </c>
      <c r="AF81" s="332">
        <f t="shared" ref="AF81" si="89">AE84</f>
        <v>10517.531143266302</v>
      </c>
      <c r="AG81" s="332">
        <f t="shared" ref="AG81" si="90">AF84</f>
        <v>10470.507070020134</v>
      </c>
      <c r="AH81" s="332">
        <f t="shared" ref="AH81" si="91">AG84</f>
        <v>10422.612301906172</v>
      </c>
      <c r="AI81" s="332">
        <f t="shared" ref="AI81" si="92">AH84</f>
        <v>10374.944975120165</v>
      </c>
      <c r="AJ81" s="332">
        <f t="shared" ref="AJ81" si="93">AI84</f>
        <v>10326.391413681304</v>
      </c>
      <c r="AK81" s="332">
        <f t="shared" ref="AK81" si="94">AJ84</f>
        <v>10285.079124192071</v>
      </c>
      <c r="AL81" s="332">
        <f t="shared" ref="AL81" si="95">AK84</f>
        <v>10228.841010385528</v>
      </c>
      <c r="AM81" s="332">
        <f t="shared" ref="AM81" si="96">AL84</f>
        <v>10172.834298762504</v>
      </c>
      <c r="AN81" s="332">
        <f t="shared" ref="AN81" si="97">AM84</f>
        <v>10129.933079413677</v>
      </c>
      <c r="AO81" s="332">
        <f t="shared" ref="AO81" si="98">AN84</f>
        <v>10080.253439298456</v>
      </c>
      <c r="AP81" s="332">
        <f t="shared" ref="AP81" si="99">AO84</f>
        <v>10029.63904497031</v>
      </c>
      <c r="AQ81" s="332">
        <f t="shared" ref="AQ81" si="100">AP84</f>
        <v>9979.2601971614822</v>
      </c>
      <c r="AR81" s="332">
        <f t="shared" ref="AR81" si="101">AQ84</f>
        <v>9927.9304935534874</v>
      </c>
      <c r="AS81" s="332">
        <f t="shared" ref="AS81" si="102">AR84</f>
        <v>9883.5760729497488</v>
      </c>
      <c r="AT81" s="332">
        <f t="shared" ref="AT81" si="103">AS84</f>
        <v>9824.7779316197557</v>
      </c>
      <c r="AU81" s="332">
        <f t="shared" ref="AU81" si="104">AT84</f>
        <v>9766.220927027236</v>
      </c>
      <c r="AV81" s="332">
        <f t="shared" ref="AV81" si="105">AU84</f>
        <v>4860.2302073800211</v>
      </c>
      <c r="AW81" s="332">
        <f t="shared" ref="AW81" si="106">AV84</f>
        <v>-2.0082668106624624E-4</v>
      </c>
      <c r="AX81" s="332">
        <f t="shared" ref="AX81" si="107">AW84</f>
        <v>-2.0082668106624624E-4</v>
      </c>
      <c r="AY81" s="332">
        <f t="shared" ref="AY81" si="108">AX84</f>
        <v>-2.0082668106624624E-4</v>
      </c>
      <c r="AZ81" s="332">
        <f t="shared" ref="AZ81" si="109">AY84</f>
        <v>-2.0082668106624624E-4</v>
      </c>
      <c r="BA81" s="332">
        <f t="shared" ref="BA81" si="110">AZ84</f>
        <v>-2.0082668106624624E-4</v>
      </c>
      <c r="BB81" s="332">
        <f t="shared" ref="BB81" si="111">BA84</f>
        <v>-2.0082668106624624E-4</v>
      </c>
      <c r="BC81" s="332">
        <f t="shared" ref="BC81" si="112">BB84</f>
        <v>-2.0082668106624624E-4</v>
      </c>
      <c r="BD81" s="332">
        <f t="shared" ref="BD81" si="113">BC84</f>
        <v>-2.0082668106624624E-4</v>
      </c>
      <c r="BE81" s="332">
        <f t="shared" ref="BE81" si="114">BD84</f>
        <v>-2.0082668106624624E-4</v>
      </c>
      <c r="BF81" s="332">
        <f t="shared" ref="BF81" si="115">BE84</f>
        <v>-2.0082668106624624E-4</v>
      </c>
      <c r="BG81" s="332">
        <f t="shared" ref="BG81" si="116">BF84</f>
        <v>-2.0082668106624624E-4</v>
      </c>
      <c r="BH81" s="332">
        <f t="shared" ref="BH81" si="117">BG84</f>
        <v>-2.0082668106624624E-4</v>
      </c>
      <c r="BI81" s="332">
        <f t="shared" ref="BI81" si="118">BH84</f>
        <v>-2.0082668106624624E-4</v>
      </c>
      <c r="BJ81" s="332">
        <f t="shared" ref="BJ81" si="119">BI84</f>
        <v>-2.0082668106624624E-4</v>
      </c>
      <c r="BK81" s="332">
        <f t="shared" ref="BK81" si="120">BJ84</f>
        <v>-2.0082668106624624E-4</v>
      </c>
      <c r="BL81" s="332">
        <f t="shared" ref="BL81" si="121">BK84</f>
        <v>-2.0082668106624624E-4</v>
      </c>
      <c r="BM81" s="332">
        <f t="shared" ref="BM81" si="122">BL84</f>
        <v>-2.0082668106624624E-4</v>
      </c>
      <c r="BN81" s="332">
        <f t="shared" ref="BN81" si="123">BM84</f>
        <v>-2.0082668106624624E-4</v>
      </c>
      <c r="BO81" s="332">
        <f t="shared" ref="BO81" si="124">BN84</f>
        <v>-2.0082668106624624E-4</v>
      </c>
      <c r="BP81" s="332">
        <f t="shared" ref="BP81" si="125">BO84</f>
        <v>-2.0082668106624624E-4</v>
      </c>
      <c r="BQ81" s="332">
        <f t="shared" ref="BQ81" si="126">BP84</f>
        <v>-2.0082668106624624E-4</v>
      </c>
      <c r="BR81" s="332">
        <f t="shared" ref="BR81" si="127">BQ84</f>
        <v>-2.0082668106624624E-4</v>
      </c>
      <c r="BS81" s="332">
        <f t="shared" ref="BS81" si="128">BR84</f>
        <v>-2.0082668106624624E-4</v>
      </c>
      <c r="BT81" s="332">
        <f t="shared" ref="BT81" si="129">BS84</f>
        <v>-2.0082668106624624E-4</v>
      </c>
      <c r="BU81" s="332">
        <f t="shared" ref="BU81" si="130">BT84</f>
        <v>-2.0082668106624624E-4</v>
      </c>
      <c r="BV81" s="332">
        <f t="shared" ref="BV81" si="131">BU84</f>
        <v>-2.0082668106624624E-4</v>
      </c>
      <c r="BW81" s="332">
        <f t="shared" ref="BW81" si="132">BV84</f>
        <v>-2.0082668106624624E-4</v>
      </c>
      <c r="BX81" s="332">
        <f t="shared" ref="BX81" si="133">BW84</f>
        <v>-2.0082668106624624E-4</v>
      </c>
      <c r="BY81" s="332">
        <f t="shared" ref="BY81" si="134">BX84</f>
        <v>-2.0082668106624624E-4</v>
      </c>
      <c r="BZ81" s="332">
        <f t="shared" ref="BZ81" si="135">BY84</f>
        <v>-2.0082668106624624E-4</v>
      </c>
      <c r="CA81" s="332">
        <f t="shared" ref="CA81" si="136">BZ84</f>
        <v>-2.0082668106624624E-4</v>
      </c>
      <c r="CB81" s="332">
        <f t="shared" ref="CB81" si="137">CA84</f>
        <v>-2.0082668106624624E-4</v>
      </c>
      <c r="CC81" s="332">
        <f t="shared" ref="CC81" si="138">CB84</f>
        <v>-2.0082668106624624E-4</v>
      </c>
      <c r="CD81" s="332">
        <f t="shared" ref="CD81" si="139">CC84</f>
        <v>-2.0082668106624624E-4</v>
      </c>
      <c r="CE81" s="332">
        <f t="shared" ref="CE81" si="140">CD84</f>
        <v>-2.0082668106624624E-4</v>
      </c>
      <c r="CF81" s="332">
        <f t="shared" ref="CF81" si="141">CE84</f>
        <v>-2.0082668106624624E-4</v>
      </c>
      <c r="CG81" s="332">
        <f t="shared" ref="CG81" si="142">CF84</f>
        <v>-2.0082668106624624E-4</v>
      </c>
      <c r="CH81" s="332">
        <f t="shared" ref="CH81" si="143">CG84</f>
        <v>-2.0082668106624624E-4</v>
      </c>
      <c r="CI81" s="332">
        <f t="shared" ref="CI81" si="144">CH84</f>
        <v>-2.0082668106624624E-4</v>
      </c>
      <c r="CJ81" s="332">
        <f t="shared" ref="CJ81" si="145">CI84</f>
        <v>-2.0082668106624624E-4</v>
      </c>
      <c r="CK81" s="332">
        <f t="shared" ref="CK81" si="146">CJ84</f>
        <v>-2.0082668106624624E-4</v>
      </c>
      <c r="CL81" s="332">
        <f t="shared" ref="CL81" si="147">CK84</f>
        <v>-2.0082668106624624E-4</v>
      </c>
      <c r="CM81" s="332">
        <f t="shared" ref="CM81" si="148">CL84</f>
        <v>-2.0082668106624624E-4</v>
      </c>
      <c r="CN81" s="332">
        <f t="shared" ref="CN81" si="149">CM84</f>
        <v>-2.0082668106624624E-4</v>
      </c>
      <c r="CO81" s="332">
        <f t="shared" ref="CO81" si="150">CN84</f>
        <v>-2.0082668106624624E-4</v>
      </c>
      <c r="CP81" s="332">
        <f t="shared" ref="CP81" si="151">CO84</f>
        <v>-2.0082668106624624E-4</v>
      </c>
      <c r="CQ81" s="332">
        <f t="shared" ref="CQ81" si="152">CP84</f>
        <v>-2.0082668106624624E-4</v>
      </c>
      <c r="CR81" s="332">
        <f t="shared" ref="CR81" si="153">CQ84</f>
        <v>-2.0082668106624624E-4</v>
      </c>
      <c r="CS81" s="332">
        <f t="shared" ref="CS81" si="154">CR84</f>
        <v>-2.0082668106624624E-4</v>
      </c>
      <c r="CT81" s="332">
        <f t="shared" ref="CT81" si="155">CS84</f>
        <v>-2.0082668106624624E-4</v>
      </c>
      <c r="CU81" s="332">
        <f t="shared" ref="CU81" si="156">CT84</f>
        <v>-2.0082668106624624E-4</v>
      </c>
      <c r="CV81" s="332">
        <f t="shared" ref="CV81" si="157">CU84</f>
        <v>-2.0082668106624624E-4</v>
      </c>
    </row>
    <row r="82" spans="1:100" s="498" customFormat="1" outlineLevel="2" x14ac:dyDescent="0.2">
      <c r="A82" s="52"/>
      <c r="B82" s="249"/>
      <c r="C82" s="299"/>
      <c r="D82" s="579" t="s">
        <v>371</v>
      </c>
      <c r="E82" s="500" t="str">
        <f t="shared" ref="E82:BP82" si="158" xml:space="preserve"> E$66</f>
        <v>DSRA deposit POS</v>
      </c>
      <c r="F82" s="500">
        <f t="shared" si="158"/>
        <v>0</v>
      </c>
      <c r="G82" s="500" t="str">
        <f t="shared" si="158"/>
        <v>$ 000s</v>
      </c>
      <c r="H82" s="500">
        <f t="shared" si="158"/>
        <v>0</v>
      </c>
      <c r="I82" s="500">
        <f t="shared" si="158"/>
        <v>0</v>
      </c>
      <c r="J82" s="500">
        <f t="shared" si="158"/>
        <v>0</v>
      </c>
      <c r="K82" s="500">
        <f t="shared" si="158"/>
        <v>0</v>
      </c>
      <c r="L82" s="500">
        <f t="shared" si="158"/>
        <v>0</v>
      </c>
      <c r="M82" s="500">
        <f t="shared" si="158"/>
        <v>0</v>
      </c>
      <c r="N82" s="500">
        <f t="shared" si="158"/>
        <v>0</v>
      </c>
      <c r="O82" s="500">
        <f t="shared" si="158"/>
        <v>0</v>
      </c>
      <c r="P82" s="500">
        <f t="shared" si="158"/>
        <v>0</v>
      </c>
      <c r="Q82" s="500">
        <f t="shared" si="158"/>
        <v>0</v>
      </c>
      <c r="R82" s="500">
        <f t="shared" si="158"/>
        <v>0</v>
      </c>
      <c r="S82" s="500">
        <f t="shared" si="158"/>
        <v>0</v>
      </c>
      <c r="T82" s="500">
        <f t="shared" si="158"/>
        <v>0</v>
      </c>
      <c r="U82" s="500">
        <f t="shared" si="158"/>
        <v>0</v>
      </c>
      <c r="V82" s="500">
        <f t="shared" si="158"/>
        <v>0</v>
      </c>
      <c r="W82" s="500">
        <f t="shared" si="158"/>
        <v>0</v>
      </c>
      <c r="X82" s="500">
        <f t="shared" si="158"/>
        <v>0</v>
      </c>
      <c r="Y82" s="500">
        <f t="shared" si="158"/>
        <v>0</v>
      </c>
      <c r="Z82" s="500">
        <f t="shared" si="158"/>
        <v>0</v>
      </c>
      <c r="AA82" s="500">
        <f t="shared" si="158"/>
        <v>0</v>
      </c>
      <c r="AB82" s="500">
        <f t="shared" si="158"/>
        <v>0</v>
      </c>
      <c r="AC82" s="500">
        <f t="shared" si="158"/>
        <v>0</v>
      </c>
      <c r="AD82" s="500">
        <f t="shared" si="158"/>
        <v>0</v>
      </c>
      <c r="AE82" s="500">
        <f t="shared" si="158"/>
        <v>0</v>
      </c>
      <c r="AF82" s="500">
        <f t="shared" si="158"/>
        <v>0</v>
      </c>
      <c r="AG82" s="500">
        <f t="shared" si="158"/>
        <v>0</v>
      </c>
      <c r="AH82" s="500">
        <f t="shared" si="158"/>
        <v>0</v>
      </c>
      <c r="AI82" s="500">
        <f t="shared" si="158"/>
        <v>0</v>
      </c>
      <c r="AJ82" s="500">
        <f t="shared" si="158"/>
        <v>0</v>
      </c>
      <c r="AK82" s="500">
        <f t="shared" si="158"/>
        <v>0</v>
      </c>
      <c r="AL82" s="500">
        <f t="shared" si="158"/>
        <v>0</v>
      </c>
      <c r="AM82" s="500">
        <f t="shared" si="158"/>
        <v>0</v>
      </c>
      <c r="AN82" s="500">
        <f t="shared" si="158"/>
        <v>0</v>
      </c>
      <c r="AO82" s="500">
        <f t="shared" si="158"/>
        <v>0</v>
      </c>
      <c r="AP82" s="500">
        <f t="shared" si="158"/>
        <v>0</v>
      </c>
      <c r="AQ82" s="500">
        <f t="shared" si="158"/>
        <v>0</v>
      </c>
      <c r="AR82" s="500">
        <f t="shared" si="158"/>
        <v>0</v>
      </c>
      <c r="AS82" s="500">
        <f t="shared" si="158"/>
        <v>0</v>
      </c>
      <c r="AT82" s="500">
        <f t="shared" si="158"/>
        <v>0</v>
      </c>
      <c r="AU82" s="500">
        <f t="shared" si="158"/>
        <v>0</v>
      </c>
      <c r="AV82" s="500">
        <f t="shared" si="158"/>
        <v>0</v>
      </c>
      <c r="AW82" s="500">
        <f t="shared" si="158"/>
        <v>0</v>
      </c>
      <c r="AX82" s="500">
        <f t="shared" si="158"/>
        <v>0</v>
      </c>
      <c r="AY82" s="500">
        <f t="shared" si="158"/>
        <v>0</v>
      </c>
      <c r="AZ82" s="500">
        <f t="shared" si="158"/>
        <v>0</v>
      </c>
      <c r="BA82" s="500">
        <f t="shared" si="158"/>
        <v>0</v>
      </c>
      <c r="BB82" s="500">
        <f t="shared" si="158"/>
        <v>0</v>
      </c>
      <c r="BC82" s="500">
        <f t="shared" si="158"/>
        <v>0</v>
      </c>
      <c r="BD82" s="500">
        <f t="shared" si="158"/>
        <v>0</v>
      </c>
      <c r="BE82" s="500">
        <f t="shared" si="158"/>
        <v>0</v>
      </c>
      <c r="BF82" s="500">
        <f t="shared" si="158"/>
        <v>0</v>
      </c>
      <c r="BG82" s="500">
        <f t="shared" si="158"/>
        <v>0</v>
      </c>
      <c r="BH82" s="500">
        <f t="shared" si="158"/>
        <v>0</v>
      </c>
      <c r="BI82" s="500">
        <f t="shared" si="158"/>
        <v>0</v>
      </c>
      <c r="BJ82" s="500">
        <f t="shared" si="158"/>
        <v>0</v>
      </c>
      <c r="BK82" s="500">
        <f t="shared" si="158"/>
        <v>0</v>
      </c>
      <c r="BL82" s="500">
        <f t="shared" si="158"/>
        <v>0</v>
      </c>
      <c r="BM82" s="500">
        <f t="shared" si="158"/>
        <v>0</v>
      </c>
      <c r="BN82" s="500">
        <f t="shared" si="158"/>
        <v>0</v>
      </c>
      <c r="BO82" s="500">
        <f t="shared" si="158"/>
        <v>0</v>
      </c>
      <c r="BP82" s="500">
        <f t="shared" si="158"/>
        <v>0</v>
      </c>
      <c r="BQ82" s="500">
        <f t="shared" ref="BQ82:CV82" si="159" xml:space="preserve"> BQ$66</f>
        <v>0</v>
      </c>
      <c r="BR82" s="500">
        <f t="shared" si="159"/>
        <v>0</v>
      </c>
      <c r="BS82" s="500">
        <f t="shared" si="159"/>
        <v>0</v>
      </c>
      <c r="BT82" s="500">
        <f t="shared" si="159"/>
        <v>0</v>
      </c>
      <c r="BU82" s="500">
        <f t="shared" si="159"/>
        <v>0</v>
      </c>
      <c r="BV82" s="500">
        <f t="shared" si="159"/>
        <v>0</v>
      </c>
      <c r="BW82" s="500">
        <f t="shared" si="159"/>
        <v>0</v>
      </c>
      <c r="BX82" s="500">
        <f t="shared" si="159"/>
        <v>0</v>
      </c>
      <c r="BY82" s="500">
        <f t="shared" si="159"/>
        <v>0</v>
      </c>
      <c r="BZ82" s="500">
        <f t="shared" si="159"/>
        <v>0</v>
      </c>
      <c r="CA82" s="500">
        <f t="shared" si="159"/>
        <v>0</v>
      </c>
      <c r="CB82" s="500">
        <f t="shared" si="159"/>
        <v>0</v>
      </c>
      <c r="CC82" s="500">
        <f t="shared" si="159"/>
        <v>0</v>
      </c>
      <c r="CD82" s="500">
        <f t="shared" si="159"/>
        <v>0</v>
      </c>
      <c r="CE82" s="500">
        <f t="shared" si="159"/>
        <v>0</v>
      </c>
      <c r="CF82" s="500">
        <f t="shared" si="159"/>
        <v>0</v>
      </c>
      <c r="CG82" s="500">
        <f t="shared" si="159"/>
        <v>0</v>
      </c>
      <c r="CH82" s="500">
        <f t="shared" si="159"/>
        <v>0</v>
      </c>
      <c r="CI82" s="500">
        <f t="shared" si="159"/>
        <v>0</v>
      </c>
      <c r="CJ82" s="500">
        <f t="shared" si="159"/>
        <v>0</v>
      </c>
      <c r="CK82" s="500">
        <f t="shared" si="159"/>
        <v>0</v>
      </c>
      <c r="CL82" s="500">
        <f t="shared" si="159"/>
        <v>0</v>
      </c>
      <c r="CM82" s="500">
        <f t="shared" si="159"/>
        <v>0</v>
      </c>
      <c r="CN82" s="500">
        <f t="shared" si="159"/>
        <v>0</v>
      </c>
      <c r="CO82" s="500">
        <f t="shared" si="159"/>
        <v>0</v>
      </c>
      <c r="CP82" s="500">
        <f t="shared" si="159"/>
        <v>0</v>
      </c>
      <c r="CQ82" s="500">
        <f t="shared" si="159"/>
        <v>0</v>
      </c>
      <c r="CR82" s="500">
        <f t="shared" si="159"/>
        <v>0</v>
      </c>
      <c r="CS82" s="500">
        <f t="shared" si="159"/>
        <v>0</v>
      </c>
      <c r="CT82" s="500">
        <f t="shared" si="159"/>
        <v>0</v>
      </c>
      <c r="CU82" s="500">
        <f t="shared" si="159"/>
        <v>0</v>
      </c>
      <c r="CV82" s="500">
        <f t="shared" si="159"/>
        <v>0</v>
      </c>
    </row>
    <row r="83" spans="1:100" s="498" customFormat="1" outlineLevel="2" x14ac:dyDescent="0.2">
      <c r="A83" s="52"/>
      <c r="B83" s="249"/>
      <c r="C83" s="299"/>
      <c r="D83" s="579" t="s">
        <v>170</v>
      </c>
      <c r="E83" s="500" t="str">
        <f t="shared" ref="E83:BP83" si="160" xml:space="preserve"> E$75</f>
        <v>DSRA withdrawal</v>
      </c>
      <c r="F83" s="500">
        <f t="shared" si="160"/>
        <v>0</v>
      </c>
      <c r="G83" s="500" t="str">
        <f t="shared" si="160"/>
        <v>$ 000s</v>
      </c>
      <c r="H83" s="500">
        <f t="shared" si="160"/>
        <v>11233.130870765843</v>
      </c>
      <c r="I83" s="500">
        <f t="shared" si="160"/>
        <v>0</v>
      </c>
      <c r="J83" s="500">
        <f t="shared" si="160"/>
        <v>0</v>
      </c>
      <c r="K83" s="500">
        <f t="shared" si="160"/>
        <v>0</v>
      </c>
      <c r="L83" s="500">
        <f t="shared" si="160"/>
        <v>0</v>
      </c>
      <c r="M83" s="500">
        <f t="shared" si="160"/>
        <v>0</v>
      </c>
      <c r="N83" s="500">
        <f t="shared" si="160"/>
        <v>0</v>
      </c>
      <c r="O83" s="500">
        <f t="shared" si="160"/>
        <v>0</v>
      </c>
      <c r="P83" s="500">
        <f t="shared" si="160"/>
        <v>42.335741100258019</v>
      </c>
      <c r="Q83" s="500">
        <f t="shared" si="160"/>
        <v>43.092867740235306</v>
      </c>
      <c r="R83" s="500">
        <f t="shared" si="160"/>
        <v>42.879581749586578</v>
      </c>
      <c r="S83" s="500">
        <f t="shared" si="160"/>
        <v>43.64991997917241</v>
      </c>
      <c r="T83" s="500">
        <f t="shared" si="160"/>
        <v>35.917089449296327</v>
      </c>
      <c r="U83" s="500">
        <f t="shared" si="160"/>
        <v>51.736738267896726</v>
      </c>
      <c r="V83" s="500">
        <f t="shared" si="160"/>
        <v>51.520153956027571</v>
      </c>
      <c r="W83" s="500">
        <f t="shared" si="160"/>
        <v>37.281901461477901</v>
      </c>
      <c r="X83" s="500">
        <f t="shared" si="160"/>
        <v>44.581523890254175</v>
      </c>
      <c r="Y83" s="500">
        <f t="shared" si="160"/>
        <v>45.393141598593502</v>
      </c>
      <c r="Z83" s="500">
        <f t="shared" si="160"/>
        <v>45.173102681601449</v>
      </c>
      <c r="AA83" s="500">
        <f t="shared" si="160"/>
        <v>45.999044801290438</v>
      </c>
      <c r="AB83" s="500">
        <f t="shared" si="160"/>
        <v>38.505552075483138</v>
      </c>
      <c r="AC83" s="500">
        <f t="shared" si="160"/>
        <v>53.889444469637965</v>
      </c>
      <c r="AD83" s="500">
        <f t="shared" si="160"/>
        <v>53.665789023656544</v>
      </c>
      <c r="AE83" s="500">
        <f t="shared" si="160"/>
        <v>39.977934428390654</v>
      </c>
      <c r="AF83" s="500">
        <f t="shared" si="160"/>
        <v>47.024073246167973</v>
      </c>
      <c r="AG83" s="500">
        <f t="shared" si="160"/>
        <v>47.894768113961618</v>
      </c>
      <c r="AH83" s="500">
        <f t="shared" si="160"/>
        <v>47.667326786007834</v>
      </c>
      <c r="AI83" s="500">
        <f t="shared" si="160"/>
        <v>48.553561438860925</v>
      </c>
      <c r="AJ83" s="500">
        <f t="shared" si="160"/>
        <v>41.312289489233081</v>
      </c>
      <c r="AK83" s="500">
        <f t="shared" si="160"/>
        <v>56.23811380654297</v>
      </c>
      <c r="AL83" s="500">
        <f t="shared" si="160"/>
        <v>56.006711623023875</v>
      </c>
      <c r="AM83" s="500">
        <f t="shared" si="160"/>
        <v>42.901219348826999</v>
      </c>
      <c r="AN83" s="500">
        <f t="shared" si="160"/>
        <v>49.679640115220536</v>
      </c>
      <c r="AO83" s="500">
        <f t="shared" si="160"/>
        <v>50.614394328145863</v>
      </c>
      <c r="AP83" s="500">
        <f t="shared" si="160"/>
        <v>50.378847808828141</v>
      </c>
      <c r="AQ83" s="500">
        <f t="shared" si="160"/>
        <v>51.329703607994816</v>
      </c>
      <c r="AR83" s="500">
        <f t="shared" si="160"/>
        <v>44.354420603738618</v>
      </c>
      <c r="AS83" s="500">
        <f t="shared" si="160"/>
        <v>58.798141329993086</v>
      </c>
      <c r="AT83" s="500">
        <f t="shared" si="160"/>
        <v>58.557004592519661</v>
      </c>
      <c r="AU83" s="500">
        <f t="shared" si="160"/>
        <v>4905.990719647215</v>
      </c>
      <c r="AV83" s="500">
        <f t="shared" si="160"/>
        <v>4860.2304082067021</v>
      </c>
      <c r="AW83" s="500">
        <f t="shared" si="160"/>
        <v>0</v>
      </c>
      <c r="AX83" s="500">
        <f t="shared" si="160"/>
        <v>0</v>
      </c>
      <c r="AY83" s="500">
        <f t="shared" si="160"/>
        <v>0</v>
      </c>
      <c r="AZ83" s="500">
        <f t="shared" si="160"/>
        <v>0</v>
      </c>
      <c r="BA83" s="500">
        <f t="shared" si="160"/>
        <v>0</v>
      </c>
      <c r="BB83" s="500">
        <f t="shared" si="160"/>
        <v>0</v>
      </c>
      <c r="BC83" s="500">
        <f t="shared" si="160"/>
        <v>0</v>
      </c>
      <c r="BD83" s="500">
        <f t="shared" si="160"/>
        <v>0</v>
      </c>
      <c r="BE83" s="500">
        <f t="shared" si="160"/>
        <v>0</v>
      </c>
      <c r="BF83" s="500">
        <f t="shared" si="160"/>
        <v>0</v>
      </c>
      <c r="BG83" s="500">
        <f t="shared" si="160"/>
        <v>0</v>
      </c>
      <c r="BH83" s="500">
        <f t="shared" si="160"/>
        <v>0</v>
      </c>
      <c r="BI83" s="500">
        <f t="shared" si="160"/>
        <v>0</v>
      </c>
      <c r="BJ83" s="500">
        <f t="shared" si="160"/>
        <v>0</v>
      </c>
      <c r="BK83" s="500">
        <f t="shared" si="160"/>
        <v>0</v>
      </c>
      <c r="BL83" s="500">
        <f t="shared" si="160"/>
        <v>0</v>
      </c>
      <c r="BM83" s="500">
        <f t="shared" si="160"/>
        <v>0</v>
      </c>
      <c r="BN83" s="500">
        <f t="shared" si="160"/>
        <v>0</v>
      </c>
      <c r="BO83" s="500">
        <f t="shared" si="160"/>
        <v>0</v>
      </c>
      <c r="BP83" s="500">
        <f t="shared" si="160"/>
        <v>0</v>
      </c>
      <c r="BQ83" s="500">
        <f t="shared" ref="BQ83:CV83" si="161" xml:space="preserve"> BQ$75</f>
        <v>0</v>
      </c>
      <c r="BR83" s="500">
        <f t="shared" si="161"/>
        <v>0</v>
      </c>
      <c r="BS83" s="500">
        <f t="shared" si="161"/>
        <v>0</v>
      </c>
      <c r="BT83" s="500">
        <f t="shared" si="161"/>
        <v>0</v>
      </c>
      <c r="BU83" s="500">
        <f t="shared" si="161"/>
        <v>0</v>
      </c>
      <c r="BV83" s="500">
        <f t="shared" si="161"/>
        <v>0</v>
      </c>
      <c r="BW83" s="500">
        <f t="shared" si="161"/>
        <v>0</v>
      </c>
      <c r="BX83" s="500">
        <f t="shared" si="161"/>
        <v>0</v>
      </c>
      <c r="BY83" s="500">
        <f t="shared" si="161"/>
        <v>0</v>
      </c>
      <c r="BZ83" s="500">
        <f t="shared" si="161"/>
        <v>0</v>
      </c>
      <c r="CA83" s="500">
        <f t="shared" si="161"/>
        <v>0</v>
      </c>
      <c r="CB83" s="500">
        <f t="shared" si="161"/>
        <v>0</v>
      </c>
      <c r="CC83" s="500">
        <f t="shared" si="161"/>
        <v>0</v>
      </c>
      <c r="CD83" s="500">
        <f t="shared" si="161"/>
        <v>0</v>
      </c>
      <c r="CE83" s="500">
        <f t="shared" si="161"/>
        <v>0</v>
      </c>
      <c r="CF83" s="500">
        <f t="shared" si="161"/>
        <v>0</v>
      </c>
      <c r="CG83" s="500">
        <f t="shared" si="161"/>
        <v>0</v>
      </c>
      <c r="CH83" s="500">
        <f t="shared" si="161"/>
        <v>0</v>
      </c>
      <c r="CI83" s="500">
        <f t="shared" si="161"/>
        <v>0</v>
      </c>
      <c r="CJ83" s="500">
        <f t="shared" si="161"/>
        <v>0</v>
      </c>
      <c r="CK83" s="500">
        <f t="shared" si="161"/>
        <v>0</v>
      </c>
      <c r="CL83" s="500">
        <f t="shared" si="161"/>
        <v>0</v>
      </c>
      <c r="CM83" s="500">
        <f t="shared" si="161"/>
        <v>0</v>
      </c>
      <c r="CN83" s="500">
        <f t="shared" si="161"/>
        <v>0</v>
      </c>
      <c r="CO83" s="500">
        <f t="shared" si="161"/>
        <v>0</v>
      </c>
      <c r="CP83" s="500">
        <f t="shared" si="161"/>
        <v>0</v>
      </c>
      <c r="CQ83" s="500">
        <f t="shared" si="161"/>
        <v>0</v>
      </c>
      <c r="CR83" s="500">
        <f t="shared" si="161"/>
        <v>0</v>
      </c>
      <c r="CS83" s="500">
        <f t="shared" si="161"/>
        <v>0</v>
      </c>
      <c r="CT83" s="500">
        <f t="shared" si="161"/>
        <v>0</v>
      </c>
      <c r="CU83" s="500">
        <f t="shared" si="161"/>
        <v>0</v>
      </c>
      <c r="CV83" s="500">
        <f t="shared" si="161"/>
        <v>0</v>
      </c>
    </row>
    <row r="84" spans="1:100" s="541" customFormat="1" outlineLevel="2" x14ac:dyDescent="0.2">
      <c r="A84" s="657"/>
      <c r="B84" s="572"/>
      <c r="C84" s="573"/>
      <c r="D84" s="574" t="s">
        <v>372</v>
      </c>
      <c r="E84" s="541" t="s">
        <v>368</v>
      </c>
      <c r="G84" s="541" t="str">
        <f xml:space="preserve"> SMU</f>
        <v>$ 000s</v>
      </c>
      <c r="J84" s="541">
        <f xml:space="preserve"> IF(J79 = 1, $F78, J81 + J82 - J83)</f>
        <v>0</v>
      </c>
      <c r="K84" s="541">
        <f t="shared" ref="K84:BV84" si="162" xml:space="preserve"> IF(K79 = 1, $F78, K81 + K82 - K83)</f>
        <v>0</v>
      </c>
      <c r="L84" s="541">
        <f t="shared" si="162"/>
        <v>0</v>
      </c>
      <c r="M84" s="541">
        <f t="shared" si="162"/>
        <v>0</v>
      </c>
      <c r="N84" s="541">
        <f t="shared" si="162"/>
        <v>11233.130669939161</v>
      </c>
      <c r="O84" s="541">
        <f t="shared" si="162"/>
        <v>11233.130669939161</v>
      </c>
      <c r="P84" s="541">
        <f t="shared" si="162"/>
        <v>11190.794928838903</v>
      </c>
      <c r="Q84" s="541">
        <f t="shared" si="162"/>
        <v>11147.702061098667</v>
      </c>
      <c r="R84" s="541">
        <f t="shared" si="162"/>
        <v>11104.822479349081</v>
      </c>
      <c r="S84" s="541">
        <f t="shared" si="162"/>
        <v>11061.172559369908</v>
      </c>
      <c r="T84" s="541">
        <f t="shared" si="162"/>
        <v>11025.255469920612</v>
      </c>
      <c r="U84" s="541">
        <f t="shared" si="162"/>
        <v>10973.518731652715</v>
      </c>
      <c r="V84" s="541">
        <f t="shared" si="162"/>
        <v>10921.998577696688</v>
      </c>
      <c r="W84" s="541">
        <f t="shared" si="162"/>
        <v>10884.71667623521</v>
      </c>
      <c r="X84" s="541">
        <f t="shared" si="162"/>
        <v>10840.135152344956</v>
      </c>
      <c r="Y84" s="541">
        <f t="shared" si="162"/>
        <v>10794.742010746362</v>
      </c>
      <c r="Z84" s="541">
        <f t="shared" si="162"/>
        <v>10749.568908064761</v>
      </c>
      <c r="AA84" s="541">
        <f t="shared" si="162"/>
        <v>10703.56986326347</v>
      </c>
      <c r="AB84" s="541">
        <f t="shared" si="162"/>
        <v>10665.064311187987</v>
      </c>
      <c r="AC84" s="541">
        <f t="shared" si="162"/>
        <v>10611.174866718349</v>
      </c>
      <c r="AD84" s="541">
        <f t="shared" si="162"/>
        <v>10557.509077694693</v>
      </c>
      <c r="AE84" s="541">
        <f t="shared" si="162"/>
        <v>10517.531143266302</v>
      </c>
      <c r="AF84" s="541">
        <f t="shared" si="162"/>
        <v>10470.507070020134</v>
      </c>
      <c r="AG84" s="541">
        <f t="shared" si="162"/>
        <v>10422.612301906172</v>
      </c>
      <c r="AH84" s="541">
        <f t="shared" si="162"/>
        <v>10374.944975120165</v>
      </c>
      <c r="AI84" s="541">
        <f t="shared" si="162"/>
        <v>10326.391413681304</v>
      </c>
      <c r="AJ84" s="541">
        <f t="shared" si="162"/>
        <v>10285.079124192071</v>
      </c>
      <c r="AK84" s="541">
        <f t="shared" si="162"/>
        <v>10228.841010385528</v>
      </c>
      <c r="AL84" s="541">
        <f t="shared" si="162"/>
        <v>10172.834298762504</v>
      </c>
      <c r="AM84" s="541">
        <f t="shared" si="162"/>
        <v>10129.933079413677</v>
      </c>
      <c r="AN84" s="541">
        <f t="shared" si="162"/>
        <v>10080.253439298456</v>
      </c>
      <c r="AO84" s="541">
        <f t="shared" si="162"/>
        <v>10029.63904497031</v>
      </c>
      <c r="AP84" s="541">
        <f t="shared" si="162"/>
        <v>9979.2601971614822</v>
      </c>
      <c r="AQ84" s="541">
        <f t="shared" si="162"/>
        <v>9927.9304935534874</v>
      </c>
      <c r="AR84" s="541">
        <f t="shared" si="162"/>
        <v>9883.5760729497488</v>
      </c>
      <c r="AS84" s="541">
        <f t="shared" si="162"/>
        <v>9824.7779316197557</v>
      </c>
      <c r="AT84" s="541">
        <f t="shared" si="162"/>
        <v>9766.220927027236</v>
      </c>
      <c r="AU84" s="541">
        <f t="shared" si="162"/>
        <v>4860.2302073800211</v>
      </c>
      <c r="AV84" s="541">
        <f t="shared" si="162"/>
        <v>-2.0082668106624624E-4</v>
      </c>
      <c r="AW84" s="541">
        <f t="shared" si="162"/>
        <v>-2.0082668106624624E-4</v>
      </c>
      <c r="AX84" s="541">
        <f t="shared" si="162"/>
        <v>-2.0082668106624624E-4</v>
      </c>
      <c r="AY84" s="541">
        <f t="shared" si="162"/>
        <v>-2.0082668106624624E-4</v>
      </c>
      <c r="AZ84" s="541">
        <f t="shared" si="162"/>
        <v>-2.0082668106624624E-4</v>
      </c>
      <c r="BA84" s="541">
        <f t="shared" si="162"/>
        <v>-2.0082668106624624E-4</v>
      </c>
      <c r="BB84" s="541">
        <f t="shared" si="162"/>
        <v>-2.0082668106624624E-4</v>
      </c>
      <c r="BC84" s="541">
        <f t="shared" si="162"/>
        <v>-2.0082668106624624E-4</v>
      </c>
      <c r="BD84" s="541">
        <f t="shared" si="162"/>
        <v>-2.0082668106624624E-4</v>
      </c>
      <c r="BE84" s="541">
        <f t="shared" si="162"/>
        <v>-2.0082668106624624E-4</v>
      </c>
      <c r="BF84" s="541">
        <f t="shared" si="162"/>
        <v>-2.0082668106624624E-4</v>
      </c>
      <c r="BG84" s="541">
        <f t="shared" si="162"/>
        <v>-2.0082668106624624E-4</v>
      </c>
      <c r="BH84" s="541">
        <f t="shared" si="162"/>
        <v>-2.0082668106624624E-4</v>
      </c>
      <c r="BI84" s="541">
        <f t="shared" si="162"/>
        <v>-2.0082668106624624E-4</v>
      </c>
      <c r="BJ84" s="541">
        <f t="shared" si="162"/>
        <v>-2.0082668106624624E-4</v>
      </c>
      <c r="BK84" s="541">
        <f t="shared" si="162"/>
        <v>-2.0082668106624624E-4</v>
      </c>
      <c r="BL84" s="541">
        <f t="shared" si="162"/>
        <v>-2.0082668106624624E-4</v>
      </c>
      <c r="BM84" s="541">
        <f t="shared" si="162"/>
        <v>-2.0082668106624624E-4</v>
      </c>
      <c r="BN84" s="541">
        <f t="shared" si="162"/>
        <v>-2.0082668106624624E-4</v>
      </c>
      <c r="BO84" s="541">
        <f t="shared" si="162"/>
        <v>-2.0082668106624624E-4</v>
      </c>
      <c r="BP84" s="541">
        <f t="shared" si="162"/>
        <v>-2.0082668106624624E-4</v>
      </c>
      <c r="BQ84" s="541">
        <f t="shared" si="162"/>
        <v>-2.0082668106624624E-4</v>
      </c>
      <c r="BR84" s="541">
        <f t="shared" si="162"/>
        <v>-2.0082668106624624E-4</v>
      </c>
      <c r="BS84" s="541">
        <f t="shared" si="162"/>
        <v>-2.0082668106624624E-4</v>
      </c>
      <c r="BT84" s="541">
        <f t="shared" si="162"/>
        <v>-2.0082668106624624E-4</v>
      </c>
      <c r="BU84" s="541">
        <f t="shared" si="162"/>
        <v>-2.0082668106624624E-4</v>
      </c>
      <c r="BV84" s="541">
        <f t="shared" si="162"/>
        <v>-2.0082668106624624E-4</v>
      </c>
      <c r="BW84" s="541">
        <f t="shared" ref="BW84:CV84" si="163" xml:space="preserve"> IF(BW79 = 1, $F78, BW81 + BW82 - BW83)</f>
        <v>-2.0082668106624624E-4</v>
      </c>
      <c r="BX84" s="541">
        <f t="shared" si="163"/>
        <v>-2.0082668106624624E-4</v>
      </c>
      <c r="BY84" s="541">
        <f t="shared" si="163"/>
        <v>-2.0082668106624624E-4</v>
      </c>
      <c r="BZ84" s="541">
        <f t="shared" si="163"/>
        <v>-2.0082668106624624E-4</v>
      </c>
      <c r="CA84" s="541">
        <f t="shared" si="163"/>
        <v>-2.0082668106624624E-4</v>
      </c>
      <c r="CB84" s="541">
        <f t="shared" si="163"/>
        <v>-2.0082668106624624E-4</v>
      </c>
      <c r="CC84" s="541">
        <f t="shared" si="163"/>
        <v>-2.0082668106624624E-4</v>
      </c>
      <c r="CD84" s="541">
        <f t="shared" si="163"/>
        <v>-2.0082668106624624E-4</v>
      </c>
      <c r="CE84" s="541">
        <f t="shared" si="163"/>
        <v>-2.0082668106624624E-4</v>
      </c>
      <c r="CF84" s="541">
        <f t="shared" si="163"/>
        <v>-2.0082668106624624E-4</v>
      </c>
      <c r="CG84" s="541">
        <f t="shared" si="163"/>
        <v>-2.0082668106624624E-4</v>
      </c>
      <c r="CH84" s="541">
        <f t="shared" si="163"/>
        <v>-2.0082668106624624E-4</v>
      </c>
      <c r="CI84" s="541">
        <f t="shared" si="163"/>
        <v>-2.0082668106624624E-4</v>
      </c>
      <c r="CJ84" s="541">
        <f t="shared" si="163"/>
        <v>-2.0082668106624624E-4</v>
      </c>
      <c r="CK84" s="541">
        <f t="shared" si="163"/>
        <v>-2.0082668106624624E-4</v>
      </c>
      <c r="CL84" s="541">
        <f t="shared" si="163"/>
        <v>-2.0082668106624624E-4</v>
      </c>
      <c r="CM84" s="541">
        <f t="shared" si="163"/>
        <v>-2.0082668106624624E-4</v>
      </c>
      <c r="CN84" s="541">
        <f t="shared" si="163"/>
        <v>-2.0082668106624624E-4</v>
      </c>
      <c r="CO84" s="541">
        <f t="shared" si="163"/>
        <v>-2.0082668106624624E-4</v>
      </c>
      <c r="CP84" s="541">
        <f t="shared" si="163"/>
        <v>-2.0082668106624624E-4</v>
      </c>
      <c r="CQ84" s="541">
        <f t="shared" si="163"/>
        <v>-2.0082668106624624E-4</v>
      </c>
      <c r="CR84" s="541">
        <f t="shared" si="163"/>
        <v>-2.0082668106624624E-4</v>
      </c>
      <c r="CS84" s="541">
        <f t="shared" si="163"/>
        <v>-2.0082668106624624E-4</v>
      </c>
      <c r="CT84" s="541">
        <f t="shared" si="163"/>
        <v>-2.0082668106624624E-4</v>
      </c>
      <c r="CU84" s="541">
        <f t="shared" si="163"/>
        <v>-2.0082668106624624E-4</v>
      </c>
      <c r="CV84" s="541">
        <f t="shared" si="163"/>
        <v>-2.0082668106624624E-4</v>
      </c>
    </row>
    <row r="85" spans="1:100" outlineLevel="2" x14ac:dyDescent="0.2">
      <c r="A85" s="33"/>
      <c r="B85" s="79"/>
      <c r="C85" s="561"/>
      <c r="D85" s="60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/>
    </row>
    <row r="86" spans="1:100" s="125" customFormat="1" outlineLevel="2" x14ac:dyDescent="0.2">
      <c r="A86" s="75"/>
      <c r="B86" s="639"/>
      <c r="C86" s="640"/>
      <c r="D86" s="641"/>
      <c r="E86" s="125" t="str">
        <f xml:space="preserve"> InpC!E$355</f>
        <v>DSRA cash or LC funded</v>
      </c>
      <c r="F86" s="125">
        <f xml:space="preserve"> InpC!F$355</f>
        <v>1</v>
      </c>
      <c r="G86" s="125" t="str">
        <f xml:space="preserve"> InpC!G$355</f>
        <v>1 = cash, 2 = LC</v>
      </c>
    </row>
    <row r="87" spans="1:100" outlineLevel="2" x14ac:dyDescent="0.2">
      <c r="A87" s="33"/>
      <c r="B87" s="79"/>
      <c r="C87" s="561"/>
      <c r="D87" s="60"/>
      <c r="E87" s="32" t="str">
        <f t="shared" ref="E87:BP87" si="164" xml:space="preserve"> E$84</f>
        <v>DSRA balance</v>
      </c>
      <c r="F87" s="32">
        <f t="shared" si="164"/>
        <v>0</v>
      </c>
      <c r="G87" s="32" t="str">
        <f t="shared" si="164"/>
        <v>$ 000s</v>
      </c>
      <c r="H87" s="32">
        <f t="shared" si="164"/>
        <v>0</v>
      </c>
      <c r="I87" s="32">
        <f t="shared" si="164"/>
        <v>0</v>
      </c>
      <c r="J87" s="32">
        <f t="shared" si="164"/>
        <v>0</v>
      </c>
      <c r="K87" s="32">
        <f t="shared" si="164"/>
        <v>0</v>
      </c>
      <c r="L87" s="32">
        <f t="shared" si="164"/>
        <v>0</v>
      </c>
      <c r="M87" s="32">
        <f t="shared" si="164"/>
        <v>0</v>
      </c>
      <c r="N87" s="32">
        <f t="shared" si="164"/>
        <v>11233.130669939161</v>
      </c>
      <c r="O87" s="32">
        <f t="shared" si="164"/>
        <v>11233.130669939161</v>
      </c>
      <c r="P87" s="32">
        <f t="shared" si="164"/>
        <v>11190.794928838903</v>
      </c>
      <c r="Q87" s="32">
        <f t="shared" si="164"/>
        <v>11147.702061098667</v>
      </c>
      <c r="R87" s="32">
        <f t="shared" si="164"/>
        <v>11104.822479349081</v>
      </c>
      <c r="S87" s="32">
        <f t="shared" si="164"/>
        <v>11061.172559369908</v>
      </c>
      <c r="T87" s="32">
        <f t="shared" si="164"/>
        <v>11025.255469920612</v>
      </c>
      <c r="U87" s="32">
        <f t="shared" si="164"/>
        <v>10973.518731652715</v>
      </c>
      <c r="V87" s="32">
        <f t="shared" si="164"/>
        <v>10921.998577696688</v>
      </c>
      <c r="W87" s="32">
        <f t="shared" si="164"/>
        <v>10884.71667623521</v>
      </c>
      <c r="X87" s="32">
        <f t="shared" si="164"/>
        <v>10840.135152344956</v>
      </c>
      <c r="Y87" s="32">
        <f t="shared" si="164"/>
        <v>10794.742010746362</v>
      </c>
      <c r="Z87" s="32">
        <f t="shared" si="164"/>
        <v>10749.568908064761</v>
      </c>
      <c r="AA87" s="32">
        <f t="shared" si="164"/>
        <v>10703.56986326347</v>
      </c>
      <c r="AB87" s="32">
        <f t="shared" si="164"/>
        <v>10665.064311187987</v>
      </c>
      <c r="AC87" s="32">
        <f t="shared" si="164"/>
        <v>10611.174866718349</v>
      </c>
      <c r="AD87" s="32">
        <f t="shared" si="164"/>
        <v>10557.509077694693</v>
      </c>
      <c r="AE87" s="32">
        <f t="shared" si="164"/>
        <v>10517.531143266302</v>
      </c>
      <c r="AF87" s="32">
        <f t="shared" si="164"/>
        <v>10470.507070020134</v>
      </c>
      <c r="AG87" s="32">
        <f t="shared" si="164"/>
        <v>10422.612301906172</v>
      </c>
      <c r="AH87" s="32">
        <f t="shared" si="164"/>
        <v>10374.944975120165</v>
      </c>
      <c r="AI87" s="32">
        <f t="shared" si="164"/>
        <v>10326.391413681304</v>
      </c>
      <c r="AJ87" s="32">
        <f t="shared" si="164"/>
        <v>10285.079124192071</v>
      </c>
      <c r="AK87" s="32">
        <f t="shared" si="164"/>
        <v>10228.841010385528</v>
      </c>
      <c r="AL87" s="32">
        <f t="shared" si="164"/>
        <v>10172.834298762504</v>
      </c>
      <c r="AM87" s="32">
        <f t="shared" si="164"/>
        <v>10129.933079413677</v>
      </c>
      <c r="AN87" s="32">
        <f t="shared" si="164"/>
        <v>10080.253439298456</v>
      </c>
      <c r="AO87" s="32">
        <f t="shared" si="164"/>
        <v>10029.63904497031</v>
      </c>
      <c r="AP87" s="32">
        <f t="shared" si="164"/>
        <v>9979.2601971614822</v>
      </c>
      <c r="AQ87" s="32">
        <f t="shared" si="164"/>
        <v>9927.9304935534874</v>
      </c>
      <c r="AR87" s="32">
        <f t="shared" si="164"/>
        <v>9883.5760729497488</v>
      </c>
      <c r="AS87" s="32">
        <f t="shared" si="164"/>
        <v>9824.7779316197557</v>
      </c>
      <c r="AT87" s="32">
        <f t="shared" si="164"/>
        <v>9766.220927027236</v>
      </c>
      <c r="AU87" s="32">
        <f t="shared" si="164"/>
        <v>4860.2302073800211</v>
      </c>
      <c r="AV87" s="32">
        <f t="shared" si="164"/>
        <v>-2.0082668106624624E-4</v>
      </c>
      <c r="AW87" s="32">
        <f t="shared" si="164"/>
        <v>-2.0082668106624624E-4</v>
      </c>
      <c r="AX87" s="32">
        <f t="shared" si="164"/>
        <v>-2.0082668106624624E-4</v>
      </c>
      <c r="AY87" s="32">
        <f t="shared" si="164"/>
        <v>-2.0082668106624624E-4</v>
      </c>
      <c r="AZ87" s="32">
        <f t="shared" si="164"/>
        <v>-2.0082668106624624E-4</v>
      </c>
      <c r="BA87" s="32">
        <f t="shared" si="164"/>
        <v>-2.0082668106624624E-4</v>
      </c>
      <c r="BB87" s="32">
        <f t="shared" si="164"/>
        <v>-2.0082668106624624E-4</v>
      </c>
      <c r="BC87" s="32">
        <f t="shared" si="164"/>
        <v>-2.0082668106624624E-4</v>
      </c>
      <c r="BD87" s="32">
        <f t="shared" si="164"/>
        <v>-2.0082668106624624E-4</v>
      </c>
      <c r="BE87" s="32">
        <f t="shared" si="164"/>
        <v>-2.0082668106624624E-4</v>
      </c>
      <c r="BF87" s="32">
        <f t="shared" si="164"/>
        <v>-2.0082668106624624E-4</v>
      </c>
      <c r="BG87" s="32">
        <f t="shared" si="164"/>
        <v>-2.0082668106624624E-4</v>
      </c>
      <c r="BH87" s="32">
        <f t="shared" si="164"/>
        <v>-2.0082668106624624E-4</v>
      </c>
      <c r="BI87" s="32">
        <f t="shared" si="164"/>
        <v>-2.0082668106624624E-4</v>
      </c>
      <c r="BJ87" s="32">
        <f t="shared" si="164"/>
        <v>-2.0082668106624624E-4</v>
      </c>
      <c r="BK87" s="32">
        <f t="shared" si="164"/>
        <v>-2.0082668106624624E-4</v>
      </c>
      <c r="BL87" s="32">
        <f t="shared" si="164"/>
        <v>-2.0082668106624624E-4</v>
      </c>
      <c r="BM87" s="32">
        <f t="shared" si="164"/>
        <v>-2.0082668106624624E-4</v>
      </c>
      <c r="BN87" s="32">
        <f t="shared" si="164"/>
        <v>-2.0082668106624624E-4</v>
      </c>
      <c r="BO87" s="32">
        <f t="shared" si="164"/>
        <v>-2.0082668106624624E-4</v>
      </c>
      <c r="BP87" s="32">
        <f t="shared" si="164"/>
        <v>-2.0082668106624624E-4</v>
      </c>
      <c r="BQ87" s="32">
        <f t="shared" ref="BQ87:CV87" si="165" xml:space="preserve"> BQ$84</f>
        <v>-2.0082668106624624E-4</v>
      </c>
      <c r="BR87" s="32">
        <f t="shared" si="165"/>
        <v>-2.0082668106624624E-4</v>
      </c>
      <c r="BS87" s="32">
        <f t="shared" si="165"/>
        <v>-2.0082668106624624E-4</v>
      </c>
      <c r="BT87" s="32">
        <f t="shared" si="165"/>
        <v>-2.0082668106624624E-4</v>
      </c>
      <c r="BU87" s="32">
        <f t="shared" si="165"/>
        <v>-2.0082668106624624E-4</v>
      </c>
      <c r="BV87" s="32">
        <f t="shared" si="165"/>
        <v>-2.0082668106624624E-4</v>
      </c>
      <c r="BW87" s="32">
        <f t="shared" si="165"/>
        <v>-2.0082668106624624E-4</v>
      </c>
      <c r="BX87" s="32">
        <f t="shared" si="165"/>
        <v>-2.0082668106624624E-4</v>
      </c>
      <c r="BY87" s="32">
        <f t="shared" si="165"/>
        <v>-2.0082668106624624E-4</v>
      </c>
      <c r="BZ87" s="32">
        <f t="shared" si="165"/>
        <v>-2.0082668106624624E-4</v>
      </c>
      <c r="CA87" s="32">
        <f t="shared" si="165"/>
        <v>-2.0082668106624624E-4</v>
      </c>
      <c r="CB87" s="32">
        <f t="shared" si="165"/>
        <v>-2.0082668106624624E-4</v>
      </c>
      <c r="CC87" s="32">
        <f t="shared" si="165"/>
        <v>-2.0082668106624624E-4</v>
      </c>
      <c r="CD87" s="32">
        <f t="shared" si="165"/>
        <v>-2.0082668106624624E-4</v>
      </c>
      <c r="CE87" s="32">
        <f t="shared" si="165"/>
        <v>-2.0082668106624624E-4</v>
      </c>
      <c r="CF87" s="32">
        <f t="shared" si="165"/>
        <v>-2.0082668106624624E-4</v>
      </c>
      <c r="CG87" s="32">
        <f t="shared" si="165"/>
        <v>-2.0082668106624624E-4</v>
      </c>
      <c r="CH87" s="32">
        <f t="shared" si="165"/>
        <v>-2.0082668106624624E-4</v>
      </c>
      <c r="CI87" s="32">
        <f t="shared" si="165"/>
        <v>-2.0082668106624624E-4</v>
      </c>
      <c r="CJ87" s="32">
        <f t="shared" si="165"/>
        <v>-2.0082668106624624E-4</v>
      </c>
      <c r="CK87" s="32">
        <f t="shared" si="165"/>
        <v>-2.0082668106624624E-4</v>
      </c>
      <c r="CL87" s="32">
        <f t="shared" si="165"/>
        <v>-2.0082668106624624E-4</v>
      </c>
      <c r="CM87" s="32">
        <f t="shared" si="165"/>
        <v>-2.0082668106624624E-4</v>
      </c>
      <c r="CN87" s="32">
        <f t="shared" si="165"/>
        <v>-2.0082668106624624E-4</v>
      </c>
      <c r="CO87" s="32">
        <f t="shared" si="165"/>
        <v>-2.0082668106624624E-4</v>
      </c>
      <c r="CP87" s="32">
        <f t="shared" si="165"/>
        <v>-2.0082668106624624E-4</v>
      </c>
      <c r="CQ87" s="32">
        <f t="shared" si="165"/>
        <v>-2.0082668106624624E-4</v>
      </c>
      <c r="CR87" s="32">
        <f t="shared" si="165"/>
        <v>-2.0082668106624624E-4</v>
      </c>
      <c r="CS87" s="32">
        <f t="shared" si="165"/>
        <v>-2.0082668106624624E-4</v>
      </c>
      <c r="CT87" s="32">
        <f t="shared" si="165"/>
        <v>-2.0082668106624624E-4</v>
      </c>
      <c r="CU87" s="32">
        <f t="shared" si="165"/>
        <v>-2.0082668106624624E-4</v>
      </c>
      <c r="CV87" s="32">
        <f t="shared" si="165"/>
        <v>-2.0082668106624624E-4</v>
      </c>
    </row>
    <row r="88" spans="1:100" outlineLevel="2" x14ac:dyDescent="0.2">
      <c r="A88" s="33"/>
      <c r="B88" s="79"/>
      <c r="C88" s="561"/>
      <c r="D88" s="60"/>
      <c r="E88" s="32" t="str">
        <f xml:space="preserve"> E$25</f>
        <v>DSRA target balance</v>
      </c>
      <c r="F88" s="32">
        <f t="shared" ref="F88:BQ88" si="166" xml:space="preserve"> F$25</f>
        <v>0</v>
      </c>
      <c r="G88" s="32" t="str">
        <f t="shared" si="166"/>
        <v>$ 000s</v>
      </c>
      <c r="H88" s="32">
        <f t="shared" si="166"/>
        <v>0</v>
      </c>
      <c r="I88" s="32">
        <f t="shared" si="166"/>
        <v>0</v>
      </c>
      <c r="J88" s="32">
        <f t="shared" si="166"/>
        <v>0</v>
      </c>
      <c r="K88" s="32">
        <f t="shared" si="166"/>
        <v>0</v>
      </c>
      <c r="L88" s="32">
        <f t="shared" si="166"/>
        <v>0</v>
      </c>
      <c r="M88" s="32">
        <f t="shared" si="166"/>
        <v>0</v>
      </c>
      <c r="N88" s="32">
        <f t="shared" si="166"/>
        <v>0</v>
      </c>
      <c r="O88" s="32">
        <f t="shared" si="166"/>
        <v>11233.130669939161</v>
      </c>
      <c r="P88" s="32">
        <f t="shared" si="166"/>
        <v>11190.794928838903</v>
      </c>
      <c r="Q88" s="32">
        <f t="shared" si="166"/>
        <v>11147.702061098667</v>
      </c>
      <c r="R88" s="32">
        <f t="shared" si="166"/>
        <v>11104.822479349081</v>
      </c>
      <c r="S88" s="32">
        <f t="shared" si="166"/>
        <v>11061.172559369908</v>
      </c>
      <c r="T88" s="32">
        <f t="shared" si="166"/>
        <v>11025.255469920612</v>
      </c>
      <c r="U88" s="32">
        <f t="shared" si="166"/>
        <v>10973.518731652715</v>
      </c>
      <c r="V88" s="32">
        <f t="shared" si="166"/>
        <v>10921.998577696688</v>
      </c>
      <c r="W88" s="32">
        <f t="shared" si="166"/>
        <v>10884.71667623521</v>
      </c>
      <c r="X88" s="32">
        <f t="shared" si="166"/>
        <v>10840.135152344956</v>
      </c>
      <c r="Y88" s="32">
        <f t="shared" si="166"/>
        <v>10794.742010746362</v>
      </c>
      <c r="Z88" s="32">
        <f t="shared" si="166"/>
        <v>10749.568908064761</v>
      </c>
      <c r="AA88" s="32">
        <f t="shared" si="166"/>
        <v>10703.56986326347</v>
      </c>
      <c r="AB88" s="32">
        <f t="shared" si="166"/>
        <v>10665.064311187987</v>
      </c>
      <c r="AC88" s="32">
        <f t="shared" si="166"/>
        <v>10611.174866718349</v>
      </c>
      <c r="AD88" s="32">
        <f t="shared" si="166"/>
        <v>10557.509077694693</v>
      </c>
      <c r="AE88" s="32">
        <f t="shared" si="166"/>
        <v>10517.531143266302</v>
      </c>
      <c r="AF88" s="32">
        <f t="shared" si="166"/>
        <v>10470.507070020134</v>
      </c>
      <c r="AG88" s="32">
        <f t="shared" si="166"/>
        <v>10422.612301906172</v>
      </c>
      <c r="AH88" s="32">
        <f t="shared" si="166"/>
        <v>10374.944975120165</v>
      </c>
      <c r="AI88" s="32">
        <f t="shared" si="166"/>
        <v>10326.391413681304</v>
      </c>
      <c r="AJ88" s="32">
        <f t="shared" si="166"/>
        <v>10285.079124192071</v>
      </c>
      <c r="AK88" s="32">
        <f t="shared" si="166"/>
        <v>10228.841010385528</v>
      </c>
      <c r="AL88" s="32">
        <f t="shared" si="166"/>
        <v>10172.834298762504</v>
      </c>
      <c r="AM88" s="32">
        <f t="shared" si="166"/>
        <v>10129.933079413677</v>
      </c>
      <c r="AN88" s="32">
        <f t="shared" si="166"/>
        <v>10080.253439298456</v>
      </c>
      <c r="AO88" s="32">
        <f t="shared" si="166"/>
        <v>10029.63904497031</v>
      </c>
      <c r="AP88" s="32">
        <f t="shared" si="166"/>
        <v>9979.2601971614822</v>
      </c>
      <c r="AQ88" s="32">
        <f t="shared" si="166"/>
        <v>9927.9304935534874</v>
      </c>
      <c r="AR88" s="32">
        <f t="shared" si="166"/>
        <v>9883.5760729497488</v>
      </c>
      <c r="AS88" s="32">
        <f t="shared" si="166"/>
        <v>9824.7779316197557</v>
      </c>
      <c r="AT88" s="32">
        <f t="shared" si="166"/>
        <v>9766.220927027236</v>
      </c>
      <c r="AU88" s="32">
        <f t="shared" si="166"/>
        <v>4860.2302073800211</v>
      </c>
      <c r="AV88" s="32">
        <f t="shared" si="166"/>
        <v>-2.0082668080759609E-4</v>
      </c>
      <c r="AW88" s="32">
        <f t="shared" si="166"/>
        <v>0</v>
      </c>
      <c r="AX88" s="32">
        <f t="shared" si="166"/>
        <v>0</v>
      </c>
      <c r="AY88" s="32">
        <f t="shared" si="166"/>
        <v>0</v>
      </c>
      <c r="AZ88" s="32">
        <f t="shared" si="166"/>
        <v>0</v>
      </c>
      <c r="BA88" s="32">
        <f t="shared" si="166"/>
        <v>0</v>
      </c>
      <c r="BB88" s="32">
        <f t="shared" si="166"/>
        <v>0</v>
      </c>
      <c r="BC88" s="32">
        <f t="shared" si="166"/>
        <v>0</v>
      </c>
      <c r="BD88" s="32">
        <f t="shared" si="166"/>
        <v>0</v>
      </c>
      <c r="BE88" s="32">
        <f t="shared" si="166"/>
        <v>0</v>
      </c>
      <c r="BF88" s="32">
        <f t="shared" si="166"/>
        <v>0</v>
      </c>
      <c r="BG88" s="32">
        <f t="shared" si="166"/>
        <v>0</v>
      </c>
      <c r="BH88" s="32">
        <f t="shared" si="166"/>
        <v>0</v>
      </c>
      <c r="BI88" s="32">
        <f t="shared" si="166"/>
        <v>0</v>
      </c>
      <c r="BJ88" s="32">
        <f t="shared" si="166"/>
        <v>0</v>
      </c>
      <c r="BK88" s="32">
        <f t="shared" si="166"/>
        <v>0</v>
      </c>
      <c r="BL88" s="32">
        <f t="shared" si="166"/>
        <v>0</v>
      </c>
      <c r="BM88" s="32">
        <f t="shared" si="166"/>
        <v>0</v>
      </c>
      <c r="BN88" s="32">
        <f t="shared" si="166"/>
        <v>0</v>
      </c>
      <c r="BO88" s="32">
        <f t="shared" si="166"/>
        <v>0</v>
      </c>
      <c r="BP88" s="32">
        <f t="shared" si="166"/>
        <v>0</v>
      </c>
      <c r="BQ88" s="32">
        <f t="shared" si="166"/>
        <v>0</v>
      </c>
      <c r="BR88" s="32">
        <f t="shared" ref="BR88:CV88" si="167" xml:space="preserve"> BR$25</f>
        <v>0</v>
      </c>
      <c r="BS88" s="32">
        <f t="shared" si="167"/>
        <v>0</v>
      </c>
      <c r="BT88" s="32">
        <f t="shared" si="167"/>
        <v>0</v>
      </c>
      <c r="BU88" s="32">
        <f t="shared" si="167"/>
        <v>0</v>
      </c>
      <c r="BV88" s="32">
        <f t="shared" si="167"/>
        <v>0</v>
      </c>
      <c r="BW88" s="32">
        <f t="shared" si="167"/>
        <v>0</v>
      </c>
      <c r="BX88" s="32">
        <f t="shared" si="167"/>
        <v>0</v>
      </c>
      <c r="BY88" s="32">
        <f t="shared" si="167"/>
        <v>0</v>
      </c>
      <c r="BZ88" s="32">
        <f t="shared" si="167"/>
        <v>0</v>
      </c>
      <c r="CA88" s="32">
        <f t="shared" si="167"/>
        <v>0</v>
      </c>
      <c r="CB88" s="32">
        <f t="shared" si="167"/>
        <v>0</v>
      </c>
      <c r="CC88" s="32">
        <f t="shared" si="167"/>
        <v>0</v>
      </c>
      <c r="CD88" s="32">
        <f t="shared" si="167"/>
        <v>0</v>
      </c>
      <c r="CE88" s="32">
        <f t="shared" si="167"/>
        <v>0</v>
      </c>
      <c r="CF88" s="32">
        <f t="shared" si="167"/>
        <v>0</v>
      </c>
      <c r="CG88" s="32">
        <f t="shared" si="167"/>
        <v>0</v>
      </c>
      <c r="CH88" s="32">
        <f t="shared" si="167"/>
        <v>0</v>
      </c>
      <c r="CI88" s="32">
        <f t="shared" si="167"/>
        <v>0</v>
      </c>
      <c r="CJ88" s="32">
        <f t="shared" si="167"/>
        <v>0</v>
      </c>
      <c r="CK88" s="32">
        <f t="shared" si="167"/>
        <v>0</v>
      </c>
      <c r="CL88" s="32">
        <f t="shared" si="167"/>
        <v>0</v>
      </c>
      <c r="CM88" s="32">
        <f t="shared" si="167"/>
        <v>0</v>
      </c>
      <c r="CN88" s="32">
        <f t="shared" si="167"/>
        <v>0</v>
      </c>
      <c r="CO88" s="32">
        <f t="shared" si="167"/>
        <v>0</v>
      </c>
      <c r="CP88" s="32">
        <f t="shared" si="167"/>
        <v>0</v>
      </c>
      <c r="CQ88" s="32">
        <f t="shared" si="167"/>
        <v>0</v>
      </c>
      <c r="CR88" s="32">
        <f t="shared" si="167"/>
        <v>0</v>
      </c>
      <c r="CS88" s="32">
        <f t="shared" si="167"/>
        <v>0</v>
      </c>
      <c r="CT88" s="32">
        <f t="shared" si="167"/>
        <v>0</v>
      </c>
      <c r="CU88" s="32">
        <f t="shared" si="167"/>
        <v>0</v>
      </c>
      <c r="CV88" s="32">
        <f t="shared" si="167"/>
        <v>0</v>
      </c>
    </row>
    <row r="89" spans="1:100" s="495" customFormat="1" outlineLevel="2" x14ac:dyDescent="0.2">
      <c r="A89" s="77"/>
      <c r="B89" s="77"/>
      <c r="C89" s="77"/>
      <c r="D89" s="77"/>
      <c r="E89" s="77" t="str">
        <f xml:space="preserve"> Time!E$209</f>
        <v>Senior debt service period flag</v>
      </c>
      <c r="F89" s="77">
        <f xml:space="preserve"> Time!F$209</f>
        <v>0</v>
      </c>
      <c r="G89" s="77" t="str">
        <f xml:space="preserve"> Time!G$209</f>
        <v>flag</v>
      </c>
      <c r="H89" s="77">
        <f xml:space="preserve"> Time!H$209</f>
        <v>34</v>
      </c>
      <c r="I89" s="77">
        <f xml:space="preserve"> Time!I$209</f>
        <v>0</v>
      </c>
      <c r="J89" s="77">
        <f xml:space="preserve"> Time!J$209</f>
        <v>0</v>
      </c>
      <c r="K89" s="77">
        <f xml:space="preserve"> Time!K$209</f>
        <v>0</v>
      </c>
      <c r="L89" s="77">
        <f xml:space="preserve"> Time!L$209</f>
        <v>0</v>
      </c>
      <c r="M89" s="77">
        <f xml:space="preserve"> Time!M$209</f>
        <v>0</v>
      </c>
      <c r="N89" s="77">
        <f xml:space="preserve"> Time!N$209</f>
        <v>0</v>
      </c>
      <c r="O89" s="77">
        <f xml:space="preserve"> Time!O$209</f>
        <v>1</v>
      </c>
      <c r="P89" s="77">
        <f xml:space="preserve"> Time!P$209</f>
        <v>1</v>
      </c>
      <c r="Q89" s="77">
        <f xml:space="preserve"> Time!Q$209</f>
        <v>1</v>
      </c>
      <c r="R89" s="77">
        <f xml:space="preserve"> Time!R$209</f>
        <v>1</v>
      </c>
      <c r="S89" s="77">
        <f xml:space="preserve"> Time!S$209</f>
        <v>1</v>
      </c>
      <c r="T89" s="77">
        <f xml:space="preserve"> Time!T$209</f>
        <v>1</v>
      </c>
      <c r="U89" s="77">
        <f xml:space="preserve"> Time!U$209</f>
        <v>1</v>
      </c>
      <c r="V89" s="77">
        <f xml:space="preserve"> Time!V$209</f>
        <v>1</v>
      </c>
      <c r="W89" s="77">
        <f xml:space="preserve"> Time!W$209</f>
        <v>1</v>
      </c>
      <c r="X89" s="77">
        <f xml:space="preserve"> Time!X$209</f>
        <v>1</v>
      </c>
      <c r="Y89" s="77">
        <f xml:space="preserve"> Time!Y$209</f>
        <v>1</v>
      </c>
      <c r="Z89" s="77">
        <f xml:space="preserve"> Time!Z$209</f>
        <v>1</v>
      </c>
      <c r="AA89" s="77">
        <f xml:space="preserve"> Time!AA$209</f>
        <v>1</v>
      </c>
      <c r="AB89" s="77">
        <f xml:space="preserve"> Time!AB$209</f>
        <v>1</v>
      </c>
      <c r="AC89" s="77">
        <f xml:space="preserve"> Time!AC$209</f>
        <v>1</v>
      </c>
      <c r="AD89" s="77">
        <f xml:space="preserve"> Time!AD$209</f>
        <v>1</v>
      </c>
      <c r="AE89" s="77">
        <f xml:space="preserve"> Time!AE$209</f>
        <v>1</v>
      </c>
      <c r="AF89" s="77">
        <f xml:space="preserve"> Time!AF$209</f>
        <v>1</v>
      </c>
      <c r="AG89" s="77">
        <f xml:space="preserve"> Time!AG$209</f>
        <v>1</v>
      </c>
      <c r="AH89" s="77">
        <f xml:space="preserve"> Time!AH$209</f>
        <v>1</v>
      </c>
      <c r="AI89" s="77">
        <f xml:space="preserve"> Time!AI$209</f>
        <v>1</v>
      </c>
      <c r="AJ89" s="77">
        <f xml:space="preserve"> Time!AJ$209</f>
        <v>1</v>
      </c>
      <c r="AK89" s="77">
        <f xml:space="preserve"> Time!AK$209</f>
        <v>1</v>
      </c>
      <c r="AL89" s="77">
        <f xml:space="preserve"> Time!AL$209</f>
        <v>1</v>
      </c>
      <c r="AM89" s="77">
        <f xml:space="preserve"> Time!AM$209</f>
        <v>1</v>
      </c>
      <c r="AN89" s="77">
        <f xml:space="preserve"> Time!AN$209</f>
        <v>1</v>
      </c>
      <c r="AO89" s="77">
        <f xml:space="preserve"> Time!AO$209</f>
        <v>1</v>
      </c>
      <c r="AP89" s="77">
        <f xml:space="preserve"> Time!AP$209</f>
        <v>1</v>
      </c>
      <c r="AQ89" s="77">
        <f xml:space="preserve"> Time!AQ$209</f>
        <v>1</v>
      </c>
      <c r="AR89" s="77">
        <f xml:space="preserve"> Time!AR$209</f>
        <v>1</v>
      </c>
      <c r="AS89" s="77">
        <f xml:space="preserve"> Time!AS$209</f>
        <v>1</v>
      </c>
      <c r="AT89" s="77">
        <f xml:space="preserve"> Time!AT$209</f>
        <v>1</v>
      </c>
      <c r="AU89" s="77">
        <f xml:space="preserve"> Time!AU$209</f>
        <v>1</v>
      </c>
      <c r="AV89" s="77">
        <f xml:space="preserve"> Time!AV$209</f>
        <v>1</v>
      </c>
      <c r="AW89" s="77">
        <f xml:space="preserve"> Time!AW$209</f>
        <v>0</v>
      </c>
      <c r="AX89" s="77">
        <f xml:space="preserve"> Time!AX$209</f>
        <v>0</v>
      </c>
      <c r="AY89" s="77">
        <f xml:space="preserve"> Time!AY$209</f>
        <v>0</v>
      </c>
      <c r="AZ89" s="77">
        <f xml:space="preserve"> Time!AZ$209</f>
        <v>0</v>
      </c>
      <c r="BA89" s="77">
        <f xml:space="preserve"> Time!BA$209</f>
        <v>0</v>
      </c>
      <c r="BB89" s="77">
        <f xml:space="preserve"> Time!BB$209</f>
        <v>0</v>
      </c>
      <c r="BC89" s="77">
        <f xml:space="preserve"> Time!BC$209</f>
        <v>0</v>
      </c>
      <c r="BD89" s="77">
        <f xml:space="preserve"> Time!BD$209</f>
        <v>0</v>
      </c>
      <c r="BE89" s="77">
        <f xml:space="preserve"> Time!BE$209</f>
        <v>0</v>
      </c>
      <c r="BF89" s="77">
        <f xml:space="preserve"> Time!BF$209</f>
        <v>0</v>
      </c>
      <c r="BG89" s="77">
        <f xml:space="preserve"> Time!BG$209</f>
        <v>0</v>
      </c>
      <c r="BH89" s="77">
        <f xml:space="preserve"> Time!BH$209</f>
        <v>0</v>
      </c>
      <c r="BI89" s="77">
        <f xml:space="preserve"> Time!BI$209</f>
        <v>0</v>
      </c>
      <c r="BJ89" s="77">
        <f xml:space="preserve"> Time!BJ$209</f>
        <v>0</v>
      </c>
      <c r="BK89" s="77">
        <f xml:space="preserve"> Time!BK$209</f>
        <v>0</v>
      </c>
      <c r="BL89" s="77">
        <f xml:space="preserve"> Time!BL$209</f>
        <v>0</v>
      </c>
      <c r="BM89" s="77">
        <f xml:space="preserve"> Time!BM$209</f>
        <v>0</v>
      </c>
      <c r="BN89" s="77">
        <f xml:space="preserve"> Time!BN$209</f>
        <v>0</v>
      </c>
      <c r="BO89" s="77">
        <f xml:space="preserve"> Time!BO$209</f>
        <v>0</v>
      </c>
      <c r="BP89" s="77">
        <f xml:space="preserve"> Time!BP$209</f>
        <v>0</v>
      </c>
      <c r="BQ89" s="77">
        <f xml:space="preserve"> Time!BQ$209</f>
        <v>0</v>
      </c>
      <c r="BR89" s="77">
        <f xml:space="preserve"> Time!BR$209</f>
        <v>0</v>
      </c>
      <c r="BS89" s="77">
        <f xml:space="preserve"> Time!BS$209</f>
        <v>0</v>
      </c>
      <c r="BT89" s="77">
        <f xml:space="preserve"> Time!BT$209</f>
        <v>0</v>
      </c>
      <c r="BU89" s="77">
        <f xml:space="preserve"> Time!BU$209</f>
        <v>0</v>
      </c>
      <c r="BV89" s="77">
        <f xml:space="preserve"> Time!BV$209</f>
        <v>0</v>
      </c>
      <c r="BW89" s="77">
        <f xml:space="preserve"> Time!BW$209</f>
        <v>0</v>
      </c>
      <c r="BX89" s="77">
        <f xml:space="preserve"> Time!BX$209</f>
        <v>0</v>
      </c>
      <c r="BY89" s="77">
        <f xml:space="preserve"> Time!BY$209</f>
        <v>0</v>
      </c>
      <c r="BZ89" s="77">
        <f xml:space="preserve"> Time!BZ$209</f>
        <v>0</v>
      </c>
      <c r="CA89" s="77">
        <f xml:space="preserve"> Time!CA$209</f>
        <v>0</v>
      </c>
      <c r="CB89" s="77">
        <f xml:space="preserve"> Time!CB$209</f>
        <v>0</v>
      </c>
      <c r="CC89" s="77">
        <f xml:space="preserve"> Time!CC$209</f>
        <v>0</v>
      </c>
      <c r="CD89" s="77">
        <f xml:space="preserve"> Time!CD$209</f>
        <v>0</v>
      </c>
      <c r="CE89" s="77">
        <f xml:space="preserve"> Time!CE$209</f>
        <v>0</v>
      </c>
      <c r="CF89" s="77">
        <f xml:space="preserve"> Time!CF$209</f>
        <v>0</v>
      </c>
      <c r="CG89" s="77">
        <f xml:space="preserve"> Time!CG$209</f>
        <v>0</v>
      </c>
      <c r="CH89" s="77">
        <f xml:space="preserve"> Time!CH$209</f>
        <v>0</v>
      </c>
      <c r="CI89" s="77">
        <f xml:space="preserve"> Time!CI$209</f>
        <v>0</v>
      </c>
      <c r="CJ89" s="77">
        <f xml:space="preserve"> Time!CJ$209</f>
        <v>0</v>
      </c>
      <c r="CK89" s="77">
        <f xml:space="preserve"> Time!CK$209</f>
        <v>0</v>
      </c>
      <c r="CL89" s="77">
        <f xml:space="preserve"> Time!CL$209</f>
        <v>0</v>
      </c>
      <c r="CM89" s="77">
        <f xml:space="preserve"> Time!CM$209</f>
        <v>0</v>
      </c>
      <c r="CN89" s="77">
        <f xml:space="preserve"> Time!CN$209</f>
        <v>0</v>
      </c>
      <c r="CO89" s="77">
        <f xml:space="preserve"> Time!CO$209</f>
        <v>0</v>
      </c>
      <c r="CP89" s="77">
        <f xml:space="preserve"> Time!CP$209</f>
        <v>0</v>
      </c>
      <c r="CQ89" s="77">
        <f xml:space="preserve"> Time!CQ$209</f>
        <v>0</v>
      </c>
      <c r="CR89" s="77">
        <f xml:space="preserve"> Time!CR$209</f>
        <v>0</v>
      </c>
      <c r="CS89" s="77">
        <f xml:space="preserve"> Time!CS$209</f>
        <v>0</v>
      </c>
      <c r="CT89" s="77">
        <f xml:space="preserve"> Time!CT$209</f>
        <v>0</v>
      </c>
      <c r="CU89" s="77">
        <f xml:space="preserve"> Time!CU$209</f>
        <v>0</v>
      </c>
      <c r="CV89" s="77">
        <f xml:space="preserve"> Time!CV$209</f>
        <v>0</v>
      </c>
    </row>
    <row r="90" spans="1:100" s="191" customFormat="1" outlineLevel="2" x14ac:dyDescent="0.2">
      <c r="A90" s="405"/>
      <c r="B90" s="431"/>
      <c r="C90" s="564"/>
      <c r="D90" s="565"/>
      <c r="E90" s="191" t="s">
        <v>373</v>
      </c>
      <c r="G90" s="191" t="s">
        <v>20</v>
      </c>
      <c r="H90" s="191">
        <f xml:space="preserve"> SUM( J90:CV90 )</f>
        <v>0</v>
      </c>
      <c r="J90" s="478">
        <f t="shared" ref="J90:AO90" si="168" xml:space="preserve"> IF((J88 - J87) &gt; CHK_TOL, 1, 0) * J89 * ($F86 = 1)</f>
        <v>0</v>
      </c>
      <c r="K90" s="478">
        <f t="shared" si="168"/>
        <v>0</v>
      </c>
      <c r="L90" s="478">
        <f t="shared" si="168"/>
        <v>0</v>
      </c>
      <c r="M90" s="478">
        <f t="shared" si="168"/>
        <v>0</v>
      </c>
      <c r="N90" s="478">
        <f t="shared" si="168"/>
        <v>0</v>
      </c>
      <c r="O90" s="478">
        <f t="shared" si="168"/>
        <v>0</v>
      </c>
      <c r="P90" s="478">
        <f t="shared" si="168"/>
        <v>0</v>
      </c>
      <c r="Q90" s="478">
        <f t="shared" si="168"/>
        <v>0</v>
      </c>
      <c r="R90" s="478">
        <f t="shared" si="168"/>
        <v>0</v>
      </c>
      <c r="S90" s="478">
        <f t="shared" si="168"/>
        <v>0</v>
      </c>
      <c r="T90" s="478">
        <f t="shared" si="168"/>
        <v>0</v>
      </c>
      <c r="U90" s="478">
        <f t="shared" si="168"/>
        <v>0</v>
      </c>
      <c r="V90" s="478">
        <f t="shared" si="168"/>
        <v>0</v>
      </c>
      <c r="W90" s="478">
        <f t="shared" si="168"/>
        <v>0</v>
      </c>
      <c r="X90" s="478">
        <f t="shared" si="168"/>
        <v>0</v>
      </c>
      <c r="Y90" s="478">
        <f t="shared" si="168"/>
        <v>0</v>
      </c>
      <c r="Z90" s="478">
        <f t="shared" si="168"/>
        <v>0</v>
      </c>
      <c r="AA90" s="478">
        <f t="shared" si="168"/>
        <v>0</v>
      </c>
      <c r="AB90" s="478">
        <f t="shared" si="168"/>
        <v>0</v>
      </c>
      <c r="AC90" s="478">
        <f t="shared" si="168"/>
        <v>0</v>
      </c>
      <c r="AD90" s="478">
        <f t="shared" si="168"/>
        <v>0</v>
      </c>
      <c r="AE90" s="478">
        <f t="shared" si="168"/>
        <v>0</v>
      </c>
      <c r="AF90" s="478">
        <f t="shared" si="168"/>
        <v>0</v>
      </c>
      <c r="AG90" s="478">
        <f t="shared" si="168"/>
        <v>0</v>
      </c>
      <c r="AH90" s="478">
        <f t="shared" si="168"/>
        <v>0</v>
      </c>
      <c r="AI90" s="478">
        <f t="shared" si="168"/>
        <v>0</v>
      </c>
      <c r="AJ90" s="478">
        <f t="shared" si="168"/>
        <v>0</v>
      </c>
      <c r="AK90" s="478">
        <f t="shared" si="168"/>
        <v>0</v>
      </c>
      <c r="AL90" s="478">
        <f t="shared" si="168"/>
        <v>0</v>
      </c>
      <c r="AM90" s="478">
        <f t="shared" si="168"/>
        <v>0</v>
      </c>
      <c r="AN90" s="478">
        <f t="shared" si="168"/>
        <v>0</v>
      </c>
      <c r="AO90" s="478">
        <f t="shared" si="168"/>
        <v>0</v>
      </c>
      <c r="AP90" s="478">
        <f t="shared" ref="AP90:BU90" si="169" xml:space="preserve"> IF((AP88 - AP87) &gt; CHK_TOL, 1, 0) * AP89 * ($F86 = 1)</f>
        <v>0</v>
      </c>
      <c r="AQ90" s="478">
        <f t="shared" si="169"/>
        <v>0</v>
      </c>
      <c r="AR90" s="478">
        <f t="shared" si="169"/>
        <v>0</v>
      </c>
      <c r="AS90" s="478">
        <f t="shared" si="169"/>
        <v>0</v>
      </c>
      <c r="AT90" s="478">
        <f t="shared" si="169"/>
        <v>0</v>
      </c>
      <c r="AU90" s="478">
        <f t="shared" si="169"/>
        <v>0</v>
      </c>
      <c r="AV90" s="478">
        <f t="shared" si="169"/>
        <v>0</v>
      </c>
      <c r="AW90" s="478">
        <f t="shared" si="169"/>
        <v>0</v>
      </c>
      <c r="AX90" s="478">
        <f t="shared" si="169"/>
        <v>0</v>
      </c>
      <c r="AY90" s="478">
        <f t="shared" si="169"/>
        <v>0</v>
      </c>
      <c r="AZ90" s="478">
        <f t="shared" si="169"/>
        <v>0</v>
      </c>
      <c r="BA90" s="478">
        <f t="shared" si="169"/>
        <v>0</v>
      </c>
      <c r="BB90" s="478">
        <f t="shared" si="169"/>
        <v>0</v>
      </c>
      <c r="BC90" s="478">
        <f t="shared" si="169"/>
        <v>0</v>
      </c>
      <c r="BD90" s="478">
        <f t="shared" si="169"/>
        <v>0</v>
      </c>
      <c r="BE90" s="478">
        <f t="shared" si="169"/>
        <v>0</v>
      </c>
      <c r="BF90" s="478">
        <f t="shared" si="169"/>
        <v>0</v>
      </c>
      <c r="BG90" s="478">
        <f t="shared" si="169"/>
        <v>0</v>
      </c>
      <c r="BH90" s="478">
        <f t="shared" si="169"/>
        <v>0</v>
      </c>
      <c r="BI90" s="478">
        <f t="shared" si="169"/>
        <v>0</v>
      </c>
      <c r="BJ90" s="478">
        <f t="shared" si="169"/>
        <v>0</v>
      </c>
      <c r="BK90" s="478">
        <f t="shared" si="169"/>
        <v>0</v>
      </c>
      <c r="BL90" s="478">
        <f t="shared" si="169"/>
        <v>0</v>
      </c>
      <c r="BM90" s="478">
        <f t="shared" si="169"/>
        <v>0</v>
      </c>
      <c r="BN90" s="478">
        <f t="shared" si="169"/>
        <v>0</v>
      </c>
      <c r="BO90" s="478">
        <f t="shared" si="169"/>
        <v>0</v>
      </c>
      <c r="BP90" s="478">
        <f t="shared" si="169"/>
        <v>0</v>
      </c>
      <c r="BQ90" s="478">
        <f t="shared" si="169"/>
        <v>0</v>
      </c>
      <c r="BR90" s="478">
        <f t="shared" si="169"/>
        <v>0</v>
      </c>
      <c r="BS90" s="478">
        <f t="shared" si="169"/>
        <v>0</v>
      </c>
      <c r="BT90" s="478">
        <f t="shared" si="169"/>
        <v>0</v>
      </c>
      <c r="BU90" s="478">
        <f t="shared" si="169"/>
        <v>0</v>
      </c>
      <c r="BV90" s="478">
        <f t="shared" ref="BV90:CV90" si="170" xml:space="preserve"> IF((BV88 - BV87) &gt; CHK_TOL, 1, 0) * BV89 * ($F86 = 1)</f>
        <v>0</v>
      </c>
      <c r="BW90" s="478">
        <f t="shared" si="170"/>
        <v>0</v>
      </c>
      <c r="BX90" s="478">
        <f t="shared" si="170"/>
        <v>0</v>
      </c>
      <c r="BY90" s="478">
        <f t="shared" si="170"/>
        <v>0</v>
      </c>
      <c r="BZ90" s="478">
        <f t="shared" si="170"/>
        <v>0</v>
      </c>
      <c r="CA90" s="478">
        <f t="shared" si="170"/>
        <v>0</v>
      </c>
      <c r="CB90" s="478">
        <f t="shared" si="170"/>
        <v>0</v>
      </c>
      <c r="CC90" s="478">
        <f t="shared" si="170"/>
        <v>0</v>
      </c>
      <c r="CD90" s="478">
        <f t="shared" si="170"/>
        <v>0</v>
      </c>
      <c r="CE90" s="478">
        <f t="shared" si="170"/>
        <v>0</v>
      </c>
      <c r="CF90" s="478">
        <f t="shared" si="170"/>
        <v>0</v>
      </c>
      <c r="CG90" s="478">
        <f t="shared" si="170"/>
        <v>0</v>
      </c>
      <c r="CH90" s="478">
        <f t="shared" si="170"/>
        <v>0</v>
      </c>
      <c r="CI90" s="478">
        <f t="shared" si="170"/>
        <v>0</v>
      </c>
      <c r="CJ90" s="478">
        <f t="shared" si="170"/>
        <v>0</v>
      </c>
      <c r="CK90" s="478">
        <f t="shared" si="170"/>
        <v>0</v>
      </c>
      <c r="CL90" s="478">
        <f t="shared" si="170"/>
        <v>0</v>
      </c>
      <c r="CM90" s="478">
        <f t="shared" si="170"/>
        <v>0</v>
      </c>
      <c r="CN90" s="478">
        <f t="shared" si="170"/>
        <v>0</v>
      </c>
      <c r="CO90" s="478">
        <f t="shared" si="170"/>
        <v>0</v>
      </c>
      <c r="CP90" s="478">
        <f t="shared" si="170"/>
        <v>0</v>
      </c>
      <c r="CQ90" s="478">
        <f t="shared" si="170"/>
        <v>0</v>
      </c>
      <c r="CR90" s="478">
        <f t="shared" si="170"/>
        <v>0</v>
      </c>
      <c r="CS90" s="478">
        <f t="shared" si="170"/>
        <v>0</v>
      </c>
      <c r="CT90" s="478">
        <f t="shared" si="170"/>
        <v>0</v>
      </c>
      <c r="CU90" s="478">
        <f t="shared" si="170"/>
        <v>0</v>
      </c>
      <c r="CV90" s="478">
        <f t="shared" si="170"/>
        <v>0</v>
      </c>
    </row>
    <row r="91" spans="1:100" outlineLevel="2" x14ac:dyDescent="0.2">
      <c r="A91" s="33"/>
      <c r="B91" s="79"/>
      <c r="C91" s="561"/>
      <c r="D91" s="60"/>
      <c r="E91" s="188" t="s">
        <v>421</v>
      </c>
      <c r="F91" s="633">
        <f xml:space="preserve"> IF(SUM(J90:CV90) &gt; 0, 1, 0)</f>
        <v>0</v>
      </c>
      <c r="G91" s="188" t="s">
        <v>20</v>
      </c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2"/>
      <c r="CT91" s="32"/>
      <c r="CU91" s="32"/>
      <c r="CV91" s="32"/>
    </row>
    <row r="92" spans="1:100" outlineLevel="2" x14ac:dyDescent="0.2">
      <c r="A92" s="33"/>
      <c r="B92" s="79"/>
      <c r="C92" s="561"/>
      <c r="D92" s="60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2"/>
      <c r="CT92" s="32"/>
      <c r="CU92" s="32"/>
      <c r="CV92" s="32"/>
    </row>
    <row r="93" spans="1:100" x14ac:dyDescent="0.2">
      <c r="A93" s="33"/>
      <c r="B93" s="79"/>
      <c r="C93" s="561"/>
      <c r="D93" s="60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2"/>
      <c r="CT93" s="32"/>
      <c r="CU93" s="32"/>
      <c r="CV93" s="32"/>
    </row>
    <row r="94" spans="1:100" ht="15" x14ac:dyDescent="0.2">
      <c r="A94" s="654" t="s">
        <v>1206</v>
      </c>
      <c r="B94"/>
      <c r="C94"/>
      <c r="D94"/>
      <c r="E94"/>
      <c r="F94" s="125"/>
      <c r="G94"/>
      <c r="H94"/>
      <c r="I94"/>
      <c r="J94"/>
      <c r="K94"/>
      <c r="L94"/>
      <c r="M94"/>
      <c r="N94"/>
      <c r="O94"/>
    </row>
    <row r="95" spans="1:100" outlineLevel="1" x14ac:dyDescent="0.2">
      <c r="A95" s="495"/>
      <c r="B95"/>
      <c r="C95"/>
      <c r="D95"/>
      <c r="E95"/>
      <c r="F95" s="12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</row>
    <row r="96" spans="1:100" outlineLevel="1" x14ac:dyDescent="0.2">
      <c r="A96" s="33"/>
      <c r="B96" s="79" t="s">
        <v>1207</v>
      </c>
      <c r="C96" s="561"/>
      <c r="D96" s="60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  <c r="CS96" s="32"/>
      <c r="CT96" s="32"/>
      <c r="CU96" s="32"/>
      <c r="CV96" s="32"/>
    </row>
    <row r="97" spans="1:100" outlineLevel="2" x14ac:dyDescent="0.2">
      <c r="A97" s="33"/>
      <c r="B97" s="79"/>
      <c r="C97" s="561"/>
      <c r="D97" s="60"/>
      <c r="E97" s="125" t="str">
        <f xml:space="preserve"> InpC!E$412</f>
        <v>Months in year</v>
      </c>
      <c r="F97" s="125">
        <f xml:space="preserve"> InpC!F$412</f>
        <v>12</v>
      </c>
      <c r="G97" s="125" t="str">
        <f xml:space="preserve"> InpC!G$412</f>
        <v>months</v>
      </c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32"/>
    </row>
    <row r="98" spans="1:100" outlineLevel="2" x14ac:dyDescent="0.2">
      <c r="A98" s="33"/>
      <c r="B98" s="79"/>
      <c r="C98" s="561"/>
      <c r="D98" s="60"/>
      <c r="E98" s="125" t="str">
        <f xml:space="preserve"> InpC!E$16</f>
        <v>Length of operating period</v>
      </c>
      <c r="F98" s="125">
        <f xml:space="preserve"> InpC!F$16</f>
        <v>6</v>
      </c>
      <c r="G98" s="125" t="str">
        <f xml:space="preserve"> InpC!G$16</f>
        <v>months</v>
      </c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2"/>
      <c r="CT98" s="32"/>
      <c r="CU98" s="32"/>
      <c r="CV98" s="32"/>
    </row>
    <row r="99" spans="1:100" s="188" customFormat="1" outlineLevel="2" x14ac:dyDescent="0.2">
      <c r="A99" s="655"/>
      <c r="B99" s="397"/>
      <c r="C99" s="566"/>
      <c r="D99" s="567"/>
      <c r="E99" s="191" t="s">
        <v>1208</v>
      </c>
      <c r="F99" s="191">
        <f xml:space="preserve"> F97 / F98</f>
        <v>2</v>
      </c>
      <c r="G99" s="191" t="s">
        <v>87</v>
      </c>
    </row>
    <row r="100" spans="1:100" outlineLevel="2" x14ac:dyDescent="0.2">
      <c r="A100" s="33"/>
      <c r="B100" s="79"/>
      <c r="C100" s="561"/>
      <c r="D100" s="60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2"/>
      <c r="CT100" s="32"/>
      <c r="CU100" s="32"/>
      <c r="CV100" s="32"/>
    </row>
    <row r="101" spans="1:100" s="495" customFormat="1" outlineLevel="2" x14ac:dyDescent="0.2">
      <c r="A101" s="33"/>
      <c r="B101" s="33"/>
      <c r="C101" s="30"/>
      <c r="D101" s="81"/>
      <c r="E101" s="35" t="str">
        <f xml:space="preserve"> E$99</f>
        <v>Periods in a year - P99</v>
      </c>
      <c r="F101" s="35">
        <f xml:space="preserve"> F$99</f>
        <v>2</v>
      </c>
      <c r="G101" s="35" t="str">
        <f xml:space="preserve"> G$99</f>
        <v>periods</v>
      </c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</row>
    <row r="102" spans="1:100" s="495" customFormat="1" outlineLevel="2" x14ac:dyDescent="0.2">
      <c r="A102" s="405"/>
      <c r="B102" s="405"/>
      <c r="C102" s="406"/>
      <c r="D102" s="575"/>
      <c r="E102" s="576" t="str">
        <f xml:space="preserve"> Time!E$10</f>
        <v>Model column counter</v>
      </c>
      <c r="F102" s="576">
        <f xml:space="preserve"> Time!F$10</f>
        <v>0</v>
      </c>
      <c r="G102" s="576" t="str">
        <f xml:space="preserve"> Time!G$10</f>
        <v>counter</v>
      </c>
      <c r="H102" s="576">
        <f xml:space="preserve"> Time!H$10</f>
        <v>0</v>
      </c>
      <c r="I102" s="576">
        <f xml:space="preserve"> Time!I$10</f>
        <v>0</v>
      </c>
      <c r="J102" s="576">
        <f xml:space="preserve"> Time!J$10</f>
        <v>1</v>
      </c>
      <c r="K102" s="576">
        <f xml:space="preserve"> Time!K$10</f>
        <v>2</v>
      </c>
      <c r="L102" s="576">
        <f xml:space="preserve"> Time!L$10</f>
        <v>3</v>
      </c>
      <c r="M102" s="576">
        <f xml:space="preserve"> Time!M$10</f>
        <v>4</v>
      </c>
      <c r="N102" s="576">
        <f xml:space="preserve"> Time!N$10</f>
        <v>5</v>
      </c>
      <c r="O102" s="576">
        <f xml:space="preserve"> Time!O$10</f>
        <v>6</v>
      </c>
      <c r="P102" s="576">
        <f xml:space="preserve"> Time!P$10</f>
        <v>7</v>
      </c>
      <c r="Q102" s="576">
        <f xml:space="preserve"> Time!Q$10</f>
        <v>8</v>
      </c>
      <c r="R102" s="576">
        <f xml:space="preserve"> Time!R$10</f>
        <v>9</v>
      </c>
      <c r="S102" s="576">
        <f xml:space="preserve"> Time!S$10</f>
        <v>10</v>
      </c>
      <c r="T102" s="576">
        <f xml:space="preserve"> Time!T$10</f>
        <v>11</v>
      </c>
      <c r="U102" s="576">
        <f xml:space="preserve"> Time!U$10</f>
        <v>12</v>
      </c>
      <c r="V102" s="576">
        <f xml:space="preserve"> Time!V$10</f>
        <v>13</v>
      </c>
      <c r="W102" s="576">
        <f xml:space="preserve"> Time!W$10</f>
        <v>14</v>
      </c>
      <c r="X102" s="576">
        <f xml:space="preserve"> Time!X$10</f>
        <v>15</v>
      </c>
      <c r="Y102" s="576">
        <f xml:space="preserve"> Time!Y$10</f>
        <v>16</v>
      </c>
      <c r="Z102" s="576">
        <f xml:space="preserve"> Time!Z$10</f>
        <v>17</v>
      </c>
      <c r="AA102" s="576">
        <f xml:space="preserve"> Time!AA$10</f>
        <v>18</v>
      </c>
      <c r="AB102" s="576">
        <f xml:space="preserve"> Time!AB$10</f>
        <v>19</v>
      </c>
      <c r="AC102" s="576">
        <f xml:space="preserve"> Time!AC$10</f>
        <v>20</v>
      </c>
      <c r="AD102" s="576">
        <f xml:space="preserve"> Time!AD$10</f>
        <v>21</v>
      </c>
      <c r="AE102" s="576">
        <f xml:space="preserve"> Time!AE$10</f>
        <v>22</v>
      </c>
      <c r="AF102" s="576">
        <f xml:space="preserve"> Time!AF$10</f>
        <v>23</v>
      </c>
      <c r="AG102" s="576">
        <f xml:space="preserve"> Time!AG$10</f>
        <v>24</v>
      </c>
      <c r="AH102" s="576">
        <f xml:space="preserve"> Time!AH$10</f>
        <v>25</v>
      </c>
      <c r="AI102" s="576">
        <f xml:space="preserve"> Time!AI$10</f>
        <v>26</v>
      </c>
      <c r="AJ102" s="576">
        <f xml:space="preserve"> Time!AJ$10</f>
        <v>27</v>
      </c>
      <c r="AK102" s="576">
        <f xml:space="preserve"> Time!AK$10</f>
        <v>28</v>
      </c>
      <c r="AL102" s="576">
        <f xml:space="preserve"> Time!AL$10</f>
        <v>29</v>
      </c>
      <c r="AM102" s="576">
        <f xml:space="preserve"> Time!AM$10</f>
        <v>30</v>
      </c>
      <c r="AN102" s="576">
        <f xml:space="preserve"> Time!AN$10</f>
        <v>31</v>
      </c>
      <c r="AO102" s="576">
        <f xml:space="preserve"> Time!AO$10</f>
        <v>32</v>
      </c>
      <c r="AP102" s="576">
        <f xml:space="preserve"> Time!AP$10</f>
        <v>33</v>
      </c>
      <c r="AQ102" s="576">
        <f xml:space="preserve"> Time!AQ$10</f>
        <v>34</v>
      </c>
      <c r="AR102" s="576">
        <f xml:space="preserve"> Time!AR$10</f>
        <v>35</v>
      </c>
      <c r="AS102" s="576">
        <f xml:space="preserve"> Time!AS$10</f>
        <v>36</v>
      </c>
      <c r="AT102" s="576">
        <f xml:space="preserve"> Time!AT$10</f>
        <v>37</v>
      </c>
      <c r="AU102" s="576">
        <f xml:space="preserve"> Time!AU$10</f>
        <v>38</v>
      </c>
      <c r="AV102" s="576">
        <f xml:space="preserve"> Time!AV$10</f>
        <v>39</v>
      </c>
      <c r="AW102" s="576">
        <f xml:space="preserve"> Time!AW$10</f>
        <v>40</v>
      </c>
      <c r="AX102" s="576">
        <f xml:space="preserve"> Time!AX$10</f>
        <v>41</v>
      </c>
      <c r="AY102" s="576">
        <f xml:space="preserve"> Time!AY$10</f>
        <v>42</v>
      </c>
      <c r="AZ102" s="576">
        <f xml:space="preserve"> Time!AZ$10</f>
        <v>43</v>
      </c>
      <c r="BA102" s="576">
        <f xml:space="preserve"> Time!BA$10</f>
        <v>44</v>
      </c>
      <c r="BB102" s="576">
        <f xml:space="preserve"> Time!BB$10</f>
        <v>45</v>
      </c>
      <c r="BC102" s="576">
        <f xml:space="preserve"> Time!BC$10</f>
        <v>46</v>
      </c>
      <c r="BD102" s="576">
        <f xml:space="preserve"> Time!BD$10</f>
        <v>47</v>
      </c>
      <c r="BE102" s="576">
        <f xml:space="preserve"> Time!BE$10</f>
        <v>48</v>
      </c>
      <c r="BF102" s="576">
        <f xml:space="preserve"> Time!BF$10</f>
        <v>49</v>
      </c>
      <c r="BG102" s="576">
        <f xml:space="preserve"> Time!BG$10</f>
        <v>50</v>
      </c>
      <c r="BH102" s="576">
        <f xml:space="preserve"> Time!BH$10</f>
        <v>51</v>
      </c>
      <c r="BI102" s="576">
        <f xml:space="preserve"> Time!BI$10</f>
        <v>52</v>
      </c>
      <c r="BJ102" s="576">
        <f xml:space="preserve"> Time!BJ$10</f>
        <v>53</v>
      </c>
      <c r="BK102" s="576">
        <f xml:space="preserve"> Time!BK$10</f>
        <v>54</v>
      </c>
      <c r="BL102" s="576">
        <f xml:space="preserve"> Time!BL$10</f>
        <v>55</v>
      </c>
      <c r="BM102" s="576">
        <f xml:space="preserve"> Time!BM$10</f>
        <v>56</v>
      </c>
      <c r="BN102" s="576">
        <f xml:space="preserve"> Time!BN$10</f>
        <v>57</v>
      </c>
      <c r="BO102" s="576">
        <f xml:space="preserve"> Time!BO$10</f>
        <v>58</v>
      </c>
      <c r="BP102" s="576">
        <f xml:space="preserve"> Time!BP$10</f>
        <v>59</v>
      </c>
      <c r="BQ102" s="576">
        <f xml:space="preserve"> Time!BQ$10</f>
        <v>60</v>
      </c>
      <c r="BR102" s="576">
        <f xml:space="preserve"> Time!BR$10</f>
        <v>61</v>
      </c>
      <c r="BS102" s="576">
        <f xml:space="preserve"> Time!BS$10</f>
        <v>62</v>
      </c>
      <c r="BT102" s="576">
        <f xml:space="preserve"> Time!BT$10</f>
        <v>63</v>
      </c>
      <c r="BU102" s="576">
        <f xml:space="preserve"> Time!BU$10</f>
        <v>64</v>
      </c>
      <c r="BV102" s="576">
        <f xml:space="preserve"> Time!BV$10</f>
        <v>65</v>
      </c>
      <c r="BW102" s="576">
        <f xml:space="preserve"> Time!BW$10</f>
        <v>66</v>
      </c>
      <c r="BX102" s="576">
        <f xml:space="preserve"> Time!BX$10</f>
        <v>67</v>
      </c>
      <c r="BY102" s="576">
        <f xml:space="preserve"> Time!BY$10</f>
        <v>68</v>
      </c>
      <c r="BZ102" s="576">
        <f xml:space="preserve"> Time!BZ$10</f>
        <v>69</v>
      </c>
      <c r="CA102" s="576">
        <f xml:space="preserve"> Time!CA$10</f>
        <v>70</v>
      </c>
      <c r="CB102" s="576">
        <f xml:space="preserve"> Time!CB$10</f>
        <v>71</v>
      </c>
      <c r="CC102" s="576">
        <f xml:space="preserve"> Time!CC$10</f>
        <v>72</v>
      </c>
      <c r="CD102" s="576">
        <f xml:space="preserve"> Time!CD$10</f>
        <v>73</v>
      </c>
      <c r="CE102" s="576">
        <f xml:space="preserve"> Time!CE$10</f>
        <v>74</v>
      </c>
      <c r="CF102" s="576">
        <f xml:space="preserve"> Time!CF$10</f>
        <v>75</v>
      </c>
      <c r="CG102" s="576">
        <f xml:space="preserve"> Time!CG$10</f>
        <v>76</v>
      </c>
      <c r="CH102" s="576">
        <f xml:space="preserve"> Time!CH$10</f>
        <v>77</v>
      </c>
      <c r="CI102" s="576">
        <f xml:space="preserve"> Time!CI$10</f>
        <v>78</v>
      </c>
      <c r="CJ102" s="576">
        <f xml:space="preserve"> Time!CJ$10</f>
        <v>79</v>
      </c>
      <c r="CK102" s="576">
        <f xml:space="preserve"> Time!CK$10</f>
        <v>80</v>
      </c>
      <c r="CL102" s="576">
        <f xml:space="preserve"> Time!CL$10</f>
        <v>81</v>
      </c>
      <c r="CM102" s="576">
        <f xml:space="preserve"> Time!CM$10</f>
        <v>82</v>
      </c>
      <c r="CN102" s="576">
        <f xml:space="preserve"> Time!CN$10</f>
        <v>83</v>
      </c>
      <c r="CO102" s="576">
        <f xml:space="preserve"> Time!CO$10</f>
        <v>84</v>
      </c>
      <c r="CP102" s="576">
        <f xml:space="preserve"> Time!CP$10</f>
        <v>85</v>
      </c>
      <c r="CQ102" s="576">
        <f xml:space="preserve"> Time!CQ$10</f>
        <v>86</v>
      </c>
      <c r="CR102" s="576">
        <f xml:space="preserve"> Time!CR$10</f>
        <v>87</v>
      </c>
      <c r="CS102" s="576">
        <f xml:space="preserve"> Time!CS$10</f>
        <v>88</v>
      </c>
      <c r="CT102" s="576">
        <f xml:space="preserve"> Time!CT$10</f>
        <v>89</v>
      </c>
      <c r="CU102" s="576">
        <f xml:space="preserve"> Time!CU$10</f>
        <v>90</v>
      </c>
      <c r="CV102" s="576">
        <f xml:space="preserve"> Time!CV$10</f>
        <v>91</v>
      </c>
    </row>
    <row r="103" spans="1:100" s="495" customFormat="1" outlineLevel="2" x14ac:dyDescent="0.2">
      <c r="A103" s="405"/>
      <c r="B103" s="405"/>
      <c r="C103" s="406"/>
      <c r="D103" s="575"/>
      <c r="E103" s="77" t="str">
        <f xml:space="preserve"> Debt!E$369</f>
        <v>Senior debt service</v>
      </c>
      <c r="F103" s="77">
        <f xml:space="preserve"> Debt!F$369</f>
        <v>0</v>
      </c>
      <c r="G103" s="77" t="str">
        <f xml:space="preserve"> Debt!G$369</f>
        <v>$ 000s</v>
      </c>
      <c r="H103" s="77">
        <f xml:space="preserve"> Debt!H$369</f>
        <v>360041.89848376269</v>
      </c>
      <c r="I103" s="77">
        <f xml:space="preserve"> Debt!I$369</f>
        <v>0</v>
      </c>
      <c r="J103" s="77">
        <f xml:space="preserve"> Debt!J$369</f>
        <v>0</v>
      </c>
      <c r="K103" s="77">
        <f xml:space="preserve"> Debt!K$369</f>
        <v>0</v>
      </c>
      <c r="L103" s="77">
        <f xml:space="preserve"> Debt!L$369</f>
        <v>0</v>
      </c>
      <c r="M103" s="77">
        <f xml:space="preserve"> Debt!M$369</f>
        <v>0</v>
      </c>
      <c r="N103" s="77">
        <f xml:space="preserve"> Debt!N$369</f>
        <v>0</v>
      </c>
      <c r="O103" s="77">
        <f xml:space="preserve"> Debt!O$369</f>
        <v>12686.671356945051</v>
      </c>
      <c r="P103" s="77">
        <f xml:space="preserve"> Debt!P$369</f>
        <v>11219.578313619157</v>
      </c>
      <c r="Q103" s="77">
        <f xml:space="preserve"> Debt!Q$369</f>
        <v>11246.683026259163</v>
      </c>
      <c r="R103" s="77">
        <f xml:space="preserve"> Debt!R$369</f>
        <v>11134.906831418644</v>
      </c>
      <c r="S103" s="77">
        <f xml:space="preserve"> Debt!S$369</f>
        <v>11160.497290778691</v>
      </c>
      <c r="T103" s="77">
        <f xml:space="preserve"> Debt!T$369</f>
        <v>11049.147667919469</v>
      </c>
      <c r="U103" s="77">
        <f xml:space="preserve"> Debt!U$369</f>
        <v>11073.197450820346</v>
      </c>
      <c r="V103" s="77">
        <f xml:space="preserve"> Debt!V$369</f>
        <v>10977.313489020877</v>
      </c>
      <c r="W103" s="77">
        <f xml:space="preserve"> Debt!W$369</f>
        <v>10969.723974284556</v>
      </c>
      <c r="X103" s="77">
        <f xml:space="preserve"> Debt!X$369</f>
        <v>10874.27318110882</v>
      </c>
      <c r="Y103" s="77">
        <f xml:space="preserve"> Debt!Y$369</f>
        <v>10895.160171361602</v>
      </c>
      <c r="Z103" s="77">
        <f xml:space="preserve"> Debt!Z$369</f>
        <v>10785.110133328311</v>
      </c>
      <c r="AA103" s="77">
        <f xml:space="preserve"> Debt!AA$369</f>
        <v>10804.373888164411</v>
      </c>
      <c r="AB103" s="77">
        <f xml:space="preserve"> Debt!AB$369</f>
        <v>10694.76392796511</v>
      </c>
      <c r="AC103" s="77">
        <f xml:space="preserve"> Debt!AC$369</f>
        <v>10712.37579856183</v>
      </c>
      <c r="AD103" s="77">
        <f xml:space="preserve"> Debt!AD$369</f>
        <v>10617.752823814142</v>
      </c>
      <c r="AE103" s="77">
        <f xml:space="preserve"> Debt!AE$369</f>
        <v>10604.596909622556</v>
      </c>
      <c r="AF103" s="77">
        <f xml:space="preserve"> Debt!AF$369</f>
        <v>10510.421245766829</v>
      </c>
      <c r="AG103" s="77">
        <f xml:space="preserve"> Debt!AG$369</f>
        <v>10524.641040765775</v>
      </c>
      <c r="AH103" s="77">
        <f xml:space="preserve"> Debt!AH$369</f>
        <v>10416.373099274493</v>
      </c>
      <c r="AI103" s="77">
        <f xml:space="preserve"> Debt!AI$369</f>
        <v>10428.851504537852</v>
      </c>
      <c r="AJ103" s="77">
        <f xml:space="preserve"> Debt!AJ$369</f>
        <v>10321.038445702476</v>
      </c>
      <c r="AK103" s="77">
        <f xml:space="preserve"> Debt!AK$369</f>
        <v>10331.74438166013</v>
      </c>
      <c r="AL103" s="77">
        <f xml:space="preserve"> Debt!AL$369</f>
        <v>10238.413866724009</v>
      </c>
      <c r="AM103" s="77">
        <f xml:space="preserve"> Debt!AM$369</f>
        <v>10219.268154047048</v>
      </c>
      <c r="AN103" s="77">
        <f xml:space="preserve"> Debt!AN$369</f>
        <v>10126.400443477962</v>
      </c>
      <c r="AO103" s="77">
        <f xml:space="preserve"> Debt!AO$369</f>
        <v>10133.465715349392</v>
      </c>
      <c r="AP103" s="77">
        <f xml:space="preserve"> Debt!AP$369</f>
        <v>10027.041163247522</v>
      </c>
      <c r="AQ103" s="77">
        <f xml:space="preserve"> Debt!AQ$369</f>
        <v>10032.236926693096</v>
      </c>
      <c r="AR103" s="77">
        <f xml:space="preserve"> Debt!AR$369</f>
        <v>9926.2834676298662</v>
      </c>
      <c r="AS103" s="77">
        <f xml:space="preserve"> Debt!AS$369</f>
        <v>9929.5775194771086</v>
      </c>
      <c r="AT103" s="77">
        <f xml:space="preserve"> Debt!AT$369</f>
        <v>9837.5746264223908</v>
      </c>
      <c r="AU103" s="77">
        <f xml:space="preserve"> Debt!AU$369</f>
        <v>9811.9812368171188</v>
      </c>
      <c r="AV103" s="77">
        <f xml:space="preserve"> Debt!AV$369</f>
        <v>9720.4606172373533</v>
      </c>
      <c r="AW103" s="77">
        <f xml:space="preserve"> Debt!AW$369</f>
        <v>-2.024773110608092E-4</v>
      </c>
      <c r="AX103" s="77">
        <f xml:space="preserve"> Debt!AX$369</f>
        <v>-1.9917605055438296E-4</v>
      </c>
      <c r="AY103" s="77">
        <f xml:space="preserve"> Debt!AY$369</f>
        <v>-2.024773110608092E-4</v>
      </c>
      <c r="AZ103" s="77">
        <f xml:space="preserve"> Debt!AZ$369</f>
        <v>-1.9917605055438296E-4</v>
      </c>
      <c r="BA103" s="77">
        <f xml:space="preserve"> Debt!BA$369</f>
        <v>-2.024773110608092E-4</v>
      </c>
      <c r="BB103" s="77">
        <f xml:space="preserve"> Debt!BB$369</f>
        <v>-2.0027647072319173E-4</v>
      </c>
      <c r="BC103" s="77">
        <f xml:space="preserve"> Debt!BC$369</f>
        <v>0</v>
      </c>
      <c r="BD103" s="77">
        <f xml:space="preserve"> Debt!BD$369</f>
        <v>0</v>
      </c>
      <c r="BE103" s="77">
        <f xml:space="preserve"> Debt!BE$369</f>
        <v>0</v>
      </c>
      <c r="BF103" s="77">
        <f xml:space="preserve"> Debt!BF$369</f>
        <v>0</v>
      </c>
      <c r="BG103" s="77">
        <f xml:space="preserve"> Debt!BG$369</f>
        <v>0</v>
      </c>
      <c r="BH103" s="77">
        <f xml:space="preserve"> Debt!BH$369</f>
        <v>0</v>
      </c>
      <c r="BI103" s="77">
        <f xml:space="preserve"> Debt!BI$369</f>
        <v>0</v>
      </c>
      <c r="BJ103" s="77">
        <f xml:space="preserve"> Debt!BJ$369</f>
        <v>0</v>
      </c>
      <c r="BK103" s="77">
        <f xml:space="preserve"> Debt!BK$369</f>
        <v>0</v>
      </c>
      <c r="BL103" s="77">
        <f xml:space="preserve"> Debt!BL$369</f>
        <v>0</v>
      </c>
      <c r="BM103" s="77">
        <f xml:space="preserve"> Debt!BM$369</f>
        <v>0</v>
      </c>
      <c r="BN103" s="77">
        <f xml:space="preserve"> Debt!BN$369</f>
        <v>0</v>
      </c>
      <c r="BO103" s="77">
        <f xml:space="preserve"> Debt!BO$369</f>
        <v>0</v>
      </c>
      <c r="BP103" s="77">
        <f xml:space="preserve"> Debt!BP$369</f>
        <v>0</v>
      </c>
      <c r="BQ103" s="77">
        <f xml:space="preserve"> Debt!BQ$369</f>
        <v>0</v>
      </c>
      <c r="BR103" s="77">
        <f xml:space="preserve"> Debt!BR$369</f>
        <v>0</v>
      </c>
      <c r="BS103" s="77">
        <f xml:space="preserve"> Debt!BS$369</f>
        <v>0</v>
      </c>
      <c r="BT103" s="77">
        <f xml:space="preserve"> Debt!BT$369</f>
        <v>0</v>
      </c>
      <c r="BU103" s="77">
        <f xml:space="preserve"> Debt!BU$369</f>
        <v>0</v>
      </c>
      <c r="BV103" s="77">
        <f xml:space="preserve"> Debt!BV$369</f>
        <v>0</v>
      </c>
      <c r="BW103" s="77">
        <f xml:space="preserve"> Debt!BW$369</f>
        <v>0</v>
      </c>
      <c r="BX103" s="77">
        <f xml:space="preserve"> Debt!BX$369</f>
        <v>0</v>
      </c>
      <c r="BY103" s="77">
        <f xml:space="preserve"> Debt!BY$369</f>
        <v>0</v>
      </c>
      <c r="BZ103" s="77">
        <f xml:space="preserve"> Debt!BZ$369</f>
        <v>0</v>
      </c>
      <c r="CA103" s="77">
        <f xml:space="preserve"> Debt!CA$369</f>
        <v>0</v>
      </c>
      <c r="CB103" s="77">
        <f xml:space="preserve"> Debt!CB$369</f>
        <v>0</v>
      </c>
      <c r="CC103" s="77">
        <f xml:space="preserve"> Debt!CC$369</f>
        <v>0</v>
      </c>
      <c r="CD103" s="77">
        <f xml:space="preserve"> Debt!CD$369</f>
        <v>0</v>
      </c>
      <c r="CE103" s="77">
        <f xml:space="preserve"> Debt!CE$369</f>
        <v>0</v>
      </c>
      <c r="CF103" s="77">
        <f xml:space="preserve"> Debt!CF$369</f>
        <v>0</v>
      </c>
      <c r="CG103" s="77">
        <f xml:space="preserve"> Debt!CG$369</f>
        <v>0</v>
      </c>
      <c r="CH103" s="77">
        <f xml:space="preserve"> Debt!CH$369</f>
        <v>0</v>
      </c>
      <c r="CI103" s="77">
        <f xml:space="preserve"> Debt!CI$369</f>
        <v>0</v>
      </c>
      <c r="CJ103" s="77">
        <f xml:space="preserve"> Debt!CJ$369</f>
        <v>0</v>
      </c>
      <c r="CK103" s="77">
        <f xml:space="preserve"> Debt!CK$369</f>
        <v>0</v>
      </c>
      <c r="CL103" s="77">
        <f xml:space="preserve"> Debt!CL$369</f>
        <v>0</v>
      </c>
      <c r="CM103" s="77">
        <f xml:space="preserve"> Debt!CM$369</f>
        <v>0</v>
      </c>
      <c r="CN103" s="77">
        <f xml:space="preserve"> Debt!CN$369</f>
        <v>0</v>
      </c>
      <c r="CO103" s="77">
        <f xml:space="preserve"> Debt!CO$369</f>
        <v>0</v>
      </c>
      <c r="CP103" s="77">
        <f xml:space="preserve"> Debt!CP$369</f>
        <v>0</v>
      </c>
      <c r="CQ103" s="77">
        <f xml:space="preserve"> Debt!CQ$369</f>
        <v>0</v>
      </c>
      <c r="CR103" s="77">
        <f xml:space="preserve"> Debt!CR$369</f>
        <v>0</v>
      </c>
      <c r="CS103" s="77">
        <f xml:space="preserve"> Debt!CS$369</f>
        <v>0</v>
      </c>
      <c r="CT103" s="77">
        <f xml:space="preserve"> Debt!CT$369</f>
        <v>0</v>
      </c>
      <c r="CU103" s="77">
        <f xml:space="preserve"> Debt!CU$369</f>
        <v>0</v>
      </c>
      <c r="CV103" s="77">
        <f xml:space="preserve"> Debt!CV$369</f>
        <v>0</v>
      </c>
    </row>
    <row r="104" spans="1:100" s="495" customFormat="1" outlineLevel="2" x14ac:dyDescent="0.2">
      <c r="A104" s="405"/>
      <c r="B104" s="405"/>
      <c r="C104" s="406"/>
      <c r="D104" s="575"/>
      <c r="E104" s="577" t="str">
        <f xml:space="preserve"> Time!E$106</f>
        <v>Operating period flag</v>
      </c>
      <c r="F104" s="577">
        <f xml:space="preserve"> Time!F$106</f>
        <v>0</v>
      </c>
      <c r="G104" s="577" t="str">
        <f xml:space="preserve"> Time!G$106</f>
        <v>flag</v>
      </c>
      <c r="H104" s="577">
        <f xml:space="preserve"> Time!H$106</f>
        <v>40</v>
      </c>
      <c r="I104" s="577">
        <f xml:space="preserve"> Time!I$106</f>
        <v>0</v>
      </c>
      <c r="J104" s="577">
        <f xml:space="preserve"> Time!J$106</f>
        <v>0</v>
      </c>
      <c r="K104" s="577">
        <f xml:space="preserve"> Time!K$106</f>
        <v>0</v>
      </c>
      <c r="L104" s="577">
        <f xml:space="preserve"> Time!L$106</f>
        <v>0</v>
      </c>
      <c r="M104" s="577">
        <f xml:space="preserve"> Time!M$106</f>
        <v>0</v>
      </c>
      <c r="N104" s="577">
        <f xml:space="preserve"> Time!N$106</f>
        <v>0</v>
      </c>
      <c r="O104" s="577">
        <f xml:space="preserve"> Time!O$106</f>
        <v>1</v>
      </c>
      <c r="P104" s="577">
        <f xml:space="preserve"> Time!P$106</f>
        <v>1</v>
      </c>
      <c r="Q104" s="577">
        <f xml:space="preserve"> Time!Q$106</f>
        <v>1</v>
      </c>
      <c r="R104" s="577">
        <f xml:space="preserve"> Time!R$106</f>
        <v>1</v>
      </c>
      <c r="S104" s="577">
        <f xml:space="preserve"> Time!S$106</f>
        <v>1</v>
      </c>
      <c r="T104" s="577">
        <f xml:space="preserve"> Time!T$106</f>
        <v>1</v>
      </c>
      <c r="U104" s="577">
        <f xml:space="preserve"> Time!U$106</f>
        <v>1</v>
      </c>
      <c r="V104" s="577">
        <f xml:space="preserve"> Time!V$106</f>
        <v>1</v>
      </c>
      <c r="W104" s="577">
        <f xml:space="preserve"> Time!W$106</f>
        <v>1</v>
      </c>
      <c r="X104" s="577">
        <f xml:space="preserve"> Time!X$106</f>
        <v>1</v>
      </c>
      <c r="Y104" s="577">
        <f xml:space="preserve"> Time!Y$106</f>
        <v>1</v>
      </c>
      <c r="Z104" s="577">
        <f xml:space="preserve"> Time!Z$106</f>
        <v>1</v>
      </c>
      <c r="AA104" s="577">
        <f xml:space="preserve"> Time!AA$106</f>
        <v>1</v>
      </c>
      <c r="AB104" s="577">
        <f xml:space="preserve"> Time!AB$106</f>
        <v>1</v>
      </c>
      <c r="AC104" s="577">
        <f xml:space="preserve"> Time!AC$106</f>
        <v>1</v>
      </c>
      <c r="AD104" s="577">
        <f xml:space="preserve"> Time!AD$106</f>
        <v>1</v>
      </c>
      <c r="AE104" s="577">
        <f xml:space="preserve"> Time!AE$106</f>
        <v>1</v>
      </c>
      <c r="AF104" s="577">
        <f xml:space="preserve"> Time!AF$106</f>
        <v>1</v>
      </c>
      <c r="AG104" s="577">
        <f xml:space="preserve"> Time!AG$106</f>
        <v>1</v>
      </c>
      <c r="AH104" s="577">
        <f xml:space="preserve"> Time!AH$106</f>
        <v>1</v>
      </c>
      <c r="AI104" s="577">
        <f xml:space="preserve"> Time!AI$106</f>
        <v>1</v>
      </c>
      <c r="AJ104" s="577">
        <f xml:space="preserve"> Time!AJ$106</f>
        <v>1</v>
      </c>
      <c r="AK104" s="577">
        <f xml:space="preserve"> Time!AK$106</f>
        <v>1</v>
      </c>
      <c r="AL104" s="577">
        <f xml:space="preserve"> Time!AL$106</f>
        <v>1</v>
      </c>
      <c r="AM104" s="577">
        <f xml:space="preserve"> Time!AM$106</f>
        <v>1</v>
      </c>
      <c r="AN104" s="577">
        <f xml:space="preserve"> Time!AN$106</f>
        <v>1</v>
      </c>
      <c r="AO104" s="577">
        <f xml:space="preserve"> Time!AO$106</f>
        <v>1</v>
      </c>
      <c r="AP104" s="577">
        <f xml:space="preserve"> Time!AP$106</f>
        <v>1</v>
      </c>
      <c r="AQ104" s="577">
        <f xml:space="preserve"> Time!AQ$106</f>
        <v>1</v>
      </c>
      <c r="AR104" s="577">
        <f xml:space="preserve"> Time!AR$106</f>
        <v>1</v>
      </c>
      <c r="AS104" s="577">
        <f xml:space="preserve"> Time!AS$106</f>
        <v>1</v>
      </c>
      <c r="AT104" s="577">
        <f xml:space="preserve"> Time!AT$106</f>
        <v>1</v>
      </c>
      <c r="AU104" s="577">
        <f xml:space="preserve"> Time!AU$106</f>
        <v>1</v>
      </c>
      <c r="AV104" s="577">
        <f xml:space="preserve"> Time!AV$106</f>
        <v>1</v>
      </c>
      <c r="AW104" s="577">
        <f xml:space="preserve"> Time!AW$106</f>
        <v>1</v>
      </c>
      <c r="AX104" s="577">
        <f xml:space="preserve"> Time!AX$106</f>
        <v>1</v>
      </c>
      <c r="AY104" s="577">
        <f xml:space="preserve"> Time!AY$106</f>
        <v>1</v>
      </c>
      <c r="AZ104" s="577">
        <f xml:space="preserve"> Time!AZ$106</f>
        <v>1</v>
      </c>
      <c r="BA104" s="577">
        <f xml:space="preserve"> Time!BA$106</f>
        <v>1</v>
      </c>
      <c r="BB104" s="577">
        <f xml:space="preserve"> Time!BB$106</f>
        <v>1</v>
      </c>
      <c r="BC104" s="577">
        <f xml:space="preserve"> Time!BC$106</f>
        <v>0</v>
      </c>
      <c r="BD104" s="577">
        <f xml:space="preserve"> Time!BD$106</f>
        <v>0</v>
      </c>
      <c r="BE104" s="577">
        <f xml:space="preserve"> Time!BE$106</f>
        <v>0</v>
      </c>
      <c r="BF104" s="577">
        <f xml:space="preserve"> Time!BF$106</f>
        <v>0</v>
      </c>
      <c r="BG104" s="577">
        <f xml:space="preserve"> Time!BG$106</f>
        <v>0</v>
      </c>
      <c r="BH104" s="577">
        <f xml:space="preserve"> Time!BH$106</f>
        <v>0</v>
      </c>
      <c r="BI104" s="577">
        <f xml:space="preserve"> Time!BI$106</f>
        <v>0</v>
      </c>
      <c r="BJ104" s="577">
        <f xml:space="preserve"> Time!BJ$106</f>
        <v>0</v>
      </c>
      <c r="BK104" s="577">
        <f xml:space="preserve"> Time!BK$106</f>
        <v>0</v>
      </c>
      <c r="BL104" s="577">
        <f xml:space="preserve"> Time!BL$106</f>
        <v>0</v>
      </c>
      <c r="BM104" s="577">
        <f xml:space="preserve"> Time!BM$106</f>
        <v>0</v>
      </c>
      <c r="BN104" s="577">
        <f xml:space="preserve"> Time!BN$106</f>
        <v>0</v>
      </c>
      <c r="BO104" s="577">
        <f xml:space="preserve"> Time!BO$106</f>
        <v>0</v>
      </c>
      <c r="BP104" s="577">
        <f xml:space="preserve"> Time!BP$106</f>
        <v>0</v>
      </c>
      <c r="BQ104" s="577">
        <f xml:space="preserve"> Time!BQ$106</f>
        <v>0</v>
      </c>
      <c r="BR104" s="577">
        <f xml:space="preserve"> Time!BR$106</f>
        <v>0</v>
      </c>
      <c r="BS104" s="577">
        <f xml:space="preserve"> Time!BS$106</f>
        <v>0</v>
      </c>
      <c r="BT104" s="577">
        <f xml:space="preserve"> Time!BT$106</f>
        <v>0</v>
      </c>
      <c r="BU104" s="577">
        <f xml:space="preserve"> Time!BU$106</f>
        <v>0</v>
      </c>
      <c r="BV104" s="577">
        <f xml:space="preserve"> Time!BV$106</f>
        <v>0</v>
      </c>
      <c r="BW104" s="577">
        <f xml:space="preserve"> Time!BW$106</f>
        <v>0</v>
      </c>
      <c r="BX104" s="577">
        <f xml:space="preserve"> Time!BX$106</f>
        <v>0</v>
      </c>
      <c r="BY104" s="577">
        <f xml:space="preserve"> Time!BY$106</f>
        <v>0</v>
      </c>
      <c r="BZ104" s="577">
        <f xml:space="preserve"> Time!BZ$106</f>
        <v>0</v>
      </c>
      <c r="CA104" s="577">
        <f xml:space="preserve"> Time!CA$106</f>
        <v>0</v>
      </c>
      <c r="CB104" s="577">
        <f xml:space="preserve"> Time!CB$106</f>
        <v>0</v>
      </c>
      <c r="CC104" s="577">
        <f xml:space="preserve"> Time!CC$106</f>
        <v>0</v>
      </c>
      <c r="CD104" s="577">
        <f xml:space="preserve"> Time!CD$106</f>
        <v>0</v>
      </c>
      <c r="CE104" s="577">
        <f xml:space="preserve"> Time!CE$106</f>
        <v>0</v>
      </c>
      <c r="CF104" s="577">
        <f xml:space="preserve"> Time!CF$106</f>
        <v>0</v>
      </c>
      <c r="CG104" s="577">
        <f xml:space="preserve"> Time!CG$106</f>
        <v>0</v>
      </c>
      <c r="CH104" s="577">
        <f xml:space="preserve"> Time!CH$106</f>
        <v>0</v>
      </c>
      <c r="CI104" s="577">
        <f xml:space="preserve"> Time!CI$106</f>
        <v>0</v>
      </c>
      <c r="CJ104" s="577">
        <f xml:space="preserve"> Time!CJ$106</f>
        <v>0</v>
      </c>
      <c r="CK104" s="577">
        <f xml:space="preserve"> Time!CK$106</f>
        <v>0</v>
      </c>
      <c r="CL104" s="577">
        <f xml:space="preserve"> Time!CL$106</f>
        <v>0</v>
      </c>
      <c r="CM104" s="577">
        <f xml:space="preserve"> Time!CM$106</f>
        <v>0</v>
      </c>
      <c r="CN104" s="577">
        <f xml:space="preserve"> Time!CN$106</f>
        <v>0</v>
      </c>
      <c r="CO104" s="577">
        <f xml:space="preserve"> Time!CO$106</f>
        <v>0</v>
      </c>
      <c r="CP104" s="577">
        <f xml:space="preserve"> Time!CP$106</f>
        <v>0</v>
      </c>
      <c r="CQ104" s="577">
        <f xml:space="preserve"> Time!CQ$106</f>
        <v>0</v>
      </c>
      <c r="CR104" s="577">
        <f xml:space="preserve"> Time!CR$106</f>
        <v>0</v>
      </c>
      <c r="CS104" s="577">
        <f xml:space="preserve"> Time!CS$106</f>
        <v>0</v>
      </c>
      <c r="CT104" s="577">
        <f xml:space="preserve"> Time!CT$106</f>
        <v>0</v>
      </c>
      <c r="CU104" s="577">
        <f xml:space="preserve"> Time!CU$106</f>
        <v>0</v>
      </c>
      <c r="CV104" s="577">
        <f xml:space="preserve"> Time!CV$106</f>
        <v>0</v>
      </c>
    </row>
    <row r="105" spans="1:100" outlineLevel="2" x14ac:dyDescent="0.2">
      <c r="A105" s="33"/>
      <c r="B105" s="79"/>
      <c r="C105" s="561"/>
      <c r="D105" s="60"/>
      <c r="E105" s="32" t="s">
        <v>1209</v>
      </c>
      <c r="F105" s="32"/>
      <c r="G105" s="32" t="str">
        <f xml:space="preserve"> SMU</f>
        <v>$ 000s</v>
      </c>
      <c r="H105" s="32"/>
      <c r="I105" s="32"/>
      <c r="J105" s="32">
        <f t="shared" ref="J105:AO105" si="171">SUMIFS( $J$103:$CV$103, $J$102:$CV$102, "&gt;" &amp; J102, $J$102:$CV$102, "&lt;=" &amp; J102 + $F101 ) * J104</f>
        <v>0</v>
      </c>
      <c r="K105" s="32">
        <f t="shared" si="171"/>
        <v>0</v>
      </c>
      <c r="L105" s="32">
        <f t="shared" si="171"/>
        <v>0</v>
      </c>
      <c r="M105" s="32">
        <f t="shared" si="171"/>
        <v>0</v>
      </c>
      <c r="N105" s="32">
        <f t="shared" si="171"/>
        <v>0</v>
      </c>
      <c r="O105" s="32">
        <f t="shared" si="171"/>
        <v>22466.261339878321</v>
      </c>
      <c r="P105" s="32">
        <f t="shared" si="171"/>
        <v>22381.589857677805</v>
      </c>
      <c r="Q105" s="32">
        <f t="shared" si="171"/>
        <v>22295.404122197335</v>
      </c>
      <c r="R105" s="32">
        <f t="shared" si="171"/>
        <v>22209.644958698162</v>
      </c>
      <c r="S105" s="32">
        <f t="shared" si="171"/>
        <v>22122.345118739817</v>
      </c>
      <c r="T105" s="32">
        <f t="shared" si="171"/>
        <v>22050.510939841224</v>
      </c>
      <c r="U105" s="32">
        <f t="shared" si="171"/>
        <v>21947.037463305431</v>
      </c>
      <c r="V105" s="32">
        <f t="shared" si="171"/>
        <v>21843.997155393376</v>
      </c>
      <c r="W105" s="32">
        <f t="shared" si="171"/>
        <v>21769.43335247042</v>
      </c>
      <c r="X105" s="32">
        <f t="shared" si="171"/>
        <v>21680.270304689911</v>
      </c>
      <c r="Y105" s="32">
        <f t="shared" si="171"/>
        <v>21589.484021492724</v>
      </c>
      <c r="Z105" s="32">
        <f t="shared" si="171"/>
        <v>21499.137816129522</v>
      </c>
      <c r="AA105" s="32">
        <f t="shared" si="171"/>
        <v>21407.139726526941</v>
      </c>
      <c r="AB105" s="32">
        <f t="shared" si="171"/>
        <v>21330.128622375974</v>
      </c>
      <c r="AC105" s="32">
        <f t="shared" si="171"/>
        <v>21222.349733436698</v>
      </c>
      <c r="AD105" s="32">
        <f t="shared" si="171"/>
        <v>21115.018155389385</v>
      </c>
      <c r="AE105" s="32">
        <f t="shared" si="171"/>
        <v>21035.062286532604</v>
      </c>
      <c r="AF105" s="32">
        <f t="shared" si="171"/>
        <v>20941.014140040268</v>
      </c>
      <c r="AG105" s="32">
        <f t="shared" si="171"/>
        <v>20845.224603812345</v>
      </c>
      <c r="AH105" s="32">
        <f t="shared" si="171"/>
        <v>20749.889950240329</v>
      </c>
      <c r="AI105" s="32">
        <f t="shared" si="171"/>
        <v>20652.782827362607</v>
      </c>
      <c r="AJ105" s="32">
        <f t="shared" si="171"/>
        <v>20570.158248384141</v>
      </c>
      <c r="AK105" s="32">
        <f t="shared" si="171"/>
        <v>20457.682020771055</v>
      </c>
      <c r="AL105" s="32">
        <f t="shared" si="171"/>
        <v>20345.668597525007</v>
      </c>
      <c r="AM105" s="32">
        <f t="shared" si="171"/>
        <v>20259.866158827354</v>
      </c>
      <c r="AN105" s="32">
        <f t="shared" si="171"/>
        <v>20160.506878596912</v>
      </c>
      <c r="AO105" s="32">
        <f t="shared" si="171"/>
        <v>20059.278089940621</v>
      </c>
      <c r="AP105" s="32">
        <f t="shared" ref="AP105:BU105" si="172">SUMIFS( $J$103:$CV$103, $J$102:$CV$102, "&gt;" &amp; AP102, $J$102:$CV$102, "&lt;=" &amp; AP102 + $F101 ) * AP104</f>
        <v>19958.520394322964</v>
      </c>
      <c r="AQ105" s="32">
        <f t="shared" si="172"/>
        <v>19855.860987106975</v>
      </c>
      <c r="AR105" s="32">
        <f t="shared" si="172"/>
        <v>19767.152145899498</v>
      </c>
      <c r="AS105" s="32">
        <f t="shared" si="172"/>
        <v>19649.555863239511</v>
      </c>
      <c r="AT105" s="32">
        <f t="shared" si="172"/>
        <v>19532.441854054472</v>
      </c>
      <c r="AU105" s="32">
        <f t="shared" si="172"/>
        <v>9720.4604147600421</v>
      </c>
      <c r="AV105" s="32">
        <f t="shared" si="172"/>
        <v>-4.0165336161519219E-4</v>
      </c>
      <c r="AW105" s="32">
        <f t="shared" si="172"/>
        <v>-4.0165336161519219E-4</v>
      </c>
      <c r="AX105" s="32">
        <f t="shared" si="172"/>
        <v>-4.0165336161519219E-4</v>
      </c>
      <c r="AY105" s="32">
        <f t="shared" si="172"/>
        <v>-4.0165336161519219E-4</v>
      </c>
      <c r="AZ105" s="32">
        <f t="shared" si="172"/>
        <v>-4.0275378178400092E-4</v>
      </c>
      <c r="BA105" s="32">
        <f t="shared" si="172"/>
        <v>-2.0027647072319173E-4</v>
      </c>
      <c r="BB105" s="32">
        <f t="shared" si="172"/>
        <v>0</v>
      </c>
      <c r="BC105" s="32">
        <f t="shared" si="172"/>
        <v>0</v>
      </c>
      <c r="BD105" s="32">
        <f t="shared" si="172"/>
        <v>0</v>
      </c>
      <c r="BE105" s="32">
        <f t="shared" si="172"/>
        <v>0</v>
      </c>
      <c r="BF105" s="32">
        <f t="shared" si="172"/>
        <v>0</v>
      </c>
      <c r="BG105" s="32">
        <f t="shared" si="172"/>
        <v>0</v>
      </c>
      <c r="BH105" s="32">
        <f t="shared" si="172"/>
        <v>0</v>
      </c>
      <c r="BI105" s="32">
        <f t="shared" si="172"/>
        <v>0</v>
      </c>
      <c r="BJ105" s="32">
        <f t="shared" si="172"/>
        <v>0</v>
      </c>
      <c r="BK105" s="32">
        <f t="shared" si="172"/>
        <v>0</v>
      </c>
      <c r="BL105" s="32">
        <f t="shared" si="172"/>
        <v>0</v>
      </c>
      <c r="BM105" s="32">
        <f t="shared" si="172"/>
        <v>0</v>
      </c>
      <c r="BN105" s="32">
        <f t="shared" si="172"/>
        <v>0</v>
      </c>
      <c r="BO105" s="32">
        <f t="shared" si="172"/>
        <v>0</v>
      </c>
      <c r="BP105" s="32">
        <f t="shared" si="172"/>
        <v>0</v>
      </c>
      <c r="BQ105" s="32">
        <f t="shared" si="172"/>
        <v>0</v>
      </c>
      <c r="BR105" s="32">
        <f t="shared" si="172"/>
        <v>0</v>
      </c>
      <c r="BS105" s="32">
        <f t="shared" si="172"/>
        <v>0</v>
      </c>
      <c r="BT105" s="32">
        <f t="shared" si="172"/>
        <v>0</v>
      </c>
      <c r="BU105" s="32">
        <f t="shared" si="172"/>
        <v>0</v>
      </c>
      <c r="BV105" s="32">
        <f t="shared" ref="BV105:CV105" si="173">SUMIFS( $J$103:$CV$103, $J$102:$CV$102, "&gt;" &amp; BV102, $J$102:$CV$102, "&lt;=" &amp; BV102 + $F101 ) * BV104</f>
        <v>0</v>
      </c>
      <c r="BW105" s="32">
        <f t="shared" si="173"/>
        <v>0</v>
      </c>
      <c r="BX105" s="32">
        <f t="shared" si="173"/>
        <v>0</v>
      </c>
      <c r="BY105" s="32">
        <f t="shared" si="173"/>
        <v>0</v>
      </c>
      <c r="BZ105" s="32">
        <f t="shared" si="173"/>
        <v>0</v>
      </c>
      <c r="CA105" s="32">
        <f t="shared" si="173"/>
        <v>0</v>
      </c>
      <c r="CB105" s="32">
        <f t="shared" si="173"/>
        <v>0</v>
      </c>
      <c r="CC105" s="32">
        <f t="shared" si="173"/>
        <v>0</v>
      </c>
      <c r="CD105" s="32">
        <f t="shared" si="173"/>
        <v>0</v>
      </c>
      <c r="CE105" s="32">
        <f t="shared" si="173"/>
        <v>0</v>
      </c>
      <c r="CF105" s="32">
        <f t="shared" si="173"/>
        <v>0</v>
      </c>
      <c r="CG105" s="32">
        <f t="shared" si="173"/>
        <v>0</v>
      </c>
      <c r="CH105" s="32">
        <f t="shared" si="173"/>
        <v>0</v>
      </c>
      <c r="CI105" s="32">
        <f t="shared" si="173"/>
        <v>0</v>
      </c>
      <c r="CJ105" s="32">
        <f t="shared" si="173"/>
        <v>0</v>
      </c>
      <c r="CK105" s="32">
        <f t="shared" si="173"/>
        <v>0</v>
      </c>
      <c r="CL105" s="32">
        <f t="shared" si="173"/>
        <v>0</v>
      </c>
      <c r="CM105" s="32">
        <f t="shared" si="173"/>
        <v>0</v>
      </c>
      <c r="CN105" s="32">
        <f t="shared" si="173"/>
        <v>0</v>
      </c>
      <c r="CO105" s="32">
        <f t="shared" si="173"/>
        <v>0</v>
      </c>
      <c r="CP105" s="32">
        <f t="shared" si="173"/>
        <v>0</v>
      </c>
      <c r="CQ105" s="32">
        <f t="shared" si="173"/>
        <v>0</v>
      </c>
      <c r="CR105" s="32">
        <f t="shared" si="173"/>
        <v>0</v>
      </c>
      <c r="CS105" s="32">
        <f t="shared" si="173"/>
        <v>0</v>
      </c>
      <c r="CT105" s="32">
        <f t="shared" si="173"/>
        <v>0</v>
      </c>
      <c r="CU105" s="32">
        <f t="shared" si="173"/>
        <v>0</v>
      </c>
      <c r="CV105" s="32">
        <f t="shared" si="173"/>
        <v>0</v>
      </c>
    </row>
    <row r="106" spans="1:100" outlineLevel="2" x14ac:dyDescent="0.2">
      <c r="A106" s="33"/>
      <c r="B106" s="79"/>
      <c r="C106" s="561"/>
      <c r="D106" s="60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32"/>
    </row>
    <row r="107" spans="1:100" outlineLevel="2" x14ac:dyDescent="0.2">
      <c r="A107" s="33"/>
      <c r="B107" s="79"/>
      <c r="C107" s="561"/>
      <c r="D107" s="60"/>
      <c r="E107" s="125" t="str">
        <f xml:space="preserve"> InpC!E$350</f>
        <v>DSRA target balance selection switch</v>
      </c>
      <c r="F107" s="125">
        <f xml:space="preserve"> InpC!F$350</f>
        <v>1</v>
      </c>
      <c r="G107" s="125" t="str">
        <f xml:space="preserve"> InpC!G$350</f>
        <v>1 = 50% of 12m, 2 = next 6m</v>
      </c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32"/>
    </row>
    <row r="108" spans="1:100" outlineLevel="2" x14ac:dyDescent="0.2">
      <c r="A108" s="651"/>
      <c r="B108" s="562"/>
      <c r="C108" s="563"/>
      <c r="D108" s="314"/>
      <c r="E108" s="450" t="str">
        <f xml:space="preserve"> InpC!E$351</f>
        <v>DSRA target balance % of 12 month debt service - Post TRD</v>
      </c>
      <c r="F108" s="450">
        <f xml:space="preserve"> InpC!F$351</f>
        <v>0.5</v>
      </c>
      <c r="G108" s="450" t="str">
        <f xml:space="preserve"> InpC!G$351</f>
        <v>%</v>
      </c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/>
      <c r="AR108" s="314"/>
      <c r="AS108" s="314"/>
      <c r="AT108" s="314"/>
      <c r="AU108" s="314"/>
      <c r="AV108" s="314"/>
      <c r="AW108" s="314"/>
      <c r="AX108" s="314"/>
      <c r="AY108" s="314"/>
      <c r="AZ108" s="314"/>
      <c r="BA108" s="314"/>
      <c r="BB108" s="314"/>
      <c r="BC108" s="314"/>
      <c r="BD108" s="314"/>
      <c r="BE108" s="314"/>
      <c r="BF108" s="314"/>
      <c r="BG108" s="314"/>
      <c r="BH108" s="314"/>
      <c r="BI108" s="314"/>
      <c r="BJ108" s="314"/>
      <c r="BK108" s="314"/>
      <c r="BL108" s="314"/>
      <c r="BM108" s="314"/>
      <c r="BN108" s="314"/>
      <c r="BO108" s="314"/>
      <c r="BP108" s="314"/>
      <c r="BQ108" s="314"/>
      <c r="BR108" s="314"/>
      <c r="BS108" s="314"/>
      <c r="BT108" s="314"/>
      <c r="BU108" s="314"/>
      <c r="BV108" s="314"/>
      <c r="BW108" s="314"/>
      <c r="BX108" s="314"/>
      <c r="BY108" s="314"/>
      <c r="BZ108" s="314"/>
      <c r="CA108" s="314"/>
      <c r="CB108" s="314"/>
      <c r="CC108" s="314"/>
      <c r="CD108" s="314"/>
      <c r="CE108" s="314"/>
      <c r="CF108" s="314"/>
      <c r="CG108" s="314"/>
      <c r="CH108" s="314"/>
      <c r="CI108" s="314"/>
      <c r="CJ108" s="314"/>
      <c r="CK108" s="314"/>
      <c r="CL108" s="314"/>
      <c r="CM108" s="314"/>
      <c r="CN108" s="314"/>
      <c r="CO108" s="314"/>
      <c r="CP108" s="314"/>
      <c r="CQ108" s="314"/>
      <c r="CR108" s="314"/>
      <c r="CS108" s="314"/>
      <c r="CT108" s="314"/>
      <c r="CU108" s="314"/>
      <c r="CV108" s="314"/>
    </row>
    <row r="109" spans="1:100" outlineLevel="2" x14ac:dyDescent="0.2">
      <c r="A109" s="33"/>
      <c r="B109" s="79"/>
      <c r="C109" s="561"/>
      <c r="D109" s="60"/>
      <c r="E109" s="32" t="str">
        <f t="shared" ref="E109:AJ109" si="174" xml:space="preserve"> E$105</f>
        <v>Annual debt service for target balance - P99</v>
      </c>
      <c r="F109" s="32">
        <f t="shared" si="174"/>
        <v>0</v>
      </c>
      <c r="G109" s="32" t="str">
        <f t="shared" si="174"/>
        <v>$ 000s</v>
      </c>
      <c r="H109" s="32">
        <f t="shared" si="174"/>
        <v>0</v>
      </c>
      <c r="I109" s="32">
        <f t="shared" si="174"/>
        <v>0</v>
      </c>
      <c r="J109" s="32">
        <f t="shared" si="174"/>
        <v>0</v>
      </c>
      <c r="K109" s="32">
        <f t="shared" si="174"/>
        <v>0</v>
      </c>
      <c r="L109" s="32">
        <f t="shared" si="174"/>
        <v>0</v>
      </c>
      <c r="M109" s="32">
        <f t="shared" si="174"/>
        <v>0</v>
      </c>
      <c r="N109" s="32">
        <f t="shared" si="174"/>
        <v>0</v>
      </c>
      <c r="O109" s="32">
        <f t="shared" si="174"/>
        <v>22466.261339878321</v>
      </c>
      <c r="P109" s="32">
        <f t="shared" si="174"/>
        <v>22381.589857677805</v>
      </c>
      <c r="Q109" s="32">
        <f t="shared" si="174"/>
        <v>22295.404122197335</v>
      </c>
      <c r="R109" s="32">
        <f t="shared" si="174"/>
        <v>22209.644958698162</v>
      </c>
      <c r="S109" s="32">
        <f t="shared" si="174"/>
        <v>22122.345118739817</v>
      </c>
      <c r="T109" s="32">
        <f t="shared" si="174"/>
        <v>22050.510939841224</v>
      </c>
      <c r="U109" s="32">
        <f t="shared" si="174"/>
        <v>21947.037463305431</v>
      </c>
      <c r="V109" s="32">
        <f t="shared" si="174"/>
        <v>21843.997155393376</v>
      </c>
      <c r="W109" s="32">
        <f t="shared" si="174"/>
        <v>21769.43335247042</v>
      </c>
      <c r="X109" s="32">
        <f t="shared" si="174"/>
        <v>21680.270304689911</v>
      </c>
      <c r="Y109" s="32">
        <f t="shared" si="174"/>
        <v>21589.484021492724</v>
      </c>
      <c r="Z109" s="32">
        <f t="shared" si="174"/>
        <v>21499.137816129522</v>
      </c>
      <c r="AA109" s="32">
        <f t="shared" si="174"/>
        <v>21407.139726526941</v>
      </c>
      <c r="AB109" s="32">
        <f t="shared" si="174"/>
        <v>21330.128622375974</v>
      </c>
      <c r="AC109" s="32">
        <f t="shared" si="174"/>
        <v>21222.349733436698</v>
      </c>
      <c r="AD109" s="32">
        <f t="shared" si="174"/>
        <v>21115.018155389385</v>
      </c>
      <c r="AE109" s="32">
        <f t="shared" si="174"/>
        <v>21035.062286532604</v>
      </c>
      <c r="AF109" s="32">
        <f t="shared" si="174"/>
        <v>20941.014140040268</v>
      </c>
      <c r="AG109" s="32">
        <f t="shared" si="174"/>
        <v>20845.224603812345</v>
      </c>
      <c r="AH109" s="32">
        <f t="shared" si="174"/>
        <v>20749.889950240329</v>
      </c>
      <c r="AI109" s="32">
        <f t="shared" si="174"/>
        <v>20652.782827362607</v>
      </c>
      <c r="AJ109" s="32">
        <f t="shared" si="174"/>
        <v>20570.158248384141</v>
      </c>
      <c r="AK109" s="32">
        <f t="shared" ref="AK109:BP109" si="175" xml:space="preserve"> AK$105</f>
        <v>20457.682020771055</v>
      </c>
      <c r="AL109" s="32">
        <f t="shared" si="175"/>
        <v>20345.668597525007</v>
      </c>
      <c r="AM109" s="32">
        <f t="shared" si="175"/>
        <v>20259.866158827354</v>
      </c>
      <c r="AN109" s="32">
        <f t="shared" si="175"/>
        <v>20160.506878596912</v>
      </c>
      <c r="AO109" s="32">
        <f t="shared" si="175"/>
        <v>20059.278089940621</v>
      </c>
      <c r="AP109" s="32">
        <f t="shared" si="175"/>
        <v>19958.520394322964</v>
      </c>
      <c r="AQ109" s="32">
        <f t="shared" si="175"/>
        <v>19855.860987106975</v>
      </c>
      <c r="AR109" s="32">
        <f t="shared" si="175"/>
        <v>19767.152145899498</v>
      </c>
      <c r="AS109" s="32">
        <f t="shared" si="175"/>
        <v>19649.555863239511</v>
      </c>
      <c r="AT109" s="32">
        <f t="shared" si="175"/>
        <v>19532.441854054472</v>
      </c>
      <c r="AU109" s="32">
        <f t="shared" si="175"/>
        <v>9720.4604147600421</v>
      </c>
      <c r="AV109" s="32">
        <f t="shared" si="175"/>
        <v>-4.0165336161519219E-4</v>
      </c>
      <c r="AW109" s="32">
        <f t="shared" si="175"/>
        <v>-4.0165336161519219E-4</v>
      </c>
      <c r="AX109" s="32">
        <f t="shared" si="175"/>
        <v>-4.0165336161519219E-4</v>
      </c>
      <c r="AY109" s="32">
        <f t="shared" si="175"/>
        <v>-4.0165336161519219E-4</v>
      </c>
      <c r="AZ109" s="32">
        <f t="shared" si="175"/>
        <v>-4.0275378178400092E-4</v>
      </c>
      <c r="BA109" s="32">
        <f t="shared" si="175"/>
        <v>-2.0027647072319173E-4</v>
      </c>
      <c r="BB109" s="32">
        <f t="shared" si="175"/>
        <v>0</v>
      </c>
      <c r="BC109" s="32">
        <f t="shared" si="175"/>
        <v>0</v>
      </c>
      <c r="BD109" s="32">
        <f t="shared" si="175"/>
        <v>0</v>
      </c>
      <c r="BE109" s="32">
        <f t="shared" si="175"/>
        <v>0</v>
      </c>
      <c r="BF109" s="32">
        <f t="shared" si="175"/>
        <v>0</v>
      </c>
      <c r="BG109" s="32">
        <f t="shared" si="175"/>
        <v>0</v>
      </c>
      <c r="BH109" s="32">
        <f t="shared" si="175"/>
        <v>0</v>
      </c>
      <c r="BI109" s="32">
        <f t="shared" si="175"/>
        <v>0</v>
      </c>
      <c r="BJ109" s="32">
        <f t="shared" si="175"/>
        <v>0</v>
      </c>
      <c r="BK109" s="32">
        <f t="shared" si="175"/>
        <v>0</v>
      </c>
      <c r="BL109" s="32">
        <f t="shared" si="175"/>
        <v>0</v>
      </c>
      <c r="BM109" s="32">
        <f t="shared" si="175"/>
        <v>0</v>
      </c>
      <c r="BN109" s="32">
        <f t="shared" si="175"/>
        <v>0</v>
      </c>
      <c r="BO109" s="32">
        <f t="shared" si="175"/>
        <v>0</v>
      </c>
      <c r="BP109" s="32">
        <f t="shared" si="175"/>
        <v>0</v>
      </c>
      <c r="BQ109" s="32">
        <f t="shared" ref="BQ109:CV109" si="176" xml:space="preserve"> BQ$105</f>
        <v>0</v>
      </c>
      <c r="BR109" s="32">
        <f t="shared" si="176"/>
        <v>0</v>
      </c>
      <c r="BS109" s="32">
        <f t="shared" si="176"/>
        <v>0</v>
      </c>
      <c r="BT109" s="32">
        <f t="shared" si="176"/>
        <v>0</v>
      </c>
      <c r="BU109" s="32">
        <f t="shared" si="176"/>
        <v>0</v>
      </c>
      <c r="BV109" s="32">
        <f t="shared" si="176"/>
        <v>0</v>
      </c>
      <c r="BW109" s="32">
        <f t="shared" si="176"/>
        <v>0</v>
      </c>
      <c r="BX109" s="32">
        <f t="shared" si="176"/>
        <v>0</v>
      </c>
      <c r="BY109" s="32">
        <f t="shared" si="176"/>
        <v>0</v>
      </c>
      <c r="BZ109" s="32">
        <f t="shared" si="176"/>
        <v>0</v>
      </c>
      <c r="CA109" s="32">
        <f t="shared" si="176"/>
        <v>0</v>
      </c>
      <c r="CB109" s="32">
        <f t="shared" si="176"/>
        <v>0</v>
      </c>
      <c r="CC109" s="32">
        <f t="shared" si="176"/>
        <v>0</v>
      </c>
      <c r="CD109" s="32">
        <f t="shared" si="176"/>
        <v>0</v>
      </c>
      <c r="CE109" s="32">
        <f t="shared" si="176"/>
        <v>0</v>
      </c>
      <c r="CF109" s="32">
        <f t="shared" si="176"/>
        <v>0</v>
      </c>
      <c r="CG109" s="32">
        <f t="shared" si="176"/>
        <v>0</v>
      </c>
      <c r="CH109" s="32">
        <f t="shared" si="176"/>
        <v>0</v>
      </c>
      <c r="CI109" s="32">
        <f t="shared" si="176"/>
        <v>0</v>
      </c>
      <c r="CJ109" s="32">
        <f t="shared" si="176"/>
        <v>0</v>
      </c>
      <c r="CK109" s="32">
        <f t="shared" si="176"/>
        <v>0</v>
      </c>
      <c r="CL109" s="32">
        <f t="shared" si="176"/>
        <v>0</v>
      </c>
      <c r="CM109" s="32">
        <f t="shared" si="176"/>
        <v>0</v>
      </c>
      <c r="CN109" s="32">
        <f t="shared" si="176"/>
        <v>0</v>
      </c>
      <c r="CO109" s="32">
        <f t="shared" si="176"/>
        <v>0</v>
      </c>
      <c r="CP109" s="32">
        <f t="shared" si="176"/>
        <v>0</v>
      </c>
      <c r="CQ109" s="32">
        <f t="shared" si="176"/>
        <v>0</v>
      </c>
      <c r="CR109" s="32">
        <f t="shared" si="176"/>
        <v>0</v>
      </c>
      <c r="CS109" s="32">
        <f t="shared" si="176"/>
        <v>0</v>
      </c>
      <c r="CT109" s="32">
        <f t="shared" si="176"/>
        <v>0</v>
      </c>
      <c r="CU109" s="32">
        <f t="shared" si="176"/>
        <v>0</v>
      </c>
      <c r="CV109" s="32">
        <f t="shared" si="176"/>
        <v>0</v>
      </c>
    </row>
    <row r="110" spans="1:100" s="495" customFormat="1" outlineLevel="2" x14ac:dyDescent="0.2">
      <c r="A110" s="405"/>
      <c r="B110" s="405"/>
      <c r="C110" s="406"/>
      <c r="D110" s="575"/>
      <c r="E110" s="77" t="str">
        <f xml:space="preserve"> Debt!E$369</f>
        <v>Senior debt service</v>
      </c>
      <c r="F110" s="77">
        <f xml:space="preserve"> Debt!F$369</f>
        <v>0</v>
      </c>
      <c r="G110" s="77" t="str">
        <f xml:space="preserve"> Debt!G$369</f>
        <v>$ 000s</v>
      </c>
      <c r="H110" s="77">
        <f xml:space="preserve"> Debt!H$369</f>
        <v>360041.89848376269</v>
      </c>
      <c r="I110" s="77">
        <f xml:space="preserve"> Debt!I$369</f>
        <v>0</v>
      </c>
      <c r="J110" s="77">
        <f xml:space="preserve"> Debt!J$369</f>
        <v>0</v>
      </c>
      <c r="K110" s="77">
        <f xml:space="preserve"> Debt!K$369</f>
        <v>0</v>
      </c>
      <c r="L110" s="77">
        <f xml:space="preserve"> Debt!L$369</f>
        <v>0</v>
      </c>
      <c r="M110" s="77">
        <f xml:space="preserve"> Debt!M$369</f>
        <v>0</v>
      </c>
      <c r="N110" s="77">
        <f xml:space="preserve"> Debt!N$369</f>
        <v>0</v>
      </c>
      <c r="O110" s="77">
        <f xml:space="preserve"> Debt!O$369</f>
        <v>12686.671356945051</v>
      </c>
      <c r="P110" s="77">
        <f xml:space="preserve"> Debt!P$369</f>
        <v>11219.578313619157</v>
      </c>
      <c r="Q110" s="77">
        <f xml:space="preserve"> Debt!Q$369</f>
        <v>11246.683026259163</v>
      </c>
      <c r="R110" s="77">
        <f xml:space="preserve"> Debt!R$369</f>
        <v>11134.906831418644</v>
      </c>
      <c r="S110" s="77">
        <f xml:space="preserve"> Debt!S$369</f>
        <v>11160.497290778691</v>
      </c>
      <c r="T110" s="77">
        <f xml:space="preserve"> Debt!T$369</f>
        <v>11049.147667919469</v>
      </c>
      <c r="U110" s="77">
        <f xml:space="preserve"> Debt!U$369</f>
        <v>11073.197450820346</v>
      </c>
      <c r="V110" s="77">
        <f xml:space="preserve"> Debt!V$369</f>
        <v>10977.313489020877</v>
      </c>
      <c r="W110" s="77">
        <f xml:space="preserve"> Debt!W$369</f>
        <v>10969.723974284556</v>
      </c>
      <c r="X110" s="77">
        <f xml:space="preserve"> Debt!X$369</f>
        <v>10874.27318110882</v>
      </c>
      <c r="Y110" s="77">
        <f xml:space="preserve"> Debt!Y$369</f>
        <v>10895.160171361602</v>
      </c>
      <c r="Z110" s="77">
        <f xml:space="preserve"> Debt!Z$369</f>
        <v>10785.110133328311</v>
      </c>
      <c r="AA110" s="77">
        <f xml:space="preserve"> Debt!AA$369</f>
        <v>10804.373888164411</v>
      </c>
      <c r="AB110" s="77">
        <f xml:space="preserve"> Debt!AB$369</f>
        <v>10694.76392796511</v>
      </c>
      <c r="AC110" s="77">
        <f xml:space="preserve"> Debt!AC$369</f>
        <v>10712.37579856183</v>
      </c>
      <c r="AD110" s="77">
        <f xml:space="preserve"> Debt!AD$369</f>
        <v>10617.752823814142</v>
      </c>
      <c r="AE110" s="77">
        <f xml:space="preserve"> Debt!AE$369</f>
        <v>10604.596909622556</v>
      </c>
      <c r="AF110" s="77">
        <f xml:space="preserve"> Debt!AF$369</f>
        <v>10510.421245766829</v>
      </c>
      <c r="AG110" s="77">
        <f xml:space="preserve"> Debt!AG$369</f>
        <v>10524.641040765775</v>
      </c>
      <c r="AH110" s="77">
        <f xml:space="preserve"> Debt!AH$369</f>
        <v>10416.373099274493</v>
      </c>
      <c r="AI110" s="77">
        <f xml:space="preserve"> Debt!AI$369</f>
        <v>10428.851504537852</v>
      </c>
      <c r="AJ110" s="77">
        <f xml:space="preserve"> Debt!AJ$369</f>
        <v>10321.038445702476</v>
      </c>
      <c r="AK110" s="77">
        <f xml:space="preserve"> Debt!AK$369</f>
        <v>10331.74438166013</v>
      </c>
      <c r="AL110" s="77">
        <f xml:space="preserve"> Debt!AL$369</f>
        <v>10238.413866724009</v>
      </c>
      <c r="AM110" s="77">
        <f xml:space="preserve"> Debt!AM$369</f>
        <v>10219.268154047048</v>
      </c>
      <c r="AN110" s="77">
        <f xml:space="preserve"> Debt!AN$369</f>
        <v>10126.400443477962</v>
      </c>
      <c r="AO110" s="77">
        <f xml:space="preserve"> Debt!AO$369</f>
        <v>10133.465715349392</v>
      </c>
      <c r="AP110" s="77">
        <f xml:space="preserve"> Debt!AP$369</f>
        <v>10027.041163247522</v>
      </c>
      <c r="AQ110" s="77">
        <f xml:space="preserve"> Debt!AQ$369</f>
        <v>10032.236926693096</v>
      </c>
      <c r="AR110" s="77">
        <f xml:space="preserve"> Debt!AR$369</f>
        <v>9926.2834676298662</v>
      </c>
      <c r="AS110" s="77">
        <f xml:space="preserve"> Debt!AS$369</f>
        <v>9929.5775194771086</v>
      </c>
      <c r="AT110" s="77">
        <f xml:space="preserve"> Debt!AT$369</f>
        <v>9837.5746264223908</v>
      </c>
      <c r="AU110" s="77">
        <f xml:space="preserve"> Debt!AU$369</f>
        <v>9811.9812368171188</v>
      </c>
      <c r="AV110" s="77">
        <f xml:space="preserve"> Debt!AV$369</f>
        <v>9720.4606172373533</v>
      </c>
      <c r="AW110" s="77">
        <f xml:space="preserve"> Debt!AW$369</f>
        <v>-2.024773110608092E-4</v>
      </c>
      <c r="AX110" s="77">
        <f xml:space="preserve"> Debt!AX$369</f>
        <v>-1.9917605055438296E-4</v>
      </c>
      <c r="AY110" s="77">
        <f xml:space="preserve"> Debt!AY$369</f>
        <v>-2.024773110608092E-4</v>
      </c>
      <c r="AZ110" s="77">
        <f xml:space="preserve"> Debt!AZ$369</f>
        <v>-1.9917605055438296E-4</v>
      </c>
      <c r="BA110" s="77">
        <f xml:space="preserve"> Debt!BA$369</f>
        <v>-2.024773110608092E-4</v>
      </c>
      <c r="BB110" s="77">
        <f xml:space="preserve"> Debt!BB$369</f>
        <v>-2.0027647072319173E-4</v>
      </c>
      <c r="BC110" s="77">
        <f xml:space="preserve"> Debt!BC$369</f>
        <v>0</v>
      </c>
      <c r="BD110" s="77">
        <f xml:space="preserve"> Debt!BD$369</f>
        <v>0</v>
      </c>
      <c r="BE110" s="77">
        <f xml:space="preserve"> Debt!BE$369</f>
        <v>0</v>
      </c>
      <c r="BF110" s="77">
        <f xml:space="preserve"> Debt!BF$369</f>
        <v>0</v>
      </c>
      <c r="BG110" s="77">
        <f xml:space="preserve"> Debt!BG$369</f>
        <v>0</v>
      </c>
      <c r="BH110" s="77">
        <f xml:space="preserve"> Debt!BH$369</f>
        <v>0</v>
      </c>
      <c r="BI110" s="77">
        <f xml:space="preserve"> Debt!BI$369</f>
        <v>0</v>
      </c>
      <c r="BJ110" s="77">
        <f xml:space="preserve"> Debt!BJ$369</f>
        <v>0</v>
      </c>
      <c r="BK110" s="77">
        <f xml:space="preserve"> Debt!BK$369</f>
        <v>0</v>
      </c>
      <c r="BL110" s="77">
        <f xml:space="preserve"> Debt!BL$369</f>
        <v>0</v>
      </c>
      <c r="BM110" s="77">
        <f xml:space="preserve"> Debt!BM$369</f>
        <v>0</v>
      </c>
      <c r="BN110" s="77">
        <f xml:space="preserve"> Debt!BN$369</f>
        <v>0</v>
      </c>
      <c r="BO110" s="77">
        <f xml:space="preserve"> Debt!BO$369</f>
        <v>0</v>
      </c>
      <c r="BP110" s="77">
        <f xml:space="preserve"> Debt!BP$369</f>
        <v>0</v>
      </c>
      <c r="BQ110" s="77">
        <f xml:space="preserve"> Debt!BQ$369</f>
        <v>0</v>
      </c>
      <c r="BR110" s="77">
        <f xml:space="preserve"> Debt!BR$369</f>
        <v>0</v>
      </c>
      <c r="BS110" s="77">
        <f xml:space="preserve"> Debt!BS$369</f>
        <v>0</v>
      </c>
      <c r="BT110" s="77">
        <f xml:space="preserve"> Debt!BT$369</f>
        <v>0</v>
      </c>
      <c r="BU110" s="77">
        <f xml:space="preserve"> Debt!BU$369</f>
        <v>0</v>
      </c>
      <c r="BV110" s="77">
        <f xml:space="preserve"> Debt!BV$369</f>
        <v>0</v>
      </c>
      <c r="BW110" s="77">
        <f xml:space="preserve"> Debt!BW$369</f>
        <v>0</v>
      </c>
      <c r="BX110" s="77">
        <f xml:space="preserve"> Debt!BX$369</f>
        <v>0</v>
      </c>
      <c r="BY110" s="77">
        <f xml:space="preserve"> Debt!BY$369</f>
        <v>0</v>
      </c>
      <c r="BZ110" s="77">
        <f xml:space="preserve"> Debt!BZ$369</f>
        <v>0</v>
      </c>
      <c r="CA110" s="77">
        <f xml:space="preserve"> Debt!CA$369</f>
        <v>0</v>
      </c>
      <c r="CB110" s="77">
        <f xml:space="preserve"> Debt!CB$369</f>
        <v>0</v>
      </c>
      <c r="CC110" s="77">
        <f xml:space="preserve"> Debt!CC$369</f>
        <v>0</v>
      </c>
      <c r="CD110" s="77">
        <f xml:space="preserve"> Debt!CD$369</f>
        <v>0</v>
      </c>
      <c r="CE110" s="77">
        <f xml:space="preserve"> Debt!CE$369</f>
        <v>0</v>
      </c>
      <c r="CF110" s="77">
        <f xml:space="preserve"> Debt!CF$369</f>
        <v>0</v>
      </c>
      <c r="CG110" s="77">
        <f xml:space="preserve"> Debt!CG$369</f>
        <v>0</v>
      </c>
      <c r="CH110" s="77">
        <f xml:space="preserve"> Debt!CH$369</f>
        <v>0</v>
      </c>
      <c r="CI110" s="77">
        <f xml:space="preserve"> Debt!CI$369</f>
        <v>0</v>
      </c>
      <c r="CJ110" s="77">
        <f xml:space="preserve"> Debt!CJ$369</f>
        <v>0</v>
      </c>
      <c r="CK110" s="77">
        <f xml:space="preserve"> Debt!CK$369</f>
        <v>0</v>
      </c>
      <c r="CL110" s="77">
        <f xml:space="preserve"> Debt!CL$369</f>
        <v>0</v>
      </c>
      <c r="CM110" s="77">
        <f xml:space="preserve"> Debt!CM$369</f>
        <v>0</v>
      </c>
      <c r="CN110" s="77">
        <f xml:space="preserve"> Debt!CN$369</f>
        <v>0</v>
      </c>
      <c r="CO110" s="77">
        <f xml:space="preserve"> Debt!CO$369</f>
        <v>0</v>
      </c>
      <c r="CP110" s="77">
        <f xml:space="preserve"> Debt!CP$369</f>
        <v>0</v>
      </c>
      <c r="CQ110" s="77">
        <f xml:space="preserve"> Debt!CQ$369</f>
        <v>0</v>
      </c>
      <c r="CR110" s="77">
        <f xml:space="preserve"> Debt!CR$369</f>
        <v>0</v>
      </c>
      <c r="CS110" s="77">
        <f xml:space="preserve"> Debt!CS$369</f>
        <v>0</v>
      </c>
      <c r="CT110" s="77">
        <f xml:space="preserve"> Debt!CT$369</f>
        <v>0</v>
      </c>
      <c r="CU110" s="77">
        <f xml:space="preserve"> Debt!CU$369</f>
        <v>0</v>
      </c>
      <c r="CV110" s="77">
        <f xml:space="preserve"> Debt!CV$369</f>
        <v>0</v>
      </c>
    </row>
    <row r="111" spans="1:100" s="495" customFormat="1" outlineLevel="2" x14ac:dyDescent="0.2">
      <c r="A111" s="405"/>
      <c r="B111" s="405"/>
      <c r="C111" s="406"/>
      <c r="D111" s="575"/>
      <c r="E111" s="77" t="str">
        <f xml:space="preserve"> Time!E$209</f>
        <v>Senior debt service period flag</v>
      </c>
      <c r="F111" s="77">
        <f xml:space="preserve"> Time!F$209</f>
        <v>0</v>
      </c>
      <c r="G111" s="77" t="str">
        <f xml:space="preserve"> Time!G$209</f>
        <v>flag</v>
      </c>
      <c r="H111" s="77">
        <f xml:space="preserve"> Time!H$209</f>
        <v>34</v>
      </c>
      <c r="I111" s="77">
        <f xml:space="preserve"> Time!I$209</f>
        <v>0</v>
      </c>
      <c r="J111" s="77">
        <f xml:space="preserve"> Time!J$209</f>
        <v>0</v>
      </c>
      <c r="K111" s="77">
        <f xml:space="preserve"> Time!K$209</f>
        <v>0</v>
      </c>
      <c r="L111" s="77">
        <f xml:space="preserve"> Time!L$209</f>
        <v>0</v>
      </c>
      <c r="M111" s="77">
        <f xml:space="preserve"> Time!M$209</f>
        <v>0</v>
      </c>
      <c r="N111" s="77">
        <f xml:space="preserve"> Time!N$209</f>
        <v>0</v>
      </c>
      <c r="O111" s="77">
        <f xml:space="preserve"> Time!O$209</f>
        <v>1</v>
      </c>
      <c r="P111" s="77">
        <f xml:space="preserve"> Time!P$209</f>
        <v>1</v>
      </c>
      <c r="Q111" s="77">
        <f xml:space="preserve"> Time!Q$209</f>
        <v>1</v>
      </c>
      <c r="R111" s="77">
        <f xml:space="preserve"> Time!R$209</f>
        <v>1</v>
      </c>
      <c r="S111" s="77">
        <f xml:space="preserve"> Time!S$209</f>
        <v>1</v>
      </c>
      <c r="T111" s="77">
        <f xml:space="preserve"> Time!T$209</f>
        <v>1</v>
      </c>
      <c r="U111" s="77">
        <f xml:space="preserve"> Time!U$209</f>
        <v>1</v>
      </c>
      <c r="V111" s="77">
        <f xml:space="preserve"> Time!V$209</f>
        <v>1</v>
      </c>
      <c r="W111" s="77">
        <f xml:space="preserve"> Time!W$209</f>
        <v>1</v>
      </c>
      <c r="X111" s="77">
        <f xml:space="preserve"> Time!X$209</f>
        <v>1</v>
      </c>
      <c r="Y111" s="77">
        <f xml:space="preserve"> Time!Y$209</f>
        <v>1</v>
      </c>
      <c r="Z111" s="77">
        <f xml:space="preserve"> Time!Z$209</f>
        <v>1</v>
      </c>
      <c r="AA111" s="77">
        <f xml:space="preserve"> Time!AA$209</f>
        <v>1</v>
      </c>
      <c r="AB111" s="77">
        <f xml:space="preserve"> Time!AB$209</f>
        <v>1</v>
      </c>
      <c r="AC111" s="77">
        <f xml:space="preserve"> Time!AC$209</f>
        <v>1</v>
      </c>
      <c r="AD111" s="77">
        <f xml:space="preserve"> Time!AD$209</f>
        <v>1</v>
      </c>
      <c r="AE111" s="77">
        <f xml:space="preserve"> Time!AE$209</f>
        <v>1</v>
      </c>
      <c r="AF111" s="77">
        <f xml:space="preserve"> Time!AF$209</f>
        <v>1</v>
      </c>
      <c r="AG111" s="77">
        <f xml:space="preserve"> Time!AG$209</f>
        <v>1</v>
      </c>
      <c r="AH111" s="77">
        <f xml:space="preserve"> Time!AH$209</f>
        <v>1</v>
      </c>
      <c r="AI111" s="77">
        <f xml:space="preserve"> Time!AI$209</f>
        <v>1</v>
      </c>
      <c r="AJ111" s="77">
        <f xml:space="preserve"> Time!AJ$209</f>
        <v>1</v>
      </c>
      <c r="AK111" s="77">
        <f xml:space="preserve"> Time!AK$209</f>
        <v>1</v>
      </c>
      <c r="AL111" s="77">
        <f xml:space="preserve"> Time!AL$209</f>
        <v>1</v>
      </c>
      <c r="AM111" s="77">
        <f xml:space="preserve"> Time!AM$209</f>
        <v>1</v>
      </c>
      <c r="AN111" s="77">
        <f xml:space="preserve"> Time!AN$209</f>
        <v>1</v>
      </c>
      <c r="AO111" s="77">
        <f xml:space="preserve"> Time!AO$209</f>
        <v>1</v>
      </c>
      <c r="AP111" s="77">
        <f xml:space="preserve"> Time!AP$209</f>
        <v>1</v>
      </c>
      <c r="AQ111" s="77">
        <f xml:space="preserve"> Time!AQ$209</f>
        <v>1</v>
      </c>
      <c r="AR111" s="77">
        <f xml:space="preserve"> Time!AR$209</f>
        <v>1</v>
      </c>
      <c r="AS111" s="77">
        <f xml:space="preserve"> Time!AS$209</f>
        <v>1</v>
      </c>
      <c r="AT111" s="77">
        <f xml:space="preserve"> Time!AT$209</f>
        <v>1</v>
      </c>
      <c r="AU111" s="77">
        <f xml:space="preserve"> Time!AU$209</f>
        <v>1</v>
      </c>
      <c r="AV111" s="77">
        <f xml:space="preserve"> Time!AV$209</f>
        <v>1</v>
      </c>
      <c r="AW111" s="77">
        <f xml:space="preserve"> Time!AW$209</f>
        <v>0</v>
      </c>
      <c r="AX111" s="77">
        <f xml:space="preserve"> Time!AX$209</f>
        <v>0</v>
      </c>
      <c r="AY111" s="77">
        <f xml:space="preserve"> Time!AY$209</f>
        <v>0</v>
      </c>
      <c r="AZ111" s="77">
        <f xml:space="preserve"> Time!AZ$209</f>
        <v>0</v>
      </c>
      <c r="BA111" s="77">
        <f xml:space="preserve"> Time!BA$209</f>
        <v>0</v>
      </c>
      <c r="BB111" s="77">
        <f xml:space="preserve"> Time!BB$209</f>
        <v>0</v>
      </c>
      <c r="BC111" s="77">
        <f xml:space="preserve"> Time!BC$209</f>
        <v>0</v>
      </c>
      <c r="BD111" s="77">
        <f xml:space="preserve"> Time!BD$209</f>
        <v>0</v>
      </c>
      <c r="BE111" s="77">
        <f xml:space="preserve"> Time!BE$209</f>
        <v>0</v>
      </c>
      <c r="BF111" s="77">
        <f xml:space="preserve"> Time!BF$209</f>
        <v>0</v>
      </c>
      <c r="BG111" s="77">
        <f xml:space="preserve"> Time!BG$209</f>
        <v>0</v>
      </c>
      <c r="BH111" s="77">
        <f xml:space="preserve"> Time!BH$209</f>
        <v>0</v>
      </c>
      <c r="BI111" s="77">
        <f xml:space="preserve"> Time!BI$209</f>
        <v>0</v>
      </c>
      <c r="BJ111" s="77">
        <f xml:space="preserve"> Time!BJ$209</f>
        <v>0</v>
      </c>
      <c r="BK111" s="77">
        <f xml:space="preserve"> Time!BK$209</f>
        <v>0</v>
      </c>
      <c r="BL111" s="77">
        <f xml:space="preserve"> Time!BL$209</f>
        <v>0</v>
      </c>
      <c r="BM111" s="77">
        <f xml:space="preserve"> Time!BM$209</f>
        <v>0</v>
      </c>
      <c r="BN111" s="77">
        <f xml:space="preserve"> Time!BN$209</f>
        <v>0</v>
      </c>
      <c r="BO111" s="77">
        <f xml:space="preserve"> Time!BO$209</f>
        <v>0</v>
      </c>
      <c r="BP111" s="77">
        <f xml:space="preserve"> Time!BP$209</f>
        <v>0</v>
      </c>
      <c r="BQ111" s="77">
        <f xml:space="preserve"> Time!BQ$209</f>
        <v>0</v>
      </c>
      <c r="BR111" s="77">
        <f xml:space="preserve"> Time!BR$209</f>
        <v>0</v>
      </c>
      <c r="BS111" s="77">
        <f xml:space="preserve"> Time!BS$209</f>
        <v>0</v>
      </c>
      <c r="BT111" s="77">
        <f xml:space="preserve"> Time!BT$209</f>
        <v>0</v>
      </c>
      <c r="BU111" s="77">
        <f xml:space="preserve"> Time!BU$209</f>
        <v>0</v>
      </c>
      <c r="BV111" s="77">
        <f xml:space="preserve"> Time!BV$209</f>
        <v>0</v>
      </c>
      <c r="BW111" s="77">
        <f xml:space="preserve"> Time!BW$209</f>
        <v>0</v>
      </c>
      <c r="BX111" s="77">
        <f xml:space="preserve"> Time!BX$209</f>
        <v>0</v>
      </c>
      <c r="BY111" s="77">
        <f xml:space="preserve"> Time!BY$209</f>
        <v>0</v>
      </c>
      <c r="BZ111" s="77">
        <f xml:space="preserve"> Time!BZ$209</f>
        <v>0</v>
      </c>
      <c r="CA111" s="77">
        <f xml:space="preserve"> Time!CA$209</f>
        <v>0</v>
      </c>
      <c r="CB111" s="77">
        <f xml:space="preserve"> Time!CB$209</f>
        <v>0</v>
      </c>
      <c r="CC111" s="77">
        <f xml:space="preserve"> Time!CC$209</f>
        <v>0</v>
      </c>
      <c r="CD111" s="77">
        <f xml:space="preserve"> Time!CD$209</f>
        <v>0</v>
      </c>
      <c r="CE111" s="77">
        <f xml:space="preserve"> Time!CE$209</f>
        <v>0</v>
      </c>
      <c r="CF111" s="77">
        <f xml:space="preserve"> Time!CF$209</f>
        <v>0</v>
      </c>
      <c r="CG111" s="77">
        <f xml:space="preserve"> Time!CG$209</f>
        <v>0</v>
      </c>
      <c r="CH111" s="77">
        <f xml:space="preserve"> Time!CH$209</f>
        <v>0</v>
      </c>
      <c r="CI111" s="77">
        <f xml:space="preserve"> Time!CI$209</f>
        <v>0</v>
      </c>
      <c r="CJ111" s="77">
        <f xml:space="preserve"> Time!CJ$209</f>
        <v>0</v>
      </c>
      <c r="CK111" s="77">
        <f xml:space="preserve"> Time!CK$209</f>
        <v>0</v>
      </c>
      <c r="CL111" s="77">
        <f xml:space="preserve"> Time!CL$209</f>
        <v>0</v>
      </c>
      <c r="CM111" s="77">
        <f xml:space="preserve"> Time!CM$209</f>
        <v>0</v>
      </c>
      <c r="CN111" s="77">
        <f xml:space="preserve"> Time!CN$209</f>
        <v>0</v>
      </c>
      <c r="CO111" s="77">
        <f xml:space="preserve"> Time!CO$209</f>
        <v>0</v>
      </c>
      <c r="CP111" s="77">
        <f xml:space="preserve"> Time!CP$209</f>
        <v>0</v>
      </c>
      <c r="CQ111" s="77">
        <f xml:space="preserve"> Time!CQ$209</f>
        <v>0</v>
      </c>
      <c r="CR111" s="77">
        <f xml:space="preserve"> Time!CR$209</f>
        <v>0</v>
      </c>
      <c r="CS111" s="77">
        <f xml:space="preserve"> Time!CS$209</f>
        <v>0</v>
      </c>
      <c r="CT111" s="77">
        <f xml:space="preserve"> Time!CT$209</f>
        <v>0</v>
      </c>
      <c r="CU111" s="77">
        <f xml:space="preserve"> Time!CU$209</f>
        <v>0</v>
      </c>
      <c r="CV111" s="77">
        <f xml:space="preserve"> Time!CV$209</f>
        <v>0</v>
      </c>
    </row>
    <row r="112" spans="1:100" outlineLevel="2" x14ac:dyDescent="0.2">
      <c r="A112" s="33"/>
      <c r="B112" s="79"/>
      <c r="C112" s="561"/>
      <c r="D112" s="60"/>
      <c r="E112" s="32" t="s">
        <v>1210</v>
      </c>
      <c r="F112" s="32"/>
      <c r="G112" s="32" t="str">
        <f xml:space="preserve"> SMU</f>
        <v>$ 000s</v>
      </c>
      <c r="H112" s="32"/>
      <c r="I112" s="32"/>
      <c r="J112" s="32">
        <f t="shared" ref="J112:AO112" si="177" xml:space="preserve"> IF($F107 = 1, $F108 * J109, SUM(K110)) * J111</f>
        <v>0</v>
      </c>
      <c r="K112" s="32">
        <f t="shared" si="177"/>
        <v>0</v>
      </c>
      <c r="L112" s="32">
        <f t="shared" si="177"/>
        <v>0</v>
      </c>
      <c r="M112" s="32">
        <f t="shared" si="177"/>
        <v>0</v>
      </c>
      <c r="N112" s="32">
        <f t="shared" si="177"/>
        <v>0</v>
      </c>
      <c r="O112" s="32">
        <f t="shared" si="177"/>
        <v>11233.130669939161</v>
      </c>
      <c r="P112" s="32">
        <f t="shared" si="177"/>
        <v>11190.794928838903</v>
      </c>
      <c r="Q112" s="32">
        <f t="shared" si="177"/>
        <v>11147.702061098667</v>
      </c>
      <c r="R112" s="32">
        <f t="shared" si="177"/>
        <v>11104.822479349081</v>
      </c>
      <c r="S112" s="32">
        <f t="shared" si="177"/>
        <v>11061.172559369908</v>
      </c>
      <c r="T112" s="32">
        <f t="shared" si="177"/>
        <v>11025.255469920612</v>
      </c>
      <c r="U112" s="32">
        <f t="shared" si="177"/>
        <v>10973.518731652715</v>
      </c>
      <c r="V112" s="32">
        <f t="shared" si="177"/>
        <v>10921.998577696688</v>
      </c>
      <c r="W112" s="32">
        <f t="shared" si="177"/>
        <v>10884.71667623521</v>
      </c>
      <c r="X112" s="32">
        <f t="shared" si="177"/>
        <v>10840.135152344956</v>
      </c>
      <c r="Y112" s="32">
        <f t="shared" si="177"/>
        <v>10794.742010746362</v>
      </c>
      <c r="Z112" s="32">
        <f t="shared" si="177"/>
        <v>10749.568908064761</v>
      </c>
      <c r="AA112" s="32">
        <f t="shared" si="177"/>
        <v>10703.56986326347</v>
      </c>
      <c r="AB112" s="32">
        <f t="shared" si="177"/>
        <v>10665.064311187987</v>
      </c>
      <c r="AC112" s="32">
        <f t="shared" si="177"/>
        <v>10611.174866718349</v>
      </c>
      <c r="AD112" s="32">
        <f t="shared" si="177"/>
        <v>10557.509077694693</v>
      </c>
      <c r="AE112" s="32">
        <f t="shared" si="177"/>
        <v>10517.531143266302</v>
      </c>
      <c r="AF112" s="32">
        <f t="shared" si="177"/>
        <v>10470.507070020134</v>
      </c>
      <c r="AG112" s="32">
        <f t="shared" si="177"/>
        <v>10422.612301906172</v>
      </c>
      <c r="AH112" s="32">
        <f t="shared" si="177"/>
        <v>10374.944975120165</v>
      </c>
      <c r="AI112" s="32">
        <f t="shared" si="177"/>
        <v>10326.391413681304</v>
      </c>
      <c r="AJ112" s="32">
        <f t="shared" si="177"/>
        <v>10285.079124192071</v>
      </c>
      <c r="AK112" s="32">
        <f t="shared" si="177"/>
        <v>10228.841010385528</v>
      </c>
      <c r="AL112" s="32">
        <f t="shared" si="177"/>
        <v>10172.834298762504</v>
      </c>
      <c r="AM112" s="32">
        <f t="shared" si="177"/>
        <v>10129.933079413677</v>
      </c>
      <c r="AN112" s="32">
        <f t="shared" si="177"/>
        <v>10080.253439298456</v>
      </c>
      <c r="AO112" s="32">
        <f t="shared" si="177"/>
        <v>10029.63904497031</v>
      </c>
      <c r="AP112" s="32">
        <f t="shared" ref="AP112:BU112" si="178" xml:space="preserve"> IF($F107 = 1, $F108 * AP109, SUM(AQ110)) * AP111</f>
        <v>9979.2601971614822</v>
      </c>
      <c r="AQ112" s="32">
        <f t="shared" si="178"/>
        <v>9927.9304935534874</v>
      </c>
      <c r="AR112" s="32">
        <f t="shared" si="178"/>
        <v>9883.5760729497488</v>
      </c>
      <c r="AS112" s="32">
        <f t="shared" si="178"/>
        <v>9824.7779316197557</v>
      </c>
      <c r="AT112" s="32">
        <f t="shared" si="178"/>
        <v>9766.220927027236</v>
      </c>
      <c r="AU112" s="32">
        <f t="shared" si="178"/>
        <v>4860.2302073800211</v>
      </c>
      <c r="AV112" s="32">
        <f t="shared" si="178"/>
        <v>-2.0082668080759609E-4</v>
      </c>
      <c r="AW112" s="32">
        <f t="shared" si="178"/>
        <v>0</v>
      </c>
      <c r="AX112" s="32">
        <f t="shared" si="178"/>
        <v>0</v>
      </c>
      <c r="AY112" s="32">
        <f t="shared" si="178"/>
        <v>0</v>
      </c>
      <c r="AZ112" s="32">
        <f t="shared" si="178"/>
        <v>0</v>
      </c>
      <c r="BA112" s="32">
        <f t="shared" si="178"/>
        <v>0</v>
      </c>
      <c r="BB112" s="32">
        <f t="shared" si="178"/>
        <v>0</v>
      </c>
      <c r="BC112" s="32">
        <f t="shared" si="178"/>
        <v>0</v>
      </c>
      <c r="BD112" s="32">
        <f t="shared" si="178"/>
        <v>0</v>
      </c>
      <c r="BE112" s="32">
        <f t="shared" si="178"/>
        <v>0</v>
      </c>
      <c r="BF112" s="32">
        <f t="shared" si="178"/>
        <v>0</v>
      </c>
      <c r="BG112" s="32">
        <f t="shared" si="178"/>
        <v>0</v>
      </c>
      <c r="BH112" s="32">
        <f t="shared" si="178"/>
        <v>0</v>
      </c>
      <c r="BI112" s="32">
        <f t="shared" si="178"/>
        <v>0</v>
      </c>
      <c r="BJ112" s="32">
        <f t="shared" si="178"/>
        <v>0</v>
      </c>
      <c r="BK112" s="32">
        <f t="shared" si="178"/>
        <v>0</v>
      </c>
      <c r="BL112" s="32">
        <f t="shared" si="178"/>
        <v>0</v>
      </c>
      <c r="BM112" s="32">
        <f t="shared" si="178"/>
        <v>0</v>
      </c>
      <c r="BN112" s="32">
        <f t="shared" si="178"/>
        <v>0</v>
      </c>
      <c r="BO112" s="32">
        <f t="shared" si="178"/>
        <v>0</v>
      </c>
      <c r="BP112" s="32">
        <f t="shared" si="178"/>
        <v>0</v>
      </c>
      <c r="BQ112" s="32">
        <f t="shared" si="178"/>
        <v>0</v>
      </c>
      <c r="BR112" s="32">
        <f t="shared" si="178"/>
        <v>0</v>
      </c>
      <c r="BS112" s="32">
        <f t="shared" si="178"/>
        <v>0</v>
      </c>
      <c r="BT112" s="32">
        <f t="shared" si="178"/>
        <v>0</v>
      </c>
      <c r="BU112" s="32">
        <f t="shared" si="178"/>
        <v>0</v>
      </c>
      <c r="BV112" s="32">
        <f t="shared" ref="BV112:CV112" si="179" xml:space="preserve"> IF($F107 = 1, $F108 * BV109, SUM(BW110)) * BV111</f>
        <v>0</v>
      </c>
      <c r="BW112" s="32">
        <f t="shared" si="179"/>
        <v>0</v>
      </c>
      <c r="BX112" s="32">
        <f t="shared" si="179"/>
        <v>0</v>
      </c>
      <c r="BY112" s="32">
        <f t="shared" si="179"/>
        <v>0</v>
      </c>
      <c r="BZ112" s="32">
        <f t="shared" si="179"/>
        <v>0</v>
      </c>
      <c r="CA112" s="32">
        <f t="shared" si="179"/>
        <v>0</v>
      </c>
      <c r="CB112" s="32">
        <f t="shared" si="179"/>
        <v>0</v>
      </c>
      <c r="CC112" s="32">
        <f t="shared" si="179"/>
        <v>0</v>
      </c>
      <c r="CD112" s="32">
        <f t="shared" si="179"/>
        <v>0</v>
      </c>
      <c r="CE112" s="32">
        <f t="shared" si="179"/>
        <v>0</v>
      </c>
      <c r="CF112" s="32">
        <f t="shared" si="179"/>
        <v>0</v>
      </c>
      <c r="CG112" s="32">
        <f t="shared" si="179"/>
        <v>0</v>
      </c>
      <c r="CH112" s="32">
        <f t="shared" si="179"/>
        <v>0</v>
      </c>
      <c r="CI112" s="32">
        <f t="shared" si="179"/>
        <v>0</v>
      </c>
      <c r="CJ112" s="32">
        <f t="shared" si="179"/>
        <v>0</v>
      </c>
      <c r="CK112" s="32">
        <f t="shared" si="179"/>
        <v>0</v>
      </c>
      <c r="CL112" s="32">
        <f t="shared" si="179"/>
        <v>0</v>
      </c>
      <c r="CM112" s="32">
        <f t="shared" si="179"/>
        <v>0</v>
      </c>
      <c r="CN112" s="32">
        <f t="shared" si="179"/>
        <v>0</v>
      </c>
      <c r="CO112" s="32">
        <f t="shared" si="179"/>
        <v>0</v>
      </c>
      <c r="CP112" s="32">
        <f t="shared" si="179"/>
        <v>0</v>
      </c>
      <c r="CQ112" s="32">
        <f t="shared" si="179"/>
        <v>0</v>
      </c>
      <c r="CR112" s="32">
        <f t="shared" si="179"/>
        <v>0</v>
      </c>
      <c r="CS112" s="32">
        <f t="shared" si="179"/>
        <v>0</v>
      </c>
      <c r="CT112" s="32">
        <f t="shared" si="179"/>
        <v>0</v>
      </c>
      <c r="CU112" s="32">
        <f t="shared" si="179"/>
        <v>0</v>
      </c>
      <c r="CV112" s="32">
        <f t="shared" si="179"/>
        <v>0</v>
      </c>
    </row>
    <row r="113" spans="1:100" outlineLevel="2" x14ac:dyDescent="0.2">
      <c r="A113" s="33"/>
      <c r="B113" s="79"/>
      <c r="C113" s="561"/>
      <c r="D113" s="60"/>
      <c r="E113" s="32"/>
      <c r="F113" s="32"/>
      <c r="G113" s="32"/>
      <c r="H113" s="32"/>
      <c r="I113" s="32"/>
      <c r="J113" s="455"/>
      <c r="K113" s="455"/>
      <c r="L113" s="455"/>
      <c r="M113" s="455"/>
      <c r="N113" s="455"/>
      <c r="O113" s="455"/>
      <c r="P113" s="455"/>
      <c r="Q113" s="455"/>
      <c r="R113" s="455"/>
      <c r="S113" s="455"/>
      <c r="T113" s="455"/>
      <c r="U113" s="455"/>
      <c r="V113" s="455"/>
      <c r="W113" s="455"/>
      <c r="X113" s="455"/>
      <c r="Y113" s="455"/>
      <c r="Z113" s="455"/>
      <c r="AA113" s="455"/>
      <c r="AB113" s="455"/>
      <c r="AC113" s="455"/>
      <c r="AD113" s="455"/>
      <c r="AE113" s="455"/>
      <c r="AF113" s="455"/>
      <c r="AG113" s="455"/>
      <c r="AH113" s="455"/>
      <c r="AI113" s="455"/>
      <c r="AJ113" s="455"/>
      <c r="AK113" s="455"/>
      <c r="AL113" s="455"/>
      <c r="AM113" s="455"/>
      <c r="AN113" s="455"/>
      <c r="AO113" s="455"/>
      <c r="AP113" s="455"/>
      <c r="AQ113" s="455"/>
      <c r="AR113" s="455"/>
      <c r="AS113" s="455"/>
      <c r="AT113" s="455"/>
      <c r="AU113" s="455"/>
      <c r="AV113" s="455"/>
      <c r="AW113" s="455"/>
      <c r="AX113" s="455"/>
      <c r="AY113" s="455"/>
      <c r="AZ113" s="455"/>
      <c r="BA113" s="455"/>
      <c r="BB113" s="455"/>
      <c r="BC113" s="455"/>
      <c r="BD113" s="455"/>
      <c r="BE113" s="455"/>
      <c r="BF113" s="455"/>
      <c r="BG113" s="455"/>
      <c r="BH113" s="455"/>
      <c r="BI113" s="455"/>
      <c r="BJ113" s="455"/>
      <c r="BK113" s="455"/>
      <c r="BL113" s="455"/>
      <c r="BM113" s="455"/>
      <c r="BN113" s="455"/>
      <c r="BO113" s="455"/>
      <c r="BP113" s="455"/>
      <c r="BQ113" s="455"/>
      <c r="BR113" s="455"/>
      <c r="BS113" s="455"/>
      <c r="BT113" s="455"/>
      <c r="BU113" s="455"/>
      <c r="BV113" s="455"/>
      <c r="BW113" s="455"/>
      <c r="BX113" s="455"/>
      <c r="BY113" s="455"/>
      <c r="BZ113" s="455"/>
      <c r="CA113" s="455"/>
      <c r="CB113" s="455"/>
      <c r="CC113" s="455"/>
      <c r="CD113" s="455"/>
      <c r="CE113" s="455"/>
      <c r="CF113" s="455"/>
      <c r="CG113" s="455"/>
      <c r="CH113" s="455"/>
      <c r="CI113" s="455"/>
      <c r="CJ113" s="455"/>
      <c r="CK113" s="455"/>
      <c r="CL113" s="455"/>
      <c r="CM113" s="455"/>
      <c r="CN113" s="455"/>
      <c r="CO113" s="455"/>
      <c r="CP113" s="455"/>
      <c r="CQ113" s="455"/>
      <c r="CR113" s="455"/>
      <c r="CS113" s="455"/>
      <c r="CT113" s="455"/>
      <c r="CU113" s="455"/>
      <c r="CV113" s="455"/>
    </row>
    <row r="114" spans="1:100" s="125" customFormat="1" outlineLevel="2" x14ac:dyDescent="0.2">
      <c r="A114" s="75"/>
      <c r="B114" s="639"/>
      <c r="C114" s="640"/>
      <c r="D114" s="641"/>
      <c r="E114" s="125" t="str">
        <f xml:space="preserve"> InpC!E$354</f>
        <v>Distribute DSRA to sponsors at COD</v>
      </c>
      <c r="F114" s="125">
        <f xml:space="preserve"> InpC!F$354</f>
        <v>0</v>
      </c>
      <c r="G114" s="125" t="str">
        <f xml:space="preserve"> InpC!G$354</f>
        <v>1 = yes, 0 = no</v>
      </c>
    </row>
    <row r="115" spans="1:100" outlineLevel="2" x14ac:dyDescent="0.2">
      <c r="A115" s="33"/>
      <c r="B115" s="79"/>
      <c r="C115" s="561"/>
      <c r="D115" s="60"/>
      <c r="E115" s="32" t="str">
        <f t="shared" ref="E115:AJ115" si="180" xml:space="preserve"> E$112</f>
        <v>DSRA target balance - P99</v>
      </c>
      <c r="F115" s="32">
        <f t="shared" si="180"/>
        <v>0</v>
      </c>
      <c r="G115" s="32" t="str">
        <f t="shared" si="180"/>
        <v>$ 000s</v>
      </c>
      <c r="H115" s="32">
        <f t="shared" si="180"/>
        <v>0</v>
      </c>
      <c r="I115" s="32">
        <f t="shared" si="180"/>
        <v>0</v>
      </c>
      <c r="J115" s="32">
        <f t="shared" si="180"/>
        <v>0</v>
      </c>
      <c r="K115" s="32">
        <f t="shared" si="180"/>
        <v>0</v>
      </c>
      <c r="L115" s="32">
        <f t="shared" si="180"/>
        <v>0</v>
      </c>
      <c r="M115" s="32">
        <f t="shared" si="180"/>
        <v>0</v>
      </c>
      <c r="N115" s="32">
        <f t="shared" si="180"/>
        <v>0</v>
      </c>
      <c r="O115" s="32">
        <f t="shared" si="180"/>
        <v>11233.130669939161</v>
      </c>
      <c r="P115" s="32">
        <f t="shared" si="180"/>
        <v>11190.794928838903</v>
      </c>
      <c r="Q115" s="32">
        <f t="shared" si="180"/>
        <v>11147.702061098667</v>
      </c>
      <c r="R115" s="32">
        <f t="shared" si="180"/>
        <v>11104.822479349081</v>
      </c>
      <c r="S115" s="32">
        <f t="shared" si="180"/>
        <v>11061.172559369908</v>
      </c>
      <c r="T115" s="32">
        <f t="shared" si="180"/>
        <v>11025.255469920612</v>
      </c>
      <c r="U115" s="32">
        <f t="shared" si="180"/>
        <v>10973.518731652715</v>
      </c>
      <c r="V115" s="32">
        <f t="shared" si="180"/>
        <v>10921.998577696688</v>
      </c>
      <c r="W115" s="32">
        <f t="shared" si="180"/>
        <v>10884.71667623521</v>
      </c>
      <c r="X115" s="32">
        <f t="shared" si="180"/>
        <v>10840.135152344956</v>
      </c>
      <c r="Y115" s="32">
        <f t="shared" si="180"/>
        <v>10794.742010746362</v>
      </c>
      <c r="Z115" s="32">
        <f t="shared" si="180"/>
        <v>10749.568908064761</v>
      </c>
      <c r="AA115" s="32">
        <f t="shared" si="180"/>
        <v>10703.56986326347</v>
      </c>
      <c r="AB115" s="32">
        <f t="shared" si="180"/>
        <v>10665.064311187987</v>
      </c>
      <c r="AC115" s="32">
        <f t="shared" si="180"/>
        <v>10611.174866718349</v>
      </c>
      <c r="AD115" s="32">
        <f t="shared" si="180"/>
        <v>10557.509077694693</v>
      </c>
      <c r="AE115" s="32">
        <f t="shared" si="180"/>
        <v>10517.531143266302</v>
      </c>
      <c r="AF115" s="32">
        <f t="shared" si="180"/>
        <v>10470.507070020134</v>
      </c>
      <c r="AG115" s="32">
        <f t="shared" si="180"/>
        <v>10422.612301906172</v>
      </c>
      <c r="AH115" s="32">
        <f t="shared" si="180"/>
        <v>10374.944975120165</v>
      </c>
      <c r="AI115" s="32">
        <f t="shared" si="180"/>
        <v>10326.391413681304</v>
      </c>
      <c r="AJ115" s="32">
        <f t="shared" si="180"/>
        <v>10285.079124192071</v>
      </c>
      <c r="AK115" s="32">
        <f t="shared" ref="AK115:BP115" si="181" xml:space="preserve"> AK$112</f>
        <v>10228.841010385528</v>
      </c>
      <c r="AL115" s="32">
        <f t="shared" si="181"/>
        <v>10172.834298762504</v>
      </c>
      <c r="AM115" s="32">
        <f t="shared" si="181"/>
        <v>10129.933079413677</v>
      </c>
      <c r="AN115" s="32">
        <f t="shared" si="181"/>
        <v>10080.253439298456</v>
      </c>
      <c r="AO115" s="32">
        <f t="shared" si="181"/>
        <v>10029.63904497031</v>
      </c>
      <c r="AP115" s="32">
        <f t="shared" si="181"/>
        <v>9979.2601971614822</v>
      </c>
      <c r="AQ115" s="32">
        <f t="shared" si="181"/>
        <v>9927.9304935534874</v>
      </c>
      <c r="AR115" s="32">
        <f t="shared" si="181"/>
        <v>9883.5760729497488</v>
      </c>
      <c r="AS115" s="32">
        <f t="shared" si="181"/>
        <v>9824.7779316197557</v>
      </c>
      <c r="AT115" s="32">
        <f t="shared" si="181"/>
        <v>9766.220927027236</v>
      </c>
      <c r="AU115" s="32">
        <f t="shared" si="181"/>
        <v>4860.2302073800211</v>
      </c>
      <c r="AV115" s="32">
        <f t="shared" si="181"/>
        <v>-2.0082668080759609E-4</v>
      </c>
      <c r="AW115" s="32">
        <f t="shared" si="181"/>
        <v>0</v>
      </c>
      <c r="AX115" s="32">
        <f t="shared" si="181"/>
        <v>0</v>
      </c>
      <c r="AY115" s="32">
        <f t="shared" si="181"/>
        <v>0</v>
      </c>
      <c r="AZ115" s="32">
        <f t="shared" si="181"/>
        <v>0</v>
      </c>
      <c r="BA115" s="32">
        <f t="shared" si="181"/>
        <v>0</v>
      </c>
      <c r="BB115" s="32">
        <f t="shared" si="181"/>
        <v>0</v>
      </c>
      <c r="BC115" s="32">
        <f t="shared" si="181"/>
        <v>0</v>
      </c>
      <c r="BD115" s="32">
        <f t="shared" si="181"/>
        <v>0</v>
      </c>
      <c r="BE115" s="32">
        <f t="shared" si="181"/>
        <v>0</v>
      </c>
      <c r="BF115" s="32">
        <f t="shared" si="181"/>
        <v>0</v>
      </c>
      <c r="BG115" s="32">
        <f t="shared" si="181"/>
        <v>0</v>
      </c>
      <c r="BH115" s="32">
        <f t="shared" si="181"/>
        <v>0</v>
      </c>
      <c r="BI115" s="32">
        <f t="shared" si="181"/>
        <v>0</v>
      </c>
      <c r="BJ115" s="32">
        <f t="shared" si="181"/>
        <v>0</v>
      </c>
      <c r="BK115" s="32">
        <f t="shared" si="181"/>
        <v>0</v>
      </c>
      <c r="BL115" s="32">
        <f t="shared" si="181"/>
        <v>0</v>
      </c>
      <c r="BM115" s="32">
        <f t="shared" si="181"/>
        <v>0</v>
      </c>
      <c r="BN115" s="32">
        <f t="shared" si="181"/>
        <v>0</v>
      </c>
      <c r="BO115" s="32">
        <f t="shared" si="181"/>
        <v>0</v>
      </c>
      <c r="BP115" s="32">
        <f t="shared" si="181"/>
        <v>0</v>
      </c>
      <c r="BQ115" s="32">
        <f t="shared" ref="BQ115:CV115" si="182" xml:space="preserve"> BQ$112</f>
        <v>0</v>
      </c>
      <c r="BR115" s="32">
        <f t="shared" si="182"/>
        <v>0</v>
      </c>
      <c r="BS115" s="32">
        <f t="shared" si="182"/>
        <v>0</v>
      </c>
      <c r="BT115" s="32">
        <f t="shared" si="182"/>
        <v>0</v>
      </c>
      <c r="BU115" s="32">
        <f t="shared" si="182"/>
        <v>0</v>
      </c>
      <c r="BV115" s="32">
        <f t="shared" si="182"/>
        <v>0</v>
      </c>
      <c r="BW115" s="32">
        <f t="shared" si="182"/>
        <v>0</v>
      </c>
      <c r="BX115" s="32">
        <f t="shared" si="182"/>
        <v>0</v>
      </c>
      <c r="BY115" s="32">
        <f t="shared" si="182"/>
        <v>0</v>
      </c>
      <c r="BZ115" s="32">
        <f t="shared" si="182"/>
        <v>0</v>
      </c>
      <c r="CA115" s="32">
        <f t="shared" si="182"/>
        <v>0</v>
      </c>
      <c r="CB115" s="32">
        <f t="shared" si="182"/>
        <v>0</v>
      </c>
      <c r="CC115" s="32">
        <f t="shared" si="182"/>
        <v>0</v>
      </c>
      <c r="CD115" s="32">
        <f t="shared" si="182"/>
        <v>0</v>
      </c>
      <c r="CE115" s="32">
        <f t="shared" si="182"/>
        <v>0</v>
      </c>
      <c r="CF115" s="32">
        <f t="shared" si="182"/>
        <v>0</v>
      </c>
      <c r="CG115" s="32">
        <f t="shared" si="182"/>
        <v>0</v>
      </c>
      <c r="CH115" s="32">
        <f t="shared" si="182"/>
        <v>0</v>
      </c>
      <c r="CI115" s="32">
        <f t="shared" si="182"/>
        <v>0</v>
      </c>
      <c r="CJ115" s="32">
        <f t="shared" si="182"/>
        <v>0</v>
      </c>
      <c r="CK115" s="32">
        <f t="shared" si="182"/>
        <v>0</v>
      </c>
      <c r="CL115" s="32">
        <f t="shared" si="182"/>
        <v>0</v>
      </c>
      <c r="CM115" s="32">
        <f t="shared" si="182"/>
        <v>0</v>
      </c>
      <c r="CN115" s="32">
        <f t="shared" si="182"/>
        <v>0</v>
      </c>
      <c r="CO115" s="32">
        <f t="shared" si="182"/>
        <v>0</v>
      </c>
      <c r="CP115" s="32">
        <f t="shared" si="182"/>
        <v>0</v>
      </c>
      <c r="CQ115" s="32">
        <f t="shared" si="182"/>
        <v>0</v>
      </c>
      <c r="CR115" s="32">
        <f t="shared" si="182"/>
        <v>0</v>
      </c>
      <c r="CS115" s="32">
        <f t="shared" si="182"/>
        <v>0</v>
      </c>
      <c r="CT115" s="32">
        <f t="shared" si="182"/>
        <v>0</v>
      </c>
      <c r="CU115" s="32">
        <f t="shared" si="182"/>
        <v>0</v>
      </c>
      <c r="CV115" s="32">
        <f t="shared" si="182"/>
        <v>0</v>
      </c>
    </row>
    <row r="116" spans="1:100" outlineLevel="2" x14ac:dyDescent="0.2">
      <c r="A116" s="33"/>
      <c r="B116" s="79"/>
      <c r="C116" s="561"/>
      <c r="D116" s="60"/>
      <c r="E116" s="32" t="str">
        <f t="shared" ref="E116:AJ116" si="183" xml:space="preserve"> E$160</f>
        <v xml:space="preserve">DSRA balance - P99 BEG </v>
      </c>
      <c r="F116" s="32">
        <f t="shared" si="183"/>
        <v>0</v>
      </c>
      <c r="G116" s="32" t="str">
        <f t="shared" si="183"/>
        <v>$ 000s</v>
      </c>
      <c r="H116" s="32">
        <f t="shared" si="183"/>
        <v>0</v>
      </c>
      <c r="I116" s="32">
        <f t="shared" si="183"/>
        <v>0</v>
      </c>
      <c r="J116" s="32">
        <f t="shared" si="183"/>
        <v>0</v>
      </c>
      <c r="K116" s="32">
        <f t="shared" ca="1" si="183"/>
        <v>0</v>
      </c>
      <c r="L116" s="32">
        <f t="shared" ca="1" si="183"/>
        <v>0</v>
      </c>
      <c r="M116" s="32">
        <f t="shared" ca="1" si="183"/>
        <v>0</v>
      </c>
      <c r="N116" s="32">
        <f t="shared" ca="1" si="183"/>
        <v>0</v>
      </c>
      <c r="O116" s="32">
        <f t="shared" ca="1" si="183"/>
        <v>11233.130669939161</v>
      </c>
      <c r="P116" s="32">
        <f t="shared" ca="1" si="183"/>
        <v>11233.130669939161</v>
      </c>
      <c r="Q116" s="32">
        <f t="shared" ca="1" si="183"/>
        <v>11190.794928838903</v>
      </c>
      <c r="R116" s="32">
        <f t="shared" ca="1" si="183"/>
        <v>11147.702061098667</v>
      </c>
      <c r="S116" s="32">
        <f t="shared" ca="1" si="183"/>
        <v>11104.822479349081</v>
      </c>
      <c r="T116" s="32">
        <f t="shared" ca="1" si="183"/>
        <v>11061.172559369908</v>
      </c>
      <c r="U116" s="32">
        <f t="shared" ca="1" si="183"/>
        <v>11025.255469920612</v>
      </c>
      <c r="V116" s="32">
        <f t="shared" ca="1" si="183"/>
        <v>10973.518731652715</v>
      </c>
      <c r="W116" s="32">
        <f t="shared" ca="1" si="183"/>
        <v>10921.998577696688</v>
      </c>
      <c r="X116" s="32">
        <f t="shared" ca="1" si="183"/>
        <v>10884.71667623521</v>
      </c>
      <c r="Y116" s="32">
        <f t="shared" ca="1" si="183"/>
        <v>10840.135152344956</v>
      </c>
      <c r="Z116" s="32">
        <f t="shared" ca="1" si="183"/>
        <v>10794.742010746362</v>
      </c>
      <c r="AA116" s="32">
        <f t="shared" ca="1" si="183"/>
        <v>10749.568908064761</v>
      </c>
      <c r="AB116" s="32">
        <f t="shared" ca="1" si="183"/>
        <v>10703.56986326347</v>
      </c>
      <c r="AC116" s="32">
        <f t="shared" ca="1" si="183"/>
        <v>10665.064311187987</v>
      </c>
      <c r="AD116" s="32">
        <f t="shared" ca="1" si="183"/>
        <v>10611.174866718349</v>
      </c>
      <c r="AE116" s="32">
        <f t="shared" ca="1" si="183"/>
        <v>10557.509077694693</v>
      </c>
      <c r="AF116" s="32">
        <f t="shared" ca="1" si="183"/>
        <v>10517.531143266302</v>
      </c>
      <c r="AG116" s="32">
        <f t="shared" ca="1" si="183"/>
        <v>10470.507070020134</v>
      </c>
      <c r="AH116" s="32">
        <f t="shared" ca="1" si="183"/>
        <v>10422.612301906172</v>
      </c>
      <c r="AI116" s="32">
        <f t="shared" ca="1" si="183"/>
        <v>10374.944975120165</v>
      </c>
      <c r="AJ116" s="32">
        <f t="shared" ca="1" si="183"/>
        <v>10326.391413681304</v>
      </c>
      <c r="AK116" s="32">
        <f t="shared" ref="AK116:BP116" ca="1" si="184" xml:space="preserve"> AK$160</f>
        <v>10285.079124192071</v>
      </c>
      <c r="AL116" s="32">
        <f t="shared" ca="1" si="184"/>
        <v>10228.841010385528</v>
      </c>
      <c r="AM116" s="32">
        <f t="shared" ca="1" si="184"/>
        <v>10172.834298762504</v>
      </c>
      <c r="AN116" s="32">
        <f t="shared" ca="1" si="184"/>
        <v>10129.933079413677</v>
      </c>
      <c r="AO116" s="32">
        <f t="shared" ca="1" si="184"/>
        <v>10080.253439298456</v>
      </c>
      <c r="AP116" s="32">
        <f t="shared" ca="1" si="184"/>
        <v>10029.63904497031</v>
      </c>
      <c r="AQ116" s="32">
        <f t="shared" ca="1" si="184"/>
        <v>9979.2601971614822</v>
      </c>
      <c r="AR116" s="32">
        <f t="shared" ca="1" si="184"/>
        <v>9927.9304935534874</v>
      </c>
      <c r="AS116" s="32">
        <f t="shared" ca="1" si="184"/>
        <v>9883.5760729497488</v>
      </c>
      <c r="AT116" s="32">
        <f t="shared" ca="1" si="184"/>
        <v>9824.7779316197557</v>
      </c>
      <c r="AU116" s="32">
        <f t="shared" ca="1" si="184"/>
        <v>9766.220927027236</v>
      </c>
      <c r="AV116" s="32">
        <f t="shared" ca="1" si="184"/>
        <v>4860.2302073800211</v>
      </c>
      <c r="AW116" s="32">
        <f t="shared" ca="1" si="184"/>
        <v>-2.0082668106624624E-4</v>
      </c>
      <c r="AX116" s="32">
        <f t="shared" ca="1" si="184"/>
        <v>-2.0082668106624624E-4</v>
      </c>
      <c r="AY116" s="32">
        <f t="shared" ca="1" si="184"/>
        <v>-2.0082668106624624E-4</v>
      </c>
      <c r="AZ116" s="32">
        <f t="shared" ca="1" si="184"/>
        <v>-2.0082668106624624E-4</v>
      </c>
      <c r="BA116" s="32">
        <f t="shared" ca="1" si="184"/>
        <v>-2.0082668106624624E-4</v>
      </c>
      <c r="BB116" s="32">
        <f t="shared" ca="1" si="184"/>
        <v>-2.0082668106624624E-4</v>
      </c>
      <c r="BC116" s="32">
        <f t="shared" ca="1" si="184"/>
        <v>-2.0082668106624624E-4</v>
      </c>
      <c r="BD116" s="32">
        <f t="shared" ca="1" si="184"/>
        <v>-2.0082668106624624E-4</v>
      </c>
      <c r="BE116" s="32">
        <f t="shared" ca="1" si="184"/>
        <v>-2.0082668106624624E-4</v>
      </c>
      <c r="BF116" s="32">
        <f t="shared" ca="1" si="184"/>
        <v>-2.0082668106624624E-4</v>
      </c>
      <c r="BG116" s="32">
        <f t="shared" ca="1" si="184"/>
        <v>-2.0082668106624624E-4</v>
      </c>
      <c r="BH116" s="32">
        <f t="shared" ca="1" si="184"/>
        <v>-2.0082668106624624E-4</v>
      </c>
      <c r="BI116" s="32">
        <f t="shared" ca="1" si="184"/>
        <v>-2.0082668106624624E-4</v>
      </c>
      <c r="BJ116" s="32">
        <f t="shared" ca="1" si="184"/>
        <v>-2.0082668106624624E-4</v>
      </c>
      <c r="BK116" s="32">
        <f t="shared" ca="1" si="184"/>
        <v>-2.0082668106624624E-4</v>
      </c>
      <c r="BL116" s="32">
        <f t="shared" ca="1" si="184"/>
        <v>-2.0082668106624624E-4</v>
      </c>
      <c r="BM116" s="32">
        <f t="shared" ca="1" si="184"/>
        <v>-2.0082668106624624E-4</v>
      </c>
      <c r="BN116" s="32">
        <f t="shared" ca="1" si="184"/>
        <v>-2.0082668106624624E-4</v>
      </c>
      <c r="BO116" s="32">
        <f t="shared" ca="1" si="184"/>
        <v>-2.0082668106624624E-4</v>
      </c>
      <c r="BP116" s="32">
        <f t="shared" ca="1" si="184"/>
        <v>-2.0082668106624624E-4</v>
      </c>
      <c r="BQ116" s="32">
        <f t="shared" ref="BQ116:CV116" ca="1" si="185" xml:space="preserve"> BQ$160</f>
        <v>-2.0082668106624624E-4</v>
      </c>
      <c r="BR116" s="32">
        <f t="shared" ca="1" si="185"/>
        <v>-2.0082668106624624E-4</v>
      </c>
      <c r="BS116" s="32">
        <f t="shared" ca="1" si="185"/>
        <v>-2.0082668106624624E-4</v>
      </c>
      <c r="BT116" s="32">
        <f t="shared" ca="1" si="185"/>
        <v>-2.0082668106624624E-4</v>
      </c>
      <c r="BU116" s="32">
        <f t="shared" ca="1" si="185"/>
        <v>-2.0082668106624624E-4</v>
      </c>
      <c r="BV116" s="32">
        <f t="shared" ca="1" si="185"/>
        <v>-2.0082668106624624E-4</v>
      </c>
      <c r="BW116" s="32">
        <f t="shared" ca="1" si="185"/>
        <v>-2.0082668106624624E-4</v>
      </c>
      <c r="BX116" s="32">
        <f t="shared" ca="1" si="185"/>
        <v>-2.0082668106624624E-4</v>
      </c>
      <c r="BY116" s="32">
        <f t="shared" ca="1" si="185"/>
        <v>-2.0082668106624624E-4</v>
      </c>
      <c r="BZ116" s="32">
        <f t="shared" ca="1" si="185"/>
        <v>-2.0082668106624624E-4</v>
      </c>
      <c r="CA116" s="32">
        <f t="shared" ca="1" si="185"/>
        <v>-2.0082668106624624E-4</v>
      </c>
      <c r="CB116" s="32">
        <f t="shared" ca="1" si="185"/>
        <v>-2.0082668106624624E-4</v>
      </c>
      <c r="CC116" s="32">
        <f t="shared" ca="1" si="185"/>
        <v>-2.0082668106624624E-4</v>
      </c>
      <c r="CD116" s="32">
        <f t="shared" ca="1" si="185"/>
        <v>-2.0082668106624624E-4</v>
      </c>
      <c r="CE116" s="32">
        <f t="shared" ca="1" si="185"/>
        <v>-2.0082668106624624E-4</v>
      </c>
      <c r="CF116" s="32">
        <f t="shared" ca="1" si="185"/>
        <v>-2.0082668106624624E-4</v>
      </c>
      <c r="CG116" s="32">
        <f t="shared" ca="1" si="185"/>
        <v>-2.0082668106624624E-4</v>
      </c>
      <c r="CH116" s="32">
        <f t="shared" ca="1" si="185"/>
        <v>-2.0082668106624624E-4</v>
      </c>
      <c r="CI116" s="32">
        <f t="shared" ca="1" si="185"/>
        <v>-2.0082668106624624E-4</v>
      </c>
      <c r="CJ116" s="32">
        <f t="shared" ca="1" si="185"/>
        <v>-2.0082668106624624E-4</v>
      </c>
      <c r="CK116" s="32">
        <f t="shared" ca="1" si="185"/>
        <v>-2.0082668106624624E-4</v>
      </c>
      <c r="CL116" s="32">
        <f t="shared" ca="1" si="185"/>
        <v>-2.0082668106624624E-4</v>
      </c>
      <c r="CM116" s="32">
        <f t="shared" ca="1" si="185"/>
        <v>-2.0082668106624624E-4</v>
      </c>
      <c r="CN116" s="32">
        <f t="shared" ca="1" si="185"/>
        <v>-2.0082668106624624E-4</v>
      </c>
      <c r="CO116" s="32">
        <f t="shared" ca="1" si="185"/>
        <v>-2.0082668106624624E-4</v>
      </c>
      <c r="CP116" s="32">
        <f t="shared" ca="1" si="185"/>
        <v>-2.0082668106624624E-4</v>
      </c>
      <c r="CQ116" s="32">
        <f t="shared" ca="1" si="185"/>
        <v>-2.0082668106624624E-4</v>
      </c>
      <c r="CR116" s="32">
        <f t="shared" ca="1" si="185"/>
        <v>-2.0082668106624624E-4</v>
      </c>
      <c r="CS116" s="32">
        <f t="shared" ca="1" si="185"/>
        <v>-2.0082668106624624E-4</v>
      </c>
      <c r="CT116" s="32">
        <f t="shared" ca="1" si="185"/>
        <v>-2.0082668106624624E-4</v>
      </c>
      <c r="CU116" s="32">
        <f t="shared" ca="1" si="185"/>
        <v>-2.0082668106624624E-4</v>
      </c>
      <c r="CV116" s="32">
        <f t="shared" ca="1" si="185"/>
        <v>-2.0082668106624624E-4</v>
      </c>
    </row>
    <row r="117" spans="1:100" outlineLevel="2" x14ac:dyDescent="0.2">
      <c r="A117" s="33"/>
      <c r="B117" s="79"/>
      <c r="C117" s="561"/>
      <c r="D117" s="60"/>
      <c r="E117" s="77" t="str">
        <f xml:space="preserve"> Time!E$90</f>
        <v>First operating period flag</v>
      </c>
      <c r="F117" s="77">
        <f xml:space="preserve"> Time!F$90</f>
        <v>0</v>
      </c>
      <c r="G117" s="77" t="str">
        <f xml:space="preserve"> Time!G$90</f>
        <v>flag</v>
      </c>
      <c r="H117" s="77">
        <f xml:space="preserve"> Time!H$90</f>
        <v>1</v>
      </c>
      <c r="I117" s="77">
        <f xml:space="preserve"> Time!I$90</f>
        <v>0</v>
      </c>
      <c r="J117" s="77">
        <f xml:space="preserve"> Time!J$90</f>
        <v>0</v>
      </c>
      <c r="K117" s="77">
        <f xml:space="preserve"> Time!K$90</f>
        <v>0</v>
      </c>
      <c r="L117" s="77">
        <f xml:space="preserve"> Time!L$90</f>
        <v>0</v>
      </c>
      <c r="M117" s="77">
        <f xml:space="preserve"> Time!M$90</f>
        <v>0</v>
      </c>
      <c r="N117" s="77">
        <f xml:space="preserve"> Time!N$90</f>
        <v>0</v>
      </c>
      <c r="O117" s="77">
        <f xml:space="preserve"> Time!O$90</f>
        <v>1</v>
      </c>
      <c r="P117" s="77">
        <f xml:space="preserve"> Time!P$90</f>
        <v>0</v>
      </c>
      <c r="Q117" s="77">
        <f xml:space="preserve"> Time!Q$90</f>
        <v>0</v>
      </c>
      <c r="R117" s="77">
        <f xml:space="preserve"> Time!R$90</f>
        <v>0</v>
      </c>
      <c r="S117" s="77">
        <f xml:space="preserve"> Time!S$90</f>
        <v>0</v>
      </c>
      <c r="T117" s="77">
        <f xml:space="preserve"> Time!T$90</f>
        <v>0</v>
      </c>
      <c r="U117" s="77">
        <f xml:space="preserve"> Time!U$90</f>
        <v>0</v>
      </c>
      <c r="V117" s="77">
        <f xml:space="preserve"> Time!V$90</f>
        <v>0</v>
      </c>
      <c r="W117" s="77">
        <f xml:space="preserve"> Time!W$90</f>
        <v>0</v>
      </c>
      <c r="X117" s="77">
        <f xml:space="preserve"> Time!X$90</f>
        <v>0</v>
      </c>
      <c r="Y117" s="77">
        <f xml:space="preserve"> Time!Y$90</f>
        <v>0</v>
      </c>
      <c r="Z117" s="77">
        <f xml:space="preserve"> Time!Z$90</f>
        <v>0</v>
      </c>
      <c r="AA117" s="77">
        <f xml:space="preserve"> Time!AA$90</f>
        <v>0</v>
      </c>
      <c r="AB117" s="77">
        <f xml:space="preserve"> Time!AB$90</f>
        <v>0</v>
      </c>
      <c r="AC117" s="77">
        <f xml:space="preserve"> Time!AC$90</f>
        <v>0</v>
      </c>
      <c r="AD117" s="77">
        <f xml:space="preserve"> Time!AD$90</f>
        <v>0</v>
      </c>
      <c r="AE117" s="77">
        <f xml:space="preserve"> Time!AE$90</f>
        <v>0</v>
      </c>
      <c r="AF117" s="77">
        <f xml:space="preserve"> Time!AF$90</f>
        <v>0</v>
      </c>
      <c r="AG117" s="77">
        <f xml:space="preserve"> Time!AG$90</f>
        <v>0</v>
      </c>
      <c r="AH117" s="77">
        <f xml:space="preserve"> Time!AH$90</f>
        <v>0</v>
      </c>
      <c r="AI117" s="77">
        <f xml:space="preserve"> Time!AI$90</f>
        <v>0</v>
      </c>
      <c r="AJ117" s="77">
        <f xml:space="preserve"> Time!AJ$90</f>
        <v>0</v>
      </c>
      <c r="AK117" s="77">
        <f xml:space="preserve"> Time!AK$90</f>
        <v>0</v>
      </c>
      <c r="AL117" s="77">
        <f xml:space="preserve"> Time!AL$90</f>
        <v>0</v>
      </c>
      <c r="AM117" s="77">
        <f xml:space="preserve"> Time!AM$90</f>
        <v>0</v>
      </c>
      <c r="AN117" s="77">
        <f xml:space="preserve"> Time!AN$90</f>
        <v>0</v>
      </c>
      <c r="AO117" s="77">
        <f xml:space="preserve"> Time!AO$90</f>
        <v>0</v>
      </c>
      <c r="AP117" s="77">
        <f xml:space="preserve"> Time!AP$90</f>
        <v>0</v>
      </c>
      <c r="AQ117" s="77">
        <f xml:space="preserve"> Time!AQ$90</f>
        <v>0</v>
      </c>
      <c r="AR117" s="77">
        <f xml:space="preserve"> Time!AR$90</f>
        <v>0</v>
      </c>
      <c r="AS117" s="77">
        <f xml:space="preserve"> Time!AS$90</f>
        <v>0</v>
      </c>
      <c r="AT117" s="77">
        <f xml:space="preserve"> Time!AT$90</f>
        <v>0</v>
      </c>
      <c r="AU117" s="77">
        <f xml:space="preserve"> Time!AU$90</f>
        <v>0</v>
      </c>
      <c r="AV117" s="77">
        <f xml:space="preserve"> Time!AV$90</f>
        <v>0</v>
      </c>
      <c r="AW117" s="77">
        <f xml:space="preserve"> Time!AW$90</f>
        <v>0</v>
      </c>
      <c r="AX117" s="77">
        <f xml:space="preserve"> Time!AX$90</f>
        <v>0</v>
      </c>
      <c r="AY117" s="77">
        <f xml:space="preserve"> Time!AY$90</f>
        <v>0</v>
      </c>
      <c r="AZ117" s="77">
        <f xml:space="preserve"> Time!AZ$90</f>
        <v>0</v>
      </c>
      <c r="BA117" s="77">
        <f xml:space="preserve"> Time!BA$90</f>
        <v>0</v>
      </c>
      <c r="BB117" s="77">
        <f xml:space="preserve"> Time!BB$90</f>
        <v>0</v>
      </c>
      <c r="BC117" s="77">
        <f xml:space="preserve"> Time!BC$90</f>
        <v>0</v>
      </c>
      <c r="BD117" s="77">
        <f xml:space="preserve"> Time!BD$90</f>
        <v>0</v>
      </c>
      <c r="BE117" s="77">
        <f xml:space="preserve"> Time!BE$90</f>
        <v>0</v>
      </c>
      <c r="BF117" s="77">
        <f xml:space="preserve"> Time!BF$90</f>
        <v>0</v>
      </c>
      <c r="BG117" s="77">
        <f xml:space="preserve"> Time!BG$90</f>
        <v>0</v>
      </c>
      <c r="BH117" s="77">
        <f xml:space="preserve"> Time!BH$90</f>
        <v>0</v>
      </c>
      <c r="BI117" s="77">
        <f xml:space="preserve"> Time!BI$90</f>
        <v>0</v>
      </c>
      <c r="BJ117" s="77">
        <f xml:space="preserve"> Time!BJ$90</f>
        <v>0</v>
      </c>
      <c r="BK117" s="77">
        <f xml:space="preserve"> Time!BK$90</f>
        <v>0</v>
      </c>
      <c r="BL117" s="77">
        <f xml:space="preserve"> Time!BL$90</f>
        <v>0</v>
      </c>
      <c r="BM117" s="77">
        <f xml:space="preserve"> Time!BM$90</f>
        <v>0</v>
      </c>
      <c r="BN117" s="77">
        <f xml:space="preserve"> Time!BN$90</f>
        <v>0</v>
      </c>
      <c r="BO117" s="77">
        <f xml:space="preserve"> Time!BO$90</f>
        <v>0</v>
      </c>
      <c r="BP117" s="77">
        <f xml:space="preserve"> Time!BP$90</f>
        <v>0</v>
      </c>
      <c r="BQ117" s="77">
        <f xml:space="preserve"> Time!BQ$90</f>
        <v>0</v>
      </c>
      <c r="BR117" s="77">
        <f xml:space="preserve"> Time!BR$90</f>
        <v>0</v>
      </c>
      <c r="BS117" s="77">
        <f xml:space="preserve"> Time!BS$90</f>
        <v>0</v>
      </c>
      <c r="BT117" s="77">
        <f xml:space="preserve"> Time!BT$90</f>
        <v>0</v>
      </c>
      <c r="BU117" s="77">
        <f xml:space="preserve"> Time!BU$90</f>
        <v>0</v>
      </c>
      <c r="BV117" s="77">
        <f xml:space="preserve"> Time!BV$90</f>
        <v>0</v>
      </c>
      <c r="BW117" s="77">
        <f xml:space="preserve"> Time!BW$90</f>
        <v>0</v>
      </c>
      <c r="BX117" s="77">
        <f xml:space="preserve"> Time!BX$90</f>
        <v>0</v>
      </c>
      <c r="BY117" s="77">
        <f xml:space="preserve"> Time!BY$90</f>
        <v>0</v>
      </c>
      <c r="BZ117" s="77">
        <f xml:space="preserve"> Time!BZ$90</f>
        <v>0</v>
      </c>
      <c r="CA117" s="77">
        <f xml:space="preserve"> Time!CA$90</f>
        <v>0</v>
      </c>
      <c r="CB117" s="77">
        <f xml:space="preserve"> Time!CB$90</f>
        <v>0</v>
      </c>
      <c r="CC117" s="77">
        <f xml:space="preserve"> Time!CC$90</f>
        <v>0</v>
      </c>
      <c r="CD117" s="77">
        <f xml:space="preserve"> Time!CD$90</f>
        <v>0</v>
      </c>
      <c r="CE117" s="77">
        <f xml:space="preserve"> Time!CE$90</f>
        <v>0</v>
      </c>
      <c r="CF117" s="77">
        <f xml:space="preserve"> Time!CF$90</f>
        <v>0</v>
      </c>
      <c r="CG117" s="77">
        <f xml:space="preserve"> Time!CG$90</f>
        <v>0</v>
      </c>
      <c r="CH117" s="77">
        <f xml:space="preserve"> Time!CH$90</f>
        <v>0</v>
      </c>
      <c r="CI117" s="77">
        <f xml:space="preserve"> Time!CI$90</f>
        <v>0</v>
      </c>
      <c r="CJ117" s="77">
        <f xml:space="preserve"> Time!CJ$90</f>
        <v>0</v>
      </c>
      <c r="CK117" s="77">
        <f xml:space="preserve"> Time!CK$90</f>
        <v>0</v>
      </c>
      <c r="CL117" s="77">
        <f xml:space="preserve"> Time!CL$90</f>
        <v>0</v>
      </c>
      <c r="CM117" s="77">
        <f xml:space="preserve"> Time!CM$90</f>
        <v>0</v>
      </c>
      <c r="CN117" s="77">
        <f xml:space="preserve"> Time!CN$90</f>
        <v>0</v>
      </c>
      <c r="CO117" s="77">
        <f xml:space="preserve"> Time!CO$90</f>
        <v>0</v>
      </c>
      <c r="CP117" s="77">
        <f xml:space="preserve"> Time!CP$90</f>
        <v>0</v>
      </c>
      <c r="CQ117" s="77">
        <f xml:space="preserve"> Time!CQ$90</f>
        <v>0</v>
      </c>
      <c r="CR117" s="77">
        <f xml:space="preserve"> Time!CR$90</f>
        <v>0</v>
      </c>
      <c r="CS117" s="77">
        <f xml:space="preserve"> Time!CS$90</f>
        <v>0</v>
      </c>
      <c r="CT117" s="77">
        <f xml:space="preserve"> Time!CT$90</f>
        <v>0</v>
      </c>
      <c r="CU117" s="77">
        <f xml:space="preserve"> Time!CU$90</f>
        <v>0</v>
      </c>
      <c r="CV117" s="77">
        <f xml:space="preserve"> Time!CV$90</f>
        <v>0</v>
      </c>
    </row>
    <row r="118" spans="1:100" s="495" customFormat="1" outlineLevel="2" x14ac:dyDescent="0.2">
      <c r="A118" s="405"/>
      <c r="B118" s="405"/>
      <c r="C118" s="406"/>
      <c r="D118" s="575"/>
      <c r="E118" s="77" t="str">
        <f xml:space="preserve"> Time!E$81</f>
        <v>End of construction period flag</v>
      </c>
      <c r="F118" s="77">
        <f xml:space="preserve"> Time!F$81</f>
        <v>0</v>
      </c>
      <c r="G118" s="77" t="str">
        <f xml:space="preserve"> Time!G$81</f>
        <v>flag</v>
      </c>
      <c r="H118" s="77">
        <f xml:space="preserve"> Time!H$81</f>
        <v>1</v>
      </c>
      <c r="I118" s="77">
        <f xml:space="preserve"> Time!I$81</f>
        <v>0</v>
      </c>
      <c r="J118" s="77">
        <f xml:space="preserve"> Time!J$81</f>
        <v>0</v>
      </c>
      <c r="K118" s="77">
        <f xml:space="preserve"> Time!K$81</f>
        <v>0</v>
      </c>
      <c r="L118" s="77">
        <f xml:space="preserve"> Time!L$81</f>
        <v>0</v>
      </c>
      <c r="M118" s="77">
        <f xml:space="preserve"> Time!M$81</f>
        <v>0</v>
      </c>
      <c r="N118" s="77">
        <f xml:space="preserve"> Time!N$81</f>
        <v>1</v>
      </c>
      <c r="O118" s="77">
        <f xml:space="preserve"> Time!O$81</f>
        <v>0</v>
      </c>
      <c r="P118" s="77">
        <f xml:space="preserve"> Time!P$81</f>
        <v>0</v>
      </c>
      <c r="Q118" s="77">
        <f xml:space="preserve"> Time!Q$81</f>
        <v>0</v>
      </c>
      <c r="R118" s="77">
        <f xml:space="preserve"> Time!R$81</f>
        <v>0</v>
      </c>
      <c r="S118" s="77">
        <f xml:space="preserve"> Time!S$81</f>
        <v>0</v>
      </c>
      <c r="T118" s="77">
        <f xml:space="preserve"> Time!T$81</f>
        <v>0</v>
      </c>
      <c r="U118" s="77">
        <f xml:space="preserve"> Time!U$81</f>
        <v>0</v>
      </c>
      <c r="V118" s="77">
        <f xml:space="preserve"> Time!V$81</f>
        <v>0</v>
      </c>
      <c r="W118" s="77">
        <f xml:space="preserve"> Time!W$81</f>
        <v>0</v>
      </c>
      <c r="X118" s="77">
        <f xml:space="preserve"> Time!X$81</f>
        <v>0</v>
      </c>
      <c r="Y118" s="77">
        <f xml:space="preserve"> Time!Y$81</f>
        <v>0</v>
      </c>
      <c r="Z118" s="77">
        <f xml:space="preserve"> Time!Z$81</f>
        <v>0</v>
      </c>
      <c r="AA118" s="77">
        <f xml:space="preserve"> Time!AA$81</f>
        <v>0</v>
      </c>
      <c r="AB118" s="77">
        <f xml:space="preserve"> Time!AB$81</f>
        <v>0</v>
      </c>
      <c r="AC118" s="77">
        <f xml:space="preserve"> Time!AC$81</f>
        <v>0</v>
      </c>
      <c r="AD118" s="77">
        <f xml:space="preserve"> Time!AD$81</f>
        <v>0</v>
      </c>
      <c r="AE118" s="77">
        <f xml:space="preserve"> Time!AE$81</f>
        <v>0</v>
      </c>
      <c r="AF118" s="77">
        <f xml:space="preserve"> Time!AF$81</f>
        <v>0</v>
      </c>
      <c r="AG118" s="77">
        <f xml:space="preserve"> Time!AG$81</f>
        <v>0</v>
      </c>
      <c r="AH118" s="77">
        <f xml:space="preserve"> Time!AH$81</f>
        <v>0</v>
      </c>
      <c r="AI118" s="77">
        <f xml:space="preserve"> Time!AI$81</f>
        <v>0</v>
      </c>
      <c r="AJ118" s="77">
        <f xml:space="preserve"> Time!AJ$81</f>
        <v>0</v>
      </c>
      <c r="AK118" s="77">
        <f xml:space="preserve"> Time!AK$81</f>
        <v>0</v>
      </c>
      <c r="AL118" s="77">
        <f xml:space="preserve"> Time!AL$81</f>
        <v>0</v>
      </c>
      <c r="AM118" s="77">
        <f xml:space="preserve"> Time!AM$81</f>
        <v>0</v>
      </c>
      <c r="AN118" s="77">
        <f xml:space="preserve"> Time!AN$81</f>
        <v>0</v>
      </c>
      <c r="AO118" s="77">
        <f xml:space="preserve"> Time!AO$81</f>
        <v>0</v>
      </c>
      <c r="AP118" s="77">
        <f xml:space="preserve"> Time!AP$81</f>
        <v>0</v>
      </c>
      <c r="AQ118" s="77">
        <f xml:space="preserve"> Time!AQ$81</f>
        <v>0</v>
      </c>
      <c r="AR118" s="77">
        <f xml:space="preserve"> Time!AR$81</f>
        <v>0</v>
      </c>
      <c r="AS118" s="77">
        <f xml:space="preserve"> Time!AS$81</f>
        <v>0</v>
      </c>
      <c r="AT118" s="77">
        <f xml:space="preserve"> Time!AT$81</f>
        <v>0</v>
      </c>
      <c r="AU118" s="77">
        <f xml:space="preserve"> Time!AU$81</f>
        <v>0</v>
      </c>
      <c r="AV118" s="77">
        <f xml:space="preserve"> Time!AV$81</f>
        <v>0</v>
      </c>
      <c r="AW118" s="77">
        <f xml:space="preserve"> Time!AW$81</f>
        <v>0</v>
      </c>
      <c r="AX118" s="77">
        <f xml:space="preserve"> Time!AX$81</f>
        <v>0</v>
      </c>
      <c r="AY118" s="77">
        <f xml:space="preserve"> Time!AY$81</f>
        <v>0</v>
      </c>
      <c r="AZ118" s="77">
        <f xml:space="preserve"> Time!AZ$81</f>
        <v>0</v>
      </c>
      <c r="BA118" s="77">
        <f xml:space="preserve"> Time!BA$81</f>
        <v>0</v>
      </c>
      <c r="BB118" s="77">
        <f xml:space="preserve"> Time!BB$81</f>
        <v>0</v>
      </c>
      <c r="BC118" s="77">
        <f xml:space="preserve"> Time!BC$81</f>
        <v>0</v>
      </c>
      <c r="BD118" s="77">
        <f xml:space="preserve"> Time!BD$81</f>
        <v>0</v>
      </c>
      <c r="BE118" s="77">
        <f xml:space="preserve"> Time!BE$81</f>
        <v>0</v>
      </c>
      <c r="BF118" s="77">
        <f xml:space="preserve"> Time!BF$81</f>
        <v>0</v>
      </c>
      <c r="BG118" s="77">
        <f xml:space="preserve"> Time!BG$81</f>
        <v>0</v>
      </c>
      <c r="BH118" s="77">
        <f xml:space="preserve"> Time!BH$81</f>
        <v>0</v>
      </c>
      <c r="BI118" s="77">
        <f xml:space="preserve"> Time!BI$81</f>
        <v>0</v>
      </c>
      <c r="BJ118" s="77">
        <f xml:space="preserve"> Time!BJ$81</f>
        <v>0</v>
      </c>
      <c r="BK118" s="77">
        <f xml:space="preserve"> Time!BK$81</f>
        <v>0</v>
      </c>
      <c r="BL118" s="77">
        <f xml:space="preserve"> Time!BL$81</f>
        <v>0</v>
      </c>
      <c r="BM118" s="77">
        <f xml:space="preserve"> Time!BM$81</f>
        <v>0</v>
      </c>
      <c r="BN118" s="77">
        <f xml:space="preserve"> Time!BN$81</f>
        <v>0</v>
      </c>
      <c r="BO118" s="77">
        <f xml:space="preserve"> Time!BO$81</f>
        <v>0</v>
      </c>
      <c r="BP118" s="77">
        <f xml:space="preserve"> Time!BP$81</f>
        <v>0</v>
      </c>
      <c r="BQ118" s="77">
        <f xml:space="preserve"> Time!BQ$81</f>
        <v>0</v>
      </c>
      <c r="BR118" s="77">
        <f xml:space="preserve"> Time!BR$81</f>
        <v>0</v>
      </c>
      <c r="BS118" s="77">
        <f xml:space="preserve"> Time!BS$81</f>
        <v>0</v>
      </c>
      <c r="BT118" s="77">
        <f xml:space="preserve"> Time!BT$81</f>
        <v>0</v>
      </c>
      <c r="BU118" s="77">
        <f xml:space="preserve"> Time!BU$81</f>
        <v>0</v>
      </c>
      <c r="BV118" s="77">
        <f xml:space="preserve"> Time!BV$81</f>
        <v>0</v>
      </c>
      <c r="BW118" s="77">
        <f xml:space="preserve"> Time!BW$81</f>
        <v>0</v>
      </c>
      <c r="BX118" s="77">
        <f xml:space="preserve"> Time!BX$81</f>
        <v>0</v>
      </c>
      <c r="BY118" s="77">
        <f xml:space="preserve"> Time!BY$81</f>
        <v>0</v>
      </c>
      <c r="BZ118" s="77">
        <f xml:space="preserve"> Time!BZ$81</f>
        <v>0</v>
      </c>
      <c r="CA118" s="77">
        <f xml:space="preserve"> Time!CA$81</f>
        <v>0</v>
      </c>
      <c r="CB118" s="77">
        <f xml:space="preserve"> Time!CB$81</f>
        <v>0</v>
      </c>
      <c r="CC118" s="77">
        <f xml:space="preserve"> Time!CC$81</f>
        <v>0</v>
      </c>
      <c r="CD118" s="77">
        <f xml:space="preserve"> Time!CD$81</f>
        <v>0</v>
      </c>
      <c r="CE118" s="77">
        <f xml:space="preserve"> Time!CE$81</f>
        <v>0</v>
      </c>
      <c r="CF118" s="77">
        <f xml:space="preserve"> Time!CF$81</f>
        <v>0</v>
      </c>
      <c r="CG118" s="77">
        <f xml:space="preserve"> Time!CG$81</f>
        <v>0</v>
      </c>
      <c r="CH118" s="77">
        <f xml:space="preserve"> Time!CH$81</f>
        <v>0</v>
      </c>
      <c r="CI118" s="77">
        <f xml:space="preserve"> Time!CI$81</f>
        <v>0</v>
      </c>
      <c r="CJ118" s="77">
        <f xml:space="preserve"> Time!CJ$81</f>
        <v>0</v>
      </c>
      <c r="CK118" s="77">
        <f xml:space="preserve"> Time!CK$81</f>
        <v>0</v>
      </c>
      <c r="CL118" s="77">
        <f xml:space="preserve"> Time!CL$81</f>
        <v>0</v>
      </c>
      <c r="CM118" s="77">
        <f xml:space="preserve"> Time!CM$81</f>
        <v>0</v>
      </c>
      <c r="CN118" s="77">
        <f xml:space="preserve"> Time!CN$81</f>
        <v>0</v>
      </c>
      <c r="CO118" s="77">
        <f xml:space="preserve"> Time!CO$81</f>
        <v>0</v>
      </c>
      <c r="CP118" s="77">
        <f xml:space="preserve"> Time!CP$81</f>
        <v>0</v>
      </c>
      <c r="CQ118" s="77">
        <f xml:space="preserve"> Time!CQ$81</f>
        <v>0</v>
      </c>
      <c r="CR118" s="77">
        <f xml:space="preserve"> Time!CR$81</f>
        <v>0</v>
      </c>
      <c r="CS118" s="77">
        <f xml:space="preserve"> Time!CS$81</f>
        <v>0</v>
      </c>
      <c r="CT118" s="77">
        <f xml:space="preserve"> Time!CT$81</f>
        <v>0</v>
      </c>
      <c r="CU118" s="77">
        <f xml:space="preserve"> Time!CU$81</f>
        <v>0</v>
      </c>
      <c r="CV118" s="77">
        <f xml:space="preserve"> Time!CV$81</f>
        <v>0</v>
      </c>
    </row>
    <row r="119" spans="1:100" outlineLevel="2" x14ac:dyDescent="0.2">
      <c r="A119" s="33"/>
      <c r="B119" s="79"/>
      <c r="C119" s="561"/>
      <c r="D119" s="60"/>
      <c r="E119" s="32" t="s">
        <v>1211</v>
      </c>
      <c r="F119" s="32"/>
      <c r="G119" s="32" t="str">
        <f xml:space="preserve"> SMU</f>
        <v>$ 000s</v>
      </c>
      <c r="H119" s="32"/>
      <c r="I119" s="32"/>
      <c r="J119" s="32">
        <f t="shared" ref="J119:AO119" si="186" xml:space="preserve"> IF($F114 = 1, -1 * J116 * J117, (J115 - J116) * (1 - J118))</f>
        <v>0</v>
      </c>
      <c r="K119" s="32">
        <f t="shared" ca="1" si="186"/>
        <v>0</v>
      </c>
      <c r="L119" s="32">
        <f t="shared" ca="1" si="186"/>
        <v>0</v>
      </c>
      <c r="M119" s="32">
        <f t="shared" ca="1" si="186"/>
        <v>0</v>
      </c>
      <c r="N119" s="32">
        <f t="shared" ca="1" si="186"/>
        <v>0</v>
      </c>
      <c r="O119" s="32">
        <f t="shared" ca="1" si="186"/>
        <v>0</v>
      </c>
      <c r="P119" s="32">
        <f t="shared" ca="1" si="186"/>
        <v>-42.335741100258019</v>
      </c>
      <c r="Q119" s="32">
        <f t="shared" ca="1" si="186"/>
        <v>-43.092867740235306</v>
      </c>
      <c r="R119" s="32">
        <f t="shared" ca="1" si="186"/>
        <v>-42.879581749586578</v>
      </c>
      <c r="S119" s="32">
        <f t="shared" ca="1" si="186"/>
        <v>-43.64991997917241</v>
      </c>
      <c r="T119" s="32">
        <f t="shared" ca="1" si="186"/>
        <v>-35.917089449296327</v>
      </c>
      <c r="U119" s="32">
        <f t="shared" ca="1" si="186"/>
        <v>-51.736738267896726</v>
      </c>
      <c r="V119" s="32">
        <f t="shared" ca="1" si="186"/>
        <v>-51.520153956027571</v>
      </c>
      <c r="W119" s="32">
        <f t="shared" ca="1" si="186"/>
        <v>-37.281901461477901</v>
      </c>
      <c r="X119" s="32">
        <f t="shared" ca="1" si="186"/>
        <v>-44.581523890254175</v>
      </c>
      <c r="Y119" s="32">
        <f t="shared" ca="1" si="186"/>
        <v>-45.393141598593502</v>
      </c>
      <c r="Z119" s="32">
        <f t="shared" ca="1" si="186"/>
        <v>-45.173102681601449</v>
      </c>
      <c r="AA119" s="32">
        <f t="shared" ca="1" si="186"/>
        <v>-45.999044801290438</v>
      </c>
      <c r="AB119" s="32">
        <f t="shared" ca="1" si="186"/>
        <v>-38.505552075483138</v>
      </c>
      <c r="AC119" s="32">
        <f t="shared" ca="1" si="186"/>
        <v>-53.889444469637965</v>
      </c>
      <c r="AD119" s="32">
        <f t="shared" ca="1" si="186"/>
        <v>-53.665789023656544</v>
      </c>
      <c r="AE119" s="32">
        <f t="shared" ca="1" si="186"/>
        <v>-39.977934428390654</v>
      </c>
      <c r="AF119" s="32">
        <f t="shared" ca="1" si="186"/>
        <v>-47.024073246167973</v>
      </c>
      <c r="AG119" s="32">
        <f t="shared" ca="1" si="186"/>
        <v>-47.894768113961618</v>
      </c>
      <c r="AH119" s="32">
        <f t="shared" ca="1" si="186"/>
        <v>-47.667326786007834</v>
      </c>
      <c r="AI119" s="32">
        <f t="shared" ca="1" si="186"/>
        <v>-48.553561438860925</v>
      </c>
      <c r="AJ119" s="32">
        <f t="shared" ca="1" si="186"/>
        <v>-41.312289489233081</v>
      </c>
      <c r="AK119" s="32">
        <f t="shared" ca="1" si="186"/>
        <v>-56.23811380654297</v>
      </c>
      <c r="AL119" s="32">
        <f t="shared" ca="1" si="186"/>
        <v>-56.006711623023875</v>
      </c>
      <c r="AM119" s="32">
        <f t="shared" ca="1" si="186"/>
        <v>-42.901219348826999</v>
      </c>
      <c r="AN119" s="32">
        <f t="shared" ca="1" si="186"/>
        <v>-49.679640115220536</v>
      </c>
      <c r="AO119" s="32">
        <f t="shared" ca="1" si="186"/>
        <v>-50.614394328145863</v>
      </c>
      <c r="AP119" s="32">
        <f t="shared" ref="AP119:BU119" ca="1" si="187" xml:space="preserve"> IF($F114 = 1, -1 * AP116 * AP117, (AP115 - AP116) * (1 - AP118))</f>
        <v>-50.378847808828141</v>
      </c>
      <c r="AQ119" s="32">
        <f t="shared" ca="1" si="187"/>
        <v>-51.329703607994816</v>
      </c>
      <c r="AR119" s="32">
        <f t="shared" ca="1" si="187"/>
        <v>-44.354420603738618</v>
      </c>
      <c r="AS119" s="32">
        <f t="shared" ca="1" si="187"/>
        <v>-58.798141329993086</v>
      </c>
      <c r="AT119" s="32">
        <f t="shared" ca="1" si="187"/>
        <v>-58.557004592519661</v>
      </c>
      <c r="AU119" s="32">
        <f t="shared" ca="1" si="187"/>
        <v>-4905.990719647215</v>
      </c>
      <c r="AV119" s="32">
        <f t="shared" ca="1" si="187"/>
        <v>-4860.2304082067021</v>
      </c>
      <c r="AW119" s="32">
        <f t="shared" ca="1" si="187"/>
        <v>2.0082668106624624E-4</v>
      </c>
      <c r="AX119" s="32">
        <f t="shared" ca="1" si="187"/>
        <v>2.0082668106624624E-4</v>
      </c>
      <c r="AY119" s="32">
        <f t="shared" ca="1" si="187"/>
        <v>2.0082668106624624E-4</v>
      </c>
      <c r="AZ119" s="32">
        <f t="shared" ca="1" si="187"/>
        <v>2.0082668106624624E-4</v>
      </c>
      <c r="BA119" s="32">
        <f t="shared" ca="1" si="187"/>
        <v>2.0082668106624624E-4</v>
      </c>
      <c r="BB119" s="32">
        <f t="shared" ca="1" si="187"/>
        <v>2.0082668106624624E-4</v>
      </c>
      <c r="BC119" s="32">
        <f t="shared" ca="1" si="187"/>
        <v>2.0082668106624624E-4</v>
      </c>
      <c r="BD119" s="32">
        <f t="shared" ca="1" si="187"/>
        <v>2.0082668106624624E-4</v>
      </c>
      <c r="BE119" s="32">
        <f t="shared" ca="1" si="187"/>
        <v>2.0082668106624624E-4</v>
      </c>
      <c r="BF119" s="32">
        <f t="shared" ca="1" si="187"/>
        <v>2.0082668106624624E-4</v>
      </c>
      <c r="BG119" s="32">
        <f t="shared" ca="1" si="187"/>
        <v>2.0082668106624624E-4</v>
      </c>
      <c r="BH119" s="32">
        <f t="shared" ca="1" si="187"/>
        <v>2.0082668106624624E-4</v>
      </c>
      <c r="BI119" s="32">
        <f t="shared" ca="1" si="187"/>
        <v>2.0082668106624624E-4</v>
      </c>
      <c r="BJ119" s="32">
        <f t="shared" ca="1" si="187"/>
        <v>2.0082668106624624E-4</v>
      </c>
      <c r="BK119" s="32">
        <f t="shared" ca="1" si="187"/>
        <v>2.0082668106624624E-4</v>
      </c>
      <c r="BL119" s="32">
        <f t="shared" ca="1" si="187"/>
        <v>2.0082668106624624E-4</v>
      </c>
      <c r="BM119" s="32">
        <f t="shared" ca="1" si="187"/>
        <v>2.0082668106624624E-4</v>
      </c>
      <c r="BN119" s="32">
        <f t="shared" ca="1" si="187"/>
        <v>2.0082668106624624E-4</v>
      </c>
      <c r="BO119" s="32">
        <f t="shared" ca="1" si="187"/>
        <v>2.0082668106624624E-4</v>
      </c>
      <c r="BP119" s="32">
        <f t="shared" ca="1" si="187"/>
        <v>2.0082668106624624E-4</v>
      </c>
      <c r="BQ119" s="32">
        <f t="shared" ca="1" si="187"/>
        <v>2.0082668106624624E-4</v>
      </c>
      <c r="BR119" s="32">
        <f t="shared" ca="1" si="187"/>
        <v>2.0082668106624624E-4</v>
      </c>
      <c r="BS119" s="32">
        <f t="shared" ca="1" si="187"/>
        <v>2.0082668106624624E-4</v>
      </c>
      <c r="BT119" s="32">
        <f t="shared" ca="1" si="187"/>
        <v>2.0082668106624624E-4</v>
      </c>
      <c r="BU119" s="32">
        <f t="shared" ca="1" si="187"/>
        <v>2.0082668106624624E-4</v>
      </c>
      <c r="BV119" s="32">
        <f t="shared" ref="BV119:CV119" ca="1" si="188" xml:space="preserve"> IF($F114 = 1, -1 * BV116 * BV117, (BV115 - BV116) * (1 - BV118))</f>
        <v>2.0082668106624624E-4</v>
      </c>
      <c r="BW119" s="32">
        <f t="shared" ca="1" si="188"/>
        <v>2.0082668106624624E-4</v>
      </c>
      <c r="BX119" s="32">
        <f t="shared" ca="1" si="188"/>
        <v>2.0082668106624624E-4</v>
      </c>
      <c r="BY119" s="32">
        <f t="shared" ca="1" si="188"/>
        <v>2.0082668106624624E-4</v>
      </c>
      <c r="BZ119" s="32">
        <f t="shared" ca="1" si="188"/>
        <v>2.0082668106624624E-4</v>
      </c>
      <c r="CA119" s="32">
        <f t="shared" ca="1" si="188"/>
        <v>2.0082668106624624E-4</v>
      </c>
      <c r="CB119" s="32">
        <f t="shared" ca="1" si="188"/>
        <v>2.0082668106624624E-4</v>
      </c>
      <c r="CC119" s="32">
        <f t="shared" ca="1" si="188"/>
        <v>2.0082668106624624E-4</v>
      </c>
      <c r="CD119" s="32">
        <f t="shared" ca="1" si="188"/>
        <v>2.0082668106624624E-4</v>
      </c>
      <c r="CE119" s="32">
        <f t="shared" ca="1" si="188"/>
        <v>2.0082668106624624E-4</v>
      </c>
      <c r="CF119" s="32">
        <f t="shared" ca="1" si="188"/>
        <v>2.0082668106624624E-4</v>
      </c>
      <c r="CG119" s="32">
        <f t="shared" ca="1" si="188"/>
        <v>2.0082668106624624E-4</v>
      </c>
      <c r="CH119" s="32">
        <f t="shared" ca="1" si="188"/>
        <v>2.0082668106624624E-4</v>
      </c>
      <c r="CI119" s="32">
        <f t="shared" ca="1" si="188"/>
        <v>2.0082668106624624E-4</v>
      </c>
      <c r="CJ119" s="32">
        <f t="shared" ca="1" si="188"/>
        <v>2.0082668106624624E-4</v>
      </c>
      <c r="CK119" s="32">
        <f t="shared" ca="1" si="188"/>
        <v>2.0082668106624624E-4</v>
      </c>
      <c r="CL119" s="32">
        <f t="shared" ca="1" si="188"/>
        <v>2.0082668106624624E-4</v>
      </c>
      <c r="CM119" s="32">
        <f t="shared" ca="1" si="188"/>
        <v>2.0082668106624624E-4</v>
      </c>
      <c r="CN119" s="32">
        <f t="shared" ca="1" si="188"/>
        <v>2.0082668106624624E-4</v>
      </c>
      <c r="CO119" s="32">
        <f t="shared" ca="1" si="188"/>
        <v>2.0082668106624624E-4</v>
      </c>
      <c r="CP119" s="32">
        <f t="shared" ca="1" si="188"/>
        <v>2.0082668106624624E-4</v>
      </c>
      <c r="CQ119" s="32">
        <f t="shared" ca="1" si="188"/>
        <v>2.0082668106624624E-4</v>
      </c>
      <c r="CR119" s="32">
        <f t="shared" ca="1" si="188"/>
        <v>2.0082668106624624E-4</v>
      </c>
      <c r="CS119" s="32">
        <f t="shared" ca="1" si="188"/>
        <v>2.0082668106624624E-4</v>
      </c>
      <c r="CT119" s="32">
        <f t="shared" ca="1" si="188"/>
        <v>2.0082668106624624E-4</v>
      </c>
      <c r="CU119" s="32">
        <f t="shared" ca="1" si="188"/>
        <v>2.0082668106624624E-4</v>
      </c>
      <c r="CV119" s="32">
        <f t="shared" ca="1" si="188"/>
        <v>2.0082668106624624E-4</v>
      </c>
    </row>
    <row r="120" spans="1:100" outlineLevel="2" x14ac:dyDescent="0.2">
      <c r="A120" s="33"/>
      <c r="B120" s="79"/>
      <c r="C120" s="561"/>
      <c r="D120" s="60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  <c r="CK120" s="32"/>
      <c r="CL120" s="32"/>
      <c r="CM120" s="32"/>
      <c r="CN120" s="32"/>
      <c r="CO120" s="32"/>
      <c r="CP120" s="32"/>
      <c r="CQ120" s="32"/>
      <c r="CR120" s="32"/>
      <c r="CS120" s="32"/>
      <c r="CT120" s="32"/>
      <c r="CU120" s="32"/>
      <c r="CV120" s="32"/>
    </row>
    <row r="121" spans="1:100" s="125" customFormat="1" outlineLevel="2" x14ac:dyDescent="0.2">
      <c r="A121" s="75"/>
      <c r="B121" s="639"/>
      <c r="C121" s="640"/>
      <c r="D121" s="641"/>
      <c r="E121" s="125" t="str">
        <f xml:space="preserve"> InpC!E$355</f>
        <v>DSRA cash or LC funded</v>
      </c>
      <c r="F121" s="125">
        <f xml:space="preserve"> InpC!F$355</f>
        <v>1</v>
      </c>
      <c r="G121" s="125" t="str">
        <f xml:space="preserve"> InpC!G$355</f>
        <v>1 = cash, 2 = LC</v>
      </c>
    </row>
    <row r="122" spans="1:100" outlineLevel="2" x14ac:dyDescent="0.2">
      <c r="A122" s="33"/>
      <c r="B122" s="79"/>
      <c r="C122" s="561"/>
      <c r="D122" s="60"/>
      <c r="E122" s="32" t="str">
        <f t="shared" ref="E122:AJ122" si="189" xml:space="preserve"> E$119</f>
        <v>Target deposit / (release) - P99</v>
      </c>
      <c r="F122" s="32">
        <f t="shared" si="189"/>
        <v>0</v>
      </c>
      <c r="G122" s="32" t="str">
        <f t="shared" si="189"/>
        <v>$ 000s</v>
      </c>
      <c r="H122" s="32">
        <f t="shared" si="189"/>
        <v>0</v>
      </c>
      <c r="I122" s="32">
        <f t="shared" si="189"/>
        <v>0</v>
      </c>
      <c r="J122" s="32">
        <f t="shared" si="189"/>
        <v>0</v>
      </c>
      <c r="K122" s="32">
        <f t="shared" ca="1" si="189"/>
        <v>0</v>
      </c>
      <c r="L122" s="32">
        <f t="shared" ca="1" si="189"/>
        <v>0</v>
      </c>
      <c r="M122" s="32">
        <f t="shared" ca="1" si="189"/>
        <v>0</v>
      </c>
      <c r="N122" s="32">
        <f t="shared" ca="1" si="189"/>
        <v>0</v>
      </c>
      <c r="O122" s="32">
        <f t="shared" ca="1" si="189"/>
        <v>0</v>
      </c>
      <c r="P122" s="32">
        <f t="shared" ca="1" si="189"/>
        <v>-42.335741100258019</v>
      </c>
      <c r="Q122" s="32">
        <f t="shared" ca="1" si="189"/>
        <v>-43.092867740235306</v>
      </c>
      <c r="R122" s="32">
        <f t="shared" ca="1" si="189"/>
        <v>-42.879581749586578</v>
      </c>
      <c r="S122" s="32">
        <f t="shared" ca="1" si="189"/>
        <v>-43.64991997917241</v>
      </c>
      <c r="T122" s="32">
        <f t="shared" ca="1" si="189"/>
        <v>-35.917089449296327</v>
      </c>
      <c r="U122" s="32">
        <f t="shared" ca="1" si="189"/>
        <v>-51.736738267896726</v>
      </c>
      <c r="V122" s="32">
        <f t="shared" ca="1" si="189"/>
        <v>-51.520153956027571</v>
      </c>
      <c r="W122" s="32">
        <f t="shared" ca="1" si="189"/>
        <v>-37.281901461477901</v>
      </c>
      <c r="X122" s="32">
        <f t="shared" ca="1" si="189"/>
        <v>-44.581523890254175</v>
      </c>
      <c r="Y122" s="32">
        <f t="shared" ca="1" si="189"/>
        <v>-45.393141598593502</v>
      </c>
      <c r="Z122" s="32">
        <f t="shared" ca="1" si="189"/>
        <v>-45.173102681601449</v>
      </c>
      <c r="AA122" s="32">
        <f t="shared" ca="1" si="189"/>
        <v>-45.999044801290438</v>
      </c>
      <c r="AB122" s="32">
        <f t="shared" ca="1" si="189"/>
        <v>-38.505552075483138</v>
      </c>
      <c r="AC122" s="32">
        <f t="shared" ca="1" si="189"/>
        <v>-53.889444469637965</v>
      </c>
      <c r="AD122" s="32">
        <f t="shared" ca="1" si="189"/>
        <v>-53.665789023656544</v>
      </c>
      <c r="AE122" s="32">
        <f t="shared" ca="1" si="189"/>
        <v>-39.977934428390654</v>
      </c>
      <c r="AF122" s="32">
        <f t="shared" ca="1" si="189"/>
        <v>-47.024073246167973</v>
      </c>
      <c r="AG122" s="32">
        <f t="shared" ca="1" si="189"/>
        <v>-47.894768113961618</v>
      </c>
      <c r="AH122" s="32">
        <f t="shared" ca="1" si="189"/>
        <v>-47.667326786007834</v>
      </c>
      <c r="AI122" s="32">
        <f t="shared" ca="1" si="189"/>
        <v>-48.553561438860925</v>
      </c>
      <c r="AJ122" s="32">
        <f t="shared" ca="1" si="189"/>
        <v>-41.312289489233081</v>
      </c>
      <c r="AK122" s="32">
        <f t="shared" ref="AK122:BP122" ca="1" si="190" xml:space="preserve"> AK$119</f>
        <v>-56.23811380654297</v>
      </c>
      <c r="AL122" s="32">
        <f t="shared" ca="1" si="190"/>
        <v>-56.006711623023875</v>
      </c>
      <c r="AM122" s="32">
        <f t="shared" ca="1" si="190"/>
        <v>-42.901219348826999</v>
      </c>
      <c r="AN122" s="32">
        <f t="shared" ca="1" si="190"/>
        <v>-49.679640115220536</v>
      </c>
      <c r="AO122" s="32">
        <f t="shared" ca="1" si="190"/>
        <v>-50.614394328145863</v>
      </c>
      <c r="AP122" s="32">
        <f t="shared" ca="1" si="190"/>
        <v>-50.378847808828141</v>
      </c>
      <c r="AQ122" s="32">
        <f t="shared" ca="1" si="190"/>
        <v>-51.329703607994816</v>
      </c>
      <c r="AR122" s="32">
        <f t="shared" ca="1" si="190"/>
        <v>-44.354420603738618</v>
      </c>
      <c r="AS122" s="32">
        <f t="shared" ca="1" si="190"/>
        <v>-58.798141329993086</v>
      </c>
      <c r="AT122" s="32">
        <f t="shared" ca="1" si="190"/>
        <v>-58.557004592519661</v>
      </c>
      <c r="AU122" s="32">
        <f t="shared" ca="1" si="190"/>
        <v>-4905.990719647215</v>
      </c>
      <c r="AV122" s="32">
        <f t="shared" ca="1" si="190"/>
        <v>-4860.2304082067021</v>
      </c>
      <c r="AW122" s="32">
        <f t="shared" ca="1" si="190"/>
        <v>2.0082668106624624E-4</v>
      </c>
      <c r="AX122" s="32">
        <f t="shared" ca="1" si="190"/>
        <v>2.0082668106624624E-4</v>
      </c>
      <c r="AY122" s="32">
        <f t="shared" ca="1" si="190"/>
        <v>2.0082668106624624E-4</v>
      </c>
      <c r="AZ122" s="32">
        <f t="shared" ca="1" si="190"/>
        <v>2.0082668106624624E-4</v>
      </c>
      <c r="BA122" s="32">
        <f t="shared" ca="1" si="190"/>
        <v>2.0082668106624624E-4</v>
      </c>
      <c r="BB122" s="32">
        <f t="shared" ca="1" si="190"/>
        <v>2.0082668106624624E-4</v>
      </c>
      <c r="BC122" s="32">
        <f t="shared" ca="1" si="190"/>
        <v>2.0082668106624624E-4</v>
      </c>
      <c r="BD122" s="32">
        <f t="shared" ca="1" si="190"/>
        <v>2.0082668106624624E-4</v>
      </c>
      <c r="BE122" s="32">
        <f t="shared" ca="1" si="190"/>
        <v>2.0082668106624624E-4</v>
      </c>
      <c r="BF122" s="32">
        <f t="shared" ca="1" si="190"/>
        <v>2.0082668106624624E-4</v>
      </c>
      <c r="BG122" s="32">
        <f t="shared" ca="1" si="190"/>
        <v>2.0082668106624624E-4</v>
      </c>
      <c r="BH122" s="32">
        <f t="shared" ca="1" si="190"/>
        <v>2.0082668106624624E-4</v>
      </c>
      <c r="BI122" s="32">
        <f t="shared" ca="1" si="190"/>
        <v>2.0082668106624624E-4</v>
      </c>
      <c r="BJ122" s="32">
        <f t="shared" ca="1" si="190"/>
        <v>2.0082668106624624E-4</v>
      </c>
      <c r="BK122" s="32">
        <f t="shared" ca="1" si="190"/>
        <v>2.0082668106624624E-4</v>
      </c>
      <c r="BL122" s="32">
        <f t="shared" ca="1" si="190"/>
        <v>2.0082668106624624E-4</v>
      </c>
      <c r="BM122" s="32">
        <f t="shared" ca="1" si="190"/>
        <v>2.0082668106624624E-4</v>
      </c>
      <c r="BN122" s="32">
        <f t="shared" ca="1" si="190"/>
        <v>2.0082668106624624E-4</v>
      </c>
      <c r="BO122" s="32">
        <f t="shared" ca="1" si="190"/>
        <v>2.0082668106624624E-4</v>
      </c>
      <c r="BP122" s="32">
        <f t="shared" ca="1" si="190"/>
        <v>2.0082668106624624E-4</v>
      </c>
      <c r="BQ122" s="32">
        <f t="shared" ref="BQ122:CV122" ca="1" si="191" xml:space="preserve"> BQ$119</f>
        <v>2.0082668106624624E-4</v>
      </c>
      <c r="BR122" s="32">
        <f t="shared" ca="1" si="191"/>
        <v>2.0082668106624624E-4</v>
      </c>
      <c r="BS122" s="32">
        <f t="shared" ca="1" si="191"/>
        <v>2.0082668106624624E-4</v>
      </c>
      <c r="BT122" s="32">
        <f t="shared" ca="1" si="191"/>
        <v>2.0082668106624624E-4</v>
      </c>
      <c r="BU122" s="32">
        <f t="shared" ca="1" si="191"/>
        <v>2.0082668106624624E-4</v>
      </c>
      <c r="BV122" s="32">
        <f t="shared" ca="1" si="191"/>
        <v>2.0082668106624624E-4</v>
      </c>
      <c r="BW122" s="32">
        <f t="shared" ca="1" si="191"/>
        <v>2.0082668106624624E-4</v>
      </c>
      <c r="BX122" s="32">
        <f t="shared" ca="1" si="191"/>
        <v>2.0082668106624624E-4</v>
      </c>
      <c r="BY122" s="32">
        <f t="shared" ca="1" si="191"/>
        <v>2.0082668106624624E-4</v>
      </c>
      <c r="BZ122" s="32">
        <f t="shared" ca="1" si="191"/>
        <v>2.0082668106624624E-4</v>
      </c>
      <c r="CA122" s="32">
        <f t="shared" ca="1" si="191"/>
        <v>2.0082668106624624E-4</v>
      </c>
      <c r="CB122" s="32">
        <f t="shared" ca="1" si="191"/>
        <v>2.0082668106624624E-4</v>
      </c>
      <c r="CC122" s="32">
        <f t="shared" ca="1" si="191"/>
        <v>2.0082668106624624E-4</v>
      </c>
      <c r="CD122" s="32">
        <f t="shared" ca="1" si="191"/>
        <v>2.0082668106624624E-4</v>
      </c>
      <c r="CE122" s="32">
        <f t="shared" ca="1" si="191"/>
        <v>2.0082668106624624E-4</v>
      </c>
      <c r="CF122" s="32">
        <f t="shared" ca="1" si="191"/>
        <v>2.0082668106624624E-4</v>
      </c>
      <c r="CG122" s="32">
        <f t="shared" ca="1" si="191"/>
        <v>2.0082668106624624E-4</v>
      </c>
      <c r="CH122" s="32">
        <f t="shared" ca="1" si="191"/>
        <v>2.0082668106624624E-4</v>
      </c>
      <c r="CI122" s="32">
        <f t="shared" ca="1" si="191"/>
        <v>2.0082668106624624E-4</v>
      </c>
      <c r="CJ122" s="32">
        <f t="shared" ca="1" si="191"/>
        <v>2.0082668106624624E-4</v>
      </c>
      <c r="CK122" s="32">
        <f t="shared" ca="1" si="191"/>
        <v>2.0082668106624624E-4</v>
      </c>
      <c r="CL122" s="32">
        <f t="shared" ca="1" si="191"/>
        <v>2.0082668106624624E-4</v>
      </c>
      <c r="CM122" s="32">
        <f t="shared" ca="1" si="191"/>
        <v>2.0082668106624624E-4</v>
      </c>
      <c r="CN122" s="32">
        <f t="shared" ca="1" si="191"/>
        <v>2.0082668106624624E-4</v>
      </c>
      <c r="CO122" s="32">
        <f t="shared" ca="1" si="191"/>
        <v>2.0082668106624624E-4</v>
      </c>
      <c r="CP122" s="32">
        <f t="shared" ca="1" si="191"/>
        <v>2.0082668106624624E-4</v>
      </c>
      <c r="CQ122" s="32">
        <f t="shared" ca="1" si="191"/>
        <v>2.0082668106624624E-4</v>
      </c>
      <c r="CR122" s="32">
        <f t="shared" ca="1" si="191"/>
        <v>2.0082668106624624E-4</v>
      </c>
      <c r="CS122" s="32">
        <f t="shared" ca="1" si="191"/>
        <v>2.0082668106624624E-4</v>
      </c>
      <c r="CT122" s="32">
        <f t="shared" ca="1" si="191"/>
        <v>2.0082668106624624E-4</v>
      </c>
      <c r="CU122" s="32">
        <f t="shared" ca="1" si="191"/>
        <v>2.0082668106624624E-4</v>
      </c>
      <c r="CV122" s="32">
        <f t="shared" ca="1" si="191"/>
        <v>2.0082668106624624E-4</v>
      </c>
    </row>
    <row r="123" spans="1:100" s="495" customFormat="1" outlineLevel="2" x14ac:dyDescent="0.2">
      <c r="A123" s="77"/>
      <c r="B123" s="77"/>
      <c r="C123" s="77"/>
      <c r="D123" s="77"/>
      <c r="E123" s="77" t="str">
        <f xml:space="preserve"> Time!E$209</f>
        <v>Senior debt service period flag</v>
      </c>
      <c r="F123" s="77">
        <f xml:space="preserve"> Time!F$209</f>
        <v>0</v>
      </c>
      <c r="G123" s="77" t="str">
        <f xml:space="preserve"> Time!G$209</f>
        <v>flag</v>
      </c>
      <c r="H123" s="77">
        <f xml:space="preserve"> Time!H$209</f>
        <v>34</v>
      </c>
      <c r="I123" s="77">
        <f xml:space="preserve"> Time!I$209</f>
        <v>0</v>
      </c>
      <c r="J123" s="77">
        <f xml:space="preserve"> Time!J$209</f>
        <v>0</v>
      </c>
      <c r="K123" s="77">
        <f xml:space="preserve"> Time!K$209</f>
        <v>0</v>
      </c>
      <c r="L123" s="77">
        <f xml:space="preserve"> Time!L$209</f>
        <v>0</v>
      </c>
      <c r="M123" s="77">
        <f xml:space="preserve"> Time!M$209</f>
        <v>0</v>
      </c>
      <c r="N123" s="77">
        <f xml:space="preserve"> Time!N$209</f>
        <v>0</v>
      </c>
      <c r="O123" s="77">
        <f xml:space="preserve"> Time!O$209</f>
        <v>1</v>
      </c>
      <c r="P123" s="77">
        <f xml:space="preserve"> Time!P$209</f>
        <v>1</v>
      </c>
      <c r="Q123" s="77">
        <f xml:space="preserve"> Time!Q$209</f>
        <v>1</v>
      </c>
      <c r="R123" s="77">
        <f xml:space="preserve"> Time!R$209</f>
        <v>1</v>
      </c>
      <c r="S123" s="77">
        <f xml:space="preserve"> Time!S$209</f>
        <v>1</v>
      </c>
      <c r="T123" s="77">
        <f xml:space="preserve"> Time!T$209</f>
        <v>1</v>
      </c>
      <c r="U123" s="77">
        <f xml:space="preserve"> Time!U$209</f>
        <v>1</v>
      </c>
      <c r="V123" s="77">
        <f xml:space="preserve"> Time!V$209</f>
        <v>1</v>
      </c>
      <c r="W123" s="77">
        <f xml:space="preserve"> Time!W$209</f>
        <v>1</v>
      </c>
      <c r="X123" s="77">
        <f xml:space="preserve"> Time!X$209</f>
        <v>1</v>
      </c>
      <c r="Y123" s="77">
        <f xml:space="preserve"> Time!Y$209</f>
        <v>1</v>
      </c>
      <c r="Z123" s="77">
        <f xml:space="preserve"> Time!Z$209</f>
        <v>1</v>
      </c>
      <c r="AA123" s="77">
        <f xml:space="preserve"> Time!AA$209</f>
        <v>1</v>
      </c>
      <c r="AB123" s="77">
        <f xml:space="preserve"> Time!AB$209</f>
        <v>1</v>
      </c>
      <c r="AC123" s="77">
        <f xml:space="preserve"> Time!AC$209</f>
        <v>1</v>
      </c>
      <c r="AD123" s="77">
        <f xml:space="preserve"> Time!AD$209</f>
        <v>1</v>
      </c>
      <c r="AE123" s="77">
        <f xml:space="preserve"> Time!AE$209</f>
        <v>1</v>
      </c>
      <c r="AF123" s="77">
        <f xml:space="preserve"> Time!AF$209</f>
        <v>1</v>
      </c>
      <c r="AG123" s="77">
        <f xml:space="preserve"> Time!AG$209</f>
        <v>1</v>
      </c>
      <c r="AH123" s="77">
        <f xml:space="preserve"> Time!AH$209</f>
        <v>1</v>
      </c>
      <c r="AI123" s="77">
        <f xml:space="preserve"> Time!AI$209</f>
        <v>1</v>
      </c>
      <c r="AJ123" s="77">
        <f xml:space="preserve"> Time!AJ$209</f>
        <v>1</v>
      </c>
      <c r="AK123" s="77">
        <f xml:space="preserve"> Time!AK$209</f>
        <v>1</v>
      </c>
      <c r="AL123" s="77">
        <f xml:space="preserve"> Time!AL$209</f>
        <v>1</v>
      </c>
      <c r="AM123" s="77">
        <f xml:space="preserve"> Time!AM$209</f>
        <v>1</v>
      </c>
      <c r="AN123" s="77">
        <f xml:space="preserve"> Time!AN$209</f>
        <v>1</v>
      </c>
      <c r="AO123" s="77">
        <f xml:space="preserve"> Time!AO$209</f>
        <v>1</v>
      </c>
      <c r="AP123" s="77">
        <f xml:space="preserve"> Time!AP$209</f>
        <v>1</v>
      </c>
      <c r="AQ123" s="77">
        <f xml:space="preserve"> Time!AQ$209</f>
        <v>1</v>
      </c>
      <c r="AR123" s="77">
        <f xml:space="preserve"> Time!AR$209</f>
        <v>1</v>
      </c>
      <c r="AS123" s="77">
        <f xml:space="preserve"> Time!AS$209</f>
        <v>1</v>
      </c>
      <c r="AT123" s="77">
        <f xml:space="preserve"> Time!AT$209</f>
        <v>1</v>
      </c>
      <c r="AU123" s="77">
        <f xml:space="preserve"> Time!AU$209</f>
        <v>1</v>
      </c>
      <c r="AV123" s="77">
        <f xml:space="preserve"> Time!AV$209</f>
        <v>1</v>
      </c>
      <c r="AW123" s="77">
        <f xml:space="preserve"> Time!AW$209</f>
        <v>0</v>
      </c>
      <c r="AX123" s="77">
        <f xml:space="preserve"> Time!AX$209</f>
        <v>0</v>
      </c>
      <c r="AY123" s="77">
        <f xml:space="preserve"> Time!AY$209</f>
        <v>0</v>
      </c>
      <c r="AZ123" s="77">
        <f xml:space="preserve"> Time!AZ$209</f>
        <v>0</v>
      </c>
      <c r="BA123" s="77">
        <f xml:space="preserve"> Time!BA$209</f>
        <v>0</v>
      </c>
      <c r="BB123" s="77">
        <f xml:space="preserve"> Time!BB$209</f>
        <v>0</v>
      </c>
      <c r="BC123" s="77">
        <f xml:space="preserve"> Time!BC$209</f>
        <v>0</v>
      </c>
      <c r="BD123" s="77">
        <f xml:space="preserve"> Time!BD$209</f>
        <v>0</v>
      </c>
      <c r="BE123" s="77">
        <f xml:space="preserve"> Time!BE$209</f>
        <v>0</v>
      </c>
      <c r="BF123" s="77">
        <f xml:space="preserve"> Time!BF$209</f>
        <v>0</v>
      </c>
      <c r="BG123" s="77">
        <f xml:space="preserve"> Time!BG$209</f>
        <v>0</v>
      </c>
      <c r="BH123" s="77">
        <f xml:space="preserve"> Time!BH$209</f>
        <v>0</v>
      </c>
      <c r="BI123" s="77">
        <f xml:space="preserve"> Time!BI$209</f>
        <v>0</v>
      </c>
      <c r="BJ123" s="77">
        <f xml:space="preserve"> Time!BJ$209</f>
        <v>0</v>
      </c>
      <c r="BK123" s="77">
        <f xml:space="preserve"> Time!BK$209</f>
        <v>0</v>
      </c>
      <c r="BL123" s="77">
        <f xml:space="preserve"> Time!BL$209</f>
        <v>0</v>
      </c>
      <c r="BM123" s="77">
        <f xml:space="preserve"> Time!BM$209</f>
        <v>0</v>
      </c>
      <c r="BN123" s="77">
        <f xml:space="preserve"> Time!BN$209</f>
        <v>0</v>
      </c>
      <c r="BO123" s="77">
        <f xml:space="preserve"> Time!BO$209</f>
        <v>0</v>
      </c>
      <c r="BP123" s="77">
        <f xml:space="preserve"> Time!BP$209</f>
        <v>0</v>
      </c>
      <c r="BQ123" s="77">
        <f xml:space="preserve"> Time!BQ$209</f>
        <v>0</v>
      </c>
      <c r="BR123" s="77">
        <f xml:space="preserve"> Time!BR$209</f>
        <v>0</v>
      </c>
      <c r="BS123" s="77">
        <f xml:space="preserve"> Time!BS$209</f>
        <v>0</v>
      </c>
      <c r="BT123" s="77">
        <f xml:space="preserve"> Time!BT$209</f>
        <v>0</v>
      </c>
      <c r="BU123" s="77">
        <f xml:space="preserve"> Time!BU$209</f>
        <v>0</v>
      </c>
      <c r="BV123" s="77">
        <f xml:space="preserve"> Time!BV$209</f>
        <v>0</v>
      </c>
      <c r="BW123" s="77">
        <f xml:space="preserve"> Time!BW$209</f>
        <v>0</v>
      </c>
      <c r="BX123" s="77">
        <f xml:space="preserve"> Time!BX$209</f>
        <v>0</v>
      </c>
      <c r="BY123" s="77">
        <f xml:space="preserve"> Time!BY$209</f>
        <v>0</v>
      </c>
      <c r="BZ123" s="77">
        <f xml:space="preserve"> Time!BZ$209</f>
        <v>0</v>
      </c>
      <c r="CA123" s="77">
        <f xml:space="preserve"> Time!CA$209</f>
        <v>0</v>
      </c>
      <c r="CB123" s="77">
        <f xml:space="preserve"> Time!CB$209</f>
        <v>0</v>
      </c>
      <c r="CC123" s="77">
        <f xml:space="preserve"> Time!CC$209</f>
        <v>0</v>
      </c>
      <c r="CD123" s="77">
        <f xml:space="preserve"> Time!CD$209</f>
        <v>0</v>
      </c>
      <c r="CE123" s="77">
        <f xml:space="preserve"> Time!CE$209</f>
        <v>0</v>
      </c>
      <c r="CF123" s="77">
        <f xml:space="preserve"> Time!CF$209</f>
        <v>0</v>
      </c>
      <c r="CG123" s="77">
        <f xml:space="preserve"> Time!CG$209</f>
        <v>0</v>
      </c>
      <c r="CH123" s="77">
        <f xml:space="preserve"> Time!CH$209</f>
        <v>0</v>
      </c>
      <c r="CI123" s="77">
        <f xml:space="preserve"> Time!CI$209</f>
        <v>0</v>
      </c>
      <c r="CJ123" s="77">
        <f xml:space="preserve"> Time!CJ$209</f>
        <v>0</v>
      </c>
      <c r="CK123" s="77">
        <f xml:space="preserve"> Time!CK$209</f>
        <v>0</v>
      </c>
      <c r="CL123" s="77">
        <f xml:space="preserve"> Time!CL$209</f>
        <v>0</v>
      </c>
      <c r="CM123" s="77">
        <f xml:space="preserve"> Time!CM$209</f>
        <v>0</v>
      </c>
      <c r="CN123" s="77">
        <f xml:space="preserve"> Time!CN$209</f>
        <v>0</v>
      </c>
      <c r="CO123" s="77">
        <f xml:space="preserve"> Time!CO$209</f>
        <v>0</v>
      </c>
      <c r="CP123" s="77">
        <f xml:space="preserve"> Time!CP$209</f>
        <v>0</v>
      </c>
      <c r="CQ123" s="77">
        <f xml:space="preserve"> Time!CQ$209</f>
        <v>0</v>
      </c>
      <c r="CR123" s="77">
        <f xml:space="preserve"> Time!CR$209</f>
        <v>0</v>
      </c>
      <c r="CS123" s="77">
        <f xml:space="preserve"> Time!CS$209</f>
        <v>0</v>
      </c>
      <c r="CT123" s="77">
        <f xml:space="preserve"> Time!CT$209</f>
        <v>0</v>
      </c>
      <c r="CU123" s="77">
        <f xml:space="preserve"> Time!CU$209</f>
        <v>0</v>
      </c>
      <c r="CV123" s="77">
        <f xml:space="preserve"> Time!CV$209</f>
        <v>0</v>
      </c>
    </row>
    <row r="124" spans="1:100" outlineLevel="2" x14ac:dyDescent="0.2">
      <c r="A124" s="33"/>
      <c r="B124" s="79"/>
      <c r="C124" s="561"/>
      <c r="D124" s="60"/>
      <c r="E124" s="32" t="s">
        <v>1212</v>
      </c>
      <c r="F124" s="32"/>
      <c r="G124" s="32" t="str">
        <f xml:space="preserve"> SMU</f>
        <v>$ 000s</v>
      </c>
      <c r="H124" s="32">
        <f ca="1" xml:space="preserve"> SUM(J124:CV124)</f>
        <v>0</v>
      </c>
      <c r="I124" s="32"/>
      <c r="J124" s="32">
        <f t="shared" ref="J124:AO124" si="192" xml:space="preserve"> MAX(J122, 0) * J123 * ($F121 = 1)</f>
        <v>0</v>
      </c>
      <c r="K124" s="32">
        <f t="shared" ca="1" si="192"/>
        <v>0</v>
      </c>
      <c r="L124" s="32">
        <f t="shared" ca="1" si="192"/>
        <v>0</v>
      </c>
      <c r="M124" s="32">
        <f t="shared" ca="1" si="192"/>
        <v>0</v>
      </c>
      <c r="N124" s="32">
        <f t="shared" ca="1" si="192"/>
        <v>0</v>
      </c>
      <c r="O124" s="32">
        <f t="shared" ca="1" si="192"/>
        <v>0</v>
      </c>
      <c r="P124" s="32">
        <f t="shared" ca="1" si="192"/>
        <v>0</v>
      </c>
      <c r="Q124" s="32">
        <f t="shared" ca="1" si="192"/>
        <v>0</v>
      </c>
      <c r="R124" s="32">
        <f t="shared" ca="1" si="192"/>
        <v>0</v>
      </c>
      <c r="S124" s="32">
        <f t="shared" ca="1" si="192"/>
        <v>0</v>
      </c>
      <c r="T124" s="32">
        <f t="shared" ca="1" si="192"/>
        <v>0</v>
      </c>
      <c r="U124" s="32">
        <f t="shared" ca="1" si="192"/>
        <v>0</v>
      </c>
      <c r="V124" s="32">
        <f t="shared" ca="1" si="192"/>
        <v>0</v>
      </c>
      <c r="W124" s="32">
        <f t="shared" ca="1" si="192"/>
        <v>0</v>
      </c>
      <c r="X124" s="32">
        <f t="shared" ca="1" si="192"/>
        <v>0</v>
      </c>
      <c r="Y124" s="32">
        <f t="shared" ca="1" si="192"/>
        <v>0</v>
      </c>
      <c r="Z124" s="32">
        <f t="shared" ca="1" si="192"/>
        <v>0</v>
      </c>
      <c r="AA124" s="32">
        <f t="shared" ca="1" si="192"/>
        <v>0</v>
      </c>
      <c r="AB124" s="32">
        <f t="shared" ca="1" si="192"/>
        <v>0</v>
      </c>
      <c r="AC124" s="32">
        <f t="shared" ca="1" si="192"/>
        <v>0</v>
      </c>
      <c r="AD124" s="32">
        <f t="shared" ca="1" si="192"/>
        <v>0</v>
      </c>
      <c r="AE124" s="32">
        <f t="shared" ca="1" si="192"/>
        <v>0</v>
      </c>
      <c r="AF124" s="32">
        <f t="shared" ca="1" si="192"/>
        <v>0</v>
      </c>
      <c r="AG124" s="32">
        <f t="shared" ca="1" si="192"/>
        <v>0</v>
      </c>
      <c r="AH124" s="32">
        <f t="shared" ca="1" si="192"/>
        <v>0</v>
      </c>
      <c r="AI124" s="32">
        <f t="shared" ca="1" si="192"/>
        <v>0</v>
      </c>
      <c r="AJ124" s="32">
        <f t="shared" ca="1" si="192"/>
        <v>0</v>
      </c>
      <c r="AK124" s="32">
        <f t="shared" ca="1" si="192"/>
        <v>0</v>
      </c>
      <c r="AL124" s="32">
        <f t="shared" ca="1" si="192"/>
        <v>0</v>
      </c>
      <c r="AM124" s="32">
        <f t="shared" ca="1" si="192"/>
        <v>0</v>
      </c>
      <c r="AN124" s="32">
        <f t="shared" ca="1" si="192"/>
        <v>0</v>
      </c>
      <c r="AO124" s="32">
        <f t="shared" ca="1" si="192"/>
        <v>0</v>
      </c>
      <c r="AP124" s="32">
        <f t="shared" ref="AP124:BU124" ca="1" si="193" xml:space="preserve"> MAX(AP122, 0) * AP123 * ($F121 = 1)</f>
        <v>0</v>
      </c>
      <c r="AQ124" s="32">
        <f t="shared" ca="1" si="193"/>
        <v>0</v>
      </c>
      <c r="AR124" s="32">
        <f t="shared" ca="1" si="193"/>
        <v>0</v>
      </c>
      <c r="AS124" s="32">
        <f t="shared" ca="1" si="193"/>
        <v>0</v>
      </c>
      <c r="AT124" s="32">
        <f t="shared" ca="1" si="193"/>
        <v>0</v>
      </c>
      <c r="AU124" s="32">
        <f t="shared" ca="1" si="193"/>
        <v>0</v>
      </c>
      <c r="AV124" s="32">
        <f t="shared" ca="1" si="193"/>
        <v>0</v>
      </c>
      <c r="AW124" s="32">
        <f t="shared" ca="1" si="193"/>
        <v>0</v>
      </c>
      <c r="AX124" s="32">
        <f t="shared" ca="1" si="193"/>
        <v>0</v>
      </c>
      <c r="AY124" s="32">
        <f t="shared" ca="1" si="193"/>
        <v>0</v>
      </c>
      <c r="AZ124" s="32">
        <f t="shared" ca="1" si="193"/>
        <v>0</v>
      </c>
      <c r="BA124" s="32">
        <f t="shared" ca="1" si="193"/>
        <v>0</v>
      </c>
      <c r="BB124" s="32">
        <f t="shared" ca="1" si="193"/>
        <v>0</v>
      </c>
      <c r="BC124" s="32">
        <f t="shared" ca="1" si="193"/>
        <v>0</v>
      </c>
      <c r="BD124" s="32">
        <f t="shared" ca="1" si="193"/>
        <v>0</v>
      </c>
      <c r="BE124" s="32">
        <f t="shared" ca="1" si="193"/>
        <v>0</v>
      </c>
      <c r="BF124" s="32">
        <f t="shared" ca="1" si="193"/>
        <v>0</v>
      </c>
      <c r="BG124" s="32">
        <f t="shared" ca="1" si="193"/>
        <v>0</v>
      </c>
      <c r="BH124" s="32">
        <f t="shared" ca="1" si="193"/>
        <v>0</v>
      </c>
      <c r="BI124" s="32">
        <f t="shared" ca="1" si="193"/>
        <v>0</v>
      </c>
      <c r="BJ124" s="32">
        <f t="shared" ca="1" si="193"/>
        <v>0</v>
      </c>
      <c r="BK124" s="32">
        <f t="shared" ca="1" si="193"/>
        <v>0</v>
      </c>
      <c r="BL124" s="32">
        <f t="shared" ca="1" si="193"/>
        <v>0</v>
      </c>
      <c r="BM124" s="32">
        <f t="shared" ca="1" si="193"/>
        <v>0</v>
      </c>
      <c r="BN124" s="32">
        <f t="shared" ca="1" si="193"/>
        <v>0</v>
      </c>
      <c r="BO124" s="32">
        <f t="shared" ca="1" si="193"/>
        <v>0</v>
      </c>
      <c r="BP124" s="32">
        <f t="shared" ca="1" si="193"/>
        <v>0</v>
      </c>
      <c r="BQ124" s="32">
        <f t="shared" ca="1" si="193"/>
        <v>0</v>
      </c>
      <c r="BR124" s="32">
        <f t="shared" ca="1" si="193"/>
        <v>0</v>
      </c>
      <c r="BS124" s="32">
        <f t="shared" ca="1" si="193"/>
        <v>0</v>
      </c>
      <c r="BT124" s="32">
        <f t="shared" ca="1" si="193"/>
        <v>0</v>
      </c>
      <c r="BU124" s="32">
        <f t="shared" ca="1" si="193"/>
        <v>0</v>
      </c>
      <c r="BV124" s="32">
        <f t="shared" ref="BV124:CV124" ca="1" si="194" xml:space="preserve"> MAX(BV122, 0) * BV123 * ($F121 = 1)</f>
        <v>0</v>
      </c>
      <c r="BW124" s="32">
        <f t="shared" ca="1" si="194"/>
        <v>0</v>
      </c>
      <c r="BX124" s="32">
        <f t="shared" ca="1" si="194"/>
        <v>0</v>
      </c>
      <c r="BY124" s="32">
        <f t="shared" ca="1" si="194"/>
        <v>0</v>
      </c>
      <c r="BZ124" s="32">
        <f t="shared" ca="1" si="194"/>
        <v>0</v>
      </c>
      <c r="CA124" s="32">
        <f t="shared" ca="1" si="194"/>
        <v>0</v>
      </c>
      <c r="CB124" s="32">
        <f t="shared" ca="1" si="194"/>
        <v>0</v>
      </c>
      <c r="CC124" s="32">
        <f t="shared" ca="1" si="194"/>
        <v>0</v>
      </c>
      <c r="CD124" s="32">
        <f t="shared" ca="1" si="194"/>
        <v>0</v>
      </c>
      <c r="CE124" s="32">
        <f t="shared" ca="1" si="194"/>
        <v>0</v>
      </c>
      <c r="CF124" s="32">
        <f t="shared" ca="1" si="194"/>
        <v>0</v>
      </c>
      <c r="CG124" s="32">
        <f t="shared" ca="1" si="194"/>
        <v>0</v>
      </c>
      <c r="CH124" s="32">
        <f t="shared" ca="1" si="194"/>
        <v>0</v>
      </c>
      <c r="CI124" s="32">
        <f t="shared" ca="1" si="194"/>
        <v>0</v>
      </c>
      <c r="CJ124" s="32">
        <f t="shared" ca="1" si="194"/>
        <v>0</v>
      </c>
      <c r="CK124" s="32">
        <f t="shared" ca="1" si="194"/>
        <v>0</v>
      </c>
      <c r="CL124" s="32">
        <f t="shared" ca="1" si="194"/>
        <v>0</v>
      </c>
      <c r="CM124" s="32">
        <f t="shared" ca="1" si="194"/>
        <v>0</v>
      </c>
      <c r="CN124" s="32">
        <f t="shared" ca="1" si="194"/>
        <v>0</v>
      </c>
      <c r="CO124" s="32">
        <f t="shared" ca="1" si="194"/>
        <v>0</v>
      </c>
      <c r="CP124" s="32">
        <f t="shared" ca="1" si="194"/>
        <v>0</v>
      </c>
      <c r="CQ124" s="32">
        <f t="shared" ca="1" si="194"/>
        <v>0</v>
      </c>
      <c r="CR124" s="32">
        <f t="shared" ca="1" si="194"/>
        <v>0</v>
      </c>
      <c r="CS124" s="32">
        <f t="shared" ca="1" si="194"/>
        <v>0</v>
      </c>
      <c r="CT124" s="32">
        <f t="shared" ca="1" si="194"/>
        <v>0</v>
      </c>
      <c r="CU124" s="32">
        <f t="shared" ca="1" si="194"/>
        <v>0</v>
      </c>
      <c r="CV124" s="32">
        <f t="shared" ca="1" si="194"/>
        <v>0</v>
      </c>
    </row>
    <row r="125" spans="1:100" outlineLevel="1" x14ac:dyDescent="0.2">
      <c r="A125" s="33"/>
      <c r="B125" s="79"/>
      <c r="C125" s="561"/>
      <c r="D125" s="60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  <c r="CK125" s="32"/>
      <c r="CL125" s="32"/>
      <c r="CM125" s="32"/>
      <c r="CN125" s="32"/>
      <c r="CO125" s="32"/>
      <c r="CP125" s="32"/>
      <c r="CQ125" s="32"/>
      <c r="CR125" s="32"/>
      <c r="CS125" s="32"/>
      <c r="CT125" s="32"/>
      <c r="CU125" s="32"/>
      <c r="CV125" s="32"/>
    </row>
    <row r="126" spans="1:100" outlineLevel="1" x14ac:dyDescent="0.2">
      <c r="A126" s="33"/>
      <c r="B126" s="79" t="s">
        <v>1213</v>
      </c>
      <c r="C126" s="561"/>
      <c r="D126" s="60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BS126" s="32"/>
      <c r="BT126" s="32"/>
      <c r="BU126" s="32"/>
      <c r="BV126" s="32"/>
      <c r="BW126" s="32"/>
      <c r="BX126" s="32"/>
      <c r="BY126" s="32"/>
      <c r="BZ126" s="32"/>
      <c r="CA126" s="32"/>
      <c r="CB126" s="32"/>
      <c r="CC126" s="32"/>
      <c r="CD126" s="32"/>
      <c r="CE126" s="32"/>
      <c r="CF126" s="32"/>
      <c r="CG126" s="32"/>
      <c r="CH126" s="32"/>
      <c r="CI126" s="32"/>
      <c r="CJ126" s="32"/>
      <c r="CK126" s="32"/>
      <c r="CL126" s="32"/>
      <c r="CM126" s="32"/>
      <c r="CN126" s="32"/>
      <c r="CO126" s="32"/>
      <c r="CP126" s="32"/>
      <c r="CQ126" s="32"/>
      <c r="CR126" s="32"/>
      <c r="CS126" s="32"/>
      <c r="CT126" s="32"/>
      <c r="CU126" s="32"/>
      <c r="CV126" s="32"/>
    </row>
    <row r="127" spans="1:100" s="495" customFormat="1" outlineLevel="2" x14ac:dyDescent="0.2">
      <c r="A127" s="405"/>
      <c r="B127" s="405"/>
      <c r="C127" s="406"/>
      <c r="D127" s="575"/>
      <c r="E127" s="77" t="str">
        <f xml:space="preserve"> Equity!E$130</f>
        <v>Retained cash balance BEG - P99</v>
      </c>
      <c r="F127" s="77">
        <f xml:space="preserve"> Equity!F$130</f>
        <v>0</v>
      </c>
      <c r="G127" s="77" t="str">
        <f xml:space="preserve"> Equity!G$130</f>
        <v>$ 000s</v>
      </c>
      <c r="H127" s="77">
        <f xml:space="preserve"> Equity!H$130</f>
        <v>0</v>
      </c>
      <c r="I127" s="77">
        <f xml:space="preserve"> Equity!I$130</f>
        <v>0</v>
      </c>
      <c r="J127" s="77">
        <f xml:space="preserve"> Equity!J$130</f>
        <v>0</v>
      </c>
      <c r="K127" s="77">
        <f ca="1" xml:space="preserve"> Equity!K$130</f>
        <v>-1.5558398445136845E-6</v>
      </c>
      <c r="L127" s="77">
        <f ca="1" xml:space="preserve"> Equity!L$130</f>
        <v>-1.402249836246483E-5</v>
      </c>
      <c r="M127" s="77">
        <f ca="1" xml:space="preserve"> Equity!M$130</f>
        <v>-3.0776860512560233E-5</v>
      </c>
      <c r="N127" s="77">
        <f ca="1" xml:space="preserve"> Equity!N$130</f>
        <v>-5.0199549150420353E-5</v>
      </c>
      <c r="O127" s="77">
        <f ca="1" xml:space="preserve"> Equity!O$130</f>
        <v>-4.0178145100071561E-3</v>
      </c>
      <c r="P127" s="77">
        <f ca="1" xml:space="preserve"> Equity!P$130</f>
        <v>0</v>
      </c>
      <c r="Q127" s="77">
        <f ca="1" xml:space="preserve"> Equity!Q$130</f>
        <v>0</v>
      </c>
      <c r="R127" s="77">
        <f ca="1" xml:space="preserve"> Equity!R$130</f>
        <v>0</v>
      </c>
      <c r="S127" s="77">
        <f ca="1" xml:space="preserve"> Equity!S$130</f>
        <v>0</v>
      </c>
      <c r="T127" s="77">
        <f ca="1" xml:space="preserve"> Equity!T$130</f>
        <v>0</v>
      </c>
      <c r="U127" s="77">
        <f ca="1" xml:space="preserve"> Equity!U$130</f>
        <v>0</v>
      </c>
      <c r="V127" s="77">
        <f ca="1" xml:space="preserve"> Equity!V$130</f>
        <v>0</v>
      </c>
      <c r="W127" s="77">
        <f ca="1" xml:space="preserve"> Equity!W$130</f>
        <v>0</v>
      </c>
      <c r="X127" s="77">
        <f ca="1" xml:space="preserve"> Equity!X$130</f>
        <v>0</v>
      </c>
      <c r="Y127" s="77">
        <f ca="1" xml:space="preserve"> Equity!Y$130</f>
        <v>0</v>
      </c>
      <c r="Z127" s="77">
        <f ca="1" xml:space="preserve"> Equity!Z$130</f>
        <v>0</v>
      </c>
      <c r="AA127" s="77">
        <f ca="1" xml:space="preserve"> Equity!AA$130</f>
        <v>0</v>
      </c>
      <c r="AB127" s="77">
        <f ca="1" xml:space="preserve"> Equity!AB$130</f>
        <v>0</v>
      </c>
      <c r="AC127" s="77">
        <f ca="1" xml:space="preserve"> Equity!AC$130</f>
        <v>0</v>
      </c>
      <c r="AD127" s="77">
        <f ca="1" xml:space="preserve"> Equity!AD$130</f>
        <v>0</v>
      </c>
      <c r="AE127" s="77">
        <f ca="1" xml:space="preserve"> Equity!AE$130</f>
        <v>0</v>
      </c>
      <c r="AF127" s="77">
        <f ca="1" xml:space="preserve"> Equity!AF$130</f>
        <v>0</v>
      </c>
      <c r="AG127" s="77">
        <f ca="1" xml:space="preserve"> Equity!AG$130</f>
        <v>0</v>
      </c>
      <c r="AH127" s="77">
        <f ca="1" xml:space="preserve"> Equity!AH$130</f>
        <v>0</v>
      </c>
      <c r="AI127" s="77">
        <f ca="1" xml:space="preserve"> Equity!AI$130</f>
        <v>0</v>
      </c>
      <c r="AJ127" s="77">
        <f ca="1" xml:space="preserve"> Equity!AJ$130</f>
        <v>0</v>
      </c>
      <c r="AK127" s="77">
        <f ca="1" xml:space="preserve"> Equity!AK$130</f>
        <v>0</v>
      </c>
      <c r="AL127" s="77">
        <f ca="1" xml:space="preserve"> Equity!AL$130</f>
        <v>0</v>
      </c>
      <c r="AM127" s="77">
        <f ca="1" xml:space="preserve"> Equity!AM$130</f>
        <v>0</v>
      </c>
      <c r="AN127" s="77">
        <f ca="1" xml:space="preserve"> Equity!AN$130</f>
        <v>0</v>
      </c>
      <c r="AO127" s="77">
        <f ca="1" xml:space="preserve"> Equity!AO$130</f>
        <v>0</v>
      </c>
      <c r="AP127" s="77">
        <f ca="1" xml:space="preserve"> Equity!AP$130</f>
        <v>0</v>
      </c>
      <c r="AQ127" s="77">
        <f ca="1" xml:space="preserve"> Equity!AQ$130</f>
        <v>0</v>
      </c>
      <c r="AR127" s="77">
        <f ca="1" xml:space="preserve"> Equity!AR$130</f>
        <v>0</v>
      </c>
      <c r="AS127" s="77">
        <f ca="1" xml:space="preserve"> Equity!AS$130</f>
        <v>0</v>
      </c>
      <c r="AT127" s="77">
        <f ca="1" xml:space="preserve"> Equity!AT$130</f>
        <v>0</v>
      </c>
      <c r="AU127" s="77">
        <f ca="1" xml:space="preserve"> Equity!AU$130</f>
        <v>0</v>
      </c>
      <c r="AV127" s="77">
        <f ca="1" xml:space="preserve"> Equity!AV$130</f>
        <v>0</v>
      </c>
      <c r="AW127" s="77">
        <f ca="1" xml:space="preserve"> Equity!AW$130</f>
        <v>0</v>
      </c>
      <c r="AX127" s="77">
        <f ca="1" xml:space="preserve"> Equity!AX$130</f>
        <v>0</v>
      </c>
      <c r="AY127" s="77">
        <f ca="1" xml:space="preserve"> Equity!AY$130</f>
        <v>0</v>
      </c>
      <c r="AZ127" s="77">
        <f ca="1" xml:space="preserve"> Equity!AZ$130</f>
        <v>0</v>
      </c>
      <c r="BA127" s="77">
        <f ca="1" xml:space="preserve"> Equity!BA$130</f>
        <v>0</v>
      </c>
      <c r="BB127" s="77">
        <f ca="1" xml:space="preserve"> Equity!BB$130</f>
        <v>0</v>
      </c>
      <c r="BC127" s="77">
        <f ca="1" xml:space="preserve"> Equity!BC$130</f>
        <v>0</v>
      </c>
      <c r="BD127" s="77">
        <f ca="1" xml:space="preserve"> Equity!BD$130</f>
        <v>0</v>
      </c>
      <c r="BE127" s="77">
        <f ca="1" xml:space="preserve"> Equity!BE$130</f>
        <v>0</v>
      </c>
      <c r="BF127" s="77">
        <f ca="1" xml:space="preserve"> Equity!BF$130</f>
        <v>0</v>
      </c>
      <c r="BG127" s="77">
        <f ca="1" xml:space="preserve"> Equity!BG$130</f>
        <v>0</v>
      </c>
      <c r="BH127" s="77">
        <f ca="1" xml:space="preserve"> Equity!BH$130</f>
        <v>0</v>
      </c>
      <c r="BI127" s="77">
        <f ca="1" xml:space="preserve"> Equity!BI$130</f>
        <v>0</v>
      </c>
      <c r="BJ127" s="77">
        <f ca="1" xml:space="preserve"> Equity!BJ$130</f>
        <v>0</v>
      </c>
      <c r="BK127" s="77">
        <f ca="1" xml:space="preserve"> Equity!BK$130</f>
        <v>0</v>
      </c>
      <c r="BL127" s="77">
        <f ca="1" xml:space="preserve"> Equity!BL$130</f>
        <v>0</v>
      </c>
      <c r="BM127" s="77">
        <f ca="1" xml:space="preserve"> Equity!BM$130</f>
        <v>0</v>
      </c>
      <c r="BN127" s="77">
        <f ca="1" xml:space="preserve"> Equity!BN$130</f>
        <v>0</v>
      </c>
      <c r="BO127" s="77">
        <f ca="1" xml:space="preserve"> Equity!BO$130</f>
        <v>0</v>
      </c>
      <c r="BP127" s="77">
        <f ca="1" xml:space="preserve"> Equity!BP$130</f>
        <v>0</v>
      </c>
      <c r="BQ127" s="77">
        <f ca="1" xml:space="preserve"> Equity!BQ$130</f>
        <v>0</v>
      </c>
      <c r="BR127" s="77">
        <f ca="1" xml:space="preserve"> Equity!BR$130</f>
        <v>0</v>
      </c>
      <c r="BS127" s="77">
        <f ca="1" xml:space="preserve"> Equity!BS$130</f>
        <v>0</v>
      </c>
      <c r="BT127" s="77">
        <f ca="1" xml:space="preserve"> Equity!BT$130</f>
        <v>0</v>
      </c>
      <c r="BU127" s="77">
        <f ca="1" xml:space="preserve"> Equity!BU$130</f>
        <v>0</v>
      </c>
      <c r="BV127" s="77">
        <f ca="1" xml:space="preserve"> Equity!BV$130</f>
        <v>0</v>
      </c>
      <c r="BW127" s="77">
        <f ca="1" xml:space="preserve"> Equity!BW$130</f>
        <v>0</v>
      </c>
      <c r="BX127" s="77">
        <f ca="1" xml:space="preserve"> Equity!BX$130</f>
        <v>0</v>
      </c>
      <c r="BY127" s="77">
        <f ca="1" xml:space="preserve"> Equity!BY$130</f>
        <v>0</v>
      </c>
      <c r="BZ127" s="77">
        <f ca="1" xml:space="preserve"> Equity!BZ$130</f>
        <v>0</v>
      </c>
      <c r="CA127" s="77">
        <f ca="1" xml:space="preserve"> Equity!CA$130</f>
        <v>0</v>
      </c>
      <c r="CB127" s="77">
        <f ca="1" xml:space="preserve"> Equity!CB$130</f>
        <v>0</v>
      </c>
      <c r="CC127" s="77">
        <f ca="1" xml:space="preserve"> Equity!CC$130</f>
        <v>0</v>
      </c>
      <c r="CD127" s="77">
        <f ca="1" xml:space="preserve"> Equity!CD$130</f>
        <v>0</v>
      </c>
      <c r="CE127" s="77">
        <f ca="1" xml:space="preserve"> Equity!CE$130</f>
        <v>0</v>
      </c>
      <c r="CF127" s="77">
        <f ca="1" xml:space="preserve"> Equity!CF$130</f>
        <v>0</v>
      </c>
      <c r="CG127" s="77">
        <f ca="1" xml:space="preserve"> Equity!CG$130</f>
        <v>0</v>
      </c>
      <c r="CH127" s="77">
        <f ca="1" xml:space="preserve"> Equity!CH$130</f>
        <v>0</v>
      </c>
      <c r="CI127" s="77">
        <f ca="1" xml:space="preserve"> Equity!CI$130</f>
        <v>0</v>
      </c>
      <c r="CJ127" s="77">
        <f ca="1" xml:space="preserve"> Equity!CJ$130</f>
        <v>0</v>
      </c>
      <c r="CK127" s="77">
        <f ca="1" xml:space="preserve"> Equity!CK$130</f>
        <v>0</v>
      </c>
      <c r="CL127" s="77">
        <f ca="1" xml:space="preserve"> Equity!CL$130</f>
        <v>0</v>
      </c>
      <c r="CM127" s="77">
        <f ca="1" xml:space="preserve"> Equity!CM$130</f>
        <v>0</v>
      </c>
      <c r="CN127" s="77">
        <f ca="1" xml:space="preserve"> Equity!CN$130</f>
        <v>0</v>
      </c>
      <c r="CO127" s="77">
        <f ca="1" xml:space="preserve"> Equity!CO$130</f>
        <v>0</v>
      </c>
      <c r="CP127" s="77">
        <f ca="1" xml:space="preserve"> Equity!CP$130</f>
        <v>0</v>
      </c>
      <c r="CQ127" s="77">
        <f ca="1" xml:space="preserve"> Equity!CQ$130</f>
        <v>0</v>
      </c>
      <c r="CR127" s="77">
        <f ca="1" xml:space="preserve"> Equity!CR$130</f>
        <v>0</v>
      </c>
      <c r="CS127" s="77">
        <f ca="1" xml:space="preserve"> Equity!CS$130</f>
        <v>0</v>
      </c>
      <c r="CT127" s="77">
        <f ca="1" xml:space="preserve"> Equity!CT$130</f>
        <v>0</v>
      </c>
      <c r="CU127" s="77">
        <f ca="1" xml:space="preserve"> Equity!CU$130</f>
        <v>0</v>
      </c>
      <c r="CV127" s="77">
        <f ca="1" xml:space="preserve"> Equity!CV$130</f>
        <v>0</v>
      </c>
    </row>
    <row r="128" spans="1:100" s="495" customFormat="1" outlineLevel="2" x14ac:dyDescent="0.2">
      <c r="A128" s="405"/>
      <c r="B128" s="405"/>
      <c r="C128" s="406"/>
      <c r="D128" s="575"/>
      <c r="E128" s="77" t="str">
        <f xml:space="preserve"> 'FS Semi_P99'!E$73</f>
        <v>Cashflow available for DSRA - P99</v>
      </c>
      <c r="F128" s="77">
        <f xml:space="preserve"> 'FS Semi_P99'!F$73</f>
        <v>0</v>
      </c>
      <c r="G128" s="77" t="str">
        <f xml:space="preserve"> 'FS Semi_P99'!G$73</f>
        <v>$ 000s</v>
      </c>
      <c r="H128" s="77">
        <f ca="1" xml:space="preserve"> 'FS Semi_P99'!H$73</f>
        <v>80171.999842981124</v>
      </c>
      <c r="I128" s="77">
        <f xml:space="preserve"> 'FS Semi_P99'!I$73</f>
        <v>0</v>
      </c>
      <c r="J128" s="77">
        <f ca="1" xml:space="preserve"> 'FS Semi_P99'!J$73</f>
        <v>-1.5558398445136845E-6</v>
      </c>
      <c r="K128" s="77">
        <f ca="1" xml:space="preserve"> 'FS Semi_P99'!K$73</f>
        <v>-1.2466658517951146E-5</v>
      </c>
      <c r="L128" s="77">
        <f ca="1" xml:space="preserve"> 'FS Semi_P99'!L$73</f>
        <v>-1.6754362150095403E-5</v>
      </c>
      <c r="M128" s="77">
        <f ca="1" xml:space="preserve"> 'FS Semi_P99'!M$73</f>
        <v>-1.9422688637860119E-5</v>
      </c>
      <c r="N128" s="77">
        <f ca="1" xml:space="preserve"> 'FS Semi_P99'!N$73</f>
        <v>-3.9676149608567357E-3</v>
      </c>
      <c r="O128" s="77">
        <f ca="1" xml:space="preserve"> 'FS Semi_P99'!O$73</f>
        <v>1333.7016383710761</v>
      </c>
      <c r="P128" s="77">
        <f ca="1" xml:space="preserve"> 'FS Semi_P99'!P$73</f>
        <v>810.79468169697248</v>
      </c>
      <c r="Q128" s="77">
        <f ca="1" xml:space="preserve"> 'FS Semi_P99'!Q$73</f>
        <v>747.10124135188926</v>
      </c>
      <c r="R128" s="77">
        <f ca="1" xml:space="preserve"> 'FS Semi_P99'!R$73</f>
        <v>782.47871042725274</v>
      </c>
      <c r="S128" s="77">
        <f ca="1" xml:space="preserve"> 'FS Semi_P99'!S$73</f>
        <v>718.65796649657022</v>
      </c>
      <c r="T128" s="77">
        <f ca="1" xml:space="preserve"> 'FS Semi_P99'!T$73</f>
        <v>753.68370064888768</v>
      </c>
      <c r="U128" s="77">
        <f ca="1" xml:space="preserve"> 'FS Semi_P99'!U$73</f>
        <v>689.73083641552148</v>
      </c>
      <c r="V128" s="77">
        <f ca="1" xml:space="preserve"> 'FS Semi_P99'!V$73</f>
        <v>709.36403975043686</v>
      </c>
      <c r="W128" s="77">
        <f ca="1" xml:space="preserve"> 'FS Semi_P99'!W$73</f>
        <v>659.38136732964995</v>
      </c>
      <c r="X128" s="77">
        <f ca="1" xml:space="preserve"> 'FS Semi_P99'!X$73</f>
        <v>694.61723480350702</v>
      </c>
      <c r="Y128" s="77">
        <f ca="1" xml:space="preserve"> 'FS Semi_P99'!Y$73</f>
        <v>630.38530926563726</v>
      </c>
      <c r="Z128" s="77">
        <f ca="1" xml:space="preserve"> 'FS Semi_P99'!Z$73</f>
        <v>664.32561702168641</v>
      </c>
      <c r="AA128" s="77">
        <f ca="1" xml:space="preserve"> 'FS Semi_P99'!AA$73</f>
        <v>599.94656733875672</v>
      </c>
      <c r="AB128" s="77">
        <f ca="1" xml:space="preserve"> 'FS Semi_P99'!AB$73</f>
        <v>633.51463784352381</v>
      </c>
      <c r="AC128" s="77">
        <f ca="1" xml:space="preserve"> 'FS Semi_P99'!AC$73</f>
        <v>568.98326768453808</v>
      </c>
      <c r="AD128" s="77">
        <f ca="1" xml:space="preserve"> 'FS Semi_P99'!AD$73</f>
        <v>587.63037175696809</v>
      </c>
      <c r="AE128" s="77">
        <f ca="1" xml:space="preserve"> 'FS Semi_P99'!AE$73</f>
        <v>536.72108100653895</v>
      </c>
      <c r="AF128" s="77">
        <f ca="1" xml:space="preserve"> 'FS Semi_P99'!AF$73</f>
        <v>570.29201262744027</v>
      </c>
      <c r="AG128" s="77">
        <f ca="1" xml:space="preserve"> 'FS Semi_P99'!AG$73</f>
        <v>505.44002200324394</v>
      </c>
      <c r="AH128" s="77">
        <f ca="1" xml:space="preserve"> 'FS Semi_P99'!AH$73</f>
        <v>537.85854486696007</v>
      </c>
      <c r="AI128" s="77">
        <f ca="1" xml:space="preserve"> 'FS Semi_P99'!AI$73</f>
        <v>472.83804239376332</v>
      </c>
      <c r="AJ128" s="77">
        <f ca="1" xml:space="preserve"> 'FS Semi_P99'!AJ$73</f>
        <v>504.86205342385438</v>
      </c>
      <c r="AK128" s="77">
        <f ca="1" xml:space="preserve"> 'FS Semi_P99'!AK$73</f>
        <v>439.66745248592451</v>
      </c>
      <c r="AL128" s="77">
        <f ca="1" xml:space="preserve"> 'FS Semi_P99'!AL$73</f>
        <v>457.2673444383654</v>
      </c>
      <c r="AM128" s="77">
        <f ca="1" xml:space="preserve"> 'FS Semi_P99'!AM$73</f>
        <v>405.32971789899966</v>
      </c>
      <c r="AN128" s="77">
        <f ca="1" xml:space="preserve"> 'FS Semi_P99'!AN$73</f>
        <v>437.13395083402975</v>
      </c>
      <c r="AO128" s="77">
        <f ca="1" xml:space="preserve"> 'FS Semi_P99'!AO$73</f>
        <v>371.57390085271618</v>
      </c>
      <c r="AP128" s="77">
        <f ca="1" xml:space="preserve"> 'FS Semi_P99'!AP$73</f>
        <v>402.37871008177535</v>
      </c>
      <c r="AQ128" s="77">
        <f ca="1" xml:space="preserve"> 'FS Semi_P99'!AQ$73</f>
        <v>336.62709613009611</v>
      </c>
      <c r="AR128" s="77">
        <f ca="1" xml:space="preserve"> 'FS Semi_P99'!AR$73</f>
        <v>367.01320016047248</v>
      </c>
      <c r="AS128" s="77">
        <f ca="1" xml:space="preserve"> 'FS Semi_P99'!AS$73</f>
        <v>301.06250454664041</v>
      </c>
      <c r="AT128" s="77">
        <f ca="1" xml:space="preserve"> 'FS Semi_P99'!AT$73</f>
        <v>317.54834948217285</v>
      </c>
      <c r="AU128" s="77">
        <f ca="1" xml:space="preserve"> 'FS Semi_P99'!AU$73</f>
        <v>264.47150224174402</v>
      </c>
      <c r="AV128" s="77">
        <f ca="1" xml:space="preserve"> 'FS Semi_P99'!AV$73</f>
        <v>294.39554076380955</v>
      </c>
      <c r="AW128" s="77">
        <f ca="1" xml:space="preserve"> 'FS Semi_P99'!AW$73</f>
        <v>9947.8757418349815</v>
      </c>
      <c r="AX128" s="77">
        <f ca="1" xml:space="preserve"> 'FS Semi_P99'!AX$73</f>
        <v>9872.4529188595952</v>
      </c>
      <c r="AY128" s="77">
        <f ca="1" xml:space="preserve"> 'FS Semi_P99'!AY$73</f>
        <v>9803.2474683903492</v>
      </c>
      <c r="AZ128" s="77">
        <f ca="1" xml:space="preserve"> 'FS Semi_P99'!AZ$73</f>
        <v>9727.8684938216247</v>
      </c>
      <c r="BA128" s="77">
        <f ca="1" xml:space="preserve"> 'FS Semi_P99'!BA$73</f>
        <v>9656.395179685629</v>
      </c>
      <c r="BB128" s="77">
        <f ca="1" xml:space="preserve"> 'FS Semi_P99'!BB$73</f>
        <v>12057.385843762037</v>
      </c>
      <c r="BC128" s="77">
        <f ca="1" xml:space="preserve"> 'FS Semi_P99'!BC$73</f>
        <v>0</v>
      </c>
      <c r="BD128" s="77">
        <f ca="1" xml:space="preserve"> 'FS Semi_P99'!BD$73</f>
        <v>0</v>
      </c>
      <c r="BE128" s="77">
        <f ca="1" xml:space="preserve"> 'FS Semi_P99'!BE$73</f>
        <v>0</v>
      </c>
      <c r="BF128" s="77">
        <f ca="1" xml:space="preserve"> 'FS Semi_P99'!BF$73</f>
        <v>0</v>
      </c>
      <c r="BG128" s="77">
        <f ca="1" xml:space="preserve"> 'FS Semi_P99'!BG$73</f>
        <v>0</v>
      </c>
      <c r="BH128" s="77">
        <f ca="1" xml:space="preserve"> 'FS Semi_P99'!BH$73</f>
        <v>0</v>
      </c>
      <c r="BI128" s="77">
        <f ca="1" xml:space="preserve"> 'FS Semi_P99'!BI$73</f>
        <v>0</v>
      </c>
      <c r="BJ128" s="77">
        <f ca="1" xml:space="preserve"> 'FS Semi_P99'!BJ$73</f>
        <v>0</v>
      </c>
      <c r="BK128" s="77">
        <f ca="1" xml:space="preserve"> 'FS Semi_P99'!BK$73</f>
        <v>0</v>
      </c>
      <c r="BL128" s="77">
        <f ca="1" xml:space="preserve"> 'FS Semi_P99'!BL$73</f>
        <v>0</v>
      </c>
      <c r="BM128" s="77">
        <f ca="1" xml:space="preserve"> 'FS Semi_P99'!BM$73</f>
        <v>0</v>
      </c>
      <c r="BN128" s="77">
        <f ca="1" xml:space="preserve"> 'FS Semi_P99'!BN$73</f>
        <v>0</v>
      </c>
      <c r="BO128" s="77">
        <f ca="1" xml:space="preserve"> 'FS Semi_P99'!BO$73</f>
        <v>0</v>
      </c>
      <c r="BP128" s="77">
        <f ca="1" xml:space="preserve"> 'FS Semi_P99'!BP$73</f>
        <v>0</v>
      </c>
      <c r="BQ128" s="77">
        <f ca="1" xml:space="preserve"> 'FS Semi_P99'!BQ$73</f>
        <v>0</v>
      </c>
      <c r="BR128" s="77">
        <f ca="1" xml:space="preserve"> 'FS Semi_P99'!BR$73</f>
        <v>0</v>
      </c>
      <c r="BS128" s="77">
        <f ca="1" xml:space="preserve"> 'FS Semi_P99'!BS$73</f>
        <v>0</v>
      </c>
      <c r="BT128" s="77">
        <f ca="1" xml:space="preserve"> 'FS Semi_P99'!BT$73</f>
        <v>0</v>
      </c>
      <c r="BU128" s="77">
        <f ca="1" xml:space="preserve"> 'FS Semi_P99'!BU$73</f>
        <v>0</v>
      </c>
      <c r="BV128" s="77">
        <f ca="1" xml:space="preserve"> 'FS Semi_P99'!BV$73</f>
        <v>0</v>
      </c>
      <c r="BW128" s="77">
        <f ca="1" xml:space="preserve"> 'FS Semi_P99'!BW$73</f>
        <v>0</v>
      </c>
      <c r="BX128" s="77">
        <f ca="1" xml:space="preserve"> 'FS Semi_P99'!BX$73</f>
        <v>0</v>
      </c>
      <c r="BY128" s="77">
        <f ca="1" xml:space="preserve"> 'FS Semi_P99'!BY$73</f>
        <v>0</v>
      </c>
      <c r="BZ128" s="77">
        <f ca="1" xml:space="preserve"> 'FS Semi_P99'!BZ$73</f>
        <v>0</v>
      </c>
      <c r="CA128" s="77">
        <f ca="1" xml:space="preserve"> 'FS Semi_P99'!CA$73</f>
        <v>0</v>
      </c>
      <c r="CB128" s="77">
        <f ca="1" xml:space="preserve"> 'FS Semi_P99'!CB$73</f>
        <v>0</v>
      </c>
      <c r="CC128" s="77">
        <f ca="1" xml:space="preserve"> 'FS Semi_P99'!CC$73</f>
        <v>0</v>
      </c>
      <c r="CD128" s="77">
        <f ca="1" xml:space="preserve"> 'FS Semi_P99'!CD$73</f>
        <v>0</v>
      </c>
      <c r="CE128" s="77">
        <f ca="1" xml:space="preserve"> 'FS Semi_P99'!CE$73</f>
        <v>0</v>
      </c>
      <c r="CF128" s="77">
        <f ca="1" xml:space="preserve"> 'FS Semi_P99'!CF$73</f>
        <v>0</v>
      </c>
      <c r="CG128" s="77">
        <f ca="1" xml:space="preserve"> 'FS Semi_P99'!CG$73</f>
        <v>0</v>
      </c>
      <c r="CH128" s="77">
        <f ca="1" xml:space="preserve"> 'FS Semi_P99'!CH$73</f>
        <v>0</v>
      </c>
      <c r="CI128" s="77">
        <f ca="1" xml:space="preserve"> 'FS Semi_P99'!CI$73</f>
        <v>0</v>
      </c>
      <c r="CJ128" s="77">
        <f ca="1" xml:space="preserve"> 'FS Semi_P99'!CJ$73</f>
        <v>0</v>
      </c>
      <c r="CK128" s="77">
        <f ca="1" xml:space="preserve"> 'FS Semi_P99'!CK$73</f>
        <v>0</v>
      </c>
      <c r="CL128" s="77">
        <f ca="1" xml:space="preserve"> 'FS Semi_P99'!CL$73</f>
        <v>0</v>
      </c>
      <c r="CM128" s="77">
        <f ca="1" xml:space="preserve"> 'FS Semi_P99'!CM$73</f>
        <v>0</v>
      </c>
      <c r="CN128" s="77">
        <f ca="1" xml:space="preserve"> 'FS Semi_P99'!CN$73</f>
        <v>0</v>
      </c>
      <c r="CO128" s="77">
        <f ca="1" xml:space="preserve"> 'FS Semi_P99'!CO$73</f>
        <v>0</v>
      </c>
      <c r="CP128" s="77">
        <f ca="1" xml:space="preserve"> 'FS Semi_P99'!CP$73</f>
        <v>0</v>
      </c>
      <c r="CQ128" s="77">
        <f ca="1" xml:space="preserve"> 'FS Semi_P99'!CQ$73</f>
        <v>0</v>
      </c>
      <c r="CR128" s="77">
        <f ca="1" xml:space="preserve"> 'FS Semi_P99'!CR$73</f>
        <v>0</v>
      </c>
      <c r="CS128" s="77">
        <f ca="1" xml:space="preserve"> 'FS Semi_P99'!CS$73</f>
        <v>0</v>
      </c>
      <c r="CT128" s="77">
        <f ca="1" xml:space="preserve"> 'FS Semi_P99'!CT$73</f>
        <v>0</v>
      </c>
      <c r="CU128" s="77">
        <f ca="1" xml:space="preserve"> 'FS Semi_P99'!CU$73</f>
        <v>0</v>
      </c>
      <c r="CV128" s="77">
        <f ca="1" xml:space="preserve"> 'FS Semi_P99'!CV$73</f>
        <v>0</v>
      </c>
    </row>
    <row r="129" spans="1:100" s="495" customFormat="1" outlineLevel="2" x14ac:dyDescent="0.2">
      <c r="A129" s="405"/>
      <c r="B129" s="405"/>
      <c r="C129" s="406"/>
      <c r="D129" s="575"/>
      <c r="E129" s="577" t="str">
        <f xml:space="preserve"> Time!E$106</f>
        <v>Operating period flag</v>
      </c>
      <c r="F129" s="577">
        <f xml:space="preserve"> Time!F$106</f>
        <v>0</v>
      </c>
      <c r="G129" s="577" t="str">
        <f xml:space="preserve"> Time!G$106</f>
        <v>flag</v>
      </c>
      <c r="H129" s="577">
        <f xml:space="preserve"> Time!H$106</f>
        <v>40</v>
      </c>
      <c r="I129" s="577">
        <f xml:space="preserve"> Time!I$106</f>
        <v>0</v>
      </c>
      <c r="J129" s="577">
        <f xml:space="preserve"> Time!J$106</f>
        <v>0</v>
      </c>
      <c r="K129" s="577">
        <f xml:space="preserve"> Time!K$106</f>
        <v>0</v>
      </c>
      <c r="L129" s="577">
        <f xml:space="preserve"> Time!L$106</f>
        <v>0</v>
      </c>
      <c r="M129" s="577">
        <f xml:space="preserve"> Time!M$106</f>
        <v>0</v>
      </c>
      <c r="N129" s="577">
        <f xml:space="preserve"> Time!N$106</f>
        <v>0</v>
      </c>
      <c r="O129" s="577">
        <f xml:space="preserve"> Time!O$106</f>
        <v>1</v>
      </c>
      <c r="P129" s="577">
        <f xml:space="preserve"> Time!P$106</f>
        <v>1</v>
      </c>
      <c r="Q129" s="577">
        <f xml:space="preserve"> Time!Q$106</f>
        <v>1</v>
      </c>
      <c r="R129" s="577">
        <f xml:space="preserve"> Time!R$106</f>
        <v>1</v>
      </c>
      <c r="S129" s="577">
        <f xml:space="preserve"> Time!S$106</f>
        <v>1</v>
      </c>
      <c r="T129" s="577">
        <f xml:space="preserve"> Time!T$106</f>
        <v>1</v>
      </c>
      <c r="U129" s="577">
        <f xml:space="preserve"> Time!U$106</f>
        <v>1</v>
      </c>
      <c r="V129" s="577">
        <f xml:space="preserve"> Time!V$106</f>
        <v>1</v>
      </c>
      <c r="W129" s="577">
        <f xml:space="preserve"> Time!W$106</f>
        <v>1</v>
      </c>
      <c r="X129" s="577">
        <f xml:space="preserve"> Time!X$106</f>
        <v>1</v>
      </c>
      <c r="Y129" s="577">
        <f xml:space="preserve"> Time!Y$106</f>
        <v>1</v>
      </c>
      <c r="Z129" s="577">
        <f xml:space="preserve"> Time!Z$106</f>
        <v>1</v>
      </c>
      <c r="AA129" s="577">
        <f xml:space="preserve"> Time!AA$106</f>
        <v>1</v>
      </c>
      <c r="AB129" s="577">
        <f xml:space="preserve"> Time!AB$106</f>
        <v>1</v>
      </c>
      <c r="AC129" s="577">
        <f xml:space="preserve"> Time!AC$106</f>
        <v>1</v>
      </c>
      <c r="AD129" s="577">
        <f xml:space="preserve"> Time!AD$106</f>
        <v>1</v>
      </c>
      <c r="AE129" s="577">
        <f xml:space="preserve"> Time!AE$106</f>
        <v>1</v>
      </c>
      <c r="AF129" s="577">
        <f xml:space="preserve"> Time!AF$106</f>
        <v>1</v>
      </c>
      <c r="AG129" s="577">
        <f xml:space="preserve"> Time!AG$106</f>
        <v>1</v>
      </c>
      <c r="AH129" s="577">
        <f xml:space="preserve"> Time!AH$106</f>
        <v>1</v>
      </c>
      <c r="AI129" s="577">
        <f xml:space="preserve"> Time!AI$106</f>
        <v>1</v>
      </c>
      <c r="AJ129" s="577">
        <f xml:space="preserve"> Time!AJ$106</f>
        <v>1</v>
      </c>
      <c r="AK129" s="577">
        <f xml:space="preserve"> Time!AK$106</f>
        <v>1</v>
      </c>
      <c r="AL129" s="577">
        <f xml:space="preserve"> Time!AL$106</f>
        <v>1</v>
      </c>
      <c r="AM129" s="577">
        <f xml:space="preserve"> Time!AM$106</f>
        <v>1</v>
      </c>
      <c r="AN129" s="577">
        <f xml:space="preserve"> Time!AN$106</f>
        <v>1</v>
      </c>
      <c r="AO129" s="577">
        <f xml:space="preserve"> Time!AO$106</f>
        <v>1</v>
      </c>
      <c r="AP129" s="577">
        <f xml:space="preserve"> Time!AP$106</f>
        <v>1</v>
      </c>
      <c r="AQ129" s="577">
        <f xml:space="preserve"> Time!AQ$106</f>
        <v>1</v>
      </c>
      <c r="AR129" s="577">
        <f xml:space="preserve"> Time!AR$106</f>
        <v>1</v>
      </c>
      <c r="AS129" s="577">
        <f xml:space="preserve"> Time!AS$106</f>
        <v>1</v>
      </c>
      <c r="AT129" s="577">
        <f xml:space="preserve"> Time!AT$106</f>
        <v>1</v>
      </c>
      <c r="AU129" s="577">
        <f xml:space="preserve"> Time!AU$106</f>
        <v>1</v>
      </c>
      <c r="AV129" s="577">
        <f xml:space="preserve"> Time!AV$106</f>
        <v>1</v>
      </c>
      <c r="AW129" s="577">
        <f xml:space="preserve"> Time!AW$106</f>
        <v>1</v>
      </c>
      <c r="AX129" s="577">
        <f xml:space="preserve"> Time!AX$106</f>
        <v>1</v>
      </c>
      <c r="AY129" s="577">
        <f xml:space="preserve"> Time!AY$106</f>
        <v>1</v>
      </c>
      <c r="AZ129" s="577">
        <f xml:space="preserve"> Time!AZ$106</f>
        <v>1</v>
      </c>
      <c r="BA129" s="577">
        <f xml:space="preserve"> Time!BA$106</f>
        <v>1</v>
      </c>
      <c r="BB129" s="577">
        <f xml:space="preserve"> Time!BB$106</f>
        <v>1</v>
      </c>
      <c r="BC129" s="577">
        <f xml:space="preserve"> Time!BC$106</f>
        <v>0</v>
      </c>
      <c r="BD129" s="577">
        <f xml:space="preserve"> Time!BD$106</f>
        <v>0</v>
      </c>
      <c r="BE129" s="577">
        <f xml:space="preserve"> Time!BE$106</f>
        <v>0</v>
      </c>
      <c r="BF129" s="577">
        <f xml:space="preserve"> Time!BF$106</f>
        <v>0</v>
      </c>
      <c r="BG129" s="577">
        <f xml:space="preserve"> Time!BG$106</f>
        <v>0</v>
      </c>
      <c r="BH129" s="577">
        <f xml:space="preserve"> Time!BH$106</f>
        <v>0</v>
      </c>
      <c r="BI129" s="577">
        <f xml:space="preserve"> Time!BI$106</f>
        <v>0</v>
      </c>
      <c r="BJ129" s="577">
        <f xml:space="preserve"> Time!BJ$106</f>
        <v>0</v>
      </c>
      <c r="BK129" s="577">
        <f xml:space="preserve"> Time!BK$106</f>
        <v>0</v>
      </c>
      <c r="BL129" s="577">
        <f xml:space="preserve"> Time!BL$106</f>
        <v>0</v>
      </c>
      <c r="BM129" s="577">
        <f xml:space="preserve"> Time!BM$106</f>
        <v>0</v>
      </c>
      <c r="BN129" s="577">
        <f xml:space="preserve"> Time!BN$106</f>
        <v>0</v>
      </c>
      <c r="BO129" s="577">
        <f xml:space="preserve"> Time!BO$106</f>
        <v>0</v>
      </c>
      <c r="BP129" s="577">
        <f xml:space="preserve"> Time!BP$106</f>
        <v>0</v>
      </c>
      <c r="BQ129" s="577">
        <f xml:space="preserve"> Time!BQ$106</f>
        <v>0</v>
      </c>
      <c r="BR129" s="577">
        <f xml:space="preserve"> Time!BR$106</f>
        <v>0</v>
      </c>
      <c r="BS129" s="577">
        <f xml:space="preserve"> Time!BS$106</f>
        <v>0</v>
      </c>
      <c r="BT129" s="577">
        <f xml:space="preserve"> Time!BT$106</f>
        <v>0</v>
      </c>
      <c r="BU129" s="577">
        <f xml:space="preserve"> Time!BU$106</f>
        <v>0</v>
      </c>
      <c r="BV129" s="577">
        <f xml:space="preserve"> Time!BV$106</f>
        <v>0</v>
      </c>
      <c r="BW129" s="577">
        <f xml:space="preserve"> Time!BW$106</f>
        <v>0</v>
      </c>
      <c r="BX129" s="577">
        <f xml:space="preserve"> Time!BX$106</f>
        <v>0</v>
      </c>
      <c r="BY129" s="577">
        <f xml:space="preserve"> Time!BY$106</f>
        <v>0</v>
      </c>
      <c r="BZ129" s="577">
        <f xml:space="preserve"> Time!BZ$106</f>
        <v>0</v>
      </c>
      <c r="CA129" s="577">
        <f xml:space="preserve"> Time!CA$106</f>
        <v>0</v>
      </c>
      <c r="CB129" s="577">
        <f xml:space="preserve"> Time!CB$106</f>
        <v>0</v>
      </c>
      <c r="CC129" s="577">
        <f xml:space="preserve"> Time!CC$106</f>
        <v>0</v>
      </c>
      <c r="CD129" s="577">
        <f xml:space="preserve"> Time!CD$106</f>
        <v>0</v>
      </c>
      <c r="CE129" s="577">
        <f xml:space="preserve"> Time!CE$106</f>
        <v>0</v>
      </c>
      <c r="CF129" s="577">
        <f xml:space="preserve"> Time!CF$106</f>
        <v>0</v>
      </c>
      <c r="CG129" s="577">
        <f xml:space="preserve"> Time!CG$106</f>
        <v>0</v>
      </c>
      <c r="CH129" s="577">
        <f xml:space="preserve"> Time!CH$106</f>
        <v>0</v>
      </c>
      <c r="CI129" s="577">
        <f xml:space="preserve"> Time!CI$106</f>
        <v>0</v>
      </c>
      <c r="CJ129" s="577">
        <f xml:space="preserve"> Time!CJ$106</f>
        <v>0</v>
      </c>
      <c r="CK129" s="577">
        <f xml:space="preserve"> Time!CK$106</f>
        <v>0</v>
      </c>
      <c r="CL129" s="577">
        <f xml:space="preserve"> Time!CL$106</f>
        <v>0</v>
      </c>
      <c r="CM129" s="577">
        <f xml:space="preserve"> Time!CM$106</f>
        <v>0</v>
      </c>
      <c r="CN129" s="577">
        <f xml:space="preserve"> Time!CN$106</f>
        <v>0</v>
      </c>
      <c r="CO129" s="577">
        <f xml:space="preserve"> Time!CO$106</f>
        <v>0</v>
      </c>
      <c r="CP129" s="577">
        <f xml:space="preserve"> Time!CP$106</f>
        <v>0</v>
      </c>
      <c r="CQ129" s="577">
        <f xml:space="preserve"> Time!CQ$106</f>
        <v>0</v>
      </c>
      <c r="CR129" s="577">
        <f xml:space="preserve"> Time!CR$106</f>
        <v>0</v>
      </c>
      <c r="CS129" s="577">
        <f xml:space="preserve"> Time!CS$106</f>
        <v>0</v>
      </c>
      <c r="CT129" s="577">
        <f xml:space="preserve"> Time!CT$106</f>
        <v>0</v>
      </c>
      <c r="CU129" s="577">
        <f xml:space="preserve"> Time!CU$106</f>
        <v>0</v>
      </c>
      <c r="CV129" s="577">
        <f xml:space="preserve"> Time!CV$106</f>
        <v>0</v>
      </c>
    </row>
    <row r="130" spans="1:100" outlineLevel="2" x14ac:dyDescent="0.2">
      <c r="A130" s="33"/>
      <c r="B130" s="79"/>
      <c r="C130" s="561"/>
      <c r="D130" s="60"/>
      <c r="E130" s="32" t="s">
        <v>1214</v>
      </c>
      <c r="F130" s="32"/>
      <c r="G130" s="32" t="str">
        <f xml:space="preserve"> SMU</f>
        <v>$ 000s</v>
      </c>
      <c r="H130" s="32"/>
      <c r="I130" s="32"/>
      <c r="J130" s="32">
        <f t="shared" ref="J130:AO130" ca="1" si="195">SUM(J127:J128) * J129</f>
        <v>0</v>
      </c>
      <c r="K130" s="32">
        <f t="shared" ca="1" si="195"/>
        <v>0</v>
      </c>
      <c r="L130" s="32">
        <f t="shared" ca="1" si="195"/>
        <v>0</v>
      </c>
      <c r="M130" s="32">
        <f t="shared" ca="1" si="195"/>
        <v>0</v>
      </c>
      <c r="N130" s="32">
        <f t="shared" ca="1" si="195"/>
        <v>0</v>
      </c>
      <c r="O130" s="32">
        <f t="shared" ca="1" si="195"/>
        <v>1333.6976205565661</v>
      </c>
      <c r="P130" s="32">
        <f t="shared" ca="1" si="195"/>
        <v>810.79468169697248</v>
      </c>
      <c r="Q130" s="32">
        <f t="shared" ca="1" si="195"/>
        <v>747.10124135188926</v>
      </c>
      <c r="R130" s="32">
        <f t="shared" ca="1" si="195"/>
        <v>782.47871042725274</v>
      </c>
      <c r="S130" s="32">
        <f t="shared" ca="1" si="195"/>
        <v>718.65796649657022</v>
      </c>
      <c r="T130" s="32">
        <f t="shared" ca="1" si="195"/>
        <v>753.68370064888768</v>
      </c>
      <c r="U130" s="32">
        <f t="shared" ca="1" si="195"/>
        <v>689.73083641552148</v>
      </c>
      <c r="V130" s="32">
        <f t="shared" ca="1" si="195"/>
        <v>709.36403975043686</v>
      </c>
      <c r="W130" s="32">
        <f t="shared" ca="1" si="195"/>
        <v>659.38136732964995</v>
      </c>
      <c r="X130" s="32">
        <f t="shared" ca="1" si="195"/>
        <v>694.61723480350702</v>
      </c>
      <c r="Y130" s="32">
        <f t="shared" ca="1" si="195"/>
        <v>630.38530926563726</v>
      </c>
      <c r="Z130" s="32">
        <f t="shared" ca="1" si="195"/>
        <v>664.32561702168641</v>
      </c>
      <c r="AA130" s="32">
        <f t="shared" ca="1" si="195"/>
        <v>599.94656733875672</v>
      </c>
      <c r="AB130" s="32">
        <f t="shared" ca="1" si="195"/>
        <v>633.51463784352381</v>
      </c>
      <c r="AC130" s="32">
        <f t="shared" ca="1" si="195"/>
        <v>568.98326768453808</v>
      </c>
      <c r="AD130" s="32">
        <f t="shared" ca="1" si="195"/>
        <v>587.63037175696809</v>
      </c>
      <c r="AE130" s="32">
        <f t="shared" ca="1" si="195"/>
        <v>536.72108100653895</v>
      </c>
      <c r="AF130" s="32">
        <f t="shared" ca="1" si="195"/>
        <v>570.29201262744027</v>
      </c>
      <c r="AG130" s="32">
        <f t="shared" ca="1" si="195"/>
        <v>505.44002200324394</v>
      </c>
      <c r="AH130" s="32">
        <f t="shared" ca="1" si="195"/>
        <v>537.85854486696007</v>
      </c>
      <c r="AI130" s="32">
        <f t="shared" ca="1" si="195"/>
        <v>472.83804239376332</v>
      </c>
      <c r="AJ130" s="32">
        <f t="shared" ca="1" si="195"/>
        <v>504.86205342385438</v>
      </c>
      <c r="AK130" s="32">
        <f t="shared" ca="1" si="195"/>
        <v>439.66745248592451</v>
      </c>
      <c r="AL130" s="32">
        <f t="shared" ca="1" si="195"/>
        <v>457.2673444383654</v>
      </c>
      <c r="AM130" s="32">
        <f t="shared" ca="1" si="195"/>
        <v>405.32971789899966</v>
      </c>
      <c r="AN130" s="32">
        <f t="shared" ca="1" si="195"/>
        <v>437.13395083402975</v>
      </c>
      <c r="AO130" s="32">
        <f t="shared" ca="1" si="195"/>
        <v>371.57390085271618</v>
      </c>
      <c r="AP130" s="32">
        <f t="shared" ref="AP130:BU130" ca="1" si="196">SUM(AP127:AP128) * AP129</f>
        <v>402.37871008177535</v>
      </c>
      <c r="AQ130" s="32">
        <f t="shared" ca="1" si="196"/>
        <v>336.62709613009611</v>
      </c>
      <c r="AR130" s="32">
        <f t="shared" ca="1" si="196"/>
        <v>367.01320016047248</v>
      </c>
      <c r="AS130" s="32">
        <f t="shared" ca="1" si="196"/>
        <v>301.06250454664041</v>
      </c>
      <c r="AT130" s="32">
        <f t="shared" ca="1" si="196"/>
        <v>317.54834948217285</v>
      </c>
      <c r="AU130" s="32">
        <f t="shared" ca="1" si="196"/>
        <v>264.47150224174402</v>
      </c>
      <c r="AV130" s="32">
        <f t="shared" ca="1" si="196"/>
        <v>294.39554076380955</v>
      </c>
      <c r="AW130" s="32">
        <f t="shared" ca="1" si="196"/>
        <v>9947.8757418349815</v>
      </c>
      <c r="AX130" s="32">
        <f t="shared" ca="1" si="196"/>
        <v>9872.4529188595952</v>
      </c>
      <c r="AY130" s="32">
        <f t="shared" ca="1" si="196"/>
        <v>9803.2474683903492</v>
      </c>
      <c r="AZ130" s="32">
        <f t="shared" ca="1" si="196"/>
        <v>9727.8684938216247</v>
      </c>
      <c r="BA130" s="32">
        <f t="shared" ca="1" si="196"/>
        <v>9656.395179685629</v>
      </c>
      <c r="BB130" s="32">
        <f t="shared" ca="1" si="196"/>
        <v>12057.385843762037</v>
      </c>
      <c r="BC130" s="32">
        <f t="shared" ca="1" si="196"/>
        <v>0</v>
      </c>
      <c r="BD130" s="32">
        <f t="shared" ca="1" si="196"/>
        <v>0</v>
      </c>
      <c r="BE130" s="32">
        <f t="shared" ca="1" si="196"/>
        <v>0</v>
      </c>
      <c r="BF130" s="32">
        <f t="shared" ca="1" si="196"/>
        <v>0</v>
      </c>
      <c r="BG130" s="32">
        <f t="shared" ca="1" si="196"/>
        <v>0</v>
      </c>
      <c r="BH130" s="32">
        <f t="shared" ca="1" si="196"/>
        <v>0</v>
      </c>
      <c r="BI130" s="32">
        <f t="shared" ca="1" si="196"/>
        <v>0</v>
      </c>
      <c r="BJ130" s="32">
        <f t="shared" ca="1" si="196"/>
        <v>0</v>
      </c>
      <c r="BK130" s="32">
        <f t="shared" ca="1" si="196"/>
        <v>0</v>
      </c>
      <c r="BL130" s="32">
        <f t="shared" ca="1" si="196"/>
        <v>0</v>
      </c>
      <c r="BM130" s="32">
        <f t="shared" ca="1" si="196"/>
        <v>0</v>
      </c>
      <c r="BN130" s="32">
        <f t="shared" ca="1" si="196"/>
        <v>0</v>
      </c>
      <c r="BO130" s="32">
        <f t="shared" ca="1" si="196"/>
        <v>0</v>
      </c>
      <c r="BP130" s="32">
        <f t="shared" ca="1" si="196"/>
        <v>0</v>
      </c>
      <c r="BQ130" s="32">
        <f t="shared" ca="1" si="196"/>
        <v>0</v>
      </c>
      <c r="BR130" s="32">
        <f t="shared" ca="1" si="196"/>
        <v>0</v>
      </c>
      <c r="BS130" s="32">
        <f t="shared" ca="1" si="196"/>
        <v>0</v>
      </c>
      <c r="BT130" s="32">
        <f t="shared" ca="1" si="196"/>
        <v>0</v>
      </c>
      <c r="BU130" s="32">
        <f t="shared" ca="1" si="196"/>
        <v>0</v>
      </c>
      <c r="BV130" s="32">
        <f t="shared" ref="BV130:CV130" ca="1" si="197">SUM(BV127:BV128) * BV129</f>
        <v>0</v>
      </c>
      <c r="BW130" s="32">
        <f t="shared" ca="1" si="197"/>
        <v>0</v>
      </c>
      <c r="BX130" s="32">
        <f t="shared" ca="1" si="197"/>
        <v>0</v>
      </c>
      <c r="BY130" s="32">
        <f t="shared" ca="1" si="197"/>
        <v>0</v>
      </c>
      <c r="BZ130" s="32">
        <f t="shared" ca="1" si="197"/>
        <v>0</v>
      </c>
      <c r="CA130" s="32">
        <f t="shared" ca="1" si="197"/>
        <v>0</v>
      </c>
      <c r="CB130" s="32">
        <f t="shared" ca="1" si="197"/>
        <v>0</v>
      </c>
      <c r="CC130" s="32">
        <f t="shared" ca="1" si="197"/>
        <v>0</v>
      </c>
      <c r="CD130" s="32">
        <f t="shared" ca="1" si="197"/>
        <v>0</v>
      </c>
      <c r="CE130" s="32">
        <f t="shared" ca="1" si="197"/>
        <v>0</v>
      </c>
      <c r="CF130" s="32">
        <f t="shared" ca="1" si="197"/>
        <v>0</v>
      </c>
      <c r="CG130" s="32">
        <f t="shared" ca="1" si="197"/>
        <v>0</v>
      </c>
      <c r="CH130" s="32">
        <f t="shared" ca="1" si="197"/>
        <v>0</v>
      </c>
      <c r="CI130" s="32">
        <f t="shared" ca="1" si="197"/>
        <v>0</v>
      </c>
      <c r="CJ130" s="32">
        <f t="shared" ca="1" si="197"/>
        <v>0</v>
      </c>
      <c r="CK130" s="32">
        <f t="shared" ca="1" si="197"/>
        <v>0</v>
      </c>
      <c r="CL130" s="32">
        <f t="shared" ca="1" si="197"/>
        <v>0</v>
      </c>
      <c r="CM130" s="32">
        <f t="shared" ca="1" si="197"/>
        <v>0</v>
      </c>
      <c r="CN130" s="32">
        <f t="shared" ca="1" si="197"/>
        <v>0</v>
      </c>
      <c r="CO130" s="32">
        <f t="shared" ca="1" si="197"/>
        <v>0</v>
      </c>
      <c r="CP130" s="32">
        <f t="shared" ca="1" si="197"/>
        <v>0</v>
      </c>
      <c r="CQ130" s="32">
        <f t="shared" ca="1" si="197"/>
        <v>0</v>
      </c>
      <c r="CR130" s="32">
        <f t="shared" ca="1" si="197"/>
        <v>0</v>
      </c>
      <c r="CS130" s="32">
        <f t="shared" ca="1" si="197"/>
        <v>0</v>
      </c>
      <c r="CT130" s="32">
        <f t="shared" ca="1" si="197"/>
        <v>0</v>
      </c>
      <c r="CU130" s="32">
        <f t="shared" ca="1" si="197"/>
        <v>0</v>
      </c>
      <c r="CV130" s="32">
        <f t="shared" ca="1" si="197"/>
        <v>0</v>
      </c>
    </row>
    <row r="131" spans="1:100" outlineLevel="2" x14ac:dyDescent="0.2">
      <c r="A131" s="33"/>
      <c r="B131" s="79"/>
      <c r="C131" s="561"/>
      <c r="D131" s="60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2"/>
      <c r="BY131" s="32"/>
      <c r="BZ131" s="32"/>
      <c r="CA131" s="32"/>
      <c r="CB131" s="32"/>
      <c r="CC131" s="32"/>
      <c r="CD131" s="32"/>
      <c r="CE131" s="32"/>
      <c r="CF131" s="32"/>
      <c r="CG131" s="32"/>
      <c r="CH131" s="32"/>
      <c r="CI131" s="32"/>
      <c r="CJ131" s="32"/>
      <c r="CK131" s="32"/>
      <c r="CL131" s="32"/>
      <c r="CM131" s="32"/>
      <c r="CN131" s="32"/>
      <c r="CO131" s="32"/>
      <c r="CP131" s="32"/>
      <c r="CQ131" s="32"/>
      <c r="CR131" s="32"/>
      <c r="CS131" s="32"/>
      <c r="CT131" s="32"/>
      <c r="CU131" s="32"/>
      <c r="CV131" s="32"/>
    </row>
    <row r="132" spans="1:100" outlineLevel="2" x14ac:dyDescent="0.2">
      <c r="A132" s="33"/>
      <c r="B132" s="79"/>
      <c r="C132" s="561"/>
      <c r="D132" s="60"/>
      <c r="E132" s="32" t="str">
        <f t="shared" ref="E132:AJ132" si="198" xml:space="preserve"> E$130</f>
        <v>Cash available for DSRA / (DS shortfall) - P99</v>
      </c>
      <c r="F132" s="32">
        <f t="shared" si="198"/>
        <v>0</v>
      </c>
      <c r="G132" s="32" t="str">
        <f t="shared" si="198"/>
        <v>$ 000s</v>
      </c>
      <c r="H132" s="32">
        <f t="shared" si="198"/>
        <v>0</v>
      </c>
      <c r="I132" s="32">
        <f t="shared" si="198"/>
        <v>0</v>
      </c>
      <c r="J132" s="32">
        <f t="shared" ca="1" si="198"/>
        <v>0</v>
      </c>
      <c r="K132" s="32">
        <f t="shared" ca="1" si="198"/>
        <v>0</v>
      </c>
      <c r="L132" s="32">
        <f t="shared" ca="1" si="198"/>
        <v>0</v>
      </c>
      <c r="M132" s="32">
        <f t="shared" ca="1" si="198"/>
        <v>0</v>
      </c>
      <c r="N132" s="32">
        <f t="shared" ca="1" si="198"/>
        <v>0</v>
      </c>
      <c r="O132" s="32">
        <f t="shared" ca="1" si="198"/>
        <v>1333.6976205565661</v>
      </c>
      <c r="P132" s="32">
        <f t="shared" ca="1" si="198"/>
        <v>810.79468169697248</v>
      </c>
      <c r="Q132" s="32">
        <f t="shared" ca="1" si="198"/>
        <v>747.10124135188926</v>
      </c>
      <c r="R132" s="32">
        <f t="shared" ca="1" si="198"/>
        <v>782.47871042725274</v>
      </c>
      <c r="S132" s="32">
        <f t="shared" ca="1" si="198"/>
        <v>718.65796649657022</v>
      </c>
      <c r="T132" s="32">
        <f t="shared" ca="1" si="198"/>
        <v>753.68370064888768</v>
      </c>
      <c r="U132" s="32">
        <f t="shared" ca="1" si="198"/>
        <v>689.73083641552148</v>
      </c>
      <c r="V132" s="32">
        <f t="shared" ca="1" si="198"/>
        <v>709.36403975043686</v>
      </c>
      <c r="W132" s="32">
        <f t="shared" ca="1" si="198"/>
        <v>659.38136732964995</v>
      </c>
      <c r="X132" s="32">
        <f t="shared" ca="1" si="198"/>
        <v>694.61723480350702</v>
      </c>
      <c r="Y132" s="32">
        <f t="shared" ca="1" si="198"/>
        <v>630.38530926563726</v>
      </c>
      <c r="Z132" s="32">
        <f t="shared" ca="1" si="198"/>
        <v>664.32561702168641</v>
      </c>
      <c r="AA132" s="32">
        <f t="shared" ca="1" si="198"/>
        <v>599.94656733875672</v>
      </c>
      <c r="AB132" s="32">
        <f t="shared" ca="1" si="198"/>
        <v>633.51463784352381</v>
      </c>
      <c r="AC132" s="32">
        <f t="shared" ca="1" si="198"/>
        <v>568.98326768453808</v>
      </c>
      <c r="AD132" s="32">
        <f t="shared" ca="1" si="198"/>
        <v>587.63037175696809</v>
      </c>
      <c r="AE132" s="32">
        <f t="shared" ca="1" si="198"/>
        <v>536.72108100653895</v>
      </c>
      <c r="AF132" s="32">
        <f t="shared" ca="1" si="198"/>
        <v>570.29201262744027</v>
      </c>
      <c r="AG132" s="32">
        <f t="shared" ca="1" si="198"/>
        <v>505.44002200324394</v>
      </c>
      <c r="AH132" s="32">
        <f t="shared" ca="1" si="198"/>
        <v>537.85854486696007</v>
      </c>
      <c r="AI132" s="32">
        <f t="shared" ca="1" si="198"/>
        <v>472.83804239376332</v>
      </c>
      <c r="AJ132" s="32">
        <f t="shared" ca="1" si="198"/>
        <v>504.86205342385438</v>
      </c>
      <c r="AK132" s="32">
        <f t="shared" ref="AK132:BP132" ca="1" si="199" xml:space="preserve"> AK$130</f>
        <v>439.66745248592451</v>
      </c>
      <c r="AL132" s="32">
        <f t="shared" ca="1" si="199"/>
        <v>457.2673444383654</v>
      </c>
      <c r="AM132" s="32">
        <f t="shared" ca="1" si="199"/>
        <v>405.32971789899966</v>
      </c>
      <c r="AN132" s="32">
        <f t="shared" ca="1" si="199"/>
        <v>437.13395083402975</v>
      </c>
      <c r="AO132" s="32">
        <f t="shared" ca="1" si="199"/>
        <v>371.57390085271618</v>
      </c>
      <c r="AP132" s="32">
        <f t="shared" ca="1" si="199"/>
        <v>402.37871008177535</v>
      </c>
      <c r="AQ132" s="32">
        <f t="shared" ca="1" si="199"/>
        <v>336.62709613009611</v>
      </c>
      <c r="AR132" s="32">
        <f t="shared" ca="1" si="199"/>
        <v>367.01320016047248</v>
      </c>
      <c r="AS132" s="32">
        <f t="shared" ca="1" si="199"/>
        <v>301.06250454664041</v>
      </c>
      <c r="AT132" s="32">
        <f t="shared" ca="1" si="199"/>
        <v>317.54834948217285</v>
      </c>
      <c r="AU132" s="32">
        <f t="shared" ca="1" si="199"/>
        <v>264.47150224174402</v>
      </c>
      <c r="AV132" s="32">
        <f t="shared" ca="1" si="199"/>
        <v>294.39554076380955</v>
      </c>
      <c r="AW132" s="32">
        <f t="shared" ca="1" si="199"/>
        <v>9947.8757418349815</v>
      </c>
      <c r="AX132" s="32">
        <f t="shared" ca="1" si="199"/>
        <v>9872.4529188595952</v>
      </c>
      <c r="AY132" s="32">
        <f t="shared" ca="1" si="199"/>
        <v>9803.2474683903492</v>
      </c>
      <c r="AZ132" s="32">
        <f t="shared" ca="1" si="199"/>
        <v>9727.8684938216247</v>
      </c>
      <c r="BA132" s="32">
        <f t="shared" ca="1" si="199"/>
        <v>9656.395179685629</v>
      </c>
      <c r="BB132" s="32">
        <f t="shared" ca="1" si="199"/>
        <v>12057.385843762037</v>
      </c>
      <c r="BC132" s="32">
        <f t="shared" ca="1" si="199"/>
        <v>0</v>
      </c>
      <c r="BD132" s="32">
        <f t="shared" ca="1" si="199"/>
        <v>0</v>
      </c>
      <c r="BE132" s="32">
        <f t="shared" ca="1" si="199"/>
        <v>0</v>
      </c>
      <c r="BF132" s="32">
        <f t="shared" ca="1" si="199"/>
        <v>0</v>
      </c>
      <c r="BG132" s="32">
        <f t="shared" ca="1" si="199"/>
        <v>0</v>
      </c>
      <c r="BH132" s="32">
        <f t="shared" ca="1" si="199"/>
        <v>0</v>
      </c>
      <c r="BI132" s="32">
        <f t="shared" ca="1" si="199"/>
        <v>0</v>
      </c>
      <c r="BJ132" s="32">
        <f t="shared" ca="1" si="199"/>
        <v>0</v>
      </c>
      <c r="BK132" s="32">
        <f t="shared" ca="1" si="199"/>
        <v>0</v>
      </c>
      <c r="BL132" s="32">
        <f t="shared" ca="1" si="199"/>
        <v>0</v>
      </c>
      <c r="BM132" s="32">
        <f t="shared" ca="1" si="199"/>
        <v>0</v>
      </c>
      <c r="BN132" s="32">
        <f t="shared" ca="1" si="199"/>
        <v>0</v>
      </c>
      <c r="BO132" s="32">
        <f t="shared" ca="1" si="199"/>
        <v>0</v>
      </c>
      <c r="BP132" s="32">
        <f t="shared" ca="1" si="199"/>
        <v>0</v>
      </c>
      <c r="BQ132" s="32">
        <f t="shared" ref="BQ132:CV132" ca="1" si="200" xml:space="preserve"> BQ$130</f>
        <v>0</v>
      </c>
      <c r="BR132" s="32">
        <f t="shared" ca="1" si="200"/>
        <v>0</v>
      </c>
      <c r="BS132" s="32">
        <f t="shared" ca="1" si="200"/>
        <v>0</v>
      </c>
      <c r="BT132" s="32">
        <f t="shared" ca="1" si="200"/>
        <v>0</v>
      </c>
      <c r="BU132" s="32">
        <f t="shared" ca="1" si="200"/>
        <v>0</v>
      </c>
      <c r="BV132" s="32">
        <f t="shared" ca="1" si="200"/>
        <v>0</v>
      </c>
      <c r="BW132" s="32">
        <f t="shared" ca="1" si="200"/>
        <v>0</v>
      </c>
      <c r="BX132" s="32">
        <f t="shared" ca="1" si="200"/>
        <v>0</v>
      </c>
      <c r="BY132" s="32">
        <f t="shared" ca="1" si="200"/>
        <v>0</v>
      </c>
      <c r="BZ132" s="32">
        <f t="shared" ca="1" si="200"/>
        <v>0</v>
      </c>
      <c r="CA132" s="32">
        <f t="shared" ca="1" si="200"/>
        <v>0</v>
      </c>
      <c r="CB132" s="32">
        <f t="shared" ca="1" si="200"/>
        <v>0</v>
      </c>
      <c r="CC132" s="32">
        <f t="shared" ca="1" si="200"/>
        <v>0</v>
      </c>
      <c r="CD132" s="32">
        <f t="shared" ca="1" si="200"/>
        <v>0</v>
      </c>
      <c r="CE132" s="32">
        <f t="shared" ca="1" si="200"/>
        <v>0</v>
      </c>
      <c r="CF132" s="32">
        <f t="shared" ca="1" si="200"/>
        <v>0</v>
      </c>
      <c r="CG132" s="32">
        <f t="shared" ca="1" si="200"/>
        <v>0</v>
      </c>
      <c r="CH132" s="32">
        <f t="shared" ca="1" si="200"/>
        <v>0</v>
      </c>
      <c r="CI132" s="32">
        <f t="shared" ca="1" si="200"/>
        <v>0</v>
      </c>
      <c r="CJ132" s="32">
        <f t="shared" ca="1" si="200"/>
        <v>0</v>
      </c>
      <c r="CK132" s="32">
        <f t="shared" ca="1" si="200"/>
        <v>0</v>
      </c>
      <c r="CL132" s="32">
        <f t="shared" ca="1" si="200"/>
        <v>0</v>
      </c>
      <c r="CM132" s="32">
        <f t="shared" ca="1" si="200"/>
        <v>0</v>
      </c>
      <c r="CN132" s="32">
        <f t="shared" ca="1" si="200"/>
        <v>0</v>
      </c>
      <c r="CO132" s="32">
        <f t="shared" ca="1" si="200"/>
        <v>0</v>
      </c>
      <c r="CP132" s="32">
        <f t="shared" ca="1" si="200"/>
        <v>0</v>
      </c>
      <c r="CQ132" s="32">
        <f t="shared" ca="1" si="200"/>
        <v>0</v>
      </c>
      <c r="CR132" s="32">
        <f t="shared" ca="1" si="200"/>
        <v>0</v>
      </c>
      <c r="CS132" s="32">
        <f t="shared" ca="1" si="200"/>
        <v>0</v>
      </c>
      <c r="CT132" s="32">
        <f t="shared" ca="1" si="200"/>
        <v>0</v>
      </c>
      <c r="CU132" s="32">
        <f t="shared" ca="1" si="200"/>
        <v>0</v>
      </c>
      <c r="CV132" s="32">
        <f t="shared" ca="1" si="200"/>
        <v>0</v>
      </c>
    </row>
    <row r="133" spans="1:100" outlineLevel="2" x14ac:dyDescent="0.2">
      <c r="A133" s="33"/>
      <c r="B133" s="79"/>
      <c r="C133" s="561"/>
      <c r="D133" s="60"/>
      <c r="E133" s="32" t="s">
        <v>1215</v>
      </c>
      <c r="F133" s="32"/>
      <c r="G133" s="32" t="str">
        <f xml:space="preserve"> SMU</f>
        <v>$ 000s</v>
      </c>
      <c r="H133" s="32"/>
      <c r="I133" s="32"/>
      <c r="J133" s="32">
        <f t="shared" ref="J133:AO133" ca="1" si="201" xml:space="preserve"> MAX(J132, 0)</f>
        <v>0</v>
      </c>
      <c r="K133" s="32">
        <f t="shared" ca="1" si="201"/>
        <v>0</v>
      </c>
      <c r="L133" s="32">
        <f t="shared" ca="1" si="201"/>
        <v>0</v>
      </c>
      <c r="M133" s="32">
        <f t="shared" ca="1" si="201"/>
        <v>0</v>
      </c>
      <c r="N133" s="32">
        <f t="shared" ca="1" si="201"/>
        <v>0</v>
      </c>
      <c r="O133" s="32">
        <f t="shared" ca="1" si="201"/>
        <v>1333.6976205565661</v>
      </c>
      <c r="P133" s="32">
        <f t="shared" ca="1" si="201"/>
        <v>810.79468169697248</v>
      </c>
      <c r="Q133" s="32">
        <f t="shared" ca="1" si="201"/>
        <v>747.10124135188926</v>
      </c>
      <c r="R133" s="32">
        <f t="shared" ca="1" si="201"/>
        <v>782.47871042725274</v>
      </c>
      <c r="S133" s="32">
        <f t="shared" ca="1" si="201"/>
        <v>718.65796649657022</v>
      </c>
      <c r="T133" s="32">
        <f t="shared" ca="1" si="201"/>
        <v>753.68370064888768</v>
      </c>
      <c r="U133" s="32">
        <f t="shared" ca="1" si="201"/>
        <v>689.73083641552148</v>
      </c>
      <c r="V133" s="32">
        <f t="shared" ca="1" si="201"/>
        <v>709.36403975043686</v>
      </c>
      <c r="W133" s="32">
        <f t="shared" ca="1" si="201"/>
        <v>659.38136732964995</v>
      </c>
      <c r="X133" s="32">
        <f t="shared" ca="1" si="201"/>
        <v>694.61723480350702</v>
      </c>
      <c r="Y133" s="32">
        <f t="shared" ca="1" si="201"/>
        <v>630.38530926563726</v>
      </c>
      <c r="Z133" s="32">
        <f t="shared" ca="1" si="201"/>
        <v>664.32561702168641</v>
      </c>
      <c r="AA133" s="32">
        <f t="shared" ca="1" si="201"/>
        <v>599.94656733875672</v>
      </c>
      <c r="AB133" s="32">
        <f t="shared" ca="1" si="201"/>
        <v>633.51463784352381</v>
      </c>
      <c r="AC133" s="32">
        <f t="shared" ca="1" si="201"/>
        <v>568.98326768453808</v>
      </c>
      <c r="AD133" s="32">
        <f t="shared" ca="1" si="201"/>
        <v>587.63037175696809</v>
      </c>
      <c r="AE133" s="32">
        <f t="shared" ca="1" si="201"/>
        <v>536.72108100653895</v>
      </c>
      <c r="AF133" s="32">
        <f t="shared" ca="1" si="201"/>
        <v>570.29201262744027</v>
      </c>
      <c r="AG133" s="32">
        <f t="shared" ca="1" si="201"/>
        <v>505.44002200324394</v>
      </c>
      <c r="AH133" s="32">
        <f t="shared" ca="1" si="201"/>
        <v>537.85854486696007</v>
      </c>
      <c r="AI133" s="32">
        <f t="shared" ca="1" si="201"/>
        <v>472.83804239376332</v>
      </c>
      <c r="AJ133" s="32">
        <f t="shared" ca="1" si="201"/>
        <v>504.86205342385438</v>
      </c>
      <c r="AK133" s="32">
        <f t="shared" ca="1" si="201"/>
        <v>439.66745248592451</v>
      </c>
      <c r="AL133" s="32">
        <f t="shared" ca="1" si="201"/>
        <v>457.2673444383654</v>
      </c>
      <c r="AM133" s="32">
        <f t="shared" ca="1" si="201"/>
        <v>405.32971789899966</v>
      </c>
      <c r="AN133" s="32">
        <f t="shared" ca="1" si="201"/>
        <v>437.13395083402975</v>
      </c>
      <c r="AO133" s="32">
        <f t="shared" ca="1" si="201"/>
        <v>371.57390085271618</v>
      </c>
      <c r="AP133" s="32">
        <f t="shared" ref="AP133:BU133" ca="1" si="202" xml:space="preserve"> MAX(AP132, 0)</f>
        <v>402.37871008177535</v>
      </c>
      <c r="AQ133" s="32">
        <f t="shared" ca="1" si="202"/>
        <v>336.62709613009611</v>
      </c>
      <c r="AR133" s="32">
        <f t="shared" ca="1" si="202"/>
        <v>367.01320016047248</v>
      </c>
      <c r="AS133" s="32">
        <f t="shared" ca="1" si="202"/>
        <v>301.06250454664041</v>
      </c>
      <c r="AT133" s="32">
        <f t="shared" ca="1" si="202"/>
        <v>317.54834948217285</v>
      </c>
      <c r="AU133" s="32">
        <f t="shared" ca="1" si="202"/>
        <v>264.47150224174402</v>
      </c>
      <c r="AV133" s="32">
        <f t="shared" ca="1" si="202"/>
        <v>294.39554076380955</v>
      </c>
      <c r="AW133" s="32">
        <f t="shared" ca="1" si="202"/>
        <v>9947.8757418349815</v>
      </c>
      <c r="AX133" s="32">
        <f t="shared" ca="1" si="202"/>
        <v>9872.4529188595952</v>
      </c>
      <c r="AY133" s="32">
        <f t="shared" ca="1" si="202"/>
        <v>9803.2474683903492</v>
      </c>
      <c r="AZ133" s="32">
        <f t="shared" ca="1" si="202"/>
        <v>9727.8684938216247</v>
      </c>
      <c r="BA133" s="32">
        <f t="shared" ca="1" si="202"/>
        <v>9656.395179685629</v>
      </c>
      <c r="BB133" s="32">
        <f t="shared" ca="1" si="202"/>
        <v>12057.385843762037</v>
      </c>
      <c r="BC133" s="32">
        <f t="shared" ca="1" si="202"/>
        <v>0</v>
      </c>
      <c r="BD133" s="32">
        <f t="shared" ca="1" si="202"/>
        <v>0</v>
      </c>
      <c r="BE133" s="32">
        <f t="shared" ca="1" si="202"/>
        <v>0</v>
      </c>
      <c r="BF133" s="32">
        <f t="shared" ca="1" si="202"/>
        <v>0</v>
      </c>
      <c r="BG133" s="32">
        <f t="shared" ca="1" si="202"/>
        <v>0</v>
      </c>
      <c r="BH133" s="32">
        <f t="shared" ca="1" si="202"/>
        <v>0</v>
      </c>
      <c r="BI133" s="32">
        <f t="shared" ca="1" si="202"/>
        <v>0</v>
      </c>
      <c r="BJ133" s="32">
        <f t="shared" ca="1" si="202"/>
        <v>0</v>
      </c>
      <c r="BK133" s="32">
        <f t="shared" ca="1" si="202"/>
        <v>0</v>
      </c>
      <c r="BL133" s="32">
        <f t="shared" ca="1" si="202"/>
        <v>0</v>
      </c>
      <c r="BM133" s="32">
        <f t="shared" ca="1" si="202"/>
        <v>0</v>
      </c>
      <c r="BN133" s="32">
        <f t="shared" ca="1" si="202"/>
        <v>0</v>
      </c>
      <c r="BO133" s="32">
        <f t="shared" ca="1" si="202"/>
        <v>0</v>
      </c>
      <c r="BP133" s="32">
        <f t="shared" ca="1" si="202"/>
        <v>0</v>
      </c>
      <c r="BQ133" s="32">
        <f t="shared" ca="1" si="202"/>
        <v>0</v>
      </c>
      <c r="BR133" s="32">
        <f t="shared" ca="1" si="202"/>
        <v>0</v>
      </c>
      <c r="BS133" s="32">
        <f t="shared" ca="1" si="202"/>
        <v>0</v>
      </c>
      <c r="BT133" s="32">
        <f t="shared" ca="1" si="202"/>
        <v>0</v>
      </c>
      <c r="BU133" s="32">
        <f t="shared" ca="1" si="202"/>
        <v>0</v>
      </c>
      <c r="BV133" s="32">
        <f t="shared" ref="BV133:CV133" ca="1" si="203" xml:space="preserve"> MAX(BV132, 0)</f>
        <v>0</v>
      </c>
      <c r="BW133" s="32">
        <f t="shared" ca="1" si="203"/>
        <v>0</v>
      </c>
      <c r="BX133" s="32">
        <f t="shared" ca="1" si="203"/>
        <v>0</v>
      </c>
      <c r="BY133" s="32">
        <f t="shared" ca="1" si="203"/>
        <v>0</v>
      </c>
      <c r="BZ133" s="32">
        <f t="shared" ca="1" si="203"/>
        <v>0</v>
      </c>
      <c r="CA133" s="32">
        <f t="shared" ca="1" si="203"/>
        <v>0</v>
      </c>
      <c r="CB133" s="32">
        <f t="shared" ca="1" si="203"/>
        <v>0</v>
      </c>
      <c r="CC133" s="32">
        <f t="shared" ca="1" si="203"/>
        <v>0</v>
      </c>
      <c r="CD133" s="32">
        <f t="shared" ca="1" si="203"/>
        <v>0</v>
      </c>
      <c r="CE133" s="32">
        <f t="shared" ca="1" si="203"/>
        <v>0</v>
      </c>
      <c r="CF133" s="32">
        <f t="shared" ca="1" si="203"/>
        <v>0</v>
      </c>
      <c r="CG133" s="32">
        <f t="shared" ca="1" si="203"/>
        <v>0</v>
      </c>
      <c r="CH133" s="32">
        <f t="shared" ca="1" si="203"/>
        <v>0</v>
      </c>
      <c r="CI133" s="32">
        <f t="shared" ca="1" si="203"/>
        <v>0</v>
      </c>
      <c r="CJ133" s="32">
        <f t="shared" ca="1" si="203"/>
        <v>0</v>
      </c>
      <c r="CK133" s="32">
        <f t="shared" ca="1" si="203"/>
        <v>0</v>
      </c>
      <c r="CL133" s="32">
        <f t="shared" ca="1" si="203"/>
        <v>0</v>
      </c>
      <c r="CM133" s="32">
        <f t="shared" ca="1" si="203"/>
        <v>0</v>
      </c>
      <c r="CN133" s="32">
        <f t="shared" ca="1" si="203"/>
        <v>0</v>
      </c>
      <c r="CO133" s="32">
        <f t="shared" ca="1" si="203"/>
        <v>0</v>
      </c>
      <c r="CP133" s="32">
        <f t="shared" ca="1" si="203"/>
        <v>0</v>
      </c>
      <c r="CQ133" s="32">
        <f t="shared" ca="1" si="203"/>
        <v>0</v>
      </c>
      <c r="CR133" s="32">
        <f t="shared" ca="1" si="203"/>
        <v>0</v>
      </c>
      <c r="CS133" s="32">
        <f t="shared" ca="1" si="203"/>
        <v>0</v>
      </c>
      <c r="CT133" s="32">
        <f t="shared" ca="1" si="203"/>
        <v>0</v>
      </c>
      <c r="CU133" s="32">
        <f t="shared" ca="1" si="203"/>
        <v>0</v>
      </c>
      <c r="CV133" s="32">
        <f t="shared" ca="1" si="203"/>
        <v>0</v>
      </c>
    </row>
    <row r="134" spans="1:100" outlineLevel="2" x14ac:dyDescent="0.2">
      <c r="A134" s="33"/>
      <c r="B134" s="79"/>
      <c r="C134" s="561"/>
      <c r="D134" s="60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BS134" s="32"/>
      <c r="BT134" s="32"/>
      <c r="BU134" s="32"/>
      <c r="BV134" s="32"/>
      <c r="BW134" s="32"/>
      <c r="BX134" s="32"/>
      <c r="BY134" s="32"/>
      <c r="BZ134" s="32"/>
      <c r="CA134" s="32"/>
      <c r="CB134" s="32"/>
      <c r="CC134" s="32"/>
      <c r="CD134" s="32"/>
      <c r="CE134" s="32"/>
      <c r="CF134" s="32"/>
      <c r="CG134" s="32"/>
      <c r="CH134" s="32"/>
      <c r="CI134" s="32"/>
      <c r="CJ134" s="32"/>
      <c r="CK134" s="32"/>
      <c r="CL134" s="32"/>
      <c r="CM134" s="32"/>
      <c r="CN134" s="32"/>
      <c r="CO134" s="32"/>
      <c r="CP134" s="32"/>
      <c r="CQ134" s="32"/>
      <c r="CR134" s="32"/>
      <c r="CS134" s="32"/>
      <c r="CT134" s="32"/>
      <c r="CU134" s="32"/>
      <c r="CV134" s="32"/>
    </row>
    <row r="135" spans="1:100" outlineLevel="2" x14ac:dyDescent="0.2">
      <c r="A135" s="33"/>
      <c r="B135" s="79"/>
      <c r="C135" s="561"/>
      <c r="D135" s="60"/>
      <c r="E135" s="32" t="str">
        <f t="shared" ref="E135:AJ135" si="204" xml:space="preserve"> E$130</f>
        <v>Cash available for DSRA / (DS shortfall) - P99</v>
      </c>
      <c r="F135" s="32">
        <f t="shared" si="204"/>
        <v>0</v>
      </c>
      <c r="G135" s="32" t="str">
        <f t="shared" si="204"/>
        <v>$ 000s</v>
      </c>
      <c r="H135" s="32">
        <f t="shared" si="204"/>
        <v>0</v>
      </c>
      <c r="I135" s="32">
        <f t="shared" si="204"/>
        <v>0</v>
      </c>
      <c r="J135" s="32">
        <f t="shared" ca="1" si="204"/>
        <v>0</v>
      </c>
      <c r="K135" s="32">
        <f t="shared" ca="1" si="204"/>
        <v>0</v>
      </c>
      <c r="L135" s="32">
        <f t="shared" ca="1" si="204"/>
        <v>0</v>
      </c>
      <c r="M135" s="32">
        <f t="shared" ca="1" si="204"/>
        <v>0</v>
      </c>
      <c r="N135" s="32">
        <f t="shared" ca="1" si="204"/>
        <v>0</v>
      </c>
      <c r="O135" s="32">
        <f t="shared" ca="1" si="204"/>
        <v>1333.6976205565661</v>
      </c>
      <c r="P135" s="32">
        <f t="shared" ca="1" si="204"/>
        <v>810.79468169697248</v>
      </c>
      <c r="Q135" s="32">
        <f t="shared" ca="1" si="204"/>
        <v>747.10124135188926</v>
      </c>
      <c r="R135" s="32">
        <f t="shared" ca="1" si="204"/>
        <v>782.47871042725274</v>
      </c>
      <c r="S135" s="32">
        <f t="shared" ca="1" si="204"/>
        <v>718.65796649657022</v>
      </c>
      <c r="T135" s="32">
        <f t="shared" ca="1" si="204"/>
        <v>753.68370064888768</v>
      </c>
      <c r="U135" s="32">
        <f t="shared" ca="1" si="204"/>
        <v>689.73083641552148</v>
      </c>
      <c r="V135" s="32">
        <f t="shared" ca="1" si="204"/>
        <v>709.36403975043686</v>
      </c>
      <c r="W135" s="32">
        <f t="shared" ca="1" si="204"/>
        <v>659.38136732964995</v>
      </c>
      <c r="X135" s="32">
        <f t="shared" ca="1" si="204"/>
        <v>694.61723480350702</v>
      </c>
      <c r="Y135" s="32">
        <f t="shared" ca="1" si="204"/>
        <v>630.38530926563726</v>
      </c>
      <c r="Z135" s="32">
        <f t="shared" ca="1" si="204"/>
        <v>664.32561702168641</v>
      </c>
      <c r="AA135" s="32">
        <f t="shared" ca="1" si="204"/>
        <v>599.94656733875672</v>
      </c>
      <c r="AB135" s="32">
        <f t="shared" ca="1" si="204"/>
        <v>633.51463784352381</v>
      </c>
      <c r="AC135" s="32">
        <f t="shared" ca="1" si="204"/>
        <v>568.98326768453808</v>
      </c>
      <c r="AD135" s="32">
        <f t="shared" ca="1" si="204"/>
        <v>587.63037175696809</v>
      </c>
      <c r="AE135" s="32">
        <f t="shared" ca="1" si="204"/>
        <v>536.72108100653895</v>
      </c>
      <c r="AF135" s="32">
        <f t="shared" ca="1" si="204"/>
        <v>570.29201262744027</v>
      </c>
      <c r="AG135" s="32">
        <f t="shared" ca="1" si="204"/>
        <v>505.44002200324394</v>
      </c>
      <c r="AH135" s="32">
        <f t="shared" ca="1" si="204"/>
        <v>537.85854486696007</v>
      </c>
      <c r="AI135" s="32">
        <f t="shared" ca="1" si="204"/>
        <v>472.83804239376332</v>
      </c>
      <c r="AJ135" s="32">
        <f t="shared" ca="1" si="204"/>
        <v>504.86205342385438</v>
      </c>
      <c r="AK135" s="32">
        <f t="shared" ref="AK135:BP135" ca="1" si="205" xml:space="preserve"> AK$130</f>
        <v>439.66745248592451</v>
      </c>
      <c r="AL135" s="32">
        <f t="shared" ca="1" si="205"/>
        <v>457.2673444383654</v>
      </c>
      <c r="AM135" s="32">
        <f t="shared" ca="1" si="205"/>
        <v>405.32971789899966</v>
      </c>
      <c r="AN135" s="32">
        <f t="shared" ca="1" si="205"/>
        <v>437.13395083402975</v>
      </c>
      <c r="AO135" s="32">
        <f t="shared" ca="1" si="205"/>
        <v>371.57390085271618</v>
      </c>
      <c r="AP135" s="32">
        <f t="shared" ca="1" si="205"/>
        <v>402.37871008177535</v>
      </c>
      <c r="AQ135" s="32">
        <f t="shared" ca="1" si="205"/>
        <v>336.62709613009611</v>
      </c>
      <c r="AR135" s="32">
        <f t="shared" ca="1" si="205"/>
        <v>367.01320016047248</v>
      </c>
      <c r="AS135" s="32">
        <f t="shared" ca="1" si="205"/>
        <v>301.06250454664041</v>
      </c>
      <c r="AT135" s="32">
        <f t="shared" ca="1" si="205"/>
        <v>317.54834948217285</v>
      </c>
      <c r="AU135" s="32">
        <f t="shared" ca="1" si="205"/>
        <v>264.47150224174402</v>
      </c>
      <c r="AV135" s="32">
        <f t="shared" ca="1" si="205"/>
        <v>294.39554076380955</v>
      </c>
      <c r="AW135" s="32">
        <f t="shared" ca="1" si="205"/>
        <v>9947.8757418349815</v>
      </c>
      <c r="AX135" s="32">
        <f t="shared" ca="1" si="205"/>
        <v>9872.4529188595952</v>
      </c>
      <c r="AY135" s="32">
        <f t="shared" ca="1" si="205"/>
        <v>9803.2474683903492</v>
      </c>
      <c r="AZ135" s="32">
        <f t="shared" ca="1" si="205"/>
        <v>9727.8684938216247</v>
      </c>
      <c r="BA135" s="32">
        <f t="shared" ca="1" si="205"/>
        <v>9656.395179685629</v>
      </c>
      <c r="BB135" s="32">
        <f t="shared" ca="1" si="205"/>
        <v>12057.385843762037</v>
      </c>
      <c r="BC135" s="32">
        <f t="shared" ca="1" si="205"/>
        <v>0</v>
      </c>
      <c r="BD135" s="32">
        <f t="shared" ca="1" si="205"/>
        <v>0</v>
      </c>
      <c r="BE135" s="32">
        <f t="shared" ca="1" si="205"/>
        <v>0</v>
      </c>
      <c r="BF135" s="32">
        <f t="shared" ca="1" si="205"/>
        <v>0</v>
      </c>
      <c r="BG135" s="32">
        <f t="shared" ca="1" si="205"/>
        <v>0</v>
      </c>
      <c r="BH135" s="32">
        <f t="shared" ca="1" si="205"/>
        <v>0</v>
      </c>
      <c r="BI135" s="32">
        <f t="shared" ca="1" si="205"/>
        <v>0</v>
      </c>
      <c r="BJ135" s="32">
        <f t="shared" ca="1" si="205"/>
        <v>0</v>
      </c>
      <c r="BK135" s="32">
        <f t="shared" ca="1" si="205"/>
        <v>0</v>
      </c>
      <c r="BL135" s="32">
        <f t="shared" ca="1" si="205"/>
        <v>0</v>
      </c>
      <c r="BM135" s="32">
        <f t="shared" ca="1" si="205"/>
        <v>0</v>
      </c>
      <c r="BN135" s="32">
        <f t="shared" ca="1" si="205"/>
        <v>0</v>
      </c>
      <c r="BO135" s="32">
        <f t="shared" ca="1" si="205"/>
        <v>0</v>
      </c>
      <c r="BP135" s="32">
        <f t="shared" ca="1" si="205"/>
        <v>0</v>
      </c>
      <c r="BQ135" s="32">
        <f t="shared" ref="BQ135:CV135" ca="1" si="206" xml:space="preserve"> BQ$130</f>
        <v>0</v>
      </c>
      <c r="BR135" s="32">
        <f t="shared" ca="1" si="206"/>
        <v>0</v>
      </c>
      <c r="BS135" s="32">
        <f t="shared" ca="1" si="206"/>
        <v>0</v>
      </c>
      <c r="BT135" s="32">
        <f t="shared" ca="1" si="206"/>
        <v>0</v>
      </c>
      <c r="BU135" s="32">
        <f t="shared" ca="1" si="206"/>
        <v>0</v>
      </c>
      <c r="BV135" s="32">
        <f t="shared" ca="1" si="206"/>
        <v>0</v>
      </c>
      <c r="BW135" s="32">
        <f t="shared" ca="1" si="206"/>
        <v>0</v>
      </c>
      <c r="BX135" s="32">
        <f t="shared" ca="1" si="206"/>
        <v>0</v>
      </c>
      <c r="BY135" s="32">
        <f t="shared" ca="1" si="206"/>
        <v>0</v>
      </c>
      <c r="BZ135" s="32">
        <f t="shared" ca="1" si="206"/>
        <v>0</v>
      </c>
      <c r="CA135" s="32">
        <f t="shared" ca="1" si="206"/>
        <v>0</v>
      </c>
      <c r="CB135" s="32">
        <f t="shared" ca="1" si="206"/>
        <v>0</v>
      </c>
      <c r="CC135" s="32">
        <f t="shared" ca="1" si="206"/>
        <v>0</v>
      </c>
      <c r="CD135" s="32">
        <f t="shared" ca="1" si="206"/>
        <v>0</v>
      </c>
      <c r="CE135" s="32">
        <f t="shared" ca="1" si="206"/>
        <v>0</v>
      </c>
      <c r="CF135" s="32">
        <f t="shared" ca="1" si="206"/>
        <v>0</v>
      </c>
      <c r="CG135" s="32">
        <f t="shared" ca="1" si="206"/>
        <v>0</v>
      </c>
      <c r="CH135" s="32">
        <f t="shared" ca="1" si="206"/>
        <v>0</v>
      </c>
      <c r="CI135" s="32">
        <f t="shared" ca="1" si="206"/>
        <v>0</v>
      </c>
      <c r="CJ135" s="32">
        <f t="shared" ca="1" si="206"/>
        <v>0</v>
      </c>
      <c r="CK135" s="32">
        <f t="shared" ca="1" si="206"/>
        <v>0</v>
      </c>
      <c r="CL135" s="32">
        <f t="shared" ca="1" si="206"/>
        <v>0</v>
      </c>
      <c r="CM135" s="32">
        <f t="shared" ca="1" si="206"/>
        <v>0</v>
      </c>
      <c r="CN135" s="32">
        <f t="shared" ca="1" si="206"/>
        <v>0</v>
      </c>
      <c r="CO135" s="32">
        <f t="shared" ca="1" si="206"/>
        <v>0</v>
      </c>
      <c r="CP135" s="32">
        <f t="shared" ca="1" si="206"/>
        <v>0</v>
      </c>
      <c r="CQ135" s="32">
        <f t="shared" ca="1" si="206"/>
        <v>0</v>
      </c>
      <c r="CR135" s="32">
        <f t="shared" ca="1" si="206"/>
        <v>0</v>
      </c>
      <c r="CS135" s="32">
        <f t="shared" ca="1" si="206"/>
        <v>0</v>
      </c>
      <c r="CT135" s="32">
        <f t="shared" ca="1" si="206"/>
        <v>0</v>
      </c>
      <c r="CU135" s="32">
        <f t="shared" ca="1" si="206"/>
        <v>0</v>
      </c>
      <c r="CV135" s="32">
        <f t="shared" ca="1" si="206"/>
        <v>0</v>
      </c>
    </row>
    <row r="136" spans="1:100" s="495" customFormat="1" outlineLevel="2" x14ac:dyDescent="0.2">
      <c r="A136" s="405"/>
      <c r="B136" s="405"/>
      <c r="C136" s="406"/>
      <c r="D136" s="575"/>
      <c r="E136" s="577" t="str">
        <f xml:space="preserve"> Time!E$106</f>
        <v>Operating period flag</v>
      </c>
      <c r="F136" s="577">
        <f xml:space="preserve"> Time!F$106</f>
        <v>0</v>
      </c>
      <c r="G136" s="577" t="str">
        <f xml:space="preserve"> Time!G$106</f>
        <v>flag</v>
      </c>
      <c r="H136" s="577">
        <f xml:space="preserve"> Time!H$106</f>
        <v>40</v>
      </c>
      <c r="I136" s="577">
        <f xml:space="preserve"> Time!I$106</f>
        <v>0</v>
      </c>
      <c r="J136" s="577">
        <f xml:space="preserve"> Time!J$106</f>
        <v>0</v>
      </c>
      <c r="K136" s="577">
        <f xml:space="preserve"> Time!K$106</f>
        <v>0</v>
      </c>
      <c r="L136" s="577">
        <f xml:space="preserve"> Time!L$106</f>
        <v>0</v>
      </c>
      <c r="M136" s="577">
        <f xml:space="preserve"> Time!M$106</f>
        <v>0</v>
      </c>
      <c r="N136" s="577">
        <f xml:space="preserve"> Time!N$106</f>
        <v>0</v>
      </c>
      <c r="O136" s="577">
        <f xml:space="preserve"> Time!O$106</f>
        <v>1</v>
      </c>
      <c r="P136" s="577">
        <f xml:space="preserve"> Time!P$106</f>
        <v>1</v>
      </c>
      <c r="Q136" s="577">
        <f xml:space="preserve"> Time!Q$106</f>
        <v>1</v>
      </c>
      <c r="R136" s="577">
        <f xml:space="preserve"> Time!R$106</f>
        <v>1</v>
      </c>
      <c r="S136" s="577">
        <f xml:space="preserve"> Time!S$106</f>
        <v>1</v>
      </c>
      <c r="T136" s="577">
        <f xml:space="preserve"> Time!T$106</f>
        <v>1</v>
      </c>
      <c r="U136" s="577">
        <f xml:space="preserve"> Time!U$106</f>
        <v>1</v>
      </c>
      <c r="V136" s="577">
        <f xml:space="preserve"> Time!V$106</f>
        <v>1</v>
      </c>
      <c r="W136" s="577">
        <f xml:space="preserve"> Time!W$106</f>
        <v>1</v>
      </c>
      <c r="X136" s="577">
        <f xml:space="preserve"> Time!X$106</f>
        <v>1</v>
      </c>
      <c r="Y136" s="577">
        <f xml:space="preserve"> Time!Y$106</f>
        <v>1</v>
      </c>
      <c r="Z136" s="577">
        <f xml:space="preserve"> Time!Z$106</f>
        <v>1</v>
      </c>
      <c r="AA136" s="577">
        <f xml:space="preserve"> Time!AA$106</f>
        <v>1</v>
      </c>
      <c r="AB136" s="577">
        <f xml:space="preserve"> Time!AB$106</f>
        <v>1</v>
      </c>
      <c r="AC136" s="577">
        <f xml:space="preserve"> Time!AC$106</f>
        <v>1</v>
      </c>
      <c r="AD136" s="577">
        <f xml:space="preserve"> Time!AD$106</f>
        <v>1</v>
      </c>
      <c r="AE136" s="577">
        <f xml:space="preserve"> Time!AE$106</f>
        <v>1</v>
      </c>
      <c r="AF136" s="577">
        <f xml:space="preserve"> Time!AF$106</f>
        <v>1</v>
      </c>
      <c r="AG136" s="577">
        <f xml:space="preserve"> Time!AG$106</f>
        <v>1</v>
      </c>
      <c r="AH136" s="577">
        <f xml:space="preserve"> Time!AH$106</f>
        <v>1</v>
      </c>
      <c r="AI136" s="577">
        <f xml:space="preserve"> Time!AI$106</f>
        <v>1</v>
      </c>
      <c r="AJ136" s="577">
        <f xml:space="preserve"> Time!AJ$106</f>
        <v>1</v>
      </c>
      <c r="AK136" s="577">
        <f xml:space="preserve"> Time!AK$106</f>
        <v>1</v>
      </c>
      <c r="AL136" s="577">
        <f xml:space="preserve"> Time!AL$106</f>
        <v>1</v>
      </c>
      <c r="AM136" s="577">
        <f xml:space="preserve"> Time!AM$106</f>
        <v>1</v>
      </c>
      <c r="AN136" s="577">
        <f xml:space="preserve"> Time!AN$106</f>
        <v>1</v>
      </c>
      <c r="AO136" s="577">
        <f xml:space="preserve"> Time!AO$106</f>
        <v>1</v>
      </c>
      <c r="AP136" s="577">
        <f xml:space="preserve"> Time!AP$106</f>
        <v>1</v>
      </c>
      <c r="AQ136" s="577">
        <f xml:space="preserve"> Time!AQ$106</f>
        <v>1</v>
      </c>
      <c r="AR136" s="577">
        <f xml:space="preserve"> Time!AR$106</f>
        <v>1</v>
      </c>
      <c r="AS136" s="577">
        <f xml:space="preserve"> Time!AS$106</f>
        <v>1</v>
      </c>
      <c r="AT136" s="577">
        <f xml:space="preserve"> Time!AT$106</f>
        <v>1</v>
      </c>
      <c r="AU136" s="577">
        <f xml:space="preserve"> Time!AU$106</f>
        <v>1</v>
      </c>
      <c r="AV136" s="577">
        <f xml:space="preserve"> Time!AV$106</f>
        <v>1</v>
      </c>
      <c r="AW136" s="577">
        <f xml:space="preserve"> Time!AW$106</f>
        <v>1</v>
      </c>
      <c r="AX136" s="577">
        <f xml:space="preserve"> Time!AX$106</f>
        <v>1</v>
      </c>
      <c r="AY136" s="577">
        <f xml:space="preserve"> Time!AY$106</f>
        <v>1</v>
      </c>
      <c r="AZ136" s="577">
        <f xml:space="preserve"> Time!AZ$106</f>
        <v>1</v>
      </c>
      <c r="BA136" s="577">
        <f xml:space="preserve"> Time!BA$106</f>
        <v>1</v>
      </c>
      <c r="BB136" s="577">
        <f xml:space="preserve"> Time!BB$106</f>
        <v>1</v>
      </c>
      <c r="BC136" s="577">
        <f xml:space="preserve"> Time!BC$106</f>
        <v>0</v>
      </c>
      <c r="BD136" s="577">
        <f xml:space="preserve"> Time!BD$106</f>
        <v>0</v>
      </c>
      <c r="BE136" s="577">
        <f xml:space="preserve"> Time!BE$106</f>
        <v>0</v>
      </c>
      <c r="BF136" s="577">
        <f xml:space="preserve"> Time!BF$106</f>
        <v>0</v>
      </c>
      <c r="BG136" s="577">
        <f xml:space="preserve"> Time!BG$106</f>
        <v>0</v>
      </c>
      <c r="BH136" s="577">
        <f xml:space="preserve"> Time!BH$106</f>
        <v>0</v>
      </c>
      <c r="BI136" s="577">
        <f xml:space="preserve"> Time!BI$106</f>
        <v>0</v>
      </c>
      <c r="BJ136" s="577">
        <f xml:space="preserve"> Time!BJ$106</f>
        <v>0</v>
      </c>
      <c r="BK136" s="577">
        <f xml:space="preserve"> Time!BK$106</f>
        <v>0</v>
      </c>
      <c r="BL136" s="577">
        <f xml:space="preserve"> Time!BL$106</f>
        <v>0</v>
      </c>
      <c r="BM136" s="577">
        <f xml:space="preserve"> Time!BM$106</f>
        <v>0</v>
      </c>
      <c r="BN136" s="577">
        <f xml:space="preserve"> Time!BN$106</f>
        <v>0</v>
      </c>
      <c r="BO136" s="577">
        <f xml:space="preserve"> Time!BO$106</f>
        <v>0</v>
      </c>
      <c r="BP136" s="577">
        <f xml:space="preserve"> Time!BP$106</f>
        <v>0</v>
      </c>
      <c r="BQ136" s="577">
        <f xml:space="preserve"> Time!BQ$106</f>
        <v>0</v>
      </c>
      <c r="BR136" s="577">
        <f xml:space="preserve"> Time!BR$106</f>
        <v>0</v>
      </c>
      <c r="BS136" s="577">
        <f xml:space="preserve"> Time!BS$106</f>
        <v>0</v>
      </c>
      <c r="BT136" s="577">
        <f xml:space="preserve"> Time!BT$106</f>
        <v>0</v>
      </c>
      <c r="BU136" s="577">
        <f xml:space="preserve"> Time!BU$106</f>
        <v>0</v>
      </c>
      <c r="BV136" s="577">
        <f xml:space="preserve"> Time!BV$106</f>
        <v>0</v>
      </c>
      <c r="BW136" s="577">
        <f xml:space="preserve"> Time!BW$106</f>
        <v>0</v>
      </c>
      <c r="BX136" s="577">
        <f xml:space="preserve"> Time!BX$106</f>
        <v>0</v>
      </c>
      <c r="BY136" s="577">
        <f xml:space="preserve"> Time!BY$106</f>
        <v>0</v>
      </c>
      <c r="BZ136" s="577">
        <f xml:space="preserve"> Time!BZ$106</f>
        <v>0</v>
      </c>
      <c r="CA136" s="577">
        <f xml:space="preserve"> Time!CA$106</f>
        <v>0</v>
      </c>
      <c r="CB136" s="577">
        <f xml:space="preserve"> Time!CB$106</f>
        <v>0</v>
      </c>
      <c r="CC136" s="577">
        <f xml:space="preserve"> Time!CC$106</f>
        <v>0</v>
      </c>
      <c r="CD136" s="577">
        <f xml:space="preserve"> Time!CD$106</f>
        <v>0</v>
      </c>
      <c r="CE136" s="577">
        <f xml:space="preserve"> Time!CE$106</f>
        <v>0</v>
      </c>
      <c r="CF136" s="577">
        <f xml:space="preserve"> Time!CF$106</f>
        <v>0</v>
      </c>
      <c r="CG136" s="577">
        <f xml:space="preserve"> Time!CG$106</f>
        <v>0</v>
      </c>
      <c r="CH136" s="577">
        <f xml:space="preserve"> Time!CH$106</f>
        <v>0</v>
      </c>
      <c r="CI136" s="577">
        <f xml:space="preserve"> Time!CI$106</f>
        <v>0</v>
      </c>
      <c r="CJ136" s="577">
        <f xml:space="preserve"> Time!CJ$106</f>
        <v>0</v>
      </c>
      <c r="CK136" s="577">
        <f xml:space="preserve"> Time!CK$106</f>
        <v>0</v>
      </c>
      <c r="CL136" s="577">
        <f xml:space="preserve"> Time!CL$106</f>
        <v>0</v>
      </c>
      <c r="CM136" s="577">
        <f xml:space="preserve"> Time!CM$106</f>
        <v>0</v>
      </c>
      <c r="CN136" s="577">
        <f xml:space="preserve"> Time!CN$106</f>
        <v>0</v>
      </c>
      <c r="CO136" s="577">
        <f xml:space="preserve"> Time!CO$106</f>
        <v>0</v>
      </c>
      <c r="CP136" s="577">
        <f xml:space="preserve"> Time!CP$106</f>
        <v>0</v>
      </c>
      <c r="CQ136" s="577">
        <f xml:space="preserve"> Time!CQ$106</f>
        <v>0</v>
      </c>
      <c r="CR136" s="577">
        <f xml:space="preserve"> Time!CR$106</f>
        <v>0</v>
      </c>
      <c r="CS136" s="577">
        <f xml:space="preserve"> Time!CS$106</f>
        <v>0</v>
      </c>
      <c r="CT136" s="577">
        <f xml:space="preserve"> Time!CT$106</f>
        <v>0</v>
      </c>
      <c r="CU136" s="577">
        <f xml:space="preserve"> Time!CU$106</f>
        <v>0</v>
      </c>
      <c r="CV136" s="577">
        <f xml:space="preserve"> Time!CV$106</f>
        <v>0</v>
      </c>
    </row>
    <row r="137" spans="1:100" outlineLevel="2" x14ac:dyDescent="0.2">
      <c r="A137" s="33"/>
      <c r="B137" s="79"/>
      <c r="C137" s="561"/>
      <c r="D137" s="60"/>
      <c r="E137" s="32" t="s">
        <v>1216</v>
      </c>
      <c r="F137" s="32"/>
      <c r="G137" s="32" t="str">
        <f xml:space="preserve"> SMU</f>
        <v>$ 000s</v>
      </c>
      <c r="H137" s="32">
        <f ca="1" xml:space="preserve"> SUM(J137:CV137)</f>
        <v>0</v>
      </c>
      <c r="I137" s="32"/>
      <c r="J137" s="32">
        <f t="shared" ref="J137:AO137" ca="1" si="207" xml:space="preserve"> -1 * MIN(J135, 0) * J136</f>
        <v>0</v>
      </c>
      <c r="K137" s="32">
        <f t="shared" ca="1" si="207"/>
        <v>0</v>
      </c>
      <c r="L137" s="32">
        <f t="shared" ca="1" si="207"/>
        <v>0</v>
      </c>
      <c r="M137" s="32">
        <f t="shared" ca="1" si="207"/>
        <v>0</v>
      </c>
      <c r="N137" s="32">
        <f t="shared" ca="1" si="207"/>
        <v>0</v>
      </c>
      <c r="O137" s="32">
        <f t="shared" ca="1" si="207"/>
        <v>0</v>
      </c>
      <c r="P137" s="32">
        <f t="shared" ca="1" si="207"/>
        <v>0</v>
      </c>
      <c r="Q137" s="32">
        <f t="shared" ca="1" si="207"/>
        <v>0</v>
      </c>
      <c r="R137" s="32">
        <f t="shared" ca="1" si="207"/>
        <v>0</v>
      </c>
      <c r="S137" s="32">
        <f t="shared" ca="1" si="207"/>
        <v>0</v>
      </c>
      <c r="T137" s="32">
        <f t="shared" ca="1" si="207"/>
        <v>0</v>
      </c>
      <c r="U137" s="32">
        <f t="shared" ca="1" si="207"/>
        <v>0</v>
      </c>
      <c r="V137" s="32">
        <f t="shared" ca="1" si="207"/>
        <v>0</v>
      </c>
      <c r="W137" s="32">
        <f t="shared" ca="1" si="207"/>
        <v>0</v>
      </c>
      <c r="X137" s="32">
        <f t="shared" ca="1" si="207"/>
        <v>0</v>
      </c>
      <c r="Y137" s="32">
        <f t="shared" ca="1" si="207"/>
        <v>0</v>
      </c>
      <c r="Z137" s="32">
        <f t="shared" ca="1" si="207"/>
        <v>0</v>
      </c>
      <c r="AA137" s="32">
        <f t="shared" ca="1" si="207"/>
        <v>0</v>
      </c>
      <c r="AB137" s="32">
        <f t="shared" ca="1" si="207"/>
        <v>0</v>
      </c>
      <c r="AC137" s="32">
        <f t="shared" ca="1" si="207"/>
        <v>0</v>
      </c>
      <c r="AD137" s="32">
        <f t="shared" ca="1" si="207"/>
        <v>0</v>
      </c>
      <c r="AE137" s="32">
        <f t="shared" ca="1" si="207"/>
        <v>0</v>
      </c>
      <c r="AF137" s="32">
        <f t="shared" ca="1" si="207"/>
        <v>0</v>
      </c>
      <c r="AG137" s="32">
        <f t="shared" ca="1" si="207"/>
        <v>0</v>
      </c>
      <c r="AH137" s="32">
        <f t="shared" ca="1" si="207"/>
        <v>0</v>
      </c>
      <c r="AI137" s="32">
        <f t="shared" ca="1" si="207"/>
        <v>0</v>
      </c>
      <c r="AJ137" s="32">
        <f t="shared" ca="1" si="207"/>
        <v>0</v>
      </c>
      <c r="AK137" s="32">
        <f t="shared" ca="1" si="207"/>
        <v>0</v>
      </c>
      <c r="AL137" s="32">
        <f t="shared" ca="1" si="207"/>
        <v>0</v>
      </c>
      <c r="AM137" s="32">
        <f t="shared" ca="1" si="207"/>
        <v>0</v>
      </c>
      <c r="AN137" s="32">
        <f t="shared" ca="1" si="207"/>
        <v>0</v>
      </c>
      <c r="AO137" s="32">
        <f t="shared" ca="1" si="207"/>
        <v>0</v>
      </c>
      <c r="AP137" s="32">
        <f t="shared" ref="AP137:BU137" ca="1" si="208" xml:space="preserve"> -1 * MIN(AP135, 0) * AP136</f>
        <v>0</v>
      </c>
      <c r="AQ137" s="32">
        <f t="shared" ca="1" si="208"/>
        <v>0</v>
      </c>
      <c r="AR137" s="32">
        <f t="shared" ca="1" si="208"/>
        <v>0</v>
      </c>
      <c r="AS137" s="32">
        <f t="shared" ca="1" si="208"/>
        <v>0</v>
      </c>
      <c r="AT137" s="32">
        <f t="shared" ca="1" si="208"/>
        <v>0</v>
      </c>
      <c r="AU137" s="32">
        <f t="shared" ca="1" si="208"/>
        <v>0</v>
      </c>
      <c r="AV137" s="32">
        <f t="shared" ca="1" si="208"/>
        <v>0</v>
      </c>
      <c r="AW137" s="32">
        <f t="shared" ca="1" si="208"/>
        <v>0</v>
      </c>
      <c r="AX137" s="32">
        <f t="shared" ca="1" si="208"/>
        <v>0</v>
      </c>
      <c r="AY137" s="32">
        <f t="shared" ca="1" si="208"/>
        <v>0</v>
      </c>
      <c r="AZ137" s="32">
        <f t="shared" ca="1" si="208"/>
        <v>0</v>
      </c>
      <c r="BA137" s="32">
        <f t="shared" ca="1" si="208"/>
        <v>0</v>
      </c>
      <c r="BB137" s="32">
        <f t="shared" ca="1" si="208"/>
        <v>0</v>
      </c>
      <c r="BC137" s="32">
        <f t="shared" ca="1" si="208"/>
        <v>0</v>
      </c>
      <c r="BD137" s="32">
        <f t="shared" ca="1" si="208"/>
        <v>0</v>
      </c>
      <c r="BE137" s="32">
        <f t="shared" ca="1" si="208"/>
        <v>0</v>
      </c>
      <c r="BF137" s="32">
        <f t="shared" ca="1" si="208"/>
        <v>0</v>
      </c>
      <c r="BG137" s="32">
        <f t="shared" ca="1" si="208"/>
        <v>0</v>
      </c>
      <c r="BH137" s="32">
        <f t="shared" ca="1" si="208"/>
        <v>0</v>
      </c>
      <c r="BI137" s="32">
        <f t="shared" ca="1" si="208"/>
        <v>0</v>
      </c>
      <c r="BJ137" s="32">
        <f t="shared" ca="1" si="208"/>
        <v>0</v>
      </c>
      <c r="BK137" s="32">
        <f t="shared" ca="1" si="208"/>
        <v>0</v>
      </c>
      <c r="BL137" s="32">
        <f t="shared" ca="1" si="208"/>
        <v>0</v>
      </c>
      <c r="BM137" s="32">
        <f t="shared" ca="1" si="208"/>
        <v>0</v>
      </c>
      <c r="BN137" s="32">
        <f t="shared" ca="1" si="208"/>
        <v>0</v>
      </c>
      <c r="BO137" s="32">
        <f t="shared" ca="1" si="208"/>
        <v>0</v>
      </c>
      <c r="BP137" s="32">
        <f t="shared" ca="1" si="208"/>
        <v>0</v>
      </c>
      <c r="BQ137" s="32">
        <f t="shared" ca="1" si="208"/>
        <v>0</v>
      </c>
      <c r="BR137" s="32">
        <f t="shared" ca="1" si="208"/>
        <v>0</v>
      </c>
      <c r="BS137" s="32">
        <f t="shared" ca="1" si="208"/>
        <v>0</v>
      </c>
      <c r="BT137" s="32">
        <f t="shared" ca="1" si="208"/>
        <v>0</v>
      </c>
      <c r="BU137" s="32">
        <f t="shared" ca="1" si="208"/>
        <v>0</v>
      </c>
      <c r="BV137" s="32">
        <f t="shared" ref="BV137:CV137" ca="1" si="209" xml:space="preserve"> -1 * MIN(BV135, 0) * BV136</f>
        <v>0</v>
      </c>
      <c r="BW137" s="32">
        <f t="shared" ca="1" si="209"/>
        <v>0</v>
      </c>
      <c r="BX137" s="32">
        <f t="shared" ca="1" si="209"/>
        <v>0</v>
      </c>
      <c r="BY137" s="32">
        <f t="shared" ca="1" si="209"/>
        <v>0</v>
      </c>
      <c r="BZ137" s="32">
        <f t="shared" ca="1" si="209"/>
        <v>0</v>
      </c>
      <c r="CA137" s="32">
        <f t="shared" ca="1" si="209"/>
        <v>0</v>
      </c>
      <c r="CB137" s="32">
        <f t="shared" ca="1" si="209"/>
        <v>0</v>
      </c>
      <c r="CC137" s="32">
        <f t="shared" ca="1" si="209"/>
        <v>0</v>
      </c>
      <c r="CD137" s="32">
        <f t="shared" ca="1" si="209"/>
        <v>0</v>
      </c>
      <c r="CE137" s="32">
        <f t="shared" ca="1" si="209"/>
        <v>0</v>
      </c>
      <c r="CF137" s="32">
        <f t="shared" ca="1" si="209"/>
        <v>0</v>
      </c>
      <c r="CG137" s="32">
        <f t="shared" ca="1" si="209"/>
        <v>0</v>
      </c>
      <c r="CH137" s="32">
        <f t="shared" ca="1" si="209"/>
        <v>0</v>
      </c>
      <c r="CI137" s="32">
        <f t="shared" ca="1" si="209"/>
        <v>0</v>
      </c>
      <c r="CJ137" s="32">
        <f t="shared" ca="1" si="209"/>
        <v>0</v>
      </c>
      <c r="CK137" s="32">
        <f t="shared" ca="1" si="209"/>
        <v>0</v>
      </c>
      <c r="CL137" s="32">
        <f t="shared" ca="1" si="209"/>
        <v>0</v>
      </c>
      <c r="CM137" s="32">
        <f t="shared" ca="1" si="209"/>
        <v>0</v>
      </c>
      <c r="CN137" s="32">
        <f t="shared" ca="1" si="209"/>
        <v>0</v>
      </c>
      <c r="CO137" s="32">
        <f t="shared" ca="1" si="209"/>
        <v>0</v>
      </c>
      <c r="CP137" s="32">
        <f t="shared" ca="1" si="209"/>
        <v>0</v>
      </c>
      <c r="CQ137" s="32">
        <f t="shared" ca="1" si="209"/>
        <v>0</v>
      </c>
      <c r="CR137" s="32">
        <f t="shared" ca="1" si="209"/>
        <v>0</v>
      </c>
      <c r="CS137" s="32">
        <f t="shared" ca="1" si="209"/>
        <v>0</v>
      </c>
      <c r="CT137" s="32">
        <f t="shared" ca="1" si="209"/>
        <v>0</v>
      </c>
      <c r="CU137" s="32">
        <f t="shared" ca="1" si="209"/>
        <v>0</v>
      </c>
      <c r="CV137" s="32">
        <f t="shared" ca="1" si="209"/>
        <v>0</v>
      </c>
    </row>
    <row r="138" spans="1:100" outlineLevel="2" x14ac:dyDescent="0.2">
      <c r="A138" s="33"/>
      <c r="B138" s="79"/>
      <c r="C138" s="561"/>
      <c r="D138" s="60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2"/>
      <c r="CO138" s="32"/>
      <c r="CP138" s="32"/>
      <c r="CQ138" s="32"/>
      <c r="CR138" s="32"/>
      <c r="CS138" s="32"/>
      <c r="CT138" s="32"/>
      <c r="CU138" s="32"/>
      <c r="CV138" s="32"/>
    </row>
    <row r="139" spans="1:100" outlineLevel="2" x14ac:dyDescent="0.2">
      <c r="A139" s="33"/>
      <c r="B139" s="79"/>
      <c r="C139" s="561"/>
      <c r="D139" s="60"/>
      <c r="E139" s="32" t="str">
        <f t="shared" ref="E139:AJ139" si="210" xml:space="preserve"> E$137</f>
        <v>DS shortfall target withdrawal - P99</v>
      </c>
      <c r="F139" s="32">
        <f t="shared" si="210"/>
        <v>0</v>
      </c>
      <c r="G139" s="32" t="str">
        <f t="shared" si="210"/>
        <v>$ 000s</v>
      </c>
      <c r="H139" s="32">
        <f t="shared" ca="1" si="210"/>
        <v>0</v>
      </c>
      <c r="I139" s="32">
        <f t="shared" si="210"/>
        <v>0</v>
      </c>
      <c r="J139" s="32">
        <f t="shared" ca="1" si="210"/>
        <v>0</v>
      </c>
      <c r="K139" s="32">
        <f t="shared" ca="1" si="210"/>
        <v>0</v>
      </c>
      <c r="L139" s="32">
        <f t="shared" ca="1" si="210"/>
        <v>0</v>
      </c>
      <c r="M139" s="32">
        <f t="shared" ca="1" si="210"/>
        <v>0</v>
      </c>
      <c r="N139" s="32">
        <f t="shared" ca="1" si="210"/>
        <v>0</v>
      </c>
      <c r="O139" s="32">
        <f t="shared" ca="1" si="210"/>
        <v>0</v>
      </c>
      <c r="P139" s="32">
        <f t="shared" ca="1" si="210"/>
        <v>0</v>
      </c>
      <c r="Q139" s="32">
        <f t="shared" ca="1" si="210"/>
        <v>0</v>
      </c>
      <c r="R139" s="32">
        <f t="shared" ca="1" si="210"/>
        <v>0</v>
      </c>
      <c r="S139" s="32">
        <f t="shared" ca="1" si="210"/>
        <v>0</v>
      </c>
      <c r="T139" s="32">
        <f t="shared" ca="1" si="210"/>
        <v>0</v>
      </c>
      <c r="U139" s="32">
        <f t="shared" ca="1" si="210"/>
        <v>0</v>
      </c>
      <c r="V139" s="32">
        <f t="shared" ca="1" si="210"/>
        <v>0</v>
      </c>
      <c r="W139" s="32">
        <f t="shared" ca="1" si="210"/>
        <v>0</v>
      </c>
      <c r="X139" s="32">
        <f t="shared" ca="1" si="210"/>
        <v>0</v>
      </c>
      <c r="Y139" s="32">
        <f t="shared" ca="1" si="210"/>
        <v>0</v>
      </c>
      <c r="Z139" s="32">
        <f t="shared" ca="1" si="210"/>
        <v>0</v>
      </c>
      <c r="AA139" s="32">
        <f t="shared" ca="1" si="210"/>
        <v>0</v>
      </c>
      <c r="AB139" s="32">
        <f t="shared" ca="1" si="210"/>
        <v>0</v>
      </c>
      <c r="AC139" s="32">
        <f t="shared" ca="1" si="210"/>
        <v>0</v>
      </c>
      <c r="AD139" s="32">
        <f t="shared" ca="1" si="210"/>
        <v>0</v>
      </c>
      <c r="AE139" s="32">
        <f t="shared" ca="1" si="210"/>
        <v>0</v>
      </c>
      <c r="AF139" s="32">
        <f t="shared" ca="1" si="210"/>
        <v>0</v>
      </c>
      <c r="AG139" s="32">
        <f t="shared" ca="1" si="210"/>
        <v>0</v>
      </c>
      <c r="AH139" s="32">
        <f t="shared" ca="1" si="210"/>
        <v>0</v>
      </c>
      <c r="AI139" s="32">
        <f t="shared" ca="1" si="210"/>
        <v>0</v>
      </c>
      <c r="AJ139" s="32">
        <f t="shared" ca="1" si="210"/>
        <v>0</v>
      </c>
      <c r="AK139" s="32">
        <f t="shared" ref="AK139:BP139" ca="1" si="211" xml:space="preserve"> AK$137</f>
        <v>0</v>
      </c>
      <c r="AL139" s="32">
        <f t="shared" ca="1" si="211"/>
        <v>0</v>
      </c>
      <c r="AM139" s="32">
        <f t="shared" ca="1" si="211"/>
        <v>0</v>
      </c>
      <c r="AN139" s="32">
        <f t="shared" ca="1" si="211"/>
        <v>0</v>
      </c>
      <c r="AO139" s="32">
        <f t="shared" ca="1" si="211"/>
        <v>0</v>
      </c>
      <c r="AP139" s="32">
        <f t="shared" ca="1" si="211"/>
        <v>0</v>
      </c>
      <c r="AQ139" s="32">
        <f t="shared" ca="1" si="211"/>
        <v>0</v>
      </c>
      <c r="AR139" s="32">
        <f t="shared" ca="1" si="211"/>
        <v>0</v>
      </c>
      <c r="AS139" s="32">
        <f t="shared" ca="1" si="211"/>
        <v>0</v>
      </c>
      <c r="AT139" s="32">
        <f t="shared" ca="1" si="211"/>
        <v>0</v>
      </c>
      <c r="AU139" s="32">
        <f t="shared" ca="1" si="211"/>
        <v>0</v>
      </c>
      <c r="AV139" s="32">
        <f t="shared" ca="1" si="211"/>
        <v>0</v>
      </c>
      <c r="AW139" s="32">
        <f t="shared" ca="1" si="211"/>
        <v>0</v>
      </c>
      <c r="AX139" s="32">
        <f t="shared" ca="1" si="211"/>
        <v>0</v>
      </c>
      <c r="AY139" s="32">
        <f t="shared" ca="1" si="211"/>
        <v>0</v>
      </c>
      <c r="AZ139" s="32">
        <f t="shared" ca="1" si="211"/>
        <v>0</v>
      </c>
      <c r="BA139" s="32">
        <f t="shared" ca="1" si="211"/>
        <v>0</v>
      </c>
      <c r="BB139" s="32">
        <f t="shared" ca="1" si="211"/>
        <v>0</v>
      </c>
      <c r="BC139" s="32">
        <f t="shared" ca="1" si="211"/>
        <v>0</v>
      </c>
      <c r="BD139" s="32">
        <f t="shared" ca="1" si="211"/>
        <v>0</v>
      </c>
      <c r="BE139" s="32">
        <f t="shared" ca="1" si="211"/>
        <v>0</v>
      </c>
      <c r="BF139" s="32">
        <f t="shared" ca="1" si="211"/>
        <v>0</v>
      </c>
      <c r="BG139" s="32">
        <f t="shared" ca="1" si="211"/>
        <v>0</v>
      </c>
      <c r="BH139" s="32">
        <f t="shared" ca="1" si="211"/>
        <v>0</v>
      </c>
      <c r="BI139" s="32">
        <f t="shared" ca="1" si="211"/>
        <v>0</v>
      </c>
      <c r="BJ139" s="32">
        <f t="shared" ca="1" si="211"/>
        <v>0</v>
      </c>
      <c r="BK139" s="32">
        <f t="shared" ca="1" si="211"/>
        <v>0</v>
      </c>
      <c r="BL139" s="32">
        <f t="shared" ca="1" si="211"/>
        <v>0</v>
      </c>
      <c r="BM139" s="32">
        <f t="shared" ca="1" si="211"/>
        <v>0</v>
      </c>
      <c r="BN139" s="32">
        <f t="shared" ca="1" si="211"/>
        <v>0</v>
      </c>
      <c r="BO139" s="32">
        <f t="shared" ca="1" si="211"/>
        <v>0</v>
      </c>
      <c r="BP139" s="32">
        <f t="shared" ca="1" si="211"/>
        <v>0</v>
      </c>
      <c r="BQ139" s="32">
        <f t="shared" ref="BQ139:CV139" ca="1" si="212" xml:space="preserve"> BQ$137</f>
        <v>0</v>
      </c>
      <c r="BR139" s="32">
        <f t="shared" ca="1" si="212"/>
        <v>0</v>
      </c>
      <c r="BS139" s="32">
        <f t="shared" ca="1" si="212"/>
        <v>0</v>
      </c>
      <c r="BT139" s="32">
        <f t="shared" ca="1" si="212"/>
        <v>0</v>
      </c>
      <c r="BU139" s="32">
        <f t="shared" ca="1" si="212"/>
        <v>0</v>
      </c>
      <c r="BV139" s="32">
        <f t="shared" ca="1" si="212"/>
        <v>0</v>
      </c>
      <c r="BW139" s="32">
        <f t="shared" ca="1" si="212"/>
        <v>0</v>
      </c>
      <c r="BX139" s="32">
        <f t="shared" ca="1" si="212"/>
        <v>0</v>
      </c>
      <c r="BY139" s="32">
        <f t="shared" ca="1" si="212"/>
        <v>0</v>
      </c>
      <c r="BZ139" s="32">
        <f t="shared" ca="1" si="212"/>
        <v>0</v>
      </c>
      <c r="CA139" s="32">
        <f t="shared" ca="1" si="212"/>
        <v>0</v>
      </c>
      <c r="CB139" s="32">
        <f t="shared" ca="1" si="212"/>
        <v>0</v>
      </c>
      <c r="CC139" s="32">
        <f t="shared" ca="1" si="212"/>
        <v>0</v>
      </c>
      <c r="CD139" s="32">
        <f t="shared" ca="1" si="212"/>
        <v>0</v>
      </c>
      <c r="CE139" s="32">
        <f t="shared" ca="1" si="212"/>
        <v>0</v>
      </c>
      <c r="CF139" s="32">
        <f t="shared" ca="1" si="212"/>
        <v>0</v>
      </c>
      <c r="CG139" s="32">
        <f t="shared" ca="1" si="212"/>
        <v>0</v>
      </c>
      <c r="CH139" s="32">
        <f t="shared" ca="1" si="212"/>
        <v>0</v>
      </c>
      <c r="CI139" s="32">
        <f t="shared" ca="1" si="212"/>
        <v>0</v>
      </c>
      <c r="CJ139" s="32">
        <f t="shared" ca="1" si="212"/>
        <v>0</v>
      </c>
      <c r="CK139" s="32">
        <f t="shared" ca="1" si="212"/>
        <v>0</v>
      </c>
      <c r="CL139" s="32">
        <f t="shared" ca="1" si="212"/>
        <v>0</v>
      </c>
      <c r="CM139" s="32">
        <f t="shared" ca="1" si="212"/>
        <v>0</v>
      </c>
      <c r="CN139" s="32">
        <f t="shared" ca="1" si="212"/>
        <v>0</v>
      </c>
      <c r="CO139" s="32">
        <f t="shared" ca="1" si="212"/>
        <v>0</v>
      </c>
      <c r="CP139" s="32">
        <f t="shared" ca="1" si="212"/>
        <v>0</v>
      </c>
      <c r="CQ139" s="32">
        <f t="shared" ca="1" si="212"/>
        <v>0</v>
      </c>
      <c r="CR139" s="32">
        <f t="shared" ca="1" si="212"/>
        <v>0</v>
      </c>
      <c r="CS139" s="32">
        <f t="shared" ca="1" si="212"/>
        <v>0</v>
      </c>
      <c r="CT139" s="32">
        <f t="shared" ca="1" si="212"/>
        <v>0</v>
      </c>
      <c r="CU139" s="32">
        <f t="shared" ca="1" si="212"/>
        <v>0</v>
      </c>
      <c r="CV139" s="32">
        <f t="shared" ca="1" si="212"/>
        <v>0</v>
      </c>
    </row>
    <row r="140" spans="1:100" outlineLevel="2" x14ac:dyDescent="0.2">
      <c r="A140" s="33"/>
      <c r="B140" s="79"/>
      <c r="C140" s="561"/>
      <c r="D140" s="60"/>
      <c r="E140" s="32" t="str">
        <f t="shared" ref="E140:AJ140" si="213" xml:space="preserve"> E$160</f>
        <v xml:space="preserve">DSRA balance - P99 BEG </v>
      </c>
      <c r="F140" s="32">
        <f t="shared" si="213"/>
        <v>0</v>
      </c>
      <c r="G140" s="32" t="str">
        <f t="shared" si="213"/>
        <v>$ 000s</v>
      </c>
      <c r="H140" s="32">
        <f t="shared" si="213"/>
        <v>0</v>
      </c>
      <c r="I140" s="32">
        <f t="shared" si="213"/>
        <v>0</v>
      </c>
      <c r="J140" s="32">
        <f t="shared" si="213"/>
        <v>0</v>
      </c>
      <c r="K140" s="32">
        <f t="shared" ca="1" si="213"/>
        <v>0</v>
      </c>
      <c r="L140" s="32">
        <f t="shared" ca="1" si="213"/>
        <v>0</v>
      </c>
      <c r="M140" s="32">
        <f t="shared" ca="1" si="213"/>
        <v>0</v>
      </c>
      <c r="N140" s="32">
        <f t="shared" ca="1" si="213"/>
        <v>0</v>
      </c>
      <c r="O140" s="32">
        <f t="shared" ca="1" si="213"/>
        <v>11233.130669939161</v>
      </c>
      <c r="P140" s="32">
        <f t="shared" ca="1" si="213"/>
        <v>11233.130669939161</v>
      </c>
      <c r="Q140" s="32">
        <f t="shared" ca="1" si="213"/>
        <v>11190.794928838903</v>
      </c>
      <c r="R140" s="32">
        <f t="shared" ca="1" si="213"/>
        <v>11147.702061098667</v>
      </c>
      <c r="S140" s="32">
        <f t="shared" ca="1" si="213"/>
        <v>11104.822479349081</v>
      </c>
      <c r="T140" s="32">
        <f t="shared" ca="1" si="213"/>
        <v>11061.172559369908</v>
      </c>
      <c r="U140" s="32">
        <f t="shared" ca="1" si="213"/>
        <v>11025.255469920612</v>
      </c>
      <c r="V140" s="32">
        <f t="shared" ca="1" si="213"/>
        <v>10973.518731652715</v>
      </c>
      <c r="W140" s="32">
        <f t="shared" ca="1" si="213"/>
        <v>10921.998577696688</v>
      </c>
      <c r="X140" s="32">
        <f t="shared" ca="1" si="213"/>
        <v>10884.71667623521</v>
      </c>
      <c r="Y140" s="32">
        <f t="shared" ca="1" si="213"/>
        <v>10840.135152344956</v>
      </c>
      <c r="Z140" s="32">
        <f t="shared" ca="1" si="213"/>
        <v>10794.742010746362</v>
      </c>
      <c r="AA140" s="32">
        <f t="shared" ca="1" si="213"/>
        <v>10749.568908064761</v>
      </c>
      <c r="AB140" s="32">
        <f t="shared" ca="1" si="213"/>
        <v>10703.56986326347</v>
      </c>
      <c r="AC140" s="32">
        <f t="shared" ca="1" si="213"/>
        <v>10665.064311187987</v>
      </c>
      <c r="AD140" s="32">
        <f t="shared" ca="1" si="213"/>
        <v>10611.174866718349</v>
      </c>
      <c r="AE140" s="32">
        <f t="shared" ca="1" si="213"/>
        <v>10557.509077694693</v>
      </c>
      <c r="AF140" s="32">
        <f t="shared" ca="1" si="213"/>
        <v>10517.531143266302</v>
      </c>
      <c r="AG140" s="32">
        <f t="shared" ca="1" si="213"/>
        <v>10470.507070020134</v>
      </c>
      <c r="AH140" s="32">
        <f t="shared" ca="1" si="213"/>
        <v>10422.612301906172</v>
      </c>
      <c r="AI140" s="32">
        <f t="shared" ca="1" si="213"/>
        <v>10374.944975120165</v>
      </c>
      <c r="AJ140" s="32">
        <f t="shared" ca="1" si="213"/>
        <v>10326.391413681304</v>
      </c>
      <c r="AK140" s="32">
        <f t="shared" ref="AK140:BP140" ca="1" si="214" xml:space="preserve"> AK$160</f>
        <v>10285.079124192071</v>
      </c>
      <c r="AL140" s="32">
        <f t="shared" ca="1" si="214"/>
        <v>10228.841010385528</v>
      </c>
      <c r="AM140" s="32">
        <f t="shared" ca="1" si="214"/>
        <v>10172.834298762504</v>
      </c>
      <c r="AN140" s="32">
        <f t="shared" ca="1" si="214"/>
        <v>10129.933079413677</v>
      </c>
      <c r="AO140" s="32">
        <f t="shared" ca="1" si="214"/>
        <v>10080.253439298456</v>
      </c>
      <c r="AP140" s="32">
        <f t="shared" ca="1" si="214"/>
        <v>10029.63904497031</v>
      </c>
      <c r="AQ140" s="32">
        <f t="shared" ca="1" si="214"/>
        <v>9979.2601971614822</v>
      </c>
      <c r="AR140" s="32">
        <f t="shared" ca="1" si="214"/>
        <v>9927.9304935534874</v>
      </c>
      <c r="AS140" s="32">
        <f t="shared" ca="1" si="214"/>
        <v>9883.5760729497488</v>
      </c>
      <c r="AT140" s="32">
        <f t="shared" ca="1" si="214"/>
        <v>9824.7779316197557</v>
      </c>
      <c r="AU140" s="32">
        <f t="shared" ca="1" si="214"/>
        <v>9766.220927027236</v>
      </c>
      <c r="AV140" s="32">
        <f t="shared" ca="1" si="214"/>
        <v>4860.2302073800211</v>
      </c>
      <c r="AW140" s="32">
        <f t="shared" ca="1" si="214"/>
        <v>-2.0082668106624624E-4</v>
      </c>
      <c r="AX140" s="32">
        <f t="shared" ca="1" si="214"/>
        <v>-2.0082668106624624E-4</v>
      </c>
      <c r="AY140" s="32">
        <f t="shared" ca="1" si="214"/>
        <v>-2.0082668106624624E-4</v>
      </c>
      <c r="AZ140" s="32">
        <f t="shared" ca="1" si="214"/>
        <v>-2.0082668106624624E-4</v>
      </c>
      <c r="BA140" s="32">
        <f t="shared" ca="1" si="214"/>
        <v>-2.0082668106624624E-4</v>
      </c>
      <c r="BB140" s="32">
        <f t="shared" ca="1" si="214"/>
        <v>-2.0082668106624624E-4</v>
      </c>
      <c r="BC140" s="32">
        <f t="shared" ca="1" si="214"/>
        <v>-2.0082668106624624E-4</v>
      </c>
      <c r="BD140" s="32">
        <f t="shared" ca="1" si="214"/>
        <v>-2.0082668106624624E-4</v>
      </c>
      <c r="BE140" s="32">
        <f t="shared" ca="1" si="214"/>
        <v>-2.0082668106624624E-4</v>
      </c>
      <c r="BF140" s="32">
        <f t="shared" ca="1" si="214"/>
        <v>-2.0082668106624624E-4</v>
      </c>
      <c r="BG140" s="32">
        <f t="shared" ca="1" si="214"/>
        <v>-2.0082668106624624E-4</v>
      </c>
      <c r="BH140" s="32">
        <f t="shared" ca="1" si="214"/>
        <v>-2.0082668106624624E-4</v>
      </c>
      <c r="BI140" s="32">
        <f t="shared" ca="1" si="214"/>
        <v>-2.0082668106624624E-4</v>
      </c>
      <c r="BJ140" s="32">
        <f t="shared" ca="1" si="214"/>
        <v>-2.0082668106624624E-4</v>
      </c>
      <c r="BK140" s="32">
        <f t="shared" ca="1" si="214"/>
        <v>-2.0082668106624624E-4</v>
      </c>
      <c r="BL140" s="32">
        <f t="shared" ca="1" si="214"/>
        <v>-2.0082668106624624E-4</v>
      </c>
      <c r="BM140" s="32">
        <f t="shared" ca="1" si="214"/>
        <v>-2.0082668106624624E-4</v>
      </c>
      <c r="BN140" s="32">
        <f t="shared" ca="1" si="214"/>
        <v>-2.0082668106624624E-4</v>
      </c>
      <c r="BO140" s="32">
        <f t="shared" ca="1" si="214"/>
        <v>-2.0082668106624624E-4</v>
      </c>
      <c r="BP140" s="32">
        <f t="shared" ca="1" si="214"/>
        <v>-2.0082668106624624E-4</v>
      </c>
      <c r="BQ140" s="32">
        <f t="shared" ref="BQ140:CV140" ca="1" si="215" xml:space="preserve"> BQ$160</f>
        <v>-2.0082668106624624E-4</v>
      </c>
      <c r="BR140" s="32">
        <f t="shared" ca="1" si="215"/>
        <v>-2.0082668106624624E-4</v>
      </c>
      <c r="BS140" s="32">
        <f t="shared" ca="1" si="215"/>
        <v>-2.0082668106624624E-4</v>
      </c>
      <c r="BT140" s="32">
        <f t="shared" ca="1" si="215"/>
        <v>-2.0082668106624624E-4</v>
      </c>
      <c r="BU140" s="32">
        <f t="shared" ca="1" si="215"/>
        <v>-2.0082668106624624E-4</v>
      </c>
      <c r="BV140" s="32">
        <f t="shared" ca="1" si="215"/>
        <v>-2.0082668106624624E-4</v>
      </c>
      <c r="BW140" s="32">
        <f t="shared" ca="1" si="215"/>
        <v>-2.0082668106624624E-4</v>
      </c>
      <c r="BX140" s="32">
        <f t="shared" ca="1" si="215"/>
        <v>-2.0082668106624624E-4</v>
      </c>
      <c r="BY140" s="32">
        <f t="shared" ca="1" si="215"/>
        <v>-2.0082668106624624E-4</v>
      </c>
      <c r="BZ140" s="32">
        <f t="shared" ca="1" si="215"/>
        <v>-2.0082668106624624E-4</v>
      </c>
      <c r="CA140" s="32">
        <f t="shared" ca="1" si="215"/>
        <v>-2.0082668106624624E-4</v>
      </c>
      <c r="CB140" s="32">
        <f t="shared" ca="1" si="215"/>
        <v>-2.0082668106624624E-4</v>
      </c>
      <c r="CC140" s="32">
        <f t="shared" ca="1" si="215"/>
        <v>-2.0082668106624624E-4</v>
      </c>
      <c r="CD140" s="32">
        <f t="shared" ca="1" si="215"/>
        <v>-2.0082668106624624E-4</v>
      </c>
      <c r="CE140" s="32">
        <f t="shared" ca="1" si="215"/>
        <v>-2.0082668106624624E-4</v>
      </c>
      <c r="CF140" s="32">
        <f t="shared" ca="1" si="215"/>
        <v>-2.0082668106624624E-4</v>
      </c>
      <c r="CG140" s="32">
        <f t="shared" ca="1" si="215"/>
        <v>-2.0082668106624624E-4</v>
      </c>
      <c r="CH140" s="32">
        <f t="shared" ca="1" si="215"/>
        <v>-2.0082668106624624E-4</v>
      </c>
      <c r="CI140" s="32">
        <f t="shared" ca="1" si="215"/>
        <v>-2.0082668106624624E-4</v>
      </c>
      <c r="CJ140" s="32">
        <f t="shared" ca="1" si="215"/>
        <v>-2.0082668106624624E-4</v>
      </c>
      <c r="CK140" s="32">
        <f t="shared" ca="1" si="215"/>
        <v>-2.0082668106624624E-4</v>
      </c>
      <c r="CL140" s="32">
        <f t="shared" ca="1" si="215"/>
        <v>-2.0082668106624624E-4</v>
      </c>
      <c r="CM140" s="32">
        <f t="shared" ca="1" si="215"/>
        <v>-2.0082668106624624E-4</v>
      </c>
      <c r="CN140" s="32">
        <f t="shared" ca="1" si="215"/>
        <v>-2.0082668106624624E-4</v>
      </c>
      <c r="CO140" s="32">
        <f t="shared" ca="1" si="215"/>
        <v>-2.0082668106624624E-4</v>
      </c>
      <c r="CP140" s="32">
        <f t="shared" ca="1" si="215"/>
        <v>-2.0082668106624624E-4</v>
      </c>
      <c r="CQ140" s="32">
        <f t="shared" ca="1" si="215"/>
        <v>-2.0082668106624624E-4</v>
      </c>
      <c r="CR140" s="32">
        <f t="shared" ca="1" si="215"/>
        <v>-2.0082668106624624E-4</v>
      </c>
      <c r="CS140" s="32">
        <f t="shared" ca="1" si="215"/>
        <v>-2.0082668106624624E-4</v>
      </c>
      <c r="CT140" s="32">
        <f t="shared" ca="1" si="215"/>
        <v>-2.0082668106624624E-4</v>
      </c>
      <c r="CU140" s="32">
        <f t="shared" ca="1" si="215"/>
        <v>-2.0082668106624624E-4</v>
      </c>
      <c r="CV140" s="32">
        <f t="shared" ca="1" si="215"/>
        <v>-2.0082668106624624E-4</v>
      </c>
    </row>
    <row r="141" spans="1:100" outlineLevel="2" x14ac:dyDescent="0.2">
      <c r="A141" s="33"/>
      <c r="B141" s="79"/>
      <c r="C141" s="561"/>
      <c r="D141" s="60"/>
      <c r="E141" s="32" t="s">
        <v>1217</v>
      </c>
      <c r="F141" s="32"/>
      <c r="G141" s="32" t="str">
        <f xml:space="preserve"> SMU</f>
        <v>$ 000s</v>
      </c>
      <c r="H141" s="32">
        <f ca="1" xml:space="preserve"> SUM(J141:CV141)</f>
        <v>-1.0442987415444804E-2</v>
      </c>
      <c r="I141" s="32"/>
      <c r="J141" s="32">
        <f t="shared" ref="J141:AO141" ca="1" si="216" xml:space="preserve"> MIN(J139:J140)</f>
        <v>0</v>
      </c>
      <c r="K141" s="32">
        <f t="shared" ca="1" si="216"/>
        <v>0</v>
      </c>
      <c r="L141" s="32">
        <f t="shared" ca="1" si="216"/>
        <v>0</v>
      </c>
      <c r="M141" s="32">
        <f t="shared" ca="1" si="216"/>
        <v>0</v>
      </c>
      <c r="N141" s="32">
        <f t="shared" ca="1" si="216"/>
        <v>0</v>
      </c>
      <c r="O141" s="32">
        <f t="shared" ca="1" si="216"/>
        <v>0</v>
      </c>
      <c r="P141" s="32">
        <f t="shared" ca="1" si="216"/>
        <v>0</v>
      </c>
      <c r="Q141" s="32">
        <f t="shared" ca="1" si="216"/>
        <v>0</v>
      </c>
      <c r="R141" s="32">
        <f t="shared" ca="1" si="216"/>
        <v>0</v>
      </c>
      <c r="S141" s="32">
        <f t="shared" ca="1" si="216"/>
        <v>0</v>
      </c>
      <c r="T141" s="32">
        <f t="shared" ca="1" si="216"/>
        <v>0</v>
      </c>
      <c r="U141" s="32">
        <f t="shared" ca="1" si="216"/>
        <v>0</v>
      </c>
      <c r="V141" s="32">
        <f t="shared" ca="1" si="216"/>
        <v>0</v>
      </c>
      <c r="W141" s="32">
        <f t="shared" ca="1" si="216"/>
        <v>0</v>
      </c>
      <c r="X141" s="32">
        <f t="shared" ca="1" si="216"/>
        <v>0</v>
      </c>
      <c r="Y141" s="32">
        <f t="shared" ca="1" si="216"/>
        <v>0</v>
      </c>
      <c r="Z141" s="32">
        <f t="shared" ca="1" si="216"/>
        <v>0</v>
      </c>
      <c r="AA141" s="32">
        <f t="shared" ca="1" si="216"/>
        <v>0</v>
      </c>
      <c r="AB141" s="32">
        <f t="shared" ca="1" si="216"/>
        <v>0</v>
      </c>
      <c r="AC141" s="32">
        <f t="shared" ca="1" si="216"/>
        <v>0</v>
      </c>
      <c r="AD141" s="32">
        <f t="shared" ca="1" si="216"/>
        <v>0</v>
      </c>
      <c r="AE141" s="32">
        <f t="shared" ca="1" si="216"/>
        <v>0</v>
      </c>
      <c r="AF141" s="32">
        <f t="shared" ca="1" si="216"/>
        <v>0</v>
      </c>
      <c r="AG141" s="32">
        <f t="shared" ca="1" si="216"/>
        <v>0</v>
      </c>
      <c r="AH141" s="32">
        <f t="shared" ca="1" si="216"/>
        <v>0</v>
      </c>
      <c r="AI141" s="32">
        <f t="shared" ca="1" si="216"/>
        <v>0</v>
      </c>
      <c r="AJ141" s="32">
        <f t="shared" ca="1" si="216"/>
        <v>0</v>
      </c>
      <c r="AK141" s="32">
        <f t="shared" ca="1" si="216"/>
        <v>0</v>
      </c>
      <c r="AL141" s="32">
        <f t="shared" ca="1" si="216"/>
        <v>0</v>
      </c>
      <c r="AM141" s="32">
        <f t="shared" ca="1" si="216"/>
        <v>0</v>
      </c>
      <c r="AN141" s="32">
        <f t="shared" ca="1" si="216"/>
        <v>0</v>
      </c>
      <c r="AO141" s="32">
        <f t="shared" ca="1" si="216"/>
        <v>0</v>
      </c>
      <c r="AP141" s="32">
        <f t="shared" ref="AP141:BU141" ca="1" si="217" xml:space="preserve"> MIN(AP139:AP140)</f>
        <v>0</v>
      </c>
      <c r="AQ141" s="32">
        <f t="shared" ca="1" si="217"/>
        <v>0</v>
      </c>
      <c r="AR141" s="32">
        <f t="shared" ca="1" si="217"/>
        <v>0</v>
      </c>
      <c r="AS141" s="32">
        <f t="shared" ca="1" si="217"/>
        <v>0</v>
      </c>
      <c r="AT141" s="32">
        <f t="shared" ca="1" si="217"/>
        <v>0</v>
      </c>
      <c r="AU141" s="32">
        <f t="shared" ca="1" si="217"/>
        <v>0</v>
      </c>
      <c r="AV141" s="32">
        <f t="shared" ca="1" si="217"/>
        <v>0</v>
      </c>
      <c r="AW141" s="32">
        <f t="shared" ca="1" si="217"/>
        <v>-2.0082668106624624E-4</v>
      </c>
      <c r="AX141" s="32">
        <f t="shared" ca="1" si="217"/>
        <v>-2.0082668106624624E-4</v>
      </c>
      <c r="AY141" s="32">
        <f t="shared" ca="1" si="217"/>
        <v>-2.0082668106624624E-4</v>
      </c>
      <c r="AZ141" s="32">
        <f t="shared" ca="1" si="217"/>
        <v>-2.0082668106624624E-4</v>
      </c>
      <c r="BA141" s="32">
        <f t="shared" ca="1" si="217"/>
        <v>-2.0082668106624624E-4</v>
      </c>
      <c r="BB141" s="32">
        <f t="shared" ca="1" si="217"/>
        <v>-2.0082668106624624E-4</v>
      </c>
      <c r="BC141" s="32">
        <f t="shared" ca="1" si="217"/>
        <v>-2.0082668106624624E-4</v>
      </c>
      <c r="BD141" s="32">
        <f t="shared" ca="1" si="217"/>
        <v>-2.0082668106624624E-4</v>
      </c>
      <c r="BE141" s="32">
        <f t="shared" ca="1" si="217"/>
        <v>-2.0082668106624624E-4</v>
      </c>
      <c r="BF141" s="32">
        <f t="shared" ca="1" si="217"/>
        <v>-2.0082668106624624E-4</v>
      </c>
      <c r="BG141" s="32">
        <f t="shared" ca="1" si="217"/>
        <v>-2.0082668106624624E-4</v>
      </c>
      <c r="BH141" s="32">
        <f t="shared" ca="1" si="217"/>
        <v>-2.0082668106624624E-4</v>
      </c>
      <c r="BI141" s="32">
        <f t="shared" ca="1" si="217"/>
        <v>-2.0082668106624624E-4</v>
      </c>
      <c r="BJ141" s="32">
        <f t="shared" ca="1" si="217"/>
        <v>-2.0082668106624624E-4</v>
      </c>
      <c r="BK141" s="32">
        <f t="shared" ca="1" si="217"/>
        <v>-2.0082668106624624E-4</v>
      </c>
      <c r="BL141" s="32">
        <f t="shared" ca="1" si="217"/>
        <v>-2.0082668106624624E-4</v>
      </c>
      <c r="BM141" s="32">
        <f t="shared" ca="1" si="217"/>
        <v>-2.0082668106624624E-4</v>
      </c>
      <c r="BN141" s="32">
        <f t="shared" ca="1" si="217"/>
        <v>-2.0082668106624624E-4</v>
      </c>
      <c r="BO141" s="32">
        <f t="shared" ca="1" si="217"/>
        <v>-2.0082668106624624E-4</v>
      </c>
      <c r="BP141" s="32">
        <f t="shared" ca="1" si="217"/>
        <v>-2.0082668106624624E-4</v>
      </c>
      <c r="BQ141" s="32">
        <f t="shared" ca="1" si="217"/>
        <v>-2.0082668106624624E-4</v>
      </c>
      <c r="BR141" s="32">
        <f t="shared" ca="1" si="217"/>
        <v>-2.0082668106624624E-4</v>
      </c>
      <c r="BS141" s="32">
        <f t="shared" ca="1" si="217"/>
        <v>-2.0082668106624624E-4</v>
      </c>
      <c r="BT141" s="32">
        <f t="shared" ca="1" si="217"/>
        <v>-2.0082668106624624E-4</v>
      </c>
      <c r="BU141" s="32">
        <f t="shared" ca="1" si="217"/>
        <v>-2.0082668106624624E-4</v>
      </c>
      <c r="BV141" s="32">
        <f t="shared" ref="BV141:CV141" ca="1" si="218" xml:space="preserve"> MIN(BV139:BV140)</f>
        <v>-2.0082668106624624E-4</v>
      </c>
      <c r="BW141" s="32">
        <f t="shared" ca="1" si="218"/>
        <v>-2.0082668106624624E-4</v>
      </c>
      <c r="BX141" s="32">
        <f t="shared" ca="1" si="218"/>
        <v>-2.0082668106624624E-4</v>
      </c>
      <c r="BY141" s="32">
        <f t="shared" ca="1" si="218"/>
        <v>-2.0082668106624624E-4</v>
      </c>
      <c r="BZ141" s="32">
        <f t="shared" ca="1" si="218"/>
        <v>-2.0082668106624624E-4</v>
      </c>
      <c r="CA141" s="32">
        <f t="shared" ca="1" si="218"/>
        <v>-2.0082668106624624E-4</v>
      </c>
      <c r="CB141" s="32">
        <f t="shared" ca="1" si="218"/>
        <v>-2.0082668106624624E-4</v>
      </c>
      <c r="CC141" s="32">
        <f t="shared" ca="1" si="218"/>
        <v>-2.0082668106624624E-4</v>
      </c>
      <c r="CD141" s="32">
        <f t="shared" ca="1" si="218"/>
        <v>-2.0082668106624624E-4</v>
      </c>
      <c r="CE141" s="32">
        <f t="shared" ca="1" si="218"/>
        <v>-2.0082668106624624E-4</v>
      </c>
      <c r="CF141" s="32">
        <f t="shared" ca="1" si="218"/>
        <v>-2.0082668106624624E-4</v>
      </c>
      <c r="CG141" s="32">
        <f t="shared" ca="1" si="218"/>
        <v>-2.0082668106624624E-4</v>
      </c>
      <c r="CH141" s="32">
        <f t="shared" ca="1" si="218"/>
        <v>-2.0082668106624624E-4</v>
      </c>
      <c r="CI141" s="32">
        <f t="shared" ca="1" si="218"/>
        <v>-2.0082668106624624E-4</v>
      </c>
      <c r="CJ141" s="32">
        <f t="shared" ca="1" si="218"/>
        <v>-2.0082668106624624E-4</v>
      </c>
      <c r="CK141" s="32">
        <f t="shared" ca="1" si="218"/>
        <v>-2.0082668106624624E-4</v>
      </c>
      <c r="CL141" s="32">
        <f t="shared" ca="1" si="218"/>
        <v>-2.0082668106624624E-4</v>
      </c>
      <c r="CM141" s="32">
        <f t="shared" ca="1" si="218"/>
        <v>-2.0082668106624624E-4</v>
      </c>
      <c r="CN141" s="32">
        <f t="shared" ca="1" si="218"/>
        <v>-2.0082668106624624E-4</v>
      </c>
      <c r="CO141" s="32">
        <f t="shared" ca="1" si="218"/>
        <v>-2.0082668106624624E-4</v>
      </c>
      <c r="CP141" s="32">
        <f t="shared" ca="1" si="218"/>
        <v>-2.0082668106624624E-4</v>
      </c>
      <c r="CQ141" s="32">
        <f t="shared" ca="1" si="218"/>
        <v>-2.0082668106624624E-4</v>
      </c>
      <c r="CR141" s="32">
        <f t="shared" ca="1" si="218"/>
        <v>-2.0082668106624624E-4</v>
      </c>
      <c r="CS141" s="32">
        <f t="shared" ca="1" si="218"/>
        <v>-2.0082668106624624E-4</v>
      </c>
      <c r="CT141" s="32">
        <f t="shared" ca="1" si="218"/>
        <v>-2.0082668106624624E-4</v>
      </c>
      <c r="CU141" s="32">
        <f t="shared" ca="1" si="218"/>
        <v>-2.0082668106624624E-4</v>
      </c>
      <c r="CV141" s="32">
        <f t="shared" ca="1" si="218"/>
        <v>-2.0082668106624624E-4</v>
      </c>
    </row>
    <row r="142" spans="1:100" outlineLevel="2" x14ac:dyDescent="0.2">
      <c r="A142" s="33"/>
      <c r="B142" s="79"/>
      <c r="C142" s="561"/>
      <c r="D142" s="60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2"/>
      <c r="BO142" s="32"/>
      <c r="BP142" s="32"/>
      <c r="BQ142" s="32"/>
      <c r="BR142" s="32"/>
      <c r="BS142" s="32"/>
      <c r="BT142" s="32"/>
      <c r="BU142" s="32"/>
      <c r="BV142" s="32"/>
      <c r="BW142" s="32"/>
      <c r="BX142" s="32"/>
      <c r="BY142" s="32"/>
      <c r="BZ142" s="32"/>
      <c r="CA142" s="32"/>
      <c r="CB142" s="32"/>
      <c r="CC142" s="32"/>
      <c r="CD142" s="32"/>
      <c r="CE142" s="32"/>
      <c r="CF142" s="32"/>
      <c r="CG142" s="32"/>
      <c r="CH142" s="32"/>
      <c r="CI142" s="32"/>
      <c r="CJ142" s="32"/>
      <c r="CK142" s="32"/>
      <c r="CL142" s="32"/>
      <c r="CM142" s="32"/>
      <c r="CN142" s="32"/>
      <c r="CO142" s="32"/>
      <c r="CP142" s="32"/>
      <c r="CQ142" s="32"/>
      <c r="CR142" s="32"/>
      <c r="CS142" s="32"/>
      <c r="CT142" s="32"/>
      <c r="CU142" s="32"/>
      <c r="CV142" s="32"/>
    </row>
    <row r="143" spans="1:100" outlineLevel="2" x14ac:dyDescent="0.2">
      <c r="A143" s="33"/>
      <c r="B143" s="79"/>
      <c r="C143" s="561"/>
      <c r="D143" s="60"/>
      <c r="E143" s="32" t="str">
        <f t="shared" ref="E143:AJ143" si="219" xml:space="preserve"> E$133</f>
        <v>Cash available for DSRA - P99</v>
      </c>
      <c r="F143" s="32">
        <f t="shared" si="219"/>
        <v>0</v>
      </c>
      <c r="G143" s="32" t="str">
        <f t="shared" si="219"/>
        <v>$ 000s</v>
      </c>
      <c r="H143" s="32">
        <f t="shared" si="219"/>
        <v>0</v>
      </c>
      <c r="I143" s="32">
        <f t="shared" si="219"/>
        <v>0</v>
      </c>
      <c r="J143" s="32">
        <f t="shared" ca="1" si="219"/>
        <v>0</v>
      </c>
      <c r="K143" s="32">
        <f t="shared" ca="1" si="219"/>
        <v>0</v>
      </c>
      <c r="L143" s="32">
        <f t="shared" ca="1" si="219"/>
        <v>0</v>
      </c>
      <c r="M143" s="32">
        <f t="shared" ca="1" si="219"/>
        <v>0</v>
      </c>
      <c r="N143" s="32">
        <f t="shared" ca="1" si="219"/>
        <v>0</v>
      </c>
      <c r="O143" s="32">
        <f t="shared" ca="1" si="219"/>
        <v>1333.6976205565661</v>
      </c>
      <c r="P143" s="32">
        <f t="shared" ca="1" si="219"/>
        <v>810.79468169697248</v>
      </c>
      <c r="Q143" s="32">
        <f t="shared" ca="1" si="219"/>
        <v>747.10124135188926</v>
      </c>
      <c r="R143" s="32">
        <f t="shared" ca="1" si="219"/>
        <v>782.47871042725274</v>
      </c>
      <c r="S143" s="32">
        <f t="shared" ca="1" si="219"/>
        <v>718.65796649657022</v>
      </c>
      <c r="T143" s="32">
        <f t="shared" ca="1" si="219"/>
        <v>753.68370064888768</v>
      </c>
      <c r="U143" s="32">
        <f t="shared" ca="1" si="219"/>
        <v>689.73083641552148</v>
      </c>
      <c r="V143" s="32">
        <f t="shared" ca="1" si="219"/>
        <v>709.36403975043686</v>
      </c>
      <c r="W143" s="32">
        <f t="shared" ca="1" si="219"/>
        <v>659.38136732964995</v>
      </c>
      <c r="X143" s="32">
        <f t="shared" ca="1" si="219"/>
        <v>694.61723480350702</v>
      </c>
      <c r="Y143" s="32">
        <f t="shared" ca="1" si="219"/>
        <v>630.38530926563726</v>
      </c>
      <c r="Z143" s="32">
        <f t="shared" ca="1" si="219"/>
        <v>664.32561702168641</v>
      </c>
      <c r="AA143" s="32">
        <f t="shared" ca="1" si="219"/>
        <v>599.94656733875672</v>
      </c>
      <c r="AB143" s="32">
        <f t="shared" ca="1" si="219"/>
        <v>633.51463784352381</v>
      </c>
      <c r="AC143" s="32">
        <f t="shared" ca="1" si="219"/>
        <v>568.98326768453808</v>
      </c>
      <c r="AD143" s="32">
        <f t="shared" ca="1" si="219"/>
        <v>587.63037175696809</v>
      </c>
      <c r="AE143" s="32">
        <f t="shared" ca="1" si="219"/>
        <v>536.72108100653895</v>
      </c>
      <c r="AF143" s="32">
        <f t="shared" ca="1" si="219"/>
        <v>570.29201262744027</v>
      </c>
      <c r="AG143" s="32">
        <f t="shared" ca="1" si="219"/>
        <v>505.44002200324394</v>
      </c>
      <c r="AH143" s="32">
        <f t="shared" ca="1" si="219"/>
        <v>537.85854486696007</v>
      </c>
      <c r="AI143" s="32">
        <f t="shared" ca="1" si="219"/>
        <v>472.83804239376332</v>
      </c>
      <c r="AJ143" s="32">
        <f t="shared" ca="1" si="219"/>
        <v>504.86205342385438</v>
      </c>
      <c r="AK143" s="32">
        <f t="shared" ref="AK143:BP143" ca="1" si="220" xml:space="preserve"> AK$133</f>
        <v>439.66745248592451</v>
      </c>
      <c r="AL143" s="32">
        <f t="shared" ca="1" si="220"/>
        <v>457.2673444383654</v>
      </c>
      <c r="AM143" s="32">
        <f t="shared" ca="1" si="220"/>
        <v>405.32971789899966</v>
      </c>
      <c r="AN143" s="32">
        <f t="shared" ca="1" si="220"/>
        <v>437.13395083402975</v>
      </c>
      <c r="AO143" s="32">
        <f t="shared" ca="1" si="220"/>
        <v>371.57390085271618</v>
      </c>
      <c r="AP143" s="32">
        <f t="shared" ca="1" si="220"/>
        <v>402.37871008177535</v>
      </c>
      <c r="AQ143" s="32">
        <f t="shared" ca="1" si="220"/>
        <v>336.62709613009611</v>
      </c>
      <c r="AR143" s="32">
        <f t="shared" ca="1" si="220"/>
        <v>367.01320016047248</v>
      </c>
      <c r="AS143" s="32">
        <f t="shared" ca="1" si="220"/>
        <v>301.06250454664041</v>
      </c>
      <c r="AT143" s="32">
        <f t="shared" ca="1" si="220"/>
        <v>317.54834948217285</v>
      </c>
      <c r="AU143" s="32">
        <f t="shared" ca="1" si="220"/>
        <v>264.47150224174402</v>
      </c>
      <c r="AV143" s="32">
        <f t="shared" ca="1" si="220"/>
        <v>294.39554076380955</v>
      </c>
      <c r="AW143" s="32">
        <f t="shared" ca="1" si="220"/>
        <v>9947.8757418349815</v>
      </c>
      <c r="AX143" s="32">
        <f t="shared" ca="1" si="220"/>
        <v>9872.4529188595952</v>
      </c>
      <c r="AY143" s="32">
        <f t="shared" ca="1" si="220"/>
        <v>9803.2474683903492</v>
      </c>
      <c r="AZ143" s="32">
        <f t="shared" ca="1" si="220"/>
        <v>9727.8684938216247</v>
      </c>
      <c r="BA143" s="32">
        <f t="shared" ca="1" si="220"/>
        <v>9656.395179685629</v>
      </c>
      <c r="BB143" s="32">
        <f t="shared" ca="1" si="220"/>
        <v>12057.385843762037</v>
      </c>
      <c r="BC143" s="32">
        <f t="shared" ca="1" si="220"/>
        <v>0</v>
      </c>
      <c r="BD143" s="32">
        <f t="shared" ca="1" si="220"/>
        <v>0</v>
      </c>
      <c r="BE143" s="32">
        <f t="shared" ca="1" si="220"/>
        <v>0</v>
      </c>
      <c r="BF143" s="32">
        <f t="shared" ca="1" si="220"/>
        <v>0</v>
      </c>
      <c r="BG143" s="32">
        <f t="shared" ca="1" si="220"/>
        <v>0</v>
      </c>
      <c r="BH143" s="32">
        <f t="shared" ca="1" si="220"/>
        <v>0</v>
      </c>
      <c r="BI143" s="32">
        <f t="shared" ca="1" si="220"/>
        <v>0</v>
      </c>
      <c r="BJ143" s="32">
        <f t="shared" ca="1" si="220"/>
        <v>0</v>
      </c>
      <c r="BK143" s="32">
        <f t="shared" ca="1" si="220"/>
        <v>0</v>
      </c>
      <c r="BL143" s="32">
        <f t="shared" ca="1" si="220"/>
        <v>0</v>
      </c>
      <c r="BM143" s="32">
        <f t="shared" ca="1" si="220"/>
        <v>0</v>
      </c>
      <c r="BN143" s="32">
        <f t="shared" ca="1" si="220"/>
        <v>0</v>
      </c>
      <c r="BO143" s="32">
        <f t="shared" ca="1" si="220"/>
        <v>0</v>
      </c>
      <c r="BP143" s="32">
        <f t="shared" ca="1" si="220"/>
        <v>0</v>
      </c>
      <c r="BQ143" s="32">
        <f t="shared" ref="BQ143:CV143" ca="1" si="221" xml:space="preserve"> BQ$133</f>
        <v>0</v>
      </c>
      <c r="BR143" s="32">
        <f t="shared" ca="1" si="221"/>
        <v>0</v>
      </c>
      <c r="BS143" s="32">
        <f t="shared" ca="1" si="221"/>
        <v>0</v>
      </c>
      <c r="BT143" s="32">
        <f t="shared" ca="1" si="221"/>
        <v>0</v>
      </c>
      <c r="BU143" s="32">
        <f t="shared" ca="1" si="221"/>
        <v>0</v>
      </c>
      <c r="BV143" s="32">
        <f t="shared" ca="1" si="221"/>
        <v>0</v>
      </c>
      <c r="BW143" s="32">
        <f t="shared" ca="1" si="221"/>
        <v>0</v>
      </c>
      <c r="BX143" s="32">
        <f t="shared" ca="1" si="221"/>
        <v>0</v>
      </c>
      <c r="BY143" s="32">
        <f t="shared" ca="1" si="221"/>
        <v>0</v>
      </c>
      <c r="BZ143" s="32">
        <f t="shared" ca="1" si="221"/>
        <v>0</v>
      </c>
      <c r="CA143" s="32">
        <f t="shared" ca="1" si="221"/>
        <v>0</v>
      </c>
      <c r="CB143" s="32">
        <f t="shared" ca="1" si="221"/>
        <v>0</v>
      </c>
      <c r="CC143" s="32">
        <f t="shared" ca="1" si="221"/>
        <v>0</v>
      </c>
      <c r="CD143" s="32">
        <f t="shared" ca="1" si="221"/>
        <v>0</v>
      </c>
      <c r="CE143" s="32">
        <f t="shared" ca="1" si="221"/>
        <v>0</v>
      </c>
      <c r="CF143" s="32">
        <f t="shared" ca="1" si="221"/>
        <v>0</v>
      </c>
      <c r="CG143" s="32">
        <f t="shared" ca="1" si="221"/>
        <v>0</v>
      </c>
      <c r="CH143" s="32">
        <f t="shared" ca="1" si="221"/>
        <v>0</v>
      </c>
      <c r="CI143" s="32">
        <f t="shared" ca="1" si="221"/>
        <v>0</v>
      </c>
      <c r="CJ143" s="32">
        <f t="shared" ca="1" si="221"/>
        <v>0</v>
      </c>
      <c r="CK143" s="32">
        <f t="shared" ca="1" si="221"/>
        <v>0</v>
      </c>
      <c r="CL143" s="32">
        <f t="shared" ca="1" si="221"/>
        <v>0</v>
      </c>
      <c r="CM143" s="32">
        <f t="shared" ca="1" si="221"/>
        <v>0</v>
      </c>
      <c r="CN143" s="32">
        <f t="shared" ca="1" si="221"/>
        <v>0</v>
      </c>
      <c r="CO143" s="32">
        <f t="shared" ca="1" si="221"/>
        <v>0</v>
      </c>
      <c r="CP143" s="32">
        <f t="shared" ca="1" si="221"/>
        <v>0</v>
      </c>
      <c r="CQ143" s="32">
        <f t="shared" ca="1" si="221"/>
        <v>0</v>
      </c>
      <c r="CR143" s="32">
        <f t="shared" ca="1" si="221"/>
        <v>0</v>
      </c>
      <c r="CS143" s="32">
        <f t="shared" ca="1" si="221"/>
        <v>0</v>
      </c>
      <c r="CT143" s="32">
        <f t="shared" ca="1" si="221"/>
        <v>0</v>
      </c>
      <c r="CU143" s="32">
        <f t="shared" ca="1" si="221"/>
        <v>0</v>
      </c>
      <c r="CV143" s="32">
        <f t="shared" ca="1" si="221"/>
        <v>0</v>
      </c>
    </row>
    <row r="144" spans="1:100" outlineLevel="2" x14ac:dyDescent="0.2">
      <c r="A144" s="33"/>
      <c r="B144" s="79"/>
      <c r="C144" s="561"/>
      <c r="D144" s="60"/>
      <c r="E144" s="32" t="str">
        <f t="shared" ref="E144:AJ144" si="222" xml:space="preserve"> E$124</f>
        <v>Target deposit - P99</v>
      </c>
      <c r="F144" s="32">
        <f t="shared" si="222"/>
        <v>0</v>
      </c>
      <c r="G144" s="32" t="str">
        <f t="shared" si="222"/>
        <v>$ 000s</v>
      </c>
      <c r="H144" s="32">
        <f t="shared" ca="1" si="222"/>
        <v>0</v>
      </c>
      <c r="I144" s="32">
        <f t="shared" si="222"/>
        <v>0</v>
      </c>
      <c r="J144" s="32">
        <f t="shared" si="222"/>
        <v>0</v>
      </c>
      <c r="K144" s="32">
        <f t="shared" ca="1" si="222"/>
        <v>0</v>
      </c>
      <c r="L144" s="32">
        <f t="shared" ca="1" si="222"/>
        <v>0</v>
      </c>
      <c r="M144" s="32">
        <f t="shared" ca="1" si="222"/>
        <v>0</v>
      </c>
      <c r="N144" s="32">
        <f t="shared" ca="1" si="222"/>
        <v>0</v>
      </c>
      <c r="O144" s="32">
        <f t="shared" ca="1" si="222"/>
        <v>0</v>
      </c>
      <c r="P144" s="32">
        <f t="shared" ca="1" si="222"/>
        <v>0</v>
      </c>
      <c r="Q144" s="32">
        <f t="shared" ca="1" si="222"/>
        <v>0</v>
      </c>
      <c r="R144" s="32">
        <f t="shared" ca="1" si="222"/>
        <v>0</v>
      </c>
      <c r="S144" s="32">
        <f t="shared" ca="1" si="222"/>
        <v>0</v>
      </c>
      <c r="T144" s="32">
        <f t="shared" ca="1" si="222"/>
        <v>0</v>
      </c>
      <c r="U144" s="32">
        <f t="shared" ca="1" si="222"/>
        <v>0</v>
      </c>
      <c r="V144" s="32">
        <f t="shared" ca="1" si="222"/>
        <v>0</v>
      </c>
      <c r="W144" s="32">
        <f t="shared" ca="1" si="222"/>
        <v>0</v>
      </c>
      <c r="X144" s="32">
        <f t="shared" ca="1" si="222"/>
        <v>0</v>
      </c>
      <c r="Y144" s="32">
        <f t="shared" ca="1" si="222"/>
        <v>0</v>
      </c>
      <c r="Z144" s="32">
        <f t="shared" ca="1" si="222"/>
        <v>0</v>
      </c>
      <c r="AA144" s="32">
        <f t="shared" ca="1" si="222"/>
        <v>0</v>
      </c>
      <c r="AB144" s="32">
        <f t="shared" ca="1" si="222"/>
        <v>0</v>
      </c>
      <c r="AC144" s="32">
        <f t="shared" ca="1" si="222"/>
        <v>0</v>
      </c>
      <c r="AD144" s="32">
        <f t="shared" ca="1" si="222"/>
        <v>0</v>
      </c>
      <c r="AE144" s="32">
        <f t="shared" ca="1" si="222"/>
        <v>0</v>
      </c>
      <c r="AF144" s="32">
        <f t="shared" ca="1" si="222"/>
        <v>0</v>
      </c>
      <c r="AG144" s="32">
        <f t="shared" ca="1" si="222"/>
        <v>0</v>
      </c>
      <c r="AH144" s="32">
        <f t="shared" ca="1" si="222"/>
        <v>0</v>
      </c>
      <c r="AI144" s="32">
        <f t="shared" ca="1" si="222"/>
        <v>0</v>
      </c>
      <c r="AJ144" s="32">
        <f t="shared" ca="1" si="222"/>
        <v>0</v>
      </c>
      <c r="AK144" s="32">
        <f t="shared" ref="AK144:BP144" ca="1" si="223" xml:space="preserve"> AK$124</f>
        <v>0</v>
      </c>
      <c r="AL144" s="32">
        <f t="shared" ca="1" si="223"/>
        <v>0</v>
      </c>
      <c r="AM144" s="32">
        <f t="shared" ca="1" si="223"/>
        <v>0</v>
      </c>
      <c r="AN144" s="32">
        <f t="shared" ca="1" si="223"/>
        <v>0</v>
      </c>
      <c r="AO144" s="32">
        <f t="shared" ca="1" si="223"/>
        <v>0</v>
      </c>
      <c r="AP144" s="32">
        <f t="shared" ca="1" si="223"/>
        <v>0</v>
      </c>
      <c r="AQ144" s="32">
        <f t="shared" ca="1" si="223"/>
        <v>0</v>
      </c>
      <c r="AR144" s="32">
        <f t="shared" ca="1" si="223"/>
        <v>0</v>
      </c>
      <c r="AS144" s="32">
        <f t="shared" ca="1" si="223"/>
        <v>0</v>
      </c>
      <c r="AT144" s="32">
        <f t="shared" ca="1" si="223"/>
        <v>0</v>
      </c>
      <c r="AU144" s="32">
        <f t="shared" ca="1" si="223"/>
        <v>0</v>
      </c>
      <c r="AV144" s="32">
        <f t="shared" ca="1" si="223"/>
        <v>0</v>
      </c>
      <c r="AW144" s="32">
        <f t="shared" ca="1" si="223"/>
        <v>0</v>
      </c>
      <c r="AX144" s="32">
        <f t="shared" ca="1" si="223"/>
        <v>0</v>
      </c>
      <c r="AY144" s="32">
        <f t="shared" ca="1" si="223"/>
        <v>0</v>
      </c>
      <c r="AZ144" s="32">
        <f t="shared" ca="1" si="223"/>
        <v>0</v>
      </c>
      <c r="BA144" s="32">
        <f t="shared" ca="1" si="223"/>
        <v>0</v>
      </c>
      <c r="BB144" s="32">
        <f t="shared" ca="1" si="223"/>
        <v>0</v>
      </c>
      <c r="BC144" s="32">
        <f t="shared" ca="1" si="223"/>
        <v>0</v>
      </c>
      <c r="BD144" s="32">
        <f t="shared" ca="1" si="223"/>
        <v>0</v>
      </c>
      <c r="BE144" s="32">
        <f t="shared" ca="1" si="223"/>
        <v>0</v>
      </c>
      <c r="BF144" s="32">
        <f t="shared" ca="1" si="223"/>
        <v>0</v>
      </c>
      <c r="BG144" s="32">
        <f t="shared" ca="1" si="223"/>
        <v>0</v>
      </c>
      <c r="BH144" s="32">
        <f t="shared" ca="1" si="223"/>
        <v>0</v>
      </c>
      <c r="BI144" s="32">
        <f t="shared" ca="1" si="223"/>
        <v>0</v>
      </c>
      <c r="BJ144" s="32">
        <f t="shared" ca="1" si="223"/>
        <v>0</v>
      </c>
      <c r="BK144" s="32">
        <f t="shared" ca="1" si="223"/>
        <v>0</v>
      </c>
      <c r="BL144" s="32">
        <f t="shared" ca="1" si="223"/>
        <v>0</v>
      </c>
      <c r="BM144" s="32">
        <f t="shared" ca="1" si="223"/>
        <v>0</v>
      </c>
      <c r="BN144" s="32">
        <f t="shared" ca="1" si="223"/>
        <v>0</v>
      </c>
      <c r="BO144" s="32">
        <f t="shared" ca="1" si="223"/>
        <v>0</v>
      </c>
      <c r="BP144" s="32">
        <f t="shared" ca="1" si="223"/>
        <v>0</v>
      </c>
      <c r="BQ144" s="32">
        <f t="shared" ref="BQ144:CV144" ca="1" si="224" xml:space="preserve"> BQ$124</f>
        <v>0</v>
      </c>
      <c r="BR144" s="32">
        <f t="shared" ca="1" si="224"/>
        <v>0</v>
      </c>
      <c r="BS144" s="32">
        <f t="shared" ca="1" si="224"/>
        <v>0</v>
      </c>
      <c r="BT144" s="32">
        <f t="shared" ca="1" si="224"/>
        <v>0</v>
      </c>
      <c r="BU144" s="32">
        <f t="shared" ca="1" si="224"/>
        <v>0</v>
      </c>
      <c r="BV144" s="32">
        <f t="shared" ca="1" si="224"/>
        <v>0</v>
      </c>
      <c r="BW144" s="32">
        <f t="shared" ca="1" si="224"/>
        <v>0</v>
      </c>
      <c r="BX144" s="32">
        <f t="shared" ca="1" si="224"/>
        <v>0</v>
      </c>
      <c r="BY144" s="32">
        <f t="shared" ca="1" si="224"/>
        <v>0</v>
      </c>
      <c r="BZ144" s="32">
        <f t="shared" ca="1" si="224"/>
        <v>0</v>
      </c>
      <c r="CA144" s="32">
        <f t="shared" ca="1" si="224"/>
        <v>0</v>
      </c>
      <c r="CB144" s="32">
        <f t="shared" ca="1" si="224"/>
        <v>0</v>
      </c>
      <c r="CC144" s="32">
        <f t="shared" ca="1" si="224"/>
        <v>0</v>
      </c>
      <c r="CD144" s="32">
        <f t="shared" ca="1" si="224"/>
        <v>0</v>
      </c>
      <c r="CE144" s="32">
        <f t="shared" ca="1" si="224"/>
        <v>0</v>
      </c>
      <c r="CF144" s="32">
        <f t="shared" ca="1" si="224"/>
        <v>0</v>
      </c>
      <c r="CG144" s="32">
        <f t="shared" ca="1" si="224"/>
        <v>0</v>
      </c>
      <c r="CH144" s="32">
        <f t="shared" ca="1" si="224"/>
        <v>0</v>
      </c>
      <c r="CI144" s="32">
        <f t="shared" ca="1" si="224"/>
        <v>0</v>
      </c>
      <c r="CJ144" s="32">
        <f t="shared" ca="1" si="224"/>
        <v>0</v>
      </c>
      <c r="CK144" s="32">
        <f t="shared" ca="1" si="224"/>
        <v>0</v>
      </c>
      <c r="CL144" s="32">
        <f t="shared" ca="1" si="224"/>
        <v>0</v>
      </c>
      <c r="CM144" s="32">
        <f t="shared" ca="1" si="224"/>
        <v>0</v>
      </c>
      <c r="CN144" s="32">
        <f t="shared" ca="1" si="224"/>
        <v>0</v>
      </c>
      <c r="CO144" s="32">
        <f t="shared" ca="1" si="224"/>
        <v>0</v>
      </c>
      <c r="CP144" s="32">
        <f t="shared" ca="1" si="224"/>
        <v>0</v>
      </c>
      <c r="CQ144" s="32">
        <f t="shared" ca="1" si="224"/>
        <v>0</v>
      </c>
      <c r="CR144" s="32">
        <f t="shared" ca="1" si="224"/>
        <v>0</v>
      </c>
      <c r="CS144" s="32">
        <f t="shared" ca="1" si="224"/>
        <v>0</v>
      </c>
      <c r="CT144" s="32">
        <f t="shared" ca="1" si="224"/>
        <v>0</v>
      </c>
      <c r="CU144" s="32">
        <f t="shared" ca="1" si="224"/>
        <v>0</v>
      </c>
      <c r="CV144" s="32">
        <f t="shared" ca="1" si="224"/>
        <v>0</v>
      </c>
    </row>
    <row r="145" spans="1:100" s="191" customFormat="1" outlineLevel="2" x14ac:dyDescent="0.2">
      <c r="A145" s="405"/>
      <c r="B145" s="431"/>
      <c r="C145" s="564"/>
      <c r="D145" s="565"/>
      <c r="E145" s="191" t="s">
        <v>1218</v>
      </c>
      <c r="G145" s="191" t="str">
        <f xml:space="preserve"> SMU</f>
        <v>$ 000s</v>
      </c>
      <c r="H145" s="191">
        <f ca="1" xml:space="preserve"> SUM(J145:CV145)</f>
        <v>0</v>
      </c>
      <c r="J145" s="191">
        <f t="shared" ref="J145:AO145" ca="1" si="225" xml:space="preserve"> MIN(J143:J144)</f>
        <v>0</v>
      </c>
      <c r="K145" s="191">
        <f t="shared" ca="1" si="225"/>
        <v>0</v>
      </c>
      <c r="L145" s="191">
        <f t="shared" ca="1" si="225"/>
        <v>0</v>
      </c>
      <c r="M145" s="191">
        <f t="shared" ca="1" si="225"/>
        <v>0</v>
      </c>
      <c r="N145" s="191">
        <f t="shared" ca="1" si="225"/>
        <v>0</v>
      </c>
      <c r="O145" s="191">
        <f t="shared" ca="1" si="225"/>
        <v>0</v>
      </c>
      <c r="P145" s="191">
        <f t="shared" ca="1" si="225"/>
        <v>0</v>
      </c>
      <c r="Q145" s="191">
        <f t="shared" ca="1" si="225"/>
        <v>0</v>
      </c>
      <c r="R145" s="191">
        <f t="shared" ca="1" si="225"/>
        <v>0</v>
      </c>
      <c r="S145" s="191">
        <f t="shared" ca="1" si="225"/>
        <v>0</v>
      </c>
      <c r="T145" s="191">
        <f t="shared" ca="1" si="225"/>
        <v>0</v>
      </c>
      <c r="U145" s="191">
        <f t="shared" ca="1" si="225"/>
        <v>0</v>
      </c>
      <c r="V145" s="191">
        <f t="shared" ca="1" si="225"/>
        <v>0</v>
      </c>
      <c r="W145" s="191">
        <f t="shared" ca="1" si="225"/>
        <v>0</v>
      </c>
      <c r="X145" s="191">
        <f t="shared" ca="1" si="225"/>
        <v>0</v>
      </c>
      <c r="Y145" s="191">
        <f t="shared" ca="1" si="225"/>
        <v>0</v>
      </c>
      <c r="Z145" s="191">
        <f t="shared" ca="1" si="225"/>
        <v>0</v>
      </c>
      <c r="AA145" s="191">
        <f t="shared" ca="1" si="225"/>
        <v>0</v>
      </c>
      <c r="AB145" s="191">
        <f t="shared" ca="1" si="225"/>
        <v>0</v>
      </c>
      <c r="AC145" s="191">
        <f t="shared" ca="1" si="225"/>
        <v>0</v>
      </c>
      <c r="AD145" s="191">
        <f t="shared" ca="1" si="225"/>
        <v>0</v>
      </c>
      <c r="AE145" s="191">
        <f t="shared" ca="1" si="225"/>
        <v>0</v>
      </c>
      <c r="AF145" s="191">
        <f t="shared" ca="1" si="225"/>
        <v>0</v>
      </c>
      <c r="AG145" s="191">
        <f t="shared" ca="1" si="225"/>
        <v>0</v>
      </c>
      <c r="AH145" s="191">
        <f t="shared" ca="1" si="225"/>
        <v>0</v>
      </c>
      <c r="AI145" s="191">
        <f t="shared" ca="1" si="225"/>
        <v>0</v>
      </c>
      <c r="AJ145" s="191">
        <f t="shared" ca="1" si="225"/>
        <v>0</v>
      </c>
      <c r="AK145" s="191">
        <f t="shared" ca="1" si="225"/>
        <v>0</v>
      </c>
      <c r="AL145" s="191">
        <f t="shared" ca="1" si="225"/>
        <v>0</v>
      </c>
      <c r="AM145" s="191">
        <f t="shared" ca="1" si="225"/>
        <v>0</v>
      </c>
      <c r="AN145" s="191">
        <f t="shared" ca="1" si="225"/>
        <v>0</v>
      </c>
      <c r="AO145" s="191">
        <f t="shared" ca="1" si="225"/>
        <v>0</v>
      </c>
      <c r="AP145" s="191">
        <f t="shared" ref="AP145:BU145" ca="1" si="226" xml:space="preserve"> MIN(AP143:AP144)</f>
        <v>0</v>
      </c>
      <c r="AQ145" s="191">
        <f t="shared" ca="1" si="226"/>
        <v>0</v>
      </c>
      <c r="AR145" s="191">
        <f t="shared" ca="1" si="226"/>
        <v>0</v>
      </c>
      <c r="AS145" s="191">
        <f t="shared" ca="1" si="226"/>
        <v>0</v>
      </c>
      <c r="AT145" s="191">
        <f t="shared" ca="1" si="226"/>
        <v>0</v>
      </c>
      <c r="AU145" s="191">
        <f t="shared" ca="1" si="226"/>
        <v>0</v>
      </c>
      <c r="AV145" s="191">
        <f t="shared" ca="1" si="226"/>
        <v>0</v>
      </c>
      <c r="AW145" s="191">
        <f t="shared" ca="1" si="226"/>
        <v>0</v>
      </c>
      <c r="AX145" s="191">
        <f t="shared" ca="1" si="226"/>
        <v>0</v>
      </c>
      <c r="AY145" s="191">
        <f t="shared" ca="1" si="226"/>
        <v>0</v>
      </c>
      <c r="AZ145" s="191">
        <f t="shared" ca="1" si="226"/>
        <v>0</v>
      </c>
      <c r="BA145" s="191">
        <f t="shared" ca="1" si="226"/>
        <v>0</v>
      </c>
      <c r="BB145" s="191">
        <f t="shared" ca="1" si="226"/>
        <v>0</v>
      </c>
      <c r="BC145" s="191">
        <f t="shared" ca="1" si="226"/>
        <v>0</v>
      </c>
      <c r="BD145" s="191">
        <f t="shared" ca="1" si="226"/>
        <v>0</v>
      </c>
      <c r="BE145" s="191">
        <f t="shared" ca="1" si="226"/>
        <v>0</v>
      </c>
      <c r="BF145" s="191">
        <f t="shared" ca="1" si="226"/>
        <v>0</v>
      </c>
      <c r="BG145" s="191">
        <f t="shared" ca="1" si="226"/>
        <v>0</v>
      </c>
      <c r="BH145" s="191">
        <f t="shared" ca="1" si="226"/>
        <v>0</v>
      </c>
      <c r="BI145" s="191">
        <f t="shared" ca="1" si="226"/>
        <v>0</v>
      </c>
      <c r="BJ145" s="191">
        <f t="shared" ca="1" si="226"/>
        <v>0</v>
      </c>
      <c r="BK145" s="191">
        <f t="shared" ca="1" si="226"/>
        <v>0</v>
      </c>
      <c r="BL145" s="191">
        <f t="shared" ca="1" si="226"/>
        <v>0</v>
      </c>
      <c r="BM145" s="191">
        <f t="shared" ca="1" si="226"/>
        <v>0</v>
      </c>
      <c r="BN145" s="191">
        <f t="shared" ca="1" si="226"/>
        <v>0</v>
      </c>
      <c r="BO145" s="191">
        <f t="shared" ca="1" si="226"/>
        <v>0</v>
      </c>
      <c r="BP145" s="191">
        <f t="shared" ca="1" si="226"/>
        <v>0</v>
      </c>
      <c r="BQ145" s="191">
        <f t="shared" ca="1" si="226"/>
        <v>0</v>
      </c>
      <c r="BR145" s="191">
        <f t="shared" ca="1" si="226"/>
        <v>0</v>
      </c>
      <c r="BS145" s="191">
        <f t="shared" ca="1" si="226"/>
        <v>0</v>
      </c>
      <c r="BT145" s="191">
        <f t="shared" ca="1" si="226"/>
        <v>0</v>
      </c>
      <c r="BU145" s="191">
        <f t="shared" ca="1" si="226"/>
        <v>0</v>
      </c>
      <c r="BV145" s="191">
        <f t="shared" ref="BV145:CV145" ca="1" si="227" xml:space="preserve"> MIN(BV143:BV144)</f>
        <v>0</v>
      </c>
      <c r="BW145" s="191">
        <f t="shared" ca="1" si="227"/>
        <v>0</v>
      </c>
      <c r="BX145" s="191">
        <f t="shared" ca="1" si="227"/>
        <v>0</v>
      </c>
      <c r="BY145" s="191">
        <f t="shared" ca="1" si="227"/>
        <v>0</v>
      </c>
      <c r="BZ145" s="191">
        <f t="shared" ca="1" si="227"/>
        <v>0</v>
      </c>
      <c r="CA145" s="191">
        <f t="shared" ca="1" si="227"/>
        <v>0</v>
      </c>
      <c r="CB145" s="191">
        <f t="shared" ca="1" si="227"/>
        <v>0</v>
      </c>
      <c r="CC145" s="191">
        <f t="shared" ca="1" si="227"/>
        <v>0</v>
      </c>
      <c r="CD145" s="191">
        <f t="shared" ca="1" si="227"/>
        <v>0</v>
      </c>
      <c r="CE145" s="191">
        <f t="shared" ca="1" si="227"/>
        <v>0</v>
      </c>
      <c r="CF145" s="191">
        <f t="shared" ca="1" si="227"/>
        <v>0</v>
      </c>
      <c r="CG145" s="191">
        <f t="shared" ca="1" si="227"/>
        <v>0</v>
      </c>
      <c r="CH145" s="191">
        <f t="shared" ca="1" si="227"/>
        <v>0</v>
      </c>
      <c r="CI145" s="191">
        <f t="shared" ca="1" si="227"/>
        <v>0</v>
      </c>
      <c r="CJ145" s="191">
        <f t="shared" ca="1" si="227"/>
        <v>0</v>
      </c>
      <c r="CK145" s="191">
        <f t="shared" ca="1" si="227"/>
        <v>0</v>
      </c>
      <c r="CL145" s="191">
        <f t="shared" ca="1" si="227"/>
        <v>0</v>
      </c>
      <c r="CM145" s="191">
        <f t="shared" ca="1" si="227"/>
        <v>0</v>
      </c>
      <c r="CN145" s="191">
        <f t="shared" ca="1" si="227"/>
        <v>0</v>
      </c>
      <c r="CO145" s="191">
        <f t="shared" ca="1" si="227"/>
        <v>0</v>
      </c>
      <c r="CP145" s="191">
        <f t="shared" ca="1" si="227"/>
        <v>0</v>
      </c>
      <c r="CQ145" s="191">
        <f t="shared" ca="1" si="227"/>
        <v>0</v>
      </c>
      <c r="CR145" s="191">
        <f t="shared" ca="1" si="227"/>
        <v>0</v>
      </c>
      <c r="CS145" s="191">
        <f t="shared" ca="1" si="227"/>
        <v>0</v>
      </c>
      <c r="CT145" s="191">
        <f t="shared" ca="1" si="227"/>
        <v>0</v>
      </c>
      <c r="CU145" s="191">
        <f t="shared" ca="1" si="227"/>
        <v>0</v>
      </c>
      <c r="CV145" s="191">
        <f t="shared" ca="1" si="227"/>
        <v>0</v>
      </c>
    </row>
    <row r="146" spans="1:100" s="188" customFormat="1" outlineLevel="2" x14ac:dyDescent="0.2">
      <c r="A146" s="141"/>
      <c r="B146" s="141"/>
      <c r="C146" s="142"/>
      <c r="D146" s="484" t="s">
        <v>366</v>
      </c>
      <c r="E146" s="187" t="str">
        <f xml:space="preserve"> LEFT(E145, LEN(E145) - 4)</f>
        <v>DSRA deposit - P99</v>
      </c>
      <c r="F146" s="187"/>
      <c r="G146" s="187" t="str">
        <f xml:space="preserve"> SMU</f>
        <v>$ 000s</v>
      </c>
      <c r="H146" s="187">
        <f ca="1" xml:space="preserve"> SUM(J146:CV146)</f>
        <v>0</v>
      </c>
      <c r="I146" s="144"/>
      <c r="J146" s="187">
        <f t="shared" ref="J146:AO146" ca="1" si="228" xml:space="preserve"> -1 * J145</f>
        <v>0</v>
      </c>
      <c r="K146" s="187">
        <f t="shared" ca="1" si="228"/>
        <v>0</v>
      </c>
      <c r="L146" s="187">
        <f t="shared" ca="1" si="228"/>
        <v>0</v>
      </c>
      <c r="M146" s="187">
        <f t="shared" ca="1" si="228"/>
        <v>0</v>
      </c>
      <c r="N146" s="187">
        <f t="shared" ca="1" si="228"/>
        <v>0</v>
      </c>
      <c r="O146" s="187">
        <f t="shared" ca="1" si="228"/>
        <v>0</v>
      </c>
      <c r="P146" s="187">
        <f t="shared" ca="1" si="228"/>
        <v>0</v>
      </c>
      <c r="Q146" s="187">
        <f t="shared" ca="1" si="228"/>
        <v>0</v>
      </c>
      <c r="R146" s="187">
        <f t="shared" ca="1" si="228"/>
        <v>0</v>
      </c>
      <c r="S146" s="187">
        <f t="shared" ca="1" si="228"/>
        <v>0</v>
      </c>
      <c r="T146" s="187">
        <f t="shared" ca="1" si="228"/>
        <v>0</v>
      </c>
      <c r="U146" s="187">
        <f t="shared" ca="1" si="228"/>
        <v>0</v>
      </c>
      <c r="V146" s="187">
        <f t="shared" ca="1" si="228"/>
        <v>0</v>
      </c>
      <c r="W146" s="187">
        <f t="shared" ca="1" si="228"/>
        <v>0</v>
      </c>
      <c r="X146" s="187">
        <f t="shared" ca="1" si="228"/>
        <v>0</v>
      </c>
      <c r="Y146" s="187">
        <f t="shared" ca="1" si="228"/>
        <v>0</v>
      </c>
      <c r="Z146" s="187">
        <f t="shared" ca="1" si="228"/>
        <v>0</v>
      </c>
      <c r="AA146" s="187">
        <f t="shared" ca="1" si="228"/>
        <v>0</v>
      </c>
      <c r="AB146" s="187">
        <f t="shared" ca="1" si="228"/>
        <v>0</v>
      </c>
      <c r="AC146" s="187">
        <f t="shared" ca="1" si="228"/>
        <v>0</v>
      </c>
      <c r="AD146" s="187">
        <f t="shared" ca="1" si="228"/>
        <v>0</v>
      </c>
      <c r="AE146" s="187">
        <f t="shared" ca="1" si="228"/>
        <v>0</v>
      </c>
      <c r="AF146" s="187">
        <f t="shared" ca="1" si="228"/>
        <v>0</v>
      </c>
      <c r="AG146" s="187">
        <f t="shared" ca="1" si="228"/>
        <v>0</v>
      </c>
      <c r="AH146" s="187">
        <f t="shared" ca="1" si="228"/>
        <v>0</v>
      </c>
      <c r="AI146" s="187">
        <f t="shared" ca="1" si="228"/>
        <v>0</v>
      </c>
      <c r="AJ146" s="187">
        <f t="shared" ca="1" si="228"/>
        <v>0</v>
      </c>
      <c r="AK146" s="187">
        <f t="shared" ca="1" si="228"/>
        <v>0</v>
      </c>
      <c r="AL146" s="187">
        <f t="shared" ca="1" si="228"/>
        <v>0</v>
      </c>
      <c r="AM146" s="187">
        <f t="shared" ca="1" si="228"/>
        <v>0</v>
      </c>
      <c r="AN146" s="187">
        <f t="shared" ca="1" si="228"/>
        <v>0</v>
      </c>
      <c r="AO146" s="187">
        <f t="shared" ca="1" si="228"/>
        <v>0</v>
      </c>
      <c r="AP146" s="187">
        <f t="shared" ref="AP146:BU146" ca="1" si="229" xml:space="preserve"> -1 * AP145</f>
        <v>0</v>
      </c>
      <c r="AQ146" s="187">
        <f t="shared" ca="1" si="229"/>
        <v>0</v>
      </c>
      <c r="AR146" s="187">
        <f t="shared" ca="1" si="229"/>
        <v>0</v>
      </c>
      <c r="AS146" s="187">
        <f t="shared" ca="1" si="229"/>
        <v>0</v>
      </c>
      <c r="AT146" s="187">
        <f t="shared" ca="1" si="229"/>
        <v>0</v>
      </c>
      <c r="AU146" s="187">
        <f t="shared" ca="1" si="229"/>
        <v>0</v>
      </c>
      <c r="AV146" s="187">
        <f t="shared" ca="1" si="229"/>
        <v>0</v>
      </c>
      <c r="AW146" s="187">
        <f t="shared" ca="1" si="229"/>
        <v>0</v>
      </c>
      <c r="AX146" s="187">
        <f t="shared" ca="1" si="229"/>
        <v>0</v>
      </c>
      <c r="AY146" s="187">
        <f t="shared" ca="1" si="229"/>
        <v>0</v>
      </c>
      <c r="AZ146" s="187">
        <f t="shared" ca="1" si="229"/>
        <v>0</v>
      </c>
      <c r="BA146" s="187">
        <f t="shared" ca="1" si="229"/>
        <v>0</v>
      </c>
      <c r="BB146" s="187">
        <f t="shared" ca="1" si="229"/>
        <v>0</v>
      </c>
      <c r="BC146" s="187">
        <f t="shared" ca="1" si="229"/>
        <v>0</v>
      </c>
      <c r="BD146" s="187">
        <f t="shared" ca="1" si="229"/>
        <v>0</v>
      </c>
      <c r="BE146" s="187">
        <f t="shared" ca="1" si="229"/>
        <v>0</v>
      </c>
      <c r="BF146" s="187">
        <f t="shared" ca="1" si="229"/>
        <v>0</v>
      </c>
      <c r="BG146" s="187">
        <f t="shared" ca="1" si="229"/>
        <v>0</v>
      </c>
      <c r="BH146" s="187">
        <f t="shared" ca="1" si="229"/>
        <v>0</v>
      </c>
      <c r="BI146" s="187">
        <f t="shared" ca="1" si="229"/>
        <v>0</v>
      </c>
      <c r="BJ146" s="187">
        <f t="shared" ca="1" si="229"/>
        <v>0</v>
      </c>
      <c r="BK146" s="187">
        <f t="shared" ca="1" si="229"/>
        <v>0</v>
      </c>
      <c r="BL146" s="187">
        <f t="shared" ca="1" si="229"/>
        <v>0</v>
      </c>
      <c r="BM146" s="187">
        <f t="shared" ca="1" si="229"/>
        <v>0</v>
      </c>
      <c r="BN146" s="187">
        <f t="shared" ca="1" si="229"/>
        <v>0</v>
      </c>
      <c r="BO146" s="187">
        <f t="shared" ca="1" si="229"/>
        <v>0</v>
      </c>
      <c r="BP146" s="187">
        <f t="shared" ca="1" si="229"/>
        <v>0</v>
      </c>
      <c r="BQ146" s="187">
        <f t="shared" ca="1" si="229"/>
        <v>0</v>
      </c>
      <c r="BR146" s="187">
        <f t="shared" ca="1" si="229"/>
        <v>0</v>
      </c>
      <c r="BS146" s="187">
        <f t="shared" ca="1" si="229"/>
        <v>0</v>
      </c>
      <c r="BT146" s="187">
        <f t="shared" ca="1" si="229"/>
        <v>0</v>
      </c>
      <c r="BU146" s="187">
        <f t="shared" ca="1" si="229"/>
        <v>0</v>
      </c>
      <c r="BV146" s="187">
        <f t="shared" ref="BV146:CV146" ca="1" si="230" xml:space="preserve"> -1 * BV145</f>
        <v>0</v>
      </c>
      <c r="BW146" s="187">
        <f t="shared" ca="1" si="230"/>
        <v>0</v>
      </c>
      <c r="BX146" s="187">
        <f t="shared" ca="1" si="230"/>
        <v>0</v>
      </c>
      <c r="BY146" s="187">
        <f t="shared" ca="1" si="230"/>
        <v>0</v>
      </c>
      <c r="BZ146" s="187">
        <f t="shared" ca="1" si="230"/>
        <v>0</v>
      </c>
      <c r="CA146" s="187">
        <f t="shared" ca="1" si="230"/>
        <v>0</v>
      </c>
      <c r="CB146" s="187">
        <f t="shared" ca="1" si="230"/>
        <v>0</v>
      </c>
      <c r="CC146" s="187">
        <f t="shared" ca="1" si="230"/>
        <v>0</v>
      </c>
      <c r="CD146" s="187">
        <f t="shared" ca="1" si="230"/>
        <v>0</v>
      </c>
      <c r="CE146" s="187">
        <f t="shared" ca="1" si="230"/>
        <v>0</v>
      </c>
      <c r="CF146" s="187">
        <f t="shared" ca="1" si="230"/>
        <v>0</v>
      </c>
      <c r="CG146" s="187">
        <f t="shared" ca="1" si="230"/>
        <v>0</v>
      </c>
      <c r="CH146" s="187">
        <f t="shared" ca="1" si="230"/>
        <v>0</v>
      </c>
      <c r="CI146" s="187">
        <f t="shared" ca="1" si="230"/>
        <v>0</v>
      </c>
      <c r="CJ146" s="187">
        <f t="shared" ca="1" si="230"/>
        <v>0</v>
      </c>
      <c r="CK146" s="187">
        <f t="shared" ca="1" si="230"/>
        <v>0</v>
      </c>
      <c r="CL146" s="187">
        <f t="shared" ca="1" si="230"/>
        <v>0</v>
      </c>
      <c r="CM146" s="187">
        <f t="shared" ca="1" si="230"/>
        <v>0</v>
      </c>
      <c r="CN146" s="187">
        <f t="shared" ca="1" si="230"/>
        <v>0</v>
      </c>
      <c r="CO146" s="187">
        <f t="shared" ca="1" si="230"/>
        <v>0</v>
      </c>
      <c r="CP146" s="187">
        <f t="shared" ca="1" si="230"/>
        <v>0</v>
      </c>
      <c r="CQ146" s="187">
        <f t="shared" ca="1" si="230"/>
        <v>0</v>
      </c>
      <c r="CR146" s="187">
        <f t="shared" ca="1" si="230"/>
        <v>0</v>
      </c>
      <c r="CS146" s="187">
        <f t="shared" ca="1" si="230"/>
        <v>0</v>
      </c>
      <c r="CT146" s="187">
        <f t="shared" ca="1" si="230"/>
        <v>0</v>
      </c>
      <c r="CU146" s="187">
        <f t="shared" ca="1" si="230"/>
        <v>0</v>
      </c>
      <c r="CV146" s="187">
        <f t="shared" ca="1" si="230"/>
        <v>0</v>
      </c>
    </row>
    <row r="147" spans="1:100" outlineLevel="1" x14ac:dyDescent="0.2">
      <c r="A147" s="420"/>
      <c r="B147" s="420"/>
      <c r="C147" s="421"/>
      <c r="D147" s="422"/>
      <c r="E147" s="423"/>
      <c r="F147" s="423"/>
      <c r="G147" s="423"/>
      <c r="H147" s="423"/>
      <c r="I147" s="424"/>
      <c r="J147" s="423"/>
      <c r="K147" s="423"/>
      <c r="L147" s="423"/>
      <c r="M147" s="423"/>
      <c r="N147" s="423"/>
      <c r="O147" s="423"/>
      <c r="P147" s="423"/>
      <c r="Q147" s="423"/>
      <c r="R147" s="423"/>
      <c r="S147" s="423"/>
      <c r="T147" s="423"/>
      <c r="U147" s="423"/>
      <c r="V147" s="423"/>
      <c r="W147" s="423"/>
      <c r="X147" s="423"/>
      <c r="Y147" s="423"/>
      <c r="Z147" s="423"/>
      <c r="AA147" s="423"/>
      <c r="AB147" s="423"/>
      <c r="AC147" s="423"/>
      <c r="AD147" s="423"/>
      <c r="AE147" s="423"/>
      <c r="AF147" s="423"/>
      <c r="AG147" s="423"/>
      <c r="AH147" s="423"/>
      <c r="AI147" s="423"/>
      <c r="AJ147" s="423"/>
      <c r="AK147" s="423"/>
      <c r="AL147" s="423"/>
      <c r="AM147" s="423"/>
      <c r="AN147" s="423"/>
      <c r="AO147" s="423"/>
      <c r="AP147" s="423"/>
      <c r="AQ147" s="423"/>
      <c r="AR147" s="423"/>
      <c r="AS147" s="423"/>
      <c r="AT147" s="423"/>
      <c r="AU147" s="423"/>
      <c r="AV147" s="423"/>
      <c r="AW147" s="423"/>
      <c r="AX147" s="423"/>
      <c r="AY147" s="423"/>
      <c r="AZ147" s="423"/>
      <c r="BA147" s="423"/>
      <c r="BB147" s="423"/>
      <c r="BC147" s="423"/>
      <c r="BD147" s="423"/>
      <c r="BE147" s="423"/>
      <c r="BF147" s="423"/>
      <c r="BG147" s="423"/>
      <c r="BH147" s="423"/>
      <c r="BI147" s="423"/>
      <c r="BJ147" s="423"/>
      <c r="BK147" s="423"/>
      <c r="BL147" s="423"/>
      <c r="BM147" s="423"/>
      <c r="BN147" s="423"/>
      <c r="BO147" s="423"/>
      <c r="BP147" s="423"/>
      <c r="BQ147" s="423"/>
      <c r="BR147" s="423"/>
      <c r="BS147" s="423"/>
      <c r="BT147" s="423"/>
      <c r="BU147" s="423"/>
      <c r="BV147" s="423"/>
      <c r="BW147" s="423"/>
      <c r="BX147" s="423"/>
      <c r="BY147" s="423"/>
      <c r="BZ147" s="423"/>
      <c r="CA147" s="423"/>
      <c r="CB147" s="423"/>
      <c r="CC147" s="423"/>
      <c r="CD147" s="423"/>
      <c r="CE147" s="423"/>
      <c r="CF147" s="423"/>
      <c r="CG147" s="423"/>
      <c r="CH147" s="423"/>
      <c r="CI147" s="423"/>
      <c r="CJ147" s="423"/>
      <c r="CK147" s="423"/>
      <c r="CL147" s="423"/>
      <c r="CM147" s="423"/>
      <c r="CN147" s="423"/>
      <c r="CO147" s="423"/>
      <c r="CP147" s="423"/>
      <c r="CQ147" s="423"/>
      <c r="CR147" s="423"/>
      <c r="CS147" s="423"/>
      <c r="CT147" s="423"/>
      <c r="CU147" s="423"/>
      <c r="CV147" s="423"/>
    </row>
    <row r="148" spans="1:100" outlineLevel="1" x14ac:dyDescent="0.2">
      <c r="A148" s="33"/>
      <c r="B148" s="79" t="s">
        <v>1219</v>
      </c>
      <c r="C148" s="561"/>
      <c r="D148" s="60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BS148" s="32"/>
      <c r="BT148" s="32"/>
      <c r="BU148" s="32"/>
      <c r="BV148" s="32"/>
      <c r="BW148" s="32"/>
      <c r="BX148" s="32"/>
      <c r="BY148" s="32"/>
      <c r="BZ148" s="32"/>
      <c r="CA148" s="32"/>
      <c r="CB148" s="32"/>
      <c r="CC148" s="32"/>
      <c r="CD148" s="32"/>
      <c r="CE148" s="32"/>
      <c r="CF148" s="32"/>
      <c r="CG148" s="32"/>
      <c r="CH148" s="32"/>
      <c r="CI148" s="32"/>
      <c r="CJ148" s="32"/>
      <c r="CK148" s="32"/>
      <c r="CL148" s="32"/>
      <c r="CM148" s="32"/>
      <c r="CN148" s="32"/>
      <c r="CO148" s="32"/>
      <c r="CP148" s="32"/>
      <c r="CQ148" s="32"/>
      <c r="CR148" s="32"/>
      <c r="CS148" s="32"/>
      <c r="CT148" s="32"/>
      <c r="CU148" s="32"/>
      <c r="CV148" s="32"/>
    </row>
    <row r="149" spans="1:100" outlineLevel="2" x14ac:dyDescent="0.2">
      <c r="A149" s="33"/>
      <c r="B149" s="79"/>
      <c r="C149" s="561"/>
      <c r="D149" s="60"/>
      <c r="E149" s="32" t="str">
        <f t="shared" ref="E149:AJ149" si="231" xml:space="preserve"> E$119</f>
        <v>Target deposit / (release) - P99</v>
      </c>
      <c r="F149" s="32">
        <f t="shared" si="231"/>
        <v>0</v>
      </c>
      <c r="G149" s="32" t="str">
        <f t="shared" si="231"/>
        <v>$ 000s</v>
      </c>
      <c r="H149" s="32">
        <f t="shared" si="231"/>
        <v>0</v>
      </c>
      <c r="I149" s="32">
        <f t="shared" si="231"/>
        <v>0</v>
      </c>
      <c r="J149" s="32">
        <f t="shared" si="231"/>
        <v>0</v>
      </c>
      <c r="K149" s="32">
        <f t="shared" ca="1" si="231"/>
        <v>0</v>
      </c>
      <c r="L149" s="32">
        <f t="shared" ca="1" si="231"/>
        <v>0</v>
      </c>
      <c r="M149" s="32">
        <f t="shared" ca="1" si="231"/>
        <v>0</v>
      </c>
      <c r="N149" s="32">
        <f t="shared" ca="1" si="231"/>
        <v>0</v>
      </c>
      <c r="O149" s="32">
        <f t="shared" ca="1" si="231"/>
        <v>0</v>
      </c>
      <c r="P149" s="32">
        <f t="shared" ca="1" si="231"/>
        <v>-42.335741100258019</v>
      </c>
      <c r="Q149" s="32">
        <f t="shared" ca="1" si="231"/>
        <v>-43.092867740235306</v>
      </c>
      <c r="R149" s="32">
        <f t="shared" ca="1" si="231"/>
        <v>-42.879581749586578</v>
      </c>
      <c r="S149" s="32">
        <f t="shared" ca="1" si="231"/>
        <v>-43.64991997917241</v>
      </c>
      <c r="T149" s="32">
        <f t="shared" ca="1" si="231"/>
        <v>-35.917089449296327</v>
      </c>
      <c r="U149" s="32">
        <f t="shared" ca="1" si="231"/>
        <v>-51.736738267896726</v>
      </c>
      <c r="V149" s="32">
        <f t="shared" ca="1" si="231"/>
        <v>-51.520153956027571</v>
      </c>
      <c r="W149" s="32">
        <f t="shared" ca="1" si="231"/>
        <v>-37.281901461477901</v>
      </c>
      <c r="X149" s="32">
        <f t="shared" ca="1" si="231"/>
        <v>-44.581523890254175</v>
      </c>
      <c r="Y149" s="32">
        <f t="shared" ca="1" si="231"/>
        <v>-45.393141598593502</v>
      </c>
      <c r="Z149" s="32">
        <f t="shared" ca="1" si="231"/>
        <v>-45.173102681601449</v>
      </c>
      <c r="AA149" s="32">
        <f t="shared" ca="1" si="231"/>
        <v>-45.999044801290438</v>
      </c>
      <c r="AB149" s="32">
        <f t="shared" ca="1" si="231"/>
        <v>-38.505552075483138</v>
      </c>
      <c r="AC149" s="32">
        <f t="shared" ca="1" si="231"/>
        <v>-53.889444469637965</v>
      </c>
      <c r="AD149" s="32">
        <f t="shared" ca="1" si="231"/>
        <v>-53.665789023656544</v>
      </c>
      <c r="AE149" s="32">
        <f t="shared" ca="1" si="231"/>
        <v>-39.977934428390654</v>
      </c>
      <c r="AF149" s="32">
        <f t="shared" ca="1" si="231"/>
        <v>-47.024073246167973</v>
      </c>
      <c r="AG149" s="32">
        <f t="shared" ca="1" si="231"/>
        <v>-47.894768113961618</v>
      </c>
      <c r="AH149" s="32">
        <f t="shared" ca="1" si="231"/>
        <v>-47.667326786007834</v>
      </c>
      <c r="AI149" s="32">
        <f t="shared" ca="1" si="231"/>
        <v>-48.553561438860925</v>
      </c>
      <c r="AJ149" s="32">
        <f t="shared" ca="1" si="231"/>
        <v>-41.312289489233081</v>
      </c>
      <c r="AK149" s="32">
        <f t="shared" ref="AK149:BP149" ca="1" si="232" xml:space="preserve"> AK$119</f>
        <v>-56.23811380654297</v>
      </c>
      <c r="AL149" s="32">
        <f t="shared" ca="1" si="232"/>
        <v>-56.006711623023875</v>
      </c>
      <c r="AM149" s="32">
        <f t="shared" ca="1" si="232"/>
        <v>-42.901219348826999</v>
      </c>
      <c r="AN149" s="32">
        <f t="shared" ca="1" si="232"/>
        <v>-49.679640115220536</v>
      </c>
      <c r="AO149" s="32">
        <f t="shared" ca="1" si="232"/>
        <v>-50.614394328145863</v>
      </c>
      <c r="AP149" s="32">
        <f t="shared" ca="1" si="232"/>
        <v>-50.378847808828141</v>
      </c>
      <c r="AQ149" s="32">
        <f t="shared" ca="1" si="232"/>
        <v>-51.329703607994816</v>
      </c>
      <c r="AR149" s="32">
        <f t="shared" ca="1" si="232"/>
        <v>-44.354420603738618</v>
      </c>
      <c r="AS149" s="32">
        <f t="shared" ca="1" si="232"/>
        <v>-58.798141329993086</v>
      </c>
      <c r="AT149" s="32">
        <f t="shared" ca="1" si="232"/>
        <v>-58.557004592519661</v>
      </c>
      <c r="AU149" s="32">
        <f t="shared" ca="1" si="232"/>
        <v>-4905.990719647215</v>
      </c>
      <c r="AV149" s="32">
        <f t="shared" ca="1" si="232"/>
        <v>-4860.2304082067021</v>
      </c>
      <c r="AW149" s="32">
        <f t="shared" ca="1" si="232"/>
        <v>2.0082668106624624E-4</v>
      </c>
      <c r="AX149" s="32">
        <f t="shared" ca="1" si="232"/>
        <v>2.0082668106624624E-4</v>
      </c>
      <c r="AY149" s="32">
        <f t="shared" ca="1" si="232"/>
        <v>2.0082668106624624E-4</v>
      </c>
      <c r="AZ149" s="32">
        <f t="shared" ca="1" si="232"/>
        <v>2.0082668106624624E-4</v>
      </c>
      <c r="BA149" s="32">
        <f t="shared" ca="1" si="232"/>
        <v>2.0082668106624624E-4</v>
      </c>
      <c r="BB149" s="32">
        <f t="shared" ca="1" si="232"/>
        <v>2.0082668106624624E-4</v>
      </c>
      <c r="BC149" s="32">
        <f t="shared" ca="1" si="232"/>
        <v>2.0082668106624624E-4</v>
      </c>
      <c r="BD149" s="32">
        <f t="shared" ca="1" si="232"/>
        <v>2.0082668106624624E-4</v>
      </c>
      <c r="BE149" s="32">
        <f t="shared" ca="1" si="232"/>
        <v>2.0082668106624624E-4</v>
      </c>
      <c r="BF149" s="32">
        <f t="shared" ca="1" si="232"/>
        <v>2.0082668106624624E-4</v>
      </c>
      <c r="BG149" s="32">
        <f t="shared" ca="1" si="232"/>
        <v>2.0082668106624624E-4</v>
      </c>
      <c r="BH149" s="32">
        <f t="shared" ca="1" si="232"/>
        <v>2.0082668106624624E-4</v>
      </c>
      <c r="BI149" s="32">
        <f t="shared" ca="1" si="232"/>
        <v>2.0082668106624624E-4</v>
      </c>
      <c r="BJ149" s="32">
        <f t="shared" ca="1" si="232"/>
        <v>2.0082668106624624E-4</v>
      </c>
      <c r="BK149" s="32">
        <f t="shared" ca="1" si="232"/>
        <v>2.0082668106624624E-4</v>
      </c>
      <c r="BL149" s="32">
        <f t="shared" ca="1" si="232"/>
        <v>2.0082668106624624E-4</v>
      </c>
      <c r="BM149" s="32">
        <f t="shared" ca="1" si="232"/>
        <v>2.0082668106624624E-4</v>
      </c>
      <c r="BN149" s="32">
        <f t="shared" ca="1" si="232"/>
        <v>2.0082668106624624E-4</v>
      </c>
      <c r="BO149" s="32">
        <f t="shared" ca="1" si="232"/>
        <v>2.0082668106624624E-4</v>
      </c>
      <c r="BP149" s="32">
        <f t="shared" ca="1" si="232"/>
        <v>2.0082668106624624E-4</v>
      </c>
      <c r="BQ149" s="32">
        <f t="shared" ref="BQ149:CV149" ca="1" si="233" xml:space="preserve"> BQ$119</f>
        <v>2.0082668106624624E-4</v>
      </c>
      <c r="BR149" s="32">
        <f t="shared" ca="1" si="233"/>
        <v>2.0082668106624624E-4</v>
      </c>
      <c r="BS149" s="32">
        <f t="shared" ca="1" si="233"/>
        <v>2.0082668106624624E-4</v>
      </c>
      <c r="BT149" s="32">
        <f t="shared" ca="1" si="233"/>
        <v>2.0082668106624624E-4</v>
      </c>
      <c r="BU149" s="32">
        <f t="shared" ca="1" si="233"/>
        <v>2.0082668106624624E-4</v>
      </c>
      <c r="BV149" s="32">
        <f t="shared" ca="1" si="233"/>
        <v>2.0082668106624624E-4</v>
      </c>
      <c r="BW149" s="32">
        <f t="shared" ca="1" si="233"/>
        <v>2.0082668106624624E-4</v>
      </c>
      <c r="BX149" s="32">
        <f t="shared" ca="1" si="233"/>
        <v>2.0082668106624624E-4</v>
      </c>
      <c r="BY149" s="32">
        <f t="shared" ca="1" si="233"/>
        <v>2.0082668106624624E-4</v>
      </c>
      <c r="BZ149" s="32">
        <f t="shared" ca="1" si="233"/>
        <v>2.0082668106624624E-4</v>
      </c>
      <c r="CA149" s="32">
        <f t="shared" ca="1" si="233"/>
        <v>2.0082668106624624E-4</v>
      </c>
      <c r="CB149" s="32">
        <f t="shared" ca="1" si="233"/>
        <v>2.0082668106624624E-4</v>
      </c>
      <c r="CC149" s="32">
        <f t="shared" ca="1" si="233"/>
        <v>2.0082668106624624E-4</v>
      </c>
      <c r="CD149" s="32">
        <f t="shared" ca="1" si="233"/>
        <v>2.0082668106624624E-4</v>
      </c>
      <c r="CE149" s="32">
        <f t="shared" ca="1" si="233"/>
        <v>2.0082668106624624E-4</v>
      </c>
      <c r="CF149" s="32">
        <f t="shared" ca="1" si="233"/>
        <v>2.0082668106624624E-4</v>
      </c>
      <c r="CG149" s="32">
        <f t="shared" ca="1" si="233"/>
        <v>2.0082668106624624E-4</v>
      </c>
      <c r="CH149" s="32">
        <f t="shared" ca="1" si="233"/>
        <v>2.0082668106624624E-4</v>
      </c>
      <c r="CI149" s="32">
        <f t="shared" ca="1" si="233"/>
        <v>2.0082668106624624E-4</v>
      </c>
      <c r="CJ149" s="32">
        <f t="shared" ca="1" si="233"/>
        <v>2.0082668106624624E-4</v>
      </c>
      <c r="CK149" s="32">
        <f t="shared" ca="1" si="233"/>
        <v>2.0082668106624624E-4</v>
      </c>
      <c r="CL149" s="32">
        <f t="shared" ca="1" si="233"/>
        <v>2.0082668106624624E-4</v>
      </c>
      <c r="CM149" s="32">
        <f t="shared" ca="1" si="233"/>
        <v>2.0082668106624624E-4</v>
      </c>
      <c r="CN149" s="32">
        <f t="shared" ca="1" si="233"/>
        <v>2.0082668106624624E-4</v>
      </c>
      <c r="CO149" s="32">
        <f t="shared" ca="1" si="233"/>
        <v>2.0082668106624624E-4</v>
      </c>
      <c r="CP149" s="32">
        <f t="shared" ca="1" si="233"/>
        <v>2.0082668106624624E-4</v>
      </c>
      <c r="CQ149" s="32">
        <f t="shared" ca="1" si="233"/>
        <v>2.0082668106624624E-4</v>
      </c>
      <c r="CR149" s="32">
        <f t="shared" ca="1" si="233"/>
        <v>2.0082668106624624E-4</v>
      </c>
      <c r="CS149" s="32">
        <f t="shared" ca="1" si="233"/>
        <v>2.0082668106624624E-4</v>
      </c>
      <c r="CT149" s="32">
        <f t="shared" ca="1" si="233"/>
        <v>2.0082668106624624E-4</v>
      </c>
      <c r="CU149" s="32">
        <f t="shared" ca="1" si="233"/>
        <v>2.0082668106624624E-4</v>
      </c>
      <c r="CV149" s="32">
        <f t="shared" ca="1" si="233"/>
        <v>2.0082668106624624E-4</v>
      </c>
    </row>
    <row r="150" spans="1:100" outlineLevel="2" x14ac:dyDescent="0.2">
      <c r="A150" s="33"/>
      <c r="B150" s="79"/>
      <c r="C150" s="561"/>
      <c r="D150" s="60"/>
      <c r="E150" s="32" t="s">
        <v>1219</v>
      </c>
      <c r="F150" s="32"/>
      <c r="G150" s="32" t="str">
        <f xml:space="preserve"> SMU</f>
        <v>$ 000s</v>
      </c>
      <c r="H150" s="32">
        <f ca="1" xml:space="preserve"> SUM(J150:CV150)</f>
        <v>11233.130870765843</v>
      </c>
      <c r="I150" s="32"/>
      <c r="J150" s="32">
        <f t="shared" ref="J150:AO150" si="234" xml:space="preserve"> -1 * MIN(J149, 0)</f>
        <v>0</v>
      </c>
      <c r="K150" s="32">
        <f t="shared" ca="1" si="234"/>
        <v>0</v>
      </c>
      <c r="L150" s="32">
        <f t="shared" ca="1" si="234"/>
        <v>0</v>
      </c>
      <c r="M150" s="32">
        <f t="shared" ca="1" si="234"/>
        <v>0</v>
      </c>
      <c r="N150" s="32">
        <f t="shared" ca="1" si="234"/>
        <v>0</v>
      </c>
      <c r="O150" s="32">
        <f t="shared" ca="1" si="234"/>
        <v>0</v>
      </c>
      <c r="P150" s="32">
        <f t="shared" ca="1" si="234"/>
        <v>42.335741100258019</v>
      </c>
      <c r="Q150" s="32">
        <f t="shared" ca="1" si="234"/>
        <v>43.092867740235306</v>
      </c>
      <c r="R150" s="32">
        <f t="shared" ca="1" si="234"/>
        <v>42.879581749586578</v>
      </c>
      <c r="S150" s="32">
        <f t="shared" ca="1" si="234"/>
        <v>43.64991997917241</v>
      </c>
      <c r="T150" s="32">
        <f t="shared" ca="1" si="234"/>
        <v>35.917089449296327</v>
      </c>
      <c r="U150" s="32">
        <f t="shared" ca="1" si="234"/>
        <v>51.736738267896726</v>
      </c>
      <c r="V150" s="32">
        <f t="shared" ca="1" si="234"/>
        <v>51.520153956027571</v>
      </c>
      <c r="W150" s="32">
        <f t="shared" ca="1" si="234"/>
        <v>37.281901461477901</v>
      </c>
      <c r="X150" s="32">
        <f t="shared" ca="1" si="234"/>
        <v>44.581523890254175</v>
      </c>
      <c r="Y150" s="32">
        <f t="shared" ca="1" si="234"/>
        <v>45.393141598593502</v>
      </c>
      <c r="Z150" s="32">
        <f t="shared" ca="1" si="234"/>
        <v>45.173102681601449</v>
      </c>
      <c r="AA150" s="32">
        <f t="shared" ca="1" si="234"/>
        <v>45.999044801290438</v>
      </c>
      <c r="AB150" s="32">
        <f t="shared" ca="1" si="234"/>
        <v>38.505552075483138</v>
      </c>
      <c r="AC150" s="32">
        <f t="shared" ca="1" si="234"/>
        <v>53.889444469637965</v>
      </c>
      <c r="AD150" s="32">
        <f t="shared" ca="1" si="234"/>
        <v>53.665789023656544</v>
      </c>
      <c r="AE150" s="32">
        <f t="shared" ca="1" si="234"/>
        <v>39.977934428390654</v>
      </c>
      <c r="AF150" s="32">
        <f t="shared" ca="1" si="234"/>
        <v>47.024073246167973</v>
      </c>
      <c r="AG150" s="32">
        <f t="shared" ca="1" si="234"/>
        <v>47.894768113961618</v>
      </c>
      <c r="AH150" s="32">
        <f t="shared" ca="1" si="234"/>
        <v>47.667326786007834</v>
      </c>
      <c r="AI150" s="32">
        <f t="shared" ca="1" si="234"/>
        <v>48.553561438860925</v>
      </c>
      <c r="AJ150" s="32">
        <f t="shared" ca="1" si="234"/>
        <v>41.312289489233081</v>
      </c>
      <c r="AK150" s="32">
        <f t="shared" ca="1" si="234"/>
        <v>56.23811380654297</v>
      </c>
      <c r="AL150" s="32">
        <f t="shared" ca="1" si="234"/>
        <v>56.006711623023875</v>
      </c>
      <c r="AM150" s="32">
        <f t="shared" ca="1" si="234"/>
        <v>42.901219348826999</v>
      </c>
      <c r="AN150" s="32">
        <f t="shared" ca="1" si="234"/>
        <v>49.679640115220536</v>
      </c>
      <c r="AO150" s="32">
        <f t="shared" ca="1" si="234"/>
        <v>50.614394328145863</v>
      </c>
      <c r="AP150" s="32">
        <f t="shared" ref="AP150:BU150" ca="1" si="235" xml:space="preserve"> -1 * MIN(AP149, 0)</f>
        <v>50.378847808828141</v>
      </c>
      <c r="AQ150" s="32">
        <f t="shared" ca="1" si="235"/>
        <v>51.329703607994816</v>
      </c>
      <c r="AR150" s="32">
        <f t="shared" ca="1" si="235"/>
        <v>44.354420603738618</v>
      </c>
      <c r="AS150" s="32">
        <f t="shared" ca="1" si="235"/>
        <v>58.798141329993086</v>
      </c>
      <c r="AT150" s="32">
        <f t="shared" ca="1" si="235"/>
        <v>58.557004592519661</v>
      </c>
      <c r="AU150" s="32">
        <f t="shared" ca="1" si="235"/>
        <v>4905.990719647215</v>
      </c>
      <c r="AV150" s="32">
        <f t="shared" ca="1" si="235"/>
        <v>4860.2304082067021</v>
      </c>
      <c r="AW150" s="32">
        <f t="shared" ca="1" si="235"/>
        <v>0</v>
      </c>
      <c r="AX150" s="32">
        <f t="shared" ca="1" si="235"/>
        <v>0</v>
      </c>
      <c r="AY150" s="32">
        <f t="shared" ca="1" si="235"/>
        <v>0</v>
      </c>
      <c r="AZ150" s="32">
        <f t="shared" ca="1" si="235"/>
        <v>0</v>
      </c>
      <c r="BA150" s="32">
        <f t="shared" ca="1" si="235"/>
        <v>0</v>
      </c>
      <c r="BB150" s="32">
        <f t="shared" ca="1" si="235"/>
        <v>0</v>
      </c>
      <c r="BC150" s="32">
        <f t="shared" ca="1" si="235"/>
        <v>0</v>
      </c>
      <c r="BD150" s="32">
        <f t="shared" ca="1" si="235"/>
        <v>0</v>
      </c>
      <c r="BE150" s="32">
        <f t="shared" ca="1" si="235"/>
        <v>0</v>
      </c>
      <c r="BF150" s="32">
        <f t="shared" ca="1" si="235"/>
        <v>0</v>
      </c>
      <c r="BG150" s="32">
        <f t="shared" ca="1" si="235"/>
        <v>0</v>
      </c>
      <c r="BH150" s="32">
        <f t="shared" ca="1" si="235"/>
        <v>0</v>
      </c>
      <c r="BI150" s="32">
        <f t="shared" ca="1" si="235"/>
        <v>0</v>
      </c>
      <c r="BJ150" s="32">
        <f t="shared" ca="1" si="235"/>
        <v>0</v>
      </c>
      <c r="BK150" s="32">
        <f t="shared" ca="1" si="235"/>
        <v>0</v>
      </c>
      <c r="BL150" s="32">
        <f t="shared" ca="1" si="235"/>
        <v>0</v>
      </c>
      <c r="BM150" s="32">
        <f t="shared" ca="1" si="235"/>
        <v>0</v>
      </c>
      <c r="BN150" s="32">
        <f t="shared" ca="1" si="235"/>
        <v>0</v>
      </c>
      <c r="BO150" s="32">
        <f t="shared" ca="1" si="235"/>
        <v>0</v>
      </c>
      <c r="BP150" s="32">
        <f t="shared" ca="1" si="235"/>
        <v>0</v>
      </c>
      <c r="BQ150" s="32">
        <f t="shared" ca="1" si="235"/>
        <v>0</v>
      </c>
      <c r="BR150" s="32">
        <f t="shared" ca="1" si="235"/>
        <v>0</v>
      </c>
      <c r="BS150" s="32">
        <f t="shared" ca="1" si="235"/>
        <v>0</v>
      </c>
      <c r="BT150" s="32">
        <f t="shared" ca="1" si="235"/>
        <v>0</v>
      </c>
      <c r="BU150" s="32">
        <f t="shared" ca="1" si="235"/>
        <v>0</v>
      </c>
      <c r="BV150" s="32">
        <f t="shared" ref="BV150:CV150" ca="1" si="236" xml:space="preserve"> -1 * MIN(BV149, 0)</f>
        <v>0</v>
      </c>
      <c r="BW150" s="32">
        <f t="shared" ca="1" si="236"/>
        <v>0</v>
      </c>
      <c r="BX150" s="32">
        <f t="shared" ca="1" si="236"/>
        <v>0</v>
      </c>
      <c r="BY150" s="32">
        <f t="shared" ca="1" si="236"/>
        <v>0</v>
      </c>
      <c r="BZ150" s="32">
        <f t="shared" ca="1" si="236"/>
        <v>0</v>
      </c>
      <c r="CA150" s="32">
        <f t="shared" ca="1" si="236"/>
        <v>0</v>
      </c>
      <c r="CB150" s="32">
        <f t="shared" ca="1" si="236"/>
        <v>0</v>
      </c>
      <c r="CC150" s="32">
        <f t="shared" ca="1" si="236"/>
        <v>0</v>
      </c>
      <c r="CD150" s="32">
        <f t="shared" ca="1" si="236"/>
        <v>0</v>
      </c>
      <c r="CE150" s="32">
        <f t="shared" ca="1" si="236"/>
        <v>0</v>
      </c>
      <c r="CF150" s="32">
        <f t="shared" ca="1" si="236"/>
        <v>0</v>
      </c>
      <c r="CG150" s="32">
        <f t="shared" ca="1" si="236"/>
        <v>0</v>
      </c>
      <c r="CH150" s="32">
        <f t="shared" ca="1" si="236"/>
        <v>0</v>
      </c>
      <c r="CI150" s="32">
        <f t="shared" ca="1" si="236"/>
        <v>0</v>
      </c>
      <c r="CJ150" s="32">
        <f t="shared" ca="1" si="236"/>
        <v>0</v>
      </c>
      <c r="CK150" s="32">
        <f t="shared" ca="1" si="236"/>
        <v>0</v>
      </c>
      <c r="CL150" s="32">
        <f t="shared" ca="1" si="236"/>
        <v>0</v>
      </c>
      <c r="CM150" s="32">
        <f t="shared" ca="1" si="236"/>
        <v>0</v>
      </c>
      <c r="CN150" s="32">
        <f t="shared" ca="1" si="236"/>
        <v>0</v>
      </c>
      <c r="CO150" s="32">
        <f t="shared" ca="1" si="236"/>
        <v>0</v>
      </c>
      <c r="CP150" s="32">
        <f t="shared" ca="1" si="236"/>
        <v>0</v>
      </c>
      <c r="CQ150" s="32">
        <f t="shared" ca="1" si="236"/>
        <v>0</v>
      </c>
      <c r="CR150" s="32">
        <f t="shared" ca="1" si="236"/>
        <v>0</v>
      </c>
      <c r="CS150" s="32">
        <f t="shared" ca="1" si="236"/>
        <v>0</v>
      </c>
      <c r="CT150" s="32">
        <f t="shared" ca="1" si="236"/>
        <v>0</v>
      </c>
      <c r="CU150" s="32">
        <f t="shared" ca="1" si="236"/>
        <v>0</v>
      </c>
      <c r="CV150" s="32">
        <f t="shared" ca="1" si="236"/>
        <v>0</v>
      </c>
    </row>
    <row r="151" spans="1:100" outlineLevel="2" x14ac:dyDescent="0.2">
      <c r="A151" s="33"/>
      <c r="B151" s="79"/>
      <c r="C151" s="561"/>
      <c r="D151" s="60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</row>
    <row r="152" spans="1:100" outlineLevel="2" x14ac:dyDescent="0.2">
      <c r="A152" s="33"/>
      <c r="B152" s="79"/>
      <c r="C152" s="561"/>
      <c r="D152" s="60"/>
      <c r="E152" s="32" t="str">
        <f t="shared" ref="E152:AJ152" si="237" xml:space="preserve"> E$141</f>
        <v>DS shortfall withdrawal - P99</v>
      </c>
      <c r="F152" s="32">
        <f t="shared" si="237"/>
        <v>0</v>
      </c>
      <c r="G152" s="32" t="str">
        <f t="shared" si="237"/>
        <v>$ 000s</v>
      </c>
      <c r="H152" s="32">
        <f t="shared" ca="1" si="237"/>
        <v>-1.0442987415444804E-2</v>
      </c>
      <c r="I152" s="32">
        <f t="shared" si="237"/>
        <v>0</v>
      </c>
      <c r="J152" s="32">
        <f t="shared" ca="1" si="237"/>
        <v>0</v>
      </c>
      <c r="K152" s="32">
        <f t="shared" ca="1" si="237"/>
        <v>0</v>
      </c>
      <c r="L152" s="32">
        <f t="shared" ca="1" si="237"/>
        <v>0</v>
      </c>
      <c r="M152" s="32">
        <f t="shared" ca="1" si="237"/>
        <v>0</v>
      </c>
      <c r="N152" s="32">
        <f t="shared" ca="1" si="237"/>
        <v>0</v>
      </c>
      <c r="O152" s="32">
        <f t="shared" ca="1" si="237"/>
        <v>0</v>
      </c>
      <c r="P152" s="32">
        <f t="shared" ca="1" si="237"/>
        <v>0</v>
      </c>
      <c r="Q152" s="32">
        <f t="shared" ca="1" si="237"/>
        <v>0</v>
      </c>
      <c r="R152" s="32">
        <f t="shared" ca="1" si="237"/>
        <v>0</v>
      </c>
      <c r="S152" s="32">
        <f t="shared" ca="1" si="237"/>
        <v>0</v>
      </c>
      <c r="T152" s="32">
        <f t="shared" ca="1" si="237"/>
        <v>0</v>
      </c>
      <c r="U152" s="32">
        <f t="shared" ca="1" si="237"/>
        <v>0</v>
      </c>
      <c r="V152" s="32">
        <f t="shared" ca="1" si="237"/>
        <v>0</v>
      </c>
      <c r="W152" s="32">
        <f t="shared" ca="1" si="237"/>
        <v>0</v>
      </c>
      <c r="X152" s="32">
        <f t="shared" ca="1" si="237"/>
        <v>0</v>
      </c>
      <c r="Y152" s="32">
        <f t="shared" ca="1" si="237"/>
        <v>0</v>
      </c>
      <c r="Z152" s="32">
        <f t="shared" ca="1" si="237"/>
        <v>0</v>
      </c>
      <c r="AA152" s="32">
        <f t="shared" ca="1" si="237"/>
        <v>0</v>
      </c>
      <c r="AB152" s="32">
        <f t="shared" ca="1" si="237"/>
        <v>0</v>
      </c>
      <c r="AC152" s="32">
        <f t="shared" ca="1" si="237"/>
        <v>0</v>
      </c>
      <c r="AD152" s="32">
        <f t="shared" ca="1" si="237"/>
        <v>0</v>
      </c>
      <c r="AE152" s="32">
        <f t="shared" ca="1" si="237"/>
        <v>0</v>
      </c>
      <c r="AF152" s="32">
        <f t="shared" ca="1" si="237"/>
        <v>0</v>
      </c>
      <c r="AG152" s="32">
        <f t="shared" ca="1" si="237"/>
        <v>0</v>
      </c>
      <c r="AH152" s="32">
        <f t="shared" ca="1" si="237"/>
        <v>0</v>
      </c>
      <c r="AI152" s="32">
        <f t="shared" ca="1" si="237"/>
        <v>0</v>
      </c>
      <c r="AJ152" s="32">
        <f t="shared" ca="1" si="237"/>
        <v>0</v>
      </c>
      <c r="AK152" s="32">
        <f t="shared" ref="AK152:BP152" ca="1" si="238" xml:space="preserve"> AK$141</f>
        <v>0</v>
      </c>
      <c r="AL152" s="32">
        <f t="shared" ca="1" si="238"/>
        <v>0</v>
      </c>
      <c r="AM152" s="32">
        <f t="shared" ca="1" si="238"/>
        <v>0</v>
      </c>
      <c r="AN152" s="32">
        <f t="shared" ca="1" si="238"/>
        <v>0</v>
      </c>
      <c r="AO152" s="32">
        <f t="shared" ca="1" si="238"/>
        <v>0</v>
      </c>
      <c r="AP152" s="32">
        <f t="shared" ca="1" si="238"/>
        <v>0</v>
      </c>
      <c r="AQ152" s="32">
        <f t="shared" ca="1" si="238"/>
        <v>0</v>
      </c>
      <c r="AR152" s="32">
        <f t="shared" ca="1" si="238"/>
        <v>0</v>
      </c>
      <c r="AS152" s="32">
        <f t="shared" ca="1" si="238"/>
        <v>0</v>
      </c>
      <c r="AT152" s="32">
        <f t="shared" ca="1" si="238"/>
        <v>0</v>
      </c>
      <c r="AU152" s="32">
        <f t="shared" ca="1" si="238"/>
        <v>0</v>
      </c>
      <c r="AV152" s="32">
        <f t="shared" ca="1" si="238"/>
        <v>0</v>
      </c>
      <c r="AW152" s="32">
        <f t="shared" ca="1" si="238"/>
        <v>-2.0082668106624624E-4</v>
      </c>
      <c r="AX152" s="32">
        <f t="shared" ca="1" si="238"/>
        <v>-2.0082668106624624E-4</v>
      </c>
      <c r="AY152" s="32">
        <f t="shared" ca="1" si="238"/>
        <v>-2.0082668106624624E-4</v>
      </c>
      <c r="AZ152" s="32">
        <f t="shared" ca="1" si="238"/>
        <v>-2.0082668106624624E-4</v>
      </c>
      <c r="BA152" s="32">
        <f t="shared" ca="1" si="238"/>
        <v>-2.0082668106624624E-4</v>
      </c>
      <c r="BB152" s="32">
        <f t="shared" ca="1" si="238"/>
        <v>-2.0082668106624624E-4</v>
      </c>
      <c r="BC152" s="32">
        <f t="shared" ca="1" si="238"/>
        <v>-2.0082668106624624E-4</v>
      </c>
      <c r="BD152" s="32">
        <f t="shared" ca="1" si="238"/>
        <v>-2.0082668106624624E-4</v>
      </c>
      <c r="BE152" s="32">
        <f t="shared" ca="1" si="238"/>
        <v>-2.0082668106624624E-4</v>
      </c>
      <c r="BF152" s="32">
        <f t="shared" ca="1" si="238"/>
        <v>-2.0082668106624624E-4</v>
      </c>
      <c r="BG152" s="32">
        <f t="shared" ca="1" si="238"/>
        <v>-2.0082668106624624E-4</v>
      </c>
      <c r="BH152" s="32">
        <f t="shared" ca="1" si="238"/>
        <v>-2.0082668106624624E-4</v>
      </c>
      <c r="BI152" s="32">
        <f t="shared" ca="1" si="238"/>
        <v>-2.0082668106624624E-4</v>
      </c>
      <c r="BJ152" s="32">
        <f t="shared" ca="1" si="238"/>
        <v>-2.0082668106624624E-4</v>
      </c>
      <c r="BK152" s="32">
        <f t="shared" ca="1" si="238"/>
        <v>-2.0082668106624624E-4</v>
      </c>
      <c r="BL152" s="32">
        <f t="shared" ca="1" si="238"/>
        <v>-2.0082668106624624E-4</v>
      </c>
      <c r="BM152" s="32">
        <f t="shared" ca="1" si="238"/>
        <v>-2.0082668106624624E-4</v>
      </c>
      <c r="BN152" s="32">
        <f t="shared" ca="1" si="238"/>
        <v>-2.0082668106624624E-4</v>
      </c>
      <c r="BO152" s="32">
        <f t="shared" ca="1" si="238"/>
        <v>-2.0082668106624624E-4</v>
      </c>
      <c r="BP152" s="32">
        <f t="shared" ca="1" si="238"/>
        <v>-2.0082668106624624E-4</v>
      </c>
      <c r="BQ152" s="32">
        <f t="shared" ref="BQ152:CV152" ca="1" si="239" xml:space="preserve"> BQ$141</f>
        <v>-2.0082668106624624E-4</v>
      </c>
      <c r="BR152" s="32">
        <f t="shared" ca="1" si="239"/>
        <v>-2.0082668106624624E-4</v>
      </c>
      <c r="BS152" s="32">
        <f t="shared" ca="1" si="239"/>
        <v>-2.0082668106624624E-4</v>
      </c>
      <c r="BT152" s="32">
        <f t="shared" ca="1" si="239"/>
        <v>-2.0082668106624624E-4</v>
      </c>
      <c r="BU152" s="32">
        <f t="shared" ca="1" si="239"/>
        <v>-2.0082668106624624E-4</v>
      </c>
      <c r="BV152" s="32">
        <f t="shared" ca="1" si="239"/>
        <v>-2.0082668106624624E-4</v>
      </c>
      <c r="BW152" s="32">
        <f t="shared" ca="1" si="239"/>
        <v>-2.0082668106624624E-4</v>
      </c>
      <c r="BX152" s="32">
        <f t="shared" ca="1" si="239"/>
        <v>-2.0082668106624624E-4</v>
      </c>
      <c r="BY152" s="32">
        <f t="shared" ca="1" si="239"/>
        <v>-2.0082668106624624E-4</v>
      </c>
      <c r="BZ152" s="32">
        <f t="shared" ca="1" si="239"/>
        <v>-2.0082668106624624E-4</v>
      </c>
      <c r="CA152" s="32">
        <f t="shared" ca="1" si="239"/>
        <v>-2.0082668106624624E-4</v>
      </c>
      <c r="CB152" s="32">
        <f t="shared" ca="1" si="239"/>
        <v>-2.0082668106624624E-4</v>
      </c>
      <c r="CC152" s="32">
        <f t="shared" ca="1" si="239"/>
        <v>-2.0082668106624624E-4</v>
      </c>
      <c r="CD152" s="32">
        <f t="shared" ca="1" si="239"/>
        <v>-2.0082668106624624E-4</v>
      </c>
      <c r="CE152" s="32">
        <f t="shared" ca="1" si="239"/>
        <v>-2.0082668106624624E-4</v>
      </c>
      <c r="CF152" s="32">
        <f t="shared" ca="1" si="239"/>
        <v>-2.0082668106624624E-4</v>
      </c>
      <c r="CG152" s="32">
        <f t="shared" ca="1" si="239"/>
        <v>-2.0082668106624624E-4</v>
      </c>
      <c r="CH152" s="32">
        <f t="shared" ca="1" si="239"/>
        <v>-2.0082668106624624E-4</v>
      </c>
      <c r="CI152" s="32">
        <f t="shared" ca="1" si="239"/>
        <v>-2.0082668106624624E-4</v>
      </c>
      <c r="CJ152" s="32">
        <f t="shared" ca="1" si="239"/>
        <v>-2.0082668106624624E-4</v>
      </c>
      <c r="CK152" s="32">
        <f t="shared" ca="1" si="239"/>
        <v>-2.0082668106624624E-4</v>
      </c>
      <c r="CL152" s="32">
        <f t="shared" ca="1" si="239"/>
        <v>-2.0082668106624624E-4</v>
      </c>
      <c r="CM152" s="32">
        <f t="shared" ca="1" si="239"/>
        <v>-2.0082668106624624E-4</v>
      </c>
      <c r="CN152" s="32">
        <f t="shared" ca="1" si="239"/>
        <v>-2.0082668106624624E-4</v>
      </c>
      <c r="CO152" s="32">
        <f t="shared" ca="1" si="239"/>
        <v>-2.0082668106624624E-4</v>
      </c>
      <c r="CP152" s="32">
        <f t="shared" ca="1" si="239"/>
        <v>-2.0082668106624624E-4</v>
      </c>
      <c r="CQ152" s="32">
        <f t="shared" ca="1" si="239"/>
        <v>-2.0082668106624624E-4</v>
      </c>
      <c r="CR152" s="32">
        <f t="shared" ca="1" si="239"/>
        <v>-2.0082668106624624E-4</v>
      </c>
      <c r="CS152" s="32">
        <f t="shared" ca="1" si="239"/>
        <v>-2.0082668106624624E-4</v>
      </c>
      <c r="CT152" s="32">
        <f t="shared" ca="1" si="239"/>
        <v>-2.0082668106624624E-4</v>
      </c>
      <c r="CU152" s="32">
        <f t="shared" ca="1" si="239"/>
        <v>-2.0082668106624624E-4</v>
      </c>
      <c r="CV152" s="32">
        <f t="shared" ca="1" si="239"/>
        <v>-2.0082668106624624E-4</v>
      </c>
    </row>
    <row r="153" spans="1:100" outlineLevel="2" x14ac:dyDescent="0.2">
      <c r="A153" s="33"/>
      <c r="B153" s="79"/>
      <c r="C153" s="561"/>
      <c r="D153" s="60"/>
      <c r="E153" s="32" t="str">
        <f t="shared" ref="E153:AJ153" si="240" xml:space="preserve"> E$150</f>
        <v>DSRA release - P99</v>
      </c>
      <c r="F153" s="32">
        <f t="shared" si="240"/>
        <v>0</v>
      </c>
      <c r="G153" s="32" t="str">
        <f t="shared" si="240"/>
        <v>$ 000s</v>
      </c>
      <c r="H153" s="32">
        <f t="shared" ca="1" si="240"/>
        <v>11233.130870765843</v>
      </c>
      <c r="I153" s="32">
        <f t="shared" si="240"/>
        <v>0</v>
      </c>
      <c r="J153" s="32">
        <f t="shared" si="240"/>
        <v>0</v>
      </c>
      <c r="K153" s="32">
        <f t="shared" ca="1" si="240"/>
        <v>0</v>
      </c>
      <c r="L153" s="32">
        <f t="shared" ca="1" si="240"/>
        <v>0</v>
      </c>
      <c r="M153" s="32">
        <f t="shared" ca="1" si="240"/>
        <v>0</v>
      </c>
      <c r="N153" s="32">
        <f t="shared" ca="1" si="240"/>
        <v>0</v>
      </c>
      <c r="O153" s="32">
        <f t="shared" ca="1" si="240"/>
        <v>0</v>
      </c>
      <c r="P153" s="32">
        <f t="shared" ca="1" si="240"/>
        <v>42.335741100258019</v>
      </c>
      <c r="Q153" s="32">
        <f t="shared" ca="1" si="240"/>
        <v>43.092867740235306</v>
      </c>
      <c r="R153" s="32">
        <f t="shared" ca="1" si="240"/>
        <v>42.879581749586578</v>
      </c>
      <c r="S153" s="32">
        <f t="shared" ca="1" si="240"/>
        <v>43.64991997917241</v>
      </c>
      <c r="T153" s="32">
        <f t="shared" ca="1" si="240"/>
        <v>35.917089449296327</v>
      </c>
      <c r="U153" s="32">
        <f t="shared" ca="1" si="240"/>
        <v>51.736738267896726</v>
      </c>
      <c r="V153" s="32">
        <f t="shared" ca="1" si="240"/>
        <v>51.520153956027571</v>
      </c>
      <c r="W153" s="32">
        <f t="shared" ca="1" si="240"/>
        <v>37.281901461477901</v>
      </c>
      <c r="X153" s="32">
        <f t="shared" ca="1" si="240"/>
        <v>44.581523890254175</v>
      </c>
      <c r="Y153" s="32">
        <f t="shared" ca="1" si="240"/>
        <v>45.393141598593502</v>
      </c>
      <c r="Z153" s="32">
        <f t="shared" ca="1" si="240"/>
        <v>45.173102681601449</v>
      </c>
      <c r="AA153" s="32">
        <f t="shared" ca="1" si="240"/>
        <v>45.999044801290438</v>
      </c>
      <c r="AB153" s="32">
        <f t="shared" ca="1" si="240"/>
        <v>38.505552075483138</v>
      </c>
      <c r="AC153" s="32">
        <f t="shared" ca="1" si="240"/>
        <v>53.889444469637965</v>
      </c>
      <c r="AD153" s="32">
        <f t="shared" ca="1" si="240"/>
        <v>53.665789023656544</v>
      </c>
      <c r="AE153" s="32">
        <f t="shared" ca="1" si="240"/>
        <v>39.977934428390654</v>
      </c>
      <c r="AF153" s="32">
        <f t="shared" ca="1" si="240"/>
        <v>47.024073246167973</v>
      </c>
      <c r="AG153" s="32">
        <f t="shared" ca="1" si="240"/>
        <v>47.894768113961618</v>
      </c>
      <c r="AH153" s="32">
        <f t="shared" ca="1" si="240"/>
        <v>47.667326786007834</v>
      </c>
      <c r="AI153" s="32">
        <f t="shared" ca="1" si="240"/>
        <v>48.553561438860925</v>
      </c>
      <c r="AJ153" s="32">
        <f t="shared" ca="1" si="240"/>
        <v>41.312289489233081</v>
      </c>
      <c r="AK153" s="32">
        <f t="shared" ref="AK153:BP153" ca="1" si="241" xml:space="preserve"> AK$150</f>
        <v>56.23811380654297</v>
      </c>
      <c r="AL153" s="32">
        <f t="shared" ca="1" si="241"/>
        <v>56.006711623023875</v>
      </c>
      <c r="AM153" s="32">
        <f t="shared" ca="1" si="241"/>
        <v>42.901219348826999</v>
      </c>
      <c r="AN153" s="32">
        <f t="shared" ca="1" si="241"/>
        <v>49.679640115220536</v>
      </c>
      <c r="AO153" s="32">
        <f t="shared" ca="1" si="241"/>
        <v>50.614394328145863</v>
      </c>
      <c r="AP153" s="32">
        <f t="shared" ca="1" si="241"/>
        <v>50.378847808828141</v>
      </c>
      <c r="AQ153" s="32">
        <f t="shared" ca="1" si="241"/>
        <v>51.329703607994816</v>
      </c>
      <c r="AR153" s="32">
        <f t="shared" ca="1" si="241"/>
        <v>44.354420603738618</v>
      </c>
      <c r="AS153" s="32">
        <f t="shared" ca="1" si="241"/>
        <v>58.798141329993086</v>
      </c>
      <c r="AT153" s="32">
        <f t="shared" ca="1" si="241"/>
        <v>58.557004592519661</v>
      </c>
      <c r="AU153" s="32">
        <f t="shared" ca="1" si="241"/>
        <v>4905.990719647215</v>
      </c>
      <c r="AV153" s="32">
        <f t="shared" ca="1" si="241"/>
        <v>4860.2304082067021</v>
      </c>
      <c r="AW153" s="32">
        <f t="shared" ca="1" si="241"/>
        <v>0</v>
      </c>
      <c r="AX153" s="32">
        <f t="shared" ca="1" si="241"/>
        <v>0</v>
      </c>
      <c r="AY153" s="32">
        <f t="shared" ca="1" si="241"/>
        <v>0</v>
      </c>
      <c r="AZ153" s="32">
        <f t="shared" ca="1" si="241"/>
        <v>0</v>
      </c>
      <c r="BA153" s="32">
        <f t="shared" ca="1" si="241"/>
        <v>0</v>
      </c>
      <c r="BB153" s="32">
        <f t="shared" ca="1" si="241"/>
        <v>0</v>
      </c>
      <c r="BC153" s="32">
        <f t="shared" ca="1" si="241"/>
        <v>0</v>
      </c>
      <c r="BD153" s="32">
        <f t="shared" ca="1" si="241"/>
        <v>0</v>
      </c>
      <c r="BE153" s="32">
        <f t="shared" ca="1" si="241"/>
        <v>0</v>
      </c>
      <c r="BF153" s="32">
        <f t="shared" ca="1" si="241"/>
        <v>0</v>
      </c>
      <c r="BG153" s="32">
        <f t="shared" ca="1" si="241"/>
        <v>0</v>
      </c>
      <c r="BH153" s="32">
        <f t="shared" ca="1" si="241"/>
        <v>0</v>
      </c>
      <c r="BI153" s="32">
        <f t="shared" ca="1" si="241"/>
        <v>0</v>
      </c>
      <c r="BJ153" s="32">
        <f t="shared" ca="1" si="241"/>
        <v>0</v>
      </c>
      <c r="BK153" s="32">
        <f t="shared" ca="1" si="241"/>
        <v>0</v>
      </c>
      <c r="BL153" s="32">
        <f t="shared" ca="1" si="241"/>
        <v>0</v>
      </c>
      <c r="BM153" s="32">
        <f t="shared" ca="1" si="241"/>
        <v>0</v>
      </c>
      <c r="BN153" s="32">
        <f t="shared" ca="1" si="241"/>
        <v>0</v>
      </c>
      <c r="BO153" s="32">
        <f t="shared" ca="1" si="241"/>
        <v>0</v>
      </c>
      <c r="BP153" s="32">
        <f t="shared" ca="1" si="241"/>
        <v>0</v>
      </c>
      <c r="BQ153" s="32">
        <f t="shared" ref="BQ153:CV153" ca="1" si="242" xml:space="preserve"> BQ$150</f>
        <v>0</v>
      </c>
      <c r="BR153" s="32">
        <f t="shared" ca="1" si="242"/>
        <v>0</v>
      </c>
      <c r="BS153" s="32">
        <f t="shared" ca="1" si="242"/>
        <v>0</v>
      </c>
      <c r="BT153" s="32">
        <f t="shared" ca="1" si="242"/>
        <v>0</v>
      </c>
      <c r="BU153" s="32">
        <f t="shared" ca="1" si="242"/>
        <v>0</v>
      </c>
      <c r="BV153" s="32">
        <f t="shared" ca="1" si="242"/>
        <v>0</v>
      </c>
      <c r="BW153" s="32">
        <f t="shared" ca="1" si="242"/>
        <v>0</v>
      </c>
      <c r="BX153" s="32">
        <f t="shared" ca="1" si="242"/>
        <v>0</v>
      </c>
      <c r="BY153" s="32">
        <f t="shared" ca="1" si="242"/>
        <v>0</v>
      </c>
      <c r="BZ153" s="32">
        <f t="shared" ca="1" si="242"/>
        <v>0</v>
      </c>
      <c r="CA153" s="32">
        <f t="shared" ca="1" si="242"/>
        <v>0</v>
      </c>
      <c r="CB153" s="32">
        <f t="shared" ca="1" si="242"/>
        <v>0</v>
      </c>
      <c r="CC153" s="32">
        <f t="shared" ca="1" si="242"/>
        <v>0</v>
      </c>
      <c r="CD153" s="32">
        <f t="shared" ca="1" si="242"/>
        <v>0</v>
      </c>
      <c r="CE153" s="32">
        <f t="shared" ca="1" si="242"/>
        <v>0</v>
      </c>
      <c r="CF153" s="32">
        <f t="shared" ca="1" si="242"/>
        <v>0</v>
      </c>
      <c r="CG153" s="32">
        <f t="shared" ca="1" si="242"/>
        <v>0</v>
      </c>
      <c r="CH153" s="32">
        <f t="shared" ca="1" si="242"/>
        <v>0</v>
      </c>
      <c r="CI153" s="32">
        <f t="shared" ca="1" si="242"/>
        <v>0</v>
      </c>
      <c r="CJ153" s="32">
        <f t="shared" ca="1" si="242"/>
        <v>0</v>
      </c>
      <c r="CK153" s="32">
        <f t="shared" ca="1" si="242"/>
        <v>0</v>
      </c>
      <c r="CL153" s="32">
        <f t="shared" ca="1" si="242"/>
        <v>0</v>
      </c>
      <c r="CM153" s="32">
        <f t="shared" ca="1" si="242"/>
        <v>0</v>
      </c>
      <c r="CN153" s="32">
        <f t="shared" ca="1" si="242"/>
        <v>0</v>
      </c>
      <c r="CO153" s="32">
        <f t="shared" ca="1" si="242"/>
        <v>0</v>
      </c>
      <c r="CP153" s="32">
        <f t="shared" ca="1" si="242"/>
        <v>0</v>
      </c>
      <c r="CQ153" s="32">
        <f t="shared" ca="1" si="242"/>
        <v>0</v>
      </c>
      <c r="CR153" s="32">
        <f t="shared" ca="1" si="242"/>
        <v>0</v>
      </c>
      <c r="CS153" s="32">
        <f t="shared" ca="1" si="242"/>
        <v>0</v>
      </c>
      <c r="CT153" s="32">
        <f t="shared" ca="1" si="242"/>
        <v>0</v>
      </c>
      <c r="CU153" s="32">
        <f t="shared" ca="1" si="242"/>
        <v>0</v>
      </c>
      <c r="CV153" s="32">
        <f t="shared" ca="1" si="242"/>
        <v>0</v>
      </c>
    </row>
    <row r="154" spans="1:100" s="188" customFormat="1" outlineLevel="2" x14ac:dyDescent="0.2">
      <c r="A154" s="655"/>
      <c r="B154" s="397"/>
      <c r="C154" s="566"/>
      <c r="D154" s="484" t="s">
        <v>366</v>
      </c>
      <c r="E154" s="188" t="s">
        <v>1220</v>
      </c>
      <c r="G154" s="188" t="str">
        <f xml:space="preserve"> SMU</f>
        <v>$ 000s</v>
      </c>
      <c r="H154" s="188">
        <f ca="1" xml:space="preserve"> SUM(J154:CV154)</f>
        <v>11233.130870765843</v>
      </c>
      <c r="J154" s="188">
        <f t="shared" ref="J154:AO154" ca="1" si="243" xml:space="preserve"> MAX(J152:J153)</f>
        <v>0</v>
      </c>
      <c r="K154" s="188">
        <f t="shared" ca="1" si="243"/>
        <v>0</v>
      </c>
      <c r="L154" s="188">
        <f t="shared" ca="1" si="243"/>
        <v>0</v>
      </c>
      <c r="M154" s="188">
        <f t="shared" ca="1" si="243"/>
        <v>0</v>
      </c>
      <c r="N154" s="188">
        <f t="shared" ca="1" si="243"/>
        <v>0</v>
      </c>
      <c r="O154" s="188">
        <f t="shared" ca="1" si="243"/>
        <v>0</v>
      </c>
      <c r="P154" s="188">
        <f t="shared" ca="1" si="243"/>
        <v>42.335741100258019</v>
      </c>
      <c r="Q154" s="188">
        <f t="shared" ca="1" si="243"/>
        <v>43.092867740235306</v>
      </c>
      <c r="R154" s="188">
        <f t="shared" ca="1" si="243"/>
        <v>42.879581749586578</v>
      </c>
      <c r="S154" s="188">
        <f t="shared" ca="1" si="243"/>
        <v>43.64991997917241</v>
      </c>
      <c r="T154" s="188">
        <f t="shared" ca="1" si="243"/>
        <v>35.917089449296327</v>
      </c>
      <c r="U154" s="188">
        <f t="shared" ca="1" si="243"/>
        <v>51.736738267896726</v>
      </c>
      <c r="V154" s="188">
        <f t="shared" ca="1" si="243"/>
        <v>51.520153956027571</v>
      </c>
      <c r="W154" s="188">
        <f t="shared" ca="1" si="243"/>
        <v>37.281901461477901</v>
      </c>
      <c r="X154" s="188">
        <f t="shared" ca="1" si="243"/>
        <v>44.581523890254175</v>
      </c>
      <c r="Y154" s="188">
        <f t="shared" ca="1" si="243"/>
        <v>45.393141598593502</v>
      </c>
      <c r="Z154" s="188">
        <f t="shared" ca="1" si="243"/>
        <v>45.173102681601449</v>
      </c>
      <c r="AA154" s="188">
        <f t="shared" ca="1" si="243"/>
        <v>45.999044801290438</v>
      </c>
      <c r="AB154" s="188">
        <f t="shared" ca="1" si="243"/>
        <v>38.505552075483138</v>
      </c>
      <c r="AC154" s="188">
        <f t="shared" ca="1" si="243"/>
        <v>53.889444469637965</v>
      </c>
      <c r="AD154" s="188">
        <f t="shared" ca="1" si="243"/>
        <v>53.665789023656544</v>
      </c>
      <c r="AE154" s="188">
        <f t="shared" ca="1" si="243"/>
        <v>39.977934428390654</v>
      </c>
      <c r="AF154" s="188">
        <f t="shared" ca="1" si="243"/>
        <v>47.024073246167973</v>
      </c>
      <c r="AG154" s="188">
        <f t="shared" ca="1" si="243"/>
        <v>47.894768113961618</v>
      </c>
      <c r="AH154" s="188">
        <f t="shared" ca="1" si="243"/>
        <v>47.667326786007834</v>
      </c>
      <c r="AI154" s="188">
        <f t="shared" ca="1" si="243"/>
        <v>48.553561438860925</v>
      </c>
      <c r="AJ154" s="188">
        <f t="shared" ca="1" si="243"/>
        <v>41.312289489233081</v>
      </c>
      <c r="AK154" s="188">
        <f t="shared" ca="1" si="243"/>
        <v>56.23811380654297</v>
      </c>
      <c r="AL154" s="188">
        <f t="shared" ca="1" si="243"/>
        <v>56.006711623023875</v>
      </c>
      <c r="AM154" s="188">
        <f t="shared" ca="1" si="243"/>
        <v>42.901219348826999</v>
      </c>
      <c r="AN154" s="188">
        <f t="shared" ca="1" si="243"/>
        <v>49.679640115220536</v>
      </c>
      <c r="AO154" s="188">
        <f t="shared" ca="1" si="243"/>
        <v>50.614394328145863</v>
      </c>
      <c r="AP154" s="188">
        <f t="shared" ref="AP154:BU154" ca="1" si="244" xml:space="preserve"> MAX(AP152:AP153)</f>
        <v>50.378847808828141</v>
      </c>
      <c r="AQ154" s="188">
        <f t="shared" ca="1" si="244"/>
        <v>51.329703607994816</v>
      </c>
      <c r="AR154" s="188">
        <f t="shared" ca="1" si="244"/>
        <v>44.354420603738618</v>
      </c>
      <c r="AS154" s="188">
        <f t="shared" ca="1" si="244"/>
        <v>58.798141329993086</v>
      </c>
      <c r="AT154" s="188">
        <f t="shared" ca="1" si="244"/>
        <v>58.557004592519661</v>
      </c>
      <c r="AU154" s="188">
        <f t="shared" ca="1" si="244"/>
        <v>4905.990719647215</v>
      </c>
      <c r="AV154" s="188">
        <f t="shared" ca="1" si="244"/>
        <v>4860.2304082067021</v>
      </c>
      <c r="AW154" s="188">
        <f t="shared" ca="1" si="244"/>
        <v>0</v>
      </c>
      <c r="AX154" s="188">
        <f t="shared" ca="1" si="244"/>
        <v>0</v>
      </c>
      <c r="AY154" s="188">
        <f t="shared" ca="1" si="244"/>
        <v>0</v>
      </c>
      <c r="AZ154" s="188">
        <f t="shared" ca="1" si="244"/>
        <v>0</v>
      </c>
      <c r="BA154" s="188">
        <f t="shared" ca="1" si="244"/>
        <v>0</v>
      </c>
      <c r="BB154" s="188">
        <f t="shared" ca="1" si="244"/>
        <v>0</v>
      </c>
      <c r="BC154" s="188">
        <f t="shared" ca="1" si="244"/>
        <v>0</v>
      </c>
      <c r="BD154" s="188">
        <f t="shared" ca="1" si="244"/>
        <v>0</v>
      </c>
      <c r="BE154" s="188">
        <f t="shared" ca="1" si="244"/>
        <v>0</v>
      </c>
      <c r="BF154" s="188">
        <f t="shared" ca="1" si="244"/>
        <v>0</v>
      </c>
      <c r="BG154" s="188">
        <f t="shared" ca="1" si="244"/>
        <v>0</v>
      </c>
      <c r="BH154" s="188">
        <f t="shared" ca="1" si="244"/>
        <v>0</v>
      </c>
      <c r="BI154" s="188">
        <f t="shared" ca="1" si="244"/>
        <v>0</v>
      </c>
      <c r="BJ154" s="188">
        <f t="shared" ca="1" si="244"/>
        <v>0</v>
      </c>
      <c r="BK154" s="188">
        <f t="shared" ca="1" si="244"/>
        <v>0</v>
      </c>
      <c r="BL154" s="188">
        <f t="shared" ca="1" si="244"/>
        <v>0</v>
      </c>
      <c r="BM154" s="188">
        <f t="shared" ca="1" si="244"/>
        <v>0</v>
      </c>
      <c r="BN154" s="188">
        <f t="shared" ca="1" si="244"/>
        <v>0</v>
      </c>
      <c r="BO154" s="188">
        <f t="shared" ca="1" si="244"/>
        <v>0</v>
      </c>
      <c r="BP154" s="188">
        <f t="shared" ca="1" si="244"/>
        <v>0</v>
      </c>
      <c r="BQ154" s="188">
        <f t="shared" ca="1" si="244"/>
        <v>0</v>
      </c>
      <c r="BR154" s="188">
        <f t="shared" ca="1" si="244"/>
        <v>0</v>
      </c>
      <c r="BS154" s="188">
        <f t="shared" ca="1" si="244"/>
        <v>0</v>
      </c>
      <c r="BT154" s="188">
        <f t="shared" ca="1" si="244"/>
        <v>0</v>
      </c>
      <c r="BU154" s="188">
        <f t="shared" ca="1" si="244"/>
        <v>0</v>
      </c>
      <c r="BV154" s="188">
        <f t="shared" ref="BV154:CV154" ca="1" si="245" xml:space="preserve"> MAX(BV152:BV153)</f>
        <v>0</v>
      </c>
      <c r="BW154" s="188">
        <f t="shared" ca="1" si="245"/>
        <v>0</v>
      </c>
      <c r="BX154" s="188">
        <f t="shared" ca="1" si="245"/>
        <v>0</v>
      </c>
      <c r="BY154" s="188">
        <f t="shared" ca="1" si="245"/>
        <v>0</v>
      </c>
      <c r="BZ154" s="188">
        <f t="shared" ca="1" si="245"/>
        <v>0</v>
      </c>
      <c r="CA154" s="188">
        <f t="shared" ca="1" si="245"/>
        <v>0</v>
      </c>
      <c r="CB154" s="188">
        <f t="shared" ca="1" si="245"/>
        <v>0</v>
      </c>
      <c r="CC154" s="188">
        <f t="shared" ca="1" si="245"/>
        <v>0</v>
      </c>
      <c r="CD154" s="188">
        <f t="shared" ca="1" si="245"/>
        <v>0</v>
      </c>
      <c r="CE154" s="188">
        <f t="shared" ca="1" si="245"/>
        <v>0</v>
      </c>
      <c r="CF154" s="188">
        <f t="shared" ca="1" si="245"/>
        <v>0</v>
      </c>
      <c r="CG154" s="188">
        <f t="shared" ca="1" si="245"/>
        <v>0</v>
      </c>
      <c r="CH154" s="188">
        <f t="shared" ca="1" si="245"/>
        <v>0</v>
      </c>
      <c r="CI154" s="188">
        <f t="shared" ca="1" si="245"/>
        <v>0</v>
      </c>
      <c r="CJ154" s="188">
        <f t="shared" ca="1" si="245"/>
        <v>0</v>
      </c>
      <c r="CK154" s="188">
        <f t="shared" ca="1" si="245"/>
        <v>0</v>
      </c>
      <c r="CL154" s="188">
        <f t="shared" ca="1" si="245"/>
        <v>0</v>
      </c>
      <c r="CM154" s="188">
        <f t="shared" ca="1" si="245"/>
        <v>0</v>
      </c>
      <c r="CN154" s="188">
        <f t="shared" ca="1" si="245"/>
        <v>0</v>
      </c>
      <c r="CO154" s="188">
        <f t="shared" ca="1" si="245"/>
        <v>0</v>
      </c>
      <c r="CP154" s="188">
        <f t="shared" ca="1" si="245"/>
        <v>0</v>
      </c>
      <c r="CQ154" s="188">
        <f t="shared" ca="1" si="245"/>
        <v>0</v>
      </c>
      <c r="CR154" s="188">
        <f t="shared" ca="1" si="245"/>
        <v>0</v>
      </c>
      <c r="CS154" s="188">
        <f t="shared" ca="1" si="245"/>
        <v>0</v>
      </c>
      <c r="CT154" s="188">
        <f t="shared" ca="1" si="245"/>
        <v>0</v>
      </c>
      <c r="CU154" s="188">
        <f t="shared" ca="1" si="245"/>
        <v>0</v>
      </c>
      <c r="CV154" s="188">
        <f t="shared" ca="1" si="245"/>
        <v>0</v>
      </c>
    </row>
    <row r="155" spans="1:100" outlineLevel="1" x14ac:dyDescent="0.2">
      <c r="A155" s="33"/>
      <c r="B155" s="79"/>
      <c r="C155" s="561"/>
      <c r="D155" s="60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BS155" s="32"/>
      <c r="BT155" s="32"/>
      <c r="BU155" s="32"/>
      <c r="BV155" s="32"/>
      <c r="BW155" s="32"/>
      <c r="BX155" s="32"/>
      <c r="BY155" s="32"/>
      <c r="BZ155" s="32"/>
      <c r="CA155" s="32"/>
      <c r="CB155" s="32"/>
      <c r="CC155" s="32"/>
      <c r="CD155" s="32"/>
      <c r="CE155" s="32"/>
      <c r="CF155" s="32"/>
      <c r="CG155" s="32"/>
      <c r="CH155" s="32"/>
      <c r="CI155" s="32"/>
      <c r="CJ155" s="32"/>
      <c r="CK155" s="32"/>
      <c r="CL155" s="32"/>
      <c r="CM155" s="32"/>
      <c r="CN155" s="32"/>
      <c r="CO155" s="32"/>
      <c r="CP155" s="32"/>
      <c r="CQ155" s="32"/>
      <c r="CR155" s="32"/>
      <c r="CS155" s="32"/>
      <c r="CT155" s="32"/>
      <c r="CU155" s="32"/>
      <c r="CV155" s="32"/>
    </row>
    <row r="156" spans="1:100" outlineLevel="1" x14ac:dyDescent="0.2">
      <c r="A156" s="33"/>
      <c r="B156" s="79" t="s">
        <v>368</v>
      </c>
      <c r="C156" s="561"/>
      <c r="D156" s="60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BS156" s="32"/>
      <c r="BT156" s="32"/>
      <c r="BU156" s="32"/>
      <c r="BV156" s="32"/>
      <c r="BW156" s="32"/>
      <c r="BX156" s="32"/>
      <c r="BY156" s="32"/>
      <c r="BZ156" s="32"/>
      <c r="CA156" s="32"/>
      <c r="CB156" s="32"/>
      <c r="CC156" s="32"/>
      <c r="CD156" s="32"/>
      <c r="CE156" s="32"/>
      <c r="CF156" s="32"/>
      <c r="CG156" s="32"/>
      <c r="CH156" s="32"/>
      <c r="CI156" s="32"/>
      <c r="CJ156" s="32"/>
      <c r="CK156" s="32"/>
      <c r="CL156" s="32"/>
      <c r="CM156" s="32"/>
      <c r="CN156" s="32"/>
      <c r="CO156" s="32"/>
      <c r="CP156" s="32"/>
      <c r="CQ156" s="32"/>
      <c r="CR156" s="32"/>
      <c r="CS156" s="32"/>
      <c r="CT156" s="32"/>
      <c r="CU156" s="32"/>
      <c r="CV156" s="32"/>
    </row>
    <row r="157" spans="1:100" s="502" customFormat="1" outlineLevel="2" x14ac:dyDescent="0.2">
      <c r="A157" s="656"/>
      <c r="B157" s="568"/>
      <c r="C157" s="569"/>
      <c r="D157" s="570"/>
      <c r="E157" s="1116" t="str">
        <f xml:space="preserve"> E$33</f>
        <v>Target DSRA balance at end construction</v>
      </c>
      <c r="F157" s="1116">
        <f t="shared" ref="F157:G157" si="246" xml:space="preserve"> F$33</f>
        <v>11233.130669939161</v>
      </c>
      <c r="G157" s="1116" t="str">
        <f t="shared" si="246"/>
        <v>$ 000s</v>
      </c>
      <c r="H157" s="571"/>
      <c r="I157" s="571"/>
      <c r="J157" s="571"/>
      <c r="K157" s="571"/>
      <c r="L157" s="571"/>
      <c r="M157" s="571"/>
      <c r="N157" s="571"/>
      <c r="O157" s="571"/>
      <c r="P157" s="571"/>
      <c r="Q157" s="571"/>
      <c r="R157" s="571"/>
      <c r="S157" s="571"/>
      <c r="T157" s="571"/>
      <c r="U157" s="571"/>
      <c r="V157" s="571"/>
      <c r="W157" s="571"/>
      <c r="X157" s="571"/>
      <c r="Y157" s="571"/>
      <c r="Z157" s="571"/>
      <c r="AA157" s="571"/>
      <c r="AB157" s="571"/>
      <c r="AC157" s="571"/>
      <c r="AD157" s="571"/>
      <c r="AE157" s="571"/>
      <c r="AF157" s="571"/>
      <c r="AG157" s="571"/>
      <c r="AH157" s="571"/>
      <c r="AI157" s="571"/>
      <c r="AJ157" s="571"/>
      <c r="AK157" s="571"/>
      <c r="AL157" s="571"/>
      <c r="AM157" s="571"/>
      <c r="AN157" s="571"/>
      <c r="AO157" s="571"/>
      <c r="AP157" s="571"/>
      <c r="AQ157" s="571"/>
      <c r="AR157" s="571"/>
      <c r="AS157" s="571"/>
      <c r="AT157" s="571"/>
      <c r="AU157" s="571"/>
      <c r="AV157" s="571"/>
      <c r="AW157" s="571"/>
      <c r="AX157" s="571"/>
      <c r="AY157" s="571"/>
      <c r="AZ157" s="571"/>
      <c r="BA157" s="571"/>
      <c r="BB157" s="571"/>
      <c r="BC157" s="571"/>
      <c r="BD157" s="571"/>
      <c r="BE157" s="571"/>
      <c r="BF157" s="571"/>
      <c r="BG157" s="571"/>
      <c r="BH157" s="571"/>
      <c r="BI157" s="571"/>
      <c r="BJ157" s="571"/>
      <c r="BK157" s="571"/>
      <c r="BL157" s="571"/>
      <c r="BM157" s="571"/>
      <c r="BN157" s="571"/>
      <c r="BO157" s="571"/>
      <c r="BP157" s="571"/>
      <c r="BQ157" s="571"/>
      <c r="BR157" s="571"/>
      <c r="BS157" s="571"/>
      <c r="BT157" s="571"/>
      <c r="BU157" s="571"/>
      <c r="BV157" s="571"/>
      <c r="BW157" s="571"/>
      <c r="BX157" s="571"/>
      <c r="BY157" s="571"/>
      <c r="BZ157" s="571"/>
      <c r="CA157" s="571"/>
      <c r="CB157" s="571"/>
      <c r="CC157" s="571"/>
      <c r="CD157" s="571"/>
      <c r="CE157" s="571"/>
      <c r="CF157" s="571"/>
      <c r="CG157" s="571"/>
      <c r="CH157" s="571"/>
      <c r="CI157" s="571"/>
      <c r="CJ157" s="571"/>
      <c r="CK157" s="571"/>
      <c r="CL157" s="571"/>
      <c r="CM157" s="571"/>
      <c r="CN157" s="571"/>
      <c r="CO157" s="571"/>
      <c r="CP157" s="571"/>
      <c r="CQ157" s="571"/>
      <c r="CR157" s="571"/>
      <c r="CS157" s="571"/>
      <c r="CT157" s="571"/>
      <c r="CU157" s="571"/>
      <c r="CV157" s="571"/>
    </row>
    <row r="158" spans="1:100" s="540" customFormat="1" outlineLevel="2" x14ac:dyDescent="0.2">
      <c r="A158" s="429"/>
      <c r="B158" s="429"/>
      <c r="C158" s="430"/>
      <c r="D158" s="443"/>
      <c r="E158" s="578" t="str">
        <f xml:space="preserve"> Time!E$81</f>
        <v>End of construction period flag</v>
      </c>
      <c r="F158" s="578">
        <f xml:space="preserve"> Time!F$81</f>
        <v>0</v>
      </c>
      <c r="G158" s="578" t="str">
        <f xml:space="preserve"> Time!G$81</f>
        <v>flag</v>
      </c>
      <c r="H158" s="578">
        <f xml:space="preserve"> Time!H$81</f>
        <v>1</v>
      </c>
      <c r="I158" s="578">
        <f xml:space="preserve"> Time!I$81</f>
        <v>0</v>
      </c>
      <c r="J158" s="578">
        <f xml:space="preserve"> Time!J$81</f>
        <v>0</v>
      </c>
      <c r="K158" s="578">
        <f xml:space="preserve"> Time!K$81</f>
        <v>0</v>
      </c>
      <c r="L158" s="578">
        <f xml:space="preserve"> Time!L$81</f>
        <v>0</v>
      </c>
      <c r="M158" s="578">
        <f xml:space="preserve"> Time!M$81</f>
        <v>0</v>
      </c>
      <c r="N158" s="578">
        <f xml:space="preserve"> Time!N$81</f>
        <v>1</v>
      </c>
      <c r="O158" s="578">
        <f xml:space="preserve"> Time!O$81</f>
        <v>0</v>
      </c>
      <c r="P158" s="578">
        <f xml:space="preserve"> Time!P$81</f>
        <v>0</v>
      </c>
      <c r="Q158" s="578">
        <f xml:space="preserve"> Time!Q$81</f>
        <v>0</v>
      </c>
      <c r="R158" s="578">
        <f xml:space="preserve"> Time!R$81</f>
        <v>0</v>
      </c>
      <c r="S158" s="578">
        <f xml:space="preserve"> Time!S$81</f>
        <v>0</v>
      </c>
      <c r="T158" s="578">
        <f xml:space="preserve"> Time!T$81</f>
        <v>0</v>
      </c>
      <c r="U158" s="578">
        <f xml:space="preserve"> Time!U$81</f>
        <v>0</v>
      </c>
      <c r="V158" s="578">
        <f xml:space="preserve"> Time!V$81</f>
        <v>0</v>
      </c>
      <c r="W158" s="578">
        <f xml:space="preserve"> Time!W$81</f>
        <v>0</v>
      </c>
      <c r="X158" s="578">
        <f xml:space="preserve"> Time!X$81</f>
        <v>0</v>
      </c>
      <c r="Y158" s="578">
        <f xml:space="preserve"> Time!Y$81</f>
        <v>0</v>
      </c>
      <c r="Z158" s="578">
        <f xml:space="preserve"> Time!Z$81</f>
        <v>0</v>
      </c>
      <c r="AA158" s="578">
        <f xml:space="preserve"> Time!AA$81</f>
        <v>0</v>
      </c>
      <c r="AB158" s="578">
        <f xml:space="preserve"> Time!AB$81</f>
        <v>0</v>
      </c>
      <c r="AC158" s="578">
        <f xml:space="preserve"> Time!AC$81</f>
        <v>0</v>
      </c>
      <c r="AD158" s="578">
        <f xml:space="preserve"> Time!AD$81</f>
        <v>0</v>
      </c>
      <c r="AE158" s="578">
        <f xml:space="preserve"> Time!AE$81</f>
        <v>0</v>
      </c>
      <c r="AF158" s="578">
        <f xml:space="preserve"> Time!AF$81</f>
        <v>0</v>
      </c>
      <c r="AG158" s="578">
        <f xml:space="preserve"> Time!AG$81</f>
        <v>0</v>
      </c>
      <c r="AH158" s="578">
        <f xml:space="preserve"> Time!AH$81</f>
        <v>0</v>
      </c>
      <c r="AI158" s="578">
        <f xml:space="preserve"> Time!AI$81</f>
        <v>0</v>
      </c>
      <c r="AJ158" s="578">
        <f xml:space="preserve"> Time!AJ$81</f>
        <v>0</v>
      </c>
      <c r="AK158" s="578">
        <f xml:space="preserve"> Time!AK$81</f>
        <v>0</v>
      </c>
      <c r="AL158" s="578">
        <f xml:space="preserve"> Time!AL$81</f>
        <v>0</v>
      </c>
      <c r="AM158" s="578">
        <f xml:space="preserve"> Time!AM$81</f>
        <v>0</v>
      </c>
      <c r="AN158" s="578">
        <f xml:space="preserve"> Time!AN$81</f>
        <v>0</v>
      </c>
      <c r="AO158" s="578">
        <f xml:space="preserve"> Time!AO$81</f>
        <v>0</v>
      </c>
      <c r="AP158" s="578">
        <f xml:space="preserve"> Time!AP$81</f>
        <v>0</v>
      </c>
      <c r="AQ158" s="578">
        <f xml:space="preserve"> Time!AQ$81</f>
        <v>0</v>
      </c>
      <c r="AR158" s="578">
        <f xml:space="preserve"> Time!AR$81</f>
        <v>0</v>
      </c>
      <c r="AS158" s="578">
        <f xml:space="preserve"> Time!AS$81</f>
        <v>0</v>
      </c>
      <c r="AT158" s="578">
        <f xml:space="preserve"> Time!AT$81</f>
        <v>0</v>
      </c>
      <c r="AU158" s="578">
        <f xml:space="preserve"> Time!AU$81</f>
        <v>0</v>
      </c>
      <c r="AV158" s="578">
        <f xml:space="preserve"> Time!AV$81</f>
        <v>0</v>
      </c>
      <c r="AW158" s="578">
        <f xml:space="preserve"> Time!AW$81</f>
        <v>0</v>
      </c>
      <c r="AX158" s="578">
        <f xml:space="preserve"> Time!AX$81</f>
        <v>0</v>
      </c>
      <c r="AY158" s="578">
        <f xml:space="preserve"> Time!AY$81</f>
        <v>0</v>
      </c>
      <c r="AZ158" s="578">
        <f xml:space="preserve"> Time!AZ$81</f>
        <v>0</v>
      </c>
      <c r="BA158" s="578">
        <f xml:space="preserve"> Time!BA$81</f>
        <v>0</v>
      </c>
      <c r="BB158" s="578">
        <f xml:space="preserve"> Time!BB$81</f>
        <v>0</v>
      </c>
      <c r="BC158" s="578">
        <f xml:space="preserve"> Time!BC$81</f>
        <v>0</v>
      </c>
      <c r="BD158" s="578">
        <f xml:space="preserve"> Time!BD$81</f>
        <v>0</v>
      </c>
      <c r="BE158" s="578">
        <f xml:space="preserve"> Time!BE$81</f>
        <v>0</v>
      </c>
      <c r="BF158" s="578">
        <f xml:space="preserve"> Time!BF$81</f>
        <v>0</v>
      </c>
      <c r="BG158" s="578">
        <f xml:space="preserve"> Time!BG$81</f>
        <v>0</v>
      </c>
      <c r="BH158" s="578">
        <f xml:space="preserve"> Time!BH$81</f>
        <v>0</v>
      </c>
      <c r="BI158" s="578">
        <f xml:space="preserve"> Time!BI$81</f>
        <v>0</v>
      </c>
      <c r="BJ158" s="578">
        <f xml:space="preserve"> Time!BJ$81</f>
        <v>0</v>
      </c>
      <c r="BK158" s="578">
        <f xml:space="preserve"> Time!BK$81</f>
        <v>0</v>
      </c>
      <c r="BL158" s="578">
        <f xml:space="preserve"> Time!BL$81</f>
        <v>0</v>
      </c>
      <c r="BM158" s="578">
        <f xml:space="preserve"> Time!BM$81</f>
        <v>0</v>
      </c>
      <c r="BN158" s="578">
        <f xml:space="preserve"> Time!BN$81</f>
        <v>0</v>
      </c>
      <c r="BO158" s="578">
        <f xml:space="preserve"> Time!BO$81</f>
        <v>0</v>
      </c>
      <c r="BP158" s="578">
        <f xml:space="preserve"> Time!BP$81</f>
        <v>0</v>
      </c>
      <c r="BQ158" s="578">
        <f xml:space="preserve"> Time!BQ$81</f>
        <v>0</v>
      </c>
      <c r="BR158" s="578">
        <f xml:space="preserve"> Time!BR$81</f>
        <v>0</v>
      </c>
      <c r="BS158" s="578">
        <f xml:space="preserve"> Time!BS$81</f>
        <v>0</v>
      </c>
      <c r="BT158" s="578">
        <f xml:space="preserve"> Time!BT$81</f>
        <v>0</v>
      </c>
      <c r="BU158" s="578">
        <f xml:space="preserve"> Time!BU$81</f>
        <v>0</v>
      </c>
      <c r="BV158" s="578">
        <f xml:space="preserve"> Time!BV$81</f>
        <v>0</v>
      </c>
      <c r="BW158" s="578">
        <f xml:space="preserve"> Time!BW$81</f>
        <v>0</v>
      </c>
      <c r="BX158" s="578">
        <f xml:space="preserve"> Time!BX$81</f>
        <v>0</v>
      </c>
      <c r="BY158" s="578">
        <f xml:space="preserve"> Time!BY$81</f>
        <v>0</v>
      </c>
      <c r="BZ158" s="578">
        <f xml:space="preserve"> Time!BZ$81</f>
        <v>0</v>
      </c>
      <c r="CA158" s="578">
        <f xml:space="preserve"> Time!CA$81</f>
        <v>0</v>
      </c>
      <c r="CB158" s="578">
        <f xml:space="preserve"> Time!CB$81</f>
        <v>0</v>
      </c>
      <c r="CC158" s="578">
        <f xml:space="preserve"> Time!CC$81</f>
        <v>0</v>
      </c>
      <c r="CD158" s="578">
        <f xml:space="preserve"> Time!CD$81</f>
        <v>0</v>
      </c>
      <c r="CE158" s="578">
        <f xml:space="preserve"> Time!CE$81</f>
        <v>0</v>
      </c>
      <c r="CF158" s="578">
        <f xml:space="preserve"> Time!CF$81</f>
        <v>0</v>
      </c>
      <c r="CG158" s="578">
        <f xml:space="preserve"> Time!CG$81</f>
        <v>0</v>
      </c>
      <c r="CH158" s="578">
        <f xml:space="preserve"> Time!CH$81</f>
        <v>0</v>
      </c>
      <c r="CI158" s="578">
        <f xml:space="preserve"> Time!CI$81</f>
        <v>0</v>
      </c>
      <c r="CJ158" s="578">
        <f xml:space="preserve"> Time!CJ$81</f>
        <v>0</v>
      </c>
      <c r="CK158" s="578">
        <f xml:space="preserve"> Time!CK$81</f>
        <v>0</v>
      </c>
      <c r="CL158" s="578">
        <f xml:space="preserve"> Time!CL$81</f>
        <v>0</v>
      </c>
      <c r="CM158" s="578">
        <f xml:space="preserve"> Time!CM$81</f>
        <v>0</v>
      </c>
      <c r="CN158" s="578">
        <f xml:space="preserve"> Time!CN$81</f>
        <v>0</v>
      </c>
      <c r="CO158" s="578">
        <f xml:space="preserve"> Time!CO$81</f>
        <v>0</v>
      </c>
      <c r="CP158" s="578">
        <f xml:space="preserve"> Time!CP$81</f>
        <v>0</v>
      </c>
      <c r="CQ158" s="578">
        <f xml:space="preserve"> Time!CQ$81</f>
        <v>0</v>
      </c>
      <c r="CR158" s="578">
        <f xml:space="preserve"> Time!CR$81</f>
        <v>0</v>
      </c>
      <c r="CS158" s="578">
        <f xml:space="preserve"> Time!CS$81</f>
        <v>0</v>
      </c>
      <c r="CT158" s="578">
        <f xml:space="preserve"> Time!CT$81</f>
        <v>0</v>
      </c>
      <c r="CU158" s="578">
        <f xml:space="preserve"> Time!CU$81</f>
        <v>0</v>
      </c>
      <c r="CV158" s="578">
        <f xml:space="preserve"> Time!CV$81</f>
        <v>0</v>
      </c>
    </row>
    <row r="159" spans="1:100" s="498" customFormat="1" outlineLevel="2" x14ac:dyDescent="0.2">
      <c r="A159" s="52"/>
      <c r="B159" s="249"/>
      <c r="C159" s="299"/>
      <c r="D159" s="579"/>
      <c r="E159" s="500"/>
      <c r="F159" s="500"/>
      <c r="G159" s="500"/>
      <c r="H159" s="500"/>
      <c r="I159" s="500"/>
      <c r="J159" s="500"/>
      <c r="K159" s="500"/>
      <c r="L159" s="500"/>
      <c r="M159" s="500"/>
      <c r="N159" s="500"/>
      <c r="O159" s="500"/>
      <c r="P159" s="500"/>
      <c r="Q159" s="500"/>
      <c r="R159" s="500"/>
      <c r="S159" s="500"/>
      <c r="T159" s="500"/>
      <c r="U159" s="500"/>
      <c r="V159" s="500"/>
      <c r="W159" s="500"/>
      <c r="X159" s="500"/>
      <c r="Y159" s="500"/>
      <c r="Z159" s="500"/>
      <c r="AA159" s="500"/>
      <c r="AB159" s="500"/>
      <c r="AC159" s="500"/>
      <c r="AD159" s="500"/>
      <c r="AE159" s="500"/>
      <c r="AF159" s="500"/>
      <c r="AG159" s="500"/>
      <c r="AH159" s="500"/>
      <c r="AI159" s="500"/>
      <c r="AJ159" s="500"/>
      <c r="AK159" s="500"/>
      <c r="AL159" s="500"/>
      <c r="AM159" s="500"/>
      <c r="AN159" s="500"/>
      <c r="AO159" s="500"/>
      <c r="AP159" s="500"/>
      <c r="AQ159" s="500"/>
      <c r="AR159" s="500"/>
      <c r="AS159" s="500"/>
      <c r="AT159" s="500"/>
      <c r="AU159" s="500"/>
      <c r="AV159" s="500"/>
      <c r="AW159" s="500"/>
      <c r="AX159" s="500"/>
      <c r="AY159" s="500"/>
      <c r="AZ159" s="500"/>
      <c r="BA159" s="500"/>
      <c r="BB159" s="500"/>
      <c r="BC159" s="500"/>
      <c r="BD159" s="500"/>
      <c r="BE159" s="500"/>
      <c r="BF159" s="500"/>
      <c r="BG159" s="500"/>
      <c r="BH159" s="500"/>
      <c r="BI159" s="500"/>
      <c r="BJ159" s="500"/>
      <c r="BK159" s="500"/>
      <c r="BL159" s="500"/>
      <c r="BM159" s="500"/>
      <c r="BN159" s="500"/>
      <c r="BO159" s="500"/>
      <c r="BP159" s="500"/>
      <c r="BQ159" s="500"/>
      <c r="BR159" s="500"/>
      <c r="BS159" s="500"/>
      <c r="BT159" s="500"/>
      <c r="BU159" s="500"/>
      <c r="BV159" s="500"/>
      <c r="BW159" s="500"/>
      <c r="BX159" s="500"/>
      <c r="BY159" s="500"/>
      <c r="BZ159" s="500"/>
      <c r="CA159" s="500"/>
      <c r="CB159" s="500"/>
      <c r="CC159" s="500"/>
      <c r="CD159" s="500"/>
      <c r="CE159" s="500"/>
      <c r="CF159" s="500"/>
      <c r="CG159" s="500"/>
      <c r="CH159" s="500"/>
      <c r="CI159" s="500"/>
      <c r="CJ159" s="500"/>
      <c r="CK159" s="500"/>
      <c r="CL159" s="500"/>
      <c r="CM159" s="500"/>
      <c r="CN159" s="500"/>
      <c r="CO159" s="500"/>
      <c r="CP159" s="500"/>
      <c r="CQ159" s="500"/>
      <c r="CR159" s="500"/>
      <c r="CS159" s="500"/>
      <c r="CT159" s="500"/>
      <c r="CU159" s="500"/>
      <c r="CV159" s="500"/>
    </row>
    <row r="160" spans="1:100" s="498" customFormat="1" outlineLevel="2" x14ac:dyDescent="0.2">
      <c r="A160" s="227"/>
      <c r="B160" s="580"/>
      <c r="C160" s="581"/>
      <c r="D160" s="582"/>
      <c r="E160" s="332" t="s">
        <v>1221</v>
      </c>
      <c r="F160" s="332"/>
      <c r="G160" s="332" t="str">
        <f xml:space="preserve"> SMU</f>
        <v>$ 000s</v>
      </c>
      <c r="H160" s="332"/>
      <c r="I160" s="332"/>
      <c r="J160" s="332">
        <f t="shared" ref="J160:AO160" si="247">I163</f>
        <v>0</v>
      </c>
      <c r="K160" s="332">
        <f t="shared" ca="1" si="247"/>
        <v>0</v>
      </c>
      <c r="L160" s="332">
        <f t="shared" ca="1" si="247"/>
        <v>0</v>
      </c>
      <c r="M160" s="332">
        <f t="shared" ca="1" si="247"/>
        <v>0</v>
      </c>
      <c r="N160" s="332">
        <f t="shared" ca="1" si="247"/>
        <v>0</v>
      </c>
      <c r="O160" s="332">
        <f t="shared" ca="1" si="247"/>
        <v>11233.130669939161</v>
      </c>
      <c r="P160" s="332">
        <f t="shared" ca="1" si="247"/>
        <v>11233.130669939161</v>
      </c>
      <c r="Q160" s="332">
        <f t="shared" ca="1" si="247"/>
        <v>11190.794928838903</v>
      </c>
      <c r="R160" s="332">
        <f t="shared" ca="1" si="247"/>
        <v>11147.702061098667</v>
      </c>
      <c r="S160" s="332">
        <f t="shared" ca="1" si="247"/>
        <v>11104.822479349081</v>
      </c>
      <c r="T160" s="332">
        <f t="shared" ca="1" si="247"/>
        <v>11061.172559369908</v>
      </c>
      <c r="U160" s="332">
        <f t="shared" ca="1" si="247"/>
        <v>11025.255469920612</v>
      </c>
      <c r="V160" s="332">
        <f t="shared" ca="1" si="247"/>
        <v>10973.518731652715</v>
      </c>
      <c r="W160" s="332">
        <f t="shared" ca="1" si="247"/>
        <v>10921.998577696688</v>
      </c>
      <c r="X160" s="332">
        <f t="shared" ca="1" si="247"/>
        <v>10884.71667623521</v>
      </c>
      <c r="Y160" s="332">
        <f t="shared" ca="1" si="247"/>
        <v>10840.135152344956</v>
      </c>
      <c r="Z160" s="332">
        <f t="shared" ca="1" si="247"/>
        <v>10794.742010746362</v>
      </c>
      <c r="AA160" s="332">
        <f t="shared" ca="1" si="247"/>
        <v>10749.568908064761</v>
      </c>
      <c r="AB160" s="332">
        <f t="shared" ca="1" si="247"/>
        <v>10703.56986326347</v>
      </c>
      <c r="AC160" s="332">
        <f t="shared" ca="1" si="247"/>
        <v>10665.064311187987</v>
      </c>
      <c r="AD160" s="332">
        <f t="shared" ca="1" si="247"/>
        <v>10611.174866718349</v>
      </c>
      <c r="AE160" s="332">
        <f t="shared" ca="1" si="247"/>
        <v>10557.509077694693</v>
      </c>
      <c r="AF160" s="332">
        <f t="shared" ca="1" si="247"/>
        <v>10517.531143266302</v>
      </c>
      <c r="AG160" s="332">
        <f t="shared" ca="1" si="247"/>
        <v>10470.507070020134</v>
      </c>
      <c r="AH160" s="332">
        <f t="shared" ca="1" si="247"/>
        <v>10422.612301906172</v>
      </c>
      <c r="AI160" s="332">
        <f t="shared" ca="1" si="247"/>
        <v>10374.944975120165</v>
      </c>
      <c r="AJ160" s="332">
        <f t="shared" ca="1" si="247"/>
        <v>10326.391413681304</v>
      </c>
      <c r="AK160" s="332">
        <f t="shared" ca="1" si="247"/>
        <v>10285.079124192071</v>
      </c>
      <c r="AL160" s="332">
        <f t="shared" ca="1" si="247"/>
        <v>10228.841010385528</v>
      </c>
      <c r="AM160" s="332">
        <f t="shared" ca="1" si="247"/>
        <v>10172.834298762504</v>
      </c>
      <c r="AN160" s="332">
        <f t="shared" ca="1" si="247"/>
        <v>10129.933079413677</v>
      </c>
      <c r="AO160" s="332">
        <f t="shared" ca="1" si="247"/>
        <v>10080.253439298456</v>
      </c>
      <c r="AP160" s="332">
        <f t="shared" ref="AP160:BU160" ca="1" si="248">AO163</f>
        <v>10029.63904497031</v>
      </c>
      <c r="AQ160" s="332">
        <f t="shared" ca="1" si="248"/>
        <v>9979.2601971614822</v>
      </c>
      <c r="AR160" s="332">
        <f t="shared" ca="1" si="248"/>
        <v>9927.9304935534874</v>
      </c>
      <c r="AS160" s="332">
        <f t="shared" ca="1" si="248"/>
        <v>9883.5760729497488</v>
      </c>
      <c r="AT160" s="332">
        <f t="shared" ca="1" si="248"/>
        <v>9824.7779316197557</v>
      </c>
      <c r="AU160" s="332">
        <f t="shared" ca="1" si="248"/>
        <v>9766.220927027236</v>
      </c>
      <c r="AV160" s="332">
        <f t="shared" ca="1" si="248"/>
        <v>4860.2302073800211</v>
      </c>
      <c r="AW160" s="332">
        <f t="shared" ca="1" si="248"/>
        <v>-2.0082668106624624E-4</v>
      </c>
      <c r="AX160" s="332">
        <f t="shared" ca="1" si="248"/>
        <v>-2.0082668106624624E-4</v>
      </c>
      <c r="AY160" s="332">
        <f t="shared" ca="1" si="248"/>
        <v>-2.0082668106624624E-4</v>
      </c>
      <c r="AZ160" s="332">
        <f t="shared" ca="1" si="248"/>
        <v>-2.0082668106624624E-4</v>
      </c>
      <c r="BA160" s="332">
        <f t="shared" ca="1" si="248"/>
        <v>-2.0082668106624624E-4</v>
      </c>
      <c r="BB160" s="332">
        <f t="shared" ca="1" si="248"/>
        <v>-2.0082668106624624E-4</v>
      </c>
      <c r="BC160" s="332">
        <f t="shared" ca="1" si="248"/>
        <v>-2.0082668106624624E-4</v>
      </c>
      <c r="BD160" s="332">
        <f t="shared" ca="1" si="248"/>
        <v>-2.0082668106624624E-4</v>
      </c>
      <c r="BE160" s="332">
        <f t="shared" ca="1" si="248"/>
        <v>-2.0082668106624624E-4</v>
      </c>
      <c r="BF160" s="332">
        <f t="shared" ca="1" si="248"/>
        <v>-2.0082668106624624E-4</v>
      </c>
      <c r="BG160" s="332">
        <f t="shared" ca="1" si="248"/>
        <v>-2.0082668106624624E-4</v>
      </c>
      <c r="BH160" s="332">
        <f t="shared" ca="1" si="248"/>
        <v>-2.0082668106624624E-4</v>
      </c>
      <c r="BI160" s="332">
        <f t="shared" ca="1" si="248"/>
        <v>-2.0082668106624624E-4</v>
      </c>
      <c r="BJ160" s="332">
        <f t="shared" ca="1" si="248"/>
        <v>-2.0082668106624624E-4</v>
      </c>
      <c r="BK160" s="332">
        <f t="shared" ca="1" si="248"/>
        <v>-2.0082668106624624E-4</v>
      </c>
      <c r="BL160" s="332">
        <f t="shared" ca="1" si="248"/>
        <v>-2.0082668106624624E-4</v>
      </c>
      <c r="BM160" s="332">
        <f t="shared" ca="1" si="248"/>
        <v>-2.0082668106624624E-4</v>
      </c>
      <c r="BN160" s="332">
        <f t="shared" ca="1" si="248"/>
        <v>-2.0082668106624624E-4</v>
      </c>
      <c r="BO160" s="332">
        <f t="shared" ca="1" si="248"/>
        <v>-2.0082668106624624E-4</v>
      </c>
      <c r="BP160" s="332">
        <f t="shared" ca="1" si="248"/>
        <v>-2.0082668106624624E-4</v>
      </c>
      <c r="BQ160" s="332">
        <f t="shared" ca="1" si="248"/>
        <v>-2.0082668106624624E-4</v>
      </c>
      <c r="BR160" s="332">
        <f t="shared" ca="1" si="248"/>
        <v>-2.0082668106624624E-4</v>
      </c>
      <c r="BS160" s="332">
        <f t="shared" ca="1" si="248"/>
        <v>-2.0082668106624624E-4</v>
      </c>
      <c r="BT160" s="332">
        <f t="shared" ca="1" si="248"/>
        <v>-2.0082668106624624E-4</v>
      </c>
      <c r="BU160" s="332">
        <f t="shared" ca="1" si="248"/>
        <v>-2.0082668106624624E-4</v>
      </c>
      <c r="BV160" s="332">
        <f t="shared" ref="BV160:CV160" ca="1" si="249">BU163</f>
        <v>-2.0082668106624624E-4</v>
      </c>
      <c r="BW160" s="332">
        <f t="shared" ca="1" si="249"/>
        <v>-2.0082668106624624E-4</v>
      </c>
      <c r="BX160" s="332">
        <f t="shared" ca="1" si="249"/>
        <v>-2.0082668106624624E-4</v>
      </c>
      <c r="BY160" s="332">
        <f t="shared" ca="1" si="249"/>
        <v>-2.0082668106624624E-4</v>
      </c>
      <c r="BZ160" s="332">
        <f t="shared" ca="1" si="249"/>
        <v>-2.0082668106624624E-4</v>
      </c>
      <c r="CA160" s="332">
        <f t="shared" ca="1" si="249"/>
        <v>-2.0082668106624624E-4</v>
      </c>
      <c r="CB160" s="332">
        <f t="shared" ca="1" si="249"/>
        <v>-2.0082668106624624E-4</v>
      </c>
      <c r="CC160" s="332">
        <f t="shared" ca="1" si="249"/>
        <v>-2.0082668106624624E-4</v>
      </c>
      <c r="CD160" s="332">
        <f t="shared" ca="1" si="249"/>
        <v>-2.0082668106624624E-4</v>
      </c>
      <c r="CE160" s="332">
        <f t="shared" ca="1" si="249"/>
        <v>-2.0082668106624624E-4</v>
      </c>
      <c r="CF160" s="332">
        <f t="shared" ca="1" si="249"/>
        <v>-2.0082668106624624E-4</v>
      </c>
      <c r="CG160" s="332">
        <f t="shared" ca="1" si="249"/>
        <v>-2.0082668106624624E-4</v>
      </c>
      <c r="CH160" s="332">
        <f t="shared" ca="1" si="249"/>
        <v>-2.0082668106624624E-4</v>
      </c>
      <c r="CI160" s="332">
        <f t="shared" ca="1" si="249"/>
        <v>-2.0082668106624624E-4</v>
      </c>
      <c r="CJ160" s="332">
        <f t="shared" ca="1" si="249"/>
        <v>-2.0082668106624624E-4</v>
      </c>
      <c r="CK160" s="332">
        <f t="shared" ca="1" si="249"/>
        <v>-2.0082668106624624E-4</v>
      </c>
      <c r="CL160" s="332">
        <f t="shared" ca="1" si="249"/>
        <v>-2.0082668106624624E-4</v>
      </c>
      <c r="CM160" s="332">
        <f t="shared" ca="1" si="249"/>
        <v>-2.0082668106624624E-4</v>
      </c>
      <c r="CN160" s="332">
        <f t="shared" ca="1" si="249"/>
        <v>-2.0082668106624624E-4</v>
      </c>
      <c r="CO160" s="332">
        <f t="shared" ca="1" si="249"/>
        <v>-2.0082668106624624E-4</v>
      </c>
      <c r="CP160" s="332">
        <f t="shared" ca="1" si="249"/>
        <v>-2.0082668106624624E-4</v>
      </c>
      <c r="CQ160" s="332">
        <f t="shared" ca="1" si="249"/>
        <v>-2.0082668106624624E-4</v>
      </c>
      <c r="CR160" s="332">
        <f t="shared" ca="1" si="249"/>
        <v>-2.0082668106624624E-4</v>
      </c>
      <c r="CS160" s="332">
        <f t="shared" ca="1" si="249"/>
        <v>-2.0082668106624624E-4</v>
      </c>
      <c r="CT160" s="332">
        <f t="shared" ca="1" si="249"/>
        <v>-2.0082668106624624E-4</v>
      </c>
      <c r="CU160" s="332">
        <f t="shared" ca="1" si="249"/>
        <v>-2.0082668106624624E-4</v>
      </c>
      <c r="CV160" s="332">
        <f t="shared" ca="1" si="249"/>
        <v>-2.0082668106624624E-4</v>
      </c>
    </row>
    <row r="161" spans="1:100" s="498" customFormat="1" outlineLevel="2" x14ac:dyDescent="0.2">
      <c r="A161" s="52"/>
      <c r="B161" s="249"/>
      <c r="C161" s="299"/>
      <c r="D161" s="579" t="s">
        <v>371</v>
      </c>
      <c r="E161" s="500" t="str">
        <f t="shared" ref="E161:AJ161" si="250" xml:space="preserve"> E$145</f>
        <v>DSRA deposit - P99 POS</v>
      </c>
      <c r="F161" s="500">
        <f t="shared" si="250"/>
        <v>0</v>
      </c>
      <c r="G161" s="500" t="str">
        <f t="shared" si="250"/>
        <v>$ 000s</v>
      </c>
      <c r="H161" s="500">
        <f t="shared" ca="1" si="250"/>
        <v>0</v>
      </c>
      <c r="I161" s="500">
        <f t="shared" si="250"/>
        <v>0</v>
      </c>
      <c r="J161" s="500">
        <f t="shared" ca="1" si="250"/>
        <v>0</v>
      </c>
      <c r="K161" s="500">
        <f t="shared" ca="1" si="250"/>
        <v>0</v>
      </c>
      <c r="L161" s="500">
        <f t="shared" ca="1" si="250"/>
        <v>0</v>
      </c>
      <c r="M161" s="500">
        <f t="shared" ca="1" si="250"/>
        <v>0</v>
      </c>
      <c r="N161" s="500">
        <f t="shared" ca="1" si="250"/>
        <v>0</v>
      </c>
      <c r="O161" s="500">
        <f t="shared" ca="1" si="250"/>
        <v>0</v>
      </c>
      <c r="P161" s="500">
        <f t="shared" ca="1" si="250"/>
        <v>0</v>
      </c>
      <c r="Q161" s="500">
        <f t="shared" ca="1" si="250"/>
        <v>0</v>
      </c>
      <c r="R161" s="500">
        <f t="shared" ca="1" si="250"/>
        <v>0</v>
      </c>
      <c r="S161" s="500">
        <f t="shared" ca="1" si="250"/>
        <v>0</v>
      </c>
      <c r="T161" s="500">
        <f t="shared" ca="1" si="250"/>
        <v>0</v>
      </c>
      <c r="U161" s="500">
        <f t="shared" ca="1" si="250"/>
        <v>0</v>
      </c>
      <c r="V161" s="500">
        <f t="shared" ca="1" si="250"/>
        <v>0</v>
      </c>
      <c r="W161" s="500">
        <f t="shared" ca="1" si="250"/>
        <v>0</v>
      </c>
      <c r="X161" s="500">
        <f t="shared" ca="1" si="250"/>
        <v>0</v>
      </c>
      <c r="Y161" s="500">
        <f t="shared" ca="1" si="250"/>
        <v>0</v>
      </c>
      <c r="Z161" s="500">
        <f t="shared" ca="1" si="250"/>
        <v>0</v>
      </c>
      <c r="AA161" s="500">
        <f t="shared" ca="1" si="250"/>
        <v>0</v>
      </c>
      <c r="AB161" s="500">
        <f t="shared" ca="1" si="250"/>
        <v>0</v>
      </c>
      <c r="AC161" s="500">
        <f t="shared" ca="1" si="250"/>
        <v>0</v>
      </c>
      <c r="AD161" s="500">
        <f t="shared" ca="1" si="250"/>
        <v>0</v>
      </c>
      <c r="AE161" s="500">
        <f t="shared" ca="1" si="250"/>
        <v>0</v>
      </c>
      <c r="AF161" s="500">
        <f t="shared" ca="1" si="250"/>
        <v>0</v>
      </c>
      <c r="AG161" s="500">
        <f t="shared" ca="1" si="250"/>
        <v>0</v>
      </c>
      <c r="AH161" s="500">
        <f t="shared" ca="1" si="250"/>
        <v>0</v>
      </c>
      <c r="AI161" s="500">
        <f t="shared" ca="1" si="250"/>
        <v>0</v>
      </c>
      <c r="AJ161" s="500">
        <f t="shared" ca="1" si="250"/>
        <v>0</v>
      </c>
      <c r="AK161" s="500">
        <f t="shared" ref="AK161:BP161" ca="1" si="251" xml:space="preserve"> AK$145</f>
        <v>0</v>
      </c>
      <c r="AL161" s="500">
        <f t="shared" ca="1" si="251"/>
        <v>0</v>
      </c>
      <c r="AM161" s="500">
        <f t="shared" ca="1" si="251"/>
        <v>0</v>
      </c>
      <c r="AN161" s="500">
        <f t="shared" ca="1" si="251"/>
        <v>0</v>
      </c>
      <c r="AO161" s="500">
        <f t="shared" ca="1" si="251"/>
        <v>0</v>
      </c>
      <c r="AP161" s="500">
        <f t="shared" ca="1" si="251"/>
        <v>0</v>
      </c>
      <c r="AQ161" s="500">
        <f t="shared" ca="1" si="251"/>
        <v>0</v>
      </c>
      <c r="AR161" s="500">
        <f t="shared" ca="1" si="251"/>
        <v>0</v>
      </c>
      <c r="AS161" s="500">
        <f t="shared" ca="1" si="251"/>
        <v>0</v>
      </c>
      <c r="AT161" s="500">
        <f t="shared" ca="1" si="251"/>
        <v>0</v>
      </c>
      <c r="AU161" s="500">
        <f t="shared" ca="1" si="251"/>
        <v>0</v>
      </c>
      <c r="AV161" s="500">
        <f t="shared" ca="1" si="251"/>
        <v>0</v>
      </c>
      <c r="AW161" s="500">
        <f t="shared" ca="1" si="251"/>
        <v>0</v>
      </c>
      <c r="AX161" s="500">
        <f t="shared" ca="1" si="251"/>
        <v>0</v>
      </c>
      <c r="AY161" s="500">
        <f t="shared" ca="1" si="251"/>
        <v>0</v>
      </c>
      <c r="AZ161" s="500">
        <f t="shared" ca="1" si="251"/>
        <v>0</v>
      </c>
      <c r="BA161" s="500">
        <f t="shared" ca="1" si="251"/>
        <v>0</v>
      </c>
      <c r="BB161" s="500">
        <f t="shared" ca="1" si="251"/>
        <v>0</v>
      </c>
      <c r="BC161" s="500">
        <f t="shared" ca="1" si="251"/>
        <v>0</v>
      </c>
      <c r="BD161" s="500">
        <f t="shared" ca="1" si="251"/>
        <v>0</v>
      </c>
      <c r="BE161" s="500">
        <f t="shared" ca="1" si="251"/>
        <v>0</v>
      </c>
      <c r="BF161" s="500">
        <f t="shared" ca="1" si="251"/>
        <v>0</v>
      </c>
      <c r="BG161" s="500">
        <f t="shared" ca="1" si="251"/>
        <v>0</v>
      </c>
      <c r="BH161" s="500">
        <f t="shared" ca="1" si="251"/>
        <v>0</v>
      </c>
      <c r="BI161" s="500">
        <f t="shared" ca="1" si="251"/>
        <v>0</v>
      </c>
      <c r="BJ161" s="500">
        <f t="shared" ca="1" si="251"/>
        <v>0</v>
      </c>
      <c r="BK161" s="500">
        <f t="shared" ca="1" si="251"/>
        <v>0</v>
      </c>
      <c r="BL161" s="500">
        <f t="shared" ca="1" si="251"/>
        <v>0</v>
      </c>
      <c r="BM161" s="500">
        <f t="shared" ca="1" si="251"/>
        <v>0</v>
      </c>
      <c r="BN161" s="500">
        <f t="shared" ca="1" si="251"/>
        <v>0</v>
      </c>
      <c r="BO161" s="500">
        <f t="shared" ca="1" si="251"/>
        <v>0</v>
      </c>
      <c r="BP161" s="500">
        <f t="shared" ca="1" si="251"/>
        <v>0</v>
      </c>
      <c r="BQ161" s="500">
        <f t="shared" ref="BQ161:CV161" ca="1" si="252" xml:space="preserve"> BQ$145</f>
        <v>0</v>
      </c>
      <c r="BR161" s="500">
        <f t="shared" ca="1" si="252"/>
        <v>0</v>
      </c>
      <c r="BS161" s="500">
        <f t="shared" ca="1" si="252"/>
        <v>0</v>
      </c>
      <c r="BT161" s="500">
        <f t="shared" ca="1" si="252"/>
        <v>0</v>
      </c>
      <c r="BU161" s="500">
        <f t="shared" ca="1" si="252"/>
        <v>0</v>
      </c>
      <c r="BV161" s="500">
        <f t="shared" ca="1" si="252"/>
        <v>0</v>
      </c>
      <c r="BW161" s="500">
        <f t="shared" ca="1" si="252"/>
        <v>0</v>
      </c>
      <c r="BX161" s="500">
        <f t="shared" ca="1" si="252"/>
        <v>0</v>
      </c>
      <c r="BY161" s="500">
        <f t="shared" ca="1" si="252"/>
        <v>0</v>
      </c>
      <c r="BZ161" s="500">
        <f t="shared" ca="1" si="252"/>
        <v>0</v>
      </c>
      <c r="CA161" s="500">
        <f t="shared" ca="1" si="252"/>
        <v>0</v>
      </c>
      <c r="CB161" s="500">
        <f t="shared" ca="1" si="252"/>
        <v>0</v>
      </c>
      <c r="CC161" s="500">
        <f t="shared" ca="1" si="252"/>
        <v>0</v>
      </c>
      <c r="CD161" s="500">
        <f t="shared" ca="1" si="252"/>
        <v>0</v>
      </c>
      <c r="CE161" s="500">
        <f t="shared" ca="1" si="252"/>
        <v>0</v>
      </c>
      <c r="CF161" s="500">
        <f t="shared" ca="1" si="252"/>
        <v>0</v>
      </c>
      <c r="CG161" s="500">
        <f t="shared" ca="1" si="252"/>
        <v>0</v>
      </c>
      <c r="CH161" s="500">
        <f t="shared" ca="1" si="252"/>
        <v>0</v>
      </c>
      <c r="CI161" s="500">
        <f t="shared" ca="1" si="252"/>
        <v>0</v>
      </c>
      <c r="CJ161" s="500">
        <f t="shared" ca="1" si="252"/>
        <v>0</v>
      </c>
      <c r="CK161" s="500">
        <f t="shared" ca="1" si="252"/>
        <v>0</v>
      </c>
      <c r="CL161" s="500">
        <f t="shared" ca="1" si="252"/>
        <v>0</v>
      </c>
      <c r="CM161" s="500">
        <f t="shared" ca="1" si="252"/>
        <v>0</v>
      </c>
      <c r="CN161" s="500">
        <f t="shared" ca="1" si="252"/>
        <v>0</v>
      </c>
      <c r="CO161" s="500">
        <f t="shared" ca="1" si="252"/>
        <v>0</v>
      </c>
      <c r="CP161" s="500">
        <f t="shared" ca="1" si="252"/>
        <v>0</v>
      </c>
      <c r="CQ161" s="500">
        <f t="shared" ca="1" si="252"/>
        <v>0</v>
      </c>
      <c r="CR161" s="500">
        <f t="shared" ca="1" si="252"/>
        <v>0</v>
      </c>
      <c r="CS161" s="500">
        <f t="shared" ca="1" si="252"/>
        <v>0</v>
      </c>
      <c r="CT161" s="500">
        <f t="shared" ca="1" si="252"/>
        <v>0</v>
      </c>
      <c r="CU161" s="500">
        <f t="shared" ca="1" si="252"/>
        <v>0</v>
      </c>
      <c r="CV161" s="500">
        <f t="shared" ca="1" si="252"/>
        <v>0</v>
      </c>
    </row>
    <row r="162" spans="1:100" s="498" customFormat="1" outlineLevel="2" x14ac:dyDescent="0.2">
      <c r="A162" s="52"/>
      <c r="B162" s="249"/>
      <c r="C162" s="299"/>
      <c r="D162" s="579" t="s">
        <v>170</v>
      </c>
      <c r="E162" s="500" t="str">
        <f t="shared" ref="E162:AJ162" si="253" xml:space="preserve"> E$154</f>
        <v>DSRA withdrawal - P99</v>
      </c>
      <c r="F162" s="500">
        <f t="shared" si="253"/>
        <v>0</v>
      </c>
      <c r="G162" s="500" t="str">
        <f t="shared" si="253"/>
        <v>$ 000s</v>
      </c>
      <c r="H162" s="500">
        <f t="shared" ca="1" si="253"/>
        <v>11233.130870765843</v>
      </c>
      <c r="I162" s="500">
        <f t="shared" si="253"/>
        <v>0</v>
      </c>
      <c r="J162" s="500">
        <f t="shared" ca="1" si="253"/>
        <v>0</v>
      </c>
      <c r="K162" s="500">
        <f t="shared" ca="1" si="253"/>
        <v>0</v>
      </c>
      <c r="L162" s="500">
        <f t="shared" ca="1" si="253"/>
        <v>0</v>
      </c>
      <c r="M162" s="500">
        <f t="shared" ca="1" si="253"/>
        <v>0</v>
      </c>
      <c r="N162" s="500">
        <f t="shared" ca="1" si="253"/>
        <v>0</v>
      </c>
      <c r="O162" s="500">
        <f t="shared" ca="1" si="253"/>
        <v>0</v>
      </c>
      <c r="P162" s="500">
        <f t="shared" ca="1" si="253"/>
        <v>42.335741100258019</v>
      </c>
      <c r="Q162" s="500">
        <f t="shared" ca="1" si="253"/>
        <v>43.092867740235306</v>
      </c>
      <c r="R162" s="500">
        <f t="shared" ca="1" si="253"/>
        <v>42.879581749586578</v>
      </c>
      <c r="S162" s="500">
        <f t="shared" ca="1" si="253"/>
        <v>43.64991997917241</v>
      </c>
      <c r="T162" s="500">
        <f t="shared" ca="1" si="253"/>
        <v>35.917089449296327</v>
      </c>
      <c r="U162" s="500">
        <f t="shared" ca="1" si="253"/>
        <v>51.736738267896726</v>
      </c>
      <c r="V162" s="500">
        <f t="shared" ca="1" si="253"/>
        <v>51.520153956027571</v>
      </c>
      <c r="W162" s="500">
        <f t="shared" ca="1" si="253"/>
        <v>37.281901461477901</v>
      </c>
      <c r="X162" s="500">
        <f t="shared" ca="1" si="253"/>
        <v>44.581523890254175</v>
      </c>
      <c r="Y162" s="500">
        <f t="shared" ca="1" si="253"/>
        <v>45.393141598593502</v>
      </c>
      <c r="Z162" s="500">
        <f t="shared" ca="1" si="253"/>
        <v>45.173102681601449</v>
      </c>
      <c r="AA162" s="500">
        <f t="shared" ca="1" si="253"/>
        <v>45.999044801290438</v>
      </c>
      <c r="AB162" s="500">
        <f t="shared" ca="1" si="253"/>
        <v>38.505552075483138</v>
      </c>
      <c r="AC162" s="500">
        <f t="shared" ca="1" si="253"/>
        <v>53.889444469637965</v>
      </c>
      <c r="AD162" s="500">
        <f t="shared" ca="1" si="253"/>
        <v>53.665789023656544</v>
      </c>
      <c r="AE162" s="500">
        <f t="shared" ca="1" si="253"/>
        <v>39.977934428390654</v>
      </c>
      <c r="AF162" s="500">
        <f t="shared" ca="1" si="253"/>
        <v>47.024073246167973</v>
      </c>
      <c r="AG162" s="500">
        <f t="shared" ca="1" si="253"/>
        <v>47.894768113961618</v>
      </c>
      <c r="AH162" s="500">
        <f t="shared" ca="1" si="253"/>
        <v>47.667326786007834</v>
      </c>
      <c r="AI162" s="500">
        <f t="shared" ca="1" si="253"/>
        <v>48.553561438860925</v>
      </c>
      <c r="AJ162" s="500">
        <f t="shared" ca="1" si="253"/>
        <v>41.312289489233081</v>
      </c>
      <c r="AK162" s="500">
        <f t="shared" ref="AK162:BP162" ca="1" si="254" xml:space="preserve"> AK$154</f>
        <v>56.23811380654297</v>
      </c>
      <c r="AL162" s="500">
        <f t="shared" ca="1" si="254"/>
        <v>56.006711623023875</v>
      </c>
      <c r="AM162" s="500">
        <f t="shared" ca="1" si="254"/>
        <v>42.901219348826999</v>
      </c>
      <c r="AN162" s="500">
        <f t="shared" ca="1" si="254"/>
        <v>49.679640115220536</v>
      </c>
      <c r="AO162" s="500">
        <f t="shared" ca="1" si="254"/>
        <v>50.614394328145863</v>
      </c>
      <c r="AP162" s="500">
        <f t="shared" ca="1" si="254"/>
        <v>50.378847808828141</v>
      </c>
      <c r="AQ162" s="500">
        <f t="shared" ca="1" si="254"/>
        <v>51.329703607994816</v>
      </c>
      <c r="AR162" s="500">
        <f t="shared" ca="1" si="254"/>
        <v>44.354420603738618</v>
      </c>
      <c r="AS162" s="500">
        <f t="shared" ca="1" si="254"/>
        <v>58.798141329993086</v>
      </c>
      <c r="AT162" s="500">
        <f t="shared" ca="1" si="254"/>
        <v>58.557004592519661</v>
      </c>
      <c r="AU162" s="500">
        <f t="shared" ca="1" si="254"/>
        <v>4905.990719647215</v>
      </c>
      <c r="AV162" s="500">
        <f t="shared" ca="1" si="254"/>
        <v>4860.2304082067021</v>
      </c>
      <c r="AW162" s="500">
        <f t="shared" ca="1" si="254"/>
        <v>0</v>
      </c>
      <c r="AX162" s="500">
        <f t="shared" ca="1" si="254"/>
        <v>0</v>
      </c>
      <c r="AY162" s="500">
        <f t="shared" ca="1" si="254"/>
        <v>0</v>
      </c>
      <c r="AZ162" s="500">
        <f t="shared" ca="1" si="254"/>
        <v>0</v>
      </c>
      <c r="BA162" s="500">
        <f t="shared" ca="1" si="254"/>
        <v>0</v>
      </c>
      <c r="BB162" s="500">
        <f t="shared" ca="1" si="254"/>
        <v>0</v>
      </c>
      <c r="BC162" s="500">
        <f t="shared" ca="1" si="254"/>
        <v>0</v>
      </c>
      <c r="BD162" s="500">
        <f t="shared" ca="1" si="254"/>
        <v>0</v>
      </c>
      <c r="BE162" s="500">
        <f t="shared" ca="1" si="254"/>
        <v>0</v>
      </c>
      <c r="BF162" s="500">
        <f t="shared" ca="1" si="254"/>
        <v>0</v>
      </c>
      <c r="BG162" s="500">
        <f t="shared" ca="1" si="254"/>
        <v>0</v>
      </c>
      <c r="BH162" s="500">
        <f t="shared" ca="1" si="254"/>
        <v>0</v>
      </c>
      <c r="BI162" s="500">
        <f t="shared" ca="1" si="254"/>
        <v>0</v>
      </c>
      <c r="BJ162" s="500">
        <f t="shared" ca="1" si="254"/>
        <v>0</v>
      </c>
      <c r="BK162" s="500">
        <f t="shared" ca="1" si="254"/>
        <v>0</v>
      </c>
      <c r="BL162" s="500">
        <f t="shared" ca="1" si="254"/>
        <v>0</v>
      </c>
      <c r="BM162" s="500">
        <f t="shared" ca="1" si="254"/>
        <v>0</v>
      </c>
      <c r="BN162" s="500">
        <f t="shared" ca="1" si="254"/>
        <v>0</v>
      </c>
      <c r="BO162" s="500">
        <f t="shared" ca="1" si="254"/>
        <v>0</v>
      </c>
      <c r="BP162" s="500">
        <f t="shared" ca="1" si="254"/>
        <v>0</v>
      </c>
      <c r="BQ162" s="500">
        <f t="shared" ref="BQ162:CV162" ca="1" si="255" xml:space="preserve"> BQ$154</f>
        <v>0</v>
      </c>
      <c r="BR162" s="500">
        <f t="shared" ca="1" si="255"/>
        <v>0</v>
      </c>
      <c r="BS162" s="500">
        <f t="shared" ca="1" si="255"/>
        <v>0</v>
      </c>
      <c r="BT162" s="500">
        <f t="shared" ca="1" si="255"/>
        <v>0</v>
      </c>
      <c r="BU162" s="500">
        <f t="shared" ca="1" si="255"/>
        <v>0</v>
      </c>
      <c r="BV162" s="500">
        <f t="shared" ca="1" si="255"/>
        <v>0</v>
      </c>
      <c r="BW162" s="500">
        <f t="shared" ca="1" si="255"/>
        <v>0</v>
      </c>
      <c r="BX162" s="500">
        <f t="shared" ca="1" si="255"/>
        <v>0</v>
      </c>
      <c r="BY162" s="500">
        <f t="shared" ca="1" si="255"/>
        <v>0</v>
      </c>
      <c r="BZ162" s="500">
        <f t="shared" ca="1" si="255"/>
        <v>0</v>
      </c>
      <c r="CA162" s="500">
        <f t="shared" ca="1" si="255"/>
        <v>0</v>
      </c>
      <c r="CB162" s="500">
        <f t="shared" ca="1" si="255"/>
        <v>0</v>
      </c>
      <c r="CC162" s="500">
        <f t="shared" ca="1" si="255"/>
        <v>0</v>
      </c>
      <c r="CD162" s="500">
        <f t="shared" ca="1" si="255"/>
        <v>0</v>
      </c>
      <c r="CE162" s="500">
        <f t="shared" ca="1" si="255"/>
        <v>0</v>
      </c>
      <c r="CF162" s="500">
        <f t="shared" ca="1" si="255"/>
        <v>0</v>
      </c>
      <c r="CG162" s="500">
        <f t="shared" ca="1" si="255"/>
        <v>0</v>
      </c>
      <c r="CH162" s="500">
        <f t="shared" ca="1" si="255"/>
        <v>0</v>
      </c>
      <c r="CI162" s="500">
        <f t="shared" ca="1" si="255"/>
        <v>0</v>
      </c>
      <c r="CJ162" s="500">
        <f t="shared" ca="1" si="255"/>
        <v>0</v>
      </c>
      <c r="CK162" s="500">
        <f t="shared" ca="1" si="255"/>
        <v>0</v>
      </c>
      <c r="CL162" s="500">
        <f t="shared" ca="1" si="255"/>
        <v>0</v>
      </c>
      <c r="CM162" s="500">
        <f t="shared" ca="1" si="255"/>
        <v>0</v>
      </c>
      <c r="CN162" s="500">
        <f t="shared" ca="1" si="255"/>
        <v>0</v>
      </c>
      <c r="CO162" s="500">
        <f t="shared" ca="1" si="255"/>
        <v>0</v>
      </c>
      <c r="CP162" s="500">
        <f t="shared" ca="1" si="255"/>
        <v>0</v>
      </c>
      <c r="CQ162" s="500">
        <f t="shared" ca="1" si="255"/>
        <v>0</v>
      </c>
      <c r="CR162" s="500">
        <f t="shared" ca="1" si="255"/>
        <v>0</v>
      </c>
      <c r="CS162" s="500">
        <f t="shared" ca="1" si="255"/>
        <v>0</v>
      </c>
      <c r="CT162" s="500">
        <f t="shared" ca="1" si="255"/>
        <v>0</v>
      </c>
      <c r="CU162" s="500">
        <f t="shared" ca="1" si="255"/>
        <v>0</v>
      </c>
      <c r="CV162" s="500">
        <f t="shared" ca="1" si="255"/>
        <v>0</v>
      </c>
    </row>
    <row r="163" spans="1:100" s="541" customFormat="1" outlineLevel="2" x14ac:dyDescent="0.2">
      <c r="A163" s="657"/>
      <c r="B163" s="572"/>
      <c r="C163" s="573"/>
      <c r="D163" s="574" t="s">
        <v>372</v>
      </c>
      <c r="E163" s="541" t="s">
        <v>1222</v>
      </c>
      <c r="G163" s="541" t="str">
        <f xml:space="preserve"> SMU</f>
        <v>$ 000s</v>
      </c>
      <c r="J163" s="541">
        <f t="shared" ref="J163:AO163" ca="1" si="256" xml:space="preserve"> IF(J158 = 1, $F157, J160 + J161 - J162)</f>
        <v>0</v>
      </c>
      <c r="K163" s="541">
        <f t="shared" ca="1" si="256"/>
        <v>0</v>
      </c>
      <c r="L163" s="541">
        <f t="shared" ca="1" si="256"/>
        <v>0</v>
      </c>
      <c r="M163" s="541">
        <f t="shared" ca="1" si="256"/>
        <v>0</v>
      </c>
      <c r="N163" s="541">
        <f t="shared" ca="1" si="256"/>
        <v>11233.130669939161</v>
      </c>
      <c r="O163" s="541">
        <f t="shared" ca="1" si="256"/>
        <v>11233.130669939161</v>
      </c>
      <c r="P163" s="541">
        <f t="shared" ca="1" si="256"/>
        <v>11190.794928838903</v>
      </c>
      <c r="Q163" s="541">
        <f t="shared" ca="1" si="256"/>
        <v>11147.702061098667</v>
      </c>
      <c r="R163" s="541">
        <f t="shared" ca="1" si="256"/>
        <v>11104.822479349081</v>
      </c>
      <c r="S163" s="541">
        <f t="shared" ca="1" si="256"/>
        <v>11061.172559369908</v>
      </c>
      <c r="T163" s="541">
        <f t="shared" ca="1" si="256"/>
        <v>11025.255469920612</v>
      </c>
      <c r="U163" s="541">
        <f t="shared" ca="1" si="256"/>
        <v>10973.518731652715</v>
      </c>
      <c r="V163" s="541">
        <f t="shared" ca="1" si="256"/>
        <v>10921.998577696688</v>
      </c>
      <c r="W163" s="541">
        <f t="shared" ca="1" si="256"/>
        <v>10884.71667623521</v>
      </c>
      <c r="X163" s="541">
        <f t="shared" ca="1" si="256"/>
        <v>10840.135152344956</v>
      </c>
      <c r="Y163" s="541">
        <f t="shared" ca="1" si="256"/>
        <v>10794.742010746362</v>
      </c>
      <c r="Z163" s="541">
        <f t="shared" ca="1" si="256"/>
        <v>10749.568908064761</v>
      </c>
      <c r="AA163" s="541">
        <f t="shared" ca="1" si="256"/>
        <v>10703.56986326347</v>
      </c>
      <c r="AB163" s="541">
        <f t="shared" ca="1" si="256"/>
        <v>10665.064311187987</v>
      </c>
      <c r="AC163" s="541">
        <f t="shared" ca="1" si="256"/>
        <v>10611.174866718349</v>
      </c>
      <c r="AD163" s="541">
        <f t="shared" ca="1" si="256"/>
        <v>10557.509077694693</v>
      </c>
      <c r="AE163" s="541">
        <f t="shared" ca="1" si="256"/>
        <v>10517.531143266302</v>
      </c>
      <c r="AF163" s="541">
        <f t="shared" ca="1" si="256"/>
        <v>10470.507070020134</v>
      </c>
      <c r="AG163" s="541">
        <f t="shared" ca="1" si="256"/>
        <v>10422.612301906172</v>
      </c>
      <c r="AH163" s="541">
        <f t="shared" ca="1" si="256"/>
        <v>10374.944975120165</v>
      </c>
      <c r="AI163" s="541">
        <f t="shared" ca="1" si="256"/>
        <v>10326.391413681304</v>
      </c>
      <c r="AJ163" s="541">
        <f t="shared" ca="1" si="256"/>
        <v>10285.079124192071</v>
      </c>
      <c r="AK163" s="541">
        <f t="shared" ca="1" si="256"/>
        <v>10228.841010385528</v>
      </c>
      <c r="AL163" s="541">
        <f t="shared" ca="1" si="256"/>
        <v>10172.834298762504</v>
      </c>
      <c r="AM163" s="541">
        <f t="shared" ca="1" si="256"/>
        <v>10129.933079413677</v>
      </c>
      <c r="AN163" s="541">
        <f t="shared" ca="1" si="256"/>
        <v>10080.253439298456</v>
      </c>
      <c r="AO163" s="541">
        <f t="shared" ca="1" si="256"/>
        <v>10029.63904497031</v>
      </c>
      <c r="AP163" s="541">
        <f t="shared" ref="AP163:BU163" ca="1" si="257" xml:space="preserve"> IF(AP158 = 1, $F157, AP160 + AP161 - AP162)</f>
        <v>9979.2601971614822</v>
      </c>
      <c r="AQ163" s="541">
        <f t="shared" ca="1" si="257"/>
        <v>9927.9304935534874</v>
      </c>
      <c r="AR163" s="541">
        <f t="shared" ca="1" si="257"/>
        <v>9883.5760729497488</v>
      </c>
      <c r="AS163" s="541">
        <f t="shared" ca="1" si="257"/>
        <v>9824.7779316197557</v>
      </c>
      <c r="AT163" s="541">
        <f t="shared" ca="1" si="257"/>
        <v>9766.220927027236</v>
      </c>
      <c r="AU163" s="541">
        <f t="shared" ca="1" si="257"/>
        <v>4860.2302073800211</v>
      </c>
      <c r="AV163" s="541">
        <f t="shared" ca="1" si="257"/>
        <v>-2.0082668106624624E-4</v>
      </c>
      <c r="AW163" s="541">
        <f t="shared" ca="1" si="257"/>
        <v>-2.0082668106624624E-4</v>
      </c>
      <c r="AX163" s="541">
        <f t="shared" ca="1" si="257"/>
        <v>-2.0082668106624624E-4</v>
      </c>
      <c r="AY163" s="541">
        <f t="shared" ca="1" si="257"/>
        <v>-2.0082668106624624E-4</v>
      </c>
      <c r="AZ163" s="541">
        <f t="shared" ca="1" si="257"/>
        <v>-2.0082668106624624E-4</v>
      </c>
      <c r="BA163" s="541">
        <f t="shared" ca="1" si="257"/>
        <v>-2.0082668106624624E-4</v>
      </c>
      <c r="BB163" s="541">
        <f t="shared" ca="1" si="257"/>
        <v>-2.0082668106624624E-4</v>
      </c>
      <c r="BC163" s="541">
        <f t="shared" ca="1" si="257"/>
        <v>-2.0082668106624624E-4</v>
      </c>
      <c r="BD163" s="541">
        <f t="shared" ca="1" si="257"/>
        <v>-2.0082668106624624E-4</v>
      </c>
      <c r="BE163" s="541">
        <f t="shared" ca="1" si="257"/>
        <v>-2.0082668106624624E-4</v>
      </c>
      <c r="BF163" s="541">
        <f t="shared" ca="1" si="257"/>
        <v>-2.0082668106624624E-4</v>
      </c>
      <c r="BG163" s="541">
        <f t="shared" ca="1" si="257"/>
        <v>-2.0082668106624624E-4</v>
      </c>
      <c r="BH163" s="541">
        <f t="shared" ca="1" si="257"/>
        <v>-2.0082668106624624E-4</v>
      </c>
      <c r="BI163" s="541">
        <f t="shared" ca="1" si="257"/>
        <v>-2.0082668106624624E-4</v>
      </c>
      <c r="BJ163" s="541">
        <f t="shared" ca="1" si="257"/>
        <v>-2.0082668106624624E-4</v>
      </c>
      <c r="BK163" s="541">
        <f t="shared" ca="1" si="257"/>
        <v>-2.0082668106624624E-4</v>
      </c>
      <c r="BL163" s="541">
        <f t="shared" ca="1" si="257"/>
        <v>-2.0082668106624624E-4</v>
      </c>
      <c r="BM163" s="541">
        <f t="shared" ca="1" si="257"/>
        <v>-2.0082668106624624E-4</v>
      </c>
      <c r="BN163" s="541">
        <f t="shared" ca="1" si="257"/>
        <v>-2.0082668106624624E-4</v>
      </c>
      <c r="BO163" s="541">
        <f t="shared" ca="1" si="257"/>
        <v>-2.0082668106624624E-4</v>
      </c>
      <c r="BP163" s="541">
        <f t="shared" ca="1" si="257"/>
        <v>-2.0082668106624624E-4</v>
      </c>
      <c r="BQ163" s="541">
        <f t="shared" ca="1" si="257"/>
        <v>-2.0082668106624624E-4</v>
      </c>
      <c r="BR163" s="541">
        <f t="shared" ca="1" si="257"/>
        <v>-2.0082668106624624E-4</v>
      </c>
      <c r="BS163" s="541">
        <f t="shared" ca="1" si="257"/>
        <v>-2.0082668106624624E-4</v>
      </c>
      <c r="BT163" s="541">
        <f t="shared" ca="1" si="257"/>
        <v>-2.0082668106624624E-4</v>
      </c>
      <c r="BU163" s="541">
        <f t="shared" ca="1" si="257"/>
        <v>-2.0082668106624624E-4</v>
      </c>
      <c r="BV163" s="541">
        <f t="shared" ref="BV163:CV163" ca="1" si="258" xml:space="preserve"> IF(BV158 = 1, $F157, BV160 + BV161 - BV162)</f>
        <v>-2.0082668106624624E-4</v>
      </c>
      <c r="BW163" s="541">
        <f t="shared" ca="1" si="258"/>
        <v>-2.0082668106624624E-4</v>
      </c>
      <c r="BX163" s="541">
        <f t="shared" ca="1" si="258"/>
        <v>-2.0082668106624624E-4</v>
      </c>
      <c r="BY163" s="541">
        <f t="shared" ca="1" si="258"/>
        <v>-2.0082668106624624E-4</v>
      </c>
      <c r="BZ163" s="541">
        <f t="shared" ca="1" si="258"/>
        <v>-2.0082668106624624E-4</v>
      </c>
      <c r="CA163" s="541">
        <f t="shared" ca="1" si="258"/>
        <v>-2.0082668106624624E-4</v>
      </c>
      <c r="CB163" s="541">
        <f t="shared" ca="1" si="258"/>
        <v>-2.0082668106624624E-4</v>
      </c>
      <c r="CC163" s="541">
        <f t="shared" ca="1" si="258"/>
        <v>-2.0082668106624624E-4</v>
      </c>
      <c r="CD163" s="541">
        <f t="shared" ca="1" si="258"/>
        <v>-2.0082668106624624E-4</v>
      </c>
      <c r="CE163" s="541">
        <f t="shared" ca="1" si="258"/>
        <v>-2.0082668106624624E-4</v>
      </c>
      <c r="CF163" s="541">
        <f t="shared" ca="1" si="258"/>
        <v>-2.0082668106624624E-4</v>
      </c>
      <c r="CG163" s="541">
        <f t="shared" ca="1" si="258"/>
        <v>-2.0082668106624624E-4</v>
      </c>
      <c r="CH163" s="541">
        <f t="shared" ca="1" si="258"/>
        <v>-2.0082668106624624E-4</v>
      </c>
      <c r="CI163" s="541">
        <f t="shared" ca="1" si="258"/>
        <v>-2.0082668106624624E-4</v>
      </c>
      <c r="CJ163" s="541">
        <f t="shared" ca="1" si="258"/>
        <v>-2.0082668106624624E-4</v>
      </c>
      <c r="CK163" s="541">
        <f t="shared" ca="1" si="258"/>
        <v>-2.0082668106624624E-4</v>
      </c>
      <c r="CL163" s="541">
        <f t="shared" ca="1" si="258"/>
        <v>-2.0082668106624624E-4</v>
      </c>
      <c r="CM163" s="541">
        <f t="shared" ca="1" si="258"/>
        <v>-2.0082668106624624E-4</v>
      </c>
      <c r="CN163" s="541">
        <f t="shared" ca="1" si="258"/>
        <v>-2.0082668106624624E-4</v>
      </c>
      <c r="CO163" s="541">
        <f t="shared" ca="1" si="258"/>
        <v>-2.0082668106624624E-4</v>
      </c>
      <c r="CP163" s="541">
        <f t="shared" ca="1" si="258"/>
        <v>-2.0082668106624624E-4</v>
      </c>
      <c r="CQ163" s="541">
        <f t="shared" ca="1" si="258"/>
        <v>-2.0082668106624624E-4</v>
      </c>
      <c r="CR163" s="541">
        <f t="shared" ca="1" si="258"/>
        <v>-2.0082668106624624E-4</v>
      </c>
      <c r="CS163" s="541">
        <f t="shared" ca="1" si="258"/>
        <v>-2.0082668106624624E-4</v>
      </c>
      <c r="CT163" s="541">
        <f t="shared" ca="1" si="258"/>
        <v>-2.0082668106624624E-4</v>
      </c>
      <c r="CU163" s="541">
        <f t="shared" ca="1" si="258"/>
        <v>-2.0082668106624624E-4</v>
      </c>
      <c r="CV163" s="541">
        <f t="shared" ca="1" si="258"/>
        <v>-2.0082668106624624E-4</v>
      </c>
    </row>
    <row r="164" spans="1:100" outlineLevel="2" x14ac:dyDescent="0.2">
      <c r="A164" s="33"/>
      <c r="B164" s="79"/>
      <c r="C164" s="561"/>
      <c r="D164" s="60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BS164" s="32"/>
      <c r="BT164" s="32"/>
      <c r="BU164" s="32"/>
      <c r="BV164" s="32"/>
      <c r="BW164" s="32"/>
      <c r="BX164" s="32"/>
      <c r="BY164" s="32"/>
      <c r="BZ164" s="32"/>
      <c r="CA164" s="32"/>
      <c r="CB164" s="32"/>
      <c r="CC164" s="32"/>
      <c r="CD164" s="32"/>
      <c r="CE164" s="32"/>
      <c r="CF164" s="32"/>
      <c r="CG164" s="32"/>
      <c r="CH164" s="32"/>
      <c r="CI164" s="32"/>
      <c r="CJ164" s="32"/>
      <c r="CK164" s="32"/>
      <c r="CL164" s="32"/>
      <c r="CM164" s="32"/>
      <c r="CN164" s="32"/>
      <c r="CO164" s="32"/>
      <c r="CP164" s="32"/>
      <c r="CQ164" s="32"/>
      <c r="CR164" s="32"/>
      <c r="CS164" s="32"/>
      <c r="CT164" s="32"/>
      <c r="CU164" s="32"/>
      <c r="CV164" s="32"/>
    </row>
    <row r="165" spans="1:100" x14ac:dyDescent="0.2">
      <c r="A165" s="33"/>
      <c r="B165" s="79"/>
      <c r="C165" s="561"/>
      <c r="D165" s="60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BS165" s="32"/>
      <c r="BT165" s="32"/>
      <c r="BU165" s="32"/>
      <c r="BV165" s="32"/>
      <c r="BW165" s="32"/>
      <c r="BX165" s="32"/>
      <c r="BY165" s="32"/>
      <c r="BZ165" s="32"/>
      <c r="CA165" s="32"/>
      <c r="CB165" s="32"/>
      <c r="CC165" s="32"/>
      <c r="CD165" s="32"/>
      <c r="CE165" s="32"/>
      <c r="CF165" s="32"/>
      <c r="CG165" s="32"/>
      <c r="CH165" s="32"/>
      <c r="CI165" s="32"/>
      <c r="CJ165" s="32"/>
      <c r="CK165" s="32"/>
      <c r="CL165" s="32"/>
      <c r="CM165" s="32"/>
      <c r="CN165" s="32"/>
      <c r="CO165" s="32"/>
      <c r="CP165" s="32"/>
      <c r="CQ165" s="32"/>
      <c r="CR165" s="32"/>
      <c r="CS165" s="32"/>
      <c r="CT165" s="32"/>
      <c r="CU165" s="32"/>
      <c r="CV165" s="32"/>
    </row>
    <row r="166" spans="1:100" ht="15" x14ac:dyDescent="0.2">
      <c r="A166" s="654" t="s">
        <v>494</v>
      </c>
      <c r="B166" s="79"/>
      <c r="C166" s="561"/>
      <c r="D166" s="60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  <c r="CG166" s="32"/>
      <c r="CH166" s="32"/>
      <c r="CI166" s="32"/>
      <c r="CJ166" s="32"/>
      <c r="CK166" s="32"/>
      <c r="CL166" s="32"/>
      <c r="CM166" s="32"/>
      <c r="CN166" s="32"/>
      <c r="CO166" s="32"/>
      <c r="CP166" s="32"/>
      <c r="CQ166" s="32"/>
      <c r="CR166" s="32"/>
      <c r="CS166" s="32"/>
      <c r="CT166" s="32"/>
      <c r="CU166" s="32"/>
      <c r="CV166" s="32"/>
    </row>
    <row r="167" spans="1:100" outlineLevel="1" x14ac:dyDescent="0.2">
      <c r="A167" s="33"/>
      <c r="B167" s="79"/>
      <c r="C167" s="561"/>
      <c r="D167" s="60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BS167" s="32"/>
      <c r="BT167" s="32"/>
      <c r="BU167" s="32"/>
      <c r="BV167" s="32"/>
      <c r="BW167" s="32"/>
      <c r="BX167" s="32"/>
      <c r="BY167" s="32"/>
      <c r="BZ167" s="32"/>
      <c r="CA167" s="32"/>
      <c r="CB167" s="32"/>
      <c r="CC167" s="32"/>
      <c r="CD167" s="32"/>
      <c r="CE167" s="32"/>
      <c r="CF167" s="32"/>
      <c r="CG167" s="32"/>
      <c r="CH167" s="32"/>
      <c r="CI167" s="32"/>
      <c r="CJ167" s="32"/>
      <c r="CK167" s="32"/>
      <c r="CL167" s="32"/>
      <c r="CM167" s="32"/>
      <c r="CN167" s="32"/>
      <c r="CO167" s="32"/>
      <c r="CP167" s="32"/>
      <c r="CQ167" s="32"/>
      <c r="CR167" s="32"/>
      <c r="CS167" s="32"/>
      <c r="CT167" s="32"/>
      <c r="CU167" s="32"/>
      <c r="CV167" s="32"/>
    </row>
    <row r="168" spans="1:100" outlineLevel="1" x14ac:dyDescent="0.2">
      <c r="A168" s="79"/>
      <c r="B168" s="79"/>
      <c r="C168" s="561"/>
      <c r="D168" s="60"/>
      <c r="E168" s="125" t="str">
        <f xml:space="preserve"> InpC!E$355</f>
        <v>DSRA cash or LC funded</v>
      </c>
      <c r="F168" s="125">
        <f xml:space="preserve"> InpC!F$355</f>
        <v>1</v>
      </c>
      <c r="G168" s="125" t="str">
        <f xml:space="preserve"> InpC!G$355</f>
        <v>1 = cash, 2 = LC</v>
      </c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32"/>
      <c r="CO168" s="32"/>
      <c r="CP168" s="32"/>
      <c r="CQ168" s="32"/>
      <c r="CR168" s="32"/>
      <c r="CS168" s="32"/>
      <c r="CT168" s="32"/>
      <c r="CU168" s="32"/>
      <c r="CV168" s="32"/>
    </row>
    <row r="169" spans="1:100" outlineLevel="1" x14ac:dyDescent="0.2">
      <c r="A169" s="79"/>
      <c r="B169" s="79"/>
      <c r="C169" s="561"/>
      <c r="D169" s="60"/>
      <c r="E169" s="725" t="str">
        <f xml:space="preserve"> InpC!E$357</f>
        <v>DSRA LC fee</v>
      </c>
      <c r="F169" s="725">
        <f xml:space="preserve"> InpC!F$357</f>
        <v>0.01</v>
      </c>
      <c r="G169" s="725" t="str">
        <f xml:space="preserve"> InpC!G$357</f>
        <v>%</v>
      </c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32"/>
      <c r="CO169" s="32"/>
      <c r="CP169" s="32"/>
      <c r="CQ169" s="32"/>
      <c r="CR169" s="32"/>
      <c r="CS169" s="32"/>
      <c r="CT169" s="32"/>
      <c r="CU169" s="32"/>
      <c r="CV169" s="32"/>
    </row>
    <row r="170" spans="1:100" s="495" customFormat="1" outlineLevel="1" x14ac:dyDescent="0.2">
      <c r="A170" s="33"/>
      <c r="B170" s="33"/>
      <c r="C170" s="30"/>
      <c r="D170" s="81"/>
      <c r="E170" s="35" t="str">
        <f t="shared" ref="E170:G170" si="259" xml:space="preserve"> E$12</f>
        <v>Periods in a year</v>
      </c>
      <c r="F170" s="35">
        <f t="shared" si="259"/>
        <v>2</v>
      </c>
      <c r="G170" s="35" t="str">
        <f t="shared" si="259"/>
        <v>periods</v>
      </c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/>
      <c r="CF170" s="31"/>
      <c r="CG170" s="31"/>
      <c r="CH170" s="31"/>
      <c r="CI170" s="31"/>
      <c r="CJ170" s="31"/>
      <c r="CK170" s="31"/>
      <c r="CL170" s="31"/>
      <c r="CM170" s="31"/>
      <c r="CN170" s="31"/>
      <c r="CO170" s="31"/>
      <c r="CP170" s="31"/>
      <c r="CQ170" s="31"/>
      <c r="CR170" s="31"/>
      <c r="CS170" s="31"/>
      <c r="CT170" s="31"/>
      <c r="CU170" s="31"/>
      <c r="CV170" s="31"/>
    </row>
    <row r="171" spans="1:100" outlineLevel="1" x14ac:dyDescent="0.2">
      <c r="A171" s="79"/>
      <c r="B171" s="79"/>
      <c r="C171" s="561"/>
      <c r="D171" s="60"/>
      <c r="E171" s="32" t="str">
        <f t="shared" ref="E171:BP171" si="260" xml:space="preserve"> E$25</f>
        <v>DSRA target balance</v>
      </c>
      <c r="F171" s="32">
        <f t="shared" si="260"/>
        <v>0</v>
      </c>
      <c r="G171" s="32" t="str">
        <f t="shared" si="260"/>
        <v>$ 000s</v>
      </c>
      <c r="H171" s="32">
        <f t="shared" si="260"/>
        <v>0</v>
      </c>
      <c r="I171" s="32">
        <f t="shared" si="260"/>
        <v>0</v>
      </c>
      <c r="J171" s="32">
        <f t="shared" si="260"/>
        <v>0</v>
      </c>
      <c r="K171" s="32">
        <f t="shared" si="260"/>
        <v>0</v>
      </c>
      <c r="L171" s="32">
        <f t="shared" si="260"/>
        <v>0</v>
      </c>
      <c r="M171" s="32">
        <f t="shared" si="260"/>
        <v>0</v>
      </c>
      <c r="N171" s="32">
        <f t="shared" si="260"/>
        <v>0</v>
      </c>
      <c r="O171" s="32">
        <f t="shared" si="260"/>
        <v>11233.130669939161</v>
      </c>
      <c r="P171" s="32">
        <f t="shared" si="260"/>
        <v>11190.794928838903</v>
      </c>
      <c r="Q171" s="32">
        <f t="shared" si="260"/>
        <v>11147.702061098667</v>
      </c>
      <c r="R171" s="32">
        <f t="shared" si="260"/>
        <v>11104.822479349081</v>
      </c>
      <c r="S171" s="32">
        <f t="shared" si="260"/>
        <v>11061.172559369908</v>
      </c>
      <c r="T171" s="32">
        <f t="shared" si="260"/>
        <v>11025.255469920612</v>
      </c>
      <c r="U171" s="32">
        <f t="shared" si="260"/>
        <v>10973.518731652715</v>
      </c>
      <c r="V171" s="32">
        <f t="shared" si="260"/>
        <v>10921.998577696688</v>
      </c>
      <c r="W171" s="32">
        <f t="shared" si="260"/>
        <v>10884.71667623521</v>
      </c>
      <c r="X171" s="32">
        <f t="shared" si="260"/>
        <v>10840.135152344956</v>
      </c>
      <c r="Y171" s="32">
        <f t="shared" si="260"/>
        <v>10794.742010746362</v>
      </c>
      <c r="Z171" s="32">
        <f t="shared" si="260"/>
        <v>10749.568908064761</v>
      </c>
      <c r="AA171" s="32">
        <f t="shared" si="260"/>
        <v>10703.56986326347</v>
      </c>
      <c r="AB171" s="32">
        <f t="shared" si="260"/>
        <v>10665.064311187987</v>
      </c>
      <c r="AC171" s="32">
        <f t="shared" si="260"/>
        <v>10611.174866718349</v>
      </c>
      <c r="AD171" s="32">
        <f t="shared" si="260"/>
        <v>10557.509077694693</v>
      </c>
      <c r="AE171" s="32">
        <f t="shared" si="260"/>
        <v>10517.531143266302</v>
      </c>
      <c r="AF171" s="32">
        <f t="shared" si="260"/>
        <v>10470.507070020134</v>
      </c>
      <c r="AG171" s="32">
        <f t="shared" si="260"/>
        <v>10422.612301906172</v>
      </c>
      <c r="AH171" s="32">
        <f t="shared" si="260"/>
        <v>10374.944975120165</v>
      </c>
      <c r="AI171" s="32">
        <f t="shared" si="260"/>
        <v>10326.391413681304</v>
      </c>
      <c r="AJ171" s="32">
        <f t="shared" si="260"/>
        <v>10285.079124192071</v>
      </c>
      <c r="AK171" s="32">
        <f t="shared" si="260"/>
        <v>10228.841010385528</v>
      </c>
      <c r="AL171" s="32">
        <f t="shared" si="260"/>
        <v>10172.834298762504</v>
      </c>
      <c r="AM171" s="32">
        <f t="shared" si="260"/>
        <v>10129.933079413677</v>
      </c>
      <c r="AN171" s="32">
        <f t="shared" si="260"/>
        <v>10080.253439298456</v>
      </c>
      <c r="AO171" s="32">
        <f t="shared" si="260"/>
        <v>10029.63904497031</v>
      </c>
      <c r="AP171" s="32">
        <f t="shared" si="260"/>
        <v>9979.2601971614822</v>
      </c>
      <c r="AQ171" s="32">
        <f t="shared" si="260"/>
        <v>9927.9304935534874</v>
      </c>
      <c r="AR171" s="32">
        <f t="shared" si="260"/>
        <v>9883.5760729497488</v>
      </c>
      <c r="AS171" s="32">
        <f t="shared" si="260"/>
        <v>9824.7779316197557</v>
      </c>
      <c r="AT171" s="32">
        <f t="shared" si="260"/>
        <v>9766.220927027236</v>
      </c>
      <c r="AU171" s="32">
        <f t="shared" si="260"/>
        <v>4860.2302073800211</v>
      </c>
      <c r="AV171" s="32">
        <f t="shared" si="260"/>
        <v>-2.0082668080759609E-4</v>
      </c>
      <c r="AW171" s="32">
        <f t="shared" si="260"/>
        <v>0</v>
      </c>
      <c r="AX171" s="32">
        <f t="shared" si="260"/>
        <v>0</v>
      </c>
      <c r="AY171" s="32">
        <f t="shared" si="260"/>
        <v>0</v>
      </c>
      <c r="AZ171" s="32">
        <f t="shared" si="260"/>
        <v>0</v>
      </c>
      <c r="BA171" s="32">
        <f t="shared" si="260"/>
        <v>0</v>
      </c>
      <c r="BB171" s="32">
        <f t="shared" si="260"/>
        <v>0</v>
      </c>
      <c r="BC171" s="32">
        <f t="shared" si="260"/>
        <v>0</v>
      </c>
      <c r="BD171" s="32">
        <f t="shared" si="260"/>
        <v>0</v>
      </c>
      <c r="BE171" s="32">
        <f t="shared" si="260"/>
        <v>0</v>
      </c>
      <c r="BF171" s="32">
        <f t="shared" si="260"/>
        <v>0</v>
      </c>
      <c r="BG171" s="32">
        <f t="shared" si="260"/>
        <v>0</v>
      </c>
      <c r="BH171" s="32">
        <f t="shared" si="260"/>
        <v>0</v>
      </c>
      <c r="BI171" s="32">
        <f t="shared" si="260"/>
        <v>0</v>
      </c>
      <c r="BJ171" s="32">
        <f t="shared" si="260"/>
        <v>0</v>
      </c>
      <c r="BK171" s="32">
        <f t="shared" si="260"/>
        <v>0</v>
      </c>
      <c r="BL171" s="32">
        <f t="shared" si="260"/>
        <v>0</v>
      </c>
      <c r="BM171" s="32">
        <f t="shared" si="260"/>
        <v>0</v>
      </c>
      <c r="BN171" s="32">
        <f t="shared" si="260"/>
        <v>0</v>
      </c>
      <c r="BO171" s="32">
        <f t="shared" si="260"/>
        <v>0</v>
      </c>
      <c r="BP171" s="32">
        <f t="shared" si="260"/>
        <v>0</v>
      </c>
      <c r="BQ171" s="32">
        <f t="shared" ref="BQ171:CV171" si="261" xml:space="preserve"> BQ$25</f>
        <v>0</v>
      </c>
      <c r="BR171" s="32">
        <f t="shared" si="261"/>
        <v>0</v>
      </c>
      <c r="BS171" s="32">
        <f t="shared" si="261"/>
        <v>0</v>
      </c>
      <c r="BT171" s="32">
        <f t="shared" si="261"/>
        <v>0</v>
      </c>
      <c r="BU171" s="32">
        <f t="shared" si="261"/>
        <v>0</v>
      </c>
      <c r="BV171" s="32">
        <f t="shared" si="261"/>
        <v>0</v>
      </c>
      <c r="BW171" s="32">
        <f t="shared" si="261"/>
        <v>0</v>
      </c>
      <c r="BX171" s="32">
        <f t="shared" si="261"/>
        <v>0</v>
      </c>
      <c r="BY171" s="32">
        <f t="shared" si="261"/>
        <v>0</v>
      </c>
      <c r="BZ171" s="32">
        <f t="shared" si="261"/>
        <v>0</v>
      </c>
      <c r="CA171" s="32">
        <f t="shared" si="261"/>
        <v>0</v>
      </c>
      <c r="CB171" s="32">
        <f t="shared" si="261"/>
        <v>0</v>
      </c>
      <c r="CC171" s="32">
        <f t="shared" si="261"/>
        <v>0</v>
      </c>
      <c r="CD171" s="32">
        <f t="shared" si="261"/>
        <v>0</v>
      </c>
      <c r="CE171" s="32">
        <f t="shared" si="261"/>
        <v>0</v>
      </c>
      <c r="CF171" s="32">
        <f t="shared" si="261"/>
        <v>0</v>
      </c>
      <c r="CG171" s="32">
        <f t="shared" si="261"/>
        <v>0</v>
      </c>
      <c r="CH171" s="32">
        <f t="shared" si="261"/>
        <v>0</v>
      </c>
      <c r="CI171" s="32">
        <f t="shared" si="261"/>
        <v>0</v>
      </c>
      <c r="CJ171" s="32">
        <f t="shared" si="261"/>
        <v>0</v>
      </c>
      <c r="CK171" s="32">
        <f t="shared" si="261"/>
        <v>0</v>
      </c>
      <c r="CL171" s="32">
        <f t="shared" si="261"/>
        <v>0</v>
      </c>
      <c r="CM171" s="32">
        <f t="shared" si="261"/>
        <v>0</v>
      </c>
      <c r="CN171" s="32">
        <f t="shared" si="261"/>
        <v>0</v>
      </c>
      <c r="CO171" s="32">
        <f t="shared" si="261"/>
        <v>0</v>
      </c>
      <c r="CP171" s="32">
        <f t="shared" si="261"/>
        <v>0</v>
      </c>
      <c r="CQ171" s="32">
        <f t="shared" si="261"/>
        <v>0</v>
      </c>
      <c r="CR171" s="32">
        <f t="shared" si="261"/>
        <v>0</v>
      </c>
      <c r="CS171" s="32">
        <f t="shared" si="261"/>
        <v>0</v>
      </c>
      <c r="CT171" s="32">
        <f t="shared" si="261"/>
        <v>0</v>
      </c>
      <c r="CU171" s="32">
        <f t="shared" si="261"/>
        <v>0</v>
      </c>
      <c r="CV171" s="32">
        <f t="shared" si="261"/>
        <v>0</v>
      </c>
    </row>
    <row r="172" spans="1:100" s="495" customFormat="1" outlineLevel="1" x14ac:dyDescent="0.2">
      <c r="A172" s="405"/>
      <c r="B172" s="405"/>
      <c r="C172" s="406"/>
      <c r="D172" s="575"/>
      <c r="E172" s="77" t="str">
        <f xml:space="preserve"> Time!E$209</f>
        <v>Senior debt service period flag</v>
      </c>
      <c r="F172" s="77">
        <f xml:space="preserve"> Time!F$209</f>
        <v>0</v>
      </c>
      <c r="G172" s="77" t="str">
        <f xml:space="preserve"> Time!G$209</f>
        <v>flag</v>
      </c>
      <c r="H172" s="77">
        <f xml:space="preserve"> Time!H$209</f>
        <v>34</v>
      </c>
      <c r="I172" s="77">
        <f xml:space="preserve"> Time!I$209</f>
        <v>0</v>
      </c>
      <c r="J172" s="77">
        <f xml:space="preserve"> Time!J$209</f>
        <v>0</v>
      </c>
      <c r="K172" s="77">
        <f xml:space="preserve"> Time!K$209</f>
        <v>0</v>
      </c>
      <c r="L172" s="77">
        <f xml:space="preserve"> Time!L$209</f>
        <v>0</v>
      </c>
      <c r="M172" s="77">
        <f xml:space="preserve"> Time!M$209</f>
        <v>0</v>
      </c>
      <c r="N172" s="77">
        <f xml:space="preserve"> Time!N$209</f>
        <v>0</v>
      </c>
      <c r="O172" s="77">
        <f xml:space="preserve"> Time!O$209</f>
        <v>1</v>
      </c>
      <c r="P172" s="77">
        <f xml:space="preserve"> Time!P$209</f>
        <v>1</v>
      </c>
      <c r="Q172" s="77">
        <f xml:space="preserve"> Time!Q$209</f>
        <v>1</v>
      </c>
      <c r="R172" s="77">
        <f xml:space="preserve"> Time!R$209</f>
        <v>1</v>
      </c>
      <c r="S172" s="77">
        <f xml:space="preserve"> Time!S$209</f>
        <v>1</v>
      </c>
      <c r="T172" s="77">
        <f xml:space="preserve"> Time!T$209</f>
        <v>1</v>
      </c>
      <c r="U172" s="77">
        <f xml:space="preserve"> Time!U$209</f>
        <v>1</v>
      </c>
      <c r="V172" s="77">
        <f xml:space="preserve"> Time!V$209</f>
        <v>1</v>
      </c>
      <c r="W172" s="77">
        <f xml:space="preserve"> Time!W$209</f>
        <v>1</v>
      </c>
      <c r="X172" s="77">
        <f xml:space="preserve"> Time!X$209</f>
        <v>1</v>
      </c>
      <c r="Y172" s="77">
        <f xml:space="preserve"> Time!Y$209</f>
        <v>1</v>
      </c>
      <c r="Z172" s="77">
        <f xml:space="preserve"> Time!Z$209</f>
        <v>1</v>
      </c>
      <c r="AA172" s="77">
        <f xml:space="preserve"> Time!AA$209</f>
        <v>1</v>
      </c>
      <c r="AB172" s="77">
        <f xml:space="preserve"> Time!AB$209</f>
        <v>1</v>
      </c>
      <c r="AC172" s="77">
        <f xml:space="preserve"> Time!AC$209</f>
        <v>1</v>
      </c>
      <c r="AD172" s="77">
        <f xml:space="preserve"> Time!AD$209</f>
        <v>1</v>
      </c>
      <c r="AE172" s="77">
        <f xml:space="preserve"> Time!AE$209</f>
        <v>1</v>
      </c>
      <c r="AF172" s="77">
        <f xml:space="preserve"> Time!AF$209</f>
        <v>1</v>
      </c>
      <c r="AG172" s="77">
        <f xml:space="preserve"> Time!AG$209</f>
        <v>1</v>
      </c>
      <c r="AH172" s="77">
        <f xml:space="preserve"> Time!AH$209</f>
        <v>1</v>
      </c>
      <c r="AI172" s="77">
        <f xml:space="preserve"> Time!AI$209</f>
        <v>1</v>
      </c>
      <c r="AJ172" s="77">
        <f xml:space="preserve"> Time!AJ$209</f>
        <v>1</v>
      </c>
      <c r="AK172" s="77">
        <f xml:space="preserve"> Time!AK$209</f>
        <v>1</v>
      </c>
      <c r="AL172" s="77">
        <f xml:space="preserve"> Time!AL$209</f>
        <v>1</v>
      </c>
      <c r="AM172" s="77">
        <f xml:space="preserve"> Time!AM$209</f>
        <v>1</v>
      </c>
      <c r="AN172" s="77">
        <f xml:space="preserve"> Time!AN$209</f>
        <v>1</v>
      </c>
      <c r="AO172" s="77">
        <f xml:space="preserve"> Time!AO$209</f>
        <v>1</v>
      </c>
      <c r="AP172" s="77">
        <f xml:space="preserve"> Time!AP$209</f>
        <v>1</v>
      </c>
      <c r="AQ172" s="77">
        <f xml:space="preserve"> Time!AQ$209</f>
        <v>1</v>
      </c>
      <c r="AR172" s="77">
        <f xml:space="preserve"> Time!AR$209</f>
        <v>1</v>
      </c>
      <c r="AS172" s="77">
        <f xml:space="preserve"> Time!AS$209</f>
        <v>1</v>
      </c>
      <c r="AT172" s="77">
        <f xml:space="preserve"> Time!AT$209</f>
        <v>1</v>
      </c>
      <c r="AU172" s="77">
        <f xml:space="preserve"> Time!AU$209</f>
        <v>1</v>
      </c>
      <c r="AV172" s="77">
        <f xml:space="preserve"> Time!AV$209</f>
        <v>1</v>
      </c>
      <c r="AW172" s="77">
        <f xml:space="preserve"> Time!AW$209</f>
        <v>0</v>
      </c>
      <c r="AX172" s="77">
        <f xml:space="preserve"> Time!AX$209</f>
        <v>0</v>
      </c>
      <c r="AY172" s="77">
        <f xml:space="preserve"> Time!AY$209</f>
        <v>0</v>
      </c>
      <c r="AZ172" s="77">
        <f xml:space="preserve"> Time!AZ$209</f>
        <v>0</v>
      </c>
      <c r="BA172" s="77">
        <f xml:space="preserve"> Time!BA$209</f>
        <v>0</v>
      </c>
      <c r="BB172" s="77">
        <f xml:space="preserve"> Time!BB$209</f>
        <v>0</v>
      </c>
      <c r="BC172" s="77">
        <f xml:space="preserve"> Time!BC$209</f>
        <v>0</v>
      </c>
      <c r="BD172" s="77">
        <f xml:space="preserve"> Time!BD$209</f>
        <v>0</v>
      </c>
      <c r="BE172" s="77">
        <f xml:space="preserve"> Time!BE$209</f>
        <v>0</v>
      </c>
      <c r="BF172" s="77">
        <f xml:space="preserve"> Time!BF$209</f>
        <v>0</v>
      </c>
      <c r="BG172" s="77">
        <f xml:space="preserve"> Time!BG$209</f>
        <v>0</v>
      </c>
      <c r="BH172" s="77">
        <f xml:space="preserve"> Time!BH$209</f>
        <v>0</v>
      </c>
      <c r="BI172" s="77">
        <f xml:space="preserve"> Time!BI$209</f>
        <v>0</v>
      </c>
      <c r="BJ172" s="77">
        <f xml:space="preserve"> Time!BJ$209</f>
        <v>0</v>
      </c>
      <c r="BK172" s="77">
        <f xml:space="preserve"> Time!BK$209</f>
        <v>0</v>
      </c>
      <c r="BL172" s="77">
        <f xml:space="preserve"> Time!BL$209</f>
        <v>0</v>
      </c>
      <c r="BM172" s="77">
        <f xml:space="preserve"> Time!BM$209</f>
        <v>0</v>
      </c>
      <c r="BN172" s="77">
        <f xml:space="preserve"> Time!BN$209</f>
        <v>0</v>
      </c>
      <c r="BO172" s="77">
        <f xml:space="preserve"> Time!BO$209</f>
        <v>0</v>
      </c>
      <c r="BP172" s="77">
        <f xml:space="preserve"> Time!BP$209</f>
        <v>0</v>
      </c>
      <c r="BQ172" s="77">
        <f xml:space="preserve"> Time!BQ$209</f>
        <v>0</v>
      </c>
      <c r="BR172" s="77">
        <f xml:space="preserve"> Time!BR$209</f>
        <v>0</v>
      </c>
      <c r="BS172" s="77">
        <f xml:space="preserve"> Time!BS$209</f>
        <v>0</v>
      </c>
      <c r="BT172" s="77">
        <f xml:space="preserve"> Time!BT$209</f>
        <v>0</v>
      </c>
      <c r="BU172" s="77">
        <f xml:space="preserve"> Time!BU$209</f>
        <v>0</v>
      </c>
      <c r="BV172" s="77">
        <f xml:space="preserve"> Time!BV$209</f>
        <v>0</v>
      </c>
      <c r="BW172" s="77">
        <f xml:space="preserve"> Time!BW$209</f>
        <v>0</v>
      </c>
      <c r="BX172" s="77">
        <f xml:space="preserve"> Time!BX$209</f>
        <v>0</v>
      </c>
      <c r="BY172" s="77">
        <f xml:space="preserve"> Time!BY$209</f>
        <v>0</v>
      </c>
      <c r="BZ172" s="77">
        <f xml:space="preserve"> Time!BZ$209</f>
        <v>0</v>
      </c>
      <c r="CA172" s="77">
        <f xml:space="preserve"> Time!CA$209</f>
        <v>0</v>
      </c>
      <c r="CB172" s="77">
        <f xml:space="preserve"> Time!CB$209</f>
        <v>0</v>
      </c>
      <c r="CC172" s="77">
        <f xml:space="preserve"> Time!CC$209</f>
        <v>0</v>
      </c>
      <c r="CD172" s="77">
        <f xml:space="preserve"> Time!CD$209</f>
        <v>0</v>
      </c>
      <c r="CE172" s="77">
        <f xml:space="preserve"> Time!CE$209</f>
        <v>0</v>
      </c>
      <c r="CF172" s="77">
        <f xml:space="preserve"> Time!CF$209</f>
        <v>0</v>
      </c>
      <c r="CG172" s="77">
        <f xml:space="preserve"> Time!CG$209</f>
        <v>0</v>
      </c>
      <c r="CH172" s="77">
        <f xml:space="preserve"> Time!CH$209</f>
        <v>0</v>
      </c>
      <c r="CI172" s="77">
        <f xml:space="preserve"> Time!CI$209</f>
        <v>0</v>
      </c>
      <c r="CJ172" s="77">
        <f xml:space="preserve"> Time!CJ$209</f>
        <v>0</v>
      </c>
      <c r="CK172" s="77">
        <f xml:space="preserve"> Time!CK$209</f>
        <v>0</v>
      </c>
      <c r="CL172" s="77">
        <f xml:space="preserve"> Time!CL$209</f>
        <v>0</v>
      </c>
      <c r="CM172" s="77">
        <f xml:space="preserve"> Time!CM$209</f>
        <v>0</v>
      </c>
      <c r="CN172" s="77">
        <f xml:space="preserve"> Time!CN$209</f>
        <v>0</v>
      </c>
      <c r="CO172" s="77">
        <f xml:space="preserve"> Time!CO$209</f>
        <v>0</v>
      </c>
      <c r="CP172" s="77">
        <f xml:space="preserve"> Time!CP$209</f>
        <v>0</v>
      </c>
      <c r="CQ172" s="77">
        <f xml:space="preserve"> Time!CQ$209</f>
        <v>0</v>
      </c>
      <c r="CR172" s="77">
        <f xml:space="preserve"> Time!CR$209</f>
        <v>0</v>
      </c>
      <c r="CS172" s="77">
        <f xml:space="preserve"> Time!CS$209</f>
        <v>0</v>
      </c>
      <c r="CT172" s="77">
        <f xml:space="preserve"> Time!CT$209</f>
        <v>0</v>
      </c>
      <c r="CU172" s="77">
        <f xml:space="preserve"> Time!CU$209</f>
        <v>0</v>
      </c>
      <c r="CV172" s="77">
        <f xml:space="preserve"> Time!CV$209</f>
        <v>0</v>
      </c>
    </row>
    <row r="173" spans="1:100" s="188" customFormat="1" outlineLevel="1" x14ac:dyDescent="0.2">
      <c r="A173" s="397"/>
      <c r="B173" s="397"/>
      <c r="C173" s="566"/>
      <c r="D173" s="567"/>
      <c r="E173" s="188" t="s">
        <v>495</v>
      </c>
      <c r="G173" s="188" t="str">
        <f xml:space="preserve"> SMU</f>
        <v>$ 000s</v>
      </c>
      <c r="H173" s="188">
        <f xml:space="preserve"> SUM(J173:CV173)</f>
        <v>0</v>
      </c>
      <c r="J173" s="188">
        <f t="shared" ref="J173:BU173" si="262" xml:space="preserve"> ($F168 = 2) * $F169 / $F170 * J171 * J172</f>
        <v>0</v>
      </c>
      <c r="K173" s="188">
        <f t="shared" si="262"/>
        <v>0</v>
      </c>
      <c r="L173" s="188">
        <f t="shared" si="262"/>
        <v>0</v>
      </c>
      <c r="M173" s="188">
        <f t="shared" si="262"/>
        <v>0</v>
      </c>
      <c r="N173" s="188">
        <f t="shared" si="262"/>
        <v>0</v>
      </c>
      <c r="O173" s="188">
        <f t="shared" si="262"/>
        <v>0</v>
      </c>
      <c r="P173" s="188">
        <f t="shared" si="262"/>
        <v>0</v>
      </c>
      <c r="Q173" s="188">
        <f t="shared" si="262"/>
        <v>0</v>
      </c>
      <c r="R173" s="188">
        <f t="shared" si="262"/>
        <v>0</v>
      </c>
      <c r="S173" s="188">
        <f t="shared" si="262"/>
        <v>0</v>
      </c>
      <c r="T173" s="188">
        <f t="shared" si="262"/>
        <v>0</v>
      </c>
      <c r="U173" s="188">
        <f t="shared" si="262"/>
        <v>0</v>
      </c>
      <c r="V173" s="188">
        <f t="shared" si="262"/>
        <v>0</v>
      </c>
      <c r="W173" s="188">
        <f t="shared" si="262"/>
        <v>0</v>
      </c>
      <c r="X173" s="188">
        <f t="shared" si="262"/>
        <v>0</v>
      </c>
      <c r="Y173" s="188">
        <f t="shared" si="262"/>
        <v>0</v>
      </c>
      <c r="Z173" s="188">
        <f t="shared" si="262"/>
        <v>0</v>
      </c>
      <c r="AA173" s="188">
        <f t="shared" si="262"/>
        <v>0</v>
      </c>
      <c r="AB173" s="188">
        <f t="shared" si="262"/>
        <v>0</v>
      </c>
      <c r="AC173" s="188">
        <f t="shared" si="262"/>
        <v>0</v>
      </c>
      <c r="AD173" s="188">
        <f t="shared" si="262"/>
        <v>0</v>
      </c>
      <c r="AE173" s="188">
        <f t="shared" si="262"/>
        <v>0</v>
      </c>
      <c r="AF173" s="188">
        <f t="shared" si="262"/>
        <v>0</v>
      </c>
      <c r="AG173" s="188">
        <f t="shared" si="262"/>
        <v>0</v>
      </c>
      <c r="AH173" s="188">
        <f t="shared" si="262"/>
        <v>0</v>
      </c>
      <c r="AI173" s="188">
        <f t="shared" si="262"/>
        <v>0</v>
      </c>
      <c r="AJ173" s="188">
        <f t="shared" si="262"/>
        <v>0</v>
      </c>
      <c r="AK173" s="188">
        <f t="shared" si="262"/>
        <v>0</v>
      </c>
      <c r="AL173" s="188">
        <f t="shared" si="262"/>
        <v>0</v>
      </c>
      <c r="AM173" s="188">
        <f t="shared" si="262"/>
        <v>0</v>
      </c>
      <c r="AN173" s="188">
        <f t="shared" si="262"/>
        <v>0</v>
      </c>
      <c r="AO173" s="188">
        <f t="shared" si="262"/>
        <v>0</v>
      </c>
      <c r="AP173" s="188">
        <f t="shared" si="262"/>
        <v>0</v>
      </c>
      <c r="AQ173" s="188">
        <f t="shared" si="262"/>
        <v>0</v>
      </c>
      <c r="AR173" s="188">
        <f t="shared" si="262"/>
        <v>0</v>
      </c>
      <c r="AS173" s="188">
        <f t="shared" si="262"/>
        <v>0</v>
      </c>
      <c r="AT173" s="188">
        <f t="shared" si="262"/>
        <v>0</v>
      </c>
      <c r="AU173" s="188">
        <f t="shared" si="262"/>
        <v>0</v>
      </c>
      <c r="AV173" s="188">
        <f t="shared" si="262"/>
        <v>0</v>
      </c>
      <c r="AW173" s="188">
        <f t="shared" si="262"/>
        <v>0</v>
      </c>
      <c r="AX173" s="188">
        <f t="shared" si="262"/>
        <v>0</v>
      </c>
      <c r="AY173" s="188">
        <f t="shared" si="262"/>
        <v>0</v>
      </c>
      <c r="AZ173" s="188">
        <f t="shared" si="262"/>
        <v>0</v>
      </c>
      <c r="BA173" s="188">
        <f t="shared" si="262"/>
        <v>0</v>
      </c>
      <c r="BB173" s="188">
        <f t="shared" si="262"/>
        <v>0</v>
      </c>
      <c r="BC173" s="188">
        <f t="shared" si="262"/>
        <v>0</v>
      </c>
      <c r="BD173" s="188">
        <f t="shared" si="262"/>
        <v>0</v>
      </c>
      <c r="BE173" s="188">
        <f t="shared" si="262"/>
        <v>0</v>
      </c>
      <c r="BF173" s="188">
        <f t="shared" si="262"/>
        <v>0</v>
      </c>
      <c r="BG173" s="188">
        <f t="shared" si="262"/>
        <v>0</v>
      </c>
      <c r="BH173" s="188">
        <f t="shared" si="262"/>
        <v>0</v>
      </c>
      <c r="BI173" s="188">
        <f t="shared" si="262"/>
        <v>0</v>
      </c>
      <c r="BJ173" s="188">
        <f t="shared" si="262"/>
        <v>0</v>
      </c>
      <c r="BK173" s="188">
        <f t="shared" si="262"/>
        <v>0</v>
      </c>
      <c r="BL173" s="188">
        <f t="shared" si="262"/>
        <v>0</v>
      </c>
      <c r="BM173" s="188">
        <f t="shared" si="262"/>
        <v>0</v>
      </c>
      <c r="BN173" s="188">
        <f t="shared" si="262"/>
        <v>0</v>
      </c>
      <c r="BO173" s="188">
        <f t="shared" si="262"/>
        <v>0</v>
      </c>
      <c r="BP173" s="188">
        <f t="shared" si="262"/>
        <v>0</v>
      </c>
      <c r="BQ173" s="188">
        <f t="shared" si="262"/>
        <v>0</v>
      </c>
      <c r="BR173" s="188">
        <f t="shared" si="262"/>
        <v>0</v>
      </c>
      <c r="BS173" s="188">
        <f t="shared" si="262"/>
        <v>0</v>
      </c>
      <c r="BT173" s="188">
        <f t="shared" si="262"/>
        <v>0</v>
      </c>
      <c r="BU173" s="188">
        <f t="shared" si="262"/>
        <v>0</v>
      </c>
      <c r="BV173" s="188">
        <f t="shared" ref="BV173:CV173" si="263" xml:space="preserve"> ($F168 = 2) * $F169 / $F170 * BV171 * BV172</f>
        <v>0</v>
      </c>
      <c r="BW173" s="188">
        <f t="shared" si="263"/>
        <v>0</v>
      </c>
      <c r="BX173" s="188">
        <f t="shared" si="263"/>
        <v>0</v>
      </c>
      <c r="BY173" s="188">
        <f t="shared" si="263"/>
        <v>0</v>
      </c>
      <c r="BZ173" s="188">
        <f t="shared" si="263"/>
        <v>0</v>
      </c>
      <c r="CA173" s="188">
        <f t="shared" si="263"/>
        <v>0</v>
      </c>
      <c r="CB173" s="188">
        <f t="shared" si="263"/>
        <v>0</v>
      </c>
      <c r="CC173" s="188">
        <f t="shared" si="263"/>
        <v>0</v>
      </c>
      <c r="CD173" s="188">
        <f t="shared" si="263"/>
        <v>0</v>
      </c>
      <c r="CE173" s="188">
        <f t="shared" si="263"/>
        <v>0</v>
      </c>
      <c r="CF173" s="188">
        <f t="shared" si="263"/>
        <v>0</v>
      </c>
      <c r="CG173" s="188">
        <f t="shared" si="263"/>
        <v>0</v>
      </c>
      <c r="CH173" s="188">
        <f t="shared" si="263"/>
        <v>0</v>
      </c>
      <c r="CI173" s="188">
        <f t="shared" si="263"/>
        <v>0</v>
      </c>
      <c r="CJ173" s="188">
        <f t="shared" si="263"/>
        <v>0</v>
      </c>
      <c r="CK173" s="188">
        <f t="shared" si="263"/>
        <v>0</v>
      </c>
      <c r="CL173" s="188">
        <f t="shared" si="263"/>
        <v>0</v>
      </c>
      <c r="CM173" s="188">
        <f t="shared" si="263"/>
        <v>0</v>
      </c>
      <c r="CN173" s="188">
        <f t="shared" si="263"/>
        <v>0</v>
      </c>
      <c r="CO173" s="188">
        <f t="shared" si="263"/>
        <v>0</v>
      </c>
      <c r="CP173" s="188">
        <f t="shared" si="263"/>
        <v>0</v>
      </c>
      <c r="CQ173" s="188">
        <f t="shared" si="263"/>
        <v>0</v>
      </c>
      <c r="CR173" s="188">
        <f t="shared" si="263"/>
        <v>0</v>
      </c>
      <c r="CS173" s="188">
        <f t="shared" si="263"/>
        <v>0</v>
      </c>
      <c r="CT173" s="188">
        <f t="shared" si="263"/>
        <v>0</v>
      </c>
      <c r="CU173" s="188">
        <f t="shared" si="263"/>
        <v>0</v>
      </c>
      <c r="CV173" s="188">
        <f t="shared" si="263"/>
        <v>0</v>
      </c>
    </row>
    <row r="174" spans="1:100" s="188" customFormat="1" outlineLevel="1" x14ac:dyDescent="0.2">
      <c r="A174" s="527"/>
      <c r="B174" s="527"/>
      <c r="C174" s="528"/>
      <c r="D174" s="484" t="s">
        <v>366</v>
      </c>
      <c r="E174" s="530" t="str">
        <f xml:space="preserve"> LEFT(E173, LEN(E173) - 4)</f>
        <v>DSRA LC fee accrued and paid</v>
      </c>
      <c r="F174" s="530"/>
      <c r="G174" s="530" t="str">
        <f xml:space="preserve"> SMU</f>
        <v>$ 000s</v>
      </c>
      <c r="H174" s="530">
        <f xml:space="preserve"> SUM(J174:CV174)</f>
        <v>0</v>
      </c>
      <c r="I174" s="531"/>
      <c r="J174" s="530">
        <f t="shared" ref="J174:BU174" si="264" xml:space="preserve"> -1 * J173</f>
        <v>0</v>
      </c>
      <c r="K174" s="530">
        <f t="shared" si="264"/>
        <v>0</v>
      </c>
      <c r="L174" s="530">
        <f t="shared" si="264"/>
        <v>0</v>
      </c>
      <c r="M174" s="530">
        <f t="shared" si="264"/>
        <v>0</v>
      </c>
      <c r="N174" s="530">
        <f t="shared" si="264"/>
        <v>0</v>
      </c>
      <c r="O174" s="530">
        <f t="shared" si="264"/>
        <v>0</v>
      </c>
      <c r="P174" s="530">
        <f t="shared" si="264"/>
        <v>0</v>
      </c>
      <c r="Q174" s="530">
        <f t="shared" si="264"/>
        <v>0</v>
      </c>
      <c r="R174" s="530">
        <f t="shared" si="264"/>
        <v>0</v>
      </c>
      <c r="S174" s="530">
        <f t="shared" si="264"/>
        <v>0</v>
      </c>
      <c r="T174" s="530">
        <f t="shared" si="264"/>
        <v>0</v>
      </c>
      <c r="U174" s="530">
        <f t="shared" si="264"/>
        <v>0</v>
      </c>
      <c r="V174" s="530">
        <f t="shared" si="264"/>
        <v>0</v>
      </c>
      <c r="W174" s="530">
        <f t="shared" si="264"/>
        <v>0</v>
      </c>
      <c r="X174" s="530">
        <f t="shared" si="264"/>
        <v>0</v>
      </c>
      <c r="Y174" s="530">
        <f t="shared" si="264"/>
        <v>0</v>
      </c>
      <c r="Z174" s="530">
        <f t="shared" si="264"/>
        <v>0</v>
      </c>
      <c r="AA174" s="530">
        <f t="shared" si="264"/>
        <v>0</v>
      </c>
      <c r="AB174" s="530">
        <f t="shared" si="264"/>
        <v>0</v>
      </c>
      <c r="AC174" s="530">
        <f t="shared" si="264"/>
        <v>0</v>
      </c>
      <c r="AD174" s="530">
        <f t="shared" si="264"/>
        <v>0</v>
      </c>
      <c r="AE174" s="530">
        <f t="shared" si="264"/>
        <v>0</v>
      </c>
      <c r="AF174" s="530">
        <f t="shared" si="264"/>
        <v>0</v>
      </c>
      <c r="AG174" s="530">
        <f t="shared" si="264"/>
        <v>0</v>
      </c>
      <c r="AH174" s="530">
        <f t="shared" si="264"/>
        <v>0</v>
      </c>
      <c r="AI174" s="530">
        <f t="shared" si="264"/>
        <v>0</v>
      </c>
      <c r="AJ174" s="530">
        <f t="shared" si="264"/>
        <v>0</v>
      </c>
      <c r="AK174" s="530">
        <f t="shared" si="264"/>
        <v>0</v>
      </c>
      <c r="AL174" s="530">
        <f t="shared" si="264"/>
        <v>0</v>
      </c>
      <c r="AM174" s="530">
        <f t="shared" si="264"/>
        <v>0</v>
      </c>
      <c r="AN174" s="530">
        <f t="shared" si="264"/>
        <v>0</v>
      </c>
      <c r="AO174" s="530">
        <f t="shared" si="264"/>
        <v>0</v>
      </c>
      <c r="AP174" s="530">
        <f t="shared" si="264"/>
        <v>0</v>
      </c>
      <c r="AQ174" s="530">
        <f t="shared" si="264"/>
        <v>0</v>
      </c>
      <c r="AR174" s="530">
        <f t="shared" si="264"/>
        <v>0</v>
      </c>
      <c r="AS174" s="530">
        <f t="shared" si="264"/>
        <v>0</v>
      </c>
      <c r="AT174" s="530">
        <f t="shared" si="264"/>
        <v>0</v>
      </c>
      <c r="AU174" s="530">
        <f t="shared" si="264"/>
        <v>0</v>
      </c>
      <c r="AV174" s="530">
        <f t="shared" si="264"/>
        <v>0</v>
      </c>
      <c r="AW174" s="530">
        <f t="shared" si="264"/>
        <v>0</v>
      </c>
      <c r="AX174" s="530">
        <f t="shared" si="264"/>
        <v>0</v>
      </c>
      <c r="AY174" s="530">
        <f t="shared" si="264"/>
        <v>0</v>
      </c>
      <c r="AZ174" s="530">
        <f t="shared" si="264"/>
        <v>0</v>
      </c>
      <c r="BA174" s="530">
        <f t="shared" si="264"/>
        <v>0</v>
      </c>
      <c r="BB174" s="530">
        <f t="shared" si="264"/>
        <v>0</v>
      </c>
      <c r="BC174" s="530">
        <f t="shared" si="264"/>
        <v>0</v>
      </c>
      <c r="BD174" s="530">
        <f t="shared" si="264"/>
        <v>0</v>
      </c>
      <c r="BE174" s="530">
        <f t="shared" si="264"/>
        <v>0</v>
      </c>
      <c r="BF174" s="530">
        <f t="shared" si="264"/>
        <v>0</v>
      </c>
      <c r="BG174" s="530">
        <f t="shared" si="264"/>
        <v>0</v>
      </c>
      <c r="BH174" s="530">
        <f t="shared" si="264"/>
        <v>0</v>
      </c>
      <c r="BI174" s="530">
        <f t="shared" si="264"/>
        <v>0</v>
      </c>
      <c r="BJ174" s="530">
        <f t="shared" si="264"/>
        <v>0</v>
      </c>
      <c r="BK174" s="530">
        <f t="shared" si="264"/>
        <v>0</v>
      </c>
      <c r="BL174" s="530">
        <f t="shared" si="264"/>
        <v>0</v>
      </c>
      <c r="BM174" s="530">
        <f t="shared" si="264"/>
        <v>0</v>
      </c>
      <c r="BN174" s="530">
        <f t="shared" si="264"/>
        <v>0</v>
      </c>
      <c r="BO174" s="530">
        <f t="shared" si="264"/>
        <v>0</v>
      </c>
      <c r="BP174" s="530">
        <f t="shared" si="264"/>
        <v>0</v>
      </c>
      <c r="BQ174" s="530">
        <f t="shared" si="264"/>
        <v>0</v>
      </c>
      <c r="BR174" s="530">
        <f t="shared" si="264"/>
        <v>0</v>
      </c>
      <c r="BS174" s="530">
        <f t="shared" si="264"/>
        <v>0</v>
      </c>
      <c r="BT174" s="530">
        <f t="shared" si="264"/>
        <v>0</v>
      </c>
      <c r="BU174" s="530">
        <f t="shared" si="264"/>
        <v>0</v>
      </c>
      <c r="BV174" s="530">
        <f t="shared" ref="BV174:CV174" si="265" xml:space="preserve"> -1 * BV173</f>
        <v>0</v>
      </c>
      <c r="BW174" s="530">
        <f t="shared" si="265"/>
        <v>0</v>
      </c>
      <c r="BX174" s="530">
        <f t="shared" si="265"/>
        <v>0</v>
      </c>
      <c r="BY174" s="530">
        <f t="shared" si="265"/>
        <v>0</v>
      </c>
      <c r="BZ174" s="530">
        <f t="shared" si="265"/>
        <v>0</v>
      </c>
      <c r="CA174" s="530">
        <f t="shared" si="265"/>
        <v>0</v>
      </c>
      <c r="CB174" s="530">
        <f t="shared" si="265"/>
        <v>0</v>
      </c>
      <c r="CC174" s="530">
        <f t="shared" si="265"/>
        <v>0</v>
      </c>
      <c r="CD174" s="530">
        <f t="shared" si="265"/>
        <v>0</v>
      </c>
      <c r="CE174" s="530">
        <f t="shared" si="265"/>
        <v>0</v>
      </c>
      <c r="CF174" s="530">
        <f t="shared" si="265"/>
        <v>0</v>
      </c>
      <c r="CG174" s="530">
        <f t="shared" si="265"/>
        <v>0</v>
      </c>
      <c r="CH174" s="530">
        <f t="shared" si="265"/>
        <v>0</v>
      </c>
      <c r="CI174" s="530">
        <f t="shared" si="265"/>
        <v>0</v>
      </c>
      <c r="CJ174" s="530">
        <f t="shared" si="265"/>
        <v>0</v>
      </c>
      <c r="CK174" s="530">
        <f t="shared" si="265"/>
        <v>0</v>
      </c>
      <c r="CL174" s="530">
        <f t="shared" si="265"/>
        <v>0</v>
      </c>
      <c r="CM174" s="530">
        <f t="shared" si="265"/>
        <v>0</v>
      </c>
      <c r="CN174" s="530">
        <f t="shared" si="265"/>
        <v>0</v>
      </c>
      <c r="CO174" s="530">
        <f t="shared" si="265"/>
        <v>0</v>
      </c>
      <c r="CP174" s="530">
        <f t="shared" si="265"/>
        <v>0</v>
      </c>
      <c r="CQ174" s="530">
        <f t="shared" si="265"/>
        <v>0</v>
      </c>
      <c r="CR174" s="530">
        <f t="shared" si="265"/>
        <v>0</v>
      </c>
      <c r="CS174" s="530">
        <f t="shared" si="265"/>
        <v>0</v>
      </c>
      <c r="CT174" s="530">
        <f t="shared" si="265"/>
        <v>0</v>
      </c>
      <c r="CU174" s="530">
        <f t="shared" si="265"/>
        <v>0</v>
      </c>
      <c r="CV174" s="530">
        <f t="shared" si="265"/>
        <v>0</v>
      </c>
    </row>
    <row r="175" spans="1:100" outlineLevel="1" x14ac:dyDescent="0.2">
      <c r="A175" s="33"/>
      <c r="B175" s="79"/>
      <c r="C175" s="561"/>
      <c r="D175" s="60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BS175" s="32"/>
      <c r="BT175" s="32"/>
      <c r="BU175" s="32"/>
      <c r="BV175" s="32"/>
      <c r="BW175" s="32"/>
      <c r="BX175" s="32"/>
      <c r="BY175" s="32"/>
      <c r="BZ175" s="32"/>
      <c r="CA175" s="32"/>
      <c r="CB175" s="32"/>
      <c r="CC175" s="32"/>
      <c r="CD175" s="32"/>
      <c r="CE175" s="32"/>
      <c r="CF175" s="32"/>
      <c r="CG175" s="32"/>
      <c r="CH175" s="32"/>
      <c r="CI175" s="32"/>
      <c r="CJ175" s="32"/>
      <c r="CK175" s="32"/>
      <c r="CL175" s="32"/>
      <c r="CM175" s="32"/>
      <c r="CN175" s="32"/>
      <c r="CO175" s="32"/>
      <c r="CP175" s="32"/>
      <c r="CQ175" s="32"/>
      <c r="CR175" s="32"/>
      <c r="CS175" s="32"/>
      <c r="CT175" s="32"/>
      <c r="CU175" s="32"/>
      <c r="CV175" s="32"/>
    </row>
    <row r="176" spans="1:100" x14ac:dyDescent="0.2">
      <c r="A176" s="33"/>
      <c r="B176" s="79"/>
      <c r="C176" s="561"/>
      <c r="D176" s="60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BS176" s="32"/>
      <c r="BT176" s="32"/>
      <c r="BU176" s="32"/>
      <c r="BV176" s="32"/>
      <c r="BW176" s="32"/>
      <c r="BX176" s="32"/>
      <c r="BY176" s="32"/>
      <c r="BZ176" s="32"/>
      <c r="CA176" s="32"/>
      <c r="CB176" s="32"/>
      <c r="CC176" s="32"/>
      <c r="CD176" s="32"/>
      <c r="CE176" s="32"/>
      <c r="CF176" s="32"/>
      <c r="CG176" s="32"/>
      <c r="CH176" s="32"/>
      <c r="CI176" s="32"/>
      <c r="CJ176" s="32"/>
      <c r="CK176" s="32"/>
      <c r="CL176" s="32"/>
      <c r="CM176" s="32"/>
      <c r="CN176" s="32"/>
      <c r="CO176" s="32"/>
      <c r="CP176" s="32"/>
      <c r="CQ176" s="32"/>
      <c r="CR176" s="32"/>
      <c r="CS176" s="32"/>
      <c r="CT176" s="32"/>
      <c r="CU176" s="32"/>
      <c r="CV176" s="32"/>
    </row>
    <row r="177" spans="1:1" x14ac:dyDescent="0.2">
      <c r="A177" s="15" t="s">
        <v>62</v>
      </c>
    </row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</sheetData>
  <conditionalFormatting sqref="J3:CV3">
    <cfRule type="cellIs" dxfId="89" priority="24" stopIfTrue="1" operator="equal">
      <formula>"Construction"</formula>
    </cfRule>
    <cfRule type="cellIs" dxfId="88" priority="25" stopIfTrue="1" operator="equal">
      <formula>"Operations"</formula>
    </cfRule>
  </conditionalFormatting>
  <conditionalFormatting sqref="J3:CV3">
    <cfRule type="cellIs" dxfId="87" priority="23" operator="equal">
      <formula>"Fin Close"</formula>
    </cfRule>
  </conditionalFormatting>
  <conditionalFormatting sqref="J3:CV3">
    <cfRule type="cellIs" dxfId="86" priority="21" operator="equal">
      <formula>"PPA ext."</formula>
    </cfRule>
    <cfRule type="cellIs" dxfId="85" priority="22" operator="equal">
      <formula>"Delay"</formula>
    </cfRule>
  </conditionalFormatting>
  <conditionalFormatting sqref="F2:F4">
    <cfRule type="cellIs" dxfId="84" priority="17" stopIfTrue="1" operator="notEqual">
      <formula>0</formula>
    </cfRule>
    <cfRule type="cellIs" dxfId="83" priority="18" stopIfTrue="1" operator="equal">
      <formula>""</formula>
    </cfRule>
  </conditionalFormatting>
  <conditionalFormatting sqref="F2:F4">
    <cfRule type="cellIs" dxfId="82" priority="19" stopIfTrue="1" operator="notEqual">
      <formula>0</formula>
    </cfRule>
    <cfRule type="cellIs" dxfId="81" priority="20" stopIfTrue="1" operator="equal">
      <formula>""</formula>
    </cfRule>
  </conditionalFormatting>
  <conditionalFormatting sqref="J90:CV90">
    <cfRule type="cellIs" dxfId="80" priority="13" stopIfTrue="1" operator="notEqual">
      <formula>0</formula>
    </cfRule>
    <cfRule type="cellIs" dxfId="79" priority="14" stopIfTrue="1" operator="equal">
      <formula>""</formula>
    </cfRule>
  </conditionalFormatting>
  <conditionalFormatting sqref="J90:CV90">
    <cfRule type="cellIs" dxfId="78" priority="15" stopIfTrue="1" operator="notEqual">
      <formula>0</formula>
    </cfRule>
    <cfRule type="cellIs" dxfId="77" priority="16" stopIfTrue="1" operator="equal">
      <formula>""</formula>
    </cfRule>
  </conditionalFormatting>
  <conditionalFormatting sqref="F91">
    <cfRule type="cellIs" dxfId="76" priority="9" stopIfTrue="1" operator="notEqual">
      <formula>0</formula>
    </cfRule>
    <cfRule type="cellIs" dxfId="75" priority="10" stopIfTrue="1" operator="equal">
      <formula>""</formula>
    </cfRule>
  </conditionalFormatting>
  <conditionalFormatting sqref="F91">
    <cfRule type="cellIs" dxfId="74" priority="11" stopIfTrue="1" operator="notEqual">
      <formula>0</formula>
    </cfRule>
    <cfRule type="cellIs" dxfId="73" priority="12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152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P104" sqref="P104"/>
    </sheetView>
  </sheetViews>
  <sheetFormatPr defaultColWidth="0" defaultRowHeight="12.75" zeroHeight="1" outlineLevelRow="1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Equity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/>
    <row r="7" spans="1:100" x14ac:dyDescent="0.2">
      <c r="A7" s="15" t="s">
        <v>144</v>
      </c>
    </row>
    <row r="8" spans="1:100" outlineLevel="1" x14ac:dyDescent="0.2"/>
    <row r="9" spans="1:100" outlineLevel="1" x14ac:dyDescent="0.2">
      <c r="E9" s="12" t="str">
        <f t="shared" ref="E9:AJ9" si="0" xml:space="preserve"> E$53</f>
        <v>Retained cash balance BEG</v>
      </c>
      <c r="F9" s="12">
        <f t="shared" si="0"/>
        <v>0</v>
      </c>
      <c r="G9" s="12" t="str">
        <f t="shared" si="0"/>
        <v>$ 000s</v>
      </c>
      <c r="H9" s="12">
        <f t="shared" si="0"/>
        <v>0</v>
      </c>
      <c r="I9" s="12">
        <f t="shared" si="0"/>
        <v>0</v>
      </c>
      <c r="J9" s="12">
        <f t="shared" si="0"/>
        <v>0</v>
      </c>
      <c r="K9" s="12">
        <f t="shared" si="0"/>
        <v>-1.5558398445136845E-6</v>
      </c>
      <c r="L9" s="12">
        <f t="shared" si="0"/>
        <v>-1.402249836246483E-5</v>
      </c>
      <c r="M9" s="12">
        <f t="shared" si="0"/>
        <v>-3.0776860512560233E-5</v>
      </c>
      <c r="N9" s="12">
        <f t="shared" si="0"/>
        <v>-5.0199549150420353E-5</v>
      </c>
      <c r="O9" s="12">
        <f t="shared" si="0"/>
        <v>-4.0178145100071561E-3</v>
      </c>
      <c r="P9" s="12">
        <f t="shared" si="0"/>
        <v>0</v>
      </c>
      <c r="Q9" s="12">
        <f t="shared" si="0"/>
        <v>0</v>
      </c>
      <c r="R9" s="12">
        <f t="shared" si="0"/>
        <v>0</v>
      </c>
      <c r="S9" s="12">
        <f t="shared" si="0"/>
        <v>0</v>
      </c>
      <c r="T9" s="12">
        <f t="shared" si="0"/>
        <v>0</v>
      </c>
      <c r="U9" s="12">
        <f t="shared" si="0"/>
        <v>0</v>
      </c>
      <c r="V9" s="12">
        <f t="shared" si="0"/>
        <v>0</v>
      </c>
      <c r="W9" s="12">
        <f t="shared" si="0"/>
        <v>0</v>
      </c>
      <c r="X9" s="12">
        <f t="shared" si="0"/>
        <v>0</v>
      </c>
      <c r="Y9" s="12">
        <f t="shared" si="0"/>
        <v>0</v>
      </c>
      <c r="Z9" s="12">
        <f t="shared" si="0"/>
        <v>0</v>
      </c>
      <c r="AA9" s="12">
        <f t="shared" si="0"/>
        <v>0</v>
      </c>
      <c r="AB9" s="12">
        <f t="shared" si="0"/>
        <v>0</v>
      </c>
      <c r="AC9" s="12">
        <f t="shared" si="0"/>
        <v>0</v>
      </c>
      <c r="AD9" s="12">
        <f t="shared" si="0"/>
        <v>0</v>
      </c>
      <c r="AE9" s="12">
        <f t="shared" si="0"/>
        <v>0</v>
      </c>
      <c r="AF9" s="12">
        <f t="shared" si="0"/>
        <v>0</v>
      </c>
      <c r="AG9" s="12">
        <f t="shared" si="0"/>
        <v>0</v>
      </c>
      <c r="AH9" s="12">
        <f t="shared" si="0"/>
        <v>0</v>
      </c>
      <c r="AI9" s="12">
        <f t="shared" si="0"/>
        <v>0</v>
      </c>
      <c r="AJ9" s="12">
        <f t="shared" si="0"/>
        <v>0</v>
      </c>
      <c r="AK9" s="12">
        <f t="shared" ref="AK9:BP9" si="1" xml:space="preserve"> AK$53</f>
        <v>0</v>
      </c>
      <c r="AL9" s="12">
        <f t="shared" si="1"/>
        <v>0</v>
      </c>
      <c r="AM9" s="12">
        <f t="shared" si="1"/>
        <v>0</v>
      </c>
      <c r="AN9" s="12">
        <f t="shared" si="1"/>
        <v>0</v>
      </c>
      <c r="AO9" s="12">
        <f t="shared" si="1"/>
        <v>0</v>
      </c>
      <c r="AP9" s="12">
        <f t="shared" si="1"/>
        <v>0</v>
      </c>
      <c r="AQ9" s="12">
        <f t="shared" si="1"/>
        <v>0</v>
      </c>
      <c r="AR9" s="12">
        <f t="shared" si="1"/>
        <v>0</v>
      </c>
      <c r="AS9" s="12">
        <f t="shared" si="1"/>
        <v>0</v>
      </c>
      <c r="AT9" s="12">
        <f t="shared" si="1"/>
        <v>0</v>
      </c>
      <c r="AU9" s="12">
        <f t="shared" si="1"/>
        <v>0</v>
      </c>
      <c r="AV9" s="12">
        <f t="shared" si="1"/>
        <v>0</v>
      </c>
      <c r="AW9" s="12">
        <f t="shared" si="1"/>
        <v>0</v>
      </c>
      <c r="AX9" s="12">
        <f t="shared" si="1"/>
        <v>0</v>
      </c>
      <c r="AY9" s="12">
        <f t="shared" si="1"/>
        <v>0</v>
      </c>
      <c r="AZ9" s="12">
        <f t="shared" si="1"/>
        <v>0</v>
      </c>
      <c r="BA9" s="12">
        <f t="shared" si="1"/>
        <v>0</v>
      </c>
      <c r="BB9" s="12">
        <f t="shared" si="1"/>
        <v>0</v>
      </c>
      <c r="BC9" s="12">
        <f t="shared" si="1"/>
        <v>0</v>
      </c>
      <c r="BD9" s="12">
        <f t="shared" si="1"/>
        <v>0</v>
      </c>
      <c r="BE9" s="12">
        <f t="shared" si="1"/>
        <v>0</v>
      </c>
      <c r="BF9" s="12">
        <f t="shared" si="1"/>
        <v>0</v>
      </c>
      <c r="BG9" s="12">
        <f t="shared" si="1"/>
        <v>0</v>
      </c>
      <c r="BH9" s="12">
        <f t="shared" si="1"/>
        <v>0</v>
      </c>
      <c r="BI9" s="12">
        <f t="shared" si="1"/>
        <v>0</v>
      </c>
      <c r="BJ9" s="12">
        <f t="shared" si="1"/>
        <v>0</v>
      </c>
      <c r="BK9" s="12">
        <f t="shared" si="1"/>
        <v>0</v>
      </c>
      <c r="BL9" s="12">
        <f t="shared" si="1"/>
        <v>0</v>
      </c>
      <c r="BM9" s="12">
        <f t="shared" si="1"/>
        <v>0</v>
      </c>
      <c r="BN9" s="12">
        <f t="shared" si="1"/>
        <v>0</v>
      </c>
      <c r="BO9" s="12">
        <f t="shared" si="1"/>
        <v>0</v>
      </c>
      <c r="BP9" s="12">
        <f t="shared" si="1"/>
        <v>0</v>
      </c>
      <c r="BQ9" s="12">
        <f t="shared" ref="BQ9:CV9" si="2" xml:space="preserve"> BQ$53</f>
        <v>0</v>
      </c>
      <c r="BR9" s="12">
        <f t="shared" si="2"/>
        <v>0</v>
      </c>
      <c r="BS9" s="12">
        <f t="shared" si="2"/>
        <v>0</v>
      </c>
      <c r="BT9" s="12">
        <f t="shared" si="2"/>
        <v>0</v>
      </c>
      <c r="BU9" s="12">
        <f t="shared" si="2"/>
        <v>0</v>
      </c>
      <c r="BV9" s="12">
        <f t="shared" si="2"/>
        <v>0</v>
      </c>
      <c r="BW9" s="12">
        <f t="shared" si="2"/>
        <v>0</v>
      </c>
      <c r="BX9" s="12">
        <f t="shared" si="2"/>
        <v>0</v>
      </c>
      <c r="BY9" s="12">
        <f t="shared" si="2"/>
        <v>0</v>
      </c>
      <c r="BZ9" s="12">
        <f t="shared" si="2"/>
        <v>0</v>
      </c>
      <c r="CA9" s="12">
        <f t="shared" si="2"/>
        <v>0</v>
      </c>
      <c r="CB9" s="12">
        <f t="shared" si="2"/>
        <v>0</v>
      </c>
      <c r="CC9" s="12">
        <f t="shared" si="2"/>
        <v>0</v>
      </c>
      <c r="CD9" s="12">
        <f t="shared" si="2"/>
        <v>0</v>
      </c>
      <c r="CE9" s="12">
        <f t="shared" si="2"/>
        <v>0</v>
      </c>
      <c r="CF9" s="12">
        <f t="shared" si="2"/>
        <v>0</v>
      </c>
      <c r="CG9" s="12">
        <f t="shared" si="2"/>
        <v>0</v>
      </c>
      <c r="CH9" s="12">
        <f t="shared" si="2"/>
        <v>0</v>
      </c>
      <c r="CI9" s="12">
        <f t="shared" si="2"/>
        <v>0</v>
      </c>
      <c r="CJ9" s="12">
        <f t="shared" si="2"/>
        <v>0</v>
      </c>
      <c r="CK9" s="12">
        <f t="shared" si="2"/>
        <v>0</v>
      </c>
      <c r="CL9" s="12">
        <f t="shared" si="2"/>
        <v>0</v>
      </c>
      <c r="CM9" s="12">
        <f t="shared" si="2"/>
        <v>0</v>
      </c>
      <c r="CN9" s="12">
        <f t="shared" si="2"/>
        <v>0</v>
      </c>
      <c r="CO9" s="12">
        <f t="shared" si="2"/>
        <v>0</v>
      </c>
      <c r="CP9" s="12">
        <f t="shared" si="2"/>
        <v>0</v>
      </c>
      <c r="CQ9" s="12">
        <f t="shared" si="2"/>
        <v>0</v>
      </c>
      <c r="CR9" s="12">
        <f t="shared" si="2"/>
        <v>0</v>
      </c>
      <c r="CS9" s="12">
        <f t="shared" si="2"/>
        <v>0</v>
      </c>
      <c r="CT9" s="12">
        <f t="shared" si="2"/>
        <v>0</v>
      </c>
      <c r="CU9" s="12">
        <f t="shared" si="2"/>
        <v>0</v>
      </c>
      <c r="CV9" s="12">
        <f t="shared" si="2"/>
        <v>0</v>
      </c>
    </row>
    <row r="10" spans="1:100" s="125" customFormat="1" outlineLevel="1" x14ac:dyDescent="0.2">
      <c r="A10" s="85"/>
      <c r="B10" s="85"/>
      <c r="C10" s="86"/>
      <c r="D10" s="87"/>
      <c r="E10" s="186" t="str">
        <f xml:space="preserve"> 'FS Semi'!E$89</f>
        <v>Cashflow available for share capital redemption</v>
      </c>
      <c r="F10" s="186">
        <f xml:space="preserve"> 'FS Semi'!F$89</f>
        <v>0</v>
      </c>
      <c r="G10" s="186" t="str">
        <f xml:space="preserve"> 'FS Semi'!G$89</f>
        <v>$ 000s</v>
      </c>
      <c r="H10" s="186">
        <f xml:space="preserve"> 'FS Semi'!H$89</f>
        <v>0</v>
      </c>
      <c r="I10" s="186">
        <f xml:space="preserve"> 'FS Semi'!I$89</f>
        <v>0</v>
      </c>
      <c r="J10" s="186">
        <f xml:space="preserve"> 'FS Semi'!J$89</f>
        <v>-1.5558398445136845E-6</v>
      </c>
      <c r="K10" s="186">
        <f xml:space="preserve"> 'FS Semi'!K$89</f>
        <v>-1.2466658517951146E-5</v>
      </c>
      <c r="L10" s="186">
        <f xml:space="preserve"> 'FS Semi'!L$89</f>
        <v>-1.6754362150095403E-5</v>
      </c>
      <c r="M10" s="186">
        <f xml:space="preserve"> 'FS Semi'!M$89</f>
        <v>-1.9422688637860119E-5</v>
      </c>
      <c r="N10" s="186">
        <f xml:space="preserve"> 'FS Semi'!N$89</f>
        <v>-3.9676149608567357E-3</v>
      </c>
      <c r="O10" s="186">
        <f xml:space="preserve"> 'FS Semi'!O$89</f>
        <v>4.0178145100071561E-3</v>
      </c>
      <c r="P10" s="186">
        <f xml:space="preserve"> 'FS Semi'!P$89</f>
        <v>0</v>
      </c>
      <c r="Q10" s="186">
        <f xml:space="preserve"> 'FS Semi'!Q$89</f>
        <v>0</v>
      </c>
      <c r="R10" s="186">
        <f xml:space="preserve"> 'FS Semi'!R$89</f>
        <v>0</v>
      </c>
      <c r="S10" s="186">
        <f xml:space="preserve"> 'FS Semi'!S$89</f>
        <v>0</v>
      </c>
      <c r="T10" s="186">
        <f xml:space="preserve"> 'FS Semi'!T$89</f>
        <v>0</v>
      </c>
      <c r="U10" s="186">
        <f xml:space="preserve"> 'FS Semi'!U$89</f>
        <v>0</v>
      </c>
      <c r="V10" s="186">
        <f xml:space="preserve"> 'FS Semi'!V$89</f>
        <v>0</v>
      </c>
      <c r="W10" s="186">
        <f xml:space="preserve"> 'FS Semi'!W$89</f>
        <v>0</v>
      </c>
      <c r="X10" s="186">
        <f xml:space="preserve"> 'FS Semi'!X$89</f>
        <v>0</v>
      </c>
      <c r="Y10" s="186">
        <f xml:space="preserve"> 'FS Semi'!Y$89</f>
        <v>0</v>
      </c>
      <c r="Z10" s="186">
        <f xml:space="preserve"> 'FS Semi'!Z$89</f>
        <v>0</v>
      </c>
      <c r="AA10" s="186">
        <f xml:space="preserve"> 'FS Semi'!AA$89</f>
        <v>0</v>
      </c>
      <c r="AB10" s="186">
        <f xml:space="preserve"> 'FS Semi'!AB$89</f>
        <v>0</v>
      </c>
      <c r="AC10" s="186">
        <f xml:space="preserve"> 'FS Semi'!AC$89</f>
        <v>0</v>
      </c>
      <c r="AD10" s="186">
        <f xml:space="preserve"> 'FS Semi'!AD$89</f>
        <v>0</v>
      </c>
      <c r="AE10" s="186">
        <f xml:space="preserve"> 'FS Semi'!AE$89</f>
        <v>0</v>
      </c>
      <c r="AF10" s="186">
        <f xml:space="preserve"> 'FS Semi'!AF$89</f>
        <v>0</v>
      </c>
      <c r="AG10" s="186">
        <f xml:space="preserve"> 'FS Semi'!AG$89</f>
        <v>0</v>
      </c>
      <c r="AH10" s="186">
        <f xml:space="preserve"> 'FS Semi'!AH$89</f>
        <v>0</v>
      </c>
      <c r="AI10" s="186">
        <f xml:space="preserve"> 'FS Semi'!AI$89</f>
        <v>0</v>
      </c>
      <c r="AJ10" s="186">
        <f xml:space="preserve"> 'FS Semi'!AJ$89</f>
        <v>0</v>
      </c>
      <c r="AK10" s="186">
        <f xml:space="preserve"> 'FS Semi'!AK$89</f>
        <v>0</v>
      </c>
      <c r="AL10" s="186">
        <f xml:space="preserve"> 'FS Semi'!AL$89</f>
        <v>0</v>
      </c>
      <c r="AM10" s="186">
        <f xml:space="preserve"> 'FS Semi'!AM$89</f>
        <v>0</v>
      </c>
      <c r="AN10" s="186">
        <f xml:space="preserve"> 'FS Semi'!AN$89</f>
        <v>0</v>
      </c>
      <c r="AO10" s="186">
        <f xml:space="preserve"> 'FS Semi'!AO$89</f>
        <v>0</v>
      </c>
      <c r="AP10" s="186">
        <f xml:space="preserve"> 'FS Semi'!AP$89</f>
        <v>0</v>
      </c>
      <c r="AQ10" s="186">
        <f xml:space="preserve"> 'FS Semi'!AQ$89</f>
        <v>0</v>
      </c>
      <c r="AR10" s="186">
        <f xml:space="preserve"> 'FS Semi'!AR$89</f>
        <v>0</v>
      </c>
      <c r="AS10" s="186">
        <f xml:space="preserve"> 'FS Semi'!AS$89</f>
        <v>0</v>
      </c>
      <c r="AT10" s="186">
        <f xml:space="preserve"> 'FS Semi'!AT$89</f>
        <v>0</v>
      </c>
      <c r="AU10" s="186">
        <f xml:space="preserve"> 'FS Semi'!AU$89</f>
        <v>0</v>
      </c>
      <c r="AV10" s="186">
        <f xml:space="preserve"> 'FS Semi'!AV$89</f>
        <v>0</v>
      </c>
      <c r="AW10" s="186">
        <f xml:space="preserve"> 'FS Semi'!AW$89</f>
        <v>0</v>
      </c>
      <c r="AX10" s="186">
        <f xml:space="preserve"> 'FS Semi'!AX$89</f>
        <v>0</v>
      </c>
      <c r="AY10" s="186">
        <f xml:space="preserve"> 'FS Semi'!AY$89</f>
        <v>0</v>
      </c>
      <c r="AZ10" s="186">
        <f xml:space="preserve"> 'FS Semi'!AZ$89</f>
        <v>0</v>
      </c>
      <c r="BA10" s="186">
        <f xml:space="preserve"> 'FS Semi'!BA$89</f>
        <v>0</v>
      </c>
      <c r="BB10" s="186">
        <f xml:space="preserve"> 'FS Semi'!BB$89</f>
        <v>0</v>
      </c>
      <c r="BC10" s="186">
        <f xml:space="preserve"> 'FS Semi'!BC$89</f>
        <v>0</v>
      </c>
      <c r="BD10" s="186">
        <f xml:space="preserve"> 'FS Semi'!BD$89</f>
        <v>0</v>
      </c>
      <c r="BE10" s="186">
        <f xml:space="preserve"> 'FS Semi'!BE$89</f>
        <v>0</v>
      </c>
      <c r="BF10" s="186">
        <f xml:space="preserve"> 'FS Semi'!BF$89</f>
        <v>0</v>
      </c>
      <c r="BG10" s="186">
        <f xml:space="preserve"> 'FS Semi'!BG$89</f>
        <v>0</v>
      </c>
      <c r="BH10" s="186">
        <f xml:space="preserve"> 'FS Semi'!BH$89</f>
        <v>0</v>
      </c>
      <c r="BI10" s="186">
        <f xml:space="preserve"> 'FS Semi'!BI$89</f>
        <v>0</v>
      </c>
      <c r="BJ10" s="186">
        <f xml:space="preserve"> 'FS Semi'!BJ$89</f>
        <v>0</v>
      </c>
      <c r="BK10" s="186">
        <f xml:space="preserve"> 'FS Semi'!BK$89</f>
        <v>0</v>
      </c>
      <c r="BL10" s="186">
        <f xml:space="preserve"> 'FS Semi'!BL$89</f>
        <v>0</v>
      </c>
      <c r="BM10" s="186">
        <f xml:space="preserve"> 'FS Semi'!BM$89</f>
        <v>0</v>
      </c>
      <c r="BN10" s="186">
        <f xml:space="preserve"> 'FS Semi'!BN$89</f>
        <v>0</v>
      </c>
      <c r="BO10" s="186">
        <f xml:space="preserve"> 'FS Semi'!BO$89</f>
        <v>0</v>
      </c>
      <c r="BP10" s="186">
        <f xml:space="preserve"> 'FS Semi'!BP$89</f>
        <v>0</v>
      </c>
      <c r="BQ10" s="186">
        <f xml:space="preserve"> 'FS Semi'!BQ$89</f>
        <v>0</v>
      </c>
      <c r="BR10" s="186">
        <f xml:space="preserve"> 'FS Semi'!BR$89</f>
        <v>0</v>
      </c>
      <c r="BS10" s="186">
        <f xml:space="preserve"> 'FS Semi'!BS$89</f>
        <v>0</v>
      </c>
      <c r="BT10" s="186">
        <f xml:space="preserve"> 'FS Semi'!BT$89</f>
        <v>0</v>
      </c>
      <c r="BU10" s="186">
        <f xml:space="preserve"> 'FS Semi'!BU$89</f>
        <v>0</v>
      </c>
      <c r="BV10" s="186">
        <f xml:space="preserve"> 'FS Semi'!BV$89</f>
        <v>0</v>
      </c>
      <c r="BW10" s="186">
        <f xml:space="preserve"> 'FS Semi'!BW$89</f>
        <v>0</v>
      </c>
      <c r="BX10" s="186">
        <f xml:space="preserve"> 'FS Semi'!BX$89</f>
        <v>0</v>
      </c>
      <c r="BY10" s="186">
        <f xml:space="preserve"> 'FS Semi'!BY$89</f>
        <v>0</v>
      </c>
      <c r="BZ10" s="186">
        <f xml:space="preserve"> 'FS Semi'!BZ$89</f>
        <v>0</v>
      </c>
      <c r="CA10" s="186">
        <f xml:space="preserve"> 'FS Semi'!CA$89</f>
        <v>0</v>
      </c>
      <c r="CB10" s="186">
        <f xml:space="preserve"> 'FS Semi'!CB$89</f>
        <v>0</v>
      </c>
      <c r="CC10" s="186">
        <f xml:space="preserve"> 'FS Semi'!CC$89</f>
        <v>0</v>
      </c>
      <c r="CD10" s="186">
        <f xml:space="preserve"> 'FS Semi'!CD$89</f>
        <v>0</v>
      </c>
      <c r="CE10" s="186">
        <f xml:space="preserve"> 'FS Semi'!CE$89</f>
        <v>0</v>
      </c>
      <c r="CF10" s="186">
        <f xml:space="preserve"> 'FS Semi'!CF$89</f>
        <v>0</v>
      </c>
      <c r="CG10" s="186">
        <f xml:space="preserve"> 'FS Semi'!CG$89</f>
        <v>0</v>
      </c>
      <c r="CH10" s="186">
        <f xml:space="preserve"> 'FS Semi'!CH$89</f>
        <v>0</v>
      </c>
      <c r="CI10" s="186">
        <f xml:space="preserve"> 'FS Semi'!CI$89</f>
        <v>0</v>
      </c>
      <c r="CJ10" s="186">
        <f xml:space="preserve"> 'FS Semi'!CJ$89</f>
        <v>0</v>
      </c>
      <c r="CK10" s="186">
        <f xml:space="preserve"> 'FS Semi'!CK$89</f>
        <v>0</v>
      </c>
      <c r="CL10" s="186">
        <f xml:space="preserve"> 'FS Semi'!CL$89</f>
        <v>0</v>
      </c>
      <c r="CM10" s="186">
        <f xml:space="preserve"> 'FS Semi'!CM$89</f>
        <v>0</v>
      </c>
      <c r="CN10" s="186">
        <f xml:space="preserve"> 'FS Semi'!CN$89</f>
        <v>0</v>
      </c>
      <c r="CO10" s="186">
        <f xml:space="preserve"> 'FS Semi'!CO$89</f>
        <v>0</v>
      </c>
      <c r="CP10" s="186">
        <f xml:space="preserve"> 'FS Semi'!CP$89</f>
        <v>0</v>
      </c>
      <c r="CQ10" s="186">
        <f xml:space="preserve"> 'FS Semi'!CQ$89</f>
        <v>0</v>
      </c>
      <c r="CR10" s="186">
        <f xml:space="preserve"> 'FS Semi'!CR$89</f>
        <v>0</v>
      </c>
      <c r="CS10" s="186">
        <f xml:space="preserve"> 'FS Semi'!CS$89</f>
        <v>0</v>
      </c>
      <c r="CT10" s="186">
        <f xml:space="preserve"> 'FS Semi'!CT$89</f>
        <v>0</v>
      </c>
      <c r="CU10" s="186">
        <f xml:space="preserve"> 'FS Semi'!CU$89</f>
        <v>0</v>
      </c>
      <c r="CV10" s="186">
        <f xml:space="preserve"> 'FS Semi'!CV$89</f>
        <v>0</v>
      </c>
    </row>
    <row r="11" spans="1:100" outlineLevel="1" x14ac:dyDescent="0.2">
      <c r="E11" s="12" t="s">
        <v>630</v>
      </c>
      <c r="G11" s="12" t="str">
        <f xml:space="preserve"> SMU</f>
        <v>$ 000s</v>
      </c>
      <c r="J11" s="12">
        <f t="shared" ref="J11:AO11" si="3" xml:space="preserve"> MAX(0, SUM(J9:J10))</f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3"/>
        <v>0</v>
      </c>
      <c r="AD11" s="12">
        <f t="shared" si="3"/>
        <v>0</v>
      </c>
      <c r="AE11" s="12">
        <f t="shared" si="3"/>
        <v>0</v>
      </c>
      <c r="AF11" s="12">
        <f t="shared" si="3"/>
        <v>0</v>
      </c>
      <c r="AG11" s="12">
        <f t="shared" si="3"/>
        <v>0</v>
      </c>
      <c r="AH11" s="12">
        <f t="shared" si="3"/>
        <v>0</v>
      </c>
      <c r="AI11" s="12">
        <f t="shared" si="3"/>
        <v>0</v>
      </c>
      <c r="AJ11" s="12">
        <f t="shared" si="3"/>
        <v>0</v>
      </c>
      <c r="AK11" s="12">
        <f t="shared" si="3"/>
        <v>0</v>
      </c>
      <c r="AL11" s="12">
        <f t="shared" si="3"/>
        <v>0</v>
      </c>
      <c r="AM11" s="12">
        <f t="shared" si="3"/>
        <v>0</v>
      </c>
      <c r="AN11" s="12">
        <f t="shared" si="3"/>
        <v>0</v>
      </c>
      <c r="AO11" s="12">
        <f t="shared" si="3"/>
        <v>0</v>
      </c>
      <c r="AP11" s="12">
        <f t="shared" ref="AP11:BU11" si="4" xml:space="preserve"> MAX(0, SUM(AP9:AP10))</f>
        <v>0</v>
      </c>
      <c r="AQ11" s="12">
        <f t="shared" si="4"/>
        <v>0</v>
      </c>
      <c r="AR11" s="12">
        <f t="shared" si="4"/>
        <v>0</v>
      </c>
      <c r="AS11" s="12">
        <f t="shared" si="4"/>
        <v>0</v>
      </c>
      <c r="AT11" s="12">
        <f t="shared" si="4"/>
        <v>0</v>
      </c>
      <c r="AU11" s="12">
        <f t="shared" si="4"/>
        <v>0</v>
      </c>
      <c r="AV11" s="12">
        <f t="shared" si="4"/>
        <v>0</v>
      </c>
      <c r="AW11" s="12">
        <f t="shared" si="4"/>
        <v>0</v>
      </c>
      <c r="AX11" s="12">
        <f t="shared" si="4"/>
        <v>0</v>
      </c>
      <c r="AY11" s="12">
        <f t="shared" si="4"/>
        <v>0</v>
      </c>
      <c r="AZ11" s="12">
        <f t="shared" si="4"/>
        <v>0</v>
      </c>
      <c r="BA11" s="12">
        <f t="shared" si="4"/>
        <v>0</v>
      </c>
      <c r="BB11" s="12">
        <f t="shared" si="4"/>
        <v>0</v>
      </c>
      <c r="BC11" s="12">
        <f t="shared" si="4"/>
        <v>0</v>
      </c>
      <c r="BD11" s="12">
        <f t="shared" si="4"/>
        <v>0</v>
      </c>
      <c r="BE11" s="12">
        <f t="shared" si="4"/>
        <v>0</v>
      </c>
      <c r="BF11" s="12">
        <f t="shared" si="4"/>
        <v>0</v>
      </c>
      <c r="BG11" s="12">
        <f t="shared" si="4"/>
        <v>0</v>
      </c>
      <c r="BH11" s="12">
        <f t="shared" si="4"/>
        <v>0</v>
      </c>
      <c r="BI11" s="12">
        <f t="shared" si="4"/>
        <v>0</v>
      </c>
      <c r="BJ11" s="12">
        <f t="shared" si="4"/>
        <v>0</v>
      </c>
      <c r="BK11" s="12">
        <f t="shared" si="4"/>
        <v>0</v>
      </c>
      <c r="BL11" s="12">
        <f t="shared" si="4"/>
        <v>0</v>
      </c>
      <c r="BM11" s="12">
        <f t="shared" si="4"/>
        <v>0</v>
      </c>
      <c r="BN11" s="12">
        <f t="shared" si="4"/>
        <v>0</v>
      </c>
      <c r="BO11" s="12">
        <f t="shared" si="4"/>
        <v>0</v>
      </c>
      <c r="BP11" s="12">
        <f t="shared" si="4"/>
        <v>0</v>
      </c>
      <c r="BQ11" s="12">
        <f t="shared" si="4"/>
        <v>0</v>
      </c>
      <c r="BR11" s="12">
        <f t="shared" si="4"/>
        <v>0</v>
      </c>
      <c r="BS11" s="12">
        <f t="shared" si="4"/>
        <v>0</v>
      </c>
      <c r="BT11" s="12">
        <f t="shared" si="4"/>
        <v>0</v>
      </c>
      <c r="BU11" s="12">
        <f t="shared" si="4"/>
        <v>0</v>
      </c>
      <c r="BV11" s="12">
        <f t="shared" ref="BV11:CV11" si="5" xml:space="preserve"> MAX(0, SUM(BV9:BV10))</f>
        <v>0</v>
      </c>
      <c r="BW11" s="12">
        <f t="shared" si="5"/>
        <v>0</v>
      </c>
      <c r="BX11" s="12">
        <f t="shared" si="5"/>
        <v>0</v>
      </c>
      <c r="BY11" s="12">
        <f t="shared" si="5"/>
        <v>0</v>
      </c>
      <c r="BZ11" s="12">
        <f t="shared" si="5"/>
        <v>0</v>
      </c>
      <c r="CA11" s="12">
        <f t="shared" si="5"/>
        <v>0</v>
      </c>
      <c r="CB11" s="12">
        <f t="shared" si="5"/>
        <v>0</v>
      </c>
      <c r="CC11" s="12">
        <f t="shared" si="5"/>
        <v>0</v>
      </c>
      <c r="CD11" s="12">
        <f t="shared" si="5"/>
        <v>0</v>
      </c>
      <c r="CE11" s="12">
        <f t="shared" si="5"/>
        <v>0</v>
      </c>
      <c r="CF11" s="12">
        <f t="shared" si="5"/>
        <v>0</v>
      </c>
      <c r="CG11" s="12">
        <f t="shared" si="5"/>
        <v>0</v>
      </c>
      <c r="CH11" s="12">
        <f t="shared" si="5"/>
        <v>0</v>
      </c>
      <c r="CI11" s="12">
        <f t="shared" si="5"/>
        <v>0</v>
      </c>
      <c r="CJ11" s="12">
        <f t="shared" si="5"/>
        <v>0</v>
      </c>
      <c r="CK11" s="12">
        <f t="shared" si="5"/>
        <v>0</v>
      </c>
      <c r="CL11" s="12">
        <f t="shared" si="5"/>
        <v>0</v>
      </c>
      <c r="CM11" s="12">
        <f t="shared" si="5"/>
        <v>0</v>
      </c>
      <c r="CN11" s="12">
        <f t="shared" si="5"/>
        <v>0</v>
      </c>
      <c r="CO11" s="12">
        <f t="shared" si="5"/>
        <v>0</v>
      </c>
      <c r="CP11" s="12">
        <f t="shared" si="5"/>
        <v>0</v>
      </c>
      <c r="CQ11" s="12">
        <f t="shared" si="5"/>
        <v>0</v>
      </c>
      <c r="CR11" s="12">
        <f t="shared" si="5"/>
        <v>0</v>
      </c>
      <c r="CS11" s="12">
        <f t="shared" si="5"/>
        <v>0</v>
      </c>
      <c r="CT11" s="12">
        <f t="shared" si="5"/>
        <v>0</v>
      </c>
      <c r="CU11" s="12">
        <f t="shared" si="5"/>
        <v>0</v>
      </c>
      <c r="CV11" s="12">
        <f t="shared" si="5"/>
        <v>0</v>
      </c>
    </row>
    <row r="12" spans="1:100" outlineLevel="1" x14ac:dyDescent="0.2"/>
    <row r="13" spans="1:100" outlineLevel="1" x14ac:dyDescent="0.2">
      <c r="E13" s="198" t="str">
        <f t="shared" ref="E13:AJ13" si="6" xml:space="preserve"> E$19</f>
        <v>Share capital balance BEG</v>
      </c>
      <c r="F13" s="198">
        <f t="shared" si="6"/>
        <v>0</v>
      </c>
      <c r="G13" s="198" t="str">
        <f t="shared" si="6"/>
        <v>$ 000s</v>
      </c>
      <c r="H13" s="198">
        <f t="shared" si="6"/>
        <v>0</v>
      </c>
      <c r="I13" s="198">
        <f t="shared" si="6"/>
        <v>0</v>
      </c>
      <c r="J13" s="198">
        <f t="shared" si="6"/>
        <v>0</v>
      </c>
      <c r="K13" s="198">
        <f t="shared" si="6"/>
        <v>100</v>
      </c>
      <c r="L13" s="198">
        <f t="shared" si="6"/>
        <v>100</v>
      </c>
      <c r="M13" s="198">
        <f t="shared" si="6"/>
        <v>100</v>
      </c>
      <c r="N13" s="198">
        <f t="shared" si="6"/>
        <v>100</v>
      </c>
      <c r="O13" s="198">
        <f t="shared" si="6"/>
        <v>100</v>
      </c>
      <c r="P13" s="198">
        <f t="shared" si="6"/>
        <v>100</v>
      </c>
      <c r="Q13" s="198">
        <f t="shared" si="6"/>
        <v>100</v>
      </c>
      <c r="R13" s="198">
        <f t="shared" si="6"/>
        <v>100</v>
      </c>
      <c r="S13" s="198">
        <f t="shared" si="6"/>
        <v>100</v>
      </c>
      <c r="T13" s="198">
        <f t="shared" si="6"/>
        <v>100</v>
      </c>
      <c r="U13" s="198">
        <f t="shared" si="6"/>
        <v>100</v>
      </c>
      <c r="V13" s="198">
        <f t="shared" si="6"/>
        <v>100</v>
      </c>
      <c r="W13" s="198">
        <f t="shared" si="6"/>
        <v>100</v>
      </c>
      <c r="X13" s="198">
        <f t="shared" si="6"/>
        <v>100</v>
      </c>
      <c r="Y13" s="198">
        <f t="shared" si="6"/>
        <v>100</v>
      </c>
      <c r="Z13" s="198">
        <f t="shared" si="6"/>
        <v>100</v>
      </c>
      <c r="AA13" s="198">
        <f t="shared" si="6"/>
        <v>100</v>
      </c>
      <c r="AB13" s="198">
        <f t="shared" si="6"/>
        <v>100</v>
      </c>
      <c r="AC13" s="198">
        <f t="shared" si="6"/>
        <v>100</v>
      </c>
      <c r="AD13" s="198">
        <f t="shared" si="6"/>
        <v>100</v>
      </c>
      <c r="AE13" s="198">
        <f t="shared" si="6"/>
        <v>100</v>
      </c>
      <c r="AF13" s="198">
        <f t="shared" si="6"/>
        <v>100</v>
      </c>
      <c r="AG13" s="198">
        <f t="shared" si="6"/>
        <v>100</v>
      </c>
      <c r="AH13" s="198">
        <f t="shared" si="6"/>
        <v>100</v>
      </c>
      <c r="AI13" s="198">
        <f t="shared" si="6"/>
        <v>100</v>
      </c>
      <c r="AJ13" s="198">
        <f t="shared" si="6"/>
        <v>100</v>
      </c>
      <c r="AK13" s="198">
        <f t="shared" ref="AK13:BP13" si="7" xml:space="preserve"> AK$19</f>
        <v>100</v>
      </c>
      <c r="AL13" s="198">
        <f t="shared" si="7"/>
        <v>100</v>
      </c>
      <c r="AM13" s="198">
        <f t="shared" si="7"/>
        <v>100</v>
      </c>
      <c r="AN13" s="198">
        <f t="shared" si="7"/>
        <v>100</v>
      </c>
      <c r="AO13" s="198">
        <f t="shared" si="7"/>
        <v>100</v>
      </c>
      <c r="AP13" s="198">
        <f t="shared" si="7"/>
        <v>100</v>
      </c>
      <c r="AQ13" s="198">
        <f t="shared" si="7"/>
        <v>100</v>
      </c>
      <c r="AR13" s="198">
        <f t="shared" si="7"/>
        <v>100</v>
      </c>
      <c r="AS13" s="198">
        <f t="shared" si="7"/>
        <v>100</v>
      </c>
      <c r="AT13" s="198">
        <f t="shared" si="7"/>
        <v>100</v>
      </c>
      <c r="AU13" s="198">
        <f t="shared" si="7"/>
        <v>100</v>
      </c>
      <c r="AV13" s="198">
        <f t="shared" si="7"/>
        <v>100</v>
      </c>
      <c r="AW13" s="198">
        <f t="shared" si="7"/>
        <v>100</v>
      </c>
      <c r="AX13" s="198">
        <f t="shared" si="7"/>
        <v>100</v>
      </c>
      <c r="AY13" s="198">
        <f t="shared" si="7"/>
        <v>100</v>
      </c>
      <c r="AZ13" s="198">
        <f t="shared" si="7"/>
        <v>100</v>
      </c>
      <c r="BA13" s="198">
        <f t="shared" si="7"/>
        <v>100</v>
      </c>
      <c r="BB13" s="198">
        <f t="shared" si="7"/>
        <v>100</v>
      </c>
      <c r="BC13" s="198">
        <f t="shared" si="7"/>
        <v>100</v>
      </c>
      <c r="BD13" s="198">
        <f t="shared" si="7"/>
        <v>100</v>
      </c>
      <c r="BE13" s="198">
        <f t="shared" si="7"/>
        <v>100</v>
      </c>
      <c r="BF13" s="198">
        <f t="shared" si="7"/>
        <v>100</v>
      </c>
      <c r="BG13" s="198">
        <f t="shared" si="7"/>
        <v>100</v>
      </c>
      <c r="BH13" s="198">
        <f t="shared" si="7"/>
        <v>100</v>
      </c>
      <c r="BI13" s="198">
        <f t="shared" si="7"/>
        <v>100</v>
      </c>
      <c r="BJ13" s="198">
        <f t="shared" si="7"/>
        <v>100</v>
      </c>
      <c r="BK13" s="198">
        <f t="shared" si="7"/>
        <v>100</v>
      </c>
      <c r="BL13" s="198">
        <f t="shared" si="7"/>
        <v>100</v>
      </c>
      <c r="BM13" s="198">
        <f t="shared" si="7"/>
        <v>100</v>
      </c>
      <c r="BN13" s="198">
        <f t="shared" si="7"/>
        <v>100</v>
      </c>
      <c r="BO13" s="198">
        <f t="shared" si="7"/>
        <v>100</v>
      </c>
      <c r="BP13" s="198">
        <f t="shared" si="7"/>
        <v>100</v>
      </c>
      <c r="BQ13" s="198">
        <f t="shared" ref="BQ13:CV13" si="8" xml:space="preserve"> BQ$19</f>
        <v>100</v>
      </c>
      <c r="BR13" s="198">
        <f t="shared" si="8"/>
        <v>100</v>
      </c>
      <c r="BS13" s="198">
        <f t="shared" si="8"/>
        <v>100</v>
      </c>
      <c r="BT13" s="198">
        <f t="shared" si="8"/>
        <v>100</v>
      </c>
      <c r="BU13" s="198">
        <f t="shared" si="8"/>
        <v>100</v>
      </c>
      <c r="BV13" s="198">
        <f t="shared" si="8"/>
        <v>100</v>
      </c>
      <c r="BW13" s="198">
        <f t="shared" si="8"/>
        <v>100</v>
      </c>
      <c r="BX13" s="198">
        <f t="shared" si="8"/>
        <v>100</v>
      </c>
      <c r="BY13" s="198">
        <f t="shared" si="8"/>
        <v>100</v>
      </c>
      <c r="BZ13" s="198">
        <f t="shared" si="8"/>
        <v>100</v>
      </c>
      <c r="CA13" s="198">
        <f t="shared" si="8"/>
        <v>100</v>
      </c>
      <c r="CB13" s="198">
        <f t="shared" si="8"/>
        <v>100</v>
      </c>
      <c r="CC13" s="198">
        <f t="shared" si="8"/>
        <v>100</v>
      </c>
      <c r="CD13" s="198">
        <f t="shared" si="8"/>
        <v>100</v>
      </c>
      <c r="CE13" s="198">
        <f t="shared" si="8"/>
        <v>100</v>
      </c>
      <c r="CF13" s="198">
        <f t="shared" si="8"/>
        <v>100</v>
      </c>
      <c r="CG13" s="198">
        <f t="shared" si="8"/>
        <v>100</v>
      </c>
      <c r="CH13" s="198">
        <f t="shared" si="8"/>
        <v>100</v>
      </c>
      <c r="CI13" s="198">
        <f t="shared" si="8"/>
        <v>100</v>
      </c>
      <c r="CJ13" s="198">
        <f t="shared" si="8"/>
        <v>100</v>
      </c>
      <c r="CK13" s="198">
        <f t="shared" si="8"/>
        <v>100</v>
      </c>
      <c r="CL13" s="198">
        <f t="shared" si="8"/>
        <v>100</v>
      </c>
      <c r="CM13" s="198">
        <f t="shared" si="8"/>
        <v>100</v>
      </c>
      <c r="CN13" s="198">
        <f t="shared" si="8"/>
        <v>100</v>
      </c>
      <c r="CO13" s="198">
        <f t="shared" si="8"/>
        <v>100</v>
      </c>
      <c r="CP13" s="198">
        <f t="shared" si="8"/>
        <v>100</v>
      </c>
      <c r="CQ13" s="198">
        <f t="shared" si="8"/>
        <v>100</v>
      </c>
      <c r="CR13" s="198">
        <f t="shared" si="8"/>
        <v>100</v>
      </c>
      <c r="CS13" s="198">
        <f t="shared" si="8"/>
        <v>100</v>
      </c>
      <c r="CT13" s="198">
        <f t="shared" si="8"/>
        <v>100</v>
      </c>
      <c r="CU13" s="198">
        <f t="shared" si="8"/>
        <v>100</v>
      </c>
      <c r="CV13" s="198">
        <f t="shared" si="8"/>
        <v>100</v>
      </c>
    </row>
    <row r="14" spans="1:100" outlineLevel="1" x14ac:dyDescent="0.2">
      <c r="E14" s="12" t="str">
        <f t="shared" ref="E14:AJ14" si="9" xml:space="preserve"> E$11</f>
        <v>Cash available for share capital redemption</v>
      </c>
      <c r="F14" s="12">
        <f t="shared" si="9"/>
        <v>0</v>
      </c>
      <c r="G14" s="12" t="str">
        <f t="shared" si="9"/>
        <v>$ 000s</v>
      </c>
      <c r="H14" s="12">
        <f t="shared" si="9"/>
        <v>0</v>
      </c>
      <c r="I14" s="12">
        <f t="shared" si="9"/>
        <v>0</v>
      </c>
      <c r="J14" s="12">
        <f t="shared" si="9"/>
        <v>0</v>
      </c>
      <c r="K14" s="12">
        <f t="shared" si="9"/>
        <v>0</v>
      </c>
      <c r="L14" s="12">
        <f t="shared" si="9"/>
        <v>0</v>
      </c>
      <c r="M14" s="12">
        <f t="shared" si="9"/>
        <v>0</v>
      </c>
      <c r="N14" s="12">
        <f t="shared" si="9"/>
        <v>0</v>
      </c>
      <c r="O14" s="12">
        <f t="shared" si="9"/>
        <v>0</v>
      </c>
      <c r="P14" s="12">
        <f t="shared" si="9"/>
        <v>0</v>
      </c>
      <c r="Q14" s="12">
        <f t="shared" si="9"/>
        <v>0</v>
      </c>
      <c r="R14" s="12">
        <f t="shared" si="9"/>
        <v>0</v>
      </c>
      <c r="S14" s="12">
        <f t="shared" si="9"/>
        <v>0</v>
      </c>
      <c r="T14" s="12">
        <f t="shared" si="9"/>
        <v>0</v>
      </c>
      <c r="U14" s="12">
        <f t="shared" si="9"/>
        <v>0</v>
      </c>
      <c r="V14" s="12">
        <f t="shared" si="9"/>
        <v>0</v>
      </c>
      <c r="W14" s="12">
        <f t="shared" si="9"/>
        <v>0</v>
      </c>
      <c r="X14" s="12">
        <f t="shared" si="9"/>
        <v>0</v>
      </c>
      <c r="Y14" s="12">
        <f t="shared" si="9"/>
        <v>0</v>
      </c>
      <c r="Z14" s="12">
        <f t="shared" si="9"/>
        <v>0</v>
      </c>
      <c r="AA14" s="12">
        <f t="shared" si="9"/>
        <v>0</v>
      </c>
      <c r="AB14" s="12">
        <f t="shared" si="9"/>
        <v>0</v>
      </c>
      <c r="AC14" s="12">
        <f t="shared" si="9"/>
        <v>0</v>
      </c>
      <c r="AD14" s="12">
        <f t="shared" si="9"/>
        <v>0</v>
      </c>
      <c r="AE14" s="12">
        <f t="shared" si="9"/>
        <v>0</v>
      </c>
      <c r="AF14" s="12">
        <f t="shared" si="9"/>
        <v>0</v>
      </c>
      <c r="AG14" s="12">
        <f t="shared" si="9"/>
        <v>0</v>
      </c>
      <c r="AH14" s="12">
        <f t="shared" si="9"/>
        <v>0</v>
      </c>
      <c r="AI14" s="12">
        <f t="shared" si="9"/>
        <v>0</v>
      </c>
      <c r="AJ14" s="12">
        <f t="shared" si="9"/>
        <v>0</v>
      </c>
      <c r="AK14" s="12">
        <f t="shared" ref="AK14:BP14" si="10" xml:space="preserve"> AK$11</f>
        <v>0</v>
      </c>
      <c r="AL14" s="12">
        <f t="shared" si="10"/>
        <v>0</v>
      </c>
      <c r="AM14" s="12">
        <f t="shared" si="10"/>
        <v>0</v>
      </c>
      <c r="AN14" s="12">
        <f t="shared" si="10"/>
        <v>0</v>
      </c>
      <c r="AO14" s="12">
        <f t="shared" si="10"/>
        <v>0</v>
      </c>
      <c r="AP14" s="12">
        <f t="shared" si="10"/>
        <v>0</v>
      </c>
      <c r="AQ14" s="12">
        <f t="shared" si="10"/>
        <v>0</v>
      </c>
      <c r="AR14" s="12">
        <f t="shared" si="10"/>
        <v>0</v>
      </c>
      <c r="AS14" s="12">
        <f t="shared" si="10"/>
        <v>0</v>
      </c>
      <c r="AT14" s="12">
        <f t="shared" si="10"/>
        <v>0</v>
      </c>
      <c r="AU14" s="12">
        <f t="shared" si="10"/>
        <v>0</v>
      </c>
      <c r="AV14" s="12">
        <f t="shared" si="10"/>
        <v>0</v>
      </c>
      <c r="AW14" s="12">
        <f t="shared" si="10"/>
        <v>0</v>
      </c>
      <c r="AX14" s="12">
        <f t="shared" si="10"/>
        <v>0</v>
      </c>
      <c r="AY14" s="12">
        <f t="shared" si="10"/>
        <v>0</v>
      </c>
      <c r="AZ14" s="12">
        <f t="shared" si="10"/>
        <v>0</v>
      </c>
      <c r="BA14" s="12">
        <f t="shared" si="10"/>
        <v>0</v>
      </c>
      <c r="BB14" s="12">
        <f t="shared" si="10"/>
        <v>0</v>
      </c>
      <c r="BC14" s="12">
        <f t="shared" si="10"/>
        <v>0</v>
      </c>
      <c r="BD14" s="12">
        <f t="shared" si="10"/>
        <v>0</v>
      </c>
      <c r="BE14" s="12">
        <f t="shared" si="10"/>
        <v>0</v>
      </c>
      <c r="BF14" s="12">
        <f t="shared" si="10"/>
        <v>0</v>
      </c>
      <c r="BG14" s="12">
        <f t="shared" si="10"/>
        <v>0</v>
      </c>
      <c r="BH14" s="12">
        <f t="shared" si="10"/>
        <v>0</v>
      </c>
      <c r="BI14" s="12">
        <f t="shared" si="10"/>
        <v>0</v>
      </c>
      <c r="BJ14" s="12">
        <f t="shared" si="10"/>
        <v>0</v>
      </c>
      <c r="BK14" s="12">
        <f t="shared" si="10"/>
        <v>0</v>
      </c>
      <c r="BL14" s="12">
        <f t="shared" si="10"/>
        <v>0</v>
      </c>
      <c r="BM14" s="12">
        <f t="shared" si="10"/>
        <v>0</v>
      </c>
      <c r="BN14" s="12">
        <f t="shared" si="10"/>
        <v>0</v>
      </c>
      <c r="BO14" s="12">
        <f t="shared" si="10"/>
        <v>0</v>
      </c>
      <c r="BP14" s="12">
        <f t="shared" si="10"/>
        <v>0</v>
      </c>
      <c r="BQ14" s="12">
        <f t="shared" ref="BQ14:CV14" si="11" xml:space="preserve"> BQ$11</f>
        <v>0</v>
      </c>
      <c r="BR14" s="12">
        <f t="shared" si="11"/>
        <v>0</v>
      </c>
      <c r="BS14" s="12">
        <f t="shared" si="11"/>
        <v>0</v>
      </c>
      <c r="BT14" s="12">
        <f t="shared" si="11"/>
        <v>0</v>
      </c>
      <c r="BU14" s="12">
        <f t="shared" si="11"/>
        <v>0</v>
      </c>
      <c r="BV14" s="12">
        <f t="shared" si="11"/>
        <v>0</v>
      </c>
      <c r="BW14" s="12">
        <f t="shared" si="11"/>
        <v>0</v>
      </c>
      <c r="BX14" s="12">
        <f t="shared" si="11"/>
        <v>0</v>
      </c>
      <c r="BY14" s="12">
        <f t="shared" si="11"/>
        <v>0</v>
      </c>
      <c r="BZ14" s="12">
        <f t="shared" si="11"/>
        <v>0</v>
      </c>
      <c r="CA14" s="12">
        <f t="shared" si="11"/>
        <v>0</v>
      </c>
      <c r="CB14" s="12">
        <f t="shared" si="11"/>
        <v>0</v>
      </c>
      <c r="CC14" s="12">
        <f t="shared" si="11"/>
        <v>0</v>
      </c>
      <c r="CD14" s="12">
        <f t="shared" si="11"/>
        <v>0</v>
      </c>
      <c r="CE14" s="12">
        <f t="shared" si="11"/>
        <v>0</v>
      </c>
      <c r="CF14" s="12">
        <f t="shared" si="11"/>
        <v>0</v>
      </c>
      <c r="CG14" s="12">
        <f t="shared" si="11"/>
        <v>0</v>
      </c>
      <c r="CH14" s="12">
        <f t="shared" si="11"/>
        <v>0</v>
      </c>
      <c r="CI14" s="12">
        <f t="shared" si="11"/>
        <v>0</v>
      </c>
      <c r="CJ14" s="12">
        <f t="shared" si="11"/>
        <v>0</v>
      </c>
      <c r="CK14" s="12">
        <f t="shared" si="11"/>
        <v>0</v>
      </c>
      <c r="CL14" s="12">
        <f t="shared" si="11"/>
        <v>0</v>
      </c>
      <c r="CM14" s="12">
        <f t="shared" si="11"/>
        <v>0</v>
      </c>
      <c r="CN14" s="12">
        <f t="shared" si="11"/>
        <v>0</v>
      </c>
      <c r="CO14" s="12">
        <f t="shared" si="11"/>
        <v>0</v>
      </c>
      <c r="CP14" s="12">
        <f t="shared" si="11"/>
        <v>0</v>
      </c>
      <c r="CQ14" s="12">
        <f t="shared" si="11"/>
        <v>0</v>
      </c>
      <c r="CR14" s="12">
        <f t="shared" si="11"/>
        <v>0</v>
      </c>
      <c r="CS14" s="12">
        <f t="shared" si="11"/>
        <v>0</v>
      </c>
      <c r="CT14" s="12">
        <f t="shared" si="11"/>
        <v>0</v>
      </c>
      <c r="CU14" s="12">
        <f t="shared" si="11"/>
        <v>0</v>
      </c>
      <c r="CV14" s="12">
        <f t="shared" si="11"/>
        <v>0</v>
      </c>
    </row>
    <row r="15" spans="1:100" outlineLevel="1" x14ac:dyDescent="0.2">
      <c r="E15" s="226" t="str">
        <f xml:space="preserve"> Time!E$101</f>
        <v xml:space="preserve">Last operating period flag </v>
      </c>
      <c r="F15" s="226">
        <f xml:space="preserve"> Time!F$101</f>
        <v>0</v>
      </c>
      <c r="G15" s="226" t="str">
        <f xml:space="preserve"> Time!G$101</f>
        <v>flag</v>
      </c>
      <c r="H15" s="226">
        <f xml:space="preserve"> Time!H$101</f>
        <v>1</v>
      </c>
      <c r="I15" s="226">
        <f xml:space="preserve"> Time!I$101</f>
        <v>0</v>
      </c>
      <c r="J15" s="226">
        <f xml:space="preserve"> Time!J$101</f>
        <v>0</v>
      </c>
      <c r="K15" s="226">
        <f xml:space="preserve"> Time!K$101</f>
        <v>0</v>
      </c>
      <c r="L15" s="226">
        <f xml:space="preserve"> Time!L$101</f>
        <v>0</v>
      </c>
      <c r="M15" s="226">
        <f xml:space="preserve"> Time!M$101</f>
        <v>0</v>
      </c>
      <c r="N15" s="226">
        <f xml:space="preserve"> Time!N$101</f>
        <v>0</v>
      </c>
      <c r="O15" s="226">
        <f xml:space="preserve"> Time!O$101</f>
        <v>0</v>
      </c>
      <c r="P15" s="226">
        <f xml:space="preserve"> Time!P$101</f>
        <v>0</v>
      </c>
      <c r="Q15" s="226">
        <f xml:space="preserve"> Time!Q$101</f>
        <v>0</v>
      </c>
      <c r="R15" s="226">
        <f xml:space="preserve"> Time!R$101</f>
        <v>0</v>
      </c>
      <c r="S15" s="226">
        <f xml:space="preserve"> Time!S$101</f>
        <v>0</v>
      </c>
      <c r="T15" s="226">
        <f xml:space="preserve"> Time!T$101</f>
        <v>0</v>
      </c>
      <c r="U15" s="226">
        <f xml:space="preserve"> Time!U$101</f>
        <v>0</v>
      </c>
      <c r="V15" s="226">
        <f xml:space="preserve"> Time!V$101</f>
        <v>0</v>
      </c>
      <c r="W15" s="226">
        <f xml:space="preserve"> Time!W$101</f>
        <v>0</v>
      </c>
      <c r="X15" s="226">
        <f xml:space="preserve"> Time!X$101</f>
        <v>0</v>
      </c>
      <c r="Y15" s="226">
        <f xml:space="preserve"> Time!Y$101</f>
        <v>0</v>
      </c>
      <c r="Z15" s="226">
        <f xml:space="preserve"> Time!Z$101</f>
        <v>0</v>
      </c>
      <c r="AA15" s="226">
        <f xml:space="preserve"> Time!AA$101</f>
        <v>0</v>
      </c>
      <c r="AB15" s="226">
        <f xml:space="preserve"> Time!AB$101</f>
        <v>0</v>
      </c>
      <c r="AC15" s="226">
        <f xml:space="preserve"> Time!AC$101</f>
        <v>0</v>
      </c>
      <c r="AD15" s="226">
        <f xml:space="preserve"> Time!AD$101</f>
        <v>0</v>
      </c>
      <c r="AE15" s="226">
        <f xml:space="preserve"> Time!AE$101</f>
        <v>0</v>
      </c>
      <c r="AF15" s="226">
        <f xml:space="preserve"> Time!AF$101</f>
        <v>0</v>
      </c>
      <c r="AG15" s="226">
        <f xml:space="preserve"> Time!AG$101</f>
        <v>0</v>
      </c>
      <c r="AH15" s="226">
        <f xml:space="preserve"> Time!AH$101</f>
        <v>0</v>
      </c>
      <c r="AI15" s="226">
        <f xml:space="preserve"> Time!AI$101</f>
        <v>0</v>
      </c>
      <c r="AJ15" s="226">
        <f xml:space="preserve"> Time!AJ$101</f>
        <v>0</v>
      </c>
      <c r="AK15" s="226">
        <f xml:space="preserve"> Time!AK$101</f>
        <v>0</v>
      </c>
      <c r="AL15" s="226">
        <f xml:space="preserve"> Time!AL$101</f>
        <v>0</v>
      </c>
      <c r="AM15" s="226">
        <f xml:space="preserve"> Time!AM$101</f>
        <v>0</v>
      </c>
      <c r="AN15" s="226">
        <f xml:space="preserve"> Time!AN$101</f>
        <v>0</v>
      </c>
      <c r="AO15" s="226">
        <f xml:space="preserve"> Time!AO$101</f>
        <v>0</v>
      </c>
      <c r="AP15" s="226">
        <f xml:space="preserve"> Time!AP$101</f>
        <v>0</v>
      </c>
      <c r="AQ15" s="226">
        <f xml:space="preserve"> Time!AQ$101</f>
        <v>0</v>
      </c>
      <c r="AR15" s="226">
        <f xml:space="preserve"> Time!AR$101</f>
        <v>0</v>
      </c>
      <c r="AS15" s="226">
        <f xml:space="preserve"> Time!AS$101</f>
        <v>0</v>
      </c>
      <c r="AT15" s="226">
        <f xml:space="preserve"> Time!AT$101</f>
        <v>0</v>
      </c>
      <c r="AU15" s="226">
        <f xml:space="preserve"> Time!AU$101</f>
        <v>0</v>
      </c>
      <c r="AV15" s="226">
        <f xml:space="preserve"> Time!AV$101</f>
        <v>0</v>
      </c>
      <c r="AW15" s="226">
        <f xml:space="preserve"> Time!AW$101</f>
        <v>0</v>
      </c>
      <c r="AX15" s="226">
        <f xml:space="preserve"> Time!AX$101</f>
        <v>0</v>
      </c>
      <c r="AY15" s="226">
        <f xml:space="preserve"> Time!AY$101</f>
        <v>0</v>
      </c>
      <c r="AZ15" s="226">
        <f xml:space="preserve"> Time!AZ$101</f>
        <v>0</v>
      </c>
      <c r="BA15" s="226">
        <f xml:space="preserve"> Time!BA$101</f>
        <v>0</v>
      </c>
      <c r="BB15" s="226">
        <f xml:space="preserve"> Time!BB$101</f>
        <v>1</v>
      </c>
      <c r="BC15" s="226">
        <f xml:space="preserve"> Time!BC$101</f>
        <v>0</v>
      </c>
      <c r="BD15" s="226">
        <f xml:space="preserve"> Time!BD$101</f>
        <v>0</v>
      </c>
      <c r="BE15" s="226">
        <f xml:space="preserve"> Time!BE$101</f>
        <v>0</v>
      </c>
      <c r="BF15" s="226">
        <f xml:space="preserve"> Time!BF$101</f>
        <v>0</v>
      </c>
      <c r="BG15" s="226">
        <f xml:space="preserve"> Time!BG$101</f>
        <v>0</v>
      </c>
      <c r="BH15" s="226">
        <f xml:space="preserve"> Time!BH$101</f>
        <v>0</v>
      </c>
      <c r="BI15" s="226">
        <f xml:space="preserve"> Time!BI$101</f>
        <v>0</v>
      </c>
      <c r="BJ15" s="226">
        <f xml:space="preserve"> Time!BJ$101</f>
        <v>0</v>
      </c>
      <c r="BK15" s="226">
        <f xml:space="preserve"> Time!BK$101</f>
        <v>0</v>
      </c>
      <c r="BL15" s="226">
        <f xml:space="preserve"> Time!BL$101</f>
        <v>0</v>
      </c>
      <c r="BM15" s="226">
        <f xml:space="preserve"> Time!BM$101</f>
        <v>0</v>
      </c>
      <c r="BN15" s="226">
        <f xml:space="preserve"> Time!BN$101</f>
        <v>0</v>
      </c>
      <c r="BO15" s="226">
        <f xml:space="preserve"> Time!BO$101</f>
        <v>0</v>
      </c>
      <c r="BP15" s="226">
        <f xml:space="preserve"> Time!BP$101</f>
        <v>0</v>
      </c>
      <c r="BQ15" s="226">
        <f xml:space="preserve"> Time!BQ$101</f>
        <v>0</v>
      </c>
      <c r="BR15" s="226">
        <f xml:space="preserve"> Time!BR$101</f>
        <v>0</v>
      </c>
      <c r="BS15" s="226">
        <f xml:space="preserve"> Time!BS$101</f>
        <v>0</v>
      </c>
      <c r="BT15" s="226">
        <f xml:space="preserve"> Time!BT$101</f>
        <v>0</v>
      </c>
      <c r="BU15" s="226">
        <f xml:space="preserve"> Time!BU$101</f>
        <v>0</v>
      </c>
      <c r="BV15" s="226">
        <f xml:space="preserve"> Time!BV$101</f>
        <v>0</v>
      </c>
      <c r="BW15" s="226">
        <f xml:space="preserve"> Time!BW$101</f>
        <v>0</v>
      </c>
      <c r="BX15" s="226">
        <f xml:space="preserve"> Time!BX$101</f>
        <v>0</v>
      </c>
      <c r="BY15" s="226">
        <f xml:space="preserve"> Time!BY$101</f>
        <v>0</v>
      </c>
      <c r="BZ15" s="226">
        <f xml:space="preserve"> Time!BZ$101</f>
        <v>0</v>
      </c>
      <c r="CA15" s="226">
        <f xml:space="preserve"> Time!CA$101</f>
        <v>0</v>
      </c>
      <c r="CB15" s="226">
        <f xml:space="preserve"> Time!CB$101</f>
        <v>0</v>
      </c>
      <c r="CC15" s="226">
        <f xml:space="preserve"> Time!CC$101</f>
        <v>0</v>
      </c>
      <c r="CD15" s="226">
        <f xml:space="preserve"> Time!CD$101</f>
        <v>0</v>
      </c>
      <c r="CE15" s="226">
        <f xml:space="preserve"> Time!CE$101</f>
        <v>0</v>
      </c>
      <c r="CF15" s="226">
        <f xml:space="preserve"> Time!CF$101</f>
        <v>0</v>
      </c>
      <c r="CG15" s="226">
        <f xml:space="preserve"> Time!CG$101</f>
        <v>0</v>
      </c>
      <c r="CH15" s="226">
        <f xml:space="preserve"> Time!CH$101</f>
        <v>0</v>
      </c>
      <c r="CI15" s="226">
        <f xml:space="preserve"> Time!CI$101</f>
        <v>0</v>
      </c>
      <c r="CJ15" s="226">
        <f xml:space="preserve"> Time!CJ$101</f>
        <v>0</v>
      </c>
      <c r="CK15" s="226">
        <f xml:space="preserve"> Time!CK$101</f>
        <v>0</v>
      </c>
      <c r="CL15" s="226">
        <f xml:space="preserve"> Time!CL$101</f>
        <v>0</v>
      </c>
      <c r="CM15" s="226">
        <f xml:space="preserve"> Time!CM$101</f>
        <v>0</v>
      </c>
      <c r="CN15" s="226">
        <f xml:space="preserve"> Time!CN$101</f>
        <v>0</v>
      </c>
      <c r="CO15" s="226">
        <f xml:space="preserve"> Time!CO$101</f>
        <v>0</v>
      </c>
      <c r="CP15" s="226">
        <f xml:space="preserve"> Time!CP$101</f>
        <v>0</v>
      </c>
      <c r="CQ15" s="226">
        <f xml:space="preserve"> Time!CQ$101</f>
        <v>0</v>
      </c>
      <c r="CR15" s="226">
        <f xml:space="preserve"> Time!CR$101</f>
        <v>0</v>
      </c>
      <c r="CS15" s="226">
        <f xml:space="preserve"> Time!CS$101</f>
        <v>0</v>
      </c>
      <c r="CT15" s="226">
        <f xml:space="preserve"> Time!CT$101</f>
        <v>0</v>
      </c>
      <c r="CU15" s="226">
        <f xml:space="preserve"> Time!CU$101</f>
        <v>0</v>
      </c>
      <c r="CV15" s="226">
        <f xml:space="preserve"> Time!CV$101</f>
        <v>0</v>
      </c>
    </row>
    <row r="16" spans="1:100" outlineLevel="1" x14ac:dyDescent="0.2">
      <c r="A16" s="141"/>
      <c r="B16" s="141"/>
      <c r="C16" s="142"/>
      <c r="D16" s="143"/>
      <c r="E16" s="402" t="s">
        <v>148</v>
      </c>
      <c r="F16" s="402"/>
      <c r="G16" s="402" t="str">
        <f xml:space="preserve"> SMU</f>
        <v>$ 000s</v>
      </c>
      <c r="H16" s="402">
        <f xml:space="preserve"> SUM(J16:CV16)</f>
        <v>0</v>
      </c>
      <c r="I16" s="402"/>
      <c r="J16" s="402">
        <f t="shared" ref="J16:AO16" si="12" xml:space="preserve"> MIN(J13, J14) * J15</f>
        <v>0</v>
      </c>
      <c r="K16" s="402">
        <f t="shared" si="12"/>
        <v>0</v>
      </c>
      <c r="L16" s="402">
        <f t="shared" si="12"/>
        <v>0</v>
      </c>
      <c r="M16" s="402">
        <f t="shared" si="12"/>
        <v>0</v>
      </c>
      <c r="N16" s="402">
        <f t="shared" si="12"/>
        <v>0</v>
      </c>
      <c r="O16" s="402">
        <f t="shared" si="12"/>
        <v>0</v>
      </c>
      <c r="P16" s="402">
        <f t="shared" si="12"/>
        <v>0</v>
      </c>
      <c r="Q16" s="402">
        <f t="shared" si="12"/>
        <v>0</v>
      </c>
      <c r="R16" s="402">
        <f t="shared" si="12"/>
        <v>0</v>
      </c>
      <c r="S16" s="402">
        <f t="shared" si="12"/>
        <v>0</v>
      </c>
      <c r="T16" s="402">
        <f t="shared" si="12"/>
        <v>0</v>
      </c>
      <c r="U16" s="402">
        <f t="shared" si="12"/>
        <v>0</v>
      </c>
      <c r="V16" s="402">
        <f t="shared" si="12"/>
        <v>0</v>
      </c>
      <c r="W16" s="402">
        <f t="shared" si="12"/>
        <v>0</v>
      </c>
      <c r="X16" s="402">
        <f t="shared" si="12"/>
        <v>0</v>
      </c>
      <c r="Y16" s="402">
        <f t="shared" si="12"/>
        <v>0</v>
      </c>
      <c r="Z16" s="402">
        <f t="shared" si="12"/>
        <v>0</v>
      </c>
      <c r="AA16" s="402">
        <f t="shared" si="12"/>
        <v>0</v>
      </c>
      <c r="AB16" s="402">
        <f t="shared" si="12"/>
        <v>0</v>
      </c>
      <c r="AC16" s="402">
        <f t="shared" si="12"/>
        <v>0</v>
      </c>
      <c r="AD16" s="402">
        <f t="shared" si="12"/>
        <v>0</v>
      </c>
      <c r="AE16" s="402">
        <f t="shared" si="12"/>
        <v>0</v>
      </c>
      <c r="AF16" s="402">
        <f t="shared" si="12"/>
        <v>0</v>
      </c>
      <c r="AG16" s="402">
        <f t="shared" si="12"/>
        <v>0</v>
      </c>
      <c r="AH16" s="402">
        <f t="shared" si="12"/>
        <v>0</v>
      </c>
      <c r="AI16" s="402">
        <f t="shared" si="12"/>
        <v>0</v>
      </c>
      <c r="AJ16" s="402">
        <f t="shared" si="12"/>
        <v>0</v>
      </c>
      <c r="AK16" s="402">
        <f t="shared" si="12"/>
        <v>0</v>
      </c>
      <c r="AL16" s="402">
        <f t="shared" si="12"/>
        <v>0</v>
      </c>
      <c r="AM16" s="402">
        <f t="shared" si="12"/>
        <v>0</v>
      </c>
      <c r="AN16" s="402">
        <f t="shared" si="12"/>
        <v>0</v>
      </c>
      <c r="AO16" s="402">
        <f t="shared" si="12"/>
        <v>0</v>
      </c>
      <c r="AP16" s="402">
        <f t="shared" ref="AP16:BU16" si="13" xml:space="preserve"> MIN(AP13, AP14) * AP15</f>
        <v>0</v>
      </c>
      <c r="AQ16" s="402">
        <f t="shared" si="13"/>
        <v>0</v>
      </c>
      <c r="AR16" s="402">
        <f t="shared" si="13"/>
        <v>0</v>
      </c>
      <c r="AS16" s="402">
        <f t="shared" si="13"/>
        <v>0</v>
      </c>
      <c r="AT16" s="402">
        <f t="shared" si="13"/>
        <v>0</v>
      </c>
      <c r="AU16" s="402">
        <f t="shared" si="13"/>
        <v>0</v>
      </c>
      <c r="AV16" s="402">
        <f t="shared" si="13"/>
        <v>0</v>
      </c>
      <c r="AW16" s="402">
        <f t="shared" si="13"/>
        <v>0</v>
      </c>
      <c r="AX16" s="402">
        <f t="shared" si="13"/>
        <v>0</v>
      </c>
      <c r="AY16" s="402">
        <f t="shared" si="13"/>
        <v>0</v>
      </c>
      <c r="AZ16" s="402">
        <f t="shared" si="13"/>
        <v>0</v>
      </c>
      <c r="BA16" s="402">
        <f t="shared" si="13"/>
        <v>0</v>
      </c>
      <c r="BB16" s="402">
        <f t="shared" si="13"/>
        <v>0</v>
      </c>
      <c r="BC16" s="402">
        <f t="shared" si="13"/>
        <v>0</v>
      </c>
      <c r="BD16" s="402">
        <f t="shared" si="13"/>
        <v>0</v>
      </c>
      <c r="BE16" s="402">
        <f t="shared" si="13"/>
        <v>0</v>
      </c>
      <c r="BF16" s="402">
        <f t="shared" si="13"/>
        <v>0</v>
      </c>
      <c r="BG16" s="402">
        <f t="shared" si="13"/>
        <v>0</v>
      </c>
      <c r="BH16" s="402">
        <f t="shared" si="13"/>
        <v>0</v>
      </c>
      <c r="BI16" s="402">
        <f t="shared" si="13"/>
        <v>0</v>
      </c>
      <c r="BJ16" s="402">
        <f t="shared" si="13"/>
        <v>0</v>
      </c>
      <c r="BK16" s="402">
        <f t="shared" si="13"/>
        <v>0</v>
      </c>
      <c r="BL16" s="402">
        <f t="shared" si="13"/>
        <v>0</v>
      </c>
      <c r="BM16" s="402">
        <f t="shared" si="13"/>
        <v>0</v>
      </c>
      <c r="BN16" s="402">
        <f t="shared" si="13"/>
        <v>0</v>
      </c>
      <c r="BO16" s="402">
        <f t="shared" si="13"/>
        <v>0</v>
      </c>
      <c r="BP16" s="402">
        <f t="shared" si="13"/>
        <v>0</v>
      </c>
      <c r="BQ16" s="402">
        <f t="shared" si="13"/>
        <v>0</v>
      </c>
      <c r="BR16" s="402">
        <f t="shared" si="13"/>
        <v>0</v>
      </c>
      <c r="BS16" s="402">
        <f t="shared" si="13"/>
        <v>0</v>
      </c>
      <c r="BT16" s="402">
        <f t="shared" si="13"/>
        <v>0</v>
      </c>
      <c r="BU16" s="402">
        <f t="shared" si="13"/>
        <v>0</v>
      </c>
      <c r="BV16" s="402">
        <f t="shared" ref="BV16:CV16" si="14" xml:space="preserve"> MIN(BV13, BV14) * BV15</f>
        <v>0</v>
      </c>
      <c r="BW16" s="402">
        <f t="shared" si="14"/>
        <v>0</v>
      </c>
      <c r="BX16" s="402">
        <f t="shared" si="14"/>
        <v>0</v>
      </c>
      <c r="BY16" s="402">
        <f t="shared" si="14"/>
        <v>0</v>
      </c>
      <c r="BZ16" s="402">
        <f t="shared" si="14"/>
        <v>0</v>
      </c>
      <c r="CA16" s="402">
        <f t="shared" si="14"/>
        <v>0</v>
      </c>
      <c r="CB16" s="402">
        <f t="shared" si="14"/>
        <v>0</v>
      </c>
      <c r="CC16" s="402">
        <f t="shared" si="14"/>
        <v>0</v>
      </c>
      <c r="CD16" s="402">
        <f t="shared" si="14"/>
        <v>0</v>
      </c>
      <c r="CE16" s="402">
        <f t="shared" si="14"/>
        <v>0</v>
      </c>
      <c r="CF16" s="402">
        <f t="shared" si="14"/>
        <v>0</v>
      </c>
      <c r="CG16" s="402">
        <f t="shared" si="14"/>
        <v>0</v>
      </c>
      <c r="CH16" s="402">
        <f t="shared" si="14"/>
        <v>0</v>
      </c>
      <c r="CI16" s="402">
        <f t="shared" si="14"/>
        <v>0</v>
      </c>
      <c r="CJ16" s="402">
        <f t="shared" si="14"/>
        <v>0</v>
      </c>
      <c r="CK16" s="402">
        <f t="shared" si="14"/>
        <v>0</v>
      </c>
      <c r="CL16" s="402">
        <f t="shared" si="14"/>
        <v>0</v>
      </c>
      <c r="CM16" s="402">
        <f t="shared" si="14"/>
        <v>0</v>
      </c>
      <c r="CN16" s="402">
        <f t="shared" si="14"/>
        <v>0</v>
      </c>
      <c r="CO16" s="402">
        <f t="shared" si="14"/>
        <v>0</v>
      </c>
      <c r="CP16" s="402">
        <f t="shared" si="14"/>
        <v>0</v>
      </c>
      <c r="CQ16" s="402">
        <f t="shared" si="14"/>
        <v>0</v>
      </c>
      <c r="CR16" s="402">
        <f t="shared" si="14"/>
        <v>0</v>
      </c>
      <c r="CS16" s="402">
        <f t="shared" si="14"/>
        <v>0</v>
      </c>
      <c r="CT16" s="402">
        <f t="shared" si="14"/>
        <v>0</v>
      </c>
      <c r="CU16" s="402">
        <f t="shared" si="14"/>
        <v>0</v>
      </c>
      <c r="CV16" s="402">
        <f t="shared" si="14"/>
        <v>0</v>
      </c>
    </row>
    <row r="17" spans="1:100" outlineLevel="1" x14ac:dyDescent="0.2">
      <c r="A17" s="141"/>
      <c r="B17" s="141"/>
      <c r="C17" s="142"/>
      <c r="D17" s="143"/>
      <c r="E17" s="187" t="str">
        <f xml:space="preserve"> LEFT(E16, LEN(E16) - 4)</f>
        <v>Share capital redemption</v>
      </c>
      <c r="F17" s="187"/>
      <c r="G17" s="187" t="str">
        <f xml:space="preserve"> SMU</f>
        <v>$ 000s</v>
      </c>
      <c r="H17" s="187">
        <f xml:space="preserve"> SUM(J17:CV17)</f>
        <v>0</v>
      </c>
      <c r="I17" s="144"/>
      <c r="J17" s="187">
        <f t="shared" ref="J17:BU17" si="15" xml:space="preserve"> -1 * J16</f>
        <v>0</v>
      </c>
      <c r="K17" s="187">
        <f t="shared" si="15"/>
        <v>0</v>
      </c>
      <c r="L17" s="187">
        <f t="shared" si="15"/>
        <v>0</v>
      </c>
      <c r="M17" s="187">
        <f t="shared" si="15"/>
        <v>0</v>
      </c>
      <c r="N17" s="187">
        <f t="shared" si="15"/>
        <v>0</v>
      </c>
      <c r="O17" s="187">
        <f t="shared" si="15"/>
        <v>0</v>
      </c>
      <c r="P17" s="187">
        <f t="shared" si="15"/>
        <v>0</v>
      </c>
      <c r="Q17" s="187">
        <f t="shared" si="15"/>
        <v>0</v>
      </c>
      <c r="R17" s="187">
        <f t="shared" si="15"/>
        <v>0</v>
      </c>
      <c r="S17" s="187">
        <f t="shared" si="15"/>
        <v>0</v>
      </c>
      <c r="T17" s="187">
        <f t="shared" si="15"/>
        <v>0</v>
      </c>
      <c r="U17" s="187">
        <f t="shared" si="15"/>
        <v>0</v>
      </c>
      <c r="V17" s="187">
        <f t="shared" si="15"/>
        <v>0</v>
      </c>
      <c r="W17" s="187">
        <f t="shared" si="15"/>
        <v>0</v>
      </c>
      <c r="X17" s="187">
        <f t="shared" si="15"/>
        <v>0</v>
      </c>
      <c r="Y17" s="187">
        <f t="shared" si="15"/>
        <v>0</v>
      </c>
      <c r="Z17" s="187">
        <f t="shared" si="15"/>
        <v>0</v>
      </c>
      <c r="AA17" s="187">
        <f t="shared" si="15"/>
        <v>0</v>
      </c>
      <c r="AB17" s="187">
        <f t="shared" si="15"/>
        <v>0</v>
      </c>
      <c r="AC17" s="187">
        <f t="shared" si="15"/>
        <v>0</v>
      </c>
      <c r="AD17" s="187">
        <f t="shared" si="15"/>
        <v>0</v>
      </c>
      <c r="AE17" s="187">
        <f t="shared" si="15"/>
        <v>0</v>
      </c>
      <c r="AF17" s="187">
        <f t="shared" si="15"/>
        <v>0</v>
      </c>
      <c r="AG17" s="187">
        <f t="shared" si="15"/>
        <v>0</v>
      </c>
      <c r="AH17" s="187">
        <f t="shared" si="15"/>
        <v>0</v>
      </c>
      <c r="AI17" s="187">
        <f t="shared" si="15"/>
        <v>0</v>
      </c>
      <c r="AJ17" s="187">
        <f t="shared" si="15"/>
        <v>0</v>
      </c>
      <c r="AK17" s="187">
        <f t="shared" si="15"/>
        <v>0</v>
      </c>
      <c r="AL17" s="187">
        <f t="shared" si="15"/>
        <v>0</v>
      </c>
      <c r="AM17" s="187">
        <f t="shared" si="15"/>
        <v>0</v>
      </c>
      <c r="AN17" s="187">
        <f t="shared" si="15"/>
        <v>0</v>
      </c>
      <c r="AO17" s="187">
        <f t="shared" si="15"/>
        <v>0</v>
      </c>
      <c r="AP17" s="187">
        <f t="shared" si="15"/>
        <v>0</v>
      </c>
      <c r="AQ17" s="187">
        <f t="shared" si="15"/>
        <v>0</v>
      </c>
      <c r="AR17" s="187">
        <f t="shared" si="15"/>
        <v>0</v>
      </c>
      <c r="AS17" s="187">
        <f t="shared" si="15"/>
        <v>0</v>
      </c>
      <c r="AT17" s="187">
        <f t="shared" si="15"/>
        <v>0</v>
      </c>
      <c r="AU17" s="187">
        <f t="shared" si="15"/>
        <v>0</v>
      </c>
      <c r="AV17" s="187">
        <f t="shared" si="15"/>
        <v>0</v>
      </c>
      <c r="AW17" s="187">
        <f t="shared" si="15"/>
        <v>0</v>
      </c>
      <c r="AX17" s="187">
        <f t="shared" si="15"/>
        <v>0</v>
      </c>
      <c r="AY17" s="187">
        <f t="shared" si="15"/>
        <v>0</v>
      </c>
      <c r="AZ17" s="187">
        <f t="shared" si="15"/>
        <v>0</v>
      </c>
      <c r="BA17" s="187">
        <f t="shared" si="15"/>
        <v>0</v>
      </c>
      <c r="BB17" s="187">
        <f t="shared" si="15"/>
        <v>0</v>
      </c>
      <c r="BC17" s="187">
        <f t="shared" si="15"/>
        <v>0</v>
      </c>
      <c r="BD17" s="187">
        <f t="shared" si="15"/>
        <v>0</v>
      </c>
      <c r="BE17" s="187">
        <f t="shared" si="15"/>
        <v>0</v>
      </c>
      <c r="BF17" s="187">
        <f t="shared" si="15"/>
        <v>0</v>
      </c>
      <c r="BG17" s="187">
        <f t="shared" si="15"/>
        <v>0</v>
      </c>
      <c r="BH17" s="187">
        <f t="shared" si="15"/>
        <v>0</v>
      </c>
      <c r="BI17" s="187">
        <f t="shared" si="15"/>
        <v>0</v>
      </c>
      <c r="BJ17" s="187">
        <f t="shared" si="15"/>
        <v>0</v>
      </c>
      <c r="BK17" s="187">
        <f t="shared" si="15"/>
        <v>0</v>
      </c>
      <c r="BL17" s="187">
        <f t="shared" si="15"/>
        <v>0</v>
      </c>
      <c r="BM17" s="187">
        <f t="shared" si="15"/>
        <v>0</v>
      </c>
      <c r="BN17" s="187">
        <f t="shared" si="15"/>
        <v>0</v>
      </c>
      <c r="BO17" s="187">
        <f t="shared" si="15"/>
        <v>0</v>
      </c>
      <c r="BP17" s="187">
        <f t="shared" si="15"/>
        <v>0</v>
      </c>
      <c r="BQ17" s="187">
        <f t="shared" si="15"/>
        <v>0</v>
      </c>
      <c r="BR17" s="187">
        <f t="shared" si="15"/>
        <v>0</v>
      </c>
      <c r="BS17" s="187">
        <f t="shared" si="15"/>
        <v>0</v>
      </c>
      <c r="BT17" s="187">
        <f t="shared" si="15"/>
        <v>0</v>
      </c>
      <c r="BU17" s="187">
        <f t="shared" si="15"/>
        <v>0</v>
      </c>
      <c r="BV17" s="187">
        <f t="shared" ref="BV17:CV17" si="16" xml:space="preserve"> -1 * BV16</f>
        <v>0</v>
      </c>
      <c r="BW17" s="187">
        <f t="shared" si="16"/>
        <v>0</v>
      </c>
      <c r="BX17" s="187">
        <f t="shared" si="16"/>
        <v>0</v>
      </c>
      <c r="BY17" s="187">
        <f t="shared" si="16"/>
        <v>0</v>
      </c>
      <c r="BZ17" s="187">
        <f t="shared" si="16"/>
        <v>0</v>
      </c>
      <c r="CA17" s="187">
        <f t="shared" si="16"/>
        <v>0</v>
      </c>
      <c r="CB17" s="187">
        <f t="shared" si="16"/>
        <v>0</v>
      </c>
      <c r="CC17" s="187">
        <f t="shared" si="16"/>
        <v>0</v>
      </c>
      <c r="CD17" s="187">
        <f t="shared" si="16"/>
        <v>0</v>
      </c>
      <c r="CE17" s="187">
        <f t="shared" si="16"/>
        <v>0</v>
      </c>
      <c r="CF17" s="187">
        <f t="shared" si="16"/>
        <v>0</v>
      </c>
      <c r="CG17" s="187">
        <f t="shared" si="16"/>
        <v>0</v>
      </c>
      <c r="CH17" s="187">
        <f t="shared" si="16"/>
        <v>0</v>
      </c>
      <c r="CI17" s="187">
        <f t="shared" si="16"/>
        <v>0</v>
      </c>
      <c r="CJ17" s="187">
        <f t="shared" si="16"/>
        <v>0</v>
      </c>
      <c r="CK17" s="187">
        <f t="shared" si="16"/>
        <v>0</v>
      </c>
      <c r="CL17" s="187">
        <f t="shared" si="16"/>
        <v>0</v>
      </c>
      <c r="CM17" s="187">
        <f t="shared" si="16"/>
        <v>0</v>
      </c>
      <c r="CN17" s="187">
        <f t="shared" si="16"/>
        <v>0</v>
      </c>
      <c r="CO17" s="187">
        <f t="shared" si="16"/>
        <v>0</v>
      </c>
      <c r="CP17" s="187">
        <f t="shared" si="16"/>
        <v>0</v>
      </c>
      <c r="CQ17" s="187">
        <f t="shared" si="16"/>
        <v>0</v>
      </c>
      <c r="CR17" s="187">
        <f t="shared" si="16"/>
        <v>0</v>
      </c>
      <c r="CS17" s="187">
        <f t="shared" si="16"/>
        <v>0</v>
      </c>
      <c r="CT17" s="187">
        <f t="shared" si="16"/>
        <v>0</v>
      </c>
      <c r="CU17" s="187">
        <f t="shared" si="16"/>
        <v>0</v>
      </c>
      <c r="CV17" s="187">
        <f t="shared" si="16"/>
        <v>0</v>
      </c>
    </row>
    <row r="18" spans="1:100" outlineLevel="1" x14ac:dyDescent="0.2"/>
    <row r="19" spans="1:100" s="502" customFormat="1" outlineLevel="1" x14ac:dyDescent="0.2">
      <c r="A19" s="216"/>
      <c r="B19" s="216"/>
      <c r="C19" s="217"/>
      <c r="D19" s="218"/>
      <c r="E19" s="219" t="s">
        <v>145</v>
      </c>
      <c r="F19" s="219"/>
      <c r="G19" s="219" t="str">
        <f xml:space="preserve"> SMU</f>
        <v>$ 000s</v>
      </c>
      <c r="H19" s="219"/>
      <c r="I19" s="220"/>
      <c r="J19" s="219">
        <f t="shared" ref="J19:BU19" si="17">I22</f>
        <v>0</v>
      </c>
      <c r="K19" s="219">
        <f t="shared" si="17"/>
        <v>100</v>
      </c>
      <c r="L19" s="219">
        <f t="shared" si="17"/>
        <v>100</v>
      </c>
      <c r="M19" s="219">
        <f t="shared" si="17"/>
        <v>100</v>
      </c>
      <c r="N19" s="219">
        <f t="shared" si="17"/>
        <v>100</v>
      </c>
      <c r="O19" s="219">
        <f t="shared" si="17"/>
        <v>100</v>
      </c>
      <c r="P19" s="219">
        <f t="shared" si="17"/>
        <v>100</v>
      </c>
      <c r="Q19" s="219">
        <f t="shared" si="17"/>
        <v>100</v>
      </c>
      <c r="R19" s="219">
        <f t="shared" si="17"/>
        <v>100</v>
      </c>
      <c r="S19" s="219">
        <f t="shared" si="17"/>
        <v>100</v>
      </c>
      <c r="T19" s="219">
        <f t="shared" si="17"/>
        <v>100</v>
      </c>
      <c r="U19" s="219">
        <f t="shared" si="17"/>
        <v>100</v>
      </c>
      <c r="V19" s="219">
        <f t="shared" si="17"/>
        <v>100</v>
      </c>
      <c r="W19" s="219">
        <f t="shared" si="17"/>
        <v>100</v>
      </c>
      <c r="X19" s="219">
        <f t="shared" si="17"/>
        <v>100</v>
      </c>
      <c r="Y19" s="219">
        <f t="shared" si="17"/>
        <v>100</v>
      </c>
      <c r="Z19" s="219">
        <f t="shared" si="17"/>
        <v>100</v>
      </c>
      <c r="AA19" s="219">
        <f t="shared" si="17"/>
        <v>100</v>
      </c>
      <c r="AB19" s="219">
        <f t="shared" si="17"/>
        <v>100</v>
      </c>
      <c r="AC19" s="219">
        <f t="shared" si="17"/>
        <v>100</v>
      </c>
      <c r="AD19" s="219">
        <f t="shared" si="17"/>
        <v>100</v>
      </c>
      <c r="AE19" s="219">
        <f t="shared" si="17"/>
        <v>100</v>
      </c>
      <c r="AF19" s="219">
        <f t="shared" si="17"/>
        <v>100</v>
      </c>
      <c r="AG19" s="219">
        <f t="shared" si="17"/>
        <v>100</v>
      </c>
      <c r="AH19" s="219">
        <f t="shared" si="17"/>
        <v>100</v>
      </c>
      <c r="AI19" s="219">
        <f t="shared" si="17"/>
        <v>100</v>
      </c>
      <c r="AJ19" s="219">
        <f t="shared" si="17"/>
        <v>100</v>
      </c>
      <c r="AK19" s="219">
        <f t="shared" si="17"/>
        <v>100</v>
      </c>
      <c r="AL19" s="219">
        <f t="shared" si="17"/>
        <v>100</v>
      </c>
      <c r="AM19" s="219">
        <f t="shared" si="17"/>
        <v>100</v>
      </c>
      <c r="AN19" s="219">
        <f t="shared" si="17"/>
        <v>100</v>
      </c>
      <c r="AO19" s="219">
        <f t="shared" si="17"/>
        <v>100</v>
      </c>
      <c r="AP19" s="219">
        <f t="shared" si="17"/>
        <v>100</v>
      </c>
      <c r="AQ19" s="219">
        <f t="shared" si="17"/>
        <v>100</v>
      </c>
      <c r="AR19" s="219">
        <f t="shared" si="17"/>
        <v>100</v>
      </c>
      <c r="AS19" s="219">
        <f t="shared" si="17"/>
        <v>100</v>
      </c>
      <c r="AT19" s="219">
        <f t="shared" si="17"/>
        <v>100</v>
      </c>
      <c r="AU19" s="219">
        <f t="shared" si="17"/>
        <v>100</v>
      </c>
      <c r="AV19" s="219">
        <f t="shared" si="17"/>
        <v>100</v>
      </c>
      <c r="AW19" s="219">
        <f t="shared" si="17"/>
        <v>100</v>
      </c>
      <c r="AX19" s="219">
        <f t="shared" si="17"/>
        <v>100</v>
      </c>
      <c r="AY19" s="219">
        <f t="shared" si="17"/>
        <v>100</v>
      </c>
      <c r="AZ19" s="219">
        <f t="shared" si="17"/>
        <v>100</v>
      </c>
      <c r="BA19" s="219">
        <f t="shared" si="17"/>
        <v>100</v>
      </c>
      <c r="BB19" s="219">
        <f t="shared" si="17"/>
        <v>100</v>
      </c>
      <c r="BC19" s="219">
        <f t="shared" si="17"/>
        <v>100</v>
      </c>
      <c r="BD19" s="219">
        <f t="shared" si="17"/>
        <v>100</v>
      </c>
      <c r="BE19" s="219">
        <f t="shared" si="17"/>
        <v>100</v>
      </c>
      <c r="BF19" s="219">
        <f t="shared" si="17"/>
        <v>100</v>
      </c>
      <c r="BG19" s="219">
        <f t="shared" si="17"/>
        <v>100</v>
      </c>
      <c r="BH19" s="219">
        <f t="shared" si="17"/>
        <v>100</v>
      </c>
      <c r="BI19" s="219">
        <f t="shared" si="17"/>
        <v>100</v>
      </c>
      <c r="BJ19" s="219">
        <f t="shared" si="17"/>
        <v>100</v>
      </c>
      <c r="BK19" s="219">
        <f t="shared" si="17"/>
        <v>100</v>
      </c>
      <c r="BL19" s="219">
        <f t="shared" si="17"/>
        <v>100</v>
      </c>
      <c r="BM19" s="219">
        <f t="shared" si="17"/>
        <v>100</v>
      </c>
      <c r="BN19" s="219">
        <f t="shared" si="17"/>
        <v>100</v>
      </c>
      <c r="BO19" s="219">
        <f t="shared" si="17"/>
        <v>100</v>
      </c>
      <c r="BP19" s="219">
        <f t="shared" si="17"/>
        <v>100</v>
      </c>
      <c r="BQ19" s="219">
        <f t="shared" si="17"/>
        <v>100</v>
      </c>
      <c r="BR19" s="219">
        <f t="shared" si="17"/>
        <v>100</v>
      </c>
      <c r="BS19" s="219">
        <f t="shared" si="17"/>
        <v>100</v>
      </c>
      <c r="BT19" s="219">
        <f t="shared" si="17"/>
        <v>100</v>
      </c>
      <c r="BU19" s="219">
        <f t="shared" si="17"/>
        <v>100</v>
      </c>
      <c r="BV19" s="219">
        <f t="shared" ref="BV19:CV19" si="18">BU22</f>
        <v>100</v>
      </c>
      <c r="BW19" s="219">
        <f t="shared" si="18"/>
        <v>100</v>
      </c>
      <c r="BX19" s="219">
        <f t="shared" si="18"/>
        <v>100</v>
      </c>
      <c r="BY19" s="219">
        <f t="shared" si="18"/>
        <v>100</v>
      </c>
      <c r="BZ19" s="219">
        <f t="shared" si="18"/>
        <v>100</v>
      </c>
      <c r="CA19" s="219">
        <f t="shared" si="18"/>
        <v>100</v>
      </c>
      <c r="CB19" s="219">
        <f t="shared" si="18"/>
        <v>100</v>
      </c>
      <c r="CC19" s="219">
        <f t="shared" si="18"/>
        <v>100</v>
      </c>
      <c r="CD19" s="219">
        <f t="shared" si="18"/>
        <v>100</v>
      </c>
      <c r="CE19" s="219">
        <f t="shared" si="18"/>
        <v>100</v>
      </c>
      <c r="CF19" s="219">
        <f t="shared" si="18"/>
        <v>100</v>
      </c>
      <c r="CG19" s="219">
        <f t="shared" si="18"/>
        <v>100</v>
      </c>
      <c r="CH19" s="219">
        <f t="shared" si="18"/>
        <v>100</v>
      </c>
      <c r="CI19" s="219">
        <f t="shared" si="18"/>
        <v>100</v>
      </c>
      <c r="CJ19" s="219">
        <f t="shared" si="18"/>
        <v>100</v>
      </c>
      <c r="CK19" s="219">
        <f t="shared" si="18"/>
        <v>100</v>
      </c>
      <c r="CL19" s="219">
        <f t="shared" si="18"/>
        <v>100</v>
      </c>
      <c r="CM19" s="219">
        <f t="shared" si="18"/>
        <v>100</v>
      </c>
      <c r="CN19" s="219">
        <f t="shared" si="18"/>
        <v>100</v>
      </c>
      <c r="CO19" s="219">
        <f t="shared" si="18"/>
        <v>100</v>
      </c>
      <c r="CP19" s="219">
        <f t="shared" si="18"/>
        <v>100</v>
      </c>
      <c r="CQ19" s="219">
        <f t="shared" si="18"/>
        <v>100</v>
      </c>
      <c r="CR19" s="219">
        <f t="shared" si="18"/>
        <v>100</v>
      </c>
      <c r="CS19" s="219">
        <f t="shared" si="18"/>
        <v>100</v>
      </c>
      <c r="CT19" s="219">
        <f t="shared" si="18"/>
        <v>100</v>
      </c>
      <c r="CU19" s="219">
        <f t="shared" si="18"/>
        <v>100</v>
      </c>
      <c r="CV19" s="219">
        <f t="shared" si="18"/>
        <v>100</v>
      </c>
    </row>
    <row r="20" spans="1:100" s="498" customFormat="1" outlineLevel="1" x14ac:dyDescent="0.2">
      <c r="A20" s="15"/>
      <c r="B20" s="15"/>
      <c r="C20" s="21"/>
      <c r="D20" s="48"/>
      <c r="E20" s="501" t="str">
        <f xml:space="preserve"> ConFin!E$621</f>
        <v>Share capital drawdown</v>
      </c>
      <c r="F20" s="501">
        <f xml:space="preserve"> ConFin!F$621</f>
        <v>0</v>
      </c>
      <c r="G20" s="501" t="str">
        <f xml:space="preserve"> ConFin!G$621</f>
        <v>$ 000s</v>
      </c>
      <c r="H20" s="501">
        <f xml:space="preserve"> ConFin!H$621</f>
        <v>100</v>
      </c>
      <c r="I20" s="501">
        <f xml:space="preserve"> ConFin!I$621</f>
        <v>0</v>
      </c>
      <c r="J20" s="501">
        <f xml:space="preserve"> ConFin!J$621</f>
        <v>100</v>
      </c>
      <c r="K20" s="501">
        <f xml:space="preserve"> ConFin!K$621</f>
        <v>0</v>
      </c>
      <c r="L20" s="501">
        <f xml:space="preserve"> ConFin!L$621</f>
        <v>0</v>
      </c>
      <c r="M20" s="501">
        <f xml:space="preserve"> ConFin!M$621</f>
        <v>0</v>
      </c>
      <c r="N20" s="501">
        <f xml:space="preserve"> ConFin!N$621</f>
        <v>0</v>
      </c>
      <c r="O20" s="501">
        <f xml:space="preserve"> ConFin!O$621</f>
        <v>0</v>
      </c>
      <c r="P20" s="501">
        <f xml:space="preserve"> ConFin!P$621</f>
        <v>0</v>
      </c>
      <c r="Q20" s="501">
        <f xml:space="preserve"> ConFin!Q$621</f>
        <v>0</v>
      </c>
      <c r="R20" s="501">
        <f xml:space="preserve"> ConFin!R$621</f>
        <v>0</v>
      </c>
      <c r="S20" s="501">
        <f xml:space="preserve"> ConFin!S$621</f>
        <v>0</v>
      </c>
      <c r="T20" s="501">
        <f xml:space="preserve"> ConFin!T$621</f>
        <v>0</v>
      </c>
      <c r="U20" s="501">
        <f xml:space="preserve"> ConFin!U$621</f>
        <v>0</v>
      </c>
      <c r="V20" s="501">
        <f xml:space="preserve"> ConFin!V$621</f>
        <v>0</v>
      </c>
      <c r="W20" s="501">
        <f xml:space="preserve"> ConFin!W$621</f>
        <v>0</v>
      </c>
      <c r="X20" s="501">
        <f xml:space="preserve"> ConFin!X$621</f>
        <v>0</v>
      </c>
      <c r="Y20" s="501">
        <f xml:space="preserve"> ConFin!Y$621</f>
        <v>0</v>
      </c>
      <c r="Z20" s="501">
        <f xml:space="preserve"> ConFin!Z$621</f>
        <v>0</v>
      </c>
      <c r="AA20" s="501">
        <f xml:space="preserve"> ConFin!AA$621</f>
        <v>0</v>
      </c>
      <c r="AB20" s="501">
        <f xml:space="preserve"> ConFin!AB$621</f>
        <v>0</v>
      </c>
      <c r="AC20" s="501">
        <f xml:space="preserve"> ConFin!AC$621</f>
        <v>0</v>
      </c>
      <c r="AD20" s="501">
        <f xml:space="preserve"> ConFin!AD$621</f>
        <v>0</v>
      </c>
      <c r="AE20" s="501">
        <f xml:space="preserve"> ConFin!AE$621</f>
        <v>0</v>
      </c>
      <c r="AF20" s="501">
        <f xml:space="preserve"> ConFin!AF$621</f>
        <v>0</v>
      </c>
      <c r="AG20" s="501">
        <f xml:space="preserve"> ConFin!AG$621</f>
        <v>0</v>
      </c>
      <c r="AH20" s="501">
        <f xml:space="preserve"> ConFin!AH$621</f>
        <v>0</v>
      </c>
      <c r="AI20" s="501">
        <f xml:space="preserve"> ConFin!AI$621</f>
        <v>0</v>
      </c>
      <c r="AJ20" s="501">
        <f xml:space="preserve"> ConFin!AJ$621</f>
        <v>0</v>
      </c>
      <c r="AK20" s="501">
        <f xml:space="preserve"> ConFin!AK$621</f>
        <v>0</v>
      </c>
      <c r="AL20" s="501">
        <f xml:space="preserve"> ConFin!AL$621</f>
        <v>0</v>
      </c>
      <c r="AM20" s="501">
        <f xml:space="preserve"> ConFin!AM$621</f>
        <v>0</v>
      </c>
      <c r="AN20" s="501">
        <f xml:space="preserve"> ConFin!AN$621</f>
        <v>0</v>
      </c>
      <c r="AO20" s="501">
        <f xml:space="preserve"> ConFin!AO$621</f>
        <v>0</v>
      </c>
      <c r="AP20" s="501">
        <f xml:space="preserve"> ConFin!AP$621</f>
        <v>0</v>
      </c>
      <c r="AQ20" s="501">
        <f xml:space="preserve"> ConFin!AQ$621</f>
        <v>0</v>
      </c>
      <c r="AR20" s="501">
        <f xml:space="preserve"> ConFin!AR$621</f>
        <v>0</v>
      </c>
      <c r="AS20" s="501">
        <f xml:space="preserve"> ConFin!AS$621</f>
        <v>0</v>
      </c>
      <c r="AT20" s="501">
        <f xml:space="preserve"> ConFin!AT$621</f>
        <v>0</v>
      </c>
      <c r="AU20" s="501">
        <f xml:space="preserve"> ConFin!AU$621</f>
        <v>0</v>
      </c>
      <c r="AV20" s="501">
        <f xml:space="preserve"> ConFin!AV$621</f>
        <v>0</v>
      </c>
      <c r="AW20" s="501">
        <f xml:space="preserve"> ConFin!AW$621</f>
        <v>0</v>
      </c>
      <c r="AX20" s="501">
        <f xml:space="preserve"> ConFin!AX$621</f>
        <v>0</v>
      </c>
      <c r="AY20" s="501">
        <f xml:space="preserve"> ConFin!AY$621</f>
        <v>0</v>
      </c>
      <c r="AZ20" s="501">
        <f xml:space="preserve"> ConFin!AZ$621</f>
        <v>0</v>
      </c>
      <c r="BA20" s="501">
        <f xml:space="preserve"> ConFin!BA$621</f>
        <v>0</v>
      </c>
      <c r="BB20" s="501">
        <f xml:space="preserve"> ConFin!BB$621</f>
        <v>0</v>
      </c>
      <c r="BC20" s="501">
        <f xml:space="preserve"> ConFin!BC$621</f>
        <v>0</v>
      </c>
      <c r="BD20" s="501">
        <f xml:space="preserve"> ConFin!BD$621</f>
        <v>0</v>
      </c>
      <c r="BE20" s="501">
        <f xml:space="preserve"> ConFin!BE$621</f>
        <v>0</v>
      </c>
      <c r="BF20" s="501">
        <f xml:space="preserve"> ConFin!BF$621</f>
        <v>0</v>
      </c>
      <c r="BG20" s="501">
        <f xml:space="preserve"> ConFin!BG$621</f>
        <v>0</v>
      </c>
      <c r="BH20" s="501">
        <f xml:space="preserve"> ConFin!BH$621</f>
        <v>0</v>
      </c>
      <c r="BI20" s="501">
        <f xml:space="preserve"> ConFin!BI$621</f>
        <v>0</v>
      </c>
      <c r="BJ20" s="501">
        <f xml:space="preserve"> ConFin!BJ$621</f>
        <v>0</v>
      </c>
      <c r="BK20" s="501">
        <f xml:space="preserve"> ConFin!BK$621</f>
        <v>0</v>
      </c>
      <c r="BL20" s="501">
        <f xml:space="preserve"> ConFin!BL$621</f>
        <v>0</v>
      </c>
      <c r="BM20" s="501">
        <f xml:space="preserve"> ConFin!BM$621</f>
        <v>0</v>
      </c>
      <c r="BN20" s="501">
        <f xml:space="preserve"> ConFin!BN$621</f>
        <v>0</v>
      </c>
      <c r="BO20" s="501">
        <f xml:space="preserve"> ConFin!BO$621</f>
        <v>0</v>
      </c>
      <c r="BP20" s="501">
        <f xml:space="preserve"> ConFin!BP$621</f>
        <v>0</v>
      </c>
      <c r="BQ20" s="501">
        <f xml:space="preserve"> ConFin!BQ$621</f>
        <v>0</v>
      </c>
      <c r="BR20" s="501">
        <f xml:space="preserve"> ConFin!BR$621</f>
        <v>0</v>
      </c>
      <c r="BS20" s="501">
        <f xml:space="preserve"> ConFin!BS$621</f>
        <v>0</v>
      </c>
      <c r="BT20" s="501">
        <f xml:space="preserve"> ConFin!BT$621</f>
        <v>0</v>
      </c>
      <c r="BU20" s="501">
        <f xml:space="preserve"> ConFin!BU$621</f>
        <v>0</v>
      </c>
      <c r="BV20" s="501">
        <f xml:space="preserve"> ConFin!BV$621</f>
        <v>0</v>
      </c>
      <c r="BW20" s="501">
        <f xml:space="preserve"> ConFin!BW$621</f>
        <v>0</v>
      </c>
      <c r="BX20" s="501">
        <f xml:space="preserve"> ConFin!BX$621</f>
        <v>0</v>
      </c>
      <c r="BY20" s="501">
        <f xml:space="preserve"> ConFin!BY$621</f>
        <v>0</v>
      </c>
      <c r="BZ20" s="501">
        <f xml:space="preserve"> ConFin!BZ$621</f>
        <v>0</v>
      </c>
      <c r="CA20" s="501">
        <f xml:space="preserve"> ConFin!CA$621</f>
        <v>0</v>
      </c>
      <c r="CB20" s="501">
        <f xml:space="preserve"> ConFin!CB$621</f>
        <v>0</v>
      </c>
      <c r="CC20" s="501">
        <f xml:space="preserve"> ConFin!CC$621</f>
        <v>0</v>
      </c>
      <c r="CD20" s="501">
        <f xml:space="preserve"> ConFin!CD$621</f>
        <v>0</v>
      </c>
      <c r="CE20" s="501">
        <f xml:space="preserve"> ConFin!CE$621</f>
        <v>0</v>
      </c>
      <c r="CF20" s="501">
        <f xml:space="preserve"> ConFin!CF$621</f>
        <v>0</v>
      </c>
      <c r="CG20" s="501">
        <f xml:space="preserve"> ConFin!CG$621</f>
        <v>0</v>
      </c>
      <c r="CH20" s="501">
        <f xml:space="preserve"> ConFin!CH$621</f>
        <v>0</v>
      </c>
      <c r="CI20" s="501">
        <f xml:space="preserve"> ConFin!CI$621</f>
        <v>0</v>
      </c>
      <c r="CJ20" s="501">
        <f xml:space="preserve"> ConFin!CJ$621</f>
        <v>0</v>
      </c>
      <c r="CK20" s="501">
        <f xml:space="preserve"> ConFin!CK$621</f>
        <v>0</v>
      </c>
      <c r="CL20" s="501">
        <f xml:space="preserve"> ConFin!CL$621</f>
        <v>0</v>
      </c>
      <c r="CM20" s="501">
        <f xml:space="preserve"> ConFin!CM$621</f>
        <v>0</v>
      </c>
      <c r="CN20" s="501">
        <f xml:space="preserve"> ConFin!CN$621</f>
        <v>0</v>
      </c>
      <c r="CO20" s="501">
        <f xml:space="preserve"> ConFin!CO$621</f>
        <v>0</v>
      </c>
      <c r="CP20" s="501">
        <f xml:space="preserve"> ConFin!CP$621</f>
        <v>0</v>
      </c>
      <c r="CQ20" s="501">
        <f xml:space="preserve"> ConFin!CQ$621</f>
        <v>0</v>
      </c>
      <c r="CR20" s="501">
        <f xml:space="preserve"> ConFin!CR$621</f>
        <v>0</v>
      </c>
      <c r="CS20" s="501">
        <f xml:space="preserve"> ConFin!CS$621</f>
        <v>0</v>
      </c>
      <c r="CT20" s="501">
        <f xml:space="preserve"> ConFin!CT$621</f>
        <v>0</v>
      </c>
      <c r="CU20" s="501">
        <f xml:space="preserve"> ConFin!CU$621</f>
        <v>0</v>
      </c>
      <c r="CV20" s="501">
        <f xml:space="preserve"> ConFin!CV$621</f>
        <v>0</v>
      </c>
    </row>
    <row r="21" spans="1:100" s="498" customFormat="1" outlineLevel="1" x14ac:dyDescent="0.2">
      <c r="A21" s="15"/>
      <c r="B21" s="15"/>
      <c r="C21" s="21"/>
      <c r="D21" s="48"/>
      <c r="E21" s="126" t="str">
        <f t="shared" ref="E21:AJ21" si="19" xml:space="preserve"> E$16</f>
        <v>Share capital redemption POS</v>
      </c>
      <c r="F21" s="126">
        <f t="shared" si="19"/>
        <v>0</v>
      </c>
      <c r="G21" s="126" t="str">
        <f t="shared" si="19"/>
        <v>$ 000s</v>
      </c>
      <c r="H21" s="126">
        <f t="shared" si="19"/>
        <v>0</v>
      </c>
      <c r="I21" s="126">
        <f t="shared" si="19"/>
        <v>0</v>
      </c>
      <c r="J21" s="126">
        <f t="shared" si="19"/>
        <v>0</v>
      </c>
      <c r="K21" s="126">
        <f t="shared" si="19"/>
        <v>0</v>
      </c>
      <c r="L21" s="126">
        <f t="shared" si="19"/>
        <v>0</v>
      </c>
      <c r="M21" s="126">
        <f t="shared" si="19"/>
        <v>0</v>
      </c>
      <c r="N21" s="126">
        <f t="shared" si="19"/>
        <v>0</v>
      </c>
      <c r="O21" s="126">
        <f t="shared" si="19"/>
        <v>0</v>
      </c>
      <c r="P21" s="126">
        <f t="shared" si="19"/>
        <v>0</v>
      </c>
      <c r="Q21" s="126">
        <f t="shared" si="19"/>
        <v>0</v>
      </c>
      <c r="R21" s="126">
        <f t="shared" si="19"/>
        <v>0</v>
      </c>
      <c r="S21" s="126">
        <f t="shared" si="19"/>
        <v>0</v>
      </c>
      <c r="T21" s="126">
        <f t="shared" si="19"/>
        <v>0</v>
      </c>
      <c r="U21" s="126">
        <f t="shared" si="19"/>
        <v>0</v>
      </c>
      <c r="V21" s="126">
        <f t="shared" si="19"/>
        <v>0</v>
      </c>
      <c r="W21" s="126">
        <f t="shared" si="19"/>
        <v>0</v>
      </c>
      <c r="X21" s="126">
        <f t="shared" si="19"/>
        <v>0</v>
      </c>
      <c r="Y21" s="126">
        <f t="shared" si="19"/>
        <v>0</v>
      </c>
      <c r="Z21" s="126">
        <f t="shared" si="19"/>
        <v>0</v>
      </c>
      <c r="AA21" s="126">
        <f t="shared" si="19"/>
        <v>0</v>
      </c>
      <c r="AB21" s="126">
        <f t="shared" si="19"/>
        <v>0</v>
      </c>
      <c r="AC21" s="126">
        <f t="shared" si="19"/>
        <v>0</v>
      </c>
      <c r="AD21" s="126">
        <f t="shared" si="19"/>
        <v>0</v>
      </c>
      <c r="AE21" s="126">
        <f t="shared" si="19"/>
        <v>0</v>
      </c>
      <c r="AF21" s="126">
        <f t="shared" si="19"/>
        <v>0</v>
      </c>
      <c r="AG21" s="126">
        <f t="shared" si="19"/>
        <v>0</v>
      </c>
      <c r="AH21" s="126">
        <f t="shared" si="19"/>
        <v>0</v>
      </c>
      <c r="AI21" s="126">
        <f t="shared" si="19"/>
        <v>0</v>
      </c>
      <c r="AJ21" s="126">
        <f t="shared" si="19"/>
        <v>0</v>
      </c>
      <c r="AK21" s="126">
        <f t="shared" ref="AK21:BP21" si="20" xml:space="preserve"> AK$16</f>
        <v>0</v>
      </c>
      <c r="AL21" s="126">
        <f t="shared" si="20"/>
        <v>0</v>
      </c>
      <c r="AM21" s="126">
        <f t="shared" si="20"/>
        <v>0</v>
      </c>
      <c r="AN21" s="126">
        <f t="shared" si="20"/>
        <v>0</v>
      </c>
      <c r="AO21" s="126">
        <f t="shared" si="20"/>
        <v>0</v>
      </c>
      <c r="AP21" s="126">
        <f t="shared" si="20"/>
        <v>0</v>
      </c>
      <c r="AQ21" s="126">
        <f t="shared" si="20"/>
        <v>0</v>
      </c>
      <c r="AR21" s="126">
        <f t="shared" si="20"/>
        <v>0</v>
      </c>
      <c r="AS21" s="126">
        <f t="shared" si="20"/>
        <v>0</v>
      </c>
      <c r="AT21" s="126">
        <f t="shared" si="20"/>
        <v>0</v>
      </c>
      <c r="AU21" s="126">
        <f t="shared" si="20"/>
        <v>0</v>
      </c>
      <c r="AV21" s="126">
        <f t="shared" si="20"/>
        <v>0</v>
      </c>
      <c r="AW21" s="126">
        <f t="shared" si="20"/>
        <v>0</v>
      </c>
      <c r="AX21" s="126">
        <f t="shared" si="20"/>
        <v>0</v>
      </c>
      <c r="AY21" s="126">
        <f t="shared" si="20"/>
        <v>0</v>
      </c>
      <c r="AZ21" s="126">
        <f t="shared" si="20"/>
        <v>0</v>
      </c>
      <c r="BA21" s="126">
        <f t="shared" si="20"/>
        <v>0</v>
      </c>
      <c r="BB21" s="126">
        <f t="shared" si="20"/>
        <v>0</v>
      </c>
      <c r="BC21" s="126">
        <f t="shared" si="20"/>
        <v>0</v>
      </c>
      <c r="BD21" s="126">
        <f t="shared" si="20"/>
        <v>0</v>
      </c>
      <c r="BE21" s="126">
        <f t="shared" si="20"/>
        <v>0</v>
      </c>
      <c r="BF21" s="126">
        <f t="shared" si="20"/>
        <v>0</v>
      </c>
      <c r="BG21" s="126">
        <f t="shared" si="20"/>
        <v>0</v>
      </c>
      <c r="BH21" s="126">
        <f t="shared" si="20"/>
        <v>0</v>
      </c>
      <c r="BI21" s="126">
        <f t="shared" si="20"/>
        <v>0</v>
      </c>
      <c r="BJ21" s="126">
        <f t="shared" si="20"/>
        <v>0</v>
      </c>
      <c r="BK21" s="126">
        <f t="shared" si="20"/>
        <v>0</v>
      </c>
      <c r="BL21" s="126">
        <f t="shared" si="20"/>
        <v>0</v>
      </c>
      <c r="BM21" s="126">
        <f t="shared" si="20"/>
        <v>0</v>
      </c>
      <c r="BN21" s="126">
        <f t="shared" si="20"/>
        <v>0</v>
      </c>
      <c r="BO21" s="126">
        <f t="shared" si="20"/>
        <v>0</v>
      </c>
      <c r="BP21" s="126">
        <f t="shared" si="20"/>
        <v>0</v>
      </c>
      <c r="BQ21" s="126">
        <f t="shared" ref="BQ21:CV21" si="21" xml:space="preserve"> BQ$16</f>
        <v>0</v>
      </c>
      <c r="BR21" s="126">
        <f t="shared" si="21"/>
        <v>0</v>
      </c>
      <c r="BS21" s="126">
        <f t="shared" si="21"/>
        <v>0</v>
      </c>
      <c r="BT21" s="126">
        <f t="shared" si="21"/>
        <v>0</v>
      </c>
      <c r="BU21" s="126">
        <f t="shared" si="21"/>
        <v>0</v>
      </c>
      <c r="BV21" s="126">
        <f t="shared" si="21"/>
        <v>0</v>
      </c>
      <c r="BW21" s="126">
        <f t="shared" si="21"/>
        <v>0</v>
      </c>
      <c r="BX21" s="126">
        <f t="shared" si="21"/>
        <v>0</v>
      </c>
      <c r="BY21" s="126">
        <f t="shared" si="21"/>
        <v>0</v>
      </c>
      <c r="BZ21" s="126">
        <f t="shared" si="21"/>
        <v>0</v>
      </c>
      <c r="CA21" s="126">
        <f t="shared" si="21"/>
        <v>0</v>
      </c>
      <c r="CB21" s="126">
        <f t="shared" si="21"/>
        <v>0</v>
      </c>
      <c r="CC21" s="126">
        <f t="shared" si="21"/>
        <v>0</v>
      </c>
      <c r="CD21" s="126">
        <f t="shared" si="21"/>
        <v>0</v>
      </c>
      <c r="CE21" s="126">
        <f t="shared" si="21"/>
        <v>0</v>
      </c>
      <c r="CF21" s="126">
        <f t="shared" si="21"/>
        <v>0</v>
      </c>
      <c r="CG21" s="126">
        <f t="shared" si="21"/>
        <v>0</v>
      </c>
      <c r="CH21" s="126">
        <f t="shared" si="21"/>
        <v>0</v>
      </c>
      <c r="CI21" s="126">
        <f t="shared" si="21"/>
        <v>0</v>
      </c>
      <c r="CJ21" s="126">
        <f t="shared" si="21"/>
        <v>0</v>
      </c>
      <c r="CK21" s="126">
        <f t="shared" si="21"/>
        <v>0</v>
      </c>
      <c r="CL21" s="126">
        <f t="shared" si="21"/>
        <v>0</v>
      </c>
      <c r="CM21" s="126">
        <f t="shared" si="21"/>
        <v>0</v>
      </c>
      <c r="CN21" s="126">
        <f t="shared" si="21"/>
        <v>0</v>
      </c>
      <c r="CO21" s="126">
        <f t="shared" si="21"/>
        <v>0</v>
      </c>
      <c r="CP21" s="126">
        <f t="shared" si="21"/>
        <v>0</v>
      </c>
      <c r="CQ21" s="126">
        <f t="shared" si="21"/>
        <v>0</v>
      </c>
      <c r="CR21" s="126">
        <f t="shared" si="21"/>
        <v>0</v>
      </c>
      <c r="CS21" s="126">
        <f t="shared" si="21"/>
        <v>0</v>
      </c>
      <c r="CT21" s="126">
        <f t="shared" si="21"/>
        <v>0</v>
      </c>
      <c r="CU21" s="126">
        <f t="shared" si="21"/>
        <v>0</v>
      </c>
      <c r="CV21" s="126">
        <f t="shared" si="21"/>
        <v>0</v>
      </c>
    </row>
    <row r="22" spans="1:100" s="503" customFormat="1" outlineLevel="1" x14ac:dyDescent="0.2">
      <c r="A22" s="391"/>
      <c r="B22" s="391"/>
      <c r="C22" s="392"/>
      <c r="D22" s="393"/>
      <c r="E22" s="394" t="s">
        <v>146</v>
      </c>
      <c r="F22" s="394"/>
      <c r="G22" s="394" t="str">
        <f xml:space="preserve"> SMU</f>
        <v>$ 000s</v>
      </c>
      <c r="H22" s="394"/>
      <c r="I22" s="395"/>
      <c r="J22" s="394">
        <f t="shared" ref="J22:AO22" si="22" xml:space="preserve"> J19 + J20 - J21</f>
        <v>100</v>
      </c>
      <c r="K22" s="394">
        <f t="shared" si="22"/>
        <v>100</v>
      </c>
      <c r="L22" s="394">
        <f t="shared" si="22"/>
        <v>100</v>
      </c>
      <c r="M22" s="394">
        <f t="shared" si="22"/>
        <v>100</v>
      </c>
      <c r="N22" s="394">
        <f t="shared" si="22"/>
        <v>100</v>
      </c>
      <c r="O22" s="394">
        <f t="shared" si="22"/>
        <v>100</v>
      </c>
      <c r="P22" s="394">
        <f t="shared" si="22"/>
        <v>100</v>
      </c>
      <c r="Q22" s="394">
        <f t="shared" si="22"/>
        <v>100</v>
      </c>
      <c r="R22" s="394">
        <f t="shared" si="22"/>
        <v>100</v>
      </c>
      <c r="S22" s="394">
        <f t="shared" si="22"/>
        <v>100</v>
      </c>
      <c r="T22" s="394">
        <f t="shared" si="22"/>
        <v>100</v>
      </c>
      <c r="U22" s="394">
        <f t="shared" si="22"/>
        <v>100</v>
      </c>
      <c r="V22" s="394">
        <f t="shared" si="22"/>
        <v>100</v>
      </c>
      <c r="W22" s="394">
        <f t="shared" si="22"/>
        <v>100</v>
      </c>
      <c r="X22" s="394">
        <f t="shared" si="22"/>
        <v>100</v>
      </c>
      <c r="Y22" s="394">
        <f t="shared" si="22"/>
        <v>100</v>
      </c>
      <c r="Z22" s="394">
        <f t="shared" si="22"/>
        <v>100</v>
      </c>
      <c r="AA22" s="394">
        <f t="shared" si="22"/>
        <v>100</v>
      </c>
      <c r="AB22" s="394">
        <f t="shared" si="22"/>
        <v>100</v>
      </c>
      <c r="AC22" s="394">
        <f t="shared" si="22"/>
        <v>100</v>
      </c>
      <c r="AD22" s="394">
        <f t="shared" si="22"/>
        <v>100</v>
      </c>
      <c r="AE22" s="394">
        <f t="shared" si="22"/>
        <v>100</v>
      </c>
      <c r="AF22" s="394">
        <f t="shared" si="22"/>
        <v>100</v>
      </c>
      <c r="AG22" s="394">
        <f t="shared" si="22"/>
        <v>100</v>
      </c>
      <c r="AH22" s="394">
        <f t="shared" si="22"/>
        <v>100</v>
      </c>
      <c r="AI22" s="394">
        <f t="shared" si="22"/>
        <v>100</v>
      </c>
      <c r="AJ22" s="394">
        <f t="shared" si="22"/>
        <v>100</v>
      </c>
      <c r="AK22" s="394">
        <f t="shared" si="22"/>
        <v>100</v>
      </c>
      <c r="AL22" s="394">
        <f t="shared" si="22"/>
        <v>100</v>
      </c>
      <c r="AM22" s="394">
        <f t="shared" si="22"/>
        <v>100</v>
      </c>
      <c r="AN22" s="394">
        <f t="shared" si="22"/>
        <v>100</v>
      </c>
      <c r="AO22" s="394">
        <f t="shared" si="22"/>
        <v>100</v>
      </c>
      <c r="AP22" s="394">
        <f t="shared" ref="AP22:BU22" si="23" xml:space="preserve"> AP19 + AP20 - AP21</f>
        <v>100</v>
      </c>
      <c r="AQ22" s="394">
        <f t="shared" si="23"/>
        <v>100</v>
      </c>
      <c r="AR22" s="394">
        <f t="shared" si="23"/>
        <v>100</v>
      </c>
      <c r="AS22" s="394">
        <f t="shared" si="23"/>
        <v>100</v>
      </c>
      <c r="AT22" s="394">
        <f t="shared" si="23"/>
        <v>100</v>
      </c>
      <c r="AU22" s="394">
        <f t="shared" si="23"/>
        <v>100</v>
      </c>
      <c r="AV22" s="394">
        <f t="shared" si="23"/>
        <v>100</v>
      </c>
      <c r="AW22" s="394">
        <f t="shared" si="23"/>
        <v>100</v>
      </c>
      <c r="AX22" s="394">
        <f t="shared" si="23"/>
        <v>100</v>
      </c>
      <c r="AY22" s="394">
        <f t="shared" si="23"/>
        <v>100</v>
      </c>
      <c r="AZ22" s="394">
        <f t="shared" si="23"/>
        <v>100</v>
      </c>
      <c r="BA22" s="394">
        <f t="shared" si="23"/>
        <v>100</v>
      </c>
      <c r="BB22" s="394">
        <f t="shared" si="23"/>
        <v>100</v>
      </c>
      <c r="BC22" s="394">
        <f t="shared" si="23"/>
        <v>100</v>
      </c>
      <c r="BD22" s="394">
        <f t="shared" si="23"/>
        <v>100</v>
      </c>
      <c r="BE22" s="394">
        <f t="shared" si="23"/>
        <v>100</v>
      </c>
      <c r="BF22" s="394">
        <f t="shared" si="23"/>
        <v>100</v>
      </c>
      <c r="BG22" s="394">
        <f t="shared" si="23"/>
        <v>100</v>
      </c>
      <c r="BH22" s="394">
        <f t="shared" si="23"/>
        <v>100</v>
      </c>
      <c r="BI22" s="394">
        <f t="shared" si="23"/>
        <v>100</v>
      </c>
      <c r="BJ22" s="394">
        <f t="shared" si="23"/>
        <v>100</v>
      </c>
      <c r="BK22" s="394">
        <f t="shared" si="23"/>
        <v>100</v>
      </c>
      <c r="BL22" s="394">
        <f t="shared" si="23"/>
        <v>100</v>
      </c>
      <c r="BM22" s="394">
        <f t="shared" si="23"/>
        <v>100</v>
      </c>
      <c r="BN22" s="394">
        <f t="shared" si="23"/>
        <v>100</v>
      </c>
      <c r="BO22" s="394">
        <f t="shared" si="23"/>
        <v>100</v>
      </c>
      <c r="BP22" s="394">
        <f t="shared" si="23"/>
        <v>100</v>
      </c>
      <c r="BQ22" s="394">
        <f t="shared" si="23"/>
        <v>100</v>
      </c>
      <c r="BR22" s="394">
        <f t="shared" si="23"/>
        <v>100</v>
      </c>
      <c r="BS22" s="394">
        <f t="shared" si="23"/>
        <v>100</v>
      </c>
      <c r="BT22" s="394">
        <f t="shared" si="23"/>
        <v>100</v>
      </c>
      <c r="BU22" s="394">
        <f t="shared" si="23"/>
        <v>100</v>
      </c>
      <c r="BV22" s="394">
        <f t="shared" ref="BV22:CV22" si="24" xml:space="preserve"> BV19 + BV20 - BV21</f>
        <v>100</v>
      </c>
      <c r="BW22" s="394">
        <f t="shared" si="24"/>
        <v>100</v>
      </c>
      <c r="BX22" s="394">
        <f t="shared" si="24"/>
        <v>100</v>
      </c>
      <c r="BY22" s="394">
        <f t="shared" si="24"/>
        <v>100</v>
      </c>
      <c r="BZ22" s="394">
        <f t="shared" si="24"/>
        <v>100</v>
      </c>
      <c r="CA22" s="394">
        <f t="shared" si="24"/>
        <v>100</v>
      </c>
      <c r="CB22" s="394">
        <f t="shared" si="24"/>
        <v>100</v>
      </c>
      <c r="CC22" s="394">
        <f t="shared" si="24"/>
        <v>100</v>
      </c>
      <c r="CD22" s="394">
        <f t="shared" si="24"/>
        <v>100</v>
      </c>
      <c r="CE22" s="394">
        <f t="shared" si="24"/>
        <v>100</v>
      </c>
      <c r="CF22" s="394">
        <f t="shared" si="24"/>
        <v>100</v>
      </c>
      <c r="CG22" s="394">
        <f t="shared" si="24"/>
        <v>100</v>
      </c>
      <c r="CH22" s="394">
        <f t="shared" si="24"/>
        <v>100</v>
      </c>
      <c r="CI22" s="394">
        <f t="shared" si="24"/>
        <v>100</v>
      </c>
      <c r="CJ22" s="394">
        <f t="shared" si="24"/>
        <v>100</v>
      </c>
      <c r="CK22" s="394">
        <f t="shared" si="24"/>
        <v>100</v>
      </c>
      <c r="CL22" s="394">
        <f t="shared" si="24"/>
        <v>100</v>
      </c>
      <c r="CM22" s="394">
        <f t="shared" si="24"/>
        <v>100</v>
      </c>
      <c r="CN22" s="394">
        <f t="shared" si="24"/>
        <v>100</v>
      </c>
      <c r="CO22" s="394">
        <f t="shared" si="24"/>
        <v>100</v>
      </c>
      <c r="CP22" s="394">
        <f t="shared" si="24"/>
        <v>100</v>
      </c>
      <c r="CQ22" s="394">
        <f t="shared" si="24"/>
        <v>100</v>
      </c>
      <c r="CR22" s="394">
        <f t="shared" si="24"/>
        <v>100</v>
      </c>
      <c r="CS22" s="394">
        <f t="shared" si="24"/>
        <v>100</v>
      </c>
      <c r="CT22" s="394">
        <f t="shared" si="24"/>
        <v>100</v>
      </c>
      <c r="CU22" s="394">
        <f t="shared" si="24"/>
        <v>100</v>
      </c>
      <c r="CV22" s="394">
        <f t="shared" si="24"/>
        <v>100</v>
      </c>
    </row>
    <row r="23" spans="1:100" outlineLevel="1" x14ac:dyDescent="0.2"/>
    <row r="24" spans="1:100" x14ac:dyDescent="0.2"/>
    <row r="25" spans="1:100" x14ac:dyDescent="0.2">
      <c r="A25" s="15" t="s">
        <v>455</v>
      </c>
    </row>
    <row r="26" spans="1:100" outlineLevel="1" x14ac:dyDescent="0.2"/>
    <row r="27" spans="1:100" outlineLevel="1" x14ac:dyDescent="0.2">
      <c r="E27" s="12" t="str">
        <f t="shared" ref="E27:AJ27" si="25" xml:space="preserve"> E$11</f>
        <v>Cash available for share capital redemption</v>
      </c>
      <c r="F27" s="12">
        <f t="shared" si="25"/>
        <v>0</v>
      </c>
      <c r="G27" s="12" t="str">
        <f t="shared" si="25"/>
        <v>$ 000s</v>
      </c>
      <c r="H27" s="12">
        <f t="shared" si="25"/>
        <v>0</v>
      </c>
      <c r="I27" s="12">
        <f t="shared" si="25"/>
        <v>0</v>
      </c>
      <c r="J27" s="12">
        <f t="shared" si="25"/>
        <v>0</v>
      </c>
      <c r="K27" s="12">
        <f t="shared" si="25"/>
        <v>0</v>
      </c>
      <c r="L27" s="12">
        <f t="shared" si="25"/>
        <v>0</v>
      </c>
      <c r="M27" s="12">
        <f t="shared" si="25"/>
        <v>0</v>
      </c>
      <c r="N27" s="12">
        <f t="shared" si="25"/>
        <v>0</v>
      </c>
      <c r="O27" s="12">
        <f t="shared" si="25"/>
        <v>0</v>
      </c>
      <c r="P27" s="12">
        <f t="shared" si="25"/>
        <v>0</v>
      </c>
      <c r="Q27" s="12">
        <f t="shared" si="25"/>
        <v>0</v>
      </c>
      <c r="R27" s="12">
        <f t="shared" si="25"/>
        <v>0</v>
      </c>
      <c r="S27" s="12">
        <f t="shared" si="25"/>
        <v>0</v>
      </c>
      <c r="T27" s="12">
        <f t="shared" si="25"/>
        <v>0</v>
      </c>
      <c r="U27" s="12">
        <f t="shared" si="25"/>
        <v>0</v>
      </c>
      <c r="V27" s="12">
        <f t="shared" si="25"/>
        <v>0</v>
      </c>
      <c r="W27" s="12">
        <f t="shared" si="25"/>
        <v>0</v>
      </c>
      <c r="X27" s="12">
        <f t="shared" si="25"/>
        <v>0</v>
      </c>
      <c r="Y27" s="12">
        <f t="shared" si="25"/>
        <v>0</v>
      </c>
      <c r="Z27" s="12">
        <f t="shared" si="25"/>
        <v>0</v>
      </c>
      <c r="AA27" s="12">
        <f t="shared" si="25"/>
        <v>0</v>
      </c>
      <c r="AB27" s="12">
        <f t="shared" si="25"/>
        <v>0</v>
      </c>
      <c r="AC27" s="12">
        <f t="shared" si="25"/>
        <v>0</v>
      </c>
      <c r="AD27" s="12">
        <f t="shared" si="25"/>
        <v>0</v>
      </c>
      <c r="AE27" s="12">
        <f t="shared" si="25"/>
        <v>0</v>
      </c>
      <c r="AF27" s="12">
        <f t="shared" si="25"/>
        <v>0</v>
      </c>
      <c r="AG27" s="12">
        <f t="shared" si="25"/>
        <v>0</v>
      </c>
      <c r="AH27" s="12">
        <f t="shared" si="25"/>
        <v>0</v>
      </c>
      <c r="AI27" s="12">
        <f t="shared" si="25"/>
        <v>0</v>
      </c>
      <c r="AJ27" s="12">
        <f t="shared" si="25"/>
        <v>0</v>
      </c>
      <c r="AK27" s="12">
        <f t="shared" ref="AK27:BP27" si="26" xml:space="preserve"> AK$11</f>
        <v>0</v>
      </c>
      <c r="AL27" s="12">
        <f t="shared" si="26"/>
        <v>0</v>
      </c>
      <c r="AM27" s="12">
        <f t="shared" si="26"/>
        <v>0</v>
      </c>
      <c r="AN27" s="12">
        <f t="shared" si="26"/>
        <v>0</v>
      </c>
      <c r="AO27" s="12">
        <f t="shared" si="26"/>
        <v>0</v>
      </c>
      <c r="AP27" s="12">
        <f t="shared" si="26"/>
        <v>0</v>
      </c>
      <c r="AQ27" s="12">
        <f t="shared" si="26"/>
        <v>0</v>
      </c>
      <c r="AR27" s="12">
        <f t="shared" si="26"/>
        <v>0</v>
      </c>
      <c r="AS27" s="12">
        <f t="shared" si="26"/>
        <v>0</v>
      </c>
      <c r="AT27" s="12">
        <f t="shared" si="26"/>
        <v>0</v>
      </c>
      <c r="AU27" s="12">
        <f t="shared" si="26"/>
        <v>0</v>
      </c>
      <c r="AV27" s="12">
        <f t="shared" si="26"/>
        <v>0</v>
      </c>
      <c r="AW27" s="12">
        <f t="shared" si="26"/>
        <v>0</v>
      </c>
      <c r="AX27" s="12">
        <f t="shared" si="26"/>
        <v>0</v>
      </c>
      <c r="AY27" s="12">
        <f t="shared" si="26"/>
        <v>0</v>
      </c>
      <c r="AZ27" s="12">
        <f t="shared" si="26"/>
        <v>0</v>
      </c>
      <c r="BA27" s="12">
        <f t="shared" si="26"/>
        <v>0</v>
      </c>
      <c r="BB27" s="12">
        <f t="shared" si="26"/>
        <v>0</v>
      </c>
      <c r="BC27" s="12">
        <f t="shared" si="26"/>
        <v>0</v>
      </c>
      <c r="BD27" s="12">
        <f t="shared" si="26"/>
        <v>0</v>
      </c>
      <c r="BE27" s="12">
        <f t="shared" si="26"/>
        <v>0</v>
      </c>
      <c r="BF27" s="12">
        <f t="shared" si="26"/>
        <v>0</v>
      </c>
      <c r="BG27" s="12">
        <f t="shared" si="26"/>
        <v>0</v>
      </c>
      <c r="BH27" s="12">
        <f t="shared" si="26"/>
        <v>0</v>
      </c>
      <c r="BI27" s="12">
        <f t="shared" si="26"/>
        <v>0</v>
      </c>
      <c r="BJ27" s="12">
        <f t="shared" si="26"/>
        <v>0</v>
      </c>
      <c r="BK27" s="12">
        <f t="shared" si="26"/>
        <v>0</v>
      </c>
      <c r="BL27" s="12">
        <f t="shared" si="26"/>
        <v>0</v>
      </c>
      <c r="BM27" s="12">
        <f t="shared" si="26"/>
        <v>0</v>
      </c>
      <c r="BN27" s="12">
        <f t="shared" si="26"/>
        <v>0</v>
      </c>
      <c r="BO27" s="12">
        <f t="shared" si="26"/>
        <v>0</v>
      </c>
      <c r="BP27" s="12">
        <f t="shared" si="26"/>
        <v>0</v>
      </c>
      <c r="BQ27" s="12">
        <f t="shared" ref="BQ27:CV27" si="27" xml:space="preserve"> BQ$11</f>
        <v>0</v>
      </c>
      <c r="BR27" s="12">
        <f t="shared" si="27"/>
        <v>0</v>
      </c>
      <c r="BS27" s="12">
        <f t="shared" si="27"/>
        <v>0</v>
      </c>
      <c r="BT27" s="12">
        <f t="shared" si="27"/>
        <v>0</v>
      </c>
      <c r="BU27" s="12">
        <f t="shared" si="27"/>
        <v>0</v>
      </c>
      <c r="BV27" s="12">
        <f t="shared" si="27"/>
        <v>0</v>
      </c>
      <c r="BW27" s="12">
        <f t="shared" si="27"/>
        <v>0</v>
      </c>
      <c r="BX27" s="12">
        <f t="shared" si="27"/>
        <v>0</v>
      </c>
      <c r="BY27" s="12">
        <f t="shared" si="27"/>
        <v>0</v>
      </c>
      <c r="BZ27" s="12">
        <f t="shared" si="27"/>
        <v>0</v>
      </c>
      <c r="CA27" s="12">
        <f t="shared" si="27"/>
        <v>0</v>
      </c>
      <c r="CB27" s="12">
        <f t="shared" si="27"/>
        <v>0</v>
      </c>
      <c r="CC27" s="12">
        <f t="shared" si="27"/>
        <v>0</v>
      </c>
      <c r="CD27" s="12">
        <f t="shared" si="27"/>
        <v>0</v>
      </c>
      <c r="CE27" s="12">
        <f t="shared" si="27"/>
        <v>0</v>
      </c>
      <c r="CF27" s="12">
        <f t="shared" si="27"/>
        <v>0</v>
      </c>
      <c r="CG27" s="12">
        <f t="shared" si="27"/>
        <v>0</v>
      </c>
      <c r="CH27" s="12">
        <f t="shared" si="27"/>
        <v>0</v>
      </c>
      <c r="CI27" s="12">
        <f t="shared" si="27"/>
        <v>0</v>
      </c>
      <c r="CJ27" s="12">
        <f t="shared" si="27"/>
        <v>0</v>
      </c>
      <c r="CK27" s="12">
        <f t="shared" si="27"/>
        <v>0</v>
      </c>
      <c r="CL27" s="12">
        <f t="shared" si="27"/>
        <v>0</v>
      </c>
      <c r="CM27" s="12">
        <f t="shared" si="27"/>
        <v>0</v>
      </c>
      <c r="CN27" s="12">
        <f t="shared" si="27"/>
        <v>0</v>
      </c>
      <c r="CO27" s="12">
        <f t="shared" si="27"/>
        <v>0</v>
      </c>
      <c r="CP27" s="12">
        <f t="shared" si="27"/>
        <v>0</v>
      </c>
      <c r="CQ27" s="12">
        <f t="shared" si="27"/>
        <v>0</v>
      </c>
      <c r="CR27" s="12">
        <f t="shared" si="27"/>
        <v>0</v>
      </c>
      <c r="CS27" s="12">
        <f t="shared" si="27"/>
        <v>0</v>
      </c>
      <c r="CT27" s="12">
        <f t="shared" si="27"/>
        <v>0</v>
      </c>
      <c r="CU27" s="12">
        <f t="shared" si="27"/>
        <v>0</v>
      </c>
      <c r="CV27" s="12">
        <f t="shared" si="27"/>
        <v>0</v>
      </c>
    </row>
    <row r="28" spans="1:100" outlineLevel="1" x14ac:dyDescent="0.2">
      <c r="E28" s="198" t="str">
        <f t="shared" ref="E28:AJ28" si="28" xml:space="preserve"> E$16</f>
        <v>Share capital redemption POS</v>
      </c>
      <c r="F28" s="198">
        <f t="shared" si="28"/>
        <v>0</v>
      </c>
      <c r="G28" s="198" t="str">
        <f t="shared" si="28"/>
        <v>$ 000s</v>
      </c>
      <c r="H28" s="198">
        <f t="shared" si="28"/>
        <v>0</v>
      </c>
      <c r="I28" s="198">
        <f t="shared" si="28"/>
        <v>0</v>
      </c>
      <c r="J28" s="198">
        <f t="shared" si="28"/>
        <v>0</v>
      </c>
      <c r="K28" s="198">
        <f t="shared" si="28"/>
        <v>0</v>
      </c>
      <c r="L28" s="198">
        <f t="shared" si="28"/>
        <v>0</v>
      </c>
      <c r="M28" s="198">
        <f t="shared" si="28"/>
        <v>0</v>
      </c>
      <c r="N28" s="198">
        <f t="shared" si="28"/>
        <v>0</v>
      </c>
      <c r="O28" s="198">
        <f t="shared" si="28"/>
        <v>0</v>
      </c>
      <c r="P28" s="198">
        <f t="shared" si="28"/>
        <v>0</v>
      </c>
      <c r="Q28" s="198">
        <f t="shared" si="28"/>
        <v>0</v>
      </c>
      <c r="R28" s="198">
        <f t="shared" si="28"/>
        <v>0</v>
      </c>
      <c r="S28" s="198">
        <f t="shared" si="28"/>
        <v>0</v>
      </c>
      <c r="T28" s="198">
        <f t="shared" si="28"/>
        <v>0</v>
      </c>
      <c r="U28" s="198">
        <f t="shared" si="28"/>
        <v>0</v>
      </c>
      <c r="V28" s="198">
        <f t="shared" si="28"/>
        <v>0</v>
      </c>
      <c r="W28" s="198">
        <f t="shared" si="28"/>
        <v>0</v>
      </c>
      <c r="X28" s="198">
        <f t="shared" si="28"/>
        <v>0</v>
      </c>
      <c r="Y28" s="198">
        <f t="shared" si="28"/>
        <v>0</v>
      </c>
      <c r="Z28" s="198">
        <f t="shared" si="28"/>
        <v>0</v>
      </c>
      <c r="AA28" s="198">
        <f t="shared" si="28"/>
        <v>0</v>
      </c>
      <c r="AB28" s="198">
        <f t="shared" si="28"/>
        <v>0</v>
      </c>
      <c r="AC28" s="198">
        <f t="shared" si="28"/>
        <v>0</v>
      </c>
      <c r="AD28" s="198">
        <f t="shared" si="28"/>
        <v>0</v>
      </c>
      <c r="AE28" s="198">
        <f t="shared" si="28"/>
        <v>0</v>
      </c>
      <c r="AF28" s="198">
        <f t="shared" si="28"/>
        <v>0</v>
      </c>
      <c r="AG28" s="198">
        <f t="shared" si="28"/>
        <v>0</v>
      </c>
      <c r="AH28" s="198">
        <f t="shared" si="28"/>
        <v>0</v>
      </c>
      <c r="AI28" s="198">
        <f t="shared" si="28"/>
        <v>0</v>
      </c>
      <c r="AJ28" s="198">
        <f t="shared" si="28"/>
        <v>0</v>
      </c>
      <c r="AK28" s="198">
        <f t="shared" ref="AK28:BP28" si="29" xml:space="preserve"> AK$16</f>
        <v>0</v>
      </c>
      <c r="AL28" s="198">
        <f t="shared" si="29"/>
        <v>0</v>
      </c>
      <c r="AM28" s="198">
        <f t="shared" si="29"/>
        <v>0</v>
      </c>
      <c r="AN28" s="198">
        <f t="shared" si="29"/>
        <v>0</v>
      </c>
      <c r="AO28" s="198">
        <f t="shared" si="29"/>
        <v>0</v>
      </c>
      <c r="AP28" s="198">
        <f t="shared" si="29"/>
        <v>0</v>
      </c>
      <c r="AQ28" s="198">
        <f t="shared" si="29"/>
        <v>0</v>
      </c>
      <c r="AR28" s="198">
        <f t="shared" si="29"/>
        <v>0</v>
      </c>
      <c r="AS28" s="198">
        <f t="shared" si="29"/>
        <v>0</v>
      </c>
      <c r="AT28" s="198">
        <f t="shared" si="29"/>
        <v>0</v>
      </c>
      <c r="AU28" s="198">
        <f t="shared" si="29"/>
        <v>0</v>
      </c>
      <c r="AV28" s="198">
        <f t="shared" si="29"/>
        <v>0</v>
      </c>
      <c r="AW28" s="198">
        <f t="shared" si="29"/>
        <v>0</v>
      </c>
      <c r="AX28" s="198">
        <f t="shared" si="29"/>
        <v>0</v>
      </c>
      <c r="AY28" s="198">
        <f t="shared" si="29"/>
        <v>0</v>
      </c>
      <c r="AZ28" s="198">
        <f t="shared" si="29"/>
        <v>0</v>
      </c>
      <c r="BA28" s="198">
        <f t="shared" si="29"/>
        <v>0</v>
      </c>
      <c r="BB28" s="198">
        <f t="shared" si="29"/>
        <v>0</v>
      </c>
      <c r="BC28" s="198">
        <f t="shared" si="29"/>
        <v>0</v>
      </c>
      <c r="BD28" s="198">
        <f t="shared" si="29"/>
        <v>0</v>
      </c>
      <c r="BE28" s="198">
        <f t="shared" si="29"/>
        <v>0</v>
      </c>
      <c r="BF28" s="198">
        <f t="shared" si="29"/>
        <v>0</v>
      </c>
      <c r="BG28" s="198">
        <f t="shared" si="29"/>
        <v>0</v>
      </c>
      <c r="BH28" s="198">
        <f t="shared" si="29"/>
        <v>0</v>
      </c>
      <c r="BI28" s="198">
        <f t="shared" si="29"/>
        <v>0</v>
      </c>
      <c r="BJ28" s="198">
        <f t="shared" si="29"/>
        <v>0</v>
      </c>
      <c r="BK28" s="198">
        <f t="shared" si="29"/>
        <v>0</v>
      </c>
      <c r="BL28" s="198">
        <f t="shared" si="29"/>
        <v>0</v>
      </c>
      <c r="BM28" s="198">
        <f t="shared" si="29"/>
        <v>0</v>
      </c>
      <c r="BN28" s="198">
        <f t="shared" si="29"/>
        <v>0</v>
      </c>
      <c r="BO28" s="198">
        <f t="shared" si="29"/>
        <v>0</v>
      </c>
      <c r="BP28" s="198">
        <f t="shared" si="29"/>
        <v>0</v>
      </c>
      <c r="BQ28" s="198">
        <f t="shared" ref="BQ28:CV28" si="30" xml:space="preserve"> BQ$16</f>
        <v>0</v>
      </c>
      <c r="BR28" s="198">
        <f t="shared" si="30"/>
        <v>0</v>
      </c>
      <c r="BS28" s="198">
        <f t="shared" si="30"/>
        <v>0</v>
      </c>
      <c r="BT28" s="198">
        <f t="shared" si="30"/>
        <v>0</v>
      </c>
      <c r="BU28" s="198">
        <f t="shared" si="30"/>
        <v>0</v>
      </c>
      <c r="BV28" s="198">
        <f t="shared" si="30"/>
        <v>0</v>
      </c>
      <c r="BW28" s="198">
        <f t="shared" si="30"/>
        <v>0</v>
      </c>
      <c r="BX28" s="198">
        <f t="shared" si="30"/>
        <v>0</v>
      </c>
      <c r="BY28" s="198">
        <f t="shared" si="30"/>
        <v>0</v>
      </c>
      <c r="BZ28" s="198">
        <f t="shared" si="30"/>
        <v>0</v>
      </c>
      <c r="CA28" s="198">
        <f t="shared" si="30"/>
        <v>0</v>
      </c>
      <c r="CB28" s="198">
        <f t="shared" si="30"/>
        <v>0</v>
      </c>
      <c r="CC28" s="198">
        <f t="shared" si="30"/>
        <v>0</v>
      </c>
      <c r="CD28" s="198">
        <f t="shared" si="30"/>
        <v>0</v>
      </c>
      <c r="CE28" s="198">
        <f t="shared" si="30"/>
        <v>0</v>
      </c>
      <c r="CF28" s="198">
        <f t="shared" si="30"/>
        <v>0</v>
      </c>
      <c r="CG28" s="198">
        <f t="shared" si="30"/>
        <v>0</v>
      </c>
      <c r="CH28" s="198">
        <f t="shared" si="30"/>
        <v>0</v>
      </c>
      <c r="CI28" s="198">
        <f t="shared" si="30"/>
        <v>0</v>
      </c>
      <c r="CJ28" s="198">
        <f t="shared" si="30"/>
        <v>0</v>
      </c>
      <c r="CK28" s="198">
        <f t="shared" si="30"/>
        <v>0</v>
      </c>
      <c r="CL28" s="198">
        <f t="shared" si="30"/>
        <v>0</v>
      </c>
      <c r="CM28" s="198">
        <f t="shared" si="30"/>
        <v>0</v>
      </c>
      <c r="CN28" s="198">
        <f t="shared" si="30"/>
        <v>0</v>
      </c>
      <c r="CO28" s="198">
        <f t="shared" si="30"/>
        <v>0</v>
      </c>
      <c r="CP28" s="198">
        <f t="shared" si="30"/>
        <v>0</v>
      </c>
      <c r="CQ28" s="198">
        <f t="shared" si="30"/>
        <v>0</v>
      </c>
      <c r="CR28" s="198">
        <f t="shared" si="30"/>
        <v>0</v>
      </c>
      <c r="CS28" s="198">
        <f t="shared" si="30"/>
        <v>0</v>
      </c>
      <c r="CT28" s="198">
        <f t="shared" si="30"/>
        <v>0</v>
      </c>
      <c r="CU28" s="198">
        <f t="shared" si="30"/>
        <v>0</v>
      </c>
      <c r="CV28" s="198">
        <f t="shared" si="30"/>
        <v>0</v>
      </c>
    </row>
    <row r="29" spans="1:100" outlineLevel="1" x14ac:dyDescent="0.2">
      <c r="E29" s="198" t="s">
        <v>631</v>
      </c>
      <c r="F29" s="198"/>
      <c r="G29" s="198" t="str">
        <f xml:space="preserve"> SMU</f>
        <v>$ 000s</v>
      </c>
      <c r="H29" s="198"/>
      <c r="I29" s="198"/>
      <c r="J29" s="198">
        <f t="shared" ref="J29:AO29" si="31" xml:space="preserve"> MAX(0, J27 - J28)</f>
        <v>0</v>
      </c>
      <c r="K29" s="198">
        <f t="shared" si="31"/>
        <v>0</v>
      </c>
      <c r="L29" s="198">
        <f t="shared" si="31"/>
        <v>0</v>
      </c>
      <c r="M29" s="198">
        <f t="shared" si="31"/>
        <v>0</v>
      </c>
      <c r="N29" s="198">
        <f t="shared" si="31"/>
        <v>0</v>
      </c>
      <c r="O29" s="198">
        <f t="shared" si="31"/>
        <v>0</v>
      </c>
      <c r="P29" s="198">
        <f t="shared" si="31"/>
        <v>0</v>
      </c>
      <c r="Q29" s="198">
        <f t="shared" si="31"/>
        <v>0</v>
      </c>
      <c r="R29" s="198">
        <f t="shared" si="31"/>
        <v>0</v>
      </c>
      <c r="S29" s="198">
        <f t="shared" si="31"/>
        <v>0</v>
      </c>
      <c r="T29" s="198">
        <f t="shared" si="31"/>
        <v>0</v>
      </c>
      <c r="U29" s="198">
        <f t="shared" si="31"/>
        <v>0</v>
      </c>
      <c r="V29" s="198">
        <f t="shared" si="31"/>
        <v>0</v>
      </c>
      <c r="W29" s="198">
        <f t="shared" si="31"/>
        <v>0</v>
      </c>
      <c r="X29" s="198">
        <f t="shared" si="31"/>
        <v>0</v>
      </c>
      <c r="Y29" s="198">
        <f t="shared" si="31"/>
        <v>0</v>
      </c>
      <c r="Z29" s="198">
        <f t="shared" si="31"/>
        <v>0</v>
      </c>
      <c r="AA29" s="198">
        <f t="shared" si="31"/>
        <v>0</v>
      </c>
      <c r="AB29" s="198">
        <f t="shared" si="31"/>
        <v>0</v>
      </c>
      <c r="AC29" s="198">
        <f t="shared" si="31"/>
        <v>0</v>
      </c>
      <c r="AD29" s="198">
        <f t="shared" si="31"/>
        <v>0</v>
      </c>
      <c r="AE29" s="198">
        <f t="shared" si="31"/>
        <v>0</v>
      </c>
      <c r="AF29" s="198">
        <f t="shared" si="31"/>
        <v>0</v>
      </c>
      <c r="AG29" s="198">
        <f t="shared" si="31"/>
        <v>0</v>
      </c>
      <c r="AH29" s="198">
        <f t="shared" si="31"/>
        <v>0</v>
      </c>
      <c r="AI29" s="198">
        <f t="shared" si="31"/>
        <v>0</v>
      </c>
      <c r="AJ29" s="198">
        <f t="shared" si="31"/>
        <v>0</v>
      </c>
      <c r="AK29" s="198">
        <f t="shared" si="31"/>
        <v>0</v>
      </c>
      <c r="AL29" s="198">
        <f t="shared" si="31"/>
        <v>0</v>
      </c>
      <c r="AM29" s="198">
        <f t="shared" si="31"/>
        <v>0</v>
      </c>
      <c r="AN29" s="198">
        <f t="shared" si="31"/>
        <v>0</v>
      </c>
      <c r="AO29" s="198">
        <f t="shared" si="31"/>
        <v>0</v>
      </c>
      <c r="AP29" s="198">
        <f t="shared" ref="AP29:BU29" si="32" xml:space="preserve"> MAX(0, AP27 - AP28)</f>
        <v>0</v>
      </c>
      <c r="AQ29" s="198">
        <f t="shared" si="32"/>
        <v>0</v>
      </c>
      <c r="AR29" s="198">
        <f t="shared" si="32"/>
        <v>0</v>
      </c>
      <c r="AS29" s="198">
        <f t="shared" si="32"/>
        <v>0</v>
      </c>
      <c r="AT29" s="198">
        <f t="shared" si="32"/>
        <v>0</v>
      </c>
      <c r="AU29" s="198">
        <f t="shared" si="32"/>
        <v>0</v>
      </c>
      <c r="AV29" s="198">
        <f t="shared" si="32"/>
        <v>0</v>
      </c>
      <c r="AW29" s="198">
        <f t="shared" si="32"/>
        <v>0</v>
      </c>
      <c r="AX29" s="198">
        <f t="shared" si="32"/>
        <v>0</v>
      </c>
      <c r="AY29" s="198">
        <f t="shared" si="32"/>
        <v>0</v>
      </c>
      <c r="AZ29" s="198">
        <f t="shared" si="32"/>
        <v>0</v>
      </c>
      <c r="BA29" s="198">
        <f t="shared" si="32"/>
        <v>0</v>
      </c>
      <c r="BB29" s="198">
        <f t="shared" si="32"/>
        <v>0</v>
      </c>
      <c r="BC29" s="198">
        <f t="shared" si="32"/>
        <v>0</v>
      </c>
      <c r="BD29" s="198">
        <f t="shared" si="32"/>
        <v>0</v>
      </c>
      <c r="BE29" s="198">
        <f t="shared" si="32"/>
        <v>0</v>
      </c>
      <c r="BF29" s="198">
        <f t="shared" si="32"/>
        <v>0</v>
      </c>
      <c r="BG29" s="198">
        <f t="shared" si="32"/>
        <v>0</v>
      </c>
      <c r="BH29" s="198">
        <f t="shared" si="32"/>
        <v>0</v>
      </c>
      <c r="BI29" s="198">
        <f t="shared" si="32"/>
        <v>0</v>
      </c>
      <c r="BJ29" s="198">
        <f t="shared" si="32"/>
        <v>0</v>
      </c>
      <c r="BK29" s="198">
        <f t="shared" si="32"/>
        <v>0</v>
      </c>
      <c r="BL29" s="198">
        <f t="shared" si="32"/>
        <v>0</v>
      </c>
      <c r="BM29" s="198">
        <f t="shared" si="32"/>
        <v>0</v>
      </c>
      <c r="BN29" s="198">
        <f t="shared" si="32"/>
        <v>0</v>
      </c>
      <c r="BO29" s="198">
        <f t="shared" si="32"/>
        <v>0</v>
      </c>
      <c r="BP29" s="198">
        <f t="shared" si="32"/>
        <v>0</v>
      </c>
      <c r="BQ29" s="198">
        <f t="shared" si="32"/>
        <v>0</v>
      </c>
      <c r="BR29" s="198">
        <f t="shared" si="32"/>
        <v>0</v>
      </c>
      <c r="BS29" s="198">
        <f t="shared" si="32"/>
        <v>0</v>
      </c>
      <c r="BT29" s="198">
        <f t="shared" si="32"/>
        <v>0</v>
      </c>
      <c r="BU29" s="198">
        <f t="shared" si="32"/>
        <v>0</v>
      </c>
      <c r="BV29" s="198">
        <f t="shared" ref="BV29:CV29" si="33" xml:space="preserve"> MAX(0, BV27 - BV28)</f>
        <v>0</v>
      </c>
      <c r="BW29" s="198">
        <f t="shared" si="33"/>
        <v>0</v>
      </c>
      <c r="BX29" s="198">
        <f t="shared" si="33"/>
        <v>0</v>
      </c>
      <c r="BY29" s="198">
        <f t="shared" si="33"/>
        <v>0</v>
      </c>
      <c r="BZ29" s="198">
        <f t="shared" si="33"/>
        <v>0</v>
      </c>
      <c r="CA29" s="198">
        <f t="shared" si="33"/>
        <v>0</v>
      </c>
      <c r="CB29" s="198">
        <f t="shared" si="33"/>
        <v>0</v>
      </c>
      <c r="CC29" s="198">
        <f t="shared" si="33"/>
        <v>0</v>
      </c>
      <c r="CD29" s="198">
        <f t="shared" si="33"/>
        <v>0</v>
      </c>
      <c r="CE29" s="198">
        <f t="shared" si="33"/>
        <v>0</v>
      </c>
      <c r="CF29" s="198">
        <f t="shared" si="33"/>
        <v>0</v>
      </c>
      <c r="CG29" s="198">
        <f t="shared" si="33"/>
        <v>0</v>
      </c>
      <c r="CH29" s="198">
        <f t="shared" si="33"/>
        <v>0</v>
      </c>
      <c r="CI29" s="198">
        <f t="shared" si="33"/>
        <v>0</v>
      </c>
      <c r="CJ29" s="198">
        <f t="shared" si="33"/>
        <v>0</v>
      </c>
      <c r="CK29" s="198">
        <f t="shared" si="33"/>
        <v>0</v>
      </c>
      <c r="CL29" s="198">
        <f t="shared" si="33"/>
        <v>0</v>
      </c>
      <c r="CM29" s="198">
        <f t="shared" si="33"/>
        <v>0</v>
      </c>
      <c r="CN29" s="198">
        <f t="shared" si="33"/>
        <v>0</v>
      </c>
      <c r="CO29" s="198">
        <f t="shared" si="33"/>
        <v>0</v>
      </c>
      <c r="CP29" s="198">
        <f t="shared" si="33"/>
        <v>0</v>
      </c>
      <c r="CQ29" s="198">
        <f t="shared" si="33"/>
        <v>0</v>
      </c>
      <c r="CR29" s="198">
        <f t="shared" si="33"/>
        <v>0</v>
      </c>
      <c r="CS29" s="198">
        <f t="shared" si="33"/>
        <v>0</v>
      </c>
      <c r="CT29" s="198">
        <f t="shared" si="33"/>
        <v>0</v>
      </c>
      <c r="CU29" s="198">
        <f t="shared" si="33"/>
        <v>0</v>
      </c>
      <c r="CV29" s="198">
        <f t="shared" si="33"/>
        <v>0</v>
      </c>
    </row>
    <row r="30" spans="1:100" outlineLevel="1" x14ac:dyDescent="0.2"/>
    <row r="31" spans="1:100" outlineLevel="1" x14ac:dyDescent="0.2">
      <c r="E31" s="198" t="str">
        <f t="shared" ref="E31:AJ31" si="34" xml:space="preserve"> E$37</f>
        <v>Standby equity balance BEG</v>
      </c>
      <c r="F31" s="198">
        <f t="shared" si="34"/>
        <v>0</v>
      </c>
      <c r="G31" s="198" t="str">
        <f t="shared" si="34"/>
        <v>$ 000s</v>
      </c>
      <c r="H31" s="198">
        <f t="shared" si="34"/>
        <v>0</v>
      </c>
      <c r="I31" s="198">
        <f t="shared" si="34"/>
        <v>0</v>
      </c>
      <c r="J31" s="198">
        <f t="shared" si="34"/>
        <v>0</v>
      </c>
      <c r="K31" s="198">
        <f t="shared" si="34"/>
        <v>0</v>
      </c>
      <c r="L31" s="198">
        <f t="shared" si="34"/>
        <v>0</v>
      </c>
      <c r="M31" s="198">
        <f t="shared" si="34"/>
        <v>0</v>
      </c>
      <c r="N31" s="198">
        <f t="shared" si="34"/>
        <v>0</v>
      </c>
      <c r="O31" s="198">
        <f t="shared" si="34"/>
        <v>0</v>
      </c>
      <c r="P31" s="198">
        <f t="shared" si="34"/>
        <v>0</v>
      </c>
      <c r="Q31" s="198">
        <f t="shared" si="34"/>
        <v>0</v>
      </c>
      <c r="R31" s="198">
        <f t="shared" si="34"/>
        <v>0</v>
      </c>
      <c r="S31" s="198">
        <f t="shared" si="34"/>
        <v>0</v>
      </c>
      <c r="T31" s="198">
        <f t="shared" si="34"/>
        <v>0</v>
      </c>
      <c r="U31" s="198">
        <f t="shared" si="34"/>
        <v>0</v>
      </c>
      <c r="V31" s="198">
        <f t="shared" si="34"/>
        <v>0</v>
      </c>
      <c r="W31" s="198">
        <f t="shared" si="34"/>
        <v>0</v>
      </c>
      <c r="X31" s="198">
        <f t="shared" si="34"/>
        <v>0</v>
      </c>
      <c r="Y31" s="198">
        <f t="shared" si="34"/>
        <v>0</v>
      </c>
      <c r="Z31" s="198">
        <f t="shared" si="34"/>
        <v>0</v>
      </c>
      <c r="AA31" s="198">
        <f t="shared" si="34"/>
        <v>0</v>
      </c>
      <c r="AB31" s="198">
        <f t="shared" si="34"/>
        <v>0</v>
      </c>
      <c r="AC31" s="198">
        <f t="shared" si="34"/>
        <v>0</v>
      </c>
      <c r="AD31" s="198">
        <f t="shared" si="34"/>
        <v>0</v>
      </c>
      <c r="AE31" s="198">
        <f t="shared" si="34"/>
        <v>0</v>
      </c>
      <c r="AF31" s="198">
        <f t="shared" si="34"/>
        <v>0</v>
      </c>
      <c r="AG31" s="198">
        <f t="shared" si="34"/>
        <v>0</v>
      </c>
      <c r="AH31" s="198">
        <f t="shared" si="34"/>
        <v>0</v>
      </c>
      <c r="AI31" s="198">
        <f t="shared" si="34"/>
        <v>0</v>
      </c>
      <c r="AJ31" s="198">
        <f t="shared" si="34"/>
        <v>0</v>
      </c>
      <c r="AK31" s="198">
        <f t="shared" ref="AK31:BP31" si="35" xml:space="preserve"> AK$37</f>
        <v>0</v>
      </c>
      <c r="AL31" s="198">
        <f t="shared" si="35"/>
        <v>0</v>
      </c>
      <c r="AM31" s="198">
        <f t="shared" si="35"/>
        <v>0</v>
      </c>
      <c r="AN31" s="198">
        <f t="shared" si="35"/>
        <v>0</v>
      </c>
      <c r="AO31" s="198">
        <f t="shared" si="35"/>
        <v>0</v>
      </c>
      <c r="AP31" s="198">
        <f t="shared" si="35"/>
        <v>0</v>
      </c>
      <c r="AQ31" s="198">
        <f t="shared" si="35"/>
        <v>0</v>
      </c>
      <c r="AR31" s="198">
        <f t="shared" si="35"/>
        <v>0</v>
      </c>
      <c r="AS31" s="198">
        <f t="shared" si="35"/>
        <v>0</v>
      </c>
      <c r="AT31" s="198">
        <f t="shared" si="35"/>
        <v>0</v>
      </c>
      <c r="AU31" s="198">
        <f t="shared" si="35"/>
        <v>0</v>
      </c>
      <c r="AV31" s="198">
        <f t="shared" si="35"/>
        <v>0</v>
      </c>
      <c r="AW31" s="198">
        <f t="shared" si="35"/>
        <v>0</v>
      </c>
      <c r="AX31" s="198">
        <f t="shared" si="35"/>
        <v>0</v>
      </c>
      <c r="AY31" s="198">
        <f t="shared" si="35"/>
        <v>0</v>
      </c>
      <c r="AZ31" s="198">
        <f t="shared" si="35"/>
        <v>0</v>
      </c>
      <c r="BA31" s="198">
        <f t="shared" si="35"/>
        <v>0</v>
      </c>
      <c r="BB31" s="198">
        <f t="shared" si="35"/>
        <v>0</v>
      </c>
      <c r="BC31" s="198">
        <f t="shared" si="35"/>
        <v>0</v>
      </c>
      <c r="BD31" s="198">
        <f t="shared" si="35"/>
        <v>0</v>
      </c>
      <c r="BE31" s="198">
        <f t="shared" si="35"/>
        <v>0</v>
      </c>
      <c r="BF31" s="198">
        <f t="shared" si="35"/>
        <v>0</v>
      </c>
      <c r="BG31" s="198">
        <f t="shared" si="35"/>
        <v>0</v>
      </c>
      <c r="BH31" s="198">
        <f t="shared" si="35"/>
        <v>0</v>
      </c>
      <c r="BI31" s="198">
        <f t="shared" si="35"/>
        <v>0</v>
      </c>
      <c r="BJ31" s="198">
        <f t="shared" si="35"/>
        <v>0</v>
      </c>
      <c r="BK31" s="198">
        <f t="shared" si="35"/>
        <v>0</v>
      </c>
      <c r="BL31" s="198">
        <f t="shared" si="35"/>
        <v>0</v>
      </c>
      <c r="BM31" s="198">
        <f t="shared" si="35"/>
        <v>0</v>
      </c>
      <c r="BN31" s="198">
        <f t="shared" si="35"/>
        <v>0</v>
      </c>
      <c r="BO31" s="198">
        <f t="shared" si="35"/>
        <v>0</v>
      </c>
      <c r="BP31" s="198">
        <f t="shared" si="35"/>
        <v>0</v>
      </c>
      <c r="BQ31" s="198">
        <f t="shared" ref="BQ31:CV31" si="36" xml:space="preserve"> BQ$37</f>
        <v>0</v>
      </c>
      <c r="BR31" s="198">
        <f t="shared" si="36"/>
        <v>0</v>
      </c>
      <c r="BS31" s="198">
        <f t="shared" si="36"/>
        <v>0</v>
      </c>
      <c r="BT31" s="198">
        <f t="shared" si="36"/>
        <v>0</v>
      </c>
      <c r="BU31" s="198">
        <f t="shared" si="36"/>
        <v>0</v>
      </c>
      <c r="BV31" s="198">
        <f t="shared" si="36"/>
        <v>0</v>
      </c>
      <c r="BW31" s="198">
        <f t="shared" si="36"/>
        <v>0</v>
      </c>
      <c r="BX31" s="198">
        <f t="shared" si="36"/>
        <v>0</v>
      </c>
      <c r="BY31" s="198">
        <f t="shared" si="36"/>
        <v>0</v>
      </c>
      <c r="BZ31" s="198">
        <f t="shared" si="36"/>
        <v>0</v>
      </c>
      <c r="CA31" s="198">
        <f t="shared" si="36"/>
        <v>0</v>
      </c>
      <c r="CB31" s="198">
        <f t="shared" si="36"/>
        <v>0</v>
      </c>
      <c r="CC31" s="198">
        <f t="shared" si="36"/>
        <v>0</v>
      </c>
      <c r="CD31" s="198">
        <f t="shared" si="36"/>
        <v>0</v>
      </c>
      <c r="CE31" s="198">
        <f t="shared" si="36"/>
        <v>0</v>
      </c>
      <c r="CF31" s="198">
        <f t="shared" si="36"/>
        <v>0</v>
      </c>
      <c r="CG31" s="198">
        <f t="shared" si="36"/>
        <v>0</v>
      </c>
      <c r="CH31" s="198">
        <f t="shared" si="36"/>
        <v>0</v>
      </c>
      <c r="CI31" s="198">
        <f t="shared" si="36"/>
        <v>0</v>
      </c>
      <c r="CJ31" s="198">
        <f t="shared" si="36"/>
        <v>0</v>
      </c>
      <c r="CK31" s="198">
        <f t="shared" si="36"/>
        <v>0</v>
      </c>
      <c r="CL31" s="198">
        <f t="shared" si="36"/>
        <v>0</v>
      </c>
      <c r="CM31" s="198">
        <f t="shared" si="36"/>
        <v>0</v>
      </c>
      <c r="CN31" s="198">
        <f t="shared" si="36"/>
        <v>0</v>
      </c>
      <c r="CO31" s="198">
        <f t="shared" si="36"/>
        <v>0</v>
      </c>
      <c r="CP31" s="198">
        <f t="shared" si="36"/>
        <v>0</v>
      </c>
      <c r="CQ31" s="198">
        <f t="shared" si="36"/>
        <v>0</v>
      </c>
      <c r="CR31" s="198">
        <f t="shared" si="36"/>
        <v>0</v>
      </c>
      <c r="CS31" s="198">
        <f t="shared" si="36"/>
        <v>0</v>
      </c>
      <c r="CT31" s="198">
        <f t="shared" si="36"/>
        <v>0</v>
      </c>
      <c r="CU31" s="198">
        <f t="shared" si="36"/>
        <v>0</v>
      </c>
      <c r="CV31" s="198">
        <f t="shared" si="36"/>
        <v>0</v>
      </c>
    </row>
    <row r="32" spans="1:100" outlineLevel="1" x14ac:dyDescent="0.2">
      <c r="E32" s="198" t="str">
        <f t="shared" ref="E32:AJ32" si="37" xml:space="preserve"> E$29</f>
        <v>Cash available for standby equity redemption</v>
      </c>
      <c r="F32" s="198">
        <f t="shared" si="37"/>
        <v>0</v>
      </c>
      <c r="G32" s="198" t="str">
        <f t="shared" si="37"/>
        <v>$ 000s</v>
      </c>
      <c r="H32" s="198">
        <f t="shared" si="37"/>
        <v>0</v>
      </c>
      <c r="I32" s="198">
        <f t="shared" si="37"/>
        <v>0</v>
      </c>
      <c r="J32" s="198">
        <f t="shared" si="37"/>
        <v>0</v>
      </c>
      <c r="K32" s="198">
        <f t="shared" si="37"/>
        <v>0</v>
      </c>
      <c r="L32" s="198">
        <f t="shared" si="37"/>
        <v>0</v>
      </c>
      <c r="M32" s="198">
        <f t="shared" si="37"/>
        <v>0</v>
      </c>
      <c r="N32" s="198">
        <f t="shared" si="37"/>
        <v>0</v>
      </c>
      <c r="O32" s="198">
        <f t="shared" si="37"/>
        <v>0</v>
      </c>
      <c r="P32" s="198">
        <f t="shared" si="37"/>
        <v>0</v>
      </c>
      <c r="Q32" s="198">
        <f t="shared" si="37"/>
        <v>0</v>
      </c>
      <c r="R32" s="198">
        <f t="shared" si="37"/>
        <v>0</v>
      </c>
      <c r="S32" s="198">
        <f t="shared" si="37"/>
        <v>0</v>
      </c>
      <c r="T32" s="198">
        <f t="shared" si="37"/>
        <v>0</v>
      </c>
      <c r="U32" s="198">
        <f t="shared" si="37"/>
        <v>0</v>
      </c>
      <c r="V32" s="198">
        <f t="shared" si="37"/>
        <v>0</v>
      </c>
      <c r="W32" s="198">
        <f t="shared" si="37"/>
        <v>0</v>
      </c>
      <c r="X32" s="198">
        <f t="shared" si="37"/>
        <v>0</v>
      </c>
      <c r="Y32" s="198">
        <f t="shared" si="37"/>
        <v>0</v>
      </c>
      <c r="Z32" s="198">
        <f t="shared" si="37"/>
        <v>0</v>
      </c>
      <c r="AA32" s="198">
        <f t="shared" si="37"/>
        <v>0</v>
      </c>
      <c r="AB32" s="198">
        <f t="shared" si="37"/>
        <v>0</v>
      </c>
      <c r="AC32" s="198">
        <f t="shared" si="37"/>
        <v>0</v>
      </c>
      <c r="AD32" s="198">
        <f t="shared" si="37"/>
        <v>0</v>
      </c>
      <c r="AE32" s="198">
        <f t="shared" si="37"/>
        <v>0</v>
      </c>
      <c r="AF32" s="198">
        <f t="shared" si="37"/>
        <v>0</v>
      </c>
      <c r="AG32" s="198">
        <f t="shared" si="37"/>
        <v>0</v>
      </c>
      <c r="AH32" s="198">
        <f t="shared" si="37"/>
        <v>0</v>
      </c>
      <c r="AI32" s="198">
        <f t="shared" si="37"/>
        <v>0</v>
      </c>
      <c r="AJ32" s="198">
        <f t="shared" si="37"/>
        <v>0</v>
      </c>
      <c r="AK32" s="198">
        <f t="shared" ref="AK32:BP32" si="38" xml:space="preserve"> AK$29</f>
        <v>0</v>
      </c>
      <c r="AL32" s="198">
        <f t="shared" si="38"/>
        <v>0</v>
      </c>
      <c r="AM32" s="198">
        <f t="shared" si="38"/>
        <v>0</v>
      </c>
      <c r="AN32" s="198">
        <f t="shared" si="38"/>
        <v>0</v>
      </c>
      <c r="AO32" s="198">
        <f t="shared" si="38"/>
        <v>0</v>
      </c>
      <c r="AP32" s="198">
        <f t="shared" si="38"/>
        <v>0</v>
      </c>
      <c r="AQ32" s="198">
        <f t="shared" si="38"/>
        <v>0</v>
      </c>
      <c r="AR32" s="198">
        <f t="shared" si="38"/>
        <v>0</v>
      </c>
      <c r="AS32" s="198">
        <f t="shared" si="38"/>
        <v>0</v>
      </c>
      <c r="AT32" s="198">
        <f t="shared" si="38"/>
        <v>0</v>
      </c>
      <c r="AU32" s="198">
        <f t="shared" si="38"/>
        <v>0</v>
      </c>
      <c r="AV32" s="198">
        <f t="shared" si="38"/>
        <v>0</v>
      </c>
      <c r="AW32" s="198">
        <f t="shared" si="38"/>
        <v>0</v>
      </c>
      <c r="AX32" s="198">
        <f t="shared" si="38"/>
        <v>0</v>
      </c>
      <c r="AY32" s="198">
        <f t="shared" si="38"/>
        <v>0</v>
      </c>
      <c r="AZ32" s="198">
        <f t="shared" si="38"/>
        <v>0</v>
      </c>
      <c r="BA32" s="198">
        <f t="shared" si="38"/>
        <v>0</v>
      </c>
      <c r="BB32" s="198">
        <f t="shared" si="38"/>
        <v>0</v>
      </c>
      <c r="BC32" s="198">
        <f t="shared" si="38"/>
        <v>0</v>
      </c>
      <c r="BD32" s="198">
        <f t="shared" si="38"/>
        <v>0</v>
      </c>
      <c r="BE32" s="198">
        <f t="shared" si="38"/>
        <v>0</v>
      </c>
      <c r="BF32" s="198">
        <f t="shared" si="38"/>
        <v>0</v>
      </c>
      <c r="BG32" s="198">
        <f t="shared" si="38"/>
        <v>0</v>
      </c>
      <c r="BH32" s="198">
        <f t="shared" si="38"/>
        <v>0</v>
      </c>
      <c r="BI32" s="198">
        <f t="shared" si="38"/>
        <v>0</v>
      </c>
      <c r="BJ32" s="198">
        <f t="shared" si="38"/>
        <v>0</v>
      </c>
      <c r="BK32" s="198">
        <f t="shared" si="38"/>
        <v>0</v>
      </c>
      <c r="BL32" s="198">
        <f t="shared" si="38"/>
        <v>0</v>
      </c>
      <c r="BM32" s="198">
        <f t="shared" si="38"/>
        <v>0</v>
      </c>
      <c r="BN32" s="198">
        <f t="shared" si="38"/>
        <v>0</v>
      </c>
      <c r="BO32" s="198">
        <f t="shared" si="38"/>
        <v>0</v>
      </c>
      <c r="BP32" s="198">
        <f t="shared" si="38"/>
        <v>0</v>
      </c>
      <c r="BQ32" s="198">
        <f t="shared" ref="BQ32:CV32" si="39" xml:space="preserve"> BQ$29</f>
        <v>0</v>
      </c>
      <c r="BR32" s="198">
        <f t="shared" si="39"/>
        <v>0</v>
      </c>
      <c r="BS32" s="198">
        <f t="shared" si="39"/>
        <v>0</v>
      </c>
      <c r="BT32" s="198">
        <f t="shared" si="39"/>
        <v>0</v>
      </c>
      <c r="BU32" s="198">
        <f t="shared" si="39"/>
        <v>0</v>
      </c>
      <c r="BV32" s="198">
        <f t="shared" si="39"/>
        <v>0</v>
      </c>
      <c r="BW32" s="198">
        <f t="shared" si="39"/>
        <v>0</v>
      </c>
      <c r="BX32" s="198">
        <f t="shared" si="39"/>
        <v>0</v>
      </c>
      <c r="BY32" s="198">
        <f t="shared" si="39"/>
        <v>0</v>
      </c>
      <c r="BZ32" s="198">
        <f t="shared" si="39"/>
        <v>0</v>
      </c>
      <c r="CA32" s="198">
        <f t="shared" si="39"/>
        <v>0</v>
      </c>
      <c r="CB32" s="198">
        <f t="shared" si="39"/>
        <v>0</v>
      </c>
      <c r="CC32" s="198">
        <f t="shared" si="39"/>
        <v>0</v>
      </c>
      <c r="CD32" s="198">
        <f t="shared" si="39"/>
        <v>0</v>
      </c>
      <c r="CE32" s="198">
        <f t="shared" si="39"/>
        <v>0</v>
      </c>
      <c r="CF32" s="198">
        <f t="shared" si="39"/>
        <v>0</v>
      </c>
      <c r="CG32" s="198">
        <f t="shared" si="39"/>
        <v>0</v>
      </c>
      <c r="CH32" s="198">
        <f t="shared" si="39"/>
        <v>0</v>
      </c>
      <c r="CI32" s="198">
        <f t="shared" si="39"/>
        <v>0</v>
      </c>
      <c r="CJ32" s="198">
        <f t="shared" si="39"/>
        <v>0</v>
      </c>
      <c r="CK32" s="198">
        <f t="shared" si="39"/>
        <v>0</v>
      </c>
      <c r="CL32" s="198">
        <f t="shared" si="39"/>
        <v>0</v>
      </c>
      <c r="CM32" s="198">
        <f t="shared" si="39"/>
        <v>0</v>
      </c>
      <c r="CN32" s="198">
        <f t="shared" si="39"/>
        <v>0</v>
      </c>
      <c r="CO32" s="198">
        <f t="shared" si="39"/>
        <v>0</v>
      </c>
      <c r="CP32" s="198">
        <f t="shared" si="39"/>
        <v>0</v>
      </c>
      <c r="CQ32" s="198">
        <f t="shared" si="39"/>
        <v>0</v>
      </c>
      <c r="CR32" s="198">
        <f t="shared" si="39"/>
        <v>0</v>
      </c>
      <c r="CS32" s="198">
        <f t="shared" si="39"/>
        <v>0</v>
      </c>
      <c r="CT32" s="198">
        <f t="shared" si="39"/>
        <v>0</v>
      </c>
      <c r="CU32" s="198">
        <f t="shared" si="39"/>
        <v>0</v>
      </c>
      <c r="CV32" s="198">
        <f t="shared" si="39"/>
        <v>0</v>
      </c>
    </row>
    <row r="33" spans="1:100" outlineLevel="1" x14ac:dyDescent="0.2">
      <c r="E33" s="226" t="str">
        <f xml:space="preserve"> Time!E$101</f>
        <v xml:space="preserve">Last operating period flag </v>
      </c>
      <c r="F33" s="226">
        <f xml:space="preserve"> Time!F$101</f>
        <v>0</v>
      </c>
      <c r="G33" s="226" t="str">
        <f xml:space="preserve"> Time!G$101</f>
        <v>flag</v>
      </c>
      <c r="H33" s="226">
        <f xml:space="preserve"> Time!H$101</f>
        <v>1</v>
      </c>
      <c r="I33" s="226">
        <f xml:space="preserve"> Time!I$101</f>
        <v>0</v>
      </c>
      <c r="J33" s="226">
        <f xml:space="preserve"> Time!J$101</f>
        <v>0</v>
      </c>
      <c r="K33" s="226">
        <f xml:space="preserve"> Time!K$101</f>
        <v>0</v>
      </c>
      <c r="L33" s="226">
        <f xml:space="preserve"> Time!L$101</f>
        <v>0</v>
      </c>
      <c r="M33" s="226">
        <f xml:space="preserve"> Time!M$101</f>
        <v>0</v>
      </c>
      <c r="N33" s="226">
        <f xml:space="preserve"> Time!N$101</f>
        <v>0</v>
      </c>
      <c r="O33" s="226">
        <f xml:space="preserve"> Time!O$101</f>
        <v>0</v>
      </c>
      <c r="P33" s="226">
        <f xml:space="preserve"> Time!P$101</f>
        <v>0</v>
      </c>
      <c r="Q33" s="226">
        <f xml:space="preserve"> Time!Q$101</f>
        <v>0</v>
      </c>
      <c r="R33" s="226">
        <f xml:space="preserve"> Time!R$101</f>
        <v>0</v>
      </c>
      <c r="S33" s="226">
        <f xml:space="preserve"> Time!S$101</f>
        <v>0</v>
      </c>
      <c r="T33" s="226">
        <f xml:space="preserve"> Time!T$101</f>
        <v>0</v>
      </c>
      <c r="U33" s="226">
        <f xml:space="preserve"> Time!U$101</f>
        <v>0</v>
      </c>
      <c r="V33" s="226">
        <f xml:space="preserve"> Time!V$101</f>
        <v>0</v>
      </c>
      <c r="W33" s="226">
        <f xml:space="preserve"> Time!W$101</f>
        <v>0</v>
      </c>
      <c r="X33" s="226">
        <f xml:space="preserve"> Time!X$101</f>
        <v>0</v>
      </c>
      <c r="Y33" s="226">
        <f xml:space="preserve"> Time!Y$101</f>
        <v>0</v>
      </c>
      <c r="Z33" s="226">
        <f xml:space="preserve"> Time!Z$101</f>
        <v>0</v>
      </c>
      <c r="AA33" s="226">
        <f xml:space="preserve"> Time!AA$101</f>
        <v>0</v>
      </c>
      <c r="AB33" s="226">
        <f xml:space="preserve"> Time!AB$101</f>
        <v>0</v>
      </c>
      <c r="AC33" s="226">
        <f xml:space="preserve"> Time!AC$101</f>
        <v>0</v>
      </c>
      <c r="AD33" s="226">
        <f xml:space="preserve"> Time!AD$101</f>
        <v>0</v>
      </c>
      <c r="AE33" s="226">
        <f xml:space="preserve"> Time!AE$101</f>
        <v>0</v>
      </c>
      <c r="AF33" s="226">
        <f xml:space="preserve"> Time!AF$101</f>
        <v>0</v>
      </c>
      <c r="AG33" s="226">
        <f xml:space="preserve"> Time!AG$101</f>
        <v>0</v>
      </c>
      <c r="AH33" s="226">
        <f xml:space="preserve"> Time!AH$101</f>
        <v>0</v>
      </c>
      <c r="AI33" s="226">
        <f xml:space="preserve"> Time!AI$101</f>
        <v>0</v>
      </c>
      <c r="AJ33" s="226">
        <f xml:space="preserve"> Time!AJ$101</f>
        <v>0</v>
      </c>
      <c r="AK33" s="226">
        <f xml:space="preserve"> Time!AK$101</f>
        <v>0</v>
      </c>
      <c r="AL33" s="226">
        <f xml:space="preserve"> Time!AL$101</f>
        <v>0</v>
      </c>
      <c r="AM33" s="226">
        <f xml:space="preserve"> Time!AM$101</f>
        <v>0</v>
      </c>
      <c r="AN33" s="226">
        <f xml:space="preserve"> Time!AN$101</f>
        <v>0</v>
      </c>
      <c r="AO33" s="226">
        <f xml:space="preserve"> Time!AO$101</f>
        <v>0</v>
      </c>
      <c r="AP33" s="226">
        <f xml:space="preserve"> Time!AP$101</f>
        <v>0</v>
      </c>
      <c r="AQ33" s="226">
        <f xml:space="preserve"> Time!AQ$101</f>
        <v>0</v>
      </c>
      <c r="AR33" s="226">
        <f xml:space="preserve"> Time!AR$101</f>
        <v>0</v>
      </c>
      <c r="AS33" s="226">
        <f xml:space="preserve"> Time!AS$101</f>
        <v>0</v>
      </c>
      <c r="AT33" s="226">
        <f xml:space="preserve"> Time!AT$101</f>
        <v>0</v>
      </c>
      <c r="AU33" s="226">
        <f xml:space="preserve"> Time!AU$101</f>
        <v>0</v>
      </c>
      <c r="AV33" s="226">
        <f xml:space="preserve"> Time!AV$101</f>
        <v>0</v>
      </c>
      <c r="AW33" s="226">
        <f xml:space="preserve"> Time!AW$101</f>
        <v>0</v>
      </c>
      <c r="AX33" s="226">
        <f xml:space="preserve"> Time!AX$101</f>
        <v>0</v>
      </c>
      <c r="AY33" s="226">
        <f xml:space="preserve"> Time!AY$101</f>
        <v>0</v>
      </c>
      <c r="AZ33" s="226">
        <f xml:space="preserve"> Time!AZ$101</f>
        <v>0</v>
      </c>
      <c r="BA33" s="226">
        <f xml:space="preserve"> Time!BA$101</f>
        <v>0</v>
      </c>
      <c r="BB33" s="226">
        <f xml:space="preserve"> Time!BB$101</f>
        <v>1</v>
      </c>
      <c r="BC33" s="226">
        <f xml:space="preserve"> Time!BC$101</f>
        <v>0</v>
      </c>
      <c r="BD33" s="226">
        <f xml:space="preserve"> Time!BD$101</f>
        <v>0</v>
      </c>
      <c r="BE33" s="226">
        <f xml:space="preserve"> Time!BE$101</f>
        <v>0</v>
      </c>
      <c r="BF33" s="226">
        <f xml:space="preserve"> Time!BF$101</f>
        <v>0</v>
      </c>
      <c r="BG33" s="226">
        <f xml:space="preserve"> Time!BG$101</f>
        <v>0</v>
      </c>
      <c r="BH33" s="226">
        <f xml:space="preserve"> Time!BH$101</f>
        <v>0</v>
      </c>
      <c r="BI33" s="226">
        <f xml:space="preserve"> Time!BI$101</f>
        <v>0</v>
      </c>
      <c r="BJ33" s="226">
        <f xml:space="preserve"> Time!BJ$101</f>
        <v>0</v>
      </c>
      <c r="BK33" s="226">
        <f xml:space="preserve"> Time!BK$101</f>
        <v>0</v>
      </c>
      <c r="BL33" s="226">
        <f xml:space="preserve"> Time!BL$101</f>
        <v>0</v>
      </c>
      <c r="BM33" s="226">
        <f xml:space="preserve"> Time!BM$101</f>
        <v>0</v>
      </c>
      <c r="BN33" s="226">
        <f xml:space="preserve"> Time!BN$101</f>
        <v>0</v>
      </c>
      <c r="BO33" s="226">
        <f xml:space="preserve"> Time!BO$101</f>
        <v>0</v>
      </c>
      <c r="BP33" s="226">
        <f xml:space="preserve"> Time!BP$101</f>
        <v>0</v>
      </c>
      <c r="BQ33" s="226">
        <f xml:space="preserve"> Time!BQ$101</f>
        <v>0</v>
      </c>
      <c r="BR33" s="226">
        <f xml:space="preserve"> Time!BR$101</f>
        <v>0</v>
      </c>
      <c r="BS33" s="226">
        <f xml:space="preserve"> Time!BS$101</f>
        <v>0</v>
      </c>
      <c r="BT33" s="226">
        <f xml:space="preserve"> Time!BT$101</f>
        <v>0</v>
      </c>
      <c r="BU33" s="226">
        <f xml:space="preserve"> Time!BU$101</f>
        <v>0</v>
      </c>
      <c r="BV33" s="226">
        <f xml:space="preserve"> Time!BV$101</f>
        <v>0</v>
      </c>
      <c r="BW33" s="226">
        <f xml:space="preserve"> Time!BW$101</f>
        <v>0</v>
      </c>
      <c r="BX33" s="226">
        <f xml:space="preserve"> Time!BX$101</f>
        <v>0</v>
      </c>
      <c r="BY33" s="226">
        <f xml:space="preserve"> Time!BY$101</f>
        <v>0</v>
      </c>
      <c r="BZ33" s="226">
        <f xml:space="preserve"> Time!BZ$101</f>
        <v>0</v>
      </c>
      <c r="CA33" s="226">
        <f xml:space="preserve"> Time!CA$101</f>
        <v>0</v>
      </c>
      <c r="CB33" s="226">
        <f xml:space="preserve"> Time!CB$101</f>
        <v>0</v>
      </c>
      <c r="CC33" s="226">
        <f xml:space="preserve"> Time!CC$101</f>
        <v>0</v>
      </c>
      <c r="CD33" s="226">
        <f xml:space="preserve"> Time!CD$101</f>
        <v>0</v>
      </c>
      <c r="CE33" s="226">
        <f xml:space="preserve"> Time!CE$101</f>
        <v>0</v>
      </c>
      <c r="CF33" s="226">
        <f xml:space="preserve"> Time!CF$101</f>
        <v>0</v>
      </c>
      <c r="CG33" s="226">
        <f xml:space="preserve"> Time!CG$101</f>
        <v>0</v>
      </c>
      <c r="CH33" s="226">
        <f xml:space="preserve"> Time!CH$101</f>
        <v>0</v>
      </c>
      <c r="CI33" s="226">
        <f xml:space="preserve"> Time!CI$101</f>
        <v>0</v>
      </c>
      <c r="CJ33" s="226">
        <f xml:space="preserve"> Time!CJ$101</f>
        <v>0</v>
      </c>
      <c r="CK33" s="226">
        <f xml:space="preserve"> Time!CK$101</f>
        <v>0</v>
      </c>
      <c r="CL33" s="226">
        <f xml:space="preserve"> Time!CL$101</f>
        <v>0</v>
      </c>
      <c r="CM33" s="226">
        <f xml:space="preserve"> Time!CM$101</f>
        <v>0</v>
      </c>
      <c r="CN33" s="226">
        <f xml:space="preserve"> Time!CN$101</f>
        <v>0</v>
      </c>
      <c r="CO33" s="226">
        <f xml:space="preserve"> Time!CO$101</f>
        <v>0</v>
      </c>
      <c r="CP33" s="226">
        <f xml:space="preserve"> Time!CP$101</f>
        <v>0</v>
      </c>
      <c r="CQ33" s="226">
        <f xml:space="preserve"> Time!CQ$101</f>
        <v>0</v>
      </c>
      <c r="CR33" s="226">
        <f xml:space="preserve"> Time!CR$101</f>
        <v>0</v>
      </c>
      <c r="CS33" s="226">
        <f xml:space="preserve"> Time!CS$101</f>
        <v>0</v>
      </c>
      <c r="CT33" s="226">
        <f xml:space="preserve"> Time!CT$101</f>
        <v>0</v>
      </c>
      <c r="CU33" s="226">
        <f xml:space="preserve"> Time!CU$101</f>
        <v>0</v>
      </c>
      <c r="CV33" s="226">
        <f xml:space="preserve"> Time!CV$101</f>
        <v>0</v>
      </c>
    </row>
    <row r="34" spans="1:100" s="188" customFormat="1" outlineLevel="1" x14ac:dyDescent="0.2">
      <c r="A34" s="141"/>
      <c r="B34" s="141"/>
      <c r="C34" s="142"/>
      <c r="D34" s="143"/>
      <c r="E34" s="402" t="s">
        <v>464</v>
      </c>
      <c r="F34" s="402"/>
      <c r="G34" s="402" t="str">
        <f xml:space="preserve"> SMU</f>
        <v>$ 000s</v>
      </c>
      <c r="H34" s="402">
        <f xml:space="preserve"> SUM(J34:CV34)</f>
        <v>0</v>
      </c>
      <c r="I34" s="402"/>
      <c r="J34" s="402">
        <f t="shared" ref="J34:AO34" si="40" xml:space="preserve"> MIN(J31, J32) * J33</f>
        <v>0</v>
      </c>
      <c r="K34" s="402">
        <f t="shared" si="40"/>
        <v>0</v>
      </c>
      <c r="L34" s="402">
        <f t="shared" si="40"/>
        <v>0</v>
      </c>
      <c r="M34" s="402">
        <f t="shared" si="40"/>
        <v>0</v>
      </c>
      <c r="N34" s="402">
        <f t="shared" si="40"/>
        <v>0</v>
      </c>
      <c r="O34" s="402">
        <f t="shared" si="40"/>
        <v>0</v>
      </c>
      <c r="P34" s="402">
        <f t="shared" si="40"/>
        <v>0</v>
      </c>
      <c r="Q34" s="402">
        <f t="shared" si="40"/>
        <v>0</v>
      </c>
      <c r="R34" s="402">
        <f t="shared" si="40"/>
        <v>0</v>
      </c>
      <c r="S34" s="402">
        <f t="shared" si="40"/>
        <v>0</v>
      </c>
      <c r="T34" s="402">
        <f t="shared" si="40"/>
        <v>0</v>
      </c>
      <c r="U34" s="402">
        <f t="shared" si="40"/>
        <v>0</v>
      </c>
      <c r="V34" s="402">
        <f t="shared" si="40"/>
        <v>0</v>
      </c>
      <c r="W34" s="402">
        <f t="shared" si="40"/>
        <v>0</v>
      </c>
      <c r="X34" s="402">
        <f t="shared" si="40"/>
        <v>0</v>
      </c>
      <c r="Y34" s="402">
        <f t="shared" si="40"/>
        <v>0</v>
      </c>
      <c r="Z34" s="402">
        <f t="shared" si="40"/>
        <v>0</v>
      </c>
      <c r="AA34" s="402">
        <f t="shared" si="40"/>
        <v>0</v>
      </c>
      <c r="AB34" s="402">
        <f t="shared" si="40"/>
        <v>0</v>
      </c>
      <c r="AC34" s="402">
        <f t="shared" si="40"/>
        <v>0</v>
      </c>
      <c r="AD34" s="402">
        <f t="shared" si="40"/>
        <v>0</v>
      </c>
      <c r="AE34" s="402">
        <f t="shared" si="40"/>
        <v>0</v>
      </c>
      <c r="AF34" s="402">
        <f t="shared" si="40"/>
        <v>0</v>
      </c>
      <c r="AG34" s="402">
        <f t="shared" si="40"/>
        <v>0</v>
      </c>
      <c r="AH34" s="402">
        <f t="shared" si="40"/>
        <v>0</v>
      </c>
      <c r="AI34" s="402">
        <f t="shared" si="40"/>
        <v>0</v>
      </c>
      <c r="AJ34" s="402">
        <f t="shared" si="40"/>
        <v>0</v>
      </c>
      <c r="AK34" s="402">
        <f t="shared" si="40"/>
        <v>0</v>
      </c>
      <c r="AL34" s="402">
        <f t="shared" si="40"/>
        <v>0</v>
      </c>
      <c r="AM34" s="402">
        <f t="shared" si="40"/>
        <v>0</v>
      </c>
      <c r="AN34" s="402">
        <f t="shared" si="40"/>
        <v>0</v>
      </c>
      <c r="AO34" s="402">
        <f t="shared" si="40"/>
        <v>0</v>
      </c>
      <c r="AP34" s="402">
        <f t="shared" ref="AP34:BU34" si="41" xml:space="preserve"> MIN(AP31, AP32) * AP33</f>
        <v>0</v>
      </c>
      <c r="AQ34" s="402">
        <f t="shared" si="41"/>
        <v>0</v>
      </c>
      <c r="AR34" s="402">
        <f t="shared" si="41"/>
        <v>0</v>
      </c>
      <c r="AS34" s="402">
        <f t="shared" si="41"/>
        <v>0</v>
      </c>
      <c r="AT34" s="402">
        <f t="shared" si="41"/>
        <v>0</v>
      </c>
      <c r="AU34" s="402">
        <f t="shared" si="41"/>
        <v>0</v>
      </c>
      <c r="AV34" s="402">
        <f t="shared" si="41"/>
        <v>0</v>
      </c>
      <c r="AW34" s="402">
        <f t="shared" si="41"/>
        <v>0</v>
      </c>
      <c r="AX34" s="402">
        <f t="shared" si="41"/>
        <v>0</v>
      </c>
      <c r="AY34" s="402">
        <f t="shared" si="41"/>
        <v>0</v>
      </c>
      <c r="AZ34" s="402">
        <f t="shared" si="41"/>
        <v>0</v>
      </c>
      <c r="BA34" s="402">
        <f t="shared" si="41"/>
        <v>0</v>
      </c>
      <c r="BB34" s="402">
        <f t="shared" si="41"/>
        <v>0</v>
      </c>
      <c r="BC34" s="402">
        <f t="shared" si="41"/>
        <v>0</v>
      </c>
      <c r="BD34" s="402">
        <f t="shared" si="41"/>
        <v>0</v>
      </c>
      <c r="BE34" s="402">
        <f t="shared" si="41"/>
        <v>0</v>
      </c>
      <c r="BF34" s="402">
        <f t="shared" si="41"/>
        <v>0</v>
      </c>
      <c r="BG34" s="402">
        <f t="shared" si="41"/>
        <v>0</v>
      </c>
      <c r="BH34" s="402">
        <f t="shared" si="41"/>
        <v>0</v>
      </c>
      <c r="BI34" s="402">
        <f t="shared" si="41"/>
        <v>0</v>
      </c>
      <c r="BJ34" s="402">
        <f t="shared" si="41"/>
        <v>0</v>
      </c>
      <c r="BK34" s="402">
        <f t="shared" si="41"/>
        <v>0</v>
      </c>
      <c r="BL34" s="402">
        <f t="shared" si="41"/>
        <v>0</v>
      </c>
      <c r="BM34" s="402">
        <f t="shared" si="41"/>
        <v>0</v>
      </c>
      <c r="BN34" s="402">
        <f t="shared" si="41"/>
        <v>0</v>
      </c>
      <c r="BO34" s="402">
        <f t="shared" si="41"/>
        <v>0</v>
      </c>
      <c r="BP34" s="402">
        <f t="shared" si="41"/>
        <v>0</v>
      </c>
      <c r="BQ34" s="402">
        <f t="shared" si="41"/>
        <v>0</v>
      </c>
      <c r="BR34" s="402">
        <f t="shared" si="41"/>
        <v>0</v>
      </c>
      <c r="BS34" s="402">
        <f t="shared" si="41"/>
        <v>0</v>
      </c>
      <c r="BT34" s="402">
        <f t="shared" si="41"/>
        <v>0</v>
      </c>
      <c r="BU34" s="402">
        <f t="shared" si="41"/>
        <v>0</v>
      </c>
      <c r="BV34" s="402">
        <f t="shared" ref="BV34:CV34" si="42" xml:space="preserve"> MIN(BV31, BV32) * BV33</f>
        <v>0</v>
      </c>
      <c r="BW34" s="402">
        <f t="shared" si="42"/>
        <v>0</v>
      </c>
      <c r="BX34" s="402">
        <f t="shared" si="42"/>
        <v>0</v>
      </c>
      <c r="BY34" s="402">
        <f t="shared" si="42"/>
        <v>0</v>
      </c>
      <c r="BZ34" s="402">
        <f t="shared" si="42"/>
        <v>0</v>
      </c>
      <c r="CA34" s="402">
        <f t="shared" si="42"/>
        <v>0</v>
      </c>
      <c r="CB34" s="402">
        <f t="shared" si="42"/>
        <v>0</v>
      </c>
      <c r="CC34" s="402">
        <f t="shared" si="42"/>
        <v>0</v>
      </c>
      <c r="CD34" s="402">
        <f t="shared" si="42"/>
        <v>0</v>
      </c>
      <c r="CE34" s="402">
        <f t="shared" si="42"/>
        <v>0</v>
      </c>
      <c r="CF34" s="402">
        <f t="shared" si="42"/>
        <v>0</v>
      </c>
      <c r="CG34" s="402">
        <f t="shared" si="42"/>
        <v>0</v>
      </c>
      <c r="CH34" s="402">
        <f t="shared" si="42"/>
        <v>0</v>
      </c>
      <c r="CI34" s="402">
        <f t="shared" si="42"/>
        <v>0</v>
      </c>
      <c r="CJ34" s="402">
        <f t="shared" si="42"/>
        <v>0</v>
      </c>
      <c r="CK34" s="402">
        <f t="shared" si="42"/>
        <v>0</v>
      </c>
      <c r="CL34" s="402">
        <f t="shared" si="42"/>
        <v>0</v>
      </c>
      <c r="CM34" s="402">
        <f t="shared" si="42"/>
        <v>0</v>
      </c>
      <c r="CN34" s="402">
        <f t="shared" si="42"/>
        <v>0</v>
      </c>
      <c r="CO34" s="402">
        <f t="shared" si="42"/>
        <v>0</v>
      </c>
      <c r="CP34" s="402">
        <f t="shared" si="42"/>
        <v>0</v>
      </c>
      <c r="CQ34" s="402">
        <f t="shared" si="42"/>
        <v>0</v>
      </c>
      <c r="CR34" s="402">
        <f t="shared" si="42"/>
        <v>0</v>
      </c>
      <c r="CS34" s="402">
        <f t="shared" si="42"/>
        <v>0</v>
      </c>
      <c r="CT34" s="402">
        <f t="shared" si="42"/>
        <v>0</v>
      </c>
      <c r="CU34" s="402">
        <f t="shared" si="42"/>
        <v>0</v>
      </c>
      <c r="CV34" s="402">
        <f t="shared" si="42"/>
        <v>0</v>
      </c>
    </row>
    <row r="35" spans="1:100" outlineLevel="1" x14ac:dyDescent="0.2">
      <c r="A35" s="141"/>
      <c r="B35" s="141"/>
      <c r="C35" s="142"/>
      <c r="D35" s="143"/>
      <c r="E35" s="402" t="str">
        <f xml:space="preserve"> LEFT(E34, LEN(E34) - 4)</f>
        <v>Standby equity redemption</v>
      </c>
      <c r="F35" s="187"/>
      <c r="G35" s="187" t="str">
        <f xml:space="preserve"> SMU</f>
        <v>$ 000s</v>
      </c>
      <c r="H35" s="187">
        <f xml:space="preserve"> SUM(J35:CV35)</f>
        <v>0</v>
      </c>
      <c r="I35" s="144"/>
      <c r="J35" s="187">
        <f t="shared" ref="J35:BU35" si="43" xml:space="preserve"> -1 * J34</f>
        <v>0</v>
      </c>
      <c r="K35" s="187">
        <f t="shared" si="43"/>
        <v>0</v>
      </c>
      <c r="L35" s="187">
        <f t="shared" si="43"/>
        <v>0</v>
      </c>
      <c r="M35" s="187">
        <f t="shared" si="43"/>
        <v>0</v>
      </c>
      <c r="N35" s="187">
        <f t="shared" si="43"/>
        <v>0</v>
      </c>
      <c r="O35" s="187">
        <f t="shared" si="43"/>
        <v>0</v>
      </c>
      <c r="P35" s="187">
        <f t="shared" si="43"/>
        <v>0</v>
      </c>
      <c r="Q35" s="187">
        <f t="shared" si="43"/>
        <v>0</v>
      </c>
      <c r="R35" s="187">
        <f t="shared" si="43"/>
        <v>0</v>
      </c>
      <c r="S35" s="187">
        <f t="shared" si="43"/>
        <v>0</v>
      </c>
      <c r="T35" s="187">
        <f t="shared" si="43"/>
        <v>0</v>
      </c>
      <c r="U35" s="187">
        <f t="shared" si="43"/>
        <v>0</v>
      </c>
      <c r="V35" s="187">
        <f t="shared" si="43"/>
        <v>0</v>
      </c>
      <c r="W35" s="187">
        <f t="shared" si="43"/>
        <v>0</v>
      </c>
      <c r="X35" s="187">
        <f t="shared" si="43"/>
        <v>0</v>
      </c>
      <c r="Y35" s="187">
        <f t="shared" si="43"/>
        <v>0</v>
      </c>
      <c r="Z35" s="187">
        <f t="shared" si="43"/>
        <v>0</v>
      </c>
      <c r="AA35" s="187">
        <f t="shared" si="43"/>
        <v>0</v>
      </c>
      <c r="AB35" s="187">
        <f t="shared" si="43"/>
        <v>0</v>
      </c>
      <c r="AC35" s="187">
        <f t="shared" si="43"/>
        <v>0</v>
      </c>
      <c r="AD35" s="187">
        <f t="shared" si="43"/>
        <v>0</v>
      </c>
      <c r="AE35" s="187">
        <f t="shared" si="43"/>
        <v>0</v>
      </c>
      <c r="AF35" s="187">
        <f t="shared" si="43"/>
        <v>0</v>
      </c>
      <c r="AG35" s="187">
        <f t="shared" si="43"/>
        <v>0</v>
      </c>
      <c r="AH35" s="187">
        <f t="shared" si="43"/>
        <v>0</v>
      </c>
      <c r="AI35" s="187">
        <f t="shared" si="43"/>
        <v>0</v>
      </c>
      <c r="AJ35" s="187">
        <f t="shared" si="43"/>
        <v>0</v>
      </c>
      <c r="AK35" s="187">
        <f t="shared" si="43"/>
        <v>0</v>
      </c>
      <c r="AL35" s="187">
        <f t="shared" si="43"/>
        <v>0</v>
      </c>
      <c r="AM35" s="187">
        <f t="shared" si="43"/>
        <v>0</v>
      </c>
      <c r="AN35" s="187">
        <f t="shared" si="43"/>
        <v>0</v>
      </c>
      <c r="AO35" s="187">
        <f t="shared" si="43"/>
        <v>0</v>
      </c>
      <c r="AP35" s="187">
        <f t="shared" si="43"/>
        <v>0</v>
      </c>
      <c r="AQ35" s="187">
        <f t="shared" si="43"/>
        <v>0</v>
      </c>
      <c r="AR35" s="187">
        <f t="shared" si="43"/>
        <v>0</v>
      </c>
      <c r="AS35" s="187">
        <f t="shared" si="43"/>
        <v>0</v>
      </c>
      <c r="AT35" s="187">
        <f t="shared" si="43"/>
        <v>0</v>
      </c>
      <c r="AU35" s="187">
        <f t="shared" si="43"/>
        <v>0</v>
      </c>
      <c r="AV35" s="187">
        <f t="shared" si="43"/>
        <v>0</v>
      </c>
      <c r="AW35" s="187">
        <f t="shared" si="43"/>
        <v>0</v>
      </c>
      <c r="AX35" s="187">
        <f t="shared" si="43"/>
        <v>0</v>
      </c>
      <c r="AY35" s="187">
        <f t="shared" si="43"/>
        <v>0</v>
      </c>
      <c r="AZ35" s="187">
        <f t="shared" si="43"/>
        <v>0</v>
      </c>
      <c r="BA35" s="187">
        <f t="shared" si="43"/>
        <v>0</v>
      </c>
      <c r="BB35" s="187">
        <f t="shared" si="43"/>
        <v>0</v>
      </c>
      <c r="BC35" s="187">
        <f t="shared" si="43"/>
        <v>0</v>
      </c>
      <c r="BD35" s="187">
        <f t="shared" si="43"/>
        <v>0</v>
      </c>
      <c r="BE35" s="187">
        <f t="shared" si="43"/>
        <v>0</v>
      </c>
      <c r="BF35" s="187">
        <f t="shared" si="43"/>
        <v>0</v>
      </c>
      <c r="BG35" s="187">
        <f t="shared" si="43"/>
        <v>0</v>
      </c>
      <c r="BH35" s="187">
        <f t="shared" si="43"/>
        <v>0</v>
      </c>
      <c r="BI35" s="187">
        <f t="shared" si="43"/>
        <v>0</v>
      </c>
      <c r="BJ35" s="187">
        <f t="shared" si="43"/>
        <v>0</v>
      </c>
      <c r="BK35" s="187">
        <f t="shared" si="43"/>
        <v>0</v>
      </c>
      <c r="BL35" s="187">
        <f t="shared" si="43"/>
        <v>0</v>
      </c>
      <c r="BM35" s="187">
        <f t="shared" si="43"/>
        <v>0</v>
      </c>
      <c r="BN35" s="187">
        <f t="shared" si="43"/>
        <v>0</v>
      </c>
      <c r="BO35" s="187">
        <f t="shared" si="43"/>
        <v>0</v>
      </c>
      <c r="BP35" s="187">
        <f t="shared" si="43"/>
        <v>0</v>
      </c>
      <c r="BQ35" s="187">
        <f t="shared" si="43"/>
        <v>0</v>
      </c>
      <c r="BR35" s="187">
        <f t="shared" si="43"/>
        <v>0</v>
      </c>
      <c r="BS35" s="187">
        <f t="shared" si="43"/>
        <v>0</v>
      </c>
      <c r="BT35" s="187">
        <f t="shared" si="43"/>
        <v>0</v>
      </c>
      <c r="BU35" s="187">
        <f t="shared" si="43"/>
        <v>0</v>
      </c>
      <c r="BV35" s="187">
        <f t="shared" ref="BV35:CV35" si="44" xml:space="preserve"> -1 * BV34</f>
        <v>0</v>
      </c>
      <c r="BW35" s="187">
        <f t="shared" si="44"/>
        <v>0</v>
      </c>
      <c r="BX35" s="187">
        <f t="shared" si="44"/>
        <v>0</v>
      </c>
      <c r="BY35" s="187">
        <f t="shared" si="44"/>
        <v>0</v>
      </c>
      <c r="BZ35" s="187">
        <f t="shared" si="44"/>
        <v>0</v>
      </c>
      <c r="CA35" s="187">
        <f t="shared" si="44"/>
        <v>0</v>
      </c>
      <c r="CB35" s="187">
        <f t="shared" si="44"/>
        <v>0</v>
      </c>
      <c r="CC35" s="187">
        <f t="shared" si="44"/>
        <v>0</v>
      </c>
      <c r="CD35" s="187">
        <f t="shared" si="44"/>
        <v>0</v>
      </c>
      <c r="CE35" s="187">
        <f t="shared" si="44"/>
        <v>0</v>
      </c>
      <c r="CF35" s="187">
        <f t="shared" si="44"/>
        <v>0</v>
      </c>
      <c r="CG35" s="187">
        <f t="shared" si="44"/>
        <v>0</v>
      </c>
      <c r="CH35" s="187">
        <f t="shared" si="44"/>
        <v>0</v>
      </c>
      <c r="CI35" s="187">
        <f t="shared" si="44"/>
        <v>0</v>
      </c>
      <c r="CJ35" s="187">
        <f t="shared" si="44"/>
        <v>0</v>
      </c>
      <c r="CK35" s="187">
        <f t="shared" si="44"/>
        <v>0</v>
      </c>
      <c r="CL35" s="187">
        <f t="shared" si="44"/>
        <v>0</v>
      </c>
      <c r="CM35" s="187">
        <f t="shared" si="44"/>
        <v>0</v>
      </c>
      <c r="CN35" s="187">
        <f t="shared" si="44"/>
        <v>0</v>
      </c>
      <c r="CO35" s="187">
        <f t="shared" si="44"/>
        <v>0</v>
      </c>
      <c r="CP35" s="187">
        <f t="shared" si="44"/>
        <v>0</v>
      </c>
      <c r="CQ35" s="187">
        <f t="shared" si="44"/>
        <v>0</v>
      </c>
      <c r="CR35" s="187">
        <f t="shared" si="44"/>
        <v>0</v>
      </c>
      <c r="CS35" s="187">
        <f t="shared" si="44"/>
        <v>0</v>
      </c>
      <c r="CT35" s="187">
        <f t="shared" si="44"/>
        <v>0</v>
      </c>
      <c r="CU35" s="187">
        <f t="shared" si="44"/>
        <v>0</v>
      </c>
      <c r="CV35" s="187">
        <f t="shared" si="44"/>
        <v>0</v>
      </c>
    </row>
    <row r="36" spans="1:100" outlineLevel="1" x14ac:dyDescent="0.2"/>
    <row r="37" spans="1:100" s="502" customFormat="1" outlineLevel="1" x14ac:dyDescent="0.2">
      <c r="A37" s="216"/>
      <c r="B37" s="216"/>
      <c r="C37" s="217"/>
      <c r="D37" s="218"/>
      <c r="E37" s="219" t="s">
        <v>460</v>
      </c>
      <c r="F37" s="219"/>
      <c r="G37" s="219" t="str">
        <f xml:space="preserve"> SMU</f>
        <v>$ 000s</v>
      </c>
      <c r="H37" s="219"/>
      <c r="I37" s="220"/>
      <c r="J37" s="219">
        <f t="shared" ref="J37" si="45">I40</f>
        <v>0</v>
      </c>
      <c r="K37" s="219">
        <f t="shared" ref="K37" si="46">J40</f>
        <v>0</v>
      </c>
      <c r="L37" s="219">
        <f t="shared" ref="L37" si="47">K40</f>
        <v>0</v>
      </c>
      <c r="M37" s="219">
        <f t="shared" ref="M37" si="48">L40</f>
        <v>0</v>
      </c>
      <c r="N37" s="219">
        <f t="shared" ref="N37" si="49">M40</f>
        <v>0</v>
      </c>
      <c r="O37" s="219">
        <f t="shared" ref="O37" si="50">N40</f>
        <v>0</v>
      </c>
      <c r="P37" s="219">
        <f t="shared" ref="P37" si="51">O40</f>
        <v>0</v>
      </c>
      <c r="Q37" s="219">
        <f t="shared" ref="Q37" si="52">P40</f>
        <v>0</v>
      </c>
      <c r="R37" s="219">
        <f t="shared" ref="R37" si="53">Q40</f>
        <v>0</v>
      </c>
      <c r="S37" s="219">
        <f t="shared" ref="S37" si="54">R40</f>
        <v>0</v>
      </c>
      <c r="T37" s="219">
        <f t="shared" ref="T37" si="55">S40</f>
        <v>0</v>
      </c>
      <c r="U37" s="219">
        <f t="shared" ref="U37" si="56">T40</f>
        <v>0</v>
      </c>
      <c r="V37" s="219">
        <f t="shared" ref="V37" si="57">U40</f>
        <v>0</v>
      </c>
      <c r="W37" s="219">
        <f t="shared" ref="W37" si="58">V40</f>
        <v>0</v>
      </c>
      <c r="X37" s="219">
        <f t="shared" ref="X37" si="59">W40</f>
        <v>0</v>
      </c>
      <c r="Y37" s="219">
        <f t="shared" ref="Y37" si="60">X40</f>
        <v>0</v>
      </c>
      <c r="Z37" s="219">
        <f t="shared" ref="Z37" si="61">Y40</f>
        <v>0</v>
      </c>
      <c r="AA37" s="219">
        <f t="shared" ref="AA37" si="62">Z40</f>
        <v>0</v>
      </c>
      <c r="AB37" s="219">
        <f t="shared" ref="AB37" si="63">AA40</f>
        <v>0</v>
      </c>
      <c r="AC37" s="219">
        <f t="shared" ref="AC37" si="64">AB40</f>
        <v>0</v>
      </c>
      <c r="AD37" s="219">
        <f t="shared" ref="AD37" si="65">AC40</f>
        <v>0</v>
      </c>
      <c r="AE37" s="219">
        <f t="shared" ref="AE37" si="66">AD40</f>
        <v>0</v>
      </c>
      <c r="AF37" s="219">
        <f t="shared" ref="AF37" si="67">AE40</f>
        <v>0</v>
      </c>
      <c r="AG37" s="219">
        <f t="shared" ref="AG37" si="68">AF40</f>
        <v>0</v>
      </c>
      <c r="AH37" s="219">
        <f t="shared" ref="AH37" si="69">AG40</f>
        <v>0</v>
      </c>
      <c r="AI37" s="219">
        <f t="shared" ref="AI37" si="70">AH40</f>
        <v>0</v>
      </c>
      <c r="AJ37" s="219">
        <f t="shared" ref="AJ37" si="71">AI40</f>
        <v>0</v>
      </c>
      <c r="AK37" s="219">
        <f t="shared" ref="AK37" si="72">AJ40</f>
        <v>0</v>
      </c>
      <c r="AL37" s="219">
        <f t="shared" ref="AL37" si="73">AK40</f>
        <v>0</v>
      </c>
      <c r="AM37" s="219">
        <f t="shared" ref="AM37" si="74">AL40</f>
        <v>0</v>
      </c>
      <c r="AN37" s="219">
        <f t="shared" ref="AN37" si="75">AM40</f>
        <v>0</v>
      </c>
      <c r="AO37" s="219">
        <f t="shared" ref="AO37" si="76">AN40</f>
        <v>0</v>
      </c>
      <c r="AP37" s="219">
        <f t="shared" ref="AP37" si="77">AO40</f>
        <v>0</v>
      </c>
      <c r="AQ37" s="219">
        <f t="shared" ref="AQ37" si="78">AP40</f>
        <v>0</v>
      </c>
      <c r="AR37" s="219">
        <f t="shared" ref="AR37" si="79">AQ40</f>
        <v>0</v>
      </c>
      <c r="AS37" s="219">
        <f t="shared" ref="AS37" si="80">AR40</f>
        <v>0</v>
      </c>
      <c r="AT37" s="219">
        <f t="shared" ref="AT37" si="81">AS40</f>
        <v>0</v>
      </c>
      <c r="AU37" s="219">
        <f t="shared" ref="AU37" si="82">AT40</f>
        <v>0</v>
      </c>
      <c r="AV37" s="219">
        <f t="shared" ref="AV37" si="83">AU40</f>
        <v>0</v>
      </c>
      <c r="AW37" s="219">
        <f t="shared" ref="AW37" si="84">AV40</f>
        <v>0</v>
      </c>
      <c r="AX37" s="219">
        <f t="shared" ref="AX37" si="85">AW40</f>
        <v>0</v>
      </c>
      <c r="AY37" s="219">
        <f t="shared" ref="AY37" si="86">AX40</f>
        <v>0</v>
      </c>
      <c r="AZ37" s="219">
        <f t="shared" ref="AZ37" si="87">AY40</f>
        <v>0</v>
      </c>
      <c r="BA37" s="219">
        <f t="shared" ref="BA37" si="88">AZ40</f>
        <v>0</v>
      </c>
      <c r="BB37" s="219">
        <f t="shared" ref="BB37" si="89">BA40</f>
        <v>0</v>
      </c>
      <c r="BC37" s="219">
        <f t="shared" ref="BC37" si="90">BB40</f>
        <v>0</v>
      </c>
      <c r="BD37" s="219">
        <f t="shared" ref="BD37" si="91">BC40</f>
        <v>0</v>
      </c>
      <c r="BE37" s="219">
        <f t="shared" ref="BE37" si="92">BD40</f>
        <v>0</v>
      </c>
      <c r="BF37" s="219">
        <f t="shared" ref="BF37" si="93">BE40</f>
        <v>0</v>
      </c>
      <c r="BG37" s="219">
        <f t="shared" ref="BG37" si="94">BF40</f>
        <v>0</v>
      </c>
      <c r="BH37" s="219">
        <f t="shared" ref="BH37" si="95">BG40</f>
        <v>0</v>
      </c>
      <c r="BI37" s="219">
        <f t="shared" ref="BI37" si="96">BH40</f>
        <v>0</v>
      </c>
      <c r="BJ37" s="219">
        <f t="shared" ref="BJ37" si="97">BI40</f>
        <v>0</v>
      </c>
      <c r="BK37" s="219">
        <f t="shared" ref="BK37" si="98">BJ40</f>
        <v>0</v>
      </c>
      <c r="BL37" s="219">
        <f t="shared" ref="BL37" si="99">BK40</f>
        <v>0</v>
      </c>
      <c r="BM37" s="219">
        <f t="shared" ref="BM37" si="100">BL40</f>
        <v>0</v>
      </c>
      <c r="BN37" s="219">
        <f t="shared" ref="BN37" si="101">BM40</f>
        <v>0</v>
      </c>
      <c r="BO37" s="219">
        <f t="shared" ref="BO37" si="102">BN40</f>
        <v>0</v>
      </c>
      <c r="BP37" s="219">
        <f t="shared" ref="BP37" si="103">BO40</f>
        <v>0</v>
      </c>
      <c r="BQ37" s="219">
        <f t="shared" ref="BQ37" si="104">BP40</f>
        <v>0</v>
      </c>
      <c r="BR37" s="219">
        <f t="shared" ref="BR37" si="105">BQ40</f>
        <v>0</v>
      </c>
      <c r="BS37" s="219">
        <f t="shared" ref="BS37" si="106">BR40</f>
        <v>0</v>
      </c>
      <c r="BT37" s="219">
        <f t="shared" ref="BT37" si="107">BS40</f>
        <v>0</v>
      </c>
      <c r="BU37" s="219">
        <f t="shared" ref="BU37" si="108">BT40</f>
        <v>0</v>
      </c>
      <c r="BV37" s="219">
        <f t="shared" ref="BV37" si="109">BU40</f>
        <v>0</v>
      </c>
      <c r="BW37" s="219">
        <f t="shared" ref="BW37" si="110">BV40</f>
        <v>0</v>
      </c>
      <c r="BX37" s="219">
        <f t="shared" ref="BX37" si="111">BW40</f>
        <v>0</v>
      </c>
      <c r="BY37" s="219">
        <f t="shared" ref="BY37" si="112">BX40</f>
        <v>0</v>
      </c>
      <c r="BZ37" s="219">
        <f t="shared" ref="BZ37" si="113">BY40</f>
        <v>0</v>
      </c>
      <c r="CA37" s="219">
        <f t="shared" ref="CA37" si="114">BZ40</f>
        <v>0</v>
      </c>
      <c r="CB37" s="219">
        <f t="shared" ref="CB37" si="115">CA40</f>
        <v>0</v>
      </c>
      <c r="CC37" s="219">
        <f t="shared" ref="CC37" si="116">CB40</f>
        <v>0</v>
      </c>
      <c r="CD37" s="219">
        <f t="shared" ref="CD37" si="117">CC40</f>
        <v>0</v>
      </c>
      <c r="CE37" s="219">
        <f t="shared" ref="CE37" si="118">CD40</f>
        <v>0</v>
      </c>
      <c r="CF37" s="219">
        <f t="shared" ref="CF37" si="119">CE40</f>
        <v>0</v>
      </c>
      <c r="CG37" s="219">
        <f t="shared" ref="CG37" si="120">CF40</f>
        <v>0</v>
      </c>
      <c r="CH37" s="219">
        <f t="shared" ref="CH37" si="121">CG40</f>
        <v>0</v>
      </c>
      <c r="CI37" s="219">
        <f t="shared" ref="CI37" si="122">CH40</f>
        <v>0</v>
      </c>
      <c r="CJ37" s="219">
        <f t="shared" ref="CJ37" si="123">CI40</f>
        <v>0</v>
      </c>
      <c r="CK37" s="219">
        <f t="shared" ref="CK37" si="124">CJ40</f>
        <v>0</v>
      </c>
      <c r="CL37" s="219">
        <f t="shared" ref="CL37" si="125">CK40</f>
        <v>0</v>
      </c>
      <c r="CM37" s="219">
        <f t="shared" ref="CM37" si="126">CL40</f>
        <v>0</v>
      </c>
      <c r="CN37" s="219">
        <f t="shared" ref="CN37" si="127">CM40</f>
        <v>0</v>
      </c>
      <c r="CO37" s="219">
        <f t="shared" ref="CO37" si="128">CN40</f>
        <v>0</v>
      </c>
      <c r="CP37" s="219">
        <f t="shared" ref="CP37" si="129">CO40</f>
        <v>0</v>
      </c>
      <c r="CQ37" s="219">
        <f t="shared" ref="CQ37" si="130">CP40</f>
        <v>0</v>
      </c>
      <c r="CR37" s="219">
        <f t="shared" ref="CR37" si="131">CQ40</f>
        <v>0</v>
      </c>
      <c r="CS37" s="219">
        <f t="shared" ref="CS37" si="132">CR40</f>
        <v>0</v>
      </c>
      <c r="CT37" s="219">
        <f t="shared" ref="CT37" si="133">CS40</f>
        <v>0</v>
      </c>
      <c r="CU37" s="219">
        <f t="shared" ref="CU37" si="134">CT40</f>
        <v>0</v>
      </c>
      <c r="CV37" s="219">
        <f t="shared" ref="CV37" si="135">CU40</f>
        <v>0</v>
      </c>
    </row>
    <row r="38" spans="1:100" s="540" customFormat="1" outlineLevel="1" x14ac:dyDescent="0.2">
      <c r="A38" s="15"/>
      <c r="B38" s="15"/>
      <c r="C38" s="21"/>
      <c r="D38" s="48"/>
      <c r="E38" s="145" t="str">
        <f xml:space="preserve"> ConFin!E$646</f>
        <v>Standby equity drawdown</v>
      </c>
      <c r="F38" s="145">
        <f xml:space="preserve"> ConFin!F$646</f>
        <v>0</v>
      </c>
      <c r="G38" s="145" t="str">
        <f xml:space="preserve"> ConFin!G$646</f>
        <v>$ 000s</v>
      </c>
      <c r="H38" s="145">
        <f xml:space="preserve"> ConFin!H$646</f>
        <v>0</v>
      </c>
      <c r="I38" s="145">
        <f xml:space="preserve"> ConFin!I$646</f>
        <v>0</v>
      </c>
      <c r="J38" s="145">
        <f xml:space="preserve"> ConFin!J$646</f>
        <v>0</v>
      </c>
      <c r="K38" s="145">
        <f xml:space="preserve"> ConFin!K$646</f>
        <v>0</v>
      </c>
      <c r="L38" s="145">
        <f xml:space="preserve"> ConFin!L$646</f>
        <v>0</v>
      </c>
      <c r="M38" s="145">
        <f xml:space="preserve"> ConFin!M$646</f>
        <v>0</v>
      </c>
      <c r="N38" s="145">
        <f xml:space="preserve"> ConFin!N$646</f>
        <v>0</v>
      </c>
      <c r="O38" s="145">
        <f xml:space="preserve"> ConFin!O$646</f>
        <v>0</v>
      </c>
      <c r="P38" s="145">
        <f xml:space="preserve"> ConFin!P$646</f>
        <v>0</v>
      </c>
      <c r="Q38" s="145">
        <f xml:space="preserve"> ConFin!Q$646</f>
        <v>0</v>
      </c>
      <c r="R38" s="145">
        <f xml:space="preserve"> ConFin!R$646</f>
        <v>0</v>
      </c>
      <c r="S38" s="145">
        <f xml:space="preserve"> ConFin!S$646</f>
        <v>0</v>
      </c>
      <c r="T38" s="145">
        <f xml:space="preserve"> ConFin!T$646</f>
        <v>0</v>
      </c>
      <c r="U38" s="145">
        <f xml:space="preserve"> ConFin!U$646</f>
        <v>0</v>
      </c>
      <c r="V38" s="145">
        <f xml:space="preserve"> ConFin!V$646</f>
        <v>0</v>
      </c>
      <c r="W38" s="145">
        <f xml:space="preserve"> ConFin!W$646</f>
        <v>0</v>
      </c>
      <c r="X38" s="145">
        <f xml:space="preserve"> ConFin!X$646</f>
        <v>0</v>
      </c>
      <c r="Y38" s="145">
        <f xml:space="preserve"> ConFin!Y$646</f>
        <v>0</v>
      </c>
      <c r="Z38" s="145">
        <f xml:space="preserve"> ConFin!Z$646</f>
        <v>0</v>
      </c>
      <c r="AA38" s="145">
        <f xml:space="preserve"> ConFin!AA$646</f>
        <v>0</v>
      </c>
      <c r="AB38" s="145">
        <f xml:space="preserve"> ConFin!AB$646</f>
        <v>0</v>
      </c>
      <c r="AC38" s="145">
        <f xml:space="preserve"> ConFin!AC$646</f>
        <v>0</v>
      </c>
      <c r="AD38" s="145">
        <f xml:space="preserve"> ConFin!AD$646</f>
        <v>0</v>
      </c>
      <c r="AE38" s="145">
        <f xml:space="preserve"> ConFin!AE$646</f>
        <v>0</v>
      </c>
      <c r="AF38" s="145">
        <f xml:space="preserve"> ConFin!AF$646</f>
        <v>0</v>
      </c>
      <c r="AG38" s="145">
        <f xml:space="preserve"> ConFin!AG$646</f>
        <v>0</v>
      </c>
      <c r="AH38" s="145">
        <f xml:space="preserve"> ConFin!AH$646</f>
        <v>0</v>
      </c>
      <c r="AI38" s="145">
        <f xml:space="preserve"> ConFin!AI$646</f>
        <v>0</v>
      </c>
      <c r="AJ38" s="145">
        <f xml:space="preserve"> ConFin!AJ$646</f>
        <v>0</v>
      </c>
      <c r="AK38" s="145">
        <f xml:space="preserve"> ConFin!AK$646</f>
        <v>0</v>
      </c>
      <c r="AL38" s="145">
        <f xml:space="preserve"> ConFin!AL$646</f>
        <v>0</v>
      </c>
      <c r="AM38" s="145">
        <f xml:space="preserve"> ConFin!AM$646</f>
        <v>0</v>
      </c>
      <c r="AN38" s="145">
        <f xml:space="preserve"> ConFin!AN$646</f>
        <v>0</v>
      </c>
      <c r="AO38" s="145">
        <f xml:space="preserve"> ConFin!AO$646</f>
        <v>0</v>
      </c>
      <c r="AP38" s="145">
        <f xml:space="preserve"> ConFin!AP$646</f>
        <v>0</v>
      </c>
      <c r="AQ38" s="145">
        <f xml:space="preserve"> ConFin!AQ$646</f>
        <v>0</v>
      </c>
      <c r="AR38" s="145">
        <f xml:space="preserve"> ConFin!AR$646</f>
        <v>0</v>
      </c>
      <c r="AS38" s="145">
        <f xml:space="preserve"> ConFin!AS$646</f>
        <v>0</v>
      </c>
      <c r="AT38" s="145">
        <f xml:space="preserve"> ConFin!AT$646</f>
        <v>0</v>
      </c>
      <c r="AU38" s="145">
        <f xml:space="preserve"> ConFin!AU$646</f>
        <v>0</v>
      </c>
      <c r="AV38" s="145">
        <f xml:space="preserve"> ConFin!AV$646</f>
        <v>0</v>
      </c>
      <c r="AW38" s="145">
        <f xml:space="preserve"> ConFin!AW$646</f>
        <v>0</v>
      </c>
      <c r="AX38" s="145">
        <f xml:space="preserve"> ConFin!AX$646</f>
        <v>0</v>
      </c>
      <c r="AY38" s="145">
        <f xml:space="preserve"> ConFin!AY$646</f>
        <v>0</v>
      </c>
      <c r="AZ38" s="145">
        <f xml:space="preserve"> ConFin!AZ$646</f>
        <v>0</v>
      </c>
      <c r="BA38" s="145">
        <f xml:space="preserve"> ConFin!BA$646</f>
        <v>0</v>
      </c>
      <c r="BB38" s="145">
        <f xml:space="preserve"> ConFin!BB$646</f>
        <v>0</v>
      </c>
      <c r="BC38" s="145">
        <f xml:space="preserve"> ConFin!BC$646</f>
        <v>0</v>
      </c>
      <c r="BD38" s="145">
        <f xml:space="preserve"> ConFin!BD$646</f>
        <v>0</v>
      </c>
      <c r="BE38" s="145">
        <f xml:space="preserve"> ConFin!BE$646</f>
        <v>0</v>
      </c>
      <c r="BF38" s="145">
        <f xml:space="preserve"> ConFin!BF$646</f>
        <v>0</v>
      </c>
      <c r="BG38" s="145">
        <f xml:space="preserve"> ConFin!BG$646</f>
        <v>0</v>
      </c>
      <c r="BH38" s="145">
        <f xml:space="preserve"> ConFin!BH$646</f>
        <v>0</v>
      </c>
      <c r="BI38" s="145">
        <f xml:space="preserve"> ConFin!BI$646</f>
        <v>0</v>
      </c>
      <c r="BJ38" s="145">
        <f xml:space="preserve"> ConFin!BJ$646</f>
        <v>0</v>
      </c>
      <c r="BK38" s="145">
        <f xml:space="preserve"> ConFin!BK$646</f>
        <v>0</v>
      </c>
      <c r="BL38" s="145">
        <f xml:space="preserve"> ConFin!BL$646</f>
        <v>0</v>
      </c>
      <c r="BM38" s="145">
        <f xml:space="preserve"> ConFin!BM$646</f>
        <v>0</v>
      </c>
      <c r="BN38" s="145">
        <f xml:space="preserve"> ConFin!BN$646</f>
        <v>0</v>
      </c>
      <c r="BO38" s="145">
        <f xml:space="preserve"> ConFin!BO$646</f>
        <v>0</v>
      </c>
      <c r="BP38" s="145">
        <f xml:space="preserve"> ConFin!BP$646</f>
        <v>0</v>
      </c>
      <c r="BQ38" s="145">
        <f xml:space="preserve"> ConFin!BQ$646</f>
        <v>0</v>
      </c>
      <c r="BR38" s="145">
        <f xml:space="preserve"> ConFin!BR$646</f>
        <v>0</v>
      </c>
      <c r="BS38" s="145">
        <f xml:space="preserve"> ConFin!BS$646</f>
        <v>0</v>
      </c>
      <c r="BT38" s="145">
        <f xml:space="preserve"> ConFin!BT$646</f>
        <v>0</v>
      </c>
      <c r="BU38" s="145">
        <f xml:space="preserve"> ConFin!BU$646</f>
        <v>0</v>
      </c>
      <c r="BV38" s="145">
        <f xml:space="preserve"> ConFin!BV$646</f>
        <v>0</v>
      </c>
      <c r="BW38" s="145">
        <f xml:space="preserve"> ConFin!BW$646</f>
        <v>0</v>
      </c>
      <c r="BX38" s="145">
        <f xml:space="preserve"> ConFin!BX$646</f>
        <v>0</v>
      </c>
      <c r="BY38" s="145">
        <f xml:space="preserve"> ConFin!BY$646</f>
        <v>0</v>
      </c>
      <c r="BZ38" s="145">
        <f xml:space="preserve"> ConFin!BZ$646</f>
        <v>0</v>
      </c>
      <c r="CA38" s="145">
        <f xml:space="preserve"> ConFin!CA$646</f>
        <v>0</v>
      </c>
      <c r="CB38" s="145">
        <f xml:space="preserve"> ConFin!CB$646</f>
        <v>0</v>
      </c>
      <c r="CC38" s="145">
        <f xml:space="preserve"> ConFin!CC$646</f>
        <v>0</v>
      </c>
      <c r="CD38" s="145">
        <f xml:space="preserve"> ConFin!CD$646</f>
        <v>0</v>
      </c>
      <c r="CE38" s="145">
        <f xml:space="preserve"> ConFin!CE$646</f>
        <v>0</v>
      </c>
      <c r="CF38" s="145">
        <f xml:space="preserve"> ConFin!CF$646</f>
        <v>0</v>
      </c>
      <c r="CG38" s="145">
        <f xml:space="preserve"> ConFin!CG$646</f>
        <v>0</v>
      </c>
      <c r="CH38" s="145">
        <f xml:space="preserve"> ConFin!CH$646</f>
        <v>0</v>
      </c>
      <c r="CI38" s="145">
        <f xml:space="preserve"> ConFin!CI$646</f>
        <v>0</v>
      </c>
      <c r="CJ38" s="145">
        <f xml:space="preserve"> ConFin!CJ$646</f>
        <v>0</v>
      </c>
      <c r="CK38" s="145">
        <f xml:space="preserve"> ConFin!CK$646</f>
        <v>0</v>
      </c>
      <c r="CL38" s="145">
        <f xml:space="preserve"> ConFin!CL$646</f>
        <v>0</v>
      </c>
      <c r="CM38" s="145">
        <f xml:space="preserve"> ConFin!CM$646</f>
        <v>0</v>
      </c>
      <c r="CN38" s="145">
        <f xml:space="preserve"> ConFin!CN$646</f>
        <v>0</v>
      </c>
      <c r="CO38" s="145">
        <f xml:space="preserve"> ConFin!CO$646</f>
        <v>0</v>
      </c>
      <c r="CP38" s="145">
        <f xml:space="preserve"> ConFin!CP$646</f>
        <v>0</v>
      </c>
      <c r="CQ38" s="145">
        <f xml:space="preserve"> ConFin!CQ$646</f>
        <v>0</v>
      </c>
      <c r="CR38" s="145">
        <f xml:space="preserve"> ConFin!CR$646</f>
        <v>0</v>
      </c>
      <c r="CS38" s="145">
        <f xml:space="preserve"> ConFin!CS$646</f>
        <v>0</v>
      </c>
      <c r="CT38" s="145">
        <f xml:space="preserve"> ConFin!CT$646</f>
        <v>0</v>
      </c>
      <c r="CU38" s="145">
        <f xml:space="preserve"> ConFin!CU$646</f>
        <v>0</v>
      </c>
      <c r="CV38" s="145">
        <f xml:space="preserve"> ConFin!CV$646</f>
        <v>0</v>
      </c>
    </row>
    <row r="39" spans="1:100" s="498" customFormat="1" outlineLevel="1" x14ac:dyDescent="0.2">
      <c r="A39" s="15"/>
      <c r="B39" s="15"/>
      <c r="C39" s="21"/>
      <c r="D39" s="48"/>
      <c r="E39" s="126" t="str">
        <f t="shared" ref="E39:AJ39" si="136" xml:space="preserve"> E$34</f>
        <v>Standby equity redemption POS</v>
      </c>
      <c r="F39" s="126">
        <f t="shared" si="136"/>
        <v>0</v>
      </c>
      <c r="G39" s="126" t="str">
        <f t="shared" si="136"/>
        <v>$ 000s</v>
      </c>
      <c r="H39" s="126">
        <f t="shared" si="136"/>
        <v>0</v>
      </c>
      <c r="I39" s="126">
        <f t="shared" si="136"/>
        <v>0</v>
      </c>
      <c r="J39" s="126">
        <f t="shared" si="136"/>
        <v>0</v>
      </c>
      <c r="K39" s="126">
        <f t="shared" si="136"/>
        <v>0</v>
      </c>
      <c r="L39" s="126">
        <f t="shared" si="136"/>
        <v>0</v>
      </c>
      <c r="M39" s="126">
        <f t="shared" si="136"/>
        <v>0</v>
      </c>
      <c r="N39" s="126">
        <f t="shared" si="136"/>
        <v>0</v>
      </c>
      <c r="O39" s="126">
        <f t="shared" si="136"/>
        <v>0</v>
      </c>
      <c r="P39" s="126">
        <f t="shared" si="136"/>
        <v>0</v>
      </c>
      <c r="Q39" s="126">
        <f t="shared" si="136"/>
        <v>0</v>
      </c>
      <c r="R39" s="126">
        <f t="shared" si="136"/>
        <v>0</v>
      </c>
      <c r="S39" s="126">
        <f t="shared" si="136"/>
        <v>0</v>
      </c>
      <c r="T39" s="126">
        <f t="shared" si="136"/>
        <v>0</v>
      </c>
      <c r="U39" s="126">
        <f t="shared" si="136"/>
        <v>0</v>
      </c>
      <c r="V39" s="126">
        <f t="shared" si="136"/>
        <v>0</v>
      </c>
      <c r="W39" s="126">
        <f t="shared" si="136"/>
        <v>0</v>
      </c>
      <c r="X39" s="126">
        <f t="shared" si="136"/>
        <v>0</v>
      </c>
      <c r="Y39" s="126">
        <f t="shared" si="136"/>
        <v>0</v>
      </c>
      <c r="Z39" s="126">
        <f t="shared" si="136"/>
        <v>0</v>
      </c>
      <c r="AA39" s="126">
        <f t="shared" si="136"/>
        <v>0</v>
      </c>
      <c r="AB39" s="126">
        <f t="shared" si="136"/>
        <v>0</v>
      </c>
      <c r="AC39" s="126">
        <f t="shared" si="136"/>
        <v>0</v>
      </c>
      <c r="AD39" s="126">
        <f t="shared" si="136"/>
        <v>0</v>
      </c>
      <c r="AE39" s="126">
        <f t="shared" si="136"/>
        <v>0</v>
      </c>
      <c r="AF39" s="126">
        <f t="shared" si="136"/>
        <v>0</v>
      </c>
      <c r="AG39" s="126">
        <f t="shared" si="136"/>
        <v>0</v>
      </c>
      <c r="AH39" s="126">
        <f t="shared" si="136"/>
        <v>0</v>
      </c>
      <c r="AI39" s="126">
        <f t="shared" si="136"/>
        <v>0</v>
      </c>
      <c r="AJ39" s="126">
        <f t="shared" si="136"/>
        <v>0</v>
      </c>
      <c r="AK39" s="126">
        <f t="shared" ref="AK39:BP39" si="137" xml:space="preserve"> AK$34</f>
        <v>0</v>
      </c>
      <c r="AL39" s="126">
        <f t="shared" si="137"/>
        <v>0</v>
      </c>
      <c r="AM39" s="126">
        <f t="shared" si="137"/>
        <v>0</v>
      </c>
      <c r="AN39" s="126">
        <f t="shared" si="137"/>
        <v>0</v>
      </c>
      <c r="AO39" s="126">
        <f t="shared" si="137"/>
        <v>0</v>
      </c>
      <c r="AP39" s="126">
        <f t="shared" si="137"/>
        <v>0</v>
      </c>
      <c r="AQ39" s="126">
        <f t="shared" si="137"/>
        <v>0</v>
      </c>
      <c r="AR39" s="126">
        <f t="shared" si="137"/>
        <v>0</v>
      </c>
      <c r="AS39" s="126">
        <f t="shared" si="137"/>
        <v>0</v>
      </c>
      <c r="AT39" s="126">
        <f t="shared" si="137"/>
        <v>0</v>
      </c>
      <c r="AU39" s="126">
        <f t="shared" si="137"/>
        <v>0</v>
      </c>
      <c r="AV39" s="126">
        <f t="shared" si="137"/>
        <v>0</v>
      </c>
      <c r="AW39" s="126">
        <f t="shared" si="137"/>
        <v>0</v>
      </c>
      <c r="AX39" s="126">
        <f t="shared" si="137"/>
        <v>0</v>
      </c>
      <c r="AY39" s="126">
        <f t="shared" si="137"/>
        <v>0</v>
      </c>
      <c r="AZ39" s="126">
        <f t="shared" si="137"/>
        <v>0</v>
      </c>
      <c r="BA39" s="126">
        <f t="shared" si="137"/>
        <v>0</v>
      </c>
      <c r="BB39" s="126">
        <f t="shared" si="137"/>
        <v>0</v>
      </c>
      <c r="BC39" s="126">
        <f t="shared" si="137"/>
        <v>0</v>
      </c>
      <c r="BD39" s="126">
        <f t="shared" si="137"/>
        <v>0</v>
      </c>
      <c r="BE39" s="126">
        <f t="shared" si="137"/>
        <v>0</v>
      </c>
      <c r="BF39" s="126">
        <f t="shared" si="137"/>
        <v>0</v>
      </c>
      <c r="BG39" s="126">
        <f t="shared" si="137"/>
        <v>0</v>
      </c>
      <c r="BH39" s="126">
        <f t="shared" si="137"/>
        <v>0</v>
      </c>
      <c r="BI39" s="126">
        <f t="shared" si="137"/>
        <v>0</v>
      </c>
      <c r="BJ39" s="126">
        <f t="shared" si="137"/>
        <v>0</v>
      </c>
      <c r="BK39" s="126">
        <f t="shared" si="137"/>
        <v>0</v>
      </c>
      <c r="BL39" s="126">
        <f t="shared" si="137"/>
        <v>0</v>
      </c>
      <c r="BM39" s="126">
        <f t="shared" si="137"/>
        <v>0</v>
      </c>
      <c r="BN39" s="126">
        <f t="shared" si="137"/>
        <v>0</v>
      </c>
      <c r="BO39" s="126">
        <f t="shared" si="137"/>
        <v>0</v>
      </c>
      <c r="BP39" s="126">
        <f t="shared" si="137"/>
        <v>0</v>
      </c>
      <c r="BQ39" s="126">
        <f t="shared" ref="BQ39:CV39" si="138" xml:space="preserve"> BQ$34</f>
        <v>0</v>
      </c>
      <c r="BR39" s="126">
        <f t="shared" si="138"/>
        <v>0</v>
      </c>
      <c r="BS39" s="126">
        <f t="shared" si="138"/>
        <v>0</v>
      </c>
      <c r="BT39" s="126">
        <f t="shared" si="138"/>
        <v>0</v>
      </c>
      <c r="BU39" s="126">
        <f t="shared" si="138"/>
        <v>0</v>
      </c>
      <c r="BV39" s="126">
        <f t="shared" si="138"/>
        <v>0</v>
      </c>
      <c r="BW39" s="126">
        <f t="shared" si="138"/>
        <v>0</v>
      </c>
      <c r="BX39" s="126">
        <f t="shared" si="138"/>
        <v>0</v>
      </c>
      <c r="BY39" s="126">
        <f t="shared" si="138"/>
        <v>0</v>
      </c>
      <c r="BZ39" s="126">
        <f t="shared" si="138"/>
        <v>0</v>
      </c>
      <c r="CA39" s="126">
        <f t="shared" si="138"/>
        <v>0</v>
      </c>
      <c r="CB39" s="126">
        <f t="shared" si="138"/>
        <v>0</v>
      </c>
      <c r="CC39" s="126">
        <f t="shared" si="138"/>
        <v>0</v>
      </c>
      <c r="CD39" s="126">
        <f t="shared" si="138"/>
        <v>0</v>
      </c>
      <c r="CE39" s="126">
        <f t="shared" si="138"/>
        <v>0</v>
      </c>
      <c r="CF39" s="126">
        <f t="shared" si="138"/>
        <v>0</v>
      </c>
      <c r="CG39" s="126">
        <f t="shared" si="138"/>
        <v>0</v>
      </c>
      <c r="CH39" s="126">
        <f t="shared" si="138"/>
        <v>0</v>
      </c>
      <c r="CI39" s="126">
        <f t="shared" si="138"/>
        <v>0</v>
      </c>
      <c r="CJ39" s="126">
        <f t="shared" si="138"/>
        <v>0</v>
      </c>
      <c r="CK39" s="126">
        <f t="shared" si="138"/>
        <v>0</v>
      </c>
      <c r="CL39" s="126">
        <f t="shared" si="138"/>
        <v>0</v>
      </c>
      <c r="CM39" s="126">
        <f t="shared" si="138"/>
        <v>0</v>
      </c>
      <c r="CN39" s="126">
        <f t="shared" si="138"/>
        <v>0</v>
      </c>
      <c r="CO39" s="126">
        <f t="shared" si="138"/>
        <v>0</v>
      </c>
      <c r="CP39" s="126">
        <f t="shared" si="138"/>
        <v>0</v>
      </c>
      <c r="CQ39" s="126">
        <f t="shared" si="138"/>
        <v>0</v>
      </c>
      <c r="CR39" s="126">
        <f t="shared" si="138"/>
        <v>0</v>
      </c>
      <c r="CS39" s="126">
        <f t="shared" si="138"/>
        <v>0</v>
      </c>
      <c r="CT39" s="126">
        <f t="shared" si="138"/>
        <v>0</v>
      </c>
      <c r="CU39" s="126">
        <f t="shared" si="138"/>
        <v>0</v>
      </c>
      <c r="CV39" s="126">
        <f t="shared" si="138"/>
        <v>0</v>
      </c>
    </row>
    <row r="40" spans="1:100" s="503" customFormat="1" outlineLevel="1" x14ac:dyDescent="0.2">
      <c r="A40" s="391"/>
      <c r="B40" s="391"/>
      <c r="C40" s="392"/>
      <c r="D40" s="393"/>
      <c r="E40" s="394" t="s">
        <v>461</v>
      </c>
      <c r="F40" s="394"/>
      <c r="G40" s="394" t="str">
        <f xml:space="preserve"> SMU</f>
        <v>$ 000s</v>
      </c>
      <c r="H40" s="394"/>
      <c r="I40" s="395"/>
      <c r="J40" s="394">
        <f t="shared" ref="J40:AO40" si="139" xml:space="preserve"> J37 + J38 - J39</f>
        <v>0</v>
      </c>
      <c r="K40" s="394">
        <f t="shared" si="139"/>
        <v>0</v>
      </c>
      <c r="L40" s="394">
        <f t="shared" si="139"/>
        <v>0</v>
      </c>
      <c r="M40" s="394">
        <f t="shared" si="139"/>
        <v>0</v>
      </c>
      <c r="N40" s="394">
        <f t="shared" si="139"/>
        <v>0</v>
      </c>
      <c r="O40" s="394">
        <f t="shared" si="139"/>
        <v>0</v>
      </c>
      <c r="P40" s="394">
        <f t="shared" si="139"/>
        <v>0</v>
      </c>
      <c r="Q40" s="394">
        <f t="shared" si="139"/>
        <v>0</v>
      </c>
      <c r="R40" s="394">
        <f t="shared" si="139"/>
        <v>0</v>
      </c>
      <c r="S40" s="394">
        <f t="shared" si="139"/>
        <v>0</v>
      </c>
      <c r="T40" s="394">
        <f t="shared" si="139"/>
        <v>0</v>
      </c>
      <c r="U40" s="394">
        <f t="shared" si="139"/>
        <v>0</v>
      </c>
      <c r="V40" s="394">
        <f t="shared" si="139"/>
        <v>0</v>
      </c>
      <c r="W40" s="394">
        <f t="shared" si="139"/>
        <v>0</v>
      </c>
      <c r="X40" s="394">
        <f t="shared" si="139"/>
        <v>0</v>
      </c>
      <c r="Y40" s="394">
        <f t="shared" si="139"/>
        <v>0</v>
      </c>
      <c r="Z40" s="394">
        <f t="shared" si="139"/>
        <v>0</v>
      </c>
      <c r="AA40" s="394">
        <f t="shared" si="139"/>
        <v>0</v>
      </c>
      <c r="AB40" s="394">
        <f t="shared" si="139"/>
        <v>0</v>
      </c>
      <c r="AC40" s="394">
        <f t="shared" si="139"/>
        <v>0</v>
      </c>
      <c r="AD40" s="394">
        <f t="shared" si="139"/>
        <v>0</v>
      </c>
      <c r="AE40" s="394">
        <f t="shared" si="139"/>
        <v>0</v>
      </c>
      <c r="AF40" s="394">
        <f t="shared" si="139"/>
        <v>0</v>
      </c>
      <c r="AG40" s="394">
        <f t="shared" si="139"/>
        <v>0</v>
      </c>
      <c r="AH40" s="394">
        <f t="shared" si="139"/>
        <v>0</v>
      </c>
      <c r="AI40" s="394">
        <f t="shared" si="139"/>
        <v>0</v>
      </c>
      <c r="AJ40" s="394">
        <f t="shared" si="139"/>
        <v>0</v>
      </c>
      <c r="AK40" s="394">
        <f t="shared" si="139"/>
        <v>0</v>
      </c>
      <c r="AL40" s="394">
        <f t="shared" si="139"/>
        <v>0</v>
      </c>
      <c r="AM40" s="394">
        <f t="shared" si="139"/>
        <v>0</v>
      </c>
      <c r="AN40" s="394">
        <f t="shared" si="139"/>
        <v>0</v>
      </c>
      <c r="AO40" s="394">
        <f t="shared" si="139"/>
        <v>0</v>
      </c>
      <c r="AP40" s="394">
        <f t="shared" ref="AP40:BU40" si="140" xml:space="preserve"> AP37 + AP38 - AP39</f>
        <v>0</v>
      </c>
      <c r="AQ40" s="394">
        <f t="shared" si="140"/>
        <v>0</v>
      </c>
      <c r="AR40" s="394">
        <f t="shared" si="140"/>
        <v>0</v>
      </c>
      <c r="AS40" s="394">
        <f t="shared" si="140"/>
        <v>0</v>
      </c>
      <c r="AT40" s="394">
        <f t="shared" si="140"/>
        <v>0</v>
      </c>
      <c r="AU40" s="394">
        <f t="shared" si="140"/>
        <v>0</v>
      </c>
      <c r="AV40" s="394">
        <f t="shared" si="140"/>
        <v>0</v>
      </c>
      <c r="AW40" s="394">
        <f t="shared" si="140"/>
        <v>0</v>
      </c>
      <c r="AX40" s="394">
        <f t="shared" si="140"/>
        <v>0</v>
      </c>
      <c r="AY40" s="394">
        <f t="shared" si="140"/>
        <v>0</v>
      </c>
      <c r="AZ40" s="394">
        <f t="shared" si="140"/>
        <v>0</v>
      </c>
      <c r="BA40" s="394">
        <f t="shared" si="140"/>
        <v>0</v>
      </c>
      <c r="BB40" s="394">
        <f t="shared" si="140"/>
        <v>0</v>
      </c>
      <c r="BC40" s="394">
        <f t="shared" si="140"/>
        <v>0</v>
      </c>
      <c r="BD40" s="394">
        <f t="shared" si="140"/>
        <v>0</v>
      </c>
      <c r="BE40" s="394">
        <f t="shared" si="140"/>
        <v>0</v>
      </c>
      <c r="BF40" s="394">
        <f t="shared" si="140"/>
        <v>0</v>
      </c>
      <c r="BG40" s="394">
        <f t="shared" si="140"/>
        <v>0</v>
      </c>
      <c r="BH40" s="394">
        <f t="shared" si="140"/>
        <v>0</v>
      </c>
      <c r="BI40" s="394">
        <f t="shared" si="140"/>
        <v>0</v>
      </c>
      <c r="BJ40" s="394">
        <f t="shared" si="140"/>
        <v>0</v>
      </c>
      <c r="BK40" s="394">
        <f t="shared" si="140"/>
        <v>0</v>
      </c>
      <c r="BL40" s="394">
        <f t="shared" si="140"/>
        <v>0</v>
      </c>
      <c r="BM40" s="394">
        <f t="shared" si="140"/>
        <v>0</v>
      </c>
      <c r="BN40" s="394">
        <f t="shared" si="140"/>
        <v>0</v>
      </c>
      <c r="BO40" s="394">
        <f t="shared" si="140"/>
        <v>0</v>
      </c>
      <c r="BP40" s="394">
        <f t="shared" si="140"/>
        <v>0</v>
      </c>
      <c r="BQ40" s="394">
        <f t="shared" si="140"/>
        <v>0</v>
      </c>
      <c r="BR40" s="394">
        <f t="shared" si="140"/>
        <v>0</v>
      </c>
      <c r="BS40" s="394">
        <f t="shared" si="140"/>
        <v>0</v>
      </c>
      <c r="BT40" s="394">
        <f t="shared" si="140"/>
        <v>0</v>
      </c>
      <c r="BU40" s="394">
        <f t="shared" si="140"/>
        <v>0</v>
      </c>
      <c r="BV40" s="394">
        <f t="shared" ref="BV40:CV40" si="141" xml:space="preserve"> BV37 + BV38 - BV39</f>
        <v>0</v>
      </c>
      <c r="BW40" s="394">
        <f t="shared" si="141"/>
        <v>0</v>
      </c>
      <c r="BX40" s="394">
        <f t="shared" si="141"/>
        <v>0</v>
      </c>
      <c r="BY40" s="394">
        <f t="shared" si="141"/>
        <v>0</v>
      </c>
      <c r="BZ40" s="394">
        <f t="shared" si="141"/>
        <v>0</v>
      </c>
      <c r="CA40" s="394">
        <f t="shared" si="141"/>
        <v>0</v>
      </c>
      <c r="CB40" s="394">
        <f t="shared" si="141"/>
        <v>0</v>
      </c>
      <c r="CC40" s="394">
        <f t="shared" si="141"/>
        <v>0</v>
      </c>
      <c r="CD40" s="394">
        <f t="shared" si="141"/>
        <v>0</v>
      </c>
      <c r="CE40" s="394">
        <f t="shared" si="141"/>
        <v>0</v>
      </c>
      <c r="CF40" s="394">
        <f t="shared" si="141"/>
        <v>0</v>
      </c>
      <c r="CG40" s="394">
        <f t="shared" si="141"/>
        <v>0</v>
      </c>
      <c r="CH40" s="394">
        <f t="shared" si="141"/>
        <v>0</v>
      </c>
      <c r="CI40" s="394">
        <f t="shared" si="141"/>
        <v>0</v>
      </c>
      <c r="CJ40" s="394">
        <f t="shared" si="141"/>
        <v>0</v>
      </c>
      <c r="CK40" s="394">
        <f t="shared" si="141"/>
        <v>0</v>
      </c>
      <c r="CL40" s="394">
        <f t="shared" si="141"/>
        <v>0</v>
      </c>
      <c r="CM40" s="394">
        <f t="shared" si="141"/>
        <v>0</v>
      </c>
      <c r="CN40" s="394">
        <f t="shared" si="141"/>
        <v>0</v>
      </c>
      <c r="CO40" s="394">
        <f t="shared" si="141"/>
        <v>0</v>
      </c>
      <c r="CP40" s="394">
        <f t="shared" si="141"/>
        <v>0</v>
      </c>
      <c r="CQ40" s="394">
        <f t="shared" si="141"/>
        <v>0</v>
      </c>
      <c r="CR40" s="394">
        <f t="shared" si="141"/>
        <v>0</v>
      </c>
      <c r="CS40" s="394">
        <f t="shared" si="141"/>
        <v>0</v>
      </c>
      <c r="CT40" s="394">
        <f t="shared" si="141"/>
        <v>0</v>
      </c>
      <c r="CU40" s="394">
        <f t="shared" si="141"/>
        <v>0</v>
      </c>
      <c r="CV40" s="394">
        <f t="shared" si="141"/>
        <v>0</v>
      </c>
    </row>
    <row r="41" spans="1:100" outlineLevel="1" x14ac:dyDescent="0.2">
      <c r="A41" s="141"/>
      <c r="B41" s="141"/>
      <c r="C41" s="142"/>
      <c r="D41" s="143"/>
      <c r="E41" s="560"/>
      <c r="F41" s="560"/>
      <c r="G41" s="560"/>
      <c r="H41" s="560"/>
      <c r="I41" s="401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60"/>
      <c r="AC41" s="560"/>
      <c r="AD41" s="560"/>
      <c r="AE41" s="560"/>
      <c r="AF41" s="560"/>
      <c r="AG41" s="560"/>
      <c r="AH41" s="560"/>
      <c r="AI41" s="560"/>
      <c r="AJ41" s="560"/>
      <c r="AK41" s="560"/>
      <c r="AL41" s="560"/>
      <c r="AM41" s="560"/>
      <c r="AN41" s="560"/>
      <c r="AO41" s="560"/>
      <c r="AP41" s="560"/>
      <c r="AQ41" s="560"/>
      <c r="AR41" s="560"/>
      <c r="AS41" s="560"/>
      <c r="AT41" s="560"/>
      <c r="AU41" s="560"/>
      <c r="AV41" s="560"/>
      <c r="AW41" s="560"/>
      <c r="AX41" s="560"/>
      <c r="AY41" s="560"/>
      <c r="AZ41" s="560"/>
      <c r="BA41" s="560"/>
      <c r="BB41" s="560"/>
      <c r="BC41" s="560"/>
      <c r="BD41" s="560"/>
      <c r="BE41" s="560"/>
      <c r="BF41" s="560"/>
      <c r="BG41" s="560"/>
      <c r="BH41" s="560"/>
      <c r="BI41" s="560"/>
      <c r="BJ41" s="560"/>
      <c r="BK41" s="560"/>
      <c r="BL41" s="560"/>
      <c r="BM41" s="560"/>
      <c r="BN41" s="560"/>
      <c r="BO41" s="560"/>
      <c r="BP41" s="560"/>
      <c r="BQ41" s="560"/>
      <c r="BR41" s="560"/>
      <c r="BS41" s="560"/>
      <c r="BT41" s="560"/>
      <c r="BU41" s="560"/>
      <c r="BV41" s="560"/>
      <c r="BW41" s="560"/>
      <c r="BX41" s="560"/>
      <c r="BY41" s="560"/>
      <c r="BZ41" s="560"/>
      <c r="CA41" s="560"/>
      <c r="CB41" s="560"/>
      <c r="CC41" s="560"/>
      <c r="CD41" s="560"/>
      <c r="CE41" s="560"/>
      <c r="CF41" s="560"/>
      <c r="CG41" s="560"/>
      <c r="CH41" s="560"/>
      <c r="CI41" s="560"/>
      <c r="CJ41" s="560"/>
      <c r="CK41" s="560"/>
      <c r="CL41" s="560"/>
      <c r="CM41" s="560"/>
      <c r="CN41" s="560"/>
      <c r="CO41" s="560"/>
      <c r="CP41" s="560"/>
      <c r="CQ41" s="560"/>
      <c r="CR41" s="560"/>
      <c r="CS41" s="560"/>
      <c r="CT41" s="560"/>
      <c r="CU41" s="560"/>
      <c r="CV41" s="560"/>
    </row>
    <row r="42" spans="1:100" x14ac:dyDescent="0.2">
      <c r="A42" s="141"/>
      <c r="B42" s="141"/>
      <c r="C42" s="142"/>
      <c r="D42" s="143"/>
      <c r="E42" s="560"/>
      <c r="F42" s="560"/>
      <c r="G42" s="560"/>
      <c r="H42" s="560"/>
      <c r="I42" s="401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60"/>
      <c r="AC42" s="560"/>
      <c r="AD42" s="560"/>
      <c r="AE42" s="560"/>
      <c r="AF42" s="560"/>
      <c r="AG42" s="560"/>
      <c r="AH42" s="560"/>
      <c r="AI42" s="560"/>
      <c r="AJ42" s="560"/>
      <c r="AK42" s="560"/>
      <c r="AL42" s="560"/>
      <c r="AM42" s="560"/>
      <c r="AN42" s="560"/>
      <c r="AO42" s="560"/>
      <c r="AP42" s="560"/>
      <c r="AQ42" s="560"/>
      <c r="AR42" s="560"/>
      <c r="AS42" s="560"/>
      <c r="AT42" s="560"/>
      <c r="AU42" s="560"/>
      <c r="AV42" s="560"/>
      <c r="AW42" s="560"/>
      <c r="AX42" s="560"/>
      <c r="AY42" s="560"/>
      <c r="AZ42" s="560"/>
      <c r="BA42" s="560"/>
      <c r="BB42" s="560"/>
      <c r="BC42" s="560"/>
      <c r="BD42" s="560"/>
      <c r="BE42" s="560"/>
      <c r="BF42" s="560"/>
      <c r="BG42" s="560"/>
      <c r="BH42" s="560"/>
      <c r="BI42" s="560"/>
      <c r="BJ42" s="560"/>
      <c r="BK42" s="560"/>
      <c r="BL42" s="560"/>
      <c r="BM42" s="560"/>
      <c r="BN42" s="560"/>
      <c r="BO42" s="560"/>
      <c r="BP42" s="560"/>
      <c r="BQ42" s="560"/>
      <c r="BR42" s="560"/>
      <c r="BS42" s="560"/>
      <c r="BT42" s="560"/>
      <c r="BU42" s="560"/>
      <c r="BV42" s="560"/>
      <c r="BW42" s="560"/>
      <c r="BX42" s="560"/>
      <c r="BY42" s="560"/>
      <c r="BZ42" s="560"/>
      <c r="CA42" s="560"/>
      <c r="CB42" s="560"/>
      <c r="CC42" s="560"/>
      <c r="CD42" s="560"/>
      <c r="CE42" s="560"/>
      <c r="CF42" s="560"/>
      <c r="CG42" s="560"/>
      <c r="CH42" s="560"/>
      <c r="CI42" s="560"/>
      <c r="CJ42" s="560"/>
      <c r="CK42" s="560"/>
      <c r="CL42" s="560"/>
      <c r="CM42" s="560"/>
      <c r="CN42" s="560"/>
      <c r="CO42" s="560"/>
      <c r="CP42" s="560"/>
      <c r="CQ42" s="560"/>
      <c r="CR42" s="560"/>
      <c r="CS42" s="560"/>
      <c r="CT42" s="560"/>
      <c r="CU42" s="560"/>
      <c r="CV42" s="560"/>
    </row>
    <row r="43" spans="1:100" x14ac:dyDescent="0.2">
      <c r="A43" s="15" t="s">
        <v>132</v>
      </c>
    </row>
    <row r="44" spans="1:100" outlineLevel="1" x14ac:dyDescent="0.2"/>
    <row r="45" spans="1:100" s="509" customFormat="1" outlineLevel="1" x14ac:dyDescent="0.2">
      <c r="A45" s="504"/>
      <c r="B45" s="504"/>
      <c r="C45" s="505"/>
      <c r="D45" s="506"/>
      <c r="E45" s="507" t="s">
        <v>130</v>
      </c>
      <c r="F45" s="507"/>
      <c r="G45" s="507" t="str">
        <f xml:space="preserve"> SMU</f>
        <v>$ 000s</v>
      </c>
      <c r="H45" s="507"/>
      <c r="I45" s="508"/>
      <c r="J45" s="507">
        <f t="shared" ref="J45:AO45" si="142" xml:space="preserve"> I48</f>
        <v>0</v>
      </c>
      <c r="K45" s="507">
        <f t="shared" si="142"/>
        <v>0</v>
      </c>
      <c r="L45" s="507">
        <f t="shared" si="142"/>
        <v>0</v>
      </c>
      <c r="M45" s="507">
        <f t="shared" si="142"/>
        <v>0</v>
      </c>
      <c r="N45" s="507">
        <f t="shared" si="142"/>
        <v>0</v>
      </c>
      <c r="O45" s="507">
        <f t="shared" si="142"/>
        <v>0</v>
      </c>
      <c r="P45" s="507">
        <f t="shared" si="142"/>
        <v>-8093.9627097477887</v>
      </c>
      <c r="Q45" s="507">
        <f t="shared" si="142"/>
        <v>-15305.778928929521</v>
      </c>
      <c r="R45" s="507">
        <f t="shared" si="142"/>
        <v>-22064.230690798147</v>
      </c>
      <c r="S45" s="507">
        <f t="shared" si="142"/>
        <v>-28128.540783168333</v>
      </c>
      <c r="T45" s="507">
        <f t="shared" si="142"/>
        <v>-33849.121695375688</v>
      </c>
      <c r="U45" s="507">
        <f t="shared" si="142"/>
        <v>-38982.056472134114</v>
      </c>
      <c r="V45" s="507">
        <f t="shared" si="142"/>
        <v>-43861.227529870332</v>
      </c>
      <c r="W45" s="507">
        <f t="shared" si="142"/>
        <v>-48267.191863067812</v>
      </c>
      <c r="X45" s="507">
        <f t="shared" si="142"/>
        <v>-52465.741899490444</v>
      </c>
      <c r="Y45" s="507">
        <f t="shared" si="142"/>
        <v>-56241.193866783629</v>
      </c>
      <c r="Z45" s="507">
        <f t="shared" si="142"/>
        <v>-60092.872397044797</v>
      </c>
      <c r="AA45" s="507">
        <f t="shared" si="142"/>
        <v>-63578.831158658453</v>
      </c>
      <c r="AB45" s="507">
        <f t="shared" si="142"/>
        <v>-66996.342876470255</v>
      </c>
      <c r="AC45" s="507">
        <f t="shared" si="142"/>
        <v>-70102.949697839431</v>
      </c>
      <c r="AD45" s="507">
        <f t="shared" si="142"/>
        <v>-73184.009954953057</v>
      </c>
      <c r="AE45" s="507">
        <f t="shared" si="142"/>
        <v>-76022.336297173519</v>
      </c>
      <c r="AF45" s="507">
        <f t="shared" si="142"/>
        <v>-78850.265074250347</v>
      </c>
      <c r="AG45" s="507">
        <f t="shared" si="142"/>
        <v>-81460.146046370981</v>
      </c>
      <c r="AH45" s="507">
        <f t="shared" si="142"/>
        <v>-84112.691506730349</v>
      </c>
      <c r="AI45" s="507">
        <f t="shared" si="142"/>
        <v>-86586.22550729505</v>
      </c>
      <c r="AJ45" s="507">
        <f t="shared" si="142"/>
        <v>-89280.20025049214</v>
      </c>
      <c r="AK45" s="507">
        <f t="shared" si="142"/>
        <v>-91824.49817973678</v>
      </c>
      <c r="AL45" s="507">
        <f t="shared" si="142"/>
        <v>-94463.645762078988</v>
      </c>
      <c r="AM45" s="507">
        <f t="shared" si="142"/>
        <v>-97002.312160012429</v>
      </c>
      <c r="AN45" s="507">
        <f t="shared" si="142"/>
        <v>-99646.838288779254</v>
      </c>
      <c r="AO45" s="507">
        <f t="shared" si="142"/>
        <v>-102215.71012315898</v>
      </c>
      <c r="AP45" s="507">
        <f t="shared" ref="AP45:BU45" si="143" xml:space="preserve"> AO48</f>
        <v>-104929.47587304725</v>
      </c>
      <c r="AQ45" s="507">
        <f t="shared" si="143"/>
        <v>-107603.73895144949</v>
      </c>
      <c r="AR45" s="507">
        <f t="shared" si="143"/>
        <v>-110448.8004433748</v>
      </c>
      <c r="AS45" s="507">
        <f t="shared" si="143"/>
        <v>-113293.18176570901</v>
      </c>
      <c r="AT45" s="507">
        <f t="shared" si="143"/>
        <v>-116336.16979353175</v>
      </c>
      <c r="AU45" s="507">
        <f t="shared" si="143"/>
        <v>-119439.32954478693</v>
      </c>
      <c r="AV45" s="507">
        <f t="shared" si="143"/>
        <v>-122783.28689855202</v>
      </c>
      <c r="AW45" s="507">
        <f t="shared" si="143"/>
        <v>-125938.82895581868</v>
      </c>
      <c r="AX45" s="507">
        <f t="shared" si="143"/>
        <v>-128495.97949982531</v>
      </c>
      <c r="AY45" s="507">
        <f t="shared" si="143"/>
        <v>-130818.14034196499</v>
      </c>
      <c r="AZ45" s="507">
        <f t="shared" si="143"/>
        <v>-133052.756299192</v>
      </c>
      <c r="BA45" s="507">
        <f t="shared" si="143"/>
        <v>-135038.44174211932</v>
      </c>
      <c r="BB45" s="507">
        <f t="shared" si="143"/>
        <v>-136923.40408989237</v>
      </c>
      <c r="BC45" s="507">
        <f t="shared" si="143"/>
        <v>-139488.01257311381</v>
      </c>
      <c r="BD45" s="507">
        <f t="shared" si="143"/>
        <v>-139488.01257311381</v>
      </c>
      <c r="BE45" s="507">
        <f t="shared" si="143"/>
        <v>-139488.01257311381</v>
      </c>
      <c r="BF45" s="507">
        <f t="shared" si="143"/>
        <v>-139488.01257311381</v>
      </c>
      <c r="BG45" s="507">
        <f t="shared" si="143"/>
        <v>-139488.01257311381</v>
      </c>
      <c r="BH45" s="507">
        <f t="shared" si="143"/>
        <v>-139488.01257311381</v>
      </c>
      <c r="BI45" s="507">
        <f t="shared" si="143"/>
        <v>-139488.01257311381</v>
      </c>
      <c r="BJ45" s="507">
        <f t="shared" si="143"/>
        <v>-139488.01257311381</v>
      </c>
      <c r="BK45" s="507">
        <f t="shared" si="143"/>
        <v>-139488.01257311381</v>
      </c>
      <c r="BL45" s="507">
        <f t="shared" si="143"/>
        <v>-139488.01257311381</v>
      </c>
      <c r="BM45" s="507">
        <f t="shared" si="143"/>
        <v>-139488.01257311381</v>
      </c>
      <c r="BN45" s="507">
        <f t="shared" si="143"/>
        <v>-139488.01257311381</v>
      </c>
      <c r="BO45" s="507">
        <f t="shared" si="143"/>
        <v>-139488.01257311381</v>
      </c>
      <c r="BP45" s="507">
        <f t="shared" si="143"/>
        <v>-139488.01257311381</v>
      </c>
      <c r="BQ45" s="507">
        <f t="shared" si="143"/>
        <v>-139488.01257311381</v>
      </c>
      <c r="BR45" s="507">
        <f t="shared" si="143"/>
        <v>-139488.01257311381</v>
      </c>
      <c r="BS45" s="507">
        <f t="shared" si="143"/>
        <v>-139488.01257311381</v>
      </c>
      <c r="BT45" s="507">
        <f t="shared" si="143"/>
        <v>-139488.01257311381</v>
      </c>
      <c r="BU45" s="507">
        <f t="shared" si="143"/>
        <v>-139488.01257311381</v>
      </c>
      <c r="BV45" s="507">
        <f t="shared" ref="BV45:CV45" si="144" xml:space="preserve"> BU48</f>
        <v>-139488.01257311381</v>
      </c>
      <c r="BW45" s="507">
        <f t="shared" si="144"/>
        <v>-139488.01257311381</v>
      </c>
      <c r="BX45" s="507">
        <f t="shared" si="144"/>
        <v>-139488.01257311381</v>
      </c>
      <c r="BY45" s="507">
        <f t="shared" si="144"/>
        <v>-139488.01257311381</v>
      </c>
      <c r="BZ45" s="507">
        <f t="shared" si="144"/>
        <v>-139488.01257311381</v>
      </c>
      <c r="CA45" s="507">
        <f t="shared" si="144"/>
        <v>-139488.01257311381</v>
      </c>
      <c r="CB45" s="507">
        <f t="shared" si="144"/>
        <v>-139488.01257311381</v>
      </c>
      <c r="CC45" s="507">
        <f t="shared" si="144"/>
        <v>-139488.01257311381</v>
      </c>
      <c r="CD45" s="507">
        <f t="shared" si="144"/>
        <v>-139488.01257311381</v>
      </c>
      <c r="CE45" s="507">
        <f t="shared" si="144"/>
        <v>-139488.01257311381</v>
      </c>
      <c r="CF45" s="507">
        <f t="shared" si="144"/>
        <v>-139488.01257311381</v>
      </c>
      <c r="CG45" s="507">
        <f t="shared" si="144"/>
        <v>-139488.01257311381</v>
      </c>
      <c r="CH45" s="507">
        <f t="shared" si="144"/>
        <v>-139488.01257311381</v>
      </c>
      <c r="CI45" s="507">
        <f t="shared" si="144"/>
        <v>-139488.01257311381</v>
      </c>
      <c r="CJ45" s="507">
        <f t="shared" si="144"/>
        <v>-139488.01257311381</v>
      </c>
      <c r="CK45" s="507">
        <f t="shared" si="144"/>
        <v>-139488.01257311381</v>
      </c>
      <c r="CL45" s="507">
        <f t="shared" si="144"/>
        <v>-139488.01257311381</v>
      </c>
      <c r="CM45" s="507">
        <f t="shared" si="144"/>
        <v>-139488.01257311381</v>
      </c>
      <c r="CN45" s="507">
        <f t="shared" si="144"/>
        <v>-139488.01257311381</v>
      </c>
      <c r="CO45" s="507">
        <f t="shared" si="144"/>
        <v>-139488.01257311381</v>
      </c>
      <c r="CP45" s="507">
        <f t="shared" si="144"/>
        <v>-139488.01257311381</v>
      </c>
      <c r="CQ45" s="507">
        <f t="shared" si="144"/>
        <v>-139488.01257311381</v>
      </c>
      <c r="CR45" s="507">
        <f t="shared" si="144"/>
        <v>-139488.01257311381</v>
      </c>
      <c r="CS45" s="507">
        <f t="shared" si="144"/>
        <v>-139488.01257311381</v>
      </c>
      <c r="CT45" s="507">
        <f t="shared" si="144"/>
        <v>-139488.01257311381</v>
      </c>
      <c r="CU45" s="507">
        <f t="shared" si="144"/>
        <v>-139488.01257311381</v>
      </c>
      <c r="CV45" s="507">
        <f t="shared" si="144"/>
        <v>-139488.01257311381</v>
      </c>
    </row>
    <row r="46" spans="1:100" s="498" customFormat="1" outlineLevel="1" x14ac:dyDescent="0.2">
      <c r="A46" s="15"/>
      <c r="B46" s="15"/>
      <c r="C46" s="21"/>
      <c r="D46" s="48"/>
      <c r="E46" s="390" t="str">
        <f xml:space="preserve"> 'FS Semi'!E$33</f>
        <v>Profit after tax</v>
      </c>
      <c r="F46" s="390">
        <f xml:space="preserve"> 'FS Semi'!F$33</f>
        <v>0</v>
      </c>
      <c r="G46" s="390" t="str">
        <f xml:space="preserve"> 'FS Semi'!G$33</f>
        <v>$ 000s</v>
      </c>
      <c r="H46" s="390">
        <f xml:space="preserve"> 'FS Semi'!H$33</f>
        <v>-139488.01257311381</v>
      </c>
      <c r="I46" s="390">
        <f xml:space="preserve"> 'FS Semi'!I$33</f>
        <v>0</v>
      </c>
      <c r="J46" s="390">
        <f xml:space="preserve"> 'FS Semi'!J$33</f>
        <v>0</v>
      </c>
      <c r="K46" s="390">
        <f xml:space="preserve"> 'FS Semi'!K$33</f>
        <v>0</v>
      </c>
      <c r="L46" s="390">
        <f xml:space="preserve"> 'FS Semi'!L$33</f>
        <v>0</v>
      </c>
      <c r="M46" s="390">
        <f xml:space="preserve"> 'FS Semi'!M$33</f>
        <v>0</v>
      </c>
      <c r="N46" s="390">
        <f xml:space="preserve"> 'FS Semi'!N$33</f>
        <v>0</v>
      </c>
      <c r="O46" s="390">
        <f xml:space="preserve"> 'FS Semi'!O$33</f>
        <v>-8093.9627097477887</v>
      </c>
      <c r="P46" s="390">
        <f xml:space="preserve"> 'FS Semi'!P$33</f>
        <v>-7211.8162191817319</v>
      </c>
      <c r="Q46" s="390">
        <f xml:space="preserve"> 'FS Semi'!Q$33</f>
        <v>-6758.4517618686277</v>
      </c>
      <c r="R46" s="390">
        <f xml:space="preserve"> 'FS Semi'!R$33</f>
        <v>-6064.310092370185</v>
      </c>
      <c r="S46" s="390">
        <f xml:space="preserve"> 'FS Semi'!S$33</f>
        <v>-5720.580912207357</v>
      </c>
      <c r="T46" s="390">
        <f xml:space="preserve"> 'FS Semi'!T$33</f>
        <v>-5132.9347767584231</v>
      </c>
      <c r="U46" s="390">
        <f xml:space="preserve"> 'FS Semi'!U$33</f>
        <v>-4879.1710577362146</v>
      </c>
      <c r="V46" s="390">
        <f xml:space="preserve"> 'FS Semi'!V$33</f>
        <v>-4405.9643331974812</v>
      </c>
      <c r="W46" s="390">
        <f xml:space="preserve"> 'FS Semi'!W$33</f>
        <v>-4198.5500364226327</v>
      </c>
      <c r="X46" s="390">
        <f xml:space="preserve"> 'FS Semi'!X$33</f>
        <v>-3775.451967293187</v>
      </c>
      <c r="Y46" s="390">
        <f xml:space="preserve"> 'FS Semi'!Y$33</f>
        <v>-3851.6785302611647</v>
      </c>
      <c r="Z46" s="390">
        <f xml:space="preserve"> 'FS Semi'!Z$33</f>
        <v>-3485.9587616136546</v>
      </c>
      <c r="AA46" s="390">
        <f xml:space="preserve"> 'FS Semi'!AA$33</f>
        <v>-3417.5117178118016</v>
      </c>
      <c r="AB46" s="390">
        <f xml:space="preserve"> 'FS Semi'!AB$33</f>
        <v>-3106.6068213691815</v>
      </c>
      <c r="AC46" s="390">
        <f xml:space="preserve"> 'FS Semi'!AC$33</f>
        <v>-3081.0602571136287</v>
      </c>
      <c r="AD46" s="390">
        <f xml:space="preserve"> 'FS Semi'!AD$33</f>
        <v>-2838.3263422204677</v>
      </c>
      <c r="AE46" s="390">
        <f xml:space="preserve"> 'FS Semi'!AE$33</f>
        <v>-2827.9287770768274</v>
      </c>
      <c r="AF46" s="390">
        <f xml:space="preserve"> 'FS Semi'!AF$33</f>
        <v>-2609.8809721206321</v>
      </c>
      <c r="AG46" s="390">
        <f xml:space="preserve"> 'FS Semi'!AG$33</f>
        <v>-2652.5454603593694</v>
      </c>
      <c r="AH46" s="390">
        <f xml:space="preserve"> 'FS Semi'!AH$33</f>
        <v>-2473.5340005647081</v>
      </c>
      <c r="AI46" s="390">
        <f xml:space="preserve"> 'FS Semi'!AI$33</f>
        <v>-2693.9747431970959</v>
      </c>
      <c r="AJ46" s="390">
        <f xml:space="preserve"> 'FS Semi'!AJ$33</f>
        <v>-2544.2979292446398</v>
      </c>
      <c r="AK46" s="390">
        <f xml:space="preserve"> 'FS Semi'!AK$33</f>
        <v>-2639.1475823422074</v>
      </c>
      <c r="AL46" s="390">
        <f xml:space="preserve"> 'FS Semi'!AL$33</f>
        <v>-2538.6663979334426</v>
      </c>
      <c r="AM46" s="390">
        <f xml:space="preserve"> 'FS Semi'!AM$33</f>
        <v>-2644.5261287668209</v>
      </c>
      <c r="AN46" s="390">
        <f xml:space="preserve"> 'FS Semi'!AN$33</f>
        <v>-2568.8718343797291</v>
      </c>
      <c r="AO46" s="390">
        <f xml:space="preserve"> 'FS Semi'!AO$33</f>
        <v>-2713.7657498882727</v>
      </c>
      <c r="AP46" s="390">
        <f xml:space="preserve"> 'FS Semi'!AP$33</f>
        <v>-2674.2630784022322</v>
      </c>
      <c r="AQ46" s="390">
        <f xml:space="preserve"> 'FS Semi'!AQ$33</f>
        <v>-2845.0614919253157</v>
      </c>
      <c r="AR46" s="390">
        <f xml:space="preserve"> 'FS Semi'!AR$33</f>
        <v>-2844.3813223342136</v>
      </c>
      <c r="AS46" s="390">
        <f xml:space="preserve"> 'FS Semi'!AS$33</f>
        <v>-3042.9880278227402</v>
      </c>
      <c r="AT46" s="390">
        <f xml:space="preserve"> 'FS Semi'!AT$33</f>
        <v>-3103.159751255188</v>
      </c>
      <c r="AU46" s="390">
        <f xml:space="preserve"> 'FS Semi'!AU$33</f>
        <v>-3343.9573537650831</v>
      </c>
      <c r="AV46" s="390">
        <f xml:space="preserve"> 'FS Semi'!AV$33</f>
        <v>-3155.5420572666603</v>
      </c>
      <c r="AW46" s="390">
        <f xml:space="preserve"> 'FS Semi'!AW$33</f>
        <v>-2557.1505440066185</v>
      </c>
      <c r="AX46" s="390">
        <f xml:space="preserve"> 'FS Semi'!AX$33</f>
        <v>-2322.1608421396877</v>
      </c>
      <c r="AY46" s="390">
        <f xml:space="preserve"> 'FS Semi'!AY$33</f>
        <v>-2234.6159572270108</v>
      </c>
      <c r="AZ46" s="390">
        <f xml:space="preserve"> 'FS Semi'!AZ$33</f>
        <v>-1985.6854429273117</v>
      </c>
      <c r="BA46" s="390">
        <f xml:space="preserve"> 'FS Semi'!BA$33</f>
        <v>-1884.9623477730529</v>
      </c>
      <c r="BB46" s="390">
        <f xml:space="preserve"> 'FS Semi'!BB$33</f>
        <v>-2564.6084832214374</v>
      </c>
      <c r="BC46" s="390">
        <f xml:space="preserve"> 'FS Semi'!BC$33</f>
        <v>0</v>
      </c>
      <c r="BD46" s="390">
        <f xml:space="preserve"> 'FS Semi'!BD$33</f>
        <v>0</v>
      </c>
      <c r="BE46" s="390">
        <f xml:space="preserve"> 'FS Semi'!BE$33</f>
        <v>0</v>
      </c>
      <c r="BF46" s="390">
        <f xml:space="preserve"> 'FS Semi'!BF$33</f>
        <v>0</v>
      </c>
      <c r="BG46" s="390">
        <f xml:space="preserve"> 'FS Semi'!BG$33</f>
        <v>0</v>
      </c>
      <c r="BH46" s="390">
        <f xml:space="preserve"> 'FS Semi'!BH$33</f>
        <v>0</v>
      </c>
      <c r="BI46" s="390">
        <f xml:space="preserve"> 'FS Semi'!BI$33</f>
        <v>0</v>
      </c>
      <c r="BJ46" s="390">
        <f xml:space="preserve"> 'FS Semi'!BJ$33</f>
        <v>0</v>
      </c>
      <c r="BK46" s="390">
        <f xml:space="preserve"> 'FS Semi'!BK$33</f>
        <v>0</v>
      </c>
      <c r="BL46" s="390">
        <f xml:space="preserve"> 'FS Semi'!BL$33</f>
        <v>0</v>
      </c>
      <c r="BM46" s="390">
        <f xml:space="preserve"> 'FS Semi'!BM$33</f>
        <v>0</v>
      </c>
      <c r="BN46" s="390">
        <f xml:space="preserve"> 'FS Semi'!BN$33</f>
        <v>0</v>
      </c>
      <c r="BO46" s="390">
        <f xml:space="preserve"> 'FS Semi'!BO$33</f>
        <v>0</v>
      </c>
      <c r="BP46" s="390">
        <f xml:space="preserve"> 'FS Semi'!BP$33</f>
        <v>0</v>
      </c>
      <c r="BQ46" s="390">
        <f xml:space="preserve"> 'FS Semi'!BQ$33</f>
        <v>0</v>
      </c>
      <c r="BR46" s="390">
        <f xml:space="preserve"> 'FS Semi'!BR$33</f>
        <v>0</v>
      </c>
      <c r="BS46" s="390">
        <f xml:space="preserve"> 'FS Semi'!BS$33</f>
        <v>0</v>
      </c>
      <c r="BT46" s="390">
        <f xml:space="preserve"> 'FS Semi'!BT$33</f>
        <v>0</v>
      </c>
      <c r="BU46" s="390">
        <f xml:space="preserve"> 'FS Semi'!BU$33</f>
        <v>0</v>
      </c>
      <c r="BV46" s="390">
        <f xml:space="preserve"> 'FS Semi'!BV$33</f>
        <v>0</v>
      </c>
      <c r="BW46" s="390">
        <f xml:space="preserve"> 'FS Semi'!BW$33</f>
        <v>0</v>
      </c>
      <c r="BX46" s="390">
        <f xml:space="preserve"> 'FS Semi'!BX$33</f>
        <v>0</v>
      </c>
      <c r="BY46" s="390">
        <f xml:space="preserve"> 'FS Semi'!BY$33</f>
        <v>0</v>
      </c>
      <c r="BZ46" s="390">
        <f xml:space="preserve"> 'FS Semi'!BZ$33</f>
        <v>0</v>
      </c>
      <c r="CA46" s="390">
        <f xml:space="preserve"> 'FS Semi'!CA$33</f>
        <v>0</v>
      </c>
      <c r="CB46" s="390">
        <f xml:space="preserve"> 'FS Semi'!CB$33</f>
        <v>0</v>
      </c>
      <c r="CC46" s="390">
        <f xml:space="preserve"> 'FS Semi'!CC$33</f>
        <v>0</v>
      </c>
      <c r="CD46" s="390">
        <f xml:space="preserve"> 'FS Semi'!CD$33</f>
        <v>0</v>
      </c>
      <c r="CE46" s="390">
        <f xml:space="preserve"> 'FS Semi'!CE$33</f>
        <v>0</v>
      </c>
      <c r="CF46" s="390">
        <f xml:space="preserve"> 'FS Semi'!CF$33</f>
        <v>0</v>
      </c>
      <c r="CG46" s="390">
        <f xml:space="preserve"> 'FS Semi'!CG$33</f>
        <v>0</v>
      </c>
      <c r="CH46" s="390">
        <f xml:space="preserve"> 'FS Semi'!CH$33</f>
        <v>0</v>
      </c>
      <c r="CI46" s="390">
        <f xml:space="preserve"> 'FS Semi'!CI$33</f>
        <v>0</v>
      </c>
      <c r="CJ46" s="390">
        <f xml:space="preserve"> 'FS Semi'!CJ$33</f>
        <v>0</v>
      </c>
      <c r="CK46" s="390">
        <f xml:space="preserve"> 'FS Semi'!CK$33</f>
        <v>0</v>
      </c>
      <c r="CL46" s="390">
        <f xml:space="preserve"> 'FS Semi'!CL$33</f>
        <v>0</v>
      </c>
      <c r="CM46" s="390">
        <f xml:space="preserve"> 'FS Semi'!CM$33</f>
        <v>0</v>
      </c>
      <c r="CN46" s="390">
        <f xml:space="preserve"> 'FS Semi'!CN$33</f>
        <v>0</v>
      </c>
      <c r="CO46" s="390">
        <f xml:space="preserve"> 'FS Semi'!CO$33</f>
        <v>0</v>
      </c>
      <c r="CP46" s="390">
        <f xml:space="preserve"> 'FS Semi'!CP$33</f>
        <v>0</v>
      </c>
      <c r="CQ46" s="390">
        <f xml:space="preserve"> 'FS Semi'!CQ$33</f>
        <v>0</v>
      </c>
      <c r="CR46" s="390">
        <f xml:space="preserve"> 'FS Semi'!CR$33</f>
        <v>0</v>
      </c>
      <c r="CS46" s="390">
        <f xml:space="preserve"> 'FS Semi'!CS$33</f>
        <v>0</v>
      </c>
      <c r="CT46" s="390">
        <f xml:space="preserve"> 'FS Semi'!CT$33</f>
        <v>0</v>
      </c>
      <c r="CU46" s="390">
        <f xml:space="preserve"> 'FS Semi'!CU$33</f>
        <v>0</v>
      </c>
      <c r="CV46" s="390">
        <f xml:space="preserve"> 'FS Semi'!CV$33</f>
        <v>0</v>
      </c>
    </row>
    <row r="47" spans="1:100" s="498" customFormat="1" outlineLevel="1" x14ac:dyDescent="0.2">
      <c r="A47" s="15"/>
      <c r="B47" s="15"/>
      <c r="C47" s="21"/>
      <c r="D47" s="48"/>
      <c r="E47" s="126" t="str">
        <f t="shared" ref="E47:AJ47" si="145" xml:space="preserve"> E$80</f>
        <v>Dividends paid POS</v>
      </c>
      <c r="F47" s="126">
        <f t="shared" si="145"/>
        <v>0</v>
      </c>
      <c r="G47" s="126" t="str">
        <f t="shared" si="145"/>
        <v>$ 000s</v>
      </c>
      <c r="H47" s="126">
        <f t="shared" si="145"/>
        <v>0</v>
      </c>
      <c r="I47" s="126">
        <f t="shared" si="145"/>
        <v>0</v>
      </c>
      <c r="J47" s="126">
        <f t="shared" si="145"/>
        <v>0</v>
      </c>
      <c r="K47" s="126">
        <f t="shared" si="145"/>
        <v>0</v>
      </c>
      <c r="L47" s="126">
        <f t="shared" si="145"/>
        <v>0</v>
      </c>
      <c r="M47" s="126">
        <f t="shared" si="145"/>
        <v>0</v>
      </c>
      <c r="N47" s="126">
        <f t="shared" si="145"/>
        <v>0</v>
      </c>
      <c r="O47" s="126">
        <f t="shared" si="145"/>
        <v>0</v>
      </c>
      <c r="P47" s="126">
        <f t="shared" si="145"/>
        <v>0</v>
      </c>
      <c r="Q47" s="126">
        <f t="shared" si="145"/>
        <v>0</v>
      </c>
      <c r="R47" s="126">
        <f t="shared" si="145"/>
        <v>0</v>
      </c>
      <c r="S47" s="126">
        <f t="shared" si="145"/>
        <v>0</v>
      </c>
      <c r="T47" s="126">
        <f t="shared" si="145"/>
        <v>0</v>
      </c>
      <c r="U47" s="126">
        <f t="shared" si="145"/>
        <v>0</v>
      </c>
      <c r="V47" s="126">
        <f t="shared" si="145"/>
        <v>0</v>
      </c>
      <c r="W47" s="126">
        <f t="shared" si="145"/>
        <v>0</v>
      </c>
      <c r="X47" s="126">
        <f t="shared" si="145"/>
        <v>0</v>
      </c>
      <c r="Y47" s="126">
        <f t="shared" si="145"/>
        <v>0</v>
      </c>
      <c r="Z47" s="126">
        <f t="shared" si="145"/>
        <v>0</v>
      </c>
      <c r="AA47" s="126">
        <f t="shared" si="145"/>
        <v>0</v>
      </c>
      <c r="AB47" s="126">
        <f t="shared" si="145"/>
        <v>0</v>
      </c>
      <c r="AC47" s="126">
        <f t="shared" si="145"/>
        <v>0</v>
      </c>
      <c r="AD47" s="126">
        <f t="shared" si="145"/>
        <v>0</v>
      </c>
      <c r="AE47" s="126">
        <f t="shared" si="145"/>
        <v>0</v>
      </c>
      <c r="AF47" s="126">
        <f t="shared" si="145"/>
        <v>0</v>
      </c>
      <c r="AG47" s="126">
        <f t="shared" si="145"/>
        <v>0</v>
      </c>
      <c r="AH47" s="126">
        <f t="shared" si="145"/>
        <v>0</v>
      </c>
      <c r="AI47" s="126">
        <f t="shared" si="145"/>
        <v>0</v>
      </c>
      <c r="AJ47" s="126">
        <f t="shared" si="145"/>
        <v>0</v>
      </c>
      <c r="AK47" s="126">
        <f t="shared" ref="AK47:BP47" si="146" xml:space="preserve"> AK$80</f>
        <v>0</v>
      </c>
      <c r="AL47" s="126">
        <f t="shared" si="146"/>
        <v>0</v>
      </c>
      <c r="AM47" s="126">
        <f t="shared" si="146"/>
        <v>0</v>
      </c>
      <c r="AN47" s="126">
        <f t="shared" si="146"/>
        <v>0</v>
      </c>
      <c r="AO47" s="126">
        <f t="shared" si="146"/>
        <v>0</v>
      </c>
      <c r="AP47" s="126">
        <f t="shared" si="146"/>
        <v>0</v>
      </c>
      <c r="AQ47" s="126">
        <f t="shared" si="146"/>
        <v>0</v>
      </c>
      <c r="AR47" s="126">
        <f t="shared" si="146"/>
        <v>0</v>
      </c>
      <c r="AS47" s="126">
        <f t="shared" si="146"/>
        <v>0</v>
      </c>
      <c r="AT47" s="126">
        <f t="shared" si="146"/>
        <v>0</v>
      </c>
      <c r="AU47" s="126">
        <f t="shared" si="146"/>
        <v>0</v>
      </c>
      <c r="AV47" s="126">
        <f t="shared" si="146"/>
        <v>0</v>
      </c>
      <c r="AW47" s="126">
        <f t="shared" si="146"/>
        <v>0</v>
      </c>
      <c r="AX47" s="126">
        <f t="shared" si="146"/>
        <v>0</v>
      </c>
      <c r="AY47" s="126">
        <f t="shared" si="146"/>
        <v>0</v>
      </c>
      <c r="AZ47" s="126">
        <f t="shared" si="146"/>
        <v>0</v>
      </c>
      <c r="BA47" s="126">
        <f t="shared" si="146"/>
        <v>0</v>
      </c>
      <c r="BB47" s="126">
        <f t="shared" si="146"/>
        <v>0</v>
      </c>
      <c r="BC47" s="126">
        <f t="shared" si="146"/>
        <v>0</v>
      </c>
      <c r="BD47" s="126">
        <f t="shared" si="146"/>
        <v>0</v>
      </c>
      <c r="BE47" s="126">
        <f t="shared" si="146"/>
        <v>0</v>
      </c>
      <c r="BF47" s="126">
        <f t="shared" si="146"/>
        <v>0</v>
      </c>
      <c r="BG47" s="126">
        <f t="shared" si="146"/>
        <v>0</v>
      </c>
      <c r="BH47" s="126">
        <f t="shared" si="146"/>
        <v>0</v>
      </c>
      <c r="BI47" s="126">
        <f t="shared" si="146"/>
        <v>0</v>
      </c>
      <c r="BJ47" s="126">
        <f t="shared" si="146"/>
        <v>0</v>
      </c>
      <c r="BK47" s="126">
        <f t="shared" si="146"/>
        <v>0</v>
      </c>
      <c r="BL47" s="126">
        <f t="shared" si="146"/>
        <v>0</v>
      </c>
      <c r="BM47" s="126">
        <f t="shared" si="146"/>
        <v>0</v>
      </c>
      <c r="BN47" s="126">
        <f t="shared" si="146"/>
        <v>0</v>
      </c>
      <c r="BO47" s="126">
        <f t="shared" si="146"/>
        <v>0</v>
      </c>
      <c r="BP47" s="126">
        <f t="shared" si="146"/>
        <v>0</v>
      </c>
      <c r="BQ47" s="126">
        <f t="shared" ref="BQ47:CV47" si="147" xml:space="preserve"> BQ$80</f>
        <v>0</v>
      </c>
      <c r="BR47" s="126">
        <f t="shared" si="147"/>
        <v>0</v>
      </c>
      <c r="BS47" s="126">
        <f t="shared" si="147"/>
        <v>0</v>
      </c>
      <c r="BT47" s="126">
        <f t="shared" si="147"/>
        <v>0</v>
      </c>
      <c r="BU47" s="126">
        <f t="shared" si="147"/>
        <v>0</v>
      </c>
      <c r="BV47" s="126">
        <f t="shared" si="147"/>
        <v>0</v>
      </c>
      <c r="BW47" s="126">
        <f t="shared" si="147"/>
        <v>0</v>
      </c>
      <c r="BX47" s="126">
        <f t="shared" si="147"/>
        <v>0</v>
      </c>
      <c r="BY47" s="126">
        <f t="shared" si="147"/>
        <v>0</v>
      </c>
      <c r="BZ47" s="126">
        <f t="shared" si="147"/>
        <v>0</v>
      </c>
      <c r="CA47" s="126">
        <f t="shared" si="147"/>
        <v>0</v>
      </c>
      <c r="CB47" s="126">
        <f t="shared" si="147"/>
        <v>0</v>
      </c>
      <c r="CC47" s="126">
        <f t="shared" si="147"/>
        <v>0</v>
      </c>
      <c r="CD47" s="126">
        <f t="shared" si="147"/>
        <v>0</v>
      </c>
      <c r="CE47" s="126">
        <f t="shared" si="147"/>
        <v>0</v>
      </c>
      <c r="CF47" s="126">
        <f t="shared" si="147"/>
        <v>0</v>
      </c>
      <c r="CG47" s="126">
        <f t="shared" si="147"/>
        <v>0</v>
      </c>
      <c r="CH47" s="126">
        <f t="shared" si="147"/>
        <v>0</v>
      </c>
      <c r="CI47" s="126">
        <f t="shared" si="147"/>
        <v>0</v>
      </c>
      <c r="CJ47" s="126">
        <f t="shared" si="147"/>
        <v>0</v>
      </c>
      <c r="CK47" s="126">
        <f t="shared" si="147"/>
        <v>0</v>
      </c>
      <c r="CL47" s="126">
        <f t="shared" si="147"/>
        <v>0</v>
      </c>
      <c r="CM47" s="126">
        <f t="shared" si="147"/>
        <v>0</v>
      </c>
      <c r="CN47" s="126">
        <f t="shared" si="147"/>
        <v>0</v>
      </c>
      <c r="CO47" s="126">
        <f t="shared" si="147"/>
        <v>0</v>
      </c>
      <c r="CP47" s="126">
        <f t="shared" si="147"/>
        <v>0</v>
      </c>
      <c r="CQ47" s="126">
        <f t="shared" si="147"/>
        <v>0</v>
      </c>
      <c r="CR47" s="126">
        <f t="shared" si="147"/>
        <v>0</v>
      </c>
      <c r="CS47" s="126">
        <f t="shared" si="147"/>
        <v>0</v>
      </c>
      <c r="CT47" s="126">
        <f t="shared" si="147"/>
        <v>0</v>
      </c>
      <c r="CU47" s="126">
        <f t="shared" si="147"/>
        <v>0</v>
      </c>
      <c r="CV47" s="126">
        <f t="shared" si="147"/>
        <v>0</v>
      </c>
    </row>
    <row r="48" spans="1:100" s="541" customFormat="1" outlineLevel="1" x14ac:dyDescent="0.2">
      <c r="A48" s="391"/>
      <c r="B48" s="391"/>
      <c r="C48" s="392"/>
      <c r="D48" s="393"/>
      <c r="E48" s="395" t="s">
        <v>131</v>
      </c>
      <c r="F48" s="395"/>
      <c r="G48" s="395" t="str">
        <f xml:space="preserve"> SMU</f>
        <v>$ 000s</v>
      </c>
      <c r="H48" s="395"/>
      <c r="I48" s="395"/>
      <c r="J48" s="395">
        <f t="shared" ref="J48:AO48" si="148" xml:space="preserve"> J45 + J46 - J47</f>
        <v>0</v>
      </c>
      <c r="K48" s="395">
        <f t="shared" si="148"/>
        <v>0</v>
      </c>
      <c r="L48" s="395">
        <f t="shared" si="148"/>
        <v>0</v>
      </c>
      <c r="M48" s="395">
        <f t="shared" si="148"/>
        <v>0</v>
      </c>
      <c r="N48" s="395">
        <f t="shared" si="148"/>
        <v>0</v>
      </c>
      <c r="O48" s="395">
        <f t="shared" si="148"/>
        <v>-8093.9627097477887</v>
      </c>
      <c r="P48" s="395">
        <f t="shared" si="148"/>
        <v>-15305.778928929521</v>
      </c>
      <c r="Q48" s="395">
        <f t="shared" si="148"/>
        <v>-22064.230690798147</v>
      </c>
      <c r="R48" s="395">
        <f t="shared" si="148"/>
        <v>-28128.540783168333</v>
      </c>
      <c r="S48" s="395">
        <f t="shared" si="148"/>
        <v>-33849.121695375688</v>
      </c>
      <c r="T48" s="395">
        <f t="shared" si="148"/>
        <v>-38982.056472134114</v>
      </c>
      <c r="U48" s="395">
        <f t="shared" si="148"/>
        <v>-43861.227529870332</v>
      </c>
      <c r="V48" s="395">
        <f t="shared" si="148"/>
        <v>-48267.191863067812</v>
      </c>
      <c r="W48" s="395">
        <f t="shared" si="148"/>
        <v>-52465.741899490444</v>
      </c>
      <c r="X48" s="395">
        <f t="shared" si="148"/>
        <v>-56241.193866783629</v>
      </c>
      <c r="Y48" s="395">
        <f t="shared" si="148"/>
        <v>-60092.872397044797</v>
      </c>
      <c r="Z48" s="395">
        <f t="shared" si="148"/>
        <v>-63578.831158658453</v>
      </c>
      <c r="AA48" s="395">
        <f t="shared" si="148"/>
        <v>-66996.342876470255</v>
      </c>
      <c r="AB48" s="395">
        <f t="shared" si="148"/>
        <v>-70102.949697839431</v>
      </c>
      <c r="AC48" s="395">
        <f t="shared" si="148"/>
        <v>-73184.009954953057</v>
      </c>
      <c r="AD48" s="395">
        <f t="shared" si="148"/>
        <v>-76022.336297173519</v>
      </c>
      <c r="AE48" s="395">
        <f t="shared" si="148"/>
        <v>-78850.265074250347</v>
      </c>
      <c r="AF48" s="395">
        <f t="shared" si="148"/>
        <v>-81460.146046370981</v>
      </c>
      <c r="AG48" s="395">
        <f t="shared" si="148"/>
        <v>-84112.691506730349</v>
      </c>
      <c r="AH48" s="395">
        <f t="shared" si="148"/>
        <v>-86586.22550729505</v>
      </c>
      <c r="AI48" s="395">
        <f t="shared" si="148"/>
        <v>-89280.20025049214</v>
      </c>
      <c r="AJ48" s="395">
        <f t="shared" si="148"/>
        <v>-91824.49817973678</v>
      </c>
      <c r="AK48" s="395">
        <f t="shared" si="148"/>
        <v>-94463.645762078988</v>
      </c>
      <c r="AL48" s="395">
        <f t="shared" si="148"/>
        <v>-97002.312160012429</v>
      </c>
      <c r="AM48" s="395">
        <f t="shared" si="148"/>
        <v>-99646.838288779254</v>
      </c>
      <c r="AN48" s="395">
        <f t="shared" si="148"/>
        <v>-102215.71012315898</v>
      </c>
      <c r="AO48" s="395">
        <f t="shared" si="148"/>
        <v>-104929.47587304725</v>
      </c>
      <c r="AP48" s="395">
        <f t="shared" ref="AP48:BU48" si="149" xml:space="preserve"> AP45 + AP46 - AP47</f>
        <v>-107603.73895144949</v>
      </c>
      <c r="AQ48" s="395">
        <f t="shared" si="149"/>
        <v>-110448.8004433748</v>
      </c>
      <c r="AR48" s="395">
        <f t="shared" si="149"/>
        <v>-113293.18176570901</v>
      </c>
      <c r="AS48" s="395">
        <f t="shared" si="149"/>
        <v>-116336.16979353175</v>
      </c>
      <c r="AT48" s="395">
        <f t="shared" si="149"/>
        <v>-119439.32954478693</v>
      </c>
      <c r="AU48" s="395">
        <f t="shared" si="149"/>
        <v>-122783.28689855202</v>
      </c>
      <c r="AV48" s="395">
        <f t="shared" si="149"/>
        <v>-125938.82895581868</v>
      </c>
      <c r="AW48" s="395">
        <f t="shared" si="149"/>
        <v>-128495.97949982531</v>
      </c>
      <c r="AX48" s="395">
        <f t="shared" si="149"/>
        <v>-130818.14034196499</v>
      </c>
      <c r="AY48" s="395">
        <f t="shared" si="149"/>
        <v>-133052.756299192</v>
      </c>
      <c r="AZ48" s="395">
        <f t="shared" si="149"/>
        <v>-135038.44174211932</v>
      </c>
      <c r="BA48" s="395">
        <f t="shared" si="149"/>
        <v>-136923.40408989237</v>
      </c>
      <c r="BB48" s="395">
        <f t="shared" si="149"/>
        <v>-139488.01257311381</v>
      </c>
      <c r="BC48" s="395">
        <f t="shared" si="149"/>
        <v>-139488.01257311381</v>
      </c>
      <c r="BD48" s="395">
        <f t="shared" si="149"/>
        <v>-139488.01257311381</v>
      </c>
      <c r="BE48" s="395">
        <f t="shared" si="149"/>
        <v>-139488.01257311381</v>
      </c>
      <c r="BF48" s="395">
        <f t="shared" si="149"/>
        <v>-139488.01257311381</v>
      </c>
      <c r="BG48" s="395">
        <f t="shared" si="149"/>
        <v>-139488.01257311381</v>
      </c>
      <c r="BH48" s="395">
        <f t="shared" si="149"/>
        <v>-139488.01257311381</v>
      </c>
      <c r="BI48" s="395">
        <f t="shared" si="149"/>
        <v>-139488.01257311381</v>
      </c>
      <c r="BJ48" s="395">
        <f t="shared" si="149"/>
        <v>-139488.01257311381</v>
      </c>
      <c r="BK48" s="395">
        <f t="shared" si="149"/>
        <v>-139488.01257311381</v>
      </c>
      <c r="BL48" s="395">
        <f t="shared" si="149"/>
        <v>-139488.01257311381</v>
      </c>
      <c r="BM48" s="395">
        <f t="shared" si="149"/>
        <v>-139488.01257311381</v>
      </c>
      <c r="BN48" s="395">
        <f t="shared" si="149"/>
        <v>-139488.01257311381</v>
      </c>
      <c r="BO48" s="395">
        <f t="shared" si="149"/>
        <v>-139488.01257311381</v>
      </c>
      <c r="BP48" s="395">
        <f t="shared" si="149"/>
        <v>-139488.01257311381</v>
      </c>
      <c r="BQ48" s="395">
        <f t="shared" si="149"/>
        <v>-139488.01257311381</v>
      </c>
      <c r="BR48" s="395">
        <f t="shared" si="149"/>
        <v>-139488.01257311381</v>
      </c>
      <c r="BS48" s="395">
        <f t="shared" si="149"/>
        <v>-139488.01257311381</v>
      </c>
      <c r="BT48" s="395">
        <f t="shared" si="149"/>
        <v>-139488.01257311381</v>
      </c>
      <c r="BU48" s="395">
        <f t="shared" si="149"/>
        <v>-139488.01257311381</v>
      </c>
      <c r="BV48" s="395">
        <f t="shared" ref="BV48:CV48" si="150" xml:space="preserve"> BV45 + BV46 - BV47</f>
        <v>-139488.01257311381</v>
      </c>
      <c r="BW48" s="395">
        <f t="shared" si="150"/>
        <v>-139488.01257311381</v>
      </c>
      <c r="BX48" s="395">
        <f t="shared" si="150"/>
        <v>-139488.01257311381</v>
      </c>
      <c r="BY48" s="395">
        <f t="shared" si="150"/>
        <v>-139488.01257311381</v>
      </c>
      <c r="BZ48" s="395">
        <f t="shared" si="150"/>
        <v>-139488.01257311381</v>
      </c>
      <c r="CA48" s="395">
        <f t="shared" si="150"/>
        <v>-139488.01257311381</v>
      </c>
      <c r="CB48" s="395">
        <f t="shared" si="150"/>
        <v>-139488.01257311381</v>
      </c>
      <c r="CC48" s="395">
        <f t="shared" si="150"/>
        <v>-139488.01257311381</v>
      </c>
      <c r="CD48" s="395">
        <f t="shared" si="150"/>
        <v>-139488.01257311381</v>
      </c>
      <c r="CE48" s="395">
        <f t="shared" si="150"/>
        <v>-139488.01257311381</v>
      </c>
      <c r="CF48" s="395">
        <f t="shared" si="150"/>
        <v>-139488.01257311381</v>
      </c>
      <c r="CG48" s="395">
        <f t="shared" si="150"/>
        <v>-139488.01257311381</v>
      </c>
      <c r="CH48" s="395">
        <f t="shared" si="150"/>
        <v>-139488.01257311381</v>
      </c>
      <c r="CI48" s="395">
        <f t="shared" si="150"/>
        <v>-139488.01257311381</v>
      </c>
      <c r="CJ48" s="395">
        <f t="shared" si="150"/>
        <v>-139488.01257311381</v>
      </c>
      <c r="CK48" s="395">
        <f t="shared" si="150"/>
        <v>-139488.01257311381</v>
      </c>
      <c r="CL48" s="395">
        <f t="shared" si="150"/>
        <v>-139488.01257311381</v>
      </c>
      <c r="CM48" s="395">
        <f t="shared" si="150"/>
        <v>-139488.01257311381</v>
      </c>
      <c r="CN48" s="395">
        <f t="shared" si="150"/>
        <v>-139488.01257311381</v>
      </c>
      <c r="CO48" s="395">
        <f t="shared" si="150"/>
        <v>-139488.01257311381</v>
      </c>
      <c r="CP48" s="395">
        <f t="shared" si="150"/>
        <v>-139488.01257311381</v>
      </c>
      <c r="CQ48" s="395">
        <f t="shared" si="150"/>
        <v>-139488.01257311381</v>
      </c>
      <c r="CR48" s="395">
        <f t="shared" si="150"/>
        <v>-139488.01257311381</v>
      </c>
      <c r="CS48" s="395">
        <f t="shared" si="150"/>
        <v>-139488.01257311381</v>
      </c>
      <c r="CT48" s="395">
        <f t="shared" si="150"/>
        <v>-139488.01257311381</v>
      </c>
      <c r="CU48" s="395">
        <f t="shared" si="150"/>
        <v>-139488.01257311381</v>
      </c>
      <c r="CV48" s="395">
        <f t="shared" si="150"/>
        <v>-139488.01257311381</v>
      </c>
    </row>
    <row r="49" spans="1:100" outlineLevel="1" x14ac:dyDescent="0.2">
      <c r="A49" s="236"/>
      <c r="B49" s="236"/>
      <c r="C49" s="237"/>
      <c r="D49" s="238"/>
      <c r="E49" s="235"/>
      <c r="F49" s="235"/>
      <c r="G49" s="235"/>
      <c r="H49" s="235"/>
      <c r="I49" s="235"/>
      <c r="J49" s="235"/>
      <c r="K49" s="235"/>
      <c r="L49" s="235"/>
      <c r="M49" s="235"/>
      <c r="N49" s="235"/>
      <c r="O49" s="235"/>
      <c r="P49" s="235"/>
      <c r="Q49" s="235"/>
      <c r="R49" s="235"/>
      <c r="S49" s="235"/>
      <c r="T49" s="235"/>
      <c r="U49" s="235"/>
      <c r="V49" s="235"/>
      <c r="W49" s="235"/>
      <c r="X49" s="235"/>
      <c r="Y49" s="235"/>
      <c r="Z49" s="235"/>
      <c r="AA49" s="235"/>
      <c r="AB49" s="235"/>
      <c r="AC49" s="235"/>
      <c r="AD49" s="235"/>
      <c r="AE49" s="235"/>
      <c r="AF49" s="235"/>
      <c r="AG49" s="235"/>
      <c r="AH49" s="235"/>
      <c r="AI49" s="235"/>
      <c r="AJ49" s="235"/>
      <c r="AK49" s="235"/>
      <c r="AL49" s="235"/>
      <c r="AM49" s="235"/>
      <c r="AN49" s="235"/>
      <c r="AO49" s="235"/>
      <c r="AP49" s="235"/>
      <c r="AQ49" s="235"/>
      <c r="AR49" s="235"/>
      <c r="AS49" s="235"/>
      <c r="AT49" s="235"/>
      <c r="AU49" s="235"/>
      <c r="AV49" s="235"/>
      <c r="AW49" s="235"/>
      <c r="AX49" s="235"/>
      <c r="AY49" s="235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  <c r="BJ49" s="235"/>
      <c r="BK49" s="235"/>
      <c r="BL49" s="235"/>
      <c r="BM49" s="235"/>
      <c r="BN49" s="235"/>
      <c r="BO49" s="235"/>
      <c r="BP49" s="235"/>
      <c r="BQ49" s="235"/>
      <c r="BR49" s="235"/>
      <c r="BS49" s="235"/>
      <c r="BT49" s="235"/>
      <c r="BU49" s="235"/>
      <c r="BV49" s="235"/>
      <c r="BW49" s="235"/>
      <c r="BX49" s="235"/>
      <c r="BY49" s="235"/>
      <c r="BZ49" s="235"/>
      <c r="CA49" s="235"/>
      <c r="CB49" s="235"/>
      <c r="CC49" s="235"/>
      <c r="CD49" s="235"/>
      <c r="CE49" s="235"/>
      <c r="CF49" s="235"/>
      <c r="CG49" s="235"/>
      <c r="CH49" s="235"/>
      <c r="CI49" s="235"/>
      <c r="CJ49" s="235"/>
      <c r="CK49" s="235"/>
      <c r="CL49" s="235"/>
      <c r="CM49" s="235"/>
      <c r="CN49" s="235"/>
      <c r="CO49" s="235"/>
      <c r="CP49" s="235"/>
      <c r="CQ49" s="235"/>
      <c r="CR49" s="235"/>
      <c r="CS49" s="235"/>
      <c r="CT49" s="235"/>
      <c r="CU49" s="235"/>
      <c r="CV49" s="235"/>
    </row>
    <row r="50" spans="1:100" x14ac:dyDescent="0.2"/>
    <row r="51" spans="1:100" x14ac:dyDescent="0.2">
      <c r="A51" s="15" t="s">
        <v>133</v>
      </c>
    </row>
    <row r="52" spans="1:100" outlineLevel="1" x14ac:dyDescent="0.2"/>
    <row r="53" spans="1:100" s="626" customFormat="1" outlineLevel="1" x14ac:dyDescent="0.2">
      <c r="A53" s="621"/>
      <c r="B53" s="621"/>
      <c r="C53" s="622"/>
      <c r="D53" s="623"/>
      <c r="E53" s="624" t="s">
        <v>134</v>
      </c>
      <c r="F53" s="624"/>
      <c r="G53" s="624" t="str">
        <f xml:space="preserve"> SMU</f>
        <v>$ 000s</v>
      </c>
      <c r="H53" s="624"/>
      <c r="I53" s="625"/>
      <c r="J53" s="624">
        <f t="shared" ref="J53:AO53" si="151" xml:space="preserve"> I56</f>
        <v>0</v>
      </c>
      <c r="K53" s="624">
        <f t="shared" si="151"/>
        <v>-1.5558398445136845E-6</v>
      </c>
      <c r="L53" s="624">
        <f t="shared" si="151"/>
        <v>-1.402249836246483E-5</v>
      </c>
      <c r="M53" s="624">
        <f t="shared" si="151"/>
        <v>-3.0776860512560233E-5</v>
      </c>
      <c r="N53" s="624">
        <f t="shared" si="151"/>
        <v>-5.0199549150420353E-5</v>
      </c>
      <c r="O53" s="624">
        <f t="shared" si="151"/>
        <v>-4.0178145100071561E-3</v>
      </c>
      <c r="P53" s="624">
        <f t="shared" si="151"/>
        <v>0</v>
      </c>
      <c r="Q53" s="624">
        <f t="shared" si="151"/>
        <v>0</v>
      </c>
      <c r="R53" s="624">
        <f t="shared" si="151"/>
        <v>0</v>
      </c>
      <c r="S53" s="624">
        <f t="shared" si="151"/>
        <v>0</v>
      </c>
      <c r="T53" s="624">
        <f t="shared" si="151"/>
        <v>0</v>
      </c>
      <c r="U53" s="624">
        <f t="shared" si="151"/>
        <v>0</v>
      </c>
      <c r="V53" s="624">
        <f t="shared" si="151"/>
        <v>0</v>
      </c>
      <c r="W53" s="624">
        <f t="shared" si="151"/>
        <v>0</v>
      </c>
      <c r="X53" s="624">
        <f t="shared" si="151"/>
        <v>0</v>
      </c>
      <c r="Y53" s="624">
        <f t="shared" si="151"/>
        <v>0</v>
      </c>
      <c r="Z53" s="624">
        <f t="shared" si="151"/>
        <v>0</v>
      </c>
      <c r="AA53" s="624">
        <f t="shared" si="151"/>
        <v>0</v>
      </c>
      <c r="AB53" s="624">
        <f t="shared" si="151"/>
        <v>0</v>
      </c>
      <c r="AC53" s="624">
        <f t="shared" si="151"/>
        <v>0</v>
      </c>
      <c r="AD53" s="624">
        <f t="shared" si="151"/>
        <v>0</v>
      </c>
      <c r="AE53" s="624">
        <f t="shared" si="151"/>
        <v>0</v>
      </c>
      <c r="AF53" s="624">
        <f t="shared" si="151"/>
        <v>0</v>
      </c>
      <c r="AG53" s="624">
        <f t="shared" si="151"/>
        <v>0</v>
      </c>
      <c r="AH53" s="624">
        <f t="shared" si="151"/>
        <v>0</v>
      </c>
      <c r="AI53" s="624">
        <f t="shared" si="151"/>
        <v>0</v>
      </c>
      <c r="AJ53" s="624">
        <f t="shared" si="151"/>
        <v>0</v>
      </c>
      <c r="AK53" s="624">
        <f t="shared" si="151"/>
        <v>0</v>
      </c>
      <c r="AL53" s="624">
        <f t="shared" si="151"/>
        <v>0</v>
      </c>
      <c r="AM53" s="624">
        <f t="shared" si="151"/>
        <v>0</v>
      </c>
      <c r="AN53" s="624">
        <f t="shared" si="151"/>
        <v>0</v>
      </c>
      <c r="AO53" s="624">
        <f t="shared" si="151"/>
        <v>0</v>
      </c>
      <c r="AP53" s="624">
        <f t="shared" ref="AP53:BU53" si="152" xml:space="preserve"> AO56</f>
        <v>0</v>
      </c>
      <c r="AQ53" s="624">
        <f t="shared" si="152"/>
        <v>0</v>
      </c>
      <c r="AR53" s="624">
        <f t="shared" si="152"/>
        <v>0</v>
      </c>
      <c r="AS53" s="624">
        <f t="shared" si="152"/>
        <v>0</v>
      </c>
      <c r="AT53" s="624">
        <f t="shared" si="152"/>
        <v>0</v>
      </c>
      <c r="AU53" s="624">
        <f t="shared" si="152"/>
        <v>0</v>
      </c>
      <c r="AV53" s="624">
        <f t="shared" si="152"/>
        <v>0</v>
      </c>
      <c r="AW53" s="624">
        <f t="shared" si="152"/>
        <v>0</v>
      </c>
      <c r="AX53" s="624">
        <f t="shared" si="152"/>
        <v>0</v>
      </c>
      <c r="AY53" s="624">
        <f t="shared" si="152"/>
        <v>0</v>
      </c>
      <c r="AZ53" s="624">
        <f t="shared" si="152"/>
        <v>0</v>
      </c>
      <c r="BA53" s="624">
        <f t="shared" si="152"/>
        <v>0</v>
      </c>
      <c r="BB53" s="624">
        <f t="shared" si="152"/>
        <v>0</v>
      </c>
      <c r="BC53" s="624">
        <f t="shared" si="152"/>
        <v>0</v>
      </c>
      <c r="BD53" s="624">
        <f t="shared" si="152"/>
        <v>0</v>
      </c>
      <c r="BE53" s="624">
        <f t="shared" si="152"/>
        <v>0</v>
      </c>
      <c r="BF53" s="624">
        <f t="shared" si="152"/>
        <v>0</v>
      </c>
      <c r="BG53" s="624">
        <f t="shared" si="152"/>
        <v>0</v>
      </c>
      <c r="BH53" s="624">
        <f t="shared" si="152"/>
        <v>0</v>
      </c>
      <c r="BI53" s="624">
        <f t="shared" si="152"/>
        <v>0</v>
      </c>
      <c r="BJ53" s="624">
        <f t="shared" si="152"/>
        <v>0</v>
      </c>
      <c r="BK53" s="624">
        <f t="shared" si="152"/>
        <v>0</v>
      </c>
      <c r="BL53" s="624">
        <f t="shared" si="152"/>
        <v>0</v>
      </c>
      <c r="BM53" s="624">
        <f t="shared" si="152"/>
        <v>0</v>
      </c>
      <c r="BN53" s="624">
        <f t="shared" si="152"/>
        <v>0</v>
      </c>
      <c r="BO53" s="624">
        <f t="shared" si="152"/>
        <v>0</v>
      </c>
      <c r="BP53" s="624">
        <f t="shared" si="152"/>
        <v>0</v>
      </c>
      <c r="BQ53" s="624">
        <f t="shared" si="152"/>
        <v>0</v>
      </c>
      <c r="BR53" s="624">
        <f t="shared" si="152"/>
        <v>0</v>
      </c>
      <c r="BS53" s="624">
        <f t="shared" si="152"/>
        <v>0</v>
      </c>
      <c r="BT53" s="624">
        <f t="shared" si="152"/>
        <v>0</v>
      </c>
      <c r="BU53" s="624">
        <f t="shared" si="152"/>
        <v>0</v>
      </c>
      <c r="BV53" s="624">
        <f t="shared" ref="BV53:CV53" si="153" xml:space="preserve"> BU56</f>
        <v>0</v>
      </c>
      <c r="BW53" s="624">
        <f t="shared" si="153"/>
        <v>0</v>
      </c>
      <c r="BX53" s="624">
        <f t="shared" si="153"/>
        <v>0</v>
      </c>
      <c r="BY53" s="624">
        <f t="shared" si="153"/>
        <v>0</v>
      </c>
      <c r="BZ53" s="624">
        <f t="shared" si="153"/>
        <v>0</v>
      </c>
      <c r="CA53" s="624">
        <f t="shared" si="153"/>
        <v>0</v>
      </c>
      <c r="CB53" s="624">
        <f t="shared" si="153"/>
        <v>0</v>
      </c>
      <c r="CC53" s="624">
        <f t="shared" si="153"/>
        <v>0</v>
      </c>
      <c r="CD53" s="624">
        <f t="shared" si="153"/>
        <v>0</v>
      </c>
      <c r="CE53" s="624">
        <f t="shared" si="153"/>
        <v>0</v>
      </c>
      <c r="CF53" s="624">
        <f t="shared" si="153"/>
        <v>0</v>
      </c>
      <c r="CG53" s="624">
        <f t="shared" si="153"/>
        <v>0</v>
      </c>
      <c r="CH53" s="624">
        <f t="shared" si="153"/>
        <v>0</v>
      </c>
      <c r="CI53" s="624">
        <f t="shared" si="153"/>
        <v>0</v>
      </c>
      <c r="CJ53" s="624">
        <f t="shared" si="153"/>
        <v>0</v>
      </c>
      <c r="CK53" s="624">
        <f t="shared" si="153"/>
        <v>0</v>
      </c>
      <c r="CL53" s="624">
        <f t="shared" si="153"/>
        <v>0</v>
      </c>
      <c r="CM53" s="624">
        <f t="shared" si="153"/>
        <v>0</v>
      </c>
      <c r="CN53" s="624">
        <f t="shared" si="153"/>
        <v>0</v>
      </c>
      <c r="CO53" s="624">
        <f t="shared" si="153"/>
        <v>0</v>
      </c>
      <c r="CP53" s="624">
        <f t="shared" si="153"/>
        <v>0</v>
      </c>
      <c r="CQ53" s="624">
        <f t="shared" si="153"/>
        <v>0</v>
      </c>
      <c r="CR53" s="624">
        <f t="shared" si="153"/>
        <v>0</v>
      </c>
      <c r="CS53" s="624">
        <f t="shared" si="153"/>
        <v>0</v>
      </c>
      <c r="CT53" s="624">
        <f t="shared" si="153"/>
        <v>0</v>
      </c>
      <c r="CU53" s="624">
        <f t="shared" si="153"/>
        <v>0</v>
      </c>
      <c r="CV53" s="624">
        <f t="shared" si="153"/>
        <v>0</v>
      </c>
    </row>
    <row r="54" spans="1:100" s="498" customFormat="1" outlineLevel="1" x14ac:dyDescent="0.2">
      <c r="A54" s="15"/>
      <c r="B54" s="15"/>
      <c r="C54" s="21"/>
      <c r="D54" s="48"/>
      <c r="E54" s="390" t="str">
        <f xml:space="preserve"> 'FS Semi'!E$93</f>
        <v>Cash flow available for dividends</v>
      </c>
      <c r="F54" s="390">
        <f xml:space="preserve"> 'FS Semi'!F$93</f>
        <v>0</v>
      </c>
      <c r="G54" s="390" t="str">
        <f xml:space="preserve"> 'FS Semi'!G$93</f>
        <v>$ 000s</v>
      </c>
      <c r="H54" s="390">
        <f xml:space="preserve"> 'FS Semi'!H$93</f>
        <v>0</v>
      </c>
      <c r="I54" s="390">
        <f xml:space="preserve"> 'FS Semi'!I$93</f>
        <v>0</v>
      </c>
      <c r="J54" s="390">
        <f xml:space="preserve"> 'FS Semi'!J$93</f>
        <v>-1.5558398445136845E-6</v>
      </c>
      <c r="K54" s="390">
        <f xml:space="preserve"> 'FS Semi'!K$93</f>
        <v>-1.2466658517951146E-5</v>
      </c>
      <c r="L54" s="390">
        <f xml:space="preserve"> 'FS Semi'!L$93</f>
        <v>-1.6754362150095403E-5</v>
      </c>
      <c r="M54" s="390">
        <f xml:space="preserve"> 'FS Semi'!M$93</f>
        <v>-1.9422688637860119E-5</v>
      </c>
      <c r="N54" s="390">
        <f xml:space="preserve"> 'FS Semi'!N$93</f>
        <v>-3.9676149608567357E-3</v>
      </c>
      <c r="O54" s="390">
        <f xml:space="preserve"> 'FS Semi'!O$93</f>
        <v>4.0178145100071561E-3</v>
      </c>
      <c r="P54" s="390">
        <f xml:space="preserve"> 'FS Semi'!P$93</f>
        <v>0</v>
      </c>
      <c r="Q54" s="390">
        <f xml:space="preserve"> 'FS Semi'!Q$93</f>
        <v>0</v>
      </c>
      <c r="R54" s="390">
        <f xml:space="preserve"> 'FS Semi'!R$93</f>
        <v>0</v>
      </c>
      <c r="S54" s="390">
        <f xml:space="preserve"> 'FS Semi'!S$93</f>
        <v>0</v>
      </c>
      <c r="T54" s="390">
        <f xml:space="preserve"> 'FS Semi'!T$93</f>
        <v>0</v>
      </c>
      <c r="U54" s="390">
        <f xml:space="preserve"> 'FS Semi'!U$93</f>
        <v>0</v>
      </c>
      <c r="V54" s="390">
        <f xml:space="preserve"> 'FS Semi'!V$93</f>
        <v>0</v>
      </c>
      <c r="W54" s="390">
        <f xml:space="preserve"> 'FS Semi'!W$93</f>
        <v>0</v>
      </c>
      <c r="X54" s="390">
        <f xml:space="preserve"> 'FS Semi'!X$93</f>
        <v>0</v>
      </c>
      <c r="Y54" s="390">
        <f xml:space="preserve"> 'FS Semi'!Y$93</f>
        <v>0</v>
      </c>
      <c r="Z54" s="390">
        <f xml:space="preserve"> 'FS Semi'!Z$93</f>
        <v>0</v>
      </c>
      <c r="AA54" s="390">
        <f xml:space="preserve"> 'FS Semi'!AA$93</f>
        <v>0</v>
      </c>
      <c r="AB54" s="390">
        <f xml:space="preserve"> 'FS Semi'!AB$93</f>
        <v>0</v>
      </c>
      <c r="AC54" s="390">
        <f xml:space="preserve"> 'FS Semi'!AC$93</f>
        <v>0</v>
      </c>
      <c r="AD54" s="390">
        <f xml:space="preserve"> 'FS Semi'!AD$93</f>
        <v>0</v>
      </c>
      <c r="AE54" s="390">
        <f xml:space="preserve"> 'FS Semi'!AE$93</f>
        <v>0</v>
      </c>
      <c r="AF54" s="390">
        <f xml:space="preserve"> 'FS Semi'!AF$93</f>
        <v>0</v>
      </c>
      <c r="AG54" s="390">
        <f xml:space="preserve"> 'FS Semi'!AG$93</f>
        <v>0</v>
      </c>
      <c r="AH54" s="390">
        <f xml:space="preserve"> 'FS Semi'!AH$93</f>
        <v>0</v>
      </c>
      <c r="AI54" s="390">
        <f xml:space="preserve"> 'FS Semi'!AI$93</f>
        <v>0</v>
      </c>
      <c r="AJ54" s="390">
        <f xml:space="preserve"> 'FS Semi'!AJ$93</f>
        <v>0</v>
      </c>
      <c r="AK54" s="390">
        <f xml:space="preserve"> 'FS Semi'!AK$93</f>
        <v>0</v>
      </c>
      <c r="AL54" s="390">
        <f xml:space="preserve"> 'FS Semi'!AL$93</f>
        <v>0</v>
      </c>
      <c r="AM54" s="390">
        <f xml:space="preserve"> 'FS Semi'!AM$93</f>
        <v>0</v>
      </c>
      <c r="AN54" s="390">
        <f xml:space="preserve"> 'FS Semi'!AN$93</f>
        <v>0</v>
      </c>
      <c r="AO54" s="390">
        <f xml:space="preserve"> 'FS Semi'!AO$93</f>
        <v>0</v>
      </c>
      <c r="AP54" s="390">
        <f xml:space="preserve"> 'FS Semi'!AP$93</f>
        <v>0</v>
      </c>
      <c r="AQ54" s="390">
        <f xml:space="preserve"> 'FS Semi'!AQ$93</f>
        <v>0</v>
      </c>
      <c r="AR54" s="390">
        <f xml:space="preserve"> 'FS Semi'!AR$93</f>
        <v>0</v>
      </c>
      <c r="AS54" s="390">
        <f xml:space="preserve"> 'FS Semi'!AS$93</f>
        <v>0</v>
      </c>
      <c r="AT54" s="390">
        <f xml:space="preserve"> 'FS Semi'!AT$93</f>
        <v>0</v>
      </c>
      <c r="AU54" s="390">
        <f xml:space="preserve"> 'FS Semi'!AU$93</f>
        <v>0</v>
      </c>
      <c r="AV54" s="390">
        <f xml:space="preserve"> 'FS Semi'!AV$93</f>
        <v>0</v>
      </c>
      <c r="AW54" s="390">
        <f xml:space="preserve"> 'FS Semi'!AW$93</f>
        <v>0</v>
      </c>
      <c r="AX54" s="390">
        <f xml:space="preserve"> 'FS Semi'!AX$93</f>
        <v>0</v>
      </c>
      <c r="AY54" s="390">
        <f xml:space="preserve"> 'FS Semi'!AY$93</f>
        <v>0</v>
      </c>
      <c r="AZ54" s="390">
        <f xml:space="preserve"> 'FS Semi'!AZ$93</f>
        <v>0</v>
      </c>
      <c r="BA54" s="390">
        <f xml:space="preserve"> 'FS Semi'!BA$93</f>
        <v>0</v>
      </c>
      <c r="BB54" s="390">
        <f xml:space="preserve"> 'FS Semi'!BB$93</f>
        <v>0</v>
      </c>
      <c r="BC54" s="390">
        <f xml:space="preserve"> 'FS Semi'!BC$93</f>
        <v>0</v>
      </c>
      <c r="BD54" s="390">
        <f xml:space="preserve"> 'FS Semi'!BD$93</f>
        <v>0</v>
      </c>
      <c r="BE54" s="390">
        <f xml:space="preserve"> 'FS Semi'!BE$93</f>
        <v>0</v>
      </c>
      <c r="BF54" s="390">
        <f xml:space="preserve"> 'FS Semi'!BF$93</f>
        <v>0</v>
      </c>
      <c r="BG54" s="390">
        <f xml:space="preserve"> 'FS Semi'!BG$93</f>
        <v>0</v>
      </c>
      <c r="BH54" s="390">
        <f xml:space="preserve"> 'FS Semi'!BH$93</f>
        <v>0</v>
      </c>
      <c r="BI54" s="390">
        <f xml:space="preserve"> 'FS Semi'!BI$93</f>
        <v>0</v>
      </c>
      <c r="BJ54" s="390">
        <f xml:space="preserve"> 'FS Semi'!BJ$93</f>
        <v>0</v>
      </c>
      <c r="BK54" s="390">
        <f xml:space="preserve"> 'FS Semi'!BK$93</f>
        <v>0</v>
      </c>
      <c r="BL54" s="390">
        <f xml:space="preserve"> 'FS Semi'!BL$93</f>
        <v>0</v>
      </c>
      <c r="BM54" s="390">
        <f xml:space="preserve"> 'FS Semi'!BM$93</f>
        <v>0</v>
      </c>
      <c r="BN54" s="390">
        <f xml:space="preserve"> 'FS Semi'!BN$93</f>
        <v>0</v>
      </c>
      <c r="BO54" s="390">
        <f xml:space="preserve"> 'FS Semi'!BO$93</f>
        <v>0</v>
      </c>
      <c r="BP54" s="390">
        <f xml:space="preserve"> 'FS Semi'!BP$93</f>
        <v>0</v>
      </c>
      <c r="BQ54" s="390">
        <f xml:space="preserve"> 'FS Semi'!BQ$93</f>
        <v>0</v>
      </c>
      <c r="BR54" s="390">
        <f xml:space="preserve"> 'FS Semi'!BR$93</f>
        <v>0</v>
      </c>
      <c r="BS54" s="390">
        <f xml:space="preserve"> 'FS Semi'!BS$93</f>
        <v>0</v>
      </c>
      <c r="BT54" s="390">
        <f xml:space="preserve"> 'FS Semi'!BT$93</f>
        <v>0</v>
      </c>
      <c r="BU54" s="390">
        <f xml:space="preserve"> 'FS Semi'!BU$93</f>
        <v>0</v>
      </c>
      <c r="BV54" s="390">
        <f xml:space="preserve"> 'FS Semi'!BV$93</f>
        <v>0</v>
      </c>
      <c r="BW54" s="390">
        <f xml:space="preserve"> 'FS Semi'!BW$93</f>
        <v>0</v>
      </c>
      <c r="BX54" s="390">
        <f xml:space="preserve"> 'FS Semi'!BX$93</f>
        <v>0</v>
      </c>
      <c r="BY54" s="390">
        <f xml:space="preserve"> 'FS Semi'!BY$93</f>
        <v>0</v>
      </c>
      <c r="BZ54" s="390">
        <f xml:space="preserve"> 'FS Semi'!BZ$93</f>
        <v>0</v>
      </c>
      <c r="CA54" s="390">
        <f xml:space="preserve"> 'FS Semi'!CA$93</f>
        <v>0</v>
      </c>
      <c r="CB54" s="390">
        <f xml:space="preserve"> 'FS Semi'!CB$93</f>
        <v>0</v>
      </c>
      <c r="CC54" s="390">
        <f xml:space="preserve"> 'FS Semi'!CC$93</f>
        <v>0</v>
      </c>
      <c r="CD54" s="390">
        <f xml:space="preserve"> 'FS Semi'!CD$93</f>
        <v>0</v>
      </c>
      <c r="CE54" s="390">
        <f xml:space="preserve"> 'FS Semi'!CE$93</f>
        <v>0</v>
      </c>
      <c r="CF54" s="390">
        <f xml:space="preserve"> 'FS Semi'!CF$93</f>
        <v>0</v>
      </c>
      <c r="CG54" s="390">
        <f xml:space="preserve"> 'FS Semi'!CG$93</f>
        <v>0</v>
      </c>
      <c r="CH54" s="390">
        <f xml:space="preserve"> 'FS Semi'!CH$93</f>
        <v>0</v>
      </c>
      <c r="CI54" s="390">
        <f xml:space="preserve"> 'FS Semi'!CI$93</f>
        <v>0</v>
      </c>
      <c r="CJ54" s="390">
        <f xml:space="preserve"> 'FS Semi'!CJ$93</f>
        <v>0</v>
      </c>
      <c r="CK54" s="390">
        <f xml:space="preserve"> 'FS Semi'!CK$93</f>
        <v>0</v>
      </c>
      <c r="CL54" s="390">
        <f xml:space="preserve"> 'FS Semi'!CL$93</f>
        <v>0</v>
      </c>
      <c r="CM54" s="390">
        <f xml:space="preserve"> 'FS Semi'!CM$93</f>
        <v>0</v>
      </c>
      <c r="CN54" s="390">
        <f xml:space="preserve"> 'FS Semi'!CN$93</f>
        <v>0</v>
      </c>
      <c r="CO54" s="390">
        <f xml:space="preserve"> 'FS Semi'!CO$93</f>
        <v>0</v>
      </c>
      <c r="CP54" s="390">
        <f xml:space="preserve"> 'FS Semi'!CP$93</f>
        <v>0</v>
      </c>
      <c r="CQ54" s="390">
        <f xml:space="preserve"> 'FS Semi'!CQ$93</f>
        <v>0</v>
      </c>
      <c r="CR54" s="390">
        <f xml:space="preserve"> 'FS Semi'!CR$93</f>
        <v>0</v>
      </c>
      <c r="CS54" s="390">
        <f xml:space="preserve"> 'FS Semi'!CS$93</f>
        <v>0</v>
      </c>
      <c r="CT54" s="390">
        <f xml:space="preserve"> 'FS Semi'!CT$93</f>
        <v>0</v>
      </c>
      <c r="CU54" s="390">
        <f xml:space="preserve"> 'FS Semi'!CU$93</f>
        <v>0</v>
      </c>
      <c r="CV54" s="390">
        <f xml:space="preserve"> 'FS Semi'!CV$93</f>
        <v>0</v>
      </c>
    </row>
    <row r="55" spans="1:100" s="498" customFormat="1" outlineLevel="1" x14ac:dyDescent="0.2">
      <c r="A55" s="15"/>
      <c r="B55" s="15"/>
      <c r="C55" s="21"/>
      <c r="D55" s="48"/>
      <c r="E55" s="126" t="str">
        <f t="shared" ref="E55:BP55" si="154" xml:space="preserve"> E$80</f>
        <v>Dividends paid POS</v>
      </c>
      <c r="F55" s="126">
        <f t="shared" si="154"/>
        <v>0</v>
      </c>
      <c r="G55" s="126" t="str">
        <f t="shared" si="154"/>
        <v>$ 000s</v>
      </c>
      <c r="H55" s="126">
        <f t="shared" si="154"/>
        <v>0</v>
      </c>
      <c r="I55" s="126">
        <f t="shared" si="154"/>
        <v>0</v>
      </c>
      <c r="J55" s="126">
        <f t="shared" si="154"/>
        <v>0</v>
      </c>
      <c r="K55" s="126">
        <f t="shared" si="154"/>
        <v>0</v>
      </c>
      <c r="L55" s="126">
        <f t="shared" si="154"/>
        <v>0</v>
      </c>
      <c r="M55" s="126">
        <f t="shared" si="154"/>
        <v>0</v>
      </c>
      <c r="N55" s="126">
        <f t="shared" si="154"/>
        <v>0</v>
      </c>
      <c r="O55" s="126">
        <f t="shared" si="154"/>
        <v>0</v>
      </c>
      <c r="P55" s="126">
        <f t="shared" si="154"/>
        <v>0</v>
      </c>
      <c r="Q55" s="126">
        <f t="shared" si="154"/>
        <v>0</v>
      </c>
      <c r="R55" s="126">
        <f t="shared" si="154"/>
        <v>0</v>
      </c>
      <c r="S55" s="126">
        <f t="shared" si="154"/>
        <v>0</v>
      </c>
      <c r="T55" s="126">
        <f t="shared" si="154"/>
        <v>0</v>
      </c>
      <c r="U55" s="126">
        <f t="shared" si="154"/>
        <v>0</v>
      </c>
      <c r="V55" s="126">
        <f t="shared" si="154"/>
        <v>0</v>
      </c>
      <c r="W55" s="126">
        <f t="shared" si="154"/>
        <v>0</v>
      </c>
      <c r="X55" s="126">
        <f t="shared" si="154"/>
        <v>0</v>
      </c>
      <c r="Y55" s="126">
        <f t="shared" si="154"/>
        <v>0</v>
      </c>
      <c r="Z55" s="126">
        <f t="shared" si="154"/>
        <v>0</v>
      </c>
      <c r="AA55" s="126">
        <f t="shared" si="154"/>
        <v>0</v>
      </c>
      <c r="AB55" s="126">
        <f t="shared" si="154"/>
        <v>0</v>
      </c>
      <c r="AC55" s="126">
        <f t="shared" si="154"/>
        <v>0</v>
      </c>
      <c r="AD55" s="126">
        <f t="shared" si="154"/>
        <v>0</v>
      </c>
      <c r="AE55" s="126">
        <f t="shared" si="154"/>
        <v>0</v>
      </c>
      <c r="AF55" s="126">
        <f t="shared" si="154"/>
        <v>0</v>
      </c>
      <c r="AG55" s="126">
        <f t="shared" si="154"/>
        <v>0</v>
      </c>
      <c r="AH55" s="126">
        <f t="shared" si="154"/>
        <v>0</v>
      </c>
      <c r="AI55" s="126">
        <f t="shared" si="154"/>
        <v>0</v>
      </c>
      <c r="AJ55" s="126">
        <f t="shared" si="154"/>
        <v>0</v>
      </c>
      <c r="AK55" s="126">
        <f t="shared" si="154"/>
        <v>0</v>
      </c>
      <c r="AL55" s="126">
        <f t="shared" si="154"/>
        <v>0</v>
      </c>
      <c r="AM55" s="126">
        <f t="shared" si="154"/>
        <v>0</v>
      </c>
      <c r="AN55" s="126">
        <f t="shared" si="154"/>
        <v>0</v>
      </c>
      <c r="AO55" s="126">
        <f t="shared" si="154"/>
        <v>0</v>
      </c>
      <c r="AP55" s="126">
        <f t="shared" si="154"/>
        <v>0</v>
      </c>
      <c r="AQ55" s="126">
        <f t="shared" si="154"/>
        <v>0</v>
      </c>
      <c r="AR55" s="126">
        <f t="shared" si="154"/>
        <v>0</v>
      </c>
      <c r="AS55" s="126">
        <f t="shared" si="154"/>
        <v>0</v>
      </c>
      <c r="AT55" s="126">
        <f t="shared" si="154"/>
        <v>0</v>
      </c>
      <c r="AU55" s="126">
        <f t="shared" si="154"/>
        <v>0</v>
      </c>
      <c r="AV55" s="126">
        <f t="shared" si="154"/>
        <v>0</v>
      </c>
      <c r="AW55" s="126">
        <f t="shared" si="154"/>
        <v>0</v>
      </c>
      <c r="AX55" s="126">
        <f t="shared" si="154"/>
        <v>0</v>
      </c>
      <c r="AY55" s="126">
        <f t="shared" si="154"/>
        <v>0</v>
      </c>
      <c r="AZ55" s="126">
        <f t="shared" si="154"/>
        <v>0</v>
      </c>
      <c r="BA55" s="126">
        <f t="shared" si="154"/>
        <v>0</v>
      </c>
      <c r="BB55" s="126">
        <f t="shared" si="154"/>
        <v>0</v>
      </c>
      <c r="BC55" s="126">
        <f t="shared" si="154"/>
        <v>0</v>
      </c>
      <c r="BD55" s="126">
        <f t="shared" si="154"/>
        <v>0</v>
      </c>
      <c r="BE55" s="126">
        <f t="shared" si="154"/>
        <v>0</v>
      </c>
      <c r="BF55" s="126">
        <f t="shared" si="154"/>
        <v>0</v>
      </c>
      <c r="BG55" s="126">
        <f t="shared" si="154"/>
        <v>0</v>
      </c>
      <c r="BH55" s="126">
        <f t="shared" si="154"/>
        <v>0</v>
      </c>
      <c r="BI55" s="126">
        <f t="shared" si="154"/>
        <v>0</v>
      </c>
      <c r="BJ55" s="126">
        <f t="shared" si="154"/>
        <v>0</v>
      </c>
      <c r="BK55" s="126">
        <f t="shared" si="154"/>
        <v>0</v>
      </c>
      <c r="BL55" s="126">
        <f t="shared" si="154"/>
        <v>0</v>
      </c>
      <c r="BM55" s="126">
        <f t="shared" si="154"/>
        <v>0</v>
      </c>
      <c r="BN55" s="126">
        <f t="shared" si="154"/>
        <v>0</v>
      </c>
      <c r="BO55" s="126">
        <f t="shared" si="154"/>
        <v>0</v>
      </c>
      <c r="BP55" s="126">
        <f t="shared" si="154"/>
        <v>0</v>
      </c>
      <c r="BQ55" s="126">
        <f t="shared" ref="BQ55:CV55" si="155" xml:space="preserve"> BQ$80</f>
        <v>0</v>
      </c>
      <c r="BR55" s="126">
        <f t="shared" si="155"/>
        <v>0</v>
      </c>
      <c r="BS55" s="126">
        <f t="shared" si="155"/>
        <v>0</v>
      </c>
      <c r="BT55" s="126">
        <f t="shared" si="155"/>
        <v>0</v>
      </c>
      <c r="BU55" s="126">
        <f t="shared" si="155"/>
        <v>0</v>
      </c>
      <c r="BV55" s="126">
        <f t="shared" si="155"/>
        <v>0</v>
      </c>
      <c r="BW55" s="126">
        <f t="shared" si="155"/>
        <v>0</v>
      </c>
      <c r="BX55" s="126">
        <f t="shared" si="155"/>
        <v>0</v>
      </c>
      <c r="BY55" s="126">
        <f t="shared" si="155"/>
        <v>0</v>
      </c>
      <c r="BZ55" s="126">
        <f t="shared" si="155"/>
        <v>0</v>
      </c>
      <c r="CA55" s="126">
        <f t="shared" si="155"/>
        <v>0</v>
      </c>
      <c r="CB55" s="126">
        <f t="shared" si="155"/>
        <v>0</v>
      </c>
      <c r="CC55" s="126">
        <f t="shared" si="155"/>
        <v>0</v>
      </c>
      <c r="CD55" s="126">
        <f t="shared" si="155"/>
        <v>0</v>
      </c>
      <c r="CE55" s="126">
        <f t="shared" si="155"/>
        <v>0</v>
      </c>
      <c r="CF55" s="126">
        <f t="shared" si="155"/>
        <v>0</v>
      </c>
      <c r="CG55" s="126">
        <f t="shared" si="155"/>
        <v>0</v>
      </c>
      <c r="CH55" s="126">
        <f t="shared" si="155"/>
        <v>0</v>
      </c>
      <c r="CI55" s="126">
        <f t="shared" si="155"/>
        <v>0</v>
      </c>
      <c r="CJ55" s="126">
        <f t="shared" si="155"/>
        <v>0</v>
      </c>
      <c r="CK55" s="126">
        <f t="shared" si="155"/>
        <v>0</v>
      </c>
      <c r="CL55" s="126">
        <f t="shared" si="155"/>
        <v>0</v>
      </c>
      <c r="CM55" s="126">
        <f t="shared" si="155"/>
        <v>0</v>
      </c>
      <c r="CN55" s="126">
        <f t="shared" si="155"/>
        <v>0</v>
      </c>
      <c r="CO55" s="126">
        <f t="shared" si="155"/>
        <v>0</v>
      </c>
      <c r="CP55" s="126">
        <f t="shared" si="155"/>
        <v>0</v>
      </c>
      <c r="CQ55" s="126">
        <f t="shared" si="155"/>
        <v>0</v>
      </c>
      <c r="CR55" s="126">
        <f t="shared" si="155"/>
        <v>0</v>
      </c>
      <c r="CS55" s="126">
        <f t="shared" si="155"/>
        <v>0</v>
      </c>
      <c r="CT55" s="126">
        <f t="shared" si="155"/>
        <v>0</v>
      </c>
      <c r="CU55" s="126">
        <f t="shared" si="155"/>
        <v>0</v>
      </c>
      <c r="CV55" s="126">
        <f t="shared" si="155"/>
        <v>0</v>
      </c>
    </row>
    <row r="56" spans="1:100" s="541" customFormat="1" outlineLevel="1" x14ac:dyDescent="0.2">
      <c r="A56" s="391"/>
      <c r="B56" s="391"/>
      <c r="C56" s="392"/>
      <c r="D56" s="393"/>
      <c r="E56" s="395" t="s">
        <v>135</v>
      </c>
      <c r="F56" s="395"/>
      <c r="G56" s="395" t="str">
        <f xml:space="preserve"> SMU</f>
        <v>$ 000s</v>
      </c>
      <c r="H56" s="395"/>
      <c r="I56" s="395"/>
      <c r="J56" s="395">
        <f t="shared" ref="J56:AO56" si="156" xml:space="preserve"> J53 + J54 - J55</f>
        <v>-1.5558398445136845E-6</v>
      </c>
      <c r="K56" s="395">
        <f t="shared" si="156"/>
        <v>-1.402249836246483E-5</v>
      </c>
      <c r="L56" s="395">
        <f t="shared" si="156"/>
        <v>-3.0776860512560233E-5</v>
      </c>
      <c r="M56" s="395">
        <f t="shared" si="156"/>
        <v>-5.0199549150420353E-5</v>
      </c>
      <c r="N56" s="395">
        <f t="shared" si="156"/>
        <v>-4.0178145100071561E-3</v>
      </c>
      <c r="O56" s="395">
        <f t="shared" si="156"/>
        <v>0</v>
      </c>
      <c r="P56" s="395">
        <f t="shared" si="156"/>
        <v>0</v>
      </c>
      <c r="Q56" s="395">
        <f t="shared" si="156"/>
        <v>0</v>
      </c>
      <c r="R56" s="395">
        <f t="shared" si="156"/>
        <v>0</v>
      </c>
      <c r="S56" s="395">
        <f t="shared" si="156"/>
        <v>0</v>
      </c>
      <c r="T56" s="395">
        <f t="shared" si="156"/>
        <v>0</v>
      </c>
      <c r="U56" s="395">
        <f t="shared" si="156"/>
        <v>0</v>
      </c>
      <c r="V56" s="395">
        <f t="shared" si="156"/>
        <v>0</v>
      </c>
      <c r="W56" s="395">
        <f t="shared" si="156"/>
        <v>0</v>
      </c>
      <c r="X56" s="395">
        <f t="shared" si="156"/>
        <v>0</v>
      </c>
      <c r="Y56" s="395">
        <f t="shared" si="156"/>
        <v>0</v>
      </c>
      <c r="Z56" s="395">
        <f t="shared" si="156"/>
        <v>0</v>
      </c>
      <c r="AA56" s="395">
        <f t="shared" si="156"/>
        <v>0</v>
      </c>
      <c r="AB56" s="395">
        <f t="shared" si="156"/>
        <v>0</v>
      </c>
      <c r="AC56" s="395">
        <f t="shared" si="156"/>
        <v>0</v>
      </c>
      <c r="AD56" s="395">
        <f t="shared" si="156"/>
        <v>0</v>
      </c>
      <c r="AE56" s="395">
        <f t="shared" si="156"/>
        <v>0</v>
      </c>
      <c r="AF56" s="395">
        <f t="shared" si="156"/>
        <v>0</v>
      </c>
      <c r="AG56" s="395">
        <f t="shared" si="156"/>
        <v>0</v>
      </c>
      <c r="AH56" s="395">
        <f t="shared" si="156"/>
        <v>0</v>
      </c>
      <c r="AI56" s="395">
        <f t="shared" si="156"/>
        <v>0</v>
      </c>
      <c r="AJ56" s="395">
        <f t="shared" si="156"/>
        <v>0</v>
      </c>
      <c r="AK56" s="395">
        <f t="shared" si="156"/>
        <v>0</v>
      </c>
      <c r="AL56" s="395">
        <f t="shared" si="156"/>
        <v>0</v>
      </c>
      <c r="AM56" s="395">
        <f t="shared" si="156"/>
        <v>0</v>
      </c>
      <c r="AN56" s="395">
        <f t="shared" si="156"/>
        <v>0</v>
      </c>
      <c r="AO56" s="395">
        <f t="shared" si="156"/>
        <v>0</v>
      </c>
      <c r="AP56" s="395">
        <f t="shared" ref="AP56:BU56" si="157" xml:space="preserve"> AP53 + AP54 - AP55</f>
        <v>0</v>
      </c>
      <c r="AQ56" s="395">
        <f t="shared" si="157"/>
        <v>0</v>
      </c>
      <c r="AR56" s="395">
        <f t="shared" si="157"/>
        <v>0</v>
      </c>
      <c r="AS56" s="395">
        <f t="shared" si="157"/>
        <v>0</v>
      </c>
      <c r="AT56" s="395">
        <f t="shared" si="157"/>
        <v>0</v>
      </c>
      <c r="AU56" s="395">
        <f t="shared" si="157"/>
        <v>0</v>
      </c>
      <c r="AV56" s="395">
        <f t="shared" si="157"/>
        <v>0</v>
      </c>
      <c r="AW56" s="395">
        <f t="shared" si="157"/>
        <v>0</v>
      </c>
      <c r="AX56" s="395">
        <f t="shared" si="157"/>
        <v>0</v>
      </c>
      <c r="AY56" s="395">
        <f t="shared" si="157"/>
        <v>0</v>
      </c>
      <c r="AZ56" s="395">
        <f t="shared" si="157"/>
        <v>0</v>
      </c>
      <c r="BA56" s="395">
        <f t="shared" si="157"/>
        <v>0</v>
      </c>
      <c r="BB56" s="395">
        <f t="shared" si="157"/>
        <v>0</v>
      </c>
      <c r="BC56" s="395">
        <f t="shared" si="157"/>
        <v>0</v>
      </c>
      <c r="BD56" s="395">
        <f t="shared" si="157"/>
        <v>0</v>
      </c>
      <c r="BE56" s="395">
        <f t="shared" si="157"/>
        <v>0</v>
      </c>
      <c r="BF56" s="395">
        <f t="shared" si="157"/>
        <v>0</v>
      </c>
      <c r="BG56" s="395">
        <f t="shared" si="157"/>
        <v>0</v>
      </c>
      <c r="BH56" s="395">
        <f t="shared" si="157"/>
        <v>0</v>
      </c>
      <c r="BI56" s="395">
        <f t="shared" si="157"/>
        <v>0</v>
      </c>
      <c r="BJ56" s="395">
        <f t="shared" si="157"/>
        <v>0</v>
      </c>
      <c r="BK56" s="395">
        <f t="shared" si="157"/>
        <v>0</v>
      </c>
      <c r="BL56" s="395">
        <f t="shared" si="157"/>
        <v>0</v>
      </c>
      <c r="BM56" s="395">
        <f t="shared" si="157"/>
        <v>0</v>
      </c>
      <c r="BN56" s="395">
        <f t="shared" si="157"/>
        <v>0</v>
      </c>
      <c r="BO56" s="395">
        <f t="shared" si="157"/>
        <v>0</v>
      </c>
      <c r="BP56" s="395">
        <f t="shared" si="157"/>
        <v>0</v>
      </c>
      <c r="BQ56" s="395">
        <f t="shared" si="157"/>
        <v>0</v>
      </c>
      <c r="BR56" s="395">
        <f t="shared" si="157"/>
        <v>0</v>
      </c>
      <c r="BS56" s="395">
        <f t="shared" si="157"/>
        <v>0</v>
      </c>
      <c r="BT56" s="395">
        <f t="shared" si="157"/>
        <v>0</v>
      </c>
      <c r="BU56" s="395">
        <f t="shared" si="157"/>
        <v>0</v>
      </c>
      <c r="BV56" s="395">
        <f t="shared" ref="BV56:CV56" si="158" xml:space="preserve"> BV53 + BV54 - BV55</f>
        <v>0</v>
      </c>
      <c r="BW56" s="395">
        <f t="shared" si="158"/>
        <v>0</v>
      </c>
      <c r="BX56" s="395">
        <f t="shared" si="158"/>
        <v>0</v>
      </c>
      <c r="BY56" s="395">
        <f t="shared" si="158"/>
        <v>0</v>
      </c>
      <c r="BZ56" s="395">
        <f t="shared" si="158"/>
        <v>0</v>
      </c>
      <c r="CA56" s="395">
        <f t="shared" si="158"/>
        <v>0</v>
      </c>
      <c r="CB56" s="395">
        <f t="shared" si="158"/>
        <v>0</v>
      </c>
      <c r="CC56" s="395">
        <f t="shared" si="158"/>
        <v>0</v>
      </c>
      <c r="CD56" s="395">
        <f t="shared" si="158"/>
        <v>0</v>
      </c>
      <c r="CE56" s="395">
        <f t="shared" si="158"/>
        <v>0</v>
      </c>
      <c r="CF56" s="395">
        <f t="shared" si="158"/>
        <v>0</v>
      </c>
      <c r="CG56" s="395">
        <f t="shared" si="158"/>
        <v>0</v>
      </c>
      <c r="CH56" s="395">
        <f t="shared" si="158"/>
        <v>0</v>
      </c>
      <c r="CI56" s="395">
        <f t="shared" si="158"/>
        <v>0</v>
      </c>
      <c r="CJ56" s="395">
        <f t="shared" si="158"/>
        <v>0</v>
      </c>
      <c r="CK56" s="395">
        <f t="shared" si="158"/>
        <v>0</v>
      </c>
      <c r="CL56" s="395">
        <f t="shared" si="158"/>
        <v>0</v>
      </c>
      <c r="CM56" s="395">
        <f t="shared" si="158"/>
        <v>0</v>
      </c>
      <c r="CN56" s="395">
        <f t="shared" si="158"/>
        <v>0</v>
      </c>
      <c r="CO56" s="395">
        <f t="shared" si="158"/>
        <v>0</v>
      </c>
      <c r="CP56" s="395">
        <f t="shared" si="158"/>
        <v>0</v>
      </c>
      <c r="CQ56" s="395">
        <f t="shared" si="158"/>
        <v>0</v>
      </c>
      <c r="CR56" s="395">
        <f t="shared" si="158"/>
        <v>0</v>
      </c>
      <c r="CS56" s="395">
        <f t="shared" si="158"/>
        <v>0</v>
      </c>
      <c r="CT56" s="395">
        <f t="shared" si="158"/>
        <v>0</v>
      </c>
      <c r="CU56" s="395">
        <f t="shared" si="158"/>
        <v>0</v>
      </c>
      <c r="CV56" s="395">
        <f t="shared" si="158"/>
        <v>0</v>
      </c>
    </row>
    <row r="57" spans="1:100" outlineLevel="1" x14ac:dyDescent="0.2"/>
    <row r="58" spans="1:100" outlineLevel="1" x14ac:dyDescent="0.2">
      <c r="E58" s="12" t="str">
        <f t="shared" ref="E58:AJ58" si="159" xml:space="preserve"> E$56</f>
        <v>Retained cash balance</v>
      </c>
      <c r="F58" s="12">
        <f t="shared" si="159"/>
        <v>0</v>
      </c>
      <c r="G58" s="12" t="str">
        <f t="shared" si="159"/>
        <v>$ 000s</v>
      </c>
      <c r="H58" s="12">
        <f t="shared" si="159"/>
        <v>0</v>
      </c>
      <c r="I58" s="12">
        <f t="shared" si="159"/>
        <v>0</v>
      </c>
      <c r="J58" s="12">
        <f t="shared" si="159"/>
        <v>-1.5558398445136845E-6</v>
      </c>
      <c r="K58" s="12">
        <f t="shared" si="159"/>
        <v>-1.402249836246483E-5</v>
      </c>
      <c r="L58" s="12">
        <f t="shared" si="159"/>
        <v>-3.0776860512560233E-5</v>
      </c>
      <c r="M58" s="12">
        <f t="shared" si="159"/>
        <v>-5.0199549150420353E-5</v>
      </c>
      <c r="N58" s="12">
        <f t="shared" si="159"/>
        <v>-4.0178145100071561E-3</v>
      </c>
      <c r="O58" s="12">
        <f t="shared" si="159"/>
        <v>0</v>
      </c>
      <c r="P58" s="12">
        <f t="shared" si="159"/>
        <v>0</v>
      </c>
      <c r="Q58" s="12">
        <f t="shared" si="159"/>
        <v>0</v>
      </c>
      <c r="R58" s="12">
        <f t="shared" si="159"/>
        <v>0</v>
      </c>
      <c r="S58" s="12">
        <f t="shared" si="159"/>
        <v>0</v>
      </c>
      <c r="T58" s="12">
        <f t="shared" si="159"/>
        <v>0</v>
      </c>
      <c r="U58" s="12">
        <f t="shared" si="159"/>
        <v>0</v>
      </c>
      <c r="V58" s="12">
        <f t="shared" si="159"/>
        <v>0</v>
      </c>
      <c r="W58" s="12">
        <f t="shared" si="159"/>
        <v>0</v>
      </c>
      <c r="X58" s="12">
        <f t="shared" si="159"/>
        <v>0</v>
      </c>
      <c r="Y58" s="12">
        <f t="shared" si="159"/>
        <v>0</v>
      </c>
      <c r="Z58" s="12">
        <f t="shared" si="159"/>
        <v>0</v>
      </c>
      <c r="AA58" s="12">
        <f t="shared" si="159"/>
        <v>0</v>
      </c>
      <c r="AB58" s="12">
        <f t="shared" si="159"/>
        <v>0</v>
      </c>
      <c r="AC58" s="12">
        <f t="shared" si="159"/>
        <v>0</v>
      </c>
      <c r="AD58" s="12">
        <f t="shared" si="159"/>
        <v>0</v>
      </c>
      <c r="AE58" s="12">
        <f t="shared" si="159"/>
        <v>0</v>
      </c>
      <c r="AF58" s="12">
        <f t="shared" si="159"/>
        <v>0</v>
      </c>
      <c r="AG58" s="12">
        <f t="shared" si="159"/>
        <v>0</v>
      </c>
      <c r="AH58" s="12">
        <f t="shared" si="159"/>
        <v>0</v>
      </c>
      <c r="AI58" s="12">
        <f t="shared" si="159"/>
        <v>0</v>
      </c>
      <c r="AJ58" s="12">
        <f t="shared" si="159"/>
        <v>0</v>
      </c>
      <c r="AK58" s="12">
        <f t="shared" ref="AK58:BP58" si="160" xml:space="preserve"> AK$56</f>
        <v>0</v>
      </c>
      <c r="AL58" s="12">
        <f t="shared" si="160"/>
        <v>0</v>
      </c>
      <c r="AM58" s="12">
        <f t="shared" si="160"/>
        <v>0</v>
      </c>
      <c r="AN58" s="12">
        <f t="shared" si="160"/>
        <v>0</v>
      </c>
      <c r="AO58" s="12">
        <f t="shared" si="160"/>
        <v>0</v>
      </c>
      <c r="AP58" s="12">
        <f t="shared" si="160"/>
        <v>0</v>
      </c>
      <c r="AQ58" s="12">
        <f t="shared" si="160"/>
        <v>0</v>
      </c>
      <c r="AR58" s="12">
        <f t="shared" si="160"/>
        <v>0</v>
      </c>
      <c r="AS58" s="12">
        <f t="shared" si="160"/>
        <v>0</v>
      </c>
      <c r="AT58" s="12">
        <f t="shared" si="160"/>
        <v>0</v>
      </c>
      <c r="AU58" s="12">
        <f t="shared" si="160"/>
        <v>0</v>
      </c>
      <c r="AV58" s="12">
        <f t="shared" si="160"/>
        <v>0</v>
      </c>
      <c r="AW58" s="12">
        <f t="shared" si="160"/>
        <v>0</v>
      </c>
      <c r="AX58" s="12">
        <f t="shared" si="160"/>
        <v>0</v>
      </c>
      <c r="AY58" s="12">
        <f t="shared" si="160"/>
        <v>0</v>
      </c>
      <c r="AZ58" s="12">
        <f t="shared" si="160"/>
        <v>0</v>
      </c>
      <c r="BA58" s="12">
        <f t="shared" si="160"/>
        <v>0</v>
      </c>
      <c r="BB58" s="12">
        <f t="shared" si="160"/>
        <v>0</v>
      </c>
      <c r="BC58" s="12">
        <f t="shared" si="160"/>
        <v>0</v>
      </c>
      <c r="BD58" s="12">
        <f t="shared" si="160"/>
        <v>0</v>
      </c>
      <c r="BE58" s="12">
        <f t="shared" si="160"/>
        <v>0</v>
      </c>
      <c r="BF58" s="12">
        <f t="shared" si="160"/>
        <v>0</v>
      </c>
      <c r="BG58" s="12">
        <f t="shared" si="160"/>
        <v>0</v>
      </c>
      <c r="BH58" s="12">
        <f t="shared" si="160"/>
        <v>0</v>
      </c>
      <c r="BI58" s="12">
        <f t="shared" si="160"/>
        <v>0</v>
      </c>
      <c r="BJ58" s="12">
        <f t="shared" si="160"/>
        <v>0</v>
      </c>
      <c r="BK58" s="12">
        <f t="shared" si="160"/>
        <v>0</v>
      </c>
      <c r="BL58" s="12">
        <f t="shared" si="160"/>
        <v>0</v>
      </c>
      <c r="BM58" s="12">
        <f t="shared" si="160"/>
        <v>0</v>
      </c>
      <c r="BN58" s="12">
        <f t="shared" si="160"/>
        <v>0</v>
      </c>
      <c r="BO58" s="12">
        <f t="shared" si="160"/>
        <v>0</v>
      </c>
      <c r="BP58" s="12">
        <f t="shared" si="160"/>
        <v>0</v>
      </c>
      <c r="BQ58" s="12">
        <f t="shared" ref="BQ58:CV58" si="161" xml:space="preserve"> BQ$56</f>
        <v>0</v>
      </c>
      <c r="BR58" s="12">
        <f t="shared" si="161"/>
        <v>0</v>
      </c>
      <c r="BS58" s="12">
        <f t="shared" si="161"/>
        <v>0</v>
      </c>
      <c r="BT58" s="12">
        <f t="shared" si="161"/>
        <v>0</v>
      </c>
      <c r="BU58" s="12">
        <f t="shared" si="161"/>
        <v>0</v>
      </c>
      <c r="BV58" s="12">
        <f t="shared" si="161"/>
        <v>0</v>
      </c>
      <c r="BW58" s="12">
        <f t="shared" si="161"/>
        <v>0</v>
      </c>
      <c r="BX58" s="12">
        <f t="shared" si="161"/>
        <v>0</v>
      </c>
      <c r="BY58" s="12">
        <f t="shared" si="161"/>
        <v>0</v>
      </c>
      <c r="BZ58" s="12">
        <f t="shared" si="161"/>
        <v>0</v>
      </c>
      <c r="CA58" s="12">
        <f t="shared" si="161"/>
        <v>0</v>
      </c>
      <c r="CB58" s="12">
        <f t="shared" si="161"/>
        <v>0</v>
      </c>
      <c r="CC58" s="12">
        <f t="shared" si="161"/>
        <v>0</v>
      </c>
      <c r="CD58" s="12">
        <f t="shared" si="161"/>
        <v>0</v>
      </c>
      <c r="CE58" s="12">
        <f t="shared" si="161"/>
        <v>0</v>
      </c>
      <c r="CF58" s="12">
        <f t="shared" si="161"/>
        <v>0</v>
      </c>
      <c r="CG58" s="12">
        <f t="shared" si="161"/>
        <v>0</v>
      </c>
      <c r="CH58" s="12">
        <f t="shared" si="161"/>
        <v>0</v>
      </c>
      <c r="CI58" s="12">
        <f t="shared" si="161"/>
        <v>0</v>
      </c>
      <c r="CJ58" s="12">
        <f t="shared" si="161"/>
        <v>0</v>
      </c>
      <c r="CK58" s="12">
        <f t="shared" si="161"/>
        <v>0</v>
      </c>
      <c r="CL58" s="12">
        <f t="shared" si="161"/>
        <v>0</v>
      </c>
      <c r="CM58" s="12">
        <f t="shared" si="161"/>
        <v>0</v>
      </c>
      <c r="CN58" s="12">
        <f t="shared" si="161"/>
        <v>0</v>
      </c>
      <c r="CO58" s="12">
        <f t="shared" si="161"/>
        <v>0</v>
      </c>
      <c r="CP58" s="12">
        <f t="shared" si="161"/>
        <v>0</v>
      </c>
      <c r="CQ58" s="12">
        <f t="shared" si="161"/>
        <v>0</v>
      </c>
      <c r="CR58" s="12">
        <f t="shared" si="161"/>
        <v>0</v>
      </c>
      <c r="CS58" s="12">
        <f t="shared" si="161"/>
        <v>0</v>
      </c>
      <c r="CT58" s="12">
        <f t="shared" si="161"/>
        <v>0</v>
      </c>
      <c r="CU58" s="12">
        <f t="shared" si="161"/>
        <v>0</v>
      </c>
      <c r="CV58" s="12">
        <f t="shared" si="161"/>
        <v>0</v>
      </c>
    </row>
    <row r="59" spans="1:100" outlineLevel="1" x14ac:dyDescent="0.2">
      <c r="E59" s="187" t="s">
        <v>328</v>
      </c>
      <c r="F59" s="187">
        <f xml:space="preserve"> MAX(J58:CV58)</f>
        <v>0</v>
      </c>
      <c r="G59" s="187" t="str">
        <f xml:space="preserve"> SMU</f>
        <v>$ 000s</v>
      </c>
    </row>
    <row r="60" spans="1:100" outlineLevel="1" x14ac:dyDescent="0.2"/>
    <row r="61" spans="1:100" outlineLevel="1" x14ac:dyDescent="0.2">
      <c r="E61" s="189" t="str">
        <f xml:space="preserve"> InpC!E$21</f>
        <v>Length of PPA</v>
      </c>
      <c r="F61" s="189">
        <f xml:space="preserve"> InpC!F$21</f>
        <v>20</v>
      </c>
      <c r="G61" s="189" t="str">
        <f xml:space="preserve"> InpC!G$21</f>
        <v>years</v>
      </c>
    </row>
    <row r="62" spans="1:100" outlineLevel="1" x14ac:dyDescent="0.2">
      <c r="E62" s="186" t="str">
        <f xml:space="preserve"> InpC!E$415</f>
        <v>Number of periods in a year</v>
      </c>
      <c r="F62" s="186">
        <f xml:space="preserve"> InpC!F$415</f>
        <v>2</v>
      </c>
      <c r="G62" s="186" t="str">
        <f xml:space="preserve"> InpC!G$415</f>
        <v>periods</v>
      </c>
    </row>
    <row r="63" spans="1:100" outlineLevel="1" x14ac:dyDescent="0.2">
      <c r="A63" s="85"/>
      <c r="B63" s="85"/>
      <c r="C63" s="86"/>
      <c r="D63" s="87"/>
      <c r="E63" s="390" t="str">
        <f xml:space="preserve"> Time!E$106</f>
        <v>Operating period flag</v>
      </c>
      <c r="F63" s="390">
        <f xml:space="preserve"> Time!F$106</f>
        <v>0</v>
      </c>
      <c r="G63" s="390" t="str">
        <f xml:space="preserve"> Time!G$106</f>
        <v>flag</v>
      </c>
      <c r="H63" s="390">
        <f xml:space="preserve"> Time!H$106</f>
        <v>40</v>
      </c>
      <c r="I63" s="390">
        <f xml:space="preserve"> Time!I$106</f>
        <v>0</v>
      </c>
      <c r="J63" s="390">
        <f xml:space="preserve"> Time!J$106</f>
        <v>0</v>
      </c>
      <c r="K63" s="390">
        <f xml:space="preserve"> Time!K$106</f>
        <v>0</v>
      </c>
      <c r="L63" s="390">
        <f xml:space="preserve"> Time!L$106</f>
        <v>0</v>
      </c>
      <c r="M63" s="390">
        <f xml:space="preserve"> Time!M$106</f>
        <v>0</v>
      </c>
      <c r="N63" s="390">
        <f xml:space="preserve"> Time!N$106</f>
        <v>0</v>
      </c>
      <c r="O63" s="390">
        <f xml:space="preserve"> Time!O$106</f>
        <v>1</v>
      </c>
      <c r="P63" s="390">
        <f xml:space="preserve"> Time!P$106</f>
        <v>1</v>
      </c>
      <c r="Q63" s="390">
        <f xml:space="preserve"> Time!Q$106</f>
        <v>1</v>
      </c>
      <c r="R63" s="390">
        <f xml:space="preserve"> Time!R$106</f>
        <v>1</v>
      </c>
      <c r="S63" s="390">
        <f xml:space="preserve"> Time!S$106</f>
        <v>1</v>
      </c>
      <c r="T63" s="390">
        <f xml:space="preserve"> Time!T$106</f>
        <v>1</v>
      </c>
      <c r="U63" s="390">
        <f xml:space="preserve"> Time!U$106</f>
        <v>1</v>
      </c>
      <c r="V63" s="390">
        <f xml:space="preserve"> Time!V$106</f>
        <v>1</v>
      </c>
      <c r="W63" s="390">
        <f xml:space="preserve"> Time!W$106</f>
        <v>1</v>
      </c>
      <c r="X63" s="390">
        <f xml:space="preserve"> Time!X$106</f>
        <v>1</v>
      </c>
      <c r="Y63" s="390">
        <f xml:space="preserve"> Time!Y$106</f>
        <v>1</v>
      </c>
      <c r="Z63" s="390">
        <f xml:space="preserve"> Time!Z$106</f>
        <v>1</v>
      </c>
      <c r="AA63" s="390">
        <f xml:space="preserve"> Time!AA$106</f>
        <v>1</v>
      </c>
      <c r="AB63" s="390">
        <f xml:space="preserve"> Time!AB$106</f>
        <v>1</v>
      </c>
      <c r="AC63" s="390">
        <f xml:space="preserve"> Time!AC$106</f>
        <v>1</v>
      </c>
      <c r="AD63" s="390">
        <f xml:space="preserve"> Time!AD$106</f>
        <v>1</v>
      </c>
      <c r="AE63" s="390">
        <f xml:space="preserve"> Time!AE$106</f>
        <v>1</v>
      </c>
      <c r="AF63" s="390">
        <f xml:space="preserve"> Time!AF$106</f>
        <v>1</v>
      </c>
      <c r="AG63" s="390">
        <f xml:space="preserve"> Time!AG$106</f>
        <v>1</v>
      </c>
      <c r="AH63" s="390">
        <f xml:space="preserve"> Time!AH$106</f>
        <v>1</v>
      </c>
      <c r="AI63" s="390">
        <f xml:space="preserve"> Time!AI$106</f>
        <v>1</v>
      </c>
      <c r="AJ63" s="390">
        <f xml:space="preserve"> Time!AJ$106</f>
        <v>1</v>
      </c>
      <c r="AK63" s="390">
        <f xml:space="preserve"> Time!AK$106</f>
        <v>1</v>
      </c>
      <c r="AL63" s="390">
        <f xml:space="preserve"> Time!AL$106</f>
        <v>1</v>
      </c>
      <c r="AM63" s="390">
        <f xml:space="preserve"> Time!AM$106</f>
        <v>1</v>
      </c>
      <c r="AN63" s="390">
        <f xml:space="preserve"> Time!AN$106</f>
        <v>1</v>
      </c>
      <c r="AO63" s="390">
        <f xml:space="preserve"> Time!AO$106</f>
        <v>1</v>
      </c>
      <c r="AP63" s="390">
        <f xml:space="preserve"> Time!AP$106</f>
        <v>1</v>
      </c>
      <c r="AQ63" s="390">
        <f xml:space="preserve"> Time!AQ$106</f>
        <v>1</v>
      </c>
      <c r="AR63" s="390">
        <f xml:space="preserve"> Time!AR$106</f>
        <v>1</v>
      </c>
      <c r="AS63" s="390">
        <f xml:space="preserve"> Time!AS$106</f>
        <v>1</v>
      </c>
      <c r="AT63" s="390">
        <f xml:space="preserve"> Time!AT$106</f>
        <v>1</v>
      </c>
      <c r="AU63" s="390">
        <f xml:space="preserve"> Time!AU$106</f>
        <v>1</v>
      </c>
      <c r="AV63" s="390">
        <f xml:space="preserve"> Time!AV$106</f>
        <v>1</v>
      </c>
      <c r="AW63" s="390">
        <f xml:space="preserve"> Time!AW$106</f>
        <v>1</v>
      </c>
      <c r="AX63" s="390">
        <f xml:space="preserve"> Time!AX$106</f>
        <v>1</v>
      </c>
      <c r="AY63" s="390">
        <f xml:space="preserve"> Time!AY$106</f>
        <v>1</v>
      </c>
      <c r="AZ63" s="390">
        <f xml:space="preserve"> Time!AZ$106</f>
        <v>1</v>
      </c>
      <c r="BA63" s="390">
        <f xml:space="preserve"> Time!BA$106</f>
        <v>1</v>
      </c>
      <c r="BB63" s="390">
        <f xml:space="preserve"> Time!BB$106</f>
        <v>1</v>
      </c>
      <c r="BC63" s="390">
        <f xml:space="preserve"> Time!BC$106</f>
        <v>0</v>
      </c>
      <c r="BD63" s="390">
        <f xml:space="preserve"> Time!BD$106</f>
        <v>0</v>
      </c>
      <c r="BE63" s="390">
        <f xml:space="preserve"> Time!BE$106</f>
        <v>0</v>
      </c>
      <c r="BF63" s="390">
        <f xml:space="preserve"> Time!BF$106</f>
        <v>0</v>
      </c>
      <c r="BG63" s="390">
        <f xml:space="preserve"> Time!BG$106</f>
        <v>0</v>
      </c>
      <c r="BH63" s="390">
        <f xml:space="preserve"> Time!BH$106</f>
        <v>0</v>
      </c>
      <c r="BI63" s="390">
        <f xml:space="preserve"> Time!BI$106</f>
        <v>0</v>
      </c>
      <c r="BJ63" s="390">
        <f xml:space="preserve"> Time!BJ$106</f>
        <v>0</v>
      </c>
      <c r="BK63" s="390">
        <f xml:space="preserve"> Time!BK$106</f>
        <v>0</v>
      </c>
      <c r="BL63" s="390">
        <f xml:space="preserve"> Time!BL$106</f>
        <v>0</v>
      </c>
      <c r="BM63" s="390">
        <f xml:space="preserve"> Time!BM$106</f>
        <v>0</v>
      </c>
      <c r="BN63" s="390">
        <f xml:space="preserve"> Time!BN$106</f>
        <v>0</v>
      </c>
      <c r="BO63" s="390">
        <f xml:space="preserve"> Time!BO$106</f>
        <v>0</v>
      </c>
      <c r="BP63" s="390">
        <f xml:space="preserve"> Time!BP$106</f>
        <v>0</v>
      </c>
      <c r="BQ63" s="390">
        <f xml:space="preserve"> Time!BQ$106</f>
        <v>0</v>
      </c>
      <c r="BR63" s="390">
        <f xml:space="preserve"> Time!BR$106</f>
        <v>0</v>
      </c>
      <c r="BS63" s="390">
        <f xml:space="preserve"> Time!BS$106</f>
        <v>0</v>
      </c>
      <c r="BT63" s="390">
        <f xml:space="preserve"> Time!BT$106</f>
        <v>0</v>
      </c>
      <c r="BU63" s="390">
        <f xml:space="preserve"> Time!BU$106</f>
        <v>0</v>
      </c>
      <c r="BV63" s="390">
        <f xml:space="preserve"> Time!BV$106</f>
        <v>0</v>
      </c>
      <c r="BW63" s="390">
        <f xml:space="preserve"> Time!BW$106</f>
        <v>0</v>
      </c>
      <c r="BX63" s="390">
        <f xml:space="preserve"> Time!BX$106</f>
        <v>0</v>
      </c>
      <c r="BY63" s="390">
        <f xml:space="preserve"> Time!BY$106</f>
        <v>0</v>
      </c>
      <c r="BZ63" s="390">
        <f xml:space="preserve"> Time!BZ$106</f>
        <v>0</v>
      </c>
      <c r="CA63" s="390">
        <f xml:space="preserve"> Time!CA$106</f>
        <v>0</v>
      </c>
      <c r="CB63" s="390">
        <f xml:space="preserve"> Time!CB$106</f>
        <v>0</v>
      </c>
      <c r="CC63" s="390">
        <f xml:space="preserve"> Time!CC$106</f>
        <v>0</v>
      </c>
      <c r="CD63" s="390">
        <f xml:space="preserve"> Time!CD$106</f>
        <v>0</v>
      </c>
      <c r="CE63" s="390">
        <f xml:space="preserve"> Time!CE$106</f>
        <v>0</v>
      </c>
      <c r="CF63" s="390">
        <f xml:space="preserve"> Time!CF$106</f>
        <v>0</v>
      </c>
      <c r="CG63" s="390">
        <f xml:space="preserve"> Time!CG$106</f>
        <v>0</v>
      </c>
      <c r="CH63" s="390">
        <f xml:space="preserve"> Time!CH$106</f>
        <v>0</v>
      </c>
      <c r="CI63" s="390">
        <f xml:space="preserve"> Time!CI$106</f>
        <v>0</v>
      </c>
      <c r="CJ63" s="390">
        <f xml:space="preserve"> Time!CJ$106</f>
        <v>0</v>
      </c>
      <c r="CK63" s="390">
        <f xml:space="preserve"> Time!CK$106</f>
        <v>0</v>
      </c>
      <c r="CL63" s="390">
        <f xml:space="preserve"> Time!CL$106</f>
        <v>0</v>
      </c>
      <c r="CM63" s="390">
        <f xml:space="preserve"> Time!CM$106</f>
        <v>0</v>
      </c>
      <c r="CN63" s="390">
        <f xml:space="preserve"> Time!CN$106</f>
        <v>0</v>
      </c>
      <c r="CO63" s="390">
        <f xml:space="preserve"> Time!CO$106</f>
        <v>0</v>
      </c>
      <c r="CP63" s="390">
        <f xml:space="preserve"> Time!CP$106</f>
        <v>0</v>
      </c>
      <c r="CQ63" s="390">
        <f xml:space="preserve"> Time!CQ$106</f>
        <v>0</v>
      </c>
      <c r="CR63" s="390">
        <f xml:space="preserve"> Time!CR$106</f>
        <v>0</v>
      </c>
      <c r="CS63" s="390">
        <f xml:space="preserve"> Time!CS$106</f>
        <v>0</v>
      </c>
      <c r="CT63" s="390">
        <f xml:space="preserve"> Time!CT$106</f>
        <v>0</v>
      </c>
      <c r="CU63" s="390">
        <f xml:space="preserve"> Time!CU$106</f>
        <v>0</v>
      </c>
      <c r="CV63" s="390">
        <f xml:space="preserve"> Time!CV$106</f>
        <v>0</v>
      </c>
    </row>
    <row r="64" spans="1:100" outlineLevel="1" x14ac:dyDescent="0.2">
      <c r="E64" s="12" t="str">
        <f t="shared" ref="E64:AJ64" si="162" xml:space="preserve"> E$56</f>
        <v>Retained cash balance</v>
      </c>
      <c r="F64" s="12">
        <f t="shared" si="162"/>
        <v>0</v>
      </c>
      <c r="G64" s="12" t="str">
        <f t="shared" si="162"/>
        <v>$ 000s</v>
      </c>
      <c r="H64" s="12">
        <f t="shared" si="162"/>
        <v>0</v>
      </c>
      <c r="I64" s="12">
        <f t="shared" si="162"/>
        <v>0</v>
      </c>
      <c r="J64" s="12">
        <f t="shared" si="162"/>
        <v>-1.5558398445136845E-6</v>
      </c>
      <c r="K64" s="12">
        <f t="shared" si="162"/>
        <v>-1.402249836246483E-5</v>
      </c>
      <c r="L64" s="12">
        <f t="shared" si="162"/>
        <v>-3.0776860512560233E-5</v>
      </c>
      <c r="M64" s="12">
        <f t="shared" si="162"/>
        <v>-5.0199549150420353E-5</v>
      </c>
      <c r="N64" s="12">
        <f t="shared" si="162"/>
        <v>-4.0178145100071561E-3</v>
      </c>
      <c r="O64" s="12">
        <f t="shared" si="162"/>
        <v>0</v>
      </c>
      <c r="P64" s="12">
        <f t="shared" si="162"/>
        <v>0</v>
      </c>
      <c r="Q64" s="12">
        <f t="shared" si="162"/>
        <v>0</v>
      </c>
      <c r="R64" s="12">
        <f t="shared" si="162"/>
        <v>0</v>
      </c>
      <c r="S64" s="12">
        <f t="shared" si="162"/>
        <v>0</v>
      </c>
      <c r="T64" s="12">
        <f t="shared" si="162"/>
        <v>0</v>
      </c>
      <c r="U64" s="12">
        <f t="shared" si="162"/>
        <v>0</v>
      </c>
      <c r="V64" s="12">
        <f t="shared" si="162"/>
        <v>0</v>
      </c>
      <c r="W64" s="12">
        <f t="shared" si="162"/>
        <v>0</v>
      </c>
      <c r="X64" s="12">
        <f t="shared" si="162"/>
        <v>0</v>
      </c>
      <c r="Y64" s="12">
        <f t="shared" si="162"/>
        <v>0</v>
      </c>
      <c r="Z64" s="12">
        <f t="shared" si="162"/>
        <v>0</v>
      </c>
      <c r="AA64" s="12">
        <f t="shared" si="162"/>
        <v>0</v>
      </c>
      <c r="AB64" s="12">
        <f t="shared" si="162"/>
        <v>0</v>
      </c>
      <c r="AC64" s="12">
        <f t="shared" si="162"/>
        <v>0</v>
      </c>
      <c r="AD64" s="12">
        <f t="shared" si="162"/>
        <v>0</v>
      </c>
      <c r="AE64" s="12">
        <f t="shared" si="162"/>
        <v>0</v>
      </c>
      <c r="AF64" s="12">
        <f t="shared" si="162"/>
        <v>0</v>
      </c>
      <c r="AG64" s="12">
        <f t="shared" si="162"/>
        <v>0</v>
      </c>
      <c r="AH64" s="12">
        <f t="shared" si="162"/>
        <v>0</v>
      </c>
      <c r="AI64" s="12">
        <f t="shared" si="162"/>
        <v>0</v>
      </c>
      <c r="AJ64" s="12">
        <f t="shared" si="162"/>
        <v>0</v>
      </c>
      <c r="AK64" s="12">
        <f t="shared" ref="AK64:BP64" si="163" xml:space="preserve"> AK$56</f>
        <v>0</v>
      </c>
      <c r="AL64" s="12">
        <f t="shared" si="163"/>
        <v>0</v>
      </c>
      <c r="AM64" s="12">
        <f t="shared" si="163"/>
        <v>0</v>
      </c>
      <c r="AN64" s="12">
        <f t="shared" si="163"/>
        <v>0</v>
      </c>
      <c r="AO64" s="12">
        <f t="shared" si="163"/>
        <v>0</v>
      </c>
      <c r="AP64" s="12">
        <f t="shared" si="163"/>
        <v>0</v>
      </c>
      <c r="AQ64" s="12">
        <f t="shared" si="163"/>
        <v>0</v>
      </c>
      <c r="AR64" s="12">
        <f t="shared" si="163"/>
        <v>0</v>
      </c>
      <c r="AS64" s="12">
        <f t="shared" si="163"/>
        <v>0</v>
      </c>
      <c r="AT64" s="12">
        <f t="shared" si="163"/>
        <v>0</v>
      </c>
      <c r="AU64" s="12">
        <f t="shared" si="163"/>
        <v>0</v>
      </c>
      <c r="AV64" s="12">
        <f t="shared" si="163"/>
        <v>0</v>
      </c>
      <c r="AW64" s="12">
        <f t="shared" si="163"/>
        <v>0</v>
      </c>
      <c r="AX64" s="12">
        <f t="shared" si="163"/>
        <v>0</v>
      </c>
      <c r="AY64" s="12">
        <f t="shared" si="163"/>
        <v>0</v>
      </c>
      <c r="AZ64" s="12">
        <f t="shared" si="163"/>
        <v>0</v>
      </c>
      <c r="BA64" s="12">
        <f t="shared" si="163"/>
        <v>0</v>
      </c>
      <c r="BB64" s="12">
        <f t="shared" si="163"/>
        <v>0</v>
      </c>
      <c r="BC64" s="12">
        <f t="shared" si="163"/>
        <v>0</v>
      </c>
      <c r="BD64" s="12">
        <f t="shared" si="163"/>
        <v>0</v>
      </c>
      <c r="BE64" s="12">
        <f t="shared" si="163"/>
        <v>0</v>
      </c>
      <c r="BF64" s="12">
        <f t="shared" si="163"/>
        <v>0</v>
      </c>
      <c r="BG64" s="12">
        <f t="shared" si="163"/>
        <v>0</v>
      </c>
      <c r="BH64" s="12">
        <f t="shared" si="163"/>
        <v>0</v>
      </c>
      <c r="BI64" s="12">
        <f t="shared" si="163"/>
        <v>0</v>
      </c>
      <c r="BJ64" s="12">
        <f t="shared" si="163"/>
        <v>0</v>
      </c>
      <c r="BK64" s="12">
        <f t="shared" si="163"/>
        <v>0</v>
      </c>
      <c r="BL64" s="12">
        <f t="shared" si="163"/>
        <v>0</v>
      </c>
      <c r="BM64" s="12">
        <f t="shared" si="163"/>
        <v>0</v>
      </c>
      <c r="BN64" s="12">
        <f t="shared" si="163"/>
        <v>0</v>
      </c>
      <c r="BO64" s="12">
        <f t="shared" si="163"/>
        <v>0</v>
      </c>
      <c r="BP64" s="12">
        <f t="shared" si="163"/>
        <v>0</v>
      </c>
      <c r="BQ64" s="12">
        <f t="shared" ref="BQ64:CV64" si="164" xml:space="preserve"> BQ$56</f>
        <v>0</v>
      </c>
      <c r="BR64" s="12">
        <f t="shared" si="164"/>
        <v>0</v>
      </c>
      <c r="BS64" s="12">
        <f t="shared" si="164"/>
        <v>0</v>
      </c>
      <c r="BT64" s="12">
        <f t="shared" si="164"/>
        <v>0</v>
      </c>
      <c r="BU64" s="12">
        <f t="shared" si="164"/>
        <v>0</v>
      </c>
      <c r="BV64" s="12">
        <f t="shared" si="164"/>
        <v>0</v>
      </c>
      <c r="BW64" s="12">
        <f t="shared" si="164"/>
        <v>0</v>
      </c>
      <c r="BX64" s="12">
        <f t="shared" si="164"/>
        <v>0</v>
      </c>
      <c r="BY64" s="12">
        <f t="shared" si="164"/>
        <v>0</v>
      </c>
      <c r="BZ64" s="12">
        <f t="shared" si="164"/>
        <v>0</v>
      </c>
      <c r="CA64" s="12">
        <f t="shared" si="164"/>
        <v>0</v>
      </c>
      <c r="CB64" s="12">
        <f t="shared" si="164"/>
        <v>0</v>
      </c>
      <c r="CC64" s="12">
        <f t="shared" si="164"/>
        <v>0</v>
      </c>
      <c r="CD64" s="12">
        <f t="shared" si="164"/>
        <v>0</v>
      </c>
      <c r="CE64" s="12">
        <f t="shared" si="164"/>
        <v>0</v>
      </c>
      <c r="CF64" s="12">
        <f t="shared" si="164"/>
        <v>0</v>
      </c>
      <c r="CG64" s="12">
        <f t="shared" si="164"/>
        <v>0</v>
      </c>
      <c r="CH64" s="12">
        <f t="shared" si="164"/>
        <v>0</v>
      </c>
      <c r="CI64" s="12">
        <f t="shared" si="164"/>
        <v>0</v>
      </c>
      <c r="CJ64" s="12">
        <f t="shared" si="164"/>
        <v>0</v>
      </c>
      <c r="CK64" s="12">
        <f t="shared" si="164"/>
        <v>0</v>
      </c>
      <c r="CL64" s="12">
        <f t="shared" si="164"/>
        <v>0</v>
      </c>
      <c r="CM64" s="12">
        <f t="shared" si="164"/>
        <v>0</v>
      </c>
      <c r="CN64" s="12">
        <f t="shared" si="164"/>
        <v>0</v>
      </c>
      <c r="CO64" s="12">
        <f t="shared" si="164"/>
        <v>0</v>
      </c>
      <c r="CP64" s="12">
        <f t="shared" si="164"/>
        <v>0</v>
      </c>
      <c r="CQ64" s="12">
        <f t="shared" si="164"/>
        <v>0</v>
      </c>
      <c r="CR64" s="12">
        <f t="shared" si="164"/>
        <v>0</v>
      </c>
      <c r="CS64" s="12">
        <f t="shared" si="164"/>
        <v>0</v>
      </c>
      <c r="CT64" s="12">
        <f t="shared" si="164"/>
        <v>0</v>
      </c>
      <c r="CU64" s="12">
        <f t="shared" si="164"/>
        <v>0</v>
      </c>
      <c r="CV64" s="12">
        <f t="shared" si="164"/>
        <v>0</v>
      </c>
    </row>
    <row r="65" spans="1:100" outlineLevel="1" x14ac:dyDescent="0.2">
      <c r="E65" s="187" t="s">
        <v>329</v>
      </c>
      <c r="F65" s="187">
        <f xml:space="preserve"> SUMPRODUCT(J63:CV63, J64:CV64) / ( F61 * F62)</f>
        <v>0</v>
      </c>
      <c r="G65" s="187" t="str">
        <f xml:space="preserve"> SMU</f>
        <v>$ 000s</v>
      </c>
    </row>
    <row r="66" spans="1:100" outlineLevel="1" x14ac:dyDescent="0.2"/>
    <row r="67" spans="1:100" x14ac:dyDescent="0.2"/>
    <row r="68" spans="1:100" x14ac:dyDescent="0.2">
      <c r="A68" s="15" t="s">
        <v>149</v>
      </c>
    </row>
    <row r="69" spans="1:100" outlineLevel="1" x14ac:dyDescent="0.2"/>
    <row r="70" spans="1:100" outlineLevel="1" x14ac:dyDescent="0.2">
      <c r="E70" s="198" t="str">
        <f t="shared" ref="E70:AJ70" si="165" xml:space="preserve"> E$45</f>
        <v>Retained earnings balance BEG</v>
      </c>
      <c r="F70" s="198">
        <f t="shared" si="165"/>
        <v>0</v>
      </c>
      <c r="G70" s="198" t="str">
        <f t="shared" si="165"/>
        <v>$ 000s</v>
      </c>
      <c r="H70" s="198">
        <f t="shared" si="165"/>
        <v>0</v>
      </c>
      <c r="I70" s="198">
        <f t="shared" si="165"/>
        <v>0</v>
      </c>
      <c r="J70" s="198">
        <f t="shared" si="165"/>
        <v>0</v>
      </c>
      <c r="K70" s="198">
        <f t="shared" si="165"/>
        <v>0</v>
      </c>
      <c r="L70" s="198">
        <f t="shared" si="165"/>
        <v>0</v>
      </c>
      <c r="M70" s="198">
        <f t="shared" si="165"/>
        <v>0</v>
      </c>
      <c r="N70" s="198">
        <f t="shared" si="165"/>
        <v>0</v>
      </c>
      <c r="O70" s="198">
        <f t="shared" si="165"/>
        <v>0</v>
      </c>
      <c r="P70" s="198">
        <f t="shared" si="165"/>
        <v>-8093.9627097477887</v>
      </c>
      <c r="Q70" s="198">
        <f t="shared" si="165"/>
        <v>-15305.778928929521</v>
      </c>
      <c r="R70" s="198">
        <f t="shared" si="165"/>
        <v>-22064.230690798147</v>
      </c>
      <c r="S70" s="198">
        <f t="shared" si="165"/>
        <v>-28128.540783168333</v>
      </c>
      <c r="T70" s="198">
        <f t="shared" si="165"/>
        <v>-33849.121695375688</v>
      </c>
      <c r="U70" s="198">
        <f t="shared" si="165"/>
        <v>-38982.056472134114</v>
      </c>
      <c r="V70" s="198">
        <f t="shared" si="165"/>
        <v>-43861.227529870332</v>
      </c>
      <c r="W70" s="198">
        <f t="shared" si="165"/>
        <v>-48267.191863067812</v>
      </c>
      <c r="X70" s="198">
        <f t="shared" si="165"/>
        <v>-52465.741899490444</v>
      </c>
      <c r="Y70" s="198">
        <f t="shared" si="165"/>
        <v>-56241.193866783629</v>
      </c>
      <c r="Z70" s="198">
        <f t="shared" si="165"/>
        <v>-60092.872397044797</v>
      </c>
      <c r="AA70" s="198">
        <f t="shared" si="165"/>
        <v>-63578.831158658453</v>
      </c>
      <c r="AB70" s="198">
        <f t="shared" si="165"/>
        <v>-66996.342876470255</v>
      </c>
      <c r="AC70" s="198">
        <f t="shared" si="165"/>
        <v>-70102.949697839431</v>
      </c>
      <c r="AD70" s="198">
        <f t="shared" si="165"/>
        <v>-73184.009954953057</v>
      </c>
      <c r="AE70" s="198">
        <f t="shared" si="165"/>
        <v>-76022.336297173519</v>
      </c>
      <c r="AF70" s="198">
        <f t="shared" si="165"/>
        <v>-78850.265074250347</v>
      </c>
      <c r="AG70" s="198">
        <f t="shared" si="165"/>
        <v>-81460.146046370981</v>
      </c>
      <c r="AH70" s="198">
        <f t="shared" si="165"/>
        <v>-84112.691506730349</v>
      </c>
      <c r="AI70" s="198">
        <f t="shared" si="165"/>
        <v>-86586.22550729505</v>
      </c>
      <c r="AJ70" s="198">
        <f t="shared" si="165"/>
        <v>-89280.20025049214</v>
      </c>
      <c r="AK70" s="198">
        <f t="shared" ref="AK70:BP70" si="166" xml:space="preserve"> AK$45</f>
        <v>-91824.49817973678</v>
      </c>
      <c r="AL70" s="198">
        <f t="shared" si="166"/>
        <v>-94463.645762078988</v>
      </c>
      <c r="AM70" s="198">
        <f t="shared" si="166"/>
        <v>-97002.312160012429</v>
      </c>
      <c r="AN70" s="198">
        <f t="shared" si="166"/>
        <v>-99646.838288779254</v>
      </c>
      <c r="AO70" s="198">
        <f t="shared" si="166"/>
        <v>-102215.71012315898</v>
      </c>
      <c r="AP70" s="198">
        <f t="shared" si="166"/>
        <v>-104929.47587304725</v>
      </c>
      <c r="AQ70" s="198">
        <f t="shared" si="166"/>
        <v>-107603.73895144949</v>
      </c>
      <c r="AR70" s="198">
        <f t="shared" si="166"/>
        <v>-110448.8004433748</v>
      </c>
      <c r="AS70" s="198">
        <f t="shared" si="166"/>
        <v>-113293.18176570901</v>
      </c>
      <c r="AT70" s="198">
        <f t="shared" si="166"/>
        <v>-116336.16979353175</v>
      </c>
      <c r="AU70" s="198">
        <f t="shared" si="166"/>
        <v>-119439.32954478693</v>
      </c>
      <c r="AV70" s="198">
        <f t="shared" si="166"/>
        <v>-122783.28689855202</v>
      </c>
      <c r="AW70" s="198">
        <f t="shared" si="166"/>
        <v>-125938.82895581868</v>
      </c>
      <c r="AX70" s="198">
        <f t="shared" si="166"/>
        <v>-128495.97949982531</v>
      </c>
      <c r="AY70" s="198">
        <f t="shared" si="166"/>
        <v>-130818.14034196499</v>
      </c>
      <c r="AZ70" s="198">
        <f t="shared" si="166"/>
        <v>-133052.756299192</v>
      </c>
      <c r="BA70" s="198">
        <f t="shared" si="166"/>
        <v>-135038.44174211932</v>
      </c>
      <c r="BB70" s="198">
        <f t="shared" si="166"/>
        <v>-136923.40408989237</v>
      </c>
      <c r="BC70" s="198">
        <f t="shared" si="166"/>
        <v>-139488.01257311381</v>
      </c>
      <c r="BD70" s="198">
        <f t="shared" si="166"/>
        <v>-139488.01257311381</v>
      </c>
      <c r="BE70" s="198">
        <f t="shared" si="166"/>
        <v>-139488.01257311381</v>
      </c>
      <c r="BF70" s="198">
        <f t="shared" si="166"/>
        <v>-139488.01257311381</v>
      </c>
      <c r="BG70" s="198">
        <f t="shared" si="166"/>
        <v>-139488.01257311381</v>
      </c>
      <c r="BH70" s="198">
        <f t="shared" si="166"/>
        <v>-139488.01257311381</v>
      </c>
      <c r="BI70" s="198">
        <f t="shared" si="166"/>
        <v>-139488.01257311381</v>
      </c>
      <c r="BJ70" s="198">
        <f t="shared" si="166"/>
        <v>-139488.01257311381</v>
      </c>
      <c r="BK70" s="198">
        <f t="shared" si="166"/>
        <v>-139488.01257311381</v>
      </c>
      <c r="BL70" s="198">
        <f t="shared" si="166"/>
        <v>-139488.01257311381</v>
      </c>
      <c r="BM70" s="198">
        <f t="shared" si="166"/>
        <v>-139488.01257311381</v>
      </c>
      <c r="BN70" s="198">
        <f t="shared" si="166"/>
        <v>-139488.01257311381</v>
      </c>
      <c r="BO70" s="198">
        <f t="shared" si="166"/>
        <v>-139488.01257311381</v>
      </c>
      <c r="BP70" s="198">
        <f t="shared" si="166"/>
        <v>-139488.01257311381</v>
      </c>
      <c r="BQ70" s="198">
        <f t="shared" ref="BQ70:CV70" si="167" xml:space="preserve"> BQ$45</f>
        <v>-139488.01257311381</v>
      </c>
      <c r="BR70" s="198">
        <f t="shared" si="167"/>
        <v>-139488.01257311381</v>
      </c>
      <c r="BS70" s="198">
        <f t="shared" si="167"/>
        <v>-139488.01257311381</v>
      </c>
      <c r="BT70" s="198">
        <f t="shared" si="167"/>
        <v>-139488.01257311381</v>
      </c>
      <c r="BU70" s="198">
        <f t="shared" si="167"/>
        <v>-139488.01257311381</v>
      </c>
      <c r="BV70" s="198">
        <f t="shared" si="167"/>
        <v>-139488.01257311381</v>
      </c>
      <c r="BW70" s="198">
        <f t="shared" si="167"/>
        <v>-139488.01257311381</v>
      </c>
      <c r="BX70" s="198">
        <f t="shared" si="167"/>
        <v>-139488.01257311381</v>
      </c>
      <c r="BY70" s="198">
        <f t="shared" si="167"/>
        <v>-139488.01257311381</v>
      </c>
      <c r="BZ70" s="198">
        <f t="shared" si="167"/>
        <v>-139488.01257311381</v>
      </c>
      <c r="CA70" s="198">
        <f t="shared" si="167"/>
        <v>-139488.01257311381</v>
      </c>
      <c r="CB70" s="198">
        <f t="shared" si="167"/>
        <v>-139488.01257311381</v>
      </c>
      <c r="CC70" s="198">
        <f t="shared" si="167"/>
        <v>-139488.01257311381</v>
      </c>
      <c r="CD70" s="198">
        <f t="shared" si="167"/>
        <v>-139488.01257311381</v>
      </c>
      <c r="CE70" s="198">
        <f t="shared" si="167"/>
        <v>-139488.01257311381</v>
      </c>
      <c r="CF70" s="198">
        <f t="shared" si="167"/>
        <v>-139488.01257311381</v>
      </c>
      <c r="CG70" s="198">
        <f t="shared" si="167"/>
        <v>-139488.01257311381</v>
      </c>
      <c r="CH70" s="198">
        <f t="shared" si="167"/>
        <v>-139488.01257311381</v>
      </c>
      <c r="CI70" s="198">
        <f t="shared" si="167"/>
        <v>-139488.01257311381</v>
      </c>
      <c r="CJ70" s="198">
        <f t="shared" si="167"/>
        <v>-139488.01257311381</v>
      </c>
      <c r="CK70" s="198">
        <f t="shared" si="167"/>
        <v>-139488.01257311381</v>
      </c>
      <c r="CL70" s="198">
        <f t="shared" si="167"/>
        <v>-139488.01257311381</v>
      </c>
      <c r="CM70" s="198">
        <f t="shared" si="167"/>
        <v>-139488.01257311381</v>
      </c>
      <c r="CN70" s="198">
        <f t="shared" si="167"/>
        <v>-139488.01257311381</v>
      </c>
      <c r="CO70" s="198">
        <f t="shared" si="167"/>
        <v>-139488.01257311381</v>
      </c>
      <c r="CP70" s="198">
        <f t="shared" si="167"/>
        <v>-139488.01257311381</v>
      </c>
      <c r="CQ70" s="198">
        <f t="shared" si="167"/>
        <v>-139488.01257311381</v>
      </c>
      <c r="CR70" s="198">
        <f t="shared" si="167"/>
        <v>-139488.01257311381</v>
      </c>
      <c r="CS70" s="198">
        <f t="shared" si="167"/>
        <v>-139488.01257311381</v>
      </c>
      <c r="CT70" s="198">
        <f t="shared" si="167"/>
        <v>-139488.01257311381</v>
      </c>
      <c r="CU70" s="198">
        <f t="shared" si="167"/>
        <v>-139488.01257311381</v>
      </c>
      <c r="CV70" s="198">
        <f t="shared" si="167"/>
        <v>-139488.01257311381</v>
      </c>
    </row>
    <row r="71" spans="1:100" outlineLevel="1" x14ac:dyDescent="0.2">
      <c r="E71" s="390" t="str">
        <f xml:space="preserve"> 'FS Semi'!E$33</f>
        <v>Profit after tax</v>
      </c>
      <c r="F71" s="390">
        <f xml:space="preserve"> 'FS Semi'!F$33</f>
        <v>0</v>
      </c>
      <c r="G71" s="390" t="str">
        <f xml:space="preserve"> 'FS Semi'!G$33</f>
        <v>$ 000s</v>
      </c>
      <c r="H71" s="390">
        <f xml:space="preserve"> 'FS Semi'!H$33</f>
        <v>-139488.01257311381</v>
      </c>
      <c r="I71" s="390">
        <f xml:space="preserve"> 'FS Semi'!I$33</f>
        <v>0</v>
      </c>
      <c r="J71" s="390">
        <f xml:space="preserve"> 'FS Semi'!J$33</f>
        <v>0</v>
      </c>
      <c r="K71" s="390">
        <f xml:space="preserve"> 'FS Semi'!K$33</f>
        <v>0</v>
      </c>
      <c r="L71" s="390">
        <f xml:space="preserve"> 'FS Semi'!L$33</f>
        <v>0</v>
      </c>
      <c r="M71" s="390">
        <f xml:space="preserve"> 'FS Semi'!M$33</f>
        <v>0</v>
      </c>
      <c r="N71" s="390">
        <f xml:space="preserve"> 'FS Semi'!N$33</f>
        <v>0</v>
      </c>
      <c r="O71" s="390">
        <f xml:space="preserve"> 'FS Semi'!O$33</f>
        <v>-8093.9627097477887</v>
      </c>
      <c r="P71" s="390">
        <f xml:space="preserve"> 'FS Semi'!P$33</f>
        <v>-7211.8162191817319</v>
      </c>
      <c r="Q71" s="390">
        <f xml:space="preserve"> 'FS Semi'!Q$33</f>
        <v>-6758.4517618686277</v>
      </c>
      <c r="R71" s="390">
        <f xml:space="preserve"> 'FS Semi'!R$33</f>
        <v>-6064.310092370185</v>
      </c>
      <c r="S71" s="390">
        <f xml:space="preserve"> 'FS Semi'!S$33</f>
        <v>-5720.580912207357</v>
      </c>
      <c r="T71" s="390">
        <f xml:space="preserve"> 'FS Semi'!T$33</f>
        <v>-5132.9347767584231</v>
      </c>
      <c r="U71" s="390">
        <f xml:space="preserve"> 'FS Semi'!U$33</f>
        <v>-4879.1710577362146</v>
      </c>
      <c r="V71" s="390">
        <f xml:space="preserve"> 'FS Semi'!V$33</f>
        <v>-4405.9643331974812</v>
      </c>
      <c r="W71" s="390">
        <f xml:space="preserve"> 'FS Semi'!W$33</f>
        <v>-4198.5500364226327</v>
      </c>
      <c r="X71" s="390">
        <f xml:space="preserve"> 'FS Semi'!X$33</f>
        <v>-3775.451967293187</v>
      </c>
      <c r="Y71" s="390">
        <f xml:space="preserve"> 'FS Semi'!Y$33</f>
        <v>-3851.6785302611647</v>
      </c>
      <c r="Z71" s="390">
        <f xml:space="preserve"> 'FS Semi'!Z$33</f>
        <v>-3485.9587616136546</v>
      </c>
      <c r="AA71" s="390">
        <f xml:space="preserve"> 'FS Semi'!AA$33</f>
        <v>-3417.5117178118016</v>
      </c>
      <c r="AB71" s="390">
        <f xml:space="preserve"> 'FS Semi'!AB$33</f>
        <v>-3106.6068213691815</v>
      </c>
      <c r="AC71" s="390">
        <f xml:space="preserve"> 'FS Semi'!AC$33</f>
        <v>-3081.0602571136287</v>
      </c>
      <c r="AD71" s="390">
        <f xml:space="preserve"> 'FS Semi'!AD$33</f>
        <v>-2838.3263422204677</v>
      </c>
      <c r="AE71" s="390">
        <f xml:space="preserve"> 'FS Semi'!AE$33</f>
        <v>-2827.9287770768274</v>
      </c>
      <c r="AF71" s="390">
        <f xml:space="preserve"> 'FS Semi'!AF$33</f>
        <v>-2609.8809721206321</v>
      </c>
      <c r="AG71" s="390">
        <f xml:space="preserve"> 'FS Semi'!AG$33</f>
        <v>-2652.5454603593694</v>
      </c>
      <c r="AH71" s="390">
        <f xml:space="preserve"> 'FS Semi'!AH$33</f>
        <v>-2473.5340005647081</v>
      </c>
      <c r="AI71" s="390">
        <f xml:space="preserve"> 'FS Semi'!AI$33</f>
        <v>-2693.9747431970959</v>
      </c>
      <c r="AJ71" s="390">
        <f xml:space="preserve"> 'FS Semi'!AJ$33</f>
        <v>-2544.2979292446398</v>
      </c>
      <c r="AK71" s="390">
        <f xml:space="preserve"> 'FS Semi'!AK$33</f>
        <v>-2639.1475823422074</v>
      </c>
      <c r="AL71" s="390">
        <f xml:space="preserve"> 'FS Semi'!AL$33</f>
        <v>-2538.6663979334426</v>
      </c>
      <c r="AM71" s="390">
        <f xml:space="preserve"> 'FS Semi'!AM$33</f>
        <v>-2644.5261287668209</v>
      </c>
      <c r="AN71" s="390">
        <f xml:space="preserve"> 'FS Semi'!AN$33</f>
        <v>-2568.8718343797291</v>
      </c>
      <c r="AO71" s="390">
        <f xml:space="preserve"> 'FS Semi'!AO$33</f>
        <v>-2713.7657498882727</v>
      </c>
      <c r="AP71" s="390">
        <f xml:space="preserve"> 'FS Semi'!AP$33</f>
        <v>-2674.2630784022322</v>
      </c>
      <c r="AQ71" s="390">
        <f xml:space="preserve"> 'FS Semi'!AQ$33</f>
        <v>-2845.0614919253157</v>
      </c>
      <c r="AR71" s="390">
        <f xml:space="preserve"> 'FS Semi'!AR$33</f>
        <v>-2844.3813223342136</v>
      </c>
      <c r="AS71" s="390">
        <f xml:space="preserve"> 'FS Semi'!AS$33</f>
        <v>-3042.9880278227402</v>
      </c>
      <c r="AT71" s="390">
        <f xml:space="preserve"> 'FS Semi'!AT$33</f>
        <v>-3103.159751255188</v>
      </c>
      <c r="AU71" s="390">
        <f xml:space="preserve"> 'FS Semi'!AU$33</f>
        <v>-3343.9573537650831</v>
      </c>
      <c r="AV71" s="390">
        <f xml:space="preserve"> 'FS Semi'!AV$33</f>
        <v>-3155.5420572666603</v>
      </c>
      <c r="AW71" s="390">
        <f xml:space="preserve"> 'FS Semi'!AW$33</f>
        <v>-2557.1505440066185</v>
      </c>
      <c r="AX71" s="390">
        <f xml:space="preserve"> 'FS Semi'!AX$33</f>
        <v>-2322.1608421396877</v>
      </c>
      <c r="AY71" s="390">
        <f xml:space="preserve"> 'FS Semi'!AY$33</f>
        <v>-2234.6159572270108</v>
      </c>
      <c r="AZ71" s="390">
        <f xml:space="preserve"> 'FS Semi'!AZ$33</f>
        <v>-1985.6854429273117</v>
      </c>
      <c r="BA71" s="390">
        <f xml:space="preserve"> 'FS Semi'!BA$33</f>
        <v>-1884.9623477730529</v>
      </c>
      <c r="BB71" s="390">
        <f xml:space="preserve"> 'FS Semi'!BB$33</f>
        <v>-2564.6084832214374</v>
      </c>
      <c r="BC71" s="390">
        <f xml:space="preserve"> 'FS Semi'!BC$33</f>
        <v>0</v>
      </c>
      <c r="BD71" s="390">
        <f xml:space="preserve"> 'FS Semi'!BD$33</f>
        <v>0</v>
      </c>
      <c r="BE71" s="390">
        <f xml:space="preserve"> 'FS Semi'!BE$33</f>
        <v>0</v>
      </c>
      <c r="BF71" s="390">
        <f xml:space="preserve"> 'FS Semi'!BF$33</f>
        <v>0</v>
      </c>
      <c r="BG71" s="390">
        <f xml:space="preserve"> 'FS Semi'!BG$33</f>
        <v>0</v>
      </c>
      <c r="BH71" s="390">
        <f xml:space="preserve"> 'FS Semi'!BH$33</f>
        <v>0</v>
      </c>
      <c r="BI71" s="390">
        <f xml:space="preserve"> 'FS Semi'!BI$33</f>
        <v>0</v>
      </c>
      <c r="BJ71" s="390">
        <f xml:space="preserve"> 'FS Semi'!BJ$33</f>
        <v>0</v>
      </c>
      <c r="BK71" s="390">
        <f xml:space="preserve"> 'FS Semi'!BK$33</f>
        <v>0</v>
      </c>
      <c r="BL71" s="390">
        <f xml:space="preserve"> 'FS Semi'!BL$33</f>
        <v>0</v>
      </c>
      <c r="BM71" s="390">
        <f xml:space="preserve"> 'FS Semi'!BM$33</f>
        <v>0</v>
      </c>
      <c r="BN71" s="390">
        <f xml:space="preserve"> 'FS Semi'!BN$33</f>
        <v>0</v>
      </c>
      <c r="BO71" s="390">
        <f xml:space="preserve"> 'FS Semi'!BO$33</f>
        <v>0</v>
      </c>
      <c r="BP71" s="390">
        <f xml:space="preserve"> 'FS Semi'!BP$33</f>
        <v>0</v>
      </c>
      <c r="BQ71" s="390">
        <f xml:space="preserve"> 'FS Semi'!BQ$33</f>
        <v>0</v>
      </c>
      <c r="BR71" s="390">
        <f xml:space="preserve"> 'FS Semi'!BR$33</f>
        <v>0</v>
      </c>
      <c r="BS71" s="390">
        <f xml:space="preserve"> 'FS Semi'!BS$33</f>
        <v>0</v>
      </c>
      <c r="BT71" s="390">
        <f xml:space="preserve"> 'FS Semi'!BT$33</f>
        <v>0</v>
      </c>
      <c r="BU71" s="390">
        <f xml:space="preserve"> 'FS Semi'!BU$33</f>
        <v>0</v>
      </c>
      <c r="BV71" s="390">
        <f xml:space="preserve"> 'FS Semi'!BV$33</f>
        <v>0</v>
      </c>
      <c r="BW71" s="390">
        <f xml:space="preserve"> 'FS Semi'!BW$33</f>
        <v>0</v>
      </c>
      <c r="BX71" s="390">
        <f xml:space="preserve"> 'FS Semi'!BX$33</f>
        <v>0</v>
      </c>
      <c r="BY71" s="390">
        <f xml:space="preserve"> 'FS Semi'!BY$33</f>
        <v>0</v>
      </c>
      <c r="BZ71" s="390">
        <f xml:space="preserve"> 'FS Semi'!BZ$33</f>
        <v>0</v>
      </c>
      <c r="CA71" s="390">
        <f xml:space="preserve"> 'FS Semi'!CA$33</f>
        <v>0</v>
      </c>
      <c r="CB71" s="390">
        <f xml:space="preserve"> 'FS Semi'!CB$33</f>
        <v>0</v>
      </c>
      <c r="CC71" s="390">
        <f xml:space="preserve"> 'FS Semi'!CC$33</f>
        <v>0</v>
      </c>
      <c r="CD71" s="390">
        <f xml:space="preserve"> 'FS Semi'!CD$33</f>
        <v>0</v>
      </c>
      <c r="CE71" s="390">
        <f xml:space="preserve"> 'FS Semi'!CE$33</f>
        <v>0</v>
      </c>
      <c r="CF71" s="390">
        <f xml:space="preserve"> 'FS Semi'!CF$33</f>
        <v>0</v>
      </c>
      <c r="CG71" s="390">
        <f xml:space="preserve"> 'FS Semi'!CG$33</f>
        <v>0</v>
      </c>
      <c r="CH71" s="390">
        <f xml:space="preserve"> 'FS Semi'!CH$33</f>
        <v>0</v>
      </c>
      <c r="CI71" s="390">
        <f xml:space="preserve"> 'FS Semi'!CI$33</f>
        <v>0</v>
      </c>
      <c r="CJ71" s="390">
        <f xml:space="preserve"> 'FS Semi'!CJ$33</f>
        <v>0</v>
      </c>
      <c r="CK71" s="390">
        <f xml:space="preserve"> 'FS Semi'!CK$33</f>
        <v>0</v>
      </c>
      <c r="CL71" s="390">
        <f xml:space="preserve"> 'FS Semi'!CL$33</f>
        <v>0</v>
      </c>
      <c r="CM71" s="390">
        <f xml:space="preserve"> 'FS Semi'!CM$33</f>
        <v>0</v>
      </c>
      <c r="CN71" s="390">
        <f xml:space="preserve"> 'FS Semi'!CN$33</f>
        <v>0</v>
      </c>
      <c r="CO71" s="390">
        <f xml:space="preserve"> 'FS Semi'!CO$33</f>
        <v>0</v>
      </c>
      <c r="CP71" s="390">
        <f xml:space="preserve"> 'FS Semi'!CP$33</f>
        <v>0</v>
      </c>
      <c r="CQ71" s="390">
        <f xml:space="preserve"> 'FS Semi'!CQ$33</f>
        <v>0</v>
      </c>
      <c r="CR71" s="390">
        <f xml:space="preserve"> 'FS Semi'!CR$33</f>
        <v>0</v>
      </c>
      <c r="CS71" s="390">
        <f xml:space="preserve"> 'FS Semi'!CS$33</f>
        <v>0</v>
      </c>
      <c r="CT71" s="390">
        <f xml:space="preserve"> 'FS Semi'!CT$33</f>
        <v>0</v>
      </c>
      <c r="CU71" s="390">
        <f xml:space="preserve"> 'FS Semi'!CU$33</f>
        <v>0</v>
      </c>
      <c r="CV71" s="390">
        <f xml:space="preserve"> 'FS Semi'!CV$33</f>
        <v>0</v>
      </c>
    </row>
    <row r="72" spans="1:100" outlineLevel="1" x14ac:dyDescent="0.2">
      <c r="E72" s="214" t="s">
        <v>150</v>
      </c>
      <c r="F72" s="214"/>
      <c r="G72" s="214" t="str">
        <f xml:space="preserve"> SMU</f>
        <v>$ 000s</v>
      </c>
      <c r="H72" s="214"/>
      <c r="I72" s="38"/>
      <c r="J72" s="214">
        <f t="shared" ref="J72:AO72" si="168" xml:space="preserve"> MAX(0, SUM(J70:J71))</f>
        <v>0</v>
      </c>
      <c r="K72" s="214">
        <f t="shared" si="168"/>
        <v>0</v>
      </c>
      <c r="L72" s="214">
        <f t="shared" si="168"/>
        <v>0</v>
      </c>
      <c r="M72" s="214">
        <f t="shared" si="168"/>
        <v>0</v>
      </c>
      <c r="N72" s="214">
        <f t="shared" si="168"/>
        <v>0</v>
      </c>
      <c r="O72" s="214">
        <f t="shared" si="168"/>
        <v>0</v>
      </c>
      <c r="P72" s="214">
        <f t="shared" si="168"/>
        <v>0</v>
      </c>
      <c r="Q72" s="214">
        <f t="shared" si="168"/>
        <v>0</v>
      </c>
      <c r="R72" s="214">
        <f t="shared" si="168"/>
        <v>0</v>
      </c>
      <c r="S72" s="214">
        <f t="shared" si="168"/>
        <v>0</v>
      </c>
      <c r="T72" s="214">
        <f t="shared" si="168"/>
        <v>0</v>
      </c>
      <c r="U72" s="214">
        <f t="shared" si="168"/>
        <v>0</v>
      </c>
      <c r="V72" s="214">
        <f t="shared" si="168"/>
        <v>0</v>
      </c>
      <c r="W72" s="214">
        <f t="shared" si="168"/>
        <v>0</v>
      </c>
      <c r="X72" s="214">
        <f t="shared" si="168"/>
        <v>0</v>
      </c>
      <c r="Y72" s="214">
        <f t="shared" si="168"/>
        <v>0</v>
      </c>
      <c r="Z72" s="214">
        <f t="shared" si="168"/>
        <v>0</v>
      </c>
      <c r="AA72" s="214">
        <f t="shared" si="168"/>
        <v>0</v>
      </c>
      <c r="AB72" s="214">
        <f t="shared" si="168"/>
        <v>0</v>
      </c>
      <c r="AC72" s="214">
        <f t="shared" si="168"/>
        <v>0</v>
      </c>
      <c r="AD72" s="214">
        <f t="shared" si="168"/>
        <v>0</v>
      </c>
      <c r="AE72" s="214">
        <f t="shared" si="168"/>
        <v>0</v>
      </c>
      <c r="AF72" s="214">
        <f t="shared" si="168"/>
        <v>0</v>
      </c>
      <c r="AG72" s="214">
        <f t="shared" si="168"/>
        <v>0</v>
      </c>
      <c r="AH72" s="214">
        <f t="shared" si="168"/>
        <v>0</v>
      </c>
      <c r="AI72" s="214">
        <f t="shared" si="168"/>
        <v>0</v>
      </c>
      <c r="AJ72" s="214">
        <f t="shared" si="168"/>
        <v>0</v>
      </c>
      <c r="AK72" s="214">
        <f t="shared" si="168"/>
        <v>0</v>
      </c>
      <c r="AL72" s="214">
        <f t="shared" si="168"/>
        <v>0</v>
      </c>
      <c r="AM72" s="214">
        <f t="shared" si="168"/>
        <v>0</v>
      </c>
      <c r="AN72" s="214">
        <f t="shared" si="168"/>
        <v>0</v>
      </c>
      <c r="AO72" s="214">
        <f t="shared" si="168"/>
        <v>0</v>
      </c>
      <c r="AP72" s="214">
        <f t="shared" ref="AP72:BU72" si="169" xml:space="preserve"> MAX(0, SUM(AP70:AP71))</f>
        <v>0</v>
      </c>
      <c r="AQ72" s="214">
        <f t="shared" si="169"/>
        <v>0</v>
      </c>
      <c r="AR72" s="214">
        <f t="shared" si="169"/>
        <v>0</v>
      </c>
      <c r="AS72" s="214">
        <f t="shared" si="169"/>
        <v>0</v>
      </c>
      <c r="AT72" s="214">
        <f t="shared" si="169"/>
        <v>0</v>
      </c>
      <c r="AU72" s="214">
        <f t="shared" si="169"/>
        <v>0</v>
      </c>
      <c r="AV72" s="214">
        <f t="shared" si="169"/>
        <v>0</v>
      </c>
      <c r="AW72" s="214">
        <f t="shared" si="169"/>
        <v>0</v>
      </c>
      <c r="AX72" s="214">
        <f t="shared" si="169"/>
        <v>0</v>
      </c>
      <c r="AY72" s="214">
        <f t="shared" si="169"/>
        <v>0</v>
      </c>
      <c r="AZ72" s="214">
        <f t="shared" si="169"/>
        <v>0</v>
      </c>
      <c r="BA72" s="214">
        <f t="shared" si="169"/>
        <v>0</v>
      </c>
      <c r="BB72" s="214">
        <f t="shared" si="169"/>
        <v>0</v>
      </c>
      <c r="BC72" s="214">
        <f t="shared" si="169"/>
        <v>0</v>
      </c>
      <c r="BD72" s="214">
        <f t="shared" si="169"/>
        <v>0</v>
      </c>
      <c r="BE72" s="214">
        <f t="shared" si="169"/>
        <v>0</v>
      </c>
      <c r="BF72" s="214">
        <f t="shared" si="169"/>
        <v>0</v>
      </c>
      <c r="BG72" s="214">
        <f t="shared" si="169"/>
        <v>0</v>
      </c>
      <c r="BH72" s="214">
        <f t="shared" si="169"/>
        <v>0</v>
      </c>
      <c r="BI72" s="214">
        <f t="shared" si="169"/>
        <v>0</v>
      </c>
      <c r="BJ72" s="214">
        <f t="shared" si="169"/>
        <v>0</v>
      </c>
      <c r="BK72" s="214">
        <f t="shared" si="169"/>
        <v>0</v>
      </c>
      <c r="BL72" s="214">
        <f t="shared" si="169"/>
        <v>0</v>
      </c>
      <c r="BM72" s="214">
        <f t="shared" si="169"/>
        <v>0</v>
      </c>
      <c r="BN72" s="214">
        <f t="shared" si="169"/>
        <v>0</v>
      </c>
      <c r="BO72" s="214">
        <f t="shared" si="169"/>
        <v>0</v>
      </c>
      <c r="BP72" s="214">
        <f t="shared" si="169"/>
        <v>0</v>
      </c>
      <c r="BQ72" s="214">
        <f t="shared" si="169"/>
        <v>0</v>
      </c>
      <c r="BR72" s="214">
        <f t="shared" si="169"/>
        <v>0</v>
      </c>
      <c r="BS72" s="214">
        <f t="shared" si="169"/>
        <v>0</v>
      </c>
      <c r="BT72" s="214">
        <f t="shared" si="169"/>
        <v>0</v>
      </c>
      <c r="BU72" s="214">
        <f t="shared" si="169"/>
        <v>0</v>
      </c>
      <c r="BV72" s="214">
        <f t="shared" ref="BV72:CV72" si="170" xml:space="preserve"> MAX(0, SUM(BV70:BV71))</f>
        <v>0</v>
      </c>
      <c r="BW72" s="214">
        <f t="shared" si="170"/>
        <v>0</v>
      </c>
      <c r="BX72" s="214">
        <f t="shared" si="170"/>
        <v>0</v>
      </c>
      <c r="BY72" s="214">
        <f t="shared" si="170"/>
        <v>0</v>
      </c>
      <c r="BZ72" s="214">
        <f t="shared" si="170"/>
        <v>0</v>
      </c>
      <c r="CA72" s="214">
        <f t="shared" si="170"/>
        <v>0</v>
      </c>
      <c r="CB72" s="214">
        <f t="shared" si="170"/>
        <v>0</v>
      </c>
      <c r="CC72" s="214">
        <f t="shared" si="170"/>
        <v>0</v>
      </c>
      <c r="CD72" s="214">
        <f t="shared" si="170"/>
        <v>0</v>
      </c>
      <c r="CE72" s="214">
        <f t="shared" si="170"/>
        <v>0</v>
      </c>
      <c r="CF72" s="214">
        <f t="shared" si="170"/>
        <v>0</v>
      </c>
      <c r="CG72" s="214">
        <f t="shared" si="170"/>
        <v>0</v>
      </c>
      <c r="CH72" s="214">
        <f t="shared" si="170"/>
        <v>0</v>
      </c>
      <c r="CI72" s="214">
        <f t="shared" si="170"/>
        <v>0</v>
      </c>
      <c r="CJ72" s="214">
        <f t="shared" si="170"/>
        <v>0</v>
      </c>
      <c r="CK72" s="214">
        <f t="shared" si="170"/>
        <v>0</v>
      </c>
      <c r="CL72" s="214">
        <f t="shared" si="170"/>
        <v>0</v>
      </c>
      <c r="CM72" s="214">
        <f t="shared" si="170"/>
        <v>0</v>
      </c>
      <c r="CN72" s="214">
        <f t="shared" si="170"/>
        <v>0</v>
      </c>
      <c r="CO72" s="214">
        <f t="shared" si="170"/>
        <v>0</v>
      </c>
      <c r="CP72" s="214">
        <f t="shared" si="170"/>
        <v>0</v>
      </c>
      <c r="CQ72" s="214">
        <f t="shared" si="170"/>
        <v>0</v>
      </c>
      <c r="CR72" s="214">
        <f t="shared" si="170"/>
        <v>0</v>
      </c>
      <c r="CS72" s="214">
        <f t="shared" si="170"/>
        <v>0</v>
      </c>
      <c r="CT72" s="214">
        <f t="shared" si="170"/>
        <v>0</v>
      </c>
      <c r="CU72" s="214">
        <f t="shared" si="170"/>
        <v>0</v>
      </c>
      <c r="CV72" s="214">
        <f t="shared" si="170"/>
        <v>0</v>
      </c>
    </row>
    <row r="73" spans="1:100" outlineLevel="1" x14ac:dyDescent="0.2"/>
    <row r="74" spans="1:100" outlineLevel="1" x14ac:dyDescent="0.2">
      <c r="E74" s="198" t="str">
        <f t="shared" ref="E74:AJ74" si="171" xml:space="preserve"> E$53</f>
        <v>Retained cash balance BEG</v>
      </c>
      <c r="F74" s="198">
        <f t="shared" si="171"/>
        <v>0</v>
      </c>
      <c r="G74" s="198" t="str">
        <f t="shared" si="171"/>
        <v>$ 000s</v>
      </c>
      <c r="H74" s="198">
        <f t="shared" si="171"/>
        <v>0</v>
      </c>
      <c r="I74" s="198">
        <f t="shared" si="171"/>
        <v>0</v>
      </c>
      <c r="J74" s="198">
        <f t="shared" si="171"/>
        <v>0</v>
      </c>
      <c r="K74" s="198">
        <f t="shared" si="171"/>
        <v>-1.5558398445136845E-6</v>
      </c>
      <c r="L74" s="198">
        <f t="shared" si="171"/>
        <v>-1.402249836246483E-5</v>
      </c>
      <c r="M74" s="198">
        <f t="shared" si="171"/>
        <v>-3.0776860512560233E-5</v>
      </c>
      <c r="N74" s="198">
        <f t="shared" si="171"/>
        <v>-5.0199549150420353E-5</v>
      </c>
      <c r="O74" s="198">
        <f t="shared" si="171"/>
        <v>-4.0178145100071561E-3</v>
      </c>
      <c r="P74" s="198">
        <f t="shared" si="171"/>
        <v>0</v>
      </c>
      <c r="Q74" s="198">
        <f t="shared" si="171"/>
        <v>0</v>
      </c>
      <c r="R74" s="198">
        <f t="shared" si="171"/>
        <v>0</v>
      </c>
      <c r="S74" s="198">
        <f t="shared" si="171"/>
        <v>0</v>
      </c>
      <c r="T74" s="198">
        <f t="shared" si="171"/>
        <v>0</v>
      </c>
      <c r="U74" s="198">
        <f t="shared" si="171"/>
        <v>0</v>
      </c>
      <c r="V74" s="198">
        <f t="shared" si="171"/>
        <v>0</v>
      </c>
      <c r="W74" s="198">
        <f t="shared" si="171"/>
        <v>0</v>
      </c>
      <c r="X74" s="198">
        <f t="shared" si="171"/>
        <v>0</v>
      </c>
      <c r="Y74" s="198">
        <f t="shared" si="171"/>
        <v>0</v>
      </c>
      <c r="Z74" s="198">
        <f t="shared" si="171"/>
        <v>0</v>
      </c>
      <c r="AA74" s="198">
        <f t="shared" si="171"/>
        <v>0</v>
      </c>
      <c r="AB74" s="198">
        <f t="shared" si="171"/>
        <v>0</v>
      </c>
      <c r="AC74" s="198">
        <f t="shared" si="171"/>
        <v>0</v>
      </c>
      <c r="AD74" s="198">
        <f t="shared" si="171"/>
        <v>0</v>
      </c>
      <c r="AE74" s="198">
        <f t="shared" si="171"/>
        <v>0</v>
      </c>
      <c r="AF74" s="198">
        <f t="shared" si="171"/>
        <v>0</v>
      </c>
      <c r="AG74" s="198">
        <f t="shared" si="171"/>
        <v>0</v>
      </c>
      <c r="AH74" s="198">
        <f t="shared" si="171"/>
        <v>0</v>
      </c>
      <c r="AI74" s="198">
        <f t="shared" si="171"/>
        <v>0</v>
      </c>
      <c r="AJ74" s="198">
        <f t="shared" si="171"/>
        <v>0</v>
      </c>
      <c r="AK74" s="198">
        <f t="shared" ref="AK74:BP74" si="172" xml:space="preserve"> AK$53</f>
        <v>0</v>
      </c>
      <c r="AL74" s="198">
        <f t="shared" si="172"/>
        <v>0</v>
      </c>
      <c r="AM74" s="198">
        <f t="shared" si="172"/>
        <v>0</v>
      </c>
      <c r="AN74" s="198">
        <f t="shared" si="172"/>
        <v>0</v>
      </c>
      <c r="AO74" s="198">
        <f t="shared" si="172"/>
        <v>0</v>
      </c>
      <c r="AP74" s="198">
        <f t="shared" si="172"/>
        <v>0</v>
      </c>
      <c r="AQ74" s="198">
        <f t="shared" si="172"/>
        <v>0</v>
      </c>
      <c r="AR74" s="198">
        <f t="shared" si="172"/>
        <v>0</v>
      </c>
      <c r="AS74" s="198">
        <f t="shared" si="172"/>
        <v>0</v>
      </c>
      <c r="AT74" s="198">
        <f t="shared" si="172"/>
        <v>0</v>
      </c>
      <c r="AU74" s="198">
        <f t="shared" si="172"/>
        <v>0</v>
      </c>
      <c r="AV74" s="198">
        <f t="shared" si="172"/>
        <v>0</v>
      </c>
      <c r="AW74" s="198">
        <f t="shared" si="172"/>
        <v>0</v>
      </c>
      <c r="AX74" s="198">
        <f t="shared" si="172"/>
        <v>0</v>
      </c>
      <c r="AY74" s="198">
        <f t="shared" si="172"/>
        <v>0</v>
      </c>
      <c r="AZ74" s="198">
        <f t="shared" si="172"/>
        <v>0</v>
      </c>
      <c r="BA74" s="198">
        <f t="shared" si="172"/>
        <v>0</v>
      </c>
      <c r="BB74" s="198">
        <f t="shared" si="172"/>
        <v>0</v>
      </c>
      <c r="BC74" s="198">
        <f t="shared" si="172"/>
        <v>0</v>
      </c>
      <c r="BD74" s="198">
        <f t="shared" si="172"/>
        <v>0</v>
      </c>
      <c r="BE74" s="198">
        <f t="shared" si="172"/>
        <v>0</v>
      </c>
      <c r="BF74" s="198">
        <f t="shared" si="172"/>
        <v>0</v>
      </c>
      <c r="BG74" s="198">
        <f t="shared" si="172"/>
        <v>0</v>
      </c>
      <c r="BH74" s="198">
        <f t="shared" si="172"/>
        <v>0</v>
      </c>
      <c r="BI74" s="198">
        <f t="shared" si="172"/>
        <v>0</v>
      </c>
      <c r="BJ74" s="198">
        <f t="shared" si="172"/>
        <v>0</v>
      </c>
      <c r="BK74" s="198">
        <f t="shared" si="172"/>
        <v>0</v>
      </c>
      <c r="BL74" s="198">
        <f t="shared" si="172"/>
        <v>0</v>
      </c>
      <c r="BM74" s="198">
        <f t="shared" si="172"/>
        <v>0</v>
      </c>
      <c r="BN74" s="198">
        <f t="shared" si="172"/>
        <v>0</v>
      </c>
      <c r="BO74" s="198">
        <f t="shared" si="172"/>
        <v>0</v>
      </c>
      <c r="BP74" s="198">
        <f t="shared" si="172"/>
        <v>0</v>
      </c>
      <c r="BQ74" s="198">
        <f t="shared" ref="BQ74:CV74" si="173" xml:space="preserve"> BQ$53</f>
        <v>0</v>
      </c>
      <c r="BR74" s="198">
        <f t="shared" si="173"/>
        <v>0</v>
      </c>
      <c r="BS74" s="198">
        <f t="shared" si="173"/>
        <v>0</v>
      </c>
      <c r="BT74" s="198">
        <f t="shared" si="173"/>
        <v>0</v>
      </c>
      <c r="BU74" s="198">
        <f t="shared" si="173"/>
        <v>0</v>
      </c>
      <c r="BV74" s="198">
        <f t="shared" si="173"/>
        <v>0</v>
      </c>
      <c r="BW74" s="198">
        <f t="shared" si="173"/>
        <v>0</v>
      </c>
      <c r="BX74" s="198">
        <f t="shared" si="173"/>
        <v>0</v>
      </c>
      <c r="BY74" s="198">
        <f t="shared" si="173"/>
        <v>0</v>
      </c>
      <c r="BZ74" s="198">
        <f t="shared" si="173"/>
        <v>0</v>
      </c>
      <c r="CA74" s="198">
        <f t="shared" si="173"/>
        <v>0</v>
      </c>
      <c r="CB74" s="198">
        <f t="shared" si="173"/>
        <v>0</v>
      </c>
      <c r="CC74" s="198">
        <f t="shared" si="173"/>
        <v>0</v>
      </c>
      <c r="CD74" s="198">
        <f t="shared" si="173"/>
        <v>0</v>
      </c>
      <c r="CE74" s="198">
        <f t="shared" si="173"/>
        <v>0</v>
      </c>
      <c r="CF74" s="198">
        <f t="shared" si="173"/>
        <v>0</v>
      </c>
      <c r="CG74" s="198">
        <f t="shared" si="173"/>
        <v>0</v>
      </c>
      <c r="CH74" s="198">
        <f t="shared" si="173"/>
        <v>0</v>
      </c>
      <c r="CI74" s="198">
        <f t="shared" si="173"/>
        <v>0</v>
      </c>
      <c r="CJ74" s="198">
        <f t="shared" si="173"/>
        <v>0</v>
      </c>
      <c r="CK74" s="198">
        <f t="shared" si="173"/>
        <v>0</v>
      </c>
      <c r="CL74" s="198">
        <f t="shared" si="173"/>
        <v>0</v>
      </c>
      <c r="CM74" s="198">
        <f t="shared" si="173"/>
        <v>0</v>
      </c>
      <c r="CN74" s="198">
        <f t="shared" si="173"/>
        <v>0</v>
      </c>
      <c r="CO74" s="198">
        <f t="shared" si="173"/>
        <v>0</v>
      </c>
      <c r="CP74" s="198">
        <f t="shared" si="173"/>
        <v>0</v>
      </c>
      <c r="CQ74" s="198">
        <f t="shared" si="173"/>
        <v>0</v>
      </c>
      <c r="CR74" s="198">
        <f t="shared" si="173"/>
        <v>0</v>
      </c>
      <c r="CS74" s="198">
        <f t="shared" si="173"/>
        <v>0</v>
      </c>
      <c r="CT74" s="198">
        <f t="shared" si="173"/>
        <v>0</v>
      </c>
      <c r="CU74" s="198">
        <f t="shared" si="173"/>
        <v>0</v>
      </c>
      <c r="CV74" s="198">
        <f t="shared" si="173"/>
        <v>0</v>
      </c>
    </row>
    <row r="75" spans="1:100" outlineLevel="1" x14ac:dyDescent="0.2">
      <c r="E75" s="390" t="str">
        <f xml:space="preserve"> 'FS Semi'!E$93</f>
        <v>Cash flow available for dividends</v>
      </c>
      <c r="F75" s="390">
        <f xml:space="preserve"> 'FS Semi'!F$93</f>
        <v>0</v>
      </c>
      <c r="G75" s="390" t="str">
        <f xml:space="preserve"> 'FS Semi'!G$93</f>
        <v>$ 000s</v>
      </c>
      <c r="H75" s="390">
        <f xml:space="preserve"> 'FS Semi'!H$93</f>
        <v>0</v>
      </c>
      <c r="I75" s="390">
        <f xml:space="preserve"> 'FS Semi'!I$93</f>
        <v>0</v>
      </c>
      <c r="J75" s="390">
        <f xml:space="preserve"> 'FS Semi'!J$93</f>
        <v>-1.5558398445136845E-6</v>
      </c>
      <c r="K75" s="390">
        <f xml:space="preserve"> 'FS Semi'!K$93</f>
        <v>-1.2466658517951146E-5</v>
      </c>
      <c r="L75" s="390">
        <f xml:space="preserve"> 'FS Semi'!L$93</f>
        <v>-1.6754362150095403E-5</v>
      </c>
      <c r="M75" s="390">
        <f xml:space="preserve"> 'FS Semi'!M$93</f>
        <v>-1.9422688637860119E-5</v>
      </c>
      <c r="N75" s="390">
        <f xml:space="preserve"> 'FS Semi'!N$93</f>
        <v>-3.9676149608567357E-3</v>
      </c>
      <c r="O75" s="390">
        <f xml:space="preserve"> 'FS Semi'!O$93</f>
        <v>4.0178145100071561E-3</v>
      </c>
      <c r="P75" s="390">
        <f xml:space="preserve"> 'FS Semi'!P$93</f>
        <v>0</v>
      </c>
      <c r="Q75" s="390">
        <f xml:space="preserve"> 'FS Semi'!Q$93</f>
        <v>0</v>
      </c>
      <c r="R75" s="390">
        <f xml:space="preserve"> 'FS Semi'!R$93</f>
        <v>0</v>
      </c>
      <c r="S75" s="390">
        <f xml:space="preserve"> 'FS Semi'!S$93</f>
        <v>0</v>
      </c>
      <c r="T75" s="390">
        <f xml:space="preserve"> 'FS Semi'!T$93</f>
        <v>0</v>
      </c>
      <c r="U75" s="390">
        <f xml:space="preserve"> 'FS Semi'!U$93</f>
        <v>0</v>
      </c>
      <c r="V75" s="390">
        <f xml:space="preserve"> 'FS Semi'!V$93</f>
        <v>0</v>
      </c>
      <c r="W75" s="390">
        <f xml:space="preserve"> 'FS Semi'!W$93</f>
        <v>0</v>
      </c>
      <c r="X75" s="390">
        <f xml:space="preserve"> 'FS Semi'!X$93</f>
        <v>0</v>
      </c>
      <c r="Y75" s="390">
        <f xml:space="preserve"> 'FS Semi'!Y$93</f>
        <v>0</v>
      </c>
      <c r="Z75" s="390">
        <f xml:space="preserve"> 'FS Semi'!Z$93</f>
        <v>0</v>
      </c>
      <c r="AA75" s="390">
        <f xml:space="preserve"> 'FS Semi'!AA$93</f>
        <v>0</v>
      </c>
      <c r="AB75" s="390">
        <f xml:space="preserve"> 'FS Semi'!AB$93</f>
        <v>0</v>
      </c>
      <c r="AC75" s="390">
        <f xml:space="preserve"> 'FS Semi'!AC$93</f>
        <v>0</v>
      </c>
      <c r="AD75" s="390">
        <f xml:space="preserve"> 'FS Semi'!AD$93</f>
        <v>0</v>
      </c>
      <c r="AE75" s="390">
        <f xml:space="preserve"> 'FS Semi'!AE$93</f>
        <v>0</v>
      </c>
      <c r="AF75" s="390">
        <f xml:space="preserve"> 'FS Semi'!AF$93</f>
        <v>0</v>
      </c>
      <c r="AG75" s="390">
        <f xml:space="preserve"> 'FS Semi'!AG$93</f>
        <v>0</v>
      </c>
      <c r="AH75" s="390">
        <f xml:space="preserve"> 'FS Semi'!AH$93</f>
        <v>0</v>
      </c>
      <c r="AI75" s="390">
        <f xml:space="preserve"> 'FS Semi'!AI$93</f>
        <v>0</v>
      </c>
      <c r="AJ75" s="390">
        <f xml:space="preserve"> 'FS Semi'!AJ$93</f>
        <v>0</v>
      </c>
      <c r="AK75" s="390">
        <f xml:space="preserve"> 'FS Semi'!AK$93</f>
        <v>0</v>
      </c>
      <c r="AL75" s="390">
        <f xml:space="preserve"> 'FS Semi'!AL$93</f>
        <v>0</v>
      </c>
      <c r="AM75" s="390">
        <f xml:space="preserve"> 'FS Semi'!AM$93</f>
        <v>0</v>
      </c>
      <c r="AN75" s="390">
        <f xml:space="preserve"> 'FS Semi'!AN$93</f>
        <v>0</v>
      </c>
      <c r="AO75" s="390">
        <f xml:space="preserve"> 'FS Semi'!AO$93</f>
        <v>0</v>
      </c>
      <c r="AP75" s="390">
        <f xml:space="preserve"> 'FS Semi'!AP$93</f>
        <v>0</v>
      </c>
      <c r="AQ75" s="390">
        <f xml:space="preserve"> 'FS Semi'!AQ$93</f>
        <v>0</v>
      </c>
      <c r="AR75" s="390">
        <f xml:space="preserve"> 'FS Semi'!AR$93</f>
        <v>0</v>
      </c>
      <c r="AS75" s="390">
        <f xml:space="preserve"> 'FS Semi'!AS$93</f>
        <v>0</v>
      </c>
      <c r="AT75" s="390">
        <f xml:space="preserve"> 'FS Semi'!AT$93</f>
        <v>0</v>
      </c>
      <c r="AU75" s="390">
        <f xml:space="preserve"> 'FS Semi'!AU$93</f>
        <v>0</v>
      </c>
      <c r="AV75" s="390">
        <f xml:space="preserve"> 'FS Semi'!AV$93</f>
        <v>0</v>
      </c>
      <c r="AW75" s="390">
        <f xml:space="preserve"> 'FS Semi'!AW$93</f>
        <v>0</v>
      </c>
      <c r="AX75" s="390">
        <f xml:space="preserve"> 'FS Semi'!AX$93</f>
        <v>0</v>
      </c>
      <c r="AY75" s="390">
        <f xml:space="preserve"> 'FS Semi'!AY$93</f>
        <v>0</v>
      </c>
      <c r="AZ75" s="390">
        <f xml:space="preserve"> 'FS Semi'!AZ$93</f>
        <v>0</v>
      </c>
      <c r="BA75" s="390">
        <f xml:space="preserve"> 'FS Semi'!BA$93</f>
        <v>0</v>
      </c>
      <c r="BB75" s="390">
        <f xml:space="preserve"> 'FS Semi'!BB$93</f>
        <v>0</v>
      </c>
      <c r="BC75" s="390">
        <f xml:space="preserve"> 'FS Semi'!BC$93</f>
        <v>0</v>
      </c>
      <c r="BD75" s="390">
        <f xml:space="preserve"> 'FS Semi'!BD$93</f>
        <v>0</v>
      </c>
      <c r="BE75" s="390">
        <f xml:space="preserve"> 'FS Semi'!BE$93</f>
        <v>0</v>
      </c>
      <c r="BF75" s="390">
        <f xml:space="preserve"> 'FS Semi'!BF$93</f>
        <v>0</v>
      </c>
      <c r="BG75" s="390">
        <f xml:space="preserve"> 'FS Semi'!BG$93</f>
        <v>0</v>
      </c>
      <c r="BH75" s="390">
        <f xml:space="preserve"> 'FS Semi'!BH$93</f>
        <v>0</v>
      </c>
      <c r="BI75" s="390">
        <f xml:space="preserve"> 'FS Semi'!BI$93</f>
        <v>0</v>
      </c>
      <c r="BJ75" s="390">
        <f xml:space="preserve"> 'FS Semi'!BJ$93</f>
        <v>0</v>
      </c>
      <c r="BK75" s="390">
        <f xml:space="preserve"> 'FS Semi'!BK$93</f>
        <v>0</v>
      </c>
      <c r="BL75" s="390">
        <f xml:space="preserve"> 'FS Semi'!BL$93</f>
        <v>0</v>
      </c>
      <c r="BM75" s="390">
        <f xml:space="preserve"> 'FS Semi'!BM$93</f>
        <v>0</v>
      </c>
      <c r="BN75" s="390">
        <f xml:space="preserve"> 'FS Semi'!BN$93</f>
        <v>0</v>
      </c>
      <c r="BO75" s="390">
        <f xml:space="preserve"> 'FS Semi'!BO$93</f>
        <v>0</v>
      </c>
      <c r="BP75" s="390">
        <f xml:space="preserve"> 'FS Semi'!BP$93</f>
        <v>0</v>
      </c>
      <c r="BQ75" s="390">
        <f xml:space="preserve"> 'FS Semi'!BQ$93</f>
        <v>0</v>
      </c>
      <c r="BR75" s="390">
        <f xml:space="preserve"> 'FS Semi'!BR$93</f>
        <v>0</v>
      </c>
      <c r="BS75" s="390">
        <f xml:space="preserve"> 'FS Semi'!BS$93</f>
        <v>0</v>
      </c>
      <c r="BT75" s="390">
        <f xml:space="preserve"> 'FS Semi'!BT$93</f>
        <v>0</v>
      </c>
      <c r="BU75" s="390">
        <f xml:space="preserve"> 'FS Semi'!BU$93</f>
        <v>0</v>
      </c>
      <c r="BV75" s="390">
        <f xml:space="preserve"> 'FS Semi'!BV$93</f>
        <v>0</v>
      </c>
      <c r="BW75" s="390">
        <f xml:space="preserve"> 'FS Semi'!BW$93</f>
        <v>0</v>
      </c>
      <c r="BX75" s="390">
        <f xml:space="preserve"> 'FS Semi'!BX$93</f>
        <v>0</v>
      </c>
      <c r="BY75" s="390">
        <f xml:space="preserve"> 'FS Semi'!BY$93</f>
        <v>0</v>
      </c>
      <c r="BZ75" s="390">
        <f xml:space="preserve"> 'FS Semi'!BZ$93</f>
        <v>0</v>
      </c>
      <c r="CA75" s="390">
        <f xml:space="preserve"> 'FS Semi'!CA$93</f>
        <v>0</v>
      </c>
      <c r="CB75" s="390">
        <f xml:space="preserve"> 'FS Semi'!CB$93</f>
        <v>0</v>
      </c>
      <c r="CC75" s="390">
        <f xml:space="preserve"> 'FS Semi'!CC$93</f>
        <v>0</v>
      </c>
      <c r="CD75" s="390">
        <f xml:space="preserve"> 'FS Semi'!CD$93</f>
        <v>0</v>
      </c>
      <c r="CE75" s="390">
        <f xml:space="preserve"> 'FS Semi'!CE$93</f>
        <v>0</v>
      </c>
      <c r="CF75" s="390">
        <f xml:space="preserve"> 'FS Semi'!CF$93</f>
        <v>0</v>
      </c>
      <c r="CG75" s="390">
        <f xml:space="preserve"> 'FS Semi'!CG$93</f>
        <v>0</v>
      </c>
      <c r="CH75" s="390">
        <f xml:space="preserve"> 'FS Semi'!CH$93</f>
        <v>0</v>
      </c>
      <c r="CI75" s="390">
        <f xml:space="preserve"> 'FS Semi'!CI$93</f>
        <v>0</v>
      </c>
      <c r="CJ75" s="390">
        <f xml:space="preserve"> 'FS Semi'!CJ$93</f>
        <v>0</v>
      </c>
      <c r="CK75" s="390">
        <f xml:space="preserve"> 'FS Semi'!CK$93</f>
        <v>0</v>
      </c>
      <c r="CL75" s="390">
        <f xml:space="preserve"> 'FS Semi'!CL$93</f>
        <v>0</v>
      </c>
      <c r="CM75" s="390">
        <f xml:space="preserve"> 'FS Semi'!CM$93</f>
        <v>0</v>
      </c>
      <c r="CN75" s="390">
        <f xml:space="preserve"> 'FS Semi'!CN$93</f>
        <v>0</v>
      </c>
      <c r="CO75" s="390">
        <f xml:space="preserve"> 'FS Semi'!CO$93</f>
        <v>0</v>
      </c>
      <c r="CP75" s="390">
        <f xml:space="preserve"> 'FS Semi'!CP$93</f>
        <v>0</v>
      </c>
      <c r="CQ75" s="390">
        <f xml:space="preserve"> 'FS Semi'!CQ$93</f>
        <v>0</v>
      </c>
      <c r="CR75" s="390">
        <f xml:space="preserve"> 'FS Semi'!CR$93</f>
        <v>0</v>
      </c>
      <c r="CS75" s="390">
        <f xml:space="preserve"> 'FS Semi'!CS$93</f>
        <v>0</v>
      </c>
      <c r="CT75" s="390">
        <f xml:space="preserve"> 'FS Semi'!CT$93</f>
        <v>0</v>
      </c>
      <c r="CU75" s="390">
        <f xml:space="preserve"> 'FS Semi'!CU$93</f>
        <v>0</v>
      </c>
      <c r="CV75" s="390">
        <f xml:space="preserve"> 'FS Semi'!CV$93</f>
        <v>0</v>
      </c>
    </row>
    <row r="76" spans="1:100" outlineLevel="1" x14ac:dyDescent="0.2">
      <c r="E76" s="38" t="s">
        <v>151</v>
      </c>
      <c r="F76" s="38"/>
      <c r="G76" s="38" t="str">
        <f xml:space="preserve"> SMU</f>
        <v>$ 000s</v>
      </c>
      <c r="H76" s="38"/>
      <c r="I76" s="38"/>
      <c r="J76" s="38">
        <f t="shared" ref="J76:AO76" si="174">MAX(0, SUM(J74:J75))</f>
        <v>0</v>
      </c>
      <c r="K76" s="38">
        <f t="shared" si="174"/>
        <v>0</v>
      </c>
      <c r="L76" s="38">
        <f t="shared" si="174"/>
        <v>0</v>
      </c>
      <c r="M76" s="38">
        <f t="shared" si="174"/>
        <v>0</v>
      </c>
      <c r="N76" s="38">
        <f t="shared" si="174"/>
        <v>0</v>
      </c>
      <c r="O76" s="38">
        <f t="shared" si="174"/>
        <v>0</v>
      </c>
      <c r="P76" s="38">
        <f t="shared" si="174"/>
        <v>0</v>
      </c>
      <c r="Q76" s="38">
        <f t="shared" si="174"/>
        <v>0</v>
      </c>
      <c r="R76" s="38">
        <f t="shared" si="174"/>
        <v>0</v>
      </c>
      <c r="S76" s="38">
        <f t="shared" si="174"/>
        <v>0</v>
      </c>
      <c r="T76" s="38">
        <f t="shared" si="174"/>
        <v>0</v>
      </c>
      <c r="U76" s="38">
        <f t="shared" si="174"/>
        <v>0</v>
      </c>
      <c r="V76" s="38">
        <f t="shared" si="174"/>
        <v>0</v>
      </c>
      <c r="W76" s="38">
        <f t="shared" si="174"/>
        <v>0</v>
      </c>
      <c r="X76" s="38">
        <f t="shared" si="174"/>
        <v>0</v>
      </c>
      <c r="Y76" s="38">
        <f t="shared" si="174"/>
        <v>0</v>
      </c>
      <c r="Z76" s="38">
        <f t="shared" si="174"/>
        <v>0</v>
      </c>
      <c r="AA76" s="38">
        <f t="shared" si="174"/>
        <v>0</v>
      </c>
      <c r="AB76" s="38">
        <f t="shared" si="174"/>
        <v>0</v>
      </c>
      <c r="AC76" s="38">
        <f t="shared" si="174"/>
        <v>0</v>
      </c>
      <c r="AD76" s="38">
        <f t="shared" si="174"/>
        <v>0</v>
      </c>
      <c r="AE76" s="38">
        <f t="shared" si="174"/>
        <v>0</v>
      </c>
      <c r="AF76" s="38">
        <f t="shared" si="174"/>
        <v>0</v>
      </c>
      <c r="AG76" s="38">
        <f t="shared" si="174"/>
        <v>0</v>
      </c>
      <c r="AH76" s="38">
        <f t="shared" si="174"/>
        <v>0</v>
      </c>
      <c r="AI76" s="38">
        <f t="shared" si="174"/>
        <v>0</v>
      </c>
      <c r="AJ76" s="38">
        <f t="shared" si="174"/>
        <v>0</v>
      </c>
      <c r="AK76" s="38">
        <f t="shared" si="174"/>
        <v>0</v>
      </c>
      <c r="AL76" s="38">
        <f t="shared" si="174"/>
        <v>0</v>
      </c>
      <c r="AM76" s="38">
        <f t="shared" si="174"/>
        <v>0</v>
      </c>
      <c r="AN76" s="38">
        <f t="shared" si="174"/>
        <v>0</v>
      </c>
      <c r="AO76" s="38">
        <f t="shared" si="174"/>
        <v>0</v>
      </c>
      <c r="AP76" s="38">
        <f t="shared" ref="AP76:BU76" si="175">MAX(0, SUM(AP74:AP75))</f>
        <v>0</v>
      </c>
      <c r="AQ76" s="38">
        <f t="shared" si="175"/>
        <v>0</v>
      </c>
      <c r="AR76" s="38">
        <f t="shared" si="175"/>
        <v>0</v>
      </c>
      <c r="AS76" s="38">
        <f t="shared" si="175"/>
        <v>0</v>
      </c>
      <c r="AT76" s="38">
        <f t="shared" si="175"/>
        <v>0</v>
      </c>
      <c r="AU76" s="38">
        <f t="shared" si="175"/>
        <v>0</v>
      </c>
      <c r="AV76" s="38">
        <f t="shared" si="175"/>
        <v>0</v>
      </c>
      <c r="AW76" s="38">
        <f t="shared" si="175"/>
        <v>0</v>
      </c>
      <c r="AX76" s="38">
        <f t="shared" si="175"/>
        <v>0</v>
      </c>
      <c r="AY76" s="38">
        <f t="shared" si="175"/>
        <v>0</v>
      </c>
      <c r="AZ76" s="38">
        <f t="shared" si="175"/>
        <v>0</v>
      </c>
      <c r="BA76" s="38">
        <f t="shared" si="175"/>
        <v>0</v>
      </c>
      <c r="BB76" s="38">
        <f t="shared" si="175"/>
        <v>0</v>
      </c>
      <c r="BC76" s="38">
        <f t="shared" si="175"/>
        <v>0</v>
      </c>
      <c r="BD76" s="38">
        <f t="shared" si="175"/>
        <v>0</v>
      </c>
      <c r="BE76" s="38">
        <f t="shared" si="175"/>
        <v>0</v>
      </c>
      <c r="BF76" s="38">
        <f t="shared" si="175"/>
        <v>0</v>
      </c>
      <c r="BG76" s="38">
        <f t="shared" si="175"/>
        <v>0</v>
      </c>
      <c r="BH76" s="38">
        <f t="shared" si="175"/>
        <v>0</v>
      </c>
      <c r="BI76" s="38">
        <f t="shared" si="175"/>
        <v>0</v>
      </c>
      <c r="BJ76" s="38">
        <f t="shared" si="175"/>
        <v>0</v>
      </c>
      <c r="BK76" s="38">
        <f t="shared" si="175"/>
        <v>0</v>
      </c>
      <c r="BL76" s="38">
        <f t="shared" si="175"/>
        <v>0</v>
      </c>
      <c r="BM76" s="38">
        <f t="shared" si="175"/>
        <v>0</v>
      </c>
      <c r="BN76" s="38">
        <f t="shared" si="175"/>
        <v>0</v>
      </c>
      <c r="BO76" s="38">
        <f t="shared" si="175"/>
        <v>0</v>
      </c>
      <c r="BP76" s="38">
        <f t="shared" si="175"/>
        <v>0</v>
      </c>
      <c r="BQ76" s="38">
        <f t="shared" si="175"/>
        <v>0</v>
      </c>
      <c r="BR76" s="38">
        <f t="shared" si="175"/>
        <v>0</v>
      </c>
      <c r="BS76" s="38">
        <f t="shared" si="175"/>
        <v>0</v>
      </c>
      <c r="BT76" s="38">
        <f t="shared" si="175"/>
        <v>0</v>
      </c>
      <c r="BU76" s="38">
        <f t="shared" si="175"/>
        <v>0</v>
      </c>
      <c r="BV76" s="38">
        <f t="shared" ref="BV76:CV76" si="176">MAX(0, SUM(BV74:BV75))</f>
        <v>0</v>
      </c>
      <c r="BW76" s="38">
        <f t="shared" si="176"/>
        <v>0</v>
      </c>
      <c r="BX76" s="38">
        <f t="shared" si="176"/>
        <v>0</v>
      </c>
      <c r="BY76" s="38">
        <f t="shared" si="176"/>
        <v>0</v>
      </c>
      <c r="BZ76" s="38">
        <f t="shared" si="176"/>
        <v>0</v>
      </c>
      <c r="CA76" s="38">
        <f t="shared" si="176"/>
        <v>0</v>
      </c>
      <c r="CB76" s="38">
        <f t="shared" si="176"/>
        <v>0</v>
      </c>
      <c r="CC76" s="38">
        <f t="shared" si="176"/>
        <v>0</v>
      </c>
      <c r="CD76" s="38">
        <f t="shared" si="176"/>
        <v>0</v>
      </c>
      <c r="CE76" s="38">
        <f t="shared" si="176"/>
        <v>0</v>
      </c>
      <c r="CF76" s="38">
        <f t="shared" si="176"/>
        <v>0</v>
      </c>
      <c r="CG76" s="38">
        <f t="shared" si="176"/>
        <v>0</v>
      </c>
      <c r="CH76" s="38">
        <f t="shared" si="176"/>
        <v>0</v>
      </c>
      <c r="CI76" s="38">
        <f t="shared" si="176"/>
        <v>0</v>
      </c>
      <c r="CJ76" s="38">
        <f t="shared" si="176"/>
        <v>0</v>
      </c>
      <c r="CK76" s="38">
        <f t="shared" si="176"/>
        <v>0</v>
      </c>
      <c r="CL76" s="38">
        <f t="shared" si="176"/>
        <v>0</v>
      </c>
      <c r="CM76" s="38">
        <f t="shared" si="176"/>
        <v>0</v>
      </c>
      <c r="CN76" s="38">
        <f t="shared" si="176"/>
        <v>0</v>
      </c>
      <c r="CO76" s="38">
        <f t="shared" si="176"/>
        <v>0</v>
      </c>
      <c r="CP76" s="38">
        <f t="shared" si="176"/>
        <v>0</v>
      </c>
      <c r="CQ76" s="38">
        <f t="shared" si="176"/>
        <v>0</v>
      </c>
      <c r="CR76" s="38">
        <f t="shared" si="176"/>
        <v>0</v>
      </c>
      <c r="CS76" s="38">
        <f t="shared" si="176"/>
        <v>0</v>
      </c>
      <c r="CT76" s="38">
        <f t="shared" si="176"/>
        <v>0</v>
      </c>
      <c r="CU76" s="38">
        <f t="shared" si="176"/>
        <v>0</v>
      </c>
      <c r="CV76" s="38">
        <f t="shared" si="176"/>
        <v>0</v>
      </c>
    </row>
    <row r="77" spans="1:100" outlineLevel="1" x14ac:dyDescent="0.2"/>
    <row r="78" spans="1:100" outlineLevel="1" x14ac:dyDescent="0.2">
      <c r="E78" s="198" t="str">
        <f t="shared" ref="E78:AJ78" si="177" xml:space="preserve"> E$72</f>
        <v>Earnings available for dividend</v>
      </c>
      <c r="F78" s="198">
        <f t="shared" si="177"/>
        <v>0</v>
      </c>
      <c r="G78" s="198" t="str">
        <f t="shared" si="177"/>
        <v>$ 000s</v>
      </c>
      <c r="H78" s="198">
        <f t="shared" si="177"/>
        <v>0</v>
      </c>
      <c r="I78" s="198">
        <f t="shared" si="177"/>
        <v>0</v>
      </c>
      <c r="J78" s="198">
        <f t="shared" si="177"/>
        <v>0</v>
      </c>
      <c r="K78" s="198">
        <f t="shared" si="177"/>
        <v>0</v>
      </c>
      <c r="L78" s="198">
        <f t="shared" si="177"/>
        <v>0</v>
      </c>
      <c r="M78" s="198">
        <f t="shared" si="177"/>
        <v>0</v>
      </c>
      <c r="N78" s="198">
        <f t="shared" si="177"/>
        <v>0</v>
      </c>
      <c r="O78" s="198">
        <f t="shared" si="177"/>
        <v>0</v>
      </c>
      <c r="P78" s="198">
        <f t="shared" si="177"/>
        <v>0</v>
      </c>
      <c r="Q78" s="198">
        <f t="shared" si="177"/>
        <v>0</v>
      </c>
      <c r="R78" s="198">
        <f t="shared" si="177"/>
        <v>0</v>
      </c>
      <c r="S78" s="198">
        <f t="shared" si="177"/>
        <v>0</v>
      </c>
      <c r="T78" s="198">
        <f t="shared" si="177"/>
        <v>0</v>
      </c>
      <c r="U78" s="198">
        <f t="shared" si="177"/>
        <v>0</v>
      </c>
      <c r="V78" s="198">
        <f t="shared" si="177"/>
        <v>0</v>
      </c>
      <c r="W78" s="198">
        <f t="shared" si="177"/>
        <v>0</v>
      </c>
      <c r="X78" s="198">
        <f t="shared" si="177"/>
        <v>0</v>
      </c>
      <c r="Y78" s="198">
        <f t="shared" si="177"/>
        <v>0</v>
      </c>
      <c r="Z78" s="198">
        <f t="shared" si="177"/>
        <v>0</v>
      </c>
      <c r="AA78" s="198">
        <f t="shared" si="177"/>
        <v>0</v>
      </c>
      <c r="AB78" s="198">
        <f t="shared" si="177"/>
        <v>0</v>
      </c>
      <c r="AC78" s="198">
        <f t="shared" si="177"/>
        <v>0</v>
      </c>
      <c r="AD78" s="198">
        <f t="shared" si="177"/>
        <v>0</v>
      </c>
      <c r="AE78" s="198">
        <f t="shared" si="177"/>
        <v>0</v>
      </c>
      <c r="AF78" s="198">
        <f t="shared" si="177"/>
        <v>0</v>
      </c>
      <c r="AG78" s="198">
        <f t="shared" si="177"/>
        <v>0</v>
      </c>
      <c r="AH78" s="198">
        <f t="shared" si="177"/>
        <v>0</v>
      </c>
      <c r="AI78" s="198">
        <f t="shared" si="177"/>
        <v>0</v>
      </c>
      <c r="AJ78" s="198">
        <f t="shared" si="177"/>
        <v>0</v>
      </c>
      <c r="AK78" s="198">
        <f t="shared" ref="AK78:BP78" si="178" xml:space="preserve"> AK$72</f>
        <v>0</v>
      </c>
      <c r="AL78" s="198">
        <f t="shared" si="178"/>
        <v>0</v>
      </c>
      <c r="AM78" s="198">
        <f t="shared" si="178"/>
        <v>0</v>
      </c>
      <c r="AN78" s="198">
        <f t="shared" si="178"/>
        <v>0</v>
      </c>
      <c r="AO78" s="198">
        <f t="shared" si="178"/>
        <v>0</v>
      </c>
      <c r="AP78" s="198">
        <f t="shared" si="178"/>
        <v>0</v>
      </c>
      <c r="AQ78" s="198">
        <f t="shared" si="178"/>
        <v>0</v>
      </c>
      <c r="AR78" s="198">
        <f t="shared" si="178"/>
        <v>0</v>
      </c>
      <c r="AS78" s="198">
        <f t="shared" si="178"/>
        <v>0</v>
      </c>
      <c r="AT78" s="198">
        <f t="shared" si="178"/>
        <v>0</v>
      </c>
      <c r="AU78" s="198">
        <f t="shared" si="178"/>
        <v>0</v>
      </c>
      <c r="AV78" s="198">
        <f t="shared" si="178"/>
        <v>0</v>
      </c>
      <c r="AW78" s="198">
        <f t="shared" si="178"/>
        <v>0</v>
      </c>
      <c r="AX78" s="198">
        <f t="shared" si="178"/>
        <v>0</v>
      </c>
      <c r="AY78" s="198">
        <f t="shared" si="178"/>
        <v>0</v>
      </c>
      <c r="AZ78" s="198">
        <f t="shared" si="178"/>
        <v>0</v>
      </c>
      <c r="BA78" s="198">
        <f t="shared" si="178"/>
        <v>0</v>
      </c>
      <c r="BB78" s="198">
        <f t="shared" si="178"/>
        <v>0</v>
      </c>
      <c r="BC78" s="198">
        <f t="shared" si="178"/>
        <v>0</v>
      </c>
      <c r="BD78" s="198">
        <f t="shared" si="178"/>
        <v>0</v>
      </c>
      <c r="BE78" s="198">
        <f t="shared" si="178"/>
        <v>0</v>
      </c>
      <c r="BF78" s="198">
        <f t="shared" si="178"/>
        <v>0</v>
      </c>
      <c r="BG78" s="198">
        <f t="shared" si="178"/>
        <v>0</v>
      </c>
      <c r="BH78" s="198">
        <f t="shared" si="178"/>
        <v>0</v>
      </c>
      <c r="BI78" s="198">
        <f t="shared" si="178"/>
        <v>0</v>
      </c>
      <c r="BJ78" s="198">
        <f t="shared" si="178"/>
        <v>0</v>
      </c>
      <c r="BK78" s="198">
        <f t="shared" si="178"/>
        <v>0</v>
      </c>
      <c r="BL78" s="198">
        <f t="shared" si="178"/>
        <v>0</v>
      </c>
      <c r="BM78" s="198">
        <f t="shared" si="178"/>
        <v>0</v>
      </c>
      <c r="BN78" s="198">
        <f t="shared" si="178"/>
        <v>0</v>
      </c>
      <c r="BO78" s="198">
        <f t="shared" si="178"/>
        <v>0</v>
      </c>
      <c r="BP78" s="198">
        <f t="shared" si="178"/>
        <v>0</v>
      </c>
      <c r="BQ78" s="198">
        <f t="shared" ref="BQ78:CV78" si="179" xml:space="preserve"> BQ$72</f>
        <v>0</v>
      </c>
      <c r="BR78" s="198">
        <f t="shared" si="179"/>
        <v>0</v>
      </c>
      <c r="BS78" s="198">
        <f t="shared" si="179"/>
        <v>0</v>
      </c>
      <c r="BT78" s="198">
        <f t="shared" si="179"/>
        <v>0</v>
      </c>
      <c r="BU78" s="198">
        <f t="shared" si="179"/>
        <v>0</v>
      </c>
      <c r="BV78" s="198">
        <f t="shared" si="179"/>
        <v>0</v>
      </c>
      <c r="BW78" s="198">
        <f t="shared" si="179"/>
        <v>0</v>
      </c>
      <c r="BX78" s="198">
        <f t="shared" si="179"/>
        <v>0</v>
      </c>
      <c r="BY78" s="198">
        <f t="shared" si="179"/>
        <v>0</v>
      </c>
      <c r="BZ78" s="198">
        <f t="shared" si="179"/>
        <v>0</v>
      </c>
      <c r="CA78" s="198">
        <f t="shared" si="179"/>
        <v>0</v>
      </c>
      <c r="CB78" s="198">
        <f t="shared" si="179"/>
        <v>0</v>
      </c>
      <c r="CC78" s="198">
        <f t="shared" si="179"/>
        <v>0</v>
      </c>
      <c r="CD78" s="198">
        <f t="shared" si="179"/>
        <v>0</v>
      </c>
      <c r="CE78" s="198">
        <f t="shared" si="179"/>
        <v>0</v>
      </c>
      <c r="CF78" s="198">
        <f t="shared" si="179"/>
        <v>0</v>
      </c>
      <c r="CG78" s="198">
        <f t="shared" si="179"/>
        <v>0</v>
      </c>
      <c r="CH78" s="198">
        <f t="shared" si="179"/>
        <v>0</v>
      </c>
      <c r="CI78" s="198">
        <f t="shared" si="179"/>
        <v>0</v>
      </c>
      <c r="CJ78" s="198">
        <f t="shared" si="179"/>
        <v>0</v>
      </c>
      <c r="CK78" s="198">
        <f t="shared" si="179"/>
        <v>0</v>
      </c>
      <c r="CL78" s="198">
        <f t="shared" si="179"/>
        <v>0</v>
      </c>
      <c r="CM78" s="198">
        <f t="shared" si="179"/>
        <v>0</v>
      </c>
      <c r="CN78" s="198">
        <f t="shared" si="179"/>
        <v>0</v>
      </c>
      <c r="CO78" s="198">
        <f t="shared" si="179"/>
        <v>0</v>
      </c>
      <c r="CP78" s="198">
        <f t="shared" si="179"/>
        <v>0</v>
      </c>
      <c r="CQ78" s="198">
        <f t="shared" si="179"/>
        <v>0</v>
      </c>
      <c r="CR78" s="198">
        <f t="shared" si="179"/>
        <v>0</v>
      </c>
      <c r="CS78" s="198">
        <f t="shared" si="179"/>
        <v>0</v>
      </c>
      <c r="CT78" s="198">
        <f t="shared" si="179"/>
        <v>0</v>
      </c>
      <c r="CU78" s="198">
        <f t="shared" si="179"/>
        <v>0</v>
      </c>
      <c r="CV78" s="198">
        <f t="shared" si="179"/>
        <v>0</v>
      </c>
    </row>
    <row r="79" spans="1:100" outlineLevel="1" x14ac:dyDescent="0.2">
      <c r="E79" s="198" t="str">
        <f t="shared" ref="E79:AJ79" si="180" xml:space="preserve"> E$76</f>
        <v>Cash available for dividends</v>
      </c>
      <c r="F79" s="198">
        <f t="shared" si="180"/>
        <v>0</v>
      </c>
      <c r="G79" s="198" t="str">
        <f t="shared" si="180"/>
        <v>$ 000s</v>
      </c>
      <c r="H79" s="198">
        <f t="shared" si="180"/>
        <v>0</v>
      </c>
      <c r="I79" s="198">
        <f t="shared" si="180"/>
        <v>0</v>
      </c>
      <c r="J79" s="198">
        <f t="shared" si="180"/>
        <v>0</v>
      </c>
      <c r="K79" s="198">
        <f t="shared" si="180"/>
        <v>0</v>
      </c>
      <c r="L79" s="198">
        <f t="shared" si="180"/>
        <v>0</v>
      </c>
      <c r="M79" s="198">
        <f t="shared" si="180"/>
        <v>0</v>
      </c>
      <c r="N79" s="198">
        <f t="shared" si="180"/>
        <v>0</v>
      </c>
      <c r="O79" s="198">
        <f t="shared" si="180"/>
        <v>0</v>
      </c>
      <c r="P79" s="198">
        <f t="shared" si="180"/>
        <v>0</v>
      </c>
      <c r="Q79" s="198">
        <f t="shared" si="180"/>
        <v>0</v>
      </c>
      <c r="R79" s="198">
        <f t="shared" si="180"/>
        <v>0</v>
      </c>
      <c r="S79" s="198">
        <f t="shared" si="180"/>
        <v>0</v>
      </c>
      <c r="T79" s="198">
        <f t="shared" si="180"/>
        <v>0</v>
      </c>
      <c r="U79" s="198">
        <f t="shared" si="180"/>
        <v>0</v>
      </c>
      <c r="V79" s="198">
        <f t="shared" si="180"/>
        <v>0</v>
      </c>
      <c r="W79" s="198">
        <f t="shared" si="180"/>
        <v>0</v>
      </c>
      <c r="X79" s="198">
        <f t="shared" si="180"/>
        <v>0</v>
      </c>
      <c r="Y79" s="198">
        <f t="shared" si="180"/>
        <v>0</v>
      </c>
      <c r="Z79" s="198">
        <f t="shared" si="180"/>
        <v>0</v>
      </c>
      <c r="AA79" s="198">
        <f t="shared" si="180"/>
        <v>0</v>
      </c>
      <c r="AB79" s="198">
        <f t="shared" si="180"/>
        <v>0</v>
      </c>
      <c r="AC79" s="198">
        <f t="shared" si="180"/>
        <v>0</v>
      </c>
      <c r="AD79" s="198">
        <f t="shared" si="180"/>
        <v>0</v>
      </c>
      <c r="AE79" s="198">
        <f t="shared" si="180"/>
        <v>0</v>
      </c>
      <c r="AF79" s="198">
        <f t="shared" si="180"/>
        <v>0</v>
      </c>
      <c r="AG79" s="198">
        <f t="shared" si="180"/>
        <v>0</v>
      </c>
      <c r="AH79" s="198">
        <f t="shared" si="180"/>
        <v>0</v>
      </c>
      <c r="AI79" s="198">
        <f t="shared" si="180"/>
        <v>0</v>
      </c>
      <c r="AJ79" s="198">
        <f t="shared" si="180"/>
        <v>0</v>
      </c>
      <c r="AK79" s="198">
        <f t="shared" ref="AK79:BP79" si="181" xml:space="preserve"> AK$76</f>
        <v>0</v>
      </c>
      <c r="AL79" s="198">
        <f t="shared" si="181"/>
        <v>0</v>
      </c>
      <c r="AM79" s="198">
        <f t="shared" si="181"/>
        <v>0</v>
      </c>
      <c r="AN79" s="198">
        <f t="shared" si="181"/>
        <v>0</v>
      </c>
      <c r="AO79" s="198">
        <f t="shared" si="181"/>
        <v>0</v>
      </c>
      <c r="AP79" s="198">
        <f t="shared" si="181"/>
        <v>0</v>
      </c>
      <c r="AQ79" s="198">
        <f t="shared" si="181"/>
        <v>0</v>
      </c>
      <c r="AR79" s="198">
        <f t="shared" si="181"/>
        <v>0</v>
      </c>
      <c r="AS79" s="198">
        <f t="shared" si="181"/>
        <v>0</v>
      </c>
      <c r="AT79" s="198">
        <f t="shared" si="181"/>
        <v>0</v>
      </c>
      <c r="AU79" s="198">
        <f t="shared" si="181"/>
        <v>0</v>
      </c>
      <c r="AV79" s="198">
        <f t="shared" si="181"/>
        <v>0</v>
      </c>
      <c r="AW79" s="198">
        <f t="shared" si="181"/>
        <v>0</v>
      </c>
      <c r="AX79" s="198">
        <f t="shared" si="181"/>
        <v>0</v>
      </c>
      <c r="AY79" s="198">
        <f t="shared" si="181"/>
        <v>0</v>
      </c>
      <c r="AZ79" s="198">
        <f t="shared" si="181"/>
        <v>0</v>
      </c>
      <c r="BA79" s="198">
        <f t="shared" si="181"/>
        <v>0</v>
      </c>
      <c r="BB79" s="198">
        <f t="shared" si="181"/>
        <v>0</v>
      </c>
      <c r="BC79" s="198">
        <f t="shared" si="181"/>
        <v>0</v>
      </c>
      <c r="BD79" s="198">
        <f t="shared" si="181"/>
        <v>0</v>
      </c>
      <c r="BE79" s="198">
        <f t="shared" si="181"/>
        <v>0</v>
      </c>
      <c r="BF79" s="198">
        <f t="shared" si="181"/>
        <v>0</v>
      </c>
      <c r="BG79" s="198">
        <f t="shared" si="181"/>
        <v>0</v>
      </c>
      <c r="BH79" s="198">
        <f t="shared" si="181"/>
        <v>0</v>
      </c>
      <c r="BI79" s="198">
        <f t="shared" si="181"/>
        <v>0</v>
      </c>
      <c r="BJ79" s="198">
        <f t="shared" si="181"/>
        <v>0</v>
      </c>
      <c r="BK79" s="198">
        <f t="shared" si="181"/>
        <v>0</v>
      </c>
      <c r="BL79" s="198">
        <f t="shared" si="181"/>
        <v>0</v>
      </c>
      <c r="BM79" s="198">
        <f t="shared" si="181"/>
        <v>0</v>
      </c>
      <c r="BN79" s="198">
        <f t="shared" si="181"/>
        <v>0</v>
      </c>
      <c r="BO79" s="198">
        <f t="shared" si="181"/>
        <v>0</v>
      </c>
      <c r="BP79" s="198">
        <f t="shared" si="181"/>
        <v>0</v>
      </c>
      <c r="BQ79" s="198">
        <f t="shared" ref="BQ79:CV79" si="182" xml:space="preserve"> BQ$76</f>
        <v>0</v>
      </c>
      <c r="BR79" s="198">
        <f t="shared" si="182"/>
        <v>0</v>
      </c>
      <c r="BS79" s="198">
        <f t="shared" si="182"/>
        <v>0</v>
      </c>
      <c r="BT79" s="198">
        <f t="shared" si="182"/>
        <v>0</v>
      </c>
      <c r="BU79" s="198">
        <f t="shared" si="182"/>
        <v>0</v>
      </c>
      <c r="BV79" s="198">
        <f t="shared" si="182"/>
        <v>0</v>
      </c>
      <c r="BW79" s="198">
        <f t="shared" si="182"/>
        <v>0</v>
      </c>
      <c r="BX79" s="198">
        <f t="shared" si="182"/>
        <v>0</v>
      </c>
      <c r="BY79" s="198">
        <f t="shared" si="182"/>
        <v>0</v>
      </c>
      <c r="BZ79" s="198">
        <f t="shared" si="182"/>
        <v>0</v>
      </c>
      <c r="CA79" s="198">
        <f t="shared" si="182"/>
        <v>0</v>
      </c>
      <c r="CB79" s="198">
        <f t="shared" si="182"/>
        <v>0</v>
      </c>
      <c r="CC79" s="198">
        <f t="shared" si="182"/>
        <v>0</v>
      </c>
      <c r="CD79" s="198">
        <f t="shared" si="182"/>
        <v>0</v>
      </c>
      <c r="CE79" s="198">
        <f t="shared" si="182"/>
        <v>0</v>
      </c>
      <c r="CF79" s="198">
        <f t="shared" si="182"/>
        <v>0</v>
      </c>
      <c r="CG79" s="198">
        <f t="shared" si="182"/>
        <v>0</v>
      </c>
      <c r="CH79" s="198">
        <f t="shared" si="182"/>
        <v>0</v>
      </c>
      <c r="CI79" s="198">
        <f t="shared" si="182"/>
        <v>0</v>
      </c>
      <c r="CJ79" s="198">
        <f t="shared" si="182"/>
        <v>0</v>
      </c>
      <c r="CK79" s="198">
        <f t="shared" si="182"/>
        <v>0</v>
      </c>
      <c r="CL79" s="198">
        <f t="shared" si="182"/>
        <v>0</v>
      </c>
      <c r="CM79" s="198">
        <f t="shared" si="182"/>
        <v>0</v>
      </c>
      <c r="CN79" s="198">
        <f t="shared" si="182"/>
        <v>0</v>
      </c>
      <c r="CO79" s="198">
        <f t="shared" si="182"/>
        <v>0</v>
      </c>
      <c r="CP79" s="198">
        <f t="shared" si="182"/>
        <v>0</v>
      </c>
      <c r="CQ79" s="198">
        <f t="shared" si="182"/>
        <v>0</v>
      </c>
      <c r="CR79" s="198">
        <f t="shared" si="182"/>
        <v>0</v>
      </c>
      <c r="CS79" s="198">
        <f t="shared" si="182"/>
        <v>0</v>
      </c>
      <c r="CT79" s="198">
        <f t="shared" si="182"/>
        <v>0</v>
      </c>
      <c r="CU79" s="198">
        <f t="shared" si="182"/>
        <v>0</v>
      </c>
      <c r="CV79" s="198">
        <f t="shared" si="182"/>
        <v>0</v>
      </c>
    </row>
    <row r="80" spans="1:100" outlineLevel="1" x14ac:dyDescent="0.2">
      <c r="A80" s="141"/>
      <c r="B80" s="141"/>
      <c r="C80" s="142"/>
      <c r="D80" s="143"/>
      <c r="E80" s="187" t="s">
        <v>152</v>
      </c>
      <c r="F80" s="187"/>
      <c r="G80" s="187" t="str">
        <f xml:space="preserve"> SMU</f>
        <v>$ 000s</v>
      </c>
      <c r="H80" s="187">
        <f xml:space="preserve"> SUM(J80:CV80)</f>
        <v>0</v>
      </c>
      <c r="I80" s="144"/>
      <c r="J80" s="187">
        <f t="shared" ref="J80:AO80" si="183" xml:space="preserve"> MIN(J78:J79)</f>
        <v>0</v>
      </c>
      <c r="K80" s="187">
        <f t="shared" si="183"/>
        <v>0</v>
      </c>
      <c r="L80" s="187">
        <f t="shared" si="183"/>
        <v>0</v>
      </c>
      <c r="M80" s="187">
        <f t="shared" si="183"/>
        <v>0</v>
      </c>
      <c r="N80" s="187">
        <f t="shared" si="183"/>
        <v>0</v>
      </c>
      <c r="O80" s="187">
        <f t="shared" si="183"/>
        <v>0</v>
      </c>
      <c r="P80" s="187">
        <f t="shared" si="183"/>
        <v>0</v>
      </c>
      <c r="Q80" s="187">
        <f t="shared" si="183"/>
        <v>0</v>
      </c>
      <c r="R80" s="187">
        <f t="shared" si="183"/>
        <v>0</v>
      </c>
      <c r="S80" s="187">
        <f t="shared" si="183"/>
        <v>0</v>
      </c>
      <c r="T80" s="187">
        <f t="shared" si="183"/>
        <v>0</v>
      </c>
      <c r="U80" s="187">
        <f t="shared" si="183"/>
        <v>0</v>
      </c>
      <c r="V80" s="187">
        <f t="shared" si="183"/>
        <v>0</v>
      </c>
      <c r="W80" s="187">
        <f t="shared" si="183"/>
        <v>0</v>
      </c>
      <c r="X80" s="187">
        <f t="shared" si="183"/>
        <v>0</v>
      </c>
      <c r="Y80" s="187">
        <f t="shared" si="183"/>
        <v>0</v>
      </c>
      <c r="Z80" s="187">
        <f t="shared" si="183"/>
        <v>0</v>
      </c>
      <c r="AA80" s="187">
        <f t="shared" si="183"/>
        <v>0</v>
      </c>
      <c r="AB80" s="187">
        <f t="shared" si="183"/>
        <v>0</v>
      </c>
      <c r="AC80" s="187">
        <f t="shared" si="183"/>
        <v>0</v>
      </c>
      <c r="AD80" s="187">
        <f t="shared" si="183"/>
        <v>0</v>
      </c>
      <c r="AE80" s="187">
        <f t="shared" si="183"/>
        <v>0</v>
      </c>
      <c r="AF80" s="187">
        <f t="shared" si="183"/>
        <v>0</v>
      </c>
      <c r="AG80" s="187">
        <f t="shared" si="183"/>
        <v>0</v>
      </c>
      <c r="AH80" s="187">
        <f t="shared" si="183"/>
        <v>0</v>
      </c>
      <c r="AI80" s="187">
        <f t="shared" si="183"/>
        <v>0</v>
      </c>
      <c r="AJ80" s="187">
        <f t="shared" si="183"/>
        <v>0</v>
      </c>
      <c r="AK80" s="187">
        <f t="shared" si="183"/>
        <v>0</v>
      </c>
      <c r="AL80" s="187">
        <f t="shared" si="183"/>
        <v>0</v>
      </c>
      <c r="AM80" s="187">
        <f t="shared" si="183"/>
        <v>0</v>
      </c>
      <c r="AN80" s="187">
        <f t="shared" si="183"/>
        <v>0</v>
      </c>
      <c r="AO80" s="187">
        <f t="shared" si="183"/>
        <v>0</v>
      </c>
      <c r="AP80" s="187">
        <f t="shared" ref="AP80:BU80" si="184" xml:space="preserve"> MIN(AP78:AP79)</f>
        <v>0</v>
      </c>
      <c r="AQ80" s="187">
        <f t="shared" si="184"/>
        <v>0</v>
      </c>
      <c r="AR80" s="187">
        <f t="shared" si="184"/>
        <v>0</v>
      </c>
      <c r="AS80" s="187">
        <f t="shared" si="184"/>
        <v>0</v>
      </c>
      <c r="AT80" s="187">
        <f t="shared" si="184"/>
        <v>0</v>
      </c>
      <c r="AU80" s="187">
        <f t="shared" si="184"/>
        <v>0</v>
      </c>
      <c r="AV80" s="187">
        <f t="shared" si="184"/>
        <v>0</v>
      </c>
      <c r="AW80" s="187">
        <f t="shared" si="184"/>
        <v>0</v>
      </c>
      <c r="AX80" s="187">
        <f t="shared" si="184"/>
        <v>0</v>
      </c>
      <c r="AY80" s="187">
        <f t="shared" si="184"/>
        <v>0</v>
      </c>
      <c r="AZ80" s="187">
        <f t="shared" si="184"/>
        <v>0</v>
      </c>
      <c r="BA80" s="187">
        <f t="shared" si="184"/>
        <v>0</v>
      </c>
      <c r="BB80" s="187">
        <f t="shared" si="184"/>
        <v>0</v>
      </c>
      <c r="BC80" s="187">
        <f t="shared" si="184"/>
        <v>0</v>
      </c>
      <c r="BD80" s="187">
        <f t="shared" si="184"/>
        <v>0</v>
      </c>
      <c r="BE80" s="187">
        <f t="shared" si="184"/>
        <v>0</v>
      </c>
      <c r="BF80" s="187">
        <f t="shared" si="184"/>
        <v>0</v>
      </c>
      <c r="BG80" s="187">
        <f t="shared" si="184"/>
        <v>0</v>
      </c>
      <c r="BH80" s="187">
        <f t="shared" si="184"/>
        <v>0</v>
      </c>
      <c r="BI80" s="187">
        <f t="shared" si="184"/>
        <v>0</v>
      </c>
      <c r="BJ80" s="187">
        <f t="shared" si="184"/>
        <v>0</v>
      </c>
      <c r="BK80" s="187">
        <f t="shared" si="184"/>
        <v>0</v>
      </c>
      <c r="BL80" s="187">
        <f t="shared" si="184"/>
        <v>0</v>
      </c>
      <c r="BM80" s="187">
        <f t="shared" si="184"/>
        <v>0</v>
      </c>
      <c r="BN80" s="187">
        <f t="shared" si="184"/>
        <v>0</v>
      </c>
      <c r="BO80" s="187">
        <f t="shared" si="184"/>
        <v>0</v>
      </c>
      <c r="BP80" s="187">
        <f t="shared" si="184"/>
        <v>0</v>
      </c>
      <c r="BQ80" s="187">
        <f t="shared" si="184"/>
        <v>0</v>
      </c>
      <c r="BR80" s="187">
        <f t="shared" si="184"/>
        <v>0</v>
      </c>
      <c r="BS80" s="187">
        <f t="shared" si="184"/>
        <v>0</v>
      </c>
      <c r="BT80" s="187">
        <f t="shared" si="184"/>
        <v>0</v>
      </c>
      <c r="BU80" s="187">
        <f t="shared" si="184"/>
        <v>0</v>
      </c>
      <c r="BV80" s="187">
        <f t="shared" ref="BV80:CV80" si="185" xml:space="preserve"> MIN(BV78:BV79)</f>
        <v>0</v>
      </c>
      <c r="BW80" s="187">
        <f t="shared" si="185"/>
        <v>0</v>
      </c>
      <c r="BX80" s="187">
        <f t="shared" si="185"/>
        <v>0</v>
      </c>
      <c r="BY80" s="187">
        <f t="shared" si="185"/>
        <v>0</v>
      </c>
      <c r="BZ80" s="187">
        <f t="shared" si="185"/>
        <v>0</v>
      </c>
      <c r="CA80" s="187">
        <f t="shared" si="185"/>
        <v>0</v>
      </c>
      <c r="CB80" s="187">
        <f t="shared" si="185"/>
        <v>0</v>
      </c>
      <c r="CC80" s="187">
        <f t="shared" si="185"/>
        <v>0</v>
      </c>
      <c r="CD80" s="187">
        <f t="shared" si="185"/>
        <v>0</v>
      </c>
      <c r="CE80" s="187">
        <f t="shared" si="185"/>
        <v>0</v>
      </c>
      <c r="CF80" s="187">
        <f t="shared" si="185"/>
        <v>0</v>
      </c>
      <c r="CG80" s="187">
        <f t="shared" si="185"/>
        <v>0</v>
      </c>
      <c r="CH80" s="187">
        <f t="shared" si="185"/>
        <v>0</v>
      </c>
      <c r="CI80" s="187">
        <f t="shared" si="185"/>
        <v>0</v>
      </c>
      <c r="CJ80" s="187">
        <f t="shared" si="185"/>
        <v>0</v>
      </c>
      <c r="CK80" s="187">
        <f t="shared" si="185"/>
        <v>0</v>
      </c>
      <c r="CL80" s="187">
        <f t="shared" si="185"/>
        <v>0</v>
      </c>
      <c r="CM80" s="187">
        <f t="shared" si="185"/>
        <v>0</v>
      </c>
      <c r="CN80" s="187">
        <f t="shared" si="185"/>
        <v>0</v>
      </c>
      <c r="CO80" s="187">
        <f t="shared" si="185"/>
        <v>0</v>
      </c>
      <c r="CP80" s="187">
        <f t="shared" si="185"/>
        <v>0</v>
      </c>
      <c r="CQ80" s="187">
        <f t="shared" si="185"/>
        <v>0</v>
      </c>
      <c r="CR80" s="187">
        <f t="shared" si="185"/>
        <v>0</v>
      </c>
      <c r="CS80" s="187">
        <f t="shared" si="185"/>
        <v>0</v>
      </c>
      <c r="CT80" s="187">
        <f t="shared" si="185"/>
        <v>0</v>
      </c>
      <c r="CU80" s="187">
        <f t="shared" si="185"/>
        <v>0</v>
      </c>
      <c r="CV80" s="187">
        <f t="shared" si="185"/>
        <v>0</v>
      </c>
    </row>
    <row r="81" spans="1:100" outlineLevel="1" x14ac:dyDescent="0.2">
      <c r="A81" s="141"/>
      <c r="B81" s="141"/>
      <c r="C81" s="142"/>
      <c r="D81" s="143"/>
      <c r="E81" s="187" t="str">
        <f xml:space="preserve"> LEFT(E80, LEN(E80) - 4)</f>
        <v>Dividends paid</v>
      </c>
      <c r="F81" s="187"/>
      <c r="G81" s="187" t="str">
        <f xml:space="preserve"> SMU</f>
        <v>$ 000s</v>
      </c>
      <c r="H81" s="187">
        <f xml:space="preserve"> SUM(J81:CV81)</f>
        <v>0</v>
      </c>
      <c r="I81" s="144"/>
      <c r="J81" s="187">
        <f t="shared" ref="J81:BU81" si="186" xml:space="preserve"> -1 * J80</f>
        <v>0</v>
      </c>
      <c r="K81" s="187">
        <f t="shared" si="186"/>
        <v>0</v>
      </c>
      <c r="L81" s="187">
        <f t="shared" si="186"/>
        <v>0</v>
      </c>
      <c r="M81" s="187">
        <f t="shared" si="186"/>
        <v>0</v>
      </c>
      <c r="N81" s="187">
        <f t="shared" si="186"/>
        <v>0</v>
      </c>
      <c r="O81" s="187">
        <f t="shared" si="186"/>
        <v>0</v>
      </c>
      <c r="P81" s="187">
        <f t="shared" si="186"/>
        <v>0</v>
      </c>
      <c r="Q81" s="187">
        <f t="shared" si="186"/>
        <v>0</v>
      </c>
      <c r="R81" s="187">
        <f t="shared" si="186"/>
        <v>0</v>
      </c>
      <c r="S81" s="187">
        <f t="shared" si="186"/>
        <v>0</v>
      </c>
      <c r="T81" s="187">
        <f t="shared" si="186"/>
        <v>0</v>
      </c>
      <c r="U81" s="187">
        <f t="shared" si="186"/>
        <v>0</v>
      </c>
      <c r="V81" s="187">
        <f t="shared" si="186"/>
        <v>0</v>
      </c>
      <c r="W81" s="187">
        <f t="shared" si="186"/>
        <v>0</v>
      </c>
      <c r="X81" s="187">
        <f t="shared" si="186"/>
        <v>0</v>
      </c>
      <c r="Y81" s="187">
        <f t="shared" si="186"/>
        <v>0</v>
      </c>
      <c r="Z81" s="187">
        <f t="shared" si="186"/>
        <v>0</v>
      </c>
      <c r="AA81" s="187">
        <f t="shared" si="186"/>
        <v>0</v>
      </c>
      <c r="AB81" s="187">
        <f t="shared" si="186"/>
        <v>0</v>
      </c>
      <c r="AC81" s="187">
        <f t="shared" si="186"/>
        <v>0</v>
      </c>
      <c r="AD81" s="187">
        <f t="shared" si="186"/>
        <v>0</v>
      </c>
      <c r="AE81" s="187">
        <f t="shared" si="186"/>
        <v>0</v>
      </c>
      <c r="AF81" s="187">
        <f t="shared" si="186"/>
        <v>0</v>
      </c>
      <c r="AG81" s="187">
        <f t="shared" si="186"/>
        <v>0</v>
      </c>
      <c r="AH81" s="187">
        <f t="shared" si="186"/>
        <v>0</v>
      </c>
      <c r="AI81" s="187">
        <f t="shared" si="186"/>
        <v>0</v>
      </c>
      <c r="AJ81" s="187">
        <f t="shared" si="186"/>
        <v>0</v>
      </c>
      <c r="AK81" s="187">
        <f t="shared" si="186"/>
        <v>0</v>
      </c>
      <c r="AL81" s="187">
        <f t="shared" si="186"/>
        <v>0</v>
      </c>
      <c r="AM81" s="187">
        <f t="shared" si="186"/>
        <v>0</v>
      </c>
      <c r="AN81" s="187">
        <f t="shared" si="186"/>
        <v>0</v>
      </c>
      <c r="AO81" s="187">
        <f t="shared" si="186"/>
        <v>0</v>
      </c>
      <c r="AP81" s="187">
        <f t="shared" si="186"/>
        <v>0</v>
      </c>
      <c r="AQ81" s="187">
        <f t="shared" si="186"/>
        <v>0</v>
      </c>
      <c r="AR81" s="187">
        <f t="shared" si="186"/>
        <v>0</v>
      </c>
      <c r="AS81" s="187">
        <f t="shared" si="186"/>
        <v>0</v>
      </c>
      <c r="AT81" s="187">
        <f t="shared" si="186"/>
        <v>0</v>
      </c>
      <c r="AU81" s="187">
        <f t="shared" si="186"/>
        <v>0</v>
      </c>
      <c r="AV81" s="187">
        <f t="shared" si="186"/>
        <v>0</v>
      </c>
      <c r="AW81" s="187">
        <f t="shared" si="186"/>
        <v>0</v>
      </c>
      <c r="AX81" s="187">
        <f t="shared" si="186"/>
        <v>0</v>
      </c>
      <c r="AY81" s="187">
        <f t="shared" si="186"/>
        <v>0</v>
      </c>
      <c r="AZ81" s="187">
        <f t="shared" si="186"/>
        <v>0</v>
      </c>
      <c r="BA81" s="187">
        <f t="shared" si="186"/>
        <v>0</v>
      </c>
      <c r="BB81" s="187">
        <f t="shared" si="186"/>
        <v>0</v>
      </c>
      <c r="BC81" s="187">
        <f t="shared" si="186"/>
        <v>0</v>
      </c>
      <c r="BD81" s="187">
        <f t="shared" si="186"/>
        <v>0</v>
      </c>
      <c r="BE81" s="187">
        <f t="shared" si="186"/>
        <v>0</v>
      </c>
      <c r="BF81" s="187">
        <f t="shared" si="186"/>
        <v>0</v>
      </c>
      <c r="BG81" s="187">
        <f t="shared" si="186"/>
        <v>0</v>
      </c>
      <c r="BH81" s="187">
        <f t="shared" si="186"/>
        <v>0</v>
      </c>
      <c r="BI81" s="187">
        <f t="shared" si="186"/>
        <v>0</v>
      </c>
      <c r="BJ81" s="187">
        <f t="shared" si="186"/>
        <v>0</v>
      </c>
      <c r="BK81" s="187">
        <f t="shared" si="186"/>
        <v>0</v>
      </c>
      <c r="BL81" s="187">
        <f t="shared" si="186"/>
        <v>0</v>
      </c>
      <c r="BM81" s="187">
        <f t="shared" si="186"/>
        <v>0</v>
      </c>
      <c r="BN81" s="187">
        <f t="shared" si="186"/>
        <v>0</v>
      </c>
      <c r="BO81" s="187">
        <f t="shared" si="186"/>
        <v>0</v>
      </c>
      <c r="BP81" s="187">
        <f t="shared" si="186"/>
        <v>0</v>
      </c>
      <c r="BQ81" s="187">
        <f t="shared" si="186"/>
        <v>0</v>
      </c>
      <c r="BR81" s="187">
        <f t="shared" si="186"/>
        <v>0</v>
      </c>
      <c r="BS81" s="187">
        <f t="shared" si="186"/>
        <v>0</v>
      </c>
      <c r="BT81" s="187">
        <f t="shared" si="186"/>
        <v>0</v>
      </c>
      <c r="BU81" s="187">
        <f t="shared" si="186"/>
        <v>0</v>
      </c>
      <c r="BV81" s="187">
        <f t="shared" ref="BV81:CV81" si="187" xml:space="preserve"> -1 * BV80</f>
        <v>0</v>
      </c>
      <c r="BW81" s="187">
        <f t="shared" si="187"/>
        <v>0</v>
      </c>
      <c r="BX81" s="187">
        <f t="shared" si="187"/>
        <v>0</v>
      </c>
      <c r="BY81" s="187">
        <f t="shared" si="187"/>
        <v>0</v>
      </c>
      <c r="BZ81" s="187">
        <f t="shared" si="187"/>
        <v>0</v>
      </c>
      <c r="CA81" s="187">
        <f t="shared" si="187"/>
        <v>0</v>
      </c>
      <c r="CB81" s="187">
        <f t="shared" si="187"/>
        <v>0</v>
      </c>
      <c r="CC81" s="187">
        <f t="shared" si="187"/>
        <v>0</v>
      </c>
      <c r="CD81" s="187">
        <f t="shared" si="187"/>
        <v>0</v>
      </c>
      <c r="CE81" s="187">
        <f t="shared" si="187"/>
        <v>0</v>
      </c>
      <c r="CF81" s="187">
        <f t="shared" si="187"/>
        <v>0</v>
      </c>
      <c r="CG81" s="187">
        <f t="shared" si="187"/>
        <v>0</v>
      </c>
      <c r="CH81" s="187">
        <f t="shared" si="187"/>
        <v>0</v>
      </c>
      <c r="CI81" s="187">
        <f t="shared" si="187"/>
        <v>0</v>
      </c>
      <c r="CJ81" s="187">
        <f t="shared" si="187"/>
        <v>0</v>
      </c>
      <c r="CK81" s="187">
        <f t="shared" si="187"/>
        <v>0</v>
      </c>
      <c r="CL81" s="187">
        <f t="shared" si="187"/>
        <v>0</v>
      </c>
      <c r="CM81" s="187">
        <f t="shared" si="187"/>
        <v>0</v>
      </c>
      <c r="CN81" s="187">
        <f t="shared" si="187"/>
        <v>0</v>
      </c>
      <c r="CO81" s="187">
        <f t="shared" si="187"/>
        <v>0</v>
      </c>
      <c r="CP81" s="187">
        <f t="shared" si="187"/>
        <v>0</v>
      </c>
      <c r="CQ81" s="187">
        <f t="shared" si="187"/>
        <v>0</v>
      </c>
      <c r="CR81" s="187">
        <f t="shared" si="187"/>
        <v>0</v>
      </c>
      <c r="CS81" s="187">
        <f t="shared" si="187"/>
        <v>0</v>
      </c>
      <c r="CT81" s="187">
        <f t="shared" si="187"/>
        <v>0</v>
      </c>
      <c r="CU81" s="187">
        <f t="shared" si="187"/>
        <v>0</v>
      </c>
      <c r="CV81" s="187">
        <f t="shared" si="187"/>
        <v>0</v>
      </c>
    </row>
    <row r="82" spans="1:100" outlineLevel="1" x14ac:dyDescent="0.2"/>
    <row r="83" spans="1:100" x14ac:dyDescent="0.2"/>
    <row r="84" spans="1:100" x14ac:dyDescent="0.2">
      <c r="A84" s="15" t="s">
        <v>1223</v>
      </c>
    </row>
    <row r="85" spans="1:100" outlineLevel="1" x14ac:dyDescent="0.2"/>
    <row r="86" spans="1:100" outlineLevel="1" x14ac:dyDescent="0.2">
      <c r="E86" s="12" t="str">
        <f t="shared" ref="E86:AJ86" si="188" xml:space="preserve"> E$130</f>
        <v>Retained cash balance BEG - P99</v>
      </c>
      <c r="F86" s="12">
        <f t="shared" si="188"/>
        <v>0</v>
      </c>
      <c r="G86" s="12" t="str">
        <f t="shared" si="188"/>
        <v>$ 000s</v>
      </c>
      <c r="H86" s="12">
        <f t="shared" si="188"/>
        <v>0</v>
      </c>
      <c r="I86" s="12">
        <f t="shared" si="188"/>
        <v>0</v>
      </c>
      <c r="J86" s="12">
        <f t="shared" si="188"/>
        <v>0</v>
      </c>
      <c r="K86" s="12">
        <f t="shared" ca="1" si="188"/>
        <v>-1.5558398445136845E-6</v>
      </c>
      <c r="L86" s="12">
        <f t="shared" ca="1" si="188"/>
        <v>-1.402249836246483E-5</v>
      </c>
      <c r="M86" s="12">
        <f t="shared" ca="1" si="188"/>
        <v>-3.0776860512560233E-5</v>
      </c>
      <c r="N86" s="12">
        <f t="shared" ca="1" si="188"/>
        <v>-5.0199549150420353E-5</v>
      </c>
      <c r="O86" s="12">
        <f t="shared" ca="1" si="188"/>
        <v>-4.0178145100071561E-3</v>
      </c>
      <c r="P86" s="12">
        <f t="shared" ca="1" si="188"/>
        <v>0</v>
      </c>
      <c r="Q86" s="12">
        <f t="shared" ca="1" si="188"/>
        <v>0</v>
      </c>
      <c r="R86" s="12">
        <f t="shared" ca="1" si="188"/>
        <v>0</v>
      </c>
      <c r="S86" s="12">
        <f t="shared" ca="1" si="188"/>
        <v>0</v>
      </c>
      <c r="T86" s="12">
        <f t="shared" ca="1" si="188"/>
        <v>0</v>
      </c>
      <c r="U86" s="12">
        <f t="shared" ca="1" si="188"/>
        <v>0</v>
      </c>
      <c r="V86" s="12">
        <f t="shared" ca="1" si="188"/>
        <v>0</v>
      </c>
      <c r="W86" s="12">
        <f t="shared" ca="1" si="188"/>
        <v>0</v>
      </c>
      <c r="X86" s="12">
        <f t="shared" ca="1" si="188"/>
        <v>0</v>
      </c>
      <c r="Y86" s="12">
        <f t="shared" ca="1" si="188"/>
        <v>0</v>
      </c>
      <c r="Z86" s="12">
        <f t="shared" ca="1" si="188"/>
        <v>0</v>
      </c>
      <c r="AA86" s="12">
        <f t="shared" ca="1" si="188"/>
        <v>0</v>
      </c>
      <c r="AB86" s="12">
        <f t="shared" ca="1" si="188"/>
        <v>0</v>
      </c>
      <c r="AC86" s="12">
        <f t="shared" ca="1" si="188"/>
        <v>0</v>
      </c>
      <c r="AD86" s="12">
        <f t="shared" ca="1" si="188"/>
        <v>0</v>
      </c>
      <c r="AE86" s="12">
        <f t="shared" ca="1" si="188"/>
        <v>0</v>
      </c>
      <c r="AF86" s="12">
        <f t="shared" ca="1" si="188"/>
        <v>0</v>
      </c>
      <c r="AG86" s="12">
        <f t="shared" ca="1" si="188"/>
        <v>0</v>
      </c>
      <c r="AH86" s="12">
        <f t="shared" ca="1" si="188"/>
        <v>0</v>
      </c>
      <c r="AI86" s="12">
        <f t="shared" ca="1" si="188"/>
        <v>0</v>
      </c>
      <c r="AJ86" s="12">
        <f t="shared" ca="1" si="188"/>
        <v>0</v>
      </c>
      <c r="AK86" s="12">
        <f t="shared" ref="AK86:BP86" ca="1" si="189" xml:space="preserve"> AK$130</f>
        <v>0</v>
      </c>
      <c r="AL86" s="12">
        <f t="shared" ca="1" si="189"/>
        <v>0</v>
      </c>
      <c r="AM86" s="12">
        <f t="shared" ca="1" si="189"/>
        <v>0</v>
      </c>
      <c r="AN86" s="12">
        <f t="shared" ca="1" si="189"/>
        <v>0</v>
      </c>
      <c r="AO86" s="12">
        <f t="shared" ca="1" si="189"/>
        <v>0</v>
      </c>
      <c r="AP86" s="12">
        <f t="shared" ca="1" si="189"/>
        <v>0</v>
      </c>
      <c r="AQ86" s="12">
        <f t="shared" ca="1" si="189"/>
        <v>0</v>
      </c>
      <c r="AR86" s="12">
        <f t="shared" ca="1" si="189"/>
        <v>0</v>
      </c>
      <c r="AS86" s="12">
        <f t="shared" ca="1" si="189"/>
        <v>0</v>
      </c>
      <c r="AT86" s="12">
        <f t="shared" ca="1" si="189"/>
        <v>0</v>
      </c>
      <c r="AU86" s="12">
        <f t="shared" ca="1" si="189"/>
        <v>0</v>
      </c>
      <c r="AV86" s="12">
        <f t="shared" ca="1" si="189"/>
        <v>0</v>
      </c>
      <c r="AW86" s="12">
        <f t="shared" ca="1" si="189"/>
        <v>0</v>
      </c>
      <c r="AX86" s="12">
        <f t="shared" ca="1" si="189"/>
        <v>0</v>
      </c>
      <c r="AY86" s="12">
        <f t="shared" ca="1" si="189"/>
        <v>0</v>
      </c>
      <c r="AZ86" s="12">
        <f t="shared" ca="1" si="189"/>
        <v>0</v>
      </c>
      <c r="BA86" s="12">
        <f t="shared" ca="1" si="189"/>
        <v>0</v>
      </c>
      <c r="BB86" s="12">
        <f t="shared" ca="1" si="189"/>
        <v>0</v>
      </c>
      <c r="BC86" s="12">
        <f t="shared" ca="1" si="189"/>
        <v>0</v>
      </c>
      <c r="BD86" s="12">
        <f t="shared" ca="1" si="189"/>
        <v>0</v>
      </c>
      <c r="BE86" s="12">
        <f t="shared" ca="1" si="189"/>
        <v>0</v>
      </c>
      <c r="BF86" s="12">
        <f t="shared" ca="1" si="189"/>
        <v>0</v>
      </c>
      <c r="BG86" s="12">
        <f t="shared" ca="1" si="189"/>
        <v>0</v>
      </c>
      <c r="BH86" s="12">
        <f t="shared" ca="1" si="189"/>
        <v>0</v>
      </c>
      <c r="BI86" s="12">
        <f t="shared" ca="1" si="189"/>
        <v>0</v>
      </c>
      <c r="BJ86" s="12">
        <f t="shared" ca="1" si="189"/>
        <v>0</v>
      </c>
      <c r="BK86" s="12">
        <f t="shared" ca="1" si="189"/>
        <v>0</v>
      </c>
      <c r="BL86" s="12">
        <f t="shared" ca="1" si="189"/>
        <v>0</v>
      </c>
      <c r="BM86" s="12">
        <f t="shared" ca="1" si="189"/>
        <v>0</v>
      </c>
      <c r="BN86" s="12">
        <f t="shared" ca="1" si="189"/>
        <v>0</v>
      </c>
      <c r="BO86" s="12">
        <f t="shared" ca="1" si="189"/>
        <v>0</v>
      </c>
      <c r="BP86" s="12">
        <f t="shared" ca="1" si="189"/>
        <v>0</v>
      </c>
      <c r="BQ86" s="12">
        <f t="shared" ref="BQ86:CV86" ca="1" si="190" xml:space="preserve"> BQ$130</f>
        <v>0</v>
      </c>
      <c r="BR86" s="12">
        <f t="shared" ca="1" si="190"/>
        <v>0</v>
      </c>
      <c r="BS86" s="12">
        <f t="shared" ca="1" si="190"/>
        <v>0</v>
      </c>
      <c r="BT86" s="12">
        <f t="shared" ca="1" si="190"/>
        <v>0</v>
      </c>
      <c r="BU86" s="12">
        <f t="shared" ca="1" si="190"/>
        <v>0</v>
      </c>
      <c r="BV86" s="12">
        <f t="shared" ca="1" si="190"/>
        <v>0</v>
      </c>
      <c r="BW86" s="12">
        <f t="shared" ca="1" si="190"/>
        <v>0</v>
      </c>
      <c r="BX86" s="12">
        <f t="shared" ca="1" si="190"/>
        <v>0</v>
      </c>
      <c r="BY86" s="12">
        <f t="shared" ca="1" si="190"/>
        <v>0</v>
      </c>
      <c r="BZ86" s="12">
        <f t="shared" ca="1" si="190"/>
        <v>0</v>
      </c>
      <c r="CA86" s="12">
        <f t="shared" ca="1" si="190"/>
        <v>0</v>
      </c>
      <c r="CB86" s="12">
        <f t="shared" ca="1" si="190"/>
        <v>0</v>
      </c>
      <c r="CC86" s="12">
        <f t="shared" ca="1" si="190"/>
        <v>0</v>
      </c>
      <c r="CD86" s="12">
        <f t="shared" ca="1" si="190"/>
        <v>0</v>
      </c>
      <c r="CE86" s="12">
        <f t="shared" ca="1" si="190"/>
        <v>0</v>
      </c>
      <c r="CF86" s="12">
        <f t="shared" ca="1" si="190"/>
        <v>0</v>
      </c>
      <c r="CG86" s="12">
        <f t="shared" ca="1" si="190"/>
        <v>0</v>
      </c>
      <c r="CH86" s="12">
        <f t="shared" ca="1" si="190"/>
        <v>0</v>
      </c>
      <c r="CI86" s="12">
        <f t="shared" ca="1" si="190"/>
        <v>0</v>
      </c>
      <c r="CJ86" s="12">
        <f t="shared" ca="1" si="190"/>
        <v>0</v>
      </c>
      <c r="CK86" s="12">
        <f t="shared" ca="1" si="190"/>
        <v>0</v>
      </c>
      <c r="CL86" s="12">
        <f t="shared" ca="1" si="190"/>
        <v>0</v>
      </c>
      <c r="CM86" s="12">
        <f t="shared" ca="1" si="190"/>
        <v>0</v>
      </c>
      <c r="CN86" s="12">
        <f t="shared" ca="1" si="190"/>
        <v>0</v>
      </c>
      <c r="CO86" s="12">
        <f t="shared" ca="1" si="190"/>
        <v>0</v>
      </c>
      <c r="CP86" s="12">
        <f t="shared" ca="1" si="190"/>
        <v>0</v>
      </c>
      <c r="CQ86" s="12">
        <f t="shared" ca="1" si="190"/>
        <v>0</v>
      </c>
      <c r="CR86" s="12">
        <f t="shared" ca="1" si="190"/>
        <v>0</v>
      </c>
      <c r="CS86" s="12">
        <f t="shared" ca="1" si="190"/>
        <v>0</v>
      </c>
      <c r="CT86" s="12">
        <f t="shared" ca="1" si="190"/>
        <v>0</v>
      </c>
      <c r="CU86" s="12">
        <f t="shared" ca="1" si="190"/>
        <v>0</v>
      </c>
      <c r="CV86" s="12">
        <f t="shared" ca="1" si="190"/>
        <v>0</v>
      </c>
    </row>
    <row r="87" spans="1:100" s="125" customFormat="1" outlineLevel="1" x14ac:dyDescent="0.2">
      <c r="A87" s="85"/>
      <c r="B87" s="85"/>
      <c r="C87" s="86"/>
      <c r="D87" s="87"/>
      <c r="E87" s="186" t="str">
        <f xml:space="preserve"> 'FS Semi_P99'!E$85</f>
        <v>Cashflow available for share capital redemption - P99</v>
      </c>
      <c r="F87" s="186">
        <f xml:space="preserve"> 'FS Semi_P99'!F$85</f>
        <v>0</v>
      </c>
      <c r="G87" s="186" t="str">
        <f xml:space="preserve"> 'FS Semi_P99'!G$85</f>
        <v>$ 000s</v>
      </c>
      <c r="H87" s="186">
        <f ca="1" xml:space="preserve"> 'FS Semi_P99'!H$85</f>
        <v>0</v>
      </c>
      <c r="I87" s="186">
        <f xml:space="preserve"> 'FS Semi_P99'!I$85</f>
        <v>0</v>
      </c>
      <c r="J87" s="186">
        <f ca="1" xml:space="preserve"> 'FS Semi_P99'!J$85</f>
        <v>-1.5558398445136845E-6</v>
      </c>
      <c r="K87" s="186">
        <f ca="1" xml:space="preserve"> 'FS Semi_P99'!K$85</f>
        <v>-1.2466658517951146E-5</v>
      </c>
      <c r="L87" s="186">
        <f ca="1" xml:space="preserve"> 'FS Semi_P99'!L$85</f>
        <v>-1.6754362150095403E-5</v>
      </c>
      <c r="M87" s="186">
        <f ca="1" xml:space="preserve"> 'FS Semi_P99'!M$85</f>
        <v>-1.9422688637860119E-5</v>
      </c>
      <c r="N87" s="186">
        <f ca="1" xml:space="preserve"> 'FS Semi_P99'!N$85</f>
        <v>-3.9676149608567357E-3</v>
      </c>
      <c r="O87" s="186">
        <f ca="1" xml:space="preserve"> 'FS Semi_P99'!O$85</f>
        <v>4.0178145100071561E-3</v>
      </c>
      <c r="P87" s="186">
        <f ca="1" xml:space="preserve"> 'FS Semi_P99'!P$85</f>
        <v>0</v>
      </c>
      <c r="Q87" s="186">
        <f ca="1" xml:space="preserve"> 'FS Semi_P99'!Q$85</f>
        <v>0</v>
      </c>
      <c r="R87" s="186">
        <f ca="1" xml:space="preserve"> 'FS Semi_P99'!R$85</f>
        <v>0</v>
      </c>
      <c r="S87" s="186">
        <f ca="1" xml:space="preserve"> 'FS Semi_P99'!S$85</f>
        <v>0</v>
      </c>
      <c r="T87" s="186">
        <f ca="1" xml:space="preserve"> 'FS Semi_P99'!T$85</f>
        <v>0</v>
      </c>
      <c r="U87" s="186">
        <f ca="1" xml:space="preserve"> 'FS Semi_P99'!U$85</f>
        <v>0</v>
      </c>
      <c r="V87" s="186">
        <f ca="1" xml:space="preserve"> 'FS Semi_P99'!V$85</f>
        <v>0</v>
      </c>
      <c r="W87" s="186">
        <f ca="1" xml:space="preserve"> 'FS Semi_P99'!W$85</f>
        <v>0</v>
      </c>
      <c r="X87" s="186">
        <f ca="1" xml:space="preserve"> 'FS Semi_P99'!X$85</f>
        <v>0</v>
      </c>
      <c r="Y87" s="186">
        <f ca="1" xml:space="preserve"> 'FS Semi_P99'!Y$85</f>
        <v>0</v>
      </c>
      <c r="Z87" s="186">
        <f ca="1" xml:space="preserve"> 'FS Semi_P99'!Z$85</f>
        <v>0</v>
      </c>
      <c r="AA87" s="186">
        <f ca="1" xml:space="preserve"> 'FS Semi_P99'!AA$85</f>
        <v>0</v>
      </c>
      <c r="AB87" s="186">
        <f ca="1" xml:space="preserve"> 'FS Semi_P99'!AB$85</f>
        <v>0</v>
      </c>
      <c r="AC87" s="186">
        <f ca="1" xml:space="preserve"> 'FS Semi_P99'!AC$85</f>
        <v>0</v>
      </c>
      <c r="AD87" s="186">
        <f ca="1" xml:space="preserve"> 'FS Semi_P99'!AD$85</f>
        <v>0</v>
      </c>
      <c r="AE87" s="186">
        <f ca="1" xml:space="preserve"> 'FS Semi_P99'!AE$85</f>
        <v>0</v>
      </c>
      <c r="AF87" s="186">
        <f ca="1" xml:space="preserve"> 'FS Semi_P99'!AF$85</f>
        <v>0</v>
      </c>
      <c r="AG87" s="186">
        <f ca="1" xml:space="preserve"> 'FS Semi_P99'!AG$85</f>
        <v>0</v>
      </c>
      <c r="AH87" s="186">
        <f ca="1" xml:space="preserve"> 'FS Semi_P99'!AH$85</f>
        <v>0</v>
      </c>
      <c r="AI87" s="186">
        <f ca="1" xml:space="preserve"> 'FS Semi_P99'!AI$85</f>
        <v>0</v>
      </c>
      <c r="AJ87" s="186">
        <f ca="1" xml:space="preserve"> 'FS Semi_P99'!AJ$85</f>
        <v>0</v>
      </c>
      <c r="AK87" s="186">
        <f ca="1" xml:space="preserve"> 'FS Semi_P99'!AK$85</f>
        <v>0</v>
      </c>
      <c r="AL87" s="186">
        <f ca="1" xml:space="preserve"> 'FS Semi_P99'!AL$85</f>
        <v>0</v>
      </c>
      <c r="AM87" s="186">
        <f ca="1" xml:space="preserve"> 'FS Semi_P99'!AM$85</f>
        <v>0</v>
      </c>
      <c r="AN87" s="186">
        <f ca="1" xml:space="preserve"> 'FS Semi_P99'!AN$85</f>
        <v>0</v>
      </c>
      <c r="AO87" s="186">
        <f ca="1" xml:space="preserve"> 'FS Semi_P99'!AO$85</f>
        <v>0</v>
      </c>
      <c r="AP87" s="186">
        <f ca="1" xml:space="preserve"> 'FS Semi_P99'!AP$85</f>
        <v>0</v>
      </c>
      <c r="AQ87" s="186">
        <f ca="1" xml:space="preserve"> 'FS Semi_P99'!AQ$85</f>
        <v>0</v>
      </c>
      <c r="AR87" s="186">
        <f ca="1" xml:space="preserve"> 'FS Semi_P99'!AR$85</f>
        <v>0</v>
      </c>
      <c r="AS87" s="186">
        <f ca="1" xml:space="preserve"> 'FS Semi_P99'!AS$85</f>
        <v>0</v>
      </c>
      <c r="AT87" s="186">
        <f ca="1" xml:space="preserve"> 'FS Semi_P99'!AT$85</f>
        <v>0</v>
      </c>
      <c r="AU87" s="186">
        <f ca="1" xml:space="preserve"> 'FS Semi_P99'!AU$85</f>
        <v>0</v>
      </c>
      <c r="AV87" s="186">
        <f ca="1" xml:space="preserve"> 'FS Semi_P99'!AV$85</f>
        <v>0</v>
      </c>
      <c r="AW87" s="186">
        <f ca="1" xml:space="preserve"> 'FS Semi_P99'!AW$85</f>
        <v>0</v>
      </c>
      <c r="AX87" s="186">
        <f ca="1" xml:space="preserve"> 'FS Semi_P99'!AX$85</f>
        <v>0</v>
      </c>
      <c r="AY87" s="186">
        <f ca="1" xml:space="preserve"> 'FS Semi_P99'!AY$85</f>
        <v>0</v>
      </c>
      <c r="AZ87" s="186">
        <f ca="1" xml:space="preserve"> 'FS Semi_P99'!AZ$85</f>
        <v>0</v>
      </c>
      <c r="BA87" s="186">
        <f ca="1" xml:space="preserve"> 'FS Semi_P99'!BA$85</f>
        <v>0</v>
      </c>
      <c r="BB87" s="186">
        <f ca="1" xml:space="preserve"> 'FS Semi_P99'!BB$85</f>
        <v>0</v>
      </c>
      <c r="BC87" s="186">
        <f ca="1" xml:space="preserve"> 'FS Semi_P99'!BC$85</f>
        <v>0</v>
      </c>
      <c r="BD87" s="186">
        <f ca="1" xml:space="preserve"> 'FS Semi_P99'!BD$85</f>
        <v>0</v>
      </c>
      <c r="BE87" s="186">
        <f ca="1" xml:space="preserve"> 'FS Semi_P99'!BE$85</f>
        <v>0</v>
      </c>
      <c r="BF87" s="186">
        <f ca="1" xml:space="preserve"> 'FS Semi_P99'!BF$85</f>
        <v>0</v>
      </c>
      <c r="BG87" s="186">
        <f ca="1" xml:space="preserve"> 'FS Semi_P99'!BG$85</f>
        <v>0</v>
      </c>
      <c r="BH87" s="186">
        <f ca="1" xml:space="preserve"> 'FS Semi_P99'!BH$85</f>
        <v>0</v>
      </c>
      <c r="BI87" s="186">
        <f ca="1" xml:space="preserve"> 'FS Semi_P99'!BI$85</f>
        <v>0</v>
      </c>
      <c r="BJ87" s="186">
        <f ca="1" xml:space="preserve"> 'FS Semi_P99'!BJ$85</f>
        <v>0</v>
      </c>
      <c r="BK87" s="186">
        <f ca="1" xml:space="preserve"> 'FS Semi_P99'!BK$85</f>
        <v>0</v>
      </c>
      <c r="BL87" s="186">
        <f ca="1" xml:space="preserve"> 'FS Semi_P99'!BL$85</f>
        <v>0</v>
      </c>
      <c r="BM87" s="186">
        <f ca="1" xml:space="preserve"> 'FS Semi_P99'!BM$85</f>
        <v>0</v>
      </c>
      <c r="BN87" s="186">
        <f ca="1" xml:space="preserve"> 'FS Semi_P99'!BN$85</f>
        <v>0</v>
      </c>
      <c r="BO87" s="186">
        <f ca="1" xml:space="preserve"> 'FS Semi_P99'!BO$85</f>
        <v>0</v>
      </c>
      <c r="BP87" s="186">
        <f ca="1" xml:space="preserve"> 'FS Semi_P99'!BP$85</f>
        <v>0</v>
      </c>
      <c r="BQ87" s="186">
        <f ca="1" xml:space="preserve"> 'FS Semi_P99'!BQ$85</f>
        <v>0</v>
      </c>
      <c r="BR87" s="186">
        <f ca="1" xml:space="preserve"> 'FS Semi_P99'!BR$85</f>
        <v>0</v>
      </c>
      <c r="BS87" s="186">
        <f ca="1" xml:space="preserve"> 'FS Semi_P99'!BS$85</f>
        <v>0</v>
      </c>
      <c r="BT87" s="186">
        <f ca="1" xml:space="preserve"> 'FS Semi_P99'!BT$85</f>
        <v>0</v>
      </c>
      <c r="BU87" s="186">
        <f ca="1" xml:space="preserve"> 'FS Semi_P99'!BU$85</f>
        <v>0</v>
      </c>
      <c r="BV87" s="186">
        <f ca="1" xml:space="preserve"> 'FS Semi_P99'!BV$85</f>
        <v>0</v>
      </c>
      <c r="BW87" s="186">
        <f ca="1" xml:space="preserve"> 'FS Semi_P99'!BW$85</f>
        <v>0</v>
      </c>
      <c r="BX87" s="186">
        <f ca="1" xml:space="preserve"> 'FS Semi_P99'!BX$85</f>
        <v>0</v>
      </c>
      <c r="BY87" s="186">
        <f ca="1" xml:space="preserve"> 'FS Semi_P99'!BY$85</f>
        <v>0</v>
      </c>
      <c r="BZ87" s="186">
        <f ca="1" xml:space="preserve"> 'FS Semi_P99'!BZ$85</f>
        <v>0</v>
      </c>
      <c r="CA87" s="186">
        <f ca="1" xml:space="preserve"> 'FS Semi_P99'!CA$85</f>
        <v>0</v>
      </c>
      <c r="CB87" s="186">
        <f ca="1" xml:space="preserve"> 'FS Semi_P99'!CB$85</f>
        <v>0</v>
      </c>
      <c r="CC87" s="186">
        <f ca="1" xml:space="preserve"> 'FS Semi_P99'!CC$85</f>
        <v>0</v>
      </c>
      <c r="CD87" s="186">
        <f ca="1" xml:space="preserve"> 'FS Semi_P99'!CD$85</f>
        <v>0</v>
      </c>
      <c r="CE87" s="186">
        <f ca="1" xml:space="preserve"> 'FS Semi_P99'!CE$85</f>
        <v>0</v>
      </c>
      <c r="CF87" s="186">
        <f ca="1" xml:space="preserve"> 'FS Semi_P99'!CF$85</f>
        <v>0</v>
      </c>
      <c r="CG87" s="186">
        <f ca="1" xml:space="preserve"> 'FS Semi_P99'!CG$85</f>
        <v>0</v>
      </c>
      <c r="CH87" s="186">
        <f ca="1" xml:space="preserve"> 'FS Semi_P99'!CH$85</f>
        <v>0</v>
      </c>
      <c r="CI87" s="186">
        <f ca="1" xml:space="preserve"> 'FS Semi_P99'!CI$85</f>
        <v>0</v>
      </c>
      <c r="CJ87" s="186">
        <f ca="1" xml:space="preserve"> 'FS Semi_P99'!CJ$85</f>
        <v>0</v>
      </c>
      <c r="CK87" s="186">
        <f ca="1" xml:space="preserve"> 'FS Semi_P99'!CK$85</f>
        <v>0</v>
      </c>
      <c r="CL87" s="186">
        <f ca="1" xml:space="preserve"> 'FS Semi_P99'!CL$85</f>
        <v>0</v>
      </c>
      <c r="CM87" s="186">
        <f ca="1" xml:space="preserve"> 'FS Semi_P99'!CM$85</f>
        <v>0</v>
      </c>
      <c r="CN87" s="186">
        <f ca="1" xml:space="preserve"> 'FS Semi_P99'!CN$85</f>
        <v>0</v>
      </c>
      <c r="CO87" s="186">
        <f ca="1" xml:space="preserve"> 'FS Semi_P99'!CO$85</f>
        <v>0</v>
      </c>
      <c r="CP87" s="186">
        <f ca="1" xml:space="preserve"> 'FS Semi_P99'!CP$85</f>
        <v>0</v>
      </c>
      <c r="CQ87" s="186">
        <f ca="1" xml:space="preserve"> 'FS Semi_P99'!CQ$85</f>
        <v>0</v>
      </c>
      <c r="CR87" s="186">
        <f ca="1" xml:space="preserve"> 'FS Semi_P99'!CR$85</f>
        <v>0</v>
      </c>
      <c r="CS87" s="186">
        <f ca="1" xml:space="preserve"> 'FS Semi_P99'!CS$85</f>
        <v>0</v>
      </c>
      <c r="CT87" s="186">
        <f ca="1" xml:space="preserve"> 'FS Semi_P99'!CT$85</f>
        <v>0</v>
      </c>
      <c r="CU87" s="186">
        <f ca="1" xml:space="preserve"> 'FS Semi_P99'!CU$85</f>
        <v>0</v>
      </c>
      <c r="CV87" s="186">
        <f ca="1" xml:space="preserve"> 'FS Semi_P99'!CV$85</f>
        <v>0</v>
      </c>
    </row>
    <row r="88" spans="1:100" outlineLevel="1" x14ac:dyDescent="0.2">
      <c r="E88" s="12" t="s">
        <v>1224</v>
      </c>
      <c r="G88" s="12" t="str">
        <f xml:space="preserve"> SMU</f>
        <v>$ 000s</v>
      </c>
      <c r="J88" s="12">
        <f t="shared" ref="J88" ca="1" si="191" xml:space="preserve"> MAX(0, SUM(J86:J87))</f>
        <v>0</v>
      </c>
      <c r="K88" s="12">
        <f t="shared" ref="K88" ca="1" si="192" xml:space="preserve"> MAX(0, SUM(K86:K87))</f>
        <v>0</v>
      </c>
      <c r="L88" s="12">
        <f t="shared" ref="L88" ca="1" si="193" xml:space="preserve"> MAX(0, SUM(L86:L87))</f>
        <v>0</v>
      </c>
      <c r="M88" s="12">
        <f t="shared" ref="M88" ca="1" si="194" xml:space="preserve"> MAX(0, SUM(M86:M87))</f>
        <v>0</v>
      </c>
      <c r="N88" s="12">
        <f t="shared" ref="N88" ca="1" si="195" xml:space="preserve"> MAX(0, SUM(N86:N87))</f>
        <v>0</v>
      </c>
      <c r="O88" s="12">
        <f t="shared" ref="O88" ca="1" si="196" xml:space="preserve"> MAX(0, SUM(O86:O87))</f>
        <v>0</v>
      </c>
      <c r="P88" s="12">
        <f t="shared" ref="P88" ca="1" si="197" xml:space="preserve"> MAX(0, SUM(P86:P87))</f>
        <v>0</v>
      </c>
      <c r="Q88" s="12">
        <f t="shared" ref="Q88" ca="1" si="198" xml:space="preserve"> MAX(0, SUM(Q86:Q87))</f>
        <v>0</v>
      </c>
      <c r="R88" s="12">
        <f t="shared" ref="R88" ca="1" si="199" xml:space="preserve"> MAX(0, SUM(R86:R87))</f>
        <v>0</v>
      </c>
      <c r="S88" s="12">
        <f t="shared" ref="S88" ca="1" si="200" xml:space="preserve"> MAX(0, SUM(S86:S87))</f>
        <v>0</v>
      </c>
      <c r="T88" s="12">
        <f t="shared" ref="T88" ca="1" si="201" xml:space="preserve"> MAX(0, SUM(T86:T87))</f>
        <v>0</v>
      </c>
      <c r="U88" s="12">
        <f t="shared" ref="U88" ca="1" si="202" xml:space="preserve"> MAX(0, SUM(U86:U87))</f>
        <v>0</v>
      </c>
      <c r="V88" s="12">
        <f t="shared" ref="V88" ca="1" si="203" xml:space="preserve"> MAX(0, SUM(V86:V87))</f>
        <v>0</v>
      </c>
      <c r="W88" s="12">
        <f t="shared" ref="W88" ca="1" si="204" xml:space="preserve"> MAX(0, SUM(W86:W87))</f>
        <v>0</v>
      </c>
      <c r="X88" s="12">
        <f t="shared" ref="X88" ca="1" si="205" xml:space="preserve"> MAX(0, SUM(X86:X87))</f>
        <v>0</v>
      </c>
      <c r="Y88" s="12">
        <f t="shared" ref="Y88" ca="1" si="206" xml:space="preserve"> MAX(0, SUM(Y86:Y87))</f>
        <v>0</v>
      </c>
      <c r="Z88" s="12">
        <f t="shared" ref="Z88" ca="1" si="207" xml:space="preserve"> MAX(0, SUM(Z86:Z87))</f>
        <v>0</v>
      </c>
      <c r="AA88" s="12">
        <f t="shared" ref="AA88" ca="1" si="208" xml:space="preserve"> MAX(0, SUM(AA86:AA87))</f>
        <v>0</v>
      </c>
      <c r="AB88" s="12">
        <f t="shared" ref="AB88" ca="1" si="209" xml:space="preserve"> MAX(0, SUM(AB86:AB87))</f>
        <v>0</v>
      </c>
      <c r="AC88" s="12">
        <f t="shared" ref="AC88" ca="1" si="210" xml:space="preserve"> MAX(0, SUM(AC86:AC87))</f>
        <v>0</v>
      </c>
      <c r="AD88" s="12">
        <f t="shared" ref="AD88" ca="1" si="211" xml:space="preserve"> MAX(0, SUM(AD86:AD87))</f>
        <v>0</v>
      </c>
      <c r="AE88" s="12">
        <f t="shared" ref="AE88" ca="1" si="212" xml:space="preserve"> MAX(0, SUM(AE86:AE87))</f>
        <v>0</v>
      </c>
      <c r="AF88" s="12">
        <f t="shared" ref="AF88" ca="1" si="213" xml:space="preserve"> MAX(0, SUM(AF86:AF87))</f>
        <v>0</v>
      </c>
      <c r="AG88" s="12">
        <f t="shared" ref="AG88" ca="1" si="214" xml:space="preserve"> MAX(0, SUM(AG86:AG87))</f>
        <v>0</v>
      </c>
      <c r="AH88" s="12">
        <f t="shared" ref="AH88" ca="1" si="215" xml:space="preserve"> MAX(0, SUM(AH86:AH87))</f>
        <v>0</v>
      </c>
      <c r="AI88" s="12">
        <f t="shared" ref="AI88" ca="1" si="216" xml:space="preserve"> MAX(0, SUM(AI86:AI87))</f>
        <v>0</v>
      </c>
      <c r="AJ88" s="12">
        <f t="shared" ref="AJ88" ca="1" si="217" xml:space="preserve"> MAX(0, SUM(AJ86:AJ87))</f>
        <v>0</v>
      </c>
      <c r="AK88" s="12">
        <f t="shared" ref="AK88" ca="1" si="218" xml:space="preserve"> MAX(0, SUM(AK86:AK87))</f>
        <v>0</v>
      </c>
      <c r="AL88" s="12">
        <f t="shared" ref="AL88" ca="1" si="219" xml:space="preserve"> MAX(0, SUM(AL86:AL87))</f>
        <v>0</v>
      </c>
      <c r="AM88" s="12">
        <f t="shared" ref="AM88" ca="1" si="220" xml:space="preserve"> MAX(0, SUM(AM86:AM87))</f>
        <v>0</v>
      </c>
      <c r="AN88" s="12">
        <f t="shared" ref="AN88" ca="1" si="221" xml:space="preserve"> MAX(0, SUM(AN86:AN87))</f>
        <v>0</v>
      </c>
      <c r="AO88" s="12">
        <f t="shared" ref="AO88" ca="1" si="222" xml:space="preserve"> MAX(0, SUM(AO86:AO87))</f>
        <v>0</v>
      </c>
      <c r="AP88" s="12">
        <f t="shared" ref="AP88" ca="1" si="223" xml:space="preserve"> MAX(0, SUM(AP86:AP87))</f>
        <v>0</v>
      </c>
      <c r="AQ88" s="12">
        <f t="shared" ref="AQ88" ca="1" si="224" xml:space="preserve"> MAX(0, SUM(AQ86:AQ87))</f>
        <v>0</v>
      </c>
      <c r="AR88" s="12">
        <f t="shared" ref="AR88" ca="1" si="225" xml:space="preserve"> MAX(0, SUM(AR86:AR87))</f>
        <v>0</v>
      </c>
      <c r="AS88" s="12">
        <f t="shared" ref="AS88" ca="1" si="226" xml:space="preserve"> MAX(0, SUM(AS86:AS87))</f>
        <v>0</v>
      </c>
      <c r="AT88" s="12">
        <f t="shared" ref="AT88" ca="1" si="227" xml:space="preserve"> MAX(0, SUM(AT86:AT87))</f>
        <v>0</v>
      </c>
      <c r="AU88" s="12">
        <f t="shared" ref="AU88" ca="1" si="228" xml:space="preserve"> MAX(0, SUM(AU86:AU87))</f>
        <v>0</v>
      </c>
      <c r="AV88" s="12">
        <f t="shared" ref="AV88" ca="1" si="229" xml:space="preserve"> MAX(0, SUM(AV86:AV87))</f>
        <v>0</v>
      </c>
      <c r="AW88" s="12">
        <f t="shared" ref="AW88" ca="1" si="230" xml:space="preserve"> MAX(0, SUM(AW86:AW87))</f>
        <v>0</v>
      </c>
      <c r="AX88" s="12">
        <f t="shared" ref="AX88" ca="1" si="231" xml:space="preserve"> MAX(0, SUM(AX86:AX87))</f>
        <v>0</v>
      </c>
      <c r="AY88" s="12">
        <f t="shared" ref="AY88" ca="1" si="232" xml:space="preserve"> MAX(0, SUM(AY86:AY87))</f>
        <v>0</v>
      </c>
      <c r="AZ88" s="12">
        <f t="shared" ref="AZ88" ca="1" si="233" xml:space="preserve"> MAX(0, SUM(AZ86:AZ87))</f>
        <v>0</v>
      </c>
      <c r="BA88" s="12">
        <f t="shared" ref="BA88" ca="1" si="234" xml:space="preserve"> MAX(0, SUM(BA86:BA87))</f>
        <v>0</v>
      </c>
      <c r="BB88" s="12">
        <f t="shared" ref="BB88" ca="1" si="235" xml:space="preserve"> MAX(0, SUM(BB86:BB87))</f>
        <v>0</v>
      </c>
      <c r="BC88" s="12">
        <f t="shared" ref="BC88" ca="1" si="236" xml:space="preserve"> MAX(0, SUM(BC86:BC87))</f>
        <v>0</v>
      </c>
      <c r="BD88" s="12">
        <f t="shared" ref="BD88" ca="1" si="237" xml:space="preserve"> MAX(0, SUM(BD86:BD87))</f>
        <v>0</v>
      </c>
      <c r="BE88" s="12">
        <f t="shared" ref="BE88" ca="1" si="238" xml:space="preserve"> MAX(0, SUM(BE86:BE87))</f>
        <v>0</v>
      </c>
      <c r="BF88" s="12">
        <f t="shared" ref="BF88" ca="1" si="239" xml:space="preserve"> MAX(0, SUM(BF86:BF87))</f>
        <v>0</v>
      </c>
      <c r="BG88" s="12">
        <f t="shared" ref="BG88" ca="1" si="240" xml:space="preserve"> MAX(0, SUM(BG86:BG87))</f>
        <v>0</v>
      </c>
      <c r="BH88" s="12">
        <f t="shared" ref="BH88" ca="1" si="241" xml:space="preserve"> MAX(0, SUM(BH86:BH87))</f>
        <v>0</v>
      </c>
      <c r="BI88" s="12">
        <f t="shared" ref="BI88" ca="1" si="242" xml:space="preserve"> MAX(0, SUM(BI86:BI87))</f>
        <v>0</v>
      </c>
      <c r="BJ88" s="12">
        <f t="shared" ref="BJ88" ca="1" si="243" xml:space="preserve"> MAX(0, SUM(BJ86:BJ87))</f>
        <v>0</v>
      </c>
      <c r="BK88" s="12">
        <f t="shared" ref="BK88" ca="1" si="244" xml:space="preserve"> MAX(0, SUM(BK86:BK87))</f>
        <v>0</v>
      </c>
      <c r="BL88" s="12">
        <f t="shared" ref="BL88" ca="1" si="245" xml:space="preserve"> MAX(0, SUM(BL86:BL87))</f>
        <v>0</v>
      </c>
      <c r="BM88" s="12">
        <f t="shared" ref="BM88" ca="1" si="246" xml:space="preserve"> MAX(0, SUM(BM86:BM87))</f>
        <v>0</v>
      </c>
      <c r="BN88" s="12">
        <f t="shared" ref="BN88" ca="1" si="247" xml:space="preserve"> MAX(0, SUM(BN86:BN87))</f>
        <v>0</v>
      </c>
      <c r="BO88" s="12">
        <f t="shared" ref="BO88" ca="1" si="248" xml:space="preserve"> MAX(0, SUM(BO86:BO87))</f>
        <v>0</v>
      </c>
      <c r="BP88" s="12">
        <f t="shared" ref="BP88" ca="1" si="249" xml:space="preserve"> MAX(0, SUM(BP86:BP87))</f>
        <v>0</v>
      </c>
      <c r="BQ88" s="12">
        <f t="shared" ref="BQ88" ca="1" si="250" xml:space="preserve"> MAX(0, SUM(BQ86:BQ87))</f>
        <v>0</v>
      </c>
      <c r="BR88" s="12">
        <f t="shared" ref="BR88" ca="1" si="251" xml:space="preserve"> MAX(0, SUM(BR86:BR87))</f>
        <v>0</v>
      </c>
      <c r="BS88" s="12">
        <f t="shared" ref="BS88" ca="1" si="252" xml:space="preserve"> MAX(0, SUM(BS86:BS87))</f>
        <v>0</v>
      </c>
      <c r="BT88" s="12">
        <f t="shared" ref="BT88" ca="1" si="253" xml:space="preserve"> MAX(0, SUM(BT86:BT87))</f>
        <v>0</v>
      </c>
      <c r="BU88" s="12">
        <f t="shared" ref="BU88" ca="1" si="254" xml:space="preserve"> MAX(0, SUM(BU86:BU87))</f>
        <v>0</v>
      </c>
      <c r="BV88" s="12">
        <f t="shared" ref="BV88" ca="1" si="255" xml:space="preserve"> MAX(0, SUM(BV86:BV87))</f>
        <v>0</v>
      </c>
      <c r="BW88" s="12">
        <f t="shared" ref="BW88" ca="1" si="256" xml:space="preserve"> MAX(0, SUM(BW86:BW87))</f>
        <v>0</v>
      </c>
      <c r="BX88" s="12">
        <f t="shared" ref="BX88" ca="1" si="257" xml:space="preserve"> MAX(0, SUM(BX86:BX87))</f>
        <v>0</v>
      </c>
      <c r="BY88" s="12">
        <f t="shared" ref="BY88" ca="1" si="258" xml:space="preserve"> MAX(0, SUM(BY86:BY87))</f>
        <v>0</v>
      </c>
      <c r="BZ88" s="12">
        <f t="shared" ref="BZ88" ca="1" si="259" xml:space="preserve"> MAX(0, SUM(BZ86:BZ87))</f>
        <v>0</v>
      </c>
      <c r="CA88" s="12">
        <f t="shared" ref="CA88" ca="1" si="260" xml:space="preserve"> MAX(0, SUM(CA86:CA87))</f>
        <v>0</v>
      </c>
      <c r="CB88" s="12">
        <f t="shared" ref="CB88" ca="1" si="261" xml:space="preserve"> MAX(0, SUM(CB86:CB87))</f>
        <v>0</v>
      </c>
      <c r="CC88" s="12">
        <f t="shared" ref="CC88" ca="1" si="262" xml:space="preserve"> MAX(0, SUM(CC86:CC87))</f>
        <v>0</v>
      </c>
      <c r="CD88" s="12">
        <f t="shared" ref="CD88" ca="1" si="263" xml:space="preserve"> MAX(0, SUM(CD86:CD87))</f>
        <v>0</v>
      </c>
      <c r="CE88" s="12">
        <f t="shared" ref="CE88" ca="1" si="264" xml:space="preserve"> MAX(0, SUM(CE86:CE87))</f>
        <v>0</v>
      </c>
      <c r="CF88" s="12">
        <f t="shared" ref="CF88" ca="1" si="265" xml:space="preserve"> MAX(0, SUM(CF86:CF87))</f>
        <v>0</v>
      </c>
      <c r="CG88" s="12">
        <f t="shared" ref="CG88" ca="1" si="266" xml:space="preserve"> MAX(0, SUM(CG86:CG87))</f>
        <v>0</v>
      </c>
      <c r="CH88" s="12">
        <f t="shared" ref="CH88" ca="1" si="267" xml:space="preserve"> MAX(0, SUM(CH86:CH87))</f>
        <v>0</v>
      </c>
      <c r="CI88" s="12">
        <f t="shared" ref="CI88" ca="1" si="268" xml:space="preserve"> MAX(0, SUM(CI86:CI87))</f>
        <v>0</v>
      </c>
      <c r="CJ88" s="12">
        <f t="shared" ref="CJ88" ca="1" si="269" xml:space="preserve"> MAX(0, SUM(CJ86:CJ87))</f>
        <v>0</v>
      </c>
      <c r="CK88" s="12">
        <f t="shared" ref="CK88" ca="1" si="270" xml:space="preserve"> MAX(0, SUM(CK86:CK87))</f>
        <v>0</v>
      </c>
      <c r="CL88" s="12">
        <f t="shared" ref="CL88" ca="1" si="271" xml:space="preserve"> MAX(0, SUM(CL86:CL87))</f>
        <v>0</v>
      </c>
      <c r="CM88" s="12">
        <f t="shared" ref="CM88" ca="1" si="272" xml:space="preserve"> MAX(0, SUM(CM86:CM87))</f>
        <v>0</v>
      </c>
      <c r="CN88" s="12">
        <f t="shared" ref="CN88" ca="1" si="273" xml:space="preserve"> MAX(0, SUM(CN86:CN87))</f>
        <v>0</v>
      </c>
      <c r="CO88" s="12">
        <f t="shared" ref="CO88" ca="1" si="274" xml:space="preserve"> MAX(0, SUM(CO86:CO87))</f>
        <v>0</v>
      </c>
      <c r="CP88" s="12">
        <f t="shared" ref="CP88" ca="1" si="275" xml:space="preserve"> MAX(0, SUM(CP86:CP87))</f>
        <v>0</v>
      </c>
      <c r="CQ88" s="12">
        <f t="shared" ref="CQ88" ca="1" si="276" xml:space="preserve"> MAX(0, SUM(CQ86:CQ87))</f>
        <v>0</v>
      </c>
      <c r="CR88" s="12">
        <f t="shared" ref="CR88" ca="1" si="277" xml:space="preserve"> MAX(0, SUM(CR86:CR87))</f>
        <v>0</v>
      </c>
      <c r="CS88" s="12">
        <f t="shared" ref="CS88" ca="1" si="278" xml:space="preserve"> MAX(0, SUM(CS86:CS87))</f>
        <v>0</v>
      </c>
      <c r="CT88" s="12">
        <f t="shared" ref="CT88" ca="1" si="279" xml:space="preserve"> MAX(0, SUM(CT86:CT87))</f>
        <v>0</v>
      </c>
      <c r="CU88" s="12">
        <f t="shared" ref="CU88" ca="1" si="280" xml:space="preserve"> MAX(0, SUM(CU86:CU87))</f>
        <v>0</v>
      </c>
      <c r="CV88" s="12">
        <f t="shared" ref="CV88" ca="1" si="281" xml:space="preserve"> MAX(0, SUM(CV86:CV87))</f>
        <v>0</v>
      </c>
    </row>
    <row r="89" spans="1:100" outlineLevel="1" x14ac:dyDescent="0.2"/>
    <row r="90" spans="1:100" outlineLevel="1" x14ac:dyDescent="0.2">
      <c r="E90" s="198" t="str">
        <f t="shared" ref="E90:AJ90" si="282" xml:space="preserve"> E$96</f>
        <v>Share capital balance BEG - P99</v>
      </c>
      <c r="F90" s="198">
        <f t="shared" si="282"/>
        <v>0</v>
      </c>
      <c r="G90" s="198" t="str">
        <f t="shared" si="282"/>
        <v>$ 000s</v>
      </c>
      <c r="H90" s="198">
        <f t="shared" si="282"/>
        <v>0</v>
      </c>
      <c r="I90" s="198">
        <f t="shared" si="282"/>
        <v>0</v>
      </c>
      <c r="J90" s="198">
        <f t="shared" si="282"/>
        <v>0</v>
      </c>
      <c r="K90" s="198">
        <f t="shared" ca="1" si="282"/>
        <v>100</v>
      </c>
      <c r="L90" s="198">
        <f t="shared" ca="1" si="282"/>
        <v>100</v>
      </c>
      <c r="M90" s="198">
        <f t="shared" ca="1" si="282"/>
        <v>100</v>
      </c>
      <c r="N90" s="198">
        <f t="shared" ca="1" si="282"/>
        <v>100</v>
      </c>
      <c r="O90" s="198">
        <f t="shared" ca="1" si="282"/>
        <v>100</v>
      </c>
      <c r="P90" s="198">
        <f t="shared" ca="1" si="282"/>
        <v>100</v>
      </c>
      <c r="Q90" s="198">
        <f t="shared" ca="1" si="282"/>
        <v>100</v>
      </c>
      <c r="R90" s="198">
        <f t="shared" ca="1" si="282"/>
        <v>100</v>
      </c>
      <c r="S90" s="198">
        <f t="shared" ca="1" si="282"/>
        <v>100</v>
      </c>
      <c r="T90" s="198">
        <f t="shared" ca="1" si="282"/>
        <v>100</v>
      </c>
      <c r="U90" s="198">
        <f t="shared" ca="1" si="282"/>
        <v>100</v>
      </c>
      <c r="V90" s="198">
        <f t="shared" ca="1" si="282"/>
        <v>100</v>
      </c>
      <c r="W90" s="198">
        <f t="shared" ca="1" si="282"/>
        <v>100</v>
      </c>
      <c r="X90" s="198">
        <f t="shared" ca="1" si="282"/>
        <v>100</v>
      </c>
      <c r="Y90" s="198">
        <f t="shared" ca="1" si="282"/>
        <v>100</v>
      </c>
      <c r="Z90" s="198">
        <f t="shared" ca="1" si="282"/>
        <v>100</v>
      </c>
      <c r="AA90" s="198">
        <f t="shared" ca="1" si="282"/>
        <v>100</v>
      </c>
      <c r="AB90" s="198">
        <f t="shared" ca="1" si="282"/>
        <v>100</v>
      </c>
      <c r="AC90" s="198">
        <f t="shared" ca="1" si="282"/>
        <v>100</v>
      </c>
      <c r="AD90" s="198">
        <f t="shared" ca="1" si="282"/>
        <v>100</v>
      </c>
      <c r="AE90" s="198">
        <f t="shared" ca="1" si="282"/>
        <v>100</v>
      </c>
      <c r="AF90" s="198">
        <f t="shared" ca="1" si="282"/>
        <v>100</v>
      </c>
      <c r="AG90" s="198">
        <f t="shared" ca="1" si="282"/>
        <v>100</v>
      </c>
      <c r="AH90" s="198">
        <f t="shared" ca="1" si="282"/>
        <v>100</v>
      </c>
      <c r="AI90" s="198">
        <f t="shared" ca="1" si="282"/>
        <v>100</v>
      </c>
      <c r="AJ90" s="198">
        <f t="shared" ca="1" si="282"/>
        <v>100</v>
      </c>
      <c r="AK90" s="198">
        <f t="shared" ref="AK90:BP90" ca="1" si="283" xml:space="preserve"> AK$96</f>
        <v>100</v>
      </c>
      <c r="AL90" s="198">
        <f t="shared" ca="1" si="283"/>
        <v>100</v>
      </c>
      <c r="AM90" s="198">
        <f t="shared" ca="1" si="283"/>
        <v>100</v>
      </c>
      <c r="AN90" s="198">
        <f t="shared" ca="1" si="283"/>
        <v>100</v>
      </c>
      <c r="AO90" s="198">
        <f t="shared" ca="1" si="283"/>
        <v>100</v>
      </c>
      <c r="AP90" s="198">
        <f t="shared" ca="1" si="283"/>
        <v>100</v>
      </c>
      <c r="AQ90" s="198">
        <f t="shared" ca="1" si="283"/>
        <v>100</v>
      </c>
      <c r="AR90" s="198">
        <f t="shared" ca="1" si="283"/>
        <v>100</v>
      </c>
      <c r="AS90" s="198">
        <f t="shared" ca="1" si="283"/>
        <v>100</v>
      </c>
      <c r="AT90" s="198">
        <f t="shared" ca="1" si="283"/>
        <v>100</v>
      </c>
      <c r="AU90" s="198">
        <f t="shared" ca="1" si="283"/>
        <v>100</v>
      </c>
      <c r="AV90" s="198">
        <f t="shared" ca="1" si="283"/>
        <v>100</v>
      </c>
      <c r="AW90" s="198">
        <f t="shared" ca="1" si="283"/>
        <v>100</v>
      </c>
      <c r="AX90" s="198">
        <f t="shared" ca="1" si="283"/>
        <v>100</v>
      </c>
      <c r="AY90" s="198">
        <f t="shared" ca="1" si="283"/>
        <v>100</v>
      </c>
      <c r="AZ90" s="198">
        <f t="shared" ca="1" si="283"/>
        <v>100</v>
      </c>
      <c r="BA90" s="198">
        <f t="shared" ca="1" si="283"/>
        <v>100</v>
      </c>
      <c r="BB90" s="198">
        <f t="shared" ca="1" si="283"/>
        <v>100</v>
      </c>
      <c r="BC90" s="198">
        <f t="shared" ca="1" si="283"/>
        <v>100</v>
      </c>
      <c r="BD90" s="198">
        <f t="shared" ca="1" si="283"/>
        <v>100</v>
      </c>
      <c r="BE90" s="198">
        <f t="shared" ca="1" si="283"/>
        <v>100</v>
      </c>
      <c r="BF90" s="198">
        <f t="shared" ca="1" si="283"/>
        <v>100</v>
      </c>
      <c r="BG90" s="198">
        <f t="shared" ca="1" si="283"/>
        <v>100</v>
      </c>
      <c r="BH90" s="198">
        <f t="shared" ca="1" si="283"/>
        <v>100</v>
      </c>
      <c r="BI90" s="198">
        <f t="shared" ca="1" si="283"/>
        <v>100</v>
      </c>
      <c r="BJ90" s="198">
        <f t="shared" ca="1" si="283"/>
        <v>100</v>
      </c>
      <c r="BK90" s="198">
        <f t="shared" ca="1" si="283"/>
        <v>100</v>
      </c>
      <c r="BL90" s="198">
        <f t="shared" ca="1" si="283"/>
        <v>100</v>
      </c>
      <c r="BM90" s="198">
        <f t="shared" ca="1" si="283"/>
        <v>100</v>
      </c>
      <c r="BN90" s="198">
        <f t="shared" ca="1" si="283"/>
        <v>100</v>
      </c>
      <c r="BO90" s="198">
        <f t="shared" ca="1" si="283"/>
        <v>100</v>
      </c>
      <c r="BP90" s="198">
        <f t="shared" ca="1" si="283"/>
        <v>100</v>
      </c>
      <c r="BQ90" s="198">
        <f t="shared" ref="BQ90:CV90" ca="1" si="284" xml:space="preserve"> BQ$96</f>
        <v>100</v>
      </c>
      <c r="BR90" s="198">
        <f t="shared" ca="1" si="284"/>
        <v>100</v>
      </c>
      <c r="BS90" s="198">
        <f t="shared" ca="1" si="284"/>
        <v>100</v>
      </c>
      <c r="BT90" s="198">
        <f t="shared" ca="1" si="284"/>
        <v>100</v>
      </c>
      <c r="BU90" s="198">
        <f t="shared" ca="1" si="284"/>
        <v>100</v>
      </c>
      <c r="BV90" s="198">
        <f t="shared" ca="1" si="284"/>
        <v>100</v>
      </c>
      <c r="BW90" s="198">
        <f t="shared" ca="1" si="284"/>
        <v>100</v>
      </c>
      <c r="BX90" s="198">
        <f t="shared" ca="1" si="284"/>
        <v>100</v>
      </c>
      <c r="BY90" s="198">
        <f t="shared" ca="1" si="284"/>
        <v>100</v>
      </c>
      <c r="BZ90" s="198">
        <f t="shared" ca="1" si="284"/>
        <v>100</v>
      </c>
      <c r="CA90" s="198">
        <f t="shared" ca="1" si="284"/>
        <v>100</v>
      </c>
      <c r="CB90" s="198">
        <f t="shared" ca="1" si="284"/>
        <v>100</v>
      </c>
      <c r="CC90" s="198">
        <f t="shared" ca="1" si="284"/>
        <v>100</v>
      </c>
      <c r="CD90" s="198">
        <f t="shared" ca="1" si="284"/>
        <v>100</v>
      </c>
      <c r="CE90" s="198">
        <f t="shared" ca="1" si="284"/>
        <v>100</v>
      </c>
      <c r="CF90" s="198">
        <f t="shared" ca="1" si="284"/>
        <v>100</v>
      </c>
      <c r="CG90" s="198">
        <f t="shared" ca="1" si="284"/>
        <v>100</v>
      </c>
      <c r="CH90" s="198">
        <f t="shared" ca="1" si="284"/>
        <v>100</v>
      </c>
      <c r="CI90" s="198">
        <f t="shared" ca="1" si="284"/>
        <v>100</v>
      </c>
      <c r="CJ90" s="198">
        <f t="shared" ca="1" si="284"/>
        <v>100</v>
      </c>
      <c r="CK90" s="198">
        <f t="shared" ca="1" si="284"/>
        <v>100</v>
      </c>
      <c r="CL90" s="198">
        <f t="shared" ca="1" si="284"/>
        <v>100</v>
      </c>
      <c r="CM90" s="198">
        <f t="shared" ca="1" si="284"/>
        <v>100</v>
      </c>
      <c r="CN90" s="198">
        <f t="shared" ca="1" si="284"/>
        <v>100</v>
      </c>
      <c r="CO90" s="198">
        <f t="shared" ca="1" si="284"/>
        <v>100</v>
      </c>
      <c r="CP90" s="198">
        <f t="shared" ca="1" si="284"/>
        <v>100</v>
      </c>
      <c r="CQ90" s="198">
        <f t="shared" ca="1" si="284"/>
        <v>100</v>
      </c>
      <c r="CR90" s="198">
        <f t="shared" ca="1" si="284"/>
        <v>100</v>
      </c>
      <c r="CS90" s="198">
        <f t="shared" ca="1" si="284"/>
        <v>100</v>
      </c>
      <c r="CT90" s="198">
        <f t="shared" ca="1" si="284"/>
        <v>100</v>
      </c>
      <c r="CU90" s="198">
        <f t="shared" ca="1" si="284"/>
        <v>100</v>
      </c>
      <c r="CV90" s="198">
        <f t="shared" ca="1" si="284"/>
        <v>100</v>
      </c>
    </row>
    <row r="91" spans="1:100" outlineLevel="1" x14ac:dyDescent="0.2">
      <c r="E91" s="12" t="str">
        <f t="shared" ref="E91:AJ91" si="285" xml:space="preserve"> E$88</f>
        <v>Cash available for share capital redemption - P99</v>
      </c>
      <c r="F91" s="12">
        <f t="shared" si="285"/>
        <v>0</v>
      </c>
      <c r="G91" s="12" t="str">
        <f t="shared" si="285"/>
        <v>$ 000s</v>
      </c>
      <c r="H91" s="12">
        <f t="shared" si="285"/>
        <v>0</v>
      </c>
      <c r="I91" s="12">
        <f t="shared" si="285"/>
        <v>0</v>
      </c>
      <c r="J91" s="12">
        <f t="shared" ca="1" si="285"/>
        <v>0</v>
      </c>
      <c r="K91" s="12">
        <f t="shared" ca="1" si="285"/>
        <v>0</v>
      </c>
      <c r="L91" s="12">
        <f t="shared" ca="1" si="285"/>
        <v>0</v>
      </c>
      <c r="M91" s="12">
        <f t="shared" ca="1" si="285"/>
        <v>0</v>
      </c>
      <c r="N91" s="12">
        <f t="shared" ca="1" si="285"/>
        <v>0</v>
      </c>
      <c r="O91" s="12">
        <f t="shared" ca="1" si="285"/>
        <v>0</v>
      </c>
      <c r="P91" s="12">
        <f t="shared" ca="1" si="285"/>
        <v>0</v>
      </c>
      <c r="Q91" s="12">
        <f t="shared" ca="1" si="285"/>
        <v>0</v>
      </c>
      <c r="R91" s="12">
        <f t="shared" ca="1" si="285"/>
        <v>0</v>
      </c>
      <c r="S91" s="12">
        <f t="shared" ca="1" si="285"/>
        <v>0</v>
      </c>
      <c r="T91" s="12">
        <f t="shared" ca="1" si="285"/>
        <v>0</v>
      </c>
      <c r="U91" s="12">
        <f t="shared" ca="1" si="285"/>
        <v>0</v>
      </c>
      <c r="V91" s="12">
        <f t="shared" ca="1" si="285"/>
        <v>0</v>
      </c>
      <c r="W91" s="12">
        <f t="shared" ca="1" si="285"/>
        <v>0</v>
      </c>
      <c r="X91" s="12">
        <f t="shared" ca="1" si="285"/>
        <v>0</v>
      </c>
      <c r="Y91" s="12">
        <f t="shared" ca="1" si="285"/>
        <v>0</v>
      </c>
      <c r="Z91" s="12">
        <f t="shared" ca="1" si="285"/>
        <v>0</v>
      </c>
      <c r="AA91" s="12">
        <f t="shared" ca="1" si="285"/>
        <v>0</v>
      </c>
      <c r="AB91" s="12">
        <f t="shared" ca="1" si="285"/>
        <v>0</v>
      </c>
      <c r="AC91" s="12">
        <f t="shared" ca="1" si="285"/>
        <v>0</v>
      </c>
      <c r="AD91" s="12">
        <f t="shared" ca="1" si="285"/>
        <v>0</v>
      </c>
      <c r="AE91" s="12">
        <f t="shared" ca="1" si="285"/>
        <v>0</v>
      </c>
      <c r="AF91" s="12">
        <f t="shared" ca="1" si="285"/>
        <v>0</v>
      </c>
      <c r="AG91" s="12">
        <f t="shared" ca="1" si="285"/>
        <v>0</v>
      </c>
      <c r="AH91" s="12">
        <f t="shared" ca="1" si="285"/>
        <v>0</v>
      </c>
      <c r="AI91" s="12">
        <f t="shared" ca="1" si="285"/>
        <v>0</v>
      </c>
      <c r="AJ91" s="12">
        <f t="shared" ca="1" si="285"/>
        <v>0</v>
      </c>
      <c r="AK91" s="12">
        <f t="shared" ref="AK91:BP91" ca="1" si="286" xml:space="preserve"> AK$88</f>
        <v>0</v>
      </c>
      <c r="AL91" s="12">
        <f t="shared" ca="1" si="286"/>
        <v>0</v>
      </c>
      <c r="AM91" s="12">
        <f t="shared" ca="1" si="286"/>
        <v>0</v>
      </c>
      <c r="AN91" s="12">
        <f t="shared" ca="1" si="286"/>
        <v>0</v>
      </c>
      <c r="AO91" s="12">
        <f t="shared" ca="1" si="286"/>
        <v>0</v>
      </c>
      <c r="AP91" s="12">
        <f t="shared" ca="1" si="286"/>
        <v>0</v>
      </c>
      <c r="AQ91" s="12">
        <f t="shared" ca="1" si="286"/>
        <v>0</v>
      </c>
      <c r="AR91" s="12">
        <f t="shared" ca="1" si="286"/>
        <v>0</v>
      </c>
      <c r="AS91" s="12">
        <f t="shared" ca="1" si="286"/>
        <v>0</v>
      </c>
      <c r="AT91" s="12">
        <f t="shared" ca="1" si="286"/>
        <v>0</v>
      </c>
      <c r="AU91" s="12">
        <f t="shared" ca="1" si="286"/>
        <v>0</v>
      </c>
      <c r="AV91" s="12">
        <f t="shared" ca="1" si="286"/>
        <v>0</v>
      </c>
      <c r="AW91" s="12">
        <f t="shared" ca="1" si="286"/>
        <v>0</v>
      </c>
      <c r="AX91" s="12">
        <f t="shared" ca="1" si="286"/>
        <v>0</v>
      </c>
      <c r="AY91" s="12">
        <f t="shared" ca="1" si="286"/>
        <v>0</v>
      </c>
      <c r="AZ91" s="12">
        <f t="shared" ca="1" si="286"/>
        <v>0</v>
      </c>
      <c r="BA91" s="12">
        <f t="shared" ca="1" si="286"/>
        <v>0</v>
      </c>
      <c r="BB91" s="12">
        <f t="shared" ca="1" si="286"/>
        <v>0</v>
      </c>
      <c r="BC91" s="12">
        <f t="shared" ca="1" si="286"/>
        <v>0</v>
      </c>
      <c r="BD91" s="12">
        <f t="shared" ca="1" si="286"/>
        <v>0</v>
      </c>
      <c r="BE91" s="12">
        <f t="shared" ca="1" si="286"/>
        <v>0</v>
      </c>
      <c r="BF91" s="12">
        <f t="shared" ca="1" si="286"/>
        <v>0</v>
      </c>
      <c r="BG91" s="12">
        <f t="shared" ca="1" si="286"/>
        <v>0</v>
      </c>
      <c r="BH91" s="12">
        <f t="shared" ca="1" si="286"/>
        <v>0</v>
      </c>
      <c r="BI91" s="12">
        <f t="shared" ca="1" si="286"/>
        <v>0</v>
      </c>
      <c r="BJ91" s="12">
        <f t="shared" ca="1" si="286"/>
        <v>0</v>
      </c>
      <c r="BK91" s="12">
        <f t="shared" ca="1" si="286"/>
        <v>0</v>
      </c>
      <c r="BL91" s="12">
        <f t="shared" ca="1" si="286"/>
        <v>0</v>
      </c>
      <c r="BM91" s="12">
        <f t="shared" ca="1" si="286"/>
        <v>0</v>
      </c>
      <c r="BN91" s="12">
        <f t="shared" ca="1" si="286"/>
        <v>0</v>
      </c>
      <c r="BO91" s="12">
        <f t="shared" ca="1" si="286"/>
        <v>0</v>
      </c>
      <c r="BP91" s="12">
        <f t="shared" ca="1" si="286"/>
        <v>0</v>
      </c>
      <c r="BQ91" s="12">
        <f t="shared" ref="BQ91:CV91" ca="1" si="287" xml:space="preserve"> BQ$88</f>
        <v>0</v>
      </c>
      <c r="BR91" s="12">
        <f t="shared" ca="1" si="287"/>
        <v>0</v>
      </c>
      <c r="BS91" s="12">
        <f t="shared" ca="1" si="287"/>
        <v>0</v>
      </c>
      <c r="BT91" s="12">
        <f t="shared" ca="1" si="287"/>
        <v>0</v>
      </c>
      <c r="BU91" s="12">
        <f t="shared" ca="1" si="287"/>
        <v>0</v>
      </c>
      <c r="BV91" s="12">
        <f t="shared" ca="1" si="287"/>
        <v>0</v>
      </c>
      <c r="BW91" s="12">
        <f t="shared" ca="1" si="287"/>
        <v>0</v>
      </c>
      <c r="BX91" s="12">
        <f t="shared" ca="1" si="287"/>
        <v>0</v>
      </c>
      <c r="BY91" s="12">
        <f t="shared" ca="1" si="287"/>
        <v>0</v>
      </c>
      <c r="BZ91" s="12">
        <f t="shared" ca="1" si="287"/>
        <v>0</v>
      </c>
      <c r="CA91" s="12">
        <f t="shared" ca="1" si="287"/>
        <v>0</v>
      </c>
      <c r="CB91" s="12">
        <f t="shared" ca="1" si="287"/>
        <v>0</v>
      </c>
      <c r="CC91" s="12">
        <f t="shared" ca="1" si="287"/>
        <v>0</v>
      </c>
      <c r="CD91" s="12">
        <f t="shared" ca="1" si="287"/>
        <v>0</v>
      </c>
      <c r="CE91" s="12">
        <f t="shared" ca="1" si="287"/>
        <v>0</v>
      </c>
      <c r="CF91" s="12">
        <f t="shared" ca="1" si="287"/>
        <v>0</v>
      </c>
      <c r="CG91" s="12">
        <f t="shared" ca="1" si="287"/>
        <v>0</v>
      </c>
      <c r="CH91" s="12">
        <f t="shared" ca="1" si="287"/>
        <v>0</v>
      </c>
      <c r="CI91" s="12">
        <f t="shared" ca="1" si="287"/>
        <v>0</v>
      </c>
      <c r="CJ91" s="12">
        <f t="shared" ca="1" si="287"/>
        <v>0</v>
      </c>
      <c r="CK91" s="12">
        <f t="shared" ca="1" si="287"/>
        <v>0</v>
      </c>
      <c r="CL91" s="12">
        <f t="shared" ca="1" si="287"/>
        <v>0</v>
      </c>
      <c r="CM91" s="12">
        <f t="shared" ca="1" si="287"/>
        <v>0</v>
      </c>
      <c r="CN91" s="12">
        <f t="shared" ca="1" si="287"/>
        <v>0</v>
      </c>
      <c r="CO91" s="12">
        <f t="shared" ca="1" si="287"/>
        <v>0</v>
      </c>
      <c r="CP91" s="12">
        <f t="shared" ca="1" si="287"/>
        <v>0</v>
      </c>
      <c r="CQ91" s="12">
        <f t="shared" ca="1" si="287"/>
        <v>0</v>
      </c>
      <c r="CR91" s="12">
        <f t="shared" ca="1" si="287"/>
        <v>0</v>
      </c>
      <c r="CS91" s="12">
        <f t="shared" ca="1" si="287"/>
        <v>0</v>
      </c>
      <c r="CT91" s="12">
        <f t="shared" ca="1" si="287"/>
        <v>0</v>
      </c>
      <c r="CU91" s="12">
        <f t="shared" ca="1" si="287"/>
        <v>0</v>
      </c>
      <c r="CV91" s="12">
        <f t="shared" ca="1" si="287"/>
        <v>0</v>
      </c>
    </row>
    <row r="92" spans="1:100" outlineLevel="1" x14ac:dyDescent="0.2">
      <c r="E92" s="226" t="str">
        <f xml:space="preserve"> Time!E$101</f>
        <v xml:space="preserve">Last operating period flag </v>
      </c>
      <c r="F92" s="226">
        <f xml:space="preserve"> Time!F$101</f>
        <v>0</v>
      </c>
      <c r="G92" s="226" t="str">
        <f xml:space="preserve"> Time!G$101</f>
        <v>flag</v>
      </c>
      <c r="H92" s="226">
        <f xml:space="preserve"> Time!H$101</f>
        <v>1</v>
      </c>
      <c r="I92" s="226">
        <f xml:space="preserve"> Time!I$101</f>
        <v>0</v>
      </c>
      <c r="J92" s="226">
        <f xml:space="preserve"> Time!J$101</f>
        <v>0</v>
      </c>
      <c r="K92" s="226">
        <f xml:space="preserve"> Time!K$101</f>
        <v>0</v>
      </c>
      <c r="L92" s="226">
        <f xml:space="preserve"> Time!L$101</f>
        <v>0</v>
      </c>
      <c r="M92" s="226">
        <f xml:space="preserve"> Time!M$101</f>
        <v>0</v>
      </c>
      <c r="N92" s="226">
        <f xml:space="preserve"> Time!N$101</f>
        <v>0</v>
      </c>
      <c r="O92" s="226">
        <f xml:space="preserve"> Time!O$101</f>
        <v>0</v>
      </c>
      <c r="P92" s="226">
        <f xml:space="preserve"> Time!P$101</f>
        <v>0</v>
      </c>
      <c r="Q92" s="226">
        <f xml:space="preserve"> Time!Q$101</f>
        <v>0</v>
      </c>
      <c r="R92" s="226">
        <f xml:space="preserve"> Time!R$101</f>
        <v>0</v>
      </c>
      <c r="S92" s="226">
        <f xml:space="preserve"> Time!S$101</f>
        <v>0</v>
      </c>
      <c r="T92" s="226">
        <f xml:space="preserve"> Time!T$101</f>
        <v>0</v>
      </c>
      <c r="U92" s="226">
        <f xml:space="preserve"> Time!U$101</f>
        <v>0</v>
      </c>
      <c r="V92" s="226">
        <f xml:space="preserve"> Time!V$101</f>
        <v>0</v>
      </c>
      <c r="W92" s="226">
        <f xml:space="preserve"> Time!W$101</f>
        <v>0</v>
      </c>
      <c r="X92" s="226">
        <f xml:space="preserve"> Time!X$101</f>
        <v>0</v>
      </c>
      <c r="Y92" s="226">
        <f xml:space="preserve"> Time!Y$101</f>
        <v>0</v>
      </c>
      <c r="Z92" s="226">
        <f xml:space="preserve"> Time!Z$101</f>
        <v>0</v>
      </c>
      <c r="AA92" s="226">
        <f xml:space="preserve"> Time!AA$101</f>
        <v>0</v>
      </c>
      <c r="AB92" s="226">
        <f xml:space="preserve"> Time!AB$101</f>
        <v>0</v>
      </c>
      <c r="AC92" s="226">
        <f xml:space="preserve"> Time!AC$101</f>
        <v>0</v>
      </c>
      <c r="AD92" s="226">
        <f xml:space="preserve"> Time!AD$101</f>
        <v>0</v>
      </c>
      <c r="AE92" s="226">
        <f xml:space="preserve"> Time!AE$101</f>
        <v>0</v>
      </c>
      <c r="AF92" s="226">
        <f xml:space="preserve"> Time!AF$101</f>
        <v>0</v>
      </c>
      <c r="AG92" s="226">
        <f xml:space="preserve"> Time!AG$101</f>
        <v>0</v>
      </c>
      <c r="AH92" s="226">
        <f xml:space="preserve"> Time!AH$101</f>
        <v>0</v>
      </c>
      <c r="AI92" s="226">
        <f xml:space="preserve"> Time!AI$101</f>
        <v>0</v>
      </c>
      <c r="AJ92" s="226">
        <f xml:space="preserve"> Time!AJ$101</f>
        <v>0</v>
      </c>
      <c r="AK92" s="226">
        <f xml:space="preserve"> Time!AK$101</f>
        <v>0</v>
      </c>
      <c r="AL92" s="226">
        <f xml:space="preserve"> Time!AL$101</f>
        <v>0</v>
      </c>
      <c r="AM92" s="226">
        <f xml:space="preserve"> Time!AM$101</f>
        <v>0</v>
      </c>
      <c r="AN92" s="226">
        <f xml:space="preserve"> Time!AN$101</f>
        <v>0</v>
      </c>
      <c r="AO92" s="226">
        <f xml:space="preserve"> Time!AO$101</f>
        <v>0</v>
      </c>
      <c r="AP92" s="226">
        <f xml:space="preserve"> Time!AP$101</f>
        <v>0</v>
      </c>
      <c r="AQ92" s="226">
        <f xml:space="preserve"> Time!AQ$101</f>
        <v>0</v>
      </c>
      <c r="AR92" s="226">
        <f xml:space="preserve"> Time!AR$101</f>
        <v>0</v>
      </c>
      <c r="AS92" s="226">
        <f xml:space="preserve"> Time!AS$101</f>
        <v>0</v>
      </c>
      <c r="AT92" s="226">
        <f xml:space="preserve"> Time!AT$101</f>
        <v>0</v>
      </c>
      <c r="AU92" s="226">
        <f xml:space="preserve"> Time!AU$101</f>
        <v>0</v>
      </c>
      <c r="AV92" s="226">
        <f xml:space="preserve"> Time!AV$101</f>
        <v>0</v>
      </c>
      <c r="AW92" s="226">
        <f xml:space="preserve"> Time!AW$101</f>
        <v>0</v>
      </c>
      <c r="AX92" s="226">
        <f xml:space="preserve"> Time!AX$101</f>
        <v>0</v>
      </c>
      <c r="AY92" s="226">
        <f xml:space="preserve"> Time!AY$101</f>
        <v>0</v>
      </c>
      <c r="AZ92" s="226">
        <f xml:space="preserve"> Time!AZ$101</f>
        <v>0</v>
      </c>
      <c r="BA92" s="226">
        <f xml:space="preserve"> Time!BA$101</f>
        <v>0</v>
      </c>
      <c r="BB92" s="226">
        <f xml:space="preserve"> Time!BB$101</f>
        <v>1</v>
      </c>
      <c r="BC92" s="226">
        <f xml:space="preserve"> Time!BC$101</f>
        <v>0</v>
      </c>
      <c r="BD92" s="226">
        <f xml:space="preserve"> Time!BD$101</f>
        <v>0</v>
      </c>
      <c r="BE92" s="226">
        <f xml:space="preserve"> Time!BE$101</f>
        <v>0</v>
      </c>
      <c r="BF92" s="226">
        <f xml:space="preserve"> Time!BF$101</f>
        <v>0</v>
      </c>
      <c r="BG92" s="226">
        <f xml:space="preserve"> Time!BG$101</f>
        <v>0</v>
      </c>
      <c r="BH92" s="226">
        <f xml:space="preserve"> Time!BH$101</f>
        <v>0</v>
      </c>
      <c r="BI92" s="226">
        <f xml:space="preserve"> Time!BI$101</f>
        <v>0</v>
      </c>
      <c r="BJ92" s="226">
        <f xml:space="preserve"> Time!BJ$101</f>
        <v>0</v>
      </c>
      <c r="BK92" s="226">
        <f xml:space="preserve"> Time!BK$101</f>
        <v>0</v>
      </c>
      <c r="BL92" s="226">
        <f xml:space="preserve"> Time!BL$101</f>
        <v>0</v>
      </c>
      <c r="BM92" s="226">
        <f xml:space="preserve"> Time!BM$101</f>
        <v>0</v>
      </c>
      <c r="BN92" s="226">
        <f xml:space="preserve"> Time!BN$101</f>
        <v>0</v>
      </c>
      <c r="BO92" s="226">
        <f xml:space="preserve"> Time!BO$101</f>
        <v>0</v>
      </c>
      <c r="BP92" s="226">
        <f xml:space="preserve"> Time!BP$101</f>
        <v>0</v>
      </c>
      <c r="BQ92" s="226">
        <f xml:space="preserve"> Time!BQ$101</f>
        <v>0</v>
      </c>
      <c r="BR92" s="226">
        <f xml:space="preserve"> Time!BR$101</f>
        <v>0</v>
      </c>
      <c r="BS92" s="226">
        <f xml:space="preserve"> Time!BS$101</f>
        <v>0</v>
      </c>
      <c r="BT92" s="226">
        <f xml:space="preserve"> Time!BT$101</f>
        <v>0</v>
      </c>
      <c r="BU92" s="226">
        <f xml:space="preserve"> Time!BU$101</f>
        <v>0</v>
      </c>
      <c r="BV92" s="226">
        <f xml:space="preserve"> Time!BV$101</f>
        <v>0</v>
      </c>
      <c r="BW92" s="226">
        <f xml:space="preserve"> Time!BW$101</f>
        <v>0</v>
      </c>
      <c r="BX92" s="226">
        <f xml:space="preserve"> Time!BX$101</f>
        <v>0</v>
      </c>
      <c r="BY92" s="226">
        <f xml:space="preserve"> Time!BY$101</f>
        <v>0</v>
      </c>
      <c r="BZ92" s="226">
        <f xml:space="preserve"> Time!BZ$101</f>
        <v>0</v>
      </c>
      <c r="CA92" s="226">
        <f xml:space="preserve"> Time!CA$101</f>
        <v>0</v>
      </c>
      <c r="CB92" s="226">
        <f xml:space="preserve"> Time!CB$101</f>
        <v>0</v>
      </c>
      <c r="CC92" s="226">
        <f xml:space="preserve"> Time!CC$101</f>
        <v>0</v>
      </c>
      <c r="CD92" s="226">
        <f xml:space="preserve"> Time!CD$101</f>
        <v>0</v>
      </c>
      <c r="CE92" s="226">
        <f xml:space="preserve"> Time!CE$101</f>
        <v>0</v>
      </c>
      <c r="CF92" s="226">
        <f xml:space="preserve"> Time!CF$101</f>
        <v>0</v>
      </c>
      <c r="CG92" s="226">
        <f xml:space="preserve"> Time!CG$101</f>
        <v>0</v>
      </c>
      <c r="CH92" s="226">
        <f xml:space="preserve"> Time!CH$101</f>
        <v>0</v>
      </c>
      <c r="CI92" s="226">
        <f xml:space="preserve"> Time!CI$101</f>
        <v>0</v>
      </c>
      <c r="CJ92" s="226">
        <f xml:space="preserve"> Time!CJ$101</f>
        <v>0</v>
      </c>
      <c r="CK92" s="226">
        <f xml:space="preserve"> Time!CK$101</f>
        <v>0</v>
      </c>
      <c r="CL92" s="226">
        <f xml:space="preserve"> Time!CL$101</f>
        <v>0</v>
      </c>
      <c r="CM92" s="226">
        <f xml:space="preserve"> Time!CM$101</f>
        <v>0</v>
      </c>
      <c r="CN92" s="226">
        <f xml:space="preserve"> Time!CN$101</f>
        <v>0</v>
      </c>
      <c r="CO92" s="226">
        <f xml:space="preserve"> Time!CO$101</f>
        <v>0</v>
      </c>
      <c r="CP92" s="226">
        <f xml:space="preserve"> Time!CP$101</f>
        <v>0</v>
      </c>
      <c r="CQ92" s="226">
        <f xml:space="preserve"> Time!CQ$101</f>
        <v>0</v>
      </c>
      <c r="CR92" s="226">
        <f xml:space="preserve"> Time!CR$101</f>
        <v>0</v>
      </c>
      <c r="CS92" s="226">
        <f xml:space="preserve"> Time!CS$101</f>
        <v>0</v>
      </c>
      <c r="CT92" s="226">
        <f xml:space="preserve"> Time!CT$101</f>
        <v>0</v>
      </c>
      <c r="CU92" s="226">
        <f xml:space="preserve"> Time!CU$101</f>
        <v>0</v>
      </c>
      <c r="CV92" s="226">
        <f xml:space="preserve"> Time!CV$101</f>
        <v>0</v>
      </c>
    </row>
    <row r="93" spans="1:100" outlineLevel="1" x14ac:dyDescent="0.2">
      <c r="A93" s="141"/>
      <c r="B93" s="141"/>
      <c r="C93" s="142"/>
      <c r="D93" s="143"/>
      <c r="E93" s="402" t="s">
        <v>1225</v>
      </c>
      <c r="F93" s="402"/>
      <c r="G93" s="402" t="str">
        <f xml:space="preserve"> SMU</f>
        <v>$ 000s</v>
      </c>
      <c r="H93" s="402">
        <f ca="1" xml:space="preserve"> SUM(J93:CV93)</f>
        <v>0</v>
      </c>
      <c r="I93" s="402"/>
      <c r="J93" s="402">
        <f t="shared" ref="J93" ca="1" si="288" xml:space="preserve"> MIN(J90, J91) * J92</f>
        <v>0</v>
      </c>
      <c r="K93" s="402">
        <f t="shared" ref="K93" ca="1" si="289" xml:space="preserve"> MIN(K90, K91) * K92</f>
        <v>0</v>
      </c>
      <c r="L93" s="402">
        <f t="shared" ref="L93" ca="1" si="290" xml:space="preserve"> MIN(L90, L91) * L92</f>
        <v>0</v>
      </c>
      <c r="M93" s="402">
        <f t="shared" ref="M93" ca="1" si="291" xml:space="preserve"> MIN(M90, M91) * M92</f>
        <v>0</v>
      </c>
      <c r="N93" s="402">
        <f t="shared" ref="N93" ca="1" si="292" xml:space="preserve"> MIN(N90, N91) * N92</f>
        <v>0</v>
      </c>
      <c r="O93" s="402">
        <f t="shared" ref="O93" ca="1" si="293" xml:space="preserve"> MIN(O90, O91) * O92</f>
        <v>0</v>
      </c>
      <c r="P93" s="402">
        <f t="shared" ref="P93" ca="1" si="294" xml:space="preserve"> MIN(P90, P91) * P92</f>
        <v>0</v>
      </c>
      <c r="Q93" s="402">
        <f t="shared" ref="Q93" ca="1" si="295" xml:space="preserve"> MIN(Q90, Q91) * Q92</f>
        <v>0</v>
      </c>
      <c r="R93" s="402">
        <f t="shared" ref="R93" ca="1" si="296" xml:space="preserve"> MIN(R90, R91) * R92</f>
        <v>0</v>
      </c>
      <c r="S93" s="402">
        <f t="shared" ref="S93" ca="1" si="297" xml:space="preserve"> MIN(S90, S91) * S92</f>
        <v>0</v>
      </c>
      <c r="T93" s="402">
        <f t="shared" ref="T93" ca="1" si="298" xml:space="preserve"> MIN(T90, T91) * T92</f>
        <v>0</v>
      </c>
      <c r="U93" s="402">
        <f t="shared" ref="U93" ca="1" si="299" xml:space="preserve"> MIN(U90, U91) * U92</f>
        <v>0</v>
      </c>
      <c r="V93" s="402">
        <f t="shared" ref="V93" ca="1" si="300" xml:space="preserve"> MIN(V90, V91) * V92</f>
        <v>0</v>
      </c>
      <c r="W93" s="402">
        <f t="shared" ref="W93" ca="1" si="301" xml:space="preserve"> MIN(W90, W91) * W92</f>
        <v>0</v>
      </c>
      <c r="X93" s="402">
        <f t="shared" ref="X93" ca="1" si="302" xml:space="preserve"> MIN(X90, X91) * X92</f>
        <v>0</v>
      </c>
      <c r="Y93" s="402">
        <f t="shared" ref="Y93" ca="1" si="303" xml:space="preserve"> MIN(Y90, Y91) * Y92</f>
        <v>0</v>
      </c>
      <c r="Z93" s="402">
        <f t="shared" ref="Z93" ca="1" si="304" xml:space="preserve"> MIN(Z90, Z91) * Z92</f>
        <v>0</v>
      </c>
      <c r="AA93" s="402">
        <f t="shared" ref="AA93" ca="1" si="305" xml:space="preserve"> MIN(AA90, AA91) * AA92</f>
        <v>0</v>
      </c>
      <c r="AB93" s="402">
        <f t="shared" ref="AB93" ca="1" si="306" xml:space="preserve"> MIN(AB90, AB91) * AB92</f>
        <v>0</v>
      </c>
      <c r="AC93" s="402">
        <f t="shared" ref="AC93" ca="1" si="307" xml:space="preserve"> MIN(AC90, AC91) * AC92</f>
        <v>0</v>
      </c>
      <c r="AD93" s="402">
        <f t="shared" ref="AD93" ca="1" si="308" xml:space="preserve"> MIN(AD90, AD91) * AD92</f>
        <v>0</v>
      </c>
      <c r="AE93" s="402">
        <f t="shared" ref="AE93" ca="1" si="309" xml:space="preserve"> MIN(AE90, AE91) * AE92</f>
        <v>0</v>
      </c>
      <c r="AF93" s="402">
        <f t="shared" ref="AF93" ca="1" si="310" xml:space="preserve"> MIN(AF90, AF91) * AF92</f>
        <v>0</v>
      </c>
      <c r="AG93" s="402">
        <f t="shared" ref="AG93" ca="1" si="311" xml:space="preserve"> MIN(AG90, AG91) * AG92</f>
        <v>0</v>
      </c>
      <c r="AH93" s="402">
        <f t="shared" ref="AH93" ca="1" si="312" xml:space="preserve"> MIN(AH90, AH91) * AH92</f>
        <v>0</v>
      </c>
      <c r="AI93" s="402">
        <f t="shared" ref="AI93" ca="1" si="313" xml:space="preserve"> MIN(AI90, AI91) * AI92</f>
        <v>0</v>
      </c>
      <c r="AJ93" s="402">
        <f t="shared" ref="AJ93" ca="1" si="314" xml:space="preserve"> MIN(AJ90, AJ91) * AJ92</f>
        <v>0</v>
      </c>
      <c r="AK93" s="402">
        <f t="shared" ref="AK93" ca="1" si="315" xml:space="preserve"> MIN(AK90, AK91) * AK92</f>
        <v>0</v>
      </c>
      <c r="AL93" s="402">
        <f t="shared" ref="AL93" ca="1" si="316" xml:space="preserve"> MIN(AL90, AL91) * AL92</f>
        <v>0</v>
      </c>
      <c r="AM93" s="402">
        <f t="shared" ref="AM93" ca="1" si="317" xml:space="preserve"> MIN(AM90, AM91) * AM92</f>
        <v>0</v>
      </c>
      <c r="AN93" s="402">
        <f t="shared" ref="AN93" ca="1" si="318" xml:space="preserve"> MIN(AN90, AN91) * AN92</f>
        <v>0</v>
      </c>
      <c r="AO93" s="402">
        <f t="shared" ref="AO93" ca="1" si="319" xml:space="preserve"> MIN(AO90, AO91) * AO92</f>
        <v>0</v>
      </c>
      <c r="AP93" s="402">
        <f t="shared" ref="AP93" ca="1" si="320" xml:space="preserve"> MIN(AP90, AP91) * AP92</f>
        <v>0</v>
      </c>
      <c r="AQ93" s="402">
        <f t="shared" ref="AQ93" ca="1" si="321" xml:space="preserve"> MIN(AQ90, AQ91) * AQ92</f>
        <v>0</v>
      </c>
      <c r="AR93" s="402">
        <f t="shared" ref="AR93" ca="1" si="322" xml:space="preserve"> MIN(AR90, AR91) * AR92</f>
        <v>0</v>
      </c>
      <c r="AS93" s="402">
        <f t="shared" ref="AS93" ca="1" si="323" xml:space="preserve"> MIN(AS90, AS91) * AS92</f>
        <v>0</v>
      </c>
      <c r="AT93" s="402">
        <f t="shared" ref="AT93" ca="1" si="324" xml:space="preserve"> MIN(AT90, AT91) * AT92</f>
        <v>0</v>
      </c>
      <c r="AU93" s="402">
        <f t="shared" ref="AU93" ca="1" si="325" xml:space="preserve"> MIN(AU90, AU91) * AU92</f>
        <v>0</v>
      </c>
      <c r="AV93" s="402">
        <f t="shared" ref="AV93" ca="1" si="326" xml:space="preserve"> MIN(AV90, AV91) * AV92</f>
        <v>0</v>
      </c>
      <c r="AW93" s="402">
        <f t="shared" ref="AW93" ca="1" si="327" xml:space="preserve"> MIN(AW90, AW91) * AW92</f>
        <v>0</v>
      </c>
      <c r="AX93" s="402">
        <f t="shared" ref="AX93" ca="1" si="328" xml:space="preserve"> MIN(AX90, AX91) * AX92</f>
        <v>0</v>
      </c>
      <c r="AY93" s="402">
        <f t="shared" ref="AY93" ca="1" si="329" xml:space="preserve"> MIN(AY90, AY91) * AY92</f>
        <v>0</v>
      </c>
      <c r="AZ93" s="402">
        <f t="shared" ref="AZ93" ca="1" si="330" xml:space="preserve"> MIN(AZ90, AZ91) * AZ92</f>
        <v>0</v>
      </c>
      <c r="BA93" s="402">
        <f t="shared" ref="BA93" ca="1" si="331" xml:space="preserve"> MIN(BA90, BA91) * BA92</f>
        <v>0</v>
      </c>
      <c r="BB93" s="402">
        <f t="shared" ref="BB93" ca="1" si="332" xml:space="preserve"> MIN(BB90, BB91) * BB92</f>
        <v>0</v>
      </c>
      <c r="BC93" s="402">
        <f t="shared" ref="BC93" ca="1" si="333" xml:space="preserve"> MIN(BC90, BC91) * BC92</f>
        <v>0</v>
      </c>
      <c r="BD93" s="402">
        <f t="shared" ref="BD93" ca="1" si="334" xml:space="preserve"> MIN(BD90, BD91) * BD92</f>
        <v>0</v>
      </c>
      <c r="BE93" s="402">
        <f t="shared" ref="BE93" ca="1" si="335" xml:space="preserve"> MIN(BE90, BE91) * BE92</f>
        <v>0</v>
      </c>
      <c r="BF93" s="402">
        <f t="shared" ref="BF93" ca="1" si="336" xml:space="preserve"> MIN(BF90, BF91) * BF92</f>
        <v>0</v>
      </c>
      <c r="BG93" s="402">
        <f t="shared" ref="BG93" ca="1" si="337" xml:space="preserve"> MIN(BG90, BG91) * BG92</f>
        <v>0</v>
      </c>
      <c r="BH93" s="402">
        <f t="shared" ref="BH93" ca="1" si="338" xml:space="preserve"> MIN(BH90, BH91) * BH92</f>
        <v>0</v>
      </c>
      <c r="BI93" s="402">
        <f t="shared" ref="BI93" ca="1" si="339" xml:space="preserve"> MIN(BI90, BI91) * BI92</f>
        <v>0</v>
      </c>
      <c r="BJ93" s="402">
        <f t="shared" ref="BJ93" ca="1" si="340" xml:space="preserve"> MIN(BJ90, BJ91) * BJ92</f>
        <v>0</v>
      </c>
      <c r="BK93" s="402">
        <f t="shared" ref="BK93" ca="1" si="341" xml:space="preserve"> MIN(BK90, BK91) * BK92</f>
        <v>0</v>
      </c>
      <c r="BL93" s="402">
        <f t="shared" ref="BL93" ca="1" si="342" xml:space="preserve"> MIN(BL90, BL91) * BL92</f>
        <v>0</v>
      </c>
      <c r="BM93" s="402">
        <f t="shared" ref="BM93" ca="1" si="343" xml:space="preserve"> MIN(BM90, BM91) * BM92</f>
        <v>0</v>
      </c>
      <c r="BN93" s="402">
        <f t="shared" ref="BN93" ca="1" si="344" xml:space="preserve"> MIN(BN90, BN91) * BN92</f>
        <v>0</v>
      </c>
      <c r="BO93" s="402">
        <f t="shared" ref="BO93" ca="1" si="345" xml:space="preserve"> MIN(BO90, BO91) * BO92</f>
        <v>0</v>
      </c>
      <c r="BP93" s="402">
        <f t="shared" ref="BP93" ca="1" si="346" xml:space="preserve"> MIN(BP90, BP91) * BP92</f>
        <v>0</v>
      </c>
      <c r="BQ93" s="402">
        <f t="shared" ref="BQ93" ca="1" si="347" xml:space="preserve"> MIN(BQ90, BQ91) * BQ92</f>
        <v>0</v>
      </c>
      <c r="BR93" s="402">
        <f t="shared" ref="BR93" ca="1" si="348" xml:space="preserve"> MIN(BR90, BR91) * BR92</f>
        <v>0</v>
      </c>
      <c r="BS93" s="402">
        <f t="shared" ref="BS93" ca="1" si="349" xml:space="preserve"> MIN(BS90, BS91) * BS92</f>
        <v>0</v>
      </c>
      <c r="BT93" s="402">
        <f t="shared" ref="BT93" ca="1" si="350" xml:space="preserve"> MIN(BT90, BT91) * BT92</f>
        <v>0</v>
      </c>
      <c r="BU93" s="402">
        <f t="shared" ref="BU93" ca="1" si="351" xml:space="preserve"> MIN(BU90, BU91) * BU92</f>
        <v>0</v>
      </c>
      <c r="BV93" s="402">
        <f t="shared" ref="BV93" ca="1" si="352" xml:space="preserve"> MIN(BV90, BV91) * BV92</f>
        <v>0</v>
      </c>
      <c r="BW93" s="402">
        <f t="shared" ref="BW93" ca="1" si="353" xml:space="preserve"> MIN(BW90, BW91) * BW92</f>
        <v>0</v>
      </c>
      <c r="BX93" s="402">
        <f t="shared" ref="BX93" ca="1" si="354" xml:space="preserve"> MIN(BX90, BX91) * BX92</f>
        <v>0</v>
      </c>
      <c r="BY93" s="402">
        <f t="shared" ref="BY93" ca="1" si="355" xml:space="preserve"> MIN(BY90, BY91) * BY92</f>
        <v>0</v>
      </c>
      <c r="BZ93" s="402">
        <f t="shared" ref="BZ93" ca="1" si="356" xml:space="preserve"> MIN(BZ90, BZ91) * BZ92</f>
        <v>0</v>
      </c>
      <c r="CA93" s="402">
        <f t="shared" ref="CA93" ca="1" si="357" xml:space="preserve"> MIN(CA90, CA91) * CA92</f>
        <v>0</v>
      </c>
      <c r="CB93" s="402">
        <f t="shared" ref="CB93" ca="1" si="358" xml:space="preserve"> MIN(CB90, CB91) * CB92</f>
        <v>0</v>
      </c>
      <c r="CC93" s="402">
        <f t="shared" ref="CC93" ca="1" si="359" xml:space="preserve"> MIN(CC90, CC91) * CC92</f>
        <v>0</v>
      </c>
      <c r="CD93" s="402">
        <f t="shared" ref="CD93" ca="1" si="360" xml:space="preserve"> MIN(CD90, CD91) * CD92</f>
        <v>0</v>
      </c>
      <c r="CE93" s="402">
        <f t="shared" ref="CE93" ca="1" si="361" xml:space="preserve"> MIN(CE90, CE91) * CE92</f>
        <v>0</v>
      </c>
      <c r="CF93" s="402">
        <f t="shared" ref="CF93" ca="1" si="362" xml:space="preserve"> MIN(CF90, CF91) * CF92</f>
        <v>0</v>
      </c>
      <c r="CG93" s="402">
        <f t="shared" ref="CG93" ca="1" si="363" xml:space="preserve"> MIN(CG90, CG91) * CG92</f>
        <v>0</v>
      </c>
      <c r="CH93" s="402">
        <f t="shared" ref="CH93" ca="1" si="364" xml:space="preserve"> MIN(CH90, CH91) * CH92</f>
        <v>0</v>
      </c>
      <c r="CI93" s="402">
        <f t="shared" ref="CI93" ca="1" si="365" xml:space="preserve"> MIN(CI90, CI91) * CI92</f>
        <v>0</v>
      </c>
      <c r="CJ93" s="402">
        <f t="shared" ref="CJ93" ca="1" si="366" xml:space="preserve"> MIN(CJ90, CJ91) * CJ92</f>
        <v>0</v>
      </c>
      <c r="CK93" s="402">
        <f t="shared" ref="CK93" ca="1" si="367" xml:space="preserve"> MIN(CK90, CK91) * CK92</f>
        <v>0</v>
      </c>
      <c r="CL93" s="402">
        <f t="shared" ref="CL93" ca="1" si="368" xml:space="preserve"> MIN(CL90, CL91) * CL92</f>
        <v>0</v>
      </c>
      <c r="CM93" s="402">
        <f t="shared" ref="CM93" ca="1" si="369" xml:space="preserve"> MIN(CM90, CM91) * CM92</f>
        <v>0</v>
      </c>
      <c r="CN93" s="402">
        <f t="shared" ref="CN93" ca="1" si="370" xml:space="preserve"> MIN(CN90, CN91) * CN92</f>
        <v>0</v>
      </c>
      <c r="CO93" s="402">
        <f t="shared" ref="CO93" ca="1" si="371" xml:space="preserve"> MIN(CO90, CO91) * CO92</f>
        <v>0</v>
      </c>
      <c r="CP93" s="402">
        <f t="shared" ref="CP93" ca="1" si="372" xml:space="preserve"> MIN(CP90, CP91) * CP92</f>
        <v>0</v>
      </c>
      <c r="CQ93" s="402">
        <f t="shared" ref="CQ93" ca="1" si="373" xml:space="preserve"> MIN(CQ90, CQ91) * CQ92</f>
        <v>0</v>
      </c>
      <c r="CR93" s="402">
        <f t="shared" ref="CR93" ca="1" si="374" xml:space="preserve"> MIN(CR90, CR91) * CR92</f>
        <v>0</v>
      </c>
      <c r="CS93" s="402">
        <f t="shared" ref="CS93" ca="1" si="375" xml:space="preserve"> MIN(CS90, CS91) * CS92</f>
        <v>0</v>
      </c>
      <c r="CT93" s="402">
        <f t="shared" ref="CT93" ca="1" si="376" xml:space="preserve"> MIN(CT90, CT91) * CT92</f>
        <v>0</v>
      </c>
      <c r="CU93" s="402">
        <f t="shared" ref="CU93" ca="1" si="377" xml:space="preserve"> MIN(CU90, CU91) * CU92</f>
        <v>0</v>
      </c>
      <c r="CV93" s="402">
        <f t="shared" ref="CV93" ca="1" si="378" xml:space="preserve"> MIN(CV90, CV91) * CV92</f>
        <v>0</v>
      </c>
    </row>
    <row r="94" spans="1:100" outlineLevel="1" x14ac:dyDescent="0.2">
      <c r="A94" s="141"/>
      <c r="B94" s="141"/>
      <c r="C94" s="142"/>
      <c r="D94" s="143"/>
      <c r="E94" s="187" t="str">
        <f xml:space="preserve"> LEFT(E93, LEN(E93) - 4)</f>
        <v>Share capital redemption - P99</v>
      </c>
      <c r="F94" s="187"/>
      <c r="G94" s="187" t="str">
        <f xml:space="preserve"> SMU</f>
        <v>$ 000s</v>
      </c>
      <c r="H94" s="187">
        <f ca="1" xml:space="preserve"> SUM(J94:CV94)</f>
        <v>0</v>
      </c>
      <c r="I94" s="144"/>
      <c r="J94" s="187">
        <f t="shared" ref="J94:BU94" ca="1" si="379" xml:space="preserve"> -1 * J93</f>
        <v>0</v>
      </c>
      <c r="K94" s="187">
        <f t="shared" ca="1" si="379"/>
        <v>0</v>
      </c>
      <c r="L94" s="187">
        <f t="shared" ca="1" si="379"/>
        <v>0</v>
      </c>
      <c r="M94" s="187">
        <f t="shared" ca="1" si="379"/>
        <v>0</v>
      </c>
      <c r="N94" s="187">
        <f t="shared" ca="1" si="379"/>
        <v>0</v>
      </c>
      <c r="O94" s="187">
        <f t="shared" ca="1" si="379"/>
        <v>0</v>
      </c>
      <c r="P94" s="187">
        <f t="shared" ca="1" si="379"/>
        <v>0</v>
      </c>
      <c r="Q94" s="187">
        <f t="shared" ca="1" si="379"/>
        <v>0</v>
      </c>
      <c r="R94" s="187">
        <f t="shared" ca="1" si="379"/>
        <v>0</v>
      </c>
      <c r="S94" s="187">
        <f t="shared" ca="1" si="379"/>
        <v>0</v>
      </c>
      <c r="T94" s="187">
        <f t="shared" ca="1" si="379"/>
        <v>0</v>
      </c>
      <c r="U94" s="187">
        <f t="shared" ca="1" si="379"/>
        <v>0</v>
      </c>
      <c r="V94" s="187">
        <f t="shared" ca="1" si="379"/>
        <v>0</v>
      </c>
      <c r="W94" s="187">
        <f t="shared" ca="1" si="379"/>
        <v>0</v>
      </c>
      <c r="X94" s="187">
        <f t="shared" ca="1" si="379"/>
        <v>0</v>
      </c>
      <c r="Y94" s="187">
        <f t="shared" ca="1" si="379"/>
        <v>0</v>
      </c>
      <c r="Z94" s="187">
        <f t="shared" ca="1" si="379"/>
        <v>0</v>
      </c>
      <c r="AA94" s="187">
        <f t="shared" ca="1" si="379"/>
        <v>0</v>
      </c>
      <c r="AB94" s="187">
        <f t="shared" ca="1" si="379"/>
        <v>0</v>
      </c>
      <c r="AC94" s="187">
        <f t="shared" ca="1" si="379"/>
        <v>0</v>
      </c>
      <c r="AD94" s="187">
        <f t="shared" ca="1" si="379"/>
        <v>0</v>
      </c>
      <c r="AE94" s="187">
        <f t="shared" ca="1" si="379"/>
        <v>0</v>
      </c>
      <c r="AF94" s="187">
        <f t="shared" ca="1" si="379"/>
        <v>0</v>
      </c>
      <c r="AG94" s="187">
        <f t="shared" ca="1" si="379"/>
        <v>0</v>
      </c>
      <c r="AH94" s="187">
        <f t="shared" ca="1" si="379"/>
        <v>0</v>
      </c>
      <c r="AI94" s="187">
        <f t="shared" ca="1" si="379"/>
        <v>0</v>
      </c>
      <c r="AJ94" s="187">
        <f t="shared" ca="1" si="379"/>
        <v>0</v>
      </c>
      <c r="AK94" s="187">
        <f t="shared" ca="1" si="379"/>
        <v>0</v>
      </c>
      <c r="AL94" s="187">
        <f t="shared" ca="1" si="379"/>
        <v>0</v>
      </c>
      <c r="AM94" s="187">
        <f t="shared" ca="1" si="379"/>
        <v>0</v>
      </c>
      <c r="AN94" s="187">
        <f t="shared" ca="1" si="379"/>
        <v>0</v>
      </c>
      <c r="AO94" s="187">
        <f t="shared" ca="1" si="379"/>
        <v>0</v>
      </c>
      <c r="AP94" s="187">
        <f t="shared" ca="1" si="379"/>
        <v>0</v>
      </c>
      <c r="AQ94" s="187">
        <f t="shared" ca="1" si="379"/>
        <v>0</v>
      </c>
      <c r="AR94" s="187">
        <f t="shared" ca="1" si="379"/>
        <v>0</v>
      </c>
      <c r="AS94" s="187">
        <f t="shared" ca="1" si="379"/>
        <v>0</v>
      </c>
      <c r="AT94" s="187">
        <f t="shared" ca="1" si="379"/>
        <v>0</v>
      </c>
      <c r="AU94" s="187">
        <f t="shared" ca="1" si="379"/>
        <v>0</v>
      </c>
      <c r="AV94" s="187">
        <f t="shared" ca="1" si="379"/>
        <v>0</v>
      </c>
      <c r="AW94" s="187">
        <f t="shared" ca="1" si="379"/>
        <v>0</v>
      </c>
      <c r="AX94" s="187">
        <f t="shared" ca="1" si="379"/>
        <v>0</v>
      </c>
      <c r="AY94" s="187">
        <f t="shared" ca="1" si="379"/>
        <v>0</v>
      </c>
      <c r="AZ94" s="187">
        <f t="shared" ca="1" si="379"/>
        <v>0</v>
      </c>
      <c r="BA94" s="187">
        <f t="shared" ca="1" si="379"/>
        <v>0</v>
      </c>
      <c r="BB94" s="187">
        <f t="shared" ca="1" si="379"/>
        <v>0</v>
      </c>
      <c r="BC94" s="187">
        <f t="shared" ca="1" si="379"/>
        <v>0</v>
      </c>
      <c r="BD94" s="187">
        <f t="shared" ca="1" si="379"/>
        <v>0</v>
      </c>
      <c r="BE94" s="187">
        <f t="shared" ca="1" si="379"/>
        <v>0</v>
      </c>
      <c r="BF94" s="187">
        <f t="shared" ca="1" si="379"/>
        <v>0</v>
      </c>
      <c r="BG94" s="187">
        <f t="shared" ca="1" si="379"/>
        <v>0</v>
      </c>
      <c r="BH94" s="187">
        <f t="shared" ca="1" si="379"/>
        <v>0</v>
      </c>
      <c r="BI94" s="187">
        <f t="shared" ca="1" si="379"/>
        <v>0</v>
      </c>
      <c r="BJ94" s="187">
        <f t="shared" ca="1" si="379"/>
        <v>0</v>
      </c>
      <c r="BK94" s="187">
        <f t="shared" ca="1" si="379"/>
        <v>0</v>
      </c>
      <c r="BL94" s="187">
        <f t="shared" ca="1" si="379"/>
        <v>0</v>
      </c>
      <c r="BM94" s="187">
        <f t="shared" ca="1" si="379"/>
        <v>0</v>
      </c>
      <c r="BN94" s="187">
        <f t="shared" ca="1" si="379"/>
        <v>0</v>
      </c>
      <c r="BO94" s="187">
        <f t="shared" ca="1" si="379"/>
        <v>0</v>
      </c>
      <c r="BP94" s="187">
        <f t="shared" ca="1" si="379"/>
        <v>0</v>
      </c>
      <c r="BQ94" s="187">
        <f t="shared" ca="1" si="379"/>
        <v>0</v>
      </c>
      <c r="BR94" s="187">
        <f t="shared" ca="1" si="379"/>
        <v>0</v>
      </c>
      <c r="BS94" s="187">
        <f t="shared" ca="1" si="379"/>
        <v>0</v>
      </c>
      <c r="BT94" s="187">
        <f t="shared" ca="1" si="379"/>
        <v>0</v>
      </c>
      <c r="BU94" s="187">
        <f t="shared" ca="1" si="379"/>
        <v>0</v>
      </c>
      <c r="BV94" s="187">
        <f t="shared" ref="BV94:CV94" ca="1" si="380" xml:space="preserve"> -1 * BV93</f>
        <v>0</v>
      </c>
      <c r="BW94" s="187">
        <f t="shared" ca="1" si="380"/>
        <v>0</v>
      </c>
      <c r="BX94" s="187">
        <f t="shared" ca="1" si="380"/>
        <v>0</v>
      </c>
      <c r="BY94" s="187">
        <f t="shared" ca="1" si="380"/>
        <v>0</v>
      </c>
      <c r="BZ94" s="187">
        <f t="shared" ca="1" si="380"/>
        <v>0</v>
      </c>
      <c r="CA94" s="187">
        <f t="shared" ca="1" si="380"/>
        <v>0</v>
      </c>
      <c r="CB94" s="187">
        <f t="shared" ca="1" si="380"/>
        <v>0</v>
      </c>
      <c r="CC94" s="187">
        <f t="shared" ca="1" si="380"/>
        <v>0</v>
      </c>
      <c r="CD94" s="187">
        <f t="shared" ca="1" si="380"/>
        <v>0</v>
      </c>
      <c r="CE94" s="187">
        <f t="shared" ca="1" si="380"/>
        <v>0</v>
      </c>
      <c r="CF94" s="187">
        <f t="shared" ca="1" si="380"/>
        <v>0</v>
      </c>
      <c r="CG94" s="187">
        <f t="shared" ca="1" si="380"/>
        <v>0</v>
      </c>
      <c r="CH94" s="187">
        <f t="shared" ca="1" si="380"/>
        <v>0</v>
      </c>
      <c r="CI94" s="187">
        <f t="shared" ca="1" si="380"/>
        <v>0</v>
      </c>
      <c r="CJ94" s="187">
        <f t="shared" ca="1" si="380"/>
        <v>0</v>
      </c>
      <c r="CK94" s="187">
        <f t="shared" ca="1" si="380"/>
        <v>0</v>
      </c>
      <c r="CL94" s="187">
        <f t="shared" ca="1" si="380"/>
        <v>0</v>
      </c>
      <c r="CM94" s="187">
        <f t="shared" ca="1" si="380"/>
        <v>0</v>
      </c>
      <c r="CN94" s="187">
        <f t="shared" ca="1" si="380"/>
        <v>0</v>
      </c>
      <c r="CO94" s="187">
        <f t="shared" ca="1" si="380"/>
        <v>0</v>
      </c>
      <c r="CP94" s="187">
        <f t="shared" ca="1" si="380"/>
        <v>0</v>
      </c>
      <c r="CQ94" s="187">
        <f t="shared" ca="1" si="380"/>
        <v>0</v>
      </c>
      <c r="CR94" s="187">
        <f t="shared" ca="1" si="380"/>
        <v>0</v>
      </c>
      <c r="CS94" s="187">
        <f t="shared" ca="1" si="380"/>
        <v>0</v>
      </c>
      <c r="CT94" s="187">
        <f t="shared" ca="1" si="380"/>
        <v>0</v>
      </c>
      <c r="CU94" s="187">
        <f t="shared" ca="1" si="380"/>
        <v>0</v>
      </c>
      <c r="CV94" s="187">
        <f t="shared" ca="1" si="380"/>
        <v>0</v>
      </c>
    </row>
    <row r="95" spans="1:100" outlineLevel="1" x14ac:dyDescent="0.2"/>
    <row r="96" spans="1:100" s="502" customFormat="1" outlineLevel="1" x14ac:dyDescent="0.2">
      <c r="A96" s="216"/>
      <c r="B96" s="216"/>
      <c r="C96" s="217"/>
      <c r="D96" s="218"/>
      <c r="E96" s="219" t="s">
        <v>1226</v>
      </c>
      <c r="F96" s="219"/>
      <c r="G96" s="219" t="str">
        <f xml:space="preserve"> SMU</f>
        <v>$ 000s</v>
      </c>
      <c r="H96" s="219"/>
      <c r="I96" s="220"/>
      <c r="J96" s="219">
        <f t="shared" ref="J96" si="381">I99</f>
        <v>0</v>
      </c>
      <c r="K96" s="219">
        <f t="shared" ref="K96" ca="1" si="382">J99</f>
        <v>100</v>
      </c>
      <c r="L96" s="219">
        <f t="shared" ref="L96" ca="1" si="383">K99</f>
        <v>100</v>
      </c>
      <c r="M96" s="219">
        <f t="shared" ref="M96" ca="1" si="384">L99</f>
        <v>100</v>
      </c>
      <c r="N96" s="219">
        <f t="shared" ref="N96" ca="1" si="385">M99</f>
        <v>100</v>
      </c>
      <c r="O96" s="219">
        <f t="shared" ref="O96" ca="1" si="386">N99</f>
        <v>100</v>
      </c>
      <c r="P96" s="219">
        <f t="shared" ref="P96" ca="1" si="387">O99</f>
        <v>100</v>
      </c>
      <c r="Q96" s="219">
        <f t="shared" ref="Q96" ca="1" si="388">P99</f>
        <v>100</v>
      </c>
      <c r="R96" s="219">
        <f t="shared" ref="R96" ca="1" si="389">Q99</f>
        <v>100</v>
      </c>
      <c r="S96" s="219">
        <f t="shared" ref="S96" ca="1" si="390">R99</f>
        <v>100</v>
      </c>
      <c r="T96" s="219">
        <f t="shared" ref="T96" ca="1" si="391">S99</f>
        <v>100</v>
      </c>
      <c r="U96" s="219">
        <f t="shared" ref="U96" ca="1" si="392">T99</f>
        <v>100</v>
      </c>
      <c r="V96" s="219">
        <f t="shared" ref="V96" ca="1" si="393">U99</f>
        <v>100</v>
      </c>
      <c r="W96" s="219">
        <f t="shared" ref="W96" ca="1" si="394">V99</f>
        <v>100</v>
      </c>
      <c r="X96" s="219">
        <f t="shared" ref="X96" ca="1" si="395">W99</f>
        <v>100</v>
      </c>
      <c r="Y96" s="219">
        <f t="shared" ref="Y96" ca="1" si="396">X99</f>
        <v>100</v>
      </c>
      <c r="Z96" s="219">
        <f t="shared" ref="Z96" ca="1" si="397">Y99</f>
        <v>100</v>
      </c>
      <c r="AA96" s="219">
        <f t="shared" ref="AA96" ca="1" si="398">Z99</f>
        <v>100</v>
      </c>
      <c r="AB96" s="219">
        <f t="shared" ref="AB96" ca="1" si="399">AA99</f>
        <v>100</v>
      </c>
      <c r="AC96" s="219">
        <f t="shared" ref="AC96" ca="1" si="400">AB99</f>
        <v>100</v>
      </c>
      <c r="AD96" s="219">
        <f t="shared" ref="AD96" ca="1" si="401">AC99</f>
        <v>100</v>
      </c>
      <c r="AE96" s="219">
        <f t="shared" ref="AE96" ca="1" si="402">AD99</f>
        <v>100</v>
      </c>
      <c r="AF96" s="219">
        <f t="shared" ref="AF96" ca="1" si="403">AE99</f>
        <v>100</v>
      </c>
      <c r="AG96" s="219">
        <f t="shared" ref="AG96" ca="1" si="404">AF99</f>
        <v>100</v>
      </c>
      <c r="AH96" s="219">
        <f t="shared" ref="AH96" ca="1" si="405">AG99</f>
        <v>100</v>
      </c>
      <c r="AI96" s="219">
        <f t="shared" ref="AI96" ca="1" si="406">AH99</f>
        <v>100</v>
      </c>
      <c r="AJ96" s="219">
        <f t="shared" ref="AJ96" ca="1" si="407">AI99</f>
        <v>100</v>
      </c>
      <c r="AK96" s="219">
        <f t="shared" ref="AK96" ca="1" si="408">AJ99</f>
        <v>100</v>
      </c>
      <c r="AL96" s="219">
        <f t="shared" ref="AL96" ca="1" si="409">AK99</f>
        <v>100</v>
      </c>
      <c r="AM96" s="219">
        <f t="shared" ref="AM96" ca="1" si="410">AL99</f>
        <v>100</v>
      </c>
      <c r="AN96" s="219">
        <f t="shared" ref="AN96" ca="1" si="411">AM99</f>
        <v>100</v>
      </c>
      <c r="AO96" s="219">
        <f t="shared" ref="AO96" ca="1" si="412">AN99</f>
        <v>100</v>
      </c>
      <c r="AP96" s="219">
        <f t="shared" ref="AP96" ca="1" si="413">AO99</f>
        <v>100</v>
      </c>
      <c r="AQ96" s="219">
        <f t="shared" ref="AQ96" ca="1" si="414">AP99</f>
        <v>100</v>
      </c>
      <c r="AR96" s="219">
        <f t="shared" ref="AR96" ca="1" si="415">AQ99</f>
        <v>100</v>
      </c>
      <c r="AS96" s="219">
        <f t="shared" ref="AS96" ca="1" si="416">AR99</f>
        <v>100</v>
      </c>
      <c r="AT96" s="219">
        <f t="shared" ref="AT96" ca="1" si="417">AS99</f>
        <v>100</v>
      </c>
      <c r="AU96" s="219">
        <f t="shared" ref="AU96" ca="1" si="418">AT99</f>
        <v>100</v>
      </c>
      <c r="AV96" s="219">
        <f t="shared" ref="AV96" ca="1" si="419">AU99</f>
        <v>100</v>
      </c>
      <c r="AW96" s="219">
        <f t="shared" ref="AW96" ca="1" si="420">AV99</f>
        <v>100</v>
      </c>
      <c r="AX96" s="219">
        <f t="shared" ref="AX96" ca="1" si="421">AW99</f>
        <v>100</v>
      </c>
      <c r="AY96" s="219">
        <f t="shared" ref="AY96" ca="1" si="422">AX99</f>
        <v>100</v>
      </c>
      <c r="AZ96" s="219">
        <f t="shared" ref="AZ96" ca="1" si="423">AY99</f>
        <v>100</v>
      </c>
      <c r="BA96" s="219">
        <f t="shared" ref="BA96" ca="1" si="424">AZ99</f>
        <v>100</v>
      </c>
      <c r="BB96" s="219">
        <f t="shared" ref="BB96" ca="1" si="425">BA99</f>
        <v>100</v>
      </c>
      <c r="BC96" s="219">
        <f t="shared" ref="BC96" ca="1" si="426">BB99</f>
        <v>100</v>
      </c>
      <c r="BD96" s="219">
        <f t="shared" ref="BD96" ca="1" si="427">BC99</f>
        <v>100</v>
      </c>
      <c r="BE96" s="219">
        <f t="shared" ref="BE96" ca="1" si="428">BD99</f>
        <v>100</v>
      </c>
      <c r="BF96" s="219">
        <f t="shared" ref="BF96" ca="1" si="429">BE99</f>
        <v>100</v>
      </c>
      <c r="BG96" s="219">
        <f t="shared" ref="BG96" ca="1" si="430">BF99</f>
        <v>100</v>
      </c>
      <c r="BH96" s="219">
        <f t="shared" ref="BH96" ca="1" si="431">BG99</f>
        <v>100</v>
      </c>
      <c r="BI96" s="219">
        <f t="shared" ref="BI96" ca="1" si="432">BH99</f>
        <v>100</v>
      </c>
      <c r="BJ96" s="219">
        <f t="shared" ref="BJ96" ca="1" si="433">BI99</f>
        <v>100</v>
      </c>
      <c r="BK96" s="219">
        <f t="shared" ref="BK96" ca="1" si="434">BJ99</f>
        <v>100</v>
      </c>
      <c r="BL96" s="219">
        <f t="shared" ref="BL96" ca="1" si="435">BK99</f>
        <v>100</v>
      </c>
      <c r="BM96" s="219">
        <f t="shared" ref="BM96" ca="1" si="436">BL99</f>
        <v>100</v>
      </c>
      <c r="BN96" s="219">
        <f t="shared" ref="BN96" ca="1" si="437">BM99</f>
        <v>100</v>
      </c>
      <c r="BO96" s="219">
        <f t="shared" ref="BO96" ca="1" si="438">BN99</f>
        <v>100</v>
      </c>
      <c r="BP96" s="219">
        <f t="shared" ref="BP96" ca="1" si="439">BO99</f>
        <v>100</v>
      </c>
      <c r="BQ96" s="219">
        <f t="shared" ref="BQ96" ca="1" si="440">BP99</f>
        <v>100</v>
      </c>
      <c r="BR96" s="219">
        <f t="shared" ref="BR96" ca="1" si="441">BQ99</f>
        <v>100</v>
      </c>
      <c r="BS96" s="219">
        <f t="shared" ref="BS96" ca="1" si="442">BR99</f>
        <v>100</v>
      </c>
      <c r="BT96" s="219">
        <f t="shared" ref="BT96" ca="1" si="443">BS99</f>
        <v>100</v>
      </c>
      <c r="BU96" s="219">
        <f t="shared" ref="BU96" ca="1" si="444">BT99</f>
        <v>100</v>
      </c>
      <c r="BV96" s="219">
        <f t="shared" ref="BV96" ca="1" si="445">BU99</f>
        <v>100</v>
      </c>
      <c r="BW96" s="219">
        <f t="shared" ref="BW96" ca="1" si="446">BV99</f>
        <v>100</v>
      </c>
      <c r="BX96" s="219">
        <f t="shared" ref="BX96" ca="1" si="447">BW99</f>
        <v>100</v>
      </c>
      <c r="BY96" s="219">
        <f t="shared" ref="BY96" ca="1" si="448">BX99</f>
        <v>100</v>
      </c>
      <c r="BZ96" s="219">
        <f t="shared" ref="BZ96" ca="1" si="449">BY99</f>
        <v>100</v>
      </c>
      <c r="CA96" s="219">
        <f t="shared" ref="CA96" ca="1" si="450">BZ99</f>
        <v>100</v>
      </c>
      <c r="CB96" s="219">
        <f t="shared" ref="CB96" ca="1" si="451">CA99</f>
        <v>100</v>
      </c>
      <c r="CC96" s="219">
        <f t="shared" ref="CC96" ca="1" si="452">CB99</f>
        <v>100</v>
      </c>
      <c r="CD96" s="219">
        <f t="shared" ref="CD96" ca="1" si="453">CC99</f>
        <v>100</v>
      </c>
      <c r="CE96" s="219">
        <f t="shared" ref="CE96" ca="1" si="454">CD99</f>
        <v>100</v>
      </c>
      <c r="CF96" s="219">
        <f t="shared" ref="CF96" ca="1" si="455">CE99</f>
        <v>100</v>
      </c>
      <c r="CG96" s="219">
        <f t="shared" ref="CG96" ca="1" si="456">CF99</f>
        <v>100</v>
      </c>
      <c r="CH96" s="219">
        <f t="shared" ref="CH96" ca="1" si="457">CG99</f>
        <v>100</v>
      </c>
      <c r="CI96" s="219">
        <f t="shared" ref="CI96" ca="1" si="458">CH99</f>
        <v>100</v>
      </c>
      <c r="CJ96" s="219">
        <f t="shared" ref="CJ96" ca="1" si="459">CI99</f>
        <v>100</v>
      </c>
      <c r="CK96" s="219">
        <f t="shared" ref="CK96" ca="1" si="460">CJ99</f>
        <v>100</v>
      </c>
      <c r="CL96" s="219">
        <f t="shared" ref="CL96" ca="1" si="461">CK99</f>
        <v>100</v>
      </c>
      <c r="CM96" s="219">
        <f t="shared" ref="CM96" ca="1" si="462">CL99</f>
        <v>100</v>
      </c>
      <c r="CN96" s="219">
        <f t="shared" ref="CN96" ca="1" si="463">CM99</f>
        <v>100</v>
      </c>
      <c r="CO96" s="219">
        <f t="shared" ref="CO96" ca="1" si="464">CN99</f>
        <v>100</v>
      </c>
      <c r="CP96" s="219">
        <f t="shared" ref="CP96" ca="1" si="465">CO99</f>
        <v>100</v>
      </c>
      <c r="CQ96" s="219">
        <f t="shared" ref="CQ96" ca="1" si="466">CP99</f>
        <v>100</v>
      </c>
      <c r="CR96" s="219">
        <f t="shared" ref="CR96" ca="1" si="467">CQ99</f>
        <v>100</v>
      </c>
      <c r="CS96" s="219">
        <f t="shared" ref="CS96" ca="1" si="468">CR99</f>
        <v>100</v>
      </c>
      <c r="CT96" s="219">
        <f t="shared" ref="CT96" ca="1" si="469">CS99</f>
        <v>100</v>
      </c>
      <c r="CU96" s="219">
        <f t="shared" ref="CU96" ca="1" si="470">CT99</f>
        <v>100</v>
      </c>
      <c r="CV96" s="219">
        <f t="shared" ref="CV96" ca="1" si="471">CU99</f>
        <v>100</v>
      </c>
    </row>
    <row r="97" spans="1:100" s="498" customFormat="1" outlineLevel="1" x14ac:dyDescent="0.2">
      <c r="A97" s="15"/>
      <c r="B97" s="15"/>
      <c r="C97" s="21"/>
      <c r="D97" s="48"/>
      <c r="E97" s="501" t="str">
        <f xml:space="preserve"> ConFin!E$621</f>
        <v>Share capital drawdown</v>
      </c>
      <c r="F97" s="501">
        <f xml:space="preserve"> ConFin!F$621</f>
        <v>0</v>
      </c>
      <c r="G97" s="501" t="str">
        <f xml:space="preserve"> ConFin!G$621</f>
        <v>$ 000s</v>
      </c>
      <c r="H97" s="501">
        <f xml:space="preserve"> ConFin!H$621</f>
        <v>100</v>
      </c>
      <c r="I97" s="501">
        <f xml:space="preserve"> ConFin!I$621</f>
        <v>0</v>
      </c>
      <c r="J97" s="501">
        <f xml:space="preserve"> ConFin!J$621</f>
        <v>100</v>
      </c>
      <c r="K97" s="501">
        <f xml:space="preserve"> ConFin!K$621</f>
        <v>0</v>
      </c>
      <c r="L97" s="501">
        <f xml:space="preserve"> ConFin!L$621</f>
        <v>0</v>
      </c>
      <c r="M97" s="501">
        <f xml:space="preserve"> ConFin!M$621</f>
        <v>0</v>
      </c>
      <c r="N97" s="501">
        <f xml:space="preserve"> ConFin!N$621</f>
        <v>0</v>
      </c>
      <c r="O97" s="501">
        <f xml:space="preserve"> ConFin!O$621</f>
        <v>0</v>
      </c>
      <c r="P97" s="501">
        <f xml:space="preserve"> ConFin!P$621</f>
        <v>0</v>
      </c>
      <c r="Q97" s="501">
        <f xml:space="preserve"> ConFin!Q$621</f>
        <v>0</v>
      </c>
      <c r="R97" s="501">
        <f xml:space="preserve"> ConFin!R$621</f>
        <v>0</v>
      </c>
      <c r="S97" s="501">
        <f xml:space="preserve"> ConFin!S$621</f>
        <v>0</v>
      </c>
      <c r="T97" s="501">
        <f xml:space="preserve"> ConFin!T$621</f>
        <v>0</v>
      </c>
      <c r="U97" s="501">
        <f xml:space="preserve"> ConFin!U$621</f>
        <v>0</v>
      </c>
      <c r="V97" s="501">
        <f xml:space="preserve"> ConFin!V$621</f>
        <v>0</v>
      </c>
      <c r="W97" s="501">
        <f xml:space="preserve"> ConFin!W$621</f>
        <v>0</v>
      </c>
      <c r="X97" s="501">
        <f xml:space="preserve"> ConFin!X$621</f>
        <v>0</v>
      </c>
      <c r="Y97" s="501">
        <f xml:space="preserve"> ConFin!Y$621</f>
        <v>0</v>
      </c>
      <c r="Z97" s="501">
        <f xml:space="preserve"> ConFin!Z$621</f>
        <v>0</v>
      </c>
      <c r="AA97" s="501">
        <f xml:space="preserve"> ConFin!AA$621</f>
        <v>0</v>
      </c>
      <c r="AB97" s="501">
        <f xml:space="preserve"> ConFin!AB$621</f>
        <v>0</v>
      </c>
      <c r="AC97" s="501">
        <f xml:space="preserve"> ConFin!AC$621</f>
        <v>0</v>
      </c>
      <c r="AD97" s="501">
        <f xml:space="preserve"> ConFin!AD$621</f>
        <v>0</v>
      </c>
      <c r="AE97" s="501">
        <f xml:space="preserve"> ConFin!AE$621</f>
        <v>0</v>
      </c>
      <c r="AF97" s="501">
        <f xml:space="preserve"> ConFin!AF$621</f>
        <v>0</v>
      </c>
      <c r="AG97" s="501">
        <f xml:space="preserve"> ConFin!AG$621</f>
        <v>0</v>
      </c>
      <c r="AH97" s="501">
        <f xml:space="preserve"> ConFin!AH$621</f>
        <v>0</v>
      </c>
      <c r="AI97" s="501">
        <f xml:space="preserve"> ConFin!AI$621</f>
        <v>0</v>
      </c>
      <c r="AJ97" s="501">
        <f xml:space="preserve"> ConFin!AJ$621</f>
        <v>0</v>
      </c>
      <c r="AK97" s="501">
        <f xml:space="preserve"> ConFin!AK$621</f>
        <v>0</v>
      </c>
      <c r="AL97" s="501">
        <f xml:space="preserve"> ConFin!AL$621</f>
        <v>0</v>
      </c>
      <c r="AM97" s="501">
        <f xml:space="preserve"> ConFin!AM$621</f>
        <v>0</v>
      </c>
      <c r="AN97" s="501">
        <f xml:space="preserve"> ConFin!AN$621</f>
        <v>0</v>
      </c>
      <c r="AO97" s="501">
        <f xml:space="preserve"> ConFin!AO$621</f>
        <v>0</v>
      </c>
      <c r="AP97" s="501">
        <f xml:space="preserve"> ConFin!AP$621</f>
        <v>0</v>
      </c>
      <c r="AQ97" s="501">
        <f xml:space="preserve"> ConFin!AQ$621</f>
        <v>0</v>
      </c>
      <c r="AR97" s="501">
        <f xml:space="preserve"> ConFin!AR$621</f>
        <v>0</v>
      </c>
      <c r="AS97" s="501">
        <f xml:space="preserve"> ConFin!AS$621</f>
        <v>0</v>
      </c>
      <c r="AT97" s="501">
        <f xml:space="preserve"> ConFin!AT$621</f>
        <v>0</v>
      </c>
      <c r="AU97" s="501">
        <f xml:space="preserve"> ConFin!AU$621</f>
        <v>0</v>
      </c>
      <c r="AV97" s="501">
        <f xml:space="preserve"> ConFin!AV$621</f>
        <v>0</v>
      </c>
      <c r="AW97" s="501">
        <f xml:space="preserve"> ConFin!AW$621</f>
        <v>0</v>
      </c>
      <c r="AX97" s="501">
        <f xml:space="preserve"> ConFin!AX$621</f>
        <v>0</v>
      </c>
      <c r="AY97" s="501">
        <f xml:space="preserve"> ConFin!AY$621</f>
        <v>0</v>
      </c>
      <c r="AZ97" s="501">
        <f xml:space="preserve"> ConFin!AZ$621</f>
        <v>0</v>
      </c>
      <c r="BA97" s="501">
        <f xml:space="preserve"> ConFin!BA$621</f>
        <v>0</v>
      </c>
      <c r="BB97" s="501">
        <f xml:space="preserve"> ConFin!BB$621</f>
        <v>0</v>
      </c>
      <c r="BC97" s="501">
        <f xml:space="preserve"> ConFin!BC$621</f>
        <v>0</v>
      </c>
      <c r="BD97" s="501">
        <f xml:space="preserve"> ConFin!BD$621</f>
        <v>0</v>
      </c>
      <c r="BE97" s="501">
        <f xml:space="preserve"> ConFin!BE$621</f>
        <v>0</v>
      </c>
      <c r="BF97" s="501">
        <f xml:space="preserve"> ConFin!BF$621</f>
        <v>0</v>
      </c>
      <c r="BG97" s="501">
        <f xml:space="preserve"> ConFin!BG$621</f>
        <v>0</v>
      </c>
      <c r="BH97" s="501">
        <f xml:space="preserve"> ConFin!BH$621</f>
        <v>0</v>
      </c>
      <c r="BI97" s="501">
        <f xml:space="preserve"> ConFin!BI$621</f>
        <v>0</v>
      </c>
      <c r="BJ97" s="501">
        <f xml:space="preserve"> ConFin!BJ$621</f>
        <v>0</v>
      </c>
      <c r="BK97" s="501">
        <f xml:space="preserve"> ConFin!BK$621</f>
        <v>0</v>
      </c>
      <c r="BL97" s="501">
        <f xml:space="preserve"> ConFin!BL$621</f>
        <v>0</v>
      </c>
      <c r="BM97" s="501">
        <f xml:space="preserve"> ConFin!BM$621</f>
        <v>0</v>
      </c>
      <c r="BN97" s="501">
        <f xml:space="preserve"> ConFin!BN$621</f>
        <v>0</v>
      </c>
      <c r="BO97" s="501">
        <f xml:space="preserve"> ConFin!BO$621</f>
        <v>0</v>
      </c>
      <c r="BP97" s="501">
        <f xml:space="preserve"> ConFin!BP$621</f>
        <v>0</v>
      </c>
      <c r="BQ97" s="501">
        <f xml:space="preserve"> ConFin!BQ$621</f>
        <v>0</v>
      </c>
      <c r="BR97" s="501">
        <f xml:space="preserve"> ConFin!BR$621</f>
        <v>0</v>
      </c>
      <c r="BS97" s="501">
        <f xml:space="preserve"> ConFin!BS$621</f>
        <v>0</v>
      </c>
      <c r="BT97" s="501">
        <f xml:space="preserve"> ConFin!BT$621</f>
        <v>0</v>
      </c>
      <c r="BU97" s="501">
        <f xml:space="preserve"> ConFin!BU$621</f>
        <v>0</v>
      </c>
      <c r="BV97" s="501">
        <f xml:space="preserve"> ConFin!BV$621</f>
        <v>0</v>
      </c>
      <c r="BW97" s="501">
        <f xml:space="preserve"> ConFin!BW$621</f>
        <v>0</v>
      </c>
      <c r="BX97" s="501">
        <f xml:space="preserve"> ConFin!BX$621</f>
        <v>0</v>
      </c>
      <c r="BY97" s="501">
        <f xml:space="preserve"> ConFin!BY$621</f>
        <v>0</v>
      </c>
      <c r="BZ97" s="501">
        <f xml:space="preserve"> ConFin!BZ$621</f>
        <v>0</v>
      </c>
      <c r="CA97" s="501">
        <f xml:space="preserve"> ConFin!CA$621</f>
        <v>0</v>
      </c>
      <c r="CB97" s="501">
        <f xml:space="preserve"> ConFin!CB$621</f>
        <v>0</v>
      </c>
      <c r="CC97" s="501">
        <f xml:space="preserve"> ConFin!CC$621</f>
        <v>0</v>
      </c>
      <c r="CD97" s="501">
        <f xml:space="preserve"> ConFin!CD$621</f>
        <v>0</v>
      </c>
      <c r="CE97" s="501">
        <f xml:space="preserve"> ConFin!CE$621</f>
        <v>0</v>
      </c>
      <c r="CF97" s="501">
        <f xml:space="preserve"> ConFin!CF$621</f>
        <v>0</v>
      </c>
      <c r="CG97" s="501">
        <f xml:space="preserve"> ConFin!CG$621</f>
        <v>0</v>
      </c>
      <c r="CH97" s="501">
        <f xml:space="preserve"> ConFin!CH$621</f>
        <v>0</v>
      </c>
      <c r="CI97" s="501">
        <f xml:space="preserve"> ConFin!CI$621</f>
        <v>0</v>
      </c>
      <c r="CJ97" s="501">
        <f xml:space="preserve"> ConFin!CJ$621</f>
        <v>0</v>
      </c>
      <c r="CK97" s="501">
        <f xml:space="preserve"> ConFin!CK$621</f>
        <v>0</v>
      </c>
      <c r="CL97" s="501">
        <f xml:space="preserve"> ConFin!CL$621</f>
        <v>0</v>
      </c>
      <c r="CM97" s="501">
        <f xml:space="preserve"> ConFin!CM$621</f>
        <v>0</v>
      </c>
      <c r="CN97" s="501">
        <f xml:space="preserve"> ConFin!CN$621</f>
        <v>0</v>
      </c>
      <c r="CO97" s="501">
        <f xml:space="preserve"> ConFin!CO$621</f>
        <v>0</v>
      </c>
      <c r="CP97" s="501">
        <f xml:space="preserve"> ConFin!CP$621</f>
        <v>0</v>
      </c>
      <c r="CQ97" s="501">
        <f xml:space="preserve"> ConFin!CQ$621</f>
        <v>0</v>
      </c>
      <c r="CR97" s="501">
        <f xml:space="preserve"> ConFin!CR$621</f>
        <v>0</v>
      </c>
      <c r="CS97" s="501">
        <f xml:space="preserve"> ConFin!CS$621</f>
        <v>0</v>
      </c>
      <c r="CT97" s="501">
        <f xml:space="preserve"> ConFin!CT$621</f>
        <v>0</v>
      </c>
      <c r="CU97" s="501">
        <f xml:space="preserve"> ConFin!CU$621</f>
        <v>0</v>
      </c>
      <c r="CV97" s="501">
        <f xml:space="preserve"> ConFin!CV$621</f>
        <v>0</v>
      </c>
    </row>
    <row r="98" spans="1:100" s="498" customFormat="1" outlineLevel="1" x14ac:dyDescent="0.2">
      <c r="A98" s="15"/>
      <c r="B98" s="15"/>
      <c r="C98" s="21"/>
      <c r="D98" s="48"/>
      <c r="E98" s="126" t="str">
        <f t="shared" ref="E98:AJ98" si="472" xml:space="preserve"> E$93</f>
        <v>Share capital redemption - P99 POS</v>
      </c>
      <c r="F98" s="126">
        <f t="shared" si="472"/>
        <v>0</v>
      </c>
      <c r="G98" s="126" t="str">
        <f t="shared" si="472"/>
        <v>$ 000s</v>
      </c>
      <c r="H98" s="126">
        <f t="shared" ca="1" si="472"/>
        <v>0</v>
      </c>
      <c r="I98" s="126">
        <f t="shared" si="472"/>
        <v>0</v>
      </c>
      <c r="J98" s="126">
        <f t="shared" ca="1" si="472"/>
        <v>0</v>
      </c>
      <c r="K98" s="126">
        <f t="shared" ca="1" si="472"/>
        <v>0</v>
      </c>
      <c r="L98" s="126">
        <f t="shared" ca="1" si="472"/>
        <v>0</v>
      </c>
      <c r="M98" s="126">
        <f t="shared" ca="1" si="472"/>
        <v>0</v>
      </c>
      <c r="N98" s="126">
        <f t="shared" ca="1" si="472"/>
        <v>0</v>
      </c>
      <c r="O98" s="126">
        <f t="shared" ca="1" si="472"/>
        <v>0</v>
      </c>
      <c r="P98" s="126">
        <f t="shared" ca="1" si="472"/>
        <v>0</v>
      </c>
      <c r="Q98" s="126">
        <f t="shared" ca="1" si="472"/>
        <v>0</v>
      </c>
      <c r="R98" s="126">
        <f t="shared" ca="1" si="472"/>
        <v>0</v>
      </c>
      <c r="S98" s="126">
        <f t="shared" ca="1" si="472"/>
        <v>0</v>
      </c>
      <c r="T98" s="126">
        <f t="shared" ca="1" si="472"/>
        <v>0</v>
      </c>
      <c r="U98" s="126">
        <f t="shared" ca="1" si="472"/>
        <v>0</v>
      </c>
      <c r="V98" s="126">
        <f t="shared" ca="1" si="472"/>
        <v>0</v>
      </c>
      <c r="W98" s="126">
        <f t="shared" ca="1" si="472"/>
        <v>0</v>
      </c>
      <c r="X98" s="126">
        <f t="shared" ca="1" si="472"/>
        <v>0</v>
      </c>
      <c r="Y98" s="126">
        <f t="shared" ca="1" si="472"/>
        <v>0</v>
      </c>
      <c r="Z98" s="126">
        <f t="shared" ca="1" si="472"/>
        <v>0</v>
      </c>
      <c r="AA98" s="126">
        <f t="shared" ca="1" si="472"/>
        <v>0</v>
      </c>
      <c r="AB98" s="126">
        <f t="shared" ca="1" si="472"/>
        <v>0</v>
      </c>
      <c r="AC98" s="126">
        <f t="shared" ca="1" si="472"/>
        <v>0</v>
      </c>
      <c r="AD98" s="126">
        <f t="shared" ca="1" si="472"/>
        <v>0</v>
      </c>
      <c r="AE98" s="126">
        <f t="shared" ca="1" si="472"/>
        <v>0</v>
      </c>
      <c r="AF98" s="126">
        <f t="shared" ca="1" si="472"/>
        <v>0</v>
      </c>
      <c r="AG98" s="126">
        <f t="shared" ca="1" si="472"/>
        <v>0</v>
      </c>
      <c r="AH98" s="126">
        <f t="shared" ca="1" si="472"/>
        <v>0</v>
      </c>
      <c r="AI98" s="126">
        <f t="shared" ca="1" si="472"/>
        <v>0</v>
      </c>
      <c r="AJ98" s="126">
        <f t="shared" ca="1" si="472"/>
        <v>0</v>
      </c>
      <c r="AK98" s="126">
        <f t="shared" ref="AK98:BP98" ca="1" si="473" xml:space="preserve"> AK$93</f>
        <v>0</v>
      </c>
      <c r="AL98" s="126">
        <f t="shared" ca="1" si="473"/>
        <v>0</v>
      </c>
      <c r="AM98" s="126">
        <f t="shared" ca="1" si="473"/>
        <v>0</v>
      </c>
      <c r="AN98" s="126">
        <f t="shared" ca="1" si="473"/>
        <v>0</v>
      </c>
      <c r="AO98" s="126">
        <f t="shared" ca="1" si="473"/>
        <v>0</v>
      </c>
      <c r="AP98" s="126">
        <f t="shared" ca="1" si="473"/>
        <v>0</v>
      </c>
      <c r="AQ98" s="126">
        <f t="shared" ca="1" si="473"/>
        <v>0</v>
      </c>
      <c r="AR98" s="126">
        <f t="shared" ca="1" si="473"/>
        <v>0</v>
      </c>
      <c r="AS98" s="126">
        <f t="shared" ca="1" si="473"/>
        <v>0</v>
      </c>
      <c r="AT98" s="126">
        <f t="shared" ca="1" si="473"/>
        <v>0</v>
      </c>
      <c r="AU98" s="126">
        <f t="shared" ca="1" si="473"/>
        <v>0</v>
      </c>
      <c r="AV98" s="126">
        <f t="shared" ca="1" si="473"/>
        <v>0</v>
      </c>
      <c r="AW98" s="126">
        <f t="shared" ca="1" si="473"/>
        <v>0</v>
      </c>
      <c r="AX98" s="126">
        <f t="shared" ca="1" si="473"/>
        <v>0</v>
      </c>
      <c r="AY98" s="126">
        <f t="shared" ca="1" si="473"/>
        <v>0</v>
      </c>
      <c r="AZ98" s="126">
        <f t="shared" ca="1" si="473"/>
        <v>0</v>
      </c>
      <c r="BA98" s="126">
        <f t="shared" ca="1" si="473"/>
        <v>0</v>
      </c>
      <c r="BB98" s="126">
        <f t="shared" ca="1" si="473"/>
        <v>0</v>
      </c>
      <c r="BC98" s="126">
        <f t="shared" ca="1" si="473"/>
        <v>0</v>
      </c>
      <c r="BD98" s="126">
        <f t="shared" ca="1" si="473"/>
        <v>0</v>
      </c>
      <c r="BE98" s="126">
        <f t="shared" ca="1" si="473"/>
        <v>0</v>
      </c>
      <c r="BF98" s="126">
        <f t="shared" ca="1" si="473"/>
        <v>0</v>
      </c>
      <c r="BG98" s="126">
        <f t="shared" ca="1" si="473"/>
        <v>0</v>
      </c>
      <c r="BH98" s="126">
        <f t="shared" ca="1" si="473"/>
        <v>0</v>
      </c>
      <c r="BI98" s="126">
        <f t="shared" ca="1" si="473"/>
        <v>0</v>
      </c>
      <c r="BJ98" s="126">
        <f t="shared" ca="1" si="473"/>
        <v>0</v>
      </c>
      <c r="BK98" s="126">
        <f t="shared" ca="1" si="473"/>
        <v>0</v>
      </c>
      <c r="BL98" s="126">
        <f t="shared" ca="1" si="473"/>
        <v>0</v>
      </c>
      <c r="BM98" s="126">
        <f t="shared" ca="1" si="473"/>
        <v>0</v>
      </c>
      <c r="BN98" s="126">
        <f t="shared" ca="1" si="473"/>
        <v>0</v>
      </c>
      <c r="BO98" s="126">
        <f t="shared" ca="1" si="473"/>
        <v>0</v>
      </c>
      <c r="BP98" s="126">
        <f t="shared" ca="1" si="473"/>
        <v>0</v>
      </c>
      <c r="BQ98" s="126">
        <f t="shared" ref="BQ98:CV98" ca="1" si="474" xml:space="preserve"> BQ$93</f>
        <v>0</v>
      </c>
      <c r="BR98" s="126">
        <f t="shared" ca="1" si="474"/>
        <v>0</v>
      </c>
      <c r="BS98" s="126">
        <f t="shared" ca="1" si="474"/>
        <v>0</v>
      </c>
      <c r="BT98" s="126">
        <f t="shared" ca="1" si="474"/>
        <v>0</v>
      </c>
      <c r="BU98" s="126">
        <f t="shared" ca="1" si="474"/>
        <v>0</v>
      </c>
      <c r="BV98" s="126">
        <f t="shared" ca="1" si="474"/>
        <v>0</v>
      </c>
      <c r="BW98" s="126">
        <f t="shared" ca="1" si="474"/>
        <v>0</v>
      </c>
      <c r="BX98" s="126">
        <f t="shared" ca="1" si="474"/>
        <v>0</v>
      </c>
      <c r="BY98" s="126">
        <f t="shared" ca="1" si="474"/>
        <v>0</v>
      </c>
      <c r="BZ98" s="126">
        <f t="shared" ca="1" si="474"/>
        <v>0</v>
      </c>
      <c r="CA98" s="126">
        <f t="shared" ca="1" si="474"/>
        <v>0</v>
      </c>
      <c r="CB98" s="126">
        <f t="shared" ca="1" si="474"/>
        <v>0</v>
      </c>
      <c r="CC98" s="126">
        <f t="shared" ca="1" si="474"/>
        <v>0</v>
      </c>
      <c r="CD98" s="126">
        <f t="shared" ca="1" si="474"/>
        <v>0</v>
      </c>
      <c r="CE98" s="126">
        <f t="shared" ca="1" si="474"/>
        <v>0</v>
      </c>
      <c r="CF98" s="126">
        <f t="shared" ca="1" si="474"/>
        <v>0</v>
      </c>
      <c r="CG98" s="126">
        <f t="shared" ca="1" si="474"/>
        <v>0</v>
      </c>
      <c r="CH98" s="126">
        <f t="shared" ca="1" si="474"/>
        <v>0</v>
      </c>
      <c r="CI98" s="126">
        <f t="shared" ca="1" si="474"/>
        <v>0</v>
      </c>
      <c r="CJ98" s="126">
        <f t="shared" ca="1" si="474"/>
        <v>0</v>
      </c>
      <c r="CK98" s="126">
        <f t="shared" ca="1" si="474"/>
        <v>0</v>
      </c>
      <c r="CL98" s="126">
        <f t="shared" ca="1" si="474"/>
        <v>0</v>
      </c>
      <c r="CM98" s="126">
        <f t="shared" ca="1" si="474"/>
        <v>0</v>
      </c>
      <c r="CN98" s="126">
        <f t="shared" ca="1" si="474"/>
        <v>0</v>
      </c>
      <c r="CO98" s="126">
        <f t="shared" ca="1" si="474"/>
        <v>0</v>
      </c>
      <c r="CP98" s="126">
        <f t="shared" ca="1" si="474"/>
        <v>0</v>
      </c>
      <c r="CQ98" s="126">
        <f t="shared" ca="1" si="474"/>
        <v>0</v>
      </c>
      <c r="CR98" s="126">
        <f t="shared" ca="1" si="474"/>
        <v>0</v>
      </c>
      <c r="CS98" s="126">
        <f t="shared" ca="1" si="474"/>
        <v>0</v>
      </c>
      <c r="CT98" s="126">
        <f t="shared" ca="1" si="474"/>
        <v>0</v>
      </c>
      <c r="CU98" s="126">
        <f t="shared" ca="1" si="474"/>
        <v>0</v>
      </c>
      <c r="CV98" s="126">
        <f t="shared" ca="1" si="474"/>
        <v>0</v>
      </c>
    </row>
    <row r="99" spans="1:100" s="541" customFormat="1" outlineLevel="1" x14ac:dyDescent="0.2">
      <c r="A99" s="391"/>
      <c r="B99" s="391"/>
      <c r="C99" s="392"/>
      <c r="D99" s="393"/>
      <c r="E99" s="394" t="s">
        <v>1227</v>
      </c>
      <c r="F99" s="394"/>
      <c r="G99" s="394" t="str">
        <f xml:space="preserve"> SMU</f>
        <v>$ 000s</v>
      </c>
      <c r="H99" s="394"/>
      <c r="I99" s="395"/>
      <c r="J99" s="394">
        <f t="shared" ref="J99:AO99" ca="1" si="475" xml:space="preserve"> J96 + J97 - J98</f>
        <v>100</v>
      </c>
      <c r="K99" s="394">
        <f t="shared" ca="1" si="475"/>
        <v>100</v>
      </c>
      <c r="L99" s="394">
        <f t="shared" ca="1" si="475"/>
        <v>100</v>
      </c>
      <c r="M99" s="394">
        <f t="shared" ca="1" si="475"/>
        <v>100</v>
      </c>
      <c r="N99" s="394">
        <f t="shared" ca="1" si="475"/>
        <v>100</v>
      </c>
      <c r="O99" s="394">
        <f t="shared" ca="1" si="475"/>
        <v>100</v>
      </c>
      <c r="P99" s="394">
        <f t="shared" ca="1" si="475"/>
        <v>100</v>
      </c>
      <c r="Q99" s="394">
        <f t="shared" ca="1" si="475"/>
        <v>100</v>
      </c>
      <c r="R99" s="394">
        <f t="shared" ca="1" si="475"/>
        <v>100</v>
      </c>
      <c r="S99" s="394">
        <f t="shared" ca="1" si="475"/>
        <v>100</v>
      </c>
      <c r="T99" s="394">
        <f t="shared" ca="1" si="475"/>
        <v>100</v>
      </c>
      <c r="U99" s="394">
        <f t="shared" ca="1" si="475"/>
        <v>100</v>
      </c>
      <c r="V99" s="394">
        <f t="shared" ca="1" si="475"/>
        <v>100</v>
      </c>
      <c r="W99" s="394">
        <f t="shared" ca="1" si="475"/>
        <v>100</v>
      </c>
      <c r="X99" s="394">
        <f t="shared" ca="1" si="475"/>
        <v>100</v>
      </c>
      <c r="Y99" s="394">
        <f t="shared" ca="1" si="475"/>
        <v>100</v>
      </c>
      <c r="Z99" s="394">
        <f t="shared" ca="1" si="475"/>
        <v>100</v>
      </c>
      <c r="AA99" s="394">
        <f t="shared" ca="1" si="475"/>
        <v>100</v>
      </c>
      <c r="AB99" s="394">
        <f t="shared" ca="1" si="475"/>
        <v>100</v>
      </c>
      <c r="AC99" s="394">
        <f t="shared" ca="1" si="475"/>
        <v>100</v>
      </c>
      <c r="AD99" s="394">
        <f t="shared" ca="1" si="475"/>
        <v>100</v>
      </c>
      <c r="AE99" s="394">
        <f t="shared" ca="1" si="475"/>
        <v>100</v>
      </c>
      <c r="AF99" s="394">
        <f t="shared" ca="1" si="475"/>
        <v>100</v>
      </c>
      <c r="AG99" s="394">
        <f t="shared" ca="1" si="475"/>
        <v>100</v>
      </c>
      <c r="AH99" s="394">
        <f t="shared" ca="1" si="475"/>
        <v>100</v>
      </c>
      <c r="AI99" s="394">
        <f t="shared" ca="1" si="475"/>
        <v>100</v>
      </c>
      <c r="AJ99" s="394">
        <f t="shared" ca="1" si="475"/>
        <v>100</v>
      </c>
      <c r="AK99" s="394">
        <f t="shared" ca="1" si="475"/>
        <v>100</v>
      </c>
      <c r="AL99" s="394">
        <f t="shared" ca="1" si="475"/>
        <v>100</v>
      </c>
      <c r="AM99" s="394">
        <f t="shared" ca="1" si="475"/>
        <v>100</v>
      </c>
      <c r="AN99" s="394">
        <f t="shared" ca="1" si="475"/>
        <v>100</v>
      </c>
      <c r="AO99" s="394">
        <f t="shared" ca="1" si="475"/>
        <v>100</v>
      </c>
      <c r="AP99" s="394">
        <f t="shared" ref="AP99:BU99" ca="1" si="476" xml:space="preserve"> AP96 + AP97 - AP98</f>
        <v>100</v>
      </c>
      <c r="AQ99" s="394">
        <f t="shared" ca="1" si="476"/>
        <v>100</v>
      </c>
      <c r="AR99" s="394">
        <f t="shared" ca="1" si="476"/>
        <v>100</v>
      </c>
      <c r="AS99" s="394">
        <f t="shared" ca="1" si="476"/>
        <v>100</v>
      </c>
      <c r="AT99" s="394">
        <f t="shared" ca="1" si="476"/>
        <v>100</v>
      </c>
      <c r="AU99" s="394">
        <f t="shared" ca="1" si="476"/>
        <v>100</v>
      </c>
      <c r="AV99" s="394">
        <f t="shared" ca="1" si="476"/>
        <v>100</v>
      </c>
      <c r="AW99" s="394">
        <f t="shared" ca="1" si="476"/>
        <v>100</v>
      </c>
      <c r="AX99" s="394">
        <f t="shared" ca="1" si="476"/>
        <v>100</v>
      </c>
      <c r="AY99" s="394">
        <f t="shared" ca="1" si="476"/>
        <v>100</v>
      </c>
      <c r="AZ99" s="394">
        <f t="shared" ca="1" si="476"/>
        <v>100</v>
      </c>
      <c r="BA99" s="394">
        <f t="shared" ca="1" si="476"/>
        <v>100</v>
      </c>
      <c r="BB99" s="394">
        <f t="shared" ca="1" si="476"/>
        <v>100</v>
      </c>
      <c r="BC99" s="394">
        <f t="shared" ca="1" si="476"/>
        <v>100</v>
      </c>
      <c r="BD99" s="394">
        <f t="shared" ca="1" si="476"/>
        <v>100</v>
      </c>
      <c r="BE99" s="394">
        <f t="shared" ca="1" si="476"/>
        <v>100</v>
      </c>
      <c r="BF99" s="394">
        <f t="shared" ca="1" si="476"/>
        <v>100</v>
      </c>
      <c r="BG99" s="394">
        <f t="shared" ca="1" si="476"/>
        <v>100</v>
      </c>
      <c r="BH99" s="394">
        <f t="shared" ca="1" si="476"/>
        <v>100</v>
      </c>
      <c r="BI99" s="394">
        <f t="shared" ca="1" si="476"/>
        <v>100</v>
      </c>
      <c r="BJ99" s="394">
        <f t="shared" ca="1" si="476"/>
        <v>100</v>
      </c>
      <c r="BK99" s="394">
        <f t="shared" ca="1" si="476"/>
        <v>100</v>
      </c>
      <c r="BL99" s="394">
        <f t="shared" ca="1" si="476"/>
        <v>100</v>
      </c>
      <c r="BM99" s="394">
        <f t="shared" ca="1" si="476"/>
        <v>100</v>
      </c>
      <c r="BN99" s="394">
        <f t="shared" ca="1" si="476"/>
        <v>100</v>
      </c>
      <c r="BO99" s="394">
        <f t="shared" ca="1" si="476"/>
        <v>100</v>
      </c>
      <c r="BP99" s="394">
        <f t="shared" ca="1" si="476"/>
        <v>100</v>
      </c>
      <c r="BQ99" s="394">
        <f t="shared" ca="1" si="476"/>
        <v>100</v>
      </c>
      <c r="BR99" s="394">
        <f t="shared" ca="1" si="476"/>
        <v>100</v>
      </c>
      <c r="BS99" s="394">
        <f t="shared" ca="1" si="476"/>
        <v>100</v>
      </c>
      <c r="BT99" s="394">
        <f t="shared" ca="1" si="476"/>
        <v>100</v>
      </c>
      <c r="BU99" s="394">
        <f t="shared" ca="1" si="476"/>
        <v>100</v>
      </c>
      <c r="BV99" s="394">
        <f t="shared" ref="BV99:CV99" ca="1" si="477" xml:space="preserve"> BV96 + BV97 - BV98</f>
        <v>100</v>
      </c>
      <c r="BW99" s="394">
        <f t="shared" ca="1" si="477"/>
        <v>100</v>
      </c>
      <c r="BX99" s="394">
        <f t="shared" ca="1" si="477"/>
        <v>100</v>
      </c>
      <c r="BY99" s="394">
        <f t="shared" ca="1" si="477"/>
        <v>100</v>
      </c>
      <c r="BZ99" s="394">
        <f t="shared" ca="1" si="477"/>
        <v>100</v>
      </c>
      <c r="CA99" s="394">
        <f t="shared" ca="1" si="477"/>
        <v>100</v>
      </c>
      <c r="CB99" s="394">
        <f t="shared" ca="1" si="477"/>
        <v>100</v>
      </c>
      <c r="CC99" s="394">
        <f t="shared" ca="1" si="477"/>
        <v>100</v>
      </c>
      <c r="CD99" s="394">
        <f t="shared" ca="1" si="477"/>
        <v>100</v>
      </c>
      <c r="CE99" s="394">
        <f t="shared" ca="1" si="477"/>
        <v>100</v>
      </c>
      <c r="CF99" s="394">
        <f t="shared" ca="1" si="477"/>
        <v>100</v>
      </c>
      <c r="CG99" s="394">
        <f t="shared" ca="1" si="477"/>
        <v>100</v>
      </c>
      <c r="CH99" s="394">
        <f t="shared" ca="1" si="477"/>
        <v>100</v>
      </c>
      <c r="CI99" s="394">
        <f t="shared" ca="1" si="477"/>
        <v>100</v>
      </c>
      <c r="CJ99" s="394">
        <f t="shared" ca="1" si="477"/>
        <v>100</v>
      </c>
      <c r="CK99" s="394">
        <f t="shared" ca="1" si="477"/>
        <v>100</v>
      </c>
      <c r="CL99" s="394">
        <f t="shared" ca="1" si="477"/>
        <v>100</v>
      </c>
      <c r="CM99" s="394">
        <f t="shared" ca="1" si="477"/>
        <v>100</v>
      </c>
      <c r="CN99" s="394">
        <f t="shared" ca="1" si="477"/>
        <v>100</v>
      </c>
      <c r="CO99" s="394">
        <f t="shared" ca="1" si="477"/>
        <v>100</v>
      </c>
      <c r="CP99" s="394">
        <f t="shared" ca="1" si="477"/>
        <v>100</v>
      </c>
      <c r="CQ99" s="394">
        <f t="shared" ca="1" si="477"/>
        <v>100</v>
      </c>
      <c r="CR99" s="394">
        <f t="shared" ca="1" si="477"/>
        <v>100</v>
      </c>
      <c r="CS99" s="394">
        <f t="shared" ca="1" si="477"/>
        <v>100</v>
      </c>
      <c r="CT99" s="394">
        <f t="shared" ca="1" si="477"/>
        <v>100</v>
      </c>
      <c r="CU99" s="394">
        <f t="shared" ca="1" si="477"/>
        <v>100</v>
      </c>
      <c r="CV99" s="394">
        <f t="shared" ca="1" si="477"/>
        <v>100</v>
      </c>
    </row>
    <row r="100" spans="1:100" outlineLevel="1" x14ac:dyDescent="0.2"/>
    <row r="101" spans="1:100" x14ac:dyDescent="0.2"/>
    <row r="102" spans="1:100" x14ac:dyDescent="0.2">
      <c r="A102" s="15" t="s">
        <v>1228</v>
      </c>
    </row>
    <row r="103" spans="1:100" outlineLevel="1" x14ac:dyDescent="0.2"/>
    <row r="104" spans="1:100" outlineLevel="1" x14ac:dyDescent="0.2">
      <c r="E104" s="12" t="str">
        <f t="shared" ref="E104:AJ104" si="478" xml:space="preserve"> E$88</f>
        <v>Cash available for share capital redemption - P99</v>
      </c>
      <c r="F104" s="12">
        <f t="shared" si="478"/>
        <v>0</v>
      </c>
      <c r="G104" s="12" t="str">
        <f t="shared" si="478"/>
        <v>$ 000s</v>
      </c>
      <c r="H104" s="12">
        <f t="shared" si="478"/>
        <v>0</v>
      </c>
      <c r="I104" s="12">
        <f t="shared" si="478"/>
        <v>0</v>
      </c>
      <c r="J104" s="12">
        <f t="shared" ca="1" si="478"/>
        <v>0</v>
      </c>
      <c r="K104" s="12">
        <f t="shared" ca="1" si="478"/>
        <v>0</v>
      </c>
      <c r="L104" s="12">
        <f t="shared" ca="1" si="478"/>
        <v>0</v>
      </c>
      <c r="M104" s="12">
        <f t="shared" ca="1" si="478"/>
        <v>0</v>
      </c>
      <c r="N104" s="12">
        <f t="shared" ca="1" si="478"/>
        <v>0</v>
      </c>
      <c r="O104" s="12">
        <f t="shared" ca="1" si="478"/>
        <v>0</v>
      </c>
      <c r="P104" s="12">
        <f t="shared" ca="1" si="478"/>
        <v>0</v>
      </c>
      <c r="Q104" s="12">
        <f t="shared" ca="1" si="478"/>
        <v>0</v>
      </c>
      <c r="R104" s="12">
        <f t="shared" ca="1" si="478"/>
        <v>0</v>
      </c>
      <c r="S104" s="12">
        <f t="shared" ca="1" si="478"/>
        <v>0</v>
      </c>
      <c r="T104" s="12">
        <f t="shared" ca="1" si="478"/>
        <v>0</v>
      </c>
      <c r="U104" s="12">
        <f t="shared" ca="1" si="478"/>
        <v>0</v>
      </c>
      <c r="V104" s="12">
        <f t="shared" ca="1" si="478"/>
        <v>0</v>
      </c>
      <c r="W104" s="12">
        <f t="shared" ca="1" si="478"/>
        <v>0</v>
      </c>
      <c r="X104" s="12">
        <f t="shared" ca="1" si="478"/>
        <v>0</v>
      </c>
      <c r="Y104" s="12">
        <f t="shared" ca="1" si="478"/>
        <v>0</v>
      </c>
      <c r="Z104" s="12">
        <f t="shared" ca="1" si="478"/>
        <v>0</v>
      </c>
      <c r="AA104" s="12">
        <f t="shared" ca="1" si="478"/>
        <v>0</v>
      </c>
      <c r="AB104" s="12">
        <f t="shared" ca="1" si="478"/>
        <v>0</v>
      </c>
      <c r="AC104" s="12">
        <f t="shared" ca="1" si="478"/>
        <v>0</v>
      </c>
      <c r="AD104" s="12">
        <f t="shared" ca="1" si="478"/>
        <v>0</v>
      </c>
      <c r="AE104" s="12">
        <f t="shared" ca="1" si="478"/>
        <v>0</v>
      </c>
      <c r="AF104" s="12">
        <f t="shared" ca="1" si="478"/>
        <v>0</v>
      </c>
      <c r="AG104" s="12">
        <f t="shared" ca="1" si="478"/>
        <v>0</v>
      </c>
      <c r="AH104" s="12">
        <f t="shared" ca="1" si="478"/>
        <v>0</v>
      </c>
      <c r="AI104" s="12">
        <f t="shared" ca="1" si="478"/>
        <v>0</v>
      </c>
      <c r="AJ104" s="12">
        <f t="shared" ca="1" si="478"/>
        <v>0</v>
      </c>
      <c r="AK104" s="12">
        <f t="shared" ref="AK104:BP104" ca="1" si="479" xml:space="preserve"> AK$88</f>
        <v>0</v>
      </c>
      <c r="AL104" s="12">
        <f t="shared" ca="1" si="479"/>
        <v>0</v>
      </c>
      <c r="AM104" s="12">
        <f t="shared" ca="1" si="479"/>
        <v>0</v>
      </c>
      <c r="AN104" s="12">
        <f t="shared" ca="1" si="479"/>
        <v>0</v>
      </c>
      <c r="AO104" s="12">
        <f t="shared" ca="1" si="479"/>
        <v>0</v>
      </c>
      <c r="AP104" s="12">
        <f t="shared" ca="1" si="479"/>
        <v>0</v>
      </c>
      <c r="AQ104" s="12">
        <f t="shared" ca="1" si="479"/>
        <v>0</v>
      </c>
      <c r="AR104" s="12">
        <f t="shared" ca="1" si="479"/>
        <v>0</v>
      </c>
      <c r="AS104" s="12">
        <f t="shared" ca="1" si="479"/>
        <v>0</v>
      </c>
      <c r="AT104" s="12">
        <f t="shared" ca="1" si="479"/>
        <v>0</v>
      </c>
      <c r="AU104" s="12">
        <f t="shared" ca="1" si="479"/>
        <v>0</v>
      </c>
      <c r="AV104" s="12">
        <f t="shared" ca="1" si="479"/>
        <v>0</v>
      </c>
      <c r="AW104" s="12">
        <f t="shared" ca="1" si="479"/>
        <v>0</v>
      </c>
      <c r="AX104" s="12">
        <f t="shared" ca="1" si="479"/>
        <v>0</v>
      </c>
      <c r="AY104" s="12">
        <f t="shared" ca="1" si="479"/>
        <v>0</v>
      </c>
      <c r="AZ104" s="12">
        <f t="shared" ca="1" si="479"/>
        <v>0</v>
      </c>
      <c r="BA104" s="12">
        <f t="shared" ca="1" si="479"/>
        <v>0</v>
      </c>
      <c r="BB104" s="12">
        <f t="shared" ca="1" si="479"/>
        <v>0</v>
      </c>
      <c r="BC104" s="12">
        <f t="shared" ca="1" si="479"/>
        <v>0</v>
      </c>
      <c r="BD104" s="12">
        <f t="shared" ca="1" si="479"/>
        <v>0</v>
      </c>
      <c r="BE104" s="12">
        <f t="shared" ca="1" si="479"/>
        <v>0</v>
      </c>
      <c r="BF104" s="12">
        <f t="shared" ca="1" si="479"/>
        <v>0</v>
      </c>
      <c r="BG104" s="12">
        <f t="shared" ca="1" si="479"/>
        <v>0</v>
      </c>
      <c r="BH104" s="12">
        <f t="shared" ca="1" si="479"/>
        <v>0</v>
      </c>
      <c r="BI104" s="12">
        <f t="shared" ca="1" si="479"/>
        <v>0</v>
      </c>
      <c r="BJ104" s="12">
        <f t="shared" ca="1" si="479"/>
        <v>0</v>
      </c>
      <c r="BK104" s="12">
        <f t="shared" ca="1" si="479"/>
        <v>0</v>
      </c>
      <c r="BL104" s="12">
        <f t="shared" ca="1" si="479"/>
        <v>0</v>
      </c>
      <c r="BM104" s="12">
        <f t="shared" ca="1" si="479"/>
        <v>0</v>
      </c>
      <c r="BN104" s="12">
        <f t="shared" ca="1" si="479"/>
        <v>0</v>
      </c>
      <c r="BO104" s="12">
        <f t="shared" ca="1" si="479"/>
        <v>0</v>
      </c>
      <c r="BP104" s="12">
        <f t="shared" ca="1" si="479"/>
        <v>0</v>
      </c>
      <c r="BQ104" s="12">
        <f t="shared" ref="BQ104:CV104" ca="1" si="480" xml:space="preserve"> BQ$88</f>
        <v>0</v>
      </c>
      <c r="BR104" s="12">
        <f t="shared" ca="1" si="480"/>
        <v>0</v>
      </c>
      <c r="BS104" s="12">
        <f t="shared" ca="1" si="480"/>
        <v>0</v>
      </c>
      <c r="BT104" s="12">
        <f t="shared" ca="1" si="480"/>
        <v>0</v>
      </c>
      <c r="BU104" s="12">
        <f t="shared" ca="1" si="480"/>
        <v>0</v>
      </c>
      <c r="BV104" s="12">
        <f t="shared" ca="1" si="480"/>
        <v>0</v>
      </c>
      <c r="BW104" s="12">
        <f t="shared" ca="1" si="480"/>
        <v>0</v>
      </c>
      <c r="BX104" s="12">
        <f t="shared" ca="1" si="480"/>
        <v>0</v>
      </c>
      <c r="BY104" s="12">
        <f t="shared" ca="1" si="480"/>
        <v>0</v>
      </c>
      <c r="BZ104" s="12">
        <f t="shared" ca="1" si="480"/>
        <v>0</v>
      </c>
      <c r="CA104" s="12">
        <f t="shared" ca="1" si="480"/>
        <v>0</v>
      </c>
      <c r="CB104" s="12">
        <f t="shared" ca="1" si="480"/>
        <v>0</v>
      </c>
      <c r="CC104" s="12">
        <f t="shared" ca="1" si="480"/>
        <v>0</v>
      </c>
      <c r="CD104" s="12">
        <f t="shared" ca="1" si="480"/>
        <v>0</v>
      </c>
      <c r="CE104" s="12">
        <f t="shared" ca="1" si="480"/>
        <v>0</v>
      </c>
      <c r="CF104" s="12">
        <f t="shared" ca="1" si="480"/>
        <v>0</v>
      </c>
      <c r="CG104" s="12">
        <f t="shared" ca="1" si="480"/>
        <v>0</v>
      </c>
      <c r="CH104" s="12">
        <f t="shared" ca="1" si="480"/>
        <v>0</v>
      </c>
      <c r="CI104" s="12">
        <f t="shared" ca="1" si="480"/>
        <v>0</v>
      </c>
      <c r="CJ104" s="12">
        <f t="shared" ca="1" si="480"/>
        <v>0</v>
      </c>
      <c r="CK104" s="12">
        <f t="shared" ca="1" si="480"/>
        <v>0</v>
      </c>
      <c r="CL104" s="12">
        <f t="shared" ca="1" si="480"/>
        <v>0</v>
      </c>
      <c r="CM104" s="12">
        <f t="shared" ca="1" si="480"/>
        <v>0</v>
      </c>
      <c r="CN104" s="12">
        <f t="shared" ca="1" si="480"/>
        <v>0</v>
      </c>
      <c r="CO104" s="12">
        <f t="shared" ca="1" si="480"/>
        <v>0</v>
      </c>
      <c r="CP104" s="12">
        <f t="shared" ca="1" si="480"/>
        <v>0</v>
      </c>
      <c r="CQ104" s="12">
        <f t="shared" ca="1" si="480"/>
        <v>0</v>
      </c>
      <c r="CR104" s="12">
        <f t="shared" ca="1" si="480"/>
        <v>0</v>
      </c>
      <c r="CS104" s="12">
        <f t="shared" ca="1" si="480"/>
        <v>0</v>
      </c>
      <c r="CT104" s="12">
        <f t="shared" ca="1" si="480"/>
        <v>0</v>
      </c>
      <c r="CU104" s="12">
        <f t="shared" ca="1" si="480"/>
        <v>0</v>
      </c>
      <c r="CV104" s="12">
        <f t="shared" ca="1" si="480"/>
        <v>0</v>
      </c>
    </row>
    <row r="105" spans="1:100" outlineLevel="1" x14ac:dyDescent="0.2">
      <c r="E105" s="198" t="str">
        <f t="shared" ref="E105:AJ105" si="481" xml:space="preserve"> E$93</f>
        <v>Share capital redemption - P99 POS</v>
      </c>
      <c r="F105" s="198">
        <f t="shared" si="481"/>
        <v>0</v>
      </c>
      <c r="G105" s="198" t="str">
        <f t="shared" si="481"/>
        <v>$ 000s</v>
      </c>
      <c r="H105" s="198">
        <f t="shared" ca="1" si="481"/>
        <v>0</v>
      </c>
      <c r="I105" s="198">
        <f t="shared" si="481"/>
        <v>0</v>
      </c>
      <c r="J105" s="198">
        <f t="shared" ca="1" si="481"/>
        <v>0</v>
      </c>
      <c r="K105" s="198">
        <f t="shared" ca="1" si="481"/>
        <v>0</v>
      </c>
      <c r="L105" s="198">
        <f t="shared" ca="1" si="481"/>
        <v>0</v>
      </c>
      <c r="M105" s="198">
        <f t="shared" ca="1" si="481"/>
        <v>0</v>
      </c>
      <c r="N105" s="198">
        <f t="shared" ca="1" si="481"/>
        <v>0</v>
      </c>
      <c r="O105" s="198">
        <f t="shared" ca="1" si="481"/>
        <v>0</v>
      </c>
      <c r="P105" s="198">
        <f t="shared" ca="1" si="481"/>
        <v>0</v>
      </c>
      <c r="Q105" s="198">
        <f t="shared" ca="1" si="481"/>
        <v>0</v>
      </c>
      <c r="R105" s="198">
        <f t="shared" ca="1" si="481"/>
        <v>0</v>
      </c>
      <c r="S105" s="198">
        <f t="shared" ca="1" si="481"/>
        <v>0</v>
      </c>
      <c r="T105" s="198">
        <f t="shared" ca="1" si="481"/>
        <v>0</v>
      </c>
      <c r="U105" s="198">
        <f t="shared" ca="1" si="481"/>
        <v>0</v>
      </c>
      <c r="V105" s="198">
        <f t="shared" ca="1" si="481"/>
        <v>0</v>
      </c>
      <c r="W105" s="198">
        <f t="shared" ca="1" si="481"/>
        <v>0</v>
      </c>
      <c r="X105" s="198">
        <f t="shared" ca="1" si="481"/>
        <v>0</v>
      </c>
      <c r="Y105" s="198">
        <f t="shared" ca="1" si="481"/>
        <v>0</v>
      </c>
      <c r="Z105" s="198">
        <f t="shared" ca="1" si="481"/>
        <v>0</v>
      </c>
      <c r="AA105" s="198">
        <f t="shared" ca="1" si="481"/>
        <v>0</v>
      </c>
      <c r="AB105" s="198">
        <f t="shared" ca="1" si="481"/>
        <v>0</v>
      </c>
      <c r="AC105" s="198">
        <f t="shared" ca="1" si="481"/>
        <v>0</v>
      </c>
      <c r="AD105" s="198">
        <f t="shared" ca="1" si="481"/>
        <v>0</v>
      </c>
      <c r="AE105" s="198">
        <f t="shared" ca="1" si="481"/>
        <v>0</v>
      </c>
      <c r="AF105" s="198">
        <f t="shared" ca="1" si="481"/>
        <v>0</v>
      </c>
      <c r="AG105" s="198">
        <f t="shared" ca="1" si="481"/>
        <v>0</v>
      </c>
      <c r="AH105" s="198">
        <f t="shared" ca="1" si="481"/>
        <v>0</v>
      </c>
      <c r="AI105" s="198">
        <f t="shared" ca="1" si="481"/>
        <v>0</v>
      </c>
      <c r="AJ105" s="198">
        <f t="shared" ca="1" si="481"/>
        <v>0</v>
      </c>
      <c r="AK105" s="198">
        <f t="shared" ref="AK105:BP105" ca="1" si="482" xml:space="preserve"> AK$93</f>
        <v>0</v>
      </c>
      <c r="AL105" s="198">
        <f t="shared" ca="1" si="482"/>
        <v>0</v>
      </c>
      <c r="AM105" s="198">
        <f t="shared" ca="1" si="482"/>
        <v>0</v>
      </c>
      <c r="AN105" s="198">
        <f t="shared" ca="1" si="482"/>
        <v>0</v>
      </c>
      <c r="AO105" s="198">
        <f t="shared" ca="1" si="482"/>
        <v>0</v>
      </c>
      <c r="AP105" s="198">
        <f t="shared" ca="1" si="482"/>
        <v>0</v>
      </c>
      <c r="AQ105" s="198">
        <f t="shared" ca="1" si="482"/>
        <v>0</v>
      </c>
      <c r="AR105" s="198">
        <f t="shared" ca="1" si="482"/>
        <v>0</v>
      </c>
      <c r="AS105" s="198">
        <f t="shared" ca="1" si="482"/>
        <v>0</v>
      </c>
      <c r="AT105" s="198">
        <f t="shared" ca="1" si="482"/>
        <v>0</v>
      </c>
      <c r="AU105" s="198">
        <f t="shared" ca="1" si="482"/>
        <v>0</v>
      </c>
      <c r="AV105" s="198">
        <f t="shared" ca="1" si="482"/>
        <v>0</v>
      </c>
      <c r="AW105" s="198">
        <f t="shared" ca="1" si="482"/>
        <v>0</v>
      </c>
      <c r="AX105" s="198">
        <f t="shared" ca="1" si="482"/>
        <v>0</v>
      </c>
      <c r="AY105" s="198">
        <f t="shared" ca="1" si="482"/>
        <v>0</v>
      </c>
      <c r="AZ105" s="198">
        <f t="shared" ca="1" si="482"/>
        <v>0</v>
      </c>
      <c r="BA105" s="198">
        <f t="shared" ca="1" si="482"/>
        <v>0</v>
      </c>
      <c r="BB105" s="198">
        <f t="shared" ca="1" si="482"/>
        <v>0</v>
      </c>
      <c r="BC105" s="198">
        <f t="shared" ca="1" si="482"/>
        <v>0</v>
      </c>
      <c r="BD105" s="198">
        <f t="shared" ca="1" si="482"/>
        <v>0</v>
      </c>
      <c r="BE105" s="198">
        <f t="shared" ca="1" si="482"/>
        <v>0</v>
      </c>
      <c r="BF105" s="198">
        <f t="shared" ca="1" si="482"/>
        <v>0</v>
      </c>
      <c r="BG105" s="198">
        <f t="shared" ca="1" si="482"/>
        <v>0</v>
      </c>
      <c r="BH105" s="198">
        <f t="shared" ca="1" si="482"/>
        <v>0</v>
      </c>
      <c r="BI105" s="198">
        <f t="shared" ca="1" si="482"/>
        <v>0</v>
      </c>
      <c r="BJ105" s="198">
        <f t="shared" ca="1" si="482"/>
        <v>0</v>
      </c>
      <c r="BK105" s="198">
        <f t="shared" ca="1" si="482"/>
        <v>0</v>
      </c>
      <c r="BL105" s="198">
        <f t="shared" ca="1" si="482"/>
        <v>0</v>
      </c>
      <c r="BM105" s="198">
        <f t="shared" ca="1" si="482"/>
        <v>0</v>
      </c>
      <c r="BN105" s="198">
        <f t="shared" ca="1" si="482"/>
        <v>0</v>
      </c>
      <c r="BO105" s="198">
        <f t="shared" ca="1" si="482"/>
        <v>0</v>
      </c>
      <c r="BP105" s="198">
        <f t="shared" ca="1" si="482"/>
        <v>0</v>
      </c>
      <c r="BQ105" s="198">
        <f t="shared" ref="BQ105:CV105" ca="1" si="483" xml:space="preserve"> BQ$93</f>
        <v>0</v>
      </c>
      <c r="BR105" s="198">
        <f t="shared" ca="1" si="483"/>
        <v>0</v>
      </c>
      <c r="BS105" s="198">
        <f t="shared" ca="1" si="483"/>
        <v>0</v>
      </c>
      <c r="BT105" s="198">
        <f t="shared" ca="1" si="483"/>
        <v>0</v>
      </c>
      <c r="BU105" s="198">
        <f t="shared" ca="1" si="483"/>
        <v>0</v>
      </c>
      <c r="BV105" s="198">
        <f t="shared" ca="1" si="483"/>
        <v>0</v>
      </c>
      <c r="BW105" s="198">
        <f t="shared" ca="1" si="483"/>
        <v>0</v>
      </c>
      <c r="BX105" s="198">
        <f t="shared" ca="1" si="483"/>
        <v>0</v>
      </c>
      <c r="BY105" s="198">
        <f t="shared" ca="1" si="483"/>
        <v>0</v>
      </c>
      <c r="BZ105" s="198">
        <f t="shared" ca="1" si="483"/>
        <v>0</v>
      </c>
      <c r="CA105" s="198">
        <f t="shared" ca="1" si="483"/>
        <v>0</v>
      </c>
      <c r="CB105" s="198">
        <f t="shared" ca="1" si="483"/>
        <v>0</v>
      </c>
      <c r="CC105" s="198">
        <f t="shared" ca="1" si="483"/>
        <v>0</v>
      </c>
      <c r="CD105" s="198">
        <f t="shared" ca="1" si="483"/>
        <v>0</v>
      </c>
      <c r="CE105" s="198">
        <f t="shared" ca="1" si="483"/>
        <v>0</v>
      </c>
      <c r="CF105" s="198">
        <f t="shared" ca="1" si="483"/>
        <v>0</v>
      </c>
      <c r="CG105" s="198">
        <f t="shared" ca="1" si="483"/>
        <v>0</v>
      </c>
      <c r="CH105" s="198">
        <f t="shared" ca="1" si="483"/>
        <v>0</v>
      </c>
      <c r="CI105" s="198">
        <f t="shared" ca="1" si="483"/>
        <v>0</v>
      </c>
      <c r="CJ105" s="198">
        <f t="shared" ca="1" si="483"/>
        <v>0</v>
      </c>
      <c r="CK105" s="198">
        <f t="shared" ca="1" si="483"/>
        <v>0</v>
      </c>
      <c r="CL105" s="198">
        <f t="shared" ca="1" si="483"/>
        <v>0</v>
      </c>
      <c r="CM105" s="198">
        <f t="shared" ca="1" si="483"/>
        <v>0</v>
      </c>
      <c r="CN105" s="198">
        <f t="shared" ca="1" si="483"/>
        <v>0</v>
      </c>
      <c r="CO105" s="198">
        <f t="shared" ca="1" si="483"/>
        <v>0</v>
      </c>
      <c r="CP105" s="198">
        <f t="shared" ca="1" si="483"/>
        <v>0</v>
      </c>
      <c r="CQ105" s="198">
        <f t="shared" ca="1" si="483"/>
        <v>0</v>
      </c>
      <c r="CR105" s="198">
        <f t="shared" ca="1" si="483"/>
        <v>0</v>
      </c>
      <c r="CS105" s="198">
        <f t="shared" ca="1" si="483"/>
        <v>0</v>
      </c>
      <c r="CT105" s="198">
        <f t="shared" ca="1" si="483"/>
        <v>0</v>
      </c>
      <c r="CU105" s="198">
        <f t="shared" ca="1" si="483"/>
        <v>0</v>
      </c>
      <c r="CV105" s="198">
        <f t="shared" ca="1" si="483"/>
        <v>0</v>
      </c>
    </row>
    <row r="106" spans="1:100" outlineLevel="1" x14ac:dyDescent="0.2">
      <c r="E106" s="198" t="s">
        <v>1229</v>
      </c>
      <c r="F106" s="198"/>
      <c r="G106" s="198" t="str">
        <f xml:space="preserve"> SMU</f>
        <v>$ 000s</v>
      </c>
      <c r="H106" s="198"/>
      <c r="I106" s="198"/>
      <c r="J106" s="198">
        <f t="shared" ref="J106" ca="1" si="484" xml:space="preserve"> MAX(0, J104 - J105)</f>
        <v>0</v>
      </c>
      <c r="K106" s="198">
        <f t="shared" ref="K106" ca="1" si="485" xml:space="preserve"> MAX(0, K104 - K105)</f>
        <v>0</v>
      </c>
      <c r="L106" s="198">
        <f t="shared" ref="L106" ca="1" si="486" xml:space="preserve"> MAX(0, L104 - L105)</f>
        <v>0</v>
      </c>
      <c r="M106" s="198">
        <f t="shared" ref="M106" ca="1" si="487" xml:space="preserve"> MAX(0, M104 - M105)</f>
        <v>0</v>
      </c>
      <c r="N106" s="198">
        <f t="shared" ref="N106" ca="1" si="488" xml:space="preserve"> MAX(0, N104 - N105)</f>
        <v>0</v>
      </c>
      <c r="O106" s="198">
        <f t="shared" ref="O106" ca="1" si="489" xml:space="preserve"> MAX(0, O104 - O105)</f>
        <v>0</v>
      </c>
      <c r="P106" s="198">
        <f t="shared" ref="P106" ca="1" si="490" xml:space="preserve"> MAX(0, P104 - P105)</f>
        <v>0</v>
      </c>
      <c r="Q106" s="198">
        <f t="shared" ref="Q106" ca="1" si="491" xml:space="preserve"> MAX(0, Q104 - Q105)</f>
        <v>0</v>
      </c>
      <c r="R106" s="198">
        <f t="shared" ref="R106" ca="1" si="492" xml:space="preserve"> MAX(0, R104 - R105)</f>
        <v>0</v>
      </c>
      <c r="S106" s="198">
        <f t="shared" ref="S106" ca="1" si="493" xml:space="preserve"> MAX(0, S104 - S105)</f>
        <v>0</v>
      </c>
      <c r="T106" s="198">
        <f t="shared" ref="T106" ca="1" si="494" xml:space="preserve"> MAX(0, T104 - T105)</f>
        <v>0</v>
      </c>
      <c r="U106" s="198">
        <f t="shared" ref="U106" ca="1" si="495" xml:space="preserve"> MAX(0, U104 - U105)</f>
        <v>0</v>
      </c>
      <c r="V106" s="198">
        <f t="shared" ref="V106" ca="1" si="496" xml:space="preserve"> MAX(0, V104 - V105)</f>
        <v>0</v>
      </c>
      <c r="W106" s="198">
        <f t="shared" ref="W106" ca="1" si="497" xml:space="preserve"> MAX(0, W104 - W105)</f>
        <v>0</v>
      </c>
      <c r="X106" s="198">
        <f t="shared" ref="X106" ca="1" si="498" xml:space="preserve"> MAX(0, X104 - X105)</f>
        <v>0</v>
      </c>
      <c r="Y106" s="198">
        <f t="shared" ref="Y106" ca="1" si="499" xml:space="preserve"> MAX(0, Y104 - Y105)</f>
        <v>0</v>
      </c>
      <c r="Z106" s="198">
        <f t="shared" ref="Z106" ca="1" si="500" xml:space="preserve"> MAX(0, Z104 - Z105)</f>
        <v>0</v>
      </c>
      <c r="AA106" s="198">
        <f t="shared" ref="AA106" ca="1" si="501" xml:space="preserve"> MAX(0, AA104 - AA105)</f>
        <v>0</v>
      </c>
      <c r="AB106" s="198">
        <f t="shared" ref="AB106" ca="1" si="502" xml:space="preserve"> MAX(0, AB104 - AB105)</f>
        <v>0</v>
      </c>
      <c r="AC106" s="198">
        <f t="shared" ref="AC106" ca="1" si="503" xml:space="preserve"> MAX(0, AC104 - AC105)</f>
        <v>0</v>
      </c>
      <c r="AD106" s="198">
        <f t="shared" ref="AD106" ca="1" si="504" xml:space="preserve"> MAX(0, AD104 - AD105)</f>
        <v>0</v>
      </c>
      <c r="AE106" s="198">
        <f t="shared" ref="AE106" ca="1" si="505" xml:space="preserve"> MAX(0, AE104 - AE105)</f>
        <v>0</v>
      </c>
      <c r="AF106" s="198">
        <f t="shared" ref="AF106" ca="1" si="506" xml:space="preserve"> MAX(0, AF104 - AF105)</f>
        <v>0</v>
      </c>
      <c r="AG106" s="198">
        <f t="shared" ref="AG106" ca="1" si="507" xml:space="preserve"> MAX(0, AG104 - AG105)</f>
        <v>0</v>
      </c>
      <c r="AH106" s="198">
        <f t="shared" ref="AH106" ca="1" si="508" xml:space="preserve"> MAX(0, AH104 - AH105)</f>
        <v>0</v>
      </c>
      <c r="AI106" s="198">
        <f t="shared" ref="AI106" ca="1" si="509" xml:space="preserve"> MAX(0, AI104 - AI105)</f>
        <v>0</v>
      </c>
      <c r="AJ106" s="198">
        <f t="shared" ref="AJ106" ca="1" si="510" xml:space="preserve"> MAX(0, AJ104 - AJ105)</f>
        <v>0</v>
      </c>
      <c r="AK106" s="198">
        <f t="shared" ref="AK106" ca="1" si="511" xml:space="preserve"> MAX(0, AK104 - AK105)</f>
        <v>0</v>
      </c>
      <c r="AL106" s="198">
        <f t="shared" ref="AL106" ca="1" si="512" xml:space="preserve"> MAX(0, AL104 - AL105)</f>
        <v>0</v>
      </c>
      <c r="AM106" s="198">
        <f t="shared" ref="AM106" ca="1" si="513" xml:space="preserve"> MAX(0, AM104 - AM105)</f>
        <v>0</v>
      </c>
      <c r="AN106" s="198">
        <f t="shared" ref="AN106" ca="1" si="514" xml:space="preserve"> MAX(0, AN104 - AN105)</f>
        <v>0</v>
      </c>
      <c r="AO106" s="198">
        <f t="shared" ref="AO106" ca="1" si="515" xml:space="preserve"> MAX(0, AO104 - AO105)</f>
        <v>0</v>
      </c>
      <c r="AP106" s="198">
        <f t="shared" ref="AP106" ca="1" si="516" xml:space="preserve"> MAX(0, AP104 - AP105)</f>
        <v>0</v>
      </c>
      <c r="AQ106" s="198">
        <f t="shared" ref="AQ106" ca="1" si="517" xml:space="preserve"> MAX(0, AQ104 - AQ105)</f>
        <v>0</v>
      </c>
      <c r="AR106" s="198">
        <f t="shared" ref="AR106" ca="1" si="518" xml:space="preserve"> MAX(0, AR104 - AR105)</f>
        <v>0</v>
      </c>
      <c r="AS106" s="198">
        <f t="shared" ref="AS106" ca="1" si="519" xml:space="preserve"> MAX(0, AS104 - AS105)</f>
        <v>0</v>
      </c>
      <c r="AT106" s="198">
        <f t="shared" ref="AT106" ca="1" si="520" xml:space="preserve"> MAX(0, AT104 - AT105)</f>
        <v>0</v>
      </c>
      <c r="AU106" s="198">
        <f t="shared" ref="AU106" ca="1" si="521" xml:space="preserve"> MAX(0, AU104 - AU105)</f>
        <v>0</v>
      </c>
      <c r="AV106" s="198">
        <f t="shared" ref="AV106" ca="1" si="522" xml:space="preserve"> MAX(0, AV104 - AV105)</f>
        <v>0</v>
      </c>
      <c r="AW106" s="198">
        <f t="shared" ref="AW106" ca="1" si="523" xml:space="preserve"> MAX(0, AW104 - AW105)</f>
        <v>0</v>
      </c>
      <c r="AX106" s="198">
        <f t="shared" ref="AX106" ca="1" si="524" xml:space="preserve"> MAX(0, AX104 - AX105)</f>
        <v>0</v>
      </c>
      <c r="AY106" s="198">
        <f t="shared" ref="AY106" ca="1" si="525" xml:space="preserve"> MAX(0, AY104 - AY105)</f>
        <v>0</v>
      </c>
      <c r="AZ106" s="198">
        <f t="shared" ref="AZ106" ca="1" si="526" xml:space="preserve"> MAX(0, AZ104 - AZ105)</f>
        <v>0</v>
      </c>
      <c r="BA106" s="198">
        <f t="shared" ref="BA106" ca="1" si="527" xml:space="preserve"> MAX(0, BA104 - BA105)</f>
        <v>0</v>
      </c>
      <c r="BB106" s="198">
        <f t="shared" ref="BB106" ca="1" si="528" xml:space="preserve"> MAX(0, BB104 - BB105)</f>
        <v>0</v>
      </c>
      <c r="BC106" s="198">
        <f t="shared" ref="BC106" ca="1" si="529" xml:space="preserve"> MAX(0, BC104 - BC105)</f>
        <v>0</v>
      </c>
      <c r="BD106" s="198">
        <f t="shared" ref="BD106" ca="1" si="530" xml:space="preserve"> MAX(0, BD104 - BD105)</f>
        <v>0</v>
      </c>
      <c r="BE106" s="198">
        <f t="shared" ref="BE106" ca="1" si="531" xml:space="preserve"> MAX(0, BE104 - BE105)</f>
        <v>0</v>
      </c>
      <c r="BF106" s="198">
        <f t="shared" ref="BF106" ca="1" si="532" xml:space="preserve"> MAX(0, BF104 - BF105)</f>
        <v>0</v>
      </c>
      <c r="BG106" s="198">
        <f t="shared" ref="BG106" ca="1" si="533" xml:space="preserve"> MAX(0, BG104 - BG105)</f>
        <v>0</v>
      </c>
      <c r="BH106" s="198">
        <f t="shared" ref="BH106" ca="1" si="534" xml:space="preserve"> MAX(0, BH104 - BH105)</f>
        <v>0</v>
      </c>
      <c r="BI106" s="198">
        <f t="shared" ref="BI106" ca="1" si="535" xml:space="preserve"> MAX(0, BI104 - BI105)</f>
        <v>0</v>
      </c>
      <c r="BJ106" s="198">
        <f t="shared" ref="BJ106" ca="1" si="536" xml:space="preserve"> MAX(0, BJ104 - BJ105)</f>
        <v>0</v>
      </c>
      <c r="BK106" s="198">
        <f t="shared" ref="BK106" ca="1" si="537" xml:space="preserve"> MAX(0, BK104 - BK105)</f>
        <v>0</v>
      </c>
      <c r="BL106" s="198">
        <f t="shared" ref="BL106" ca="1" si="538" xml:space="preserve"> MAX(0, BL104 - BL105)</f>
        <v>0</v>
      </c>
      <c r="BM106" s="198">
        <f t="shared" ref="BM106" ca="1" si="539" xml:space="preserve"> MAX(0, BM104 - BM105)</f>
        <v>0</v>
      </c>
      <c r="BN106" s="198">
        <f t="shared" ref="BN106" ca="1" si="540" xml:space="preserve"> MAX(0, BN104 - BN105)</f>
        <v>0</v>
      </c>
      <c r="BO106" s="198">
        <f t="shared" ref="BO106" ca="1" si="541" xml:space="preserve"> MAX(0, BO104 - BO105)</f>
        <v>0</v>
      </c>
      <c r="BP106" s="198">
        <f t="shared" ref="BP106" ca="1" si="542" xml:space="preserve"> MAX(0, BP104 - BP105)</f>
        <v>0</v>
      </c>
      <c r="BQ106" s="198">
        <f t="shared" ref="BQ106" ca="1" si="543" xml:space="preserve"> MAX(0, BQ104 - BQ105)</f>
        <v>0</v>
      </c>
      <c r="BR106" s="198">
        <f t="shared" ref="BR106" ca="1" si="544" xml:space="preserve"> MAX(0, BR104 - BR105)</f>
        <v>0</v>
      </c>
      <c r="BS106" s="198">
        <f t="shared" ref="BS106" ca="1" si="545" xml:space="preserve"> MAX(0, BS104 - BS105)</f>
        <v>0</v>
      </c>
      <c r="BT106" s="198">
        <f t="shared" ref="BT106" ca="1" si="546" xml:space="preserve"> MAX(0, BT104 - BT105)</f>
        <v>0</v>
      </c>
      <c r="BU106" s="198">
        <f t="shared" ref="BU106" ca="1" si="547" xml:space="preserve"> MAX(0, BU104 - BU105)</f>
        <v>0</v>
      </c>
      <c r="BV106" s="198">
        <f t="shared" ref="BV106" ca="1" si="548" xml:space="preserve"> MAX(0, BV104 - BV105)</f>
        <v>0</v>
      </c>
      <c r="BW106" s="198">
        <f t="shared" ref="BW106" ca="1" si="549" xml:space="preserve"> MAX(0, BW104 - BW105)</f>
        <v>0</v>
      </c>
      <c r="BX106" s="198">
        <f t="shared" ref="BX106" ca="1" si="550" xml:space="preserve"> MAX(0, BX104 - BX105)</f>
        <v>0</v>
      </c>
      <c r="BY106" s="198">
        <f t="shared" ref="BY106" ca="1" si="551" xml:space="preserve"> MAX(0, BY104 - BY105)</f>
        <v>0</v>
      </c>
      <c r="BZ106" s="198">
        <f t="shared" ref="BZ106" ca="1" si="552" xml:space="preserve"> MAX(0, BZ104 - BZ105)</f>
        <v>0</v>
      </c>
      <c r="CA106" s="198">
        <f t="shared" ref="CA106" ca="1" si="553" xml:space="preserve"> MAX(0, CA104 - CA105)</f>
        <v>0</v>
      </c>
      <c r="CB106" s="198">
        <f t="shared" ref="CB106" ca="1" si="554" xml:space="preserve"> MAX(0, CB104 - CB105)</f>
        <v>0</v>
      </c>
      <c r="CC106" s="198">
        <f t="shared" ref="CC106" ca="1" si="555" xml:space="preserve"> MAX(0, CC104 - CC105)</f>
        <v>0</v>
      </c>
      <c r="CD106" s="198">
        <f t="shared" ref="CD106" ca="1" si="556" xml:space="preserve"> MAX(0, CD104 - CD105)</f>
        <v>0</v>
      </c>
      <c r="CE106" s="198">
        <f t="shared" ref="CE106" ca="1" si="557" xml:space="preserve"> MAX(0, CE104 - CE105)</f>
        <v>0</v>
      </c>
      <c r="CF106" s="198">
        <f t="shared" ref="CF106" ca="1" si="558" xml:space="preserve"> MAX(0, CF104 - CF105)</f>
        <v>0</v>
      </c>
      <c r="CG106" s="198">
        <f t="shared" ref="CG106" ca="1" si="559" xml:space="preserve"> MAX(0, CG104 - CG105)</f>
        <v>0</v>
      </c>
      <c r="CH106" s="198">
        <f t="shared" ref="CH106" ca="1" si="560" xml:space="preserve"> MAX(0, CH104 - CH105)</f>
        <v>0</v>
      </c>
      <c r="CI106" s="198">
        <f t="shared" ref="CI106" ca="1" si="561" xml:space="preserve"> MAX(0, CI104 - CI105)</f>
        <v>0</v>
      </c>
      <c r="CJ106" s="198">
        <f t="shared" ref="CJ106" ca="1" si="562" xml:space="preserve"> MAX(0, CJ104 - CJ105)</f>
        <v>0</v>
      </c>
      <c r="CK106" s="198">
        <f t="shared" ref="CK106" ca="1" si="563" xml:space="preserve"> MAX(0, CK104 - CK105)</f>
        <v>0</v>
      </c>
      <c r="CL106" s="198">
        <f t="shared" ref="CL106" ca="1" si="564" xml:space="preserve"> MAX(0, CL104 - CL105)</f>
        <v>0</v>
      </c>
      <c r="CM106" s="198">
        <f t="shared" ref="CM106" ca="1" si="565" xml:space="preserve"> MAX(0, CM104 - CM105)</f>
        <v>0</v>
      </c>
      <c r="CN106" s="198">
        <f t="shared" ref="CN106" ca="1" si="566" xml:space="preserve"> MAX(0, CN104 - CN105)</f>
        <v>0</v>
      </c>
      <c r="CO106" s="198">
        <f t="shared" ref="CO106" ca="1" si="567" xml:space="preserve"> MAX(0, CO104 - CO105)</f>
        <v>0</v>
      </c>
      <c r="CP106" s="198">
        <f t="shared" ref="CP106" ca="1" si="568" xml:space="preserve"> MAX(0, CP104 - CP105)</f>
        <v>0</v>
      </c>
      <c r="CQ106" s="198">
        <f t="shared" ref="CQ106" ca="1" si="569" xml:space="preserve"> MAX(0, CQ104 - CQ105)</f>
        <v>0</v>
      </c>
      <c r="CR106" s="198">
        <f t="shared" ref="CR106" ca="1" si="570" xml:space="preserve"> MAX(0, CR104 - CR105)</f>
        <v>0</v>
      </c>
      <c r="CS106" s="198">
        <f t="shared" ref="CS106" ca="1" si="571" xml:space="preserve"> MAX(0, CS104 - CS105)</f>
        <v>0</v>
      </c>
      <c r="CT106" s="198">
        <f t="shared" ref="CT106" ca="1" si="572" xml:space="preserve"> MAX(0, CT104 - CT105)</f>
        <v>0</v>
      </c>
      <c r="CU106" s="198">
        <f t="shared" ref="CU106" ca="1" si="573" xml:space="preserve"> MAX(0, CU104 - CU105)</f>
        <v>0</v>
      </c>
      <c r="CV106" s="198">
        <f t="shared" ref="CV106" ca="1" si="574" xml:space="preserve"> MAX(0, CV104 - CV105)</f>
        <v>0</v>
      </c>
    </row>
    <row r="107" spans="1:100" outlineLevel="1" x14ac:dyDescent="0.2"/>
    <row r="108" spans="1:100" outlineLevel="1" x14ac:dyDescent="0.2">
      <c r="E108" s="12" t="str">
        <f t="shared" ref="E108:AJ108" si="575" xml:space="preserve"> E$114</f>
        <v>Standby equity balance BEG - P99</v>
      </c>
      <c r="F108" s="12">
        <f t="shared" si="575"/>
        <v>0</v>
      </c>
      <c r="G108" s="12" t="str">
        <f t="shared" si="575"/>
        <v>$ 000s</v>
      </c>
      <c r="H108" s="12">
        <f t="shared" si="575"/>
        <v>0</v>
      </c>
      <c r="I108" s="12">
        <f t="shared" si="575"/>
        <v>0</v>
      </c>
      <c r="J108" s="12">
        <f t="shared" si="575"/>
        <v>0</v>
      </c>
      <c r="K108" s="12">
        <f t="shared" ca="1" si="575"/>
        <v>0</v>
      </c>
      <c r="L108" s="12">
        <f t="shared" ca="1" si="575"/>
        <v>0</v>
      </c>
      <c r="M108" s="12">
        <f t="shared" ca="1" si="575"/>
        <v>0</v>
      </c>
      <c r="N108" s="12">
        <f t="shared" ca="1" si="575"/>
        <v>0</v>
      </c>
      <c r="O108" s="12">
        <f t="shared" ca="1" si="575"/>
        <v>0</v>
      </c>
      <c r="P108" s="12">
        <f t="shared" ca="1" si="575"/>
        <v>0</v>
      </c>
      <c r="Q108" s="12">
        <f t="shared" ca="1" si="575"/>
        <v>0</v>
      </c>
      <c r="R108" s="12">
        <f t="shared" ca="1" si="575"/>
        <v>0</v>
      </c>
      <c r="S108" s="12">
        <f t="shared" ca="1" si="575"/>
        <v>0</v>
      </c>
      <c r="T108" s="12">
        <f t="shared" ca="1" si="575"/>
        <v>0</v>
      </c>
      <c r="U108" s="12">
        <f t="shared" ca="1" si="575"/>
        <v>0</v>
      </c>
      <c r="V108" s="12">
        <f t="shared" ca="1" si="575"/>
        <v>0</v>
      </c>
      <c r="W108" s="12">
        <f t="shared" ca="1" si="575"/>
        <v>0</v>
      </c>
      <c r="X108" s="12">
        <f t="shared" ca="1" si="575"/>
        <v>0</v>
      </c>
      <c r="Y108" s="12">
        <f t="shared" ca="1" si="575"/>
        <v>0</v>
      </c>
      <c r="Z108" s="12">
        <f t="shared" ca="1" si="575"/>
        <v>0</v>
      </c>
      <c r="AA108" s="12">
        <f t="shared" ca="1" si="575"/>
        <v>0</v>
      </c>
      <c r="AB108" s="12">
        <f t="shared" ca="1" si="575"/>
        <v>0</v>
      </c>
      <c r="AC108" s="12">
        <f t="shared" ca="1" si="575"/>
        <v>0</v>
      </c>
      <c r="AD108" s="12">
        <f t="shared" ca="1" si="575"/>
        <v>0</v>
      </c>
      <c r="AE108" s="12">
        <f t="shared" ca="1" si="575"/>
        <v>0</v>
      </c>
      <c r="AF108" s="12">
        <f t="shared" ca="1" si="575"/>
        <v>0</v>
      </c>
      <c r="AG108" s="12">
        <f t="shared" ca="1" si="575"/>
        <v>0</v>
      </c>
      <c r="AH108" s="12">
        <f t="shared" ca="1" si="575"/>
        <v>0</v>
      </c>
      <c r="AI108" s="12">
        <f t="shared" ca="1" si="575"/>
        <v>0</v>
      </c>
      <c r="AJ108" s="12">
        <f t="shared" ca="1" si="575"/>
        <v>0</v>
      </c>
      <c r="AK108" s="12">
        <f t="shared" ref="AK108:BP108" ca="1" si="576" xml:space="preserve"> AK$114</f>
        <v>0</v>
      </c>
      <c r="AL108" s="12">
        <f t="shared" ca="1" si="576"/>
        <v>0</v>
      </c>
      <c r="AM108" s="12">
        <f t="shared" ca="1" si="576"/>
        <v>0</v>
      </c>
      <c r="AN108" s="12">
        <f t="shared" ca="1" si="576"/>
        <v>0</v>
      </c>
      <c r="AO108" s="12">
        <f t="shared" ca="1" si="576"/>
        <v>0</v>
      </c>
      <c r="AP108" s="12">
        <f t="shared" ca="1" si="576"/>
        <v>0</v>
      </c>
      <c r="AQ108" s="12">
        <f t="shared" ca="1" si="576"/>
        <v>0</v>
      </c>
      <c r="AR108" s="12">
        <f t="shared" ca="1" si="576"/>
        <v>0</v>
      </c>
      <c r="AS108" s="12">
        <f t="shared" ca="1" si="576"/>
        <v>0</v>
      </c>
      <c r="AT108" s="12">
        <f t="shared" ca="1" si="576"/>
        <v>0</v>
      </c>
      <c r="AU108" s="12">
        <f t="shared" ca="1" si="576"/>
        <v>0</v>
      </c>
      <c r="AV108" s="12">
        <f t="shared" ca="1" si="576"/>
        <v>0</v>
      </c>
      <c r="AW108" s="12">
        <f t="shared" ca="1" si="576"/>
        <v>0</v>
      </c>
      <c r="AX108" s="12">
        <f t="shared" ca="1" si="576"/>
        <v>0</v>
      </c>
      <c r="AY108" s="12">
        <f t="shared" ca="1" si="576"/>
        <v>0</v>
      </c>
      <c r="AZ108" s="12">
        <f t="shared" ca="1" si="576"/>
        <v>0</v>
      </c>
      <c r="BA108" s="12">
        <f t="shared" ca="1" si="576"/>
        <v>0</v>
      </c>
      <c r="BB108" s="12">
        <f t="shared" ca="1" si="576"/>
        <v>0</v>
      </c>
      <c r="BC108" s="12">
        <f t="shared" ca="1" si="576"/>
        <v>0</v>
      </c>
      <c r="BD108" s="12">
        <f t="shared" ca="1" si="576"/>
        <v>0</v>
      </c>
      <c r="BE108" s="12">
        <f t="shared" ca="1" si="576"/>
        <v>0</v>
      </c>
      <c r="BF108" s="12">
        <f t="shared" ca="1" si="576"/>
        <v>0</v>
      </c>
      <c r="BG108" s="12">
        <f t="shared" ca="1" si="576"/>
        <v>0</v>
      </c>
      <c r="BH108" s="12">
        <f t="shared" ca="1" si="576"/>
        <v>0</v>
      </c>
      <c r="BI108" s="12">
        <f t="shared" ca="1" si="576"/>
        <v>0</v>
      </c>
      <c r="BJ108" s="12">
        <f t="shared" ca="1" si="576"/>
        <v>0</v>
      </c>
      <c r="BK108" s="12">
        <f t="shared" ca="1" si="576"/>
        <v>0</v>
      </c>
      <c r="BL108" s="12">
        <f t="shared" ca="1" si="576"/>
        <v>0</v>
      </c>
      <c r="BM108" s="12">
        <f t="shared" ca="1" si="576"/>
        <v>0</v>
      </c>
      <c r="BN108" s="12">
        <f t="shared" ca="1" si="576"/>
        <v>0</v>
      </c>
      <c r="BO108" s="12">
        <f t="shared" ca="1" si="576"/>
        <v>0</v>
      </c>
      <c r="BP108" s="12">
        <f t="shared" ca="1" si="576"/>
        <v>0</v>
      </c>
      <c r="BQ108" s="12">
        <f t="shared" ref="BQ108:CV108" ca="1" si="577" xml:space="preserve"> BQ$114</f>
        <v>0</v>
      </c>
      <c r="BR108" s="12">
        <f t="shared" ca="1" si="577"/>
        <v>0</v>
      </c>
      <c r="BS108" s="12">
        <f t="shared" ca="1" si="577"/>
        <v>0</v>
      </c>
      <c r="BT108" s="12">
        <f t="shared" ca="1" si="577"/>
        <v>0</v>
      </c>
      <c r="BU108" s="12">
        <f t="shared" ca="1" si="577"/>
        <v>0</v>
      </c>
      <c r="BV108" s="12">
        <f t="shared" ca="1" si="577"/>
        <v>0</v>
      </c>
      <c r="BW108" s="12">
        <f t="shared" ca="1" si="577"/>
        <v>0</v>
      </c>
      <c r="BX108" s="12">
        <f t="shared" ca="1" si="577"/>
        <v>0</v>
      </c>
      <c r="BY108" s="12">
        <f t="shared" ca="1" si="577"/>
        <v>0</v>
      </c>
      <c r="BZ108" s="12">
        <f t="shared" ca="1" si="577"/>
        <v>0</v>
      </c>
      <c r="CA108" s="12">
        <f t="shared" ca="1" si="577"/>
        <v>0</v>
      </c>
      <c r="CB108" s="12">
        <f t="shared" ca="1" si="577"/>
        <v>0</v>
      </c>
      <c r="CC108" s="12">
        <f t="shared" ca="1" si="577"/>
        <v>0</v>
      </c>
      <c r="CD108" s="12">
        <f t="shared" ca="1" si="577"/>
        <v>0</v>
      </c>
      <c r="CE108" s="12">
        <f t="shared" ca="1" si="577"/>
        <v>0</v>
      </c>
      <c r="CF108" s="12">
        <f t="shared" ca="1" si="577"/>
        <v>0</v>
      </c>
      <c r="CG108" s="12">
        <f t="shared" ca="1" si="577"/>
        <v>0</v>
      </c>
      <c r="CH108" s="12">
        <f t="shared" ca="1" si="577"/>
        <v>0</v>
      </c>
      <c r="CI108" s="12">
        <f t="shared" ca="1" si="577"/>
        <v>0</v>
      </c>
      <c r="CJ108" s="12">
        <f t="shared" ca="1" si="577"/>
        <v>0</v>
      </c>
      <c r="CK108" s="12">
        <f t="shared" ca="1" si="577"/>
        <v>0</v>
      </c>
      <c r="CL108" s="12">
        <f t="shared" ca="1" si="577"/>
        <v>0</v>
      </c>
      <c r="CM108" s="12">
        <f t="shared" ca="1" si="577"/>
        <v>0</v>
      </c>
      <c r="CN108" s="12">
        <f t="shared" ca="1" si="577"/>
        <v>0</v>
      </c>
      <c r="CO108" s="12">
        <f t="shared" ca="1" si="577"/>
        <v>0</v>
      </c>
      <c r="CP108" s="12">
        <f t="shared" ca="1" si="577"/>
        <v>0</v>
      </c>
      <c r="CQ108" s="12">
        <f t="shared" ca="1" si="577"/>
        <v>0</v>
      </c>
      <c r="CR108" s="12">
        <f t="shared" ca="1" si="577"/>
        <v>0</v>
      </c>
      <c r="CS108" s="12">
        <f t="shared" ca="1" si="577"/>
        <v>0</v>
      </c>
      <c r="CT108" s="12">
        <f t="shared" ca="1" si="577"/>
        <v>0</v>
      </c>
      <c r="CU108" s="12">
        <f t="shared" ca="1" si="577"/>
        <v>0</v>
      </c>
      <c r="CV108" s="12">
        <f t="shared" ca="1" si="577"/>
        <v>0</v>
      </c>
    </row>
    <row r="109" spans="1:100" outlineLevel="1" x14ac:dyDescent="0.2">
      <c r="E109" s="198" t="str">
        <f t="shared" ref="E109:AJ109" si="578" xml:space="preserve"> E$106</f>
        <v>Cash available for standby equity redemption - P99</v>
      </c>
      <c r="F109" s="198">
        <f t="shared" si="578"/>
        <v>0</v>
      </c>
      <c r="G109" s="198" t="str">
        <f t="shared" si="578"/>
        <v>$ 000s</v>
      </c>
      <c r="H109" s="198">
        <f t="shared" si="578"/>
        <v>0</v>
      </c>
      <c r="I109" s="198">
        <f t="shared" si="578"/>
        <v>0</v>
      </c>
      <c r="J109" s="198">
        <f t="shared" ca="1" si="578"/>
        <v>0</v>
      </c>
      <c r="K109" s="198">
        <f t="shared" ca="1" si="578"/>
        <v>0</v>
      </c>
      <c r="L109" s="198">
        <f t="shared" ca="1" si="578"/>
        <v>0</v>
      </c>
      <c r="M109" s="198">
        <f t="shared" ca="1" si="578"/>
        <v>0</v>
      </c>
      <c r="N109" s="198">
        <f t="shared" ca="1" si="578"/>
        <v>0</v>
      </c>
      <c r="O109" s="198">
        <f t="shared" ca="1" si="578"/>
        <v>0</v>
      </c>
      <c r="P109" s="198">
        <f t="shared" ca="1" si="578"/>
        <v>0</v>
      </c>
      <c r="Q109" s="198">
        <f t="shared" ca="1" si="578"/>
        <v>0</v>
      </c>
      <c r="R109" s="198">
        <f t="shared" ca="1" si="578"/>
        <v>0</v>
      </c>
      <c r="S109" s="198">
        <f t="shared" ca="1" si="578"/>
        <v>0</v>
      </c>
      <c r="T109" s="198">
        <f t="shared" ca="1" si="578"/>
        <v>0</v>
      </c>
      <c r="U109" s="198">
        <f t="shared" ca="1" si="578"/>
        <v>0</v>
      </c>
      <c r="V109" s="198">
        <f t="shared" ca="1" si="578"/>
        <v>0</v>
      </c>
      <c r="W109" s="198">
        <f t="shared" ca="1" si="578"/>
        <v>0</v>
      </c>
      <c r="X109" s="198">
        <f t="shared" ca="1" si="578"/>
        <v>0</v>
      </c>
      <c r="Y109" s="198">
        <f t="shared" ca="1" si="578"/>
        <v>0</v>
      </c>
      <c r="Z109" s="198">
        <f t="shared" ca="1" si="578"/>
        <v>0</v>
      </c>
      <c r="AA109" s="198">
        <f t="shared" ca="1" si="578"/>
        <v>0</v>
      </c>
      <c r="AB109" s="198">
        <f t="shared" ca="1" si="578"/>
        <v>0</v>
      </c>
      <c r="AC109" s="198">
        <f t="shared" ca="1" si="578"/>
        <v>0</v>
      </c>
      <c r="AD109" s="198">
        <f t="shared" ca="1" si="578"/>
        <v>0</v>
      </c>
      <c r="AE109" s="198">
        <f t="shared" ca="1" si="578"/>
        <v>0</v>
      </c>
      <c r="AF109" s="198">
        <f t="shared" ca="1" si="578"/>
        <v>0</v>
      </c>
      <c r="AG109" s="198">
        <f t="shared" ca="1" si="578"/>
        <v>0</v>
      </c>
      <c r="AH109" s="198">
        <f t="shared" ca="1" si="578"/>
        <v>0</v>
      </c>
      <c r="AI109" s="198">
        <f t="shared" ca="1" si="578"/>
        <v>0</v>
      </c>
      <c r="AJ109" s="198">
        <f t="shared" ca="1" si="578"/>
        <v>0</v>
      </c>
      <c r="AK109" s="198">
        <f t="shared" ref="AK109:BP109" ca="1" si="579" xml:space="preserve"> AK$106</f>
        <v>0</v>
      </c>
      <c r="AL109" s="198">
        <f t="shared" ca="1" si="579"/>
        <v>0</v>
      </c>
      <c r="AM109" s="198">
        <f t="shared" ca="1" si="579"/>
        <v>0</v>
      </c>
      <c r="AN109" s="198">
        <f t="shared" ca="1" si="579"/>
        <v>0</v>
      </c>
      <c r="AO109" s="198">
        <f t="shared" ca="1" si="579"/>
        <v>0</v>
      </c>
      <c r="AP109" s="198">
        <f t="shared" ca="1" si="579"/>
        <v>0</v>
      </c>
      <c r="AQ109" s="198">
        <f t="shared" ca="1" si="579"/>
        <v>0</v>
      </c>
      <c r="AR109" s="198">
        <f t="shared" ca="1" si="579"/>
        <v>0</v>
      </c>
      <c r="AS109" s="198">
        <f t="shared" ca="1" si="579"/>
        <v>0</v>
      </c>
      <c r="AT109" s="198">
        <f t="shared" ca="1" si="579"/>
        <v>0</v>
      </c>
      <c r="AU109" s="198">
        <f t="shared" ca="1" si="579"/>
        <v>0</v>
      </c>
      <c r="AV109" s="198">
        <f t="shared" ca="1" si="579"/>
        <v>0</v>
      </c>
      <c r="AW109" s="198">
        <f t="shared" ca="1" si="579"/>
        <v>0</v>
      </c>
      <c r="AX109" s="198">
        <f t="shared" ca="1" si="579"/>
        <v>0</v>
      </c>
      <c r="AY109" s="198">
        <f t="shared" ca="1" si="579"/>
        <v>0</v>
      </c>
      <c r="AZ109" s="198">
        <f t="shared" ca="1" si="579"/>
        <v>0</v>
      </c>
      <c r="BA109" s="198">
        <f t="shared" ca="1" si="579"/>
        <v>0</v>
      </c>
      <c r="BB109" s="198">
        <f t="shared" ca="1" si="579"/>
        <v>0</v>
      </c>
      <c r="BC109" s="198">
        <f t="shared" ca="1" si="579"/>
        <v>0</v>
      </c>
      <c r="BD109" s="198">
        <f t="shared" ca="1" si="579"/>
        <v>0</v>
      </c>
      <c r="BE109" s="198">
        <f t="shared" ca="1" si="579"/>
        <v>0</v>
      </c>
      <c r="BF109" s="198">
        <f t="shared" ca="1" si="579"/>
        <v>0</v>
      </c>
      <c r="BG109" s="198">
        <f t="shared" ca="1" si="579"/>
        <v>0</v>
      </c>
      <c r="BH109" s="198">
        <f t="shared" ca="1" si="579"/>
        <v>0</v>
      </c>
      <c r="BI109" s="198">
        <f t="shared" ca="1" si="579"/>
        <v>0</v>
      </c>
      <c r="BJ109" s="198">
        <f t="shared" ca="1" si="579"/>
        <v>0</v>
      </c>
      <c r="BK109" s="198">
        <f t="shared" ca="1" si="579"/>
        <v>0</v>
      </c>
      <c r="BL109" s="198">
        <f t="shared" ca="1" si="579"/>
        <v>0</v>
      </c>
      <c r="BM109" s="198">
        <f t="shared" ca="1" si="579"/>
        <v>0</v>
      </c>
      <c r="BN109" s="198">
        <f t="shared" ca="1" si="579"/>
        <v>0</v>
      </c>
      <c r="BO109" s="198">
        <f t="shared" ca="1" si="579"/>
        <v>0</v>
      </c>
      <c r="BP109" s="198">
        <f t="shared" ca="1" si="579"/>
        <v>0</v>
      </c>
      <c r="BQ109" s="198">
        <f t="shared" ref="BQ109:CV109" ca="1" si="580" xml:space="preserve"> BQ$106</f>
        <v>0</v>
      </c>
      <c r="BR109" s="198">
        <f t="shared" ca="1" si="580"/>
        <v>0</v>
      </c>
      <c r="BS109" s="198">
        <f t="shared" ca="1" si="580"/>
        <v>0</v>
      </c>
      <c r="BT109" s="198">
        <f t="shared" ca="1" si="580"/>
        <v>0</v>
      </c>
      <c r="BU109" s="198">
        <f t="shared" ca="1" si="580"/>
        <v>0</v>
      </c>
      <c r="BV109" s="198">
        <f t="shared" ca="1" si="580"/>
        <v>0</v>
      </c>
      <c r="BW109" s="198">
        <f t="shared" ca="1" si="580"/>
        <v>0</v>
      </c>
      <c r="BX109" s="198">
        <f t="shared" ca="1" si="580"/>
        <v>0</v>
      </c>
      <c r="BY109" s="198">
        <f t="shared" ca="1" si="580"/>
        <v>0</v>
      </c>
      <c r="BZ109" s="198">
        <f t="shared" ca="1" si="580"/>
        <v>0</v>
      </c>
      <c r="CA109" s="198">
        <f t="shared" ca="1" si="580"/>
        <v>0</v>
      </c>
      <c r="CB109" s="198">
        <f t="shared" ca="1" si="580"/>
        <v>0</v>
      </c>
      <c r="CC109" s="198">
        <f t="shared" ca="1" si="580"/>
        <v>0</v>
      </c>
      <c r="CD109" s="198">
        <f t="shared" ca="1" si="580"/>
        <v>0</v>
      </c>
      <c r="CE109" s="198">
        <f t="shared" ca="1" si="580"/>
        <v>0</v>
      </c>
      <c r="CF109" s="198">
        <f t="shared" ca="1" si="580"/>
        <v>0</v>
      </c>
      <c r="CG109" s="198">
        <f t="shared" ca="1" si="580"/>
        <v>0</v>
      </c>
      <c r="CH109" s="198">
        <f t="shared" ca="1" si="580"/>
        <v>0</v>
      </c>
      <c r="CI109" s="198">
        <f t="shared" ca="1" si="580"/>
        <v>0</v>
      </c>
      <c r="CJ109" s="198">
        <f t="shared" ca="1" si="580"/>
        <v>0</v>
      </c>
      <c r="CK109" s="198">
        <f t="shared" ca="1" si="580"/>
        <v>0</v>
      </c>
      <c r="CL109" s="198">
        <f t="shared" ca="1" si="580"/>
        <v>0</v>
      </c>
      <c r="CM109" s="198">
        <f t="shared" ca="1" si="580"/>
        <v>0</v>
      </c>
      <c r="CN109" s="198">
        <f t="shared" ca="1" si="580"/>
        <v>0</v>
      </c>
      <c r="CO109" s="198">
        <f t="shared" ca="1" si="580"/>
        <v>0</v>
      </c>
      <c r="CP109" s="198">
        <f t="shared" ca="1" si="580"/>
        <v>0</v>
      </c>
      <c r="CQ109" s="198">
        <f t="shared" ca="1" si="580"/>
        <v>0</v>
      </c>
      <c r="CR109" s="198">
        <f t="shared" ca="1" si="580"/>
        <v>0</v>
      </c>
      <c r="CS109" s="198">
        <f t="shared" ca="1" si="580"/>
        <v>0</v>
      </c>
      <c r="CT109" s="198">
        <f t="shared" ca="1" si="580"/>
        <v>0</v>
      </c>
      <c r="CU109" s="198">
        <f t="shared" ca="1" si="580"/>
        <v>0</v>
      </c>
      <c r="CV109" s="198">
        <f t="shared" ca="1" si="580"/>
        <v>0</v>
      </c>
    </row>
    <row r="110" spans="1:100" outlineLevel="1" x14ac:dyDescent="0.2">
      <c r="E110" s="226" t="str">
        <f xml:space="preserve"> Time!E$101</f>
        <v xml:space="preserve">Last operating period flag </v>
      </c>
      <c r="F110" s="226">
        <f xml:space="preserve"> Time!F$101</f>
        <v>0</v>
      </c>
      <c r="G110" s="226" t="str">
        <f xml:space="preserve"> Time!G$101</f>
        <v>flag</v>
      </c>
      <c r="H110" s="226">
        <f xml:space="preserve"> Time!H$101</f>
        <v>1</v>
      </c>
      <c r="I110" s="226">
        <f xml:space="preserve"> Time!I$101</f>
        <v>0</v>
      </c>
      <c r="J110" s="226">
        <f xml:space="preserve"> Time!J$101</f>
        <v>0</v>
      </c>
      <c r="K110" s="226">
        <f xml:space="preserve"> Time!K$101</f>
        <v>0</v>
      </c>
      <c r="L110" s="226">
        <f xml:space="preserve"> Time!L$101</f>
        <v>0</v>
      </c>
      <c r="M110" s="226">
        <f xml:space="preserve"> Time!M$101</f>
        <v>0</v>
      </c>
      <c r="N110" s="226">
        <f xml:space="preserve"> Time!N$101</f>
        <v>0</v>
      </c>
      <c r="O110" s="226">
        <f xml:space="preserve"> Time!O$101</f>
        <v>0</v>
      </c>
      <c r="P110" s="226">
        <f xml:space="preserve"> Time!P$101</f>
        <v>0</v>
      </c>
      <c r="Q110" s="226">
        <f xml:space="preserve"> Time!Q$101</f>
        <v>0</v>
      </c>
      <c r="R110" s="226">
        <f xml:space="preserve"> Time!R$101</f>
        <v>0</v>
      </c>
      <c r="S110" s="226">
        <f xml:space="preserve"> Time!S$101</f>
        <v>0</v>
      </c>
      <c r="T110" s="226">
        <f xml:space="preserve"> Time!T$101</f>
        <v>0</v>
      </c>
      <c r="U110" s="226">
        <f xml:space="preserve"> Time!U$101</f>
        <v>0</v>
      </c>
      <c r="V110" s="226">
        <f xml:space="preserve"> Time!V$101</f>
        <v>0</v>
      </c>
      <c r="W110" s="226">
        <f xml:space="preserve"> Time!W$101</f>
        <v>0</v>
      </c>
      <c r="X110" s="226">
        <f xml:space="preserve"> Time!X$101</f>
        <v>0</v>
      </c>
      <c r="Y110" s="226">
        <f xml:space="preserve"> Time!Y$101</f>
        <v>0</v>
      </c>
      <c r="Z110" s="226">
        <f xml:space="preserve"> Time!Z$101</f>
        <v>0</v>
      </c>
      <c r="AA110" s="226">
        <f xml:space="preserve"> Time!AA$101</f>
        <v>0</v>
      </c>
      <c r="AB110" s="226">
        <f xml:space="preserve"> Time!AB$101</f>
        <v>0</v>
      </c>
      <c r="AC110" s="226">
        <f xml:space="preserve"> Time!AC$101</f>
        <v>0</v>
      </c>
      <c r="AD110" s="226">
        <f xml:space="preserve"> Time!AD$101</f>
        <v>0</v>
      </c>
      <c r="AE110" s="226">
        <f xml:space="preserve"> Time!AE$101</f>
        <v>0</v>
      </c>
      <c r="AF110" s="226">
        <f xml:space="preserve"> Time!AF$101</f>
        <v>0</v>
      </c>
      <c r="AG110" s="226">
        <f xml:space="preserve"> Time!AG$101</f>
        <v>0</v>
      </c>
      <c r="AH110" s="226">
        <f xml:space="preserve"> Time!AH$101</f>
        <v>0</v>
      </c>
      <c r="AI110" s="226">
        <f xml:space="preserve"> Time!AI$101</f>
        <v>0</v>
      </c>
      <c r="AJ110" s="226">
        <f xml:space="preserve"> Time!AJ$101</f>
        <v>0</v>
      </c>
      <c r="AK110" s="226">
        <f xml:space="preserve"> Time!AK$101</f>
        <v>0</v>
      </c>
      <c r="AL110" s="226">
        <f xml:space="preserve"> Time!AL$101</f>
        <v>0</v>
      </c>
      <c r="AM110" s="226">
        <f xml:space="preserve"> Time!AM$101</f>
        <v>0</v>
      </c>
      <c r="AN110" s="226">
        <f xml:space="preserve"> Time!AN$101</f>
        <v>0</v>
      </c>
      <c r="AO110" s="226">
        <f xml:space="preserve"> Time!AO$101</f>
        <v>0</v>
      </c>
      <c r="AP110" s="226">
        <f xml:space="preserve"> Time!AP$101</f>
        <v>0</v>
      </c>
      <c r="AQ110" s="226">
        <f xml:space="preserve"> Time!AQ$101</f>
        <v>0</v>
      </c>
      <c r="AR110" s="226">
        <f xml:space="preserve"> Time!AR$101</f>
        <v>0</v>
      </c>
      <c r="AS110" s="226">
        <f xml:space="preserve"> Time!AS$101</f>
        <v>0</v>
      </c>
      <c r="AT110" s="226">
        <f xml:space="preserve"> Time!AT$101</f>
        <v>0</v>
      </c>
      <c r="AU110" s="226">
        <f xml:space="preserve"> Time!AU$101</f>
        <v>0</v>
      </c>
      <c r="AV110" s="226">
        <f xml:space="preserve"> Time!AV$101</f>
        <v>0</v>
      </c>
      <c r="AW110" s="226">
        <f xml:space="preserve"> Time!AW$101</f>
        <v>0</v>
      </c>
      <c r="AX110" s="226">
        <f xml:space="preserve"> Time!AX$101</f>
        <v>0</v>
      </c>
      <c r="AY110" s="226">
        <f xml:space="preserve"> Time!AY$101</f>
        <v>0</v>
      </c>
      <c r="AZ110" s="226">
        <f xml:space="preserve"> Time!AZ$101</f>
        <v>0</v>
      </c>
      <c r="BA110" s="226">
        <f xml:space="preserve"> Time!BA$101</f>
        <v>0</v>
      </c>
      <c r="BB110" s="226">
        <f xml:space="preserve"> Time!BB$101</f>
        <v>1</v>
      </c>
      <c r="BC110" s="226">
        <f xml:space="preserve"> Time!BC$101</f>
        <v>0</v>
      </c>
      <c r="BD110" s="226">
        <f xml:space="preserve"> Time!BD$101</f>
        <v>0</v>
      </c>
      <c r="BE110" s="226">
        <f xml:space="preserve"> Time!BE$101</f>
        <v>0</v>
      </c>
      <c r="BF110" s="226">
        <f xml:space="preserve"> Time!BF$101</f>
        <v>0</v>
      </c>
      <c r="BG110" s="226">
        <f xml:space="preserve"> Time!BG$101</f>
        <v>0</v>
      </c>
      <c r="BH110" s="226">
        <f xml:space="preserve"> Time!BH$101</f>
        <v>0</v>
      </c>
      <c r="BI110" s="226">
        <f xml:space="preserve"> Time!BI$101</f>
        <v>0</v>
      </c>
      <c r="BJ110" s="226">
        <f xml:space="preserve"> Time!BJ$101</f>
        <v>0</v>
      </c>
      <c r="BK110" s="226">
        <f xml:space="preserve"> Time!BK$101</f>
        <v>0</v>
      </c>
      <c r="BL110" s="226">
        <f xml:space="preserve"> Time!BL$101</f>
        <v>0</v>
      </c>
      <c r="BM110" s="226">
        <f xml:space="preserve"> Time!BM$101</f>
        <v>0</v>
      </c>
      <c r="BN110" s="226">
        <f xml:space="preserve"> Time!BN$101</f>
        <v>0</v>
      </c>
      <c r="BO110" s="226">
        <f xml:space="preserve"> Time!BO$101</f>
        <v>0</v>
      </c>
      <c r="BP110" s="226">
        <f xml:space="preserve"> Time!BP$101</f>
        <v>0</v>
      </c>
      <c r="BQ110" s="226">
        <f xml:space="preserve"> Time!BQ$101</f>
        <v>0</v>
      </c>
      <c r="BR110" s="226">
        <f xml:space="preserve"> Time!BR$101</f>
        <v>0</v>
      </c>
      <c r="BS110" s="226">
        <f xml:space="preserve"> Time!BS$101</f>
        <v>0</v>
      </c>
      <c r="BT110" s="226">
        <f xml:space="preserve"> Time!BT$101</f>
        <v>0</v>
      </c>
      <c r="BU110" s="226">
        <f xml:space="preserve"> Time!BU$101</f>
        <v>0</v>
      </c>
      <c r="BV110" s="226">
        <f xml:space="preserve"> Time!BV$101</f>
        <v>0</v>
      </c>
      <c r="BW110" s="226">
        <f xml:space="preserve"> Time!BW$101</f>
        <v>0</v>
      </c>
      <c r="BX110" s="226">
        <f xml:space="preserve"> Time!BX$101</f>
        <v>0</v>
      </c>
      <c r="BY110" s="226">
        <f xml:space="preserve"> Time!BY$101</f>
        <v>0</v>
      </c>
      <c r="BZ110" s="226">
        <f xml:space="preserve"> Time!BZ$101</f>
        <v>0</v>
      </c>
      <c r="CA110" s="226">
        <f xml:space="preserve"> Time!CA$101</f>
        <v>0</v>
      </c>
      <c r="CB110" s="226">
        <f xml:space="preserve"> Time!CB$101</f>
        <v>0</v>
      </c>
      <c r="CC110" s="226">
        <f xml:space="preserve"> Time!CC$101</f>
        <v>0</v>
      </c>
      <c r="CD110" s="226">
        <f xml:space="preserve"> Time!CD$101</f>
        <v>0</v>
      </c>
      <c r="CE110" s="226">
        <f xml:space="preserve"> Time!CE$101</f>
        <v>0</v>
      </c>
      <c r="CF110" s="226">
        <f xml:space="preserve"> Time!CF$101</f>
        <v>0</v>
      </c>
      <c r="CG110" s="226">
        <f xml:space="preserve"> Time!CG$101</f>
        <v>0</v>
      </c>
      <c r="CH110" s="226">
        <f xml:space="preserve"> Time!CH$101</f>
        <v>0</v>
      </c>
      <c r="CI110" s="226">
        <f xml:space="preserve"> Time!CI$101</f>
        <v>0</v>
      </c>
      <c r="CJ110" s="226">
        <f xml:space="preserve"> Time!CJ$101</f>
        <v>0</v>
      </c>
      <c r="CK110" s="226">
        <f xml:space="preserve"> Time!CK$101</f>
        <v>0</v>
      </c>
      <c r="CL110" s="226">
        <f xml:space="preserve"> Time!CL$101</f>
        <v>0</v>
      </c>
      <c r="CM110" s="226">
        <f xml:space="preserve"> Time!CM$101</f>
        <v>0</v>
      </c>
      <c r="CN110" s="226">
        <f xml:space="preserve"> Time!CN$101</f>
        <v>0</v>
      </c>
      <c r="CO110" s="226">
        <f xml:space="preserve"> Time!CO$101</f>
        <v>0</v>
      </c>
      <c r="CP110" s="226">
        <f xml:space="preserve"> Time!CP$101</f>
        <v>0</v>
      </c>
      <c r="CQ110" s="226">
        <f xml:space="preserve"> Time!CQ$101</f>
        <v>0</v>
      </c>
      <c r="CR110" s="226">
        <f xml:space="preserve"> Time!CR$101</f>
        <v>0</v>
      </c>
      <c r="CS110" s="226">
        <f xml:space="preserve"> Time!CS$101</f>
        <v>0</v>
      </c>
      <c r="CT110" s="226">
        <f xml:space="preserve"> Time!CT$101</f>
        <v>0</v>
      </c>
      <c r="CU110" s="226">
        <f xml:space="preserve"> Time!CU$101</f>
        <v>0</v>
      </c>
      <c r="CV110" s="226">
        <f xml:space="preserve"> Time!CV$101</f>
        <v>0</v>
      </c>
    </row>
    <row r="111" spans="1:100" s="188" customFormat="1" outlineLevel="1" x14ac:dyDescent="0.2">
      <c r="A111" s="141"/>
      <c r="B111" s="141"/>
      <c r="C111" s="142"/>
      <c r="D111" s="143"/>
      <c r="E111" s="402" t="s">
        <v>1230</v>
      </c>
      <c r="F111" s="402"/>
      <c r="G111" s="402" t="str">
        <f xml:space="preserve"> SMU</f>
        <v>$ 000s</v>
      </c>
      <c r="H111" s="402">
        <f ca="1" xml:space="preserve"> SUM(J111:CV111)</f>
        <v>0</v>
      </c>
      <c r="I111" s="402"/>
      <c r="J111" s="402">
        <f t="shared" ref="J111" ca="1" si="581" xml:space="preserve"> MIN(J108, J109) * J110</f>
        <v>0</v>
      </c>
      <c r="K111" s="402">
        <f t="shared" ref="K111" ca="1" si="582" xml:space="preserve"> MIN(K108, K109) * K110</f>
        <v>0</v>
      </c>
      <c r="L111" s="402">
        <f t="shared" ref="L111" ca="1" si="583" xml:space="preserve"> MIN(L108, L109) * L110</f>
        <v>0</v>
      </c>
      <c r="M111" s="402">
        <f t="shared" ref="M111" ca="1" si="584" xml:space="preserve"> MIN(M108, M109) * M110</f>
        <v>0</v>
      </c>
      <c r="N111" s="402">
        <f t="shared" ref="N111" ca="1" si="585" xml:space="preserve"> MIN(N108, N109) * N110</f>
        <v>0</v>
      </c>
      <c r="O111" s="402">
        <f t="shared" ref="O111" ca="1" si="586" xml:space="preserve"> MIN(O108, O109) * O110</f>
        <v>0</v>
      </c>
      <c r="P111" s="402">
        <f t="shared" ref="P111" ca="1" si="587" xml:space="preserve"> MIN(P108, P109) * P110</f>
        <v>0</v>
      </c>
      <c r="Q111" s="402">
        <f t="shared" ref="Q111" ca="1" si="588" xml:space="preserve"> MIN(Q108, Q109) * Q110</f>
        <v>0</v>
      </c>
      <c r="R111" s="402">
        <f t="shared" ref="R111" ca="1" si="589" xml:space="preserve"> MIN(R108, R109) * R110</f>
        <v>0</v>
      </c>
      <c r="S111" s="402">
        <f t="shared" ref="S111" ca="1" si="590" xml:space="preserve"> MIN(S108, S109) * S110</f>
        <v>0</v>
      </c>
      <c r="T111" s="402">
        <f t="shared" ref="T111" ca="1" si="591" xml:space="preserve"> MIN(T108, T109) * T110</f>
        <v>0</v>
      </c>
      <c r="U111" s="402">
        <f t="shared" ref="U111" ca="1" si="592" xml:space="preserve"> MIN(U108, U109) * U110</f>
        <v>0</v>
      </c>
      <c r="V111" s="402">
        <f t="shared" ref="V111" ca="1" si="593" xml:space="preserve"> MIN(V108, V109) * V110</f>
        <v>0</v>
      </c>
      <c r="W111" s="402">
        <f t="shared" ref="W111" ca="1" si="594" xml:space="preserve"> MIN(W108, W109) * W110</f>
        <v>0</v>
      </c>
      <c r="X111" s="402">
        <f t="shared" ref="X111" ca="1" si="595" xml:space="preserve"> MIN(X108, X109) * X110</f>
        <v>0</v>
      </c>
      <c r="Y111" s="402">
        <f t="shared" ref="Y111" ca="1" si="596" xml:space="preserve"> MIN(Y108, Y109) * Y110</f>
        <v>0</v>
      </c>
      <c r="Z111" s="402">
        <f t="shared" ref="Z111" ca="1" si="597" xml:space="preserve"> MIN(Z108, Z109) * Z110</f>
        <v>0</v>
      </c>
      <c r="AA111" s="402">
        <f t="shared" ref="AA111" ca="1" si="598" xml:space="preserve"> MIN(AA108, AA109) * AA110</f>
        <v>0</v>
      </c>
      <c r="AB111" s="402">
        <f t="shared" ref="AB111" ca="1" si="599" xml:space="preserve"> MIN(AB108, AB109) * AB110</f>
        <v>0</v>
      </c>
      <c r="AC111" s="402">
        <f t="shared" ref="AC111" ca="1" si="600" xml:space="preserve"> MIN(AC108, AC109) * AC110</f>
        <v>0</v>
      </c>
      <c r="AD111" s="402">
        <f t="shared" ref="AD111" ca="1" si="601" xml:space="preserve"> MIN(AD108, AD109) * AD110</f>
        <v>0</v>
      </c>
      <c r="AE111" s="402">
        <f t="shared" ref="AE111" ca="1" si="602" xml:space="preserve"> MIN(AE108, AE109) * AE110</f>
        <v>0</v>
      </c>
      <c r="AF111" s="402">
        <f t="shared" ref="AF111" ca="1" si="603" xml:space="preserve"> MIN(AF108, AF109) * AF110</f>
        <v>0</v>
      </c>
      <c r="AG111" s="402">
        <f t="shared" ref="AG111" ca="1" si="604" xml:space="preserve"> MIN(AG108, AG109) * AG110</f>
        <v>0</v>
      </c>
      <c r="AH111" s="402">
        <f t="shared" ref="AH111" ca="1" si="605" xml:space="preserve"> MIN(AH108, AH109) * AH110</f>
        <v>0</v>
      </c>
      <c r="AI111" s="402">
        <f t="shared" ref="AI111" ca="1" si="606" xml:space="preserve"> MIN(AI108, AI109) * AI110</f>
        <v>0</v>
      </c>
      <c r="AJ111" s="402">
        <f t="shared" ref="AJ111" ca="1" si="607" xml:space="preserve"> MIN(AJ108, AJ109) * AJ110</f>
        <v>0</v>
      </c>
      <c r="AK111" s="402">
        <f t="shared" ref="AK111" ca="1" si="608" xml:space="preserve"> MIN(AK108, AK109) * AK110</f>
        <v>0</v>
      </c>
      <c r="AL111" s="402">
        <f t="shared" ref="AL111" ca="1" si="609" xml:space="preserve"> MIN(AL108, AL109) * AL110</f>
        <v>0</v>
      </c>
      <c r="AM111" s="402">
        <f t="shared" ref="AM111" ca="1" si="610" xml:space="preserve"> MIN(AM108, AM109) * AM110</f>
        <v>0</v>
      </c>
      <c r="AN111" s="402">
        <f t="shared" ref="AN111" ca="1" si="611" xml:space="preserve"> MIN(AN108, AN109) * AN110</f>
        <v>0</v>
      </c>
      <c r="AO111" s="402">
        <f t="shared" ref="AO111" ca="1" si="612" xml:space="preserve"> MIN(AO108, AO109) * AO110</f>
        <v>0</v>
      </c>
      <c r="AP111" s="402">
        <f t="shared" ref="AP111" ca="1" si="613" xml:space="preserve"> MIN(AP108, AP109) * AP110</f>
        <v>0</v>
      </c>
      <c r="AQ111" s="402">
        <f t="shared" ref="AQ111" ca="1" si="614" xml:space="preserve"> MIN(AQ108, AQ109) * AQ110</f>
        <v>0</v>
      </c>
      <c r="AR111" s="402">
        <f t="shared" ref="AR111" ca="1" si="615" xml:space="preserve"> MIN(AR108, AR109) * AR110</f>
        <v>0</v>
      </c>
      <c r="AS111" s="402">
        <f t="shared" ref="AS111" ca="1" si="616" xml:space="preserve"> MIN(AS108, AS109) * AS110</f>
        <v>0</v>
      </c>
      <c r="AT111" s="402">
        <f t="shared" ref="AT111" ca="1" si="617" xml:space="preserve"> MIN(AT108, AT109) * AT110</f>
        <v>0</v>
      </c>
      <c r="AU111" s="402">
        <f t="shared" ref="AU111" ca="1" si="618" xml:space="preserve"> MIN(AU108, AU109) * AU110</f>
        <v>0</v>
      </c>
      <c r="AV111" s="402">
        <f t="shared" ref="AV111" ca="1" si="619" xml:space="preserve"> MIN(AV108, AV109) * AV110</f>
        <v>0</v>
      </c>
      <c r="AW111" s="402">
        <f t="shared" ref="AW111" ca="1" si="620" xml:space="preserve"> MIN(AW108, AW109) * AW110</f>
        <v>0</v>
      </c>
      <c r="AX111" s="402">
        <f t="shared" ref="AX111" ca="1" si="621" xml:space="preserve"> MIN(AX108, AX109) * AX110</f>
        <v>0</v>
      </c>
      <c r="AY111" s="402">
        <f t="shared" ref="AY111" ca="1" si="622" xml:space="preserve"> MIN(AY108, AY109) * AY110</f>
        <v>0</v>
      </c>
      <c r="AZ111" s="402">
        <f t="shared" ref="AZ111" ca="1" si="623" xml:space="preserve"> MIN(AZ108, AZ109) * AZ110</f>
        <v>0</v>
      </c>
      <c r="BA111" s="402">
        <f t="shared" ref="BA111" ca="1" si="624" xml:space="preserve"> MIN(BA108, BA109) * BA110</f>
        <v>0</v>
      </c>
      <c r="BB111" s="402">
        <f t="shared" ref="BB111" ca="1" si="625" xml:space="preserve"> MIN(BB108, BB109) * BB110</f>
        <v>0</v>
      </c>
      <c r="BC111" s="402">
        <f t="shared" ref="BC111" ca="1" si="626" xml:space="preserve"> MIN(BC108, BC109) * BC110</f>
        <v>0</v>
      </c>
      <c r="BD111" s="402">
        <f t="shared" ref="BD111" ca="1" si="627" xml:space="preserve"> MIN(BD108, BD109) * BD110</f>
        <v>0</v>
      </c>
      <c r="BE111" s="402">
        <f t="shared" ref="BE111" ca="1" si="628" xml:space="preserve"> MIN(BE108, BE109) * BE110</f>
        <v>0</v>
      </c>
      <c r="BF111" s="402">
        <f t="shared" ref="BF111" ca="1" si="629" xml:space="preserve"> MIN(BF108, BF109) * BF110</f>
        <v>0</v>
      </c>
      <c r="BG111" s="402">
        <f t="shared" ref="BG111" ca="1" si="630" xml:space="preserve"> MIN(BG108, BG109) * BG110</f>
        <v>0</v>
      </c>
      <c r="BH111" s="402">
        <f t="shared" ref="BH111" ca="1" si="631" xml:space="preserve"> MIN(BH108, BH109) * BH110</f>
        <v>0</v>
      </c>
      <c r="BI111" s="402">
        <f t="shared" ref="BI111" ca="1" si="632" xml:space="preserve"> MIN(BI108, BI109) * BI110</f>
        <v>0</v>
      </c>
      <c r="BJ111" s="402">
        <f t="shared" ref="BJ111" ca="1" si="633" xml:space="preserve"> MIN(BJ108, BJ109) * BJ110</f>
        <v>0</v>
      </c>
      <c r="BK111" s="402">
        <f t="shared" ref="BK111" ca="1" si="634" xml:space="preserve"> MIN(BK108, BK109) * BK110</f>
        <v>0</v>
      </c>
      <c r="BL111" s="402">
        <f t="shared" ref="BL111" ca="1" si="635" xml:space="preserve"> MIN(BL108, BL109) * BL110</f>
        <v>0</v>
      </c>
      <c r="BM111" s="402">
        <f t="shared" ref="BM111" ca="1" si="636" xml:space="preserve"> MIN(BM108, BM109) * BM110</f>
        <v>0</v>
      </c>
      <c r="BN111" s="402">
        <f t="shared" ref="BN111" ca="1" si="637" xml:space="preserve"> MIN(BN108, BN109) * BN110</f>
        <v>0</v>
      </c>
      <c r="BO111" s="402">
        <f t="shared" ref="BO111" ca="1" si="638" xml:space="preserve"> MIN(BO108, BO109) * BO110</f>
        <v>0</v>
      </c>
      <c r="BP111" s="402">
        <f t="shared" ref="BP111" ca="1" si="639" xml:space="preserve"> MIN(BP108, BP109) * BP110</f>
        <v>0</v>
      </c>
      <c r="BQ111" s="402">
        <f t="shared" ref="BQ111" ca="1" si="640" xml:space="preserve"> MIN(BQ108, BQ109) * BQ110</f>
        <v>0</v>
      </c>
      <c r="BR111" s="402">
        <f t="shared" ref="BR111" ca="1" si="641" xml:space="preserve"> MIN(BR108, BR109) * BR110</f>
        <v>0</v>
      </c>
      <c r="BS111" s="402">
        <f t="shared" ref="BS111" ca="1" si="642" xml:space="preserve"> MIN(BS108, BS109) * BS110</f>
        <v>0</v>
      </c>
      <c r="BT111" s="402">
        <f t="shared" ref="BT111" ca="1" si="643" xml:space="preserve"> MIN(BT108, BT109) * BT110</f>
        <v>0</v>
      </c>
      <c r="BU111" s="402">
        <f t="shared" ref="BU111" ca="1" si="644" xml:space="preserve"> MIN(BU108, BU109) * BU110</f>
        <v>0</v>
      </c>
      <c r="BV111" s="402">
        <f t="shared" ref="BV111" ca="1" si="645" xml:space="preserve"> MIN(BV108, BV109) * BV110</f>
        <v>0</v>
      </c>
      <c r="BW111" s="402">
        <f t="shared" ref="BW111" ca="1" si="646" xml:space="preserve"> MIN(BW108, BW109) * BW110</f>
        <v>0</v>
      </c>
      <c r="BX111" s="402">
        <f t="shared" ref="BX111" ca="1" si="647" xml:space="preserve"> MIN(BX108, BX109) * BX110</f>
        <v>0</v>
      </c>
      <c r="BY111" s="402">
        <f t="shared" ref="BY111" ca="1" si="648" xml:space="preserve"> MIN(BY108, BY109) * BY110</f>
        <v>0</v>
      </c>
      <c r="BZ111" s="402">
        <f t="shared" ref="BZ111" ca="1" si="649" xml:space="preserve"> MIN(BZ108, BZ109) * BZ110</f>
        <v>0</v>
      </c>
      <c r="CA111" s="402">
        <f t="shared" ref="CA111" ca="1" si="650" xml:space="preserve"> MIN(CA108, CA109) * CA110</f>
        <v>0</v>
      </c>
      <c r="CB111" s="402">
        <f t="shared" ref="CB111" ca="1" si="651" xml:space="preserve"> MIN(CB108, CB109) * CB110</f>
        <v>0</v>
      </c>
      <c r="CC111" s="402">
        <f t="shared" ref="CC111" ca="1" si="652" xml:space="preserve"> MIN(CC108, CC109) * CC110</f>
        <v>0</v>
      </c>
      <c r="CD111" s="402">
        <f t="shared" ref="CD111" ca="1" si="653" xml:space="preserve"> MIN(CD108, CD109) * CD110</f>
        <v>0</v>
      </c>
      <c r="CE111" s="402">
        <f t="shared" ref="CE111" ca="1" si="654" xml:space="preserve"> MIN(CE108, CE109) * CE110</f>
        <v>0</v>
      </c>
      <c r="CF111" s="402">
        <f t="shared" ref="CF111" ca="1" si="655" xml:space="preserve"> MIN(CF108, CF109) * CF110</f>
        <v>0</v>
      </c>
      <c r="CG111" s="402">
        <f t="shared" ref="CG111" ca="1" si="656" xml:space="preserve"> MIN(CG108, CG109) * CG110</f>
        <v>0</v>
      </c>
      <c r="CH111" s="402">
        <f t="shared" ref="CH111" ca="1" si="657" xml:space="preserve"> MIN(CH108, CH109) * CH110</f>
        <v>0</v>
      </c>
      <c r="CI111" s="402">
        <f t="shared" ref="CI111" ca="1" si="658" xml:space="preserve"> MIN(CI108, CI109) * CI110</f>
        <v>0</v>
      </c>
      <c r="CJ111" s="402">
        <f t="shared" ref="CJ111" ca="1" si="659" xml:space="preserve"> MIN(CJ108, CJ109) * CJ110</f>
        <v>0</v>
      </c>
      <c r="CK111" s="402">
        <f t="shared" ref="CK111" ca="1" si="660" xml:space="preserve"> MIN(CK108, CK109) * CK110</f>
        <v>0</v>
      </c>
      <c r="CL111" s="402">
        <f t="shared" ref="CL111" ca="1" si="661" xml:space="preserve"> MIN(CL108, CL109) * CL110</f>
        <v>0</v>
      </c>
      <c r="CM111" s="402">
        <f t="shared" ref="CM111" ca="1" si="662" xml:space="preserve"> MIN(CM108, CM109) * CM110</f>
        <v>0</v>
      </c>
      <c r="CN111" s="402">
        <f t="shared" ref="CN111" ca="1" si="663" xml:space="preserve"> MIN(CN108, CN109) * CN110</f>
        <v>0</v>
      </c>
      <c r="CO111" s="402">
        <f t="shared" ref="CO111" ca="1" si="664" xml:space="preserve"> MIN(CO108, CO109) * CO110</f>
        <v>0</v>
      </c>
      <c r="CP111" s="402">
        <f t="shared" ref="CP111" ca="1" si="665" xml:space="preserve"> MIN(CP108, CP109) * CP110</f>
        <v>0</v>
      </c>
      <c r="CQ111" s="402">
        <f t="shared" ref="CQ111" ca="1" si="666" xml:space="preserve"> MIN(CQ108, CQ109) * CQ110</f>
        <v>0</v>
      </c>
      <c r="CR111" s="402">
        <f t="shared" ref="CR111" ca="1" si="667" xml:space="preserve"> MIN(CR108, CR109) * CR110</f>
        <v>0</v>
      </c>
      <c r="CS111" s="402">
        <f t="shared" ref="CS111" ca="1" si="668" xml:space="preserve"> MIN(CS108, CS109) * CS110</f>
        <v>0</v>
      </c>
      <c r="CT111" s="402">
        <f t="shared" ref="CT111" ca="1" si="669" xml:space="preserve"> MIN(CT108, CT109) * CT110</f>
        <v>0</v>
      </c>
      <c r="CU111" s="402">
        <f t="shared" ref="CU111" ca="1" si="670" xml:space="preserve"> MIN(CU108, CU109) * CU110</f>
        <v>0</v>
      </c>
      <c r="CV111" s="402">
        <f t="shared" ref="CV111" ca="1" si="671" xml:space="preserve"> MIN(CV108, CV109) * CV110</f>
        <v>0</v>
      </c>
    </row>
    <row r="112" spans="1:100" outlineLevel="1" x14ac:dyDescent="0.2">
      <c r="A112" s="141"/>
      <c r="B112" s="141"/>
      <c r="C112" s="142"/>
      <c r="D112" s="143"/>
      <c r="E112" s="402" t="str">
        <f xml:space="preserve"> LEFT(E111, LEN(E111) - 4)</f>
        <v>Standby equity redemption - P99</v>
      </c>
      <c r="F112" s="187"/>
      <c r="G112" s="187" t="str">
        <f xml:space="preserve"> SMU</f>
        <v>$ 000s</v>
      </c>
      <c r="H112" s="187">
        <f ca="1" xml:space="preserve"> SUM(J112:CV112)</f>
        <v>0</v>
      </c>
      <c r="I112" s="144"/>
      <c r="J112" s="187">
        <f t="shared" ref="J112:BU112" ca="1" si="672" xml:space="preserve"> -1 * J111</f>
        <v>0</v>
      </c>
      <c r="K112" s="187">
        <f t="shared" ca="1" si="672"/>
        <v>0</v>
      </c>
      <c r="L112" s="187">
        <f t="shared" ca="1" si="672"/>
        <v>0</v>
      </c>
      <c r="M112" s="187">
        <f t="shared" ca="1" si="672"/>
        <v>0</v>
      </c>
      <c r="N112" s="187">
        <f t="shared" ca="1" si="672"/>
        <v>0</v>
      </c>
      <c r="O112" s="187">
        <f t="shared" ca="1" si="672"/>
        <v>0</v>
      </c>
      <c r="P112" s="187">
        <f t="shared" ca="1" si="672"/>
        <v>0</v>
      </c>
      <c r="Q112" s="187">
        <f t="shared" ca="1" si="672"/>
        <v>0</v>
      </c>
      <c r="R112" s="187">
        <f t="shared" ca="1" si="672"/>
        <v>0</v>
      </c>
      <c r="S112" s="187">
        <f t="shared" ca="1" si="672"/>
        <v>0</v>
      </c>
      <c r="T112" s="187">
        <f t="shared" ca="1" si="672"/>
        <v>0</v>
      </c>
      <c r="U112" s="187">
        <f t="shared" ca="1" si="672"/>
        <v>0</v>
      </c>
      <c r="V112" s="187">
        <f t="shared" ca="1" si="672"/>
        <v>0</v>
      </c>
      <c r="W112" s="187">
        <f t="shared" ca="1" si="672"/>
        <v>0</v>
      </c>
      <c r="X112" s="187">
        <f t="shared" ca="1" si="672"/>
        <v>0</v>
      </c>
      <c r="Y112" s="187">
        <f t="shared" ca="1" si="672"/>
        <v>0</v>
      </c>
      <c r="Z112" s="187">
        <f t="shared" ca="1" si="672"/>
        <v>0</v>
      </c>
      <c r="AA112" s="187">
        <f t="shared" ca="1" si="672"/>
        <v>0</v>
      </c>
      <c r="AB112" s="187">
        <f t="shared" ca="1" si="672"/>
        <v>0</v>
      </c>
      <c r="AC112" s="187">
        <f t="shared" ca="1" si="672"/>
        <v>0</v>
      </c>
      <c r="AD112" s="187">
        <f t="shared" ca="1" si="672"/>
        <v>0</v>
      </c>
      <c r="AE112" s="187">
        <f t="shared" ca="1" si="672"/>
        <v>0</v>
      </c>
      <c r="AF112" s="187">
        <f t="shared" ca="1" si="672"/>
        <v>0</v>
      </c>
      <c r="AG112" s="187">
        <f t="shared" ca="1" si="672"/>
        <v>0</v>
      </c>
      <c r="AH112" s="187">
        <f t="shared" ca="1" si="672"/>
        <v>0</v>
      </c>
      <c r="AI112" s="187">
        <f t="shared" ca="1" si="672"/>
        <v>0</v>
      </c>
      <c r="AJ112" s="187">
        <f t="shared" ca="1" si="672"/>
        <v>0</v>
      </c>
      <c r="AK112" s="187">
        <f t="shared" ca="1" si="672"/>
        <v>0</v>
      </c>
      <c r="AL112" s="187">
        <f t="shared" ca="1" si="672"/>
        <v>0</v>
      </c>
      <c r="AM112" s="187">
        <f t="shared" ca="1" si="672"/>
        <v>0</v>
      </c>
      <c r="AN112" s="187">
        <f t="shared" ca="1" si="672"/>
        <v>0</v>
      </c>
      <c r="AO112" s="187">
        <f t="shared" ca="1" si="672"/>
        <v>0</v>
      </c>
      <c r="AP112" s="187">
        <f t="shared" ca="1" si="672"/>
        <v>0</v>
      </c>
      <c r="AQ112" s="187">
        <f t="shared" ca="1" si="672"/>
        <v>0</v>
      </c>
      <c r="AR112" s="187">
        <f t="shared" ca="1" si="672"/>
        <v>0</v>
      </c>
      <c r="AS112" s="187">
        <f t="shared" ca="1" si="672"/>
        <v>0</v>
      </c>
      <c r="AT112" s="187">
        <f t="shared" ca="1" si="672"/>
        <v>0</v>
      </c>
      <c r="AU112" s="187">
        <f t="shared" ca="1" si="672"/>
        <v>0</v>
      </c>
      <c r="AV112" s="187">
        <f t="shared" ca="1" si="672"/>
        <v>0</v>
      </c>
      <c r="AW112" s="187">
        <f t="shared" ca="1" si="672"/>
        <v>0</v>
      </c>
      <c r="AX112" s="187">
        <f t="shared" ca="1" si="672"/>
        <v>0</v>
      </c>
      <c r="AY112" s="187">
        <f t="shared" ca="1" si="672"/>
        <v>0</v>
      </c>
      <c r="AZ112" s="187">
        <f t="shared" ca="1" si="672"/>
        <v>0</v>
      </c>
      <c r="BA112" s="187">
        <f t="shared" ca="1" si="672"/>
        <v>0</v>
      </c>
      <c r="BB112" s="187">
        <f t="shared" ca="1" si="672"/>
        <v>0</v>
      </c>
      <c r="BC112" s="187">
        <f t="shared" ca="1" si="672"/>
        <v>0</v>
      </c>
      <c r="BD112" s="187">
        <f t="shared" ca="1" si="672"/>
        <v>0</v>
      </c>
      <c r="BE112" s="187">
        <f t="shared" ca="1" si="672"/>
        <v>0</v>
      </c>
      <c r="BF112" s="187">
        <f t="shared" ca="1" si="672"/>
        <v>0</v>
      </c>
      <c r="BG112" s="187">
        <f t="shared" ca="1" si="672"/>
        <v>0</v>
      </c>
      <c r="BH112" s="187">
        <f t="shared" ca="1" si="672"/>
        <v>0</v>
      </c>
      <c r="BI112" s="187">
        <f t="shared" ca="1" si="672"/>
        <v>0</v>
      </c>
      <c r="BJ112" s="187">
        <f t="shared" ca="1" si="672"/>
        <v>0</v>
      </c>
      <c r="BK112" s="187">
        <f t="shared" ca="1" si="672"/>
        <v>0</v>
      </c>
      <c r="BL112" s="187">
        <f t="shared" ca="1" si="672"/>
        <v>0</v>
      </c>
      <c r="BM112" s="187">
        <f t="shared" ca="1" si="672"/>
        <v>0</v>
      </c>
      <c r="BN112" s="187">
        <f t="shared" ca="1" si="672"/>
        <v>0</v>
      </c>
      <c r="BO112" s="187">
        <f t="shared" ca="1" si="672"/>
        <v>0</v>
      </c>
      <c r="BP112" s="187">
        <f t="shared" ca="1" si="672"/>
        <v>0</v>
      </c>
      <c r="BQ112" s="187">
        <f t="shared" ca="1" si="672"/>
        <v>0</v>
      </c>
      <c r="BR112" s="187">
        <f t="shared" ca="1" si="672"/>
        <v>0</v>
      </c>
      <c r="BS112" s="187">
        <f t="shared" ca="1" si="672"/>
        <v>0</v>
      </c>
      <c r="BT112" s="187">
        <f t="shared" ca="1" si="672"/>
        <v>0</v>
      </c>
      <c r="BU112" s="187">
        <f t="shared" ca="1" si="672"/>
        <v>0</v>
      </c>
      <c r="BV112" s="187">
        <f t="shared" ref="BV112:CV112" ca="1" si="673" xml:space="preserve"> -1 * BV111</f>
        <v>0</v>
      </c>
      <c r="BW112" s="187">
        <f t="shared" ca="1" si="673"/>
        <v>0</v>
      </c>
      <c r="BX112" s="187">
        <f t="shared" ca="1" si="673"/>
        <v>0</v>
      </c>
      <c r="BY112" s="187">
        <f t="shared" ca="1" si="673"/>
        <v>0</v>
      </c>
      <c r="BZ112" s="187">
        <f t="shared" ca="1" si="673"/>
        <v>0</v>
      </c>
      <c r="CA112" s="187">
        <f t="shared" ca="1" si="673"/>
        <v>0</v>
      </c>
      <c r="CB112" s="187">
        <f t="shared" ca="1" si="673"/>
        <v>0</v>
      </c>
      <c r="CC112" s="187">
        <f t="shared" ca="1" si="673"/>
        <v>0</v>
      </c>
      <c r="CD112" s="187">
        <f t="shared" ca="1" si="673"/>
        <v>0</v>
      </c>
      <c r="CE112" s="187">
        <f t="shared" ca="1" si="673"/>
        <v>0</v>
      </c>
      <c r="CF112" s="187">
        <f t="shared" ca="1" si="673"/>
        <v>0</v>
      </c>
      <c r="CG112" s="187">
        <f t="shared" ca="1" si="673"/>
        <v>0</v>
      </c>
      <c r="CH112" s="187">
        <f t="shared" ca="1" si="673"/>
        <v>0</v>
      </c>
      <c r="CI112" s="187">
        <f t="shared" ca="1" si="673"/>
        <v>0</v>
      </c>
      <c r="CJ112" s="187">
        <f t="shared" ca="1" si="673"/>
        <v>0</v>
      </c>
      <c r="CK112" s="187">
        <f t="shared" ca="1" si="673"/>
        <v>0</v>
      </c>
      <c r="CL112" s="187">
        <f t="shared" ca="1" si="673"/>
        <v>0</v>
      </c>
      <c r="CM112" s="187">
        <f t="shared" ca="1" si="673"/>
        <v>0</v>
      </c>
      <c r="CN112" s="187">
        <f t="shared" ca="1" si="673"/>
        <v>0</v>
      </c>
      <c r="CO112" s="187">
        <f t="shared" ca="1" si="673"/>
        <v>0</v>
      </c>
      <c r="CP112" s="187">
        <f t="shared" ca="1" si="673"/>
        <v>0</v>
      </c>
      <c r="CQ112" s="187">
        <f t="shared" ca="1" si="673"/>
        <v>0</v>
      </c>
      <c r="CR112" s="187">
        <f t="shared" ca="1" si="673"/>
        <v>0</v>
      </c>
      <c r="CS112" s="187">
        <f t="shared" ca="1" si="673"/>
        <v>0</v>
      </c>
      <c r="CT112" s="187">
        <f t="shared" ca="1" si="673"/>
        <v>0</v>
      </c>
      <c r="CU112" s="187">
        <f t="shared" ca="1" si="673"/>
        <v>0</v>
      </c>
      <c r="CV112" s="187">
        <f t="shared" ca="1" si="673"/>
        <v>0</v>
      </c>
    </row>
    <row r="113" spans="1:100" outlineLevel="1" x14ac:dyDescent="0.2"/>
    <row r="114" spans="1:100" s="502" customFormat="1" outlineLevel="1" x14ac:dyDescent="0.2">
      <c r="A114" s="216"/>
      <c r="B114" s="216"/>
      <c r="C114" s="217"/>
      <c r="D114" s="218"/>
      <c r="E114" s="219" t="s">
        <v>1231</v>
      </c>
      <c r="F114" s="219"/>
      <c r="G114" s="219" t="str">
        <f xml:space="preserve"> SMU</f>
        <v>$ 000s</v>
      </c>
      <c r="H114" s="219"/>
      <c r="I114" s="220"/>
      <c r="J114" s="219">
        <f t="shared" ref="J114" si="674">I117</f>
        <v>0</v>
      </c>
      <c r="K114" s="219">
        <f t="shared" ref="K114" ca="1" si="675">J117</f>
        <v>0</v>
      </c>
      <c r="L114" s="219">
        <f t="shared" ref="L114" ca="1" si="676">K117</f>
        <v>0</v>
      </c>
      <c r="M114" s="219">
        <f t="shared" ref="M114" ca="1" si="677">L117</f>
        <v>0</v>
      </c>
      <c r="N114" s="219">
        <f t="shared" ref="N114" ca="1" si="678">M117</f>
        <v>0</v>
      </c>
      <c r="O114" s="219">
        <f t="shared" ref="O114" ca="1" si="679">N117</f>
        <v>0</v>
      </c>
      <c r="P114" s="219">
        <f t="shared" ref="P114" ca="1" si="680">O117</f>
        <v>0</v>
      </c>
      <c r="Q114" s="219">
        <f t="shared" ref="Q114" ca="1" si="681">P117</f>
        <v>0</v>
      </c>
      <c r="R114" s="219">
        <f t="shared" ref="R114" ca="1" si="682">Q117</f>
        <v>0</v>
      </c>
      <c r="S114" s="219">
        <f t="shared" ref="S114" ca="1" si="683">R117</f>
        <v>0</v>
      </c>
      <c r="T114" s="219">
        <f t="shared" ref="T114" ca="1" si="684">S117</f>
        <v>0</v>
      </c>
      <c r="U114" s="219">
        <f t="shared" ref="U114" ca="1" si="685">T117</f>
        <v>0</v>
      </c>
      <c r="V114" s="219">
        <f t="shared" ref="V114" ca="1" si="686">U117</f>
        <v>0</v>
      </c>
      <c r="W114" s="219">
        <f t="shared" ref="W114" ca="1" si="687">V117</f>
        <v>0</v>
      </c>
      <c r="X114" s="219">
        <f t="shared" ref="X114" ca="1" si="688">W117</f>
        <v>0</v>
      </c>
      <c r="Y114" s="219">
        <f t="shared" ref="Y114" ca="1" si="689">X117</f>
        <v>0</v>
      </c>
      <c r="Z114" s="219">
        <f t="shared" ref="Z114" ca="1" si="690">Y117</f>
        <v>0</v>
      </c>
      <c r="AA114" s="219">
        <f t="shared" ref="AA114" ca="1" si="691">Z117</f>
        <v>0</v>
      </c>
      <c r="AB114" s="219">
        <f t="shared" ref="AB114" ca="1" si="692">AA117</f>
        <v>0</v>
      </c>
      <c r="AC114" s="219">
        <f t="shared" ref="AC114" ca="1" si="693">AB117</f>
        <v>0</v>
      </c>
      <c r="AD114" s="219">
        <f t="shared" ref="AD114" ca="1" si="694">AC117</f>
        <v>0</v>
      </c>
      <c r="AE114" s="219">
        <f t="shared" ref="AE114" ca="1" si="695">AD117</f>
        <v>0</v>
      </c>
      <c r="AF114" s="219">
        <f t="shared" ref="AF114" ca="1" si="696">AE117</f>
        <v>0</v>
      </c>
      <c r="AG114" s="219">
        <f t="shared" ref="AG114" ca="1" si="697">AF117</f>
        <v>0</v>
      </c>
      <c r="AH114" s="219">
        <f t="shared" ref="AH114" ca="1" si="698">AG117</f>
        <v>0</v>
      </c>
      <c r="AI114" s="219">
        <f t="shared" ref="AI114" ca="1" si="699">AH117</f>
        <v>0</v>
      </c>
      <c r="AJ114" s="219">
        <f t="shared" ref="AJ114" ca="1" si="700">AI117</f>
        <v>0</v>
      </c>
      <c r="AK114" s="219">
        <f t="shared" ref="AK114" ca="1" si="701">AJ117</f>
        <v>0</v>
      </c>
      <c r="AL114" s="219">
        <f t="shared" ref="AL114" ca="1" si="702">AK117</f>
        <v>0</v>
      </c>
      <c r="AM114" s="219">
        <f t="shared" ref="AM114" ca="1" si="703">AL117</f>
        <v>0</v>
      </c>
      <c r="AN114" s="219">
        <f t="shared" ref="AN114" ca="1" si="704">AM117</f>
        <v>0</v>
      </c>
      <c r="AO114" s="219">
        <f t="shared" ref="AO114" ca="1" si="705">AN117</f>
        <v>0</v>
      </c>
      <c r="AP114" s="219">
        <f t="shared" ref="AP114" ca="1" si="706">AO117</f>
        <v>0</v>
      </c>
      <c r="AQ114" s="219">
        <f t="shared" ref="AQ114" ca="1" si="707">AP117</f>
        <v>0</v>
      </c>
      <c r="AR114" s="219">
        <f t="shared" ref="AR114" ca="1" si="708">AQ117</f>
        <v>0</v>
      </c>
      <c r="AS114" s="219">
        <f t="shared" ref="AS114" ca="1" si="709">AR117</f>
        <v>0</v>
      </c>
      <c r="AT114" s="219">
        <f t="shared" ref="AT114" ca="1" si="710">AS117</f>
        <v>0</v>
      </c>
      <c r="AU114" s="219">
        <f t="shared" ref="AU114" ca="1" si="711">AT117</f>
        <v>0</v>
      </c>
      <c r="AV114" s="219">
        <f t="shared" ref="AV114" ca="1" si="712">AU117</f>
        <v>0</v>
      </c>
      <c r="AW114" s="219">
        <f t="shared" ref="AW114" ca="1" si="713">AV117</f>
        <v>0</v>
      </c>
      <c r="AX114" s="219">
        <f t="shared" ref="AX114" ca="1" si="714">AW117</f>
        <v>0</v>
      </c>
      <c r="AY114" s="219">
        <f t="shared" ref="AY114" ca="1" si="715">AX117</f>
        <v>0</v>
      </c>
      <c r="AZ114" s="219">
        <f t="shared" ref="AZ114" ca="1" si="716">AY117</f>
        <v>0</v>
      </c>
      <c r="BA114" s="219">
        <f t="shared" ref="BA114" ca="1" si="717">AZ117</f>
        <v>0</v>
      </c>
      <c r="BB114" s="219">
        <f t="shared" ref="BB114" ca="1" si="718">BA117</f>
        <v>0</v>
      </c>
      <c r="BC114" s="219">
        <f t="shared" ref="BC114" ca="1" si="719">BB117</f>
        <v>0</v>
      </c>
      <c r="BD114" s="219">
        <f t="shared" ref="BD114" ca="1" si="720">BC117</f>
        <v>0</v>
      </c>
      <c r="BE114" s="219">
        <f t="shared" ref="BE114" ca="1" si="721">BD117</f>
        <v>0</v>
      </c>
      <c r="BF114" s="219">
        <f t="shared" ref="BF114" ca="1" si="722">BE117</f>
        <v>0</v>
      </c>
      <c r="BG114" s="219">
        <f t="shared" ref="BG114" ca="1" si="723">BF117</f>
        <v>0</v>
      </c>
      <c r="BH114" s="219">
        <f t="shared" ref="BH114" ca="1" si="724">BG117</f>
        <v>0</v>
      </c>
      <c r="BI114" s="219">
        <f t="shared" ref="BI114" ca="1" si="725">BH117</f>
        <v>0</v>
      </c>
      <c r="BJ114" s="219">
        <f t="shared" ref="BJ114" ca="1" si="726">BI117</f>
        <v>0</v>
      </c>
      <c r="BK114" s="219">
        <f t="shared" ref="BK114" ca="1" si="727">BJ117</f>
        <v>0</v>
      </c>
      <c r="BL114" s="219">
        <f t="shared" ref="BL114" ca="1" si="728">BK117</f>
        <v>0</v>
      </c>
      <c r="BM114" s="219">
        <f t="shared" ref="BM114" ca="1" si="729">BL117</f>
        <v>0</v>
      </c>
      <c r="BN114" s="219">
        <f t="shared" ref="BN114" ca="1" si="730">BM117</f>
        <v>0</v>
      </c>
      <c r="BO114" s="219">
        <f t="shared" ref="BO114" ca="1" si="731">BN117</f>
        <v>0</v>
      </c>
      <c r="BP114" s="219">
        <f t="shared" ref="BP114" ca="1" si="732">BO117</f>
        <v>0</v>
      </c>
      <c r="BQ114" s="219">
        <f t="shared" ref="BQ114" ca="1" si="733">BP117</f>
        <v>0</v>
      </c>
      <c r="BR114" s="219">
        <f t="shared" ref="BR114" ca="1" si="734">BQ117</f>
        <v>0</v>
      </c>
      <c r="BS114" s="219">
        <f t="shared" ref="BS114" ca="1" si="735">BR117</f>
        <v>0</v>
      </c>
      <c r="BT114" s="219">
        <f t="shared" ref="BT114" ca="1" si="736">BS117</f>
        <v>0</v>
      </c>
      <c r="BU114" s="219">
        <f t="shared" ref="BU114" ca="1" si="737">BT117</f>
        <v>0</v>
      </c>
      <c r="BV114" s="219">
        <f t="shared" ref="BV114" ca="1" si="738">BU117</f>
        <v>0</v>
      </c>
      <c r="BW114" s="219">
        <f t="shared" ref="BW114" ca="1" si="739">BV117</f>
        <v>0</v>
      </c>
      <c r="BX114" s="219">
        <f t="shared" ref="BX114" ca="1" si="740">BW117</f>
        <v>0</v>
      </c>
      <c r="BY114" s="219">
        <f t="shared" ref="BY114" ca="1" si="741">BX117</f>
        <v>0</v>
      </c>
      <c r="BZ114" s="219">
        <f t="shared" ref="BZ114" ca="1" si="742">BY117</f>
        <v>0</v>
      </c>
      <c r="CA114" s="219">
        <f t="shared" ref="CA114" ca="1" si="743">BZ117</f>
        <v>0</v>
      </c>
      <c r="CB114" s="219">
        <f t="shared" ref="CB114" ca="1" si="744">CA117</f>
        <v>0</v>
      </c>
      <c r="CC114" s="219">
        <f t="shared" ref="CC114" ca="1" si="745">CB117</f>
        <v>0</v>
      </c>
      <c r="CD114" s="219">
        <f t="shared" ref="CD114" ca="1" si="746">CC117</f>
        <v>0</v>
      </c>
      <c r="CE114" s="219">
        <f t="shared" ref="CE114" ca="1" si="747">CD117</f>
        <v>0</v>
      </c>
      <c r="CF114" s="219">
        <f t="shared" ref="CF114" ca="1" si="748">CE117</f>
        <v>0</v>
      </c>
      <c r="CG114" s="219">
        <f t="shared" ref="CG114" ca="1" si="749">CF117</f>
        <v>0</v>
      </c>
      <c r="CH114" s="219">
        <f t="shared" ref="CH114" ca="1" si="750">CG117</f>
        <v>0</v>
      </c>
      <c r="CI114" s="219">
        <f t="shared" ref="CI114" ca="1" si="751">CH117</f>
        <v>0</v>
      </c>
      <c r="CJ114" s="219">
        <f t="shared" ref="CJ114" ca="1" si="752">CI117</f>
        <v>0</v>
      </c>
      <c r="CK114" s="219">
        <f t="shared" ref="CK114" ca="1" si="753">CJ117</f>
        <v>0</v>
      </c>
      <c r="CL114" s="219">
        <f t="shared" ref="CL114" ca="1" si="754">CK117</f>
        <v>0</v>
      </c>
      <c r="CM114" s="219">
        <f t="shared" ref="CM114" ca="1" si="755">CL117</f>
        <v>0</v>
      </c>
      <c r="CN114" s="219">
        <f t="shared" ref="CN114" ca="1" si="756">CM117</f>
        <v>0</v>
      </c>
      <c r="CO114" s="219">
        <f t="shared" ref="CO114" ca="1" si="757">CN117</f>
        <v>0</v>
      </c>
      <c r="CP114" s="219">
        <f t="shared" ref="CP114" ca="1" si="758">CO117</f>
        <v>0</v>
      </c>
      <c r="CQ114" s="219">
        <f t="shared" ref="CQ114" ca="1" si="759">CP117</f>
        <v>0</v>
      </c>
      <c r="CR114" s="219">
        <f t="shared" ref="CR114" ca="1" si="760">CQ117</f>
        <v>0</v>
      </c>
      <c r="CS114" s="219">
        <f t="shared" ref="CS114" ca="1" si="761">CR117</f>
        <v>0</v>
      </c>
      <c r="CT114" s="219">
        <f t="shared" ref="CT114" ca="1" si="762">CS117</f>
        <v>0</v>
      </c>
      <c r="CU114" s="219">
        <f t="shared" ref="CU114" ca="1" si="763">CT117</f>
        <v>0</v>
      </c>
      <c r="CV114" s="219">
        <f t="shared" ref="CV114" ca="1" si="764">CU117</f>
        <v>0</v>
      </c>
    </row>
    <row r="115" spans="1:100" s="540" customFormat="1" outlineLevel="1" x14ac:dyDescent="0.2">
      <c r="A115" s="15"/>
      <c r="B115" s="15"/>
      <c r="C115" s="21"/>
      <c r="D115" s="48"/>
      <c r="E115" s="145" t="str">
        <f xml:space="preserve"> ConFin!E$646</f>
        <v>Standby equity drawdown</v>
      </c>
      <c r="F115" s="145">
        <f xml:space="preserve"> ConFin!F$646</f>
        <v>0</v>
      </c>
      <c r="G115" s="145" t="str">
        <f xml:space="preserve"> ConFin!G$646</f>
        <v>$ 000s</v>
      </c>
      <c r="H115" s="145">
        <f xml:space="preserve"> ConFin!H$646</f>
        <v>0</v>
      </c>
      <c r="I115" s="145">
        <f xml:space="preserve"> ConFin!I$646</f>
        <v>0</v>
      </c>
      <c r="J115" s="145">
        <f xml:space="preserve"> ConFin!J$646</f>
        <v>0</v>
      </c>
      <c r="K115" s="145">
        <f xml:space="preserve"> ConFin!K$646</f>
        <v>0</v>
      </c>
      <c r="L115" s="145">
        <f xml:space="preserve"> ConFin!L$646</f>
        <v>0</v>
      </c>
      <c r="M115" s="145">
        <f xml:space="preserve"> ConFin!M$646</f>
        <v>0</v>
      </c>
      <c r="N115" s="145">
        <f xml:space="preserve"> ConFin!N$646</f>
        <v>0</v>
      </c>
      <c r="O115" s="145">
        <f xml:space="preserve"> ConFin!O$646</f>
        <v>0</v>
      </c>
      <c r="P115" s="145">
        <f xml:space="preserve"> ConFin!P$646</f>
        <v>0</v>
      </c>
      <c r="Q115" s="145">
        <f xml:space="preserve"> ConFin!Q$646</f>
        <v>0</v>
      </c>
      <c r="R115" s="145">
        <f xml:space="preserve"> ConFin!R$646</f>
        <v>0</v>
      </c>
      <c r="S115" s="145">
        <f xml:space="preserve"> ConFin!S$646</f>
        <v>0</v>
      </c>
      <c r="T115" s="145">
        <f xml:space="preserve"> ConFin!T$646</f>
        <v>0</v>
      </c>
      <c r="U115" s="145">
        <f xml:space="preserve"> ConFin!U$646</f>
        <v>0</v>
      </c>
      <c r="V115" s="145">
        <f xml:space="preserve"> ConFin!V$646</f>
        <v>0</v>
      </c>
      <c r="W115" s="145">
        <f xml:space="preserve"> ConFin!W$646</f>
        <v>0</v>
      </c>
      <c r="X115" s="145">
        <f xml:space="preserve"> ConFin!X$646</f>
        <v>0</v>
      </c>
      <c r="Y115" s="145">
        <f xml:space="preserve"> ConFin!Y$646</f>
        <v>0</v>
      </c>
      <c r="Z115" s="145">
        <f xml:space="preserve"> ConFin!Z$646</f>
        <v>0</v>
      </c>
      <c r="AA115" s="145">
        <f xml:space="preserve"> ConFin!AA$646</f>
        <v>0</v>
      </c>
      <c r="AB115" s="145">
        <f xml:space="preserve"> ConFin!AB$646</f>
        <v>0</v>
      </c>
      <c r="AC115" s="145">
        <f xml:space="preserve"> ConFin!AC$646</f>
        <v>0</v>
      </c>
      <c r="AD115" s="145">
        <f xml:space="preserve"> ConFin!AD$646</f>
        <v>0</v>
      </c>
      <c r="AE115" s="145">
        <f xml:space="preserve"> ConFin!AE$646</f>
        <v>0</v>
      </c>
      <c r="AF115" s="145">
        <f xml:space="preserve"> ConFin!AF$646</f>
        <v>0</v>
      </c>
      <c r="AG115" s="145">
        <f xml:space="preserve"> ConFin!AG$646</f>
        <v>0</v>
      </c>
      <c r="AH115" s="145">
        <f xml:space="preserve"> ConFin!AH$646</f>
        <v>0</v>
      </c>
      <c r="AI115" s="145">
        <f xml:space="preserve"> ConFin!AI$646</f>
        <v>0</v>
      </c>
      <c r="AJ115" s="145">
        <f xml:space="preserve"> ConFin!AJ$646</f>
        <v>0</v>
      </c>
      <c r="AK115" s="145">
        <f xml:space="preserve"> ConFin!AK$646</f>
        <v>0</v>
      </c>
      <c r="AL115" s="145">
        <f xml:space="preserve"> ConFin!AL$646</f>
        <v>0</v>
      </c>
      <c r="AM115" s="145">
        <f xml:space="preserve"> ConFin!AM$646</f>
        <v>0</v>
      </c>
      <c r="AN115" s="145">
        <f xml:space="preserve"> ConFin!AN$646</f>
        <v>0</v>
      </c>
      <c r="AO115" s="145">
        <f xml:space="preserve"> ConFin!AO$646</f>
        <v>0</v>
      </c>
      <c r="AP115" s="145">
        <f xml:space="preserve"> ConFin!AP$646</f>
        <v>0</v>
      </c>
      <c r="AQ115" s="145">
        <f xml:space="preserve"> ConFin!AQ$646</f>
        <v>0</v>
      </c>
      <c r="AR115" s="145">
        <f xml:space="preserve"> ConFin!AR$646</f>
        <v>0</v>
      </c>
      <c r="AS115" s="145">
        <f xml:space="preserve"> ConFin!AS$646</f>
        <v>0</v>
      </c>
      <c r="AT115" s="145">
        <f xml:space="preserve"> ConFin!AT$646</f>
        <v>0</v>
      </c>
      <c r="AU115" s="145">
        <f xml:space="preserve"> ConFin!AU$646</f>
        <v>0</v>
      </c>
      <c r="AV115" s="145">
        <f xml:space="preserve"> ConFin!AV$646</f>
        <v>0</v>
      </c>
      <c r="AW115" s="145">
        <f xml:space="preserve"> ConFin!AW$646</f>
        <v>0</v>
      </c>
      <c r="AX115" s="145">
        <f xml:space="preserve"> ConFin!AX$646</f>
        <v>0</v>
      </c>
      <c r="AY115" s="145">
        <f xml:space="preserve"> ConFin!AY$646</f>
        <v>0</v>
      </c>
      <c r="AZ115" s="145">
        <f xml:space="preserve"> ConFin!AZ$646</f>
        <v>0</v>
      </c>
      <c r="BA115" s="145">
        <f xml:space="preserve"> ConFin!BA$646</f>
        <v>0</v>
      </c>
      <c r="BB115" s="145">
        <f xml:space="preserve"> ConFin!BB$646</f>
        <v>0</v>
      </c>
      <c r="BC115" s="145">
        <f xml:space="preserve"> ConFin!BC$646</f>
        <v>0</v>
      </c>
      <c r="BD115" s="145">
        <f xml:space="preserve"> ConFin!BD$646</f>
        <v>0</v>
      </c>
      <c r="BE115" s="145">
        <f xml:space="preserve"> ConFin!BE$646</f>
        <v>0</v>
      </c>
      <c r="BF115" s="145">
        <f xml:space="preserve"> ConFin!BF$646</f>
        <v>0</v>
      </c>
      <c r="BG115" s="145">
        <f xml:space="preserve"> ConFin!BG$646</f>
        <v>0</v>
      </c>
      <c r="BH115" s="145">
        <f xml:space="preserve"> ConFin!BH$646</f>
        <v>0</v>
      </c>
      <c r="BI115" s="145">
        <f xml:space="preserve"> ConFin!BI$646</f>
        <v>0</v>
      </c>
      <c r="BJ115" s="145">
        <f xml:space="preserve"> ConFin!BJ$646</f>
        <v>0</v>
      </c>
      <c r="BK115" s="145">
        <f xml:space="preserve"> ConFin!BK$646</f>
        <v>0</v>
      </c>
      <c r="BL115" s="145">
        <f xml:space="preserve"> ConFin!BL$646</f>
        <v>0</v>
      </c>
      <c r="BM115" s="145">
        <f xml:space="preserve"> ConFin!BM$646</f>
        <v>0</v>
      </c>
      <c r="BN115" s="145">
        <f xml:space="preserve"> ConFin!BN$646</f>
        <v>0</v>
      </c>
      <c r="BO115" s="145">
        <f xml:space="preserve"> ConFin!BO$646</f>
        <v>0</v>
      </c>
      <c r="BP115" s="145">
        <f xml:space="preserve"> ConFin!BP$646</f>
        <v>0</v>
      </c>
      <c r="BQ115" s="145">
        <f xml:space="preserve"> ConFin!BQ$646</f>
        <v>0</v>
      </c>
      <c r="BR115" s="145">
        <f xml:space="preserve"> ConFin!BR$646</f>
        <v>0</v>
      </c>
      <c r="BS115" s="145">
        <f xml:space="preserve"> ConFin!BS$646</f>
        <v>0</v>
      </c>
      <c r="BT115" s="145">
        <f xml:space="preserve"> ConFin!BT$646</f>
        <v>0</v>
      </c>
      <c r="BU115" s="145">
        <f xml:space="preserve"> ConFin!BU$646</f>
        <v>0</v>
      </c>
      <c r="BV115" s="145">
        <f xml:space="preserve"> ConFin!BV$646</f>
        <v>0</v>
      </c>
      <c r="BW115" s="145">
        <f xml:space="preserve"> ConFin!BW$646</f>
        <v>0</v>
      </c>
      <c r="BX115" s="145">
        <f xml:space="preserve"> ConFin!BX$646</f>
        <v>0</v>
      </c>
      <c r="BY115" s="145">
        <f xml:space="preserve"> ConFin!BY$646</f>
        <v>0</v>
      </c>
      <c r="BZ115" s="145">
        <f xml:space="preserve"> ConFin!BZ$646</f>
        <v>0</v>
      </c>
      <c r="CA115" s="145">
        <f xml:space="preserve"> ConFin!CA$646</f>
        <v>0</v>
      </c>
      <c r="CB115" s="145">
        <f xml:space="preserve"> ConFin!CB$646</f>
        <v>0</v>
      </c>
      <c r="CC115" s="145">
        <f xml:space="preserve"> ConFin!CC$646</f>
        <v>0</v>
      </c>
      <c r="CD115" s="145">
        <f xml:space="preserve"> ConFin!CD$646</f>
        <v>0</v>
      </c>
      <c r="CE115" s="145">
        <f xml:space="preserve"> ConFin!CE$646</f>
        <v>0</v>
      </c>
      <c r="CF115" s="145">
        <f xml:space="preserve"> ConFin!CF$646</f>
        <v>0</v>
      </c>
      <c r="CG115" s="145">
        <f xml:space="preserve"> ConFin!CG$646</f>
        <v>0</v>
      </c>
      <c r="CH115" s="145">
        <f xml:space="preserve"> ConFin!CH$646</f>
        <v>0</v>
      </c>
      <c r="CI115" s="145">
        <f xml:space="preserve"> ConFin!CI$646</f>
        <v>0</v>
      </c>
      <c r="CJ115" s="145">
        <f xml:space="preserve"> ConFin!CJ$646</f>
        <v>0</v>
      </c>
      <c r="CK115" s="145">
        <f xml:space="preserve"> ConFin!CK$646</f>
        <v>0</v>
      </c>
      <c r="CL115" s="145">
        <f xml:space="preserve"> ConFin!CL$646</f>
        <v>0</v>
      </c>
      <c r="CM115" s="145">
        <f xml:space="preserve"> ConFin!CM$646</f>
        <v>0</v>
      </c>
      <c r="CN115" s="145">
        <f xml:space="preserve"> ConFin!CN$646</f>
        <v>0</v>
      </c>
      <c r="CO115" s="145">
        <f xml:space="preserve"> ConFin!CO$646</f>
        <v>0</v>
      </c>
      <c r="CP115" s="145">
        <f xml:space="preserve"> ConFin!CP$646</f>
        <v>0</v>
      </c>
      <c r="CQ115" s="145">
        <f xml:space="preserve"> ConFin!CQ$646</f>
        <v>0</v>
      </c>
      <c r="CR115" s="145">
        <f xml:space="preserve"> ConFin!CR$646</f>
        <v>0</v>
      </c>
      <c r="CS115" s="145">
        <f xml:space="preserve"> ConFin!CS$646</f>
        <v>0</v>
      </c>
      <c r="CT115" s="145">
        <f xml:space="preserve"> ConFin!CT$646</f>
        <v>0</v>
      </c>
      <c r="CU115" s="145">
        <f xml:space="preserve"> ConFin!CU$646</f>
        <v>0</v>
      </c>
      <c r="CV115" s="145">
        <f xml:space="preserve"> ConFin!CV$646</f>
        <v>0</v>
      </c>
    </row>
    <row r="116" spans="1:100" s="498" customFormat="1" outlineLevel="1" x14ac:dyDescent="0.2">
      <c r="A116" s="15"/>
      <c r="B116" s="15"/>
      <c r="C116" s="21"/>
      <c r="D116" s="48"/>
      <c r="E116" s="126" t="str">
        <f t="shared" ref="E116:AJ116" si="765" xml:space="preserve"> E$111</f>
        <v>Standby equity redemption - P99 POS</v>
      </c>
      <c r="F116" s="126">
        <f t="shared" si="765"/>
        <v>0</v>
      </c>
      <c r="G116" s="126" t="str">
        <f t="shared" si="765"/>
        <v>$ 000s</v>
      </c>
      <c r="H116" s="126">
        <f t="shared" ca="1" si="765"/>
        <v>0</v>
      </c>
      <c r="I116" s="126">
        <f t="shared" si="765"/>
        <v>0</v>
      </c>
      <c r="J116" s="126">
        <f t="shared" ca="1" si="765"/>
        <v>0</v>
      </c>
      <c r="K116" s="126">
        <f t="shared" ca="1" si="765"/>
        <v>0</v>
      </c>
      <c r="L116" s="126">
        <f t="shared" ca="1" si="765"/>
        <v>0</v>
      </c>
      <c r="M116" s="126">
        <f t="shared" ca="1" si="765"/>
        <v>0</v>
      </c>
      <c r="N116" s="126">
        <f t="shared" ca="1" si="765"/>
        <v>0</v>
      </c>
      <c r="O116" s="126">
        <f t="shared" ca="1" si="765"/>
        <v>0</v>
      </c>
      <c r="P116" s="126">
        <f t="shared" ca="1" si="765"/>
        <v>0</v>
      </c>
      <c r="Q116" s="126">
        <f t="shared" ca="1" si="765"/>
        <v>0</v>
      </c>
      <c r="R116" s="126">
        <f t="shared" ca="1" si="765"/>
        <v>0</v>
      </c>
      <c r="S116" s="126">
        <f t="shared" ca="1" si="765"/>
        <v>0</v>
      </c>
      <c r="T116" s="126">
        <f t="shared" ca="1" si="765"/>
        <v>0</v>
      </c>
      <c r="U116" s="126">
        <f t="shared" ca="1" si="765"/>
        <v>0</v>
      </c>
      <c r="V116" s="126">
        <f t="shared" ca="1" si="765"/>
        <v>0</v>
      </c>
      <c r="W116" s="126">
        <f t="shared" ca="1" si="765"/>
        <v>0</v>
      </c>
      <c r="X116" s="126">
        <f t="shared" ca="1" si="765"/>
        <v>0</v>
      </c>
      <c r="Y116" s="126">
        <f t="shared" ca="1" si="765"/>
        <v>0</v>
      </c>
      <c r="Z116" s="126">
        <f t="shared" ca="1" si="765"/>
        <v>0</v>
      </c>
      <c r="AA116" s="126">
        <f t="shared" ca="1" si="765"/>
        <v>0</v>
      </c>
      <c r="AB116" s="126">
        <f t="shared" ca="1" si="765"/>
        <v>0</v>
      </c>
      <c r="AC116" s="126">
        <f t="shared" ca="1" si="765"/>
        <v>0</v>
      </c>
      <c r="AD116" s="126">
        <f t="shared" ca="1" si="765"/>
        <v>0</v>
      </c>
      <c r="AE116" s="126">
        <f t="shared" ca="1" si="765"/>
        <v>0</v>
      </c>
      <c r="AF116" s="126">
        <f t="shared" ca="1" si="765"/>
        <v>0</v>
      </c>
      <c r="AG116" s="126">
        <f t="shared" ca="1" si="765"/>
        <v>0</v>
      </c>
      <c r="AH116" s="126">
        <f t="shared" ca="1" si="765"/>
        <v>0</v>
      </c>
      <c r="AI116" s="126">
        <f t="shared" ca="1" si="765"/>
        <v>0</v>
      </c>
      <c r="AJ116" s="126">
        <f t="shared" ca="1" si="765"/>
        <v>0</v>
      </c>
      <c r="AK116" s="126">
        <f t="shared" ref="AK116:BP116" ca="1" si="766" xml:space="preserve"> AK$111</f>
        <v>0</v>
      </c>
      <c r="AL116" s="126">
        <f t="shared" ca="1" si="766"/>
        <v>0</v>
      </c>
      <c r="AM116" s="126">
        <f t="shared" ca="1" si="766"/>
        <v>0</v>
      </c>
      <c r="AN116" s="126">
        <f t="shared" ca="1" si="766"/>
        <v>0</v>
      </c>
      <c r="AO116" s="126">
        <f t="shared" ca="1" si="766"/>
        <v>0</v>
      </c>
      <c r="AP116" s="126">
        <f t="shared" ca="1" si="766"/>
        <v>0</v>
      </c>
      <c r="AQ116" s="126">
        <f t="shared" ca="1" si="766"/>
        <v>0</v>
      </c>
      <c r="AR116" s="126">
        <f t="shared" ca="1" si="766"/>
        <v>0</v>
      </c>
      <c r="AS116" s="126">
        <f t="shared" ca="1" si="766"/>
        <v>0</v>
      </c>
      <c r="AT116" s="126">
        <f t="shared" ca="1" si="766"/>
        <v>0</v>
      </c>
      <c r="AU116" s="126">
        <f t="shared" ca="1" si="766"/>
        <v>0</v>
      </c>
      <c r="AV116" s="126">
        <f t="shared" ca="1" si="766"/>
        <v>0</v>
      </c>
      <c r="AW116" s="126">
        <f t="shared" ca="1" si="766"/>
        <v>0</v>
      </c>
      <c r="AX116" s="126">
        <f t="shared" ca="1" si="766"/>
        <v>0</v>
      </c>
      <c r="AY116" s="126">
        <f t="shared" ca="1" si="766"/>
        <v>0</v>
      </c>
      <c r="AZ116" s="126">
        <f t="shared" ca="1" si="766"/>
        <v>0</v>
      </c>
      <c r="BA116" s="126">
        <f t="shared" ca="1" si="766"/>
        <v>0</v>
      </c>
      <c r="BB116" s="126">
        <f t="shared" ca="1" si="766"/>
        <v>0</v>
      </c>
      <c r="BC116" s="126">
        <f t="shared" ca="1" si="766"/>
        <v>0</v>
      </c>
      <c r="BD116" s="126">
        <f t="shared" ca="1" si="766"/>
        <v>0</v>
      </c>
      <c r="BE116" s="126">
        <f t="shared" ca="1" si="766"/>
        <v>0</v>
      </c>
      <c r="BF116" s="126">
        <f t="shared" ca="1" si="766"/>
        <v>0</v>
      </c>
      <c r="BG116" s="126">
        <f t="shared" ca="1" si="766"/>
        <v>0</v>
      </c>
      <c r="BH116" s="126">
        <f t="shared" ca="1" si="766"/>
        <v>0</v>
      </c>
      <c r="BI116" s="126">
        <f t="shared" ca="1" si="766"/>
        <v>0</v>
      </c>
      <c r="BJ116" s="126">
        <f t="shared" ca="1" si="766"/>
        <v>0</v>
      </c>
      <c r="BK116" s="126">
        <f t="shared" ca="1" si="766"/>
        <v>0</v>
      </c>
      <c r="BL116" s="126">
        <f t="shared" ca="1" si="766"/>
        <v>0</v>
      </c>
      <c r="BM116" s="126">
        <f t="shared" ca="1" si="766"/>
        <v>0</v>
      </c>
      <c r="BN116" s="126">
        <f t="shared" ca="1" si="766"/>
        <v>0</v>
      </c>
      <c r="BO116" s="126">
        <f t="shared" ca="1" si="766"/>
        <v>0</v>
      </c>
      <c r="BP116" s="126">
        <f t="shared" ca="1" si="766"/>
        <v>0</v>
      </c>
      <c r="BQ116" s="126">
        <f t="shared" ref="BQ116:CV116" ca="1" si="767" xml:space="preserve"> BQ$111</f>
        <v>0</v>
      </c>
      <c r="BR116" s="126">
        <f t="shared" ca="1" si="767"/>
        <v>0</v>
      </c>
      <c r="BS116" s="126">
        <f t="shared" ca="1" si="767"/>
        <v>0</v>
      </c>
      <c r="BT116" s="126">
        <f t="shared" ca="1" si="767"/>
        <v>0</v>
      </c>
      <c r="BU116" s="126">
        <f t="shared" ca="1" si="767"/>
        <v>0</v>
      </c>
      <c r="BV116" s="126">
        <f t="shared" ca="1" si="767"/>
        <v>0</v>
      </c>
      <c r="BW116" s="126">
        <f t="shared" ca="1" si="767"/>
        <v>0</v>
      </c>
      <c r="BX116" s="126">
        <f t="shared" ca="1" si="767"/>
        <v>0</v>
      </c>
      <c r="BY116" s="126">
        <f t="shared" ca="1" si="767"/>
        <v>0</v>
      </c>
      <c r="BZ116" s="126">
        <f t="shared" ca="1" si="767"/>
        <v>0</v>
      </c>
      <c r="CA116" s="126">
        <f t="shared" ca="1" si="767"/>
        <v>0</v>
      </c>
      <c r="CB116" s="126">
        <f t="shared" ca="1" si="767"/>
        <v>0</v>
      </c>
      <c r="CC116" s="126">
        <f t="shared" ca="1" si="767"/>
        <v>0</v>
      </c>
      <c r="CD116" s="126">
        <f t="shared" ca="1" si="767"/>
        <v>0</v>
      </c>
      <c r="CE116" s="126">
        <f t="shared" ca="1" si="767"/>
        <v>0</v>
      </c>
      <c r="CF116" s="126">
        <f t="shared" ca="1" si="767"/>
        <v>0</v>
      </c>
      <c r="CG116" s="126">
        <f t="shared" ca="1" si="767"/>
        <v>0</v>
      </c>
      <c r="CH116" s="126">
        <f t="shared" ca="1" si="767"/>
        <v>0</v>
      </c>
      <c r="CI116" s="126">
        <f t="shared" ca="1" si="767"/>
        <v>0</v>
      </c>
      <c r="CJ116" s="126">
        <f t="shared" ca="1" si="767"/>
        <v>0</v>
      </c>
      <c r="CK116" s="126">
        <f t="shared" ca="1" si="767"/>
        <v>0</v>
      </c>
      <c r="CL116" s="126">
        <f t="shared" ca="1" si="767"/>
        <v>0</v>
      </c>
      <c r="CM116" s="126">
        <f t="shared" ca="1" si="767"/>
        <v>0</v>
      </c>
      <c r="CN116" s="126">
        <f t="shared" ca="1" si="767"/>
        <v>0</v>
      </c>
      <c r="CO116" s="126">
        <f t="shared" ca="1" si="767"/>
        <v>0</v>
      </c>
      <c r="CP116" s="126">
        <f t="shared" ca="1" si="767"/>
        <v>0</v>
      </c>
      <c r="CQ116" s="126">
        <f t="shared" ca="1" si="767"/>
        <v>0</v>
      </c>
      <c r="CR116" s="126">
        <f t="shared" ca="1" si="767"/>
        <v>0</v>
      </c>
      <c r="CS116" s="126">
        <f t="shared" ca="1" si="767"/>
        <v>0</v>
      </c>
      <c r="CT116" s="126">
        <f t="shared" ca="1" si="767"/>
        <v>0</v>
      </c>
      <c r="CU116" s="126">
        <f t="shared" ca="1" si="767"/>
        <v>0</v>
      </c>
      <c r="CV116" s="126">
        <f t="shared" ca="1" si="767"/>
        <v>0</v>
      </c>
    </row>
    <row r="117" spans="1:100" s="503" customFormat="1" outlineLevel="1" x14ac:dyDescent="0.2">
      <c r="A117" s="391"/>
      <c r="B117" s="391"/>
      <c r="C117" s="392"/>
      <c r="D117" s="393"/>
      <c r="E117" s="394" t="s">
        <v>1232</v>
      </c>
      <c r="F117" s="394"/>
      <c r="G117" s="394" t="str">
        <f xml:space="preserve"> SMU</f>
        <v>$ 000s</v>
      </c>
      <c r="H117" s="394"/>
      <c r="I117" s="395"/>
      <c r="J117" s="394">
        <f t="shared" ref="J117:AO117" ca="1" si="768" xml:space="preserve"> J114 + J115 - J116</f>
        <v>0</v>
      </c>
      <c r="K117" s="394">
        <f t="shared" ca="1" si="768"/>
        <v>0</v>
      </c>
      <c r="L117" s="394">
        <f t="shared" ca="1" si="768"/>
        <v>0</v>
      </c>
      <c r="M117" s="394">
        <f t="shared" ca="1" si="768"/>
        <v>0</v>
      </c>
      <c r="N117" s="394">
        <f t="shared" ca="1" si="768"/>
        <v>0</v>
      </c>
      <c r="O117" s="394">
        <f t="shared" ca="1" si="768"/>
        <v>0</v>
      </c>
      <c r="P117" s="394">
        <f t="shared" ca="1" si="768"/>
        <v>0</v>
      </c>
      <c r="Q117" s="394">
        <f t="shared" ca="1" si="768"/>
        <v>0</v>
      </c>
      <c r="R117" s="394">
        <f t="shared" ca="1" si="768"/>
        <v>0</v>
      </c>
      <c r="S117" s="394">
        <f t="shared" ca="1" si="768"/>
        <v>0</v>
      </c>
      <c r="T117" s="394">
        <f t="shared" ca="1" si="768"/>
        <v>0</v>
      </c>
      <c r="U117" s="394">
        <f t="shared" ca="1" si="768"/>
        <v>0</v>
      </c>
      <c r="V117" s="394">
        <f t="shared" ca="1" si="768"/>
        <v>0</v>
      </c>
      <c r="W117" s="394">
        <f t="shared" ca="1" si="768"/>
        <v>0</v>
      </c>
      <c r="X117" s="394">
        <f t="shared" ca="1" si="768"/>
        <v>0</v>
      </c>
      <c r="Y117" s="394">
        <f t="shared" ca="1" si="768"/>
        <v>0</v>
      </c>
      <c r="Z117" s="394">
        <f t="shared" ca="1" si="768"/>
        <v>0</v>
      </c>
      <c r="AA117" s="394">
        <f t="shared" ca="1" si="768"/>
        <v>0</v>
      </c>
      <c r="AB117" s="394">
        <f t="shared" ca="1" si="768"/>
        <v>0</v>
      </c>
      <c r="AC117" s="394">
        <f t="shared" ca="1" si="768"/>
        <v>0</v>
      </c>
      <c r="AD117" s="394">
        <f t="shared" ca="1" si="768"/>
        <v>0</v>
      </c>
      <c r="AE117" s="394">
        <f t="shared" ca="1" si="768"/>
        <v>0</v>
      </c>
      <c r="AF117" s="394">
        <f t="shared" ca="1" si="768"/>
        <v>0</v>
      </c>
      <c r="AG117" s="394">
        <f t="shared" ca="1" si="768"/>
        <v>0</v>
      </c>
      <c r="AH117" s="394">
        <f t="shared" ca="1" si="768"/>
        <v>0</v>
      </c>
      <c r="AI117" s="394">
        <f t="shared" ca="1" si="768"/>
        <v>0</v>
      </c>
      <c r="AJ117" s="394">
        <f t="shared" ca="1" si="768"/>
        <v>0</v>
      </c>
      <c r="AK117" s="394">
        <f t="shared" ca="1" si="768"/>
        <v>0</v>
      </c>
      <c r="AL117" s="394">
        <f t="shared" ca="1" si="768"/>
        <v>0</v>
      </c>
      <c r="AM117" s="394">
        <f t="shared" ca="1" si="768"/>
        <v>0</v>
      </c>
      <c r="AN117" s="394">
        <f t="shared" ca="1" si="768"/>
        <v>0</v>
      </c>
      <c r="AO117" s="394">
        <f t="shared" ca="1" si="768"/>
        <v>0</v>
      </c>
      <c r="AP117" s="394">
        <f t="shared" ref="AP117:BU117" ca="1" si="769" xml:space="preserve"> AP114 + AP115 - AP116</f>
        <v>0</v>
      </c>
      <c r="AQ117" s="394">
        <f t="shared" ca="1" si="769"/>
        <v>0</v>
      </c>
      <c r="AR117" s="394">
        <f t="shared" ca="1" si="769"/>
        <v>0</v>
      </c>
      <c r="AS117" s="394">
        <f t="shared" ca="1" si="769"/>
        <v>0</v>
      </c>
      <c r="AT117" s="394">
        <f t="shared" ca="1" si="769"/>
        <v>0</v>
      </c>
      <c r="AU117" s="394">
        <f t="shared" ca="1" si="769"/>
        <v>0</v>
      </c>
      <c r="AV117" s="394">
        <f t="shared" ca="1" si="769"/>
        <v>0</v>
      </c>
      <c r="AW117" s="394">
        <f t="shared" ca="1" si="769"/>
        <v>0</v>
      </c>
      <c r="AX117" s="394">
        <f t="shared" ca="1" si="769"/>
        <v>0</v>
      </c>
      <c r="AY117" s="394">
        <f t="shared" ca="1" si="769"/>
        <v>0</v>
      </c>
      <c r="AZ117" s="394">
        <f t="shared" ca="1" si="769"/>
        <v>0</v>
      </c>
      <c r="BA117" s="394">
        <f t="shared" ca="1" si="769"/>
        <v>0</v>
      </c>
      <c r="BB117" s="394">
        <f t="shared" ca="1" si="769"/>
        <v>0</v>
      </c>
      <c r="BC117" s="394">
        <f t="shared" ca="1" si="769"/>
        <v>0</v>
      </c>
      <c r="BD117" s="394">
        <f t="shared" ca="1" si="769"/>
        <v>0</v>
      </c>
      <c r="BE117" s="394">
        <f t="shared" ca="1" si="769"/>
        <v>0</v>
      </c>
      <c r="BF117" s="394">
        <f t="shared" ca="1" si="769"/>
        <v>0</v>
      </c>
      <c r="BG117" s="394">
        <f t="shared" ca="1" si="769"/>
        <v>0</v>
      </c>
      <c r="BH117" s="394">
        <f t="shared" ca="1" si="769"/>
        <v>0</v>
      </c>
      <c r="BI117" s="394">
        <f t="shared" ca="1" si="769"/>
        <v>0</v>
      </c>
      <c r="BJ117" s="394">
        <f t="shared" ca="1" si="769"/>
        <v>0</v>
      </c>
      <c r="BK117" s="394">
        <f t="shared" ca="1" si="769"/>
        <v>0</v>
      </c>
      <c r="BL117" s="394">
        <f t="shared" ca="1" si="769"/>
        <v>0</v>
      </c>
      <c r="BM117" s="394">
        <f t="shared" ca="1" si="769"/>
        <v>0</v>
      </c>
      <c r="BN117" s="394">
        <f t="shared" ca="1" si="769"/>
        <v>0</v>
      </c>
      <c r="BO117" s="394">
        <f t="shared" ca="1" si="769"/>
        <v>0</v>
      </c>
      <c r="BP117" s="394">
        <f t="shared" ca="1" si="769"/>
        <v>0</v>
      </c>
      <c r="BQ117" s="394">
        <f t="shared" ca="1" si="769"/>
        <v>0</v>
      </c>
      <c r="BR117" s="394">
        <f t="shared" ca="1" si="769"/>
        <v>0</v>
      </c>
      <c r="BS117" s="394">
        <f t="shared" ca="1" si="769"/>
        <v>0</v>
      </c>
      <c r="BT117" s="394">
        <f t="shared" ca="1" si="769"/>
        <v>0</v>
      </c>
      <c r="BU117" s="394">
        <f t="shared" ca="1" si="769"/>
        <v>0</v>
      </c>
      <c r="BV117" s="394">
        <f t="shared" ref="BV117:CV117" ca="1" si="770" xml:space="preserve"> BV114 + BV115 - BV116</f>
        <v>0</v>
      </c>
      <c r="BW117" s="394">
        <f t="shared" ca="1" si="770"/>
        <v>0</v>
      </c>
      <c r="BX117" s="394">
        <f t="shared" ca="1" si="770"/>
        <v>0</v>
      </c>
      <c r="BY117" s="394">
        <f t="shared" ca="1" si="770"/>
        <v>0</v>
      </c>
      <c r="BZ117" s="394">
        <f t="shared" ca="1" si="770"/>
        <v>0</v>
      </c>
      <c r="CA117" s="394">
        <f t="shared" ca="1" si="770"/>
        <v>0</v>
      </c>
      <c r="CB117" s="394">
        <f t="shared" ca="1" si="770"/>
        <v>0</v>
      </c>
      <c r="CC117" s="394">
        <f t="shared" ca="1" si="770"/>
        <v>0</v>
      </c>
      <c r="CD117" s="394">
        <f t="shared" ca="1" si="770"/>
        <v>0</v>
      </c>
      <c r="CE117" s="394">
        <f t="shared" ca="1" si="770"/>
        <v>0</v>
      </c>
      <c r="CF117" s="394">
        <f t="shared" ca="1" si="770"/>
        <v>0</v>
      </c>
      <c r="CG117" s="394">
        <f t="shared" ca="1" si="770"/>
        <v>0</v>
      </c>
      <c r="CH117" s="394">
        <f t="shared" ca="1" si="770"/>
        <v>0</v>
      </c>
      <c r="CI117" s="394">
        <f t="shared" ca="1" si="770"/>
        <v>0</v>
      </c>
      <c r="CJ117" s="394">
        <f t="shared" ca="1" si="770"/>
        <v>0</v>
      </c>
      <c r="CK117" s="394">
        <f t="shared" ca="1" si="770"/>
        <v>0</v>
      </c>
      <c r="CL117" s="394">
        <f t="shared" ca="1" si="770"/>
        <v>0</v>
      </c>
      <c r="CM117" s="394">
        <f t="shared" ca="1" si="770"/>
        <v>0</v>
      </c>
      <c r="CN117" s="394">
        <f t="shared" ca="1" si="770"/>
        <v>0</v>
      </c>
      <c r="CO117" s="394">
        <f t="shared" ca="1" si="770"/>
        <v>0</v>
      </c>
      <c r="CP117" s="394">
        <f t="shared" ca="1" si="770"/>
        <v>0</v>
      </c>
      <c r="CQ117" s="394">
        <f t="shared" ca="1" si="770"/>
        <v>0</v>
      </c>
      <c r="CR117" s="394">
        <f t="shared" ca="1" si="770"/>
        <v>0</v>
      </c>
      <c r="CS117" s="394">
        <f t="shared" ca="1" si="770"/>
        <v>0</v>
      </c>
      <c r="CT117" s="394">
        <f t="shared" ca="1" si="770"/>
        <v>0</v>
      </c>
      <c r="CU117" s="394">
        <f t="shared" ca="1" si="770"/>
        <v>0</v>
      </c>
      <c r="CV117" s="394">
        <f t="shared" ca="1" si="770"/>
        <v>0</v>
      </c>
    </row>
    <row r="118" spans="1:100" outlineLevel="1" x14ac:dyDescent="0.2">
      <c r="A118" s="141"/>
      <c r="B118" s="141"/>
      <c r="C118" s="142"/>
      <c r="D118" s="143"/>
      <c r="E118" s="560"/>
      <c r="F118" s="560"/>
      <c r="G118" s="560"/>
      <c r="H118" s="560"/>
      <c r="I118" s="401"/>
      <c r="J118" s="560"/>
      <c r="K118" s="560"/>
      <c r="L118" s="560"/>
      <c r="M118" s="560"/>
      <c r="N118" s="560"/>
      <c r="O118" s="560"/>
      <c r="P118" s="560"/>
      <c r="Q118" s="560"/>
      <c r="R118" s="560"/>
      <c r="S118" s="560"/>
      <c r="T118" s="560"/>
      <c r="U118" s="560"/>
      <c r="V118" s="560"/>
      <c r="W118" s="560"/>
      <c r="X118" s="560"/>
      <c r="Y118" s="560"/>
      <c r="Z118" s="560"/>
      <c r="AA118" s="560"/>
      <c r="AB118" s="560"/>
      <c r="AC118" s="560"/>
      <c r="AD118" s="560"/>
      <c r="AE118" s="560"/>
      <c r="AF118" s="560"/>
      <c r="AG118" s="560"/>
      <c r="AH118" s="560"/>
      <c r="AI118" s="560"/>
      <c r="AJ118" s="560"/>
      <c r="AK118" s="560"/>
      <c r="AL118" s="560"/>
      <c r="AM118" s="560"/>
      <c r="AN118" s="560"/>
      <c r="AO118" s="560"/>
      <c r="AP118" s="560"/>
      <c r="AQ118" s="560"/>
      <c r="AR118" s="560"/>
      <c r="AS118" s="560"/>
      <c r="AT118" s="560"/>
      <c r="AU118" s="560"/>
      <c r="AV118" s="560"/>
      <c r="AW118" s="560"/>
      <c r="AX118" s="560"/>
      <c r="AY118" s="560"/>
      <c r="AZ118" s="560"/>
      <c r="BA118" s="560"/>
      <c r="BB118" s="560"/>
      <c r="BC118" s="560"/>
      <c r="BD118" s="560"/>
      <c r="BE118" s="560"/>
      <c r="BF118" s="560"/>
      <c r="BG118" s="560"/>
      <c r="BH118" s="560"/>
      <c r="BI118" s="560"/>
      <c r="BJ118" s="560"/>
      <c r="BK118" s="560"/>
      <c r="BL118" s="560"/>
      <c r="BM118" s="560"/>
      <c r="BN118" s="560"/>
      <c r="BO118" s="560"/>
      <c r="BP118" s="560"/>
      <c r="BQ118" s="560"/>
      <c r="BR118" s="560"/>
      <c r="BS118" s="560"/>
      <c r="BT118" s="560"/>
      <c r="BU118" s="560"/>
      <c r="BV118" s="560"/>
      <c r="BW118" s="560"/>
      <c r="BX118" s="560"/>
      <c r="BY118" s="560"/>
      <c r="BZ118" s="560"/>
      <c r="CA118" s="560"/>
      <c r="CB118" s="560"/>
      <c r="CC118" s="560"/>
      <c r="CD118" s="560"/>
      <c r="CE118" s="560"/>
      <c r="CF118" s="560"/>
      <c r="CG118" s="560"/>
      <c r="CH118" s="560"/>
      <c r="CI118" s="560"/>
      <c r="CJ118" s="560"/>
      <c r="CK118" s="560"/>
      <c r="CL118" s="560"/>
      <c r="CM118" s="560"/>
      <c r="CN118" s="560"/>
      <c r="CO118" s="560"/>
      <c r="CP118" s="560"/>
      <c r="CQ118" s="560"/>
      <c r="CR118" s="560"/>
      <c r="CS118" s="560"/>
      <c r="CT118" s="560"/>
      <c r="CU118" s="560"/>
      <c r="CV118" s="560"/>
    </row>
    <row r="119" spans="1:100" x14ac:dyDescent="0.2">
      <c r="A119" s="141"/>
      <c r="B119" s="141"/>
      <c r="C119" s="142"/>
      <c r="D119" s="143"/>
      <c r="E119" s="560"/>
      <c r="F119" s="560"/>
      <c r="G119" s="560"/>
      <c r="H119" s="560"/>
      <c r="I119" s="401"/>
      <c r="J119" s="560"/>
      <c r="K119" s="560"/>
      <c r="L119" s="560"/>
      <c r="M119" s="560"/>
      <c r="N119" s="560"/>
      <c r="O119" s="560"/>
      <c r="P119" s="560"/>
      <c r="Q119" s="560"/>
      <c r="R119" s="560"/>
      <c r="S119" s="560"/>
      <c r="T119" s="560"/>
      <c r="U119" s="560"/>
      <c r="V119" s="560"/>
      <c r="W119" s="560"/>
      <c r="X119" s="560"/>
      <c r="Y119" s="560"/>
      <c r="Z119" s="560"/>
      <c r="AA119" s="560"/>
      <c r="AB119" s="560"/>
      <c r="AC119" s="560"/>
      <c r="AD119" s="560"/>
      <c r="AE119" s="560"/>
      <c r="AF119" s="560"/>
      <c r="AG119" s="560"/>
      <c r="AH119" s="560"/>
      <c r="AI119" s="560"/>
      <c r="AJ119" s="560"/>
      <c r="AK119" s="560"/>
      <c r="AL119" s="560"/>
      <c r="AM119" s="560"/>
      <c r="AN119" s="560"/>
      <c r="AO119" s="560"/>
      <c r="AP119" s="560"/>
      <c r="AQ119" s="560"/>
      <c r="AR119" s="560"/>
      <c r="AS119" s="560"/>
      <c r="AT119" s="560"/>
      <c r="AU119" s="560"/>
      <c r="AV119" s="560"/>
      <c r="AW119" s="560"/>
      <c r="AX119" s="560"/>
      <c r="AY119" s="560"/>
      <c r="AZ119" s="560"/>
      <c r="BA119" s="560"/>
      <c r="BB119" s="560"/>
      <c r="BC119" s="560"/>
      <c r="BD119" s="560"/>
      <c r="BE119" s="560"/>
      <c r="BF119" s="560"/>
      <c r="BG119" s="560"/>
      <c r="BH119" s="560"/>
      <c r="BI119" s="560"/>
      <c r="BJ119" s="560"/>
      <c r="BK119" s="560"/>
      <c r="BL119" s="560"/>
      <c r="BM119" s="560"/>
      <c r="BN119" s="560"/>
      <c r="BO119" s="560"/>
      <c r="BP119" s="560"/>
      <c r="BQ119" s="560"/>
      <c r="BR119" s="560"/>
      <c r="BS119" s="560"/>
      <c r="BT119" s="560"/>
      <c r="BU119" s="560"/>
      <c r="BV119" s="560"/>
      <c r="BW119" s="560"/>
      <c r="BX119" s="560"/>
      <c r="BY119" s="560"/>
      <c r="BZ119" s="560"/>
      <c r="CA119" s="560"/>
      <c r="CB119" s="560"/>
      <c r="CC119" s="560"/>
      <c r="CD119" s="560"/>
      <c r="CE119" s="560"/>
      <c r="CF119" s="560"/>
      <c r="CG119" s="560"/>
      <c r="CH119" s="560"/>
      <c r="CI119" s="560"/>
      <c r="CJ119" s="560"/>
      <c r="CK119" s="560"/>
      <c r="CL119" s="560"/>
      <c r="CM119" s="560"/>
      <c r="CN119" s="560"/>
      <c r="CO119" s="560"/>
      <c r="CP119" s="560"/>
      <c r="CQ119" s="560"/>
      <c r="CR119" s="560"/>
      <c r="CS119" s="560"/>
      <c r="CT119" s="560"/>
      <c r="CU119" s="560"/>
      <c r="CV119" s="560"/>
    </row>
    <row r="120" spans="1:100" x14ac:dyDescent="0.2">
      <c r="A120" s="15" t="s">
        <v>1233</v>
      </c>
    </row>
    <row r="121" spans="1:100" outlineLevel="1" x14ac:dyDescent="0.2"/>
    <row r="122" spans="1:100" s="502" customFormat="1" outlineLevel="1" x14ac:dyDescent="0.2">
      <c r="A122" s="216"/>
      <c r="B122" s="216"/>
      <c r="C122" s="217"/>
      <c r="D122" s="218"/>
      <c r="E122" s="219" t="s">
        <v>1234</v>
      </c>
      <c r="F122" s="219"/>
      <c r="G122" s="219" t="str">
        <f xml:space="preserve"> SMU</f>
        <v>$ 000s</v>
      </c>
      <c r="H122" s="219"/>
      <c r="I122" s="220"/>
      <c r="J122" s="219">
        <f t="shared" ref="J122:AO122" si="771" xml:space="preserve"> I125</f>
        <v>0</v>
      </c>
      <c r="K122" s="219">
        <f t="shared" ca="1" si="771"/>
        <v>0</v>
      </c>
      <c r="L122" s="219">
        <f t="shared" ca="1" si="771"/>
        <v>0</v>
      </c>
      <c r="M122" s="219">
        <f t="shared" ca="1" si="771"/>
        <v>0</v>
      </c>
      <c r="N122" s="219">
        <f t="shared" ca="1" si="771"/>
        <v>0</v>
      </c>
      <c r="O122" s="219">
        <f t="shared" ca="1" si="771"/>
        <v>0</v>
      </c>
      <c r="P122" s="219">
        <f t="shared" ca="1" si="771"/>
        <v>-11718.704761512705</v>
      </c>
      <c r="Q122" s="219">
        <f t="shared" ca="1" si="771"/>
        <v>-22777.866157683791</v>
      </c>
      <c r="R122" s="219">
        <f t="shared" ca="1" si="771"/>
        <v>-33605.498360594509</v>
      </c>
      <c r="S122" s="219">
        <f t="shared" ca="1" si="771"/>
        <v>-43988.630431943791</v>
      </c>
      <c r="T122" s="219">
        <f t="shared" ca="1" si="771"/>
        <v>-54278.396078994927</v>
      </c>
      <c r="U122" s="219">
        <f t="shared" ca="1" si="771"/>
        <v>-64260.150398723286</v>
      </c>
      <c r="V122" s="219">
        <f t="shared" ca="1" si="771"/>
        <v>-74270.549352956223</v>
      </c>
      <c r="W122" s="219">
        <f t="shared" ca="1" si="771"/>
        <v>-84120.570341278057</v>
      </c>
      <c r="X122" s="219">
        <f t="shared" ca="1" si="771"/>
        <v>-94083.33277999876</v>
      </c>
      <c r="Y122" s="219">
        <f t="shared" ca="1" si="771"/>
        <v>-103974.00930724325</v>
      </c>
      <c r="Z122" s="219">
        <f t="shared" ca="1" si="771"/>
        <v>-114295.89202341124</v>
      </c>
      <c r="AA122" s="219">
        <f t="shared" ca="1" si="771"/>
        <v>-124645.84092019498</v>
      </c>
      <c r="AB122" s="219">
        <f t="shared" ca="1" si="771"/>
        <v>-135331.42769266988</v>
      </c>
      <c r="AC122" s="219">
        <f t="shared" ca="1" si="771"/>
        <v>-146147.76841584459</v>
      </c>
      <c r="AD122" s="219">
        <f t="shared" ca="1" si="771"/>
        <v>-157393.67658551733</v>
      </c>
      <c r="AE122" s="219">
        <f t="shared" ca="1" si="771"/>
        <v>-168891.9118054132</v>
      </c>
      <c r="AF122" s="219">
        <f t="shared" ca="1" si="771"/>
        <v>-180893.7924229691</v>
      </c>
      <c r="AG122" s="219">
        <f t="shared" ca="1" si="771"/>
        <v>-193233.33078738858</v>
      </c>
      <c r="AH122" s="219">
        <f t="shared" ca="1" si="771"/>
        <v>-206192.43918367848</v>
      </c>
      <c r="AI122" s="219">
        <f t="shared" ca="1" si="771"/>
        <v>-219596.51231801344</v>
      </c>
      <c r="AJ122" s="219">
        <f t="shared" ca="1" si="771"/>
        <v>-233867.32304794688</v>
      </c>
      <c r="AK122" s="219">
        <f t="shared" ca="1" si="771"/>
        <v>-248688.83171538933</v>
      </c>
      <c r="AL122" s="219">
        <f t="shared" ca="1" si="771"/>
        <v>-264335.67679589801</v>
      </c>
      <c r="AM122" s="219">
        <f t="shared" ca="1" si="771"/>
        <v>-280668.02147092548</v>
      </c>
      <c r="AN122" s="219">
        <f t="shared" ca="1" si="771"/>
        <v>-297929.49354269454</v>
      </c>
      <c r="AO122" s="219">
        <f t="shared" ca="1" si="771"/>
        <v>-315997.81756045943</v>
      </c>
      <c r="AP122" s="219">
        <f t="shared" ref="AP122:BU122" ca="1" si="772" xml:space="preserve"> AO125</f>
        <v>-335135.57479081454</v>
      </c>
      <c r="AQ122" s="219">
        <f t="shared" ca="1" si="772"/>
        <v>-355225.08631146088</v>
      </c>
      <c r="AR122" s="219">
        <f t="shared" ca="1" si="772"/>
        <v>-376525.26207959326</v>
      </c>
      <c r="AS122" s="219">
        <f t="shared" ca="1" si="772"/>
        <v>-398937.90364916448</v>
      </c>
      <c r="AT122" s="219">
        <f t="shared" ca="1" si="772"/>
        <v>-422718.59110292199</v>
      </c>
      <c r="AU122" s="219">
        <f t="shared" ca="1" si="772"/>
        <v>-447809.17472026567</v>
      </c>
      <c r="AV122" s="219">
        <f t="shared" ca="1" si="772"/>
        <v>-474456.41107626713</v>
      </c>
      <c r="AW122" s="219">
        <f t="shared" ca="1" si="772"/>
        <v>-502318.66721503297</v>
      </c>
      <c r="AX122" s="219">
        <f t="shared" ca="1" si="772"/>
        <v>-531060.7157725594</v>
      </c>
      <c r="AY122" s="219">
        <f t="shared" ca="1" si="772"/>
        <v>-561139.83498227142</v>
      </c>
      <c r="AZ122" s="219">
        <f t="shared" ca="1" si="772"/>
        <v>-592788.20448352827</v>
      </c>
      <c r="BA122" s="219">
        <f t="shared" ca="1" si="772"/>
        <v>-625953.43318846216</v>
      </c>
      <c r="BB122" s="219">
        <f t="shared" ca="1" si="772"/>
        <v>-660880.1709946862</v>
      </c>
      <c r="BC122" s="219">
        <f t="shared" ca="1" si="772"/>
        <v>-698470.02400454751</v>
      </c>
      <c r="BD122" s="219">
        <f t="shared" ca="1" si="772"/>
        <v>-698470.02400454751</v>
      </c>
      <c r="BE122" s="219">
        <f t="shared" ca="1" si="772"/>
        <v>-698470.02400454751</v>
      </c>
      <c r="BF122" s="219">
        <f t="shared" ca="1" si="772"/>
        <v>-698470.02400454751</v>
      </c>
      <c r="BG122" s="219">
        <f t="shared" ca="1" si="772"/>
        <v>-698470.02400454751</v>
      </c>
      <c r="BH122" s="219">
        <f t="shared" ca="1" si="772"/>
        <v>-698470.02400454751</v>
      </c>
      <c r="BI122" s="219">
        <f t="shared" ca="1" si="772"/>
        <v>-698470.02400454751</v>
      </c>
      <c r="BJ122" s="219">
        <f t="shared" ca="1" si="772"/>
        <v>-698470.02400454751</v>
      </c>
      <c r="BK122" s="219">
        <f t="shared" ca="1" si="772"/>
        <v>-698470.02400454751</v>
      </c>
      <c r="BL122" s="219">
        <f t="shared" ca="1" si="772"/>
        <v>-698470.02400454751</v>
      </c>
      <c r="BM122" s="219">
        <f t="shared" ca="1" si="772"/>
        <v>-698470.02400454751</v>
      </c>
      <c r="BN122" s="219">
        <f t="shared" ca="1" si="772"/>
        <v>-698470.02400454751</v>
      </c>
      <c r="BO122" s="219">
        <f t="shared" ca="1" si="772"/>
        <v>-698470.02400454751</v>
      </c>
      <c r="BP122" s="219">
        <f t="shared" ca="1" si="772"/>
        <v>-698470.02400454751</v>
      </c>
      <c r="BQ122" s="219">
        <f t="shared" ca="1" si="772"/>
        <v>-698470.02400454751</v>
      </c>
      <c r="BR122" s="219">
        <f t="shared" ca="1" si="772"/>
        <v>-698470.02400454751</v>
      </c>
      <c r="BS122" s="219">
        <f t="shared" ca="1" si="772"/>
        <v>-698470.02400454751</v>
      </c>
      <c r="BT122" s="219">
        <f t="shared" ca="1" si="772"/>
        <v>-698470.02400454751</v>
      </c>
      <c r="BU122" s="219">
        <f t="shared" ca="1" si="772"/>
        <v>-698470.02400454751</v>
      </c>
      <c r="BV122" s="219">
        <f t="shared" ref="BV122:CV122" ca="1" si="773" xml:space="preserve"> BU125</f>
        <v>-698470.02400454751</v>
      </c>
      <c r="BW122" s="219">
        <f t="shared" ca="1" si="773"/>
        <v>-698470.02400454751</v>
      </c>
      <c r="BX122" s="219">
        <f t="shared" ca="1" si="773"/>
        <v>-698470.02400454751</v>
      </c>
      <c r="BY122" s="219">
        <f t="shared" ca="1" si="773"/>
        <v>-698470.02400454751</v>
      </c>
      <c r="BZ122" s="219">
        <f t="shared" ca="1" si="773"/>
        <v>-698470.02400454751</v>
      </c>
      <c r="CA122" s="219">
        <f t="shared" ca="1" si="773"/>
        <v>-698470.02400454751</v>
      </c>
      <c r="CB122" s="219">
        <f t="shared" ca="1" si="773"/>
        <v>-698470.02400454751</v>
      </c>
      <c r="CC122" s="219">
        <f t="shared" ca="1" si="773"/>
        <v>-698470.02400454751</v>
      </c>
      <c r="CD122" s="219">
        <f t="shared" ca="1" si="773"/>
        <v>-698470.02400454751</v>
      </c>
      <c r="CE122" s="219">
        <f t="shared" ca="1" si="773"/>
        <v>-698470.02400454751</v>
      </c>
      <c r="CF122" s="219">
        <f t="shared" ca="1" si="773"/>
        <v>-698470.02400454751</v>
      </c>
      <c r="CG122" s="219">
        <f t="shared" ca="1" si="773"/>
        <v>-698470.02400454751</v>
      </c>
      <c r="CH122" s="219">
        <f t="shared" ca="1" si="773"/>
        <v>-698470.02400454751</v>
      </c>
      <c r="CI122" s="219">
        <f t="shared" ca="1" si="773"/>
        <v>-698470.02400454751</v>
      </c>
      <c r="CJ122" s="219">
        <f t="shared" ca="1" si="773"/>
        <v>-698470.02400454751</v>
      </c>
      <c r="CK122" s="219">
        <f t="shared" ca="1" si="773"/>
        <v>-698470.02400454751</v>
      </c>
      <c r="CL122" s="219">
        <f t="shared" ca="1" si="773"/>
        <v>-698470.02400454751</v>
      </c>
      <c r="CM122" s="219">
        <f t="shared" ca="1" si="773"/>
        <v>-698470.02400454751</v>
      </c>
      <c r="CN122" s="219">
        <f t="shared" ca="1" si="773"/>
        <v>-698470.02400454751</v>
      </c>
      <c r="CO122" s="219">
        <f t="shared" ca="1" si="773"/>
        <v>-698470.02400454751</v>
      </c>
      <c r="CP122" s="219">
        <f t="shared" ca="1" si="773"/>
        <v>-698470.02400454751</v>
      </c>
      <c r="CQ122" s="219">
        <f t="shared" ca="1" si="773"/>
        <v>-698470.02400454751</v>
      </c>
      <c r="CR122" s="219">
        <f t="shared" ca="1" si="773"/>
        <v>-698470.02400454751</v>
      </c>
      <c r="CS122" s="219">
        <f t="shared" ca="1" si="773"/>
        <v>-698470.02400454751</v>
      </c>
      <c r="CT122" s="219">
        <f t="shared" ca="1" si="773"/>
        <v>-698470.02400454751</v>
      </c>
      <c r="CU122" s="219">
        <f t="shared" ca="1" si="773"/>
        <v>-698470.02400454751</v>
      </c>
      <c r="CV122" s="219">
        <f t="shared" ca="1" si="773"/>
        <v>-698470.02400454751</v>
      </c>
    </row>
    <row r="123" spans="1:100" s="498" customFormat="1" outlineLevel="1" x14ac:dyDescent="0.2">
      <c r="A123" s="15"/>
      <c r="B123" s="15"/>
      <c r="C123" s="21"/>
      <c r="D123" s="48"/>
      <c r="E123" s="145" t="str">
        <f xml:space="preserve"> 'FS Semi_P99'!E$31</f>
        <v>Profit after tax - P99</v>
      </c>
      <c r="F123" s="145">
        <f xml:space="preserve"> 'FS Semi_P99'!F$31</f>
        <v>0</v>
      </c>
      <c r="G123" s="145" t="str">
        <f xml:space="preserve"> 'FS Semi_P99'!G$31</f>
        <v>$ 000s</v>
      </c>
      <c r="H123" s="145">
        <f ca="1" xml:space="preserve"> 'FS Semi_P99'!H$31</f>
        <v>-698470.02400454751</v>
      </c>
      <c r="I123" s="145">
        <f xml:space="preserve"> 'FS Semi_P99'!I$31</f>
        <v>0</v>
      </c>
      <c r="J123" s="145">
        <f ca="1" xml:space="preserve"> 'FS Semi_P99'!J$31</f>
        <v>0</v>
      </c>
      <c r="K123" s="145">
        <f ca="1" xml:space="preserve"> 'FS Semi_P99'!K$31</f>
        <v>0</v>
      </c>
      <c r="L123" s="145">
        <f ca="1" xml:space="preserve"> 'FS Semi_P99'!L$31</f>
        <v>0</v>
      </c>
      <c r="M123" s="145">
        <f ca="1" xml:space="preserve"> 'FS Semi_P99'!M$31</f>
        <v>0</v>
      </c>
      <c r="N123" s="145">
        <f ca="1" xml:space="preserve"> 'FS Semi_P99'!N$31</f>
        <v>0</v>
      </c>
      <c r="O123" s="145">
        <f ca="1" xml:space="preserve"> 'FS Semi_P99'!O$31</f>
        <v>-11718.704761512705</v>
      </c>
      <c r="P123" s="145">
        <f ca="1" xml:space="preserve"> 'FS Semi_P99'!P$31</f>
        <v>-11059.161396171088</v>
      </c>
      <c r="Q123" s="145">
        <f ca="1" xml:space="preserve"> 'FS Semi_P99'!Q$31</f>
        <v>-10827.63220291072</v>
      </c>
      <c r="R123" s="145">
        <f ca="1" xml:space="preserve"> 'FS Semi_P99'!R$31</f>
        <v>-10383.132071349282</v>
      </c>
      <c r="S123" s="145">
        <f ca="1" xml:space="preserve"> 'FS Semi_P99'!S$31</f>
        <v>-10289.765647051134</v>
      </c>
      <c r="T123" s="145">
        <f ca="1" xml:space="preserve"> 'FS Semi_P99'!T$31</f>
        <v>-9981.7543197283558</v>
      </c>
      <c r="U123" s="145">
        <f ca="1" xml:space="preserve"> 'FS Semi_P99'!U$31</f>
        <v>-10010.398954232942</v>
      </c>
      <c r="V123" s="145">
        <f ca="1" xml:space="preserve"> 'FS Semi_P99'!V$31</f>
        <v>-9850.0209883218358</v>
      </c>
      <c r="W123" s="145">
        <f ca="1" xml:space="preserve"> 'FS Semi_P99'!W$31</f>
        <v>-9962.7624387207034</v>
      </c>
      <c r="X123" s="145">
        <f ca="1" xml:space="preserve"> 'FS Semi_P99'!X$31</f>
        <v>-9890.6765272444882</v>
      </c>
      <c r="Y123" s="145">
        <f ca="1" xml:space="preserve"> 'FS Semi_P99'!Y$31</f>
        <v>-10321.882716167993</v>
      </c>
      <c r="Z123" s="145">
        <f ca="1" xml:space="preserve"> 'FS Semi_P99'!Z$31</f>
        <v>-10349.948896783746</v>
      </c>
      <c r="AA123" s="145">
        <f ca="1" xml:space="preserve"> 'FS Semi_P99'!AA$31</f>
        <v>-10685.5867724749</v>
      </c>
      <c r="AB123" s="145">
        <f ca="1" xml:space="preserve"> 'FS Semi_P99'!AB$31</f>
        <v>-10816.34072317471</v>
      </c>
      <c r="AC123" s="145">
        <f ca="1" xml:space="preserve"> 'FS Semi_P99'!AC$31</f>
        <v>-11245.908169672737</v>
      </c>
      <c r="AD123" s="145">
        <f ca="1" xml:space="preserve"> 'FS Semi_P99'!AD$31</f>
        <v>-11498.235219895862</v>
      </c>
      <c r="AE123" s="145">
        <f ca="1" xml:space="preserve"> 'FS Semi_P99'!AE$31</f>
        <v>-12001.880617555913</v>
      </c>
      <c r="AF123" s="145">
        <f ca="1" xml:space="preserve"> 'FS Semi_P99'!AF$31</f>
        <v>-12339.538364419468</v>
      </c>
      <c r="AG123" s="145">
        <f ca="1" xml:space="preserve"> 'FS Semi_P99'!AG$31</f>
        <v>-12959.108396289894</v>
      </c>
      <c r="AH123" s="145">
        <f ca="1" xml:space="preserve"> 'FS Semi_P99'!AH$31</f>
        <v>-13404.073134334971</v>
      </c>
      <c r="AI123" s="145">
        <f ca="1" xml:space="preserve"> 'FS Semi_P99'!AI$31</f>
        <v>-14270.81072993343</v>
      </c>
      <c r="AJ123" s="145">
        <f ca="1" xml:space="preserve"> 'FS Semi_P99'!AJ$31</f>
        <v>-14821.508667442464</v>
      </c>
      <c r="AK123" s="145">
        <f ca="1" xml:space="preserve"> 'FS Semi_P99'!AK$31</f>
        <v>-15646.845080508658</v>
      </c>
      <c r="AL123" s="145">
        <f ca="1" xml:space="preserve"> 'FS Semi_P99'!AL$31</f>
        <v>-16332.344675027472</v>
      </c>
      <c r="AM123" s="145">
        <f ca="1" xml:space="preserve"> 'FS Semi_P99'!AM$31</f>
        <v>-17261.472071769062</v>
      </c>
      <c r="AN123" s="145">
        <f ca="1" xml:space="preserve"> 'FS Semi_P99'!AN$31</f>
        <v>-18068.324017764884</v>
      </c>
      <c r="AO123" s="145">
        <f ca="1" xml:space="preserve"> 'FS Semi_P99'!AO$31</f>
        <v>-19137.757230355088</v>
      </c>
      <c r="AP123" s="145">
        <f ca="1" xml:space="preserve"> 'FS Semi_P99'!AP$31</f>
        <v>-20089.511520646316</v>
      </c>
      <c r="AQ123" s="145">
        <f ca="1" xml:space="preserve"> 'FS Semi_P99'!AQ$31</f>
        <v>-21300.175768132372</v>
      </c>
      <c r="AR123" s="145">
        <f ca="1" xml:space="preserve"> 'FS Semi_P99'!AR$31</f>
        <v>-22412.641569571191</v>
      </c>
      <c r="AS123" s="145">
        <f ca="1" xml:space="preserve"> 'FS Semi_P99'!AS$31</f>
        <v>-23780.687453757491</v>
      </c>
      <c r="AT123" s="145">
        <f ca="1" xml:space="preserve"> 'FS Semi_P99'!AT$31</f>
        <v>-25090.583617343691</v>
      </c>
      <c r="AU123" s="145">
        <f ca="1" xml:space="preserve"> 'FS Semi_P99'!AU$31</f>
        <v>-26647.236356001478</v>
      </c>
      <c r="AV123" s="145">
        <f ca="1" xml:space="preserve"> 'FS Semi_P99'!AV$31</f>
        <v>-27862.25613876585</v>
      </c>
      <c r="AW123" s="145">
        <f ca="1" xml:space="preserve"> 'FS Semi_P99'!AW$31</f>
        <v>-28742.04855752649</v>
      </c>
      <c r="AX123" s="145">
        <f ca="1" xml:space="preserve"> 'FS Semi_P99'!AX$31</f>
        <v>-30079.119209711989</v>
      </c>
      <c r="AY123" s="145">
        <f ca="1" xml:space="preserve"> 'FS Semi_P99'!AY$31</f>
        <v>-31648.369501256802</v>
      </c>
      <c r="AZ123" s="145">
        <f ca="1" xml:space="preserve"> 'FS Semi_P99'!AZ$31</f>
        <v>-33165.228704933863</v>
      </c>
      <c r="BA123" s="145">
        <f ca="1" xml:space="preserve"> 'FS Semi_P99'!BA$31</f>
        <v>-34926.737806224024</v>
      </c>
      <c r="BB123" s="145">
        <f ca="1" xml:space="preserve"> 'FS Semi_P99'!BB$31</f>
        <v>-37589.853009861275</v>
      </c>
      <c r="BC123" s="145">
        <f ca="1" xml:space="preserve"> 'FS Semi_P99'!BC$31</f>
        <v>0</v>
      </c>
      <c r="BD123" s="145">
        <f ca="1" xml:space="preserve"> 'FS Semi_P99'!BD$31</f>
        <v>0</v>
      </c>
      <c r="BE123" s="145">
        <f ca="1" xml:space="preserve"> 'FS Semi_P99'!BE$31</f>
        <v>0</v>
      </c>
      <c r="BF123" s="145">
        <f ca="1" xml:space="preserve"> 'FS Semi_P99'!BF$31</f>
        <v>0</v>
      </c>
      <c r="BG123" s="145">
        <f ca="1" xml:space="preserve"> 'FS Semi_P99'!BG$31</f>
        <v>0</v>
      </c>
      <c r="BH123" s="145">
        <f ca="1" xml:space="preserve"> 'FS Semi_P99'!BH$31</f>
        <v>0</v>
      </c>
      <c r="BI123" s="145">
        <f ca="1" xml:space="preserve"> 'FS Semi_P99'!BI$31</f>
        <v>0</v>
      </c>
      <c r="BJ123" s="145">
        <f ca="1" xml:space="preserve"> 'FS Semi_P99'!BJ$31</f>
        <v>0</v>
      </c>
      <c r="BK123" s="145">
        <f ca="1" xml:space="preserve"> 'FS Semi_P99'!BK$31</f>
        <v>0</v>
      </c>
      <c r="BL123" s="145">
        <f ca="1" xml:space="preserve"> 'FS Semi_P99'!BL$31</f>
        <v>0</v>
      </c>
      <c r="BM123" s="145">
        <f ca="1" xml:space="preserve"> 'FS Semi_P99'!BM$31</f>
        <v>0</v>
      </c>
      <c r="BN123" s="145">
        <f ca="1" xml:space="preserve"> 'FS Semi_P99'!BN$31</f>
        <v>0</v>
      </c>
      <c r="BO123" s="145">
        <f ca="1" xml:space="preserve"> 'FS Semi_P99'!BO$31</f>
        <v>0</v>
      </c>
      <c r="BP123" s="145">
        <f ca="1" xml:space="preserve"> 'FS Semi_P99'!BP$31</f>
        <v>0</v>
      </c>
      <c r="BQ123" s="145">
        <f ca="1" xml:space="preserve"> 'FS Semi_P99'!BQ$31</f>
        <v>0</v>
      </c>
      <c r="BR123" s="145">
        <f ca="1" xml:space="preserve"> 'FS Semi_P99'!BR$31</f>
        <v>0</v>
      </c>
      <c r="BS123" s="145">
        <f ca="1" xml:space="preserve"> 'FS Semi_P99'!BS$31</f>
        <v>0</v>
      </c>
      <c r="BT123" s="145">
        <f ca="1" xml:space="preserve"> 'FS Semi_P99'!BT$31</f>
        <v>0</v>
      </c>
      <c r="BU123" s="145">
        <f ca="1" xml:space="preserve"> 'FS Semi_P99'!BU$31</f>
        <v>0</v>
      </c>
      <c r="BV123" s="145">
        <f ca="1" xml:space="preserve"> 'FS Semi_P99'!BV$31</f>
        <v>0</v>
      </c>
      <c r="BW123" s="145">
        <f ca="1" xml:space="preserve"> 'FS Semi_P99'!BW$31</f>
        <v>0</v>
      </c>
      <c r="BX123" s="145">
        <f ca="1" xml:space="preserve"> 'FS Semi_P99'!BX$31</f>
        <v>0</v>
      </c>
      <c r="BY123" s="145">
        <f ca="1" xml:space="preserve"> 'FS Semi_P99'!BY$31</f>
        <v>0</v>
      </c>
      <c r="BZ123" s="145">
        <f ca="1" xml:space="preserve"> 'FS Semi_P99'!BZ$31</f>
        <v>0</v>
      </c>
      <c r="CA123" s="145">
        <f ca="1" xml:space="preserve"> 'FS Semi_P99'!CA$31</f>
        <v>0</v>
      </c>
      <c r="CB123" s="145">
        <f ca="1" xml:space="preserve"> 'FS Semi_P99'!CB$31</f>
        <v>0</v>
      </c>
      <c r="CC123" s="145">
        <f ca="1" xml:space="preserve"> 'FS Semi_P99'!CC$31</f>
        <v>0</v>
      </c>
      <c r="CD123" s="145">
        <f ca="1" xml:space="preserve"> 'FS Semi_P99'!CD$31</f>
        <v>0</v>
      </c>
      <c r="CE123" s="145">
        <f ca="1" xml:space="preserve"> 'FS Semi_P99'!CE$31</f>
        <v>0</v>
      </c>
      <c r="CF123" s="145">
        <f ca="1" xml:space="preserve"> 'FS Semi_P99'!CF$31</f>
        <v>0</v>
      </c>
      <c r="CG123" s="145">
        <f ca="1" xml:space="preserve"> 'FS Semi_P99'!CG$31</f>
        <v>0</v>
      </c>
      <c r="CH123" s="145">
        <f ca="1" xml:space="preserve"> 'FS Semi_P99'!CH$31</f>
        <v>0</v>
      </c>
      <c r="CI123" s="145">
        <f ca="1" xml:space="preserve"> 'FS Semi_P99'!CI$31</f>
        <v>0</v>
      </c>
      <c r="CJ123" s="145">
        <f ca="1" xml:space="preserve"> 'FS Semi_P99'!CJ$31</f>
        <v>0</v>
      </c>
      <c r="CK123" s="145">
        <f ca="1" xml:space="preserve"> 'FS Semi_P99'!CK$31</f>
        <v>0</v>
      </c>
      <c r="CL123" s="145">
        <f ca="1" xml:space="preserve"> 'FS Semi_P99'!CL$31</f>
        <v>0</v>
      </c>
      <c r="CM123" s="145">
        <f ca="1" xml:space="preserve"> 'FS Semi_P99'!CM$31</f>
        <v>0</v>
      </c>
      <c r="CN123" s="145">
        <f ca="1" xml:space="preserve"> 'FS Semi_P99'!CN$31</f>
        <v>0</v>
      </c>
      <c r="CO123" s="145">
        <f ca="1" xml:space="preserve"> 'FS Semi_P99'!CO$31</f>
        <v>0</v>
      </c>
      <c r="CP123" s="145">
        <f ca="1" xml:space="preserve"> 'FS Semi_P99'!CP$31</f>
        <v>0</v>
      </c>
      <c r="CQ123" s="145">
        <f ca="1" xml:space="preserve"> 'FS Semi_P99'!CQ$31</f>
        <v>0</v>
      </c>
      <c r="CR123" s="145">
        <f ca="1" xml:space="preserve"> 'FS Semi_P99'!CR$31</f>
        <v>0</v>
      </c>
      <c r="CS123" s="145">
        <f ca="1" xml:space="preserve"> 'FS Semi_P99'!CS$31</f>
        <v>0</v>
      </c>
      <c r="CT123" s="145">
        <f ca="1" xml:space="preserve"> 'FS Semi_P99'!CT$31</f>
        <v>0</v>
      </c>
      <c r="CU123" s="145">
        <f ca="1" xml:space="preserve"> 'FS Semi_P99'!CU$31</f>
        <v>0</v>
      </c>
      <c r="CV123" s="145">
        <f ca="1" xml:space="preserve"> 'FS Semi_P99'!CV$31</f>
        <v>0</v>
      </c>
    </row>
    <row r="124" spans="1:100" s="498" customFormat="1" outlineLevel="1" x14ac:dyDescent="0.2">
      <c r="A124" s="15"/>
      <c r="B124" s="15"/>
      <c r="C124" s="21"/>
      <c r="D124" s="48"/>
      <c r="E124" s="126" t="str">
        <f t="shared" ref="E124:AJ124" si="774" xml:space="preserve"> E$148</f>
        <v>Dividends paid - P99 POS</v>
      </c>
      <c r="F124" s="126">
        <f t="shared" si="774"/>
        <v>0</v>
      </c>
      <c r="G124" s="126" t="str">
        <f t="shared" si="774"/>
        <v>$ 000s</v>
      </c>
      <c r="H124" s="126">
        <f t="shared" ca="1" si="774"/>
        <v>0</v>
      </c>
      <c r="I124" s="126">
        <f t="shared" si="774"/>
        <v>0</v>
      </c>
      <c r="J124" s="126">
        <f t="shared" ca="1" si="774"/>
        <v>0</v>
      </c>
      <c r="K124" s="126">
        <f t="shared" ca="1" si="774"/>
        <v>0</v>
      </c>
      <c r="L124" s="126">
        <f t="shared" ca="1" si="774"/>
        <v>0</v>
      </c>
      <c r="M124" s="126">
        <f t="shared" ca="1" si="774"/>
        <v>0</v>
      </c>
      <c r="N124" s="126">
        <f t="shared" ca="1" si="774"/>
        <v>0</v>
      </c>
      <c r="O124" s="126">
        <f t="shared" ca="1" si="774"/>
        <v>0</v>
      </c>
      <c r="P124" s="126">
        <f t="shared" ca="1" si="774"/>
        <v>0</v>
      </c>
      <c r="Q124" s="126">
        <f t="shared" ca="1" si="774"/>
        <v>0</v>
      </c>
      <c r="R124" s="126">
        <f t="shared" ca="1" si="774"/>
        <v>0</v>
      </c>
      <c r="S124" s="126">
        <f t="shared" ca="1" si="774"/>
        <v>0</v>
      </c>
      <c r="T124" s="126">
        <f t="shared" ca="1" si="774"/>
        <v>0</v>
      </c>
      <c r="U124" s="126">
        <f t="shared" ca="1" si="774"/>
        <v>0</v>
      </c>
      <c r="V124" s="126">
        <f t="shared" ca="1" si="774"/>
        <v>0</v>
      </c>
      <c r="W124" s="126">
        <f t="shared" ca="1" si="774"/>
        <v>0</v>
      </c>
      <c r="X124" s="126">
        <f t="shared" ca="1" si="774"/>
        <v>0</v>
      </c>
      <c r="Y124" s="126">
        <f t="shared" ca="1" si="774"/>
        <v>0</v>
      </c>
      <c r="Z124" s="126">
        <f t="shared" ca="1" si="774"/>
        <v>0</v>
      </c>
      <c r="AA124" s="126">
        <f t="shared" ca="1" si="774"/>
        <v>0</v>
      </c>
      <c r="AB124" s="126">
        <f t="shared" ca="1" si="774"/>
        <v>0</v>
      </c>
      <c r="AC124" s="126">
        <f t="shared" ca="1" si="774"/>
        <v>0</v>
      </c>
      <c r="AD124" s="126">
        <f t="shared" ca="1" si="774"/>
        <v>0</v>
      </c>
      <c r="AE124" s="126">
        <f t="shared" ca="1" si="774"/>
        <v>0</v>
      </c>
      <c r="AF124" s="126">
        <f t="shared" ca="1" si="774"/>
        <v>0</v>
      </c>
      <c r="AG124" s="126">
        <f t="shared" ca="1" si="774"/>
        <v>0</v>
      </c>
      <c r="AH124" s="126">
        <f t="shared" ca="1" si="774"/>
        <v>0</v>
      </c>
      <c r="AI124" s="126">
        <f t="shared" ca="1" si="774"/>
        <v>0</v>
      </c>
      <c r="AJ124" s="126">
        <f t="shared" ca="1" si="774"/>
        <v>0</v>
      </c>
      <c r="AK124" s="126">
        <f t="shared" ref="AK124:BP124" ca="1" si="775" xml:space="preserve"> AK$148</f>
        <v>0</v>
      </c>
      <c r="AL124" s="126">
        <f t="shared" ca="1" si="775"/>
        <v>0</v>
      </c>
      <c r="AM124" s="126">
        <f t="shared" ca="1" si="775"/>
        <v>0</v>
      </c>
      <c r="AN124" s="126">
        <f t="shared" ca="1" si="775"/>
        <v>0</v>
      </c>
      <c r="AO124" s="126">
        <f t="shared" ca="1" si="775"/>
        <v>0</v>
      </c>
      <c r="AP124" s="126">
        <f t="shared" ca="1" si="775"/>
        <v>0</v>
      </c>
      <c r="AQ124" s="126">
        <f t="shared" ca="1" si="775"/>
        <v>0</v>
      </c>
      <c r="AR124" s="126">
        <f t="shared" ca="1" si="775"/>
        <v>0</v>
      </c>
      <c r="AS124" s="126">
        <f t="shared" ca="1" si="775"/>
        <v>0</v>
      </c>
      <c r="AT124" s="126">
        <f t="shared" ca="1" si="775"/>
        <v>0</v>
      </c>
      <c r="AU124" s="126">
        <f t="shared" ca="1" si="775"/>
        <v>0</v>
      </c>
      <c r="AV124" s="126">
        <f t="shared" ca="1" si="775"/>
        <v>0</v>
      </c>
      <c r="AW124" s="126">
        <f t="shared" ca="1" si="775"/>
        <v>0</v>
      </c>
      <c r="AX124" s="126">
        <f t="shared" ca="1" si="775"/>
        <v>0</v>
      </c>
      <c r="AY124" s="126">
        <f t="shared" ca="1" si="775"/>
        <v>0</v>
      </c>
      <c r="AZ124" s="126">
        <f t="shared" ca="1" si="775"/>
        <v>0</v>
      </c>
      <c r="BA124" s="126">
        <f t="shared" ca="1" si="775"/>
        <v>0</v>
      </c>
      <c r="BB124" s="126">
        <f t="shared" ca="1" si="775"/>
        <v>0</v>
      </c>
      <c r="BC124" s="126">
        <f t="shared" ca="1" si="775"/>
        <v>0</v>
      </c>
      <c r="BD124" s="126">
        <f t="shared" ca="1" si="775"/>
        <v>0</v>
      </c>
      <c r="BE124" s="126">
        <f t="shared" ca="1" si="775"/>
        <v>0</v>
      </c>
      <c r="BF124" s="126">
        <f t="shared" ca="1" si="775"/>
        <v>0</v>
      </c>
      <c r="BG124" s="126">
        <f t="shared" ca="1" si="775"/>
        <v>0</v>
      </c>
      <c r="BH124" s="126">
        <f t="shared" ca="1" si="775"/>
        <v>0</v>
      </c>
      <c r="BI124" s="126">
        <f t="shared" ca="1" si="775"/>
        <v>0</v>
      </c>
      <c r="BJ124" s="126">
        <f t="shared" ca="1" si="775"/>
        <v>0</v>
      </c>
      <c r="BK124" s="126">
        <f t="shared" ca="1" si="775"/>
        <v>0</v>
      </c>
      <c r="BL124" s="126">
        <f t="shared" ca="1" si="775"/>
        <v>0</v>
      </c>
      <c r="BM124" s="126">
        <f t="shared" ca="1" si="775"/>
        <v>0</v>
      </c>
      <c r="BN124" s="126">
        <f t="shared" ca="1" si="775"/>
        <v>0</v>
      </c>
      <c r="BO124" s="126">
        <f t="shared" ca="1" si="775"/>
        <v>0</v>
      </c>
      <c r="BP124" s="126">
        <f t="shared" ca="1" si="775"/>
        <v>0</v>
      </c>
      <c r="BQ124" s="126">
        <f t="shared" ref="BQ124:CV124" ca="1" si="776" xml:space="preserve"> BQ$148</f>
        <v>0</v>
      </c>
      <c r="BR124" s="126">
        <f t="shared" ca="1" si="776"/>
        <v>0</v>
      </c>
      <c r="BS124" s="126">
        <f t="shared" ca="1" si="776"/>
        <v>0</v>
      </c>
      <c r="BT124" s="126">
        <f t="shared" ca="1" si="776"/>
        <v>0</v>
      </c>
      <c r="BU124" s="126">
        <f t="shared" ca="1" si="776"/>
        <v>0</v>
      </c>
      <c r="BV124" s="126">
        <f t="shared" ca="1" si="776"/>
        <v>0</v>
      </c>
      <c r="BW124" s="126">
        <f t="shared" ca="1" si="776"/>
        <v>0</v>
      </c>
      <c r="BX124" s="126">
        <f t="shared" ca="1" si="776"/>
        <v>0</v>
      </c>
      <c r="BY124" s="126">
        <f t="shared" ca="1" si="776"/>
        <v>0</v>
      </c>
      <c r="BZ124" s="126">
        <f t="shared" ca="1" si="776"/>
        <v>0</v>
      </c>
      <c r="CA124" s="126">
        <f t="shared" ca="1" si="776"/>
        <v>0</v>
      </c>
      <c r="CB124" s="126">
        <f t="shared" ca="1" si="776"/>
        <v>0</v>
      </c>
      <c r="CC124" s="126">
        <f t="shared" ca="1" si="776"/>
        <v>0</v>
      </c>
      <c r="CD124" s="126">
        <f t="shared" ca="1" si="776"/>
        <v>0</v>
      </c>
      <c r="CE124" s="126">
        <f t="shared" ca="1" si="776"/>
        <v>0</v>
      </c>
      <c r="CF124" s="126">
        <f t="shared" ca="1" si="776"/>
        <v>0</v>
      </c>
      <c r="CG124" s="126">
        <f t="shared" ca="1" si="776"/>
        <v>0</v>
      </c>
      <c r="CH124" s="126">
        <f t="shared" ca="1" si="776"/>
        <v>0</v>
      </c>
      <c r="CI124" s="126">
        <f t="shared" ca="1" si="776"/>
        <v>0</v>
      </c>
      <c r="CJ124" s="126">
        <f t="shared" ca="1" si="776"/>
        <v>0</v>
      </c>
      <c r="CK124" s="126">
        <f t="shared" ca="1" si="776"/>
        <v>0</v>
      </c>
      <c r="CL124" s="126">
        <f t="shared" ca="1" si="776"/>
        <v>0</v>
      </c>
      <c r="CM124" s="126">
        <f t="shared" ca="1" si="776"/>
        <v>0</v>
      </c>
      <c r="CN124" s="126">
        <f t="shared" ca="1" si="776"/>
        <v>0</v>
      </c>
      <c r="CO124" s="126">
        <f t="shared" ca="1" si="776"/>
        <v>0</v>
      </c>
      <c r="CP124" s="126">
        <f t="shared" ca="1" si="776"/>
        <v>0</v>
      </c>
      <c r="CQ124" s="126">
        <f t="shared" ca="1" si="776"/>
        <v>0</v>
      </c>
      <c r="CR124" s="126">
        <f t="shared" ca="1" si="776"/>
        <v>0</v>
      </c>
      <c r="CS124" s="126">
        <f t="shared" ca="1" si="776"/>
        <v>0</v>
      </c>
      <c r="CT124" s="126">
        <f t="shared" ca="1" si="776"/>
        <v>0</v>
      </c>
      <c r="CU124" s="126">
        <f t="shared" ca="1" si="776"/>
        <v>0</v>
      </c>
      <c r="CV124" s="126">
        <f t="shared" ca="1" si="776"/>
        <v>0</v>
      </c>
    </row>
    <row r="125" spans="1:100" s="541" customFormat="1" outlineLevel="1" x14ac:dyDescent="0.2">
      <c r="A125" s="391"/>
      <c r="B125" s="391"/>
      <c r="C125" s="392"/>
      <c r="D125" s="393"/>
      <c r="E125" s="395" t="s">
        <v>1235</v>
      </c>
      <c r="F125" s="395"/>
      <c r="G125" s="395" t="str">
        <f xml:space="preserve"> SMU</f>
        <v>$ 000s</v>
      </c>
      <c r="H125" s="395"/>
      <c r="I125" s="395"/>
      <c r="J125" s="395">
        <f t="shared" ref="J125:AO125" ca="1" si="777" xml:space="preserve"> J122 + J123 - J124</f>
        <v>0</v>
      </c>
      <c r="K125" s="395">
        <f t="shared" ca="1" si="777"/>
        <v>0</v>
      </c>
      <c r="L125" s="395">
        <f t="shared" ca="1" si="777"/>
        <v>0</v>
      </c>
      <c r="M125" s="395">
        <f t="shared" ca="1" si="777"/>
        <v>0</v>
      </c>
      <c r="N125" s="395">
        <f t="shared" ca="1" si="777"/>
        <v>0</v>
      </c>
      <c r="O125" s="395">
        <f t="shared" ca="1" si="777"/>
        <v>-11718.704761512705</v>
      </c>
      <c r="P125" s="395">
        <f t="shared" ca="1" si="777"/>
        <v>-22777.866157683791</v>
      </c>
      <c r="Q125" s="395">
        <f t="shared" ca="1" si="777"/>
        <v>-33605.498360594509</v>
      </c>
      <c r="R125" s="395">
        <f t="shared" ca="1" si="777"/>
        <v>-43988.630431943791</v>
      </c>
      <c r="S125" s="395">
        <f t="shared" ca="1" si="777"/>
        <v>-54278.396078994927</v>
      </c>
      <c r="T125" s="395">
        <f t="shared" ca="1" si="777"/>
        <v>-64260.150398723286</v>
      </c>
      <c r="U125" s="395">
        <f t="shared" ca="1" si="777"/>
        <v>-74270.549352956223</v>
      </c>
      <c r="V125" s="395">
        <f t="shared" ca="1" si="777"/>
        <v>-84120.570341278057</v>
      </c>
      <c r="W125" s="395">
        <f t="shared" ca="1" si="777"/>
        <v>-94083.33277999876</v>
      </c>
      <c r="X125" s="395">
        <f t="shared" ca="1" si="777"/>
        <v>-103974.00930724325</v>
      </c>
      <c r="Y125" s="395">
        <f t="shared" ca="1" si="777"/>
        <v>-114295.89202341124</v>
      </c>
      <c r="Z125" s="395">
        <f t="shared" ca="1" si="777"/>
        <v>-124645.84092019498</v>
      </c>
      <c r="AA125" s="395">
        <f t="shared" ca="1" si="777"/>
        <v>-135331.42769266988</v>
      </c>
      <c r="AB125" s="395">
        <f t="shared" ca="1" si="777"/>
        <v>-146147.76841584459</v>
      </c>
      <c r="AC125" s="395">
        <f t="shared" ca="1" si="777"/>
        <v>-157393.67658551733</v>
      </c>
      <c r="AD125" s="395">
        <f t="shared" ca="1" si="777"/>
        <v>-168891.9118054132</v>
      </c>
      <c r="AE125" s="395">
        <f t="shared" ca="1" si="777"/>
        <v>-180893.7924229691</v>
      </c>
      <c r="AF125" s="395">
        <f t="shared" ca="1" si="777"/>
        <v>-193233.33078738858</v>
      </c>
      <c r="AG125" s="395">
        <f t="shared" ca="1" si="777"/>
        <v>-206192.43918367848</v>
      </c>
      <c r="AH125" s="395">
        <f t="shared" ca="1" si="777"/>
        <v>-219596.51231801344</v>
      </c>
      <c r="AI125" s="395">
        <f t="shared" ca="1" si="777"/>
        <v>-233867.32304794688</v>
      </c>
      <c r="AJ125" s="395">
        <f t="shared" ca="1" si="777"/>
        <v>-248688.83171538933</v>
      </c>
      <c r="AK125" s="395">
        <f t="shared" ca="1" si="777"/>
        <v>-264335.67679589801</v>
      </c>
      <c r="AL125" s="395">
        <f t="shared" ca="1" si="777"/>
        <v>-280668.02147092548</v>
      </c>
      <c r="AM125" s="395">
        <f t="shared" ca="1" si="777"/>
        <v>-297929.49354269454</v>
      </c>
      <c r="AN125" s="395">
        <f t="shared" ca="1" si="777"/>
        <v>-315997.81756045943</v>
      </c>
      <c r="AO125" s="395">
        <f t="shared" ca="1" si="777"/>
        <v>-335135.57479081454</v>
      </c>
      <c r="AP125" s="395">
        <f t="shared" ref="AP125:BU125" ca="1" si="778" xml:space="preserve"> AP122 + AP123 - AP124</f>
        <v>-355225.08631146088</v>
      </c>
      <c r="AQ125" s="395">
        <f t="shared" ca="1" si="778"/>
        <v>-376525.26207959326</v>
      </c>
      <c r="AR125" s="395">
        <f t="shared" ca="1" si="778"/>
        <v>-398937.90364916448</v>
      </c>
      <c r="AS125" s="395">
        <f t="shared" ca="1" si="778"/>
        <v>-422718.59110292199</v>
      </c>
      <c r="AT125" s="395">
        <f t="shared" ca="1" si="778"/>
        <v>-447809.17472026567</v>
      </c>
      <c r="AU125" s="395">
        <f t="shared" ca="1" si="778"/>
        <v>-474456.41107626713</v>
      </c>
      <c r="AV125" s="395">
        <f t="shared" ca="1" si="778"/>
        <v>-502318.66721503297</v>
      </c>
      <c r="AW125" s="395">
        <f t="shared" ca="1" si="778"/>
        <v>-531060.7157725594</v>
      </c>
      <c r="AX125" s="395">
        <f t="shared" ca="1" si="778"/>
        <v>-561139.83498227142</v>
      </c>
      <c r="AY125" s="395">
        <f t="shared" ca="1" si="778"/>
        <v>-592788.20448352827</v>
      </c>
      <c r="AZ125" s="395">
        <f t="shared" ca="1" si="778"/>
        <v>-625953.43318846216</v>
      </c>
      <c r="BA125" s="395">
        <f t="shared" ca="1" si="778"/>
        <v>-660880.1709946862</v>
      </c>
      <c r="BB125" s="395">
        <f t="shared" ca="1" si="778"/>
        <v>-698470.02400454751</v>
      </c>
      <c r="BC125" s="395">
        <f t="shared" ca="1" si="778"/>
        <v>-698470.02400454751</v>
      </c>
      <c r="BD125" s="395">
        <f t="shared" ca="1" si="778"/>
        <v>-698470.02400454751</v>
      </c>
      <c r="BE125" s="395">
        <f t="shared" ca="1" si="778"/>
        <v>-698470.02400454751</v>
      </c>
      <c r="BF125" s="395">
        <f t="shared" ca="1" si="778"/>
        <v>-698470.02400454751</v>
      </c>
      <c r="BG125" s="395">
        <f t="shared" ca="1" si="778"/>
        <v>-698470.02400454751</v>
      </c>
      <c r="BH125" s="395">
        <f t="shared" ca="1" si="778"/>
        <v>-698470.02400454751</v>
      </c>
      <c r="BI125" s="395">
        <f t="shared" ca="1" si="778"/>
        <v>-698470.02400454751</v>
      </c>
      <c r="BJ125" s="395">
        <f t="shared" ca="1" si="778"/>
        <v>-698470.02400454751</v>
      </c>
      <c r="BK125" s="395">
        <f t="shared" ca="1" si="778"/>
        <v>-698470.02400454751</v>
      </c>
      <c r="BL125" s="395">
        <f t="shared" ca="1" si="778"/>
        <v>-698470.02400454751</v>
      </c>
      <c r="BM125" s="395">
        <f t="shared" ca="1" si="778"/>
        <v>-698470.02400454751</v>
      </c>
      <c r="BN125" s="395">
        <f t="shared" ca="1" si="778"/>
        <v>-698470.02400454751</v>
      </c>
      <c r="BO125" s="395">
        <f t="shared" ca="1" si="778"/>
        <v>-698470.02400454751</v>
      </c>
      <c r="BP125" s="395">
        <f t="shared" ca="1" si="778"/>
        <v>-698470.02400454751</v>
      </c>
      <c r="BQ125" s="395">
        <f t="shared" ca="1" si="778"/>
        <v>-698470.02400454751</v>
      </c>
      <c r="BR125" s="395">
        <f t="shared" ca="1" si="778"/>
        <v>-698470.02400454751</v>
      </c>
      <c r="BS125" s="395">
        <f t="shared" ca="1" si="778"/>
        <v>-698470.02400454751</v>
      </c>
      <c r="BT125" s="395">
        <f t="shared" ca="1" si="778"/>
        <v>-698470.02400454751</v>
      </c>
      <c r="BU125" s="395">
        <f t="shared" ca="1" si="778"/>
        <v>-698470.02400454751</v>
      </c>
      <c r="BV125" s="395">
        <f t="shared" ref="BV125:CV125" ca="1" si="779" xml:space="preserve"> BV122 + BV123 - BV124</f>
        <v>-698470.02400454751</v>
      </c>
      <c r="BW125" s="395">
        <f t="shared" ca="1" si="779"/>
        <v>-698470.02400454751</v>
      </c>
      <c r="BX125" s="395">
        <f t="shared" ca="1" si="779"/>
        <v>-698470.02400454751</v>
      </c>
      <c r="BY125" s="395">
        <f t="shared" ca="1" si="779"/>
        <v>-698470.02400454751</v>
      </c>
      <c r="BZ125" s="395">
        <f t="shared" ca="1" si="779"/>
        <v>-698470.02400454751</v>
      </c>
      <c r="CA125" s="395">
        <f t="shared" ca="1" si="779"/>
        <v>-698470.02400454751</v>
      </c>
      <c r="CB125" s="395">
        <f t="shared" ca="1" si="779"/>
        <v>-698470.02400454751</v>
      </c>
      <c r="CC125" s="395">
        <f t="shared" ca="1" si="779"/>
        <v>-698470.02400454751</v>
      </c>
      <c r="CD125" s="395">
        <f t="shared" ca="1" si="779"/>
        <v>-698470.02400454751</v>
      </c>
      <c r="CE125" s="395">
        <f t="shared" ca="1" si="779"/>
        <v>-698470.02400454751</v>
      </c>
      <c r="CF125" s="395">
        <f t="shared" ca="1" si="779"/>
        <v>-698470.02400454751</v>
      </c>
      <c r="CG125" s="395">
        <f t="shared" ca="1" si="779"/>
        <v>-698470.02400454751</v>
      </c>
      <c r="CH125" s="395">
        <f t="shared" ca="1" si="779"/>
        <v>-698470.02400454751</v>
      </c>
      <c r="CI125" s="395">
        <f t="shared" ca="1" si="779"/>
        <v>-698470.02400454751</v>
      </c>
      <c r="CJ125" s="395">
        <f t="shared" ca="1" si="779"/>
        <v>-698470.02400454751</v>
      </c>
      <c r="CK125" s="395">
        <f t="shared" ca="1" si="779"/>
        <v>-698470.02400454751</v>
      </c>
      <c r="CL125" s="395">
        <f t="shared" ca="1" si="779"/>
        <v>-698470.02400454751</v>
      </c>
      <c r="CM125" s="395">
        <f t="shared" ca="1" si="779"/>
        <v>-698470.02400454751</v>
      </c>
      <c r="CN125" s="395">
        <f t="shared" ca="1" si="779"/>
        <v>-698470.02400454751</v>
      </c>
      <c r="CO125" s="395">
        <f t="shared" ca="1" si="779"/>
        <v>-698470.02400454751</v>
      </c>
      <c r="CP125" s="395">
        <f t="shared" ca="1" si="779"/>
        <v>-698470.02400454751</v>
      </c>
      <c r="CQ125" s="395">
        <f t="shared" ca="1" si="779"/>
        <v>-698470.02400454751</v>
      </c>
      <c r="CR125" s="395">
        <f t="shared" ca="1" si="779"/>
        <v>-698470.02400454751</v>
      </c>
      <c r="CS125" s="395">
        <f t="shared" ca="1" si="779"/>
        <v>-698470.02400454751</v>
      </c>
      <c r="CT125" s="395">
        <f t="shared" ca="1" si="779"/>
        <v>-698470.02400454751</v>
      </c>
      <c r="CU125" s="395">
        <f t="shared" ca="1" si="779"/>
        <v>-698470.02400454751</v>
      </c>
      <c r="CV125" s="395">
        <f t="shared" ca="1" si="779"/>
        <v>-698470.02400454751</v>
      </c>
    </row>
    <row r="126" spans="1:100" outlineLevel="1" x14ac:dyDescent="0.2">
      <c r="A126" s="236"/>
      <c r="B126" s="236"/>
      <c r="C126" s="237"/>
      <c r="D126" s="238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00" x14ac:dyDescent="0.2"/>
    <row r="128" spans="1:100" x14ac:dyDescent="0.2">
      <c r="A128" s="15" t="s">
        <v>1236</v>
      </c>
    </row>
    <row r="129" spans="1:100" outlineLevel="1" x14ac:dyDescent="0.2"/>
    <row r="130" spans="1:100" s="626" customFormat="1" outlineLevel="1" x14ac:dyDescent="0.2">
      <c r="A130" s="621"/>
      <c r="B130" s="621"/>
      <c r="C130" s="622"/>
      <c r="D130" s="623"/>
      <c r="E130" s="624" t="s">
        <v>1237</v>
      </c>
      <c r="F130" s="624"/>
      <c r="G130" s="624" t="str">
        <f xml:space="preserve"> SMU</f>
        <v>$ 000s</v>
      </c>
      <c r="H130" s="624"/>
      <c r="I130" s="625"/>
      <c r="J130" s="624">
        <f t="shared" ref="J130:AO130" si="780" xml:space="preserve"> I133</f>
        <v>0</v>
      </c>
      <c r="K130" s="624">
        <f t="shared" ca="1" si="780"/>
        <v>-1.5558398445136845E-6</v>
      </c>
      <c r="L130" s="624">
        <f t="shared" ca="1" si="780"/>
        <v>-1.402249836246483E-5</v>
      </c>
      <c r="M130" s="624">
        <f t="shared" ca="1" si="780"/>
        <v>-3.0776860512560233E-5</v>
      </c>
      <c r="N130" s="624">
        <f t="shared" ca="1" si="780"/>
        <v>-5.0199549150420353E-5</v>
      </c>
      <c r="O130" s="624">
        <f t="shared" ca="1" si="780"/>
        <v>-4.0178145100071561E-3</v>
      </c>
      <c r="P130" s="624">
        <f t="shared" ca="1" si="780"/>
        <v>0</v>
      </c>
      <c r="Q130" s="624">
        <f t="shared" ca="1" si="780"/>
        <v>0</v>
      </c>
      <c r="R130" s="624">
        <f t="shared" ca="1" si="780"/>
        <v>0</v>
      </c>
      <c r="S130" s="624">
        <f t="shared" ca="1" si="780"/>
        <v>0</v>
      </c>
      <c r="T130" s="624">
        <f t="shared" ca="1" si="780"/>
        <v>0</v>
      </c>
      <c r="U130" s="624">
        <f t="shared" ca="1" si="780"/>
        <v>0</v>
      </c>
      <c r="V130" s="624">
        <f t="shared" ca="1" si="780"/>
        <v>0</v>
      </c>
      <c r="W130" s="624">
        <f t="shared" ca="1" si="780"/>
        <v>0</v>
      </c>
      <c r="X130" s="624">
        <f t="shared" ca="1" si="780"/>
        <v>0</v>
      </c>
      <c r="Y130" s="624">
        <f t="shared" ca="1" si="780"/>
        <v>0</v>
      </c>
      <c r="Z130" s="624">
        <f t="shared" ca="1" si="780"/>
        <v>0</v>
      </c>
      <c r="AA130" s="624">
        <f t="shared" ca="1" si="780"/>
        <v>0</v>
      </c>
      <c r="AB130" s="624">
        <f t="shared" ca="1" si="780"/>
        <v>0</v>
      </c>
      <c r="AC130" s="624">
        <f t="shared" ca="1" si="780"/>
        <v>0</v>
      </c>
      <c r="AD130" s="624">
        <f t="shared" ca="1" si="780"/>
        <v>0</v>
      </c>
      <c r="AE130" s="624">
        <f t="shared" ca="1" si="780"/>
        <v>0</v>
      </c>
      <c r="AF130" s="624">
        <f t="shared" ca="1" si="780"/>
        <v>0</v>
      </c>
      <c r="AG130" s="624">
        <f t="shared" ca="1" si="780"/>
        <v>0</v>
      </c>
      <c r="AH130" s="624">
        <f t="shared" ca="1" si="780"/>
        <v>0</v>
      </c>
      <c r="AI130" s="624">
        <f t="shared" ca="1" si="780"/>
        <v>0</v>
      </c>
      <c r="AJ130" s="624">
        <f t="shared" ca="1" si="780"/>
        <v>0</v>
      </c>
      <c r="AK130" s="624">
        <f t="shared" ca="1" si="780"/>
        <v>0</v>
      </c>
      <c r="AL130" s="624">
        <f t="shared" ca="1" si="780"/>
        <v>0</v>
      </c>
      <c r="AM130" s="624">
        <f t="shared" ca="1" si="780"/>
        <v>0</v>
      </c>
      <c r="AN130" s="624">
        <f t="shared" ca="1" si="780"/>
        <v>0</v>
      </c>
      <c r="AO130" s="624">
        <f t="shared" ca="1" si="780"/>
        <v>0</v>
      </c>
      <c r="AP130" s="624">
        <f t="shared" ref="AP130:BU130" ca="1" si="781" xml:space="preserve"> AO133</f>
        <v>0</v>
      </c>
      <c r="AQ130" s="624">
        <f t="shared" ca="1" si="781"/>
        <v>0</v>
      </c>
      <c r="AR130" s="624">
        <f t="shared" ca="1" si="781"/>
        <v>0</v>
      </c>
      <c r="AS130" s="624">
        <f t="shared" ca="1" si="781"/>
        <v>0</v>
      </c>
      <c r="AT130" s="624">
        <f t="shared" ca="1" si="781"/>
        <v>0</v>
      </c>
      <c r="AU130" s="624">
        <f t="shared" ca="1" si="781"/>
        <v>0</v>
      </c>
      <c r="AV130" s="624">
        <f t="shared" ca="1" si="781"/>
        <v>0</v>
      </c>
      <c r="AW130" s="624">
        <f t="shared" ca="1" si="781"/>
        <v>0</v>
      </c>
      <c r="AX130" s="624">
        <f t="shared" ca="1" si="781"/>
        <v>0</v>
      </c>
      <c r="AY130" s="624">
        <f t="shared" ca="1" si="781"/>
        <v>0</v>
      </c>
      <c r="AZ130" s="624">
        <f t="shared" ca="1" si="781"/>
        <v>0</v>
      </c>
      <c r="BA130" s="624">
        <f t="shared" ca="1" si="781"/>
        <v>0</v>
      </c>
      <c r="BB130" s="624">
        <f t="shared" ca="1" si="781"/>
        <v>0</v>
      </c>
      <c r="BC130" s="624">
        <f t="shared" ca="1" si="781"/>
        <v>0</v>
      </c>
      <c r="BD130" s="624">
        <f t="shared" ca="1" si="781"/>
        <v>0</v>
      </c>
      <c r="BE130" s="624">
        <f t="shared" ca="1" si="781"/>
        <v>0</v>
      </c>
      <c r="BF130" s="624">
        <f t="shared" ca="1" si="781"/>
        <v>0</v>
      </c>
      <c r="BG130" s="624">
        <f t="shared" ca="1" si="781"/>
        <v>0</v>
      </c>
      <c r="BH130" s="624">
        <f t="shared" ca="1" si="781"/>
        <v>0</v>
      </c>
      <c r="BI130" s="624">
        <f t="shared" ca="1" si="781"/>
        <v>0</v>
      </c>
      <c r="BJ130" s="624">
        <f t="shared" ca="1" si="781"/>
        <v>0</v>
      </c>
      <c r="BK130" s="624">
        <f t="shared" ca="1" si="781"/>
        <v>0</v>
      </c>
      <c r="BL130" s="624">
        <f t="shared" ca="1" si="781"/>
        <v>0</v>
      </c>
      <c r="BM130" s="624">
        <f t="shared" ca="1" si="781"/>
        <v>0</v>
      </c>
      <c r="BN130" s="624">
        <f t="shared" ca="1" si="781"/>
        <v>0</v>
      </c>
      <c r="BO130" s="624">
        <f t="shared" ca="1" si="781"/>
        <v>0</v>
      </c>
      <c r="BP130" s="624">
        <f t="shared" ca="1" si="781"/>
        <v>0</v>
      </c>
      <c r="BQ130" s="624">
        <f t="shared" ca="1" si="781"/>
        <v>0</v>
      </c>
      <c r="BR130" s="624">
        <f t="shared" ca="1" si="781"/>
        <v>0</v>
      </c>
      <c r="BS130" s="624">
        <f t="shared" ca="1" si="781"/>
        <v>0</v>
      </c>
      <c r="BT130" s="624">
        <f t="shared" ca="1" si="781"/>
        <v>0</v>
      </c>
      <c r="BU130" s="624">
        <f t="shared" ca="1" si="781"/>
        <v>0</v>
      </c>
      <c r="BV130" s="624">
        <f t="shared" ref="BV130:CV130" ca="1" si="782" xml:space="preserve"> BU133</f>
        <v>0</v>
      </c>
      <c r="BW130" s="624">
        <f t="shared" ca="1" si="782"/>
        <v>0</v>
      </c>
      <c r="BX130" s="624">
        <f t="shared" ca="1" si="782"/>
        <v>0</v>
      </c>
      <c r="BY130" s="624">
        <f t="shared" ca="1" si="782"/>
        <v>0</v>
      </c>
      <c r="BZ130" s="624">
        <f t="shared" ca="1" si="782"/>
        <v>0</v>
      </c>
      <c r="CA130" s="624">
        <f t="shared" ca="1" si="782"/>
        <v>0</v>
      </c>
      <c r="CB130" s="624">
        <f t="shared" ca="1" si="782"/>
        <v>0</v>
      </c>
      <c r="CC130" s="624">
        <f t="shared" ca="1" si="782"/>
        <v>0</v>
      </c>
      <c r="CD130" s="624">
        <f t="shared" ca="1" si="782"/>
        <v>0</v>
      </c>
      <c r="CE130" s="624">
        <f t="shared" ca="1" si="782"/>
        <v>0</v>
      </c>
      <c r="CF130" s="624">
        <f t="shared" ca="1" si="782"/>
        <v>0</v>
      </c>
      <c r="CG130" s="624">
        <f t="shared" ca="1" si="782"/>
        <v>0</v>
      </c>
      <c r="CH130" s="624">
        <f t="shared" ca="1" si="782"/>
        <v>0</v>
      </c>
      <c r="CI130" s="624">
        <f t="shared" ca="1" si="782"/>
        <v>0</v>
      </c>
      <c r="CJ130" s="624">
        <f t="shared" ca="1" si="782"/>
        <v>0</v>
      </c>
      <c r="CK130" s="624">
        <f t="shared" ca="1" si="782"/>
        <v>0</v>
      </c>
      <c r="CL130" s="624">
        <f t="shared" ca="1" si="782"/>
        <v>0</v>
      </c>
      <c r="CM130" s="624">
        <f t="shared" ca="1" si="782"/>
        <v>0</v>
      </c>
      <c r="CN130" s="624">
        <f t="shared" ca="1" si="782"/>
        <v>0</v>
      </c>
      <c r="CO130" s="624">
        <f t="shared" ca="1" si="782"/>
        <v>0</v>
      </c>
      <c r="CP130" s="624">
        <f t="shared" ca="1" si="782"/>
        <v>0</v>
      </c>
      <c r="CQ130" s="624">
        <f t="shared" ca="1" si="782"/>
        <v>0</v>
      </c>
      <c r="CR130" s="624">
        <f t="shared" ca="1" si="782"/>
        <v>0</v>
      </c>
      <c r="CS130" s="624">
        <f t="shared" ca="1" si="782"/>
        <v>0</v>
      </c>
      <c r="CT130" s="624">
        <f t="shared" ca="1" si="782"/>
        <v>0</v>
      </c>
      <c r="CU130" s="624">
        <f t="shared" ca="1" si="782"/>
        <v>0</v>
      </c>
      <c r="CV130" s="624">
        <f t="shared" ca="1" si="782"/>
        <v>0</v>
      </c>
    </row>
    <row r="131" spans="1:100" s="498" customFormat="1" outlineLevel="1" x14ac:dyDescent="0.2">
      <c r="A131" s="15"/>
      <c r="B131" s="15"/>
      <c r="C131" s="21"/>
      <c r="D131" s="48"/>
      <c r="E131" s="145" t="str">
        <f xml:space="preserve"> 'FS Semi_P99'!E$89</f>
        <v>Cash flow available for dividends - P99</v>
      </c>
      <c r="F131" s="145">
        <f xml:space="preserve"> 'FS Semi_P99'!F$89</f>
        <v>0</v>
      </c>
      <c r="G131" s="145" t="str">
        <f xml:space="preserve"> 'FS Semi_P99'!G$89</f>
        <v>$ 000s</v>
      </c>
      <c r="H131" s="145">
        <f ca="1" xml:space="preserve"> 'FS Semi_P99'!H$89</f>
        <v>0</v>
      </c>
      <c r="I131" s="145">
        <f xml:space="preserve"> 'FS Semi_P99'!I$89</f>
        <v>0</v>
      </c>
      <c r="J131" s="145">
        <f ca="1" xml:space="preserve"> 'FS Semi_P99'!J$89</f>
        <v>-1.5558398445136845E-6</v>
      </c>
      <c r="K131" s="145">
        <f ca="1" xml:space="preserve"> 'FS Semi_P99'!K$89</f>
        <v>-1.2466658517951146E-5</v>
      </c>
      <c r="L131" s="145">
        <f ca="1" xml:space="preserve"> 'FS Semi_P99'!L$89</f>
        <v>-1.6754362150095403E-5</v>
      </c>
      <c r="M131" s="145">
        <f ca="1" xml:space="preserve"> 'FS Semi_P99'!M$89</f>
        <v>-1.9422688637860119E-5</v>
      </c>
      <c r="N131" s="145">
        <f ca="1" xml:space="preserve"> 'FS Semi_P99'!N$89</f>
        <v>-3.9676149608567357E-3</v>
      </c>
      <c r="O131" s="145">
        <f ca="1" xml:space="preserve"> 'FS Semi_P99'!O$89</f>
        <v>4.0178145100071561E-3</v>
      </c>
      <c r="P131" s="145">
        <f ca="1" xml:space="preserve"> 'FS Semi_P99'!P$89</f>
        <v>0</v>
      </c>
      <c r="Q131" s="145">
        <f ca="1" xml:space="preserve"> 'FS Semi_P99'!Q$89</f>
        <v>0</v>
      </c>
      <c r="R131" s="145">
        <f ca="1" xml:space="preserve"> 'FS Semi_P99'!R$89</f>
        <v>0</v>
      </c>
      <c r="S131" s="145">
        <f ca="1" xml:space="preserve"> 'FS Semi_P99'!S$89</f>
        <v>0</v>
      </c>
      <c r="T131" s="145">
        <f ca="1" xml:space="preserve"> 'FS Semi_P99'!T$89</f>
        <v>0</v>
      </c>
      <c r="U131" s="145">
        <f ca="1" xml:space="preserve"> 'FS Semi_P99'!U$89</f>
        <v>0</v>
      </c>
      <c r="V131" s="145">
        <f ca="1" xml:space="preserve"> 'FS Semi_P99'!V$89</f>
        <v>0</v>
      </c>
      <c r="W131" s="145">
        <f ca="1" xml:space="preserve"> 'FS Semi_P99'!W$89</f>
        <v>0</v>
      </c>
      <c r="X131" s="145">
        <f ca="1" xml:space="preserve"> 'FS Semi_P99'!X$89</f>
        <v>0</v>
      </c>
      <c r="Y131" s="145">
        <f ca="1" xml:space="preserve"> 'FS Semi_P99'!Y$89</f>
        <v>0</v>
      </c>
      <c r="Z131" s="145">
        <f ca="1" xml:space="preserve"> 'FS Semi_P99'!Z$89</f>
        <v>0</v>
      </c>
      <c r="AA131" s="145">
        <f ca="1" xml:space="preserve"> 'FS Semi_P99'!AA$89</f>
        <v>0</v>
      </c>
      <c r="AB131" s="145">
        <f ca="1" xml:space="preserve"> 'FS Semi_P99'!AB$89</f>
        <v>0</v>
      </c>
      <c r="AC131" s="145">
        <f ca="1" xml:space="preserve"> 'FS Semi_P99'!AC$89</f>
        <v>0</v>
      </c>
      <c r="AD131" s="145">
        <f ca="1" xml:space="preserve"> 'FS Semi_P99'!AD$89</f>
        <v>0</v>
      </c>
      <c r="AE131" s="145">
        <f ca="1" xml:space="preserve"> 'FS Semi_P99'!AE$89</f>
        <v>0</v>
      </c>
      <c r="AF131" s="145">
        <f ca="1" xml:space="preserve"> 'FS Semi_P99'!AF$89</f>
        <v>0</v>
      </c>
      <c r="AG131" s="145">
        <f ca="1" xml:space="preserve"> 'FS Semi_P99'!AG$89</f>
        <v>0</v>
      </c>
      <c r="AH131" s="145">
        <f ca="1" xml:space="preserve"> 'FS Semi_P99'!AH$89</f>
        <v>0</v>
      </c>
      <c r="AI131" s="145">
        <f ca="1" xml:space="preserve"> 'FS Semi_P99'!AI$89</f>
        <v>0</v>
      </c>
      <c r="AJ131" s="145">
        <f ca="1" xml:space="preserve"> 'FS Semi_P99'!AJ$89</f>
        <v>0</v>
      </c>
      <c r="AK131" s="145">
        <f ca="1" xml:space="preserve"> 'FS Semi_P99'!AK$89</f>
        <v>0</v>
      </c>
      <c r="AL131" s="145">
        <f ca="1" xml:space="preserve"> 'FS Semi_P99'!AL$89</f>
        <v>0</v>
      </c>
      <c r="AM131" s="145">
        <f ca="1" xml:space="preserve"> 'FS Semi_P99'!AM$89</f>
        <v>0</v>
      </c>
      <c r="AN131" s="145">
        <f ca="1" xml:space="preserve"> 'FS Semi_P99'!AN$89</f>
        <v>0</v>
      </c>
      <c r="AO131" s="145">
        <f ca="1" xml:space="preserve"> 'FS Semi_P99'!AO$89</f>
        <v>0</v>
      </c>
      <c r="AP131" s="145">
        <f ca="1" xml:space="preserve"> 'FS Semi_P99'!AP$89</f>
        <v>0</v>
      </c>
      <c r="AQ131" s="145">
        <f ca="1" xml:space="preserve"> 'FS Semi_P99'!AQ$89</f>
        <v>0</v>
      </c>
      <c r="AR131" s="145">
        <f ca="1" xml:space="preserve"> 'FS Semi_P99'!AR$89</f>
        <v>0</v>
      </c>
      <c r="AS131" s="145">
        <f ca="1" xml:space="preserve"> 'FS Semi_P99'!AS$89</f>
        <v>0</v>
      </c>
      <c r="AT131" s="145">
        <f ca="1" xml:space="preserve"> 'FS Semi_P99'!AT$89</f>
        <v>0</v>
      </c>
      <c r="AU131" s="145">
        <f ca="1" xml:space="preserve"> 'FS Semi_P99'!AU$89</f>
        <v>0</v>
      </c>
      <c r="AV131" s="145">
        <f ca="1" xml:space="preserve"> 'FS Semi_P99'!AV$89</f>
        <v>0</v>
      </c>
      <c r="AW131" s="145">
        <f ca="1" xml:space="preserve"> 'FS Semi_P99'!AW$89</f>
        <v>0</v>
      </c>
      <c r="AX131" s="145">
        <f ca="1" xml:space="preserve"> 'FS Semi_P99'!AX$89</f>
        <v>0</v>
      </c>
      <c r="AY131" s="145">
        <f ca="1" xml:space="preserve"> 'FS Semi_P99'!AY$89</f>
        <v>0</v>
      </c>
      <c r="AZ131" s="145">
        <f ca="1" xml:space="preserve"> 'FS Semi_P99'!AZ$89</f>
        <v>0</v>
      </c>
      <c r="BA131" s="145">
        <f ca="1" xml:space="preserve"> 'FS Semi_P99'!BA$89</f>
        <v>0</v>
      </c>
      <c r="BB131" s="145">
        <f ca="1" xml:space="preserve"> 'FS Semi_P99'!BB$89</f>
        <v>0</v>
      </c>
      <c r="BC131" s="145">
        <f ca="1" xml:space="preserve"> 'FS Semi_P99'!BC$89</f>
        <v>0</v>
      </c>
      <c r="BD131" s="145">
        <f ca="1" xml:space="preserve"> 'FS Semi_P99'!BD$89</f>
        <v>0</v>
      </c>
      <c r="BE131" s="145">
        <f ca="1" xml:space="preserve"> 'FS Semi_P99'!BE$89</f>
        <v>0</v>
      </c>
      <c r="BF131" s="145">
        <f ca="1" xml:space="preserve"> 'FS Semi_P99'!BF$89</f>
        <v>0</v>
      </c>
      <c r="BG131" s="145">
        <f ca="1" xml:space="preserve"> 'FS Semi_P99'!BG$89</f>
        <v>0</v>
      </c>
      <c r="BH131" s="145">
        <f ca="1" xml:space="preserve"> 'FS Semi_P99'!BH$89</f>
        <v>0</v>
      </c>
      <c r="BI131" s="145">
        <f ca="1" xml:space="preserve"> 'FS Semi_P99'!BI$89</f>
        <v>0</v>
      </c>
      <c r="BJ131" s="145">
        <f ca="1" xml:space="preserve"> 'FS Semi_P99'!BJ$89</f>
        <v>0</v>
      </c>
      <c r="BK131" s="145">
        <f ca="1" xml:space="preserve"> 'FS Semi_P99'!BK$89</f>
        <v>0</v>
      </c>
      <c r="BL131" s="145">
        <f ca="1" xml:space="preserve"> 'FS Semi_P99'!BL$89</f>
        <v>0</v>
      </c>
      <c r="BM131" s="145">
        <f ca="1" xml:space="preserve"> 'FS Semi_P99'!BM$89</f>
        <v>0</v>
      </c>
      <c r="BN131" s="145">
        <f ca="1" xml:space="preserve"> 'FS Semi_P99'!BN$89</f>
        <v>0</v>
      </c>
      <c r="BO131" s="145">
        <f ca="1" xml:space="preserve"> 'FS Semi_P99'!BO$89</f>
        <v>0</v>
      </c>
      <c r="BP131" s="145">
        <f ca="1" xml:space="preserve"> 'FS Semi_P99'!BP$89</f>
        <v>0</v>
      </c>
      <c r="BQ131" s="145">
        <f ca="1" xml:space="preserve"> 'FS Semi_P99'!BQ$89</f>
        <v>0</v>
      </c>
      <c r="BR131" s="145">
        <f ca="1" xml:space="preserve"> 'FS Semi_P99'!BR$89</f>
        <v>0</v>
      </c>
      <c r="BS131" s="145">
        <f ca="1" xml:space="preserve"> 'FS Semi_P99'!BS$89</f>
        <v>0</v>
      </c>
      <c r="BT131" s="145">
        <f ca="1" xml:space="preserve"> 'FS Semi_P99'!BT$89</f>
        <v>0</v>
      </c>
      <c r="BU131" s="145">
        <f ca="1" xml:space="preserve"> 'FS Semi_P99'!BU$89</f>
        <v>0</v>
      </c>
      <c r="BV131" s="145">
        <f ca="1" xml:space="preserve"> 'FS Semi_P99'!BV$89</f>
        <v>0</v>
      </c>
      <c r="BW131" s="145">
        <f ca="1" xml:space="preserve"> 'FS Semi_P99'!BW$89</f>
        <v>0</v>
      </c>
      <c r="BX131" s="145">
        <f ca="1" xml:space="preserve"> 'FS Semi_P99'!BX$89</f>
        <v>0</v>
      </c>
      <c r="BY131" s="145">
        <f ca="1" xml:space="preserve"> 'FS Semi_P99'!BY$89</f>
        <v>0</v>
      </c>
      <c r="BZ131" s="145">
        <f ca="1" xml:space="preserve"> 'FS Semi_P99'!BZ$89</f>
        <v>0</v>
      </c>
      <c r="CA131" s="145">
        <f ca="1" xml:space="preserve"> 'FS Semi_P99'!CA$89</f>
        <v>0</v>
      </c>
      <c r="CB131" s="145">
        <f ca="1" xml:space="preserve"> 'FS Semi_P99'!CB$89</f>
        <v>0</v>
      </c>
      <c r="CC131" s="145">
        <f ca="1" xml:space="preserve"> 'FS Semi_P99'!CC$89</f>
        <v>0</v>
      </c>
      <c r="CD131" s="145">
        <f ca="1" xml:space="preserve"> 'FS Semi_P99'!CD$89</f>
        <v>0</v>
      </c>
      <c r="CE131" s="145">
        <f ca="1" xml:space="preserve"> 'FS Semi_P99'!CE$89</f>
        <v>0</v>
      </c>
      <c r="CF131" s="145">
        <f ca="1" xml:space="preserve"> 'FS Semi_P99'!CF$89</f>
        <v>0</v>
      </c>
      <c r="CG131" s="145">
        <f ca="1" xml:space="preserve"> 'FS Semi_P99'!CG$89</f>
        <v>0</v>
      </c>
      <c r="CH131" s="145">
        <f ca="1" xml:space="preserve"> 'FS Semi_P99'!CH$89</f>
        <v>0</v>
      </c>
      <c r="CI131" s="145">
        <f ca="1" xml:space="preserve"> 'FS Semi_P99'!CI$89</f>
        <v>0</v>
      </c>
      <c r="CJ131" s="145">
        <f ca="1" xml:space="preserve"> 'FS Semi_P99'!CJ$89</f>
        <v>0</v>
      </c>
      <c r="CK131" s="145">
        <f ca="1" xml:space="preserve"> 'FS Semi_P99'!CK$89</f>
        <v>0</v>
      </c>
      <c r="CL131" s="145">
        <f ca="1" xml:space="preserve"> 'FS Semi_P99'!CL$89</f>
        <v>0</v>
      </c>
      <c r="CM131" s="145">
        <f ca="1" xml:space="preserve"> 'FS Semi_P99'!CM$89</f>
        <v>0</v>
      </c>
      <c r="CN131" s="145">
        <f ca="1" xml:space="preserve"> 'FS Semi_P99'!CN$89</f>
        <v>0</v>
      </c>
      <c r="CO131" s="145">
        <f ca="1" xml:space="preserve"> 'FS Semi_P99'!CO$89</f>
        <v>0</v>
      </c>
      <c r="CP131" s="145">
        <f ca="1" xml:space="preserve"> 'FS Semi_P99'!CP$89</f>
        <v>0</v>
      </c>
      <c r="CQ131" s="145">
        <f ca="1" xml:space="preserve"> 'FS Semi_P99'!CQ$89</f>
        <v>0</v>
      </c>
      <c r="CR131" s="145">
        <f ca="1" xml:space="preserve"> 'FS Semi_P99'!CR$89</f>
        <v>0</v>
      </c>
      <c r="CS131" s="145">
        <f ca="1" xml:space="preserve"> 'FS Semi_P99'!CS$89</f>
        <v>0</v>
      </c>
      <c r="CT131" s="145">
        <f ca="1" xml:space="preserve"> 'FS Semi_P99'!CT$89</f>
        <v>0</v>
      </c>
      <c r="CU131" s="145">
        <f ca="1" xml:space="preserve"> 'FS Semi_P99'!CU$89</f>
        <v>0</v>
      </c>
      <c r="CV131" s="145">
        <f ca="1" xml:space="preserve"> 'FS Semi_P99'!CV$89</f>
        <v>0</v>
      </c>
    </row>
    <row r="132" spans="1:100" s="498" customFormat="1" outlineLevel="1" x14ac:dyDescent="0.2">
      <c r="A132" s="15"/>
      <c r="B132" s="15"/>
      <c r="C132" s="21"/>
      <c r="D132" s="48"/>
      <c r="E132" s="126" t="str">
        <f t="shared" ref="E132:AJ132" si="783" xml:space="preserve"> E$148</f>
        <v>Dividends paid - P99 POS</v>
      </c>
      <c r="F132" s="126">
        <f t="shared" si="783"/>
        <v>0</v>
      </c>
      <c r="G132" s="126" t="str">
        <f t="shared" si="783"/>
        <v>$ 000s</v>
      </c>
      <c r="H132" s="126">
        <f t="shared" ca="1" si="783"/>
        <v>0</v>
      </c>
      <c r="I132" s="126">
        <f t="shared" si="783"/>
        <v>0</v>
      </c>
      <c r="J132" s="126">
        <f t="shared" ca="1" si="783"/>
        <v>0</v>
      </c>
      <c r="K132" s="126">
        <f t="shared" ca="1" si="783"/>
        <v>0</v>
      </c>
      <c r="L132" s="126">
        <f t="shared" ca="1" si="783"/>
        <v>0</v>
      </c>
      <c r="M132" s="126">
        <f t="shared" ca="1" si="783"/>
        <v>0</v>
      </c>
      <c r="N132" s="126">
        <f t="shared" ca="1" si="783"/>
        <v>0</v>
      </c>
      <c r="O132" s="126">
        <f t="shared" ca="1" si="783"/>
        <v>0</v>
      </c>
      <c r="P132" s="126">
        <f t="shared" ca="1" si="783"/>
        <v>0</v>
      </c>
      <c r="Q132" s="126">
        <f t="shared" ca="1" si="783"/>
        <v>0</v>
      </c>
      <c r="R132" s="126">
        <f t="shared" ca="1" si="783"/>
        <v>0</v>
      </c>
      <c r="S132" s="126">
        <f t="shared" ca="1" si="783"/>
        <v>0</v>
      </c>
      <c r="T132" s="126">
        <f t="shared" ca="1" si="783"/>
        <v>0</v>
      </c>
      <c r="U132" s="126">
        <f t="shared" ca="1" si="783"/>
        <v>0</v>
      </c>
      <c r="V132" s="126">
        <f t="shared" ca="1" si="783"/>
        <v>0</v>
      </c>
      <c r="W132" s="126">
        <f t="shared" ca="1" si="783"/>
        <v>0</v>
      </c>
      <c r="X132" s="126">
        <f t="shared" ca="1" si="783"/>
        <v>0</v>
      </c>
      <c r="Y132" s="126">
        <f t="shared" ca="1" si="783"/>
        <v>0</v>
      </c>
      <c r="Z132" s="126">
        <f t="shared" ca="1" si="783"/>
        <v>0</v>
      </c>
      <c r="AA132" s="126">
        <f t="shared" ca="1" si="783"/>
        <v>0</v>
      </c>
      <c r="AB132" s="126">
        <f t="shared" ca="1" si="783"/>
        <v>0</v>
      </c>
      <c r="AC132" s="126">
        <f t="shared" ca="1" si="783"/>
        <v>0</v>
      </c>
      <c r="AD132" s="126">
        <f t="shared" ca="1" si="783"/>
        <v>0</v>
      </c>
      <c r="AE132" s="126">
        <f t="shared" ca="1" si="783"/>
        <v>0</v>
      </c>
      <c r="AF132" s="126">
        <f t="shared" ca="1" si="783"/>
        <v>0</v>
      </c>
      <c r="AG132" s="126">
        <f t="shared" ca="1" si="783"/>
        <v>0</v>
      </c>
      <c r="AH132" s="126">
        <f t="shared" ca="1" si="783"/>
        <v>0</v>
      </c>
      <c r="AI132" s="126">
        <f t="shared" ca="1" si="783"/>
        <v>0</v>
      </c>
      <c r="AJ132" s="126">
        <f t="shared" ca="1" si="783"/>
        <v>0</v>
      </c>
      <c r="AK132" s="126">
        <f t="shared" ref="AK132:BP132" ca="1" si="784" xml:space="preserve"> AK$148</f>
        <v>0</v>
      </c>
      <c r="AL132" s="126">
        <f t="shared" ca="1" si="784"/>
        <v>0</v>
      </c>
      <c r="AM132" s="126">
        <f t="shared" ca="1" si="784"/>
        <v>0</v>
      </c>
      <c r="AN132" s="126">
        <f t="shared" ca="1" si="784"/>
        <v>0</v>
      </c>
      <c r="AO132" s="126">
        <f t="shared" ca="1" si="784"/>
        <v>0</v>
      </c>
      <c r="AP132" s="126">
        <f t="shared" ca="1" si="784"/>
        <v>0</v>
      </c>
      <c r="AQ132" s="126">
        <f t="shared" ca="1" si="784"/>
        <v>0</v>
      </c>
      <c r="AR132" s="126">
        <f t="shared" ca="1" si="784"/>
        <v>0</v>
      </c>
      <c r="AS132" s="126">
        <f t="shared" ca="1" si="784"/>
        <v>0</v>
      </c>
      <c r="AT132" s="126">
        <f t="shared" ca="1" si="784"/>
        <v>0</v>
      </c>
      <c r="AU132" s="126">
        <f t="shared" ca="1" si="784"/>
        <v>0</v>
      </c>
      <c r="AV132" s="126">
        <f t="shared" ca="1" si="784"/>
        <v>0</v>
      </c>
      <c r="AW132" s="126">
        <f t="shared" ca="1" si="784"/>
        <v>0</v>
      </c>
      <c r="AX132" s="126">
        <f t="shared" ca="1" si="784"/>
        <v>0</v>
      </c>
      <c r="AY132" s="126">
        <f t="shared" ca="1" si="784"/>
        <v>0</v>
      </c>
      <c r="AZ132" s="126">
        <f t="shared" ca="1" si="784"/>
        <v>0</v>
      </c>
      <c r="BA132" s="126">
        <f t="shared" ca="1" si="784"/>
        <v>0</v>
      </c>
      <c r="BB132" s="126">
        <f t="shared" ca="1" si="784"/>
        <v>0</v>
      </c>
      <c r="BC132" s="126">
        <f t="shared" ca="1" si="784"/>
        <v>0</v>
      </c>
      <c r="BD132" s="126">
        <f t="shared" ca="1" si="784"/>
        <v>0</v>
      </c>
      <c r="BE132" s="126">
        <f t="shared" ca="1" si="784"/>
        <v>0</v>
      </c>
      <c r="BF132" s="126">
        <f t="shared" ca="1" si="784"/>
        <v>0</v>
      </c>
      <c r="BG132" s="126">
        <f t="shared" ca="1" si="784"/>
        <v>0</v>
      </c>
      <c r="BH132" s="126">
        <f t="shared" ca="1" si="784"/>
        <v>0</v>
      </c>
      <c r="BI132" s="126">
        <f t="shared" ca="1" si="784"/>
        <v>0</v>
      </c>
      <c r="BJ132" s="126">
        <f t="shared" ca="1" si="784"/>
        <v>0</v>
      </c>
      <c r="BK132" s="126">
        <f t="shared" ca="1" si="784"/>
        <v>0</v>
      </c>
      <c r="BL132" s="126">
        <f t="shared" ca="1" si="784"/>
        <v>0</v>
      </c>
      <c r="BM132" s="126">
        <f t="shared" ca="1" si="784"/>
        <v>0</v>
      </c>
      <c r="BN132" s="126">
        <f t="shared" ca="1" si="784"/>
        <v>0</v>
      </c>
      <c r="BO132" s="126">
        <f t="shared" ca="1" si="784"/>
        <v>0</v>
      </c>
      <c r="BP132" s="126">
        <f t="shared" ca="1" si="784"/>
        <v>0</v>
      </c>
      <c r="BQ132" s="126">
        <f t="shared" ref="BQ132:CV132" ca="1" si="785" xml:space="preserve"> BQ$148</f>
        <v>0</v>
      </c>
      <c r="BR132" s="126">
        <f t="shared" ca="1" si="785"/>
        <v>0</v>
      </c>
      <c r="BS132" s="126">
        <f t="shared" ca="1" si="785"/>
        <v>0</v>
      </c>
      <c r="BT132" s="126">
        <f t="shared" ca="1" si="785"/>
        <v>0</v>
      </c>
      <c r="BU132" s="126">
        <f t="shared" ca="1" si="785"/>
        <v>0</v>
      </c>
      <c r="BV132" s="126">
        <f t="shared" ca="1" si="785"/>
        <v>0</v>
      </c>
      <c r="BW132" s="126">
        <f t="shared" ca="1" si="785"/>
        <v>0</v>
      </c>
      <c r="BX132" s="126">
        <f t="shared" ca="1" si="785"/>
        <v>0</v>
      </c>
      <c r="BY132" s="126">
        <f t="shared" ca="1" si="785"/>
        <v>0</v>
      </c>
      <c r="BZ132" s="126">
        <f t="shared" ca="1" si="785"/>
        <v>0</v>
      </c>
      <c r="CA132" s="126">
        <f t="shared" ca="1" si="785"/>
        <v>0</v>
      </c>
      <c r="CB132" s="126">
        <f t="shared" ca="1" si="785"/>
        <v>0</v>
      </c>
      <c r="CC132" s="126">
        <f t="shared" ca="1" si="785"/>
        <v>0</v>
      </c>
      <c r="CD132" s="126">
        <f t="shared" ca="1" si="785"/>
        <v>0</v>
      </c>
      <c r="CE132" s="126">
        <f t="shared" ca="1" si="785"/>
        <v>0</v>
      </c>
      <c r="CF132" s="126">
        <f t="shared" ca="1" si="785"/>
        <v>0</v>
      </c>
      <c r="CG132" s="126">
        <f t="shared" ca="1" si="785"/>
        <v>0</v>
      </c>
      <c r="CH132" s="126">
        <f t="shared" ca="1" si="785"/>
        <v>0</v>
      </c>
      <c r="CI132" s="126">
        <f t="shared" ca="1" si="785"/>
        <v>0</v>
      </c>
      <c r="CJ132" s="126">
        <f t="shared" ca="1" si="785"/>
        <v>0</v>
      </c>
      <c r="CK132" s="126">
        <f t="shared" ca="1" si="785"/>
        <v>0</v>
      </c>
      <c r="CL132" s="126">
        <f t="shared" ca="1" si="785"/>
        <v>0</v>
      </c>
      <c r="CM132" s="126">
        <f t="shared" ca="1" si="785"/>
        <v>0</v>
      </c>
      <c r="CN132" s="126">
        <f t="shared" ca="1" si="785"/>
        <v>0</v>
      </c>
      <c r="CO132" s="126">
        <f t="shared" ca="1" si="785"/>
        <v>0</v>
      </c>
      <c r="CP132" s="126">
        <f t="shared" ca="1" si="785"/>
        <v>0</v>
      </c>
      <c r="CQ132" s="126">
        <f t="shared" ca="1" si="785"/>
        <v>0</v>
      </c>
      <c r="CR132" s="126">
        <f t="shared" ca="1" si="785"/>
        <v>0</v>
      </c>
      <c r="CS132" s="126">
        <f t="shared" ca="1" si="785"/>
        <v>0</v>
      </c>
      <c r="CT132" s="126">
        <f t="shared" ca="1" si="785"/>
        <v>0</v>
      </c>
      <c r="CU132" s="126">
        <f t="shared" ca="1" si="785"/>
        <v>0</v>
      </c>
      <c r="CV132" s="126">
        <f t="shared" ca="1" si="785"/>
        <v>0</v>
      </c>
    </row>
    <row r="133" spans="1:100" s="541" customFormat="1" outlineLevel="1" x14ac:dyDescent="0.2">
      <c r="A133" s="391"/>
      <c r="B133" s="391"/>
      <c r="C133" s="392"/>
      <c r="D133" s="393"/>
      <c r="E133" s="395" t="s">
        <v>1238</v>
      </c>
      <c r="F133" s="395"/>
      <c r="G133" s="395" t="str">
        <f xml:space="preserve"> SMU</f>
        <v>$ 000s</v>
      </c>
      <c r="H133" s="395"/>
      <c r="I133" s="395"/>
      <c r="J133" s="395">
        <f t="shared" ref="J133:AO133" ca="1" si="786" xml:space="preserve"> J130 + J131 - J132</f>
        <v>-1.5558398445136845E-6</v>
      </c>
      <c r="K133" s="395">
        <f t="shared" ca="1" si="786"/>
        <v>-1.402249836246483E-5</v>
      </c>
      <c r="L133" s="395">
        <f t="shared" ca="1" si="786"/>
        <v>-3.0776860512560233E-5</v>
      </c>
      <c r="M133" s="395">
        <f t="shared" ca="1" si="786"/>
        <v>-5.0199549150420353E-5</v>
      </c>
      <c r="N133" s="395">
        <f t="shared" ca="1" si="786"/>
        <v>-4.0178145100071561E-3</v>
      </c>
      <c r="O133" s="395">
        <f t="shared" ca="1" si="786"/>
        <v>0</v>
      </c>
      <c r="P133" s="395">
        <f t="shared" ca="1" si="786"/>
        <v>0</v>
      </c>
      <c r="Q133" s="395">
        <f t="shared" ca="1" si="786"/>
        <v>0</v>
      </c>
      <c r="R133" s="395">
        <f t="shared" ca="1" si="786"/>
        <v>0</v>
      </c>
      <c r="S133" s="395">
        <f t="shared" ca="1" si="786"/>
        <v>0</v>
      </c>
      <c r="T133" s="395">
        <f t="shared" ca="1" si="786"/>
        <v>0</v>
      </c>
      <c r="U133" s="395">
        <f t="shared" ca="1" si="786"/>
        <v>0</v>
      </c>
      <c r="V133" s="395">
        <f t="shared" ca="1" si="786"/>
        <v>0</v>
      </c>
      <c r="W133" s="395">
        <f t="shared" ca="1" si="786"/>
        <v>0</v>
      </c>
      <c r="X133" s="395">
        <f t="shared" ca="1" si="786"/>
        <v>0</v>
      </c>
      <c r="Y133" s="395">
        <f t="shared" ca="1" si="786"/>
        <v>0</v>
      </c>
      <c r="Z133" s="395">
        <f t="shared" ca="1" si="786"/>
        <v>0</v>
      </c>
      <c r="AA133" s="395">
        <f t="shared" ca="1" si="786"/>
        <v>0</v>
      </c>
      <c r="AB133" s="395">
        <f t="shared" ca="1" si="786"/>
        <v>0</v>
      </c>
      <c r="AC133" s="395">
        <f t="shared" ca="1" si="786"/>
        <v>0</v>
      </c>
      <c r="AD133" s="395">
        <f t="shared" ca="1" si="786"/>
        <v>0</v>
      </c>
      <c r="AE133" s="395">
        <f t="shared" ca="1" si="786"/>
        <v>0</v>
      </c>
      <c r="AF133" s="395">
        <f t="shared" ca="1" si="786"/>
        <v>0</v>
      </c>
      <c r="AG133" s="395">
        <f t="shared" ca="1" si="786"/>
        <v>0</v>
      </c>
      <c r="AH133" s="395">
        <f t="shared" ca="1" si="786"/>
        <v>0</v>
      </c>
      <c r="AI133" s="395">
        <f t="shared" ca="1" si="786"/>
        <v>0</v>
      </c>
      <c r="AJ133" s="395">
        <f t="shared" ca="1" si="786"/>
        <v>0</v>
      </c>
      <c r="AK133" s="395">
        <f t="shared" ca="1" si="786"/>
        <v>0</v>
      </c>
      <c r="AL133" s="395">
        <f t="shared" ca="1" si="786"/>
        <v>0</v>
      </c>
      <c r="AM133" s="395">
        <f t="shared" ca="1" si="786"/>
        <v>0</v>
      </c>
      <c r="AN133" s="395">
        <f t="shared" ca="1" si="786"/>
        <v>0</v>
      </c>
      <c r="AO133" s="395">
        <f t="shared" ca="1" si="786"/>
        <v>0</v>
      </c>
      <c r="AP133" s="395">
        <f t="shared" ref="AP133:BU133" ca="1" si="787" xml:space="preserve"> AP130 + AP131 - AP132</f>
        <v>0</v>
      </c>
      <c r="AQ133" s="395">
        <f t="shared" ca="1" si="787"/>
        <v>0</v>
      </c>
      <c r="AR133" s="395">
        <f t="shared" ca="1" si="787"/>
        <v>0</v>
      </c>
      <c r="AS133" s="395">
        <f t="shared" ca="1" si="787"/>
        <v>0</v>
      </c>
      <c r="AT133" s="395">
        <f t="shared" ca="1" si="787"/>
        <v>0</v>
      </c>
      <c r="AU133" s="395">
        <f t="shared" ca="1" si="787"/>
        <v>0</v>
      </c>
      <c r="AV133" s="395">
        <f t="shared" ca="1" si="787"/>
        <v>0</v>
      </c>
      <c r="AW133" s="395">
        <f t="shared" ca="1" si="787"/>
        <v>0</v>
      </c>
      <c r="AX133" s="395">
        <f t="shared" ca="1" si="787"/>
        <v>0</v>
      </c>
      <c r="AY133" s="395">
        <f t="shared" ca="1" si="787"/>
        <v>0</v>
      </c>
      <c r="AZ133" s="395">
        <f t="shared" ca="1" si="787"/>
        <v>0</v>
      </c>
      <c r="BA133" s="395">
        <f t="shared" ca="1" si="787"/>
        <v>0</v>
      </c>
      <c r="BB133" s="395">
        <f t="shared" ca="1" si="787"/>
        <v>0</v>
      </c>
      <c r="BC133" s="395">
        <f t="shared" ca="1" si="787"/>
        <v>0</v>
      </c>
      <c r="BD133" s="395">
        <f t="shared" ca="1" si="787"/>
        <v>0</v>
      </c>
      <c r="BE133" s="395">
        <f t="shared" ca="1" si="787"/>
        <v>0</v>
      </c>
      <c r="BF133" s="395">
        <f t="shared" ca="1" si="787"/>
        <v>0</v>
      </c>
      <c r="BG133" s="395">
        <f t="shared" ca="1" si="787"/>
        <v>0</v>
      </c>
      <c r="BH133" s="395">
        <f t="shared" ca="1" si="787"/>
        <v>0</v>
      </c>
      <c r="BI133" s="395">
        <f t="shared" ca="1" si="787"/>
        <v>0</v>
      </c>
      <c r="BJ133" s="395">
        <f t="shared" ca="1" si="787"/>
        <v>0</v>
      </c>
      <c r="BK133" s="395">
        <f t="shared" ca="1" si="787"/>
        <v>0</v>
      </c>
      <c r="BL133" s="395">
        <f t="shared" ca="1" si="787"/>
        <v>0</v>
      </c>
      <c r="BM133" s="395">
        <f t="shared" ca="1" si="787"/>
        <v>0</v>
      </c>
      <c r="BN133" s="395">
        <f t="shared" ca="1" si="787"/>
        <v>0</v>
      </c>
      <c r="BO133" s="395">
        <f t="shared" ca="1" si="787"/>
        <v>0</v>
      </c>
      <c r="BP133" s="395">
        <f t="shared" ca="1" si="787"/>
        <v>0</v>
      </c>
      <c r="BQ133" s="395">
        <f t="shared" ca="1" si="787"/>
        <v>0</v>
      </c>
      <c r="BR133" s="395">
        <f t="shared" ca="1" si="787"/>
        <v>0</v>
      </c>
      <c r="BS133" s="395">
        <f t="shared" ca="1" si="787"/>
        <v>0</v>
      </c>
      <c r="BT133" s="395">
        <f t="shared" ca="1" si="787"/>
        <v>0</v>
      </c>
      <c r="BU133" s="395">
        <f t="shared" ca="1" si="787"/>
        <v>0</v>
      </c>
      <c r="BV133" s="395">
        <f t="shared" ref="BV133:CV133" ca="1" si="788" xml:space="preserve"> BV130 + BV131 - BV132</f>
        <v>0</v>
      </c>
      <c r="BW133" s="395">
        <f t="shared" ca="1" si="788"/>
        <v>0</v>
      </c>
      <c r="BX133" s="395">
        <f t="shared" ca="1" si="788"/>
        <v>0</v>
      </c>
      <c r="BY133" s="395">
        <f t="shared" ca="1" si="788"/>
        <v>0</v>
      </c>
      <c r="BZ133" s="395">
        <f t="shared" ca="1" si="788"/>
        <v>0</v>
      </c>
      <c r="CA133" s="395">
        <f t="shared" ca="1" si="788"/>
        <v>0</v>
      </c>
      <c r="CB133" s="395">
        <f t="shared" ca="1" si="788"/>
        <v>0</v>
      </c>
      <c r="CC133" s="395">
        <f t="shared" ca="1" si="788"/>
        <v>0</v>
      </c>
      <c r="CD133" s="395">
        <f t="shared" ca="1" si="788"/>
        <v>0</v>
      </c>
      <c r="CE133" s="395">
        <f t="shared" ca="1" si="788"/>
        <v>0</v>
      </c>
      <c r="CF133" s="395">
        <f t="shared" ca="1" si="788"/>
        <v>0</v>
      </c>
      <c r="CG133" s="395">
        <f t="shared" ca="1" si="788"/>
        <v>0</v>
      </c>
      <c r="CH133" s="395">
        <f t="shared" ca="1" si="788"/>
        <v>0</v>
      </c>
      <c r="CI133" s="395">
        <f t="shared" ca="1" si="788"/>
        <v>0</v>
      </c>
      <c r="CJ133" s="395">
        <f t="shared" ca="1" si="788"/>
        <v>0</v>
      </c>
      <c r="CK133" s="395">
        <f t="shared" ca="1" si="788"/>
        <v>0</v>
      </c>
      <c r="CL133" s="395">
        <f t="shared" ca="1" si="788"/>
        <v>0</v>
      </c>
      <c r="CM133" s="395">
        <f t="shared" ca="1" si="788"/>
        <v>0</v>
      </c>
      <c r="CN133" s="395">
        <f t="shared" ca="1" si="788"/>
        <v>0</v>
      </c>
      <c r="CO133" s="395">
        <f t="shared" ca="1" si="788"/>
        <v>0</v>
      </c>
      <c r="CP133" s="395">
        <f t="shared" ca="1" si="788"/>
        <v>0</v>
      </c>
      <c r="CQ133" s="395">
        <f t="shared" ca="1" si="788"/>
        <v>0</v>
      </c>
      <c r="CR133" s="395">
        <f t="shared" ca="1" si="788"/>
        <v>0</v>
      </c>
      <c r="CS133" s="395">
        <f t="shared" ca="1" si="788"/>
        <v>0</v>
      </c>
      <c r="CT133" s="395">
        <f t="shared" ca="1" si="788"/>
        <v>0</v>
      </c>
      <c r="CU133" s="395">
        <f t="shared" ca="1" si="788"/>
        <v>0</v>
      </c>
      <c r="CV133" s="395">
        <f t="shared" ca="1" si="788"/>
        <v>0</v>
      </c>
    </row>
    <row r="134" spans="1:100" outlineLevel="1" x14ac:dyDescent="0.2">
      <c r="A134" s="236"/>
      <c r="B134" s="236"/>
      <c r="C134" s="237"/>
      <c r="D134" s="238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"/>
    <row r="136" spans="1:100" x14ac:dyDescent="0.2">
      <c r="A136" s="15" t="s">
        <v>1239</v>
      </c>
    </row>
    <row r="137" spans="1:100" outlineLevel="1" x14ac:dyDescent="0.2"/>
    <row r="138" spans="1:100" outlineLevel="1" x14ac:dyDescent="0.2">
      <c r="E138" s="198" t="str">
        <f t="shared" ref="E138:AJ138" si="789" xml:space="preserve"> E$122</f>
        <v>Retained earnings balance BEG - P99</v>
      </c>
      <c r="F138" s="198">
        <f t="shared" si="789"/>
        <v>0</v>
      </c>
      <c r="G138" s="198" t="str">
        <f t="shared" si="789"/>
        <v>$ 000s</v>
      </c>
      <c r="H138" s="198">
        <f t="shared" si="789"/>
        <v>0</v>
      </c>
      <c r="I138" s="198">
        <f t="shared" si="789"/>
        <v>0</v>
      </c>
      <c r="J138" s="198">
        <f t="shared" si="789"/>
        <v>0</v>
      </c>
      <c r="K138" s="198">
        <f t="shared" ca="1" si="789"/>
        <v>0</v>
      </c>
      <c r="L138" s="198">
        <f t="shared" ca="1" si="789"/>
        <v>0</v>
      </c>
      <c r="M138" s="198">
        <f t="shared" ca="1" si="789"/>
        <v>0</v>
      </c>
      <c r="N138" s="198">
        <f t="shared" ca="1" si="789"/>
        <v>0</v>
      </c>
      <c r="O138" s="198">
        <f t="shared" ca="1" si="789"/>
        <v>0</v>
      </c>
      <c r="P138" s="198">
        <f t="shared" ca="1" si="789"/>
        <v>-11718.704761512705</v>
      </c>
      <c r="Q138" s="198">
        <f t="shared" ca="1" si="789"/>
        <v>-22777.866157683791</v>
      </c>
      <c r="R138" s="198">
        <f t="shared" ca="1" si="789"/>
        <v>-33605.498360594509</v>
      </c>
      <c r="S138" s="198">
        <f t="shared" ca="1" si="789"/>
        <v>-43988.630431943791</v>
      </c>
      <c r="T138" s="198">
        <f t="shared" ca="1" si="789"/>
        <v>-54278.396078994927</v>
      </c>
      <c r="U138" s="198">
        <f t="shared" ca="1" si="789"/>
        <v>-64260.150398723286</v>
      </c>
      <c r="V138" s="198">
        <f t="shared" ca="1" si="789"/>
        <v>-74270.549352956223</v>
      </c>
      <c r="W138" s="198">
        <f t="shared" ca="1" si="789"/>
        <v>-84120.570341278057</v>
      </c>
      <c r="X138" s="198">
        <f t="shared" ca="1" si="789"/>
        <v>-94083.33277999876</v>
      </c>
      <c r="Y138" s="198">
        <f t="shared" ca="1" si="789"/>
        <v>-103974.00930724325</v>
      </c>
      <c r="Z138" s="198">
        <f t="shared" ca="1" si="789"/>
        <v>-114295.89202341124</v>
      </c>
      <c r="AA138" s="198">
        <f t="shared" ca="1" si="789"/>
        <v>-124645.84092019498</v>
      </c>
      <c r="AB138" s="198">
        <f t="shared" ca="1" si="789"/>
        <v>-135331.42769266988</v>
      </c>
      <c r="AC138" s="198">
        <f t="shared" ca="1" si="789"/>
        <v>-146147.76841584459</v>
      </c>
      <c r="AD138" s="198">
        <f t="shared" ca="1" si="789"/>
        <v>-157393.67658551733</v>
      </c>
      <c r="AE138" s="198">
        <f t="shared" ca="1" si="789"/>
        <v>-168891.9118054132</v>
      </c>
      <c r="AF138" s="198">
        <f t="shared" ca="1" si="789"/>
        <v>-180893.7924229691</v>
      </c>
      <c r="AG138" s="198">
        <f t="shared" ca="1" si="789"/>
        <v>-193233.33078738858</v>
      </c>
      <c r="AH138" s="198">
        <f t="shared" ca="1" si="789"/>
        <v>-206192.43918367848</v>
      </c>
      <c r="AI138" s="198">
        <f t="shared" ca="1" si="789"/>
        <v>-219596.51231801344</v>
      </c>
      <c r="AJ138" s="198">
        <f t="shared" ca="1" si="789"/>
        <v>-233867.32304794688</v>
      </c>
      <c r="AK138" s="198">
        <f t="shared" ref="AK138:BP138" ca="1" si="790" xml:space="preserve"> AK$122</f>
        <v>-248688.83171538933</v>
      </c>
      <c r="AL138" s="198">
        <f t="shared" ca="1" si="790"/>
        <v>-264335.67679589801</v>
      </c>
      <c r="AM138" s="198">
        <f t="shared" ca="1" si="790"/>
        <v>-280668.02147092548</v>
      </c>
      <c r="AN138" s="198">
        <f t="shared" ca="1" si="790"/>
        <v>-297929.49354269454</v>
      </c>
      <c r="AO138" s="198">
        <f t="shared" ca="1" si="790"/>
        <v>-315997.81756045943</v>
      </c>
      <c r="AP138" s="198">
        <f t="shared" ca="1" si="790"/>
        <v>-335135.57479081454</v>
      </c>
      <c r="AQ138" s="198">
        <f t="shared" ca="1" si="790"/>
        <v>-355225.08631146088</v>
      </c>
      <c r="AR138" s="198">
        <f t="shared" ca="1" si="790"/>
        <v>-376525.26207959326</v>
      </c>
      <c r="AS138" s="198">
        <f t="shared" ca="1" si="790"/>
        <v>-398937.90364916448</v>
      </c>
      <c r="AT138" s="198">
        <f t="shared" ca="1" si="790"/>
        <v>-422718.59110292199</v>
      </c>
      <c r="AU138" s="198">
        <f t="shared" ca="1" si="790"/>
        <v>-447809.17472026567</v>
      </c>
      <c r="AV138" s="198">
        <f t="shared" ca="1" si="790"/>
        <v>-474456.41107626713</v>
      </c>
      <c r="AW138" s="198">
        <f t="shared" ca="1" si="790"/>
        <v>-502318.66721503297</v>
      </c>
      <c r="AX138" s="198">
        <f t="shared" ca="1" si="790"/>
        <v>-531060.7157725594</v>
      </c>
      <c r="AY138" s="198">
        <f t="shared" ca="1" si="790"/>
        <v>-561139.83498227142</v>
      </c>
      <c r="AZ138" s="198">
        <f t="shared" ca="1" si="790"/>
        <v>-592788.20448352827</v>
      </c>
      <c r="BA138" s="198">
        <f t="shared" ca="1" si="790"/>
        <v>-625953.43318846216</v>
      </c>
      <c r="BB138" s="198">
        <f t="shared" ca="1" si="790"/>
        <v>-660880.1709946862</v>
      </c>
      <c r="BC138" s="198">
        <f t="shared" ca="1" si="790"/>
        <v>-698470.02400454751</v>
      </c>
      <c r="BD138" s="198">
        <f t="shared" ca="1" si="790"/>
        <v>-698470.02400454751</v>
      </c>
      <c r="BE138" s="198">
        <f t="shared" ca="1" si="790"/>
        <v>-698470.02400454751</v>
      </c>
      <c r="BF138" s="198">
        <f t="shared" ca="1" si="790"/>
        <v>-698470.02400454751</v>
      </c>
      <c r="BG138" s="198">
        <f t="shared" ca="1" si="790"/>
        <v>-698470.02400454751</v>
      </c>
      <c r="BH138" s="198">
        <f t="shared" ca="1" si="790"/>
        <v>-698470.02400454751</v>
      </c>
      <c r="BI138" s="198">
        <f t="shared" ca="1" si="790"/>
        <v>-698470.02400454751</v>
      </c>
      <c r="BJ138" s="198">
        <f t="shared" ca="1" si="790"/>
        <v>-698470.02400454751</v>
      </c>
      <c r="BK138" s="198">
        <f t="shared" ca="1" si="790"/>
        <v>-698470.02400454751</v>
      </c>
      <c r="BL138" s="198">
        <f t="shared" ca="1" si="790"/>
        <v>-698470.02400454751</v>
      </c>
      <c r="BM138" s="198">
        <f t="shared" ca="1" si="790"/>
        <v>-698470.02400454751</v>
      </c>
      <c r="BN138" s="198">
        <f t="shared" ca="1" si="790"/>
        <v>-698470.02400454751</v>
      </c>
      <c r="BO138" s="198">
        <f t="shared" ca="1" si="790"/>
        <v>-698470.02400454751</v>
      </c>
      <c r="BP138" s="198">
        <f t="shared" ca="1" si="790"/>
        <v>-698470.02400454751</v>
      </c>
      <c r="BQ138" s="198">
        <f t="shared" ref="BQ138:CV138" ca="1" si="791" xml:space="preserve"> BQ$122</f>
        <v>-698470.02400454751</v>
      </c>
      <c r="BR138" s="198">
        <f t="shared" ca="1" si="791"/>
        <v>-698470.02400454751</v>
      </c>
      <c r="BS138" s="198">
        <f t="shared" ca="1" si="791"/>
        <v>-698470.02400454751</v>
      </c>
      <c r="BT138" s="198">
        <f t="shared" ca="1" si="791"/>
        <v>-698470.02400454751</v>
      </c>
      <c r="BU138" s="198">
        <f t="shared" ca="1" si="791"/>
        <v>-698470.02400454751</v>
      </c>
      <c r="BV138" s="198">
        <f t="shared" ca="1" si="791"/>
        <v>-698470.02400454751</v>
      </c>
      <c r="BW138" s="198">
        <f t="shared" ca="1" si="791"/>
        <v>-698470.02400454751</v>
      </c>
      <c r="BX138" s="198">
        <f t="shared" ca="1" si="791"/>
        <v>-698470.02400454751</v>
      </c>
      <c r="BY138" s="198">
        <f t="shared" ca="1" si="791"/>
        <v>-698470.02400454751</v>
      </c>
      <c r="BZ138" s="198">
        <f t="shared" ca="1" si="791"/>
        <v>-698470.02400454751</v>
      </c>
      <c r="CA138" s="198">
        <f t="shared" ca="1" si="791"/>
        <v>-698470.02400454751</v>
      </c>
      <c r="CB138" s="198">
        <f t="shared" ca="1" si="791"/>
        <v>-698470.02400454751</v>
      </c>
      <c r="CC138" s="198">
        <f t="shared" ca="1" si="791"/>
        <v>-698470.02400454751</v>
      </c>
      <c r="CD138" s="198">
        <f t="shared" ca="1" si="791"/>
        <v>-698470.02400454751</v>
      </c>
      <c r="CE138" s="198">
        <f t="shared" ca="1" si="791"/>
        <v>-698470.02400454751</v>
      </c>
      <c r="CF138" s="198">
        <f t="shared" ca="1" si="791"/>
        <v>-698470.02400454751</v>
      </c>
      <c r="CG138" s="198">
        <f t="shared" ca="1" si="791"/>
        <v>-698470.02400454751</v>
      </c>
      <c r="CH138" s="198">
        <f t="shared" ca="1" si="791"/>
        <v>-698470.02400454751</v>
      </c>
      <c r="CI138" s="198">
        <f t="shared" ca="1" si="791"/>
        <v>-698470.02400454751</v>
      </c>
      <c r="CJ138" s="198">
        <f t="shared" ca="1" si="791"/>
        <v>-698470.02400454751</v>
      </c>
      <c r="CK138" s="198">
        <f t="shared" ca="1" si="791"/>
        <v>-698470.02400454751</v>
      </c>
      <c r="CL138" s="198">
        <f t="shared" ca="1" si="791"/>
        <v>-698470.02400454751</v>
      </c>
      <c r="CM138" s="198">
        <f t="shared" ca="1" si="791"/>
        <v>-698470.02400454751</v>
      </c>
      <c r="CN138" s="198">
        <f t="shared" ca="1" si="791"/>
        <v>-698470.02400454751</v>
      </c>
      <c r="CO138" s="198">
        <f t="shared" ca="1" si="791"/>
        <v>-698470.02400454751</v>
      </c>
      <c r="CP138" s="198">
        <f t="shared" ca="1" si="791"/>
        <v>-698470.02400454751</v>
      </c>
      <c r="CQ138" s="198">
        <f t="shared" ca="1" si="791"/>
        <v>-698470.02400454751</v>
      </c>
      <c r="CR138" s="198">
        <f t="shared" ca="1" si="791"/>
        <v>-698470.02400454751</v>
      </c>
      <c r="CS138" s="198">
        <f t="shared" ca="1" si="791"/>
        <v>-698470.02400454751</v>
      </c>
      <c r="CT138" s="198">
        <f t="shared" ca="1" si="791"/>
        <v>-698470.02400454751</v>
      </c>
      <c r="CU138" s="198">
        <f t="shared" ca="1" si="791"/>
        <v>-698470.02400454751</v>
      </c>
      <c r="CV138" s="198">
        <f t="shared" ca="1" si="791"/>
        <v>-698470.02400454751</v>
      </c>
    </row>
    <row r="139" spans="1:100" outlineLevel="1" x14ac:dyDescent="0.2">
      <c r="E139" s="145" t="str">
        <f xml:space="preserve"> 'FS Semi_P99'!E$31</f>
        <v>Profit after tax - P99</v>
      </c>
      <c r="F139" s="145">
        <f xml:space="preserve"> 'FS Semi_P99'!F$31</f>
        <v>0</v>
      </c>
      <c r="G139" s="145" t="str">
        <f xml:space="preserve"> 'FS Semi_P99'!G$31</f>
        <v>$ 000s</v>
      </c>
      <c r="H139" s="145">
        <f ca="1" xml:space="preserve"> 'FS Semi_P99'!H$31</f>
        <v>-698470.02400454751</v>
      </c>
      <c r="I139" s="145">
        <f xml:space="preserve"> 'FS Semi_P99'!I$31</f>
        <v>0</v>
      </c>
      <c r="J139" s="145">
        <f ca="1" xml:space="preserve"> 'FS Semi_P99'!J$31</f>
        <v>0</v>
      </c>
      <c r="K139" s="145">
        <f ca="1" xml:space="preserve"> 'FS Semi_P99'!K$31</f>
        <v>0</v>
      </c>
      <c r="L139" s="145">
        <f ca="1" xml:space="preserve"> 'FS Semi_P99'!L$31</f>
        <v>0</v>
      </c>
      <c r="M139" s="145">
        <f ca="1" xml:space="preserve"> 'FS Semi_P99'!M$31</f>
        <v>0</v>
      </c>
      <c r="N139" s="145">
        <f ca="1" xml:space="preserve"> 'FS Semi_P99'!N$31</f>
        <v>0</v>
      </c>
      <c r="O139" s="145">
        <f ca="1" xml:space="preserve"> 'FS Semi_P99'!O$31</f>
        <v>-11718.704761512705</v>
      </c>
      <c r="P139" s="145">
        <f ca="1" xml:space="preserve"> 'FS Semi_P99'!P$31</f>
        <v>-11059.161396171088</v>
      </c>
      <c r="Q139" s="145">
        <f ca="1" xml:space="preserve"> 'FS Semi_P99'!Q$31</f>
        <v>-10827.63220291072</v>
      </c>
      <c r="R139" s="145">
        <f ca="1" xml:space="preserve"> 'FS Semi_P99'!R$31</f>
        <v>-10383.132071349282</v>
      </c>
      <c r="S139" s="145">
        <f ca="1" xml:space="preserve"> 'FS Semi_P99'!S$31</f>
        <v>-10289.765647051134</v>
      </c>
      <c r="T139" s="145">
        <f ca="1" xml:space="preserve"> 'FS Semi_P99'!T$31</f>
        <v>-9981.7543197283558</v>
      </c>
      <c r="U139" s="145">
        <f ca="1" xml:space="preserve"> 'FS Semi_P99'!U$31</f>
        <v>-10010.398954232942</v>
      </c>
      <c r="V139" s="145">
        <f ca="1" xml:space="preserve"> 'FS Semi_P99'!V$31</f>
        <v>-9850.0209883218358</v>
      </c>
      <c r="W139" s="145">
        <f ca="1" xml:space="preserve"> 'FS Semi_P99'!W$31</f>
        <v>-9962.7624387207034</v>
      </c>
      <c r="X139" s="145">
        <f ca="1" xml:space="preserve"> 'FS Semi_P99'!X$31</f>
        <v>-9890.6765272444882</v>
      </c>
      <c r="Y139" s="145">
        <f ca="1" xml:space="preserve"> 'FS Semi_P99'!Y$31</f>
        <v>-10321.882716167993</v>
      </c>
      <c r="Z139" s="145">
        <f ca="1" xml:space="preserve"> 'FS Semi_P99'!Z$31</f>
        <v>-10349.948896783746</v>
      </c>
      <c r="AA139" s="145">
        <f ca="1" xml:space="preserve"> 'FS Semi_P99'!AA$31</f>
        <v>-10685.5867724749</v>
      </c>
      <c r="AB139" s="145">
        <f ca="1" xml:space="preserve"> 'FS Semi_P99'!AB$31</f>
        <v>-10816.34072317471</v>
      </c>
      <c r="AC139" s="145">
        <f ca="1" xml:space="preserve"> 'FS Semi_P99'!AC$31</f>
        <v>-11245.908169672737</v>
      </c>
      <c r="AD139" s="145">
        <f ca="1" xml:space="preserve"> 'FS Semi_P99'!AD$31</f>
        <v>-11498.235219895862</v>
      </c>
      <c r="AE139" s="145">
        <f ca="1" xml:space="preserve"> 'FS Semi_P99'!AE$31</f>
        <v>-12001.880617555913</v>
      </c>
      <c r="AF139" s="145">
        <f ca="1" xml:space="preserve"> 'FS Semi_P99'!AF$31</f>
        <v>-12339.538364419468</v>
      </c>
      <c r="AG139" s="145">
        <f ca="1" xml:space="preserve"> 'FS Semi_P99'!AG$31</f>
        <v>-12959.108396289894</v>
      </c>
      <c r="AH139" s="145">
        <f ca="1" xml:space="preserve"> 'FS Semi_P99'!AH$31</f>
        <v>-13404.073134334971</v>
      </c>
      <c r="AI139" s="145">
        <f ca="1" xml:space="preserve"> 'FS Semi_P99'!AI$31</f>
        <v>-14270.81072993343</v>
      </c>
      <c r="AJ139" s="145">
        <f ca="1" xml:space="preserve"> 'FS Semi_P99'!AJ$31</f>
        <v>-14821.508667442464</v>
      </c>
      <c r="AK139" s="145">
        <f ca="1" xml:space="preserve"> 'FS Semi_P99'!AK$31</f>
        <v>-15646.845080508658</v>
      </c>
      <c r="AL139" s="145">
        <f ca="1" xml:space="preserve"> 'FS Semi_P99'!AL$31</f>
        <v>-16332.344675027472</v>
      </c>
      <c r="AM139" s="145">
        <f ca="1" xml:space="preserve"> 'FS Semi_P99'!AM$31</f>
        <v>-17261.472071769062</v>
      </c>
      <c r="AN139" s="145">
        <f ca="1" xml:space="preserve"> 'FS Semi_P99'!AN$31</f>
        <v>-18068.324017764884</v>
      </c>
      <c r="AO139" s="145">
        <f ca="1" xml:space="preserve"> 'FS Semi_P99'!AO$31</f>
        <v>-19137.757230355088</v>
      </c>
      <c r="AP139" s="145">
        <f ca="1" xml:space="preserve"> 'FS Semi_P99'!AP$31</f>
        <v>-20089.511520646316</v>
      </c>
      <c r="AQ139" s="145">
        <f ca="1" xml:space="preserve"> 'FS Semi_P99'!AQ$31</f>
        <v>-21300.175768132372</v>
      </c>
      <c r="AR139" s="145">
        <f ca="1" xml:space="preserve"> 'FS Semi_P99'!AR$31</f>
        <v>-22412.641569571191</v>
      </c>
      <c r="AS139" s="145">
        <f ca="1" xml:space="preserve"> 'FS Semi_P99'!AS$31</f>
        <v>-23780.687453757491</v>
      </c>
      <c r="AT139" s="145">
        <f ca="1" xml:space="preserve"> 'FS Semi_P99'!AT$31</f>
        <v>-25090.583617343691</v>
      </c>
      <c r="AU139" s="145">
        <f ca="1" xml:space="preserve"> 'FS Semi_P99'!AU$31</f>
        <v>-26647.236356001478</v>
      </c>
      <c r="AV139" s="145">
        <f ca="1" xml:space="preserve"> 'FS Semi_P99'!AV$31</f>
        <v>-27862.25613876585</v>
      </c>
      <c r="AW139" s="145">
        <f ca="1" xml:space="preserve"> 'FS Semi_P99'!AW$31</f>
        <v>-28742.04855752649</v>
      </c>
      <c r="AX139" s="145">
        <f ca="1" xml:space="preserve"> 'FS Semi_P99'!AX$31</f>
        <v>-30079.119209711989</v>
      </c>
      <c r="AY139" s="145">
        <f ca="1" xml:space="preserve"> 'FS Semi_P99'!AY$31</f>
        <v>-31648.369501256802</v>
      </c>
      <c r="AZ139" s="145">
        <f ca="1" xml:space="preserve"> 'FS Semi_P99'!AZ$31</f>
        <v>-33165.228704933863</v>
      </c>
      <c r="BA139" s="145">
        <f ca="1" xml:space="preserve"> 'FS Semi_P99'!BA$31</f>
        <v>-34926.737806224024</v>
      </c>
      <c r="BB139" s="145">
        <f ca="1" xml:space="preserve"> 'FS Semi_P99'!BB$31</f>
        <v>-37589.853009861275</v>
      </c>
      <c r="BC139" s="145">
        <f ca="1" xml:space="preserve"> 'FS Semi_P99'!BC$31</f>
        <v>0</v>
      </c>
      <c r="BD139" s="145">
        <f ca="1" xml:space="preserve"> 'FS Semi_P99'!BD$31</f>
        <v>0</v>
      </c>
      <c r="BE139" s="145">
        <f ca="1" xml:space="preserve"> 'FS Semi_P99'!BE$31</f>
        <v>0</v>
      </c>
      <c r="BF139" s="145">
        <f ca="1" xml:space="preserve"> 'FS Semi_P99'!BF$31</f>
        <v>0</v>
      </c>
      <c r="BG139" s="145">
        <f ca="1" xml:space="preserve"> 'FS Semi_P99'!BG$31</f>
        <v>0</v>
      </c>
      <c r="BH139" s="145">
        <f ca="1" xml:space="preserve"> 'FS Semi_P99'!BH$31</f>
        <v>0</v>
      </c>
      <c r="BI139" s="145">
        <f ca="1" xml:space="preserve"> 'FS Semi_P99'!BI$31</f>
        <v>0</v>
      </c>
      <c r="BJ139" s="145">
        <f ca="1" xml:space="preserve"> 'FS Semi_P99'!BJ$31</f>
        <v>0</v>
      </c>
      <c r="BK139" s="145">
        <f ca="1" xml:space="preserve"> 'FS Semi_P99'!BK$31</f>
        <v>0</v>
      </c>
      <c r="BL139" s="145">
        <f ca="1" xml:space="preserve"> 'FS Semi_P99'!BL$31</f>
        <v>0</v>
      </c>
      <c r="BM139" s="145">
        <f ca="1" xml:space="preserve"> 'FS Semi_P99'!BM$31</f>
        <v>0</v>
      </c>
      <c r="BN139" s="145">
        <f ca="1" xml:space="preserve"> 'FS Semi_P99'!BN$31</f>
        <v>0</v>
      </c>
      <c r="BO139" s="145">
        <f ca="1" xml:space="preserve"> 'FS Semi_P99'!BO$31</f>
        <v>0</v>
      </c>
      <c r="BP139" s="145">
        <f ca="1" xml:space="preserve"> 'FS Semi_P99'!BP$31</f>
        <v>0</v>
      </c>
      <c r="BQ139" s="145">
        <f ca="1" xml:space="preserve"> 'FS Semi_P99'!BQ$31</f>
        <v>0</v>
      </c>
      <c r="BR139" s="145">
        <f ca="1" xml:space="preserve"> 'FS Semi_P99'!BR$31</f>
        <v>0</v>
      </c>
      <c r="BS139" s="145">
        <f ca="1" xml:space="preserve"> 'FS Semi_P99'!BS$31</f>
        <v>0</v>
      </c>
      <c r="BT139" s="145">
        <f ca="1" xml:space="preserve"> 'FS Semi_P99'!BT$31</f>
        <v>0</v>
      </c>
      <c r="BU139" s="145">
        <f ca="1" xml:space="preserve"> 'FS Semi_P99'!BU$31</f>
        <v>0</v>
      </c>
      <c r="BV139" s="145">
        <f ca="1" xml:space="preserve"> 'FS Semi_P99'!BV$31</f>
        <v>0</v>
      </c>
      <c r="BW139" s="145">
        <f ca="1" xml:space="preserve"> 'FS Semi_P99'!BW$31</f>
        <v>0</v>
      </c>
      <c r="BX139" s="145">
        <f ca="1" xml:space="preserve"> 'FS Semi_P99'!BX$31</f>
        <v>0</v>
      </c>
      <c r="BY139" s="145">
        <f ca="1" xml:space="preserve"> 'FS Semi_P99'!BY$31</f>
        <v>0</v>
      </c>
      <c r="BZ139" s="145">
        <f ca="1" xml:space="preserve"> 'FS Semi_P99'!BZ$31</f>
        <v>0</v>
      </c>
      <c r="CA139" s="145">
        <f ca="1" xml:space="preserve"> 'FS Semi_P99'!CA$31</f>
        <v>0</v>
      </c>
      <c r="CB139" s="145">
        <f ca="1" xml:space="preserve"> 'FS Semi_P99'!CB$31</f>
        <v>0</v>
      </c>
      <c r="CC139" s="145">
        <f ca="1" xml:space="preserve"> 'FS Semi_P99'!CC$31</f>
        <v>0</v>
      </c>
      <c r="CD139" s="145">
        <f ca="1" xml:space="preserve"> 'FS Semi_P99'!CD$31</f>
        <v>0</v>
      </c>
      <c r="CE139" s="145">
        <f ca="1" xml:space="preserve"> 'FS Semi_P99'!CE$31</f>
        <v>0</v>
      </c>
      <c r="CF139" s="145">
        <f ca="1" xml:space="preserve"> 'FS Semi_P99'!CF$31</f>
        <v>0</v>
      </c>
      <c r="CG139" s="145">
        <f ca="1" xml:space="preserve"> 'FS Semi_P99'!CG$31</f>
        <v>0</v>
      </c>
      <c r="CH139" s="145">
        <f ca="1" xml:space="preserve"> 'FS Semi_P99'!CH$31</f>
        <v>0</v>
      </c>
      <c r="CI139" s="145">
        <f ca="1" xml:space="preserve"> 'FS Semi_P99'!CI$31</f>
        <v>0</v>
      </c>
      <c r="CJ139" s="145">
        <f ca="1" xml:space="preserve"> 'FS Semi_P99'!CJ$31</f>
        <v>0</v>
      </c>
      <c r="CK139" s="145">
        <f ca="1" xml:space="preserve"> 'FS Semi_P99'!CK$31</f>
        <v>0</v>
      </c>
      <c r="CL139" s="145">
        <f ca="1" xml:space="preserve"> 'FS Semi_P99'!CL$31</f>
        <v>0</v>
      </c>
      <c r="CM139" s="145">
        <f ca="1" xml:space="preserve"> 'FS Semi_P99'!CM$31</f>
        <v>0</v>
      </c>
      <c r="CN139" s="145">
        <f ca="1" xml:space="preserve"> 'FS Semi_P99'!CN$31</f>
        <v>0</v>
      </c>
      <c r="CO139" s="145">
        <f ca="1" xml:space="preserve"> 'FS Semi_P99'!CO$31</f>
        <v>0</v>
      </c>
      <c r="CP139" s="145">
        <f ca="1" xml:space="preserve"> 'FS Semi_P99'!CP$31</f>
        <v>0</v>
      </c>
      <c r="CQ139" s="145">
        <f ca="1" xml:space="preserve"> 'FS Semi_P99'!CQ$31</f>
        <v>0</v>
      </c>
      <c r="CR139" s="145">
        <f ca="1" xml:space="preserve"> 'FS Semi_P99'!CR$31</f>
        <v>0</v>
      </c>
      <c r="CS139" s="145">
        <f ca="1" xml:space="preserve"> 'FS Semi_P99'!CS$31</f>
        <v>0</v>
      </c>
      <c r="CT139" s="145">
        <f ca="1" xml:space="preserve"> 'FS Semi_P99'!CT$31</f>
        <v>0</v>
      </c>
      <c r="CU139" s="145">
        <f ca="1" xml:space="preserve"> 'FS Semi_P99'!CU$31</f>
        <v>0</v>
      </c>
      <c r="CV139" s="145">
        <f ca="1" xml:space="preserve"> 'FS Semi_P99'!CV$31</f>
        <v>0</v>
      </c>
    </row>
    <row r="140" spans="1:100" outlineLevel="1" x14ac:dyDescent="0.2">
      <c r="E140" s="214" t="s">
        <v>1240</v>
      </c>
      <c r="F140" s="214"/>
      <c r="G140" s="214" t="str">
        <f xml:space="preserve"> SMU</f>
        <v>$ 000s</v>
      </c>
      <c r="H140" s="214"/>
      <c r="I140" s="38"/>
      <c r="J140" s="214">
        <f t="shared" ref="J140:AO140" ca="1" si="792" xml:space="preserve"> MAX(0, SUM(J138:J139))</f>
        <v>0</v>
      </c>
      <c r="K140" s="214">
        <f t="shared" ca="1" si="792"/>
        <v>0</v>
      </c>
      <c r="L140" s="214">
        <f t="shared" ca="1" si="792"/>
        <v>0</v>
      </c>
      <c r="M140" s="214">
        <f t="shared" ca="1" si="792"/>
        <v>0</v>
      </c>
      <c r="N140" s="214">
        <f t="shared" ca="1" si="792"/>
        <v>0</v>
      </c>
      <c r="O140" s="214">
        <f t="shared" ca="1" si="792"/>
        <v>0</v>
      </c>
      <c r="P140" s="214">
        <f t="shared" ca="1" si="792"/>
        <v>0</v>
      </c>
      <c r="Q140" s="214">
        <f t="shared" ca="1" si="792"/>
        <v>0</v>
      </c>
      <c r="R140" s="214">
        <f t="shared" ca="1" si="792"/>
        <v>0</v>
      </c>
      <c r="S140" s="214">
        <f t="shared" ca="1" si="792"/>
        <v>0</v>
      </c>
      <c r="T140" s="214">
        <f t="shared" ca="1" si="792"/>
        <v>0</v>
      </c>
      <c r="U140" s="214">
        <f t="shared" ca="1" si="792"/>
        <v>0</v>
      </c>
      <c r="V140" s="214">
        <f t="shared" ca="1" si="792"/>
        <v>0</v>
      </c>
      <c r="W140" s="214">
        <f t="shared" ca="1" si="792"/>
        <v>0</v>
      </c>
      <c r="X140" s="214">
        <f t="shared" ca="1" si="792"/>
        <v>0</v>
      </c>
      <c r="Y140" s="214">
        <f t="shared" ca="1" si="792"/>
        <v>0</v>
      </c>
      <c r="Z140" s="214">
        <f t="shared" ca="1" si="792"/>
        <v>0</v>
      </c>
      <c r="AA140" s="214">
        <f t="shared" ca="1" si="792"/>
        <v>0</v>
      </c>
      <c r="AB140" s="214">
        <f t="shared" ca="1" si="792"/>
        <v>0</v>
      </c>
      <c r="AC140" s="214">
        <f t="shared" ca="1" si="792"/>
        <v>0</v>
      </c>
      <c r="AD140" s="214">
        <f t="shared" ca="1" si="792"/>
        <v>0</v>
      </c>
      <c r="AE140" s="214">
        <f t="shared" ca="1" si="792"/>
        <v>0</v>
      </c>
      <c r="AF140" s="214">
        <f t="shared" ca="1" si="792"/>
        <v>0</v>
      </c>
      <c r="AG140" s="214">
        <f t="shared" ca="1" si="792"/>
        <v>0</v>
      </c>
      <c r="AH140" s="214">
        <f t="shared" ca="1" si="792"/>
        <v>0</v>
      </c>
      <c r="AI140" s="214">
        <f t="shared" ca="1" si="792"/>
        <v>0</v>
      </c>
      <c r="AJ140" s="214">
        <f t="shared" ca="1" si="792"/>
        <v>0</v>
      </c>
      <c r="AK140" s="214">
        <f t="shared" ca="1" si="792"/>
        <v>0</v>
      </c>
      <c r="AL140" s="214">
        <f t="shared" ca="1" si="792"/>
        <v>0</v>
      </c>
      <c r="AM140" s="214">
        <f t="shared" ca="1" si="792"/>
        <v>0</v>
      </c>
      <c r="AN140" s="214">
        <f t="shared" ca="1" si="792"/>
        <v>0</v>
      </c>
      <c r="AO140" s="214">
        <f t="shared" ca="1" si="792"/>
        <v>0</v>
      </c>
      <c r="AP140" s="214">
        <f t="shared" ref="AP140:BU140" ca="1" si="793" xml:space="preserve"> MAX(0, SUM(AP138:AP139))</f>
        <v>0</v>
      </c>
      <c r="AQ140" s="214">
        <f t="shared" ca="1" si="793"/>
        <v>0</v>
      </c>
      <c r="AR140" s="214">
        <f t="shared" ca="1" si="793"/>
        <v>0</v>
      </c>
      <c r="AS140" s="214">
        <f t="shared" ca="1" si="793"/>
        <v>0</v>
      </c>
      <c r="AT140" s="214">
        <f t="shared" ca="1" si="793"/>
        <v>0</v>
      </c>
      <c r="AU140" s="214">
        <f t="shared" ca="1" si="793"/>
        <v>0</v>
      </c>
      <c r="AV140" s="214">
        <f t="shared" ca="1" si="793"/>
        <v>0</v>
      </c>
      <c r="AW140" s="214">
        <f t="shared" ca="1" si="793"/>
        <v>0</v>
      </c>
      <c r="AX140" s="214">
        <f t="shared" ca="1" si="793"/>
        <v>0</v>
      </c>
      <c r="AY140" s="214">
        <f t="shared" ca="1" si="793"/>
        <v>0</v>
      </c>
      <c r="AZ140" s="214">
        <f t="shared" ca="1" si="793"/>
        <v>0</v>
      </c>
      <c r="BA140" s="214">
        <f t="shared" ca="1" si="793"/>
        <v>0</v>
      </c>
      <c r="BB140" s="214">
        <f t="shared" ca="1" si="793"/>
        <v>0</v>
      </c>
      <c r="BC140" s="214">
        <f t="shared" ca="1" si="793"/>
        <v>0</v>
      </c>
      <c r="BD140" s="214">
        <f t="shared" ca="1" si="793"/>
        <v>0</v>
      </c>
      <c r="BE140" s="214">
        <f t="shared" ca="1" si="793"/>
        <v>0</v>
      </c>
      <c r="BF140" s="214">
        <f t="shared" ca="1" si="793"/>
        <v>0</v>
      </c>
      <c r="BG140" s="214">
        <f t="shared" ca="1" si="793"/>
        <v>0</v>
      </c>
      <c r="BH140" s="214">
        <f t="shared" ca="1" si="793"/>
        <v>0</v>
      </c>
      <c r="BI140" s="214">
        <f t="shared" ca="1" si="793"/>
        <v>0</v>
      </c>
      <c r="BJ140" s="214">
        <f t="shared" ca="1" si="793"/>
        <v>0</v>
      </c>
      <c r="BK140" s="214">
        <f t="shared" ca="1" si="793"/>
        <v>0</v>
      </c>
      <c r="BL140" s="214">
        <f t="shared" ca="1" si="793"/>
        <v>0</v>
      </c>
      <c r="BM140" s="214">
        <f t="shared" ca="1" si="793"/>
        <v>0</v>
      </c>
      <c r="BN140" s="214">
        <f t="shared" ca="1" si="793"/>
        <v>0</v>
      </c>
      <c r="BO140" s="214">
        <f t="shared" ca="1" si="793"/>
        <v>0</v>
      </c>
      <c r="BP140" s="214">
        <f t="shared" ca="1" si="793"/>
        <v>0</v>
      </c>
      <c r="BQ140" s="214">
        <f t="shared" ca="1" si="793"/>
        <v>0</v>
      </c>
      <c r="BR140" s="214">
        <f t="shared" ca="1" si="793"/>
        <v>0</v>
      </c>
      <c r="BS140" s="214">
        <f t="shared" ca="1" si="793"/>
        <v>0</v>
      </c>
      <c r="BT140" s="214">
        <f t="shared" ca="1" si="793"/>
        <v>0</v>
      </c>
      <c r="BU140" s="214">
        <f t="shared" ca="1" si="793"/>
        <v>0</v>
      </c>
      <c r="BV140" s="214">
        <f t="shared" ref="BV140:CV140" ca="1" si="794" xml:space="preserve"> MAX(0, SUM(BV138:BV139))</f>
        <v>0</v>
      </c>
      <c r="BW140" s="214">
        <f t="shared" ca="1" si="794"/>
        <v>0</v>
      </c>
      <c r="BX140" s="214">
        <f t="shared" ca="1" si="794"/>
        <v>0</v>
      </c>
      <c r="BY140" s="214">
        <f t="shared" ca="1" si="794"/>
        <v>0</v>
      </c>
      <c r="BZ140" s="214">
        <f t="shared" ca="1" si="794"/>
        <v>0</v>
      </c>
      <c r="CA140" s="214">
        <f t="shared" ca="1" si="794"/>
        <v>0</v>
      </c>
      <c r="CB140" s="214">
        <f t="shared" ca="1" si="794"/>
        <v>0</v>
      </c>
      <c r="CC140" s="214">
        <f t="shared" ca="1" si="794"/>
        <v>0</v>
      </c>
      <c r="CD140" s="214">
        <f t="shared" ca="1" si="794"/>
        <v>0</v>
      </c>
      <c r="CE140" s="214">
        <f t="shared" ca="1" si="794"/>
        <v>0</v>
      </c>
      <c r="CF140" s="214">
        <f t="shared" ca="1" si="794"/>
        <v>0</v>
      </c>
      <c r="CG140" s="214">
        <f t="shared" ca="1" si="794"/>
        <v>0</v>
      </c>
      <c r="CH140" s="214">
        <f t="shared" ca="1" si="794"/>
        <v>0</v>
      </c>
      <c r="CI140" s="214">
        <f t="shared" ca="1" si="794"/>
        <v>0</v>
      </c>
      <c r="CJ140" s="214">
        <f t="shared" ca="1" si="794"/>
        <v>0</v>
      </c>
      <c r="CK140" s="214">
        <f t="shared" ca="1" si="794"/>
        <v>0</v>
      </c>
      <c r="CL140" s="214">
        <f t="shared" ca="1" si="794"/>
        <v>0</v>
      </c>
      <c r="CM140" s="214">
        <f t="shared" ca="1" si="794"/>
        <v>0</v>
      </c>
      <c r="CN140" s="214">
        <f t="shared" ca="1" si="794"/>
        <v>0</v>
      </c>
      <c r="CO140" s="214">
        <f t="shared" ca="1" si="794"/>
        <v>0</v>
      </c>
      <c r="CP140" s="214">
        <f t="shared" ca="1" si="794"/>
        <v>0</v>
      </c>
      <c r="CQ140" s="214">
        <f t="shared" ca="1" si="794"/>
        <v>0</v>
      </c>
      <c r="CR140" s="214">
        <f t="shared" ca="1" si="794"/>
        <v>0</v>
      </c>
      <c r="CS140" s="214">
        <f t="shared" ca="1" si="794"/>
        <v>0</v>
      </c>
      <c r="CT140" s="214">
        <f t="shared" ca="1" si="794"/>
        <v>0</v>
      </c>
      <c r="CU140" s="214">
        <f t="shared" ca="1" si="794"/>
        <v>0</v>
      </c>
      <c r="CV140" s="214">
        <f t="shared" ca="1" si="794"/>
        <v>0</v>
      </c>
    </row>
    <row r="141" spans="1:100" outlineLevel="1" x14ac:dyDescent="0.2"/>
    <row r="142" spans="1:100" outlineLevel="1" x14ac:dyDescent="0.2">
      <c r="E142" s="198" t="str">
        <f t="shared" ref="E142:AJ142" si="795" xml:space="preserve"> E$130</f>
        <v>Retained cash balance BEG - P99</v>
      </c>
      <c r="F142" s="198">
        <f t="shared" si="795"/>
        <v>0</v>
      </c>
      <c r="G142" s="198" t="str">
        <f t="shared" si="795"/>
        <v>$ 000s</v>
      </c>
      <c r="H142" s="198">
        <f t="shared" si="795"/>
        <v>0</v>
      </c>
      <c r="I142" s="198">
        <f t="shared" si="795"/>
        <v>0</v>
      </c>
      <c r="J142" s="198">
        <f t="shared" si="795"/>
        <v>0</v>
      </c>
      <c r="K142" s="198">
        <f t="shared" ca="1" si="795"/>
        <v>-1.5558398445136845E-6</v>
      </c>
      <c r="L142" s="198">
        <f t="shared" ca="1" si="795"/>
        <v>-1.402249836246483E-5</v>
      </c>
      <c r="M142" s="198">
        <f t="shared" ca="1" si="795"/>
        <v>-3.0776860512560233E-5</v>
      </c>
      <c r="N142" s="198">
        <f t="shared" ca="1" si="795"/>
        <v>-5.0199549150420353E-5</v>
      </c>
      <c r="O142" s="198">
        <f t="shared" ca="1" si="795"/>
        <v>-4.0178145100071561E-3</v>
      </c>
      <c r="P142" s="198">
        <f t="shared" ca="1" si="795"/>
        <v>0</v>
      </c>
      <c r="Q142" s="198">
        <f t="shared" ca="1" si="795"/>
        <v>0</v>
      </c>
      <c r="R142" s="198">
        <f t="shared" ca="1" si="795"/>
        <v>0</v>
      </c>
      <c r="S142" s="198">
        <f t="shared" ca="1" si="795"/>
        <v>0</v>
      </c>
      <c r="T142" s="198">
        <f t="shared" ca="1" si="795"/>
        <v>0</v>
      </c>
      <c r="U142" s="198">
        <f t="shared" ca="1" si="795"/>
        <v>0</v>
      </c>
      <c r="V142" s="198">
        <f t="shared" ca="1" si="795"/>
        <v>0</v>
      </c>
      <c r="W142" s="198">
        <f t="shared" ca="1" si="795"/>
        <v>0</v>
      </c>
      <c r="X142" s="198">
        <f t="shared" ca="1" si="795"/>
        <v>0</v>
      </c>
      <c r="Y142" s="198">
        <f t="shared" ca="1" si="795"/>
        <v>0</v>
      </c>
      <c r="Z142" s="198">
        <f t="shared" ca="1" si="795"/>
        <v>0</v>
      </c>
      <c r="AA142" s="198">
        <f t="shared" ca="1" si="795"/>
        <v>0</v>
      </c>
      <c r="AB142" s="198">
        <f t="shared" ca="1" si="795"/>
        <v>0</v>
      </c>
      <c r="AC142" s="198">
        <f t="shared" ca="1" si="795"/>
        <v>0</v>
      </c>
      <c r="AD142" s="198">
        <f t="shared" ca="1" si="795"/>
        <v>0</v>
      </c>
      <c r="AE142" s="198">
        <f t="shared" ca="1" si="795"/>
        <v>0</v>
      </c>
      <c r="AF142" s="198">
        <f t="shared" ca="1" si="795"/>
        <v>0</v>
      </c>
      <c r="AG142" s="198">
        <f t="shared" ca="1" si="795"/>
        <v>0</v>
      </c>
      <c r="AH142" s="198">
        <f t="shared" ca="1" si="795"/>
        <v>0</v>
      </c>
      <c r="AI142" s="198">
        <f t="shared" ca="1" si="795"/>
        <v>0</v>
      </c>
      <c r="AJ142" s="198">
        <f t="shared" ca="1" si="795"/>
        <v>0</v>
      </c>
      <c r="AK142" s="198">
        <f t="shared" ref="AK142:BP142" ca="1" si="796" xml:space="preserve"> AK$130</f>
        <v>0</v>
      </c>
      <c r="AL142" s="198">
        <f t="shared" ca="1" si="796"/>
        <v>0</v>
      </c>
      <c r="AM142" s="198">
        <f t="shared" ca="1" si="796"/>
        <v>0</v>
      </c>
      <c r="AN142" s="198">
        <f t="shared" ca="1" si="796"/>
        <v>0</v>
      </c>
      <c r="AO142" s="198">
        <f t="shared" ca="1" si="796"/>
        <v>0</v>
      </c>
      <c r="AP142" s="198">
        <f t="shared" ca="1" si="796"/>
        <v>0</v>
      </c>
      <c r="AQ142" s="198">
        <f t="shared" ca="1" si="796"/>
        <v>0</v>
      </c>
      <c r="AR142" s="198">
        <f t="shared" ca="1" si="796"/>
        <v>0</v>
      </c>
      <c r="AS142" s="198">
        <f t="shared" ca="1" si="796"/>
        <v>0</v>
      </c>
      <c r="AT142" s="198">
        <f t="shared" ca="1" si="796"/>
        <v>0</v>
      </c>
      <c r="AU142" s="198">
        <f t="shared" ca="1" si="796"/>
        <v>0</v>
      </c>
      <c r="AV142" s="198">
        <f t="shared" ca="1" si="796"/>
        <v>0</v>
      </c>
      <c r="AW142" s="198">
        <f t="shared" ca="1" si="796"/>
        <v>0</v>
      </c>
      <c r="AX142" s="198">
        <f t="shared" ca="1" si="796"/>
        <v>0</v>
      </c>
      <c r="AY142" s="198">
        <f t="shared" ca="1" si="796"/>
        <v>0</v>
      </c>
      <c r="AZ142" s="198">
        <f t="shared" ca="1" si="796"/>
        <v>0</v>
      </c>
      <c r="BA142" s="198">
        <f t="shared" ca="1" si="796"/>
        <v>0</v>
      </c>
      <c r="BB142" s="198">
        <f t="shared" ca="1" si="796"/>
        <v>0</v>
      </c>
      <c r="BC142" s="198">
        <f t="shared" ca="1" si="796"/>
        <v>0</v>
      </c>
      <c r="BD142" s="198">
        <f t="shared" ca="1" si="796"/>
        <v>0</v>
      </c>
      <c r="BE142" s="198">
        <f t="shared" ca="1" si="796"/>
        <v>0</v>
      </c>
      <c r="BF142" s="198">
        <f t="shared" ca="1" si="796"/>
        <v>0</v>
      </c>
      <c r="BG142" s="198">
        <f t="shared" ca="1" si="796"/>
        <v>0</v>
      </c>
      <c r="BH142" s="198">
        <f t="shared" ca="1" si="796"/>
        <v>0</v>
      </c>
      <c r="BI142" s="198">
        <f t="shared" ca="1" si="796"/>
        <v>0</v>
      </c>
      <c r="BJ142" s="198">
        <f t="shared" ca="1" si="796"/>
        <v>0</v>
      </c>
      <c r="BK142" s="198">
        <f t="shared" ca="1" si="796"/>
        <v>0</v>
      </c>
      <c r="BL142" s="198">
        <f t="shared" ca="1" si="796"/>
        <v>0</v>
      </c>
      <c r="BM142" s="198">
        <f t="shared" ca="1" si="796"/>
        <v>0</v>
      </c>
      <c r="BN142" s="198">
        <f t="shared" ca="1" si="796"/>
        <v>0</v>
      </c>
      <c r="BO142" s="198">
        <f t="shared" ca="1" si="796"/>
        <v>0</v>
      </c>
      <c r="BP142" s="198">
        <f t="shared" ca="1" si="796"/>
        <v>0</v>
      </c>
      <c r="BQ142" s="198">
        <f t="shared" ref="BQ142:CV142" ca="1" si="797" xml:space="preserve"> BQ$130</f>
        <v>0</v>
      </c>
      <c r="BR142" s="198">
        <f t="shared" ca="1" si="797"/>
        <v>0</v>
      </c>
      <c r="BS142" s="198">
        <f t="shared" ca="1" si="797"/>
        <v>0</v>
      </c>
      <c r="BT142" s="198">
        <f t="shared" ca="1" si="797"/>
        <v>0</v>
      </c>
      <c r="BU142" s="198">
        <f t="shared" ca="1" si="797"/>
        <v>0</v>
      </c>
      <c r="BV142" s="198">
        <f t="shared" ca="1" si="797"/>
        <v>0</v>
      </c>
      <c r="BW142" s="198">
        <f t="shared" ca="1" si="797"/>
        <v>0</v>
      </c>
      <c r="BX142" s="198">
        <f t="shared" ca="1" si="797"/>
        <v>0</v>
      </c>
      <c r="BY142" s="198">
        <f t="shared" ca="1" si="797"/>
        <v>0</v>
      </c>
      <c r="BZ142" s="198">
        <f t="shared" ca="1" si="797"/>
        <v>0</v>
      </c>
      <c r="CA142" s="198">
        <f t="shared" ca="1" si="797"/>
        <v>0</v>
      </c>
      <c r="CB142" s="198">
        <f t="shared" ca="1" si="797"/>
        <v>0</v>
      </c>
      <c r="CC142" s="198">
        <f t="shared" ca="1" si="797"/>
        <v>0</v>
      </c>
      <c r="CD142" s="198">
        <f t="shared" ca="1" si="797"/>
        <v>0</v>
      </c>
      <c r="CE142" s="198">
        <f t="shared" ca="1" si="797"/>
        <v>0</v>
      </c>
      <c r="CF142" s="198">
        <f t="shared" ca="1" si="797"/>
        <v>0</v>
      </c>
      <c r="CG142" s="198">
        <f t="shared" ca="1" si="797"/>
        <v>0</v>
      </c>
      <c r="CH142" s="198">
        <f t="shared" ca="1" si="797"/>
        <v>0</v>
      </c>
      <c r="CI142" s="198">
        <f t="shared" ca="1" si="797"/>
        <v>0</v>
      </c>
      <c r="CJ142" s="198">
        <f t="shared" ca="1" si="797"/>
        <v>0</v>
      </c>
      <c r="CK142" s="198">
        <f t="shared" ca="1" si="797"/>
        <v>0</v>
      </c>
      <c r="CL142" s="198">
        <f t="shared" ca="1" si="797"/>
        <v>0</v>
      </c>
      <c r="CM142" s="198">
        <f t="shared" ca="1" si="797"/>
        <v>0</v>
      </c>
      <c r="CN142" s="198">
        <f t="shared" ca="1" si="797"/>
        <v>0</v>
      </c>
      <c r="CO142" s="198">
        <f t="shared" ca="1" si="797"/>
        <v>0</v>
      </c>
      <c r="CP142" s="198">
        <f t="shared" ca="1" si="797"/>
        <v>0</v>
      </c>
      <c r="CQ142" s="198">
        <f t="shared" ca="1" si="797"/>
        <v>0</v>
      </c>
      <c r="CR142" s="198">
        <f t="shared" ca="1" si="797"/>
        <v>0</v>
      </c>
      <c r="CS142" s="198">
        <f t="shared" ca="1" si="797"/>
        <v>0</v>
      </c>
      <c r="CT142" s="198">
        <f t="shared" ca="1" si="797"/>
        <v>0</v>
      </c>
      <c r="CU142" s="198">
        <f t="shared" ca="1" si="797"/>
        <v>0</v>
      </c>
      <c r="CV142" s="198">
        <f t="shared" ca="1" si="797"/>
        <v>0</v>
      </c>
    </row>
    <row r="143" spans="1:100" outlineLevel="1" x14ac:dyDescent="0.2">
      <c r="E143" s="145" t="str">
        <f xml:space="preserve"> 'FS Semi_P99'!E$89</f>
        <v>Cash flow available for dividends - P99</v>
      </c>
      <c r="F143" s="145">
        <f xml:space="preserve"> 'FS Semi_P99'!F$89</f>
        <v>0</v>
      </c>
      <c r="G143" s="145" t="str">
        <f xml:space="preserve"> 'FS Semi_P99'!G$89</f>
        <v>$ 000s</v>
      </c>
      <c r="H143" s="145">
        <f ca="1" xml:space="preserve"> 'FS Semi_P99'!H$89</f>
        <v>0</v>
      </c>
      <c r="I143" s="145">
        <f xml:space="preserve"> 'FS Semi_P99'!I$89</f>
        <v>0</v>
      </c>
      <c r="J143" s="145">
        <f ca="1" xml:space="preserve"> 'FS Semi_P99'!J$89</f>
        <v>-1.5558398445136845E-6</v>
      </c>
      <c r="K143" s="145">
        <f ca="1" xml:space="preserve"> 'FS Semi_P99'!K$89</f>
        <v>-1.2466658517951146E-5</v>
      </c>
      <c r="L143" s="145">
        <f ca="1" xml:space="preserve"> 'FS Semi_P99'!L$89</f>
        <v>-1.6754362150095403E-5</v>
      </c>
      <c r="M143" s="145">
        <f ca="1" xml:space="preserve"> 'FS Semi_P99'!M$89</f>
        <v>-1.9422688637860119E-5</v>
      </c>
      <c r="N143" s="145">
        <f ca="1" xml:space="preserve"> 'FS Semi_P99'!N$89</f>
        <v>-3.9676149608567357E-3</v>
      </c>
      <c r="O143" s="145">
        <f ca="1" xml:space="preserve"> 'FS Semi_P99'!O$89</f>
        <v>4.0178145100071561E-3</v>
      </c>
      <c r="P143" s="145">
        <f ca="1" xml:space="preserve"> 'FS Semi_P99'!P$89</f>
        <v>0</v>
      </c>
      <c r="Q143" s="145">
        <f ca="1" xml:space="preserve"> 'FS Semi_P99'!Q$89</f>
        <v>0</v>
      </c>
      <c r="R143" s="145">
        <f ca="1" xml:space="preserve"> 'FS Semi_P99'!R$89</f>
        <v>0</v>
      </c>
      <c r="S143" s="145">
        <f ca="1" xml:space="preserve"> 'FS Semi_P99'!S$89</f>
        <v>0</v>
      </c>
      <c r="T143" s="145">
        <f ca="1" xml:space="preserve"> 'FS Semi_P99'!T$89</f>
        <v>0</v>
      </c>
      <c r="U143" s="145">
        <f ca="1" xml:space="preserve"> 'FS Semi_P99'!U$89</f>
        <v>0</v>
      </c>
      <c r="V143" s="145">
        <f ca="1" xml:space="preserve"> 'FS Semi_P99'!V$89</f>
        <v>0</v>
      </c>
      <c r="W143" s="145">
        <f ca="1" xml:space="preserve"> 'FS Semi_P99'!W$89</f>
        <v>0</v>
      </c>
      <c r="X143" s="145">
        <f ca="1" xml:space="preserve"> 'FS Semi_P99'!X$89</f>
        <v>0</v>
      </c>
      <c r="Y143" s="145">
        <f ca="1" xml:space="preserve"> 'FS Semi_P99'!Y$89</f>
        <v>0</v>
      </c>
      <c r="Z143" s="145">
        <f ca="1" xml:space="preserve"> 'FS Semi_P99'!Z$89</f>
        <v>0</v>
      </c>
      <c r="AA143" s="145">
        <f ca="1" xml:space="preserve"> 'FS Semi_P99'!AA$89</f>
        <v>0</v>
      </c>
      <c r="AB143" s="145">
        <f ca="1" xml:space="preserve"> 'FS Semi_P99'!AB$89</f>
        <v>0</v>
      </c>
      <c r="AC143" s="145">
        <f ca="1" xml:space="preserve"> 'FS Semi_P99'!AC$89</f>
        <v>0</v>
      </c>
      <c r="AD143" s="145">
        <f ca="1" xml:space="preserve"> 'FS Semi_P99'!AD$89</f>
        <v>0</v>
      </c>
      <c r="AE143" s="145">
        <f ca="1" xml:space="preserve"> 'FS Semi_P99'!AE$89</f>
        <v>0</v>
      </c>
      <c r="AF143" s="145">
        <f ca="1" xml:space="preserve"> 'FS Semi_P99'!AF$89</f>
        <v>0</v>
      </c>
      <c r="AG143" s="145">
        <f ca="1" xml:space="preserve"> 'FS Semi_P99'!AG$89</f>
        <v>0</v>
      </c>
      <c r="AH143" s="145">
        <f ca="1" xml:space="preserve"> 'FS Semi_P99'!AH$89</f>
        <v>0</v>
      </c>
      <c r="AI143" s="145">
        <f ca="1" xml:space="preserve"> 'FS Semi_P99'!AI$89</f>
        <v>0</v>
      </c>
      <c r="AJ143" s="145">
        <f ca="1" xml:space="preserve"> 'FS Semi_P99'!AJ$89</f>
        <v>0</v>
      </c>
      <c r="AK143" s="145">
        <f ca="1" xml:space="preserve"> 'FS Semi_P99'!AK$89</f>
        <v>0</v>
      </c>
      <c r="AL143" s="145">
        <f ca="1" xml:space="preserve"> 'FS Semi_P99'!AL$89</f>
        <v>0</v>
      </c>
      <c r="AM143" s="145">
        <f ca="1" xml:space="preserve"> 'FS Semi_P99'!AM$89</f>
        <v>0</v>
      </c>
      <c r="AN143" s="145">
        <f ca="1" xml:space="preserve"> 'FS Semi_P99'!AN$89</f>
        <v>0</v>
      </c>
      <c r="AO143" s="145">
        <f ca="1" xml:space="preserve"> 'FS Semi_P99'!AO$89</f>
        <v>0</v>
      </c>
      <c r="AP143" s="145">
        <f ca="1" xml:space="preserve"> 'FS Semi_P99'!AP$89</f>
        <v>0</v>
      </c>
      <c r="AQ143" s="145">
        <f ca="1" xml:space="preserve"> 'FS Semi_P99'!AQ$89</f>
        <v>0</v>
      </c>
      <c r="AR143" s="145">
        <f ca="1" xml:space="preserve"> 'FS Semi_P99'!AR$89</f>
        <v>0</v>
      </c>
      <c r="AS143" s="145">
        <f ca="1" xml:space="preserve"> 'FS Semi_P99'!AS$89</f>
        <v>0</v>
      </c>
      <c r="AT143" s="145">
        <f ca="1" xml:space="preserve"> 'FS Semi_P99'!AT$89</f>
        <v>0</v>
      </c>
      <c r="AU143" s="145">
        <f ca="1" xml:space="preserve"> 'FS Semi_P99'!AU$89</f>
        <v>0</v>
      </c>
      <c r="AV143" s="145">
        <f ca="1" xml:space="preserve"> 'FS Semi_P99'!AV$89</f>
        <v>0</v>
      </c>
      <c r="AW143" s="145">
        <f ca="1" xml:space="preserve"> 'FS Semi_P99'!AW$89</f>
        <v>0</v>
      </c>
      <c r="AX143" s="145">
        <f ca="1" xml:space="preserve"> 'FS Semi_P99'!AX$89</f>
        <v>0</v>
      </c>
      <c r="AY143" s="145">
        <f ca="1" xml:space="preserve"> 'FS Semi_P99'!AY$89</f>
        <v>0</v>
      </c>
      <c r="AZ143" s="145">
        <f ca="1" xml:space="preserve"> 'FS Semi_P99'!AZ$89</f>
        <v>0</v>
      </c>
      <c r="BA143" s="145">
        <f ca="1" xml:space="preserve"> 'FS Semi_P99'!BA$89</f>
        <v>0</v>
      </c>
      <c r="BB143" s="145">
        <f ca="1" xml:space="preserve"> 'FS Semi_P99'!BB$89</f>
        <v>0</v>
      </c>
      <c r="BC143" s="145">
        <f ca="1" xml:space="preserve"> 'FS Semi_P99'!BC$89</f>
        <v>0</v>
      </c>
      <c r="BD143" s="145">
        <f ca="1" xml:space="preserve"> 'FS Semi_P99'!BD$89</f>
        <v>0</v>
      </c>
      <c r="BE143" s="145">
        <f ca="1" xml:space="preserve"> 'FS Semi_P99'!BE$89</f>
        <v>0</v>
      </c>
      <c r="BF143" s="145">
        <f ca="1" xml:space="preserve"> 'FS Semi_P99'!BF$89</f>
        <v>0</v>
      </c>
      <c r="BG143" s="145">
        <f ca="1" xml:space="preserve"> 'FS Semi_P99'!BG$89</f>
        <v>0</v>
      </c>
      <c r="BH143" s="145">
        <f ca="1" xml:space="preserve"> 'FS Semi_P99'!BH$89</f>
        <v>0</v>
      </c>
      <c r="BI143" s="145">
        <f ca="1" xml:space="preserve"> 'FS Semi_P99'!BI$89</f>
        <v>0</v>
      </c>
      <c r="BJ143" s="145">
        <f ca="1" xml:space="preserve"> 'FS Semi_P99'!BJ$89</f>
        <v>0</v>
      </c>
      <c r="BK143" s="145">
        <f ca="1" xml:space="preserve"> 'FS Semi_P99'!BK$89</f>
        <v>0</v>
      </c>
      <c r="BL143" s="145">
        <f ca="1" xml:space="preserve"> 'FS Semi_P99'!BL$89</f>
        <v>0</v>
      </c>
      <c r="BM143" s="145">
        <f ca="1" xml:space="preserve"> 'FS Semi_P99'!BM$89</f>
        <v>0</v>
      </c>
      <c r="BN143" s="145">
        <f ca="1" xml:space="preserve"> 'FS Semi_P99'!BN$89</f>
        <v>0</v>
      </c>
      <c r="BO143" s="145">
        <f ca="1" xml:space="preserve"> 'FS Semi_P99'!BO$89</f>
        <v>0</v>
      </c>
      <c r="BP143" s="145">
        <f ca="1" xml:space="preserve"> 'FS Semi_P99'!BP$89</f>
        <v>0</v>
      </c>
      <c r="BQ143" s="145">
        <f ca="1" xml:space="preserve"> 'FS Semi_P99'!BQ$89</f>
        <v>0</v>
      </c>
      <c r="BR143" s="145">
        <f ca="1" xml:space="preserve"> 'FS Semi_P99'!BR$89</f>
        <v>0</v>
      </c>
      <c r="BS143" s="145">
        <f ca="1" xml:space="preserve"> 'FS Semi_P99'!BS$89</f>
        <v>0</v>
      </c>
      <c r="BT143" s="145">
        <f ca="1" xml:space="preserve"> 'FS Semi_P99'!BT$89</f>
        <v>0</v>
      </c>
      <c r="BU143" s="145">
        <f ca="1" xml:space="preserve"> 'FS Semi_P99'!BU$89</f>
        <v>0</v>
      </c>
      <c r="BV143" s="145">
        <f ca="1" xml:space="preserve"> 'FS Semi_P99'!BV$89</f>
        <v>0</v>
      </c>
      <c r="BW143" s="145">
        <f ca="1" xml:space="preserve"> 'FS Semi_P99'!BW$89</f>
        <v>0</v>
      </c>
      <c r="BX143" s="145">
        <f ca="1" xml:space="preserve"> 'FS Semi_P99'!BX$89</f>
        <v>0</v>
      </c>
      <c r="BY143" s="145">
        <f ca="1" xml:space="preserve"> 'FS Semi_P99'!BY$89</f>
        <v>0</v>
      </c>
      <c r="BZ143" s="145">
        <f ca="1" xml:space="preserve"> 'FS Semi_P99'!BZ$89</f>
        <v>0</v>
      </c>
      <c r="CA143" s="145">
        <f ca="1" xml:space="preserve"> 'FS Semi_P99'!CA$89</f>
        <v>0</v>
      </c>
      <c r="CB143" s="145">
        <f ca="1" xml:space="preserve"> 'FS Semi_P99'!CB$89</f>
        <v>0</v>
      </c>
      <c r="CC143" s="145">
        <f ca="1" xml:space="preserve"> 'FS Semi_P99'!CC$89</f>
        <v>0</v>
      </c>
      <c r="CD143" s="145">
        <f ca="1" xml:space="preserve"> 'FS Semi_P99'!CD$89</f>
        <v>0</v>
      </c>
      <c r="CE143" s="145">
        <f ca="1" xml:space="preserve"> 'FS Semi_P99'!CE$89</f>
        <v>0</v>
      </c>
      <c r="CF143" s="145">
        <f ca="1" xml:space="preserve"> 'FS Semi_P99'!CF$89</f>
        <v>0</v>
      </c>
      <c r="CG143" s="145">
        <f ca="1" xml:space="preserve"> 'FS Semi_P99'!CG$89</f>
        <v>0</v>
      </c>
      <c r="CH143" s="145">
        <f ca="1" xml:space="preserve"> 'FS Semi_P99'!CH$89</f>
        <v>0</v>
      </c>
      <c r="CI143" s="145">
        <f ca="1" xml:space="preserve"> 'FS Semi_P99'!CI$89</f>
        <v>0</v>
      </c>
      <c r="CJ143" s="145">
        <f ca="1" xml:space="preserve"> 'FS Semi_P99'!CJ$89</f>
        <v>0</v>
      </c>
      <c r="CK143" s="145">
        <f ca="1" xml:space="preserve"> 'FS Semi_P99'!CK$89</f>
        <v>0</v>
      </c>
      <c r="CL143" s="145">
        <f ca="1" xml:space="preserve"> 'FS Semi_P99'!CL$89</f>
        <v>0</v>
      </c>
      <c r="CM143" s="145">
        <f ca="1" xml:space="preserve"> 'FS Semi_P99'!CM$89</f>
        <v>0</v>
      </c>
      <c r="CN143" s="145">
        <f ca="1" xml:space="preserve"> 'FS Semi_P99'!CN$89</f>
        <v>0</v>
      </c>
      <c r="CO143" s="145">
        <f ca="1" xml:space="preserve"> 'FS Semi_P99'!CO$89</f>
        <v>0</v>
      </c>
      <c r="CP143" s="145">
        <f ca="1" xml:space="preserve"> 'FS Semi_P99'!CP$89</f>
        <v>0</v>
      </c>
      <c r="CQ143" s="145">
        <f ca="1" xml:space="preserve"> 'FS Semi_P99'!CQ$89</f>
        <v>0</v>
      </c>
      <c r="CR143" s="145">
        <f ca="1" xml:space="preserve"> 'FS Semi_P99'!CR$89</f>
        <v>0</v>
      </c>
      <c r="CS143" s="145">
        <f ca="1" xml:space="preserve"> 'FS Semi_P99'!CS$89</f>
        <v>0</v>
      </c>
      <c r="CT143" s="145">
        <f ca="1" xml:space="preserve"> 'FS Semi_P99'!CT$89</f>
        <v>0</v>
      </c>
      <c r="CU143" s="145">
        <f ca="1" xml:space="preserve"> 'FS Semi_P99'!CU$89</f>
        <v>0</v>
      </c>
      <c r="CV143" s="145">
        <f ca="1" xml:space="preserve"> 'FS Semi_P99'!CV$89</f>
        <v>0</v>
      </c>
    </row>
    <row r="144" spans="1:100" outlineLevel="1" x14ac:dyDescent="0.2">
      <c r="E144" s="38" t="s">
        <v>1241</v>
      </c>
      <c r="F144" s="38"/>
      <c r="G144" s="38" t="str">
        <f xml:space="preserve"> SMU</f>
        <v>$ 000s</v>
      </c>
      <c r="H144" s="38"/>
      <c r="I144" s="38"/>
      <c r="J144" s="38">
        <f t="shared" ref="J144:AO144" ca="1" si="798">MAX(0, SUM(J142:J143))</f>
        <v>0</v>
      </c>
      <c r="K144" s="38">
        <f t="shared" ca="1" si="798"/>
        <v>0</v>
      </c>
      <c r="L144" s="38">
        <f t="shared" ca="1" si="798"/>
        <v>0</v>
      </c>
      <c r="M144" s="38">
        <f t="shared" ca="1" si="798"/>
        <v>0</v>
      </c>
      <c r="N144" s="38">
        <f t="shared" ca="1" si="798"/>
        <v>0</v>
      </c>
      <c r="O144" s="38">
        <f t="shared" ca="1" si="798"/>
        <v>0</v>
      </c>
      <c r="P144" s="38">
        <f t="shared" ca="1" si="798"/>
        <v>0</v>
      </c>
      <c r="Q144" s="38">
        <f t="shared" ca="1" si="798"/>
        <v>0</v>
      </c>
      <c r="R144" s="38">
        <f t="shared" ca="1" si="798"/>
        <v>0</v>
      </c>
      <c r="S144" s="38">
        <f t="shared" ca="1" si="798"/>
        <v>0</v>
      </c>
      <c r="T144" s="38">
        <f t="shared" ca="1" si="798"/>
        <v>0</v>
      </c>
      <c r="U144" s="38">
        <f t="shared" ca="1" si="798"/>
        <v>0</v>
      </c>
      <c r="V144" s="38">
        <f t="shared" ca="1" si="798"/>
        <v>0</v>
      </c>
      <c r="W144" s="38">
        <f t="shared" ca="1" si="798"/>
        <v>0</v>
      </c>
      <c r="X144" s="38">
        <f t="shared" ca="1" si="798"/>
        <v>0</v>
      </c>
      <c r="Y144" s="38">
        <f t="shared" ca="1" si="798"/>
        <v>0</v>
      </c>
      <c r="Z144" s="38">
        <f t="shared" ca="1" si="798"/>
        <v>0</v>
      </c>
      <c r="AA144" s="38">
        <f t="shared" ca="1" si="798"/>
        <v>0</v>
      </c>
      <c r="AB144" s="38">
        <f t="shared" ca="1" si="798"/>
        <v>0</v>
      </c>
      <c r="AC144" s="38">
        <f t="shared" ca="1" si="798"/>
        <v>0</v>
      </c>
      <c r="AD144" s="38">
        <f t="shared" ca="1" si="798"/>
        <v>0</v>
      </c>
      <c r="AE144" s="38">
        <f t="shared" ca="1" si="798"/>
        <v>0</v>
      </c>
      <c r="AF144" s="38">
        <f t="shared" ca="1" si="798"/>
        <v>0</v>
      </c>
      <c r="AG144" s="38">
        <f t="shared" ca="1" si="798"/>
        <v>0</v>
      </c>
      <c r="AH144" s="38">
        <f t="shared" ca="1" si="798"/>
        <v>0</v>
      </c>
      <c r="AI144" s="38">
        <f t="shared" ca="1" si="798"/>
        <v>0</v>
      </c>
      <c r="AJ144" s="38">
        <f t="shared" ca="1" si="798"/>
        <v>0</v>
      </c>
      <c r="AK144" s="38">
        <f t="shared" ca="1" si="798"/>
        <v>0</v>
      </c>
      <c r="AL144" s="38">
        <f t="shared" ca="1" si="798"/>
        <v>0</v>
      </c>
      <c r="AM144" s="38">
        <f t="shared" ca="1" si="798"/>
        <v>0</v>
      </c>
      <c r="AN144" s="38">
        <f t="shared" ca="1" si="798"/>
        <v>0</v>
      </c>
      <c r="AO144" s="38">
        <f t="shared" ca="1" si="798"/>
        <v>0</v>
      </c>
      <c r="AP144" s="38">
        <f t="shared" ref="AP144:BU144" ca="1" si="799">MAX(0, SUM(AP142:AP143))</f>
        <v>0</v>
      </c>
      <c r="AQ144" s="38">
        <f t="shared" ca="1" si="799"/>
        <v>0</v>
      </c>
      <c r="AR144" s="38">
        <f t="shared" ca="1" si="799"/>
        <v>0</v>
      </c>
      <c r="AS144" s="38">
        <f t="shared" ca="1" si="799"/>
        <v>0</v>
      </c>
      <c r="AT144" s="38">
        <f t="shared" ca="1" si="799"/>
        <v>0</v>
      </c>
      <c r="AU144" s="38">
        <f t="shared" ca="1" si="799"/>
        <v>0</v>
      </c>
      <c r="AV144" s="38">
        <f t="shared" ca="1" si="799"/>
        <v>0</v>
      </c>
      <c r="AW144" s="38">
        <f t="shared" ca="1" si="799"/>
        <v>0</v>
      </c>
      <c r="AX144" s="38">
        <f t="shared" ca="1" si="799"/>
        <v>0</v>
      </c>
      <c r="AY144" s="38">
        <f t="shared" ca="1" si="799"/>
        <v>0</v>
      </c>
      <c r="AZ144" s="38">
        <f t="shared" ca="1" si="799"/>
        <v>0</v>
      </c>
      <c r="BA144" s="38">
        <f t="shared" ca="1" si="799"/>
        <v>0</v>
      </c>
      <c r="BB144" s="38">
        <f t="shared" ca="1" si="799"/>
        <v>0</v>
      </c>
      <c r="BC144" s="38">
        <f t="shared" ca="1" si="799"/>
        <v>0</v>
      </c>
      <c r="BD144" s="38">
        <f t="shared" ca="1" si="799"/>
        <v>0</v>
      </c>
      <c r="BE144" s="38">
        <f t="shared" ca="1" si="799"/>
        <v>0</v>
      </c>
      <c r="BF144" s="38">
        <f t="shared" ca="1" si="799"/>
        <v>0</v>
      </c>
      <c r="BG144" s="38">
        <f t="shared" ca="1" si="799"/>
        <v>0</v>
      </c>
      <c r="BH144" s="38">
        <f t="shared" ca="1" si="799"/>
        <v>0</v>
      </c>
      <c r="BI144" s="38">
        <f t="shared" ca="1" si="799"/>
        <v>0</v>
      </c>
      <c r="BJ144" s="38">
        <f t="shared" ca="1" si="799"/>
        <v>0</v>
      </c>
      <c r="BK144" s="38">
        <f t="shared" ca="1" si="799"/>
        <v>0</v>
      </c>
      <c r="BL144" s="38">
        <f t="shared" ca="1" si="799"/>
        <v>0</v>
      </c>
      <c r="BM144" s="38">
        <f t="shared" ca="1" si="799"/>
        <v>0</v>
      </c>
      <c r="BN144" s="38">
        <f t="shared" ca="1" si="799"/>
        <v>0</v>
      </c>
      <c r="BO144" s="38">
        <f t="shared" ca="1" si="799"/>
        <v>0</v>
      </c>
      <c r="BP144" s="38">
        <f t="shared" ca="1" si="799"/>
        <v>0</v>
      </c>
      <c r="BQ144" s="38">
        <f t="shared" ca="1" si="799"/>
        <v>0</v>
      </c>
      <c r="BR144" s="38">
        <f t="shared" ca="1" si="799"/>
        <v>0</v>
      </c>
      <c r="BS144" s="38">
        <f t="shared" ca="1" si="799"/>
        <v>0</v>
      </c>
      <c r="BT144" s="38">
        <f t="shared" ca="1" si="799"/>
        <v>0</v>
      </c>
      <c r="BU144" s="38">
        <f t="shared" ca="1" si="799"/>
        <v>0</v>
      </c>
      <c r="BV144" s="38">
        <f t="shared" ref="BV144:CV144" ca="1" si="800">MAX(0, SUM(BV142:BV143))</f>
        <v>0</v>
      </c>
      <c r="BW144" s="38">
        <f t="shared" ca="1" si="800"/>
        <v>0</v>
      </c>
      <c r="BX144" s="38">
        <f t="shared" ca="1" si="800"/>
        <v>0</v>
      </c>
      <c r="BY144" s="38">
        <f t="shared" ca="1" si="800"/>
        <v>0</v>
      </c>
      <c r="BZ144" s="38">
        <f t="shared" ca="1" si="800"/>
        <v>0</v>
      </c>
      <c r="CA144" s="38">
        <f t="shared" ca="1" si="800"/>
        <v>0</v>
      </c>
      <c r="CB144" s="38">
        <f t="shared" ca="1" si="800"/>
        <v>0</v>
      </c>
      <c r="CC144" s="38">
        <f t="shared" ca="1" si="800"/>
        <v>0</v>
      </c>
      <c r="CD144" s="38">
        <f t="shared" ca="1" si="800"/>
        <v>0</v>
      </c>
      <c r="CE144" s="38">
        <f t="shared" ca="1" si="800"/>
        <v>0</v>
      </c>
      <c r="CF144" s="38">
        <f t="shared" ca="1" si="800"/>
        <v>0</v>
      </c>
      <c r="CG144" s="38">
        <f t="shared" ca="1" si="800"/>
        <v>0</v>
      </c>
      <c r="CH144" s="38">
        <f t="shared" ca="1" si="800"/>
        <v>0</v>
      </c>
      <c r="CI144" s="38">
        <f t="shared" ca="1" si="800"/>
        <v>0</v>
      </c>
      <c r="CJ144" s="38">
        <f t="shared" ca="1" si="800"/>
        <v>0</v>
      </c>
      <c r="CK144" s="38">
        <f t="shared" ca="1" si="800"/>
        <v>0</v>
      </c>
      <c r="CL144" s="38">
        <f t="shared" ca="1" si="800"/>
        <v>0</v>
      </c>
      <c r="CM144" s="38">
        <f t="shared" ca="1" si="800"/>
        <v>0</v>
      </c>
      <c r="CN144" s="38">
        <f t="shared" ca="1" si="800"/>
        <v>0</v>
      </c>
      <c r="CO144" s="38">
        <f t="shared" ca="1" si="800"/>
        <v>0</v>
      </c>
      <c r="CP144" s="38">
        <f t="shared" ca="1" si="800"/>
        <v>0</v>
      </c>
      <c r="CQ144" s="38">
        <f t="shared" ca="1" si="800"/>
        <v>0</v>
      </c>
      <c r="CR144" s="38">
        <f t="shared" ca="1" si="800"/>
        <v>0</v>
      </c>
      <c r="CS144" s="38">
        <f t="shared" ca="1" si="800"/>
        <v>0</v>
      </c>
      <c r="CT144" s="38">
        <f t="shared" ca="1" si="800"/>
        <v>0</v>
      </c>
      <c r="CU144" s="38">
        <f t="shared" ca="1" si="800"/>
        <v>0</v>
      </c>
      <c r="CV144" s="38">
        <f t="shared" ca="1" si="800"/>
        <v>0</v>
      </c>
    </row>
    <row r="145" spans="1:100" outlineLevel="1" x14ac:dyDescent="0.2"/>
    <row r="146" spans="1:100" outlineLevel="1" x14ac:dyDescent="0.2">
      <c r="E146" s="198" t="str">
        <f t="shared" ref="E146:AJ146" si="801" xml:space="preserve"> E$140</f>
        <v>Earnings available for dividend - P99</v>
      </c>
      <c r="F146" s="198">
        <f t="shared" si="801"/>
        <v>0</v>
      </c>
      <c r="G146" s="198" t="str">
        <f t="shared" si="801"/>
        <v>$ 000s</v>
      </c>
      <c r="H146" s="198">
        <f t="shared" si="801"/>
        <v>0</v>
      </c>
      <c r="I146" s="198">
        <f t="shared" si="801"/>
        <v>0</v>
      </c>
      <c r="J146" s="198">
        <f t="shared" ca="1" si="801"/>
        <v>0</v>
      </c>
      <c r="K146" s="198">
        <f t="shared" ca="1" si="801"/>
        <v>0</v>
      </c>
      <c r="L146" s="198">
        <f t="shared" ca="1" si="801"/>
        <v>0</v>
      </c>
      <c r="M146" s="198">
        <f t="shared" ca="1" si="801"/>
        <v>0</v>
      </c>
      <c r="N146" s="198">
        <f t="shared" ca="1" si="801"/>
        <v>0</v>
      </c>
      <c r="O146" s="198">
        <f t="shared" ca="1" si="801"/>
        <v>0</v>
      </c>
      <c r="P146" s="198">
        <f t="shared" ca="1" si="801"/>
        <v>0</v>
      </c>
      <c r="Q146" s="198">
        <f t="shared" ca="1" si="801"/>
        <v>0</v>
      </c>
      <c r="R146" s="198">
        <f t="shared" ca="1" si="801"/>
        <v>0</v>
      </c>
      <c r="S146" s="198">
        <f t="shared" ca="1" si="801"/>
        <v>0</v>
      </c>
      <c r="T146" s="198">
        <f t="shared" ca="1" si="801"/>
        <v>0</v>
      </c>
      <c r="U146" s="198">
        <f t="shared" ca="1" si="801"/>
        <v>0</v>
      </c>
      <c r="V146" s="198">
        <f t="shared" ca="1" si="801"/>
        <v>0</v>
      </c>
      <c r="W146" s="198">
        <f t="shared" ca="1" si="801"/>
        <v>0</v>
      </c>
      <c r="X146" s="198">
        <f t="shared" ca="1" si="801"/>
        <v>0</v>
      </c>
      <c r="Y146" s="198">
        <f t="shared" ca="1" si="801"/>
        <v>0</v>
      </c>
      <c r="Z146" s="198">
        <f t="shared" ca="1" si="801"/>
        <v>0</v>
      </c>
      <c r="AA146" s="198">
        <f t="shared" ca="1" si="801"/>
        <v>0</v>
      </c>
      <c r="AB146" s="198">
        <f t="shared" ca="1" si="801"/>
        <v>0</v>
      </c>
      <c r="AC146" s="198">
        <f t="shared" ca="1" si="801"/>
        <v>0</v>
      </c>
      <c r="AD146" s="198">
        <f t="shared" ca="1" si="801"/>
        <v>0</v>
      </c>
      <c r="AE146" s="198">
        <f t="shared" ca="1" si="801"/>
        <v>0</v>
      </c>
      <c r="AF146" s="198">
        <f t="shared" ca="1" si="801"/>
        <v>0</v>
      </c>
      <c r="AG146" s="198">
        <f t="shared" ca="1" si="801"/>
        <v>0</v>
      </c>
      <c r="AH146" s="198">
        <f t="shared" ca="1" si="801"/>
        <v>0</v>
      </c>
      <c r="AI146" s="198">
        <f t="shared" ca="1" si="801"/>
        <v>0</v>
      </c>
      <c r="AJ146" s="198">
        <f t="shared" ca="1" si="801"/>
        <v>0</v>
      </c>
      <c r="AK146" s="198">
        <f t="shared" ref="AK146:BP146" ca="1" si="802" xml:space="preserve"> AK$140</f>
        <v>0</v>
      </c>
      <c r="AL146" s="198">
        <f t="shared" ca="1" si="802"/>
        <v>0</v>
      </c>
      <c r="AM146" s="198">
        <f t="shared" ca="1" si="802"/>
        <v>0</v>
      </c>
      <c r="AN146" s="198">
        <f t="shared" ca="1" si="802"/>
        <v>0</v>
      </c>
      <c r="AO146" s="198">
        <f t="shared" ca="1" si="802"/>
        <v>0</v>
      </c>
      <c r="AP146" s="198">
        <f t="shared" ca="1" si="802"/>
        <v>0</v>
      </c>
      <c r="AQ146" s="198">
        <f t="shared" ca="1" si="802"/>
        <v>0</v>
      </c>
      <c r="AR146" s="198">
        <f t="shared" ca="1" si="802"/>
        <v>0</v>
      </c>
      <c r="AS146" s="198">
        <f t="shared" ca="1" si="802"/>
        <v>0</v>
      </c>
      <c r="AT146" s="198">
        <f t="shared" ca="1" si="802"/>
        <v>0</v>
      </c>
      <c r="AU146" s="198">
        <f t="shared" ca="1" si="802"/>
        <v>0</v>
      </c>
      <c r="AV146" s="198">
        <f t="shared" ca="1" si="802"/>
        <v>0</v>
      </c>
      <c r="AW146" s="198">
        <f t="shared" ca="1" si="802"/>
        <v>0</v>
      </c>
      <c r="AX146" s="198">
        <f t="shared" ca="1" si="802"/>
        <v>0</v>
      </c>
      <c r="AY146" s="198">
        <f t="shared" ca="1" si="802"/>
        <v>0</v>
      </c>
      <c r="AZ146" s="198">
        <f t="shared" ca="1" si="802"/>
        <v>0</v>
      </c>
      <c r="BA146" s="198">
        <f t="shared" ca="1" si="802"/>
        <v>0</v>
      </c>
      <c r="BB146" s="198">
        <f t="shared" ca="1" si="802"/>
        <v>0</v>
      </c>
      <c r="BC146" s="198">
        <f t="shared" ca="1" si="802"/>
        <v>0</v>
      </c>
      <c r="BD146" s="198">
        <f t="shared" ca="1" si="802"/>
        <v>0</v>
      </c>
      <c r="BE146" s="198">
        <f t="shared" ca="1" si="802"/>
        <v>0</v>
      </c>
      <c r="BF146" s="198">
        <f t="shared" ca="1" si="802"/>
        <v>0</v>
      </c>
      <c r="BG146" s="198">
        <f t="shared" ca="1" si="802"/>
        <v>0</v>
      </c>
      <c r="BH146" s="198">
        <f t="shared" ca="1" si="802"/>
        <v>0</v>
      </c>
      <c r="BI146" s="198">
        <f t="shared" ca="1" si="802"/>
        <v>0</v>
      </c>
      <c r="BJ146" s="198">
        <f t="shared" ca="1" si="802"/>
        <v>0</v>
      </c>
      <c r="BK146" s="198">
        <f t="shared" ca="1" si="802"/>
        <v>0</v>
      </c>
      <c r="BL146" s="198">
        <f t="shared" ca="1" si="802"/>
        <v>0</v>
      </c>
      <c r="BM146" s="198">
        <f t="shared" ca="1" si="802"/>
        <v>0</v>
      </c>
      <c r="BN146" s="198">
        <f t="shared" ca="1" si="802"/>
        <v>0</v>
      </c>
      <c r="BO146" s="198">
        <f t="shared" ca="1" si="802"/>
        <v>0</v>
      </c>
      <c r="BP146" s="198">
        <f t="shared" ca="1" si="802"/>
        <v>0</v>
      </c>
      <c r="BQ146" s="198">
        <f t="shared" ref="BQ146:CV146" ca="1" si="803" xml:space="preserve"> BQ$140</f>
        <v>0</v>
      </c>
      <c r="BR146" s="198">
        <f t="shared" ca="1" si="803"/>
        <v>0</v>
      </c>
      <c r="BS146" s="198">
        <f t="shared" ca="1" si="803"/>
        <v>0</v>
      </c>
      <c r="BT146" s="198">
        <f t="shared" ca="1" si="803"/>
        <v>0</v>
      </c>
      <c r="BU146" s="198">
        <f t="shared" ca="1" si="803"/>
        <v>0</v>
      </c>
      <c r="BV146" s="198">
        <f t="shared" ca="1" si="803"/>
        <v>0</v>
      </c>
      <c r="BW146" s="198">
        <f t="shared" ca="1" si="803"/>
        <v>0</v>
      </c>
      <c r="BX146" s="198">
        <f t="shared" ca="1" si="803"/>
        <v>0</v>
      </c>
      <c r="BY146" s="198">
        <f t="shared" ca="1" si="803"/>
        <v>0</v>
      </c>
      <c r="BZ146" s="198">
        <f t="shared" ca="1" si="803"/>
        <v>0</v>
      </c>
      <c r="CA146" s="198">
        <f t="shared" ca="1" si="803"/>
        <v>0</v>
      </c>
      <c r="CB146" s="198">
        <f t="shared" ca="1" si="803"/>
        <v>0</v>
      </c>
      <c r="CC146" s="198">
        <f t="shared" ca="1" si="803"/>
        <v>0</v>
      </c>
      <c r="CD146" s="198">
        <f t="shared" ca="1" si="803"/>
        <v>0</v>
      </c>
      <c r="CE146" s="198">
        <f t="shared" ca="1" si="803"/>
        <v>0</v>
      </c>
      <c r="CF146" s="198">
        <f t="shared" ca="1" si="803"/>
        <v>0</v>
      </c>
      <c r="CG146" s="198">
        <f t="shared" ca="1" si="803"/>
        <v>0</v>
      </c>
      <c r="CH146" s="198">
        <f t="shared" ca="1" si="803"/>
        <v>0</v>
      </c>
      <c r="CI146" s="198">
        <f t="shared" ca="1" si="803"/>
        <v>0</v>
      </c>
      <c r="CJ146" s="198">
        <f t="shared" ca="1" si="803"/>
        <v>0</v>
      </c>
      <c r="CK146" s="198">
        <f t="shared" ca="1" si="803"/>
        <v>0</v>
      </c>
      <c r="CL146" s="198">
        <f t="shared" ca="1" si="803"/>
        <v>0</v>
      </c>
      <c r="CM146" s="198">
        <f t="shared" ca="1" si="803"/>
        <v>0</v>
      </c>
      <c r="CN146" s="198">
        <f t="shared" ca="1" si="803"/>
        <v>0</v>
      </c>
      <c r="CO146" s="198">
        <f t="shared" ca="1" si="803"/>
        <v>0</v>
      </c>
      <c r="CP146" s="198">
        <f t="shared" ca="1" si="803"/>
        <v>0</v>
      </c>
      <c r="CQ146" s="198">
        <f t="shared" ca="1" si="803"/>
        <v>0</v>
      </c>
      <c r="CR146" s="198">
        <f t="shared" ca="1" si="803"/>
        <v>0</v>
      </c>
      <c r="CS146" s="198">
        <f t="shared" ca="1" si="803"/>
        <v>0</v>
      </c>
      <c r="CT146" s="198">
        <f t="shared" ca="1" si="803"/>
        <v>0</v>
      </c>
      <c r="CU146" s="198">
        <f t="shared" ca="1" si="803"/>
        <v>0</v>
      </c>
      <c r="CV146" s="198">
        <f t="shared" ca="1" si="803"/>
        <v>0</v>
      </c>
    </row>
    <row r="147" spans="1:100" outlineLevel="1" x14ac:dyDescent="0.2">
      <c r="E147" s="198" t="str">
        <f t="shared" ref="E147:AJ147" si="804" xml:space="preserve"> E$144</f>
        <v>Cash available for dividends - P99</v>
      </c>
      <c r="F147" s="198">
        <f t="shared" si="804"/>
        <v>0</v>
      </c>
      <c r="G147" s="198" t="str">
        <f t="shared" si="804"/>
        <v>$ 000s</v>
      </c>
      <c r="H147" s="198">
        <f t="shared" si="804"/>
        <v>0</v>
      </c>
      <c r="I147" s="198">
        <f t="shared" si="804"/>
        <v>0</v>
      </c>
      <c r="J147" s="198">
        <f t="shared" ca="1" si="804"/>
        <v>0</v>
      </c>
      <c r="K147" s="198">
        <f t="shared" ca="1" si="804"/>
        <v>0</v>
      </c>
      <c r="L147" s="198">
        <f t="shared" ca="1" si="804"/>
        <v>0</v>
      </c>
      <c r="M147" s="198">
        <f t="shared" ca="1" si="804"/>
        <v>0</v>
      </c>
      <c r="N147" s="198">
        <f t="shared" ca="1" si="804"/>
        <v>0</v>
      </c>
      <c r="O147" s="198">
        <f t="shared" ca="1" si="804"/>
        <v>0</v>
      </c>
      <c r="P147" s="198">
        <f t="shared" ca="1" si="804"/>
        <v>0</v>
      </c>
      <c r="Q147" s="198">
        <f t="shared" ca="1" si="804"/>
        <v>0</v>
      </c>
      <c r="R147" s="198">
        <f t="shared" ca="1" si="804"/>
        <v>0</v>
      </c>
      <c r="S147" s="198">
        <f t="shared" ca="1" si="804"/>
        <v>0</v>
      </c>
      <c r="T147" s="198">
        <f t="shared" ca="1" si="804"/>
        <v>0</v>
      </c>
      <c r="U147" s="198">
        <f t="shared" ca="1" si="804"/>
        <v>0</v>
      </c>
      <c r="V147" s="198">
        <f t="shared" ca="1" si="804"/>
        <v>0</v>
      </c>
      <c r="W147" s="198">
        <f t="shared" ca="1" si="804"/>
        <v>0</v>
      </c>
      <c r="X147" s="198">
        <f t="shared" ca="1" si="804"/>
        <v>0</v>
      </c>
      <c r="Y147" s="198">
        <f t="shared" ca="1" si="804"/>
        <v>0</v>
      </c>
      <c r="Z147" s="198">
        <f t="shared" ca="1" si="804"/>
        <v>0</v>
      </c>
      <c r="AA147" s="198">
        <f t="shared" ca="1" si="804"/>
        <v>0</v>
      </c>
      <c r="AB147" s="198">
        <f t="shared" ca="1" si="804"/>
        <v>0</v>
      </c>
      <c r="AC147" s="198">
        <f t="shared" ca="1" si="804"/>
        <v>0</v>
      </c>
      <c r="AD147" s="198">
        <f t="shared" ca="1" si="804"/>
        <v>0</v>
      </c>
      <c r="AE147" s="198">
        <f t="shared" ca="1" si="804"/>
        <v>0</v>
      </c>
      <c r="AF147" s="198">
        <f t="shared" ca="1" si="804"/>
        <v>0</v>
      </c>
      <c r="AG147" s="198">
        <f t="shared" ca="1" si="804"/>
        <v>0</v>
      </c>
      <c r="AH147" s="198">
        <f t="shared" ca="1" si="804"/>
        <v>0</v>
      </c>
      <c r="AI147" s="198">
        <f t="shared" ca="1" si="804"/>
        <v>0</v>
      </c>
      <c r="AJ147" s="198">
        <f t="shared" ca="1" si="804"/>
        <v>0</v>
      </c>
      <c r="AK147" s="198">
        <f t="shared" ref="AK147:BP147" ca="1" si="805" xml:space="preserve"> AK$144</f>
        <v>0</v>
      </c>
      <c r="AL147" s="198">
        <f t="shared" ca="1" si="805"/>
        <v>0</v>
      </c>
      <c r="AM147" s="198">
        <f t="shared" ca="1" si="805"/>
        <v>0</v>
      </c>
      <c r="AN147" s="198">
        <f t="shared" ca="1" si="805"/>
        <v>0</v>
      </c>
      <c r="AO147" s="198">
        <f t="shared" ca="1" si="805"/>
        <v>0</v>
      </c>
      <c r="AP147" s="198">
        <f t="shared" ca="1" si="805"/>
        <v>0</v>
      </c>
      <c r="AQ147" s="198">
        <f t="shared" ca="1" si="805"/>
        <v>0</v>
      </c>
      <c r="AR147" s="198">
        <f t="shared" ca="1" si="805"/>
        <v>0</v>
      </c>
      <c r="AS147" s="198">
        <f t="shared" ca="1" si="805"/>
        <v>0</v>
      </c>
      <c r="AT147" s="198">
        <f t="shared" ca="1" si="805"/>
        <v>0</v>
      </c>
      <c r="AU147" s="198">
        <f t="shared" ca="1" si="805"/>
        <v>0</v>
      </c>
      <c r="AV147" s="198">
        <f t="shared" ca="1" si="805"/>
        <v>0</v>
      </c>
      <c r="AW147" s="198">
        <f t="shared" ca="1" si="805"/>
        <v>0</v>
      </c>
      <c r="AX147" s="198">
        <f t="shared" ca="1" si="805"/>
        <v>0</v>
      </c>
      <c r="AY147" s="198">
        <f t="shared" ca="1" si="805"/>
        <v>0</v>
      </c>
      <c r="AZ147" s="198">
        <f t="shared" ca="1" si="805"/>
        <v>0</v>
      </c>
      <c r="BA147" s="198">
        <f t="shared" ca="1" si="805"/>
        <v>0</v>
      </c>
      <c r="BB147" s="198">
        <f t="shared" ca="1" si="805"/>
        <v>0</v>
      </c>
      <c r="BC147" s="198">
        <f t="shared" ca="1" si="805"/>
        <v>0</v>
      </c>
      <c r="BD147" s="198">
        <f t="shared" ca="1" si="805"/>
        <v>0</v>
      </c>
      <c r="BE147" s="198">
        <f t="shared" ca="1" si="805"/>
        <v>0</v>
      </c>
      <c r="BF147" s="198">
        <f t="shared" ca="1" si="805"/>
        <v>0</v>
      </c>
      <c r="BG147" s="198">
        <f t="shared" ca="1" si="805"/>
        <v>0</v>
      </c>
      <c r="BH147" s="198">
        <f t="shared" ca="1" si="805"/>
        <v>0</v>
      </c>
      <c r="BI147" s="198">
        <f t="shared" ca="1" si="805"/>
        <v>0</v>
      </c>
      <c r="BJ147" s="198">
        <f t="shared" ca="1" si="805"/>
        <v>0</v>
      </c>
      <c r="BK147" s="198">
        <f t="shared" ca="1" si="805"/>
        <v>0</v>
      </c>
      <c r="BL147" s="198">
        <f t="shared" ca="1" si="805"/>
        <v>0</v>
      </c>
      <c r="BM147" s="198">
        <f t="shared" ca="1" si="805"/>
        <v>0</v>
      </c>
      <c r="BN147" s="198">
        <f t="shared" ca="1" si="805"/>
        <v>0</v>
      </c>
      <c r="BO147" s="198">
        <f t="shared" ca="1" si="805"/>
        <v>0</v>
      </c>
      <c r="BP147" s="198">
        <f t="shared" ca="1" si="805"/>
        <v>0</v>
      </c>
      <c r="BQ147" s="198">
        <f t="shared" ref="BQ147:CV147" ca="1" si="806" xml:space="preserve"> BQ$144</f>
        <v>0</v>
      </c>
      <c r="BR147" s="198">
        <f t="shared" ca="1" si="806"/>
        <v>0</v>
      </c>
      <c r="BS147" s="198">
        <f t="shared" ca="1" si="806"/>
        <v>0</v>
      </c>
      <c r="BT147" s="198">
        <f t="shared" ca="1" si="806"/>
        <v>0</v>
      </c>
      <c r="BU147" s="198">
        <f t="shared" ca="1" si="806"/>
        <v>0</v>
      </c>
      <c r="BV147" s="198">
        <f t="shared" ca="1" si="806"/>
        <v>0</v>
      </c>
      <c r="BW147" s="198">
        <f t="shared" ca="1" si="806"/>
        <v>0</v>
      </c>
      <c r="BX147" s="198">
        <f t="shared" ca="1" si="806"/>
        <v>0</v>
      </c>
      <c r="BY147" s="198">
        <f t="shared" ca="1" si="806"/>
        <v>0</v>
      </c>
      <c r="BZ147" s="198">
        <f t="shared" ca="1" si="806"/>
        <v>0</v>
      </c>
      <c r="CA147" s="198">
        <f t="shared" ca="1" si="806"/>
        <v>0</v>
      </c>
      <c r="CB147" s="198">
        <f t="shared" ca="1" si="806"/>
        <v>0</v>
      </c>
      <c r="CC147" s="198">
        <f t="shared" ca="1" si="806"/>
        <v>0</v>
      </c>
      <c r="CD147" s="198">
        <f t="shared" ca="1" si="806"/>
        <v>0</v>
      </c>
      <c r="CE147" s="198">
        <f t="shared" ca="1" si="806"/>
        <v>0</v>
      </c>
      <c r="CF147" s="198">
        <f t="shared" ca="1" si="806"/>
        <v>0</v>
      </c>
      <c r="CG147" s="198">
        <f t="shared" ca="1" si="806"/>
        <v>0</v>
      </c>
      <c r="CH147" s="198">
        <f t="shared" ca="1" si="806"/>
        <v>0</v>
      </c>
      <c r="CI147" s="198">
        <f t="shared" ca="1" si="806"/>
        <v>0</v>
      </c>
      <c r="CJ147" s="198">
        <f t="shared" ca="1" si="806"/>
        <v>0</v>
      </c>
      <c r="CK147" s="198">
        <f t="shared" ca="1" si="806"/>
        <v>0</v>
      </c>
      <c r="CL147" s="198">
        <f t="shared" ca="1" si="806"/>
        <v>0</v>
      </c>
      <c r="CM147" s="198">
        <f t="shared" ca="1" si="806"/>
        <v>0</v>
      </c>
      <c r="CN147" s="198">
        <f t="shared" ca="1" si="806"/>
        <v>0</v>
      </c>
      <c r="CO147" s="198">
        <f t="shared" ca="1" si="806"/>
        <v>0</v>
      </c>
      <c r="CP147" s="198">
        <f t="shared" ca="1" si="806"/>
        <v>0</v>
      </c>
      <c r="CQ147" s="198">
        <f t="shared" ca="1" si="806"/>
        <v>0</v>
      </c>
      <c r="CR147" s="198">
        <f t="shared" ca="1" si="806"/>
        <v>0</v>
      </c>
      <c r="CS147" s="198">
        <f t="shared" ca="1" si="806"/>
        <v>0</v>
      </c>
      <c r="CT147" s="198">
        <f t="shared" ca="1" si="806"/>
        <v>0</v>
      </c>
      <c r="CU147" s="198">
        <f t="shared" ca="1" si="806"/>
        <v>0</v>
      </c>
      <c r="CV147" s="198">
        <f t="shared" ca="1" si="806"/>
        <v>0</v>
      </c>
    </row>
    <row r="148" spans="1:100" s="188" customFormat="1" outlineLevel="1" x14ac:dyDescent="0.2">
      <c r="A148" s="141"/>
      <c r="B148" s="141"/>
      <c r="C148" s="142"/>
      <c r="D148" s="143"/>
      <c r="E148" s="187" t="s">
        <v>1242</v>
      </c>
      <c r="F148" s="187"/>
      <c r="G148" s="187" t="str">
        <f xml:space="preserve"> SMU</f>
        <v>$ 000s</v>
      </c>
      <c r="H148" s="187">
        <f ca="1" xml:space="preserve"> SUM(J148:CV148)</f>
        <v>0</v>
      </c>
      <c r="I148" s="144"/>
      <c r="J148" s="187">
        <f t="shared" ref="J148:AO148" ca="1" si="807" xml:space="preserve"> MIN(J146:J147)</f>
        <v>0</v>
      </c>
      <c r="K148" s="187">
        <f t="shared" ca="1" si="807"/>
        <v>0</v>
      </c>
      <c r="L148" s="187">
        <f t="shared" ca="1" si="807"/>
        <v>0</v>
      </c>
      <c r="M148" s="187">
        <f t="shared" ca="1" si="807"/>
        <v>0</v>
      </c>
      <c r="N148" s="187">
        <f t="shared" ca="1" si="807"/>
        <v>0</v>
      </c>
      <c r="O148" s="187">
        <f t="shared" ca="1" si="807"/>
        <v>0</v>
      </c>
      <c r="P148" s="187">
        <f t="shared" ca="1" si="807"/>
        <v>0</v>
      </c>
      <c r="Q148" s="187">
        <f t="shared" ca="1" si="807"/>
        <v>0</v>
      </c>
      <c r="R148" s="187">
        <f t="shared" ca="1" si="807"/>
        <v>0</v>
      </c>
      <c r="S148" s="187">
        <f t="shared" ca="1" si="807"/>
        <v>0</v>
      </c>
      <c r="T148" s="187">
        <f t="shared" ca="1" si="807"/>
        <v>0</v>
      </c>
      <c r="U148" s="187">
        <f t="shared" ca="1" si="807"/>
        <v>0</v>
      </c>
      <c r="V148" s="187">
        <f t="shared" ca="1" si="807"/>
        <v>0</v>
      </c>
      <c r="W148" s="187">
        <f t="shared" ca="1" si="807"/>
        <v>0</v>
      </c>
      <c r="X148" s="187">
        <f t="shared" ca="1" si="807"/>
        <v>0</v>
      </c>
      <c r="Y148" s="187">
        <f t="shared" ca="1" si="807"/>
        <v>0</v>
      </c>
      <c r="Z148" s="187">
        <f t="shared" ca="1" si="807"/>
        <v>0</v>
      </c>
      <c r="AA148" s="187">
        <f t="shared" ca="1" si="807"/>
        <v>0</v>
      </c>
      <c r="AB148" s="187">
        <f t="shared" ca="1" si="807"/>
        <v>0</v>
      </c>
      <c r="AC148" s="187">
        <f t="shared" ca="1" si="807"/>
        <v>0</v>
      </c>
      <c r="AD148" s="187">
        <f t="shared" ca="1" si="807"/>
        <v>0</v>
      </c>
      <c r="AE148" s="187">
        <f t="shared" ca="1" si="807"/>
        <v>0</v>
      </c>
      <c r="AF148" s="187">
        <f t="shared" ca="1" si="807"/>
        <v>0</v>
      </c>
      <c r="AG148" s="187">
        <f t="shared" ca="1" si="807"/>
        <v>0</v>
      </c>
      <c r="AH148" s="187">
        <f t="shared" ca="1" si="807"/>
        <v>0</v>
      </c>
      <c r="AI148" s="187">
        <f t="shared" ca="1" si="807"/>
        <v>0</v>
      </c>
      <c r="AJ148" s="187">
        <f t="shared" ca="1" si="807"/>
        <v>0</v>
      </c>
      <c r="AK148" s="187">
        <f t="shared" ca="1" si="807"/>
        <v>0</v>
      </c>
      <c r="AL148" s="187">
        <f t="shared" ca="1" si="807"/>
        <v>0</v>
      </c>
      <c r="AM148" s="187">
        <f t="shared" ca="1" si="807"/>
        <v>0</v>
      </c>
      <c r="AN148" s="187">
        <f t="shared" ca="1" si="807"/>
        <v>0</v>
      </c>
      <c r="AO148" s="187">
        <f t="shared" ca="1" si="807"/>
        <v>0</v>
      </c>
      <c r="AP148" s="187">
        <f t="shared" ref="AP148:BU148" ca="1" si="808" xml:space="preserve"> MIN(AP146:AP147)</f>
        <v>0</v>
      </c>
      <c r="AQ148" s="187">
        <f t="shared" ca="1" si="808"/>
        <v>0</v>
      </c>
      <c r="AR148" s="187">
        <f t="shared" ca="1" si="808"/>
        <v>0</v>
      </c>
      <c r="AS148" s="187">
        <f t="shared" ca="1" si="808"/>
        <v>0</v>
      </c>
      <c r="AT148" s="187">
        <f t="shared" ca="1" si="808"/>
        <v>0</v>
      </c>
      <c r="AU148" s="187">
        <f t="shared" ca="1" si="808"/>
        <v>0</v>
      </c>
      <c r="AV148" s="187">
        <f t="shared" ca="1" si="808"/>
        <v>0</v>
      </c>
      <c r="AW148" s="187">
        <f t="shared" ca="1" si="808"/>
        <v>0</v>
      </c>
      <c r="AX148" s="187">
        <f t="shared" ca="1" si="808"/>
        <v>0</v>
      </c>
      <c r="AY148" s="187">
        <f t="shared" ca="1" si="808"/>
        <v>0</v>
      </c>
      <c r="AZ148" s="187">
        <f t="shared" ca="1" si="808"/>
        <v>0</v>
      </c>
      <c r="BA148" s="187">
        <f t="shared" ca="1" si="808"/>
        <v>0</v>
      </c>
      <c r="BB148" s="187">
        <f t="shared" ca="1" si="808"/>
        <v>0</v>
      </c>
      <c r="BC148" s="187">
        <f t="shared" ca="1" si="808"/>
        <v>0</v>
      </c>
      <c r="BD148" s="187">
        <f t="shared" ca="1" si="808"/>
        <v>0</v>
      </c>
      <c r="BE148" s="187">
        <f t="shared" ca="1" si="808"/>
        <v>0</v>
      </c>
      <c r="BF148" s="187">
        <f t="shared" ca="1" si="808"/>
        <v>0</v>
      </c>
      <c r="BG148" s="187">
        <f t="shared" ca="1" si="808"/>
        <v>0</v>
      </c>
      <c r="BH148" s="187">
        <f t="shared" ca="1" si="808"/>
        <v>0</v>
      </c>
      <c r="BI148" s="187">
        <f t="shared" ca="1" si="808"/>
        <v>0</v>
      </c>
      <c r="BJ148" s="187">
        <f t="shared" ca="1" si="808"/>
        <v>0</v>
      </c>
      <c r="BK148" s="187">
        <f t="shared" ca="1" si="808"/>
        <v>0</v>
      </c>
      <c r="BL148" s="187">
        <f t="shared" ca="1" si="808"/>
        <v>0</v>
      </c>
      <c r="BM148" s="187">
        <f t="shared" ca="1" si="808"/>
        <v>0</v>
      </c>
      <c r="BN148" s="187">
        <f t="shared" ca="1" si="808"/>
        <v>0</v>
      </c>
      <c r="BO148" s="187">
        <f t="shared" ca="1" si="808"/>
        <v>0</v>
      </c>
      <c r="BP148" s="187">
        <f t="shared" ca="1" si="808"/>
        <v>0</v>
      </c>
      <c r="BQ148" s="187">
        <f t="shared" ca="1" si="808"/>
        <v>0</v>
      </c>
      <c r="BR148" s="187">
        <f t="shared" ca="1" si="808"/>
        <v>0</v>
      </c>
      <c r="BS148" s="187">
        <f t="shared" ca="1" si="808"/>
        <v>0</v>
      </c>
      <c r="BT148" s="187">
        <f t="shared" ca="1" si="808"/>
        <v>0</v>
      </c>
      <c r="BU148" s="187">
        <f t="shared" ca="1" si="808"/>
        <v>0</v>
      </c>
      <c r="BV148" s="187">
        <f t="shared" ref="BV148:CV148" ca="1" si="809" xml:space="preserve"> MIN(BV146:BV147)</f>
        <v>0</v>
      </c>
      <c r="BW148" s="187">
        <f t="shared" ca="1" si="809"/>
        <v>0</v>
      </c>
      <c r="BX148" s="187">
        <f t="shared" ca="1" si="809"/>
        <v>0</v>
      </c>
      <c r="BY148" s="187">
        <f t="shared" ca="1" si="809"/>
        <v>0</v>
      </c>
      <c r="BZ148" s="187">
        <f t="shared" ca="1" si="809"/>
        <v>0</v>
      </c>
      <c r="CA148" s="187">
        <f t="shared" ca="1" si="809"/>
        <v>0</v>
      </c>
      <c r="CB148" s="187">
        <f t="shared" ca="1" si="809"/>
        <v>0</v>
      </c>
      <c r="CC148" s="187">
        <f t="shared" ca="1" si="809"/>
        <v>0</v>
      </c>
      <c r="CD148" s="187">
        <f t="shared" ca="1" si="809"/>
        <v>0</v>
      </c>
      <c r="CE148" s="187">
        <f t="shared" ca="1" si="809"/>
        <v>0</v>
      </c>
      <c r="CF148" s="187">
        <f t="shared" ca="1" si="809"/>
        <v>0</v>
      </c>
      <c r="CG148" s="187">
        <f t="shared" ca="1" si="809"/>
        <v>0</v>
      </c>
      <c r="CH148" s="187">
        <f t="shared" ca="1" si="809"/>
        <v>0</v>
      </c>
      <c r="CI148" s="187">
        <f t="shared" ca="1" si="809"/>
        <v>0</v>
      </c>
      <c r="CJ148" s="187">
        <f t="shared" ca="1" si="809"/>
        <v>0</v>
      </c>
      <c r="CK148" s="187">
        <f t="shared" ca="1" si="809"/>
        <v>0</v>
      </c>
      <c r="CL148" s="187">
        <f t="shared" ca="1" si="809"/>
        <v>0</v>
      </c>
      <c r="CM148" s="187">
        <f t="shared" ca="1" si="809"/>
        <v>0</v>
      </c>
      <c r="CN148" s="187">
        <f t="shared" ca="1" si="809"/>
        <v>0</v>
      </c>
      <c r="CO148" s="187">
        <f t="shared" ca="1" si="809"/>
        <v>0</v>
      </c>
      <c r="CP148" s="187">
        <f t="shared" ca="1" si="809"/>
        <v>0</v>
      </c>
      <c r="CQ148" s="187">
        <f t="shared" ca="1" si="809"/>
        <v>0</v>
      </c>
      <c r="CR148" s="187">
        <f t="shared" ca="1" si="809"/>
        <v>0</v>
      </c>
      <c r="CS148" s="187">
        <f t="shared" ca="1" si="809"/>
        <v>0</v>
      </c>
      <c r="CT148" s="187">
        <f t="shared" ca="1" si="809"/>
        <v>0</v>
      </c>
      <c r="CU148" s="187">
        <f t="shared" ca="1" si="809"/>
        <v>0</v>
      </c>
      <c r="CV148" s="187">
        <f t="shared" ca="1" si="809"/>
        <v>0</v>
      </c>
    </row>
    <row r="149" spans="1:100" outlineLevel="1" x14ac:dyDescent="0.2">
      <c r="A149" s="141"/>
      <c r="B149" s="141"/>
      <c r="C149" s="142"/>
      <c r="D149" s="143"/>
      <c r="E149" s="187" t="str">
        <f xml:space="preserve"> LEFT(E148, LEN(E148) - 4)</f>
        <v>Dividends paid - P99</v>
      </c>
      <c r="F149" s="187"/>
      <c r="G149" s="187" t="str">
        <f xml:space="preserve"> SMU</f>
        <v>$ 000s</v>
      </c>
      <c r="H149" s="187">
        <f ca="1" xml:space="preserve"> SUM(J149:CV149)</f>
        <v>0</v>
      </c>
      <c r="I149" s="144"/>
      <c r="J149" s="187">
        <f t="shared" ref="J149:AO149" ca="1" si="810" xml:space="preserve"> -1 * J148</f>
        <v>0</v>
      </c>
      <c r="K149" s="187">
        <f t="shared" ca="1" si="810"/>
        <v>0</v>
      </c>
      <c r="L149" s="187">
        <f t="shared" ca="1" si="810"/>
        <v>0</v>
      </c>
      <c r="M149" s="187">
        <f t="shared" ca="1" si="810"/>
        <v>0</v>
      </c>
      <c r="N149" s="187">
        <f t="shared" ca="1" si="810"/>
        <v>0</v>
      </c>
      <c r="O149" s="187">
        <f t="shared" ca="1" si="810"/>
        <v>0</v>
      </c>
      <c r="P149" s="187">
        <f t="shared" ca="1" si="810"/>
        <v>0</v>
      </c>
      <c r="Q149" s="187">
        <f t="shared" ca="1" si="810"/>
        <v>0</v>
      </c>
      <c r="R149" s="187">
        <f t="shared" ca="1" si="810"/>
        <v>0</v>
      </c>
      <c r="S149" s="187">
        <f t="shared" ca="1" si="810"/>
        <v>0</v>
      </c>
      <c r="T149" s="187">
        <f t="shared" ca="1" si="810"/>
        <v>0</v>
      </c>
      <c r="U149" s="187">
        <f t="shared" ca="1" si="810"/>
        <v>0</v>
      </c>
      <c r="V149" s="187">
        <f t="shared" ca="1" si="810"/>
        <v>0</v>
      </c>
      <c r="W149" s="187">
        <f t="shared" ca="1" si="810"/>
        <v>0</v>
      </c>
      <c r="X149" s="187">
        <f t="shared" ca="1" si="810"/>
        <v>0</v>
      </c>
      <c r="Y149" s="187">
        <f t="shared" ca="1" si="810"/>
        <v>0</v>
      </c>
      <c r="Z149" s="187">
        <f t="shared" ca="1" si="810"/>
        <v>0</v>
      </c>
      <c r="AA149" s="187">
        <f t="shared" ca="1" si="810"/>
        <v>0</v>
      </c>
      <c r="AB149" s="187">
        <f t="shared" ca="1" si="810"/>
        <v>0</v>
      </c>
      <c r="AC149" s="187">
        <f t="shared" ca="1" si="810"/>
        <v>0</v>
      </c>
      <c r="AD149" s="187">
        <f t="shared" ca="1" si="810"/>
        <v>0</v>
      </c>
      <c r="AE149" s="187">
        <f t="shared" ca="1" si="810"/>
        <v>0</v>
      </c>
      <c r="AF149" s="187">
        <f t="shared" ca="1" si="810"/>
        <v>0</v>
      </c>
      <c r="AG149" s="187">
        <f t="shared" ca="1" si="810"/>
        <v>0</v>
      </c>
      <c r="AH149" s="187">
        <f t="shared" ca="1" si="810"/>
        <v>0</v>
      </c>
      <c r="AI149" s="187">
        <f t="shared" ca="1" si="810"/>
        <v>0</v>
      </c>
      <c r="AJ149" s="187">
        <f t="shared" ca="1" si="810"/>
        <v>0</v>
      </c>
      <c r="AK149" s="187">
        <f t="shared" ca="1" si="810"/>
        <v>0</v>
      </c>
      <c r="AL149" s="187">
        <f t="shared" ca="1" si="810"/>
        <v>0</v>
      </c>
      <c r="AM149" s="187">
        <f t="shared" ca="1" si="810"/>
        <v>0</v>
      </c>
      <c r="AN149" s="187">
        <f t="shared" ca="1" si="810"/>
        <v>0</v>
      </c>
      <c r="AO149" s="187">
        <f t="shared" ca="1" si="810"/>
        <v>0</v>
      </c>
      <c r="AP149" s="187">
        <f t="shared" ref="AP149:BU149" ca="1" si="811" xml:space="preserve"> -1 * AP148</f>
        <v>0</v>
      </c>
      <c r="AQ149" s="187">
        <f t="shared" ca="1" si="811"/>
        <v>0</v>
      </c>
      <c r="AR149" s="187">
        <f t="shared" ca="1" si="811"/>
        <v>0</v>
      </c>
      <c r="AS149" s="187">
        <f t="shared" ca="1" si="811"/>
        <v>0</v>
      </c>
      <c r="AT149" s="187">
        <f t="shared" ca="1" si="811"/>
        <v>0</v>
      </c>
      <c r="AU149" s="187">
        <f t="shared" ca="1" si="811"/>
        <v>0</v>
      </c>
      <c r="AV149" s="187">
        <f t="shared" ca="1" si="811"/>
        <v>0</v>
      </c>
      <c r="AW149" s="187">
        <f t="shared" ca="1" si="811"/>
        <v>0</v>
      </c>
      <c r="AX149" s="187">
        <f t="shared" ca="1" si="811"/>
        <v>0</v>
      </c>
      <c r="AY149" s="187">
        <f t="shared" ca="1" si="811"/>
        <v>0</v>
      </c>
      <c r="AZ149" s="187">
        <f t="shared" ca="1" si="811"/>
        <v>0</v>
      </c>
      <c r="BA149" s="187">
        <f t="shared" ca="1" si="811"/>
        <v>0</v>
      </c>
      <c r="BB149" s="187">
        <f t="shared" ca="1" si="811"/>
        <v>0</v>
      </c>
      <c r="BC149" s="187">
        <f t="shared" ca="1" si="811"/>
        <v>0</v>
      </c>
      <c r="BD149" s="187">
        <f t="shared" ca="1" si="811"/>
        <v>0</v>
      </c>
      <c r="BE149" s="187">
        <f t="shared" ca="1" si="811"/>
        <v>0</v>
      </c>
      <c r="BF149" s="187">
        <f t="shared" ca="1" si="811"/>
        <v>0</v>
      </c>
      <c r="BG149" s="187">
        <f t="shared" ca="1" si="811"/>
        <v>0</v>
      </c>
      <c r="BH149" s="187">
        <f t="shared" ca="1" si="811"/>
        <v>0</v>
      </c>
      <c r="BI149" s="187">
        <f t="shared" ca="1" si="811"/>
        <v>0</v>
      </c>
      <c r="BJ149" s="187">
        <f t="shared" ca="1" si="811"/>
        <v>0</v>
      </c>
      <c r="BK149" s="187">
        <f t="shared" ca="1" si="811"/>
        <v>0</v>
      </c>
      <c r="BL149" s="187">
        <f t="shared" ca="1" si="811"/>
        <v>0</v>
      </c>
      <c r="BM149" s="187">
        <f t="shared" ca="1" si="811"/>
        <v>0</v>
      </c>
      <c r="BN149" s="187">
        <f t="shared" ca="1" si="811"/>
        <v>0</v>
      </c>
      <c r="BO149" s="187">
        <f t="shared" ca="1" si="811"/>
        <v>0</v>
      </c>
      <c r="BP149" s="187">
        <f t="shared" ca="1" si="811"/>
        <v>0</v>
      </c>
      <c r="BQ149" s="187">
        <f t="shared" ca="1" si="811"/>
        <v>0</v>
      </c>
      <c r="BR149" s="187">
        <f t="shared" ca="1" si="811"/>
        <v>0</v>
      </c>
      <c r="BS149" s="187">
        <f t="shared" ca="1" si="811"/>
        <v>0</v>
      </c>
      <c r="BT149" s="187">
        <f t="shared" ca="1" si="811"/>
        <v>0</v>
      </c>
      <c r="BU149" s="187">
        <f t="shared" ca="1" si="811"/>
        <v>0</v>
      </c>
      <c r="BV149" s="187">
        <f t="shared" ref="BV149:CV149" ca="1" si="812" xml:space="preserve"> -1 * BV148</f>
        <v>0</v>
      </c>
      <c r="BW149" s="187">
        <f t="shared" ca="1" si="812"/>
        <v>0</v>
      </c>
      <c r="BX149" s="187">
        <f t="shared" ca="1" si="812"/>
        <v>0</v>
      </c>
      <c r="BY149" s="187">
        <f t="shared" ca="1" si="812"/>
        <v>0</v>
      </c>
      <c r="BZ149" s="187">
        <f t="shared" ca="1" si="812"/>
        <v>0</v>
      </c>
      <c r="CA149" s="187">
        <f t="shared" ca="1" si="812"/>
        <v>0</v>
      </c>
      <c r="CB149" s="187">
        <f t="shared" ca="1" si="812"/>
        <v>0</v>
      </c>
      <c r="CC149" s="187">
        <f t="shared" ca="1" si="812"/>
        <v>0</v>
      </c>
      <c r="CD149" s="187">
        <f t="shared" ca="1" si="812"/>
        <v>0</v>
      </c>
      <c r="CE149" s="187">
        <f t="shared" ca="1" si="812"/>
        <v>0</v>
      </c>
      <c r="CF149" s="187">
        <f t="shared" ca="1" si="812"/>
        <v>0</v>
      </c>
      <c r="CG149" s="187">
        <f t="shared" ca="1" si="812"/>
        <v>0</v>
      </c>
      <c r="CH149" s="187">
        <f t="shared" ca="1" si="812"/>
        <v>0</v>
      </c>
      <c r="CI149" s="187">
        <f t="shared" ca="1" si="812"/>
        <v>0</v>
      </c>
      <c r="CJ149" s="187">
        <f t="shared" ca="1" si="812"/>
        <v>0</v>
      </c>
      <c r="CK149" s="187">
        <f t="shared" ca="1" si="812"/>
        <v>0</v>
      </c>
      <c r="CL149" s="187">
        <f t="shared" ca="1" si="812"/>
        <v>0</v>
      </c>
      <c r="CM149" s="187">
        <f t="shared" ca="1" si="812"/>
        <v>0</v>
      </c>
      <c r="CN149" s="187">
        <f t="shared" ca="1" si="812"/>
        <v>0</v>
      </c>
      <c r="CO149" s="187">
        <f t="shared" ca="1" si="812"/>
        <v>0</v>
      </c>
      <c r="CP149" s="187">
        <f t="shared" ca="1" si="812"/>
        <v>0</v>
      </c>
      <c r="CQ149" s="187">
        <f t="shared" ca="1" si="812"/>
        <v>0</v>
      </c>
      <c r="CR149" s="187">
        <f t="shared" ca="1" si="812"/>
        <v>0</v>
      </c>
      <c r="CS149" s="187">
        <f t="shared" ca="1" si="812"/>
        <v>0</v>
      </c>
      <c r="CT149" s="187">
        <f t="shared" ca="1" si="812"/>
        <v>0</v>
      </c>
      <c r="CU149" s="187">
        <f t="shared" ca="1" si="812"/>
        <v>0</v>
      </c>
      <c r="CV149" s="187">
        <f t="shared" ca="1" si="812"/>
        <v>0</v>
      </c>
    </row>
    <row r="150" spans="1:100" outlineLevel="1" x14ac:dyDescent="0.2"/>
    <row r="151" spans="1:100" x14ac:dyDescent="0.2"/>
    <row r="152" spans="1:100" x14ac:dyDescent="0.2">
      <c r="A152" s="15" t="s">
        <v>62</v>
      </c>
    </row>
  </sheetData>
  <conditionalFormatting sqref="J3:CV3">
    <cfRule type="cellIs" dxfId="72" priority="8" stopIfTrue="1" operator="equal">
      <formula>"Construction"</formula>
    </cfRule>
    <cfRule type="cellIs" dxfId="71" priority="9" stopIfTrue="1" operator="equal">
      <formula>"Operations"</formula>
    </cfRule>
  </conditionalFormatting>
  <conditionalFormatting sqref="J3:CV3">
    <cfRule type="cellIs" dxfId="70" priority="7" operator="equal">
      <formula>"Fin Close"</formula>
    </cfRule>
  </conditionalFormatting>
  <conditionalFormatting sqref="J3:CV3">
    <cfRule type="cellIs" dxfId="69" priority="5" operator="equal">
      <formula>"PPA ext."</formula>
    </cfRule>
    <cfRule type="cellIs" dxfId="68" priority="6" operator="equal">
      <formula>"Delay"</formula>
    </cfRule>
  </conditionalFormatting>
  <conditionalFormatting sqref="F2:F4">
    <cfRule type="cellIs" dxfId="67" priority="1" stopIfTrue="1" operator="notEqual">
      <formula>0</formula>
    </cfRule>
    <cfRule type="cellIs" dxfId="66" priority="2" stopIfTrue="1" operator="equal">
      <formula>""</formula>
    </cfRule>
  </conditionalFormatting>
  <conditionalFormatting sqref="F2:F4">
    <cfRule type="cellIs" dxfId="65" priority="3" stopIfTrue="1" operator="notEqual">
      <formula>0</formula>
    </cfRule>
    <cfRule type="cellIs" dxfId="6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173"/>
  <sheetViews>
    <sheetView defaultGridColor="0" colorId="8" zoomScale="85" zoomScaleNormal="85" workbookViewId="0">
      <pane xSplit="9" ySplit="5" topLeftCell="J139" activePane="bottomRight" state="frozen"/>
      <selection activeCell="F117" sqref="F117"/>
      <selection pane="topRight" activeCell="F117" sqref="F117"/>
      <selection pane="bottomLeft" activeCell="F117" sqref="F117"/>
      <selection pane="bottomRight" activeCell="N111" sqref="N111"/>
    </sheetView>
  </sheetViews>
  <sheetFormatPr defaultColWidth="0" defaultRowHeight="12.75" outlineLevelRow="2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Tax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8" spans="1:100" x14ac:dyDescent="0.2">
      <c r="A8" s="15" t="s">
        <v>1302</v>
      </c>
    </row>
    <row r="9" spans="1:100" outlineLevel="1" x14ac:dyDescent="0.2">
      <c r="E9" s="145" t="str">
        <f xml:space="preserve"> InpC!E$403</f>
        <v>Tax depreciation rate</v>
      </c>
      <c r="F9" s="316">
        <f xml:space="preserve"> InpC!F$403</f>
        <v>0.1</v>
      </c>
      <c r="G9" s="145" t="str">
        <f xml:space="preserve"> InpC!G$403</f>
        <v>%</v>
      </c>
      <c r="H9" s="38"/>
    </row>
    <row r="10" spans="1:100" outlineLevel="1" x14ac:dyDescent="0.2">
      <c r="E10" s="12" t="str">
        <f t="shared" ref="E10:AJ10" si="0" xml:space="preserve"> E$21</f>
        <v>Asset value for tax balance BEG</v>
      </c>
      <c r="F10" s="12">
        <f t="shared" si="0"/>
        <v>0</v>
      </c>
      <c r="G10" s="12" t="str">
        <f t="shared" si="0"/>
        <v>$ 000s</v>
      </c>
      <c r="H10" s="12">
        <f t="shared" si="0"/>
        <v>0</v>
      </c>
      <c r="I10" s="12">
        <f t="shared" si="0"/>
        <v>0</v>
      </c>
      <c r="J10" s="12">
        <f xml:space="preserve"> J$21</f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319727.85774203954</v>
      </c>
      <c r="P10" s="12">
        <f t="shared" si="0"/>
        <v>287755.0719678356</v>
      </c>
      <c r="Q10" s="12">
        <f t="shared" si="0"/>
        <v>258979.56477105204</v>
      </c>
      <c r="R10" s="12">
        <f t="shared" si="0"/>
        <v>233081.60829394683</v>
      </c>
      <c r="S10" s="12">
        <f t="shared" si="0"/>
        <v>209773.44746455215</v>
      </c>
      <c r="T10" s="12">
        <f t="shared" si="0"/>
        <v>188796.10271809692</v>
      </c>
      <c r="U10" s="12">
        <f t="shared" si="0"/>
        <v>169916.49244628724</v>
      </c>
      <c r="V10" s="12">
        <f t="shared" si="0"/>
        <v>152924.84320165851</v>
      </c>
      <c r="W10" s="12">
        <f t="shared" si="0"/>
        <v>137632.35888149266</v>
      </c>
      <c r="X10" s="12">
        <f t="shared" si="0"/>
        <v>123869.12299334339</v>
      </c>
      <c r="Y10" s="12">
        <f t="shared" si="0"/>
        <v>111482.21069400906</v>
      </c>
      <c r="Z10" s="12">
        <f t="shared" si="0"/>
        <v>100333.98962460815</v>
      </c>
      <c r="AA10" s="12">
        <f t="shared" si="0"/>
        <v>90300.590662147326</v>
      </c>
      <c r="AB10" s="12">
        <f t="shared" si="0"/>
        <v>81270.531595932596</v>
      </c>
      <c r="AC10" s="12">
        <f t="shared" si="0"/>
        <v>73143.478436339341</v>
      </c>
      <c r="AD10" s="12">
        <f t="shared" si="0"/>
        <v>65829.130592705405</v>
      </c>
      <c r="AE10" s="12">
        <f t="shared" si="0"/>
        <v>59246.217533434865</v>
      </c>
      <c r="AF10" s="12">
        <f t="shared" si="0"/>
        <v>53321.595780091375</v>
      </c>
      <c r="AG10" s="12">
        <f t="shared" si="0"/>
        <v>47989.436202082237</v>
      </c>
      <c r="AH10" s="12">
        <f t="shared" si="0"/>
        <v>43190.492581874016</v>
      </c>
      <c r="AI10" s="12">
        <f t="shared" si="0"/>
        <v>38871.443323686617</v>
      </c>
      <c r="AJ10" s="12">
        <f t="shared" si="0"/>
        <v>34984.298991317955</v>
      </c>
      <c r="AK10" s="12">
        <f t="shared" ref="AK10:BP10" si="1" xml:space="preserve"> AK$21</f>
        <v>31485.86909218616</v>
      </c>
      <c r="AL10" s="12">
        <f t="shared" si="1"/>
        <v>28337.282182967545</v>
      </c>
      <c r="AM10" s="12">
        <f t="shared" si="1"/>
        <v>25503.553964670791</v>
      </c>
      <c r="AN10" s="12">
        <f t="shared" si="1"/>
        <v>22953.198568203712</v>
      </c>
      <c r="AO10" s="12">
        <f t="shared" si="1"/>
        <v>20657.878711383342</v>
      </c>
      <c r="AP10" s="12">
        <f t="shared" si="1"/>
        <v>18592.090840245008</v>
      </c>
      <c r="AQ10" s="12">
        <f t="shared" si="1"/>
        <v>16732.881756220508</v>
      </c>
      <c r="AR10" s="12">
        <f t="shared" si="1"/>
        <v>15059.593580598457</v>
      </c>
      <c r="AS10" s="12">
        <f t="shared" si="1"/>
        <v>13553.634222538611</v>
      </c>
      <c r="AT10" s="12">
        <f t="shared" si="1"/>
        <v>12198.27080028475</v>
      </c>
      <c r="AU10" s="12">
        <f t="shared" si="1"/>
        <v>10978.443720256275</v>
      </c>
      <c r="AV10" s="12">
        <f t="shared" si="1"/>
        <v>9880.5993482306476</v>
      </c>
      <c r="AW10" s="12">
        <f t="shared" si="1"/>
        <v>8892.5394134075832</v>
      </c>
      <c r="AX10" s="12">
        <f t="shared" si="1"/>
        <v>8003.2854720668247</v>
      </c>
      <c r="AY10" s="12">
        <f t="shared" si="1"/>
        <v>7202.956924860142</v>
      </c>
      <c r="AZ10" s="12">
        <f t="shared" si="1"/>
        <v>6482.6612323741274</v>
      </c>
      <c r="BA10" s="12">
        <f t="shared" si="1"/>
        <v>5834.3951091367144</v>
      </c>
      <c r="BB10" s="12">
        <f t="shared" si="1"/>
        <v>5250.9555982230431</v>
      </c>
      <c r="BC10" s="12">
        <f t="shared" si="1"/>
        <v>0</v>
      </c>
      <c r="BD10" s="12">
        <f t="shared" si="1"/>
        <v>0</v>
      </c>
      <c r="BE10" s="12">
        <f t="shared" si="1"/>
        <v>0</v>
      </c>
      <c r="BF10" s="12">
        <f t="shared" si="1"/>
        <v>0</v>
      </c>
      <c r="BG10" s="12">
        <f t="shared" si="1"/>
        <v>0</v>
      </c>
      <c r="BH10" s="12">
        <f t="shared" si="1"/>
        <v>0</v>
      </c>
      <c r="BI10" s="12">
        <f t="shared" si="1"/>
        <v>0</v>
      </c>
      <c r="BJ10" s="12">
        <f t="shared" si="1"/>
        <v>0</v>
      </c>
      <c r="BK10" s="12">
        <f t="shared" si="1"/>
        <v>0</v>
      </c>
      <c r="BL10" s="12">
        <f t="shared" si="1"/>
        <v>0</v>
      </c>
      <c r="BM10" s="12">
        <f t="shared" si="1"/>
        <v>0</v>
      </c>
      <c r="BN10" s="12">
        <f t="shared" si="1"/>
        <v>0</v>
      </c>
      <c r="BO10" s="12">
        <f t="shared" si="1"/>
        <v>0</v>
      </c>
      <c r="BP10" s="12">
        <f t="shared" si="1"/>
        <v>0</v>
      </c>
      <c r="BQ10" s="12">
        <f t="shared" ref="BQ10:CV10" si="2" xml:space="preserve"> BQ$21</f>
        <v>0</v>
      </c>
      <c r="BR10" s="12">
        <f t="shared" si="2"/>
        <v>0</v>
      </c>
      <c r="BS10" s="12">
        <f t="shared" si="2"/>
        <v>0</v>
      </c>
      <c r="BT10" s="12">
        <f t="shared" si="2"/>
        <v>0</v>
      </c>
      <c r="BU10" s="12">
        <f t="shared" si="2"/>
        <v>0</v>
      </c>
      <c r="BV10" s="12">
        <f t="shared" si="2"/>
        <v>0</v>
      </c>
      <c r="BW10" s="12">
        <f t="shared" si="2"/>
        <v>0</v>
      </c>
      <c r="BX10" s="12">
        <f t="shared" si="2"/>
        <v>0</v>
      </c>
      <c r="BY10" s="12">
        <f t="shared" si="2"/>
        <v>0</v>
      </c>
      <c r="BZ10" s="12">
        <f t="shared" si="2"/>
        <v>0</v>
      </c>
      <c r="CA10" s="12">
        <f t="shared" si="2"/>
        <v>0</v>
      </c>
      <c r="CB10" s="12">
        <f t="shared" si="2"/>
        <v>0</v>
      </c>
      <c r="CC10" s="12">
        <f t="shared" si="2"/>
        <v>0</v>
      </c>
      <c r="CD10" s="12">
        <f t="shared" si="2"/>
        <v>0</v>
      </c>
      <c r="CE10" s="12">
        <f t="shared" si="2"/>
        <v>0</v>
      </c>
      <c r="CF10" s="12">
        <f t="shared" si="2"/>
        <v>0</v>
      </c>
      <c r="CG10" s="12">
        <f t="shared" si="2"/>
        <v>0</v>
      </c>
      <c r="CH10" s="12">
        <f t="shared" si="2"/>
        <v>0</v>
      </c>
      <c r="CI10" s="12">
        <f t="shared" si="2"/>
        <v>0</v>
      </c>
      <c r="CJ10" s="12">
        <f t="shared" si="2"/>
        <v>0</v>
      </c>
      <c r="CK10" s="12">
        <f t="shared" si="2"/>
        <v>0</v>
      </c>
      <c r="CL10" s="12">
        <f t="shared" si="2"/>
        <v>0</v>
      </c>
      <c r="CM10" s="12">
        <f t="shared" si="2"/>
        <v>0</v>
      </c>
      <c r="CN10" s="12">
        <f t="shared" si="2"/>
        <v>0</v>
      </c>
      <c r="CO10" s="12">
        <f t="shared" si="2"/>
        <v>0</v>
      </c>
      <c r="CP10" s="12">
        <f t="shared" si="2"/>
        <v>0</v>
      </c>
      <c r="CQ10" s="12">
        <f t="shared" si="2"/>
        <v>0</v>
      </c>
      <c r="CR10" s="12">
        <f t="shared" si="2"/>
        <v>0</v>
      </c>
      <c r="CS10" s="12">
        <f t="shared" si="2"/>
        <v>0</v>
      </c>
      <c r="CT10" s="12">
        <f t="shared" si="2"/>
        <v>0</v>
      </c>
      <c r="CU10" s="12">
        <f t="shared" si="2"/>
        <v>0</v>
      </c>
      <c r="CV10" s="12">
        <f t="shared" si="2"/>
        <v>0</v>
      </c>
    </row>
    <row r="11" spans="1:100" outlineLevel="1" x14ac:dyDescent="0.2">
      <c r="E11" s="189" t="str">
        <f xml:space="preserve"> Time!E$101</f>
        <v xml:space="preserve">Last operating period flag </v>
      </c>
      <c r="F11" s="189">
        <f xml:space="preserve"> Time!F$101</f>
        <v>0</v>
      </c>
      <c r="G11" s="189" t="str">
        <f xml:space="preserve"> Time!G$101</f>
        <v>flag</v>
      </c>
      <c r="H11" s="189">
        <f xml:space="preserve"> Time!H$101</f>
        <v>1</v>
      </c>
      <c r="I11" s="189">
        <f xml:space="preserve"> Time!I$101</f>
        <v>0</v>
      </c>
      <c r="J11" s="189">
        <f xml:space="preserve"> Time!J$101</f>
        <v>0</v>
      </c>
      <c r="K11" s="189">
        <f xml:space="preserve"> Time!K$101</f>
        <v>0</v>
      </c>
      <c r="L11" s="189">
        <f xml:space="preserve"> Time!L$101</f>
        <v>0</v>
      </c>
      <c r="M11" s="189">
        <f xml:space="preserve"> Time!M$101</f>
        <v>0</v>
      </c>
      <c r="N11" s="189">
        <f xml:space="preserve"> Time!N$101</f>
        <v>0</v>
      </c>
      <c r="O11" s="189">
        <f xml:space="preserve"> Time!O$101</f>
        <v>0</v>
      </c>
      <c r="P11" s="189">
        <f xml:space="preserve"> Time!P$101</f>
        <v>0</v>
      </c>
      <c r="Q11" s="189">
        <f xml:space="preserve"> Time!Q$101</f>
        <v>0</v>
      </c>
      <c r="R11" s="189">
        <f xml:space="preserve"> Time!R$101</f>
        <v>0</v>
      </c>
      <c r="S11" s="189">
        <f xml:space="preserve"> Time!S$101</f>
        <v>0</v>
      </c>
      <c r="T11" s="189">
        <f xml:space="preserve"> Time!T$101</f>
        <v>0</v>
      </c>
      <c r="U11" s="189">
        <f xml:space="preserve"> Time!U$101</f>
        <v>0</v>
      </c>
      <c r="V11" s="189">
        <f xml:space="preserve"> Time!V$101</f>
        <v>0</v>
      </c>
      <c r="W11" s="189">
        <f xml:space="preserve"> Time!W$101</f>
        <v>0</v>
      </c>
      <c r="X11" s="189">
        <f xml:space="preserve"> Time!X$101</f>
        <v>0</v>
      </c>
      <c r="Y11" s="189">
        <f xml:space="preserve"> Time!Y$101</f>
        <v>0</v>
      </c>
      <c r="Z11" s="189">
        <f xml:space="preserve"> Time!Z$101</f>
        <v>0</v>
      </c>
      <c r="AA11" s="189">
        <f xml:space="preserve"> Time!AA$101</f>
        <v>0</v>
      </c>
      <c r="AB11" s="189">
        <f xml:space="preserve"> Time!AB$101</f>
        <v>0</v>
      </c>
      <c r="AC11" s="189">
        <f xml:space="preserve"> Time!AC$101</f>
        <v>0</v>
      </c>
      <c r="AD11" s="189">
        <f xml:space="preserve"> Time!AD$101</f>
        <v>0</v>
      </c>
      <c r="AE11" s="189">
        <f xml:space="preserve"> Time!AE$101</f>
        <v>0</v>
      </c>
      <c r="AF11" s="189">
        <f xml:space="preserve"> Time!AF$101</f>
        <v>0</v>
      </c>
      <c r="AG11" s="189">
        <f xml:space="preserve"> Time!AG$101</f>
        <v>0</v>
      </c>
      <c r="AH11" s="189">
        <f xml:space="preserve"> Time!AH$101</f>
        <v>0</v>
      </c>
      <c r="AI11" s="189">
        <f xml:space="preserve"> Time!AI$101</f>
        <v>0</v>
      </c>
      <c r="AJ11" s="189">
        <f xml:space="preserve"> Time!AJ$101</f>
        <v>0</v>
      </c>
      <c r="AK11" s="189">
        <f xml:space="preserve"> Time!AK$101</f>
        <v>0</v>
      </c>
      <c r="AL11" s="189">
        <f xml:space="preserve"> Time!AL$101</f>
        <v>0</v>
      </c>
      <c r="AM11" s="189">
        <f xml:space="preserve"> Time!AM$101</f>
        <v>0</v>
      </c>
      <c r="AN11" s="189">
        <f xml:space="preserve"> Time!AN$101</f>
        <v>0</v>
      </c>
      <c r="AO11" s="189">
        <f xml:space="preserve"> Time!AO$101</f>
        <v>0</v>
      </c>
      <c r="AP11" s="189">
        <f xml:space="preserve"> Time!AP$101</f>
        <v>0</v>
      </c>
      <c r="AQ11" s="189">
        <f xml:space="preserve"> Time!AQ$101</f>
        <v>0</v>
      </c>
      <c r="AR11" s="189">
        <f xml:space="preserve"> Time!AR$101</f>
        <v>0</v>
      </c>
      <c r="AS11" s="189">
        <f xml:space="preserve"> Time!AS$101</f>
        <v>0</v>
      </c>
      <c r="AT11" s="189">
        <f xml:space="preserve"> Time!AT$101</f>
        <v>0</v>
      </c>
      <c r="AU11" s="189">
        <f xml:space="preserve"> Time!AU$101</f>
        <v>0</v>
      </c>
      <c r="AV11" s="189">
        <f xml:space="preserve"> Time!AV$101</f>
        <v>0</v>
      </c>
      <c r="AW11" s="189">
        <f xml:space="preserve"> Time!AW$101</f>
        <v>0</v>
      </c>
      <c r="AX11" s="189">
        <f xml:space="preserve"> Time!AX$101</f>
        <v>0</v>
      </c>
      <c r="AY11" s="189">
        <f xml:space="preserve"> Time!AY$101</f>
        <v>0</v>
      </c>
      <c r="AZ11" s="189">
        <f xml:space="preserve"> Time!AZ$101</f>
        <v>0</v>
      </c>
      <c r="BA11" s="189">
        <f xml:space="preserve"> Time!BA$101</f>
        <v>0</v>
      </c>
      <c r="BB11" s="189">
        <f xml:space="preserve"> Time!BB$101</f>
        <v>1</v>
      </c>
      <c r="BC11" s="189">
        <f xml:space="preserve"> Time!BC$101</f>
        <v>0</v>
      </c>
      <c r="BD11" s="189">
        <f xml:space="preserve"> Time!BD$101</f>
        <v>0</v>
      </c>
      <c r="BE11" s="189">
        <f xml:space="preserve"> Time!BE$101</f>
        <v>0</v>
      </c>
      <c r="BF11" s="189">
        <f xml:space="preserve"> Time!BF$101</f>
        <v>0</v>
      </c>
      <c r="BG11" s="189">
        <f xml:space="preserve"> Time!BG$101</f>
        <v>0</v>
      </c>
      <c r="BH11" s="189">
        <f xml:space="preserve"> Time!BH$101</f>
        <v>0</v>
      </c>
      <c r="BI11" s="189">
        <f xml:space="preserve"> Time!BI$101</f>
        <v>0</v>
      </c>
      <c r="BJ11" s="189">
        <f xml:space="preserve"> Time!BJ$101</f>
        <v>0</v>
      </c>
      <c r="BK11" s="189">
        <f xml:space="preserve"> Time!BK$101</f>
        <v>0</v>
      </c>
      <c r="BL11" s="189">
        <f xml:space="preserve"> Time!BL$101</f>
        <v>0</v>
      </c>
      <c r="BM11" s="189">
        <f xml:space="preserve"> Time!BM$101</f>
        <v>0</v>
      </c>
      <c r="BN11" s="189">
        <f xml:space="preserve"> Time!BN$101</f>
        <v>0</v>
      </c>
      <c r="BO11" s="189">
        <f xml:space="preserve"> Time!BO$101</f>
        <v>0</v>
      </c>
      <c r="BP11" s="189">
        <f xml:space="preserve"> Time!BP$101</f>
        <v>0</v>
      </c>
      <c r="BQ11" s="189">
        <f xml:space="preserve"> Time!BQ$101</f>
        <v>0</v>
      </c>
      <c r="BR11" s="189">
        <f xml:space="preserve"> Time!BR$101</f>
        <v>0</v>
      </c>
      <c r="BS11" s="189">
        <f xml:space="preserve"> Time!BS$101</f>
        <v>0</v>
      </c>
      <c r="BT11" s="189">
        <f xml:space="preserve"> Time!BT$101</f>
        <v>0</v>
      </c>
      <c r="BU11" s="189">
        <f xml:space="preserve"> Time!BU$101</f>
        <v>0</v>
      </c>
      <c r="BV11" s="189">
        <f xml:space="preserve"> Time!BV$101</f>
        <v>0</v>
      </c>
      <c r="BW11" s="189">
        <f xml:space="preserve"> Time!BW$101</f>
        <v>0</v>
      </c>
      <c r="BX11" s="189">
        <f xml:space="preserve"> Time!BX$101</f>
        <v>0</v>
      </c>
      <c r="BY11" s="189">
        <f xml:space="preserve"> Time!BY$101</f>
        <v>0</v>
      </c>
      <c r="BZ11" s="189">
        <f xml:space="preserve"> Time!BZ$101</f>
        <v>0</v>
      </c>
      <c r="CA11" s="189">
        <f xml:space="preserve"> Time!CA$101</f>
        <v>0</v>
      </c>
      <c r="CB11" s="189">
        <f xml:space="preserve"> Time!CB$101</f>
        <v>0</v>
      </c>
      <c r="CC11" s="189">
        <f xml:space="preserve"> Time!CC$101</f>
        <v>0</v>
      </c>
      <c r="CD11" s="189">
        <f xml:space="preserve"> Time!CD$101</f>
        <v>0</v>
      </c>
      <c r="CE11" s="189">
        <f xml:space="preserve"> Time!CE$101</f>
        <v>0</v>
      </c>
      <c r="CF11" s="189">
        <f xml:space="preserve"> Time!CF$101</f>
        <v>0</v>
      </c>
      <c r="CG11" s="189">
        <f xml:space="preserve"> Time!CG$101</f>
        <v>0</v>
      </c>
      <c r="CH11" s="189">
        <f xml:space="preserve"> Time!CH$101</f>
        <v>0</v>
      </c>
      <c r="CI11" s="189">
        <f xml:space="preserve"> Time!CI$101</f>
        <v>0</v>
      </c>
      <c r="CJ11" s="189">
        <f xml:space="preserve"> Time!CJ$101</f>
        <v>0</v>
      </c>
      <c r="CK11" s="189">
        <f xml:space="preserve"> Time!CK$101</f>
        <v>0</v>
      </c>
      <c r="CL11" s="189">
        <f xml:space="preserve"> Time!CL$101</f>
        <v>0</v>
      </c>
      <c r="CM11" s="189">
        <f xml:space="preserve"> Time!CM$101</f>
        <v>0</v>
      </c>
      <c r="CN11" s="189">
        <f xml:space="preserve"> Time!CN$101</f>
        <v>0</v>
      </c>
      <c r="CO11" s="189">
        <f xml:space="preserve"> Time!CO$101</f>
        <v>0</v>
      </c>
      <c r="CP11" s="189">
        <f xml:space="preserve"> Time!CP$101</f>
        <v>0</v>
      </c>
      <c r="CQ11" s="189">
        <f xml:space="preserve"> Time!CQ$101</f>
        <v>0</v>
      </c>
      <c r="CR11" s="189">
        <f xml:space="preserve"> Time!CR$101</f>
        <v>0</v>
      </c>
      <c r="CS11" s="189">
        <f xml:space="preserve"> Time!CS$101</f>
        <v>0</v>
      </c>
      <c r="CT11" s="189">
        <f xml:space="preserve"> Time!CT$101</f>
        <v>0</v>
      </c>
      <c r="CU11" s="189">
        <f xml:space="preserve"> Time!CU$101</f>
        <v>0</v>
      </c>
      <c r="CV11" s="189">
        <f xml:space="preserve"> Time!CV$101</f>
        <v>0</v>
      </c>
    </row>
    <row r="12" spans="1:100" outlineLevel="1" x14ac:dyDescent="0.2">
      <c r="E12" s="12" t="s">
        <v>166</v>
      </c>
      <c r="G12" s="12" t="str">
        <f xml:space="preserve"> SMU</f>
        <v>$ 000s</v>
      </c>
      <c r="H12" s="12">
        <f xml:space="preserve"> SUM(J12:CV12)</f>
        <v>319727.85774203978</v>
      </c>
      <c r="J12" s="12">
        <f t="shared" ref="J12:AO12" si="3" xml:space="preserve"> IF( J11 = 1, J10, $F9 * J10)</f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31972.785774203956</v>
      </c>
      <c r="P12" s="12">
        <f t="shared" si="3"/>
        <v>28775.507196783561</v>
      </c>
      <c r="Q12" s="12">
        <f t="shared" si="3"/>
        <v>25897.956477105206</v>
      </c>
      <c r="R12" s="12">
        <f t="shared" si="3"/>
        <v>23308.160829394685</v>
      </c>
      <c r="S12" s="12">
        <f t="shared" si="3"/>
        <v>20977.344746455215</v>
      </c>
      <c r="T12" s="12">
        <f t="shared" si="3"/>
        <v>18879.610271809692</v>
      </c>
      <c r="U12" s="12">
        <f t="shared" si="3"/>
        <v>16991.649244628727</v>
      </c>
      <c r="V12" s="12">
        <f t="shared" si="3"/>
        <v>15292.484320165851</v>
      </c>
      <c r="W12" s="12">
        <f t="shared" si="3"/>
        <v>13763.235888149267</v>
      </c>
      <c r="X12" s="12">
        <f t="shared" si="3"/>
        <v>12386.912299334341</v>
      </c>
      <c r="Y12" s="12">
        <f t="shared" si="3"/>
        <v>11148.221069400906</v>
      </c>
      <c r="Z12" s="12">
        <f t="shared" si="3"/>
        <v>10033.398962460815</v>
      </c>
      <c r="AA12" s="12">
        <f t="shared" si="3"/>
        <v>9030.0590662147333</v>
      </c>
      <c r="AB12" s="12">
        <f t="shared" si="3"/>
        <v>8127.0531595932598</v>
      </c>
      <c r="AC12" s="12">
        <f t="shared" si="3"/>
        <v>7314.3478436339346</v>
      </c>
      <c r="AD12" s="12">
        <f t="shared" si="3"/>
        <v>6582.9130592705405</v>
      </c>
      <c r="AE12" s="12">
        <f t="shared" si="3"/>
        <v>5924.6217533434865</v>
      </c>
      <c r="AF12" s="12">
        <f t="shared" si="3"/>
        <v>5332.1595780091375</v>
      </c>
      <c r="AG12" s="12">
        <f t="shared" si="3"/>
        <v>4798.9436202082243</v>
      </c>
      <c r="AH12" s="12">
        <f t="shared" si="3"/>
        <v>4319.0492581874014</v>
      </c>
      <c r="AI12" s="12">
        <f t="shared" si="3"/>
        <v>3887.1443323686617</v>
      </c>
      <c r="AJ12" s="12">
        <f t="shared" si="3"/>
        <v>3498.4298991317955</v>
      </c>
      <c r="AK12" s="12">
        <f t="shared" si="3"/>
        <v>3148.5869092186163</v>
      </c>
      <c r="AL12" s="12">
        <f t="shared" si="3"/>
        <v>2833.7282182967547</v>
      </c>
      <c r="AM12" s="12">
        <f t="shared" si="3"/>
        <v>2550.3553964670791</v>
      </c>
      <c r="AN12" s="12">
        <f t="shared" si="3"/>
        <v>2295.3198568203711</v>
      </c>
      <c r="AO12" s="12">
        <f t="shared" si="3"/>
        <v>2065.7878711383341</v>
      </c>
      <c r="AP12" s="12">
        <f t="shared" ref="AP12:BU12" si="4" xml:space="preserve"> IF( AP11 = 1, AP10, $F9 * AP10)</f>
        <v>1859.209084024501</v>
      </c>
      <c r="AQ12" s="12">
        <f t="shared" si="4"/>
        <v>1673.2881756220509</v>
      </c>
      <c r="AR12" s="12">
        <f t="shared" si="4"/>
        <v>1505.9593580598457</v>
      </c>
      <c r="AS12" s="12">
        <f t="shared" si="4"/>
        <v>1355.3634222538612</v>
      </c>
      <c r="AT12" s="12">
        <f t="shared" si="4"/>
        <v>1219.8270800284752</v>
      </c>
      <c r="AU12" s="12">
        <f t="shared" si="4"/>
        <v>1097.8443720256275</v>
      </c>
      <c r="AV12" s="12">
        <f t="shared" si="4"/>
        <v>988.05993482306485</v>
      </c>
      <c r="AW12" s="12">
        <f t="shared" si="4"/>
        <v>889.25394134075839</v>
      </c>
      <c r="AX12" s="12">
        <f t="shared" si="4"/>
        <v>800.32854720668252</v>
      </c>
      <c r="AY12" s="12">
        <f t="shared" si="4"/>
        <v>720.29569248601422</v>
      </c>
      <c r="AZ12" s="12">
        <f t="shared" si="4"/>
        <v>648.26612323741278</v>
      </c>
      <c r="BA12" s="12">
        <f t="shared" si="4"/>
        <v>583.43951091367148</v>
      </c>
      <c r="BB12" s="12">
        <f t="shared" si="4"/>
        <v>5250.9555982230431</v>
      </c>
      <c r="BC12" s="12">
        <f t="shared" si="4"/>
        <v>0</v>
      </c>
      <c r="BD12" s="12">
        <f t="shared" si="4"/>
        <v>0</v>
      </c>
      <c r="BE12" s="12">
        <f t="shared" si="4"/>
        <v>0</v>
      </c>
      <c r="BF12" s="12">
        <f t="shared" si="4"/>
        <v>0</v>
      </c>
      <c r="BG12" s="12">
        <f t="shared" si="4"/>
        <v>0</v>
      </c>
      <c r="BH12" s="12">
        <f t="shared" si="4"/>
        <v>0</v>
      </c>
      <c r="BI12" s="12">
        <f t="shared" si="4"/>
        <v>0</v>
      </c>
      <c r="BJ12" s="12">
        <f t="shared" si="4"/>
        <v>0</v>
      </c>
      <c r="BK12" s="12">
        <f t="shared" si="4"/>
        <v>0</v>
      </c>
      <c r="BL12" s="12">
        <f t="shared" si="4"/>
        <v>0</v>
      </c>
      <c r="BM12" s="12">
        <f t="shared" si="4"/>
        <v>0</v>
      </c>
      <c r="BN12" s="12">
        <f t="shared" si="4"/>
        <v>0</v>
      </c>
      <c r="BO12" s="12">
        <f t="shared" si="4"/>
        <v>0</v>
      </c>
      <c r="BP12" s="12">
        <f t="shared" si="4"/>
        <v>0</v>
      </c>
      <c r="BQ12" s="12">
        <f t="shared" si="4"/>
        <v>0</v>
      </c>
      <c r="BR12" s="12">
        <f t="shared" si="4"/>
        <v>0</v>
      </c>
      <c r="BS12" s="12">
        <f t="shared" si="4"/>
        <v>0</v>
      </c>
      <c r="BT12" s="12">
        <f t="shared" si="4"/>
        <v>0</v>
      </c>
      <c r="BU12" s="12">
        <f t="shared" si="4"/>
        <v>0</v>
      </c>
      <c r="BV12" s="12">
        <f t="shared" ref="BV12:CV12" si="5" xml:space="preserve"> IF( BV11 = 1, BV10, $F9 * BV10)</f>
        <v>0</v>
      </c>
      <c r="BW12" s="12">
        <f t="shared" si="5"/>
        <v>0</v>
      </c>
      <c r="BX12" s="12">
        <f t="shared" si="5"/>
        <v>0</v>
      </c>
      <c r="BY12" s="12">
        <f t="shared" si="5"/>
        <v>0</v>
      </c>
      <c r="BZ12" s="12">
        <f t="shared" si="5"/>
        <v>0</v>
      </c>
      <c r="CA12" s="12">
        <f t="shared" si="5"/>
        <v>0</v>
      </c>
      <c r="CB12" s="12">
        <f t="shared" si="5"/>
        <v>0</v>
      </c>
      <c r="CC12" s="12">
        <f t="shared" si="5"/>
        <v>0</v>
      </c>
      <c r="CD12" s="12">
        <f t="shared" si="5"/>
        <v>0</v>
      </c>
      <c r="CE12" s="12">
        <f t="shared" si="5"/>
        <v>0</v>
      </c>
      <c r="CF12" s="12">
        <f t="shared" si="5"/>
        <v>0</v>
      </c>
      <c r="CG12" s="12">
        <f t="shared" si="5"/>
        <v>0</v>
      </c>
      <c r="CH12" s="12">
        <f t="shared" si="5"/>
        <v>0</v>
      </c>
      <c r="CI12" s="12">
        <f t="shared" si="5"/>
        <v>0</v>
      </c>
      <c r="CJ12" s="12">
        <f t="shared" si="5"/>
        <v>0</v>
      </c>
      <c r="CK12" s="12">
        <f t="shared" si="5"/>
        <v>0</v>
      </c>
      <c r="CL12" s="12">
        <f t="shared" si="5"/>
        <v>0</v>
      </c>
      <c r="CM12" s="12">
        <f t="shared" si="5"/>
        <v>0</v>
      </c>
      <c r="CN12" s="12">
        <f t="shared" si="5"/>
        <v>0</v>
      </c>
      <c r="CO12" s="12">
        <f t="shared" si="5"/>
        <v>0</v>
      </c>
      <c r="CP12" s="12">
        <f t="shared" si="5"/>
        <v>0</v>
      </c>
      <c r="CQ12" s="12">
        <f t="shared" si="5"/>
        <v>0</v>
      </c>
      <c r="CR12" s="12">
        <f t="shared" si="5"/>
        <v>0</v>
      </c>
      <c r="CS12" s="12">
        <f t="shared" si="5"/>
        <v>0</v>
      </c>
      <c r="CT12" s="12">
        <f t="shared" si="5"/>
        <v>0</v>
      </c>
      <c r="CU12" s="12">
        <f t="shared" si="5"/>
        <v>0</v>
      </c>
      <c r="CV12" s="12">
        <f t="shared" si="5"/>
        <v>0</v>
      </c>
    </row>
    <row r="13" spans="1:100" outlineLevel="1" x14ac:dyDescent="0.2"/>
    <row r="14" spans="1:100" outlineLevel="1" x14ac:dyDescent="0.2">
      <c r="E14" s="145" t="str">
        <f xml:space="preserve"> ConFin!E$602</f>
        <v>Total financing costs incl. rolled up costs - m</v>
      </c>
      <c r="F14" s="145">
        <f xml:space="preserve"> ConFin!F$602</f>
        <v>24335.550022039701</v>
      </c>
      <c r="G14" s="145" t="str">
        <f xml:space="preserve"> ConFin!G$602</f>
        <v>$ 000s</v>
      </c>
      <c r="H14" s="38"/>
    </row>
    <row r="15" spans="1:100" outlineLevel="1" x14ac:dyDescent="0.2">
      <c r="E15" s="145" t="str">
        <f xml:space="preserve"> Acct!E$11</f>
        <v>Depreciable construction costs</v>
      </c>
      <c r="F15" s="145">
        <f xml:space="preserve"> Acct!F$11</f>
        <v>295392.30771999987</v>
      </c>
      <c r="G15" s="145" t="str">
        <f xml:space="preserve"> Acct!G$11</f>
        <v>$ 000s</v>
      </c>
      <c r="H15" s="38"/>
    </row>
    <row r="16" spans="1:100" outlineLevel="1" x14ac:dyDescent="0.2">
      <c r="E16" s="12" t="s">
        <v>306</v>
      </c>
      <c r="F16" s="12">
        <f>SUM(F14:F15)</f>
        <v>319727.85774203954</v>
      </c>
      <c r="G16" s="12" t="str">
        <f xml:space="preserve"> SMU</f>
        <v>$ 000s</v>
      </c>
    </row>
    <row r="17" spans="1:192" outlineLevel="1" x14ac:dyDescent="0.2"/>
    <row r="18" spans="1:192" outlineLevel="1" x14ac:dyDescent="0.2">
      <c r="A18" s="216"/>
      <c r="B18" s="216"/>
      <c r="C18" s="217"/>
      <c r="D18" s="218"/>
      <c r="E18" s="220" t="str">
        <f xml:space="preserve"> E$16</f>
        <v>Construction period asset value for tax</v>
      </c>
      <c r="F18" s="220">
        <f xml:space="preserve"> F$16</f>
        <v>319727.85774203954</v>
      </c>
      <c r="G18" s="220" t="str">
        <f xml:space="preserve"> G$16</f>
        <v>$ 000s</v>
      </c>
      <c r="H18" s="220"/>
      <c r="I18" s="220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  <c r="BR18" s="219"/>
      <c r="BS18" s="219"/>
      <c r="BT18" s="219"/>
      <c r="BU18" s="219"/>
      <c r="BV18" s="219"/>
      <c r="BW18" s="219"/>
      <c r="BX18" s="219"/>
      <c r="BY18" s="219"/>
      <c r="BZ18" s="219"/>
      <c r="CA18" s="219"/>
      <c r="CB18" s="219"/>
      <c r="CC18" s="219"/>
      <c r="CD18" s="219"/>
      <c r="CE18" s="219"/>
      <c r="CF18" s="219"/>
      <c r="CG18" s="219"/>
      <c r="CH18" s="219"/>
      <c r="CI18" s="219"/>
      <c r="CJ18" s="219"/>
      <c r="CK18" s="219"/>
      <c r="CL18" s="219"/>
      <c r="CM18" s="219"/>
      <c r="CN18" s="219"/>
      <c r="CO18" s="219"/>
      <c r="CP18" s="219"/>
      <c r="CQ18" s="219"/>
      <c r="CR18" s="219"/>
      <c r="CS18" s="219"/>
      <c r="CT18" s="219"/>
      <c r="CU18" s="219"/>
      <c r="CV18" s="219"/>
    </row>
    <row r="19" spans="1:192" outlineLevel="1" x14ac:dyDescent="0.2">
      <c r="E19" s="226" t="str">
        <f xml:space="preserve"> Time!E$81</f>
        <v>End of construction period flag</v>
      </c>
      <c r="F19" s="226">
        <f xml:space="preserve"> Time!F$81</f>
        <v>0</v>
      </c>
      <c r="G19" s="226" t="str">
        <f xml:space="preserve"> Time!G$81</f>
        <v>flag</v>
      </c>
      <c r="H19" s="226">
        <f xml:space="preserve"> Time!H$81</f>
        <v>1</v>
      </c>
      <c r="I19" s="226">
        <f xml:space="preserve"> Time!I$81</f>
        <v>0</v>
      </c>
      <c r="J19" s="226">
        <f xml:space="preserve"> Time!J$81</f>
        <v>0</v>
      </c>
      <c r="K19" s="226">
        <f xml:space="preserve"> Time!K$81</f>
        <v>0</v>
      </c>
      <c r="L19" s="226">
        <f xml:space="preserve"> Time!L$81</f>
        <v>0</v>
      </c>
      <c r="M19" s="226">
        <f xml:space="preserve"> Time!M$81</f>
        <v>0</v>
      </c>
      <c r="N19" s="226">
        <f xml:space="preserve"> Time!N$81</f>
        <v>1</v>
      </c>
      <c r="O19" s="226">
        <f xml:space="preserve"> Time!O$81</f>
        <v>0</v>
      </c>
      <c r="P19" s="226">
        <f xml:space="preserve"> Time!P$81</f>
        <v>0</v>
      </c>
      <c r="Q19" s="226">
        <f xml:space="preserve"> Time!Q$81</f>
        <v>0</v>
      </c>
      <c r="R19" s="226">
        <f xml:space="preserve"> Time!R$81</f>
        <v>0</v>
      </c>
      <c r="S19" s="226">
        <f xml:space="preserve"> Time!S$81</f>
        <v>0</v>
      </c>
      <c r="T19" s="226">
        <f xml:space="preserve"> Time!T$81</f>
        <v>0</v>
      </c>
      <c r="U19" s="226">
        <f xml:space="preserve"> Time!U$81</f>
        <v>0</v>
      </c>
      <c r="V19" s="226">
        <f xml:space="preserve"> Time!V$81</f>
        <v>0</v>
      </c>
      <c r="W19" s="226">
        <f xml:space="preserve"> Time!W$81</f>
        <v>0</v>
      </c>
      <c r="X19" s="226">
        <f xml:space="preserve"> Time!X$81</f>
        <v>0</v>
      </c>
      <c r="Y19" s="226">
        <f xml:space="preserve"> Time!Y$81</f>
        <v>0</v>
      </c>
      <c r="Z19" s="226">
        <f xml:space="preserve"> Time!Z$81</f>
        <v>0</v>
      </c>
      <c r="AA19" s="226">
        <f xml:space="preserve"> Time!AA$81</f>
        <v>0</v>
      </c>
      <c r="AB19" s="226">
        <f xml:space="preserve"> Time!AB$81</f>
        <v>0</v>
      </c>
      <c r="AC19" s="226">
        <f xml:space="preserve"> Time!AC$81</f>
        <v>0</v>
      </c>
      <c r="AD19" s="226">
        <f xml:space="preserve"> Time!AD$81</f>
        <v>0</v>
      </c>
      <c r="AE19" s="226">
        <f xml:space="preserve"> Time!AE$81</f>
        <v>0</v>
      </c>
      <c r="AF19" s="226">
        <f xml:space="preserve"> Time!AF$81</f>
        <v>0</v>
      </c>
      <c r="AG19" s="226">
        <f xml:space="preserve"> Time!AG$81</f>
        <v>0</v>
      </c>
      <c r="AH19" s="226">
        <f xml:space="preserve"> Time!AH$81</f>
        <v>0</v>
      </c>
      <c r="AI19" s="226">
        <f xml:space="preserve"> Time!AI$81</f>
        <v>0</v>
      </c>
      <c r="AJ19" s="226">
        <f xml:space="preserve"> Time!AJ$81</f>
        <v>0</v>
      </c>
      <c r="AK19" s="226">
        <f xml:space="preserve"> Time!AK$81</f>
        <v>0</v>
      </c>
      <c r="AL19" s="226">
        <f xml:space="preserve"> Time!AL$81</f>
        <v>0</v>
      </c>
      <c r="AM19" s="226">
        <f xml:space="preserve"> Time!AM$81</f>
        <v>0</v>
      </c>
      <c r="AN19" s="226">
        <f xml:space="preserve"> Time!AN$81</f>
        <v>0</v>
      </c>
      <c r="AO19" s="226">
        <f xml:space="preserve"> Time!AO$81</f>
        <v>0</v>
      </c>
      <c r="AP19" s="226">
        <f xml:space="preserve"> Time!AP$81</f>
        <v>0</v>
      </c>
      <c r="AQ19" s="226">
        <f xml:space="preserve"> Time!AQ$81</f>
        <v>0</v>
      </c>
      <c r="AR19" s="226">
        <f xml:space="preserve"> Time!AR$81</f>
        <v>0</v>
      </c>
      <c r="AS19" s="226">
        <f xml:space="preserve"> Time!AS$81</f>
        <v>0</v>
      </c>
      <c r="AT19" s="226">
        <f xml:space="preserve"> Time!AT$81</f>
        <v>0</v>
      </c>
      <c r="AU19" s="226">
        <f xml:space="preserve"> Time!AU$81</f>
        <v>0</v>
      </c>
      <c r="AV19" s="226">
        <f xml:space="preserve"> Time!AV$81</f>
        <v>0</v>
      </c>
      <c r="AW19" s="226">
        <f xml:space="preserve"> Time!AW$81</f>
        <v>0</v>
      </c>
      <c r="AX19" s="226">
        <f xml:space="preserve"> Time!AX$81</f>
        <v>0</v>
      </c>
      <c r="AY19" s="226">
        <f xml:space="preserve"> Time!AY$81</f>
        <v>0</v>
      </c>
      <c r="AZ19" s="226">
        <f xml:space="preserve"> Time!AZ$81</f>
        <v>0</v>
      </c>
      <c r="BA19" s="226">
        <f xml:space="preserve"> Time!BA$81</f>
        <v>0</v>
      </c>
      <c r="BB19" s="226">
        <f xml:space="preserve"> Time!BB$81</f>
        <v>0</v>
      </c>
      <c r="BC19" s="226">
        <f xml:space="preserve"> Time!BC$81</f>
        <v>0</v>
      </c>
      <c r="BD19" s="226">
        <f xml:space="preserve"> Time!BD$81</f>
        <v>0</v>
      </c>
      <c r="BE19" s="226">
        <f xml:space="preserve"> Time!BE$81</f>
        <v>0</v>
      </c>
      <c r="BF19" s="226">
        <f xml:space="preserve"> Time!BF$81</f>
        <v>0</v>
      </c>
      <c r="BG19" s="226">
        <f xml:space="preserve"> Time!BG$81</f>
        <v>0</v>
      </c>
      <c r="BH19" s="226">
        <f xml:space="preserve"> Time!BH$81</f>
        <v>0</v>
      </c>
      <c r="BI19" s="226">
        <f xml:space="preserve"> Time!BI$81</f>
        <v>0</v>
      </c>
      <c r="BJ19" s="226">
        <f xml:space="preserve"> Time!BJ$81</f>
        <v>0</v>
      </c>
      <c r="BK19" s="226">
        <f xml:space="preserve"> Time!BK$81</f>
        <v>0</v>
      </c>
      <c r="BL19" s="226">
        <f xml:space="preserve"> Time!BL$81</f>
        <v>0</v>
      </c>
      <c r="BM19" s="226">
        <f xml:space="preserve"> Time!BM$81</f>
        <v>0</v>
      </c>
      <c r="BN19" s="226">
        <f xml:space="preserve"> Time!BN$81</f>
        <v>0</v>
      </c>
      <c r="BO19" s="226">
        <f xml:space="preserve"> Time!BO$81</f>
        <v>0</v>
      </c>
      <c r="BP19" s="226">
        <f xml:space="preserve"> Time!BP$81</f>
        <v>0</v>
      </c>
      <c r="BQ19" s="226">
        <f xml:space="preserve"> Time!BQ$81</f>
        <v>0</v>
      </c>
      <c r="BR19" s="226">
        <f xml:space="preserve"> Time!BR$81</f>
        <v>0</v>
      </c>
      <c r="BS19" s="226">
        <f xml:space="preserve"> Time!BS$81</f>
        <v>0</v>
      </c>
      <c r="BT19" s="226">
        <f xml:space="preserve"> Time!BT$81</f>
        <v>0</v>
      </c>
      <c r="BU19" s="226">
        <f xml:space="preserve"> Time!BU$81</f>
        <v>0</v>
      </c>
      <c r="BV19" s="226">
        <f xml:space="preserve"> Time!BV$81</f>
        <v>0</v>
      </c>
      <c r="BW19" s="226">
        <f xml:space="preserve"> Time!BW$81</f>
        <v>0</v>
      </c>
      <c r="BX19" s="226">
        <f xml:space="preserve"> Time!BX$81</f>
        <v>0</v>
      </c>
      <c r="BY19" s="226">
        <f xml:space="preserve"> Time!BY$81</f>
        <v>0</v>
      </c>
      <c r="BZ19" s="226">
        <f xml:space="preserve"> Time!BZ$81</f>
        <v>0</v>
      </c>
      <c r="CA19" s="226">
        <f xml:space="preserve"> Time!CA$81</f>
        <v>0</v>
      </c>
      <c r="CB19" s="226">
        <f xml:space="preserve"> Time!CB$81</f>
        <v>0</v>
      </c>
      <c r="CC19" s="226">
        <f xml:space="preserve"> Time!CC$81</f>
        <v>0</v>
      </c>
      <c r="CD19" s="226">
        <f xml:space="preserve"> Time!CD$81</f>
        <v>0</v>
      </c>
      <c r="CE19" s="226">
        <f xml:space="preserve"> Time!CE$81</f>
        <v>0</v>
      </c>
      <c r="CF19" s="226">
        <f xml:space="preserve"> Time!CF$81</f>
        <v>0</v>
      </c>
      <c r="CG19" s="226">
        <f xml:space="preserve"> Time!CG$81</f>
        <v>0</v>
      </c>
      <c r="CH19" s="226">
        <f xml:space="preserve"> Time!CH$81</f>
        <v>0</v>
      </c>
      <c r="CI19" s="226">
        <f xml:space="preserve"> Time!CI$81</f>
        <v>0</v>
      </c>
      <c r="CJ19" s="226">
        <f xml:space="preserve"> Time!CJ$81</f>
        <v>0</v>
      </c>
      <c r="CK19" s="226">
        <f xml:space="preserve"> Time!CK$81</f>
        <v>0</v>
      </c>
      <c r="CL19" s="226">
        <f xml:space="preserve"> Time!CL$81</f>
        <v>0</v>
      </c>
      <c r="CM19" s="226">
        <f xml:space="preserve"> Time!CM$81</f>
        <v>0</v>
      </c>
      <c r="CN19" s="226">
        <f xml:space="preserve"> Time!CN$81</f>
        <v>0</v>
      </c>
      <c r="CO19" s="226">
        <f xml:space="preserve"> Time!CO$81</f>
        <v>0</v>
      </c>
      <c r="CP19" s="226">
        <f xml:space="preserve"> Time!CP$81</f>
        <v>0</v>
      </c>
      <c r="CQ19" s="226">
        <f xml:space="preserve"> Time!CQ$81</f>
        <v>0</v>
      </c>
      <c r="CR19" s="226">
        <f xml:space="preserve"> Time!CR$81</f>
        <v>0</v>
      </c>
      <c r="CS19" s="226">
        <f xml:space="preserve"> Time!CS$81</f>
        <v>0</v>
      </c>
      <c r="CT19" s="226">
        <f xml:space="preserve"> Time!CT$81</f>
        <v>0</v>
      </c>
      <c r="CU19" s="226">
        <f xml:space="preserve"> Time!CU$81</f>
        <v>0</v>
      </c>
      <c r="CV19" s="226">
        <f xml:space="preserve"> Time!CV$81</f>
        <v>0</v>
      </c>
    </row>
    <row r="20" spans="1:192" outlineLevel="1" x14ac:dyDescent="0.2">
      <c r="E20" s="214"/>
      <c r="F20" s="214"/>
      <c r="G20" s="214"/>
      <c r="H20" s="214"/>
      <c r="I20" s="38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  <c r="CO20" s="214"/>
      <c r="CP20" s="214"/>
      <c r="CQ20" s="214"/>
      <c r="CR20" s="214"/>
      <c r="CS20" s="214"/>
      <c r="CT20" s="214"/>
      <c r="CU20" s="214"/>
      <c r="CV20" s="214"/>
    </row>
    <row r="21" spans="1:192" outlineLevel="1" x14ac:dyDescent="0.2">
      <c r="E21" s="214" t="s">
        <v>171</v>
      </c>
      <c r="F21" s="214"/>
      <c r="G21" s="214" t="str">
        <f xml:space="preserve"> SMU</f>
        <v>$ 000s</v>
      </c>
      <c r="H21" s="214"/>
      <c r="I21" s="38"/>
      <c r="J21" s="214">
        <f t="shared" ref="J21:BU21" si="6">I24</f>
        <v>0</v>
      </c>
      <c r="K21" s="214">
        <f t="shared" si="6"/>
        <v>0</v>
      </c>
      <c r="L21" s="214">
        <f t="shared" si="6"/>
        <v>0</v>
      </c>
      <c r="M21" s="214">
        <f t="shared" si="6"/>
        <v>0</v>
      </c>
      <c r="N21" s="214">
        <f t="shared" si="6"/>
        <v>0</v>
      </c>
      <c r="O21" s="214">
        <f t="shared" si="6"/>
        <v>319727.85774203954</v>
      </c>
      <c r="P21" s="214">
        <f t="shared" si="6"/>
        <v>287755.0719678356</v>
      </c>
      <c r="Q21" s="214">
        <f t="shared" si="6"/>
        <v>258979.56477105204</v>
      </c>
      <c r="R21" s="214">
        <f t="shared" si="6"/>
        <v>233081.60829394683</v>
      </c>
      <c r="S21" s="214">
        <f t="shared" si="6"/>
        <v>209773.44746455215</v>
      </c>
      <c r="T21" s="214">
        <f t="shared" si="6"/>
        <v>188796.10271809692</v>
      </c>
      <c r="U21" s="214">
        <f t="shared" si="6"/>
        <v>169916.49244628724</v>
      </c>
      <c r="V21" s="214">
        <f t="shared" si="6"/>
        <v>152924.84320165851</v>
      </c>
      <c r="W21" s="214">
        <f t="shared" si="6"/>
        <v>137632.35888149266</v>
      </c>
      <c r="X21" s="214">
        <f t="shared" si="6"/>
        <v>123869.12299334339</v>
      </c>
      <c r="Y21" s="214">
        <f t="shared" si="6"/>
        <v>111482.21069400906</v>
      </c>
      <c r="Z21" s="214">
        <f t="shared" si="6"/>
        <v>100333.98962460815</v>
      </c>
      <c r="AA21" s="214">
        <f t="shared" si="6"/>
        <v>90300.590662147326</v>
      </c>
      <c r="AB21" s="214">
        <f t="shared" si="6"/>
        <v>81270.531595932596</v>
      </c>
      <c r="AC21" s="214">
        <f t="shared" si="6"/>
        <v>73143.478436339341</v>
      </c>
      <c r="AD21" s="214">
        <f t="shared" si="6"/>
        <v>65829.130592705405</v>
      </c>
      <c r="AE21" s="214">
        <f t="shared" si="6"/>
        <v>59246.217533434865</v>
      </c>
      <c r="AF21" s="214">
        <f t="shared" si="6"/>
        <v>53321.595780091375</v>
      </c>
      <c r="AG21" s="214">
        <f t="shared" si="6"/>
        <v>47989.436202082237</v>
      </c>
      <c r="AH21" s="214">
        <f t="shared" si="6"/>
        <v>43190.492581874016</v>
      </c>
      <c r="AI21" s="214">
        <f t="shared" si="6"/>
        <v>38871.443323686617</v>
      </c>
      <c r="AJ21" s="214">
        <f t="shared" si="6"/>
        <v>34984.298991317955</v>
      </c>
      <c r="AK21" s="214">
        <f t="shared" si="6"/>
        <v>31485.86909218616</v>
      </c>
      <c r="AL21" s="214">
        <f t="shared" si="6"/>
        <v>28337.282182967545</v>
      </c>
      <c r="AM21" s="214">
        <f t="shared" si="6"/>
        <v>25503.553964670791</v>
      </c>
      <c r="AN21" s="214">
        <f t="shared" si="6"/>
        <v>22953.198568203712</v>
      </c>
      <c r="AO21" s="214">
        <f t="shared" si="6"/>
        <v>20657.878711383342</v>
      </c>
      <c r="AP21" s="214">
        <f t="shared" si="6"/>
        <v>18592.090840245008</v>
      </c>
      <c r="AQ21" s="214">
        <f t="shared" si="6"/>
        <v>16732.881756220508</v>
      </c>
      <c r="AR21" s="214">
        <f t="shared" si="6"/>
        <v>15059.593580598457</v>
      </c>
      <c r="AS21" s="214">
        <f t="shared" si="6"/>
        <v>13553.634222538611</v>
      </c>
      <c r="AT21" s="214">
        <f t="shared" si="6"/>
        <v>12198.27080028475</v>
      </c>
      <c r="AU21" s="214">
        <f t="shared" si="6"/>
        <v>10978.443720256275</v>
      </c>
      <c r="AV21" s="214">
        <f t="shared" si="6"/>
        <v>9880.5993482306476</v>
      </c>
      <c r="AW21" s="214">
        <f t="shared" si="6"/>
        <v>8892.5394134075832</v>
      </c>
      <c r="AX21" s="214">
        <f t="shared" si="6"/>
        <v>8003.2854720668247</v>
      </c>
      <c r="AY21" s="214">
        <f t="shared" si="6"/>
        <v>7202.956924860142</v>
      </c>
      <c r="AZ21" s="214">
        <f t="shared" si="6"/>
        <v>6482.6612323741274</v>
      </c>
      <c r="BA21" s="214">
        <f t="shared" si="6"/>
        <v>5834.3951091367144</v>
      </c>
      <c r="BB21" s="214">
        <f t="shared" si="6"/>
        <v>5250.9555982230431</v>
      </c>
      <c r="BC21" s="214">
        <f t="shared" si="6"/>
        <v>0</v>
      </c>
      <c r="BD21" s="214">
        <f t="shared" si="6"/>
        <v>0</v>
      </c>
      <c r="BE21" s="214">
        <f t="shared" si="6"/>
        <v>0</v>
      </c>
      <c r="BF21" s="214">
        <f t="shared" si="6"/>
        <v>0</v>
      </c>
      <c r="BG21" s="214">
        <f t="shared" si="6"/>
        <v>0</v>
      </c>
      <c r="BH21" s="214">
        <f t="shared" si="6"/>
        <v>0</v>
      </c>
      <c r="BI21" s="214">
        <f t="shared" si="6"/>
        <v>0</v>
      </c>
      <c r="BJ21" s="214">
        <f t="shared" si="6"/>
        <v>0</v>
      </c>
      <c r="BK21" s="214">
        <f t="shared" si="6"/>
        <v>0</v>
      </c>
      <c r="BL21" s="214">
        <f t="shared" si="6"/>
        <v>0</v>
      </c>
      <c r="BM21" s="214">
        <f t="shared" si="6"/>
        <v>0</v>
      </c>
      <c r="BN21" s="214">
        <f t="shared" si="6"/>
        <v>0</v>
      </c>
      <c r="BO21" s="214">
        <f t="shared" si="6"/>
        <v>0</v>
      </c>
      <c r="BP21" s="214">
        <f t="shared" si="6"/>
        <v>0</v>
      </c>
      <c r="BQ21" s="214">
        <f t="shared" si="6"/>
        <v>0</v>
      </c>
      <c r="BR21" s="214">
        <f t="shared" si="6"/>
        <v>0</v>
      </c>
      <c r="BS21" s="214">
        <f t="shared" si="6"/>
        <v>0</v>
      </c>
      <c r="BT21" s="214">
        <f t="shared" si="6"/>
        <v>0</v>
      </c>
      <c r="BU21" s="214">
        <f t="shared" si="6"/>
        <v>0</v>
      </c>
      <c r="BV21" s="214">
        <f t="shared" ref="BV21:CV21" si="7">BU24</f>
        <v>0</v>
      </c>
      <c r="BW21" s="214">
        <f t="shared" si="7"/>
        <v>0</v>
      </c>
      <c r="BX21" s="214">
        <f t="shared" si="7"/>
        <v>0</v>
      </c>
      <c r="BY21" s="214">
        <f t="shared" si="7"/>
        <v>0</v>
      </c>
      <c r="BZ21" s="214">
        <f t="shared" si="7"/>
        <v>0</v>
      </c>
      <c r="CA21" s="214">
        <f t="shared" si="7"/>
        <v>0</v>
      </c>
      <c r="CB21" s="214">
        <f t="shared" si="7"/>
        <v>0</v>
      </c>
      <c r="CC21" s="214">
        <f t="shared" si="7"/>
        <v>0</v>
      </c>
      <c r="CD21" s="214">
        <f t="shared" si="7"/>
        <v>0</v>
      </c>
      <c r="CE21" s="214">
        <f t="shared" si="7"/>
        <v>0</v>
      </c>
      <c r="CF21" s="214">
        <f t="shared" si="7"/>
        <v>0</v>
      </c>
      <c r="CG21" s="214">
        <f t="shared" si="7"/>
        <v>0</v>
      </c>
      <c r="CH21" s="214">
        <f t="shared" si="7"/>
        <v>0</v>
      </c>
      <c r="CI21" s="214">
        <f t="shared" si="7"/>
        <v>0</v>
      </c>
      <c r="CJ21" s="214">
        <f t="shared" si="7"/>
        <v>0</v>
      </c>
      <c r="CK21" s="214">
        <f t="shared" si="7"/>
        <v>0</v>
      </c>
      <c r="CL21" s="214">
        <f t="shared" si="7"/>
        <v>0</v>
      </c>
      <c r="CM21" s="214">
        <f t="shared" si="7"/>
        <v>0</v>
      </c>
      <c r="CN21" s="214">
        <f t="shared" si="7"/>
        <v>0</v>
      </c>
      <c r="CO21" s="214">
        <f t="shared" si="7"/>
        <v>0</v>
      </c>
      <c r="CP21" s="214">
        <f t="shared" si="7"/>
        <v>0</v>
      </c>
      <c r="CQ21" s="214">
        <f t="shared" si="7"/>
        <v>0</v>
      </c>
      <c r="CR21" s="214">
        <f t="shared" si="7"/>
        <v>0</v>
      </c>
      <c r="CS21" s="214">
        <f t="shared" si="7"/>
        <v>0</v>
      </c>
      <c r="CT21" s="214">
        <f t="shared" si="7"/>
        <v>0</v>
      </c>
      <c r="CU21" s="214">
        <f t="shared" si="7"/>
        <v>0</v>
      </c>
      <c r="CV21" s="214">
        <f t="shared" si="7"/>
        <v>0</v>
      </c>
    </row>
    <row r="22" spans="1:192" outlineLevel="1" x14ac:dyDescent="0.2">
      <c r="E22" s="215" t="s">
        <v>174</v>
      </c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215"/>
      <c r="AN22" s="215"/>
      <c r="AO22" s="215"/>
      <c r="AP22" s="215"/>
      <c r="AQ22" s="215"/>
      <c r="AR22" s="215"/>
      <c r="AS22" s="215"/>
      <c r="AT22" s="215"/>
      <c r="AU22" s="215"/>
      <c r="AV22" s="215"/>
      <c r="AW22" s="215"/>
      <c r="AX22" s="215"/>
      <c r="AY22" s="215"/>
      <c r="AZ22" s="215"/>
      <c r="BA22" s="215"/>
      <c r="BB22" s="215"/>
      <c r="BC22" s="215"/>
      <c r="BD22" s="215"/>
      <c r="BE22" s="215"/>
      <c r="BF22" s="215"/>
      <c r="BG22" s="215"/>
      <c r="BH22" s="215"/>
      <c r="BI22" s="215"/>
      <c r="BJ22" s="215"/>
      <c r="BK22" s="215"/>
      <c r="BL22" s="215"/>
      <c r="BM22" s="215"/>
      <c r="BN22" s="215"/>
      <c r="BO22" s="215"/>
      <c r="BP22" s="215"/>
      <c r="BQ22" s="215"/>
      <c r="BR22" s="215"/>
      <c r="BS22" s="215"/>
      <c r="BT22" s="215"/>
      <c r="BU22" s="215"/>
      <c r="BV22" s="215"/>
      <c r="BW22" s="215"/>
      <c r="BX22" s="215"/>
      <c r="BY22" s="215"/>
      <c r="BZ22" s="215"/>
      <c r="CA22" s="215"/>
      <c r="CB22" s="215"/>
      <c r="CC22" s="215"/>
      <c r="CD22" s="215"/>
      <c r="CE22" s="215"/>
      <c r="CF22" s="215"/>
      <c r="CG22" s="215"/>
      <c r="CH22" s="215"/>
      <c r="CI22" s="215"/>
      <c r="CJ22" s="215"/>
      <c r="CK22" s="215"/>
      <c r="CL22" s="215"/>
      <c r="CM22" s="215"/>
      <c r="CN22" s="215"/>
      <c r="CO22" s="215"/>
      <c r="CP22" s="215"/>
      <c r="CQ22" s="215"/>
      <c r="CR22" s="215"/>
      <c r="CS22" s="215"/>
      <c r="CT22" s="215"/>
      <c r="CU22" s="215"/>
      <c r="CV22" s="215"/>
    </row>
    <row r="23" spans="1:192" outlineLevel="1" x14ac:dyDescent="0.2">
      <c r="E23" s="38" t="str">
        <f t="shared" ref="E23:AJ23" si="8" xml:space="preserve"> E$12</f>
        <v>Tax depreciation</v>
      </c>
      <c r="F23" s="38">
        <f t="shared" si="8"/>
        <v>0</v>
      </c>
      <c r="G23" s="38" t="str">
        <f t="shared" si="8"/>
        <v>$ 000s</v>
      </c>
      <c r="H23" s="38">
        <f t="shared" si="8"/>
        <v>319727.85774203978</v>
      </c>
      <c r="I23" s="38">
        <f t="shared" si="8"/>
        <v>0</v>
      </c>
      <c r="J23" s="38">
        <f t="shared" si="8"/>
        <v>0</v>
      </c>
      <c r="K23" s="38">
        <f t="shared" si="8"/>
        <v>0</v>
      </c>
      <c r="L23" s="38">
        <f t="shared" si="8"/>
        <v>0</v>
      </c>
      <c r="M23" s="38">
        <f t="shared" si="8"/>
        <v>0</v>
      </c>
      <c r="N23" s="38">
        <f t="shared" si="8"/>
        <v>0</v>
      </c>
      <c r="O23" s="38">
        <f t="shared" si="8"/>
        <v>31972.785774203956</v>
      </c>
      <c r="P23" s="38">
        <f t="shared" si="8"/>
        <v>28775.507196783561</v>
      </c>
      <c r="Q23" s="38">
        <f t="shared" si="8"/>
        <v>25897.956477105206</v>
      </c>
      <c r="R23" s="38">
        <f t="shared" si="8"/>
        <v>23308.160829394685</v>
      </c>
      <c r="S23" s="38">
        <f t="shared" si="8"/>
        <v>20977.344746455215</v>
      </c>
      <c r="T23" s="38">
        <f t="shared" si="8"/>
        <v>18879.610271809692</v>
      </c>
      <c r="U23" s="38">
        <f t="shared" si="8"/>
        <v>16991.649244628727</v>
      </c>
      <c r="V23" s="38">
        <f t="shared" si="8"/>
        <v>15292.484320165851</v>
      </c>
      <c r="W23" s="38">
        <f t="shared" si="8"/>
        <v>13763.235888149267</v>
      </c>
      <c r="X23" s="38">
        <f t="shared" si="8"/>
        <v>12386.912299334341</v>
      </c>
      <c r="Y23" s="38">
        <f t="shared" si="8"/>
        <v>11148.221069400906</v>
      </c>
      <c r="Z23" s="38">
        <f t="shared" si="8"/>
        <v>10033.398962460815</v>
      </c>
      <c r="AA23" s="38">
        <f t="shared" si="8"/>
        <v>9030.0590662147333</v>
      </c>
      <c r="AB23" s="38">
        <f t="shared" si="8"/>
        <v>8127.0531595932598</v>
      </c>
      <c r="AC23" s="38">
        <f t="shared" si="8"/>
        <v>7314.3478436339346</v>
      </c>
      <c r="AD23" s="38">
        <f t="shared" si="8"/>
        <v>6582.9130592705405</v>
      </c>
      <c r="AE23" s="38">
        <f t="shared" si="8"/>
        <v>5924.6217533434865</v>
      </c>
      <c r="AF23" s="38">
        <f t="shared" si="8"/>
        <v>5332.1595780091375</v>
      </c>
      <c r="AG23" s="38">
        <f t="shared" si="8"/>
        <v>4798.9436202082243</v>
      </c>
      <c r="AH23" s="38">
        <f t="shared" si="8"/>
        <v>4319.0492581874014</v>
      </c>
      <c r="AI23" s="38">
        <f t="shared" si="8"/>
        <v>3887.1443323686617</v>
      </c>
      <c r="AJ23" s="38">
        <f t="shared" si="8"/>
        <v>3498.4298991317955</v>
      </c>
      <c r="AK23" s="38">
        <f t="shared" ref="AK23:BP23" si="9" xml:space="preserve"> AK$12</f>
        <v>3148.5869092186163</v>
      </c>
      <c r="AL23" s="38">
        <f t="shared" si="9"/>
        <v>2833.7282182967547</v>
      </c>
      <c r="AM23" s="38">
        <f t="shared" si="9"/>
        <v>2550.3553964670791</v>
      </c>
      <c r="AN23" s="38">
        <f t="shared" si="9"/>
        <v>2295.3198568203711</v>
      </c>
      <c r="AO23" s="38">
        <f t="shared" si="9"/>
        <v>2065.7878711383341</v>
      </c>
      <c r="AP23" s="38">
        <f t="shared" si="9"/>
        <v>1859.209084024501</v>
      </c>
      <c r="AQ23" s="38">
        <f t="shared" si="9"/>
        <v>1673.2881756220509</v>
      </c>
      <c r="AR23" s="38">
        <f t="shared" si="9"/>
        <v>1505.9593580598457</v>
      </c>
      <c r="AS23" s="38">
        <f t="shared" si="9"/>
        <v>1355.3634222538612</v>
      </c>
      <c r="AT23" s="38">
        <f t="shared" si="9"/>
        <v>1219.8270800284752</v>
      </c>
      <c r="AU23" s="38">
        <f t="shared" si="9"/>
        <v>1097.8443720256275</v>
      </c>
      <c r="AV23" s="38">
        <f t="shared" si="9"/>
        <v>988.05993482306485</v>
      </c>
      <c r="AW23" s="38">
        <f t="shared" si="9"/>
        <v>889.25394134075839</v>
      </c>
      <c r="AX23" s="38">
        <f t="shared" si="9"/>
        <v>800.32854720668252</v>
      </c>
      <c r="AY23" s="38">
        <f t="shared" si="9"/>
        <v>720.29569248601422</v>
      </c>
      <c r="AZ23" s="38">
        <f t="shared" si="9"/>
        <v>648.26612323741278</v>
      </c>
      <c r="BA23" s="38">
        <f t="shared" si="9"/>
        <v>583.43951091367148</v>
      </c>
      <c r="BB23" s="38">
        <f t="shared" si="9"/>
        <v>5250.9555982230431</v>
      </c>
      <c r="BC23" s="38">
        <f t="shared" si="9"/>
        <v>0</v>
      </c>
      <c r="BD23" s="38">
        <f t="shared" si="9"/>
        <v>0</v>
      </c>
      <c r="BE23" s="38">
        <f t="shared" si="9"/>
        <v>0</v>
      </c>
      <c r="BF23" s="38">
        <f t="shared" si="9"/>
        <v>0</v>
      </c>
      <c r="BG23" s="38">
        <f t="shared" si="9"/>
        <v>0</v>
      </c>
      <c r="BH23" s="38">
        <f t="shared" si="9"/>
        <v>0</v>
      </c>
      <c r="BI23" s="38">
        <f t="shared" si="9"/>
        <v>0</v>
      </c>
      <c r="BJ23" s="38">
        <f t="shared" si="9"/>
        <v>0</v>
      </c>
      <c r="BK23" s="38">
        <f t="shared" si="9"/>
        <v>0</v>
      </c>
      <c r="BL23" s="38">
        <f t="shared" si="9"/>
        <v>0</v>
      </c>
      <c r="BM23" s="38">
        <f t="shared" si="9"/>
        <v>0</v>
      </c>
      <c r="BN23" s="38">
        <f t="shared" si="9"/>
        <v>0</v>
      </c>
      <c r="BO23" s="38">
        <f t="shared" si="9"/>
        <v>0</v>
      </c>
      <c r="BP23" s="38">
        <f t="shared" si="9"/>
        <v>0</v>
      </c>
      <c r="BQ23" s="38">
        <f t="shared" ref="BQ23:CV23" si="10" xml:space="preserve"> BQ$12</f>
        <v>0</v>
      </c>
      <c r="BR23" s="38">
        <f t="shared" si="10"/>
        <v>0</v>
      </c>
      <c r="BS23" s="38">
        <f t="shared" si="10"/>
        <v>0</v>
      </c>
      <c r="BT23" s="38">
        <f t="shared" si="10"/>
        <v>0</v>
      </c>
      <c r="BU23" s="38">
        <f t="shared" si="10"/>
        <v>0</v>
      </c>
      <c r="BV23" s="38">
        <f t="shared" si="10"/>
        <v>0</v>
      </c>
      <c r="BW23" s="38">
        <f t="shared" si="10"/>
        <v>0</v>
      </c>
      <c r="BX23" s="38">
        <f t="shared" si="10"/>
        <v>0</v>
      </c>
      <c r="BY23" s="38">
        <f t="shared" si="10"/>
        <v>0</v>
      </c>
      <c r="BZ23" s="38">
        <f t="shared" si="10"/>
        <v>0</v>
      </c>
      <c r="CA23" s="38">
        <f t="shared" si="10"/>
        <v>0</v>
      </c>
      <c r="CB23" s="38">
        <f t="shared" si="10"/>
        <v>0</v>
      </c>
      <c r="CC23" s="38">
        <f t="shared" si="10"/>
        <v>0</v>
      </c>
      <c r="CD23" s="38">
        <f t="shared" si="10"/>
        <v>0</v>
      </c>
      <c r="CE23" s="38">
        <f t="shared" si="10"/>
        <v>0</v>
      </c>
      <c r="CF23" s="38">
        <f t="shared" si="10"/>
        <v>0</v>
      </c>
      <c r="CG23" s="38">
        <f t="shared" si="10"/>
        <v>0</v>
      </c>
      <c r="CH23" s="38">
        <f t="shared" si="10"/>
        <v>0</v>
      </c>
      <c r="CI23" s="38">
        <f t="shared" si="10"/>
        <v>0</v>
      </c>
      <c r="CJ23" s="38">
        <f t="shared" si="10"/>
        <v>0</v>
      </c>
      <c r="CK23" s="38">
        <f t="shared" si="10"/>
        <v>0</v>
      </c>
      <c r="CL23" s="38">
        <f t="shared" si="10"/>
        <v>0</v>
      </c>
      <c r="CM23" s="38">
        <f t="shared" si="10"/>
        <v>0</v>
      </c>
      <c r="CN23" s="38">
        <f t="shared" si="10"/>
        <v>0</v>
      </c>
      <c r="CO23" s="38">
        <f t="shared" si="10"/>
        <v>0</v>
      </c>
      <c r="CP23" s="38">
        <f t="shared" si="10"/>
        <v>0</v>
      </c>
      <c r="CQ23" s="38">
        <f t="shared" si="10"/>
        <v>0</v>
      </c>
      <c r="CR23" s="38">
        <f t="shared" si="10"/>
        <v>0</v>
      </c>
      <c r="CS23" s="38">
        <f t="shared" si="10"/>
        <v>0</v>
      </c>
      <c r="CT23" s="38">
        <f t="shared" si="10"/>
        <v>0</v>
      </c>
      <c r="CU23" s="38">
        <f t="shared" si="10"/>
        <v>0</v>
      </c>
      <c r="CV23" s="38">
        <f t="shared" si="10"/>
        <v>0</v>
      </c>
    </row>
    <row r="24" spans="1:192" outlineLevel="1" x14ac:dyDescent="0.2">
      <c r="A24" s="221"/>
      <c r="B24" s="221"/>
      <c r="C24" s="222"/>
      <c r="D24" s="223"/>
      <c r="E24" s="224" t="s">
        <v>172</v>
      </c>
      <c r="F24" s="224"/>
      <c r="G24" s="224" t="str">
        <f xml:space="preserve"> SMU</f>
        <v>$ 000s</v>
      </c>
      <c r="H24" s="224"/>
      <c r="I24" s="225"/>
      <c r="J24" s="224">
        <f xml:space="preserve"> IF( J19 = 1, $F18, J21 + J22 - J23)</f>
        <v>0</v>
      </c>
      <c r="K24" s="224">
        <f t="shared" ref="K24:AO24" si="11" xml:space="preserve"> IF( K19 = 1, $F18, K21 + K22 - K23)</f>
        <v>0</v>
      </c>
      <c r="L24" s="224">
        <f t="shared" si="11"/>
        <v>0</v>
      </c>
      <c r="M24" s="224">
        <f t="shared" si="11"/>
        <v>0</v>
      </c>
      <c r="N24" s="224">
        <f t="shared" si="11"/>
        <v>319727.85774203954</v>
      </c>
      <c r="O24" s="224">
        <f t="shared" si="11"/>
        <v>287755.0719678356</v>
      </c>
      <c r="P24" s="224">
        <f t="shared" si="11"/>
        <v>258979.56477105204</v>
      </c>
      <c r="Q24" s="224">
        <f t="shared" si="11"/>
        <v>233081.60829394683</v>
      </c>
      <c r="R24" s="224">
        <f t="shared" si="11"/>
        <v>209773.44746455215</v>
      </c>
      <c r="S24" s="224">
        <f t="shared" si="11"/>
        <v>188796.10271809692</v>
      </c>
      <c r="T24" s="224">
        <f t="shared" si="11"/>
        <v>169916.49244628724</v>
      </c>
      <c r="U24" s="224">
        <f t="shared" si="11"/>
        <v>152924.84320165851</v>
      </c>
      <c r="V24" s="224">
        <f t="shared" si="11"/>
        <v>137632.35888149266</v>
      </c>
      <c r="W24" s="224">
        <f t="shared" si="11"/>
        <v>123869.12299334339</v>
      </c>
      <c r="X24" s="224">
        <f t="shared" si="11"/>
        <v>111482.21069400906</v>
      </c>
      <c r="Y24" s="224">
        <f t="shared" si="11"/>
        <v>100333.98962460815</v>
      </c>
      <c r="Z24" s="224">
        <f t="shared" si="11"/>
        <v>90300.590662147326</v>
      </c>
      <c r="AA24" s="224">
        <f t="shared" si="11"/>
        <v>81270.531595932596</v>
      </c>
      <c r="AB24" s="224">
        <f t="shared" si="11"/>
        <v>73143.478436339341</v>
      </c>
      <c r="AC24" s="224">
        <f t="shared" si="11"/>
        <v>65829.130592705405</v>
      </c>
      <c r="AD24" s="224">
        <f t="shared" si="11"/>
        <v>59246.217533434865</v>
      </c>
      <c r="AE24" s="224">
        <f t="shared" si="11"/>
        <v>53321.595780091375</v>
      </c>
      <c r="AF24" s="224">
        <f t="shared" si="11"/>
        <v>47989.436202082237</v>
      </c>
      <c r="AG24" s="224">
        <f t="shared" si="11"/>
        <v>43190.492581874016</v>
      </c>
      <c r="AH24" s="224">
        <f t="shared" si="11"/>
        <v>38871.443323686617</v>
      </c>
      <c r="AI24" s="224">
        <f t="shared" si="11"/>
        <v>34984.298991317955</v>
      </c>
      <c r="AJ24" s="224">
        <f t="shared" si="11"/>
        <v>31485.86909218616</v>
      </c>
      <c r="AK24" s="224">
        <f t="shared" si="11"/>
        <v>28337.282182967545</v>
      </c>
      <c r="AL24" s="224">
        <f t="shared" si="11"/>
        <v>25503.553964670791</v>
      </c>
      <c r="AM24" s="224">
        <f t="shared" si="11"/>
        <v>22953.198568203712</v>
      </c>
      <c r="AN24" s="224">
        <f t="shared" si="11"/>
        <v>20657.878711383342</v>
      </c>
      <c r="AO24" s="224">
        <f t="shared" si="11"/>
        <v>18592.090840245008</v>
      </c>
      <c r="AP24" s="224">
        <f t="shared" ref="AP24:BU24" si="12" xml:space="preserve"> IF( AP19 = 1, $F18, AP21 + AP22 - AP23)</f>
        <v>16732.881756220508</v>
      </c>
      <c r="AQ24" s="224">
        <f t="shared" si="12"/>
        <v>15059.593580598457</v>
      </c>
      <c r="AR24" s="224">
        <f t="shared" si="12"/>
        <v>13553.634222538611</v>
      </c>
      <c r="AS24" s="224">
        <f t="shared" si="12"/>
        <v>12198.27080028475</v>
      </c>
      <c r="AT24" s="224">
        <f t="shared" si="12"/>
        <v>10978.443720256275</v>
      </c>
      <c r="AU24" s="224">
        <f t="shared" si="12"/>
        <v>9880.5993482306476</v>
      </c>
      <c r="AV24" s="224">
        <f t="shared" si="12"/>
        <v>8892.5394134075832</v>
      </c>
      <c r="AW24" s="224">
        <f t="shared" si="12"/>
        <v>8003.2854720668247</v>
      </c>
      <c r="AX24" s="224">
        <f t="shared" si="12"/>
        <v>7202.956924860142</v>
      </c>
      <c r="AY24" s="224">
        <f t="shared" si="12"/>
        <v>6482.6612323741274</v>
      </c>
      <c r="AZ24" s="224">
        <f t="shared" si="12"/>
        <v>5834.3951091367144</v>
      </c>
      <c r="BA24" s="224">
        <f t="shared" si="12"/>
        <v>5250.9555982230431</v>
      </c>
      <c r="BB24" s="224">
        <f t="shared" si="12"/>
        <v>0</v>
      </c>
      <c r="BC24" s="224">
        <f t="shared" si="12"/>
        <v>0</v>
      </c>
      <c r="BD24" s="224">
        <f t="shared" si="12"/>
        <v>0</v>
      </c>
      <c r="BE24" s="224">
        <f t="shared" si="12"/>
        <v>0</v>
      </c>
      <c r="BF24" s="224">
        <f t="shared" si="12"/>
        <v>0</v>
      </c>
      <c r="BG24" s="224">
        <f t="shared" si="12"/>
        <v>0</v>
      </c>
      <c r="BH24" s="224">
        <f t="shared" si="12"/>
        <v>0</v>
      </c>
      <c r="BI24" s="224">
        <f t="shared" si="12"/>
        <v>0</v>
      </c>
      <c r="BJ24" s="224">
        <f t="shared" si="12"/>
        <v>0</v>
      </c>
      <c r="BK24" s="224">
        <f t="shared" si="12"/>
        <v>0</v>
      </c>
      <c r="BL24" s="224">
        <f t="shared" si="12"/>
        <v>0</v>
      </c>
      <c r="BM24" s="224">
        <f t="shared" si="12"/>
        <v>0</v>
      </c>
      <c r="BN24" s="224">
        <f t="shared" si="12"/>
        <v>0</v>
      </c>
      <c r="BO24" s="224">
        <f t="shared" si="12"/>
        <v>0</v>
      </c>
      <c r="BP24" s="224">
        <f t="shared" si="12"/>
        <v>0</v>
      </c>
      <c r="BQ24" s="224">
        <f t="shared" si="12"/>
        <v>0</v>
      </c>
      <c r="BR24" s="224">
        <f t="shared" si="12"/>
        <v>0</v>
      </c>
      <c r="BS24" s="224">
        <f t="shared" si="12"/>
        <v>0</v>
      </c>
      <c r="BT24" s="224">
        <f t="shared" si="12"/>
        <v>0</v>
      </c>
      <c r="BU24" s="224">
        <f t="shared" si="12"/>
        <v>0</v>
      </c>
      <c r="BV24" s="224">
        <f t="shared" ref="BV24:CV24" si="13" xml:space="preserve"> IF( BV19 = 1, $F18, BV21 + BV22 - BV23)</f>
        <v>0</v>
      </c>
      <c r="BW24" s="224">
        <f t="shared" si="13"/>
        <v>0</v>
      </c>
      <c r="BX24" s="224">
        <f t="shared" si="13"/>
        <v>0</v>
      </c>
      <c r="BY24" s="224">
        <f t="shared" si="13"/>
        <v>0</v>
      </c>
      <c r="BZ24" s="224">
        <f t="shared" si="13"/>
        <v>0</v>
      </c>
      <c r="CA24" s="224">
        <f t="shared" si="13"/>
        <v>0</v>
      </c>
      <c r="CB24" s="224">
        <f t="shared" si="13"/>
        <v>0</v>
      </c>
      <c r="CC24" s="224">
        <f t="shared" si="13"/>
        <v>0</v>
      </c>
      <c r="CD24" s="224">
        <f t="shared" si="13"/>
        <v>0</v>
      </c>
      <c r="CE24" s="224">
        <f t="shared" si="13"/>
        <v>0</v>
      </c>
      <c r="CF24" s="224">
        <f t="shared" si="13"/>
        <v>0</v>
      </c>
      <c r="CG24" s="224">
        <f t="shared" si="13"/>
        <v>0</v>
      </c>
      <c r="CH24" s="224">
        <f t="shared" si="13"/>
        <v>0</v>
      </c>
      <c r="CI24" s="224">
        <f t="shared" si="13"/>
        <v>0</v>
      </c>
      <c r="CJ24" s="224">
        <f t="shared" si="13"/>
        <v>0</v>
      </c>
      <c r="CK24" s="224">
        <f t="shared" si="13"/>
        <v>0</v>
      </c>
      <c r="CL24" s="224">
        <f t="shared" si="13"/>
        <v>0</v>
      </c>
      <c r="CM24" s="224">
        <f t="shared" si="13"/>
        <v>0</v>
      </c>
      <c r="CN24" s="224">
        <f t="shared" si="13"/>
        <v>0</v>
      </c>
      <c r="CO24" s="224">
        <f t="shared" si="13"/>
        <v>0</v>
      </c>
      <c r="CP24" s="224">
        <f t="shared" si="13"/>
        <v>0</v>
      </c>
      <c r="CQ24" s="224">
        <f t="shared" si="13"/>
        <v>0</v>
      </c>
      <c r="CR24" s="224">
        <f t="shared" si="13"/>
        <v>0</v>
      </c>
      <c r="CS24" s="224">
        <f t="shared" si="13"/>
        <v>0</v>
      </c>
      <c r="CT24" s="224">
        <f t="shared" si="13"/>
        <v>0</v>
      </c>
      <c r="CU24" s="224">
        <f t="shared" si="13"/>
        <v>0</v>
      </c>
      <c r="CV24" s="224">
        <f t="shared" si="13"/>
        <v>0</v>
      </c>
    </row>
    <row r="25" spans="1:192" outlineLevel="1" x14ac:dyDescent="0.2"/>
    <row r="27" spans="1:192" x14ac:dyDescent="0.2">
      <c r="A27" s="15" t="s">
        <v>1303</v>
      </c>
    </row>
    <row r="28" spans="1:192" outlineLevel="1" x14ac:dyDescent="0.2">
      <c r="E28" s="186" t="str">
        <f xml:space="preserve"> Debt!E$237</f>
        <v>Senior debt interest - T1 POS</v>
      </c>
      <c r="F28" s="186">
        <f xml:space="preserve"> Debt!F$237</f>
        <v>0</v>
      </c>
      <c r="G28" s="186" t="str">
        <f xml:space="preserve"> Debt!G$237</f>
        <v>$ 000s</v>
      </c>
      <c r="H28" s="186">
        <f xml:space="preserve"> Debt!H$237</f>
        <v>58932.622085008683</v>
      </c>
      <c r="I28" s="186">
        <f xml:space="preserve"> Debt!I$237</f>
        <v>0</v>
      </c>
      <c r="J28" s="186">
        <f xml:space="preserve"> Debt!J$237</f>
        <v>0</v>
      </c>
      <c r="K28" s="186">
        <f xml:space="preserve"> Debt!K$237</f>
        <v>0</v>
      </c>
      <c r="L28" s="186">
        <f xml:space="preserve"> Debt!L$237</f>
        <v>0</v>
      </c>
      <c r="M28" s="186">
        <f xml:space="preserve"> Debt!M$237</f>
        <v>0</v>
      </c>
      <c r="N28" s="186">
        <f xml:space="preserve"> Debt!N$237</f>
        <v>0</v>
      </c>
      <c r="O28" s="186">
        <f xml:space="preserve"> Debt!O$237</f>
        <v>2687.5177475939608</v>
      </c>
      <c r="P28" s="186">
        <f xml:space="preserve"> Debt!P$237</f>
        <v>2582.7239566536373</v>
      </c>
      <c r="Q28" s="186">
        <f xml:space="preserve"> Debt!Q$237</f>
        <v>2574.328504175005</v>
      </c>
      <c r="R28" s="186">
        <f xml:space="preserve"> Debt!R$237</f>
        <v>2481.3813281599528</v>
      </c>
      <c r="S28" s="186">
        <f xml:space="preserve"> Debt!S$237</f>
        <v>2469.7293209345407</v>
      </c>
      <c r="T28" s="186">
        <f xml:space="preserve"> Debt!T$237</f>
        <v>2376.876065985799</v>
      </c>
      <c r="U28" s="186">
        <f xml:space="preserve"> Debt!U$237</f>
        <v>2361.8520922003349</v>
      </c>
      <c r="V28" s="186">
        <f xml:space="preserve"> Debt!V$237</f>
        <v>2281.6182261919198</v>
      </c>
      <c r="W28" s="186">
        <f xml:space="preserve"> Debt!W$237</f>
        <v>2250.6592852748454</v>
      </c>
      <c r="X28" s="186">
        <f xml:space="preserve"> Debt!X$237</f>
        <v>2158.0922847899237</v>
      </c>
      <c r="Y28" s="186">
        <f xml:space="preserve"> Debt!Y$237</f>
        <v>2237.6804315095601</v>
      </c>
      <c r="Z28" s="186">
        <f xml:space="preserve"> Debt!Z$237</f>
        <v>2142.3886900549105</v>
      </c>
      <c r="AA28" s="186">
        <f xml:space="preserve"> Debt!AA$237</f>
        <v>2117.0515797327043</v>
      </c>
      <c r="AB28" s="186">
        <f xml:space="preserve"> Debt!AB$237</f>
        <v>2021.7094910691326</v>
      </c>
      <c r="AC28" s="186">
        <f xml:space="preserve"> Debt!AC$237</f>
        <v>1992.3163229370118</v>
      </c>
      <c r="AD28" s="186">
        <f xml:space="preserve"> Debt!AD$237</f>
        <v>1907.3851466300987</v>
      </c>
      <c r="AE28" s="186">
        <f xml:space="preserve"> Debt!AE$237</f>
        <v>1863.349317892918</v>
      </c>
      <c r="AF28" s="186">
        <f xml:space="preserve"> Debt!AF$237</f>
        <v>1767.9820934948079</v>
      </c>
      <c r="AG28" s="186">
        <f xml:space="preserve"> Debt!AG$237</f>
        <v>1730.0089819557033</v>
      </c>
      <c r="AH28" s="186">
        <f xml:space="preserve"> Debt!AH$237</f>
        <v>1634.3997473361794</v>
      </c>
      <c r="AI28" s="186">
        <f xml:space="preserve"> Debt!AI$237</f>
        <v>1664.2398160286421</v>
      </c>
      <c r="AJ28" s="186">
        <f xml:space="preserve"> Debt!AJ$237</f>
        <v>1565.5385581725184</v>
      </c>
      <c r="AK28" s="186">
        <f xml:space="preserve"> Debt!AK$237</f>
        <v>1517.504166079535</v>
      </c>
      <c r="AL28" s="186">
        <f xml:space="preserve"> Debt!AL$237</f>
        <v>1426.3062182693025</v>
      </c>
      <c r="AM28" s="186">
        <f xml:space="preserve"> Debt!AM$237</f>
        <v>1365.2015310096476</v>
      </c>
      <c r="AN28" s="186">
        <f xml:space="preserve"> Debt!AN$237</f>
        <v>1265.9321561833478</v>
      </c>
      <c r="AO28" s="186">
        <f xml:space="preserve"> Debt!AO$237</f>
        <v>1207.2384434234541</v>
      </c>
      <c r="AP28" s="186">
        <f xml:space="preserve"> Debt!AP$237</f>
        <v>1107.4310609472375</v>
      </c>
      <c r="AQ28" s="186">
        <f xml:space="preserve"> Debt!AQ$237</f>
        <v>1043.0631804876928</v>
      </c>
      <c r="AR28" s="186">
        <f xml:space="preserve"> Debt!AR$237</f>
        <v>942.81174989072917</v>
      </c>
      <c r="AS28" s="186">
        <f xml:space="preserve"> Debt!AS$237</f>
        <v>872.52701382584769</v>
      </c>
      <c r="AT28" s="186">
        <f xml:space="preserve"> Debt!AT$237</f>
        <v>652.41628467561759</v>
      </c>
      <c r="AU28" s="186">
        <f xml:space="preserve"> Debt!AU$237</f>
        <v>443.63241738550107</v>
      </c>
      <c r="AV28" s="186">
        <f xml:space="preserve"> Debt!AV$237</f>
        <v>219.7301918317994</v>
      </c>
      <c r="AW28" s="186">
        <f xml:space="preserve"> Debt!AW$237</f>
        <v>-2.2123232123425019E-4</v>
      </c>
      <c r="AX28" s="186">
        <f xml:space="preserve"> Debt!AX$237</f>
        <v>-2.1762527251847438E-4</v>
      </c>
      <c r="AY28" s="186">
        <f xml:space="preserve"> Debt!AY$237</f>
        <v>-2.2123232123425019E-4</v>
      </c>
      <c r="AZ28" s="186">
        <f xml:space="preserve"> Debt!AZ$237</f>
        <v>-2.1762527251847438E-4</v>
      </c>
      <c r="BA28" s="186">
        <f xml:space="preserve"> Debt!BA$237</f>
        <v>-2.2123232123425019E-4</v>
      </c>
      <c r="BB28" s="186">
        <f xml:space="preserve"> Debt!BB$237</f>
        <v>-2.1882762209039967E-4</v>
      </c>
      <c r="BC28" s="186">
        <f xml:space="preserve"> Debt!BC$237</f>
        <v>0</v>
      </c>
      <c r="BD28" s="186">
        <f xml:space="preserve"> Debt!BD$237</f>
        <v>0</v>
      </c>
      <c r="BE28" s="186">
        <f xml:space="preserve"> Debt!BE$237</f>
        <v>0</v>
      </c>
      <c r="BF28" s="186">
        <f xml:space="preserve"> Debt!BF$237</f>
        <v>0</v>
      </c>
      <c r="BG28" s="186">
        <f xml:space="preserve"> Debt!BG$237</f>
        <v>0</v>
      </c>
      <c r="BH28" s="186">
        <f xml:space="preserve"> Debt!BH$237</f>
        <v>0</v>
      </c>
      <c r="BI28" s="186">
        <f xml:space="preserve"> Debt!BI$237</f>
        <v>0</v>
      </c>
      <c r="BJ28" s="186">
        <f xml:space="preserve"> Debt!BJ$237</f>
        <v>0</v>
      </c>
      <c r="BK28" s="186">
        <f xml:space="preserve"> Debt!BK$237</f>
        <v>0</v>
      </c>
      <c r="BL28" s="186">
        <f xml:space="preserve"> Debt!BL$237</f>
        <v>0</v>
      </c>
      <c r="BM28" s="186">
        <f xml:space="preserve"> Debt!BM$237</f>
        <v>0</v>
      </c>
      <c r="BN28" s="186">
        <f xml:space="preserve"> Debt!BN$237</f>
        <v>0</v>
      </c>
      <c r="BO28" s="186">
        <f xml:space="preserve"> Debt!BO$237</f>
        <v>0</v>
      </c>
      <c r="BP28" s="186">
        <f xml:space="preserve"> Debt!BP$237</f>
        <v>0</v>
      </c>
      <c r="BQ28" s="186">
        <f xml:space="preserve"> Debt!BQ$237</f>
        <v>0</v>
      </c>
      <c r="BR28" s="186">
        <f xml:space="preserve"> Debt!BR$237</f>
        <v>0</v>
      </c>
      <c r="BS28" s="186">
        <f xml:space="preserve"> Debt!BS$237</f>
        <v>0</v>
      </c>
      <c r="BT28" s="186">
        <f xml:space="preserve"> Debt!BT$237</f>
        <v>0</v>
      </c>
      <c r="BU28" s="186">
        <f xml:space="preserve"> Debt!BU$237</f>
        <v>0</v>
      </c>
      <c r="BV28" s="186">
        <f xml:space="preserve"> Debt!BV$237</f>
        <v>0</v>
      </c>
      <c r="BW28" s="186">
        <f xml:space="preserve"> Debt!BW$237</f>
        <v>0</v>
      </c>
      <c r="BX28" s="186">
        <f xml:space="preserve"> Debt!BX$237</f>
        <v>0</v>
      </c>
      <c r="BY28" s="186">
        <f xml:space="preserve"> Debt!BY$237</f>
        <v>0</v>
      </c>
      <c r="BZ28" s="186">
        <f xml:space="preserve"> Debt!BZ$237</f>
        <v>0</v>
      </c>
      <c r="CA28" s="186">
        <f xml:space="preserve"> Debt!CA$237</f>
        <v>0</v>
      </c>
      <c r="CB28" s="186">
        <f xml:space="preserve"> Debt!CB$237</f>
        <v>0</v>
      </c>
      <c r="CC28" s="186">
        <f xml:space="preserve"> Debt!CC$237</f>
        <v>0</v>
      </c>
      <c r="CD28" s="186">
        <f xml:space="preserve"> Debt!CD$237</f>
        <v>0</v>
      </c>
      <c r="CE28" s="186">
        <f xml:space="preserve"> Debt!CE$237</f>
        <v>0</v>
      </c>
      <c r="CF28" s="186">
        <f xml:space="preserve"> Debt!CF$237</f>
        <v>0</v>
      </c>
      <c r="CG28" s="186">
        <f xml:space="preserve"> Debt!CG$237</f>
        <v>0</v>
      </c>
      <c r="CH28" s="186">
        <f xml:space="preserve"> Debt!CH$237</f>
        <v>0</v>
      </c>
      <c r="CI28" s="186">
        <f xml:space="preserve"> Debt!CI$237</f>
        <v>0</v>
      </c>
      <c r="CJ28" s="186">
        <f xml:space="preserve"> Debt!CJ$237</f>
        <v>0</v>
      </c>
      <c r="CK28" s="186">
        <f xml:space="preserve"> Debt!CK$237</f>
        <v>0</v>
      </c>
      <c r="CL28" s="186">
        <f xml:space="preserve"> Debt!CL$237</f>
        <v>0</v>
      </c>
      <c r="CM28" s="186">
        <f xml:space="preserve"> Debt!CM$237</f>
        <v>0</v>
      </c>
      <c r="CN28" s="186">
        <f xml:space="preserve"> Debt!CN$237</f>
        <v>0</v>
      </c>
      <c r="CO28" s="186">
        <f xml:space="preserve"> Debt!CO$237</f>
        <v>0</v>
      </c>
      <c r="CP28" s="186">
        <f xml:space="preserve"> Debt!CP$237</f>
        <v>0</v>
      </c>
      <c r="CQ28" s="186">
        <f xml:space="preserve"> Debt!CQ$237</f>
        <v>0</v>
      </c>
      <c r="CR28" s="186">
        <f xml:space="preserve"> Debt!CR$237</f>
        <v>0</v>
      </c>
      <c r="CS28" s="186">
        <f xml:space="preserve"> Debt!CS$237</f>
        <v>0</v>
      </c>
      <c r="CT28" s="186">
        <f xml:space="preserve"> Debt!CT$237</f>
        <v>0</v>
      </c>
      <c r="CU28" s="186">
        <f xml:space="preserve"> Debt!CU$237</f>
        <v>0</v>
      </c>
      <c r="CV28" s="186">
        <f xml:space="preserve"> Debt!CV$237</f>
        <v>0</v>
      </c>
    </row>
    <row r="29" spans="1:192" outlineLevel="1" x14ac:dyDescent="0.2">
      <c r="E29" s="186" t="str">
        <f xml:space="preserve"> Debt!E$244</f>
        <v>Withholding tax on Senior Debt Interest T1 POS</v>
      </c>
      <c r="F29" s="186">
        <f xml:space="preserve"> Debt!F$244</f>
        <v>0</v>
      </c>
      <c r="G29" s="186" t="str">
        <f xml:space="preserve"> Debt!G$244</f>
        <v>$ 000s</v>
      </c>
      <c r="H29" s="186">
        <f xml:space="preserve"> Debt!H$244</f>
        <v>1202.7065731634439</v>
      </c>
      <c r="I29" s="186">
        <f xml:space="preserve"> Debt!I$244</f>
        <v>0</v>
      </c>
      <c r="J29" s="186">
        <f xml:space="preserve"> Debt!J$244</f>
        <v>0</v>
      </c>
      <c r="K29" s="186">
        <f xml:space="preserve"> Debt!K$244</f>
        <v>0</v>
      </c>
      <c r="L29" s="186">
        <f xml:space="preserve"> Debt!L$244</f>
        <v>0</v>
      </c>
      <c r="M29" s="186">
        <f xml:space="preserve"> Debt!M$244</f>
        <v>0</v>
      </c>
      <c r="N29" s="186">
        <f xml:space="preserve"> Debt!N$244</f>
        <v>0</v>
      </c>
      <c r="O29" s="186">
        <f xml:space="preserve"> Debt!O$244</f>
        <v>54.847300971305231</v>
      </c>
      <c r="P29" s="186">
        <f xml:space="preserve"> Debt!P$244</f>
        <v>52.708652176605028</v>
      </c>
      <c r="Q29" s="186">
        <f xml:space="preserve"> Debt!Q$244</f>
        <v>52.537316411734992</v>
      </c>
      <c r="R29" s="186">
        <f xml:space="preserve"> Debt!R$244</f>
        <v>50.6404352685704</v>
      </c>
      <c r="S29" s="186">
        <f xml:space="preserve"> Debt!S$244</f>
        <v>50.402639202745831</v>
      </c>
      <c r="T29" s="186">
        <f xml:space="preserve"> Debt!T$244</f>
        <v>48.507674816036797</v>
      </c>
      <c r="U29" s="186">
        <f xml:space="preserve"> Debt!U$244</f>
        <v>48.201063106129368</v>
      </c>
      <c r="V29" s="186">
        <f xml:space="preserve"> Debt!V$244</f>
        <v>46.563637269222909</v>
      </c>
      <c r="W29" s="186">
        <f xml:space="preserve"> Debt!W$244</f>
        <v>45.931822148466381</v>
      </c>
      <c r="X29" s="186">
        <f xml:space="preserve"> Debt!X$244</f>
        <v>44.042699689590336</v>
      </c>
      <c r="Y29" s="186">
        <f xml:space="preserve"> Debt!Y$244</f>
        <v>45.666947581827571</v>
      </c>
      <c r="Z29" s="186">
        <f xml:space="preserve"> Debt!Z$244</f>
        <v>43.722218164386049</v>
      </c>
      <c r="AA29" s="186">
        <f xml:space="preserve"> Debt!AA$244</f>
        <v>43.205134280259244</v>
      </c>
      <c r="AB29" s="186">
        <f xml:space="preserve"> Debt!AB$244</f>
        <v>41.259377368757669</v>
      </c>
      <c r="AC29" s="186">
        <f xml:space="preserve"> Debt!AC$244</f>
        <v>40.659516794632964</v>
      </c>
      <c r="AD29" s="186">
        <f xml:space="preserve"> Debt!AD$244</f>
        <v>38.926227482246986</v>
      </c>
      <c r="AE29" s="186">
        <f xml:space="preserve"> Debt!AE$244</f>
        <v>38.027537099855408</v>
      </c>
      <c r="AF29" s="186">
        <f xml:space="preserve"> Debt!AF$244</f>
        <v>36.081267214179888</v>
      </c>
      <c r="AG29" s="186">
        <f xml:space="preserve"> Debt!AG$244</f>
        <v>35.306305754198092</v>
      </c>
      <c r="AH29" s="186">
        <f xml:space="preserve"> Debt!AH$244</f>
        <v>33.355096884411751</v>
      </c>
      <c r="AI29" s="186">
        <f xml:space="preserve"> Debt!AI$244</f>
        <v>33.96407787813564</v>
      </c>
      <c r="AJ29" s="186">
        <f xml:space="preserve"> Debt!AJ$244</f>
        <v>31.949766493316702</v>
      </c>
      <c r="AK29" s="186">
        <f xml:space="preserve"> Debt!AK$244</f>
        <v>30.969472777133433</v>
      </c>
      <c r="AL29" s="186">
        <f xml:space="preserve"> Debt!AL$244</f>
        <v>29.108290168761414</v>
      </c>
      <c r="AM29" s="186">
        <f xml:space="preserve"> Debt!AM$244</f>
        <v>27.861255734890847</v>
      </c>
      <c r="AN29" s="186">
        <f xml:space="preserve"> Debt!AN$244</f>
        <v>25.83535012619086</v>
      </c>
      <c r="AO29" s="186">
        <f xml:space="preserve"> Debt!AO$244</f>
        <v>24.637519253539949</v>
      </c>
      <c r="AP29" s="186">
        <f xml:space="preserve"> Debt!AP$244</f>
        <v>22.600633896882528</v>
      </c>
      <c r="AQ29" s="186">
        <f xml:space="preserve"> Debt!AQ$244</f>
        <v>21.287003683422427</v>
      </c>
      <c r="AR29" s="186">
        <f xml:space="preserve"> Debt!AR$244</f>
        <v>19.241056120219014</v>
      </c>
      <c r="AS29" s="186">
        <f xml:space="preserve"> Debt!AS$244</f>
        <v>17.806673751547919</v>
      </c>
      <c r="AT29" s="186">
        <f xml:space="preserve"> Debt!AT$244</f>
        <v>13.314618054604466</v>
      </c>
      <c r="AU29" s="186">
        <f xml:space="preserve"> Debt!AU$244</f>
        <v>9.0537228037857176</v>
      </c>
      <c r="AV29" s="186">
        <f xml:space="preserve"> Debt!AV$244</f>
        <v>4.4842896292203989</v>
      </c>
      <c r="AW29" s="186">
        <f xml:space="preserve"> Debt!AW$244</f>
        <v>-4.5149453313112278E-6</v>
      </c>
      <c r="AX29" s="186">
        <f xml:space="preserve"> Debt!AX$244</f>
        <v>-4.4413320922137751E-6</v>
      </c>
      <c r="AY29" s="186">
        <f xml:space="preserve"> Debt!AY$244</f>
        <v>-4.5149453313112278E-6</v>
      </c>
      <c r="AZ29" s="186">
        <f xml:space="preserve"> Debt!AZ$244</f>
        <v>-4.4413320922137751E-6</v>
      </c>
      <c r="BA29" s="186">
        <f xml:space="preserve"> Debt!BA$244</f>
        <v>-4.5149453313112278E-6</v>
      </c>
      <c r="BB29" s="186">
        <f xml:space="preserve"> Debt!BB$244</f>
        <v>-4.4658698385796017E-6</v>
      </c>
      <c r="BC29" s="186">
        <f xml:space="preserve"> Debt!BC$244</f>
        <v>0</v>
      </c>
      <c r="BD29" s="186">
        <f xml:space="preserve"> Debt!BD$244</f>
        <v>0</v>
      </c>
      <c r="BE29" s="186">
        <f xml:space="preserve"> Debt!BE$244</f>
        <v>0</v>
      </c>
      <c r="BF29" s="186">
        <f xml:space="preserve"> Debt!BF$244</f>
        <v>0</v>
      </c>
      <c r="BG29" s="186">
        <f xml:space="preserve"> Debt!BG$244</f>
        <v>0</v>
      </c>
      <c r="BH29" s="186">
        <f xml:space="preserve"> Debt!BH$244</f>
        <v>0</v>
      </c>
      <c r="BI29" s="186">
        <f xml:space="preserve"> Debt!BI$244</f>
        <v>0</v>
      </c>
      <c r="BJ29" s="186">
        <f xml:space="preserve"> Debt!BJ$244</f>
        <v>0</v>
      </c>
      <c r="BK29" s="186">
        <f xml:space="preserve"> Debt!BK$244</f>
        <v>0</v>
      </c>
      <c r="BL29" s="186">
        <f xml:space="preserve"> Debt!BL$244</f>
        <v>0</v>
      </c>
      <c r="BM29" s="186">
        <f xml:space="preserve"> Debt!BM$244</f>
        <v>0</v>
      </c>
      <c r="BN29" s="186">
        <f xml:space="preserve"> Debt!BN$244</f>
        <v>0</v>
      </c>
      <c r="BO29" s="186">
        <f xml:space="preserve"> Debt!BO$244</f>
        <v>0</v>
      </c>
      <c r="BP29" s="186">
        <f xml:space="preserve"> Debt!BP$244</f>
        <v>0</v>
      </c>
      <c r="BQ29" s="186">
        <f xml:space="preserve"> Debt!BQ$244</f>
        <v>0</v>
      </c>
      <c r="BR29" s="186">
        <f xml:space="preserve"> Debt!BR$244</f>
        <v>0</v>
      </c>
      <c r="BS29" s="186">
        <f xml:space="preserve"> Debt!BS$244</f>
        <v>0</v>
      </c>
      <c r="BT29" s="186">
        <f xml:space="preserve"> Debt!BT$244</f>
        <v>0</v>
      </c>
      <c r="BU29" s="186">
        <f xml:space="preserve"> Debt!BU$244</f>
        <v>0</v>
      </c>
      <c r="BV29" s="186">
        <f xml:space="preserve"> Debt!BV$244</f>
        <v>0</v>
      </c>
      <c r="BW29" s="186">
        <f xml:space="preserve"> Debt!BW$244</f>
        <v>0</v>
      </c>
      <c r="BX29" s="186">
        <f xml:space="preserve"> Debt!BX$244</f>
        <v>0</v>
      </c>
      <c r="BY29" s="186">
        <f xml:space="preserve"> Debt!BY$244</f>
        <v>0</v>
      </c>
      <c r="BZ29" s="186">
        <f xml:space="preserve"> Debt!BZ$244</f>
        <v>0</v>
      </c>
      <c r="CA29" s="186">
        <f xml:space="preserve"> Debt!CA$244</f>
        <v>0</v>
      </c>
      <c r="CB29" s="186">
        <f xml:space="preserve"> Debt!CB$244</f>
        <v>0</v>
      </c>
      <c r="CC29" s="186">
        <f xml:space="preserve"> Debt!CC$244</f>
        <v>0</v>
      </c>
      <c r="CD29" s="186">
        <f xml:space="preserve"> Debt!CD$244</f>
        <v>0</v>
      </c>
      <c r="CE29" s="186">
        <f xml:space="preserve"> Debt!CE$244</f>
        <v>0</v>
      </c>
      <c r="CF29" s="186">
        <f xml:space="preserve"> Debt!CF$244</f>
        <v>0</v>
      </c>
      <c r="CG29" s="186">
        <f xml:space="preserve"> Debt!CG$244</f>
        <v>0</v>
      </c>
      <c r="CH29" s="186">
        <f xml:space="preserve"> Debt!CH$244</f>
        <v>0</v>
      </c>
      <c r="CI29" s="186">
        <f xml:space="preserve"> Debt!CI$244</f>
        <v>0</v>
      </c>
      <c r="CJ29" s="186">
        <f xml:space="preserve"> Debt!CJ$244</f>
        <v>0</v>
      </c>
      <c r="CK29" s="186">
        <f xml:space="preserve"> Debt!CK$244</f>
        <v>0</v>
      </c>
      <c r="CL29" s="186">
        <f xml:space="preserve"> Debt!CL$244</f>
        <v>0</v>
      </c>
      <c r="CM29" s="186">
        <f xml:space="preserve"> Debt!CM$244</f>
        <v>0</v>
      </c>
      <c r="CN29" s="186">
        <f xml:space="preserve"> Debt!CN$244</f>
        <v>0</v>
      </c>
      <c r="CO29" s="186">
        <f xml:space="preserve"> Debt!CO$244</f>
        <v>0</v>
      </c>
      <c r="CP29" s="186">
        <f xml:space="preserve"> Debt!CP$244</f>
        <v>0</v>
      </c>
      <c r="CQ29" s="186">
        <f xml:space="preserve"> Debt!CQ$244</f>
        <v>0</v>
      </c>
      <c r="CR29" s="186">
        <f xml:space="preserve"> Debt!CR$244</f>
        <v>0</v>
      </c>
      <c r="CS29" s="186">
        <f xml:space="preserve"> Debt!CS$244</f>
        <v>0</v>
      </c>
      <c r="CT29" s="186">
        <f xml:space="preserve"> Debt!CT$244</f>
        <v>0</v>
      </c>
      <c r="CU29" s="186">
        <f xml:space="preserve"> Debt!CU$244</f>
        <v>0</v>
      </c>
      <c r="CV29" s="186">
        <f xml:space="preserve"> Debt!CV$244</f>
        <v>0</v>
      </c>
      <c r="CW29" s="186">
        <f xml:space="preserve"> Debt!CW$244</f>
        <v>0</v>
      </c>
      <c r="CX29" s="186">
        <f xml:space="preserve"> Debt!CX$244</f>
        <v>0</v>
      </c>
      <c r="CY29" s="186">
        <f xml:space="preserve"> Debt!CY$244</f>
        <v>0</v>
      </c>
      <c r="CZ29" s="186">
        <f xml:space="preserve"> Debt!CZ$244</f>
        <v>0</v>
      </c>
      <c r="DA29" s="186">
        <f xml:space="preserve"> Debt!DA$244</f>
        <v>0</v>
      </c>
      <c r="DB29" s="186">
        <f xml:space="preserve"> Debt!DB$244</f>
        <v>0</v>
      </c>
      <c r="DC29" s="186">
        <f xml:space="preserve"> Debt!DC$244</f>
        <v>0</v>
      </c>
      <c r="DD29" s="186">
        <f xml:space="preserve"> Debt!DD$244</f>
        <v>0</v>
      </c>
      <c r="DE29" s="186">
        <f xml:space="preserve"> Debt!DE$244</f>
        <v>0</v>
      </c>
      <c r="DF29" s="186">
        <f xml:space="preserve"> Debt!DF$244</f>
        <v>0</v>
      </c>
      <c r="DG29" s="186">
        <f xml:space="preserve"> Debt!DG$244</f>
        <v>0</v>
      </c>
      <c r="DH29" s="186">
        <f xml:space="preserve"> Debt!DH$244</f>
        <v>0</v>
      </c>
      <c r="DI29" s="186">
        <f xml:space="preserve"> Debt!DI$244</f>
        <v>0</v>
      </c>
      <c r="DJ29" s="186">
        <f xml:space="preserve"> Debt!DJ$244</f>
        <v>0</v>
      </c>
      <c r="DK29" s="186">
        <f xml:space="preserve"> Debt!DK$244</f>
        <v>0</v>
      </c>
      <c r="DL29" s="186">
        <f xml:space="preserve"> Debt!DL$244</f>
        <v>0</v>
      </c>
      <c r="DM29" s="186">
        <f xml:space="preserve"> Debt!DM$244</f>
        <v>0</v>
      </c>
      <c r="DN29" s="186">
        <f xml:space="preserve"> Debt!DN$244</f>
        <v>0</v>
      </c>
      <c r="DO29" s="186">
        <f xml:space="preserve"> Debt!DO$244</f>
        <v>0</v>
      </c>
      <c r="DP29" s="186">
        <f xml:space="preserve"> Debt!DP$244</f>
        <v>0</v>
      </c>
      <c r="DQ29" s="186">
        <f xml:space="preserve"> Debt!DQ$244</f>
        <v>0</v>
      </c>
      <c r="DR29" s="186">
        <f xml:space="preserve"> Debt!DR$244</f>
        <v>0</v>
      </c>
      <c r="DS29" s="186">
        <f xml:space="preserve"> Debt!DS$244</f>
        <v>0</v>
      </c>
      <c r="DT29" s="186">
        <f xml:space="preserve"> Debt!DT$244</f>
        <v>0</v>
      </c>
      <c r="DU29" s="186">
        <f xml:space="preserve"> Debt!DU$244</f>
        <v>0</v>
      </c>
      <c r="DV29" s="186">
        <f xml:space="preserve"> Debt!DV$244</f>
        <v>0</v>
      </c>
      <c r="DW29" s="186">
        <f xml:space="preserve"> Debt!DW$244</f>
        <v>0</v>
      </c>
      <c r="DX29" s="186">
        <f xml:space="preserve"> Debt!DX$244</f>
        <v>0</v>
      </c>
      <c r="DY29" s="186">
        <f xml:space="preserve"> Debt!DY$244</f>
        <v>0</v>
      </c>
      <c r="DZ29" s="186">
        <f xml:space="preserve"> Debt!DZ$244</f>
        <v>0</v>
      </c>
      <c r="EA29" s="186">
        <f xml:space="preserve"> Debt!EA$244</f>
        <v>0</v>
      </c>
      <c r="EB29" s="186">
        <f xml:space="preserve"> Debt!EB$244</f>
        <v>0</v>
      </c>
      <c r="EC29" s="186">
        <f xml:space="preserve"> Debt!EC$244</f>
        <v>0</v>
      </c>
      <c r="ED29" s="186">
        <f xml:space="preserve"> Debt!ED$244</f>
        <v>0</v>
      </c>
      <c r="EE29" s="186">
        <f xml:space="preserve"> Debt!EE$244</f>
        <v>0</v>
      </c>
      <c r="EF29" s="186">
        <f xml:space="preserve"> Debt!EF$244</f>
        <v>0</v>
      </c>
      <c r="EG29" s="186">
        <f xml:space="preserve"> Debt!EG$244</f>
        <v>0</v>
      </c>
      <c r="EH29" s="186">
        <f xml:space="preserve"> Debt!EH$244</f>
        <v>0</v>
      </c>
      <c r="EI29" s="186">
        <f xml:space="preserve"> Debt!EI$244</f>
        <v>0</v>
      </c>
      <c r="EJ29" s="186">
        <f xml:space="preserve"> Debt!EJ$244</f>
        <v>0</v>
      </c>
      <c r="EK29" s="186">
        <f xml:space="preserve"> Debt!EK$244</f>
        <v>0</v>
      </c>
      <c r="EL29" s="186">
        <f xml:space="preserve"> Debt!EL$244</f>
        <v>0</v>
      </c>
      <c r="EM29" s="186">
        <f xml:space="preserve"> Debt!EM$244</f>
        <v>0</v>
      </c>
      <c r="EN29" s="186">
        <f xml:space="preserve"> Debt!EN$244</f>
        <v>0</v>
      </c>
      <c r="EO29" s="186">
        <f xml:space="preserve"> Debt!EO$244</f>
        <v>0</v>
      </c>
      <c r="EP29" s="186">
        <f xml:space="preserve"> Debt!EP$244</f>
        <v>0</v>
      </c>
      <c r="EQ29" s="186">
        <f xml:space="preserve"> Debt!EQ$244</f>
        <v>0</v>
      </c>
      <c r="ER29" s="186">
        <f xml:space="preserve"> Debt!ER$244</f>
        <v>0</v>
      </c>
      <c r="ES29" s="186">
        <f xml:space="preserve"> Debt!ES$244</f>
        <v>0</v>
      </c>
      <c r="ET29" s="186">
        <f xml:space="preserve"> Debt!ET$244</f>
        <v>0</v>
      </c>
      <c r="EU29" s="186">
        <f xml:space="preserve"> Debt!EU$244</f>
        <v>0</v>
      </c>
      <c r="EV29" s="186">
        <f xml:space="preserve"> Debt!EV$244</f>
        <v>0</v>
      </c>
      <c r="EW29" s="186">
        <f xml:space="preserve"> Debt!EW$244</f>
        <v>0</v>
      </c>
      <c r="EX29" s="186">
        <f xml:space="preserve"> Debt!EX$244</f>
        <v>0</v>
      </c>
      <c r="EY29" s="186">
        <f xml:space="preserve"> Debt!EY$244</f>
        <v>0</v>
      </c>
      <c r="EZ29" s="186">
        <f xml:space="preserve"> Debt!EZ$244</f>
        <v>0</v>
      </c>
      <c r="FA29" s="186">
        <f xml:space="preserve"> Debt!FA$244</f>
        <v>0</v>
      </c>
      <c r="FB29" s="186">
        <f xml:space="preserve"> Debt!FB$244</f>
        <v>0</v>
      </c>
      <c r="FC29" s="186">
        <f xml:space="preserve"> Debt!FC$244</f>
        <v>0</v>
      </c>
      <c r="FD29" s="186">
        <f xml:space="preserve"> Debt!FD$244</f>
        <v>0</v>
      </c>
      <c r="FE29" s="186">
        <f xml:space="preserve"> Debt!FE$244</f>
        <v>0</v>
      </c>
      <c r="FF29" s="186">
        <f xml:space="preserve"> Debt!FF$244</f>
        <v>0</v>
      </c>
      <c r="FG29" s="186">
        <f xml:space="preserve"> Debt!FG$244</f>
        <v>0</v>
      </c>
      <c r="FH29" s="186">
        <f xml:space="preserve"> Debt!FH$244</f>
        <v>0</v>
      </c>
      <c r="FI29" s="186">
        <f xml:space="preserve"> Debt!FI$244</f>
        <v>0</v>
      </c>
      <c r="FJ29" s="186">
        <f xml:space="preserve"> Debt!FJ$244</f>
        <v>0</v>
      </c>
      <c r="FK29" s="186">
        <f xml:space="preserve"> Debt!FK$244</f>
        <v>0</v>
      </c>
      <c r="FL29" s="186">
        <f xml:space="preserve"> Debt!FL$244</f>
        <v>0</v>
      </c>
      <c r="FM29" s="186">
        <f xml:space="preserve"> Debt!FM$244</f>
        <v>0</v>
      </c>
      <c r="FN29" s="186">
        <f xml:space="preserve"> Debt!FN$244</f>
        <v>0</v>
      </c>
      <c r="FO29" s="186">
        <f xml:space="preserve"> Debt!FO$244</f>
        <v>0</v>
      </c>
      <c r="FP29" s="186">
        <f xml:space="preserve"> Debt!FP$244</f>
        <v>0</v>
      </c>
      <c r="FQ29" s="186">
        <f xml:space="preserve"> Debt!FQ$244</f>
        <v>0</v>
      </c>
      <c r="FR29" s="186">
        <f xml:space="preserve"> Debt!FR$244</f>
        <v>0</v>
      </c>
      <c r="FS29" s="186">
        <f xml:space="preserve"> Debt!FS$244</f>
        <v>0</v>
      </c>
      <c r="FT29" s="186">
        <f xml:space="preserve"> Debt!FT$244</f>
        <v>0</v>
      </c>
      <c r="FU29" s="186">
        <f xml:space="preserve"> Debt!FU$244</f>
        <v>0</v>
      </c>
      <c r="FV29" s="186">
        <f xml:space="preserve"> Debt!FV$244</f>
        <v>0</v>
      </c>
      <c r="FW29" s="186">
        <f xml:space="preserve"> Debt!FW$244</f>
        <v>0</v>
      </c>
      <c r="FX29" s="186">
        <f xml:space="preserve"> Debt!FX$244</f>
        <v>0</v>
      </c>
      <c r="FY29" s="186">
        <f xml:space="preserve"> Debt!FY$244</f>
        <v>0</v>
      </c>
      <c r="FZ29" s="186">
        <f xml:space="preserve"> Debt!FZ$244</f>
        <v>0</v>
      </c>
      <c r="GA29" s="186">
        <f xml:space="preserve"> Debt!GA$244</f>
        <v>0</v>
      </c>
      <c r="GB29" s="186">
        <f xml:space="preserve"> Debt!GB$244</f>
        <v>0</v>
      </c>
      <c r="GC29" s="186">
        <f xml:space="preserve"> Debt!GC$244</f>
        <v>0</v>
      </c>
      <c r="GD29" s="186">
        <f xml:space="preserve"> Debt!GD$244</f>
        <v>0</v>
      </c>
      <c r="GE29" s="186">
        <f xml:space="preserve"> Debt!GE$244</f>
        <v>0</v>
      </c>
      <c r="GF29" s="186">
        <f xml:space="preserve"> Debt!GF$244</f>
        <v>0</v>
      </c>
      <c r="GG29" s="186">
        <f xml:space="preserve"> Debt!GG$244</f>
        <v>0</v>
      </c>
      <c r="GH29" s="186">
        <f xml:space="preserve"> Debt!GH$244</f>
        <v>0</v>
      </c>
      <c r="GI29" s="186">
        <f xml:space="preserve"> Debt!GI$244</f>
        <v>0</v>
      </c>
      <c r="GJ29" s="186">
        <f xml:space="preserve"> Debt!GJ$244</f>
        <v>0</v>
      </c>
    </row>
    <row r="30" spans="1:192" outlineLevel="1" x14ac:dyDescent="0.2">
      <c r="E30" s="186" t="str">
        <f xml:space="preserve"> Debt!E$349</f>
        <v>Senior debt interest - T2 POS</v>
      </c>
      <c r="F30" s="186">
        <f xml:space="preserve"> Debt!F$349</f>
        <v>0</v>
      </c>
      <c r="G30" s="186" t="str">
        <f xml:space="preserve"> Debt!G$349</f>
        <v>$ 000s</v>
      </c>
      <c r="H30" s="186">
        <f xml:space="preserve"> Debt!H$349</f>
        <v>50719.400835431705</v>
      </c>
      <c r="I30" s="186">
        <f xml:space="preserve"> Debt!I$349</f>
        <v>0</v>
      </c>
      <c r="J30" s="186">
        <f xml:space="preserve"> Debt!J$349</f>
        <v>0</v>
      </c>
      <c r="K30" s="186">
        <f xml:space="preserve"> Debt!K$349</f>
        <v>0</v>
      </c>
      <c r="L30" s="186">
        <f xml:space="preserve"> Debt!L$349</f>
        <v>0</v>
      </c>
      <c r="M30" s="186">
        <f xml:space="preserve"> Debt!M$349</f>
        <v>0</v>
      </c>
      <c r="N30" s="186">
        <f xml:space="preserve"> Debt!N$349</f>
        <v>0</v>
      </c>
      <c r="O30" s="186">
        <f xml:space="preserve"> Debt!O$349</f>
        <v>3007.4603365932417</v>
      </c>
      <c r="P30" s="186">
        <f xml:space="preserve"> Debt!P$349</f>
        <v>2861.4426237247226</v>
      </c>
      <c r="Q30" s="186">
        <f xml:space="preserve"> Debt!Q$349</f>
        <v>2827.4302563544802</v>
      </c>
      <c r="R30" s="186">
        <f xml:space="preserve"> Debt!R$349</f>
        <v>2700.2548554507134</v>
      </c>
      <c r="S30" s="186">
        <f xml:space="preserve"> Debt!S$349</f>
        <v>2661.0628632799539</v>
      </c>
      <c r="T30" s="186">
        <f xml:space="preserve"> Debt!T$349</f>
        <v>2534.0368459800811</v>
      </c>
      <c r="U30" s="186">
        <f xml:space="preserve"> Debt!U$349</f>
        <v>2489.4816638803841</v>
      </c>
      <c r="V30" s="186">
        <f xml:space="preserve"> Debt!V$349</f>
        <v>2375.6406705547574</v>
      </c>
      <c r="W30" s="186">
        <f xml:space="preserve"> Debt!W$349</f>
        <v>2312.626961541976</v>
      </c>
      <c r="X30" s="186">
        <f xml:space="preserve"> Debt!X$349</f>
        <v>2186.0562385133053</v>
      </c>
      <c r="Y30" s="186">
        <f xml:space="preserve"> Debt!Y$349</f>
        <v>2220.854468947296</v>
      </c>
      <c r="Z30" s="186">
        <f xml:space="preserve"> Debt!Z$349</f>
        <v>2091.5619982100643</v>
      </c>
      <c r="AA30" s="186">
        <f xml:space="preserve"> Debt!AA$349</f>
        <v>2029.9192920142364</v>
      </c>
      <c r="AB30" s="186">
        <f xml:space="preserve"> Debt!AB$349</f>
        <v>1900.5471301160426</v>
      </c>
      <c r="AC30" s="186">
        <f xml:space="preserve"> Debt!AC$349</f>
        <v>1832.4843668262508</v>
      </c>
      <c r="AD30" s="186">
        <f xml:space="preserve"> Debt!AD$349</f>
        <v>1712.4114864363401</v>
      </c>
      <c r="AE30" s="186">
        <f xml:space="preserve"> Debt!AE$349</f>
        <v>1628.351296139547</v>
      </c>
      <c r="AF30" s="186">
        <f xml:space="preserve"> Debt!AF$349</f>
        <v>1498.9393486025879</v>
      </c>
      <c r="AG30" s="186">
        <f xml:space="preserve"> Debt!AG$349</f>
        <v>1417.2959784483739</v>
      </c>
      <c r="AH30" s="186">
        <f xml:space="preserve"> Debt!AH$349</f>
        <v>1287.5009694483854</v>
      </c>
      <c r="AI30" s="186">
        <f xml:space="preserve"> Debt!AI$349</f>
        <v>1272.051076082276</v>
      </c>
      <c r="AJ30" s="186">
        <f xml:space="preserve"> Debt!AJ$349</f>
        <v>1136.3240059796112</v>
      </c>
      <c r="AK30" s="186">
        <f xml:space="preserve"> Debt!AK$349</f>
        <v>1036.2897842601778</v>
      </c>
      <c r="AL30" s="186">
        <f xml:space="preserve"> Debt!AL$349</f>
        <v>904.99934106523745</v>
      </c>
      <c r="AM30" s="186">
        <f xml:space="preserve"> Debt!AM$349</f>
        <v>791.5839748373146</v>
      </c>
      <c r="AN30" s="186">
        <f xml:space="preserve"> Debt!AN$349</f>
        <v>654.9441068505555</v>
      </c>
      <c r="AO30" s="186">
        <f xml:space="preserve"> Debt!AO$349</f>
        <v>537.78347303393627</v>
      </c>
      <c r="AP30" s="186">
        <f xml:space="preserve"> Debt!AP$349</f>
        <v>400.27918403838652</v>
      </c>
      <c r="AQ30" s="186">
        <f xml:space="preserve"> Debt!AQ$349</f>
        <v>274.00182155120319</v>
      </c>
      <c r="AR30" s="186">
        <f xml:space="preserve"> Debt!AR$349</f>
        <v>135.78407704150388</v>
      </c>
      <c r="AS30" s="186">
        <f xml:space="preserve"> Debt!AS$349</f>
        <v>5.7368266412878361E-5</v>
      </c>
      <c r="AT30" s="186">
        <f xml:space="preserve"> Debt!AT$349</f>
        <v>5.6744698299694907E-5</v>
      </c>
      <c r="AU30" s="186">
        <f xml:space="preserve"> Debt!AU$349</f>
        <v>5.7368266412878361E-5</v>
      </c>
      <c r="AV30" s="186">
        <f xml:space="preserve"> Debt!AV$349</f>
        <v>5.6432914243103177E-5</v>
      </c>
      <c r="AW30" s="186">
        <f xml:space="preserve"> Debt!AW$349</f>
        <v>1.8755010173441004E-5</v>
      </c>
      <c r="AX30" s="186">
        <f xml:space="preserve"> Debt!AX$349</f>
        <v>1.8449221964091424E-5</v>
      </c>
      <c r="AY30" s="186">
        <f xml:space="preserve"> Debt!AY$349</f>
        <v>1.8755010173441004E-5</v>
      </c>
      <c r="AZ30" s="186">
        <f xml:space="preserve"> Debt!AZ$349</f>
        <v>1.8449221964091424E-5</v>
      </c>
      <c r="BA30" s="186">
        <f xml:space="preserve"> Debt!BA$349</f>
        <v>1.8755010173441004E-5</v>
      </c>
      <c r="BB30" s="186">
        <f xml:space="preserve"> Debt!BB$349</f>
        <v>1.8551151367207951E-5</v>
      </c>
      <c r="BC30" s="186">
        <f xml:space="preserve"> Debt!BC$349</f>
        <v>0</v>
      </c>
      <c r="BD30" s="186">
        <f xml:space="preserve"> Debt!BD$349</f>
        <v>0</v>
      </c>
      <c r="BE30" s="186">
        <f xml:space="preserve"> Debt!BE$349</f>
        <v>0</v>
      </c>
      <c r="BF30" s="186">
        <f xml:space="preserve"> Debt!BF$349</f>
        <v>0</v>
      </c>
      <c r="BG30" s="186">
        <f xml:space="preserve"> Debt!BG$349</f>
        <v>0</v>
      </c>
      <c r="BH30" s="186">
        <f xml:space="preserve"> Debt!BH$349</f>
        <v>0</v>
      </c>
      <c r="BI30" s="186">
        <f xml:space="preserve"> Debt!BI$349</f>
        <v>0</v>
      </c>
      <c r="BJ30" s="186">
        <f xml:space="preserve"> Debt!BJ$349</f>
        <v>0</v>
      </c>
      <c r="BK30" s="186">
        <f xml:space="preserve"> Debt!BK$349</f>
        <v>0</v>
      </c>
      <c r="BL30" s="186">
        <f xml:space="preserve"> Debt!BL$349</f>
        <v>0</v>
      </c>
      <c r="BM30" s="186">
        <f xml:space="preserve"> Debt!BM$349</f>
        <v>0</v>
      </c>
      <c r="BN30" s="186">
        <f xml:space="preserve"> Debt!BN$349</f>
        <v>0</v>
      </c>
      <c r="BO30" s="186">
        <f xml:space="preserve"> Debt!BO$349</f>
        <v>0</v>
      </c>
      <c r="BP30" s="186">
        <f xml:space="preserve"> Debt!BP$349</f>
        <v>0</v>
      </c>
      <c r="BQ30" s="186">
        <f xml:space="preserve"> Debt!BQ$349</f>
        <v>0</v>
      </c>
      <c r="BR30" s="186">
        <f xml:space="preserve"> Debt!BR$349</f>
        <v>0</v>
      </c>
      <c r="BS30" s="186">
        <f xml:space="preserve"> Debt!BS$349</f>
        <v>0</v>
      </c>
      <c r="BT30" s="186">
        <f xml:space="preserve"> Debt!BT$349</f>
        <v>0</v>
      </c>
      <c r="BU30" s="186">
        <f xml:space="preserve"> Debt!BU$349</f>
        <v>0</v>
      </c>
      <c r="BV30" s="186">
        <f xml:space="preserve"> Debt!BV$349</f>
        <v>0</v>
      </c>
      <c r="BW30" s="186">
        <f xml:space="preserve"> Debt!BW$349</f>
        <v>0</v>
      </c>
      <c r="BX30" s="186">
        <f xml:space="preserve"> Debt!BX$349</f>
        <v>0</v>
      </c>
      <c r="BY30" s="186">
        <f xml:space="preserve"> Debt!BY$349</f>
        <v>0</v>
      </c>
      <c r="BZ30" s="186">
        <f xml:space="preserve"> Debt!BZ$349</f>
        <v>0</v>
      </c>
      <c r="CA30" s="186">
        <f xml:space="preserve"> Debt!CA$349</f>
        <v>0</v>
      </c>
      <c r="CB30" s="186">
        <f xml:space="preserve"> Debt!CB$349</f>
        <v>0</v>
      </c>
      <c r="CC30" s="186">
        <f xml:space="preserve"> Debt!CC$349</f>
        <v>0</v>
      </c>
      <c r="CD30" s="186">
        <f xml:space="preserve"> Debt!CD$349</f>
        <v>0</v>
      </c>
      <c r="CE30" s="186">
        <f xml:space="preserve"> Debt!CE$349</f>
        <v>0</v>
      </c>
      <c r="CF30" s="186">
        <f xml:space="preserve"> Debt!CF$349</f>
        <v>0</v>
      </c>
      <c r="CG30" s="186">
        <f xml:space="preserve"> Debt!CG$349</f>
        <v>0</v>
      </c>
      <c r="CH30" s="186">
        <f xml:space="preserve"> Debt!CH$349</f>
        <v>0</v>
      </c>
      <c r="CI30" s="186">
        <f xml:space="preserve"> Debt!CI$349</f>
        <v>0</v>
      </c>
      <c r="CJ30" s="186">
        <f xml:space="preserve"> Debt!CJ$349</f>
        <v>0</v>
      </c>
      <c r="CK30" s="186">
        <f xml:space="preserve"> Debt!CK$349</f>
        <v>0</v>
      </c>
      <c r="CL30" s="186">
        <f xml:space="preserve"> Debt!CL$349</f>
        <v>0</v>
      </c>
      <c r="CM30" s="186">
        <f xml:space="preserve"> Debt!CM$349</f>
        <v>0</v>
      </c>
      <c r="CN30" s="186">
        <f xml:space="preserve"> Debt!CN$349</f>
        <v>0</v>
      </c>
      <c r="CO30" s="186">
        <f xml:space="preserve"> Debt!CO$349</f>
        <v>0</v>
      </c>
      <c r="CP30" s="186">
        <f xml:space="preserve"> Debt!CP$349</f>
        <v>0</v>
      </c>
      <c r="CQ30" s="186">
        <f xml:space="preserve"> Debt!CQ$349</f>
        <v>0</v>
      </c>
      <c r="CR30" s="186">
        <f xml:space="preserve"> Debt!CR$349</f>
        <v>0</v>
      </c>
      <c r="CS30" s="186">
        <f xml:space="preserve"> Debt!CS$349</f>
        <v>0</v>
      </c>
      <c r="CT30" s="186">
        <f xml:space="preserve"> Debt!CT$349</f>
        <v>0</v>
      </c>
      <c r="CU30" s="186">
        <f xml:space="preserve"> Debt!CU$349</f>
        <v>0</v>
      </c>
      <c r="CV30" s="186">
        <f xml:space="preserve"> Debt!CV$349</f>
        <v>0</v>
      </c>
    </row>
    <row r="31" spans="1:192" outlineLevel="1" x14ac:dyDescent="0.2">
      <c r="E31" s="186" t="str">
        <f xml:space="preserve"> Debt!E$356</f>
        <v>Withholding tax on Senior Debt Interest T2 POS</v>
      </c>
      <c r="F31" s="186">
        <f xml:space="preserve"> Debt!F$356</f>
        <v>0</v>
      </c>
      <c r="G31" s="186" t="str">
        <f xml:space="preserve"> Debt!G$356</f>
        <v>$ 000s</v>
      </c>
      <c r="H31" s="186">
        <f xml:space="preserve"> Debt!H$356</f>
        <v>1035.0898129679949</v>
      </c>
      <c r="I31" s="186">
        <f xml:space="preserve"> Debt!I$356</f>
        <v>0</v>
      </c>
      <c r="J31" s="186">
        <f xml:space="preserve"> Debt!J$356</f>
        <v>0</v>
      </c>
      <c r="K31" s="186">
        <f xml:space="preserve"> Debt!K$356</f>
        <v>0</v>
      </c>
      <c r="L31" s="186">
        <f xml:space="preserve"> Debt!L$356</f>
        <v>0</v>
      </c>
      <c r="M31" s="186">
        <f xml:space="preserve"> Debt!M$356</f>
        <v>0</v>
      </c>
      <c r="N31" s="186">
        <f xml:space="preserve"> Debt!N$356</f>
        <v>0</v>
      </c>
      <c r="O31" s="186">
        <f xml:space="preserve"> Debt!O$356</f>
        <v>61.376741563127325</v>
      </c>
      <c r="P31" s="186">
        <f xml:space="preserve"> Debt!P$356</f>
        <v>58.396788239279886</v>
      </c>
      <c r="Q31" s="186">
        <f xml:space="preserve"> Debt!Q$356</f>
        <v>57.702658292948854</v>
      </c>
      <c r="R31" s="186">
        <f xml:space="preserve"> Debt!R$356</f>
        <v>55.107241947973762</v>
      </c>
      <c r="S31" s="186">
        <f xml:space="preserve"> Debt!S$356</f>
        <v>54.307405373060192</v>
      </c>
      <c r="T31" s="186">
        <f xml:space="preserve"> Debt!T$356</f>
        <v>51.715037673062852</v>
      </c>
      <c r="U31" s="186">
        <f xml:space="preserve"> Debt!U$356</f>
        <v>50.805748242456957</v>
      </c>
      <c r="V31" s="186">
        <f xml:space="preserve"> Debt!V$356</f>
        <v>48.482462664382638</v>
      </c>
      <c r="W31" s="186">
        <f xml:space="preserve"> Debt!W$356</f>
        <v>47.196468602897312</v>
      </c>
      <c r="X31" s="186">
        <f xml:space="preserve"> Debt!X$356</f>
        <v>44.613392622720767</v>
      </c>
      <c r="Y31" s="186">
        <f xml:space="preserve"> Debt!Y$356</f>
        <v>45.32356059076119</v>
      </c>
      <c r="Z31" s="186">
        <f xml:space="preserve"> Debt!Z$356</f>
        <v>42.684938738981145</v>
      </c>
      <c r="AA31" s="186">
        <f xml:space="preserve"> Debt!AA$356</f>
        <v>41.426924326821336</v>
      </c>
      <c r="AB31" s="186">
        <f xml:space="preserve"> Debt!AB$356</f>
        <v>38.786676124817177</v>
      </c>
      <c r="AC31" s="186">
        <f xml:space="preserve"> Debt!AC$356</f>
        <v>37.397640139311306</v>
      </c>
      <c r="AD31" s="186">
        <f xml:space="preserve"> Debt!AD$356</f>
        <v>34.947173192578475</v>
      </c>
      <c r="AE31" s="186">
        <f xml:space="preserve"> Debt!AE$356</f>
        <v>33.231659104888649</v>
      </c>
      <c r="AF31" s="186">
        <f xml:space="preserve"> Debt!AF$356</f>
        <v>30.590598951073162</v>
      </c>
      <c r="AG31" s="186">
        <f xml:space="preserve"> Debt!AG$356</f>
        <v>28.924407723436161</v>
      </c>
      <c r="AH31" s="186">
        <f xml:space="preserve"> Debt!AH$356</f>
        <v>26.275529988742619</v>
      </c>
      <c r="AI31" s="186">
        <f xml:space="preserve"> Debt!AI$356</f>
        <v>25.960226042495378</v>
      </c>
      <c r="AJ31" s="186">
        <f xml:space="preserve"> Debt!AJ$356</f>
        <v>23.190285836318708</v>
      </c>
      <c r="AK31" s="186">
        <f xml:space="preserve"> Debt!AK$356</f>
        <v>21.148771107350512</v>
      </c>
      <c r="AL31" s="186">
        <f xml:space="preserve"> Debt!AL$356</f>
        <v>18.469374307453791</v>
      </c>
      <c r="AM31" s="186">
        <f xml:space="preserve"> Debt!AM$356</f>
        <v>16.154774996679862</v>
      </c>
      <c r="AN31" s="186">
        <f xml:space="preserve"> Debt!AN$356</f>
        <v>13.366206262256242</v>
      </c>
      <c r="AO31" s="186">
        <f xml:space="preserve"> Debt!AO$356</f>
        <v>10.975172919059901</v>
      </c>
      <c r="AP31" s="186">
        <f xml:space="preserve"> Debt!AP$356</f>
        <v>8.1689629395589236</v>
      </c>
      <c r="AQ31" s="186">
        <f xml:space="preserve"> Debt!AQ$356</f>
        <v>5.5918739092082319</v>
      </c>
      <c r="AR31" s="186">
        <f xml:space="preserve"> Debt!AR$356</f>
        <v>2.771103613091924</v>
      </c>
      <c r="AS31" s="186">
        <f xml:space="preserve"> Debt!AS$356</f>
        <v>1.1707809472015975E-6</v>
      </c>
      <c r="AT31" s="186">
        <f xml:space="preserve"> Debt!AT$356</f>
        <v>1.1580550673407136E-6</v>
      </c>
      <c r="AU31" s="186">
        <f xml:space="preserve"> Debt!AU$356</f>
        <v>1.1707809472015975E-6</v>
      </c>
      <c r="AV31" s="186">
        <f xml:space="preserve"> Debt!AV$356</f>
        <v>1.1516921274102717E-6</v>
      </c>
      <c r="AW31" s="186">
        <f xml:space="preserve"> Debt!AW$356</f>
        <v>3.8275530966206165E-7</v>
      </c>
      <c r="AX31" s="186">
        <f xml:space="preserve"> Debt!AX$356</f>
        <v>3.7651473396104918E-7</v>
      </c>
      <c r="AY31" s="186">
        <f xml:space="preserve"> Debt!AY$356</f>
        <v>3.8275530966206165E-7</v>
      </c>
      <c r="AZ31" s="186">
        <f xml:space="preserve"> Debt!AZ$356</f>
        <v>3.7651473396104918E-7</v>
      </c>
      <c r="BA31" s="186">
        <f xml:space="preserve"> Debt!BA$356</f>
        <v>3.8275530966206165E-7</v>
      </c>
      <c r="BB31" s="186">
        <f xml:space="preserve"> Debt!BB$356</f>
        <v>3.785949258613878E-7</v>
      </c>
      <c r="BC31" s="186">
        <f xml:space="preserve"> Debt!BC$356</f>
        <v>0</v>
      </c>
      <c r="BD31" s="186">
        <f xml:space="preserve"> Debt!BD$356</f>
        <v>0</v>
      </c>
      <c r="BE31" s="186">
        <f xml:space="preserve"> Debt!BE$356</f>
        <v>0</v>
      </c>
      <c r="BF31" s="186">
        <f xml:space="preserve"> Debt!BF$356</f>
        <v>0</v>
      </c>
      <c r="BG31" s="186">
        <f xml:space="preserve"> Debt!BG$356</f>
        <v>0</v>
      </c>
      <c r="BH31" s="186">
        <f xml:space="preserve"> Debt!BH$356</f>
        <v>0</v>
      </c>
      <c r="BI31" s="186">
        <f xml:space="preserve"> Debt!BI$356</f>
        <v>0</v>
      </c>
      <c r="BJ31" s="186">
        <f xml:space="preserve"> Debt!BJ$356</f>
        <v>0</v>
      </c>
      <c r="BK31" s="186">
        <f xml:space="preserve"> Debt!BK$356</f>
        <v>0</v>
      </c>
      <c r="BL31" s="186">
        <f xml:space="preserve"> Debt!BL$356</f>
        <v>0</v>
      </c>
      <c r="BM31" s="186">
        <f xml:space="preserve"> Debt!BM$356</f>
        <v>0</v>
      </c>
      <c r="BN31" s="186">
        <f xml:space="preserve"> Debt!BN$356</f>
        <v>0</v>
      </c>
      <c r="BO31" s="186">
        <f xml:space="preserve"> Debt!BO$356</f>
        <v>0</v>
      </c>
      <c r="BP31" s="186">
        <f xml:space="preserve"> Debt!BP$356</f>
        <v>0</v>
      </c>
      <c r="BQ31" s="186">
        <f xml:space="preserve"> Debt!BQ$356</f>
        <v>0</v>
      </c>
      <c r="BR31" s="186">
        <f xml:space="preserve"> Debt!BR$356</f>
        <v>0</v>
      </c>
      <c r="BS31" s="186">
        <f xml:space="preserve"> Debt!BS$356</f>
        <v>0</v>
      </c>
      <c r="BT31" s="186">
        <f xml:space="preserve"> Debt!BT$356</f>
        <v>0</v>
      </c>
      <c r="BU31" s="186">
        <f xml:space="preserve"> Debt!BU$356</f>
        <v>0</v>
      </c>
      <c r="BV31" s="186">
        <f xml:space="preserve"> Debt!BV$356</f>
        <v>0</v>
      </c>
      <c r="BW31" s="186">
        <f xml:space="preserve"> Debt!BW$356</f>
        <v>0</v>
      </c>
      <c r="BX31" s="186">
        <f xml:space="preserve"> Debt!BX$356</f>
        <v>0</v>
      </c>
      <c r="BY31" s="186">
        <f xml:space="preserve"> Debt!BY$356</f>
        <v>0</v>
      </c>
      <c r="BZ31" s="186">
        <f xml:space="preserve"> Debt!BZ$356</f>
        <v>0</v>
      </c>
      <c r="CA31" s="186">
        <f xml:space="preserve"> Debt!CA$356</f>
        <v>0</v>
      </c>
      <c r="CB31" s="186">
        <f xml:space="preserve"> Debt!CB$356</f>
        <v>0</v>
      </c>
      <c r="CC31" s="186">
        <f xml:space="preserve"> Debt!CC$356</f>
        <v>0</v>
      </c>
      <c r="CD31" s="186">
        <f xml:space="preserve"> Debt!CD$356</f>
        <v>0</v>
      </c>
      <c r="CE31" s="186">
        <f xml:space="preserve"> Debt!CE$356</f>
        <v>0</v>
      </c>
      <c r="CF31" s="186">
        <f xml:space="preserve"> Debt!CF$356</f>
        <v>0</v>
      </c>
      <c r="CG31" s="186">
        <f xml:space="preserve"> Debt!CG$356</f>
        <v>0</v>
      </c>
      <c r="CH31" s="186">
        <f xml:space="preserve"> Debt!CH$356</f>
        <v>0</v>
      </c>
      <c r="CI31" s="186">
        <f xml:space="preserve"> Debt!CI$356</f>
        <v>0</v>
      </c>
      <c r="CJ31" s="186">
        <f xml:space="preserve"> Debt!CJ$356</f>
        <v>0</v>
      </c>
      <c r="CK31" s="186">
        <f xml:space="preserve"> Debt!CK$356</f>
        <v>0</v>
      </c>
      <c r="CL31" s="186">
        <f xml:space="preserve"> Debt!CL$356</f>
        <v>0</v>
      </c>
      <c r="CM31" s="186">
        <f xml:space="preserve"> Debt!CM$356</f>
        <v>0</v>
      </c>
      <c r="CN31" s="186">
        <f xml:space="preserve"> Debt!CN$356</f>
        <v>0</v>
      </c>
      <c r="CO31" s="186">
        <f xml:space="preserve"> Debt!CO$356</f>
        <v>0</v>
      </c>
      <c r="CP31" s="186">
        <f xml:space="preserve"> Debt!CP$356</f>
        <v>0</v>
      </c>
      <c r="CQ31" s="186">
        <f xml:space="preserve"> Debt!CQ$356</f>
        <v>0</v>
      </c>
      <c r="CR31" s="186">
        <f xml:space="preserve"> Debt!CR$356</f>
        <v>0</v>
      </c>
      <c r="CS31" s="186">
        <f xml:space="preserve"> Debt!CS$356</f>
        <v>0</v>
      </c>
      <c r="CT31" s="186">
        <f xml:space="preserve"> Debt!CT$356</f>
        <v>0</v>
      </c>
      <c r="CU31" s="186">
        <f xml:space="preserve"> Debt!CU$356</f>
        <v>0</v>
      </c>
      <c r="CV31" s="186">
        <f xml:space="preserve"> Debt!CV$356</f>
        <v>0</v>
      </c>
      <c r="CW31" s="186">
        <f xml:space="preserve"> Debt!CW$356</f>
        <v>0</v>
      </c>
      <c r="CX31" s="186">
        <f xml:space="preserve"> Debt!CX$356</f>
        <v>0</v>
      </c>
      <c r="CY31" s="186">
        <f xml:space="preserve"> Debt!CY$356</f>
        <v>0</v>
      </c>
      <c r="CZ31" s="186">
        <f xml:space="preserve"> Debt!CZ$356</f>
        <v>0</v>
      </c>
      <c r="DA31" s="186">
        <f xml:space="preserve"> Debt!DA$356</f>
        <v>0</v>
      </c>
      <c r="DB31" s="186">
        <f xml:space="preserve"> Debt!DB$356</f>
        <v>0</v>
      </c>
      <c r="DC31" s="186">
        <f xml:space="preserve"> Debt!DC$356</f>
        <v>0</v>
      </c>
      <c r="DD31" s="186">
        <f xml:space="preserve"> Debt!DD$356</f>
        <v>0</v>
      </c>
      <c r="DE31" s="186">
        <f xml:space="preserve"> Debt!DE$356</f>
        <v>0</v>
      </c>
      <c r="DF31" s="186">
        <f xml:space="preserve"> Debt!DF$356</f>
        <v>0</v>
      </c>
      <c r="DG31" s="186">
        <f xml:space="preserve"> Debt!DG$356</f>
        <v>0</v>
      </c>
      <c r="DH31" s="186">
        <f xml:space="preserve"> Debt!DH$356</f>
        <v>0</v>
      </c>
      <c r="DI31" s="186">
        <f xml:space="preserve"> Debt!DI$356</f>
        <v>0</v>
      </c>
      <c r="DJ31" s="186">
        <f xml:space="preserve"> Debt!DJ$356</f>
        <v>0</v>
      </c>
      <c r="DK31" s="186">
        <f xml:space="preserve"> Debt!DK$356</f>
        <v>0</v>
      </c>
      <c r="DL31" s="186">
        <f xml:space="preserve"> Debt!DL$356</f>
        <v>0</v>
      </c>
      <c r="DM31" s="186">
        <f xml:space="preserve"> Debt!DM$356</f>
        <v>0</v>
      </c>
      <c r="DN31" s="186">
        <f xml:space="preserve"> Debt!DN$356</f>
        <v>0</v>
      </c>
      <c r="DO31" s="186">
        <f xml:space="preserve"> Debt!DO$356</f>
        <v>0</v>
      </c>
      <c r="DP31" s="186">
        <f xml:space="preserve"> Debt!DP$356</f>
        <v>0</v>
      </c>
      <c r="DQ31" s="186">
        <f xml:space="preserve"> Debt!DQ$356</f>
        <v>0</v>
      </c>
      <c r="DR31" s="186">
        <f xml:space="preserve"> Debt!DR$356</f>
        <v>0</v>
      </c>
      <c r="DS31" s="186">
        <f xml:space="preserve"> Debt!DS$356</f>
        <v>0</v>
      </c>
      <c r="DT31" s="186">
        <f xml:space="preserve"> Debt!DT$356</f>
        <v>0</v>
      </c>
      <c r="DU31" s="186">
        <f xml:space="preserve"> Debt!DU$356</f>
        <v>0</v>
      </c>
      <c r="DV31" s="186">
        <f xml:space="preserve"> Debt!DV$356</f>
        <v>0</v>
      </c>
      <c r="DW31" s="186">
        <f xml:space="preserve"> Debt!DW$356</f>
        <v>0</v>
      </c>
      <c r="DX31" s="186">
        <f xml:space="preserve"> Debt!DX$356</f>
        <v>0</v>
      </c>
      <c r="DY31" s="186">
        <f xml:space="preserve"> Debt!DY$356</f>
        <v>0</v>
      </c>
      <c r="DZ31" s="186">
        <f xml:space="preserve"> Debt!DZ$356</f>
        <v>0</v>
      </c>
      <c r="EA31" s="186">
        <f xml:space="preserve"> Debt!EA$356</f>
        <v>0</v>
      </c>
      <c r="EB31" s="186">
        <f xml:space="preserve"> Debt!EB$356</f>
        <v>0</v>
      </c>
      <c r="EC31" s="186">
        <f xml:space="preserve"> Debt!EC$356</f>
        <v>0</v>
      </c>
      <c r="ED31" s="186">
        <f xml:space="preserve"> Debt!ED$356</f>
        <v>0</v>
      </c>
      <c r="EE31" s="186">
        <f xml:space="preserve"> Debt!EE$356</f>
        <v>0</v>
      </c>
      <c r="EF31" s="186">
        <f xml:space="preserve"> Debt!EF$356</f>
        <v>0</v>
      </c>
      <c r="EG31" s="186">
        <f xml:space="preserve"> Debt!EG$356</f>
        <v>0</v>
      </c>
      <c r="EH31" s="186">
        <f xml:space="preserve"> Debt!EH$356</f>
        <v>0</v>
      </c>
      <c r="EI31" s="186">
        <f xml:space="preserve"> Debt!EI$356</f>
        <v>0</v>
      </c>
      <c r="EJ31" s="186">
        <f xml:space="preserve"> Debt!EJ$356</f>
        <v>0</v>
      </c>
      <c r="EK31" s="186">
        <f xml:space="preserve"> Debt!EK$356</f>
        <v>0</v>
      </c>
      <c r="EL31" s="186">
        <f xml:space="preserve"> Debt!EL$356</f>
        <v>0</v>
      </c>
      <c r="EM31" s="186">
        <f xml:space="preserve"> Debt!EM$356</f>
        <v>0</v>
      </c>
      <c r="EN31" s="186">
        <f xml:space="preserve"> Debt!EN$356</f>
        <v>0</v>
      </c>
      <c r="EO31" s="186">
        <f xml:space="preserve"> Debt!EO$356</f>
        <v>0</v>
      </c>
      <c r="EP31" s="186">
        <f xml:space="preserve"> Debt!EP$356</f>
        <v>0</v>
      </c>
      <c r="EQ31" s="186">
        <f xml:space="preserve"> Debt!EQ$356</f>
        <v>0</v>
      </c>
      <c r="ER31" s="186">
        <f xml:space="preserve"> Debt!ER$356</f>
        <v>0</v>
      </c>
      <c r="ES31" s="186">
        <f xml:space="preserve"> Debt!ES$356</f>
        <v>0</v>
      </c>
      <c r="ET31" s="186">
        <f xml:space="preserve"> Debt!ET$356</f>
        <v>0</v>
      </c>
      <c r="EU31" s="186">
        <f xml:space="preserve"> Debt!EU$356</f>
        <v>0</v>
      </c>
      <c r="EV31" s="186">
        <f xml:space="preserve"> Debt!EV$356</f>
        <v>0</v>
      </c>
      <c r="EW31" s="186">
        <f xml:space="preserve"> Debt!EW$356</f>
        <v>0</v>
      </c>
      <c r="EX31" s="186">
        <f xml:space="preserve"> Debt!EX$356</f>
        <v>0</v>
      </c>
      <c r="EY31" s="186">
        <f xml:space="preserve"> Debt!EY$356</f>
        <v>0</v>
      </c>
      <c r="EZ31" s="186">
        <f xml:space="preserve"> Debt!EZ$356</f>
        <v>0</v>
      </c>
      <c r="FA31" s="186">
        <f xml:space="preserve"> Debt!FA$356</f>
        <v>0</v>
      </c>
      <c r="FB31" s="186">
        <f xml:space="preserve"> Debt!FB$356</f>
        <v>0</v>
      </c>
      <c r="FC31" s="186">
        <f xml:space="preserve"> Debt!FC$356</f>
        <v>0</v>
      </c>
      <c r="FD31" s="186">
        <f xml:space="preserve"> Debt!FD$356</f>
        <v>0</v>
      </c>
      <c r="FE31" s="186">
        <f xml:space="preserve"> Debt!FE$356</f>
        <v>0</v>
      </c>
      <c r="FF31" s="186">
        <f xml:space="preserve"> Debt!FF$356</f>
        <v>0</v>
      </c>
      <c r="FG31" s="186">
        <f xml:space="preserve"> Debt!FG$356</f>
        <v>0</v>
      </c>
      <c r="FH31" s="186">
        <f xml:space="preserve"> Debt!FH$356</f>
        <v>0</v>
      </c>
      <c r="FI31" s="186">
        <f xml:space="preserve"> Debt!FI$356</f>
        <v>0</v>
      </c>
      <c r="FJ31" s="186">
        <f xml:space="preserve"> Debt!FJ$356</f>
        <v>0</v>
      </c>
      <c r="FK31" s="186">
        <f xml:space="preserve"> Debt!FK$356</f>
        <v>0</v>
      </c>
      <c r="FL31" s="186">
        <f xml:space="preserve"> Debt!FL$356</f>
        <v>0</v>
      </c>
      <c r="FM31" s="186">
        <f xml:space="preserve"> Debt!FM$356</f>
        <v>0</v>
      </c>
      <c r="FN31" s="186">
        <f xml:space="preserve"> Debt!FN$356</f>
        <v>0</v>
      </c>
      <c r="FO31" s="186">
        <f xml:space="preserve"> Debt!FO$356</f>
        <v>0</v>
      </c>
      <c r="FP31" s="186">
        <f xml:space="preserve"> Debt!FP$356</f>
        <v>0</v>
      </c>
      <c r="FQ31" s="186">
        <f xml:space="preserve"> Debt!FQ$356</f>
        <v>0</v>
      </c>
      <c r="FR31" s="186">
        <f xml:space="preserve"> Debt!FR$356</f>
        <v>0</v>
      </c>
      <c r="FS31" s="186">
        <f xml:space="preserve"> Debt!FS$356</f>
        <v>0</v>
      </c>
      <c r="FT31" s="186">
        <f xml:space="preserve"> Debt!FT$356</f>
        <v>0</v>
      </c>
      <c r="FU31" s="186">
        <f xml:space="preserve"> Debt!FU$356</f>
        <v>0</v>
      </c>
      <c r="FV31" s="186">
        <f xml:space="preserve"> Debt!FV$356</f>
        <v>0</v>
      </c>
      <c r="FW31" s="186">
        <f xml:space="preserve"> Debt!FW$356</f>
        <v>0</v>
      </c>
      <c r="FX31" s="186">
        <f xml:space="preserve"> Debt!FX$356</f>
        <v>0</v>
      </c>
      <c r="FY31" s="186">
        <f xml:space="preserve"> Debt!FY$356</f>
        <v>0</v>
      </c>
      <c r="FZ31" s="186">
        <f xml:space="preserve"> Debt!FZ$356</f>
        <v>0</v>
      </c>
      <c r="GA31" s="186">
        <f xml:space="preserve"> Debt!GA$356</f>
        <v>0</v>
      </c>
      <c r="GB31" s="186">
        <f xml:space="preserve"> Debt!GB$356</f>
        <v>0</v>
      </c>
      <c r="GC31" s="186">
        <f xml:space="preserve"> Debt!GC$356</f>
        <v>0</v>
      </c>
      <c r="GD31" s="186">
        <f xml:space="preserve"> Debt!GD$356</f>
        <v>0</v>
      </c>
      <c r="GE31" s="186">
        <f xml:space="preserve"> Debt!GE$356</f>
        <v>0</v>
      </c>
      <c r="GF31" s="186">
        <f xml:space="preserve"> Debt!GF$356</f>
        <v>0</v>
      </c>
      <c r="GG31" s="186">
        <f xml:space="preserve"> Debt!GG$356</f>
        <v>0</v>
      </c>
      <c r="GH31" s="186">
        <f xml:space="preserve"> Debt!GH$356</f>
        <v>0</v>
      </c>
      <c r="GI31" s="186">
        <f xml:space="preserve"> Debt!GI$356</f>
        <v>0</v>
      </c>
      <c r="GJ31" s="186">
        <f xml:space="preserve"> Debt!GJ$356</f>
        <v>0</v>
      </c>
    </row>
    <row r="32" spans="1:192" s="77" customFormat="1" outlineLevel="1" x14ac:dyDescent="0.2">
      <c r="A32" s="712"/>
      <c r="B32" s="712"/>
      <c r="C32" s="713"/>
      <c r="D32" s="714"/>
      <c r="E32" s="68" t="str">
        <f xml:space="preserve"> Debt!E$397</f>
        <v>Standby debt interest - T1 POS</v>
      </c>
      <c r="F32" s="68">
        <f xml:space="preserve"> Debt!F$397</f>
        <v>0</v>
      </c>
      <c r="G32" s="68" t="str">
        <f xml:space="preserve"> Debt!G$397</f>
        <v>$ 000s</v>
      </c>
      <c r="H32" s="68">
        <f xml:space="preserve"> Debt!H$397</f>
        <v>0</v>
      </c>
      <c r="I32" s="68">
        <f xml:space="preserve"> Debt!I$397</f>
        <v>0</v>
      </c>
      <c r="J32" s="68">
        <f xml:space="preserve"> Debt!J$397</f>
        <v>0</v>
      </c>
      <c r="K32" s="68">
        <f xml:space="preserve"> Debt!K$397</f>
        <v>0</v>
      </c>
      <c r="L32" s="68">
        <f xml:space="preserve"> Debt!L$397</f>
        <v>0</v>
      </c>
      <c r="M32" s="68">
        <f xml:space="preserve"> Debt!M$397</f>
        <v>0</v>
      </c>
      <c r="N32" s="68">
        <f xml:space="preserve"> Debt!N$397</f>
        <v>0</v>
      </c>
      <c r="O32" s="68">
        <f xml:space="preserve"> Debt!O$397</f>
        <v>0</v>
      </c>
      <c r="P32" s="68">
        <f xml:space="preserve"> Debt!P$397</f>
        <v>0</v>
      </c>
      <c r="Q32" s="68">
        <f xml:space="preserve"> Debt!Q$397</f>
        <v>0</v>
      </c>
      <c r="R32" s="68">
        <f xml:space="preserve"> Debt!R$397</f>
        <v>0</v>
      </c>
      <c r="S32" s="68">
        <f xml:space="preserve"> Debt!S$397</f>
        <v>0</v>
      </c>
      <c r="T32" s="68">
        <f xml:space="preserve"> Debt!T$397</f>
        <v>0</v>
      </c>
      <c r="U32" s="68">
        <f xml:space="preserve"> Debt!U$397</f>
        <v>0</v>
      </c>
      <c r="V32" s="68">
        <f xml:space="preserve"> Debt!V$397</f>
        <v>0</v>
      </c>
      <c r="W32" s="68">
        <f xml:space="preserve"> Debt!W$397</f>
        <v>0</v>
      </c>
      <c r="X32" s="68">
        <f xml:space="preserve"> Debt!X$397</f>
        <v>0</v>
      </c>
      <c r="Y32" s="68">
        <f xml:space="preserve"> Debt!Y$397</f>
        <v>0</v>
      </c>
      <c r="Z32" s="68">
        <f xml:space="preserve"> Debt!Z$397</f>
        <v>0</v>
      </c>
      <c r="AA32" s="68">
        <f xml:space="preserve"> Debt!AA$397</f>
        <v>0</v>
      </c>
      <c r="AB32" s="68">
        <f xml:space="preserve"> Debt!AB$397</f>
        <v>0</v>
      </c>
      <c r="AC32" s="68">
        <f xml:space="preserve"> Debt!AC$397</f>
        <v>0</v>
      </c>
      <c r="AD32" s="68">
        <f xml:space="preserve"> Debt!AD$397</f>
        <v>0</v>
      </c>
      <c r="AE32" s="68">
        <f xml:space="preserve"> Debt!AE$397</f>
        <v>0</v>
      </c>
      <c r="AF32" s="68">
        <f xml:space="preserve"> Debt!AF$397</f>
        <v>0</v>
      </c>
      <c r="AG32" s="68">
        <f xml:space="preserve"> Debt!AG$397</f>
        <v>0</v>
      </c>
      <c r="AH32" s="68">
        <f xml:space="preserve"> Debt!AH$397</f>
        <v>0</v>
      </c>
      <c r="AI32" s="68">
        <f xml:space="preserve"> Debt!AI$397</f>
        <v>0</v>
      </c>
      <c r="AJ32" s="68">
        <f xml:space="preserve"> Debt!AJ$397</f>
        <v>0</v>
      </c>
      <c r="AK32" s="68">
        <f xml:space="preserve"> Debt!AK$397</f>
        <v>0</v>
      </c>
      <c r="AL32" s="68">
        <f xml:space="preserve"> Debt!AL$397</f>
        <v>0</v>
      </c>
      <c r="AM32" s="68">
        <f xml:space="preserve"> Debt!AM$397</f>
        <v>0</v>
      </c>
      <c r="AN32" s="68">
        <f xml:space="preserve"> Debt!AN$397</f>
        <v>0</v>
      </c>
      <c r="AO32" s="68">
        <f xml:space="preserve"> Debt!AO$397</f>
        <v>0</v>
      </c>
      <c r="AP32" s="68">
        <f xml:space="preserve"> Debt!AP$397</f>
        <v>0</v>
      </c>
      <c r="AQ32" s="68">
        <f xml:space="preserve"> Debt!AQ$397</f>
        <v>0</v>
      </c>
      <c r="AR32" s="68">
        <f xml:space="preserve"> Debt!AR$397</f>
        <v>0</v>
      </c>
      <c r="AS32" s="68">
        <f xml:space="preserve"> Debt!AS$397</f>
        <v>0</v>
      </c>
      <c r="AT32" s="68">
        <f xml:space="preserve"> Debt!AT$397</f>
        <v>0</v>
      </c>
      <c r="AU32" s="68">
        <f xml:space="preserve"> Debt!AU$397</f>
        <v>0</v>
      </c>
      <c r="AV32" s="68">
        <f xml:space="preserve"> Debt!AV$397</f>
        <v>0</v>
      </c>
      <c r="AW32" s="68">
        <f xml:space="preserve"> Debt!AW$397</f>
        <v>0</v>
      </c>
      <c r="AX32" s="68">
        <f xml:space="preserve"> Debt!AX$397</f>
        <v>0</v>
      </c>
      <c r="AY32" s="68">
        <f xml:space="preserve"> Debt!AY$397</f>
        <v>0</v>
      </c>
      <c r="AZ32" s="68">
        <f xml:space="preserve"> Debt!AZ$397</f>
        <v>0</v>
      </c>
      <c r="BA32" s="68">
        <f xml:space="preserve"> Debt!BA$397</f>
        <v>0</v>
      </c>
      <c r="BB32" s="68">
        <f xml:space="preserve"> Debt!BB$397</f>
        <v>0</v>
      </c>
      <c r="BC32" s="68">
        <f xml:space="preserve"> Debt!BC$397</f>
        <v>0</v>
      </c>
      <c r="BD32" s="68">
        <f xml:space="preserve"> Debt!BD$397</f>
        <v>0</v>
      </c>
      <c r="BE32" s="68">
        <f xml:space="preserve"> Debt!BE$397</f>
        <v>0</v>
      </c>
      <c r="BF32" s="68">
        <f xml:space="preserve"> Debt!BF$397</f>
        <v>0</v>
      </c>
      <c r="BG32" s="68">
        <f xml:space="preserve"> Debt!BG$397</f>
        <v>0</v>
      </c>
      <c r="BH32" s="68">
        <f xml:space="preserve"> Debt!BH$397</f>
        <v>0</v>
      </c>
      <c r="BI32" s="68">
        <f xml:space="preserve"> Debt!BI$397</f>
        <v>0</v>
      </c>
      <c r="BJ32" s="68">
        <f xml:space="preserve"> Debt!BJ$397</f>
        <v>0</v>
      </c>
      <c r="BK32" s="68">
        <f xml:space="preserve"> Debt!BK$397</f>
        <v>0</v>
      </c>
      <c r="BL32" s="68">
        <f xml:space="preserve"> Debt!BL$397</f>
        <v>0</v>
      </c>
      <c r="BM32" s="68">
        <f xml:space="preserve"> Debt!BM$397</f>
        <v>0</v>
      </c>
      <c r="BN32" s="68">
        <f xml:space="preserve"> Debt!BN$397</f>
        <v>0</v>
      </c>
      <c r="BO32" s="68">
        <f xml:space="preserve"> Debt!BO$397</f>
        <v>0</v>
      </c>
      <c r="BP32" s="68">
        <f xml:space="preserve"> Debt!BP$397</f>
        <v>0</v>
      </c>
      <c r="BQ32" s="68">
        <f xml:space="preserve"> Debt!BQ$397</f>
        <v>0</v>
      </c>
      <c r="BR32" s="68">
        <f xml:space="preserve"> Debt!BR$397</f>
        <v>0</v>
      </c>
      <c r="BS32" s="68">
        <f xml:space="preserve"> Debt!BS$397</f>
        <v>0</v>
      </c>
      <c r="BT32" s="68">
        <f xml:space="preserve"> Debt!BT$397</f>
        <v>0</v>
      </c>
      <c r="BU32" s="68">
        <f xml:space="preserve"> Debt!BU$397</f>
        <v>0</v>
      </c>
      <c r="BV32" s="68">
        <f xml:space="preserve"> Debt!BV$397</f>
        <v>0</v>
      </c>
      <c r="BW32" s="68">
        <f xml:space="preserve"> Debt!BW$397</f>
        <v>0</v>
      </c>
      <c r="BX32" s="68">
        <f xml:space="preserve"> Debt!BX$397</f>
        <v>0</v>
      </c>
      <c r="BY32" s="68">
        <f xml:space="preserve"> Debt!BY$397</f>
        <v>0</v>
      </c>
      <c r="BZ32" s="68">
        <f xml:space="preserve"> Debt!BZ$397</f>
        <v>0</v>
      </c>
      <c r="CA32" s="68">
        <f xml:space="preserve"> Debt!CA$397</f>
        <v>0</v>
      </c>
      <c r="CB32" s="68">
        <f xml:space="preserve"> Debt!CB$397</f>
        <v>0</v>
      </c>
      <c r="CC32" s="68">
        <f xml:space="preserve"> Debt!CC$397</f>
        <v>0</v>
      </c>
      <c r="CD32" s="68">
        <f xml:space="preserve"> Debt!CD$397</f>
        <v>0</v>
      </c>
      <c r="CE32" s="68">
        <f xml:space="preserve"> Debt!CE$397</f>
        <v>0</v>
      </c>
      <c r="CF32" s="68">
        <f xml:space="preserve"> Debt!CF$397</f>
        <v>0</v>
      </c>
      <c r="CG32" s="68">
        <f xml:space="preserve"> Debt!CG$397</f>
        <v>0</v>
      </c>
      <c r="CH32" s="68">
        <f xml:space="preserve"> Debt!CH$397</f>
        <v>0</v>
      </c>
      <c r="CI32" s="68">
        <f xml:space="preserve"> Debt!CI$397</f>
        <v>0</v>
      </c>
      <c r="CJ32" s="68">
        <f xml:space="preserve"> Debt!CJ$397</f>
        <v>0</v>
      </c>
      <c r="CK32" s="68">
        <f xml:space="preserve"> Debt!CK$397</f>
        <v>0</v>
      </c>
      <c r="CL32" s="68">
        <f xml:space="preserve"> Debt!CL$397</f>
        <v>0</v>
      </c>
      <c r="CM32" s="68">
        <f xml:space="preserve"> Debt!CM$397</f>
        <v>0</v>
      </c>
      <c r="CN32" s="68">
        <f xml:space="preserve"> Debt!CN$397</f>
        <v>0</v>
      </c>
      <c r="CO32" s="68">
        <f xml:space="preserve"> Debt!CO$397</f>
        <v>0</v>
      </c>
      <c r="CP32" s="68">
        <f xml:space="preserve"> Debt!CP$397</f>
        <v>0</v>
      </c>
      <c r="CQ32" s="68">
        <f xml:space="preserve"> Debt!CQ$397</f>
        <v>0</v>
      </c>
      <c r="CR32" s="68">
        <f xml:space="preserve"> Debt!CR$397</f>
        <v>0</v>
      </c>
      <c r="CS32" s="68">
        <f xml:space="preserve"> Debt!CS$397</f>
        <v>0</v>
      </c>
      <c r="CT32" s="68">
        <f xml:space="preserve"> Debt!CT$397</f>
        <v>0</v>
      </c>
      <c r="CU32" s="68">
        <f xml:space="preserve"> Debt!CU$397</f>
        <v>0</v>
      </c>
      <c r="CV32" s="68">
        <f xml:space="preserve"> Debt!CV$397</f>
        <v>0</v>
      </c>
    </row>
    <row r="33" spans="1:192" s="77" customFormat="1" outlineLevel="1" x14ac:dyDescent="0.2">
      <c r="A33" s="712"/>
      <c r="B33" s="712"/>
      <c r="C33" s="713"/>
      <c r="D33" s="714"/>
      <c r="E33" s="68" t="str">
        <f xml:space="preserve"> Debt!E$429</f>
        <v>Standby debt interest - T2 POS</v>
      </c>
      <c r="F33" s="68">
        <f xml:space="preserve"> Debt!F$429</f>
        <v>0</v>
      </c>
      <c r="G33" s="68" t="str">
        <f xml:space="preserve"> Debt!G$429</f>
        <v>$ 000s</v>
      </c>
      <c r="H33" s="68">
        <f xml:space="preserve"> Debt!H$429</f>
        <v>0</v>
      </c>
      <c r="I33" s="68">
        <f xml:space="preserve"> Debt!I$429</f>
        <v>0</v>
      </c>
      <c r="J33" s="68">
        <f xml:space="preserve"> Debt!J$429</f>
        <v>0</v>
      </c>
      <c r="K33" s="68">
        <f xml:space="preserve"> Debt!K$429</f>
        <v>0</v>
      </c>
      <c r="L33" s="68">
        <f xml:space="preserve"> Debt!L$429</f>
        <v>0</v>
      </c>
      <c r="M33" s="68">
        <f xml:space="preserve"> Debt!M$429</f>
        <v>0</v>
      </c>
      <c r="N33" s="68">
        <f xml:space="preserve"> Debt!N$429</f>
        <v>0</v>
      </c>
      <c r="O33" s="68">
        <f xml:space="preserve"> Debt!O$429</f>
        <v>0</v>
      </c>
      <c r="P33" s="68">
        <f xml:space="preserve"> Debt!P$429</f>
        <v>0</v>
      </c>
      <c r="Q33" s="68">
        <f xml:space="preserve"> Debt!Q$429</f>
        <v>0</v>
      </c>
      <c r="R33" s="68">
        <f xml:space="preserve"> Debt!R$429</f>
        <v>0</v>
      </c>
      <c r="S33" s="68">
        <f xml:space="preserve"> Debt!S$429</f>
        <v>0</v>
      </c>
      <c r="T33" s="68">
        <f xml:space="preserve"> Debt!T$429</f>
        <v>0</v>
      </c>
      <c r="U33" s="68">
        <f xml:space="preserve"> Debt!U$429</f>
        <v>0</v>
      </c>
      <c r="V33" s="68">
        <f xml:space="preserve"> Debt!V$429</f>
        <v>0</v>
      </c>
      <c r="W33" s="68">
        <f xml:space="preserve"> Debt!W$429</f>
        <v>0</v>
      </c>
      <c r="X33" s="68">
        <f xml:space="preserve"> Debt!X$429</f>
        <v>0</v>
      </c>
      <c r="Y33" s="68">
        <f xml:space="preserve"> Debt!Y$429</f>
        <v>0</v>
      </c>
      <c r="Z33" s="68">
        <f xml:space="preserve"> Debt!Z$429</f>
        <v>0</v>
      </c>
      <c r="AA33" s="68">
        <f xml:space="preserve"> Debt!AA$429</f>
        <v>0</v>
      </c>
      <c r="AB33" s="68">
        <f xml:space="preserve"> Debt!AB$429</f>
        <v>0</v>
      </c>
      <c r="AC33" s="68">
        <f xml:space="preserve"> Debt!AC$429</f>
        <v>0</v>
      </c>
      <c r="AD33" s="68">
        <f xml:space="preserve"> Debt!AD$429</f>
        <v>0</v>
      </c>
      <c r="AE33" s="68">
        <f xml:space="preserve"> Debt!AE$429</f>
        <v>0</v>
      </c>
      <c r="AF33" s="68">
        <f xml:space="preserve"> Debt!AF$429</f>
        <v>0</v>
      </c>
      <c r="AG33" s="68">
        <f xml:space="preserve"> Debt!AG$429</f>
        <v>0</v>
      </c>
      <c r="AH33" s="68">
        <f xml:space="preserve"> Debt!AH$429</f>
        <v>0</v>
      </c>
      <c r="AI33" s="68">
        <f xml:space="preserve"> Debt!AI$429</f>
        <v>0</v>
      </c>
      <c r="AJ33" s="68">
        <f xml:space="preserve"> Debt!AJ$429</f>
        <v>0</v>
      </c>
      <c r="AK33" s="68">
        <f xml:space="preserve"> Debt!AK$429</f>
        <v>0</v>
      </c>
      <c r="AL33" s="68">
        <f xml:space="preserve"> Debt!AL$429</f>
        <v>0</v>
      </c>
      <c r="AM33" s="68">
        <f xml:space="preserve"> Debt!AM$429</f>
        <v>0</v>
      </c>
      <c r="AN33" s="68">
        <f xml:space="preserve"> Debt!AN$429</f>
        <v>0</v>
      </c>
      <c r="AO33" s="68">
        <f xml:space="preserve"> Debt!AO$429</f>
        <v>0</v>
      </c>
      <c r="AP33" s="68">
        <f xml:space="preserve"> Debt!AP$429</f>
        <v>0</v>
      </c>
      <c r="AQ33" s="68">
        <f xml:space="preserve"> Debt!AQ$429</f>
        <v>0</v>
      </c>
      <c r="AR33" s="68">
        <f xml:space="preserve"> Debt!AR$429</f>
        <v>0</v>
      </c>
      <c r="AS33" s="68">
        <f xml:space="preserve"> Debt!AS$429</f>
        <v>0</v>
      </c>
      <c r="AT33" s="68">
        <f xml:space="preserve"> Debt!AT$429</f>
        <v>0</v>
      </c>
      <c r="AU33" s="68">
        <f xml:space="preserve"> Debt!AU$429</f>
        <v>0</v>
      </c>
      <c r="AV33" s="68">
        <f xml:space="preserve"> Debt!AV$429</f>
        <v>0</v>
      </c>
      <c r="AW33" s="68">
        <f xml:space="preserve"> Debt!AW$429</f>
        <v>0</v>
      </c>
      <c r="AX33" s="68">
        <f xml:space="preserve"> Debt!AX$429</f>
        <v>0</v>
      </c>
      <c r="AY33" s="68">
        <f xml:space="preserve"> Debt!AY$429</f>
        <v>0</v>
      </c>
      <c r="AZ33" s="68">
        <f xml:space="preserve"> Debt!AZ$429</f>
        <v>0</v>
      </c>
      <c r="BA33" s="68">
        <f xml:space="preserve"> Debt!BA$429</f>
        <v>0</v>
      </c>
      <c r="BB33" s="68">
        <f xml:space="preserve"> Debt!BB$429</f>
        <v>0</v>
      </c>
      <c r="BC33" s="68">
        <f xml:space="preserve"> Debt!BC$429</f>
        <v>0</v>
      </c>
      <c r="BD33" s="68">
        <f xml:space="preserve"> Debt!BD$429</f>
        <v>0</v>
      </c>
      <c r="BE33" s="68">
        <f xml:space="preserve"> Debt!BE$429</f>
        <v>0</v>
      </c>
      <c r="BF33" s="68">
        <f xml:space="preserve"> Debt!BF$429</f>
        <v>0</v>
      </c>
      <c r="BG33" s="68">
        <f xml:space="preserve"> Debt!BG$429</f>
        <v>0</v>
      </c>
      <c r="BH33" s="68">
        <f xml:space="preserve"> Debt!BH$429</f>
        <v>0</v>
      </c>
      <c r="BI33" s="68">
        <f xml:space="preserve"> Debt!BI$429</f>
        <v>0</v>
      </c>
      <c r="BJ33" s="68">
        <f xml:space="preserve"> Debt!BJ$429</f>
        <v>0</v>
      </c>
      <c r="BK33" s="68">
        <f xml:space="preserve"> Debt!BK$429</f>
        <v>0</v>
      </c>
      <c r="BL33" s="68">
        <f xml:space="preserve"> Debt!BL$429</f>
        <v>0</v>
      </c>
      <c r="BM33" s="68">
        <f xml:space="preserve"> Debt!BM$429</f>
        <v>0</v>
      </c>
      <c r="BN33" s="68">
        <f xml:space="preserve"> Debt!BN$429</f>
        <v>0</v>
      </c>
      <c r="BO33" s="68">
        <f xml:space="preserve"> Debt!BO$429</f>
        <v>0</v>
      </c>
      <c r="BP33" s="68">
        <f xml:space="preserve"> Debt!BP$429</f>
        <v>0</v>
      </c>
      <c r="BQ33" s="68">
        <f xml:space="preserve"> Debt!BQ$429</f>
        <v>0</v>
      </c>
      <c r="BR33" s="68">
        <f xml:space="preserve"> Debt!BR$429</f>
        <v>0</v>
      </c>
      <c r="BS33" s="68">
        <f xml:space="preserve"> Debt!BS$429</f>
        <v>0</v>
      </c>
      <c r="BT33" s="68">
        <f xml:space="preserve"> Debt!BT$429</f>
        <v>0</v>
      </c>
      <c r="BU33" s="68">
        <f xml:space="preserve"> Debt!BU$429</f>
        <v>0</v>
      </c>
      <c r="BV33" s="68">
        <f xml:space="preserve"> Debt!BV$429</f>
        <v>0</v>
      </c>
      <c r="BW33" s="68">
        <f xml:space="preserve"> Debt!BW$429</f>
        <v>0</v>
      </c>
      <c r="BX33" s="68">
        <f xml:space="preserve"> Debt!BX$429</f>
        <v>0</v>
      </c>
      <c r="BY33" s="68">
        <f xml:space="preserve"> Debt!BY$429</f>
        <v>0</v>
      </c>
      <c r="BZ33" s="68">
        <f xml:space="preserve"> Debt!BZ$429</f>
        <v>0</v>
      </c>
      <c r="CA33" s="68">
        <f xml:space="preserve"> Debt!CA$429</f>
        <v>0</v>
      </c>
      <c r="CB33" s="68">
        <f xml:space="preserve"> Debt!CB$429</f>
        <v>0</v>
      </c>
      <c r="CC33" s="68">
        <f xml:space="preserve"> Debt!CC$429</f>
        <v>0</v>
      </c>
      <c r="CD33" s="68">
        <f xml:space="preserve"> Debt!CD$429</f>
        <v>0</v>
      </c>
      <c r="CE33" s="68">
        <f xml:space="preserve"> Debt!CE$429</f>
        <v>0</v>
      </c>
      <c r="CF33" s="68">
        <f xml:space="preserve"> Debt!CF$429</f>
        <v>0</v>
      </c>
      <c r="CG33" s="68">
        <f xml:space="preserve"> Debt!CG$429</f>
        <v>0</v>
      </c>
      <c r="CH33" s="68">
        <f xml:space="preserve"> Debt!CH$429</f>
        <v>0</v>
      </c>
      <c r="CI33" s="68">
        <f xml:space="preserve"> Debt!CI$429</f>
        <v>0</v>
      </c>
      <c r="CJ33" s="68">
        <f xml:space="preserve"> Debt!CJ$429</f>
        <v>0</v>
      </c>
      <c r="CK33" s="68">
        <f xml:space="preserve"> Debt!CK$429</f>
        <v>0</v>
      </c>
      <c r="CL33" s="68">
        <f xml:space="preserve"> Debt!CL$429</f>
        <v>0</v>
      </c>
      <c r="CM33" s="68">
        <f xml:space="preserve"> Debt!CM$429</f>
        <v>0</v>
      </c>
      <c r="CN33" s="68">
        <f xml:space="preserve"> Debt!CN$429</f>
        <v>0</v>
      </c>
      <c r="CO33" s="68">
        <f xml:space="preserve"> Debt!CO$429</f>
        <v>0</v>
      </c>
      <c r="CP33" s="68">
        <f xml:space="preserve"> Debt!CP$429</f>
        <v>0</v>
      </c>
      <c r="CQ33" s="68">
        <f xml:space="preserve"> Debt!CQ$429</f>
        <v>0</v>
      </c>
      <c r="CR33" s="68">
        <f xml:space="preserve"> Debt!CR$429</f>
        <v>0</v>
      </c>
      <c r="CS33" s="68">
        <f xml:space="preserve"> Debt!CS$429</f>
        <v>0</v>
      </c>
      <c r="CT33" s="68">
        <f xml:space="preserve"> Debt!CT$429</f>
        <v>0</v>
      </c>
      <c r="CU33" s="68">
        <f xml:space="preserve"> Debt!CU$429</f>
        <v>0</v>
      </c>
      <c r="CV33" s="68">
        <f xml:space="preserve"> Debt!CV$429</f>
        <v>0</v>
      </c>
    </row>
    <row r="34" spans="1:192" s="732" customFormat="1" outlineLevel="1" x14ac:dyDescent="0.2">
      <c r="A34" s="522"/>
      <c r="B34" s="522"/>
      <c r="C34" s="523"/>
      <c r="D34" s="524"/>
      <c r="E34" s="760" t="str">
        <f xml:space="preserve"> Debt!E$714</f>
        <v>Equity bridge interest POS</v>
      </c>
      <c r="F34" s="760">
        <f xml:space="preserve"> Debt!F$714</f>
        <v>0</v>
      </c>
      <c r="G34" s="760" t="str">
        <f xml:space="preserve"> Debt!G$714</f>
        <v>$ 000s</v>
      </c>
      <c r="H34" s="760">
        <f xml:space="preserve"> Debt!H$714</f>
        <v>0</v>
      </c>
      <c r="I34" s="760">
        <f xml:space="preserve"> Debt!I$714</f>
        <v>0</v>
      </c>
      <c r="J34" s="760">
        <f xml:space="preserve"> Debt!J$714</f>
        <v>0</v>
      </c>
      <c r="K34" s="760">
        <f xml:space="preserve"> Debt!K$714</f>
        <v>0</v>
      </c>
      <c r="L34" s="760">
        <f xml:space="preserve"> Debt!L$714</f>
        <v>0</v>
      </c>
      <c r="M34" s="760">
        <f xml:space="preserve"> Debt!M$714</f>
        <v>0</v>
      </c>
      <c r="N34" s="760">
        <f xml:space="preserve"> Debt!N$714</f>
        <v>0</v>
      </c>
      <c r="O34" s="760">
        <f xml:space="preserve"> Debt!O$714</f>
        <v>0</v>
      </c>
      <c r="P34" s="760">
        <f xml:space="preserve"> Debt!P$714</f>
        <v>0</v>
      </c>
      <c r="Q34" s="760">
        <f xml:space="preserve"> Debt!Q$714</f>
        <v>0</v>
      </c>
      <c r="R34" s="760">
        <f xml:space="preserve"> Debt!R$714</f>
        <v>0</v>
      </c>
      <c r="S34" s="760">
        <f xml:space="preserve"> Debt!S$714</f>
        <v>0</v>
      </c>
      <c r="T34" s="760">
        <f xml:space="preserve"> Debt!T$714</f>
        <v>0</v>
      </c>
      <c r="U34" s="760">
        <f xml:space="preserve"> Debt!U$714</f>
        <v>0</v>
      </c>
      <c r="V34" s="760">
        <f xml:space="preserve"> Debt!V$714</f>
        <v>0</v>
      </c>
      <c r="W34" s="760">
        <f xml:space="preserve"> Debt!W$714</f>
        <v>0</v>
      </c>
      <c r="X34" s="760">
        <f xml:space="preserve"> Debt!X$714</f>
        <v>0</v>
      </c>
      <c r="Y34" s="760">
        <f xml:space="preserve"> Debt!Y$714</f>
        <v>0</v>
      </c>
      <c r="Z34" s="760">
        <f xml:space="preserve"> Debt!Z$714</f>
        <v>0</v>
      </c>
      <c r="AA34" s="760">
        <f xml:space="preserve"> Debt!AA$714</f>
        <v>0</v>
      </c>
      <c r="AB34" s="760">
        <f xml:space="preserve"> Debt!AB$714</f>
        <v>0</v>
      </c>
      <c r="AC34" s="760">
        <f xml:space="preserve"> Debt!AC$714</f>
        <v>0</v>
      </c>
      <c r="AD34" s="760">
        <f xml:space="preserve"> Debt!AD$714</f>
        <v>0</v>
      </c>
      <c r="AE34" s="760">
        <f xml:space="preserve"> Debt!AE$714</f>
        <v>0</v>
      </c>
      <c r="AF34" s="760">
        <f xml:space="preserve"> Debt!AF$714</f>
        <v>0</v>
      </c>
      <c r="AG34" s="760">
        <f xml:space="preserve"> Debt!AG$714</f>
        <v>0</v>
      </c>
      <c r="AH34" s="760">
        <f xml:space="preserve"> Debt!AH$714</f>
        <v>0</v>
      </c>
      <c r="AI34" s="760">
        <f xml:space="preserve"> Debt!AI$714</f>
        <v>0</v>
      </c>
      <c r="AJ34" s="760">
        <f xml:space="preserve"> Debt!AJ$714</f>
        <v>0</v>
      </c>
      <c r="AK34" s="760">
        <f xml:space="preserve"> Debt!AK$714</f>
        <v>0</v>
      </c>
      <c r="AL34" s="760">
        <f xml:space="preserve"> Debt!AL$714</f>
        <v>0</v>
      </c>
      <c r="AM34" s="760">
        <f xml:space="preserve"> Debt!AM$714</f>
        <v>0</v>
      </c>
      <c r="AN34" s="760">
        <f xml:space="preserve"> Debt!AN$714</f>
        <v>0</v>
      </c>
      <c r="AO34" s="760">
        <f xml:space="preserve"> Debt!AO$714</f>
        <v>0</v>
      </c>
      <c r="AP34" s="760">
        <f xml:space="preserve"> Debt!AP$714</f>
        <v>0</v>
      </c>
      <c r="AQ34" s="760">
        <f xml:space="preserve"> Debt!AQ$714</f>
        <v>0</v>
      </c>
      <c r="AR34" s="760">
        <f xml:space="preserve"> Debt!AR$714</f>
        <v>0</v>
      </c>
      <c r="AS34" s="760">
        <f xml:space="preserve"> Debt!AS$714</f>
        <v>0</v>
      </c>
      <c r="AT34" s="760">
        <f xml:space="preserve"> Debt!AT$714</f>
        <v>0</v>
      </c>
      <c r="AU34" s="760">
        <f xml:space="preserve"> Debt!AU$714</f>
        <v>0</v>
      </c>
      <c r="AV34" s="760">
        <f xml:space="preserve"> Debt!AV$714</f>
        <v>0</v>
      </c>
      <c r="AW34" s="760">
        <f xml:space="preserve"> Debt!AW$714</f>
        <v>0</v>
      </c>
      <c r="AX34" s="760">
        <f xml:space="preserve"> Debt!AX$714</f>
        <v>0</v>
      </c>
      <c r="AY34" s="760">
        <f xml:space="preserve"> Debt!AY$714</f>
        <v>0</v>
      </c>
      <c r="AZ34" s="760">
        <f xml:space="preserve"> Debt!AZ$714</f>
        <v>0</v>
      </c>
      <c r="BA34" s="760">
        <f xml:space="preserve"> Debt!BA$714</f>
        <v>0</v>
      </c>
      <c r="BB34" s="760">
        <f xml:space="preserve"> Debt!BB$714</f>
        <v>0</v>
      </c>
      <c r="BC34" s="760">
        <f xml:space="preserve"> Debt!BC$714</f>
        <v>0</v>
      </c>
      <c r="BD34" s="760">
        <f xml:space="preserve"> Debt!BD$714</f>
        <v>0</v>
      </c>
      <c r="BE34" s="760">
        <f xml:space="preserve"> Debt!BE$714</f>
        <v>0</v>
      </c>
      <c r="BF34" s="760">
        <f xml:space="preserve"> Debt!BF$714</f>
        <v>0</v>
      </c>
      <c r="BG34" s="760">
        <f xml:space="preserve"> Debt!BG$714</f>
        <v>0</v>
      </c>
      <c r="BH34" s="760">
        <f xml:space="preserve"> Debt!BH$714</f>
        <v>0</v>
      </c>
      <c r="BI34" s="760">
        <f xml:space="preserve"> Debt!BI$714</f>
        <v>0</v>
      </c>
      <c r="BJ34" s="760">
        <f xml:space="preserve"> Debt!BJ$714</f>
        <v>0</v>
      </c>
      <c r="BK34" s="760">
        <f xml:space="preserve"> Debt!BK$714</f>
        <v>0</v>
      </c>
      <c r="BL34" s="760">
        <f xml:space="preserve"> Debt!BL$714</f>
        <v>0</v>
      </c>
      <c r="BM34" s="760">
        <f xml:space="preserve"> Debt!BM$714</f>
        <v>0</v>
      </c>
      <c r="BN34" s="760">
        <f xml:space="preserve"> Debt!BN$714</f>
        <v>0</v>
      </c>
      <c r="BO34" s="760">
        <f xml:space="preserve"> Debt!BO$714</f>
        <v>0</v>
      </c>
      <c r="BP34" s="760">
        <f xml:space="preserve"> Debt!BP$714</f>
        <v>0</v>
      </c>
      <c r="BQ34" s="760">
        <f xml:space="preserve"> Debt!BQ$714</f>
        <v>0</v>
      </c>
      <c r="BR34" s="760">
        <f xml:space="preserve"> Debt!BR$714</f>
        <v>0</v>
      </c>
      <c r="BS34" s="760">
        <f xml:space="preserve"> Debt!BS$714</f>
        <v>0</v>
      </c>
      <c r="BT34" s="760">
        <f xml:space="preserve"> Debt!BT$714</f>
        <v>0</v>
      </c>
      <c r="BU34" s="760">
        <f xml:space="preserve"> Debt!BU$714</f>
        <v>0</v>
      </c>
      <c r="BV34" s="760">
        <f xml:space="preserve"> Debt!BV$714</f>
        <v>0</v>
      </c>
      <c r="BW34" s="760">
        <f xml:space="preserve"> Debt!BW$714</f>
        <v>0</v>
      </c>
      <c r="BX34" s="760">
        <f xml:space="preserve"> Debt!BX$714</f>
        <v>0</v>
      </c>
      <c r="BY34" s="760">
        <f xml:space="preserve"> Debt!BY$714</f>
        <v>0</v>
      </c>
      <c r="BZ34" s="760">
        <f xml:space="preserve"> Debt!BZ$714</f>
        <v>0</v>
      </c>
      <c r="CA34" s="760">
        <f xml:space="preserve"> Debt!CA$714</f>
        <v>0</v>
      </c>
      <c r="CB34" s="760">
        <f xml:space="preserve"> Debt!CB$714</f>
        <v>0</v>
      </c>
      <c r="CC34" s="760">
        <f xml:space="preserve"> Debt!CC$714</f>
        <v>0</v>
      </c>
      <c r="CD34" s="760">
        <f xml:space="preserve"> Debt!CD$714</f>
        <v>0</v>
      </c>
      <c r="CE34" s="760">
        <f xml:space="preserve"> Debt!CE$714</f>
        <v>0</v>
      </c>
      <c r="CF34" s="760">
        <f xml:space="preserve"> Debt!CF$714</f>
        <v>0</v>
      </c>
      <c r="CG34" s="760">
        <f xml:space="preserve"> Debt!CG$714</f>
        <v>0</v>
      </c>
      <c r="CH34" s="760">
        <f xml:space="preserve"> Debt!CH$714</f>
        <v>0</v>
      </c>
      <c r="CI34" s="760">
        <f xml:space="preserve"> Debt!CI$714</f>
        <v>0</v>
      </c>
      <c r="CJ34" s="760">
        <f xml:space="preserve"> Debt!CJ$714</f>
        <v>0</v>
      </c>
      <c r="CK34" s="760">
        <f xml:space="preserve"> Debt!CK$714</f>
        <v>0</v>
      </c>
      <c r="CL34" s="760">
        <f xml:space="preserve"> Debt!CL$714</f>
        <v>0</v>
      </c>
      <c r="CM34" s="760">
        <f xml:space="preserve"> Debt!CM$714</f>
        <v>0</v>
      </c>
      <c r="CN34" s="760">
        <f xml:space="preserve"> Debt!CN$714</f>
        <v>0</v>
      </c>
      <c r="CO34" s="760">
        <f xml:space="preserve"> Debt!CO$714</f>
        <v>0</v>
      </c>
      <c r="CP34" s="760">
        <f xml:space="preserve"> Debt!CP$714</f>
        <v>0</v>
      </c>
      <c r="CQ34" s="760">
        <f xml:space="preserve"> Debt!CQ$714</f>
        <v>0</v>
      </c>
      <c r="CR34" s="760">
        <f xml:space="preserve"> Debt!CR$714</f>
        <v>0</v>
      </c>
      <c r="CS34" s="760">
        <f xml:space="preserve"> Debt!CS$714</f>
        <v>0</v>
      </c>
      <c r="CT34" s="760">
        <f xml:space="preserve"> Debt!CT$714</f>
        <v>0</v>
      </c>
      <c r="CU34" s="760">
        <f xml:space="preserve"> Debt!CU$714</f>
        <v>0</v>
      </c>
      <c r="CV34" s="760">
        <f xml:space="preserve"> Debt!CV$714</f>
        <v>0</v>
      </c>
    </row>
    <row r="35" spans="1:192" s="495" customFormat="1" outlineLevel="1" x14ac:dyDescent="0.2">
      <c r="A35" s="15"/>
      <c r="B35" s="15"/>
      <c r="C35" s="21"/>
      <c r="D35" s="48"/>
      <c r="E35" s="68" t="str">
        <f xml:space="preserve"> Debt!E$454</f>
        <v>Shareholder loan interest expense POS</v>
      </c>
      <c r="F35" s="68">
        <f xml:space="preserve"> Debt!F$454</f>
        <v>0</v>
      </c>
      <c r="G35" s="68" t="str">
        <f xml:space="preserve"> Debt!G$454</f>
        <v>$ 000s</v>
      </c>
      <c r="H35" s="68">
        <f xml:space="preserve"> Debt!H$454</f>
        <v>289672.52637153119</v>
      </c>
      <c r="I35" s="68">
        <f xml:space="preserve"> Debt!I$454</f>
        <v>0</v>
      </c>
      <c r="J35" s="68">
        <f xml:space="preserve"> Debt!J$454</f>
        <v>0</v>
      </c>
      <c r="K35" s="68">
        <f xml:space="preserve"> Debt!K$454</f>
        <v>0</v>
      </c>
      <c r="L35" s="68">
        <f xml:space="preserve"> Debt!L$454</f>
        <v>0</v>
      </c>
      <c r="M35" s="68">
        <f xml:space="preserve"> Debt!M$454</f>
        <v>0</v>
      </c>
      <c r="N35" s="68">
        <f xml:space="preserve"> Debt!N$454</f>
        <v>0</v>
      </c>
      <c r="O35" s="68">
        <f xml:space="preserve"> Debt!O$454</f>
        <v>5179.0951864116714</v>
      </c>
      <c r="P35" s="68">
        <f xml:space="preserve"> Debt!P$454</f>
        <v>5192.3345172570835</v>
      </c>
      <c r="Q35" s="68">
        <f xml:space="preserve"> Debt!Q$454</f>
        <v>5238.7309346040465</v>
      </c>
      <c r="R35" s="68">
        <f xml:space="preserve"> Debt!R$454</f>
        <v>5287.1632690546676</v>
      </c>
      <c r="S35" s="68">
        <f xml:space="preserve"> Debt!S$454</f>
        <v>5340.9274316816491</v>
      </c>
      <c r="T35" s="68">
        <f xml:space="preserve"> Debt!T$454</f>
        <v>5397.194795497142</v>
      </c>
      <c r="U35" s="68">
        <f xml:space="preserve"> Debt!U$454</f>
        <v>5459.7053220878361</v>
      </c>
      <c r="V35" s="68">
        <f xml:space="preserve"> Debt!V$454</f>
        <v>5524.367153190703</v>
      </c>
      <c r="W35" s="68">
        <f xml:space="preserve"> Debt!W$454</f>
        <v>5594.9852617525185</v>
      </c>
      <c r="X35" s="68">
        <f xml:space="preserve"> Debt!X$454</f>
        <v>5670.7618323387051</v>
      </c>
      <c r="Y35" s="68">
        <f xml:space="preserve"> Debt!Y$454</f>
        <v>5752.6695070192836</v>
      </c>
      <c r="Z35" s="68">
        <f xml:space="preserve"> Debt!Z$454</f>
        <v>5839.0817232208938</v>
      </c>
      <c r="AA35" s="68">
        <f xml:space="preserve"> Debt!AA$454</f>
        <v>5933.0580745547104</v>
      </c>
      <c r="AB35" s="68">
        <f xml:space="preserve"> Debt!AB$454</f>
        <v>6032.0546151116569</v>
      </c>
      <c r="AC35" s="68">
        <f xml:space="preserve"> Debt!AC$454</f>
        <v>6139.7960363448474</v>
      </c>
      <c r="AD35" s="68">
        <f xml:space="preserve"> Debt!AD$454</f>
        <v>6252.5368912803078</v>
      </c>
      <c r="AE35" s="68">
        <f xml:space="preserve"> Debt!AE$454</f>
        <v>6374.075542849635</v>
      </c>
      <c r="AF35" s="68">
        <f xml:space="preserve"> Debt!AF$454</f>
        <v>6503.8866749348708</v>
      </c>
      <c r="AG35" s="68">
        <f xml:space="preserve"> Debt!AG$454</f>
        <v>6643.0486826418846</v>
      </c>
      <c r="AH35" s="68">
        <f xml:space="preserve"> Debt!AH$454</f>
        <v>6790.0204254753799</v>
      </c>
      <c r="AI35" s="68">
        <f xml:space="preserve"> Debt!AI$454</f>
        <v>6948.1465445450103</v>
      </c>
      <c r="AJ35" s="68">
        <f xml:space="preserve"> Debt!AJ$454</f>
        <v>7115.4251967897117</v>
      </c>
      <c r="AK35" s="68">
        <f xml:space="preserve"> Debt!AK$454</f>
        <v>7295.4755025311288</v>
      </c>
      <c r="AL35" s="68">
        <f xml:space="preserve"> Debt!AL$454</f>
        <v>7484.9950267201784</v>
      </c>
      <c r="AM35" s="68">
        <f xml:space="preserve"> Debt!AM$454</f>
        <v>7687.8671038685634</v>
      </c>
      <c r="AN35" s="68">
        <f xml:space="preserve"> Debt!AN$454</f>
        <v>7903.9436345669965</v>
      </c>
      <c r="AO35" s="68">
        <f xml:space="preserve"> Debt!AO$454</f>
        <v>8134.5180081093677</v>
      </c>
      <c r="AP35" s="68">
        <f xml:space="preserve"> Debt!AP$454</f>
        <v>8378.485860854018</v>
      </c>
      <c r="AQ35" s="68">
        <f xml:space="preserve"> Debt!AQ$454</f>
        <v>8639.3695206221637</v>
      </c>
      <c r="AR35" s="68">
        <f xml:space="preserve"> Debt!AR$454</f>
        <v>8915.4910075094849</v>
      </c>
      <c r="AS35" s="68">
        <f xml:space="preserve"> Debt!AS$454</f>
        <v>9210.849180009569</v>
      </c>
      <c r="AT35" s="68">
        <f xml:space="preserve"> Debt!AT$454</f>
        <v>9522.7309573705625</v>
      </c>
      <c r="AU35" s="68">
        <f xml:space="preserve"> Debt!AU$454</f>
        <v>9855.2786956993423</v>
      </c>
      <c r="AV35" s="68">
        <f xml:space="preserve"> Debt!AV$454</f>
        <v>9917.2919463241396</v>
      </c>
      <c r="AW35" s="68">
        <f xml:space="preserve"> Debt!AW$454</f>
        <v>9987.6941905636468</v>
      </c>
      <c r="AX35" s="68">
        <f xml:space="preserve"> Debt!AX$454</f>
        <v>9770.4895641548992</v>
      </c>
      <c r="AY35" s="68">
        <f xml:space="preserve"> Debt!AY$454</f>
        <v>9549.0318421243355</v>
      </c>
      <c r="AZ35" s="68">
        <f xml:space="preserve"> Debt!AZ$454</f>
        <v>9314.507238305725</v>
      </c>
      <c r="BA35" s="68">
        <f xml:space="preserve"> Debt!BA$454</f>
        <v>9074.6492789060685</v>
      </c>
      <c r="BB35" s="68">
        <f xml:space="preserve"> Debt!BB$454</f>
        <v>8820.7921946468232</v>
      </c>
      <c r="BC35" s="68">
        <f xml:space="preserve"> Debt!BC$454</f>
        <v>0</v>
      </c>
      <c r="BD35" s="68">
        <f xml:space="preserve"> Debt!BD$454</f>
        <v>0</v>
      </c>
      <c r="BE35" s="68">
        <f xml:space="preserve"> Debt!BE$454</f>
        <v>0</v>
      </c>
      <c r="BF35" s="68">
        <f xml:space="preserve"> Debt!BF$454</f>
        <v>0</v>
      </c>
      <c r="BG35" s="68">
        <f xml:space="preserve"> Debt!BG$454</f>
        <v>0</v>
      </c>
      <c r="BH35" s="68">
        <f xml:space="preserve"> Debt!BH$454</f>
        <v>0</v>
      </c>
      <c r="BI35" s="68">
        <f xml:space="preserve"> Debt!BI$454</f>
        <v>0</v>
      </c>
      <c r="BJ35" s="68">
        <f xml:space="preserve"> Debt!BJ$454</f>
        <v>0</v>
      </c>
      <c r="BK35" s="68">
        <f xml:space="preserve"> Debt!BK$454</f>
        <v>0</v>
      </c>
      <c r="BL35" s="68">
        <f xml:space="preserve"> Debt!BL$454</f>
        <v>0</v>
      </c>
      <c r="BM35" s="68">
        <f xml:space="preserve"> Debt!BM$454</f>
        <v>0</v>
      </c>
      <c r="BN35" s="68">
        <f xml:space="preserve"> Debt!BN$454</f>
        <v>0</v>
      </c>
      <c r="BO35" s="68">
        <f xml:space="preserve"> Debt!BO$454</f>
        <v>0</v>
      </c>
      <c r="BP35" s="68">
        <f xml:space="preserve"> Debt!BP$454</f>
        <v>0</v>
      </c>
      <c r="BQ35" s="68">
        <f xml:space="preserve"> Debt!BQ$454</f>
        <v>0</v>
      </c>
      <c r="BR35" s="68">
        <f xml:space="preserve"> Debt!BR$454</f>
        <v>0</v>
      </c>
      <c r="BS35" s="68">
        <f xml:space="preserve"> Debt!BS$454</f>
        <v>0</v>
      </c>
      <c r="BT35" s="68">
        <f xml:space="preserve"> Debt!BT$454</f>
        <v>0</v>
      </c>
      <c r="BU35" s="68">
        <f xml:space="preserve"> Debt!BU$454</f>
        <v>0</v>
      </c>
      <c r="BV35" s="68">
        <f xml:space="preserve"> Debt!BV$454</f>
        <v>0</v>
      </c>
      <c r="BW35" s="68">
        <f xml:space="preserve"> Debt!BW$454</f>
        <v>0</v>
      </c>
      <c r="BX35" s="68">
        <f xml:space="preserve"> Debt!BX$454</f>
        <v>0</v>
      </c>
      <c r="BY35" s="68">
        <f xml:space="preserve"> Debt!BY$454</f>
        <v>0</v>
      </c>
      <c r="BZ35" s="68">
        <f xml:space="preserve"> Debt!BZ$454</f>
        <v>0</v>
      </c>
      <c r="CA35" s="68">
        <f xml:space="preserve"> Debt!CA$454</f>
        <v>0</v>
      </c>
      <c r="CB35" s="68">
        <f xml:space="preserve"> Debt!CB$454</f>
        <v>0</v>
      </c>
      <c r="CC35" s="68">
        <f xml:space="preserve"> Debt!CC$454</f>
        <v>0</v>
      </c>
      <c r="CD35" s="68">
        <f xml:space="preserve"> Debt!CD$454</f>
        <v>0</v>
      </c>
      <c r="CE35" s="68">
        <f xml:space="preserve"> Debt!CE$454</f>
        <v>0</v>
      </c>
      <c r="CF35" s="68">
        <f xml:space="preserve"> Debt!CF$454</f>
        <v>0</v>
      </c>
      <c r="CG35" s="68">
        <f xml:space="preserve"> Debt!CG$454</f>
        <v>0</v>
      </c>
      <c r="CH35" s="68">
        <f xml:space="preserve"> Debt!CH$454</f>
        <v>0</v>
      </c>
      <c r="CI35" s="68">
        <f xml:space="preserve"> Debt!CI$454</f>
        <v>0</v>
      </c>
      <c r="CJ35" s="68">
        <f xml:space="preserve"> Debt!CJ$454</f>
        <v>0</v>
      </c>
      <c r="CK35" s="68">
        <f xml:space="preserve"> Debt!CK$454</f>
        <v>0</v>
      </c>
      <c r="CL35" s="68">
        <f xml:space="preserve"> Debt!CL$454</f>
        <v>0</v>
      </c>
      <c r="CM35" s="68">
        <f xml:space="preserve"> Debt!CM$454</f>
        <v>0</v>
      </c>
      <c r="CN35" s="68">
        <f xml:space="preserve"> Debt!CN$454</f>
        <v>0</v>
      </c>
      <c r="CO35" s="68">
        <f xml:space="preserve"> Debt!CO$454</f>
        <v>0</v>
      </c>
      <c r="CP35" s="68">
        <f xml:space="preserve"> Debt!CP$454</f>
        <v>0</v>
      </c>
      <c r="CQ35" s="68">
        <f xml:space="preserve"> Debt!CQ$454</f>
        <v>0</v>
      </c>
      <c r="CR35" s="68">
        <f xml:space="preserve"> Debt!CR$454</f>
        <v>0</v>
      </c>
      <c r="CS35" s="68">
        <f xml:space="preserve"> Debt!CS$454</f>
        <v>0</v>
      </c>
      <c r="CT35" s="68">
        <f xml:space="preserve"> Debt!CT$454</f>
        <v>0</v>
      </c>
      <c r="CU35" s="68">
        <f xml:space="preserve"> Debt!CU$454</f>
        <v>0</v>
      </c>
      <c r="CV35" s="68">
        <f xml:space="preserve"> Debt!CV$454</f>
        <v>0</v>
      </c>
    </row>
    <row r="36" spans="1:192" s="495" customFormat="1" outlineLevel="1" x14ac:dyDescent="0.2">
      <c r="A36" s="15"/>
      <c r="B36" s="15"/>
      <c r="C36" s="21"/>
      <c r="D36" s="48"/>
      <c r="E36" s="68" t="str">
        <f xml:space="preserve"> Debt!E$582</f>
        <v>WCF commitment fee POS</v>
      </c>
      <c r="F36" s="68">
        <f xml:space="preserve"> Debt!F$582</f>
        <v>0</v>
      </c>
      <c r="G36" s="68" t="str">
        <f xml:space="preserve"> Debt!G$582</f>
        <v>$ 000s</v>
      </c>
      <c r="H36" s="68">
        <f xml:space="preserve"> Debt!H$582</f>
        <v>0</v>
      </c>
      <c r="I36" s="68">
        <f xml:space="preserve"> Debt!I$582</f>
        <v>0</v>
      </c>
      <c r="J36" s="68">
        <f xml:space="preserve"> Debt!J$582</f>
        <v>0</v>
      </c>
      <c r="K36" s="68">
        <f xml:space="preserve"> Debt!K$582</f>
        <v>0</v>
      </c>
      <c r="L36" s="68">
        <f xml:space="preserve"> Debt!L$582</f>
        <v>0</v>
      </c>
      <c r="M36" s="68">
        <f xml:space="preserve"> Debt!M$582</f>
        <v>0</v>
      </c>
      <c r="N36" s="68">
        <f xml:space="preserve"> Debt!N$582</f>
        <v>0</v>
      </c>
      <c r="O36" s="68">
        <f xml:space="preserve"> Debt!O$582</f>
        <v>0</v>
      </c>
      <c r="P36" s="68">
        <f xml:space="preserve"> Debt!P$582</f>
        <v>0</v>
      </c>
      <c r="Q36" s="68">
        <f xml:space="preserve"> Debt!Q$582</f>
        <v>0</v>
      </c>
      <c r="R36" s="68">
        <f xml:space="preserve"> Debt!R$582</f>
        <v>0</v>
      </c>
      <c r="S36" s="68">
        <f xml:space="preserve"> Debt!S$582</f>
        <v>0</v>
      </c>
      <c r="T36" s="68">
        <f xml:space="preserve"> Debt!T$582</f>
        <v>0</v>
      </c>
      <c r="U36" s="68">
        <f xml:space="preserve"> Debt!U$582</f>
        <v>0</v>
      </c>
      <c r="V36" s="68">
        <f xml:space="preserve"> Debt!V$582</f>
        <v>0</v>
      </c>
      <c r="W36" s="68">
        <f xml:space="preserve"> Debt!W$582</f>
        <v>0</v>
      </c>
      <c r="X36" s="68">
        <f xml:space="preserve"> Debt!X$582</f>
        <v>0</v>
      </c>
      <c r="Y36" s="68">
        <f xml:space="preserve"> Debt!Y$582</f>
        <v>0</v>
      </c>
      <c r="Z36" s="68">
        <f xml:space="preserve"> Debt!Z$582</f>
        <v>0</v>
      </c>
      <c r="AA36" s="68">
        <f xml:space="preserve"> Debt!AA$582</f>
        <v>0</v>
      </c>
      <c r="AB36" s="68">
        <f xml:space="preserve"> Debt!AB$582</f>
        <v>0</v>
      </c>
      <c r="AC36" s="68">
        <f xml:space="preserve"> Debt!AC$582</f>
        <v>0</v>
      </c>
      <c r="AD36" s="68">
        <f xml:space="preserve"> Debt!AD$582</f>
        <v>0</v>
      </c>
      <c r="AE36" s="68">
        <f xml:space="preserve"> Debt!AE$582</f>
        <v>0</v>
      </c>
      <c r="AF36" s="68">
        <f xml:space="preserve"> Debt!AF$582</f>
        <v>0</v>
      </c>
      <c r="AG36" s="68">
        <f xml:space="preserve"> Debt!AG$582</f>
        <v>0</v>
      </c>
      <c r="AH36" s="68">
        <f xml:space="preserve"> Debt!AH$582</f>
        <v>0</v>
      </c>
      <c r="AI36" s="68">
        <f xml:space="preserve"> Debt!AI$582</f>
        <v>0</v>
      </c>
      <c r="AJ36" s="68">
        <f xml:space="preserve"> Debt!AJ$582</f>
        <v>0</v>
      </c>
      <c r="AK36" s="68">
        <f xml:space="preserve"> Debt!AK$582</f>
        <v>0</v>
      </c>
      <c r="AL36" s="68">
        <f xml:space="preserve"> Debt!AL$582</f>
        <v>0</v>
      </c>
      <c r="AM36" s="68">
        <f xml:space="preserve"> Debt!AM$582</f>
        <v>0</v>
      </c>
      <c r="AN36" s="68">
        <f xml:space="preserve"> Debt!AN$582</f>
        <v>0</v>
      </c>
      <c r="AO36" s="68">
        <f xml:space="preserve"> Debt!AO$582</f>
        <v>0</v>
      </c>
      <c r="AP36" s="68">
        <f xml:space="preserve"> Debt!AP$582</f>
        <v>0</v>
      </c>
      <c r="AQ36" s="68">
        <f xml:space="preserve"> Debt!AQ$582</f>
        <v>0</v>
      </c>
      <c r="AR36" s="68">
        <f xml:space="preserve"> Debt!AR$582</f>
        <v>0</v>
      </c>
      <c r="AS36" s="68">
        <f xml:space="preserve"> Debt!AS$582</f>
        <v>0</v>
      </c>
      <c r="AT36" s="68">
        <f xml:space="preserve"> Debt!AT$582</f>
        <v>0</v>
      </c>
      <c r="AU36" s="68">
        <f xml:space="preserve"> Debt!AU$582</f>
        <v>0</v>
      </c>
      <c r="AV36" s="68">
        <f xml:space="preserve"> Debt!AV$582</f>
        <v>0</v>
      </c>
      <c r="AW36" s="68">
        <f xml:space="preserve"> Debt!AW$582</f>
        <v>0</v>
      </c>
      <c r="AX36" s="68">
        <f xml:space="preserve"> Debt!AX$582</f>
        <v>0</v>
      </c>
      <c r="AY36" s="68">
        <f xml:space="preserve"> Debt!AY$582</f>
        <v>0</v>
      </c>
      <c r="AZ36" s="68">
        <f xml:space="preserve"> Debt!AZ$582</f>
        <v>0</v>
      </c>
      <c r="BA36" s="68">
        <f xml:space="preserve"> Debt!BA$582</f>
        <v>0</v>
      </c>
      <c r="BB36" s="68">
        <f xml:space="preserve"> Debt!BB$582</f>
        <v>0</v>
      </c>
      <c r="BC36" s="68">
        <f xml:space="preserve"> Debt!BC$582</f>
        <v>0</v>
      </c>
      <c r="BD36" s="68">
        <f xml:space="preserve"> Debt!BD$582</f>
        <v>0</v>
      </c>
      <c r="BE36" s="68">
        <f xml:space="preserve"> Debt!BE$582</f>
        <v>0</v>
      </c>
      <c r="BF36" s="68">
        <f xml:space="preserve"> Debt!BF$582</f>
        <v>0</v>
      </c>
      <c r="BG36" s="68">
        <f xml:space="preserve"> Debt!BG$582</f>
        <v>0</v>
      </c>
      <c r="BH36" s="68">
        <f xml:space="preserve"> Debt!BH$582</f>
        <v>0</v>
      </c>
      <c r="BI36" s="68">
        <f xml:space="preserve"> Debt!BI$582</f>
        <v>0</v>
      </c>
      <c r="BJ36" s="68">
        <f xml:space="preserve"> Debt!BJ$582</f>
        <v>0</v>
      </c>
      <c r="BK36" s="68">
        <f xml:space="preserve"> Debt!BK$582</f>
        <v>0</v>
      </c>
      <c r="BL36" s="68">
        <f xml:space="preserve"> Debt!BL$582</f>
        <v>0</v>
      </c>
      <c r="BM36" s="68">
        <f xml:space="preserve"> Debt!BM$582</f>
        <v>0</v>
      </c>
      <c r="BN36" s="68">
        <f xml:space="preserve"> Debt!BN$582</f>
        <v>0</v>
      </c>
      <c r="BO36" s="68">
        <f xml:space="preserve"> Debt!BO$582</f>
        <v>0</v>
      </c>
      <c r="BP36" s="68">
        <f xml:space="preserve"> Debt!BP$582</f>
        <v>0</v>
      </c>
      <c r="BQ36" s="68">
        <f xml:space="preserve"> Debt!BQ$582</f>
        <v>0</v>
      </c>
      <c r="BR36" s="68">
        <f xml:space="preserve"> Debt!BR$582</f>
        <v>0</v>
      </c>
      <c r="BS36" s="68">
        <f xml:space="preserve"> Debt!BS$582</f>
        <v>0</v>
      </c>
      <c r="BT36" s="68">
        <f xml:space="preserve"> Debt!BT$582</f>
        <v>0</v>
      </c>
      <c r="BU36" s="68">
        <f xml:space="preserve"> Debt!BU$582</f>
        <v>0</v>
      </c>
      <c r="BV36" s="68">
        <f xml:space="preserve"> Debt!BV$582</f>
        <v>0</v>
      </c>
      <c r="BW36" s="68">
        <f xml:space="preserve"> Debt!BW$582</f>
        <v>0</v>
      </c>
      <c r="BX36" s="68">
        <f xml:space="preserve"> Debt!BX$582</f>
        <v>0</v>
      </c>
      <c r="BY36" s="68">
        <f xml:space="preserve"> Debt!BY$582</f>
        <v>0</v>
      </c>
      <c r="BZ36" s="68">
        <f xml:space="preserve"> Debt!BZ$582</f>
        <v>0</v>
      </c>
      <c r="CA36" s="68">
        <f xml:space="preserve"> Debt!CA$582</f>
        <v>0</v>
      </c>
      <c r="CB36" s="68">
        <f xml:space="preserve"> Debt!CB$582</f>
        <v>0</v>
      </c>
      <c r="CC36" s="68">
        <f xml:space="preserve"> Debt!CC$582</f>
        <v>0</v>
      </c>
      <c r="CD36" s="68">
        <f xml:space="preserve"> Debt!CD$582</f>
        <v>0</v>
      </c>
      <c r="CE36" s="68">
        <f xml:space="preserve"> Debt!CE$582</f>
        <v>0</v>
      </c>
      <c r="CF36" s="68">
        <f xml:space="preserve"> Debt!CF$582</f>
        <v>0</v>
      </c>
      <c r="CG36" s="68">
        <f xml:space="preserve"> Debt!CG$582</f>
        <v>0</v>
      </c>
      <c r="CH36" s="68">
        <f xml:space="preserve"> Debt!CH$582</f>
        <v>0</v>
      </c>
      <c r="CI36" s="68">
        <f xml:space="preserve"> Debt!CI$582</f>
        <v>0</v>
      </c>
      <c r="CJ36" s="68">
        <f xml:space="preserve"> Debt!CJ$582</f>
        <v>0</v>
      </c>
      <c r="CK36" s="68">
        <f xml:space="preserve"> Debt!CK$582</f>
        <v>0</v>
      </c>
      <c r="CL36" s="68">
        <f xml:space="preserve"> Debt!CL$582</f>
        <v>0</v>
      </c>
      <c r="CM36" s="68">
        <f xml:space="preserve"> Debt!CM$582</f>
        <v>0</v>
      </c>
      <c r="CN36" s="68">
        <f xml:space="preserve"> Debt!CN$582</f>
        <v>0</v>
      </c>
      <c r="CO36" s="68">
        <f xml:space="preserve"> Debt!CO$582</f>
        <v>0</v>
      </c>
      <c r="CP36" s="68">
        <f xml:space="preserve"> Debt!CP$582</f>
        <v>0</v>
      </c>
      <c r="CQ36" s="68">
        <f xml:space="preserve"> Debt!CQ$582</f>
        <v>0</v>
      </c>
      <c r="CR36" s="68">
        <f xml:space="preserve"> Debt!CR$582</f>
        <v>0</v>
      </c>
      <c r="CS36" s="68">
        <f xml:space="preserve"> Debt!CS$582</f>
        <v>0</v>
      </c>
      <c r="CT36" s="68">
        <f xml:space="preserve"> Debt!CT$582</f>
        <v>0</v>
      </c>
      <c r="CU36" s="68">
        <f xml:space="preserve"> Debt!CU$582</f>
        <v>0</v>
      </c>
      <c r="CV36" s="68">
        <f xml:space="preserve"> Debt!CV$582</f>
        <v>0</v>
      </c>
    </row>
    <row r="37" spans="1:192" s="495" customFormat="1" outlineLevel="1" x14ac:dyDescent="0.2">
      <c r="A37" s="15"/>
      <c r="B37" s="15"/>
      <c r="C37" s="21"/>
      <c r="D37" s="48"/>
      <c r="E37" s="68" t="str">
        <f xml:space="preserve"> Debt!E$590</f>
        <v>WCF upfront fee POS</v>
      </c>
      <c r="F37" s="68">
        <f xml:space="preserve"> Debt!F$590</f>
        <v>0</v>
      </c>
      <c r="G37" s="68" t="str">
        <f xml:space="preserve"> Debt!G$590</f>
        <v>$ 000s</v>
      </c>
      <c r="H37" s="68">
        <f xml:space="preserve"> Debt!H$590</f>
        <v>0</v>
      </c>
      <c r="I37" s="68">
        <f xml:space="preserve"> Debt!I$590</f>
        <v>0</v>
      </c>
      <c r="J37" s="68">
        <f xml:space="preserve"> Debt!J$590</f>
        <v>0</v>
      </c>
      <c r="K37" s="68">
        <f xml:space="preserve"> Debt!K$590</f>
        <v>0</v>
      </c>
      <c r="L37" s="68">
        <f xml:space="preserve"> Debt!L$590</f>
        <v>0</v>
      </c>
      <c r="M37" s="68">
        <f xml:space="preserve"> Debt!M$590</f>
        <v>0</v>
      </c>
      <c r="N37" s="68">
        <f xml:space="preserve"> Debt!N$590</f>
        <v>0</v>
      </c>
      <c r="O37" s="68">
        <f xml:space="preserve"> Debt!O$590</f>
        <v>0</v>
      </c>
      <c r="P37" s="68">
        <f xml:space="preserve"> Debt!P$590</f>
        <v>0</v>
      </c>
      <c r="Q37" s="68">
        <f xml:space="preserve"> Debt!Q$590</f>
        <v>0</v>
      </c>
      <c r="R37" s="68">
        <f xml:space="preserve"> Debt!R$590</f>
        <v>0</v>
      </c>
      <c r="S37" s="68">
        <f xml:space="preserve"> Debt!S$590</f>
        <v>0</v>
      </c>
      <c r="T37" s="68">
        <f xml:space="preserve"> Debt!T$590</f>
        <v>0</v>
      </c>
      <c r="U37" s="68">
        <f xml:space="preserve"> Debt!U$590</f>
        <v>0</v>
      </c>
      <c r="V37" s="68">
        <f xml:space="preserve"> Debt!V$590</f>
        <v>0</v>
      </c>
      <c r="W37" s="68">
        <f xml:space="preserve"> Debt!W$590</f>
        <v>0</v>
      </c>
      <c r="X37" s="68">
        <f xml:space="preserve"> Debt!X$590</f>
        <v>0</v>
      </c>
      <c r="Y37" s="68">
        <f xml:space="preserve"> Debt!Y$590</f>
        <v>0</v>
      </c>
      <c r="Z37" s="68">
        <f xml:space="preserve"> Debt!Z$590</f>
        <v>0</v>
      </c>
      <c r="AA37" s="68">
        <f xml:space="preserve"> Debt!AA$590</f>
        <v>0</v>
      </c>
      <c r="AB37" s="68">
        <f xml:space="preserve"> Debt!AB$590</f>
        <v>0</v>
      </c>
      <c r="AC37" s="68">
        <f xml:space="preserve"> Debt!AC$590</f>
        <v>0</v>
      </c>
      <c r="AD37" s="68">
        <f xml:space="preserve"> Debt!AD$590</f>
        <v>0</v>
      </c>
      <c r="AE37" s="68">
        <f xml:space="preserve"> Debt!AE$590</f>
        <v>0</v>
      </c>
      <c r="AF37" s="68">
        <f xml:space="preserve"> Debt!AF$590</f>
        <v>0</v>
      </c>
      <c r="AG37" s="68">
        <f xml:space="preserve"> Debt!AG$590</f>
        <v>0</v>
      </c>
      <c r="AH37" s="68">
        <f xml:space="preserve"> Debt!AH$590</f>
        <v>0</v>
      </c>
      <c r="AI37" s="68">
        <f xml:space="preserve"> Debt!AI$590</f>
        <v>0</v>
      </c>
      <c r="AJ37" s="68">
        <f xml:space="preserve"> Debt!AJ$590</f>
        <v>0</v>
      </c>
      <c r="AK37" s="68">
        <f xml:space="preserve"> Debt!AK$590</f>
        <v>0</v>
      </c>
      <c r="AL37" s="68">
        <f xml:space="preserve"> Debt!AL$590</f>
        <v>0</v>
      </c>
      <c r="AM37" s="68">
        <f xml:space="preserve"> Debt!AM$590</f>
        <v>0</v>
      </c>
      <c r="AN37" s="68">
        <f xml:space="preserve"> Debt!AN$590</f>
        <v>0</v>
      </c>
      <c r="AO37" s="68">
        <f xml:space="preserve"> Debt!AO$590</f>
        <v>0</v>
      </c>
      <c r="AP37" s="68">
        <f xml:space="preserve"> Debt!AP$590</f>
        <v>0</v>
      </c>
      <c r="AQ37" s="68">
        <f xml:space="preserve"> Debt!AQ$590</f>
        <v>0</v>
      </c>
      <c r="AR37" s="68">
        <f xml:space="preserve"> Debt!AR$590</f>
        <v>0</v>
      </c>
      <c r="AS37" s="68">
        <f xml:space="preserve"> Debt!AS$590</f>
        <v>0</v>
      </c>
      <c r="AT37" s="68">
        <f xml:space="preserve"> Debt!AT$590</f>
        <v>0</v>
      </c>
      <c r="AU37" s="68">
        <f xml:space="preserve"> Debt!AU$590</f>
        <v>0</v>
      </c>
      <c r="AV37" s="68">
        <f xml:space="preserve"> Debt!AV$590</f>
        <v>0</v>
      </c>
      <c r="AW37" s="68">
        <f xml:space="preserve"> Debt!AW$590</f>
        <v>0</v>
      </c>
      <c r="AX37" s="68">
        <f xml:space="preserve"> Debt!AX$590</f>
        <v>0</v>
      </c>
      <c r="AY37" s="68">
        <f xml:space="preserve"> Debt!AY$590</f>
        <v>0</v>
      </c>
      <c r="AZ37" s="68">
        <f xml:space="preserve"> Debt!AZ$590</f>
        <v>0</v>
      </c>
      <c r="BA37" s="68">
        <f xml:space="preserve"> Debt!BA$590</f>
        <v>0</v>
      </c>
      <c r="BB37" s="68">
        <f xml:space="preserve"> Debt!BB$590</f>
        <v>0</v>
      </c>
      <c r="BC37" s="68">
        <f xml:space="preserve"> Debt!BC$590</f>
        <v>0</v>
      </c>
      <c r="BD37" s="68">
        <f xml:space="preserve"> Debt!BD$590</f>
        <v>0</v>
      </c>
      <c r="BE37" s="68">
        <f xml:space="preserve"> Debt!BE$590</f>
        <v>0</v>
      </c>
      <c r="BF37" s="68">
        <f xml:space="preserve"> Debt!BF$590</f>
        <v>0</v>
      </c>
      <c r="BG37" s="68">
        <f xml:space="preserve"> Debt!BG$590</f>
        <v>0</v>
      </c>
      <c r="BH37" s="68">
        <f xml:space="preserve"> Debt!BH$590</f>
        <v>0</v>
      </c>
      <c r="BI37" s="68">
        <f xml:space="preserve"> Debt!BI$590</f>
        <v>0</v>
      </c>
      <c r="BJ37" s="68">
        <f xml:space="preserve"> Debt!BJ$590</f>
        <v>0</v>
      </c>
      <c r="BK37" s="68">
        <f xml:space="preserve"> Debt!BK$590</f>
        <v>0</v>
      </c>
      <c r="BL37" s="68">
        <f xml:space="preserve"> Debt!BL$590</f>
        <v>0</v>
      </c>
      <c r="BM37" s="68">
        <f xml:space="preserve"> Debt!BM$590</f>
        <v>0</v>
      </c>
      <c r="BN37" s="68">
        <f xml:space="preserve"> Debt!BN$590</f>
        <v>0</v>
      </c>
      <c r="BO37" s="68">
        <f xml:space="preserve"> Debt!BO$590</f>
        <v>0</v>
      </c>
      <c r="BP37" s="68">
        <f xml:space="preserve"> Debt!BP$590</f>
        <v>0</v>
      </c>
      <c r="BQ37" s="68">
        <f xml:space="preserve"> Debt!BQ$590</f>
        <v>0</v>
      </c>
      <c r="BR37" s="68">
        <f xml:space="preserve"> Debt!BR$590</f>
        <v>0</v>
      </c>
      <c r="BS37" s="68">
        <f xml:space="preserve"> Debt!BS$590</f>
        <v>0</v>
      </c>
      <c r="BT37" s="68">
        <f xml:space="preserve"> Debt!BT$590</f>
        <v>0</v>
      </c>
      <c r="BU37" s="68">
        <f xml:space="preserve"> Debt!BU$590</f>
        <v>0</v>
      </c>
      <c r="BV37" s="68">
        <f xml:space="preserve"> Debt!BV$590</f>
        <v>0</v>
      </c>
      <c r="BW37" s="68">
        <f xml:space="preserve"> Debt!BW$590</f>
        <v>0</v>
      </c>
      <c r="BX37" s="68">
        <f xml:space="preserve"> Debt!BX$590</f>
        <v>0</v>
      </c>
      <c r="BY37" s="68">
        <f xml:space="preserve"> Debt!BY$590</f>
        <v>0</v>
      </c>
      <c r="BZ37" s="68">
        <f xml:space="preserve"> Debt!BZ$590</f>
        <v>0</v>
      </c>
      <c r="CA37" s="68">
        <f xml:space="preserve"> Debt!CA$590</f>
        <v>0</v>
      </c>
      <c r="CB37" s="68">
        <f xml:space="preserve"> Debt!CB$590</f>
        <v>0</v>
      </c>
      <c r="CC37" s="68">
        <f xml:space="preserve"> Debt!CC$590</f>
        <v>0</v>
      </c>
      <c r="CD37" s="68">
        <f xml:space="preserve"> Debt!CD$590</f>
        <v>0</v>
      </c>
      <c r="CE37" s="68">
        <f xml:space="preserve"> Debt!CE$590</f>
        <v>0</v>
      </c>
      <c r="CF37" s="68">
        <f xml:space="preserve"> Debt!CF$590</f>
        <v>0</v>
      </c>
      <c r="CG37" s="68">
        <f xml:space="preserve"> Debt!CG$590</f>
        <v>0</v>
      </c>
      <c r="CH37" s="68">
        <f xml:space="preserve"> Debt!CH$590</f>
        <v>0</v>
      </c>
      <c r="CI37" s="68">
        <f xml:space="preserve"> Debt!CI$590</f>
        <v>0</v>
      </c>
      <c r="CJ37" s="68">
        <f xml:space="preserve"> Debt!CJ$590</f>
        <v>0</v>
      </c>
      <c r="CK37" s="68">
        <f xml:space="preserve"> Debt!CK$590</f>
        <v>0</v>
      </c>
      <c r="CL37" s="68">
        <f xml:space="preserve"> Debt!CL$590</f>
        <v>0</v>
      </c>
      <c r="CM37" s="68">
        <f xml:space="preserve"> Debt!CM$590</f>
        <v>0</v>
      </c>
      <c r="CN37" s="68">
        <f xml:space="preserve"> Debt!CN$590</f>
        <v>0</v>
      </c>
      <c r="CO37" s="68">
        <f xml:space="preserve"> Debt!CO$590</f>
        <v>0</v>
      </c>
      <c r="CP37" s="68">
        <f xml:space="preserve"> Debt!CP$590</f>
        <v>0</v>
      </c>
      <c r="CQ37" s="68">
        <f xml:space="preserve"> Debt!CQ$590</f>
        <v>0</v>
      </c>
      <c r="CR37" s="68">
        <f xml:space="preserve"> Debt!CR$590</f>
        <v>0</v>
      </c>
      <c r="CS37" s="68">
        <f xml:space="preserve"> Debt!CS$590</f>
        <v>0</v>
      </c>
      <c r="CT37" s="68">
        <f xml:space="preserve"> Debt!CT$590</f>
        <v>0</v>
      </c>
      <c r="CU37" s="68">
        <f xml:space="preserve"> Debt!CU$590</f>
        <v>0</v>
      </c>
      <c r="CV37" s="68">
        <f xml:space="preserve"> Debt!CV$590</f>
        <v>0</v>
      </c>
    </row>
    <row r="38" spans="1:192" s="495" customFormat="1" outlineLevel="1" x14ac:dyDescent="0.2">
      <c r="A38" s="15"/>
      <c r="B38" s="15"/>
      <c r="C38" s="21"/>
      <c r="D38" s="48"/>
      <c r="E38" s="68" t="str">
        <f xml:space="preserve"> Debt!E$604</f>
        <v>WCF interest accrued and paid POS</v>
      </c>
      <c r="F38" s="68">
        <f xml:space="preserve"> Debt!F$604</f>
        <v>0</v>
      </c>
      <c r="G38" s="68" t="str">
        <f xml:space="preserve"> Debt!G$604</f>
        <v>$ 000s</v>
      </c>
      <c r="H38" s="68">
        <f xml:space="preserve"> Debt!H$604</f>
        <v>0</v>
      </c>
      <c r="I38" s="68">
        <f xml:space="preserve"> Debt!I$604</f>
        <v>0</v>
      </c>
      <c r="J38" s="68">
        <f xml:space="preserve"> Debt!J$604</f>
        <v>0</v>
      </c>
      <c r="K38" s="68">
        <f xml:space="preserve"> Debt!K$604</f>
        <v>0</v>
      </c>
      <c r="L38" s="68">
        <f xml:space="preserve"> Debt!L$604</f>
        <v>0</v>
      </c>
      <c r="M38" s="68">
        <f xml:space="preserve"> Debt!M$604</f>
        <v>0</v>
      </c>
      <c r="N38" s="68">
        <f xml:space="preserve"> Debt!N$604</f>
        <v>0</v>
      </c>
      <c r="O38" s="68">
        <f xml:space="preserve"> Debt!O$604</f>
        <v>0</v>
      </c>
      <c r="P38" s="68">
        <f xml:space="preserve"> Debt!P$604</f>
        <v>0</v>
      </c>
      <c r="Q38" s="68">
        <f xml:space="preserve"> Debt!Q$604</f>
        <v>0</v>
      </c>
      <c r="R38" s="68">
        <f xml:space="preserve"> Debt!R$604</f>
        <v>0</v>
      </c>
      <c r="S38" s="68">
        <f xml:space="preserve"> Debt!S$604</f>
        <v>0</v>
      </c>
      <c r="T38" s="68">
        <f xml:space="preserve"> Debt!T$604</f>
        <v>0</v>
      </c>
      <c r="U38" s="68">
        <f xml:space="preserve"> Debt!U$604</f>
        <v>0</v>
      </c>
      <c r="V38" s="68">
        <f xml:space="preserve"> Debt!V$604</f>
        <v>0</v>
      </c>
      <c r="W38" s="68">
        <f xml:space="preserve"> Debt!W$604</f>
        <v>0</v>
      </c>
      <c r="X38" s="68">
        <f xml:space="preserve"> Debt!X$604</f>
        <v>0</v>
      </c>
      <c r="Y38" s="68">
        <f xml:space="preserve"> Debt!Y$604</f>
        <v>0</v>
      </c>
      <c r="Z38" s="68">
        <f xml:space="preserve"> Debt!Z$604</f>
        <v>0</v>
      </c>
      <c r="AA38" s="68">
        <f xml:space="preserve"> Debt!AA$604</f>
        <v>0</v>
      </c>
      <c r="AB38" s="68">
        <f xml:space="preserve"> Debt!AB$604</f>
        <v>0</v>
      </c>
      <c r="AC38" s="68">
        <f xml:space="preserve"> Debt!AC$604</f>
        <v>0</v>
      </c>
      <c r="AD38" s="68">
        <f xml:space="preserve"> Debt!AD$604</f>
        <v>0</v>
      </c>
      <c r="AE38" s="68">
        <f xml:space="preserve"> Debt!AE$604</f>
        <v>0</v>
      </c>
      <c r="AF38" s="68">
        <f xml:space="preserve"> Debt!AF$604</f>
        <v>0</v>
      </c>
      <c r="AG38" s="68">
        <f xml:space="preserve"> Debt!AG$604</f>
        <v>0</v>
      </c>
      <c r="AH38" s="68">
        <f xml:space="preserve"> Debt!AH$604</f>
        <v>0</v>
      </c>
      <c r="AI38" s="68">
        <f xml:space="preserve"> Debt!AI$604</f>
        <v>0</v>
      </c>
      <c r="AJ38" s="68">
        <f xml:space="preserve"> Debt!AJ$604</f>
        <v>0</v>
      </c>
      <c r="AK38" s="68">
        <f xml:space="preserve"> Debt!AK$604</f>
        <v>0</v>
      </c>
      <c r="AL38" s="68">
        <f xml:space="preserve"> Debt!AL$604</f>
        <v>0</v>
      </c>
      <c r="AM38" s="68">
        <f xml:space="preserve"> Debt!AM$604</f>
        <v>0</v>
      </c>
      <c r="AN38" s="68">
        <f xml:space="preserve"> Debt!AN$604</f>
        <v>0</v>
      </c>
      <c r="AO38" s="68">
        <f xml:space="preserve"> Debt!AO$604</f>
        <v>0</v>
      </c>
      <c r="AP38" s="68">
        <f xml:space="preserve"> Debt!AP$604</f>
        <v>0</v>
      </c>
      <c r="AQ38" s="68">
        <f xml:space="preserve"> Debt!AQ$604</f>
        <v>0</v>
      </c>
      <c r="AR38" s="68">
        <f xml:space="preserve"> Debt!AR$604</f>
        <v>0</v>
      </c>
      <c r="AS38" s="68">
        <f xml:space="preserve"> Debt!AS$604</f>
        <v>0</v>
      </c>
      <c r="AT38" s="68">
        <f xml:space="preserve"> Debt!AT$604</f>
        <v>0</v>
      </c>
      <c r="AU38" s="68">
        <f xml:space="preserve"> Debt!AU$604</f>
        <v>0</v>
      </c>
      <c r="AV38" s="68">
        <f xml:space="preserve"> Debt!AV$604</f>
        <v>0</v>
      </c>
      <c r="AW38" s="68">
        <f xml:space="preserve"> Debt!AW$604</f>
        <v>0</v>
      </c>
      <c r="AX38" s="68">
        <f xml:space="preserve"> Debt!AX$604</f>
        <v>0</v>
      </c>
      <c r="AY38" s="68">
        <f xml:space="preserve"> Debt!AY$604</f>
        <v>0</v>
      </c>
      <c r="AZ38" s="68">
        <f xml:space="preserve"> Debt!AZ$604</f>
        <v>0</v>
      </c>
      <c r="BA38" s="68">
        <f xml:space="preserve"> Debt!BA$604</f>
        <v>0</v>
      </c>
      <c r="BB38" s="68">
        <f xml:space="preserve"> Debt!BB$604</f>
        <v>0</v>
      </c>
      <c r="BC38" s="68">
        <f xml:space="preserve"> Debt!BC$604</f>
        <v>0</v>
      </c>
      <c r="BD38" s="68">
        <f xml:space="preserve"> Debt!BD$604</f>
        <v>0</v>
      </c>
      <c r="BE38" s="68">
        <f xml:space="preserve"> Debt!BE$604</f>
        <v>0</v>
      </c>
      <c r="BF38" s="68">
        <f xml:space="preserve"> Debt!BF$604</f>
        <v>0</v>
      </c>
      <c r="BG38" s="68">
        <f xml:space="preserve"> Debt!BG$604</f>
        <v>0</v>
      </c>
      <c r="BH38" s="68">
        <f xml:space="preserve"> Debt!BH$604</f>
        <v>0</v>
      </c>
      <c r="BI38" s="68">
        <f xml:space="preserve"> Debt!BI$604</f>
        <v>0</v>
      </c>
      <c r="BJ38" s="68">
        <f xml:space="preserve"> Debt!BJ$604</f>
        <v>0</v>
      </c>
      <c r="BK38" s="68">
        <f xml:space="preserve"> Debt!BK$604</f>
        <v>0</v>
      </c>
      <c r="BL38" s="68">
        <f xml:space="preserve"> Debt!BL$604</f>
        <v>0</v>
      </c>
      <c r="BM38" s="68">
        <f xml:space="preserve"> Debt!BM$604</f>
        <v>0</v>
      </c>
      <c r="BN38" s="68">
        <f xml:space="preserve"> Debt!BN$604</f>
        <v>0</v>
      </c>
      <c r="BO38" s="68">
        <f xml:space="preserve"> Debt!BO$604</f>
        <v>0</v>
      </c>
      <c r="BP38" s="68">
        <f xml:space="preserve"> Debt!BP$604</f>
        <v>0</v>
      </c>
      <c r="BQ38" s="68">
        <f xml:space="preserve"> Debt!BQ$604</f>
        <v>0</v>
      </c>
      <c r="BR38" s="68">
        <f xml:space="preserve"> Debt!BR$604</f>
        <v>0</v>
      </c>
      <c r="BS38" s="68">
        <f xml:space="preserve"> Debt!BS$604</f>
        <v>0</v>
      </c>
      <c r="BT38" s="68">
        <f xml:space="preserve"> Debt!BT$604</f>
        <v>0</v>
      </c>
      <c r="BU38" s="68">
        <f xml:space="preserve"> Debt!BU$604</f>
        <v>0</v>
      </c>
      <c r="BV38" s="68">
        <f xml:space="preserve"> Debt!BV$604</f>
        <v>0</v>
      </c>
      <c r="BW38" s="68">
        <f xml:space="preserve"> Debt!BW$604</f>
        <v>0</v>
      </c>
      <c r="BX38" s="68">
        <f xml:space="preserve"> Debt!BX$604</f>
        <v>0</v>
      </c>
      <c r="BY38" s="68">
        <f xml:space="preserve"> Debt!BY$604</f>
        <v>0</v>
      </c>
      <c r="BZ38" s="68">
        <f xml:space="preserve"> Debt!BZ$604</f>
        <v>0</v>
      </c>
      <c r="CA38" s="68">
        <f xml:space="preserve"> Debt!CA$604</f>
        <v>0</v>
      </c>
      <c r="CB38" s="68">
        <f xml:space="preserve"> Debt!CB$604</f>
        <v>0</v>
      </c>
      <c r="CC38" s="68">
        <f xml:space="preserve"> Debt!CC$604</f>
        <v>0</v>
      </c>
      <c r="CD38" s="68">
        <f xml:space="preserve"> Debt!CD$604</f>
        <v>0</v>
      </c>
      <c r="CE38" s="68">
        <f xml:space="preserve"> Debt!CE$604</f>
        <v>0</v>
      </c>
      <c r="CF38" s="68">
        <f xml:space="preserve"> Debt!CF$604</f>
        <v>0</v>
      </c>
      <c r="CG38" s="68">
        <f xml:space="preserve"> Debt!CG$604</f>
        <v>0</v>
      </c>
      <c r="CH38" s="68">
        <f xml:space="preserve"> Debt!CH$604</f>
        <v>0</v>
      </c>
      <c r="CI38" s="68">
        <f xml:space="preserve"> Debt!CI$604</f>
        <v>0</v>
      </c>
      <c r="CJ38" s="68">
        <f xml:space="preserve"> Debt!CJ$604</f>
        <v>0</v>
      </c>
      <c r="CK38" s="68">
        <f xml:space="preserve"> Debt!CK$604</f>
        <v>0</v>
      </c>
      <c r="CL38" s="68">
        <f xml:space="preserve"> Debt!CL$604</f>
        <v>0</v>
      </c>
      <c r="CM38" s="68">
        <f xml:space="preserve"> Debt!CM$604</f>
        <v>0</v>
      </c>
      <c r="CN38" s="68">
        <f xml:space="preserve"> Debt!CN$604</f>
        <v>0</v>
      </c>
      <c r="CO38" s="68">
        <f xml:space="preserve"> Debt!CO$604</f>
        <v>0</v>
      </c>
      <c r="CP38" s="68">
        <f xml:space="preserve"> Debt!CP$604</f>
        <v>0</v>
      </c>
      <c r="CQ38" s="68">
        <f xml:space="preserve"> Debt!CQ$604</f>
        <v>0</v>
      </c>
      <c r="CR38" s="68">
        <f xml:space="preserve"> Debt!CR$604</f>
        <v>0</v>
      </c>
      <c r="CS38" s="68">
        <f xml:space="preserve"> Debt!CS$604</f>
        <v>0</v>
      </c>
      <c r="CT38" s="68">
        <f xml:space="preserve"> Debt!CT$604</f>
        <v>0</v>
      </c>
      <c r="CU38" s="68">
        <f xml:space="preserve"> Debt!CU$604</f>
        <v>0</v>
      </c>
      <c r="CV38" s="68">
        <f xml:space="preserve"> Debt!CV$604</f>
        <v>0</v>
      </c>
    </row>
    <row r="39" spans="1:192" s="495" customFormat="1" outlineLevel="1" x14ac:dyDescent="0.2">
      <c r="A39" s="15"/>
      <c r="B39" s="15"/>
      <c r="C39" s="21"/>
      <c r="D39" s="48"/>
      <c r="E39" s="68" t="str">
        <f xml:space="preserve"> DSRA!E$173</f>
        <v>DSRA LC fee accrued and paid POS</v>
      </c>
      <c r="F39" s="68">
        <f xml:space="preserve"> DSRA!F$173</f>
        <v>0</v>
      </c>
      <c r="G39" s="68" t="str">
        <f xml:space="preserve"> DSRA!G$173</f>
        <v>$ 000s</v>
      </c>
      <c r="H39" s="68">
        <f xml:space="preserve"> DSRA!H$173</f>
        <v>0</v>
      </c>
      <c r="I39" s="68">
        <f xml:space="preserve"> DSRA!I$173</f>
        <v>0</v>
      </c>
      <c r="J39" s="68">
        <f xml:space="preserve"> DSRA!J$173</f>
        <v>0</v>
      </c>
      <c r="K39" s="68">
        <f xml:space="preserve"> DSRA!K$173</f>
        <v>0</v>
      </c>
      <c r="L39" s="68">
        <f xml:space="preserve"> DSRA!L$173</f>
        <v>0</v>
      </c>
      <c r="M39" s="68">
        <f xml:space="preserve"> DSRA!M$173</f>
        <v>0</v>
      </c>
      <c r="N39" s="68">
        <f xml:space="preserve"> DSRA!N$173</f>
        <v>0</v>
      </c>
      <c r="O39" s="68">
        <f xml:space="preserve"> DSRA!O$173</f>
        <v>0</v>
      </c>
      <c r="P39" s="68">
        <f xml:space="preserve"> DSRA!P$173</f>
        <v>0</v>
      </c>
      <c r="Q39" s="68">
        <f xml:space="preserve"> DSRA!Q$173</f>
        <v>0</v>
      </c>
      <c r="R39" s="68">
        <f xml:space="preserve"> DSRA!R$173</f>
        <v>0</v>
      </c>
      <c r="S39" s="68">
        <f xml:space="preserve"> DSRA!S$173</f>
        <v>0</v>
      </c>
      <c r="T39" s="68">
        <f xml:space="preserve"> DSRA!T$173</f>
        <v>0</v>
      </c>
      <c r="U39" s="68">
        <f xml:space="preserve"> DSRA!U$173</f>
        <v>0</v>
      </c>
      <c r="V39" s="68">
        <f xml:space="preserve"> DSRA!V$173</f>
        <v>0</v>
      </c>
      <c r="W39" s="68">
        <f xml:space="preserve"> DSRA!W$173</f>
        <v>0</v>
      </c>
      <c r="X39" s="68">
        <f xml:space="preserve"> DSRA!X$173</f>
        <v>0</v>
      </c>
      <c r="Y39" s="68">
        <f xml:space="preserve"> DSRA!Y$173</f>
        <v>0</v>
      </c>
      <c r="Z39" s="68">
        <f xml:space="preserve"> DSRA!Z$173</f>
        <v>0</v>
      </c>
      <c r="AA39" s="68">
        <f xml:space="preserve"> DSRA!AA$173</f>
        <v>0</v>
      </c>
      <c r="AB39" s="68">
        <f xml:space="preserve"> DSRA!AB$173</f>
        <v>0</v>
      </c>
      <c r="AC39" s="68">
        <f xml:space="preserve"> DSRA!AC$173</f>
        <v>0</v>
      </c>
      <c r="AD39" s="68">
        <f xml:space="preserve"> DSRA!AD$173</f>
        <v>0</v>
      </c>
      <c r="AE39" s="68">
        <f xml:space="preserve"> DSRA!AE$173</f>
        <v>0</v>
      </c>
      <c r="AF39" s="68">
        <f xml:space="preserve"> DSRA!AF$173</f>
        <v>0</v>
      </c>
      <c r="AG39" s="68">
        <f xml:space="preserve"> DSRA!AG$173</f>
        <v>0</v>
      </c>
      <c r="AH39" s="68">
        <f xml:space="preserve"> DSRA!AH$173</f>
        <v>0</v>
      </c>
      <c r="AI39" s="68">
        <f xml:space="preserve"> DSRA!AI$173</f>
        <v>0</v>
      </c>
      <c r="AJ39" s="68">
        <f xml:space="preserve"> DSRA!AJ$173</f>
        <v>0</v>
      </c>
      <c r="AK39" s="68">
        <f xml:space="preserve"> DSRA!AK$173</f>
        <v>0</v>
      </c>
      <c r="AL39" s="68">
        <f xml:space="preserve"> DSRA!AL$173</f>
        <v>0</v>
      </c>
      <c r="AM39" s="68">
        <f xml:space="preserve"> DSRA!AM$173</f>
        <v>0</v>
      </c>
      <c r="AN39" s="68">
        <f xml:space="preserve"> DSRA!AN$173</f>
        <v>0</v>
      </c>
      <c r="AO39" s="68">
        <f xml:space="preserve"> DSRA!AO$173</f>
        <v>0</v>
      </c>
      <c r="AP39" s="68">
        <f xml:space="preserve"> DSRA!AP$173</f>
        <v>0</v>
      </c>
      <c r="AQ39" s="68">
        <f xml:space="preserve"> DSRA!AQ$173</f>
        <v>0</v>
      </c>
      <c r="AR39" s="68">
        <f xml:space="preserve"> DSRA!AR$173</f>
        <v>0</v>
      </c>
      <c r="AS39" s="68">
        <f xml:space="preserve"> DSRA!AS$173</f>
        <v>0</v>
      </c>
      <c r="AT39" s="68">
        <f xml:space="preserve"> DSRA!AT$173</f>
        <v>0</v>
      </c>
      <c r="AU39" s="68">
        <f xml:space="preserve"> DSRA!AU$173</f>
        <v>0</v>
      </c>
      <c r="AV39" s="68">
        <f xml:space="preserve"> DSRA!AV$173</f>
        <v>0</v>
      </c>
      <c r="AW39" s="68">
        <f xml:space="preserve"> DSRA!AW$173</f>
        <v>0</v>
      </c>
      <c r="AX39" s="68">
        <f xml:space="preserve"> DSRA!AX$173</f>
        <v>0</v>
      </c>
      <c r="AY39" s="68">
        <f xml:space="preserve"> DSRA!AY$173</f>
        <v>0</v>
      </c>
      <c r="AZ39" s="68">
        <f xml:space="preserve"> DSRA!AZ$173</f>
        <v>0</v>
      </c>
      <c r="BA39" s="68">
        <f xml:space="preserve"> DSRA!BA$173</f>
        <v>0</v>
      </c>
      <c r="BB39" s="68">
        <f xml:space="preserve"> DSRA!BB$173</f>
        <v>0</v>
      </c>
      <c r="BC39" s="68">
        <f xml:space="preserve"> DSRA!BC$173</f>
        <v>0</v>
      </c>
      <c r="BD39" s="68">
        <f xml:space="preserve"> DSRA!BD$173</f>
        <v>0</v>
      </c>
      <c r="BE39" s="68">
        <f xml:space="preserve"> DSRA!BE$173</f>
        <v>0</v>
      </c>
      <c r="BF39" s="68">
        <f xml:space="preserve"> DSRA!BF$173</f>
        <v>0</v>
      </c>
      <c r="BG39" s="68">
        <f xml:space="preserve"> DSRA!BG$173</f>
        <v>0</v>
      </c>
      <c r="BH39" s="68">
        <f xml:space="preserve"> DSRA!BH$173</f>
        <v>0</v>
      </c>
      <c r="BI39" s="68">
        <f xml:space="preserve"> DSRA!BI$173</f>
        <v>0</v>
      </c>
      <c r="BJ39" s="68">
        <f xml:space="preserve"> DSRA!BJ$173</f>
        <v>0</v>
      </c>
      <c r="BK39" s="68">
        <f xml:space="preserve"> DSRA!BK$173</f>
        <v>0</v>
      </c>
      <c r="BL39" s="68">
        <f xml:space="preserve"> DSRA!BL$173</f>
        <v>0</v>
      </c>
      <c r="BM39" s="68">
        <f xml:space="preserve"> DSRA!BM$173</f>
        <v>0</v>
      </c>
      <c r="BN39" s="68">
        <f xml:space="preserve"> DSRA!BN$173</f>
        <v>0</v>
      </c>
      <c r="BO39" s="68">
        <f xml:space="preserve"> DSRA!BO$173</f>
        <v>0</v>
      </c>
      <c r="BP39" s="68">
        <f xml:space="preserve"> DSRA!BP$173</f>
        <v>0</v>
      </c>
      <c r="BQ39" s="68">
        <f xml:space="preserve"> DSRA!BQ$173</f>
        <v>0</v>
      </c>
      <c r="BR39" s="68">
        <f xml:space="preserve"> DSRA!BR$173</f>
        <v>0</v>
      </c>
      <c r="BS39" s="68">
        <f xml:space="preserve"> DSRA!BS$173</f>
        <v>0</v>
      </c>
      <c r="BT39" s="68">
        <f xml:space="preserve"> DSRA!BT$173</f>
        <v>0</v>
      </c>
      <c r="BU39" s="68">
        <f xml:space="preserve"> DSRA!BU$173</f>
        <v>0</v>
      </c>
      <c r="BV39" s="68">
        <f xml:space="preserve"> DSRA!BV$173</f>
        <v>0</v>
      </c>
      <c r="BW39" s="68">
        <f xml:space="preserve"> DSRA!BW$173</f>
        <v>0</v>
      </c>
      <c r="BX39" s="68">
        <f xml:space="preserve"> DSRA!BX$173</f>
        <v>0</v>
      </c>
      <c r="BY39" s="68">
        <f xml:space="preserve"> DSRA!BY$173</f>
        <v>0</v>
      </c>
      <c r="BZ39" s="68">
        <f xml:space="preserve"> DSRA!BZ$173</f>
        <v>0</v>
      </c>
      <c r="CA39" s="68">
        <f xml:space="preserve"> DSRA!CA$173</f>
        <v>0</v>
      </c>
      <c r="CB39" s="68">
        <f xml:space="preserve"> DSRA!CB$173</f>
        <v>0</v>
      </c>
      <c r="CC39" s="68">
        <f xml:space="preserve"> DSRA!CC$173</f>
        <v>0</v>
      </c>
      <c r="CD39" s="68">
        <f xml:space="preserve"> DSRA!CD$173</f>
        <v>0</v>
      </c>
      <c r="CE39" s="68">
        <f xml:space="preserve"> DSRA!CE$173</f>
        <v>0</v>
      </c>
      <c r="CF39" s="68">
        <f xml:space="preserve"> DSRA!CF$173</f>
        <v>0</v>
      </c>
      <c r="CG39" s="68">
        <f xml:space="preserve"> DSRA!CG$173</f>
        <v>0</v>
      </c>
      <c r="CH39" s="68">
        <f xml:space="preserve"> DSRA!CH$173</f>
        <v>0</v>
      </c>
      <c r="CI39" s="68">
        <f xml:space="preserve"> DSRA!CI$173</f>
        <v>0</v>
      </c>
      <c r="CJ39" s="68">
        <f xml:space="preserve"> DSRA!CJ$173</f>
        <v>0</v>
      </c>
      <c r="CK39" s="68">
        <f xml:space="preserve"> DSRA!CK$173</f>
        <v>0</v>
      </c>
      <c r="CL39" s="68">
        <f xml:space="preserve"> DSRA!CL$173</f>
        <v>0</v>
      </c>
      <c r="CM39" s="68">
        <f xml:space="preserve"> DSRA!CM$173</f>
        <v>0</v>
      </c>
      <c r="CN39" s="68">
        <f xml:space="preserve"> DSRA!CN$173</f>
        <v>0</v>
      </c>
      <c r="CO39" s="68">
        <f xml:space="preserve"> DSRA!CO$173</f>
        <v>0</v>
      </c>
      <c r="CP39" s="68">
        <f xml:space="preserve"> DSRA!CP$173</f>
        <v>0</v>
      </c>
      <c r="CQ39" s="68">
        <f xml:space="preserve"> DSRA!CQ$173</f>
        <v>0</v>
      </c>
      <c r="CR39" s="68">
        <f xml:space="preserve"> DSRA!CR$173</f>
        <v>0</v>
      </c>
      <c r="CS39" s="68">
        <f xml:space="preserve"> DSRA!CS$173</f>
        <v>0</v>
      </c>
      <c r="CT39" s="68">
        <f xml:space="preserve"> DSRA!CT$173</f>
        <v>0</v>
      </c>
      <c r="CU39" s="68">
        <f xml:space="preserve"> DSRA!CU$173</f>
        <v>0</v>
      </c>
      <c r="CV39" s="68">
        <f xml:space="preserve"> DSRA!CV$173</f>
        <v>0</v>
      </c>
    </row>
    <row r="40" spans="1:192" outlineLevel="1" x14ac:dyDescent="0.2">
      <c r="E40" s="491" t="s">
        <v>175</v>
      </c>
      <c r="F40" s="491"/>
      <c r="G40" s="491" t="str">
        <f xml:space="preserve"> SMU</f>
        <v>$ 000s</v>
      </c>
      <c r="H40" s="491">
        <f xml:space="preserve"> SUM(J40:CV40)</f>
        <v>401562.34567810298</v>
      </c>
      <c r="I40" s="233"/>
      <c r="J40" s="491">
        <f t="shared" ref="J40:AO40" si="14">SUM(J28:J39)</f>
        <v>0</v>
      </c>
      <c r="K40" s="491">
        <f t="shared" si="14"/>
        <v>0</v>
      </c>
      <c r="L40" s="491">
        <f t="shared" si="14"/>
        <v>0</v>
      </c>
      <c r="M40" s="491">
        <f t="shared" si="14"/>
        <v>0</v>
      </c>
      <c r="N40" s="491">
        <f t="shared" si="14"/>
        <v>0</v>
      </c>
      <c r="O40" s="491">
        <f t="shared" si="14"/>
        <v>10990.297313133306</v>
      </c>
      <c r="P40" s="491">
        <f t="shared" si="14"/>
        <v>10747.606538051328</v>
      </c>
      <c r="Q40" s="491">
        <f t="shared" si="14"/>
        <v>10750.729669838216</v>
      </c>
      <c r="R40" s="491">
        <f t="shared" si="14"/>
        <v>10574.547129881877</v>
      </c>
      <c r="S40" s="491">
        <f t="shared" si="14"/>
        <v>10576.429660471949</v>
      </c>
      <c r="T40" s="491">
        <f t="shared" si="14"/>
        <v>10408.330419952121</v>
      </c>
      <c r="U40" s="491">
        <f t="shared" si="14"/>
        <v>10410.045889517143</v>
      </c>
      <c r="V40" s="491">
        <f t="shared" si="14"/>
        <v>10276.672149870985</v>
      </c>
      <c r="W40" s="491">
        <f t="shared" si="14"/>
        <v>10251.399799320705</v>
      </c>
      <c r="X40" s="491">
        <f t="shared" si="14"/>
        <v>10103.566447954245</v>
      </c>
      <c r="Y40" s="491">
        <f t="shared" si="14"/>
        <v>10302.194915648728</v>
      </c>
      <c r="Z40" s="491">
        <f t="shared" si="14"/>
        <v>10159.439568389236</v>
      </c>
      <c r="AA40" s="491">
        <f t="shared" si="14"/>
        <v>10164.661004908732</v>
      </c>
      <c r="AB40" s="491">
        <f t="shared" si="14"/>
        <v>10034.357289790407</v>
      </c>
      <c r="AC40" s="491">
        <f t="shared" si="14"/>
        <v>10042.653883042054</v>
      </c>
      <c r="AD40" s="491">
        <f t="shared" si="14"/>
        <v>9946.2069250215718</v>
      </c>
      <c r="AE40" s="491">
        <f t="shared" si="14"/>
        <v>9937.0353530868451</v>
      </c>
      <c r="AF40" s="491">
        <f t="shared" si="14"/>
        <v>9837.4799831975197</v>
      </c>
      <c r="AG40" s="491">
        <f t="shared" si="14"/>
        <v>9854.5843565235955</v>
      </c>
      <c r="AH40" s="491">
        <f t="shared" si="14"/>
        <v>9771.5517691330988</v>
      </c>
      <c r="AI40" s="491">
        <f t="shared" si="14"/>
        <v>9944.3617405765599</v>
      </c>
      <c r="AJ40" s="491">
        <f t="shared" si="14"/>
        <v>9872.4278132714771</v>
      </c>
      <c r="AK40" s="491">
        <f t="shared" si="14"/>
        <v>9901.387696755326</v>
      </c>
      <c r="AL40" s="491">
        <f t="shared" si="14"/>
        <v>9863.8782505309337</v>
      </c>
      <c r="AM40" s="491">
        <f t="shared" si="14"/>
        <v>9888.6686404470965</v>
      </c>
      <c r="AN40" s="491">
        <f t="shared" si="14"/>
        <v>9864.0214539893459</v>
      </c>
      <c r="AO40" s="491">
        <f t="shared" si="14"/>
        <v>9915.1526167393567</v>
      </c>
      <c r="AP40" s="491">
        <f t="shared" ref="AP40:BU40" si="15">SUM(AP28:AP39)</f>
        <v>9916.9657026760833</v>
      </c>
      <c r="AQ40" s="491">
        <f t="shared" si="15"/>
        <v>9983.3134002536899</v>
      </c>
      <c r="AR40" s="491">
        <f t="shared" si="15"/>
        <v>10016.098994175029</v>
      </c>
      <c r="AS40" s="491">
        <f t="shared" si="15"/>
        <v>10101.182926126012</v>
      </c>
      <c r="AT40" s="491">
        <f t="shared" si="15"/>
        <v>10188.461918003537</v>
      </c>
      <c r="AU40" s="491">
        <f t="shared" si="15"/>
        <v>10307.964894427676</v>
      </c>
      <c r="AV40" s="491">
        <f t="shared" si="15"/>
        <v>10141.506485369766</v>
      </c>
      <c r="AW40" s="491">
        <f t="shared" si="15"/>
        <v>9987.6939839541465</v>
      </c>
      <c r="AX40" s="491">
        <f t="shared" si="15"/>
        <v>9770.4893609140308</v>
      </c>
      <c r="AY40" s="491">
        <f t="shared" si="15"/>
        <v>9549.0316355148352</v>
      </c>
      <c r="AZ40" s="491">
        <f t="shared" si="15"/>
        <v>9314.5070350648566</v>
      </c>
      <c r="BA40" s="491">
        <f t="shared" si="15"/>
        <v>9074.6490722965682</v>
      </c>
      <c r="BB40" s="491">
        <f t="shared" si="15"/>
        <v>8820.7919902830781</v>
      </c>
      <c r="BC40" s="491">
        <f t="shared" si="15"/>
        <v>0</v>
      </c>
      <c r="BD40" s="491">
        <f t="shared" si="15"/>
        <v>0</v>
      </c>
      <c r="BE40" s="491">
        <f t="shared" si="15"/>
        <v>0</v>
      </c>
      <c r="BF40" s="491">
        <f t="shared" si="15"/>
        <v>0</v>
      </c>
      <c r="BG40" s="491">
        <f t="shared" si="15"/>
        <v>0</v>
      </c>
      <c r="BH40" s="491">
        <f t="shared" si="15"/>
        <v>0</v>
      </c>
      <c r="BI40" s="491">
        <f t="shared" si="15"/>
        <v>0</v>
      </c>
      <c r="BJ40" s="491">
        <f t="shared" si="15"/>
        <v>0</v>
      </c>
      <c r="BK40" s="491">
        <f t="shared" si="15"/>
        <v>0</v>
      </c>
      <c r="BL40" s="491">
        <f t="shared" si="15"/>
        <v>0</v>
      </c>
      <c r="BM40" s="491">
        <f t="shared" si="15"/>
        <v>0</v>
      </c>
      <c r="BN40" s="491">
        <f t="shared" si="15"/>
        <v>0</v>
      </c>
      <c r="BO40" s="491">
        <f t="shared" si="15"/>
        <v>0</v>
      </c>
      <c r="BP40" s="491">
        <f t="shared" si="15"/>
        <v>0</v>
      </c>
      <c r="BQ40" s="491">
        <f t="shared" si="15"/>
        <v>0</v>
      </c>
      <c r="BR40" s="491">
        <f t="shared" si="15"/>
        <v>0</v>
      </c>
      <c r="BS40" s="491">
        <f t="shared" si="15"/>
        <v>0</v>
      </c>
      <c r="BT40" s="491">
        <f t="shared" si="15"/>
        <v>0</v>
      </c>
      <c r="BU40" s="491">
        <f t="shared" si="15"/>
        <v>0</v>
      </c>
      <c r="BV40" s="491">
        <f t="shared" ref="BV40:CV40" si="16">SUM(BV28:BV39)</f>
        <v>0</v>
      </c>
      <c r="BW40" s="491">
        <f t="shared" si="16"/>
        <v>0</v>
      </c>
      <c r="BX40" s="491">
        <f t="shared" si="16"/>
        <v>0</v>
      </c>
      <c r="BY40" s="491">
        <f t="shared" si="16"/>
        <v>0</v>
      </c>
      <c r="BZ40" s="491">
        <f t="shared" si="16"/>
        <v>0</v>
      </c>
      <c r="CA40" s="491">
        <f t="shared" si="16"/>
        <v>0</v>
      </c>
      <c r="CB40" s="491">
        <f t="shared" si="16"/>
        <v>0</v>
      </c>
      <c r="CC40" s="491">
        <f t="shared" si="16"/>
        <v>0</v>
      </c>
      <c r="CD40" s="491">
        <f t="shared" si="16"/>
        <v>0</v>
      </c>
      <c r="CE40" s="491">
        <f t="shared" si="16"/>
        <v>0</v>
      </c>
      <c r="CF40" s="491">
        <f t="shared" si="16"/>
        <v>0</v>
      </c>
      <c r="CG40" s="491">
        <f t="shared" si="16"/>
        <v>0</v>
      </c>
      <c r="CH40" s="491">
        <f t="shared" si="16"/>
        <v>0</v>
      </c>
      <c r="CI40" s="491">
        <f t="shared" si="16"/>
        <v>0</v>
      </c>
      <c r="CJ40" s="491">
        <f t="shared" si="16"/>
        <v>0</v>
      </c>
      <c r="CK40" s="491">
        <f t="shared" si="16"/>
        <v>0</v>
      </c>
      <c r="CL40" s="491">
        <f t="shared" si="16"/>
        <v>0</v>
      </c>
      <c r="CM40" s="491">
        <f t="shared" si="16"/>
        <v>0</v>
      </c>
      <c r="CN40" s="491">
        <f t="shared" si="16"/>
        <v>0</v>
      </c>
      <c r="CO40" s="491">
        <f t="shared" si="16"/>
        <v>0</v>
      </c>
      <c r="CP40" s="491">
        <f t="shared" si="16"/>
        <v>0</v>
      </c>
      <c r="CQ40" s="491">
        <f t="shared" si="16"/>
        <v>0</v>
      </c>
      <c r="CR40" s="491">
        <f t="shared" si="16"/>
        <v>0</v>
      </c>
      <c r="CS40" s="491">
        <f t="shared" si="16"/>
        <v>0</v>
      </c>
      <c r="CT40" s="491">
        <f t="shared" si="16"/>
        <v>0</v>
      </c>
      <c r="CU40" s="491">
        <f t="shared" si="16"/>
        <v>0</v>
      </c>
      <c r="CV40" s="491">
        <f t="shared" si="16"/>
        <v>0</v>
      </c>
    </row>
    <row r="41" spans="1:192" outlineLevel="1" x14ac:dyDescent="0.2"/>
    <row r="43" spans="1:192" x14ac:dyDescent="0.2">
      <c r="A43" s="15" t="s">
        <v>1301</v>
      </c>
    </row>
    <row r="44" spans="1:192" outlineLevel="1" x14ac:dyDescent="0.2">
      <c r="E44" s="186" t="str">
        <f xml:space="preserve"> 'FS Semi'!E$29</f>
        <v>Profit before tax</v>
      </c>
      <c r="F44" s="186">
        <f xml:space="preserve"> 'FS Semi'!F$29</f>
        <v>0</v>
      </c>
      <c r="G44" s="186" t="str">
        <f xml:space="preserve"> 'FS Semi'!G$29</f>
        <v>$ 000s</v>
      </c>
      <c r="H44" s="186">
        <f xml:space="preserve"> 'FS Semi'!H$29</f>
        <v>-139488.01257311381</v>
      </c>
      <c r="I44" s="186">
        <f xml:space="preserve"> 'FS Semi'!I$29</f>
        <v>0</v>
      </c>
      <c r="J44" s="186">
        <f xml:space="preserve"> 'FS Semi'!J$29</f>
        <v>0</v>
      </c>
      <c r="K44" s="186">
        <f xml:space="preserve"> 'FS Semi'!K$29</f>
        <v>0</v>
      </c>
      <c r="L44" s="186">
        <f xml:space="preserve"> 'FS Semi'!L$29</f>
        <v>0</v>
      </c>
      <c r="M44" s="186">
        <f xml:space="preserve"> 'FS Semi'!M$29</f>
        <v>0</v>
      </c>
      <c r="N44" s="186">
        <f xml:space="preserve"> 'FS Semi'!N$29</f>
        <v>0</v>
      </c>
      <c r="O44" s="186">
        <f xml:space="preserve"> 'FS Semi'!O$29</f>
        <v>-3319.5173877542884</v>
      </c>
      <c r="P44" s="186">
        <f xml:space="preserve"> 'FS Semi'!P$29</f>
        <v>-3076.8266126723111</v>
      </c>
      <c r="Q44" s="186">
        <f xml:space="preserve"> 'FS Semi'!Q$29</f>
        <v>-3198.9722992948782</v>
      </c>
      <c r="R44" s="186">
        <f xml:space="preserve"> 'FS Semi'!R$29</f>
        <v>-3022.7897593385396</v>
      </c>
      <c r="S44" s="186">
        <f xml:space="preserve"> 'FS Semi'!S$29</f>
        <v>-3145.2237957636053</v>
      </c>
      <c r="T44" s="186">
        <f xml:space="preserve"> 'FS Semi'!T$29</f>
        <v>-2977.1245552437767</v>
      </c>
      <c r="U44" s="186">
        <f xml:space="preserve"> 'FS Semi'!U$29</f>
        <v>-3100.9530416577609</v>
      </c>
      <c r="V44" s="186">
        <f xml:space="preserve"> 'FS Semi'!V$29</f>
        <v>-2967.5793020116025</v>
      </c>
      <c r="W44" s="186">
        <f xml:space="preserve"> 'FS Semi'!W$29</f>
        <v>-3066.0146916400709</v>
      </c>
      <c r="X44" s="186">
        <f xml:space="preserve"> 'FS Semi'!X$29</f>
        <v>-2918.1813402736107</v>
      </c>
      <c r="Y44" s="186">
        <f xml:space="preserve"> 'FS Semi'!Y$29</f>
        <v>-3242.1461492282751</v>
      </c>
      <c r="Z44" s="186">
        <f xml:space="preserve"> 'FS Semi'!Z$29</f>
        <v>-3099.3908019687833</v>
      </c>
      <c r="AA44" s="186">
        <f xml:space="preserve"> 'FS Semi'!AA$29</f>
        <v>-3231.6117374161468</v>
      </c>
      <c r="AB44" s="186">
        <f xml:space="preserve"> 'FS Semi'!AB$29</f>
        <v>-3101.3080222978215</v>
      </c>
      <c r="AC44" s="186">
        <f xml:space="preserve"> 'FS Semi'!AC$29</f>
        <v>-3238.3025212341336</v>
      </c>
      <c r="AD44" s="186">
        <f xml:space="preserve"> 'FS Semi'!AD$29</f>
        <v>-3141.8555632136513</v>
      </c>
      <c r="AE44" s="186">
        <f xml:space="preserve"> 'FS Semi'!AE$29</f>
        <v>-3263.1162592554219</v>
      </c>
      <c r="AF44" s="186">
        <f xml:space="preserve"> 'FS Semi'!AF$29</f>
        <v>-3163.5608893660965</v>
      </c>
      <c r="AG44" s="186">
        <f xml:space="preserve"> 'FS Semi'!AG$29</f>
        <v>-3312.8685691650162</v>
      </c>
      <c r="AH44" s="186">
        <f xml:space="preserve"> 'FS Semi'!AH$29</f>
        <v>-3229.8359817745195</v>
      </c>
      <c r="AI44" s="186">
        <f xml:space="preserve"> 'FS Semi'!AI$29</f>
        <v>-3536.6577095706552</v>
      </c>
      <c r="AJ44" s="186">
        <f xml:space="preserve"> 'FS Semi'!AJ$29</f>
        <v>-3464.7237822655725</v>
      </c>
      <c r="AK44" s="186">
        <f xml:space="preserve"> 'FS Semi'!AK$29</f>
        <v>-3629.542033345776</v>
      </c>
      <c r="AL44" s="186">
        <f xml:space="preserve"> 'FS Semi'!AL$29</f>
        <v>-3592.0325871213836</v>
      </c>
      <c r="AM44" s="186">
        <f xml:space="preserve"> 'FS Semi'!AM$29</f>
        <v>-3754.566882320697</v>
      </c>
      <c r="AN44" s="186">
        <f xml:space="preserve"> 'FS Semi'!AN$29</f>
        <v>-3729.9196958629464</v>
      </c>
      <c r="AO44" s="186">
        <f xml:space="preserve"> 'FS Semi'!AO$29</f>
        <v>-3920.7200085078975</v>
      </c>
      <c r="AP44" s="186">
        <f xml:space="preserve"> 'FS Semi'!AP$29</f>
        <v>-3922.5330944446241</v>
      </c>
      <c r="AQ44" s="186">
        <f xml:space="preserve"> 'FS Semi'!AQ$29</f>
        <v>-4130.5156896481976</v>
      </c>
      <c r="AR44" s="186">
        <f xml:space="preserve"> 'FS Semi'!AR$29</f>
        <v>-4163.3012835695363</v>
      </c>
      <c r="AS44" s="186">
        <f xml:space="preserve"> 'FS Semi'!AS$29</f>
        <v>-4392.0271762192597</v>
      </c>
      <c r="AT44" s="186">
        <f xml:space="preserve"> 'FS Semi'!AT$29</f>
        <v>-4479.3061680967849</v>
      </c>
      <c r="AU44" s="186">
        <f xml:space="preserve"> 'FS Semi'!AU$29</f>
        <v>-4744.5003122072494</v>
      </c>
      <c r="AV44" s="186">
        <f xml:space="preserve"> 'FS Semi'!AV$29</f>
        <v>-4578.0419031493393</v>
      </c>
      <c r="AW44" s="186">
        <f xml:space="preserve"> 'FS Semi'!AW$29</f>
        <v>-3856.2612943384665</v>
      </c>
      <c r="AX44" s="186">
        <f xml:space="preserve"> 'FS Semi'!AX$29</f>
        <v>-3639.0566712983509</v>
      </c>
      <c r="AY44" s="186">
        <f xml:space="preserve"> 'FS Semi'!AY$29</f>
        <v>-3567.5183573298073</v>
      </c>
      <c r="AZ44" s="186">
        <f xml:space="preserve"> 'FS Semi'!AZ$29</f>
        <v>-3332.9937568798287</v>
      </c>
      <c r="BA44" s="186">
        <f xml:space="preserve"> 'FS Semi'!BA$29</f>
        <v>-3245.235984190318</v>
      </c>
      <c r="BB44" s="186">
        <f xml:space="preserve"> 'FS Semi'!BB$29</f>
        <v>-2991.378902176828</v>
      </c>
      <c r="BC44" s="186">
        <f xml:space="preserve"> 'FS Semi'!BC$29</f>
        <v>0</v>
      </c>
      <c r="BD44" s="186">
        <f xml:space="preserve"> 'FS Semi'!BD$29</f>
        <v>0</v>
      </c>
      <c r="BE44" s="186">
        <f xml:space="preserve"> 'FS Semi'!BE$29</f>
        <v>0</v>
      </c>
      <c r="BF44" s="186">
        <f xml:space="preserve"> 'FS Semi'!BF$29</f>
        <v>0</v>
      </c>
      <c r="BG44" s="186">
        <f xml:space="preserve"> 'FS Semi'!BG$29</f>
        <v>0</v>
      </c>
      <c r="BH44" s="186">
        <f xml:space="preserve"> 'FS Semi'!BH$29</f>
        <v>0</v>
      </c>
      <c r="BI44" s="186">
        <f xml:space="preserve"> 'FS Semi'!BI$29</f>
        <v>0</v>
      </c>
      <c r="BJ44" s="186">
        <f xml:space="preserve"> 'FS Semi'!BJ$29</f>
        <v>0</v>
      </c>
      <c r="BK44" s="186">
        <f xml:space="preserve"> 'FS Semi'!BK$29</f>
        <v>0</v>
      </c>
      <c r="BL44" s="186">
        <f xml:space="preserve"> 'FS Semi'!BL$29</f>
        <v>0</v>
      </c>
      <c r="BM44" s="186">
        <f xml:space="preserve"> 'FS Semi'!BM$29</f>
        <v>0</v>
      </c>
      <c r="BN44" s="186">
        <f xml:space="preserve"> 'FS Semi'!BN$29</f>
        <v>0</v>
      </c>
      <c r="BO44" s="186">
        <f xml:space="preserve"> 'FS Semi'!BO$29</f>
        <v>0</v>
      </c>
      <c r="BP44" s="186">
        <f xml:space="preserve"> 'FS Semi'!BP$29</f>
        <v>0</v>
      </c>
      <c r="BQ44" s="186">
        <f xml:space="preserve"> 'FS Semi'!BQ$29</f>
        <v>0</v>
      </c>
      <c r="BR44" s="186">
        <f xml:space="preserve"> 'FS Semi'!BR$29</f>
        <v>0</v>
      </c>
      <c r="BS44" s="186">
        <f xml:space="preserve"> 'FS Semi'!BS$29</f>
        <v>0</v>
      </c>
      <c r="BT44" s="186">
        <f xml:space="preserve"> 'FS Semi'!BT$29</f>
        <v>0</v>
      </c>
      <c r="BU44" s="186">
        <f xml:space="preserve"> 'FS Semi'!BU$29</f>
        <v>0</v>
      </c>
      <c r="BV44" s="186">
        <f xml:space="preserve"> 'FS Semi'!BV$29</f>
        <v>0</v>
      </c>
      <c r="BW44" s="186">
        <f xml:space="preserve"> 'FS Semi'!BW$29</f>
        <v>0</v>
      </c>
      <c r="BX44" s="186">
        <f xml:space="preserve"> 'FS Semi'!BX$29</f>
        <v>0</v>
      </c>
      <c r="BY44" s="186">
        <f xml:space="preserve"> 'FS Semi'!BY$29</f>
        <v>0</v>
      </c>
      <c r="BZ44" s="186">
        <f xml:space="preserve"> 'FS Semi'!BZ$29</f>
        <v>0</v>
      </c>
      <c r="CA44" s="186">
        <f xml:space="preserve"> 'FS Semi'!CA$29</f>
        <v>0</v>
      </c>
      <c r="CB44" s="186">
        <f xml:space="preserve"> 'FS Semi'!CB$29</f>
        <v>0</v>
      </c>
      <c r="CC44" s="186">
        <f xml:space="preserve"> 'FS Semi'!CC$29</f>
        <v>0</v>
      </c>
      <c r="CD44" s="186">
        <f xml:space="preserve"> 'FS Semi'!CD$29</f>
        <v>0</v>
      </c>
      <c r="CE44" s="186">
        <f xml:space="preserve"> 'FS Semi'!CE$29</f>
        <v>0</v>
      </c>
      <c r="CF44" s="186">
        <f xml:space="preserve"> 'FS Semi'!CF$29</f>
        <v>0</v>
      </c>
      <c r="CG44" s="186">
        <f xml:space="preserve"> 'FS Semi'!CG$29</f>
        <v>0</v>
      </c>
      <c r="CH44" s="186">
        <f xml:space="preserve"> 'FS Semi'!CH$29</f>
        <v>0</v>
      </c>
      <c r="CI44" s="186">
        <f xml:space="preserve"> 'FS Semi'!CI$29</f>
        <v>0</v>
      </c>
      <c r="CJ44" s="186">
        <f xml:space="preserve"> 'FS Semi'!CJ$29</f>
        <v>0</v>
      </c>
      <c r="CK44" s="186">
        <f xml:space="preserve"> 'FS Semi'!CK$29</f>
        <v>0</v>
      </c>
      <c r="CL44" s="186">
        <f xml:space="preserve"> 'FS Semi'!CL$29</f>
        <v>0</v>
      </c>
      <c r="CM44" s="186">
        <f xml:space="preserve"> 'FS Semi'!CM$29</f>
        <v>0</v>
      </c>
      <c r="CN44" s="186">
        <f xml:space="preserve"> 'FS Semi'!CN$29</f>
        <v>0</v>
      </c>
      <c r="CO44" s="186">
        <f xml:space="preserve"> 'FS Semi'!CO$29</f>
        <v>0</v>
      </c>
      <c r="CP44" s="186">
        <f xml:space="preserve"> 'FS Semi'!CP$29</f>
        <v>0</v>
      </c>
      <c r="CQ44" s="186">
        <f xml:space="preserve"> 'FS Semi'!CQ$29</f>
        <v>0</v>
      </c>
      <c r="CR44" s="186">
        <f xml:space="preserve"> 'FS Semi'!CR$29</f>
        <v>0</v>
      </c>
      <c r="CS44" s="186">
        <f xml:space="preserve"> 'FS Semi'!CS$29</f>
        <v>0</v>
      </c>
      <c r="CT44" s="186">
        <f xml:space="preserve"> 'FS Semi'!CT$29</f>
        <v>0</v>
      </c>
      <c r="CU44" s="186">
        <f xml:space="preserve"> 'FS Semi'!CU$29</f>
        <v>0</v>
      </c>
      <c r="CV44" s="186">
        <f xml:space="preserve"> 'FS Semi'!CV$29</f>
        <v>0</v>
      </c>
      <c r="CW44" s="186">
        <f xml:space="preserve"> 'FS Semi'!CW$29</f>
        <v>0</v>
      </c>
      <c r="CX44" s="186">
        <f xml:space="preserve"> 'FS Semi'!CX$29</f>
        <v>0</v>
      </c>
      <c r="CY44" s="186">
        <f xml:space="preserve"> 'FS Semi'!CY$29</f>
        <v>0</v>
      </c>
      <c r="CZ44" s="186">
        <f xml:space="preserve"> 'FS Semi'!CZ$29</f>
        <v>0</v>
      </c>
      <c r="DA44" s="186">
        <f xml:space="preserve"> 'FS Semi'!DA$29</f>
        <v>0</v>
      </c>
      <c r="DB44" s="186">
        <f xml:space="preserve"> 'FS Semi'!DB$29</f>
        <v>0</v>
      </c>
      <c r="DC44" s="186">
        <f xml:space="preserve"> 'FS Semi'!DC$29</f>
        <v>0</v>
      </c>
      <c r="DD44" s="186">
        <f xml:space="preserve"> 'FS Semi'!DD$29</f>
        <v>0</v>
      </c>
      <c r="DE44" s="186">
        <f xml:space="preserve"> 'FS Semi'!DE$29</f>
        <v>0</v>
      </c>
      <c r="DF44" s="186">
        <f xml:space="preserve"> 'FS Semi'!DF$29</f>
        <v>0</v>
      </c>
      <c r="DG44" s="186">
        <f xml:space="preserve"> 'FS Semi'!DG$29</f>
        <v>0</v>
      </c>
      <c r="DH44" s="186">
        <f xml:space="preserve"> 'FS Semi'!DH$29</f>
        <v>0</v>
      </c>
      <c r="DI44" s="186">
        <f xml:space="preserve"> 'FS Semi'!DI$29</f>
        <v>0</v>
      </c>
      <c r="DJ44" s="186">
        <f xml:space="preserve"> 'FS Semi'!DJ$29</f>
        <v>0</v>
      </c>
      <c r="DK44" s="186">
        <f xml:space="preserve"> 'FS Semi'!DK$29</f>
        <v>0</v>
      </c>
      <c r="DL44" s="186">
        <f xml:space="preserve"> 'FS Semi'!DL$29</f>
        <v>0</v>
      </c>
      <c r="DM44" s="186">
        <f xml:space="preserve"> 'FS Semi'!DM$29</f>
        <v>0</v>
      </c>
      <c r="DN44" s="186">
        <f xml:space="preserve"> 'FS Semi'!DN$29</f>
        <v>0</v>
      </c>
      <c r="DO44" s="186">
        <f xml:space="preserve"> 'FS Semi'!DO$29</f>
        <v>0</v>
      </c>
      <c r="DP44" s="186">
        <f xml:space="preserve"> 'FS Semi'!DP$29</f>
        <v>0</v>
      </c>
      <c r="DQ44" s="186">
        <f xml:space="preserve"> 'FS Semi'!DQ$29</f>
        <v>0</v>
      </c>
      <c r="DR44" s="186">
        <f xml:space="preserve"> 'FS Semi'!DR$29</f>
        <v>0</v>
      </c>
      <c r="DS44" s="186">
        <f xml:space="preserve"> 'FS Semi'!DS$29</f>
        <v>0</v>
      </c>
      <c r="DT44" s="186">
        <f xml:space="preserve"> 'FS Semi'!DT$29</f>
        <v>0</v>
      </c>
      <c r="DU44" s="186">
        <f xml:space="preserve"> 'FS Semi'!DU$29</f>
        <v>0</v>
      </c>
      <c r="DV44" s="186">
        <f xml:space="preserve"> 'FS Semi'!DV$29</f>
        <v>0</v>
      </c>
      <c r="DW44" s="186">
        <f xml:space="preserve"> 'FS Semi'!DW$29</f>
        <v>0</v>
      </c>
      <c r="DX44" s="186">
        <f xml:space="preserve"> 'FS Semi'!DX$29</f>
        <v>0</v>
      </c>
      <c r="DY44" s="186">
        <f xml:space="preserve"> 'FS Semi'!DY$29</f>
        <v>0</v>
      </c>
      <c r="DZ44" s="186">
        <f xml:space="preserve"> 'FS Semi'!DZ$29</f>
        <v>0</v>
      </c>
      <c r="EA44" s="186">
        <f xml:space="preserve"> 'FS Semi'!EA$29</f>
        <v>0</v>
      </c>
      <c r="EB44" s="186">
        <f xml:space="preserve"> 'FS Semi'!EB$29</f>
        <v>0</v>
      </c>
      <c r="EC44" s="186">
        <f xml:space="preserve"> 'FS Semi'!EC$29</f>
        <v>0</v>
      </c>
      <c r="ED44" s="186">
        <f xml:space="preserve"> 'FS Semi'!ED$29</f>
        <v>0</v>
      </c>
      <c r="EE44" s="186">
        <f xml:space="preserve"> 'FS Semi'!EE$29</f>
        <v>0</v>
      </c>
      <c r="EF44" s="186">
        <f xml:space="preserve"> 'FS Semi'!EF$29</f>
        <v>0</v>
      </c>
      <c r="EG44" s="186">
        <f xml:space="preserve"> 'FS Semi'!EG$29</f>
        <v>0</v>
      </c>
      <c r="EH44" s="186">
        <f xml:space="preserve"> 'FS Semi'!EH$29</f>
        <v>0</v>
      </c>
      <c r="EI44" s="186">
        <f xml:space="preserve"> 'FS Semi'!EI$29</f>
        <v>0</v>
      </c>
      <c r="EJ44" s="186">
        <f xml:space="preserve"> 'FS Semi'!EJ$29</f>
        <v>0</v>
      </c>
      <c r="EK44" s="186">
        <f xml:space="preserve"> 'FS Semi'!EK$29</f>
        <v>0</v>
      </c>
      <c r="EL44" s="186">
        <f xml:space="preserve"> 'FS Semi'!EL$29</f>
        <v>0</v>
      </c>
      <c r="EM44" s="186">
        <f xml:space="preserve"> 'FS Semi'!EM$29</f>
        <v>0</v>
      </c>
      <c r="EN44" s="186">
        <f xml:space="preserve"> 'FS Semi'!EN$29</f>
        <v>0</v>
      </c>
      <c r="EO44" s="186">
        <f xml:space="preserve"> 'FS Semi'!EO$29</f>
        <v>0</v>
      </c>
      <c r="EP44" s="186">
        <f xml:space="preserve"> 'FS Semi'!EP$29</f>
        <v>0</v>
      </c>
      <c r="EQ44" s="186">
        <f xml:space="preserve"> 'FS Semi'!EQ$29</f>
        <v>0</v>
      </c>
      <c r="ER44" s="186">
        <f xml:space="preserve"> 'FS Semi'!ER$29</f>
        <v>0</v>
      </c>
      <c r="ES44" s="186">
        <f xml:space="preserve"> 'FS Semi'!ES$29</f>
        <v>0</v>
      </c>
      <c r="ET44" s="186">
        <f xml:space="preserve"> 'FS Semi'!ET$29</f>
        <v>0</v>
      </c>
      <c r="EU44" s="186">
        <f xml:space="preserve"> 'FS Semi'!EU$29</f>
        <v>0</v>
      </c>
      <c r="EV44" s="186">
        <f xml:space="preserve"> 'FS Semi'!EV$29</f>
        <v>0</v>
      </c>
      <c r="EW44" s="186">
        <f xml:space="preserve"> 'FS Semi'!EW$29</f>
        <v>0</v>
      </c>
      <c r="EX44" s="186">
        <f xml:space="preserve"> 'FS Semi'!EX$29</f>
        <v>0</v>
      </c>
      <c r="EY44" s="186">
        <f xml:space="preserve"> 'FS Semi'!EY$29</f>
        <v>0</v>
      </c>
      <c r="EZ44" s="186">
        <f xml:space="preserve"> 'FS Semi'!EZ$29</f>
        <v>0</v>
      </c>
      <c r="FA44" s="186">
        <f xml:space="preserve"> 'FS Semi'!FA$29</f>
        <v>0</v>
      </c>
      <c r="FB44" s="186">
        <f xml:space="preserve"> 'FS Semi'!FB$29</f>
        <v>0</v>
      </c>
      <c r="FC44" s="186">
        <f xml:space="preserve"> 'FS Semi'!FC$29</f>
        <v>0</v>
      </c>
      <c r="FD44" s="186">
        <f xml:space="preserve"> 'FS Semi'!FD$29</f>
        <v>0</v>
      </c>
      <c r="FE44" s="186">
        <f xml:space="preserve"> 'FS Semi'!FE$29</f>
        <v>0</v>
      </c>
      <c r="FF44" s="186">
        <f xml:space="preserve"> 'FS Semi'!FF$29</f>
        <v>0</v>
      </c>
      <c r="FG44" s="186">
        <f xml:space="preserve"> 'FS Semi'!FG$29</f>
        <v>0</v>
      </c>
      <c r="FH44" s="186">
        <f xml:space="preserve"> 'FS Semi'!FH$29</f>
        <v>0</v>
      </c>
      <c r="FI44" s="186">
        <f xml:space="preserve"> 'FS Semi'!FI$29</f>
        <v>0</v>
      </c>
      <c r="FJ44" s="186">
        <f xml:space="preserve"> 'FS Semi'!FJ$29</f>
        <v>0</v>
      </c>
      <c r="FK44" s="186">
        <f xml:space="preserve"> 'FS Semi'!FK$29</f>
        <v>0</v>
      </c>
      <c r="FL44" s="186">
        <f xml:space="preserve"> 'FS Semi'!FL$29</f>
        <v>0</v>
      </c>
      <c r="FM44" s="186">
        <f xml:space="preserve"> 'FS Semi'!FM$29</f>
        <v>0</v>
      </c>
      <c r="FN44" s="186">
        <f xml:space="preserve"> 'FS Semi'!FN$29</f>
        <v>0</v>
      </c>
      <c r="FO44" s="186">
        <f xml:space="preserve"> 'FS Semi'!FO$29</f>
        <v>0</v>
      </c>
      <c r="FP44" s="186">
        <f xml:space="preserve"> 'FS Semi'!FP$29</f>
        <v>0</v>
      </c>
      <c r="FQ44" s="186">
        <f xml:space="preserve"> 'FS Semi'!FQ$29</f>
        <v>0</v>
      </c>
      <c r="FR44" s="186">
        <f xml:space="preserve"> 'FS Semi'!FR$29</f>
        <v>0</v>
      </c>
      <c r="FS44" s="186">
        <f xml:space="preserve"> 'FS Semi'!FS$29</f>
        <v>0</v>
      </c>
      <c r="FT44" s="186">
        <f xml:space="preserve"> 'FS Semi'!FT$29</f>
        <v>0</v>
      </c>
      <c r="FU44" s="186">
        <f xml:space="preserve"> 'FS Semi'!FU$29</f>
        <v>0</v>
      </c>
      <c r="FV44" s="186">
        <f xml:space="preserve"> 'FS Semi'!FV$29</f>
        <v>0</v>
      </c>
      <c r="FW44" s="186">
        <f xml:space="preserve"> 'FS Semi'!FW$29</f>
        <v>0</v>
      </c>
      <c r="FX44" s="186">
        <f xml:space="preserve"> 'FS Semi'!FX$29</f>
        <v>0</v>
      </c>
      <c r="FY44" s="186">
        <f xml:space="preserve"> 'FS Semi'!FY$29</f>
        <v>0</v>
      </c>
      <c r="FZ44" s="186">
        <f xml:space="preserve"> 'FS Semi'!FZ$29</f>
        <v>0</v>
      </c>
      <c r="GA44" s="186">
        <f xml:space="preserve"> 'FS Semi'!GA$29</f>
        <v>0</v>
      </c>
      <c r="GB44" s="186">
        <f xml:space="preserve"> 'FS Semi'!GB$29</f>
        <v>0</v>
      </c>
      <c r="GC44" s="186">
        <f xml:space="preserve"> 'FS Semi'!GC$29</f>
        <v>0</v>
      </c>
      <c r="GD44" s="186">
        <f xml:space="preserve"> 'FS Semi'!GD$29</f>
        <v>0</v>
      </c>
      <c r="GE44" s="186">
        <f xml:space="preserve"> 'FS Semi'!GE$29</f>
        <v>0</v>
      </c>
      <c r="GF44" s="186">
        <f xml:space="preserve"> 'FS Semi'!GF$29</f>
        <v>0</v>
      </c>
      <c r="GG44" s="186">
        <f xml:space="preserve"> 'FS Semi'!GG$29</f>
        <v>0</v>
      </c>
      <c r="GH44" s="186">
        <f xml:space="preserve"> 'FS Semi'!GH$29</f>
        <v>0</v>
      </c>
      <c r="GI44" s="186">
        <f xml:space="preserve"> 'FS Semi'!GI$29</f>
        <v>0</v>
      </c>
      <c r="GJ44" s="186">
        <f xml:space="preserve"> 'FS Semi'!GJ$29</f>
        <v>0</v>
      </c>
    </row>
    <row r="45" spans="1:192" outlineLevel="1" x14ac:dyDescent="0.2">
      <c r="D45" s="48" t="s">
        <v>371</v>
      </c>
      <c r="E45" s="186" t="str">
        <f xml:space="preserve"> Acct!E$17</f>
        <v>Fixed asset depreciation POS</v>
      </c>
      <c r="F45" s="186">
        <f xml:space="preserve"> Acct!F$17</f>
        <v>0</v>
      </c>
      <c r="G45" s="186" t="str">
        <f xml:space="preserve"> Acct!G$17</f>
        <v>$ 000s</v>
      </c>
      <c r="H45" s="186">
        <f xml:space="preserve"> Acct!H$17</f>
        <v>295392.30772000016</v>
      </c>
      <c r="I45" s="186">
        <f xml:space="preserve"> Acct!I$17</f>
        <v>0</v>
      </c>
      <c r="J45" s="186">
        <f xml:space="preserve"> Acct!J$17</f>
        <v>0</v>
      </c>
      <c r="K45" s="186">
        <f xml:space="preserve"> Acct!K$17</f>
        <v>0</v>
      </c>
      <c r="L45" s="186">
        <f xml:space="preserve"> Acct!L$17</f>
        <v>0</v>
      </c>
      <c r="M45" s="186">
        <f xml:space="preserve"> Acct!M$17</f>
        <v>0</v>
      </c>
      <c r="N45" s="186">
        <f xml:space="preserve"> Acct!N$17</f>
        <v>0</v>
      </c>
      <c r="O45" s="186">
        <f xml:space="preserve"> Acct!O$17</f>
        <v>7384.807692999997</v>
      </c>
      <c r="P45" s="186">
        <f xml:space="preserve"> Acct!P$17</f>
        <v>7384.807692999997</v>
      </c>
      <c r="Q45" s="186">
        <f xml:space="preserve"> Acct!Q$17</f>
        <v>7384.807692999997</v>
      </c>
      <c r="R45" s="186">
        <f xml:space="preserve"> Acct!R$17</f>
        <v>7384.807692999997</v>
      </c>
      <c r="S45" s="186">
        <f xml:space="preserve"> Acct!S$17</f>
        <v>7384.807692999997</v>
      </c>
      <c r="T45" s="186">
        <f xml:space="preserve"> Acct!T$17</f>
        <v>7384.807692999997</v>
      </c>
      <c r="U45" s="186">
        <f xml:space="preserve"> Acct!U$17</f>
        <v>7384.807692999997</v>
      </c>
      <c r="V45" s="186">
        <f xml:space="preserve"> Acct!V$17</f>
        <v>7384.807692999997</v>
      </c>
      <c r="W45" s="186">
        <f xml:space="preserve"> Acct!W$17</f>
        <v>7384.807692999997</v>
      </c>
      <c r="X45" s="186">
        <f xml:space="preserve"> Acct!X$17</f>
        <v>7384.807692999997</v>
      </c>
      <c r="Y45" s="186">
        <f xml:space="preserve"> Acct!Y$17</f>
        <v>7384.807692999997</v>
      </c>
      <c r="Z45" s="186">
        <f xml:space="preserve"> Acct!Z$17</f>
        <v>7384.807692999997</v>
      </c>
      <c r="AA45" s="186">
        <f xml:space="preserve"> Acct!AA$17</f>
        <v>7384.807692999997</v>
      </c>
      <c r="AB45" s="186">
        <f xml:space="preserve"> Acct!AB$17</f>
        <v>7384.807692999997</v>
      </c>
      <c r="AC45" s="186">
        <f xml:space="preserve"> Acct!AC$17</f>
        <v>7384.807692999997</v>
      </c>
      <c r="AD45" s="186">
        <f xml:space="preserve"> Acct!AD$17</f>
        <v>7384.807692999997</v>
      </c>
      <c r="AE45" s="186">
        <f xml:space="preserve"> Acct!AE$17</f>
        <v>7384.807692999997</v>
      </c>
      <c r="AF45" s="186">
        <f xml:space="preserve"> Acct!AF$17</f>
        <v>7384.807692999997</v>
      </c>
      <c r="AG45" s="186">
        <f xml:space="preserve"> Acct!AG$17</f>
        <v>7384.807692999997</v>
      </c>
      <c r="AH45" s="186">
        <f xml:space="preserve"> Acct!AH$17</f>
        <v>7384.807692999997</v>
      </c>
      <c r="AI45" s="186">
        <f xml:space="preserve"> Acct!AI$17</f>
        <v>7384.807692999997</v>
      </c>
      <c r="AJ45" s="186">
        <f xml:space="preserve"> Acct!AJ$17</f>
        <v>7384.807692999997</v>
      </c>
      <c r="AK45" s="186">
        <f xml:space="preserve"> Acct!AK$17</f>
        <v>7384.807692999997</v>
      </c>
      <c r="AL45" s="186">
        <f xml:space="preserve"> Acct!AL$17</f>
        <v>7384.807692999997</v>
      </c>
      <c r="AM45" s="186">
        <f xml:space="preserve"> Acct!AM$17</f>
        <v>7384.807692999997</v>
      </c>
      <c r="AN45" s="186">
        <f xml:space="preserve"> Acct!AN$17</f>
        <v>7384.807692999997</v>
      </c>
      <c r="AO45" s="186">
        <f xml:space="preserve"> Acct!AO$17</f>
        <v>7384.807692999997</v>
      </c>
      <c r="AP45" s="186">
        <f xml:space="preserve"> Acct!AP$17</f>
        <v>7384.807692999997</v>
      </c>
      <c r="AQ45" s="186">
        <f xml:space="preserve"> Acct!AQ$17</f>
        <v>7384.807692999997</v>
      </c>
      <c r="AR45" s="186">
        <f xml:space="preserve"> Acct!AR$17</f>
        <v>7384.807692999997</v>
      </c>
      <c r="AS45" s="186">
        <f xml:space="preserve"> Acct!AS$17</f>
        <v>7384.807692999997</v>
      </c>
      <c r="AT45" s="186">
        <f xml:space="preserve"> Acct!AT$17</f>
        <v>7384.807692999997</v>
      </c>
      <c r="AU45" s="186">
        <f xml:space="preserve"> Acct!AU$17</f>
        <v>7384.807692999997</v>
      </c>
      <c r="AV45" s="186">
        <f xml:space="preserve"> Acct!AV$17</f>
        <v>7384.807692999997</v>
      </c>
      <c r="AW45" s="186">
        <f xml:space="preserve"> Acct!AW$17</f>
        <v>7384.807692999997</v>
      </c>
      <c r="AX45" s="186">
        <f xml:space="preserve"> Acct!AX$17</f>
        <v>7384.807692999997</v>
      </c>
      <c r="AY45" s="186">
        <f xml:space="preserve"> Acct!AY$17</f>
        <v>7384.807692999997</v>
      </c>
      <c r="AZ45" s="186">
        <f xml:space="preserve"> Acct!AZ$17</f>
        <v>7384.807692999997</v>
      </c>
      <c r="BA45" s="186">
        <f xml:space="preserve"> Acct!BA$17</f>
        <v>7384.807692999997</v>
      </c>
      <c r="BB45" s="186">
        <f xml:space="preserve"> Acct!BB$17</f>
        <v>7384.807692999997</v>
      </c>
      <c r="BC45" s="186">
        <f xml:space="preserve"> Acct!BC$17</f>
        <v>0</v>
      </c>
      <c r="BD45" s="186">
        <f xml:space="preserve"> Acct!BD$17</f>
        <v>0</v>
      </c>
      <c r="BE45" s="186">
        <f xml:space="preserve"> Acct!BE$17</f>
        <v>0</v>
      </c>
      <c r="BF45" s="186">
        <f xml:space="preserve"> Acct!BF$17</f>
        <v>0</v>
      </c>
      <c r="BG45" s="186">
        <f xml:space="preserve"> Acct!BG$17</f>
        <v>0</v>
      </c>
      <c r="BH45" s="186">
        <f xml:space="preserve"> Acct!BH$17</f>
        <v>0</v>
      </c>
      <c r="BI45" s="186">
        <f xml:space="preserve"> Acct!BI$17</f>
        <v>0</v>
      </c>
      <c r="BJ45" s="186">
        <f xml:space="preserve"> Acct!BJ$17</f>
        <v>0</v>
      </c>
      <c r="BK45" s="186">
        <f xml:space="preserve"> Acct!BK$17</f>
        <v>0</v>
      </c>
      <c r="BL45" s="186">
        <f xml:space="preserve"> Acct!BL$17</f>
        <v>0</v>
      </c>
      <c r="BM45" s="186">
        <f xml:space="preserve"> Acct!BM$17</f>
        <v>0</v>
      </c>
      <c r="BN45" s="186">
        <f xml:space="preserve"> Acct!BN$17</f>
        <v>0</v>
      </c>
      <c r="BO45" s="186">
        <f xml:space="preserve"> Acct!BO$17</f>
        <v>0</v>
      </c>
      <c r="BP45" s="186">
        <f xml:space="preserve"> Acct!BP$17</f>
        <v>0</v>
      </c>
      <c r="BQ45" s="186">
        <f xml:space="preserve"> Acct!BQ$17</f>
        <v>0</v>
      </c>
      <c r="BR45" s="186">
        <f xml:space="preserve"> Acct!BR$17</f>
        <v>0</v>
      </c>
      <c r="BS45" s="186">
        <f xml:space="preserve"> Acct!BS$17</f>
        <v>0</v>
      </c>
      <c r="BT45" s="186">
        <f xml:space="preserve"> Acct!BT$17</f>
        <v>0</v>
      </c>
      <c r="BU45" s="186">
        <f xml:space="preserve"> Acct!BU$17</f>
        <v>0</v>
      </c>
      <c r="BV45" s="186">
        <f xml:space="preserve"> Acct!BV$17</f>
        <v>0</v>
      </c>
      <c r="BW45" s="186">
        <f xml:space="preserve"> Acct!BW$17</f>
        <v>0</v>
      </c>
      <c r="BX45" s="186">
        <f xml:space="preserve"> Acct!BX$17</f>
        <v>0</v>
      </c>
      <c r="BY45" s="186">
        <f xml:space="preserve"> Acct!BY$17</f>
        <v>0</v>
      </c>
      <c r="BZ45" s="186">
        <f xml:space="preserve"> Acct!BZ$17</f>
        <v>0</v>
      </c>
      <c r="CA45" s="186">
        <f xml:space="preserve"> Acct!CA$17</f>
        <v>0</v>
      </c>
      <c r="CB45" s="186">
        <f xml:space="preserve"> Acct!CB$17</f>
        <v>0</v>
      </c>
      <c r="CC45" s="186">
        <f xml:space="preserve"> Acct!CC$17</f>
        <v>0</v>
      </c>
      <c r="CD45" s="186">
        <f xml:space="preserve"> Acct!CD$17</f>
        <v>0</v>
      </c>
      <c r="CE45" s="186">
        <f xml:space="preserve"> Acct!CE$17</f>
        <v>0</v>
      </c>
      <c r="CF45" s="186">
        <f xml:space="preserve"> Acct!CF$17</f>
        <v>0</v>
      </c>
      <c r="CG45" s="186">
        <f xml:space="preserve"> Acct!CG$17</f>
        <v>0</v>
      </c>
      <c r="CH45" s="186">
        <f xml:space="preserve"> Acct!CH$17</f>
        <v>0</v>
      </c>
      <c r="CI45" s="186">
        <f xml:space="preserve"> Acct!CI$17</f>
        <v>0</v>
      </c>
      <c r="CJ45" s="186">
        <f xml:space="preserve"> Acct!CJ$17</f>
        <v>0</v>
      </c>
      <c r="CK45" s="186">
        <f xml:space="preserve"> Acct!CK$17</f>
        <v>0</v>
      </c>
      <c r="CL45" s="186">
        <f xml:space="preserve"> Acct!CL$17</f>
        <v>0</v>
      </c>
      <c r="CM45" s="186">
        <f xml:space="preserve"> Acct!CM$17</f>
        <v>0</v>
      </c>
      <c r="CN45" s="186">
        <f xml:space="preserve"> Acct!CN$17</f>
        <v>0</v>
      </c>
      <c r="CO45" s="186">
        <f xml:space="preserve"> Acct!CO$17</f>
        <v>0</v>
      </c>
      <c r="CP45" s="186">
        <f xml:space="preserve"> Acct!CP$17</f>
        <v>0</v>
      </c>
      <c r="CQ45" s="186">
        <f xml:space="preserve"> Acct!CQ$17</f>
        <v>0</v>
      </c>
      <c r="CR45" s="186">
        <f xml:space="preserve"> Acct!CR$17</f>
        <v>0</v>
      </c>
      <c r="CS45" s="186">
        <f xml:space="preserve"> Acct!CS$17</f>
        <v>0</v>
      </c>
      <c r="CT45" s="186">
        <f xml:space="preserve"> Acct!CT$17</f>
        <v>0</v>
      </c>
      <c r="CU45" s="186">
        <f xml:space="preserve"> Acct!CU$17</f>
        <v>0</v>
      </c>
      <c r="CV45" s="186">
        <f xml:space="preserve"> Acct!CV$17</f>
        <v>0</v>
      </c>
      <c r="CW45" s="186">
        <f xml:space="preserve"> Acct!CW$17</f>
        <v>0</v>
      </c>
      <c r="CX45" s="186">
        <f xml:space="preserve"> Acct!CX$17</f>
        <v>0</v>
      </c>
      <c r="CY45" s="186">
        <f xml:space="preserve"> Acct!CY$17</f>
        <v>0</v>
      </c>
      <c r="CZ45" s="186">
        <f xml:space="preserve"> Acct!CZ$17</f>
        <v>0</v>
      </c>
      <c r="DA45" s="186">
        <f xml:space="preserve"> Acct!DA$17</f>
        <v>0</v>
      </c>
      <c r="DB45" s="186">
        <f xml:space="preserve"> Acct!DB$17</f>
        <v>0</v>
      </c>
      <c r="DC45" s="186">
        <f xml:space="preserve"> Acct!DC$17</f>
        <v>0</v>
      </c>
      <c r="DD45" s="186">
        <f xml:space="preserve"> Acct!DD$17</f>
        <v>0</v>
      </c>
      <c r="DE45" s="186">
        <f xml:space="preserve"> Acct!DE$17</f>
        <v>0</v>
      </c>
      <c r="DF45" s="186">
        <f xml:space="preserve"> Acct!DF$17</f>
        <v>0</v>
      </c>
      <c r="DG45" s="186">
        <f xml:space="preserve"> Acct!DG$17</f>
        <v>0</v>
      </c>
      <c r="DH45" s="186">
        <f xml:space="preserve"> Acct!DH$17</f>
        <v>0</v>
      </c>
      <c r="DI45" s="186">
        <f xml:space="preserve"> Acct!DI$17</f>
        <v>0</v>
      </c>
      <c r="DJ45" s="186">
        <f xml:space="preserve"> Acct!DJ$17</f>
        <v>0</v>
      </c>
      <c r="DK45" s="186">
        <f xml:space="preserve"> Acct!DK$17</f>
        <v>0</v>
      </c>
      <c r="DL45" s="186">
        <f xml:space="preserve"> Acct!DL$17</f>
        <v>0</v>
      </c>
      <c r="DM45" s="186">
        <f xml:space="preserve"> Acct!DM$17</f>
        <v>0</v>
      </c>
      <c r="DN45" s="186">
        <f xml:space="preserve"> Acct!DN$17</f>
        <v>0</v>
      </c>
      <c r="DO45" s="186">
        <f xml:space="preserve"> Acct!DO$17</f>
        <v>0</v>
      </c>
      <c r="DP45" s="186">
        <f xml:space="preserve"> Acct!DP$17</f>
        <v>0</v>
      </c>
      <c r="DQ45" s="186">
        <f xml:space="preserve"> Acct!DQ$17</f>
        <v>0</v>
      </c>
      <c r="DR45" s="186">
        <f xml:space="preserve"> Acct!DR$17</f>
        <v>0</v>
      </c>
      <c r="DS45" s="186">
        <f xml:space="preserve"> Acct!DS$17</f>
        <v>0</v>
      </c>
      <c r="DT45" s="186">
        <f xml:space="preserve"> Acct!DT$17</f>
        <v>0</v>
      </c>
      <c r="DU45" s="186">
        <f xml:space="preserve"> Acct!DU$17</f>
        <v>0</v>
      </c>
      <c r="DV45" s="186">
        <f xml:space="preserve"> Acct!DV$17</f>
        <v>0</v>
      </c>
      <c r="DW45" s="186">
        <f xml:space="preserve"> Acct!DW$17</f>
        <v>0</v>
      </c>
      <c r="DX45" s="186">
        <f xml:space="preserve"> Acct!DX$17</f>
        <v>0</v>
      </c>
      <c r="DY45" s="186">
        <f xml:space="preserve"> Acct!DY$17</f>
        <v>0</v>
      </c>
      <c r="DZ45" s="186">
        <f xml:space="preserve"> Acct!DZ$17</f>
        <v>0</v>
      </c>
      <c r="EA45" s="186">
        <f xml:space="preserve"> Acct!EA$17</f>
        <v>0</v>
      </c>
      <c r="EB45" s="186">
        <f xml:space="preserve"> Acct!EB$17</f>
        <v>0</v>
      </c>
      <c r="EC45" s="186">
        <f xml:space="preserve"> Acct!EC$17</f>
        <v>0</v>
      </c>
      <c r="ED45" s="186">
        <f xml:space="preserve"> Acct!ED$17</f>
        <v>0</v>
      </c>
      <c r="EE45" s="186">
        <f xml:space="preserve"> Acct!EE$17</f>
        <v>0</v>
      </c>
      <c r="EF45" s="186">
        <f xml:space="preserve"> Acct!EF$17</f>
        <v>0</v>
      </c>
      <c r="EG45" s="186">
        <f xml:space="preserve"> Acct!EG$17</f>
        <v>0</v>
      </c>
      <c r="EH45" s="186">
        <f xml:space="preserve"> Acct!EH$17</f>
        <v>0</v>
      </c>
      <c r="EI45" s="186">
        <f xml:space="preserve"> Acct!EI$17</f>
        <v>0</v>
      </c>
      <c r="EJ45" s="186">
        <f xml:space="preserve"> Acct!EJ$17</f>
        <v>0</v>
      </c>
      <c r="EK45" s="186">
        <f xml:space="preserve"> Acct!EK$17</f>
        <v>0</v>
      </c>
      <c r="EL45" s="186">
        <f xml:space="preserve"> Acct!EL$17</f>
        <v>0</v>
      </c>
      <c r="EM45" s="186">
        <f xml:space="preserve"> Acct!EM$17</f>
        <v>0</v>
      </c>
      <c r="EN45" s="186">
        <f xml:space="preserve"> Acct!EN$17</f>
        <v>0</v>
      </c>
      <c r="EO45" s="186">
        <f xml:space="preserve"> Acct!EO$17</f>
        <v>0</v>
      </c>
      <c r="EP45" s="186">
        <f xml:space="preserve"> Acct!EP$17</f>
        <v>0</v>
      </c>
      <c r="EQ45" s="186">
        <f xml:space="preserve"> Acct!EQ$17</f>
        <v>0</v>
      </c>
      <c r="ER45" s="186">
        <f xml:space="preserve"> Acct!ER$17</f>
        <v>0</v>
      </c>
      <c r="ES45" s="186">
        <f xml:space="preserve"> Acct!ES$17</f>
        <v>0</v>
      </c>
      <c r="ET45" s="186">
        <f xml:space="preserve"> Acct!ET$17</f>
        <v>0</v>
      </c>
      <c r="EU45" s="186">
        <f xml:space="preserve"> Acct!EU$17</f>
        <v>0</v>
      </c>
      <c r="EV45" s="186">
        <f xml:space="preserve"> Acct!EV$17</f>
        <v>0</v>
      </c>
      <c r="EW45" s="186">
        <f xml:space="preserve"> Acct!EW$17</f>
        <v>0</v>
      </c>
      <c r="EX45" s="186">
        <f xml:space="preserve"> Acct!EX$17</f>
        <v>0</v>
      </c>
      <c r="EY45" s="186">
        <f xml:space="preserve"> Acct!EY$17</f>
        <v>0</v>
      </c>
      <c r="EZ45" s="186">
        <f xml:space="preserve"> Acct!EZ$17</f>
        <v>0</v>
      </c>
      <c r="FA45" s="186">
        <f xml:space="preserve"> Acct!FA$17</f>
        <v>0</v>
      </c>
      <c r="FB45" s="186">
        <f xml:space="preserve"> Acct!FB$17</f>
        <v>0</v>
      </c>
      <c r="FC45" s="186">
        <f xml:space="preserve"> Acct!FC$17</f>
        <v>0</v>
      </c>
      <c r="FD45" s="186">
        <f xml:space="preserve"> Acct!FD$17</f>
        <v>0</v>
      </c>
      <c r="FE45" s="186">
        <f xml:space="preserve"> Acct!FE$17</f>
        <v>0</v>
      </c>
      <c r="FF45" s="186">
        <f xml:space="preserve"> Acct!FF$17</f>
        <v>0</v>
      </c>
      <c r="FG45" s="186">
        <f xml:space="preserve"> Acct!FG$17</f>
        <v>0</v>
      </c>
      <c r="FH45" s="186">
        <f xml:space="preserve"> Acct!FH$17</f>
        <v>0</v>
      </c>
      <c r="FI45" s="186">
        <f xml:space="preserve"> Acct!FI$17</f>
        <v>0</v>
      </c>
      <c r="FJ45" s="186">
        <f xml:space="preserve"> Acct!FJ$17</f>
        <v>0</v>
      </c>
      <c r="FK45" s="186">
        <f xml:space="preserve"> Acct!FK$17</f>
        <v>0</v>
      </c>
      <c r="FL45" s="186">
        <f xml:space="preserve"> Acct!FL$17</f>
        <v>0</v>
      </c>
      <c r="FM45" s="186">
        <f xml:space="preserve"> Acct!FM$17</f>
        <v>0</v>
      </c>
      <c r="FN45" s="186">
        <f xml:space="preserve"> Acct!FN$17</f>
        <v>0</v>
      </c>
      <c r="FO45" s="186">
        <f xml:space="preserve"> Acct!FO$17</f>
        <v>0</v>
      </c>
      <c r="FP45" s="186">
        <f xml:space="preserve"> Acct!FP$17</f>
        <v>0</v>
      </c>
      <c r="FQ45" s="186">
        <f xml:space="preserve"> Acct!FQ$17</f>
        <v>0</v>
      </c>
      <c r="FR45" s="186">
        <f xml:space="preserve"> Acct!FR$17</f>
        <v>0</v>
      </c>
      <c r="FS45" s="186">
        <f xml:space="preserve"> Acct!FS$17</f>
        <v>0</v>
      </c>
      <c r="FT45" s="186">
        <f xml:space="preserve"> Acct!FT$17</f>
        <v>0</v>
      </c>
      <c r="FU45" s="186">
        <f xml:space="preserve"> Acct!FU$17</f>
        <v>0</v>
      </c>
      <c r="FV45" s="186">
        <f xml:space="preserve"> Acct!FV$17</f>
        <v>0</v>
      </c>
      <c r="FW45" s="186">
        <f xml:space="preserve"> Acct!FW$17</f>
        <v>0</v>
      </c>
      <c r="FX45" s="186">
        <f xml:space="preserve"> Acct!FX$17</f>
        <v>0</v>
      </c>
      <c r="FY45" s="186">
        <f xml:space="preserve"> Acct!FY$17</f>
        <v>0</v>
      </c>
      <c r="FZ45" s="186">
        <f xml:space="preserve"> Acct!FZ$17</f>
        <v>0</v>
      </c>
      <c r="GA45" s="186">
        <f xml:space="preserve"> Acct!GA$17</f>
        <v>0</v>
      </c>
      <c r="GB45" s="186">
        <f xml:space="preserve"> Acct!GB$17</f>
        <v>0</v>
      </c>
      <c r="GC45" s="186">
        <f xml:space="preserve"> Acct!GC$17</f>
        <v>0</v>
      </c>
      <c r="GD45" s="186">
        <f xml:space="preserve"> Acct!GD$17</f>
        <v>0</v>
      </c>
      <c r="GE45" s="186">
        <f xml:space="preserve"> Acct!GE$17</f>
        <v>0</v>
      </c>
      <c r="GF45" s="186">
        <f xml:space="preserve"> Acct!GF$17</f>
        <v>0</v>
      </c>
      <c r="GG45" s="186">
        <f xml:space="preserve"> Acct!GG$17</f>
        <v>0</v>
      </c>
      <c r="GH45" s="186">
        <f xml:space="preserve"> Acct!GH$17</f>
        <v>0</v>
      </c>
      <c r="GI45" s="186">
        <f xml:space="preserve"> Acct!GI$17</f>
        <v>0</v>
      </c>
      <c r="GJ45" s="186">
        <f xml:space="preserve"> Acct!GJ$17</f>
        <v>0</v>
      </c>
    </row>
    <row r="46" spans="1:192" outlineLevel="1" x14ac:dyDescent="0.2">
      <c r="D46" s="48" t="s">
        <v>371</v>
      </c>
      <c r="E46" s="186" t="str">
        <f xml:space="preserve"> Acct!E$37</f>
        <v>Amortisation of capitalised finance costs POS</v>
      </c>
      <c r="F46" s="186">
        <f xml:space="preserve"> Acct!F$37</f>
        <v>0</v>
      </c>
      <c r="G46" s="186" t="str">
        <f xml:space="preserve"> Acct!G$37</f>
        <v>$ 000s</v>
      </c>
      <c r="H46" s="186">
        <f xml:space="preserve"> Acct!H$37</f>
        <v>24335.550022039683</v>
      </c>
      <c r="I46" s="186">
        <f xml:space="preserve"> Acct!I$37</f>
        <v>0</v>
      </c>
      <c r="J46" s="186">
        <f xml:space="preserve"> Acct!J$37</f>
        <v>0</v>
      </c>
      <c r="K46" s="186">
        <f xml:space="preserve"> Acct!K$37</f>
        <v>0</v>
      </c>
      <c r="L46" s="186">
        <f xml:space="preserve"> Acct!L$37</f>
        <v>0</v>
      </c>
      <c r="M46" s="186">
        <f xml:space="preserve"> Acct!M$37</f>
        <v>0</v>
      </c>
      <c r="N46" s="186">
        <f xml:space="preserve"> Acct!N$37</f>
        <v>0</v>
      </c>
      <c r="O46" s="186">
        <f xml:space="preserve"> Acct!O$37</f>
        <v>715.75147123646184</v>
      </c>
      <c r="P46" s="186">
        <f xml:space="preserve"> Acct!P$37</f>
        <v>715.75147123646184</v>
      </c>
      <c r="Q46" s="186">
        <f xml:space="preserve"> Acct!Q$37</f>
        <v>715.75147123646184</v>
      </c>
      <c r="R46" s="186">
        <f xml:space="preserve"> Acct!R$37</f>
        <v>715.75147123646184</v>
      </c>
      <c r="S46" s="186">
        <f xml:space="preserve"> Acct!S$37</f>
        <v>715.75147123646184</v>
      </c>
      <c r="T46" s="186">
        <f xml:space="preserve"> Acct!T$37</f>
        <v>715.75147123646184</v>
      </c>
      <c r="U46" s="186">
        <f xml:space="preserve"> Acct!U$37</f>
        <v>715.75147123646184</v>
      </c>
      <c r="V46" s="186">
        <f xml:space="preserve"> Acct!V$37</f>
        <v>715.75147123646184</v>
      </c>
      <c r="W46" s="186">
        <f xml:space="preserve"> Acct!W$37</f>
        <v>715.75147123646184</v>
      </c>
      <c r="X46" s="186">
        <f xml:space="preserve"> Acct!X$37</f>
        <v>715.75147123646184</v>
      </c>
      <c r="Y46" s="186">
        <f xml:space="preserve"> Acct!Y$37</f>
        <v>715.75147123646184</v>
      </c>
      <c r="Z46" s="186">
        <f xml:space="preserve"> Acct!Z$37</f>
        <v>715.75147123646184</v>
      </c>
      <c r="AA46" s="186">
        <f xml:space="preserve"> Acct!AA$37</f>
        <v>715.75147123646184</v>
      </c>
      <c r="AB46" s="186">
        <f xml:space="preserve"> Acct!AB$37</f>
        <v>715.75147123646184</v>
      </c>
      <c r="AC46" s="186">
        <f xml:space="preserve"> Acct!AC$37</f>
        <v>715.75147123646184</v>
      </c>
      <c r="AD46" s="186">
        <f xml:space="preserve"> Acct!AD$37</f>
        <v>715.75147123646184</v>
      </c>
      <c r="AE46" s="186">
        <f xml:space="preserve"> Acct!AE$37</f>
        <v>715.75147123646184</v>
      </c>
      <c r="AF46" s="186">
        <f xml:space="preserve"> Acct!AF$37</f>
        <v>715.75147123646184</v>
      </c>
      <c r="AG46" s="186">
        <f xml:space="preserve"> Acct!AG$37</f>
        <v>715.75147123646184</v>
      </c>
      <c r="AH46" s="186">
        <f xml:space="preserve"> Acct!AH$37</f>
        <v>715.75147123646184</v>
      </c>
      <c r="AI46" s="186">
        <f xml:space="preserve"> Acct!AI$37</f>
        <v>715.75147123646184</v>
      </c>
      <c r="AJ46" s="186">
        <f xml:space="preserve"> Acct!AJ$37</f>
        <v>715.75147123646184</v>
      </c>
      <c r="AK46" s="186">
        <f xml:space="preserve"> Acct!AK$37</f>
        <v>715.75147123646184</v>
      </c>
      <c r="AL46" s="186">
        <f xml:space="preserve"> Acct!AL$37</f>
        <v>715.75147123646184</v>
      </c>
      <c r="AM46" s="186">
        <f xml:space="preserve"> Acct!AM$37</f>
        <v>715.75147123646184</v>
      </c>
      <c r="AN46" s="186">
        <f xml:space="preserve"> Acct!AN$37</f>
        <v>715.75147123646184</v>
      </c>
      <c r="AO46" s="186">
        <f xml:space="preserve"> Acct!AO$37</f>
        <v>715.75147123646184</v>
      </c>
      <c r="AP46" s="186">
        <f xml:space="preserve"> Acct!AP$37</f>
        <v>715.75147123646184</v>
      </c>
      <c r="AQ46" s="186">
        <f xml:space="preserve"> Acct!AQ$37</f>
        <v>715.75147123646184</v>
      </c>
      <c r="AR46" s="186">
        <f xml:space="preserve"> Acct!AR$37</f>
        <v>715.75147123646184</v>
      </c>
      <c r="AS46" s="186">
        <f xml:space="preserve"> Acct!AS$37</f>
        <v>715.75147123646184</v>
      </c>
      <c r="AT46" s="186">
        <f xml:space="preserve"> Acct!AT$37</f>
        <v>715.75147123646184</v>
      </c>
      <c r="AU46" s="186">
        <f xml:space="preserve"> Acct!AU$37</f>
        <v>715.75147123646184</v>
      </c>
      <c r="AV46" s="186">
        <f xml:space="preserve"> Acct!AV$37</f>
        <v>715.75147123646184</v>
      </c>
      <c r="AW46" s="186">
        <f xml:space="preserve"> Acct!AW$37</f>
        <v>0</v>
      </c>
      <c r="AX46" s="186">
        <f xml:space="preserve"> Acct!AX$37</f>
        <v>0</v>
      </c>
      <c r="AY46" s="186">
        <f xml:space="preserve"> Acct!AY$37</f>
        <v>0</v>
      </c>
      <c r="AZ46" s="186">
        <f xml:space="preserve"> Acct!AZ$37</f>
        <v>0</v>
      </c>
      <c r="BA46" s="186">
        <f xml:space="preserve"> Acct!BA$37</f>
        <v>0</v>
      </c>
      <c r="BB46" s="186">
        <f xml:space="preserve"> Acct!BB$37</f>
        <v>0</v>
      </c>
      <c r="BC46" s="186">
        <f xml:space="preserve"> Acct!BC$37</f>
        <v>0</v>
      </c>
      <c r="BD46" s="186">
        <f xml:space="preserve"> Acct!BD$37</f>
        <v>0</v>
      </c>
      <c r="BE46" s="186">
        <f xml:space="preserve"> Acct!BE$37</f>
        <v>0</v>
      </c>
      <c r="BF46" s="186">
        <f xml:space="preserve"> Acct!BF$37</f>
        <v>0</v>
      </c>
      <c r="BG46" s="186">
        <f xml:space="preserve"> Acct!BG$37</f>
        <v>0</v>
      </c>
      <c r="BH46" s="186">
        <f xml:space="preserve"> Acct!BH$37</f>
        <v>0</v>
      </c>
      <c r="BI46" s="186">
        <f xml:space="preserve"> Acct!BI$37</f>
        <v>0</v>
      </c>
      <c r="BJ46" s="186">
        <f xml:space="preserve"> Acct!BJ$37</f>
        <v>0</v>
      </c>
      <c r="BK46" s="186">
        <f xml:space="preserve"> Acct!BK$37</f>
        <v>0</v>
      </c>
      <c r="BL46" s="186">
        <f xml:space="preserve"> Acct!BL$37</f>
        <v>0</v>
      </c>
      <c r="BM46" s="186">
        <f xml:space="preserve"> Acct!BM$37</f>
        <v>0</v>
      </c>
      <c r="BN46" s="186">
        <f xml:space="preserve"> Acct!BN$37</f>
        <v>0</v>
      </c>
      <c r="BO46" s="186">
        <f xml:space="preserve"> Acct!BO$37</f>
        <v>0</v>
      </c>
      <c r="BP46" s="186">
        <f xml:space="preserve"> Acct!BP$37</f>
        <v>0</v>
      </c>
      <c r="BQ46" s="186">
        <f xml:space="preserve"> Acct!BQ$37</f>
        <v>0</v>
      </c>
      <c r="BR46" s="186">
        <f xml:space="preserve"> Acct!BR$37</f>
        <v>0</v>
      </c>
      <c r="BS46" s="186">
        <f xml:space="preserve"> Acct!BS$37</f>
        <v>0</v>
      </c>
      <c r="BT46" s="186">
        <f xml:space="preserve"> Acct!BT$37</f>
        <v>0</v>
      </c>
      <c r="BU46" s="186">
        <f xml:space="preserve"> Acct!BU$37</f>
        <v>0</v>
      </c>
      <c r="BV46" s="186">
        <f xml:space="preserve"> Acct!BV$37</f>
        <v>0</v>
      </c>
      <c r="BW46" s="186">
        <f xml:space="preserve"> Acct!BW$37</f>
        <v>0</v>
      </c>
      <c r="BX46" s="186">
        <f xml:space="preserve"> Acct!BX$37</f>
        <v>0</v>
      </c>
      <c r="BY46" s="186">
        <f xml:space="preserve"> Acct!BY$37</f>
        <v>0</v>
      </c>
      <c r="BZ46" s="186">
        <f xml:space="preserve"> Acct!BZ$37</f>
        <v>0</v>
      </c>
      <c r="CA46" s="186">
        <f xml:space="preserve"> Acct!CA$37</f>
        <v>0</v>
      </c>
      <c r="CB46" s="186">
        <f xml:space="preserve"> Acct!CB$37</f>
        <v>0</v>
      </c>
      <c r="CC46" s="186">
        <f xml:space="preserve"> Acct!CC$37</f>
        <v>0</v>
      </c>
      <c r="CD46" s="186">
        <f xml:space="preserve"> Acct!CD$37</f>
        <v>0</v>
      </c>
      <c r="CE46" s="186">
        <f xml:space="preserve"> Acct!CE$37</f>
        <v>0</v>
      </c>
      <c r="CF46" s="186">
        <f xml:space="preserve"> Acct!CF$37</f>
        <v>0</v>
      </c>
      <c r="CG46" s="186">
        <f xml:space="preserve"> Acct!CG$37</f>
        <v>0</v>
      </c>
      <c r="CH46" s="186">
        <f xml:space="preserve"> Acct!CH$37</f>
        <v>0</v>
      </c>
      <c r="CI46" s="186">
        <f xml:space="preserve"> Acct!CI$37</f>
        <v>0</v>
      </c>
      <c r="CJ46" s="186">
        <f xml:space="preserve"> Acct!CJ$37</f>
        <v>0</v>
      </c>
      <c r="CK46" s="186">
        <f xml:space="preserve"> Acct!CK$37</f>
        <v>0</v>
      </c>
      <c r="CL46" s="186">
        <f xml:space="preserve"> Acct!CL$37</f>
        <v>0</v>
      </c>
      <c r="CM46" s="186">
        <f xml:space="preserve"> Acct!CM$37</f>
        <v>0</v>
      </c>
      <c r="CN46" s="186">
        <f xml:space="preserve"> Acct!CN$37</f>
        <v>0</v>
      </c>
      <c r="CO46" s="186">
        <f xml:space="preserve"> Acct!CO$37</f>
        <v>0</v>
      </c>
      <c r="CP46" s="186">
        <f xml:space="preserve"> Acct!CP$37</f>
        <v>0</v>
      </c>
      <c r="CQ46" s="186">
        <f xml:space="preserve"> Acct!CQ$37</f>
        <v>0</v>
      </c>
      <c r="CR46" s="186">
        <f xml:space="preserve"> Acct!CR$37</f>
        <v>0</v>
      </c>
      <c r="CS46" s="186">
        <f xml:space="preserve"> Acct!CS$37</f>
        <v>0</v>
      </c>
      <c r="CT46" s="186">
        <f xml:space="preserve"> Acct!CT$37</f>
        <v>0</v>
      </c>
      <c r="CU46" s="186">
        <f xml:space="preserve"> Acct!CU$37</f>
        <v>0</v>
      </c>
      <c r="CV46" s="186">
        <f xml:space="preserve"> Acct!CV$37</f>
        <v>0</v>
      </c>
      <c r="CW46" s="186">
        <f xml:space="preserve"> Acct!CW$37</f>
        <v>0</v>
      </c>
      <c r="CX46" s="186">
        <f xml:space="preserve"> Acct!CX$37</f>
        <v>0</v>
      </c>
      <c r="CY46" s="186">
        <f xml:space="preserve"> Acct!CY$37</f>
        <v>0</v>
      </c>
      <c r="CZ46" s="186">
        <f xml:space="preserve"> Acct!CZ$37</f>
        <v>0</v>
      </c>
      <c r="DA46" s="186">
        <f xml:space="preserve"> Acct!DA$37</f>
        <v>0</v>
      </c>
      <c r="DB46" s="186">
        <f xml:space="preserve"> Acct!DB$37</f>
        <v>0</v>
      </c>
      <c r="DC46" s="186">
        <f xml:space="preserve"> Acct!DC$37</f>
        <v>0</v>
      </c>
      <c r="DD46" s="186">
        <f xml:space="preserve"> Acct!DD$37</f>
        <v>0</v>
      </c>
      <c r="DE46" s="186">
        <f xml:space="preserve"> Acct!DE$37</f>
        <v>0</v>
      </c>
      <c r="DF46" s="186">
        <f xml:space="preserve"> Acct!DF$37</f>
        <v>0</v>
      </c>
      <c r="DG46" s="186">
        <f xml:space="preserve"> Acct!DG$37</f>
        <v>0</v>
      </c>
      <c r="DH46" s="186">
        <f xml:space="preserve"> Acct!DH$37</f>
        <v>0</v>
      </c>
      <c r="DI46" s="186">
        <f xml:space="preserve"> Acct!DI$37</f>
        <v>0</v>
      </c>
      <c r="DJ46" s="186">
        <f xml:space="preserve"> Acct!DJ$37</f>
        <v>0</v>
      </c>
      <c r="DK46" s="186">
        <f xml:space="preserve"> Acct!DK$37</f>
        <v>0</v>
      </c>
      <c r="DL46" s="186">
        <f xml:space="preserve"> Acct!DL$37</f>
        <v>0</v>
      </c>
      <c r="DM46" s="186">
        <f xml:space="preserve"> Acct!DM$37</f>
        <v>0</v>
      </c>
      <c r="DN46" s="186">
        <f xml:space="preserve"> Acct!DN$37</f>
        <v>0</v>
      </c>
      <c r="DO46" s="186">
        <f xml:space="preserve"> Acct!DO$37</f>
        <v>0</v>
      </c>
      <c r="DP46" s="186">
        <f xml:space="preserve"> Acct!DP$37</f>
        <v>0</v>
      </c>
      <c r="DQ46" s="186">
        <f xml:space="preserve"> Acct!DQ$37</f>
        <v>0</v>
      </c>
      <c r="DR46" s="186">
        <f xml:space="preserve"> Acct!DR$37</f>
        <v>0</v>
      </c>
      <c r="DS46" s="186">
        <f xml:space="preserve"> Acct!DS$37</f>
        <v>0</v>
      </c>
      <c r="DT46" s="186">
        <f xml:space="preserve"> Acct!DT$37</f>
        <v>0</v>
      </c>
      <c r="DU46" s="186">
        <f xml:space="preserve"> Acct!DU$37</f>
        <v>0</v>
      </c>
      <c r="DV46" s="186">
        <f xml:space="preserve"> Acct!DV$37</f>
        <v>0</v>
      </c>
      <c r="DW46" s="186">
        <f xml:space="preserve"> Acct!DW$37</f>
        <v>0</v>
      </c>
      <c r="DX46" s="186">
        <f xml:space="preserve"> Acct!DX$37</f>
        <v>0</v>
      </c>
      <c r="DY46" s="186">
        <f xml:space="preserve"> Acct!DY$37</f>
        <v>0</v>
      </c>
      <c r="DZ46" s="186">
        <f xml:space="preserve"> Acct!DZ$37</f>
        <v>0</v>
      </c>
      <c r="EA46" s="186">
        <f xml:space="preserve"> Acct!EA$37</f>
        <v>0</v>
      </c>
      <c r="EB46" s="186">
        <f xml:space="preserve"> Acct!EB$37</f>
        <v>0</v>
      </c>
      <c r="EC46" s="186">
        <f xml:space="preserve"> Acct!EC$37</f>
        <v>0</v>
      </c>
      <c r="ED46" s="186">
        <f xml:space="preserve"> Acct!ED$37</f>
        <v>0</v>
      </c>
      <c r="EE46" s="186">
        <f xml:space="preserve"> Acct!EE$37</f>
        <v>0</v>
      </c>
      <c r="EF46" s="186">
        <f xml:space="preserve"> Acct!EF$37</f>
        <v>0</v>
      </c>
      <c r="EG46" s="186">
        <f xml:space="preserve"> Acct!EG$37</f>
        <v>0</v>
      </c>
      <c r="EH46" s="186">
        <f xml:space="preserve"> Acct!EH$37</f>
        <v>0</v>
      </c>
      <c r="EI46" s="186">
        <f xml:space="preserve"> Acct!EI$37</f>
        <v>0</v>
      </c>
      <c r="EJ46" s="186">
        <f xml:space="preserve"> Acct!EJ$37</f>
        <v>0</v>
      </c>
      <c r="EK46" s="186">
        <f xml:space="preserve"> Acct!EK$37</f>
        <v>0</v>
      </c>
      <c r="EL46" s="186">
        <f xml:space="preserve"> Acct!EL$37</f>
        <v>0</v>
      </c>
      <c r="EM46" s="186">
        <f xml:space="preserve"> Acct!EM$37</f>
        <v>0</v>
      </c>
      <c r="EN46" s="186">
        <f xml:space="preserve"> Acct!EN$37</f>
        <v>0</v>
      </c>
      <c r="EO46" s="186">
        <f xml:space="preserve"> Acct!EO$37</f>
        <v>0</v>
      </c>
      <c r="EP46" s="186">
        <f xml:space="preserve"> Acct!EP$37</f>
        <v>0</v>
      </c>
      <c r="EQ46" s="186">
        <f xml:space="preserve"> Acct!EQ$37</f>
        <v>0</v>
      </c>
      <c r="ER46" s="186">
        <f xml:space="preserve"> Acct!ER$37</f>
        <v>0</v>
      </c>
      <c r="ES46" s="186">
        <f xml:space="preserve"> Acct!ES$37</f>
        <v>0</v>
      </c>
      <c r="ET46" s="186">
        <f xml:space="preserve"> Acct!ET$37</f>
        <v>0</v>
      </c>
      <c r="EU46" s="186">
        <f xml:space="preserve"> Acct!EU$37</f>
        <v>0</v>
      </c>
      <c r="EV46" s="186">
        <f xml:space="preserve"> Acct!EV$37</f>
        <v>0</v>
      </c>
      <c r="EW46" s="186">
        <f xml:space="preserve"> Acct!EW$37</f>
        <v>0</v>
      </c>
      <c r="EX46" s="186">
        <f xml:space="preserve"> Acct!EX$37</f>
        <v>0</v>
      </c>
      <c r="EY46" s="186">
        <f xml:space="preserve"> Acct!EY$37</f>
        <v>0</v>
      </c>
      <c r="EZ46" s="186">
        <f xml:space="preserve"> Acct!EZ$37</f>
        <v>0</v>
      </c>
      <c r="FA46" s="186">
        <f xml:space="preserve"> Acct!FA$37</f>
        <v>0</v>
      </c>
      <c r="FB46" s="186">
        <f xml:space="preserve"> Acct!FB$37</f>
        <v>0</v>
      </c>
      <c r="FC46" s="186">
        <f xml:space="preserve"> Acct!FC$37</f>
        <v>0</v>
      </c>
      <c r="FD46" s="186">
        <f xml:space="preserve"> Acct!FD$37</f>
        <v>0</v>
      </c>
      <c r="FE46" s="186">
        <f xml:space="preserve"> Acct!FE$37</f>
        <v>0</v>
      </c>
      <c r="FF46" s="186">
        <f xml:space="preserve"> Acct!FF$37</f>
        <v>0</v>
      </c>
      <c r="FG46" s="186">
        <f xml:space="preserve"> Acct!FG$37</f>
        <v>0</v>
      </c>
      <c r="FH46" s="186">
        <f xml:space="preserve"> Acct!FH$37</f>
        <v>0</v>
      </c>
      <c r="FI46" s="186">
        <f xml:space="preserve"> Acct!FI$37</f>
        <v>0</v>
      </c>
      <c r="FJ46" s="186">
        <f xml:space="preserve"> Acct!FJ$37</f>
        <v>0</v>
      </c>
      <c r="FK46" s="186">
        <f xml:space="preserve"> Acct!FK$37</f>
        <v>0</v>
      </c>
      <c r="FL46" s="186">
        <f xml:space="preserve"> Acct!FL$37</f>
        <v>0</v>
      </c>
      <c r="FM46" s="186">
        <f xml:space="preserve"> Acct!FM$37</f>
        <v>0</v>
      </c>
      <c r="FN46" s="186">
        <f xml:space="preserve"> Acct!FN$37</f>
        <v>0</v>
      </c>
      <c r="FO46" s="186">
        <f xml:space="preserve"> Acct!FO$37</f>
        <v>0</v>
      </c>
      <c r="FP46" s="186">
        <f xml:space="preserve"> Acct!FP$37</f>
        <v>0</v>
      </c>
      <c r="FQ46" s="186">
        <f xml:space="preserve"> Acct!FQ$37</f>
        <v>0</v>
      </c>
      <c r="FR46" s="186">
        <f xml:space="preserve"> Acct!FR$37</f>
        <v>0</v>
      </c>
      <c r="FS46" s="186">
        <f xml:space="preserve"> Acct!FS$37</f>
        <v>0</v>
      </c>
      <c r="FT46" s="186">
        <f xml:space="preserve"> Acct!FT$37</f>
        <v>0</v>
      </c>
      <c r="FU46" s="186">
        <f xml:space="preserve"> Acct!FU$37</f>
        <v>0</v>
      </c>
      <c r="FV46" s="186">
        <f xml:space="preserve"> Acct!FV$37</f>
        <v>0</v>
      </c>
      <c r="FW46" s="186">
        <f xml:space="preserve"> Acct!FW$37</f>
        <v>0</v>
      </c>
      <c r="FX46" s="186">
        <f xml:space="preserve"> Acct!FX$37</f>
        <v>0</v>
      </c>
      <c r="FY46" s="186">
        <f xml:space="preserve"> Acct!FY$37</f>
        <v>0</v>
      </c>
      <c r="FZ46" s="186">
        <f xml:space="preserve"> Acct!FZ$37</f>
        <v>0</v>
      </c>
      <c r="GA46" s="186">
        <f xml:space="preserve"> Acct!GA$37</f>
        <v>0</v>
      </c>
      <c r="GB46" s="186">
        <f xml:space="preserve"> Acct!GB$37</f>
        <v>0</v>
      </c>
      <c r="GC46" s="186">
        <f xml:space="preserve"> Acct!GC$37</f>
        <v>0</v>
      </c>
      <c r="GD46" s="186">
        <f xml:space="preserve"> Acct!GD$37</f>
        <v>0</v>
      </c>
      <c r="GE46" s="186">
        <f xml:space="preserve"> Acct!GE$37</f>
        <v>0</v>
      </c>
      <c r="GF46" s="186">
        <f xml:space="preserve"> Acct!GF$37</f>
        <v>0</v>
      </c>
      <c r="GG46" s="186">
        <f xml:space="preserve"> Acct!GG$37</f>
        <v>0</v>
      </c>
      <c r="GH46" s="186">
        <f xml:space="preserve"> Acct!GH$37</f>
        <v>0</v>
      </c>
      <c r="GI46" s="186">
        <f xml:space="preserve"> Acct!GI$37</f>
        <v>0</v>
      </c>
      <c r="GJ46" s="186">
        <f xml:space="preserve"> Acct!GJ$37</f>
        <v>0</v>
      </c>
    </row>
    <row r="47" spans="1:192" outlineLevel="1" x14ac:dyDescent="0.2">
      <c r="D47" s="48" t="s">
        <v>170</v>
      </c>
      <c r="E47" s="12" t="str">
        <f t="shared" ref="E47:AJ47" si="17" xml:space="preserve"> E$12</f>
        <v>Tax depreciation</v>
      </c>
      <c r="F47" s="12">
        <f t="shared" si="17"/>
        <v>0</v>
      </c>
      <c r="G47" s="12" t="str">
        <f t="shared" si="17"/>
        <v>$ 000s</v>
      </c>
      <c r="H47" s="12">
        <f t="shared" si="17"/>
        <v>319727.85774203978</v>
      </c>
      <c r="I47" s="12">
        <f t="shared" si="17"/>
        <v>0</v>
      </c>
      <c r="J47" s="12">
        <f t="shared" si="17"/>
        <v>0</v>
      </c>
      <c r="K47" s="12">
        <f t="shared" si="17"/>
        <v>0</v>
      </c>
      <c r="L47" s="12">
        <f t="shared" si="17"/>
        <v>0</v>
      </c>
      <c r="M47" s="12">
        <f t="shared" si="17"/>
        <v>0</v>
      </c>
      <c r="N47" s="12">
        <f t="shared" si="17"/>
        <v>0</v>
      </c>
      <c r="O47" s="12">
        <f xml:space="preserve"> O$12</f>
        <v>31972.785774203956</v>
      </c>
      <c r="P47" s="12">
        <f t="shared" si="17"/>
        <v>28775.507196783561</v>
      </c>
      <c r="Q47" s="12">
        <f t="shared" si="17"/>
        <v>25897.956477105206</v>
      </c>
      <c r="R47" s="12">
        <f t="shared" si="17"/>
        <v>23308.160829394685</v>
      </c>
      <c r="S47" s="12">
        <f t="shared" si="17"/>
        <v>20977.344746455215</v>
      </c>
      <c r="T47" s="12">
        <f t="shared" si="17"/>
        <v>18879.610271809692</v>
      </c>
      <c r="U47" s="12">
        <f t="shared" si="17"/>
        <v>16991.649244628727</v>
      </c>
      <c r="V47" s="12">
        <f t="shared" si="17"/>
        <v>15292.484320165851</v>
      </c>
      <c r="W47" s="12">
        <f t="shared" si="17"/>
        <v>13763.235888149267</v>
      </c>
      <c r="X47" s="12">
        <f t="shared" si="17"/>
        <v>12386.912299334341</v>
      </c>
      <c r="Y47" s="12">
        <f t="shared" si="17"/>
        <v>11148.221069400906</v>
      </c>
      <c r="Z47" s="12">
        <f t="shared" si="17"/>
        <v>10033.398962460815</v>
      </c>
      <c r="AA47" s="12">
        <f t="shared" si="17"/>
        <v>9030.0590662147333</v>
      </c>
      <c r="AB47" s="12">
        <f t="shared" si="17"/>
        <v>8127.0531595932598</v>
      </c>
      <c r="AC47" s="12">
        <f t="shared" si="17"/>
        <v>7314.3478436339346</v>
      </c>
      <c r="AD47" s="12">
        <f t="shared" si="17"/>
        <v>6582.9130592705405</v>
      </c>
      <c r="AE47" s="12">
        <f t="shared" si="17"/>
        <v>5924.6217533434865</v>
      </c>
      <c r="AF47" s="12">
        <f t="shared" si="17"/>
        <v>5332.1595780091375</v>
      </c>
      <c r="AG47" s="12">
        <f t="shared" si="17"/>
        <v>4798.9436202082243</v>
      </c>
      <c r="AH47" s="12">
        <f t="shared" si="17"/>
        <v>4319.0492581874014</v>
      </c>
      <c r="AI47" s="12">
        <f t="shared" si="17"/>
        <v>3887.1443323686617</v>
      </c>
      <c r="AJ47" s="12">
        <f t="shared" si="17"/>
        <v>3498.4298991317955</v>
      </c>
      <c r="AK47" s="12">
        <f t="shared" ref="AK47:BP47" si="18" xml:space="preserve"> AK$12</f>
        <v>3148.5869092186163</v>
      </c>
      <c r="AL47" s="12">
        <f t="shared" si="18"/>
        <v>2833.7282182967547</v>
      </c>
      <c r="AM47" s="12">
        <f t="shared" si="18"/>
        <v>2550.3553964670791</v>
      </c>
      <c r="AN47" s="12">
        <f t="shared" si="18"/>
        <v>2295.3198568203711</v>
      </c>
      <c r="AO47" s="12">
        <f t="shared" si="18"/>
        <v>2065.7878711383341</v>
      </c>
      <c r="AP47" s="12">
        <f t="shared" si="18"/>
        <v>1859.209084024501</v>
      </c>
      <c r="AQ47" s="12">
        <f t="shared" si="18"/>
        <v>1673.2881756220509</v>
      </c>
      <c r="AR47" s="12">
        <f t="shared" si="18"/>
        <v>1505.9593580598457</v>
      </c>
      <c r="AS47" s="12">
        <f t="shared" si="18"/>
        <v>1355.3634222538612</v>
      </c>
      <c r="AT47" s="12">
        <f t="shared" si="18"/>
        <v>1219.8270800284752</v>
      </c>
      <c r="AU47" s="12">
        <f t="shared" si="18"/>
        <v>1097.8443720256275</v>
      </c>
      <c r="AV47" s="12">
        <f t="shared" si="18"/>
        <v>988.05993482306485</v>
      </c>
      <c r="AW47" s="12">
        <f t="shared" si="18"/>
        <v>889.25394134075839</v>
      </c>
      <c r="AX47" s="12">
        <f t="shared" si="18"/>
        <v>800.32854720668252</v>
      </c>
      <c r="AY47" s="12">
        <f t="shared" si="18"/>
        <v>720.29569248601422</v>
      </c>
      <c r="AZ47" s="12">
        <f t="shared" si="18"/>
        <v>648.26612323741278</v>
      </c>
      <c r="BA47" s="12">
        <f t="shared" si="18"/>
        <v>583.43951091367148</v>
      </c>
      <c r="BB47" s="12">
        <f t="shared" si="18"/>
        <v>5250.9555982230431</v>
      </c>
      <c r="BC47" s="12">
        <f t="shared" si="18"/>
        <v>0</v>
      </c>
      <c r="BD47" s="12">
        <f t="shared" si="18"/>
        <v>0</v>
      </c>
      <c r="BE47" s="12">
        <f t="shared" si="18"/>
        <v>0</v>
      </c>
      <c r="BF47" s="12">
        <f t="shared" si="18"/>
        <v>0</v>
      </c>
      <c r="BG47" s="12">
        <f t="shared" si="18"/>
        <v>0</v>
      </c>
      <c r="BH47" s="12">
        <f t="shared" si="18"/>
        <v>0</v>
      </c>
      <c r="BI47" s="12">
        <f t="shared" si="18"/>
        <v>0</v>
      </c>
      <c r="BJ47" s="12">
        <f t="shared" si="18"/>
        <v>0</v>
      </c>
      <c r="BK47" s="12">
        <f t="shared" si="18"/>
        <v>0</v>
      </c>
      <c r="BL47" s="12">
        <f t="shared" si="18"/>
        <v>0</v>
      </c>
      <c r="BM47" s="12">
        <f t="shared" si="18"/>
        <v>0</v>
      </c>
      <c r="BN47" s="12">
        <f t="shared" si="18"/>
        <v>0</v>
      </c>
      <c r="BO47" s="12">
        <f t="shared" si="18"/>
        <v>0</v>
      </c>
      <c r="BP47" s="12">
        <f t="shared" si="18"/>
        <v>0</v>
      </c>
      <c r="BQ47" s="12">
        <f t="shared" ref="BQ47:CV47" si="19" xml:space="preserve"> BQ$12</f>
        <v>0</v>
      </c>
      <c r="BR47" s="12">
        <f t="shared" si="19"/>
        <v>0</v>
      </c>
      <c r="BS47" s="12">
        <f t="shared" si="19"/>
        <v>0</v>
      </c>
      <c r="BT47" s="12">
        <f t="shared" si="19"/>
        <v>0</v>
      </c>
      <c r="BU47" s="12">
        <f t="shared" si="19"/>
        <v>0</v>
      </c>
      <c r="BV47" s="12">
        <f t="shared" si="19"/>
        <v>0</v>
      </c>
      <c r="BW47" s="12">
        <f t="shared" si="19"/>
        <v>0</v>
      </c>
      <c r="BX47" s="12">
        <f t="shared" si="19"/>
        <v>0</v>
      </c>
      <c r="BY47" s="12">
        <f t="shared" si="19"/>
        <v>0</v>
      </c>
      <c r="BZ47" s="12">
        <f t="shared" si="19"/>
        <v>0</v>
      </c>
      <c r="CA47" s="12">
        <f t="shared" si="19"/>
        <v>0</v>
      </c>
      <c r="CB47" s="12">
        <f t="shared" si="19"/>
        <v>0</v>
      </c>
      <c r="CC47" s="12">
        <f t="shared" si="19"/>
        <v>0</v>
      </c>
      <c r="CD47" s="12">
        <f t="shared" si="19"/>
        <v>0</v>
      </c>
      <c r="CE47" s="12">
        <f t="shared" si="19"/>
        <v>0</v>
      </c>
      <c r="CF47" s="12">
        <f t="shared" si="19"/>
        <v>0</v>
      </c>
      <c r="CG47" s="12">
        <f t="shared" si="19"/>
        <v>0</v>
      </c>
      <c r="CH47" s="12">
        <f t="shared" si="19"/>
        <v>0</v>
      </c>
      <c r="CI47" s="12">
        <f t="shared" si="19"/>
        <v>0</v>
      </c>
      <c r="CJ47" s="12">
        <f t="shared" si="19"/>
        <v>0</v>
      </c>
      <c r="CK47" s="12">
        <f t="shared" si="19"/>
        <v>0</v>
      </c>
      <c r="CL47" s="12">
        <f t="shared" si="19"/>
        <v>0</v>
      </c>
      <c r="CM47" s="12">
        <f t="shared" si="19"/>
        <v>0</v>
      </c>
      <c r="CN47" s="12">
        <f t="shared" si="19"/>
        <v>0</v>
      </c>
      <c r="CO47" s="12">
        <f t="shared" si="19"/>
        <v>0</v>
      </c>
      <c r="CP47" s="12">
        <f t="shared" si="19"/>
        <v>0</v>
      </c>
      <c r="CQ47" s="12">
        <f t="shared" si="19"/>
        <v>0</v>
      </c>
      <c r="CR47" s="12">
        <f t="shared" si="19"/>
        <v>0</v>
      </c>
      <c r="CS47" s="12">
        <f t="shared" si="19"/>
        <v>0</v>
      </c>
      <c r="CT47" s="12">
        <f t="shared" si="19"/>
        <v>0</v>
      </c>
      <c r="CU47" s="12">
        <f t="shared" si="19"/>
        <v>0</v>
      </c>
      <c r="CV47" s="12">
        <f t="shared" si="19"/>
        <v>0</v>
      </c>
      <c r="CW47" s="12">
        <f t="shared" ref="CW47:EB47" si="20" xml:space="preserve"> CW$12</f>
        <v>0</v>
      </c>
      <c r="CX47" s="12">
        <f t="shared" si="20"/>
        <v>0</v>
      </c>
      <c r="CY47" s="12">
        <f t="shared" si="20"/>
        <v>0</v>
      </c>
      <c r="CZ47" s="12">
        <f t="shared" si="20"/>
        <v>0</v>
      </c>
      <c r="DA47" s="12">
        <f t="shared" si="20"/>
        <v>0</v>
      </c>
      <c r="DB47" s="12">
        <f t="shared" si="20"/>
        <v>0</v>
      </c>
      <c r="DC47" s="12">
        <f t="shared" si="20"/>
        <v>0</v>
      </c>
      <c r="DD47" s="12">
        <f t="shared" si="20"/>
        <v>0</v>
      </c>
      <c r="DE47" s="12">
        <f t="shared" si="20"/>
        <v>0</v>
      </c>
      <c r="DF47" s="12">
        <f t="shared" si="20"/>
        <v>0</v>
      </c>
      <c r="DG47" s="12">
        <f t="shared" si="20"/>
        <v>0</v>
      </c>
      <c r="DH47" s="12">
        <f t="shared" si="20"/>
        <v>0</v>
      </c>
      <c r="DI47" s="12">
        <f t="shared" si="20"/>
        <v>0</v>
      </c>
      <c r="DJ47" s="12">
        <f t="shared" si="20"/>
        <v>0</v>
      </c>
      <c r="DK47" s="12">
        <f t="shared" si="20"/>
        <v>0</v>
      </c>
      <c r="DL47" s="12">
        <f t="shared" si="20"/>
        <v>0</v>
      </c>
      <c r="DM47" s="12">
        <f t="shared" si="20"/>
        <v>0</v>
      </c>
      <c r="DN47" s="12">
        <f t="shared" si="20"/>
        <v>0</v>
      </c>
      <c r="DO47" s="12">
        <f t="shared" si="20"/>
        <v>0</v>
      </c>
      <c r="DP47" s="12">
        <f t="shared" si="20"/>
        <v>0</v>
      </c>
      <c r="DQ47" s="12">
        <f t="shared" si="20"/>
        <v>0</v>
      </c>
      <c r="DR47" s="12">
        <f t="shared" si="20"/>
        <v>0</v>
      </c>
      <c r="DS47" s="12">
        <f t="shared" si="20"/>
        <v>0</v>
      </c>
      <c r="DT47" s="12">
        <f t="shared" si="20"/>
        <v>0</v>
      </c>
      <c r="DU47" s="12">
        <f t="shared" si="20"/>
        <v>0</v>
      </c>
      <c r="DV47" s="12">
        <f t="shared" si="20"/>
        <v>0</v>
      </c>
      <c r="DW47" s="12">
        <f t="shared" si="20"/>
        <v>0</v>
      </c>
      <c r="DX47" s="12">
        <f t="shared" si="20"/>
        <v>0</v>
      </c>
      <c r="DY47" s="12">
        <f t="shared" si="20"/>
        <v>0</v>
      </c>
      <c r="DZ47" s="12">
        <f t="shared" si="20"/>
        <v>0</v>
      </c>
      <c r="EA47" s="12">
        <f t="shared" si="20"/>
        <v>0</v>
      </c>
      <c r="EB47" s="12">
        <f t="shared" si="20"/>
        <v>0</v>
      </c>
      <c r="EC47" s="12">
        <f t="shared" ref="EC47:FH47" si="21" xml:space="preserve"> EC$12</f>
        <v>0</v>
      </c>
      <c r="ED47" s="12">
        <f t="shared" si="21"/>
        <v>0</v>
      </c>
      <c r="EE47" s="12">
        <f t="shared" si="21"/>
        <v>0</v>
      </c>
      <c r="EF47" s="12">
        <f t="shared" si="21"/>
        <v>0</v>
      </c>
      <c r="EG47" s="12">
        <f t="shared" si="21"/>
        <v>0</v>
      </c>
      <c r="EH47" s="12">
        <f t="shared" si="21"/>
        <v>0</v>
      </c>
      <c r="EI47" s="12">
        <f t="shared" si="21"/>
        <v>0</v>
      </c>
      <c r="EJ47" s="12">
        <f t="shared" si="21"/>
        <v>0</v>
      </c>
      <c r="EK47" s="12">
        <f t="shared" si="21"/>
        <v>0</v>
      </c>
      <c r="EL47" s="12">
        <f t="shared" si="21"/>
        <v>0</v>
      </c>
      <c r="EM47" s="12">
        <f t="shared" si="21"/>
        <v>0</v>
      </c>
      <c r="EN47" s="12">
        <f t="shared" si="21"/>
        <v>0</v>
      </c>
      <c r="EO47" s="12">
        <f t="shared" si="21"/>
        <v>0</v>
      </c>
      <c r="EP47" s="12">
        <f t="shared" si="21"/>
        <v>0</v>
      </c>
      <c r="EQ47" s="12">
        <f t="shared" si="21"/>
        <v>0</v>
      </c>
      <c r="ER47" s="12">
        <f t="shared" si="21"/>
        <v>0</v>
      </c>
      <c r="ES47" s="12">
        <f t="shared" si="21"/>
        <v>0</v>
      </c>
      <c r="ET47" s="12">
        <f t="shared" si="21"/>
        <v>0</v>
      </c>
      <c r="EU47" s="12">
        <f t="shared" si="21"/>
        <v>0</v>
      </c>
      <c r="EV47" s="12">
        <f t="shared" si="21"/>
        <v>0</v>
      </c>
      <c r="EW47" s="12">
        <f t="shared" si="21"/>
        <v>0</v>
      </c>
      <c r="EX47" s="12">
        <f t="shared" si="21"/>
        <v>0</v>
      </c>
      <c r="EY47" s="12">
        <f t="shared" si="21"/>
        <v>0</v>
      </c>
      <c r="EZ47" s="12">
        <f t="shared" si="21"/>
        <v>0</v>
      </c>
      <c r="FA47" s="12">
        <f t="shared" si="21"/>
        <v>0</v>
      </c>
      <c r="FB47" s="12">
        <f t="shared" si="21"/>
        <v>0</v>
      </c>
      <c r="FC47" s="12">
        <f t="shared" si="21"/>
        <v>0</v>
      </c>
      <c r="FD47" s="12">
        <f t="shared" si="21"/>
        <v>0</v>
      </c>
      <c r="FE47" s="12">
        <f t="shared" si="21"/>
        <v>0</v>
      </c>
      <c r="FF47" s="12">
        <f t="shared" si="21"/>
        <v>0</v>
      </c>
      <c r="FG47" s="12">
        <f t="shared" si="21"/>
        <v>0</v>
      </c>
      <c r="FH47" s="12">
        <f t="shared" si="21"/>
        <v>0</v>
      </c>
      <c r="FI47" s="12">
        <f t="shared" ref="FI47:GJ47" si="22" xml:space="preserve"> FI$12</f>
        <v>0</v>
      </c>
      <c r="FJ47" s="12">
        <f t="shared" si="22"/>
        <v>0</v>
      </c>
      <c r="FK47" s="12">
        <f t="shared" si="22"/>
        <v>0</v>
      </c>
      <c r="FL47" s="12">
        <f t="shared" si="22"/>
        <v>0</v>
      </c>
      <c r="FM47" s="12">
        <f t="shared" si="22"/>
        <v>0</v>
      </c>
      <c r="FN47" s="12">
        <f t="shared" si="22"/>
        <v>0</v>
      </c>
      <c r="FO47" s="12">
        <f t="shared" si="22"/>
        <v>0</v>
      </c>
      <c r="FP47" s="12">
        <f t="shared" si="22"/>
        <v>0</v>
      </c>
      <c r="FQ47" s="12">
        <f t="shared" si="22"/>
        <v>0</v>
      </c>
      <c r="FR47" s="12">
        <f t="shared" si="22"/>
        <v>0</v>
      </c>
      <c r="FS47" s="12">
        <f t="shared" si="22"/>
        <v>0</v>
      </c>
      <c r="FT47" s="12">
        <f t="shared" si="22"/>
        <v>0</v>
      </c>
      <c r="FU47" s="12">
        <f t="shared" si="22"/>
        <v>0</v>
      </c>
      <c r="FV47" s="12">
        <f t="shared" si="22"/>
        <v>0</v>
      </c>
      <c r="FW47" s="12">
        <f t="shared" si="22"/>
        <v>0</v>
      </c>
      <c r="FX47" s="12">
        <f t="shared" si="22"/>
        <v>0</v>
      </c>
      <c r="FY47" s="12">
        <f t="shared" si="22"/>
        <v>0</v>
      </c>
      <c r="FZ47" s="12">
        <f t="shared" si="22"/>
        <v>0</v>
      </c>
      <c r="GA47" s="12">
        <f t="shared" si="22"/>
        <v>0</v>
      </c>
      <c r="GB47" s="12">
        <f t="shared" si="22"/>
        <v>0</v>
      </c>
      <c r="GC47" s="12">
        <f t="shared" si="22"/>
        <v>0</v>
      </c>
      <c r="GD47" s="12">
        <f t="shared" si="22"/>
        <v>0</v>
      </c>
      <c r="GE47" s="12">
        <f t="shared" si="22"/>
        <v>0</v>
      </c>
      <c r="GF47" s="12">
        <f t="shared" si="22"/>
        <v>0</v>
      </c>
      <c r="GG47" s="12">
        <f t="shared" si="22"/>
        <v>0</v>
      </c>
      <c r="GH47" s="12">
        <f t="shared" si="22"/>
        <v>0</v>
      </c>
      <c r="GI47" s="12">
        <f t="shared" si="22"/>
        <v>0</v>
      </c>
      <c r="GJ47" s="12">
        <f t="shared" si="22"/>
        <v>0</v>
      </c>
    </row>
    <row r="48" spans="1:192" outlineLevel="1" x14ac:dyDescent="0.2">
      <c r="D48" s="48" t="s">
        <v>170</v>
      </c>
      <c r="E48" s="12" t="str">
        <f t="shared" ref="E48:AJ48" si="23" xml:space="preserve"> E$40</f>
        <v>Interest deduction for tax</v>
      </c>
      <c r="F48" s="12">
        <f t="shared" si="23"/>
        <v>0</v>
      </c>
      <c r="G48" s="12" t="str">
        <f t="shared" si="23"/>
        <v>$ 000s</v>
      </c>
      <c r="H48" s="12">
        <f t="shared" si="23"/>
        <v>401562.34567810298</v>
      </c>
      <c r="I48" s="12">
        <f t="shared" si="23"/>
        <v>0</v>
      </c>
      <c r="J48" s="12">
        <f t="shared" si="23"/>
        <v>0</v>
      </c>
      <c r="K48" s="12">
        <f t="shared" si="23"/>
        <v>0</v>
      </c>
      <c r="L48" s="12">
        <f t="shared" si="23"/>
        <v>0</v>
      </c>
      <c r="M48" s="12">
        <f t="shared" si="23"/>
        <v>0</v>
      </c>
      <c r="N48" s="12">
        <f t="shared" si="23"/>
        <v>0</v>
      </c>
      <c r="O48" s="12">
        <f t="shared" si="23"/>
        <v>10990.297313133306</v>
      </c>
      <c r="P48" s="12">
        <f t="shared" si="23"/>
        <v>10747.606538051328</v>
      </c>
      <c r="Q48" s="12">
        <f t="shared" si="23"/>
        <v>10750.729669838216</v>
      </c>
      <c r="R48" s="12">
        <f t="shared" si="23"/>
        <v>10574.547129881877</v>
      </c>
      <c r="S48" s="12">
        <f t="shared" si="23"/>
        <v>10576.429660471949</v>
      </c>
      <c r="T48" s="12">
        <f t="shared" si="23"/>
        <v>10408.330419952121</v>
      </c>
      <c r="U48" s="12">
        <f t="shared" si="23"/>
        <v>10410.045889517143</v>
      </c>
      <c r="V48" s="12">
        <f t="shared" si="23"/>
        <v>10276.672149870985</v>
      </c>
      <c r="W48" s="12">
        <f t="shared" si="23"/>
        <v>10251.399799320705</v>
      </c>
      <c r="X48" s="12">
        <f t="shared" si="23"/>
        <v>10103.566447954245</v>
      </c>
      <c r="Y48" s="12">
        <f t="shared" si="23"/>
        <v>10302.194915648728</v>
      </c>
      <c r="Z48" s="12">
        <f t="shared" si="23"/>
        <v>10159.439568389236</v>
      </c>
      <c r="AA48" s="12">
        <f t="shared" si="23"/>
        <v>10164.661004908732</v>
      </c>
      <c r="AB48" s="12">
        <f t="shared" si="23"/>
        <v>10034.357289790407</v>
      </c>
      <c r="AC48" s="12">
        <f t="shared" si="23"/>
        <v>10042.653883042054</v>
      </c>
      <c r="AD48" s="12">
        <f t="shared" si="23"/>
        <v>9946.2069250215718</v>
      </c>
      <c r="AE48" s="12">
        <f t="shared" si="23"/>
        <v>9937.0353530868451</v>
      </c>
      <c r="AF48" s="12">
        <f t="shared" si="23"/>
        <v>9837.4799831975197</v>
      </c>
      <c r="AG48" s="12">
        <f t="shared" si="23"/>
        <v>9854.5843565235955</v>
      </c>
      <c r="AH48" s="12">
        <f t="shared" si="23"/>
        <v>9771.5517691330988</v>
      </c>
      <c r="AI48" s="12">
        <f t="shared" si="23"/>
        <v>9944.3617405765599</v>
      </c>
      <c r="AJ48" s="12">
        <f t="shared" si="23"/>
        <v>9872.4278132714771</v>
      </c>
      <c r="AK48" s="12">
        <f t="shared" ref="AK48:BP48" si="24" xml:space="preserve"> AK$40</f>
        <v>9901.387696755326</v>
      </c>
      <c r="AL48" s="12">
        <f t="shared" si="24"/>
        <v>9863.8782505309337</v>
      </c>
      <c r="AM48" s="12">
        <f t="shared" si="24"/>
        <v>9888.6686404470965</v>
      </c>
      <c r="AN48" s="12">
        <f t="shared" si="24"/>
        <v>9864.0214539893459</v>
      </c>
      <c r="AO48" s="12">
        <f t="shared" si="24"/>
        <v>9915.1526167393567</v>
      </c>
      <c r="AP48" s="12">
        <f t="shared" si="24"/>
        <v>9916.9657026760833</v>
      </c>
      <c r="AQ48" s="12">
        <f t="shared" si="24"/>
        <v>9983.3134002536899</v>
      </c>
      <c r="AR48" s="12">
        <f t="shared" si="24"/>
        <v>10016.098994175029</v>
      </c>
      <c r="AS48" s="12">
        <f t="shared" si="24"/>
        <v>10101.182926126012</v>
      </c>
      <c r="AT48" s="12">
        <f t="shared" si="24"/>
        <v>10188.461918003537</v>
      </c>
      <c r="AU48" s="12">
        <f t="shared" si="24"/>
        <v>10307.964894427676</v>
      </c>
      <c r="AV48" s="12">
        <f t="shared" si="24"/>
        <v>10141.506485369766</v>
      </c>
      <c r="AW48" s="12">
        <f t="shared" si="24"/>
        <v>9987.6939839541465</v>
      </c>
      <c r="AX48" s="12">
        <f t="shared" si="24"/>
        <v>9770.4893609140308</v>
      </c>
      <c r="AY48" s="12">
        <f t="shared" si="24"/>
        <v>9549.0316355148352</v>
      </c>
      <c r="AZ48" s="12">
        <f t="shared" si="24"/>
        <v>9314.5070350648566</v>
      </c>
      <c r="BA48" s="12">
        <f t="shared" si="24"/>
        <v>9074.6490722965682</v>
      </c>
      <c r="BB48" s="12">
        <f t="shared" si="24"/>
        <v>8820.7919902830781</v>
      </c>
      <c r="BC48" s="12">
        <f t="shared" si="24"/>
        <v>0</v>
      </c>
      <c r="BD48" s="12">
        <f t="shared" si="24"/>
        <v>0</v>
      </c>
      <c r="BE48" s="12">
        <f t="shared" si="24"/>
        <v>0</v>
      </c>
      <c r="BF48" s="12">
        <f t="shared" si="24"/>
        <v>0</v>
      </c>
      <c r="BG48" s="12">
        <f t="shared" si="24"/>
        <v>0</v>
      </c>
      <c r="BH48" s="12">
        <f t="shared" si="24"/>
        <v>0</v>
      </c>
      <c r="BI48" s="12">
        <f t="shared" si="24"/>
        <v>0</v>
      </c>
      <c r="BJ48" s="12">
        <f t="shared" si="24"/>
        <v>0</v>
      </c>
      <c r="BK48" s="12">
        <f t="shared" si="24"/>
        <v>0</v>
      </c>
      <c r="BL48" s="12">
        <f t="shared" si="24"/>
        <v>0</v>
      </c>
      <c r="BM48" s="12">
        <f t="shared" si="24"/>
        <v>0</v>
      </c>
      <c r="BN48" s="12">
        <f t="shared" si="24"/>
        <v>0</v>
      </c>
      <c r="BO48" s="12">
        <f t="shared" si="24"/>
        <v>0</v>
      </c>
      <c r="BP48" s="12">
        <f t="shared" si="24"/>
        <v>0</v>
      </c>
      <c r="BQ48" s="12">
        <f t="shared" ref="BQ48:CV48" si="25" xml:space="preserve"> BQ$40</f>
        <v>0</v>
      </c>
      <c r="BR48" s="12">
        <f t="shared" si="25"/>
        <v>0</v>
      </c>
      <c r="BS48" s="12">
        <f t="shared" si="25"/>
        <v>0</v>
      </c>
      <c r="BT48" s="12">
        <f t="shared" si="25"/>
        <v>0</v>
      </c>
      <c r="BU48" s="12">
        <f t="shared" si="25"/>
        <v>0</v>
      </c>
      <c r="BV48" s="12">
        <f t="shared" si="25"/>
        <v>0</v>
      </c>
      <c r="BW48" s="12">
        <f t="shared" si="25"/>
        <v>0</v>
      </c>
      <c r="BX48" s="12">
        <f t="shared" si="25"/>
        <v>0</v>
      </c>
      <c r="BY48" s="12">
        <f t="shared" si="25"/>
        <v>0</v>
      </c>
      <c r="BZ48" s="12">
        <f t="shared" si="25"/>
        <v>0</v>
      </c>
      <c r="CA48" s="12">
        <f t="shared" si="25"/>
        <v>0</v>
      </c>
      <c r="CB48" s="12">
        <f t="shared" si="25"/>
        <v>0</v>
      </c>
      <c r="CC48" s="12">
        <f t="shared" si="25"/>
        <v>0</v>
      </c>
      <c r="CD48" s="12">
        <f t="shared" si="25"/>
        <v>0</v>
      </c>
      <c r="CE48" s="12">
        <f t="shared" si="25"/>
        <v>0</v>
      </c>
      <c r="CF48" s="12">
        <f t="shared" si="25"/>
        <v>0</v>
      </c>
      <c r="CG48" s="12">
        <f t="shared" si="25"/>
        <v>0</v>
      </c>
      <c r="CH48" s="12">
        <f t="shared" si="25"/>
        <v>0</v>
      </c>
      <c r="CI48" s="12">
        <f t="shared" si="25"/>
        <v>0</v>
      </c>
      <c r="CJ48" s="12">
        <f t="shared" si="25"/>
        <v>0</v>
      </c>
      <c r="CK48" s="12">
        <f t="shared" si="25"/>
        <v>0</v>
      </c>
      <c r="CL48" s="12">
        <f t="shared" si="25"/>
        <v>0</v>
      </c>
      <c r="CM48" s="12">
        <f t="shared" si="25"/>
        <v>0</v>
      </c>
      <c r="CN48" s="12">
        <f t="shared" si="25"/>
        <v>0</v>
      </c>
      <c r="CO48" s="12">
        <f t="shared" si="25"/>
        <v>0</v>
      </c>
      <c r="CP48" s="12">
        <f t="shared" si="25"/>
        <v>0</v>
      </c>
      <c r="CQ48" s="12">
        <f t="shared" si="25"/>
        <v>0</v>
      </c>
      <c r="CR48" s="12">
        <f t="shared" si="25"/>
        <v>0</v>
      </c>
      <c r="CS48" s="12">
        <f t="shared" si="25"/>
        <v>0</v>
      </c>
      <c r="CT48" s="12">
        <f t="shared" si="25"/>
        <v>0</v>
      </c>
      <c r="CU48" s="12">
        <f t="shared" si="25"/>
        <v>0</v>
      </c>
      <c r="CV48" s="12">
        <f t="shared" si="25"/>
        <v>0</v>
      </c>
      <c r="CW48" s="12">
        <f t="shared" ref="CW48:EB48" si="26" xml:space="preserve"> CW$40</f>
        <v>0</v>
      </c>
      <c r="CX48" s="12">
        <f t="shared" si="26"/>
        <v>0</v>
      </c>
      <c r="CY48" s="12">
        <f t="shared" si="26"/>
        <v>0</v>
      </c>
      <c r="CZ48" s="12">
        <f t="shared" si="26"/>
        <v>0</v>
      </c>
      <c r="DA48" s="12">
        <f t="shared" si="26"/>
        <v>0</v>
      </c>
      <c r="DB48" s="12">
        <f t="shared" si="26"/>
        <v>0</v>
      </c>
      <c r="DC48" s="12">
        <f t="shared" si="26"/>
        <v>0</v>
      </c>
      <c r="DD48" s="12">
        <f t="shared" si="26"/>
        <v>0</v>
      </c>
      <c r="DE48" s="12">
        <f t="shared" si="26"/>
        <v>0</v>
      </c>
      <c r="DF48" s="12">
        <f t="shared" si="26"/>
        <v>0</v>
      </c>
      <c r="DG48" s="12">
        <f t="shared" si="26"/>
        <v>0</v>
      </c>
      <c r="DH48" s="12">
        <f t="shared" si="26"/>
        <v>0</v>
      </c>
      <c r="DI48" s="12">
        <f t="shared" si="26"/>
        <v>0</v>
      </c>
      <c r="DJ48" s="12">
        <f t="shared" si="26"/>
        <v>0</v>
      </c>
      <c r="DK48" s="12">
        <f t="shared" si="26"/>
        <v>0</v>
      </c>
      <c r="DL48" s="12">
        <f t="shared" si="26"/>
        <v>0</v>
      </c>
      <c r="DM48" s="12">
        <f t="shared" si="26"/>
        <v>0</v>
      </c>
      <c r="DN48" s="12">
        <f t="shared" si="26"/>
        <v>0</v>
      </c>
      <c r="DO48" s="12">
        <f t="shared" si="26"/>
        <v>0</v>
      </c>
      <c r="DP48" s="12">
        <f t="shared" si="26"/>
        <v>0</v>
      </c>
      <c r="DQ48" s="12">
        <f t="shared" si="26"/>
        <v>0</v>
      </c>
      <c r="DR48" s="12">
        <f t="shared" si="26"/>
        <v>0</v>
      </c>
      <c r="DS48" s="12">
        <f t="shared" si="26"/>
        <v>0</v>
      </c>
      <c r="DT48" s="12">
        <f t="shared" si="26"/>
        <v>0</v>
      </c>
      <c r="DU48" s="12">
        <f t="shared" si="26"/>
        <v>0</v>
      </c>
      <c r="DV48" s="12">
        <f t="shared" si="26"/>
        <v>0</v>
      </c>
      <c r="DW48" s="12">
        <f t="shared" si="26"/>
        <v>0</v>
      </c>
      <c r="DX48" s="12">
        <f t="shared" si="26"/>
        <v>0</v>
      </c>
      <c r="DY48" s="12">
        <f t="shared" si="26"/>
        <v>0</v>
      </c>
      <c r="DZ48" s="12">
        <f t="shared" si="26"/>
        <v>0</v>
      </c>
      <c r="EA48" s="12">
        <f t="shared" si="26"/>
        <v>0</v>
      </c>
      <c r="EB48" s="12">
        <f t="shared" si="26"/>
        <v>0</v>
      </c>
      <c r="EC48" s="12">
        <f t="shared" ref="EC48:FH48" si="27" xml:space="preserve"> EC$40</f>
        <v>0</v>
      </c>
      <c r="ED48" s="12">
        <f t="shared" si="27"/>
        <v>0</v>
      </c>
      <c r="EE48" s="12">
        <f t="shared" si="27"/>
        <v>0</v>
      </c>
      <c r="EF48" s="12">
        <f t="shared" si="27"/>
        <v>0</v>
      </c>
      <c r="EG48" s="12">
        <f t="shared" si="27"/>
        <v>0</v>
      </c>
      <c r="EH48" s="12">
        <f t="shared" si="27"/>
        <v>0</v>
      </c>
      <c r="EI48" s="12">
        <f t="shared" si="27"/>
        <v>0</v>
      </c>
      <c r="EJ48" s="12">
        <f t="shared" si="27"/>
        <v>0</v>
      </c>
      <c r="EK48" s="12">
        <f t="shared" si="27"/>
        <v>0</v>
      </c>
      <c r="EL48" s="12">
        <f t="shared" si="27"/>
        <v>0</v>
      </c>
      <c r="EM48" s="12">
        <f t="shared" si="27"/>
        <v>0</v>
      </c>
      <c r="EN48" s="12">
        <f t="shared" si="27"/>
        <v>0</v>
      </c>
      <c r="EO48" s="12">
        <f t="shared" si="27"/>
        <v>0</v>
      </c>
      <c r="EP48" s="12">
        <f t="shared" si="27"/>
        <v>0</v>
      </c>
      <c r="EQ48" s="12">
        <f t="shared" si="27"/>
        <v>0</v>
      </c>
      <c r="ER48" s="12">
        <f t="shared" si="27"/>
        <v>0</v>
      </c>
      <c r="ES48" s="12">
        <f t="shared" si="27"/>
        <v>0</v>
      </c>
      <c r="ET48" s="12">
        <f t="shared" si="27"/>
        <v>0</v>
      </c>
      <c r="EU48" s="12">
        <f t="shared" si="27"/>
        <v>0</v>
      </c>
      <c r="EV48" s="12">
        <f t="shared" si="27"/>
        <v>0</v>
      </c>
      <c r="EW48" s="12">
        <f t="shared" si="27"/>
        <v>0</v>
      </c>
      <c r="EX48" s="12">
        <f t="shared" si="27"/>
        <v>0</v>
      </c>
      <c r="EY48" s="12">
        <f t="shared" si="27"/>
        <v>0</v>
      </c>
      <c r="EZ48" s="12">
        <f t="shared" si="27"/>
        <v>0</v>
      </c>
      <c r="FA48" s="12">
        <f t="shared" si="27"/>
        <v>0</v>
      </c>
      <c r="FB48" s="12">
        <f t="shared" si="27"/>
        <v>0</v>
      </c>
      <c r="FC48" s="12">
        <f t="shared" si="27"/>
        <v>0</v>
      </c>
      <c r="FD48" s="12">
        <f t="shared" si="27"/>
        <v>0</v>
      </c>
      <c r="FE48" s="12">
        <f t="shared" si="27"/>
        <v>0</v>
      </c>
      <c r="FF48" s="12">
        <f t="shared" si="27"/>
        <v>0</v>
      </c>
      <c r="FG48" s="12">
        <f t="shared" si="27"/>
        <v>0</v>
      </c>
      <c r="FH48" s="12">
        <f t="shared" si="27"/>
        <v>0</v>
      </c>
      <c r="FI48" s="12">
        <f t="shared" ref="FI48:GJ48" si="28" xml:space="preserve"> FI$40</f>
        <v>0</v>
      </c>
      <c r="FJ48" s="12">
        <f t="shared" si="28"/>
        <v>0</v>
      </c>
      <c r="FK48" s="12">
        <f t="shared" si="28"/>
        <v>0</v>
      </c>
      <c r="FL48" s="12">
        <f t="shared" si="28"/>
        <v>0</v>
      </c>
      <c r="FM48" s="12">
        <f t="shared" si="28"/>
        <v>0</v>
      </c>
      <c r="FN48" s="12">
        <f t="shared" si="28"/>
        <v>0</v>
      </c>
      <c r="FO48" s="12">
        <f t="shared" si="28"/>
        <v>0</v>
      </c>
      <c r="FP48" s="12">
        <f t="shared" si="28"/>
        <v>0</v>
      </c>
      <c r="FQ48" s="12">
        <f t="shared" si="28"/>
        <v>0</v>
      </c>
      <c r="FR48" s="12">
        <f t="shared" si="28"/>
        <v>0</v>
      </c>
      <c r="FS48" s="12">
        <f t="shared" si="28"/>
        <v>0</v>
      </c>
      <c r="FT48" s="12">
        <f t="shared" si="28"/>
        <v>0</v>
      </c>
      <c r="FU48" s="12">
        <f t="shared" si="28"/>
        <v>0</v>
      </c>
      <c r="FV48" s="12">
        <f t="shared" si="28"/>
        <v>0</v>
      </c>
      <c r="FW48" s="12">
        <f t="shared" si="28"/>
        <v>0</v>
      </c>
      <c r="FX48" s="12">
        <f t="shared" si="28"/>
        <v>0</v>
      </c>
      <c r="FY48" s="12">
        <f t="shared" si="28"/>
        <v>0</v>
      </c>
      <c r="FZ48" s="12">
        <f t="shared" si="28"/>
        <v>0</v>
      </c>
      <c r="GA48" s="12">
        <f t="shared" si="28"/>
        <v>0</v>
      </c>
      <c r="GB48" s="12">
        <f t="shared" si="28"/>
        <v>0</v>
      </c>
      <c r="GC48" s="12">
        <f t="shared" si="28"/>
        <v>0</v>
      </c>
      <c r="GD48" s="12">
        <f t="shared" si="28"/>
        <v>0</v>
      </c>
      <c r="GE48" s="12">
        <f t="shared" si="28"/>
        <v>0</v>
      </c>
      <c r="GF48" s="12">
        <f t="shared" si="28"/>
        <v>0</v>
      </c>
      <c r="GG48" s="12">
        <f t="shared" si="28"/>
        <v>0</v>
      </c>
      <c r="GH48" s="12">
        <f t="shared" si="28"/>
        <v>0</v>
      </c>
      <c r="GI48" s="12">
        <f t="shared" si="28"/>
        <v>0</v>
      </c>
      <c r="GJ48" s="12">
        <f t="shared" si="28"/>
        <v>0</v>
      </c>
    </row>
    <row r="49" spans="1:192" outlineLevel="1" x14ac:dyDescent="0.2">
      <c r="E49" s="12" t="s">
        <v>1305</v>
      </c>
      <c r="G49" s="12" t="str">
        <f xml:space="preserve"> SMU</f>
        <v>$ 000s</v>
      </c>
      <c r="H49" s="12">
        <f xml:space="preserve"> SUM(J49:CV49)</f>
        <v>-541050.35825121694</v>
      </c>
      <c r="J49" s="12">
        <f t="shared" ref="J49:AO49" si="29" xml:space="preserve"> J44 + J45 + J46 - J47 - J48</f>
        <v>0</v>
      </c>
      <c r="K49" s="12">
        <f t="shared" si="29"/>
        <v>0</v>
      </c>
      <c r="L49" s="12">
        <f t="shared" si="29"/>
        <v>0</v>
      </c>
      <c r="M49" s="12">
        <f t="shared" si="29"/>
        <v>0</v>
      </c>
      <c r="N49" s="12">
        <f t="shared" si="29"/>
        <v>0</v>
      </c>
      <c r="O49" s="12">
        <f t="shared" si="29"/>
        <v>-38182.041310855093</v>
      </c>
      <c r="P49" s="12">
        <f t="shared" si="29"/>
        <v>-34499.381183270743</v>
      </c>
      <c r="Q49" s="12">
        <f t="shared" si="29"/>
        <v>-31747.09928200184</v>
      </c>
      <c r="R49" s="12">
        <f t="shared" si="29"/>
        <v>-28804.938554378645</v>
      </c>
      <c r="S49" s="12">
        <f t="shared" si="29"/>
        <v>-26598.439038454311</v>
      </c>
      <c r="T49" s="12">
        <f t="shared" si="29"/>
        <v>-24164.50608276913</v>
      </c>
      <c r="U49" s="12">
        <f t="shared" si="29"/>
        <v>-22402.089011567172</v>
      </c>
      <c r="V49" s="12">
        <f t="shared" si="29"/>
        <v>-20436.17660781198</v>
      </c>
      <c r="W49" s="12">
        <f t="shared" si="29"/>
        <v>-18980.091214873584</v>
      </c>
      <c r="X49" s="12">
        <f t="shared" si="29"/>
        <v>-17308.100923325735</v>
      </c>
      <c r="Y49" s="12">
        <f t="shared" si="29"/>
        <v>-16592.002970041452</v>
      </c>
      <c r="Z49" s="12">
        <f t="shared" si="29"/>
        <v>-15191.670168582375</v>
      </c>
      <c r="AA49" s="12">
        <f t="shared" si="29"/>
        <v>-14325.772644303153</v>
      </c>
      <c r="AB49" s="12">
        <f t="shared" si="29"/>
        <v>-13162.159307445028</v>
      </c>
      <c r="AC49" s="12">
        <f t="shared" si="29"/>
        <v>-12494.745083673664</v>
      </c>
      <c r="AD49" s="12">
        <f t="shared" si="29"/>
        <v>-11570.416383269305</v>
      </c>
      <c r="AE49" s="12">
        <f t="shared" si="29"/>
        <v>-11024.214201449295</v>
      </c>
      <c r="AF49" s="12">
        <f t="shared" si="29"/>
        <v>-10232.641286336295</v>
      </c>
      <c r="AG49" s="12">
        <f t="shared" si="29"/>
        <v>-9865.837381660378</v>
      </c>
      <c r="AH49" s="12">
        <f t="shared" si="29"/>
        <v>-9219.8778448585617</v>
      </c>
      <c r="AI49" s="12">
        <f t="shared" si="29"/>
        <v>-9267.604618279418</v>
      </c>
      <c r="AJ49" s="12">
        <f t="shared" si="29"/>
        <v>-8735.0223304323863</v>
      </c>
      <c r="AK49" s="12">
        <f t="shared" si="29"/>
        <v>-8578.9574750832599</v>
      </c>
      <c r="AL49" s="12">
        <f t="shared" si="29"/>
        <v>-8189.0798917126131</v>
      </c>
      <c r="AM49" s="12">
        <f t="shared" si="29"/>
        <v>-8093.0317549984138</v>
      </c>
      <c r="AN49" s="12">
        <f t="shared" si="29"/>
        <v>-7788.701842436205</v>
      </c>
      <c r="AO49" s="12">
        <f t="shared" si="29"/>
        <v>-7801.10133214913</v>
      </c>
      <c r="AP49" s="12">
        <f t="shared" ref="AP49:BU49" si="30" xml:space="preserve"> AP44 + AP45 + AP46 - AP47 - AP48</f>
        <v>-7598.1487169087495</v>
      </c>
      <c r="AQ49" s="12">
        <f t="shared" si="30"/>
        <v>-7686.5581012874791</v>
      </c>
      <c r="AR49" s="12">
        <f t="shared" si="30"/>
        <v>-7584.8004715679517</v>
      </c>
      <c r="AS49" s="12">
        <f t="shared" si="30"/>
        <v>-7748.0143603626739</v>
      </c>
      <c r="AT49" s="12">
        <f t="shared" si="30"/>
        <v>-7787.0360018923384</v>
      </c>
      <c r="AU49" s="12">
        <f t="shared" si="30"/>
        <v>-8049.7504144240938</v>
      </c>
      <c r="AV49" s="12">
        <f t="shared" si="30"/>
        <v>-7607.0491591057107</v>
      </c>
      <c r="AW49" s="12">
        <f t="shared" si="30"/>
        <v>-7348.4015266333745</v>
      </c>
      <c r="AX49" s="12">
        <f t="shared" si="30"/>
        <v>-6825.0668864190675</v>
      </c>
      <c r="AY49" s="12">
        <f t="shared" si="30"/>
        <v>-6452.0379923306591</v>
      </c>
      <c r="AZ49" s="12">
        <f t="shared" si="30"/>
        <v>-5910.9592221821013</v>
      </c>
      <c r="BA49" s="12">
        <f t="shared" si="30"/>
        <v>-5518.5168744005605</v>
      </c>
      <c r="BB49" s="12">
        <f t="shared" si="30"/>
        <v>-9678.3187976829522</v>
      </c>
      <c r="BC49" s="12">
        <f t="shared" si="30"/>
        <v>0</v>
      </c>
      <c r="BD49" s="12">
        <f t="shared" si="30"/>
        <v>0</v>
      </c>
      <c r="BE49" s="12">
        <f t="shared" si="30"/>
        <v>0</v>
      </c>
      <c r="BF49" s="12">
        <f t="shared" si="30"/>
        <v>0</v>
      </c>
      <c r="BG49" s="12">
        <f t="shared" si="30"/>
        <v>0</v>
      </c>
      <c r="BH49" s="12">
        <f t="shared" si="30"/>
        <v>0</v>
      </c>
      <c r="BI49" s="12">
        <f t="shared" si="30"/>
        <v>0</v>
      </c>
      <c r="BJ49" s="12">
        <f t="shared" si="30"/>
        <v>0</v>
      </c>
      <c r="BK49" s="12">
        <f t="shared" si="30"/>
        <v>0</v>
      </c>
      <c r="BL49" s="12">
        <f t="shared" si="30"/>
        <v>0</v>
      </c>
      <c r="BM49" s="12">
        <f t="shared" si="30"/>
        <v>0</v>
      </c>
      <c r="BN49" s="12">
        <f t="shared" si="30"/>
        <v>0</v>
      </c>
      <c r="BO49" s="12">
        <f t="shared" si="30"/>
        <v>0</v>
      </c>
      <c r="BP49" s="12">
        <f t="shared" si="30"/>
        <v>0</v>
      </c>
      <c r="BQ49" s="12">
        <f t="shared" si="30"/>
        <v>0</v>
      </c>
      <c r="BR49" s="12">
        <f t="shared" si="30"/>
        <v>0</v>
      </c>
      <c r="BS49" s="12">
        <f t="shared" si="30"/>
        <v>0</v>
      </c>
      <c r="BT49" s="12">
        <f t="shared" si="30"/>
        <v>0</v>
      </c>
      <c r="BU49" s="12">
        <f t="shared" si="30"/>
        <v>0</v>
      </c>
      <c r="BV49" s="12">
        <f t="shared" ref="BV49:DA49" si="31" xml:space="preserve"> BV44 + BV45 + BV46 - BV47 - BV48</f>
        <v>0</v>
      </c>
      <c r="BW49" s="12">
        <f t="shared" si="31"/>
        <v>0</v>
      </c>
      <c r="BX49" s="12">
        <f t="shared" si="31"/>
        <v>0</v>
      </c>
      <c r="BY49" s="12">
        <f t="shared" si="31"/>
        <v>0</v>
      </c>
      <c r="BZ49" s="12">
        <f t="shared" si="31"/>
        <v>0</v>
      </c>
      <c r="CA49" s="12">
        <f t="shared" si="31"/>
        <v>0</v>
      </c>
      <c r="CB49" s="12">
        <f t="shared" si="31"/>
        <v>0</v>
      </c>
      <c r="CC49" s="12">
        <f t="shared" si="31"/>
        <v>0</v>
      </c>
      <c r="CD49" s="12">
        <f t="shared" si="31"/>
        <v>0</v>
      </c>
      <c r="CE49" s="12">
        <f t="shared" si="31"/>
        <v>0</v>
      </c>
      <c r="CF49" s="12">
        <f t="shared" si="31"/>
        <v>0</v>
      </c>
      <c r="CG49" s="12">
        <f t="shared" si="31"/>
        <v>0</v>
      </c>
      <c r="CH49" s="12">
        <f t="shared" si="31"/>
        <v>0</v>
      </c>
      <c r="CI49" s="12">
        <f t="shared" si="31"/>
        <v>0</v>
      </c>
      <c r="CJ49" s="12">
        <f t="shared" si="31"/>
        <v>0</v>
      </c>
      <c r="CK49" s="12">
        <f t="shared" si="31"/>
        <v>0</v>
      </c>
      <c r="CL49" s="12">
        <f t="shared" si="31"/>
        <v>0</v>
      </c>
      <c r="CM49" s="12">
        <f t="shared" si="31"/>
        <v>0</v>
      </c>
      <c r="CN49" s="12">
        <f t="shared" si="31"/>
        <v>0</v>
      </c>
      <c r="CO49" s="12">
        <f t="shared" si="31"/>
        <v>0</v>
      </c>
      <c r="CP49" s="12">
        <f t="shared" si="31"/>
        <v>0</v>
      </c>
      <c r="CQ49" s="12">
        <f t="shared" si="31"/>
        <v>0</v>
      </c>
      <c r="CR49" s="12">
        <f t="shared" si="31"/>
        <v>0</v>
      </c>
      <c r="CS49" s="12">
        <f t="shared" si="31"/>
        <v>0</v>
      </c>
      <c r="CT49" s="12">
        <f t="shared" si="31"/>
        <v>0</v>
      </c>
      <c r="CU49" s="12">
        <f t="shared" si="31"/>
        <v>0</v>
      </c>
      <c r="CV49" s="12">
        <f t="shared" si="31"/>
        <v>0</v>
      </c>
      <c r="CW49" s="12">
        <f t="shared" si="31"/>
        <v>0</v>
      </c>
      <c r="CX49" s="12">
        <f t="shared" si="31"/>
        <v>0</v>
      </c>
      <c r="CY49" s="12">
        <f t="shared" si="31"/>
        <v>0</v>
      </c>
      <c r="CZ49" s="12">
        <f t="shared" si="31"/>
        <v>0</v>
      </c>
      <c r="DA49" s="12">
        <f t="shared" si="31"/>
        <v>0</v>
      </c>
      <c r="DB49" s="12">
        <f t="shared" ref="DB49:EG49" si="32" xml:space="preserve"> DB44 + DB45 + DB46 - DB47 - DB48</f>
        <v>0</v>
      </c>
      <c r="DC49" s="12">
        <f t="shared" si="32"/>
        <v>0</v>
      </c>
      <c r="DD49" s="12">
        <f t="shared" si="32"/>
        <v>0</v>
      </c>
      <c r="DE49" s="12">
        <f t="shared" si="32"/>
        <v>0</v>
      </c>
      <c r="DF49" s="12">
        <f t="shared" si="32"/>
        <v>0</v>
      </c>
      <c r="DG49" s="12">
        <f t="shared" si="32"/>
        <v>0</v>
      </c>
      <c r="DH49" s="12">
        <f t="shared" si="32"/>
        <v>0</v>
      </c>
      <c r="DI49" s="12">
        <f t="shared" si="32"/>
        <v>0</v>
      </c>
      <c r="DJ49" s="12">
        <f t="shared" si="32"/>
        <v>0</v>
      </c>
      <c r="DK49" s="12">
        <f t="shared" si="32"/>
        <v>0</v>
      </c>
      <c r="DL49" s="12">
        <f t="shared" si="32"/>
        <v>0</v>
      </c>
      <c r="DM49" s="12">
        <f t="shared" si="32"/>
        <v>0</v>
      </c>
      <c r="DN49" s="12">
        <f t="shared" si="32"/>
        <v>0</v>
      </c>
      <c r="DO49" s="12">
        <f t="shared" si="32"/>
        <v>0</v>
      </c>
      <c r="DP49" s="12">
        <f t="shared" si="32"/>
        <v>0</v>
      </c>
      <c r="DQ49" s="12">
        <f t="shared" si="32"/>
        <v>0</v>
      </c>
      <c r="DR49" s="12">
        <f t="shared" si="32"/>
        <v>0</v>
      </c>
      <c r="DS49" s="12">
        <f t="shared" si="32"/>
        <v>0</v>
      </c>
      <c r="DT49" s="12">
        <f t="shared" si="32"/>
        <v>0</v>
      </c>
      <c r="DU49" s="12">
        <f t="shared" si="32"/>
        <v>0</v>
      </c>
      <c r="DV49" s="12">
        <f t="shared" si="32"/>
        <v>0</v>
      </c>
      <c r="DW49" s="12">
        <f t="shared" si="32"/>
        <v>0</v>
      </c>
      <c r="DX49" s="12">
        <f t="shared" si="32"/>
        <v>0</v>
      </c>
      <c r="DY49" s="12">
        <f t="shared" si="32"/>
        <v>0</v>
      </c>
      <c r="DZ49" s="12">
        <f t="shared" si="32"/>
        <v>0</v>
      </c>
      <c r="EA49" s="12">
        <f t="shared" si="32"/>
        <v>0</v>
      </c>
      <c r="EB49" s="12">
        <f t="shared" si="32"/>
        <v>0</v>
      </c>
      <c r="EC49" s="12">
        <f t="shared" si="32"/>
        <v>0</v>
      </c>
      <c r="ED49" s="12">
        <f t="shared" si="32"/>
        <v>0</v>
      </c>
      <c r="EE49" s="12">
        <f t="shared" si="32"/>
        <v>0</v>
      </c>
      <c r="EF49" s="12">
        <f t="shared" si="32"/>
        <v>0</v>
      </c>
      <c r="EG49" s="12">
        <f t="shared" si="32"/>
        <v>0</v>
      </c>
      <c r="EH49" s="12">
        <f t="shared" ref="EH49:FM49" si="33" xml:space="preserve"> EH44 + EH45 + EH46 - EH47 - EH48</f>
        <v>0</v>
      </c>
      <c r="EI49" s="12">
        <f t="shared" si="33"/>
        <v>0</v>
      </c>
      <c r="EJ49" s="12">
        <f t="shared" si="33"/>
        <v>0</v>
      </c>
      <c r="EK49" s="12">
        <f t="shared" si="33"/>
        <v>0</v>
      </c>
      <c r="EL49" s="12">
        <f t="shared" si="33"/>
        <v>0</v>
      </c>
      <c r="EM49" s="12">
        <f t="shared" si="33"/>
        <v>0</v>
      </c>
      <c r="EN49" s="12">
        <f t="shared" si="33"/>
        <v>0</v>
      </c>
      <c r="EO49" s="12">
        <f t="shared" si="33"/>
        <v>0</v>
      </c>
      <c r="EP49" s="12">
        <f t="shared" si="33"/>
        <v>0</v>
      </c>
      <c r="EQ49" s="12">
        <f t="shared" si="33"/>
        <v>0</v>
      </c>
      <c r="ER49" s="12">
        <f t="shared" si="33"/>
        <v>0</v>
      </c>
      <c r="ES49" s="12">
        <f t="shared" si="33"/>
        <v>0</v>
      </c>
      <c r="ET49" s="12">
        <f t="shared" si="33"/>
        <v>0</v>
      </c>
      <c r="EU49" s="12">
        <f t="shared" si="33"/>
        <v>0</v>
      </c>
      <c r="EV49" s="12">
        <f t="shared" si="33"/>
        <v>0</v>
      </c>
      <c r="EW49" s="12">
        <f t="shared" si="33"/>
        <v>0</v>
      </c>
      <c r="EX49" s="12">
        <f t="shared" si="33"/>
        <v>0</v>
      </c>
      <c r="EY49" s="12">
        <f t="shared" si="33"/>
        <v>0</v>
      </c>
      <c r="EZ49" s="12">
        <f t="shared" si="33"/>
        <v>0</v>
      </c>
      <c r="FA49" s="12">
        <f t="shared" si="33"/>
        <v>0</v>
      </c>
      <c r="FB49" s="12">
        <f t="shared" si="33"/>
        <v>0</v>
      </c>
      <c r="FC49" s="12">
        <f t="shared" si="33"/>
        <v>0</v>
      </c>
      <c r="FD49" s="12">
        <f t="shared" si="33"/>
        <v>0</v>
      </c>
      <c r="FE49" s="12">
        <f t="shared" si="33"/>
        <v>0</v>
      </c>
      <c r="FF49" s="12">
        <f t="shared" si="33"/>
        <v>0</v>
      </c>
      <c r="FG49" s="12">
        <f t="shared" si="33"/>
        <v>0</v>
      </c>
      <c r="FH49" s="12">
        <f t="shared" si="33"/>
        <v>0</v>
      </c>
      <c r="FI49" s="12">
        <f t="shared" si="33"/>
        <v>0</v>
      </c>
      <c r="FJ49" s="12">
        <f t="shared" si="33"/>
        <v>0</v>
      </c>
      <c r="FK49" s="12">
        <f t="shared" si="33"/>
        <v>0</v>
      </c>
      <c r="FL49" s="12">
        <f t="shared" si="33"/>
        <v>0</v>
      </c>
      <c r="FM49" s="12">
        <f t="shared" si="33"/>
        <v>0</v>
      </c>
      <c r="FN49" s="12">
        <f t="shared" ref="FN49:GJ49" si="34" xml:space="preserve"> FN44 + FN45 + FN46 - FN47 - FN48</f>
        <v>0</v>
      </c>
      <c r="FO49" s="12">
        <f t="shared" si="34"/>
        <v>0</v>
      </c>
      <c r="FP49" s="12">
        <f t="shared" si="34"/>
        <v>0</v>
      </c>
      <c r="FQ49" s="12">
        <f t="shared" si="34"/>
        <v>0</v>
      </c>
      <c r="FR49" s="12">
        <f t="shared" si="34"/>
        <v>0</v>
      </c>
      <c r="FS49" s="12">
        <f t="shared" si="34"/>
        <v>0</v>
      </c>
      <c r="FT49" s="12">
        <f t="shared" si="34"/>
        <v>0</v>
      </c>
      <c r="FU49" s="12">
        <f t="shared" si="34"/>
        <v>0</v>
      </c>
      <c r="FV49" s="12">
        <f t="shared" si="34"/>
        <v>0</v>
      </c>
      <c r="FW49" s="12">
        <f t="shared" si="34"/>
        <v>0</v>
      </c>
      <c r="FX49" s="12">
        <f t="shared" si="34"/>
        <v>0</v>
      </c>
      <c r="FY49" s="12">
        <f t="shared" si="34"/>
        <v>0</v>
      </c>
      <c r="FZ49" s="12">
        <f t="shared" si="34"/>
        <v>0</v>
      </c>
      <c r="GA49" s="12">
        <f t="shared" si="34"/>
        <v>0</v>
      </c>
      <c r="GB49" s="12">
        <f t="shared" si="34"/>
        <v>0</v>
      </c>
      <c r="GC49" s="12">
        <f t="shared" si="34"/>
        <v>0</v>
      </c>
      <c r="GD49" s="12">
        <f t="shared" si="34"/>
        <v>0</v>
      </c>
      <c r="GE49" s="12">
        <f t="shared" si="34"/>
        <v>0</v>
      </c>
      <c r="GF49" s="12">
        <f t="shared" si="34"/>
        <v>0</v>
      </c>
      <c r="GG49" s="12">
        <f t="shared" si="34"/>
        <v>0</v>
      </c>
      <c r="GH49" s="12">
        <f t="shared" si="34"/>
        <v>0</v>
      </c>
      <c r="GI49" s="12">
        <f t="shared" si="34"/>
        <v>0</v>
      </c>
      <c r="GJ49" s="12">
        <f t="shared" si="34"/>
        <v>0</v>
      </c>
    </row>
    <row r="51" spans="1:192" x14ac:dyDescent="0.2">
      <c r="A51" s="15" t="s">
        <v>1306</v>
      </c>
    </row>
    <row r="52" spans="1:192" outlineLevel="1" x14ac:dyDescent="0.2">
      <c r="E52" s="12" t="str">
        <f t="shared" ref="E52:AJ52" si="35" xml:space="preserve"> E$49</f>
        <v>Taxable profit / (tax losses arising)</v>
      </c>
      <c r="F52" s="12">
        <f t="shared" si="35"/>
        <v>0</v>
      </c>
      <c r="G52" s="12" t="str">
        <f t="shared" si="35"/>
        <v>$ 000s</v>
      </c>
      <c r="H52" s="12">
        <f t="shared" si="35"/>
        <v>-541050.35825121694</v>
      </c>
      <c r="I52" s="12">
        <f t="shared" si="35"/>
        <v>0</v>
      </c>
      <c r="J52" s="12">
        <f t="shared" si="35"/>
        <v>0</v>
      </c>
      <c r="K52" s="12">
        <f t="shared" si="35"/>
        <v>0</v>
      </c>
      <c r="L52" s="12">
        <f t="shared" si="35"/>
        <v>0</v>
      </c>
      <c r="M52" s="12">
        <f t="shared" si="35"/>
        <v>0</v>
      </c>
      <c r="N52" s="12">
        <f t="shared" si="35"/>
        <v>0</v>
      </c>
      <c r="O52" s="12">
        <f t="shared" si="35"/>
        <v>-38182.041310855093</v>
      </c>
      <c r="P52" s="12">
        <f t="shared" si="35"/>
        <v>-34499.381183270743</v>
      </c>
      <c r="Q52" s="12">
        <f t="shared" si="35"/>
        <v>-31747.09928200184</v>
      </c>
      <c r="R52" s="12">
        <f t="shared" si="35"/>
        <v>-28804.938554378645</v>
      </c>
      <c r="S52" s="12">
        <f t="shared" si="35"/>
        <v>-26598.439038454311</v>
      </c>
      <c r="T52" s="12">
        <f t="shared" si="35"/>
        <v>-24164.50608276913</v>
      </c>
      <c r="U52" s="12">
        <f t="shared" si="35"/>
        <v>-22402.089011567172</v>
      </c>
      <c r="V52" s="12">
        <f t="shared" si="35"/>
        <v>-20436.17660781198</v>
      </c>
      <c r="W52" s="12">
        <f t="shared" si="35"/>
        <v>-18980.091214873584</v>
      </c>
      <c r="X52" s="12">
        <f t="shared" si="35"/>
        <v>-17308.100923325735</v>
      </c>
      <c r="Y52" s="12">
        <f t="shared" si="35"/>
        <v>-16592.002970041452</v>
      </c>
      <c r="Z52" s="12">
        <f t="shared" si="35"/>
        <v>-15191.670168582375</v>
      </c>
      <c r="AA52" s="12">
        <f t="shared" si="35"/>
        <v>-14325.772644303153</v>
      </c>
      <c r="AB52" s="12">
        <f t="shared" si="35"/>
        <v>-13162.159307445028</v>
      </c>
      <c r="AC52" s="12">
        <f t="shared" si="35"/>
        <v>-12494.745083673664</v>
      </c>
      <c r="AD52" s="12">
        <f t="shared" si="35"/>
        <v>-11570.416383269305</v>
      </c>
      <c r="AE52" s="12">
        <f t="shared" si="35"/>
        <v>-11024.214201449295</v>
      </c>
      <c r="AF52" s="12">
        <f t="shared" si="35"/>
        <v>-10232.641286336295</v>
      </c>
      <c r="AG52" s="12">
        <f t="shared" si="35"/>
        <v>-9865.837381660378</v>
      </c>
      <c r="AH52" s="12">
        <f t="shared" si="35"/>
        <v>-9219.8778448585617</v>
      </c>
      <c r="AI52" s="12">
        <f t="shared" si="35"/>
        <v>-9267.604618279418</v>
      </c>
      <c r="AJ52" s="12">
        <f t="shared" si="35"/>
        <v>-8735.0223304323863</v>
      </c>
      <c r="AK52" s="12">
        <f t="shared" ref="AK52:BP52" si="36" xml:space="preserve"> AK$49</f>
        <v>-8578.9574750832599</v>
      </c>
      <c r="AL52" s="12">
        <f t="shared" si="36"/>
        <v>-8189.0798917126131</v>
      </c>
      <c r="AM52" s="12">
        <f t="shared" si="36"/>
        <v>-8093.0317549984138</v>
      </c>
      <c r="AN52" s="12">
        <f t="shared" si="36"/>
        <v>-7788.701842436205</v>
      </c>
      <c r="AO52" s="12">
        <f t="shared" si="36"/>
        <v>-7801.10133214913</v>
      </c>
      <c r="AP52" s="12">
        <f t="shared" si="36"/>
        <v>-7598.1487169087495</v>
      </c>
      <c r="AQ52" s="12">
        <f t="shared" si="36"/>
        <v>-7686.5581012874791</v>
      </c>
      <c r="AR52" s="12">
        <f t="shared" si="36"/>
        <v>-7584.8004715679517</v>
      </c>
      <c r="AS52" s="12">
        <f t="shared" si="36"/>
        <v>-7748.0143603626739</v>
      </c>
      <c r="AT52" s="12">
        <f t="shared" si="36"/>
        <v>-7787.0360018923384</v>
      </c>
      <c r="AU52" s="12">
        <f t="shared" si="36"/>
        <v>-8049.7504144240938</v>
      </c>
      <c r="AV52" s="12">
        <f t="shared" si="36"/>
        <v>-7607.0491591057107</v>
      </c>
      <c r="AW52" s="12">
        <f t="shared" si="36"/>
        <v>-7348.4015266333745</v>
      </c>
      <c r="AX52" s="12">
        <f t="shared" si="36"/>
        <v>-6825.0668864190675</v>
      </c>
      <c r="AY52" s="12">
        <f t="shared" si="36"/>
        <v>-6452.0379923306591</v>
      </c>
      <c r="AZ52" s="12">
        <f t="shared" si="36"/>
        <v>-5910.9592221821013</v>
      </c>
      <c r="BA52" s="12">
        <f t="shared" si="36"/>
        <v>-5518.5168744005605</v>
      </c>
      <c r="BB52" s="12">
        <f t="shared" si="36"/>
        <v>-9678.3187976829522</v>
      </c>
      <c r="BC52" s="12">
        <f t="shared" si="36"/>
        <v>0</v>
      </c>
      <c r="BD52" s="12">
        <f t="shared" si="36"/>
        <v>0</v>
      </c>
      <c r="BE52" s="12">
        <f t="shared" si="36"/>
        <v>0</v>
      </c>
      <c r="BF52" s="12">
        <f t="shared" si="36"/>
        <v>0</v>
      </c>
      <c r="BG52" s="12">
        <f t="shared" si="36"/>
        <v>0</v>
      </c>
      <c r="BH52" s="12">
        <f t="shared" si="36"/>
        <v>0</v>
      </c>
      <c r="BI52" s="12">
        <f t="shared" si="36"/>
        <v>0</v>
      </c>
      <c r="BJ52" s="12">
        <f t="shared" si="36"/>
        <v>0</v>
      </c>
      <c r="BK52" s="12">
        <f t="shared" si="36"/>
        <v>0</v>
      </c>
      <c r="BL52" s="12">
        <f t="shared" si="36"/>
        <v>0</v>
      </c>
      <c r="BM52" s="12">
        <f t="shared" si="36"/>
        <v>0</v>
      </c>
      <c r="BN52" s="12">
        <f t="shared" si="36"/>
        <v>0</v>
      </c>
      <c r="BO52" s="12">
        <f t="shared" si="36"/>
        <v>0</v>
      </c>
      <c r="BP52" s="12">
        <f t="shared" si="36"/>
        <v>0</v>
      </c>
      <c r="BQ52" s="12">
        <f t="shared" ref="BQ52:CV52" si="37" xml:space="preserve"> BQ$49</f>
        <v>0</v>
      </c>
      <c r="BR52" s="12">
        <f t="shared" si="37"/>
        <v>0</v>
      </c>
      <c r="BS52" s="12">
        <f t="shared" si="37"/>
        <v>0</v>
      </c>
      <c r="BT52" s="12">
        <f t="shared" si="37"/>
        <v>0</v>
      </c>
      <c r="BU52" s="12">
        <f t="shared" si="37"/>
        <v>0</v>
      </c>
      <c r="BV52" s="12">
        <f t="shared" si="37"/>
        <v>0</v>
      </c>
      <c r="BW52" s="12">
        <f t="shared" si="37"/>
        <v>0</v>
      </c>
      <c r="BX52" s="12">
        <f t="shared" si="37"/>
        <v>0</v>
      </c>
      <c r="BY52" s="12">
        <f t="shared" si="37"/>
        <v>0</v>
      </c>
      <c r="BZ52" s="12">
        <f t="shared" si="37"/>
        <v>0</v>
      </c>
      <c r="CA52" s="12">
        <f t="shared" si="37"/>
        <v>0</v>
      </c>
      <c r="CB52" s="12">
        <f t="shared" si="37"/>
        <v>0</v>
      </c>
      <c r="CC52" s="12">
        <f t="shared" si="37"/>
        <v>0</v>
      </c>
      <c r="CD52" s="12">
        <f t="shared" si="37"/>
        <v>0</v>
      </c>
      <c r="CE52" s="12">
        <f t="shared" si="37"/>
        <v>0</v>
      </c>
      <c r="CF52" s="12">
        <f t="shared" si="37"/>
        <v>0</v>
      </c>
      <c r="CG52" s="12">
        <f t="shared" si="37"/>
        <v>0</v>
      </c>
      <c r="CH52" s="12">
        <f t="shared" si="37"/>
        <v>0</v>
      </c>
      <c r="CI52" s="12">
        <f t="shared" si="37"/>
        <v>0</v>
      </c>
      <c r="CJ52" s="12">
        <f t="shared" si="37"/>
        <v>0</v>
      </c>
      <c r="CK52" s="12">
        <f t="shared" si="37"/>
        <v>0</v>
      </c>
      <c r="CL52" s="12">
        <f t="shared" si="37"/>
        <v>0</v>
      </c>
      <c r="CM52" s="12">
        <f t="shared" si="37"/>
        <v>0</v>
      </c>
      <c r="CN52" s="12">
        <f t="shared" si="37"/>
        <v>0</v>
      </c>
      <c r="CO52" s="12">
        <f t="shared" si="37"/>
        <v>0</v>
      </c>
      <c r="CP52" s="12">
        <f t="shared" si="37"/>
        <v>0</v>
      </c>
      <c r="CQ52" s="12">
        <f t="shared" si="37"/>
        <v>0</v>
      </c>
      <c r="CR52" s="12">
        <f t="shared" si="37"/>
        <v>0</v>
      </c>
      <c r="CS52" s="12">
        <f t="shared" si="37"/>
        <v>0</v>
      </c>
      <c r="CT52" s="12">
        <f t="shared" si="37"/>
        <v>0</v>
      </c>
      <c r="CU52" s="12">
        <f t="shared" si="37"/>
        <v>0</v>
      </c>
      <c r="CV52" s="12">
        <f t="shared" si="37"/>
        <v>0</v>
      </c>
      <c r="CW52" s="12">
        <f t="shared" ref="CW52:EB52" si="38" xml:space="preserve"> CW$49</f>
        <v>0</v>
      </c>
      <c r="CX52" s="12">
        <f t="shared" si="38"/>
        <v>0</v>
      </c>
      <c r="CY52" s="12">
        <f t="shared" si="38"/>
        <v>0</v>
      </c>
      <c r="CZ52" s="12">
        <f t="shared" si="38"/>
        <v>0</v>
      </c>
      <c r="DA52" s="12">
        <f t="shared" si="38"/>
        <v>0</v>
      </c>
      <c r="DB52" s="12">
        <f t="shared" si="38"/>
        <v>0</v>
      </c>
      <c r="DC52" s="12">
        <f t="shared" si="38"/>
        <v>0</v>
      </c>
      <c r="DD52" s="12">
        <f t="shared" si="38"/>
        <v>0</v>
      </c>
      <c r="DE52" s="12">
        <f t="shared" si="38"/>
        <v>0</v>
      </c>
      <c r="DF52" s="12">
        <f t="shared" si="38"/>
        <v>0</v>
      </c>
      <c r="DG52" s="12">
        <f t="shared" si="38"/>
        <v>0</v>
      </c>
      <c r="DH52" s="12">
        <f t="shared" si="38"/>
        <v>0</v>
      </c>
      <c r="DI52" s="12">
        <f t="shared" si="38"/>
        <v>0</v>
      </c>
      <c r="DJ52" s="12">
        <f t="shared" si="38"/>
        <v>0</v>
      </c>
      <c r="DK52" s="12">
        <f t="shared" si="38"/>
        <v>0</v>
      </c>
      <c r="DL52" s="12">
        <f t="shared" si="38"/>
        <v>0</v>
      </c>
      <c r="DM52" s="12">
        <f t="shared" si="38"/>
        <v>0</v>
      </c>
      <c r="DN52" s="12">
        <f t="shared" si="38"/>
        <v>0</v>
      </c>
      <c r="DO52" s="12">
        <f t="shared" si="38"/>
        <v>0</v>
      </c>
      <c r="DP52" s="12">
        <f t="shared" si="38"/>
        <v>0</v>
      </c>
      <c r="DQ52" s="12">
        <f t="shared" si="38"/>
        <v>0</v>
      </c>
      <c r="DR52" s="12">
        <f t="shared" si="38"/>
        <v>0</v>
      </c>
      <c r="DS52" s="12">
        <f t="shared" si="38"/>
        <v>0</v>
      </c>
      <c r="DT52" s="12">
        <f t="shared" si="38"/>
        <v>0</v>
      </c>
      <c r="DU52" s="12">
        <f t="shared" si="38"/>
        <v>0</v>
      </c>
      <c r="DV52" s="12">
        <f t="shared" si="38"/>
        <v>0</v>
      </c>
      <c r="DW52" s="12">
        <f t="shared" si="38"/>
        <v>0</v>
      </c>
      <c r="DX52" s="12">
        <f t="shared" si="38"/>
        <v>0</v>
      </c>
      <c r="DY52" s="12">
        <f t="shared" si="38"/>
        <v>0</v>
      </c>
      <c r="DZ52" s="12">
        <f t="shared" si="38"/>
        <v>0</v>
      </c>
      <c r="EA52" s="12">
        <f t="shared" si="38"/>
        <v>0</v>
      </c>
      <c r="EB52" s="12">
        <f t="shared" si="38"/>
        <v>0</v>
      </c>
      <c r="EC52" s="12">
        <f t="shared" ref="EC52:FH52" si="39" xml:space="preserve"> EC$49</f>
        <v>0</v>
      </c>
      <c r="ED52" s="12">
        <f t="shared" si="39"/>
        <v>0</v>
      </c>
      <c r="EE52" s="12">
        <f t="shared" si="39"/>
        <v>0</v>
      </c>
      <c r="EF52" s="12">
        <f t="shared" si="39"/>
        <v>0</v>
      </c>
      <c r="EG52" s="12">
        <f t="shared" si="39"/>
        <v>0</v>
      </c>
      <c r="EH52" s="12">
        <f t="shared" si="39"/>
        <v>0</v>
      </c>
      <c r="EI52" s="12">
        <f t="shared" si="39"/>
        <v>0</v>
      </c>
      <c r="EJ52" s="12">
        <f t="shared" si="39"/>
        <v>0</v>
      </c>
      <c r="EK52" s="12">
        <f t="shared" si="39"/>
        <v>0</v>
      </c>
      <c r="EL52" s="12">
        <f t="shared" si="39"/>
        <v>0</v>
      </c>
      <c r="EM52" s="12">
        <f t="shared" si="39"/>
        <v>0</v>
      </c>
      <c r="EN52" s="12">
        <f t="shared" si="39"/>
        <v>0</v>
      </c>
      <c r="EO52" s="12">
        <f t="shared" si="39"/>
        <v>0</v>
      </c>
      <c r="EP52" s="12">
        <f t="shared" si="39"/>
        <v>0</v>
      </c>
      <c r="EQ52" s="12">
        <f t="shared" si="39"/>
        <v>0</v>
      </c>
      <c r="ER52" s="12">
        <f t="shared" si="39"/>
        <v>0</v>
      </c>
      <c r="ES52" s="12">
        <f t="shared" si="39"/>
        <v>0</v>
      </c>
      <c r="ET52" s="12">
        <f t="shared" si="39"/>
        <v>0</v>
      </c>
      <c r="EU52" s="12">
        <f t="shared" si="39"/>
        <v>0</v>
      </c>
      <c r="EV52" s="12">
        <f t="shared" si="39"/>
        <v>0</v>
      </c>
      <c r="EW52" s="12">
        <f t="shared" si="39"/>
        <v>0</v>
      </c>
      <c r="EX52" s="12">
        <f t="shared" si="39"/>
        <v>0</v>
      </c>
      <c r="EY52" s="12">
        <f t="shared" si="39"/>
        <v>0</v>
      </c>
      <c r="EZ52" s="12">
        <f t="shared" si="39"/>
        <v>0</v>
      </c>
      <c r="FA52" s="12">
        <f t="shared" si="39"/>
        <v>0</v>
      </c>
      <c r="FB52" s="12">
        <f t="shared" si="39"/>
        <v>0</v>
      </c>
      <c r="FC52" s="12">
        <f t="shared" si="39"/>
        <v>0</v>
      </c>
      <c r="FD52" s="12">
        <f t="shared" si="39"/>
        <v>0</v>
      </c>
      <c r="FE52" s="12">
        <f t="shared" si="39"/>
        <v>0</v>
      </c>
      <c r="FF52" s="12">
        <f t="shared" si="39"/>
        <v>0</v>
      </c>
      <c r="FG52" s="12">
        <f t="shared" si="39"/>
        <v>0</v>
      </c>
      <c r="FH52" s="12">
        <f t="shared" si="39"/>
        <v>0</v>
      </c>
      <c r="FI52" s="12">
        <f t="shared" ref="FI52:GJ52" si="40" xml:space="preserve"> FI$49</f>
        <v>0</v>
      </c>
      <c r="FJ52" s="12">
        <f t="shared" si="40"/>
        <v>0</v>
      </c>
      <c r="FK52" s="12">
        <f t="shared" si="40"/>
        <v>0</v>
      </c>
      <c r="FL52" s="12">
        <f t="shared" si="40"/>
        <v>0</v>
      </c>
      <c r="FM52" s="12">
        <f t="shared" si="40"/>
        <v>0</v>
      </c>
      <c r="FN52" s="12">
        <f t="shared" si="40"/>
        <v>0</v>
      </c>
      <c r="FO52" s="12">
        <f t="shared" si="40"/>
        <v>0</v>
      </c>
      <c r="FP52" s="12">
        <f t="shared" si="40"/>
        <v>0</v>
      </c>
      <c r="FQ52" s="12">
        <f t="shared" si="40"/>
        <v>0</v>
      </c>
      <c r="FR52" s="12">
        <f t="shared" si="40"/>
        <v>0</v>
      </c>
      <c r="FS52" s="12">
        <f t="shared" si="40"/>
        <v>0</v>
      </c>
      <c r="FT52" s="12">
        <f t="shared" si="40"/>
        <v>0</v>
      </c>
      <c r="FU52" s="12">
        <f t="shared" si="40"/>
        <v>0</v>
      </c>
      <c r="FV52" s="12">
        <f t="shared" si="40"/>
        <v>0</v>
      </c>
      <c r="FW52" s="12">
        <f t="shared" si="40"/>
        <v>0</v>
      </c>
      <c r="FX52" s="12">
        <f t="shared" si="40"/>
        <v>0</v>
      </c>
      <c r="FY52" s="12">
        <f t="shared" si="40"/>
        <v>0</v>
      </c>
      <c r="FZ52" s="12">
        <f t="shared" si="40"/>
        <v>0</v>
      </c>
      <c r="GA52" s="12">
        <f t="shared" si="40"/>
        <v>0</v>
      </c>
      <c r="GB52" s="12">
        <f t="shared" si="40"/>
        <v>0</v>
      </c>
      <c r="GC52" s="12">
        <f t="shared" si="40"/>
        <v>0</v>
      </c>
      <c r="GD52" s="12">
        <f t="shared" si="40"/>
        <v>0</v>
      </c>
      <c r="GE52" s="12">
        <f t="shared" si="40"/>
        <v>0</v>
      </c>
      <c r="GF52" s="12">
        <f t="shared" si="40"/>
        <v>0</v>
      </c>
      <c r="GG52" s="12">
        <f t="shared" si="40"/>
        <v>0</v>
      </c>
      <c r="GH52" s="12">
        <f t="shared" si="40"/>
        <v>0</v>
      </c>
      <c r="GI52" s="12">
        <f t="shared" si="40"/>
        <v>0</v>
      </c>
      <c r="GJ52" s="12">
        <f t="shared" si="40"/>
        <v>0</v>
      </c>
    </row>
    <row r="53" spans="1:192" outlineLevel="1" x14ac:dyDescent="0.2">
      <c r="E53" s="12" t="s">
        <v>169</v>
      </c>
      <c r="G53" s="12" t="str">
        <f xml:space="preserve"> SMU</f>
        <v>$ 000s</v>
      </c>
      <c r="H53" s="12">
        <f xml:space="preserve"> SUM(J53:CV53)</f>
        <v>0</v>
      </c>
      <c r="J53" s="12">
        <f t="shared" ref="J53:AO53" si="41" xml:space="preserve"> MAX(J52, 0)</f>
        <v>0</v>
      </c>
      <c r="K53" s="12">
        <f t="shared" si="41"/>
        <v>0</v>
      </c>
      <c r="L53" s="12">
        <f t="shared" si="41"/>
        <v>0</v>
      </c>
      <c r="M53" s="12">
        <f t="shared" si="41"/>
        <v>0</v>
      </c>
      <c r="N53" s="12">
        <f t="shared" si="41"/>
        <v>0</v>
      </c>
      <c r="O53" s="12">
        <f t="shared" si="41"/>
        <v>0</v>
      </c>
      <c r="P53" s="12">
        <f t="shared" si="41"/>
        <v>0</v>
      </c>
      <c r="Q53" s="12">
        <f t="shared" si="41"/>
        <v>0</v>
      </c>
      <c r="R53" s="12">
        <f t="shared" si="41"/>
        <v>0</v>
      </c>
      <c r="S53" s="12">
        <f t="shared" si="41"/>
        <v>0</v>
      </c>
      <c r="T53" s="12">
        <f t="shared" si="41"/>
        <v>0</v>
      </c>
      <c r="U53" s="12">
        <f t="shared" si="41"/>
        <v>0</v>
      </c>
      <c r="V53" s="12">
        <f t="shared" si="41"/>
        <v>0</v>
      </c>
      <c r="W53" s="12">
        <f t="shared" si="41"/>
        <v>0</v>
      </c>
      <c r="X53" s="12">
        <f t="shared" si="41"/>
        <v>0</v>
      </c>
      <c r="Y53" s="12">
        <f t="shared" si="41"/>
        <v>0</v>
      </c>
      <c r="Z53" s="12">
        <f t="shared" si="41"/>
        <v>0</v>
      </c>
      <c r="AA53" s="12">
        <f t="shared" si="41"/>
        <v>0</v>
      </c>
      <c r="AB53" s="12">
        <f t="shared" si="41"/>
        <v>0</v>
      </c>
      <c r="AC53" s="12">
        <f t="shared" si="41"/>
        <v>0</v>
      </c>
      <c r="AD53" s="12">
        <f t="shared" si="41"/>
        <v>0</v>
      </c>
      <c r="AE53" s="12">
        <f t="shared" si="41"/>
        <v>0</v>
      </c>
      <c r="AF53" s="12">
        <f t="shared" si="41"/>
        <v>0</v>
      </c>
      <c r="AG53" s="12">
        <f t="shared" si="41"/>
        <v>0</v>
      </c>
      <c r="AH53" s="12">
        <f t="shared" si="41"/>
        <v>0</v>
      </c>
      <c r="AI53" s="12">
        <f t="shared" si="41"/>
        <v>0</v>
      </c>
      <c r="AJ53" s="12">
        <f t="shared" si="41"/>
        <v>0</v>
      </c>
      <c r="AK53" s="12">
        <f t="shared" si="41"/>
        <v>0</v>
      </c>
      <c r="AL53" s="12">
        <f t="shared" si="41"/>
        <v>0</v>
      </c>
      <c r="AM53" s="12">
        <f t="shared" si="41"/>
        <v>0</v>
      </c>
      <c r="AN53" s="12">
        <f t="shared" si="41"/>
        <v>0</v>
      </c>
      <c r="AO53" s="12">
        <f t="shared" si="41"/>
        <v>0</v>
      </c>
      <c r="AP53" s="12">
        <f t="shared" ref="AP53:BU53" si="42" xml:space="preserve"> MAX(AP52, 0)</f>
        <v>0</v>
      </c>
      <c r="AQ53" s="12">
        <f t="shared" si="42"/>
        <v>0</v>
      </c>
      <c r="AR53" s="12">
        <f t="shared" si="42"/>
        <v>0</v>
      </c>
      <c r="AS53" s="12">
        <f t="shared" si="42"/>
        <v>0</v>
      </c>
      <c r="AT53" s="12">
        <f t="shared" si="42"/>
        <v>0</v>
      </c>
      <c r="AU53" s="12">
        <f t="shared" si="42"/>
        <v>0</v>
      </c>
      <c r="AV53" s="12">
        <f t="shared" si="42"/>
        <v>0</v>
      </c>
      <c r="AW53" s="12">
        <f t="shared" si="42"/>
        <v>0</v>
      </c>
      <c r="AX53" s="12">
        <f t="shared" si="42"/>
        <v>0</v>
      </c>
      <c r="AY53" s="12">
        <f t="shared" si="42"/>
        <v>0</v>
      </c>
      <c r="AZ53" s="12">
        <f t="shared" si="42"/>
        <v>0</v>
      </c>
      <c r="BA53" s="12">
        <f t="shared" si="42"/>
        <v>0</v>
      </c>
      <c r="BB53" s="12">
        <f t="shared" si="42"/>
        <v>0</v>
      </c>
      <c r="BC53" s="12">
        <f t="shared" si="42"/>
        <v>0</v>
      </c>
      <c r="BD53" s="12">
        <f t="shared" si="42"/>
        <v>0</v>
      </c>
      <c r="BE53" s="12">
        <f t="shared" si="42"/>
        <v>0</v>
      </c>
      <c r="BF53" s="12">
        <f t="shared" si="42"/>
        <v>0</v>
      </c>
      <c r="BG53" s="12">
        <f t="shared" si="42"/>
        <v>0</v>
      </c>
      <c r="BH53" s="12">
        <f t="shared" si="42"/>
        <v>0</v>
      </c>
      <c r="BI53" s="12">
        <f t="shared" si="42"/>
        <v>0</v>
      </c>
      <c r="BJ53" s="12">
        <f t="shared" si="42"/>
        <v>0</v>
      </c>
      <c r="BK53" s="12">
        <f t="shared" si="42"/>
        <v>0</v>
      </c>
      <c r="BL53" s="12">
        <f t="shared" si="42"/>
        <v>0</v>
      </c>
      <c r="BM53" s="12">
        <f t="shared" si="42"/>
        <v>0</v>
      </c>
      <c r="BN53" s="12">
        <f t="shared" si="42"/>
        <v>0</v>
      </c>
      <c r="BO53" s="12">
        <f t="shared" si="42"/>
        <v>0</v>
      </c>
      <c r="BP53" s="12">
        <f t="shared" si="42"/>
        <v>0</v>
      </c>
      <c r="BQ53" s="12">
        <f t="shared" si="42"/>
        <v>0</v>
      </c>
      <c r="BR53" s="12">
        <f t="shared" si="42"/>
        <v>0</v>
      </c>
      <c r="BS53" s="12">
        <f t="shared" si="42"/>
        <v>0</v>
      </c>
      <c r="BT53" s="12">
        <f t="shared" si="42"/>
        <v>0</v>
      </c>
      <c r="BU53" s="12">
        <f t="shared" si="42"/>
        <v>0</v>
      </c>
      <c r="BV53" s="12">
        <f t="shared" ref="BV53:CV53" si="43" xml:space="preserve"> MAX(BV52, 0)</f>
        <v>0</v>
      </c>
      <c r="BW53" s="12">
        <f t="shared" si="43"/>
        <v>0</v>
      </c>
      <c r="BX53" s="12">
        <f t="shared" si="43"/>
        <v>0</v>
      </c>
      <c r="BY53" s="12">
        <f t="shared" si="43"/>
        <v>0</v>
      </c>
      <c r="BZ53" s="12">
        <f t="shared" si="43"/>
        <v>0</v>
      </c>
      <c r="CA53" s="12">
        <f t="shared" si="43"/>
        <v>0</v>
      </c>
      <c r="CB53" s="12">
        <f t="shared" si="43"/>
        <v>0</v>
      </c>
      <c r="CC53" s="12">
        <f t="shared" si="43"/>
        <v>0</v>
      </c>
      <c r="CD53" s="12">
        <f t="shared" si="43"/>
        <v>0</v>
      </c>
      <c r="CE53" s="12">
        <f t="shared" si="43"/>
        <v>0</v>
      </c>
      <c r="CF53" s="12">
        <f t="shared" si="43"/>
        <v>0</v>
      </c>
      <c r="CG53" s="12">
        <f t="shared" si="43"/>
        <v>0</v>
      </c>
      <c r="CH53" s="12">
        <f t="shared" si="43"/>
        <v>0</v>
      </c>
      <c r="CI53" s="12">
        <f t="shared" si="43"/>
        <v>0</v>
      </c>
      <c r="CJ53" s="12">
        <f t="shared" si="43"/>
        <v>0</v>
      </c>
      <c r="CK53" s="12">
        <f t="shared" si="43"/>
        <v>0</v>
      </c>
      <c r="CL53" s="12">
        <f t="shared" si="43"/>
        <v>0</v>
      </c>
      <c r="CM53" s="12">
        <f t="shared" si="43"/>
        <v>0</v>
      </c>
      <c r="CN53" s="12">
        <f t="shared" si="43"/>
        <v>0</v>
      </c>
      <c r="CO53" s="12">
        <f t="shared" si="43"/>
        <v>0</v>
      </c>
      <c r="CP53" s="12">
        <f t="shared" si="43"/>
        <v>0</v>
      </c>
      <c r="CQ53" s="12">
        <f t="shared" si="43"/>
        <v>0</v>
      </c>
      <c r="CR53" s="12">
        <f t="shared" si="43"/>
        <v>0</v>
      </c>
      <c r="CS53" s="12">
        <f t="shared" si="43"/>
        <v>0</v>
      </c>
      <c r="CT53" s="12">
        <f t="shared" si="43"/>
        <v>0</v>
      </c>
      <c r="CU53" s="12">
        <f t="shared" si="43"/>
        <v>0</v>
      </c>
      <c r="CV53" s="12">
        <f t="shared" si="43"/>
        <v>0</v>
      </c>
    </row>
    <row r="54" spans="1:192" outlineLevel="1" x14ac:dyDescent="0.2"/>
    <row r="55" spans="1:192" outlineLevel="1" x14ac:dyDescent="0.2">
      <c r="E55" s="12" t="str">
        <f t="shared" ref="E55:BP55" si="44" xml:space="preserve"> E$49</f>
        <v>Taxable profit / (tax losses arising)</v>
      </c>
      <c r="F55" s="12">
        <f t="shared" si="44"/>
        <v>0</v>
      </c>
      <c r="G55" s="12" t="str">
        <f t="shared" si="44"/>
        <v>$ 000s</v>
      </c>
      <c r="H55" s="12">
        <f t="shared" si="44"/>
        <v>-541050.35825121694</v>
      </c>
      <c r="I55" s="12">
        <f t="shared" si="44"/>
        <v>0</v>
      </c>
      <c r="J55" s="12">
        <f t="shared" si="44"/>
        <v>0</v>
      </c>
      <c r="K55" s="12">
        <f t="shared" si="44"/>
        <v>0</v>
      </c>
      <c r="L55" s="12">
        <f t="shared" si="44"/>
        <v>0</v>
      </c>
      <c r="M55" s="12">
        <f t="shared" si="44"/>
        <v>0</v>
      </c>
      <c r="N55" s="12">
        <f t="shared" si="44"/>
        <v>0</v>
      </c>
      <c r="O55" s="12">
        <f t="shared" si="44"/>
        <v>-38182.041310855093</v>
      </c>
      <c r="P55" s="12">
        <f t="shared" si="44"/>
        <v>-34499.381183270743</v>
      </c>
      <c r="Q55" s="12">
        <f t="shared" si="44"/>
        <v>-31747.09928200184</v>
      </c>
      <c r="R55" s="12">
        <f t="shared" si="44"/>
        <v>-28804.938554378645</v>
      </c>
      <c r="S55" s="12">
        <f t="shared" si="44"/>
        <v>-26598.439038454311</v>
      </c>
      <c r="T55" s="12">
        <f t="shared" si="44"/>
        <v>-24164.50608276913</v>
      </c>
      <c r="U55" s="12">
        <f t="shared" si="44"/>
        <v>-22402.089011567172</v>
      </c>
      <c r="V55" s="12">
        <f t="shared" si="44"/>
        <v>-20436.17660781198</v>
      </c>
      <c r="W55" s="12">
        <f t="shared" si="44"/>
        <v>-18980.091214873584</v>
      </c>
      <c r="X55" s="12">
        <f t="shared" si="44"/>
        <v>-17308.100923325735</v>
      </c>
      <c r="Y55" s="12">
        <f t="shared" si="44"/>
        <v>-16592.002970041452</v>
      </c>
      <c r="Z55" s="12">
        <f t="shared" si="44"/>
        <v>-15191.670168582375</v>
      </c>
      <c r="AA55" s="12">
        <f t="shared" si="44"/>
        <v>-14325.772644303153</v>
      </c>
      <c r="AB55" s="12">
        <f t="shared" si="44"/>
        <v>-13162.159307445028</v>
      </c>
      <c r="AC55" s="12">
        <f t="shared" si="44"/>
        <v>-12494.745083673664</v>
      </c>
      <c r="AD55" s="12">
        <f t="shared" si="44"/>
        <v>-11570.416383269305</v>
      </c>
      <c r="AE55" s="12">
        <f t="shared" si="44"/>
        <v>-11024.214201449295</v>
      </c>
      <c r="AF55" s="12">
        <f t="shared" si="44"/>
        <v>-10232.641286336295</v>
      </c>
      <c r="AG55" s="12">
        <f t="shared" si="44"/>
        <v>-9865.837381660378</v>
      </c>
      <c r="AH55" s="12">
        <f t="shared" si="44"/>
        <v>-9219.8778448585617</v>
      </c>
      <c r="AI55" s="12">
        <f t="shared" si="44"/>
        <v>-9267.604618279418</v>
      </c>
      <c r="AJ55" s="12">
        <f t="shared" si="44"/>
        <v>-8735.0223304323863</v>
      </c>
      <c r="AK55" s="12">
        <f t="shared" si="44"/>
        <v>-8578.9574750832599</v>
      </c>
      <c r="AL55" s="12">
        <f t="shared" si="44"/>
        <v>-8189.0798917126131</v>
      </c>
      <c r="AM55" s="12">
        <f t="shared" si="44"/>
        <v>-8093.0317549984138</v>
      </c>
      <c r="AN55" s="12">
        <f t="shared" si="44"/>
        <v>-7788.701842436205</v>
      </c>
      <c r="AO55" s="12">
        <f t="shared" si="44"/>
        <v>-7801.10133214913</v>
      </c>
      <c r="AP55" s="12">
        <f t="shared" si="44"/>
        <v>-7598.1487169087495</v>
      </c>
      <c r="AQ55" s="12">
        <f t="shared" si="44"/>
        <v>-7686.5581012874791</v>
      </c>
      <c r="AR55" s="12">
        <f t="shared" si="44"/>
        <v>-7584.8004715679517</v>
      </c>
      <c r="AS55" s="12">
        <f t="shared" si="44"/>
        <v>-7748.0143603626739</v>
      </c>
      <c r="AT55" s="12">
        <f t="shared" si="44"/>
        <v>-7787.0360018923384</v>
      </c>
      <c r="AU55" s="12">
        <f t="shared" si="44"/>
        <v>-8049.7504144240938</v>
      </c>
      <c r="AV55" s="12">
        <f t="shared" si="44"/>
        <v>-7607.0491591057107</v>
      </c>
      <c r="AW55" s="12">
        <f t="shared" si="44"/>
        <v>-7348.4015266333745</v>
      </c>
      <c r="AX55" s="12">
        <f t="shared" si="44"/>
        <v>-6825.0668864190675</v>
      </c>
      <c r="AY55" s="12">
        <f t="shared" si="44"/>
        <v>-6452.0379923306591</v>
      </c>
      <c r="AZ55" s="12">
        <f t="shared" si="44"/>
        <v>-5910.9592221821013</v>
      </c>
      <c r="BA55" s="12">
        <f t="shared" si="44"/>
        <v>-5518.5168744005605</v>
      </c>
      <c r="BB55" s="12">
        <f t="shared" si="44"/>
        <v>-9678.3187976829522</v>
      </c>
      <c r="BC55" s="12">
        <f t="shared" si="44"/>
        <v>0</v>
      </c>
      <c r="BD55" s="12">
        <f t="shared" si="44"/>
        <v>0</v>
      </c>
      <c r="BE55" s="12">
        <f t="shared" si="44"/>
        <v>0</v>
      </c>
      <c r="BF55" s="12">
        <f t="shared" si="44"/>
        <v>0</v>
      </c>
      <c r="BG55" s="12">
        <f t="shared" si="44"/>
        <v>0</v>
      </c>
      <c r="BH55" s="12">
        <f t="shared" si="44"/>
        <v>0</v>
      </c>
      <c r="BI55" s="12">
        <f t="shared" si="44"/>
        <v>0</v>
      </c>
      <c r="BJ55" s="12">
        <f t="shared" si="44"/>
        <v>0</v>
      </c>
      <c r="BK55" s="12">
        <f t="shared" si="44"/>
        <v>0</v>
      </c>
      <c r="BL55" s="12">
        <f t="shared" si="44"/>
        <v>0</v>
      </c>
      <c r="BM55" s="12">
        <f t="shared" si="44"/>
        <v>0</v>
      </c>
      <c r="BN55" s="12">
        <f t="shared" si="44"/>
        <v>0</v>
      </c>
      <c r="BO55" s="12">
        <f t="shared" si="44"/>
        <v>0</v>
      </c>
      <c r="BP55" s="12">
        <f t="shared" si="44"/>
        <v>0</v>
      </c>
      <c r="BQ55" s="12">
        <f t="shared" ref="BQ55:EB55" si="45" xml:space="preserve"> BQ$49</f>
        <v>0</v>
      </c>
      <c r="BR55" s="12">
        <f t="shared" si="45"/>
        <v>0</v>
      </c>
      <c r="BS55" s="12">
        <f t="shared" si="45"/>
        <v>0</v>
      </c>
      <c r="BT55" s="12">
        <f t="shared" si="45"/>
        <v>0</v>
      </c>
      <c r="BU55" s="12">
        <f t="shared" si="45"/>
        <v>0</v>
      </c>
      <c r="BV55" s="12">
        <f t="shared" si="45"/>
        <v>0</v>
      </c>
      <c r="BW55" s="12">
        <f t="shared" si="45"/>
        <v>0</v>
      </c>
      <c r="BX55" s="12">
        <f t="shared" si="45"/>
        <v>0</v>
      </c>
      <c r="BY55" s="12">
        <f t="shared" si="45"/>
        <v>0</v>
      </c>
      <c r="BZ55" s="12">
        <f t="shared" si="45"/>
        <v>0</v>
      </c>
      <c r="CA55" s="12">
        <f t="shared" si="45"/>
        <v>0</v>
      </c>
      <c r="CB55" s="12">
        <f t="shared" si="45"/>
        <v>0</v>
      </c>
      <c r="CC55" s="12">
        <f t="shared" si="45"/>
        <v>0</v>
      </c>
      <c r="CD55" s="12">
        <f t="shared" si="45"/>
        <v>0</v>
      </c>
      <c r="CE55" s="12">
        <f t="shared" si="45"/>
        <v>0</v>
      </c>
      <c r="CF55" s="12">
        <f t="shared" si="45"/>
        <v>0</v>
      </c>
      <c r="CG55" s="12">
        <f t="shared" si="45"/>
        <v>0</v>
      </c>
      <c r="CH55" s="12">
        <f t="shared" si="45"/>
        <v>0</v>
      </c>
      <c r="CI55" s="12">
        <f t="shared" si="45"/>
        <v>0</v>
      </c>
      <c r="CJ55" s="12">
        <f t="shared" si="45"/>
        <v>0</v>
      </c>
      <c r="CK55" s="12">
        <f t="shared" si="45"/>
        <v>0</v>
      </c>
      <c r="CL55" s="12">
        <f t="shared" si="45"/>
        <v>0</v>
      </c>
      <c r="CM55" s="12">
        <f t="shared" si="45"/>
        <v>0</v>
      </c>
      <c r="CN55" s="12">
        <f t="shared" si="45"/>
        <v>0</v>
      </c>
      <c r="CO55" s="12">
        <f t="shared" si="45"/>
        <v>0</v>
      </c>
      <c r="CP55" s="12">
        <f t="shared" si="45"/>
        <v>0</v>
      </c>
      <c r="CQ55" s="12">
        <f t="shared" si="45"/>
        <v>0</v>
      </c>
      <c r="CR55" s="12">
        <f t="shared" si="45"/>
        <v>0</v>
      </c>
      <c r="CS55" s="12">
        <f t="shared" si="45"/>
        <v>0</v>
      </c>
      <c r="CT55" s="12">
        <f t="shared" si="45"/>
        <v>0</v>
      </c>
      <c r="CU55" s="12">
        <f t="shared" si="45"/>
        <v>0</v>
      </c>
      <c r="CV55" s="12">
        <f t="shared" si="45"/>
        <v>0</v>
      </c>
      <c r="CW55" s="12">
        <f t="shared" si="45"/>
        <v>0</v>
      </c>
      <c r="CX55" s="12">
        <f t="shared" si="45"/>
        <v>0</v>
      </c>
      <c r="CY55" s="12">
        <f t="shared" si="45"/>
        <v>0</v>
      </c>
      <c r="CZ55" s="12">
        <f t="shared" si="45"/>
        <v>0</v>
      </c>
      <c r="DA55" s="12">
        <f t="shared" si="45"/>
        <v>0</v>
      </c>
      <c r="DB55" s="12">
        <f t="shared" si="45"/>
        <v>0</v>
      </c>
      <c r="DC55" s="12">
        <f t="shared" si="45"/>
        <v>0</v>
      </c>
      <c r="DD55" s="12">
        <f t="shared" si="45"/>
        <v>0</v>
      </c>
      <c r="DE55" s="12">
        <f t="shared" si="45"/>
        <v>0</v>
      </c>
      <c r="DF55" s="12">
        <f t="shared" si="45"/>
        <v>0</v>
      </c>
      <c r="DG55" s="12">
        <f t="shared" si="45"/>
        <v>0</v>
      </c>
      <c r="DH55" s="12">
        <f t="shared" si="45"/>
        <v>0</v>
      </c>
      <c r="DI55" s="12">
        <f t="shared" si="45"/>
        <v>0</v>
      </c>
      <c r="DJ55" s="12">
        <f t="shared" si="45"/>
        <v>0</v>
      </c>
      <c r="DK55" s="12">
        <f t="shared" si="45"/>
        <v>0</v>
      </c>
      <c r="DL55" s="12">
        <f t="shared" si="45"/>
        <v>0</v>
      </c>
      <c r="DM55" s="12">
        <f t="shared" si="45"/>
        <v>0</v>
      </c>
      <c r="DN55" s="12">
        <f t="shared" si="45"/>
        <v>0</v>
      </c>
      <c r="DO55" s="12">
        <f t="shared" si="45"/>
        <v>0</v>
      </c>
      <c r="DP55" s="12">
        <f t="shared" si="45"/>
        <v>0</v>
      </c>
      <c r="DQ55" s="12">
        <f t="shared" si="45"/>
        <v>0</v>
      </c>
      <c r="DR55" s="12">
        <f t="shared" si="45"/>
        <v>0</v>
      </c>
      <c r="DS55" s="12">
        <f t="shared" si="45"/>
        <v>0</v>
      </c>
      <c r="DT55" s="12">
        <f t="shared" si="45"/>
        <v>0</v>
      </c>
      <c r="DU55" s="12">
        <f t="shared" si="45"/>
        <v>0</v>
      </c>
      <c r="DV55" s="12">
        <f t="shared" si="45"/>
        <v>0</v>
      </c>
      <c r="DW55" s="12">
        <f t="shared" si="45"/>
        <v>0</v>
      </c>
      <c r="DX55" s="12">
        <f t="shared" si="45"/>
        <v>0</v>
      </c>
      <c r="DY55" s="12">
        <f t="shared" si="45"/>
        <v>0</v>
      </c>
      <c r="DZ55" s="12">
        <f t="shared" si="45"/>
        <v>0</v>
      </c>
      <c r="EA55" s="12">
        <f t="shared" si="45"/>
        <v>0</v>
      </c>
      <c r="EB55" s="12">
        <f t="shared" si="45"/>
        <v>0</v>
      </c>
      <c r="EC55" s="12">
        <f t="shared" ref="EC55:GJ55" si="46" xml:space="preserve"> EC$49</f>
        <v>0</v>
      </c>
      <c r="ED55" s="12">
        <f t="shared" si="46"/>
        <v>0</v>
      </c>
      <c r="EE55" s="12">
        <f t="shared" si="46"/>
        <v>0</v>
      </c>
      <c r="EF55" s="12">
        <f t="shared" si="46"/>
        <v>0</v>
      </c>
      <c r="EG55" s="12">
        <f t="shared" si="46"/>
        <v>0</v>
      </c>
      <c r="EH55" s="12">
        <f t="shared" si="46"/>
        <v>0</v>
      </c>
      <c r="EI55" s="12">
        <f t="shared" si="46"/>
        <v>0</v>
      </c>
      <c r="EJ55" s="12">
        <f t="shared" si="46"/>
        <v>0</v>
      </c>
      <c r="EK55" s="12">
        <f t="shared" si="46"/>
        <v>0</v>
      </c>
      <c r="EL55" s="12">
        <f t="shared" si="46"/>
        <v>0</v>
      </c>
      <c r="EM55" s="12">
        <f t="shared" si="46"/>
        <v>0</v>
      </c>
      <c r="EN55" s="12">
        <f t="shared" si="46"/>
        <v>0</v>
      </c>
      <c r="EO55" s="12">
        <f t="shared" si="46"/>
        <v>0</v>
      </c>
      <c r="EP55" s="12">
        <f t="shared" si="46"/>
        <v>0</v>
      </c>
      <c r="EQ55" s="12">
        <f t="shared" si="46"/>
        <v>0</v>
      </c>
      <c r="ER55" s="12">
        <f t="shared" si="46"/>
        <v>0</v>
      </c>
      <c r="ES55" s="12">
        <f t="shared" si="46"/>
        <v>0</v>
      </c>
      <c r="ET55" s="12">
        <f t="shared" si="46"/>
        <v>0</v>
      </c>
      <c r="EU55" s="12">
        <f t="shared" si="46"/>
        <v>0</v>
      </c>
      <c r="EV55" s="12">
        <f t="shared" si="46"/>
        <v>0</v>
      </c>
      <c r="EW55" s="12">
        <f t="shared" si="46"/>
        <v>0</v>
      </c>
      <c r="EX55" s="12">
        <f t="shared" si="46"/>
        <v>0</v>
      </c>
      <c r="EY55" s="12">
        <f t="shared" si="46"/>
        <v>0</v>
      </c>
      <c r="EZ55" s="12">
        <f t="shared" si="46"/>
        <v>0</v>
      </c>
      <c r="FA55" s="12">
        <f t="shared" si="46"/>
        <v>0</v>
      </c>
      <c r="FB55" s="12">
        <f t="shared" si="46"/>
        <v>0</v>
      </c>
      <c r="FC55" s="12">
        <f t="shared" si="46"/>
        <v>0</v>
      </c>
      <c r="FD55" s="12">
        <f t="shared" si="46"/>
        <v>0</v>
      </c>
      <c r="FE55" s="12">
        <f t="shared" si="46"/>
        <v>0</v>
      </c>
      <c r="FF55" s="12">
        <f t="shared" si="46"/>
        <v>0</v>
      </c>
      <c r="FG55" s="12">
        <f t="shared" si="46"/>
        <v>0</v>
      </c>
      <c r="FH55" s="12">
        <f t="shared" si="46"/>
        <v>0</v>
      </c>
      <c r="FI55" s="12">
        <f t="shared" si="46"/>
        <v>0</v>
      </c>
      <c r="FJ55" s="12">
        <f t="shared" si="46"/>
        <v>0</v>
      </c>
      <c r="FK55" s="12">
        <f t="shared" si="46"/>
        <v>0</v>
      </c>
      <c r="FL55" s="12">
        <f t="shared" si="46"/>
        <v>0</v>
      </c>
      <c r="FM55" s="12">
        <f t="shared" si="46"/>
        <v>0</v>
      </c>
      <c r="FN55" s="12">
        <f t="shared" si="46"/>
        <v>0</v>
      </c>
      <c r="FO55" s="12">
        <f t="shared" si="46"/>
        <v>0</v>
      </c>
      <c r="FP55" s="12">
        <f t="shared" si="46"/>
        <v>0</v>
      </c>
      <c r="FQ55" s="12">
        <f t="shared" si="46"/>
        <v>0</v>
      </c>
      <c r="FR55" s="12">
        <f t="shared" si="46"/>
        <v>0</v>
      </c>
      <c r="FS55" s="12">
        <f t="shared" si="46"/>
        <v>0</v>
      </c>
      <c r="FT55" s="12">
        <f t="shared" si="46"/>
        <v>0</v>
      </c>
      <c r="FU55" s="12">
        <f t="shared" si="46"/>
        <v>0</v>
      </c>
      <c r="FV55" s="12">
        <f t="shared" si="46"/>
        <v>0</v>
      </c>
      <c r="FW55" s="12">
        <f t="shared" si="46"/>
        <v>0</v>
      </c>
      <c r="FX55" s="12">
        <f t="shared" si="46"/>
        <v>0</v>
      </c>
      <c r="FY55" s="12">
        <f t="shared" si="46"/>
        <v>0</v>
      </c>
      <c r="FZ55" s="12">
        <f t="shared" si="46"/>
        <v>0</v>
      </c>
      <c r="GA55" s="12">
        <f t="shared" si="46"/>
        <v>0</v>
      </c>
      <c r="GB55" s="12">
        <f t="shared" si="46"/>
        <v>0</v>
      </c>
      <c r="GC55" s="12">
        <f t="shared" si="46"/>
        <v>0</v>
      </c>
      <c r="GD55" s="12">
        <f t="shared" si="46"/>
        <v>0</v>
      </c>
      <c r="GE55" s="12">
        <f t="shared" si="46"/>
        <v>0</v>
      </c>
      <c r="GF55" s="12">
        <f t="shared" si="46"/>
        <v>0</v>
      </c>
      <c r="GG55" s="12">
        <f t="shared" si="46"/>
        <v>0</v>
      </c>
      <c r="GH55" s="12">
        <f t="shared" si="46"/>
        <v>0</v>
      </c>
      <c r="GI55" s="12">
        <f t="shared" si="46"/>
        <v>0</v>
      </c>
      <c r="GJ55" s="12">
        <f t="shared" si="46"/>
        <v>0</v>
      </c>
    </row>
    <row r="56" spans="1:192" outlineLevel="1" x14ac:dyDescent="0.2">
      <c r="E56" s="12" t="s">
        <v>178</v>
      </c>
      <c r="G56" s="12" t="str">
        <f xml:space="preserve"> SMU</f>
        <v>$ 000s</v>
      </c>
      <c r="H56" s="12">
        <f xml:space="preserve"> SUM(J56:CV56)</f>
        <v>541050.35825121694</v>
      </c>
      <c r="J56" s="12">
        <f t="shared" ref="J56:AO56" si="47">- 1 * MIN(J55, 0)</f>
        <v>0</v>
      </c>
      <c r="K56" s="12">
        <f t="shared" si="47"/>
        <v>0</v>
      </c>
      <c r="L56" s="12">
        <f t="shared" si="47"/>
        <v>0</v>
      </c>
      <c r="M56" s="12">
        <f t="shared" si="47"/>
        <v>0</v>
      </c>
      <c r="N56" s="12">
        <f t="shared" si="47"/>
        <v>0</v>
      </c>
      <c r="O56" s="12">
        <f t="shared" si="47"/>
        <v>38182.041310855093</v>
      </c>
      <c r="P56" s="12">
        <f t="shared" si="47"/>
        <v>34499.381183270743</v>
      </c>
      <c r="Q56" s="12">
        <f t="shared" si="47"/>
        <v>31747.09928200184</v>
      </c>
      <c r="R56" s="12">
        <f t="shared" si="47"/>
        <v>28804.938554378645</v>
      </c>
      <c r="S56" s="12">
        <f t="shared" si="47"/>
        <v>26598.439038454311</v>
      </c>
      <c r="T56" s="12">
        <f t="shared" si="47"/>
        <v>24164.50608276913</v>
      </c>
      <c r="U56" s="12">
        <f t="shared" si="47"/>
        <v>22402.089011567172</v>
      </c>
      <c r="V56" s="12">
        <f t="shared" si="47"/>
        <v>20436.17660781198</v>
      </c>
      <c r="W56" s="12">
        <f t="shared" si="47"/>
        <v>18980.091214873584</v>
      </c>
      <c r="X56" s="12">
        <f t="shared" si="47"/>
        <v>17308.100923325735</v>
      </c>
      <c r="Y56" s="12">
        <f t="shared" si="47"/>
        <v>16592.002970041452</v>
      </c>
      <c r="Z56" s="12">
        <f t="shared" si="47"/>
        <v>15191.670168582375</v>
      </c>
      <c r="AA56" s="12">
        <f t="shared" si="47"/>
        <v>14325.772644303153</v>
      </c>
      <c r="AB56" s="12">
        <f t="shared" si="47"/>
        <v>13162.159307445028</v>
      </c>
      <c r="AC56" s="12">
        <f t="shared" si="47"/>
        <v>12494.745083673664</v>
      </c>
      <c r="AD56" s="12">
        <f t="shared" si="47"/>
        <v>11570.416383269305</v>
      </c>
      <c r="AE56" s="12">
        <f t="shared" si="47"/>
        <v>11024.214201449295</v>
      </c>
      <c r="AF56" s="12">
        <f t="shared" si="47"/>
        <v>10232.641286336295</v>
      </c>
      <c r="AG56" s="12">
        <f t="shared" si="47"/>
        <v>9865.837381660378</v>
      </c>
      <c r="AH56" s="12">
        <f t="shared" si="47"/>
        <v>9219.8778448585617</v>
      </c>
      <c r="AI56" s="12">
        <f t="shared" si="47"/>
        <v>9267.604618279418</v>
      </c>
      <c r="AJ56" s="12">
        <f t="shared" si="47"/>
        <v>8735.0223304323863</v>
      </c>
      <c r="AK56" s="12">
        <f t="shared" si="47"/>
        <v>8578.9574750832599</v>
      </c>
      <c r="AL56" s="12">
        <f t="shared" si="47"/>
        <v>8189.0798917126131</v>
      </c>
      <c r="AM56" s="12">
        <f t="shared" si="47"/>
        <v>8093.0317549984138</v>
      </c>
      <c r="AN56" s="12">
        <f t="shared" si="47"/>
        <v>7788.701842436205</v>
      </c>
      <c r="AO56" s="12">
        <f t="shared" si="47"/>
        <v>7801.10133214913</v>
      </c>
      <c r="AP56" s="12">
        <f t="shared" ref="AP56:BU56" si="48">- 1 * MIN(AP55, 0)</f>
        <v>7598.1487169087495</v>
      </c>
      <c r="AQ56" s="12">
        <f t="shared" si="48"/>
        <v>7686.5581012874791</v>
      </c>
      <c r="AR56" s="12">
        <f t="shared" si="48"/>
        <v>7584.8004715679517</v>
      </c>
      <c r="AS56" s="12">
        <f t="shared" si="48"/>
        <v>7748.0143603626739</v>
      </c>
      <c r="AT56" s="12">
        <f t="shared" si="48"/>
        <v>7787.0360018923384</v>
      </c>
      <c r="AU56" s="12">
        <f t="shared" si="48"/>
        <v>8049.7504144240938</v>
      </c>
      <c r="AV56" s="12">
        <f t="shared" si="48"/>
        <v>7607.0491591057107</v>
      </c>
      <c r="AW56" s="12">
        <f t="shared" si="48"/>
        <v>7348.4015266333745</v>
      </c>
      <c r="AX56" s="12">
        <f t="shared" si="48"/>
        <v>6825.0668864190675</v>
      </c>
      <c r="AY56" s="12">
        <f t="shared" si="48"/>
        <v>6452.0379923306591</v>
      </c>
      <c r="AZ56" s="12">
        <f t="shared" si="48"/>
        <v>5910.9592221821013</v>
      </c>
      <c r="BA56" s="12">
        <f t="shared" si="48"/>
        <v>5518.5168744005605</v>
      </c>
      <c r="BB56" s="12">
        <f t="shared" si="48"/>
        <v>9678.3187976829522</v>
      </c>
      <c r="BC56" s="12">
        <f t="shared" si="48"/>
        <v>0</v>
      </c>
      <c r="BD56" s="12">
        <f t="shared" si="48"/>
        <v>0</v>
      </c>
      <c r="BE56" s="12">
        <f t="shared" si="48"/>
        <v>0</v>
      </c>
      <c r="BF56" s="12">
        <f t="shared" si="48"/>
        <v>0</v>
      </c>
      <c r="BG56" s="12">
        <f t="shared" si="48"/>
        <v>0</v>
      </c>
      <c r="BH56" s="12">
        <f t="shared" si="48"/>
        <v>0</v>
      </c>
      <c r="BI56" s="12">
        <f t="shared" si="48"/>
        <v>0</v>
      </c>
      <c r="BJ56" s="12">
        <f t="shared" si="48"/>
        <v>0</v>
      </c>
      <c r="BK56" s="12">
        <f t="shared" si="48"/>
        <v>0</v>
      </c>
      <c r="BL56" s="12">
        <f t="shared" si="48"/>
        <v>0</v>
      </c>
      <c r="BM56" s="12">
        <f t="shared" si="48"/>
        <v>0</v>
      </c>
      <c r="BN56" s="12">
        <f t="shared" si="48"/>
        <v>0</v>
      </c>
      <c r="BO56" s="12">
        <f t="shared" si="48"/>
        <v>0</v>
      </c>
      <c r="BP56" s="12">
        <f t="shared" si="48"/>
        <v>0</v>
      </c>
      <c r="BQ56" s="12">
        <f t="shared" si="48"/>
        <v>0</v>
      </c>
      <c r="BR56" s="12">
        <f t="shared" si="48"/>
        <v>0</v>
      </c>
      <c r="BS56" s="12">
        <f t="shared" si="48"/>
        <v>0</v>
      </c>
      <c r="BT56" s="12">
        <f t="shared" si="48"/>
        <v>0</v>
      </c>
      <c r="BU56" s="12">
        <f t="shared" si="48"/>
        <v>0</v>
      </c>
      <c r="BV56" s="12">
        <f t="shared" ref="BV56:CV56" si="49">- 1 * MIN(BV55, 0)</f>
        <v>0</v>
      </c>
      <c r="BW56" s="12">
        <f t="shared" si="49"/>
        <v>0</v>
      </c>
      <c r="BX56" s="12">
        <f t="shared" si="49"/>
        <v>0</v>
      </c>
      <c r="BY56" s="12">
        <f t="shared" si="49"/>
        <v>0</v>
      </c>
      <c r="BZ56" s="12">
        <f t="shared" si="49"/>
        <v>0</v>
      </c>
      <c r="CA56" s="12">
        <f t="shared" si="49"/>
        <v>0</v>
      </c>
      <c r="CB56" s="12">
        <f t="shared" si="49"/>
        <v>0</v>
      </c>
      <c r="CC56" s="12">
        <f t="shared" si="49"/>
        <v>0</v>
      </c>
      <c r="CD56" s="12">
        <f t="shared" si="49"/>
        <v>0</v>
      </c>
      <c r="CE56" s="12">
        <f t="shared" si="49"/>
        <v>0</v>
      </c>
      <c r="CF56" s="12">
        <f t="shared" si="49"/>
        <v>0</v>
      </c>
      <c r="CG56" s="12">
        <f t="shared" si="49"/>
        <v>0</v>
      </c>
      <c r="CH56" s="12">
        <f t="shared" si="49"/>
        <v>0</v>
      </c>
      <c r="CI56" s="12">
        <f t="shared" si="49"/>
        <v>0</v>
      </c>
      <c r="CJ56" s="12">
        <f t="shared" si="49"/>
        <v>0</v>
      </c>
      <c r="CK56" s="12">
        <f t="shared" si="49"/>
        <v>0</v>
      </c>
      <c r="CL56" s="12">
        <f t="shared" si="49"/>
        <v>0</v>
      </c>
      <c r="CM56" s="12">
        <f t="shared" si="49"/>
        <v>0</v>
      </c>
      <c r="CN56" s="12">
        <f t="shared" si="49"/>
        <v>0</v>
      </c>
      <c r="CO56" s="12">
        <f t="shared" si="49"/>
        <v>0</v>
      </c>
      <c r="CP56" s="12">
        <f t="shared" si="49"/>
        <v>0</v>
      </c>
      <c r="CQ56" s="12">
        <f t="shared" si="49"/>
        <v>0</v>
      </c>
      <c r="CR56" s="12">
        <f t="shared" si="49"/>
        <v>0</v>
      </c>
      <c r="CS56" s="12">
        <f t="shared" si="49"/>
        <v>0</v>
      </c>
      <c r="CT56" s="12">
        <f t="shared" si="49"/>
        <v>0</v>
      </c>
      <c r="CU56" s="12">
        <f t="shared" si="49"/>
        <v>0</v>
      </c>
      <c r="CV56" s="12">
        <f t="shared" si="49"/>
        <v>0</v>
      </c>
    </row>
    <row r="57" spans="1:192" outlineLevel="1" x14ac:dyDescent="0.2"/>
    <row r="58" spans="1:192" outlineLevel="1" x14ac:dyDescent="0.2">
      <c r="E58" s="12" t="str">
        <f t="shared" ref="E58:AJ58" si="50" xml:space="preserve"> E$53</f>
        <v>Taxable income</v>
      </c>
      <c r="F58" s="12">
        <f t="shared" si="50"/>
        <v>0</v>
      </c>
      <c r="G58" s="12" t="str">
        <f t="shared" si="50"/>
        <v>$ 000s</v>
      </c>
      <c r="H58" s="12">
        <f t="shared" si="50"/>
        <v>0</v>
      </c>
      <c r="I58" s="12">
        <f t="shared" si="50"/>
        <v>0</v>
      </c>
      <c r="J58" s="12">
        <f t="shared" si="50"/>
        <v>0</v>
      </c>
      <c r="K58" s="12">
        <f t="shared" si="50"/>
        <v>0</v>
      </c>
      <c r="L58" s="12">
        <f t="shared" si="50"/>
        <v>0</v>
      </c>
      <c r="M58" s="12">
        <f t="shared" si="50"/>
        <v>0</v>
      </c>
      <c r="N58" s="12">
        <f t="shared" si="50"/>
        <v>0</v>
      </c>
      <c r="O58" s="12">
        <f t="shared" si="50"/>
        <v>0</v>
      </c>
      <c r="P58" s="12">
        <f t="shared" si="50"/>
        <v>0</v>
      </c>
      <c r="Q58" s="12">
        <f t="shared" si="50"/>
        <v>0</v>
      </c>
      <c r="R58" s="12">
        <f t="shared" si="50"/>
        <v>0</v>
      </c>
      <c r="S58" s="12">
        <f t="shared" si="50"/>
        <v>0</v>
      </c>
      <c r="T58" s="12">
        <f t="shared" si="50"/>
        <v>0</v>
      </c>
      <c r="U58" s="12">
        <f t="shared" si="50"/>
        <v>0</v>
      </c>
      <c r="V58" s="12">
        <f t="shared" si="50"/>
        <v>0</v>
      </c>
      <c r="W58" s="12">
        <f t="shared" si="50"/>
        <v>0</v>
      </c>
      <c r="X58" s="12">
        <f t="shared" si="50"/>
        <v>0</v>
      </c>
      <c r="Y58" s="12">
        <f t="shared" si="50"/>
        <v>0</v>
      </c>
      <c r="Z58" s="12">
        <f t="shared" si="50"/>
        <v>0</v>
      </c>
      <c r="AA58" s="12">
        <f t="shared" si="50"/>
        <v>0</v>
      </c>
      <c r="AB58" s="12">
        <f t="shared" si="50"/>
        <v>0</v>
      </c>
      <c r="AC58" s="12">
        <f t="shared" si="50"/>
        <v>0</v>
      </c>
      <c r="AD58" s="12">
        <f t="shared" si="50"/>
        <v>0</v>
      </c>
      <c r="AE58" s="12">
        <f t="shared" si="50"/>
        <v>0</v>
      </c>
      <c r="AF58" s="12">
        <f t="shared" si="50"/>
        <v>0</v>
      </c>
      <c r="AG58" s="12">
        <f t="shared" si="50"/>
        <v>0</v>
      </c>
      <c r="AH58" s="12">
        <f t="shared" si="50"/>
        <v>0</v>
      </c>
      <c r="AI58" s="12">
        <f t="shared" si="50"/>
        <v>0</v>
      </c>
      <c r="AJ58" s="12">
        <f t="shared" si="50"/>
        <v>0</v>
      </c>
      <c r="AK58" s="12">
        <f t="shared" ref="AK58:BP58" si="51" xml:space="preserve"> AK$53</f>
        <v>0</v>
      </c>
      <c r="AL58" s="12">
        <f t="shared" si="51"/>
        <v>0</v>
      </c>
      <c r="AM58" s="12">
        <f t="shared" si="51"/>
        <v>0</v>
      </c>
      <c r="AN58" s="12">
        <f t="shared" si="51"/>
        <v>0</v>
      </c>
      <c r="AO58" s="12">
        <f t="shared" si="51"/>
        <v>0</v>
      </c>
      <c r="AP58" s="12">
        <f t="shared" si="51"/>
        <v>0</v>
      </c>
      <c r="AQ58" s="12">
        <f t="shared" si="51"/>
        <v>0</v>
      </c>
      <c r="AR58" s="12">
        <f t="shared" si="51"/>
        <v>0</v>
      </c>
      <c r="AS58" s="12">
        <f t="shared" si="51"/>
        <v>0</v>
      </c>
      <c r="AT58" s="12">
        <f t="shared" si="51"/>
        <v>0</v>
      </c>
      <c r="AU58" s="12">
        <f t="shared" si="51"/>
        <v>0</v>
      </c>
      <c r="AV58" s="12">
        <f t="shared" si="51"/>
        <v>0</v>
      </c>
      <c r="AW58" s="12">
        <f t="shared" si="51"/>
        <v>0</v>
      </c>
      <c r="AX58" s="12">
        <f t="shared" si="51"/>
        <v>0</v>
      </c>
      <c r="AY58" s="12">
        <f t="shared" si="51"/>
        <v>0</v>
      </c>
      <c r="AZ58" s="12">
        <f t="shared" si="51"/>
        <v>0</v>
      </c>
      <c r="BA58" s="12">
        <f t="shared" si="51"/>
        <v>0</v>
      </c>
      <c r="BB58" s="12">
        <f t="shared" si="51"/>
        <v>0</v>
      </c>
      <c r="BC58" s="12">
        <f t="shared" si="51"/>
        <v>0</v>
      </c>
      <c r="BD58" s="12">
        <f t="shared" si="51"/>
        <v>0</v>
      </c>
      <c r="BE58" s="12">
        <f t="shared" si="51"/>
        <v>0</v>
      </c>
      <c r="BF58" s="12">
        <f t="shared" si="51"/>
        <v>0</v>
      </c>
      <c r="BG58" s="12">
        <f t="shared" si="51"/>
        <v>0</v>
      </c>
      <c r="BH58" s="12">
        <f t="shared" si="51"/>
        <v>0</v>
      </c>
      <c r="BI58" s="12">
        <f t="shared" si="51"/>
        <v>0</v>
      </c>
      <c r="BJ58" s="12">
        <f t="shared" si="51"/>
        <v>0</v>
      </c>
      <c r="BK58" s="12">
        <f t="shared" si="51"/>
        <v>0</v>
      </c>
      <c r="BL58" s="12">
        <f t="shared" si="51"/>
        <v>0</v>
      </c>
      <c r="BM58" s="12">
        <f t="shared" si="51"/>
        <v>0</v>
      </c>
      <c r="BN58" s="12">
        <f t="shared" si="51"/>
        <v>0</v>
      </c>
      <c r="BO58" s="12">
        <f t="shared" si="51"/>
        <v>0</v>
      </c>
      <c r="BP58" s="12">
        <f t="shared" si="51"/>
        <v>0</v>
      </c>
      <c r="BQ58" s="12">
        <f t="shared" ref="BQ58:CV58" si="52" xml:space="preserve"> BQ$53</f>
        <v>0</v>
      </c>
      <c r="BR58" s="12">
        <f t="shared" si="52"/>
        <v>0</v>
      </c>
      <c r="BS58" s="12">
        <f t="shared" si="52"/>
        <v>0</v>
      </c>
      <c r="BT58" s="12">
        <f t="shared" si="52"/>
        <v>0</v>
      </c>
      <c r="BU58" s="12">
        <f t="shared" si="52"/>
        <v>0</v>
      </c>
      <c r="BV58" s="12">
        <f t="shared" si="52"/>
        <v>0</v>
      </c>
      <c r="BW58" s="12">
        <f t="shared" si="52"/>
        <v>0</v>
      </c>
      <c r="BX58" s="12">
        <f t="shared" si="52"/>
        <v>0</v>
      </c>
      <c r="BY58" s="12">
        <f t="shared" si="52"/>
        <v>0</v>
      </c>
      <c r="BZ58" s="12">
        <f t="shared" si="52"/>
        <v>0</v>
      </c>
      <c r="CA58" s="12">
        <f t="shared" si="52"/>
        <v>0</v>
      </c>
      <c r="CB58" s="12">
        <f t="shared" si="52"/>
        <v>0</v>
      </c>
      <c r="CC58" s="12">
        <f t="shared" si="52"/>
        <v>0</v>
      </c>
      <c r="CD58" s="12">
        <f t="shared" si="52"/>
        <v>0</v>
      </c>
      <c r="CE58" s="12">
        <f t="shared" si="52"/>
        <v>0</v>
      </c>
      <c r="CF58" s="12">
        <f t="shared" si="52"/>
        <v>0</v>
      </c>
      <c r="CG58" s="12">
        <f t="shared" si="52"/>
        <v>0</v>
      </c>
      <c r="CH58" s="12">
        <f t="shared" si="52"/>
        <v>0</v>
      </c>
      <c r="CI58" s="12">
        <f t="shared" si="52"/>
        <v>0</v>
      </c>
      <c r="CJ58" s="12">
        <f t="shared" si="52"/>
        <v>0</v>
      </c>
      <c r="CK58" s="12">
        <f t="shared" si="52"/>
        <v>0</v>
      </c>
      <c r="CL58" s="12">
        <f t="shared" si="52"/>
        <v>0</v>
      </c>
      <c r="CM58" s="12">
        <f t="shared" si="52"/>
        <v>0</v>
      </c>
      <c r="CN58" s="12">
        <f t="shared" si="52"/>
        <v>0</v>
      </c>
      <c r="CO58" s="12">
        <f t="shared" si="52"/>
        <v>0</v>
      </c>
      <c r="CP58" s="12">
        <f t="shared" si="52"/>
        <v>0</v>
      </c>
      <c r="CQ58" s="12">
        <f t="shared" si="52"/>
        <v>0</v>
      </c>
      <c r="CR58" s="12">
        <f t="shared" si="52"/>
        <v>0</v>
      </c>
      <c r="CS58" s="12">
        <f t="shared" si="52"/>
        <v>0</v>
      </c>
      <c r="CT58" s="12">
        <f t="shared" si="52"/>
        <v>0</v>
      </c>
      <c r="CU58" s="12">
        <f t="shared" si="52"/>
        <v>0</v>
      </c>
      <c r="CV58" s="12">
        <f t="shared" si="52"/>
        <v>0</v>
      </c>
    </row>
    <row r="59" spans="1:192" outlineLevel="1" x14ac:dyDescent="0.2">
      <c r="E59" s="12" t="str">
        <f t="shared" ref="E59:AJ59" si="53" xml:space="preserve"> E$67</f>
        <v>Tax losses carried forward balance BEG</v>
      </c>
      <c r="F59" s="12">
        <f t="shared" si="53"/>
        <v>0</v>
      </c>
      <c r="G59" s="12" t="str">
        <f t="shared" si="53"/>
        <v>$ 000s</v>
      </c>
      <c r="H59" s="12">
        <f t="shared" si="53"/>
        <v>0</v>
      </c>
      <c r="I59" s="12">
        <f t="shared" si="53"/>
        <v>0</v>
      </c>
      <c r="J59" s="12">
        <f t="shared" si="53"/>
        <v>0</v>
      </c>
      <c r="K59" s="12">
        <f t="shared" si="53"/>
        <v>0</v>
      </c>
      <c r="L59" s="12">
        <f t="shared" si="53"/>
        <v>0</v>
      </c>
      <c r="M59" s="12">
        <f t="shared" si="53"/>
        <v>0</v>
      </c>
      <c r="N59" s="12">
        <f t="shared" si="53"/>
        <v>0</v>
      </c>
      <c r="O59" s="12">
        <f t="shared" si="53"/>
        <v>0</v>
      </c>
      <c r="P59" s="12">
        <f t="shared" si="53"/>
        <v>38182.041310855093</v>
      </c>
      <c r="Q59" s="12">
        <f t="shared" si="53"/>
        <v>72681.422494125844</v>
      </c>
      <c r="R59" s="12">
        <f t="shared" si="53"/>
        <v>104428.52177612769</v>
      </c>
      <c r="S59" s="12">
        <f t="shared" si="53"/>
        <v>133233.46033050632</v>
      </c>
      <c r="T59" s="12">
        <f t="shared" si="53"/>
        <v>159831.89936896064</v>
      </c>
      <c r="U59" s="12">
        <f t="shared" si="53"/>
        <v>183996.40545172978</v>
      </c>
      <c r="V59" s="12">
        <f t="shared" si="53"/>
        <v>206398.49446329696</v>
      </c>
      <c r="W59" s="12">
        <f t="shared" si="53"/>
        <v>226834.67107110893</v>
      </c>
      <c r="X59" s="12">
        <f t="shared" si="53"/>
        <v>245814.76228598252</v>
      </c>
      <c r="Y59" s="12">
        <f t="shared" si="53"/>
        <v>263122.86320930824</v>
      </c>
      <c r="Z59" s="12">
        <f t="shared" si="53"/>
        <v>279714.86617934972</v>
      </c>
      <c r="AA59" s="12">
        <f t="shared" si="53"/>
        <v>294906.53634793207</v>
      </c>
      <c r="AB59" s="12">
        <f t="shared" si="53"/>
        <v>309232.30899223522</v>
      </c>
      <c r="AC59" s="12">
        <f t="shared" si="53"/>
        <v>322394.46829968027</v>
      </c>
      <c r="AD59" s="12">
        <f t="shared" si="53"/>
        <v>334889.21338335396</v>
      </c>
      <c r="AE59" s="12">
        <f t="shared" si="53"/>
        <v>346459.62976662326</v>
      </c>
      <c r="AF59" s="12">
        <f t="shared" si="53"/>
        <v>357483.84396807256</v>
      </c>
      <c r="AG59" s="12">
        <f t="shared" si="53"/>
        <v>367716.48525440885</v>
      </c>
      <c r="AH59" s="12">
        <f t="shared" si="53"/>
        <v>377582.32263606921</v>
      </c>
      <c r="AI59" s="12">
        <f t="shared" si="53"/>
        <v>386802.20048092777</v>
      </c>
      <c r="AJ59" s="12">
        <f t="shared" si="53"/>
        <v>396069.80509920721</v>
      </c>
      <c r="AK59" s="12">
        <f t="shared" ref="AK59:BP59" si="54" xml:space="preserve"> AK$67</f>
        <v>404804.82742963958</v>
      </c>
      <c r="AL59" s="12">
        <f t="shared" si="54"/>
        <v>413383.78490472282</v>
      </c>
      <c r="AM59" s="12">
        <f t="shared" si="54"/>
        <v>421572.86479643546</v>
      </c>
      <c r="AN59" s="12">
        <f t="shared" si="54"/>
        <v>429665.89655143389</v>
      </c>
      <c r="AO59" s="12">
        <f t="shared" si="54"/>
        <v>437454.59839387011</v>
      </c>
      <c r="AP59" s="12">
        <f t="shared" si="54"/>
        <v>445255.69972601923</v>
      </c>
      <c r="AQ59" s="12">
        <f t="shared" si="54"/>
        <v>452853.84844292799</v>
      </c>
      <c r="AR59" s="12">
        <f t="shared" si="54"/>
        <v>460540.40654421545</v>
      </c>
      <c r="AS59" s="12">
        <f t="shared" si="54"/>
        <v>468125.20701578341</v>
      </c>
      <c r="AT59" s="12">
        <f t="shared" si="54"/>
        <v>475873.22137614607</v>
      </c>
      <c r="AU59" s="12">
        <f t="shared" si="54"/>
        <v>483660.25737803843</v>
      </c>
      <c r="AV59" s="12">
        <f t="shared" si="54"/>
        <v>491710.00779246254</v>
      </c>
      <c r="AW59" s="12">
        <f t="shared" si="54"/>
        <v>499317.05695156823</v>
      </c>
      <c r="AX59" s="12">
        <f t="shared" si="54"/>
        <v>506665.45847820159</v>
      </c>
      <c r="AY59" s="12">
        <f t="shared" si="54"/>
        <v>513490.52536462067</v>
      </c>
      <c r="AZ59" s="12">
        <f t="shared" si="54"/>
        <v>519942.56335695134</v>
      </c>
      <c r="BA59" s="12">
        <f t="shared" si="54"/>
        <v>525853.52257913339</v>
      </c>
      <c r="BB59" s="12">
        <f t="shared" si="54"/>
        <v>531372.03945353394</v>
      </c>
      <c r="BC59" s="12">
        <f t="shared" si="54"/>
        <v>541050.35825121694</v>
      </c>
      <c r="BD59" s="12">
        <f t="shared" si="54"/>
        <v>541050.35825121694</v>
      </c>
      <c r="BE59" s="12">
        <f t="shared" si="54"/>
        <v>541050.35825121694</v>
      </c>
      <c r="BF59" s="12">
        <f t="shared" si="54"/>
        <v>541050.35825121694</v>
      </c>
      <c r="BG59" s="12">
        <f t="shared" si="54"/>
        <v>541050.35825121694</v>
      </c>
      <c r="BH59" s="12">
        <f t="shared" si="54"/>
        <v>541050.35825121694</v>
      </c>
      <c r="BI59" s="12">
        <f t="shared" si="54"/>
        <v>541050.35825121694</v>
      </c>
      <c r="BJ59" s="12">
        <f t="shared" si="54"/>
        <v>541050.35825121694</v>
      </c>
      <c r="BK59" s="12">
        <f t="shared" si="54"/>
        <v>541050.35825121694</v>
      </c>
      <c r="BL59" s="12">
        <f t="shared" si="54"/>
        <v>541050.35825121694</v>
      </c>
      <c r="BM59" s="12">
        <f t="shared" si="54"/>
        <v>541050.35825121694</v>
      </c>
      <c r="BN59" s="12">
        <f t="shared" si="54"/>
        <v>541050.35825121694</v>
      </c>
      <c r="BO59" s="12">
        <f t="shared" si="54"/>
        <v>541050.35825121694</v>
      </c>
      <c r="BP59" s="12">
        <f t="shared" si="54"/>
        <v>541050.35825121694</v>
      </c>
      <c r="BQ59" s="12">
        <f t="shared" ref="BQ59:CV59" si="55" xml:space="preserve"> BQ$67</f>
        <v>541050.35825121694</v>
      </c>
      <c r="BR59" s="12">
        <f t="shared" si="55"/>
        <v>541050.35825121694</v>
      </c>
      <c r="BS59" s="12">
        <f t="shared" si="55"/>
        <v>541050.35825121694</v>
      </c>
      <c r="BT59" s="12">
        <f t="shared" si="55"/>
        <v>541050.35825121694</v>
      </c>
      <c r="BU59" s="12">
        <f t="shared" si="55"/>
        <v>541050.35825121694</v>
      </c>
      <c r="BV59" s="12">
        <f t="shared" si="55"/>
        <v>541050.35825121694</v>
      </c>
      <c r="BW59" s="12">
        <f t="shared" si="55"/>
        <v>541050.35825121694</v>
      </c>
      <c r="BX59" s="12">
        <f t="shared" si="55"/>
        <v>541050.35825121694</v>
      </c>
      <c r="BY59" s="12">
        <f t="shared" si="55"/>
        <v>541050.35825121694</v>
      </c>
      <c r="BZ59" s="12">
        <f t="shared" si="55"/>
        <v>541050.35825121694</v>
      </c>
      <c r="CA59" s="12">
        <f t="shared" si="55"/>
        <v>541050.35825121694</v>
      </c>
      <c r="CB59" s="12">
        <f t="shared" si="55"/>
        <v>541050.35825121694</v>
      </c>
      <c r="CC59" s="12">
        <f t="shared" si="55"/>
        <v>541050.35825121694</v>
      </c>
      <c r="CD59" s="12">
        <f t="shared" si="55"/>
        <v>541050.35825121694</v>
      </c>
      <c r="CE59" s="12">
        <f t="shared" si="55"/>
        <v>541050.35825121694</v>
      </c>
      <c r="CF59" s="12">
        <f t="shared" si="55"/>
        <v>541050.35825121694</v>
      </c>
      <c r="CG59" s="12">
        <f t="shared" si="55"/>
        <v>541050.35825121694</v>
      </c>
      <c r="CH59" s="12">
        <f t="shared" si="55"/>
        <v>541050.35825121694</v>
      </c>
      <c r="CI59" s="12">
        <f t="shared" si="55"/>
        <v>541050.35825121694</v>
      </c>
      <c r="CJ59" s="12">
        <f t="shared" si="55"/>
        <v>541050.35825121694</v>
      </c>
      <c r="CK59" s="12">
        <f t="shared" si="55"/>
        <v>541050.35825121694</v>
      </c>
      <c r="CL59" s="12">
        <f t="shared" si="55"/>
        <v>541050.35825121694</v>
      </c>
      <c r="CM59" s="12">
        <f t="shared" si="55"/>
        <v>541050.35825121694</v>
      </c>
      <c r="CN59" s="12">
        <f t="shared" si="55"/>
        <v>541050.35825121694</v>
      </c>
      <c r="CO59" s="12">
        <f t="shared" si="55"/>
        <v>541050.35825121694</v>
      </c>
      <c r="CP59" s="12">
        <f t="shared" si="55"/>
        <v>541050.35825121694</v>
      </c>
      <c r="CQ59" s="12">
        <f t="shared" si="55"/>
        <v>541050.35825121694</v>
      </c>
      <c r="CR59" s="12">
        <f t="shared" si="55"/>
        <v>541050.35825121694</v>
      </c>
      <c r="CS59" s="12">
        <f t="shared" si="55"/>
        <v>541050.35825121694</v>
      </c>
      <c r="CT59" s="12">
        <f t="shared" si="55"/>
        <v>541050.35825121694</v>
      </c>
      <c r="CU59" s="12">
        <f t="shared" si="55"/>
        <v>541050.35825121694</v>
      </c>
      <c r="CV59" s="12">
        <f t="shared" si="55"/>
        <v>541050.35825121694</v>
      </c>
      <c r="CW59" s="12">
        <f t="shared" ref="CW59:EB59" si="56" xml:space="preserve"> CW$67</f>
        <v>0</v>
      </c>
      <c r="CX59" s="12">
        <f t="shared" si="56"/>
        <v>0</v>
      </c>
      <c r="CY59" s="12">
        <f t="shared" si="56"/>
        <v>0</v>
      </c>
      <c r="CZ59" s="12">
        <f t="shared" si="56"/>
        <v>0</v>
      </c>
      <c r="DA59" s="12">
        <f t="shared" si="56"/>
        <v>0</v>
      </c>
      <c r="DB59" s="12">
        <f t="shared" si="56"/>
        <v>0</v>
      </c>
      <c r="DC59" s="12">
        <f t="shared" si="56"/>
        <v>0</v>
      </c>
      <c r="DD59" s="12">
        <f t="shared" si="56"/>
        <v>0</v>
      </c>
      <c r="DE59" s="12">
        <f t="shared" si="56"/>
        <v>0</v>
      </c>
      <c r="DF59" s="12">
        <f t="shared" si="56"/>
        <v>0</v>
      </c>
      <c r="DG59" s="12">
        <f t="shared" si="56"/>
        <v>0</v>
      </c>
      <c r="DH59" s="12">
        <f t="shared" si="56"/>
        <v>0</v>
      </c>
      <c r="DI59" s="12">
        <f t="shared" si="56"/>
        <v>0</v>
      </c>
      <c r="DJ59" s="12">
        <f t="shared" si="56"/>
        <v>0</v>
      </c>
      <c r="DK59" s="12">
        <f t="shared" si="56"/>
        <v>0</v>
      </c>
      <c r="DL59" s="12">
        <f t="shared" si="56"/>
        <v>0</v>
      </c>
      <c r="DM59" s="12">
        <f t="shared" si="56"/>
        <v>0</v>
      </c>
      <c r="DN59" s="12">
        <f t="shared" si="56"/>
        <v>0</v>
      </c>
      <c r="DO59" s="12">
        <f t="shared" si="56"/>
        <v>0</v>
      </c>
      <c r="DP59" s="12">
        <f t="shared" si="56"/>
        <v>0</v>
      </c>
      <c r="DQ59" s="12">
        <f t="shared" si="56"/>
        <v>0</v>
      </c>
      <c r="DR59" s="12">
        <f t="shared" si="56"/>
        <v>0</v>
      </c>
      <c r="DS59" s="12">
        <f t="shared" si="56"/>
        <v>0</v>
      </c>
      <c r="DT59" s="12">
        <f t="shared" si="56"/>
        <v>0</v>
      </c>
      <c r="DU59" s="12">
        <f t="shared" si="56"/>
        <v>0</v>
      </c>
      <c r="DV59" s="12">
        <f t="shared" si="56"/>
        <v>0</v>
      </c>
      <c r="DW59" s="12">
        <f t="shared" si="56"/>
        <v>0</v>
      </c>
      <c r="DX59" s="12">
        <f t="shared" si="56"/>
        <v>0</v>
      </c>
      <c r="DY59" s="12">
        <f t="shared" si="56"/>
        <v>0</v>
      </c>
      <c r="DZ59" s="12">
        <f t="shared" si="56"/>
        <v>0</v>
      </c>
      <c r="EA59" s="12">
        <f t="shared" si="56"/>
        <v>0</v>
      </c>
      <c r="EB59" s="12">
        <f t="shared" si="56"/>
        <v>0</v>
      </c>
      <c r="EC59" s="12">
        <f t="shared" ref="EC59:FH59" si="57" xml:space="preserve"> EC$67</f>
        <v>0</v>
      </c>
      <c r="ED59" s="12">
        <f t="shared" si="57"/>
        <v>0</v>
      </c>
      <c r="EE59" s="12">
        <f t="shared" si="57"/>
        <v>0</v>
      </c>
      <c r="EF59" s="12">
        <f t="shared" si="57"/>
        <v>0</v>
      </c>
      <c r="EG59" s="12">
        <f t="shared" si="57"/>
        <v>0</v>
      </c>
      <c r="EH59" s="12">
        <f t="shared" si="57"/>
        <v>0</v>
      </c>
      <c r="EI59" s="12">
        <f t="shared" si="57"/>
        <v>0</v>
      </c>
      <c r="EJ59" s="12">
        <f t="shared" si="57"/>
        <v>0</v>
      </c>
      <c r="EK59" s="12">
        <f t="shared" si="57"/>
        <v>0</v>
      </c>
      <c r="EL59" s="12">
        <f t="shared" si="57"/>
        <v>0</v>
      </c>
      <c r="EM59" s="12">
        <f t="shared" si="57"/>
        <v>0</v>
      </c>
      <c r="EN59" s="12">
        <f t="shared" si="57"/>
        <v>0</v>
      </c>
      <c r="EO59" s="12">
        <f t="shared" si="57"/>
        <v>0</v>
      </c>
      <c r="EP59" s="12">
        <f t="shared" si="57"/>
        <v>0</v>
      </c>
      <c r="EQ59" s="12">
        <f t="shared" si="57"/>
        <v>0</v>
      </c>
      <c r="ER59" s="12">
        <f t="shared" si="57"/>
        <v>0</v>
      </c>
      <c r="ES59" s="12">
        <f t="shared" si="57"/>
        <v>0</v>
      </c>
      <c r="ET59" s="12">
        <f t="shared" si="57"/>
        <v>0</v>
      </c>
      <c r="EU59" s="12">
        <f t="shared" si="57"/>
        <v>0</v>
      </c>
      <c r="EV59" s="12">
        <f t="shared" si="57"/>
        <v>0</v>
      </c>
      <c r="EW59" s="12">
        <f t="shared" si="57"/>
        <v>0</v>
      </c>
      <c r="EX59" s="12">
        <f t="shared" si="57"/>
        <v>0</v>
      </c>
      <c r="EY59" s="12">
        <f t="shared" si="57"/>
        <v>0</v>
      </c>
      <c r="EZ59" s="12">
        <f t="shared" si="57"/>
        <v>0</v>
      </c>
      <c r="FA59" s="12">
        <f t="shared" si="57"/>
        <v>0</v>
      </c>
      <c r="FB59" s="12">
        <f t="shared" si="57"/>
        <v>0</v>
      </c>
      <c r="FC59" s="12">
        <f t="shared" si="57"/>
        <v>0</v>
      </c>
      <c r="FD59" s="12">
        <f t="shared" si="57"/>
        <v>0</v>
      </c>
      <c r="FE59" s="12">
        <f t="shared" si="57"/>
        <v>0</v>
      </c>
      <c r="FF59" s="12">
        <f t="shared" si="57"/>
        <v>0</v>
      </c>
      <c r="FG59" s="12">
        <f t="shared" si="57"/>
        <v>0</v>
      </c>
      <c r="FH59" s="12">
        <f t="shared" si="57"/>
        <v>0</v>
      </c>
      <c r="FI59" s="12">
        <f t="shared" ref="FI59:GJ59" si="58" xml:space="preserve"> FI$67</f>
        <v>0</v>
      </c>
      <c r="FJ59" s="12">
        <f t="shared" si="58"/>
        <v>0</v>
      </c>
      <c r="FK59" s="12">
        <f t="shared" si="58"/>
        <v>0</v>
      </c>
      <c r="FL59" s="12">
        <f t="shared" si="58"/>
        <v>0</v>
      </c>
      <c r="FM59" s="12">
        <f t="shared" si="58"/>
        <v>0</v>
      </c>
      <c r="FN59" s="12">
        <f t="shared" si="58"/>
        <v>0</v>
      </c>
      <c r="FO59" s="12">
        <f t="shared" si="58"/>
        <v>0</v>
      </c>
      <c r="FP59" s="12">
        <f t="shared" si="58"/>
        <v>0</v>
      </c>
      <c r="FQ59" s="12">
        <f t="shared" si="58"/>
        <v>0</v>
      </c>
      <c r="FR59" s="12">
        <f t="shared" si="58"/>
        <v>0</v>
      </c>
      <c r="FS59" s="12">
        <f t="shared" si="58"/>
        <v>0</v>
      </c>
      <c r="FT59" s="12">
        <f t="shared" si="58"/>
        <v>0</v>
      </c>
      <c r="FU59" s="12">
        <f t="shared" si="58"/>
        <v>0</v>
      </c>
      <c r="FV59" s="12">
        <f t="shared" si="58"/>
        <v>0</v>
      </c>
      <c r="FW59" s="12">
        <f t="shared" si="58"/>
        <v>0</v>
      </c>
      <c r="FX59" s="12">
        <f t="shared" si="58"/>
        <v>0</v>
      </c>
      <c r="FY59" s="12">
        <f t="shared" si="58"/>
        <v>0</v>
      </c>
      <c r="FZ59" s="12">
        <f t="shared" si="58"/>
        <v>0</v>
      </c>
      <c r="GA59" s="12">
        <f t="shared" si="58"/>
        <v>0</v>
      </c>
      <c r="GB59" s="12">
        <f t="shared" si="58"/>
        <v>0</v>
      </c>
      <c r="GC59" s="12">
        <f t="shared" si="58"/>
        <v>0</v>
      </c>
      <c r="GD59" s="12">
        <f t="shared" si="58"/>
        <v>0</v>
      </c>
      <c r="GE59" s="12">
        <f t="shared" si="58"/>
        <v>0</v>
      </c>
      <c r="GF59" s="12">
        <f t="shared" si="58"/>
        <v>0</v>
      </c>
      <c r="GG59" s="12">
        <f t="shared" si="58"/>
        <v>0</v>
      </c>
      <c r="GH59" s="12">
        <f t="shared" si="58"/>
        <v>0</v>
      </c>
      <c r="GI59" s="12">
        <f t="shared" si="58"/>
        <v>0</v>
      </c>
      <c r="GJ59" s="12">
        <f t="shared" si="58"/>
        <v>0</v>
      </c>
    </row>
    <row r="60" spans="1:192" outlineLevel="1" x14ac:dyDescent="0.2">
      <c r="E60" s="12" t="s">
        <v>179</v>
      </c>
      <c r="G60" s="12" t="str">
        <f xml:space="preserve"> SMU</f>
        <v>$ 000s</v>
      </c>
      <c r="H60" s="12">
        <f xml:space="preserve"> SUM(J60:CV60)</f>
        <v>0</v>
      </c>
      <c r="J60" s="12">
        <f t="shared" ref="J60:AO60" si="59" xml:space="preserve"> MIN(J58:J59)</f>
        <v>0</v>
      </c>
      <c r="K60" s="12">
        <f t="shared" si="59"/>
        <v>0</v>
      </c>
      <c r="L60" s="12">
        <f t="shared" si="59"/>
        <v>0</v>
      </c>
      <c r="M60" s="12">
        <f t="shared" si="59"/>
        <v>0</v>
      </c>
      <c r="N60" s="12">
        <f t="shared" si="59"/>
        <v>0</v>
      </c>
      <c r="O60" s="12">
        <f t="shared" si="59"/>
        <v>0</v>
      </c>
      <c r="P60" s="12">
        <f t="shared" si="59"/>
        <v>0</v>
      </c>
      <c r="Q60" s="12">
        <f t="shared" si="59"/>
        <v>0</v>
      </c>
      <c r="R60" s="12">
        <f t="shared" si="59"/>
        <v>0</v>
      </c>
      <c r="S60" s="12">
        <f t="shared" si="59"/>
        <v>0</v>
      </c>
      <c r="T60" s="12">
        <f t="shared" si="59"/>
        <v>0</v>
      </c>
      <c r="U60" s="12">
        <f t="shared" si="59"/>
        <v>0</v>
      </c>
      <c r="V60" s="12">
        <f t="shared" si="59"/>
        <v>0</v>
      </c>
      <c r="W60" s="12">
        <f t="shared" si="59"/>
        <v>0</v>
      </c>
      <c r="X60" s="12">
        <f t="shared" si="59"/>
        <v>0</v>
      </c>
      <c r="Y60" s="12">
        <f t="shared" si="59"/>
        <v>0</v>
      </c>
      <c r="Z60" s="12">
        <f t="shared" si="59"/>
        <v>0</v>
      </c>
      <c r="AA60" s="12">
        <f t="shared" si="59"/>
        <v>0</v>
      </c>
      <c r="AB60" s="12">
        <f t="shared" si="59"/>
        <v>0</v>
      </c>
      <c r="AC60" s="12">
        <f t="shared" si="59"/>
        <v>0</v>
      </c>
      <c r="AD60" s="12">
        <f t="shared" si="59"/>
        <v>0</v>
      </c>
      <c r="AE60" s="12">
        <f t="shared" si="59"/>
        <v>0</v>
      </c>
      <c r="AF60" s="12">
        <f t="shared" si="59"/>
        <v>0</v>
      </c>
      <c r="AG60" s="12">
        <f t="shared" si="59"/>
        <v>0</v>
      </c>
      <c r="AH60" s="12">
        <f t="shared" si="59"/>
        <v>0</v>
      </c>
      <c r="AI60" s="12">
        <f t="shared" si="59"/>
        <v>0</v>
      </c>
      <c r="AJ60" s="12">
        <f t="shared" si="59"/>
        <v>0</v>
      </c>
      <c r="AK60" s="12">
        <f t="shared" si="59"/>
        <v>0</v>
      </c>
      <c r="AL60" s="12">
        <f t="shared" si="59"/>
        <v>0</v>
      </c>
      <c r="AM60" s="12">
        <f t="shared" si="59"/>
        <v>0</v>
      </c>
      <c r="AN60" s="12">
        <f t="shared" si="59"/>
        <v>0</v>
      </c>
      <c r="AO60" s="12">
        <f t="shared" si="59"/>
        <v>0</v>
      </c>
      <c r="AP60" s="12">
        <f t="shared" ref="AP60:BU60" si="60" xml:space="preserve"> MIN(AP58:AP59)</f>
        <v>0</v>
      </c>
      <c r="AQ60" s="12">
        <f t="shared" si="60"/>
        <v>0</v>
      </c>
      <c r="AR60" s="12">
        <f t="shared" si="60"/>
        <v>0</v>
      </c>
      <c r="AS60" s="12">
        <f t="shared" si="60"/>
        <v>0</v>
      </c>
      <c r="AT60" s="12">
        <f t="shared" si="60"/>
        <v>0</v>
      </c>
      <c r="AU60" s="12">
        <f t="shared" si="60"/>
        <v>0</v>
      </c>
      <c r="AV60" s="12">
        <f t="shared" si="60"/>
        <v>0</v>
      </c>
      <c r="AW60" s="12">
        <f t="shared" si="60"/>
        <v>0</v>
      </c>
      <c r="AX60" s="12">
        <f t="shared" si="60"/>
        <v>0</v>
      </c>
      <c r="AY60" s="12">
        <f t="shared" si="60"/>
        <v>0</v>
      </c>
      <c r="AZ60" s="12">
        <f t="shared" si="60"/>
        <v>0</v>
      </c>
      <c r="BA60" s="12">
        <f t="shared" si="60"/>
        <v>0</v>
      </c>
      <c r="BB60" s="12">
        <f t="shared" si="60"/>
        <v>0</v>
      </c>
      <c r="BC60" s="12">
        <f t="shared" si="60"/>
        <v>0</v>
      </c>
      <c r="BD60" s="12">
        <f t="shared" si="60"/>
        <v>0</v>
      </c>
      <c r="BE60" s="12">
        <f t="shared" si="60"/>
        <v>0</v>
      </c>
      <c r="BF60" s="12">
        <f t="shared" si="60"/>
        <v>0</v>
      </c>
      <c r="BG60" s="12">
        <f t="shared" si="60"/>
        <v>0</v>
      </c>
      <c r="BH60" s="12">
        <f t="shared" si="60"/>
        <v>0</v>
      </c>
      <c r="BI60" s="12">
        <f t="shared" si="60"/>
        <v>0</v>
      </c>
      <c r="BJ60" s="12">
        <f t="shared" si="60"/>
        <v>0</v>
      </c>
      <c r="BK60" s="12">
        <f t="shared" si="60"/>
        <v>0</v>
      </c>
      <c r="BL60" s="12">
        <f t="shared" si="60"/>
        <v>0</v>
      </c>
      <c r="BM60" s="12">
        <f t="shared" si="60"/>
        <v>0</v>
      </c>
      <c r="BN60" s="12">
        <f t="shared" si="60"/>
        <v>0</v>
      </c>
      <c r="BO60" s="12">
        <f t="shared" si="60"/>
        <v>0</v>
      </c>
      <c r="BP60" s="12">
        <f t="shared" si="60"/>
        <v>0</v>
      </c>
      <c r="BQ60" s="12">
        <f t="shared" si="60"/>
        <v>0</v>
      </c>
      <c r="BR60" s="12">
        <f t="shared" si="60"/>
        <v>0</v>
      </c>
      <c r="BS60" s="12">
        <f t="shared" si="60"/>
        <v>0</v>
      </c>
      <c r="BT60" s="12">
        <f t="shared" si="60"/>
        <v>0</v>
      </c>
      <c r="BU60" s="12">
        <f t="shared" si="60"/>
        <v>0</v>
      </c>
      <c r="BV60" s="12">
        <f t="shared" ref="BV60:CV60" si="61" xml:space="preserve"> MIN(BV58:BV59)</f>
        <v>0</v>
      </c>
      <c r="BW60" s="12">
        <f t="shared" si="61"/>
        <v>0</v>
      </c>
      <c r="BX60" s="12">
        <f t="shared" si="61"/>
        <v>0</v>
      </c>
      <c r="BY60" s="12">
        <f t="shared" si="61"/>
        <v>0</v>
      </c>
      <c r="BZ60" s="12">
        <f t="shared" si="61"/>
        <v>0</v>
      </c>
      <c r="CA60" s="12">
        <f t="shared" si="61"/>
        <v>0</v>
      </c>
      <c r="CB60" s="12">
        <f t="shared" si="61"/>
        <v>0</v>
      </c>
      <c r="CC60" s="12">
        <f t="shared" si="61"/>
        <v>0</v>
      </c>
      <c r="CD60" s="12">
        <f t="shared" si="61"/>
        <v>0</v>
      </c>
      <c r="CE60" s="12">
        <f t="shared" si="61"/>
        <v>0</v>
      </c>
      <c r="CF60" s="12">
        <f t="shared" si="61"/>
        <v>0</v>
      </c>
      <c r="CG60" s="12">
        <f t="shared" si="61"/>
        <v>0</v>
      </c>
      <c r="CH60" s="12">
        <f t="shared" si="61"/>
        <v>0</v>
      </c>
      <c r="CI60" s="12">
        <f t="shared" si="61"/>
        <v>0</v>
      </c>
      <c r="CJ60" s="12">
        <f t="shared" si="61"/>
        <v>0</v>
      </c>
      <c r="CK60" s="12">
        <f t="shared" si="61"/>
        <v>0</v>
      </c>
      <c r="CL60" s="12">
        <f t="shared" si="61"/>
        <v>0</v>
      </c>
      <c r="CM60" s="12">
        <f t="shared" si="61"/>
        <v>0</v>
      </c>
      <c r="CN60" s="12">
        <f t="shared" si="61"/>
        <v>0</v>
      </c>
      <c r="CO60" s="12">
        <f t="shared" si="61"/>
        <v>0</v>
      </c>
      <c r="CP60" s="12">
        <f t="shared" si="61"/>
        <v>0</v>
      </c>
      <c r="CQ60" s="12">
        <f t="shared" si="61"/>
        <v>0</v>
      </c>
      <c r="CR60" s="12">
        <f t="shared" si="61"/>
        <v>0</v>
      </c>
      <c r="CS60" s="12">
        <f t="shared" si="61"/>
        <v>0</v>
      </c>
      <c r="CT60" s="12">
        <f t="shared" si="61"/>
        <v>0</v>
      </c>
      <c r="CU60" s="12">
        <f t="shared" si="61"/>
        <v>0</v>
      </c>
      <c r="CV60" s="12">
        <f t="shared" si="61"/>
        <v>0</v>
      </c>
    </row>
    <row r="61" spans="1:192" outlineLevel="1" x14ac:dyDescent="0.2"/>
    <row r="62" spans="1:192" outlineLevel="1" x14ac:dyDescent="0.2">
      <c r="E62" s="12" t="str">
        <f t="shared" ref="E62:AJ62" si="62" xml:space="preserve"> E$53</f>
        <v>Taxable income</v>
      </c>
      <c r="F62" s="12">
        <f t="shared" si="62"/>
        <v>0</v>
      </c>
      <c r="G62" s="12" t="str">
        <f t="shared" si="62"/>
        <v>$ 000s</v>
      </c>
      <c r="H62" s="12">
        <f t="shared" si="62"/>
        <v>0</v>
      </c>
      <c r="I62" s="12">
        <f t="shared" si="62"/>
        <v>0</v>
      </c>
      <c r="J62" s="12">
        <f t="shared" si="62"/>
        <v>0</v>
      </c>
      <c r="K62" s="12">
        <f t="shared" si="62"/>
        <v>0</v>
      </c>
      <c r="L62" s="12">
        <f t="shared" si="62"/>
        <v>0</v>
      </c>
      <c r="M62" s="12">
        <f t="shared" si="62"/>
        <v>0</v>
      </c>
      <c r="N62" s="12">
        <f t="shared" si="62"/>
        <v>0</v>
      </c>
      <c r="O62" s="12">
        <f t="shared" si="62"/>
        <v>0</v>
      </c>
      <c r="P62" s="12">
        <f t="shared" si="62"/>
        <v>0</v>
      </c>
      <c r="Q62" s="12">
        <f t="shared" si="62"/>
        <v>0</v>
      </c>
      <c r="R62" s="12">
        <f t="shared" si="62"/>
        <v>0</v>
      </c>
      <c r="S62" s="12">
        <f t="shared" si="62"/>
        <v>0</v>
      </c>
      <c r="T62" s="12">
        <f t="shared" si="62"/>
        <v>0</v>
      </c>
      <c r="U62" s="12">
        <f t="shared" si="62"/>
        <v>0</v>
      </c>
      <c r="V62" s="12">
        <f t="shared" si="62"/>
        <v>0</v>
      </c>
      <c r="W62" s="12">
        <f t="shared" si="62"/>
        <v>0</v>
      </c>
      <c r="X62" s="12">
        <f t="shared" si="62"/>
        <v>0</v>
      </c>
      <c r="Y62" s="12">
        <f t="shared" si="62"/>
        <v>0</v>
      </c>
      <c r="Z62" s="12">
        <f t="shared" si="62"/>
        <v>0</v>
      </c>
      <c r="AA62" s="12">
        <f t="shared" si="62"/>
        <v>0</v>
      </c>
      <c r="AB62" s="12">
        <f t="shared" si="62"/>
        <v>0</v>
      </c>
      <c r="AC62" s="12">
        <f t="shared" si="62"/>
        <v>0</v>
      </c>
      <c r="AD62" s="12">
        <f t="shared" si="62"/>
        <v>0</v>
      </c>
      <c r="AE62" s="12">
        <f t="shared" si="62"/>
        <v>0</v>
      </c>
      <c r="AF62" s="12">
        <f t="shared" si="62"/>
        <v>0</v>
      </c>
      <c r="AG62" s="12">
        <f t="shared" si="62"/>
        <v>0</v>
      </c>
      <c r="AH62" s="12">
        <f t="shared" si="62"/>
        <v>0</v>
      </c>
      <c r="AI62" s="12">
        <f t="shared" si="62"/>
        <v>0</v>
      </c>
      <c r="AJ62" s="12">
        <f t="shared" si="62"/>
        <v>0</v>
      </c>
      <c r="AK62" s="12">
        <f t="shared" ref="AK62:BP62" si="63" xml:space="preserve"> AK$53</f>
        <v>0</v>
      </c>
      <c r="AL62" s="12">
        <f t="shared" si="63"/>
        <v>0</v>
      </c>
      <c r="AM62" s="12">
        <f t="shared" si="63"/>
        <v>0</v>
      </c>
      <c r="AN62" s="12">
        <f t="shared" si="63"/>
        <v>0</v>
      </c>
      <c r="AO62" s="12">
        <f t="shared" si="63"/>
        <v>0</v>
      </c>
      <c r="AP62" s="12">
        <f t="shared" si="63"/>
        <v>0</v>
      </c>
      <c r="AQ62" s="12">
        <f t="shared" si="63"/>
        <v>0</v>
      </c>
      <c r="AR62" s="12">
        <f t="shared" si="63"/>
        <v>0</v>
      </c>
      <c r="AS62" s="12">
        <f t="shared" si="63"/>
        <v>0</v>
      </c>
      <c r="AT62" s="12">
        <f t="shared" si="63"/>
        <v>0</v>
      </c>
      <c r="AU62" s="12">
        <f t="shared" si="63"/>
        <v>0</v>
      </c>
      <c r="AV62" s="12">
        <f t="shared" si="63"/>
        <v>0</v>
      </c>
      <c r="AW62" s="12">
        <f t="shared" si="63"/>
        <v>0</v>
      </c>
      <c r="AX62" s="12">
        <f t="shared" si="63"/>
        <v>0</v>
      </c>
      <c r="AY62" s="12">
        <f t="shared" si="63"/>
        <v>0</v>
      </c>
      <c r="AZ62" s="12">
        <f t="shared" si="63"/>
        <v>0</v>
      </c>
      <c r="BA62" s="12">
        <f t="shared" si="63"/>
        <v>0</v>
      </c>
      <c r="BB62" s="12">
        <f t="shared" si="63"/>
        <v>0</v>
      </c>
      <c r="BC62" s="12">
        <f t="shared" si="63"/>
        <v>0</v>
      </c>
      <c r="BD62" s="12">
        <f t="shared" si="63"/>
        <v>0</v>
      </c>
      <c r="BE62" s="12">
        <f t="shared" si="63"/>
        <v>0</v>
      </c>
      <c r="BF62" s="12">
        <f t="shared" si="63"/>
        <v>0</v>
      </c>
      <c r="BG62" s="12">
        <f t="shared" si="63"/>
        <v>0</v>
      </c>
      <c r="BH62" s="12">
        <f t="shared" si="63"/>
        <v>0</v>
      </c>
      <c r="BI62" s="12">
        <f t="shared" si="63"/>
        <v>0</v>
      </c>
      <c r="BJ62" s="12">
        <f t="shared" si="63"/>
        <v>0</v>
      </c>
      <c r="BK62" s="12">
        <f t="shared" si="63"/>
        <v>0</v>
      </c>
      <c r="BL62" s="12">
        <f t="shared" si="63"/>
        <v>0</v>
      </c>
      <c r="BM62" s="12">
        <f t="shared" si="63"/>
        <v>0</v>
      </c>
      <c r="BN62" s="12">
        <f t="shared" si="63"/>
        <v>0</v>
      </c>
      <c r="BO62" s="12">
        <f t="shared" si="63"/>
        <v>0</v>
      </c>
      <c r="BP62" s="12">
        <f t="shared" si="63"/>
        <v>0</v>
      </c>
      <c r="BQ62" s="12">
        <f t="shared" ref="BQ62:CV62" si="64" xml:space="preserve"> BQ$53</f>
        <v>0</v>
      </c>
      <c r="BR62" s="12">
        <f t="shared" si="64"/>
        <v>0</v>
      </c>
      <c r="BS62" s="12">
        <f t="shared" si="64"/>
        <v>0</v>
      </c>
      <c r="BT62" s="12">
        <f t="shared" si="64"/>
        <v>0</v>
      </c>
      <c r="BU62" s="12">
        <f t="shared" si="64"/>
        <v>0</v>
      </c>
      <c r="BV62" s="12">
        <f t="shared" si="64"/>
        <v>0</v>
      </c>
      <c r="BW62" s="12">
        <f t="shared" si="64"/>
        <v>0</v>
      </c>
      <c r="BX62" s="12">
        <f t="shared" si="64"/>
        <v>0</v>
      </c>
      <c r="BY62" s="12">
        <f t="shared" si="64"/>
        <v>0</v>
      </c>
      <c r="BZ62" s="12">
        <f t="shared" si="64"/>
        <v>0</v>
      </c>
      <c r="CA62" s="12">
        <f t="shared" si="64"/>
        <v>0</v>
      </c>
      <c r="CB62" s="12">
        <f t="shared" si="64"/>
        <v>0</v>
      </c>
      <c r="CC62" s="12">
        <f t="shared" si="64"/>
        <v>0</v>
      </c>
      <c r="CD62" s="12">
        <f t="shared" si="64"/>
        <v>0</v>
      </c>
      <c r="CE62" s="12">
        <f t="shared" si="64"/>
        <v>0</v>
      </c>
      <c r="CF62" s="12">
        <f t="shared" si="64"/>
        <v>0</v>
      </c>
      <c r="CG62" s="12">
        <f t="shared" si="64"/>
        <v>0</v>
      </c>
      <c r="CH62" s="12">
        <f t="shared" si="64"/>
        <v>0</v>
      </c>
      <c r="CI62" s="12">
        <f t="shared" si="64"/>
        <v>0</v>
      </c>
      <c r="CJ62" s="12">
        <f t="shared" si="64"/>
        <v>0</v>
      </c>
      <c r="CK62" s="12">
        <f t="shared" si="64"/>
        <v>0</v>
      </c>
      <c r="CL62" s="12">
        <f t="shared" si="64"/>
        <v>0</v>
      </c>
      <c r="CM62" s="12">
        <f t="shared" si="64"/>
        <v>0</v>
      </c>
      <c r="CN62" s="12">
        <f t="shared" si="64"/>
        <v>0</v>
      </c>
      <c r="CO62" s="12">
        <f t="shared" si="64"/>
        <v>0</v>
      </c>
      <c r="CP62" s="12">
        <f t="shared" si="64"/>
        <v>0</v>
      </c>
      <c r="CQ62" s="12">
        <f t="shared" si="64"/>
        <v>0</v>
      </c>
      <c r="CR62" s="12">
        <f t="shared" si="64"/>
        <v>0</v>
      </c>
      <c r="CS62" s="12">
        <f t="shared" si="64"/>
        <v>0</v>
      </c>
      <c r="CT62" s="12">
        <f t="shared" si="64"/>
        <v>0</v>
      </c>
      <c r="CU62" s="12">
        <f t="shared" si="64"/>
        <v>0</v>
      </c>
      <c r="CV62" s="12">
        <f t="shared" si="64"/>
        <v>0</v>
      </c>
    </row>
    <row r="63" spans="1:192" outlineLevel="1" x14ac:dyDescent="0.2">
      <c r="E63" s="12" t="str">
        <f t="shared" ref="E63:AJ63" si="65" xml:space="preserve"> E$60</f>
        <v>Tax losses utilised</v>
      </c>
      <c r="F63" s="12">
        <f t="shared" si="65"/>
        <v>0</v>
      </c>
      <c r="G63" s="12" t="str">
        <f t="shared" si="65"/>
        <v>$ 000s</v>
      </c>
      <c r="H63" s="12">
        <f t="shared" si="65"/>
        <v>0</v>
      </c>
      <c r="I63" s="12">
        <f t="shared" si="65"/>
        <v>0</v>
      </c>
      <c r="J63" s="12">
        <f t="shared" si="65"/>
        <v>0</v>
      </c>
      <c r="K63" s="12">
        <f t="shared" si="65"/>
        <v>0</v>
      </c>
      <c r="L63" s="12">
        <f t="shared" si="65"/>
        <v>0</v>
      </c>
      <c r="M63" s="12">
        <f t="shared" si="65"/>
        <v>0</v>
      </c>
      <c r="N63" s="12">
        <f t="shared" si="65"/>
        <v>0</v>
      </c>
      <c r="O63" s="12">
        <f t="shared" si="65"/>
        <v>0</v>
      </c>
      <c r="P63" s="12">
        <f t="shared" si="65"/>
        <v>0</v>
      </c>
      <c r="Q63" s="12">
        <f t="shared" si="65"/>
        <v>0</v>
      </c>
      <c r="R63" s="12">
        <f t="shared" si="65"/>
        <v>0</v>
      </c>
      <c r="S63" s="12">
        <f t="shared" si="65"/>
        <v>0</v>
      </c>
      <c r="T63" s="12">
        <f t="shared" si="65"/>
        <v>0</v>
      </c>
      <c r="U63" s="12">
        <f t="shared" si="65"/>
        <v>0</v>
      </c>
      <c r="V63" s="12">
        <f t="shared" si="65"/>
        <v>0</v>
      </c>
      <c r="W63" s="12">
        <f t="shared" si="65"/>
        <v>0</v>
      </c>
      <c r="X63" s="12">
        <f t="shared" si="65"/>
        <v>0</v>
      </c>
      <c r="Y63" s="12">
        <f t="shared" si="65"/>
        <v>0</v>
      </c>
      <c r="Z63" s="12">
        <f t="shared" si="65"/>
        <v>0</v>
      </c>
      <c r="AA63" s="12">
        <f t="shared" si="65"/>
        <v>0</v>
      </c>
      <c r="AB63" s="12">
        <f t="shared" si="65"/>
        <v>0</v>
      </c>
      <c r="AC63" s="12">
        <f t="shared" si="65"/>
        <v>0</v>
      </c>
      <c r="AD63" s="12">
        <f t="shared" si="65"/>
        <v>0</v>
      </c>
      <c r="AE63" s="12">
        <f t="shared" si="65"/>
        <v>0</v>
      </c>
      <c r="AF63" s="12">
        <f t="shared" si="65"/>
        <v>0</v>
      </c>
      <c r="AG63" s="12">
        <f t="shared" si="65"/>
        <v>0</v>
      </c>
      <c r="AH63" s="12">
        <f t="shared" si="65"/>
        <v>0</v>
      </c>
      <c r="AI63" s="12">
        <f t="shared" si="65"/>
        <v>0</v>
      </c>
      <c r="AJ63" s="12">
        <f t="shared" si="65"/>
        <v>0</v>
      </c>
      <c r="AK63" s="12">
        <f t="shared" ref="AK63:BP63" si="66" xml:space="preserve"> AK$60</f>
        <v>0</v>
      </c>
      <c r="AL63" s="12">
        <f t="shared" si="66"/>
        <v>0</v>
      </c>
      <c r="AM63" s="12">
        <f t="shared" si="66"/>
        <v>0</v>
      </c>
      <c r="AN63" s="12">
        <f t="shared" si="66"/>
        <v>0</v>
      </c>
      <c r="AO63" s="12">
        <f t="shared" si="66"/>
        <v>0</v>
      </c>
      <c r="AP63" s="12">
        <f t="shared" si="66"/>
        <v>0</v>
      </c>
      <c r="AQ63" s="12">
        <f t="shared" si="66"/>
        <v>0</v>
      </c>
      <c r="AR63" s="12">
        <f t="shared" si="66"/>
        <v>0</v>
      </c>
      <c r="AS63" s="12">
        <f t="shared" si="66"/>
        <v>0</v>
      </c>
      <c r="AT63" s="12">
        <f t="shared" si="66"/>
        <v>0</v>
      </c>
      <c r="AU63" s="12">
        <f t="shared" si="66"/>
        <v>0</v>
      </c>
      <c r="AV63" s="12">
        <f t="shared" si="66"/>
        <v>0</v>
      </c>
      <c r="AW63" s="12">
        <f t="shared" si="66"/>
        <v>0</v>
      </c>
      <c r="AX63" s="12">
        <f t="shared" si="66"/>
        <v>0</v>
      </c>
      <c r="AY63" s="12">
        <f t="shared" si="66"/>
        <v>0</v>
      </c>
      <c r="AZ63" s="12">
        <f t="shared" si="66"/>
        <v>0</v>
      </c>
      <c r="BA63" s="12">
        <f t="shared" si="66"/>
        <v>0</v>
      </c>
      <c r="BB63" s="12">
        <f t="shared" si="66"/>
        <v>0</v>
      </c>
      <c r="BC63" s="12">
        <f t="shared" si="66"/>
        <v>0</v>
      </c>
      <c r="BD63" s="12">
        <f t="shared" si="66"/>
        <v>0</v>
      </c>
      <c r="BE63" s="12">
        <f t="shared" si="66"/>
        <v>0</v>
      </c>
      <c r="BF63" s="12">
        <f t="shared" si="66"/>
        <v>0</v>
      </c>
      <c r="BG63" s="12">
        <f t="shared" si="66"/>
        <v>0</v>
      </c>
      <c r="BH63" s="12">
        <f t="shared" si="66"/>
        <v>0</v>
      </c>
      <c r="BI63" s="12">
        <f t="shared" si="66"/>
        <v>0</v>
      </c>
      <c r="BJ63" s="12">
        <f t="shared" si="66"/>
        <v>0</v>
      </c>
      <c r="BK63" s="12">
        <f t="shared" si="66"/>
        <v>0</v>
      </c>
      <c r="BL63" s="12">
        <f t="shared" si="66"/>
        <v>0</v>
      </c>
      <c r="BM63" s="12">
        <f t="shared" si="66"/>
        <v>0</v>
      </c>
      <c r="BN63" s="12">
        <f t="shared" si="66"/>
        <v>0</v>
      </c>
      <c r="BO63" s="12">
        <f t="shared" si="66"/>
        <v>0</v>
      </c>
      <c r="BP63" s="12">
        <f t="shared" si="66"/>
        <v>0</v>
      </c>
      <c r="BQ63" s="12">
        <f t="shared" ref="BQ63:CV63" si="67" xml:space="preserve"> BQ$60</f>
        <v>0</v>
      </c>
      <c r="BR63" s="12">
        <f t="shared" si="67"/>
        <v>0</v>
      </c>
      <c r="BS63" s="12">
        <f t="shared" si="67"/>
        <v>0</v>
      </c>
      <c r="BT63" s="12">
        <f t="shared" si="67"/>
        <v>0</v>
      </c>
      <c r="BU63" s="12">
        <f t="shared" si="67"/>
        <v>0</v>
      </c>
      <c r="BV63" s="12">
        <f t="shared" si="67"/>
        <v>0</v>
      </c>
      <c r="BW63" s="12">
        <f t="shared" si="67"/>
        <v>0</v>
      </c>
      <c r="BX63" s="12">
        <f t="shared" si="67"/>
        <v>0</v>
      </c>
      <c r="BY63" s="12">
        <f t="shared" si="67"/>
        <v>0</v>
      </c>
      <c r="BZ63" s="12">
        <f t="shared" si="67"/>
        <v>0</v>
      </c>
      <c r="CA63" s="12">
        <f t="shared" si="67"/>
        <v>0</v>
      </c>
      <c r="CB63" s="12">
        <f t="shared" si="67"/>
        <v>0</v>
      </c>
      <c r="CC63" s="12">
        <f t="shared" si="67"/>
        <v>0</v>
      </c>
      <c r="CD63" s="12">
        <f t="shared" si="67"/>
        <v>0</v>
      </c>
      <c r="CE63" s="12">
        <f t="shared" si="67"/>
        <v>0</v>
      </c>
      <c r="CF63" s="12">
        <f t="shared" si="67"/>
        <v>0</v>
      </c>
      <c r="CG63" s="12">
        <f t="shared" si="67"/>
        <v>0</v>
      </c>
      <c r="CH63" s="12">
        <f t="shared" si="67"/>
        <v>0</v>
      </c>
      <c r="CI63" s="12">
        <f t="shared" si="67"/>
        <v>0</v>
      </c>
      <c r="CJ63" s="12">
        <f t="shared" si="67"/>
        <v>0</v>
      </c>
      <c r="CK63" s="12">
        <f t="shared" si="67"/>
        <v>0</v>
      </c>
      <c r="CL63" s="12">
        <f t="shared" si="67"/>
        <v>0</v>
      </c>
      <c r="CM63" s="12">
        <f t="shared" si="67"/>
        <v>0</v>
      </c>
      <c r="CN63" s="12">
        <f t="shared" si="67"/>
        <v>0</v>
      </c>
      <c r="CO63" s="12">
        <f t="shared" si="67"/>
        <v>0</v>
      </c>
      <c r="CP63" s="12">
        <f t="shared" si="67"/>
        <v>0</v>
      </c>
      <c r="CQ63" s="12">
        <f t="shared" si="67"/>
        <v>0</v>
      </c>
      <c r="CR63" s="12">
        <f t="shared" si="67"/>
        <v>0</v>
      </c>
      <c r="CS63" s="12">
        <f t="shared" si="67"/>
        <v>0</v>
      </c>
      <c r="CT63" s="12">
        <f t="shared" si="67"/>
        <v>0</v>
      </c>
      <c r="CU63" s="12">
        <f t="shared" si="67"/>
        <v>0</v>
      </c>
      <c r="CV63" s="12">
        <f t="shared" si="67"/>
        <v>0</v>
      </c>
    </row>
    <row r="64" spans="1:192" outlineLevel="1" x14ac:dyDescent="0.2">
      <c r="E64" s="12" t="s">
        <v>180</v>
      </c>
      <c r="G64" s="12" t="str">
        <f xml:space="preserve"> SMU</f>
        <v>$ 000s</v>
      </c>
      <c r="H64" s="12">
        <f xml:space="preserve"> SUM(J64:CV64)</f>
        <v>0</v>
      </c>
      <c r="J64" s="12">
        <f t="shared" ref="J64:AO64" si="68" xml:space="preserve"> J62 - J63</f>
        <v>0</v>
      </c>
      <c r="K64" s="12">
        <f t="shared" si="68"/>
        <v>0</v>
      </c>
      <c r="L64" s="12">
        <f t="shared" si="68"/>
        <v>0</v>
      </c>
      <c r="M64" s="12">
        <f t="shared" si="68"/>
        <v>0</v>
      </c>
      <c r="N64" s="12">
        <f t="shared" si="68"/>
        <v>0</v>
      </c>
      <c r="O64" s="12">
        <f t="shared" si="68"/>
        <v>0</v>
      </c>
      <c r="P64" s="12">
        <f t="shared" si="68"/>
        <v>0</v>
      </c>
      <c r="Q64" s="12">
        <f t="shared" si="68"/>
        <v>0</v>
      </c>
      <c r="R64" s="12">
        <f t="shared" si="68"/>
        <v>0</v>
      </c>
      <c r="S64" s="12">
        <f t="shared" si="68"/>
        <v>0</v>
      </c>
      <c r="T64" s="12">
        <f t="shared" si="68"/>
        <v>0</v>
      </c>
      <c r="U64" s="12">
        <f t="shared" si="68"/>
        <v>0</v>
      </c>
      <c r="V64" s="12">
        <f t="shared" si="68"/>
        <v>0</v>
      </c>
      <c r="W64" s="12">
        <f t="shared" si="68"/>
        <v>0</v>
      </c>
      <c r="X64" s="12">
        <f t="shared" si="68"/>
        <v>0</v>
      </c>
      <c r="Y64" s="12">
        <f t="shared" si="68"/>
        <v>0</v>
      </c>
      <c r="Z64" s="12">
        <f t="shared" si="68"/>
        <v>0</v>
      </c>
      <c r="AA64" s="12">
        <f t="shared" si="68"/>
        <v>0</v>
      </c>
      <c r="AB64" s="12">
        <f t="shared" si="68"/>
        <v>0</v>
      </c>
      <c r="AC64" s="12">
        <f t="shared" si="68"/>
        <v>0</v>
      </c>
      <c r="AD64" s="12">
        <f t="shared" si="68"/>
        <v>0</v>
      </c>
      <c r="AE64" s="12">
        <f t="shared" si="68"/>
        <v>0</v>
      </c>
      <c r="AF64" s="12">
        <f t="shared" si="68"/>
        <v>0</v>
      </c>
      <c r="AG64" s="12">
        <f t="shared" si="68"/>
        <v>0</v>
      </c>
      <c r="AH64" s="12">
        <f t="shared" si="68"/>
        <v>0</v>
      </c>
      <c r="AI64" s="12">
        <f t="shared" si="68"/>
        <v>0</v>
      </c>
      <c r="AJ64" s="12">
        <f t="shared" si="68"/>
        <v>0</v>
      </c>
      <c r="AK64" s="12">
        <f t="shared" si="68"/>
        <v>0</v>
      </c>
      <c r="AL64" s="12">
        <f t="shared" si="68"/>
        <v>0</v>
      </c>
      <c r="AM64" s="12">
        <f t="shared" si="68"/>
        <v>0</v>
      </c>
      <c r="AN64" s="12">
        <f t="shared" si="68"/>
        <v>0</v>
      </c>
      <c r="AO64" s="12">
        <f t="shared" si="68"/>
        <v>0</v>
      </c>
      <c r="AP64" s="12">
        <f t="shared" ref="AP64:BU64" si="69" xml:space="preserve"> AP62 - AP63</f>
        <v>0</v>
      </c>
      <c r="AQ64" s="12">
        <f t="shared" si="69"/>
        <v>0</v>
      </c>
      <c r="AR64" s="12">
        <f t="shared" si="69"/>
        <v>0</v>
      </c>
      <c r="AS64" s="12">
        <f t="shared" si="69"/>
        <v>0</v>
      </c>
      <c r="AT64" s="12">
        <f t="shared" si="69"/>
        <v>0</v>
      </c>
      <c r="AU64" s="12">
        <f t="shared" si="69"/>
        <v>0</v>
      </c>
      <c r="AV64" s="12">
        <f t="shared" si="69"/>
        <v>0</v>
      </c>
      <c r="AW64" s="12">
        <f t="shared" si="69"/>
        <v>0</v>
      </c>
      <c r="AX64" s="12">
        <f t="shared" si="69"/>
        <v>0</v>
      </c>
      <c r="AY64" s="12">
        <f t="shared" si="69"/>
        <v>0</v>
      </c>
      <c r="AZ64" s="12">
        <f t="shared" si="69"/>
        <v>0</v>
      </c>
      <c r="BA64" s="12">
        <f t="shared" si="69"/>
        <v>0</v>
      </c>
      <c r="BB64" s="12">
        <f t="shared" si="69"/>
        <v>0</v>
      </c>
      <c r="BC64" s="12">
        <f t="shared" si="69"/>
        <v>0</v>
      </c>
      <c r="BD64" s="12">
        <f t="shared" si="69"/>
        <v>0</v>
      </c>
      <c r="BE64" s="12">
        <f t="shared" si="69"/>
        <v>0</v>
      </c>
      <c r="BF64" s="12">
        <f t="shared" si="69"/>
        <v>0</v>
      </c>
      <c r="BG64" s="12">
        <f t="shared" si="69"/>
        <v>0</v>
      </c>
      <c r="BH64" s="12">
        <f t="shared" si="69"/>
        <v>0</v>
      </c>
      <c r="BI64" s="12">
        <f t="shared" si="69"/>
        <v>0</v>
      </c>
      <c r="BJ64" s="12">
        <f t="shared" si="69"/>
        <v>0</v>
      </c>
      <c r="BK64" s="12">
        <f t="shared" si="69"/>
        <v>0</v>
      </c>
      <c r="BL64" s="12">
        <f t="shared" si="69"/>
        <v>0</v>
      </c>
      <c r="BM64" s="12">
        <f t="shared" si="69"/>
        <v>0</v>
      </c>
      <c r="BN64" s="12">
        <f t="shared" si="69"/>
        <v>0</v>
      </c>
      <c r="BO64" s="12">
        <f t="shared" si="69"/>
        <v>0</v>
      </c>
      <c r="BP64" s="12">
        <f t="shared" si="69"/>
        <v>0</v>
      </c>
      <c r="BQ64" s="12">
        <f t="shared" si="69"/>
        <v>0</v>
      </c>
      <c r="BR64" s="12">
        <f t="shared" si="69"/>
        <v>0</v>
      </c>
      <c r="BS64" s="12">
        <f t="shared" si="69"/>
        <v>0</v>
      </c>
      <c r="BT64" s="12">
        <f t="shared" si="69"/>
        <v>0</v>
      </c>
      <c r="BU64" s="12">
        <f t="shared" si="69"/>
        <v>0</v>
      </c>
      <c r="BV64" s="12">
        <f t="shared" ref="BV64:CV64" si="70" xml:space="preserve"> BV62 - BV63</f>
        <v>0</v>
      </c>
      <c r="BW64" s="12">
        <f t="shared" si="70"/>
        <v>0</v>
      </c>
      <c r="BX64" s="12">
        <f t="shared" si="70"/>
        <v>0</v>
      </c>
      <c r="BY64" s="12">
        <f t="shared" si="70"/>
        <v>0</v>
      </c>
      <c r="BZ64" s="12">
        <f t="shared" si="70"/>
        <v>0</v>
      </c>
      <c r="CA64" s="12">
        <f t="shared" si="70"/>
        <v>0</v>
      </c>
      <c r="CB64" s="12">
        <f t="shared" si="70"/>
        <v>0</v>
      </c>
      <c r="CC64" s="12">
        <f t="shared" si="70"/>
        <v>0</v>
      </c>
      <c r="CD64" s="12">
        <f t="shared" si="70"/>
        <v>0</v>
      </c>
      <c r="CE64" s="12">
        <f t="shared" si="70"/>
        <v>0</v>
      </c>
      <c r="CF64" s="12">
        <f t="shared" si="70"/>
        <v>0</v>
      </c>
      <c r="CG64" s="12">
        <f t="shared" si="70"/>
        <v>0</v>
      </c>
      <c r="CH64" s="12">
        <f t="shared" si="70"/>
        <v>0</v>
      </c>
      <c r="CI64" s="12">
        <f t="shared" si="70"/>
        <v>0</v>
      </c>
      <c r="CJ64" s="12">
        <f t="shared" si="70"/>
        <v>0</v>
      </c>
      <c r="CK64" s="12">
        <f t="shared" si="70"/>
        <v>0</v>
      </c>
      <c r="CL64" s="12">
        <f t="shared" si="70"/>
        <v>0</v>
      </c>
      <c r="CM64" s="12">
        <f t="shared" si="70"/>
        <v>0</v>
      </c>
      <c r="CN64" s="12">
        <f t="shared" si="70"/>
        <v>0</v>
      </c>
      <c r="CO64" s="12">
        <f t="shared" si="70"/>
        <v>0</v>
      </c>
      <c r="CP64" s="12">
        <f t="shared" si="70"/>
        <v>0</v>
      </c>
      <c r="CQ64" s="12">
        <f t="shared" si="70"/>
        <v>0</v>
      </c>
      <c r="CR64" s="12">
        <f t="shared" si="70"/>
        <v>0</v>
      </c>
      <c r="CS64" s="12">
        <f t="shared" si="70"/>
        <v>0</v>
      </c>
      <c r="CT64" s="12">
        <f t="shared" si="70"/>
        <v>0</v>
      </c>
      <c r="CU64" s="12">
        <f t="shared" si="70"/>
        <v>0</v>
      </c>
      <c r="CV64" s="12">
        <f t="shared" si="70"/>
        <v>0</v>
      </c>
    </row>
    <row r="65" spans="1:192" outlineLevel="1" x14ac:dyDescent="0.2"/>
    <row r="66" spans="1:192" outlineLevel="1" x14ac:dyDescent="0.2">
      <c r="B66" s="15" t="s">
        <v>167</v>
      </c>
    </row>
    <row r="67" spans="1:192" s="502" customFormat="1" outlineLevel="2" x14ac:dyDescent="0.2">
      <c r="A67" s="216"/>
      <c r="B67" s="216"/>
      <c r="C67" s="217"/>
      <c r="D67" s="218"/>
      <c r="E67" s="219" t="s">
        <v>176</v>
      </c>
      <c r="F67" s="219"/>
      <c r="G67" s="219" t="str">
        <f xml:space="preserve"> SMU</f>
        <v>$ 000s</v>
      </c>
      <c r="H67" s="219"/>
      <c r="I67" s="220"/>
      <c r="J67" s="219">
        <f t="shared" ref="J67:BU67" si="71">I70</f>
        <v>0</v>
      </c>
      <c r="K67" s="219">
        <f t="shared" si="71"/>
        <v>0</v>
      </c>
      <c r="L67" s="219">
        <f t="shared" si="71"/>
        <v>0</v>
      </c>
      <c r="M67" s="219">
        <f t="shared" si="71"/>
        <v>0</v>
      </c>
      <c r="N67" s="219">
        <f t="shared" si="71"/>
        <v>0</v>
      </c>
      <c r="O67" s="219">
        <f t="shared" si="71"/>
        <v>0</v>
      </c>
      <c r="P67" s="219">
        <f t="shared" si="71"/>
        <v>38182.041310855093</v>
      </c>
      <c r="Q67" s="219">
        <f t="shared" si="71"/>
        <v>72681.422494125844</v>
      </c>
      <c r="R67" s="219">
        <f t="shared" si="71"/>
        <v>104428.52177612769</v>
      </c>
      <c r="S67" s="219">
        <f t="shared" si="71"/>
        <v>133233.46033050632</v>
      </c>
      <c r="T67" s="219">
        <f t="shared" si="71"/>
        <v>159831.89936896064</v>
      </c>
      <c r="U67" s="219">
        <f t="shared" si="71"/>
        <v>183996.40545172978</v>
      </c>
      <c r="V67" s="219">
        <f t="shared" si="71"/>
        <v>206398.49446329696</v>
      </c>
      <c r="W67" s="219">
        <f t="shared" si="71"/>
        <v>226834.67107110893</v>
      </c>
      <c r="X67" s="219">
        <f t="shared" si="71"/>
        <v>245814.76228598252</v>
      </c>
      <c r="Y67" s="219">
        <f t="shared" si="71"/>
        <v>263122.86320930824</v>
      </c>
      <c r="Z67" s="219">
        <f t="shared" si="71"/>
        <v>279714.86617934972</v>
      </c>
      <c r="AA67" s="219">
        <f t="shared" si="71"/>
        <v>294906.53634793207</v>
      </c>
      <c r="AB67" s="219">
        <f t="shared" si="71"/>
        <v>309232.30899223522</v>
      </c>
      <c r="AC67" s="219">
        <f t="shared" si="71"/>
        <v>322394.46829968027</v>
      </c>
      <c r="AD67" s="219">
        <f t="shared" si="71"/>
        <v>334889.21338335396</v>
      </c>
      <c r="AE67" s="219">
        <f t="shared" si="71"/>
        <v>346459.62976662326</v>
      </c>
      <c r="AF67" s="219">
        <f t="shared" si="71"/>
        <v>357483.84396807256</v>
      </c>
      <c r="AG67" s="219">
        <f t="shared" si="71"/>
        <v>367716.48525440885</v>
      </c>
      <c r="AH67" s="219">
        <f t="shared" si="71"/>
        <v>377582.32263606921</v>
      </c>
      <c r="AI67" s="219">
        <f t="shared" si="71"/>
        <v>386802.20048092777</v>
      </c>
      <c r="AJ67" s="219">
        <f t="shared" si="71"/>
        <v>396069.80509920721</v>
      </c>
      <c r="AK67" s="219">
        <f t="shared" si="71"/>
        <v>404804.82742963958</v>
      </c>
      <c r="AL67" s="219">
        <f t="shared" si="71"/>
        <v>413383.78490472282</v>
      </c>
      <c r="AM67" s="219">
        <f t="shared" si="71"/>
        <v>421572.86479643546</v>
      </c>
      <c r="AN67" s="219">
        <f t="shared" si="71"/>
        <v>429665.89655143389</v>
      </c>
      <c r="AO67" s="219">
        <f t="shared" si="71"/>
        <v>437454.59839387011</v>
      </c>
      <c r="AP67" s="219">
        <f t="shared" si="71"/>
        <v>445255.69972601923</v>
      </c>
      <c r="AQ67" s="219">
        <f t="shared" si="71"/>
        <v>452853.84844292799</v>
      </c>
      <c r="AR67" s="219">
        <f t="shared" si="71"/>
        <v>460540.40654421545</v>
      </c>
      <c r="AS67" s="219">
        <f t="shared" si="71"/>
        <v>468125.20701578341</v>
      </c>
      <c r="AT67" s="219">
        <f t="shared" si="71"/>
        <v>475873.22137614607</v>
      </c>
      <c r="AU67" s="219">
        <f t="shared" si="71"/>
        <v>483660.25737803843</v>
      </c>
      <c r="AV67" s="219">
        <f t="shared" si="71"/>
        <v>491710.00779246254</v>
      </c>
      <c r="AW67" s="219">
        <f t="shared" si="71"/>
        <v>499317.05695156823</v>
      </c>
      <c r="AX67" s="219">
        <f t="shared" si="71"/>
        <v>506665.45847820159</v>
      </c>
      <c r="AY67" s="219">
        <f t="shared" si="71"/>
        <v>513490.52536462067</v>
      </c>
      <c r="AZ67" s="219">
        <f t="shared" si="71"/>
        <v>519942.56335695134</v>
      </c>
      <c r="BA67" s="219">
        <f t="shared" si="71"/>
        <v>525853.52257913339</v>
      </c>
      <c r="BB67" s="219">
        <f t="shared" si="71"/>
        <v>531372.03945353394</v>
      </c>
      <c r="BC67" s="219">
        <f t="shared" si="71"/>
        <v>541050.35825121694</v>
      </c>
      <c r="BD67" s="219">
        <f t="shared" si="71"/>
        <v>541050.35825121694</v>
      </c>
      <c r="BE67" s="219">
        <f t="shared" si="71"/>
        <v>541050.35825121694</v>
      </c>
      <c r="BF67" s="219">
        <f t="shared" si="71"/>
        <v>541050.35825121694</v>
      </c>
      <c r="BG67" s="219">
        <f t="shared" si="71"/>
        <v>541050.35825121694</v>
      </c>
      <c r="BH67" s="219">
        <f t="shared" si="71"/>
        <v>541050.35825121694</v>
      </c>
      <c r="BI67" s="219">
        <f t="shared" si="71"/>
        <v>541050.35825121694</v>
      </c>
      <c r="BJ67" s="219">
        <f t="shared" si="71"/>
        <v>541050.35825121694</v>
      </c>
      <c r="BK67" s="219">
        <f t="shared" si="71"/>
        <v>541050.35825121694</v>
      </c>
      <c r="BL67" s="219">
        <f t="shared" si="71"/>
        <v>541050.35825121694</v>
      </c>
      <c r="BM67" s="219">
        <f t="shared" si="71"/>
        <v>541050.35825121694</v>
      </c>
      <c r="BN67" s="219">
        <f t="shared" si="71"/>
        <v>541050.35825121694</v>
      </c>
      <c r="BO67" s="219">
        <f t="shared" si="71"/>
        <v>541050.35825121694</v>
      </c>
      <c r="BP67" s="219">
        <f t="shared" si="71"/>
        <v>541050.35825121694</v>
      </c>
      <c r="BQ67" s="219">
        <f t="shared" si="71"/>
        <v>541050.35825121694</v>
      </c>
      <c r="BR67" s="219">
        <f t="shared" si="71"/>
        <v>541050.35825121694</v>
      </c>
      <c r="BS67" s="219">
        <f t="shared" si="71"/>
        <v>541050.35825121694</v>
      </c>
      <c r="BT67" s="219">
        <f t="shared" si="71"/>
        <v>541050.35825121694</v>
      </c>
      <c r="BU67" s="219">
        <f t="shared" si="71"/>
        <v>541050.35825121694</v>
      </c>
      <c r="BV67" s="219">
        <f t="shared" ref="BV67:CV67" si="72">BU70</f>
        <v>541050.35825121694</v>
      </c>
      <c r="BW67" s="219">
        <f t="shared" si="72"/>
        <v>541050.35825121694</v>
      </c>
      <c r="BX67" s="219">
        <f t="shared" si="72"/>
        <v>541050.35825121694</v>
      </c>
      <c r="BY67" s="219">
        <f t="shared" si="72"/>
        <v>541050.35825121694</v>
      </c>
      <c r="BZ67" s="219">
        <f t="shared" si="72"/>
        <v>541050.35825121694</v>
      </c>
      <c r="CA67" s="219">
        <f t="shared" si="72"/>
        <v>541050.35825121694</v>
      </c>
      <c r="CB67" s="219">
        <f t="shared" si="72"/>
        <v>541050.35825121694</v>
      </c>
      <c r="CC67" s="219">
        <f t="shared" si="72"/>
        <v>541050.35825121694</v>
      </c>
      <c r="CD67" s="219">
        <f t="shared" si="72"/>
        <v>541050.35825121694</v>
      </c>
      <c r="CE67" s="219">
        <f t="shared" si="72"/>
        <v>541050.35825121694</v>
      </c>
      <c r="CF67" s="219">
        <f t="shared" si="72"/>
        <v>541050.35825121694</v>
      </c>
      <c r="CG67" s="219">
        <f t="shared" si="72"/>
        <v>541050.35825121694</v>
      </c>
      <c r="CH67" s="219">
        <f t="shared" si="72"/>
        <v>541050.35825121694</v>
      </c>
      <c r="CI67" s="219">
        <f t="shared" si="72"/>
        <v>541050.35825121694</v>
      </c>
      <c r="CJ67" s="219">
        <f t="shared" si="72"/>
        <v>541050.35825121694</v>
      </c>
      <c r="CK67" s="219">
        <f t="shared" si="72"/>
        <v>541050.35825121694</v>
      </c>
      <c r="CL67" s="219">
        <f t="shared" si="72"/>
        <v>541050.35825121694</v>
      </c>
      <c r="CM67" s="219">
        <f t="shared" si="72"/>
        <v>541050.35825121694</v>
      </c>
      <c r="CN67" s="219">
        <f t="shared" si="72"/>
        <v>541050.35825121694</v>
      </c>
      <c r="CO67" s="219">
        <f t="shared" si="72"/>
        <v>541050.35825121694</v>
      </c>
      <c r="CP67" s="219">
        <f t="shared" si="72"/>
        <v>541050.35825121694</v>
      </c>
      <c r="CQ67" s="219">
        <f t="shared" si="72"/>
        <v>541050.35825121694</v>
      </c>
      <c r="CR67" s="219">
        <f t="shared" si="72"/>
        <v>541050.35825121694</v>
      </c>
      <c r="CS67" s="219">
        <f t="shared" si="72"/>
        <v>541050.35825121694</v>
      </c>
      <c r="CT67" s="219">
        <f t="shared" si="72"/>
        <v>541050.35825121694</v>
      </c>
      <c r="CU67" s="219">
        <f t="shared" si="72"/>
        <v>541050.35825121694</v>
      </c>
      <c r="CV67" s="219">
        <f t="shared" si="72"/>
        <v>541050.35825121694</v>
      </c>
    </row>
    <row r="68" spans="1:192" s="498" customFormat="1" outlineLevel="2" x14ac:dyDescent="0.2">
      <c r="A68" s="15"/>
      <c r="B68" s="15"/>
      <c r="C68" s="21"/>
      <c r="D68" s="48"/>
      <c r="E68" s="38" t="str">
        <f t="shared" ref="E68:AJ68" si="73" xml:space="preserve"> E$56</f>
        <v>Tax losses arising</v>
      </c>
      <c r="F68" s="38">
        <f t="shared" si="73"/>
        <v>0</v>
      </c>
      <c r="G68" s="38" t="str">
        <f t="shared" si="73"/>
        <v>$ 000s</v>
      </c>
      <c r="H68" s="38">
        <f t="shared" si="73"/>
        <v>541050.35825121694</v>
      </c>
      <c r="I68" s="38">
        <f t="shared" si="73"/>
        <v>0</v>
      </c>
      <c r="J68" s="38">
        <f t="shared" si="73"/>
        <v>0</v>
      </c>
      <c r="K68" s="38">
        <f t="shared" si="73"/>
        <v>0</v>
      </c>
      <c r="L68" s="38">
        <f t="shared" si="73"/>
        <v>0</v>
      </c>
      <c r="M68" s="38">
        <f t="shared" si="73"/>
        <v>0</v>
      </c>
      <c r="N68" s="38">
        <f t="shared" si="73"/>
        <v>0</v>
      </c>
      <c r="O68" s="38">
        <f t="shared" si="73"/>
        <v>38182.041310855093</v>
      </c>
      <c r="P68" s="38">
        <f t="shared" si="73"/>
        <v>34499.381183270743</v>
      </c>
      <c r="Q68" s="38">
        <f t="shared" si="73"/>
        <v>31747.09928200184</v>
      </c>
      <c r="R68" s="38">
        <f t="shared" si="73"/>
        <v>28804.938554378645</v>
      </c>
      <c r="S68" s="38">
        <f t="shared" si="73"/>
        <v>26598.439038454311</v>
      </c>
      <c r="T68" s="38">
        <f t="shared" si="73"/>
        <v>24164.50608276913</v>
      </c>
      <c r="U68" s="38">
        <f t="shared" si="73"/>
        <v>22402.089011567172</v>
      </c>
      <c r="V68" s="38">
        <f t="shared" si="73"/>
        <v>20436.17660781198</v>
      </c>
      <c r="W68" s="38">
        <f t="shared" si="73"/>
        <v>18980.091214873584</v>
      </c>
      <c r="X68" s="38">
        <f t="shared" si="73"/>
        <v>17308.100923325735</v>
      </c>
      <c r="Y68" s="38">
        <f t="shared" si="73"/>
        <v>16592.002970041452</v>
      </c>
      <c r="Z68" s="38">
        <f t="shared" si="73"/>
        <v>15191.670168582375</v>
      </c>
      <c r="AA68" s="38">
        <f t="shared" si="73"/>
        <v>14325.772644303153</v>
      </c>
      <c r="AB68" s="38">
        <f t="shared" si="73"/>
        <v>13162.159307445028</v>
      </c>
      <c r="AC68" s="38">
        <f t="shared" si="73"/>
        <v>12494.745083673664</v>
      </c>
      <c r="AD68" s="38">
        <f t="shared" si="73"/>
        <v>11570.416383269305</v>
      </c>
      <c r="AE68" s="38">
        <f t="shared" si="73"/>
        <v>11024.214201449295</v>
      </c>
      <c r="AF68" s="38">
        <f t="shared" si="73"/>
        <v>10232.641286336295</v>
      </c>
      <c r="AG68" s="38">
        <f t="shared" si="73"/>
        <v>9865.837381660378</v>
      </c>
      <c r="AH68" s="38">
        <f t="shared" si="73"/>
        <v>9219.8778448585617</v>
      </c>
      <c r="AI68" s="38">
        <f t="shared" si="73"/>
        <v>9267.604618279418</v>
      </c>
      <c r="AJ68" s="38">
        <f t="shared" si="73"/>
        <v>8735.0223304323863</v>
      </c>
      <c r="AK68" s="38">
        <f t="shared" ref="AK68:BP68" si="74" xml:space="preserve"> AK$56</f>
        <v>8578.9574750832599</v>
      </c>
      <c r="AL68" s="38">
        <f t="shared" si="74"/>
        <v>8189.0798917126131</v>
      </c>
      <c r="AM68" s="38">
        <f t="shared" si="74"/>
        <v>8093.0317549984138</v>
      </c>
      <c r="AN68" s="38">
        <f t="shared" si="74"/>
        <v>7788.701842436205</v>
      </c>
      <c r="AO68" s="38">
        <f t="shared" si="74"/>
        <v>7801.10133214913</v>
      </c>
      <c r="AP68" s="38">
        <f t="shared" si="74"/>
        <v>7598.1487169087495</v>
      </c>
      <c r="AQ68" s="38">
        <f t="shared" si="74"/>
        <v>7686.5581012874791</v>
      </c>
      <c r="AR68" s="38">
        <f t="shared" si="74"/>
        <v>7584.8004715679517</v>
      </c>
      <c r="AS68" s="38">
        <f t="shared" si="74"/>
        <v>7748.0143603626739</v>
      </c>
      <c r="AT68" s="38">
        <f t="shared" si="74"/>
        <v>7787.0360018923384</v>
      </c>
      <c r="AU68" s="38">
        <f t="shared" si="74"/>
        <v>8049.7504144240938</v>
      </c>
      <c r="AV68" s="38">
        <f t="shared" si="74"/>
        <v>7607.0491591057107</v>
      </c>
      <c r="AW68" s="38">
        <f t="shared" si="74"/>
        <v>7348.4015266333745</v>
      </c>
      <c r="AX68" s="38">
        <f t="shared" si="74"/>
        <v>6825.0668864190675</v>
      </c>
      <c r="AY68" s="38">
        <f t="shared" si="74"/>
        <v>6452.0379923306591</v>
      </c>
      <c r="AZ68" s="38">
        <f t="shared" si="74"/>
        <v>5910.9592221821013</v>
      </c>
      <c r="BA68" s="38">
        <f t="shared" si="74"/>
        <v>5518.5168744005605</v>
      </c>
      <c r="BB68" s="38">
        <f t="shared" si="74"/>
        <v>9678.3187976829522</v>
      </c>
      <c r="BC68" s="38">
        <f t="shared" si="74"/>
        <v>0</v>
      </c>
      <c r="BD68" s="38">
        <f t="shared" si="74"/>
        <v>0</v>
      </c>
      <c r="BE68" s="38">
        <f t="shared" si="74"/>
        <v>0</v>
      </c>
      <c r="BF68" s="38">
        <f t="shared" si="74"/>
        <v>0</v>
      </c>
      <c r="BG68" s="38">
        <f t="shared" si="74"/>
        <v>0</v>
      </c>
      <c r="BH68" s="38">
        <f t="shared" si="74"/>
        <v>0</v>
      </c>
      <c r="BI68" s="38">
        <f t="shared" si="74"/>
        <v>0</v>
      </c>
      <c r="BJ68" s="38">
        <f t="shared" si="74"/>
        <v>0</v>
      </c>
      <c r="BK68" s="38">
        <f t="shared" si="74"/>
        <v>0</v>
      </c>
      <c r="BL68" s="38">
        <f t="shared" si="74"/>
        <v>0</v>
      </c>
      <c r="BM68" s="38">
        <f t="shared" si="74"/>
        <v>0</v>
      </c>
      <c r="BN68" s="38">
        <f t="shared" si="74"/>
        <v>0</v>
      </c>
      <c r="BO68" s="38">
        <f t="shared" si="74"/>
        <v>0</v>
      </c>
      <c r="BP68" s="38">
        <f t="shared" si="74"/>
        <v>0</v>
      </c>
      <c r="BQ68" s="38">
        <f t="shared" ref="BQ68:CV68" si="75" xml:space="preserve"> BQ$56</f>
        <v>0</v>
      </c>
      <c r="BR68" s="38">
        <f t="shared" si="75"/>
        <v>0</v>
      </c>
      <c r="BS68" s="38">
        <f t="shared" si="75"/>
        <v>0</v>
      </c>
      <c r="BT68" s="38">
        <f t="shared" si="75"/>
        <v>0</v>
      </c>
      <c r="BU68" s="38">
        <f t="shared" si="75"/>
        <v>0</v>
      </c>
      <c r="BV68" s="38">
        <f t="shared" si="75"/>
        <v>0</v>
      </c>
      <c r="BW68" s="38">
        <f t="shared" si="75"/>
        <v>0</v>
      </c>
      <c r="BX68" s="38">
        <f t="shared" si="75"/>
        <v>0</v>
      </c>
      <c r="BY68" s="38">
        <f t="shared" si="75"/>
        <v>0</v>
      </c>
      <c r="BZ68" s="38">
        <f t="shared" si="75"/>
        <v>0</v>
      </c>
      <c r="CA68" s="38">
        <f t="shared" si="75"/>
        <v>0</v>
      </c>
      <c r="CB68" s="38">
        <f t="shared" si="75"/>
        <v>0</v>
      </c>
      <c r="CC68" s="38">
        <f t="shared" si="75"/>
        <v>0</v>
      </c>
      <c r="CD68" s="38">
        <f t="shared" si="75"/>
        <v>0</v>
      </c>
      <c r="CE68" s="38">
        <f t="shared" si="75"/>
        <v>0</v>
      </c>
      <c r="CF68" s="38">
        <f t="shared" si="75"/>
        <v>0</v>
      </c>
      <c r="CG68" s="38">
        <f t="shared" si="75"/>
        <v>0</v>
      </c>
      <c r="CH68" s="38">
        <f t="shared" si="75"/>
        <v>0</v>
      </c>
      <c r="CI68" s="38">
        <f t="shared" si="75"/>
        <v>0</v>
      </c>
      <c r="CJ68" s="38">
        <f t="shared" si="75"/>
        <v>0</v>
      </c>
      <c r="CK68" s="38">
        <f t="shared" si="75"/>
        <v>0</v>
      </c>
      <c r="CL68" s="38">
        <f t="shared" si="75"/>
        <v>0</v>
      </c>
      <c r="CM68" s="38">
        <f t="shared" si="75"/>
        <v>0</v>
      </c>
      <c r="CN68" s="38">
        <f t="shared" si="75"/>
        <v>0</v>
      </c>
      <c r="CO68" s="38">
        <f t="shared" si="75"/>
        <v>0</v>
      </c>
      <c r="CP68" s="38">
        <f t="shared" si="75"/>
        <v>0</v>
      </c>
      <c r="CQ68" s="38">
        <f t="shared" si="75"/>
        <v>0</v>
      </c>
      <c r="CR68" s="38">
        <f t="shared" si="75"/>
        <v>0</v>
      </c>
      <c r="CS68" s="38">
        <f t="shared" si="75"/>
        <v>0</v>
      </c>
      <c r="CT68" s="38">
        <f t="shared" si="75"/>
        <v>0</v>
      </c>
      <c r="CU68" s="38">
        <f t="shared" si="75"/>
        <v>0</v>
      </c>
      <c r="CV68" s="38">
        <f t="shared" si="75"/>
        <v>0</v>
      </c>
      <c r="CW68" s="38">
        <f t="shared" ref="CW68:EB68" si="76" xml:space="preserve"> CW$56</f>
        <v>0</v>
      </c>
      <c r="CX68" s="38">
        <f t="shared" si="76"/>
        <v>0</v>
      </c>
      <c r="CY68" s="38">
        <f t="shared" si="76"/>
        <v>0</v>
      </c>
      <c r="CZ68" s="38">
        <f t="shared" si="76"/>
        <v>0</v>
      </c>
      <c r="DA68" s="38">
        <f t="shared" si="76"/>
        <v>0</v>
      </c>
      <c r="DB68" s="38">
        <f t="shared" si="76"/>
        <v>0</v>
      </c>
      <c r="DC68" s="38">
        <f t="shared" si="76"/>
        <v>0</v>
      </c>
      <c r="DD68" s="38">
        <f t="shared" si="76"/>
        <v>0</v>
      </c>
      <c r="DE68" s="38">
        <f t="shared" si="76"/>
        <v>0</v>
      </c>
      <c r="DF68" s="38">
        <f t="shared" si="76"/>
        <v>0</v>
      </c>
      <c r="DG68" s="38">
        <f t="shared" si="76"/>
        <v>0</v>
      </c>
      <c r="DH68" s="38">
        <f t="shared" si="76"/>
        <v>0</v>
      </c>
      <c r="DI68" s="38">
        <f t="shared" si="76"/>
        <v>0</v>
      </c>
      <c r="DJ68" s="38">
        <f t="shared" si="76"/>
        <v>0</v>
      </c>
      <c r="DK68" s="38">
        <f t="shared" si="76"/>
        <v>0</v>
      </c>
      <c r="DL68" s="38">
        <f t="shared" si="76"/>
        <v>0</v>
      </c>
      <c r="DM68" s="38">
        <f t="shared" si="76"/>
        <v>0</v>
      </c>
      <c r="DN68" s="38">
        <f t="shared" si="76"/>
        <v>0</v>
      </c>
      <c r="DO68" s="38">
        <f t="shared" si="76"/>
        <v>0</v>
      </c>
      <c r="DP68" s="38">
        <f t="shared" si="76"/>
        <v>0</v>
      </c>
      <c r="DQ68" s="38">
        <f t="shared" si="76"/>
        <v>0</v>
      </c>
      <c r="DR68" s="38">
        <f t="shared" si="76"/>
        <v>0</v>
      </c>
      <c r="DS68" s="38">
        <f t="shared" si="76"/>
        <v>0</v>
      </c>
      <c r="DT68" s="38">
        <f t="shared" si="76"/>
        <v>0</v>
      </c>
      <c r="DU68" s="38">
        <f t="shared" si="76"/>
        <v>0</v>
      </c>
      <c r="DV68" s="38">
        <f t="shared" si="76"/>
        <v>0</v>
      </c>
      <c r="DW68" s="38">
        <f t="shared" si="76"/>
        <v>0</v>
      </c>
      <c r="DX68" s="38">
        <f t="shared" si="76"/>
        <v>0</v>
      </c>
      <c r="DY68" s="38">
        <f t="shared" si="76"/>
        <v>0</v>
      </c>
      <c r="DZ68" s="38">
        <f t="shared" si="76"/>
        <v>0</v>
      </c>
      <c r="EA68" s="38">
        <f t="shared" si="76"/>
        <v>0</v>
      </c>
      <c r="EB68" s="38">
        <f t="shared" si="76"/>
        <v>0</v>
      </c>
      <c r="EC68" s="38">
        <f t="shared" ref="EC68:FH68" si="77" xml:space="preserve"> EC$56</f>
        <v>0</v>
      </c>
      <c r="ED68" s="38">
        <f t="shared" si="77"/>
        <v>0</v>
      </c>
      <c r="EE68" s="38">
        <f t="shared" si="77"/>
        <v>0</v>
      </c>
      <c r="EF68" s="38">
        <f t="shared" si="77"/>
        <v>0</v>
      </c>
      <c r="EG68" s="38">
        <f t="shared" si="77"/>
        <v>0</v>
      </c>
      <c r="EH68" s="38">
        <f t="shared" si="77"/>
        <v>0</v>
      </c>
      <c r="EI68" s="38">
        <f t="shared" si="77"/>
        <v>0</v>
      </c>
      <c r="EJ68" s="38">
        <f t="shared" si="77"/>
        <v>0</v>
      </c>
      <c r="EK68" s="38">
        <f t="shared" si="77"/>
        <v>0</v>
      </c>
      <c r="EL68" s="38">
        <f t="shared" si="77"/>
        <v>0</v>
      </c>
      <c r="EM68" s="38">
        <f t="shared" si="77"/>
        <v>0</v>
      </c>
      <c r="EN68" s="38">
        <f t="shared" si="77"/>
        <v>0</v>
      </c>
      <c r="EO68" s="38">
        <f t="shared" si="77"/>
        <v>0</v>
      </c>
      <c r="EP68" s="38">
        <f t="shared" si="77"/>
        <v>0</v>
      </c>
      <c r="EQ68" s="38">
        <f t="shared" si="77"/>
        <v>0</v>
      </c>
      <c r="ER68" s="38">
        <f t="shared" si="77"/>
        <v>0</v>
      </c>
      <c r="ES68" s="38">
        <f t="shared" si="77"/>
        <v>0</v>
      </c>
      <c r="ET68" s="38">
        <f t="shared" si="77"/>
        <v>0</v>
      </c>
      <c r="EU68" s="38">
        <f t="shared" si="77"/>
        <v>0</v>
      </c>
      <c r="EV68" s="38">
        <f t="shared" si="77"/>
        <v>0</v>
      </c>
      <c r="EW68" s="38">
        <f t="shared" si="77"/>
        <v>0</v>
      </c>
      <c r="EX68" s="38">
        <f t="shared" si="77"/>
        <v>0</v>
      </c>
      <c r="EY68" s="38">
        <f t="shared" si="77"/>
        <v>0</v>
      </c>
      <c r="EZ68" s="38">
        <f t="shared" si="77"/>
        <v>0</v>
      </c>
      <c r="FA68" s="38">
        <f t="shared" si="77"/>
        <v>0</v>
      </c>
      <c r="FB68" s="38">
        <f t="shared" si="77"/>
        <v>0</v>
      </c>
      <c r="FC68" s="38">
        <f t="shared" si="77"/>
        <v>0</v>
      </c>
      <c r="FD68" s="38">
        <f t="shared" si="77"/>
        <v>0</v>
      </c>
      <c r="FE68" s="38">
        <f t="shared" si="77"/>
        <v>0</v>
      </c>
      <c r="FF68" s="38">
        <f t="shared" si="77"/>
        <v>0</v>
      </c>
      <c r="FG68" s="38">
        <f t="shared" si="77"/>
        <v>0</v>
      </c>
      <c r="FH68" s="38">
        <f t="shared" si="77"/>
        <v>0</v>
      </c>
      <c r="FI68" s="38">
        <f t="shared" ref="FI68:GJ68" si="78" xml:space="preserve"> FI$56</f>
        <v>0</v>
      </c>
      <c r="FJ68" s="38">
        <f t="shared" si="78"/>
        <v>0</v>
      </c>
      <c r="FK68" s="38">
        <f t="shared" si="78"/>
        <v>0</v>
      </c>
      <c r="FL68" s="38">
        <f t="shared" si="78"/>
        <v>0</v>
      </c>
      <c r="FM68" s="38">
        <f t="shared" si="78"/>
        <v>0</v>
      </c>
      <c r="FN68" s="38">
        <f t="shared" si="78"/>
        <v>0</v>
      </c>
      <c r="FO68" s="38">
        <f t="shared" si="78"/>
        <v>0</v>
      </c>
      <c r="FP68" s="38">
        <f t="shared" si="78"/>
        <v>0</v>
      </c>
      <c r="FQ68" s="38">
        <f t="shared" si="78"/>
        <v>0</v>
      </c>
      <c r="FR68" s="38">
        <f t="shared" si="78"/>
        <v>0</v>
      </c>
      <c r="FS68" s="38">
        <f t="shared" si="78"/>
        <v>0</v>
      </c>
      <c r="FT68" s="38">
        <f t="shared" si="78"/>
        <v>0</v>
      </c>
      <c r="FU68" s="38">
        <f t="shared" si="78"/>
        <v>0</v>
      </c>
      <c r="FV68" s="38">
        <f t="shared" si="78"/>
        <v>0</v>
      </c>
      <c r="FW68" s="38">
        <f t="shared" si="78"/>
        <v>0</v>
      </c>
      <c r="FX68" s="38">
        <f t="shared" si="78"/>
        <v>0</v>
      </c>
      <c r="FY68" s="38">
        <f t="shared" si="78"/>
        <v>0</v>
      </c>
      <c r="FZ68" s="38">
        <f t="shared" si="78"/>
        <v>0</v>
      </c>
      <c r="GA68" s="38">
        <f t="shared" si="78"/>
        <v>0</v>
      </c>
      <c r="GB68" s="38">
        <f t="shared" si="78"/>
        <v>0</v>
      </c>
      <c r="GC68" s="38">
        <f t="shared" si="78"/>
        <v>0</v>
      </c>
      <c r="GD68" s="38">
        <f t="shared" si="78"/>
        <v>0</v>
      </c>
      <c r="GE68" s="38">
        <f t="shared" si="78"/>
        <v>0</v>
      </c>
      <c r="GF68" s="38">
        <f t="shared" si="78"/>
        <v>0</v>
      </c>
      <c r="GG68" s="38">
        <f t="shared" si="78"/>
        <v>0</v>
      </c>
      <c r="GH68" s="38">
        <f t="shared" si="78"/>
        <v>0</v>
      </c>
      <c r="GI68" s="38">
        <f t="shared" si="78"/>
        <v>0</v>
      </c>
      <c r="GJ68" s="38">
        <f t="shared" si="78"/>
        <v>0</v>
      </c>
    </row>
    <row r="69" spans="1:192" s="498" customFormat="1" outlineLevel="2" x14ac:dyDescent="0.2">
      <c r="A69" s="15"/>
      <c r="B69" s="15"/>
      <c r="C69" s="21"/>
      <c r="D69" s="48"/>
      <c r="E69" s="38" t="str">
        <f t="shared" ref="E69:AJ69" si="79" xml:space="preserve"> E$60</f>
        <v>Tax losses utilised</v>
      </c>
      <c r="F69" s="38">
        <f t="shared" si="79"/>
        <v>0</v>
      </c>
      <c r="G69" s="38" t="str">
        <f t="shared" si="79"/>
        <v>$ 000s</v>
      </c>
      <c r="H69" s="38">
        <f t="shared" si="79"/>
        <v>0</v>
      </c>
      <c r="I69" s="38">
        <f t="shared" si="79"/>
        <v>0</v>
      </c>
      <c r="J69" s="38">
        <f t="shared" si="79"/>
        <v>0</v>
      </c>
      <c r="K69" s="38">
        <f t="shared" si="79"/>
        <v>0</v>
      </c>
      <c r="L69" s="38">
        <f t="shared" si="79"/>
        <v>0</v>
      </c>
      <c r="M69" s="38">
        <f t="shared" si="79"/>
        <v>0</v>
      </c>
      <c r="N69" s="38">
        <f t="shared" si="79"/>
        <v>0</v>
      </c>
      <c r="O69" s="38">
        <f t="shared" si="79"/>
        <v>0</v>
      </c>
      <c r="P69" s="38">
        <f t="shared" si="79"/>
        <v>0</v>
      </c>
      <c r="Q69" s="38">
        <f t="shared" si="79"/>
        <v>0</v>
      </c>
      <c r="R69" s="38">
        <f t="shared" si="79"/>
        <v>0</v>
      </c>
      <c r="S69" s="38">
        <f t="shared" si="79"/>
        <v>0</v>
      </c>
      <c r="T69" s="38">
        <f t="shared" si="79"/>
        <v>0</v>
      </c>
      <c r="U69" s="38">
        <f t="shared" si="79"/>
        <v>0</v>
      </c>
      <c r="V69" s="38">
        <f t="shared" si="79"/>
        <v>0</v>
      </c>
      <c r="W69" s="38">
        <f t="shared" si="79"/>
        <v>0</v>
      </c>
      <c r="X69" s="38">
        <f t="shared" si="79"/>
        <v>0</v>
      </c>
      <c r="Y69" s="38">
        <f t="shared" si="79"/>
        <v>0</v>
      </c>
      <c r="Z69" s="38">
        <f t="shared" si="79"/>
        <v>0</v>
      </c>
      <c r="AA69" s="38">
        <f t="shared" si="79"/>
        <v>0</v>
      </c>
      <c r="AB69" s="38">
        <f t="shared" si="79"/>
        <v>0</v>
      </c>
      <c r="AC69" s="38">
        <f t="shared" si="79"/>
        <v>0</v>
      </c>
      <c r="AD69" s="38">
        <f t="shared" si="79"/>
        <v>0</v>
      </c>
      <c r="AE69" s="38">
        <f t="shared" si="79"/>
        <v>0</v>
      </c>
      <c r="AF69" s="38">
        <f t="shared" si="79"/>
        <v>0</v>
      </c>
      <c r="AG69" s="38">
        <f t="shared" si="79"/>
        <v>0</v>
      </c>
      <c r="AH69" s="38">
        <f t="shared" si="79"/>
        <v>0</v>
      </c>
      <c r="AI69" s="38">
        <f t="shared" si="79"/>
        <v>0</v>
      </c>
      <c r="AJ69" s="38">
        <f t="shared" si="79"/>
        <v>0</v>
      </c>
      <c r="AK69" s="38">
        <f t="shared" ref="AK69:BP69" si="80" xml:space="preserve"> AK$60</f>
        <v>0</v>
      </c>
      <c r="AL69" s="38">
        <f t="shared" si="80"/>
        <v>0</v>
      </c>
      <c r="AM69" s="38">
        <f t="shared" si="80"/>
        <v>0</v>
      </c>
      <c r="AN69" s="38">
        <f t="shared" si="80"/>
        <v>0</v>
      </c>
      <c r="AO69" s="38">
        <f t="shared" si="80"/>
        <v>0</v>
      </c>
      <c r="AP69" s="38">
        <f t="shared" si="80"/>
        <v>0</v>
      </c>
      <c r="AQ69" s="38">
        <f t="shared" si="80"/>
        <v>0</v>
      </c>
      <c r="AR69" s="38">
        <f t="shared" si="80"/>
        <v>0</v>
      </c>
      <c r="AS69" s="38">
        <f t="shared" si="80"/>
        <v>0</v>
      </c>
      <c r="AT69" s="38">
        <f t="shared" si="80"/>
        <v>0</v>
      </c>
      <c r="AU69" s="38">
        <f t="shared" si="80"/>
        <v>0</v>
      </c>
      <c r="AV69" s="38">
        <f t="shared" si="80"/>
        <v>0</v>
      </c>
      <c r="AW69" s="38">
        <f t="shared" si="80"/>
        <v>0</v>
      </c>
      <c r="AX69" s="38">
        <f t="shared" si="80"/>
        <v>0</v>
      </c>
      <c r="AY69" s="38">
        <f t="shared" si="80"/>
        <v>0</v>
      </c>
      <c r="AZ69" s="38">
        <f t="shared" si="80"/>
        <v>0</v>
      </c>
      <c r="BA69" s="38">
        <f t="shared" si="80"/>
        <v>0</v>
      </c>
      <c r="BB69" s="38">
        <f t="shared" si="80"/>
        <v>0</v>
      </c>
      <c r="BC69" s="38">
        <f t="shared" si="80"/>
        <v>0</v>
      </c>
      <c r="BD69" s="38">
        <f t="shared" si="80"/>
        <v>0</v>
      </c>
      <c r="BE69" s="38">
        <f t="shared" si="80"/>
        <v>0</v>
      </c>
      <c r="BF69" s="38">
        <f t="shared" si="80"/>
        <v>0</v>
      </c>
      <c r="BG69" s="38">
        <f t="shared" si="80"/>
        <v>0</v>
      </c>
      <c r="BH69" s="38">
        <f t="shared" si="80"/>
        <v>0</v>
      </c>
      <c r="BI69" s="38">
        <f t="shared" si="80"/>
        <v>0</v>
      </c>
      <c r="BJ69" s="38">
        <f t="shared" si="80"/>
        <v>0</v>
      </c>
      <c r="BK69" s="38">
        <f t="shared" si="80"/>
        <v>0</v>
      </c>
      <c r="BL69" s="38">
        <f t="shared" si="80"/>
        <v>0</v>
      </c>
      <c r="BM69" s="38">
        <f t="shared" si="80"/>
        <v>0</v>
      </c>
      <c r="BN69" s="38">
        <f t="shared" si="80"/>
        <v>0</v>
      </c>
      <c r="BO69" s="38">
        <f t="shared" si="80"/>
        <v>0</v>
      </c>
      <c r="BP69" s="38">
        <f t="shared" si="80"/>
        <v>0</v>
      </c>
      <c r="BQ69" s="38">
        <f t="shared" ref="BQ69:CV69" si="81" xml:space="preserve"> BQ$60</f>
        <v>0</v>
      </c>
      <c r="BR69" s="38">
        <f t="shared" si="81"/>
        <v>0</v>
      </c>
      <c r="BS69" s="38">
        <f t="shared" si="81"/>
        <v>0</v>
      </c>
      <c r="BT69" s="38">
        <f t="shared" si="81"/>
        <v>0</v>
      </c>
      <c r="BU69" s="38">
        <f t="shared" si="81"/>
        <v>0</v>
      </c>
      <c r="BV69" s="38">
        <f t="shared" si="81"/>
        <v>0</v>
      </c>
      <c r="BW69" s="38">
        <f t="shared" si="81"/>
        <v>0</v>
      </c>
      <c r="BX69" s="38">
        <f t="shared" si="81"/>
        <v>0</v>
      </c>
      <c r="BY69" s="38">
        <f t="shared" si="81"/>
        <v>0</v>
      </c>
      <c r="BZ69" s="38">
        <f t="shared" si="81"/>
        <v>0</v>
      </c>
      <c r="CA69" s="38">
        <f t="shared" si="81"/>
        <v>0</v>
      </c>
      <c r="CB69" s="38">
        <f t="shared" si="81"/>
        <v>0</v>
      </c>
      <c r="CC69" s="38">
        <f t="shared" si="81"/>
        <v>0</v>
      </c>
      <c r="CD69" s="38">
        <f t="shared" si="81"/>
        <v>0</v>
      </c>
      <c r="CE69" s="38">
        <f t="shared" si="81"/>
        <v>0</v>
      </c>
      <c r="CF69" s="38">
        <f t="shared" si="81"/>
        <v>0</v>
      </c>
      <c r="CG69" s="38">
        <f t="shared" si="81"/>
        <v>0</v>
      </c>
      <c r="CH69" s="38">
        <f t="shared" si="81"/>
        <v>0</v>
      </c>
      <c r="CI69" s="38">
        <f t="shared" si="81"/>
        <v>0</v>
      </c>
      <c r="CJ69" s="38">
        <f t="shared" si="81"/>
        <v>0</v>
      </c>
      <c r="CK69" s="38">
        <f t="shared" si="81"/>
        <v>0</v>
      </c>
      <c r="CL69" s="38">
        <f t="shared" si="81"/>
        <v>0</v>
      </c>
      <c r="CM69" s="38">
        <f t="shared" si="81"/>
        <v>0</v>
      </c>
      <c r="CN69" s="38">
        <f t="shared" si="81"/>
        <v>0</v>
      </c>
      <c r="CO69" s="38">
        <f t="shared" si="81"/>
        <v>0</v>
      </c>
      <c r="CP69" s="38">
        <f t="shared" si="81"/>
        <v>0</v>
      </c>
      <c r="CQ69" s="38">
        <f t="shared" si="81"/>
        <v>0</v>
      </c>
      <c r="CR69" s="38">
        <f t="shared" si="81"/>
        <v>0</v>
      </c>
      <c r="CS69" s="38">
        <f t="shared" si="81"/>
        <v>0</v>
      </c>
      <c r="CT69" s="38">
        <f t="shared" si="81"/>
        <v>0</v>
      </c>
      <c r="CU69" s="38">
        <f t="shared" si="81"/>
        <v>0</v>
      </c>
      <c r="CV69" s="38">
        <f t="shared" si="81"/>
        <v>0</v>
      </c>
      <c r="CW69" s="38">
        <f t="shared" ref="CW69:EB69" si="82" xml:space="preserve"> CW$60</f>
        <v>0</v>
      </c>
      <c r="CX69" s="38">
        <f t="shared" si="82"/>
        <v>0</v>
      </c>
      <c r="CY69" s="38">
        <f t="shared" si="82"/>
        <v>0</v>
      </c>
      <c r="CZ69" s="38">
        <f t="shared" si="82"/>
        <v>0</v>
      </c>
      <c r="DA69" s="38">
        <f t="shared" si="82"/>
        <v>0</v>
      </c>
      <c r="DB69" s="38">
        <f t="shared" si="82"/>
        <v>0</v>
      </c>
      <c r="DC69" s="38">
        <f t="shared" si="82"/>
        <v>0</v>
      </c>
      <c r="DD69" s="38">
        <f t="shared" si="82"/>
        <v>0</v>
      </c>
      <c r="DE69" s="38">
        <f t="shared" si="82"/>
        <v>0</v>
      </c>
      <c r="DF69" s="38">
        <f t="shared" si="82"/>
        <v>0</v>
      </c>
      <c r="DG69" s="38">
        <f t="shared" si="82"/>
        <v>0</v>
      </c>
      <c r="DH69" s="38">
        <f t="shared" si="82"/>
        <v>0</v>
      </c>
      <c r="DI69" s="38">
        <f t="shared" si="82"/>
        <v>0</v>
      </c>
      <c r="DJ69" s="38">
        <f t="shared" si="82"/>
        <v>0</v>
      </c>
      <c r="DK69" s="38">
        <f t="shared" si="82"/>
        <v>0</v>
      </c>
      <c r="DL69" s="38">
        <f t="shared" si="82"/>
        <v>0</v>
      </c>
      <c r="DM69" s="38">
        <f t="shared" si="82"/>
        <v>0</v>
      </c>
      <c r="DN69" s="38">
        <f t="shared" si="82"/>
        <v>0</v>
      </c>
      <c r="DO69" s="38">
        <f t="shared" si="82"/>
        <v>0</v>
      </c>
      <c r="DP69" s="38">
        <f t="shared" si="82"/>
        <v>0</v>
      </c>
      <c r="DQ69" s="38">
        <f t="shared" si="82"/>
        <v>0</v>
      </c>
      <c r="DR69" s="38">
        <f t="shared" si="82"/>
        <v>0</v>
      </c>
      <c r="DS69" s="38">
        <f t="shared" si="82"/>
        <v>0</v>
      </c>
      <c r="DT69" s="38">
        <f t="shared" si="82"/>
        <v>0</v>
      </c>
      <c r="DU69" s="38">
        <f t="shared" si="82"/>
        <v>0</v>
      </c>
      <c r="DV69" s="38">
        <f t="shared" si="82"/>
        <v>0</v>
      </c>
      <c r="DW69" s="38">
        <f t="shared" si="82"/>
        <v>0</v>
      </c>
      <c r="DX69" s="38">
        <f t="shared" si="82"/>
        <v>0</v>
      </c>
      <c r="DY69" s="38">
        <f t="shared" si="82"/>
        <v>0</v>
      </c>
      <c r="DZ69" s="38">
        <f t="shared" si="82"/>
        <v>0</v>
      </c>
      <c r="EA69" s="38">
        <f t="shared" si="82"/>
        <v>0</v>
      </c>
      <c r="EB69" s="38">
        <f t="shared" si="82"/>
        <v>0</v>
      </c>
      <c r="EC69" s="38">
        <f t="shared" ref="EC69:FH69" si="83" xml:space="preserve"> EC$60</f>
        <v>0</v>
      </c>
      <c r="ED69" s="38">
        <f t="shared" si="83"/>
        <v>0</v>
      </c>
      <c r="EE69" s="38">
        <f t="shared" si="83"/>
        <v>0</v>
      </c>
      <c r="EF69" s="38">
        <f t="shared" si="83"/>
        <v>0</v>
      </c>
      <c r="EG69" s="38">
        <f t="shared" si="83"/>
        <v>0</v>
      </c>
      <c r="EH69" s="38">
        <f t="shared" si="83"/>
        <v>0</v>
      </c>
      <c r="EI69" s="38">
        <f t="shared" si="83"/>
        <v>0</v>
      </c>
      <c r="EJ69" s="38">
        <f t="shared" si="83"/>
        <v>0</v>
      </c>
      <c r="EK69" s="38">
        <f t="shared" si="83"/>
        <v>0</v>
      </c>
      <c r="EL69" s="38">
        <f t="shared" si="83"/>
        <v>0</v>
      </c>
      <c r="EM69" s="38">
        <f t="shared" si="83"/>
        <v>0</v>
      </c>
      <c r="EN69" s="38">
        <f t="shared" si="83"/>
        <v>0</v>
      </c>
      <c r="EO69" s="38">
        <f t="shared" si="83"/>
        <v>0</v>
      </c>
      <c r="EP69" s="38">
        <f t="shared" si="83"/>
        <v>0</v>
      </c>
      <c r="EQ69" s="38">
        <f t="shared" si="83"/>
        <v>0</v>
      </c>
      <c r="ER69" s="38">
        <f t="shared" si="83"/>
        <v>0</v>
      </c>
      <c r="ES69" s="38">
        <f t="shared" si="83"/>
        <v>0</v>
      </c>
      <c r="ET69" s="38">
        <f t="shared" si="83"/>
        <v>0</v>
      </c>
      <c r="EU69" s="38">
        <f t="shared" si="83"/>
        <v>0</v>
      </c>
      <c r="EV69" s="38">
        <f t="shared" si="83"/>
        <v>0</v>
      </c>
      <c r="EW69" s="38">
        <f t="shared" si="83"/>
        <v>0</v>
      </c>
      <c r="EX69" s="38">
        <f t="shared" si="83"/>
        <v>0</v>
      </c>
      <c r="EY69" s="38">
        <f t="shared" si="83"/>
        <v>0</v>
      </c>
      <c r="EZ69" s="38">
        <f t="shared" si="83"/>
        <v>0</v>
      </c>
      <c r="FA69" s="38">
        <f t="shared" si="83"/>
        <v>0</v>
      </c>
      <c r="FB69" s="38">
        <f t="shared" si="83"/>
        <v>0</v>
      </c>
      <c r="FC69" s="38">
        <f t="shared" si="83"/>
        <v>0</v>
      </c>
      <c r="FD69" s="38">
        <f t="shared" si="83"/>
        <v>0</v>
      </c>
      <c r="FE69" s="38">
        <f t="shared" si="83"/>
        <v>0</v>
      </c>
      <c r="FF69" s="38">
        <f t="shared" si="83"/>
        <v>0</v>
      </c>
      <c r="FG69" s="38">
        <f t="shared" si="83"/>
        <v>0</v>
      </c>
      <c r="FH69" s="38">
        <f t="shared" si="83"/>
        <v>0</v>
      </c>
      <c r="FI69" s="38">
        <f t="shared" ref="FI69:GJ69" si="84" xml:space="preserve"> FI$60</f>
        <v>0</v>
      </c>
      <c r="FJ69" s="38">
        <f t="shared" si="84"/>
        <v>0</v>
      </c>
      <c r="FK69" s="38">
        <f t="shared" si="84"/>
        <v>0</v>
      </c>
      <c r="FL69" s="38">
        <f t="shared" si="84"/>
        <v>0</v>
      </c>
      <c r="FM69" s="38">
        <f t="shared" si="84"/>
        <v>0</v>
      </c>
      <c r="FN69" s="38">
        <f t="shared" si="84"/>
        <v>0</v>
      </c>
      <c r="FO69" s="38">
        <f t="shared" si="84"/>
        <v>0</v>
      </c>
      <c r="FP69" s="38">
        <f t="shared" si="84"/>
        <v>0</v>
      </c>
      <c r="FQ69" s="38">
        <f t="shared" si="84"/>
        <v>0</v>
      </c>
      <c r="FR69" s="38">
        <f t="shared" si="84"/>
        <v>0</v>
      </c>
      <c r="FS69" s="38">
        <f t="shared" si="84"/>
        <v>0</v>
      </c>
      <c r="FT69" s="38">
        <f t="shared" si="84"/>
        <v>0</v>
      </c>
      <c r="FU69" s="38">
        <f t="shared" si="84"/>
        <v>0</v>
      </c>
      <c r="FV69" s="38">
        <f t="shared" si="84"/>
        <v>0</v>
      </c>
      <c r="FW69" s="38">
        <f t="shared" si="84"/>
        <v>0</v>
      </c>
      <c r="FX69" s="38">
        <f t="shared" si="84"/>
        <v>0</v>
      </c>
      <c r="FY69" s="38">
        <f t="shared" si="84"/>
        <v>0</v>
      </c>
      <c r="FZ69" s="38">
        <f t="shared" si="84"/>
        <v>0</v>
      </c>
      <c r="GA69" s="38">
        <f t="shared" si="84"/>
        <v>0</v>
      </c>
      <c r="GB69" s="38">
        <f t="shared" si="84"/>
        <v>0</v>
      </c>
      <c r="GC69" s="38">
        <f t="shared" si="84"/>
        <v>0</v>
      </c>
      <c r="GD69" s="38">
        <f t="shared" si="84"/>
        <v>0</v>
      </c>
      <c r="GE69" s="38">
        <f t="shared" si="84"/>
        <v>0</v>
      </c>
      <c r="GF69" s="38">
        <f t="shared" si="84"/>
        <v>0</v>
      </c>
      <c r="GG69" s="38">
        <f t="shared" si="84"/>
        <v>0</v>
      </c>
      <c r="GH69" s="38">
        <f t="shared" si="84"/>
        <v>0</v>
      </c>
      <c r="GI69" s="38">
        <f t="shared" si="84"/>
        <v>0</v>
      </c>
      <c r="GJ69" s="38">
        <f t="shared" si="84"/>
        <v>0</v>
      </c>
    </row>
    <row r="70" spans="1:192" s="503" customFormat="1" outlineLevel="2" x14ac:dyDescent="0.2">
      <c r="A70" s="221"/>
      <c r="B70" s="221"/>
      <c r="C70" s="222"/>
      <c r="D70" s="223"/>
      <c r="E70" s="224" t="s">
        <v>177</v>
      </c>
      <c r="F70" s="224"/>
      <c r="G70" s="224" t="str">
        <f xml:space="preserve"> SMU</f>
        <v>$ 000s</v>
      </c>
      <c r="H70" s="224"/>
      <c r="I70" s="225"/>
      <c r="J70" s="224">
        <f t="shared" ref="J70:AO70" si="85" xml:space="preserve"> J67 + J68 - J69</f>
        <v>0</v>
      </c>
      <c r="K70" s="224">
        <f t="shared" si="85"/>
        <v>0</v>
      </c>
      <c r="L70" s="224">
        <f t="shared" si="85"/>
        <v>0</v>
      </c>
      <c r="M70" s="224">
        <f t="shared" si="85"/>
        <v>0</v>
      </c>
      <c r="N70" s="224">
        <f t="shared" si="85"/>
        <v>0</v>
      </c>
      <c r="O70" s="224">
        <f t="shared" si="85"/>
        <v>38182.041310855093</v>
      </c>
      <c r="P70" s="224">
        <f t="shared" si="85"/>
        <v>72681.422494125844</v>
      </c>
      <c r="Q70" s="224">
        <f t="shared" si="85"/>
        <v>104428.52177612769</v>
      </c>
      <c r="R70" s="224">
        <f t="shared" si="85"/>
        <v>133233.46033050632</v>
      </c>
      <c r="S70" s="224">
        <f t="shared" si="85"/>
        <v>159831.89936896064</v>
      </c>
      <c r="T70" s="224">
        <f t="shared" si="85"/>
        <v>183996.40545172978</v>
      </c>
      <c r="U70" s="224">
        <f t="shared" si="85"/>
        <v>206398.49446329696</v>
      </c>
      <c r="V70" s="224">
        <f t="shared" si="85"/>
        <v>226834.67107110893</v>
      </c>
      <c r="W70" s="224">
        <f t="shared" si="85"/>
        <v>245814.76228598252</v>
      </c>
      <c r="X70" s="224">
        <f t="shared" si="85"/>
        <v>263122.86320930824</v>
      </c>
      <c r="Y70" s="224">
        <f t="shared" si="85"/>
        <v>279714.86617934972</v>
      </c>
      <c r="Z70" s="224">
        <f t="shared" si="85"/>
        <v>294906.53634793207</v>
      </c>
      <c r="AA70" s="224">
        <f t="shared" si="85"/>
        <v>309232.30899223522</v>
      </c>
      <c r="AB70" s="224">
        <f t="shared" si="85"/>
        <v>322394.46829968027</v>
      </c>
      <c r="AC70" s="224">
        <f t="shared" si="85"/>
        <v>334889.21338335396</v>
      </c>
      <c r="AD70" s="224">
        <f t="shared" si="85"/>
        <v>346459.62976662326</v>
      </c>
      <c r="AE70" s="224">
        <f t="shared" si="85"/>
        <v>357483.84396807256</v>
      </c>
      <c r="AF70" s="224">
        <f t="shared" si="85"/>
        <v>367716.48525440885</v>
      </c>
      <c r="AG70" s="224">
        <f t="shared" si="85"/>
        <v>377582.32263606921</v>
      </c>
      <c r="AH70" s="224">
        <f t="shared" si="85"/>
        <v>386802.20048092777</v>
      </c>
      <c r="AI70" s="224">
        <f t="shared" si="85"/>
        <v>396069.80509920721</v>
      </c>
      <c r="AJ70" s="224">
        <f t="shared" si="85"/>
        <v>404804.82742963958</v>
      </c>
      <c r="AK70" s="224">
        <f t="shared" si="85"/>
        <v>413383.78490472282</v>
      </c>
      <c r="AL70" s="224">
        <f t="shared" si="85"/>
        <v>421572.86479643546</v>
      </c>
      <c r="AM70" s="224">
        <f t="shared" si="85"/>
        <v>429665.89655143389</v>
      </c>
      <c r="AN70" s="224">
        <f t="shared" si="85"/>
        <v>437454.59839387011</v>
      </c>
      <c r="AO70" s="224">
        <f t="shared" si="85"/>
        <v>445255.69972601923</v>
      </c>
      <c r="AP70" s="224">
        <f t="shared" ref="AP70:BU70" si="86" xml:space="preserve"> AP67 + AP68 - AP69</f>
        <v>452853.84844292799</v>
      </c>
      <c r="AQ70" s="224">
        <f t="shared" si="86"/>
        <v>460540.40654421545</v>
      </c>
      <c r="AR70" s="224">
        <f t="shared" si="86"/>
        <v>468125.20701578341</v>
      </c>
      <c r="AS70" s="224">
        <f t="shared" si="86"/>
        <v>475873.22137614607</v>
      </c>
      <c r="AT70" s="224">
        <f t="shared" si="86"/>
        <v>483660.25737803843</v>
      </c>
      <c r="AU70" s="224">
        <f t="shared" si="86"/>
        <v>491710.00779246254</v>
      </c>
      <c r="AV70" s="224">
        <f t="shared" si="86"/>
        <v>499317.05695156823</v>
      </c>
      <c r="AW70" s="224">
        <f t="shared" si="86"/>
        <v>506665.45847820159</v>
      </c>
      <c r="AX70" s="224">
        <f t="shared" si="86"/>
        <v>513490.52536462067</v>
      </c>
      <c r="AY70" s="224">
        <f t="shared" si="86"/>
        <v>519942.56335695134</v>
      </c>
      <c r="AZ70" s="224">
        <f t="shared" si="86"/>
        <v>525853.52257913339</v>
      </c>
      <c r="BA70" s="224">
        <f t="shared" si="86"/>
        <v>531372.03945353394</v>
      </c>
      <c r="BB70" s="224">
        <f t="shared" si="86"/>
        <v>541050.35825121694</v>
      </c>
      <c r="BC70" s="224">
        <f t="shared" si="86"/>
        <v>541050.35825121694</v>
      </c>
      <c r="BD70" s="224">
        <f t="shared" si="86"/>
        <v>541050.35825121694</v>
      </c>
      <c r="BE70" s="224">
        <f t="shared" si="86"/>
        <v>541050.35825121694</v>
      </c>
      <c r="BF70" s="224">
        <f t="shared" si="86"/>
        <v>541050.35825121694</v>
      </c>
      <c r="BG70" s="224">
        <f t="shared" si="86"/>
        <v>541050.35825121694</v>
      </c>
      <c r="BH70" s="224">
        <f t="shared" si="86"/>
        <v>541050.35825121694</v>
      </c>
      <c r="BI70" s="224">
        <f t="shared" si="86"/>
        <v>541050.35825121694</v>
      </c>
      <c r="BJ70" s="224">
        <f t="shared" si="86"/>
        <v>541050.35825121694</v>
      </c>
      <c r="BK70" s="224">
        <f t="shared" si="86"/>
        <v>541050.35825121694</v>
      </c>
      <c r="BL70" s="224">
        <f t="shared" si="86"/>
        <v>541050.35825121694</v>
      </c>
      <c r="BM70" s="224">
        <f t="shared" si="86"/>
        <v>541050.35825121694</v>
      </c>
      <c r="BN70" s="224">
        <f t="shared" si="86"/>
        <v>541050.35825121694</v>
      </c>
      <c r="BO70" s="224">
        <f t="shared" si="86"/>
        <v>541050.35825121694</v>
      </c>
      <c r="BP70" s="224">
        <f t="shared" si="86"/>
        <v>541050.35825121694</v>
      </c>
      <c r="BQ70" s="224">
        <f t="shared" si="86"/>
        <v>541050.35825121694</v>
      </c>
      <c r="BR70" s="224">
        <f t="shared" si="86"/>
        <v>541050.35825121694</v>
      </c>
      <c r="BS70" s="224">
        <f t="shared" si="86"/>
        <v>541050.35825121694</v>
      </c>
      <c r="BT70" s="224">
        <f t="shared" si="86"/>
        <v>541050.35825121694</v>
      </c>
      <c r="BU70" s="224">
        <f t="shared" si="86"/>
        <v>541050.35825121694</v>
      </c>
      <c r="BV70" s="224">
        <f t="shared" ref="BV70:CV70" si="87" xml:space="preserve"> BV67 + BV68 - BV69</f>
        <v>541050.35825121694</v>
      </c>
      <c r="BW70" s="224">
        <f t="shared" si="87"/>
        <v>541050.35825121694</v>
      </c>
      <c r="BX70" s="224">
        <f t="shared" si="87"/>
        <v>541050.35825121694</v>
      </c>
      <c r="BY70" s="224">
        <f t="shared" si="87"/>
        <v>541050.35825121694</v>
      </c>
      <c r="BZ70" s="224">
        <f t="shared" si="87"/>
        <v>541050.35825121694</v>
      </c>
      <c r="CA70" s="224">
        <f t="shared" si="87"/>
        <v>541050.35825121694</v>
      </c>
      <c r="CB70" s="224">
        <f t="shared" si="87"/>
        <v>541050.35825121694</v>
      </c>
      <c r="CC70" s="224">
        <f t="shared" si="87"/>
        <v>541050.35825121694</v>
      </c>
      <c r="CD70" s="224">
        <f t="shared" si="87"/>
        <v>541050.35825121694</v>
      </c>
      <c r="CE70" s="224">
        <f t="shared" si="87"/>
        <v>541050.35825121694</v>
      </c>
      <c r="CF70" s="224">
        <f t="shared" si="87"/>
        <v>541050.35825121694</v>
      </c>
      <c r="CG70" s="224">
        <f t="shared" si="87"/>
        <v>541050.35825121694</v>
      </c>
      <c r="CH70" s="224">
        <f t="shared" si="87"/>
        <v>541050.35825121694</v>
      </c>
      <c r="CI70" s="224">
        <f t="shared" si="87"/>
        <v>541050.35825121694</v>
      </c>
      <c r="CJ70" s="224">
        <f t="shared" si="87"/>
        <v>541050.35825121694</v>
      </c>
      <c r="CK70" s="224">
        <f t="shared" si="87"/>
        <v>541050.35825121694</v>
      </c>
      <c r="CL70" s="224">
        <f t="shared" si="87"/>
        <v>541050.35825121694</v>
      </c>
      <c r="CM70" s="224">
        <f t="shared" si="87"/>
        <v>541050.35825121694</v>
      </c>
      <c r="CN70" s="224">
        <f t="shared" si="87"/>
        <v>541050.35825121694</v>
      </c>
      <c r="CO70" s="224">
        <f t="shared" si="87"/>
        <v>541050.35825121694</v>
      </c>
      <c r="CP70" s="224">
        <f t="shared" si="87"/>
        <v>541050.35825121694</v>
      </c>
      <c r="CQ70" s="224">
        <f t="shared" si="87"/>
        <v>541050.35825121694</v>
      </c>
      <c r="CR70" s="224">
        <f t="shared" si="87"/>
        <v>541050.35825121694</v>
      </c>
      <c r="CS70" s="224">
        <f t="shared" si="87"/>
        <v>541050.35825121694</v>
      </c>
      <c r="CT70" s="224">
        <f t="shared" si="87"/>
        <v>541050.35825121694</v>
      </c>
      <c r="CU70" s="224">
        <f t="shared" si="87"/>
        <v>541050.35825121694</v>
      </c>
      <c r="CV70" s="224">
        <f t="shared" si="87"/>
        <v>541050.35825121694</v>
      </c>
    </row>
    <row r="71" spans="1:192" s="498" customFormat="1" outlineLevel="2" x14ac:dyDescent="0.2">
      <c r="A71" s="15"/>
      <c r="B71" s="15"/>
      <c r="C71" s="21"/>
      <c r="D71" s="48"/>
      <c r="E71" s="214"/>
      <c r="F71" s="214"/>
      <c r="G71" s="214"/>
      <c r="H71" s="214"/>
      <c r="I71" s="38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</row>
    <row r="72" spans="1:192" s="498" customFormat="1" x14ac:dyDescent="0.2">
      <c r="A72" s="15"/>
      <c r="B72" s="15"/>
      <c r="C72" s="21"/>
      <c r="D72" s="48"/>
      <c r="E72" s="214"/>
      <c r="F72" s="214"/>
      <c r="G72" s="214"/>
      <c r="H72" s="214"/>
      <c r="I72" s="38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</row>
    <row r="73" spans="1:192" s="498" customFormat="1" x14ac:dyDescent="0.2">
      <c r="A73" s="15" t="s">
        <v>1314</v>
      </c>
      <c r="B73" s="15"/>
      <c r="C73" s="21"/>
      <c r="D73" s="48"/>
      <c r="E73" s="214"/>
      <c r="F73" s="214"/>
      <c r="G73" s="214"/>
      <c r="H73" s="214"/>
      <c r="I73" s="38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  <c r="BR73" s="214"/>
      <c r="BS73" s="214"/>
      <c r="BT73" s="214"/>
      <c r="BU73" s="214"/>
      <c r="BV73" s="214"/>
      <c r="BW73" s="214"/>
      <c r="BX73" s="214"/>
      <c r="BY73" s="214"/>
      <c r="BZ73" s="214"/>
      <c r="CA73" s="214"/>
      <c r="CB73" s="214"/>
      <c r="CC73" s="214"/>
      <c r="CD73" s="214"/>
      <c r="CE73" s="214"/>
      <c r="CF73" s="214"/>
      <c r="CG73" s="214"/>
      <c r="CH73" s="214"/>
      <c r="CI73" s="214"/>
      <c r="CJ73" s="214"/>
      <c r="CK73" s="214"/>
      <c r="CL73" s="214"/>
      <c r="CM73" s="214"/>
      <c r="CN73" s="214"/>
      <c r="CO73" s="214"/>
      <c r="CP73" s="214"/>
      <c r="CQ73" s="214"/>
      <c r="CR73" s="214"/>
      <c r="CS73" s="214"/>
      <c r="CT73" s="214"/>
      <c r="CU73" s="214"/>
      <c r="CV73" s="214"/>
    </row>
    <row r="74" spans="1:192" outlineLevel="1" x14ac:dyDescent="0.2">
      <c r="E74" s="145" t="str">
        <f xml:space="preserve"> InpC!E$402</f>
        <v>Corporate income tax rate</v>
      </c>
      <c r="F74" s="316">
        <f xml:space="preserve"> InpC!F$402</f>
        <v>0.2</v>
      </c>
      <c r="G74" s="145" t="str">
        <f xml:space="preserve"> InpC!G$402</f>
        <v>%</v>
      </c>
      <c r="H74" s="38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</row>
    <row r="75" spans="1:192" outlineLevel="1" x14ac:dyDescent="0.2">
      <c r="E75" s="12" t="str">
        <f t="shared" ref="E75:AJ75" si="88" xml:space="preserve"> E$64</f>
        <v>Taxable income net of tax losses utilised</v>
      </c>
      <c r="F75" s="12">
        <f t="shared" si="88"/>
        <v>0</v>
      </c>
      <c r="G75" s="12" t="str">
        <f t="shared" si="88"/>
        <v>$ 000s</v>
      </c>
      <c r="H75" s="12">
        <f t="shared" si="88"/>
        <v>0</v>
      </c>
      <c r="I75" s="12">
        <f t="shared" si="88"/>
        <v>0</v>
      </c>
      <c r="J75" s="12">
        <f t="shared" si="88"/>
        <v>0</v>
      </c>
      <c r="K75" s="12">
        <f t="shared" si="88"/>
        <v>0</v>
      </c>
      <c r="L75" s="12">
        <f t="shared" si="88"/>
        <v>0</v>
      </c>
      <c r="M75" s="12">
        <f t="shared" si="88"/>
        <v>0</v>
      </c>
      <c r="N75" s="12">
        <f t="shared" si="88"/>
        <v>0</v>
      </c>
      <c r="O75" s="12">
        <f t="shared" si="88"/>
        <v>0</v>
      </c>
      <c r="P75" s="12">
        <f t="shared" si="88"/>
        <v>0</v>
      </c>
      <c r="Q75" s="12">
        <f t="shared" si="88"/>
        <v>0</v>
      </c>
      <c r="R75" s="12">
        <f t="shared" si="88"/>
        <v>0</v>
      </c>
      <c r="S75" s="12">
        <f t="shared" si="88"/>
        <v>0</v>
      </c>
      <c r="T75" s="12">
        <f t="shared" si="88"/>
        <v>0</v>
      </c>
      <c r="U75" s="12">
        <f t="shared" si="88"/>
        <v>0</v>
      </c>
      <c r="V75" s="12">
        <f t="shared" si="88"/>
        <v>0</v>
      </c>
      <c r="W75" s="12">
        <f t="shared" si="88"/>
        <v>0</v>
      </c>
      <c r="X75" s="12">
        <f t="shared" si="88"/>
        <v>0</v>
      </c>
      <c r="Y75" s="12">
        <f t="shared" si="88"/>
        <v>0</v>
      </c>
      <c r="Z75" s="12">
        <f t="shared" si="88"/>
        <v>0</v>
      </c>
      <c r="AA75" s="12">
        <f t="shared" si="88"/>
        <v>0</v>
      </c>
      <c r="AB75" s="12">
        <f t="shared" si="88"/>
        <v>0</v>
      </c>
      <c r="AC75" s="12">
        <f t="shared" si="88"/>
        <v>0</v>
      </c>
      <c r="AD75" s="12">
        <f t="shared" si="88"/>
        <v>0</v>
      </c>
      <c r="AE75" s="12">
        <f t="shared" si="88"/>
        <v>0</v>
      </c>
      <c r="AF75" s="12">
        <f t="shared" si="88"/>
        <v>0</v>
      </c>
      <c r="AG75" s="12">
        <f t="shared" si="88"/>
        <v>0</v>
      </c>
      <c r="AH75" s="12">
        <f t="shared" si="88"/>
        <v>0</v>
      </c>
      <c r="AI75" s="12">
        <f t="shared" si="88"/>
        <v>0</v>
      </c>
      <c r="AJ75" s="12">
        <f t="shared" si="88"/>
        <v>0</v>
      </c>
      <c r="AK75" s="12">
        <f t="shared" ref="AK75:BP75" si="89" xml:space="preserve"> AK$64</f>
        <v>0</v>
      </c>
      <c r="AL75" s="12">
        <f t="shared" si="89"/>
        <v>0</v>
      </c>
      <c r="AM75" s="12">
        <f t="shared" si="89"/>
        <v>0</v>
      </c>
      <c r="AN75" s="12">
        <f t="shared" si="89"/>
        <v>0</v>
      </c>
      <c r="AO75" s="12">
        <f t="shared" si="89"/>
        <v>0</v>
      </c>
      <c r="AP75" s="12">
        <f t="shared" si="89"/>
        <v>0</v>
      </c>
      <c r="AQ75" s="12">
        <f t="shared" si="89"/>
        <v>0</v>
      </c>
      <c r="AR75" s="12">
        <f t="shared" si="89"/>
        <v>0</v>
      </c>
      <c r="AS75" s="12">
        <f t="shared" si="89"/>
        <v>0</v>
      </c>
      <c r="AT75" s="12">
        <f t="shared" si="89"/>
        <v>0</v>
      </c>
      <c r="AU75" s="12">
        <f t="shared" si="89"/>
        <v>0</v>
      </c>
      <c r="AV75" s="12">
        <f t="shared" si="89"/>
        <v>0</v>
      </c>
      <c r="AW75" s="12">
        <f t="shared" si="89"/>
        <v>0</v>
      </c>
      <c r="AX75" s="12">
        <f t="shared" si="89"/>
        <v>0</v>
      </c>
      <c r="AY75" s="12">
        <f t="shared" si="89"/>
        <v>0</v>
      </c>
      <c r="AZ75" s="12">
        <f t="shared" si="89"/>
        <v>0</v>
      </c>
      <c r="BA75" s="12">
        <f t="shared" si="89"/>
        <v>0</v>
      </c>
      <c r="BB75" s="12">
        <f t="shared" si="89"/>
        <v>0</v>
      </c>
      <c r="BC75" s="12">
        <f t="shared" si="89"/>
        <v>0</v>
      </c>
      <c r="BD75" s="12">
        <f t="shared" si="89"/>
        <v>0</v>
      </c>
      <c r="BE75" s="12">
        <f t="shared" si="89"/>
        <v>0</v>
      </c>
      <c r="BF75" s="12">
        <f t="shared" si="89"/>
        <v>0</v>
      </c>
      <c r="BG75" s="12">
        <f t="shared" si="89"/>
        <v>0</v>
      </c>
      <c r="BH75" s="12">
        <f t="shared" si="89"/>
        <v>0</v>
      </c>
      <c r="BI75" s="12">
        <f t="shared" si="89"/>
        <v>0</v>
      </c>
      <c r="BJ75" s="12">
        <f t="shared" si="89"/>
        <v>0</v>
      </c>
      <c r="BK75" s="12">
        <f t="shared" si="89"/>
        <v>0</v>
      </c>
      <c r="BL75" s="12">
        <f t="shared" si="89"/>
        <v>0</v>
      </c>
      <c r="BM75" s="12">
        <f t="shared" si="89"/>
        <v>0</v>
      </c>
      <c r="BN75" s="12">
        <f t="shared" si="89"/>
        <v>0</v>
      </c>
      <c r="BO75" s="12">
        <f t="shared" si="89"/>
        <v>0</v>
      </c>
      <c r="BP75" s="12">
        <f t="shared" si="89"/>
        <v>0</v>
      </c>
      <c r="BQ75" s="12">
        <f t="shared" ref="BQ75:CV75" si="90" xml:space="preserve"> BQ$64</f>
        <v>0</v>
      </c>
      <c r="BR75" s="12">
        <f t="shared" si="90"/>
        <v>0</v>
      </c>
      <c r="BS75" s="12">
        <f t="shared" si="90"/>
        <v>0</v>
      </c>
      <c r="BT75" s="12">
        <f t="shared" si="90"/>
        <v>0</v>
      </c>
      <c r="BU75" s="12">
        <f t="shared" si="90"/>
        <v>0</v>
      </c>
      <c r="BV75" s="12">
        <f t="shared" si="90"/>
        <v>0</v>
      </c>
      <c r="BW75" s="12">
        <f t="shared" si="90"/>
        <v>0</v>
      </c>
      <c r="BX75" s="12">
        <f t="shared" si="90"/>
        <v>0</v>
      </c>
      <c r="BY75" s="12">
        <f t="shared" si="90"/>
        <v>0</v>
      </c>
      <c r="BZ75" s="12">
        <f t="shared" si="90"/>
        <v>0</v>
      </c>
      <c r="CA75" s="12">
        <f t="shared" si="90"/>
        <v>0</v>
      </c>
      <c r="CB75" s="12">
        <f t="shared" si="90"/>
        <v>0</v>
      </c>
      <c r="CC75" s="12">
        <f t="shared" si="90"/>
        <v>0</v>
      </c>
      <c r="CD75" s="12">
        <f t="shared" si="90"/>
        <v>0</v>
      </c>
      <c r="CE75" s="12">
        <f t="shared" si="90"/>
        <v>0</v>
      </c>
      <c r="CF75" s="12">
        <f t="shared" si="90"/>
        <v>0</v>
      </c>
      <c r="CG75" s="12">
        <f t="shared" si="90"/>
        <v>0</v>
      </c>
      <c r="CH75" s="12">
        <f t="shared" si="90"/>
        <v>0</v>
      </c>
      <c r="CI75" s="12">
        <f t="shared" si="90"/>
        <v>0</v>
      </c>
      <c r="CJ75" s="12">
        <f t="shared" si="90"/>
        <v>0</v>
      </c>
      <c r="CK75" s="12">
        <f t="shared" si="90"/>
        <v>0</v>
      </c>
      <c r="CL75" s="12">
        <f t="shared" si="90"/>
        <v>0</v>
      </c>
      <c r="CM75" s="12">
        <f t="shared" si="90"/>
        <v>0</v>
      </c>
      <c r="CN75" s="12">
        <f t="shared" si="90"/>
        <v>0</v>
      </c>
      <c r="CO75" s="12">
        <f t="shared" si="90"/>
        <v>0</v>
      </c>
      <c r="CP75" s="12">
        <f t="shared" si="90"/>
        <v>0</v>
      </c>
      <c r="CQ75" s="12">
        <f t="shared" si="90"/>
        <v>0</v>
      </c>
      <c r="CR75" s="12">
        <f t="shared" si="90"/>
        <v>0</v>
      </c>
      <c r="CS75" s="12">
        <f t="shared" si="90"/>
        <v>0</v>
      </c>
      <c r="CT75" s="12">
        <f t="shared" si="90"/>
        <v>0</v>
      </c>
      <c r="CU75" s="12">
        <f t="shared" si="90"/>
        <v>0</v>
      </c>
      <c r="CV75" s="12">
        <f t="shared" si="90"/>
        <v>0</v>
      </c>
      <c r="CW75" s="12">
        <f t="shared" ref="CW75:EB75" si="91" xml:space="preserve"> CW$64</f>
        <v>0</v>
      </c>
      <c r="CX75" s="12">
        <f t="shared" si="91"/>
        <v>0</v>
      </c>
      <c r="CY75" s="12">
        <f t="shared" si="91"/>
        <v>0</v>
      </c>
      <c r="CZ75" s="12">
        <f t="shared" si="91"/>
        <v>0</v>
      </c>
      <c r="DA75" s="12">
        <f t="shared" si="91"/>
        <v>0</v>
      </c>
      <c r="DB75" s="12">
        <f t="shared" si="91"/>
        <v>0</v>
      </c>
      <c r="DC75" s="12">
        <f t="shared" si="91"/>
        <v>0</v>
      </c>
      <c r="DD75" s="12">
        <f t="shared" si="91"/>
        <v>0</v>
      </c>
      <c r="DE75" s="12">
        <f t="shared" si="91"/>
        <v>0</v>
      </c>
      <c r="DF75" s="12">
        <f t="shared" si="91"/>
        <v>0</v>
      </c>
      <c r="DG75" s="12">
        <f t="shared" si="91"/>
        <v>0</v>
      </c>
      <c r="DH75" s="12">
        <f t="shared" si="91"/>
        <v>0</v>
      </c>
      <c r="DI75" s="12">
        <f t="shared" si="91"/>
        <v>0</v>
      </c>
      <c r="DJ75" s="12">
        <f t="shared" si="91"/>
        <v>0</v>
      </c>
      <c r="DK75" s="12">
        <f t="shared" si="91"/>
        <v>0</v>
      </c>
      <c r="DL75" s="12">
        <f t="shared" si="91"/>
        <v>0</v>
      </c>
      <c r="DM75" s="12">
        <f t="shared" si="91"/>
        <v>0</v>
      </c>
      <c r="DN75" s="12">
        <f t="shared" si="91"/>
        <v>0</v>
      </c>
      <c r="DO75" s="12">
        <f t="shared" si="91"/>
        <v>0</v>
      </c>
      <c r="DP75" s="12">
        <f t="shared" si="91"/>
        <v>0</v>
      </c>
      <c r="DQ75" s="12">
        <f t="shared" si="91"/>
        <v>0</v>
      </c>
      <c r="DR75" s="12">
        <f t="shared" si="91"/>
        <v>0</v>
      </c>
      <c r="DS75" s="12">
        <f t="shared" si="91"/>
        <v>0</v>
      </c>
      <c r="DT75" s="12">
        <f t="shared" si="91"/>
        <v>0</v>
      </c>
      <c r="DU75" s="12">
        <f t="shared" si="91"/>
        <v>0</v>
      </c>
      <c r="DV75" s="12">
        <f t="shared" si="91"/>
        <v>0</v>
      </c>
      <c r="DW75" s="12">
        <f t="shared" si="91"/>
        <v>0</v>
      </c>
      <c r="DX75" s="12">
        <f t="shared" si="91"/>
        <v>0</v>
      </c>
      <c r="DY75" s="12">
        <f t="shared" si="91"/>
        <v>0</v>
      </c>
      <c r="DZ75" s="12">
        <f t="shared" si="91"/>
        <v>0</v>
      </c>
      <c r="EA75" s="12">
        <f t="shared" si="91"/>
        <v>0</v>
      </c>
      <c r="EB75" s="12">
        <f t="shared" si="91"/>
        <v>0</v>
      </c>
      <c r="EC75" s="12">
        <f t="shared" ref="EC75:FH75" si="92" xml:space="preserve"> EC$64</f>
        <v>0</v>
      </c>
      <c r="ED75" s="12">
        <f t="shared" si="92"/>
        <v>0</v>
      </c>
      <c r="EE75" s="12">
        <f t="shared" si="92"/>
        <v>0</v>
      </c>
      <c r="EF75" s="12">
        <f t="shared" si="92"/>
        <v>0</v>
      </c>
      <c r="EG75" s="12">
        <f t="shared" si="92"/>
        <v>0</v>
      </c>
      <c r="EH75" s="12">
        <f t="shared" si="92"/>
        <v>0</v>
      </c>
      <c r="EI75" s="12">
        <f t="shared" si="92"/>
        <v>0</v>
      </c>
      <c r="EJ75" s="12">
        <f t="shared" si="92"/>
        <v>0</v>
      </c>
      <c r="EK75" s="12">
        <f t="shared" si="92"/>
        <v>0</v>
      </c>
      <c r="EL75" s="12">
        <f t="shared" si="92"/>
        <v>0</v>
      </c>
      <c r="EM75" s="12">
        <f t="shared" si="92"/>
        <v>0</v>
      </c>
      <c r="EN75" s="12">
        <f t="shared" si="92"/>
        <v>0</v>
      </c>
      <c r="EO75" s="12">
        <f t="shared" si="92"/>
        <v>0</v>
      </c>
      <c r="EP75" s="12">
        <f t="shared" si="92"/>
        <v>0</v>
      </c>
      <c r="EQ75" s="12">
        <f t="shared" si="92"/>
        <v>0</v>
      </c>
      <c r="ER75" s="12">
        <f t="shared" si="92"/>
        <v>0</v>
      </c>
      <c r="ES75" s="12">
        <f t="shared" si="92"/>
        <v>0</v>
      </c>
      <c r="ET75" s="12">
        <f t="shared" si="92"/>
        <v>0</v>
      </c>
      <c r="EU75" s="12">
        <f t="shared" si="92"/>
        <v>0</v>
      </c>
      <c r="EV75" s="12">
        <f t="shared" si="92"/>
        <v>0</v>
      </c>
      <c r="EW75" s="12">
        <f t="shared" si="92"/>
        <v>0</v>
      </c>
      <c r="EX75" s="12">
        <f t="shared" si="92"/>
        <v>0</v>
      </c>
      <c r="EY75" s="12">
        <f t="shared" si="92"/>
        <v>0</v>
      </c>
      <c r="EZ75" s="12">
        <f t="shared" si="92"/>
        <v>0</v>
      </c>
      <c r="FA75" s="12">
        <f t="shared" si="92"/>
        <v>0</v>
      </c>
      <c r="FB75" s="12">
        <f t="shared" si="92"/>
        <v>0</v>
      </c>
      <c r="FC75" s="12">
        <f t="shared" si="92"/>
        <v>0</v>
      </c>
      <c r="FD75" s="12">
        <f t="shared" si="92"/>
        <v>0</v>
      </c>
      <c r="FE75" s="12">
        <f t="shared" si="92"/>
        <v>0</v>
      </c>
      <c r="FF75" s="12">
        <f t="shared" si="92"/>
        <v>0</v>
      </c>
      <c r="FG75" s="12">
        <f t="shared" si="92"/>
        <v>0</v>
      </c>
      <c r="FH75" s="12">
        <f t="shared" si="92"/>
        <v>0</v>
      </c>
      <c r="FI75" s="12">
        <f t="shared" ref="FI75:GJ75" si="93" xml:space="preserve"> FI$64</f>
        <v>0</v>
      </c>
      <c r="FJ75" s="12">
        <f t="shared" si="93"/>
        <v>0</v>
      </c>
      <c r="FK75" s="12">
        <f t="shared" si="93"/>
        <v>0</v>
      </c>
      <c r="FL75" s="12">
        <f t="shared" si="93"/>
        <v>0</v>
      </c>
      <c r="FM75" s="12">
        <f t="shared" si="93"/>
        <v>0</v>
      </c>
      <c r="FN75" s="12">
        <f t="shared" si="93"/>
        <v>0</v>
      </c>
      <c r="FO75" s="12">
        <f t="shared" si="93"/>
        <v>0</v>
      </c>
      <c r="FP75" s="12">
        <f t="shared" si="93"/>
        <v>0</v>
      </c>
      <c r="FQ75" s="12">
        <f t="shared" si="93"/>
        <v>0</v>
      </c>
      <c r="FR75" s="12">
        <f t="shared" si="93"/>
        <v>0</v>
      </c>
      <c r="FS75" s="12">
        <f t="shared" si="93"/>
        <v>0</v>
      </c>
      <c r="FT75" s="12">
        <f t="shared" si="93"/>
        <v>0</v>
      </c>
      <c r="FU75" s="12">
        <f t="shared" si="93"/>
        <v>0</v>
      </c>
      <c r="FV75" s="12">
        <f t="shared" si="93"/>
        <v>0</v>
      </c>
      <c r="FW75" s="12">
        <f t="shared" si="93"/>
        <v>0</v>
      </c>
      <c r="FX75" s="12">
        <f t="shared" si="93"/>
        <v>0</v>
      </c>
      <c r="FY75" s="12">
        <f t="shared" si="93"/>
        <v>0</v>
      </c>
      <c r="FZ75" s="12">
        <f t="shared" si="93"/>
        <v>0</v>
      </c>
      <c r="GA75" s="12">
        <f t="shared" si="93"/>
        <v>0</v>
      </c>
      <c r="GB75" s="12">
        <f t="shared" si="93"/>
        <v>0</v>
      </c>
      <c r="GC75" s="12">
        <f t="shared" si="93"/>
        <v>0</v>
      </c>
      <c r="GD75" s="12">
        <f t="shared" si="93"/>
        <v>0</v>
      </c>
      <c r="GE75" s="12">
        <f t="shared" si="93"/>
        <v>0</v>
      </c>
      <c r="GF75" s="12">
        <f t="shared" si="93"/>
        <v>0</v>
      </c>
      <c r="GG75" s="12">
        <f t="shared" si="93"/>
        <v>0</v>
      </c>
      <c r="GH75" s="12">
        <f t="shared" si="93"/>
        <v>0</v>
      </c>
      <c r="GI75" s="12">
        <f t="shared" si="93"/>
        <v>0</v>
      </c>
      <c r="GJ75" s="12">
        <f t="shared" si="93"/>
        <v>0</v>
      </c>
    </row>
    <row r="76" spans="1:192" outlineLevel="1" x14ac:dyDescent="0.2">
      <c r="E76" s="12" t="s">
        <v>1307</v>
      </c>
      <c r="G76" s="12" t="str">
        <f xml:space="preserve"> SMU</f>
        <v>$ 000s</v>
      </c>
      <c r="H76" s="12">
        <f xml:space="preserve"> SUM(J76:CV76)</f>
        <v>0</v>
      </c>
      <c r="J76" s="12">
        <f t="shared" ref="J76:AO76" si="94" xml:space="preserve"> $F74 * J75</f>
        <v>0</v>
      </c>
      <c r="K76" s="12">
        <f t="shared" si="94"/>
        <v>0</v>
      </c>
      <c r="L76" s="12">
        <f t="shared" si="94"/>
        <v>0</v>
      </c>
      <c r="M76" s="12">
        <f t="shared" si="94"/>
        <v>0</v>
      </c>
      <c r="N76" s="12">
        <f t="shared" si="94"/>
        <v>0</v>
      </c>
      <c r="O76" s="12">
        <f t="shared" si="94"/>
        <v>0</v>
      </c>
      <c r="P76" s="12">
        <f t="shared" si="94"/>
        <v>0</v>
      </c>
      <c r="Q76" s="12">
        <f t="shared" si="94"/>
        <v>0</v>
      </c>
      <c r="R76" s="12">
        <f t="shared" si="94"/>
        <v>0</v>
      </c>
      <c r="S76" s="12">
        <f t="shared" si="94"/>
        <v>0</v>
      </c>
      <c r="T76" s="12">
        <f t="shared" si="94"/>
        <v>0</v>
      </c>
      <c r="U76" s="12">
        <f t="shared" si="94"/>
        <v>0</v>
      </c>
      <c r="V76" s="12">
        <f t="shared" si="94"/>
        <v>0</v>
      </c>
      <c r="W76" s="12">
        <f t="shared" si="94"/>
        <v>0</v>
      </c>
      <c r="X76" s="12">
        <f t="shared" si="94"/>
        <v>0</v>
      </c>
      <c r="Y76" s="12">
        <f t="shared" si="94"/>
        <v>0</v>
      </c>
      <c r="Z76" s="12">
        <f t="shared" si="94"/>
        <v>0</v>
      </c>
      <c r="AA76" s="12">
        <f t="shared" si="94"/>
        <v>0</v>
      </c>
      <c r="AB76" s="12">
        <f t="shared" si="94"/>
        <v>0</v>
      </c>
      <c r="AC76" s="12">
        <f t="shared" si="94"/>
        <v>0</v>
      </c>
      <c r="AD76" s="12">
        <f t="shared" si="94"/>
        <v>0</v>
      </c>
      <c r="AE76" s="12">
        <f t="shared" si="94"/>
        <v>0</v>
      </c>
      <c r="AF76" s="12">
        <f t="shared" si="94"/>
        <v>0</v>
      </c>
      <c r="AG76" s="12">
        <f t="shared" si="94"/>
        <v>0</v>
      </c>
      <c r="AH76" s="12">
        <f t="shared" si="94"/>
        <v>0</v>
      </c>
      <c r="AI76" s="12">
        <f t="shared" si="94"/>
        <v>0</v>
      </c>
      <c r="AJ76" s="12">
        <f t="shared" si="94"/>
        <v>0</v>
      </c>
      <c r="AK76" s="12">
        <f t="shared" si="94"/>
        <v>0</v>
      </c>
      <c r="AL76" s="12">
        <f t="shared" si="94"/>
        <v>0</v>
      </c>
      <c r="AM76" s="12">
        <f t="shared" si="94"/>
        <v>0</v>
      </c>
      <c r="AN76" s="12">
        <f t="shared" si="94"/>
        <v>0</v>
      </c>
      <c r="AO76" s="12">
        <f t="shared" si="94"/>
        <v>0</v>
      </c>
      <c r="AP76" s="12">
        <f t="shared" ref="AP76:BU76" si="95" xml:space="preserve"> $F74 * AP75</f>
        <v>0</v>
      </c>
      <c r="AQ76" s="12">
        <f t="shared" si="95"/>
        <v>0</v>
      </c>
      <c r="AR76" s="12">
        <f t="shared" si="95"/>
        <v>0</v>
      </c>
      <c r="AS76" s="12">
        <f t="shared" si="95"/>
        <v>0</v>
      </c>
      <c r="AT76" s="12">
        <f t="shared" si="95"/>
        <v>0</v>
      </c>
      <c r="AU76" s="12">
        <f t="shared" si="95"/>
        <v>0</v>
      </c>
      <c r="AV76" s="12">
        <f t="shared" si="95"/>
        <v>0</v>
      </c>
      <c r="AW76" s="12">
        <f t="shared" si="95"/>
        <v>0</v>
      </c>
      <c r="AX76" s="12">
        <f t="shared" si="95"/>
        <v>0</v>
      </c>
      <c r="AY76" s="12">
        <f t="shared" si="95"/>
        <v>0</v>
      </c>
      <c r="AZ76" s="12">
        <f t="shared" si="95"/>
        <v>0</v>
      </c>
      <c r="BA76" s="12">
        <f t="shared" si="95"/>
        <v>0</v>
      </c>
      <c r="BB76" s="12">
        <f t="shared" si="95"/>
        <v>0</v>
      </c>
      <c r="BC76" s="12">
        <f t="shared" si="95"/>
        <v>0</v>
      </c>
      <c r="BD76" s="12">
        <f t="shared" si="95"/>
        <v>0</v>
      </c>
      <c r="BE76" s="12">
        <f t="shared" si="95"/>
        <v>0</v>
      </c>
      <c r="BF76" s="12">
        <f t="shared" si="95"/>
        <v>0</v>
      </c>
      <c r="BG76" s="12">
        <f t="shared" si="95"/>
        <v>0</v>
      </c>
      <c r="BH76" s="12">
        <f t="shared" si="95"/>
        <v>0</v>
      </c>
      <c r="BI76" s="12">
        <f t="shared" si="95"/>
        <v>0</v>
      </c>
      <c r="BJ76" s="12">
        <f t="shared" si="95"/>
        <v>0</v>
      </c>
      <c r="BK76" s="12">
        <f t="shared" si="95"/>
        <v>0</v>
      </c>
      <c r="BL76" s="12">
        <f t="shared" si="95"/>
        <v>0</v>
      </c>
      <c r="BM76" s="12">
        <f t="shared" si="95"/>
        <v>0</v>
      </c>
      <c r="BN76" s="12">
        <f t="shared" si="95"/>
        <v>0</v>
      </c>
      <c r="BO76" s="12">
        <f t="shared" si="95"/>
        <v>0</v>
      </c>
      <c r="BP76" s="12">
        <f t="shared" si="95"/>
        <v>0</v>
      </c>
      <c r="BQ76" s="12">
        <f t="shared" si="95"/>
        <v>0</v>
      </c>
      <c r="BR76" s="12">
        <f t="shared" si="95"/>
        <v>0</v>
      </c>
      <c r="BS76" s="12">
        <f t="shared" si="95"/>
        <v>0</v>
      </c>
      <c r="BT76" s="12">
        <f t="shared" si="95"/>
        <v>0</v>
      </c>
      <c r="BU76" s="12">
        <f t="shared" si="95"/>
        <v>0</v>
      </c>
      <c r="BV76" s="12">
        <f t="shared" ref="BV76:CV76" si="96" xml:space="preserve"> $F74 * BV75</f>
        <v>0</v>
      </c>
      <c r="BW76" s="12">
        <f t="shared" si="96"/>
        <v>0</v>
      </c>
      <c r="BX76" s="12">
        <f t="shared" si="96"/>
        <v>0</v>
      </c>
      <c r="BY76" s="12">
        <f t="shared" si="96"/>
        <v>0</v>
      </c>
      <c r="BZ76" s="12">
        <f t="shared" si="96"/>
        <v>0</v>
      </c>
      <c r="CA76" s="12">
        <f t="shared" si="96"/>
        <v>0</v>
      </c>
      <c r="CB76" s="12">
        <f t="shared" si="96"/>
        <v>0</v>
      </c>
      <c r="CC76" s="12">
        <f t="shared" si="96"/>
        <v>0</v>
      </c>
      <c r="CD76" s="12">
        <f t="shared" si="96"/>
        <v>0</v>
      </c>
      <c r="CE76" s="12">
        <f t="shared" si="96"/>
        <v>0</v>
      </c>
      <c r="CF76" s="12">
        <f t="shared" si="96"/>
        <v>0</v>
      </c>
      <c r="CG76" s="12">
        <f t="shared" si="96"/>
        <v>0</v>
      </c>
      <c r="CH76" s="12">
        <f t="shared" si="96"/>
        <v>0</v>
      </c>
      <c r="CI76" s="12">
        <f t="shared" si="96"/>
        <v>0</v>
      </c>
      <c r="CJ76" s="12">
        <f t="shared" si="96"/>
        <v>0</v>
      </c>
      <c r="CK76" s="12">
        <f t="shared" si="96"/>
        <v>0</v>
      </c>
      <c r="CL76" s="12">
        <f t="shared" si="96"/>
        <v>0</v>
      </c>
      <c r="CM76" s="12">
        <f t="shared" si="96"/>
        <v>0</v>
      </c>
      <c r="CN76" s="12">
        <f t="shared" si="96"/>
        <v>0</v>
      </c>
      <c r="CO76" s="12">
        <f t="shared" si="96"/>
        <v>0</v>
      </c>
      <c r="CP76" s="12">
        <f t="shared" si="96"/>
        <v>0</v>
      </c>
      <c r="CQ76" s="12">
        <f t="shared" si="96"/>
        <v>0</v>
      </c>
      <c r="CR76" s="12">
        <f t="shared" si="96"/>
        <v>0</v>
      </c>
      <c r="CS76" s="12">
        <f t="shared" si="96"/>
        <v>0</v>
      </c>
      <c r="CT76" s="12">
        <f t="shared" si="96"/>
        <v>0</v>
      </c>
      <c r="CU76" s="12">
        <f t="shared" si="96"/>
        <v>0</v>
      </c>
      <c r="CV76" s="12">
        <f t="shared" si="96"/>
        <v>0</v>
      </c>
    </row>
    <row r="77" spans="1:192" s="1141" customFormat="1" outlineLevel="1" x14ac:dyDescent="0.2">
      <c r="A77" s="141"/>
      <c r="B77" s="141"/>
      <c r="C77" s="142"/>
      <c r="D77" s="143"/>
      <c r="E77" s="187" t="str">
        <f xml:space="preserve"> LEFT(E76, LEN(E76) - 4)</f>
        <v>Corporate income tax</v>
      </c>
      <c r="F77" s="187"/>
      <c r="G77" s="187" t="str">
        <f xml:space="preserve"> SMU</f>
        <v>$ 000s</v>
      </c>
      <c r="H77" s="187">
        <f xml:space="preserve"> SUM(J77:CV77)</f>
        <v>0</v>
      </c>
      <c r="I77" s="144"/>
      <c r="J77" s="187">
        <f t="shared" ref="J77:BU77" si="97" xml:space="preserve"> -1 * J76</f>
        <v>0</v>
      </c>
      <c r="K77" s="187">
        <f t="shared" si="97"/>
        <v>0</v>
      </c>
      <c r="L77" s="187">
        <f t="shared" si="97"/>
        <v>0</v>
      </c>
      <c r="M77" s="187">
        <f t="shared" si="97"/>
        <v>0</v>
      </c>
      <c r="N77" s="187">
        <f t="shared" si="97"/>
        <v>0</v>
      </c>
      <c r="O77" s="187">
        <f t="shared" si="97"/>
        <v>0</v>
      </c>
      <c r="P77" s="187">
        <f t="shared" si="97"/>
        <v>0</v>
      </c>
      <c r="Q77" s="187">
        <f t="shared" si="97"/>
        <v>0</v>
      </c>
      <c r="R77" s="187">
        <f t="shared" si="97"/>
        <v>0</v>
      </c>
      <c r="S77" s="187">
        <f t="shared" si="97"/>
        <v>0</v>
      </c>
      <c r="T77" s="187">
        <f t="shared" si="97"/>
        <v>0</v>
      </c>
      <c r="U77" s="187">
        <f t="shared" si="97"/>
        <v>0</v>
      </c>
      <c r="V77" s="187">
        <f t="shared" si="97"/>
        <v>0</v>
      </c>
      <c r="W77" s="187">
        <f t="shared" si="97"/>
        <v>0</v>
      </c>
      <c r="X77" s="187">
        <f t="shared" si="97"/>
        <v>0</v>
      </c>
      <c r="Y77" s="187">
        <f t="shared" si="97"/>
        <v>0</v>
      </c>
      <c r="Z77" s="187">
        <f t="shared" si="97"/>
        <v>0</v>
      </c>
      <c r="AA77" s="187">
        <f t="shared" si="97"/>
        <v>0</v>
      </c>
      <c r="AB77" s="187">
        <f t="shared" si="97"/>
        <v>0</v>
      </c>
      <c r="AC77" s="187">
        <f t="shared" si="97"/>
        <v>0</v>
      </c>
      <c r="AD77" s="187">
        <f t="shared" si="97"/>
        <v>0</v>
      </c>
      <c r="AE77" s="187">
        <f t="shared" si="97"/>
        <v>0</v>
      </c>
      <c r="AF77" s="187">
        <f t="shared" si="97"/>
        <v>0</v>
      </c>
      <c r="AG77" s="187">
        <f t="shared" si="97"/>
        <v>0</v>
      </c>
      <c r="AH77" s="187">
        <f t="shared" si="97"/>
        <v>0</v>
      </c>
      <c r="AI77" s="187">
        <f t="shared" si="97"/>
        <v>0</v>
      </c>
      <c r="AJ77" s="187">
        <f t="shared" si="97"/>
        <v>0</v>
      </c>
      <c r="AK77" s="187">
        <f t="shared" si="97"/>
        <v>0</v>
      </c>
      <c r="AL77" s="187">
        <f t="shared" si="97"/>
        <v>0</v>
      </c>
      <c r="AM77" s="187">
        <f t="shared" si="97"/>
        <v>0</v>
      </c>
      <c r="AN77" s="187">
        <f t="shared" si="97"/>
        <v>0</v>
      </c>
      <c r="AO77" s="187">
        <f t="shared" si="97"/>
        <v>0</v>
      </c>
      <c r="AP77" s="187">
        <f t="shared" si="97"/>
        <v>0</v>
      </c>
      <c r="AQ77" s="187">
        <f t="shared" si="97"/>
        <v>0</v>
      </c>
      <c r="AR77" s="187">
        <f t="shared" si="97"/>
        <v>0</v>
      </c>
      <c r="AS77" s="187">
        <f t="shared" si="97"/>
        <v>0</v>
      </c>
      <c r="AT77" s="187">
        <f t="shared" si="97"/>
        <v>0</v>
      </c>
      <c r="AU77" s="187">
        <f t="shared" si="97"/>
        <v>0</v>
      </c>
      <c r="AV77" s="187">
        <f t="shared" si="97"/>
        <v>0</v>
      </c>
      <c r="AW77" s="187">
        <f t="shared" si="97"/>
        <v>0</v>
      </c>
      <c r="AX77" s="187">
        <f t="shared" si="97"/>
        <v>0</v>
      </c>
      <c r="AY77" s="187">
        <f t="shared" si="97"/>
        <v>0</v>
      </c>
      <c r="AZ77" s="187">
        <f t="shared" si="97"/>
        <v>0</v>
      </c>
      <c r="BA77" s="187">
        <f t="shared" si="97"/>
        <v>0</v>
      </c>
      <c r="BB77" s="187">
        <f t="shared" si="97"/>
        <v>0</v>
      </c>
      <c r="BC77" s="187">
        <f t="shared" si="97"/>
        <v>0</v>
      </c>
      <c r="BD77" s="187">
        <f t="shared" si="97"/>
        <v>0</v>
      </c>
      <c r="BE77" s="187">
        <f t="shared" si="97"/>
        <v>0</v>
      </c>
      <c r="BF77" s="187">
        <f t="shared" si="97"/>
        <v>0</v>
      </c>
      <c r="BG77" s="187">
        <f t="shared" si="97"/>
        <v>0</v>
      </c>
      <c r="BH77" s="187">
        <f t="shared" si="97"/>
        <v>0</v>
      </c>
      <c r="BI77" s="187">
        <f t="shared" si="97"/>
        <v>0</v>
      </c>
      <c r="BJ77" s="187">
        <f t="shared" si="97"/>
        <v>0</v>
      </c>
      <c r="BK77" s="187">
        <f t="shared" si="97"/>
        <v>0</v>
      </c>
      <c r="BL77" s="187">
        <f t="shared" si="97"/>
        <v>0</v>
      </c>
      <c r="BM77" s="187">
        <f t="shared" si="97"/>
        <v>0</v>
      </c>
      <c r="BN77" s="187">
        <f t="shared" si="97"/>
        <v>0</v>
      </c>
      <c r="BO77" s="187">
        <f t="shared" si="97"/>
        <v>0</v>
      </c>
      <c r="BP77" s="187">
        <f t="shared" si="97"/>
        <v>0</v>
      </c>
      <c r="BQ77" s="187">
        <f t="shared" si="97"/>
        <v>0</v>
      </c>
      <c r="BR77" s="187">
        <f t="shared" si="97"/>
        <v>0</v>
      </c>
      <c r="BS77" s="187">
        <f t="shared" si="97"/>
        <v>0</v>
      </c>
      <c r="BT77" s="187">
        <f t="shared" si="97"/>
        <v>0</v>
      </c>
      <c r="BU77" s="187">
        <f t="shared" si="97"/>
        <v>0</v>
      </c>
      <c r="BV77" s="187">
        <f t="shared" ref="BV77:CV77" si="98" xml:space="preserve"> -1 * BV76</f>
        <v>0</v>
      </c>
      <c r="BW77" s="187">
        <f t="shared" si="98"/>
        <v>0</v>
      </c>
      <c r="BX77" s="187">
        <f t="shared" si="98"/>
        <v>0</v>
      </c>
      <c r="BY77" s="187">
        <f t="shared" si="98"/>
        <v>0</v>
      </c>
      <c r="BZ77" s="187">
        <f t="shared" si="98"/>
        <v>0</v>
      </c>
      <c r="CA77" s="187">
        <f t="shared" si="98"/>
        <v>0</v>
      </c>
      <c r="CB77" s="187">
        <f t="shared" si="98"/>
        <v>0</v>
      </c>
      <c r="CC77" s="187">
        <f t="shared" si="98"/>
        <v>0</v>
      </c>
      <c r="CD77" s="187">
        <f t="shared" si="98"/>
        <v>0</v>
      </c>
      <c r="CE77" s="187">
        <f t="shared" si="98"/>
        <v>0</v>
      </c>
      <c r="CF77" s="187">
        <f t="shared" si="98"/>
        <v>0</v>
      </c>
      <c r="CG77" s="187">
        <f t="shared" si="98"/>
        <v>0</v>
      </c>
      <c r="CH77" s="187">
        <f t="shared" si="98"/>
        <v>0</v>
      </c>
      <c r="CI77" s="187">
        <f t="shared" si="98"/>
        <v>0</v>
      </c>
      <c r="CJ77" s="187">
        <f t="shared" si="98"/>
        <v>0</v>
      </c>
      <c r="CK77" s="187">
        <f t="shared" si="98"/>
        <v>0</v>
      </c>
      <c r="CL77" s="187">
        <f t="shared" si="98"/>
        <v>0</v>
      </c>
      <c r="CM77" s="187">
        <f t="shared" si="98"/>
        <v>0</v>
      </c>
      <c r="CN77" s="187">
        <f t="shared" si="98"/>
        <v>0</v>
      </c>
      <c r="CO77" s="187">
        <f t="shared" si="98"/>
        <v>0</v>
      </c>
      <c r="CP77" s="187">
        <f t="shared" si="98"/>
        <v>0</v>
      </c>
      <c r="CQ77" s="187">
        <f t="shared" si="98"/>
        <v>0</v>
      </c>
      <c r="CR77" s="187">
        <f t="shared" si="98"/>
        <v>0</v>
      </c>
      <c r="CS77" s="187">
        <f t="shared" si="98"/>
        <v>0</v>
      </c>
      <c r="CT77" s="187">
        <f t="shared" si="98"/>
        <v>0</v>
      </c>
      <c r="CU77" s="187">
        <f t="shared" si="98"/>
        <v>0</v>
      </c>
      <c r="CV77" s="187">
        <f t="shared" si="98"/>
        <v>0</v>
      </c>
    </row>
    <row r="78" spans="1:192" outlineLevel="1" x14ac:dyDescent="0.2"/>
    <row r="80" spans="1:192" x14ac:dyDescent="0.2">
      <c r="A80" s="15" t="s">
        <v>1308</v>
      </c>
    </row>
    <row r="81" spans="1:192" outlineLevel="1" x14ac:dyDescent="0.2"/>
    <row r="82" spans="1:192" outlineLevel="1" x14ac:dyDescent="0.2">
      <c r="B82" s="15" t="s">
        <v>1310</v>
      </c>
    </row>
    <row r="83" spans="1:192" outlineLevel="2" x14ac:dyDescent="0.2">
      <c r="E83" s="145" t="str">
        <f xml:space="preserve"> InpC!E$402</f>
        <v>Corporate income tax rate</v>
      </c>
      <c r="F83" s="316">
        <f xml:space="preserve"> InpC!F$402</f>
        <v>0.2</v>
      </c>
      <c r="G83" s="145" t="str">
        <f xml:space="preserve"> InpC!G$402</f>
        <v>%</v>
      </c>
      <c r="H83" s="38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</row>
    <row r="84" spans="1:192" outlineLevel="2" x14ac:dyDescent="0.2">
      <c r="E84" s="12" t="str">
        <f t="shared" ref="E84:BP84" si="99" xml:space="preserve"> E$12</f>
        <v>Tax depreciation</v>
      </c>
      <c r="F84" s="12">
        <f t="shared" si="99"/>
        <v>0</v>
      </c>
      <c r="G84" s="12" t="str">
        <f t="shared" si="99"/>
        <v>$ 000s</v>
      </c>
      <c r="H84" s="12">
        <f t="shared" si="99"/>
        <v>319727.85774203978</v>
      </c>
      <c r="I84" s="12">
        <f t="shared" si="99"/>
        <v>0</v>
      </c>
      <c r="J84" s="12">
        <f t="shared" si="99"/>
        <v>0</v>
      </c>
      <c r="K84" s="12">
        <f t="shared" si="99"/>
        <v>0</v>
      </c>
      <c r="L84" s="12">
        <f t="shared" si="99"/>
        <v>0</v>
      </c>
      <c r="M84" s="12">
        <f t="shared" si="99"/>
        <v>0</v>
      </c>
      <c r="N84" s="12">
        <f t="shared" si="99"/>
        <v>0</v>
      </c>
      <c r="O84" s="12">
        <f t="shared" si="99"/>
        <v>31972.785774203956</v>
      </c>
      <c r="P84" s="12">
        <f t="shared" si="99"/>
        <v>28775.507196783561</v>
      </c>
      <c r="Q84" s="12">
        <f t="shared" si="99"/>
        <v>25897.956477105206</v>
      </c>
      <c r="R84" s="12">
        <f t="shared" si="99"/>
        <v>23308.160829394685</v>
      </c>
      <c r="S84" s="12">
        <f t="shared" si="99"/>
        <v>20977.344746455215</v>
      </c>
      <c r="T84" s="12">
        <f t="shared" si="99"/>
        <v>18879.610271809692</v>
      </c>
      <c r="U84" s="12">
        <f t="shared" si="99"/>
        <v>16991.649244628727</v>
      </c>
      <c r="V84" s="12">
        <f t="shared" si="99"/>
        <v>15292.484320165851</v>
      </c>
      <c r="W84" s="12">
        <f t="shared" si="99"/>
        <v>13763.235888149267</v>
      </c>
      <c r="X84" s="12">
        <f t="shared" si="99"/>
        <v>12386.912299334341</v>
      </c>
      <c r="Y84" s="12">
        <f t="shared" si="99"/>
        <v>11148.221069400906</v>
      </c>
      <c r="Z84" s="12">
        <f t="shared" si="99"/>
        <v>10033.398962460815</v>
      </c>
      <c r="AA84" s="12">
        <f t="shared" si="99"/>
        <v>9030.0590662147333</v>
      </c>
      <c r="AB84" s="12">
        <f t="shared" si="99"/>
        <v>8127.0531595932598</v>
      </c>
      <c r="AC84" s="12">
        <f t="shared" si="99"/>
        <v>7314.3478436339346</v>
      </c>
      <c r="AD84" s="12">
        <f t="shared" si="99"/>
        <v>6582.9130592705405</v>
      </c>
      <c r="AE84" s="12">
        <f t="shared" si="99"/>
        <v>5924.6217533434865</v>
      </c>
      <c r="AF84" s="12">
        <f t="shared" si="99"/>
        <v>5332.1595780091375</v>
      </c>
      <c r="AG84" s="12">
        <f t="shared" si="99"/>
        <v>4798.9436202082243</v>
      </c>
      <c r="AH84" s="12">
        <f t="shared" si="99"/>
        <v>4319.0492581874014</v>
      </c>
      <c r="AI84" s="12">
        <f t="shared" si="99"/>
        <v>3887.1443323686617</v>
      </c>
      <c r="AJ84" s="12">
        <f t="shared" si="99"/>
        <v>3498.4298991317955</v>
      </c>
      <c r="AK84" s="12">
        <f t="shared" si="99"/>
        <v>3148.5869092186163</v>
      </c>
      <c r="AL84" s="12">
        <f t="shared" si="99"/>
        <v>2833.7282182967547</v>
      </c>
      <c r="AM84" s="12">
        <f t="shared" si="99"/>
        <v>2550.3553964670791</v>
      </c>
      <c r="AN84" s="12">
        <f t="shared" si="99"/>
        <v>2295.3198568203711</v>
      </c>
      <c r="AO84" s="12">
        <f t="shared" si="99"/>
        <v>2065.7878711383341</v>
      </c>
      <c r="AP84" s="12">
        <f t="shared" si="99"/>
        <v>1859.209084024501</v>
      </c>
      <c r="AQ84" s="12">
        <f t="shared" si="99"/>
        <v>1673.2881756220509</v>
      </c>
      <c r="AR84" s="12">
        <f t="shared" si="99"/>
        <v>1505.9593580598457</v>
      </c>
      <c r="AS84" s="12">
        <f t="shared" si="99"/>
        <v>1355.3634222538612</v>
      </c>
      <c r="AT84" s="12">
        <f t="shared" si="99"/>
        <v>1219.8270800284752</v>
      </c>
      <c r="AU84" s="12">
        <f t="shared" si="99"/>
        <v>1097.8443720256275</v>
      </c>
      <c r="AV84" s="12">
        <f t="shared" si="99"/>
        <v>988.05993482306485</v>
      </c>
      <c r="AW84" s="12">
        <f t="shared" si="99"/>
        <v>889.25394134075839</v>
      </c>
      <c r="AX84" s="12">
        <f t="shared" si="99"/>
        <v>800.32854720668252</v>
      </c>
      <c r="AY84" s="12">
        <f t="shared" si="99"/>
        <v>720.29569248601422</v>
      </c>
      <c r="AZ84" s="12">
        <f t="shared" si="99"/>
        <v>648.26612323741278</v>
      </c>
      <c r="BA84" s="12">
        <f t="shared" si="99"/>
        <v>583.43951091367148</v>
      </c>
      <c r="BB84" s="12">
        <f t="shared" si="99"/>
        <v>5250.9555982230431</v>
      </c>
      <c r="BC84" s="12">
        <f t="shared" si="99"/>
        <v>0</v>
      </c>
      <c r="BD84" s="12">
        <f t="shared" si="99"/>
        <v>0</v>
      </c>
      <c r="BE84" s="12">
        <f t="shared" si="99"/>
        <v>0</v>
      </c>
      <c r="BF84" s="12">
        <f t="shared" si="99"/>
        <v>0</v>
      </c>
      <c r="BG84" s="12">
        <f t="shared" si="99"/>
        <v>0</v>
      </c>
      <c r="BH84" s="12">
        <f t="shared" si="99"/>
        <v>0</v>
      </c>
      <c r="BI84" s="12">
        <f t="shared" si="99"/>
        <v>0</v>
      </c>
      <c r="BJ84" s="12">
        <f t="shared" si="99"/>
        <v>0</v>
      </c>
      <c r="BK84" s="12">
        <f t="shared" si="99"/>
        <v>0</v>
      </c>
      <c r="BL84" s="12">
        <f t="shared" si="99"/>
        <v>0</v>
      </c>
      <c r="BM84" s="12">
        <f t="shared" si="99"/>
        <v>0</v>
      </c>
      <c r="BN84" s="12">
        <f t="shared" si="99"/>
        <v>0</v>
      </c>
      <c r="BO84" s="12">
        <f t="shared" si="99"/>
        <v>0</v>
      </c>
      <c r="BP84" s="12">
        <f t="shared" si="99"/>
        <v>0</v>
      </c>
      <c r="BQ84" s="12">
        <f t="shared" ref="BQ84:EB84" si="100" xml:space="preserve"> BQ$12</f>
        <v>0</v>
      </c>
      <c r="BR84" s="12">
        <f t="shared" si="100"/>
        <v>0</v>
      </c>
      <c r="BS84" s="12">
        <f t="shared" si="100"/>
        <v>0</v>
      </c>
      <c r="BT84" s="12">
        <f t="shared" si="100"/>
        <v>0</v>
      </c>
      <c r="BU84" s="12">
        <f t="shared" si="100"/>
        <v>0</v>
      </c>
      <c r="BV84" s="12">
        <f t="shared" si="100"/>
        <v>0</v>
      </c>
      <c r="BW84" s="12">
        <f t="shared" si="100"/>
        <v>0</v>
      </c>
      <c r="BX84" s="12">
        <f t="shared" si="100"/>
        <v>0</v>
      </c>
      <c r="BY84" s="12">
        <f t="shared" si="100"/>
        <v>0</v>
      </c>
      <c r="BZ84" s="12">
        <f t="shared" si="100"/>
        <v>0</v>
      </c>
      <c r="CA84" s="12">
        <f t="shared" si="100"/>
        <v>0</v>
      </c>
      <c r="CB84" s="12">
        <f t="shared" si="100"/>
        <v>0</v>
      </c>
      <c r="CC84" s="12">
        <f t="shared" si="100"/>
        <v>0</v>
      </c>
      <c r="CD84" s="12">
        <f t="shared" si="100"/>
        <v>0</v>
      </c>
      <c r="CE84" s="12">
        <f t="shared" si="100"/>
        <v>0</v>
      </c>
      <c r="CF84" s="12">
        <f t="shared" si="100"/>
        <v>0</v>
      </c>
      <c r="CG84" s="12">
        <f t="shared" si="100"/>
        <v>0</v>
      </c>
      <c r="CH84" s="12">
        <f t="shared" si="100"/>
        <v>0</v>
      </c>
      <c r="CI84" s="12">
        <f t="shared" si="100"/>
        <v>0</v>
      </c>
      <c r="CJ84" s="12">
        <f t="shared" si="100"/>
        <v>0</v>
      </c>
      <c r="CK84" s="12">
        <f t="shared" si="100"/>
        <v>0</v>
      </c>
      <c r="CL84" s="12">
        <f t="shared" si="100"/>
        <v>0</v>
      </c>
      <c r="CM84" s="12">
        <f t="shared" si="100"/>
        <v>0</v>
      </c>
      <c r="CN84" s="12">
        <f t="shared" si="100"/>
        <v>0</v>
      </c>
      <c r="CO84" s="12">
        <f t="shared" si="100"/>
        <v>0</v>
      </c>
      <c r="CP84" s="12">
        <f t="shared" si="100"/>
        <v>0</v>
      </c>
      <c r="CQ84" s="12">
        <f t="shared" si="100"/>
        <v>0</v>
      </c>
      <c r="CR84" s="12">
        <f t="shared" si="100"/>
        <v>0</v>
      </c>
      <c r="CS84" s="12">
        <f t="shared" si="100"/>
        <v>0</v>
      </c>
      <c r="CT84" s="12">
        <f t="shared" si="100"/>
        <v>0</v>
      </c>
      <c r="CU84" s="12">
        <f t="shared" si="100"/>
        <v>0</v>
      </c>
      <c r="CV84" s="12">
        <f t="shared" si="100"/>
        <v>0</v>
      </c>
      <c r="CW84" s="12">
        <f t="shared" si="100"/>
        <v>0</v>
      </c>
      <c r="CX84" s="12">
        <f t="shared" si="100"/>
        <v>0</v>
      </c>
      <c r="CY84" s="12">
        <f t="shared" si="100"/>
        <v>0</v>
      </c>
      <c r="CZ84" s="12">
        <f t="shared" si="100"/>
        <v>0</v>
      </c>
      <c r="DA84" s="12">
        <f t="shared" si="100"/>
        <v>0</v>
      </c>
      <c r="DB84" s="12">
        <f t="shared" si="100"/>
        <v>0</v>
      </c>
      <c r="DC84" s="12">
        <f t="shared" si="100"/>
        <v>0</v>
      </c>
      <c r="DD84" s="12">
        <f t="shared" si="100"/>
        <v>0</v>
      </c>
      <c r="DE84" s="12">
        <f t="shared" si="100"/>
        <v>0</v>
      </c>
      <c r="DF84" s="12">
        <f t="shared" si="100"/>
        <v>0</v>
      </c>
      <c r="DG84" s="12">
        <f t="shared" si="100"/>
        <v>0</v>
      </c>
      <c r="DH84" s="12">
        <f t="shared" si="100"/>
        <v>0</v>
      </c>
      <c r="DI84" s="12">
        <f t="shared" si="100"/>
        <v>0</v>
      </c>
      <c r="DJ84" s="12">
        <f t="shared" si="100"/>
        <v>0</v>
      </c>
      <c r="DK84" s="12">
        <f t="shared" si="100"/>
        <v>0</v>
      </c>
      <c r="DL84" s="12">
        <f t="shared" si="100"/>
        <v>0</v>
      </c>
      <c r="DM84" s="12">
        <f t="shared" si="100"/>
        <v>0</v>
      </c>
      <c r="DN84" s="12">
        <f t="shared" si="100"/>
        <v>0</v>
      </c>
      <c r="DO84" s="12">
        <f t="shared" si="100"/>
        <v>0</v>
      </c>
      <c r="DP84" s="12">
        <f t="shared" si="100"/>
        <v>0</v>
      </c>
      <c r="DQ84" s="12">
        <f t="shared" si="100"/>
        <v>0</v>
      </c>
      <c r="DR84" s="12">
        <f t="shared" si="100"/>
        <v>0</v>
      </c>
      <c r="DS84" s="12">
        <f t="shared" si="100"/>
        <v>0</v>
      </c>
      <c r="DT84" s="12">
        <f t="shared" si="100"/>
        <v>0</v>
      </c>
      <c r="DU84" s="12">
        <f t="shared" si="100"/>
        <v>0</v>
      </c>
      <c r="DV84" s="12">
        <f t="shared" si="100"/>
        <v>0</v>
      </c>
      <c r="DW84" s="12">
        <f t="shared" si="100"/>
        <v>0</v>
      </c>
      <c r="DX84" s="12">
        <f t="shared" si="100"/>
        <v>0</v>
      </c>
      <c r="DY84" s="12">
        <f t="shared" si="100"/>
        <v>0</v>
      </c>
      <c r="DZ84" s="12">
        <f t="shared" si="100"/>
        <v>0</v>
      </c>
      <c r="EA84" s="12">
        <f t="shared" si="100"/>
        <v>0</v>
      </c>
      <c r="EB84" s="12">
        <f t="shared" si="100"/>
        <v>0</v>
      </c>
      <c r="EC84" s="12">
        <f t="shared" ref="EC84:GJ84" si="101" xml:space="preserve"> EC$12</f>
        <v>0</v>
      </c>
      <c r="ED84" s="12">
        <f t="shared" si="101"/>
        <v>0</v>
      </c>
      <c r="EE84" s="12">
        <f t="shared" si="101"/>
        <v>0</v>
      </c>
      <c r="EF84" s="12">
        <f t="shared" si="101"/>
        <v>0</v>
      </c>
      <c r="EG84" s="12">
        <f t="shared" si="101"/>
        <v>0</v>
      </c>
      <c r="EH84" s="12">
        <f t="shared" si="101"/>
        <v>0</v>
      </c>
      <c r="EI84" s="12">
        <f t="shared" si="101"/>
        <v>0</v>
      </c>
      <c r="EJ84" s="12">
        <f t="shared" si="101"/>
        <v>0</v>
      </c>
      <c r="EK84" s="12">
        <f t="shared" si="101"/>
        <v>0</v>
      </c>
      <c r="EL84" s="12">
        <f t="shared" si="101"/>
        <v>0</v>
      </c>
      <c r="EM84" s="12">
        <f t="shared" si="101"/>
        <v>0</v>
      </c>
      <c r="EN84" s="12">
        <f t="shared" si="101"/>
        <v>0</v>
      </c>
      <c r="EO84" s="12">
        <f t="shared" si="101"/>
        <v>0</v>
      </c>
      <c r="EP84" s="12">
        <f t="shared" si="101"/>
        <v>0</v>
      </c>
      <c r="EQ84" s="12">
        <f t="shared" si="101"/>
        <v>0</v>
      </c>
      <c r="ER84" s="12">
        <f t="shared" si="101"/>
        <v>0</v>
      </c>
      <c r="ES84" s="12">
        <f t="shared" si="101"/>
        <v>0</v>
      </c>
      <c r="ET84" s="12">
        <f t="shared" si="101"/>
        <v>0</v>
      </c>
      <c r="EU84" s="12">
        <f t="shared" si="101"/>
        <v>0</v>
      </c>
      <c r="EV84" s="12">
        <f t="shared" si="101"/>
        <v>0</v>
      </c>
      <c r="EW84" s="12">
        <f t="shared" si="101"/>
        <v>0</v>
      </c>
      <c r="EX84" s="12">
        <f t="shared" si="101"/>
        <v>0</v>
      </c>
      <c r="EY84" s="12">
        <f t="shared" si="101"/>
        <v>0</v>
      </c>
      <c r="EZ84" s="12">
        <f t="shared" si="101"/>
        <v>0</v>
      </c>
      <c r="FA84" s="12">
        <f t="shared" si="101"/>
        <v>0</v>
      </c>
      <c r="FB84" s="12">
        <f t="shared" si="101"/>
        <v>0</v>
      </c>
      <c r="FC84" s="12">
        <f t="shared" si="101"/>
        <v>0</v>
      </c>
      <c r="FD84" s="12">
        <f t="shared" si="101"/>
        <v>0</v>
      </c>
      <c r="FE84" s="12">
        <f t="shared" si="101"/>
        <v>0</v>
      </c>
      <c r="FF84" s="12">
        <f t="shared" si="101"/>
        <v>0</v>
      </c>
      <c r="FG84" s="12">
        <f t="shared" si="101"/>
        <v>0</v>
      </c>
      <c r="FH84" s="12">
        <f t="shared" si="101"/>
        <v>0</v>
      </c>
      <c r="FI84" s="12">
        <f t="shared" si="101"/>
        <v>0</v>
      </c>
      <c r="FJ84" s="12">
        <f t="shared" si="101"/>
        <v>0</v>
      </c>
      <c r="FK84" s="12">
        <f t="shared" si="101"/>
        <v>0</v>
      </c>
      <c r="FL84" s="12">
        <f t="shared" si="101"/>
        <v>0</v>
      </c>
      <c r="FM84" s="12">
        <f t="shared" si="101"/>
        <v>0</v>
      </c>
      <c r="FN84" s="12">
        <f t="shared" si="101"/>
        <v>0</v>
      </c>
      <c r="FO84" s="12">
        <f t="shared" si="101"/>
        <v>0</v>
      </c>
      <c r="FP84" s="12">
        <f t="shared" si="101"/>
        <v>0</v>
      </c>
      <c r="FQ84" s="12">
        <f t="shared" si="101"/>
        <v>0</v>
      </c>
      <c r="FR84" s="12">
        <f t="shared" si="101"/>
        <v>0</v>
      </c>
      <c r="FS84" s="12">
        <f t="shared" si="101"/>
        <v>0</v>
      </c>
      <c r="FT84" s="12">
        <f t="shared" si="101"/>
        <v>0</v>
      </c>
      <c r="FU84" s="12">
        <f t="shared" si="101"/>
        <v>0</v>
      </c>
      <c r="FV84" s="12">
        <f t="shared" si="101"/>
        <v>0</v>
      </c>
      <c r="FW84" s="12">
        <f t="shared" si="101"/>
        <v>0</v>
      </c>
      <c r="FX84" s="12">
        <f t="shared" si="101"/>
        <v>0</v>
      </c>
      <c r="FY84" s="12">
        <f t="shared" si="101"/>
        <v>0</v>
      </c>
      <c r="FZ84" s="12">
        <f t="shared" si="101"/>
        <v>0</v>
      </c>
      <c r="GA84" s="12">
        <f t="shared" si="101"/>
        <v>0</v>
      </c>
      <c r="GB84" s="12">
        <f t="shared" si="101"/>
        <v>0</v>
      </c>
      <c r="GC84" s="12">
        <f t="shared" si="101"/>
        <v>0</v>
      </c>
      <c r="GD84" s="12">
        <f t="shared" si="101"/>
        <v>0</v>
      </c>
      <c r="GE84" s="12">
        <f t="shared" si="101"/>
        <v>0</v>
      </c>
      <c r="GF84" s="12">
        <f t="shared" si="101"/>
        <v>0</v>
      </c>
      <c r="GG84" s="12">
        <f t="shared" si="101"/>
        <v>0</v>
      </c>
      <c r="GH84" s="12">
        <f t="shared" si="101"/>
        <v>0</v>
      </c>
      <c r="GI84" s="12">
        <f t="shared" si="101"/>
        <v>0</v>
      </c>
      <c r="GJ84" s="12">
        <f t="shared" si="101"/>
        <v>0</v>
      </c>
    </row>
    <row r="85" spans="1:192" outlineLevel="2" x14ac:dyDescent="0.2">
      <c r="E85" s="186" t="str">
        <f xml:space="preserve"> Acct!E$17</f>
        <v>Fixed asset depreciation POS</v>
      </c>
      <c r="F85" s="186">
        <f xml:space="preserve"> Acct!F$17</f>
        <v>0</v>
      </c>
      <c r="G85" s="186" t="str">
        <f xml:space="preserve"> Acct!G$17</f>
        <v>$ 000s</v>
      </c>
      <c r="H85" s="186">
        <f xml:space="preserve"> Acct!H$17</f>
        <v>295392.30772000016</v>
      </c>
      <c r="I85" s="186">
        <f xml:space="preserve"> Acct!I$17</f>
        <v>0</v>
      </c>
      <c r="J85" s="186">
        <f xml:space="preserve"> Acct!J$17</f>
        <v>0</v>
      </c>
      <c r="K85" s="186">
        <f xml:space="preserve"> Acct!K$17</f>
        <v>0</v>
      </c>
      <c r="L85" s="186">
        <f xml:space="preserve"> Acct!L$17</f>
        <v>0</v>
      </c>
      <c r="M85" s="186">
        <f xml:space="preserve"> Acct!M$17</f>
        <v>0</v>
      </c>
      <c r="N85" s="186">
        <f xml:space="preserve"> Acct!N$17</f>
        <v>0</v>
      </c>
      <c r="O85" s="186">
        <f xml:space="preserve"> Acct!O$17</f>
        <v>7384.807692999997</v>
      </c>
      <c r="P85" s="186">
        <f xml:space="preserve"> Acct!P$17</f>
        <v>7384.807692999997</v>
      </c>
      <c r="Q85" s="186">
        <f xml:space="preserve"> Acct!Q$17</f>
        <v>7384.807692999997</v>
      </c>
      <c r="R85" s="186">
        <f xml:space="preserve"> Acct!R$17</f>
        <v>7384.807692999997</v>
      </c>
      <c r="S85" s="186">
        <f xml:space="preserve"> Acct!S$17</f>
        <v>7384.807692999997</v>
      </c>
      <c r="T85" s="186">
        <f xml:space="preserve"> Acct!T$17</f>
        <v>7384.807692999997</v>
      </c>
      <c r="U85" s="186">
        <f xml:space="preserve"> Acct!U$17</f>
        <v>7384.807692999997</v>
      </c>
      <c r="V85" s="186">
        <f xml:space="preserve"> Acct!V$17</f>
        <v>7384.807692999997</v>
      </c>
      <c r="W85" s="186">
        <f xml:space="preserve"> Acct!W$17</f>
        <v>7384.807692999997</v>
      </c>
      <c r="X85" s="186">
        <f xml:space="preserve"> Acct!X$17</f>
        <v>7384.807692999997</v>
      </c>
      <c r="Y85" s="186">
        <f xml:space="preserve"> Acct!Y$17</f>
        <v>7384.807692999997</v>
      </c>
      <c r="Z85" s="186">
        <f xml:space="preserve"> Acct!Z$17</f>
        <v>7384.807692999997</v>
      </c>
      <c r="AA85" s="186">
        <f xml:space="preserve"> Acct!AA$17</f>
        <v>7384.807692999997</v>
      </c>
      <c r="AB85" s="186">
        <f xml:space="preserve"> Acct!AB$17</f>
        <v>7384.807692999997</v>
      </c>
      <c r="AC85" s="186">
        <f xml:space="preserve"> Acct!AC$17</f>
        <v>7384.807692999997</v>
      </c>
      <c r="AD85" s="186">
        <f xml:space="preserve"> Acct!AD$17</f>
        <v>7384.807692999997</v>
      </c>
      <c r="AE85" s="186">
        <f xml:space="preserve"> Acct!AE$17</f>
        <v>7384.807692999997</v>
      </c>
      <c r="AF85" s="186">
        <f xml:space="preserve"> Acct!AF$17</f>
        <v>7384.807692999997</v>
      </c>
      <c r="AG85" s="186">
        <f xml:space="preserve"> Acct!AG$17</f>
        <v>7384.807692999997</v>
      </c>
      <c r="AH85" s="186">
        <f xml:space="preserve"> Acct!AH$17</f>
        <v>7384.807692999997</v>
      </c>
      <c r="AI85" s="186">
        <f xml:space="preserve"> Acct!AI$17</f>
        <v>7384.807692999997</v>
      </c>
      <c r="AJ85" s="186">
        <f xml:space="preserve"> Acct!AJ$17</f>
        <v>7384.807692999997</v>
      </c>
      <c r="AK85" s="186">
        <f xml:space="preserve"> Acct!AK$17</f>
        <v>7384.807692999997</v>
      </c>
      <c r="AL85" s="186">
        <f xml:space="preserve"> Acct!AL$17</f>
        <v>7384.807692999997</v>
      </c>
      <c r="AM85" s="186">
        <f xml:space="preserve"> Acct!AM$17</f>
        <v>7384.807692999997</v>
      </c>
      <c r="AN85" s="186">
        <f xml:space="preserve"> Acct!AN$17</f>
        <v>7384.807692999997</v>
      </c>
      <c r="AO85" s="186">
        <f xml:space="preserve"> Acct!AO$17</f>
        <v>7384.807692999997</v>
      </c>
      <c r="AP85" s="186">
        <f xml:space="preserve"> Acct!AP$17</f>
        <v>7384.807692999997</v>
      </c>
      <c r="AQ85" s="186">
        <f xml:space="preserve"> Acct!AQ$17</f>
        <v>7384.807692999997</v>
      </c>
      <c r="AR85" s="186">
        <f xml:space="preserve"> Acct!AR$17</f>
        <v>7384.807692999997</v>
      </c>
      <c r="AS85" s="186">
        <f xml:space="preserve"> Acct!AS$17</f>
        <v>7384.807692999997</v>
      </c>
      <c r="AT85" s="186">
        <f xml:space="preserve"> Acct!AT$17</f>
        <v>7384.807692999997</v>
      </c>
      <c r="AU85" s="186">
        <f xml:space="preserve"> Acct!AU$17</f>
        <v>7384.807692999997</v>
      </c>
      <c r="AV85" s="186">
        <f xml:space="preserve"> Acct!AV$17</f>
        <v>7384.807692999997</v>
      </c>
      <c r="AW85" s="186">
        <f xml:space="preserve"> Acct!AW$17</f>
        <v>7384.807692999997</v>
      </c>
      <c r="AX85" s="186">
        <f xml:space="preserve"> Acct!AX$17</f>
        <v>7384.807692999997</v>
      </c>
      <c r="AY85" s="186">
        <f xml:space="preserve"> Acct!AY$17</f>
        <v>7384.807692999997</v>
      </c>
      <c r="AZ85" s="186">
        <f xml:space="preserve"> Acct!AZ$17</f>
        <v>7384.807692999997</v>
      </c>
      <c r="BA85" s="186">
        <f xml:space="preserve"> Acct!BA$17</f>
        <v>7384.807692999997</v>
      </c>
      <c r="BB85" s="186">
        <f xml:space="preserve"> Acct!BB$17</f>
        <v>7384.807692999997</v>
      </c>
      <c r="BC85" s="186">
        <f xml:space="preserve"> Acct!BC$17</f>
        <v>0</v>
      </c>
      <c r="BD85" s="186">
        <f xml:space="preserve"> Acct!BD$17</f>
        <v>0</v>
      </c>
      <c r="BE85" s="186">
        <f xml:space="preserve"> Acct!BE$17</f>
        <v>0</v>
      </c>
      <c r="BF85" s="186">
        <f xml:space="preserve"> Acct!BF$17</f>
        <v>0</v>
      </c>
      <c r="BG85" s="186">
        <f xml:space="preserve"> Acct!BG$17</f>
        <v>0</v>
      </c>
      <c r="BH85" s="186">
        <f xml:space="preserve"> Acct!BH$17</f>
        <v>0</v>
      </c>
      <c r="BI85" s="186">
        <f xml:space="preserve"> Acct!BI$17</f>
        <v>0</v>
      </c>
      <c r="BJ85" s="186">
        <f xml:space="preserve"> Acct!BJ$17</f>
        <v>0</v>
      </c>
      <c r="BK85" s="186">
        <f xml:space="preserve"> Acct!BK$17</f>
        <v>0</v>
      </c>
      <c r="BL85" s="186">
        <f xml:space="preserve"> Acct!BL$17</f>
        <v>0</v>
      </c>
      <c r="BM85" s="186">
        <f xml:space="preserve"> Acct!BM$17</f>
        <v>0</v>
      </c>
      <c r="BN85" s="186">
        <f xml:space="preserve"> Acct!BN$17</f>
        <v>0</v>
      </c>
      <c r="BO85" s="186">
        <f xml:space="preserve"> Acct!BO$17</f>
        <v>0</v>
      </c>
      <c r="BP85" s="186">
        <f xml:space="preserve"> Acct!BP$17</f>
        <v>0</v>
      </c>
      <c r="BQ85" s="186">
        <f xml:space="preserve"> Acct!BQ$17</f>
        <v>0</v>
      </c>
      <c r="BR85" s="186">
        <f xml:space="preserve"> Acct!BR$17</f>
        <v>0</v>
      </c>
      <c r="BS85" s="186">
        <f xml:space="preserve"> Acct!BS$17</f>
        <v>0</v>
      </c>
      <c r="BT85" s="186">
        <f xml:space="preserve"> Acct!BT$17</f>
        <v>0</v>
      </c>
      <c r="BU85" s="186">
        <f xml:space="preserve"> Acct!BU$17</f>
        <v>0</v>
      </c>
      <c r="BV85" s="186">
        <f xml:space="preserve"> Acct!BV$17</f>
        <v>0</v>
      </c>
      <c r="BW85" s="186">
        <f xml:space="preserve"> Acct!BW$17</f>
        <v>0</v>
      </c>
      <c r="BX85" s="186">
        <f xml:space="preserve"> Acct!BX$17</f>
        <v>0</v>
      </c>
      <c r="BY85" s="186">
        <f xml:space="preserve"> Acct!BY$17</f>
        <v>0</v>
      </c>
      <c r="BZ85" s="186">
        <f xml:space="preserve"> Acct!BZ$17</f>
        <v>0</v>
      </c>
      <c r="CA85" s="186">
        <f xml:space="preserve"> Acct!CA$17</f>
        <v>0</v>
      </c>
      <c r="CB85" s="186">
        <f xml:space="preserve"> Acct!CB$17</f>
        <v>0</v>
      </c>
      <c r="CC85" s="186">
        <f xml:space="preserve"> Acct!CC$17</f>
        <v>0</v>
      </c>
      <c r="CD85" s="186">
        <f xml:space="preserve"> Acct!CD$17</f>
        <v>0</v>
      </c>
      <c r="CE85" s="186">
        <f xml:space="preserve"> Acct!CE$17</f>
        <v>0</v>
      </c>
      <c r="CF85" s="186">
        <f xml:space="preserve"> Acct!CF$17</f>
        <v>0</v>
      </c>
      <c r="CG85" s="186">
        <f xml:space="preserve"> Acct!CG$17</f>
        <v>0</v>
      </c>
      <c r="CH85" s="186">
        <f xml:space="preserve"> Acct!CH$17</f>
        <v>0</v>
      </c>
      <c r="CI85" s="186">
        <f xml:space="preserve"> Acct!CI$17</f>
        <v>0</v>
      </c>
      <c r="CJ85" s="186">
        <f xml:space="preserve"> Acct!CJ$17</f>
        <v>0</v>
      </c>
      <c r="CK85" s="186">
        <f xml:space="preserve"> Acct!CK$17</f>
        <v>0</v>
      </c>
      <c r="CL85" s="186">
        <f xml:space="preserve"> Acct!CL$17</f>
        <v>0</v>
      </c>
      <c r="CM85" s="186">
        <f xml:space="preserve"> Acct!CM$17</f>
        <v>0</v>
      </c>
      <c r="CN85" s="186">
        <f xml:space="preserve"> Acct!CN$17</f>
        <v>0</v>
      </c>
      <c r="CO85" s="186">
        <f xml:space="preserve"> Acct!CO$17</f>
        <v>0</v>
      </c>
      <c r="CP85" s="186">
        <f xml:space="preserve"> Acct!CP$17</f>
        <v>0</v>
      </c>
      <c r="CQ85" s="186">
        <f xml:space="preserve"> Acct!CQ$17</f>
        <v>0</v>
      </c>
      <c r="CR85" s="186">
        <f xml:space="preserve"> Acct!CR$17</f>
        <v>0</v>
      </c>
      <c r="CS85" s="186">
        <f xml:space="preserve"> Acct!CS$17</f>
        <v>0</v>
      </c>
      <c r="CT85" s="186">
        <f xml:space="preserve"> Acct!CT$17</f>
        <v>0</v>
      </c>
      <c r="CU85" s="186">
        <f xml:space="preserve"> Acct!CU$17</f>
        <v>0</v>
      </c>
      <c r="CV85" s="186">
        <f xml:space="preserve"> Acct!CV$17</f>
        <v>0</v>
      </c>
      <c r="CW85" s="186">
        <f xml:space="preserve"> Acct!CW$17</f>
        <v>0</v>
      </c>
      <c r="CX85" s="186">
        <f xml:space="preserve"> Acct!CX$17</f>
        <v>0</v>
      </c>
      <c r="CY85" s="186">
        <f xml:space="preserve"> Acct!CY$17</f>
        <v>0</v>
      </c>
      <c r="CZ85" s="186">
        <f xml:space="preserve"> Acct!CZ$17</f>
        <v>0</v>
      </c>
      <c r="DA85" s="186">
        <f xml:space="preserve"> Acct!DA$17</f>
        <v>0</v>
      </c>
      <c r="DB85" s="186">
        <f xml:space="preserve"> Acct!DB$17</f>
        <v>0</v>
      </c>
      <c r="DC85" s="186">
        <f xml:space="preserve"> Acct!DC$17</f>
        <v>0</v>
      </c>
      <c r="DD85" s="186">
        <f xml:space="preserve"> Acct!DD$17</f>
        <v>0</v>
      </c>
      <c r="DE85" s="186">
        <f xml:space="preserve"> Acct!DE$17</f>
        <v>0</v>
      </c>
      <c r="DF85" s="186">
        <f xml:space="preserve"> Acct!DF$17</f>
        <v>0</v>
      </c>
      <c r="DG85" s="186">
        <f xml:space="preserve"> Acct!DG$17</f>
        <v>0</v>
      </c>
      <c r="DH85" s="186">
        <f xml:space="preserve"> Acct!DH$17</f>
        <v>0</v>
      </c>
      <c r="DI85" s="186">
        <f xml:space="preserve"> Acct!DI$17</f>
        <v>0</v>
      </c>
      <c r="DJ85" s="186">
        <f xml:space="preserve"> Acct!DJ$17</f>
        <v>0</v>
      </c>
      <c r="DK85" s="186">
        <f xml:space="preserve"> Acct!DK$17</f>
        <v>0</v>
      </c>
      <c r="DL85" s="186">
        <f xml:space="preserve"> Acct!DL$17</f>
        <v>0</v>
      </c>
      <c r="DM85" s="186">
        <f xml:space="preserve"> Acct!DM$17</f>
        <v>0</v>
      </c>
      <c r="DN85" s="186">
        <f xml:space="preserve"> Acct!DN$17</f>
        <v>0</v>
      </c>
      <c r="DO85" s="186">
        <f xml:space="preserve"> Acct!DO$17</f>
        <v>0</v>
      </c>
      <c r="DP85" s="186">
        <f xml:space="preserve"> Acct!DP$17</f>
        <v>0</v>
      </c>
      <c r="DQ85" s="186">
        <f xml:space="preserve"> Acct!DQ$17</f>
        <v>0</v>
      </c>
      <c r="DR85" s="186">
        <f xml:space="preserve"> Acct!DR$17</f>
        <v>0</v>
      </c>
      <c r="DS85" s="186">
        <f xml:space="preserve"> Acct!DS$17</f>
        <v>0</v>
      </c>
      <c r="DT85" s="186">
        <f xml:space="preserve"> Acct!DT$17</f>
        <v>0</v>
      </c>
      <c r="DU85" s="186">
        <f xml:space="preserve"> Acct!DU$17</f>
        <v>0</v>
      </c>
      <c r="DV85" s="186">
        <f xml:space="preserve"> Acct!DV$17</f>
        <v>0</v>
      </c>
      <c r="DW85" s="186">
        <f xml:space="preserve"> Acct!DW$17</f>
        <v>0</v>
      </c>
      <c r="DX85" s="186">
        <f xml:space="preserve"> Acct!DX$17</f>
        <v>0</v>
      </c>
      <c r="DY85" s="186">
        <f xml:space="preserve"> Acct!DY$17</f>
        <v>0</v>
      </c>
      <c r="DZ85" s="186">
        <f xml:space="preserve"> Acct!DZ$17</f>
        <v>0</v>
      </c>
      <c r="EA85" s="186">
        <f xml:space="preserve"> Acct!EA$17</f>
        <v>0</v>
      </c>
      <c r="EB85" s="186">
        <f xml:space="preserve"> Acct!EB$17</f>
        <v>0</v>
      </c>
      <c r="EC85" s="186">
        <f xml:space="preserve"> Acct!EC$17</f>
        <v>0</v>
      </c>
      <c r="ED85" s="186">
        <f xml:space="preserve"> Acct!ED$17</f>
        <v>0</v>
      </c>
      <c r="EE85" s="186">
        <f xml:space="preserve"> Acct!EE$17</f>
        <v>0</v>
      </c>
      <c r="EF85" s="186">
        <f xml:space="preserve"> Acct!EF$17</f>
        <v>0</v>
      </c>
      <c r="EG85" s="186">
        <f xml:space="preserve"> Acct!EG$17</f>
        <v>0</v>
      </c>
      <c r="EH85" s="186">
        <f xml:space="preserve"> Acct!EH$17</f>
        <v>0</v>
      </c>
      <c r="EI85" s="186">
        <f xml:space="preserve"> Acct!EI$17</f>
        <v>0</v>
      </c>
      <c r="EJ85" s="186">
        <f xml:space="preserve"> Acct!EJ$17</f>
        <v>0</v>
      </c>
      <c r="EK85" s="186">
        <f xml:space="preserve"> Acct!EK$17</f>
        <v>0</v>
      </c>
      <c r="EL85" s="186">
        <f xml:space="preserve"> Acct!EL$17</f>
        <v>0</v>
      </c>
      <c r="EM85" s="186">
        <f xml:space="preserve"> Acct!EM$17</f>
        <v>0</v>
      </c>
      <c r="EN85" s="186">
        <f xml:space="preserve"> Acct!EN$17</f>
        <v>0</v>
      </c>
      <c r="EO85" s="186">
        <f xml:space="preserve"> Acct!EO$17</f>
        <v>0</v>
      </c>
      <c r="EP85" s="186">
        <f xml:space="preserve"> Acct!EP$17</f>
        <v>0</v>
      </c>
      <c r="EQ85" s="186">
        <f xml:space="preserve"> Acct!EQ$17</f>
        <v>0</v>
      </c>
      <c r="ER85" s="186">
        <f xml:space="preserve"> Acct!ER$17</f>
        <v>0</v>
      </c>
      <c r="ES85" s="186">
        <f xml:space="preserve"> Acct!ES$17</f>
        <v>0</v>
      </c>
      <c r="ET85" s="186">
        <f xml:space="preserve"> Acct!ET$17</f>
        <v>0</v>
      </c>
      <c r="EU85" s="186">
        <f xml:space="preserve"> Acct!EU$17</f>
        <v>0</v>
      </c>
      <c r="EV85" s="186">
        <f xml:space="preserve"> Acct!EV$17</f>
        <v>0</v>
      </c>
      <c r="EW85" s="186">
        <f xml:space="preserve"> Acct!EW$17</f>
        <v>0</v>
      </c>
      <c r="EX85" s="186">
        <f xml:space="preserve"> Acct!EX$17</f>
        <v>0</v>
      </c>
      <c r="EY85" s="186">
        <f xml:space="preserve"> Acct!EY$17</f>
        <v>0</v>
      </c>
      <c r="EZ85" s="186">
        <f xml:space="preserve"> Acct!EZ$17</f>
        <v>0</v>
      </c>
      <c r="FA85" s="186">
        <f xml:space="preserve"> Acct!FA$17</f>
        <v>0</v>
      </c>
      <c r="FB85" s="186">
        <f xml:space="preserve"> Acct!FB$17</f>
        <v>0</v>
      </c>
      <c r="FC85" s="186">
        <f xml:space="preserve"> Acct!FC$17</f>
        <v>0</v>
      </c>
      <c r="FD85" s="186">
        <f xml:space="preserve"> Acct!FD$17</f>
        <v>0</v>
      </c>
      <c r="FE85" s="186">
        <f xml:space="preserve"> Acct!FE$17</f>
        <v>0</v>
      </c>
      <c r="FF85" s="186">
        <f xml:space="preserve"> Acct!FF$17</f>
        <v>0</v>
      </c>
      <c r="FG85" s="186">
        <f xml:space="preserve"> Acct!FG$17</f>
        <v>0</v>
      </c>
      <c r="FH85" s="186">
        <f xml:space="preserve"> Acct!FH$17</f>
        <v>0</v>
      </c>
      <c r="FI85" s="186">
        <f xml:space="preserve"> Acct!FI$17</f>
        <v>0</v>
      </c>
      <c r="FJ85" s="186">
        <f xml:space="preserve"> Acct!FJ$17</f>
        <v>0</v>
      </c>
      <c r="FK85" s="186">
        <f xml:space="preserve"> Acct!FK$17</f>
        <v>0</v>
      </c>
      <c r="FL85" s="186">
        <f xml:space="preserve"> Acct!FL$17</f>
        <v>0</v>
      </c>
      <c r="FM85" s="186">
        <f xml:space="preserve"> Acct!FM$17</f>
        <v>0</v>
      </c>
      <c r="FN85" s="186">
        <f xml:space="preserve"> Acct!FN$17</f>
        <v>0</v>
      </c>
      <c r="FO85" s="186">
        <f xml:space="preserve"> Acct!FO$17</f>
        <v>0</v>
      </c>
      <c r="FP85" s="186">
        <f xml:space="preserve"> Acct!FP$17</f>
        <v>0</v>
      </c>
      <c r="FQ85" s="186">
        <f xml:space="preserve"> Acct!FQ$17</f>
        <v>0</v>
      </c>
      <c r="FR85" s="186">
        <f xml:space="preserve"> Acct!FR$17</f>
        <v>0</v>
      </c>
      <c r="FS85" s="186">
        <f xml:space="preserve"> Acct!FS$17</f>
        <v>0</v>
      </c>
      <c r="FT85" s="186">
        <f xml:space="preserve"> Acct!FT$17</f>
        <v>0</v>
      </c>
      <c r="FU85" s="186">
        <f xml:space="preserve"> Acct!FU$17</f>
        <v>0</v>
      </c>
      <c r="FV85" s="186">
        <f xml:space="preserve"> Acct!FV$17</f>
        <v>0</v>
      </c>
      <c r="FW85" s="186">
        <f xml:space="preserve"> Acct!FW$17</f>
        <v>0</v>
      </c>
      <c r="FX85" s="186">
        <f xml:space="preserve"> Acct!FX$17</f>
        <v>0</v>
      </c>
      <c r="FY85" s="186">
        <f xml:space="preserve"> Acct!FY$17</f>
        <v>0</v>
      </c>
      <c r="FZ85" s="186">
        <f xml:space="preserve"> Acct!FZ$17</f>
        <v>0</v>
      </c>
      <c r="GA85" s="186">
        <f xml:space="preserve"> Acct!GA$17</f>
        <v>0</v>
      </c>
      <c r="GB85" s="186">
        <f xml:space="preserve"> Acct!GB$17</f>
        <v>0</v>
      </c>
      <c r="GC85" s="186">
        <f xml:space="preserve"> Acct!GC$17</f>
        <v>0</v>
      </c>
      <c r="GD85" s="186">
        <f xml:space="preserve"> Acct!GD$17</f>
        <v>0</v>
      </c>
      <c r="GE85" s="186">
        <f xml:space="preserve"> Acct!GE$17</f>
        <v>0</v>
      </c>
      <c r="GF85" s="186">
        <f xml:space="preserve"> Acct!GF$17</f>
        <v>0</v>
      </c>
      <c r="GG85" s="186">
        <f xml:space="preserve"> Acct!GG$17</f>
        <v>0</v>
      </c>
      <c r="GH85" s="186">
        <f xml:space="preserve"> Acct!GH$17</f>
        <v>0</v>
      </c>
      <c r="GI85" s="186">
        <f xml:space="preserve"> Acct!GI$17</f>
        <v>0</v>
      </c>
      <c r="GJ85" s="186">
        <f xml:space="preserve"> Acct!GJ$17</f>
        <v>0</v>
      </c>
    </row>
    <row r="86" spans="1:192" outlineLevel="2" x14ac:dyDescent="0.2">
      <c r="E86" s="186" t="str">
        <f xml:space="preserve"> Acct!E$37</f>
        <v>Amortisation of capitalised finance costs POS</v>
      </c>
      <c r="F86" s="186">
        <f xml:space="preserve"> Acct!F$37</f>
        <v>0</v>
      </c>
      <c r="G86" s="186" t="str">
        <f xml:space="preserve"> Acct!G$37</f>
        <v>$ 000s</v>
      </c>
      <c r="H86" s="186">
        <f xml:space="preserve"> Acct!H$37</f>
        <v>24335.550022039683</v>
      </c>
      <c r="I86" s="186">
        <f xml:space="preserve"> Acct!I$37</f>
        <v>0</v>
      </c>
      <c r="J86" s="186">
        <f xml:space="preserve"> Acct!J$37</f>
        <v>0</v>
      </c>
      <c r="K86" s="186">
        <f xml:space="preserve"> Acct!K$37</f>
        <v>0</v>
      </c>
      <c r="L86" s="186">
        <f xml:space="preserve"> Acct!L$37</f>
        <v>0</v>
      </c>
      <c r="M86" s="186">
        <f xml:space="preserve"> Acct!M$37</f>
        <v>0</v>
      </c>
      <c r="N86" s="186">
        <f xml:space="preserve"> Acct!N$37</f>
        <v>0</v>
      </c>
      <c r="O86" s="186">
        <f xml:space="preserve"> Acct!O$37</f>
        <v>715.75147123646184</v>
      </c>
      <c r="P86" s="186">
        <f xml:space="preserve"> Acct!P$37</f>
        <v>715.75147123646184</v>
      </c>
      <c r="Q86" s="186">
        <f xml:space="preserve"> Acct!Q$37</f>
        <v>715.75147123646184</v>
      </c>
      <c r="R86" s="186">
        <f xml:space="preserve"> Acct!R$37</f>
        <v>715.75147123646184</v>
      </c>
      <c r="S86" s="186">
        <f xml:space="preserve"> Acct!S$37</f>
        <v>715.75147123646184</v>
      </c>
      <c r="T86" s="186">
        <f xml:space="preserve"> Acct!T$37</f>
        <v>715.75147123646184</v>
      </c>
      <c r="U86" s="186">
        <f xml:space="preserve"> Acct!U$37</f>
        <v>715.75147123646184</v>
      </c>
      <c r="V86" s="186">
        <f xml:space="preserve"> Acct!V$37</f>
        <v>715.75147123646184</v>
      </c>
      <c r="W86" s="186">
        <f xml:space="preserve"> Acct!W$37</f>
        <v>715.75147123646184</v>
      </c>
      <c r="X86" s="186">
        <f xml:space="preserve"> Acct!X$37</f>
        <v>715.75147123646184</v>
      </c>
      <c r="Y86" s="186">
        <f xml:space="preserve"> Acct!Y$37</f>
        <v>715.75147123646184</v>
      </c>
      <c r="Z86" s="186">
        <f xml:space="preserve"> Acct!Z$37</f>
        <v>715.75147123646184</v>
      </c>
      <c r="AA86" s="186">
        <f xml:space="preserve"> Acct!AA$37</f>
        <v>715.75147123646184</v>
      </c>
      <c r="AB86" s="186">
        <f xml:space="preserve"> Acct!AB$37</f>
        <v>715.75147123646184</v>
      </c>
      <c r="AC86" s="186">
        <f xml:space="preserve"> Acct!AC$37</f>
        <v>715.75147123646184</v>
      </c>
      <c r="AD86" s="186">
        <f xml:space="preserve"> Acct!AD$37</f>
        <v>715.75147123646184</v>
      </c>
      <c r="AE86" s="186">
        <f xml:space="preserve"> Acct!AE$37</f>
        <v>715.75147123646184</v>
      </c>
      <c r="AF86" s="186">
        <f xml:space="preserve"> Acct!AF$37</f>
        <v>715.75147123646184</v>
      </c>
      <c r="AG86" s="186">
        <f xml:space="preserve"> Acct!AG$37</f>
        <v>715.75147123646184</v>
      </c>
      <c r="AH86" s="186">
        <f xml:space="preserve"> Acct!AH$37</f>
        <v>715.75147123646184</v>
      </c>
      <c r="AI86" s="186">
        <f xml:space="preserve"> Acct!AI$37</f>
        <v>715.75147123646184</v>
      </c>
      <c r="AJ86" s="186">
        <f xml:space="preserve"> Acct!AJ$37</f>
        <v>715.75147123646184</v>
      </c>
      <c r="AK86" s="186">
        <f xml:space="preserve"> Acct!AK$37</f>
        <v>715.75147123646184</v>
      </c>
      <c r="AL86" s="186">
        <f xml:space="preserve"> Acct!AL$37</f>
        <v>715.75147123646184</v>
      </c>
      <c r="AM86" s="186">
        <f xml:space="preserve"> Acct!AM$37</f>
        <v>715.75147123646184</v>
      </c>
      <c r="AN86" s="186">
        <f xml:space="preserve"> Acct!AN$37</f>
        <v>715.75147123646184</v>
      </c>
      <c r="AO86" s="186">
        <f xml:space="preserve"> Acct!AO$37</f>
        <v>715.75147123646184</v>
      </c>
      <c r="AP86" s="186">
        <f xml:space="preserve"> Acct!AP$37</f>
        <v>715.75147123646184</v>
      </c>
      <c r="AQ86" s="186">
        <f xml:space="preserve"> Acct!AQ$37</f>
        <v>715.75147123646184</v>
      </c>
      <c r="AR86" s="186">
        <f xml:space="preserve"> Acct!AR$37</f>
        <v>715.75147123646184</v>
      </c>
      <c r="AS86" s="186">
        <f xml:space="preserve"> Acct!AS$37</f>
        <v>715.75147123646184</v>
      </c>
      <c r="AT86" s="186">
        <f xml:space="preserve"> Acct!AT$37</f>
        <v>715.75147123646184</v>
      </c>
      <c r="AU86" s="186">
        <f xml:space="preserve"> Acct!AU$37</f>
        <v>715.75147123646184</v>
      </c>
      <c r="AV86" s="186">
        <f xml:space="preserve"> Acct!AV$37</f>
        <v>715.75147123646184</v>
      </c>
      <c r="AW86" s="186">
        <f xml:space="preserve"> Acct!AW$37</f>
        <v>0</v>
      </c>
      <c r="AX86" s="186">
        <f xml:space="preserve"> Acct!AX$37</f>
        <v>0</v>
      </c>
      <c r="AY86" s="186">
        <f xml:space="preserve"> Acct!AY$37</f>
        <v>0</v>
      </c>
      <c r="AZ86" s="186">
        <f xml:space="preserve"> Acct!AZ$37</f>
        <v>0</v>
      </c>
      <c r="BA86" s="186">
        <f xml:space="preserve"> Acct!BA$37</f>
        <v>0</v>
      </c>
      <c r="BB86" s="186">
        <f xml:space="preserve"> Acct!BB$37</f>
        <v>0</v>
      </c>
      <c r="BC86" s="186">
        <f xml:space="preserve"> Acct!BC$37</f>
        <v>0</v>
      </c>
      <c r="BD86" s="186">
        <f xml:space="preserve"> Acct!BD$37</f>
        <v>0</v>
      </c>
      <c r="BE86" s="186">
        <f xml:space="preserve"> Acct!BE$37</f>
        <v>0</v>
      </c>
      <c r="BF86" s="186">
        <f xml:space="preserve"> Acct!BF$37</f>
        <v>0</v>
      </c>
      <c r="BG86" s="186">
        <f xml:space="preserve"> Acct!BG$37</f>
        <v>0</v>
      </c>
      <c r="BH86" s="186">
        <f xml:space="preserve"> Acct!BH$37</f>
        <v>0</v>
      </c>
      <c r="BI86" s="186">
        <f xml:space="preserve"> Acct!BI$37</f>
        <v>0</v>
      </c>
      <c r="BJ86" s="186">
        <f xml:space="preserve"> Acct!BJ$37</f>
        <v>0</v>
      </c>
      <c r="BK86" s="186">
        <f xml:space="preserve"> Acct!BK$37</f>
        <v>0</v>
      </c>
      <c r="BL86" s="186">
        <f xml:space="preserve"> Acct!BL$37</f>
        <v>0</v>
      </c>
      <c r="BM86" s="186">
        <f xml:space="preserve"> Acct!BM$37</f>
        <v>0</v>
      </c>
      <c r="BN86" s="186">
        <f xml:space="preserve"> Acct!BN$37</f>
        <v>0</v>
      </c>
      <c r="BO86" s="186">
        <f xml:space="preserve"> Acct!BO$37</f>
        <v>0</v>
      </c>
      <c r="BP86" s="186">
        <f xml:space="preserve"> Acct!BP$37</f>
        <v>0</v>
      </c>
      <c r="BQ86" s="186">
        <f xml:space="preserve"> Acct!BQ$37</f>
        <v>0</v>
      </c>
      <c r="BR86" s="186">
        <f xml:space="preserve"> Acct!BR$37</f>
        <v>0</v>
      </c>
      <c r="BS86" s="186">
        <f xml:space="preserve"> Acct!BS$37</f>
        <v>0</v>
      </c>
      <c r="BT86" s="186">
        <f xml:space="preserve"> Acct!BT$37</f>
        <v>0</v>
      </c>
      <c r="BU86" s="186">
        <f xml:space="preserve"> Acct!BU$37</f>
        <v>0</v>
      </c>
      <c r="BV86" s="186">
        <f xml:space="preserve"> Acct!BV$37</f>
        <v>0</v>
      </c>
      <c r="BW86" s="186">
        <f xml:space="preserve"> Acct!BW$37</f>
        <v>0</v>
      </c>
      <c r="BX86" s="186">
        <f xml:space="preserve"> Acct!BX$37</f>
        <v>0</v>
      </c>
      <c r="BY86" s="186">
        <f xml:space="preserve"> Acct!BY$37</f>
        <v>0</v>
      </c>
      <c r="BZ86" s="186">
        <f xml:space="preserve"> Acct!BZ$37</f>
        <v>0</v>
      </c>
      <c r="CA86" s="186">
        <f xml:space="preserve"> Acct!CA$37</f>
        <v>0</v>
      </c>
      <c r="CB86" s="186">
        <f xml:space="preserve"> Acct!CB$37</f>
        <v>0</v>
      </c>
      <c r="CC86" s="186">
        <f xml:space="preserve"> Acct!CC$37</f>
        <v>0</v>
      </c>
      <c r="CD86" s="186">
        <f xml:space="preserve"> Acct!CD$37</f>
        <v>0</v>
      </c>
      <c r="CE86" s="186">
        <f xml:space="preserve"> Acct!CE$37</f>
        <v>0</v>
      </c>
      <c r="CF86" s="186">
        <f xml:space="preserve"> Acct!CF$37</f>
        <v>0</v>
      </c>
      <c r="CG86" s="186">
        <f xml:space="preserve"> Acct!CG$37</f>
        <v>0</v>
      </c>
      <c r="CH86" s="186">
        <f xml:space="preserve"> Acct!CH$37</f>
        <v>0</v>
      </c>
      <c r="CI86" s="186">
        <f xml:space="preserve"> Acct!CI$37</f>
        <v>0</v>
      </c>
      <c r="CJ86" s="186">
        <f xml:space="preserve"> Acct!CJ$37</f>
        <v>0</v>
      </c>
      <c r="CK86" s="186">
        <f xml:space="preserve"> Acct!CK$37</f>
        <v>0</v>
      </c>
      <c r="CL86" s="186">
        <f xml:space="preserve"> Acct!CL$37</f>
        <v>0</v>
      </c>
      <c r="CM86" s="186">
        <f xml:space="preserve"> Acct!CM$37</f>
        <v>0</v>
      </c>
      <c r="CN86" s="186">
        <f xml:space="preserve"> Acct!CN$37</f>
        <v>0</v>
      </c>
      <c r="CO86" s="186">
        <f xml:space="preserve"> Acct!CO$37</f>
        <v>0</v>
      </c>
      <c r="CP86" s="186">
        <f xml:space="preserve"> Acct!CP$37</f>
        <v>0</v>
      </c>
      <c r="CQ86" s="186">
        <f xml:space="preserve"> Acct!CQ$37</f>
        <v>0</v>
      </c>
      <c r="CR86" s="186">
        <f xml:space="preserve"> Acct!CR$37</f>
        <v>0</v>
      </c>
      <c r="CS86" s="186">
        <f xml:space="preserve"> Acct!CS$37</f>
        <v>0</v>
      </c>
      <c r="CT86" s="186">
        <f xml:space="preserve"> Acct!CT$37</f>
        <v>0</v>
      </c>
      <c r="CU86" s="186">
        <f xml:space="preserve"> Acct!CU$37</f>
        <v>0</v>
      </c>
      <c r="CV86" s="186">
        <f xml:space="preserve"> Acct!CV$37</f>
        <v>0</v>
      </c>
      <c r="CW86" s="186">
        <f xml:space="preserve"> Acct!CW$37</f>
        <v>0</v>
      </c>
      <c r="CX86" s="186">
        <f xml:space="preserve"> Acct!CX$37</f>
        <v>0</v>
      </c>
      <c r="CY86" s="186">
        <f xml:space="preserve"> Acct!CY$37</f>
        <v>0</v>
      </c>
      <c r="CZ86" s="186">
        <f xml:space="preserve"> Acct!CZ$37</f>
        <v>0</v>
      </c>
      <c r="DA86" s="186">
        <f xml:space="preserve"> Acct!DA$37</f>
        <v>0</v>
      </c>
      <c r="DB86" s="186">
        <f xml:space="preserve"> Acct!DB$37</f>
        <v>0</v>
      </c>
      <c r="DC86" s="186">
        <f xml:space="preserve"> Acct!DC$37</f>
        <v>0</v>
      </c>
      <c r="DD86" s="186">
        <f xml:space="preserve"> Acct!DD$37</f>
        <v>0</v>
      </c>
      <c r="DE86" s="186">
        <f xml:space="preserve"> Acct!DE$37</f>
        <v>0</v>
      </c>
      <c r="DF86" s="186">
        <f xml:space="preserve"> Acct!DF$37</f>
        <v>0</v>
      </c>
      <c r="DG86" s="186">
        <f xml:space="preserve"> Acct!DG$37</f>
        <v>0</v>
      </c>
      <c r="DH86" s="186">
        <f xml:space="preserve"> Acct!DH$37</f>
        <v>0</v>
      </c>
      <c r="DI86" s="186">
        <f xml:space="preserve"> Acct!DI$37</f>
        <v>0</v>
      </c>
      <c r="DJ86" s="186">
        <f xml:space="preserve"> Acct!DJ$37</f>
        <v>0</v>
      </c>
      <c r="DK86" s="186">
        <f xml:space="preserve"> Acct!DK$37</f>
        <v>0</v>
      </c>
      <c r="DL86" s="186">
        <f xml:space="preserve"> Acct!DL$37</f>
        <v>0</v>
      </c>
      <c r="DM86" s="186">
        <f xml:space="preserve"> Acct!DM$37</f>
        <v>0</v>
      </c>
      <c r="DN86" s="186">
        <f xml:space="preserve"> Acct!DN$37</f>
        <v>0</v>
      </c>
      <c r="DO86" s="186">
        <f xml:space="preserve"> Acct!DO$37</f>
        <v>0</v>
      </c>
      <c r="DP86" s="186">
        <f xml:space="preserve"> Acct!DP$37</f>
        <v>0</v>
      </c>
      <c r="DQ86" s="186">
        <f xml:space="preserve"> Acct!DQ$37</f>
        <v>0</v>
      </c>
      <c r="DR86" s="186">
        <f xml:space="preserve"> Acct!DR$37</f>
        <v>0</v>
      </c>
      <c r="DS86" s="186">
        <f xml:space="preserve"> Acct!DS$37</f>
        <v>0</v>
      </c>
      <c r="DT86" s="186">
        <f xml:space="preserve"> Acct!DT$37</f>
        <v>0</v>
      </c>
      <c r="DU86" s="186">
        <f xml:space="preserve"> Acct!DU$37</f>
        <v>0</v>
      </c>
      <c r="DV86" s="186">
        <f xml:space="preserve"> Acct!DV$37</f>
        <v>0</v>
      </c>
      <c r="DW86" s="186">
        <f xml:space="preserve"> Acct!DW$37</f>
        <v>0</v>
      </c>
      <c r="DX86" s="186">
        <f xml:space="preserve"> Acct!DX$37</f>
        <v>0</v>
      </c>
      <c r="DY86" s="186">
        <f xml:space="preserve"> Acct!DY$37</f>
        <v>0</v>
      </c>
      <c r="DZ86" s="186">
        <f xml:space="preserve"> Acct!DZ$37</f>
        <v>0</v>
      </c>
      <c r="EA86" s="186">
        <f xml:space="preserve"> Acct!EA$37</f>
        <v>0</v>
      </c>
      <c r="EB86" s="186">
        <f xml:space="preserve"> Acct!EB$37</f>
        <v>0</v>
      </c>
      <c r="EC86" s="186">
        <f xml:space="preserve"> Acct!EC$37</f>
        <v>0</v>
      </c>
      <c r="ED86" s="186">
        <f xml:space="preserve"> Acct!ED$37</f>
        <v>0</v>
      </c>
      <c r="EE86" s="186">
        <f xml:space="preserve"> Acct!EE$37</f>
        <v>0</v>
      </c>
      <c r="EF86" s="186">
        <f xml:space="preserve"> Acct!EF$37</f>
        <v>0</v>
      </c>
      <c r="EG86" s="186">
        <f xml:space="preserve"> Acct!EG$37</f>
        <v>0</v>
      </c>
      <c r="EH86" s="186">
        <f xml:space="preserve"> Acct!EH$37</f>
        <v>0</v>
      </c>
      <c r="EI86" s="186">
        <f xml:space="preserve"> Acct!EI$37</f>
        <v>0</v>
      </c>
      <c r="EJ86" s="186">
        <f xml:space="preserve"> Acct!EJ$37</f>
        <v>0</v>
      </c>
      <c r="EK86" s="186">
        <f xml:space="preserve"> Acct!EK$37</f>
        <v>0</v>
      </c>
      <c r="EL86" s="186">
        <f xml:space="preserve"> Acct!EL$37</f>
        <v>0</v>
      </c>
      <c r="EM86" s="186">
        <f xml:space="preserve"> Acct!EM$37</f>
        <v>0</v>
      </c>
      <c r="EN86" s="186">
        <f xml:space="preserve"> Acct!EN$37</f>
        <v>0</v>
      </c>
      <c r="EO86" s="186">
        <f xml:space="preserve"> Acct!EO$37</f>
        <v>0</v>
      </c>
      <c r="EP86" s="186">
        <f xml:space="preserve"> Acct!EP$37</f>
        <v>0</v>
      </c>
      <c r="EQ86" s="186">
        <f xml:space="preserve"> Acct!EQ$37</f>
        <v>0</v>
      </c>
      <c r="ER86" s="186">
        <f xml:space="preserve"> Acct!ER$37</f>
        <v>0</v>
      </c>
      <c r="ES86" s="186">
        <f xml:space="preserve"> Acct!ES$37</f>
        <v>0</v>
      </c>
      <c r="ET86" s="186">
        <f xml:space="preserve"> Acct!ET$37</f>
        <v>0</v>
      </c>
      <c r="EU86" s="186">
        <f xml:space="preserve"> Acct!EU$37</f>
        <v>0</v>
      </c>
      <c r="EV86" s="186">
        <f xml:space="preserve"> Acct!EV$37</f>
        <v>0</v>
      </c>
      <c r="EW86" s="186">
        <f xml:space="preserve"> Acct!EW$37</f>
        <v>0</v>
      </c>
      <c r="EX86" s="186">
        <f xml:space="preserve"> Acct!EX$37</f>
        <v>0</v>
      </c>
      <c r="EY86" s="186">
        <f xml:space="preserve"> Acct!EY$37</f>
        <v>0</v>
      </c>
      <c r="EZ86" s="186">
        <f xml:space="preserve"> Acct!EZ$37</f>
        <v>0</v>
      </c>
      <c r="FA86" s="186">
        <f xml:space="preserve"> Acct!FA$37</f>
        <v>0</v>
      </c>
      <c r="FB86" s="186">
        <f xml:space="preserve"> Acct!FB$37</f>
        <v>0</v>
      </c>
      <c r="FC86" s="186">
        <f xml:space="preserve"> Acct!FC$37</f>
        <v>0</v>
      </c>
      <c r="FD86" s="186">
        <f xml:space="preserve"> Acct!FD$37</f>
        <v>0</v>
      </c>
      <c r="FE86" s="186">
        <f xml:space="preserve"> Acct!FE$37</f>
        <v>0</v>
      </c>
      <c r="FF86" s="186">
        <f xml:space="preserve"> Acct!FF$37</f>
        <v>0</v>
      </c>
      <c r="FG86" s="186">
        <f xml:space="preserve"> Acct!FG$37</f>
        <v>0</v>
      </c>
      <c r="FH86" s="186">
        <f xml:space="preserve"> Acct!FH$37</f>
        <v>0</v>
      </c>
      <c r="FI86" s="186">
        <f xml:space="preserve"> Acct!FI$37</f>
        <v>0</v>
      </c>
      <c r="FJ86" s="186">
        <f xml:space="preserve"> Acct!FJ$37</f>
        <v>0</v>
      </c>
      <c r="FK86" s="186">
        <f xml:space="preserve"> Acct!FK$37</f>
        <v>0</v>
      </c>
      <c r="FL86" s="186">
        <f xml:space="preserve"> Acct!FL$37</f>
        <v>0</v>
      </c>
      <c r="FM86" s="186">
        <f xml:space="preserve"> Acct!FM$37</f>
        <v>0</v>
      </c>
      <c r="FN86" s="186">
        <f xml:space="preserve"> Acct!FN$37</f>
        <v>0</v>
      </c>
      <c r="FO86" s="186">
        <f xml:space="preserve"> Acct!FO$37</f>
        <v>0</v>
      </c>
      <c r="FP86" s="186">
        <f xml:space="preserve"> Acct!FP$37</f>
        <v>0</v>
      </c>
      <c r="FQ86" s="186">
        <f xml:space="preserve"> Acct!FQ$37</f>
        <v>0</v>
      </c>
      <c r="FR86" s="186">
        <f xml:space="preserve"> Acct!FR$37</f>
        <v>0</v>
      </c>
      <c r="FS86" s="186">
        <f xml:space="preserve"> Acct!FS$37</f>
        <v>0</v>
      </c>
      <c r="FT86" s="186">
        <f xml:space="preserve"> Acct!FT$37</f>
        <v>0</v>
      </c>
      <c r="FU86" s="186">
        <f xml:space="preserve"> Acct!FU$37</f>
        <v>0</v>
      </c>
      <c r="FV86" s="186">
        <f xml:space="preserve"> Acct!FV$37</f>
        <v>0</v>
      </c>
      <c r="FW86" s="186">
        <f xml:space="preserve"> Acct!FW$37</f>
        <v>0</v>
      </c>
      <c r="FX86" s="186">
        <f xml:space="preserve"> Acct!FX$37</f>
        <v>0</v>
      </c>
      <c r="FY86" s="186">
        <f xml:space="preserve"> Acct!FY$37</f>
        <v>0</v>
      </c>
      <c r="FZ86" s="186">
        <f xml:space="preserve"> Acct!FZ$37</f>
        <v>0</v>
      </c>
      <c r="GA86" s="186">
        <f xml:space="preserve"> Acct!GA$37</f>
        <v>0</v>
      </c>
      <c r="GB86" s="186">
        <f xml:space="preserve"> Acct!GB$37</f>
        <v>0</v>
      </c>
      <c r="GC86" s="186">
        <f xml:space="preserve"> Acct!GC$37</f>
        <v>0</v>
      </c>
      <c r="GD86" s="186">
        <f xml:space="preserve"> Acct!GD$37</f>
        <v>0</v>
      </c>
      <c r="GE86" s="186">
        <f xml:space="preserve"> Acct!GE$37</f>
        <v>0</v>
      </c>
      <c r="GF86" s="186">
        <f xml:space="preserve"> Acct!GF$37</f>
        <v>0</v>
      </c>
      <c r="GG86" s="186">
        <f xml:space="preserve"> Acct!GG$37</f>
        <v>0</v>
      </c>
      <c r="GH86" s="186">
        <f xml:space="preserve"> Acct!GH$37</f>
        <v>0</v>
      </c>
      <c r="GI86" s="186">
        <f xml:space="preserve"> Acct!GI$37</f>
        <v>0</v>
      </c>
      <c r="GJ86" s="186">
        <f xml:space="preserve"> Acct!GJ$37</f>
        <v>0</v>
      </c>
    </row>
    <row r="87" spans="1:192" outlineLevel="2" x14ac:dyDescent="0.2">
      <c r="E87" s="12" t="s">
        <v>1309</v>
      </c>
      <c r="G87" s="12" t="str">
        <f xml:space="preserve"> SMU</f>
        <v>$ 000s</v>
      </c>
      <c r="H87" s="12">
        <f xml:space="preserve"> SUM(J87:CV87)</f>
        <v>-5.6843418860808015E-12</v>
      </c>
      <c r="J87" s="12">
        <f t="shared" ref="J87:AO87" si="102" xml:space="preserve"> (J84 - J85 - J86) * $F83</f>
        <v>0</v>
      </c>
      <c r="K87" s="12">
        <f t="shared" si="102"/>
        <v>0</v>
      </c>
      <c r="L87" s="12">
        <f t="shared" si="102"/>
        <v>0</v>
      </c>
      <c r="M87" s="12">
        <f t="shared" si="102"/>
        <v>0</v>
      </c>
      <c r="N87" s="12">
        <f t="shared" si="102"/>
        <v>0</v>
      </c>
      <c r="O87" s="12">
        <f t="shared" si="102"/>
        <v>4774.4453219935003</v>
      </c>
      <c r="P87" s="12">
        <f t="shared" si="102"/>
        <v>4134.9896065094208</v>
      </c>
      <c r="Q87" s="12">
        <f t="shared" si="102"/>
        <v>3559.4794625737495</v>
      </c>
      <c r="R87" s="12">
        <f t="shared" si="102"/>
        <v>3041.5203330316454</v>
      </c>
      <c r="S87" s="12">
        <f t="shared" si="102"/>
        <v>2575.3571164437512</v>
      </c>
      <c r="T87" s="12">
        <f t="shared" si="102"/>
        <v>2155.8102215146464</v>
      </c>
      <c r="U87" s="12">
        <f t="shared" si="102"/>
        <v>1778.2180160784535</v>
      </c>
      <c r="V87" s="12">
        <f t="shared" si="102"/>
        <v>1438.3850311858787</v>
      </c>
      <c r="W87" s="12">
        <f t="shared" si="102"/>
        <v>1132.5353447825617</v>
      </c>
      <c r="X87" s="12">
        <f t="shared" si="102"/>
        <v>857.27062701957641</v>
      </c>
      <c r="Y87" s="12">
        <f t="shared" si="102"/>
        <v>609.53238103288948</v>
      </c>
      <c r="Z87" s="12">
        <f t="shared" si="102"/>
        <v>386.56795964487122</v>
      </c>
      <c r="AA87" s="12">
        <f t="shared" si="102"/>
        <v>185.89998039565489</v>
      </c>
      <c r="AB87" s="12">
        <f t="shared" si="102"/>
        <v>5.2987990713601905</v>
      </c>
      <c r="AC87" s="12">
        <f t="shared" si="102"/>
        <v>-157.24226412050484</v>
      </c>
      <c r="AD87" s="12">
        <f t="shared" si="102"/>
        <v>-303.52922099318369</v>
      </c>
      <c r="AE87" s="12">
        <f t="shared" si="102"/>
        <v>-435.18748217859451</v>
      </c>
      <c r="AF87" s="12">
        <f t="shared" si="102"/>
        <v>-553.67991724546425</v>
      </c>
      <c r="AG87" s="12">
        <f t="shared" si="102"/>
        <v>-660.32310880564694</v>
      </c>
      <c r="AH87" s="12">
        <f t="shared" si="102"/>
        <v>-756.30198120981152</v>
      </c>
      <c r="AI87" s="12">
        <f t="shared" si="102"/>
        <v>-842.68296637355945</v>
      </c>
      <c r="AJ87" s="12">
        <f t="shared" si="102"/>
        <v>-920.42585302093266</v>
      </c>
      <c r="AK87" s="12">
        <f t="shared" si="102"/>
        <v>-990.39445100356852</v>
      </c>
      <c r="AL87" s="12">
        <f t="shared" si="102"/>
        <v>-1053.3661891879408</v>
      </c>
      <c r="AM87" s="12">
        <f t="shared" si="102"/>
        <v>-1110.0407535538759</v>
      </c>
      <c r="AN87" s="12">
        <f t="shared" si="102"/>
        <v>-1161.0478614832175</v>
      </c>
      <c r="AO87" s="12">
        <f t="shared" si="102"/>
        <v>-1206.9542586196249</v>
      </c>
      <c r="AP87" s="12">
        <f t="shared" ref="AP87:BU87" si="103" xml:space="preserve"> (AP84 - AP85 - AP86) * $F83</f>
        <v>-1248.2700160423917</v>
      </c>
      <c r="AQ87" s="12">
        <f t="shared" si="103"/>
        <v>-1285.4541977228819</v>
      </c>
      <c r="AR87" s="12">
        <f t="shared" si="103"/>
        <v>-1318.9199612353227</v>
      </c>
      <c r="AS87" s="12">
        <f t="shared" si="103"/>
        <v>-1349.0391483965195</v>
      </c>
      <c r="AT87" s="12">
        <f t="shared" si="103"/>
        <v>-1376.1464168415969</v>
      </c>
      <c r="AU87" s="12">
        <f t="shared" si="103"/>
        <v>-1400.5429584421663</v>
      </c>
      <c r="AV87" s="12">
        <f t="shared" si="103"/>
        <v>-1422.499845882679</v>
      </c>
      <c r="AW87" s="12">
        <f t="shared" si="103"/>
        <v>-1299.1107503318478</v>
      </c>
      <c r="AX87" s="12">
        <f t="shared" si="103"/>
        <v>-1316.895829158663</v>
      </c>
      <c r="AY87" s="12">
        <f t="shared" si="103"/>
        <v>-1332.9024001027965</v>
      </c>
      <c r="AZ87" s="12">
        <f t="shared" si="103"/>
        <v>-1347.308313952517</v>
      </c>
      <c r="BA87" s="12">
        <f t="shared" si="103"/>
        <v>-1360.2736364172652</v>
      </c>
      <c r="BB87" s="12">
        <f t="shared" si="103"/>
        <v>-426.77041895539082</v>
      </c>
      <c r="BC87" s="12">
        <f t="shared" si="103"/>
        <v>0</v>
      </c>
      <c r="BD87" s="12">
        <f t="shared" si="103"/>
        <v>0</v>
      </c>
      <c r="BE87" s="12">
        <f t="shared" si="103"/>
        <v>0</v>
      </c>
      <c r="BF87" s="12">
        <f t="shared" si="103"/>
        <v>0</v>
      </c>
      <c r="BG87" s="12">
        <f t="shared" si="103"/>
        <v>0</v>
      </c>
      <c r="BH87" s="12">
        <f t="shared" si="103"/>
        <v>0</v>
      </c>
      <c r="BI87" s="12">
        <f t="shared" si="103"/>
        <v>0</v>
      </c>
      <c r="BJ87" s="12">
        <f t="shared" si="103"/>
        <v>0</v>
      </c>
      <c r="BK87" s="12">
        <f t="shared" si="103"/>
        <v>0</v>
      </c>
      <c r="BL87" s="12">
        <f t="shared" si="103"/>
        <v>0</v>
      </c>
      <c r="BM87" s="12">
        <f t="shared" si="103"/>
        <v>0</v>
      </c>
      <c r="BN87" s="12">
        <f t="shared" si="103"/>
        <v>0</v>
      </c>
      <c r="BO87" s="12">
        <f t="shared" si="103"/>
        <v>0</v>
      </c>
      <c r="BP87" s="12">
        <f t="shared" si="103"/>
        <v>0</v>
      </c>
      <c r="BQ87" s="12">
        <f t="shared" si="103"/>
        <v>0</v>
      </c>
      <c r="BR87" s="12">
        <f t="shared" si="103"/>
        <v>0</v>
      </c>
      <c r="BS87" s="12">
        <f t="shared" si="103"/>
        <v>0</v>
      </c>
      <c r="BT87" s="12">
        <f t="shared" si="103"/>
        <v>0</v>
      </c>
      <c r="BU87" s="12">
        <f t="shared" si="103"/>
        <v>0</v>
      </c>
      <c r="BV87" s="12">
        <f t="shared" ref="BV87:DA87" si="104" xml:space="preserve"> (BV84 - BV85 - BV86) * $F83</f>
        <v>0</v>
      </c>
      <c r="BW87" s="12">
        <f t="shared" si="104"/>
        <v>0</v>
      </c>
      <c r="BX87" s="12">
        <f t="shared" si="104"/>
        <v>0</v>
      </c>
      <c r="BY87" s="12">
        <f t="shared" si="104"/>
        <v>0</v>
      </c>
      <c r="BZ87" s="12">
        <f t="shared" si="104"/>
        <v>0</v>
      </c>
      <c r="CA87" s="12">
        <f t="shared" si="104"/>
        <v>0</v>
      </c>
      <c r="CB87" s="12">
        <f t="shared" si="104"/>
        <v>0</v>
      </c>
      <c r="CC87" s="12">
        <f t="shared" si="104"/>
        <v>0</v>
      </c>
      <c r="CD87" s="12">
        <f t="shared" si="104"/>
        <v>0</v>
      </c>
      <c r="CE87" s="12">
        <f t="shared" si="104"/>
        <v>0</v>
      </c>
      <c r="CF87" s="12">
        <f t="shared" si="104"/>
        <v>0</v>
      </c>
      <c r="CG87" s="12">
        <f t="shared" si="104"/>
        <v>0</v>
      </c>
      <c r="CH87" s="12">
        <f t="shared" si="104"/>
        <v>0</v>
      </c>
      <c r="CI87" s="12">
        <f t="shared" si="104"/>
        <v>0</v>
      </c>
      <c r="CJ87" s="12">
        <f t="shared" si="104"/>
        <v>0</v>
      </c>
      <c r="CK87" s="12">
        <f t="shared" si="104"/>
        <v>0</v>
      </c>
      <c r="CL87" s="12">
        <f t="shared" si="104"/>
        <v>0</v>
      </c>
      <c r="CM87" s="12">
        <f t="shared" si="104"/>
        <v>0</v>
      </c>
      <c r="CN87" s="12">
        <f t="shared" si="104"/>
        <v>0</v>
      </c>
      <c r="CO87" s="12">
        <f t="shared" si="104"/>
        <v>0</v>
      </c>
      <c r="CP87" s="12">
        <f t="shared" si="104"/>
        <v>0</v>
      </c>
      <c r="CQ87" s="12">
        <f t="shared" si="104"/>
        <v>0</v>
      </c>
      <c r="CR87" s="12">
        <f t="shared" si="104"/>
        <v>0</v>
      </c>
      <c r="CS87" s="12">
        <f t="shared" si="104"/>
        <v>0</v>
      </c>
      <c r="CT87" s="12">
        <f t="shared" si="104"/>
        <v>0</v>
      </c>
      <c r="CU87" s="12">
        <f t="shared" si="104"/>
        <v>0</v>
      </c>
      <c r="CV87" s="12">
        <f t="shared" si="104"/>
        <v>0</v>
      </c>
      <c r="CW87" s="12">
        <f t="shared" si="104"/>
        <v>0</v>
      </c>
      <c r="CX87" s="12">
        <f t="shared" si="104"/>
        <v>0</v>
      </c>
      <c r="CY87" s="12">
        <f t="shared" si="104"/>
        <v>0</v>
      </c>
      <c r="CZ87" s="12">
        <f t="shared" si="104"/>
        <v>0</v>
      </c>
      <c r="DA87" s="12">
        <f t="shared" si="104"/>
        <v>0</v>
      </c>
      <c r="DB87" s="12">
        <f t="shared" ref="DB87:EG87" si="105" xml:space="preserve"> (DB84 - DB85 - DB86) * $F83</f>
        <v>0</v>
      </c>
      <c r="DC87" s="12">
        <f t="shared" si="105"/>
        <v>0</v>
      </c>
      <c r="DD87" s="12">
        <f t="shared" si="105"/>
        <v>0</v>
      </c>
      <c r="DE87" s="12">
        <f t="shared" si="105"/>
        <v>0</v>
      </c>
      <c r="DF87" s="12">
        <f t="shared" si="105"/>
        <v>0</v>
      </c>
      <c r="DG87" s="12">
        <f t="shared" si="105"/>
        <v>0</v>
      </c>
      <c r="DH87" s="12">
        <f t="shared" si="105"/>
        <v>0</v>
      </c>
      <c r="DI87" s="12">
        <f t="shared" si="105"/>
        <v>0</v>
      </c>
      <c r="DJ87" s="12">
        <f t="shared" si="105"/>
        <v>0</v>
      </c>
      <c r="DK87" s="12">
        <f t="shared" si="105"/>
        <v>0</v>
      </c>
      <c r="DL87" s="12">
        <f t="shared" si="105"/>
        <v>0</v>
      </c>
      <c r="DM87" s="12">
        <f t="shared" si="105"/>
        <v>0</v>
      </c>
      <c r="DN87" s="12">
        <f t="shared" si="105"/>
        <v>0</v>
      </c>
      <c r="DO87" s="12">
        <f t="shared" si="105"/>
        <v>0</v>
      </c>
      <c r="DP87" s="12">
        <f t="shared" si="105"/>
        <v>0</v>
      </c>
      <c r="DQ87" s="12">
        <f t="shared" si="105"/>
        <v>0</v>
      </c>
      <c r="DR87" s="12">
        <f t="shared" si="105"/>
        <v>0</v>
      </c>
      <c r="DS87" s="12">
        <f t="shared" si="105"/>
        <v>0</v>
      </c>
      <c r="DT87" s="12">
        <f t="shared" si="105"/>
        <v>0</v>
      </c>
      <c r="DU87" s="12">
        <f t="shared" si="105"/>
        <v>0</v>
      </c>
      <c r="DV87" s="12">
        <f t="shared" si="105"/>
        <v>0</v>
      </c>
      <c r="DW87" s="12">
        <f t="shared" si="105"/>
        <v>0</v>
      </c>
      <c r="DX87" s="12">
        <f t="shared" si="105"/>
        <v>0</v>
      </c>
      <c r="DY87" s="12">
        <f t="shared" si="105"/>
        <v>0</v>
      </c>
      <c r="DZ87" s="12">
        <f t="shared" si="105"/>
        <v>0</v>
      </c>
      <c r="EA87" s="12">
        <f t="shared" si="105"/>
        <v>0</v>
      </c>
      <c r="EB87" s="12">
        <f t="shared" si="105"/>
        <v>0</v>
      </c>
      <c r="EC87" s="12">
        <f t="shared" si="105"/>
        <v>0</v>
      </c>
      <c r="ED87" s="12">
        <f t="shared" si="105"/>
        <v>0</v>
      </c>
      <c r="EE87" s="12">
        <f t="shared" si="105"/>
        <v>0</v>
      </c>
      <c r="EF87" s="12">
        <f t="shared" si="105"/>
        <v>0</v>
      </c>
      <c r="EG87" s="12">
        <f t="shared" si="105"/>
        <v>0</v>
      </c>
      <c r="EH87" s="12">
        <f t="shared" ref="EH87:FM87" si="106" xml:space="preserve"> (EH84 - EH85 - EH86) * $F83</f>
        <v>0</v>
      </c>
      <c r="EI87" s="12">
        <f t="shared" si="106"/>
        <v>0</v>
      </c>
      <c r="EJ87" s="12">
        <f t="shared" si="106"/>
        <v>0</v>
      </c>
      <c r="EK87" s="12">
        <f t="shared" si="106"/>
        <v>0</v>
      </c>
      <c r="EL87" s="12">
        <f t="shared" si="106"/>
        <v>0</v>
      </c>
      <c r="EM87" s="12">
        <f t="shared" si="106"/>
        <v>0</v>
      </c>
      <c r="EN87" s="12">
        <f t="shared" si="106"/>
        <v>0</v>
      </c>
      <c r="EO87" s="12">
        <f t="shared" si="106"/>
        <v>0</v>
      </c>
      <c r="EP87" s="12">
        <f t="shared" si="106"/>
        <v>0</v>
      </c>
      <c r="EQ87" s="12">
        <f t="shared" si="106"/>
        <v>0</v>
      </c>
      <c r="ER87" s="12">
        <f t="shared" si="106"/>
        <v>0</v>
      </c>
      <c r="ES87" s="12">
        <f t="shared" si="106"/>
        <v>0</v>
      </c>
      <c r="ET87" s="12">
        <f t="shared" si="106"/>
        <v>0</v>
      </c>
      <c r="EU87" s="12">
        <f t="shared" si="106"/>
        <v>0</v>
      </c>
      <c r="EV87" s="12">
        <f t="shared" si="106"/>
        <v>0</v>
      </c>
      <c r="EW87" s="12">
        <f t="shared" si="106"/>
        <v>0</v>
      </c>
      <c r="EX87" s="12">
        <f t="shared" si="106"/>
        <v>0</v>
      </c>
      <c r="EY87" s="12">
        <f t="shared" si="106"/>
        <v>0</v>
      </c>
      <c r="EZ87" s="12">
        <f t="shared" si="106"/>
        <v>0</v>
      </c>
      <c r="FA87" s="12">
        <f t="shared" si="106"/>
        <v>0</v>
      </c>
      <c r="FB87" s="12">
        <f t="shared" si="106"/>
        <v>0</v>
      </c>
      <c r="FC87" s="12">
        <f t="shared" si="106"/>
        <v>0</v>
      </c>
      <c r="FD87" s="12">
        <f t="shared" si="106"/>
        <v>0</v>
      </c>
      <c r="FE87" s="12">
        <f t="shared" si="106"/>
        <v>0</v>
      </c>
      <c r="FF87" s="12">
        <f t="shared" si="106"/>
        <v>0</v>
      </c>
      <c r="FG87" s="12">
        <f t="shared" si="106"/>
        <v>0</v>
      </c>
      <c r="FH87" s="12">
        <f t="shared" si="106"/>
        <v>0</v>
      </c>
      <c r="FI87" s="12">
        <f t="shared" si="106"/>
        <v>0</v>
      </c>
      <c r="FJ87" s="12">
        <f t="shared" si="106"/>
        <v>0</v>
      </c>
      <c r="FK87" s="12">
        <f t="shared" si="106"/>
        <v>0</v>
      </c>
      <c r="FL87" s="12">
        <f t="shared" si="106"/>
        <v>0</v>
      </c>
      <c r="FM87" s="12">
        <f t="shared" si="106"/>
        <v>0</v>
      </c>
      <c r="FN87" s="12">
        <f t="shared" ref="FN87:GJ87" si="107" xml:space="preserve"> (FN84 - FN85 - FN86) * $F83</f>
        <v>0</v>
      </c>
      <c r="FO87" s="12">
        <f t="shared" si="107"/>
        <v>0</v>
      </c>
      <c r="FP87" s="12">
        <f t="shared" si="107"/>
        <v>0</v>
      </c>
      <c r="FQ87" s="12">
        <f t="shared" si="107"/>
        <v>0</v>
      </c>
      <c r="FR87" s="12">
        <f t="shared" si="107"/>
        <v>0</v>
      </c>
      <c r="FS87" s="12">
        <f t="shared" si="107"/>
        <v>0</v>
      </c>
      <c r="FT87" s="12">
        <f t="shared" si="107"/>
        <v>0</v>
      </c>
      <c r="FU87" s="12">
        <f t="shared" si="107"/>
        <v>0</v>
      </c>
      <c r="FV87" s="12">
        <f t="shared" si="107"/>
        <v>0</v>
      </c>
      <c r="FW87" s="12">
        <f t="shared" si="107"/>
        <v>0</v>
      </c>
      <c r="FX87" s="12">
        <f t="shared" si="107"/>
        <v>0</v>
      </c>
      <c r="FY87" s="12">
        <f t="shared" si="107"/>
        <v>0</v>
      </c>
      <c r="FZ87" s="12">
        <f t="shared" si="107"/>
        <v>0</v>
      </c>
      <c r="GA87" s="12">
        <f t="shared" si="107"/>
        <v>0</v>
      </c>
      <c r="GB87" s="12">
        <f t="shared" si="107"/>
        <v>0</v>
      </c>
      <c r="GC87" s="12">
        <f t="shared" si="107"/>
        <v>0</v>
      </c>
      <c r="GD87" s="12">
        <f t="shared" si="107"/>
        <v>0</v>
      </c>
      <c r="GE87" s="12">
        <f t="shared" si="107"/>
        <v>0</v>
      </c>
      <c r="GF87" s="12">
        <f t="shared" si="107"/>
        <v>0</v>
      </c>
      <c r="GG87" s="12">
        <f t="shared" si="107"/>
        <v>0</v>
      </c>
      <c r="GH87" s="12">
        <f t="shared" si="107"/>
        <v>0</v>
      </c>
      <c r="GI87" s="12">
        <f t="shared" si="107"/>
        <v>0</v>
      </c>
      <c r="GJ87" s="12">
        <f t="shared" si="107"/>
        <v>0</v>
      </c>
    </row>
    <row r="88" spans="1:192" s="1141" customFormat="1" outlineLevel="2" x14ac:dyDescent="0.2">
      <c r="A88" s="141"/>
      <c r="B88" s="141"/>
      <c r="C88" s="142"/>
      <c r="D88" s="143"/>
      <c r="E88" s="187" t="str">
        <f xml:space="preserve"> LEFT(E87, LEN(E87) - 4)</f>
        <v>Deferred tax</v>
      </c>
      <c r="F88" s="187"/>
      <c r="G88" s="187" t="str">
        <f xml:space="preserve"> SMU</f>
        <v>$ 000s</v>
      </c>
      <c r="H88" s="187">
        <f xml:space="preserve"> SUM(J88:CV88)</f>
        <v>5.6843418860808015E-12</v>
      </c>
      <c r="I88" s="144"/>
      <c r="J88" s="187">
        <f t="shared" ref="J88:BU88" si="108" xml:space="preserve"> -1 * J87</f>
        <v>0</v>
      </c>
      <c r="K88" s="187">
        <f t="shared" si="108"/>
        <v>0</v>
      </c>
      <c r="L88" s="187">
        <f t="shared" si="108"/>
        <v>0</v>
      </c>
      <c r="M88" s="187">
        <f t="shared" si="108"/>
        <v>0</v>
      </c>
      <c r="N88" s="187">
        <f t="shared" si="108"/>
        <v>0</v>
      </c>
      <c r="O88" s="187">
        <f t="shared" si="108"/>
        <v>-4774.4453219935003</v>
      </c>
      <c r="P88" s="187">
        <f t="shared" si="108"/>
        <v>-4134.9896065094208</v>
      </c>
      <c r="Q88" s="187">
        <f t="shared" si="108"/>
        <v>-3559.4794625737495</v>
      </c>
      <c r="R88" s="187">
        <f t="shared" si="108"/>
        <v>-3041.5203330316454</v>
      </c>
      <c r="S88" s="187">
        <f t="shared" si="108"/>
        <v>-2575.3571164437512</v>
      </c>
      <c r="T88" s="187">
        <f t="shared" si="108"/>
        <v>-2155.8102215146464</v>
      </c>
      <c r="U88" s="187">
        <f t="shared" si="108"/>
        <v>-1778.2180160784535</v>
      </c>
      <c r="V88" s="187">
        <f t="shared" si="108"/>
        <v>-1438.3850311858787</v>
      </c>
      <c r="W88" s="187">
        <f t="shared" si="108"/>
        <v>-1132.5353447825617</v>
      </c>
      <c r="X88" s="187">
        <f t="shared" si="108"/>
        <v>-857.27062701957641</v>
      </c>
      <c r="Y88" s="187">
        <f t="shared" si="108"/>
        <v>-609.53238103288948</v>
      </c>
      <c r="Z88" s="187">
        <f t="shared" si="108"/>
        <v>-386.56795964487122</v>
      </c>
      <c r="AA88" s="187">
        <f t="shared" si="108"/>
        <v>-185.89998039565489</v>
      </c>
      <c r="AB88" s="187">
        <f t="shared" si="108"/>
        <v>-5.2987990713601905</v>
      </c>
      <c r="AC88" s="187">
        <f t="shared" si="108"/>
        <v>157.24226412050484</v>
      </c>
      <c r="AD88" s="187">
        <f t="shared" si="108"/>
        <v>303.52922099318369</v>
      </c>
      <c r="AE88" s="187">
        <f t="shared" si="108"/>
        <v>435.18748217859451</v>
      </c>
      <c r="AF88" s="187">
        <f t="shared" si="108"/>
        <v>553.67991724546425</v>
      </c>
      <c r="AG88" s="187">
        <f t="shared" si="108"/>
        <v>660.32310880564694</v>
      </c>
      <c r="AH88" s="187">
        <f t="shared" si="108"/>
        <v>756.30198120981152</v>
      </c>
      <c r="AI88" s="187">
        <f t="shared" si="108"/>
        <v>842.68296637355945</v>
      </c>
      <c r="AJ88" s="187">
        <f t="shared" si="108"/>
        <v>920.42585302093266</v>
      </c>
      <c r="AK88" s="187">
        <f t="shared" si="108"/>
        <v>990.39445100356852</v>
      </c>
      <c r="AL88" s="187">
        <f t="shared" si="108"/>
        <v>1053.3661891879408</v>
      </c>
      <c r="AM88" s="187">
        <f t="shared" si="108"/>
        <v>1110.0407535538759</v>
      </c>
      <c r="AN88" s="187">
        <f t="shared" si="108"/>
        <v>1161.0478614832175</v>
      </c>
      <c r="AO88" s="187">
        <f t="shared" si="108"/>
        <v>1206.9542586196249</v>
      </c>
      <c r="AP88" s="187">
        <f t="shared" si="108"/>
        <v>1248.2700160423917</v>
      </c>
      <c r="AQ88" s="187">
        <f t="shared" si="108"/>
        <v>1285.4541977228819</v>
      </c>
      <c r="AR88" s="187">
        <f t="shared" si="108"/>
        <v>1318.9199612353227</v>
      </c>
      <c r="AS88" s="187">
        <f t="shared" si="108"/>
        <v>1349.0391483965195</v>
      </c>
      <c r="AT88" s="187">
        <f t="shared" si="108"/>
        <v>1376.1464168415969</v>
      </c>
      <c r="AU88" s="187">
        <f t="shared" si="108"/>
        <v>1400.5429584421663</v>
      </c>
      <c r="AV88" s="187">
        <f t="shared" si="108"/>
        <v>1422.499845882679</v>
      </c>
      <c r="AW88" s="187">
        <f t="shared" si="108"/>
        <v>1299.1107503318478</v>
      </c>
      <c r="AX88" s="187">
        <f t="shared" si="108"/>
        <v>1316.895829158663</v>
      </c>
      <c r="AY88" s="187">
        <f t="shared" si="108"/>
        <v>1332.9024001027965</v>
      </c>
      <c r="AZ88" s="187">
        <f t="shared" si="108"/>
        <v>1347.308313952517</v>
      </c>
      <c r="BA88" s="187">
        <f t="shared" si="108"/>
        <v>1360.2736364172652</v>
      </c>
      <c r="BB88" s="187">
        <f t="shared" si="108"/>
        <v>426.77041895539082</v>
      </c>
      <c r="BC88" s="187">
        <f t="shared" si="108"/>
        <v>0</v>
      </c>
      <c r="BD88" s="187">
        <f t="shared" si="108"/>
        <v>0</v>
      </c>
      <c r="BE88" s="187">
        <f t="shared" si="108"/>
        <v>0</v>
      </c>
      <c r="BF88" s="187">
        <f t="shared" si="108"/>
        <v>0</v>
      </c>
      <c r="BG88" s="187">
        <f t="shared" si="108"/>
        <v>0</v>
      </c>
      <c r="BH88" s="187">
        <f t="shared" si="108"/>
        <v>0</v>
      </c>
      <c r="BI88" s="187">
        <f t="shared" si="108"/>
        <v>0</v>
      </c>
      <c r="BJ88" s="187">
        <f t="shared" si="108"/>
        <v>0</v>
      </c>
      <c r="BK88" s="187">
        <f t="shared" si="108"/>
        <v>0</v>
      </c>
      <c r="BL88" s="187">
        <f t="shared" si="108"/>
        <v>0</v>
      </c>
      <c r="BM88" s="187">
        <f t="shared" si="108"/>
        <v>0</v>
      </c>
      <c r="BN88" s="187">
        <f t="shared" si="108"/>
        <v>0</v>
      </c>
      <c r="BO88" s="187">
        <f t="shared" si="108"/>
        <v>0</v>
      </c>
      <c r="BP88" s="187">
        <f t="shared" si="108"/>
        <v>0</v>
      </c>
      <c r="BQ88" s="187">
        <f t="shared" si="108"/>
        <v>0</v>
      </c>
      <c r="BR88" s="187">
        <f t="shared" si="108"/>
        <v>0</v>
      </c>
      <c r="BS88" s="187">
        <f t="shared" si="108"/>
        <v>0</v>
      </c>
      <c r="BT88" s="187">
        <f t="shared" si="108"/>
        <v>0</v>
      </c>
      <c r="BU88" s="187">
        <f t="shared" si="108"/>
        <v>0</v>
      </c>
      <c r="BV88" s="187">
        <f t="shared" ref="BV88:CV88" si="109" xml:space="preserve"> -1 * BV87</f>
        <v>0</v>
      </c>
      <c r="BW88" s="187">
        <f t="shared" si="109"/>
        <v>0</v>
      </c>
      <c r="BX88" s="187">
        <f t="shared" si="109"/>
        <v>0</v>
      </c>
      <c r="BY88" s="187">
        <f t="shared" si="109"/>
        <v>0</v>
      </c>
      <c r="BZ88" s="187">
        <f t="shared" si="109"/>
        <v>0</v>
      </c>
      <c r="CA88" s="187">
        <f t="shared" si="109"/>
        <v>0</v>
      </c>
      <c r="CB88" s="187">
        <f t="shared" si="109"/>
        <v>0</v>
      </c>
      <c r="CC88" s="187">
        <f t="shared" si="109"/>
        <v>0</v>
      </c>
      <c r="CD88" s="187">
        <f t="shared" si="109"/>
        <v>0</v>
      </c>
      <c r="CE88" s="187">
        <f t="shared" si="109"/>
        <v>0</v>
      </c>
      <c r="CF88" s="187">
        <f t="shared" si="109"/>
        <v>0</v>
      </c>
      <c r="CG88" s="187">
        <f t="shared" si="109"/>
        <v>0</v>
      </c>
      <c r="CH88" s="187">
        <f t="shared" si="109"/>
        <v>0</v>
      </c>
      <c r="CI88" s="187">
        <f t="shared" si="109"/>
        <v>0</v>
      </c>
      <c r="CJ88" s="187">
        <f t="shared" si="109"/>
        <v>0</v>
      </c>
      <c r="CK88" s="187">
        <f t="shared" si="109"/>
        <v>0</v>
      </c>
      <c r="CL88" s="187">
        <f t="shared" si="109"/>
        <v>0</v>
      </c>
      <c r="CM88" s="187">
        <f t="shared" si="109"/>
        <v>0</v>
      </c>
      <c r="CN88" s="187">
        <f t="shared" si="109"/>
        <v>0</v>
      </c>
      <c r="CO88" s="187">
        <f t="shared" si="109"/>
        <v>0</v>
      </c>
      <c r="CP88" s="187">
        <f t="shared" si="109"/>
        <v>0</v>
      </c>
      <c r="CQ88" s="187">
        <f t="shared" si="109"/>
        <v>0</v>
      </c>
      <c r="CR88" s="187">
        <f t="shared" si="109"/>
        <v>0</v>
      </c>
      <c r="CS88" s="187">
        <f t="shared" si="109"/>
        <v>0</v>
      </c>
      <c r="CT88" s="187">
        <f t="shared" si="109"/>
        <v>0</v>
      </c>
      <c r="CU88" s="187">
        <f t="shared" si="109"/>
        <v>0</v>
      </c>
      <c r="CV88" s="187">
        <f t="shared" si="109"/>
        <v>0</v>
      </c>
    </row>
    <row r="89" spans="1:192" outlineLevel="1" x14ac:dyDescent="0.2"/>
    <row r="90" spans="1:192" outlineLevel="1" x14ac:dyDescent="0.2">
      <c r="B90" s="15" t="s">
        <v>1311</v>
      </c>
    </row>
    <row r="91" spans="1:192" outlineLevel="2" x14ac:dyDescent="0.2"/>
    <row r="92" spans="1:192" outlineLevel="2" x14ac:dyDescent="0.2">
      <c r="A92" s="216"/>
      <c r="B92" s="216"/>
      <c r="C92" s="217"/>
      <c r="D92" s="218"/>
      <c r="E92" s="219" t="s">
        <v>1312</v>
      </c>
      <c r="F92" s="219"/>
      <c r="G92" s="219" t="str">
        <f xml:space="preserve"> SMU</f>
        <v>$ 000s</v>
      </c>
      <c r="H92" s="219"/>
      <c r="I92" s="220"/>
      <c r="J92" s="219">
        <f t="shared" ref="J92:AO92" si="110">I94</f>
        <v>0</v>
      </c>
      <c r="K92" s="219">
        <f t="shared" si="110"/>
        <v>0</v>
      </c>
      <c r="L92" s="219">
        <f t="shared" si="110"/>
        <v>0</v>
      </c>
      <c r="M92" s="219">
        <f t="shared" si="110"/>
        <v>0</v>
      </c>
      <c r="N92" s="219">
        <f t="shared" si="110"/>
        <v>0</v>
      </c>
      <c r="O92" s="219">
        <f t="shared" si="110"/>
        <v>0</v>
      </c>
      <c r="P92" s="219">
        <f t="shared" si="110"/>
        <v>4774.4453219935003</v>
      </c>
      <c r="Q92" s="219">
        <f t="shared" si="110"/>
        <v>8909.4349285029202</v>
      </c>
      <c r="R92" s="219">
        <f t="shared" si="110"/>
        <v>12468.914391076669</v>
      </c>
      <c r="S92" s="219">
        <f t="shared" si="110"/>
        <v>15510.434724108314</v>
      </c>
      <c r="T92" s="219">
        <f t="shared" si="110"/>
        <v>18085.791840552065</v>
      </c>
      <c r="U92" s="219">
        <f t="shared" si="110"/>
        <v>20241.602062066711</v>
      </c>
      <c r="V92" s="219">
        <f t="shared" si="110"/>
        <v>22019.820078145163</v>
      </c>
      <c r="W92" s="219">
        <f t="shared" si="110"/>
        <v>23458.205109331044</v>
      </c>
      <c r="X92" s="219">
        <f t="shared" si="110"/>
        <v>24590.740454113606</v>
      </c>
      <c r="Y92" s="219">
        <f t="shared" si="110"/>
        <v>25448.011081133183</v>
      </c>
      <c r="Z92" s="219">
        <f t="shared" si="110"/>
        <v>26057.543462166072</v>
      </c>
      <c r="AA92" s="219">
        <f t="shared" si="110"/>
        <v>26444.111421810943</v>
      </c>
      <c r="AB92" s="219">
        <f t="shared" si="110"/>
        <v>26630.011402206597</v>
      </c>
      <c r="AC92" s="219">
        <f t="shared" si="110"/>
        <v>26635.310201277956</v>
      </c>
      <c r="AD92" s="219">
        <f t="shared" si="110"/>
        <v>26478.067937157452</v>
      </c>
      <c r="AE92" s="219">
        <f t="shared" si="110"/>
        <v>26174.538716164268</v>
      </c>
      <c r="AF92" s="219">
        <f t="shared" si="110"/>
        <v>25739.351233985675</v>
      </c>
      <c r="AG92" s="219">
        <f t="shared" si="110"/>
        <v>25185.671316740212</v>
      </c>
      <c r="AH92" s="219">
        <f t="shared" si="110"/>
        <v>24525.348207934567</v>
      </c>
      <c r="AI92" s="219">
        <f t="shared" si="110"/>
        <v>23769.046226724757</v>
      </c>
      <c r="AJ92" s="219">
        <f t="shared" si="110"/>
        <v>22926.363260351198</v>
      </c>
      <c r="AK92" s="219">
        <f t="shared" si="110"/>
        <v>22005.937407330264</v>
      </c>
      <c r="AL92" s="219">
        <f t="shared" si="110"/>
        <v>21015.542956326695</v>
      </c>
      <c r="AM92" s="219">
        <f t="shared" si="110"/>
        <v>19962.176767138753</v>
      </c>
      <c r="AN92" s="219">
        <f t="shared" si="110"/>
        <v>18852.136013584877</v>
      </c>
      <c r="AO92" s="219">
        <f t="shared" si="110"/>
        <v>17691.08815210166</v>
      </c>
      <c r="AP92" s="219">
        <f t="shared" ref="AP92:BU92" si="111">AO94</f>
        <v>16484.133893482034</v>
      </c>
      <c r="AQ92" s="219">
        <f t="shared" si="111"/>
        <v>15235.863877439642</v>
      </c>
      <c r="AR92" s="219">
        <f t="shared" si="111"/>
        <v>13950.40967971676</v>
      </c>
      <c r="AS92" s="219">
        <f t="shared" si="111"/>
        <v>12631.489718481438</v>
      </c>
      <c r="AT92" s="219">
        <f t="shared" si="111"/>
        <v>11282.450570084919</v>
      </c>
      <c r="AU92" s="219">
        <f t="shared" si="111"/>
        <v>9906.3041532433217</v>
      </c>
      <c r="AV92" s="219">
        <f t="shared" si="111"/>
        <v>8505.7611948011545</v>
      </c>
      <c r="AW92" s="219">
        <f t="shared" si="111"/>
        <v>7083.2613489184751</v>
      </c>
      <c r="AX92" s="219">
        <f t="shared" si="111"/>
        <v>5784.150598586627</v>
      </c>
      <c r="AY92" s="219">
        <f t="shared" si="111"/>
        <v>4467.2547694279638</v>
      </c>
      <c r="AZ92" s="219">
        <f t="shared" si="111"/>
        <v>3134.3523693251673</v>
      </c>
      <c r="BA92" s="219">
        <f t="shared" si="111"/>
        <v>1787.0440553726503</v>
      </c>
      <c r="BB92" s="219">
        <f t="shared" si="111"/>
        <v>426.77041895538514</v>
      </c>
      <c r="BC92" s="219">
        <f t="shared" si="111"/>
        <v>-5.6843418860808015E-12</v>
      </c>
      <c r="BD92" s="219">
        <f t="shared" si="111"/>
        <v>-5.6843418860808015E-12</v>
      </c>
      <c r="BE92" s="219">
        <f t="shared" si="111"/>
        <v>-5.6843418860808015E-12</v>
      </c>
      <c r="BF92" s="219">
        <f t="shared" si="111"/>
        <v>-5.6843418860808015E-12</v>
      </c>
      <c r="BG92" s="219">
        <f t="shared" si="111"/>
        <v>-5.6843418860808015E-12</v>
      </c>
      <c r="BH92" s="219">
        <f t="shared" si="111"/>
        <v>-5.6843418860808015E-12</v>
      </c>
      <c r="BI92" s="219">
        <f t="shared" si="111"/>
        <v>-5.6843418860808015E-12</v>
      </c>
      <c r="BJ92" s="219">
        <f t="shared" si="111"/>
        <v>-5.6843418860808015E-12</v>
      </c>
      <c r="BK92" s="219">
        <f t="shared" si="111"/>
        <v>-5.6843418860808015E-12</v>
      </c>
      <c r="BL92" s="219">
        <f t="shared" si="111"/>
        <v>-5.6843418860808015E-12</v>
      </c>
      <c r="BM92" s="219">
        <f t="shared" si="111"/>
        <v>-5.6843418860808015E-12</v>
      </c>
      <c r="BN92" s="219">
        <f t="shared" si="111"/>
        <v>-5.6843418860808015E-12</v>
      </c>
      <c r="BO92" s="219">
        <f t="shared" si="111"/>
        <v>-5.6843418860808015E-12</v>
      </c>
      <c r="BP92" s="219">
        <f t="shared" si="111"/>
        <v>-5.6843418860808015E-12</v>
      </c>
      <c r="BQ92" s="219">
        <f t="shared" si="111"/>
        <v>-5.6843418860808015E-12</v>
      </c>
      <c r="BR92" s="219">
        <f t="shared" si="111"/>
        <v>-5.6843418860808015E-12</v>
      </c>
      <c r="BS92" s="219">
        <f t="shared" si="111"/>
        <v>-5.6843418860808015E-12</v>
      </c>
      <c r="BT92" s="219">
        <f t="shared" si="111"/>
        <v>-5.6843418860808015E-12</v>
      </c>
      <c r="BU92" s="219">
        <f t="shared" si="111"/>
        <v>-5.6843418860808015E-12</v>
      </c>
      <c r="BV92" s="219">
        <f t="shared" ref="BV92:DA92" si="112">BU94</f>
        <v>-5.6843418860808015E-12</v>
      </c>
      <c r="BW92" s="219">
        <f t="shared" si="112"/>
        <v>-5.6843418860808015E-12</v>
      </c>
      <c r="BX92" s="219">
        <f t="shared" si="112"/>
        <v>-5.6843418860808015E-12</v>
      </c>
      <c r="BY92" s="219">
        <f t="shared" si="112"/>
        <v>-5.6843418860808015E-12</v>
      </c>
      <c r="BZ92" s="219">
        <f t="shared" si="112"/>
        <v>-5.6843418860808015E-12</v>
      </c>
      <c r="CA92" s="219">
        <f t="shared" si="112"/>
        <v>-5.6843418860808015E-12</v>
      </c>
      <c r="CB92" s="219">
        <f t="shared" si="112"/>
        <v>-5.6843418860808015E-12</v>
      </c>
      <c r="CC92" s="219">
        <f t="shared" si="112"/>
        <v>-5.6843418860808015E-12</v>
      </c>
      <c r="CD92" s="219">
        <f t="shared" si="112"/>
        <v>-5.6843418860808015E-12</v>
      </c>
      <c r="CE92" s="219">
        <f t="shared" si="112"/>
        <v>-5.6843418860808015E-12</v>
      </c>
      <c r="CF92" s="219">
        <f t="shared" si="112"/>
        <v>-5.6843418860808015E-12</v>
      </c>
      <c r="CG92" s="219">
        <f t="shared" si="112"/>
        <v>-5.6843418860808015E-12</v>
      </c>
      <c r="CH92" s="219">
        <f t="shared" si="112"/>
        <v>-5.6843418860808015E-12</v>
      </c>
      <c r="CI92" s="219">
        <f t="shared" si="112"/>
        <v>-5.6843418860808015E-12</v>
      </c>
      <c r="CJ92" s="219">
        <f t="shared" si="112"/>
        <v>-5.6843418860808015E-12</v>
      </c>
      <c r="CK92" s="219">
        <f t="shared" si="112"/>
        <v>-5.6843418860808015E-12</v>
      </c>
      <c r="CL92" s="219">
        <f t="shared" si="112"/>
        <v>-5.6843418860808015E-12</v>
      </c>
      <c r="CM92" s="219">
        <f t="shared" si="112"/>
        <v>-5.6843418860808015E-12</v>
      </c>
      <c r="CN92" s="219">
        <f t="shared" si="112"/>
        <v>-5.6843418860808015E-12</v>
      </c>
      <c r="CO92" s="219">
        <f t="shared" si="112"/>
        <v>-5.6843418860808015E-12</v>
      </c>
      <c r="CP92" s="219">
        <f t="shared" si="112"/>
        <v>-5.6843418860808015E-12</v>
      </c>
      <c r="CQ92" s="219">
        <f t="shared" si="112"/>
        <v>-5.6843418860808015E-12</v>
      </c>
      <c r="CR92" s="219">
        <f t="shared" si="112"/>
        <v>-5.6843418860808015E-12</v>
      </c>
      <c r="CS92" s="219">
        <f t="shared" si="112"/>
        <v>-5.6843418860808015E-12</v>
      </c>
      <c r="CT92" s="219">
        <f t="shared" si="112"/>
        <v>-5.6843418860808015E-12</v>
      </c>
      <c r="CU92" s="219">
        <f t="shared" si="112"/>
        <v>-5.6843418860808015E-12</v>
      </c>
      <c r="CV92" s="219">
        <f t="shared" si="112"/>
        <v>-5.6843418860808015E-12</v>
      </c>
      <c r="CW92" s="12">
        <f t="shared" si="112"/>
        <v>-5.6843418860808015E-12</v>
      </c>
      <c r="CX92" s="12">
        <f t="shared" si="112"/>
        <v>-5.6843418860808015E-12</v>
      </c>
      <c r="CY92" s="12">
        <f t="shared" si="112"/>
        <v>-5.6843418860808015E-12</v>
      </c>
      <c r="CZ92" s="12">
        <f t="shared" si="112"/>
        <v>-5.6843418860808015E-12</v>
      </c>
      <c r="DA92" s="12">
        <f t="shared" si="112"/>
        <v>-5.6843418860808015E-12</v>
      </c>
      <c r="DB92" s="12">
        <f t="shared" ref="DB92:EG92" si="113">DA94</f>
        <v>-5.6843418860808015E-12</v>
      </c>
      <c r="DC92" s="12">
        <f t="shared" si="113"/>
        <v>-5.6843418860808015E-12</v>
      </c>
      <c r="DD92" s="12">
        <f t="shared" si="113"/>
        <v>-5.6843418860808015E-12</v>
      </c>
      <c r="DE92" s="12">
        <f t="shared" si="113"/>
        <v>-5.6843418860808015E-12</v>
      </c>
      <c r="DF92" s="12">
        <f t="shared" si="113"/>
        <v>-5.6843418860808015E-12</v>
      </c>
      <c r="DG92" s="12">
        <f t="shared" si="113"/>
        <v>-5.6843418860808015E-12</v>
      </c>
      <c r="DH92" s="12">
        <f t="shared" si="113"/>
        <v>-5.6843418860808015E-12</v>
      </c>
      <c r="DI92" s="12">
        <f t="shared" si="113"/>
        <v>-5.6843418860808015E-12</v>
      </c>
      <c r="DJ92" s="12">
        <f t="shared" si="113"/>
        <v>-5.6843418860808015E-12</v>
      </c>
      <c r="DK92" s="12">
        <f t="shared" si="113"/>
        <v>-5.6843418860808015E-12</v>
      </c>
      <c r="DL92" s="12">
        <f t="shared" si="113"/>
        <v>-5.6843418860808015E-12</v>
      </c>
      <c r="DM92" s="12">
        <f t="shared" si="113"/>
        <v>-5.6843418860808015E-12</v>
      </c>
      <c r="DN92" s="12">
        <f t="shared" si="113"/>
        <v>-5.6843418860808015E-12</v>
      </c>
      <c r="DO92" s="12">
        <f t="shared" si="113"/>
        <v>-5.6843418860808015E-12</v>
      </c>
      <c r="DP92" s="12">
        <f t="shared" si="113"/>
        <v>-5.6843418860808015E-12</v>
      </c>
      <c r="DQ92" s="12">
        <f t="shared" si="113"/>
        <v>-5.6843418860808015E-12</v>
      </c>
      <c r="DR92" s="12">
        <f t="shared" si="113"/>
        <v>-5.6843418860808015E-12</v>
      </c>
      <c r="DS92" s="12">
        <f t="shared" si="113"/>
        <v>-5.6843418860808015E-12</v>
      </c>
      <c r="DT92" s="12">
        <f t="shared" si="113"/>
        <v>-5.6843418860808015E-12</v>
      </c>
      <c r="DU92" s="12">
        <f t="shared" si="113"/>
        <v>-5.6843418860808015E-12</v>
      </c>
      <c r="DV92" s="12">
        <f t="shared" si="113"/>
        <v>-5.6843418860808015E-12</v>
      </c>
      <c r="DW92" s="12">
        <f t="shared" si="113"/>
        <v>-5.6843418860808015E-12</v>
      </c>
      <c r="DX92" s="12">
        <f t="shared" si="113"/>
        <v>-5.6843418860808015E-12</v>
      </c>
      <c r="DY92" s="12">
        <f t="shared" si="113"/>
        <v>-5.6843418860808015E-12</v>
      </c>
      <c r="DZ92" s="12">
        <f t="shared" si="113"/>
        <v>-5.6843418860808015E-12</v>
      </c>
      <c r="EA92" s="12">
        <f t="shared" si="113"/>
        <v>-5.6843418860808015E-12</v>
      </c>
      <c r="EB92" s="12">
        <f t="shared" si="113"/>
        <v>-5.6843418860808015E-12</v>
      </c>
      <c r="EC92" s="12">
        <f t="shared" si="113"/>
        <v>-5.6843418860808015E-12</v>
      </c>
      <c r="ED92" s="12">
        <f t="shared" si="113"/>
        <v>-5.6843418860808015E-12</v>
      </c>
      <c r="EE92" s="12">
        <f t="shared" si="113"/>
        <v>-5.6843418860808015E-12</v>
      </c>
      <c r="EF92" s="12">
        <f t="shared" si="113"/>
        <v>-5.6843418860808015E-12</v>
      </c>
      <c r="EG92" s="12">
        <f t="shared" si="113"/>
        <v>-5.6843418860808015E-12</v>
      </c>
      <c r="EH92" s="12">
        <f t="shared" ref="EH92:FM92" si="114">EG94</f>
        <v>-5.6843418860808015E-12</v>
      </c>
      <c r="EI92" s="12">
        <f t="shared" si="114"/>
        <v>-5.6843418860808015E-12</v>
      </c>
      <c r="EJ92" s="12">
        <f t="shared" si="114"/>
        <v>-5.6843418860808015E-12</v>
      </c>
      <c r="EK92" s="12">
        <f t="shared" si="114"/>
        <v>-5.6843418860808015E-12</v>
      </c>
      <c r="EL92" s="12">
        <f t="shared" si="114"/>
        <v>-5.6843418860808015E-12</v>
      </c>
      <c r="EM92" s="12">
        <f t="shared" si="114"/>
        <v>-5.6843418860808015E-12</v>
      </c>
      <c r="EN92" s="12">
        <f t="shared" si="114"/>
        <v>-5.6843418860808015E-12</v>
      </c>
      <c r="EO92" s="12">
        <f t="shared" si="114"/>
        <v>-5.6843418860808015E-12</v>
      </c>
      <c r="EP92" s="12">
        <f t="shared" si="114"/>
        <v>-5.6843418860808015E-12</v>
      </c>
      <c r="EQ92" s="12">
        <f t="shared" si="114"/>
        <v>-5.6843418860808015E-12</v>
      </c>
      <c r="ER92" s="12">
        <f t="shared" si="114"/>
        <v>-5.6843418860808015E-12</v>
      </c>
      <c r="ES92" s="12">
        <f t="shared" si="114"/>
        <v>-5.6843418860808015E-12</v>
      </c>
      <c r="ET92" s="12">
        <f t="shared" si="114"/>
        <v>-5.6843418860808015E-12</v>
      </c>
      <c r="EU92" s="12">
        <f t="shared" si="114"/>
        <v>-5.6843418860808015E-12</v>
      </c>
      <c r="EV92" s="12">
        <f t="shared" si="114"/>
        <v>-5.6843418860808015E-12</v>
      </c>
      <c r="EW92" s="12">
        <f t="shared" si="114"/>
        <v>-5.6843418860808015E-12</v>
      </c>
      <c r="EX92" s="12">
        <f t="shared" si="114"/>
        <v>-5.6843418860808015E-12</v>
      </c>
      <c r="EY92" s="12">
        <f t="shared" si="114"/>
        <v>-5.6843418860808015E-12</v>
      </c>
      <c r="EZ92" s="12">
        <f t="shared" si="114"/>
        <v>-5.6843418860808015E-12</v>
      </c>
      <c r="FA92" s="12">
        <f t="shared" si="114"/>
        <v>-5.6843418860808015E-12</v>
      </c>
      <c r="FB92" s="12">
        <f t="shared" si="114"/>
        <v>-5.6843418860808015E-12</v>
      </c>
      <c r="FC92" s="12">
        <f t="shared" si="114"/>
        <v>-5.6843418860808015E-12</v>
      </c>
      <c r="FD92" s="12">
        <f t="shared" si="114"/>
        <v>-5.6843418860808015E-12</v>
      </c>
      <c r="FE92" s="12">
        <f t="shared" si="114"/>
        <v>-5.6843418860808015E-12</v>
      </c>
      <c r="FF92" s="12">
        <f t="shared" si="114"/>
        <v>-5.6843418860808015E-12</v>
      </c>
      <c r="FG92" s="12">
        <f t="shared" si="114"/>
        <v>-5.6843418860808015E-12</v>
      </c>
      <c r="FH92" s="12">
        <f t="shared" si="114"/>
        <v>-5.6843418860808015E-12</v>
      </c>
      <c r="FI92" s="12">
        <f t="shared" si="114"/>
        <v>-5.6843418860808015E-12</v>
      </c>
      <c r="FJ92" s="12">
        <f t="shared" si="114"/>
        <v>-5.6843418860808015E-12</v>
      </c>
      <c r="FK92" s="12">
        <f t="shared" si="114"/>
        <v>-5.6843418860808015E-12</v>
      </c>
      <c r="FL92" s="12">
        <f t="shared" si="114"/>
        <v>-5.6843418860808015E-12</v>
      </c>
      <c r="FM92" s="12">
        <f t="shared" si="114"/>
        <v>-5.6843418860808015E-12</v>
      </c>
      <c r="FN92" s="12">
        <f t="shared" ref="FN92:GJ92" si="115">FM94</f>
        <v>-5.6843418860808015E-12</v>
      </c>
      <c r="FO92" s="12">
        <f t="shared" si="115"/>
        <v>-5.6843418860808015E-12</v>
      </c>
      <c r="FP92" s="12">
        <f t="shared" si="115"/>
        <v>-5.6843418860808015E-12</v>
      </c>
      <c r="FQ92" s="12">
        <f t="shared" si="115"/>
        <v>-5.6843418860808015E-12</v>
      </c>
      <c r="FR92" s="12">
        <f t="shared" si="115"/>
        <v>-5.6843418860808015E-12</v>
      </c>
      <c r="FS92" s="12">
        <f t="shared" si="115"/>
        <v>-5.6843418860808015E-12</v>
      </c>
      <c r="FT92" s="12">
        <f t="shared" si="115"/>
        <v>-5.6843418860808015E-12</v>
      </c>
      <c r="FU92" s="12">
        <f t="shared" si="115"/>
        <v>-5.6843418860808015E-12</v>
      </c>
      <c r="FV92" s="12">
        <f t="shared" si="115"/>
        <v>-5.6843418860808015E-12</v>
      </c>
      <c r="FW92" s="12">
        <f t="shared" si="115"/>
        <v>-5.6843418860808015E-12</v>
      </c>
      <c r="FX92" s="12">
        <f t="shared" si="115"/>
        <v>-5.6843418860808015E-12</v>
      </c>
      <c r="FY92" s="12">
        <f t="shared" si="115"/>
        <v>-5.6843418860808015E-12</v>
      </c>
      <c r="FZ92" s="12">
        <f t="shared" si="115"/>
        <v>-5.6843418860808015E-12</v>
      </c>
      <c r="GA92" s="12">
        <f t="shared" si="115"/>
        <v>-5.6843418860808015E-12</v>
      </c>
      <c r="GB92" s="12">
        <f t="shared" si="115"/>
        <v>-5.6843418860808015E-12</v>
      </c>
      <c r="GC92" s="12">
        <f t="shared" si="115"/>
        <v>-5.6843418860808015E-12</v>
      </c>
      <c r="GD92" s="12">
        <f t="shared" si="115"/>
        <v>-5.6843418860808015E-12</v>
      </c>
      <c r="GE92" s="12">
        <f t="shared" si="115"/>
        <v>-5.6843418860808015E-12</v>
      </c>
      <c r="GF92" s="12">
        <f t="shared" si="115"/>
        <v>-5.6843418860808015E-12</v>
      </c>
      <c r="GG92" s="12">
        <f t="shared" si="115"/>
        <v>-5.6843418860808015E-12</v>
      </c>
      <c r="GH92" s="12">
        <f t="shared" si="115"/>
        <v>-5.6843418860808015E-12</v>
      </c>
      <c r="GI92" s="12">
        <f t="shared" si="115"/>
        <v>-5.6843418860808015E-12</v>
      </c>
      <c r="GJ92" s="12">
        <f t="shared" si="115"/>
        <v>-5.6843418860808015E-12</v>
      </c>
    </row>
    <row r="93" spans="1:192" s="495" customFormat="1" outlineLevel="2" x14ac:dyDescent="0.2">
      <c r="A93" s="15"/>
      <c r="B93" s="15"/>
      <c r="C93" s="21"/>
      <c r="D93" s="48"/>
      <c r="E93" s="38" t="str">
        <f t="shared" ref="E93:AJ93" si="116" xml:space="preserve"> E$87</f>
        <v>Deferred tax POS</v>
      </c>
      <c r="F93" s="38">
        <f t="shared" si="116"/>
        <v>0</v>
      </c>
      <c r="G93" s="38" t="str">
        <f t="shared" si="116"/>
        <v>$ 000s</v>
      </c>
      <c r="H93" s="38">
        <f t="shared" si="116"/>
        <v>-5.6843418860808015E-12</v>
      </c>
      <c r="I93" s="38">
        <f t="shared" si="116"/>
        <v>0</v>
      </c>
      <c r="J93" s="38">
        <f t="shared" si="116"/>
        <v>0</v>
      </c>
      <c r="K93" s="38">
        <f t="shared" si="116"/>
        <v>0</v>
      </c>
      <c r="L93" s="38">
        <f t="shared" si="116"/>
        <v>0</v>
      </c>
      <c r="M93" s="38">
        <f t="shared" si="116"/>
        <v>0</v>
      </c>
      <c r="N93" s="38">
        <f t="shared" si="116"/>
        <v>0</v>
      </c>
      <c r="O93" s="38">
        <f t="shared" si="116"/>
        <v>4774.4453219935003</v>
      </c>
      <c r="P93" s="38">
        <f t="shared" si="116"/>
        <v>4134.9896065094208</v>
      </c>
      <c r="Q93" s="38">
        <f t="shared" si="116"/>
        <v>3559.4794625737495</v>
      </c>
      <c r="R93" s="38">
        <f t="shared" si="116"/>
        <v>3041.5203330316454</v>
      </c>
      <c r="S93" s="38">
        <f t="shared" si="116"/>
        <v>2575.3571164437512</v>
      </c>
      <c r="T93" s="38">
        <f t="shared" si="116"/>
        <v>2155.8102215146464</v>
      </c>
      <c r="U93" s="38">
        <f t="shared" si="116"/>
        <v>1778.2180160784535</v>
      </c>
      <c r="V93" s="38">
        <f t="shared" si="116"/>
        <v>1438.3850311858787</v>
      </c>
      <c r="W93" s="38">
        <f t="shared" si="116"/>
        <v>1132.5353447825617</v>
      </c>
      <c r="X93" s="38">
        <f t="shared" si="116"/>
        <v>857.27062701957641</v>
      </c>
      <c r="Y93" s="38">
        <f t="shared" si="116"/>
        <v>609.53238103288948</v>
      </c>
      <c r="Z93" s="38">
        <f t="shared" si="116"/>
        <v>386.56795964487122</v>
      </c>
      <c r="AA93" s="38">
        <f t="shared" si="116"/>
        <v>185.89998039565489</v>
      </c>
      <c r="AB93" s="38">
        <f t="shared" si="116"/>
        <v>5.2987990713601905</v>
      </c>
      <c r="AC93" s="38">
        <f t="shared" si="116"/>
        <v>-157.24226412050484</v>
      </c>
      <c r="AD93" s="38">
        <f t="shared" si="116"/>
        <v>-303.52922099318369</v>
      </c>
      <c r="AE93" s="38">
        <f t="shared" si="116"/>
        <v>-435.18748217859451</v>
      </c>
      <c r="AF93" s="38">
        <f t="shared" si="116"/>
        <v>-553.67991724546425</v>
      </c>
      <c r="AG93" s="38">
        <f t="shared" si="116"/>
        <v>-660.32310880564694</v>
      </c>
      <c r="AH93" s="38">
        <f t="shared" si="116"/>
        <v>-756.30198120981152</v>
      </c>
      <c r="AI93" s="38">
        <f t="shared" si="116"/>
        <v>-842.68296637355945</v>
      </c>
      <c r="AJ93" s="38">
        <f t="shared" si="116"/>
        <v>-920.42585302093266</v>
      </c>
      <c r="AK93" s="38">
        <f t="shared" ref="AK93:BP93" si="117" xml:space="preserve"> AK$87</f>
        <v>-990.39445100356852</v>
      </c>
      <c r="AL93" s="38">
        <f t="shared" si="117"/>
        <v>-1053.3661891879408</v>
      </c>
      <c r="AM93" s="38">
        <f t="shared" si="117"/>
        <v>-1110.0407535538759</v>
      </c>
      <c r="AN93" s="38">
        <f t="shared" si="117"/>
        <v>-1161.0478614832175</v>
      </c>
      <c r="AO93" s="38">
        <f t="shared" si="117"/>
        <v>-1206.9542586196249</v>
      </c>
      <c r="AP93" s="38">
        <f t="shared" si="117"/>
        <v>-1248.2700160423917</v>
      </c>
      <c r="AQ93" s="38">
        <f t="shared" si="117"/>
        <v>-1285.4541977228819</v>
      </c>
      <c r="AR93" s="38">
        <f t="shared" si="117"/>
        <v>-1318.9199612353227</v>
      </c>
      <c r="AS93" s="38">
        <f t="shared" si="117"/>
        <v>-1349.0391483965195</v>
      </c>
      <c r="AT93" s="38">
        <f t="shared" si="117"/>
        <v>-1376.1464168415969</v>
      </c>
      <c r="AU93" s="38">
        <f t="shared" si="117"/>
        <v>-1400.5429584421663</v>
      </c>
      <c r="AV93" s="38">
        <f t="shared" si="117"/>
        <v>-1422.499845882679</v>
      </c>
      <c r="AW93" s="38">
        <f t="shared" si="117"/>
        <v>-1299.1107503318478</v>
      </c>
      <c r="AX93" s="38">
        <f t="shared" si="117"/>
        <v>-1316.895829158663</v>
      </c>
      <c r="AY93" s="38">
        <f t="shared" si="117"/>
        <v>-1332.9024001027965</v>
      </c>
      <c r="AZ93" s="38">
        <f t="shared" si="117"/>
        <v>-1347.308313952517</v>
      </c>
      <c r="BA93" s="38">
        <f t="shared" si="117"/>
        <v>-1360.2736364172652</v>
      </c>
      <c r="BB93" s="38">
        <f t="shared" si="117"/>
        <v>-426.77041895539082</v>
      </c>
      <c r="BC93" s="38">
        <f t="shared" si="117"/>
        <v>0</v>
      </c>
      <c r="BD93" s="38">
        <f t="shared" si="117"/>
        <v>0</v>
      </c>
      <c r="BE93" s="38">
        <f t="shared" si="117"/>
        <v>0</v>
      </c>
      <c r="BF93" s="38">
        <f t="shared" si="117"/>
        <v>0</v>
      </c>
      <c r="BG93" s="38">
        <f t="shared" si="117"/>
        <v>0</v>
      </c>
      <c r="BH93" s="38">
        <f t="shared" si="117"/>
        <v>0</v>
      </c>
      <c r="BI93" s="38">
        <f t="shared" si="117"/>
        <v>0</v>
      </c>
      <c r="BJ93" s="38">
        <f t="shared" si="117"/>
        <v>0</v>
      </c>
      <c r="BK93" s="38">
        <f t="shared" si="117"/>
        <v>0</v>
      </c>
      <c r="BL93" s="38">
        <f t="shared" si="117"/>
        <v>0</v>
      </c>
      <c r="BM93" s="38">
        <f t="shared" si="117"/>
        <v>0</v>
      </c>
      <c r="BN93" s="38">
        <f t="shared" si="117"/>
        <v>0</v>
      </c>
      <c r="BO93" s="38">
        <f t="shared" si="117"/>
        <v>0</v>
      </c>
      <c r="BP93" s="38">
        <f t="shared" si="117"/>
        <v>0</v>
      </c>
      <c r="BQ93" s="38">
        <f t="shared" ref="BQ93:CV93" si="118" xml:space="preserve"> BQ$87</f>
        <v>0</v>
      </c>
      <c r="BR93" s="38">
        <f t="shared" si="118"/>
        <v>0</v>
      </c>
      <c r="BS93" s="38">
        <f t="shared" si="118"/>
        <v>0</v>
      </c>
      <c r="BT93" s="38">
        <f t="shared" si="118"/>
        <v>0</v>
      </c>
      <c r="BU93" s="38">
        <f t="shared" si="118"/>
        <v>0</v>
      </c>
      <c r="BV93" s="38">
        <f t="shared" si="118"/>
        <v>0</v>
      </c>
      <c r="BW93" s="38">
        <f t="shared" si="118"/>
        <v>0</v>
      </c>
      <c r="BX93" s="38">
        <f t="shared" si="118"/>
        <v>0</v>
      </c>
      <c r="BY93" s="38">
        <f t="shared" si="118"/>
        <v>0</v>
      </c>
      <c r="BZ93" s="38">
        <f t="shared" si="118"/>
        <v>0</v>
      </c>
      <c r="CA93" s="38">
        <f t="shared" si="118"/>
        <v>0</v>
      </c>
      <c r="CB93" s="38">
        <f t="shared" si="118"/>
        <v>0</v>
      </c>
      <c r="CC93" s="38">
        <f t="shared" si="118"/>
        <v>0</v>
      </c>
      <c r="CD93" s="38">
        <f t="shared" si="118"/>
        <v>0</v>
      </c>
      <c r="CE93" s="38">
        <f t="shared" si="118"/>
        <v>0</v>
      </c>
      <c r="CF93" s="38">
        <f t="shared" si="118"/>
        <v>0</v>
      </c>
      <c r="CG93" s="38">
        <f t="shared" si="118"/>
        <v>0</v>
      </c>
      <c r="CH93" s="38">
        <f t="shared" si="118"/>
        <v>0</v>
      </c>
      <c r="CI93" s="38">
        <f t="shared" si="118"/>
        <v>0</v>
      </c>
      <c r="CJ93" s="38">
        <f t="shared" si="118"/>
        <v>0</v>
      </c>
      <c r="CK93" s="38">
        <f t="shared" si="118"/>
        <v>0</v>
      </c>
      <c r="CL93" s="38">
        <f t="shared" si="118"/>
        <v>0</v>
      </c>
      <c r="CM93" s="38">
        <f t="shared" si="118"/>
        <v>0</v>
      </c>
      <c r="CN93" s="38">
        <f t="shared" si="118"/>
        <v>0</v>
      </c>
      <c r="CO93" s="38">
        <f t="shared" si="118"/>
        <v>0</v>
      </c>
      <c r="CP93" s="38">
        <f t="shared" si="118"/>
        <v>0</v>
      </c>
      <c r="CQ93" s="38">
        <f t="shared" si="118"/>
        <v>0</v>
      </c>
      <c r="CR93" s="38">
        <f t="shared" si="118"/>
        <v>0</v>
      </c>
      <c r="CS93" s="38">
        <f t="shared" si="118"/>
        <v>0</v>
      </c>
      <c r="CT93" s="38">
        <f t="shared" si="118"/>
        <v>0</v>
      </c>
      <c r="CU93" s="38">
        <f t="shared" si="118"/>
        <v>0</v>
      </c>
      <c r="CV93" s="38">
        <f t="shared" si="118"/>
        <v>0</v>
      </c>
      <c r="CW93" s="38">
        <f t="shared" ref="CW93:EB93" si="119" xml:space="preserve"> CW$87</f>
        <v>0</v>
      </c>
      <c r="CX93" s="38">
        <f t="shared" si="119"/>
        <v>0</v>
      </c>
      <c r="CY93" s="38">
        <f t="shared" si="119"/>
        <v>0</v>
      </c>
      <c r="CZ93" s="38">
        <f t="shared" si="119"/>
        <v>0</v>
      </c>
      <c r="DA93" s="38">
        <f t="shared" si="119"/>
        <v>0</v>
      </c>
      <c r="DB93" s="38">
        <f t="shared" si="119"/>
        <v>0</v>
      </c>
      <c r="DC93" s="38">
        <f t="shared" si="119"/>
        <v>0</v>
      </c>
      <c r="DD93" s="38">
        <f t="shared" si="119"/>
        <v>0</v>
      </c>
      <c r="DE93" s="38">
        <f t="shared" si="119"/>
        <v>0</v>
      </c>
      <c r="DF93" s="38">
        <f t="shared" si="119"/>
        <v>0</v>
      </c>
      <c r="DG93" s="38">
        <f t="shared" si="119"/>
        <v>0</v>
      </c>
      <c r="DH93" s="38">
        <f t="shared" si="119"/>
        <v>0</v>
      </c>
      <c r="DI93" s="38">
        <f t="shared" si="119"/>
        <v>0</v>
      </c>
      <c r="DJ93" s="38">
        <f t="shared" si="119"/>
        <v>0</v>
      </c>
      <c r="DK93" s="38">
        <f t="shared" si="119"/>
        <v>0</v>
      </c>
      <c r="DL93" s="38">
        <f t="shared" si="119"/>
        <v>0</v>
      </c>
      <c r="DM93" s="38">
        <f t="shared" si="119"/>
        <v>0</v>
      </c>
      <c r="DN93" s="38">
        <f t="shared" si="119"/>
        <v>0</v>
      </c>
      <c r="DO93" s="38">
        <f t="shared" si="119"/>
        <v>0</v>
      </c>
      <c r="DP93" s="38">
        <f t="shared" si="119"/>
        <v>0</v>
      </c>
      <c r="DQ93" s="38">
        <f t="shared" si="119"/>
        <v>0</v>
      </c>
      <c r="DR93" s="38">
        <f t="shared" si="119"/>
        <v>0</v>
      </c>
      <c r="DS93" s="38">
        <f t="shared" si="119"/>
        <v>0</v>
      </c>
      <c r="DT93" s="38">
        <f t="shared" si="119"/>
        <v>0</v>
      </c>
      <c r="DU93" s="38">
        <f t="shared" si="119"/>
        <v>0</v>
      </c>
      <c r="DV93" s="38">
        <f t="shared" si="119"/>
        <v>0</v>
      </c>
      <c r="DW93" s="38">
        <f t="shared" si="119"/>
        <v>0</v>
      </c>
      <c r="DX93" s="38">
        <f t="shared" si="119"/>
        <v>0</v>
      </c>
      <c r="DY93" s="38">
        <f t="shared" si="119"/>
        <v>0</v>
      </c>
      <c r="DZ93" s="38">
        <f t="shared" si="119"/>
        <v>0</v>
      </c>
      <c r="EA93" s="38">
        <f t="shared" si="119"/>
        <v>0</v>
      </c>
      <c r="EB93" s="38">
        <f t="shared" si="119"/>
        <v>0</v>
      </c>
      <c r="EC93" s="38">
        <f t="shared" ref="EC93:FH93" si="120" xml:space="preserve"> EC$87</f>
        <v>0</v>
      </c>
      <c r="ED93" s="38">
        <f t="shared" si="120"/>
        <v>0</v>
      </c>
      <c r="EE93" s="38">
        <f t="shared" si="120"/>
        <v>0</v>
      </c>
      <c r="EF93" s="38">
        <f t="shared" si="120"/>
        <v>0</v>
      </c>
      <c r="EG93" s="38">
        <f t="shared" si="120"/>
        <v>0</v>
      </c>
      <c r="EH93" s="38">
        <f t="shared" si="120"/>
        <v>0</v>
      </c>
      <c r="EI93" s="38">
        <f t="shared" si="120"/>
        <v>0</v>
      </c>
      <c r="EJ93" s="38">
        <f t="shared" si="120"/>
        <v>0</v>
      </c>
      <c r="EK93" s="38">
        <f t="shared" si="120"/>
        <v>0</v>
      </c>
      <c r="EL93" s="38">
        <f t="shared" si="120"/>
        <v>0</v>
      </c>
      <c r="EM93" s="38">
        <f t="shared" si="120"/>
        <v>0</v>
      </c>
      <c r="EN93" s="38">
        <f t="shared" si="120"/>
        <v>0</v>
      </c>
      <c r="EO93" s="38">
        <f t="shared" si="120"/>
        <v>0</v>
      </c>
      <c r="EP93" s="38">
        <f t="shared" si="120"/>
        <v>0</v>
      </c>
      <c r="EQ93" s="38">
        <f t="shared" si="120"/>
        <v>0</v>
      </c>
      <c r="ER93" s="38">
        <f t="shared" si="120"/>
        <v>0</v>
      </c>
      <c r="ES93" s="38">
        <f t="shared" si="120"/>
        <v>0</v>
      </c>
      <c r="ET93" s="38">
        <f t="shared" si="120"/>
        <v>0</v>
      </c>
      <c r="EU93" s="38">
        <f t="shared" si="120"/>
        <v>0</v>
      </c>
      <c r="EV93" s="38">
        <f t="shared" si="120"/>
        <v>0</v>
      </c>
      <c r="EW93" s="38">
        <f t="shared" si="120"/>
        <v>0</v>
      </c>
      <c r="EX93" s="38">
        <f t="shared" si="120"/>
        <v>0</v>
      </c>
      <c r="EY93" s="38">
        <f t="shared" si="120"/>
        <v>0</v>
      </c>
      <c r="EZ93" s="38">
        <f t="shared" si="120"/>
        <v>0</v>
      </c>
      <c r="FA93" s="38">
        <f t="shared" si="120"/>
        <v>0</v>
      </c>
      <c r="FB93" s="38">
        <f t="shared" si="120"/>
        <v>0</v>
      </c>
      <c r="FC93" s="38">
        <f t="shared" si="120"/>
        <v>0</v>
      </c>
      <c r="FD93" s="38">
        <f t="shared" si="120"/>
        <v>0</v>
      </c>
      <c r="FE93" s="38">
        <f t="shared" si="120"/>
        <v>0</v>
      </c>
      <c r="FF93" s="38">
        <f t="shared" si="120"/>
        <v>0</v>
      </c>
      <c r="FG93" s="38">
        <f t="shared" si="120"/>
        <v>0</v>
      </c>
      <c r="FH93" s="38">
        <f t="shared" si="120"/>
        <v>0</v>
      </c>
      <c r="FI93" s="38">
        <f t="shared" ref="FI93:GJ93" si="121" xml:space="preserve"> FI$87</f>
        <v>0</v>
      </c>
      <c r="FJ93" s="38">
        <f t="shared" si="121"/>
        <v>0</v>
      </c>
      <c r="FK93" s="38">
        <f t="shared" si="121"/>
        <v>0</v>
      </c>
      <c r="FL93" s="38">
        <f t="shared" si="121"/>
        <v>0</v>
      </c>
      <c r="FM93" s="38">
        <f t="shared" si="121"/>
        <v>0</v>
      </c>
      <c r="FN93" s="38">
        <f t="shared" si="121"/>
        <v>0</v>
      </c>
      <c r="FO93" s="38">
        <f t="shared" si="121"/>
        <v>0</v>
      </c>
      <c r="FP93" s="38">
        <f t="shared" si="121"/>
        <v>0</v>
      </c>
      <c r="FQ93" s="38">
        <f t="shared" si="121"/>
        <v>0</v>
      </c>
      <c r="FR93" s="38">
        <f t="shared" si="121"/>
        <v>0</v>
      </c>
      <c r="FS93" s="38">
        <f t="shared" si="121"/>
        <v>0</v>
      </c>
      <c r="FT93" s="38">
        <f t="shared" si="121"/>
        <v>0</v>
      </c>
      <c r="FU93" s="38">
        <f t="shared" si="121"/>
        <v>0</v>
      </c>
      <c r="FV93" s="38">
        <f t="shared" si="121"/>
        <v>0</v>
      </c>
      <c r="FW93" s="38">
        <f t="shared" si="121"/>
        <v>0</v>
      </c>
      <c r="FX93" s="38">
        <f t="shared" si="121"/>
        <v>0</v>
      </c>
      <c r="FY93" s="38">
        <f t="shared" si="121"/>
        <v>0</v>
      </c>
      <c r="FZ93" s="38">
        <f t="shared" si="121"/>
        <v>0</v>
      </c>
      <c r="GA93" s="38">
        <f t="shared" si="121"/>
        <v>0</v>
      </c>
      <c r="GB93" s="38">
        <f t="shared" si="121"/>
        <v>0</v>
      </c>
      <c r="GC93" s="38">
        <f t="shared" si="121"/>
        <v>0</v>
      </c>
      <c r="GD93" s="38">
        <f t="shared" si="121"/>
        <v>0</v>
      </c>
      <c r="GE93" s="38">
        <f t="shared" si="121"/>
        <v>0</v>
      </c>
      <c r="GF93" s="38">
        <f t="shared" si="121"/>
        <v>0</v>
      </c>
      <c r="GG93" s="38">
        <f t="shared" si="121"/>
        <v>0</v>
      </c>
      <c r="GH93" s="38">
        <f t="shared" si="121"/>
        <v>0</v>
      </c>
      <c r="GI93" s="38">
        <f t="shared" si="121"/>
        <v>0</v>
      </c>
      <c r="GJ93" s="38">
        <f t="shared" si="121"/>
        <v>0</v>
      </c>
    </row>
    <row r="94" spans="1:192" s="1141" customFormat="1" outlineLevel="2" x14ac:dyDescent="0.2">
      <c r="A94" s="391"/>
      <c r="B94" s="391"/>
      <c r="C94" s="392"/>
      <c r="D94" s="393"/>
      <c r="E94" s="394" t="s">
        <v>1313</v>
      </c>
      <c r="F94" s="394"/>
      <c r="G94" s="394" t="str">
        <f xml:space="preserve"> SMU</f>
        <v>$ 000s</v>
      </c>
      <c r="H94" s="394"/>
      <c r="I94" s="395"/>
      <c r="J94" s="394">
        <f t="shared" ref="J94:AO94" si="122" xml:space="preserve"> J92 + J93</f>
        <v>0</v>
      </c>
      <c r="K94" s="394">
        <f t="shared" si="122"/>
        <v>0</v>
      </c>
      <c r="L94" s="394">
        <f t="shared" si="122"/>
        <v>0</v>
      </c>
      <c r="M94" s="394">
        <f t="shared" si="122"/>
        <v>0</v>
      </c>
      <c r="N94" s="394">
        <f t="shared" si="122"/>
        <v>0</v>
      </c>
      <c r="O94" s="394">
        <f t="shared" si="122"/>
        <v>4774.4453219935003</v>
      </c>
      <c r="P94" s="394">
        <f t="shared" si="122"/>
        <v>8909.4349285029202</v>
      </c>
      <c r="Q94" s="394">
        <f t="shared" si="122"/>
        <v>12468.914391076669</v>
      </c>
      <c r="R94" s="394">
        <f t="shared" si="122"/>
        <v>15510.434724108314</v>
      </c>
      <c r="S94" s="394">
        <f t="shared" si="122"/>
        <v>18085.791840552065</v>
      </c>
      <c r="T94" s="394">
        <f t="shared" si="122"/>
        <v>20241.602062066711</v>
      </c>
      <c r="U94" s="394">
        <f t="shared" si="122"/>
        <v>22019.820078145163</v>
      </c>
      <c r="V94" s="394">
        <f t="shared" si="122"/>
        <v>23458.205109331044</v>
      </c>
      <c r="W94" s="394">
        <f t="shared" si="122"/>
        <v>24590.740454113606</v>
      </c>
      <c r="X94" s="394">
        <f t="shared" si="122"/>
        <v>25448.011081133183</v>
      </c>
      <c r="Y94" s="394">
        <f t="shared" si="122"/>
        <v>26057.543462166072</v>
      </c>
      <c r="Z94" s="394">
        <f t="shared" si="122"/>
        <v>26444.111421810943</v>
      </c>
      <c r="AA94" s="394">
        <f t="shared" si="122"/>
        <v>26630.011402206597</v>
      </c>
      <c r="AB94" s="394">
        <f t="shared" si="122"/>
        <v>26635.310201277956</v>
      </c>
      <c r="AC94" s="394">
        <f t="shared" si="122"/>
        <v>26478.067937157452</v>
      </c>
      <c r="AD94" s="394">
        <f t="shared" si="122"/>
        <v>26174.538716164268</v>
      </c>
      <c r="AE94" s="394">
        <f t="shared" si="122"/>
        <v>25739.351233985675</v>
      </c>
      <c r="AF94" s="394">
        <f t="shared" si="122"/>
        <v>25185.671316740212</v>
      </c>
      <c r="AG94" s="394">
        <f t="shared" si="122"/>
        <v>24525.348207934567</v>
      </c>
      <c r="AH94" s="394">
        <f t="shared" si="122"/>
        <v>23769.046226724757</v>
      </c>
      <c r="AI94" s="394">
        <f t="shared" si="122"/>
        <v>22926.363260351198</v>
      </c>
      <c r="AJ94" s="394">
        <f t="shared" si="122"/>
        <v>22005.937407330264</v>
      </c>
      <c r="AK94" s="394">
        <f t="shared" si="122"/>
        <v>21015.542956326695</v>
      </c>
      <c r="AL94" s="394">
        <f t="shared" si="122"/>
        <v>19962.176767138753</v>
      </c>
      <c r="AM94" s="394">
        <f t="shared" si="122"/>
        <v>18852.136013584877</v>
      </c>
      <c r="AN94" s="394">
        <f t="shared" si="122"/>
        <v>17691.08815210166</v>
      </c>
      <c r="AO94" s="394">
        <f t="shared" si="122"/>
        <v>16484.133893482034</v>
      </c>
      <c r="AP94" s="394">
        <f t="shared" ref="AP94:BU94" si="123" xml:space="preserve"> AP92 + AP93</f>
        <v>15235.863877439642</v>
      </c>
      <c r="AQ94" s="394">
        <f t="shared" si="123"/>
        <v>13950.40967971676</v>
      </c>
      <c r="AR94" s="394">
        <f t="shared" si="123"/>
        <v>12631.489718481438</v>
      </c>
      <c r="AS94" s="394">
        <f t="shared" si="123"/>
        <v>11282.450570084919</v>
      </c>
      <c r="AT94" s="394">
        <f t="shared" si="123"/>
        <v>9906.3041532433217</v>
      </c>
      <c r="AU94" s="394">
        <f t="shared" si="123"/>
        <v>8505.7611948011545</v>
      </c>
      <c r="AV94" s="394">
        <f t="shared" si="123"/>
        <v>7083.2613489184751</v>
      </c>
      <c r="AW94" s="394">
        <f t="shared" si="123"/>
        <v>5784.150598586627</v>
      </c>
      <c r="AX94" s="394">
        <f t="shared" si="123"/>
        <v>4467.2547694279638</v>
      </c>
      <c r="AY94" s="394">
        <f t="shared" si="123"/>
        <v>3134.3523693251673</v>
      </c>
      <c r="AZ94" s="394">
        <f t="shared" si="123"/>
        <v>1787.0440553726503</v>
      </c>
      <c r="BA94" s="394">
        <f t="shared" si="123"/>
        <v>426.77041895538514</v>
      </c>
      <c r="BB94" s="394">
        <f t="shared" si="123"/>
        <v>-5.6843418860808015E-12</v>
      </c>
      <c r="BC94" s="394">
        <f t="shared" si="123"/>
        <v>-5.6843418860808015E-12</v>
      </c>
      <c r="BD94" s="394">
        <f t="shared" si="123"/>
        <v>-5.6843418860808015E-12</v>
      </c>
      <c r="BE94" s="394">
        <f t="shared" si="123"/>
        <v>-5.6843418860808015E-12</v>
      </c>
      <c r="BF94" s="394">
        <f t="shared" si="123"/>
        <v>-5.6843418860808015E-12</v>
      </c>
      <c r="BG94" s="394">
        <f t="shared" si="123"/>
        <v>-5.6843418860808015E-12</v>
      </c>
      <c r="BH94" s="394">
        <f t="shared" si="123"/>
        <v>-5.6843418860808015E-12</v>
      </c>
      <c r="BI94" s="394">
        <f t="shared" si="123"/>
        <v>-5.6843418860808015E-12</v>
      </c>
      <c r="BJ94" s="394">
        <f t="shared" si="123"/>
        <v>-5.6843418860808015E-12</v>
      </c>
      <c r="BK94" s="394">
        <f t="shared" si="123"/>
        <v>-5.6843418860808015E-12</v>
      </c>
      <c r="BL94" s="394">
        <f t="shared" si="123"/>
        <v>-5.6843418860808015E-12</v>
      </c>
      <c r="BM94" s="394">
        <f t="shared" si="123"/>
        <v>-5.6843418860808015E-12</v>
      </c>
      <c r="BN94" s="394">
        <f t="shared" si="123"/>
        <v>-5.6843418860808015E-12</v>
      </c>
      <c r="BO94" s="394">
        <f t="shared" si="123"/>
        <v>-5.6843418860808015E-12</v>
      </c>
      <c r="BP94" s="394">
        <f t="shared" si="123"/>
        <v>-5.6843418860808015E-12</v>
      </c>
      <c r="BQ94" s="394">
        <f t="shared" si="123"/>
        <v>-5.6843418860808015E-12</v>
      </c>
      <c r="BR94" s="394">
        <f t="shared" si="123"/>
        <v>-5.6843418860808015E-12</v>
      </c>
      <c r="BS94" s="394">
        <f t="shared" si="123"/>
        <v>-5.6843418860808015E-12</v>
      </c>
      <c r="BT94" s="394">
        <f t="shared" si="123"/>
        <v>-5.6843418860808015E-12</v>
      </c>
      <c r="BU94" s="394">
        <f t="shared" si="123"/>
        <v>-5.6843418860808015E-12</v>
      </c>
      <c r="BV94" s="394">
        <f t="shared" ref="BV94:DA94" si="124" xml:space="preserve"> BV92 + BV93</f>
        <v>-5.6843418860808015E-12</v>
      </c>
      <c r="BW94" s="394">
        <f t="shared" si="124"/>
        <v>-5.6843418860808015E-12</v>
      </c>
      <c r="BX94" s="394">
        <f t="shared" si="124"/>
        <v>-5.6843418860808015E-12</v>
      </c>
      <c r="BY94" s="394">
        <f t="shared" si="124"/>
        <v>-5.6843418860808015E-12</v>
      </c>
      <c r="BZ94" s="394">
        <f t="shared" si="124"/>
        <v>-5.6843418860808015E-12</v>
      </c>
      <c r="CA94" s="394">
        <f t="shared" si="124"/>
        <v>-5.6843418860808015E-12</v>
      </c>
      <c r="CB94" s="394">
        <f t="shared" si="124"/>
        <v>-5.6843418860808015E-12</v>
      </c>
      <c r="CC94" s="394">
        <f t="shared" si="124"/>
        <v>-5.6843418860808015E-12</v>
      </c>
      <c r="CD94" s="394">
        <f t="shared" si="124"/>
        <v>-5.6843418860808015E-12</v>
      </c>
      <c r="CE94" s="394">
        <f t="shared" si="124"/>
        <v>-5.6843418860808015E-12</v>
      </c>
      <c r="CF94" s="394">
        <f t="shared" si="124"/>
        <v>-5.6843418860808015E-12</v>
      </c>
      <c r="CG94" s="394">
        <f t="shared" si="124"/>
        <v>-5.6843418860808015E-12</v>
      </c>
      <c r="CH94" s="394">
        <f t="shared" si="124"/>
        <v>-5.6843418860808015E-12</v>
      </c>
      <c r="CI94" s="394">
        <f t="shared" si="124"/>
        <v>-5.6843418860808015E-12</v>
      </c>
      <c r="CJ94" s="394">
        <f t="shared" si="124"/>
        <v>-5.6843418860808015E-12</v>
      </c>
      <c r="CK94" s="394">
        <f t="shared" si="124"/>
        <v>-5.6843418860808015E-12</v>
      </c>
      <c r="CL94" s="394">
        <f t="shared" si="124"/>
        <v>-5.6843418860808015E-12</v>
      </c>
      <c r="CM94" s="394">
        <f t="shared" si="124"/>
        <v>-5.6843418860808015E-12</v>
      </c>
      <c r="CN94" s="394">
        <f t="shared" si="124"/>
        <v>-5.6843418860808015E-12</v>
      </c>
      <c r="CO94" s="394">
        <f t="shared" si="124"/>
        <v>-5.6843418860808015E-12</v>
      </c>
      <c r="CP94" s="394">
        <f t="shared" si="124"/>
        <v>-5.6843418860808015E-12</v>
      </c>
      <c r="CQ94" s="394">
        <f t="shared" si="124"/>
        <v>-5.6843418860808015E-12</v>
      </c>
      <c r="CR94" s="394">
        <f t="shared" si="124"/>
        <v>-5.6843418860808015E-12</v>
      </c>
      <c r="CS94" s="394">
        <f t="shared" si="124"/>
        <v>-5.6843418860808015E-12</v>
      </c>
      <c r="CT94" s="394">
        <f t="shared" si="124"/>
        <v>-5.6843418860808015E-12</v>
      </c>
      <c r="CU94" s="394">
        <f t="shared" si="124"/>
        <v>-5.6843418860808015E-12</v>
      </c>
      <c r="CV94" s="394">
        <f t="shared" si="124"/>
        <v>-5.6843418860808015E-12</v>
      </c>
      <c r="CW94" s="394">
        <f t="shared" si="124"/>
        <v>-5.6843418860808015E-12</v>
      </c>
      <c r="CX94" s="394">
        <f t="shared" si="124"/>
        <v>-5.6843418860808015E-12</v>
      </c>
      <c r="CY94" s="394">
        <f t="shared" si="124"/>
        <v>-5.6843418860808015E-12</v>
      </c>
      <c r="CZ94" s="394">
        <f t="shared" si="124"/>
        <v>-5.6843418860808015E-12</v>
      </c>
      <c r="DA94" s="394">
        <f t="shared" si="124"/>
        <v>-5.6843418860808015E-12</v>
      </c>
      <c r="DB94" s="394">
        <f t="shared" ref="DB94:EG94" si="125" xml:space="preserve"> DB92 + DB93</f>
        <v>-5.6843418860808015E-12</v>
      </c>
      <c r="DC94" s="394">
        <f t="shared" si="125"/>
        <v>-5.6843418860808015E-12</v>
      </c>
      <c r="DD94" s="394">
        <f t="shared" si="125"/>
        <v>-5.6843418860808015E-12</v>
      </c>
      <c r="DE94" s="394">
        <f t="shared" si="125"/>
        <v>-5.6843418860808015E-12</v>
      </c>
      <c r="DF94" s="394">
        <f t="shared" si="125"/>
        <v>-5.6843418860808015E-12</v>
      </c>
      <c r="DG94" s="394">
        <f t="shared" si="125"/>
        <v>-5.6843418860808015E-12</v>
      </c>
      <c r="DH94" s="394">
        <f t="shared" si="125"/>
        <v>-5.6843418860808015E-12</v>
      </c>
      <c r="DI94" s="394">
        <f t="shared" si="125"/>
        <v>-5.6843418860808015E-12</v>
      </c>
      <c r="DJ94" s="394">
        <f t="shared" si="125"/>
        <v>-5.6843418860808015E-12</v>
      </c>
      <c r="DK94" s="394">
        <f t="shared" si="125"/>
        <v>-5.6843418860808015E-12</v>
      </c>
      <c r="DL94" s="394">
        <f t="shared" si="125"/>
        <v>-5.6843418860808015E-12</v>
      </c>
      <c r="DM94" s="394">
        <f t="shared" si="125"/>
        <v>-5.6843418860808015E-12</v>
      </c>
      <c r="DN94" s="394">
        <f t="shared" si="125"/>
        <v>-5.6843418860808015E-12</v>
      </c>
      <c r="DO94" s="394">
        <f t="shared" si="125"/>
        <v>-5.6843418860808015E-12</v>
      </c>
      <c r="DP94" s="394">
        <f t="shared" si="125"/>
        <v>-5.6843418860808015E-12</v>
      </c>
      <c r="DQ94" s="394">
        <f t="shared" si="125"/>
        <v>-5.6843418860808015E-12</v>
      </c>
      <c r="DR94" s="394">
        <f t="shared" si="125"/>
        <v>-5.6843418860808015E-12</v>
      </c>
      <c r="DS94" s="394">
        <f t="shared" si="125"/>
        <v>-5.6843418860808015E-12</v>
      </c>
      <c r="DT94" s="394">
        <f t="shared" si="125"/>
        <v>-5.6843418860808015E-12</v>
      </c>
      <c r="DU94" s="394">
        <f t="shared" si="125"/>
        <v>-5.6843418860808015E-12</v>
      </c>
      <c r="DV94" s="394">
        <f t="shared" si="125"/>
        <v>-5.6843418860808015E-12</v>
      </c>
      <c r="DW94" s="394">
        <f t="shared" si="125"/>
        <v>-5.6843418860808015E-12</v>
      </c>
      <c r="DX94" s="394">
        <f t="shared" si="125"/>
        <v>-5.6843418860808015E-12</v>
      </c>
      <c r="DY94" s="394">
        <f t="shared" si="125"/>
        <v>-5.6843418860808015E-12</v>
      </c>
      <c r="DZ94" s="394">
        <f t="shared" si="125"/>
        <v>-5.6843418860808015E-12</v>
      </c>
      <c r="EA94" s="394">
        <f t="shared" si="125"/>
        <v>-5.6843418860808015E-12</v>
      </c>
      <c r="EB94" s="394">
        <f t="shared" si="125"/>
        <v>-5.6843418860808015E-12</v>
      </c>
      <c r="EC94" s="394">
        <f t="shared" si="125"/>
        <v>-5.6843418860808015E-12</v>
      </c>
      <c r="ED94" s="394">
        <f t="shared" si="125"/>
        <v>-5.6843418860808015E-12</v>
      </c>
      <c r="EE94" s="394">
        <f t="shared" si="125"/>
        <v>-5.6843418860808015E-12</v>
      </c>
      <c r="EF94" s="394">
        <f t="shared" si="125"/>
        <v>-5.6843418860808015E-12</v>
      </c>
      <c r="EG94" s="394">
        <f t="shared" si="125"/>
        <v>-5.6843418860808015E-12</v>
      </c>
      <c r="EH94" s="394">
        <f t="shared" ref="EH94:FM94" si="126" xml:space="preserve"> EH92 + EH93</f>
        <v>-5.6843418860808015E-12</v>
      </c>
      <c r="EI94" s="394">
        <f t="shared" si="126"/>
        <v>-5.6843418860808015E-12</v>
      </c>
      <c r="EJ94" s="394">
        <f t="shared" si="126"/>
        <v>-5.6843418860808015E-12</v>
      </c>
      <c r="EK94" s="394">
        <f t="shared" si="126"/>
        <v>-5.6843418860808015E-12</v>
      </c>
      <c r="EL94" s="394">
        <f t="shared" si="126"/>
        <v>-5.6843418860808015E-12</v>
      </c>
      <c r="EM94" s="394">
        <f t="shared" si="126"/>
        <v>-5.6843418860808015E-12</v>
      </c>
      <c r="EN94" s="394">
        <f t="shared" si="126"/>
        <v>-5.6843418860808015E-12</v>
      </c>
      <c r="EO94" s="394">
        <f t="shared" si="126"/>
        <v>-5.6843418860808015E-12</v>
      </c>
      <c r="EP94" s="394">
        <f t="shared" si="126"/>
        <v>-5.6843418860808015E-12</v>
      </c>
      <c r="EQ94" s="394">
        <f t="shared" si="126"/>
        <v>-5.6843418860808015E-12</v>
      </c>
      <c r="ER94" s="394">
        <f t="shared" si="126"/>
        <v>-5.6843418860808015E-12</v>
      </c>
      <c r="ES94" s="394">
        <f t="shared" si="126"/>
        <v>-5.6843418860808015E-12</v>
      </c>
      <c r="ET94" s="394">
        <f t="shared" si="126"/>
        <v>-5.6843418860808015E-12</v>
      </c>
      <c r="EU94" s="394">
        <f t="shared" si="126"/>
        <v>-5.6843418860808015E-12</v>
      </c>
      <c r="EV94" s="394">
        <f t="shared" si="126"/>
        <v>-5.6843418860808015E-12</v>
      </c>
      <c r="EW94" s="394">
        <f t="shared" si="126"/>
        <v>-5.6843418860808015E-12</v>
      </c>
      <c r="EX94" s="394">
        <f t="shared" si="126"/>
        <v>-5.6843418860808015E-12</v>
      </c>
      <c r="EY94" s="394">
        <f t="shared" si="126"/>
        <v>-5.6843418860808015E-12</v>
      </c>
      <c r="EZ94" s="394">
        <f t="shared" si="126"/>
        <v>-5.6843418860808015E-12</v>
      </c>
      <c r="FA94" s="394">
        <f t="shared" si="126"/>
        <v>-5.6843418860808015E-12</v>
      </c>
      <c r="FB94" s="394">
        <f t="shared" si="126"/>
        <v>-5.6843418860808015E-12</v>
      </c>
      <c r="FC94" s="394">
        <f t="shared" si="126"/>
        <v>-5.6843418860808015E-12</v>
      </c>
      <c r="FD94" s="394">
        <f t="shared" si="126"/>
        <v>-5.6843418860808015E-12</v>
      </c>
      <c r="FE94" s="394">
        <f t="shared" si="126"/>
        <v>-5.6843418860808015E-12</v>
      </c>
      <c r="FF94" s="394">
        <f t="shared" si="126"/>
        <v>-5.6843418860808015E-12</v>
      </c>
      <c r="FG94" s="394">
        <f t="shared" si="126"/>
        <v>-5.6843418860808015E-12</v>
      </c>
      <c r="FH94" s="394">
        <f t="shared" si="126"/>
        <v>-5.6843418860808015E-12</v>
      </c>
      <c r="FI94" s="394">
        <f t="shared" si="126"/>
        <v>-5.6843418860808015E-12</v>
      </c>
      <c r="FJ94" s="394">
        <f t="shared" si="126"/>
        <v>-5.6843418860808015E-12</v>
      </c>
      <c r="FK94" s="394">
        <f t="shared" si="126"/>
        <v>-5.6843418860808015E-12</v>
      </c>
      <c r="FL94" s="394">
        <f t="shared" si="126"/>
        <v>-5.6843418860808015E-12</v>
      </c>
      <c r="FM94" s="394">
        <f t="shared" si="126"/>
        <v>-5.6843418860808015E-12</v>
      </c>
      <c r="FN94" s="394">
        <f t="shared" ref="FN94:GJ94" si="127" xml:space="preserve"> FN92 + FN93</f>
        <v>-5.6843418860808015E-12</v>
      </c>
      <c r="FO94" s="394">
        <f t="shared" si="127"/>
        <v>-5.6843418860808015E-12</v>
      </c>
      <c r="FP94" s="394">
        <f t="shared" si="127"/>
        <v>-5.6843418860808015E-12</v>
      </c>
      <c r="FQ94" s="394">
        <f t="shared" si="127"/>
        <v>-5.6843418860808015E-12</v>
      </c>
      <c r="FR94" s="394">
        <f t="shared" si="127"/>
        <v>-5.6843418860808015E-12</v>
      </c>
      <c r="FS94" s="394">
        <f t="shared" si="127"/>
        <v>-5.6843418860808015E-12</v>
      </c>
      <c r="FT94" s="394">
        <f t="shared" si="127"/>
        <v>-5.6843418860808015E-12</v>
      </c>
      <c r="FU94" s="394">
        <f t="shared" si="127"/>
        <v>-5.6843418860808015E-12</v>
      </c>
      <c r="FV94" s="394">
        <f t="shared" si="127"/>
        <v>-5.6843418860808015E-12</v>
      </c>
      <c r="FW94" s="394">
        <f t="shared" si="127"/>
        <v>-5.6843418860808015E-12</v>
      </c>
      <c r="FX94" s="394">
        <f t="shared" si="127"/>
        <v>-5.6843418860808015E-12</v>
      </c>
      <c r="FY94" s="394">
        <f t="shared" si="127"/>
        <v>-5.6843418860808015E-12</v>
      </c>
      <c r="FZ94" s="394">
        <f t="shared" si="127"/>
        <v>-5.6843418860808015E-12</v>
      </c>
      <c r="GA94" s="394">
        <f t="shared" si="127"/>
        <v>-5.6843418860808015E-12</v>
      </c>
      <c r="GB94" s="394">
        <f t="shared" si="127"/>
        <v>-5.6843418860808015E-12</v>
      </c>
      <c r="GC94" s="394">
        <f t="shared" si="127"/>
        <v>-5.6843418860808015E-12</v>
      </c>
      <c r="GD94" s="394">
        <f t="shared" si="127"/>
        <v>-5.6843418860808015E-12</v>
      </c>
      <c r="GE94" s="394">
        <f t="shared" si="127"/>
        <v>-5.6843418860808015E-12</v>
      </c>
      <c r="GF94" s="394">
        <f t="shared" si="127"/>
        <v>-5.6843418860808015E-12</v>
      </c>
      <c r="GG94" s="394">
        <f t="shared" si="127"/>
        <v>-5.6843418860808015E-12</v>
      </c>
      <c r="GH94" s="394">
        <f t="shared" si="127"/>
        <v>-5.6843418860808015E-12</v>
      </c>
      <c r="GI94" s="394">
        <f t="shared" si="127"/>
        <v>-5.6843418860808015E-12</v>
      </c>
      <c r="GJ94" s="394">
        <f t="shared" si="127"/>
        <v>-5.6843418860808015E-12</v>
      </c>
    </row>
    <row r="95" spans="1:192" outlineLevel="2" x14ac:dyDescent="0.2"/>
    <row r="97" spans="1:192" x14ac:dyDescent="0.2">
      <c r="A97" s="15" t="s">
        <v>1316</v>
      </c>
    </row>
    <row r="98" spans="1:192" outlineLevel="1" x14ac:dyDescent="0.2">
      <c r="E98" s="186" t="str">
        <f xml:space="preserve"> Debt!E$237</f>
        <v>Senior debt interest - T1 POS</v>
      </c>
      <c r="F98" s="186">
        <f xml:space="preserve"> Debt!F$237</f>
        <v>0</v>
      </c>
      <c r="G98" s="186" t="str">
        <f xml:space="preserve"> Debt!G$237</f>
        <v>$ 000s</v>
      </c>
      <c r="H98" s="186">
        <f xml:space="preserve"> Debt!H$237</f>
        <v>58932.622085008683</v>
      </c>
      <c r="I98" s="186">
        <f xml:space="preserve"> Debt!I$237</f>
        <v>0</v>
      </c>
      <c r="J98" s="186">
        <f xml:space="preserve"> Debt!J$237</f>
        <v>0</v>
      </c>
      <c r="K98" s="186">
        <f xml:space="preserve"> Debt!K$237</f>
        <v>0</v>
      </c>
      <c r="L98" s="186">
        <f xml:space="preserve"> Debt!L$237</f>
        <v>0</v>
      </c>
      <c r="M98" s="186">
        <f xml:space="preserve"> Debt!M$237</f>
        <v>0</v>
      </c>
      <c r="N98" s="186">
        <f xml:space="preserve"> Debt!N$237</f>
        <v>0</v>
      </c>
      <c r="O98" s="186">
        <f xml:space="preserve"> Debt!O$237</f>
        <v>2687.5177475939608</v>
      </c>
      <c r="P98" s="186">
        <f xml:space="preserve"> Debt!P$237</f>
        <v>2582.7239566536373</v>
      </c>
      <c r="Q98" s="186">
        <f xml:space="preserve"> Debt!Q$237</f>
        <v>2574.328504175005</v>
      </c>
      <c r="R98" s="186">
        <f xml:space="preserve"> Debt!R$237</f>
        <v>2481.3813281599528</v>
      </c>
      <c r="S98" s="186">
        <f xml:space="preserve"> Debt!S$237</f>
        <v>2469.7293209345407</v>
      </c>
      <c r="T98" s="186">
        <f xml:space="preserve"> Debt!T$237</f>
        <v>2376.876065985799</v>
      </c>
      <c r="U98" s="186">
        <f xml:space="preserve"> Debt!U$237</f>
        <v>2361.8520922003349</v>
      </c>
      <c r="V98" s="186">
        <f xml:space="preserve"> Debt!V$237</f>
        <v>2281.6182261919198</v>
      </c>
      <c r="W98" s="186">
        <f xml:space="preserve"> Debt!W$237</f>
        <v>2250.6592852748454</v>
      </c>
      <c r="X98" s="186">
        <f xml:space="preserve"> Debt!X$237</f>
        <v>2158.0922847899237</v>
      </c>
      <c r="Y98" s="186">
        <f xml:space="preserve"> Debt!Y$237</f>
        <v>2237.6804315095601</v>
      </c>
      <c r="Z98" s="186">
        <f xml:space="preserve"> Debt!Z$237</f>
        <v>2142.3886900549105</v>
      </c>
      <c r="AA98" s="186">
        <f xml:space="preserve"> Debt!AA$237</f>
        <v>2117.0515797327043</v>
      </c>
      <c r="AB98" s="186">
        <f xml:space="preserve"> Debt!AB$237</f>
        <v>2021.7094910691326</v>
      </c>
      <c r="AC98" s="186">
        <f xml:space="preserve"> Debt!AC$237</f>
        <v>1992.3163229370118</v>
      </c>
      <c r="AD98" s="186">
        <f xml:space="preserve"> Debt!AD$237</f>
        <v>1907.3851466300987</v>
      </c>
      <c r="AE98" s="186">
        <f xml:space="preserve"> Debt!AE$237</f>
        <v>1863.349317892918</v>
      </c>
      <c r="AF98" s="186">
        <f xml:space="preserve"> Debt!AF$237</f>
        <v>1767.9820934948079</v>
      </c>
      <c r="AG98" s="186">
        <f xml:space="preserve"> Debt!AG$237</f>
        <v>1730.0089819557033</v>
      </c>
      <c r="AH98" s="186">
        <f xml:space="preserve"> Debt!AH$237</f>
        <v>1634.3997473361794</v>
      </c>
      <c r="AI98" s="186">
        <f xml:space="preserve"> Debt!AI$237</f>
        <v>1664.2398160286421</v>
      </c>
      <c r="AJ98" s="186">
        <f xml:space="preserve"> Debt!AJ$237</f>
        <v>1565.5385581725184</v>
      </c>
      <c r="AK98" s="186">
        <f xml:space="preserve"> Debt!AK$237</f>
        <v>1517.504166079535</v>
      </c>
      <c r="AL98" s="186">
        <f xml:space="preserve"> Debt!AL$237</f>
        <v>1426.3062182693025</v>
      </c>
      <c r="AM98" s="186">
        <f xml:space="preserve"> Debt!AM$237</f>
        <v>1365.2015310096476</v>
      </c>
      <c r="AN98" s="186">
        <f xml:space="preserve"> Debt!AN$237</f>
        <v>1265.9321561833478</v>
      </c>
      <c r="AO98" s="186">
        <f xml:space="preserve"> Debt!AO$237</f>
        <v>1207.2384434234541</v>
      </c>
      <c r="AP98" s="186">
        <f xml:space="preserve"> Debt!AP$237</f>
        <v>1107.4310609472375</v>
      </c>
      <c r="AQ98" s="186">
        <f xml:space="preserve"> Debt!AQ$237</f>
        <v>1043.0631804876928</v>
      </c>
      <c r="AR98" s="186">
        <f xml:space="preserve"> Debt!AR$237</f>
        <v>942.81174989072917</v>
      </c>
      <c r="AS98" s="186">
        <f xml:space="preserve"> Debt!AS$237</f>
        <v>872.52701382584769</v>
      </c>
      <c r="AT98" s="186">
        <f xml:space="preserve"> Debt!AT$237</f>
        <v>652.41628467561759</v>
      </c>
      <c r="AU98" s="186">
        <f xml:space="preserve"> Debt!AU$237</f>
        <v>443.63241738550107</v>
      </c>
      <c r="AV98" s="186">
        <f xml:space="preserve"> Debt!AV$237</f>
        <v>219.7301918317994</v>
      </c>
      <c r="AW98" s="186">
        <f xml:space="preserve"> Debt!AW$237</f>
        <v>-2.2123232123425019E-4</v>
      </c>
      <c r="AX98" s="186">
        <f xml:space="preserve"> Debt!AX$237</f>
        <v>-2.1762527251847438E-4</v>
      </c>
      <c r="AY98" s="186">
        <f xml:space="preserve"> Debt!AY$237</f>
        <v>-2.2123232123425019E-4</v>
      </c>
      <c r="AZ98" s="186">
        <f xml:space="preserve"> Debt!AZ$237</f>
        <v>-2.1762527251847438E-4</v>
      </c>
      <c r="BA98" s="186">
        <f xml:space="preserve"> Debt!BA$237</f>
        <v>-2.2123232123425019E-4</v>
      </c>
      <c r="BB98" s="186">
        <f xml:space="preserve"> Debt!BB$237</f>
        <v>-2.1882762209039967E-4</v>
      </c>
      <c r="BC98" s="186">
        <f xml:space="preserve"> Debt!BC$237</f>
        <v>0</v>
      </c>
      <c r="BD98" s="186">
        <f xml:space="preserve"> Debt!BD$237</f>
        <v>0</v>
      </c>
      <c r="BE98" s="186">
        <f xml:space="preserve"> Debt!BE$237</f>
        <v>0</v>
      </c>
      <c r="BF98" s="186">
        <f xml:space="preserve"> Debt!BF$237</f>
        <v>0</v>
      </c>
      <c r="BG98" s="186">
        <f xml:space="preserve"> Debt!BG$237</f>
        <v>0</v>
      </c>
      <c r="BH98" s="186">
        <f xml:space="preserve"> Debt!BH$237</f>
        <v>0</v>
      </c>
      <c r="BI98" s="186">
        <f xml:space="preserve"> Debt!BI$237</f>
        <v>0</v>
      </c>
      <c r="BJ98" s="186">
        <f xml:space="preserve"> Debt!BJ$237</f>
        <v>0</v>
      </c>
      <c r="BK98" s="186">
        <f xml:space="preserve"> Debt!BK$237</f>
        <v>0</v>
      </c>
      <c r="BL98" s="186">
        <f xml:space="preserve"> Debt!BL$237</f>
        <v>0</v>
      </c>
      <c r="BM98" s="186">
        <f xml:space="preserve"> Debt!BM$237</f>
        <v>0</v>
      </c>
      <c r="BN98" s="186">
        <f xml:space="preserve"> Debt!BN$237</f>
        <v>0</v>
      </c>
      <c r="BO98" s="186">
        <f xml:space="preserve"> Debt!BO$237</f>
        <v>0</v>
      </c>
      <c r="BP98" s="186">
        <f xml:space="preserve"> Debt!BP$237</f>
        <v>0</v>
      </c>
      <c r="BQ98" s="186">
        <f xml:space="preserve"> Debt!BQ$237</f>
        <v>0</v>
      </c>
      <c r="BR98" s="186">
        <f xml:space="preserve"> Debt!BR$237</f>
        <v>0</v>
      </c>
      <c r="BS98" s="186">
        <f xml:space="preserve"> Debt!BS$237</f>
        <v>0</v>
      </c>
      <c r="BT98" s="186">
        <f xml:space="preserve"> Debt!BT$237</f>
        <v>0</v>
      </c>
      <c r="BU98" s="186">
        <f xml:space="preserve"> Debt!BU$237</f>
        <v>0</v>
      </c>
      <c r="BV98" s="186">
        <f xml:space="preserve"> Debt!BV$237</f>
        <v>0</v>
      </c>
      <c r="BW98" s="186">
        <f xml:space="preserve"> Debt!BW$237</f>
        <v>0</v>
      </c>
      <c r="BX98" s="186">
        <f xml:space="preserve"> Debt!BX$237</f>
        <v>0</v>
      </c>
      <c r="BY98" s="186">
        <f xml:space="preserve"> Debt!BY$237</f>
        <v>0</v>
      </c>
      <c r="BZ98" s="186">
        <f xml:space="preserve"> Debt!BZ$237</f>
        <v>0</v>
      </c>
      <c r="CA98" s="186">
        <f xml:space="preserve"> Debt!CA$237</f>
        <v>0</v>
      </c>
      <c r="CB98" s="186">
        <f xml:space="preserve"> Debt!CB$237</f>
        <v>0</v>
      </c>
      <c r="CC98" s="186">
        <f xml:space="preserve"> Debt!CC$237</f>
        <v>0</v>
      </c>
      <c r="CD98" s="186">
        <f xml:space="preserve"> Debt!CD$237</f>
        <v>0</v>
      </c>
      <c r="CE98" s="186">
        <f xml:space="preserve"> Debt!CE$237</f>
        <v>0</v>
      </c>
      <c r="CF98" s="186">
        <f xml:space="preserve"> Debt!CF$237</f>
        <v>0</v>
      </c>
      <c r="CG98" s="186">
        <f xml:space="preserve"> Debt!CG$237</f>
        <v>0</v>
      </c>
      <c r="CH98" s="186">
        <f xml:space="preserve"> Debt!CH$237</f>
        <v>0</v>
      </c>
      <c r="CI98" s="186">
        <f xml:space="preserve"> Debt!CI$237</f>
        <v>0</v>
      </c>
      <c r="CJ98" s="186">
        <f xml:space="preserve"> Debt!CJ$237</f>
        <v>0</v>
      </c>
      <c r="CK98" s="186">
        <f xml:space="preserve"> Debt!CK$237</f>
        <v>0</v>
      </c>
      <c r="CL98" s="186">
        <f xml:space="preserve"> Debt!CL$237</f>
        <v>0</v>
      </c>
      <c r="CM98" s="186">
        <f xml:space="preserve"> Debt!CM$237</f>
        <v>0</v>
      </c>
      <c r="CN98" s="186">
        <f xml:space="preserve"> Debt!CN$237</f>
        <v>0</v>
      </c>
      <c r="CO98" s="186">
        <f xml:space="preserve"> Debt!CO$237</f>
        <v>0</v>
      </c>
      <c r="CP98" s="186">
        <f xml:space="preserve"> Debt!CP$237</f>
        <v>0</v>
      </c>
      <c r="CQ98" s="186">
        <f xml:space="preserve"> Debt!CQ$237</f>
        <v>0</v>
      </c>
      <c r="CR98" s="186">
        <f xml:space="preserve"> Debt!CR$237</f>
        <v>0</v>
      </c>
      <c r="CS98" s="186">
        <f xml:space="preserve"> Debt!CS$237</f>
        <v>0</v>
      </c>
      <c r="CT98" s="186">
        <f xml:space="preserve"> Debt!CT$237</f>
        <v>0</v>
      </c>
      <c r="CU98" s="186">
        <f xml:space="preserve"> Debt!CU$237</f>
        <v>0</v>
      </c>
      <c r="CV98" s="186">
        <f xml:space="preserve"> Debt!CV$237</f>
        <v>0</v>
      </c>
    </row>
    <row r="99" spans="1:192" outlineLevel="1" x14ac:dyDescent="0.2">
      <c r="E99" s="186" t="str">
        <f xml:space="preserve"> Debt!E$349</f>
        <v>Senior debt interest - T2 POS</v>
      </c>
      <c r="F99" s="186">
        <f xml:space="preserve"> Debt!F$349</f>
        <v>0</v>
      </c>
      <c r="G99" s="186" t="str">
        <f xml:space="preserve"> Debt!G$349</f>
        <v>$ 000s</v>
      </c>
      <c r="H99" s="186">
        <f xml:space="preserve"> Debt!H$349</f>
        <v>50719.400835431705</v>
      </c>
      <c r="I99" s="186">
        <f xml:space="preserve"> Debt!I$349</f>
        <v>0</v>
      </c>
      <c r="J99" s="186">
        <f xml:space="preserve"> Debt!J$349</f>
        <v>0</v>
      </c>
      <c r="K99" s="186">
        <f xml:space="preserve"> Debt!K$349</f>
        <v>0</v>
      </c>
      <c r="L99" s="186">
        <f xml:space="preserve"> Debt!L$349</f>
        <v>0</v>
      </c>
      <c r="M99" s="186">
        <f xml:space="preserve"> Debt!M$349</f>
        <v>0</v>
      </c>
      <c r="N99" s="186">
        <f xml:space="preserve"> Debt!N$349</f>
        <v>0</v>
      </c>
      <c r="O99" s="186">
        <f xml:space="preserve"> Debt!O$349</f>
        <v>3007.4603365932417</v>
      </c>
      <c r="P99" s="186">
        <f xml:space="preserve"> Debt!P$349</f>
        <v>2861.4426237247226</v>
      </c>
      <c r="Q99" s="186">
        <f xml:space="preserve"> Debt!Q$349</f>
        <v>2827.4302563544802</v>
      </c>
      <c r="R99" s="186">
        <f xml:space="preserve"> Debt!R$349</f>
        <v>2700.2548554507134</v>
      </c>
      <c r="S99" s="186">
        <f xml:space="preserve"> Debt!S$349</f>
        <v>2661.0628632799539</v>
      </c>
      <c r="T99" s="186">
        <f xml:space="preserve"> Debt!T$349</f>
        <v>2534.0368459800811</v>
      </c>
      <c r="U99" s="186">
        <f xml:space="preserve"> Debt!U$349</f>
        <v>2489.4816638803841</v>
      </c>
      <c r="V99" s="186">
        <f xml:space="preserve"> Debt!V$349</f>
        <v>2375.6406705547574</v>
      </c>
      <c r="W99" s="186">
        <f xml:space="preserve"> Debt!W$349</f>
        <v>2312.626961541976</v>
      </c>
      <c r="X99" s="186">
        <f xml:space="preserve"> Debt!X$349</f>
        <v>2186.0562385133053</v>
      </c>
      <c r="Y99" s="186">
        <f xml:space="preserve"> Debt!Y$349</f>
        <v>2220.854468947296</v>
      </c>
      <c r="Z99" s="186">
        <f xml:space="preserve"> Debt!Z$349</f>
        <v>2091.5619982100643</v>
      </c>
      <c r="AA99" s="186">
        <f xml:space="preserve"> Debt!AA$349</f>
        <v>2029.9192920142364</v>
      </c>
      <c r="AB99" s="186">
        <f xml:space="preserve"> Debt!AB$349</f>
        <v>1900.5471301160426</v>
      </c>
      <c r="AC99" s="186">
        <f xml:space="preserve"> Debt!AC$349</f>
        <v>1832.4843668262508</v>
      </c>
      <c r="AD99" s="186">
        <f xml:space="preserve"> Debt!AD$349</f>
        <v>1712.4114864363401</v>
      </c>
      <c r="AE99" s="186">
        <f xml:space="preserve"> Debt!AE$349</f>
        <v>1628.351296139547</v>
      </c>
      <c r="AF99" s="186">
        <f xml:space="preserve"> Debt!AF$349</f>
        <v>1498.9393486025879</v>
      </c>
      <c r="AG99" s="186">
        <f xml:space="preserve"> Debt!AG$349</f>
        <v>1417.2959784483739</v>
      </c>
      <c r="AH99" s="186">
        <f xml:space="preserve"> Debt!AH$349</f>
        <v>1287.5009694483854</v>
      </c>
      <c r="AI99" s="186">
        <f xml:space="preserve"> Debt!AI$349</f>
        <v>1272.051076082276</v>
      </c>
      <c r="AJ99" s="186">
        <f xml:space="preserve"> Debt!AJ$349</f>
        <v>1136.3240059796112</v>
      </c>
      <c r="AK99" s="186">
        <f xml:space="preserve"> Debt!AK$349</f>
        <v>1036.2897842601778</v>
      </c>
      <c r="AL99" s="186">
        <f xml:space="preserve"> Debt!AL$349</f>
        <v>904.99934106523745</v>
      </c>
      <c r="AM99" s="186">
        <f xml:space="preserve"> Debt!AM$349</f>
        <v>791.5839748373146</v>
      </c>
      <c r="AN99" s="186">
        <f xml:space="preserve"> Debt!AN$349</f>
        <v>654.9441068505555</v>
      </c>
      <c r="AO99" s="186">
        <f xml:space="preserve"> Debt!AO$349</f>
        <v>537.78347303393627</v>
      </c>
      <c r="AP99" s="186">
        <f xml:space="preserve"> Debt!AP$349</f>
        <v>400.27918403838652</v>
      </c>
      <c r="AQ99" s="186">
        <f xml:space="preserve"> Debt!AQ$349</f>
        <v>274.00182155120319</v>
      </c>
      <c r="AR99" s="186">
        <f xml:space="preserve"> Debt!AR$349</f>
        <v>135.78407704150388</v>
      </c>
      <c r="AS99" s="186">
        <f xml:space="preserve"> Debt!AS$349</f>
        <v>5.7368266412878361E-5</v>
      </c>
      <c r="AT99" s="186">
        <f xml:space="preserve"> Debt!AT$349</f>
        <v>5.6744698299694907E-5</v>
      </c>
      <c r="AU99" s="186">
        <f xml:space="preserve"> Debt!AU$349</f>
        <v>5.7368266412878361E-5</v>
      </c>
      <c r="AV99" s="186">
        <f xml:space="preserve"> Debt!AV$349</f>
        <v>5.6432914243103177E-5</v>
      </c>
      <c r="AW99" s="186">
        <f xml:space="preserve"> Debt!AW$349</f>
        <v>1.8755010173441004E-5</v>
      </c>
      <c r="AX99" s="186">
        <f xml:space="preserve"> Debt!AX$349</f>
        <v>1.8449221964091424E-5</v>
      </c>
      <c r="AY99" s="186">
        <f xml:space="preserve"> Debt!AY$349</f>
        <v>1.8755010173441004E-5</v>
      </c>
      <c r="AZ99" s="186">
        <f xml:space="preserve"> Debt!AZ$349</f>
        <v>1.8449221964091424E-5</v>
      </c>
      <c r="BA99" s="186">
        <f xml:space="preserve"> Debt!BA$349</f>
        <v>1.8755010173441004E-5</v>
      </c>
      <c r="BB99" s="186">
        <f xml:space="preserve"> Debt!BB$349</f>
        <v>1.8551151367207951E-5</v>
      </c>
      <c r="BC99" s="186">
        <f xml:space="preserve"> Debt!BC$349</f>
        <v>0</v>
      </c>
      <c r="BD99" s="186">
        <f xml:space="preserve"> Debt!BD$349</f>
        <v>0</v>
      </c>
      <c r="BE99" s="186">
        <f xml:space="preserve"> Debt!BE$349</f>
        <v>0</v>
      </c>
      <c r="BF99" s="186">
        <f xml:space="preserve"> Debt!BF$349</f>
        <v>0</v>
      </c>
      <c r="BG99" s="186">
        <f xml:space="preserve"> Debt!BG$349</f>
        <v>0</v>
      </c>
      <c r="BH99" s="186">
        <f xml:space="preserve"> Debt!BH$349</f>
        <v>0</v>
      </c>
      <c r="BI99" s="186">
        <f xml:space="preserve"> Debt!BI$349</f>
        <v>0</v>
      </c>
      <c r="BJ99" s="186">
        <f xml:space="preserve"> Debt!BJ$349</f>
        <v>0</v>
      </c>
      <c r="BK99" s="186">
        <f xml:space="preserve"> Debt!BK$349</f>
        <v>0</v>
      </c>
      <c r="BL99" s="186">
        <f xml:space="preserve"> Debt!BL$349</f>
        <v>0</v>
      </c>
      <c r="BM99" s="186">
        <f xml:space="preserve"> Debt!BM$349</f>
        <v>0</v>
      </c>
      <c r="BN99" s="186">
        <f xml:space="preserve"> Debt!BN$349</f>
        <v>0</v>
      </c>
      <c r="BO99" s="186">
        <f xml:space="preserve"> Debt!BO$349</f>
        <v>0</v>
      </c>
      <c r="BP99" s="186">
        <f xml:space="preserve"> Debt!BP$349</f>
        <v>0</v>
      </c>
      <c r="BQ99" s="186">
        <f xml:space="preserve"> Debt!BQ$349</f>
        <v>0</v>
      </c>
      <c r="BR99" s="186">
        <f xml:space="preserve"> Debt!BR$349</f>
        <v>0</v>
      </c>
      <c r="BS99" s="186">
        <f xml:space="preserve"> Debt!BS$349</f>
        <v>0</v>
      </c>
      <c r="BT99" s="186">
        <f xml:space="preserve"> Debt!BT$349</f>
        <v>0</v>
      </c>
      <c r="BU99" s="186">
        <f xml:space="preserve"> Debt!BU$349</f>
        <v>0</v>
      </c>
      <c r="BV99" s="186">
        <f xml:space="preserve"> Debt!BV$349</f>
        <v>0</v>
      </c>
      <c r="BW99" s="186">
        <f xml:space="preserve"> Debt!BW$349</f>
        <v>0</v>
      </c>
      <c r="BX99" s="186">
        <f xml:space="preserve"> Debt!BX$349</f>
        <v>0</v>
      </c>
      <c r="BY99" s="186">
        <f xml:space="preserve"> Debt!BY$349</f>
        <v>0</v>
      </c>
      <c r="BZ99" s="186">
        <f xml:space="preserve"> Debt!BZ$349</f>
        <v>0</v>
      </c>
      <c r="CA99" s="186">
        <f xml:space="preserve"> Debt!CA$349</f>
        <v>0</v>
      </c>
      <c r="CB99" s="186">
        <f xml:space="preserve"> Debt!CB$349</f>
        <v>0</v>
      </c>
      <c r="CC99" s="186">
        <f xml:space="preserve"> Debt!CC$349</f>
        <v>0</v>
      </c>
      <c r="CD99" s="186">
        <f xml:space="preserve"> Debt!CD$349</f>
        <v>0</v>
      </c>
      <c r="CE99" s="186">
        <f xml:space="preserve"> Debt!CE$349</f>
        <v>0</v>
      </c>
      <c r="CF99" s="186">
        <f xml:space="preserve"> Debt!CF$349</f>
        <v>0</v>
      </c>
      <c r="CG99" s="186">
        <f xml:space="preserve"> Debt!CG$349</f>
        <v>0</v>
      </c>
      <c r="CH99" s="186">
        <f xml:space="preserve"> Debt!CH$349</f>
        <v>0</v>
      </c>
      <c r="CI99" s="186">
        <f xml:space="preserve"> Debt!CI$349</f>
        <v>0</v>
      </c>
      <c r="CJ99" s="186">
        <f xml:space="preserve"> Debt!CJ$349</f>
        <v>0</v>
      </c>
      <c r="CK99" s="186">
        <f xml:space="preserve"> Debt!CK$349</f>
        <v>0</v>
      </c>
      <c r="CL99" s="186">
        <f xml:space="preserve"> Debt!CL$349</f>
        <v>0</v>
      </c>
      <c r="CM99" s="186">
        <f xml:space="preserve"> Debt!CM$349</f>
        <v>0</v>
      </c>
      <c r="CN99" s="186">
        <f xml:space="preserve"> Debt!CN$349</f>
        <v>0</v>
      </c>
      <c r="CO99" s="186">
        <f xml:space="preserve"> Debt!CO$349</f>
        <v>0</v>
      </c>
      <c r="CP99" s="186">
        <f xml:space="preserve"> Debt!CP$349</f>
        <v>0</v>
      </c>
      <c r="CQ99" s="186">
        <f xml:space="preserve"> Debt!CQ$349</f>
        <v>0</v>
      </c>
      <c r="CR99" s="186">
        <f xml:space="preserve"> Debt!CR$349</f>
        <v>0</v>
      </c>
      <c r="CS99" s="186">
        <f xml:space="preserve"> Debt!CS$349</f>
        <v>0</v>
      </c>
      <c r="CT99" s="186">
        <f xml:space="preserve"> Debt!CT$349</f>
        <v>0</v>
      </c>
      <c r="CU99" s="186">
        <f xml:space="preserve"> Debt!CU$349</f>
        <v>0</v>
      </c>
      <c r="CV99" s="186">
        <f xml:space="preserve"> Debt!CV$349</f>
        <v>0</v>
      </c>
    </row>
    <row r="100" spans="1:192" s="77" customFormat="1" outlineLevel="1" x14ac:dyDescent="0.2">
      <c r="A100" s="712"/>
      <c r="B100" s="712"/>
      <c r="C100" s="713"/>
      <c r="D100" s="714"/>
      <c r="E100" s="68" t="str">
        <f xml:space="preserve"> Debt!E$397</f>
        <v>Standby debt interest - T1 POS</v>
      </c>
      <c r="F100" s="68">
        <f xml:space="preserve"> Debt!F$397</f>
        <v>0</v>
      </c>
      <c r="G100" s="68" t="str">
        <f xml:space="preserve"> Debt!G$397</f>
        <v>$ 000s</v>
      </c>
      <c r="H100" s="68">
        <f xml:space="preserve"> Debt!H$397</f>
        <v>0</v>
      </c>
      <c r="I100" s="68">
        <f xml:space="preserve"> Debt!I$397</f>
        <v>0</v>
      </c>
      <c r="J100" s="68">
        <f xml:space="preserve"> Debt!J$397</f>
        <v>0</v>
      </c>
      <c r="K100" s="68">
        <f xml:space="preserve"> Debt!K$397</f>
        <v>0</v>
      </c>
      <c r="L100" s="68">
        <f xml:space="preserve"> Debt!L$397</f>
        <v>0</v>
      </c>
      <c r="M100" s="68">
        <f xml:space="preserve"> Debt!M$397</f>
        <v>0</v>
      </c>
      <c r="N100" s="68">
        <f xml:space="preserve"> Debt!N$397</f>
        <v>0</v>
      </c>
      <c r="O100" s="68">
        <f xml:space="preserve"> Debt!O$397</f>
        <v>0</v>
      </c>
      <c r="P100" s="68">
        <f xml:space="preserve"> Debt!P$397</f>
        <v>0</v>
      </c>
      <c r="Q100" s="68">
        <f xml:space="preserve"> Debt!Q$397</f>
        <v>0</v>
      </c>
      <c r="R100" s="68">
        <f xml:space="preserve"> Debt!R$397</f>
        <v>0</v>
      </c>
      <c r="S100" s="68">
        <f xml:space="preserve"> Debt!S$397</f>
        <v>0</v>
      </c>
      <c r="T100" s="68">
        <f xml:space="preserve"> Debt!T$397</f>
        <v>0</v>
      </c>
      <c r="U100" s="68">
        <f xml:space="preserve"> Debt!U$397</f>
        <v>0</v>
      </c>
      <c r="V100" s="68">
        <f xml:space="preserve"> Debt!V$397</f>
        <v>0</v>
      </c>
      <c r="W100" s="68">
        <f xml:space="preserve"> Debt!W$397</f>
        <v>0</v>
      </c>
      <c r="X100" s="68">
        <f xml:space="preserve"> Debt!X$397</f>
        <v>0</v>
      </c>
      <c r="Y100" s="68">
        <f xml:space="preserve"> Debt!Y$397</f>
        <v>0</v>
      </c>
      <c r="Z100" s="68">
        <f xml:space="preserve"> Debt!Z$397</f>
        <v>0</v>
      </c>
      <c r="AA100" s="68">
        <f xml:space="preserve"> Debt!AA$397</f>
        <v>0</v>
      </c>
      <c r="AB100" s="68">
        <f xml:space="preserve"> Debt!AB$397</f>
        <v>0</v>
      </c>
      <c r="AC100" s="68">
        <f xml:space="preserve"> Debt!AC$397</f>
        <v>0</v>
      </c>
      <c r="AD100" s="68">
        <f xml:space="preserve"> Debt!AD$397</f>
        <v>0</v>
      </c>
      <c r="AE100" s="68">
        <f xml:space="preserve"> Debt!AE$397</f>
        <v>0</v>
      </c>
      <c r="AF100" s="68">
        <f xml:space="preserve"> Debt!AF$397</f>
        <v>0</v>
      </c>
      <c r="AG100" s="68">
        <f xml:space="preserve"> Debt!AG$397</f>
        <v>0</v>
      </c>
      <c r="AH100" s="68">
        <f xml:space="preserve"> Debt!AH$397</f>
        <v>0</v>
      </c>
      <c r="AI100" s="68">
        <f xml:space="preserve"> Debt!AI$397</f>
        <v>0</v>
      </c>
      <c r="AJ100" s="68">
        <f xml:space="preserve"> Debt!AJ$397</f>
        <v>0</v>
      </c>
      <c r="AK100" s="68">
        <f xml:space="preserve"> Debt!AK$397</f>
        <v>0</v>
      </c>
      <c r="AL100" s="68">
        <f xml:space="preserve"> Debt!AL$397</f>
        <v>0</v>
      </c>
      <c r="AM100" s="68">
        <f xml:space="preserve"> Debt!AM$397</f>
        <v>0</v>
      </c>
      <c r="AN100" s="68">
        <f xml:space="preserve"> Debt!AN$397</f>
        <v>0</v>
      </c>
      <c r="AO100" s="68">
        <f xml:space="preserve"> Debt!AO$397</f>
        <v>0</v>
      </c>
      <c r="AP100" s="68">
        <f xml:space="preserve"> Debt!AP$397</f>
        <v>0</v>
      </c>
      <c r="AQ100" s="68">
        <f xml:space="preserve"> Debt!AQ$397</f>
        <v>0</v>
      </c>
      <c r="AR100" s="68">
        <f xml:space="preserve"> Debt!AR$397</f>
        <v>0</v>
      </c>
      <c r="AS100" s="68">
        <f xml:space="preserve"> Debt!AS$397</f>
        <v>0</v>
      </c>
      <c r="AT100" s="68">
        <f xml:space="preserve"> Debt!AT$397</f>
        <v>0</v>
      </c>
      <c r="AU100" s="68">
        <f xml:space="preserve"> Debt!AU$397</f>
        <v>0</v>
      </c>
      <c r="AV100" s="68">
        <f xml:space="preserve"> Debt!AV$397</f>
        <v>0</v>
      </c>
      <c r="AW100" s="68">
        <f xml:space="preserve"> Debt!AW$397</f>
        <v>0</v>
      </c>
      <c r="AX100" s="68">
        <f xml:space="preserve"> Debt!AX$397</f>
        <v>0</v>
      </c>
      <c r="AY100" s="68">
        <f xml:space="preserve"> Debt!AY$397</f>
        <v>0</v>
      </c>
      <c r="AZ100" s="68">
        <f xml:space="preserve"> Debt!AZ$397</f>
        <v>0</v>
      </c>
      <c r="BA100" s="68">
        <f xml:space="preserve"> Debt!BA$397</f>
        <v>0</v>
      </c>
      <c r="BB100" s="68">
        <f xml:space="preserve"> Debt!BB$397</f>
        <v>0</v>
      </c>
      <c r="BC100" s="68">
        <f xml:space="preserve"> Debt!BC$397</f>
        <v>0</v>
      </c>
      <c r="BD100" s="68">
        <f xml:space="preserve"> Debt!BD$397</f>
        <v>0</v>
      </c>
      <c r="BE100" s="68">
        <f xml:space="preserve"> Debt!BE$397</f>
        <v>0</v>
      </c>
      <c r="BF100" s="68">
        <f xml:space="preserve"> Debt!BF$397</f>
        <v>0</v>
      </c>
      <c r="BG100" s="68">
        <f xml:space="preserve"> Debt!BG$397</f>
        <v>0</v>
      </c>
      <c r="BH100" s="68">
        <f xml:space="preserve"> Debt!BH$397</f>
        <v>0</v>
      </c>
      <c r="BI100" s="68">
        <f xml:space="preserve"> Debt!BI$397</f>
        <v>0</v>
      </c>
      <c r="BJ100" s="68">
        <f xml:space="preserve"> Debt!BJ$397</f>
        <v>0</v>
      </c>
      <c r="BK100" s="68">
        <f xml:space="preserve"> Debt!BK$397</f>
        <v>0</v>
      </c>
      <c r="BL100" s="68">
        <f xml:space="preserve"> Debt!BL$397</f>
        <v>0</v>
      </c>
      <c r="BM100" s="68">
        <f xml:space="preserve"> Debt!BM$397</f>
        <v>0</v>
      </c>
      <c r="BN100" s="68">
        <f xml:space="preserve"> Debt!BN$397</f>
        <v>0</v>
      </c>
      <c r="BO100" s="68">
        <f xml:space="preserve"> Debt!BO$397</f>
        <v>0</v>
      </c>
      <c r="BP100" s="68">
        <f xml:space="preserve"> Debt!BP$397</f>
        <v>0</v>
      </c>
      <c r="BQ100" s="68">
        <f xml:space="preserve"> Debt!BQ$397</f>
        <v>0</v>
      </c>
      <c r="BR100" s="68">
        <f xml:space="preserve"> Debt!BR$397</f>
        <v>0</v>
      </c>
      <c r="BS100" s="68">
        <f xml:space="preserve"> Debt!BS$397</f>
        <v>0</v>
      </c>
      <c r="BT100" s="68">
        <f xml:space="preserve"> Debt!BT$397</f>
        <v>0</v>
      </c>
      <c r="BU100" s="68">
        <f xml:space="preserve"> Debt!BU$397</f>
        <v>0</v>
      </c>
      <c r="BV100" s="68">
        <f xml:space="preserve"> Debt!BV$397</f>
        <v>0</v>
      </c>
      <c r="BW100" s="68">
        <f xml:space="preserve"> Debt!BW$397</f>
        <v>0</v>
      </c>
      <c r="BX100" s="68">
        <f xml:space="preserve"> Debt!BX$397</f>
        <v>0</v>
      </c>
      <c r="BY100" s="68">
        <f xml:space="preserve"> Debt!BY$397</f>
        <v>0</v>
      </c>
      <c r="BZ100" s="68">
        <f xml:space="preserve"> Debt!BZ$397</f>
        <v>0</v>
      </c>
      <c r="CA100" s="68">
        <f xml:space="preserve"> Debt!CA$397</f>
        <v>0</v>
      </c>
      <c r="CB100" s="68">
        <f xml:space="preserve"> Debt!CB$397</f>
        <v>0</v>
      </c>
      <c r="CC100" s="68">
        <f xml:space="preserve"> Debt!CC$397</f>
        <v>0</v>
      </c>
      <c r="CD100" s="68">
        <f xml:space="preserve"> Debt!CD$397</f>
        <v>0</v>
      </c>
      <c r="CE100" s="68">
        <f xml:space="preserve"> Debt!CE$397</f>
        <v>0</v>
      </c>
      <c r="CF100" s="68">
        <f xml:space="preserve"> Debt!CF$397</f>
        <v>0</v>
      </c>
      <c r="CG100" s="68">
        <f xml:space="preserve"> Debt!CG$397</f>
        <v>0</v>
      </c>
      <c r="CH100" s="68">
        <f xml:space="preserve"> Debt!CH$397</f>
        <v>0</v>
      </c>
      <c r="CI100" s="68">
        <f xml:space="preserve"> Debt!CI$397</f>
        <v>0</v>
      </c>
      <c r="CJ100" s="68">
        <f xml:space="preserve"> Debt!CJ$397</f>
        <v>0</v>
      </c>
      <c r="CK100" s="68">
        <f xml:space="preserve"> Debt!CK$397</f>
        <v>0</v>
      </c>
      <c r="CL100" s="68">
        <f xml:space="preserve"> Debt!CL$397</f>
        <v>0</v>
      </c>
      <c r="CM100" s="68">
        <f xml:space="preserve"> Debt!CM$397</f>
        <v>0</v>
      </c>
      <c r="CN100" s="68">
        <f xml:space="preserve"> Debt!CN$397</f>
        <v>0</v>
      </c>
      <c r="CO100" s="68">
        <f xml:space="preserve"> Debt!CO$397</f>
        <v>0</v>
      </c>
      <c r="CP100" s="68">
        <f xml:space="preserve"> Debt!CP$397</f>
        <v>0</v>
      </c>
      <c r="CQ100" s="68">
        <f xml:space="preserve"> Debt!CQ$397</f>
        <v>0</v>
      </c>
      <c r="CR100" s="68">
        <f xml:space="preserve"> Debt!CR$397</f>
        <v>0</v>
      </c>
      <c r="CS100" s="68">
        <f xml:space="preserve"> Debt!CS$397</f>
        <v>0</v>
      </c>
      <c r="CT100" s="68">
        <f xml:space="preserve"> Debt!CT$397</f>
        <v>0</v>
      </c>
      <c r="CU100" s="68">
        <f xml:space="preserve"> Debt!CU$397</f>
        <v>0</v>
      </c>
      <c r="CV100" s="68">
        <f xml:space="preserve"> Debt!CV$397</f>
        <v>0</v>
      </c>
    </row>
    <row r="101" spans="1:192" s="77" customFormat="1" outlineLevel="1" x14ac:dyDescent="0.2">
      <c r="A101" s="712"/>
      <c r="B101" s="712"/>
      <c r="C101" s="713"/>
      <c r="D101" s="714"/>
      <c r="E101" s="68" t="str">
        <f xml:space="preserve"> Debt!E$429</f>
        <v>Standby debt interest - T2 POS</v>
      </c>
      <c r="F101" s="68">
        <f xml:space="preserve"> Debt!F$429</f>
        <v>0</v>
      </c>
      <c r="G101" s="68" t="str">
        <f xml:space="preserve"> Debt!G$429</f>
        <v>$ 000s</v>
      </c>
      <c r="H101" s="68">
        <f xml:space="preserve"> Debt!H$429</f>
        <v>0</v>
      </c>
      <c r="I101" s="68">
        <f xml:space="preserve"> Debt!I$429</f>
        <v>0</v>
      </c>
      <c r="J101" s="68">
        <f xml:space="preserve"> Debt!J$429</f>
        <v>0</v>
      </c>
      <c r="K101" s="68">
        <f xml:space="preserve"> Debt!K$429</f>
        <v>0</v>
      </c>
      <c r="L101" s="68">
        <f xml:space="preserve"> Debt!L$429</f>
        <v>0</v>
      </c>
      <c r="M101" s="68">
        <f xml:space="preserve"> Debt!M$429</f>
        <v>0</v>
      </c>
      <c r="N101" s="68">
        <f xml:space="preserve"> Debt!N$429</f>
        <v>0</v>
      </c>
      <c r="O101" s="68">
        <f xml:space="preserve"> Debt!O$429</f>
        <v>0</v>
      </c>
      <c r="P101" s="68">
        <f xml:space="preserve"> Debt!P$429</f>
        <v>0</v>
      </c>
      <c r="Q101" s="68">
        <f xml:space="preserve"> Debt!Q$429</f>
        <v>0</v>
      </c>
      <c r="R101" s="68">
        <f xml:space="preserve"> Debt!R$429</f>
        <v>0</v>
      </c>
      <c r="S101" s="68">
        <f xml:space="preserve"> Debt!S$429</f>
        <v>0</v>
      </c>
      <c r="T101" s="68">
        <f xml:space="preserve"> Debt!T$429</f>
        <v>0</v>
      </c>
      <c r="U101" s="68">
        <f xml:space="preserve"> Debt!U$429</f>
        <v>0</v>
      </c>
      <c r="V101" s="68">
        <f xml:space="preserve"> Debt!V$429</f>
        <v>0</v>
      </c>
      <c r="W101" s="68">
        <f xml:space="preserve"> Debt!W$429</f>
        <v>0</v>
      </c>
      <c r="X101" s="68">
        <f xml:space="preserve"> Debt!X$429</f>
        <v>0</v>
      </c>
      <c r="Y101" s="68">
        <f xml:space="preserve"> Debt!Y$429</f>
        <v>0</v>
      </c>
      <c r="Z101" s="68">
        <f xml:space="preserve"> Debt!Z$429</f>
        <v>0</v>
      </c>
      <c r="AA101" s="68">
        <f xml:space="preserve"> Debt!AA$429</f>
        <v>0</v>
      </c>
      <c r="AB101" s="68">
        <f xml:space="preserve"> Debt!AB$429</f>
        <v>0</v>
      </c>
      <c r="AC101" s="68">
        <f xml:space="preserve"> Debt!AC$429</f>
        <v>0</v>
      </c>
      <c r="AD101" s="68">
        <f xml:space="preserve"> Debt!AD$429</f>
        <v>0</v>
      </c>
      <c r="AE101" s="68">
        <f xml:space="preserve"> Debt!AE$429</f>
        <v>0</v>
      </c>
      <c r="AF101" s="68">
        <f xml:space="preserve"> Debt!AF$429</f>
        <v>0</v>
      </c>
      <c r="AG101" s="68">
        <f xml:space="preserve"> Debt!AG$429</f>
        <v>0</v>
      </c>
      <c r="AH101" s="68">
        <f xml:space="preserve"> Debt!AH$429</f>
        <v>0</v>
      </c>
      <c r="AI101" s="68">
        <f xml:space="preserve"> Debt!AI$429</f>
        <v>0</v>
      </c>
      <c r="AJ101" s="68">
        <f xml:space="preserve"> Debt!AJ$429</f>
        <v>0</v>
      </c>
      <c r="AK101" s="68">
        <f xml:space="preserve"> Debt!AK$429</f>
        <v>0</v>
      </c>
      <c r="AL101" s="68">
        <f xml:space="preserve"> Debt!AL$429</f>
        <v>0</v>
      </c>
      <c r="AM101" s="68">
        <f xml:space="preserve"> Debt!AM$429</f>
        <v>0</v>
      </c>
      <c r="AN101" s="68">
        <f xml:space="preserve"> Debt!AN$429</f>
        <v>0</v>
      </c>
      <c r="AO101" s="68">
        <f xml:space="preserve"> Debt!AO$429</f>
        <v>0</v>
      </c>
      <c r="AP101" s="68">
        <f xml:space="preserve"> Debt!AP$429</f>
        <v>0</v>
      </c>
      <c r="AQ101" s="68">
        <f xml:space="preserve"> Debt!AQ$429</f>
        <v>0</v>
      </c>
      <c r="AR101" s="68">
        <f xml:space="preserve"> Debt!AR$429</f>
        <v>0</v>
      </c>
      <c r="AS101" s="68">
        <f xml:space="preserve"> Debt!AS$429</f>
        <v>0</v>
      </c>
      <c r="AT101" s="68">
        <f xml:space="preserve"> Debt!AT$429</f>
        <v>0</v>
      </c>
      <c r="AU101" s="68">
        <f xml:space="preserve"> Debt!AU$429</f>
        <v>0</v>
      </c>
      <c r="AV101" s="68">
        <f xml:space="preserve"> Debt!AV$429</f>
        <v>0</v>
      </c>
      <c r="AW101" s="68">
        <f xml:space="preserve"> Debt!AW$429</f>
        <v>0</v>
      </c>
      <c r="AX101" s="68">
        <f xml:space="preserve"> Debt!AX$429</f>
        <v>0</v>
      </c>
      <c r="AY101" s="68">
        <f xml:space="preserve"> Debt!AY$429</f>
        <v>0</v>
      </c>
      <c r="AZ101" s="68">
        <f xml:space="preserve"> Debt!AZ$429</f>
        <v>0</v>
      </c>
      <c r="BA101" s="68">
        <f xml:space="preserve"> Debt!BA$429</f>
        <v>0</v>
      </c>
      <c r="BB101" s="68">
        <f xml:space="preserve"> Debt!BB$429</f>
        <v>0</v>
      </c>
      <c r="BC101" s="68">
        <f xml:space="preserve"> Debt!BC$429</f>
        <v>0</v>
      </c>
      <c r="BD101" s="68">
        <f xml:space="preserve"> Debt!BD$429</f>
        <v>0</v>
      </c>
      <c r="BE101" s="68">
        <f xml:space="preserve"> Debt!BE$429</f>
        <v>0</v>
      </c>
      <c r="BF101" s="68">
        <f xml:space="preserve"> Debt!BF$429</f>
        <v>0</v>
      </c>
      <c r="BG101" s="68">
        <f xml:space="preserve"> Debt!BG$429</f>
        <v>0</v>
      </c>
      <c r="BH101" s="68">
        <f xml:space="preserve"> Debt!BH$429</f>
        <v>0</v>
      </c>
      <c r="BI101" s="68">
        <f xml:space="preserve"> Debt!BI$429</f>
        <v>0</v>
      </c>
      <c r="BJ101" s="68">
        <f xml:space="preserve"> Debt!BJ$429</f>
        <v>0</v>
      </c>
      <c r="BK101" s="68">
        <f xml:space="preserve"> Debt!BK$429</f>
        <v>0</v>
      </c>
      <c r="BL101" s="68">
        <f xml:space="preserve"> Debt!BL$429</f>
        <v>0</v>
      </c>
      <c r="BM101" s="68">
        <f xml:space="preserve"> Debt!BM$429</f>
        <v>0</v>
      </c>
      <c r="BN101" s="68">
        <f xml:space="preserve"> Debt!BN$429</f>
        <v>0</v>
      </c>
      <c r="BO101" s="68">
        <f xml:space="preserve"> Debt!BO$429</f>
        <v>0</v>
      </c>
      <c r="BP101" s="68">
        <f xml:space="preserve"> Debt!BP$429</f>
        <v>0</v>
      </c>
      <c r="BQ101" s="68">
        <f xml:space="preserve"> Debt!BQ$429</f>
        <v>0</v>
      </c>
      <c r="BR101" s="68">
        <f xml:space="preserve"> Debt!BR$429</f>
        <v>0</v>
      </c>
      <c r="BS101" s="68">
        <f xml:space="preserve"> Debt!BS$429</f>
        <v>0</v>
      </c>
      <c r="BT101" s="68">
        <f xml:space="preserve"> Debt!BT$429</f>
        <v>0</v>
      </c>
      <c r="BU101" s="68">
        <f xml:space="preserve"> Debt!BU$429</f>
        <v>0</v>
      </c>
      <c r="BV101" s="68">
        <f xml:space="preserve"> Debt!BV$429</f>
        <v>0</v>
      </c>
      <c r="BW101" s="68">
        <f xml:space="preserve"> Debt!BW$429</f>
        <v>0</v>
      </c>
      <c r="BX101" s="68">
        <f xml:space="preserve"> Debt!BX$429</f>
        <v>0</v>
      </c>
      <c r="BY101" s="68">
        <f xml:space="preserve"> Debt!BY$429</f>
        <v>0</v>
      </c>
      <c r="BZ101" s="68">
        <f xml:space="preserve"> Debt!BZ$429</f>
        <v>0</v>
      </c>
      <c r="CA101" s="68">
        <f xml:space="preserve"> Debt!CA$429</f>
        <v>0</v>
      </c>
      <c r="CB101" s="68">
        <f xml:space="preserve"> Debt!CB$429</f>
        <v>0</v>
      </c>
      <c r="CC101" s="68">
        <f xml:space="preserve"> Debt!CC$429</f>
        <v>0</v>
      </c>
      <c r="CD101" s="68">
        <f xml:space="preserve"> Debt!CD$429</f>
        <v>0</v>
      </c>
      <c r="CE101" s="68">
        <f xml:space="preserve"> Debt!CE$429</f>
        <v>0</v>
      </c>
      <c r="CF101" s="68">
        <f xml:space="preserve"> Debt!CF$429</f>
        <v>0</v>
      </c>
      <c r="CG101" s="68">
        <f xml:space="preserve"> Debt!CG$429</f>
        <v>0</v>
      </c>
      <c r="CH101" s="68">
        <f xml:space="preserve"> Debt!CH$429</f>
        <v>0</v>
      </c>
      <c r="CI101" s="68">
        <f xml:space="preserve"> Debt!CI$429</f>
        <v>0</v>
      </c>
      <c r="CJ101" s="68">
        <f xml:space="preserve"> Debt!CJ$429</f>
        <v>0</v>
      </c>
      <c r="CK101" s="68">
        <f xml:space="preserve"> Debt!CK$429</f>
        <v>0</v>
      </c>
      <c r="CL101" s="68">
        <f xml:space="preserve"> Debt!CL$429</f>
        <v>0</v>
      </c>
      <c r="CM101" s="68">
        <f xml:space="preserve"> Debt!CM$429</f>
        <v>0</v>
      </c>
      <c r="CN101" s="68">
        <f xml:space="preserve"> Debt!CN$429</f>
        <v>0</v>
      </c>
      <c r="CO101" s="68">
        <f xml:space="preserve"> Debt!CO$429</f>
        <v>0</v>
      </c>
      <c r="CP101" s="68">
        <f xml:space="preserve"> Debt!CP$429</f>
        <v>0</v>
      </c>
      <c r="CQ101" s="68">
        <f xml:space="preserve"> Debt!CQ$429</f>
        <v>0</v>
      </c>
      <c r="CR101" s="68">
        <f xml:space="preserve"> Debt!CR$429</f>
        <v>0</v>
      </c>
      <c r="CS101" s="68">
        <f xml:space="preserve"> Debt!CS$429</f>
        <v>0</v>
      </c>
      <c r="CT101" s="68">
        <f xml:space="preserve"> Debt!CT$429</f>
        <v>0</v>
      </c>
      <c r="CU101" s="68">
        <f xml:space="preserve"> Debt!CU$429</f>
        <v>0</v>
      </c>
      <c r="CV101" s="68">
        <f xml:space="preserve"> Debt!CV$429</f>
        <v>0</v>
      </c>
    </row>
    <row r="102" spans="1:192" s="732" customFormat="1" outlineLevel="1" x14ac:dyDescent="0.2">
      <c r="A102" s="522"/>
      <c r="B102" s="522"/>
      <c r="C102" s="523"/>
      <c r="D102" s="524"/>
      <c r="E102" s="760" t="str">
        <f xml:space="preserve"> Debt!E$714</f>
        <v>Equity bridge interest POS</v>
      </c>
      <c r="F102" s="760">
        <f xml:space="preserve"> Debt!F$714</f>
        <v>0</v>
      </c>
      <c r="G102" s="760" t="str">
        <f xml:space="preserve"> Debt!G$714</f>
        <v>$ 000s</v>
      </c>
      <c r="H102" s="760">
        <f xml:space="preserve"> Debt!H$714</f>
        <v>0</v>
      </c>
      <c r="I102" s="760">
        <f xml:space="preserve"> Debt!I$714</f>
        <v>0</v>
      </c>
      <c r="J102" s="760">
        <f xml:space="preserve"> Debt!J$714</f>
        <v>0</v>
      </c>
      <c r="K102" s="760">
        <f xml:space="preserve"> Debt!K$714</f>
        <v>0</v>
      </c>
      <c r="L102" s="760">
        <f xml:space="preserve"> Debt!L$714</f>
        <v>0</v>
      </c>
      <c r="M102" s="760">
        <f xml:space="preserve"> Debt!M$714</f>
        <v>0</v>
      </c>
      <c r="N102" s="760">
        <f xml:space="preserve"> Debt!N$714</f>
        <v>0</v>
      </c>
      <c r="O102" s="760">
        <f xml:space="preserve"> Debt!O$714</f>
        <v>0</v>
      </c>
      <c r="P102" s="760">
        <f xml:space="preserve"> Debt!P$714</f>
        <v>0</v>
      </c>
      <c r="Q102" s="760">
        <f xml:space="preserve"> Debt!Q$714</f>
        <v>0</v>
      </c>
      <c r="R102" s="760">
        <f xml:space="preserve"> Debt!R$714</f>
        <v>0</v>
      </c>
      <c r="S102" s="760">
        <f xml:space="preserve"> Debt!S$714</f>
        <v>0</v>
      </c>
      <c r="T102" s="760">
        <f xml:space="preserve"> Debt!T$714</f>
        <v>0</v>
      </c>
      <c r="U102" s="760">
        <f xml:space="preserve"> Debt!U$714</f>
        <v>0</v>
      </c>
      <c r="V102" s="760">
        <f xml:space="preserve"> Debt!V$714</f>
        <v>0</v>
      </c>
      <c r="W102" s="760">
        <f xml:space="preserve"> Debt!W$714</f>
        <v>0</v>
      </c>
      <c r="X102" s="760">
        <f xml:space="preserve"> Debt!X$714</f>
        <v>0</v>
      </c>
      <c r="Y102" s="760">
        <f xml:space="preserve"> Debt!Y$714</f>
        <v>0</v>
      </c>
      <c r="Z102" s="760">
        <f xml:space="preserve"> Debt!Z$714</f>
        <v>0</v>
      </c>
      <c r="AA102" s="760">
        <f xml:space="preserve"> Debt!AA$714</f>
        <v>0</v>
      </c>
      <c r="AB102" s="760">
        <f xml:space="preserve"> Debt!AB$714</f>
        <v>0</v>
      </c>
      <c r="AC102" s="760">
        <f xml:space="preserve"> Debt!AC$714</f>
        <v>0</v>
      </c>
      <c r="AD102" s="760">
        <f xml:space="preserve"> Debt!AD$714</f>
        <v>0</v>
      </c>
      <c r="AE102" s="760">
        <f xml:space="preserve"> Debt!AE$714</f>
        <v>0</v>
      </c>
      <c r="AF102" s="760">
        <f xml:space="preserve"> Debt!AF$714</f>
        <v>0</v>
      </c>
      <c r="AG102" s="760">
        <f xml:space="preserve"> Debt!AG$714</f>
        <v>0</v>
      </c>
      <c r="AH102" s="760">
        <f xml:space="preserve"> Debt!AH$714</f>
        <v>0</v>
      </c>
      <c r="AI102" s="760">
        <f xml:space="preserve"> Debt!AI$714</f>
        <v>0</v>
      </c>
      <c r="AJ102" s="760">
        <f xml:space="preserve"> Debt!AJ$714</f>
        <v>0</v>
      </c>
      <c r="AK102" s="760">
        <f xml:space="preserve"> Debt!AK$714</f>
        <v>0</v>
      </c>
      <c r="AL102" s="760">
        <f xml:space="preserve"> Debt!AL$714</f>
        <v>0</v>
      </c>
      <c r="AM102" s="760">
        <f xml:space="preserve"> Debt!AM$714</f>
        <v>0</v>
      </c>
      <c r="AN102" s="760">
        <f xml:space="preserve"> Debt!AN$714</f>
        <v>0</v>
      </c>
      <c r="AO102" s="760">
        <f xml:space="preserve"> Debt!AO$714</f>
        <v>0</v>
      </c>
      <c r="AP102" s="760">
        <f xml:space="preserve"> Debt!AP$714</f>
        <v>0</v>
      </c>
      <c r="AQ102" s="760">
        <f xml:space="preserve"> Debt!AQ$714</f>
        <v>0</v>
      </c>
      <c r="AR102" s="760">
        <f xml:space="preserve"> Debt!AR$714</f>
        <v>0</v>
      </c>
      <c r="AS102" s="760">
        <f xml:space="preserve"> Debt!AS$714</f>
        <v>0</v>
      </c>
      <c r="AT102" s="760">
        <f xml:space="preserve"> Debt!AT$714</f>
        <v>0</v>
      </c>
      <c r="AU102" s="760">
        <f xml:space="preserve"> Debt!AU$714</f>
        <v>0</v>
      </c>
      <c r="AV102" s="760">
        <f xml:space="preserve"> Debt!AV$714</f>
        <v>0</v>
      </c>
      <c r="AW102" s="760">
        <f xml:space="preserve"> Debt!AW$714</f>
        <v>0</v>
      </c>
      <c r="AX102" s="760">
        <f xml:space="preserve"> Debt!AX$714</f>
        <v>0</v>
      </c>
      <c r="AY102" s="760">
        <f xml:space="preserve"> Debt!AY$714</f>
        <v>0</v>
      </c>
      <c r="AZ102" s="760">
        <f xml:space="preserve"> Debt!AZ$714</f>
        <v>0</v>
      </c>
      <c r="BA102" s="760">
        <f xml:space="preserve"> Debt!BA$714</f>
        <v>0</v>
      </c>
      <c r="BB102" s="760">
        <f xml:space="preserve"> Debt!BB$714</f>
        <v>0</v>
      </c>
      <c r="BC102" s="760">
        <f xml:space="preserve"> Debt!BC$714</f>
        <v>0</v>
      </c>
      <c r="BD102" s="760">
        <f xml:space="preserve"> Debt!BD$714</f>
        <v>0</v>
      </c>
      <c r="BE102" s="760">
        <f xml:space="preserve"> Debt!BE$714</f>
        <v>0</v>
      </c>
      <c r="BF102" s="760">
        <f xml:space="preserve"> Debt!BF$714</f>
        <v>0</v>
      </c>
      <c r="BG102" s="760">
        <f xml:space="preserve"> Debt!BG$714</f>
        <v>0</v>
      </c>
      <c r="BH102" s="760">
        <f xml:space="preserve"> Debt!BH$714</f>
        <v>0</v>
      </c>
      <c r="BI102" s="760">
        <f xml:space="preserve"> Debt!BI$714</f>
        <v>0</v>
      </c>
      <c r="BJ102" s="760">
        <f xml:space="preserve"> Debt!BJ$714</f>
        <v>0</v>
      </c>
      <c r="BK102" s="760">
        <f xml:space="preserve"> Debt!BK$714</f>
        <v>0</v>
      </c>
      <c r="BL102" s="760">
        <f xml:space="preserve"> Debt!BL$714</f>
        <v>0</v>
      </c>
      <c r="BM102" s="760">
        <f xml:space="preserve"> Debt!BM$714</f>
        <v>0</v>
      </c>
      <c r="BN102" s="760">
        <f xml:space="preserve"> Debt!BN$714</f>
        <v>0</v>
      </c>
      <c r="BO102" s="760">
        <f xml:space="preserve"> Debt!BO$714</f>
        <v>0</v>
      </c>
      <c r="BP102" s="760">
        <f xml:space="preserve"> Debt!BP$714</f>
        <v>0</v>
      </c>
      <c r="BQ102" s="760">
        <f xml:space="preserve"> Debt!BQ$714</f>
        <v>0</v>
      </c>
      <c r="BR102" s="760">
        <f xml:space="preserve"> Debt!BR$714</f>
        <v>0</v>
      </c>
      <c r="BS102" s="760">
        <f xml:space="preserve"> Debt!BS$714</f>
        <v>0</v>
      </c>
      <c r="BT102" s="760">
        <f xml:space="preserve"> Debt!BT$714</f>
        <v>0</v>
      </c>
      <c r="BU102" s="760">
        <f xml:space="preserve"> Debt!BU$714</f>
        <v>0</v>
      </c>
      <c r="BV102" s="760">
        <f xml:space="preserve"> Debt!BV$714</f>
        <v>0</v>
      </c>
      <c r="BW102" s="760">
        <f xml:space="preserve"> Debt!BW$714</f>
        <v>0</v>
      </c>
      <c r="BX102" s="760">
        <f xml:space="preserve"> Debt!BX$714</f>
        <v>0</v>
      </c>
      <c r="BY102" s="760">
        <f xml:space="preserve"> Debt!BY$714</f>
        <v>0</v>
      </c>
      <c r="BZ102" s="760">
        <f xml:space="preserve"> Debt!BZ$714</f>
        <v>0</v>
      </c>
      <c r="CA102" s="760">
        <f xml:space="preserve"> Debt!CA$714</f>
        <v>0</v>
      </c>
      <c r="CB102" s="760">
        <f xml:space="preserve"> Debt!CB$714</f>
        <v>0</v>
      </c>
      <c r="CC102" s="760">
        <f xml:space="preserve"> Debt!CC$714</f>
        <v>0</v>
      </c>
      <c r="CD102" s="760">
        <f xml:space="preserve"> Debt!CD$714</f>
        <v>0</v>
      </c>
      <c r="CE102" s="760">
        <f xml:space="preserve"> Debt!CE$714</f>
        <v>0</v>
      </c>
      <c r="CF102" s="760">
        <f xml:space="preserve"> Debt!CF$714</f>
        <v>0</v>
      </c>
      <c r="CG102" s="760">
        <f xml:space="preserve"> Debt!CG$714</f>
        <v>0</v>
      </c>
      <c r="CH102" s="760">
        <f xml:space="preserve"> Debt!CH$714</f>
        <v>0</v>
      </c>
      <c r="CI102" s="760">
        <f xml:space="preserve"> Debt!CI$714</f>
        <v>0</v>
      </c>
      <c r="CJ102" s="760">
        <f xml:space="preserve"> Debt!CJ$714</f>
        <v>0</v>
      </c>
      <c r="CK102" s="760">
        <f xml:space="preserve"> Debt!CK$714</f>
        <v>0</v>
      </c>
      <c r="CL102" s="760">
        <f xml:space="preserve"> Debt!CL$714</f>
        <v>0</v>
      </c>
      <c r="CM102" s="760">
        <f xml:space="preserve"> Debt!CM$714</f>
        <v>0</v>
      </c>
      <c r="CN102" s="760">
        <f xml:space="preserve"> Debt!CN$714</f>
        <v>0</v>
      </c>
      <c r="CO102" s="760">
        <f xml:space="preserve"> Debt!CO$714</f>
        <v>0</v>
      </c>
      <c r="CP102" s="760">
        <f xml:space="preserve"> Debt!CP$714</f>
        <v>0</v>
      </c>
      <c r="CQ102" s="760">
        <f xml:space="preserve"> Debt!CQ$714</f>
        <v>0</v>
      </c>
      <c r="CR102" s="760">
        <f xml:space="preserve"> Debt!CR$714</f>
        <v>0</v>
      </c>
      <c r="CS102" s="760">
        <f xml:space="preserve"> Debt!CS$714</f>
        <v>0</v>
      </c>
      <c r="CT102" s="760">
        <f xml:space="preserve"> Debt!CT$714</f>
        <v>0</v>
      </c>
      <c r="CU102" s="760">
        <f xml:space="preserve"> Debt!CU$714</f>
        <v>0</v>
      </c>
      <c r="CV102" s="760">
        <f xml:space="preserve"> Debt!CV$714</f>
        <v>0</v>
      </c>
    </row>
    <row r="103" spans="1:192" s="495" customFormat="1" outlineLevel="1" x14ac:dyDescent="0.2">
      <c r="A103" s="15"/>
      <c r="B103" s="15"/>
      <c r="C103" s="21"/>
      <c r="D103" s="48"/>
      <c r="E103" s="68" t="str">
        <f xml:space="preserve"> Debt!E$498</f>
        <v>Shareholder loan interest expense - P99 POS</v>
      </c>
      <c r="F103" s="68">
        <f xml:space="preserve"> Debt!F$498</f>
        <v>0</v>
      </c>
      <c r="G103" s="68" t="str">
        <f xml:space="preserve"> Debt!G$498</f>
        <v>$ 000s</v>
      </c>
      <c r="H103" s="68">
        <f ca="1" xml:space="preserve"> Debt!H$498</f>
        <v>703456.92471362185</v>
      </c>
      <c r="I103" s="68">
        <f xml:space="preserve"> Debt!I$498</f>
        <v>0</v>
      </c>
      <c r="J103" s="68">
        <f xml:space="preserve"> Debt!J$498</f>
        <v>0</v>
      </c>
      <c r="K103" s="68">
        <f ca="1" xml:space="preserve"> Debt!K$498</f>
        <v>0</v>
      </c>
      <c r="L103" s="68">
        <f ca="1" xml:space="preserve"> Debt!L$498</f>
        <v>0</v>
      </c>
      <c r="M103" s="68">
        <f ca="1" xml:space="preserve"> Debt!M$498</f>
        <v>0</v>
      </c>
      <c r="N103" s="68">
        <f ca="1" xml:space="preserve"> Debt!N$498</f>
        <v>0</v>
      </c>
      <c r="O103" s="68">
        <f ca="1" xml:space="preserve"> Debt!O$498</f>
        <v>5179.0951864116714</v>
      </c>
      <c r="P103" s="68">
        <f ca="1" xml:space="preserve"> Debt!P$498</f>
        <v>5409.8190403629778</v>
      </c>
      <c r="Q103" s="68">
        <f ca="1" xml:space="preserve"> Debt!Q$498</f>
        <v>5683.2203574169225</v>
      </c>
      <c r="R103" s="68">
        <f ca="1" xml:space="preserve"> Debt!R$498</f>
        <v>5976.8019323164099</v>
      </c>
      <c r="S103" s="68">
        <f ca="1" xml:space="preserve"> Debt!S$498</f>
        <v>6285.8885507247842</v>
      </c>
      <c r="T103" s="68">
        <f ca="1" xml:space="preserve"> Debt!T$498</f>
        <v>6617.3033905797265</v>
      </c>
      <c r="U103" s="68">
        <f ca="1" xml:space="preserve"> Debt!U$498</f>
        <v>6966.9655466086188</v>
      </c>
      <c r="V103" s="68">
        <f ca="1" xml:space="preserve"> Debt!V$498</f>
        <v>7340.4954249241309</v>
      </c>
      <c r="W103" s="68">
        <f ca="1" xml:space="preserve"> Debt!W$498</f>
        <v>7735.2720987971907</v>
      </c>
      <c r="X103" s="68">
        <f ca="1" xml:space="preserve"> Debt!X$498</f>
        <v>8157.5886285975548</v>
      </c>
      <c r="Y103" s="68">
        <f ca="1" xml:space="preserve"> Debt!Y$498</f>
        <v>8602.6920207917829</v>
      </c>
      <c r="Z103" s="68">
        <f ca="1" xml:space="preserve"> Debt!Z$498</f>
        <v>9078.3068349874356</v>
      </c>
      <c r="AA103" s="68">
        <f ca="1" xml:space="preserve"> Debt!AA$498</f>
        <v>9580.4353219044842</v>
      </c>
      <c r="AB103" s="68">
        <f ca="1" xml:space="preserve"> Debt!AB$498</f>
        <v>10116.504704490349</v>
      </c>
      <c r="AC103" s="68">
        <f ca="1" xml:space="preserve"> Debt!AC$498</f>
        <v>10683.17377536463</v>
      </c>
      <c r="AD103" s="68">
        <f ca="1" xml:space="preserve"> Debt!AD$498</f>
        <v>11286.791839157257</v>
      </c>
      <c r="AE103" s="68">
        <f ca="1" xml:space="preserve"> Debt!AE$498</f>
        <v>11925.521579859857</v>
      </c>
      <c r="AF103" s="68">
        <f ca="1" xml:space="preserve"> Debt!AF$498</f>
        <v>12606.450933725351</v>
      </c>
      <c r="AG103" s="68">
        <f ca="1" xml:space="preserve"> Debt!AG$498</f>
        <v>13325.799024596456</v>
      </c>
      <c r="AH103" s="68">
        <f ca="1" xml:space="preserve"> Debt!AH$498</f>
        <v>14092.146878665209</v>
      </c>
      <c r="AI103" s="68">
        <f ca="1" xml:space="preserve"> Debt!AI$498</f>
        <v>14902.544139085943</v>
      </c>
      <c r="AJ103" s="68">
        <f ca="1" xml:space="preserve"> Debt!AJ$498</f>
        <v>15765.413291201141</v>
      </c>
      <c r="AK103" s="68">
        <f ca="1" xml:space="preserve"> Debt!AK$498</f>
        <v>16678.567628098426</v>
      </c>
      <c r="AL103" s="68">
        <f ca="1" xml:space="preserve"> Debt!AL$498</f>
        <v>17649.527351806784</v>
      </c>
      <c r="AM103" s="68">
        <f ca="1" xml:space="preserve"> Debt!AM$498</f>
        <v>18677.702549551508</v>
      </c>
      <c r="AN103" s="68">
        <f ca="1" xml:space="preserve"> Debt!AN$498</f>
        <v>19771.470846289729</v>
      </c>
      <c r="AO103" s="68">
        <f ca="1" xml:space="preserve"> Debt!AO$498</f>
        <v>20928.550281610158</v>
      </c>
      <c r="AP103" s="68">
        <f ca="1" xml:space="preserve"> Debt!AP$498</f>
        <v>22158.932000795918</v>
      </c>
      <c r="AQ103" s="68">
        <f ca="1" xml:space="preserve"> Debt!AQ$498</f>
        <v>23461.302467370235</v>
      </c>
      <c r="AR103" s="68">
        <f ca="1" xml:space="preserve"> Debt!AR$498</f>
        <v>24845.70320742816</v>
      </c>
      <c r="AS103" s="68">
        <f ca="1" xml:space="preserve"> Debt!AS$498</f>
        <v>26311.763342627997</v>
      </c>
      <c r="AT103" s="68">
        <f ca="1" xml:space="preserve"> Debt!AT$498</f>
        <v>27868.877504433076</v>
      </c>
      <c r="AU103" s="68">
        <f ca="1" xml:space="preserve"> Debt!AU$498</f>
        <v>29518.443833454578</v>
      </c>
      <c r="AV103" s="68">
        <f ca="1" xml:space="preserve"> Debt!AV$498</f>
        <v>30979.322730148517</v>
      </c>
      <c r="AW103" s="68">
        <f ca="1" xml:space="preserve"> Debt!AW$498</f>
        <v>32528.804537019194</v>
      </c>
      <c r="AX103" s="68">
        <f ca="1" xml:space="preserve"> Debt!AX$498</f>
        <v>33883.66026473025</v>
      </c>
      <c r="AY103" s="68">
        <f ca="1" xml:space="preserve"> Debt!AY$498</f>
        <v>35324.332705482491</v>
      </c>
      <c r="AZ103" s="68">
        <f ca="1" xml:space="preserve"> Debt!AZ$498</f>
        <v>36855.597819708011</v>
      </c>
      <c r="BA103" s="68">
        <f ca="1" xml:space="preserve"> Debt!BA$498</f>
        <v>38483.261579261198</v>
      </c>
      <c r="BB103" s="68">
        <f ca="1" xml:space="preserve"> Debt!BB$498</f>
        <v>40212.873563235735</v>
      </c>
      <c r="BC103" s="68">
        <f ca="1" xml:space="preserve"> Debt!BC$498</f>
        <v>0</v>
      </c>
      <c r="BD103" s="68">
        <f ca="1" xml:space="preserve"> Debt!BD$498</f>
        <v>0</v>
      </c>
      <c r="BE103" s="68">
        <f ca="1" xml:space="preserve"> Debt!BE$498</f>
        <v>0</v>
      </c>
      <c r="BF103" s="68">
        <f ca="1" xml:space="preserve"> Debt!BF$498</f>
        <v>0</v>
      </c>
      <c r="BG103" s="68">
        <f ca="1" xml:space="preserve"> Debt!BG$498</f>
        <v>0</v>
      </c>
      <c r="BH103" s="68">
        <f ca="1" xml:space="preserve"> Debt!BH$498</f>
        <v>0</v>
      </c>
      <c r="BI103" s="68">
        <f ca="1" xml:space="preserve"> Debt!BI$498</f>
        <v>0</v>
      </c>
      <c r="BJ103" s="68">
        <f ca="1" xml:space="preserve"> Debt!BJ$498</f>
        <v>0</v>
      </c>
      <c r="BK103" s="68">
        <f ca="1" xml:space="preserve"> Debt!BK$498</f>
        <v>0</v>
      </c>
      <c r="BL103" s="68">
        <f ca="1" xml:space="preserve"> Debt!BL$498</f>
        <v>0</v>
      </c>
      <c r="BM103" s="68">
        <f ca="1" xml:space="preserve"> Debt!BM$498</f>
        <v>0</v>
      </c>
      <c r="BN103" s="68">
        <f ca="1" xml:space="preserve"> Debt!BN$498</f>
        <v>0</v>
      </c>
      <c r="BO103" s="68">
        <f ca="1" xml:space="preserve"> Debt!BO$498</f>
        <v>0</v>
      </c>
      <c r="BP103" s="68">
        <f ca="1" xml:space="preserve"> Debt!BP$498</f>
        <v>0</v>
      </c>
      <c r="BQ103" s="68">
        <f ca="1" xml:space="preserve"> Debt!BQ$498</f>
        <v>0</v>
      </c>
      <c r="BR103" s="68">
        <f ca="1" xml:space="preserve"> Debt!BR$498</f>
        <v>0</v>
      </c>
      <c r="BS103" s="68">
        <f ca="1" xml:space="preserve"> Debt!BS$498</f>
        <v>0</v>
      </c>
      <c r="BT103" s="68">
        <f ca="1" xml:space="preserve"> Debt!BT$498</f>
        <v>0</v>
      </c>
      <c r="BU103" s="68">
        <f ca="1" xml:space="preserve"> Debt!BU$498</f>
        <v>0</v>
      </c>
      <c r="BV103" s="68">
        <f ca="1" xml:space="preserve"> Debt!BV$498</f>
        <v>0</v>
      </c>
      <c r="BW103" s="68">
        <f ca="1" xml:space="preserve"> Debt!BW$498</f>
        <v>0</v>
      </c>
      <c r="BX103" s="68">
        <f ca="1" xml:space="preserve"> Debt!BX$498</f>
        <v>0</v>
      </c>
      <c r="BY103" s="68">
        <f ca="1" xml:space="preserve"> Debt!BY$498</f>
        <v>0</v>
      </c>
      <c r="BZ103" s="68">
        <f ca="1" xml:space="preserve"> Debt!BZ$498</f>
        <v>0</v>
      </c>
      <c r="CA103" s="68">
        <f ca="1" xml:space="preserve"> Debt!CA$498</f>
        <v>0</v>
      </c>
      <c r="CB103" s="68">
        <f ca="1" xml:space="preserve"> Debt!CB$498</f>
        <v>0</v>
      </c>
      <c r="CC103" s="68">
        <f ca="1" xml:space="preserve"> Debt!CC$498</f>
        <v>0</v>
      </c>
      <c r="CD103" s="68">
        <f ca="1" xml:space="preserve"> Debt!CD$498</f>
        <v>0</v>
      </c>
      <c r="CE103" s="68">
        <f ca="1" xml:space="preserve"> Debt!CE$498</f>
        <v>0</v>
      </c>
      <c r="CF103" s="68">
        <f ca="1" xml:space="preserve"> Debt!CF$498</f>
        <v>0</v>
      </c>
      <c r="CG103" s="68">
        <f ca="1" xml:space="preserve"> Debt!CG$498</f>
        <v>0</v>
      </c>
      <c r="CH103" s="68">
        <f ca="1" xml:space="preserve"> Debt!CH$498</f>
        <v>0</v>
      </c>
      <c r="CI103" s="68">
        <f ca="1" xml:space="preserve"> Debt!CI$498</f>
        <v>0</v>
      </c>
      <c r="CJ103" s="68">
        <f ca="1" xml:space="preserve"> Debt!CJ$498</f>
        <v>0</v>
      </c>
      <c r="CK103" s="68">
        <f ca="1" xml:space="preserve"> Debt!CK$498</f>
        <v>0</v>
      </c>
      <c r="CL103" s="68">
        <f ca="1" xml:space="preserve"> Debt!CL$498</f>
        <v>0</v>
      </c>
      <c r="CM103" s="68">
        <f ca="1" xml:space="preserve"> Debt!CM$498</f>
        <v>0</v>
      </c>
      <c r="CN103" s="68">
        <f ca="1" xml:space="preserve"> Debt!CN$498</f>
        <v>0</v>
      </c>
      <c r="CO103" s="68">
        <f ca="1" xml:space="preserve"> Debt!CO$498</f>
        <v>0</v>
      </c>
      <c r="CP103" s="68">
        <f ca="1" xml:space="preserve"> Debt!CP$498</f>
        <v>0</v>
      </c>
      <c r="CQ103" s="68">
        <f ca="1" xml:space="preserve"> Debt!CQ$498</f>
        <v>0</v>
      </c>
      <c r="CR103" s="68">
        <f ca="1" xml:space="preserve"> Debt!CR$498</f>
        <v>0</v>
      </c>
      <c r="CS103" s="68">
        <f ca="1" xml:space="preserve"> Debt!CS$498</f>
        <v>0</v>
      </c>
      <c r="CT103" s="68">
        <f ca="1" xml:space="preserve"> Debt!CT$498</f>
        <v>0</v>
      </c>
      <c r="CU103" s="68">
        <f ca="1" xml:space="preserve"> Debt!CU$498</f>
        <v>0</v>
      </c>
      <c r="CV103" s="68">
        <f ca="1" xml:space="preserve"> Debt!CV$498</f>
        <v>0</v>
      </c>
      <c r="CW103" s="68">
        <f xml:space="preserve"> Debt!CW$498</f>
        <v>0</v>
      </c>
      <c r="CX103" s="68">
        <f xml:space="preserve"> Debt!CX$498</f>
        <v>0</v>
      </c>
      <c r="CY103" s="68">
        <f xml:space="preserve"> Debt!CY$498</f>
        <v>0</v>
      </c>
      <c r="CZ103" s="68">
        <f xml:space="preserve"> Debt!CZ$498</f>
        <v>0</v>
      </c>
      <c r="DA103" s="68">
        <f xml:space="preserve"> Debt!DA$498</f>
        <v>0</v>
      </c>
      <c r="DB103" s="68">
        <f xml:space="preserve"> Debt!DB$498</f>
        <v>0</v>
      </c>
      <c r="DC103" s="68">
        <f xml:space="preserve"> Debt!DC$498</f>
        <v>0</v>
      </c>
      <c r="DD103" s="68">
        <f xml:space="preserve"> Debt!DD$498</f>
        <v>0</v>
      </c>
      <c r="DE103" s="68">
        <f xml:space="preserve"> Debt!DE$498</f>
        <v>0</v>
      </c>
      <c r="DF103" s="68">
        <f xml:space="preserve"> Debt!DF$498</f>
        <v>0</v>
      </c>
      <c r="DG103" s="68">
        <f xml:space="preserve"> Debt!DG$498</f>
        <v>0</v>
      </c>
      <c r="DH103" s="68">
        <f xml:space="preserve"> Debt!DH$498</f>
        <v>0</v>
      </c>
      <c r="DI103" s="68">
        <f xml:space="preserve"> Debt!DI$498</f>
        <v>0</v>
      </c>
      <c r="DJ103" s="68">
        <f xml:space="preserve"> Debt!DJ$498</f>
        <v>0</v>
      </c>
      <c r="DK103" s="68">
        <f xml:space="preserve"> Debt!DK$498</f>
        <v>0</v>
      </c>
      <c r="DL103" s="68">
        <f xml:space="preserve"> Debt!DL$498</f>
        <v>0</v>
      </c>
      <c r="DM103" s="68">
        <f xml:space="preserve"> Debt!DM$498</f>
        <v>0</v>
      </c>
      <c r="DN103" s="68">
        <f xml:space="preserve"> Debt!DN$498</f>
        <v>0</v>
      </c>
      <c r="DO103" s="68">
        <f xml:space="preserve"> Debt!DO$498</f>
        <v>0</v>
      </c>
      <c r="DP103" s="68">
        <f xml:space="preserve"> Debt!DP$498</f>
        <v>0</v>
      </c>
      <c r="DQ103" s="68">
        <f xml:space="preserve"> Debt!DQ$498</f>
        <v>0</v>
      </c>
      <c r="DR103" s="68">
        <f xml:space="preserve"> Debt!DR$498</f>
        <v>0</v>
      </c>
      <c r="DS103" s="68">
        <f xml:space="preserve"> Debt!DS$498</f>
        <v>0</v>
      </c>
      <c r="DT103" s="68">
        <f xml:space="preserve"> Debt!DT$498</f>
        <v>0</v>
      </c>
      <c r="DU103" s="68">
        <f xml:space="preserve"> Debt!DU$498</f>
        <v>0</v>
      </c>
      <c r="DV103" s="68">
        <f xml:space="preserve"> Debt!DV$498</f>
        <v>0</v>
      </c>
      <c r="DW103" s="68">
        <f xml:space="preserve"> Debt!DW$498</f>
        <v>0</v>
      </c>
      <c r="DX103" s="68">
        <f xml:space="preserve"> Debt!DX$498</f>
        <v>0</v>
      </c>
      <c r="DY103" s="68">
        <f xml:space="preserve"> Debt!DY$498</f>
        <v>0</v>
      </c>
      <c r="DZ103" s="68">
        <f xml:space="preserve"> Debt!DZ$498</f>
        <v>0</v>
      </c>
      <c r="EA103" s="68">
        <f xml:space="preserve"> Debt!EA$498</f>
        <v>0</v>
      </c>
      <c r="EB103" s="68">
        <f xml:space="preserve"> Debt!EB$498</f>
        <v>0</v>
      </c>
      <c r="EC103" s="68">
        <f xml:space="preserve"> Debt!EC$498</f>
        <v>0</v>
      </c>
      <c r="ED103" s="68">
        <f xml:space="preserve"> Debt!ED$498</f>
        <v>0</v>
      </c>
      <c r="EE103" s="68">
        <f xml:space="preserve"> Debt!EE$498</f>
        <v>0</v>
      </c>
      <c r="EF103" s="68">
        <f xml:space="preserve"> Debt!EF$498</f>
        <v>0</v>
      </c>
      <c r="EG103" s="68">
        <f xml:space="preserve"> Debt!EG$498</f>
        <v>0</v>
      </c>
      <c r="EH103" s="68">
        <f xml:space="preserve"> Debt!EH$498</f>
        <v>0</v>
      </c>
      <c r="EI103" s="68">
        <f xml:space="preserve"> Debt!EI$498</f>
        <v>0</v>
      </c>
      <c r="EJ103" s="68">
        <f xml:space="preserve"> Debt!EJ$498</f>
        <v>0</v>
      </c>
      <c r="EK103" s="68">
        <f xml:space="preserve"> Debt!EK$498</f>
        <v>0</v>
      </c>
      <c r="EL103" s="68">
        <f xml:space="preserve"> Debt!EL$498</f>
        <v>0</v>
      </c>
      <c r="EM103" s="68">
        <f xml:space="preserve"> Debt!EM$498</f>
        <v>0</v>
      </c>
      <c r="EN103" s="68">
        <f xml:space="preserve"> Debt!EN$498</f>
        <v>0</v>
      </c>
      <c r="EO103" s="68">
        <f xml:space="preserve"> Debt!EO$498</f>
        <v>0</v>
      </c>
      <c r="EP103" s="68">
        <f xml:space="preserve"> Debt!EP$498</f>
        <v>0</v>
      </c>
      <c r="EQ103" s="68">
        <f xml:space="preserve"> Debt!EQ$498</f>
        <v>0</v>
      </c>
      <c r="ER103" s="68">
        <f xml:space="preserve"> Debt!ER$498</f>
        <v>0</v>
      </c>
      <c r="ES103" s="68">
        <f xml:space="preserve"> Debt!ES$498</f>
        <v>0</v>
      </c>
      <c r="ET103" s="68">
        <f xml:space="preserve"> Debt!ET$498</f>
        <v>0</v>
      </c>
      <c r="EU103" s="68">
        <f xml:space="preserve"> Debt!EU$498</f>
        <v>0</v>
      </c>
      <c r="EV103" s="68">
        <f xml:space="preserve"> Debt!EV$498</f>
        <v>0</v>
      </c>
      <c r="EW103" s="68">
        <f xml:space="preserve"> Debt!EW$498</f>
        <v>0</v>
      </c>
      <c r="EX103" s="68">
        <f xml:space="preserve"> Debt!EX$498</f>
        <v>0</v>
      </c>
      <c r="EY103" s="68">
        <f xml:space="preserve"> Debt!EY$498</f>
        <v>0</v>
      </c>
      <c r="EZ103" s="68">
        <f xml:space="preserve"> Debt!EZ$498</f>
        <v>0</v>
      </c>
      <c r="FA103" s="68">
        <f xml:space="preserve"> Debt!FA$498</f>
        <v>0</v>
      </c>
      <c r="FB103" s="68">
        <f xml:space="preserve"> Debt!FB$498</f>
        <v>0</v>
      </c>
      <c r="FC103" s="68">
        <f xml:space="preserve"> Debt!FC$498</f>
        <v>0</v>
      </c>
      <c r="FD103" s="68">
        <f xml:space="preserve"> Debt!FD$498</f>
        <v>0</v>
      </c>
      <c r="FE103" s="68">
        <f xml:space="preserve"> Debt!FE$498</f>
        <v>0</v>
      </c>
      <c r="FF103" s="68">
        <f xml:space="preserve"> Debt!FF$498</f>
        <v>0</v>
      </c>
      <c r="FG103" s="68">
        <f xml:space="preserve"> Debt!FG$498</f>
        <v>0</v>
      </c>
      <c r="FH103" s="68">
        <f xml:space="preserve"> Debt!FH$498</f>
        <v>0</v>
      </c>
      <c r="FI103" s="68">
        <f xml:space="preserve"> Debt!FI$498</f>
        <v>0</v>
      </c>
      <c r="FJ103" s="68">
        <f xml:space="preserve"> Debt!FJ$498</f>
        <v>0</v>
      </c>
      <c r="FK103" s="68">
        <f xml:space="preserve"> Debt!FK$498</f>
        <v>0</v>
      </c>
      <c r="FL103" s="68">
        <f xml:space="preserve"> Debt!FL$498</f>
        <v>0</v>
      </c>
      <c r="FM103" s="68">
        <f xml:space="preserve"> Debt!FM$498</f>
        <v>0</v>
      </c>
      <c r="FN103" s="68">
        <f xml:space="preserve"> Debt!FN$498</f>
        <v>0</v>
      </c>
      <c r="FO103" s="68">
        <f xml:space="preserve"> Debt!FO$498</f>
        <v>0</v>
      </c>
      <c r="FP103" s="68">
        <f xml:space="preserve"> Debt!FP$498</f>
        <v>0</v>
      </c>
      <c r="FQ103" s="68">
        <f xml:space="preserve"> Debt!FQ$498</f>
        <v>0</v>
      </c>
      <c r="FR103" s="68">
        <f xml:space="preserve"> Debt!FR$498</f>
        <v>0</v>
      </c>
      <c r="FS103" s="68">
        <f xml:space="preserve"> Debt!FS$498</f>
        <v>0</v>
      </c>
      <c r="FT103" s="68">
        <f xml:space="preserve"> Debt!FT$498</f>
        <v>0</v>
      </c>
      <c r="FU103" s="68">
        <f xml:space="preserve"> Debt!FU$498</f>
        <v>0</v>
      </c>
      <c r="FV103" s="68">
        <f xml:space="preserve"> Debt!FV$498</f>
        <v>0</v>
      </c>
      <c r="FW103" s="68">
        <f xml:space="preserve"> Debt!FW$498</f>
        <v>0</v>
      </c>
      <c r="FX103" s="68">
        <f xml:space="preserve"> Debt!FX$498</f>
        <v>0</v>
      </c>
      <c r="FY103" s="68">
        <f xml:space="preserve"> Debt!FY$498</f>
        <v>0</v>
      </c>
      <c r="FZ103" s="68">
        <f xml:space="preserve"> Debt!FZ$498</f>
        <v>0</v>
      </c>
      <c r="GA103" s="68">
        <f xml:space="preserve"> Debt!GA$498</f>
        <v>0</v>
      </c>
      <c r="GB103" s="68">
        <f xml:space="preserve"> Debt!GB$498</f>
        <v>0</v>
      </c>
      <c r="GC103" s="68">
        <f xml:space="preserve"> Debt!GC$498</f>
        <v>0</v>
      </c>
      <c r="GD103" s="68">
        <f xml:space="preserve"> Debt!GD$498</f>
        <v>0</v>
      </c>
      <c r="GE103" s="68">
        <f xml:space="preserve"> Debt!GE$498</f>
        <v>0</v>
      </c>
      <c r="GF103" s="68">
        <f xml:space="preserve"> Debt!GF$498</f>
        <v>0</v>
      </c>
      <c r="GG103" s="68">
        <f xml:space="preserve"> Debt!GG$498</f>
        <v>0</v>
      </c>
      <c r="GH103" s="68">
        <f xml:space="preserve"> Debt!GH$498</f>
        <v>0</v>
      </c>
      <c r="GI103" s="68">
        <f xml:space="preserve"> Debt!GI$498</f>
        <v>0</v>
      </c>
      <c r="GJ103" s="68">
        <f xml:space="preserve"> Debt!GJ$498</f>
        <v>0</v>
      </c>
    </row>
    <row r="104" spans="1:192" s="495" customFormat="1" outlineLevel="1" x14ac:dyDescent="0.2">
      <c r="A104" s="15"/>
      <c r="B104" s="15"/>
      <c r="C104" s="21"/>
      <c r="D104" s="48"/>
      <c r="E104" s="68" t="str">
        <f xml:space="preserve"> Debt!E$582</f>
        <v>WCF commitment fee POS</v>
      </c>
      <c r="F104" s="68">
        <f xml:space="preserve"> Debt!F$582</f>
        <v>0</v>
      </c>
      <c r="G104" s="68" t="str">
        <f xml:space="preserve"> Debt!G$582</f>
        <v>$ 000s</v>
      </c>
      <c r="H104" s="68">
        <f xml:space="preserve"> Debt!H$582</f>
        <v>0</v>
      </c>
      <c r="I104" s="68">
        <f xml:space="preserve"> Debt!I$582</f>
        <v>0</v>
      </c>
      <c r="J104" s="68">
        <f xml:space="preserve"> Debt!J$582</f>
        <v>0</v>
      </c>
      <c r="K104" s="68">
        <f xml:space="preserve"> Debt!K$582</f>
        <v>0</v>
      </c>
      <c r="L104" s="68">
        <f xml:space="preserve"> Debt!L$582</f>
        <v>0</v>
      </c>
      <c r="M104" s="68">
        <f xml:space="preserve"> Debt!M$582</f>
        <v>0</v>
      </c>
      <c r="N104" s="68">
        <f xml:space="preserve"> Debt!N$582</f>
        <v>0</v>
      </c>
      <c r="O104" s="68">
        <f xml:space="preserve"> Debt!O$582</f>
        <v>0</v>
      </c>
      <c r="P104" s="68">
        <f xml:space="preserve"> Debt!P$582</f>
        <v>0</v>
      </c>
      <c r="Q104" s="68">
        <f xml:space="preserve"> Debt!Q$582</f>
        <v>0</v>
      </c>
      <c r="R104" s="68">
        <f xml:space="preserve"> Debt!R$582</f>
        <v>0</v>
      </c>
      <c r="S104" s="68">
        <f xml:space="preserve"> Debt!S$582</f>
        <v>0</v>
      </c>
      <c r="T104" s="68">
        <f xml:space="preserve"> Debt!T$582</f>
        <v>0</v>
      </c>
      <c r="U104" s="68">
        <f xml:space="preserve"> Debt!U$582</f>
        <v>0</v>
      </c>
      <c r="V104" s="68">
        <f xml:space="preserve"> Debt!V$582</f>
        <v>0</v>
      </c>
      <c r="W104" s="68">
        <f xml:space="preserve"> Debt!W$582</f>
        <v>0</v>
      </c>
      <c r="X104" s="68">
        <f xml:space="preserve"> Debt!X$582</f>
        <v>0</v>
      </c>
      <c r="Y104" s="68">
        <f xml:space="preserve"> Debt!Y$582</f>
        <v>0</v>
      </c>
      <c r="Z104" s="68">
        <f xml:space="preserve"> Debt!Z$582</f>
        <v>0</v>
      </c>
      <c r="AA104" s="68">
        <f xml:space="preserve"> Debt!AA$582</f>
        <v>0</v>
      </c>
      <c r="AB104" s="68">
        <f xml:space="preserve"> Debt!AB$582</f>
        <v>0</v>
      </c>
      <c r="AC104" s="68">
        <f xml:space="preserve"> Debt!AC$582</f>
        <v>0</v>
      </c>
      <c r="AD104" s="68">
        <f xml:space="preserve"> Debt!AD$582</f>
        <v>0</v>
      </c>
      <c r="AE104" s="68">
        <f xml:space="preserve"> Debt!AE$582</f>
        <v>0</v>
      </c>
      <c r="AF104" s="68">
        <f xml:space="preserve"> Debt!AF$582</f>
        <v>0</v>
      </c>
      <c r="AG104" s="68">
        <f xml:space="preserve"> Debt!AG$582</f>
        <v>0</v>
      </c>
      <c r="AH104" s="68">
        <f xml:space="preserve"> Debt!AH$582</f>
        <v>0</v>
      </c>
      <c r="AI104" s="68">
        <f xml:space="preserve"> Debt!AI$582</f>
        <v>0</v>
      </c>
      <c r="AJ104" s="68">
        <f xml:space="preserve"> Debt!AJ$582</f>
        <v>0</v>
      </c>
      <c r="AK104" s="68">
        <f xml:space="preserve"> Debt!AK$582</f>
        <v>0</v>
      </c>
      <c r="AL104" s="68">
        <f xml:space="preserve"> Debt!AL$582</f>
        <v>0</v>
      </c>
      <c r="AM104" s="68">
        <f xml:space="preserve"> Debt!AM$582</f>
        <v>0</v>
      </c>
      <c r="AN104" s="68">
        <f xml:space="preserve"> Debt!AN$582</f>
        <v>0</v>
      </c>
      <c r="AO104" s="68">
        <f xml:space="preserve"> Debt!AO$582</f>
        <v>0</v>
      </c>
      <c r="AP104" s="68">
        <f xml:space="preserve"> Debt!AP$582</f>
        <v>0</v>
      </c>
      <c r="AQ104" s="68">
        <f xml:space="preserve"> Debt!AQ$582</f>
        <v>0</v>
      </c>
      <c r="AR104" s="68">
        <f xml:space="preserve"> Debt!AR$582</f>
        <v>0</v>
      </c>
      <c r="AS104" s="68">
        <f xml:space="preserve"> Debt!AS$582</f>
        <v>0</v>
      </c>
      <c r="AT104" s="68">
        <f xml:space="preserve"> Debt!AT$582</f>
        <v>0</v>
      </c>
      <c r="AU104" s="68">
        <f xml:space="preserve"> Debt!AU$582</f>
        <v>0</v>
      </c>
      <c r="AV104" s="68">
        <f xml:space="preserve"> Debt!AV$582</f>
        <v>0</v>
      </c>
      <c r="AW104" s="68">
        <f xml:space="preserve"> Debt!AW$582</f>
        <v>0</v>
      </c>
      <c r="AX104" s="68">
        <f xml:space="preserve"> Debt!AX$582</f>
        <v>0</v>
      </c>
      <c r="AY104" s="68">
        <f xml:space="preserve"> Debt!AY$582</f>
        <v>0</v>
      </c>
      <c r="AZ104" s="68">
        <f xml:space="preserve"> Debt!AZ$582</f>
        <v>0</v>
      </c>
      <c r="BA104" s="68">
        <f xml:space="preserve"> Debt!BA$582</f>
        <v>0</v>
      </c>
      <c r="BB104" s="68">
        <f xml:space="preserve"> Debt!BB$582</f>
        <v>0</v>
      </c>
      <c r="BC104" s="68">
        <f xml:space="preserve"> Debt!BC$582</f>
        <v>0</v>
      </c>
      <c r="BD104" s="68">
        <f xml:space="preserve"> Debt!BD$582</f>
        <v>0</v>
      </c>
      <c r="BE104" s="68">
        <f xml:space="preserve"> Debt!BE$582</f>
        <v>0</v>
      </c>
      <c r="BF104" s="68">
        <f xml:space="preserve"> Debt!BF$582</f>
        <v>0</v>
      </c>
      <c r="BG104" s="68">
        <f xml:space="preserve"> Debt!BG$582</f>
        <v>0</v>
      </c>
      <c r="BH104" s="68">
        <f xml:space="preserve"> Debt!BH$582</f>
        <v>0</v>
      </c>
      <c r="BI104" s="68">
        <f xml:space="preserve"> Debt!BI$582</f>
        <v>0</v>
      </c>
      <c r="BJ104" s="68">
        <f xml:space="preserve"> Debt!BJ$582</f>
        <v>0</v>
      </c>
      <c r="BK104" s="68">
        <f xml:space="preserve"> Debt!BK$582</f>
        <v>0</v>
      </c>
      <c r="BL104" s="68">
        <f xml:space="preserve"> Debt!BL$582</f>
        <v>0</v>
      </c>
      <c r="BM104" s="68">
        <f xml:space="preserve"> Debt!BM$582</f>
        <v>0</v>
      </c>
      <c r="BN104" s="68">
        <f xml:space="preserve"> Debt!BN$582</f>
        <v>0</v>
      </c>
      <c r="BO104" s="68">
        <f xml:space="preserve"> Debt!BO$582</f>
        <v>0</v>
      </c>
      <c r="BP104" s="68">
        <f xml:space="preserve"> Debt!BP$582</f>
        <v>0</v>
      </c>
      <c r="BQ104" s="68">
        <f xml:space="preserve"> Debt!BQ$582</f>
        <v>0</v>
      </c>
      <c r="BR104" s="68">
        <f xml:space="preserve"> Debt!BR$582</f>
        <v>0</v>
      </c>
      <c r="BS104" s="68">
        <f xml:space="preserve"> Debt!BS$582</f>
        <v>0</v>
      </c>
      <c r="BT104" s="68">
        <f xml:space="preserve"> Debt!BT$582</f>
        <v>0</v>
      </c>
      <c r="BU104" s="68">
        <f xml:space="preserve"> Debt!BU$582</f>
        <v>0</v>
      </c>
      <c r="BV104" s="68">
        <f xml:space="preserve"> Debt!BV$582</f>
        <v>0</v>
      </c>
      <c r="BW104" s="68">
        <f xml:space="preserve"> Debt!BW$582</f>
        <v>0</v>
      </c>
      <c r="BX104" s="68">
        <f xml:space="preserve"> Debt!BX$582</f>
        <v>0</v>
      </c>
      <c r="BY104" s="68">
        <f xml:space="preserve"> Debt!BY$582</f>
        <v>0</v>
      </c>
      <c r="BZ104" s="68">
        <f xml:space="preserve"> Debt!BZ$582</f>
        <v>0</v>
      </c>
      <c r="CA104" s="68">
        <f xml:space="preserve"> Debt!CA$582</f>
        <v>0</v>
      </c>
      <c r="CB104" s="68">
        <f xml:space="preserve"> Debt!CB$582</f>
        <v>0</v>
      </c>
      <c r="CC104" s="68">
        <f xml:space="preserve"> Debt!CC$582</f>
        <v>0</v>
      </c>
      <c r="CD104" s="68">
        <f xml:space="preserve"> Debt!CD$582</f>
        <v>0</v>
      </c>
      <c r="CE104" s="68">
        <f xml:space="preserve"> Debt!CE$582</f>
        <v>0</v>
      </c>
      <c r="CF104" s="68">
        <f xml:space="preserve"> Debt!CF$582</f>
        <v>0</v>
      </c>
      <c r="CG104" s="68">
        <f xml:space="preserve"> Debt!CG$582</f>
        <v>0</v>
      </c>
      <c r="CH104" s="68">
        <f xml:space="preserve"> Debt!CH$582</f>
        <v>0</v>
      </c>
      <c r="CI104" s="68">
        <f xml:space="preserve"> Debt!CI$582</f>
        <v>0</v>
      </c>
      <c r="CJ104" s="68">
        <f xml:space="preserve"> Debt!CJ$582</f>
        <v>0</v>
      </c>
      <c r="CK104" s="68">
        <f xml:space="preserve"> Debt!CK$582</f>
        <v>0</v>
      </c>
      <c r="CL104" s="68">
        <f xml:space="preserve"> Debt!CL$582</f>
        <v>0</v>
      </c>
      <c r="CM104" s="68">
        <f xml:space="preserve"> Debt!CM$582</f>
        <v>0</v>
      </c>
      <c r="CN104" s="68">
        <f xml:space="preserve"> Debt!CN$582</f>
        <v>0</v>
      </c>
      <c r="CO104" s="68">
        <f xml:space="preserve"> Debt!CO$582</f>
        <v>0</v>
      </c>
      <c r="CP104" s="68">
        <f xml:space="preserve"> Debt!CP$582</f>
        <v>0</v>
      </c>
      <c r="CQ104" s="68">
        <f xml:space="preserve"> Debt!CQ$582</f>
        <v>0</v>
      </c>
      <c r="CR104" s="68">
        <f xml:space="preserve"> Debt!CR$582</f>
        <v>0</v>
      </c>
      <c r="CS104" s="68">
        <f xml:space="preserve"> Debt!CS$582</f>
        <v>0</v>
      </c>
      <c r="CT104" s="68">
        <f xml:space="preserve"> Debt!CT$582</f>
        <v>0</v>
      </c>
      <c r="CU104" s="68">
        <f xml:space="preserve"> Debt!CU$582</f>
        <v>0</v>
      </c>
      <c r="CV104" s="68">
        <f xml:space="preserve"> Debt!CV$582</f>
        <v>0</v>
      </c>
    </row>
    <row r="105" spans="1:192" s="495" customFormat="1" outlineLevel="1" x14ac:dyDescent="0.2">
      <c r="A105" s="15"/>
      <c r="B105" s="15"/>
      <c r="C105" s="21"/>
      <c r="D105" s="48"/>
      <c r="E105" s="68" t="str">
        <f xml:space="preserve"> Debt!E$590</f>
        <v>WCF upfront fee POS</v>
      </c>
      <c r="F105" s="68">
        <f xml:space="preserve"> Debt!F$590</f>
        <v>0</v>
      </c>
      <c r="G105" s="68" t="str">
        <f xml:space="preserve"> Debt!G$590</f>
        <v>$ 000s</v>
      </c>
      <c r="H105" s="68">
        <f xml:space="preserve"> Debt!H$590</f>
        <v>0</v>
      </c>
      <c r="I105" s="68">
        <f xml:space="preserve"> Debt!I$590</f>
        <v>0</v>
      </c>
      <c r="J105" s="68">
        <f xml:space="preserve"> Debt!J$590</f>
        <v>0</v>
      </c>
      <c r="K105" s="68">
        <f xml:space="preserve"> Debt!K$590</f>
        <v>0</v>
      </c>
      <c r="L105" s="68">
        <f xml:space="preserve"> Debt!L$590</f>
        <v>0</v>
      </c>
      <c r="M105" s="68">
        <f xml:space="preserve"> Debt!M$590</f>
        <v>0</v>
      </c>
      <c r="N105" s="68">
        <f xml:space="preserve"> Debt!N$590</f>
        <v>0</v>
      </c>
      <c r="O105" s="68">
        <f xml:space="preserve"> Debt!O$590</f>
        <v>0</v>
      </c>
      <c r="P105" s="68">
        <f xml:space="preserve"> Debt!P$590</f>
        <v>0</v>
      </c>
      <c r="Q105" s="68">
        <f xml:space="preserve"> Debt!Q$590</f>
        <v>0</v>
      </c>
      <c r="R105" s="68">
        <f xml:space="preserve"> Debt!R$590</f>
        <v>0</v>
      </c>
      <c r="S105" s="68">
        <f xml:space="preserve"> Debt!S$590</f>
        <v>0</v>
      </c>
      <c r="T105" s="68">
        <f xml:space="preserve"> Debt!T$590</f>
        <v>0</v>
      </c>
      <c r="U105" s="68">
        <f xml:space="preserve"> Debt!U$590</f>
        <v>0</v>
      </c>
      <c r="V105" s="68">
        <f xml:space="preserve"> Debt!V$590</f>
        <v>0</v>
      </c>
      <c r="W105" s="68">
        <f xml:space="preserve"> Debt!W$590</f>
        <v>0</v>
      </c>
      <c r="X105" s="68">
        <f xml:space="preserve"> Debt!X$590</f>
        <v>0</v>
      </c>
      <c r="Y105" s="68">
        <f xml:space="preserve"> Debt!Y$590</f>
        <v>0</v>
      </c>
      <c r="Z105" s="68">
        <f xml:space="preserve"> Debt!Z$590</f>
        <v>0</v>
      </c>
      <c r="AA105" s="68">
        <f xml:space="preserve"> Debt!AA$590</f>
        <v>0</v>
      </c>
      <c r="AB105" s="68">
        <f xml:space="preserve"> Debt!AB$590</f>
        <v>0</v>
      </c>
      <c r="AC105" s="68">
        <f xml:space="preserve"> Debt!AC$590</f>
        <v>0</v>
      </c>
      <c r="AD105" s="68">
        <f xml:space="preserve"> Debt!AD$590</f>
        <v>0</v>
      </c>
      <c r="AE105" s="68">
        <f xml:space="preserve"> Debt!AE$590</f>
        <v>0</v>
      </c>
      <c r="AF105" s="68">
        <f xml:space="preserve"> Debt!AF$590</f>
        <v>0</v>
      </c>
      <c r="AG105" s="68">
        <f xml:space="preserve"> Debt!AG$590</f>
        <v>0</v>
      </c>
      <c r="AH105" s="68">
        <f xml:space="preserve"> Debt!AH$590</f>
        <v>0</v>
      </c>
      <c r="AI105" s="68">
        <f xml:space="preserve"> Debt!AI$590</f>
        <v>0</v>
      </c>
      <c r="AJ105" s="68">
        <f xml:space="preserve"> Debt!AJ$590</f>
        <v>0</v>
      </c>
      <c r="AK105" s="68">
        <f xml:space="preserve"> Debt!AK$590</f>
        <v>0</v>
      </c>
      <c r="AL105" s="68">
        <f xml:space="preserve"> Debt!AL$590</f>
        <v>0</v>
      </c>
      <c r="AM105" s="68">
        <f xml:space="preserve"> Debt!AM$590</f>
        <v>0</v>
      </c>
      <c r="AN105" s="68">
        <f xml:space="preserve"> Debt!AN$590</f>
        <v>0</v>
      </c>
      <c r="AO105" s="68">
        <f xml:space="preserve"> Debt!AO$590</f>
        <v>0</v>
      </c>
      <c r="AP105" s="68">
        <f xml:space="preserve"> Debt!AP$590</f>
        <v>0</v>
      </c>
      <c r="AQ105" s="68">
        <f xml:space="preserve"> Debt!AQ$590</f>
        <v>0</v>
      </c>
      <c r="AR105" s="68">
        <f xml:space="preserve"> Debt!AR$590</f>
        <v>0</v>
      </c>
      <c r="AS105" s="68">
        <f xml:space="preserve"> Debt!AS$590</f>
        <v>0</v>
      </c>
      <c r="AT105" s="68">
        <f xml:space="preserve"> Debt!AT$590</f>
        <v>0</v>
      </c>
      <c r="AU105" s="68">
        <f xml:space="preserve"> Debt!AU$590</f>
        <v>0</v>
      </c>
      <c r="AV105" s="68">
        <f xml:space="preserve"> Debt!AV$590</f>
        <v>0</v>
      </c>
      <c r="AW105" s="68">
        <f xml:space="preserve"> Debt!AW$590</f>
        <v>0</v>
      </c>
      <c r="AX105" s="68">
        <f xml:space="preserve"> Debt!AX$590</f>
        <v>0</v>
      </c>
      <c r="AY105" s="68">
        <f xml:space="preserve"> Debt!AY$590</f>
        <v>0</v>
      </c>
      <c r="AZ105" s="68">
        <f xml:space="preserve"> Debt!AZ$590</f>
        <v>0</v>
      </c>
      <c r="BA105" s="68">
        <f xml:space="preserve"> Debt!BA$590</f>
        <v>0</v>
      </c>
      <c r="BB105" s="68">
        <f xml:space="preserve"> Debt!BB$590</f>
        <v>0</v>
      </c>
      <c r="BC105" s="68">
        <f xml:space="preserve"> Debt!BC$590</f>
        <v>0</v>
      </c>
      <c r="BD105" s="68">
        <f xml:space="preserve"> Debt!BD$590</f>
        <v>0</v>
      </c>
      <c r="BE105" s="68">
        <f xml:space="preserve"> Debt!BE$590</f>
        <v>0</v>
      </c>
      <c r="BF105" s="68">
        <f xml:space="preserve"> Debt!BF$590</f>
        <v>0</v>
      </c>
      <c r="BG105" s="68">
        <f xml:space="preserve"> Debt!BG$590</f>
        <v>0</v>
      </c>
      <c r="BH105" s="68">
        <f xml:space="preserve"> Debt!BH$590</f>
        <v>0</v>
      </c>
      <c r="BI105" s="68">
        <f xml:space="preserve"> Debt!BI$590</f>
        <v>0</v>
      </c>
      <c r="BJ105" s="68">
        <f xml:space="preserve"> Debt!BJ$590</f>
        <v>0</v>
      </c>
      <c r="BK105" s="68">
        <f xml:space="preserve"> Debt!BK$590</f>
        <v>0</v>
      </c>
      <c r="BL105" s="68">
        <f xml:space="preserve"> Debt!BL$590</f>
        <v>0</v>
      </c>
      <c r="BM105" s="68">
        <f xml:space="preserve"> Debt!BM$590</f>
        <v>0</v>
      </c>
      <c r="BN105" s="68">
        <f xml:space="preserve"> Debt!BN$590</f>
        <v>0</v>
      </c>
      <c r="BO105" s="68">
        <f xml:space="preserve"> Debt!BO$590</f>
        <v>0</v>
      </c>
      <c r="BP105" s="68">
        <f xml:space="preserve"> Debt!BP$590</f>
        <v>0</v>
      </c>
      <c r="BQ105" s="68">
        <f xml:space="preserve"> Debt!BQ$590</f>
        <v>0</v>
      </c>
      <c r="BR105" s="68">
        <f xml:space="preserve"> Debt!BR$590</f>
        <v>0</v>
      </c>
      <c r="BS105" s="68">
        <f xml:space="preserve"> Debt!BS$590</f>
        <v>0</v>
      </c>
      <c r="BT105" s="68">
        <f xml:space="preserve"> Debt!BT$590</f>
        <v>0</v>
      </c>
      <c r="BU105" s="68">
        <f xml:space="preserve"> Debt!BU$590</f>
        <v>0</v>
      </c>
      <c r="BV105" s="68">
        <f xml:space="preserve"> Debt!BV$590</f>
        <v>0</v>
      </c>
      <c r="BW105" s="68">
        <f xml:space="preserve"> Debt!BW$590</f>
        <v>0</v>
      </c>
      <c r="BX105" s="68">
        <f xml:space="preserve"> Debt!BX$590</f>
        <v>0</v>
      </c>
      <c r="BY105" s="68">
        <f xml:space="preserve"> Debt!BY$590</f>
        <v>0</v>
      </c>
      <c r="BZ105" s="68">
        <f xml:space="preserve"> Debt!BZ$590</f>
        <v>0</v>
      </c>
      <c r="CA105" s="68">
        <f xml:space="preserve"> Debt!CA$590</f>
        <v>0</v>
      </c>
      <c r="CB105" s="68">
        <f xml:space="preserve"> Debt!CB$590</f>
        <v>0</v>
      </c>
      <c r="CC105" s="68">
        <f xml:space="preserve"> Debt!CC$590</f>
        <v>0</v>
      </c>
      <c r="CD105" s="68">
        <f xml:space="preserve"> Debt!CD$590</f>
        <v>0</v>
      </c>
      <c r="CE105" s="68">
        <f xml:space="preserve"> Debt!CE$590</f>
        <v>0</v>
      </c>
      <c r="CF105" s="68">
        <f xml:space="preserve"> Debt!CF$590</f>
        <v>0</v>
      </c>
      <c r="CG105" s="68">
        <f xml:space="preserve"> Debt!CG$590</f>
        <v>0</v>
      </c>
      <c r="CH105" s="68">
        <f xml:space="preserve"> Debt!CH$590</f>
        <v>0</v>
      </c>
      <c r="CI105" s="68">
        <f xml:space="preserve"> Debt!CI$590</f>
        <v>0</v>
      </c>
      <c r="CJ105" s="68">
        <f xml:space="preserve"> Debt!CJ$590</f>
        <v>0</v>
      </c>
      <c r="CK105" s="68">
        <f xml:space="preserve"> Debt!CK$590</f>
        <v>0</v>
      </c>
      <c r="CL105" s="68">
        <f xml:space="preserve"> Debt!CL$590</f>
        <v>0</v>
      </c>
      <c r="CM105" s="68">
        <f xml:space="preserve"> Debt!CM$590</f>
        <v>0</v>
      </c>
      <c r="CN105" s="68">
        <f xml:space="preserve"> Debt!CN$590</f>
        <v>0</v>
      </c>
      <c r="CO105" s="68">
        <f xml:space="preserve"> Debt!CO$590</f>
        <v>0</v>
      </c>
      <c r="CP105" s="68">
        <f xml:space="preserve"> Debt!CP$590</f>
        <v>0</v>
      </c>
      <c r="CQ105" s="68">
        <f xml:space="preserve"> Debt!CQ$590</f>
        <v>0</v>
      </c>
      <c r="CR105" s="68">
        <f xml:space="preserve"> Debt!CR$590</f>
        <v>0</v>
      </c>
      <c r="CS105" s="68">
        <f xml:space="preserve"> Debt!CS$590</f>
        <v>0</v>
      </c>
      <c r="CT105" s="68">
        <f xml:space="preserve"> Debt!CT$590</f>
        <v>0</v>
      </c>
      <c r="CU105" s="68">
        <f xml:space="preserve"> Debt!CU$590</f>
        <v>0</v>
      </c>
      <c r="CV105" s="68">
        <f xml:space="preserve"> Debt!CV$590</f>
        <v>0</v>
      </c>
    </row>
    <row r="106" spans="1:192" s="495" customFormat="1" outlineLevel="1" x14ac:dyDescent="0.2">
      <c r="A106" s="15"/>
      <c r="B106" s="15"/>
      <c r="C106" s="21"/>
      <c r="D106" s="48"/>
      <c r="E106" s="396" t="str">
        <f xml:space="preserve"> Debt!E$660</f>
        <v>WCF interest accrued and paid - P99 POS</v>
      </c>
      <c r="F106" s="396">
        <f xml:space="preserve"> Debt!F$660</f>
        <v>0</v>
      </c>
      <c r="G106" s="396" t="str">
        <f xml:space="preserve"> Debt!G$660</f>
        <v>$ 000s</v>
      </c>
      <c r="H106" s="396">
        <f xml:space="preserve"> Debt!H$660</f>
        <v>0</v>
      </c>
      <c r="I106" s="396">
        <f xml:space="preserve"> Debt!I$660</f>
        <v>0</v>
      </c>
      <c r="J106" s="396">
        <f xml:space="preserve"> Debt!J$660</f>
        <v>0</v>
      </c>
      <c r="K106" s="396">
        <f xml:space="preserve"> Debt!K$660</f>
        <v>0</v>
      </c>
      <c r="L106" s="396">
        <f xml:space="preserve"> Debt!L$660</f>
        <v>0</v>
      </c>
      <c r="M106" s="396">
        <f xml:space="preserve"> Debt!M$660</f>
        <v>0</v>
      </c>
      <c r="N106" s="396">
        <f xml:space="preserve"> Debt!N$660</f>
        <v>0</v>
      </c>
      <c r="O106" s="396">
        <f xml:space="preserve"> Debt!O$660</f>
        <v>0</v>
      </c>
      <c r="P106" s="396">
        <f xml:space="preserve"> Debt!P$660</f>
        <v>0</v>
      </c>
      <c r="Q106" s="396">
        <f xml:space="preserve"> Debt!Q$660</f>
        <v>0</v>
      </c>
      <c r="R106" s="396">
        <f xml:space="preserve"> Debt!R$660</f>
        <v>0</v>
      </c>
      <c r="S106" s="396">
        <f xml:space="preserve"> Debt!S$660</f>
        <v>0</v>
      </c>
      <c r="T106" s="396">
        <f xml:space="preserve"> Debt!T$660</f>
        <v>0</v>
      </c>
      <c r="U106" s="396">
        <f xml:space="preserve"> Debt!U$660</f>
        <v>0</v>
      </c>
      <c r="V106" s="396">
        <f xml:space="preserve"> Debt!V$660</f>
        <v>0</v>
      </c>
      <c r="W106" s="396">
        <f xml:space="preserve"> Debt!W$660</f>
        <v>0</v>
      </c>
      <c r="X106" s="396">
        <f xml:space="preserve"> Debt!X$660</f>
        <v>0</v>
      </c>
      <c r="Y106" s="396">
        <f xml:space="preserve"> Debt!Y$660</f>
        <v>0</v>
      </c>
      <c r="Z106" s="396">
        <f xml:space="preserve"> Debt!Z$660</f>
        <v>0</v>
      </c>
      <c r="AA106" s="396">
        <f xml:space="preserve"> Debt!AA$660</f>
        <v>0</v>
      </c>
      <c r="AB106" s="396">
        <f xml:space="preserve"> Debt!AB$660</f>
        <v>0</v>
      </c>
      <c r="AC106" s="396">
        <f xml:space="preserve"> Debt!AC$660</f>
        <v>0</v>
      </c>
      <c r="AD106" s="396">
        <f xml:space="preserve"> Debt!AD$660</f>
        <v>0</v>
      </c>
      <c r="AE106" s="396">
        <f xml:space="preserve"> Debt!AE$660</f>
        <v>0</v>
      </c>
      <c r="AF106" s="396">
        <f xml:space="preserve"> Debt!AF$660</f>
        <v>0</v>
      </c>
      <c r="AG106" s="396">
        <f xml:space="preserve"> Debt!AG$660</f>
        <v>0</v>
      </c>
      <c r="AH106" s="396">
        <f xml:space="preserve"> Debt!AH$660</f>
        <v>0</v>
      </c>
      <c r="AI106" s="396">
        <f xml:space="preserve"> Debt!AI$660</f>
        <v>0</v>
      </c>
      <c r="AJ106" s="396">
        <f xml:space="preserve"> Debt!AJ$660</f>
        <v>0</v>
      </c>
      <c r="AK106" s="396">
        <f xml:space="preserve"> Debt!AK$660</f>
        <v>0</v>
      </c>
      <c r="AL106" s="396">
        <f xml:space="preserve"> Debt!AL$660</f>
        <v>0</v>
      </c>
      <c r="AM106" s="396">
        <f xml:space="preserve"> Debt!AM$660</f>
        <v>0</v>
      </c>
      <c r="AN106" s="396">
        <f xml:space="preserve"> Debt!AN$660</f>
        <v>0</v>
      </c>
      <c r="AO106" s="396">
        <f xml:space="preserve"> Debt!AO$660</f>
        <v>0</v>
      </c>
      <c r="AP106" s="396">
        <f xml:space="preserve"> Debt!AP$660</f>
        <v>0</v>
      </c>
      <c r="AQ106" s="396">
        <f xml:space="preserve"> Debt!AQ$660</f>
        <v>0</v>
      </c>
      <c r="AR106" s="396">
        <f xml:space="preserve"> Debt!AR$660</f>
        <v>0</v>
      </c>
      <c r="AS106" s="396">
        <f xml:space="preserve"> Debt!AS$660</f>
        <v>0</v>
      </c>
      <c r="AT106" s="396">
        <f xml:space="preserve"> Debt!AT$660</f>
        <v>0</v>
      </c>
      <c r="AU106" s="396">
        <f xml:space="preserve"> Debt!AU$660</f>
        <v>0</v>
      </c>
      <c r="AV106" s="396">
        <f xml:space="preserve"> Debt!AV$660</f>
        <v>0</v>
      </c>
      <c r="AW106" s="396">
        <f xml:space="preserve"> Debt!AW$660</f>
        <v>0</v>
      </c>
      <c r="AX106" s="396">
        <f xml:space="preserve"> Debt!AX$660</f>
        <v>0</v>
      </c>
      <c r="AY106" s="396">
        <f xml:space="preserve"> Debt!AY$660</f>
        <v>0</v>
      </c>
      <c r="AZ106" s="396">
        <f xml:space="preserve"> Debt!AZ$660</f>
        <v>0</v>
      </c>
      <c r="BA106" s="396">
        <f xml:space="preserve"> Debt!BA$660</f>
        <v>0</v>
      </c>
      <c r="BB106" s="396">
        <f xml:space="preserve"> Debt!BB$660</f>
        <v>0</v>
      </c>
      <c r="BC106" s="396">
        <f xml:space="preserve"> Debt!BC$660</f>
        <v>0</v>
      </c>
      <c r="BD106" s="396">
        <f xml:space="preserve"> Debt!BD$660</f>
        <v>0</v>
      </c>
      <c r="BE106" s="396">
        <f xml:space="preserve"> Debt!BE$660</f>
        <v>0</v>
      </c>
      <c r="BF106" s="396">
        <f xml:space="preserve"> Debt!BF$660</f>
        <v>0</v>
      </c>
      <c r="BG106" s="396">
        <f xml:space="preserve"> Debt!BG$660</f>
        <v>0</v>
      </c>
      <c r="BH106" s="396">
        <f xml:space="preserve"> Debt!BH$660</f>
        <v>0</v>
      </c>
      <c r="BI106" s="396">
        <f xml:space="preserve"> Debt!BI$660</f>
        <v>0</v>
      </c>
      <c r="BJ106" s="396">
        <f xml:space="preserve"> Debt!BJ$660</f>
        <v>0</v>
      </c>
      <c r="BK106" s="396">
        <f xml:space="preserve"> Debt!BK$660</f>
        <v>0</v>
      </c>
      <c r="BL106" s="396">
        <f xml:space="preserve"> Debt!BL$660</f>
        <v>0</v>
      </c>
      <c r="BM106" s="396">
        <f xml:space="preserve"> Debt!BM$660</f>
        <v>0</v>
      </c>
      <c r="BN106" s="396">
        <f xml:space="preserve"> Debt!BN$660</f>
        <v>0</v>
      </c>
      <c r="BO106" s="396">
        <f xml:space="preserve"> Debt!BO$660</f>
        <v>0</v>
      </c>
      <c r="BP106" s="396">
        <f xml:space="preserve"> Debt!BP$660</f>
        <v>0</v>
      </c>
      <c r="BQ106" s="396">
        <f xml:space="preserve"> Debt!BQ$660</f>
        <v>0</v>
      </c>
      <c r="BR106" s="396">
        <f xml:space="preserve"> Debt!BR$660</f>
        <v>0</v>
      </c>
      <c r="BS106" s="396">
        <f xml:space="preserve"> Debt!BS$660</f>
        <v>0</v>
      </c>
      <c r="BT106" s="396">
        <f xml:space="preserve"> Debt!BT$660</f>
        <v>0</v>
      </c>
      <c r="BU106" s="396">
        <f xml:space="preserve"> Debt!BU$660</f>
        <v>0</v>
      </c>
      <c r="BV106" s="396">
        <f xml:space="preserve"> Debt!BV$660</f>
        <v>0</v>
      </c>
      <c r="BW106" s="396">
        <f xml:space="preserve"> Debt!BW$660</f>
        <v>0</v>
      </c>
      <c r="BX106" s="396">
        <f xml:space="preserve"> Debt!BX$660</f>
        <v>0</v>
      </c>
      <c r="BY106" s="396">
        <f xml:space="preserve"> Debt!BY$660</f>
        <v>0</v>
      </c>
      <c r="BZ106" s="396">
        <f xml:space="preserve"> Debt!BZ$660</f>
        <v>0</v>
      </c>
      <c r="CA106" s="396">
        <f xml:space="preserve"> Debt!CA$660</f>
        <v>0</v>
      </c>
      <c r="CB106" s="396">
        <f xml:space="preserve"> Debt!CB$660</f>
        <v>0</v>
      </c>
      <c r="CC106" s="396">
        <f xml:space="preserve"> Debt!CC$660</f>
        <v>0</v>
      </c>
      <c r="CD106" s="396">
        <f xml:space="preserve"> Debt!CD$660</f>
        <v>0</v>
      </c>
      <c r="CE106" s="396">
        <f xml:space="preserve"> Debt!CE$660</f>
        <v>0</v>
      </c>
      <c r="CF106" s="396">
        <f xml:space="preserve"> Debt!CF$660</f>
        <v>0</v>
      </c>
      <c r="CG106" s="396">
        <f xml:space="preserve"> Debt!CG$660</f>
        <v>0</v>
      </c>
      <c r="CH106" s="396">
        <f xml:space="preserve"> Debt!CH$660</f>
        <v>0</v>
      </c>
      <c r="CI106" s="396">
        <f xml:space="preserve"> Debt!CI$660</f>
        <v>0</v>
      </c>
      <c r="CJ106" s="396">
        <f xml:space="preserve"> Debt!CJ$660</f>
        <v>0</v>
      </c>
      <c r="CK106" s="396">
        <f xml:space="preserve"> Debt!CK$660</f>
        <v>0</v>
      </c>
      <c r="CL106" s="396">
        <f xml:space="preserve"> Debt!CL$660</f>
        <v>0</v>
      </c>
      <c r="CM106" s="396">
        <f xml:space="preserve"> Debt!CM$660</f>
        <v>0</v>
      </c>
      <c r="CN106" s="396">
        <f xml:space="preserve"> Debt!CN$660</f>
        <v>0</v>
      </c>
      <c r="CO106" s="396">
        <f xml:space="preserve"> Debt!CO$660</f>
        <v>0</v>
      </c>
      <c r="CP106" s="396">
        <f xml:space="preserve"> Debt!CP$660</f>
        <v>0</v>
      </c>
      <c r="CQ106" s="396">
        <f xml:space="preserve"> Debt!CQ$660</f>
        <v>0</v>
      </c>
      <c r="CR106" s="396">
        <f xml:space="preserve"> Debt!CR$660</f>
        <v>0</v>
      </c>
      <c r="CS106" s="396">
        <f xml:space="preserve"> Debt!CS$660</f>
        <v>0</v>
      </c>
      <c r="CT106" s="396">
        <f xml:space="preserve"> Debt!CT$660</f>
        <v>0</v>
      </c>
      <c r="CU106" s="396">
        <f xml:space="preserve"> Debt!CU$660</f>
        <v>0</v>
      </c>
      <c r="CV106" s="396">
        <f xml:space="preserve"> Debt!CV$660</f>
        <v>0</v>
      </c>
      <c r="CW106" s="396">
        <f xml:space="preserve"> Debt!CW$660</f>
        <v>0</v>
      </c>
      <c r="CX106" s="396">
        <f xml:space="preserve"> Debt!CX$660</f>
        <v>0</v>
      </c>
      <c r="CY106" s="396">
        <f xml:space="preserve"> Debt!CY$660</f>
        <v>0</v>
      </c>
      <c r="CZ106" s="396">
        <f xml:space="preserve"> Debt!CZ$660</f>
        <v>0</v>
      </c>
      <c r="DA106" s="396">
        <f xml:space="preserve"> Debt!DA$660</f>
        <v>0</v>
      </c>
      <c r="DB106" s="396">
        <f xml:space="preserve"> Debt!DB$660</f>
        <v>0</v>
      </c>
      <c r="DC106" s="396">
        <f xml:space="preserve"> Debt!DC$660</f>
        <v>0</v>
      </c>
      <c r="DD106" s="396">
        <f xml:space="preserve"> Debt!DD$660</f>
        <v>0</v>
      </c>
      <c r="DE106" s="396">
        <f xml:space="preserve"> Debt!DE$660</f>
        <v>0</v>
      </c>
      <c r="DF106" s="396">
        <f xml:space="preserve"> Debt!DF$660</f>
        <v>0</v>
      </c>
      <c r="DG106" s="396">
        <f xml:space="preserve"> Debt!DG$660</f>
        <v>0</v>
      </c>
      <c r="DH106" s="396">
        <f xml:space="preserve"> Debt!DH$660</f>
        <v>0</v>
      </c>
      <c r="DI106" s="396">
        <f xml:space="preserve"> Debt!DI$660</f>
        <v>0</v>
      </c>
      <c r="DJ106" s="396">
        <f xml:space="preserve"> Debt!DJ$660</f>
        <v>0</v>
      </c>
      <c r="DK106" s="396">
        <f xml:space="preserve"> Debt!DK$660</f>
        <v>0</v>
      </c>
      <c r="DL106" s="396">
        <f xml:space="preserve"> Debt!DL$660</f>
        <v>0</v>
      </c>
      <c r="DM106" s="396">
        <f xml:space="preserve"> Debt!DM$660</f>
        <v>0</v>
      </c>
      <c r="DN106" s="396">
        <f xml:space="preserve"> Debt!DN$660</f>
        <v>0</v>
      </c>
      <c r="DO106" s="396">
        <f xml:space="preserve"> Debt!DO$660</f>
        <v>0</v>
      </c>
      <c r="DP106" s="396">
        <f xml:space="preserve"> Debt!DP$660</f>
        <v>0</v>
      </c>
      <c r="DQ106" s="396">
        <f xml:space="preserve"> Debt!DQ$660</f>
        <v>0</v>
      </c>
      <c r="DR106" s="396">
        <f xml:space="preserve"> Debt!DR$660</f>
        <v>0</v>
      </c>
      <c r="DS106" s="396">
        <f xml:space="preserve"> Debt!DS$660</f>
        <v>0</v>
      </c>
      <c r="DT106" s="396">
        <f xml:space="preserve"> Debt!DT$660</f>
        <v>0</v>
      </c>
      <c r="DU106" s="396">
        <f xml:space="preserve"> Debt!DU$660</f>
        <v>0</v>
      </c>
      <c r="DV106" s="396">
        <f xml:space="preserve"> Debt!DV$660</f>
        <v>0</v>
      </c>
      <c r="DW106" s="396">
        <f xml:space="preserve"> Debt!DW$660</f>
        <v>0</v>
      </c>
      <c r="DX106" s="396">
        <f xml:space="preserve"> Debt!DX$660</f>
        <v>0</v>
      </c>
      <c r="DY106" s="396">
        <f xml:space="preserve"> Debt!DY$660</f>
        <v>0</v>
      </c>
      <c r="DZ106" s="396">
        <f xml:space="preserve"> Debt!DZ$660</f>
        <v>0</v>
      </c>
      <c r="EA106" s="396">
        <f xml:space="preserve"> Debt!EA$660</f>
        <v>0</v>
      </c>
      <c r="EB106" s="396">
        <f xml:space="preserve"> Debt!EB$660</f>
        <v>0</v>
      </c>
      <c r="EC106" s="396">
        <f xml:space="preserve"> Debt!EC$660</f>
        <v>0</v>
      </c>
      <c r="ED106" s="396">
        <f xml:space="preserve"> Debt!ED$660</f>
        <v>0</v>
      </c>
      <c r="EE106" s="396">
        <f xml:space="preserve"> Debt!EE$660</f>
        <v>0</v>
      </c>
      <c r="EF106" s="396">
        <f xml:space="preserve"> Debt!EF$660</f>
        <v>0</v>
      </c>
      <c r="EG106" s="396">
        <f xml:space="preserve"> Debt!EG$660</f>
        <v>0</v>
      </c>
      <c r="EH106" s="396">
        <f xml:space="preserve"> Debt!EH$660</f>
        <v>0</v>
      </c>
      <c r="EI106" s="396">
        <f xml:space="preserve"> Debt!EI$660</f>
        <v>0</v>
      </c>
      <c r="EJ106" s="396">
        <f xml:space="preserve"> Debt!EJ$660</f>
        <v>0</v>
      </c>
      <c r="EK106" s="396">
        <f xml:space="preserve"> Debt!EK$660</f>
        <v>0</v>
      </c>
      <c r="EL106" s="396">
        <f xml:space="preserve"> Debt!EL$660</f>
        <v>0</v>
      </c>
      <c r="EM106" s="396">
        <f xml:space="preserve"> Debt!EM$660</f>
        <v>0</v>
      </c>
      <c r="EN106" s="396">
        <f xml:space="preserve"> Debt!EN$660</f>
        <v>0</v>
      </c>
      <c r="EO106" s="396">
        <f xml:space="preserve"> Debt!EO$660</f>
        <v>0</v>
      </c>
      <c r="EP106" s="396">
        <f xml:space="preserve"> Debt!EP$660</f>
        <v>0</v>
      </c>
      <c r="EQ106" s="396">
        <f xml:space="preserve"> Debt!EQ$660</f>
        <v>0</v>
      </c>
      <c r="ER106" s="396">
        <f xml:space="preserve"> Debt!ER$660</f>
        <v>0</v>
      </c>
      <c r="ES106" s="396">
        <f xml:space="preserve"> Debt!ES$660</f>
        <v>0</v>
      </c>
      <c r="ET106" s="396">
        <f xml:space="preserve"> Debt!ET$660</f>
        <v>0</v>
      </c>
      <c r="EU106" s="396">
        <f xml:space="preserve"> Debt!EU$660</f>
        <v>0</v>
      </c>
      <c r="EV106" s="396">
        <f xml:space="preserve"> Debt!EV$660</f>
        <v>0</v>
      </c>
      <c r="EW106" s="396">
        <f xml:space="preserve"> Debt!EW$660</f>
        <v>0</v>
      </c>
      <c r="EX106" s="396">
        <f xml:space="preserve"> Debt!EX$660</f>
        <v>0</v>
      </c>
      <c r="EY106" s="396">
        <f xml:space="preserve"> Debt!EY$660</f>
        <v>0</v>
      </c>
      <c r="EZ106" s="396">
        <f xml:space="preserve"> Debt!EZ$660</f>
        <v>0</v>
      </c>
      <c r="FA106" s="396">
        <f xml:space="preserve"> Debt!FA$660</f>
        <v>0</v>
      </c>
      <c r="FB106" s="396">
        <f xml:space="preserve"> Debt!FB$660</f>
        <v>0</v>
      </c>
      <c r="FC106" s="396">
        <f xml:space="preserve"> Debt!FC$660</f>
        <v>0</v>
      </c>
      <c r="FD106" s="396">
        <f xml:space="preserve"> Debt!FD$660</f>
        <v>0</v>
      </c>
      <c r="FE106" s="396">
        <f xml:space="preserve"> Debt!FE$660</f>
        <v>0</v>
      </c>
      <c r="FF106" s="396">
        <f xml:space="preserve"> Debt!FF$660</f>
        <v>0</v>
      </c>
      <c r="FG106" s="396">
        <f xml:space="preserve"> Debt!FG$660</f>
        <v>0</v>
      </c>
      <c r="FH106" s="396">
        <f xml:space="preserve"> Debt!FH$660</f>
        <v>0</v>
      </c>
      <c r="FI106" s="396">
        <f xml:space="preserve"> Debt!FI$660</f>
        <v>0</v>
      </c>
      <c r="FJ106" s="396">
        <f xml:space="preserve"> Debt!FJ$660</f>
        <v>0</v>
      </c>
      <c r="FK106" s="396">
        <f xml:space="preserve"> Debt!FK$660</f>
        <v>0</v>
      </c>
      <c r="FL106" s="396">
        <f xml:space="preserve"> Debt!FL$660</f>
        <v>0</v>
      </c>
      <c r="FM106" s="396">
        <f xml:space="preserve"> Debt!FM$660</f>
        <v>0</v>
      </c>
      <c r="FN106" s="396">
        <f xml:space="preserve"> Debt!FN$660</f>
        <v>0</v>
      </c>
      <c r="FO106" s="396">
        <f xml:space="preserve"> Debt!FO$660</f>
        <v>0</v>
      </c>
      <c r="FP106" s="396">
        <f xml:space="preserve"> Debt!FP$660</f>
        <v>0</v>
      </c>
      <c r="FQ106" s="396">
        <f xml:space="preserve"> Debt!FQ$660</f>
        <v>0</v>
      </c>
      <c r="FR106" s="396">
        <f xml:space="preserve"> Debt!FR$660</f>
        <v>0</v>
      </c>
      <c r="FS106" s="396">
        <f xml:space="preserve"> Debt!FS$660</f>
        <v>0</v>
      </c>
      <c r="FT106" s="396">
        <f xml:space="preserve"> Debt!FT$660</f>
        <v>0</v>
      </c>
      <c r="FU106" s="396">
        <f xml:space="preserve"> Debt!FU$660</f>
        <v>0</v>
      </c>
      <c r="FV106" s="396">
        <f xml:space="preserve"> Debt!FV$660</f>
        <v>0</v>
      </c>
      <c r="FW106" s="396">
        <f xml:space="preserve"> Debt!FW$660</f>
        <v>0</v>
      </c>
      <c r="FX106" s="396">
        <f xml:space="preserve"> Debt!FX$660</f>
        <v>0</v>
      </c>
      <c r="FY106" s="396">
        <f xml:space="preserve"> Debt!FY$660</f>
        <v>0</v>
      </c>
      <c r="FZ106" s="396">
        <f xml:space="preserve"> Debt!FZ$660</f>
        <v>0</v>
      </c>
      <c r="GA106" s="396">
        <f xml:space="preserve"> Debt!GA$660</f>
        <v>0</v>
      </c>
      <c r="GB106" s="396">
        <f xml:space="preserve"> Debt!GB$660</f>
        <v>0</v>
      </c>
      <c r="GC106" s="396">
        <f xml:space="preserve"> Debt!GC$660</f>
        <v>0</v>
      </c>
      <c r="GD106" s="396">
        <f xml:space="preserve"> Debt!GD$660</f>
        <v>0</v>
      </c>
      <c r="GE106" s="396">
        <f xml:space="preserve"> Debt!GE$660</f>
        <v>0</v>
      </c>
      <c r="GF106" s="396">
        <f xml:space="preserve"> Debt!GF$660</f>
        <v>0</v>
      </c>
      <c r="GG106" s="396">
        <f xml:space="preserve"> Debt!GG$660</f>
        <v>0</v>
      </c>
      <c r="GH106" s="396">
        <f xml:space="preserve"> Debt!GH$660</f>
        <v>0</v>
      </c>
      <c r="GI106" s="396">
        <f xml:space="preserve"> Debt!GI$660</f>
        <v>0</v>
      </c>
      <c r="GJ106" s="396">
        <f xml:space="preserve"> Debt!GJ$660</f>
        <v>0</v>
      </c>
    </row>
    <row r="107" spans="1:192" s="495" customFormat="1" outlineLevel="1" x14ac:dyDescent="0.2">
      <c r="A107" s="15"/>
      <c r="B107" s="15"/>
      <c r="C107" s="21"/>
      <c r="D107" s="48"/>
      <c r="E107" s="68" t="str">
        <f xml:space="preserve"> DSRA!E$173</f>
        <v>DSRA LC fee accrued and paid POS</v>
      </c>
      <c r="F107" s="68">
        <f xml:space="preserve"> DSRA!F$173</f>
        <v>0</v>
      </c>
      <c r="G107" s="68" t="str">
        <f xml:space="preserve"> DSRA!G$173</f>
        <v>$ 000s</v>
      </c>
      <c r="H107" s="68">
        <f xml:space="preserve"> DSRA!H$173</f>
        <v>0</v>
      </c>
      <c r="I107" s="68">
        <f xml:space="preserve"> DSRA!I$173</f>
        <v>0</v>
      </c>
      <c r="J107" s="68">
        <f xml:space="preserve"> DSRA!J$173</f>
        <v>0</v>
      </c>
      <c r="K107" s="68">
        <f xml:space="preserve"> DSRA!K$173</f>
        <v>0</v>
      </c>
      <c r="L107" s="68">
        <f xml:space="preserve"> DSRA!L$173</f>
        <v>0</v>
      </c>
      <c r="M107" s="68">
        <f xml:space="preserve"> DSRA!M$173</f>
        <v>0</v>
      </c>
      <c r="N107" s="68">
        <f xml:space="preserve"> DSRA!N$173</f>
        <v>0</v>
      </c>
      <c r="O107" s="68">
        <f xml:space="preserve"> DSRA!O$173</f>
        <v>0</v>
      </c>
      <c r="P107" s="68">
        <f xml:space="preserve"> DSRA!P$173</f>
        <v>0</v>
      </c>
      <c r="Q107" s="68">
        <f xml:space="preserve"> DSRA!Q$173</f>
        <v>0</v>
      </c>
      <c r="R107" s="68">
        <f xml:space="preserve"> DSRA!R$173</f>
        <v>0</v>
      </c>
      <c r="S107" s="68">
        <f xml:space="preserve"> DSRA!S$173</f>
        <v>0</v>
      </c>
      <c r="T107" s="68">
        <f xml:space="preserve"> DSRA!T$173</f>
        <v>0</v>
      </c>
      <c r="U107" s="68">
        <f xml:space="preserve"> DSRA!U$173</f>
        <v>0</v>
      </c>
      <c r="V107" s="68">
        <f xml:space="preserve"> DSRA!V$173</f>
        <v>0</v>
      </c>
      <c r="W107" s="68">
        <f xml:space="preserve"> DSRA!W$173</f>
        <v>0</v>
      </c>
      <c r="X107" s="68">
        <f xml:space="preserve"> DSRA!X$173</f>
        <v>0</v>
      </c>
      <c r="Y107" s="68">
        <f xml:space="preserve"> DSRA!Y$173</f>
        <v>0</v>
      </c>
      <c r="Z107" s="68">
        <f xml:space="preserve"> DSRA!Z$173</f>
        <v>0</v>
      </c>
      <c r="AA107" s="68">
        <f xml:space="preserve"> DSRA!AA$173</f>
        <v>0</v>
      </c>
      <c r="AB107" s="68">
        <f xml:space="preserve"> DSRA!AB$173</f>
        <v>0</v>
      </c>
      <c r="AC107" s="68">
        <f xml:space="preserve"> DSRA!AC$173</f>
        <v>0</v>
      </c>
      <c r="AD107" s="68">
        <f xml:space="preserve"> DSRA!AD$173</f>
        <v>0</v>
      </c>
      <c r="AE107" s="68">
        <f xml:space="preserve"> DSRA!AE$173</f>
        <v>0</v>
      </c>
      <c r="AF107" s="68">
        <f xml:space="preserve"> DSRA!AF$173</f>
        <v>0</v>
      </c>
      <c r="AG107" s="68">
        <f xml:space="preserve"> DSRA!AG$173</f>
        <v>0</v>
      </c>
      <c r="AH107" s="68">
        <f xml:space="preserve"> DSRA!AH$173</f>
        <v>0</v>
      </c>
      <c r="AI107" s="68">
        <f xml:space="preserve"> DSRA!AI$173</f>
        <v>0</v>
      </c>
      <c r="AJ107" s="68">
        <f xml:space="preserve"> DSRA!AJ$173</f>
        <v>0</v>
      </c>
      <c r="AK107" s="68">
        <f xml:space="preserve"> DSRA!AK$173</f>
        <v>0</v>
      </c>
      <c r="AL107" s="68">
        <f xml:space="preserve"> DSRA!AL$173</f>
        <v>0</v>
      </c>
      <c r="AM107" s="68">
        <f xml:space="preserve"> DSRA!AM$173</f>
        <v>0</v>
      </c>
      <c r="AN107" s="68">
        <f xml:space="preserve"> DSRA!AN$173</f>
        <v>0</v>
      </c>
      <c r="AO107" s="68">
        <f xml:space="preserve"> DSRA!AO$173</f>
        <v>0</v>
      </c>
      <c r="AP107" s="68">
        <f xml:space="preserve"> DSRA!AP$173</f>
        <v>0</v>
      </c>
      <c r="AQ107" s="68">
        <f xml:space="preserve"> DSRA!AQ$173</f>
        <v>0</v>
      </c>
      <c r="AR107" s="68">
        <f xml:space="preserve"> DSRA!AR$173</f>
        <v>0</v>
      </c>
      <c r="AS107" s="68">
        <f xml:space="preserve"> DSRA!AS$173</f>
        <v>0</v>
      </c>
      <c r="AT107" s="68">
        <f xml:space="preserve"> DSRA!AT$173</f>
        <v>0</v>
      </c>
      <c r="AU107" s="68">
        <f xml:space="preserve"> DSRA!AU$173</f>
        <v>0</v>
      </c>
      <c r="AV107" s="68">
        <f xml:space="preserve"> DSRA!AV$173</f>
        <v>0</v>
      </c>
      <c r="AW107" s="68">
        <f xml:space="preserve"> DSRA!AW$173</f>
        <v>0</v>
      </c>
      <c r="AX107" s="68">
        <f xml:space="preserve"> DSRA!AX$173</f>
        <v>0</v>
      </c>
      <c r="AY107" s="68">
        <f xml:space="preserve"> DSRA!AY$173</f>
        <v>0</v>
      </c>
      <c r="AZ107" s="68">
        <f xml:space="preserve"> DSRA!AZ$173</f>
        <v>0</v>
      </c>
      <c r="BA107" s="68">
        <f xml:space="preserve"> DSRA!BA$173</f>
        <v>0</v>
      </c>
      <c r="BB107" s="68">
        <f xml:space="preserve"> DSRA!BB$173</f>
        <v>0</v>
      </c>
      <c r="BC107" s="68">
        <f xml:space="preserve"> DSRA!BC$173</f>
        <v>0</v>
      </c>
      <c r="BD107" s="68">
        <f xml:space="preserve"> DSRA!BD$173</f>
        <v>0</v>
      </c>
      <c r="BE107" s="68">
        <f xml:space="preserve"> DSRA!BE$173</f>
        <v>0</v>
      </c>
      <c r="BF107" s="68">
        <f xml:space="preserve"> DSRA!BF$173</f>
        <v>0</v>
      </c>
      <c r="BG107" s="68">
        <f xml:space="preserve"> DSRA!BG$173</f>
        <v>0</v>
      </c>
      <c r="BH107" s="68">
        <f xml:space="preserve"> DSRA!BH$173</f>
        <v>0</v>
      </c>
      <c r="BI107" s="68">
        <f xml:space="preserve"> DSRA!BI$173</f>
        <v>0</v>
      </c>
      <c r="BJ107" s="68">
        <f xml:space="preserve"> DSRA!BJ$173</f>
        <v>0</v>
      </c>
      <c r="BK107" s="68">
        <f xml:space="preserve"> DSRA!BK$173</f>
        <v>0</v>
      </c>
      <c r="BL107" s="68">
        <f xml:space="preserve"> DSRA!BL$173</f>
        <v>0</v>
      </c>
      <c r="BM107" s="68">
        <f xml:space="preserve"> DSRA!BM$173</f>
        <v>0</v>
      </c>
      <c r="BN107" s="68">
        <f xml:space="preserve"> DSRA!BN$173</f>
        <v>0</v>
      </c>
      <c r="BO107" s="68">
        <f xml:space="preserve"> DSRA!BO$173</f>
        <v>0</v>
      </c>
      <c r="BP107" s="68">
        <f xml:space="preserve"> DSRA!BP$173</f>
        <v>0</v>
      </c>
      <c r="BQ107" s="68">
        <f xml:space="preserve"> DSRA!BQ$173</f>
        <v>0</v>
      </c>
      <c r="BR107" s="68">
        <f xml:space="preserve"> DSRA!BR$173</f>
        <v>0</v>
      </c>
      <c r="BS107" s="68">
        <f xml:space="preserve"> DSRA!BS$173</f>
        <v>0</v>
      </c>
      <c r="BT107" s="68">
        <f xml:space="preserve"> DSRA!BT$173</f>
        <v>0</v>
      </c>
      <c r="BU107" s="68">
        <f xml:space="preserve"> DSRA!BU$173</f>
        <v>0</v>
      </c>
      <c r="BV107" s="68">
        <f xml:space="preserve"> DSRA!BV$173</f>
        <v>0</v>
      </c>
      <c r="BW107" s="68">
        <f xml:space="preserve"> DSRA!BW$173</f>
        <v>0</v>
      </c>
      <c r="BX107" s="68">
        <f xml:space="preserve"> DSRA!BX$173</f>
        <v>0</v>
      </c>
      <c r="BY107" s="68">
        <f xml:space="preserve"> DSRA!BY$173</f>
        <v>0</v>
      </c>
      <c r="BZ107" s="68">
        <f xml:space="preserve"> DSRA!BZ$173</f>
        <v>0</v>
      </c>
      <c r="CA107" s="68">
        <f xml:space="preserve"> DSRA!CA$173</f>
        <v>0</v>
      </c>
      <c r="CB107" s="68">
        <f xml:space="preserve"> DSRA!CB$173</f>
        <v>0</v>
      </c>
      <c r="CC107" s="68">
        <f xml:space="preserve"> DSRA!CC$173</f>
        <v>0</v>
      </c>
      <c r="CD107" s="68">
        <f xml:space="preserve"> DSRA!CD$173</f>
        <v>0</v>
      </c>
      <c r="CE107" s="68">
        <f xml:space="preserve"> DSRA!CE$173</f>
        <v>0</v>
      </c>
      <c r="CF107" s="68">
        <f xml:space="preserve"> DSRA!CF$173</f>
        <v>0</v>
      </c>
      <c r="CG107" s="68">
        <f xml:space="preserve"> DSRA!CG$173</f>
        <v>0</v>
      </c>
      <c r="CH107" s="68">
        <f xml:space="preserve"> DSRA!CH$173</f>
        <v>0</v>
      </c>
      <c r="CI107" s="68">
        <f xml:space="preserve"> DSRA!CI$173</f>
        <v>0</v>
      </c>
      <c r="CJ107" s="68">
        <f xml:space="preserve"> DSRA!CJ$173</f>
        <v>0</v>
      </c>
      <c r="CK107" s="68">
        <f xml:space="preserve"> DSRA!CK$173</f>
        <v>0</v>
      </c>
      <c r="CL107" s="68">
        <f xml:space="preserve"> DSRA!CL$173</f>
        <v>0</v>
      </c>
      <c r="CM107" s="68">
        <f xml:space="preserve"> DSRA!CM$173</f>
        <v>0</v>
      </c>
      <c r="CN107" s="68">
        <f xml:space="preserve"> DSRA!CN$173</f>
        <v>0</v>
      </c>
      <c r="CO107" s="68">
        <f xml:space="preserve"> DSRA!CO$173</f>
        <v>0</v>
      </c>
      <c r="CP107" s="68">
        <f xml:space="preserve"> DSRA!CP$173</f>
        <v>0</v>
      </c>
      <c r="CQ107" s="68">
        <f xml:space="preserve"> DSRA!CQ$173</f>
        <v>0</v>
      </c>
      <c r="CR107" s="68">
        <f xml:space="preserve"> DSRA!CR$173</f>
        <v>0</v>
      </c>
      <c r="CS107" s="68">
        <f xml:space="preserve"> DSRA!CS$173</f>
        <v>0</v>
      </c>
      <c r="CT107" s="68">
        <f xml:space="preserve"> DSRA!CT$173</f>
        <v>0</v>
      </c>
      <c r="CU107" s="68">
        <f xml:space="preserve"> DSRA!CU$173</f>
        <v>0</v>
      </c>
      <c r="CV107" s="68">
        <f xml:space="preserve"> DSRA!CV$173</f>
        <v>0</v>
      </c>
    </row>
    <row r="108" spans="1:192" outlineLevel="1" x14ac:dyDescent="0.2">
      <c r="E108" s="491" t="s">
        <v>1243</v>
      </c>
      <c r="F108" s="491"/>
      <c r="G108" s="491" t="str">
        <f xml:space="preserve"> SMU</f>
        <v>$ 000s</v>
      </c>
      <c r="H108" s="491">
        <f ca="1" xml:space="preserve"> SUM(J108:CV108)</f>
        <v>813108.94763406226</v>
      </c>
      <c r="I108" s="233"/>
      <c r="J108" s="491">
        <f t="shared" ref="J108:AO108" ca="1" si="128">SUM(J98:J107)</f>
        <v>0</v>
      </c>
      <c r="K108" s="491">
        <f t="shared" ca="1" si="128"/>
        <v>0</v>
      </c>
      <c r="L108" s="491">
        <f t="shared" ca="1" si="128"/>
        <v>0</v>
      </c>
      <c r="M108" s="491">
        <f t="shared" ca="1" si="128"/>
        <v>0</v>
      </c>
      <c r="N108" s="491">
        <f t="shared" ca="1" si="128"/>
        <v>0</v>
      </c>
      <c r="O108" s="491">
        <f t="shared" ca="1" si="128"/>
        <v>10874.073270598874</v>
      </c>
      <c r="P108" s="491">
        <f t="shared" ca="1" si="128"/>
        <v>10853.985620741338</v>
      </c>
      <c r="Q108" s="491">
        <f t="shared" ca="1" si="128"/>
        <v>11084.979117946408</v>
      </c>
      <c r="R108" s="491">
        <f t="shared" ca="1" si="128"/>
        <v>11158.438115927076</v>
      </c>
      <c r="S108" s="491">
        <f t="shared" ca="1" si="128"/>
        <v>11416.68073493928</v>
      </c>
      <c r="T108" s="491">
        <f t="shared" ca="1" si="128"/>
        <v>11528.216302545607</v>
      </c>
      <c r="U108" s="491">
        <f t="shared" ca="1" si="128"/>
        <v>11818.299302689338</v>
      </c>
      <c r="V108" s="491">
        <f t="shared" ca="1" si="128"/>
        <v>11997.754321670807</v>
      </c>
      <c r="W108" s="491">
        <f t="shared" ca="1" si="128"/>
        <v>12298.558345614012</v>
      </c>
      <c r="X108" s="491">
        <f t="shared" ca="1" si="128"/>
        <v>12501.737151900783</v>
      </c>
      <c r="Y108" s="491">
        <f t="shared" ca="1" si="128"/>
        <v>13061.226921248639</v>
      </c>
      <c r="Z108" s="491">
        <f t="shared" ca="1" si="128"/>
        <v>13312.25752325241</v>
      </c>
      <c r="AA108" s="491">
        <f t="shared" ca="1" si="128"/>
        <v>13727.406193651424</v>
      </c>
      <c r="AB108" s="491">
        <f t="shared" ca="1" si="128"/>
        <v>14038.761325675525</v>
      </c>
      <c r="AC108" s="491">
        <f t="shared" ca="1" si="128"/>
        <v>14507.974465127892</v>
      </c>
      <c r="AD108" s="491">
        <f t="shared" ca="1" si="128"/>
        <v>14906.588472223695</v>
      </c>
      <c r="AE108" s="491">
        <f t="shared" ca="1" si="128"/>
        <v>15417.222193892321</v>
      </c>
      <c r="AF108" s="491">
        <f t="shared" ca="1" si="128"/>
        <v>15873.372375822746</v>
      </c>
      <c r="AG108" s="491">
        <f t="shared" ca="1" si="128"/>
        <v>16473.103985000533</v>
      </c>
      <c r="AH108" s="491">
        <f t="shared" ca="1" si="128"/>
        <v>17014.047595449774</v>
      </c>
      <c r="AI108" s="491">
        <f t="shared" ca="1" si="128"/>
        <v>17838.835031196861</v>
      </c>
      <c r="AJ108" s="491">
        <f t="shared" ca="1" si="128"/>
        <v>18467.275855353269</v>
      </c>
      <c r="AK108" s="491">
        <f t="shared" ca="1" si="128"/>
        <v>19232.36157843814</v>
      </c>
      <c r="AL108" s="491">
        <f t="shared" ca="1" si="128"/>
        <v>19980.832911141326</v>
      </c>
      <c r="AM108" s="491">
        <f t="shared" ca="1" si="128"/>
        <v>20834.488055398469</v>
      </c>
      <c r="AN108" s="491">
        <f t="shared" ca="1" si="128"/>
        <v>21692.347109323633</v>
      </c>
      <c r="AO108" s="491">
        <f t="shared" ca="1" si="128"/>
        <v>22673.572198067548</v>
      </c>
      <c r="AP108" s="491">
        <f t="shared" ref="AP108:CV108" ca="1" si="129">SUM(AP98:AP107)</f>
        <v>23666.642245781542</v>
      </c>
      <c r="AQ108" s="491">
        <f t="shared" ca="1" si="129"/>
        <v>24778.367469409131</v>
      </c>
      <c r="AR108" s="491">
        <f t="shared" ca="1" si="129"/>
        <v>25924.299034360392</v>
      </c>
      <c r="AS108" s="491">
        <f t="shared" ca="1" si="129"/>
        <v>27184.290413822113</v>
      </c>
      <c r="AT108" s="491">
        <f t="shared" ca="1" si="129"/>
        <v>28521.293845853394</v>
      </c>
      <c r="AU108" s="491">
        <f t="shared" ca="1" si="129"/>
        <v>29962.076308208347</v>
      </c>
      <c r="AV108" s="491">
        <f t="shared" ca="1" si="129"/>
        <v>31199.05297841323</v>
      </c>
      <c r="AW108" s="491">
        <f t="shared" ca="1" si="129"/>
        <v>32528.804334541885</v>
      </c>
      <c r="AX108" s="491">
        <f t="shared" ca="1" si="129"/>
        <v>33883.660065554199</v>
      </c>
      <c r="AY108" s="491">
        <f t="shared" ca="1" si="129"/>
        <v>35324.332503005178</v>
      </c>
      <c r="AZ108" s="491">
        <f t="shared" ca="1" si="129"/>
        <v>36855.59762053196</v>
      </c>
      <c r="BA108" s="491">
        <f t="shared" ca="1" si="129"/>
        <v>38483.261376783885</v>
      </c>
      <c r="BB108" s="491">
        <f t="shared" ca="1" si="129"/>
        <v>40212.873362959261</v>
      </c>
      <c r="BC108" s="491">
        <f t="shared" ca="1" si="129"/>
        <v>0</v>
      </c>
      <c r="BD108" s="491">
        <f t="shared" ca="1" si="129"/>
        <v>0</v>
      </c>
      <c r="BE108" s="491">
        <f t="shared" ca="1" si="129"/>
        <v>0</v>
      </c>
      <c r="BF108" s="491">
        <f t="shared" ca="1" si="129"/>
        <v>0</v>
      </c>
      <c r="BG108" s="491">
        <f t="shared" ca="1" si="129"/>
        <v>0</v>
      </c>
      <c r="BH108" s="491">
        <f t="shared" ca="1" si="129"/>
        <v>0</v>
      </c>
      <c r="BI108" s="491">
        <f t="shared" ca="1" si="129"/>
        <v>0</v>
      </c>
      <c r="BJ108" s="491">
        <f t="shared" ca="1" si="129"/>
        <v>0</v>
      </c>
      <c r="BK108" s="491">
        <f t="shared" ca="1" si="129"/>
        <v>0</v>
      </c>
      <c r="BL108" s="491">
        <f t="shared" ca="1" si="129"/>
        <v>0</v>
      </c>
      <c r="BM108" s="491">
        <f t="shared" ca="1" si="129"/>
        <v>0</v>
      </c>
      <c r="BN108" s="491">
        <f t="shared" ca="1" si="129"/>
        <v>0</v>
      </c>
      <c r="BO108" s="491">
        <f t="shared" ca="1" si="129"/>
        <v>0</v>
      </c>
      <c r="BP108" s="491">
        <f t="shared" ca="1" si="129"/>
        <v>0</v>
      </c>
      <c r="BQ108" s="491">
        <f t="shared" ca="1" si="129"/>
        <v>0</v>
      </c>
      <c r="BR108" s="491">
        <f t="shared" ca="1" si="129"/>
        <v>0</v>
      </c>
      <c r="BS108" s="491">
        <f t="shared" ca="1" si="129"/>
        <v>0</v>
      </c>
      <c r="BT108" s="491">
        <f t="shared" ca="1" si="129"/>
        <v>0</v>
      </c>
      <c r="BU108" s="491">
        <f t="shared" ca="1" si="129"/>
        <v>0</v>
      </c>
      <c r="BV108" s="491">
        <f t="shared" ca="1" si="129"/>
        <v>0</v>
      </c>
      <c r="BW108" s="491">
        <f t="shared" ca="1" si="129"/>
        <v>0</v>
      </c>
      <c r="BX108" s="491">
        <f t="shared" ca="1" si="129"/>
        <v>0</v>
      </c>
      <c r="BY108" s="491">
        <f t="shared" ca="1" si="129"/>
        <v>0</v>
      </c>
      <c r="BZ108" s="491">
        <f t="shared" ca="1" si="129"/>
        <v>0</v>
      </c>
      <c r="CA108" s="491">
        <f t="shared" ca="1" si="129"/>
        <v>0</v>
      </c>
      <c r="CB108" s="491">
        <f t="shared" ca="1" si="129"/>
        <v>0</v>
      </c>
      <c r="CC108" s="491">
        <f t="shared" ca="1" si="129"/>
        <v>0</v>
      </c>
      <c r="CD108" s="491">
        <f t="shared" ca="1" si="129"/>
        <v>0</v>
      </c>
      <c r="CE108" s="491">
        <f t="shared" ca="1" si="129"/>
        <v>0</v>
      </c>
      <c r="CF108" s="491">
        <f t="shared" ca="1" si="129"/>
        <v>0</v>
      </c>
      <c r="CG108" s="491">
        <f t="shared" ca="1" si="129"/>
        <v>0</v>
      </c>
      <c r="CH108" s="491">
        <f t="shared" ca="1" si="129"/>
        <v>0</v>
      </c>
      <c r="CI108" s="491">
        <f t="shared" ca="1" si="129"/>
        <v>0</v>
      </c>
      <c r="CJ108" s="491">
        <f t="shared" ca="1" si="129"/>
        <v>0</v>
      </c>
      <c r="CK108" s="491">
        <f t="shared" ca="1" si="129"/>
        <v>0</v>
      </c>
      <c r="CL108" s="491">
        <f t="shared" ca="1" si="129"/>
        <v>0</v>
      </c>
      <c r="CM108" s="491">
        <f t="shared" ca="1" si="129"/>
        <v>0</v>
      </c>
      <c r="CN108" s="491">
        <f t="shared" ca="1" si="129"/>
        <v>0</v>
      </c>
      <c r="CO108" s="491">
        <f t="shared" ca="1" si="129"/>
        <v>0</v>
      </c>
      <c r="CP108" s="491">
        <f t="shared" ca="1" si="129"/>
        <v>0</v>
      </c>
      <c r="CQ108" s="491">
        <f t="shared" ca="1" si="129"/>
        <v>0</v>
      </c>
      <c r="CR108" s="491">
        <f t="shared" ca="1" si="129"/>
        <v>0</v>
      </c>
      <c r="CS108" s="491">
        <f t="shared" ca="1" si="129"/>
        <v>0</v>
      </c>
      <c r="CT108" s="491">
        <f t="shared" ca="1" si="129"/>
        <v>0</v>
      </c>
      <c r="CU108" s="491">
        <f t="shared" ca="1" si="129"/>
        <v>0</v>
      </c>
      <c r="CV108" s="491">
        <f t="shared" ca="1" si="129"/>
        <v>0</v>
      </c>
    </row>
    <row r="109" spans="1:192" outlineLevel="1" x14ac:dyDescent="0.2"/>
    <row r="111" spans="1:192" x14ac:dyDescent="0.2">
      <c r="A111" s="15" t="s">
        <v>1315</v>
      </c>
    </row>
    <row r="112" spans="1:192" outlineLevel="1" x14ac:dyDescent="0.2">
      <c r="E112" s="186" t="str">
        <f xml:space="preserve"> 'FS Semi_P99'!E$27</f>
        <v>Profit before tax - P99</v>
      </c>
      <c r="F112" s="186">
        <f xml:space="preserve"> 'FS Semi_P99'!F$27</f>
        <v>0</v>
      </c>
      <c r="G112" s="186" t="str">
        <f xml:space="preserve"> 'FS Semi_P99'!G$27</f>
        <v>$ 000s</v>
      </c>
      <c r="H112" s="186">
        <f ca="1" xml:space="preserve"> 'FS Semi_P99'!H$27</f>
        <v>-698470.02400454739</v>
      </c>
      <c r="I112" s="186">
        <f xml:space="preserve"> 'FS Semi_P99'!I$27</f>
        <v>0</v>
      </c>
      <c r="J112" s="186">
        <f xml:space="preserve"> 'FS Semi_P99'!J$27</f>
        <v>0</v>
      </c>
      <c r="K112" s="186">
        <f ca="1" xml:space="preserve"> 'FS Semi_P99'!K$27</f>
        <v>0</v>
      </c>
      <c r="L112" s="186">
        <f ca="1" xml:space="preserve"> 'FS Semi_P99'!L$27</f>
        <v>0</v>
      </c>
      <c r="M112" s="186">
        <f ca="1" xml:space="preserve"> 'FS Semi_P99'!M$27</f>
        <v>0</v>
      </c>
      <c r="N112" s="186">
        <f ca="1" xml:space="preserve"> 'FS Semi_P99'!N$27</f>
        <v>0</v>
      </c>
      <c r="O112" s="186">
        <f ca="1" xml:space="preserve"> 'FS Semi_P99'!O$27</f>
        <v>-6944.2594395192036</v>
      </c>
      <c r="P112" s="186">
        <f ca="1" xml:space="preserve"> 'FS Semi_P99'!P$27</f>
        <v>-6924.1717896616674</v>
      </c>
      <c r="Q112" s="186">
        <f ca="1" xml:space="preserve"> 'FS Semi_P99'!Q$27</f>
        <v>-7268.1527403369701</v>
      </c>
      <c r="R112" s="186">
        <f ca="1" xml:space="preserve"> 'FS Semi_P99'!R$27</f>
        <v>-7341.6117383176379</v>
      </c>
      <c r="S112" s="186">
        <f ca="1" xml:space="preserve"> 'FS Semi_P99'!S$27</f>
        <v>-7714.4085306073821</v>
      </c>
      <c r="T112" s="186">
        <f ca="1" xml:space="preserve"> 'FS Semi_P99'!T$27</f>
        <v>-7825.9440982137085</v>
      </c>
      <c r="U112" s="186">
        <f ca="1" xml:space="preserve"> 'FS Semi_P99'!U$27</f>
        <v>-8232.1809381544881</v>
      </c>
      <c r="V112" s="186">
        <f ca="1" xml:space="preserve"> 'FS Semi_P99'!V$27</f>
        <v>-8411.6359571359571</v>
      </c>
      <c r="W112" s="186">
        <f ca="1" xml:space="preserve"> 'FS Semi_P99'!W$27</f>
        <v>-8830.2270939381415</v>
      </c>
      <c r="X112" s="186">
        <f ca="1" xml:space="preserve"> 'FS Semi_P99'!X$27</f>
        <v>-9033.4059002249123</v>
      </c>
      <c r="Y112" s="186">
        <f ca="1" xml:space="preserve"> 'FS Semi_P99'!Y$27</f>
        <v>-9712.3503351351028</v>
      </c>
      <c r="Z112" s="186">
        <f ca="1" xml:space="preserve"> 'FS Semi_P99'!Z$27</f>
        <v>-9963.3809371388743</v>
      </c>
      <c r="AA112" s="186">
        <f ca="1" xml:space="preserve"> 'FS Semi_P99'!AA$27</f>
        <v>-10499.686792079247</v>
      </c>
      <c r="AB112" s="186">
        <f ca="1" xml:space="preserve"> 'FS Semi_P99'!AB$27</f>
        <v>-10811.041924103349</v>
      </c>
      <c r="AC112" s="186">
        <f ca="1" xml:space="preserve"> 'FS Semi_P99'!AC$27</f>
        <v>-11403.150433793242</v>
      </c>
      <c r="AD112" s="186">
        <f ca="1" xml:space="preserve"> 'FS Semi_P99'!AD$27</f>
        <v>-11801.764440889045</v>
      </c>
      <c r="AE112" s="186">
        <f ca="1" xml:space="preserve"> 'FS Semi_P99'!AE$27</f>
        <v>-12437.068099734508</v>
      </c>
      <c r="AF112" s="186">
        <f ca="1" xml:space="preserve"> 'FS Semi_P99'!AF$27</f>
        <v>-12893.218281664933</v>
      </c>
      <c r="AG112" s="186">
        <f ca="1" xml:space="preserve"> 'FS Semi_P99'!AG$27</f>
        <v>-13619.431505095541</v>
      </c>
      <c r="AH112" s="186">
        <f ca="1" xml:space="preserve"> 'FS Semi_P99'!AH$27</f>
        <v>-14160.375115544783</v>
      </c>
      <c r="AI112" s="186">
        <f ca="1" xml:space="preserve"> 'FS Semi_P99'!AI$27</f>
        <v>-15113.493696306989</v>
      </c>
      <c r="AJ112" s="186">
        <f ca="1" xml:space="preserve"> 'FS Semi_P99'!AJ$27</f>
        <v>-15741.934520463397</v>
      </c>
      <c r="AK112" s="186">
        <f ca="1" xml:space="preserve"> 'FS Semi_P99'!AK$27</f>
        <v>-16637.239531512227</v>
      </c>
      <c r="AL112" s="186">
        <f ca="1" xml:space="preserve"> 'FS Semi_P99'!AL$27</f>
        <v>-17385.710864215413</v>
      </c>
      <c r="AM112" s="186">
        <f ca="1" xml:space="preserve"> 'FS Semi_P99'!AM$27</f>
        <v>-18371.512825322938</v>
      </c>
      <c r="AN112" s="186">
        <f ca="1" xml:space="preserve"> 'FS Semi_P99'!AN$27</f>
        <v>-19229.371879248101</v>
      </c>
      <c r="AO112" s="186">
        <f ca="1" xml:space="preserve"> 'FS Semi_P99'!AO$27</f>
        <v>-20344.711488974714</v>
      </c>
      <c r="AP112" s="186">
        <f ca="1" xml:space="preserve"> 'FS Semi_P99'!AP$27</f>
        <v>-21337.781536688708</v>
      </c>
      <c r="AQ112" s="186">
        <f ca="1" xml:space="preserve"> 'FS Semi_P99'!AQ$27</f>
        <v>-22585.629965855253</v>
      </c>
      <c r="AR112" s="186">
        <f ca="1" xml:space="preserve"> 'FS Semi_P99'!AR$27</f>
        <v>-23731.561530806513</v>
      </c>
      <c r="AS112" s="186">
        <f ca="1" xml:space="preserve"> 'FS Semi_P99'!AS$27</f>
        <v>-25129.726602154009</v>
      </c>
      <c r="AT112" s="186">
        <f ca="1" xml:space="preserve"> 'FS Semi_P99'!AT$27</f>
        <v>-26466.73003418529</v>
      </c>
      <c r="AU112" s="186">
        <f ca="1" xml:space="preserve"> 'FS Semi_P99'!AU$27</f>
        <v>-28047.779314443644</v>
      </c>
      <c r="AV112" s="186">
        <f ca="1" xml:space="preserve"> 'FS Semi_P99'!AV$27</f>
        <v>-29284.755984648527</v>
      </c>
      <c r="AW112" s="186">
        <f ca="1" xml:space="preserve"> 'FS Semi_P99'!AW$27</f>
        <v>-30041.159307858339</v>
      </c>
      <c r="AX112" s="186">
        <f ca="1" xml:space="preserve"> 'FS Semi_P99'!AX$27</f>
        <v>-31396.015038870653</v>
      </c>
      <c r="AY112" s="186">
        <f ca="1" xml:space="preserve"> 'FS Semi_P99'!AY$27</f>
        <v>-32981.2719013596</v>
      </c>
      <c r="AZ112" s="186">
        <f ca="1" xml:space="preserve"> 'FS Semi_P99'!AZ$27</f>
        <v>-34512.537018886382</v>
      </c>
      <c r="BA112" s="186">
        <f ca="1" xml:space="preserve"> 'FS Semi_P99'!BA$27</f>
        <v>-36287.011442641291</v>
      </c>
      <c r="BB112" s="186">
        <f ca="1" xml:space="preserve"> 'FS Semi_P99'!BB$27</f>
        <v>-38016.623428816667</v>
      </c>
      <c r="BC112" s="186">
        <f ca="1" xml:space="preserve"> 'FS Semi_P99'!BC$27</f>
        <v>0</v>
      </c>
      <c r="BD112" s="186">
        <f ca="1" xml:space="preserve"> 'FS Semi_P99'!BD$27</f>
        <v>0</v>
      </c>
      <c r="BE112" s="186">
        <f ca="1" xml:space="preserve"> 'FS Semi_P99'!BE$27</f>
        <v>0</v>
      </c>
      <c r="BF112" s="186">
        <f ca="1" xml:space="preserve"> 'FS Semi_P99'!BF$27</f>
        <v>0</v>
      </c>
      <c r="BG112" s="186">
        <f ca="1" xml:space="preserve"> 'FS Semi_P99'!BG$27</f>
        <v>0</v>
      </c>
      <c r="BH112" s="186">
        <f ca="1" xml:space="preserve"> 'FS Semi_P99'!BH$27</f>
        <v>0</v>
      </c>
      <c r="BI112" s="186">
        <f ca="1" xml:space="preserve"> 'FS Semi_P99'!BI$27</f>
        <v>0</v>
      </c>
      <c r="BJ112" s="186">
        <f ca="1" xml:space="preserve"> 'FS Semi_P99'!BJ$27</f>
        <v>0</v>
      </c>
      <c r="BK112" s="186">
        <f ca="1" xml:space="preserve"> 'FS Semi_P99'!BK$27</f>
        <v>0</v>
      </c>
      <c r="BL112" s="186">
        <f ca="1" xml:space="preserve"> 'FS Semi_P99'!BL$27</f>
        <v>0</v>
      </c>
      <c r="BM112" s="186">
        <f ca="1" xml:space="preserve"> 'FS Semi_P99'!BM$27</f>
        <v>0</v>
      </c>
      <c r="BN112" s="186">
        <f ca="1" xml:space="preserve"> 'FS Semi_P99'!BN$27</f>
        <v>0</v>
      </c>
      <c r="BO112" s="186">
        <f ca="1" xml:space="preserve"> 'FS Semi_P99'!BO$27</f>
        <v>0</v>
      </c>
      <c r="BP112" s="186">
        <f ca="1" xml:space="preserve"> 'FS Semi_P99'!BP$27</f>
        <v>0</v>
      </c>
      <c r="BQ112" s="186">
        <f ca="1" xml:space="preserve"> 'FS Semi_P99'!BQ$27</f>
        <v>0</v>
      </c>
      <c r="BR112" s="186">
        <f ca="1" xml:space="preserve"> 'FS Semi_P99'!BR$27</f>
        <v>0</v>
      </c>
      <c r="BS112" s="186">
        <f ca="1" xml:space="preserve"> 'FS Semi_P99'!BS$27</f>
        <v>0</v>
      </c>
      <c r="BT112" s="186">
        <f ca="1" xml:space="preserve"> 'FS Semi_P99'!BT$27</f>
        <v>0</v>
      </c>
      <c r="BU112" s="186">
        <f ca="1" xml:space="preserve"> 'FS Semi_P99'!BU$27</f>
        <v>0</v>
      </c>
      <c r="BV112" s="186">
        <f ca="1" xml:space="preserve"> 'FS Semi_P99'!BV$27</f>
        <v>0</v>
      </c>
      <c r="BW112" s="186">
        <f ca="1" xml:space="preserve"> 'FS Semi_P99'!BW$27</f>
        <v>0</v>
      </c>
      <c r="BX112" s="186">
        <f ca="1" xml:space="preserve"> 'FS Semi_P99'!BX$27</f>
        <v>0</v>
      </c>
      <c r="BY112" s="186">
        <f ca="1" xml:space="preserve"> 'FS Semi_P99'!BY$27</f>
        <v>0</v>
      </c>
      <c r="BZ112" s="186">
        <f ca="1" xml:space="preserve"> 'FS Semi_P99'!BZ$27</f>
        <v>0</v>
      </c>
      <c r="CA112" s="186">
        <f ca="1" xml:space="preserve"> 'FS Semi_P99'!CA$27</f>
        <v>0</v>
      </c>
      <c r="CB112" s="186">
        <f ca="1" xml:space="preserve"> 'FS Semi_P99'!CB$27</f>
        <v>0</v>
      </c>
      <c r="CC112" s="186">
        <f ca="1" xml:space="preserve"> 'FS Semi_P99'!CC$27</f>
        <v>0</v>
      </c>
      <c r="CD112" s="186">
        <f ca="1" xml:space="preserve"> 'FS Semi_P99'!CD$27</f>
        <v>0</v>
      </c>
      <c r="CE112" s="186">
        <f ca="1" xml:space="preserve"> 'FS Semi_P99'!CE$27</f>
        <v>0</v>
      </c>
      <c r="CF112" s="186">
        <f ca="1" xml:space="preserve"> 'FS Semi_P99'!CF$27</f>
        <v>0</v>
      </c>
      <c r="CG112" s="186">
        <f ca="1" xml:space="preserve"> 'FS Semi_P99'!CG$27</f>
        <v>0</v>
      </c>
      <c r="CH112" s="186">
        <f ca="1" xml:space="preserve"> 'FS Semi_P99'!CH$27</f>
        <v>0</v>
      </c>
      <c r="CI112" s="186">
        <f ca="1" xml:space="preserve"> 'FS Semi_P99'!CI$27</f>
        <v>0</v>
      </c>
      <c r="CJ112" s="186">
        <f ca="1" xml:space="preserve"> 'FS Semi_P99'!CJ$27</f>
        <v>0</v>
      </c>
      <c r="CK112" s="186">
        <f ca="1" xml:space="preserve"> 'FS Semi_P99'!CK$27</f>
        <v>0</v>
      </c>
      <c r="CL112" s="186">
        <f ca="1" xml:space="preserve"> 'FS Semi_P99'!CL$27</f>
        <v>0</v>
      </c>
      <c r="CM112" s="186">
        <f ca="1" xml:space="preserve"> 'FS Semi_P99'!CM$27</f>
        <v>0</v>
      </c>
      <c r="CN112" s="186">
        <f ca="1" xml:space="preserve"> 'FS Semi_P99'!CN$27</f>
        <v>0</v>
      </c>
      <c r="CO112" s="186">
        <f ca="1" xml:space="preserve"> 'FS Semi_P99'!CO$27</f>
        <v>0</v>
      </c>
      <c r="CP112" s="186">
        <f ca="1" xml:space="preserve"> 'FS Semi_P99'!CP$27</f>
        <v>0</v>
      </c>
      <c r="CQ112" s="186">
        <f ca="1" xml:space="preserve"> 'FS Semi_P99'!CQ$27</f>
        <v>0</v>
      </c>
      <c r="CR112" s="186">
        <f ca="1" xml:space="preserve"> 'FS Semi_P99'!CR$27</f>
        <v>0</v>
      </c>
      <c r="CS112" s="186">
        <f ca="1" xml:space="preserve"> 'FS Semi_P99'!CS$27</f>
        <v>0</v>
      </c>
      <c r="CT112" s="186">
        <f ca="1" xml:space="preserve"> 'FS Semi_P99'!CT$27</f>
        <v>0</v>
      </c>
      <c r="CU112" s="186">
        <f ca="1" xml:space="preserve"> 'FS Semi_P99'!CU$27</f>
        <v>0</v>
      </c>
      <c r="CV112" s="186">
        <f ca="1" xml:space="preserve"> 'FS Semi_P99'!CV$27</f>
        <v>0</v>
      </c>
      <c r="CW112" s="186">
        <f xml:space="preserve"> 'FS Semi_P99'!CW$27</f>
        <v>0</v>
      </c>
      <c r="CX112" s="186">
        <f xml:space="preserve"> 'FS Semi_P99'!CX$27</f>
        <v>0</v>
      </c>
      <c r="CY112" s="186">
        <f xml:space="preserve"> 'FS Semi_P99'!CY$27</f>
        <v>0</v>
      </c>
      <c r="CZ112" s="186">
        <f xml:space="preserve"> 'FS Semi_P99'!CZ$27</f>
        <v>0</v>
      </c>
      <c r="DA112" s="186">
        <f xml:space="preserve"> 'FS Semi_P99'!DA$27</f>
        <v>0</v>
      </c>
      <c r="DB112" s="186">
        <f xml:space="preserve"> 'FS Semi_P99'!DB$27</f>
        <v>0</v>
      </c>
      <c r="DC112" s="186">
        <f xml:space="preserve"> 'FS Semi_P99'!DC$27</f>
        <v>0</v>
      </c>
      <c r="DD112" s="186">
        <f xml:space="preserve"> 'FS Semi_P99'!DD$27</f>
        <v>0</v>
      </c>
      <c r="DE112" s="186">
        <f xml:space="preserve"> 'FS Semi_P99'!DE$27</f>
        <v>0</v>
      </c>
      <c r="DF112" s="186">
        <f xml:space="preserve"> 'FS Semi_P99'!DF$27</f>
        <v>0</v>
      </c>
      <c r="DG112" s="186">
        <f xml:space="preserve"> 'FS Semi_P99'!DG$27</f>
        <v>0</v>
      </c>
      <c r="DH112" s="186">
        <f xml:space="preserve"> 'FS Semi_P99'!DH$27</f>
        <v>0</v>
      </c>
      <c r="DI112" s="186">
        <f xml:space="preserve"> 'FS Semi_P99'!DI$27</f>
        <v>0</v>
      </c>
      <c r="DJ112" s="186">
        <f xml:space="preserve"> 'FS Semi_P99'!DJ$27</f>
        <v>0</v>
      </c>
      <c r="DK112" s="186">
        <f xml:space="preserve"> 'FS Semi_P99'!DK$27</f>
        <v>0</v>
      </c>
      <c r="DL112" s="186">
        <f xml:space="preserve"> 'FS Semi_P99'!DL$27</f>
        <v>0</v>
      </c>
      <c r="DM112" s="186">
        <f xml:space="preserve"> 'FS Semi_P99'!DM$27</f>
        <v>0</v>
      </c>
      <c r="DN112" s="186">
        <f xml:space="preserve"> 'FS Semi_P99'!DN$27</f>
        <v>0</v>
      </c>
      <c r="DO112" s="186">
        <f xml:space="preserve"> 'FS Semi_P99'!DO$27</f>
        <v>0</v>
      </c>
      <c r="DP112" s="186">
        <f xml:space="preserve"> 'FS Semi_P99'!DP$27</f>
        <v>0</v>
      </c>
      <c r="DQ112" s="186">
        <f xml:space="preserve"> 'FS Semi_P99'!DQ$27</f>
        <v>0</v>
      </c>
      <c r="DR112" s="186">
        <f xml:space="preserve"> 'FS Semi_P99'!DR$27</f>
        <v>0</v>
      </c>
      <c r="DS112" s="186">
        <f xml:space="preserve"> 'FS Semi_P99'!DS$27</f>
        <v>0</v>
      </c>
      <c r="DT112" s="186">
        <f xml:space="preserve"> 'FS Semi_P99'!DT$27</f>
        <v>0</v>
      </c>
      <c r="DU112" s="186">
        <f xml:space="preserve"> 'FS Semi_P99'!DU$27</f>
        <v>0</v>
      </c>
      <c r="DV112" s="186">
        <f xml:space="preserve"> 'FS Semi_P99'!DV$27</f>
        <v>0</v>
      </c>
      <c r="DW112" s="186">
        <f xml:space="preserve"> 'FS Semi_P99'!DW$27</f>
        <v>0</v>
      </c>
      <c r="DX112" s="186">
        <f xml:space="preserve"> 'FS Semi_P99'!DX$27</f>
        <v>0</v>
      </c>
      <c r="DY112" s="186">
        <f xml:space="preserve"> 'FS Semi_P99'!DY$27</f>
        <v>0</v>
      </c>
      <c r="DZ112" s="186">
        <f xml:space="preserve"> 'FS Semi_P99'!DZ$27</f>
        <v>0</v>
      </c>
      <c r="EA112" s="186">
        <f xml:space="preserve"> 'FS Semi_P99'!EA$27</f>
        <v>0</v>
      </c>
      <c r="EB112" s="186">
        <f xml:space="preserve"> 'FS Semi_P99'!EB$27</f>
        <v>0</v>
      </c>
      <c r="EC112" s="186">
        <f xml:space="preserve"> 'FS Semi_P99'!EC$27</f>
        <v>0</v>
      </c>
      <c r="ED112" s="186">
        <f xml:space="preserve"> 'FS Semi_P99'!ED$27</f>
        <v>0</v>
      </c>
      <c r="EE112" s="186">
        <f xml:space="preserve"> 'FS Semi_P99'!EE$27</f>
        <v>0</v>
      </c>
      <c r="EF112" s="186">
        <f xml:space="preserve"> 'FS Semi_P99'!EF$27</f>
        <v>0</v>
      </c>
      <c r="EG112" s="186">
        <f xml:space="preserve"> 'FS Semi_P99'!EG$27</f>
        <v>0</v>
      </c>
      <c r="EH112" s="186">
        <f xml:space="preserve"> 'FS Semi_P99'!EH$27</f>
        <v>0</v>
      </c>
      <c r="EI112" s="186">
        <f xml:space="preserve"> 'FS Semi_P99'!EI$27</f>
        <v>0</v>
      </c>
      <c r="EJ112" s="186">
        <f xml:space="preserve"> 'FS Semi_P99'!EJ$27</f>
        <v>0</v>
      </c>
      <c r="EK112" s="186">
        <f xml:space="preserve"> 'FS Semi_P99'!EK$27</f>
        <v>0</v>
      </c>
      <c r="EL112" s="186">
        <f xml:space="preserve"> 'FS Semi_P99'!EL$27</f>
        <v>0</v>
      </c>
      <c r="EM112" s="186">
        <f xml:space="preserve"> 'FS Semi_P99'!EM$27</f>
        <v>0</v>
      </c>
      <c r="EN112" s="186">
        <f xml:space="preserve"> 'FS Semi_P99'!EN$27</f>
        <v>0</v>
      </c>
      <c r="EO112" s="186">
        <f xml:space="preserve"> 'FS Semi_P99'!EO$27</f>
        <v>0</v>
      </c>
      <c r="EP112" s="186">
        <f xml:space="preserve"> 'FS Semi_P99'!EP$27</f>
        <v>0</v>
      </c>
      <c r="EQ112" s="186">
        <f xml:space="preserve"> 'FS Semi_P99'!EQ$27</f>
        <v>0</v>
      </c>
      <c r="ER112" s="186">
        <f xml:space="preserve"> 'FS Semi_P99'!ER$27</f>
        <v>0</v>
      </c>
      <c r="ES112" s="186">
        <f xml:space="preserve"> 'FS Semi_P99'!ES$27</f>
        <v>0</v>
      </c>
      <c r="ET112" s="186">
        <f xml:space="preserve"> 'FS Semi_P99'!ET$27</f>
        <v>0</v>
      </c>
      <c r="EU112" s="186">
        <f xml:space="preserve"> 'FS Semi_P99'!EU$27</f>
        <v>0</v>
      </c>
      <c r="EV112" s="186">
        <f xml:space="preserve"> 'FS Semi_P99'!EV$27</f>
        <v>0</v>
      </c>
      <c r="EW112" s="186">
        <f xml:space="preserve"> 'FS Semi_P99'!EW$27</f>
        <v>0</v>
      </c>
      <c r="EX112" s="186">
        <f xml:space="preserve"> 'FS Semi_P99'!EX$27</f>
        <v>0</v>
      </c>
      <c r="EY112" s="186">
        <f xml:space="preserve"> 'FS Semi_P99'!EY$27</f>
        <v>0</v>
      </c>
      <c r="EZ112" s="186">
        <f xml:space="preserve"> 'FS Semi_P99'!EZ$27</f>
        <v>0</v>
      </c>
      <c r="FA112" s="186">
        <f xml:space="preserve"> 'FS Semi_P99'!FA$27</f>
        <v>0</v>
      </c>
      <c r="FB112" s="186">
        <f xml:space="preserve"> 'FS Semi_P99'!FB$27</f>
        <v>0</v>
      </c>
      <c r="FC112" s="186">
        <f xml:space="preserve"> 'FS Semi_P99'!FC$27</f>
        <v>0</v>
      </c>
      <c r="FD112" s="186">
        <f xml:space="preserve"> 'FS Semi_P99'!FD$27</f>
        <v>0</v>
      </c>
      <c r="FE112" s="186">
        <f xml:space="preserve"> 'FS Semi_P99'!FE$27</f>
        <v>0</v>
      </c>
      <c r="FF112" s="186">
        <f xml:space="preserve"> 'FS Semi_P99'!FF$27</f>
        <v>0</v>
      </c>
      <c r="FG112" s="186">
        <f xml:space="preserve"> 'FS Semi_P99'!FG$27</f>
        <v>0</v>
      </c>
      <c r="FH112" s="186">
        <f xml:space="preserve"> 'FS Semi_P99'!FH$27</f>
        <v>0</v>
      </c>
      <c r="FI112" s="186">
        <f xml:space="preserve"> 'FS Semi_P99'!FI$27</f>
        <v>0</v>
      </c>
      <c r="FJ112" s="186">
        <f xml:space="preserve"> 'FS Semi_P99'!FJ$27</f>
        <v>0</v>
      </c>
      <c r="FK112" s="186">
        <f xml:space="preserve"> 'FS Semi_P99'!FK$27</f>
        <v>0</v>
      </c>
      <c r="FL112" s="186">
        <f xml:space="preserve"> 'FS Semi_P99'!FL$27</f>
        <v>0</v>
      </c>
      <c r="FM112" s="186">
        <f xml:space="preserve"> 'FS Semi_P99'!FM$27</f>
        <v>0</v>
      </c>
      <c r="FN112" s="186">
        <f xml:space="preserve"> 'FS Semi_P99'!FN$27</f>
        <v>0</v>
      </c>
      <c r="FO112" s="186">
        <f xml:space="preserve"> 'FS Semi_P99'!FO$27</f>
        <v>0</v>
      </c>
      <c r="FP112" s="186">
        <f xml:space="preserve"> 'FS Semi_P99'!FP$27</f>
        <v>0</v>
      </c>
      <c r="FQ112" s="186">
        <f xml:space="preserve"> 'FS Semi_P99'!FQ$27</f>
        <v>0</v>
      </c>
      <c r="FR112" s="186">
        <f xml:space="preserve"> 'FS Semi_P99'!FR$27</f>
        <v>0</v>
      </c>
      <c r="FS112" s="186">
        <f xml:space="preserve"> 'FS Semi_P99'!FS$27</f>
        <v>0</v>
      </c>
      <c r="FT112" s="186">
        <f xml:space="preserve"> 'FS Semi_P99'!FT$27</f>
        <v>0</v>
      </c>
      <c r="FU112" s="186">
        <f xml:space="preserve"> 'FS Semi_P99'!FU$27</f>
        <v>0</v>
      </c>
      <c r="FV112" s="186">
        <f xml:space="preserve"> 'FS Semi_P99'!FV$27</f>
        <v>0</v>
      </c>
      <c r="FW112" s="186">
        <f xml:space="preserve"> 'FS Semi_P99'!FW$27</f>
        <v>0</v>
      </c>
      <c r="FX112" s="186">
        <f xml:space="preserve"> 'FS Semi_P99'!FX$27</f>
        <v>0</v>
      </c>
      <c r="FY112" s="186">
        <f xml:space="preserve"> 'FS Semi_P99'!FY$27</f>
        <v>0</v>
      </c>
      <c r="FZ112" s="186">
        <f xml:space="preserve"> 'FS Semi_P99'!FZ$27</f>
        <v>0</v>
      </c>
      <c r="GA112" s="186">
        <f xml:space="preserve"> 'FS Semi_P99'!GA$27</f>
        <v>0</v>
      </c>
      <c r="GB112" s="186">
        <f xml:space="preserve"> 'FS Semi_P99'!GB$27</f>
        <v>0</v>
      </c>
      <c r="GC112" s="186">
        <f xml:space="preserve"> 'FS Semi_P99'!GC$27</f>
        <v>0</v>
      </c>
      <c r="GD112" s="186">
        <f xml:space="preserve"> 'FS Semi_P99'!GD$27</f>
        <v>0</v>
      </c>
      <c r="GE112" s="186">
        <f xml:space="preserve"> 'FS Semi_P99'!GE$27</f>
        <v>0</v>
      </c>
      <c r="GF112" s="186">
        <f xml:space="preserve"> 'FS Semi_P99'!GF$27</f>
        <v>0</v>
      </c>
      <c r="GG112" s="186">
        <f xml:space="preserve"> 'FS Semi_P99'!GG$27</f>
        <v>0</v>
      </c>
      <c r="GH112" s="186">
        <f xml:space="preserve"> 'FS Semi_P99'!GH$27</f>
        <v>0</v>
      </c>
      <c r="GI112" s="186">
        <f xml:space="preserve"> 'FS Semi_P99'!GI$27</f>
        <v>0</v>
      </c>
      <c r="GJ112" s="186">
        <f xml:space="preserve"> 'FS Semi_P99'!GJ$27</f>
        <v>0</v>
      </c>
    </row>
    <row r="113" spans="1:192" outlineLevel="1" x14ac:dyDescent="0.2">
      <c r="D113" s="48" t="s">
        <v>371</v>
      </c>
      <c r="E113" s="186" t="str">
        <f xml:space="preserve"> Acct!E$17</f>
        <v>Fixed asset depreciation POS</v>
      </c>
      <c r="F113" s="186">
        <f xml:space="preserve"> Acct!F$17</f>
        <v>0</v>
      </c>
      <c r="G113" s="186" t="str">
        <f xml:space="preserve"> Acct!G$17</f>
        <v>$ 000s</v>
      </c>
      <c r="H113" s="186">
        <f xml:space="preserve"> Acct!H$17</f>
        <v>295392.30772000016</v>
      </c>
      <c r="I113" s="186">
        <f xml:space="preserve"> Acct!I$17</f>
        <v>0</v>
      </c>
      <c r="J113" s="186">
        <f xml:space="preserve"> Acct!J$17</f>
        <v>0</v>
      </c>
      <c r="K113" s="186">
        <f xml:space="preserve"> Acct!K$17</f>
        <v>0</v>
      </c>
      <c r="L113" s="186">
        <f xml:space="preserve"> Acct!L$17</f>
        <v>0</v>
      </c>
      <c r="M113" s="186">
        <f xml:space="preserve"> Acct!M$17</f>
        <v>0</v>
      </c>
      <c r="N113" s="186">
        <f xml:space="preserve"> Acct!N$17</f>
        <v>0</v>
      </c>
      <c r="O113" s="186">
        <f xml:space="preserve"> Acct!O$17</f>
        <v>7384.807692999997</v>
      </c>
      <c r="P113" s="186">
        <f xml:space="preserve"> Acct!P$17</f>
        <v>7384.807692999997</v>
      </c>
      <c r="Q113" s="186">
        <f xml:space="preserve"> Acct!Q$17</f>
        <v>7384.807692999997</v>
      </c>
      <c r="R113" s="186">
        <f xml:space="preserve"> Acct!R$17</f>
        <v>7384.807692999997</v>
      </c>
      <c r="S113" s="186">
        <f xml:space="preserve"> Acct!S$17</f>
        <v>7384.807692999997</v>
      </c>
      <c r="T113" s="186">
        <f xml:space="preserve"> Acct!T$17</f>
        <v>7384.807692999997</v>
      </c>
      <c r="U113" s="186">
        <f xml:space="preserve"> Acct!U$17</f>
        <v>7384.807692999997</v>
      </c>
      <c r="V113" s="186">
        <f xml:space="preserve"> Acct!V$17</f>
        <v>7384.807692999997</v>
      </c>
      <c r="W113" s="186">
        <f xml:space="preserve"> Acct!W$17</f>
        <v>7384.807692999997</v>
      </c>
      <c r="X113" s="186">
        <f xml:space="preserve"> Acct!X$17</f>
        <v>7384.807692999997</v>
      </c>
      <c r="Y113" s="186">
        <f xml:space="preserve"> Acct!Y$17</f>
        <v>7384.807692999997</v>
      </c>
      <c r="Z113" s="186">
        <f xml:space="preserve"> Acct!Z$17</f>
        <v>7384.807692999997</v>
      </c>
      <c r="AA113" s="186">
        <f xml:space="preserve"> Acct!AA$17</f>
        <v>7384.807692999997</v>
      </c>
      <c r="AB113" s="186">
        <f xml:space="preserve"> Acct!AB$17</f>
        <v>7384.807692999997</v>
      </c>
      <c r="AC113" s="186">
        <f xml:space="preserve"> Acct!AC$17</f>
        <v>7384.807692999997</v>
      </c>
      <c r="AD113" s="186">
        <f xml:space="preserve"> Acct!AD$17</f>
        <v>7384.807692999997</v>
      </c>
      <c r="AE113" s="186">
        <f xml:space="preserve"> Acct!AE$17</f>
        <v>7384.807692999997</v>
      </c>
      <c r="AF113" s="186">
        <f xml:space="preserve"> Acct!AF$17</f>
        <v>7384.807692999997</v>
      </c>
      <c r="AG113" s="186">
        <f xml:space="preserve"> Acct!AG$17</f>
        <v>7384.807692999997</v>
      </c>
      <c r="AH113" s="186">
        <f xml:space="preserve"> Acct!AH$17</f>
        <v>7384.807692999997</v>
      </c>
      <c r="AI113" s="186">
        <f xml:space="preserve"> Acct!AI$17</f>
        <v>7384.807692999997</v>
      </c>
      <c r="AJ113" s="186">
        <f xml:space="preserve"> Acct!AJ$17</f>
        <v>7384.807692999997</v>
      </c>
      <c r="AK113" s="186">
        <f xml:space="preserve"> Acct!AK$17</f>
        <v>7384.807692999997</v>
      </c>
      <c r="AL113" s="186">
        <f xml:space="preserve"> Acct!AL$17</f>
        <v>7384.807692999997</v>
      </c>
      <c r="AM113" s="186">
        <f xml:space="preserve"> Acct!AM$17</f>
        <v>7384.807692999997</v>
      </c>
      <c r="AN113" s="186">
        <f xml:space="preserve"> Acct!AN$17</f>
        <v>7384.807692999997</v>
      </c>
      <c r="AO113" s="186">
        <f xml:space="preserve"> Acct!AO$17</f>
        <v>7384.807692999997</v>
      </c>
      <c r="AP113" s="186">
        <f xml:space="preserve"> Acct!AP$17</f>
        <v>7384.807692999997</v>
      </c>
      <c r="AQ113" s="186">
        <f xml:space="preserve"> Acct!AQ$17</f>
        <v>7384.807692999997</v>
      </c>
      <c r="AR113" s="186">
        <f xml:space="preserve"> Acct!AR$17</f>
        <v>7384.807692999997</v>
      </c>
      <c r="AS113" s="186">
        <f xml:space="preserve"> Acct!AS$17</f>
        <v>7384.807692999997</v>
      </c>
      <c r="AT113" s="186">
        <f xml:space="preserve"> Acct!AT$17</f>
        <v>7384.807692999997</v>
      </c>
      <c r="AU113" s="186">
        <f xml:space="preserve"> Acct!AU$17</f>
        <v>7384.807692999997</v>
      </c>
      <c r="AV113" s="186">
        <f xml:space="preserve"> Acct!AV$17</f>
        <v>7384.807692999997</v>
      </c>
      <c r="AW113" s="186">
        <f xml:space="preserve"> Acct!AW$17</f>
        <v>7384.807692999997</v>
      </c>
      <c r="AX113" s="186">
        <f xml:space="preserve"> Acct!AX$17</f>
        <v>7384.807692999997</v>
      </c>
      <c r="AY113" s="186">
        <f xml:space="preserve"> Acct!AY$17</f>
        <v>7384.807692999997</v>
      </c>
      <c r="AZ113" s="186">
        <f xml:space="preserve"> Acct!AZ$17</f>
        <v>7384.807692999997</v>
      </c>
      <c r="BA113" s="186">
        <f xml:space="preserve"> Acct!BA$17</f>
        <v>7384.807692999997</v>
      </c>
      <c r="BB113" s="186">
        <f xml:space="preserve"> Acct!BB$17</f>
        <v>7384.807692999997</v>
      </c>
      <c r="BC113" s="186">
        <f xml:space="preserve"> Acct!BC$17</f>
        <v>0</v>
      </c>
      <c r="BD113" s="186">
        <f xml:space="preserve"> Acct!BD$17</f>
        <v>0</v>
      </c>
      <c r="BE113" s="186">
        <f xml:space="preserve"> Acct!BE$17</f>
        <v>0</v>
      </c>
      <c r="BF113" s="186">
        <f xml:space="preserve"> Acct!BF$17</f>
        <v>0</v>
      </c>
      <c r="BG113" s="186">
        <f xml:space="preserve"> Acct!BG$17</f>
        <v>0</v>
      </c>
      <c r="BH113" s="186">
        <f xml:space="preserve"> Acct!BH$17</f>
        <v>0</v>
      </c>
      <c r="BI113" s="186">
        <f xml:space="preserve"> Acct!BI$17</f>
        <v>0</v>
      </c>
      <c r="BJ113" s="186">
        <f xml:space="preserve"> Acct!BJ$17</f>
        <v>0</v>
      </c>
      <c r="BK113" s="186">
        <f xml:space="preserve"> Acct!BK$17</f>
        <v>0</v>
      </c>
      <c r="BL113" s="186">
        <f xml:space="preserve"> Acct!BL$17</f>
        <v>0</v>
      </c>
      <c r="BM113" s="186">
        <f xml:space="preserve"> Acct!BM$17</f>
        <v>0</v>
      </c>
      <c r="BN113" s="186">
        <f xml:space="preserve"> Acct!BN$17</f>
        <v>0</v>
      </c>
      <c r="BO113" s="186">
        <f xml:space="preserve"> Acct!BO$17</f>
        <v>0</v>
      </c>
      <c r="BP113" s="186">
        <f xml:space="preserve"> Acct!BP$17</f>
        <v>0</v>
      </c>
      <c r="BQ113" s="186">
        <f xml:space="preserve"> Acct!BQ$17</f>
        <v>0</v>
      </c>
      <c r="BR113" s="186">
        <f xml:space="preserve"> Acct!BR$17</f>
        <v>0</v>
      </c>
      <c r="BS113" s="186">
        <f xml:space="preserve"> Acct!BS$17</f>
        <v>0</v>
      </c>
      <c r="BT113" s="186">
        <f xml:space="preserve"> Acct!BT$17</f>
        <v>0</v>
      </c>
      <c r="BU113" s="186">
        <f xml:space="preserve"> Acct!BU$17</f>
        <v>0</v>
      </c>
      <c r="BV113" s="186">
        <f xml:space="preserve"> Acct!BV$17</f>
        <v>0</v>
      </c>
      <c r="BW113" s="186">
        <f xml:space="preserve"> Acct!BW$17</f>
        <v>0</v>
      </c>
      <c r="BX113" s="186">
        <f xml:space="preserve"> Acct!BX$17</f>
        <v>0</v>
      </c>
      <c r="BY113" s="186">
        <f xml:space="preserve"> Acct!BY$17</f>
        <v>0</v>
      </c>
      <c r="BZ113" s="186">
        <f xml:space="preserve"> Acct!BZ$17</f>
        <v>0</v>
      </c>
      <c r="CA113" s="186">
        <f xml:space="preserve"> Acct!CA$17</f>
        <v>0</v>
      </c>
      <c r="CB113" s="186">
        <f xml:space="preserve"> Acct!CB$17</f>
        <v>0</v>
      </c>
      <c r="CC113" s="186">
        <f xml:space="preserve"> Acct!CC$17</f>
        <v>0</v>
      </c>
      <c r="CD113" s="186">
        <f xml:space="preserve"> Acct!CD$17</f>
        <v>0</v>
      </c>
      <c r="CE113" s="186">
        <f xml:space="preserve"> Acct!CE$17</f>
        <v>0</v>
      </c>
      <c r="CF113" s="186">
        <f xml:space="preserve"> Acct!CF$17</f>
        <v>0</v>
      </c>
      <c r="CG113" s="186">
        <f xml:space="preserve"> Acct!CG$17</f>
        <v>0</v>
      </c>
      <c r="CH113" s="186">
        <f xml:space="preserve"> Acct!CH$17</f>
        <v>0</v>
      </c>
      <c r="CI113" s="186">
        <f xml:space="preserve"> Acct!CI$17</f>
        <v>0</v>
      </c>
      <c r="CJ113" s="186">
        <f xml:space="preserve"> Acct!CJ$17</f>
        <v>0</v>
      </c>
      <c r="CK113" s="186">
        <f xml:space="preserve"> Acct!CK$17</f>
        <v>0</v>
      </c>
      <c r="CL113" s="186">
        <f xml:space="preserve"> Acct!CL$17</f>
        <v>0</v>
      </c>
      <c r="CM113" s="186">
        <f xml:space="preserve"> Acct!CM$17</f>
        <v>0</v>
      </c>
      <c r="CN113" s="186">
        <f xml:space="preserve"> Acct!CN$17</f>
        <v>0</v>
      </c>
      <c r="CO113" s="186">
        <f xml:space="preserve"> Acct!CO$17</f>
        <v>0</v>
      </c>
      <c r="CP113" s="186">
        <f xml:space="preserve"> Acct!CP$17</f>
        <v>0</v>
      </c>
      <c r="CQ113" s="186">
        <f xml:space="preserve"> Acct!CQ$17</f>
        <v>0</v>
      </c>
      <c r="CR113" s="186">
        <f xml:space="preserve"> Acct!CR$17</f>
        <v>0</v>
      </c>
      <c r="CS113" s="186">
        <f xml:space="preserve"> Acct!CS$17</f>
        <v>0</v>
      </c>
      <c r="CT113" s="186">
        <f xml:space="preserve"> Acct!CT$17</f>
        <v>0</v>
      </c>
      <c r="CU113" s="186">
        <f xml:space="preserve"> Acct!CU$17</f>
        <v>0</v>
      </c>
      <c r="CV113" s="186">
        <f xml:space="preserve"> Acct!CV$17</f>
        <v>0</v>
      </c>
      <c r="CW113" s="186">
        <f xml:space="preserve"> Acct!CW$17</f>
        <v>0</v>
      </c>
      <c r="CX113" s="186">
        <f xml:space="preserve"> Acct!CX$17</f>
        <v>0</v>
      </c>
      <c r="CY113" s="186">
        <f xml:space="preserve"> Acct!CY$17</f>
        <v>0</v>
      </c>
      <c r="CZ113" s="186">
        <f xml:space="preserve"> Acct!CZ$17</f>
        <v>0</v>
      </c>
      <c r="DA113" s="186">
        <f xml:space="preserve"> Acct!DA$17</f>
        <v>0</v>
      </c>
      <c r="DB113" s="186">
        <f xml:space="preserve"> Acct!DB$17</f>
        <v>0</v>
      </c>
      <c r="DC113" s="186">
        <f xml:space="preserve"> Acct!DC$17</f>
        <v>0</v>
      </c>
      <c r="DD113" s="186">
        <f xml:space="preserve"> Acct!DD$17</f>
        <v>0</v>
      </c>
      <c r="DE113" s="186">
        <f xml:space="preserve"> Acct!DE$17</f>
        <v>0</v>
      </c>
      <c r="DF113" s="186">
        <f xml:space="preserve"> Acct!DF$17</f>
        <v>0</v>
      </c>
      <c r="DG113" s="186">
        <f xml:space="preserve"> Acct!DG$17</f>
        <v>0</v>
      </c>
      <c r="DH113" s="186">
        <f xml:space="preserve"> Acct!DH$17</f>
        <v>0</v>
      </c>
      <c r="DI113" s="186">
        <f xml:space="preserve"> Acct!DI$17</f>
        <v>0</v>
      </c>
      <c r="DJ113" s="186">
        <f xml:space="preserve"> Acct!DJ$17</f>
        <v>0</v>
      </c>
      <c r="DK113" s="186">
        <f xml:space="preserve"> Acct!DK$17</f>
        <v>0</v>
      </c>
      <c r="DL113" s="186">
        <f xml:space="preserve"> Acct!DL$17</f>
        <v>0</v>
      </c>
      <c r="DM113" s="186">
        <f xml:space="preserve"> Acct!DM$17</f>
        <v>0</v>
      </c>
      <c r="DN113" s="186">
        <f xml:space="preserve"> Acct!DN$17</f>
        <v>0</v>
      </c>
      <c r="DO113" s="186">
        <f xml:space="preserve"> Acct!DO$17</f>
        <v>0</v>
      </c>
      <c r="DP113" s="186">
        <f xml:space="preserve"> Acct!DP$17</f>
        <v>0</v>
      </c>
      <c r="DQ113" s="186">
        <f xml:space="preserve"> Acct!DQ$17</f>
        <v>0</v>
      </c>
      <c r="DR113" s="186">
        <f xml:space="preserve"> Acct!DR$17</f>
        <v>0</v>
      </c>
      <c r="DS113" s="186">
        <f xml:space="preserve"> Acct!DS$17</f>
        <v>0</v>
      </c>
      <c r="DT113" s="186">
        <f xml:space="preserve"> Acct!DT$17</f>
        <v>0</v>
      </c>
      <c r="DU113" s="186">
        <f xml:space="preserve"> Acct!DU$17</f>
        <v>0</v>
      </c>
      <c r="DV113" s="186">
        <f xml:space="preserve"> Acct!DV$17</f>
        <v>0</v>
      </c>
      <c r="DW113" s="186">
        <f xml:space="preserve"> Acct!DW$17</f>
        <v>0</v>
      </c>
      <c r="DX113" s="186">
        <f xml:space="preserve"> Acct!DX$17</f>
        <v>0</v>
      </c>
      <c r="DY113" s="186">
        <f xml:space="preserve"> Acct!DY$17</f>
        <v>0</v>
      </c>
      <c r="DZ113" s="186">
        <f xml:space="preserve"> Acct!DZ$17</f>
        <v>0</v>
      </c>
      <c r="EA113" s="186">
        <f xml:space="preserve"> Acct!EA$17</f>
        <v>0</v>
      </c>
      <c r="EB113" s="186">
        <f xml:space="preserve"> Acct!EB$17</f>
        <v>0</v>
      </c>
      <c r="EC113" s="186">
        <f xml:space="preserve"> Acct!EC$17</f>
        <v>0</v>
      </c>
      <c r="ED113" s="186">
        <f xml:space="preserve"> Acct!ED$17</f>
        <v>0</v>
      </c>
      <c r="EE113" s="186">
        <f xml:space="preserve"> Acct!EE$17</f>
        <v>0</v>
      </c>
      <c r="EF113" s="186">
        <f xml:space="preserve"> Acct!EF$17</f>
        <v>0</v>
      </c>
      <c r="EG113" s="186">
        <f xml:space="preserve"> Acct!EG$17</f>
        <v>0</v>
      </c>
      <c r="EH113" s="186">
        <f xml:space="preserve"> Acct!EH$17</f>
        <v>0</v>
      </c>
      <c r="EI113" s="186">
        <f xml:space="preserve"> Acct!EI$17</f>
        <v>0</v>
      </c>
      <c r="EJ113" s="186">
        <f xml:space="preserve"> Acct!EJ$17</f>
        <v>0</v>
      </c>
      <c r="EK113" s="186">
        <f xml:space="preserve"> Acct!EK$17</f>
        <v>0</v>
      </c>
      <c r="EL113" s="186">
        <f xml:space="preserve"> Acct!EL$17</f>
        <v>0</v>
      </c>
      <c r="EM113" s="186">
        <f xml:space="preserve"> Acct!EM$17</f>
        <v>0</v>
      </c>
      <c r="EN113" s="186">
        <f xml:space="preserve"> Acct!EN$17</f>
        <v>0</v>
      </c>
      <c r="EO113" s="186">
        <f xml:space="preserve"> Acct!EO$17</f>
        <v>0</v>
      </c>
      <c r="EP113" s="186">
        <f xml:space="preserve"> Acct!EP$17</f>
        <v>0</v>
      </c>
      <c r="EQ113" s="186">
        <f xml:space="preserve"> Acct!EQ$17</f>
        <v>0</v>
      </c>
      <c r="ER113" s="186">
        <f xml:space="preserve"> Acct!ER$17</f>
        <v>0</v>
      </c>
      <c r="ES113" s="186">
        <f xml:space="preserve"> Acct!ES$17</f>
        <v>0</v>
      </c>
      <c r="ET113" s="186">
        <f xml:space="preserve"> Acct!ET$17</f>
        <v>0</v>
      </c>
      <c r="EU113" s="186">
        <f xml:space="preserve"> Acct!EU$17</f>
        <v>0</v>
      </c>
      <c r="EV113" s="186">
        <f xml:space="preserve"> Acct!EV$17</f>
        <v>0</v>
      </c>
      <c r="EW113" s="186">
        <f xml:space="preserve"> Acct!EW$17</f>
        <v>0</v>
      </c>
      <c r="EX113" s="186">
        <f xml:space="preserve"> Acct!EX$17</f>
        <v>0</v>
      </c>
      <c r="EY113" s="186">
        <f xml:space="preserve"> Acct!EY$17</f>
        <v>0</v>
      </c>
      <c r="EZ113" s="186">
        <f xml:space="preserve"> Acct!EZ$17</f>
        <v>0</v>
      </c>
      <c r="FA113" s="186">
        <f xml:space="preserve"> Acct!FA$17</f>
        <v>0</v>
      </c>
      <c r="FB113" s="186">
        <f xml:space="preserve"> Acct!FB$17</f>
        <v>0</v>
      </c>
      <c r="FC113" s="186">
        <f xml:space="preserve"> Acct!FC$17</f>
        <v>0</v>
      </c>
      <c r="FD113" s="186">
        <f xml:space="preserve"> Acct!FD$17</f>
        <v>0</v>
      </c>
      <c r="FE113" s="186">
        <f xml:space="preserve"> Acct!FE$17</f>
        <v>0</v>
      </c>
      <c r="FF113" s="186">
        <f xml:space="preserve"> Acct!FF$17</f>
        <v>0</v>
      </c>
      <c r="FG113" s="186">
        <f xml:space="preserve"> Acct!FG$17</f>
        <v>0</v>
      </c>
      <c r="FH113" s="186">
        <f xml:space="preserve"> Acct!FH$17</f>
        <v>0</v>
      </c>
      <c r="FI113" s="186">
        <f xml:space="preserve"> Acct!FI$17</f>
        <v>0</v>
      </c>
      <c r="FJ113" s="186">
        <f xml:space="preserve"> Acct!FJ$17</f>
        <v>0</v>
      </c>
      <c r="FK113" s="186">
        <f xml:space="preserve"> Acct!FK$17</f>
        <v>0</v>
      </c>
      <c r="FL113" s="186">
        <f xml:space="preserve"> Acct!FL$17</f>
        <v>0</v>
      </c>
      <c r="FM113" s="186">
        <f xml:space="preserve"> Acct!FM$17</f>
        <v>0</v>
      </c>
      <c r="FN113" s="186">
        <f xml:space="preserve"> Acct!FN$17</f>
        <v>0</v>
      </c>
      <c r="FO113" s="186">
        <f xml:space="preserve"> Acct!FO$17</f>
        <v>0</v>
      </c>
      <c r="FP113" s="186">
        <f xml:space="preserve"> Acct!FP$17</f>
        <v>0</v>
      </c>
      <c r="FQ113" s="186">
        <f xml:space="preserve"> Acct!FQ$17</f>
        <v>0</v>
      </c>
      <c r="FR113" s="186">
        <f xml:space="preserve"> Acct!FR$17</f>
        <v>0</v>
      </c>
      <c r="FS113" s="186">
        <f xml:space="preserve"> Acct!FS$17</f>
        <v>0</v>
      </c>
      <c r="FT113" s="186">
        <f xml:space="preserve"> Acct!FT$17</f>
        <v>0</v>
      </c>
      <c r="FU113" s="186">
        <f xml:space="preserve"> Acct!FU$17</f>
        <v>0</v>
      </c>
      <c r="FV113" s="186">
        <f xml:space="preserve"> Acct!FV$17</f>
        <v>0</v>
      </c>
      <c r="FW113" s="186">
        <f xml:space="preserve"> Acct!FW$17</f>
        <v>0</v>
      </c>
      <c r="FX113" s="186">
        <f xml:space="preserve"> Acct!FX$17</f>
        <v>0</v>
      </c>
      <c r="FY113" s="186">
        <f xml:space="preserve"> Acct!FY$17</f>
        <v>0</v>
      </c>
      <c r="FZ113" s="186">
        <f xml:space="preserve"> Acct!FZ$17</f>
        <v>0</v>
      </c>
      <c r="GA113" s="186">
        <f xml:space="preserve"> Acct!GA$17</f>
        <v>0</v>
      </c>
      <c r="GB113" s="186">
        <f xml:space="preserve"> Acct!GB$17</f>
        <v>0</v>
      </c>
      <c r="GC113" s="186">
        <f xml:space="preserve"> Acct!GC$17</f>
        <v>0</v>
      </c>
      <c r="GD113" s="186">
        <f xml:space="preserve"> Acct!GD$17</f>
        <v>0</v>
      </c>
      <c r="GE113" s="186">
        <f xml:space="preserve"> Acct!GE$17</f>
        <v>0</v>
      </c>
      <c r="GF113" s="186">
        <f xml:space="preserve"> Acct!GF$17</f>
        <v>0</v>
      </c>
      <c r="GG113" s="186">
        <f xml:space="preserve"> Acct!GG$17</f>
        <v>0</v>
      </c>
      <c r="GH113" s="186">
        <f xml:space="preserve"> Acct!GH$17</f>
        <v>0</v>
      </c>
      <c r="GI113" s="186">
        <f xml:space="preserve"> Acct!GI$17</f>
        <v>0</v>
      </c>
      <c r="GJ113" s="186">
        <f xml:space="preserve"> Acct!GJ$17</f>
        <v>0</v>
      </c>
    </row>
    <row r="114" spans="1:192" outlineLevel="1" x14ac:dyDescent="0.2">
      <c r="D114" s="48" t="s">
        <v>371</v>
      </c>
      <c r="E114" s="186" t="str">
        <f xml:space="preserve"> Acct!E$37</f>
        <v>Amortisation of capitalised finance costs POS</v>
      </c>
      <c r="F114" s="186">
        <f xml:space="preserve"> Acct!F$37</f>
        <v>0</v>
      </c>
      <c r="G114" s="186" t="str">
        <f xml:space="preserve"> Acct!G$37</f>
        <v>$ 000s</v>
      </c>
      <c r="H114" s="186">
        <f xml:space="preserve"> Acct!H$37</f>
        <v>24335.550022039683</v>
      </c>
      <c r="I114" s="186">
        <f xml:space="preserve"> Acct!I$37</f>
        <v>0</v>
      </c>
      <c r="J114" s="186">
        <f xml:space="preserve"> Acct!J$37</f>
        <v>0</v>
      </c>
      <c r="K114" s="186">
        <f xml:space="preserve"> Acct!K$37</f>
        <v>0</v>
      </c>
      <c r="L114" s="186">
        <f xml:space="preserve"> Acct!L$37</f>
        <v>0</v>
      </c>
      <c r="M114" s="186">
        <f xml:space="preserve"> Acct!M$37</f>
        <v>0</v>
      </c>
      <c r="N114" s="186">
        <f xml:space="preserve"> Acct!N$37</f>
        <v>0</v>
      </c>
      <c r="O114" s="186">
        <f xml:space="preserve"> Acct!O$37</f>
        <v>715.75147123646184</v>
      </c>
      <c r="P114" s="186">
        <f xml:space="preserve"> Acct!P$37</f>
        <v>715.75147123646184</v>
      </c>
      <c r="Q114" s="186">
        <f xml:space="preserve"> Acct!Q$37</f>
        <v>715.75147123646184</v>
      </c>
      <c r="R114" s="186">
        <f xml:space="preserve"> Acct!R$37</f>
        <v>715.75147123646184</v>
      </c>
      <c r="S114" s="186">
        <f xml:space="preserve"> Acct!S$37</f>
        <v>715.75147123646184</v>
      </c>
      <c r="T114" s="186">
        <f xml:space="preserve"> Acct!T$37</f>
        <v>715.75147123646184</v>
      </c>
      <c r="U114" s="186">
        <f xml:space="preserve"> Acct!U$37</f>
        <v>715.75147123646184</v>
      </c>
      <c r="V114" s="186">
        <f xml:space="preserve"> Acct!V$37</f>
        <v>715.75147123646184</v>
      </c>
      <c r="W114" s="186">
        <f xml:space="preserve"> Acct!W$37</f>
        <v>715.75147123646184</v>
      </c>
      <c r="X114" s="186">
        <f xml:space="preserve"> Acct!X$37</f>
        <v>715.75147123646184</v>
      </c>
      <c r="Y114" s="186">
        <f xml:space="preserve"> Acct!Y$37</f>
        <v>715.75147123646184</v>
      </c>
      <c r="Z114" s="186">
        <f xml:space="preserve"> Acct!Z$37</f>
        <v>715.75147123646184</v>
      </c>
      <c r="AA114" s="186">
        <f xml:space="preserve"> Acct!AA$37</f>
        <v>715.75147123646184</v>
      </c>
      <c r="AB114" s="186">
        <f xml:space="preserve"> Acct!AB$37</f>
        <v>715.75147123646184</v>
      </c>
      <c r="AC114" s="186">
        <f xml:space="preserve"> Acct!AC$37</f>
        <v>715.75147123646184</v>
      </c>
      <c r="AD114" s="186">
        <f xml:space="preserve"> Acct!AD$37</f>
        <v>715.75147123646184</v>
      </c>
      <c r="AE114" s="186">
        <f xml:space="preserve"> Acct!AE$37</f>
        <v>715.75147123646184</v>
      </c>
      <c r="AF114" s="186">
        <f xml:space="preserve"> Acct!AF$37</f>
        <v>715.75147123646184</v>
      </c>
      <c r="AG114" s="186">
        <f xml:space="preserve"> Acct!AG$37</f>
        <v>715.75147123646184</v>
      </c>
      <c r="AH114" s="186">
        <f xml:space="preserve"> Acct!AH$37</f>
        <v>715.75147123646184</v>
      </c>
      <c r="AI114" s="186">
        <f xml:space="preserve"> Acct!AI$37</f>
        <v>715.75147123646184</v>
      </c>
      <c r="AJ114" s="186">
        <f xml:space="preserve"> Acct!AJ$37</f>
        <v>715.75147123646184</v>
      </c>
      <c r="AK114" s="186">
        <f xml:space="preserve"> Acct!AK$37</f>
        <v>715.75147123646184</v>
      </c>
      <c r="AL114" s="186">
        <f xml:space="preserve"> Acct!AL$37</f>
        <v>715.75147123646184</v>
      </c>
      <c r="AM114" s="186">
        <f xml:space="preserve"> Acct!AM$37</f>
        <v>715.75147123646184</v>
      </c>
      <c r="AN114" s="186">
        <f xml:space="preserve"> Acct!AN$37</f>
        <v>715.75147123646184</v>
      </c>
      <c r="AO114" s="186">
        <f xml:space="preserve"> Acct!AO$37</f>
        <v>715.75147123646184</v>
      </c>
      <c r="AP114" s="186">
        <f xml:space="preserve"> Acct!AP$37</f>
        <v>715.75147123646184</v>
      </c>
      <c r="AQ114" s="186">
        <f xml:space="preserve"> Acct!AQ$37</f>
        <v>715.75147123646184</v>
      </c>
      <c r="AR114" s="186">
        <f xml:space="preserve"> Acct!AR$37</f>
        <v>715.75147123646184</v>
      </c>
      <c r="AS114" s="186">
        <f xml:space="preserve"> Acct!AS$37</f>
        <v>715.75147123646184</v>
      </c>
      <c r="AT114" s="186">
        <f xml:space="preserve"> Acct!AT$37</f>
        <v>715.75147123646184</v>
      </c>
      <c r="AU114" s="186">
        <f xml:space="preserve"> Acct!AU$37</f>
        <v>715.75147123646184</v>
      </c>
      <c r="AV114" s="186">
        <f xml:space="preserve"> Acct!AV$37</f>
        <v>715.75147123646184</v>
      </c>
      <c r="AW114" s="186">
        <f xml:space="preserve"> Acct!AW$37</f>
        <v>0</v>
      </c>
      <c r="AX114" s="186">
        <f xml:space="preserve"> Acct!AX$37</f>
        <v>0</v>
      </c>
      <c r="AY114" s="186">
        <f xml:space="preserve"> Acct!AY$37</f>
        <v>0</v>
      </c>
      <c r="AZ114" s="186">
        <f xml:space="preserve"> Acct!AZ$37</f>
        <v>0</v>
      </c>
      <c r="BA114" s="186">
        <f xml:space="preserve"> Acct!BA$37</f>
        <v>0</v>
      </c>
      <c r="BB114" s="186">
        <f xml:space="preserve"> Acct!BB$37</f>
        <v>0</v>
      </c>
      <c r="BC114" s="186">
        <f xml:space="preserve"> Acct!BC$37</f>
        <v>0</v>
      </c>
      <c r="BD114" s="186">
        <f xml:space="preserve"> Acct!BD$37</f>
        <v>0</v>
      </c>
      <c r="BE114" s="186">
        <f xml:space="preserve"> Acct!BE$37</f>
        <v>0</v>
      </c>
      <c r="BF114" s="186">
        <f xml:space="preserve"> Acct!BF$37</f>
        <v>0</v>
      </c>
      <c r="BG114" s="186">
        <f xml:space="preserve"> Acct!BG$37</f>
        <v>0</v>
      </c>
      <c r="BH114" s="186">
        <f xml:space="preserve"> Acct!BH$37</f>
        <v>0</v>
      </c>
      <c r="BI114" s="186">
        <f xml:space="preserve"> Acct!BI$37</f>
        <v>0</v>
      </c>
      <c r="BJ114" s="186">
        <f xml:space="preserve"> Acct!BJ$37</f>
        <v>0</v>
      </c>
      <c r="BK114" s="186">
        <f xml:space="preserve"> Acct!BK$37</f>
        <v>0</v>
      </c>
      <c r="BL114" s="186">
        <f xml:space="preserve"> Acct!BL$37</f>
        <v>0</v>
      </c>
      <c r="BM114" s="186">
        <f xml:space="preserve"> Acct!BM$37</f>
        <v>0</v>
      </c>
      <c r="BN114" s="186">
        <f xml:space="preserve"> Acct!BN$37</f>
        <v>0</v>
      </c>
      <c r="BO114" s="186">
        <f xml:space="preserve"> Acct!BO$37</f>
        <v>0</v>
      </c>
      <c r="BP114" s="186">
        <f xml:space="preserve"> Acct!BP$37</f>
        <v>0</v>
      </c>
      <c r="BQ114" s="186">
        <f xml:space="preserve"> Acct!BQ$37</f>
        <v>0</v>
      </c>
      <c r="BR114" s="186">
        <f xml:space="preserve"> Acct!BR$37</f>
        <v>0</v>
      </c>
      <c r="BS114" s="186">
        <f xml:space="preserve"> Acct!BS$37</f>
        <v>0</v>
      </c>
      <c r="BT114" s="186">
        <f xml:space="preserve"> Acct!BT$37</f>
        <v>0</v>
      </c>
      <c r="BU114" s="186">
        <f xml:space="preserve"> Acct!BU$37</f>
        <v>0</v>
      </c>
      <c r="BV114" s="186">
        <f xml:space="preserve"> Acct!BV$37</f>
        <v>0</v>
      </c>
      <c r="BW114" s="186">
        <f xml:space="preserve"> Acct!BW$37</f>
        <v>0</v>
      </c>
      <c r="BX114" s="186">
        <f xml:space="preserve"> Acct!BX$37</f>
        <v>0</v>
      </c>
      <c r="BY114" s="186">
        <f xml:space="preserve"> Acct!BY$37</f>
        <v>0</v>
      </c>
      <c r="BZ114" s="186">
        <f xml:space="preserve"> Acct!BZ$37</f>
        <v>0</v>
      </c>
      <c r="CA114" s="186">
        <f xml:space="preserve"> Acct!CA$37</f>
        <v>0</v>
      </c>
      <c r="CB114" s="186">
        <f xml:space="preserve"> Acct!CB$37</f>
        <v>0</v>
      </c>
      <c r="CC114" s="186">
        <f xml:space="preserve"> Acct!CC$37</f>
        <v>0</v>
      </c>
      <c r="CD114" s="186">
        <f xml:space="preserve"> Acct!CD$37</f>
        <v>0</v>
      </c>
      <c r="CE114" s="186">
        <f xml:space="preserve"> Acct!CE$37</f>
        <v>0</v>
      </c>
      <c r="CF114" s="186">
        <f xml:space="preserve"> Acct!CF$37</f>
        <v>0</v>
      </c>
      <c r="CG114" s="186">
        <f xml:space="preserve"> Acct!CG$37</f>
        <v>0</v>
      </c>
      <c r="CH114" s="186">
        <f xml:space="preserve"> Acct!CH$37</f>
        <v>0</v>
      </c>
      <c r="CI114" s="186">
        <f xml:space="preserve"> Acct!CI$37</f>
        <v>0</v>
      </c>
      <c r="CJ114" s="186">
        <f xml:space="preserve"> Acct!CJ$37</f>
        <v>0</v>
      </c>
      <c r="CK114" s="186">
        <f xml:space="preserve"> Acct!CK$37</f>
        <v>0</v>
      </c>
      <c r="CL114" s="186">
        <f xml:space="preserve"> Acct!CL$37</f>
        <v>0</v>
      </c>
      <c r="CM114" s="186">
        <f xml:space="preserve"> Acct!CM$37</f>
        <v>0</v>
      </c>
      <c r="CN114" s="186">
        <f xml:space="preserve"> Acct!CN$37</f>
        <v>0</v>
      </c>
      <c r="CO114" s="186">
        <f xml:space="preserve"> Acct!CO$37</f>
        <v>0</v>
      </c>
      <c r="CP114" s="186">
        <f xml:space="preserve"> Acct!CP$37</f>
        <v>0</v>
      </c>
      <c r="CQ114" s="186">
        <f xml:space="preserve"> Acct!CQ$37</f>
        <v>0</v>
      </c>
      <c r="CR114" s="186">
        <f xml:space="preserve"> Acct!CR$37</f>
        <v>0</v>
      </c>
      <c r="CS114" s="186">
        <f xml:space="preserve"> Acct!CS$37</f>
        <v>0</v>
      </c>
      <c r="CT114" s="186">
        <f xml:space="preserve"> Acct!CT$37</f>
        <v>0</v>
      </c>
      <c r="CU114" s="186">
        <f xml:space="preserve"> Acct!CU$37</f>
        <v>0</v>
      </c>
      <c r="CV114" s="186">
        <f xml:space="preserve"> Acct!CV$37</f>
        <v>0</v>
      </c>
      <c r="CW114" s="186">
        <f xml:space="preserve"> Acct!CW$37</f>
        <v>0</v>
      </c>
      <c r="CX114" s="186">
        <f xml:space="preserve"> Acct!CX$37</f>
        <v>0</v>
      </c>
      <c r="CY114" s="186">
        <f xml:space="preserve"> Acct!CY$37</f>
        <v>0</v>
      </c>
      <c r="CZ114" s="186">
        <f xml:space="preserve"> Acct!CZ$37</f>
        <v>0</v>
      </c>
      <c r="DA114" s="186">
        <f xml:space="preserve"> Acct!DA$37</f>
        <v>0</v>
      </c>
      <c r="DB114" s="186">
        <f xml:space="preserve"> Acct!DB$37</f>
        <v>0</v>
      </c>
      <c r="DC114" s="186">
        <f xml:space="preserve"> Acct!DC$37</f>
        <v>0</v>
      </c>
      <c r="DD114" s="186">
        <f xml:space="preserve"> Acct!DD$37</f>
        <v>0</v>
      </c>
      <c r="DE114" s="186">
        <f xml:space="preserve"> Acct!DE$37</f>
        <v>0</v>
      </c>
      <c r="DF114" s="186">
        <f xml:space="preserve"> Acct!DF$37</f>
        <v>0</v>
      </c>
      <c r="DG114" s="186">
        <f xml:space="preserve"> Acct!DG$37</f>
        <v>0</v>
      </c>
      <c r="DH114" s="186">
        <f xml:space="preserve"> Acct!DH$37</f>
        <v>0</v>
      </c>
      <c r="DI114" s="186">
        <f xml:space="preserve"> Acct!DI$37</f>
        <v>0</v>
      </c>
      <c r="DJ114" s="186">
        <f xml:space="preserve"> Acct!DJ$37</f>
        <v>0</v>
      </c>
      <c r="DK114" s="186">
        <f xml:space="preserve"> Acct!DK$37</f>
        <v>0</v>
      </c>
      <c r="DL114" s="186">
        <f xml:space="preserve"> Acct!DL$37</f>
        <v>0</v>
      </c>
      <c r="DM114" s="186">
        <f xml:space="preserve"> Acct!DM$37</f>
        <v>0</v>
      </c>
      <c r="DN114" s="186">
        <f xml:space="preserve"> Acct!DN$37</f>
        <v>0</v>
      </c>
      <c r="DO114" s="186">
        <f xml:space="preserve"> Acct!DO$37</f>
        <v>0</v>
      </c>
      <c r="DP114" s="186">
        <f xml:space="preserve"> Acct!DP$37</f>
        <v>0</v>
      </c>
      <c r="DQ114" s="186">
        <f xml:space="preserve"> Acct!DQ$37</f>
        <v>0</v>
      </c>
      <c r="DR114" s="186">
        <f xml:space="preserve"> Acct!DR$37</f>
        <v>0</v>
      </c>
      <c r="DS114" s="186">
        <f xml:space="preserve"> Acct!DS$37</f>
        <v>0</v>
      </c>
      <c r="DT114" s="186">
        <f xml:space="preserve"> Acct!DT$37</f>
        <v>0</v>
      </c>
      <c r="DU114" s="186">
        <f xml:space="preserve"> Acct!DU$37</f>
        <v>0</v>
      </c>
      <c r="DV114" s="186">
        <f xml:space="preserve"> Acct!DV$37</f>
        <v>0</v>
      </c>
      <c r="DW114" s="186">
        <f xml:space="preserve"> Acct!DW$37</f>
        <v>0</v>
      </c>
      <c r="DX114" s="186">
        <f xml:space="preserve"> Acct!DX$37</f>
        <v>0</v>
      </c>
      <c r="DY114" s="186">
        <f xml:space="preserve"> Acct!DY$37</f>
        <v>0</v>
      </c>
      <c r="DZ114" s="186">
        <f xml:space="preserve"> Acct!DZ$37</f>
        <v>0</v>
      </c>
      <c r="EA114" s="186">
        <f xml:space="preserve"> Acct!EA$37</f>
        <v>0</v>
      </c>
      <c r="EB114" s="186">
        <f xml:space="preserve"> Acct!EB$37</f>
        <v>0</v>
      </c>
      <c r="EC114" s="186">
        <f xml:space="preserve"> Acct!EC$37</f>
        <v>0</v>
      </c>
      <c r="ED114" s="186">
        <f xml:space="preserve"> Acct!ED$37</f>
        <v>0</v>
      </c>
      <c r="EE114" s="186">
        <f xml:space="preserve"> Acct!EE$37</f>
        <v>0</v>
      </c>
      <c r="EF114" s="186">
        <f xml:space="preserve"> Acct!EF$37</f>
        <v>0</v>
      </c>
      <c r="EG114" s="186">
        <f xml:space="preserve"> Acct!EG$37</f>
        <v>0</v>
      </c>
      <c r="EH114" s="186">
        <f xml:space="preserve"> Acct!EH$37</f>
        <v>0</v>
      </c>
      <c r="EI114" s="186">
        <f xml:space="preserve"> Acct!EI$37</f>
        <v>0</v>
      </c>
      <c r="EJ114" s="186">
        <f xml:space="preserve"> Acct!EJ$37</f>
        <v>0</v>
      </c>
      <c r="EK114" s="186">
        <f xml:space="preserve"> Acct!EK$37</f>
        <v>0</v>
      </c>
      <c r="EL114" s="186">
        <f xml:space="preserve"> Acct!EL$37</f>
        <v>0</v>
      </c>
      <c r="EM114" s="186">
        <f xml:space="preserve"> Acct!EM$37</f>
        <v>0</v>
      </c>
      <c r="EN114" s="186">
        <f xml:space="preserve"> Acct!EN$37</f>
        <v>0</v>
      </c>
      <c r="EO114" s="186">
        <f xml:space="preserve"> Acct!EO$37</f>
        <v>0</v>
      </c>
      <c r="EP114" s="186">
        <f xml:space="preserve"> Acct!EP$37</f>
        <v>0</v>
      </c>
      <c r="EQ114" s="186">
        <f xml:space="preserve"> Acct!EQ$37</f>
        <v>0</v>
      </c>
      <c r="ER114" s="186">
        <f xml:space="preserve"> Acct!ER$37</f>
        <v>0</v>
      </c>
      <c r="ES114" s="186">
        <f xml:space="preserve"> Acct!ES$37</f>
        <v>0</v>
      </c>
      <c r="ET114" s="186">
        <f xml:space="preserve"> Acct!ET$37</f>
        <v>0</v>
      </c>
      <c r="EU114" s="186">
        <f xml:space="preserve"> Acct!EU$37</f>
        <v>0</v>
      </c>
      <c r="EV114" s="186">
        <f xml:space="preserve"> Acct!EV$37</f>
        <v>0</v>
      </c>
      <c r="EW114" s="186">
        <f xml:space="preserve"> Acct!EW$37</f>
        <v>0</v>
      </c>
      <c r="EX114" s="186">
        <f xml:space="preserve"> Acct!EX$37</f>
        <v>0</v>
      </c>
      <c r="EY114" s="186">
        <f xml:space="preserve"> Acct!EY$37</f>
        <v>0</v>
      </c>
      <c r="EZ114" s="186">
        <f xml:space="preserve"> Acct!EZ$37</f>
        <v>0</v>
      </c>
      <c r="FA114" s="186">
        <f xml:space="preserve"> Acct!FA$37</f>
        <v>0</v>
      </c>
      <c r="FB114" s="186">
        <f xml:space="preserve"> Acct!FB$37</f>
        <v>0</v>
      </c>
      <c r="FC114" s="186">
        <f xml:space="preserve"> Acct!FC$37</f>
        <v>0</v>
      </c>
      <c r="FD114" s="186">
        <f xml:space="preserve"> Acct!FD$37</f>
        <v>0</v>
      </c>
      <c r="FE114" s="186">
        <f xml:space="preserve"> Acct!FE$37</f>
        <v>0</v>
      </c>
      <c r="FF114" s="186">
        <f xml:space="preserve"> Acct!FF$37</f>
        <v>0</v>
      </c>
      <c r="FG114" s="186">
        <f xml:space="preserve"> Acct!FG$37</f>
        <v>0</v>
      </c>
      <c r="FH114" s="186">
        <f xml:space="preserve"> Acct!FH$37</f>
        <v>0</v>
      </c>
      <c r="FI114" s="186">
        <f xml:space="preserve"> Acct!FI$37</f>
        <v>0</v>
      </c>
      <c r="FJ114" s="186">
        <f xml:space="preserve"> Acct!FJ$37</f>
        <v>0</v>
      </c>
      <c r="FK114" s="186">
        <f xml:space="preserve"> Acct!FK$37</f>
        <v>0</v>
      </c>
      <c r="FL114" s="186">
        <f xml:space="preserve"> Acct!FL$37</f>
        <v>0</v>
      </c>
      <c r="FM114" s="186">
        <f xml:space="preserve"> Acct!FM$37</f>
        <v>0</v>
      </c>
      <c r="FN114" s="186">
        <f xml:space="preserve"> Acct!FN$37</f>
        <v>0</v>
      </c>
      <c r="FO114" s="186">
        <f xml:space="preserve"> Acct!FO$37</f>
        <v>0</v>
      </c>
      <c r="FP114" s="186">
        <f xml:space="preserve"> Acct!FP$37</f>
        <v>0</v>
      </c>
      <c r="FQ114" s="186">
        <f xml:space="preserve"> Acct!FQ$37</f>
        <v>0</v>
      </c>
      <c r="FR114" s="186">
        <f xml:space="preserve"> Acct!FR$37</f>
        <v>0</v>
      </c>
      <c r="FS114" s="186">
        <f xml:space="preserve"> Acct!FS$37</f>
        <v>0</v>
      </c>
      <c r="FT114" s="186">
        <f xml:space="preserve"> Acct!FT$37</f>
        <v>0</v>
      </c>
      <c r="FU114" s="186">
        <f xml:space="preserve"> Acct!FU$37</f>
        <v>0</v>
      </c>
      <c r="FV114" s="186">
        <f xml:space="preserve"> Acct!FV$37</f>
        <v>0</v>
      </c>
      <c r="FW114" s="186">
        <f xml:space="preserve"> Acct!FW$37</f>
        <v>0</v>
      </c>
      <c r="FX114" s="186">
        <f xml:space="preserve"> Acct!FX$37</f>
        <v>0</v>
      </c>
      <c r="FY114" s="186">
        <f xml:space="preserve"> Acct!FY$37</f>
        <v>0</v>
      </c>
      <c r="FZ114" s="186">
        <f xml:space="preserve"> Acct!FZ$37</f>
        <v>0</v>
      </c>
      <c r="GA114" s="186">
        <f xml:space="preserve"> Acct!GA$37</f>
        <v>0</v>
      </c>
      <c r="GB114" s="186">
        <f xml:space="preserve"> Acct!GB$37</f>
        <v>0</v>
      </c>
      <c r="GC114" s="186">
        <f xml:space="preserve"> Acct!GC$37</f>
        <v>0</v>
      </c>
      <c r="GD114" s="186">
        <f xml:space="preserve"> Acct!GD$37</f>
        <v>0</v>
      </c>
      <c r="GE114" s="186">
        <f xml:space="preserve"> Acct!GE$37</f>
        <v>0</v>
      </c>
      <c r="GF114" s="186">
        <f xml:space="preserve"> Acct!GF$37</f>
        <v>0</v>
      </c>
      <c r="GG114" s="186">
        <f xml:space="preserve"> Acct!GG$37</f>
        <v>0</v>
      </c>
      <c r="GH114" s="186">
        <f xml:space="preserve"> Acct!GH$37</f>
        <v>0</v>
      </c>
      <c r="GI114" s="186">
        <f xml:space="preserve"> Acct!GI$37</f>
        <v>0</v>
      </c>
      <c r="GJ114" s="186">
        <f xml:space="preserve"> Acct!GJ$37</f>
        <v>0</v>
      </c>
    </row>
    <row r="115" spans="1:192" outlineLevel="1" x14ac:dyDescent="0.2">
      <c r="D115" s="48" t="s">
        <v>170</v>
      </c>
      <c r="E115" s="12" t="str">
        <f t="shared" ref="E115:BP115" si="130" xml:space="preserve"> E$12</f>
        <v>Tax depreciation</v>
      </c>
      <c r="F115" s="12">
        <f t="shared" si="130"/>
        <v>0</v>
      </c>
      <c r="G115" s="12" t="str">
        <f t="shared" si="130"/>
        <v>$ 000s</v>
      </c>
      <c r="H115" s="12">
        <f t="shared" si="130"/>
        <v>319727.85774203978</v>
      </c>
      <c r="I115" s="12">
        <f t="shared" si="130"/>
        <v>0</v>
      </c>
      <c r="J115" s="12">
        <f t="shared" si="130"/>
        <v>0</v>
      </c>
      <c r="K115" s="12">
        <f t="shared" si="130"/>
        <v>0</v>
      </c>
      <c r="L115" s="12">
        <f t="shared" si="130"/>
        <v>0</v>
      </c>
      <c r="M115" s="12">
        <f t="shared" si="130"/>
        <v>0</v>
      </c>
      <c r="N115" s="12">
        <f t="shared" si="130"/>
        <v>0</v>
      </c>
      <c r="O115" s="12">
        <f t="shared" si="130"/>
        <v>31972.785774203956</v>
      </c>
      <c r="P115" s="12">
        <f t="shared" si="130"/>
        <v>28775.507196783561</v>
      </c>
      <c r="Q115" s="12">
        <f t="shared" si="130"/>
        <v>25897.956477105206</v>
      </c>
      <c r="R115" s="12">
        <f t="shared" si="130"/>
        <v>23308.160829394685</v>
      </c>
      <c r="S115" s="12">
        <f t="shared" si="130"/>
        <v>20977.344746455215</v>
      </c>
      <c r="T115" s="12">
        <f t="shared" si="130"/>
        <v>18879.610271809692</v>
      </c>
      <c r="U115" s="12">
        <f t="shared" si="130"/>
        <v>16991.649244628727</v>
      </c>
      <c r="V115" s="12">
        <f t="shared" si="130"/>
        <v>15292.484320165851</v>
      </c>
      <c r="W115" s="12">
        <f t="shared" si="130"/>
        <v>13763.235888149267</v>
      </c>
      <c r="X115" s="12">
        <f t="shared" si="130"/>
        <v>12386.912299334341</v>
      </c>
      <c r="Y115" s="12">
        <f t="shared" si="130"/>
        <v>11148.221069400906</v>
      </c>
      <c r="Z115" s="12">
        <f t="shared" si="130"/>
        <v>10033.398962460815</v>
      </c>
      <c r="AA115" s="12">
        <f t="shared" si="130"/>
        <v>9030.0590662147333</v>
      </c>
      <c r="AB115" s="12">
        <f t="shared" si="130"/>
        <v>8127.0531595932598</v>
      </c>
      <c r="AC115" s="12">
        <f t="shared" si="130"/>
        <v>7314.3478436339346</v>
      </c>
      <c r="AD115" s="12">
        <f t="shared" si="130"/>
        <v>6582.9130592705405</v>
      </c>
      <c r="AE115" s="12">
        <f t="shared" si="130"/>
        <v>5924.6217533434865</v>
      </c>
      <c r="AF115" s="12">
        <f t="shared" si="130"/>
        <v>5332.1595780091375</v>
      </c>
      <c r="AG115" s="12">
        <f t="shared" si="130"/>
        <v>4798.9436202082243</v>
      </c>
      <c r="AH115" s="12">
        <f t="shared" si="130"/>
        <v>4319.0492581874014</v>
      </c>
      <c r="AI115" s="12">
        <f t="shared" si="130"/>
        <v>3887.1443323686617</v>
      </c>
      <c r="AJ115" s="12">
        <f t="shared" si="130"/>
        <v>3498.4298991317955</v>
      </c>
      <c r="AK115" s="12">
        <f t="shared" si="130"/>
        <v>3148.5869092186163</v>
      </c>
      <c r="AL115" s="12">
        <f t="shared" si="130"/>
        <v>2833.7282182967547</v>
      </c>
      <c r="AM115" s="12">
        <f t="shared" si="130"/>
        <v>2550.3553964670791</v>
      </c>
      <c r="AN115" s="12">
        <f t="shared" si="130"/>
        <v>2295.3198568203711</v>
      </c>
      <c r="AO115" s="12">
        <f t="shared" si="130"/>
        <v>2065.7878711383341</v>
      </c>
      <c r="AP115" s="12">
        <f t="shared" si="130"/>
        <v>1859.209084024501</v>
      </c>
      <c r="AQ115" s="12">
        <f t="shared" si="130"/>
        <v>1673.2881756220509</v>
      </c>
      <c r="AR115" s="12">
        <f t="shared" si="130"/>
        <v>1505.9593580598457</v>
      </c>
      <c r="AS115" s="12">
        <f t="shared" si="130"/>
        <v>1355.3634222538612</v>
      </c>
      <c r="AT115" s="12">
        <f t="shared" si="130"/>
        <v>1219.8270800284752</v>
      </c>
      <c r="AU115" s="12">
        <f t="shared" si="130"/>
        <v>1097.8443720256275</v>
      </c>
      <c r="AV115" s="12">
        <f t="shared" si="130"/>
        <v>988.05993482306485</v>
      </c>
      <c r="AW115" s="12">
        <f t="shared" si="130"/>
        <v>889.25394134075839</v>
      </c>
      <c r="AX115" s="12">
        <f t="shared" si="130"/>
        <v>800.32854720668252</v>
      </c>
      <c r="AY115" s="12">
        <f t="shared" si="130"/>
        <v>720.29569248601422</v>
      </c>
      <c r="AZ115" s="12">
        <f t="shared" si="130"/>
        <v>648.26612323741278</v>
      </c>
      <c r="BA115" s="12">
        <f t="shared" si="130"/>
        <v>583.43951091367148</v>
      </c>
      <c r="BB115" s="12">
        <f t="shared" si="130"/>
        <v>5250.9555982230431</v>
      </c>
      <c r="BC115" s="12">
        <f t="shared" si="130"/>
        <v>0</v>
      </c>
      <c r="BD115" s="12">
        <f t="shared" si="130"/>
        <v>0</v>
      </c>
      <c r="BE115" s="12">
        <f t="shared" si="130"/>
        <v>0</v>
      </c>
      <c r="BF115" s="12">
        <f t="shared" si="130"/>
        <v>0</v>
      </c>
      <c r="BG115" s="12">
        <f t="shared" si="130"/>
        <v>0</v>
      </c>
      <c r="BH115" s="12">
        <f t="shared" si="130"/>
        <v>0</v>
      </c>
      <c r="BI115" s="12">
        <f t="shared" si="130"/>
        <v>0</v>
      </c>
      <c r="BJ115" s="12">
        <f t="shared" si="130"/>
        <v>0</v>
      </c>
      <c r="BK115" s="12">
        <f t="shared" si="130"/>
        <v>0</v>
      </c>
      <c r="BL115" s="12">
        <f t="shared" si="130"/>
        <v>0</v>
      </c>
      <c r="BM115" s="12">
        <f t="shared" si="130"/>
        <v>0</v>
      </c>
      <c r="BN115" s="12">
        <f t="shared" si="130"/>
        <v>0</v>
      </c>
      <c r="BO115" s="12">
        <f t="shared" si="130"/>
        <v>0</v>
      </c>
      <c r="BP115" s="12">
        <f t="shared" si="130"/>
        <v>0</v>
      </c>
      <c r="BQ115" s="12">
        <f t="shared" ref="BQ115:EB115" si="131" xml:space="preserve"> BQ$12</f>
        <v>0</v>
      </c>
      <c r="BR115" s="12">
        <f t="shared" si="131"/>
        <v>0</v>
      </c>
      <c r="BS115" s="12">
        <f t="shared" si="131"/>
        <v>0</v>
      </c>
      <c r="BT115" s="12">
        <f t="shared" si="131"/>
        <v>0</v>
      </c>
      <c r="BU115" s="12">
        <f t="shared" si="131"/>
        <v>0</v>
      </c>
      <c r="BV115" s="12">
        <f t="shared" si="131"/>
        <v>0</v>
      </c>
      <c r="BW115" s="12">
        <f t="shared" si="131"/>
        <v>0</v>
      </c>
      <c r="BX115" s="12">
        <f t="shared" si="131"/>
        <v>0</v>
      </c>
      <c r="BY115" s="12">
        <f t="shared" si="131"/>
        <v>0</v>
      </c>
      <c r="BZ115" s="12">
        <f t="shared" si="131"/>
        <v>0</v>
      </c>
      <c r="CA115" s="12">
        <f t="shared" si="131"/>
        <v>0</v>
      </c>
      <c r="CB115" s="12">
        <f t="shared" si="131"/>
        <v>0</v>
      </c>
      <c r="CC115" s="12">
        <f t="shared" si="131"/>
        <v>0</v>
      </c>
      <c r="CD115" s="12">
        <f t="shared" si="131"/>
        <v>0</v>
      </c>
      <c r="CE115" s="12">
        <f t="shared" si="131"/>
        <v>0</v>
      </c>
      <c r="CF115" s="12">
        <f t="shared" si="131"/>
        <v>0</v>
      </c>
      <c r="CG115" s="12">
        <f t="shared" si="131"/>
        <v>0</v>
      </c>
      <c r="CH115" s="12">
        <f t="shared" si="131"/>
        <v>0</v>
      </c>
      <c r="CI115" s="12">
        <f t="shared" si="131"/>
        <v>0</v>
      </c>
      <c r="CJ115" s="12">
        <f t="shared" si="131"/>
        <v>0</v>
      </c>
      <c r="CK115" s="12">
        <f t="shared" si="131"/>
        <v>0</v>
      </c>
      <c r="CL115" s="12">
        <f t="shared" si="131"/>
        <v>0</v>
      </c>
      <c r="CM115" s="12">
        <f t="shared" si="131"/>
        <v>0</v>
      </c>
      <c r="CN115" s="12">
        <f t="shared" si="131"/>
        <v>0</v>
      </c>
      <c r="CO115" s="12">
        <f t="shared" si="131"/>
        <v>0</v>
      </c>
      <c r="CP115" s="12">
        <f t="shared" si="131"/>
        <v>0</v>
      </c>
      <c r="CQ115" s="12">
        <f t="shared" si="131"/>
        <v>0</v>
      </c>
      <c r="CR115" s="12">
        <f t="shared" si="131"/>
        <v>0</v>
      </c>
      <c r="CS115" s="12">
        <f t="shared" si="131"/>
        <v>0</v>
      </c>
      <c r="CT115" s="12">
        <f t="shared" si="131"/>
        <v>0</v>
      </c>
      <c r="CU115" s="12">
        <f t="shared" si="131"/>
        <v>0</v>
      </c>
      <c r="CV115" s="12">
        <f t="shared" si="131"/>
        <v>0</v>
      </c>
      <c r="CW115" s="12">
        <f t="shared" si="131"/>
        <v>0</v>
      </c>
      <c r="CX115" s="12">
        <f t="shared" si="131"/>
        <v>0</v>
      </c>
      <c r="CY115" s="12">
        <f t="shared" si="131"/>
        <v>0</v>
      </c>
      <c r="CZ115" s="12">
        <f t="shared" si="131"/>
        <v>0</v>
      </c>
      <c r="DA115" s="12">
        <f t="shared" si="131"/>
        <v>0</v>
      </c>
      <c r="DB115" s="12">
        <f t="shared" si="131"/>
        <v>0</v>
      </c>
      <c r="DC115" s="12">
        <f t="shared" si="131"/>
        <v>0</v>
      </c>
      <c r="DD115" s="12">
        <f t="shared" si="131"/>
        <v>0</v>
      </c>
      <c r="DE115" s="12">
        <f t="shared" si="131"/>
        <v>0</v>
      </c>
      <c r="DF115" s="12">
        <f t="shared" si="131"/>
        <v>0</v>
      </c>
      <c r="DG115" s="12">
        <f t="shared" si="131"/>
        <v>0</v>
      </c>
      <c r="DH115" s="12">
        <f t="shared" si="131"/>
        <v>0</v>
      </c>
      <c r="DI115" s="12">
        <f t="shared" si="131"/>
        <v>0</v>
      </c>
      <c r="DJ115" s="12">
        <f t="shared" si="131"/>
        <v>0</v>
      </c>
      <c r="DK115" s="12">
        <f t="shared" si="131"/>
        <v>0</v>
      </c>
      <c r="DL115" s="12">
        <f t="shared" si="131"/>
        <v>0</v>
      </c>
      <c r="DM115" s="12">
        <f t="shared" si="131"/>
        <v>0</v>
      </c>
      <c r="DN115" s="12">
        <f t="shared" si="131"/>
        <v>0</v>
      </c>
      <c r="DO115" s="12">
        <f t="shared" si="131"/>
        <v>0</v>
      </c>
      <c r="DP115" s="12">
        <f t="shared" si="131"/>
        <v>0</v>
      </c>
      <c r="DQ115" s="12">
        <f t="shared" si="131"/>
        <v>0</v>
      </c>
      <c r="DR115" s="12">
        <f t="shared" si="131"/>
        <v>0</v>
      </c>
      <c r="DS115" s="12">
        <f t="shared" si="131"/>
        <v>0</v>
      </c>
      <c r="DT115" s="12">
        <f t="shared" si="131"/>
        <v>0</v>
      </c>
      <c r="DU115" s="12">
        <f t="shared" si="131"/>
        <v>0</v>
      </c>
      <c r="DV115" s="12">
        <f t="shared" si="131"/>
        <v>0</v>
      </c>
      <c r="DW115" s="12">
        <f t="shared" si="131"/>
        <v>0</v>
      </c>
      <c r="DX115" s="12">
        <f t="shared" si="131"/>
        <v>0</v>
      </c>
      <c r="DY115" s="12">
        <f t="shared" si="131"/>
        <v>0</v>
      </c>
      <c r="DZ115" s="12">
        <f t="shared" si="131"/>
        <v>0</v>
      </c>
      <c r="EA115" s="12">
        <f t="shared" si="131"/>
        <v>0</v>
      </c>
      <c r="EB115" s="12">
        <f t="shared" si="131"/>
        <v>0</v>
      </c>
      <c r="EC115" s="12">
        <f t="shared" ref="EC115:GJ115" si="132" xml:space="preserve"> EC$12</f>
        <v>0</v>
      </c>
      <c r="ED115" s="12">
        <f t="shared" si="132"/>
        <v>0</v>
      </c>
      <c r="EE115" s="12">
        <f t="shared" si="132"/>
        <v>0</v>
      </c>
      <c r="EF115" s="12">
        <f t="shared" si="132"/>
        <v>0</v>
      </c>
      <c r="EG115" s="12">
        <f t="shared" si="132"/>
        <v>0</v>
      </c>
      <c r="EH115" s="12">
        <f t="shared" si="132"/>
        <v>0</v>
      </c>
      <c r="EI115" s="12">
        <f t="shared" si="132"/>
        <v>0</v>
      </c>
      <c r="EJ115" s="12">
        <f t="shared" si="132"/>
        <v>0</v>
      </c>
      <c r="EK115" s="12">
        <f t="shared" si="132"/>
        <v>0</v>
      </c>
      <c r="EL115" s="12">
        <f t="shared" si="132"/>
        <v>0</v>
      </c>
      <c r="EM115" s="12">
        <f t="shared" si="132"/>
        <v>0</v>
      </c>
      <c r="EN115" s="12">
        <f t="shared" si="132"/>
        <v>0</v>
      </c>
      <c r="EO115" s="12">
        <f t="shared" si="132"/>
        <v>0</v>
      </c>
      <c r="EP115" s="12">
        <f t="shared" si="132"/>
        <v>0</v>
      </c>
      <c r="EQ115" s="12">
        <f t="shared" si="132"/>
        <v>0</v>
      </c>
      <c r="ER115" s="12">
        <f t="shared" si="132"/>
        <v>0</v>
      </c>
      <c r="ES115" s="12">
        <f t="shared" si="132"/>
        <v>0</v>
      </c>
      <c r="ET115" s="12">
        <f t="shared" si="132"/>
        <v>0</v>
      </c>
      <c r="EU115" s="12">
        <f t="shared" si="132"/>
        <v>0</v>
      </c>
      <c r="EV115" s="12">
        <f t="shared" si="132"/>
        <v>0</v>
      </c>
      <c r="EW115" s="12">
        <f t="shared" si="132"/>
        <v>0</v>
      </c>
      <c r="EX115" s="12">
        <f t="shared" si="132"/>
        <v>0</v>
      </c>
      <c r="EY115" s="12">
        <f t="shared" si="132"/>
        <v>0</v>
      </c>
      <c r="EZ115" s="12">
        <f t="shared" si="132"/>
        <v>0</v>
      </c>
      <c r="FA115" s="12">
        <f t="shared" si="132"/>
        <v>0</v>
      </c>
      <c r="FB115" s="12">
        <f t="shared" si="132"/>
        <v>0</v>
      </c>
      <c r="FC115" s="12">
        <f t="shared" si="132"/>
        <v>0</v>
      </c>
      <c r="FD115" s="12">
        <f t="shared" si="132"/>
        <v>0</v>
      </c>
      <c r="FE115" s="12">
        <f t="shared" si="132"/>
        <v>0</v>
      </c>
      <c r="FF115" s="12">
        <f t="shared" si="132"/>
        <v>0</v>
      </c>
      <c r="FG115" s="12">
        <f t="shared" si="132"/>
        <v>0</v>
      </c>
      <c r="FH115" s="12">
        <f t="shared" si="132"/>
        <v>0</v>
      </c>
      <c r="FI115" s="12">
        <f t="shared" si="132"/>
        <v>0</v>
      </c>
      <c r="FJ115" s="12">
        <f t="shared" si="132"/>
        <v>0</v>
      </c>
      <c r="FK115" s="12">
        <f t="shared" si="132"/>
        <v>0</v>
      </c>
      <c r="FL115" s="12">
        <f t="shared" si="132"/>
        <v>0</v>
      </c>
      <c r="FM115" s="12">
        <f t="shared" si="132"/>
        <v>0</v>
      </c>
      <c r="FN115" s="12">
        <f t="shared" si="132"/>
        <v>0</v>
      </c>
      <c r="FO115" s="12">
        <f t="shared" si="132"/>
        <v>0</v>
      </c>
      <c r="FP115" s="12">
        <f t="shared" si="132"/>
        <v>0</v>
      </c>
      <c r="FQ115" s="12">
        <f t="shared" si="132"/>
        <v>0</v>
      </c>
      <c r="FR115" s="12">
        <f t="shared" si="132"/>
        <v>0</v>
      </c>
      <c r="FS115" s="12">
        <f t="shared" si="132"/>
        <v>0</v>
      </c>
      <c r="FT115" s="12">
        <f t="shared" si="132"/>
        <v>0</v>
      </c>
      <c r="FU115" s="12">
        <f t="shared" si="132"/>
        <v>0</v>
      </c>
      <c r="FV115" s="12">
        <f t="shared" si="132"/>
        <v>0</v>
      </c>
      <c r="FW115" s="12">
        <f t="shared" si="132"/>
        <v>0</v>
      </c>
      <c r="FX115" s="12">
        <f t="shared" si="132"/>
        <v>0</v>
      </c>
      <c r="FY115" s="12">
        <f t="shared" si="132"/>
        <v>0</v>
      </c>
      <c r="FZ115" s="12">
        <f t="shared" si="132"/>
        <v>0</v>
      </c>
      <c r="GA115" s="12">
        <f t="shared" si="132"/>
        <v>0</v>
      </c>
      <c r="GB115" s="12">
        <f t="shared" si="132"/>
        <v>0</v>
      </c>
      <c r="GC115" s="12">
        <f t="shared" si="132"/>
        <v>0</v>
      </c>
      <c r="GD115" s="12">
        <f t="shared" si="132"/>
        <v>0</v>
      </c>
      <c r="GE115" s="12">
        <f t="shared" si="132"/>
        <v>0</v>
      </c>
      <c r="GF115" s="12">
        <f t="shared" si="132"/>
        <v>0</v>
      </c>
      <c r="GG115" s="12">
        <f t="shared" si="132"/>
        <v>0</v>
      </c>
      <c r="GH115" s="12">
        <f t="shared" si="132"/>
        <v>0</v>
      </c>
      <c r="GI115" s="12">
        <f t="shared" si="132"/>
        <v>0</v>
      </c>
      <c r="GJ115" s="12">
        <f t="shared" si="132"/>
        <v>0</v>
      </c>
    </row>
    <row r="116" spans="1:192" outlineLevel="1" x14ac:dyDescent="0.2">
      <c r="D116" s="48" t="s">
        <v>170</v>
      </c>
      <c r="E116" s="12" t="str">
        <f t="shared" ref="E116:AJ116" ca="1" si="133" xml:space="preserve"> E$108</f>
        <v>Interest deduction for tax - P99</v>
      </c>
      <c r="F116" s="12">
        <f t="shared" ca="1" si="133"/>
        <v>0</v>
      </c>
      <c r="G116" s="12" t="str">
        <f t="shared" ca="1" si="133"/>
        <v>$ 000s</v>
      </c>
      <c r="H116" s="12">
        <f t="shared" ca="1" si="133"/>
        <v>813108.94763406226</v>
      </c>
      <c r="I116" s="12">
        <f t="shared" ca="1" si="133"/>
        <v>0</v>
      </c>
      <c r="J116" s="12">
        <f t="shared" ca="1" si="133"/>
        <v>0</v>
      </c>
      <c r="K116" s="12">
        <f t="shared" ca="1" si="133"/>
        <v>0</v>
      </c>
      <c r="L116" s="12">
        <f t="shared" ca="1" si="133"/>
        <v>0</v>
      </c>
      <c r="M116" s="12">
        <f t="shared" ca="1" si="133"/>
        <v>0</v>
      </c>
      <c r="N116" s="12">
        <f t="shared" ca="1" si="133"/>
        <v>0</v>
      </c>
      <c r="O116" s="12">
        <f t="shared" ca="1" si="133"/>
        <v>10874.073270598874</v>
      </c>
      <c r="P116" s="12">
        <f t="shared" ca="1" si="133"/>
        <v>10853.985620741338</v>
      </c>
      <c r="Q116" s="12">
        <f t="shared" ca="1" si="133"/>
        <v>11084.979117946408</v>
      </c>
      <c r="R116" s="12">
        <f t="shared" ca="1" si="133"/>
        <v>11158.438115927076</v>
      </c>
      <c r="S116" s="12">
        <f t="shared" ca="1" si="133"/>
        <v>11416.68073493928</v>
      </c>
      <c r="T116" s="12">
        <f t="shared" ca="1" si="133"/>
        <v>11528.216302545607</v>
      </c>
      <c r="U116" s="12">
        <f t="shared" ca="1" si="133"/>
        <v>11818.299302689338</v>
      </c>
      <c r="V116" s="12">
        <f t="shared" ca="1" si="133"/>
        <v>11997.754321670807</v>
      </c>
      <c r="W116" s="12">
        <f t="shared" ca="1" si="133"/>
        <v>12298.558345614012</v>
      </c>
      <c r="X116" s="12">
        <f t="shared" ca="1" si="133"/>
        <v>12501.737151900783</v>
      </c>
      <c r="Y116" s="12">
        <f t="shared" ca="1" si="133"/>
        <v>13061.226921248639</v>
      </c>
      <c r="Z116" s="12">
        <f t="shared" ca="1" si="133"/>
        <v>13312.25752325241</v>
      </c>
      <c r="AA116" s="12">
        <f t="shared" ca="1" si="133"/>
        <v>13727.406193651424</v>
      </c>
      <c r="AB116" s="12">
        <f t="shared" ca="1" si="133"/>
        <v>14038.761325675525</v>
      </c>
      <c r="AC116" s="12">
        <f t="shared" ca="1" si="133"/>
        <v>14507.974465127892</v>
      </c>
      <c r="AD116" s="12">
        <f t="shared" ca="1" si="133"/>
        <v>14906.588472223695</v>
      </c>
      <c r="AE116" s="12">
        <f t="shared" ca="1" si="133"/>
        <v>15417.222193892321</v>
      </c>
      <c r="AF116" s="12">
        <f t="shared" ca="1" si="133"/>
        <v>15873.372375822746</v>
      </c>
      <c r="AG116" s="12">
        <f t="shared" ca="1" si="133"/>
        <v>16473.103985000533</v>
      </c>
      <c r="AH116" s="12">
        <f t="shared" ca="1" si="133"/>
        <v>17014.047595449774</v>
      </c>
      <c r="AI116" s="12">
        <f t="shared" ca="1" si="133"/>
        <v>17838.835031196861</v>
      </c>
      <c r="AJ116" s="12">
        <f t="shared" ca="1" si="133"/>
        <v>18467.275855353269</v>
      </c>
      <c r="AK116" s="12">
        <f t="shared" ref="AK116:BP116" ca="1" si="134" xml:space="preserve"> AK$108</f>
        <v>19232.36157843814</v>
      </c>
      <c r="AL116" s="12">
        <f t="shared" ca="1" si="134"/>
        <v>19980.832911141326</v>
      </c>
      <c r="AM116" s="12">
        <f t="shared" ca="1" si="134"/>
        <v>20834.488055398469</v>
      </c>
      <c r="AN116" s="12">
        <f t="shared" ca="1" si="134"/>
        <v>21692.347109323633</v>
      </c>
      <c r="AO116" s="12">
        <f t="shared" ca="1" si="134"/>
        <v>22673.572198067548</v>
      </c>
      <c r="AP116" s="12">
        <f t="shared" ca="1" si="134"/>
        <v>23666.642245781542</v>
      </c>
      <c r="AQ116" s="12">
        <f t="shared" ca="1" si="134"/>
        <v>24778.367469409131</v>
      </c>
      <c r="AR116" s="12">
        <f t="shared" ca="1" si="134"/>
        <v>25924.299034360392</v>
      </c>
      <c r="AS116" s="12">
        <f t="shared" ca="1" si="134"/>
        <v>27184.290413822113</v>
      </c>
      <c r="AT116" s="12">
        <f t="shared" ca="1" si="134"/>
        <v>28521.293845853394</v>
      </c>
      <c r="AU116" s="12">
        <f t="shared" ca="1" si="134"/>
        <v>29962.076308208347</v>
      </c>
      <c r="AV116" s="12">
        <f t="shared" ca="1" si="134"/>
        <v>31199.05297841323</v>
      </c>
      <c r="AW116" s="12">
        <f t="shared" ca="1" si="134"/>
        <v>32528.804334541885</v>
      </c>
      <c r="AX116" s="12">
        <f t="shared" ca="1" si="134"/>
        <v>33883.660065554199</v>
      </c>
      <c r="AY116" s="12">
        <f t="shared" ca="1" si="134"/>
        <v>35324.332503005178</v>
      </c>
      <c r="AZ116" s="12">
        <f t="shared" ca="1" si="134"/>
        <v>36855.59762053196</v>
      </c>
      <c r="BA116" s="12">
        <f t="shared" ca="1" si="134"/>
        <v>38483.261376783885</v>
      </c>
      <c r="BB116" s="12">
        <f t="shared" ca="1" si="134"/>
        <v>40212.873362959261</v>
      </c>
      <c r="BC116" s="12">
        <f t="shared" ca="1" si="134"/>
        <v>0</v>
      </c>
      <c r="BD116" s="12">
        <f t="shared" ca="1" si="134"/>
        <v>0</v>
      </c>
      <c r="BE116" s="12">
        <f t="shared" ca="1" si="134"/>
        <v>0</v>
      </c>
      <c r="BF116" s="12">
        <f t="shared" ca="1" si="134"/>
        <v>0</v>
      </c>
      <c r="BG116" s="12">
        <f t="shared" ca="1" si="134"/>
        <v>0</v>
      </c>
      <c r="BH116" s="12">
        <f t="shared" ca="1" si="134"/>
        <v>0</v>
      </c>
      <c r="BI116" s="12">
        <f t="shared" ca="1" si="134"/>
        <v>0</v>
      </c>
      <c r="BJ116" s="12">
        <f t="shared" ca="1" si="134"/>
        <v>0</v>
      </c>
      <c r="BK116" s="12">
        <f t="shared" ca="1" si="134"/>
        <v>0</v>
      </c>
      <c r="BL116" s="12">
        <f t="shared" ca="1" si="134"/>
        <v>0</v>
      </c>
      <c r="BM116" s="12">
        <f t="shared" ca="1" si="134"/>
        <v>0</v>
      </c>
      <c r="BN116" s="12">
        <f t="shared" ca="1" si="134"/>
        <v>0</v>
      </c>
      <c r="BO116" s="12">
        <f t="shared" ca="1" si="134"/>
        <v>0</v>
      </c>
      <c r="BP116" s="12">
        <f t="shared" ca="1" si="134"/>
        <v>0</v>
      </c>
      <c r="BQ116" s="12">
        <f t="shared" ref="BQ116:CV116" ca="1" si="135" xml:space="preserve"> BQ$108</f>
        <v>0</v>
      </c>
      <c r="BR116" s="12">
        <f t="shared" ca="1" si="135"/>
        <v>0</v>
      </c>
      <c r="BS116" s="12">
        <f t="shared" ca="1" si="135"/>
        <v>0</v>
      </c>
      <c r="BT116" s="12">
        <f t="shared" ca="1" si="135"/>
        <v>0</v>
      </c>
      <c r="BU116" s="12">
        <f t="shared" ca="1" si="135"/>
        <v>0</v>
      </c>
      <c r="BV116" s="12">
        <f t="shared" ca="1" si="135"/>
        <v>0</v>
      </c>
      <c r="BW116" s="12">
        <f t="shared" ca="1" si="135"/>
        <v>0</v>
      </c>
      <c r="BX116" s="12">
        <f t="shared" ca="1" si="135"/>
        <v>0</v>
      </c>
      <c r="BY116" s="12">
        <f t="shared" ca="1" si="135"/>
        <v>0</v>
      </c>
      <c r="BZ116" s="12">
        <f t="shared" ca="1" si="135"/>
        <v>0</v>
      </c>
      <c r="CA116" s="12">
        <f t="shared" ca="1" si="135"/>
        <v>0</v>
      </c>
      <c r="CB116" s="12">
        <f t="shared" ca="1" si="135"/>
        <v>0</v>
      </c>
      <c r="CC116" s="12">
        <f t="shared" ca="1" si="135"/>
        <v>0</v>
      </c>
      <c r="CD116" s="12">
        <f t="shared" ca="1" si="135"/>
        <v>0</v>
      </c>
      <c r="CE116" s="12">
        <f t="shared" ca="1" si="135"/>
        <v>0</v>
      </c>
      <c r="CF116" s="12">
        <f t="shared" ca="1" si="135"/>
        <v>0</v>
      </c>
      <c r="CG116" s="12">
        <f t="shared" ca="1" si="135"/>
        <v>0</v>
      </c>
      <c r="CH116" s="12">
        <f t="shared" ca="1" si="135"/>
        <v>0</v>
      </c>
      <c r="CI116" s="12">
        <f t="shared" ca="1" si="135"/>
        <v>0</v>
      </c>
      <c r="CJ116" s="12">
        <f t="shared" ca="1" si="135"/>
        <v>0</v>
      </c>
      <c r="CK116" s="12">
        <f t="shared" ca="1" si="135"/>
        <v>0</v>
      </c>
      <c r="CL116" s="12">
        <f t="shared" ca="1" si="135"/>
        <v>0</v>
      </c>
      <c r="CM116" s="12">
        <f t="shared" ca="1" si="135"/>
        <v>0</v>
      </c>
      <c r="CN116" s="12">
        <f t="shared" ca="1" si="135"/>
        <v>0</v>
      </c>
      <c r="CO116" s="12">
        <f t="shared" ca="1" si="135"/>
        <v>0</v>
      </c>
      <c r="CP116" s="12">
        <f t="shared" ca="1" si="135"/>
        <v>0</v>
      </c>
      <c r="CQ116" s="12">
        <f t="shared" ca="1" si="135"/>
        <v>0</v>
      </c>
      <c r="CR116" s="12">
        <f t="shared" ca="1" si="135"/>
        <v>0</v>
      </c>
      <c r="CS116" s="12">
        <f t="shared" ca="1" si="135"/>
        <v>0</v>
      </c>
      <c r="CT116" s="12">
        <f t="shared" ca="1" si="135"/>
        <v>0</v>
      </c>
      <c r="CU116" s="12">
        <f t="shared" ca="1" si="135"/>
        <v>0</v>
      </c>
      <c r="CV116" s="12">
        <f t="shared" ca="1" si="135"/>
        <v>0</v>
      </c>
      <c r="CW116" s="12">
        <f t="shared" ref="CW116:EB116" ca="1" si="136" xml:space="preserve"> CW$108</f>
        <v>0</v>
      </c>
      <c r="CX116" s="12">
        <f t="shared" ca="1" si="136"/>
        <v>0</v>
      </c>
      <c r="CY116" s="12">
        <f t="shared" ca="1" si="136"/>
        <v>0</v>
      </c>
      <c r="CZ116" s="12">
        <f t="shared" ca="1" si="136"/>
        <v>0</v>
      </c>
      <c r="DA116" s="12">
        <f t="shared" ca="1" si="136"/>
        <v>0</v>
      </c>
      <c r="DB116" s="12">
        <f t="shared" ca="1" si="136"/>
        <v>0</v>
      </c>
      <c r="DC116" s="12">
        <f t="shared" ca="1" si="136"/>
        <v>0</v>
      </c>
      <c r="DD116" s="12">
        <f t="shared" ca="1" si="136"/>
        <v>0</v>
      </c>
      <c r="DE116" s="12">
        <f t="shared" ca="1" si="136"/>
        <v>0</v>
      </c>
      <c r="DF116" s="12">
        <f t="shared" ca="1" si="136"/>
        <v>0</v>
      </c>
      <c r="DG116" s="12">
        <f t="shared" ca="1" si="136"/>
        <v>0</v>
      </c>
      <c r="DH116" s="12">
        <f t="shared" ca="1" si="136"/>
        <v>0</v>
      </c>
      <c r="DI116" s="12">
        <f t="shared" ca="1" si="136"/>
        <v>0</v>
      </c>
      <c r="DJ116" s="12">
        <f t="shared" ca="1" si="136"/>
        <v>0</v>
      </c>
      <c r="DK116" s="12">
        <f t="shared" ca="1" si="136"/>
        <v>0</v>
      </c>
      <c r="DL116" s="12">
        <f t="shared" ca="1" si="136"/>
        <v>0</v>
      </c>
      <c r="DM116" s="12">
        <f t="shared" ca="1" si="136"/>
        <v>0</v>
      </c>
      <c r="DN116" s="12">
        <f t="shared" ca="1" si="136"/>
        <v>0</v>
      </c>
      <c r="DO116" s="12">
        <f t="shared" ca="1" si="136"/>
        <v>0</v>
      </c>
      <c r="DP116" s="12">
        <f t="shared" ca="1" si="136"/>
        <v>0</v>
      </c>
      <c r="DQ116" s="12">
        <f t="shared" ca="1" si="136"/>
        <v>0</v>
      </c>
      <c r="DR116" s="12">
        <f t="shared" ca="1" si="136"/>
        <v>0</v>
      </c>
      <c r="DS116" s="12">
        <f t="shared" ca="1" si="136"/>
        <v>0</v>
      </c>
      <c r="DT116" s="12">
        <f t="shared" ca="1" si="136"/>
        <v>0</v>
      </c>
      <c r="DU116" s="12">
        <f t="shared" ca="1" si="136"/>
        <v>0</v>
      </c>
      <c r="DV116" s="12">
        <f t="shared" ca="1" si="136"/>
        <v>0</v>
      </c>
      <c r="DW116" s="12">
        <f t="shared" ca="1" si="136"/>
        <v>0</v>
      </c>
      <c r="DX116" s="12">
        <f t="shared" ca="1" si="136"/>
        <v>0</v>
      </c>
      <c r="DY116" s="12">
        <f t="shared" ca="1" si="136"/>
        <v>0</v>
      </c>
      <c r="DZ116" s="12">
        <f t="shared" ca="1" si="136"/>
        <v>0</v>
      </c>
      <c r="EA116" s="12">
        <f t="shared" ca="1" si="136"/>
        <v>0</v>
      </c>
      <c r="EB116" s="12">
        <f t="shared" ca="1" si="136"/>
        <v>0</v>
      </c>
      <c r="EC116" s="12">
        <f t="shared" ref="EC116:FH116" ca="1" si="137" xml:space="preserve"> EC$108</f>
        <v>0</v>
      </c>
      <c r="ED116" s="12">
        <f t="shared" ca="1" si="137"/>
        <v>0</v>
      </c>
      <c r="EE116" s="12">
        <f t="shared" ca="1" si="137"/>
        <v>0</v>
      </c>
      <c r="EF116" s="12">
        <f t="shared" ca="1" si="137"/>
        <v>0</v>
      </c>
      <c r="EG116" s="12">
        <f t="shared" ca="1" si="137"/>
        <v>0</v>
      </c>
      <c r="EH116" s="12">
        <f t="shared" ca="1" si="137"/>
        <v>0</v>
      </c>
      <c r="EI116" s="12">
        <f t="shared" ca="1" si="137"/>
        <v>0</v>
      </c>
      <c r="EJ116" s="12">
        <f t="shared" ca="1" si="137"/>
        <v>0</v>
      </c>
      <c r="EK116" s="12">
        <f t="shared" ca="1" si="137"/>
        <v>0</v>
      </c>
      <c r="EL116" s="12">
        <f t="shared" ca="1" si="137"/>
        <v>0</v>
      </c>
      <c r="EM116" s="12">
        <f t="shared" ca="1" si="137"/>
        <v>0</v>
      </c>
      <c r="EN116" s="12">
        <f t="shared" ca="1" si="137"/>
        <v>0</v>
      </c>
      <c r="EO116" s="12">
        <f t="shared" ca="1" si="137"/>
        <v>0</v>
      </c>
      <c r="EP116" s="12">
        <f t="shared" ca="1" si="137"/>
        <v>0</v>
      </c>
      <c r="EQ116" s="12">
        <f t="shared" ca="1" si="137"/>
        <v>0</v>
      </c>
      <c r="ER116" s="12">
        <f t="shared" ca="1" si="137"/>
        <v>0</v>
      </c>
      <c r="ES116" s="12">
        <f t="shared" ca="1" si="137"/>
        <v>0</v>
      </c>
      <c r="ET116" s="12">
        <f t="shared" ca="1" si="137"/>
        <v>0</v>
      </c>
      <c r="EU116" s="12">
        <f t="shared" ca="1" si="137"/>
        <v>0</v>
      </c>
      <c r="EV116" s="12">
        <f t="shared" ca="1" si="137"/>
        <v>0</v>
      </c>
      <c r="EW116" s="12">
        <f t="shared" ca="1" si="137"/>
        <v>0</v>
      </c>
      <c r="EX116" s="12">
        <f t="shared" ca="1" si="137"/>
        <v>0</v>
      </c>
      <c r="EY116" s="12">
        <f t="shared" ca="1" si="137"/>
        <v>0</v>
      </c>
      <c r="EZ116" s="12">
        <f t="shared" ca="1" si="137"/>
        <v>0</v>
      </c>
      <c r="FA116" s="12">
        <f t="shared" ca="1" si="137"/>
        <v>0</v>
      </c>
      <c r="FB116" s="12">
        <f t="shared" ca="1" si="137"/>
        <v>0</v>
      </c>
      <c r="FC116" s="12">
        <f t="shared" ca="1" si="137"/>
        <v>0</v>
      </c>
      <c r="FD116" s="12">
        <f t="shared" ca="1" si="137"/>
        <v>0</v>
      </c>
      <c r="FE116" s="12">
        <f t="shared" ca="1" si="137"/>
        <v>0</v>
      </c>
      <c r="FF116" s="12">
        <f t="shared" ca="1" si="137"/>
        <v>0</v>
      </c>
      <c r="FG116" s="12">
        <f t="shared" ca="1" si="137"/>
        <v>0</v>
      </c>
      <c r="FH116" s="12">
        <f t="shared" ca="1" si="137"/>
        <v>0</v>
      </c>
      <c r="FI116" s="12">
        <f t="shared" ref="FI116:GJ116" ca="1" si="138" xml:space="preserve"> FI$108</f>
        <v>0</v>
      </c>
      <c r="FJ116" s="12">
        <f t="shared" ca="1" si="138"/>
        <v>0</v>
      </c>
      <c r="FK116" s="12">
        <f t="shared" ca="1" si="138"/>
        <v>0</v>
      </c>
      <c r="FL116" s="12">
        <f t="shared" ca="1" si="138"/>
        <v>0</v>
      </c>
      <c r="FM116" s="12">
        <f t="shared" ca="1" si="138"/>
        <v>0</v>
      </c>
      <c r="FN116" s="12">
        <f t="shared" ca="1" si="138"/>
        <v>0</v>
      </c>
      <c r="FO116" s="12">
        <f t="shared" ca="1" si="138"/>
        <v>0</v>
      </c>
      <c r="FP116" s="12">
        <f t="shared" ca="1" si="138"/>
        <v>0</v>
      </c>
      <c r="FQ116" s="12">
        <f t="shared" ca="1" si="138"/>
        <v>0</v>
      </c>
      <c r="FR116" s="12">
        <f t="shared" ca="1" si="138"/>
        <v>0</v>
      </c>
      <c r="FS116" s="12">
        <f t="shared" ca="1" si="138"/>
        <v>0</v>
      </c>
      <c r="FT116" s="12">
        <f t="shared" ca="1" si="138"/>
        <v>0</v>
      </c>
      <c r="FU116" s="12">
        <f t="shared" ca="1" si="138"/>
        <v>0</v>
      </c>
      <c r="FV116" s="12">
        <f t="shared" ca="1" si="138"/>
        <v>0</v>
      </c>
      <c r="FW116" s="12">
        <f t="shared" ca="1" si="138"/>
        <v>0</v>
      </c>
      <c r="FX116" s="12">
        <f t="shared" ca="1" si="138"/>
        <v>0</v>
      </c>
      <c r="FY116" s="12">
        <f t="shared" ca="1" si="138"/>
        <v>0</v>
      </c>
      <c r="FZ116" s="12">
        <f t="shared" ca="1" si="138"/>
        <v>0</v>
      </c>
      <c r="GA116" s="12">
        <f t="shared" ca="1" si="138"/>
        <v>0</v>
      </c>
      <c r="GB116" s="12">
        <f t="shared" ca="1" si="138"/>
        <v>0</v>
      </c>
      <c r="GC116" s="12">
        <f t="shared" ca="1" si="138"/>
        <v>0</v>
      </c>
      <c r="GD116" s="12">
        <f t="shared" ca="1" si="138"/>
        <v>0</v>
      </c>
      <c r="GE116" s="12">
        <f t="shared" ca="1" si="138"/>
        <v>0</v>
      </c>
      <c r="GF116" s="12">
        <f t="shared" ca="1" si="138"/>
        <v>0</v>
      </c>
      <c r="GG116" s="12">
        <f t="shared" ca="1" si="138"/>
        <v>0</v>
      </c>
      <c r="GH116" s="12">
        <f t="shared" ca="1" si="138"/>
        <v>0</v>
      </c>
      <c r="GI116" s="12">
        <f t="shared" ca="1" si="138"/>
        <v>0</v>
      </c>
      <c r="GJ116" s="12">
        <f t="shared" ca="1" si="138"/>
        <v>0</v>
      </c>
    </row>
    <row r="117" spans="1:192" outlineLevel="1" x14ac:dyDescent="0.2">
      <c r="E117" s="491" t="s">
        <v>1317</v>
      </c>
      <c r="F117" s="491"/>
      <c r="G117" s="491" t="str">
        <f xml:space="preserve"> SMU</f>
        <v>$ 000s</v>
      </c>
      <c r="H117" s="491">
        <f ca="1" xml:space="preserve"> SUM(J117:CV117)</f>
        <v>-1511578.9716386094</v>
      </c>
      <c r="I117" s="233"/>
      <c r="J117" s="491">
        <f t="shared" ref="J117" ca="1" si="139" xml:space="preserve"> J112 + J113 + J114 - J115 - J116</f>
        <v>0</v>
      </c>
      <c r="K117" s="491">
        <f t="shared" ref="K117" ca="1" si="140" xml:space="preserve"> K112 + K113 + K114 - K115 - K116</f>
        <v>0</v>
      </c>
      <c r="L117" s="491">
        <f t="shared" ref="L117" ca="1" si="141" xml:space="preserve"> L112 + L113 + L114 - L115 - L116</f>
        <v>0</v>
      </c>
      <c r="M117" s="491">
        <f t="shared" ref="M117" ca="1" si="142" xml:space="preserve"> M112 + M113 + M114 - M115 - M116</f>
        <v>0</v>
      </c>
      <c r="N117" s="491">
        <f t="shared" ref="N117" ca="1" si="143" xml:space="preserve"> N112 + N113 + N114 - N115 - N116</f>
        <v>0</v>
      </c>
      <c r="O117" s="491">
        <f t="shared" ref="O117" ca="1" si="144" xml:space="preserve"> O112 + O113 + O114 - O115 - O116</f>
        <v>-41690.55932008558</v>
      </c>
      <c r="P117" s="491">
        <f t="shared" ref="P117" ca="1" si="145" xml:space="preserve"> P112 + P113 + P114 - P115 - P116</f>
        <v>-38453.105442950109</v>
      </c>
      <c r="Q117" s="491">
        <f t="shared" ref="Q117" ca="1" si="146" xml:space="preserve"> Q112 + Q113 + Q114 - Q115 - Q116</f>
        <v>-36150.529171152128</v>
      </c>
      <c r="R117" s="491">
        <f t="shared" ref="R117" ca="1" si="147" xml:space="preserve"> R112 + R113 + R114 - R115 - R116</f>
        <v>-33707.651519402942</v>
      </c>
      <c r="S117" s="491">
        <f t="shared" ref="S117" ca="1" si="148" xml:space="preserve"> S112 + S113 + S114 - S115 - S116</f>
        <v>-32007.874847765419</v>
      </c>
      <c r="T117" s="491">
        <f t="shared" ref="T117" ca="1" si="149" xml:space="preserve"> T112 + T113 + T114 - T115 - T116</f>
        <v>-30133.211508332548</v>
      </c>
      <c r="U117" s="491">
        <f t="shared" ref="U117" ca="1" si="150" xml:space="preserve"> U112 + U113 + U114 - U115 - U116</f>
        <v>-28941.570321236093</v>
      </c>
      <c r="V117" s="491">
        <f t="shared" ref="V117" ca="1" si="151" xml:space="preserve"> V112 + V113 + V114 - V115 - V116</f>
        <v>-27601.315434736156</v>
      </c>
      <c r="W117" s="491">
        <f t="shared" ref="W117" ca="1" si="152" xml:space="preserve"> W112 + W113 + W114 - W115 - W116</f>
        <v>-26791.462163464963</v>
      </c>
      <c r="X117" s="491">
        <f t="shared" ref="X117" ca="1" si="153" xml:space="preserve"> X112 + X113 + X114 - X115 - X116</f>
        <v>-25821.496187223576</v>
      </c>
      <c r="Y117" s="491">
        <f t="shared" ref="Y117" ca="1" si="154" xml:space="preserve"> Y112 + Y113 + Y114 - Y115 - Y116</f>
        <v>-25821.23916154819</v>
      </c>
      <c r="Z117" s="491">
        <f t="shared" ref="Z117" ca="1" si="155" xml:space="preserve"> Z112 + Z113 + Z114 - Z115 - Z116</f>
        <v>-25208.47825861564</v>
      </c>
      <c r="AA117" s="491">
        <f t="shared" ref="AA117" ca="1" si="156" xml:space="preserve"> AA112 + AA113 + AA114 - AA115 - AA116</f>
        <v>-25156.592887708946</v>
      </c>
      <c r="AB117" s="491">
        <f t="shared" ref="AB117" ca="1" si="157" xml:space="preserve"> AB112 + AB113 + AB114 - AB115 - AB116</f>
        <v>-24876.297245135676</v>
      </c>
      <c r="AC117" s="491">
        <f t="shared" ref="AC117" ca="1" si="158" xml:space="preserve"> AC112 + AC113 + AC114 - AC115 - AC116</f>
        <v>-25124.91357831861</v>
      </c>
      <c r="AD117" s="491">
        <f t="shared" ref="AD117" ca="1" si="159" xml:space="preserve"> AD112 + AD113 + AD114 - AD115 - AD116</f>
        <v>-25190.706808146821</v>
      </c>
      <c r="AE117" s="491">
        <f t="shared" ref="AE117" ca="1" si="160" xml:space="preserve"> AE112 + AE113 + AE114 - AE115 - AE116</f>
        <v>-25678.352882733856</v>
      </c>
      <c r="AF117" s="491">
        <f t="shared" ref="AF117" ca="1" si="161" xml:space="preserve"> AF112 + AF113 + AF114 - AF115 - AF116</f>
        <v>-25998.191071260357</v>
      </c>
      <c r="AG117" s="491">
        <f t="shared" ref="AG117" ca="1" si="162" xml:space="preserve"> AG112 + AG113 + AG114 - AG115 - AG116</f>
        <v>-26790.919946067839</v>
      </c>
      <c r="AH117" s="491">
        <f t="shared" ref="AH117" ca="1" si="163" xml:space="preserve"> AH112 + AH113 + AH114 - AH115 - AH116</f>
        <v>-27392.912804945499</v>
      </c>
      <c r="AI117" s="491">
        <f t="shared" ref="AI117" ca="1" si="164" xml:space="preserve"> AI112 + AI113 + AI114 - AI115 - AI116</f>
        <v>-28738.913895636051</v>
      </c>
      <c r="AJ117" s="491">
        <f t="shared" ref="AJ117" ca="1" si="165" xml:space="preserve"> AJ112 + AJ113 + AJ114 - AJ115 - AJ116</f>
        <v>-29607.081110712003</v>
      </c>
      <c r="AK117" s="491">
        <f t="shared" ref="AK117" ca="1" si="166" xml:space="preserve"> AK112 + AK113 + AK114 - AK115 - AK116</f>
        <v>-30917.628854932525</v>
      </c>
      <c r="AL117" s="491">
        <f t="shared" ref="AL117" ca="1" si="167" xml:space="preserve"> AL112 + AL113 + AL114 - AL115 - AL116</f>
        <v>-32099.712829417032</v>
      </c>
      <c r="AM117" s="491">
        <f t="shared" ref="AM117" ca="1" si="168" xml:space="preserve"> AM112 + AM113 + AM114 - AM115 - AM116</f>
        <v>-33655.79711295203</v>
      </c>
      <c r="AN117" s="491">
        <f t="shared" ref="AN117" ca="1" si="169" xml:space="preserve"> AN112 + AN113 + AN114 - AN115 - AN116</f>
        <v>-35116.479681155644</v>
      </c>
      <c r="AO117" s="491">
        <f t="shared" ref="AO117" ca="1" si="170" xml:space="preserve"> AO112 + AO113 + AO114 - AO115 - AO116</f>
        <v>-36983.51239394414</v>
      </c>
      <c r="AP117" s="491">
        <f t="shared" ref="AP117" ca="1" si="171" xml:space="preserve"> AP112 + AP113 + AP114 - AP115 - AP116</f>
        <v>-38763.073702258291</v>
      </c>
      <c r="AQ117" s="491">
        <f t="shared" ref="AQ117" ca="1" si="172" xml:space="preserve"> AQ112 + AQ113 + AQ114 - AQ115 - AQ116</f>
        <v>-40936.726446649976</v>
      </c>
      <c r="AR117" s="491">
        <f t="shared" ref="AR117" ca="1" si="173" xml:space="preserve"> AR112 + AR113 + AR114 - AR115 - AR116</f>
        <v>-43061.260758990291</v>
      </c>
      <c r="AS117" s="491">
        <f t="shared" ref="AS117" ca="1" si="174" xml:space="preserve"> AS112 + AS113 + AS114 - AS115 - AS116</f>
        <v>-45568.821273993526</v>
      </c>
      <c r="AT117" s="491">
        <f t="shared" ref="AT117" ca="1" si="175" xml:space="preserve"> AT112 + AT113 + AT114 - AT115 - AT116</f>
        <v>-48107.291795830701</v>
      </c>
      <c r="AU117" s="491">
        <f t="shared" ref="AU117" ca="1" si="176" xml:space="preserve"> AU112 + AU113 + AU114 - AU115 - AU116</f>
        <v>-51007.14083044116</v>
      </c>
      <c r="AV117" s="491">
        <f t="shared" ref="AV117" ca="1" si="177" xml:space="preserve"> AV112 + AV113 + AV114 - AV115 - AV116</f>
        <v>-53371.309733648362</v>
      </c>
      <c r="AW117" s="491">
        <f t="shared" ref="AW117" ca="1" si="178" xml:space="preserve"> AW112 + AW113 + AW114 - AW115 - AW116</f>
        <v>-56074.409890740986</v>
      </c>
      <c r="AX117" s="491">
        <f t="shared" ref="AX117" ca="1" si="179" xml:space="preserve"> AX112 + AX113 + AX114 - AX115 - AX116</f>
        <v>-58695.195958631535</v>
      </c>
      <c r="AY117" s="491">
        <f t="shared" ref="AY117" ca="1" si="180" xml:space="preserve"> AY112 + AY113 + AY114 - AY115 - AY116</f>
        <v>-61641.092403850795</v>
      </c>
      <c r="AZ117" s="491">
        <f t="shared" ref="AZ117" ca="1" si="181" xml:space="preserve"> AZ112 + AZ113 + AZ114 - AZ115 - AZ116</f>
        <v>-64631.593069655763</v>
      </c>
      <c r="BA117" s="491">
        <f t="shared" ref="BA117" ca="1" si="182" xml:space="preserve"> BA112 + BA113 + BA114 - BA115 - BA116</f>
        <v>-67968.904637338856</v>
      </c>
      <c r="BB117" s="491">
        <f t="shared" ref="BB117" ca="1" si="183" xml:space="preserve"> BB112 + BB113 + BB114 - BB115 - BB116</f>
        <v>-76095.644696998977</v>
      </c>
      <c r="BC117" s="491">
        <f t="shared" ref="BC117" ca="1" si="184" xml:space="preserve"> BC112 + BC113 + BC114 - BC115 - BC116</f>
        <v>0</v>
      </c>
      <c r="BD117" s="491">
        <f t="shared" ref="BD117" ca="1" si="185" xml:space="preserve"> BD112 + BD113 + BD114 - BD115 - BD116</f>
        <v>0</v>
      </c>
      <c r="BE117" s="491">
        <f t="shared" ref="BE117" ca="1" si="186" xml:space="preserve"> BE112 + BE113 + BE114 - BE115 - BE116</f>
        <v>0</v>
      </c>
      <c r="BF117" s="491">
        <f t="shared" ref="BF117" ca="1" si="187" xml:space="preserve"> BF112 + BF113 + BF114 - BF115 - BF116</f>
        <v>0</v>
      </c>
      <c r="BG117" s="491">
        <f t="shared" ref="BG117" ca="1" si="188" xml:space="preserve"> BG112 + BG113 + BG114 - BG115 - BG116</f>
        <v>0</v>
      </c>
      <c r="BH117" s="491">
        <f t="shared" ref="BH117" ca="1" si="189" xml:space="preserve"> BH112 + BH113 + BH114 - BH115 - BH116</f>
        <v>0</v>
      </c>
      <c r="BI117" s="491">
        <f t="shared" ref="BI117" ca="1" si="190" xml:space="preserve"> BI112 + BI113 + BI114 - BI115 - BI116</f>
        <v>0</v>
      </c>
      <c r="BJ117" s="491">
        <f t="shared" ref="BJ117" ca="1" si="191" xml:space="preserve"> BJ112 + BJ113 + BJ114 - BJ115 - BJ116</f>
        <v>0</v>
      </c>
      <c r="BK117" s="491">
        <f t="shared" ref="BK117" ca="1" si="192" xml:space="preserve"> BK112 + BK113 + BK114 - BK115 - BK116</f>
        <v>0</v>
      </c>
      <c r="BL117" s="491">
        <f t="shared" ref="BL117" ca="1" si="193" xml:space="preserve"> BL112 + BL113 + BL114 - BL115 - BL116</f>
        <v>0</v>
      </c>
      <c r="BM117" s="491">
        <f t="shared" ref="BM117" ca="1" si="194" xml:space="preserve"> BM112 + BM113 + BM114 - BM115 - BM116</f>
        <v>0</v>
      </c>
      <c r="BN117" s="491">
        <f t="shared" ref="BN117" ca="1" si="195" xml:space="preserve"> BN112 + BN113 + BN114 - BN115 - BN116</f>
        <v>0</v>
      </c>
      <c r="BO117" s="491">
        <f t="shared" ref="BO117" ca="1" si="196" xml:space="preserve"> BO112 + BO113 + BO114 - BO115 - BO116</f>
        <v>0</v>
      </c>
      <c r="BP117" s="491">
        <f t="shared" ref="BP117" ca="1" si="197" xml:space="preserve"> BP112 + BP113 + BP114 - BP115 - BP116</f>
        <v>0</v>
      </c>
      <c r="BQ117" s="491">
        <f t="shared" ref="BQ117" ca="1" si="198" xml:space="preserve"> BQ112 + BQ113 + BQ114 - BQ115 - BQ116</f>
        <v>0</v>
      </c>
      <c r="BR117" s="491">
        <f t="shared" ref="BR117" ca="1" si="199" xml:space="preserve"> BR112 + BR113 + BR114 - BR115 - BR116</f>
        <v>0</v>
      </c>
      <c r="BS117" s="491">
        <f t="shared" ref="BS117" ca="1" si="200" xml:space="preserve"> BS112 + BS113 + BS114 - BS115 - BS116</f>
        <v>0</v>
      </c>
      <c r="BT117" s="491">
        <f t="shared" ref="BT117" ca="1" si="201" xml:space="preserve"> BT112 + BT113 + BT114 - BT115 - BT116</f>
        <v>0</v>
      </c>
      <c r="BU117" s="491">
        <f t="shared" ref="BU117" ca="1" si="202" xml:space="preserve"> BU112 + BU113 + BU114 - BU115 - BU116</f>
        <v>0</v>
      </c>
      <c r="BV117" s="491">
        <f t="shared" ref="BV117" ca="1" si="203" xml:space="preserve"> BV112 + BV113 + BV114 - BV115 - BV116</f>
        <v>0</v>
      </c>
      <c r="BW117" s="491">
        <f t="shared" ref="BW117" ca="1" si="204" xml:space="preserve"> BW112 + BW113 + BW114 - BW115 - BW116</f>
        <v>0</v>
      </c>
      <c r="BX117" s="491">
        <f t="shared" ref="BX117" ca="1" si="205" xml:space="preserve"> BX112 + BX113 + BX114 - BX115 - BX116</f>
        <v>0</v>
      </c>
      <c r="BY117" s="491">
        <f t="shared" ref="BY117" ca="1" si="206" xml:space="preserve"> BY112 + BY113 + BY114 - BY115 - BY116</f>
        <v>0</v>
      </c>
      <c r="BZ117" s="491">
        <f t="shared" ref="BZ117" ca="1" si="207" xml:space="preserve"> BZ112 + BZ113 + BZ114 - BZ115 - BZ116</f>
        <v>0</v>
      </c>
      <c r="CA117" s="491">
        <f t="shared" ref="CA117" ca="1" si="208" xml:space="preserve"> CA112 + CA113 + CA114 - CA115 - CA116</f>
        <v>0</v>
      </c>
      <c r="CB117" s="491">
        <f t="shared" ref="CB117" ca="1" si="209" xml:space="preserve"> CB112 + CB113 + CB114 - CB115 - CB116</f>
        <v>0</v>
      </c>
      <c r="CC117" s="491">
        <f t="shared" ref="CC117" ca="1" si="210" xml:space="preserve"> CC112 + CC113 + CC114 - CC115 - CC116</f>
        <v>0</v>
      </c>
      <c r="CD117" s="491">
        <f t="shared" ref="CD117" ca="1" si="211" xml:space="preserve"> CD112 + CD113 + CD114 - CD115 - CD116</f>
        <v>0</v>
      </c>
      <c r="CE117" s="491">
        <f t="shared" ref="CE117" ca="1" si="212" xml:space="preserve"> CE112 + CE113 + CE114 - CE115 - CE116</f>
        <v>0</v>
      </c>
      <c r="CF117" s="491">
        <f t="shared" ref="CF117" ca="1" si="213" xml:space="preserve"> CF112 + CF113 + CF114 - CF115 - CF116</f>
        <v>0</v>
      </c>
      <c r="CG117" s="491">
        <f t="shared" ref="CG117" ca="1" si="214" xml:space="preserve"> CG112 + CG113 + CG114 - CG115 - CG116</f>
        <v>0</v>
      </c>
      <c r="CH117" s="491">
        <f t="shared" ref="CH117" ca="1" si="215" xml:space="preserve"> CH112 + CH113 + CH114 - CH115 - CH116</f>
        <v>0</v>
      </c>
      <c r="CI117" s="491">
        <f t="shared" ref="CI117" ca="1" si="216" xml:space="preserve"> CI112 + CI113 + CI114 - CI115 - CI116</f>
        <v>0</v>
      </c>
      <c r="CJ117" s="491">
        <f t="shared" ref="CJ117" ca="1" si="217" xml:space="preserve"> CJ112 + CJ113 + CJ114 - CJ115 - CJ116</f>
        <v>0</v>
      </c>
      <c r="CK117" s="491">
        <f t="shared" ref="CK117" ca="1" si="218" xml:space="preserve"> CK112 + CK113 + CK114 - CK115 - CK116</f>
        <v>0</v>
      </c>
      <c r="CL117" s="491">
        <f t="shared" ref="CL117" ca="1" si="219" xml:space="preserve"> CL112 + CL113 + CL114 - CL115 - CL116</f>
        <v>0</v>
      </c>
      <c r="CM117" s="491">
        <f t="shared" ref="CM117" ca="1" si="220" xml:space="preserve"> CM112 + CM113 + CM114 - CM115 - CM116</f>
        <v>0</v>
      </c>
      <c r="CN117" s="491">
        <f t="shared" ref="CN117" ca="1" si="221" xml:space="preserve"> CN112 + CN113 + CN114 - CN115 - CN116</f>
        <v>0</v>
      </c>
      <c r="CO117" s="491">
        <f t="shared" ref="CO117" ca="1" si="222" xml:space="preserve"> CO112 + CO113 + CO114 - CO115 - CO116</f>
        <v>0</v>
      </c>
      <c r="CP117" s="491">
        <f t="shared" ref="CP117" ca="1" si="223" xml:space="preserve"> CP112 + CP113 + CP114 - CP115 - CP116</f>
        <v>0</v>
      </c>
      <c r="CQ117" s="491">
        <f t="shared" ref="CQ117" ca="1" si="224" xml:space="preserve"> CQ112 + CQ113 + CQ114 - CQ115 - CQ116</f>
        <v>0</v>
      </c>
      <c r="CR117" s="491">
        <f t="shared" ref="CR117" ca="1" si="225" xml:space="preserve"> CR112 + CR113 + CR114 - CR115 - CR116</f>
        <v>0</v>
      </c>
      <c r="CS117" s="491">
        <f t="shared" ref="CS117" ca="1" si="226" xml:space="preserve"> CS112 + CS113 + CS114 - CS115 - CS116</f>
        <v>0</v>
      </c>
      <c r="CT117" s="491">
        <f t="shared" ref="CT117" ca="1" si="227" xml:space="preserve"> CT112 + CT113 + CT114 - CT115 - CT116</f>
        <v>0</v>
      </c>
      <c r="CU117" s="491">
        <f t="shared" ref="CU117" ca="1" si="228" xml:space="preserve"> CU112 + CU113 + CU114 - CU115 - CU116</f>
        <v>0</v>
      </c>
      <c r="CV117" s="491">
        <f t="shared" ref="CV117" ca="1" si="229" xml:space="preserve"> CV112 + CV113 + CV114 - CV115 - CV116</f>
        <v>0</v>
      </c>
      <c r="CW117" s="12">
        <f t="shared" ref="CW117" ca="1" si="230" xml:space="preserve"> CW112 + CW113 + CW114 - CW115 - CW116</f>
        <v>0</v>
      </c>
      <c r="CX117" s="12">
        <f t="shared" ref="CX117" ca="1" si="231" xml:space="preserve"> CX112 + CX113 + CX114 - CX115 - CX116</f>
        <v>0</v>
      </c>
      <c r="CY117" s="12">
        <f t="shared" ref="CY117" ca="1" si="232" xml:space="preserve"> CY112 + CY113 + CY114 - CY115 - CY116</f>
        <v>0</v>
      </c>
      <c r="CZ117" s="12">
        <f t="shared" ref="CZ117" ca="1" si="233" xml:space="preserve"> CZ112 + CZ113 + CZ114 - CZ115 - CZ116</f>
        <v>0</v>
      </c>
      <c r="DA117" s="12">
        <f t="shared" ref="DA117" ca="1" si="234" xml:space="preserve"> DA112 + DA113 + DA114 - DA115 - DA116</f>
        <v>0</v>
      </c>
      <c r="DB117" s="12">
        <f t="shared" ref="DB117" ca="1" si="235" xml:space="preserve"> DB112 + DB113 + DB114 - DB115 - DB116</f>
        <v>0</v>
      </c>
      <c r="DC117" s="12">
        <f t="shared" ref="DC117" ca="1" si="236" xml:space="preserve"> DC112 + DC113 + DC114 - DC115 - DC116</f>
        <v>0</v>
      </c>
      <c r="DD117" s="12">
        <f t="shared" ref="DD117" ca="1" si="237" xml:space="preserve"> DD112 + DD113 + DD114 - DD115 - DD116</f>
        <v>0</v>
      </c>
      <c r="DE117" s="12">
        <f t="shared" ref="DE117" ca="1" si="238" xml:space="preserve"> DE112 + DE113 + DE114 - DE115 - DE116</f>
        <v>0</v>
      </c>
      <c r="DF117" s="12">
        <f t="shared" ref="DF117" ca="1" si="239" xml:space="preserve"> DF112 + DF113 + DF114 - DF115 - DF116</f>
        <v>0</v>
      </c>
      <c r="DG117" s="12">
        <f t="shared" ref="DG117" ca="1" si="240" xml:space="preserve"> DG112 + DG113 + DG114 - DG115 - DG116</f>
        <v>0</v>
      </c>
      <c r="DH117" s="12">
        <f t="shared" ref="DH117" ca="1" si="241" xml:space="preserve"> DH112 + DH113 + DH114 - DH115 - DH116</f>
        <v>0</v>
      </c>
      <c r="DI117" s="12">
        <f t="shared" ref="DI117" ca="1" si="242" xml:space="preserve"> DI112 + DI113 + DI114 - DI115 - DI116</f>
        <v>0</v>
      </c>
      <c r="DJ117" s="12">
        <f t="shared" ref="DJ117" ca="1" si="243" xml:space="preserve"> DJ112 + DJ113 + DJ114 - DJ115 - DJ116</f>
        <v>0</v>
      </c>
      <c r="DK117" s="12">
        <f t="shared" ref="DK117" ca="1" si="244" xml:space="preserve"> DK112 + DK113 + DK114 - DK115 - DK116</f>
        <v>0</v>
      </c>
      <c r="DL117" s="12">
        <f t="shared" ref="DL117" ca="1" si="245" xml:space="preserve"> DL112 + DL113 + DL114 - DL115 - DL116</f>
        <v>0</v>
      </c>
      <c r="DM117" s="12">
        <f t="shared" ref="DM117" ca="1" si="246" xml:space="preserve"> DM112 + DM113 + DM114 - DM115 - DM116</f>
        <v>0</v>
      </c>
      <c r="DN117" s="12">
        <f t="shared" ref="DN117" ca="1" si="247" xml:space="preserve"> DN112 + DN113 + DN114 - DN115 - DN116</f>
        <v>0</v>
      </c>
      <c r="DO117" s="12">
        <f t="shared" ref="DO117" ca="1" si="248" xml:space="preserve"> DO112 + DO113 + DO114 - DO115 - DO116</f>
        <v>0</v>
      </c>
      <c r="DP117" s="12">
        <f t="shared" ref="DP117" ca="1" si="249" xml:space="preserve"> DP112 + DP113 + DP114 - DP115 - DP116</f>
        <v>0</v>
      </c>
      <c r="DQ117" s="12">
        <f t="shared" ref="DQ117" ca="1" si="250" xml:space="preserve"> DQ112 + DQ113 + DQ114 - DQ115 - DQ116</f>
        <v>0</v>
      </c>
      <c r="DR117" s="12">
        <f t="shared" ref="DR117" ca="1" si="251" xml:space="preserve"> DR112 + DR113 + DR114 - DR115 - DR116</f>
        <v>0</v>
      </c>
      <c r="DS117" s="12">
        <f t="shared" ref="DS117" ca="1" si="252" xml:space="preserve"> DS112 + DS113 + DS114 - DS115 - DS116</f>
        <v>0</v>
      </c>
      <c r="DT117" s="12">
        <f t="shared" ref="DT117" ca="1" si="253" xml:space="preserve"> DT112 + DT113 + DT114 - DT115 - DT116</f>
        <v>0</v>
      </c>
      <c r="DU117" s="12">
        <f t="shared" ref="DU117" ca="1" si="254" xml:space="preserve"> DU112 + DU113 + DU114 - DU115 - DU116</f>
        <v>0</v>
      </c>
      <c r="DV117" s="12">
        <f t="shared" ref="DV117" ca="1" si="255" xml:space="preserve"> DV112 + DV113 + DV114 - DV115 - DV116</f>
        <v>0</v>
      </c>
      <c r="DW117" s="12">
        <f t="shared" ref="DW117" ca="1" si="256" xml:space="preserve"> DW112 + DW113 + DW114 - DW115 - DW116</f>
        <v>0</v>
      </c>
      <c r="DX117" s="12">
        <f t="shared" ref="DX117" ca="1" si="257" xml:space="preserve"> DX112 + DX113 + DX114 - DX115 - DX116</f>
        <v>0</v>
      </c>
      <c r="DY117" s="12">
        <f t="shared" ref="DY117" ca="1" si="258" xml:space="preserve"> DY112 + DY113 + DY114 - DY115 - DY116</f>
        <v>0</v>
      </c>
      <c r="DZ117" s="12">
        <f t="shared" ref="DZ117" ca="1" si="259" xml:space="preserve"> DZ112 + DZ113 + DZ114 - DZ115 - DZ116</f>
        <v>0</v>
      </c>
      <c r="EA117" s="12">
        <f t="shared" ref="EA117" ca="1" si="260" xml:space="preserve"> EA112 + EA113 + EA114 - EA115 - EA116</f>
        <v>0</v>
      </c>
      <c r="EB117" s="12">
        <f t="shared" ref="EB117" ca="1" si="261" xml:space="preserve"> EB112 + EB113 + EB114 - EB115 - EB116</f>
        <v>0</v>
      </c>
      <c r="EC117" s="12">
        <f t="shared" ref="EC117" ca="1" si="262" xml:space="preserve"> EC112 + EC113 + EC114 - EC115 - EC116</f>
        <v>0</v>
      </c>
      <c r="ED117" s="12">
        <f t="shared" ref="ED117" ca="1" si="263" xml:space="preserve"> ED112 + ED113 + ED114 - ED115 - ED116</f>
        <v>0</v>
      </c>
      <c r="EE117" s="12">
        <f t="shared" ref="EE117" ca="1" si="264" xml:space="preserve"> EE112 + EE113 + EE114 - EE115 - EE116</f>
        <v>0</v>
      </c>
      <c r="EF117" s="12">
        <f t="shared" ref="EF117" ca="1" si="265" xml:space="preserve"> EF112 + EF113 + EF114 - EF115 - EF116</f>
        <v>0</v>
      </c>
      <c r="EG117" s="12">
        <f t="shared" ref="EG117" ca="1" si="266" xml:space="preserve"> EG112 + EG113 + EG114 - EG115 - EG116</f>
        <v>0</v>
      </c>
      <c r="EH117" s="12">
        <f t="shared" ref="EH117" ca="1" si="267" xml:space="preserve"> EH112 + EH113 + EH114 - EH115 - EH116</f>
        <v>0</v>
      </c>
      <c r="EI117" s="12">
        <f t="shared" ref="EI117" ca="1" si="268" xml:space="preserve"> EI112 + EI113 + EI114 - EI115 - EI116</f>
        <v>0</v>
      </c>
      <c r="EJ117" s="12">
        <f t="shared" ref="EJ117" ca="1" si="269" xml:space="preserve"> EJ112 + EJ113 + EJ114 - EJ115 - EJ116</f>
        <v>0</v>
      </c>
      <c r="EK117" s="12">
        <f t="shared" ref="EK117" ca="1" si="270" xml:space="preserve"> EK112 + EK113 + EK114 - EK115 - EK116</f>
        <v>0</v>
      </c>
      <c r="EL117" s="12">
        <f t="shared" ref="EL117" ca="1" si="271" xml:space="preserve"> EL112 + EL113 + EL114 - EL115 - EL116</f>
        <v>0</v>
      </c>
      <c r="EM117" s="12">
        <f t="shared" ref="EM117" ca="1" si="272" xml:space="preserve"> EM112 + EM113 + EM114 - EM115 - EM116</f>
        <v>0</v>
      </c>
      <c r="EN117" s="12">
        <f t="shared" ref="EN117" ca="1" si="273" xml:space="preserve"> EN112 + EN113 + EN114 - EN115 - EN116</f>
        <v>0</v>
      </c>
      <c r="EO117" s="12">
        <f t="shared" ref="EO117" ca="1" si="274" xml:space="preserve"> EO112 + EO113 + EO114 - EO115 - EO116</f>
        <v>0</v>
      </c>
      <c r="EP117" s="12">
        <f t="shared" ref="EP117" ca="1" si="275" xml:space="preserve"> EP112 + EP113 + EP114 - EP115 - EP116</f>
        <v>0</v>
      </c>
      <c r="EQ117" s="12">
        <f t="shared" ref="EQ117" ca="1" si="276" xml:space="preserve"> EQ112 + EQ113 + EQ114 - EQ115 - EQ116</f>
        <v>0</v>
      </c>
      <c r="ER117" s="12">
        <f t="shared" ref="ER117" ca="1" si="277" xml:space="preserve"> ER112 + ER113 + ER114 - ER115 - ER116</f>
        <v>0</v>
      </c>
      <c r="ES117" s="12">
        <f t="shared" ref="ES117" ca="1" si="278" xml:space="preserve"> ES112 + ES113 + ES114 - ES115 - ES116</f>
        <v>0</v>
      </c>
      <c r="ET117" s="12">
        <f t="shared" ref="ET117" ca="1" si="279" xml:space="preserve"> ET112 + ET113 + ET114 - ET115 - ET116</f>
        <v>0</v>
      </c>
      <c r="EU117" s="12">
        <f t="shared" ref="EU117" ca="1" si="280" xml:space="preserve"> EU112 + EU113 + EU114 - EU115 - EU116</f>
        <v>0</v>
      </c>
      <c r="EV117" s="12">
        <f t="shared" ref="EV117" ca="1" si="281" xml:space="preserve"> EV112 + EV113 + EV114 - EV115 - EV116</f>
        <v>0</v>
      </c>
      <c r="EW117" s="12">
        <f t="shared" ref="EW117" ca="1" si="282" xml:space="preserve"> EW112 + EW113 + EW114 - EW115 - EW116</f>
        <v>0</v>
      </c>
      <c r="EX117" s="12">
        <f t="shared" ref="EX117" ca="1" si="283" xml:space="preserve"> EX112 + EX113 + EX114 - EX115 - EX116</f>
        <v>0</v>
      </c>
      <c r="EY117" s="12">
        <f t="shared" ref="EY117" ca="1" si="284" xml:space="preserve"> EY112 + EY113 + EY114 - EY115 - EY116</f>
        <v>0</v>
      </c>
      <c r="EZ117" s="12">
        <f t="shared" ref="EZ117" ca="1" si="285" xml:space="preserve"> EZ112 + EZ113 + EZ114 - EZ115 - EZ116</f>
        <v>0</v>
      </c>
      <c r="FA117" s="12">
        <f t="shared" ref="FA117" ca="1" si="286" xml:space="preserve"> FA112 + FA113 + FA114 - FA115 - FA116</f>
        <v>0</v>
      </c>
      <c r="FB117" s="12">
        <f t="shared" ref="FB117" ca="1" si="287" xml:space="preserve"> FB112 + FB113 + FB114 - FB115 - FB116</f>
        <v>0</v>
      </c>
      <c r="FC117" s="12">
        <f t="shared" ref="FC117" ca="1" si="288" xml:space="preserve"> FC112 + FC113 + FC114 - FC115 - FC116</f>
        <v>0</v>
      </c>
      <c r="FD117" s="12">
        <f t="shared" ref="FD117" ca="1" si="289" xml:space="preserve"> FD112 + FD113 + FD114 - FD115 - FD116</f>
        <v>0</v>
      </c>
      <c r="FE117" s="12">
        <f t="shared" ref="FE117" ca="1" si="290" xml:space="preserve"> FE112 + FE113 + FE114 - FE115 - FE116</f>
        <v>0</v>
      </c>
      <c r="FF117" s="12">
        <f t="shared" ref="FF117" ca="1" si="291" xml:space="preserve"> FF112 + FF113 + FF114 - FF115 - FF116</f>
        <v>0</v>
      </c>
      <c r="FG117" s="12">
        <f t="shared" ref="FG117" ca="1" si="292" xml:space="preserve"> FG112 + FG113 + FG114 - FG115 - FG116</f>
        <v>0</v>
      </c>
      <c r="FH117" s="12">
        <f t="shared" ref="FH117" ca="1" si="293" xml:space="preserve"> FH112 + FH113 + FH114 - FH115 - FH116</f>
        <v>0</v>
      </c>
      <c r="FI117" s="12">
        <f t="shared" ref="FI117" ca="1" si="294" xml:space="preserve"> FI112 + FI113 + FI114 - FI115 - FI116</f>
        <v>0</v>
      </c>
      <c r="FJ117" s="12">
        <f t="shared" ref="FJ117" ca="1" si="295" xml:space="preserve"> FJ112 + FJ113 + FJ114 - FJ115 - FJ116</f>
        <v>0</v>
      </c>
      <c r="FK117" s="12">
        <f t="shared" ref="FK117" ca="1" si="296" xml:space="preserve"> FK112 + FK113 + FK114 - FK115 - FK116</f>
        <v>0</v>
      </c>
      <c r="FL117" s="12">
        <f t="shared" ref="FL117" ca="1" si="297" xml:space="preserve"> FL112 + FL113 + FL114 - FL115 - FL116</f>
        <v>0</v>
      </c>
      <c r="FM117" s="12">
        <f t="shared" ref="FM117" ca="1" si="298" xml:space="preserve"> FM112 + FM113 + FM114 - FM115 - FM116</f>
        <v>0</v>
      </c>
      <c r="FN117" s="12">
        <f t="shared" ref="FN117" ca="1" si="299" xml:space="preserve"> FN112 + FN113 + FN114 - FN115 - FN116</f>
        <v>0</v>
      </c>
      <c r="FO117" s="12">
        <f t="shared" ref="FO117" ca="1" si="300" xml:space="preserve"> FO112 + FO113 + FO114 - FO115 - FO116</f>
        <v>0</v>
      </c>
      <c r="FP117" s="12">
        <f t="shared" ref="FP117" ca="1" si="301" xml:space="preserve"> FP112 + FP113 + FP114 - FP115 - FP116</f>
        <v>0</v>
      </c>
      <c r="FQ117" s="12">
        <f t="shared" ref="FQ117" ca="1" si="302" xml:space="preserve"> FQ112 + FQ113 + FQ114 - FQ115 - FQ116</f>
        <v>0</v>
      </c>
      <c r="FR117" s="12">
        <f t="shared" ref="FR117" ca="1" si="303" xml:space="preserve"> FR112 + FR113 + FR114 - FR115 - FR116</f>
        <v>0</v>
      </c>
      <c r="FS117" s="12">
        <f t="shared" ref="FS117" ca="1" si="304" xml:space="preserve"> FS112 + FS113 + FS114 - FS115 - FS116</f>
        <v>0</v>
      </c>
      <c r="FT117" s="12">
        <f t="shared" ref="FT117" ca="1" si="305" xml:space="preserve"> FT112 + FT113 + FT114 - FT115 - FT116</f>
        <v>0</v>
      </c>
      <c r="FU117" s="12">
        <f t="shared" ref="FU117" ca="1" si="306" xml:space="preserve"> FU112 + FU113 + FU114 - FU115 - FU116</f>
        <v>0</v>
      </c>
      <c r="FV117" s="12">
        <f t="shared" ref="FV117" ca="1" si="307" xml:space="preserve"> FV112 + FV113 + FV114 - FV115 - FV116</f>
        <v>0</v>
      </c>
      <c r="FW117" s="12">
        <f t="shared" ref="FW117" ca="1" si="308" xml:space="preserve"> FW112 + FW113 + FW114 - FW115 - FW116</f>
        <v>0</v>
      </c>
      <c r="FX117" s="12">
        <f t="shared" ref="FX117" ca="1" si="309" xml:space="preserve"> FX112 + FX113 + FX114 - FX115 - FX116</f>
        <v>0</v>
      </c>
      <c r="FY117" s="12">
        <f t="shared" ref="FY117" ca="1" si="310" xml:space="preserve"> FY112 + FY113 + FY114 - FY115 - FY116</f>
        <v>0</v>
      </c>
      <c r="FZ117" s="12">
        <f t="shared" ref="FZ117" ca="1" si="311" xml:space="preserve"> FZ112 + FZ113 + FZ114 - FZ115 - FZ116</f>
        <v>0</v>
      </c>
      <c r="GA117" s="12">
        <f t="shared" ref="GA117" ca="1" si="312" xml:space="preserve"> GA112 + GA113 + GA114 - GA115 - GA116</f>
        <v>0</v>
      </c>
      <c r="GB117" s="12">
        <f t="shared" ref="GB117" ca="1" si="313" xml:space="preserve"> GB112 + GB113 + GB114 - GB115 - GB116</f>
        <v>0</v>
      </c>
      <c r="GC117" s="12">
        <f t="shared" ref="GC117" ca="1" si="314" xml:space="preserve"> GC112 + GC113 + GC114 - GC115 - GC116</f>
        <v>0</v>
      </c>
      <c r="GD117" s="12">
        <f t="shared" ref="GD117" ca="1" si="315" xml:space="preserve"> GD112 + GD113 + GD114 - GD115 - GD116</f>
        <v>0</v>
      </c>
      <c r="GE117" s="12">
        <f t="shared" ref="GE117" ca="1" si="316" xml:space="preserve"> GE112 + GE113 + GE114 - GE115 - GE116</f>
        <v>0</v>
      </c>
      <c r="GF117" s="12">
        <f t="shared" ref="GF117" ca="1" si="317" xml:space="preserve"> GF112 + GF113 + GF114 - GF115 - GF116</f>
        <v>0</v>
      </c>
      <c r="GG117" s="12">
        <f t="shared" ref="GG117" ca="1" si="318" xml:space="preserve"> GG112 + GG113 + GG114 - GG115 - GG116</f>
        <v>0</v>
      </c>
      <c r="GH117" s="12">
        <f t="shared" ref="GH117" ca="1" si="319" xml:space="preserve"> GH112 + GH113 + GH114 - GH115 - GH116</f>
        <v>0</v>
      </c>
      <c r="GI117" s="12">
        <f t="shared" ref="GI117" ca="1" si="320" xml:space="preserve"> GI112 + GI113 + GI114 - GI115 - GI116</f>
        <v>0</v>
      </c>
      <c r="GJ117" s="12">
        <f t="shared" ref="GJ117" ca="1" si="321" xml:space="preserve"> GJ112 + GJ113 + GJ114 - GJ115 - GJ116</f>
        <v>0</v>
      </c>
    </row>
    <row r="119" spans="1:192" x14ac:dyDescent="0.2">
      <c r="A119" s="15" t="s">
        <v>1318</v>
      </c>
    </row>
    <row r="120" spans="1:192" outlineLevel="1" x14ac:dyDescent="0.2">
      <c r="E120" s="12" t="str">
        <f t="shared" ref="E120:AJ120" ca="1" si="322" xml:space="preserve"> E$117</f>
        <v>Taxable profit / (tax losses arising) - P99</v>
      </c>
      <c r="F120" s="12">
        <f t="shared" ca="1" si="322"/>
        <v>0</v>
      </c>
      <c r="G120" s="12" t="str">
        <f t="shared" ca="1" si="322"/>
        <v>$ 000s</v>
      </c>
      <c r="H120" s="12">
        <f t="shared" ca="1" si="322"/>
        <v>-1511578.9716386094</v>
      </c>
      <c r="I120" s="12">
        <f t="shared" ca="1" si="322"/>
        <v>0</v>
      </c>
      <c r="J120" s="12">
        <f t="shared" ca="1" si="322"/>
        <v>0</v>
      </c>
      <c r="K120" s="12">
        <f t="shared" ca="1" si="322"/>
        <v>0</v>
      </c>
      <c r="L120" s="12">
        <f t="shared" ca="1" si="322"/>
        <v>0</v>
      </c>
      <c r="M120" s="12">
        <f t="shared" ca="1" si="322"/>
        <v>0</v>
      </c>
      <c r="N120" s="12">
        <f t="shared" ca="1" si="322"/>
        <v>0</v>
      </c>
      <c r="O120" s="12">
        <f t="shared" ca="1" si="322"/>
        <v>-41690.55932008558</v>
      </c>
      <c r="P120" s="12">
        <f t="shared" ca="1" si="322"/>
        <v>-38453.105442950109</v>
      </c>
      <c r="Q120" s="12">
        <f t="shared" ca="1" si="322"/>
        <v>-36150.529171152128</v>
      </c>
      <c r="R120" s="12">
        <f t="shared" ca="1" si="322"/>
        <v>-33707.651519402942</v>
      </c>
      <c r="S120" s="12">
        <f t="shared" ca="1" si="322"/>
        <v>-32007.874847765419</v>
      </c>
      <c r="T120" s="12">
        <f t="shared" ca="1" si="322"/>
        <v>-30133.211508332548</v>
      </c>
      <c r="U120" s="12">
        <f t="shared" ca="1" si="322"/>
        <v>-28941.570321236093</v>
      </c>
      <c r="V120" s="12">
        <f t="shared" ca="1" si="322"/>
        <v>-27601.315434736156</v>
      </c>
      <c r="W120" s="12">
        <f t="shared" ca="1" si="322"/>
        <v>-26791.462163464963</v>
      </c>
      <c r="X120" s="12">
        <f t="shared" ca="1" si="322"/>
        <v>-25821.496187223576</v>
      </c>
      <c r="Y120" s="12">
        <f t="shared" ca="1" si="322"/>
        <v>-25821.23916154819</v>
      </c>
      <c r="Z120" s="12">
        <f t="shared" ca="1" si="322"/>
        <v>-25208.47825861564</v>
      </c>
      <c r="AA120" s="12">
        <f t="shared" ca="1" si="322"/>
        <v>-25156.592887708946</v>
      </c>
      <c r="AB120" s="12">
        <f t="shared" ca="1" si="322"/>
        <v>-24876.297245135676</v>
      </c>
      <c r="AC120" s="12">
        <f t="shared" ca="1" si="322"/>
        <v>-25124.91357831861</v>
      </c>
      <c r="AD120" s="12">
        <f t="shared" ca="1" si="322"/>
        <v>-25190.706808146821</v>
      </c>
      <c r="AE120" s="12">
        <f t="shared" ca="1" si="322"/>
        <v>-25678.352882733856</v>
      </c>
      <c r="AF120" s="12">
        <f t="shared" ca="1" si="322"/>
        <v>-25998.191071260357</v>
      </c>
      <c r="AG120" s="12">
        <f t="shared" ca="1" si="322"/>
        <v>-26790.919946067839</v>
      </c>
      <c r="AH120" s="12">
        <f t="shared" ca="1" si="322"/>
        <v>-27392.912804945499</v>
      </c>
      <c r="AI120" s="12">
        <f t="shared" ca="1" si="322"/>
        <v>-28738.913895636051</v>
      </c>
      <c r="AJ120" s="12">
        <f t="shared" ca="1" si="322"/>
        <v>-29607.081110712003</v>
      </c>
      <c r="AK120" s="12">
        <f t="shared" ref="AK120:BP120" ca="1" si="323" xml:space="preserve"> AK$117</f>
        <v>-30917.628854932525</v>
      </c>
      <c r="AL120" s="12">
        <f t="shared" ca="1" si="323"/>
        <v>-32099.712829417032</v>
      </c>
      <c r="AM120" s="12">
        <f t="shared" ca="1" si="323"/>
        <v>-33655.79711295203</v>
      </c>
      <c r="AN120" s="12">
        <f t="shared" ca="1" si="323"/>
        <v>-35116.479681155644</v>
      </c>
      <c r="AO120" s="12">
        <f t="shared" ca="1" si="323"/>
        <v>-36983.51239394414</v>
      </c>
      <c r="AP120" s="12">
        <f t="shared" ca="1" si="323"/>
        <v>-38763.073702258291</v>
      </c>
      <c r="AQ120" s="12">
        <f t="shared" ca="1" si="323"/>
        <v>-40936.726446649976</v>
      </c>
      <c r="AR120" s="12">
        <f t="shared" ca="1" si="323"/>
        <v>-43061.260758990291</v>
      </c>
      <c r="AS120" s="12">
        <f t="shared" ca="1" si="323"/>
        <v>-45568.821273993526</v>
      </c>
      <c r="AT120" s="12">
        <f t="shared" ca="1" si="323"/>
        <v>-48107.291795830701</v>
      </c>
      <c r="AU120" s="12">
        <f t="shared" ca="1" si="323"/>
        <v>-51007.14083044116</v>
      </c>
      <c r="AV120" s="12">
        <f t="shared" ca="1" si="323"/>
        <v>-53371.309733648362</v>
      </c>
      <c r="AW120" s="12">
        <f t="shared" ca="1" si="323"/>
        <v>-56074.409890740986</v>
      </c>
      <c r="AX120" s="12">
        <f t="shared" ca="1" si="323"/>
        <v>-58695.195958631535</v>
      </c>
      <c r="AY120" s="12">
        <f t="shared" ca="1" si="323"/>
        <v>-61641.092403850795</v>
      </c>
      <c r="AZ120" s="12">
        <f t="shared" ca="1" si="323"/>
        <v>-64631.593069655763</v>
      </c>
      <c r="BA120" s="12">
        <f t="shared" ca="1" si="323"/>
        <v>-67968.904637338856</v>
      </c>
      <c r="BB120" s="12">
        <f t="shared" ca="1" si="323"/>
        <v>-76095.644696998977</v>
      </c>
      <c r="BC120" s="12">
        <f t="shared" ca="1" si="323"/>
        <v>0</v>
      </c>
      <c r="BD120" s="12">
        <f t="shared" ca="1" si="323"/>
        <v>0</v>
      </c>
      <c r="BE120" s="12">
        <f t="shared" ca="1" si="323"/>
        <v>0</v>
      </c>
      <c r="BF120" s="12">
        <f t="shared" ca="1" si="323"/>
        <v>0</v>
      </c>
      <c r="BG120" s="12">
        <f t="shared" ca="1" si="323"/>
        <v>0</v>
      </c>
      <c r="BH120" s="12">
        <f t="shared" ca="1" si="323"/>
        <v>0</v>
      </c>
      <c r="BI120" s="12">
        <f t="shared" ca="1" si="323"/>
        <v>0</v>
      </c>
      <c r="BJ120" s="12">
        <f t="shared" ca="1" si="323"/>
        <v>0</v>
      </c>
      <c r="BK120" s="12">
        <f t="shared" ca="1" si="323"/>
        <v>0</v>
      </c>
      <c r="BL120" s="12">
        <f t="shared" ca="1" si="323"/>
        <v>0</v>
      </c>
      <c r="BM120" s="12">
        <f t="shared" ca="1" si="323"/>
        <v>0</v>
      </c>
      <c r="BN120" s="12">
        <f t="shared" ca="1" si="323"/>
        <v>0</v>
      </c>
      <c r="BO120" s="12">
        <f t="shared" ca="1" si="323"/>
        <v>0</v>
      </c>
      <c r="BP120" s="12">
        <f t="shared" ca="1" si="323"/>
        <v>0</v>
      </c>
      <c r="BQ120" s="12">
        <f t="shared" ref="BQ120:CV120" ca="1" si="324" xml:space="preserve"> BQ$117</f>
        <v>0</v>
      </c>
      <c r="BR120" s="12">
        <f t="shared" ca="1" si="324"/>
        <v>0</v>
      </c>
      <c r="BS120" s="12">
        <f t="shared" ca="1" si="324"/>
        <v>0</v>
      </c>
      <c r="BT120" s="12">
        <f t="shared" ca="1" si="324"/>
        <v>0</v>
      </c>
      <c r="BU120" s="12">
        <f t="shared" ca="1" si="324"/>
        <v>0</v>
      </c>
      <c r="BV120" s="12">
        <f t="shared" ca="1" si="324"/>
        <v>0</v>
      </c>
      <c r="BW120" s="12">
        <f t="shared" ca="1" si="324"/>
        <v>0</v>
      </c>
      <c r="BX120" s="12">
        <f t="shared" ca="1" si="324"/>
        <v>0</v>
      </c>
      <c r="BY120" s="12">
        <f t="shared" ca="1" si="324"/>
        <v>0</v>
      </c>
      <c r="BZ120" s="12">
        <f t="shared" ca="1" si="324"/>
        <v>0</v>
      </c>
      <c r="CA120" s="12">
        <f t="shared" ca="1" si="324"/>
        <v>0</v>
      </c>
      <c r="CB120" s="12">
        <f t="shared" ca="1" si="324"/>
        <v>0</v>
      </c>
      <c r="CC120" s="12">
        <f t="shared" ca="1" si="324"/>
        <v>0</v>
      </c>
      <c r="CD120" s="12">
        <f t="shared" ca="1" si="324"/>
        <v>0</v>
      </c>
      <c r="CE120" s="12">
        <f t="shared" ca="1" si="324"/>
        <v>0</v>
      </c>
      <c r="CF120" s="12">
        <f t="shared" ca="1" si="324"/>
        <v>0</v>
      </c>
      <c r="CG120" s="12">
        <f t="shared" ca="1" si="324"/>
        <v>0</v>
      </c>
      <c r="CH120" s="12">
        <f t="shared" ca="1" si="324"/>
        <v>0</v>
      </c>
      <c r="CI120" s="12">
        <f t="shared" ca="1" si="324"/>
        <v>0</v>
      </c>
      <c r="CJ120" s="12">
        <f t="shared" ca="1" si="324"/>
        <v>0</v>
      </c>
      <c r="CK120" s="12">
        <f t="shared" ca="1" si="324"/>
        <v>0</v>
      </c>
      <c r="CL120" s="12">
        <f t="shared" ca="1" si="324"/>
        <v>0</v>
      </c>
      <c r="CM120" s="12">
        <f t="shared" ca="1" si="324"/>
        <v>0</v>
      </c>
      <c r="CN120" s="12">
        <f t="shared" ca="1" si="324"/>
        <v>0</v>
      </c>
      <c r="CO120" s="12">
        <f t="shared" ca="1" si="324"/>
        <v>0</v>
      </c>
      <c r="CP120" s="12">
        <f t="shared" ca="1" si="324"/>
        <v>0</v>
      </c>
      <c r="CQ120" s="12">
        <f t="shared" ca="1" si="324"/>
        <v>0</v>
      </c>
      <c r="CR120" s="12">
        <f t="shared" ca="1" si="324"/>
        <v>0</v>
      </c>
      <c r="CS120" s="12">
        <f t="shared" ca="1" si="324"/>
        <v>0</v>
      </c>
      <c r="CT120" s="12">
        <f t="shared" ca="1" si="324"/>
        <v>0</v>
      </c>
      <c r="CU120" s="12">
        <f t="shared" ca="1" si="324"/>
        <v>0</v>
      </c>
      <c r="CV120" s="12">
        <f t="shared" ca="1" si="324"/>
        <v>0</v>
      </c>
      <c r="CW120" s="12">
        <f t="shared" ref="CW120:EB120" ca="1" si="325" xml:space="preserve"> CW$117</f>
        <v>0</v>
      </c>
      <c r="CX120" s="12">
        <f t="shared" ca="1" si="325"/>
        <v>0</v>
      </c>
      <c r="CY120" s="12">
        <f t="shared" ca="1" si="325"/>
        <v>0</v>
      </c>
      <c r="CZ120" s="12">
        <f t="shared" ca="1" si="325"/>
        <v>0</v>
      </c>
      <c r="DA120" s="12">
        <f t="shared" ca="1" si="325"/>
        <v>0</v>
      </c>
      <c r="DB120" s="12">
        <f t="shared" ca="1" si="325"/>
        <v>0</v>
      </c>
      <c r="DC120" s="12">
        <f t="shared" ca="1" si="325"/>
        <v>0</v>
      </c>
      <c r="DD120" s="12">
        <f t="shared" ca="1" si="325"/>
        <v>0</v>
      </c>
      <c r="DE120" s="12">
        <f t="shared" ca="1" si="325"/>
        <v>0</v>
      </c>
      <c r="DF120" s="12">
        <f t="shared" ca="1" si="325"/>
        <v>0</v>
      </c>
      <c r="DG120" s="12">
        <f t="shared" ca="1" si="325"/>
        <v>0</v>
      </c>
      <c r="DH120" s="12">
        <f t="shared" ca="1" si="325"/>
        <v>0</v>
      </c>
      <c r="DI120" s="12">
        <f t="shared" ca="1" si="325"/>
        <v>0</v>
      </c>
      <c r="DJ120" s="12">
        <f t="shared" ca="1" si="325"/>
        <v>0</v>
      </c>
      <c r="DK120" s="12">
        <f t="shared" ca="1" si="325"/>
        <v>0</v>
      </c>
      <c r="DL120" s="12">
        <f t="shared" ca="1" si="325"/>
        <v>0</v>
      </c>
      <c r="DM120" s="12">
        <f t="shared" ca="1" si="325"/>
        <v>0</v>
      </c>
      <c r="DN120" s="12">
        <f t="shared" ca="1" si="325"/>
        <v>0</v>
      </c>
      <c r="DO120" s="12">
        <f t="shared" ca="1" si="325"/>
        <v>0</v>
      </c>
      <c r="DP120" s="12">
        <f t="shared" ca="1" si="325"/>
        <v>0</v>
      </c>
      <c r="DQ120" s="12">
        <f t="shared" ca="1" si="325"/>
        <v>0</v>
      </c>
      <c r="DR120" s="12">
        <f t="shared" ca="1" si="325"/>
        <v>0</v>
      </c>
      <c r="DS120" s="12">
        <f t="shared" ca="1" si="325"/>
        <v>0</v>
      </c>
      <c r="DT120" s="12">
        <f t="shared" ca="1" si="325"/>
        <v>0</v>
      </c>
      <c r="DU120" s="12">
        <f t="shared" ca="1" si="325"/>
        <v>0</v>
      </c>
      <c r="DV120" s="12">
        <f t="shared" ca="1" si="325"/>
        <v>0</v>
      </c>
      <c r="DW120" s="12">
        <f t="shared" ca="1" si="325"/>
        <v>0</v>
      </c>
      <c r="DX120" s="12">
        <f t="shared" ca="1" si="325"/>
        <v>0</v>
      </c>
      <c r="DY120" s="12">
        <f t="shared" ca="1" si="325"/>
        <v>0</v>
      </c>
      <c r="DZ120" s="12">
        <f t="shared" ca="1" si="325"/>
        <v>0</v>
      </c>
      <c r="EA120" s="12">
        <f t="shared" ca="1" si="325"/>
        <v>0</v>
      </c>
      <c r="EB120" s="12">
        <f t="shared" ca="1" si="325"/>
        <v>0</v>
      </c>
      <c r="EC120" s="12">
        <f t="shared" ref="EC120:FH120" ca="1" si="326" xml:space="preserve"> EC$117</f>
        <v>0</v>
      </c>
      <c r="ED120" s="12">
        <f t="shared" ca="1" si="326"/>
        <v>0</v>
      </c>
      <c r="EE120" s="12">
        <f t="shared" ca="1" si="326"/>
        <v>0</v>
      </c>
      <c r="EF120" s="12">
        <f t="shared" ca="1" si="326"/>
        <v>0</v>
      </c>
      <c r="EG120" s="12">
        <f t="shared" ca="1" si="326"/>
        <v>0</v>
      </c>
      <c r="EH120" s="12">
        <f t="shared" ca="1" si="326"/>
        <v>0</v>
      </c>
      <c r="EI120" s="12">
        <f t="shared" ca="1" si="326"/>
        <v>0</v>
      </c>
      <c r="EJ120" s="12">
        <f t="shared" ca="1" si="326"/>
        <v>0</v>
      </c>
      <c r="EK120" s="12">
        <f t="shared" ca="1" si="326"/>
        <v>0</v>
      </c>
      <c r="EL120" s="12">
        <f t="shared" ca="1" si="326"/>
        <v>0</v>
      </c>
      <c r="EM120" s="12">
        <f t="shared" ca="1" si="326"/>
        <v>0</v>
      </c>
      <c r="EN120" s="12">
        <f t="shared" ca="1" si="326"/>
        <v>0</v>
      </c>
      <c r="EO120" s="12">
        <f t="shared" ca="1" si="326"/>
        <v>0</v>
      </c>
      <c r="EP120" s="12">
        <f t="shared" ca="1" si="326"/>
        <v>0</v>
      </c>
      <c r="EQ120" s="12">
        <f t="shared" ca="1" si="326"/>
        <v>0</v>
      </c>
      <c r="ER120" s="12">
        <f t="shared" ca="1" si="326"/>
        <v>0</v>
      </c>
      <c r="ES120" s="12">
        <f t="shared" ca="1" si="326"/>
        <v>0</v>
      </c>
      <c r="ET120" s="12">
        <f t="shared" ca="1" si="326"/>
        <v>0</v>
      </c>
      <c r="EU120" s="12">
        <f t="shared" ca="1" si="326"/>
        <v>0</v>
      </c>
      <c r="EV120" s="12">
        <f t="shared" ca="1" si="326"/>
        <v>0</v>
      </c>
      <c r="EW120" s="12">
        <f t="shared" ca="1" si="326"/>
        <v>0</v>
      </c>
      <c r="EX120" s="12">
        <f t="shared" ca="1" si="326"/>
        <v>0</v>
      </c>
      <c r="EY120" s="12">
        <f t="shared" ca="1" si="326"/>
        <v>0</v>
      </c>
      <c r="EZ120" s="12">
        <f t="shared" ca="1" si="326"/>
        <v>0</v>
      </c>
      <c r="FA120" s="12">
        <f t="shared" ca="1" si="326"/>
        <v>0</v>
      </c>
      <c r="FB120" s="12">
        <f t="shared" ca="1" si="326"/>
        <v>0</v>
      </c>
      <c r="FC120" s="12">
        <f t="shared" ca="1" si="326"/>
        <v>0</v>
      </c>
      <c r="FD120" s="12">
        <f t="shared" ca="1" si="326"/>
        <v>0</v>
      </c>
      <c r="FE120" s="12">
        <f t="shared" ca="1" si="326"/>
        <v>0</v>
      </c>
      <c r="FF120" s="12">
        <f t="shared" ca="1" si="326"/>
        <v>0</v>
      </c>
      <c r="FG120" s="12">
        <f t="shared" ca="1" si="326"/>
        <v>0</v>
      </c>
      <c r="FH120" s="12">
        <f t="shared" ca="1" si="326"/>
        <v>0</v>
      </c>
      <c r="FI120" s="12">
        <f t="shared" ref="FI120:GJ120" ca="1" si="327" xml:space="preserve"> FI$117</f>
        <v>0</v>
      </c>
      <c r="FJ120" s="12">
        <f t="shared" ca="1" si="327"/>
        <v>0</v>
      </c>
      <c r="FK120" s="12">
        <f t="shared" ca="1" si="327"/>
        <v>0</v>
      </c>
      <c r="FL120" s="12">
        <f t="shared" ca="1" si="327"/>
        <v>0</v>
      </c>
      <c r="FM120" s="12">
        <f t="shared" ca="1" si="327"/>
        <v>0</v>
      </c>
      <c r="FN120" s="12">
        <f t="shared" ca="1" si="327"/>
        <v>0</v>
      </c>
      <c r="FO120" s="12">
        <f t="shared" ca="1" si="327"/>
        <v>0</v>
      </c>
      <c r="FP120" s="12">
        <f t="shared" ca="1" si="327"/>
        <v>0</v>
      </c>
      <c r="FQ120" s="12">
        <f t="shared" ca="1" si="327"/>
        <v>0</v>
      </c>
      <c r="FR120" s="12">
        <f t="shared" ca="1" si="327"/>
        <v>0</v>
      </c>
      <c r="FS120" s="12">
        <f t="shared" ca="1" si="327"/>
        <v>0</v>
      </c>
      <c r="FT120" s="12">
        <f t="shared" ca="1" si="327"/>
        <v>0</v>
      </c>
      <c r="FU120" s="12">
        <f t="shared" ca="1" si="327"/>
        <v>0</v>
      </c>
      <c r="FV120" s="12">
        <f t="shared" ca="1" si="327"/>
        <v>0</v>
      </c>
      <c r="FW120" s="12">
        <f t="shared" ca="1" si="327"/>
        <v>0</v>
      </c>
      <c r="FX120" s="12">
        <f t="shared" ca="1" si="327"/>
        <v>0</v>
      </c>
      <c r="FY120" s="12">
        <f t="shared" ca="1" si="327"/>
        <v>0</v>
      </c>
      <c r="FZ120" s="12">
        <f t="shared" ca="1" si="327"/>
        <v>0</v>
      </c>
      <c r="GA120" s="12">
        <f t="shared" ca="1" si="327"/>
        <v>0</v>
      </c>
      <c r="GB120" s="12">
        <f t="shared" ca="1" si="327"/>
        <v>0</v>
      </c>
      <c r="GC120" s="12">
        <f t="shared" ca="1" si="327"/>
        <v>0</v>
      </c>
      <c r="GD120" s="12">
        <f t="shared" ca="1" si="327"/>
        <v>0</v>
      </c>
      <c r="GE120" s="12">
        <f t="shared" ca="1" si="327"/>
        <v>0</v>
      </c>
      <c r="GF120" s="12">
        <f t="shared" ca="1" si="327"/>
        <v>0</v>
      </c>
      <c r="GG120" s="12">
        <f t="shared" ca="1" si="327"/>
        <v>0</v>
      </c>
      <c r="GH120" s="12">
        <f t="shared" ca="1" si="327"/>
        <v>0</v>
      </c>
      <c r="GI120" s="12">
        <f t="shared" ca="1" si="327"/>
        <v>0</v>
      </c>
      <c r="GJ120" s="12">
        <f t="shared" ca="1" si="327"/>
        <v>0</v>
      </c>
    </row>
    <row r="121" spans="1:192" outlineLevel="1" x14ac:dyDescent="0.2">
      <c r="E121" s="12" t="s">
        <v>1244</v>
      </c>
      <c r="G121" s="12" t="str">
        <f xml:space="preserve"> SMU</f>
        <v>$ 000s</v>
      </c>
      <c r="H121" s="12">
        <f ca="1" xml:space="preserve"> SUM(J121:CV121)</f>
        <v>0</v>
      </c>
      <c r="J121" s="12">
        <f t="shared" ref="J121:BU121" ca="1" si="328" xml:space="preserve"> MAX(J120, 0)</f>
        <v>0</v>
      </c>
      <c r="K121" s="12">
        <f t="shared" ca="1" si="328"/>
        <v>0</v>
      </c>
      <c r="L121" s="12">
        <f t="shared" ca="1" si="328"/>
        <v>0</v>
      </c>
      <c r="M121" s="12">
        <f t="shared" ca="1" si="328"/>
        <v>0</v>
      </c>
      <c r="N121" s="12">
        <f t="shared" ca="1" si="328"/>
        <v>0</v>
      </c>
      <c r="O121" s="12">
        <f t="shared" ca="1" si="328"/>
        <v>0</v>
      </c>
      <c r="P121" s="12">
        <f t="shared" ca="1" si="328"/>
        <v>0</v>
      </c>
      <c r="Q121" s="12">
        <f t="shared" ca="1" si="328"/>
        <v>0</v>
      </c>
      <c r="R121" s="12">
        <f t="shared" ca="1" si="328"/>
        <v>0</v>
      </c>
      <c r="S121" s="12">
        <f t="shared" ca="1" si="328"/>
        <v>0</v>
      </c>
      <c r="T121" s="12">
        <f t="shared" ca="1" si="328"/>
        <v>0</v>
      </c>
      <c r="U121" s="12">
        <f t="shared" ca="1" si="328"/>
        <v>0</v>
      </c>
      <c r="V121" s="12">
        <f t="shared" ca="1" si="328"/>
        <v>0</v>
      </c>
      <c r="W121" s="12">
        <f t="shared" ca="1" si="328"/>
        <v>0</v>
      </c>
      <c r="X121" s="12">
        <f t="shared" ca="1" si="328"/>
        <v>0</v>
      </c>
      <c r="Y121" s="12">
        <f t="shared" ca="1" si="328"/>
        <v>0</v>
      </c>
      <c r="Z121" s="12">
        <f t="shared" ca="1" si="328"/>
        <v>0</v>
      </c>
      <c r="AA121" s="12">
        <f t="shared" ca="1" si="328"/>
        <v>0</v>
      </c>
      <c r="AB121" s="12">
        <f t="shared" ca="1" si="328"/>
        <v>0</v>
      </c>
      <c r="AC121" s="12">
        <f t="shared" ca="1" si="328"/>
        <v>0</v>
      </c>
      <c r="AD121" s="12">
        <f t="shared" ca="1" si="328"/>
        <v>0</v>
      </c>
      <c r="AE121" s="12">
        <f t="shared" ca="1" si="328"/>
        <v>0</v>
      </c>
      <c r="AF121" s="12">
        <f t="shared" ca="1" si="328"/>
        <v>0</v>
      </c>
      <c r="AG121" s="12">
        <f t="shared" ca="1" si="328"/>
        <v>0</v>
      </c>
      <c r="AH121" s="12">
        <f t="shared" ca="1" si="328"/>
        <v>0</v>
      </c>
      <c r="AI121" s="12">
        <f t="shared" ca="1" si="328"/>
        <v>0</v>
      </c>
      <c r="AJ121" s="12">
        <f t="shared" ca="1" si="328"/>
        <v>0</v>
      </c>
      <c r="AK121" s="12">
        <f t="shared" ca="1" si="328"/>
        <v>0</v>
      </c>
      <c r="AL121" s="12">
        <f t="shared" ca="1" si="328"/>
        <v>0</v>
      </c>
      <c r="AM121" s="12">
        <f t="shared" ca="1" si="328"/>
        <v>0</v>
      </c>
      <c r="AN121" s="12">
        <f t="shared" ca="1" si="328"/>
        <v>0</v>
      </c>
      <c r="AO121" s="12">
        <f t="shared" ca="1" si="328"/>
        <v>0</v>
      </c>
      <c r="AP121" s="12">
        <f t="shared" ca="1" si="328"/>
        <v>0</v>
      </c>
      <c r="AQ121" s="12">
        <f t="shared" ca="1" si="328"/>
        <v>0</v>
      </c>
      <c r="AR121" s="12">
        <f t="shared" ca="1" si="328"/>
        <v>0</v>
      </c>
      <c r="AS121" s="12">
        <f t="shared" ca="1" si="328"/>
        <v>0</v>
      </c>
      <c r="AT121" s="12">
        <f t="shared" ca="1" si="328"/>
        <v>0</v>
      </c>
      <c r="AU121" s="12">
        <f t="shared" ca="1" si="328"/>
        <v>0</v>
      </c>
      <c r="AV121" s="12">
        <f t="shared" ca="1" si="328"/>
        <v>0</v>
      </c>
      <c r="AW121" s="12">
        <f t="shared" ca="1" si="328"/>
        <v>0</v>
      </c>
      <c r="AX121" s="12">
        <f t="shared" ca="1" si="328"/>
        <v>0</v>
      </c>
      <c r="AY121" s="12">
        <f t="shared" ca="1" si="328"/>
        <v>0</v>
      </c>
      <c r="AZ121" s="12">
        <f t="shared" ca="1" si="328"/>
        <v>0</v>
      </c>
      <c r="BA121" s="12">
        <f t="shared" ca="1" si="328"/>
        <v>0</v>
      </c>
      <c r="BB121" s="12">
        <f t="shared" ca="1" si="328"/>
        <v>0</v>
      </c>
      <c r="BC121" s="12">
        <f t="shared" ca="1" si="328"/>
        <v>0</v>
      </c>
      <c r="BD121" s="12">
        <f t="shared" ca="1" si="328"/>
        <v>0</v>
      </c>
      <c r="BE121" s="12">
        <f t="shared" ca="1" si="328"/>
        <v>0</v>
      </c>
      <c r="BF121" s="12">
        <f t="shared" ca="1" si="328"/>
        <v>0</v>
      </c>
      <c r="BG121" s="12">
        <f t="shared" ca="1" si="328"/>
        <v>0</v>
      </c>
      <c r="BH121" s="12">
        <f t="shared" ca="1" si="328"/>
        <v>0</v>
      </c>
      <c r="BI121" s="12">
        <f t="shared" ca="1" si="328"/>
        <v>0</v>
      </c>
      <c r="BJ121" s="12">
        <f t="shared" ca="1" si="328"/>
        <v>0</v>
      </c>
      <c r="BK121" s="12">
        <f t="shared" ca="1" si="328"/>
        <v>0</v>
      </c>
      <c r="BL121" s="12">
        <f t="shared" ca="1" si="328"/>
        <v>0</v>
      </c>
      <c r="BM121" s="12">
        <f t="shared" ca="1" si="328"/>
        <v>0</v>
      </c>
      <c r="BN121" s="12">
        <f t="shared" ca="1" si="328"/>
        <v>0</v>
      </c>
      <c r="BO121" s="12">
        <f t="shared" ca="1" si="328"/>
        <v>0</v>
      </c>
      <c r="BP121" s="12">
        <f t="shared" ca="1" si="328"/>
        <v>0</v>
      </c>
      <c r="BQ121" s="12">
        <f t="shared" ca="1" si="328"/>
        <v>0</v>
      </c>
      <c r="BR121" s="12">
        <f t="shared" ca="1" si="328"/>
        <v>0</v>
      </c>
      <c r="BS121" s="12">
        <f t="shared" ca="1" si="328"/>
        <v>0</v>
      </c>
      <c r="BT121" s="12">
        <f t="shared" ca="1" si="328"/>
        <v>0</v>
      </c>
      <c r="BU121" s="12">
        <f t="shared" ca="1" si="328"/>
        <v>0</v>
      </c>
      <c r="BV121" s="12">
        <f t="shared" ref="BV121:CV121" ca="1" si="329" xml:space="preserve"> MAX(BV120, 0)</f>
        <v>0</v>
      </c>
      <c r="BW121" s="12">
        <f t="shared" ca="1" si="329"/>
        <v>0</v>
      </c>
      <c r="BX121" s="12">
        <f t="shared" ca="1" si="329"/>
        <v>0</v>
      </c>
      <c r="BY121" s="12">
        <f t="shared" ca="1" si="329"/>
        <v>0</v>
      </c>
      <c r="BZ121" s="12">
        <f t="shared" ca="1" si="329"/>
        <v>0</v>
      </c>
      <c r="CA121" s="12">
        <f t="shared" ca="1" si="329"/>
        <v>0</v>
      </c>
      <c r="CB121" s="12">
        <f t="shared" ca="1" si="329"/>
        <v>0</v>
      </c>
      <c r="CC121" s="12">
        <f t="shared" ca="1" si="329"/>
        <v>0</v>
      </c>
      <c r="CD121" s="12">
        <f t="shared" ca="1" si="329"/>
        <v>0</v>
      </c>
      <c r="CE121" s="12">
        <f t="shared" ca="1" si="329"/>
        <v>0</v>
      </c>
      <c r="CF121" s="12">
        <f t="shared" ca="1" si="329"/>
        <v>0</v>
      </c>
      <c r="CG121" s="12">
        <f t="shared" ca="1" si="329"/>
        <v>0</v>
      </c>
      <c r="CH121" s="12">
        <f t="shared" ca="1" si="329"/>
        <v>0</v>
      </c>
      <c r="CI121" s="12">
        <f t="shared" ca="1" si="329"/>
        <v>0</v>
      </c>
      <c r="CJ121" s="12">
        <f t="shared" ca="1" si="329"/>
        <v>0</v>
      </c>
      <c r="CK121" s="12">
        <f t="shared" ca="1" si="329"/>
        <v>0</v>
      </c>
      <c r="CL121" s="12">
        <f t="shared" ca="1" si="329"/>
        <v>0</v>
      </c>
      <c r="CM121" s="12">
        <f t="shared" ca="1" si="329"/>
        <v>0</v>
      </c>
      <c r="CN121" s="12">
        <f t="shared" ca="1" si="329"/>
        <v>0</v>
      </c>
      <c r="CO121" s="12">
        <f t="shared" ca="1" si="329"/>
        <v>0</v>
      </c>
      <c r="CP121" s="12">
        <f t="shared" ca="1" si="329"/>
        <v>0</v>
      </c>
      <c r="CQ121" s="12">
        <f t="shared" ca="1" si="329"/>
        <v>0</v>
      </c>
      <c r="CR121" s="12">
        <f t="shared" ca="1" si="329"/>
        <v>0</v>
      </c>
      <c r="CS121" s="12">
        <f t="shared" ca="1" si="329"/>
        <v>0</v>
      </c>
      <c r="CT121" s="12">
        <f t="shared" ca="1" si="329"/>
        <v>0</v>
      </c>
      <c r="CU121" s="12">
        <f t="shared" ca="1" si="329"/>
        <v>0</v>
      </c>
      <c r="CV121" s="12">
        <f t="shared" ca="1" si="329"/>
        <v>0</v>
      </c>
    </row>
    <row r="122" spans="1:192" outlineLevel="1" x14ac:dyDescent="0.2"/>
    <row r="123" spans="1:192" outlineLevel="1" x14ac:dyDescent="0.2">
      <c r="E123" s="12" t="str">
        <f t="shared" ref="E123:BP123" ca="1" si="330" xml:space="preserve"> E$117</f>
        <v>Taxable profit / (tax losses arising) - P99</v>
      </c>
      <c r="F123" s="12">
        <f t="shared" ca="1" si="330"/>
        <v>0</v>
      </c>
      <c r="G123" s="12" t="str">
        <f t="shared" ca="1" si="330"/>
        <v>$ 000s</v>
      </c>
      <c r="H123" s="12">
        <f t="shared" ca="1" si="330"/>
        <v>-1511578.9716386094</v>
      </c>
      <c r="I123" s="12">
        <f t="shared" ca="1" si="330"/>
        <v>0</v>
      </c>
      <c r="J123" s="12">
        <f t="shared" ca="1" si="330"/>
        <v>0</v>
      </c>
      <c r="K123" s="12">
        <f t="shared" ca="1" si="330"/>
        <v>0</v>
      </c>
      <c r="L123" s="12">
        <f t="shared" ca="1" si="330"/>
        <v>0</v>
      </c>
      <c r="M123" s="12">
        <f t="shared" ca="1" si="330"/>
        <v>0</v>
      </c>
      <c r="N123" s="12">
        <f t="shared" ca="1" si="330"/>
        <v>0</v>
      </c>
      <c r="O123" s="12">
        <f t="shared" ca="1" si="330"/>
        <v>-41690.55932008558</v>
      </c>
      <c r="P123" s="12">
        <f t="shared" ca="1" si="330"/>
        <v>-38453.105442950109</v>
      </c>
      <c r="Q123" s="12">
        <f t="shared" ca="1" si="330"/>
        <v>-36150.529171152128</v>
      </c>
      <c r="R123" s="12">
        <f t="shared" ca="1" si="330"/>
        <v>-33707.651519402942</v>
      </c>
      <c r="S123" s="12">
        <f t="shared" ca="1" si="330"/>
        <v>-32007.874847765419</v>
      </c>
      <c r="T123" s="12">
        <f t="shared" ca="1" si="330"/>
        <v>-30133.211508332548</v>
      </c>
      <c r="U123" s="12">
        <f t="shared" ca="1" si="330"/>
        <v>-28941.570321236093</v>
      </c>
      <c r="V123" s="12">
        <f t="shared" ca="1" si="330"/>
        <v>-27601.315434736156</v>
      </c>
      <c r="W123" s="12">
        <f t="shared" ca="1" si="330"/>
        <v>-26791.462163464963</v>
      </c>
      <c r="X123" s="12">
        <f t="shared" ca="1" si="330"/>
        <v>-25821.496187223576</v>
      </c>
      <c r="Y123" s="12">
        <f t="shared" ca="1" si="330"/>
        <v>-25821.23916154819</v>
      </c>
      <c r="Z123" s="12">
        <f t="shared" ca="1" si="330"/>
        <v>-25208.47825861564</v>
      </c>
      <c r="AA123" s="12">
        <f t="shared" ca="1" si="330"/>
        <v>-25156.592887708946</v>
      </c>
      <c r="AB123" s="12">
        <f t="shared" ca="1" si="330"/>
        <v>-24876.297245135676</v>
      </c>
      <c r="AC123" s="12">
        <f t="shared" ca="1" si="330"/>
        <v>-25124.91357831861</v>
      </c>
      <c r="AD123" s="12">
        <f t="shared" ca="1" si="330"/>
        <v>-25190.706808146821</v>
      </c>
      <c r="AE123" s="12">
        <f t="shared" ca="1" si="330"/>
        <v>-25678.352882733856</v>
      </c>
      <c r="AF123" s="12">
        <f t="shared" ca="1" si="330"/>
        <v>-25998.191071260357</v>
      </c>
      <c r="AG123" s="12">
        <f t="shared" ca="1" si="330"/>
        <v>-26790.919946067839</v>
      </c>
      <c r="AH123" s="12">
        <f t="shared" ca="1" si="330"/>
        <v>-27392.912804945499</v>
      </c>
      <c r="AI123" s="12">
        <f t="shared" ca="1" si="330"/>
        <v>-28738.913895636051</v>
      </c>
      <c r="AJ123" s="12">
        <f t="shared" ca="1" si="330"/>
        <v>-29607.081110712003</v>
      </c>
      <c r="AK123" s="12">
        <f t="shared" ca="1" si="330"/>
        <v>-30917.628854932525</v>
      </c>
      <c r="AL123" s="12">
        <f t="shared" ca="1" si="330"/>
        <v>-32099.712829417032</v>
      </c>
      <c r="AM123" s="12">
        <f t="shared" ca="1" si="330"/>
        <v>-33655.79711295203</v>
      </c>
      <c r="AN123" s="12">
        <f t="shared" ca="1" si="330"/>
        <v>-35116.479681155644</v>
      </c>
      <c r="AO123" s="12">
        <f t="shared" ca="1" si="330"/>
        <v>-36983.51239394414</v>
      </c>
      <c r="AP123" s="12">
        <f t="shared" ca="1" si="330"/>
        <v>-38763.073702258291</v>
      </c>
      <c r="AQ123" s="12">
        <f t="shared" ca="1" si="330"/>
        <v>-40936.726446649976</v>
      </c>
      <c r="AR123" s="12">
        <f t="shared" ca="1" si="330"/>
        <v>-43061.260758990291</v>
      </c>
      <c r="AS123" s="12">
        <f t="shared" ca="1" si="330"/>
        <v>-45568.821273993526</v>
      </c>
      <c r="AT123" s="12">
        <f t="shared" ca="1" si="330"/>
        <v>-48107.291795830701</v>
      </c>
      <c r="AU123" s="12">
        <f t="shared" ca="1" si="330"/>
        <v>-51007.14083044116</v>
      </c>
      <c r="AV123" s="12">
        <f t="shared" ca="1" si="330"/>
        <v>-53371.309733648362</v>
      </c>
      <c r="AW123" s="12">
        <f t="shared" ca="1" si="330"/>
        <v>-56074.409890740986</v>
      </c>
      <c r="AX123" s="12">
        <f t="shared" ca="1" si="330"/>
        <v>-58695.195958631535</v>
      </c>
      <c r="AY123" s="12">
        <f t="shared" ca="1" si="330"/>
        <v>-61641.092403850795</v>
      </c>
      <c r="AZ123" s="12">
        <f t="shared" ca="1" si="330"/>
        <v>-64631.593069655763</v>
      </c>
      <c r="BA123" s="12">
        <f t="shared" ca="1" si="330"/>
        <v>-67968.904637338856</v>
      </c>
      <c r="BB123" s="12">
        <f t="shared" ca="1" si="330"/>
        <v>-76095.644696998977</v>
      </c>
      <c r="BC123" s="12">
        <f t="shared" ca="1" si="330"/>
        <v>0</v>
      </c>
      <c r="BD123" s="12">
        <f t="shared" ca="1" si="330"/>
        <v>0</v>
      </c>
      <c r="BE123" s="12">
        <f t="shared" ca="1" si="330"/>
        <v>0</v>
      </c>
      <c r="BF123" s="12">
        <f t="shared" ca="1" si="330"/>
        <v>0</v>
      </c>
      <c r="BG123" s="12">
        <f t="shared" ca="1" si="330"/>
        <v>0</v>
      </c>
      <c r="BH123" s="12">
        <f t="shared" ca="1" si="330"/>
        <v>0</v>
      </c>
      <c r="BI123" s="12">
        <f t="shared" ca="1" si="330"/>
        <v>0</v>
      </c>
      <c r="BJ123" s="12">
        <f t="shared" ca="1" si="330"/>
        <v>0</v>
      </c>
      <c r="BK123" s="12">
        <f t="shared" ca="1" si="330"/>
        <v>0</v>
      </c>
      <c r="BL123" s="12">
        <f t="shared" ca="1" si="330"/>
        <v>0</v>
      </c>
      <c r="BM123" s="12">
        <f t="shared" ca="1" si="330"/>
        <v>0</v>
      </c>
      <c r="BN123" s="12">
        <f t="shared" ca="1" si="330"/>
        <v>0</v>
      </c>
      <c r="BO123" s="12">
        <f t="shared" ca="1" si="330"/>
        <v>0</v>
      </c>
      <c r="BP123" s="12">
        <f t="shared" ca="1" si="330"/>
        <v>0</v>
      </c>
      <c r="BQ123" s="12">
        <f t="shared" ref="BQ123:EB123" ca="1" si="331" xml:space="preserve"> BQ$117</f>
        <v>0</v>
      </c>
      <c r="BR123" s="12">
        <f t="shared" ca="1" si="331"/>
        <v>0</v>
      </c>
      <c r="BS123" s="12">
        <f t="shared" ca="1" si="331"/>
        <v>0</v>
      </c>
      <c r="BT123" s="12">
        <f t="shared" ca="1" si="331"/>
        <v>0</v>
      </c>
      <c r="BU123" s="12">
        <f t="shared" ca="1" si="331"/>
        <v>0</v>
      </c>
      <c r="BV123" s="12">
        <f t="shared" ca="1" si="331"/>
        <v>0</v>
      </c>
      <c r="BW123" s="12">
        <f t="shared" ca="1" si="331"/>
        <v>0</v>
      </c>
      <c r="BX123" s="12">
        <f t="shared" ca="1" si="331"/>
        <v>0</v>
      </c>
      <c r="BY123" s="12">
        <f t="shared" ca="1" si="331"/>
        <v>0</v>
      </c>
      <c r="BZ123" s="12">
        <f t="shared" ca="1" si="331"/>
        <v>0</v>
      </c>
      <c r="CA123" s="12">
        <f t="shared" ca="1" si="331"/>
        <v>0</v>
      </c>
      <c r="CB123" s="12">
        <f t="shared" ca="1" si="331"/>
        <v>0</v>
      </c>
      <c r="CC123" s="12">
        <f t="shared" ca="1" si="331"/>
        <v>0</v>
      </c>
      <c r="CD123" s="12">
        <f t="shared" ca="1" si="331"/>
        <v>0</v>
      </c>
      <c r="CE123" s="12">
        <f t="shared" ca="1" si="331"/>
        <v>0</v>
      </c>
      <c r="CF123" s="12">
        <f t="shared" ca="1" si="331"/>
        <v>0</v>
      </c>
      <c r="CG123" s="12">
        <f t="shared" ca="1" si="331"/>
        <v>0</v>
      </c>
      <c r="CH123" s="12">
        <f t="shared" ca="1" si="331"/>
        <v>0</v>
      </c>
      <c r="CI123" s="12">
        <f t="shared" ca="1" si="331"/>
        <v>0</v>
      </c>
      <c r="CJ123" s="12">
        <f t="shared" ca="1" si="331"/>
        <v>0</v>
      </c>
      <c r="CK123" s="12">
        <f t="shared" ca="1" si="331"/>
        <v>0</v>
      </c>
      <c r="CL123" s="12">
        <f t="shared" ca="1" si="331"/>
        <v>0</v>
      </c>
      <c r="CM123" s="12">
        <f t="shared" ca="1" si="331"/>
        <v>0</v>
      </c>
      <c r="CN123" s="12">
        <f t="shared" ca="1" si="331"/>
        <v>0</v>
      </c>
      <c r="CO123" s="12">
        <f t="shared" ca="1" si="331"/>
        <v>0</v>
      </c>
      <c r="CP123" s="12">
        <f t="shared" ca="1" si="331"/>
        <v>0</v>
      </c>
      <c r="CQ123" s="12">
        <f t="shared" ca="1" si="331"/>
        <v>0</v>
      </c>
      <c r="CR123" s="12">
        <f t="shared" ca="1" si="331"/>
        <v>0</v>
      </c>
      <c r="CS123" s="12">
        <f t="shared" ca="1" si="331"/>
        <v>0</v>
      </c>
      <c r="CT123" s="12">
        <f t="shared" ca="1" si="331"/>
        <v>0</v>
      </c>
      <c r="CU123" s="12">
        <f t="shared" ca="1" si="331"/>
        <v>0</v>
      </c>
      <c r="CV123" s="12">
        <f t="shared" ca="1" si="331"/>
        <v>0</v>
      </c>
      <c r="CW123" s="12">
        <f t="shared" ca="1" si="331"/>
        <v>0</v>
      </c>
      <c r="CX123" s="12">
        <f t="shared" ca="1" si="331"/>
        <v>0</v>
      </c>
      <c r="CY123" s="12">
        <f t="shared" ca="1" si="331"/>
        <v>0</v>
      </c>
      <c r="CZ123" s="12">
        <f t="shared" ca="1" si="331"/>
        <v>0</v>
      </c>
      <c r="DA123" s="12">
        <f t="shared" ca="1" si="331"/>
        <v>0</v>
      </c>
      <c r="DB123" s="12">
        <f t="shared" ca="1" si="331"/>
        <v>0</v>
      </c>
      <c r="DC123" s="12">
        <f t="shared" ca="1" si="331"/>
        <v>0</v>
      </c>
      <c r="DD123" s="12">
        <f t="shared" ca="1" si="331"/>
        <v>0</v>
      </c>
      <c r="DE123" s="12">
        <f t="shared" ca="1" si="331"/>
        <v>0</v>
      </c>
      <c r="DF123" s="12">
        <f t="shared" ca="1" si="331"/>
        <v>0</v>
      </c>
      <c r="DG123" s="12">
        <f t="shared" ca="1" si="331"/>
        <v>0</v>
      </c>
      <c r="DH123" s="12">
        <f t="shared" ca="1" si="331"/>
        <v>0</v>
      </c>
      <c r="DI123" s="12">
        <f t="shared" ca="1" si="331"/>
        <v>0</v>
      </c>
      <c r="DJ123" s="12">
        <f t="shared" ca="1" si="331"/>
        <v>0</v>
      </c>
      <c r="DK123" s="12">
        <f t="shared" ca="1" si="331"/>
        <v>0</v>
      </c>
      <c r="DL123" s="12">
        <f t="shared" ca="1" si="331"/>
        <v>0</v>
      </c>
      <c r="DM123" s="12">
        <f t="shared" ca="1" si="331"/>
        <v>0</v>
      </c>
      <c r="DN123" s="12">
        <f t="shared" ca="1" si="331"/>
        <v>0</v>
      </c>
      <c r="DO123" s="12">
        <f t="shared" ca="1" si="331"/>
        <v>0</v>
      </c>
      <c r="DP123" s="12">
        <f t="shared" ca="1" si="331"/>
        <v>0</v>
      </c>
      <c r="DQ123" s="12">
        <f t="shared" ca="1" si="331"/>
        <v>0</v>
      </c>
      <c r="DR123" s="12">
        <f t="shared" ca="1" si="331"/>
        <v>0</v>
      </c>
      <c r="DS123" s="12">
        <f t="shared" ca="1" si="331"/>
        <v>0</v>
      </c>
      <c r="DT123" s="12">
        <f t="shared" ca="1" si="331"/>
        <v>0</v>
      </c>
      <c r="DU123" s="12">
        <f t="shared" ca="1" si="331"/>
        <v>0</v>
      </c>
      <c r="DV123" s="12">
        <f t="shared" ca="1" si="331"/>
        <v>0</v>
      </c>
      <c r="DW123" s="12">
        <f t="shared" ca="1" si="331"/>
        <v>0</v>
      </c>
      <c r="DX123" s="12">
        <f t="shared" ca="1" si="331"/>
        <v>0</v>
      </c>
      <c r="DY123" s="12">
        <f t="shared" ca="1" si="331"/>
        <v>0</v>
      </c>
      <c r="DZ123" s="12">
        <f t="shared" ca="1" si="331"/>
        <v>0</v>
      </c>
      <c r="EA123" s="12">
        <f t="shared" ca="1" si="331"/>
        <v>0</v>
      </c>
      <c r="EB123" s="12">
        <f t="shared" ca="1" si="331"/>
        <v>0</v>
      </c>
      <c r="EC123" s="12">
        <f t="shared" ref="EC123:GJ123" ca="1" si="332" xml:space="preserve"> EC$117</f>
        <v>0</v>
      </c>
      <c r="ED123" s="12">
        <f t="shared" ca="1" si="332"/>
        <v>0</v>
      </c>
      <c r="EE123" s="12">
        <f t="shared" ca="1" si="332"/>
        <v>0</v>
      </c>
      <c r="EF123" s="12">
        <f t="shared" ca="1" si="332"/>
        <v>0</v>
      </c>
      <c r="EG123" s="12">
        <f t="shared" ca="1" si="332"/>
        <v>0</v>
      </c>
      <c r="EH123" s="12">
        <f t="shared" ca="1" si="332"/>
        <v>0</v>
      </c>
      <c r="EI123" s="12">
        <f t="shared" ca="1" si="332"/>
        <v>0</v>
      </c>
      <c r="EJ123" s="12">
        <f t="shared" ca="1" si="332"/>
        <v>0</v>
      </c>
      <c r="EK123" s="12">
        <f t="shared" ca="1" si="332"/>
        <v>0</v>
      </c>
      <c r="EL123" s="12">
        <f t="shared" ca="1" si="332"/>
        <v>0</v>
      </c>
      <c r="EM123" s="12">
        <f t="shared" ca="1" si="332"/>
        <v>0</v>
      </c>
      <c r="EN123" s="12">
        <f t="shared" ca="1" si="332"/>
        <v>0</v>
      </c>
      <c r="EO123" s="12">
        <f t="shared" ca="1" si="332"/>
        <v>0</v>
      </c>
      <c r="EP123" s="12">
        <f t="shared" ca="1" si="332"/>
        <v>0</v>
      </c>
      <c r="EQ123" s="12">
        <f t="shared" ca="1" si="332"/>
        <v>0</v>
      </c>
      <c r="ER123" s="12">
        <f t="shared" ca="1" si="332"/>
        <v>0</v>
      </c>
      <c r="ES123" s="12">
        <f t="shared" ca="1" si="332"/>
        <v>0</v>
      </c>
      <c r="ET123" s="12">
        <f t="shared" ca="1" si="332"/>
        <v>0</v>
      </c>
      <c r="EU123" s="12">
        <f t="shared" ca="1" si="332"/>
        <v>0</v>
      </c>
      <c r="EV123" s="12">
        <f t="shared" ca="1" si="332"/>
        <v>0</v>
      </c>
      <c r="EW123" s="12">
        <f t="shared" ca="1" si="332"/>
        <v>0</v>
      </c>
      <c r="EX123" s="12">
        <f t="shared" ca="1" si="332"/>
        <v>0</v>
      </c>
      <c r="EY123" s="12">
        <f t="shared" ca="1" si="332"/>
        <v>0</v>
      </c>
      <c r="EZ123" s="12">
        <f t="shared" ca="1" si="332"/>
        <v>0</v>
      </c>
      <c r="FA123" s="12">
        <f t="shared" ca="1" si="332"/>
        <v>0</v>
      </c>
      <c r="FB123" s="12">
        <f t="shared" ca="1" si="332"/>
        <v>0</v>
      </c>
      <c r="FC123" s="12">
        <f t="shared" ca="1" si="332"/>
        <v>0</v>
      </c>
      <c r="FD123" s="12">
        <f t="shared" ca="1" si="332"/>
        <v>0</v>
      </c>
      <c r="FE123" s="12">
        <f t="shared" ca="1" si="332"/>
        <v>0</v>
      </c>
      <c r="FF123" s="12">
        <f t="shared" ca="1" si="332"/>
        <v>0</v>
      </c>
      <c r="FG123" s="12">
        <f t="shared" ca="1" si="332"/>
        <v>0</v>
      </c>
      <c r="FH123" s="12">
        <f t="shared" ca="1" si="332"/>
        <v>0</v>
      </c>
      <c r="FI123" s="12">
        <f t="shared" ca="1" si="332"/>
        <v>0</v>
      </c>
      <c r="FJ123" s="12">
        <f t="shared" ca="1" si="332"/>
        <v>0</v>
      </c>
      <c r="FK123" s="12">
        <f t="shared" ca="1" si="332"/>
        <v>0</v>
      </c>
      <c r="FL123" s="12">
        <f t="shared" ca="1" si="332"/>
        <v>0</v>
      </c>
      <c r="FM123" s="12">
        <f t="shared" ca="1" si="332"/>
        <v>0</v>
      </c>
      <c r="FN123" s="12">
        <f t="shared" ca="1" si="332"/>
        <v>0</v>
      </c>
      <c r="FO123" s="12">
        <f t="shared" ca="1" si="332"/>
        <v>0</v>
      </c>
      <c r="FP123" s="12">
        <f t="shared" ca="1" si="332"/>
        <v>0</v>
      </c>
      <c r="FQ123" s="12">
        <f t="shared" ca="1" si="332"/>
        <v>0</v>
      </c>
      <c r="FR123" s="12">
        <f t="shared" ca="1" si="332"/>
        <v>0</v>
      </c>
      <c r="FS123" s="12">
        <f t="shared" ca="1" si="332"/>
        <v>0</v>
      </c>
      <c r="FT123" s="12">
        <f t="shared" ca="1" si="332"/>
        <v>0</v>
      </c>
      <c r="FU123" s="12">
        <f t="shared" ca="1" si="332"/>
        <v>0</v>
      </c>
      <c r="FV123" s="12">
        <f t="shared" ca="1" si="332"/>
        <v>0</v>
      </c>
      <c r="FW123" s="12">
        <f t="shared" ca="1" si="332"/>
        <v>0</v>
      </c>
      <c r="FX123" s="12">
        <f t="shared" ca="1" si="332"/>
        <v>0</v>
      </c>
      <c r="FY123" s="12">
        <f t="shared" ca="1" si="332"/>
        <v>0</v>
      </c>
      <c r="FZ123" s="12">
        <f t="shared" ca="1" si="332"/>
        <v>0</v>
      </c>
      <c r="GA123" s="12">
        <f t="shared" ca="1" si="332"/>
        <v>0</v>
      </c>
      <c r="GB123" s="12">
        <f t="shared" ca="1" si="332"/>
        <v>0</v>
      </c>
      <c r="GC123" s="12">
        <f t="shared" ca="1" si="332"/>
        <v>0</v>
      </c>
      <c r="GD123" s="12">
        <f t="shared" ca="1" si="332"/>
        <v>0</v>
      </c>
      <c r="GE123" s="12">
        <f t="shared" ca="1" si="332"/>
        <v>0</v>
      </c>
      <c r="GF123" s="12">
        <f t="shared" ca="1" si="332"/>
        <v>0</v>
      </c>
      <c r="GG123" s="12">
        <f t="shared" ca="1" si="332"/>
        <v>0</v>
      </c>
      <c r="GH123" s="12">
        <f t="shared" ca="1" si="332"/>
        <v>0</v>
      </c>
      <c r="GI123" s="12">
        <f t="shared" ca="1" si="332"/>
        <v>0</v>
      </c>
      <c r="GJ123" s="12">
        <f t="shared" ca="1" si="332"/>
        <v>0</v>
      </c>
    </row>
    <row r="124" spans="1:192" outlineLevel="1" x14ac:dyDescent="0.2">
      <c r="E124" s="12" t="s">
        <v>1245</v>
      </c>
      <c r="G124" s="12" t="str">
        <f xml:space="preserve"> SMU</f>
        <v>$ 000s</v>
      </c>
      <c r="H124" s="12">
        <f ca="1" xml:space="preserve"> SUM(J124:CV124)</f>
        <v>1511578.9716386094</v>
      </c>
      <c r="J124" s="12">
        <f t="shared" ref="J124:BU124" ca="1" si="333">- 1 * MIN(J123, 0)</f>
        <v>0</v>
      </c>
      <c r="K124" s="12">
        <f t="shared" ca="1" si="333"/>
        <v>0</v>
      </c>
      <c r="L124" s="12">
        <f t="shared" ca="1" si="333"/>
        <v>0</v>
      </c>
      <c r="M124" s="12">
        <f t="shared" ca="1" si="333"/>
        <v>0</v>
      </c>
      <c r="N124" s="12">
        <f t="shared" ca="1" si="333"/>
        <v>0</v>
      </c>
      <c r="O124" s="12">
        <f t="shared" ca="1" si="333"/>
        <v>41690.55932008558</v>
      </c>
      <c r="P124" s="12">
        <f t="shared" ca="1" si="333"/>
        <v>38453.105442950109</v>
      </c>
      <c r="Q124" s="12">
        <f t="shared" ca="1" si="333"/>
        <v>36150.529171152128</v>
      </c>
      <c r="R124" s="12">
        <f t="shared" ca="1" si="333"/>
        <v>33707.651519402942</v>
      </c>
      <c r="S124" s="12">
        <f t="shared" ca="1" si="333"/>
        <v>32007.874847765419</v>
      </c>
      <c r="T124" s="12">
        <f t="shared" ca="1" si="333"/>
        <v>30133.211508332548</v>
      </c>
      <c r="U124" s="12">
        <f t="shared" ca="1" si="333"/>
        <v>28941.570321236093</v>
      </c>
      <c r="V124" s="12">
        <f t="shared" ca="1" si="333"/>
        <v>27601.315434736156</v>
      </c>
      <c r="W124" s="12">
        <f t="shared" ca="1" si="333"/>
        <v>26791.462163464963</v>
      </c>
      <c r="X124" s="12">
        <f t="shared" ca="1" si="333"/>
        <v>25821.496187223576</v>
      </c>
      <c r="Y124" s="12">
        <f t="shared" ca="1" si="333"/>
        <v>25821.23916154819</v>
      </c>
      <c r="Z124" s="12">
        <f t="shared" ca="1" si="333"/>
        <v>25208.47825861564</v>
      </c>
      <c r="AA124" s="12">
        <f t="shared" ca="1" si="333"/>
        <v>25156.592887708946</v>
      </c>
      <c r="AB124" s="12">
        <f t="shared" ca="1" si="333"/>
        <v>24876.297245135676</v>
      </c>
      <c r="AC124" s="12">
        <f t="shared" ca="1" si="333"/>
        <v>25124.91357831861</v>
      </c>
      <c r="AD124" s="12">
        <f t="shared" ca="1" si="333"/>
        <v>25190.706808146821</v>
      </c>
      <c r="AE124" s="12">
        <f t="shared" ca="1" si="333"/>
        <v>25678.352882733856</v>
      </c>
      <c r="AF124" s="12">
        <f t="shared" ca="1" si="333"/>
        <v>25998.191071260357</v>
      </c>
      <c r="AG124" s="12">
        <f t="shared" ca="1" si="333"/>
        <v>26790.919946067839</v>
      </c>
      <c r="AH124" s="12">
        <f t="shared" ca="1" si="333"/>
        <v>27392.912804945499</v>
      </c>
      <c r="AI124" s="12">
        <f t="shared" ca="1" si="333"/>
        <v>28738.913895636051</v>
      </c>
      <c r="AJ124" s="12">
        <f t="shared" ca="1" si="333"/>
        <v>29607.081110712003</v>
      </c>
      <c r="AK124" s="12">
        <f t="shared" ca="1" si="333"/>
        <v>30917.628854932525</v>
      </c>
      <c r="AL124" s="12">
        <f t="shared" ca="1" si="333"/>
        <v>32099.712829417032</v>
      </c>
      <c r="AM124" s="12">
        <f t="shared" ca="1" si="333"/>
        <v>33655.79711295203</v>
      </c>
      <c r="AN124" s="12">
        <f t="shared" ca="1" si="333"/>
        <v>35116.479681155644</v>
      </c>
      <c r="AO124" s="12">
        <f t="shared" ca="1" si="333"/>
        <v>36983.51239394414</v>
      </c>
      <c r="AP124" s="12">
        <f t="shared" ca="1" si="333"/>
        <v>38763.073702258291</v>
      </c>
      <c r="AQ124" s="12">
        <f t="shared" ca="1" si="333"/>
        <v>40936.726446649976</v>
      </c>
      <c r="AR124" s="12">
        <f t="shared" ca="1" si="333"/>
        <v>43061.260758990291</v>
      </c>
      <c r="AS124" s="12">
        <f t="shared" ca="1" si="333"/>
        <v>45568.821273993526</v>
      </c>
      <c r="AT124" s="12">
        <f t="shared" ca="1" si="333"/>
        <v>48107.291795830701</v>
      </c>
      <c r="AU124" s="12">
        <f t="shared" ca="1" si="333"/>
        <v>51007.14083044116</v>
      </c>
      <c r="AV124" s="12">
        <f t="shared" ca="1" si="333"/>
        <v>53371.309733648362</v>
      </c>
      <c r="AW124" s="12">
        <f t="shared" ca="1" si="333"/>
        <v>56074.409890740986</v>
      </c>
      <c r="AX124" s="12">
        <f t="shared" ca="1" si="333"/>
        <v>58695.195958631535</v>
      </c>
      <c r="AY124" s="12">
        <f t="shared" ca="1" si="333"/>
        <v>61641.092403850795</v>
      </c>
      <c r="AZ124" s="12">
        <f t="shared" ca="1" si="333"/>
        <v>64631.593069655763</v>
      </c>
      <c r="BA124" s="12">
        <f t="shared" ca="1" si="333"/>
        <v>67968.904637338856</v>
      </c>
      <c r="BB124" s="12">
        <f t="shared" ca="1" si="333"/>
        <v>76095.644696998977</v>
      </c>
      <c r="BC124" s="12">
        <f t="shared" ca="1" si="333"/>
        <v>0</v>
      </c>
      <c r="BD124" s="12">
        <f t="shared" ca="1" si="333"/>
        <v>0</v>
      </c>
      <c r="BE124" s="12">
        <f t="shared" ca="1" si="333"/>
        <v>0</v>
      </c>
      <c r="BF124" s="12">
        <f t="shared" ca="1" si="333"/>
        <v>0</v>
      </c>
      <c r="BG124" s="12">
        <f t="shared" ca="1" si="333"/>
        <v>0</v>
      </c>
      <c r="BH124" s="12">
        <f t="shared" ca="1" si="333"/>
        <v>0</v>
      </c>
      <c r="BI124" s="12">
        <f t="shared" ca="1" si="333"/>
        <v>0</v>
      </c>
      <c r="BJ124" s="12">
        <f t="shared" ca="1" si="333"/>
        <v>0</v>
      </c>
      <c r="BK124" s="12">
        <f t="shared" ca="1" si="333"/>
        <v>0</v>
      </c>
      <c r="BL124" s="12">
        <f t="shared" ca="1" si="333"/>
        <v>0</v>
      </c>
      <c r="BM124" s="12">
        <f t="shared" ca="1" si="333"/>
        <v>0</v>
      </c>
      <c r="BN124" s="12">
        <f t="shared" ca="1" si="333"/>
        <v>0</v>
      </c>
      <c r="BO124" s="12">
        <f t="shared" ca="1" si="333"/>
        <v>0</v>
      </c>
      <c r="BP124" s="12">
        <f t="shared" ca="1" si="333"/>
        <v>0</v>
      </c>
      <c r="BQ124" s="12">
        <f t="shared" ca="1" si="333"/>
        <v>0</v>
      </c>
      <c r="BR124" s="12">
        <f t="shared" ca="1" si="333"/>
        <v>0</v>
      </c>
      <c r="BS124" s="12">
        <f t="shared" ca="1" si="333"/>
        <v>0</v>
      </c>
      <c r="BT124" s="12">
        <f t="shared" ca="1" si="333"/>
        <v>0</v>
      </c>
      <c r="BU124" s="12">
        <f t="shared" ca="1" si="333"/>
        <v>0</v>
      </c>
      <c r="BV124" s="12">
        <f t="shared" ref="BV124:CV124" ca="1" si="334">- 1 * MIN(BV123, 0)</f>
        <v>0</v>
      </c>
      <c r="BW124" s="12">
        <f t="shared" ca="1" si="334"/>
        <v>0</v>
      </c>
      <c r="BX124" s="12">
        <f t="shared" ca="1" si="334"/>
        <v>0</v>
      </c>
      <c r="BY124" s="12">
        <f t="shared" ca="1" si="334"/>
        <v>0</v>
      </c>
      <c r="BZ124" s="12">
        <f t="shared" ca="1" si="334"/>
        <v>0</v>
      </c>
      <c r="CA124" s="12">
        <f t="shared" ca="1" si="334"/>
        <v>0</v>
      </c>
      <c r="CB124" s="12">
        <f t="shared" ca="1" si="334"/>
        <v>0</v>
      </c>
      <c r="CC124" s="12">
        <f t="shared" ca="1" si="334"/>
        <v>0</v>
      </c>
      <c r="CD124" s="12">
        <f t="shared" ca="1" si="334"/>
        <v>0</v>
      </c>
      <c r="CE124" s="12">
        <f t="shared" ca="1" si="334"/>
        <v>0</v>
      </c>
      <c r="CF124" s="12">
        <f t="shared" ca="1" si="334"/>
        <v>0</v>
      </c>
      <c r="CG124" s="12">
        <f t="shared" ca="1" si="334"/>
        <v>0</v>
      </c>
      <c r="CH124" s="12">
        <f t="shared" ca="1" si="334"/>
        <v>0</v>
      </c>
      <c r="CI124" s="12">
        <f t="shared" ca="1" si="334"/>
        <v>0</v>
      </c>
      <c r="CJ124" s="12">
        <f t="shared" ca="1" si="334"/>
        <v>0</v>
      </c>
      <c r="CK124" s="12">
        <f t="shared" ca="1" si="334"/>
        <v>0</v>
      </c>
      <c r="CL124" s="12">
        <f t="shared" ca="1" si="334"/>
        <v>0</v>
      </c>
      <c r="CM124" s="12">
        <f t="shared" ca="1" si="334"/>
        <v>0</v>
      </c>
      <c r="CN124" s="12">
        <f t="shared" ca="1" si="334"/>
        <v>0</v>
      </c>
      <c r="CO124" s="12">
        <f t="shared" ca="1" si="334"/>
        <v>0</v>
      </c>
      <c r="CP124" s="12">
        <f t="shared" ca="1" si="334"/>
        <v>0</v>
      </c>
      <c r="CQ124" s="12">
        <f t="shared" ca="1" si="334"/>
        <v>0</v>
      </c>
      <c r="CR124" s="12">
        <f t="shared" ca="1" si="334"/>
        <v>0</v>
      </c>
      <c r="CS124" s="12">
        <f t="shared" ca="1" si="334"/>
        <v>0</v>
      </c>
      <c r="CT124" s="12">
        <f t="shared" ca="1" si="334"/>
        <v>0</v>
      </c>
      <c r="CU124" s="12">
        <f t="shared" ca="1" si="334"/>
        <v>0</v>
      </c>
      <c r="CV124" s="12">
        <f t="shared" ca="1" si="334"/>
        <v>0</v>
      </c>
    </row>
    <row r="125" spans="1:192" outlineLevel="1" x14ac:dyDescent="0.2"/>
    <row r="126" spans="1:192" outlineLevel="1" x14ac:dyDescent="0.2">
      <c r="E126" s="12" t="str">
        <f t="shared" ref="E126:AJ126" ca="1" si="335" xml:space="preserve"> E$121</f>
        <v>Taxable income - P99</v>
      </c>
      <c r="F126" s="12">
        <f t="shared" ca="1" si="335"/>
        <v>0</v>
      </c>
      <c r="G126" s="12" t="str">
        <f t="shared" ca="1" si="335"/>
        <v>$ 000s</v>
      </c>
      <c r="H126" s="12">
        <f t="shared" ca="1" si="335"/>
        <v>0</v>
      </c>
      <c r="I126" s="12">
        <f t="shared" ca="1" si="335"/>
        <v>0</v>
      </c>
      <c r="J126" s="12">
        <f t="shared" ca="1" si="335"/>
        <v>0</v>
      </c>
      <c r="K126" s="12">
        <f t="shared" ca="1" si="335"/>
        <v>0</v>
      </c>
      <c r="L126" s="12">
        <f t="shared" ca="1" si="335"/>
        <v>0</v>
      </c>
      <c r="M126" s="12">
        <f t="shared" ca="1" si="335"/>
        <v>0</v>
      </c>
      <c r="N126" s="12">
        <f t="shared" ca="1" si="335"/>
        <v>0</v>
      </c>
      <c r="O126" s="12">
        <f t="shared" ca="1" si="335"/>
        <v>0</v>
      </c>
      <c r="P126" s="12">
        <f t="shared" ca="1" si="335"/>
        <v>0</v>
      </c>
      <c r="Q126" s="12">
        <f t="shared" ca="1" si="335"/>
        <v>0</v>
      </c>
      <c r="R126" s="12">
        <f t="shared" ca="1" si="335"/>
        <v>0</v>
      </c>
      <c r="S126" s="12">
        <f t="shared" ca="1" si="335"/>
        <v>0</v>
      </c>
      <c r="T126" s="12">
        <f t="shared" ca="1" si="335"/>
        <v>0</v>
      </c>
      <c r="U126" s="12">
        <f t="shared" ca="1" si="335"/>
        <v>0</v>
      </c>
      <c r="V126" s="12">
        <f t="shared" ca="1" si="335"/>
        <v>0</v>
      </c>
      <c r="W126" s="12">
        <f t="shared" ca="1" si="335"/>
        <v>0</v>
      </c>
      <c r="X126" s="12">
        <f t="shared" ca="1" si="335"/>
        <v>0</v>
      </c>
      <c r="Y126" s="12">
        <f t="shared" ca="1" si="335"/>
        <v>0</v>
      </c>
      <c r="Z126" s="12">
        <f t="shared" ca="1" si="335"/>
        <v>0</v>
      </c>
      <c r="AA126" s="12">
        <f t="shared" ca="1" si="335"/>
        <v>0</v>
      </c>
      <c r="AB126" s="12">
        <f t="shared" ca="1" si="335"/>
        <v>0</v>
      </c>
      <c r="AC126" s="12">
        <f t="shared" ca="1" si="335"/>
        <v>0</v>
      </c>
      <c r="AD126" s="12">
        <f t="shared" ca="1" si="335"/>
        <v>0</v>
      </c>
      <c r="AE126" s="12">
        <f t="shared" ca="1" si="335"/>
        <v>0</v>
      </c>
      <c r="AF126" s="12">
        <f t="shared" ca="1" si="335"/>
        <v>0</v>
      </c>
      <c r="AG126" s="12">
        <f t="shared" ca="1" si="335"/>
        <v>0</v>
      </c>
      <c r="AH126" s="12">
        <f t="shared" ca="1" si="335"/>
        <v>0</v>
      </c>
      <c r="AI126" s="12">
        <f t="shared" ca="1" si="335"/>
        <v>0</v>
      </c>
      <c r="AJ126" s="12">
        <f t="shared" ca="1" si="335"/>
        <v>0</v>
      </c>
      <c r="AK126" s="12">
        <f t="shared" ref="AK126:BP126" ca="1" si="336" xml:space="preserve"> AK$121</f>
        <v>0</v>
      </c>
      <c r="AL126" s="12">
        <f t="shared" ca="1" si="336"/>
        <v>0</v>
      </c>
      <c r="AM126" s="12">
        <f t="shared" ca="1" si="336"/>
        <v>0</v>
      </c>
      <c r="AN126" s="12">
        <f t="shared" ca="1" si="336"/>
        <v>0</v>
      </c>
      <c r="AO126" s="12">
        <f t="shared" ca="1" si="336"/>
        <v>0</v>
      </c>
      <c r="AP126" s="12">
        <f t="shared" ca="1" si="336"/>
        <v>0</v>
      </c>
      <c r="AQ126" s="12">
        <f t="shared" ca="1" si="336"/>
        <v>0</v>
      </c>
      <c r="AR126" s="12">
        <f t="shared" ca="1" si="336"/>
        <v>0</v>
      </c>
      <c r="AS126" s="12">
        <f t="shared" ca="1" si="336"/>
        <v>0</v>
      </c>
      <c r="AT126" s="12">
        <f t="shared" ca="1" si="336"/>
        <v>0</v>
      </c>
      <c r="AU126" s="12">
        <f t="shared" ca="1" si="336"/>
        <v>0</v>
      </c>
      <c r="AV126" s="12">
        <f t="shared" ca="1" si="336"/>
        <v>0</v>
      </c>
      <c r="AW126" s="12">
        <f t="shared" ca="1" si="336"/>
        <v>0</v>
      </c>
      <c r="AX126" s="12">
        <f t="shared" ca="1" si="336"/>
        <v>0</v>
      </c>
      <c r="AY126" s="12">
        <f t="shared" ca="1" si="336"/>
        <v>0</v>
      </c>
      <c r="AZ126" s="12">
        <f t="shared" ca="1" si="336"/>
        <v>0</v>
      </c>
      <c r="BA126" s="12">
        <f t="shared" ca="1" si="336"/>
        <v>0</v>
      </c>
      <c r="BB126" s="12">
        <f t="shared" ca="1" si="336"/>
        <v>0</v>
      </c>
      <c r="BC126" s="12">
        <f t="shared" ca="1" si="336"/>
        <v>0</v>
      </c>
      <c r="BD126" s="12">
        <f t="shared" ca="1" si="336"/>
        <v>0</v>
      </c>
      <c r="BE126" s="12">
        <f t="shared" ca="1" si="336"/>
        <v>0</v>
      </c>
      <c r="BF126" s="12">
        <f t="shared" ca="1" si="336"/>
        <v>0</v>
      </c>
      <c r="BG126" s="12">
        <f t="shared" ca="1" si="336"/>
        <v>0</v>
      </c>
      <c r="BH126" s="12">
        <f t="shared" ca="1" si="336"/>
        <v>0</v>
      </c>
      <c r="BI126" s="12">
        <f t="shared" ca="1" si="336"/>
        <v>0</v>
      </c>
      <c r="BJ126" s="12">
        <f t="shared" ca="1" si="336"/>
        <v>0</v>
      </c>
      <c r="BK126" s="12">
        <f t="shared" ca="1" si="336"/>
        <v>0</v>
      </c>
      <c r="BL126" s="12">
        <f t="shared" ca="1" si="336"/>
        <v>0</v>
      </c>
      <c r="BM126" s="12">
        <f t="shared" ca="1" si="336"/>
        <v>0</v>
      </c>
      <c r="BN126" s="12">
        <f t="shared" ca="1" si="336"/>
        <v>0</v>
      </c>
      <c r="BO126" s="12">
        <f t="shared" ca="1" si="336"/>
        <v>0</v>
      </c>
      <c r="BP126" s="12">
        <f t="shared" ca="1" si="336"/>
        <v>0</v>
      </c>
      <c r="BQ126" s="12">
        <f t="shared" ref="BQ126:CV126" ca="1" si="337" xml:space="preserve"> BQ$121</f>
        <v>0</v>
      </c>
      <c r="BR126" s="12">
        <f t="shared" ca="1" si="337"/>
        <v>0</v>
      </c>
      <c r="BS126" s="12">
        <f t="shared" ca="1" si="337"/>
        <v>0</v>
      </c>
      <c r="BT126" s="12">
        <f t="shared" ca="1" si="337"/>
        <v>0</v>
      </c>
      <c r="BU126" s="12">
        <f t="shared" ca="1" si="337"/>
        <v>0</v>
      </c>
      <c r="BV126" s="12">
        <f t="shared" ca="1" si="337"/>
        <v>0</v>
      </c>
      <c r="BW126" s="12">
        <f t="shared" ca="1" si="337"/>
        <v>0</v>
      </c>
      <c r="BX126" s="12">
        <f t="shared" ca="1" si="337"/>
        <v>0</v>
      </c>
      <c r="BY126" s="12">
        <f t="shared" ca="1" si="337"/>
        <v>0</v>
      </c>
      <c r="BZ126" s="12">
        <f t="shared" ca="1" si="337"/>
        <v>0</v>
      </c>
      <c r="CA126" s="12">
        <f t="shared" ca="1" si="337"/>
        <v>0</v>
      </c>
      <c r="CB126" s="12">
        <f t="shared" ca="1" si="337"/>
        <v>0</v>
      </c>
      <c r="CC126" s="12">
        <f t="shared" ca="1" si="337"/>
        <v>0</v>
      </c>
      <c r="CD126" s="12">
        <f t="shared" ca="1" si="337"/>
        <v>0</v>
      </c>
      <c r="CE126" s="12">
        <f t="shared" ca="1" si="337"/>
        <v>0</v>
      </c>
      <c r="CF126" s="12">
        <f t="shared" ca="1" si="337"/>
        <v>0</v>
      </c>
      <c r="CG126" s="12">
        <f t="shared" ca="1" si="337"/>
        <v>0</v>
      </c>
      <c r="CH126" s="12">
        <f t="shared" ca="1" si="337"/>
        <v>0</v>
      </c>
      <c r="CI126" s="12">
        <f t="shared" ca="1" si="337"/>
        <v>0</v>
      </c>
      <c r="CJ126" s="12">
        <f t="shared" ca="1" si="337"/>
        <v>0</v>
      </c>
      <c r="CK126" s="12">
        <f t="shared" ca="1" si="337"/>
        <v>0</v>
      </c>
      <c r="CL126" s="12">
        <f t="shared" ca="1" si="337"/>
        <v>0</v>
      </c>
      <c r="CM126" s="12">
        <f t="shared" ca="1" si="337"/>
        <v>0</v>
      </c>
      <c r="CN126" s="12">
        <f t="shared" ca="1" si="337"/>
        <v>0</v>
      </c>
      <c r="CO126" s="12">
        <f t="shared" ca="1" si="337"/>
        <v>0</v>
      </c>
      <c r="CP126" s="12">
        <f t="shared" ca="1" si="337"/>
        <v>0</v>
      </c>
      <c r="CQ126" s="12">
        <f t="shared" ca="1" si="337"/>
        <v>0</v>
      </c>
      <c r="CR126" s="12">
        <f t="shared" ca="1" si="337"/>
        <v>0</v>
      </c>
      <c r="CS126" s="12">
        <f t="shared" ca="1" si="337"/>
        <v>0</v>
      </c>
      <c r="CT126" s="12">
        <f t="shared" ca="1" si="337"/>
        <v>0</v>
      </c>
      <c r="CU126" s="12">
        <f t="shared" ca="1" si="337"/>
        <v>0</v>
      </c>
      <c r="CV126" s="12">
        <f t="shared" ca="1" si="337"/>
        <v>0</v>
      </c>
      <c r="CW126" s="12">
        <f t="shared" ref="CW126:EB126" ca="1" si="338" xml:space="preserve"> CW$121</f>
        <v>0</v>
      </c>
      <c r="CX126" s="12">
        <f t="shared" ca="1" si="338"/>
        <v>0</v>
      </c>
      <c r="CY126" s="12">
        <f t="shared" ca="1" si="338"/>
        <v>0</v>
      </c>
      <c r="CZ126" s="12">
        <f t="shared" ca="1" si="338"/>
        <v>0</v>
      </c>
      <c r="DA126" s="12">
        <f t="shared" ca="1" si="338"/>
        <v>0</v>
      </c>
      <c r="DB126" s="12">
        <f t="shared" ca="1" si="338"/>
        <v>0</v>
      </c>
      <c r="DC126" s="12">
        <f t="shared" ca="1" si="338"/>
        <v>0</v>
      </c>
      <c r="DD126" s="12">
        <f t="shared" ca="1" si="338"/>
        <v>0</v>
      </c>
      <c r="DE126" s="12">
        <f t="shared" ca="1" si="338"/>
        <v>0</v>
      </c>
      <c r="DF126" s="12">
        <f t="shared" ca="1" si="338"/>
        <v>0</v>
      </c>
      <c r="DG126" s="12">
        <f t="shared" ca="1" si="338"/>
        <v>0</v>
      </c>
      <c r="DH126" s="12">
        <f t="shared" ca="1" si="338"/>
        <v>0</v>
      </c>
      <c r="DI126" s="12">
        <f t="shared" ca="1" si="338"/>
        <v>0</v>
      </c>
      <c r="DJ126" s="12">
        <f t="shared" ca="1" si="338"/>
        <v>0</v>
      </c>
      <c r="DK126" s="12">
        <f t="shared" ca="1" si="338"/>
        <v>0</v>
      </c>
      <c r="DL126" s="12">
        <f t="shared" ca="1" si="338"/>
        <v>0</v>
      </c>
      <c r="DM126" s="12">
        <f t="shared" ca="1" si="338"/>
        <v>0</v>
      </c>
      <c r="DN126" s="12">
        <f t="shared" ca="1" si="338"/>
        <v>0</v>
      </c>
      <c r="DO126" s="12">
        <f t="shared" ca="1" si="338"/>
        <v>0</v>
      </c>
      <c r="DP126" s="12">
        <f t="shared" ca="1" si="338"/>
        <v>0</v>
      </c>
      <c r="DQ126" s="12">
        <f t="shared" ca="1" si="338"/>
        <v>0</v>
      </c>
      <c r="DR126" s="12">
        <f t="shared" ca="1" si="338"/>
        <v>0</v>
      </c>
      <c r="DS126" s="12">
        <f t="shared" ca="1" si="338"/>
        <v>0</v>
      </c>
      <c r="DT126" s="12">
        <f t="shared" ca="1" si="338"/>
        <v>0</v>
      </c>
      <c r="DU126" s="12">
        <f t="shared" ca="1" si="338"/>
        <v>0</v>
      </c>
      <c r="DV126" s="12">
        <f t="shared" ca="1" si="338"/>
        <v>0</v>
      </c>
      <c r="DW126" s="12">
        <f t="shared" ca="1" si="338"/>
        <v>0</v>
      </c>
      <c r="DX126" s="12">
        <f t="shared" ca="1" si="338"/>
        <v>0</v>
      </c>
      <c r="DY126" s="12">
        <f t="shared" ca="1" si="338"/>
        <v>0</v>
      </c>
      <c r="DZ126" s="12">
        <f t="shared" ca="1" si="338"/>
        <v>0</v>
      </c>
      <c r="EA126" s="12">
        <f t="shared" ca="1" si="338"/>
        <v>0</v>
      </c>
      <c r="EB126" s="12">
        <f t="shared" ca="1" si="338"/>
        <v>0</v>
      </c>
      <c r="EC126" s="12">
        <f t="shared" ref="EC126:FH126" ca="1" si="339" xml:space="preserve"> EC$121</f>
        <v>0</v>
      </c>
      <c r="ED126" s="12">
        <f t="shared" ca="1" si="339"/>
        <v>0</v>
      </c>
      <c r="EE126" s="12">
        <f t="shared" ca="1" si="339"/>
        <v>0</v>
      </c>
      <c r="EF126" s="12">
        <f t="shared" ca="1" si="339"/>
        <v>0</v>
      </c>
      <c r="EG126" s="12">
        <f t="shared" ca="1" si="339"/>
        <v>0</v>
      </c>
      <c r="EH126" s="12">
        <f t="shared" ca="1" si="339"/>
        <v>0</v>
      </c>
      <c r="EI126" s="12">
        <f t="shared" ca="1" si="339"/>
        <v>0</v>
      </c>
      <c r="EJ126" s="12">
        <f t="shared" ca="1" si="339"/>
        <v>0</v>
      </c>
      <c r="EK126" s="12">
        <f t="shared" ca="1" si="339"/>
        <v>0</v>
      </c>
      <c r="EL126" s="12">
        <f t="shared" ca="1" si="339"/>
        <v>0</v>
      </c>
      <c r="EM126" s="12">
        <f t="shared" ca="1" si="339"/>
        <v>0</v>
      </c>
      <c r="EN126" s="12">
        <f t="shared" ca="1" si="339"/>
        <v>0</v>
      </c>
      <c r="EO126" s="12">
        <f t="shared" ca="1" si="339"/>
        <v>0</v>
      </c>
      <c r="EP126" s="12">
        <f t="shared" ca="1" si="339"/>
        <v>0</v>
      </c>
      <c r="EQ126" s="12">
        <f t="shared" ca="1" si="339"/>
        <v>0</v>
      </c>
      <c r="ER126" s="12">
        <f t="shared" ca="1" si="339"/>
        <v>0</v>
      </c>
      <c r="ES126" s="12">
        <f t="shared" ca="1" si="339"/>
        <v>0</v>
      </c>
      <c r="ET126" s="12">
        <f t="shared" ca="1" si="339"/>
        <v>0</v>
      </c>
      <c r="EU126" s="12">
        <f t="shared" ca="1" si="339"/>
        <v>0</v>
      </c>
      <c r="EV126" s="12">
        <f t="shared" ca="1" si="339"/>
        <v>0</v>
      </c>
      <c r="EW126" s="12">
        <f t="shared" ca="1" si="339"/>
        <v>0</v>
      </c>
      <c r="EX126" s="12">
        <f t="shared" ca="1" si="339"/>
        <v>0</v>
      </c>
      <c r="EY126" s="12">
        <f t="shared" ca="1" si="339"/>
        <v>0</v>
      </c>
      <c r="EZ126" s="12">
        <f t="shared" ca="1" si="339"/>
        <v>0</v>
      </c>
      <c r="FA126" s="12">
        <f t="shared" ca="1" si="339"/>
        <v>0</v>
      </c>
      <c r="FB126" s="12">
        <f t="shared" ca="1" si="339"/>
        <v>0</v>
      </c>
      <c r="FC126" s="12">
        <f t="shared" ca="1" si="339"/>
        <v>0</v>
      </c>
      <c r="FD126" s="12">
        <f t="shared" ca="1" si="339"/>
        <v>0</v>
      </c>
      <c r="FE126" s="12">
        <f t="shared" ca="1" si="339"/>
        <v>0</v>
      </c>
      <c r="FF126" s="12">
        <f t="shared" ca="1" si="339"/>
        <v>0</v>
      </c>
      <c r="FG126" s="12">
        <f t="shared" ca="1" si="339"/>
        <v>0</v>
      </c>
      <c r="FH126" s="12">
        <f t="shared" ca="1" si="339"/>
        <v>0</v>
      </c>
      <c r="FI126" s="12">
        <f t="shared" ref="FI126:GJ126" ca="1" si="340" xml:space="preserve"> FI$121</f>
        <v>0</v>
      </c>
      <c r="FJ126" s="12">
        <f t="shared" ca="1" si="340"/>
        <v>0</v>
      </c>
      <c r="FK126" s="12">
        <f t="shared" ca="1" si="340"/>
        <v>0</v>
      </c>
      <c r="FL126" s="12">
        <f t="shared" ca="1" si="340"/>
        <v>0</v>
      </c>
      <c r="FM126" s="12">
        <f t="shared" ca="1" si="340"/>
        <v>0</v>
      </c>
      <c r="FN126" s="12">
        <f t="shared" ca="1" si="340"/>
        <v>0</v>
      </c>
      <c r="FO126" s="12">
        <f t="shared" ca="1" si="340"/>
        <v>0</v>
      </c>
      <c r="FP126" s="12">
        <f t="shared" ca="1" si="340"/>
        <v>0</v>
      </c>
      <c r="FQ126" s="12">
        <f t="shared" ca="1" si="340"/>
        <v>0</v>
      </c>
      <c r="FR126" s="12">
        <f t="shared" ca="1" si="340"/>
        <v>0</v>
      </c>
      <c r="FS126" s="12">
        <f t="shared" ca="1" si="340"/>
        <v>0</v>
      </c>
      <c r="FT126" s="12">
        <f t="shared" ca="1" si="340"/>
        <v>0</v>
      </c>
      <c r="FU126" s="12">
        <f t="shared" ca="1" si="340"/>
        <v>0</v>
      </c>
      <c r="FV126" s="12">
        <f t="shared" ca="1" si="340"/>
        <v>0</v>
      </c>
      <c r="FW126" s="12">
        <f t="shared" ca="1" si="340"/>
        <v>0</v>
      </c>
      <c r="FX126" s="12">
        <f t="shared" ca="1" si="340"/>
        <v>0</v>
      </c>
      <c r="FY126" s="12">
        <f t="shared" ca="1" si="340"/>
        <v>0</v>
      </c>
      <c r="FZ126" s="12">
        <f t="shared" ca="1" si="340"/>
        <v>0</v>
      </c>
      <c r="GA126" s="12">
        <f t="shared" ca="1" si="340"/>
        <v>0</v>
      </c>
      <c r="GB126" s="12">
        <f t="shared" ca="1" si="340"/>
        <v>0</v>
      </c>
      <c r="GC126" s="12">
        <f t="shared" ca="1" si="340"/>
        <v>0</v>
      </c>
      <c r="GD126" s="12">
        <f t="shared" ca="1" si="340"/>
        <v>0</v>
      </c>
      <c r="GE126" s="12">
        <f t="shared" ca="1" si="340"/>
        <v>0</v>
      </c>
      <c r="GF126" s="12">
        <f t="shared" ca="1" si="340"/>
        <v>0</v>
      </c>
      <c r="GG126" s="12">
        <f t="shared" ca="1" si="340"/>
        <v>0</v>
      </c>
      <c r="GH126" s="12">
        <f t="shared" ca="1" si="340"/>
        <v>0</v>
      </c>
      <c r="GI126" s="12">
        <f t="shared" ca="1" si="340"/>
        <v>0</v>
      </c>
      <c r="GJ126" s="12">
        <f t="shared" ca="1" si="340"/>
        <v>0</v>
      </c>
    </row>
    <row r="127" spans="1:192" outlineLevel="1" x14ac:dyDescent="0.2">
      <c r="E127" s="12" t="str">
        <f t="shared" ref="E127:AJ127" ca="1" si="341" xml:space="preserve"> E$135</f>
        <v>Tax losses carried forward balance - P99 BEG</v>
      </c>
      <c r="F127" s="12">
        <f t="shared" ca="1" si="341"/>
        <v>0</v>
      </c>
      <c r="G127" s="12" t="str">
        <f t="shared" ca="1" si="341"/>
        <v>$ 000s</v>
      </c>
      <c r="H127" s="12">
        <f t="shared" ca="1" si="341"/>
        <v>0</v>
      </c>
      <c r="I127" s="12">
        <f t="shared" ca="1" si="341"/>
        <v>0</v>
      </c>
      <c r="J127" s="12">
        <f t="shared" ca="1" si="341"/>
        <v>0</v>
      </c>
      <c r="K127" s="12">
        <f t="shared" ca="1" si="341"/>
        <v>0</v>
      </c>
      <c r="L127" s="12">
        <f t="shared" ca="1" si="341"/>
        <v>0</v>
      </c>
      <c r="M127" s="12">
        <f t="shared" ca="1" si="341"/>
        <v>0</v>
      </c>
      <c r="N127" s="12">
        <f t="shared" ca="1" si="341"/>
        <v>0</v>
      </c>
      <c r="O127" s="12">
        <f t="shared" ca="1" si="341"/>
        <v>0</v>
      </c>
      <c r="P127" s="12">
        <f t="shared" ca="1" si="341"/>
        <v>41690.55932008558</v>
      </c>
      <c r="Q127" s="12">
        <f t="shared" ca="1" si="341"/>
        <v>80143.664763035689</v>
      </c>
      <c r="R127" s="12">
        <f t="shared" ca="1" si="341"/>
        <v>116294.19393418782</v>
      </c>
      <c r="S127" s="12">
        <f t="shared" ca="1" si="341"/>
        <v>150001.84545359077</v>
      </c>
      <c r="T127" s="12">
        <f t="shared" ca="1" si="341"/>
        <v>182009.7203013562</v>
      </c>
      <c r="U127" s="12">
        <f t="shared" ca="1" si="341"/>
        <v>212142.93180968874</v>
      </c>
      <c r="V127" s="12">
        <f t="shared" ca="1" si="341"/>
        <v>241084.50213092484</v>
      </c>
      <c r="W127" s="12">
        <f t="shared" ca="1" si="341"/>
        <v>268685.81756566098</v>
      </c>
      <c r="X127" s="12">
        <f t="shared" ca="1" si="341"/>
        <v>295477.27972912596</v>
      </c>
      <c r="Y127" s="12">
        <f t="shared" ca="1" si="341"/>
        <v>321298.77591634955</v>
      </c>
      <c r="Z127" s="12">
        <f t="shared" ca="1" si="341"/>
        <v>347120.01507789775</v>
      </c>
      <c r="AA127" s="12">
        <f t="shared" ca="1" si="341"/>
        <v>372328.49333651341</v>
      </c>
      <c r="AB127" s="12">
        <f t="shared" ca="1" si="341"/>
        <v>397485.08622422232</v>
      </c>
      <c r="AC127" s="12">
        <f t="shared" ca="1" si="341"/>
        <v>422361.38346935797</v>
      </c>
      <c r="AD127" s="12">
        <f t="shared" ca="1" si="341"/>
        <v>447486.29704767658</v>
      </c>
      <c r="AE127" s="12">
        <f t="shared" ca="1" si="341"/>
        <v>472677.00385582342</v>
      </c>
      <c r="AF127" s="12">
        <f t="shared" ca="1" si="341"/>
        <v>498355.35673855728</v>
      </c>
      <c r="AG127" s="12">
        <f t="shared" ca="1" si="341"/>
        <v>524353.5478098176</v>
      </c>
      <c r="AH127" s="12">
        <f t="shared" ca="1" si="341"/>
        <v>551144.46775588545</v>
      </c>
      <c r="AI127" s="12">
        <f t="shared" ca="1" si="341"/>
        <v>578537.38056083093</v>
      </c>
      <c r="AJ127" s="12">
        <f t="shared" ca="1" si="341"/>
        <v>607276.29445646703</v>
      </c>
      <c r="AK127" s="12">
        <f t="shared" ref="AK127:BP127" ca="1" si="342" xml:space="preserve"> AK$135</f>
        <v>636883.37556717906</v>
      </c>
      <c r="AL127" s="12">
        <f t="shared" ca="1" si="342"/>
        <v>667801.00442211155</v>
      </c>
      <c r="AM127" s="12">
        <f t="shared" ca="1" si="342"/>
        <v>699900.71725152864</v>
      </c>
      <c r="AN127" s="12">
        <f t="shared" ca="1" si="342"/>
        <v>733556.51436448062</v>
      </c>
      <c r="AO127" s="12">
        <f t="shared" ca="1" si="342"/>
        <v>768672.99404563627</v>
      </c>
      <c r="AP127" s="12">
        <f t="shared" ca="1" si="342"/>
        <v>805656.50643958035</v>
      </c>
      <c r="AQ127" s="12">
        <f t="shared" ca="1" si="342"/>
        <v>844419.58014183864</v>
      </c>
      <c r="AR127" s="12">
        <f t="shared" ca="1" si="342"/>
        <v>885356.30658848863</v>
      </c>
      <c r="AS127" s="12">
        <f t="shared" ca="1" si="342"/>
        <v>928417.56734747894</v>
      </c>
      <c r="AT127" s="12">
        <f t="shared" ca="1" si="342"/>
        <v>973986.38862147252</v>
      </c>
      <c r="AU127" s="12">
        <f t="shared" ca="1" si="342"/>
        <v>1022093.6804173032</v>
      </c>
      <c r="AV127" s="12">
        <f t="shared" ca="1" si="342"/>
        <v>1073100.8212477444</v>
      </c>
      <c r="AW127" s="12">
        <f t="shared" ca="1" si="342"/>
        <v>1126472.1309813927</v>
      </c>
      <c r="AX127" s="12">
        <f t="shared" ca="1" si="342"/>
        <v>1182546.5408721336</v>
      </c>
      <c r="AY127" s="12">
        <f t="shared" ca="1" si="342"/>
        <v>1241241.7368307651</v>
      </c>
      <c r="AZ127" s="12">
        <f t="shared" ca="1" si="342"/>
        <v>1302882.8292346159</v>
      </c>
      <c r="BA127" s="12">
        <f t="shared" ca="1" si="342"/>
        <v>1367514.4223042717</v>
      </c>
      <c r="BB127" s="12">
        <f t="shared" ca="1" si="342"/>
        <v>1435483.3269416105</v>
      </c>
      <c r="BC127" s="12">
        <f t="shared" ca="1" si="342"/>
        <v>1511578.9716386094</v>
      </c>
      <c r="BD127" s="12">
        <f t="shared" ca="1" si="342"/>
        <v>1511578.9716386094</v>
      </c>
      <c r="BE127" s="12">
        <f t="shared" ca="1" si="342"/>
        <v>1511578.9716386094</v>
      </c>
      <c r="BF127" s="12">
        <f t="shared" ca="1" si="342"/>
        <v>1511578.9716386094</v>
      </c>
      <c r="BG127" s="12">
        <f t="shared" ca="1" si="342"/>
        <v>1511578.9716386094</v>
      </c>
      <c r="BH127" s="12">
        <f t="shared" ca="1" si="342"/>
        <v>1511578.9716386094</v>
      </c>
      <c r="BI127" s="12">
        <f t="shared" ca="1" si="342"/>
        <v>1511578.9716386094</v>
      </c>
      <c r="BJ127" s="12">
        <f t="shared" ca="1" si="342"/>
        <v>1511578.9716386094</v>
      </c>
      <c r="BK127" s="12">
        <f t="shared" ca="1" si="342"/>
        <v>1511578.9716386094</v>
      </c>
      <c r="BL127" s="12">
        <f t="shared" ca="1" si="342"/>
        <v>1511578.9716386094</v>
      </c>
      <c r="BM127" s="12">
        <f t="shared" ca="1" si="342"/>
        <v>1511578.9716386094</v>
      </c>
      <c r="BN127" s="12">
        <f t="shared" ca="1" si="342"/>
        <v>1511578.9716386094</v>
      </c>
      <c r="BO127" s="12">
        <f t="shared" ca="1" si="342"/>
        <v>1511578.9716386094</v>
      </c>
      <c r="BP127" s="12">
        <f t="shared" ca="1" si="342"/>
        <v>1511578.9716386094</v>
      </c>
      <c r="BQ127" s="12">
        <f t="shared" ref="BQ127:CV127" ca="1" si="343" xml:space="preserve"> BQ$135</f>
        <v>1511578.9716386094</v>
      </c>
      <c r="BR127" s="12">
        <f t="shared" ca="1" si="343"/>
        <v>1511578.9716386094</v>
      </c>
      <c r="BS127" s="12">
        <f t="shared" ca="1" si="343"/>
        <v>1511578.9716386094</v>
      </c>
      <c r="BT127" s="12">
        <f t="shared" ca="1" si="343"/>
        <v>1511578.9716386094</v>
      </c>
      <c r="BU127" s="12">
        <f t="shared" ca="1" si="343"/>
        <v>1511578.9716386094</v>
      </c>
      <c r="BV127" s="12">
        <f t="shared" ca="1" si="343"/>
        <v>1511578.9716386094</v>
      </c>
      <c r="BW127" s="12">
        <f t="shared" ca="1" si="343"/>
        <v>1511578.9716386094</v>
      </c>
      <c r="BX127" s="12">
        <f t="shared" ca="1" si="343"/>
        <v>1511578.9716386094</v>
      </c>
      <c r="BY127" s="12">
        <f t="shared" ca="1" si="343"/>
        <v>1511578.9716386094</v>
      </c>
      <c r="BZ127" s="12">
        <f t="shared" ca="1" si="343"/>
        <v>1511578.9716386094</v>
      </c>
      <c r="CA127" s="12">
        <f t="shared" ca="1" si="343"/>
        <v>1511578.9716386094</v>
      </c>
      <c r="CB127" s="12">
        <f t="shared" ca="1" si="343"/>
        <v>1511578.9716386094</v>
      </c>
      <c r="CC127" s="12">
        <f t="shared" ca="1" si="343"/>
        <v>1511578.9716386094</v>
      </c>
      <c r="CD127" s="12">
        <f t="shared" ca="1" si="343"/>
        <v>1511578.9716386094</v>
      </c>
      <c r="CE127" s="12">
        <f t="shared" ca="1" si="343"/>
        <v>1511578.9716386094</v>
      </c>
      <c r="CF127" s="12">
        <f t="shared" ca="1" si="343"/>
        <v>1511578.9716386094</v>
      </c>
      <c r="CG127" s="12">
        <f t="shared" ca="1" si="343"/>
        <v>1511578.9716386094</v>
      </c>
      <c r="CH127" s="12">
        <f t="shared" ca="1" si="343"/>
        <v>1511578.9716386094</v>
      </c>
      <c r="CI127" s="12">
        <f t="shared" ca="1" si="343"/>
        <v>1511578.9716386094</v>
      </c>
      <c r="CJ127" s="12">
        <f t="shared" ca="1" si="343"/>
        <v>1511578.9716386094</v>
      </c>
      <c r="CK127" s="12">
        <f t="shared" ca="1" si="343"/>
        <v>1511578.9716386094</v>
      </c>
      <c r="CL127" s="12">
        <f t="shared" ca="1" si="343"/>
        <v>1511578.9716386094</v>
      </c>
      <c r="CM127" s="12">
        <f t="shared" ca="1" si="343"/>
        <v>1511578.9716386094</v>
      </c>
      <c r="CN127" s="12">
        <f t="shared" ca="1" si="343"/>
        <v>1511578.9716386094</v>
      </c>
      <c r="CO127" s="12">
        <f t="shared" ca="1" si="343"/>
        <v>1511578.9716386094</v>
      </c>
      <c r="CP127" s="12">
        <f t="shared" ca="1" si="343"/>
        <v>1511578.9716386094</v>
      </c>
      <c r="CQ127" s="12">
        <f t="shared" ca="1" si="343"/>
        <v>1511578.9716386094</v>
      </c>
      <c r="CR127" s="12">
        <f t="shared" ca="1" si="343"/>
        <v>1511578.9716386094</v>
      </c>
      <c r="CS127" s="12">
        <f t="shared" ca="1" si="343"/>
        <v>1511578.9716386094</v>
      </c>
      <c r="CT127" s="12">
        <f t="shared" ca="1" si="343"/>
        <v>1511578.9716386094</v>
      </c>
      <c r="CU127" s="12">
        <f t="shared" ca="1" si="343"/>
        <v>1511578.9716386094</v>
      </c>
      <c r="CV127" s="12">
        <f t="shared" ca="1" si="343"/>
        <v>1511578.9716386094</v>
      </c>
      <c r="CW127" s="12">
        <f t="shared" ref="CW127:EB127" ca="1" si="344" xml:space="preserve"> CW$135</f>
        <v>0</v>
      </c>
      <c r="CX127" s="12">
        <f t="shared" ca="1" si="344"/>
        <v>0</v>
      </c>
      <c r="CY127" s="12">
        <f t="shared" ca="1" si="344"/>
        <v>0</v>
      </c>
      <c r="CZ127" s="12">
        <f t="shared" ca="1" si="344"/>
        <v>0</v>
      </c>
      <c r="DA127" s="12">
        <f t="shared" ca="1" si="344"/>
        <v>0</v>
      </c>
      <c r="DB127" s="12">
        <f t="shared" ca="1" si="344"/>
        <v>0</v>
      </c>
      <c r="DC127" s="12">
        <f t="shared" ca="1" si="344"/>
        <v>0</v>
      </c>
      <c r="DD127" s="12">
        <f t="shared" ca="1" si="344"/>
        <v>0</v>
      </c>
      <c r="DE127" s="12">
        <f t="shared" ca="1" si="344"/>
        <v>0</v>
      </c>
      <c r="DF127" s="12">
        <f t="shared" ca="1" si="344"/>
        <v>0</v>
      </c>
      <c r="DG127" s="12">
        <f t="shared" ca="1" si="344"/>
        <v>0</v>
      </c>
      <c r="DH127" s="12">
        <f t="shared" ca="1" si="344"/>
        <v>0</v>
      </c>
      <c r="DI127" s="12">
        <f t="shared" ca="1" si="344"/>
        <v>0</v>
      </c>
      <c r="DJ127" s="12">
        <f t="shared" ca="1" si="344"/>
        <v>0</v>
      </c>
      <c r="DK127" s="12">
        <f t="shared" ca="1" si="344"/>
        <v>0</v>
      </c>
      <c r="DL127" s="12">
        <f t="shared" ca="1" si="344"/>
        <v>0</v>
      </c>
      <c r="DM127" s="12">
        <f t="shared" ca="1" si="344"/>
        <v>0</v>
      </c>
      <c r="DN127" s="12">
        <f t="shared" ca="1" si="344"/>
        <v>0</v>
      </c>
      <c r="DO127" s="12">
        <f t="shared" ca="1" si="344"/>
        <v>0</v>
      </c>
      <c r="DP127" s="12">
        <f t="shared" ca="1" si="344"/>
        <v>0</v>
      </c>
      <c r="DQ127" s="12">
        <f t="shared" ca="1" si="344"/>
        <v>0</v>
      </c>
      <c r="DR127" s="12">
        <f t="shared" ca="1" si="344"/>
        <v>0</v>
      </c>
      <c r="DS127" s="12">
        <f t="shared" ca="1" si="344"/>
        <v>0</v>
      </c>
      <c r="DT127" s="12">
        <f t="shared" ca="1" si="344"/>
        <v>0</v>
      </c>
      <c r="DU127" s="12">
        <f t="shared" ca="1" si="344"/>
        <v>0</v>
      </c>
      <c r="DV127" s="12">
        <f t="shared" ca="1" si="344"/>
        <v>0</v>
      </c>
      <c r="DW127" s="12">
        <f t="shared" ca="1" si="344"/>
        <v>0</v>
      </c>
      <c r="DX127" s="12">
        <f t="shared" ca="1" si="344"/>
        <v>0</v>
      </c>
      <c r="DY127" s="12">
        <f t="shared" ca="1" si="344"/>
        <v>0</v>
      </c>
      <c r="DZ127" s="12">
        <f t="shared" ca="1" si="344"/>
        <v>0</v>
      </c>
      <c r="EA127" s="12">
        <f t="shared" ca="1" si="344"/>
        <v>0</v>
      </c>
      <c r="EB127" s="12">
        <f t="shared" ca="1" si="344"/>
        <v>0</v>
      </c>
      <c r="EC127" s="12">
        <f t="shared" ref="EC127:FH127" ca="1" si="345" xml:space="preserve"> EC$135</f>
        <v>0</v>
      </c>
      <c r="ED127" s="12">
        <f t="shared" ca="1" si="345"/>
        <v>0</v>
      </c>
      <c r="EE127" s="12">
        <f t="shared" ca="1" si="345"/>
        <v>0</v>
      </c>
      <c r="EF127" s="12">
        <f t="shared" ca="1" si="345"/>
        <v>0</v>
      </c>
      <c r="EG127" s="12">
        <f t="shared" ca="1" si="345"/>
        <v>0</v>
      </c>
      <c r="EH127" s="12">
        <f t="shared" ca="1" si="345"/>
        <v>0</v>
      </c>
      <c r="EI127" s="12">
        <f t="shared" ca="1" si="345"/>
        <v>0</v>
      </c>
      <c r="EJ127" s="12">
        <f t="shared" ca="1" si="345"/>
        <v>0</v>
      </c>
      <c r="EK127" s="12">
        <f t="shared" ca="1" si="345"/>
        <v>0</v>
      </c>
      <c r="EL127" s="12">
        <f t="shared" ca="1" si="345"/>
        <v>0</v>
      </c>
      <c r="EM127" s="12">
        <f t="shared" ca="1" si="345"/>
        <v>0</v>
      </c>
      <c r="EN127" s="12">
        <f t="shared" ca="1" si="345"/>
        <v>0</v>
      </c>
      <c r="EO127" s="12">
        <f t="shared" ca="1" si="345"/>
        <v>0</v>
      </c>
      <c r="EP127" s="12">
        <f t="shared" ca="1" si="345"/>
        <v>0</v>
      </c>
      <c r="EQ127" s="12">
        <f t="shared" ca="1" si="345"/>
        <v>0</v>
      </c>
      <c r="ER127" s="12">
        <f t="shared" ca="1" si="345"/>
        <v>0</v>
      </c>
      <c r="ES127" s="12">
        <f t="shared" ca="1" si="345"/>
        <v>0</v>
      </c>
      <c r="ET127" s="12">
        <f t="shared" ca="1" si="345"/>
        <v>0</v>
      </c>
      <c r="EU127" s="12">
        <f t="shared" ca="1" si="345"/>
        <v>0</v>
      </c>
      <c r="EV127" s="12">
        <f t="shared" ca="1" si="345"/>
        <v>0</v>
      </c>
      <c r="EW127" s="12">
        <f t="shared" ca="1" si="345"/>
        <v>0</v>
      </c>
      <c r="EX127" s="12">
        <f t="shared" ca="1" si="345"/>
        <v>0</v>
      </c>
      <c r="EY127" s="12">
        <f t="shared" ca="1" si="345"/>
        <v>0</v>
      </c>
      <c r="EZ127" s="12">
        <f t="shared" ca="1" si="345"/>
        <v>0</v>
      </c>
      <c r="FA127" s="12">
        <f t="shared" ca="1" si="345"/>
        <v>0</v>
      </c>
      <c r="FB127" s="12">
        <f t="shared" ca="1" si="345"/>
        <v>0</v>
      </c>
      <c r="FC127" s="12">
        <f t="shared" ca="1" si="345"/>
        <v>0</v>
      </c>
      <c r="FD127" s="12">
        <f t="shared" ca="1" si="345"/>
        <v>0</v>
      </c>
      <c r="FE127" s="12">
        <f t="shared" ca="1" si="345"/>
        <v>0</v>
      </c>
      <c r="FF127" s="12">
        <f t="shared" ca="1" si="345"/>
        <v>0</v>
      </c>
      <c r="FG127" s="12">
        <f t="shared" ca="1" si="345"/>
        <v>0</v>
      </c>
      <c r="FH127" s="12">
        <f t="shared" ca="1" si="345"/>
        <v>0</v>
      </c>
      <c r="FI127" s="12">
        <f t="shared" ref="FI127:GJ127" ca="1" si="346" xml:space="preserve"> FI$135</f>
        <v>0</v>
      </c>
      <c r="FJ127" s="12">
        <f t="shared" ca="1" si="346"/>
        <v>0</v>
      </c>
      <c r="FK127" s="12">
        <f t="shared" ca="1" si="346"/>
        <v>0</v>
      </c>
      <c r="FL127" s="12">
        <f t="shared" ca="1" si="346"/>
        <v>0</v>
      </c>
      <c r="FM127" s="12">
        <f t="shared" ca="1" si="346"/>
        <v>0</v>
      </c>
      <c r="FN127" s="12">
        <f t="shared" ca="1" si="346"/>
        <v>0</v>
      </c>
      <c r="FO127" s="12">
        <f t="shared" ca="1" si="346"/>
        <v>0</v>
      </c>
      <c r="FP127" s="12">
        <f t="shared" ca="1" si="346"/>
        <v>0</v>
      </c>
      <c r="FQ127" s="12">
        <f t="shared" ca="1" si="346"/>
        <v>0</v>
      </c>
      <c r="FR127" s="12">
        <f t="shared" ca="1" si="346"/>
        <v>0</v>
      </c>
      <c r="FS127" s="12">
        <f t="shared" ca="1" si="346"/>
        <v>0</v>
      </c>
      <c r="FT127" s="12">
        <f t="shared" ca="1" si="346"/>
        <v>0</v>
      </c>
      <c r="FU127" s="12">
        <f t="shared" ca="1" si="346"/>
        <v>0</v>
      </c>
      <c r="FV127" s="12">
        <f t="shared" ca="1" si="346"/>
        <v>0</v>
      </c>
      <c r="FW127" s="12">
        <f t="shared" ca="1" si="346"/>
        <v>0</v>
      </c>
      <c r="FX127" s="12">
        <f t="shared" ca="1" si="346"/>
        <v>0</v>
      </c>
      <c r="FY127" s="12">
        <f t="shared" ca="1" si="346"/>
        <v>0</v>
      </c>
      <c r="FZ127" s="12">
        <f t="shared" ca="1" si="346"/>
        <v>0</v>
      </c>
      <c r="GA127" s="12">
        <f t="shared" ca="1" si="346"/>
        <v>0</v>
      </c>
      <c r="GB127" s="12">
        <f t="shared" ca="1" si="346"/>
        <v>0</v>
      </c>
      <c r="GC127" s="12">
        <f t="shared" ca="1" si="346"/>
        <v>0</v>
      </c>
      <c r="GD127" s="12">
        <f t="shared" ca="1" si="346"/>
        <v>0</v>
      </c>
      <c r="GE127" s="12">
        <f t="shared" ca="1" si="346"/>
        <v>0</v>
      </c>
      <c r="GF127" s="12">
        <f t="shared" ca="1" si="346"/>
        <v>0</v>
      </c>
      <c r="GG127" s="12">
        <f t="shared" ca="1" si="346"/>
        <v>0</v>
      </c>
      <c r="GH127" s="12">
        <f t="shared" ca="1" si="346"/>
        <v>0</v>
      </c>
      <c r="GI127" s="12">
        <f t="shared" ca="1" si="346"/>
        <v>0</v>
      </c>
      <c r="GJ127" s="12">
        <f t="shared" ca="1" si="346"/>
        <v>0</v>
      </c>
    </row>
    <row r="128" spans="1:192" outlineLevel="1" x14ac:dyDescent="0.2">
      <c r="E128" s="12" t="s">
        <v>1246</v>
      </c>
      <c r="G128" s="12" t="str">
        <f xml:space="preserve"> SMU</f>
        <v>$ 000s</v>
      </c>
      <c r="H128" s="12">
        <f ca="1" xml:space="preserve"> SUM(J128:CV128)</f>
        <v>0</v>
      </c>
      <c r="J128" s="12">
        <f t="shared" ref="J128:BU128" ca="1" si="347" xml:space="preserve"> MIN(J126:J127)</f>
        <v>0</v>
      </c>
      <c r="K128" s="12">
        <f t="shared" ca="1" si="347"/>
        <v>0</v>
      </c>
      <c r="L128" s="12">
        <f t="shared" ca="1" si="347"/>
        <v>0</v>
      </c>
      <c r="M128" s="12">
        <f t="shared" ca="1" si="347"/>
        <v>0</v>
      </c>
      <c r="N128" s="12">
        <f t="shared" ca="1" si="347"/>
        <v>0</v>
      </c>
      <c r="O128" s="12">
        <f t="shared" ca="1" si="347"/>
        <v>0</v>
      </c>
      <c r="P128" s="12">
        <f t="shared" ca="1" si="347"/>
        <v>0</v>
      </c>
      <c r="Q128" s="12">
        <f t="shared" ca="1" si="347"/>
        <v>0</v>
      </c>
      <c r="R128" s="12">
        <f t="shared" ca="1" si="347"/>
        <v>0</v>
      </c>
      <c r="S128" s="12">
        <f t="shared" ca="1" si="347"/>
        <v>0</v>
      </c>
      <c r="T128" s="12">
        <f t="shared" ca="1" si="347"/>
        <v>0</v>
      </c>
      <c r="U128" s="12">
        <f t="shared" ca="1" si="347"/>
        <v>0</v>
      </c>
      <c r="V128" s="12">
        <f t="shared" ca="1" si="347"/>
        <v>0</v>
      </c>
      <c r="W128" s="12">
        <f t="shared" ca="1" si="347"/>
        <v>0</v>
      </c>
      <c r="X128" s="12">
        <f t="shared" ca="1" si="347"/>
        <v>0</v>
      </c>
      <c r="Y128" s="12">
        <f t="shared" ca="1" si="347"/>
        <v>0</v>
      </c>
      <c r="Z128" s="12">
        <f t="shared" ca="1" si="347"/>
        <v>0</v>
      </c>
      <c r="AA128" s="12">
        <f t="shared" ca="1" si="347"/>
        <v>0</v>
      </c>
      <c r="AB128" s="12">
        <f t="shared" ca="1" si="347"/>
        <v>0</v>
      </c>
      <c r="AC128" s="12">
        <f t="shared" ca="1" si="347"/>
        <v>0</v>
      </c>
      <c r="AD128" s="12">
        <f t="shared" ca="1" si="347"/>
        <v>0</v>
      </c>
      <c r="AE128" s="12">
        <f t="shared" ca="1" si="347"/>
        <v>0</v>
      </c>
      <c r="AF128" s="12">
        <f t="shared" ca="1" si="347"/>
        <v>0</v>
      </c>
      <c r="AG128" s="12">
        <f t="shared" ca="1" si="347"/>
        <v>0</v>
      </c>
      <c r="AH128" s="12">
        <f t="shared" ca="1" si="347"/>
        <v>0</v>
      </c>
      <c r="AI128" s="12">
        <f t="shared" ca="1" si="347"/>
        <v>0</v>
      </c>
      <c r="AJ128" s="12">
        <f t="shared" ca="1" si="347"/>
        <v>0</v>
      </c>
      <c r="AK128" s="12">
        <f t="shared" ca="1" si="347"/>
        <v>0</v>
      </c>
      <c r="AL128" s="12">
        <f t="shared" ca="1" si="347"/>
        <v>0</v>
      </c>
      <c r="AM128" s="12">
        <f t="shared" ca="1" si="347"/>
        <v>0</v>
      </c>
      <c r="AN128" s="12">
        <f t="shared" ca="1" si="347"/>
        <v>0</v>
      </c>
      <c r="AO128" s="12">
        <f t="shared" ca="1" si="347"/>
        <v>0</v>
      </c>
      <c r="AP128" s="12">
        <f t="shared" ca="1" si="347"/>
        <v>0</v>
      </c>
      <c r="AQ128" s="12">
        <f t="shared" ca="1" si="347"/>
        <v>0</v>
      </c>
      <c r="AR128" s="12">
        <f t="shared" ca="1" si="347"/>
        <v>0</v>
      </c>
      <c r="AS128" s="12">
        <f t="shared" ca="1" si="347"/>
        <v>0</v>
      </c>
      <c r="AT128" s="12">
        <f t="shared" ca="1" si="347"/>
        <v>0</v>
      </c>
      <c r="AU128" s="12">
        <f t="shared" ca="1" si="347"/>
        <v>0</v>
      </c>
      <c r="AV128" s="12">
        <f t="shared" ca="1" si="347"/>
        <v>0</v>
      </c>
      <c r="AW128" s="12">
        <f t="shared" ca="1" si="347"/>
        <v>0</v>
      </c>
      <c r="AX128" s="12">
        <f t="shared" ca="1" si="347"/>
        <v>0</v>
      </c>
      <c r="AY128" s="12">
        <f t="shared" ca="1" si="347"/>
        <v>0</v>
      </c>
      <c r="AZ128" s="12">
        <f t="shared" ca="1" si="347"/>
        <v>0</v>
      </c>
      <c r="BA128" s="12">
        <f t="shared" ca="1" si="347"/>
        <v>0</v>
      </c>
      <c r="BB128" s="12">
        <f t="shared" ca="1" si="347"/>
        <v>0</v>
      </c>
      <c r="BC128" s="12">
        <f t="shared" ca="1" si="347"/>
        <v>0</v>
      </c>
      <c r="BD128" s="12">
        <f t="shared" ca="1" si="347"/>
        <v>0</v>
      </c>
      <c r="BE128" s="12">
        <f t="shared" ca="1" si="347"/>
        <v>0</v>
      </c>
      <c r="BF128" s="12">
        <f t="shared" ca="1" si="347"/>
        <v>0</v>
      </c>
      <c r="BG128" s="12">
        <f t="shared" ca="1" si="347"/>
        <v>0</v>
      </c>
      <c r="BH128" s="12">
        <f t="shared" ca="1" si="347"/>
        <v>0</v>
      </c>
      <c r="BI128" s="12">
        <f t="shared" ca="1" si="347"/>
        <v>0</v>
      </c>
      <c r="BJ128" s="12">
        <f t="shared" ca="1" si="347"/>
        <v>0</v>
      </c>
      <c r="BK128" s="12">
        <f t="shared" ca="1" si="347"/>
        <v>0</v>
      </c>
      <c r="BL128" s="12">
        <f t="shared" ca="1" si="347"/>
        <v>0</v>
      </c>
      <c r="BM128" s="12">
        <f t="shared" ca="1" si="347"/>
        <v>0</v>
      </c>
      <c r="BN128" s="12">
        <f t="shared" ca="1" si="347"/>
        <v>0</v>
      </c>
      <c r="BO128" s="12">
        <f t="shared" ca="1" si="347"/>
        <v>0</v>
      </c>
      <c r="BP128" s="12">
        <f t="shared" ca="1" si="347"/>
        <v>0</v>
      </c>
      <c r="BQ128" s="12">
        <f t="shared" ca="1" si="347"/>
        <v>0</v>
      </c>
      <c r="BR128" s="12">
        <f t="shared" ca="1" si="347"/>
        <v>0</v>
      </c>
      <c r="BS128" s="12">
        <f t="shared" ca="1" si="347"/>
        <v>0</v>
      </c>
      <c r="BT128" s="12">
        <f t="shared" ca="1" si="347"/>
        <v>0</v>
      </c>
      <c r="BU128" s="12">
        <f t="shared" ca="1" si="347"/>
        <v>0</v>
      </c>
      <c r="BV128" s="12">
        <f t="shared" ref="BV128:CV128" ca="1" si="348" xml:space="preserve"> MIN(BV126:BV127)</f>
        <v>0</v>
      </c>
      <c r="BW128" s="12">
        <f t="shared" ca="1" si="348"/>
        <v>0</v>
      </c>
      <c r="BX128" s="12">
        <f t="shared" ca="1" si="348"/>
        <v>0</v>
      </c>
      <c r="BY128" s="12">
        <f t="shared" ca="1" si="348"/>
        <v>0</v>
      </c>
      <c r="BZ128" s="12">
        <f t="shared" ca="1" si="348"/>
        <v>0</v>
      </c>
      <c r="CA128" s="12">
        <f t="shared" ca="1" si="348"/>
        <v>0</v>
      </c>
      <c r="CB128" s="12">
        <f t="shared" ca="1" si="348"/>
        <v>0</v>
      </c>
      <c r="CC128" s="12">
        <f t="shared" ca="1" si="348"/>
        <v>0</v>
      </c>
      <c r="CD128" s="12">
        <f t="shared" ca="1" si="348"/>
        <v>0</v>
      </c>
      <c r="CE128" s="12">
        <f t="shared" ca="1" si="348"/>
        <v>0</v>
      </c>
      <c r="CF128" s="12">
        <f t="shared" ca="1" si="348"/>
        <v>0</v>
      </c>
      <c r="CG128" s="12">
        <f t="shared" ca="1" si="348"/>
        <v>0</v>
      </c>
      <c r="CH128" s="12">
        <f t="shared" ca="1" si="348"/>
        <v>0</v>
      </c>
      <c r="CI128" s="12">
        <f t="shared" ca="1" si="348"/>
        <v>0</v>
      </c>
      <c r="CJ128" s="12">
        <f t="shared" ca="1" si="348"/>
        <v>0</v>
      </c>
      <c r="CK128" s="12">
        <f t="shared" ca="1" si="348"/>
        <v>0</v>
      </c>
      <c r="CL128" s="12">
        <f t="shared" ca="1" si="348"/>
        <v>0</v>
      </c>
      <c r="CM128" s="12">
        <f t="shared" ca="1" si="348"/>
        <v>0</v>
      </c>
      <c r="CN128" s="12">
        <f t="shared" ca="1" si="348"/>
        <v>0</v>
      </c>
      <c r="CO128" s="12">
        <f t="shared" ca="1" si="348"/>
        <v>0</v>
      </c>
      <c r="CP128" s="12">
        <f t="shared" ca="1" si="348"/>
        <v>0</v>
      </c>
      <c r="CQ128" s="12">
        <f t="shared" ca="1" si="348"/>
        <v>0</v>
      </c>
      <c r="CR128" s="12">
        <f t="shared" ca="1" si="348"/>
        <v>0</v>
      </c>
      <c r="CS128" s="12">
        <f t="shared" ca="1" si="348"/>
        <v>0</v>
      </c>
      <c r="CT128" s="12">
        <f t="shared" ca="1" si="348"/>
        <v>0</v>
      </c>
      <c r="CU128" s="12">
        <f t="shared" ca="1" si="348"/>
        <v>0</v>
      </c>
      <c r="CV128" s="12">
        <f t="shared" ca="1" si="348"/>
        <v>0</v>
      </c>
    </row>
    <row r="129" spans="1:192" outlineLevel="1" x14ac:dyDescent="0.2"/>
    <row r="130" spans="1:192" outlineLevel="1" x14ac:dyDescent="0.2">
      <c r="E130" s="12" t="str">
        <f t="shared" ref="E130:BP130" ca="1" si="349" xml:space="preserve"> E$121</f>
        <v>Taxable income - P99</v>
      </c>
      <c r="F130" s="12">
        <f t="shared" ca="1" si="349"/>
        <v>0</v>
      </c>
      <c r="G130" s="12" t="str">
        <f t="shared" ca="1" si="349"/>
        <v>$ 000s</v>
      </c>
      <c r="H130" s="12">
        <f t="shared" ca="1" si="349"/>
        <v>0</v>
      </c>
      <c r="I130" s="12">
        <f t="shared" ca="1" si="349"/>
        <v>0</v>
      </c>
      <c r="J130" s="12">
        <f t="shared" ca="1" si="349"/>
        <v>0</v>
      </c>
      <c r="K130" s="12">
        <f t="shared" ca="1" si="349"/>
        <v>0</v>
      </c>
      <c r="L130" s="12">
        <f t="shared" ca="1" si="349"/>
        <v>0</v>
      </c>
      <c r="M130" s="12">
        <f t="shared" ca="1" si="349"/>
        <v>0</v>
      </c>
      <c r="N130" s="12">
        <f t="shared" ca="1" si="349"/>
        <v>0</v>
      </c>
      <c r="O130" s="12">
        <f t="shared" ca="1" si="349"/>
        <v>0</v>
      </c>
      <c r="P130" s="12">
        <f t="shared" ca="1" si="349"/>
        <v>0</v>
      </c>
      <c r="Q130" s="12">
        <f t="shared" ca="1" si="349"/>
        <v>0</v>
      </c>
      <c r="R130" s="12">
        <f t="shared" ca="1" si="349"/>
        <v>0</v>
      </c>
      <c r="S130" s="12">
        <f t="shared" ca="1" si="349"/>
        <v>0</v>
      </c>
      <c r="T130" s="12">
        <f t="shared" ca="1" si="349"/>
        <v>0</v>
      </c>
      <c r="U130" s="12">
        <f t="shared" ca="1" si="349"/>
        <v>0</v>
      </c>
      <c r="V130" s="12">
        <f t="shared" ca="1" si="349"/>
        <v>0</v>
      </c>
      <c r="W130" s="12">
        <f t="shared" ca="1" si="349"/>
        <v>0</v>
      </c>
      <c r="X130" s="12">
        <f t="shared" ca="1" si="349"/>
        <v>0</v>
      </c>
      <c r="Y130" s="12">
        <f t="shared" ca="1" si="349"/>
        <v>0</v>
      </c>
      <c r="Z130" s="12">
        <f t="shared" ca="1" si="349"/>
        <v>0</v>
      </c>
      <c r="AA130" s="12">
        <f t="shared" ca="1" si="349"/>
        <v>0</v>
      </c>
      <c r="AB130" s="12">
        <f t="shared" ca="1" si="349"/>
        <v>0</v>
      </c>
      <c r="AC130" s="12">
        <f t="shared" ca="1" si="349"/>
        <v>0</v>
      </c>
      <c r="AD130" s="12">
        <f t="shared" ca="1" si="349"/>
        <v>0</v>
      </c>
      <c r="AE130" s="12">
        <f t="shared" ca="1" si="349"/>
        <v>0</v>
      </c>
      <c r="AF130" s="12">
        <f t="shared" ca="1" si="349"/>
        <v>0</v>
      </c>
      <c r="AG130" s="12">
        <f t="shared" ca="1" si="349"/>
        <v>0</v>
      </c>
      <c r="AH130" s="12">
        <f t="shared" ca="1" si="349"/>
        <v>0</v>
      </c>
      <c r="AI130" s="12">
        <f t="shared" ca="1" si="349"/>
        <v>0</v>
      </c>
      <c r="AJ130" s="12">
        <f t="shared" ca="1" si="349"/>
        <v>0</v>
      </c>
      <c r="AK130" s="12">
        <f t="shared" ca="1" si="349"/>
        <v>0</v>
      </c>
      <c r="AL130" s="12">
        <f t="shared" ca="1" si="349"/>
        <v>0</v>
      </c>
      <c r="AM130" s="12">
        <f t="shared" ca="1" si="349"/>
        <v>0</v>
      </c>
      <c r="AN130" s="12">
        <f t="shared" ca="1" si="349"/>
        <v>0</v>
      </c>
      <c r="AO130" s="12">
        <f t="shared" ca="1" si="349"/>
        <v>0</v>
      </c>
      <c r="AP130" s="12">
        <f t="shared" ca="1" si="349"/>
        <v>0</v>
      </c>
      <c r="AQ130" s="12">
        <f t="shared" ca="1" si="349"/>
        <v>0</v>
      </c>
      <c r="AR130" s="12">
        <f t="shared" ca="1" si="349"/>
        <v>0</v>
      </c>
      <c r="AS130" s="12">
        <f t="shared" ca="1" si="349"/>
        <v>0</v>
      </c>
      <c r="AT130" s="12">
        <f t="shared" ca="1" si="349"/>
        <v>0</v>
      </c>
      <c r="AU130" s="12">
        <f t="shared" ca="1" si="349"/>
        <v>0</v>
      </c>
      <c r="AV130" s="12">
        <f t="shared" ca="1" si="349"/>
        <v>0</v>
      </c>
      <c r="AW130" s="12">
        <f t="shared" ca="1" si="349"/>
        <v>0</v>
      </c>
      <c r="AX130" s="12">
        <f t="shared" ca="1" si="349"/>
        <v>0</v>
      </c>
      <c r="AY130" s="12">
        <f t="shared" ca="1" si="349"/>
        <v>0</v>
      </c>
      <c r="AZ130" s="12">
        <f t="shared" ca="1" si="349"/>
        <v>0</v>
      </c>
      <c r="BA130" s="12">
        <f t="shared" ca="1" si="349"/>
        <v>0</v>
      </c>
      <c r="BB130" s="12">
        <f t="shared" ca="1" si="349"/>
        <v>0</v>
      </c>
      <c r="BC130" s="12">
        <f t="shared" ca="1" si="349"/>
        <v>0</v>
      </c>
      <c r="BD130" s="12">
        <f t="shared" ca="1" si="349"/>
        <v>0</v>
      </c>
      <c r="BE130" s="12">
        <f t="shared" ca="1" si="349"/>
        <v>0</v>
      </c>
      <c r="BF130" s="12">
        <f t="shared" ca="1" si="349"/>
        <v>0</v>
      </c>
      <c r="BG130" s="12">
        <f t="shared" ca="1" si="349"/>
        <v>0</v>
      </c>
      <c r="BH130" s="12">
        <f t="shared" ca="1" si="349"/>
        <v>0</v>
      </c>
      <c r="BI130" s="12">
        <f t="shared" ca="1" si="349"/>
        <v>0</v>
      </c>
      <c r="BJ130" s="12">
        <f t="shared" ca="1" si="349"/>
        <v>0</v>
      </c>
      <c r="BK130" s="12">
        <f t="shared" ca="1" si="349"/>
        <v>0</v>
      </c>
      <c r="BL130" s="12">
        <f t="shared" ca="1" si="349"/>
        <v>0</v>
      </c>
      <c r="BM130" s="12">
        <f t="shared" ca="1" si="349"/>
        <v>0</v>
      </c>
      <c r="BN130" s="12">
        <f t="shared" ca="1" si="349"/>
        <v>0</v>
      </c>
      <c r="BO130" s="12">
        <f t="shared" ca="1" si="349"/>
        <v>0</v>
      </c>
      <c r="BP130" s="12">
        <f t="shared" ca="1" si="349"/>
        <v>0</v>
      </c>
      <c r="BQ130" s="12">
        <f t="shared" ref="BQ130:EB130" ca="1" si="350" xml:space="preserve"> BQ$121</f>
        <v>0</v>
      </c>
      <c r="BR130" s="12">
        <f t="shared" ca="1" si="350"/>
        <v>0</v>
      </c>
      <c r="BS130" s="12">
        <f t="shared" ca="1" si="350"/>
        <v>0</v>
      </c>
      <c r="BT130" s="12">
        <f t="shared" ca="1" si="350"/>
        <v>0</v>
      </c>
      <c r="BU130" s="12">
        <f t="shared" ca="1" si="350"/>
        <v>0</v>
      </c>
      <c r="BV130" s="12">
        <f t="shared" ca="1" si="350"/>
        <v>0</v>
      </c>
      <c r="BW130" s="12">
        <f t="shared" ca="1" si="350"/>
        <v>0</v>
      </c>
      <c r="BX130" s="12">
        <f t="shared" ca="1" si="350"/>
        <v>0</v>
      </c>
      <c r="BY130" s="12">
        <f t="shared" ca="1" si="350"/>
        <v>0</v>
      </c>
      <c r="BZ130" s="12">
        <f t="shared" ca="1" si="350"/>
        <v>0</v>
      </c>
      <c r="CA130" s="12">
        <f t="shared" ca="1" si="350"/>
        <v>0</v>
      </c>
      <c r="CB130" s="12">
        <f t="shared" ca="1" si="350"/>
        <v>0</v>
      </c>
      <c r="CC130" s="12">
        <f t="shared" ca="1" si="350"/>
        <v>0</v>
      </c>
      <c r="CD130" s="12">
        <f t="shared" ca="1" si="350"/>
        <v>0</v>
      </c>
      <c r="CE130" s="12">
        <f t="shared" ca="1" si="350"/>
        <v>0</v>
      </c>
      <c r="CF130" s="12">
        <f t="shared" ca="1" si="350"/>
        <v>0</v>
      </c>
      <c r="CG130" s="12">
        <f t="shared" ca="1" si="350"/>
        <v>0</v>
      </c>
      <c r="CH130" s="12">
        <f t="shared" ca="1" si="350"/>
        <v>0</v>
      </c>
      <c r="CI130" s="12">
        <f t="shared" ca="1" si="350"/>
        <v>0</v>
      </c>
      <c r="CJ130" s="12">
        <f t="shared" ca="1" si="350"/>
        <v>0</v>
      </c>
      <c r="CK130" s="12">
        <f t="shared" ca="1" si="350"/>
        <v>0</v>
      </c>
      <c r="CL130" s="12">
        <f t="shared" ca="1" si="350"/>
        <v>0</v>
      </c>
      <c r="CM130" s="12">
        <f t="shared" ca="1" si="350"/>
        <v>0</v>
      </c>
      <c r="CN130" s="12">
        <f t="shared" ca="1" si="350"/>
        <v>0</v>
      </c>
      <c r="CO130" s="12">
        <f t="shared" ca="1" si="350"/>
        <v>0</v>
      </c>
      <c r="CP130" s="12">
        <f t="shared" ca="1" si="350"/>
        <v>0</v>
      </c>
      <c r="CQ130" s="12">
        <f t="shared" ca="1" si="350"/>
        <v>0</v>
      </c>
      <c r="CR130" s="12">
        <f t="shared" ca="1" si="350"/>
        <v>0</v>
      </c>
      <c r="CS130" s="12">
        <f t="shared" ca="1" si="350"/>
        <v>0</v>
      </c>
      <c r="CT130" s="12">
        <f t="shared" ca="1" si="350"/>
        <v>0</v>
      </c>
      <c r="CU130" s="12">
        <f t="shared" ca="1" si="350"/>
        <v>0</v>
      </c>
      <c r="CV130" s="12">
        <f t="shared" ca="1" si="350"/>
        <v>0</v>
      </c>
      <c r="CW130" s="12">
        <f t="shared" ca="1" si="350"/>
        <v>0</v>
      </c>
      <c r="CX130" s="12">
        <f t="shared" ca="1" si="350"/>
        <v>0</v>
      </c>
      <c r="CY130" s="12">
        <f t="shared" ca="1" si="350"/>
        <v>0</v>
      </c>
      <c r="CZ130" s="12">
        <f t="shared" ca="1" si="350"/>
        <v>0</v>
      </c>
      <c r="DA130" s="12">
        <f t="shared" ca="1" si="350"/>
        <v>0</v>
      </c>
      <c r="DB130" s="12">
        <f t="shared" ca="1" si="350"/>
        <v>0</v>
      </c>
      <c r="DC130" s="12">
        <f t="shared" ca="1" si="350"/>
        <v>0</v>
      </c>
      <c r="DD130" s="12">
        <f t="shared" ca="1" si="350"/>
        <v>0</v>
      </c>
      <c r="DE130" s="12">
        <f t="shared" ca="1" si="350"/>
        <v>0</v>
      </c>
      <c r="DF130" s="12">
        <f t="shared" ca="1" si="350"/>
        <v>0</v>
      </c>
      <c r="DG130" s="12">
        <f t="shared" ca="1" si="350"/>
        <v>0</v>
      </c>
      <c r="DH130" s="12">
        <f t="shared" ca="1" si="350"/>
        <v>0</v>
      </c>
      <c r="DI130" s="12">
        <f t="shared" ca="1" si="350"/>
        <v>0</v>
      </c>
      <c r="DJ130" s="12">
        <f t="shared" ca="1" si="350"/>
        <v>0</v>
      </c>
      <c r="DK130" s="12">
        <f t="shared" ca="1" si="350"/>
        <v>0</v>
      </c>
      <c r="DL130" s="12">
        <f t="shared" ca="1" si="350"/>
        <v>0</v>
      </c>
      <c r="DM130" s="12">
        <f t="shared" ca="1" si="350"/>
        <v>0</v>
      </c>
      <c r="DN130" s="12">
        <f t="shared" ca="1" si="350"/>
        <v>0</v>
      </c>
      <c r="DO130" s="12">
        <f t="shared" ca="1" si="350"/>
        <v>0</v>
      </c>
      <c r="DP130" s="12">
        <f t="shared" ca="1" si="350"/>
        <v>0</v>
      </c>
      <c r="DQ130" s="12">
        <f t="shared" ca="1" si="350"/>
        <v>0</v>
      </c>
      <c r="DR130" s="12">
        <f t="shared" ca="1" si="350"/>
        <v>0</v>
      </c>
      <c r="DS130" s="12">
        <f t="shared" ca="1" si="350"/>
        <v>0</v>
      </c>
      <c r="DT130" s="12">
        <f t="shared" ca="1" si="350"/>
        <v>0</v>
      </c>
      <c r="DU130" s="12">
        <f t="shared" ca="1" si="350"/>
        <v>0</v>
      </c>
      <c r="DV130" s="12">
        <f t="shared" ca="1" si="350"/>
        <v>0</v>
      </c>
      <c r="DW130" s="12">
        <f t="shared" ca="1" si="350"/>
        <v>0</v>
      </c>
      <c r="DX130" s="12">
        <f t="shared" ca="1" si="350"/>
        <v>0</v>
      </c>
      <c r="DY130" s="12">
        <f t="shared" ca="1" si="350"/>
        <v>0</v>
      </c>
      <c r="DZ130" s="12">
        <f t="shared" ca="1" si="350"/>
        <v>0</v>
      </c>
      <c r="EA130" s="12">
        <f t="shared" ca="1" si="350"/>
        <v>0</v>
      </c>
      <c r="EB130" s="12">
        <f t="shared" ca="1" si="350"/>
        <v>0</v>
      </c>
      <c r="EC130" s="12">
        <f t="shared" ref="EC130:GJ130" ca="1" si="351" xml:space="preserve"> EC$121</f>
        <v>0</v>
      </c>
      <c r="ED130" s="12">
        <f t="shared" ca="1" si="351"/>
        <v>0</v>
      </c>
      <c r="EE130" s="12">
        <f t="shared" ca="1" si="351"/>
        <v>0</v>
      </c>
      <c r="EF130" s="12">
        <f t="shared" ca="1" si="351"/>
        <v>0</v>
      </c>
      <c r="EG130" s="12">
        <f t="shared" ca="1" si="351"/>
        <v>0</v>
      </c>
      <c r="EH130" s="12">
        <f t="shared" ca="1" si="351"/>
        <v>0</v>
      </c>
      <c r="EI130" s="12">
        <f t="shared" ca="1" si="351"/>
        <v>0</v>
      </c>
      <c r="EJ130" s="12">
        <f t="shared" ca="1" si="351"/>
        <v>0</v>
      </c>
      <c r="EK130" s="12">
        <f t="shared" ca="1" si="351"/>
        <v>0</v>
      </c>
      <c r="EL130" s="12">
        <f t="shared" ca="1" si="351"/>
        <v>0</v>
      </c>
      <c r="EM130" s="12">
        <f t="shared" ca="1" si="351"/>
        <v>0</v>
      </c>
      <c r="EN130" s="12">
        <f t="shared" ca="1" si="351"/>
        <v>0</v>
      </c>
      <c r="EO130" s="12">
        <f t="shared" ca="1" si="351"/>
        <v>0</v>
      </c>
      <c r="EP130" s="12">
        <f t="shared" ca="1" si="351"/>
        <v>0</v>
      </c>
      <c r="EQ130" s="12">
        <f t="shared" ca="1" si="351"/>
        <v>0</v>
      </c>
      <c r="ER130" s="12">
        <f t="shared" ca="1" si="351"/>
        <v>0</v>
      </c>
      <c r="ES130" s="12">
        <f t="shared" ca="1" si="351"/>
        <v>0</v>
      </c>
      <c r="ET130" s="12">
        <f t="shared" ca="1" si="351"/>
        <v>0</v>
      </c>
      <c r="EU130" s="12">
        <f t="shared" ca="1" si="351"/>
        <v>0</v>
      </c>
      <c r="EV130" s="12">
        <f t="shared" ca="1" si="351"/>
        <v>0</v>
      </c>
      <c r="EW130" s="12">
        <f t="shared" ca="1" si="351"/>
        <v>0</v>
      </c>
      <c r="EX130" s="12">
        <f t="shared" ca="1" si="351"/>
        <v>0</v>
      </c>
      <c r="EY130" s="12">
        <f t="shared" ca="1" si="351"/>
        <v>0</v>
      </c>
      <c r="EZ130" s="12">
        <f t="shared" ca="1" si="351"/>
        <v>0</v>
      </c>
      <c r="FA130" s="12">
        <f t="shared" ca="1" si="351"/>
        <v>0</v>
      </c>
      <c r="FB130" s="12">
        <f t="shared" ca="1" si="351"/>
        <v>0</v>
      </c>
      <c r="FC130" s="12">
        <f t="shared" ca="1" si="351"/>
        <v>0</v>
      </c>
      <c r="FD130" s="12">
        <f t="shared" ca="1" si="351"/>
        <v>0</v>
      </c>
      <c r="FE130" s="12">
        <f t="shared" ca="1" si="351"/>
        <v>0</v>
      </c>
      <c r="FF130" s="12">
        <f t="shared" ca="1" si="351"/>
        <v>0</v>
      </c>
      <c r="FG130" s="12">
        <f t="shared" ca="1" si="351"/>
        <v>0</v>
      </c>
      <c r="FH130" s="12">
        <f t="shared" ca="1" si="351"/>
        <v>0</v>
      </c>
      <c r="FI130" s="12">
        <f t="shared" ca="1" si="351"/>
        <v>0</v>
      </c>
      <c r="FJ130" s="12">
        <f t="shared" ca="1" si="351"/>
        <v>0</v>
      </c>
      <c r="FK130" s="12">
        <f t="shared" ca="1" si="351"/>
        <v>0</v>
      </c>
      <c r="FL130" s="12">
        <f t="shared" ca="1" si="351"/>
        <v>0</v>
      </c>
      <c r="FM130" s="12">
        <f t="shared" ca="1" si="351"/>
        <v>0</v>
      </c>
      <c r="FN130" s="12">
        <f t="shared" ca="1" si="351"/>
        <v>0</v>
      </c>
      <c r="FO130" s="12">
        <f t="shared" ca="1" si="351"/>
        <v>0</v>
      </c>
      <c r="FP130" s="12">
        <f t="shared" ca="1" si="351"/>
        <v>0</v>
      </c>
      <c r="FQ130" s="12">
        <f t="shared" ca="1" si="351"/>
        <v>0</v>
      </c>
      <c r="FR130" s="12">
        <f t="shared" ca="1" si="351"/>
        <v>0</v>
      </c>
      <c r="FS130" s="12">
        <f t="shared" ca="1" si="351"/>
        <v>0</v>
      </c>
      <c r="FT130" s="12">
        <f t="shared" ca="1" si="351"/>
        <v>0</v>
      </c>
      <c r="FU130" s="12">
        <f t="shared" ca="1" si="351"/>
        <v>0</v>
      </c>
      <c r="FV130" s="12">
        <f t="shared" ca="1" si="351"/>
        <v>0</v>
      </c>
      <c r="FW130" s="12">
        <f t="shared" ca="1" si="351"/>
        <v>0</v>
      </c>
      <c r="FX130" s="12">
        <f t="shared" ca="1" si="351"/>
        <v>0</v>
      </c>
      <c r="FY130" s="12">
        <f t="shared" ca="1" si="351"/>
        <v>0</v>
      </c>
      <c r="FZ130" s="12">
        <f t="shared" ca="1" si="351"/>
        <v>0</v>
      </c>
      <c r="GA130" s="12">
        <f t="shared" ca="1" si="351"/>
        <v>0</v>
      </c>
      <c r="GB130" s="12">
        <f t="shared" ca="1" si="351"/>
        <v>0</v>
      </c>
      <c r="GC130" s="12">
        <f t="shared" ca="1" si="351"/>
        <v>0</v>
      </c>
      <c r="GD130" s="12">
        <f t="shared" ca="1" si="351"/>
        <v>0</v>
      </c>
      <c r="GE130" s="12">
        <f t="shared" ca="1" si="351"/>
        <v>0</v>
      </c>
      <c r="GF130" s="12">
        <f t="shared" ca="1" si="351"/>
        <v>0</v>
      </c>
      <c r="GG130" s="12">
        <f t="shared" ca="1" si="351"/>
        <v>0</v>
      </c>
      <c r="GH130" s="12">
        <f t="shared" ca="1" si="351"/>
        <v>0</v>
      </c>
      <c r="GI130" s="12">
        <f t="shared" ca="1" si="351"/>
        <v>0</v>
      </c>
      <c r="GJ130" s="12">
        <f t="shared" ca="1" si="351"/>
        <v>0</v>
      </c>
    </row>
    <row r="131" spans="1:192" outlineLevel="1" x14ac:dyDescent="0.2">
      <c r="E131" s="12" t="str">
        <f t="shared" ref="E131:AJ131" ca="1" si="352" xml:space="preserve"> E$128</f>
        <v>Tax losses utilised - P99</v>
      </c>
      <c r="F131" s="12">
        <f t="shared" ca="1" si="352"/>
        <v>0</v>
      </c>
      <c r="G131" s="12" t="str">
        <f t="shared" ca="1" si="352"/>
        <v>$ 000s</v>
      </c>
      <c r="H131" s="12">
        <f t="shared" ca="1" si="352"/>
        <v>0</v>
      </c>
      <c r="I131" s="12">
        <f t="shared" ca="1" si="352"/>
        <v>0</v>
      </c>
      <c r="J131" s="12">
        <f t="shared" ca="1" si="352"/>
        <v>0</v>
      </c>
      <c r="K131" s="12">
        <f t="shared" ca="1" si="352"/>
        <v>0</v>
      </c>
      <c r="L131" s="12">
        <f t="shared" ca="1" si="352"/>
        <v>0</v>
      </c>
      <c r="M131" s="12">
        <f t="shared" ca="1" si="352"/>
        <v>0</v>
      </c>
      <c r="N131" s="12">
        <f t="shared" ca="1" si="352"/>
        <v>0</v>
      </c>
      <c r="O131" s="12">
        <f t="shared" ca="1" si="352"/>
        <v>0</v>
      </c>
      <c r="P131" s="12">
        <f t="shared" ca="1" si="352"/>
        <v>0</v>
      </c>
      <c r="Q131" s="12">
        <f t="shared" ca="1" si="352"/>
        <v>0</v>
      </c>
      <c r="R131" s="12">
        <f t="shared" ca="1" si="352"/>
        <v>0</v>
      </c>
      <c r="S131" s="12">
        <f t="shared" ca="1" si="352"/>
        <v>0</v>
      </c>
      <c r="T131" s="12">
        <f t="shared" ca="1" si="352"/>
        <v>0</v>
      </c>
      <c r="U131" s="12">
        <f t="shared" ca="1" si="352"/>
        <v>0</v>
      </c>
      <c r="V131" s="12">
        <f t="shared" ca="1" si="352"/>
        <v>0</v>
      </c>
      <c r="W131" s="12">
        <f t="shared" ca="1" si="352"/>
        <v>0</v>
      </c>
      <c r="X131" s="12">
        <f t="shared" ca="1" si="352"/>
        <v>0</v>
      </c>
      <c r="Y131" s="12">
        <f t="shared" ca="1" si="352"/>
        <v>0</v>
      </c>
      <c r="Z131" s="12">
        <f t="shared" ca="1" si="352"/>
        <v>0</v>
      </c>
      <c r="AA131" s="12">
        <f t="shared" ca="1" si="352"/>
        <v>0</v>
      </c>
      <c r="AB131" s="12">
        <f t="shared" ca="1" si="352"/>
        <v>0</v>
      </c>
      <c r="AC131" s="12">
        <f t="shared" ca="1" si="352"/>
        <v>0</v>
      </c>
      <c r="AD131" s="12">
        <f t="shared" ca="1" si="352"/>
        <v>0</v>
      </c>
      <c r="AE131" s="12">
        <f t="shared" ca="1" si="352"/>
        <v>0</v>
      </c>
      <c r="AF131" s="12">
        <f t="shared" ca="1" si="352"/>
        <v>0</v>
      </c>
      <c r="AG131" s="12">
        <f t="shared" ca="1" si="352"/>
        <v>0</v>
      </c>
      <c r="AH131" s="12">
        <f t="shared" ca="1" si="352"/>
        <v>0</v>
      </c>
      <c r="AI131" s="12">
        <f t="shared" ca="1" si="352"/>
        <v>0</v>
      </c>
      <c r="AJ131" s="12">
        <f t="shared" ca="1" si="352"/>
        <v>0</v>
      </c>
      <c r="AK131" s="12">
        <f t="shared" ref="AK131:BP131" ca="1" si="353" xml:space="preserve"> AK$128</f>
        <v>0</v>
      </c>
      <c r="AL131" s="12">
        <f t="shared" ca="1" si="353"/>
        <v>0</v>
      </c>
      <c r="AM131" s="12">
        <f t="shared" ca="1" si="353"/>
        <v>0</v>
      </c>
      <c r="AN131" s="12">
        <f t="shared" ca="1" si="353"/>
        <v>0</v>
      </c>
      <c r="AO131" s="12">
        <f t="shared" ca="1" si="353"/>
        <v>0</v>
      </c>
      <c r="AP131" s="12">
        <f t="shared" ca="1" si="353"/>
        <v>0</v>
      </c>
      <c r="AQ131" s="12">
        <f t="shared" ca="1" si="353"/>
        <v>0</v>
      </c>
      <c r="AR131" s="12">
        <f t="shared" ca="1" si="353"/>
        <v>0</v>
      </c>
      <c r="AS131" s="12">
        <f t="shared" ca="1" si="353"/>
        <v>0</v>
      </c>
      <c r="AT131" s="12">
        <f t="shared" ca="1" si="353"/>
        <v>0</v>
      </c>
      <c r="AU131" s="12">
        <f t="shared" ca="1" si="353"/>
        <v>0</v>
      </c>
      <c r="AV131" s="12">
        <f t="shared" ca="1" si="353"/>
        <v>0</v>
      </c>
      <c r="AW131" s="12">
        <f t="shared" ca="1" si="353"/>
        <v>0</v>
      </c>
      <c r="AX131" s="12">
        <f t="shared" ca="1" si="353"/>
        <v>0</v>
      </c>
      <c r="AY131" s="12">
        <f t="shared" ca="1" si="353"/>
        <v>0</v>
      </c>
      <c r="AZ131" s="12">
        <f t="shared" ca="1" si="353"/>
        <v>0</v>
      </c>
      <c r="BA131" s="12">
        <f t="shared" ca="1" si="353"/>
        <v>0</v>
      </c>
      <c r="BB131" s="12">
        <f t="shared" ca="1" si="353"/>
        <v>0</v>
      </c>
      <c r="BC131" s="12">
        <f t="shared" ca="1" si="353"/>
        <v>0</v>
      </c>
      <c r="BD131" s="12">
        <f t="shared" ca="1" si="353"/>
        <v>0</v>
      </c>
      <c r="BE131" s="12">
        <f t="shared" ca="1" si="353"/>
        <v>0</v>
      </c>
      <c r="BF131" s="12">
        <f t="shared" ca="1" si="353"/>
        <v>0</v>
      </c>
      <c r="BG131" s="12">
        <f t="shared" ca="1" si="353"/>
        <v>0</v>
      </c>
      <c r="BH131" s="12">
        <f t="shared" ca="1" si="353"/>
        <v>0</v>
      </c>
      <c r="BI131" s="12">
        <f t="shared" ca="1" si="353"/>
        <v>0</v>
      </c>
      <c r="BJ131" s="12">
        <f t="shared" ca="1" si="353"/>
        <v>0</v>
      </c>
      <c r="BK131" s="12">
        <f t="shared" ca="1" si="353"/>
        <v>0</v>
      </c>
      <c r="BL131" s="12">
        <f t="shared" ca="1" si="353"/>
        <v>0</v>
      </c>
      <c r="BM131" s="12">
        <f t="shared" ca="1" si="353"/>
        <v>0</v>
      </c>
      <c r="BN131" s="12">
        <f t="shared" ca="1" si="353"/>
        <v>0</v>
      </c>
      <c r="BO131" s="12">
        <f t="shared" ca="1" si="353"/>
        <v>0</v>
      </c>
      <c r="BP131" s="12">
        <f t="shared" ca="1" si="353"/>
        <v>0</v>
      </c>
      <c r="BQ131" s="12">
        <f t="shared" ref="BQ131:CV131" ca="1" si="354" xml:space="preserve"> BQ$128</f>
        <v>0</v>
      </c>
      <c r="BR131" s="12">
        <f t="shared" ca="1" si="354"/>
        <v>0</v>
      </c>
      <c r="BS131" s="12">
        <f t="shared" ca="1" si="354"/>
        <v>0</v>
      </c>
      <c r="BT131" s="12">
        <f t="shared" ca="1" si="354"/>
        <v>0</v>
      </c>
      <c r="BU131" s="12">
        <f t="shared" ca="1" si="354"/>
        <v>0</v>
      </c>
      <c r="BV131" s="12">
        <f t="shared" ca="1" si="354"/>
        <v>0</v>
      </c>
      <c r="BW131" s="12">
        <f t="shared" ca="1" si="354"/>
        <v>0</v>
      </c>
      <c r="BX131" s="12">
        <f t="shared" ca="1" si="354"/>
        <v>0</v>
      </c>
      <c r="BY131" s="12">
        <f t="shared" ca="1" si="354"/>
        <v>0</v>
      </c>
      <c r="BZ131" s="12">
        <f t="shared" ca="1" si="354"/>
        <v>0</v>
      </c>
      <c r="CA131" s="12">
        <f t="shared" ca="1" si="354"/>
        <v>0</v>
      </c>
      <c r="CB131" s="12">
        <f t="shared" ca="1" si="354"/>
        <v>0</v>
      </c>
      <c r="CC131" s="12">
        <f t="shared" ca="1" si="354"/>
        <v>0</v>
      </c>
      <c r="CD131" s="12">
        <f t="shared" ca="1" si="354"/>
        <v>0</v>
      </c>
      <c r="CE131" s="12">
        <f t="shared" ca="1" si="354"/>
        <v>0</v>
      </c>
      <c r="CF131" s="12">
        <f t="shared" ca="1" si="354"/>
        <v>0</v>
      </c>
      <c r="CG131" s="12">
        <f t="shared" ca="1" si="354"/>
        <v>0</v>
      </c>
      <c r="CH131" s="12">
        <f t="shared" ca="1" si="354"/>
        <v>0</v>
      </c>
      <c r="CI131" s="12">
        <f t="shared" ca="1" si="354"/>
        <v>0</v>
      </c>
      <c r="CJ131" s="12">
        <f t="shared" ca="1" si="354"/>
        <v>0</v>
      </c>
      <c r="CK131" s="12">
        <f t="shared" ca="1" si="354"/>
        <v>0</v>
      </c>
      <c r="CL131" s="12">
        <f t="shared" ca="1" si="354"/>
        <v>0</v>
      </c>
      <c r="CM131" s="12">
        <f t="shared" ca="1" si="354"/>
        <v>0</v>
      </c>
      <c r="CN131" s="12">
        <f t="shared" ca="1" si="354"/>
        <v>0</v>
      </c>
      <c r="CO131" s="12">
        <f t="shared" ca="1" si="354"/>
        <v>0</v>
      </c>
      <c r="CP131" s="12">
        <f t="shared" ca="1" si="354"/>
        <v>0</v>
      </c>
      <c r="CQ131" s="12">
        <f t="shared" ca="1" si="354"/>
        <v>0</v>
      </c>
      <c r="CR131" s="12">
        <f t="shared" ca="1" si="354"/>
        <v>0</v>
      </c>
      <c r="CS131" s="12">
        <f t="shared" ca="1" si="354"/>
        <v>0</v>
      </c>
      <c r="CT131" s="12">
        <f t="shared" ca="1" si="354"/>
        <v>0</v>
      </c>
      <c r="CU131" s="12">
        <f t="shared" ca="1" si="354"/>
        <v>0</v>
      </c>
      <c r="CV131" s="12">
        <f t="shared" ca="1" si="354"/>
        <v>0</v>
      </c>
      <c r="CW131" s="12">
        <f t="shared" ref="CW131:EB131" ca="1" si="355" xml:space="preserve"> CW$128</f>
        <v>0</v>
      </c>
      <c r="CX131" s="12">
        <f t="shared" ca="1" si="355"/>
        <v>0</v>
      </c>
      <c r="CY131" s="12">
        <f t="shared" ca="1" si="355"/>
        <v>0</v>
      </c>
      <c r="CZ131" s="12">
        <f t="shared" ca="1" si="355"/>
        <v>0</v>
      </c>
      <c r="DA131" s="12">
        <f t="shared" ca="1" si="355"/>
        <v>0</v>
      </c>
      <c r="DB131" s="12">
        <f t="shared" ca="1" si="355"/>
        <v>0</v>
      </c>
      <c r="DC131" s="12">
        <f t="shared" ca="1" si="355"/>
        <v>0</v>
      </c>
      <c r="DD131" s="12">
        <f t="shared" ca="1" si="355"/>
        <v>0</v>
      </c>
      <c r="DE131" s="12">
        <f t="shared" ca="1" si="355"/>
        <v>0</v>
      </c>
      <c r="DF131" s="12">
        <f t="shared" ca="1" si="355"/>
        <v>0</v>
      </c>
      <c r="DG131" s="12">
        <f t="shared" ca="1" si="355"/>
        <v>0</v>
      </c>
      <c r="DH131" s="12">
        <f t="shared" ca="1" si="355"/>
        <v>0</v>
      </c>
      <c r="DI131" s="12">
        <f t="shared" ca="1" si="355"/>
        <v>0</v>
      </c>
      <c r="DJ131" s="12">
        <f t="shared" ca="1" si="355"/>
        <v>0</v>
      </c>
      <c r="DK131" s="12">
        <f t="shared" ca="1" si="355"/>
        <v>0</v>
      </c>
      <c r="DL131" s="12">
        <f t="shared" ca="1" si="355"/>
        <v>0</v>
      </c>
      <c r="DM131" s="12">
        <f t="shared" ca="1" si="355"/>
        <v>0</v>
      </c>
      <c r="DN131" s="12">
        <f t="shared" ca="1" si="355"/>
        <v>0</v>
      </c>
      <c r="DO131" s="12">
        <f t="shared" ca="1" si="355"/>
        <v>0</v>
      </c>
      <c r="DP131" s="12">
        <f t="shared" ca="1" si="355"/>
        <v>0</v>
      </c>
      <c r="DQ131" s="12">
        <f t="shared" ca="1" si="355"/>
        <v>0</v>
      </c>
      <c r="DR131" s="12">
        <f t="shared" ca="1" si="355"/>
        <v>0</v>
      </c>
      <c r="DS131" s="12">
        <f t="shared" ca="1" si="355"/>
        <v>0</v>
      </c>
      <c r="DT131" s="12">
        <f t="shared" ca="1" si="355"/>
        <v>0</v>
      </c>
      <c r="DU131" s="12">
        <f t="shared" ca="1" si="355"/>
        <v>0</v>
      </c>
      <c r="DV131" s="12">
        <f t="shared" ca="1" si="355"/>
        <v>0</v>
      </c>
      <c r="DW131" s="12">
        <f t="shared" ca="1" si="355"/>
        <v>0</v>
      </c>
      <c r="DX131" s="12">
        <f t="shared" ca="1" si="355"/>
        <v>0</v>
      </c>
      <c r="DY131" s="12">
        <f t="shared" ca="1" si="355"/>
        <v>0</v>
      </c>
      <c r="DZ131" s="12">
        <f t="shared" ca="1" si="355"/>
        <v>0</v>
      </c>
      <c r="EA131" s="12">
        <f t="shared" ca="1" si="355"/>
        <v>0</v>
      </c>
      <c r="EB131" s="12">
        <f t="shared" ca="1" si="355"/>
        <v>0</v>
      </c>
      <c r="EC131" s="12">
        <f t="shared" ref="EC131:FH131" ca="1" si="356" xml:space="preserve"> EC$128</f>
        <v>0</v>
      </c>
      <c r="ED131" s="12">
        <f t="shared" ca="1" si="356"/>
        <v>0</v>
      </c>
      <c r="EE131" s="12">
        <f t="shared" ca="1" si="356"/>
        <v>0</v>
      </c>
      <c r="EF131" s="12">
        <f t="shared" ca="1" si="356"/>
        <v>0</v>
      </c>
      <c r="EG131" s="12">
        <f t="shared" ca="1" si="356"/>
        <v>0</v>
      </c>
      <c r="EH131" s="12">
        <f t="shared" ca="1" si="356"/>
        <v>0</v>
      </c>
      <c r="EI131" s="12">
        <f t="shared" ca="1" si="356"/>
        <v>0</v>
      </c>
      <c r="EJ131" s="12">
        <f t="shared" ca="1" si="356"/>
        <v>0</v>
      </c>
      <c r="EK131" s="12">
        <f t="shared" ca="1" si="356"/>
        <v>0</v>
      </c>
      <c r="EL131" s="12">
        <f t="shared" ca="1" si="356"/>
        <v>0</v>
      </c>
      <c r="EM131" s="12">
        <f t="shared" ca="1" si="356"/>
        <v>0</v>
      </c>
      <c r="EN131" s="12">
        <f t="shared" ca="1" si="356"/>
        <v>0</v>
      </c>
      <c r="EO131" s="12">
        <f t="shared" ca="1" si="356"/>
        <v>0</v>
      </c>
      <c r="EP131" s="12">
        <f t="shared" ca="1" si="356"/>
        <v>0</v>
      </c>
      <c r="EQ131" s="12">
        <f t="shared" ca="1" si="356"/>
        <v>0</v>
      </c>
      <c r="ER131" s="12">
        <f t="shared" ca="1" si="356"/>
        <v>0</v>
      </c>
      <c r="ES131" s="12">
        <f t="shared" ca="1" si="356"/>
        <v>0</v>
      </c>
      <c r="ET131" s="12">
        <f t="shared" ca="1" si="356"/>
        <v>0</v>
      </c>
      <c r="EU131" s="12">
        <f t="shared" ca="1" si="356"/>
        <v>0</v>
      </c>
      <c r="EV131" s="12">
        <f t="shared" ca="1" si="356"/>
        <v>0</v>
      </c>
      <c r="EW131" s="12">
        <f t="shared" ca="1" si="356"/>
        <v>0</v>
      </c>
      <c r="EX131" s="12">
        <f t="shared" ca="1" si="356"/>
        <v>0</v>
      </c>
      <c r="EY131" s="12">
        <f t="shared" ca="1" si="356"/>
        <v>0</v>
      </c>
      <c r="EZ131" s="12">
        <f t="shared" ca="1" si="356"/>
        <v>0</v>
      </c>
      <c r="FA131" s="12">
        <f t="shared" ca="1" si="356"/>
        <v>0</v>
      </c>
      <c r="FB131" s="12">
        <f t="shared" ca="1" si="356"/>
        <v>0</v>
      </c>
      <c r="FC131" s="12">
        <f t="shared" ca="1" si="356"/>
        <v>0</v>
      </c>
      <c r="FD131" s="12">
        <f t="shared" ca="1" si="356"/>
        <v>0</v>
      </c>
      <c r="FE131" s="12">
        <f t="shared" ca="1" si="356"/>
        <v>0</v>
      </c>
      <c r="FF131" s="12">
        <f t="shared" ca="1" si="356"/>
        <v>0</v>
      </c>
      <c r="FG131" s="12">
        <f t="shared" ca="1" si="356"/>
        <v>0</v>
      </c>
      <c r="FH131" s="12">
        <f t="shared" ca="1" si="356"/>
        <v>0</v>
      </c>
      <c r="FI131" s="12">
        <f t="shared" ref="FI131:GJ131" ca="1" si="357" xml:space="preserve"> FI$128</f>
        <v>0</v>
      </c>
      <c r="FJ131" s="12">
        <f t="shared" ca="1" si="357"/>
        <v>0</v>
      </c>
      <c r="FK131" s="12">
        <f t="shared" ca="1" si="357"/>
        <v>0</v>
      </c>
      <c r="FL131" s="12">
        <f t="shared" ca="1" si="357"/>
        <v>0</v>
      </c>
      <c r="FM131" s="12">
        <f t="shared" ca="1" si="357"/>
        <v>0</v>
      </c>
      <c r="FN131" s="12">
        <f t="shared" ca="1" si="357"/>
        <v>0</v>
      </c>
      <c r="FO131" s="12">
        <f t="shared" ca="1" si="357"/>
        <v>0</v>
      </c>
      <c r="FP131" s="12">
        <f t="shared" ca="1" si="357"/>
        <v>0</v>
      </c>
      <c r="FQ131" s="12">
        <f t="shared" ca="1" si="357"/>
        <v>0</v>
      </c>
      <c r="FR131" s="12">
        <f t="shared" ca="1" si="357"/>
        <v>0</v>
      </c>
      <c r="FS131" s="12">
        <f t="shared" ca="1" si="357"/>
        <v>0</v>
      </c>
      <c r="FT131" s="12">
        <f t="shared" ca="1" si="357"/>
        <v>0</v>
      </c>
      <c r="FU131" s="12">
        <f t="shared" ca="1" si="357"/>
        <v>0</v>
      </c>
      <c r="FV131" s="12">
        <f t="shared" ca="1" si="357"/>
        <v>0</v>
      </c>
      <c r="FW131" s="12">
        <f t="shared" ca="1" si="357"/>
        <v>0</v>
      </c>
      <c r="FX131" s="12">
        <f t="shared" ca="1" si="357"/>
        <v>0</v>
      </c>
      <c r="FY131" s="12">
        <f t="shared" ca="1" si="357"/>
        <v>0</v>
      </c>
      <c r="FZ131" s="12">
        <f t="shared" ca="1" si="357"/>
        <v>0</v>
      </c>
      <c r="GA131" s="12">
        <f t="shared" ca="1" si="357"/>
        <v>0</v>
      </c>
      <c r="GB131" s="12">
        <f t="shared" ca="1" si="357"/>
        <v>0</v>
      </c>
      <c r="GC131" s="12">
        <f t="shared" ca="1" si="357"/>
        <v>0</v>
      </c>
      <c r="GD131" s="12">
        <f t="shared" ca="1" si="357"/>
        <v>0</v>
      </c>
      <c r="GE131" s="12">
        <f t="shared" ca="1" si="357"/>
        <v>0</v>
      </c>
      <c r="GF131" s="12">
        <f t="shared" ca="1" si="357"/>
        <v>0</v>
      </c>
      <c r="GG131" s="12">
        <f t="shared" ca="1" si="357"/>
        <v>0</v>
      </c>
      <c r="GH131" s="12">
        <f t="shared" ca="1" si="357"/>
        <v>0</v>
      </c>
      <c r="GI131" s="12">
        <f t="shared" ca="1" si="357"/>
        <v>0</v>
      </c>
      <c r="GJ131" s="12">
        <f t="shared" ca="1" si="357"/>
        <v>0</v>
      </c>
    </row>
    <row r="132" spans="1:192" outlineLevel="1" x14ac:dyDescent="0.2">
      <c r="E132" s="12" t="s">
        <v>1247</v>
      </c>
      <c r="G132" s="12" t="str">
        <f xml:space="preserve"> SMU</f>
        <v>$ 000s</v>
      </c>
      <c r="H132" s="12">
        <f ca="1" xml:space="preserve"> SUM(J132:CV132)</f>
        <v>0</v>
      </c>
      <c r="J132" s="12">
        <f t="shared" ref="J132:BU132" ca="1" si="358" xml:space="preserve"> J130 - J131</f>
        <v>0</v>
      </c>
      <c r="K132" s="12">
        <f t="shared" ca="1" si="358"/>
        <v>0</v>
      </c>
      <c r="L132" s="12">
        <f t="shared" ca="1" si="358"/>
        <v>0</v>
      </c>
      <c r="M132" s="12">
        <f t="shared" ca="1" si="358"/>
        <v>0</v>
      </c>
      <c r="N132" s="12">
        <f t="shared" ca="1" si="358"/>
        <v>0</v>
      </c>
      <c r="O132" s="12">
        <f t="shared" ca="1" si="358"/>
        <v>0</v>
      </c>
      <c r="P132" s="12">
        <f t="shared" ca="1" si="358"/>
        <v>0</v>
      </c>
      <c r="Q132" s="12">
        <f t="shared" ca="1" si="358"/>
        <v>0</v>
      </c>
      <c r="R132" s="12">
        <f t="shared" ca="1" si="358"/>
        <v>0</v>
      </c>
      <c r="S132" s="12">
        <f t="shared" ca="1" si="358"/>
        <v>0</v>
      </c>
      <c r="T132" s="12">
        <f t="shared" ca="1" si="358"/>
        <v>0</v>
      </c>
      <c r="U132" s="12">
        <f t="shared" ca="1" si="358"/>
        <v>0</v>
      </c>
      <c r="V132" s="12">
        <f t="shared" ca="1" si="358"/>
        <v>0</v>
      </c>
      <c r="W132" s="12">
        <f t="shared" ca="1" si="358"/>
        <v>0</v>
      </c>
      <c r="X132" s="12">
        <f t="shared" ca="1" si="358"/>
        <v>0</v>
      </c>
      <c r="Y132" s="12">
        <f t="shared" ca="1" si="358"/>
        <v>0</v>
      </c>
      <c r="Z132" s="12">
        <f t="shared" ca="1" si="358"/>
        <v>0</v>
      </c>
      <c r="AA132" s="12">
        <f t="shared" ca="1" si="358"/>
        <v>0</v>
      </c>
      <c r="AB132" s="12">
        <f t="shared" ca="1" si="358"/>
        <v>0</v>
      </c>
      <c r="AC132" s="12">
        <f t="shared" ca="1" si="358"/>
        <v>0</v>
      </c>
      <c r="AD132" s="12">
        <f t="shared" ca="1" si="358"/>
        <v>0</v>
      </c>
      <c r="AE132" s="12">
        <f t="shared" ca="1" si="358"/>
        <v>0</v>
      </c>
      <c r="AF132" s="12">
        <f t="shared" ca="1" si="358"/>
        <v>0</v>
      </c>
      <c r="AG132" s="12">
        <f t="shared" ca="1" si="358"/>
        <v>0</v>
      </c>
      <c r="AH132" s="12">
        <f t="shared" ca="1" si="358"/>
        <v>0</v>
      </c>
      <c r="AI132" s="12">
        <f t="shared" ca="1" si="358"/>
        <v>0</v>
      </c>
      <c r="AJ132" s="12">
        <f t="shared" ca="1" si="358"/>
        <v>0</v>
      </c>
      <c r="AK132" s="12">
        <f t="shared" ca="1" si="358"/>
        <v>0</v>
      </c>
      <c r="AL132" s="12">
        <f t="shared" ca="1" si="358"/>
        <v>0</v>
      </c>
      <c r="AM132" s="12">
        <f t="shared" ca="1" si="358"/>
        <v>0</v>
      </c>
      <c r="AN132" s="12">
        <f t="shared" ca="1" si="358"/>
        <v>0</v>
      </c>
      <c r="AO132" s="12">
        <f t="shared" ca="1" si="358"/>
        <v>0</v>
      </c>
      <c r="AP132" s="12">
        <f t="shared" ca="1" si="358"/>
        <v>0</v>
      </c>
      <c r="AQ132" s="12">
        <f t="shared" ca="1" si="358"/>
        <v>0</v>
      </c>
      <c r="AR132" s="12">
        <f t="shared" ca="1" si="358"/>
        <v>0</v>
      </c>
      <c r="AS132" s="12">
        <f t="shared" ca="1" si="358"/>
        <v>0</v>
      </c>
      <c r="AT132" s="12">
        <f t="shared" ca="1" si="358"/>
        <v>0</v>
      </c>
      <c r="AU132" s="12">
        <f t="shared" ca="1" si="358"/>
        <v>0</v>
      </c>
      <c r="AV132" s="12">
        <f t="shared" ca="1" si="358"/>
        <v>0</v>
      </c>
      <c r="AW132" s="12">
        <f t="shared" ca="1" si="358"/>
        <v>0</v>
      </c>
      <c r="AX132" s="12">
        <f t="shared" ca="1" si="358"/>
        <v>0</v>
      </c>
      <c r="AY132" s="12">
        <f t="shared" ca="1" si="358"/>
        <v>0</v>
      </c>
      <c r="AZ132" s="12">
        <f t="shared" ca="1" si="358"/>
        <v>0</v>
      </c>
      <c r="BA132" s="12">
        <f t="shared" ca="1" si="358"/>
        <v>0</v>
      </c>
      <c r="BB132" s="12">
        <f t="shared" ca="1" si="358"/>
        <v>0</v>
      </c>
      <c r="BC132" s="12">
        <f t="shared" ca="1" si="358"/>
        <v>0</v>
      </c>
      <c r="BD132" s="12">
        <f t="shared" ca="1" si="358"/>
        <v>0</v>
      </c>
      <c r="BE132" s="12">
        <f t="shared" ca="1" si="358"/>
        <v>0</v>
      </c>
      <c r="BF132" s="12">
        <f t="shared" ca="1" si="358"/>
        <v>0</v>
      </c>
      <c r="BG132" s="12">
        <f t="shared" ca="1" si="358"/>
        <v>0</v>
      </c>
      <c r="BH132" s="12">
        <f t="shared" ca="1" si="358"/>
        <v>0</v>
      </c>
      <c r="BI132" s="12">
        <f t="shared" ca="1" si="358"/>
        <v>0</v>
      </c>
      <c r="BJ132" s="12">
        <f t="shared" ca="1" si="358"/>
        <v>0</v>
      </c>
      <c r="BK132" s="12">
        <f t="shared" ca="1" si="358"/>
        <v>0</v>
      </c>
      <c r="BL132" s="12">
        <f t="shared" ca="1" si="358"/>
        <v>0</v>
      </c>
      <c r="BM132" s="12">
        <f t="shared" ca="1" si="358"/>
        <v>0</v>
      </c>
      <c r="BN132" s="12">
        <f t="shared" ca="1" si="358"/>
        <v>0</v>
      </c>
      <c r="BO132" s="12">
        <f t="shared" ca="1" si="358"/>
        <v>0</v>
      </c>
      <c r="BP132" s="12">
        <f t="shared" ca="1" si="358"/>
        <v>0</v>
      </c>
      <c r="BQ132" s="12">
        <f t="shared" ca="1" si="358"/>
        <v>0</v>
      </c>
      <c r="BR132" s="12">
        <f t="shared" ca="1" si="358"/>
        <v>0</v>
      </c>
      <c r="BS132" s="12">
        <f t="shared" ca="1" si="358"/>
        <v>0</v>
      </c>
      <c r="BT132" s="12">
        <f t="shared" ca="1" si="358"/>
        <v>0</v>
      </c>
      <c r="BU132" s="12">
        <f t="shared" ca="1" si="358"/>
        <v>0</v>
      </c>
      <c r="BV132" s="12">
        <f t="shared" ref="BV132:CV132" ca="1" si="359" xml:space="preserve"> BV130 - BV131</f>
        <v>0</v>
      </c>
      <c r="BW132" s="12">
        <f t="shared" ca="1" si="359"/>
        <v>0</v>
      </c>
      <c r="BX132" s="12">
        <f t="shared" ca="1" si="359"/>
        <v>0</v>
      </c>
      <c r="BY132" s="12">
        <f t="shared" ca="1" si="359"/>
        <v>0</v>
      </c>
      <c r="BZ132" s="12">
        <f t="shared" ca="1" si="359"/>
        <v>0</v>
      </c>
      <c r="CA132" s="12">
        <f t="shared" ca="1" si="359"/>
        <v>0</v>
      </c>
      <c r="CB132" s="12">
        <f t="shared" ca="1" si="359"/>
        <v>0</v>
      </c>
      <c r="CC132" s="12">
        <f t="shared" ca="1" si="359"/>
        <v>0</v>
      </c>
      <c r="CD132" s="12">
        <f t="shared" ca="1" si="359"/>
        <v>0</v>
      </c>
      <c r="CE132" s="12">
        <f t="shared" ca="1" si="359"/>
        <v>0</v>
      </c>
      <c r="CF132" s="12">
        <f t="shared" ca="1" si="359"/>
        <v>0</v>
      </c>
      <c r="CG132" s="12">
        <f t="shared" ca="1" si="359"/>
        <v>0</v>
      </c>
      <c r="CH132" s="12">
        <f t="shared" ca="1" si="359"/>
        <v>0</v>
      </c>
      <c r="CI132" s="12">
        <f t="shared" ca="1" si="359"/>
        <v>0</v>
      </c>
      <c r="CJ132" s="12">
        <f t="shared" ca="1" si="359"/>
        <v>0</v>
      </c>
      <c r="CK132" s="12">
        <f t="shared" ca="1" si="359"/>
        <v>0</v>
      </c>
      <c r="CL132" s="12">
        <f t="shared" ca="1" si="359"/>
        <v>0</v>
      </c>
      <c r="CM132" s="12">
        <f t="shared" ca="1" si="359"/>
        <v>0</v>
      </c>
      <c r="CN132" s="12">
        <f t="shared" ca="1" si="359"/>
        <v>0</v>
      </c>
      <c r="CO132" s="12">
        <f t="shared" ca="1" si="359"/>
        <v>0</v>
      </c>
      <c r="CP132" s="12">
        <f t="shared" ca="1" si="359"/>
        <v>0</v>
      </c>
      <c r="CQ132" s="12">
        <f t="shared" ca="1" si="359"/>
        <v>0</v>
      </c>
      <c r="CR132" s="12">
        <f t="shared" ca="1" si="359"/>
        <v>0</v>
      </c>
      <c r="CS132" s="12">
        <f t="shared" ca="1" si="359"/>
        <v>0</v>
      </c>
      <c r="CT132" s="12">
        <f t="shared" ca="1" si="359"/>
        <v>0</v>
      </c>
      <c r="CU132" s="12">
        <f t="shared" ca="1" si="359"/>
        <v>0</v>
      </c>
      <c r="CV132" s="12">
        <f t="shared" ca="1" si="359"/>
        <v>0</v>
      </c>
    </row>
    <row r="133" spans="1:192" outlineLevel="1" x14ac:dyDescent="0.2"/>
    <row r="134" spans="1:192" outlineLevel="1" x14ac:dyDescent="0.2">
      <c r="B134" s="15" t="s">
        <v>167</v>
      </c>
    </row>
    <row r="135" spans="1:192" s="502" customFormat="1" outlineLevel="2" x14ac:dyDescent="0.2">
      <c r="A135" s="216"/>
      <c r="B135" s="216"/>
      <c r="C135" s="217"/>
      <c r="D135" s="218"/>
      <c r="E135" s="219" t="s">
        <v>1248</v>
      </c>
      <c r="F135" s="219"/>
      <c r="G135" s="219" t="str">
        <f xml:space="preserve"> SMU</f>
        <v>$ 000s</v>
      </c>
      <c r="H135" s="219"/>
      <c r="I135" s="220"/>
      <c r="J135" s="219">
        <f t="shared" ref="J135" ca="1" si="360">I138</f>
        <v>0</v>
      </c>
      <c r="K135" s="219">
        <f t="shared" ref="K135" ca="1" si="361">J138</f>
        <v>0</v>
      </c>
      <c r="L135" s="219">
        <f t="shared" ref="L135" ca="1" si="362">K138</f>
        <v>0</v>
      </c>
      <c r="M135" s="219">
        <f t="shared" ref="M135" ca="1" si="363">L138</f>
        <v>0</v>
      </c>
      <c r="N135" s="219">
        <f t="shared" ref="N135" ca="1" si="364">M138</f>
        <v>0</v>
      </c>
      <c r="O135" s="219">
        <f t="shared" ref="O135" ca="1" si="365">N138</f>
        <v>0</v>
      </c>
      <c r="P135" s="219">
        <f t="shared" ref="P135" ca="1" si="366">O138</f>
        <v>41690.55932008558</v>
      </c>
      <c r="Q135" s="219">
        <f t="shared" ref="Q135" ca="1" si="367">P138</f>
        <v>80143.664763035689</v>
      </c>
      <c r="R135" s="219">
        <f t="shared" ref="R135" ca="1" si="368">Q138</f>
        <v>116294.19393418782</v>
      </c>
      <c r="S135" s="219">
        <f t="shared" ref="S135" ca="1" si="369">R138</f>
        <v>150001.84545359077</v>
      </c>
      <c r="T135" s="219">
        <f t="shared" ref="T135" ca="1" si="370">S138</f>
        <v>182009.7203013562</v>
      </c>
      <c r="U135" s="219">
        <f t="shared" ref="U135" ca="1" si="371">T138</f>
        <v>212142.93180968874</v>
      </c>
      <c r="V135" s="219">
        <f t="shared" ref="V135" ca="1" si="372">U138</f>
        <v>241084.50213092484</v>
      </c>
      <c r="W135" s="219">
        <f t="shared" ref="W135" ca="1" si="373">V138</f>
        <v>268685.81756566098</v>
      </c>
      <c r="X135" s="219">
        <f t="shared" ref="X135" ca="1" si="374">W138</f>
        <v>295477.27972912596</v>
      </c>
      <c r="Y135" s="219">
        <f t="shared" ref="Y135" ca="1" si="375">X138</f>
        <v>321298.77591634955</v>
      </c>
      <c r="Z135" s="219">
        <f t="shared" ref="Z135" ca="1" si="376">Y138</f>
        <v>347120.01507789775</v>
      </c>
      <c r="AA135" s="219">
        <f t="shared" ref="AA135" ca="1" si="377">Z138</f>
        <v>372328.49333651341</v>
      </c>
      <c r="AB135" s="219">
        <f t="shared" ref="AB135" ca="1" si="378">AA138</f>
        <v>397485.08622422232</v>
      </c>
      <c r="AC135" s="219">
        <f t="shared" ref="AC135" ca="1" si="379">AB138</f>
        <v>422361.38346935797</v>
      </c>
      <c r="AD135" s="219">
        <f t="shared" ref="AD135" ca="1" si="380">AC138</f>
        <v>447486.29704767658</v>
      </c>
      <c r="AE135" s="219">
        <f t="shared" ref="AE135" ca="1" si="381">AD138</f>
        <v>472677.00385582342</v>
      </c>
      <c r="AF135" s="219">
        <f t="shared" ref="AF135" ca="1" si="382">AE138</f>
        <v>498355.35673855728</v>
      </c>
      <c r="AG135" s="219">
        <f t="shared" ref="AG135" ca="1" si="383">AF138</f>
        <v>524353.5478098176</v>
      </c>
      <c r="AH135" s="219">
        <f t="shared" ref="AH135" ca="1" si="384">AG138</f>
        <v>551144.46775588545</v>
      </c>
      <c r="AI135" s="219">
        <f t="shared" ref="AI135" ca="1" si="385">AH138</f>
        <v>578537.38056083093</v>
      </c>
      <c r="AJ135" s="219">
        <f t="shared" ref="AJ135" ca="1" si="386">AI138</f>
        <v>607276.29445646703</v>
      </c>
      <c r="AK135" s="219">
        <f t="shared" ref="AK135" ca="1" si="387">AJ138</f>
        <v>636883.37556717906</v>
      </c>
      <c r="AL135" s="219">
        <f t="shared" ref="AL135" ca="1" si="388">AK138</f>
        <v>667801.00442211155</v>
      </c>
      <c r="AM135" s="219">
        <f t="shared" ref="AM135" ca="1" si="389">AL138</f>
        <v>699900.71725152864</v>
      </c>
      <c r="AN135" s="219">
        <f t="shared" ref="AN135" ca="1" si="390">AM138</f>
        <v>733556.51436448062</v>
      </c>
      <c r="AO135" s="219">
        <f t="shared" ref="AO135" ca="1" si="391">AN138</f>
        <v>768672.99404563627</v>
      </c>
      <c r="AP135" s="219">
        <f t="shared" ref="AP135" ca="1" si="392">AO138</f>
        <v>805656.50643958035</v>
      </c>
      <c r="AQ135" s="219">
        <f t="shared" ref="AQ135" ca="1" si="393">AP138</f>
        <v>844419.58014183864</v>
      </c>
      <c r="AR135" s="219">
        <f t="shared" ref="AR135" ca="1" si="394">AQ138</f>
        <v>885356.30658848863</v>
      </c>
      <c r="AS135" s="219">
        <f t="shared" ref="AS135" ca="1" si="395">AR138</f>
        <v>928417.56734747894</v>
      </c>
      <c r="AT135" s="219">
        <f t="shared" ref="AT135" ca="1" si="396">AS138</f>
        <v>973986.38862147252</v>
      </c>
      <c r="AU135" s="219">
        <f t="shared" ref="AU135" ca="1" si="397">AT138</f>
        <v>1022093.6804173032</v>
      </c>
      <c r="AV135" s="219">
        <f t="shared" ref="AV135" ca="1" si="398">AU138</f>
        <v>1073100.8212477444</v>
      </c>
      <c r="AW135" s="219">
        <f t="shared" ref="AW135" ca="1" si="399">AV138</f>
        <v>1126472.1309813927</v>
      </c>
      <c r="AX135" s="219">
        <f t="shared" ref="AX135" ca="1" si="400">AW138</f>
        <v>1182546.5408721336</v>
      </c>
      <c r="AY135" s="219">
        <f t="shared" ref="AY135" ca="1" si="401">AX138</f>
        <v>1241241.7368307651</v>
      </c>
      <c r="AZ135" s="219">
        <f t="shared" ref="AZ135" ca="1" si="402">AY138</f>
        <v>1302882.8292346159</v>
      </c>
      <c r="BA135" s="219">
        <f t="shared" ref="BA135" ca="1" si="403">AZ138</f>
        <v>1367514.4223042717</v>
      </c>
      <c r="BB135" s="219">
        <f t="shared" ref="BB135" ca="1" si="404">BA138</f>
        <v>1435483.3269416105</v>
      </c>
      <c r="BC135" s="219">
        <f t="shared" ref="BC135" ca="1" si="405">BB138</f>
        <v>1511578.9716386094</v>
      </c>
      <c r="BD135" s="219">
        <f t="shared" ref="BD135" ca="1" si="406">BC138</f>
        <v>1511578.9716386094</v>
      </c>
      <c r="BE135" s="219">
        <f t="shared" ref="BE135" ca="1" si="407">BD138</f>
        <v>1511578.9716386094</v>
      </c>
      <c r="BF135" s="219">
        <f t="shared" ref="BF135" ca="1" si="408">BE138</f>
        <v>1511578.9716386094</v>
      </c>
      <c r="BG135" s="219">
        <f t="shared" ref="BG135" ca="1" si="409">BF138</f>
        <v>1511578.9716386094</v>
      </c>
      <c r="BH135" s="219">
        <f t="shared" ref="BH135" ca="1" si="410">BG138</f>
        <v>1511578.9716386094</v>
      </c>
      <c r="BI135" s="219">
        <f t="shared" ref="BI135" ca="1" si="411">BH138</f>
        <v>1511578.9716386094</v>
      </c>
      <c r="BJ135" s="219">
        <f t="shared" ref="BJ135" ca="1" si="412">BI138</f>
        <v>1511578.9716386094</v>
      </c>
      <c r="BK135" s="219">
        <f t="shared" ref="BK135" ca="1" si="413">BJ138</f>
        <v>1511578.9716386094</v>
      </c>
      <c r="BL135" s="219">
        <f t="shared" ref="BL135" ca="1" si="414">BK138</f>
        <v>1511578.9716386094</v>
      </c>
      <c r="BM135" s="219">
        <f t="shared" ref="BM135" ca="1" si="415">BL138</f>
        <v>1511578.9716386094</v>
      </c>
      <c r="BN135" s="219">
        <f t="shared" ref="BN135" ca="1" si="416">BM138</f>
        <v>1511578.9716386094</v>
      </c>
      <c r="BO135" s="219">
        <f t="shared" ref="BO135" ca="1" si="417">BN138</f>
        <v>1511578.9716386094</v>
      </c>
      <c r="BP135" s="219">
        <f t="shared" ref="BP135" ca="1" si="418">BO138</f>
        <v>1511578.9716386094</v>
      </c>
      <c r="BQ135" s="219">
        <f t="shared" ref="BQ135" ca="1" si="419">BP138</f>
        <v>1511578.9716386094</v>
      </c>
      <c r="BR135" s="219">
        <f t="shared" ref="BR135" ca="1" si="420">BQ138</f>
        <v>1511578.9716386094</v>
      </c>
      <c r="BS135" s="219">
        <f t="shared" ref="BS135" ca="1" si="421">BR138</f>
        <v>1511578.9716386094</v>
      </c>
      <c r="BT135" s="219">
        <f t="shared" ref="BT135" ca="1" si="422">BS138</f>
        <v>1511578.9716386094</v>
      </c>
      <c r="BU135" s="219">
        <f t="shared" ref="BU135" ca="1" si="423">BT138</f>
        <v>1511578.9716386094</v>
      </c>
      <c r="BV135" s="219">
        <f t="shared" ref="BV135" ca="1" si="424">BU138</f>
        <v>1511578.9716386094</v>
      </c>
      <c r="BW135" s="219">
        <f t="shared" ref="BW135" ca="1" si="425">BV138</f>
        <v>1511578.9716386094</v>
      </c>
      <c r="BX135" s="219">
        <f t="shared" ref="BX135" ca="1" si="426">BW138</f>
        <v>1511578.9716386094</v>
      </c>
      <c r="BY135" s="219">
        <f t="shared" ref="BY135" ca="1" si="427">BX138</f>
        <v>1511578.9716386094</v>
      </c>
      <c r="BZ135" s="219">
        <f t="shared" ref="BZ135" ca="1" si="428">BY138</f>
        <v>1511578.9716386094</v>
      </c>
      <c r="CA135" s="219">
        <f t="shared" ref="CA135" ca="1" si="429">BZ138</f>
        <v>1511578.9716386094</v>
      </c>
      <c r="CB135" s="219">
        <f t="shared" ref="CB135" ca="1" si="430">CA138</f>
        <v>1511578.9716386094</v>
      </c>
      <c r="CC135" s="219">
        <f t="shared" ref="CC135" ca="1" si="431">CB138</f>
        <v>1511578.9716386094</v>
      </c>
      <c r="CD135" s="219">
        <f t="shared" ref="CD135" ca="1" si="432">CC138</f>
        <v>1511578.9716386094</v>
      </c>
      <c r="CE135" s="219">
        <f t="shared" ref="CE135" ca="1" si="433">CD138</f>
        <v>1511578.9716386094</v>
      </c>
      <c r="CF135" s="219">
        <f t="shared" ref="CF135" ca="1" si="434">CE138</f>
        <v>1511578.9716386094</v>
      </c>
      <c r="CG135" s="219">
        <f t="shared" ref="CG135" ca="1" si="435">CF138</f>
        <v>1511578.9716386094</v>
      </c>
      <c r="CH135" s="219">
        <f t="shared" ref="CH135" ca="1" si="436">CG138</f>
        <v>1511578.9716386094</v>
      </c>
      <c r="CI135" s="219">
        <f t="shared" ref="CI135" ca="1" si="437">CH138</f>
        <v>1511578.9716386094</v>
      </c>
      <c r="CJ135" s="219">
        <f t="shared" ref="CJ135" ca="1" si="438">CI138</f>
        <v>1511578.9716386094</v>
      </c>
      <c r="CK135" s="219">
        <f t="shared" ref="CK135" ca="1" si="439">CJ138</f>
        <v>1511578.9716386094</v>
      </c>
      <c r="CL135" s="219">
        <f t="shared" ref="CL135" ca="1" si="440">CK138</f>
        <v>1511578.9716386094</v>
      </c>
      <c r="CM135" s="219">
        <f t="shared" ref="CM135" ca="1" si="441">CL138</f>
        <v>1511578.9716386094</v>
      </c>
      <c r="CN135" s="219">
        <f t="shared" ref="CN135" ca="1" si="442">CM138</f>
        <v>1511578.9716386094</v>
      </c>
      <c r="CO135" s="219">
        <f t="shared" ref="CO135" ca="1" si="443">CN138</f>
        <v>1511578.9716386094</v>
      </c>
      <c r="CP135" s="219">
        <f t="shared" ref="CP135" ca="1" si="444">CO138</f>
        <v>1511578.9716386094</v>
      </c>
      <c r="CQ135" s="219">
        <f t="shared" ref="CQ135" ca="1" si="445">CP138</f>
        <v>1511578.9716386094</v>
      </c>
      <c r="CR135" s="219">
        <f t="shared" ref="CR135" ca="1" si="446">CQ138</f>
        <v>1511578.9716386094</v>
      </c>
      <c r="CS135" s="219">
        <f t="shared" ref="CS135" ca="1" si="447">CR138</f>
        <v>1511578.9716386094</v>
      </c>
      <c r="CT135" s="219">
        <f t="shared" ref="CT135" ca="1" si="448">CS138</f>
        <v>1511578.9716386094</v>
      </c>
      <c r="CU135" s="219">
        <f t="shared" ref="CU135" ca="1" si="449">CT138</f>
        <v>1511578.9716386094</v>
      </c>
      <c r="CV135" s="219">
        <f t="shared" ref="CV135" ca="1" si="450">CU138</f>
        <v>1511578.9716386094</v>
      </c>
    </row>
    <row r="136" spans="1:192" s="498" customFormat="1" outlineLevel="2" x14ac:dyDescent="0.2">
      <c r="A136" s="15"/>
      <c r="B136" s="15"/>
      <c r="C136" s="21"/>
      <c r="D136" s="48"/>
      <c r="E136" s="38" t="str">
        <f t="shared" ref="E136:AJ136" ca="1" si="451" xml:space="preserve"> E$124</f>
        <v>Tax losses arising - P99</v>
      </c>
      <c r="F136" s="38">
        <f t="shared" ca="1" si="451"/>
        <v>0</v>
      </c>
      <c r="G136" s="38" t="str">
        <f t="shared" ca="1" si="451"/>
        <v>$ 000s</v>
      </c>
      <c r="H136" s="38">
        <f t="shared" ca="1" si="451"/>
        <v>1511578.9716386094</v>
      </c>
      <c r="I136" s="38">
        <f t="shared" ca="1" si="451"/>
        <v>0</v>
      </c>
      <c r="J136" s="38">
        <f t="shared" ca="1" si="451"/>
        <v>0</v>
      </c>
      <c r="K136" s="38">
        <f t="shared" ca="1" si="451"/>
        <v>0</v>
      </c>
      <c r="L136" s="38">
        <f t="shared" ca="1" si="451"/>
        <v>0</v>
      </c>
      <c r="M136" s="38">
        <f t="shared" ca="1" si="451"/>
        <v>0</v>
      </c>
      <c r="N136" s="38">
        <f t="shared" ca="1" si="451"/>
        <v>0</v>
      </c>
      <c r="O136" s="38">
        <f t="shared" ca="1" si="451"/>
        <v>41690.55932008558</v>
      </c>
      <c r="P136" s="38">
        <f t="shared" ca="1" si="451"/>
        <v>38453.105442950109</v>
      </c>
      <c r="Q136" s="38">
        <f t="shared" ca="1" si="451"/>
        <v>36150.529171152128</v>
      </c>
      <c r="R136" s="38">
        <f t="shared" ca="1" si="451"/>
        <v>33707.651519402942</v>
      </c>
      <c r="S136" s="38">
        <f t="shared" ca="1" si="451"/>
        <v>32007.874847765419</v>
      </c>
      <c r="T136" s="38">
        <f t="shared" ca="1" si="451"/>
        <v>30133.211508332548</v>
      </c>
      <c r="U136" s="38">
        <f t="shared" ca="1" si="451"/>
        <v>28941.570321236093</v>
      </c>
      <c r="V136" s="38">
        <f t="shared" ca="1" si="451"/>
        <v>27601.315434736156</v>
      </c>
      <c r="W136" s="38">
        <f t="shared" ca="1" si="451"/>
        <v>26791.462163464963</v>
      </c>
      <c r="X136" s="38">
        <f t="shared" ca="1" si="451"/>
        <v>25821.496187223576</v>
      </c>
      <c r="Y136" s="38">
        <f t="shared" ca="1" si="451"/>
        <v>25821.23916154819</v>
      </c>
      <c r="Z136" s="38">
        <f t="shared" ca="1" si="451"/>
        <v>25208.47825861564</v>
      </c>
      <c r="AA136" s="38">
        <f t="shared" ca="1" si="451"/>
        <v>25156.592887708946</v>
      </c>
      <c r="AB136" s="38">
        <f t="shared" ca="1" si="451"/>
        <v>24876.297245135676</v>
      </c>
      <c r="AC136" s="38">
        <f t="shared" ca="1" si="451"/>
        <v>25124.91357831861</v>
      </c>
      <c r="AD136" s="38">
        <f t="shared" ca="1" si="451"/>
        <v>25190.706808146821</v>
      </c>
      <c r="AE136" s="38">
        <f t="shared" ca="1" si="451"/>
        <v>25678.352882733856</v>
      </c>
      <c r="AF136" s="38">
        <f t="shared" ca="1" si="451"/>
        <v>25998.191071260357</v>
      </c>
      <c r="AG136" s="38">
        <f t="shared" ca="1" si="451"/>
        <v>26790.919946067839</v>
      </c>
      <c r="AH136" s="38">
        <f t="shared" ca="1" si="451"/>
        <v>27392.912804945499</v>
      </c>
      <c r="AI136" s="38">
        <f t="shared" ca="1" si="451"/>
        <v>28738.913895636051</v>
      </c>
      <c r="AJ136" s="38">
        <f t="shared" ca="1" si="451"/>
        <v>29607.081110712003</v>
      </c>
      <c r="AK136" s="38">
        <f t="shared" ref="AK136:BP136" ca="1" si="452" xml:space="preserve"> AK$124</f>
        <v>30917.628854932525</v>
      </c>
      <c r="AL136" s="38">
        <f t="shared" ca="1" si="452"/>
        <v>32099.712829417032</v>
      </c>
      <c r="AM136" s="38">
        <f t="shared" ca="1" si="452"/>
        <v>33655.79711295203</v>
      </c>
      <c r="AN136" s="38">
        <f t="shared" ca="1" si="452"/>
        <v>35116.479681155644</v>
      </c>
      <c r="AO136" s="38">
        <f t="shared" ca="1" si="452"/>
        <v>36983.51239394414</v>
      </c>
      <c r="AP136" s="38">
        <f t="shared" ca="1" si="452"/>
        <v>38763.073702258291</v>
      </c>
      <c r="AQ136" s="38">
        <f t="shared" ca="1" si="452"/>
        <v>40936.726446649976</v>
      </c>
      <c r="AR136" s="38">
        <f t="shared" ca="1" si="452"/>
        <v>43061.260758990291</v>
      </c>
      <c r="AS136" s="38">
        <f t="shared" ca="1" si="452"/>
        <v>45568.821273993526</v>
      </c>
      <c r="AT136" s="38">
        <f t="shared" ca="1" si="452"/>
        <v>48107.291795830701</v>
      </c>
      <c r="AU136" s="38">
        <f t="shared" ca="1" si="452"/>
        <v>51007.14083044116</v>
      </c>
      <c r="AV136" s="38">
        <f t="shared" ca="1" si="452"/>
        <v>53371.309733648362</v>
      </c>
      <c r="AW136" s="38">
        <f t="shared" ca="1" si="452"/>
        <v>56074.409890740986</v>
      </c>
      <c r="AX136" s="38">
        <f t="shared" ca="1" si="452"/>
        <v>58695.195958631535</v>
      </c>
      <c r="AY136" s="38">
        <f t="shared" ca="1" si="452"/>
        <v>61641.092403850795</v>
      </c>
      <c r="AZ136" s="38">
        <f t="shared" ca="1" si="452"/>
        <v>64631.593069655763</v>
      </c>
      <c r="BA136" s="38">
        <f t="shared" ca="1" si="452"/>
        <v>67968.904637338856</v>
      </c>
      <c r="BB136" s="38">
        <f t="shared" ca="1" si="452"/>
        <v>76095.644696998977</v>
      </c>
      <c r="BC136" s="38">
        <f t="shared" ca="1" si="452"/>
        <v>0</v>
      </c>
      <c r="BD136" s="38">
        <f t="shared" ca="1" si="452"/>
        <v>0</v>
      </c>
      <c r="BE136" s="38">
        <f t="shared" ca="1" si="452"/>
        <v>0</v>
      </c>
      <c r="BF136" s="38">
        <f t="shared" ca="1" si="452"/>
        <v>0</v>
      </c>
      <c r="BG136" s="38">
        <f t="shared" ca="1" si="452"/>
        <v>0</v>
      </c>
      <c r="BH136" s="38">
        <f t="shared" ca="1" si="452"/>
        <v>0</v>
      </c>
      <c r="BI136" s="38">
        <f t="shared" ca="1" si="452"/>
        <v>0</v>
      </c>
      <c r="BJ136" s="38">
        <f t="shared" ca="1" si="452"/>
        <v>0</v>
      </c>
      <c r="BK136" s="38">
        <f t="shared" ca="1" si="452"/>
        <v>0</v>
      </c>
      <c r="BL136" s="38">
        <f t="shared" ca="1" si="452"/>
        <v>0</v>
      </c>
      <c r="BM136" s="38">
        <f t="shared" ca="1" si="452"/>
        <v>0</v>
      </c>
      <c r="BN136" s="38">
        <f t="shared" ca="1" si="452"/>
        <v>0</v>
      </c>
      <c r="BO136" s="38">
        <f t="shared" ca="1" si="452"/>
        <v>0</v>
      </c>
      <c r="BP136" s="38">
        <f t="shared" ca="1" si="452"/>
        <v>0</v>
      </c>
      <c r="BQ136" s="38">
        <f t="shared" ref="BQ136:CV136" ca="1" si="453" xml:space="preserve"> BQ$124</f>
        <v>0</v>
      </c>
      <c r="BR136" s="38">
        <f t="shared" ca="1" si="453"/>
        <v>0</v>
      </c>
      <c r="BS136" s="38">
        <f t="shared" ca="1" si="453"/>
        <v>0</v>
      </c>
      <c r="BT136" s="38">
        <f t="shared" ca="1" si="453"/>
        <v>0</v>
      </c>
      <c r="BU136" s="38">
        <f t="shared" ca="1" si="453"/>
        <v>0</v>
      </c>
      <c r="BV136" s="38">
        <f t="shared" ca="1" si="453"/>
        <v>0</v>
      </c>
      <c r="BW136" s="38">
        <f t="shared" ca="1" si="453"/>
        <v>0</v>
      </c>
      <c r="BX136" s="38">
        <f t="shared" ca="1" si="453"/>
        <v>0</v>
      </c>
      <c r="BY136" s="38">
        <f t="shared" ca="1" si="453"/>
        <v>0</v>
      </c>
      <c r="BZ136" s="38">
        <f t="shared" ca="1" si="453"/>
        <v>0</v>
      </c>
      <c r="CA136" s="38">
        <f t="shared" ca="1" si="453"/>
        <v>0</v>
      </c>
      <c r="CB136" s="38">
        <f t="shared" ca="1" si="453"/>
        <v>0</v>
      </c>
      <c r="CC136" s="38">
        <f t="shared" ca="1" si="453"/>
        <v>0</v>
      </c>
      <c r="CD136" s="38">
        <f t="shared" ca="1" si="453"/>
        <v>0</v>
      </c>
      <c r="CE136" s="38">
        <f t="shared" ca="1" si="453"/>
        <v>0</v>
      </c>
      <c r="CF136" s="38">
        <f t="shared" ca="1" si="453"/>
        <v>0</v>
      </c>
      <c r="CG136" s="38">
        <f t="shared" ca="1" si="453"/>
        <v>0</v>
      </c>
      <c r="CH136" s="38">
        <f t="shared" ca="1" si="453"/>
        <v>0</v>
      </c>
      <c r="CI136" s="38">
        <f t="shared" ca="1" si="453"/>
        <v>0</v>
      </c>
      <c r="CJ136" s="38">
        <f t="shared" ca="1" si="453"/>
        <v>0</v>
      </c>
      <c r="CK136" s="38">
        <f t="shared" ca="1" si="453"/>
        <v>0</v>
      </c>
      <c r="CL136" s="38">
        <f t="shared" ca="1" si="453"/>
        <v>0</v>
      </c>
      <c r="CM136" s="38">
        <f t="shared" ca="1" si="453"/>
        <v>0</v>
      </c>
      <c r="CN136" s="38">
        <f t="shared" ca="1" si="453"/>
        <v>0</v>
      </c>
      <c r="CO136" s="38">
        <f t="shared" ca="1" si="453"/>
        <v>0</v>
      </c>
      <c r="CP136" s="38">
        <f t="shared" ca="1" si="453"/>
        <v>0</v>
      </c>
      <c r="CQ136" s="38">
        <f t="shared" ca="1" si="453"/>
        <v>0</v>
      </c>
      <c r="CR136" s="38">
        <f t="shared" ca="1" si="453"/>
        <v>0</v>
      </c>
      <c r="CS136" s="38">
        <f t="shared" ca="1" si="453"/>
        <v>0</v>
      </c>
      <c r="CT136" s="38">
        <f t="shared" ca="1" si="453"/>
        <v>0</v>
      </c>
      <c r="CU136" s="38">
        <f t="shared" ca="1" si="453"/>
        <v>0</v>
      </c>
      <c r="CV136" s="38">
        <f t="shared" ca="1" si="453"/>
        <v>0</v>
      </c>
      <c r="CW136" s="38">
        <f t="shared" ref="CW136:EB136" ca="1" si="454" xml:space="preserve"> CW$124</f>
        <v>0</v>
      </c>
      <c r="CX136" s="38">
        <f t="shared" ca="1" si="454"/>
        <v>0</v>
      </c>
      <c r="CY136" s="38">
        <f t="shared" ca="1" si="454"/>
        <v>0</v>
      </c>
      <c r="CZ136" s="38">
        <f t="shared" ca="1" si="454"/>
        <v>0</v>
      </c>
      <c r="DA136" s="38">
        <f t="shared" ca="1" si="454"/>
        <v>0</v>
      </c>
      <c r="DB136" s="38">
        <f t="shared" ca="1" si="454"/>
        <v>0</v>
      </c>
      <c r="DC136" s="38">
        <f t="shared" ca="1" si="454"/>
        <v>0</v>
      </c>
      <c r="DD136" s="38">
        <f t="shared" ca="1" si="454"/>
        <v>0</v>
      </c>
      <c r="DE136" s="38">
        <f t="shared" ca="1" si="454"/>
        <v>0</v>
      </c>
      <c r="DF136" s="38">
        <f t="shared" ca="1" si="454"/>
        <v>0</v>
      </c>
      <c r="DG136" s="38">
        <f t="shared" ca="1" si="454"/>
        <v>0</v>
      </c>
      <c r="DH136" s="38">
        <f t="shared" ca="1" si="454"/>
        <v>0</v>
      </c>
      <c r="DI136" s="38">
        <f t="shared" ca="1" si="454"/>
        <v>0</v>
      </c>
      <c r="DJ136" s="38">
        <f t="shared" ca="1" si="454"/>
        <v>0</v>
      </c>
      <c r="DK136" s="38">
        <f t="shared" ca="1" si="454"/>
        <v>0</v>
      </c>
      <c r="DL136" s="38">
        <f t="shared" ca="1" si="454"/>
        <v>0</v>
      </c>
      <c r="DM136" s="38">
        <f t="shared" ca="1" si="454"/>
        <v>0</v>
      </c>
      <c r="DN136" s="38">
        <f t="shared" ca="1" si="454"/>
        <v>0</v>
      </c>
      <c r="DO136" s="38">
        <f t="shared" ca="1" si="454"/>
        <v>0</v>
      </c>
      <c r="DP136" s="38">
        <f t="shared" ca="1" si="454"/>
        <v>0</v>
      </c>
      <c r="DQ136" s="38">
        <f t="shared" ca="1" si="454"/>
        <v>0</v>
      </c>
      <c r="DR136" s="38">
        <f t="shared" ca="1" si="454"/>
        <v>0</v>
      </c>
      <c r="DS136" s="38">
        <f t="shared" ca="1" si="454"/>
        <v>0</v>
      </c>
      <c r="DT136" s="38">
        <f t="shared" ca="1" si="454"/>
        <v>0</v>
      </c>
      <c r="DU136" s="38">
        <f t="shared" ca="1" si="454"/>
        <v>0</v>
      </c>
      <c r="DV136" s="38">
        <f t="shared" ca="1" si="454"/>
        <v>0</v>
      </c>
      <c r="DW136" s="38">
        <f t="shared" ca="1" si="454"/>
        <v>0</v>
      </c>
      <c r="DX136" s="38">
        <f t="shared" ca="1" si="454"/>
        <v>0</v>
      </c>
      <c r="DY136" s="38">
        <f t="shared" ca="1" si="454"/>
        <v>0</v>
      </c>
      <c r="DZ136" s="38">
        <f t="shared" ca="1" si="454"/>
        <v>0</v>
      </c>
      <c r="EA136" s="38">
        <f t="shared" ca="1" si="454"/>
        <v>0</v>
      </c>
      <c r="EB136" s="38">
        <f t="shared" ca="1" si="454"/>
        <v>0</v>
      </c>
      <c r="EC136" s="38">
        <f t="shared" ref="EC136:FH136" ca="1" si="455" xml:space="preserve"> EC$124</f>
        <v>0</v>
      </c>
      <c r="ED136" s="38">
        <f t="shared" ca="1" si="455"/>
        <v>0</v>
      </c>
      <c r="EE136" s="38">
        <f t="shared" ca="1" si="455"/>
        <v>0</v>
      </c>
      <c r="EF136" s="38">
        <f t="shared" ca="1" si="455"/>
        <v>0</v>
      </c>
      <c r="EG136" s="38">
        <f t="shared" ca="1" si="455"/>
        <v>0</v>
      </c>
      <c r="EH136" s="38">
        <f t="shared" ca="1" si="455"/>
        <v>0</v>
      </c>
      <c r="EI136" s="38">
        <f t="shared" ca="1" si="455"/>
        <v>0</v>
      </c>
      <c r="EJ136" s="38">
        <f t="shared" ca="1" si="455"/>
        <v>0</v>
      </c>
      <c r="EK136" s="38">
        <f t="shared" ca="1" si="455"/>
        <v>0</v>
      </c>
      <c r="EL136" s="38">
        <f t="shared" ca="1" si="455"/>
        <v>0</v>
      </c>
      <c r="EM136" s="38">
        <f t="shared" ca="1" si="455"/>
        <v>0</v>
      </c>
      <c r="EN136" s="38">
        <f t="shared" ca="1" si="455"/>
        <v>0</v>
      </c>
      <c r="EO136" s="38">
        <f t="shared" ca="1" si="455"/>
        <v>0</v>
      </c>
      <c r="EP136" s="38">
        <f t="shared" ca="1" si="455"/>
        <v>0</v>
      </c>
      <c r="EQ136" s="38">
        <f t="shared" ca="1" si="455"/>
        <v>0</v>
      </c>
      <c r="ER136" s="38">
        <f t="shared" ca="1" si="455"/>
        <v>0</v>
      </c>
      <c r="ES136" s="38">
        <f t="shared" ca="1" si="455"/>
        <v>0</v>
      </c>
      <c r="ET136" s="38">
        <f t="shared" ca="1" si="455"/>
        <v>0</v>
      </c>
      <c r="EU136" s="38">
        <f t="shared" ca="1" si="455"/>
        <v>0</v>
      </c>
      <c r="EV136" s="38">
        <f t="shared" ca="1" si="455"/>
        <v>0</v>
      </c>
      <c r="EW136" s="38">
        <f t="shared" ca="1" si="455"/>
        <v>0</v>
      </c>
      <c r="EX136" s="38">
        <f t="shared" ca="1" si="455"/>
        <v>0</v>
      </c>
      <c r="EY136" s="38">
        <f t="shared" ca="1" si="455"/>
        <v>0</v>
      </c>
      <c r="EZ136" s="38">
        <f t="shared" ca="1" si="455"/>
        <v>0</v>
      </c>
      <c r="FA136" s="38">
        <f t="shared" ca="1" si="455"/>
        <v>0</v>
      </c>
      <c r="FB136" s="38">
        <f t="shared" ca="1" si="455"/>
        <v>0</v>
      </c>
      <c r="FC136" s="38">
        <f t="shared" ca="1" si="455"/>
        <v>0</v>
      </c>
      <c r="FD136" s="38">
        <f t="shared" ca="1" si="455"/>
        <v>0</v>
      </c>
      <c r="FE136" s="38">
        <f t="shared" ca="1" si="455"/>
        <v>0</v>
      </c>
      <c r="FF136" s="38">
        <f t="shared" ca="1" si="455"/>
        <v>0</v>
      </c>
      <c r="FG136" s="38">
        <f t="shared" ca="1" si="455"/>
        <v>0</v>
      </c>
      <c r="FH136" s="38">
        <f t="shared" ca="1" si="455"/>
        <v>0</v>
      </c>
      <c r="FI136" s="38">
        <f t="shared" ref="FI136:GJ136" ca="1" si="456" xml:space="preserve"> FI$124</f>
        <v>0</v>
      </c>
      <c r="FJ136" s="38">
        <f t="shared" ca="1" si="456"/>
        <v>0</v>
      </c>
      <c r="FK136" s="38">
        <f t="shared" ca="1" si="456"/>
        <v>0</v>
      </c>
      <c r="FL136" s="38">
        <f t="shared" ca="1" si="456"/>
        <v>0</v>
      </c>
      <c r="FM136" s="38">
        <f t="shared" ca="1" si="456"/>
        <v>0</v>
      </c>
      <c r="FN136" s="38">
        <f t="shared" ca="1" si="456"/>
        <v>0</v>
      </c>
      <c r="FO136" s="38">
        <f t="shared" ca="1" si="456"/>
        <v>0</v>
      </c>
      <c r="FP136" s="38">
        <f t="shared" ca="1" si="456"/>
        <v>0</v>
      </c>
      <c r="FQ136" s="38">
        <f t="shared" ca="1" si="456"/>
        <v>0</v>
      </c>
      <c r="FR136" s="38">
        <f t="shared" ca="1" si="456"/>
        <v>0</v>
      </c>
      <c r="FS136" s="38">
        <f t="shared" ca="1" si="456"/>
        <v>0</v>
      </c>
      <c r="FT136" s="38">
        <f t="shared" ca="1" si="456"/>
        <v>0</v>
      </c>
      <c r="FU136" s="38">
        <f t="shared" ca="1" si="456"/>
        <v>0</v>
      </c>
      <c r="FV136" s="38">
        <f t="shared" ca="1" si="456"/>
        <v>0</v>
      </c>
      <c r="FW136" s="38">
        <f t="shared" ca="1" si="456"/>
        <v>0</v>
      </c>
      <c r="FX136" s="38">
        <f t="shared" ca="1" si="456"/>
        <v>0</v>
      </c>
      <c r="FY136" s="38">
        <f t="shared" ca="1" si="456"/>
        <v>0</v>
      </c>
      <c r="FZ136" s="38">
        <f t="shared" ca="1" si="456"/>
        <v>0</v>
      </c>
      <c r="GA136" s="38">
        <f t="shared" ca="1" si="456"/>
        <v>0</v>
      </c>
      <c r="GB136" s="38">
        <f t="shared" ca="1" si="456"/>
        <v>0</v>
      </c>
      <c r="GC136" s="38">
        <f t="shared" ca="1" si="456"/>
        <v>0</v>
      </c>
      <c r="GD136" s="38">
        <f t="shared" ca="1" si="456"/>
        <v>0</v>
      </c>
      <c r="GE136" s="38">
        <f t="shared" ca="1" si="456"/>
        <v>0</v>
      </c>
      <c r="GF136" s="38">
        <f t="shared" ca="1" si="456"/>
        <v>0</v>
      </c>
      <c r="GG136" s="38">
        <f t="shared" ca="1" si="456"/>
        <v>0</v>
      </c>
      <c r="GH136" s="38">
        <f t="shared" ca="1" si="456"/>
        <v>0</v>
      </c>
      <c r="GI136" s="38">
        <f t="shared" ca="1" si="456"/>
        <v>0</v>
      </c>
      <c r="GJ136" s="38">
        <f t="shared" ca="1" si="456"/>
        <v>0</v>
      </c>
    </row>
    <row r="137" spans="1:192" s="498" customFormat="1" outlineLevel="2" x14ac:dyDescent="0.2">
      <c r="A137" s="15"/>
      <c r="B137" s="15"/>
      <c r="C137" s="21"/>
      <c r="D137" s="48"/>
      <c r="E137" s="38" t="str">
        <f t="shared" ref="E137:AJ137" ca="1" si="457" xml:space="preserve"> E$128</f>
        <v>Tax losses utilised - P99</v>
      </c>
      <c r="F137" s="38">
        <f t="shared" ca="1" si="457"/>
        <v>0</v>
      </c>
      <c r="G137" s="38" t="str">
        <f t="shared" ca="1" si="457"/>
        <v>$ 000s</v>
      </c>
      <c r="H137" s="38">
        <f t="shared" ca="1" si="457"/>
        <v>0</v>
      </c>
      <c r="I137" s="38">
        <f t="shared" ca="1" si="457"/>
        <v>0</v>
      </c>
      <c r="J137" s="38">
        <f t="shared" ca="1" si="457"/>
        <v>0</v>
      </c>
      <c r="K137" s="38">
        <f t="shared" ca="1" si="457"/>
        <v>0</v>
      </c>
      <c r="L137" s="38">
        <f t="shared" ca="1" si="457"/>
        <v>0</v>
      </c>
      <c r="M137" s="38">
        <f t="shared" ca="1" si="457"/>
        <v>0</v>
      </c>
      <c r="N137" s="38">
        <f t="shared" ca="1" si="457"/>
        <v>0</v>
      </c>
      <c r="O137" s="38">
        <f t="shared" ca="1" si="457"/>
        <v>0</v>
      </c>
      <c r="P137" s="38">
        <f t="shared" ca="1" si="457"/>
        <v>0</v>
      </c>
      <c r="Q137" s="38">
        <f t="shared" ca="1" si="457"/>
        <v>0</v>
      </c>
      <c r="R137" s="38">
        <f t="shared" ca="1" si="457"/>
        <v>0</v>
      </c>
      <c r="S137" s="38">
        <f t="shared" ca="1" si="457"/>
        <v>0</v>
      </c>
      <c r="T137" s="38">
        <f t="shared" ca="1" si="457"/>
        <v>0</v>
      </c>
      <c r="U137" s="38">
        <f t="shared" ca="1" si="457"/>
        <v>0</v>
      </c>
      <c r="V137" s="38">
        <f t="shared" ca="1" si="457"/>
        <v>0</v>
      </c>
      <c r="W137" s="38">
        <f t="shared" ca="1" si="457"/>
        <v>0</v>
      </c>
      <c r="X137" s="38">
        <f t="shared" ca="1" si="457"/>
        <v>0</v>
      </c>
      <c r="Y137" s="38">
        <f t="shared" ca="1" si="457"/>
        <v>0</v>
      </c>
      <c r="Z137" s="38">
        <f t="shared" ca="1" si="457"/>
        <v>0</v>
      </c>
      <c r="AA137" s="38">
        <f t="shared" ca="1" si="457"/>
        <v>0</v>
      </c>
      <c r="AB137" s="38">
        <f t="shared" ca="1" si="457"/>
        <v>0</v>
      </c>
      <c r="AC137" s="38">
        <f t="shared" ca="1" si="457"/>
        <v>0</v>
      </c>
      <c r="AD137" s="38">
        <f t="shared" ca="1" si="457"/>
        <v>0</v>
      </c>
      <c r="AE137" s="38">
        <f t="shared" ca="1" si="457"/>
        <v>0</v>
      </c>
      <c r="AF137" s="38">
        <f t="shared" ca="1" si="457"/>
        <v>0</v>
      </c>
      <c r="AG137" s="38">
        <f t="shared" ca="1" si="457"/>
        <v>0</v>
      </c>
      <c r="AH137" s="38">
        <f t="shared" ca="1" si="457"/>
        <v>0</v>
      </c>
      <c r="AI137" s="38">
        <f t="shared" ca="1" si="457"/>
        <v>0</v>
      </c>
      <c r="AJ137" s="38">
        <f t="shared" ca="1" si="457"/>
        <v>0</v>
      </c>
      <c r="AK137" s="38">
        <f t="shared" ref="AK137:BP137" ca="1" si="458" xml:space="preserve"> AK$128</f>
        <v>0</v>
      </c>
      <c r="AL137" s="38">
        <f t="shared" ca="1" si="458"/>
        <v>0</v>
      </c>
      <c r="AM137" s="38">
        <f t="shared" ca="1" si="458"/>
        <v>0</v>
      </c>
      <c r="AN137" s="38">
        <f t="shared" ca="1" si="458"/>
        <v>0</v>
      </c>
      <c r="AO137" s="38">
        <f t="shared" ca="1" si="458"/>
        <v>0</v>
      </c>
      <c r="AP137" s="38">
        <f t="shared" ca="1" si="458"/>
        <v>0</v>
      </c>
      <c r="AQ137" s="38">
        <f t="shared" ca="1" si="458"/>
        <v>0</v>
      </c>
      <c r="AR137" s="38">
        <f t="shared" ca="1" si="458"/>
        <v>0</v>
      </c>
      <c r="AS137" s="38">
        <f t="shared" ca="1" si="458"/>
        <v>0</v>
      </c>
      <c r="AT137" s="38">
        <f t="shared" ca="1" si="458"/>
        <v>0</v>
      </c>
      <c r="AU137" s="38">
        <f t="shared" ca="1" si="458"/>
        <v>0</v>
      </c>
      <c r="AV137" s="38">
        <f t="shared" ca="1" si="458"/>
        <v>0</v>
      </c>
      <c r="AW137" s="38">
        <f t="shared" ca="1" si="458"/>
        <v>0</v>
      </c>
      <c r="AX137" s="38">
        <f t="shared" ca="1" si="458"/>
        <v>0</v>
      </c>
      <c r="AY137" s="38">
        <f t="shared" ca="1" si="458"/>
        <v>0</v>
      </c>
      <c r="AZ137" s="38">
        <f t="shared" ca="1" si="458"/>
        <v>0</v>
      </c>
      <c r="BA137" s="38">
        <f t="shared" ca="1" si="458"/>
        <v>0</v>
      </c>
      <c r="BB137" s="38">
        <f t="shared" ca="1" si="458"/>
        <v>0</v>
      </c>
      <c r="BC137" s="38">
        <f t="shared" ca="1" si="458"/>
        <v>0</v>
      </c>
      <c r="BD137" s="38">
        <f t="shared" ca="1" si="458"/>
        <v>0</v>
      </c>
      <c r="BE137" s="38">
        <f t="shared" ca="1" si="458"/>
        <v>0</v>
      </c>
      <c r="BF137" s="38">
        <f t="shared" ca="1" si="458"/>
        <v>0</v>
      </c>
      <c r="BG137" s="38">
        <f t="shared" ca="1" si="458"/>
        <v>0</v>
      </c>
      <c r="BH137" s="38">
        <f t="shared" ca="1" si="458"/>
        <v>0</v>
      </c>
      <c r="BI137" s="38">
        <f t="shared" ca="1" si="458"/>
        <v>0</v>
      </c>
      <c r="BJ137" s="38">
        <f t="shared" ca="1" si="458"/>
        <v>0</v>
      </c>
      <c r="BK137" s="38">
        <f t="shared" ca="1" si="458"/>
        <v>0</v>
      </c>
      <c r="BL137" s="38">
        <f t="shared" ca="1" si="458"/>
        <v>0</v>
      </c>
      <c r="BM137" s="38">
        <f t="shared" ca="1" si="458"/>
        <v>0</v>
      </c>
      <c r="BN137" s="38">
        <f t="shared" ca="1" si="458"/>
        <v>0</v>
      </c>
      <c r="BO137" s="38">
        <f t="shared" ca="1" si="458"/>
        <v>0</v>
      </c>
      <c r="BP137" s="38">
        <f t="shared" ca="1" si="458"/>
        <v>0</v>
      </c>
      <c r="BQ137" s="38">
        <f t="shared" ref="BQ137:CV137" ca="1" si="459" xml:space="preserve"> BQ$128</f>
        <v>0</v>
      </c>
      <c r="BR137" s="38">
        <f t="shared" ca="1" si="459"/>
        <v>0</v>
      </c>
      <c r="BS137" s="38">
        <f t="shared" ca="1" si="459"/>
        <v>0</v>
      </c>
      <c r="BT137" s="38">
        <f t="shared" ca="1" si="459"/>
        <v>0</v>
      </c>
      <c r="BU137" s="38">
        <f t="shared" ca="1" si="459"/>
        <v>0</v>
      </c>
      <c r="BV137" s="38">
        <f t="shared" ca="1" si="459"/>
        <v>0</v>
      </c>
      <c r="BW137" s="38">
        <f t="shared" ca="1" si="459"/>
        <v>0</v>
      </c>
      <c r="BX137" s="38">
        <f t="shared" ca="1" si="459"/>
        <v>0</v>
      </c>
      <c r="BY137" s="38">
        <f t="shared" ca="1" si="459"/>
        <v>0</v>
      </c>
      <c r="BZ137" s="38">
        <f t="shared" ca="1" si="459"/>
        <v>0</v>
      </c>
      <c r="CA137" s="38">
        <f t="shared" ca="1" si="459"/>
        <v>0</v>
      </c>
      <c r="CB137" s="38">
        <f t="shared" ca="1" si="459"/>
        <v>0</v>
      </c>
      <c r="CC137" s="38">
        <f t="shared" ca="1" si="459"/>
        <v>0</v>
      </c>
      <c r="CD137" s="38">
        <f t="shared" ca="1" si="459"/>
        <v>0</v>
      </c>
      <c r="CE137" s="38">
        <f t="shared" ca="1" si="459"/>
        <v>0</v>
      </c>
      <c r="CF137" s="38">
        <f t="shared" ca="1" si="459"/>
        <v>0</v>
      </c>
      <c r="CG137" s="38">
        <f t="shared" ca="1" si="459"/>
        <v>0</v>
      </c>
      <c r="CH137" s="38">
        <f t="shared" ca="1" si="459"/>
        <v>0</v>
      </c>
      <c r="CI137" s="38">
        <f t="shared" ca="1" si="459"/>
        <v>0</v>
      </c>
      <c r="CJ137" s="38">
        <f t="shared" ca="1" si="459"/>
        <v>0</v>
      </c>
      <c r="CK137" s="38">
        <f t="shared" ca="1" si="459"/>
        <v>0</v>
      </c>
      <c r="CL137" s="38">
        <f t="shared" ca="1" si="459"/>
        <v>0</v>
      </c>
      <c r="CM137" s="38">
        <f t="shared" ca="1" si="459"/>
        <v>0</v>
      </c>
      <c r="CN137" s="38">
        <f t="shared" ca="1" si="459"/>
        <v>0</v>
      </c>
      <c r="CO137" s="38">
        <f t="shared" ca="1" si="459"/>
        <v>0</v>
      </c>
      <c r="CP137" s="38">
        <f t="shared" ca="1" si="459"/>
        <v>0</v>
      </c>
      <c r="CQ137" s="38">
        <f t="shared" ca="1" si="459"/>
        <v>0</v>
      </c>
      <c r="CR137" s="38">
        <f t="shared" ca="1" si="459"/>
        <v>0</v>
      </c>
      <c r="CS137" s="38">
        <f t="shared" ca="1" si="459"/>
        <v>0</v>
      </c>
      <c r="CT137" s="38">
        <f t="shared" ca="1" si="459"/>
        <v>0</v>
      </c>
      <c r="CU137" s="38">
        <f t="shared" ca="1" si="459"/>
        <v>0</v>
      </c>
      <c r="CV137" s="38">
        <f t="shared" ca="1" si="459"/>
        <v>0</v>
      </c>
      <c r="CW137" s="38">
        <f t="shared" ref="CW137:EB137" ca="1" si="460" xml:space="preserve"> CW$128</f>
        <v>0</v>
      </c>
      <c r="CX137" s="38">
        <f t="shared" ca="1" si="460"/>
        <v>0</v>
      </c>
      <c r="CY137" s="38">
        <f t="shared" ca="1" si="460"/>
        <v>0</v>
      </c>
      <c r="CZ137" s="38">
        <f t="shared" ca="1" si="460"/>
        <v>0</v>
      </c>
      <c r="DA137" s="38">
        <f t="shared" ca="1" si="460"/>
        <v>0</v>
      </c>
      <c r="DB137" s="38">
        <f t="shared" ca="1" si="460"/>
        <v>0</v>
      </c>
      <c r="DC137" s="38">
        <f t="shared" ca="1" si="460"/>
        <v>0</v>
      </c>
      <c r="DD137" s="38">
        <f t="shared" ca="1" si="460"/>
        <v>0</v>
      </c>
      <c r="DE137" s="38">
        <f t="shared" ca="1" si="460"/>
        <v>0</v>
      </c>
      <c r="DF137" s="38">
        <f t="shared" ca="1" si="460"/>
        <v>0</v>
      </c>
      <c r="DG137" s="38">
        <f t="shared" ca="1" si="460"/>
        <v>0</v>
      </c>
      <c r="DH137" s="38">
        <f t="shared" ca="1" si="460"/>
        <v>0</v>
      </c>
      <c r="DI137" s="38">
        <f t="shared" ca="1" si="460"/>
        <v>0</v>
      </c>
      <c r="DJ137" s="38">
        <f t="shared" ca="1" si="460"/>
        <v>0</v>
      </c>
      <c r="DK137" s="38">
        <f t="shared" ca="1" si="460"/>
        <v>0</v>
      </c>
      <c r="DL137" s="38">
        <f t="shared" ca="1" si="460"/>
        <v>0</v>
      </c>
      <c r="DM137" s="38">
        <f t="shared" ca="1" si="460"/>
        <v>0</v>
      </c>
      <c r="DN137" s="38">
        <f t="shared" ca="1" si="460"/>
        <v>0</v>
      </c>
      <c r="DO137" s="38">
        <f t="shared" ca="1" si="460"/>
        <v>0</v>
      </c>
      <c r="DP137" s="38">
        <f t="shared" ca="1" si="460"/>
        <v>0</v>
      </c>
      <c r="DQ137" s="38">
        <f t="shared" ca="1" si="460"/>
        <v>0</v>
      </c>
      <c r="DR137" s="38">
        <f t="shared" ca="1" si="460"/>
        <v>0</v>
      </c>
      <c r="DS137" s="38">
        <f t="shared" ca="1" si="460"/>
        <v>0</v>
      </c>
      <c r="DT137" s="38">
        <f t="shared" ca="1" si="460"/>
        <v>0</v>
      </c>
      <c r="DU137" s="38">
        <f t="shared" ca="1" si="460"/>
        <v>0</v>
      </c>
      <c r="DV137" s="38">
        <f t="shared" ca="1" si="460"/>
        <v>0</v>
      </c>
      <c r="DW137" s="38">
        <f t="shared" ca="1" si="460"/>
        <v>0</v>
      </c>
      <c r="DX137" s="38">
        <f t="shared" ca="1" si="460"/>
        <v>0</v>
      </c>
      <c r="DY137" s="38">
        <f t="shared" ca="1" si="460"/>
        <v>0</v>
      </c>
      <c r="DZ137" s="38">
        <f t="shared" ca="1" si="460"/>
        <v>0</v>
      </c>
      <c r="EA137" s="38">
        <f t="shared" ca="1" si="460"/>
        <v>0</v>
      </c>
      <c r="EB137" s="38">
        <f t="shared" ca="1" si="460"/>
        <v>0</v>
      </c>
      <c r="EC137" s="38">
        <f t="shared" ref="EC137:FH137" ca="1" si="461" xml:space="preserve"> EC$128</f>
        <v>0</v>
      </c>
      <c r="ED137" s="38">
        <f t="shared" ca="1" si="461"/>
        <v>0</v>
      </c>
      <c r="EE137" s="38">
        <f t="shared" ca="1" si="461"/>
        <v>0</v>
      </c>
      <c r="EF137" s="38">
        <f t="shared" ca="1" si="461"/>
        <v>0</v>
      </c>
      <c r="EG137" s="38">
        <f t="shared" ca="1" si="461"/>
        <v>0</v>
      </c>
      <c r="EH137" s="38">
        <f t="shared" ca="1" si="461"/>
        <v>0</v>
      </c>
      <c r="EI137" s="38">
        <f t="shared" ca="1" si="461"/>
        <v>0</v>
      </c>
      <c r="EJ137" s="38">
        <f t="shared" ca="1" si="461"/>
        <v>0</v>
      </c>
      <c r="EK137" s="38">
        <f t="shared" ca="1" si="461"/>
        <v>0</v>
      </c>
      <c r="EL137" s="38">
        <f t="shared" ca="1" si="461"/>
        <v>0</v>
      </c>
      <c r="EM137" s="38">
        <f t="shared" ca="1" si="461"/>
        <v>0</v>
      </c>
      <c r="EN137" s="38">
        <f t="shared" ca="1" si="461"/>
        <v>0</v>
      </c>
      <c r="EO137" s="38">
        <f t="shared" ca="1" si="461"/>
        <v>0</v>
      </c>
      <c r="EP137" s="38">
        <f t="shared" ca="1" si="461"/>
        <v>0</v>
      </c>
      <c r="EQ137" s="38">
        <f t="shared" ca="1" si="461"/>
        <v>0</v>
      </c>
      <c r="ER137" s="38">
        <f t="shared" ca="1" si="461"/>
        <v>0</v>
      </c>
      <c r="ES137" s="38">
        <f t="shared" ca="1" si="461"/>
        <v>0</v>
      </c>
      <c r="ET137" s="38">
        <f t="shared" ca="1" si="461"/>
        <v>0</v>
      </c>
      <c r="EU137" s="38">
        <f t="shared" ca="1" si="461"/>
        <v>0</v>
      </c>
      <c r="EV137" s="38">
        <f t="shared" ca="1" si="461"/>
        <v>0</v>
      </c>
      <c r="EW137" s="38">
        <f t="shared" ca="1" si="461"/>
        <v>0</v>
      </c>
      <c r="EX137" s="38">
        <f t="shared" ca="1" si="461"/>
        <v>0</v>
      </c>
      <c r="EY137" s="38">
        <f t="shared" ca="1" si="461"/>
        <v>0</v>
      </c>
      <c r="EZ137" s="38">
        <f t="shared" ca="1" si="461"/>
        <v>0</v>
      </c>
      <c r="FA137" s="38">
        <f t="shared" ca="1" si="461"/>
        <v>0</v>
      </c>
      <c r="FB137" s="38">
        <f t="shared" ca="1" si="461"/>
        <v>0</v>
      </c>
      <c r="FC137" s="38">
        <f t="shared" ca="1" si="461"/>
        <v>0</v>
      </c>
      <c r="FD137" s="38">
        <f t="shared" ca="1" si="461"/>
        <v>0</v>
      </c>
      <c r="FE137" s="38">
        <f t="shared" ca="1" si="461"/>
        <v>0</v>
      </c>
      <c r="FF137" s="38">
        <f t="shared" ca="1" si="461"/>
        <v>0</v>
      </c>
      <c r="FG137" s="38">
        <f t="shared" ca="1" si="461"/>
        <v>0</v>
      </c>
      <c r="FH137" s="38">
        <f t="shared" ca="1" si="461"/>
        <v>0</v>
      </c>
      <c r="FI137" s="38">
        <f t="shared" ref="FI137:GJ137" ca="1" si="462" xml:space="preserve"> FI$128</f>
        <v>0</v>
      </c>
      <c r="FJ137" s="38">
        <f t="shared" ca="1" si="462"/>
        <v>0</v>
      </c>
      <c r="FK137" s="38">
        <f t="shared" ca="1" si="462"/>
        <v>0</v>
      </c>
      <c r="FL137" s="38">
        <f t="shared" ca="1" si="462"/>
        <v>0</v>
      </c>
      <c r="FM137" s="38">
        <f t="shared" ca="1" si="462"/>
        <v>0</v>
      </c>
      <c r="FN137" s="38">
        <f t="shared" ca="1" si="462"/>
        <v>0</v>
      </c>
      <c r="FO137" s="38">
        <f t="shared" ca="1" si="462"/>
        <v>0</v>
      </c>
      <c r="FP137" s="38">
        <f t="shared" ca="1" si="462"/>
        <v>0</v>
      </c>
      <c r="FQ137" s="38">
        <f t="shared" ca="1" si="462"/>
        <v>0</v>
      </c>
      <c r="FR137" s="38">
        <f t="shared" ca="1" si="462"/>
        <v>0</v>
      </c>
      <c r="FS137" s="38">
        <f t="shared" ca="1" si="462"/>
        <v>0</v>
      </c>
      <c r="FT137" s="38">
        <f t="shared" ca="1" si="462"/>
        <v>0</v>
      </c>
      <c r="FU137" s="38">
        <f t="shared" ca="1" si="462"/>
        <v>0</v>
      </c>
      <c r="FV137" s="38">
        <f t="shared" ca="1" si="462"/>
        <v>0</v>
      </c>
      <c r="FW137" s="38">
        <f t="shared" ca="1" si="462"/>
        <v>0</v>
      </c>
      <c r="FX137" s="38">
        <f t="shared" ca="1" si="462"/>
        <v>0</v>
      </c>
      <c r="FY137" s="38">
        <f t="shared" ca="1" si="462"/>
        <v>0</v>
      </c>
      <c r="FZ137" s="38">
        <f t="shared" ca="1" si="462"/>
        <v>0</v>
      </c>
      <c r="GA137" s="38">
        <f t="shared" ca="1" si="462"/>
        <v>0</v>
      </c>
      <c r="GB137" s="38">
        <f t="shared" ca="1" si="462"/>
        <v>0</v>
      </c>
      <c r="GC137" s="38">
        <f t="shared" ca="1" si="462"/>
        <v>0</v>
      </c>
      <c r="GD137" s="38">
        <f t="shared" ca="1" si="462"/>
        <v>0</v>
      </c>
      <c r="GE137" s="38">
        <f t="shared" ca="1" si="462"/>
        <v>0</v>
      </c>
      <c r="GF137" s="38">
        <f t="shared" ca="1" si="462"/>
        <v>0</v>
      </c>
      <c r="GG137" s="38">
        <f t="shared" ca="1" si="462"/>
        <v>0</v>
      </c>
      <c r="GH137" s="38">
        <f t="shared" ca="1" si="462"/>
        <v>0</v>
      </c>
      <c r="GI137" s="38">
        <f t="shared" ca="1" si="462"/>
        <v>0</v>
      </c>
      <c r="GJ137" s="38">
        <f t="shared" ca="1" si="462"/>
        <v>0</v>
      </c>
    </row>
    <row r="138" spans="1:192" s="503" customFormat="1" outlineLevel="2" x14ac:dyDescent="0.2">
      <c r="A138" s="221"/>
      <c r="B138" s="221"/>
      <c r="C138" s="222"/>
      <c r="D138" s="223"/>
      <c r="E138" s="224" t="s">
        <v>1249</v>
      </c>
      <c r="F138" s="224"/>
      <c r="G138" s="224" t="str">
        <f xml:space="preserve"> SMU</f>
        <v>$ 000s</v>
      </c>
      <c r="H138" s="224"/>
      <c r="I138" s="225"/>
      <c r="J138" s="224">
        <f t="shared" ref="J138:BU138" ca="1" si="463" xml:space="preserve"> J135 + J136 - J137</f>
        <v>0</v>
      </c>
      <c r="K138" s="224">
        <f t="shared" ca="1" si="463"/>
        <v>0</v>
      </c>
      <c r="L138" s="224">
        <f t="shared" ca="1" si="463"/>
        <v>0</v>
      </c>
      <c r="M138" s="224">
        <f t="shared" ca="1" si="463"/>
        <v>0</v>
      </c>
      <c r="N138" s="224">
        <f t="shared" ca="1" si="463"/>
        <v>0</v>
      </c>
      <c r="O138" s="224">
        <f t="shared" ca="1" si="463"/>
        <v>41690.55932008558</v>
      </c>
      <c r="P138" s="224">
        <f t="shared" ca="1" si="463"/>
        <v>80143.664763035689</v>
      </c>
      <c r="Q138" s="224">
        <f t="shared" ca="1" si="463"/>
        <v>116294.19393418782</v>
      </c>
      <c r="R138" s="224">
        <f t="shared" ca="1" si="463"/>
        <v>150001.84545359077</v>
      </c>
      <c r="S138" s="224">
        <f t="shared" ca="1" si="463"/>
        <v>182009.7203013562</v>
      </c>
      <c r="T138" s="224">
        <f t="shared" ca="1" si="463"/>
        <v>212142.93180968874</v>
      </c>
      <c r="U138" s="224">
        <f t="shared" ca="1" si="463"/>
        <v>241084.50213092484</v>
      </c>
      <c r="V138" s="224">
        <f t="shared" ca="1" si="463"/>
        <v>268685.81756566098</v>
      </c>
      <c r="W138" s="224">
        <f t="shared" ca="1" si="463"/>
        <v>295477.27972912596</v>
      </c>
      <c r="X138" s="224">
        <f t="shared" ca="1" si="463"/>
        <v>321298.77591634955</v>
      </c>
      <c r="Y138" s="224">
        <f t="shared" ca="1" si="463"/>
        <v>347120.01507789775</v>
      </c>
      <c r="Z138" s="224">
        <f t="shared" ca="1" si="463"/>
        <v>372328.49333651341</v>
      </c>
      <c r="AA138" s="224">
        <f t="shared" ca="1" si="463"/>
        <v>397485.08622422232</v>
      </c>
      <c r="AB138" s="224">
        <f t="shared" ca="1" si="463"/>
        <v>422361.38346935797</v>
      </c>
      <c r="AC138" s="224">
        <f t="shared" ca="1" si="463"/>
        <v>447486.29704767658</v>
      </c>
      <c r="AD138" s="224">
        <f t="shared" ca="1" si="463"/>
        <v>472677.00385582342</v>
      </c>
      <c r="AE138" s="224">
        <f t="shared" ca="1" si="463"/>
        <v>498355.35673855728</v>
      </c>
      <c r="AF138" s="224">
        <f t="shared" ca="1" si="463"/>
        <v>524353.5478098176</v>
      </c>
      <c r="AG138" s="224">
        <f t="shared" ca="1" si="463"/>
        <v>551144.46775588545</v>
      </c>
      <c r="AH138" s="224">
        <f t="shared" ca="1" si="463"/>
        <v>578537.38056083093</v>
      </c>
      <c r="AI138" s="224">
        <f t="shared" ca="1" si="463"/>
        <v>607276.29445646703</v>
      </c>
      <c r="AJ138" s="224">
        <f t="shared" ca="1" si="463"/>
        <v>636883.37556717906</v>
      </c>
      <c r="AK138" s="224">
        <f t="shared" ca="1" si="463"/>
        <v>667801.00442211155</v>
      </c>
      <c r="AL138" s="224">
        <f t="shared" ca="1" si="463"/>
        <v>699900.71725152864</v>
      </c>
      <c r="AM138" s="224">
        <f t="shared" ca="1" si="463"/>
        <v>733556.51436448062</v>
      </c>
      <c r="AN138" s="224">
        <f t="shared" ca="1" si="463"/>
        <v>768672.99404563627</v>
      </c>
      <c r="AO138" s="224">
        <f t="shared" ca="1" si="463"/>
        <v>805656.50643958035</v>
      </c>
      <c r="AP138" s="224">
        <f t="shared" ca="1" si="463"/>
        <v>844419.58014183864</v>
      </c>
      <c r="AQ138" s="224">
        <f t="shared" ca="1" si="463"/>
        <v>885356.30658848863</v>
      </c>
      <c r="AR138" s="224">
        <f t="shared" ca="1" si="463"/>
        <v>928417.56734747894</v>
      </c>
      <c r="AS138" s="224">
        <f t="shared" ca="1" si="463"/>
        <v>973986.38862147252</v>
      </c>
      <c r="AT138" s="224">
        <f t="shared" ca="1" si="463"/>
        <v>1022093.6804173032</v>
      </c>
      <c r="AU138" s="224">
        <f t="shared" ca="1" si="463"/>
        <v>1073100.8212477444</v>
      </c>
      <c r="AV138" s="224">
        <f t="shared" ca="1" si="463"/>
        <v>1126472.1309813927</v>
      </c>
      <c r="AW138" s="224">
        <f t="shared" ca="1" si="463"/>
        <v>1182546.5408721336</v>
      </c>
      <c r="AX138" s="224">
        <f t="shared" ca="1" si="463"/>
        <v>1241241.7368307651</v>
      </c>
      <c r="AY138" s="224">
        <f t="shared" ca="1" si="463"/>
        <v>1302882.8292346159</v>
      </c>
      <c r="AZ138" s="224">
        <f t="shared" ca="1" si="463"/>
        <v>1367514.4223042717</v>
      </c>
      <c r="BA138" s="224">
        <f t="shared" ca="1" si="463"/>
        <v>1435483.3269416105</v>
      </c>
      <c r="BB138" s="224">
        <f t="shared" ca="1" si="463"/>
        <v>1511578.9716386094</v>
      </c>
      <c r="BC138" s="224">
        <f t="shared" ca="1" si="463"/>
        <v>1511578.9716386094</v>
      </c>
      <c r="BD138" s="224">
        <f t="shared" ca="1" si="463"/>
        <v>1511578.9716386094</v>
      </c>
      <c r="BE138" s="224">
        <f t="shared" ca="1" si="463"/>
        <v>1511578.9716386094</v>
      </c>
      <c r="BF138" s="224">
        <f t="shared" ca="1" si="463"/>
        <v>1511578.9716386094</v>
      </c>
      <c r="BG138" s="224">
        <f t="shared" ca="1" si="463"/>
        <v>1511578.9716386094</v>
      </c>
      <c r="BH138" s="224">
        <f t="shared" ca="1" si="463"/>
        <v>1511578.9716386094</v>
      </c>
      <c r="BI138" s="224">
        <f t="shared" ca="1" si="463"/>
        <v>1511578.9716386094</v>
      </c>
      <c r="BJ138" s="224">
        <f t="shared" ca="1" si="463"/>
        <v>1511578.9716386094</v>
      </c>
      <c r="BK138" s="224">
        <f t="shared" ca="1" si="463"/>
        <v>1511578.9716386094</v>
      </c>
      <c r="BL138" s="224">
        <f t="shared" ca="1" si="463"/>
        <v>1511578.9716386094</v>
      </c>
      <c r="BM138" s="224">
        <f t="shared" ca="1" si="463"/>
        <v>1511578.9716386094</v>
      </c>
      <c r="BN138" s="224">
        <f t="shared" ca="1" si="463"/>
        <v>1511578.9716386094</v>
      </c>
      <c r="BO138" s="224">
        <f t="shared" ca="1" si="463"/>
        <v>1511578.9716386094</v>
      </c>
      <c r="BP138" s="224">
        <f t="shared" ca="1" si="463"/>
        <v>1511578.9716386094</v>
      </c>
      <c r="BQ138" s="224">
        <f t="shared" ca="1" si="463"/>
        <v>1511578.9716386094</v>
      </c>
      <c r="BR138" s="224">
        <f t="shared" ca="1" si="463"/>
        <v>1511578.9716386094</v>
      </c>
      <c r="BS138" s="224">
        <f t="shared" ca="1" si="463"/>
        <v>1511578.9716386094</v>
      </c>
      <c r="BT138" s="224">
        <f t="shared" ca="1" si="463"/>
        <v>1511578.9716386094</v>
      </c>
      <c r="BU138" s="224">
        <f t="shared" ca="1" si="463"/>
        <v>1511578.9716386094</v>
      </c>
      <c r="BV138" s="224">
        <f t="shared" ref="BV138:CV138" ca="1" si="464" xml:space="preserve"> BV135 + BV136 - BV137</f>
        <v>1511578.9716386094</v>
      </c>
      <c r="BW138" s="224">
        <f t="shared" ca="1" si="464"/>
        <v>1511578.9716386094</v>
      </c>
      <c r="BX138" s="224">
        <f t="shared" ca="1" si="464"/>
        <v>1511578.9716386094</v>
      </c>
      <c r="BY138" s="224">
        <f t="shared" ca="1" si="464"/>
        <v>1511578.9716386094</v>
      </c>
      <c r="BZ138" s="224">
        <f t="shared" ca="1" si="464"/>
        <v>1511578.9716386094</v>
      </c>
      <c r="CA138" s="224">
        <f t="shared" ca="1" si="464"/>
        <v>1511578.9716386094</v>
      </c>
      <c r="CB138" s="224">
        <f t="shared" ca="1" si="464"/>
        <v>1511578.9716386094</v>
      </c>
      <c r="CC138" s="224">
        <f t="shared" ca="1" si="464"/>
        <v>1511578.9716386094</v>
      </c>
      <c r="CD138" s="224">
        <f t="shared" ca="1" si="464"/>
        <v>1511578.9716386094</v>
      </c>
      <c r="CE138" s="224">
        <f t="shared" ca="1" si="464"/>
        <v>1511578.9716386094</v>
      </c>
      <c r="CF138" s="224">
        <f t="shared" ca="1" si="464"/>
        <v>1511578.9716386094</v>
      </c>
      <c r="CG138" s="224">
        <f t="shared" ca="1" si="464"/>
        <v>1511578.9716386094</v>
      </c>
      <c r="CH138" s="224">
        <f t="shared" ca="1" si="464"/>
        <v>1511578.9716386094</v>
      </c>
      <c r="CI138" s="224">
        <f t="shared" ca="1" si="464"/>
        <v>1511578.9716386094</v>
      </c>
      <c r="CJ138" s="224">
        <f t="shared" ca="1" si="464"/>
        <v>1511578.9716386094</v>
      </c>
      <c r="CK138" s="224">
        <f t="shared" ca="1" si="464"/>
        <v>1511578.9716386094</v>
      </c>
      <c r="CL138" s="224">
        <f t="shared" ca="1" si="464"/>
        <v>1511578.9716386094</v>
      </c>
      <c r="CM138" s="224">
        <f t="shared" ca="1" si="464"/>
        <v>1511578.9716386094</v>
      </c>
      <c r="CN138" s="224">
        <f t="shared" ca="1" si="464"/>
        <v>1511578.9716386094</v>
      </c>
      <c r="CO138" s="224">
        <f t="shared" ca="1" si="464"/>
        <v>1511578.9716386094</v>
      </c>
      <c r="CP138" s="224">
        <f t="shared" ca="1" si="464"/>
        <v>1511578.9716386094</v>
      </c>
      <c r="CQ138" s="224">
        <f t="shared" ca="1" si="464"/>
        <v>1511578.9716386094</v>
      </c>
      <c r="CR138" s="224">
        <f t="shared" ca="1" si="464"/>
        <v>1511578.9716386094</v>
      </c>
      <c r="CS138" s="224">
        <f t="shared" ca="1" si="464"/>
        <v>1511578.9716386094</v>
      </c>
      <c r="CT138" s="224">
        <f t="shared" ca="1" si="464"/>
        <v>1511578.9716386094</v>
      </c>
      <c r="CU138" s="224">
        <f t="shared" ca="1" si="464"/>
        <v>1511578.9716386094</v>
      </c>
      <c r="CV138" s="224">
        <f t="shared" ca="1" si="464"/>
        <v>1511578.9716386094</v>
      </c>
    </row>
    <row r="139" spans="1:192" s="498" customFormat="1" outlineLevel="2" x14ac:dyDescent="0.2">
      <c r="A139" s="15"/>
      <c r="B139" s="15"/>
      <c r="C139" s="21"/>
      <c r="D139" s="48"/>
      <c r="E139" s="214"/>
      <c r="F139" s="214"/>
      <c r="G139" s="214"/>
      <c r="H139" s="214"/>
      <c r="I139" s="38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</row>
    <row r="140" spans="1:192" s="498" customFormat="1" x14ac:dyDescent="0.2">
      <c r="A140" s="15"/>
      <c r="B140" s="15"/>
      <c r="C140" s="21"/>
      <c r="D140" s="48"/>
      <c r="E140" s="214"/>
      <c r="F140" s="214"/>
      <c r="G140" s="214"/>
      <c r="H140" s="214"/>
      <c r="I140" s="38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  <c r="CL140" s="214"/>
      <c r="CM140" s="214"/>
      <c r="CN140" s="214"/>
      <c r="CO140" s="214"/>
      <c r="CP140" s="214"/>
      <c r="CQ140" s="214"/>
      <c r="CR140" s="214"/>
      <c r="CS140" s="214"/>
      <c r="CT140" s="214"/>
      <c r="CU140" s="214"/>
      <c r="CV140" s="214"/>
    </row>
    <row r="141" spans="1:192" s="498" customFormat="1" x14ac:dyDescent="0.2">
      <c r="A141" s="15" t="s">
        <v>1319</v>
      </c>
      <c r="B141" s="15"/>
      <c r="C141" s="21"/>
      <c r="D141" s="48"/>
      <c r="E141" s="214"/>
      <c r="F141" s="214"/>
      <c r="G141" s="214"/>
      <c r="H141" s="214"/>
      <c r="I141" s="38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  <c r="CL141" s="214"/>
      <c r="CM141" s="214"/>
      <c r="CN141" s="214"/>
      <c r="CO141" s="214"/>
      <c r="CP141" s="214"/>
      <c r="CQ141" s="214"/>
      <c r="CR141" s="214"/>
      <c r="CS141" s="214"/>
      <c r="CT141" s="214"/>
      <c r="CU141" s="214"/>
      <c r="CV141" s="214"/>
    </row>
    <row r="142" spans="1:192" outlineLevel="1" x14ac:dyDescent="0.2">
      <c r="E142" s="145" t="str">
        <f xml:space="preserve"> InpC!E$402</f>
        <v>Corporate income tax rate</v>
      </c>
      <c r="F142" s="316">
        <f xml:space="preserve"> InpC!F$402</f>
        <v>0.2</v>
      </c>
      <c r="G142" s="145" t="str">
        <f xml:space="preserve"> InpC!G$402</f>
        <v>%</v>
      </c>
      <c r="H142" s="38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</row>
    <row r="143" spans="1:192" outlineLevel="1" x14ac:dyDescent="0.2">
      <c r="E143" s="12" t="str">
        <f t="shared" ref="E143:AJ143" ca="1" si="465" xml:space="preserve"> E$132</f>
        <v>Taxable income net of tax losses utilised - P99</v>
      </c>
      <c r="F143" s="12">
        <f t="shared" ca="1" si="465"/>
        <v>0</v>
      </c>
      <c r="G143" s="12" t="str">
        <f t="shared" ca="1" si="465"/>
        <v>$ 000s</v>
      </c>
      <c r="H143" s="12">
        <f t="shared" ca="1" si="465"/>
        <v>0</v>
      </c>
      <c r="I143" s="12">
        <f t="shared" ca="1" si="465"/>
        <v>0</v>
      </c>
      <c r="J143" s="12">
        <f t="shared" ca="1" si="465"/>
        <v>0</v>
      </c>
      <c r="K143" s="12">
        <f t="shared" ca="1" si="465"/>
        <v>0</v>
      </c>
      <c r="L143" s="12">
        <f t="shared" ca="1" si="465"/>
        <v>0</v>
      </c>
      <c r="M143" s="12">
        <f t="shared" ca="1" si="465"/>
        <v>0</v>
      </c>
      <c r="N143" s="12">
        <f t="shared" ca="1" si="465"/>
        <v>0</v>
      </c>
      <c r="O143" s="12">
        <f t="shared" ca="1" si="465"/>
        <v>0</v>
      </c>
      <c r="P143" s="12">
        <f t="shared" ca="1" si="465"/>
        <v>0</v>
      </c>
      <c r="Q143" s="12">
        <f t="shared" ca="1" si="465"/>
        <v>0</v>
      </c>
      <c r="R143" s="12">
        <f t="shared" ca="1" si="465"/>
        <v>0</v>
      </c>
      <c r="S143" s="12">
        <f t="shared" ca="1" si="465"/>
        <v>0</v>
      </c>
      <c r="T143" s="12">
        <f t="shared" ca="1" si="465"/>
        <v>0</v>
      </c>
      <c r="U143" s="12">
        <f t="shared" ca="1" si="465"/>
        <v>0</v>
      </c>
      <c r="V143" s="12">
        <f t="shared" ca="1" si="465"/>
        <v>0</v>
      </c>
      <c r="W143" s="12">
        <f t="shared" ca="1" si="465"/>
        <v>0</v>
      </c>
      <c r="X143" s="12">
        <f t="shared" ca="1" si="465"/>
        <v>0</v>
      </c>
      <c r="Y143" s="12">
        <f t="shared" ca="1" si="465"/>
        <v>0</v>
      </c>
      <c r="Z143" s="12">
        <f t="shared" ca="1" si="465"/>
        <v>0</v>
      </c>
      <c r="AA143" s="12">
        <f t="shared" ca="1" si="465"/>
        <v>0</v>
      </c>
      <c r="AB143" s="12">
        <f t="shared" ca="1" si="465"/>
        <v>0</v>
      </c>
      <c r="AC143" s="12">
        <f t="shared" ca="1" si="465"/>
        <v>0</v>
      </c>
      <c r="AD143" s="12">
        <f t="shared" ca="1" si="465"/>
        <v>0</v>
      </c>
      <c r="AE143" s="12">
        <f t="shared" ca="1" si="465"/>
        <v>0</v>
      </c>
      <c r="AF143" s="12">
        <f t="shared" ca="1" si="465"/>
        <v>0</v>
      </c>
      <c r="AG143" s="12">
        <f t="shared" ca="1" si="465"/>
        <v>0</v>
      </c>
      <c r="AH143" s="12">
        <f t="shared" ca="1" si="465"/>
        <v>0</v>
      </c>
      <c r="AI143" s="12">
        <f t="shared" ca="1" si="465"/>
        <v>0</v>
      </c>
      <c r="AJ143" s="12">
        <f t="shared" ca="1" si="465"/>
        <v>0</v>
      </c>
      <c r="AK143" s="12">
        <f t="shared" ref="AK143:BP143" ca="1" si="466" xml:space="preserve"> AK$132</f>
        <v>0</v>
      </c>
      <c r="AL143" s="12">
        <f t="shared" ca="1" si="466"/>
        <v>0</v>
      </c>
      <c r="AM143" s="12">
        <f t="shared" ca="1" si="466"/>
        <v>0</v>
      </c>
      <c r="AN143" s="12">
        <f t="shared" ca="1" si="466"/>
        <v>0</v>
      </c>
      <c r="AO143" s="12">
        <f t="shared" ca="1" si="466"/>
        <v>0</v>
      </c>
      <c r="AP143" s="12">
        <f t="shared" ca="1" si="466"/>
        <v>0</v>
      </c>
      <c r="AQ143" s="12">
        <f t="shared" ca="1" si="466"/>
        <v>0</v>
      </c>
      <c r="AR143" s="12">
        <f t="shared" ca="1" si="466"/>
        <v>0</v>
      </c>
      <c r="AS143" s="12">
        <f t="shared" ca="1" si="466"/>
        <v>0</v>
      </c>
      <c r="AT143" s="12">
        <f t="shared" ca="1" si="466"/>
        <v>0</v>
      </c>
      <c r="AU143" s="12">
        <f t="shared" ca="1" si="466"/>
        <v>0</v>
      </c>
      <c r="AV143" s="12">
        <f t="shared" ca="1" si="466"/>
        <v>0</v>
      </c>
      <c r="AW143" s="12">
        <f t="shared" ca="1" si="466"/>
        <v>0</v>
      </c>
      <c r="AX143" s="12">
        <f t="shared" ca="1" si="466"/>
        <v>0</v>
      </c>
      <c r="AY143" s="12">
        <f t="shared" ca="1" si="466"/>
        <v>0</v>
      </c>
      <c r="AZ143" s="12">
        <f t="shared" ca="1" si="466"/>
        <v>0</v>
      </c>
      <c r="BA143" s="12">
        <f t="shared" ca="1" si="466"/>
        <v>0</v>
      </c>
      <c r="BB143" s="12">
        <f t="shared" ca="1" si="466"/>
        <v>0</v>
      </c>
      <c r="BC143" s="12">
        <f t="shared" ca="1" si="466"/>
        <v>0</v>
      </c>
      <c r="BD143" s="12">
        <f t="shared" ca="1" si="466"/>
        <v>0</v>
      </c>
      <c r="BE143" s="12">
        <f t="shared" ca="1" si="466"/>
        <v>0</v>
      </c>
      <c r="BF143" s="12">
        <f t="shared" ca="1" si="466"/>
        <v>0</v>
      </c>
      <c r="BG143" s="12">
        <f t="shared" ca="1" si="466"/>
        <v>0</v>
      </c>
      <c r="BH143" s="12">
        <f t="shared" ca="1" si="466"/>
        <v>0</v>
      </c>
      <c r="BI143" s="12">
        <f t="shared" ca="1" si="466"/>
        <v>0</v>
      </c>
      <c r="BJ143" s="12">
        <f t="shared" ca="1" si="466"/>
        <v>0</v>
      </c>
      <c r="BK143" s="12">
        <f t="shared" ca="1" si="466"/>
        <v>0</v>
      </c>
      <c r="BL143" s="12">
        <f t="shared" ca="1" si="466"/>
        <v>0</v>
      </c>
      <c r="BM143" s="12">
        <f t="shared" ca="1" si="466"/>
        <v>0</v>
      </c>
      <c r="BN143" s="12">
        <f t="shared" ca="1" si="466"/>
        <v>0</v>
      </c>
      <c r="BO143" s="12">
        <f t="shared" ca="1" si="466"/>
        <v>0</v>
      </c>
      <c r="BP143" s="12">
        <f t="shared" ca="1" si="466"/>
        <v>0</v>
      </c>
      <c r="BQ143" s="12">
        <f t="shared" ref="BQ143:CV143" ca="1" si="467" xml:space="preserve"> BQ$132</f>
        <v>0</v>
      </c>
      <c r="BR143" s="12">
        <f t="shared" ca="1" si="467"/>
        <v>0</v>
      </c>
      <c r="BS143" s="12">
        <f t="shared" ca="1" si="467"/>
        <v>0</v>
      </c>
      <c r="BT143" s="12">
        <f t="shared" ca="1" si="467"/>
        <v>0</v>
      </c>
      <c r="BU143" s="12">
        <f t="shared" ca="1" si="467"/>
        <v>0</v>
      </c>
      <c r="BV143" s="12">
        <f t="shared" ca="1" si="467"/>
        <v>0</v>
      </c>
      <c r="BW143" s="12">
        <f t="shared" ca="1" si="467"/>
        <v>0</v>
      </c>
      <c r="BX143" s="12">
        <f t="shared" ca="1" si="467"/>
        <v>0</v>
      </c>
      <c r="BY143" s="12">
        <f t="shared" ca="1" si="467"/>
        <v>0</v>
      </c>
      <c r="BZ143" s="12">
        <f t="shared" ca="1" si="467"/>
        <v>0</v>
      </c>
      <c r="CA143" s="12">
        <f t="shared" ca="1" si="467"/>
        <v>0</v>
      </c>
      <c r="CB143" s="12">
        <f t="shared" ca="1" si="467"/>
        <v>0</v>
      </c>
      <c r="CC143" s="12">
        <f t="shared" ca="1" si="467"/>
        <v>0</v>
      </c>
      <c r="CD143" s="12">
        <f t="shared" ca="1" si="467"/>
        <v>0</v>
      </c>
      <c r="CE143" s="12">
        <f t="shared" ca="1" si="467"/>
        <v>0</v>
      </c>
      <c r="CF143" s="12">
        <f t="shared" ca="1" si="467"/>
        <v>0</v>
      </c>
      <c r="CG143" s="12">
        <f t="shared" ca="1" si="467"/>
        <v>0</v>
      </c>
      <c r="CH143" s="12">
        <f t="shared" ca="1" si="467"/>
        <v>0</v>
      </c>
      <c r="CI143" s="12">
        <f t="shared" ca="1" si="467"/>
        <v>0</v>
      </c>
      <c r="CJ143" s="12">
        <f t="shared" ca="1" si="467"/>
        <v>0</v>
      </c>
      <c r="CK143" s="12">
        <f t="shared" ca="1" si="467"/>
        <v>0</v>
      </c>
      <c r="CL143" s="12">
        <f t="shared" ca="1" si="467"/>
        <v>0</v>
      </c>
      <c r="CM143" s="12">
        <f t="shared" ca="1" si="467"/>
        <v>0</v>
      </c>
      <c r="CN143" s="12">
        <f t="shared" ca="1" si="467"/>
        <v>0</v>
      </c>
      <c r="CO143" s="12">
        <f t="shared" ca="1" si="467"/>
        <v>0</v>
      </c>
      <c r="CP143" s="12">
        <f t="shared" ca="1" si="467"/>
        <v>0</v>
      </c>
      <c r="CQ143" s="12">
        <f t="shared" ca="1" si="467"/>
        <v>0</v>
      </c>
      <c r="CR143" s="12">
        <f t="shared" ca="1" si="467"/>
        <v>0</v>
      </c>
      <c r="CS143" s="12">
        <f t="shared" ca="1" si="467"/>
        <v>0</v>
      </c>
      <c r="CT143" s="12">
        <f t="shared" ca="1" si="467"/>
        <v>0</v>
      </c>
      <c r="CU143" s="12">
        <f t="shared" ca="1" si="467"/>
        <v>0</v>
      </c>
      <c r="CV143" s="12">
        <f t="shared" ca="1" si="467"/>
        <v>0</v>
      </c>
      <c r="CW143" s="12">
        <f t="shared" ref="CW143:EB143" ca="1" si="468" xml:space="preserve"> CW$132</f>
        <v>0</v>
      </c>
      <c r="CX143" s="12">
        <f t="shared" ca="1" si="468"/>
        <v>0</v>
      </c>
      <c r="CY143" s="12">
        <f t="shared" ca="1" si="468"/>
        <v>0</v>
      </c>
      <c r="CZ143" s="12">
        <f t="shared" ca="1" si="468"/>
        <v>0</v>
      </c>
      <c r="DA143" s="12">
        <f t="shared" ca="1" si="468"/>
        <v>0</v>
      </c>
      <c r="DB143" s="12">
        <f t="shared" ca="1" si="468"/>
        <v>0</v>
      </c>
      <c r="DC143" s="12">
        <f t="shared" ca="1" si="468"/>
        <v>0</v>
      </c>
      <c r="DD143" s="12">
        <f t="shared" ca="1" si="468"/>
        <v>0</v>
      </c>
      <c r="DE143" s="12">
        <f t="shared" ca="1" si="468"/>
        <v>0</v>
      </c>
      <c r="DF143" s="12">
        <f t="shared" ca="1" si="468"/>
        <v>0</v>
      </c>
      <c r="DG143" s="12">
        <f t="shared" ca="1" si="468"/>
        <v>0</v>
      </c>
      <c r="DH143" s="12">
        <f t="shared" ca="1" si="468"/>
        <v>0</v>
      </c>
      <c r="DI143" s="12">
        <f t="shared" ca="1" si="468"/>
        <v>0</v>
      </c>
      <c r="DJ143" s="12">
        <f t="shared" ca="1" si="468"/>
        <v>0</v>
      </c>
      <c r="DK143" s="12">
        <f t="shared" ca="1" si="468"/>
        <v>0</v>
      </c>
      <c r="DL143" s="12">
        <f t="shared" ca="1" si="468"/>
        <v>0</v>
      </c>
      <c r="DM143" s="12">
        <f t="shared" ca="1" si="468"/>
        <v>0</v>
      </c>
      <c r="DN143" s="12">
        <f t="shared" ca="1" si="468"/>
        <v>0</v>
      </c>
      <c r="DO143" s="12">
        <f t="shared" ca="1" si="468"/>
        <v>0</v>
      </c>
      <c r="DP143" s="12">
        <f t="shared" ca="1" si="468"/>
        <v>0</v>
      </c>
      <c r="DQ143" s="12">
        <f t="shared" ca="1" si="468"/>
        <v>0</v>
      </c>
      <c r="DR143" s="12">
        <f t="shared" ca="1" si="468"/>
        <v>0</v>
      </c>
      <c r="DS143" s="12">
        <f t="shared" ca="1" si="468"/>
        <v>0</v>
      </c>
      <c r="DT143" s="12">
        <f t="shared" ca="1" si="468"/>
        <v>0</v>
      </c>
      <c r="DU143" s="12">
        <f t="shared" ca="1" si="468"/>
        <v>0</v>
      </c>
      <c r="DV143" s="12">
        <f t="shared" ca="1" si="468"/>
        <v>0</v>
      </c>
      <c r="DW143" s="12">
        <f t="shared" ca="1" si="468"/>
        <v>0</v>
      </c>
      <c r="DX143" s="12">
        <f t="shared" ca="1" si="468"/>
        <v>0</v>
      </c>
      <c r="DY143" s="12">
        <f t="shared" ca="1" si="468"/>
        <v>0</v>
      </c>
      <c r="DZ143" s="12">
        <f t="shared" ca="1" si="468"/>
        <v>0</v>
      </c>
      <c r="EA143" s="12">
        <f t="shared" ca="1" si="468"/>
        <v>0</v>
      </c>
      <c r="EB143" s="12">
        <f t="shared" ca="1" si="468"/>
        <v>0</v>
      </c>
      <c r="EC143" s="12">
        <f t="shared" ref="EC143:FH143" ca="1" si="469" xml:space="preserve"> EC$132</f>
        <v>0</v>
      </c>
      <c r="ED143" s="12">
        <f t="shared" ca="1" si="469"/>
        <v>0</v>
      </c>
      <c r="EE143" s="12">
        <f t="shared" ca="1" si="469"/>
        <v>0</v>
      </c>
      <c r="EF143" s="12">
        <f t="shared" ca="1" si="469"/>
        <v>0</v>
      </c>
      <c r="EG143" s="12">
        <f t="shared" ca="1" si="469"/>
        <v>0</v>
      </c>
      <c r="EH143" s="12">
        <f t="shared" ca="1" si="469"/>
        <v>0</v>
      </c>
      <c r="EI143" s="12">
        <f t="shared" ca="1" si="469"/>
        <v>0</v>
      </c>
      <c r="EJ143" s="12">
        <f t="shared" ca="1" si="469"/>
        <v>0</v>
      </c>
      <c r="EK143" s="12">
        <f t="shared" ca="1" si="469"/>
        <v>0</v>
      </c>
      <c r="EL143" s="12">
        <f t="shared" ca="1" si="469"/>
        <v>0</v>
      </c>
      <c r="EM143" s="12">
        <f t="shared" ca="1" si="469"/>
        <v>0</v>
      </c>
      <c r="EN143" s="12">
        <f t="shared" ca="1" si="469"/>
        <v>0</v>
      </c>
      <c r="EO143" s="12">
        <f t="shared" ca="1" si="469"/>
        <v>0</v>
      </c>
      <c r="EP143" s="12">
        <f t="shared" ca="1" si="469"/>
        <v>0</v>
      </c>
      <c r="EQ143" s="12">
        <f t="shared" ca="1" si="469"/>
        <v>0</v>
      </c>
      <c r="ER143" s="12">
        <f t="shared" ca="1" si="469"/>
        <v>0</v>
      </c>
      <c r="ES143" s="12">
        <f t="shared" ca="1" si="469"/>
        <v>0</v>
      </c>
      <c r="ET143" s="12">
        <f t="shared" ca="1" si="469"/>
        <v>0</v>
      </c>
      <c r="EU143" s="12">
        <f t="shared" ca="1" si="469"/>
        <v>0</v>
      </c>
      <c r="EV143" s="12">
        <f t="shared" ca="1" si="469"/>
        <v>0</v>
      </c>
      <c r="EW143" s="12">
        <f t="shared" ca="1" si="469"/>
        <v>0</v>
      </c>
      <c r="EX143" s="12">
        <f t="shared" ca="1" si="469"/>
        <v>0</v>
      </c>
      <c r="EY143" s="12">
        <f t="shared" ca="1" si="469"/>
        <v>0</v>
      </c>
      <c r="EZ143" s="12">
        <f t="shared" ca="1" si="469"/>
        <v>0</v>
      </c>
      <c r="FA143" s="12">
        <f t="shared" ca="1" si="469"/>
        <v>0</v>
      </c>
      <c r="FB143" s="12">
        <f t="shared" ca="1" si="469"/>
        <v>0</v>
      </c>
      <c r="FC143" s="12">
        <f t="shared" ca="1" si="469"/>
        <v>0</v>
      </c>
      <c r="FD143" s="12">
        <f t="shared" ca="1" si="469"/>
        <v>0</v>
      </c>
      <c r="FE143" s="12">
        <f t="shared" ca="1" si="469"/>
        <v>0</v>
      </c>
      <c r="FF143" s="12">
        <f t="shared" ca="1" si="469"/>
        <v>0</v>
      </c>
      <c r="FG143" s="12">
        <f t="shared" ca="1" si="469"/>
        <v>0</v>
      </c>
      <c r="FH143" s="12">
        <f t="shared" ca="1" si="469"/>
        <v>0</v>
      </c>
      <c r="FI143" s="12">
        <f t="shared" ref="FI143:GJ143" ca="1" si="470" xml:space="preserve"> FI$132</f>
        <v>0</v>
      </c>
      <c r="FJ143" s="12">
        <f t="shared" ca="1" si="470"/>
        <v>0</v>
      </c>
      <c r="FK143" s="12">
        <f t="shared" ca="1" si="470"/>
        <v>0</v>
      </c>
      <c r="FL143" s="12">
        <f t="shared" ca="1" si="470"/>
        <v>0</v>
      </c>
      <c r="FM143" s="12">
        <f t="shared" ca="1" si="470"/>
        <v>0</v>
      </c>
      <c r="FN143" s="12">
        <f t="shared" ca="1" si="470"/>
        <v>0</v>
      </c>
      <c r="FO143" s="12">
        <f t="shared" ca="1" si="470"/>
        <v>0</v>
      </c>
      <c r="FP143" s="12">
        <f t="shared" ca="1" si="470"/>
        <v>0</v>
      </c>
      <c r="FQ143" s="12">
        <f t="shared" ca="1" si="470"/>
        <v>0</v>
      </c>
      <c r="FR143" s="12">
        <f t="shared" ca="1" si="470"/>
        <v>0</v>
      </c>
      <c r="FS143" s="12">
        <f t="shared" ca="1" si="470"/>
        <v>0</v>
      </c>
      <c r="FT143" s="12">
        <f t="shared" ca="1" si="470"/>
        <v>0</v>
      </c>
      <c r="FU143" s="12">
        <f t="shared" ca="1" si="470"/>
        <v>0</v>
      </c>
      <c r="FV143" s="12">
        <f t="shared" ca="1" si="470"/>
        <v>0</v>
      </c>
      <c r="FW143" s="12">
        <f t="shared" ca="1" si="470"/>
        <v>0</v>
      </c>
      <c r="FX143" s="12">
        <f t="shared" ca="1" si="470"/>
        <v>0</v>
      </c>
      <c r="FY143" s="12">
        <f t="shared" ca="1" si="470"/>
        <v>0</v>
      </c>
      <c r="FZ143" s="12">
        <f t="shared" ca="1" si="470"/>
        <v>0</v>
      </c>
      <c r="GA143" s="12">
        <f t="shared" ca="1" si="470"/>
        <v>0</v>
      </c>
      <c r="GB143" s="12">
        <f t="shared" ca="1" si="470"/>
        <v>0</v>
      </c>
      <c r="GC143" s="12">
        <f t="shared" ca="1" si="470"/>
        <v>0</v>
      </c>
      <c r="GD143" s="12">
        <f t="shared" ca="1" si="470"/>
        <v>0</v>
      </c>
      <c r="GE143" s="12">
        <f t="shared" ca="1" si="470"/>
        <v>0</v>
      </c>
      <c r="GF143" s="12">
        <f t="shared" ca="1" si="470"/>
        <v>0</v>
      </c>
      <c r="GG143" s="12">
        <f t="shared" ca="1" si="470"/>
        <v>0</v>
      </c>
      <c r="GH143" s="12">
        <f t="shared" ca="1" si="470"/>
        <v>0</v>
      </c>
      <c r="GI143" s="12">
        <f t="shared" ca="1" si="470"/>
        <v>0</v>
      </c>
      <c r="GJ143" s="12">
        <f t="shared" ca="1" si="470"/>
        <v>0</v>
      </c>
    </row>
    <row r="144" spans="1:192" outlineLevel="1" x14ac:dyDescent="0.2">
      <c r="E144" s="12" t="s">
        <v>1320</v>
      </c>
      <c r="G144" s="12" t="str">
        <f xml:space="preserve"> SMU</f>
        <v>$ 000s</v>
      </c>
      <c r="H144" s="12">
        <f ca="1" xml:space="preserve"> SUM(J144:CV144)</f>
        <v>0</v>
      </c>
      <c r="J144" s="12">
        <f t="shared" ref="J144:AO144" ca="1" si="471" xml:space="preserve"> $F142 * J143</f>
        <v>0</v>
      </c>
      <c r="K144" s="12">
        <f t="shared" ca="1" si="471"/>
        <v>0</v>
      </c>
      <c r="L144" s="12">
        <f t="shared" ca="1" si="471"/>
        <v>0</v>
      </c>
      <c r="M144" s="12">
        <f t="shared" ca="1" si="471"/>
        <v>0</v>
      </c>
      <c r="N144" s="12">
        <f t="shared" ca="1" si="471"/>
        <v>0</v>
      </c>
      <c r="O144" s="12">
        <f t="shared" ca="1" si="471"/>
        <v>0</v>
      </c>
      <c r="P144" s="12">
        <f t="shared" ca="1" si="471"/>
        <v>0</v>
      </c>
      <c r="Q144" s="12">
        <f t="shared" ca="1" si="471"/>
        <v>0</v>
      </c>
      <c r="R144" s="12">
        <f t="shared" ca="1" si="471"/>
        <v>0</v>
      </c>
      <c r="S144" s="12">
        <f t="shared" ca="1" si="471"/>
        <v>0</v>
      </c>
      <c r="T144" s="12">
        <f t="shared" ca="1" si="471"/>
        <v>0</v>
      </c>
      <c r="U144" s="12">
        <f t="shared" ca="1" si="471"/>
        <v>0</v>
      </c>
      <c r="V144" s="12">
        <f t="shared" ca="1" si="471"/>
        <v>0</v>
      </c>
      <c r="W144" s="12">
        <f t="shared" ca="1" si="471"/>
        <v>0</v>
      </c>
      <c r="X144" s="12">
        <f t="shared" ca="1" si="471"/>
        <v>0</v>
      </c>
      <c r="Y144" s="12">
        <f t="shared" ca="1" si="471"/>
        <v>0</v>
      </c>
      <c r="Z144" s="12">
        <f t="shared" ca="1" si="471"/>
        <v>0</v>
      </c>
      <c r="AA144" s="12">
        <f t="shared" ca="1" si="471"/>
        <v>0</v>
      </c>
      <c r="AB144" s="12">
        <f t="shared" ca="1" si="471"/>
        <v>0</v>
      </c>
      <c r="AC144" s="12">
        <f t="shared" ca="1" si="471"/>
        <v>0</v>
      </c>
      <c r="AD144" s="12">
        <f t="shared" ca="1" si="471"/>
        <v>0</v>
      </c>
      <c r="AE144" s="12">
        <f t="shared" ca="1" si="471"/>
        <v>0</v>
      </c>
      <c r="AF144" s="12">
        <f t="shared" ca="1" si="471"/>
        <v>0</v>
      </c>
      <c r="AG144" s="12">
        <f t="shared" ca="1" si="471"/>
        <v>0</v>
      </c>
      <c r="AH144" s="12">
        <f t="shared" ca="1" si="471"/>
        <v>0</v>
      </c>
      <c r="AI144" s="12">
        <f t="shared" ca="1" si="471"/>
        <v>0</v>
      </c>
      <c r="AJ144" s="12">
        <f t="shared" ca="1" si="471"/>
        <v>0</v>
      </c>
      <c r="AK144" s="12">
        <f t="shared" ca="1" si="471"/>
        <v>0</v>
      </c>
      <c r="AL144" s="12">
        <f t="shared" ca="1" si="471"/>
        <v>0</v>
      </c>
      <c r="AM144" s="12">
        <f t="shared" ca="1" si="471"/>
        <v>0</v>
      </c>
      <c r="AN144" s="12">
        <f t="shared" ca="1" si="471"/>
        <v>0</v>
      </c>
      <c r="AO144" s="12">
        <f t="shared" ca="1" si="471"/>
        <v>0</v>
      </c>
      <c r="AP144" s="12">
        <f t="shared" ref="AP144:BU144" ca="1" si="472" xml:space="preserve"> $F142 * AP143</f>
        <v>0</v>
      </c>
      <c r="AQ144" s="12">
        <f t="shared" ca="1" si="472"/>
        <v>0</v>
      </c>
      <c r="AR144" s="12">
        <f t="shared" ca="1" si="472"/>
        <v>0</v>
      </c>
      <c r="AS144" s="12">
        <f t="shared" ca="1" si="472"/>
        <v>0</v>
      </c>
      <c r="AT144" s="12">
        <f t="shared" ca="1" si="472"/>
        <v>0</v>
      </c>
      <c r="AU144" s="12">
        <f t="shared" ca="1" si="472"/>
        <v>0</v>
      </c>
      <c r="AV144" s="12">
        <f t="shared" ca="1" si="472"/>
        <v>0</v>
      </c>
      <c r="AW144" s="12">
        <f t="shared" ca="1" si="472"/>
        <v>0</v>
      </c>
      <c r="AX144" s="12">
        <f t="shared" ca="1" si="472"/>
        <v>0</v>
      </c>
      <c r="AY144" s="12">
        <f t="shared" ca="1" si="472"/>
        <v>0</v>
      </c>
      <c r="AZ144" s="12">
        <f t="shared" ca="1" si="472"/>
        <v>0</v>
      </c>
      <c r="BA144" s="12">
        <f t="shared" ca="1" si="472"/>
        <v>0</v>
      </c>
      <c r="BB144" s="12">
        <f t="shared" ca="1" si="472"/>
        <v>0</v>
      </c>
      <c r="BC144" s="12">
        <f t="shared" ca="1" si="472"/>
        <v>0</v>
      </c>
      <c r="BD144" s="12">
        <f t="shared" ca="1" si="472"/>
        <v>0</v>
      </c>
      <c r="BE144" s="12">
        <f t="shared" ca="1" si="472"/>
        <v>0</v>
      </c>
      <c r="BF144" s="12">
        <f t="shared" ca="1" si="472"/>
        <v>0</v>
      </c>
      <c r="BG144" s="12">
        <f t="shared" ca="1" si="472"/>
        <v>0</v>
      </c>
      <c r="BH144" s="12">
        <f t="shared" ca="1" si="472"/>
        <v>0</v>
      </c>
      <c r="BI144" s="12">
        <f t="shared" ca="1" si="472"/>
        <v>0</v>
      </c>
      <c r="BJ144" s="12">
        <f t="shared" ca="1" si="472"/>
        <v>0</v>
      </c>
      <c r="BK144" s="12">
        <f t="shared" ca="1" si="472"/>
        <v>0</v>
      </c>
      <c r="BL144" s="12">
        <f t="shared" ca="1" si="472"/>
        <v>0</v>
      </c>
      <c r="BM144" s="12">
        <f t="shared" ca="1" si="472"/>
        <v>0</v>
      </c>
      <c r="BN144" s="12">
        <f t="shared" ca="1" si="472"/>
        <v>0</v>
      </c>
      <c r="BO144" s="12">
        <f t="shared" ca="1" si="472"/>
        <v>0</v>
      </c>
      <c r="BP144" s="12">
        <f t="shared" ca="1" si="472"/>
        <v>0</v>
      </c>
      <c r="BQ144" s="12">
        <f t="shared" ca="1" si="472"/>
        <v>0</v>
      </c>
      <c r="BR144" s="12">
        <f t="shared" ca="1" si="472"/>
        <v>0</v>
      </c>
      <c r="BS144" s="12">
        <f t="shared" ca="1" si="472"/>
        <v>0</v>
      </c>
      <c r="BT144" s="12">
        <f t="shared" ca="1" si="472"/>
        <v>0</v>
      </c>
      <c r="BU144" s="12">
        <f t="shared" ca="1" si="472"/>
        <v>0</v>
      </c>
      <c r="BV144" s="12">
        <f t="shared" ref="BV144:CV144" ca="1" si="473" xml:space="preserve"> $F142 * BV143</f>
        <v>0</v>
      </c>
      <c r="BW144" s="12">
        <f t="shared" ca="1" si="473"/>
        <v>0</v>
      </c>
      <c r="BX144" s="12">
        <f t="shared" ca="1" si="473"/>
        <v>0</v>
      </c>
      <c r="BY144" s="12">
        <f t="shared" ca="1" si="473"/>
        <v>0</v>
      </c>
      <c r="BZ144" s="12">
        <f t="shared" ca="1" si="473"/>
        <v>0</v>
      </c>
      <c r="CA144" s="12">
        <f t="shared" ca="1" si="473"/>
        <v>0</v>
      </c>
      <c r="CB144" s="12">
        <f t="shared" ca="1" si="473"/>
        <v>0</v>
      </c>
      <c r="CC144" s="12">
        <f t="shared" ca="1" si="473"/>
        <v>0</v>
      </c>
      <c r="CD144" s="12">
        <f t="shared" ca="1" si="473"/>
        <v>0</v>
      </c>
      <c r="CE144" s="12">
        <f t="shared" ca="1" si="473"/>
        <v>0</v>
      </c>
      <c r="CF144" s="12">
        <f t="shared" ca="1" si="473"/>
        <v>0</v>
      </c>
      <c r="CG144" s="12">
        <f t="shared" ca="1" si="473"/>
        <v>0</v>
      </c>
      <c r="CH144" s="12">
        <f t="shared" ca="1" si="473"/>
        <v>0</v>
      </c>
      <c r="CI144" s="12">
        <f t="shared" ca="1" si="473"/>
        <v>0</v>
      </c>
      <c r="CJ144" s="12">
        <f t="shared" ca="1" si="473"/>
        <v>0</v>
      </c>
      <c r="CK144" s="12">
        <f t="shared" ca="1" si="473"/>
        <v>0</v>
      </c>
      <c r="CL144" s="12">
        <f t="shared" ca="1" si="473"/>
        <v>0</v>
      </c>
      <c r="CM144" s="12">
        <f t="shared" ca="1" si="473"/>
        <v>0</v>
      </c>
      <c r="CN144" s="12">
        <f t="shared" ca="1" si="473"/>
        <v>0</v>
      </c>
      <c r="CO144" s="12">
        <f t="shared" ca="1" si="473"/>
        <v>0</v>
      </c>
      <c r="CP144" s="12">
        <f t="shared" ca="1" si="473"/>
        <v>0</v>
      </c>
      <c r="CQ144" s="12">
        <f t="shared" ca="1" si="473"/>
        <v>0</v>
      </c>
      <c r="CR144" s="12">
        <f t="shared" ca="1" si="473"/>
        <v>0</v>
      </c>
      <c r="CS144" s="12">
        <f t="shared" ca="1" si="473"/>
        <v>0</v>
      </c>
      <c r="CT144" s="12">
        <f t="shared" ca="1" si="473"/>
        <v>0</v>
      </c>
      <c r="CU144" s="12">
        <f t="shared" ca="1" si="473"/>
        <v>0</v>
      </c>
      <c r="CV144" s="12">
        <f t="shared" ca="1" si="473"/>
        <v>0</v>
      </c>
    </row>
    <row r="145" spans="1:192" s="1141" customFormat="1" outlineLevel="1" x14ac:dyDescent="0.2">
      <c r="A145" s="141"/>
      <c r="B145" s="141"/>
      <c r="C145" s="142"/>
      <c r="D145" s="143"/>
      <c r="E145" s="187" t="str">
        <f ca="1" xml:space="preserve"> LEFT(E144, LEN(E144) - 4)</f>
        <v>Corporate income tax - P99</v>
      </c>
      <c r="F145" s="187"/>
      <c r="G145" s="187" t="str">
        <f xml:space="preserve"> SMU</f>
        <v>$ 000s</v>
      </c>
      <c r="H145" s="187">
        <f ca="1" xml:space="preserve"> SUM(J145:CV145)</f>
        <v>0</v>
      </c>
      <c r="I145" s="144"/>
      <c r="J145" s="187">
        <f t="shared" ref="J145:BU145" ca="1" si="474" xml:space="preserve"> -1 * J144</f>
        <v>0</v>
      </c>
      <c r="K145" s="187">
        <f t="shared" ca="1" si="474"/>
        <v>0</v>
      </c>
      <c r="L145" s="187">
        <f t="shared" ca="1" si="474"/>
        <v>0</v>
      </c>
      <c r="M145" s="187">
        <f t="shared" ca="1" si="474"/>
        <v>0</v>
      </c>
      <c r="N145" s="187">
        <f t="shared" ca="1" si="474"/>
        <v>0</v>
      </c>
      <c r="O145" s="187">
        <f t="shared" ca="1" si="474"/>
        <v>0</v>
      </c>
      <c r="P145" s="187">
        <f t="shared" ca="1" si="474"/>
        <v>0</v>
      </c>
      <c r="Q145" s="187">
        <f t="shared" ca="1" si="474"/>
        <v>0</v>
      </c>
      <c r="R145" s="187">
        <f t="shared" ca="1" si="474"/>
        <v>0</v>
      </c>
      <c r="S145" s="187">
        <f t="shared" ca="1" si="474"/>
        <v>0</v>
      </c>
      <c r="T145" s="187">
        <f t="shared" ca="1" si="474"/>
        <v>0</v>
      </c>
      <c r="U145" s="187">
        <f t="shared" ca="1" si="474"/>
        <v>0</v>
      </c>
      <c r="V145" s="187">
        <f t="shared" ca="1" si="474"/>
        <v>0</v>
      </c>
      <c r="W145" s="187">
        <f t="shared" ca="1" si="474"/>
        <v>0</v>
      </c>
      <c r="X145" s="187">
        <f t="shared" ca="1" si="474"/>
        <v>0</v>
      </c>
      <c r="Y145" s="187">
        <f t="shared" ca="1" si="474"/>
        <v>0</v>
      </c>
      <c r="Z145" s="187">
        <f t="shared" ca="1" si="474"/>
        <v>0</v>
      </c>
      <c r="AA145" s="187">
        <f t="shared" ca="1" si="474"/>
        <v>0</v>
      </c>
      <c r="AB145" s="187">
        <f t="shared" ca="1" si="474"/>
        <v>0</v>
      </c>
      <c r="AC145" s="187">
        <f t="shared" ca="1" si="474"/>
        <v>0</v>
      </c>
      <c r="AD145" s="187">
        <f t="shared" ca="1" si="474"/>
        <v>0</v>
      </c>
      <c r="AE145" s="187">
        <f t="shared" ca="1" si="474"/>
        <v>0</v>
      </c>
      <c r="AF145" s="187">
        <f t="shared" ca="1" si="474"/>
        <v>0</v>
      </c>
      <c r="AG145" s="187">
        <f t="shared" ca="1" si="474"/>
        <v>0</v>
      </c>
      <c r="AH145" s="187">
        <f t="shared" ca="1" si="474"/>
        <v>0</v>
      </c>
      <c r="AI145" s="187">
        <f t="shared" ca="1" si="474"/>
        <v>0</v>
      </c>
      <c r="AJ145" s="187">
        <f t="shared" ca="1" si="474"/>
        <v>0</v>
      </c>
      <c r="AK145" s="187">
        <f t="shared" ca="1" si="474"/>
        <v>0</v>
      </c>
      <c r="AL145" s="187">
        <f t="shared" ca="1" si="474"/>
        <v>0</v>
      </c>
      <c r="AM145" s="187">
        <f t="shared" ca="1" si="474"/>
        <v>0</v>
      </c>
      <c r="AN145" s="187">
        <f t="shared" ca="1" si="474"/>
        <v>0</v>
      </c>
      <c r="AO145" s="187">
        <f t="shared" ca="1" si="474"/>
        <v>0</v>
      </c>
      <c r="AP145" s="187">
        <f t="shared" ca="1" si="474"/>
        <v>0</v>
      </c>
      <c r="AQ145" s="187">
        <f t="shared" ca="1" si="474"/>
        <v>0</v>
      </c>
      <c r="AR145" s="187">
        <f t="shared" ca="1" si="474"/>
        <v>0</v>
      </c>
      <c r="AS145" s="187">
        <f t="shared" ca="1" si="474"/>
        <v>0</v>
      </c>
      <c r="AT145" s="187">
        <f t="shared" ca="1" si="474"/>
        <v>0</v>
      </c>
      <c r="AU145" s="187">
        <f t="shared" ca="1" si="474"/>
        <v>0</v>
      </c>
      <c r="AV145" s="187">
        <f t="shared" ca="1" si="474"/>
        <v>0</v>
      </c>
      <c r="AW145" s="187">
        <f t="shared" ca="1" si="474"/>
        <v>0</v>
      </c>
      <c r="AX145" s="187">
        <f t="shared" ca="1" si="474"/>
        <v>0</v>
      </c>
      <c r="AY145" s="187">
        <f t="shared" ca="1" si="474"/>
        <v>0</v>
      </c>
      <c r="AZ145" s="187">
        <f t="shared" ca="1" si="474"/>
        <v>0</v>
      </c>
      <c r="BA145" s="187">
        <f t="shared" ca="1" si="474"/>
        <v>0</v>
      </c>
      <c r="BB145" s="187">
        <f t="shared" ca="1" si="474"/>
        <v>0</v>
      </c>
      <c r="BC145" s="187">
        <f t="shared" ca="1" si="474"/>
        <v>0</v>
      </c>
      <c r="BD145" s="187">
        <f t="shared" ca="1" si="474"/>
        <v>0</v>
      </c>
      <c r="BE145" s="187">
        <f t="shared" ca="1" si="474"/>
        <v>0</v>
      </c>
      <c r="BF145" s="187">
        <f t="shared" ca="1" si="474"/>
        <v>0</v>
      </c>
      <c r="BG145" s="187">
        <f t="shared" ca="1" si="474"/>
        <v>0</v>
      </c>
      <c r="BH145" s="187">
        <f t="shared" ca="1" si="474"/>
        <v>0</v>
      </c>
      <c r="BI145" s="187">
        <f t="shared" ca="1" si="474"/>
        <v>0</v>
      </c>
      <c r="BJ145" s="187">
        <f t="shared" ca="1" si="474"/>
        <v>0</v>
      </c>
      <c r="BK145" s="187">
        <f t="shared" ca="1" si="474"/>
        <v>0</v>
      </c>
      <c r="BL145" s="187">
        <f t="shared" ca="1" si="474"/>
        <v>0</v>
      </c>
      <c r="BM145" s="187">
        <f t="shared" ca="1" si="474"/>
        <v>0</v>
      </c>
      <c r="BN145" s="187">
        <f t="shared" ca="1" si="474"/>
        <v>0</v>
      </c>
      <c r="BO145" s="187">
        <f t="shared" ca="1" si="474"/>
        <v>0</v>
      </c>
      <c r="BP145" s="187">
        <f t="shared" ca="1" si="474"/>
        <v>0</v>
      </c>
      <c r="BQ145" s="187">
        <f t="shared" ca="1" si="474"/>
        <v>0</v>
      </c>
      <c r="BR145" s="187">
        <f t="shared" ca="1" si="474"/>
        <v>0</v>
      </c>
      <c r="BS145" s="187">
        <f t="shared" ca="1" si="474"/>
        <v>0</v>
      </c>
      <c r="BT145" s="187">
        <f t="shared" ca="1" si="474"/>
        <v>0</v>
      </c>
      <c r="BU145" s="187">
        <f t="shared" ca="1" si="474"/>
        <v>0</v>
      </c>
      <c r="BV145" s="187">
        <f t="shared" ref="BV145:CV145" ca="1" si="475" xml:space="preserve"> -1 * BV144</f>
        <v>0</v>
      </c>
      <c r="BW145" s="187">
        <f t="shared" ca="1" si="475"/>
        <v>0</v>
      </c>
      <c r="BX145" s="187">
        <f t="shared" ca="1" si="475"/>
        <v>0</v>
      </c>
      <c r="BY145" s="187">
        <f t="shared" ca="1" si="475"/>
        <v>0</v>
      </c>
      <c r="BZ145" s="187">
        <f t="shared" ca="1" si="475"/>
        <v>0</v>
      </c>
      <c r="CA145" s="187">
        <f t="shared" ca="1" si="475"/>
        <v>0</v>
      </c>
      <c r="CB145" s="187">
        <f t="shared" ca="1" si="475"/>
        <v>0</v>
      </c>
      <c r="CC145" s="187">
        <f t="shared" ca="1" si="475"/>
        <v>0</v>
      </c>
      <c r="CD145" s="187">
        <f t="shared" ca="1" si="475"/>
        <v>0</v>
      </c>
      <c r="CE145" s="187">
        <f t="shared" ca="1" si="475"/>
        <v>0</v>
      </c>
      <c r="CF145" s="187">
        <f t="shared" ca="1" si="475"/>
        <v>0</v>
      </c>
      <c r="CG145" s="187">
        <f t="shared" ca="1" si="475"/>
        <v>0</v>
      </c>
      <c r="CH145" s="187">
        <f t="shared" ca="1" si="475"/>
        <v>0</v>
      </c>
      <c r="CI145" s="187">
        <f t="shared" ca="1" si="475"/>
        <v>0</v>
      </c>
      <c r="CJ145" s="187">
        <f t="shared" ca="1" si="475"/>
        <v>0</v>
      </c>
      <c r="CK145" s="187">
        <f t="shared" ca="1" si="475"/>
        <v>0</v>
      </c>
      <c r="CL145" s="187">
        <f t="shared" ca="1" si="475"/>
        <v>0</v>
      </c>
      <c r="CM145" s="187">
        <f t="shared" ca="1" si="475"/>
        <v>0</v>
      </c>
      <c r="CN145" s="187">
        <f t="shared" ca="1" si="475"/>
        <v>0</v>
      </c>
      <c r="CO145" s="187">
        <f t="shared" ca="1" si="475"/>
        <v>0</v>
      </c>
      <c r="CP145" s="187">
        <f t="shared" ca="1" si="475"/>
        <v>0</v>
      </c>
      <c r="CQ145" s="187">
        <f t="shared" ca="1" si="475"/>
        <v>0</v>
      </c>
      <c r="CR145" s="187">
        <f t="shared" ca="1" si="475"/>
        <v>0</v>
      </c>
      <c r="CS145" s="187">
        <f t="shared" ca="1" si="475"/>
        <v>0</v>
      </c>
      <c r="CT145" s="187">
        <f t="shared" ca="1" si="475"/>
        <v>0</v>
      </c>
      <c r="CU145" s="187">
        <f t="shared" ca="1" si="475"/>
        <v>0</v>
      </c>
      <c r="CV145" s="187">
        <f t="shared" ca="1" si="475"/>
        <v>0</v>
      </c>
    </row>
    <row r="146" spans="1:192" outlineLevel="1" x14ac:dyDescent="0.2"/>
    <row r="148" spans="1:192" x14ac:dyDescent="0.2">
      <c r="A148" s="15" t="s">
        <v>1323</v>
      </c>
    </row>
    <row r="149" spans="1:192" outlineLevel="1" x14ac:dyDescent="0.2"/>
    <row r="150" spans="1:192" outlineLevel="1" x14ac:dyDescent="0.2">
      <c r="B150" s="15" t="s">
        <v>1310</v>
      </c>
    </row>
    <row r="151" spans="1:192" outlineLevel="2" x14ac:dyDescent="0.2">
      <c r="E151" s="145" t="str">
        <f xml:space="preserve"> InpC!E$402</f>
        <v>Corporate income tax rate</v>
      </c>
      <c r="F151" s="316">
        <f xml:space="preserve"> InpC!F$402</f>
        <v>0.2</v>
      </c>
      <c r="G151" s="145" t="str">
        <f xml:space="preserve"> InpC!G$402</f>
        <v>%</v>
      </c>
      <c r="H151" s="38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</row>
    <row r="152" spans="1:192" outlineLevel="2" x14ac:dyDescent="0.2">
      <c r="E152" s="12" t="str">
        <f t="shared" ref="E152:BP152" si="476" xml:space="preserve"> E$12</f>
        <v>Tax depreciation</v>
      </c>
      <c r="F152" s="12">
        <f t="shared" si="476"/>
        <v>0</v>
      </c>
      <c r="G152" s="12" t="str">
        <f t="shared" si="476"/>
        <v>$ 000s</v>
      </c>
      <c r="H152" s="12">
        <f t="shared" si="476"/>
        <v>319727.85774203978</v>
      </c>
      <c r="I152" s="12">
        <f t="shared" si="476"/>
        <v>0</v>
      </c>
      <c r="J152" s="12">
        <f t="shared" si="476"/>
        <v>0</v>
      </c>
      <c r="K152" s="12">
        <f t="shared" si="476"/>
        <v>0</v>
      </c>
      <c r="L152" s="12">
        <f t="shared" si="476"/>
        <v>0</v>
      </c>
      <c r="M152" s="12">
        <f t="shared" si="476"/>
        <v>0</v>
      </c>
      <c r="N152" s="12">
        <f t="shared" si="476"/>
        <v>0</v>
      </c>
      <c r="O152" s="12">
        <f t="shared" si="476"/>
        <v>31972.785774203956</v>
      </c>
      <c r="P152" s="12">
        <f t="shared" si="476"/>
        <v>28775.507196783561</v>
      </c>
      <c r="Q152" s="12">
        <f t="shared" si="476"/>
        <v>25897.956477105206</v>
      </c>
      <c r="R152" s="12">
        <f t="shared" si="476"/>
        <v>23308.160829394685</v>
      </c>
      <c r="S152" s="12">
        <f t="shared" si="476"/>
        <v>20977.344746455215</v>
      </c>
      <c r="T152" s="12">
        <f t="shared" si="476"/>
        <v>18879.610271809692</v>
      </c>
      <c r="U152" s="12">
        <f t="shared" si="476"/>
        <v>16991.649244628727</v>
      </c>
      <c r="V152" s="12">
        <f t="shared" si="476"/>
        <v>15292.484320165851</v>
      </c>
      <c r="W152" s="12">
        <f t="shared" si="476"/>
        <v>13763.235888149267</v>
      </c>
      <c r="X152" s="12">
        <f t="shared" si="476"/>
        <v>12386.912299334341</v>
      </c>
      <c r="Y152" s="12">
        <f t="shared" si="476"/>
        <v>11148.221069400906</v>
      </c>
      <c r="Z152" s="12">
        <f t="shared" si="476"/>
        <v>10033.398962460815</v>
      </c>
      <c r="AA152" s="12">
        <f t="shared" si="476"/>
        <v>9030.0590662147333</v>
      </c>
      <c r="AB152" s="12">
        <f t="shared" si="476"/>
        <v>8127.0531595932598</v>
      </c>
      <c r="AC152" s="12">
        <f t="shared" si="476"/>
        <v>7314.3478436339346</v>
      </c>
      <c r="AD152" s="12">
        <f t="shared" si="476"/>
        <v>6582.9130592705405</v>
      </c>
      <c r="AE152" s="12">
        <f t="shared" si="476"/>
        <v>5924.6217533434865</v>
      </c>
      <c r="AF152" s="12">
        <f t="shared" si="476"/>
        <v>5332.1595780091375</v>
      </c>
      <c r="AG152" s="12">
        <f t="shared" si="476"/>
        <v>4798.9436202082243</v>
      </c>
      <c r="AH152" s="12">
        <f t="shared" si="476"/>
        <v>4319.0492581874014</v>
      </c>
      <c r="AI152" s="12">
        <f t="shared" si="476"/>
        <v>3887.1443323686617</v>
      </c>
      <c r="AJ152" s="12">
        <f t="shared" si="476"/>
        <v>3498.4298991317955</v>
      </c>
      <c r="AK152" s="12">
        <f t="shared" si="476"/>
        <v>3148.5869092186163</v>
      </c>
      <c r="AL152" s="12">
        <f t="shared" si="476"/>
        <v>2833.7282182967547</v>
      </c>
      <c r="AM152" s="12">
        <f t="shared" si="476"/>
        <v>2550.3553964670791</v>
      </c>
      <c r="AN152" s="12">
        <f t="shared" si="476"/>
        <v>2295.3198568203711</v>
      </c>
      <c r="AO152" s="12">
        <f t="shared" si="476"/>
        <v>2065.7878711383341</v>
      </c>
      <c r="AP152" s="12">
        <f t="shared" si="476"/>
        <v>1859.209084024501</v>
      </c>
      <c r="AQ152" s="12">
        <f t="shared" si="476"/>
        <v>1673.2881756220509</v>
      </c>
      <c r="AR152" s="12">
        <f t="shared" si="476"/>
        <v>1505.9593580598457</v>
      </c>
      <c r="AS152" s="12">
        <f t="shared" si="476"/>
        <v>1355.3634222538612</v>
      </c>
      <c r="AT152" s="12">
        <f t="shared" si="476"/>
        <v>1219.8270800284752</v>
      </c>
      <c r="AU152" s="12">
        <f t="shared" si="476"/>
        <v>1097.8443720256275</v>
      </c>
      <c r="AV152" s="12">
        <f t="shared" si="476"/>
        <v>988.05993482306485</v>
      </c>
      <c r="AW152" s="12">
        <f t="shared" si="476"/>
        <v>889.25394134075839</v>
      </c>
      <c r="AX152" s="12">
        <f t="shared" si="476"/>
        <v>800.32854720668252</v>
      </c>
      <c r="AY152" s="12">
        <f t="shared" si="476"/>
        <v>720.29569248601422</v>
      </c>
      <c r="AZ152" s="12">
        <f t="shared" si="476"/>
        <v>648.26612323741278</v>
      </c>
      <c r="BA152" s="12">
        <f t="shared" si="476"/>
        <v>583.43951091367148</v>
      </c>
      <c r="BB152" s="12">
        <f t="shared" si="476"/>
        <v>5250.9555982230431</v>
      </c>
      <c r="BC152" s="12">
        <f t="shared" si="476"/>
        <v>0</v>
      </c>
      <c r="BD152" s="12">
        <f t="shared" si="476"/>
        <v>0</v>
      </c>
      <c r="BE152" s="12">
        <f t="shared" si="476"/>
        <v>0</v>
      </c>
      <c r="BF152" s="12">
        <f t="shared" si="476"/>
        <v>0</v>
      </c>
      <c r="BG152" s="12">
        <f t="shared" si="476"/>
        <v>0</v>
      </c>
      <c r="BH152" s="12">
        <f t="shared" si="476"/>
        <v>0</v>
      </c>
      <c r="BI152" s="12">
        <f t="shared" si="476"/>
        <v>0</v>
      </c>
      <c r="BJ152" s="12">
        <f t="shared" si="476"/>
        <v>0</v>
      </c>
      <c r="BK152" s="12">
        <f t="shared" si="476"/>
        <v>0</v>
      </c>
      <c r="BL152" s="12">
        <f t="shared" si="476"/>
        <v>0</v>
      </c>
      <c r="BM152" s="12">
        <f t="shared" si="476"/>
        <v>0</v>
      </c>
      <c r="BN152" s="12">
        <f t="shared" si="476"/>
        <v>0</v>
      </c>
      <c r="BO152" s="12">
        <f t="shared" si="476"/>
        <v>0</v>
      </c>
      <c r="BP152" s="12">
        <f t="shared" si="476"/>
        <v>0</v>
      </c>
      <c r="BQ152" s="12">
        <f t="shared" ref="BQ152:EB152" si="477" xml:space="preserve"> BQ$12</f>
        <v>0</v>
      </c>
      <c r="BR152" s="12">
        <f t="shared" si="477"/>
        <v>0</v>
      </c>
      <c r="BS152" s="12">
        <f t="shared" si="477"/>
        <v>0</v>
      </c>
      <c r="BT152" s="12">
        <f t="shared" si="477"/>
        <v>0</v>
      </c>
      <c r="BU152" s="12">
        <f t="shared" si="477"/>
        <v>0</v>
      </c>
      <c r="BV152" s="12">
        <f t="shared" si="477"/>
        <v>0</v>
      </c>
      <c r="BW152" s="12">
        <f t="shared" si="477"/>
        <v>0</v>
      </c>
      <c r="BX152" s="12">
        <f t="shared" si="477"/>
        <v>0</v>
      </c>
      <c r="BY152" s="12">
        <f t="shared" si="477"/>
        <v>0</v>
      </c>
      <c r="BZ152" s="12">
        <f t="shared" si="477"/>
        <v>0</v>
      </c>
      <c r="CA152" s="12">
        <f t="shared" si="477"/>
        <v>0</v>
      </c>
      <c r="CB152" s="12">
        <f t="shared" si="477"/>
        <v>0</v>
      </c>
      <c r="CC152" s="12">
        <f t="shared" si="477"/>
        <v>0</v>
      </c>
      <c r="CD152" s="12">
        <f t="shared" si="477"/>
        <v>0</v>
      </c>
      <c r="CE152" s="12">
        <f t="shared" si="477"/>
        <v>0</v>
      </c>
      <c r="CF152" s="12">
        <f t="shared" si="477"/>
        <v>0</v>
      </c>
      <c r="CG152" s="12">
        <f t="shared" si="477"/>
        <v>0</v>
      </c>
      <c r="CH152" s="12">
        <f t="shared" si="477"/>
        <v>0</v>
      </c>
      <c r="CI152" s="12">
        <f t="shared" si="477"/>
        <v>0</v>
      </c>
      <c r="CJ152" s="12">
        <f t="shared" si="477"/>
        <v>0</v>
      </c>
      <c r="CK152" s="12">
        <f t="shared" si="477"/>
        <v>0</v>
      </c>
      <c r="CL152" s="12">
        <f t="shared" si="477"/>
        <v>0</v>
      </c>
      <c r="CM152" s="12">
        <f t="shared" si="477"/>
        <v>0</v>
      </c>
      <c r="CN152" s="12">
        <f t="shared" si="477"/>
        <v>0</v>
      </c>
      <c r="CO152" s="12">
        <f t="shared" si="477"/>
        <v>0</v>
      </c>
      <c r="CP152" s="12">
        <f t="shared" si="477"/>
        <v>0</v>
      </c>
      <c r="CQ152" s="12">
        <f t="shared" si="477"/>
        <v>0</v>
      </c>
      <c r="CR152" s="12">
        <f t="shared" si="477"/>
        <v>0</v>
      </c>
      <c r="CS152" s="12">
        <f t="shared" si="477"/>
        <v>0</v>
      </c>
      <c r="CT152" s="12">
        <f t="shared" si="477"/>
        <v>0</v>
      </c>
      <c r="CU152" s="12">
        <f t="shared" si="477"/>
        <v>0</v>
      </c>
      <c r="CV152" s="12">
        <f t="shared" si="477"/>
        <v>0</v>
      </c>
      <c r="CW152" s="12">
        <f t="shared" si="477"/>
        <v>0</v>
      </c>
      <c r="CX152" s="12">
        <f t="shared" si="477"/>
        <v>0</v>
      </c>
      <c r="CY152" s="12">
        <f t="shared" si="477"/>
        <v>0</v>
      </c>
      <c r="CZ152" s="12">
        <f t="shared" si="477"/>
        <v>0</v>
      </c>
      <c r="DA152" s="12">
        <f t="shared" si="477"/>
        <v>0</v>
      </c>
      <c r="DB152" s="12">
        <f t="shared" si="477"/>
        <v>0</v>
      </c>
      <c r="DC152" s="12">
        <f t="shared" si="477"/>
        <v>0</v>
      </c>
      <c r="DD152" s="12">
        <f t="shared" si="477"/>
        <v>0</v>
      </c>
      <c r="DE152" s="12">
        <f t="shared" si="477"/>
        <v>0</v>
      </c>
      <c r="DF152" s="12">
        <f t="shared" si="477"/>
        <v>0</v>
      </c>
      <c r="DG152" s="12">
        <f t="shared" si="477"/>
        <v>0</v>
      </c>
      <c r="DH152" s="12">
        <f t="shared" si="477"/>
        <v>0</v>
      </c>
      <c r="DI152" s="12">
        <f t="shared" si="477"/>
        <v>0</v>
      </c>
      <c r="DJ152" s="12">
        <f t="shared" si="477"/>
        <v>0</v>
      </c>
      <c r="DK152" s="12">
        <f t="shared" si="477"/>
        <v>0</v>
      </c>
      <c r="DL152" s="12">
        <f t="shared" si="477"/>
        <v>0</v>
      </c>
      <c r="DM152" s="12">
        <f t="shared" si="477"/>
        <v>0</v>
      </c>
      <c r="DN152" s="12">
        <f t="shared" si="477"/>
        <v>0</v>
      </c>
      <c r="DO152" s="12">
        <f t="shared" si="477"/>
        <v>0</v>
      </c>
      <c r="DP152" s="12">
        <f t="shared" si="477"/>
        <v>0</v>
      </c>
      <c r="DQ152" s="12">
        <f t="shared" si="477"/>
        <v>0</v>
      </c>
      <c r="DR152" s="12">
        <f t="shared" si="477"/>
        <v>0</v>
      </c>
      <c r="DS152" s="12">
        <f t="shared" si="477"/>
        <v>0</v>
      </c>
      <c r="DT152" s="12">
        <f t="shared" si="477"/>
        <v>0</v>
      </c>
      <c r="DU152" s="12">
        <f t="shared" si="477"/>
        <v>0</v>
      </c>
      <c r="DV152" s="12">
        <f t="shared" si="477"/>
        <v>0</v>
      </c>
      <c r="DW152" s="12">
        <f t="shared" si="477"/>
        <v>0</v>
      </c>
      <c r="DX152" s="12">
        <f t="shared" si="477"/>
        <v>0</v>
      </c>
      <c r="DY152" s="12">
        <f t="shared" si="477"/>
        <v>0</v>
      </c>
      <c r="DZ152" s="12">
        <f t="shared" si="477"/>
        <v>0</v>
      </c>
      <c r="EA152" s="12">
        <f t="shared" si="477"/>
        <v>0</v>
      </c>
      <c r="EB152" s="12">
        <f t="shared" si="477"/>
        <v>0</v>
      </c>
      <c r="EC152" s="12">
        <f t="shared" ref="EC152:GJ152" si="478" xml:space="preserve"> EC$12</f>
        <v>0</v>
      </c>
      <c r="ED152" s="12">
        <f t="shared" si="478"/>
        <v>0</v>
      </c>
      <c r="EE152" s="12">
        <f t="shared" si="478"/>
        <v>0</v>
      </c>
      <c r="EF152" s="12">
        <f t="shared" si="478"/>
        <v>0</v>
      </c>
      <c r="EG152" s="12">
        <f t="shared" si="478"/>
        <v>0</v>
      </c>
      <c r="EH152" s="12">
        <f t="shared" si="478"/>
        <v>0</v>
      </c>
      <c r="EI152" s="12">
        <f t="shared" si="478"/>
        <v>0</v>
      </c>
      <c r="EJ152" s="12">
        <f t="shared" si="478"/>
        <v>0</v>
      </c>
      <c r="EK152" s="12">
        <f t="shared" si="478"/>
        <v>0</v>
      </c>
      <c r="EL152" s="12">
        <f t="shared" si="478"/>
        <v>0</v>
      </c>
      <c r="EM152" s="12">
        <f t="shared" si="478"/>
        <v>0</v>
      </c>
      <c r="EN152" s="12">
        <f t="shared" si="478"/>
        <v>0</v>
      </c>
      <c r="EO152" s="12">
        <f t="shared" si="478"/>
        <v>0</v>
      </c>
      <c r="EP152" s="12">
        <f t="shared" si="478"/>
        <v>0</v>
      </c>
      <c r="EQ152" s="12">
        <f t="shared" si="478"/>
        <v>0</v>
      </c>
      <c r="ER152" s="12">
        <f t="shared" si="478"/>
        <v>0</v>
      </c>
      <c r="ES152" s="12">
        <f t="shared" si="478"/>
        <v>0</v>
      </c>
      <c r="ET152" s="12">
        <f t="shared" si="478"/>
        <v>0</v>
      </c>
      <c r="EU152" s="12">
        <f t="shared" si="478"/>
        <v>0</v>
      </c>
      <c r="EV152" s="12">
        <f t="shared" si="478"/>
        <v>0</v>
      </c>
      <c r="EW152" s="12">
        <f t="shared" si="478"/>
        <v>0</v>
      </c>
      <c r="EX152" s="12">
        <f t="shared" si="478"/>
        <v>0</v>
      </c>
      <c r="EY152" s="12">
        <f t="shared" si="478"/>
        <v>0</v>
      </c>
      <c r="EZ152" s="12">
        <f t="shared" si="478"/>
        <v>0</v>
      </c>
      <c r="FA152" s="12">
        <f t="shared" si="478"/>
        <v>0</v>
      </c>
      <c r="FB152" s="12">
        <f t="shared" si="478"/>
        <v>0</v>
      </c>
      <c r="FC152" s="12">
        <f t="shared" si="478"/>
        <v>0</v>
      </c>
      <c r="FD152" s="12">
        <f t="shared" si="478"/>
        <v>0</v>
      </c>
      <c r="FE152" s="12">
        <f t="shared" si="478"/>
        <v>0</v>
      </c>
      <c r="FF152" s="12">
        <f t="shared" si="478"/>
        <v>0</v>
      </c>
      <c r="FG152" s="12">
        <f t="shared" si="478"/>
        <v>0</v>
      </c>
      <c r="FH152" s="12">
        <f t="shared" si="478"/>
        <v>0</v>
      </c>
      <c r="FI152" s="12">
        <f t="shared" si="478"/>
        <v>0</v>
      </c>
      <c r="FJ152" s="12">
        <f t="shared" si="478"/>
        <v>0</v>
      </c>
      <c r="FK152" s="12">
        <f t="shared" si="478"/>
        <v>0</v>
      </c>
      <c r="FL152" s="12">
        <f t="shared" si="478"/>
        <v>0</v>
      </c>
      <c r="FM152" s="12">
        <f t="shared" si="478"/>
        <v>0</v>
      </c>
      <c r="FN152" s="12">
        <f t="shared" si="478"/>
        <v>0</v>
      </c>
      <c r="FO152" s="12">
        <f t="shared" si="478"/>
        <v>0</v>
      </c>
      <c r="FP152" s="12">
        <f t="shared" si="478"/>
        <v>0</v>
      </c>
      <c r="FQ152" s="12">
        <f t="shared" si="478"/>
        <v>0</v>
      </c>
      <c r="FR152" s="12">
        <f t="shared" si="478"/>
        <v>0</v>
      </c>
      <c r="FS152" s="12">
        <f t="shared" si="478"/>
        <v>0</v>
      </c>
      <c r="FT152" s="12">
        <f t="shared" si="478"/>
        <v>0</v>
      </c>
      <c r="FU152" s="12">
        <f t="shared" si="478"/>
        <v>0</v>
      </c>
      <c r="FV152" s="12">
        <f t="shared" si="478"/>
        <v>0</v>
      </c>
      <c r="FW152" s="12">
        <f t="shared" si="478"/>
        <v>0</v>
      </c>
      <c r="FX152" s="12">
        <f t="shared" si="478"/>
        <v>0</v>
      </c>
      <c r="FY152" s="12">
        <f t="shared" si="478"/>
        <v>0</v>
      </c>
      <c r="FZ152" s="12">
        <f t="shared" si="478"/>
        <v>0</v>
      </c>
      <c r="GA152" s="12">
        <f t="shared" si="478"/>
        <v>0</v>
      </c>
      <c r="GB152" s="12">
        <f t="shared" si="478"/>
        <v>0</v>
      </c>
      <c r="GC152" s="12">
        <f t="shared" si="478"/>
        <v>0</v>
      </c>
      <c r="GD152" s="12">
        <f t="shared" si="478"/>
        <v>0</v>
      </c>
      <c r="GE152" s="12">
        <f t="shared" si="478"/>
        <v>0</v>
      </c>
      <c r="GF152" s="12">
        <f t="shared" si="478"/>
        <v>0</v>
      </c>
      <c r="GG152" s="12">
        <f t="shared" si="478"/>
        <v>0</v>
      </c>
      <c r="GH152" s="12">
        <f t="shared" si="478"/>
        <v>0</v>
      </c>
      <c r="GI152" s="12">
        <f t="shared" si="478"/>
        <v>0</v>
      </c>
      <c r="GJ152" s="12">
        <f t="shared" si="478"/>
        <v>0</v>
      </c>
    </row>
    <row r="153" spans="1:192" outlineLevel="2" x14ac:dyDescent="0.2">
      <c r="E153" s="186" t="str">
        <f xml:space="preserve"> Acct!E$17</f>
        <v>Fixed asset depreciation POS</v>
      </c>
      <c r="F153" s="186">
        <f xml:space="preserve"> Acct!F$17</f>
        <v>0</v>
      </c>
      <c r="G153" s="186" t="str">
        <f xml:space="preserve"> Acct!G$17</f>
        <v>$ 000s</v>
      </c>
      <c r="H153" s="186">
        <f xml:space="preserve"> Acct!H$17</f>
        <v>295392.30772000016</v>
      </c>
      <c r="I153" s="186">
        <f xml:space="preserve"> Acct!I$17</f>
        <v>0</v>
      </c>
      <c r="J153" s="186">
        <f xml:space="preserve"> Acct!J$17</f>
        <v>0</v>
      </c>
      <c r="K153" s="186">
        <f xml:space="preserve"> Acct!K$17</f>
        <v>0</v>
      </c>
      <c r="L153" s="186">
        <f xml:space="preserve"> Acct!L$17</f>
        <v>0</v>
      </c>
      <c r="M153" s="186">
        <f xml:space="preserve"> Acct!M$17</f>
        <v>0</v>
      </c>
      <c r="N153" s="186">
        <f xml:space="preserve"> Acct!N$17</f>
        <v>0</v>
      </c>
      <c r="O153" s="186">
        <f xml:space="preserve"> Acct!O$17</f>
        <v>7384.807692999997</v>
      </c>
      <c r="P153" s="186">
        <f xml:space="preserve"> Acct!P$17</f>
        <v>7384.807692999997</v>
      </c>
      <c r="Q153" s="186">
        <f xml:space="preserve"> Acct!Q$17</f>
        <v>7384.807692999997</v>
      </c>
      <c r="R153" s="186">
        <f xml:space="preserve"> Acct!R$17</f>
        <v>7384.807692999997</v>
      </c>
      <c r="S153" s="186">
        <f xml:space="preserve"> Acct!S$17</f>
        <v>7384.807692999997</v>
      </c>
      <c r="T153" s="186">
        <f xml:space="preserve"> Acct!T$17</f>
        <v>7384.807692999997</v>
      </c>
      <c r="U153" s="186">
        <f xml:space="preserve"> Acct!U$17</f>
        <v>7384.807692999997</v>
      </c>
      <c r="V153" s="186">
        <f xml:space="preserve"> Acct!V$17</f>
        <v>7384.807692999997</v>
      </c>
      <c r="W153" s="186">
        <f xml:space="preserve"> Acct!W$17</f>
        <v>7384.807692999997</v>
      </c>
      <c r="X153" s="186">
        <f xml:space="preserve"> Acct!X$17</f>
        <v>7384.807692999997</v>
      </c>
      <c r="Y153" s="186">
        <f xml:space="preserve"> Acct!Y$17</f>
        <v>7384.807692999997</v>
      </c>
      <c r="Z153" s="186">
        <f xml:space="preserve"> Acct!Z$17</f>
        <v>7384.807692999997</v>
      </c>
      <c r="AA153" s="186">
        <f xml:space="preserve"> Acct!AA$17</f>
        <v>7384.807692999997</v>
      </c>
      <c r="AB153" s="186">
        <f xml:space="preserve"> Acct!AB$17</f>
        <v>7384.807692999997</v>
      </c>
      <c r="AC153" s="186">
        <f xml:space="preserve"> Acct!AC$17</f>
        <v>7384.807692999997</v>
      </c>
      <c r="AD153" s="186">
        <f xml:space="preserve"> Acct!AD$17</f>
        <v>7384.807692999997</v>
      </c>
      <c r="AE153" s="186">
        <f xml:space="preserve"> Acct!AE$17</f>
        <v>7384.807692999997</v>
      </c>
      <c r="AF153" s="186">
        <f xml:space="preserve"> Acct!AF$17</f>
        <v>7384.807692999997</v>
      </c>
      <c r="AG153" s="186">
        <f xml:space="preserve"> Acct!AG$17</f>
        <v>7384.807692999997</v>
      </c>
      <c r="AH153" s="186">
        <f xml:space="preserve"> Acct!AH$17</f>
        <v>7384.807692999997</v>
      </c>
      <c r="AI153" s="186">
        <f xml:space="preserve"> Acct!AI$17</f>
        <v>7384.807692999997</v>
      </c>
      <c r="AJ153" s="186">
        <f xml:space="preserve"> Acct!AJ$17</f>
        <v>7384.807692999997</v>
      </c>
      <c r="AK153" s="186">
        <f xml:space="preserve"> Acct!AK$17</f>
        <v>7384.807692999997</v>
      </c>
      <c r="AL153" s="186">
        <f xml:space="preserve"> Acct!AL$17</f>
        <v>7384.807692999997</v>
      </c>
      <c r="AM153" s="186">
        <f xml:space="preserve"> Acct!AM$17</f>
        <v>7384.807692999997</v>
      </c>
      <c r="AN153" s="186">
        <f xml:space="preserve"> Acct!AN$17</f>
        <v>7384.807692999997</v>
      </c>
      <c r="AO153" s="186">
        <f xml:space="preserve"> Acct!AO$17</f>
        <v>7384.807692999997</v>
      </c>
      <c r="AP153" s="186">
        <f xml:space="preserve"> Acct!AP$17</f>
        <v>7384.807692999997</v>
      </c>
      <c r="AQ153" s="186">
        <f xml:space="preserve"> Acct!AQ$17</f>
        <v>7384.807692999997</v>
      </c>
      <c r="AR153" s="186">
        <f xml:space="preserve"> Acct!AR$17</f>
        <v>7384.807692999997</v>
      </c>
      <c r="AS153" s="186">
        <f xml:space="preserve"> Acct!AS$17</f>
        <v>7384.807692999997</v>
      </c>
      <c r="AT153" s="186">
        <f xml:space="preserve"> Acct!AT$17</f>
        <v>7384.807692999997</v>
      </c>
      <c r="AU153" s="186">
        <f xml:space="preserve"> Acct!AU$17</f>
        <v>7384.807692999997</v>
      </c>
      <c r="AV153" s="186">
        <f xml:space="preserve"> Acct!AV$17</f>
        <v>7384.807692999997</v>
      </c>
      <c r="AW153" s="186">
        <f xml:space="preserve"> Acct!AW$17</f>
        <v>7384.807692999997</v>
      </c>
      <c r="AX153" s="186">
        <f xml:space="preserve"> Acct!AX$17</f>
        <v>7384.807692999997</v>
      </c>
      <c r="AY153" s="186">
        <f xml:space="preserve"> Acct!AY$17</f>
        <v>7384.807692999997</v>
      </c>
      <c r="AZ153" s="186">
        <f xml:space="preserve"> Acct!AZ$17</f>
        <v>7384.807692999997</v>
      </c>
      <c r="BA153" s="186">
        <f xml:space="preserve"> Acct!BA$17</f>
        <v>7384.807692999997</v>
      </c>
      <c r="BB153" s="186">
        <f xml:space="preserve"> Acct!BB$17</f>
        <v>7384.807692999997</v>
      </c>
      <c r="BC153" s="186">
        <f xml:space="preserve"> Acct!BC$17</f>
        <v>0</v>
      </c>
      <c r="BD153" s="186">
        <f xml:space="preserve"> Acct!BD$17</f>
        <v>0</v>
      </c>
      <c r="BE153" s="186">
        <f xml:space="preserve"> Acct!BE$17</f>
        <v>0</v>
      </c>
      <c r="BF153" s="186">
        <f xml:space="preserve"> Acct!BF$17</f>
        <v>0</v>
      </c>
      <c r="BG153" s="186">
        <f xml:space="preserve"> Acct!BG$17</f>
        <v>0</v>
      </c>
      <c r="BH153" s="186">
        <f xml:space="preserve"> Acct!BH$17</f>
        <v>0</v>
      </c>
      <c r="BI153" s="186">
        <f xml:space="preserve"> Acct!BI$17</f>
        <v>0</v>
      </c>
      <c r="BJ153" s="186">
        <f xml:space="preserve"> Acct!BJ$17</f>
        <v>0</v>
      </c>
      <c r="BK153" s="186">
        <f xml:space="preserve"> Acct!BK$17</f>
        <v>0</v>
      </c>
      <c r="BL153" s="186">
        <f xml:space="preserve"> Acct!BL$17</f>
        <v>0</v>
      </c>
      <c r="BM153" s="186">
        <f xml:space="preserve"> Acct!BM$17</f>
        <v>0</v>
      </c>
      <c r="BN153" s="186">
        <f xml:space="preserve"> Acct!BN$17</f>
        <v>0</v>
      </c>
      <c r="BO153" s="186">
        <f xml:space="preserve"> Acct!BO$17</f>
        <v>0</v>
      </c>
      <c r="BP153" s="186">
        <f xml:space="preserve"> Acct!BP$17</f>
        <v>0</v>
      </c>
      <c r="BQ153" s="186">
        <f xml:space="preserve"> Acct!BQ$17</f>
        <v>0</v>
      </c>
      <c r="BR153" s="186">
        <f xml:space="preserve"> Acct!BR$17</f>
        <v>0</v>
      </c>
      <c r="BS153" s="186">
        <f xml:space="preserve"> Acct!BS$17</f>
        <v>0</v>
      </c>
      <c r="BT153" s="186">
        <f xml:space="preserve"> Acct!BT$17</f>
        <v>0</v>
      </c>
      <c r="BU153" s="186">
        <f xml:space="preserve"> Acct!BU$17</f>
        <v>0</v>
      </c>
      <c r="BV153" s="186">
        <f xml:space="preserve"> Acct!BV$17</f>
        <v>0</v>
      </c>
      <c r="BW153" s="186">
        <f xml:space="preserve"> Acct!BW$17</f>
        <v>0</v>
      </c>
      <c r="BX153" s="186">
        <f xml:space="preserve"> Acct!BX$17</f>
        <v>0</v>
      </c>
      <c r="BY153" s="186">
        <f xml:space="preserve"> Acct!BY$17</f>
        <v>0</v>
      </c>
      <c r="BZ153" s="186">
        <f xml:space="preserve"> Acct!BZ$17</f>
        <v>0</v>
      </c>
      <c r="CA153" s="186">
        <f xml:space="preserve"> Acct!CA$17</f>
        <v>0</v>
      </c>
      <c r="CB153" s="186">
        <f xml:space="preserve"> Acct!CB$17</f>
        <v>0</v>
      </c>
      <c r="CC153" s="186">
        <f xml:space="preserve"> Acct!CC$17</f>
        <v>0</v>
      </c>
      <c r="CD153" s="186">
        <f xml:space="preserve"> Acct!CD$17</f>
        <v>0</v>
      </c>
      <c r="CE153" s="186">
        <f xml:space="preserve"> Acct!CE$17</f>
        <v>0</v>
      </c>
      <c r="CF153" s="186">
        <f xml:space="preserve"> Acct!CF$17</f>
        <v>0</v>
      </c>
      <c r="CG153" s="186">
        <f xml:space="preserve"> Acct!CG$17</f>
        <v>0</v>
      </c>
      <c r="CH153" s="186">
        <f xml:space="preserve"> Acct!CH$17</f>
        <v>0</v>
      </c>
      <c r="CI153" s="186">
        <f xml:space="preserve"> Acct!CI$17</f>
        <v>0</v>
      </c>
      <c r="CJ153" s="186">
        <f xml:space="preserve"> Acct!CJ$17</f>
        <v>0</v>
      </c>
      <c r="CK153" s="186">
        <f xml:space="preserve"> Acct!CK$17</f>
        <v>0</v>
      </c>
      <c r="CL153" s="186">
        <f xml:space="preserve"> Acct!CL$17</f>
        <v>0</v>
      </c>
      <c r="CM153" s="186">
        <f xml:space="preserve"> Acct!CM$17</f>
        <v>0</v>
      </c>
      <c r="CN153" s="186">
        <f xml:space="preserve"> Acct!CN$17</f>
        <v>0</v>
      </c>
      <c r="CO153" s="186">
        <f xml:space="preserve"> Acct!CO$17</f>
        <v>0</v>
      </c>
      <c r="CP153" s="186">
        <f xml:space="preserve"> Acct!CP$17</f>
        <v>0</v>
      </c>
      <c r="CQ153" s="186">
        <f xml:space="preserve"> Acct!CQ$17</f>
        <v>0</v>
      </c>
      <c r="CR153" s="186">
        <f xml:space="preserve"> Acct!CR$17</f>
        <v>0</v>
      </c>
      <c r="CS153" s="186">
        <f xml:space="preserve"> Acct!CS$17</f>
        <v>0</v>
      </c>
      <c r="CT153" s="186">
        <f xml:space="preserve"> Acct!CT$17</f>
        <v>0</v>
      </c>
      <c r="CU153" s="186">
        <f xml:space="preserve"> Acct!CU$17</f>
        <v>0</v>
      </c>
      <c r="CV153" s="186">
        <f xml:space="preserve"> Acct!CV$17</f>
        <v>0</v>
      </c>
      <c r="CW153" s="186">
        <f xml:space="preserve"> Acct!CW$17</f>
        <v>0</v>
      </c>
      <c r="CX153" s="186">
        <f xml:space="preserve"> Acct!CX$17</f>
        <v>0</v>
      </c>
      <c r="CY153" s="186">
        <f xml:space="preserve"> Acct!CY$17</f>
        <v>0</v>
      </c>
      <c r="CZ153" s="186">
        <f xml:space="preserve"> Acct!CZ$17</f>
        <v>0</v>
      </c>
      <c r="DA153" s="186">
        <f xml:space="preserve"> Acct!DA$17</f>
        <v>0</v>
      </c>
      <c r="DB153" s="186">
        <f xml:space="preserve"> Acct!DB$17</f>
        <v>0</v>
      </c>
      <c r="DC153" s="186">
        <f xml:space="preserve"> Acct!DC$17</f>
        <v>0</v>
      </c>
      <c r="DD153" s="186">
        <f xml:space="preserve"> Acct!DD$17</f>
        <v>0</v>
      </c>
      <c r="DE153" s="186">
        <f xml:space="preserve"> Acct!DE$17</f>
        <v>0</v>
      </c>
      <c r="DF153" s="186">
        <f xml:space="preserve"> Acct!DF$17</f>
        <v>0</v>
      </c>
      <c r="DG153" s="186">
        <f xml:space="preserve"> Acct!DG$17</f>
        <v>0</v>
      </c>
      <c r="DH153" s="186">
        <f xml:space="preserve"> Acct!DH$17</f>
        <v>0</v>
      </c>
      <c r="DI153" s="186">
        <f xml:space="preserve"> Acct!DI$17</f>
        <v>0</v>
      </c>
      <c r="DJ153" s="186">
        <f xml:space="preserve"> Acct!DJ$17</f>
        <v>0</v>
      </c>
      <c r="DK153" s="186">
        <f xml:space="preserve"> Acct!DK$17</f>
        <v>0</v>
      </c>
      <c r="DL153" s="186">
        <f xml:space="preserve"> Acct!DL$17</f>
        <v>0</v>
      </c>
      <c r="DM153" s="186">
        <f xml:space="preserve"> Acct!DM$17</f>
        <v>0</v>
      </c>
      <c r="DN153" s="186">
        <f xml:space="preserve"> Acct!DN$17</f>
        <v>0</v>
      </c>
      <c r="DO153" s="186">
        <f xml:space="preserve"> Acct!DO$17</f>
        <v>0</v>
      </c>
      <c r="DP153" s="186">
        <f xml:space="preserve"> Acct!DP$17</f>
        <v>0</v>
      </c>
      <c r="DQ153" s="186">
        <f xml:space="preserve"> Acct!DQ$17</f>
        <v>0</v>
      </c>
      <c r="DR153" s="186">
        <f xml:space="preserve"> Acct!DR$17</f>
        <v>0</v>
      </c>
      <c r="DS153" s="186">
        <f xml:space="preserve"> Acct!DS$17</f>
        <v>0</v>
      </c>
      <c r="DT153" s="186">
        <f xml:space="preserve"> Acct!DT$17</f>
        <v>0</v>
      </c>
      <c r="DU153" s="186">
        <f xml:space="preserve"> Acct!DU$17</f>
        <v>0</v>
      </c>
      <c r="DV153" s="186">
        <f xml:space="preserve"> Acct!DV$17</f>
        <v>0</v>
      </c>
      <c r="DW153" s="186">
        <f xml:space="preserve"> Acct!DW$17</f>
        <v>0</v>
      </c>
      <c r="DX153" s="186">
        <f xml:space="preserve"> Acct!DX$17</f>
        <v>0</v>
      </c>
      <c r="DY153" s="186">
        <f xml:space="preserve"> Acct!DY$17</f>
        <v>0</v>
      </c>
      <c r="DZ153" s="186">
        <f xml:space="preserve"> Acct!DZ$17</f>
        <v>0</v>
      </c>
      <c r="EA153" s="186">
        <f xml:space="preserve"> Acct!EA$17</f>
        <v>0</v>
      </c>
      <c r="EB153" s="186">
        <f xml:space="preserve"> Acct!EB$17</f>
        <v>0</v>
      </c>
      <c r="EC153" s="186">
        <f xml:space="preserve"> Acct!EC$17</f>
        <v>0</v>
      </c>
      <c r="ED153" s="186">
        <f xml:space="preserve"> Acct!ED$17</f>
        <v>0</v>
      </c>
      <c r="EE153" s="186">
        <f xml:space="preserve"> Acct!EE$17</f>
        <v>0</v>
      </c>
      <c r="EF153" s="186">
        <f xml:space="preserve"> Acct!EF$17</f>
        <v>0</v>
      </c>
      <c r="EG153" s="186">
        <f xml:space="preserve"> Acct!EG$17</f>
        <v>0</v>
      </c>
      <c r="EH153" s="186">
        <f xml:space="preserve"> Acct!EH$17</f>
        <v>0</v>
      </c>
      <c r="EI153" s="186">
        <f xml:space="preserve"> Acct!EI$17</f>
        <v>0</v>
      </c>
      <c r="EJ153" s="186">
        <f xml:space="preserve"> Acct!EJ$17</f>
        <v>0</v>
      </c>
      <c r="EK153" s="186">
        <f xml:space="preserve"> Acct!EK$17</f>
        <v>0</v>
      </c>
      <c r="EL153" s="186">
        <f xml:space="preserve"> Acct!EL$17</f>
        <v>0</v>
      </c>
      <c r="EM153" s="186">
        <f xml:space="preserve"> Acct!EM$17</f>
        <v>0</v>
      </c>
      <c r="EN153" s="186">
        <f xml:space="preserve"> Acct!EN$17</f>
        <v>0</v>
      </c>
      <c r="EO153" s="186">
        <f xml:space="preserve"> Acct!EO$17</f>
        <v>0</v>
      </c>
      <c r="EP153" s="186">
        <f xml:space="preserve"> Acct!EP$17</f>
        <v>0</v>
      </c>
      <c r="EQ153" s="186">
        <f xml:space="preserve"> Acct!EQ$17</f>
        <v>0</v>
      </c>
      <c r="ER153" s="186">
        <f xml:space="preserve"> Acct!ER$17</f>
        <v>0</v>
      </c>
      <c r="ES153" s="186">
        <f xml:space="preserve"> Acct!ES$17</f>
        <v>0</v>
      </c>
      <c r="ET153" s="186">
        <f xml:space="preserve"> Acct!ET$17</f>
        <v>0</v>
      </c>
      <c r="EU153" s="186">
        <f xml:space="preserve"> Acct!EU$17</f>
        <v>0</v>
      </c>
      <c r="EV153" s="186">
        <f xml:space="preserve"> Acct!EV$17</f>
        <v>0</v>
      </c>
      <c r="EW153" s="186">
        <f xml:space="preserve"> Acct!EW$17</f>
        <v>0</v>
      </c>
      <c r="EX153" s="186">
        <f xml:space="preserve"> Acct!EX$17</f>
        <v>0</v>
      </c>
      <c r="EY153" s="186">
        <f xml:space="preserve"> Acct!EY$17</f>
        <v>0</v>
      </c>
      <c r="EZ153" s="186">
        <f xml:space="preserve"> Acct!EZ$17</f>
        <v>0</v>
      </c>
      <c r="FA153" s="186">
        <f xml:space="preserve"> Acct!FA$17</f>
        <v>0</v>
      </c>
      <c r="FB153" s="186">
        <f xml:space="preserve"> Acct!FB$17</f>
        <v>0</v>
      </c>
      <c r="FC153" s="186">
        <f xml:space="preserve"> Acct!FC$17</f>
        <v>0</v>
      </c>
      <c r="FD153" s="186">
        <f xml:space="preserve"> Acct!FD$17</f>
        <v>0</v>
      </c>
      <c r="FE153" s="186">
        <f xml:space="preserve"> Acct!FE$17</f>
        <v>0</v>
      </c>
      <c r="FF153" s="186">
        <f xml:space="preserve"> Acct!FF$17</f>
        <v>0</v>
      </c>
      <c r="FG153" s="186">
        <f xml:space="preserve"> Acct!FG$17</f>
        <v>0</v>
      </c>
      <c r="FH153" s="186">
        <f xml:space="preserve"> Acct!FH$17</f>
        <v>0</v>
      </c>
      <c r="FI153" s="186">
        <f xml:space="preserve"> Acct!FI$17</f>
        <v>0</v>
      </c>
      <c r="FJ153" s="186">
        <f xml:space="preserve"> Acct!FJ$17</f>
        <v>0</v>
      </c>
      <c r="FK153" s="186">
        <f xml:space="preserve"> Acct!FK$17</f>
        <v>0</v>
      </c>
      <c r="FL153" s="186">
        <f xml:space="preserve"> Acct!FL$17</f>
        <v>0</v>
      </c>
      <c r="FM153" s="186">
        <f xml:space="preserve"> Acct!FM$17</f>
        <v>0</v>
      </c>
      <c r="FN153" s="186">
        <f xml:space="preserve"> Acct!FN$17</f>
        <v>0</v>
      </c>
      <c r="FO153" s="186">
        <f xml:space="preserve"> Acct!FO$17</f>
        <v>0</v>
      </c>
      <c r="FP153" s="186">
        <f xml:space="preserve"> Acct!FP$17</f>
        <v>0</v>
      </c>
      <c r="FQ153" s="186">
        <f xml:space="preserve"> Acct!FQ$17</f>
        <v>0</v>
      </c>
      <c r="FR153" s="186">
        <f xml:space="preserve"> Acct!FR$17</f>
        <v>0</v>
      </c>
      <c r="FS153" s="186">
        <f xml:space="preserve"> Acct!FS$17</f>
        <v>0</v>
      </c>
      <c r="FT153" s="186">
        <f xml:space="preserve"> Acct!FT$17</f>
        <v>0</v>
      </c>
      <c r="FU153" s="186">
        <f xml:space="preserve"> Acct!FU$17</f>
        <v>0</v>
      </c>
      <c r="FV153" s="186">
        <f xml:space="preserve"> Acct!FV$17</f>
        <v>0</v>
      </c>
      <c r="FW153" s="186">
        <f xml:space="preserve"> Acct!FW$17</f>
        <v>0</v>
      </c>
      <c r="FX153" s="186">
        <f xml:space="preserve"> Acct!FX$17</f>
        <v>0</v>
      </c>
      <c r="FY153" s="186">
        <f xml:space="preserve"> Acct!FY$17</f>
        <v>0</v>
      </c>
      <c r="FZ153" s="186">
        <f xml:space="preserve"> Acct!FZ$17</f>
        <v>0</v>
      </c>
      <c r="GA153" s="186">
        <f xml:space="preserve"> Acct!GA$17</f>
        <v>0</v>
      </c>
      <c r="GB153" s="186">
        <f xml:space="preserve"> Acct!GB$17</f>
        <v>0</v>
      </c>
      <c r="GC153" s="186">
        <f xml:space="preserve"> Acct!GC$17</f>
        <v>0</v>
      </c>
      <c r="GD153" s="186">
        <f xml:space="preserve"> Acct!GD$17</f>
        <v>0</v>
      </c>
      <c r="GE153" s="186">
        <f xml:space="preserve"> Acct!GE$17</f>
        <v>0</v>
      </c>
      <c r="GF153" s="186">
        <f xml:space="preserve"> Acct!GF$17</f>
        <v>0</v>
      </c>
      <c r="GG153" s="186">
        <f xml:space="preserve"> Acct!GG$17</f>
        <v>0</v>
      </c>
      <c r="GH153" s="186">
        <f xml:space="preserve"> Acct!GH$17</f>
        <v>0</v>
      </c>
      <c r="GI153" s="186">
        <f xml:space="preserve"> Acct!GI$17</f>
        <v>0</v>
      </c>
      <c r="GJ153" s="186">
        <f xml:space="preserve"> Acct!GJ$17</f>
        <v>0</v>
      </c>
    </row>
    <row r="154" spans="1:192" outlineLevel="2" x14ac:dyDescent="0.2">
      <c r="E154" s="186" t="str">
        <f xml:space="preserve"> Acct!E$37</f>
        <v>Amortisation of capitalised finance costs POS</v>
      </c>
      <c r="F154" s="186">
        <f xml:space="preserve"> Acct!F$37</f>
        <v>0</v>
      </c>
      <c r="G154" s="186" t="str">
        <f xml:space="preserve"> Acct!G$37</f>
        <v>$ 000s</v>
      </c>
      <c r="H154" s="186">
        <f xml:space="preserve"> Acct!H$37</f>
        <v>24335.550022039683</v>
      </c>
      <c r="I154" s="186">
        <f xml:space="preserve"> Acct!I$37</f>
        <v>0</v>
      </c>
      <c r="J154" s="186">
        <f xml:space="preserve"> Acct!J$37</f>
        <v>0</v>
      </c>
      <c r="K154" s="186">
        <f xml:space="preserve"> Acct!K$37</f>
        <v>0</v>
      </c>
      <c r="L154" s="186">
        <f xml:space="preserve"> Acct!L$37</f>
        <v>0</v>
      </c>
      <c r="M154" s="186">
        <f xml:space="preserve"> Acct!M$37</f>
        <v>0</v>
      </c>
      <c r="N154" s="186">
        <f xml:space="preserve"> Acct!N$37</f>
        <v>0</v>
      </c>
      <c r="O154" s="186">
        <f xml:space="preserve"> Acct!O$37</f>
        <v>715.75147123646184</v>
      </c>
      <c r="P154" s="186">
        <f xml:space="preserve"> Acct!P$37</f>
        <v>715.75147123646184</v>
      </c>
      <c r="Q154" s="186">
        <f xml:space="preserve"> Acct!Q$37</f>
        <v>715.75147123646184</v>
      </c>
      <c r="R154" s="186">
        <f xml:space="preserve"> Acct!R$37</f>
        <v>715.75147123646184</v>
      </c>
      <c r="S154" s="186">
        <f xml:space="preserve"> Acct!S$37</f>
        <v>715.75147123646184</v>
      </c>
      <c r="T154" s="186">
        <f xml:space="preserve"> Acct!T$37</f>
        <v>715.75147123646184</v>
      </c>
      <c r="U154" s="186">
        <f xml:space="preserve"> Acct!U$37</f>
        <v>715.75147123646184</v>
      </c>
      <c r="V154" s="186">
        <f xml:space="preserve"> Acct!V$37</f>
        <v>715.75147123646184</v>
      </c>
      <c r="W154" s="186">
        <f xml:space="preserve"> Acct!W$37</f>
        <v>715.75147123646184</v>
      </c>
      <c r="X154" s="186">
        <f xml:space="preserve"> Acct!X$37</f>
        <v>715.75147123646184</v>
      </c>
      <c r="Y154" s="186">
        <f xml:space="preserve"> Acct!Y$37</f>
        <v>715.75147123646184</v>
      </c>
      <c r="Z154" s="186">
        <f xml:space="preserve"> Acct!Z$37</f>
        <v>715.75147123646184</v>
      </c>
      <c r="AA154" s="186">
        <f xml:space="preserve"> Acct!AA$37</f>
        <v>715.75147123646184</v>
      </c>
      <c r="AB154" s="186">
        <f xml:space="preserve"> Acct!AB$37</f>
        <v>715.75147123646184</v>
      </c>
      <c r="AC154" s="186">
        <f xml:space="preserve"> Acct!AC$37</f>
        <v>715.75147123646184</v>
      </c>
      <c r="AD154" s="186">
        <f xml:space="preserve"> Acct!AD$37</f>
        <v>715.75147123646184</v>
      </c>
      <c r="AE154" s="186">
        <f xml:space="preserve"> Acct!AE$37</f>
        <v>715.75147123646184</v>
      </c>
      <c r="AF154" s="186">
        <f xml:space="preserve"> Acct!AF$37</f>
        <v>715.75147123646184</v>
      </c>
      <c r="AG154" s="186">
        <f xml:space="preserve"> Acct!AG$37</f>
        <v>715.75147123646184</v>
      </c>
      <c r="AH154" s="186">
        <f xml:space="preserve"> Acct!AH$37</f>
        <v>715.75147123646184</v>
      </c>
      <c r="AI154" s="186">
        <f xml:space="preserve"> Acct!AI$37</f>
        <v>715.75147123646184</v>
      </c>
      <c r="AJ154" s="186">
        <f xml:space="preserve"> Acct!AJ$37</f>
        <v>715.75147123646184</v>
      </c>
      <c r="AK154" s="186">
        <f xml:space="preserve"> Acct!AK$37</f>
        <v>715.75147123646184</v>
      </c>
      <c r="AL154" s="186">
        <f xml:space="preserve"> Acct!AL$37</f>
        <v>715.75147123646184</v>
      </c>
      <c r="AM154" s="186">
        <f xml:space="preserve"> Acct!AM$37</f>
        <v>715.75147123646184</v>
      </c>
      <c r="AN154" s="186">
        <f xml:space="preserve"> Acct!AN$37</f>
        <v>715.75147123646184</v>
      </c>
      <c r="AO154" s="186">
        <f xml:space="preserve"> Acct!AO$37</f>
        <v>715.75147123646184</v>
      </c>
      <c r="AP154" s="186">
        <f xml:space="preserve"> Acct!AP$37</f>
        <v>715.75147123646184</v>
      </c>
      <c r="AQ154" s="186">
        <f xml:space="preserve"> Acct!AQ$37</f>
        <v>715.75147123646184</v>
      </c>
      <c r="AR154" s="186">
        <f xml:space="preserve"> Acct!AR$37</f>
        <v>715.75147123646184</v>
      </c>
      <c r="AS154" s="186">
        <f xml:space="preserve"> Acct!AS$37</f>
        <v>715.75147123646184</v>
      </c>
      <c r="AT154" s="186">
        <f xml:space="preserve"> Acct!AT$37</f>
        <v>715.75147123646184</v>
      </c>
      <c r="AU154" s="186">
        <f xml:space="preserve"> Acct!AU$37</f>
        <v>715.75147123646184</v>
      </c>
      <c r="AV154" s="186">
        <f xml:space="preserve"> Acct!AV$37</f>
        <v>715.75147123646184</v>
      </c>
      <c r="AW154" s="186">
        <f xml:space="preserve"> Acct!AW$37</f>
        <v>0</v>
      </c>
      <c r="AX154" s="186">
        <f xml:space="preserve"> Acct!AX$37</f>
        <v>0</v>
      </c>
      <c r="AY154" s="186">
        <f xml:space="preserve"> Acct!AY$37</f>
        <v>0</v>
      </c>
      <c r="AZ154" s="186">
        <f xml:space="preserve"> Acct!AZ$37</f>
        <v>0</v>
      </c>
      <c r="BA154" s="186">
        <f xml:space="preserve"> Acct!BA$37</f>
        <v>0</v>
      </c>
      <c r="BB154" s="186">
        <f xml:space="preserve"> Acct!BB$37</f>
        <v>0</v>
      </c>
      <c r="BC154" s="186">
        <f xml:space="preserve"> Acct!BC$37</f>
        <v>0</v>
      </c>
      <c r="BD154" s="186">
        <f xml:space="preserve"> Acct!BD$37</f>
        <v>0</v>
      </c>
      <c r="BE154" s="186">
        <f xml:space="preserve"> Acct!BE$37</f>
        <v>0</v>
      </c>
      <c r="BF154" s="186">
        <f xml:space="preserve"> Acct!BF$37</f>
        <v>0</v>
      </c>
      <c r="BG154" s="186">
        <f xml:space="preserve"> Acct!BG$37</f>
        <v>0</v>
      </c>
      <c r="BH154" s="186">
        <f xml:space="preserve"> Acct!BH$37</f>
        <v>0</v>
      </c>
      <c r="BI154" s="186">
        <f xml:space="preserve"> Acct!BI$37</f>
        <v>0</v>
      </c>
      <c r="BJ154" s="186">
        <f xml:space="preserve"> Acct!BJ$37</f>
        <v>0</v>
      </c>
      <c r="BK154" s="186">
        <f xml:space="preserve"> Acct!BK$37</f>
        <v>0</v>
      </c>
      <c r="BL154" s="186">
        <f xml:space="preserve"> Acct!BL$37</f>
        <v>0</v>
      </c>
      <c r="BM154" s="186">
        <f xml:space="preserve"> Acct!BM$37</f>
        <v>0</v>
      </c>
      <c r="BN154" s="186">
        <f xml:space="preserve"> Acct!BN$37</f>
        <v>0</v>
      </c>
      <c r="BO154" s="186">
        <f xml:space="preserve"> Acct!BO$37</f>
        <v>0</v>
      </c>
      <c r="BP154" s="186">
        <f xml:space="preserve"> Acct!BP$37</f>
        <v>0</v>
      </c>
      <c r="BQ154" s="186">
        <f xml:space="preserve"> Acct!BQ$37</f>
        <v>0</v>
      </c>
      <c r="BR154" s="186">
        <f xml:space="preserve"> Acct!BR$37</f>
        <v>0</v>
      </c>
      <c r="BS154" s="186">
        <f xml:space="preserve"> Acct!BS$37</f>
        <v>0</v>
      </c>
      <c r="BT154" s="186">
        <f xml:space="preserve"> Acct!BT$37</f>
        <v>0</v>
      </c>
      <c r="BU154" s="186">
        <f xml:space="preserve"> Acct!BU$37</f>
        <v>0</v>
      </c>
      <c r="BV154" s="186">
        <f xml:space="preserve"> Acct!BV$37</f>
        <v>0</v>
      </c>
      <c r="BW154" s="186">
        <f xml:space="preserve"> Acct!BW$37</f>
        <v>0</v>
      </c>
      <c r="BX154" s="186">
        <f xml:space="preserve"> Acct!BX$37</f>
        <v>0</v>
      </c>
      <c r="BY154" s="186">
        <f xml:space="preserve"> Acct!BY$37</f>
        <v>0</v>
      </c>
      <c r="BZ154" s="186">
        <f xml:space="preserve"> Acct!BZ$37</f>
        <v>0</v>
      </c>
      <c r="CA154" s="186">
        <f xml:space="preserve"> Acct!CA$37</f>
        <v>0</v>
      </c>
      <c r="CB154" s="186">
        <f xml:space="preserve"> Acct!CB$37</f>
        <v>0</v>
      </c>
      <c r="CC154" s="186">
        <f xml:space="preserve"> Acct!CC$37</f>
        <v>0</v>
      </c>
      <c r="CD154" s="186">
        <f xml:space="preserve"> Acct!CD$37</f>
        <v>0</v>
      </c>
      <c r="CE154" s="186">
        <f xml:space="preserve"> Acct!CE$37</f>
        <v>0</v>
      </c>
      <c r="CF154" s="186">
        <f xml:space="preserve"> Acct!CF$37</f>
        <v>0</v>
      </c>
      <c r="CG154" s="186">
        <f xml:space="preserve"> Acct!CG$37</f>
        <v>0</v>
      </c>
      <c r="CH154" s="186">
        <f xml:space="preserve"> Acct!CH$37</f>
        <v>0</v>
      </c>
      <c r="CI154" s="186">
        <f xml:space="preserve"> Acct!CI$37</f>
        <v>0</v>
      </c>
      <c r="CJ154" s="186">
        <f xml:space="preserve"> Acct!CJ$37</f>
        <v>0</v>
      </c>
      <c r="CK154" s="186">
        <f xml:space="preserve"> Acct!CK$37</f>
        <v>0</v>
      </c>
      <c r="CL154" s="186">
        <f xml:space="preserve"> Acct!CL$37</f>
        <v>0</v>
      </c>
      <c r="CM154" s="186">
        <f xml:space="preserve"> Acct!CM$37</f>
        <v>0</v>
      </c>
      <c r="CN154" s="186">
        <f xml:space="preserve"> Acct!CN$37</f>
        <v>0</v>
      </c>
      <c r="CO154" s="186">
        <f xml:space="preserve"> Acct!CO$37</f>
        <v>0</v>
      </c>
      <c r="CP154" s="186">
        <f xml:space="preserve"> Acct!CP$37</f>
        <v>0</v>
      </c>
      <c r="CQ154" s="186">
        <f xml:space="preserve"> Acct!CQ$37</f>
        <v>0</v>
      </c>
      <c r="CR154" s="186">
        <f xml:space="preserve"> Acct!CR$37</f>
        <v>0</v>
      </c>
      <c r="CS154" s="186">
        <f xml:space="preserve"> Acct!CS$37</f>
        <v>0</v>
      </c>
      <c r="CT154" s="186">
        <f xml:space="preserve"> Acct!CT$37</f>
        <v>0</v>
      </c>
      <c r="CU154" s="186">
        <f xml:space="preserve"> Acct!CU$37</f>
        <v>0</v>
      </c>
      <c r="CV154" s="186">
        <f xml:space="preserve"> Acct!CV$37</f>
        <v>0</v>
      </c>
      <c r="CW154" s="186">
        <f xml:space="preserve"> Acct!CW$37</f>
        <v>0</v>
      </c>
      <c r="CX154" s="186">
        <f xml:space="preserve"> Acct!CX$37</f>
        <v>0</v>
      </c>
      <c r="CY154" s="186">
        <f xml:space="preserve"> Acct!CY$37</f>
        <v>0</v>
      </c>
      <c r="CZ154" s="186">
        <f xml:space="preserve"> Acct!CZ$37</f>
        <v>0</v>
      </c>
      <c r="DA154" s="186">
        <f xml:space="preserve"> Acct!DA$37</f>
        <v>0</v>
      </c>
      <c r="DB154" s="186">
        <f xml:space="preserve"> Acct!DB$37</f>
        <v>0</v>
      </c>
      <c r="DC154" s="186">
        <f xml:space="preserve"> Acct!DC$37</f>
        <v>0</v>
      </c>
      <c r="DD154" s="186">
        <f xml:space="preserve"> Acct!DD$37</f>
        <v>0</v>
      </c>
      <c r="DE154" s="186">
        <f xml:space="preserve"> Acct!DE$37</f>
        <v>0</v>
      </c>
      <c r="DF154" s="186">
        <f xml:space="preserve"> Acct!DF$37</f>
        <v>0</v>
      </c>
      <c r="DG154" s="186">
        <f xml:space="preserve"> Acct!DG$37</f>
        <v>0</v>
      </c>
      <c r="DH154" s="186">
        <f xml:space="preserve"> Acct!DH$37</f>
        <v>0</v>
      </c>
      <c r="DI154" s="186">
        <f xml:space="preserve"> Acct!DI$37</f>
        <v>0</v>
      </c>
      <c r="DJ154" s="186">
        <f xml:space="preserve"> Acct!DJ$37</f>
        <v>0</v>
      </c>
      <c r="DK154" s="186">
        <f xml:space="preserve"> Acct!DK$37</f>
        <v>0</v>
      </c>
      <c r="DL154" s="186">
        <f xml:space="preserve"> Acct!DL$37</f>
        <v>0</v>
      </c>
      <c r="DM154" s="186">
        <f xml:space="preserve"> Acct!DM$37</f>
        <v>0</v>
      </c>
      <c r="DN154" s="186">
        <f xml:space="preserve"> Acct!DN$37</f>
        <v>0</v>
      </c>
      <c r="DO154" s="186">
        <f xml:space="preserve"> Acct!DO$37</f>
        <v>0</v>
      </c>
      <c r="DP154" s="186">
        <f xml:space="preserve"> Acct!DP$37</f>
        <v>0</v>
      </c>
      <c r="DQ154" s="186">
        <f xml:space="preserve"> Acct!DQ$37</f>
        <v>0</v>
      </c>
      <c r="DR154" s="186">
        <f xml:space="preserve"> Acct!DR$37</f>
        <v>0</v>
      </c>
      <c r="DS154" s="186">
        <f xml:space="preserve"> Acct!DS$37</f>
        <v>0</v>
      </c>
      <c r="DT154" s="186">
        <f xml:space="preserve"> Acct!DT$37</f>
        <v>0</v>
      </c>
      <c r="DU154" s="186">
        <f xml:space="preserve"> Acct!DU$37</f>
        <v>0</v>
      </c>
      <c r="DV154" s="186">
        <f xml:space="preserve"> Acct!DV$37</f>
        <v>0</v>
      </c>
      <c r="DW154" s="186">
        <f xml:space="preserve"> Acct!DW$37</f>
        <v>0</v>
      </c>
      <c r="DX154" s="186">
        <f xml:space="preserve"> Acct!DX$37</f>
        <v>0</v>
      </c>
      <c r="DY154" s="186">
        <f xml:space="preserve"> Acct!DY$37</f>
        <v>0</v>
      </c>
      <c r="DZ154" s="186">
        <f xml:space="preserve"> Acct!DZ$37</f>
        <v>0</v>
      </c>
      <c r="EA154" s="186">
        <f xml:space="preserve"> Acct!EA$37</f>
        <v>0</v>
      </c>
      <c r="EB154" s="186">
        <f xml:space="preserve"> Acct!EB$37</f>
        <v>0</v>
      </c>
      <c r="EC154" s="186">
        <f xml:space="preserve"> Acct!EC$37</f>
        <v>0</v>
      </c>
      <c r="ED154" s="186">
        <f xml:space="preserve"> Acct!ED$37</f>
        <v>0</v>
      </c>
      <c r="EE154" s="186">
        <f xml:space="preserve"> Acct!EE$37</f>
        <v>0</v>
      </c>
      <c r="EF154" s="186">
        <f xml:space="preserve"> Acct!EF$37</f>
        <v>0</v>
      </c>
      <c r="EG154" s="186">
        <f xml:space="preserve"> Acct!EG$37</f>
        <v>0</v>
      </c>
      <c r="EH154" s="186">
        <f xml:space="preserve"> Acct!EH$37</f>
        <v>0</v>
      </c>
      <c r="EI154" s="186">
        <f xml:space="preserve"> Acct!EI$37</f>
        <v>0</v>
      </c>
      <c r="EJ154" s="186">
        <f xml:space="preserve"> Acct!EJ$37</f>
        <v>0</v>
      </c>
      <c r="EK154" s="186">
        <f xml:space="preserve"> Acct!EK$37</f>
        <v>0</v>
      </c>
      <c r="EL154" s="186">
        <f xml:space="preserve"> Acct!EL$37</f>
        <v>0</v>
      </c>
      <c r="EM154" s="186">
        <f xml:space="preserve"> Acct!EM$37</f>
        <v>0</v>
      </c>
      <c r="EN154" s="186">
        <f xml:space="preserve"> Acct!EN$37</f>
        <v>0</v>
      </c>
      <c r="EO154" s="186">
        <f xml:space="preserve"> Acct!EO$37</f>
        <v>0</v>
      </c>
      <c r="EP154" s="186">
        <f xml:space="preserve"> Acct!EP$37</f>
        <v>0</v>
      </c>
      <c r="EQ154" s="186">
        <f xml:space="preserve"> Acct!EQ$37</f>
        <v>0</v>
      </c>
      <c r="ER154" s="186">
        <f xml:space="preserve"> Acct!ER$37</f>
        <v>0</v>
      </c>
      <c r="ES154" s="186">
        <f xml:space="preserve"> Acct!ES$37</f>
        <v>0</v>
      </c>
      <c r="ET154" s="186">
        <f xml:space="preserve"> Acct!ET$37</f>
        <v>0</v>
      </c>
      <c r="EU154" s="186">
        <f xml:space="preserve"> Acct!EU$37</f>
        <v>0</v>
      </c>
      <c r="EV154" s="186">
        <f xml:space="preserve"> Acct!EV$37</f>
        <v>0</v>
      </c>
      <c r="EW154" s="186">
        <f xml:space="preserve"> Acct!EW$37</f>
        <v>0</v>
      </c>
      <c r="EX154" s="186">
        <f xml:space="preserve"> Acct!EX$37</f>
        <v>0</v>
      </c>
      <c r="EY154" s="186">
        <f xml:space="preserve"> Acct!EY$37</f>
        <v>0</v>
      </c>
      <c r="EZ154" s="186">
        <f xml:space="preserve"> Acct!EZ$37</f>
        <v>0</v>
      </c>
      <c r="FA154" s="186">
        <f xml:space="preserve"> Acct!FA$37</f>
        <v>0</v>
      </c>
      <c r="FB154" s="186">
        <f xml:space="preserve"> Acct!FB$37</f>
        <v>0</v>
      </c>
      <c r="FC154" s="186">
        <f xml:space="preserve"> Acct!FC$37</f>
        <v>0</v>
      </c>
      <c r="FD154" s="186">
        <f xml:space="preserve"> Acct!FD$37</f>
        <v>0</v>
      </c>
      <c r="FE154" s="186">
        <f xml:space="preserve"> Acct!FE$37</f>
        <v>0</v>
      </c>
      <c r="FF154" s="186">
        <f xml:space="preserve"> Acct!FF$37</f>
        <v>0</v>
      </c>
      <c r="FG154" s="186">
        <f xml:space="preserve"> Acct!FG$37</f>
        <v>0</v>
      </c>
      <c r="FH154" s="186">
        <f xml:space="preserve"> Acct!FH$37</f>
        <v>0</v>
      </c>
      <c r="FI154" s="186">
        <f xml:space="preserve"> Acct!FI$37</f>
        <v>0</v>
      </c>
      <c r="FJ154" s="186">
        <f xml:space="preserve"> Acct!FJ$37</f>
        <v>0</v>
      </c>
      <c r="FK154" s="186">
        <f xml:space="preserve"> Acct!FK$37</f>
        <v>0</v>
      </c>
      <c r="FL154" s="186">
        <f xml:space="preserve"> Acct!FL$37</f>
        <v>0</v>
      </c>
      <c r="FM154" s="186">
        <f xml:space="preserve"> Acct!FM$37</f>
        <v>0</v>
      </c>
      <c r="FN154" s="186">
        <f xml:space="preserve"> Acct!FN$37</f>
        <v>0</v>
      </c>
      <c r="FO154" s="186">
        <f xml:space="preserve"> Acct!FO$37</f>
        <v>0</v>
      </c>
      <c r="FP154" s="186">
        <f xml:space="preserve"> Acct!FP$37</f>
        <v>0</v>
      </c>
      <c r="FQ154" s="186">
        <f xml:space="preserve"> Acct!FQ$37</f>
        <v>0</v>
      </c>
      <c r="FR154" s="186">
        <f xml:space="preserve"> Acct!FR$37</f>
        <v>0</v>
      </c>
      <c r="FS154" s="186">
        <f xml:space="preserve"> Acct!FS$37</f>
        <v>0</v>
      </c>
      <c r="FT154" s="186">
        <f xml:space="preserve"> Acct!FT$37</f>
        <v>0</v>
      </c>
      <c r="FU154" s="186">
        <f xml:space="preserve"> Acct!FU$37</f>
        <v>0</v>
      </c>
      <c r="FV154" s="186">
        <f xml:space="preserve"> Acct!FV$37</f>
        <v>0</v>
      </c>
      <c r="FW154" s="186">
        <f xml:space="preserve"> Acct!FW$37</f>
        <v>0</v>
      </c>
      <c r="FX154" s="186">
        <f xml:space="preserve"> Acct!FX$37</f>
        <v>0</v>
      </c>
      <c r="FY154" s="186">
        <f xml:space="preserve"> Acct!FY$37</f>
        <v>0</v>
      </c>
      <c r="FZ154" s="186">
        <f xml:space="preserve"> Acct!FZ$37</f>
        <v>0</v>
      </c>
      <c r="GA154" s="186">
        <f xml:space="preserve"> Acct!GA$37</f>
        <v>0</v>
      </c>
      <c r="GB154" s="186">
        <f xml:space="preserve"> Acct!GB$37</f>
        <v>0</v>
      </c>
      <c r="GC154" s="186">
        <f xml:space="preserve"> Acct!GC$37</f>
        <v>0</v>
      </c>
      <c r="GD154" s="186">
        <f xml:space="preserve"> Acct!GD$37</f>
        <v>0</v>
      </c>
      <c r="GE154" s="186">
        <f xml:space="preserve"> Acct!GE$37</f>
        <v>0</v>
      </c>
      <c r="GF154" s="186">
        <f xml:space="preserve"> Acct!GF$37</f>
        <v>0</v>
      </c>
      <c r="GG154" s="186">
        <f xml:space="preserve"> Acct!GG$37</f>
        <v>0</v>
      </c>
      <c r="GH154" s="186">
        <f xml:space="preserve"> Acct!GH$37</f>
        <v>0</v>
      </c>
      <c r="GI154" s="186">
        <f xml:space="preserve"> Acct!GI$37</f>
        <v>0</v>
      </c>
      <c r="GJ154" s="186">
        <f xml:space="preserve"> Acct!GJ$37</f>
        <v>0</v>
      </c>
    </row>
    <row r="155" spans="1:192" outlineLevel="2" x14ac:dyDescent="0.2">
      <c r="E155" s="12" t="s">
        <v>1321</v>
      </c>
      <c r="G155" s="12" t="str">
        <f xml:space="preserve"> SMU</f>
        <v>$ 000s</v>
      </c>
      <c r="H155" s="12">
        <f ca="1" xml:space="preserve"> SUM(J155:CV155)</f>
        <v>-5.6843418860808015E-12</v>
      </c>
      <c r="J155" s="12">
        <f t="shared" ref="J155" ca="1" si="479" xml:space="preserve"> (J152 - J153 - J154) * $F151</f>
        <v>0</v>
      </c>
      <c r="K155" s="12">
        <f t="shared" ref="K155" ca="1" si="480" xml:space="preserve"> (K152 - K153 - K154) * $F151</f>
        <v>0</v>
      </c>
      <c r="L155" s="12">
        <f t="shared" ref="L155" ca="1" si="481" xml:space="preserve"> (L152 - L153 - L154) * $F151</f>
        <v>0</v>
      </c>
      <c r="M155" s="12">
        <f t="shared" ref="M155" ca="1" si="482" xml:space="preserve"> (M152 - M153 - M154) * $F151</f>
        <v>0</v>
      </c>
      <c r="N155" s="12">
        <f t="shared" ref="N155" ca="1" si="483" xml:space="preserve"> (N152 - N153 - N154) * $F151</f>
        <v>0</v>
      </c>
      <c r="O155" s="12">
        <f t="shared" ref="O155" ca="1" si="484" xml:space="preserve"> (O152 - O153 - O154) * $F151</f>
        <v>4774.4453219935003</v>
      </c>
      <c r="P155" s="12">
        <f t="shared" ref="P155" ca="1" si="485" xml:space="preserve"> (P152 - P153 - P154) * $F151</f>
        <v>4134.9896065094208</v>
      </c>
      <c r="Q155" s="12">
        <f t="shared" ref="Q155" ca="1" si="486" xml:space="preserve"> (Q152 - Q153 - Q154) * $F151</f>
        <v>3559.4794625737495</v>
      </c>
      <c r="R155" s="12">
        <f t="shared" ref="R155" ca="1" si="487" xml:space="preserve"> (R152 - R153 - R154) * $F151</f>
        <v>3041.5203330316454</v>
      </c>
      <c r="S155" s="12">
        <f t="shared" ref="S155" ca="1" si="488" xml:space="preserve"> (S152 - S153 - S154) * $F151</f>
        <v>2575.3571164437512</v>
      </c>
      <c r="T155" s="12">
        <f t="shared" ref="T155" ca="1" si="489" xml:space="preserve"> (T152 - T153 - T154) * $F151</f>
        <v>2155.8102215146464</v>
      </c>
      <c r="U155" s="12">
        <f t="shared" ref="U155" ca="1" si="490" xml:space="preserve"> (U152 - U153 - U154) * $F151</f>
        <v>1778.2180160784535</v>
      </c>
      <c r="V155" s="12">
        <f t="shared" ref="V155" ca="1" si="491" xml:space="preserve"> (V152 - V153 - V154) * $F151</f>
        <v>1438.3850311858787</v>
      </c>
      <c r="W155" s="12">
        <f t="shared" ref="W155" ca="1" si="492" xml:space="preserve"> (W152 - W153 - W154) * $F151</f>
        <v>1132.5353447825617</v>
      </c>
      <c r="X155" s="12">
        <f t="shared" ref="X155" ca="1" si="493" xml:space="preserve"> (X152 - X153 - X154) * $F151</f>
        <v>857.27062701957641</v>
      </c>
      <c r="Y155" s="12">
        <f t="shared" ref="Y155" ca="1" si="494" xml:space="preserve"> (Y152 - Y153 - Y154) * $F151</f>
        <v>609.53238103288948</v>
      </c>
      <c r="Z155" s="12">
        <f t="shared" ref="Z155" ca="1" si="495" xml:space="preserve"> (Z152 - Z153 - Z154) * $F151</f>
        <v>386.56795964487122</v>
      </c>
      <c r="AA155" s="12">
        <f t="shared" ref="AA155" ca="1" si="496" xml:space="preserve"> (AA152 - AA153 - AA154) * $F151</f>
        <v>185.89998039565489</v>
      </c>
      <c r="AB155" s="12">
        <f t="shared" ref="AB155" ca="1" si="497" xml:space="preserve"> (AB152 - AB153 - AB154) * $F151</f>
        <v>5.2987990713601905</v>
      </c>
      <c r="AC155" s="12">
        <f t="shared" ref="AC155" ca="1" si="498" xml:space="preserve"> (AC152 - AC153 - AC154) * $F151</f>
        <v>-157.24226412050484</v>
      </c>
      <c r="AD155" s="12">
        <f t="shared" ref="AD155" ca="1" si="499" xml:space="preserve"> (AD152 - AD153 - AD154) * $F151</f>
        <v>-303.52922099318369</v>
      </c>
      <c r="AE155" s="12">
        <f t="shared" ref="AE155" ca="1" si="500" xml:space="preserve"> (AE152 - AE153 - AE154) * $F151</f>
        <v>-435.18748217859451</v>
      </c>
      <c r="AF155" s="12">
        <f t="shared" ref="AF155" ca="1" si="501" xml:space="preserve"> (AF152 - AF153 - AF154) * $F151</f>
        <v>-553.67991724546425</v>
      </c>
      <c r="AG155" s="12">
        <f t="shared" ref="AG155" ca="1" si="502" xml:space="preserve"> (AG152 - AG153 - AG154) * $F151</f>
        <v>-660.32310880564694</v>
      </c>
      <c r="AH155" s="12">
        <f t="shared" ref="AH155" ca="1" si="503" xml:space="preserve"> (AH152 - AH153 - AH154) * $F151</f>
        <v>-756.30198120981152</v>
      </c>
      <c r="AI155" s="12">
        <f t="shared" ref="AI155" ca="1" si="504" xml:space="preserve"> (AI152 - AI153 - AI154) * $F151</f>
        <v>-842.68296637355945</v>
      </c>
      <c r="AJ155" s="12">
        <f t="shared" ref="AJ155" ca="1" si="505" xml:space="preserve"> (AJ152 - AJ153 - AJ154) * $F151</f>
        <v>-920.42585302093266</v>
      </c>
      <c r="AK155" s="12">
        <f t="shared" ref="AK155" ca="1" si="506" xml:space="preserve"> (AK152 - AK153 - AK154) * $F151</f>
        <v>-990.39445100356852</v>
      </c>
      <c r="AL155" s="12">
        <f t="shared" ref="AL155" ca="1" si="507" xml:space="preserve"> (AL152 - AL153 - AL154) * $F151</f>
        <v>-1053.3661891879408</v>
      </c>
      <c r="AM155" s="12">
        <f t="shared" ref="AM155" ca="1" si="508" xml:space="preserve"> (AM152 - AM153 - AM154) * $F151</f>
        <v>-1110.0407535538759</v>
      </c>
      <c r="AN155" s="12">
        <f t="shared" ref="AN155" ca="1" si="509" xml:space="preserve"> (AN152 - AN153 - AN154) * $F151</f>
        <v>-1161.0478614832175</v>
      </c>
      <c r="AO155" s="12">
        <f t="shared" ref="AO155" ca="1" si="510" xml:space="preserve"> (AO152 - AO153 - AO154) * $F151</f>
        <v>-1206.9542586196249</v>
      </c>
      <c r="AP155" s="12">
        <f t="shared" ref="AP155" ca="1" si="511" xml:space="preserve"> (AP152 - AP153 - AP154) * $F151</f>
        <v>-1248.2700160423917</v>
      </c>
      <c r="AQ155" s="12">
        <f t="shared" ref="AQ155" ca="1" si="512" xml:space="preserve"> (AQ152 - AQ153 - AQ154) * $F151</f>
        <v>-1285.4541977228819</v>
      </c>
      <c r="AR155" s="12">
        <f t="shared" ref="AR155" ca="1" si="513" xml:space="preserve"> (AR152 - AR153 - AR154) * $F151</f>
        <v>-1318.9199612353227</v>
      </c>
      <c r="AS155" s="12">
        <f t="shared" ref="AS155" ca="1" si="514" xml:space="preserve"> (AS152 - AS153 - AS154) * $F151</f>
        <v>-1349.0391483965195</v>
      </c>
      <c r="AT155" s="12">
        <f t="shared" ref="AT155" ca="1" si="515" xml:space="preserve"> (AT152 - AT153 - AT154) * $F151</f>
        <v>-1376.1464168415969</v>
      </c>
      <c r="AU155" s="12">
        <f t="shared" ref="AU155" ca="1" si="516" xml:space="preserve"> (AU152 - AU153 - AU154) * $F151</f>
        <v>-1400.5429584421663</v>
      </c>
      <c r="AV155" s="12">
        <f t="shared" ref="AV155" ca="1" si="517" xml:space="preserve"> (AV152 - AV153 - AV154) * $F151</f>
        <v>-1422.499845882679</v>
      </c>
      <c r="AW155" s="12">
        <f t="shared" ref="AW155" ca="1" si="518" xml:space="preserve"> (AW152 - AW153 - AW154) * $F151</f>
        <v>-1299.1107503318478</v>
      </c>
      <c r="AX155" s="12">
        <f t="shared" ref="AX155" ca="1" si="519" xml:space="preserve"> (AX152 - AX153 - AX154) * $F151</f>
        <v>-1316.895829158663</v>
      </c>
      <c r="AY155" s="12">
        <f t="shared" ref="AY155" ca="1" si="520" xml:space="preserve"> (AY152 - AY153 - AY154) * $F151</f>
        <v>-1332.9024001027965</v>
      </c>
      <c r="AZ155" s="12">
        <f t="shared" ref="AZ155" ca="1" si="521" xml:space="preserve"> (AZ152 - AZ153 - AZ154) * $F151</f>
        <v>-1347.308313952517</v>
      </c>
      <c r="BA155" s="12">
        <f t="shared" ref="BA155" ca="1" si="522" xml:space="preserve"> (BA152 - BA153 - BA154) * $F151</f>
        <v>-1360.2736364172652</v>
      </c>
      <c r="BB155" s="12">
        <f t="shared" ref="BB155" ca="1" si="523" xml:space="preserve"> (BB152 - BB153 - BB154) * $F151</f>
        <v>-426.77041895539082</v>
      </c>
      <c r="BC155" s="12">
        <f t="shared" ref="BC155" ca="1" si="524" xml:space="preserve"> (BC152 - BC153 - BC154) * $F151</f>
        <v>0</v>
      </c>
      <c r="BD155" s="12">
        <f t="shared" ref="BD155" ca="1" si="525" xml:space="preserve"> (BD152 - BD153 - BD154) * $F151</f>
        <v>0</v>
      </c>
      <c r="BE155" s="12">
        <f t="shared" ref="BE155" ca="1" si="526" xml:space="preserve"> (BE152 - BE153 - BE154) * $F151</f>
        <v>0</v>
      </c>
      <c r="BF155" s="12">
        <f t="shared" ref="BF155" ca="1" si="527" xml:space="preserve"> (BF152 - BF153 - BF154) * $F151</f>
        <v>0</v>
      </c>
      <c r="BG155" s="12">
        <f t="shared" ref="BG155" ca="1" si="528" xml:space="preserve"> (BG152 - BG153 - BG154) * $F151</f>
        <v>0</v>
      </c>
      <c r="BH155" s="12">
        <f t="shared" ref="BH155" ca="1" si="529" xml:space="preserve"> (BH152 - BH153 - BH154) * $F151</f>
        <v>0</v>
      </c>
      <c r="BI155" s="12">
        <f t="shared" ref="BI155" ca="1" si="530" xml:space="preserve"> (BI152 - BI153 - BI154) * $F151</f>
        <v>0</v>
      </c>
      <c r="BJ155" s="12">
        <f t="shared" ref="BJ155" ca="1" si="531" xml:space="preserve"> (BJ152 - BJ153 - BJ154) * $F151</f>
        <v>0</v>
      </c>
      <c r="BK155" s="12">
        <f t="shared" ref="BK155" ca="1" si="532" xml:space="preserve"> (BK152 - BK153 - BK154) * $F151</f>
        <v>0</v>
      </c>
      <c r="BL155" s="12">
        <f t="shared" ref="BL155" ca="1" si="533" xml:space="preserve"> (BL152 - BL153 - BL154) * $F151</f>
        <v>0</v>
      </c>
      <c r="BM155" s="12">
        <f t="shared" ref="BM155" ca="1" si="534" xml:space="preserve"> (BM152 - BM153 - BM154) * $F151</f>
        <v>0</v>
      </c>
      <c r="BN155" s="12">
        <f t="shared" ref="BN155" ca="1" si="535" xml:space="preserve"> (BN152 - BN153 - BN154) * $F151</f>
        <v>0</v>
      </c>
      <c r="BO155" s="12">
        <f t="shared" ref="BO155" ca="1" si="536" xml:space="preserve"> (BO152 - BO153 - BO154) * $F151</f>
        <v>0</v>
      </c>
      <c r="BP155" s="12">
        <f t="shared" ref="BP155" ca="1" si="537" xml:space="preserve"> (BP152 - BP153 - BP154) * $F151</f>
        <v>0</v>
      </c>
      <c r="BQ155" s="12">
        <f t="shared" ref="BQ155" ca="1" si="538" xml:space="preserve"> (BQ152 - BQ153 - BQ154) * $F151</f>
        <v>0</v>
      </c>
      <c r="BR155" s="12">
        <f t="shared" ref="BR155" ca="1" si="539" xml:space="preserve"> (BR152 - BR153 - BR154) * $F151</f>
        <v>0</v>
      </c>
      <c r="BS155" s="12">
        <f t="shared" ref="BS155" ca="1" si="540" xml:space="preserve"> (BS152 - BS153 - BS154) * $F151</f>
        <v>0</v>
      </c>
      <c r="BT155" s="12">
        <f t="shared" ref="BT155" ca="1" si="541" xml:space="preserve"> (BT152 - BT153 - BT154) * $F151</f>
        <v>0</v>
      </c>
      <c r="BU155" s="12">
        <f t="shared" ref="BU155" ca="1" si="542" xml:space="preserve"> (BU152 - BU153 - BU154) * $F151</f>
        <v>0</v>
      </c>
      <c r="BV155" s="12">
        <f t="shared" ref="BV155" ca="1" si="543" xml:space="preserve"> (BV152 - BV153 - BV154) * $F151</f>
        <v>0</v>
      </c>
      <c r="BW155" s="12">
        <f t="shared" ref="BW155" ca="1" si="544" xml:space="preserve"> (BW152 - BW153 - BW154) * $F151</f>
        <v>0</v>
      </c>
      <c r="BX155" s="12">
        <f t="shared" ref="BX155" ca="1" si="545" xml:space="preserve"> (BX152 - BX153 - BX154) * $F151</f>
        <v>0</v>
      </c>
      <c r="BY155" s="12">
        <f t="shared" ref="BY155" ca="1" si="546" xml:space="preserve"> (BY152 - BY153 - BY154) * $F151</f>
        <v>0</v>
      </c>
      <c r="BZ155" s="12">
        <f t="shared" ref="BZ155" ca="1" si="547" xml:space="preserve"> (BZ152 - BZ153 - BZ154) * $F151</f>
        <v>0</v>
      </c>
      <c r="CA155" s="12">
        <f t="shared" ref="CA155" ca="1" si="548" xml:space="preserve"> (CA152 - CA153 - CA154) * $F151</f>
        <v>0</v>
      </c>
      <c r="CB155" s="12">
        <f t="shared" ref="CB155" ca="1" si="549" xml:space="preserve"> (CB152 - CB153 - CB154) * $F151</f>
        <v>0</v>
      </c>
      <c r="CC155" s="12">
        <f t="shared" ref="CC155" ca="1" si="550" xml:space="preserve"> (CC152 - CC153 - CC154) * $F151</f>
        <v>0</v>
      </c>
      <c r="CD155" s="12">
        <f t="shared" ref="CD155" ca="1" si="551" xml:space="preserve"> (CD152 - CD153 - CD154) * $F151</f>
        <v>0</v>
      </c>
      <c r="CE155" s="12">
        <f t="shared" ref="CE155" ca="1" si="552" xml:space="preserve"> (CE152 - CE153 - CE154) * $F151</f>
        <v>0</v>
      </c>
      <c r="CF155" s="12">
        <f t="shared" ref="CF155" ca="1" si="553" xml:space="preserve"> (CF152 - CF153 - CF154) * $F151</f>
        <v>0</v>
      </c>
      <c r="CG155" s="12">
        <f t="shared" ref="CG155" ca="1" si="554" xml:space="preserve"> (CG152 - CG153 - CG154) * $F151</f>
        <v>0</v>
      </c>
      <c r="CH155" s="12">
        <f t="shared" ref="CH155" ca="1" si="555" xml:space="preserve"> (CH152 - CH153 - CH154) * $F151</f>
        <v>0</v>
      </c>
      <c r="CI155" s="12">
        <f t="shared" ref="CI155" ca="1" si="556" xml:space="preserve"> (CI152 - CI153 - CI154) * $F151</f>
        <v>0</v>
      </c>
      <c r="CJ155" s="12">
        <f t="shared" ref="CJ155" ca="1" si="557" xml:space="preserve"> (CJ152 - CJ153 - CJ154) * $F151</f>
        <v>0</v>
      </c>
      <c r="CK155" s="12">
        <f t="shared" ref="CK155" ca="1" si="558" xml:space="preserve"> (CK152 - CK153 - CK154) * $F151</f>
        <v>0</v>
      </c>
      <c r="CL155" s="12">
        <f t="shared" ref="CL155" ca="1" si="559" xml:space="preserve"> (CL152 - CL153 - CL154) * $F151</f>
        <v>0</v>
      </c>
      <c r="CM155" s="12">
        <f t="shared" ref="CM155" ca="1" si="560" xml:space="preserve"> (CM152 - CM153 - CM154) * $F151</f>
        <v>0</v>
      </c>
      <c r="CN155" s="12">
        <f t="shared" ref="CN155" ca="1" si="561" xml:space="preserve"> (CN152 - CN153 - CN154) * $F151</f>
        <v>0</v>
      </c>
      <c r="CO155" s="12">
        <f t="shared" ref="CO155" ca="1" si="562" xml:space="preserve"> (CO152 - CO153 - CO154) * $F151</f>
        <v>0</v>
      </c>
      <c r="CP155" s="12">
        <f t="shared" ref="CP155" ca="1" si="563" xml:space="preserve"> (CP152 - CP153 - CP154) * $F151</f>
        <v>0</v>
      </c>
      <c r="CQ155" s="12">
        <f t="shared" ref="CQ155" ca="1" si="564" xml:space="preserve"> (CQ152 - CQ153 - CQ154) * $F151</f>
        <v>0</v>
      </c>
      <c r="CR155" s="12">
        <f t="shared" ref="CR155" ca="1" si="565" xml:space="preserve"> (CR152 - CR153 - CR154) * $F151</f>
        <v>0</v>
      </c>
      <c r="CS155" s="12">
        <f t="shared" ref="CS155" ca="1" si="566" xml:space="preserve"> (CS152 - CS153 - CS154) * $F151</f>
        <v>0</v>
      </c>
      <c r="CT155" s="12">
        <f t="shared" ref="CT155" ca="1" si="567" xml:space="preserve"> (CT152 - CT153 - CT154) * $F151</f>
        <v>0</v>
      </c>
      <c r="CU155" s="12">
        <f t="shared" ref="CU155" ca="1" si="568" xml:space="preserve"> (CU152 - CU153 - CU154) * $F151</f>
        <v>0</v>
      </c>
      <c r="CV155" s="12">
        <f t="shared" ref="CV155" ca="1" si="569" xml:space="preserve"> (CV152 - CV153 - CV154) * $F151</f>
        <v>0</v>
      </c>
      <c r="CW155" s="12">
        <f t="shared" ref="CW155" ca="1" si="570" xml:space="preserve"> (CW152 - CW153 - CW154) * $F151</f>
        <v>0</v>
      </c>
      <c r="CX155" s="12">
        <f t="shared" ref="CX155" ca="1" si="571" xml:space="preserve"> (CX152 - CX153 - CX154) * $F151</f>
        <v>0</v>
      </c>
      <c r="CY155" s="12">
        <f t="shared" ref="CY155" ca="1" si="572" xml:space="preserve"> (CY152 - CY153 - CY154) * $F151</f>
        <v>0</v>
      </c>
      <c r="CZ155" s="12">
        <f t="shared" ref="CZ155" ca="1" si="573" xml:space="preserve"> (CZ152 - CZ153 - CZ154) * $F151</f>
        <v>0</v>
      </c>
      <c r="DA155" s="12">
        <f t="shared" ref="DA155" ca="1" si="574" xml:space="preserve"> (DA152 - DA153 - DA154) * $F151</f>
        <v>0</v>
      </c>
      <c r="DB155" s="12">
        <f t="shared" ref="DB155" ca="1" si="575" xml:space="preserve"> (DB152 - DB153 - DB154) * $F151</f>
        <v>0</v>
      </c>
      <c r="DC155" s="12">
        <f t="shared" ref="DC155" ca="1" si="576" xml:space="preserve"> (DC152 - DC153 - DC154) * $F151</f>
        <v>0</v>
      </c>
      <c r="DD155" s="12">
        <f t="shared" ref="DD155" ca="1" si="577" xml:space="preserve"> (DD152 - DD153 - DD154) * $F151</f>
        <v>0</v>
      </c>
      <c r="DE155" s="12">
        <f t="shared" ref="DE155" ca="1" si="578" xml:space="preserve"> (DE152 - DE153 - DE154) * $F151</f>
        <v>0</v>
      </c>
      <c r="DF155" s="12">
        <f t="shared" ref="DF155" ca="1" si="579" xml:space="preserve"> (DF152 - DF153 - DF154) * $F151</f>
        <v>0</v>
      </c>
      <c r="DG155" s="12">
        <f t="shared" ref="DG155" ca="1" si="580" xml:space="preserve"> (DG152 - DG153 - DG154) * $F151</f>
        <v>0</v>
      </c>
      <c r="DH155" s="12">
        <f t="shared" ref="DH155" ca="1" si="581" xml:space="preserve"> (DH152 - DH153 - DH154) * $F151</f>
        <v>0</v>
      </c>
      <c r="DI155" s="12">
        <f t="shared" ref="DI155" ca="1" si="582" xml:space="preserve"> (DI152 - DI153 - DI154) * $F151</f>
        <v>0</v>
      </c>
      <c r="DJ155" s="12">
        <f t="shared" ref="DJ155" ca="1" si="583" xml:space="preserve"> (DJ152 - DJ153 - DJ154) * $F151</f>
        <v>0</v>
      </c>
      <c r="DK155" s="12">
        <f t="shared" ref="DK155" ca="1" si="584" xml:space="preserve"> (DK152 - DK153 - DK154) * $F151</f>
        <v>0</v>
      </c>
      <c r="DL155" s="12">
        <f t="shared" ref="DL155" ca="1" si="585" xml:space="preserve"> (DL152 - DL153 - DL154) * $F151</f>
        <v>0</v>
      </c>
      <c r="DM155" s="12">
        <f t="shared" ref="DM155" ca="1" si="586" xml:space="preserve"> (DM152 - DM153 - DM154) * $F151</f>
        <v>0</v>
      </c>
      <c r="DN155" s="12">
        <f t="shared" ref="DN155" ca="1" si="587" xml:space="preserve"> (DN152 - DN153 - DN154) * $F151</f>
        <v>0</v>
      </c>
      <c r="DO155" s="12">
        <f t="shared" ref="DO155" ca="1" si="588" xml:space="preserve"> (DO152 - DO153 - DO154) * $F151</f>
        <v>0</v>
      </c>
      <c r="DP155" s="12">
        <f t="shared" ref="DP155" ca="1" si="589" xml:space="preserve"> (DP152 - DP153 - DP154) * $F151</f>
        <v>0</v>
      </c>
      <c r="DQ155" s="12">
        <f t="shared" ref="DQ155" ca="1" si="590" xml:space="preserve"> (DQ152 - DQ153 - DQ154) * $F151</f>
        <v>0</v>
      </c>
      <c r="DR155" s="12">
        <f t="shared" ref="DR155" ca="1" si="591" xml:space="preserve"> (DR152 - DR153 - DR154) * $F151</f>
        <v>0</v>
      </c>
      <c r="DS155" s="12">
        <f t="shared" ref="DS155" ca="1" si="592" xml:space="preserve"> (DS152 - DS153 - DS154) * $F151</f>
        <v>0</v>
      </c>
      <c r="DT155" s="12">
        <f t="shared" ref="DT155" ca="1" si="593" xml:space="preserve"> (DT152 - DT153 - DT154) * $F151</f>
        <v>0</v>
      </c>
      <c r="DU155" s="12">
        <f t="shared" ref="DU155" ca="1" si="594" xml:space="preserve"> (DU152 - DU153 - DU154) * $F151</f>
        <v>0</v>
      </c>
      <c r="DV155" s="12">
        <f t="shared" ref="DV155" ca="1" si="595" xml:space="preserve"> (DV152 - DV153 - DV154) * $F151</f>
        <v>0</v>
      </c>
      <c r="DW155" s="12">
        <f t="shared" ref="DW155" ca="1" si="596" xml:space="preserve"> (DW152 - DW153 - DW154) * $F151</f>
        <v>0</v>
      </c>
      <c r="DX155" s="12">
        <f t="shared" ref="DX155" ca="1" si="597" xml:space="preserve"> (DX152 - DX153 - DX154) * $F151</f>
        <v>0</v>
      </c>
      <c r="DY155" s="12">
        <f t="shared" ref="DY155" ca="1" si="598" xml:space="preserve"> (DY152 - DY153 - DY154) * $F151</f>
        <v>0</v>
      </c>
      <c r="DZ155" s="12">
        <f t="shared" ref="DZ155" ca="1" si="599" xml:space="preserve"> (DZ152 - DZ153 - DZ154) * $F151</f>
        <v>0</v>
      </c>
      <c r="EA155" s="12">
        <f t="shared" ref="EA155" ca="1" si="600" xml:space="preserve"> (EA152 - EA153 - EA154) * $F151</f>
        <v>0</v>
      </c>
      <c r="EB155" s="12">
        <f t="shared" ref="EB155" ca="1" si="601" xml:space="preserve"> (EB152 - EB153 - EB154) * $F151</f>
        <v>0</v>
      </c>
      <c r="EC155" s="12">
        <f t="shared" ref="EC155" ca="1" si="602" xml:space="preserve"> (EC152 - EC153 - EC154) * $F151</f>
        <v>0</v>
      </c>
      <c r="ED155" s="12">
        <f t="shared" ref="ED155" ca="1" si="603" xml:space="preserve"> (ED152 - ED153 - ED154) * $F151</f>
        <v>0</v>
      </c>
      <c r="EE155" s="12">
        <f t="shared" ref="EE155" ca="1" si="604" xml:space="preserve"> (EE152 - EE153 - EE154) * $F151</f>
        <v>0</v>
      </c>
      <c r="EF155" s="12">
        <f t="shared" ref="EF155" ca="1" si="605" xml:space="preserve"> (EF152 - EF153 - EF154) * $F151</f>
        <v>0</v>
      </c>
      <c r="EG155" s="12">
        <f t="shared" ref="EG155" ca="1" si="606" xml:space="preserve"> (EG152 - EG153 - EG154) * $F151</f>
        <v>0</v>
      </c>
      <c r="EH155" s="12">
        <f t="shared" ref="EH155" ca="1" si="607" xml:space="preserve"> (EH152 - EH153 - EH154) * $F151</f>
        <v>0</v>
      </c>
      <c r="EI155" s="12">
        <f t="shared" ref="EI155" ca="1" si="608" xml:space="preserve"> (EI152 - EI153 - EI154) * $F151</f>
        <v>0</v>
      </c>
      <c r="EJ155" s="12">
        <f t="shared" ref="EJ155" ca="1" si="609" xml:space="preserve"> (EJ152 - EJ153 - EJ154) * $F151</f>
        <v>0</v>
      </c>
      <c r="EK155" s="12">
        <f t="shared" ref="EK155" ca="1" si="610" xml:space="preserve"> (EK152 - EK153 - EK154) * $F151</f>
        <v>0</v>
      </c>
      <c r="EL155" s="12">
        <f t="shared" ref="EL155" ca="1" si="611" xml:space="preserve"> (EL152 - EL153 - EL154) * $F151</f>
        <v>0</v>
      </c>
      <c r="EM155" s="12">
        <f t="shared" ref="EM155" ca="1" si="612" xml:space="preserve"> (EM152 - EM153 - EM154) * $F151</f>
        <v>0</v>
      </c>
      <c r="EN155" s="12">
        <f t="shared" ref="EN155" ca="1" si="613" xml:space="preserve"> (EN152 - EN153 - EN154) * $F151</f>
        <v>0</v>
      </c>
      <c r="EO155" s="12">
        <f t="shared" ref="EO155" ca="1" si="614" xml:space="preserve"> (EO152 - EO153 - EO154) * $F151</f>
        <v>0</v>
      </c>
      <c r="EP155" s="12">
        <f t="shared" ref="EP155" ca="1" si="615" xml:space="preserve"> (EP152 - EP153 - EP154) * $F151</f>
        <v>0</v>
      </c>
      <c r="EQ155" s="12">
        <f t="shared" ref="EQ155" ca="1" si="616" xml:space="preserve"> (EQ152 - EQ153 - EQ154) * $F151</f>
        <v>0</v>
      </c>
      <c r="ER155" s="12">
        <f t="shared" ref="ER155" ca="1" si="617" xml:space="preserve"> (ER152 - ER153 - ER154) * $F151</f>
        <v>0</v>
      </c>
      <c r="ES155" s="12">
        <f t="shared" ref="ES155" ca="1" si="618" xml:space="preserve"> (ES152 - ES153 - ES154) * $F151</f>
        <v>0</v>
      </c>
      <c r="ET155" s="12">
        <f t="shared" ref="ET155" ca="1" si="619" xml:space="preserve"> (ET152 - ET153 - ET154) * $F151</f>
        <v>0</v>
      </c>
      <c r="EU155" s="12">
        <f t="shared" ref="EU155" ca="1" si="620" xml:space="preserve"> (EU152 - EU153 - EU154) * $F151</f>
        <v>0</v>
      </c>
      <c r="EV155" s="12">
        <f t="shared" ref="EV155" ca="1" si="621" xml:space="preserve"> (EV152 - EV153 - EV154) * $F151</f>
        <v>0</v>
      </c>
      <c r="EW155" s="12">
        <f t="shared" ref="EW155" ca="1" si="622" xml:space="preserve"> (EW152 - EW153 - EW154) * $F151</f>
        <v>0</v>
      </c>
      <c r="EX155" s="12">
        <f t="shared" ref="EX155" ca="1" si="623" xml:space="preserve"> (EX152 - EX153 - EX154) * $F151</f>
        <v>0</v>
      </c>
      <c r="EY155" s="12">
        <f t="shared" ref="EY155" ca="1" si="624" xml:space="preserve"> (EY152 - EY153 - EY154) * $F151</f>
        <v>0</v>
      </c>
      <c r="EZ155" s="12">
        <f t="shared" ref="EZ155" ca="1" si="625" xml:space="preserve"> (EZ152 - EZ153 - EZ154) * $F151</f>
        <v>0</v>
      </c>
      <c r="FA155" s="12">
        <f t="shared" ref="FA155" ca="1" si="626" xml:space="preserve"> (FA152 - FA153 - FA154) * $F151</f>
        <v>0</v>
      </c>
      <c r="FB155" s="12">
        <f t="shared" ref="FB155" ca="1" si="627" xml:space="preserve"> (FB152 - FB153 - FB154) * $F151</f>
        <v>0</v>
      </c>
      <c r="FC155" s="12">
        <f t="shared" ref="FC155" ca="1" si="628" xml:space="preserve"> (FC152 - FC153 - FC154) * $F151</f>
        <v>0</v>
      </c>
      <c r="FD155" s="12">
        <f t="shared" ref="FD155" ca="1" si="629" xml:space="preserve"> (FD152 - FD153 - FD154) * $F151</f>
        <v>0</v>
      </c>
      <c r="FE155" s="12">
        <f t="shared" ref="FE155" ca="1" si="630" xml:space="preserve"> (FE152 - FE153 - FE154) * $F151</f>
        <v>0</v>
      </c>
      <c r="FF155" s="12">
        <f t="shared" ref="FF155" ca="1" si="631" xml:space="preserve"> (FF152 - FF153 - FF154) * $F151</f>
        <v>0</v>
      </c>
      <c r="FG155" s="12">
        <f t="shared" ref="FG155" ca="1" si="632" xml:space="preserve"> (FG152 - FG153 - FG154) * $F151</f>
        <v>0</v>
      </c>
      <c r="FH155" s="12">
        <f t="shared" ref="FH155" ca="1" si="633" xml:space="preserve"> (FH152 - FH153 - FH154) * $F151</f>
        <v>0</v>
      </c>
      <c r="FI155" s="12">
        <f t="shared" ref="FI155" ca="1" si="634" xml:space="preserve"> (FI152 - FI153 - FI154) * $F151</f>
        <v>0</v>
      </c>
      <c r="FJ155" s="12">
        <f t="shared" ref="FJ155" ca="1" si="635" xml:space="preserve"> (FJ152 - FJ153 - FJ154) * $F151</f>
        <v>0</v>
      </c>
      <c r="FK155" s="12">
        <f t="shared" ref="FK155" ca="1" si="636" xml:space="preserve"> (FK152 - FK153 - FK154) * $F151</f>
        <v>0</v>
      </c>
      <c r="FL155" s="12">
        <f t="shared" ref="FL155" ca="1" si="637" xml:space="preserve"> (FL152 - FL153 - FL154) * $F151</f>
        <v>0</v>
      </c>
      <c r="FM155" s="12">
        <f t="shared" ref="FM155" ca="1" si="638" xml:space="preserve"> (FM152 - FM153 - FM154) * $F151</f>
        <v>0</v>
      </c>
      <c r="FN155" s="12">
        <f t="shared" ref="FN155" ca="1" si="639" xml:space="preserve"> (FN152 - FN153 - FN154) * $F151</f>
        <v>0</v>
      </c>
      <c r="FO155" s="12">
        <f t="shared" ref="FO155" ca="1" si="640" xml:space="preserve"> (FO152 - FO153 - FO154) * $F151</f>
        <v>0</v>
      </c>
      <c r="FP155" s="12">
        <f t="shared" ref="FP155" ca="1" si="641" xml:space="preserve"> (FP152 - FP153 - FP154) * $F151</f>
        <v>0</v>
      </c>
      <c r="FQ155" s="12">
        <f t="shared" ref="FQ155" ca="1" si="642" xml:space="preserve"> (FQ152 - FQ153 - FQ154) * $F151</f>
        <v>0</v>
      </c>
      <c r="FR155" s="12">
        <f t="shared" ref="FR155" ca="1" si="643" xml:space="preserve"> (FR152 - FR153 - FR154) * $F151</f>
        <v>0</v>
      </c>
      <c r="FS155" s="12">
        <f t="shared" ref="FS155" ca="1" si="644" xml:space="preserve"> (FS152 - FS153 - FS154) * $F151</f>
        <v>0</v>
      </c>
      <c r="FT155" s="12">
        <f t="shared" ref="FT155" ca="1" si="645" xml:space="preserve"> (FT152 - FT153 - FT154) * $F151</f>
        <v>0</v>
      </c>
      <c r="FU155" s="12">
        <f t="shared" ref="FU155" ca="1" si="646" xml:space="preserve"> (FU152 - FU153 - FU154) * $F151</f>
        <v>0</v>
      </c>
      <c r="FV155" s="12">
        <f t="shared" ref="FV155" ca="1" si="647" xml:space="preserve"> (FV152 - FV153 - FV154) * $F151</f>
        <v>0</v>
      </c>
      <c r="FW155" s="12">
        <f t="shared" ref="FW155" ca="1" si="648" xml:space="preserve"> (FW152 - FW153 - FW154) * $F151</f>
        <v>0</v>
      </c>
      <c r="FX155" s="12">
        <f t="shared" ref="FX155" ca="1" si="649" xml:space="preserve"> (FX152 - FX153 - FX154) * $F151</f>
        <v>0</v>
      </c>
      <c r="FY155" s="12">
        <f t="shared" ref="FY155" ca="1" si="650" xml:space="preserve"> (FY152 - FY153 - FY154) * $F151</f>
        <v>0</v>
      </c>
      <c r="FZ155" s="12">
        <f t="shared" ref="FZ155" ca="1" si="651" xml:space="preserve"> (FZ152 - FZ153 - FZ154) * $F151</f>
        <v>0</v>
      </c>
      <c r="GA155" s="12">
        <f t="shared" ref="GA155" ca="1" si="652" xml:space="preserve"> (GA152 - GA153 - GA154) * $F151</f>
        <v>0</v>
      </c>
      <c r="GB155" s="12">
        <f t="shared" ref="GB155" ca="1" si="653" xml:space="preserve"> (GB152 - GB153 - GB154) * $F151</f>
        <v>0</v>
      </c>
      <c r="GC155" s="12">
        <f t="shared" ref="GC155" ca="1" si="654" xml:space="preserve"> (GC152 - GC153 - GC154) * $F151</f>
        <v>0</v>
      </c>
      <c r="GD155" s="12">
        <f t="shared" ref="GD155" ca="1" si="655" xml:space="preserve"> (GD152 - GD153 - GD154) * $F151</f>
        <v>0</v>
      </c>
      <c r="GE155" s="12">
        <f t="shared" ref="GE155" ca="1" si="656" xml:space="preserve"> (GE152 - GE153 - GE154) * $F151</f>
        <v>0</v>
      </c>
      <c r="GF155" s="12">
        <f t="shared" ref="GF155" ca="1" si="657" xml:space="preserve"> (GF152 - GF153 - GF154) * $F151</f>
        <v>0</v>
      </c>
      <c r="GG155" s="12">
        <f t="shared" ref="GG155" ca="1" si="658" xml:space="preserve"> (GG152 - GG153 - GG154) * $F151</f>
        <v>0</v>
      </c>
      <c r="GH155" s="12">
        <f t="shared" ref="GH155" ca="1" si="659" xml:space="preserve"> (GH152 - GH153 - GH154) * $F151</f>
        <v>0</v>
      </c>
      <c r="GI155" s="12">
        <f t="shared" ref="GI155" ca="1" si="660" xml:space="preserve"> (GI152 - GI153 - GI154) * $F151</f>
        <v>0</v>
      </c>
      <c r="GJ155" s="12">
        <f t="shared" ref="GJ155" ca="1" si="661" xml:space="preserve"> (GJ152 - GJ153 - GJ154) * $F151</f>
        <v>0</v>
      </c>
    </row>
    <row r="156" spans="1:192" s="1141" customFormat="1" outlineLevel="2" x14ac:dyDescent="0.2">
      <c r="A156" s="141"/>
      <c r="B156" s="141"/>
      <c r="C156" s="142"/>
      <c r="D156" s="143"/>
      <c r="E156" s="187" t="str">
        <f ca="1" xml:space="preserve"> LEFT(E155, LEN(E155) - 4)</f>
        <v>Deferred tax  - P99</v>
      </c>
      <c r="F156" s="187"/>
      <c r="G156" s="187" t="str">
        <f xml:space="preserve"> SMU</f>
        <v>$ 000s</v>
      </c>
      <c r="H156" s="187">
        <f ca="1" xml:space="preserve"> SUM(J156:CV156)</f>
        <v>5.6843418860808015E-12</v>
      </c>
      <c r="I156" s="144"/>
      <c r="J156" s="187">
        <f t="shared" ref="J156:BU156" ca="1" si="662" xml:space="preserve"> -1 * J155</f>
        <v>0</v>
      </c>
      <c r="K156" s="187">
        <f t="shared" ca="1" si="662"/>
        <v>0</v>
      </c>
      <c r="L156" s="187">
        <f t="shared" ca="1" si="662"/>
        <v>0</v>
      </c>
      <c r="M156" s="187">
        <f t="shared" ca="1" si="662"/>
        <v>0</v>
      </c>
      <c r="N156" s="187">
        <f t="shared" ca="1" si="662"/>
        <v>0</v>
      </c>
      <c r="O156" s="187">
        <f t="shared" ca="1" si="662"/>
        <v>-4774.4453219935003</v>
      </c>
      <c r="P156" s="187">
        <f t="shared" ca="1" si="662"/>
        <v>-4134.9896065094208</v>
      </c>
      <c r="Q156" s="187">
        <f t="shared" ca="1" si="662"/>
        <v>-3559.4794625737495</v>
      </c>
      <c r="R156" s="187">
        <f t="shared" ca="1" si="662"/>
        <v>-3041.5203330316454</v>
      </c>
      <c r="S156" s="187">
        <f t="shared" ca="1" si="662"/>
        <v>-2575.3571164437512</v>
      </c>
      <c r="T156" s="187">
        <f t="shared" ca="1" si="662"/>
        <v>-2155.8102215146464</v>
      </c>
      <c r="U156" s="187">
        <f t="shared" ca="1" si="662"/>
        <v>-1778.2180160784535</v>
      </c>
      <c r="V156" s="187">
        <f t="shared" ca="1" si="662"/>
        <v>-1438.3850311858787</v>
      </c>
      <c r="W156" s="187">
        <f t="shared" ca="1" si="662"/>
        <v>-1132.5353447825617</v>
      </c>
      <c r="X156" s="187">
        <f t="shared" ca="1" si="662"/>
        <v>-857.27062701957641</v>
      </c>
      <c r="Y156" s="187">
        <f t="shared" ca="1" si="662"/>
        <v>-609.53238103288948</v>
      </c>
      <c r="Z156" s="187">
        <f t="shared" ca="1" si="662"/>
        <v>-386.56795964487122</v>
      </c>
      <c r="AA156" s="187">
        <f t="shared" ca="1" si="662"/>
        <v>-185.89998039565489</v>
      </c>
      <c r="AB156" s="187">
        <f t="shared" ca="1" si="662"/>
        <v>-5.2987990713601905</v>
      </c>
      <c r="AC156" s="187">
        <f t="shared" ca="1" si="662"/>
        <v>157.24226412050484</v>
      </c>
      <c r="AD156" s="187">
        <f t="shared" ca="1" si="662"/>
        <v>303.52922099318369</v>
      </c>
      <c r="AE156" s="187">
        <f t="shared" ca="1" si="662"/>
        <v>435.18748217859451</v>
      </c>
      <c r="AF156" s="187">
        <f t="shared" ca="1" si="662"/>
        <v>553.67991724546425</v>
      </c>
      <c r="AG156" s="187">
        <f t="shared" ca="1" si="662"/>
        <v>660.32310880564694</v>
      </c>
      <c r="AH156" s="187">
        <f t="shared" ca="1" si="662"/>
        <v>756.30198120981152</v>
      </c>
      <c r="AI156" s="187">
        <f t="shared" ca="1" si="662"/>
        <v>842.68296637355945</v>
      </c>
      <c r="AJ156" s="187">
        <f t="shared" ca="1" si="662"/>
        <v>920.42585302093266</v>
      </c>
      <c r="AK156" s="187">
        <f t="shared" ca="1" si="662"/>
        <v>990.39445100356852</v>
      </c>
      <c r="AL156" s="187">
        <f t="shared" ca="1" si="662"/>
        <v>1053.3661891879408</v>
      </c>
      <c r="AM156" s="187">
        <f t="shared" ca="1" si="662"/>
        <v>1110.0407535538759</v>
      </c>
      <c r="AN156" s="187">
        <f t="shared" ca="1" si="662"/>
        <v>1161.0478614832175</v>
      </c>
      <c r="AO156" s="187">
        <f t="shared" ca="1" si="662"/>
        <v>1206.9542586196249</v>
      </c>
      <c r="AP156" s="187">
        <f t="shared" ca="1" si="662"/>
        <v>1248.2700160423917</v>
      </c>
      <c r="AQ156" s="187">
        <f t="shared" ca="1" si="662"/>
        <v>1285.4541977228819</v>
      </c>
      <c r="AR156" s="187">
        <f t="shared" ca="1" si="662"/>
        <v>1318.9199612353227</v>
      </c>
      <c r="AS156" s="187">
        <f t="shared" ca="1" si="662"/>
        <v>1349.0391483965195</v>
      </c>
      <c r="AT156" s="187">
        <f t="shared" ca="1" si="662"/>
        <v>1376.1464168415969</v>
      </c>
      <c r="AU156" s="187">
        <f t="shared" ca="1" si="662"/>
        <v>1400.5429584421663</v>
      </c>
      <c r="AV156" s="187">
        <f t="shared" ca="1" si="662"/>
        <v>1422.499845882679</v>
      </c>
      <c r="AW156" s="187">
        <f t="shared" ca="1" si="662"/>
        <v>1299.1107503318478</v>
      </c>
      <c r="AX156" s="187">
        <f t="shared" ca="1" si="662"/>
        <v>1316.895829158663</v>
      </c>
      <c r="AY156" s="187">
        <f t="shared" ca="1" si="662"/>
        <v>1332.9024001027965</v>
      </c>
      <c r="AZ156" s="187">
        <f t="shared" ca="1" si="662"/>
        <v>1347.308313952517</v>
      </c>
      <c r="BA156" s="187">
        <f t="shared" ca="1" si="662"/>
        <v>1360.2736364172652</v>
      </c>
      <c r="BB156" s="187">
        <f t="shared" ca="1" si="662"/>
        <v>426.77041895539082</v>
      </c>
      <c r="BC156" s="187">
        <f t="shared" ca="1" si="662"/>
        <v>0</v>
      </c>
      <c r="BD156" s="187">
        <f t="shared" ca="1" si="662"/>
        <v>0</v>
      </c>
      <c r="BE156" s="187">
        <f t="shared" ca="1" si="662"/>
        <v>0</v>
      </c>
      <c r="BF156" s="187">
        <f t="shared" ca="1" si="662"/>
        <v>0</v>
      </c>
      <c r="BG156" s="187">
        <f t="shared" ca="1" si="662"/>
        <v>0</v>
      </c>
      <c r="BH156" s="187">
        <f t="shared" ca="1" si="662"/>
        <v>0</v>
      </c>
      <c r="BI156" s="187">
        <f t="shared" ca="1" si="662"/>
        <v>0</v>
      </c>
      <c r="BJ156" s="187">
        <f t="shared" ca="1" si="662"/>
        <v>0</v>
      </c>
      <c r="BK156" s="187">
        <f t="shared" ca="1" si="662"/>
        <v>0</v>
      </c>
      <c r="BL156" s="187">
        <f t="shared" ca="1" si="662"/>
        <v>0</v>
      </c>
      <c r="BM156" s="187">
        <f t="shared" ca="1" si="662"/>
        <v>0</v>
      </c>
      <c r="BN156" s="187">
        <f t="shared" ca="1" si="662"/>
        <v>0</v>
      </c>
      <c r="BO156" s="187">
        <f t="shared" ca="1" si="662"/>
        <v>0</v>
      </c>
      <c r="BP156" s="187">
        <f t="shared" ca="1" si="662"/>
        <v>0</v>
      </c>
      <c r="BQ156" s="187">
        <f t="shared" ca="1" si="662"/>
        <v>0</v>
      </c>
      <c r="BR156" s="187">
        <f t="shared" ca="1" si="662"/>
        <v>0</v>
      </c>
      <c r="BS156" s="187">
        <f t="shared" ca="1" si="662"/>
        <v>0</v>
      </c>
      <c r="BT156" s="187">
        <f t="shared" ca="1" si="662"/>
        <v>0</v>
      </c>
      <c r="BU156" s="187">
        <f t="shared" ca="1" si="662"/>
        <v>0</v>
      </c>
      <c r="BV156" s="187">
        <f t="shared" ref="BV156:CV156" ca="1" si="663" xml:space="preserve"> -1 * BV155</f>
        <v>0</v>
      </c>
      <c r="BW156" s="187">
        <f t="shared" ca="1" si="663"/>
        <v>0</v>
      </c>
      <c r="BX156" s="187">
        <f t="shared" ca="1" si="663"/>
        <v>0</v>
      </c>
      <c r="BY156" s="187">
        <f t="shared" ca="1" si="663"/>
        <v>0</v>
      </c>
      <c r="BZ156" s="187">
        <f t="shared" ca="1" si="663"/>
        <v>0</v>
      </c>
      <c r="CA156" s="187">
        <f t="shared" ca="1" si="663"/>
        <v>0</v>
      </c>
      <c r="CB156" s="187">
        <f t="shared" ca="1" si="663"/>
        <v>0</v>
      </c>
      <c r="CC156" s="187">
        <f t="shared" ca="1" si="663"/>
        <v>0</v>
      </c>
      <c r="CD156" s="187">
        <f t="shared" ca="1" si="663"/>
        <v>0</v>
      </c>
      <c r="CE156" s="187">
        <f t="shared" ca="1" si="663"/>
        <v>0</v>
      </c>
      <c r="CF156" s="187">
        <f t="shared" ca="1" si="663"/>
        <v>0</v>
      </c>
      <c r="CG156" s="187">
        <f t="shared" ca="1" si="663"/>
        <v>0</v>
      </c>
      <c r="CH156" s="187">
        <f t="shared" ca="1" si="663"/>
        <v>0</v>
      </c>
      <c r="CI156" s="187">
        <f t="shared" ca="1" si="663"/>
        <v>0</v>
      </c>
      <c r="CJ156" s="187">
        <f t="shared" ca="1" si="663"/>
        <v>0</v>
      </c>
      <c r="CK156" s="187">
        <f t="shared" ca="1" si="663"/>
        <v>0</v>
      </c>
      <c r="CL156" s="187">
        <f t="shared" ca="1" si="663"/>
        <v>0</v>
      </c>
      <c r="CM156" s="187">
        <f t="shared" ca="1" si="663"/>
        <v>0</v>
      </c>
      <c r="CN156" s="187">
        <f t="shared" ca="1" si="663"/>
        <v>0</v>
      </c>
      <c r="CO156" s="187">
        <f t="shared" ca="1" si="663"/>
        <v>0</v>
      </c>
      <c r="CP156" s="187">
        <f t="shared" ca="1" si="663"/>
        <v>0</v>
      </c>
      <c r="CQ156" s="187">
        <f t="shared" ca="1" si="663"/>
        <v>0</v>
      </c>
      <c r="CR156" s="187">
        <f t="shared" ca="1" si="663"/>
        <v>0</v>
      </c>
      <c r="CS156" s="187">
        <f t="shared" ca="1" si="663"/>
        <v>0</v>
      </c>
      <c r="CT156" s="187">
        <f t="shared" ca="1" si="663"/>
        <v>0</v>
      </c>
      <c r="CU156" s="187">
        <f t="shared" ca="1" si="663"/>
        <v>0</v>
      </c>
      <c r="CV156" s="187">
        <f t="shared" ca="1" si="663"/>
        <v>0</v>
      </c>
    </row>
    <row r="157" spans="1:192" outlineLevel="1" x14ac:dyDescent="0.2"/>
    <row r="158" spans="1:192" outlineLevel="1" x14ac:dyDescent="0.2">
      <c r="B158" s="15" t="s">
        <v>1311</v>
      </c>
    </row>
    <row r="159" spans="1:192" outlineLevel="2" x14ac:dyDescent="0.2"/>
    <row r="160" spans="1:192" outlineLevel="2" x14ac:dyDescent="0.2">
      <c r="A160" s="216"/>
      <c r="B160" s="216"/>
      <c r="C160" s="217"/>
      <c r="D160" s="218"/>
      <c r="E160" s="219" t="s">
        <v>1322</v>
      </c>
      <c r="F160" s="219"/>
      <c r="G160" s="219" t="str">
        <f xml:space="preserve"> SMU</f>
        <v>$ 000s</v>
      </c>
      <c r="H160" s="219"/>
      <c r="I160" s="220"/>
      <c r="J160" s="219">
        <f t="shared" ref="J160:BU160" ca="1" si="664">I162</f>
        <v>0</v>
      </c>
      <c r="K160" s="219">
        <f t="shared" ca="1" si="664"/>
        <v>0</v>
      </c>
      <c r="L160" s="219">
        <f t="shared" ca="1" si="664"/>
        <v>0</v>
      </c>
      <c r="M160" s="219">
        <f t="shared" ca="1" si="664"/>
        <v>0</v>
      </c>
      <c r="N160" s="219">
        <f t="shared" ca="1" si="664"/>
        <v>0</v>
      </c>
      <c r="O160" s="219">
        <f t="shared" ca="1" si="664"/>
        <v>0</v>
      </c>
      <c r="P160" s="219">
        <f t="shared" ca="1" si="664"/>
        <v>4774.4453219935003</v>
      </c>
      <c r="Q160" s="219">
        <f t="shared" ca="1" si="664"/>
        <v>8909.4349285029202</v>
      </c>
      <c r="R160" s="219">
        <f t="shared" ca="1" si="664"/>
        <v>12468.914391076669</v>
      </c>
      <c r="S160" s="219">
        <f t="shared" ca="1" si="664"/>
        <v>15510.434724108314</v>
      </c>
      <c r="T160" s="219">
        <f t="shared" ca="1" si="664"/>
        <v>18085.791840552065</v>
      </c>
      <c r="U160" s="219">
        <f t="shared" ca="1" si="664"/>
        <v>20241.602062066711</v>
      </c>
      <c r="V160" s="219">
        <f t="shared" ca="1" si="664"/>
        <v>22019.820078145163</v>
      </c>
      <c r="W160" s="219">
        <f t="shared" ca="1" si="664"/>
        <v>23458.205109331044</v>
      </c>
      <c r="X160" s="219">
        <f t="shared" ca="1" si="664"/>
        <v>24590.740454113606</v>
      </c>
      <c r="Y160" s="219">
        <f t="shared" ca="1" si="664"/>
        <v>25448.011081133183</v>
      </c>
      <c r="Z160" s="219">
        <f t="shared" ca="1" si="664"/>
        <v>26057.543462166072</v>
      </c>
      <c r="AA160" s="219">
        <f t="shared" ca="1" si="664"/>
        <v>26444.111421810943</v>
      </c>
      <c r="AB160" s="219">
        <f t="shared" ca="1" si="664"/>
        <v>26630.011402206597</v>
      </c>
      <c r="AC160" s="219">
        <f t="shared" ca="1" si="664"/>
        <v>26635.310201277956</v>
      </c>
      <c r="AD160" s="219">
        <f t="shared" ca="1" si="664"/>
        <v>26478.067937157452</v>
      </c>
      <c r="AE160" s="219">
        <f t="shared" ca="1" si="664"/>
        <v>26174.538716164268</v>
      </c>
      <c r="AF160" s="219">
        <f t="shared" ca="1" si="664"/>
        <v>25739.351233985675</v>
      </c>
      <c r="AG160" s="219">
        <f t="shared" ca="1" si="664"/>
        <v>25185.671316740212</v>
      </c>
      <c r="AH160" s="219">
        <f t="shared" ca="1" si="664"/>
        <v>24525.348207934567</v>
      </c>
      <c r="AI160" s="219">
        <f t="shared" ca="1" si="664"/>
        <v>23769.046226724757</v>
      </c>
      <c r="AJ160" s="219">
        <f t="shared" ca="1" si="664"/>
        <v>22926.363260351198</v>
      </c>
      <c r="AK160" s="219">
        <f t="shared" ca="1" si="664"/>
        <v>22005.937407330264</v>
      </c>
      <c r="AL160" s="219">
        <f t="shared" ca="1" si="664"/>
        <v>21015.542956326695</v>
      </c>
      <c r="AM160" s="219">
        <f t="shared" ca="1" si="664"/>
        <v>19962.176767138753</v>
      </c>
      <c r="AN160" s="219">
        <f t="shared" ca="1" si="664"/>
        <v>18852.136013584877</v>
      </c>
      <c r="AO160" s="219">
        <f t="shared" ca="1" si="664"/>
        <v>17691.08815210166</v>
      </c>
      <c r="AP160" s="219">
        <f t="shared" ca="1" si="664"/>
        <v>16484.133893482034</v>
      </c>
      <c r="AQ160" s="219">
        <f t="shared" ca="1" si="664"/>
        <v>15235.863877439642</v>
      </c>
      <c r="AR160" s="219">
        <f t="shared" ca="1" si="664"/>
        <v>13950.40967971676</v>
      </c>
      <c r="AS160" s="219">
        <f t="shared" ca="1" si="664"/>
        <v>12631.489718481438</v>
      </c>
      <c r="AT160" s="219">
        <f t="shared" ca="1" si="664"/>
        <v>11282.450570084919</v>
      </c>
      <c r="AU160" s="219">
        <f t="shared" ca="1" si="664"/>
        <v>9906.3041532433217</v>
      </c>
      <c r="AV160" s="219">
        <f t="shared" ca="1" si="664"/>
        <v>8505.7611948011545</v>
      </c>
      <c r="AW160" s="219">
        <f t="shared" ca="1" si="664"/>
        <v>7083.2613489184751</v>
      </c>
      <c r="AX160" s="219">
        <f t="shared" ca="1" si="664"/>
        <v>5784.150598586627</v>
      </c>
      <c r="AY160" s="219">
        <f t="shared" ca="1" si="664"/>
        <v>4467.2547694279638</v>
      </c>
      <c r="AZ160" s="219">
        <f t="shared" ca="1" si="664"/>
        <v>3134.3523693251673</v>
      </c>
      <c r="BA160" s="219">
        <f t="shared" ca="1" si="664"/>
        <v>1787.0440553726503</v>
      </c>
      <c r="BB160" s="219">
        <f t="shared" ca="1" si="664"/>
        <v>426.77041895538514</v>
      </c>
      <c r="BC160" s="219">
        <f t="shared" ca="1" si="664"/>
        <v>-5.6843418860808015E-12</v>
      </c>
      <c r="BD160" s="219">
        <f t="shared" ca="1" si="664"/>
        <v>-5.6843418860808015E-12</v>
      </c>
      <c r="BE160" s="219">
        <f t="shared" ca="1" si="664"/>
        <v>-5.6843418860808015E-12</v>
      </c>
      <c r="BF160" s="219">
        <f t="shared" ca="1" si="664"/>
        <v>-5.6843418860808015E-12</v>
      </c>
      <c r="BG160" s="219">
        <f t="shared" ca="1" si="664"/>
        <v>-5.6843418860808015E-12</v>
      </c>
      <c r="BH160" s="219">
        <f t="shared" ca="1" si="664"/>
        <v>-5.6843418860808015E-12</v>
      </c>
      <c r="BI160" s="219">
        <f t="shared" ca="1" si="664"/>
        <v>-5.6843418860808015E-12</v>
      </c>
      <c r="BJ160" s="219">
        <f t="shared" ca="1" si="664"/>
        <v>-5.6843418860808015E-12</v>
      </c>
      <c r="BK160" s="219">
        <f t="shared" ca="1" si="664"/>
        <v>-5.6843418860808015E-12</v>
      </c>
      <c r="BL160" s="219">
        <f t="shared" ca="1" si="664"/>
        <v>-5.6843418860808015E-12</v>
      </c>
      <c r="BM160" s="219">
        <f t="shared" ca="1" si="664"/>
        <v>-5.6843418860808015E-12</v>
      </c>
      <c r="BN160" s="219">
        <f t="shared" ca="1" si="664"/>
        <v>-5.6843418860808015E-12</v>
      </c>
      <c r="BO160" s="219">
        <f t="shared" ca="1" si="664"/>
        <v>-5.6843418860808015E-12</v>
      </c>
      <c r="BP160" s="219">
        <f t="shared" ca="1" si="664"/>
        <v>-5.6843418860808015E-12</v>
      </c>
      <c r="BQ160" s="219">
        <f t="shared" ca="1" si="664"/>
        <v>-5.6843418860808015E-12</v>
      </c>
      <c r="BR160" s="219">
        <f t="shared" ca="1" si="664"/>
        <v>-5.6843418860808015E-12</v>
      </c>
      <c r="BS160" s="219">
        <f t="shared" ca="1" si="664"/>
        <v>-5.6843418860808015E-12</v>
      </c>
      <c r="BT160" s="219">
        <f t="shared" ca="1" si="664"/>
        <v>-5.6843418860808015E-12</v>
      </c>
      <c r="BU160" s="219">
        <f t="shared" ca="1" si="664"/>
        <v>-5.6843418860808015E-12</v>
      </c>
      <c r="BV160" s="219">
        <f t="shared" ref="BV160:EG160" ca="1" si="665">BU162</f>
        <v>-5.6843418860808015E-12</v>
      </c>
      <c r="BW160" s="219">
        <f t="shared" ca="1" si="665"/>
        <v>-5.6843418860808015E-12</v>
      </c>
      <c r="BX160" s="219">
        <f t="shared" ca="1" si="665"/>
        <v>-5.6843418860808015E-12</v>
      </c>
      <c r="BY160" s="219">
        <f t="shared" ca="1" si="665"/>
        <v>-5.6843418860808015E-12</v>
      </c>
      <c r="BZ160" s="219">
        <f t="shared" ca="1" si="665"/>
        <v>-5.6843418860808015E-12</v>
      </c>
      <c r="CA160" s="219">
        <f t="shared" ca="1" si="665"/>
        <v>-5.6843418860808015E-12</v>
      </c>
      <c r="CB160" s="219">
        <f t="shared" ca="1" si="665"/>
        <v>-5.6843418860808015E-12</v>
      </c>
      <c r="CC160" s="219">
        <f t="shared" ca="1" si="665"/>
        <v>-5.6843418860808015E-12</v>
      </c>
      <c r="CD160" s="219">
        <f t="shared" ca="1" si="665"/>
        <v>-5.6843418860808015E-12</v>
      </c>
      <c r="CE160" s="219">
        <f t="shared" ca="1" si="665"/>
        <v>-5.6843418860808015E-12</v>
      </c>
      <c r="CF160" s="219">
        <f t="shared" ca="1" si="665"/>
        <v>-5.6843418860808015E-12</v>
      </c>
      <c r="CG160" s="219">
        <f t="shared" ca="1" si="665"/>
        <v>-5.6843418860808015E-12</v>
      </c>
      <c r="CH160" s="219">
        <f t="shared" ca="1" si="665"/>
        <v>-5.6843418860808015E-12</v>
      </c>
      <c r="CI160" s="219">
        <f t="shared" ca="1" si="665"/>
        <v>-5.6843418860808015E-12</v>
      </c>
      <c r="CJ160" s="219">
        <f t="shared" ca="1" si="665"/>
        <v>-5.6843418860808015E-12</v>
      </c>
      <c r="CK160" s="219">
        <f t="shared" ca="1" si="665"/>
        <v>-5.6843418860808015E-12</v>
      </c>
      <c r="CL160" s="219">
        <f t="shared" ca="1" si="665"/>
        <v>-5.6843418860808015E-12</v>
      </c>
      <c r="CM160" s="219">
        <f t="shared" ca="1" si="665"/>
        <v>-5.6843418860808015E-12</v>
      </c>
      <c r="CN160" s="219">
        <f t="shared" ca="1" si="665"/>
        <v>-5.6843418860808015E-12</v>
      </c>
      <c r="CO160" s="219">
        <f t="shared" ca="1" si="665"/>
        <v>-5.6843418860808015E-12</v>
      </c>
      <c r="CP160" s="219">
        <f t="shared" ca="1" si="665"/>
        <v>-5.6843418860808015E-12</v>
      </c>
      <c r="CQ160" s="219">
        <f t="shared" ca="1" si="665"/>
        <v>-5.6843418860808015E-12</v>
      </c>
      <c r="CR160" s="219">
        <f t="shared" ca="1" si="665"/>
        <v>-5.6843418860808015E-12</v>
      </c>
      <c r="CS160" s="219">
        <f t="shared" ca="1" si="665"/>
        <v>-5.6843418860808015E-12</v>
      </c>
      <c r="CT160" s="219">
        <f t="shared" ca="1" si="665"/>
        <v>-5.6843418860808015E-12</v>
      </c>
      <c r="CU160" s="219">
        <f t="shared" ca="1" si="665"/>
        <v>-5.6843418860808015E-12</v>
      </c>
      <c r="CV160" s="219">
        <f t="shared" ca="1" si="665"/>
        <v>-5.6843418860808015E-12</v>
      </c>
      <c r="CW160" s="12">
        <f t="shared" ca="1" si="665"/>
        <v>-5.6843418860808015E-12</v>
      </c>
      <c r="CX160" s="12">
        <f t="shared" ca="1" si="665"/>
        <v>-5.6843418860808015E-12</v>
      </c>
      <c r="CY160" s="12">
        <f t="shared" ca="1" si="665"/>
        <v>-5.6843418860808015E-12</v>
      </c>
      <c r="CZ160" s="12">
        <f t="shared" ca="1" si="665"/>
        <v>-5.6843418860808015E-12</v>
      </c>
      <c r="DA160" s="12">
        <f t="shared" ca="1" si="665"/>
        <v>-5.6843418860808015E-12</v>
      </c>
      <c r="DB160" s="12">
        <f t="shared" ca="1" si="665"/>
        <v>-5.6843418860808015E-12</v>
      </c>
      <c r="DC160" s="12">
        <f t="shared" ca="1" si="665"/>
        <v>-5.6843418860808015E-12</v>
      </c>
      <c r="DD160" s="12">
        <f t="shared" ca="1" si="665"/>
        <v>-5.6843418860808015E-12</v>
      </c>
      <c r="DE160" s="12">
        <f t="shared" ca="1" si="665"/>
        <v>-5.6843418860808015E-12</v>
      </c>
      <c r="DF160" s="12">
        <f t="shared" ca="1" si="665"/>
        <v>-5.6843418860808015E-12</v>
      </c>
      <c r="DG160" s="12">
        <f t="shared" ca="1" si="665"/>
        <v>-5.6843418860808015E-12</v>
      </c>
      <c r="DH160" s="12">
        <f t="shared" ca="1" si="665"/>
        <v>-5.6843418860808015E-12</v>
      </c>
      <c r="DI160" s="12">
        <f t="shared" ca="1" si="665"/>
        <v>-5.6843418860808015E-12</v>
      </c>
      <c r="DJ160" s="12">
        <f t="shared" ca="1" si="665"/>
        <v>-5.6843418860808015E-12</v>
      </c>
      <c r="DK160" s="12">
        <f t="shared" ca="1" si="665"/>
        <v>-5.6843418860808015E-12</v>
      </c>
      <c r="DL160" s="12">
        <f t="shared" ca="1" si="665"/>
        <v>-5.6843418860808015E-12</v>
      </c>
      <c r="DM160" s="12">
        <f t="shared" ca="1" si="665"/>
        <v>-5.6843418860808015E-12</v>
      </c>
      <c r="DN160" s="12">
        <f t="shared" ca="1" si="665"/>
        <v>-5.6843418860808015E-12</v>
      </c>
      <c r="DO160" s="12">
        <f t="shared" ca="1" si="665"/>
        <v>-5.6843418860808015E-12</v>
      </c>
      <c r="DP160" s="12">
        <f t="shared" ca="1" si="665"/>
        <v>-5.6843418860808015E-12</v>
      </c>
      <c r="DQ160" s="12">
        <f t="shared" ca="1" si="665"/>
        <v>-5.6843418860808015E-12</v>
      </c>
      <c r="DR160" s="12">
        <f t="shared" ca="1" si="665"/>
        <v>-5.6843418860808015E-12</v>
      </c>
      <c r="DS160" s="12">
        <f t="shared" ca="1" si="665"/>
        <v>-5.6843418860808015E-12</v>
      </c>
      <c r="DT160" s="12">
        <f t="shared" ca="1" si="665"/>
        <v>-5.6843418860808015E-12</v>
      </c>
      <c r="DU160" s="12">
        <f t="shared" ca="1" si="665"/>
        <v>-5.6843418860808015E-12</v>
      </c>
      <c r="DV160" s="12">
        <f t="shared" ca="1" si="665"/>
        <v>-5.6843418860808015E-12</v>
      </c>
      <c r="DW160" s="12">
        <f t="shared" ca="1" si="665"/>
        <v>-5.6843418860808015E-12</v>
      </c>
      <c r="DX160" s="12">
        <f t="shared" ca="1" si="665"/>
        <v>-5.6843418860808015E-12</v>
      </c>
      <c r="DY160" s="12">
        <f t="shared" ca="1" si="665"/>
        <v>-5.6843418860808015E-12</v>
      </c>
      <c r="DZ160" s="12">
        <f t="shared" ca="1" si="665"/>
        <v>-5.6843418860808015E-12</v>
      </c>
      <c r="EA160" s="12">
        <f t="shared" ca="1" si="665"/>
        <v>-5.6843418860808015E-12</v>
      </c>
      <c r="EB160" s="12">
        <f t="shared" ca="1" si="665"/>
        <v>-5.6843418860808015E-12</v>
      </c>
      <c r="EC160" s="12">
        <f t="shared" ca="1" si="665"/>
        <v>-5.6843418860808015E-12</v>
      </c>
      <c r="ED160" s="12">
        <f t="shared" ca="1" si="665"/>
        <v>-5.6843418860808015E-12</v>
      </c>
      <c r="EE160" s="12">
        <f t="shared" ca="1" si="665"/>
        <v>-5.6843418860808015E-12</v>
      </c>
      <c r="EF160" s="12">
        <f t="shared" ca="1" si="665"/>
        <v>-5.6843418860808015E-12</v>
      </c>
      <c r="EG160" s="12">
        <f t="shared" ca="1" si="665"/>
        <v>-5.6843418860808015E-12</v>
      </c>
      <c r="EH160" s="12">
        <f t="shared" ref="EH160:GJ160" ca="1" si="666">EG162</f>
        <v>-5.6843418860808015E-12</v>
      </c>
      <c r="EI160" s="12">
        <f t="shared" ca="1" si="666"/>
        <v>-5.6843418860808015E-12</v>
      </c>
      <c r="EJ160" s="12">
        <f t="shared" ca="1" si="666"/>
        <v>-5.6843418860808015E-12</v>
      </c>
      <c r="EK160" s="12">
        <f t="shared" ca="1" si="666"/>
        <v>-5.6843418860808015E-12</v>
      </c>
      <c r="EL160" s="12">
        <f t="shared" ca="1" si="666"/>
        <v>-5.6843418860808015E-12</v>
      </c>
      <c r="EM160" s="12">
        <f t="shared" ca="1" si="666"/>
        <v>-5.6843418860808015E-12</v>
      </c>
      <c r="EN160" s="12">
        <f t="shared" ca="1" si="666"/>
        <v>-5.6843418860808015E-12</v>
      </c>
      <c r="EO160" s="12">
        <f t="shared" ca="1" si="666"/>
        <v>-5.6843418860808015E-12</v>
      </c>
      <c r="EP160" s="12">
        <f t="shared" ca="1" si="666"/>
        <v>-5.6843418860808015E-12</v>
      </c>
      <c r="EQ160" s="12">
        <f t="shared" ca="1" si="666"/>
        <v>-5.6843418860808015E-12</v>
      </c>
      <c r="ER160" s="12">
        <f t="shared" ca="1" si="666"/>
        <v>-5.6843418860808015E-12</v>
      </c>
      <c r="ES160" s="12">
        <f t="shared" ca="1" si="666"/>
        <v>-5.6843418860808015E-12</v>
      </c>
      <c r="ET160" s="12">
        <f t="shared" ca="1" si="666"/>
        <v>-5.6843418860808015E-12</v>
      </c>
      <c r="EU160" s="12">
        <f t="shared" ca="1" si="666"/>
        <v>-5.6843418860808015E-12</v>
      </c>
      <c r="EV160" s="12">
        <f t="shared" ca="1" si="666"/>
        <v>-5.6843418860808015E-12</v>
      </c>
      <c r="EW160" s="12">
        <f t="shared" ca="1" si="666"/>
        <v>-5.6843418860808015E-12</v>
      </c>
      <c r="EX160" s="12">
        <f t="shared" ca="1" si="666"/>
        <v>-5.6843418860808015E-12</v>
      </c>
      <c r="EY160" s="12">
        <f t="shared" ca="1" si="666"/>
        <v>-5.6843418860808015E-12</v>
      </c>
      <c r="EZ160" s="12">
        <f t="shared" ca="1" si="666"/>
        <v>-5.6843418860808015E-12</v>
      </c>
      <c r="FA160" s="12">
        <f t="shared" ca="1" si="666"/>
        <v>-5.6843418860808015E-12</v>
      </c>
      <c r="FB160" s="12">
        <f t="shared" ca="1" si="666"/>
        <v>-5.6843418860808015E-12</v>
      </c>
      <c r="FC160" s="12">
        <f t="shared" ca="1" si="666"/>
        <v>-5.6843418860808015E-12</v>
      </c>
      <c r="FD160" s="12">
        <f t="shared" ca="1" si="666"/>
        <v>-5.6843418860808015E-12</v>
      </c>
      <c r="FE160" s="12">
        <f t="shared" ca="1" si="666"/>
        <v>-5.6843418860808015E-12</v>
      </c>
      <c r="FF160" s="12">
        <f t="shared" ca="1" si="666"/>
        <v>-5.6843418860808015E-12</v>
      </c>
      <c r="FG160" s="12">
        <f t="shared" ca="1" si="666"/>
        <v>-5.6843418860808015E-12</v>
      </c>
      <c r="FH160" s="12">
        <f t="shared" ca="1" si="666"/>
        <v>-5.6843418860808015E-12</v>
      </c>
      <c r="FI160" s="12">
        <f t="shared" ca="1" si="666"/>
        <v>-5.6843418860808015E-12</v>
      </c>
      <c r="FJ160" s="12">
        <f t="shared" ca="1" si="666"/>
        <v>-5.6843418860808015E-12</v>
      </c>
      <c r="FK160" s="12">
        <f t="shared" ca="1" si="666"/>
        <v>-5.6843418860808015E-12</v>
      </c>
      <c r="FL160" s="12">
        <f t="shared" ca="1" si="666"/>
        <v>-5.6843418860808015E-12</v>
      </c>
      <c r="FM160" s="12">
        <f t="shared" ca="1" si="666"/>
        <v>-5.6843418860808015E-12</v>
      </c>
      <c r="FN160" s="12">
        <f t="shared" ca="1" si="666"/>
        <v>-5.6843418860808015E-12</v>
      </c>
      <c r="FO160" s="12">
        <f t="shared" ca="1" si="666"/>
        <v>-5.6843418860808015E-12</v>
      </c>
      <c r="FP160" s="12">
        <f t="shared" ca="1" si="666"/>
        <v>-5.6843418860808015E-12</v>
      </c>
      <c r="FQ160" s="12">
        <f t="shared" ca="1" si="666"/>
        <v>-5.6843418860808015E-12</v>
      </c>
      <c r="FR160" s="12">
        <f t="shared" ca="1" si="666"/>
        <v>-5.6843418860808015E-12</v>
      </c>
      <c r="FS160" s="12">
        <f t="shared" ca="1" si="666"/>
        <v>-5.6843418860808015E-12</v>
      </c>
      <c r="FT160" s="12">
        <f t="shared" ca="1" si="666"/>
        <v>-5.6843418860808015E-12</v>
      </c>
      <c r="FU160" s="12">
        <f t="shared" ca="1" si="666"/>
        <v>-5.6843418860808015E-12</v>
      </c>
      <c r="FV160" s="12">
        <f t="shared" ca="1" si="666"/>
        <v>-5.6843418860808015E-12</v>
      </c>
      <c r="FW160" s="12">
        <f t="shared" ca="1" si="666"/>
        <v>-5.6843418860808015E-12</v>
      </c>
      <c r="FX160" s="12">
        <f t="shared" ca="1" si="666"/>
        <v>-5.6843418860808015E-12</v>
      </c>
      <c r="FY160" s="12">
        <f t="shared" ca="1" si="666"/>
        <v>-5.6843418860808015E-12</v>
      </c>
      <c r="FZ160" s="12">
        <f t="shared" ca="1" si="666"/>
        <v>-5.6843418860808015E-12</v>
      </c>
      <c r="GA160" s="12">
        <f t="shared" ca="1" si="666"/>
        <v>-5.6843418860808015E-12</v>
      </c>
      <c r="GB160" s="12">
        <f t="shared" ca="1" si="666"/>
        <v>-5.6843418860808015E-12</v>
      </c>
      <c r="GC160" s="12">
        <f t="shared" ca="1" si="666"/>
        <v>-5.6843418860808015E-12</v>
      </c>
      <c r="GD160" s="12">
        <f t="shared" ca="1" si="666"/>
        <v>-5.6843418860808015E-12</v>
      </c>
      <c r="GE160" s="12">
        <f t="shared" ca="1" si="666"/>
        <v>-5.6843418860808015E-12</v>
      </c>
      <c r="GF160" s="12">
        <f t="shared" ca="1" si="666"/>
        <v>-5.6843418860808015E-12</v>
      </c>
      <c r="GG160" s="12">
        <f t="shared" ca="1" si="666"/>
        <v>-5.6843418860808015E-12</v>
      </c>
      <c r="GH160" s="12">
        <f t="shared" ca="1" si="666"/>
        <v>-5.6843418860808015E-12</v>
      </c>
      <c r="GI160" s="12">
        <f t="shared" ca="1" si="666"/>
        <v>-5.6843418860808015E-12</v>
      </c>
      <c r="GJ160" s="12">
        <f t="shared" ca="1" si="666"/>
        <v>-5.6843418860808015E-12</v>
      </c>
    </row>
    <row r="161" spans="1:192" s="495" customFormat="1" outlineLevel="2" x14ac:dyDescent="0.2">
      <c r="A161" s="15"/>
      <c r="B161" s="15"/>
      <c r="C161" s="21"/>
      <c r="D161" s="48"/>
      <c r="E161" s="38" t="str">
        <f t="shared" ref="E161:AJ161" ca="1" si="667" xml:space="preserve"> E$155</f>
        <v>Deferred tax  - P99 POS</v>
      </c>
      <c r="F161" s="38">
        <f t="shared" ca="1" si="667"/>
        <v>0</v>
      </c>
      <c r="G161" s="38" t="str">
        <f t="shared" ca="1" si="667"/>
        <v>$ 000s</v>
      </c>
      <c r="H161" s="38">
        <f t="shared" ca="1" si="667"/>
        <v>-5.6843418860808015E-12</v>
      </c>
      <c r="I161" s="38">
        <f t="shared" ca="1" si="667"/>
        <v>0</v>
      </c>
      <c r="J161" s="38">
        <f t="shared" ca="1" si="667"/>
        <v>0</v>
      </c>
      <c r="K161" s="38">
        <f t="shared" ca="1" si="667"/>
        <v>0</v>
      </c>
      <c r="L161" s="38">
        <f t="shared" ca="1" si="667"/>
        <v>0</v>
      </c>
      <c r="M161" s="38">
        <f t="shared" ca="1" si="667"/>
        <v>0</v>
      </c>
      <c r="N161" s="38">
        <f t="shared" ca="1" si="667"/>
        <v>0</v>
      </c>
      <c r="O161" s="38">
        <f t="shared" ca="1" si="667"/>
        <v>4774.4453219935003</v>
      </c>
      <c r="P161" s="38">
        <f t="shared" ca="1" si="667"/>
        <v>4134.9896065094208</v>
      </c>
      <c r="Q161" s="38">
        <f t="shared" ca="1" si="667"/>
        <v>3559.4794625737495</v>
      </c>
      <c r="R161" s="38">
        <f t="shared" ca="1" si="667"/>
        <v>3041.5203330316454</v>
      </c>
      <c r="S161" s="38">
        <f t="shared" ca="1" si="667"/>
        <v>2575.3571164437512</v>
      </c>
      <c r="T161" s="38">
        <f t="shared" ca="1" si="667"/>
        <v>2155.8102215146464</v>
      </c>
      <c r="U161" s="38">
        <f t="shared" ca="1" si="667"/>
        <v>1778.2180160784535</v>
      </c>
      <c r="V161" s="38">
        <f t="shared" ca="1" si="667"/>
        <v>1438.3850311858787</v>
      </c>
      <c r="W161" s="38">
        <f t="shared" ca="1" si="667"/>
        <v>1132.5353447825617</v>
      </c>
      <c r="X161" s="38">
        <f t="shared" ca="1" si="667"/>
        <v>857.27062701957641</v>
      </c>
      <c r="Y161" s="38">
        <f t="shared" ca="1" si="667"/>
        <v>609.53238103288948</v>
      </c>
      <c r="Z161" s="38">
        <f t="shared" ca="1" si="667"/>
        <v>386.56795964487122</v>
      </c>
      <c r="AA161" s="38">
        <f t="shared" ca="1" si="667"/>
        <v>185.89998039565489</v>
      </c>
      <c r="AB161" s="38">
        <f t="shared" ca="1" si="667"/>
        <v>5.2987990713601905</v>
      </c>
      <c r="AC161" s="38">
        <f t="shared" ca="1" si="667"/>
        <v>-157.24226412050484</v>
      </c>
      <c r="AD161" s="38">
        <f t="shared" ca="1" si="667"/>
        <v>-303.52922099318369</v>
      </c>
      <c r="AE161" s="38">
        <f t="shared" ca="1" si="667"/>
        <v>-435.18748217859451</v>
      </c>
      <c r="AF161" s="38">
        <f t="shared" ca="1" si="667"/>
        <v>-553.67991724546425</v>
      </c>
      <c r="AG161" s="38">
        <f t="shared" ca="1" si="667"/>
        <v>-660.32310880564694</v>
      </c>
      <c r="AH161" s="38">
        <f t="shared" ca="1" si="667"/>
        <v>-756.30198120981152</v>
      </c>
      <c r="AI161" s="38">
        <f t="shared" ca="1" si="667"/>
        <v>-842.68296637355945</v>
      </c>
      <c r="AJ161" s="38">
        <f t="shared" ca="1" si="667"/>
        <v>-920.42585302093266</v>
      </c>
      <c r="AK161" s="38">
        <f t="shared" ref="AK161:BP161" ca="1" si="668" xml:space="preserve"> AK$155</f>
        <v>-990.39445100356852</v>
      </c>
      <c r="AL161" s="38">
        <f t="shared" ca="1" si="668"/>
        <v>-1053.3661891879408</v>
      </c>
      <c r="AM161" s="38">
        <f t="shared" ca="1" si="668"/>
        <v>-1110.0407535538759</v>
      </c>
      <c r="AN161" s="38">
        <f t="shared" ca="1" si="668"/>
        <v>-1161.0478614832175</v>
      </c>
      <c r="AO161" s="38">
        <f t="shared" ca="1" si="668"/>
        <v>-1206.9542586196249</v>
      </c>
      <c r="AP161" s="38">
        <f t="shared" ca="1" si="668"/>
        <v>-1248.2700160423917</v>
      </c>
      <c r="AQ161" s="38">
        <f t="shared" ca="1" si="668"/>
        <v>-1285.4541977228819</v>
      </c>
      <c r="AR161" s="38">
        <f t="shared" ca="1" si="668"/>
        <v>-1318.9199612353227</v>
      </c>
      <c r="AS161" s="38">
        <f t="shared" ca="1" si="668"/>
        <v>-1349.0391483965195</v>
      </c>
      <c r="AT161" s="38">
        <f t="shared" ca="1" si="668"/>
        <v>-1376.1464168415969</v>
      </c>
      <c r="AU161" s="38">
        <f t="shared" ca="1" si="668"/>
        <v>-1400.5429584421663</v>
      </c>
      <c r="AV161" s="38">
        <f t="shared" ca="1" si="668"/>
        <v>-1422.499845882679</v>
      </c>
      <c r="AW161" s="38">
        <f t="shared" ca="1" si="668"/>
        <v>-1299.1107503318478</v>
      </c>
      <c r="AX161" s="38">
        <f t="shared" ca="1" si="668"/>
        <v>-1316.895829158663</v>
      </c>
      <c r="AY161" s="38">
        <f t="shared" ca="1" si="668"/>
        <v>-1332.9024001027965</v>
      </c>
      <c r="AZ161" s="38">
        <f t="shared" ca="1" si="668"/>
        <v>-1347.308313952517</v>
      </c>
      <c r="BA161" s="38">
        <f t="shared" ca="1" si="668"/>
        <v>-1360.2736364172652</v>
      </c>
      <c r="BB161" s="38">
        <f t="shared" ca="1" si="668"/>
        <v>-426.77041895539082</v>
      </c>
      <c r="BC161" s="38">
        <f t="shared" ca="1" si="668"/>
        <v>0</v>
      </c>
      <c r="BD161" s="38">
        <f t="shared" ca="1" si="668"/>
        <v>0</v>
      </c>
      <c r="BE161" s="38">
        <f t="shared" ca="1" si="668"/>
        <v>0</v>
      </c>
      <c r="BF161" s="38">
        <f t="shared" ca="1" si="668"/>
        <v>0</v>
      </c>
      <c r="BG161" s="38">
        <f t="shared" ca="1" si="668"/>
        <v>0</v>
      </c>
      <c r="BH161" s="38">
        <f t="shared" ca="1" si="668"/>
        <v>0</v>
      </c>
      <c r="BI161" s="38">
        <f t="shared" ca="1" si="668"/>
        <v>0</v>
      </c>
      <c r="BJ161" s="38">
        <f t="shared" ca="1" si="668"/>
        <v>0</v>
      </c>
      <c r="BK161" s="38">
        <f t="shared" ca="1" si="668"/>
        <v>0</v>
      </c>
      <c r="BL161" s="38">
        <f t="shared" ca="1" si="668"/>
        <v>0</v>
      </c>
      <c r="BM161" s="38">
        <f t="shared" ca="1" si="668"/>
        <v>0</v>
      </c>
      <c r="BN161" s="38">
        <f t="shared" ca="1" si="668"/>
        <v>0</v>
      </c>
      <c r="BO161" s="38">
        <f t="shared" ca="1" si="668"/>
        <v>0</v>
      </c>
      <c r="BP161" s="38">
        <f t="shared" ca="1" si="668"/>
        <v>0</v>
      </c>
      <c r="BQ161" s="38">
        <f t="shared" ref="BQ161:CV161" ca="1" si="669" xml:space="preserve"> BQ$155</f>
        <v>0</v>
      </c>
      <c r="BR161" s="38">
        <f t="shared" ca="1" si="669"/>
        <v>0</v>
      </c>
      <c r="BS161" s="38">
        <f t="shared" ca="1" si="669"/>
        <v>0</v>
      </c>
      <c r="BT161" s="38">
        <f t="shared" ca="1" si="669"/>
        <v>0</v>
      </c>
      <c r="BU161" s="38">
        <f t="shared" ca="1" si="669"/>
        <v>0</v>
      </c>
      <c r="BV161" s="38">
        <f t="shared" ca="1" si="669"/>
        <v>0</v>
      </c>
      <c r="BW161" s="38">
        <f t="shared" ca="1" si="669"/>
        <v>0</v>
      </c>
      <c r="BX161" s="38">
        <f t="shared" ca="1" si="669"/>
        <v>0</v>
      </c>
      <c r="BY161" s="38">
        <f t="shared" ca="1" si="669"/>
        <v>0</v>
      </c>
      <c r="BZ161" s="38">
        <f t="shared" ca="1" si="669"/>
        <v>0</v>
      </c>
      <c r="CA161" s="38">
        <f t="shared" ca="1" si="669"/>
        <v>0</v>
      </c>
      <c r="CB161" s="38">
        <f t="shared" ca="1" si="669"/>
        <v>0</v>
      </c>
      <c r="CC161" s="38">
        <f t="shared" ca="1" si="669"/>
        <v>0</v>
      </c>
      <c r="CD161" s="38">
        <f t="shared" ca="1" si="669"/>
        <v>0</v>
      </c>
      <c r="CE161" s="38">
        <f t="shared" ca="1" si="669"/>
        <v>0</v>
      </c>
      <c r="CF161" s="38">
        <f t="shared" ca="1" si="669"/>
        <v>0</v>
      </c>
      <c r="CG161" s="38">
        <f t="shared" ca="1" si="669"/>
        <v>0</v>
      </c>
      <c r="CH161" s="38">
        <f t="shared" ca="1" si="669"/>
        <v>0</v>
      </c>
      <c r="CI161" s="38">
        <f t="shared" ca="1" si="669"/>
        <v>0</v>
      </c>
      <c r="CJ161" s="38">
        <f t="shared" ca="1" si="669"/>
        <v>0</v>
      </c>
      <c r="CK161" s="38">
        <f t="shared" ca="1" si="669"/>
        <v>0</v>
      </c>
      <c r="CL161" s="38">
        <f t="shared" ca="1" si="669"/>
        <v>0</v>
      </c>
      <c r="CM161" s="38">
        <f t="shared" ca="1" si="669"/>
        <v>0</v>
      </c>
      <c r="CN161" s="38">
        <f t="shared" ca="1" si="669"/>
        <v>0</v>
      </c>
      <c r="CO161" s="38">
        <f t="shared" ca="1" si="669"/>
        <v>0</v>
      </c>
      <c r="CP161" s="38">
        <f t="shared" ca="1" si="669"/>
        <v>0</v>
      </c>
      <c r="CQ161" s="38">
        <f t="shared" ca="1" si="669"/>
        <v>0</v>
      </c>
      <c r="CR161" s="38">
        <f t="shared" ca="1" si="669"/>
        <v>0</v>
      </c>
      <c r="CS161" s="38">
        <f t="shared" ca="1" si="669"/>
        <v>0</v>
      </c>
      <c r="CT161" s="38">
        <f t="shared" ca="1" si="669"/>
        <v>0</v>
      </c>
      <c r="CU161" s="38">
        <f t="shared" ca="1" si="669"/>
        <v>0</v>
      </c>
      <c r="CV161" s="38">
        <f t="shared" ca="1" si="669"/>
        <v>0</v>
      </c>
      <c r="CW161" s="38">
        <f t="shared" ref="CW161:EB161" ca="1" si="670" xml:space="preserve"> CW$155</f>
        <v>0</v>
      </c>
      <c r="CX161" s="38">
        <f t="shared" ca="1" si="670"/>
        <v>0</v>
      </c>
      <c r="CY161" s="38">
        <f t="shared" ca="1" si="670"/>
        <v>0</v>
      </c>
      <c r="CZ161" s="38">
        <f t="shared" ca="1" si="670"/>
        <v>0</v>
      </c>
      <c r="DA161" s="38">
        <f t="shared" ca="1" si="670"/>
        <v>0</v>
      </c>
      <c r="DB161" s="38">
        <f t="shared" ca="1" si="670"/>
        <v>0</v>
      </c>
      <c r="DC161" s="38">
        <f t="shared" ca="1" si="670"/>
        <v>0</v>
      </c>
      <c r="DD161" s="38">
        <f t="shared" ca="1" si="670"/>
        <v>0</v>
      </c>
      <c r="DE161" s="38">
        <f t="shared" ca="1" si="670"/>
        <v>0</v>
      </c>
      <c r="DF161" s="38">
        <f t="shared" ca="1" si="670"/>
        <v>0</v>
      </c>
      <c r="DG161" s="38">
        <f t="shared" ca="1" si="670"/>
        <v>0</v>
      </c>
      <c r="DH161" s="38">
        <f t="shared" ca="1" si="670"/>
        <v>0</v>
      </c>
      <c r="DI161" s="38">
        <f t="shared" ca="1" si="670"/>
        <v>0</v>
      </c>
      <c r="DJ161" s="38">
        <f t="shared" ca="1" si="670"/>
        <v>0</v>
      </c>
      <c r="DK161" s="38">
        <f t="shared" ca="1" si="670"/>
        <v>0</v>
      </c>
      <c r="DL161" s="38">
        <f t="shared" ca="1" si="670"/>
        <v>0</v>
      </c>
      <c r="DM161" s="38">
        <f t="shared" ca="1" si="670"/>
        <v>0</v>
      </c>
      <c r="DN161" s="38">
        <f t="shared" ca="1" si="670"/>
        <v>0</v>
      </c>
      <c r="DO161" s="38">
        <f t="shared" ca="1" si="670"/>
        <v>0</v>
      </c>
      <c r="DP161" s="38">
        <f t="shared" ca="1" si="670"/>
        <v>0</v>
      </c>
      <c r="DQ161" s="38">
        <f t="shared" ca="1" si="670"/>
        <v>0</v>
      </c>
      <c r="DR161" s="38">
        <f t="shared" ca="1" si="670"/>
        <v>0</v>
      </c>
      <c r="DS161" s="38">
        <f t="shared" ca="1" si="670"/>
        <v>0</v>
      </c>
      <c r="DT161" s="38">
        <f t="shared" ca="1" si="670"/>
        <v>0</v>
      </c>
      <c r="DU161" s="38">
        <f t="shared" ca="1" si="670"/>
        <v>0</v>
      </c>
      <c r="DV161" s="38">
        <f t="shared" ca="1" si="670"/>
        <v>0</v>
      </c>
      <c r="DW161" s="38">
        <f t="shared" ca="1" si="670"/>
        <v>0</v>
      </c>
      <c r="DX161" s="38">
        <f t="shared" ca="1" si="670"/>
        <v>0</v>
      </c>
      <c r="DY161" s="38">
        <f t="shared" ca="1" si="670"/>
        <v>0</v>
      </c>
      <c r="DZ161" s="38">
        <f t="shared" ca="1" si="670"/>
        <v>0</v>
      </c>
      <c r="EA161" s="38">
        <f t="shared" ca="1" si="670"/>
        <v>0</v>
      </c>
      <c r="EB161" s="38">
        <f t="shared" ca="1" si="670"/>
        <v>0</v>
      </c>
      <c r="EC161" s="38">
        <f t="shared" ref="EC161:FH161" ca="1" si="671" xml:space="preserve"> EC$155</f>
        <v>0</v>
      </c>
      <c r="ED161" s="38">
        <f t="shared" ca="1" si="671"/>
        <v>0</v>
      </c>
      <c r="EE161" s="38">
        <f t="shared" ca="1" si="671"/>
        <v>0</v>
      </c>
      <c r="EF161" s="38">
        <f t="shared" ca="1" si="671"/>
        <v>0</v>
      </c>
      <c r="EG161" s="38">
        <f t="shared" ca="1" si="671"/>
        <v>0</v>
      </c>
      <c r="EH161" s="38">
        <f t="shared" ca="1" si="671"/>
        <v>0</v>
      </c>
      <c r="EI161" s="38">
        <f t="shared" ca="1" si="671"/>
        <v>0</v>
      </c>
      <c r="EJ161" s="38">
        <f t="shared" ca="1" si="671"/>
        <v>0</v>
      </c>
      <c r="EK161" s="38">
        <f t="shared" ca="1" si="671"/>
        <v>0</v>
      </c>
      <c r="EL161" s="38">
        <f t="shared" ca="1" si="671"/>
        <v>0</v>
      </c>
      <c r="EM161" s="38">
        <f t="shared" ca="1" si="671"/>
        <v>0</v>
      </c>
      <c r="EN161" s="38">
        <f t="shared" ca="1" si="671"/>
        <v>0</v>
      </c>
      <c r="EO161" s="38">
        <f t="shared" ca="1" si="671"/>
        <v>0</v>
      </c>
      <c r="EP161" s="38">
        <f t="shared" ca="1" si="671"/>
        <v>0</v>
      </c>
      <c r="EQ161" s="38">
        <f t="shared" ca="1" si="671"/>
        <v>0</v>
      </c>
      <c r="ER161" s="38">
        <f t="shared" ca="1" si="671"/>
        <v>0</v>
      </c>
      <c r="ES161" s="38">
        <f t="shared" ca="1" si="671"/>
        <v>0</v>
      </c>
      <c r="ET161" s="38">
        <f t="shared" ca="1" si="671"/>
        <v>0</v>
      </c>
      <c r="EU161" s="38">
        <f t="shared" ca="1" si="671"/>
        <v>0</v>
      </c>
      <c r="EV161" s="38">
        <f t="shared" ca="1" si="671"/>
        <v>0</v>
      </c>
      <c r="EW161" s="38">
        <f t="shared" ca="1" si="671"/>
        <v>0</v>
      </c>
      <c r="EX161" s="38">
        <f t="shared" ca="1" si="671"/>
        <v>0</v>
      </c>
      <c r="EY161" s="38">
        <f t="shared" ca="1" si="671"/>
        <v>0</v>
      </c>
      <c r="EZ161" s="38">
        <f t="shared" ca="1" si="671"/>
        <v>0</v>
      </c>
      <c r="FA161" s="38">
        <f t="shared" ca="1" si="671"/>
        <v>0</v>
      </c>
      <c r="FB161" s="38">
        <f t="shared" ca="1" si="671"/>
        <v>0</v>
      </c>
      <c r="FC161" s="38">
        <f t="shared" ca="1" si="671"/>
        <v>0</v>
      </c>
      <c r="FD161" s="38">
        <f t="shared" ca="1" si="671"/>
        <v>0</v>
      </c>
      <c r="FE161" s="38">
        <f t="shared" ca="1" si="671"/>
        <v>0</v>
      </c>
      <c r="FF161" s="38">
        <f t="shared" ca="1" si="671"/>
        <v>0</v>
      </c>
      <c r="FG161" s="38">
        <f t="shared" ca="1" si="671"/>
        <v>0</v>
      </c>
      <c r="FH161" s="38">
        <f t="shared" ca="1" si="671"/>
        <v>0</v>
      </c>
      <c r="FI161" s="38">
        <f t="shared" ref="FI161:GJ161" ca="1" si="672" xml:space="preserve"> FI$155</f>
        <v>0</v>
      </c>
      <c r="FJ161" s="38">
        <f t="shared" ca="1" si="672"/>
        <v>0</v>
      </c>
      <c r="FK161" s="38">
        <f t="shared" ca="1" si="672"/>
        <v>0</v>
      </c>
      <c r="FL161" s="38">
        <f t="shared" ca="1" si="672"/>
        <v>0</v>
      </c>
      <c r="FM161" s="38">
        <f t="shared" ca="1" si="672"/>
        <v>0</v>
      </c>
      <c r="FN161" s="38">
        <f t="shared" ca="1" si="672"/>
        <v>0</v>
      </c>
      <c r="FO161" s="38">
        <f t="shared" ca="1" si="672"/>
        <v>0</v>
      </c>
      <c r="FP161" s="38">
        <f t="shared" ca="1" si="672"/>
        <v>0</v>
      </c>
      <c r="FQ161" s="38">
        <f t="shared" ca="1" si="672"/>
        <v>0</v>
      </c>
      <c r="FR161" s="38">
        <f t="shared" ca="1" si="672"/>
        <v>0</v>
      </c>
      <c r="FS161" s="38">
        <f t="shared" ca="1" si="672"/>
        <v>0</v>
      </c>
      <c r="FT161" s="38">
        <f t="shared" ca="1" si="672"/>
        <v>0</v>
      </c>
      <c r="FU161" s="38">
        <f t="shared" ca="1" si="672"/>
        <v>0</v>
      </c>
      <c r="FV161" s="38">
        <f t="shared" ca="1" si="672"/>
        <v>0</v>
      </c>
      <c r="FW161" s="38">
        <f t="shared" ca="1" si="672"/>
        <v>0</v>
      </c>
      <c r="FX161" s="38">
        <f t="shared" ca="1" si="672"/>
        <v>0</v>
      </c>
      <c r="FY161" s="38">
        <f t="shared" ca="1" si="672"/>
        <v>0</v>
      </c>
      <c r="FZ161" s="38">
        <f t="shared" ca="1" si="672"/>
        <v>0</v>
      </c>
      <c r="GA161" s="38">
        <f t="shared" ca="1" si="672"/>
        <v>0</v>
      </c>
      <c r="GB161" s="38">
        <f t="shared" ca="1" si="672"/>
        <v>0</v>
      </c>
      <c r="GC161" s="38">
        <f t="shared" ca="1" si="672"/>
        <v>0</v>
      </c>
      <c r="GD161" s="38">
        <f t="shared" ca="1" si="672"/>
        <v>0</v>
      </c>
      <c r="GE161" s="38">
        <f t="shared" ca="1" si="672"/>
        <v>0</v>
      </c>
      <c r="GF161" s="38">
        <f t="shared" ca="1" si="672"/>
        <v>0</v>
      </c>
      <c r="GG161" s="38">
        <f t="shared" ca="1" si="672"/>
        <v>0</v>
      </c>
      <c r="GH161" s="38">
        <f t="shared" ca="1" si="672"/>
        <v>0</v>
      </c>
      <c r="GI161" s="38">
        <f t="shared" ca="1" si="672"/>
        <v>0</v>
      </c>
      <c r="GJ161" s="38">
        <f t="shared" ca="1" si="672"/>
        <v>0</v>
      </c>
    </row>
    <row r="162" spans="1:192" s="1141" customFormat="1" outlineLevel="2" x14ac:dyDescent="0.2">
      <c r="A162" s="391"/>
      <c r="B162" s="391"/>
      <c r="C162" s="392"/>
      <c r="D162" s="393"/>
      <c r="E162" s="394" t="s">
        <v>1322</v>
      </c>
      <c r="F162" s="394"/>
      <c r="G162" s="394" t="str">
        <f xml:space="preserve"> SMU</f>
        <v>$ 000s</v>
      </c>
      <c r="H162" s="394"/>
      <c r="I162" s="395"/>
      <c r="J162" s="394">
        <f t="shared" ref="J162" ca="1" si="673" xml:space="preserve"> J160 + J161</f>
        <v>0</v>
      </c>
      <c r="K162" s="394">
        <f t="shared" ref="K162" ca="1" si="674" xml:space="preserve"> K160 + K161</f>
        <v>0</v>
      </c>
      <c r="L162" s="394">
        <f t="shared" ref="L162" ca="1" si="675" xml:space="preserve"> L160 + L161</f>
        <v>0</v>
      </c>
      <c r="M162" s="394">
        <f t="shared" ref="M162" ca="1" si="676" xml:space="preserve"> M160 + M161</f>
        <v>0</v>
      </c>
      <c r="N162" s="394">
        <f t="shared" ref="N162" ca="1" si="677" xml:space="preserve"> N160 + N161</f>
        <v>0</v>
      </c>
      <c r="O162" s="394">
        <f t="shared" ref="O162" ca="1" si="678" xml:space="preserve"> O160 + O161</f>
        <v>4774.4453219935003</v>
      </c>
      <c r="P162" s="394">
        <f t="shared" ref="P162" ca="1" si="679" xml:space="preserve"> P160 + P161</f>
        <v>8909.4349285029202</v>
      </c>
      <c r="Q162" s="394">
        <f t="shared" ref="Q162" ca="1" si="680" xml:space="preserve"> Q160 + Q161</f>
        <v>12468.914391076669</v>
      </c>
      <c r="R162" s="394">
        <f t="shared" ref="R162" ca="1" si="681" xml:space="preserve"> R160 + R161</f>
        <v>15510.434724108314</v>
      </c>
      <c r="S162" s="394">
        <f t="shared" ref="S162" ca="1" si="682" xml:space="preserve"> S160 + S161</f>
        <v>18085.791840552065</v>
      </c>
      <c r="T162" s="394">
        <f t="shared" ref="T162" ca="1" si="683" xml:space="preserve"> T160 + T161</f>
        <v>20241.602062066711</v>
      </c>
      <c r="U162" s="394">
        <f t="shared" ref="U162" ca="1" si="684" xml:space="preserve"> U160 + U161</f>
        <v>22019.820078145163</v>
      </c>
      <c r="V162" s="394">
        <f t="shared" ref="V162" ca="1" si="685" xml:space="preserve"> V160 + V161</f>
        <v>23458.205109331044</v>
      </c>
      <c r="W162" s="394">
        <f t="shared" ref="W162" ca="1" si="686" xml:space="preserve"> W160 + W161</f>
        <v>24590.740454113606</v>
      </c>
      <c r="X162" s="394">
        <f t="shared" ref="X162" ca="1" si="687" xml:space="preserve"> X160 + X161</f>
        <v>25448.011081133183</v>
      </c>
      <c r="Y162" s="394">
        <f t="shared" ref="Y162" ca="1" si="688" xml:space="preserve"> Y160 + Y161</f>
        <v>26057.543462166072</v>
      </c>
      <c r="Z162" s="394">
        <f t="shared" ref="Z162" ca="1" si="689" xml:space="preserve"> Z160 + Z161</f>
        <v>26444.111421810943</v>
      </c>
      <c r="AA162" s="394">
        <f t="shared" ref="AA162" ca="1" si="690" xml:space="preserve"> AA160 + AA161</f>
        <v>26630.011402206597</v>
      </c>
      <c r="AB162" s="394">
        <f t="shared" ref="AB162" ca="1" si="691" xml:space="preserve"> AB160 + AB161</f>
        <v>26635.310201277956</v>
      </c>
      <c r="AC162" s="394">
        <f t="shared" ref="AC162" ca="1" si="692" xml:space="preserve"> AC160 + AC161</f>
        <v>26478.067937157452</v>
      </c>
      <c r="AD162" s="394">
        <f t="shared" ref="AD162" ca="1" si="693" xml:space="preserve"> AD160 + AD161</f>
        <v>26174.538716164268</v>
      </c>
      <c r="AE162" s="394">
        <f t="shared" ref="AE162" ca="1" si="694" xml:space="preserve"> AE160 + AE161</f>
        <v>25739.351233985675</v>
      </c>
      <c r="AF162" s="394">
        <f t="shared" ref="AF162" ca="1" si="695" xml:space="preserve"> AF160 + AF161</f>
        <v>25185.671316740212</v>
      </c>
      <c r="AG162" s="394">
        <f t="shared" ref="AG162" ca="1" si="696" xml:space="preserve"> AG160 + AG161</f>
        <v>24525.348207934567</v>
      </c>
      <c r="AH162" s="394">
        <f t="shared" ref="AH162" ca="1" si="697" xml:space="preserve"> AH160 + AH161</f>
        <v>23769.046226724757</v>
      </c>
      <c r="AI162" s="394">
        <f t="shared" ref="AI162" ca="1" si="698" xml:space="preserve"> AI160 + AI161</f>
        <v>22926.363260351198</v>
      </c>
      <c r="AJ162" s="394">
        <f t="shared" ref="AJ162" ca="1" si="699" xml:space="preserve"> AJ160 + AJ161</f>
        <v>22005.937407330264</v>
      </c>
      <c r="AK162" s="394">
        <f t="shared" ref="AK162" ca="1" si="700" xml:space="preserve"> AK160 + AK161</f>
        <v>21015.542956326695</v>
      </c>
      <c r="AL162" s="394">
        <f t="shared" ref="AL162" ca="1" si="701" xml:space="preserve"> AL160 + AL161</f>
        <v>19962.176767138753</v>
      </c>
      <c r="AM162" s="394">
        <f t="shared" ref="AM162" ca="1" si="702" xml:space="preserve"> AM160 + AM161</f>
        <v>18852.136013584877</v>
      </c>
      <c r="AN162" s="394">
        <f t="shared" ref="AN162" ca="1" si="703" xml:space="preserve"> AN160 + AN161</f>
        <v>17691.08815210166</v>
      </c>
      <c r="AO162" s="394">
        <f t="shared" ref="AO162" ca="1" si="704" xml:space="preserve"> AO160 + AO161</f>
        <v>16484.133893482034</v>
      </c>
      <c r="AP162" s="394">
        <f t="shared" ref="AP162" ca="1" si="705" xml:space="preserve"> AP160 + AP161</f>
        <v>15235.863877439642</v>
      </c>
      <c r="AQ162" s="394">
        <f t="shared" ref="AQ162" ca="1" si="706" xml:space="preserve"> AQ160 + AQ161</f>
        <v>13950.40967971676</v>
      </c>
      <c r="AR162" s="394">
        <f t="shared" ref="AR162" ca="1" si="707" xml:space="preserve"> AR160 + AR161</f>
        <v>12631.489718481438</v>
      </c>
      <c r="AS162" s="394">
        <f t="shared" ref="AS162" ca="1" si="708" xml:space="preserve"> AS160 + AS161</f>
        <v>11282.450570084919</v>
      </c>
      <c r="AT162" s="394">
        <f t="shared" ref="AT162" ca="1" si="709" xml:space="preserve"> AT160 + AT161</f>
        <v>9906.3041532433217</v>
      </c>
      <c r="AU162" s="394">
        <f t="shared" ref="AU162" ca="1" si="710" xml:space="preserve"> AU160 + AU161</f>
        <v>8505.7611948011545</v>
      </c>
      <c r="AV162" s="394">
        <f t="shared" ref="AV162" ca="1" si="711" xml:space="preserve"> AV160 + AV161</f>
        <v>7083.2613489184751</v>
      </c>
      <c r="AW162" s="394">
        <f t="shared" ref="AW162" ca="1" si="712" xml:space="preserve"> AW160 + AW161</f>
        <v>5784.150598586627</v>
      </c>
      <c r="AX162" s="394">
        <f t="shared" ref="AX162" ca="1" si="713" xml:space="preserve"> AX160 + AX161</f>
        <v>4467.2547694279638</v>
      </c>
      <c r="AY162" s="394">
        <f t="shared" ref="AY162" ca="1" si="714" xml:space="preserve"> AY160 + AY161</f>
        <v>3134.3523693251673</v>
      </c>
      <c r="AZ162" s="394">
        <f t="shared" ref="AZ162" ca="1" si="715" xml:space="preserve"> AZ160 + AZ161</f>
        <v>1787.0440553726503</v>
      </c>
      <c r="BA162" s="394">
        <f t="shared" ref="BA162" ca="1" si="716" xml:space="preserve"> BA160 + BA161</f>
        <v>426.77041895538514</v>
      </c>
      <c r="BB162" s="394">
        <f t="shared" ref="BB162" ca="1" si="717" xml:space="preserve"> BB160 + BB161</f>
        <v>-5.6843418860808015E-12</v>
      </c>
      <c r="BC162" s="394">
        <f t="shared" ref="BC162" ca="1" si="718" xml:space="preserve"> BC160 + BC161</f>
        <v>-5.6843418860808015E-12</v>
      </c>
      <c r="BD162" s="394">
        <f t="shared" ref="BD162" ca="1" si="719" xml:space="preserve"> BD160 + BD161</f>
        <v>-5.6843418860808015E-12</v>
      </c>
      <c r="BE162" s="394">
        <f t="shared" ref="BE162" ca="1" si="720" xml:space="preserve"> BE160 + BE161</f>
        <v>-5.6843418860808015E-12</v>
      </c>
      <c r="BF162" s="394">
        <f t="shared" ref="BF162" ca="1" si="721" xml:space="preserve"> BF160 + BF161</f>
        <v>-5.6843418860808015E-12</v>
      </c>
      <c r="BG162" s="394">
        <f t="shared" ref="BG162" ca="1" si="722" xml:space="preserve"> BG160 + BG161</f>
        <v>-5.6843418860808015E-12</v>
      </c>
      <c r="BH162" s="394">
        <f t="shared" ref="BH162" ca="1" si="723" xml:space="preserve"> BH160 + BH161</f>
        <v>-5.6843418860808015E-12</v>
      </c>
      <c r="BI162" s="394">
        <f t="shared" ref="BI162" ca="1" si="724" xml:space="preserve"> BI160 + BI161</f>
        <v>-5.6843418860808015E-12</v>
      </c>
      <c r="BJ162" s="394">
        <f t="shared" ref="BJ162" ca="1" si="725" xml:space="preserve"> BJ160 + BJ161</f>
        <v>-5.6843418860808015E-12</v>
      </c>
      <c r="BK162" s="394">
        <f t="shared" ref="BK162" ca="1" si="726" xml:space="preserve"> BK160 + BK161</f>
        <v>-5.6843418860808015E-12</v>
      </c>
      <c r="BL162" s="394">
        <f t="shared" ref="BL162" ca="1" si="727" xml:space="preserve"> BL160 + BL161</f>
        <v>-5.6843418860808015E-12</v>
      </c>
      <c r="BM162" s="394">
        <f t="shared" ref="BM162" ca="1" si="728" xml:space="preserve"> BM160 + BM161</f>
        <v>-5.6843418860808015E-12</v>
      </c>
      <c r="BN162" s="394">
        <f t="shared" ref="BN162" ca="1" si="729" xml:space="preserve"> BN160 + BN161</f>
        <v>-5.6843418860808015E-12</v>
      </c>
      <c r="BO162" s="394">
        <f t="shared" ref="BO162" ca="1" si="730" xml:space="preserve"> BO160 + BO161</f>
        <v>-5.6843418860808015E-12</v>
      </c>
      <c r="BP162" s="394">
        <f t="shared" ref="BP162" ca="1" si="731" xml:space="preserve"> BP160 + BP161</f>
        <v>-5.6843418860808015E-12</v>
      </c>
      <c r="BQ162" s="394">
        <f t="shared" ref="BQ162" ca="1" si="732" xml:space="preserve"> BQ160 + BQ161</f>
        <v>-5.6843418860808015E-12</v>
      </c>
      <c r="BR162" s="394">
        <f t="shared" ref="BR162" ca="1" si="733" xml:space="preserve"> BR160 + BR161</f>
        <v>-5.6843418860808015E-12</v>
      </c>
      <c r="BS162" s="394">
        <f t="shared" ref="BS162" ca="1" si="734" xml:space="preserve"> BS160 + BS161</f>
        <v>-5.6843418860808015E-12</v>
      </c>
      <c r="BT162" s="394">
        <f t="shared" ref="BT162" ca="1" si="735" xml:space="preserve"> BT160 + BT161</f>
        <v>-5.6843418860808015E-12</v>
      </c>
      <c r="BU162" s="394">
        <f t="shared" ref="BU162" ca="1" si="736" xml:space="preserve"> BU160 + BU161</f>
        <v>-5.6843418860808015E-12</v>
      </c>
      <c r="BV162" s="394">
        <f t="shared" ref="BV162" ca="1" si="737" xml:space="preserve"> BV160 + BV161</f>
        <v>-5.6843418860808015E-12</v>
      </c>
      <c r="BW162" s="394">
        <f t="shared" ref="BW162" ca="1" si="738" xml:space="preserve"> BW160 + BW161</f>
        <v>-5.6843418860808015E-12</v>
      </c>
      <c r="BX162" s="394">
        <f t="shared" ref="BX162" ca="1" si="739" xml:space="preserve"> BX160 + BX161</f>
        <v>-5.6843418860808015E-12</v>
      </c>
      <c r="BY162" s="394">
        <f t="shared" ref="BY162" ca="1" si="740" xml:space="preserve"> BY160 + BY161</f>
        <v>-5.6843418860808015E-12</v>
      </c>
      <c r="BZ162" s="394">
        <f t="shared" ref="BZ162" ca="1" si="741" xml:space="preserve"> BZ160 + BZ161</f>
        <v>-5.6843418860808015E-12</v>
      </c>
      <c r="CA162" s="394">
        <f t="shared" ref="CA162" ca="1" si="742" xml:space="preserve"> CA160 + CA161</f>
        <v>-5.6843418860808015E-12</v>
      </c>
      <c r="CB162" s="394">
        <f t="shared" ref="CB162" ca="1" si="743" xml:space="preserve"> CB160 + CB161</f>
        <v>-5.6843418860808015E-12</v>
      </c>
      <c r="CC162" s="394">
        <f t="shared" ref="CC162" ca="1" si="744" xml:space="preserve"> CC160 + CC161</f>
        <v>-5.6843418860808015E-12</v>
      </c>
      <c r="CD162" s="394">
        <f t="shared" ref="CD162" ca="1" si="745" xml:space="preserve"> CD160 + CD161</f>
        <v>-5.6843418860808015E-12</v>
      </c>
      <c r="CE162" s="394">
        <f t="shared" ref="CE162" ca="1" si="746" xml:space="preserve"> CE160 + CE161</f>
        <v>-5.6843418860808015E-12</v>
      </c>
      <c r="CF162" s="394">
        <f t="shared" ref="CF162" ca="1" si="747" xml:space="preserve"> CF160 + CF161</f>
        <v>-5.6843418860808015E-12</v>
      </c>
      <c r="CG162" s="394">
        <f t="shared" ref="CG162" ca="1" si="748" xml:space="preserve"> CG160 + CG161</f>
        <v>-5.6843418860808015E-12</v>
      </c>
      <c r="CH162" s="394">
        <f t="shared" ref="CH162" ca="1" si="749" xml:space="preserve"> CH160 + CH161</f>
        <v>-5.6843418860808015E-12</v>
      </c>
      <c r="CI162" s="394">
        <f t="shared" ref="CI162" ca="1" si="750" xml:space="preserve"> CI160 + CI161</f>
        <v>-5.6843418860808015E-12</v>
      </c>
      <c r="CJ162" s="394">
        <f t="shared" ref="CJ162" ca="1" si="751" xml:space="preserve"> CJ160 + CJ161</f>
        <v>-5.6843418860808015E-12</v>
      </c>
      <c r="CK162" s="394">
        <f t="shared" ref="CK162" ca="1" si="752" xml:space="preserve"> CK160 + CK161</f>
        <v>-5.6843418860808015E-12</v>
      </c>
      <c r="CL162" s="394">
        <f t="shared" ref="CL162" ca="1" si="753" xml:space="preserve"> CL160 + CL161</f>
        <v>-5.6843418860808015E-12</v>
      </c>
      <c r="CM162" s="394">
        <f t="shared" ref="CM162" ca="1" si="754" xml:space="preserve"> CM160 + CM161</f>
        <v>-5.6843418860808015E-12</v>
      </c>
      <c r="CN162" s="394">
        <f t="shared" ref="CN162" ca="1" si="755" xml:space="preserve"> CN160 + CN161</f>
        <v>-5.6843418860808015E-12</v>
      </c>
      <c r="CO162" s="394">
        <f t="shared" ref="CO162" ca="1" si="756" xml:space="preserve"> CO160 + CO161</f>
        <v>-5.6843418860808015E-12</v>
      </c>
      <c r="CP162" s="394">
        <f t="shared" ref="CP162" ca="1" si="757" xml:space="preserve"> CP160 + CP161</f>
        <v>-5.6843418860808015E-12</v>
      </c>
      <c r="CQ162" s="394">
        <f t="shared" ref="CQ162" ca="1" si="758" xml:space="preserve"> CQ160 + CQ161</f>
        <v>-5.6843418860808015E-12</v>
      </c>
      <c r="CR162" s="394">
        <f t="shared" ref="CR162" ca="1" si="759" xml:space="preserve"> CR160 + CR161</f>
        <v>-5.6843418860808015E-12</v>
      </c>
      <c r="CS162" s="394">
        <f t="shared" ref="CS162" ca="1" si="760" xml:space="preserve"> CS160 + CS161</f>
        <v>-5.6843418860808015E-12</v>
      </c>
      <c r="CT162" s="394">
        <f t="shared" ref="CT162" ca="1" si="761" xml:space="preserve"> CT160 + CT161</f>
        <v>-5.6843418860808015E-12</v>
      </c>
      <c r="CU162" s="394">
        <f t="shared" ref="CU162" ca="1" si="762" xml:space="preserve"> CU160 + CU161</f>
        <v>-5.6843418860808015E-12</v>
      </c>
      <c r="CV162" s="394">
        <f t="shared" ref="CV162" ca="1" si="763" xml:space="preserve"> CV160 + CV161</f>
        <v>-5.6843418860808015E-12</v>
      </c>
      <c r="CW162" s="394">
        <f t="shared" ref="CW162" ca="1" si="764" xml:space="preserve"> CW160 + CW161</f>
        <v>-5.6843418860808015E-12</v>
      </c>
      <c r="CX162" s="394">
        <f t="shared" ref="CX162" ca="1" si="765" xml:space="preserve"> CX160 + CX161</f>
        <v>-5.6843418860808015E-12</v>
      </c>
      <c r="CY162" s="394">
        <f t="shared" ref="CY162" ca="1" si="766" xml:space="preserve"> CY160 + CY161</f>
        <v>-5.6843418860808015E-12</v>
      </c>
      <c r="CZ162" s="394">
        <f t="shared" ref="CZ162" ca="1" si="767" xml:space="preserve"> CZ160 + CZ161</f>
        <v>-5.6843418860808015E-12</v>
      </c>
      <c r="DA162" s="394">
        <f t="shared" ref="DA162" ca="1" si="768" xml:space="preserve"> DA160 + DA161</f>
        <v>-5.6843418860808015E-12</v>
      </c>
      <c r="DB162" s="394">
        <f t="shared" ref="DB162" ca="1" si="769" xml:space="preserve"> DB160 + DB161</f>
        <v>-5.6843418860808015E-12</v>
      </c>
      <c r="DC162" s="394">
        <f t="shared" ref="DC162" ca="1" si="770" xml:space="preserve"> DC160 + DC161</f>
        <v>-5.6843418860808015E-12</v>
      </c>
      <c r="DD162" s="394">
        <f t="shared" ref="DD162" ca="1" si="771" xml:space="preserve"> DD160 + DD161</f>
        <v>-5.6843418860808015E-12</v>
      </c>
      <c r="DE162" s="394">
        <f t="shared" ref="DE162" ca="1" si="772" xml:space="preserve"> DE160 + DE161</f>
        <v>-5.6843418860808015E-12</v>
      </c>
      <c r="DF162" s="394">
        <f t="shared" ref="DF162" ca="1" si="773" xml:space="preserve"> DF160 + DF161</f>
        <v>-5.6843418860808015E-12</v>
      </c>
      <c r="DG162" s="394">
        <f t="shared" ref="DG162" ca="1" si="774" xml:space="preserve"> DG160 + DG161</f>
        <v>-5.6843418860808015E-12</v>
      </c>
      <c r="DH162" s="394">
        <f t="shared" ref="DH162" ca="1" si="775" xml:space="preserve"> DH160 + DH161</f>
        <v>-5.6843418860808015E-12</v>
      </c>
      <c r="DI162" s="394">
        <f t="shared" ref="DI162" ca="1" si="776" xml:space="preserve"> DI160 + DI161</f>
        <v>-5.6843418860808015E-12</v>
      </c>
      <c r="DJ162" s="394">
        <f t="shared" ref="DJ162" ca="1" si="777" xml:space="preserve"> DJ160 + DJ161</f>
        <v>-5.6843418860808015E-12</v>
      </c>
      <c r="DK162" s="394">
        <f t="shared" ref="DK162" ca="1" si="778" xml:space="preserve"> DK160 + DK161</f>
        <v>-5.6843418860808015E-12</v>
      </c>
      <c r="DL162" s="394">
        <f t="shared" ref="DL162" ca="1" si="779" xml:space="preserve"> DL160 + DL161</f>
        <v>-5.6843418860808015E-12</v>
      </c>
      <c r="DM162" s="394">
        <f t="shared" ref="DM162" ca="1" si="780" xml:space="preserve"> DM160 + DM161</f>
        <v>-5.6843418860808015E-12</v>
      </c>
      <c r="DN162" s="394">
        <f t="shared" ref="DN162" ca="1" si="781" xml:space="preserve"> DN160 + DN161</f>
        <v>-5.6843418860808015E-12</v>
      </c>
      <c r="DO162" s="394">
        <f t="shared" ref="DO162" ca="1" si="782" xml:space="preserve"> DO160 + DO161</f>
        <v>-5.6843418860808015E-12</v>
      </c>
      <c r="DP162" s="394">
        <f t="shared" ref="DP162" ca="1" si="783" xml:space="preserve"> DP160 + DP161</f>
        <v>-5.6843418860808015E-12</v>
      </c>
      <c r="DQ162" s="394">
        <f t="shared" ref="DQ162" ca="1" si="784" xml:space="preserve"> DQ160 + DQ161</f>
        <v>-5.6843418860808015E-12</v>
      </c>
      <c r="DR162" s="394">
        <f t="shared" ref="DR162" ca="1" si="785" xml:space="preserve"> DR160 + DR161</f>
        <v>-5.6843418860808015E-12</v>
      </c>
      <c r="DS162" s="394">
        <f t="shared" ref="DS162" ca="1" si="786" xml:space="preserve"> DS160 + DS161</f>
        <v>-5.6843418860808015E-12</v>
      </c>
      <c r="DT162" s="394">
        <f t="shared" ref="DT162" ca="1" si="787" xml:space="preserve"> DT160 + DT161</f>
        <v>-5.6843418860808015E-12</v>
      </c>
      <c r="DU162" s="394">
        <f t="shared" ref="DU162" ca="1" si="788" xml:space="preserve"> DU160 + DU161</f>
        <v>-5.6843418860808015E-12</v>
      </c>
      <c r="DV162" s="394">
        <f t="shared" ref="DV162" ca="1" si="789" xml:space="preserve"> DV160 + DV161</f>
        <v>-5.6843418860808015E-12</v>
      </c>
      <c r="DW162" s="394">
        <f t="shared" ref="DW162" ca="1" si="790" xml:space="preserve"> DW160 + DW161</f>
        <v>-5.6843418860808015E-12</v>
      </c>
      <c r="DX162" s="394">
        <f t="shared" ref="DX162" ca="1" si="791" xml:space="preserve"> DX160 + DX161</f>
        <v>-5.6843418860808015E-12</v>
      </c>
      <c r="DY162" s="394">
        <f t="shared" ref="DY162" ca="1" si="792" xml:space="preserve"> DY160 + DY161</f>
        <v>-5.6843418860808015E-12</v>
      </c>
      <c r="DZ162" s="394">
        <f t="shared" ref="DZ162" ca="1" si="793" xml:space="preserve"> DZ160 + DZ161</f>
        <v>-5.6843418860808015E-12</v>
      </c>
      <c r="EA162" s="394">
        <f t="shared" ref="EA162" ca="1" si="794" xml:space="preserve"> EA160 + EA161</f>
        <v>-5.6843418860808015E-12</v>
      </c>
      <c r="EB162" s="394">
        <f t="shared" ref="EB162" ca="1" si="795" xml:space="preserve"> EB160 + EB161</f>
        <v>-5.6843418860808015E-12</v>
      </c>
      <c r="EC162" s="394">
        <f t="shared" ref="EC162" ca="1" si="796" xml:space="preserve"> EC160 + EC161</f>
        <v>-5.6843418860808015E-12</v>
      </c>
      <c r="ED162" s="394">
        <f t="shared" ref="ED162" ca="1" si="797" xml:space="preserve"> ED160 + ED161</f>
        <v>-5.6843418860808015E-12</v>
      </c>
      <c r="EE162" s="394">
        <f t="shared" ref="EE162" ca="1" si="798" xml:space="preserve"> EE160 + EE161</f>
        <v>-5.6843418860808015E-12</v>
      </c>
      <c r="EF162" s="394">
        <f t="shared" ref="EF162" ca="1" si="799" xml:space="preserve"> EF160 + EF161</f>
        <v>-5.6843418860808015E-12</v>
      </c>
      <c r="EG162" s="394">
        <f t="shared" ref="EG162" ca="1" si="800" xml:space="preserve"> EG160 + EG161</f>
        <v>-5.6843418860808015E-12</v>
      </c>
      <c r="EH162" s="394">
        <f t="shared" ref="EH162" ca="1" si="801" xml:space="preserve"> EH160 + EH161</f>
        <v>-5.6843418860808015E-12</v>
      </c>
      <c r="EI162" s="394">
        <f t="shared" ref="EI162" ca="1" si="802" xml:space="preserve"> EI160 + EI161</f>
        <v>-5.6843418860808015E-12</v>
      </c>
      <c r="EJ162" s="394">
        <f t="shared" ref="EJ162" ca="1" si="803" xml:space="preserve"> EJ160 + EJ161</f>
        <v>-5.6843418860808015E-12</v>
      </c>
      <c r="EK162" s="394">
        <f t="shared" ref="EK162" ca="1" si="804" xml:space="preserve"> EK160 + EK161</f>
        <v>-5.6843418860808015E-12</v>
      </c>
      <c r="EL162" s="394">
        <f t="shared" ref="EL162" ca="1" si="805" xml:space="preserve"> EL160 + EL161</f>
        <v>-5.6843418860808015E-12</v>
      </c>
      <c r="EM162" s="394">
        <f t="shared" ref="EM162" ca="1" si="806" xml:space="preserve"> EM160 + EM161</f>
        <v>-5.6843418860808015E-12</v>
      </c>
      <c r="EN162" s="394">
        <f t="shared" ref="EN162" ca="1" si="807" xml:space="preserve"> EN160 + EN161</f>
        <v>-5.6843418860808015E-12</v>
      </c>
      <c r="EO162" s="394">
        <f t="shared" ref="EO162" ca="1" si="808" xml:space="preserve"> EO160 + EO161</f>
        <v>-5.6843418860808015E-12</v>
      </c>
      <c r="EP162" s="394">
        <f t="shared" ref="EP162" ca="1" si="809" xml:space="preserve"> EP160 + EP161</f>
        <v>-5.6843418860808015E-12</v>
      </c>
      <c r="EQ162" s="394">
        <f t="shared" ref="EQ162" ca="1" si="810" xml:space="preserve"> EQ160 + EQ161</f>
        <v>-5.6843418860808015E-12</v>
      </c>
      <c r="ER162" s="394">
        <f t="shared" ref="ER162" ca="1" si="811" xml:space="preserve"> ER160 + ER161</f>
        <v>-5.6843418860808015E-12</v>
      </c>
      <c r="ES162" s="394">
        <f t="shared" ref="ES162" ca="1" si="812" xml:space="preserve"> ES160 + ES161</f>
        <v>-5.6843418860808015E-12</v>
      </c>
      <c r="ET162" s="394">
        <f t="shared" ref="ET162" ca="1" si="813" xml:space="preserve"> ET160 + ET161</f>
        <v>-5.6843418860808015E-12</v>
      </c>
      <c r="EU162" s="394">
        <f t="shared" ref="EU162" ca="1" si="814" xml:space="preserve"> EU160 + EU161</f>
        <v>-5.6843418860808015E-12</v>
      </c>
      <c r="EV162" s="394">
        <f t="shared" ref="EV162" ca="1" si="815" xml:space="preserve"> EV160 + EV161</f>
        <v>-5.6843418860808015E-12</v>
      </c>
      <c r="EW162" s="394">
        <f t="shared" ref="EW162" ca="1" si="816" xml:space="preserve"> EW160 + EW161</f>
        <v>-5.6843418860808015E-12</v>
      </c>
      <c r="EX162" s="394">
        <f t="shared" ref="EX162" ca="1" si="817" xml:space="preserve"> EX160 + EX161</f>
        <v>-5.6843418860808015E-12</v>
      </c>
      <c r="EY162" s="394">
        <f t="shared" ref="EY162" ca="1" si="818" xml:space="preserve"> EY160 + EY161</f>
        <v>-5.6843418860808015E-12</v>
      </c>
      <c r="EZ162" s="394">
        <f t="shared" ref="EZ162" ca="1" si="819" xml:space="preserve"> EZ160 + EZ161</f>
        <v>-5.6843418860808015E-12</v>
      </c>
      <c r="FA162" s="394">
        <f t="shared" ref="FA162" ca="1" si="820" xml:space="preserve"> FA160 + FA161</f>
        <v>-5.6843418860808015E-12</v>
      </c>
      <c r="FB162" s="394">
        <f t="shared" ref="FB162" ca="1" si="821" xml:space="preserve"> FB160 + FB161</f>
        <v>-5.6843418860808015E-12</v>
      </c>
      <c r="FC162" s="394">
        <f t="shared" ref="FC162" ca="1" si="822" xml:space="preserve"> FC160 + FC161</f>
        <v>-5.6843418860808015E-12</v>
      </c>
      <c r="FD162" s="394">
        <f t="shared" ref="FD162" ca="1" si="823" xml:space="preserve"> FD160 + FD161</f>
        <v>-5.6843418860808015E-12</v>
      </c>
      <c r="FE162" s="394">
        <f t="shared" ref="FE162" ca="1" si="824" xml:space="preserve"> FE160 + FE161</f>
        <v>-5.6843418860808015E-12</v>
      </c>
      <c r="FF162" s="394">
        <f t="shared" ref="FF162" ca="1" si="825" xml:space="preserve"> FF160 + FF161</f>
        <v>-5.6843418860808015E-12</v>
      </c>
      <c r="FG162" s="394">
        <f t="shared" ref="FG162" ca="1" si="826" xml:space="preserve"> FG160 + FG161</f>
        <v>-5.6843418860808015E-12</v>
      </c>
      <c r="FH162" s="394">
        <f t="shared" ref="FH162" ca="1" si="827" xml:space="preserve"> FH160 + FH161</f>
        <v>-5.6843418860808015E-12</v>
      </c>
      <c r="FI162" s="394">
        <f t="shared" ref="FI162" ca="1" si="828" xml:space="preserve"> FI160 + FI161</f>
        <v>-5.6843418860808015E-12</v>
      </c>
      <c r="FJ162" s="394">
        <f t="shared" ref="FJ162" ca="1" si="829" xml:space="preserve"> FJ160 + FJ161</f>
        <v>-5.6843418860808015E-12</v>
      </c>
      <c r="FK162" s="394">
        <f t="shared" ref="FK162" ca="1" si="830" xml:space="preserve"> FK160 + FK161</f>
        <v>-5.6843418860808015E-12</v>
      </c>
      <c r="FL162" s="394">
        <f t="shared" ref="FL162" ca="1" si="831" xml:space="preserve"> FL160 + FL161</f>
        <v>-5.6843418860808015E-12</v>
      </c>
      <c r="FM162" s="394">
        <f t="shared" ref="FM162" ca="1" si="832" xml:space="preserve"> FM160 + FM161</f>
        <v>-5.6843418860808015E-12</v>
      </c>
      <c r="FN162" s="394">
        <f t="shared" ref="FN162" ca="1" si="833" xml:space="preserve"> FN160 + FN161</f>
        <v>-5.6843418860808015E-12</v>
      </c>
      <c r="FO162" s="394">
        <f t="shared" ref="FO162" ca="1" si="834" xml:space="preserve"> FO160 + FO161</f>
        <v>-5.6843418860808015E-12</v>
      </c>
      <c r="FP162" s="394">
        <f t="shared" ref="FP162" ca="1" si="835" xml:space="preserve"> FP160 + FP161</f>
        <v>-5.6843418860808015E-12</v>
      </c>
      <c r="FQ162" s="394">
        <f t="shared" ref="FQ162" ca="1" si="836" xml:space="preserve"> FQ160 + FQ161</f>
        <v>-5.6843418860808015E-12</v>
      </c>
      <c r="FR162" s="394">
        <f t="shared" ref="FR162" ca="1" si="837" xml:space="preserve"> FR160 + FR161</f>
        <v>-5.6843418860808015E-12</v>
      </c>
      <c r="FS162" s="394">
        <f t="shared" ref="FS162" ca="1" si="838" xml:space="preserve"> FS160 + FS161</f>
        <v>-5.6843418860808015E-12</v>
      </c>
      <c r="FT162" s="394">
        <f t="shared" ref="FT162" ca="1" si="839" xml:space="preserve"> FT160 + FT161</f>
        <v>-5.6843418860808015E-12</v>
      </c>
      <c r="FU162" s="394">
        <f t="shared" ref="FU162" ca="1" si="840" xml:space="preserve"> FU160 + FU161</f>
        <v>-5.6843418860808015E-12</v>
      </c>
      <c r="FV162" s="394">
        <f t="shared" ref="FV162" ca="1" si="841" xml:space="preserve"> FV160 + FV161</f>
        <v>-5.6843418860808015E-12</v>
      </c>
      <c r="FW162" s="394">
        <f t="shared" ref="FW162" ca="1" si="842" xml:space="preserve"> FW160 + FW161</f>
        <v>-5.6843418860808015E-12</v>
      </c>
      <c r="FX162" s="394">
        <f t="shared" ref="FX162" ca="1" si="843" xml:space="preserve"> FX160 + FX161</f>
        <v>-5.6843418860808015E-12</v>
      </c>
      <c r="FY162" s="394">
        <f t="shared" ref="FY162" ca="1" si="844" xml:space="preserve"> FY160 + FY161</f>
        <v>-5.6843418860808015E-12</v>
      </c>
      <c r="FZ162" s="394">
        <f t="shared" ref="FZ162" ca="1" si="845" xml:space="preserve"> FZ160 + FZ161</f>
        <v>-5.6843418860808015E-12</v>
      </c>
      <c r="GA162" s="394">
        <f t="shared" ref="GA162" ca="1" si="846" xml:space="preserve"> GA160 + GA161</f>
        <v>-5.6843418860808015E-12</v>
      </c>
      <c r="GB162" s="394">
        <f t="shared" ref="GB162" ca="1" si="847" xml:space="preserve"> GB160 + GB161</f>
        <v>-5.6843418860808015E-12</v>
      </c>
      <c r="GC162" s="394">
        <f t="shared" ref="GC162" ca="1" si="848" xml:space="preserve"> GC160 + GC161</f>
        <v>-5.6843418860808015E-12</v>
      </c>
      <c r="GD162" s="394">
        <f t="shared" ref="GD162" ca="1" si="849" xml:space="preserve"> GD160 + GD161</f>
        <v>-5.6843418860808015E-12</v>
      </c>
      <c r="GE162" s="394">
        <f t="shared" ref="GE162" ca="1" si="850" xml:space="preserve"> GE160 + GE161</f>
        <v>-5.6843418860808015E-12</v>
      </c>
      <c r="GF162" s="394">
        <f t="shared" ref="GF162" ca="1" si="851" xml:space="preserve"> GF160 + GF161</f>
        <v>-5.6843418860808015E-12</v>
      </c>
      <c r="GG162" s="394">
        <f t="shared" ref="GG162" ca="1" si="852" xml:space="preserve"> GG160 + GG161</f>
        <v>-5.6843418860808015E-12</v>
      </c>
      <c r="GH162" s="394">
        <f t="shared" ref="GH162" ca="1" si="853" xml:space="preserve"> GH160 + GH161</f>
        <v>-5.6843418860808015E-12</v>
      </c>
      <c r="GI162" s="394">
        <f t="shared" ref="GI162" ca="1" si="854" xml:space="preserve"> GI160 + GI161</f>
        <v>-5.6843418860808015E-12</v>
      </c>
      <c r="GJ162" s="394">
        <f t="shared" ref="GJ162" ca="1" si="855" xml:space="preserve"> GJ160 + GJ161</f>
        <v>-5.6843418860808015E-12</v>
      </c>
    </row>
    <row r="163" spans="1:192" outlineLevel="2" x14ac:dyDescent="0.2"/>
    <row r="164" spans="1:192" outlineLevel="2" x14ac:dyDescent="0.2"/>
    <row r="165" spans="1:192" outlineLevel="2" x14ac:dyDescent="0.2"/>
    <row r="166" spans="1:192" outlineLevel="2" x14ac:dyDescent="0.2"/>
    <row r="167" spans="1:192" outlineLevel="2" x14ac:dyDescent="0.2"/>
    <row r="168" spans="1:192" outlineLevel="2" x14ac:dyDescent="0.2"/>
    <row r="169" spans="1:192" outlineLevel="2" x14ac:dyDescent="0.2"/>
    <row r="170" spans="1:192" outlineLevel="2" x14ac:dyDescent="0.2"/>
    <row r="171" spans="1:192" outlineLevel="2" x14ac:dyDescent="0.2"/>
    <row r="173" spans="1:192" x14ac:dyDescent="0.2">
      <c r="A173" s="15" t="s">
        <v>62</v>
      </c>
    </row>
  </sheetData>
  <conditionalFormatting sqref="J3:CV3">
    <cfRule type="cellIs" dxfId="63" priority="8" stopIfTrue="1" operator="equal">
      <formula>"Construction"</formula>
    </cfRule>
    <cfRule type="cellIs" dxfId="62" priority="9" stopIfTrue="1" operator="equal">
      <formula>"Operations"</formula>
    </cfRule>
  </conditionalFormatting>
  <conditionalFormatting sqref="J3:CV3">
    <cfRule type="cellIs" dxfId="61" priority="7" operator="equal">
      <formula>"Fin Close"</formula>
    </cfRule>
  </conditionalFormatting>
  <conditionalFormatting sqref="J3:CV3">
    <cfRule type="cellIs" dxfId="60" priority="5" operator="equal">
      <formula>"PPA ext."</formula>
    </cfRule>
    <cfRule type="cellIs" dxfId="59" priority="6" operator="equal">
      <formula>"Delay"</formula>
    </cfRule>
  </conditionalFormatting>
  <conditionalFormatting sqref="F2:F4">
    <cfRule type="cellIs" dxfId="58" priority="1" stopIfTrue="1" operator="notEqual">
      <formula>0</formula>
    </cfRule>
    <cfRule type="cellIs" dxfId="57" priority="2" stopIfTrue="1" operator="equal">
      <formula>""</formula>
    </cfRule>
  </conditionalFormatting>
  <conditionalFormatting sqref="F2:F4">
    <cfRule type="cellIs" dxfId="56" priority="3" stopIfTrue="1" operator="notEqual">
      <formula>0</formula>
    </cfRule>
    <cfRule type="cellIs" dxfId="55" priority="4" stopIfTrue="1" operator="equal">
      <formula>""</formula>
    </cfRule>
  </conditionalFormatting>
  <dataValidations count="1">
    <dataValidation allowBlank="1" showInputMessage="1" showErrorMessage="1" sqref="E18:H18 E9:H9 E74:H74 E14:H15 E83:H84 E142:H142 E151:H152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334"/>
  <sheetViews>
    <sheetView defaultGridColor="0" colorId="8" zoomScale="75" zoomScaleNormal="75" workbookViewId="0">
      <pane xSplit="9" ySplit="5" topLeftCell="CK314" activePane="bottomRight" state="frozen"/>
      <selection activeCell="F117" sqref="F117"/>
      <selection pane="topRight" activeCell="F117" sqref="F117"/>
      <selection pane="bottomLeft" activeCell="F117" sqref="F117"/>
      <selection pane="bottomRight" activeCell="A334" sqref="A334"/>
    </sheetView>
  </sheetViews>
  <sheetFormatPr defaultColWidth="0" defaultRowHeight="12.75" zeroHeight="1" outlineLevelRow="1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53.1406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Metrics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"/>
    <row r="7" spans="1:100" x14ac:dyDescent="0.2">
      <c r="A7" s="15" t="s">
        <v>591</v>
      </c>
    </row>
    <row r="8" spans="1:100" outlineLevel="1" x14ac:dyDescent="0.2"/>
    <row r="9" spans="1:100" s="125" customFormat="1" outlineLevel="1" x14ac:dyDescent="0.2">
      <c r="A9" s="85"/>
      <c r="B9" s="85"/>
      <c r="C9" s="86"/>
      <c r="D9" s="87"/>
      <c r="E9" s="186" t="str">
        <f xml:space="preserve"> ConCost!E$18</f>
        <v>Total EPC base cost including overrun</v>
      </c>
      <c r="F9" s="186">
        <f xml:space="preserve"> ConCost!F$18</f>
        <v>300000</v>
      </c>
      <c r="G9" s="186" t="str">
        <f xml:space="preserve"> ConCost!G$18</f>
        <v>$ 000s</v>
      </c>
      <c r="H9" s="186"/>
      <c r="I9" s="68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</row>
    <row r="10" spans="1:100" s="125" customFormat="1" outlineLevel="1" x14ac:dyDescent="0.2">
      <c r="A10" s="85"/>
      <c r="B10" s="85"/>
      <c r="C10" s="86"/>
      <c r="D10" s="87"/>
      <c r="E10" s="186" t="str">
        <f xml:space="preserve"> ConCost!E$24</f>
        <v>Total EPC spent contingency</v>
      </c>
      <c r="F10" s="186">
        <f xml:space="preserve"> ConCost!F$24</f>
        <v>0</v>
      </c>
      <c r="G10" s="186" t="str">
        <f xml:space="preserve"> ConCost!G$24</f>
        <v>$ 000s</v>
      </c>
      <c r="H10" s="186"/>
      <c r="I10" s="68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</row>
    <row r="11" spans="1:100" outlineLevel="1" x14ac:dyDescent="0.2">
      <c r="E11" s="491" t="s">
        <v>593</v>
      </c>
      <c r="F11" s="491">
        <f xml:space="preserve"> SUM(F9:F10)</f>
        <v>300000</v>
      </c>
      <c r="G11" s="491" t="str">
        <f xml:space="preserve"> SMU</f>
        <v>$ 000s</v>
      </c>
    </row>
    <row r="12" spans="1:100" outlineLevel="1" x14ac:dyDescent="0.2">
      <c r="E12" s="214"/>
      <c r="F12" s="214"/>
      <c r="G12" s="214"/>
    </row>
    <row r="13" spans="1:100" outlineLevel="1" x14ac:dyDescent="0.2">
      <c r="E13" s="501" t="str">
        <f xml:space="preserve"> InpC!E$373</f>
        <v>Terminal value as % of EPC</v>
      </c>
      <c r="F13" s="501">
        <f xml:space="preserve"> InpC!F$373</f>
        <v>0</v>
      </c>
      <c r="G13" s="501" t="str">
        <f xml:space="preserve"> InpC!G$373</f>
        <v>%</v>
      </c>
    </row>
    <row r="14" spans="1:100" outlineLevel="1" x14ac:dyDescent="0.2">
      <c r="E14" s="214" t="str">
        <f t="shared" ref="E14:G14" si="0" xml:space="preserve"> E$11</f>
        <v>Net EPC costs for calculating TV</v>
      </c>
      <c r="F14" s="214">
        <f t="shared" si="0"/>
        <v>300000</v>
      </c>
      <c r="G14" s="214" t="str">
        <f t="shared" si="0"/>
        <v>$ 000s</v>
      </c>
    </row>
    <row r="15" spans="1:100" outlineLevel="1" x14ac:dyDescent="0.2">
      <c r="E15" s="844" t="s">
        <v>594</v>
      </c>
      <c r="F15" s="844"/>
      <c r="G15" s="844"/>
    </row>
    <row r="16" spans="1:100" s="125" customFormat="1" outlineLevel="1" x14ac:dyDescent="0.2">
      <c r="A16" s="85"/>
      <c r="B16" s="85"/>
      <c r="C16" s="86"/>
      <c r="D16" s="87"/>
      <c r="E16" s="501" t="str">
        <f xml:space="preserve"> Time!E$101</f>
        <v xml:space="preserve">Last operating period flag </v>
      </c>
      <c r="F16" s="501">
        <f xml:space="preserve"> Time!F$101</f>
        <v>0</v>
      </c>
      <c r="G16" s="501" t="str">
        <f xml:space="preserve"> Time!G$101</f>
        <v>flag</v>
      </c>
      <c r="H16" s="501">
        <f xml:space="preserve"> Time!H$101</f>
        <v>1</v>
      </c>
      <c r="I16" s="501">
        <f xml:space="preserve"> Time!I$101</f>
        <v>0</v>
      </c>
      <c r="J16" s="501">
        <f xml:space="preserve"> Time!J$101</f>
        <v>0</v>
      </c>
      <c r="K16" s="501">
        <f xml:space="preserve"> Time!K$101</f>
        <v>0</v>
      </c>
      <c r="L16" s="501">
        <f xml:space="preserve"> Time!L$101</f>
        <v>0</v>
      </c>
      <c r="M16" s="501">
        <f xml:space="preserve"> Time!M$101</f>
        <v>0</v>
      </c>
      <c r="N16" s="501">
        <f xml:space="preserve"> Time!N$101</f>
        <v>0</v>
      </c>
      <c r="O16" s="501">
        <f xml:space="preserve"> Time!O$101</f>
        <v>0</v>
      </c>
      <c r="P16" s="501">
        <f xml:space="preserve"> Time!P$101</f>
        <v>0</v>
      </c>
      <c r="Q16" s="501">
        <f xml:space="preserve"> Time!Q$101</f>
        <v>0</v>
      </c>
      <c r="R16" s="501">
        <f xml:space="preserve"> Time!R$101</f>
        <v>0</v>
      </c>
      <c r="S16" s="501">
        <f xml:space="preserve"> Time!S$101</f>
        <v>0</v>
      </c>
      <c r="T16" s="501">
        <f xml:space="preserve"> Time!T$101</f>
        <v>0</v>
      </c>
      <c r="U16" s="501">
        <f xml:space="preserve"> Time!U$101</f>
        <v>0</v>
      </c>
      <c r="V16" s="501">
        <f xml:space="preserve"> Time!V$101</f>
        <v>0</v>
      </c>
      <c r="W16" s="501">
        <f xml:space="preserve"> Time!W$101</f>
        <v>0</v>
      </c>
      <c r="X16" s="501">
        <f xml:space="preserve"> Time!X$101</f>
        <v>0</v>
      </c>
      <c r="Y16" s="501">
        <f xml:space="preserve"> Time!Y$101</f>
        <v>0</v>
      </c>
      <c r="Z16" s="501">
        <f xml:space="preserve"> Time!Z$101</f>
        <v>0</v>
      </c>
      <c r="AA16" s="501">
        <f xml:space="preserve"> Time!AA$101</f>
        <v>0</v>
      </c>
      <c r="AB16" s="501">
        <f xml:space="preserve"> Time!AB$101</f>
        <v>0</v>
      </c>
      <c r="AC16" s="501">
        <f xml:space="preserve"> Time!AC$101</f>
        <v>0</v>
      </c>
      <c r="AD16" s="501">
        <f xml:space="preserve"> Time!AD$101</f>
        <v>0</v>
      </c>
      <c r="AE16" s="501">
        <f xml:space="preserve"> Time!AE$101</f>
        <v>0</v>
      </c>
      <c r="AF16" s="501">
        <f xml:space="preserve"> Time!AF$101</f>
        <v>0</v>
      </c>
      <c r="AG16" s="501">
        <f xml:space="preserve"> Time!AG$101</f>
        <v>0</v>
      </c>
      <c r="AH16" s="501">
        <f xml:space="preserve"> Time!AH$101</f>
        <v>0</v>
      </c>
      <c r="AI16" s="501">
        <f xml:space="preserve"> Time!AI$101</f>
        <v>0</v>
      </c>
      <c r="AJ16" s="501">
        <f xml:space="preserve"> Time!AJ$101</f>
        <v>0</v>
      </c>
      <c r="AK16" s="501">
        <f xml:space="preserve"> Time!AK$101</f>
        <v>0</v>
      </c>
      <c r="AL16" s="501">
        <f xml:space="preserve"> Time!AL$101</f>
        <v>0</v>
      </c>
      <c r="AM16" s="501">
        <f xml:space="preserve"> Time!AM$101</f>
        <v>0</v>
      </c>
      <c r="AN16" s="501">
        <f xml:space="preserve"> Time!AN$101</f>
        <v>0</v>
      </c>
      <c r="AO16" s="501">
        <f xml:space="preserve"> Time!AO$101</f>
        <v>0</v>
      </c>
      <c r="AP16" s="501">
        <f xml:space="preserve"> Time!AP$101</f>
        <v>0</v>
      </c>
      <c r="AQ16" s="501">
        <f xml:space="preserve"> Time!AQ$101</f>
        <v>0</v>
      </c>
      <c r="AR16" s="501">
        <f xml:space="preserve"> Time!AR$101</f>
        <v>0</v>
      </c>
      <c r="AS16" s="501">
        <f xml:space="preserve"> Time!AS$101</f>
        <v>0</v>
      </c>
      <c r="AT16" s="501">
        <f xml:space="preserve"> Time!AT$101</f>
        <v>0</v>
      </c>
      <c r="AU16" s="501">
        <f xml:space="preserve"> Time!AU$101</f>
        <v>0</v>
      </c>
      <c r="AV16" s="501">
        <f xml:space="preserve"> Time!AV$101</f>
        <v>0</v>
      </c>
      <c r="AW16" s="501">
        <f xml:space="preserve"> Time!AW$101</f>
        <v>0</v>
      </c>
      <c r="AX16" s="501">
        <f xml:space="preserve"> Time!AX$101</f>
        <v>0</v>
      </c>
      <c r="AY16" s="501">
        <f xml:space="preserve"> Time!AY$101</f>
        <v>0</v>
      </c>
      <c r="AZ16" s="501">
        <f xml:space="preserve"> Time!AZ$101</f>
        <v>0</v>
      </c>
      <c r="BA16" s="501">
        <f xml:space="preserve"> Time!BA$101</f>
        <v>0</v>
      </c>
      <c r="BB16" s="501">
        <f xml:space="preserve"> Time!BB$101</f>
        <v>1</v>
      </c>
      <c r="BC16" s="501">
        <f xml:space="preserve"> Time!BC$101</f>
        <v>0</v>
      </c>
      <c r="BD16" s="501">
        <f xml:space="preserve"> Time!BD$101</f>
        <v>0</v>
      </c>
      <c r="BE16" s="501">
        <f xml:space="preserve"> Time!BE$101</f>
        <v>0</v>
      </c>
      <c r="BF16" s="501">
        <f xml:space="preserve"> Time!BF$101</f>
        <v>0</v>
      </c>
      <c r="BG16" s="501">
        <f xml:space="preserve"> Time!BG$101</f>
        <v>0</v>
      </c>
      <c r="BH16" s="501">
        <f xml:space="preserve"> Time!BH$101</f>
        <v>0</v>
      </c>
      <c r="BI16" s="501">
        <f xml:space="preserve"> Time!BI$101</f>
        <v>0</v>
      </c>
      <c r="BJ16" s="501">
        <f xml:space="preserve"> Time!BJ$101</f>
        <v>0</v>
      </c>
      <c r="BK16" s="501">
        <f xml:space="preserve"> Time!BK$101</f>
        <v>0</v>
      </c>
      <c r="BL16" s="501">
        <f xml:space="preserve"> Time!BL$101</f>
        <v>0</v>
      </c>
      <c r="BM16" s="501">
        <f xml:space="preserve"> Time!BM$101</f>
        <v>0</v>
      </c>
      <c r="BN16" s="501">
        <f xml:space="preserve"> Time!BN$101</f>
        <v>0</v>
      </c>
      <c r="BO16" s="501">
        <f xml:space="preserve"> Time!BO$101</f>
        <v>0</v>
      </c>
      <c r="BP16" s="501">
        <f xml:space="preserve"> Time!BP$101</f>
        <v>0</v>
      </c>
      <c r="BQ16" s="501">
        <f xml:space="preserve"> Time!BQ$101</f>
        <v>0</v>
      </c>
      <c r="BR16" s="501">
        <f xml:space="preserve"> Time!BR$101</f>
        <v>0</v>
      </c>
      <c r="BS16" s="501">
        <f xml:space="preserve"> Time!BS$101</f>
        <v>0</v>
      </c>
      <c r="BT16" s="501">
        <f xml:space="preserve"> Time!BT$101</f>
        <v>0</v>
      </c>
      <c r="BU16" s="501">
        <f xml:space="preserve"> Time!BU$101</f>
        <v>0</v>
      </c>
      <c r="BV16" s="501">
        <f xml:space="preserve"> Time!BV$101</f>
        <v>0</v>
      </c>
      <c r="BW16" s="501">
        <f xml:space="preserve"> Time!BW$101</f>
        <v>0</v>
      </c>
      <c r="BX16" s="501">
        <f xml:space="preserve"> Time!BX$101</f>
        <v>0</v>
      </c>
      <c r="BY16" s="501">
        <f xml:space="preserve"> Time!BY$101</f>
        <v>0</v>
      </c>
      <c r="BZ16" s="501">
        <f xml:space="preserve"> Time!BZ$101</f>
        <v>0</v>
      </c>
      <c r="CA16" s="501">
        <f xml:space="preserve"> Time!CA$101</f>
        <v>0</v>
      </c>
      <c r="CB16" s="501">
        <f xml:space="preserve"> Time!CB$101</f>
        <v>0</v>
      </c>
      <c r="CC16" s="501">
        <f xml:space="preserve"> Time!CC$101</f>
        <v>0</v>
      </c>
      <c r="CD16" s="501">
        <f xml:space="preserve"> Time!CD$101</f>
        <v>0</v>
      </c>
      <c r="CE16" s="501">
        <f xml:space="preserve"> Time!CE$101</f>
        <v>0</v>
      </c>
      <c r="CF16" s="501">
        <f xml:space="preserve"> Time!CF$101</f>
        <v>0</v>
      </c>
      <c r="CG16" s="501">
        <f xml:space="preserve"> Time!CG$101</f>
        <v>0</v>
      </c>
      <c r="CH16" s="501">
        <f xml:space="preserve"> Time!CH$101</f>
        <v>0</v>
      </c>
      <c r="CI16" s="501">
        <f xml:space="preserve"> Time!CI$101</f>
        <v>0</v>
      </c>
      <c r="CJ16" s="501">
        <f xml:space="preserve"> Time!CJ$101</f>
        <v>0</v>
      </c>
      <c r="CK16" s="501">
        <f xml:space="preserve"> Time!CK$101</f>
        <v>0</v>
      </c>
      <c r="CL16" s="501">
        <f xml:space="preserve"> Time!CL$101</f>
        <v>0</v>
      </c>
      <c r="CM16" s="501">
        <f xml:space="preserve"> Time!CM$101</f>
        <v>0</v>
      </c>
      <c r="CN16" s="501">
        <f xml:space="preserve"> Time!CN$101</f>
        <v>0</v>
      </c>
      <c r="CO16" s="501">
        <f xml:space="preserve"> Time!CO$101</f>
        <v>0</v>
      </c>
      <c r="CP16" s="501">
        <f xml:space="preserve"> Time!CP$101</f>
        <v>0</v>
      </c>
      <c r="CQ16" s="501">
        <f xml:space="preserve"> Time!CQ$101</f>
        <v>0</v>
      </c>
      <c r="CR16" s="501">
        <f xml:space="preserve"> Time!CR$101</f>
        <v>0</v>
      </c>
      <c r="CS16" s="501">
        <f xml:space="preserve"> Time!CS$101</f>
        <v>0</v>
      </c>
      <c r="CT16" s="501">
        <f xml:space="preserve"> Time!CT$101</f>
        <v>0</v>
      </c>
      <c r="CU16" s="501">
        <f xml:space="preserve"> Time!CU$101</f>
        <v>0</v>
      </c>
      <c r="CV16" s="501">
        <f xml:space="preserve"> Time!CV$101</f>
        <v>0</v>
      </c>
    </row>
    <row r="17" spans="1:100" outlineLevel="1" x14ac:dyDescent="0.2">
      <c r="E17" s="214" t="s">
        <v>595</v>
      </c>
      <c r="F17" s="214"/>
      <c r="G17" s="214" t="str">
        <f xml:space="preserve"> SMU</f>
        <v>$ 000s</v>
      </c>
      <c r="H17" s="12">
        <f xml:space="preserve"> SUM(J17:CV17)</f>
        <v>0</v>
      </c>
      <c r="J17" s="12">
        <f t="shared" ref="J17:AO17" si="1" xml:space="preserve"> ($F13 * $F14 - $F15) * J16</f>
        <v>0</v>
      </c>
      <c r="K17" s="12">
        <f t="shared" si="1"/>
        <v>0</v>
      </c>
      <c r="L17" s="12">
        <f t="shared" si="1"/>
        <v>0</v>
      </c>
      <c r="M17" s="12">
        <f t="shared" si="1"/>
        <v>0</v>
      </c>
      <c r="N17" s="12">
        <f t="shared" si="1"/>
        <v>0</v>
      </c>
      <c r="O17" s="12">
        <f t="shared" si="1"/>
        <v>0</v>
      </c>
      <c r="P17" s="12">
        <f t="shared" si="1"/>
        <v>0</v>
      </c>
      <c r="Q17" s="12">
        <f t="shared" si="1"/>
        <v>0</v>
      </c>
      <c r="R17" s="12">
        <f t="shared" si="1"/>
        <v>0</v>
      </c>
      <c r="S17" s="12">
        <f t="shared" si="1"/>
        <v>0</v>
      </c>
      <c r="T17" s="12">
        <f t="shared" si="1"/>
        <v>0</v>
      </c>
      <c r="U17" s="12">
        <f t="shared" si="1"/>
        <v>0</v>
      </c>
      <c r="V17" s="12">
        <f t="shared" si="1"/>
        <v>0</v>
      </c>
      <c r="W17" s="12">
        <f t="shared" si="1"/>
        <v>0</v>
      </c>
      <c r="X17" s="12">
        <f t="shared" si="1"/>
        <v>0</v>
      </c>
      <c r="Y17" s="12">
        <f t="shared" si="1"/>
        <v>0</v>
      </c>
      <c r="Z17" s="12">
        <f t="shared" si="1"/>
        <v>0</v>
      </c>
      <c r="AA17" s="12">
        <f t="shared" si="1"/>
        <v>0</v>
      </c>
      <c r="AB17" s="12">
        <f t="shared" si="1"/>
        <v>0</v>
      </c>
      <c r="AC17" s="12">
        <f t="shared" si="1"/>
        <v>0</v>
      </c>
      <c r="AD17" s="12">
        <f t="shared" si="1"/>
        <v>0</v>
      </c>
      <c r="AE17" s="12">
        <f t="shared" si="1"/>
        <v>0</v>
      </c>
      <c r="AF17" s="12">
        <f t="shared" si="1"/>
        <v>0</v>
      </c>
      <c r="AG17" s="12">
        <f t="shared" si="1"/>
        <v>0</v>
      </c>
      <c r="AH17" s="12">
        <f t="shared" si="1"/>
        <v>0</v>
      </c>
      <c r="AI17" s="12">
        <f t="shared" si="1"/>
        <v>0</v>
      </c>
      <c r="AJ17" s="12">
        <f t="shared" si="1"/>
        <v>0</v>
      </c>
      <c r="AK17" s="12">
        <f t="shared" si="1"/>
        <v>0</v>
      </c>
      <c r="AL17" s="12">
        <f t="shared" si="1"/>
        <v>0</v>
      </c>
      <c r="AM17" s="12">
        <f t="shared" si="1"/>
        <v>0</v>
      </c>
      <c r="AN17" s="12">
        <f t="shared" si="1"/>
        <v>0</v>
      </c>
      <c r="AO17" s="12">
        <f t="shared" si="1"/>
        <v>0</v>
      </c>
      <c r="AP17" s="12">
        <f t="shared" ref="AP17:BU17" si="2" xml:space="preserve"> ($F13 * $F14 - $F15) * AP16</f>
        <v>0</v>
      </c>
      <c r="AQ17" s="12">
        <f t="shared" si="2"/>
        <v>0</v>
      </c>
      <c r="AR17" s="12">
        <f t="shared" si="2"/>
        <v>0</v>
      </c>
      <c r="AS17" s="12">
        <f t="shared" si="2"/>
        <v>0</v>
      </c>
      <c r="AT17" s="12">
        <f t="shared" si="2"/>
        <v>0</v>
      </c>
      <c r="AU17" s="12">
        <f t="shared" si="2"/>
        <v>0</v>
      </c>
      <c r="AV17" s="12">
        <f t="shared" si="2"/>
        <v>0</v>
      </c>
      <c r="AW17" s="12">
        <f t="shared" si="2"/>
        <v>0</v>
      </c>
      <c r="AX17" s="12">
        <f t="shared" si="2"/>
        <v>0</v>
      </c>
      <c r="AY17" s="12">
        <f t="shared" si="2"/>
        <v>0</v>
      </c>
      <c r="AZ17" s="12">
        <f t="shared" si="2"/>
        <v>0</v>
      </c>
      <c r="BA17" s="12">
        <f t="shared" si="2"/>
        <v>0</v>
      </c>
      <c r="BB17" s="12">
        <f t="shared" si="2"/>
        <v>0</v>
      </c>
      <c r="BC17" s="12">
        <f t="shared" si="2"/>
        <v>0</v>
      </c>
      <c r="BD17" s="12">
        <f t="shared" si="2"/>
        <v>0</v>
      </c>
      <c r="BE17" s="12">
        <f t="shared" si="2"/>
        <v>0</v>
      </c>
      <c r="BF17" s="12">
        <f t="shared" si="2"/>
        <v>0</v>
      </c>
      <c r="BG17" s="12">
        <f t="shared" si="2"/>
        <v>0</v>
      </c>
      <c r="BH17" s="12">
        <f t="shared" si="2"/>
        <v>0</v>
      </c>
      <c r="BI17" s="12">
        <f t="shared" si="2"/>
        <v>0</v>
      </c>
      <c r="BJ17" s="12">
        <f t="shared" si="2"/>
        <v>0</v>
      </c>
      <c r="BK17" s="12">
        <f t="shared" si="2"/>
        <v>0</v>
      </c>
      <c r="BL17" s="12">
        <f t="shared" si="2"/>
        <v>0</v>
      </c>
      <c r="BM17" s="12">
        <f t="shared" si="2"/>
        <v>0</v>
      </c>
      <c r="BN17" s="12">
        <f t="shared" si="2"/>
        <v>0</v>
      </c>
      <c r="BO17" s="12">
        <f t="shared" si="2"/>
        <v>0</v>
      </c>
      <c r="BP17" s="12">
        <f t="shared" si="2"/>
        <v>0</v>
      </c>
      <c r="BQ17" s="12">
        <f t="shared" si="2"/>
        <v>0</v>
      </c>
      <c r="BR17" s="12">
        <f t="shared" si="2"/>
        <v>0</v>
      </c>
      <c r="BS17" s="12">
        <f t="shared" si="2"/>
        <v>0</v>
      </c>
      <c r="BT17" s="12">
        <f t="shared" si="2"/>
        <v>0</v>
      </c>
      <c r="BU17" s="12">
        <f t="shared" si="2"/>
        <v>0</v>
      </c>
      <c r="BV17" s="12">
        <f t="shared" ref="BV17:CV17" si="3" xml:space="preserve"> ($F13 * $F14 - $F15) * BV16</f>
        <v>0</v>
      </c>
      <c r="BW17" s="12">
        <f t="shared" si="3"/>
        <v>0</v>
      </c>
      <c r="BX17" s="12">
        <f t="shared" si="3"/>
        <v>0</v>
      </c>
      <c r="BY17" s="12">
        <f t="shared" si="3"/>
        <v>0</v>
      </c>
      <c r="BZ17" s="12">
        <f t="shared" si="3"/>
        <v>0</v>
      </c>
      <c r="CA17" s="12">
        <f t="shared" si="3"/>
        <v>0</v>
      </c>
      <c r="CB17" s="12">
        <f t="shared" si="3"/>
        <v>0</v>
      </c>
      <c r="CC17" s="12">
        <f t="shared" si="3"/>
        <v>0</v>
      </c>
      <c r="CD17" s="12">
        <f t="shared" si="3"/>
        <v>0</v>
      </c>
      <c r="CE17" s="12">
        <f t="shared" si="3"/>
        <v>0</v>
      </c>
      <c r="CF17" s="12">
        <f t="shared" si="3"/>
        <v>0</v>
      </c>
      <c r="CG17" s="12">
        <f t="shared" si="3"/>
        <v>0</v>
      </c>
      <c r="CH17" s="12">
        <f t="shared" si="3"/>
        <v>0</v>
      </c>
      <c r="CI17" s="12">
        <f t="shared" si="3"/>
        <v>0</v>
      </c>
      <c r="CJ17" s="12">
        <f t="shared" si="3"/>
        <v>0</v>
      </c>
      <c r="CK17" s="12">
        <f t="shared" si="3"/>
        <v>0</v>
      </c>
      <c r="CL17" s="12">
        <f t="shared" si="3"/>
        <v>0</v>
      </c>
      <c r="CM17" s="12">
        <f t="shared" si="3"/>
        <v>0</v>
      </c>
      <c r="CN17" s="12">
        <f t="shared" si="3"/>
        <v>0</v>
      </c>
      <c r="CO17" s="12">
        <f t="shared" si="3"/>
        <v>0</v>
      </c>
      <c r="CP17" s="12">
        <f t="shared" si="3"/>
        <v>0</v>
      </c>
      <c r="CQ17" s="12">
        <f t="shared" si="3"/>
        <v>0</v>
      </c>
      <c r="CR17" s="12">
        <f t="shared" si="3"/>
        <v>0</v>
      </c>
      <c r="CS17" s="12">
        <f t="shared" si="3"/>
        <v>0</v>
      </c>
      <c r="CT17" s="12">
        <f t="shared" si="3"/>
        <v>0</v>
      </c>
      <c r="CU17" s="12">
        <f t="shared" si="3"/>
        <v>0</v>
      </c>
      <c r="CV17" s="12">
        <f t="shared" si="3"/>
        <v>0</v>
      </c>
    </row>
    <row r="18" spans="1:100" outlineLevel="1" x14ac:dyDescent="0.2">
      <c r="E18" s="214"/>
      <c r="F18" s="214"/>
      <c r="G18" s="214"/>
    </row>
    <row r="19" spans="1:100" x14ac:dyDescent="0.2"/>
    <row r="20" spans="1:100" x14ac:dyDescent="0.2">
      <c r="A20" s="15" t="s">
        <v>596</v>
      </c>
    </row>
    <row r="21" spans="1:100" outlineLevel="1" x14ac:dyDescent="0.2"/>
    <row r="22" spans="1:100" outlineLevel="1" x14ac:dyDescent="0.2">
      <c r="E22" s="760" t="str">
        <f xml:space="preserve"> InpC!E$420</f>
        <v>Small negative value for IRR</v>
      </c>
      <c r="F22" s="760">
        <f xml:space="preserve"> InpC!F$420</f>
        <v>-1.0000000000000001E-9</v>
      </c>
      <c r="G22" s="760" t="str">
        <f xml:space="preserve"> InpC!G$420</f>
        <v>$ 000s</v>
      </c>
    </row>
    <row r="23" spans="1:100" s="125" customFormat="1" outlineLevel="1" x14ac:dyDescent="0.2">
      <c r="A23" s="85"/>
      <c r="B23" s="85"/>
      <c r="C23" s="86"/>
      <c r="D23" s="87"/>
      <c r="E23" s="186" t="str">
        <f xml:space="preserve"> Time!E$14</f>
        <v>First model column flag</v>
      </c>
      <c r="F23" s="186">
        <f xml:space="preserve"> Time!F$14</f>
        <v>0</v>
      </c>
      <c r="G23" s="186" t="str">
        <f xml:space="preserve"> Time!G$14</f>
        <v>flag</v>
      </c>
      <c r="H23" s="186">
        <f xml:space="preserve"> Time!H$14</f>
        <v>1</v>
      </c>
      <c r="I23" s="186">
        <f xml:space="preserve"> Time!I$14</f>
        <v>0</v>
      </c>
      <c r="J23" s="186">
        <f xml:space="preserve"> Time!J$14</f>
        <v>1</v>
      </c>
      <c r="K23" s="186">
        <f xml:space="preserve"> Time!K$14</f>
        <v>0</v>
      </c>
      <c r="L23" s="186">
        <f xml:space="preserve"> Time!L$14</f>
        <v>0</v>
      </c>
      <c r="M23" s="186">
        <f xml:space="preserve"> Time!M$14</f>
        <v>0</v>
      </c>
      <c r="N23" s="186">
        <f xml:space="preserve"> Time!N$14</f>
        <v>0</v>
      </c>
      <c r="O23" s="186">
        <f xml:space="preserve"> Time!O$14</f>
        <v>0</v>
      </c>
      <c r="P23" s="186">
        <f xml:space="preserve"> Time!P$14</f>
        <v>0</v>
      </c>
      <c r="Q23" s="186">
        <f xml:space="preserve"> Time!Q$14</f>
        <v>0</v>
      </c>
      <c r="R23" s="186">
        <f xml:space="preserve"> Time!R$14</f>
        <v>0</v>
      </c>
      <c r="S23" s="186">
        <f xml:space="preserve"> Time!S$14</f>
        <v>0</v>
      </c>
      <c r="T23" s="186">
        <f xml:space="preserve"> Time!T$14</f>
        <v>0</v>
      </c>
      <c r="U23" s="186">
        <f xml:space="preserve"> Time!U$14</f>
        <v>0</v>
      </c>
      <c r="V23" s="186">
        <f xml:space="preserve"> Time!V$14</f>
        <v>0</v>
      </c>
      <c r="W23" s="186">
        <f xml:space="preserve"> Time!W$14</f>
        <v>0</v>
      </c>
      <c r="X23" s="186">
        <f xml:space="preserve"> Time!X$14</f>
        <v>0</v>
      </c>
      <c r="Y23" s="186">
        <f xml:space="preserve"> Time!Y$14</f>
        <v>0</v>
      </c>
      <c r="Z23" s="186">
        <f xml:space="preserve"> Time!Z$14</f>
        <v>0</v>
      </c>
      <c r="AA23" s="186">
        <f xml:space="preserve"> Time!AA$14</f>
        <v>0</v>
      </c>
      <c r="AB23" s="186">
        <f xml:space="preserve"> Time!AB$14</f>
        <v>0</v>
      </c>
      <c r="AC23" s="186">
        <f xml:space="preserve"> Time!AC$14</f>
        <v>0</v>
      </c>
      <c r="AD23" s="186">
        <f xml:space="preserve"> Time!AD$14</f>
        <v>0</v>
      </c>
      <c r="AE23" s="186">
        <f xml:space="preserve"> Time!AE$14</f>
        <v>0</v>
      </c>
      <c r="AF23" s="186">
        <f xml:space="preserve"> Time!AF$14</f>
        <v>0</v>
      </c>
      <c r="AG23" s="186">
        <f xml:space="preserve"> Time!AG$14</f>
        <v>0</v>
      </c>
      <c r="AH23" s="186">
        <f xml:space="preserve"> Time!AH$14</f>
        <v>0</v>
      </c>
      <c r="AI23" s="186">
        <f xml:space="preserve"> Time!AI$14</f>
        <v>0</v>
      </c>
      <c r="AJ23" s="186">
        <f xml:space="preserve"> Time!AJ$14</f>
        <v>0</v>
      </c>
      <c r="AK23" s="186">
        <f xml:space="preserve"> Time!AK$14</f>
        <v>0</v>
      </c>
      <c r="AL23" s="186">
        <f xml:space="preserve"> Time!AL$14</f>
        <v>0</v>
      </c>
      <c r="AM23" s="186">
        <f xml:space="preserve"> Time!AM$14</f>
        <v>0</v>
      </c>
      <c r="AN23" s="186">
        <f xml:space="preserve"> Time!AN$14</f>
        <v>0</v>
      </c>
      <c r="AO23" s="186">
        <f xml:space="preserve"> Time!AO$14</f>
        <v>0</v>
      </c>
      <c r="AP23" s="186">
        <f xml:space="preserve"> Time!AP$14</f>
        <v>0</v>
      </c>
      <c r="AQ23" s="186">
        <f xml:space="preserve"> Time!AQ$14</f>
        <v>0</v>
      </c>
      <c r="AR23" s="186">
        <f xml:space="preserve"> Time!AR$14</f>
        <v>0</v>
      </c>
      <c r="AS23" s="186">
        <f xml:space="preserve"> Time!AS$14</f>
        <v>0</v>
      </c>
      <c r="AT23" s="186">
        <f xml:space="preserve"> Time!AT$14</f>
        <v>0</v>
      </c>
      <c r="AU23" s="186">
        <f xml:space="preserve"> Time!AU$14</f>
        <v>0</v>
      </c>
      <c r="AV23" s="186">
        <f xml:space="preserve"> Time!AV$14</f>
        <v>0</v>
      </c>
      <c r="AW23" s="186">
        <f xml:space="preserve"> Time!AW$14</f>
        <v>0</v>
      </c>
      <c r="AX23" s="186">
        <f xml:space="preserve"> Time!AX$14</f>
        <v>0</v>
      </c>
      <c r="AY23" s="186">
        <f xml:space="preserve"> Time!AY$14</f>
        <v>0</v>
      </c>
      <c r="AZ23" s="186">
        <f xml:space="preserve"> Time!AZ$14</f>
        <v>0</v>
      </c>
      <c r="BA23" s="186">
        <f xml:space="preserve"> Time!BA$14</f>
        <v>0</v>
      </c>
      <c r="BB23" s="186">
        <f xml:space="preserve"> Time!BB$14</f>
        <v>0</v>
      </c>
      <c r="BC23" s="186">
        <f xml:space="preserve"> Time!BC$14</f>
        <v>0</v>
      </c>
      <c r="BD23" s="186">
        <f xml:space="preserve"> Time!BD$14</f>
        <v>0</v>
      </c>
      <c r="BE23" s="186">
        <f xml:space="preserve"> Time!BE$14</f>
        <v>0</v>
      </c>
      <c r="BF23" s="186">
        <f xml:space="preserve"> Time!BF$14</f>
        <v>0</v>
      </c>
      <c r="BG23" s="186">
        <f xml:space="preserve"> Time!BG$14</f>
        <v>0</v>
      </c>
      <c r="BH23" s="186">
        <f xml:space="preserve"> Time!BH$14</f>
        <v>0</v>
      </c>
      <c r="BI23" s="186">
        <f xml:space="preserve"> Time!BI$14</f>
        <v>0</v>
      </c>
      <c r="BJ23" s="186">
        <f xml:space="preserve"> Time!BJ$14</f>
        <v>0</v>
      </c>
      <c r="BK23" s="186">
        <f xml:space="preserve"> Time!BK$14</f>
        <v>0</v>
      </c>
      <c r="BL23" s="186">
        <f xml:space="preserve"> Time!BL$14</f>
        <v>0</v>
      </c>
      <c r="BM23" s="186">
        <f xml:space="preserve"> Time!BM$14</f>
        <v>0</v>
      </c>
      <c r="BN23" s="186">
        <f xml:space="preserve"> Time!BN$14</f>
        <v>0</v>
      </c>
      <c r="BO23" s="186">
        <f xml:space="preserve"> Time!BO$14</f>
        <v>0</v>
      </c>
      <c r="BP23" s="186">
        <f xml:space="preserve"> Time!BP$14</f>
        <v>0</v>
      </c>
      <c r="BQ23" s="186">
        <f xml:space="preserve"> Time!BQ$14</f>
        <v>0</v>
      </c>
      <c r="BR23" s="186">
        <f xml:space="preserve"> Time!BR$14</f>
        <v>0</v>
      </c>
      <c r="BS23" s="186">
        <f xml:space="preserve"> Time!BS$14</f>
        <v>0</v>
      </c>
      <c r="BT23" s="186">
        <f xml:space="preserve"> Time!BT$14</f>
        <v>0</v>
      </c>
      <c r="BU23" s="186">
        <f xml:space="preserve"> Time!BU$14</f>
        <v>0</v>
      </c>
      <c r="BV23" s="186">
        <f xml:space="preserve"> Time!BV$14</f>
        <v>0</v>
      </c>
      <c r="BW23" s="186">
        <f xml:space="preserve"> Time!BW$14</f>
        <v>0</v>
      </c>
      <c r="BX23" s="186">
        <f xml:space="preserve"> Time!BX$14</f>
        <v>0</v>
      </c>
      <c r="BY23" s="186">
        <f xml:space="preserve"> Time!BY$14</f>
        <v>0</v>
      </c>
      <c r="BZ23" s="186">
        <f xml:space="preserve"> Time!BZ$14</f>
        <v>0</v>
      </c>
      <c r="CA23" s="186">
        <f xml:space="preserve"> Time!CA$14</f>
        <v>0</v>
      </c>
      <c r="CB23" s="186">
        <f xml:space="preserve"> Time!CB$14</f>
        <v>0</v>
      </c>
      <c r="CC23" s="186">
        <f xml:space="preserve"> Time!CC$14</f>
        <v>0</v>
      </c>
      <c r="CD23" s="186">
        <f xml:space="preserve"> Time!CD$14</f>
        <v>0</v>
      </c>
      <c r="CE23" s="186">
        <f xml:space="preserve"> Time!CE$14</f>
        <v>0</v>
      </c>
      <c r="CF23" s="186">
        <f xml:space="preserve"> Time!CF$14</f>
        <v>0</v>
      </c>
      <c r="CG23" s="186">
        <f xml:space="preserve"> Time!CG$14</f>
        <v>0</v>
      </c>
      <c r="CH23" s="186">
        <f xml:space="preserve"> Time!CH$14</f>
        <v>0</v>
      </c>
      <c r="CI23" s="186">
        <f xml:space="preserve"> Time!CI$14</f>
        <v>0</v>
      </c>
      <c r="CJ23" s="186">
        <f xml:space="preserve"> Time!CJ$14</f>
        <v>0</v>
      </c>
      <c r="CK23" s="186">
        <f xml:space="preserve"> Time!CK$14</f>
        <v>0</v>
      </c>
      <c r="CL23" s="186">
        <f xml:space="preserve"> Time!CL$14</f>
        <v>0</v>
      </c>
      <c r="CM23" s="186">
        <f xml:space="preserve"> Time!CM$14</f>
        <v>0</v>
      </c>
      <c r="CN23" s="186">
        <f xml:space="preserve"> Time!CN$14</f>
        <v>0</v>
      </c>
      <c r="CO23" s="186">
        <f xml:space="preserve"> Time!CO$14</f>
        <v>0</v>
      </c>
      <c r="CP23" s="186">
        <f xml:space="preserve"> Time!CP$14</f>
        <v>0</v>
      </c>
      <c r="CQ23" s="186">
        <f xml:space="preserve"> Time!CQ$14</f>
        <v>0</v>
      </c>
      <c r="CR23" s="186">
        <f xml:space="preserve"> Time!CR$14</f>
        <v>0</v>
      </c>
      <c r="CS23" s="186">
        <f xml:space="preserve"> Time!CS$14</f>
        <v>0</v>
      </c>
      <c r="CT23" s="186">
        <f xml:space="preserve"> Time!CT$14</f>
        <v>0</v>
      </c>
      <c r="CU23" s="186">
        <f xml:space="preserve"> Time!CU$14</f>
        <v>0</v>
      </c>
      <c r="CV23" s="186">
        <f xml:space="preserve"> Time!CV$14</f>
        <v>0</v>
      </c>
    </row>
    <row r="24" spans="1:100" s="80" customFormat="1" outlineLevel="1" x14ac:dyDescent="0.2">
      <c r="A24" s="542"/>
      <c r="B24" s="542"/>
      <c r="C24" s="543"/>
      <c r="D24" s="544"/>
      <c r="E24" s="545" t="str">
        <f xml:space="preserve"> ConCost!E$93</f>
        <v>Construction costs NEG for IRR</v>
      </c>
      <c r="F24" s="545">
        <f xml:space="preserve"> ConCost!F$93</f>
        <v>0</v>
      </c>
      <c r="G24" s="545" t="str">
        <f xml:space="preserve"> ConCost!G$93</f>
        <v>$ 000s</v>
      </c>
      <c r="H24" s="545">
        <f xml:space="preserve"> ConCost!H$93</f>
        <v>-309322.30771999987</v>
      </c>
      <c r="I24" s="545">
        <f xml:space="preserve"> ConCost!I$93</f>
        <v>0</v>
      </c>
      <c r="J24" s="545">
        <f xml:space="preserve"> ConCost!J$93</f>
        <v>0</v>
      </c>
      <c r="K24" s="545">
        <f xml:space="preserve"> ConCost!K$93</f>
        <v>0</v>
      </c>
      <c r="L24" s="545">
        <f xml:space="preserve"> ConCost!L$93</f>
        <v>0</v>
      </c>
      <c r="M24" s="545">
        <f xml:space="preserve"> ConCost!M$93</f>
        <v>-8300</v>
      </c>
      <c r="N24" s="545">
        <f xml:space="preserve"> ConCost!N$93</f>
        <v>-11577.781066153846</v>
      </c>
      <c r="O24" s="545">
        <f xml:space="preserve"> ConCost!O$93</f>
        <v>-11577.781066153846</v>
      </c>
      <c r="P24" s="545">
        <f xml:space="preserve"> ConCost!P$93</f>
        <v>-11577.781066153846</v>
      </c>
      <c r="Q24" s="545">
        <f xml:space="preserve"> ConCost!Q$93</f>
        <v>-11577.781066153846</v>
      </c>
      <c r="R24" s="545">
        <f xml:space="preserve"> ConCost!R$93</f>
        <v>-11577.781066153846</v>
      </c>
      <c r="S24" s="545">
        <f xml:space="preserve"> ConCost!S$93</f>
        <v>-11577.781066153846</v>
      </c>
      <c r="T24" s="545">
        <f xml:space="preserve"> ConCost!T$93</f>
        <v>-11577.781066153846</v>
      </c>
      <c r="U24" s="545">
        <f xml:space="preserve"> ConCost!U$93</f>
        <v>-11577.781066153846</v>
      </c>
      <c r="V24" s="545">
        <f xml:space="preserve"> ConCost!V$93</f>
        <v>-11577.781066153846</v>
      </c>
      <c r="W24" s="545">
        <f xml:space="preserve"> ConCost!W$93</f>
        <v>-11577.781066153846</v>
      </c>
      <c r="X24" s="545">
        <f xml:space="preserve"> ConCost!X$93</f>
        <v>-11577.781066153846</v>
      </c>
      <c r="Y24" s="545">
        <f xml:space="preserve"> ConCost!Y$93</f>
        <v>-11577.781066153846</v>
      </c>
      <c r="Z24" s="545">
        <f xml:space="preserve"> ConCost!Z$93</f>
        <v>-11577.781066153846</v>
      </c>
      <c r="AA24" s="545">
        <f xml:space="preserve"> ConCost!AA$93</f>
        <v>-11577.781066153846</v>
      </c>
      <c r="AB24" s="545">
        <f xml:space="preserve"> ConCost!AB$93</f>
        <v>-11577.781066153846</v>
      </c>
      <c r="AC24" s="545">
        <f xml:space="preserve"> ConCost!AC$93</f>
        <v>-11577.781066153846</v>
      </c>
      <c r="AD24" s="545">
        <f xml:space="preserve"> ConCost!AD$93</f>
        <v>-11577.781066153846</v>
      </c>
      <c r="AE24" s="545">
        <f xml:space="preserve"> ConCost!AE$93</f>
        <v>-11577.781066153846</v>
      </c>
      <c r="AF24" s="545">
        <f xml:space="preserve"> ConCost!AF$93</f>
        <v>-11577.781066153846</v>
      </c>
      <c r="AG24" s="545">
        <f xml:space="preserve"> ConCost!AG$93</f>
        <v>-11577.781066153846</v>
      </c>
      <c r="AH24" s="545">
        <f xml:space="preserve"> ConCost!AH$93</f>
        <v>-11577.781066153846</v>
      </c>
      <c r="AI24" s="545">
        <f xml:space="preserve"> ConCost!AI$93</f>
        <v>-11577.781066153846</v>
      </c>
      <c r="AJ24" s="545">
        <f xml:space="preserve"> ConCost!AJ$93</f>
        <v>-11577.781066153846</v>
      </c>
      <c r="AK24" s="545">
        <f xml:space="preserve"> ConCost!AK$93</f>
        <v>-11577.781066153846</v>
      </c>
      <c r="AL24" s="545">
        <f xml:space="preserve"> ConCost!AL$93</f>
        <v>-11577.781066153846</v>
      </c>
      <c r="AM24" s="545">
        <f xml:space="preserve"> ConCost!AM$93</f>
        <v>-11577.781066153846</v>
      </c>
      <c r="AN24" s="545">
        <f xml:space="preserve"> ConCost!AN$93</f>
        <v>0</v>
      </c>
      <c r="AO24" s="545">
        <f xml:space="preserve"> ConCost!AO$93</f>
        <v>0</v>
      </c>
      <c r="AP24" s="545">
        <f xml:space="preserve"> ConCost!AP$93</f>
        <v>0</v>
      </c>
      <c r="AQ24" s="545">
        <f xml:space="preserve"> ConCost!AQ$93</f>
        <v>0</v>
      </c>
      <c r="AR24" s="545">
        <f xml:space="preserve"> ConCost!AR$93</f>
        <v>0</v>
      </c>
      <c r="AS24" s="545">
        <f xml:space="preserve"> ConCost!AS$93</f>
        <v>0</v>
      </c>
      <c r="AT24" s="545">
        <f xml:space="preserve"> ConCost!AT$93</f>
        <v>0</v>
      </c>
      <c r="AU24" s="545">
        <f xml:space="preserve"> ConCost!AU$93</f>
        <v>0</v>
      </c>
      <c r="AV24" s="545">
        <f xml:space="preserve"> ConCost!AV$93</f>
        <v>0</v>
      </c>
      <c r="AW24" s="545">
        <f xml:space="preserve"> ConCost!AW$93</f>
        <v>0</v>
      </c>
      <c r="AX24" s="545">
        <f xml:space="preserve"> ConCost!AX$93</f>
        <v>0</v>
      </c>
      <c r="AY24" s="545">
        <f xml:space="preserve"> ConCost!AY$93</f>
        <v>0</v>
      </c>
      <c r="AZ24" s="545">
        <f xml:space="preserve"> ConCost!AZ$93</f>
        <v>0</v>
      </c>
      <c r="BA24" s="545">
        <f xml:space="preserve"> ConCost!BA$93</f>
        <v>0</v>
      </c>
      <c r="BB24" s="545">
        <f xml:space="preserve"> ConCost!BB$93</f>
        <v>0</v>
      </c>
      <c r="BC24" s="545">
        <f xml:space="preserve"> ConCost!BC$93</f>
        <v>0</v>
      </c>
      <c r="BD24" s="545">
        <f xml:space="preserve"> ConCost!BD$93</f>
        <v>0</v>
      </c>
      <c r="BE24" s="545">
        <f xml:space="preserve"> ConCost!BE$93</f>
        <v>0</v>
      </c>
      <c r="BF24" s="545">
        <f xml:space="preserve"> ConCost!BF$93</f>
        <v>0</v>
      </c>
      <c r="BG24" s="545">
        <f xml:space="preserve"> ConCost!BG$93</f>
        <v>0</v>
      </c>
      <c r="BH24" s="545">
        <f xml:space="preserve"> ConCost!BH$93</f>
        <v>0</v>
      </c>
      <c r="BI24" s="545">
        <f xml:space="preserve"> ConCost!BI$93</f>
        <v>0</v>
      </c>
      <c r="BJ24" s="545">
        <f xml:space="preserve"> ConCost!BJ$93</f>
        <v>0</v>
      </c>
      <c r="BK24" s="545">
        <f xml:space="preserve"> ConCost!BK$93</f>
        <v>0</v>
      </c>
      <c r="BL24" s="545">
        <f xml:space="preserve"> ConCost!BL$93</f>
        <v>0</v>
      </c>
      <c r="BM24" s="545">
        <f xml:space="preserve"> ConCost!BM$93</f>
        <v>0</v>
      </c>
      <c r="BN24" s="545">
        <f xml:space="preserve"> ConCost!BN$93</f>
        <v>0</v>
      </c>
      <c r="BO24" s="545">
        <f xml:space="preserve"> ConCost!BO$93</f>
        <v>0</v>
      </c>
      <c r="BP24" s="545">
        <f xml:space="preserve"> ConCost!BP$93</f>
        <v>0</v>
      </c>
      <c r="BQ24" s="545">
        <f xml:space="preserve"> ConCost!BQ$93</f>
        <v>0</v>
      </c>
      <c r="BR24" s="545">
        <f xml:space="preserve"> ConCost!BR$93</f>
        <v>0</v>
      </c>
      <c r="BS24" s="545">
        <f xml:space="preserve"> ConCost!BS$93</f>
        <v>0</v>
      </c>
      <c r="BT24" s="545">
        <f xml:space="preserve"> ConCost!BT$93</f>
        <v>0</v>
      </c>
      <c r="BU24" s="545">
        <f xml:space="preserve"> ConCost!BU$93</f>
        <v>0</v>
      </c>
      <c r="BV24" s="545">
        <f xml:space="preserve"> ConCost!BV$93</f>
        <v>0</v>
      </c>
      <c r="BW24" s="545">
        <f xml:space="preserve"> ConCost!BW$93</f>
        <v>0</v>
      </c>
      <c r="BX24" s="545">
        <f xml:space="preserve"> ConCost!BX$93</f>
        <v>0</v>
      </c>
      <c r="BY24" s="545">
        <f xml:space="preserve"> ConCost!BY$93</f>
        <v>0</v>
      </c>
      <c r="BZ24" s="545">
        <f xml:space="preserve"> ConCost!BZ$93</f>
        <v>0</v>
      </c>
      <c r="CA24" s="545">
        <f xml:space="preserve"> ConCost!CA$93</f>
        <v>0</v>
      </c>
      <c r="CB24" s="545">
        <f xml:space="preserve"> ConCost!CB$93</f>
        <v>0</v>
      </c>
      <c r="CC24" s="545">
        <f xml:space="preserve"> ConCost!CC$93</f>
        <v>0</v>
      </c>
      <c r="CD24" s="545">
        <f xml:space="preserve"> ConCost!CD$93</f>
        <v>0</v>
      </c>
      <c r="CE24" s="545">
        <f xml:space="preserve"> ConCost!CE$93</f>
        <v>0</v>
      </c>
      <c r="CF24" s="545">
        <f xml:space="preserve"> ConCost!CF$93</f>
        <v>0</v>
      </c>
      <c r="CG24" s="545">
        <f xml:space="preserve"> ConCost!CG$93</f>
        <v>0</v>
      </c>
      <c r="CH24" s="545">
        <f xml:space="preserve"> ConCost!CH$93</f>
        <v>0</v>
      </c>
      <c r="CI24" s="545">
        <f xml:space="preserve"> ConCost!CI$93</f>
        <v>0</v>
      </c>
      <c r="CJ24" s="545">
        <f xml:space="preserve"> ConCost!CJ$93</f>
        <v>0</v>
      </c>
      <c r="CK24" s="545">
        <f xml:space="preserve"> ConCost!CK$93</f>
        <v>0</v>
      </c>
      <c r="CL24" s="545">
        <f xml:space="preserve"> ConCost!CL$93</f>
        <v>0</v>
      </c>
      <c r="CM24" s="545">
        <f xml:space="preserve"> ConCost!CM$93</f>
        <v>0</v>
      </c>
      <c r="CN24" s="545">
        <f xml:space="preserve"> ConCost!CN$93</f>
        <v>0</v>
      </c>
      <c r="CO24" s="545">
        <f xml:space="preserve"> ConCost!CO$93</f>
        <v>0</v>
      </c>
      <c r="CP24" s="545">
        <f xml:space="preserve"> ConCost!CP$93</f>
        <v>0</v>
      </c>
      <c r="CQ24" s="545">
        <f xml:space="preserve"> ConCost!CQ$93</f>
        <v>0</v>
      </c>
      <c r="CR24" s="545">
        <f xml:space="preserve"> ConCost!CR$93</f>
        <v>0</v>
      </c>
      <c r="CS24" s="545">
        <f xml:space="preserve"> ConCost!CS$93</f>
        <v>0</v>
      </c>
      <c r="CT24" s="545">
        <f xml:space="preserve"> ConCost!CT$93</f>
        <v>0</v>
      </c>
      <c r="CU24" s="545">
        <f xml:space="preserve"> ConCost!CU$93</f>
        <v>0</v>
      </c>
      <c r="CV24" s="545">
        <f xml:space="preserve"> ConCost!CV$93</f>
        <v>0</v>
      </c>
    </row>
    <row r="25" spans="1:100" s="80" customFormat="1" outlineLevel="1" x14ac:dyDescent="0.2">
      <c r="A25" s="542"/>
      <c r="B25" s="542"/>
      <c r="C25" s="543"/>
      <c r="D25" s="544"/>
      <c r="E25" s="845" t="s">
        <v>598</v>
      </c>
      <c r="F25" s="845"/>
      <c r="G25" s="845" t="str">
        <f xml:space="preserve"> SMU</f>
        <v>$ 000s</v>
      </c>
      <c r="H25" s="845">
        <f xml:space="preserve"> SUM(J25:CV25)</f>
        <v>-309322.30772000086</v>
      </c>
      <c r="I25" s="846"/>
      <c r="J25" s="845">
        <f t="shared" ref="J25:AO25" si="4" xml:space="preserve"> IF(J23 = 1, $F22, J24)</f>
        <v>-1.0000000000000001E-9</v>
      </c>
      <c r="K25" s="845">
        <f t="shared" si="4"/>
        <v>0</v>
      </c>
      <c r="L25" s="845">
        <f t="shared" si="4"/>
        <v>0</v>
      </c>
      <c r="M25" s="845">
        <f t="shared" si="4"/>
        <v>-8300</v>
      </c>
      <c r="N25" s="845">
        <f t="shared" si="4"/>
        <v>-11577.781066153846</v>
      </c>
      <c r="O25" s="845">
        <f t="shared" si="4"/>
        <v>-11577.781066153846</v>
      </c>
      <c r="P25" s="845">
        <f t="shared" si="4"/>
        <v>-11577.781066153846</v>
      </c>
      <c r="Q25" s="845">
        <f t="shared" si="4"/>
        <v>-11577.781066153846</v>
      </c>
      <c r="R25" s="845">
        <f t="shared" si="4"/>
        <v>-11577.781066153846</v>
      </c>
      <c r="S25" s="845">
        <f t="shared" si="4"/>
        <v>-11577.781066153846</v>
      </c>
      <c r="T25" s="845">
        <f t="shared" si="4"/>
        <v>-11577.781066153846</v>
      </c>
      <c r="U25" s="845">
        <f t="shared" si="4"/>
        <v>-11577.781066153846</v>
      </c>
      <c r="V25" s="845">
        <f t="shared" si="4"/>
        <v>-11577.781066153846</v>
      </c>
      <c r="W25" s="845">
        <f t="shared" si="4"/>
        <v>-11577.781066153846</v>
      </c>
      <c r="X25" s="845">
        <f t="shared" si="4"/>
        <v>-11577.781066153846</v>
      </c>
      <c r="Y25" s="845">
        <f t="shared" si="4"/>
        <v>-11577.781066153846</v>
      </c>
      <c r="Z25" s="845">
        <f t="shared" si="4"/>
        <v>-11577.781066153846</v>
      </c>
      <c r="AA25" s="845">
        <f t="shared" si="4"/>
        <v>-11577.781066153846</v>
      </c>
      <c r="AB25" s="845">
        <f t="shared" si="4"/>
        <v>-11577.781066153846</v>
      </c>
      <c r="AC25" s="845">
        <f t="shared" si="4"/>
        <v>-11577.781066153846</v>
      </c>
      <c r="AD25" s="845">
        <f t="shared" si="4"/>
        <v>-11577.781066153846</v>
      </c>
      <c r="AE25" s="845">
        <f t="shared" si="4"/>
        <v>-11577.781066153846</v>
      </c>
      <c r="AF25" s="845">
        <f t="shared" si="4"/>
        <v>-11577.781066153846</v>
      </c>
      <c r="AG25" s="845">
        <f t="shared" si="4"/>
        <v>-11577.781066153846</v>
      </c>
      <c r="AH25" s="845">
        <f t="shared" si="4"/>
        <v>-11577.781066153846</v>
      </c>
      <c r="AI25" s="845">
        <f t="shared" si="4"/>
        <v>-11577.781066153846</v>
      </c>
      <c r="AJ25" s="845">
        <f t="shared" si="4"/>
        <v>-11577.781066153846</v>
      </c>
      <c r="AK25" s="845">
        <f t="shared" si="4"/>
        <v>-11577.781066153846</v>
      </c>
      <c r="AL25" s="845">
        <f t="shared" si="4"/>
        <v>-11577.781066153846</v>
      </c>
      <c r="AM25" s="845">
        <f t="shared" si="4"/>
        <v>-11577.781066153846</v>
      </c>
      <c r="AN25" s="845">
        <f t="shared" si="4"/>
        <v>0</v>
      </c>
      <c r="AO25" s="845">
        <f t="shared" si="4"/>
        <v>0</v>
      </c>
      <c r="AP25" s="845">
        <f t="shared" ref="AP25:BU25" si="5" xml:space="preserve"> IF(AP23 = 1, $F22, AP24)</f>
        <v>0</v>
      </c>
      <c r="AQ25" s="845">
        <f t="shared" si="5"/>
        <v>0</v>
      </c>
      <c r="AR25" s="845">
        <f t="shared" si="5"/>
        <v>0</v>
      </c>
      <c r="AS25" s="845">
        <f t="shared" si="5"/>
        <v>0</v>
      </c>
      <c r="AT25" s="845">
        <f t="shared" si="5"/>
        <v>0</v>
      </c>
      <c r="AU25" s="845">
        <f t="shared" si="5"/>
        <v>0</v>
      </c>
      <c r="AV25" s="845">
        <f t="shared" si="5"/>
        <v>0</v>
      </c>
      <c r="AW25" s="845">
        <f t="shared" si="5"/>
        <v>0</v>
      </c>
      <c r="AX25" s="845">
        <f t="shared" si="5"/>
        <v>0</v>
      </c>
      <c r="AY25" s="845">
        <f t="shared" si="5"/>
        <v>0</v>
      </c>
      <c r="AZ25" s="845">
        <f t="shared" si="5"/>
        <v>0</v>
      </c>
      <c r="BA25" s="845">
        <f t="shared" si="5"/>
        <v>0</v>
      </c>
      <c r="BB25" s="845">
        <f t="shared" si="5"/>
        <v>0</v>
      </c>
      <c r="BC25" s="845">
        <f t="shared" si="5"/>
        <v>0</v>
      </c>
      <c r="BD25" s="845">
        <f t="shared" si="5"/>
        <v>0</v>
      </c>
      <c r="BE25" s="845">
        <f t="shared" si="5"/>
        <v>0</v>
      </c>
      <c r="BF25" s="845">
        <f t="shared" si="5"/>
        <v>0</v>
      </c>
      <c r="BG25" s="845">
        <f t="shared" si="5"/>
        <v>0</v>
      </c>
      <c r="BH25" s="845">
        <f t="shared" si="5"/>
        <v>0</v>
      </c>
      <c r="BI25" s="845">
        <f t="shared" si="5"/>
        <v>0</v>
      </c>
      <c r="BJ25" s="845">
        <f t="shared" si="5"/>
        <v>0</v>
      </c>
      <c r="BK25" s="845">
        <f t="shared" si="5"/>
        <v>0</v>
      </c>
      <c r="BL25" s="845">
        <f t="shared" si="5"/>
        <v>0</v>
      </c>
      <c r="BM25" s="845">
        <f t="shared" si="5"/>
        <v>0</v>
      </c>
      <c r="BN25" s="845">
        <f t="shared" si="5"/>
        <v>0</v>
      </c>
      <c r="BO25" s="845">
        <f t="shared" si="5"/>
        <v>0</v>
      </c>
      <c r="BP25" s="845">
        <f t="shared" si="5"/>
        <v>0</v>
      </c>
      <c r="BQ25" s="845">
        <f t="shared" si="5"/>
        <v>0</v>
      </c>
      <c r="BR25" s="845">
        <f t="shared" si="5"/>
        <v>0</v>
      </c>
      <c r="BS25" s="845">
        <f t="shared" si="5"/>
        <v>0</v>
      </c>
      <c r="BT25" s="845">
        <f t="shared" si="5"/>
        <v>0</v>
      </c>
      <c r="BU25" s="845">
        <f t="shared" si="5"/>
        <v>0</v>
      </c>
      <c r="BV25" s="845">
        <f t="shared" ref="BV25:CV25" si="6" xml:space="preserve"> IF(BV23 = 1, $F22, BV24)</f>
        <v>0</v>
      </c>
      <c r="BW25" s="845">
        <f t="shared" si="6"/>
        <v>0</v>
      </c>
      <c r="BX25" s="845">
        <f t="shared" si="6"/>
        <v>0</v>
      </c>
      <c r="BY25" s="845">
        <f t="shared" si="6"/>
        <v>0</v>
      </c>
      <c r="BZ25" s="845">
        <f t="shared" si="6"/>
        <v>0</v>
      </c>
      <c r="CA25" s="845">
        <f t="shared" si="6"/>
        <v>0</v>
      </c>
      <c r="CB25" s="845">
        <f t="shared" si="6"/>
        <v>0</v>
      </c>
      <c r="CC25" s="845">
        <f t="shared" si="6"/>
        <v>0</v>
      </c>
      <c r="CD25" s="845">
        <f t="shared" si="6"/>
        <v>0</v>
      </c>
      <c r="CE25" s="845">
        <f t="shared" si="6"/>
        <v>0</v>
      </c>
      <c r="CF25" s="845">
        <f t="shared" si="6"/>
        <v>0</v>
      </c>
      <c r="CG25" s="845">
        <f t="shared" si="6"/>
        <v>0</v>
      </c>
      <c r="CH25" s="845">
        <f t="shared" si="6"/>
        <v>0</v>
      </c>
      <c r="CI25" s="845">
        <f t="shared" si="6"/>
        <v>0</v>
      </c>
      <c r="CJ25" s="845">
        <f t="shared" si="6"/>
        <v>0</v>
      </c>
      <c r="CK25" s="845">
        <f t="shared" si="6"/>
        <v>0</v>
      </c>
      <c r="CL25" s="845">
        <f t="shared" si="6"/>
        <v>0</v>
      </c>
      <c r="CM25" s="845">
        <f t="shared" si="6"/>
        <v>0</v>
      </c>
      <c r="CN25" s="845">
        <f t="shared" si="6"/>
        <v>0</v>
      </c>
      <c r="CO25" s="845">
        <f t="shared" si="6"/>
        <v>0</v>
      </c>
      <c r="CP25" s="845">
        <f t="shared" si="6"/>
        <v>0</v>
      </c>
      <c r="CQ25" s="845">
        <f t="shared" si="6"/>
        <v>0</v>
      </c>
      <c r="CR25" s="845">
        <f t="shared" si="6"/>
        <v>0</v>
      </c>
      <c r="CS25" s="845">
        <f t="shared" si="6"/>
        <v>0</v>
      </c>
      <c r="CT25" s="845">
        <f t="shared" si="6"/>
        <v>0</v>
      </c>
      <c r="CU25" s="845">
        <f t="shared" si="6"/>
        <v>0</v>
      </c>
      <c r="CV25" s="845">
        <f t="shared" si="6"/>
        <v>0</v>
      </c>
    </row>
    <row r="26" spans="1:100" outlineLevel="1" x14ac:dyDescent="0.2"/>
    <row r="27" spans="1:100" s="125" customFormat="1" outlineLevel="1" x14ac:dyDescent="0.2">
      <c r="A27" s="85"/>
      <c r="B27" s="85"/>
      <c r="C27" s="86"/>
      <c r="D27" s="87"/>
      <c r="E27" s="186" t="str">
        <f xml:space="preserve"> 'FS Semi'!E$47</f>
        <v>Operating cashflow</v>
      </c>
      <c r="F27" s="186">
        <f xml:space="preserve"> 'FS Semi'!F$47</f>
        <v>0</v>
      </c>
      <c r="G27" s="186" t="str">
        <f xml:space="preserve"> 'FS Semi'!G$47</f>
        <v>$ 000s</v>
      </c>
      <c r="H27" s="186">
        <f xml:space="preserve"> 'FS Semi'!H$47</f>
        <v>599589.31182003266</v>
      </c>
      <c r="I27" s="186">
        <f xml:space="preserve"> 'FS Semi'!I$47</f>
        <v>0</v>
      </c>
      <c r="J27" s="186">
        <f xml:space="preserve"> 'FS Semi'!J$47</f>
        <v>0</v>
      </c>
      <c r="K27" s="186">
        <f xml:space="preserve"> 'FS Semi'!K$47</f>
        <v>0</v>
      </c>
      <c r="L27" s="186">
        <f xml:space="preserve"> 'FS Semi'!L$47</f>
        <v>0</v>
      </c>
      <c r="M27" s="186">
        <f xml:space="preserve"> 'FS Semi'!M$47</f>
        <v>0</v>
      </c>
      <c r="N27" s="186">
        <f xml:space="preserve"> 'FS Semi'!N$47</f>
        <v>11940</v>
      </c>
      <c r="O27" s="186">
        <f xml:space="preserve"> 'FS Semi'!O$47</f>
        <v>17761.339089615478</v>
      </c>
      <c r="P27" s="186">
        <f xml:space="preserve"> 'FS Semi'!P$47</f>
        <v>15707.408907742485</v>
      </c>
      <c r="Q27" s="186">
        <f xml:space="preserve"> 'FS Semi'!Q$47</f>
        <v>15745.355493650644</v>
      </c>
      <c r="R27" s="186">
        <f xml:space="preserve"> 'FS Semi'!R$47</f>
        <v>15588.868818823899</v>
      </c>
      <c r="S27" s="186">
        <f xml:space="preserve"> 'FS Semi'!S$47</f>
        <v>15624.695450132087</v>
      </c>
      <c r="T27" s="186">
        <f xml:space="preserve"> 'FS Semi'!T$47</f>
        <v>15468.805976611518</v>
      </c>
      <c r="U27" s="186">
        <f xml:space="preserve"> 'FS Semi'!U$47</f>
        <v>15502.475660941096</v>
      </c>
      <c r="V27" s="186">
        <f xml:space="preserve"> 'FS Semi'!V$47</f>
        <v>15368.238112158891</v>
      </c>
      <c r="W27" s="186">
        <f xml:space="preserve"> 'FS Semi'!W$47</f>
        <v>15357.612782223849</v>
      </c>
      <c r="X27" s="186">
        <f xml:space="preserve"> 'FS Semi'!X$47</f>
        <v>15223.981670526602</v>
      </c>
      <c r="Y27" s="186">
        <f xml:space="preserve"> 'FS Semi'!Y$47</f>
        <v>15253.223441594726</v>
      </c>
      <c r="Z27" s="186">
        <f xml:space="preserve"> 'FS Semi'!Z$47</f>
        <v>15099.15338854069</v>
      </c>
      <c r="AA27" s="186">
        <f xml:space="preserve"> 'FS Semi'!AA$47</f>
        <v>15126.122633909146</v>
      </c>
      <c r="AB27" s="186">
        <f xml:space="preserve"> 'FS Semi'!AB$47</f>
        <v>14972.668690608356</v>
      </c>
      <c r="AC27" s="186">
        <f xml:space="preserve"> 'FS Semi'!AC$47</f>
        <v>14997.325298446642</v>
      </c>
      <c r="AD27" s="186">
        <f xml:space="preserve"> 'FS Semi'!AD$47</f>
        <v>14864.853133923503</v>
      </c>
      <c r="AE27" s="186">
        <f xml:space="preserve"> 'FS Semi'!AE$47</f>
        <v>14846.434846161274</v>
      </c>
      <c r="AF27" s="186">
        <f xml:space="preserve"> 'FS Semi'!AF$47</f>
        <v>14714.588918503887</v>
      </c>
      <c r="AG27" s="186">
        <f xml:space="preserve"> 'FS Semi'!AG$47</f>
        <v>14734.496621546412</v>
      </c>
      <c r="AH27" s="186">
        <f xml:space="preserve"> 'FS Semi'!AH$47</f>
        <v>14582.921507009845</v>
      </c>
      <c r="AI27" s="186">
        <f xml:space="preserve"> 'FS Semi'!AI$47</f>
        <v>14600.391254152939</v>
      </c>
      <c r="AJ27" s="186">
        <f xml:space="preserve"> 'FS Semi'!AJ$47</f>
        <v>14449.45297630897</v>
      </c>
      <c r="AK27" s="186">
        <f xml:space="preserve"> 'FS Semi'!AK$47</f>
        <v>14464.441277785036</v>
      </c>
      <c r="AL27" s="186">
        <f xml:space="preserve"> 'FS Semi'!AL$47</f>
        <v>14333.778560490962</v>
      </c>
      <c r="AM27" s="186">
        <f xml:space="preserve"> 'FS Semi'!AM$47</f>
        <v>14306.974557657806</v>
      </c>
      <c r="AN27" s="186">
        <f xml:space="preserve"> 'FS Semi'!AN$47</f>
        <v>14176.959768611989</v>
      </c>
      <c r="AO27" s="186">
        <f xml:space="preserve"> 'FS Semi'!AO$47</f>
        <v>14186.851142225703</v>
      </c>
      <c r="AP27" s="186">
        <f xml:space="preserve"> 'FS Semi'!AP$47</f>
        <v>14037.856776993409</v>
      </c>
      <c r="AQ27" s="186">
        <f xml:space="preserve"> 'FS Semi'!AQ$47</f>
        <v>14045.130839844553</v>
      </c>
      <c r="AR27" s="186">
        <f xml:space="preserve"> 'FS Semi'!AR$47</f>
        <v>13896.7960059342</v>
      </c>
      <c r="AS27" s="186">
        <f xml:space="preserve"> 'FS Semi'!AS$47</f>
        <v>13901.405610395763</v>
      </c>
      <c r="AT27" s="186">
        <f xml:space="preserve"> 'FS Semi'!AT$47</f>
        <v>13772.600892933437</v>
      </c>
      <c r="AU27" s="186">
        <f xml:space="preserve"> 'FS Semi'!AU$47</f>
        <v>13736.76875976386</v>
      </c>
      <c r="AV27" s="186">
        <f xml:space="preserve"> 'FS Semi'!AV$47</f>
        <v>13608.635708810609</v>
      </c>
      <c r="AW27" s="186">
        <f xml:space="preserve"> 'FS Semi'!AW$47</f>
        <v>13607.771090766597</v>
      </c>
      <c r="AX27" s="186">
        <f xml:space="preserve"> 'FS Semi'!AX$47</f>
        <v>13461.451394756768</v>
      </c>
      <c r="AY27" s="186">
        <f xml:space="preserve"> 'FS Semi'!AY$47</f>
        <v>13457.775032491649</v>
      </c>
      <c r="AZ27" s="186">
        <f xml:space="preserve"> 'FS Semi'!AZ$47</f>
        <v>13312.139691725803</v>
      </c>
      <c r="BA27" s="186">
        <f xml:space="preserve"> 'FS Semi'!BA$47</f>
        <v>13305.600476617343</v>
      </c>
      <c r="BB27" s="186">
        <f xml:space="preserve"> 'FS Semi'!BB$47</f>
        <v>16445.95955909419</v>
      </c>
      <c r="BC27" s="186">
        <f xml:space="preserve"> 'FS Semi'!BC$47</f>
        <v>0</v>
      </c>
      <c r="BD27" s="186">
        <f xml:space="preserve"> 'FS Semi'!BD$47</f>
        <v>0</v>
      </c>
      <c r="BE27" s="186">
        <f xml:space="preserve"> 'FS Semi'!BE$47</f>
        <v>0</v>
      </c>
      <c r="BF27" s="186">
        <f xml:space="preserve"> 'FS Semi'!BF$47</f>
        <v>0</v>
      </c>
      <c r="BG27" s="186">
        <f xml:space="preserve"> 'FS Semi'!BG$47</f>
        <v>0</v>
      </c>
      <c r="BH27" s="186">
        <f xml:space="preserve"> 'FS Semi'!BH$47</f>
        <v>0</v>
      </c>
      <c r="BI27" s="186">
        <f xml:space="preserve"> 'FS Semi'!BI$47</f>
        <v>0</v>
      </c>
      <c r="BJ27" s="186">
        <f xml:space="preserve"> 'FS Semi'!BJ$47</f>
        <v>0</v>
      </c>
      <c r="BK27" s="186">
        <f xml:space="preserve"> 'FS Semi'!BK$47</f>
        <v>0</v>
      </c>
      <c r="BL27" s="186">
        <f xml:space="preserve"> 'FS Semi'!BL$47</f>
        <v>0</v>
      </c>
      <c r="BM27" s="186">
        <f xml:space="preserve"> 'FS Semi'!BM$47</f>
        <v>0</v>
      </c>
      <c r="BN27" s="186">
        <f xml:space="preserve"> 'FS Semi'!BN$47</f>
        <v>0</v>
      </c>
      <c r="BO27" s="186">
        <f xml:space="preserve"> 'FS Semi'!BO$47</f>
        <v>0</v>
      </c>
      <c r="BP27" s="186">
        <f xml:space="preserve"> 'FS Semi'!BP$47</f>
        <v>0</v>
      </c>
      <c r="BQ27" s="186">
        <f xml:space="preserve"> 'FS Semi'!BQ$47</f>
        <v>0</v>
      </c>
      <c r="BR27" s="186">
        <f xml:space="preserve"> 'FS Semi'!BR$47</f>
        <v>0</v>
      </c>
      <c r="BS27" s="186">
        <f xml:space="preserve"> 'FS Semi'!BS$47</f>
        <v>0</v>
      </c>
      <c r="BT27" s="186">
        <f xml:space="preserve"> 'FS Semi'!BT$47</f>
        <v>0</v>
      </c>
      <c r="BU27" s="186">
        <f xml:space="preserve"> 'FS Semi'!BU$47</f>
        <v>0</v>
      </c>
      <c r="BV27" s="186">
        <f xml:space="preserve"> 'FS Semi'!BV$47</f>
        <v>0</v>
      </c>
      <c r="BW27" s="186">
        <f xml:space="preserve"> 'FS Semi'!BW$47</f>
        <v>0</v>
      </c>
      <c r="BX27" s="186">
        <f xml:space="preserve"> 'FS Semi'!BX$47</f>
        <v>0</v>
      </c>
      <c r="BY27" s="186">
        <f xml:space="preserve"> 'FS Semi'!BY$47</f>
        <v>0</v>
      </c>
      <c r="BZ27" s="186">
        <f xml:space="preserve"> 'FS Semi'!BZ$47</f>
        <v>0</v>
      </c>
      <c r="CA27" s="186">
        <f xml:space="preserve"> 'FS Semi'!CA$47</f>
        <v>0</v>
      </c>
      <c r="CB27" s="186">
        <f xml:space="preserve"> 'FS Semi'!CB$47</f>
        <v>0</v>
      </c>
      <c r="CC27" s="186">
        <f xml:space="preserve"> 'FS Semi'!CC$47</f>
        <v>0</v>
      </c>
      <c r="CD27" s="186">
        <f xml:space="preserve"> 'FS Semi'!CD$47</f>
        <v>0</v>
      </c>
      <c r="CE27" s="186">
        <f xml:space="preserve"> 'FS Semi'!CE$47</f>
        <v>0</v>
      </c>
      <c r="CF27" s="186">
        <f xml:space="preserve"> 'FS Semi'!CF$47</f>
        <v>0</v>
      </c>
      <c r="CG27" s="186">
        <f xml:space="preserve"> 'FS Semi'!CG$47</f>
        <v>0</v>
      </c>
      <c r="CH27" s="186">
        <f xml:space="preserve"> 'FS Semi'!CH$47</f>
        <v>0</v>
      </c>
      <c r="CI27" s="186">
        <f xml:space="preserve"> 'FS Semi'!CI$47</f>
        <v>0</v>
      </c>
      <c r="CJ27" s="186">
        <f xml:space="preserve"> 'FS Semi'!CJ$47</f>
        <v>0</v>
      </c>
      <c r="CK27" s="186">
        <f xml:space="preserve"> 'FS Semi'!CK$47</f>
        <v>0</v>
      </c>
      <c r="CL27" s="186">
        <f xml:space="preserve"> 'FS Semi'!CL$47</f>
        <v>0</v>
      </c>
      <c r="CM27" s="186">
        <f xml:space="preserve"> 'FS Semi'!CM$47</f>
        <v>0</v>
      </c>
      <c r="CN27" s="186">
        <f xml:space="preserve"> 'FS Semi'!CN$47</f>
        <v>0</v>
      </c>
      <c r="CO27" s="186">
        <f xml:space="preserve"> 'FS Semi'!CO$47</f>
        <v>0</v>
      </c>
      <c r="CP27" s="186">
        <f xml:space="preserve"> 'FS Semi'!CP$47</f>
        <v>0</v>
      </c>
      <c r="CQ27" s="186">
        <f xml:space="preserve"> 'FS Semi'!CQ$47</f>
        <v>0</v>
      </c>
      <c r="CR27" s="186">
        <f xml:space="preserve"> 'FS Semi'!CR$47</f>
        <v>0</v>
      </c>
      <c r="CS27" s="186">
        <f xml:space="preserve"> 'FS Semi'!CS$47</f>
        <v>0</v>
      </c>
      <c r="CT27" s="186">
        <f xml:space="preserve"> 'FS Semi'!CT$47</f>
        <v>0</v>
      </c>
      <c r="CU27" s="186">
        <f xml:space="preserve"> 'FS Semi'!CU$47</f>
        <v>0</v>
      </c>
      <c r="CV27" s="186">
        <f xml:space="preserve"> 'FS Semi'!CV$47</f>
        <v>0</v>
      </c>
    </row>
    <row r="28" spans="1:100" outlineLevel="1" x14ac:dyDescent="0.2">
      <c r="E28" s="12" t="str">
        <f t="shared" ref="E28:AJ28" si="7" xml:space="preserve"> E$17</f>
        <v>Terminal value</v>
      </c>
      <c r="F28" s="12">
        <f t="shared" si="7"/>
        <v>0</v>
      </c>
      <c r="G28" s="12" t="str">
        <f t="shared" si="7"/>
        <v>$ 000s</v>
      </c>
      <c r="H28" s="12">
        <f t="shared" si="7"/>
        <v>0</v>
      </c>
      <c r="I28" s="12">
        <f t="shared" si="7"/>
        <v>0</v>
      </c>
      <c r="J28" s="12">
        <f t="shared" si="7"/>
        <v>0</v>
      </c>
      <c r="K28" s="12">
        <f t="shared" si="7"/>
        <v>0</v>
      </c>
      <c r="L28" s="12">
        <f t="shared" si="7"/>
        <v>0</v>
      </c>
      <c r="M28" s="12">
        <f t="shared" si="7"/>
        <v>0</v>
      </c>
      <c r="N28" s="12">
        <f t="shared" si="7"/>
        <v>0</v>
      </c>
      <c r="O28" s="12">
        <f t="shared" si="7"/>
        <v>0</v>
      </c>
      <c r="P28" s="12">
        <f t="shared" si="7"/>
        <v>0</v>
      </c>
      <c r="Q28" s="12">
        <f t="shared" si="7"/>
        <v>0</v>
      </c>
      <c r="R28" s="12">
        <f t="shared" si="7"/>
        <v>0</v>
      </c>
      <c r="S28" s="12">
        <f t="shared" si="7"/>
        <v>0</v>
      </c>
      <c r="T28" s="12">
        <f t="shared" si="7"/>
        <v>0</v>
      </c>
      <c r="U28" s="12">
        <f t="shared" si="7"/>
        <v>0</v>
      </c>
      <c r="V28" s="12">
        <f t="shared" si="7"/>
        <v>0</v>
      </c>
      <c r="W28" s="12">
        <f t="shared" si="7"/>
        <v>0</v>
      </c>
      <c r="X28" s="12">
        <f t="shared" si="7"/>
        <v>0</v>
      </c>
      <c r="Y28" s="12">
        <f t="shared" si="7"/>
        <v>0</v>
      </c>
      <c r="Z28" s="12">
        <f t="shared" si="7"/>
        <v>0</v>
      </c>
      <c r="AA28" s="12">
        <f t="shared" si="7"/>
        <v>0</v>
      </c>
      <c r="AB28" s="12">
        <f t="shared" si="7"/>
        <v>0</v>
      </c>
      <c r="AC28" s="12">
        <f t="shared" si="7"/>
        <v>0</v>
      </c>
      <c r="AD28" s="12">
        <f t="shared" si="7"/>
        <v>0</v>
      </c>
      <c r="AE28" s="12">
        <f t="shared" si="7"/>
        <v>0</v>
      </c>
      <c r="AF28" s="12">
        <f t="shared" si="7"/>
        <v>0</v>
      </c>
      <c r="AG28" s="12">
        <f t="shared" si="7"/>
        <v>0</v>
      </c>
      <c r="AH28" s="12">
        <f t="shared" si="7"/>
        <v>0</v>
      </c>
      <c r="AI28" s="12">
        <f t="shared" si="7"/>
        <v>0</v>
      </c>
      <c r="AJ28" s="12">
        <f t="shared" si="7"/>
        <v>0</v>
      </c>
      <c r="AK28" s="12">
        <f t="shared" ref="AK28:BP28" si="8" xml:space="preserve"> AK$17</f>
        <v>0</v>
      </c>
      <c r="AL28" s="12">
        <f t="shared" si="8"/>
        <v>0</v>
      </c>
      <c r="AM28" s="12">
        <f t="shared" si="8"/>
        <v>0</v>
      </c>
      <c r="AN28" s="12">
        <f t="shared" si="8"/>
        <v>0</v>
      </c>
      <c r="AO28" s="12">
        <f t="shared" si="8"/>
        <v>0</v>
      </c>
      <c r="AP28" s="12">
        <f t="shared" si="8"/>
        <v>0</v>
      </c>
      <c r="AQ28" s="12">
        <f t="shared" si="8"/>
        <v>0</v>
      </c>
      <c r="AR28" s="12">
        <f t="shared" si="8"/>
        <v>0</v>
      </c>
      <c r="AS28" s="12">
        <f t="shared" si="8"/>
        <v>0</v>
      </c>
      <c r="AT28" s="12">
        <f t="shared" si="8"/>
        <v>0</v>
      </c>
      <c r="AU28" s="12">
        <f t="shared" si="8"/>
        <v>0</v>
      </c>
      <c r="AV28" s="12">
        <f t="shared" si="8"/>
        <v>0</v>
      </c>
      <c r="AW28" s="12">
        <f t="shared" si="8"/>
        <v>0</v>
      </c>
      <c r="AX28" s="12">
        <f t="shared" si="8"/>
        <v>0</v>
      </c>
      <c r="AY28" s="12">
        <f t="shared" si="8"/>
        <v>0</v>
      </c>
      <c r="AZ28" s="12">
        <f t="shared" si="8"/>
        <v>0</v>
      </c>
      <c r="BA28" s="12">
        <f t="shared" si="8"/>
        <v>0</v>
      </c>
      <c r="BB28" s="12">
        <f t="shared" si="8"/>
        <v>0</v>
      </c>
      <c r="BC28" s="12">
        <f t="shared" si="8"/>
        <v>0</v>
      </c>
      <c r="BD28" s="12">
        <f t="shared" si="8"/>
        <v>0</v>
      </c>
      <c r="BE28" s="12">
        <f t="shared" si="8"/>
        <v>0</v>
      </c>
      <c r="BF28" s="12">
        <f t="shared" si="8"/>
        <v>0</v>
      </c>
      <c r="BG28" s="12">
        <f t="shared" si="8"/>
        <v>0</v>
      </c>
      <c r="BH28" s="12">
        <f t="shared" si="8"/>
        <v>0</v>
      </c>
      <c r="BI28" s="12">
        <f t="shared" si="8"/>
        <v>0</v>
      </c>
      <c r="BJ28" s="12">
        <f t="shared" si="8"/>
        <v>0</v>
      </c>
      <c r="BK28" s="12">
        <f t="shared" si="8"/>
        <v>0</v>
      </c>
      <c r="BL28" s="12">
        <f t="shared" si="8"/>
        <v>0</v>
      </c>
      <c r="BM28" s="12">
        <f t="shared" si="8"/>
        <v>0</v>
      </c>
      <c r="BN28" s="12">
        <f t="shared" si="8"/>
        <v>0</v>
      </c>
      <c r="BO28" s="12">
        <f t="shared" si="8"/>
        <v>0</v>
      </c>
      <c r="BP28" s="12">
        <f t="shared" si="8"/>
        <v>0</v>
      </c>
      <c r="BQ28" s="12">
        <f t="shared" ref="BQ28:CV28" si="9" xml:space="preserve"> BQ$17</f>
        <v>0</v>
      </c>
      <c r="BR28" s="12">
        <f t="shared" si="9"/>
        <v>0</v>
      </c>
      <c r="BS28" s="12">
        <f t="shared" si="9"/>
        <v>0</v>
      </c>
      <c r="BT28" s="12">
        <f t="shared" si="9"/>
        <v>0</v>
      </c>
      <c r="BU28" s="12">
        <f t="shared" si="9"/>
        <v>0</v>
      </c>
      <c r="BV28" s="12">
        <f t="shared" si="9"/>
        <v>0</v>
      </c>
      <c r="BW28" s="12">
        <f t="shared" si="9"/>
        <v>0</v>
      </c>
      <c r="BX28" s="12">
        <f t="shared" si="9"/>
        <v>0</v>
      </c>
      <c r="BY28" s="12">
        <f t="shared" si="9"/>
        <v>0</v>
      </c>
      <c r="BZ28" s="12">
        <f t="shared" si="9"/>
        <v>0</v>
      </c>
      <c r="CA28" s="12">
        <f t="shared" si="9"/>
        <v>0</v>
      </c>
      <c r="CB28" s="12">
        <f t="shared" si="9"/>
        <v>0</v>
      </c>
      <c r="CC28" s="12">
        <f t="shared" si="9"/>
        <v>0</v>
      </c>
      <c r="CD28" s="12">
        <f t="shared" si="9"/>
        <v>0</v>
      </c>
      <c r="CE28" s="12">
        <f t="shared" si="9"/>
        <v>0</v>
      </c>
      <c r="CF28" s="12">
        <f t="shared" si="9"/>
        <v>0</v>
      </c>
      <c r="CG28" s="12">
        <f t="shared" si="9"/>
        <v>0</v>
      </c>
      <c r="CH28" s="12">
        <f t="shared" si="9"/>
        <v>0</v>
      </c>
      <c r="CI28" s="12">
        <f t="shared" si="9"/>
        <v>0</v>
      </c>
      <c r="CJ28" s="12">
        <f t="shared" si="9"/>
        <v>0</v>
      </c>
      <c r="CK28" s="12">
        <f t="shared" si="9"/>
        <v>0</v>
      </c>
      <c r="CL28" s="12">
        <f t="shared" si="9"/>
        <v>0</v>
      </c>
      <c r="CM28" s="12">
        <f t="shared" si="9"/>
        <v>0</v>
      </c>
      <c r="CN28" s="12">
        <f t="shared" si="9"/>
        <v>0</v>
      </c>
      <c r="CO28" s="12">
        <f t="shared" si="9"/>
        <v>0</v>
      </c>
      <c r="CP28" s="12">
        <f t="shared" si="9"/>
        <v>0</v>
      </c>
      <c r="CQ28" s="12">
        <f t="shared" si="9"/>
        <v>0</v>
      </c>
      <c r="CR28" s="12">
        <f t="shared" si="9"/>
        <v>0</v>
      </c>
      <c r="CS28" s="12">
        <f t="shared" si="9"/>
        <v>0</v>
      </c>
      <c r="CT28" s="12">
        <f t="shared" si="9"/>
        <v>0</v>
      </c>
      <c r="CU28" s="12">
        <f t="shared" si="9"/>
        <v>0</v>
      </c>
      <c r="CV28" s="12">
        <f t="shared" si="9"/>
        <v>0</v>
      </c>
    </row>
    <row r="29" spans="1:100" outlineLevel="1" x14ac:dyDescent="0.2">
      <c r="E29" s="491" t="s">
        <v>599</v>
      </c>
      <c r="F29" s="491"/>
      <c r="G29" s="491" t="str">
        <f xml:space="preserve"> SMU</f>
        <v>$ 000s</v>
      </c>
      <c r="H29" s="491">
        <f xml:space="preserve"> SUM(J29:CV29)</f>
        <v>599589.31182003266</v>
      </c>
      <c r="I29" s="233"/>
      <c r="J29" s="491">
        <f t="shared" ref="J29:AO29" si="10">SUM(J27:J28)</f>
        <v>0</v>
      </c>
      <c r="K29" s="491">
        <f t="shared" si="10"/>
        <v>0</v>
      </c>
      <c r="L29" s="491">
        <f t="shared" si="10"/>
        <v>0</v>
      </c>
      <c r="M29" s="491">
        <f t="shared" si="10"/>
        <v>0</v>
      </c>
      <c r="N29" s="491">
        <f t="shared" si="10"/>
        <v>11940</v>
      </c>
      <c r="O29" s="491">
        <f t="shared" si="10"/>
        <v>17761.339089615478</v>
      </c>
      <c r="P29" s="491">
        <f t="shared" si="10"/>
        <v>15707.408907742485</v>
      </c>
      <c r="Q29" s="491">
        <f t="shared" si="10"/>
        <v>15745.355493650644</v>
      </c>
      <c r="R29" s="491">
        <f t="shared" si="10"/>
        <v>15588.868818823899</v>
      </c>
      <c r="S29" s="491">
        <f t="shared" si="10"/>
        <v>15624.695450132087</v>
      </c>
      <c r="T29" s="491">
        <f t="shared" si="10"/>
        <v>15468.805976611518</v>
      </c>
      <c r="U29" s="491">
        <f t="shared" si="10"/>
        <v>15502.475660941096</v>
      </c>
      <c r="V29" s="491">
        <f t="shared" si="10"/>
        <v>15368.238112158891</v>
      </c>
      <c r="W29" s="491">
        <f t="shared" si="10"/>
        <v>15357.612782223849</v>
      </c>
      <c r="X29" s="491">
        <f t="shared" si="10"/>
        <v>15223.981670526602</v>
      </c>
      <c r="Y29" s="491">
        <f t="shared" si="10"/>
        <v>15253.223441594726</v>
      </c>
      <c r="Z29" s="491">
        <f t="shared" si="10"/>
        <v>15099.15338854069</v>
      </c>
      <c r="AA29" s="491">
        <f t="shared" si="10"/>
        <v>15126.122633909146</v>
      </c>
      <c r="AB29" s="491">
        <f t="shared" si="10"/>
        <v>14972.668690608356</v>
      </c>
      <c r="AC29" s="491">
        <f t="shared" si="10"/>
        <v>14997.325298446642</v>
      </c>
      <c r="AD29" s="491">
        <f t="shared" si="10"/>
        <v>14864.853133923503</v>
      </c>
      <c r="AE29" s="491">
        <f t="shared" si="10"/>
        <v>14846.434846161274</v>
      </c>
      <c r="AF29" s="491">
        <f t="shared" si="10"/>
        <v>14714.588918503887</v>
      </c>
      <c r="AG29" s="491">
        <f t="shared" si="10"/>
        <v>14734.496621546412</v>
      </c>
      <c r="AH29" s="491">
        <f t="shared" si="10"/>
        <v>14582.921507009845</v>
      </c>
      <c r="AI29" s="491">
        <f t="shared" si="10"/>
        <v>14600.391254152939</v>
      </c>
      <c r="AJ29" s="491">
        <f t="shared" si="10"/>
        <v>14449.45297630897</v>
      </c>
      <c r="AK29" s="491">
        <f t="shared" si="10"/>
        <v>14464.441277785036</v>
      </c>
      <c r="AL29" s="491">
        <f t="shared" si="10"/>
        <v>14333.778560490962</v>
      </c>
      <c r="AM29" s="491">
        <f t="shared" si="10"/>
        <v>14306.974557657806</v>
      </c>
      <c r="AN29" s="491">
        <f t="shared" si="10"/>
        <v>14176.959768611989</v>
      </c>
      <c r="AO29" s="491">
        <f t="shared" si="10"/>
        <v>14186.851142225703</v>
      </c>
      <c r="AP29" s="491">
        <f t="shared" ref="AP29:BU29" si="11">SUM(AP27:AP28)</f>
        <v>14037.856776993409</v>
      </c>
      <c r="AQ29" s="491">
        <f t="shared" si="11"/>
        <v>14045.130839844553</v>
      </c>
      <c r="AR29" s="491">
        <f t="shared" si="11"/>
        <v>13896.7960059342</v>
      </c>
      <c r="AS29" s="491">
        <f t="shared" si="11"/>
        <v>13901.405610395763</v>
      </c>
      <c r="AT29" s="491">
        <f t="shared" si="11"/>
        <v>13772.600892933437</v>
      </c>
      <c r="AU29" s="491">
        <f t="shared" si="11"/>
        <v>13736.76875976386</v>
      </c>
      <c r="AV29" s="491">
        <f t="shared" si="11"/>
        <v>13608.635708810609</v>
      </c>
      <c r="AW29" s="491">
        <f t="shared" si="11"/>
        <v>13607.771090766597</v>
      </c>
      <c r="AX29" s="491">
        <f t="shared" si="11"/>
        <v>13461.451394756768</v>
      </c>
      <c r="AY29" s="491">
        <f t="shared" si="11"/>
        <v>13457.775032491649</v>
      </c>
      <c r="AZ29" s="491">
        <f t="shared" si="11"/>
        <v>13312.139691725803</v>
      </c>
      <c r="BA29" s="491">
        <f t="shared" si="11"/>
        <v>13305.600476617343</v>
      </c>
      <c r="BB29" s="491">
        <f t="shared" si="11"/>
        <v>16445.95955909419</v>
      </c>
      <c r="BC29" s="491">
        <f t="shared" si="11"/>
        <v>0</v>
      </c>
      <c r="BD29" s="491">
        <f t="shared" si="11"/>
        <v>0</v>
      </c>
      <c r="BE29" s="491">
        <f t="shared" si="11"/>
        <v>0</v>
      </c>
      <c r="BF29" s="491">
        <f t="shared" si="11"/>
        <v>0</v>
      </c>
      <c r="BG29" s="491">
        <f t="shared" si="11"/>
        <v>0</v>
      </c>
      <c r="BH29" s="491">
        <f t="shared" si="11"/>
        <v>0</v>
      </c>
      <c r="BI29" s="491">
        <f t="shared" si="11"/>
        <v>0</v>
      </c>
      <c r="BJ29" s="491">
        <f t="shared" si="11"/>
        <v>0</v>
      </c>
      <c r="BK29" s="491">
        <f t="shared" si="11"/>
        <v>0</v>
      </c>
      <c r="BL29" s="491">
        <f t="shared" si="11"/>
        <v>0</v>
      </c>
      <c r="BM29" s="491">
        <f t="shared" si="11"/>
        <v>0</v>
      </c>
      <c r="BN29" s="491">
        <f t="shared" si="11"/>
        <v>0</v>
      </c>
      <c r="BO29" s="491">
        <f t="shared" si="11"/>
        <v>0</v>
      </c>
      <c r="BP29" s="491">
        <f t="shared" si="11"/>
        <v>0</v>
      </c>
      <c r="BQ29" s="491">
        <f t="shared" si="11"/>
        <v>0</v>
      </c>
      <c r="BR29" s="491">
        <f t="shared" si="11"/>
        <v>0</v>
      </c>
      <c r="BS29" s="491">
        <f t="shared" si="11"/>
        <v>0</v>
      </c>
      <c r="BT29" s="491">
        <f t="shared" si="11"/>
        <v>0</v>
      </c>
      <c r="BU29" s="491">
        <f t="shared" si="11"/>
        <v>0</v>
      </c>
      <c r="BV29" s="491">
        <f t="shared" ref="BV29:CV29" si="12">SUM(BV27:BV28)</f>
        <v>0</v>
      </c>
      <c r="BW29" s="491">
        <f t="shared" si="12"/>
        <v>0</v>
      </c>
      <c r="BX29" s="491">
        <f t="shared" si="12"/>
        <v>0</v>
      </c>
      <c r="BY29" s="491">
        <f t="shared" si="12"/>
        <v>0</v>
      </c>
      <c r="BZ29" s="491">
        <f t="shared" si="12"/>
        <v>0</v>
      </c>
      <c r="CA29" s="491">
        <f t="shared" si="12"/>
        <v>0</v>
      </c>
      <c r="CB29" s="491">
        <f t="shared" si="12"/>
        <v>0</v>
      </c>
      <c r="CC29" s="491">
        <f t="shared" si="12"/>
        <v>0</v>
      </c>
      <c r="CD29" s="491">
        <f t="shared" si="12"/>
        <v>0</v>
      </c>
      <c r="CE29" s="491">
        <f t="shared" si="12"/>
        <v>0</v>
      </c>
      <c r="CF29" s="491">
        <f t="shared" si="12"/>
        <v>0</v>
      </c>
      <c r="CG29" s="491">
        <f t="shared" si="12"/>
        <v>0</v>
      </c>
      <c r="CH29" s="491">
        <f t="shared" si="12"/>
        <v>0</v>
      </c>
      <c r="CI29" s="491">
        <f t="shared" si="12"/>
        <v>0</v>
      </c>
      <c r="CJ29" s="491">
        <f t="shared" si="12"/>
        <v>0</v>
      </c>
      <c r="CK29" s="491">
        <f t="shared" si="12"/>
        <v>0</v>
      </c>
      <c r="CL29" s="491">
        <f t="shared" si="12"/>
        <v>0</v>
      </c>
      <c r="CM29" s="491">
        <f t="shared" si="12"/>
        <v>0</v>
      </c>
      <c r="CN29" s="491">
        <f t="shared" si="12"/>
        <v>0</v>
      </c>
      <c r="CO29" s="491">
        <f t="shared" si="12"/>
        <v>0</v>
      </c>
      <c r="CP29" s="491">
        <f t="shared" si="12"/>
        <v>0</v>
      </c>
      <c r="CQ29" s="491">
        <f t="shared" si="12"/>
        <v>0</v>
      </c>
      <c r="CR29" s="491">
        <f t="shared" si="12"/>
        <v>0</v>
      </c>
      <c r="CS29" s="491">
        <f t="shared" si="12"/>
        <v>0</v>
      </c>
      <c r="CT29" s="491">
        <f t="shared" si="12"/>
        <v>0</v>
      </c>
      <c r="CU29" s="491">
        <f t="shared" si="12"/>
        <v>0</v>
      </c>
      <c r="CV29" s="491">
        <f t="shared" si="12"/>
        <v>0</v>
      </c>
    </row>
    <row r="30" spans="1:100" outlineLevel="1" x14ac:dyDescent="0.2"/>
    <row r="31" spans="1:100" s="80" customFormat="1" outlineLevel="1" x14ac:dyDescent="0.2">
      <c r="A31" s="542"/>
      <c r="B31" s="542"/>
      <c r="C31" s="543"/>
      <c r="D31" s="544"/>
      <c r="E31" s="845" t="str">
        <f t="shared" ref="E31:AJ31" si="13" xml:space="preserve"> E$25</f>
        <v>Capital costs</v>
      </c>
      <c r="F31" s="845">
        <f t="shared" si="13"/>
        <v>0</v>
      </c>
      <c r="G31" s="845" t="str">
        <f t="shared" si="13"/>
        <v>$ 000s</v>
      </c>
      <c r="H31" s="845">
        <f t="shared" si="13"/>
        <v>-309322.30772000086</v>
      </c>
      <c r="I31" s="845">
        <f t="shared" si="13"/>
        <v>0</v>
      </c>
      <c r="J31" s="845">
        <f t="shared" si="13"/>
        <v>-1.0000000000000001E-9</v>
      </c>
      <c r="K31" s="845">
        <f t="shared" si="13"/>
        <v>0</v>
      </c>
      <c r="L31" s="845">
        <f t="shared" si="13"/>
        <v>0</v>
      </c>
      <c r="M31" s="845">
        <f t="shared" si="13"/>
        <v>-8300</v>
      </c>
      <c r="N31" s="845">
        <f t="shared" si="13"/>
        <v>-11577.781066153846</v>
      </c>
      <c r="O31" s="845">
        <f t="shared" si="13"/>
        <v>-11577.781066153846</v>
      </c>
      <c r="P31" s="845">
        <f t="shared" si="13"/>
        <v>-11577.781066153846</v>
      </c>
      <c r="Q31" s="845">
        <f t="shared" si="13"/>
        <v>-11577.781066153846</v>
      </c>
      <c r="R31" s="845">
        <f t="shared" si="13"/>
        <v>-11577.781066153846</v>
      </c>
      <c r="S31" s="845">
        <f t="shared" si="13"/>
        <v>-11577.781066153846</v>
      </c>
      <c r="T31" s="845">
        <f t="shared" si="13"/>
        <v>-11577.781066153846</v>
      </c>
      <c r="U31" s="845">
        <f t="shared" si="13"/>
        <v>-11577.781066153846</v>
      </c>
      <c r="V31" s="845">
        <f t="shared" si="13"/>
        <v>-11577.781066153846</v>
      </c>
      <c r="W31" s="845">
        <f t="shared" si="13"/>
        <v>-11577.781066153846</v>
      </c>
      <c r="X31" s="845">
        <f t="shared" si="13"/>
        <v>-11577.781066153846</v>
      </c>
      <c r="Y31" s="845">
        <f t="shared" si="13"/>
        <v>-11577.781066153846</v>
      </c>
      <c r="Z31" s="845">
        <f t="shared" si="13"/>
        <v>-11577.781066153846</v>
      </c>
      <c r="AA31" s="845">
        <f t="shared" si="13"/>
        <v>-11577.781066153846</v>
      </c>
      <c r="AB31" s="845">
        <f t="shared" si="13"/>
        <v>-11577.781066153846</v>
      </c>
      <c r="AC31" s="845">
        <f t="shared" si="13"/>
        <v>-11577.781066153846</v>
      </c>
      <c r="AD31" s="845">
        <f t="shared" si="13"/>
        <v>-11577.781066153846</v>
      </c>
      <c r="AE31" s="845">
        <f t="shared" si="13"/>
        <v>-11577.781066153846</v>
      </c>
      <c r="AF31" s="845">
        <f t="shared" si="13"/>
        <v>-11577.781066153846</v>
      </c>
      <c r="AG31" s="845">
        <f t="shared" si="13"/>
        <v>-11577.781066153846</v>
      </c>
      <c r="AH31" s="845">
        <f t="shared" si="13"/>
        <v>-11577.781066153846</v>
      </c>
      <c r="AI31" s="845">
        <f t="shared" si="13"/>
        <v>-11577.781066153846</v>
      </c>
      <c r="AJ31" s="845">
        <f t="shared" si="13"/>
        <v>-11577.781066153846</v>
      </c>
      <c r="AK31" s="845">
        <f t="shared" ref="AK31:BP31" si="14" xml:space="preserve"> AK$25</f>
        <v>-11577.781066153846</v>
      </c>
      <c r="AL31" s="845">
        <f t="shared" si="14"/>
        <v>-11577.781066153846</v>
      </c>
      <c r="AM31" s="845">
        <f t="shared" si="14"/>
        <v>-11577.781066153846</v>
      </c>
      <c r="AN31" s="845">
        <f t="shared" si="14"/>
        <v>0</v>
      </c>
      <c r="AO31" s="845">
        <f t="shared" si="14"/>
        <v>0</v>
      </c>
      <c r="AP31" s="845">
        <f t="shared" si="14"/>
        <v>0</v>
      </c>
      <c r="AQ31" s="845">
        <f t="shared" si="14"/>
        <v>0</v>
      </c>
      <c r="AR31" s="845">
        <f t="shared" si="14"/>
        <v>0</v>
      </c>
      <c r="AS31" s="845">
        <f t="shared" si="14"/>
        <v>0</v>
      </c>
      <c r="AT31" s="845">
        <f t="shared" si="14"/>
        <v>0</v>
      </c>
      <c r="AU31" s="845">
        <f t="shared" si="14"/>
        <v>0</v>
      </c>
      <c r="AV31" s="845">
        <f t="shared" si="14"/>
        <v>0</v>
      </c>
      <c r="AW31" s="845">
        <f t="shared" si="14"/>
        <v>0</v>
      </c>
      <c r="AX31" s="845">
        <f t="shared" si="14"/>
        <v>0</v>
      </c>
      <c r="AY31" s="845">
        <f t="shared" si="14"/>
        <v>0</v>
      </c>
      <c r="AZ31" s="845">
        <f t="shared" si="14"/>
        <v>0</v>
      </c>
      <c r="BA31" s="845">
        <f t="shared" si="14"/>
        <v>0</v>
      </c>
      <c r="BB31" s="845">
        <f t="shared" si="14"/>
        <v>0</v>
      </c>
      <c r="BC31" s="845">
        <f t="shared" si="14"/>
        <v>0</v>
      </c>
      <c r="BD31" s="845">
        <f t="shared" si="14"/>
        <v>0</v>
      </c>
      <c r="BE31" s="845">
        <f t="shared" si="14"/>
        <v>0</v>
      </c>
      <c r="BF31" s="845">
        <f t="shared" si="14"/>
        <v>0</v>
      </c>
      <c r="BG31" s="845">
        <f t="shared" si="14"/>
        <v>0</v>
      </c>
      <c r="BH31" s="845">
        <f t="shared" si="14"/>
        <v>0</v>
      </c>
      <c r="BI31" s="845">
        <f t="shared" si="14"/>
        <v>0</v>
      </c>
      <c r="BJ31" s="845">
        <f t="shared" si="14"/>
        <v>0</v>
      </c>
      <c r="BK31" s="845">
        <f t="shared" si="14"/>
        <v>0</v>
      </c>
      <c r="BL31" s="845">
        <f t="shared" si="14"/>
        <v>0</v>
      </c>
      <c r="BM31" s="845">
        <f t="shared" si="14"/>
        <v>0</v>
      </c>
      <c r="BN31" s="845">
        <f t="shared" si="14"/>
        <v>0</v>
      </c>
      <c r="BO31" s="845">
        <f t="shared" si="14"/>
        <v>0</v>
      </c>
      <c r="BP31" s="845">
        <f t="shared" si="14"/>
        <v>0</v>
      </c>
      <c r="BQ31" s="845">
        <f t="shared" ref="BQ31:CV31" si="15" xml:space="preserve"> BQ$25</f>
        <v>0</v>
      </c>
      <c r="BR31" s="845">
        <f t="shared" si="15"/>
        <v>0</v>
      </c>
      <c r="BS31" s="845">
        <f t="shared" si="15"/>
        <v>0</v>
      </c>
      <c r="BT31" s="845">
        <f t="shared" si="15"/>
        <v>0</v>
      </c>
      <c r="BU31" s="845">
        <f t="shared" si="15"/>
        <v>0</v>
      </c>
      <c r="BV31" s="845">
        <f t="shared" si="15"/>
        <v>0</v>
      </c>
      <c r="BW31" s="845">
        <f t="shared" si="15"/>
        <v>0</v>
      </c>
      <c r="BX31" s="845">
        <f t="shared" si="15"/>
        <v>0</v>
      </c>
      <c r="BY31" s="845">
        <f t="shared" si="15"/>
        <v>0</v>
      </c>
      <c r="BZ31" s="845">
        <f t="shared" si="15"/>
        <v>0</v>
      </c>
      <c r="CA31" s="845">
        <f t="shared" si="15"/>
        <v>0</v>
      </c>
      <c r="CB31" s="845">
        <f t="shared" si="15"/>
        <v>0</v>
      </c>
      <c r="CC31" s="845">
        <f t="shared" si="15"/>
        <v>0</v>
      </c>
      <c r="CD31" s="845">
        <f t="shared" si="15"/>
        <v>0</v>
      </c>
      <c r="CE31" s="845">
        <f t="shared" si="15"/>
        <v>0</v>
      </c>
      <c r="CF31" s="845">
        <f t="shared" si="15"/>
        <v>0</v>
      </c>
      <c r="CG31" s="845">
        <f t="shared" si="15"/>
        <v>0</v>
      </c>
      <c r="CH31" s="845">
        <f t="shared" si="15"/>
        <v>0</v>
      </c>
      <c r="CI31" s="845">
        <f t="shared" si="15"/>
        <v>0</v>
      </c>
      <c r="CJ31" s="845">
        <f t="shared" si="15"/>
        <v>0</v>
      </c>
      <c r="CK31" s="845">
        <f t="shared" si="15"/>
        <v>0</v>
      </c>
      <c r="CL31" s="845">
        <f t="shared" si="15"/>
        <v>0</v>
      </c>
      <c r="CM31" s="845">
        <f t="shared" si="15"/>
        <v>0</v>
      </c>
      <c r="CN31" s="845">
        <f t="shared" si="15"/>
        <v>0</v>
      </c>
      <c r="CO31" s="845">
        <f t="shared" si="15"/>
        <v>0</v>
      </c>
      <c r="CP31" s="845">
        <f t="shared" si="15"/>
        <v>0</v>
      </c>
      <c r="CQ31" s="845">
        <f t="shared" si="15"/>
        <v>0</v>
      </c>
      <c r="CR31" s="845">
        <f t="shared" si="15"/>
        <v>0</v>
      </c>
      <c r="CS31" s="845">
        <f t="shared" si="15"/>
        <v>0</v>
      </c>
      <c r="CT31" s="845">
        <f t="shared" si="15"/>
        <v>0</v>
      </c>
      <c r="CU31" s="845">
        <f t="shared" si="15"/>
        <v>0</v>
      </c>
      <c r="CV31" s="845">
        <f t="shared" si="15"/>
        <v>0</v>
      </c>
    </row>
    <row r="32" spans="1:100" outlineLevel="1" x14ac:dyDescent="0.2">
      <c r="E32" s="12" t="str">
        <f t="shared" ref="E32:AJ32" si="16" xml:space="preserve"> E$29</f>
        <v>Operating cashflow including terminal value</v>
      </c>
      <c r="F32" s="12">
        <f t="shared" si="16"/>
        <v>0</v>
      </c>
      <c r="G32" s="12" t="str">
        <f t="shared" si="16"/>
        <v>$ 000s</v>
      </c>
      <c r="H32" s="12">
        <f t="shared" si="16"/>
        <v>599589.31182003266</v>
      </c>
      <c r="I32" s="12">
        <f t="shared" si="16"/>
        <v>0</v>
      </c>
      <c r="J32" s="12">
        <f t="shared" si="16"/>
        <v>0</v>
      </c>
      <c r="K32" s="12">
        <f t="shared" si="16"/>
        <v>0</v>
      </c>
      <c r="L32" s="12">
        <f t="shared" si="16"/>
        <v>0</v>
      </c>
      <c r="M32" s="12">
        <f t="shared" si="16"/>
        <v>0</v>
      </c>
      <c r="N32" s="12">
        <f t="shared" si="16"/>
        <v>11940</v>
      </c>
      <c r="O32" s="12">
        <f t="shared" si="16"/>
        <v>17761.339089615478</v>
      </c>
      <c r="P32" s="12">
        <f t="shared" si="16"/>
        <v>15707.408907742485</v>
      </c>
      <c r="Q32" s="12">
        <f t="shared" si="16"/>
        <v>15745.355493650644</v>
      </c>
      <c r="R32" s="12">
        <f t="shared" si="16"/>
        <v>15588.868818823899</v>
      </c>
      <c r="S32" s="12">
        <f t="shared" si="16"/>
        <v>15624.695450132087</v>
      </c>
      <c r="T32" s="12">
        <f t="shared" si="16"/>
        <v>15468.805976611518</v>
      </c>
      <c r="U32" s="12">
        <f t="shared" si="16"/>
        <v>15502.475660941096</v>
      </c>
      <c r="V32" s="12">
        <f t="shared" si="16"/>
        <v>15368.238112158891</v>
      </c>
      <c r="W32" s="12">
        <f t="shared" si="16"/>
        <v>15357.612782223849</v>
      </c>
      <c r="X32" s="12">
        <f t="shared" si="16"/>
        <v>15223.981670526602</v>
      </c>
      <c r="Y32" s="12">
        <f t="shared" si="16"/>
        <v>15253.223441594726</v>
      </c>
      <c r="Z32" s="12">
        <f t="shared" si="16"/>
        <v>15099.15338854069</v>
      </c>
      <c r="AA32" s="12">
        <f t="shared" si="16"/>
        <v>15126.122633909146</v>
      </c>
      <c r="AB32" s="12">
        <f t="shared" si="16"/>
        <v>14972.668690608356</v>
      </c>
      <c r="AC32" s="12">
        <f t="shared" si="16"/>
        <v>14997.325298446642</v>
      </c>
      <c r="AD32" s="12">
        <f t="shared" si="16"/>
        <v>14864.853133923503</v>
      </c>
      <c r="AE32" s="12">
        <f t="shared" si="16"/>
        <v>14846.434846161274</v>
      </c>
      <c r="AF32" s="12">
        <f t="shared" si="16"/>
        <v>14714.588918503887</v>
      </c>
      <c r="AG32" s="12">
        <f t="shared" si="16"/>
        <v>14734.496621546412</v>
      </c>
      <c r="AH32" s="12">
        <f t="shared" si="16"/>
        <v>14582.921507009845</v>
      </c>
      <c r="AI32" s="12">
        <f t="shared" si="16"/>
        <v>14600.391254152939</v>
      </c>
      <c r="AJ32" s="12">
        <f t="shared" si="16"/>
        <v>14449.45297630897</v>
      </c>
      <c r="AK32" s="12">
        <f t="shared" ref="AK32:BP32" si="17" xml:space="preserve"> AK$29</f>
        <v>14464.441277785036</v>
      </c>
      <c r="AL32" s="12">
        <f t="shared" si="17"/>
        <v>14333.778560490962</v>
      </c>
      <c r="AM32" s="12">
        <f t="shared" si="17"/>
        <v>14306.974557657806</v>
      </c>
      <c r="AN32" s="12">
        <f t="shared" si="17"/>
        <v>14176.959768611989</v>
      </c>
      <c r="AO32" s="12">
        <f t="shared" si="17"/>
        <v>14186.851142225703</v>
      </c>
      <c r="AP32" s="12">
        <f t="shared" si="17"/>
        <v>14037.856776993409</v>
      </c>
      <c r="AQ32" s="12">
        <f t="shared" si="17"/>
        <v>14045.130839844553</v>
      </c>
      <c r="AR32" s="12">
        <f t="shared" si="17"/>
        <v>13896.7960059342</v>
      </c>
      <c r="AS32" s="12">
        <f t="shared" si="17"/>
        <v>13901.405610395763</v>
      </c>
      <c r="AT32" s="12">
        <f t="shared" si="17"/>
        <v>13772.600892933437</v>
      </c>
      <c r="AU32" s="12">
        <f t="shared" si="17"/>
        <v>13736.76875976386</v>
      </c>
      <c r="AV32" s="12">
        <f t="shared" si="17"/>
        <v>13608.635708810609</v>
      </c>
      <c r="AW32" s="12">
        <f t="shared" si="17"/>
        <v>13607.771090766597</v>
      </c>
      <c r="AX32" s="12">
        <f t="shared" si="17"/>
        <v>13461.451394756768</v>
      </c>
      <c r="AY32" s="12">
        <f t="shared" si="17"/>
        <v>13457.775032491649</v>
      </c>
      <c r="AZ32" s="12">
        <f t="shared" si="17"/>
        <v>13312.139691725803</v>
      </c>
      <c r="BA32" s="12">
        <f t="shared" si="17"/>
        <v>13305.600476617343</v>
      </c>
      <c r="BB32" s="12">
        <f t="shared" si="17"/>
        <v>16445.95955909419</v>
      </c>
      <c r="BC32" s="12">
        <f t="shared" si="17"/>
        <v>0</v>
      </c>
      <c r="BD32" s="12">
        <f t="shared" si="17"/>
        <v>0</v>
      </c>
      <c r="BE32" s="12">
        <f t="shared" si="17"/>
        <v>0</v>
      </c>
      <c r="BF32" s="12">
        <f t="shared" si="17"/>
        <v>0</v>
      </c>
      <c r="BG32" s="12">
        <f t="shared" si="17"/>
        <v>0</v>
      </c>
      <c r="BH32" s="12">
        <f t="shared" si="17"/>
        <v>0</v>
      </c>
      <c r="BI32" s="12">
        <f t="shared" si="17"/>
        <v>0</v>
      </c>
      <c r="BJ32" s="12">
        <f t="shared" si="17"/>
        <v>0</v>
      </c>
      <c r="BK32" s="12">
        <f t="shared" si="17"/>
        <v>0</v>
      </c>
      <c r="BL32" s="12">
        <f t="shared" si="17"/>
        <v>0</v>
      </c>
      <c r="BM32" s="12">
        <f t="shared" si="17"/>
        <v>0</v>
      </c>
      <c r="BN32" s="12">
        <f t="shared" si="17"/>
        <v>0</v>
      </c>
      <c r="BO32" s="12">
        <f t="shared" si="17"/>
        <v>0</v>
      </c>
      <c r="BP32" s="12">
        <f t="shared" si="17"/>
        <v>0</v>
      </c>
      <c r="BQ32" s="12">
        <f t="shared" ref="BQ32:CV32" si="18" xml:space="preserve"> BQ$29</f>
        <v>0</v>
      </c>
      <c r="BR32" s="12">
        <f t="shared" si="18"/>
        <v>0</v>
      </c>
      <c r="BS32" s="12">
        <f t="shared" si="18"/>
        <v>0</v>
      </c>
      <c r="BT32" s="12">
        <f t="shared" si="18"/>
        <v>0</v>
      </c>
      <c r="BU32" s="12">
        <f t="shared" si="18"/>
        <v>0</v>
      </c>
      <c r="BV32" s="12">
        <f t="shared" si="18"/>
        <v>0</v>
      </c>
      <c r="BW32" s="12">
        <f t="shared" si="18"/>
        <v>0</v>
      </c>
      <c r="BX32" s="12">
        <f t="shared" si="18"/>
        <v>0</v>
      </c>
      <c r="BY32" s="12">
        <f t="shared" si="18"/>
        <v>0</v>
      </c>
      <c r="BZ32" s="12">
        <f t="shared" si="18"/>
        <v>0</v>
      </c>
      <c r="CA32" s="12">
        <f t="shared" si="18"/>
        <v>0</v>
      </c>
      <c r="CB32" s="12">
        <f t="shared" si="18"/>
        <v>0</v>
      </c>
      <c r="CC32" s="12">
        <f t="shared" si="18"/>
        <v>0</v>
      </c>
      <c r="CD32" s="12">
        <f t="shared" si="18"/>
        <v>0</v>
      </c>
      <c r="CE32" s="12">
        <f t="shared" si="18"/>
        <v>0</v>
      </c>
      <c r="CF32" s="12">
        <f t="shared" si="18"/>
        <v>0</v>
      </c>
      <c r="CG32" s="12">
        <f t="shared" si="18"/>
        <v>0</v>
      </c>
      <c r="CH32" s="12">
        <f t="shared" si="18"/>
        <v>0</v>
      </c>
      <c r="CI32" s="12">
        <f t="shared" si="18"/>
        <v>0</v>
      </c>
      <c r="CJ32" s="12">
        <f t="shared" si="18"/>
        <v>0</v>
      </c>
      <c r="CK32" s="12">
        <f t="shared" si="18"/>
        <v>0</v>
      </c>
      <c r="CL32" s="12">
        <f t="shared" si="18"/>
        <v>0</v>
      </c>
      <c r="CM32" s="12">
        <f t="shared" si="18"/>
        <v>0</v>
      </c>
      <c r="CN32" s="12">
        <f t="shared" si="18"/>
        <v>0</v>
      </c>
      <c r="CO32" s="12">
        <f t="shared" si="18"/>
        <v>0</v>
      </c>
      <c r="CP32" s="12">
        <f t="shared" si="18"/>
        <v>0</v>
      </c>
      <c r="CQ32" s="12">
        <f t="shared" si="18"/>
        <v>0</v>
      </c>
      <c r="CR32" s="12">
        <f t="shared" si="18"/>
        <v>0</v>
      </c>
      <c r="CS32" s="12">
        <f t="shared" si="18"/>
        <v>0</v>
      </c>
      <c r="CT32" s="12">
        <f t="shared" si="18"/>
        <v>0</v>
      </c>
      <c r="CU32" s="12">
        <f t="shared" si="18"/>
        <v>0</v>
      </c>
      <c r="CV32" s="12">
        <f t="shared" si="18"/>
        <v>0</v>
      </c>
    </row>
    <row r="33" spans="1:100" s="11" customFormat="1" outlineLevel="1" x14ac:dyDescent="0.2">
      <c r="A33" s="49"/>
      <c r="B33" s="49"/>
      <c r="C33" s="50"/>
      <c r="D33" s="70"/>
      <c r="E33" s="847" t="str">
        <f xml:space="preserve"> ConTime!E$23</f>
        <v>Model period ending - m</v>
      </c>
      <c r="F33" s="847">
        <f xml:space="preserve"> ConTime!F$23</f>
        <v>0</v>
      </c>
      <c r="G33" s="847" t="str">
        <f xml:space="preserve"> ConTime!G$23</f>
        <v>date</v>
      </c>
      <c r="H33" s="847">
        <f xml:space="preserve"> ConTime!H$23</f>
        <v>0</v>
      </c>
      <c r="I33" s="847">
        <f xml:space="preserve"> ConTime!I$23</f>
        <v>0</v>
      </c>
      <c r="J33" s="847">
        <f xml:space="preserve"> ConTime!J$23</f>
        <v>44592</v>
      </c>
      <c r="K33" s="847">
        <f xml:space="preserve"> ConTime!K$23</f>
        <v>44620</v>
      </c>
      <c r="L33" s="847">
        <f xml:space="preserve"> ConTime!L$23</f>
        <v>44651</v>
      </c>
      <c r="M33" s="847">
        <f xml:space="preserve"> ConTime!M$23</f>
        <v>44681</v>
      </c>
      <c r="N33" s="847">
        <f xml:space="preserve"> ConTime!N$23</f>
        <v>44712</v>
      </c>
      <c r="O33" s="847">
        <f xml:space="preserve"> ConTime!O$23</f>
        <v>44742</v>
      </c>
      <c r="P33" s="847">
        <f xml:space="preserve"> ConTime!P$23</f>
        <v>44773</v>
      </c>
      <c r="Q33" s="847">
        <f xml:space="preserve"> ConTime!Q$23</f>
        <v>44804</v>
      </c>
      <c r="R33" s="847">
        <f xml:space="preserve"> ConTime!R$23</f>
        <v>44834</v>
      </c>
      <c r="S33" s="847">
        <f xml:space="preserve"> ConTime!S$23</f>
        <v>44865</v>
      </c>
      <c r="T33" s="847">
        <f xml:space="preserve"> ConTime!T$23</f>
        <v>44895</v>
      </c>
      <c r="U33" s="847">
        <f xml:space="preserve"> ConTime!U$23</f>
        <v>44926</v>
      </c>
      <c r="V33" s="847">
        <f xml:space="preserve"> ConTime!V$23</f>
        <v>44957</v>
      </c>
      <c r="W33" s="847">
        <f xml:space="preserve"> ConTime!W$23</f>
        <v>44985</v>
      </c>
      <c r="X33" s="847">
        <f xml:space="preserve"> ConTime!X$23</f>
        <v>45016</v>
      </c>
      <c r="Y33" s="847">
        <f xml:space="preserve"> ConTime!Y$23</f>
        <v>45046</v>
      </c>
      <c r="Z33" s="847">
        <f xml:space="preserve"> ConTime!Z$23</f>
        <v>45077</v>
      </c>
      <c r="AA33" s="847">
        <f xml:space="preserve"> ConTime!AA$23</f>
        <v>45107</v>
      </c>
      <c r="AB33" s="847">
        <f xml:space="preserve"> ConTime!AB$23</f>
        <v>45138</v>
      </c>
      <c r="AC33" s="847">
        <f xml:space="preserve"> ConTime!AC$23</f>
        <v>45169</v>
      </c>
      <c r="AD33" s="847">
        <f xml:space="preserve"> ConTime!AD$23</f>
        <v>45199</v>
      </c>
      <c r="AE33" s="847">
        <f xml:space="preserve"> ConTime!AE$23</f>
        <v>45230</v>
      </c>
      <c r="AF33" s="847">
        <f xml:space="preserve"> ConTime!AF$23</f>
        <v>45260</v>
      </c>
      <c r="AG33" s="847">
        <f xml:space="preserve"> ConTime!AG$23</f>
        <v>45291</v>
      </c>
      <c r="AH33" s="847">
        <f xml:space="preserve"> ConTime!AH$23</f>
        <v>45322</v>
      </c>
      <c r="AI33" s="847">
        <f xml:space="preserve"> ConTime!AI$23</f>
        <v>45351</v>
      </c>
      <c r="AJ33" s="847">
        <f xml:space="preserve"> ConTime!AJ$23</f>
        <v>45382</v>
      </c>
      <c r="AK33" s="847">
        <f xml:space="preserve"> ConTime!AK$23</f>
        <v>45412</v>
      </c>
      <c r="AL33" s="847">
        <f xml:space="preserve"> ConTime!AL$23</f>
        <v>45443</v>
      </c>
      <c r="AM33" s="847">
        <f xml:space="preserve"> ConTime!AM$23</f>
        <v>45473</v>
      </c>
      <c r="AN33" s="847">
        <f xml:space="preserve"> ConTime!AN$23</f>
        <v>45504</v>
      </c>
      <c r="AO33" s="847">
        <f xml:space="preserve"> ConTime!AO$23</f>
        <v>45535</v>
      </c>
      <c r="AP33" s="847">
        <f xml:space="preserve"> ConTime!AP$23</f>
        <v>45565</v>
      </c>
      <c r="AQ33" s="847">
        <f xml:space="preserve"> ConTime!AQ$23</f>
        <v>45596</v>
      </c>
      <c r="AR33" s="847">
        <f xml:space="preserve"> ConTime!AR$23</f>
        <v>45626</v>
      </c>
      <c r="AS33" s="847">
        <f xml:space="preserve"> ConTime!AS$23</f>
        <v>45657</v>
      </c>
      <c r="AT33" s="847">
        <f xml:space="preserve"> ConTime!AT$23</f>
        <v>45688</v>
      </c>
      <c r="AU33" s="847">
        <f xml:space="preserve"> ConTime!AU$23</f>
        <v>45716</v>
      </c>
      <c r="AV33" s="847">
        <f xml:space="preserve"> ConTime!AV$23</f>
        <v>45747</v>
      </c>
      <c r="AW33" s="847">
        <f xml:space="preserve"> ConTime!AW$23</f>
        <v>45777</v>
      </c>
      <c r="AX33" s="847">
        <f xml:space="preserve"> ConTime!AX$23</f>
        <v>45808</v>
      </c>
      <c r="AY33" s="847">
        <f xml:space="preserve"> ConTime!AY$23</f>
        <v>45838</v>
      </c>
      <c r="AZ33" s="847">
        <f xml:space="preserve"> ConTime!AZ$23</f>
        <v>45869</v>
      </c>
      <c r="BA33" s="847">
        <f xml:space="preserve"> ConTime!BA$23</f>
        <v>45900</v>
      </c>
      <c r="BB33" s="847">
        <f xml:space="preserve"> ConTime!BB$23</f>
        <v>45930</v>
      </c>
      <c r="BC33" s="847">
        <f xml:space="preserve"> ConTime!BC$23</f>
        <v>45961</v>
      </c>
      <c r="BD33" s="847">
        <f xml:space="preserve"> ConTime!BD$23</f>
        <v>45991</v>
      </c>
      <c r="BE33" s="847">
        <f xml:space="preserve"> ConTime!BE$23</f>
        <v>46022</v>
      </c>
      <c r="BF33" s="847">
        <f xml:space="preserve"> ConTime!BF$23</f>
        <v>0</v>
      </c>
      <c r="BG33" s="847">
        <f xml:space="preserve"> ConTime!BG$23</f>
        <v>0</v>
      </c>
      <c r="BH33" s="847">
        <f xml:space="preserve"> ConTime!BH$23</f>
        <v>0</v>
      </c>
      <c r="BI33" s="847">
        <f xml:space="preserve"> ConTime!BI$23</f>
        <v>0</v>
      </c>
      <c r="BJ33" s="847">
        <f xml:space="preserve"> ConTime!BJ$23</f>
        <v>0</v>
      </c>
      <c r="BK33" s="847">
        <f xml:space="preserve"> ConTime!BK$23</f>
        <v>0</v>
      </c>
      <c r="BL33" s="847">
        <f xml:space="preserve"> ConTime!BL$23</f>
        <v>0</v>
      </c>
      <c r="BM33" s="847">
        <f xml:space="preserve"> ConTime!BM$23</f>
        <v>0</v>
      </c>
      <c r="BN33" s="847">
        <f xml:space="preserve"> ConTime!BN$23</f>
        <v>0</v>
      </c>
      <c r="BO33" s="847">
        <f xml:space="preserve"> ConTime!BO$23</f>
        <v>0</v>
      </c>
      <c r="BP33" s="847">
        <f xml:space="preserve"> ConTime!BP$23</f>
        <v>0</v>
      </c>
      <c r="BQ33" s="847">
        <f xml:space="preserve"> ConTime!BQ$23</f>
        <v>0</v>
      </c>
      <c r="BR33" s="847">
        <f xml:space="preserve"> ConTime!BR$23</f>
        <v>0</v>
      </c>
      <c r="BS33" s="847">
        <f xml:space="preserve"> ConTime!BS$23</f>
        <v>0</v>
      </c>
      <c r="BT33" s="847">
        <f xml:space="preserve"> ConTime!BT$23</f>
        <v>0</v>
      </c>
      <c r="BU33" s="847">
        <f xml:space="preserve"> ConTime!BU$23</f>
        <v>0</v>
      </c>
      <c r="BV33" s="847">
        <f xml:space="preserve"> ConTime!BV$23</f>
        <v>0</v>
      </c>
      <c r="BW33" s="847">
        <f xml:space="preserve"> ConTime!BW$23</f>
        <v>0</v>
      </c>
      <c r="BX33" s="847">
        <f xml:space="preserve"> ConTime!BX$23</f>
        <v>0</v>
      </c>
      <c r="BY33" s="847">
        <f xml:space="preserve"> ConTime!BY$23</f>
        <v>0</v>
      </c>
      <c r="BZ33" s="847">
        <f xml:space="preserve"> ConTime!BZ$23</f>
        <v>0</v>
      </c>
      <c r="CA33" s="847">
        <f xml:space="preserve"> ConTime!CA$23</f>
        <v>0</v>
      </c>
      <c r="CB33" s="847">
        <f xml:space="preserve"> ConTime!CB$23</f>
        <v>0</v>
      </c>
      <c r="CC33" s="847">
        <f xml:space="preserve"> ConTime!CC$23</f>
        <v>0</v>
      </c>
      <c r="CD33" s="847">
        <f xml:space="preserve"> ConTime!CD$23</f>
        <v>0</v>
      </c>
      <c r="CE33" s="847">
        <f xml:space="preserve"> ConTime!CE$23</f>
        <v>0</v>
      </c>
      <c r="CF33" s="847">
        <f xml:space="preserve"> ConTime!CF$23</f>
        <v>0</v>
      </c>
      <c r="CG33" s="847">
        <f xml:space="preserve"> ConTime!CG$23</f>
        <v>0</v>
      </c>
      <c r="CH33" s="847">
        <f xml:space="preserve"> ConTime!CH$23</f>
        <v>0</v>
      </c>
      <c r="CI33" s="847">
        <f xml:space="preserve"> ConTime!CI$23</f>
        <v>0</v>
      </c>
      <c r="CJ33" s="847">
        <f xml:space="preserve"> ConTime!CJ$23</f>
        <v>0</v>
      </c>
      <c r="CK33" s="847">
        <f xml:space="preserve"> ConTime!CK$23</f>
        <v>0</v>
      </c>
      <c r="CL33" s="847">
        <f xml:space="preserve"> ConTime!CL$23</f>
        <v>0</v>
      </c>
      <c r="CM33" s="847">
        <f xml:space="preserve"> ConTime!CM$23</f>
        <v>0</v>
      </c>
      <c r="CN33" s="847">
        <f xml:space="preserve"> ConTime!CN$23</f>
        <v>0</v>
      </c>
      <c r="CO33" s="847">
        <f xml:space="preserve"> ConTime!CO$23</f>
        <v>0</v>
      </c>
      <c r="CP33" s="847">
        <f xml:space="preserve"> ConTime!CP$23</f>
        <v>0</v>
      </c>
      <c r="CQ33" s="847">
        <f xml:space="preserve"> ConTime!CQ$23</f>
        <v>0</v>
      </c>
      <c r="CR33" s="847">
        <f xml:space="preserve"> ConTime!CR$23</f>
        <v>0</v>
      </c>
      <c r="CS33" s="847">
        <f xml:space="preserve"> ConTime!CS$23</f>
        <v>0</v>
      </c>
      <c r="CT33" s="847">
        <f xml:space="preserve"> ConTime!CT$23</f>
        <v>0</v>
      </c>
      <c r="CU33" s="847">
        <f xml:space="preserve"> ConTime!CU$23</f>
        <v>0</v>
      </c>
      <c r="CV33" s="847">
        <f xml:space="preserve"> ConTime!CV$23</f>
        <v>0</v>
      </c>
    </row>
    <row r="34" spans="1:100" s="848" customFormat="1" outlineLevel="1" x14ac:dyDescent="0.2">
      <c r="A34" s="849"/>
      <c r="B34" s="849"/>
      <c r="C34" s="850"/>
      <c r="D34" s="851"/>
      <c r="E34" s="848" t="str">
        <f xml:space="preserve"> Time!E$25</f>
        <v>Model period ending</v>
      </c>
      <c r="F34" s="848">
        <f xml:space="preserve"> Time!F$25</f>
        <v>0</v>
      </c>
      <c r="G34" s="848" t="str">
        <f xml:space="preserve"> Time!G$25</f>
        <v>date</v>
      </c>
      <c r="H34" s="848">
        <f xml:space="preserve"> Time!H$25</f>
        <v>0</v>
      </c>
      <c r="I34" s="848">
        <f xml:space="preserve"> Time!I$25</f>
        <v>0</v>
      </c>
      <c r="J34" s="848">
        <f xml:space="preserve"> Time!J$25</f>
        <v>44742</v>
      </c>
      <c r="K34" s="848">
        <f xml:space="preserve"> Time!K$25</f>
        <v>44926</v>
      </c>
      <c r="L34" s="848">
        <f xml:space="preserve"> Time!L$25</f>
        <v>45107</v>
      </c>
      <c r="M34" s="848">
        <f xml:space="preserve"> Time!M$25</f>
        <v>45291</v>
      </c>
      <c r="N34" s="848">
        <f xml:space="preserve"> Time!N$25</f>
        <v>45473</v>
      </c>
      <c r="O34" s="848">
        <f xml:space="preserve"> Time!O$25</f>
        <v>45657</v>
      </c>
      <c r="P34" s="848">
        <f xml:space="preserve"> Time!P$25</f>
        <v>45838</v>
      </c>
      <c r="Q34" s="848">
        <f xml:space="preserve"> Time!Q$25</f>
        <v>46022</v>
      </c>
      <c r="R34" s="848">
        <f xml:space="preserve"> Time!R$25</f>
        <v>46203</v>
      </c>
      <c r="S34" s="848">
        <f xml:space="preserve"> Time!S$25</f>
        <v>46387</v>
      </c>
      <c r="T34" s="848">
        <f xml:space="preserve"> Time!T$25</f>
        <v>46568</v>
      </c>
      <c r="U34" s="848">
        <f xml:space="preserve"> Time!U$25</f>
        <v>46752</v>
      </c>
      <c r="V34" s="848">
        <f xml:space="preserve"> Time!V$25</f>
        <v>46934</v>
      </c>
      <c r="W34" s="848">
        <f xml:space="preserve"> Time!W$25</f>
        <v>47118</v>
      </c>
      <c r="X34" s="848">
        <f xml:space="preserve"> Time!X$25</f>
        <v>47299</v>
      </c>
      <c r="Y34" s="848">
        <f xml:space="preserve"> Time!Y$25</f>
        <v>47483</v>
      </c>
      <c r="Z34" s="848">
        <f xml:space="preserve"> Time!Z$25</f>
        <v>47664</v>
      </c>
      <c r="AA34" s="848">
        <f xml:space="preserve"> Time!AA$25</f>
        <v>47848</v>
      </c>
      <c r="AB34" s="848">
        <f xml:space="preserve"> Time!AB$25</f>
        <v>48029</v>
      </c>
      <c r="AC34" s="848">
        <f xml:space="preserve"> Time!AC$25</f>
        <v>48213</v>
      </c>
      <c r="AD34" s="848">
        <f xml:space="preserve"> Time!AD$25</f>
        <v>48395</v>
      </c>
      <c r="AE34" s="848">
        <f xml:space="preserve"> Time!AE$25</f>
        <v>48579</v>
      </c>
      <c r="AF34" s="848">
        <f xml:space="preserve"> Time!AF$25</f>
        <v>48760</v>
      </c>
      <c r="AG34" s="848">
        <f xml:space="preserve"> Time!AG$25</f>
        <v>48944</v>
      </c>
      <c r="AH34" s="848">
        <f xml:space="preserve"> Time!AH$25</f>
        <v>49125</v>
      </c>
      <c r="AI34" s="848">
        <f xml:space="preserve"> Time!AI$25</f>
        <v>49309</v>
      </c>
      <c r="AJ34" s="848">
        <f xml:space="preserve"> Time!AJ$25</f>
        <v>49490</v>
      </c>
      <c r="AK34" s="848">
        <f xml:space="preserve"> Time!AK$25</f>
        <v>49674</v>
      </c>
      <c r="AL34" s="848">
        <f xml:space="preserve"> Time!AL$25</f>
        <v>49856</v>
      </c>
      <c r="AM34" s="848">
        <f xml:space="preserve"> Time!AM$25</f>
        <v>50040</v>
      </c>
      <c r="AN34" s="848">
        <f xml:space="preserve"> Time!AN$25</f>
        <v>50221</v>
      </c>
      <c r="AO34" s="848">
        <f xml:space="preserve"> Time!AO$25</f>
        <v>50405</v>
      </c>
      <c r="AP34" s="848">
        <f xml:space="preserve"> Time!AP$25</f>
        <v>50586</v>
      </c>
      <c r="AQ34" s="848">
        <f xml:space="preserve"> Time!AQ$25</f>
        <v>50770</v>
      </c>
      <c r="AR34" s="848">
        <f xml:space="preserve"> Time!AR$25</f>
        <v>50951</v>
      </c>
      <c r="AS34" s="848">
        <f xml:space="preserve"> Time!AS$25</f>
        <v>51135</v>
      </c>
      <c r="AT34" s="848">
        <f xml:space="preserve"> Time!AT$25</f>
        <v>51317</v>
      </c>
      <c r="AU34" s="848">
        <f xml:space="preserve"> Time!AU$25</f>
        <v>51501</v>
      </c>
      <c r="AV34" s="848">
        <f xml:space="preserve"> Time!AV$25</f>
        <v>51682</v>
      </c>
      <c r="AW34" s="848">
        <f xml:space="preserve"> Time!AW$25</f>
        <v>51866</v>
      </c>
      <c r="AX34" s="848">
        <f xml:space="preserve"> Time!AX$25</f>
        <v>52047</v>
      </c>
      <c r="AY34" s="848">
        <f xml:space="preserve"> Time!AY$25</f>
        <v>52231</v>
      </c>
      <c r="AZ34" s="848">
        <f xml:space="preserve"> Time!AZ$25</f>
        <v>52412</v>
      </c>
      <c r="BA34" s="848">
        <f xml:space="preserve"> Time!BA$25</f>
        <v>52596</v>
      </c>
      <c r="BB34" s="848">
        <f xml:space="preserve"> Time!BB$25</f>
        <v>52778</v>
      </c>
      <c r="BC34" s="848">
        <f xml:space="preserve"> Time!BC$25</f>
        <v>52962</v>
      </c>
      <c r="BD34" s="848">
        <f xml:space="preserve"> Time!BD$25</f>
        <v>53143</v>
      </c>
      <c r="BE34" s="848">
        <f xml:space="preserve"> Time!BE$25</f>
        <v>53327</v>
      </c>
      <c r="BF34" s="848">
        <f xml:space="preserve"> Time!BF$25</f>
        <v>53508</v>
      </c>
      <c r="BG34" s="848">
        <f xml:space="preserve"> Time!BG$25</f>
        <v>53692</v>
      </c>
      <c r="BH34" s="848">
        <f xml:space="preserve"> Time!BH$25</f>
        <v>53873</v>
      </c>
      <c r="BI34" s="848">
        <f xml:space="preserve"> Time!BI$25</f>
        <v>54057</v>
      </c>
      <c r="BJ34" s="848">
        <f xml:space="preserve"> Time!BJ$25</f>
        <v>54239</v>
      </c>
      <c r="BK34" s="848">
        <f xml:space="preserve"> Time!BK$25</f>
        <v>54423</v>
      </c>
      <c r="BL34" s="848">
        <f xml:space="preserve"> Time!BL$25</f>
        <v>54604</v>
      </c>
      <c r="BM34" s="848">
        <f xml:space="preserve"> Time!BM$25</f>
        <v>54788</v>
      </c>
      <c r="BN34" s="848">
        <f xml:space="preserve"> Time!BN$25</f>
        <v>54969</v>
      </c>
      <c r="BO34" s="848">
        <f xml:space="preserve"> Time!BO$25</f>
        <v>55153</v>
      </c>
      <c r="BP34" s="848">
        <f xml:space="preserve"> Time!BP$25</f>
        <v>55334</v>
      </c>
      <c r="BQ34" s="848">
        <f xml:space="preserve"> Time!BQ$25</f>
        <v>55518</v>
      </c>
      <c r="BR34" s="848">
        <f xml:space="preserve"> Time!BR$25</f>
        <v>55700</v>
      </c>
      <c r="BS34" s="848">
        <f xml:space="preserve"> Time!BS$25</f>
        <v>55884</v>
      </c>
      <c r="BT34" s="848">
        <f xml:space="preserve"> Time!BT$25</f>
        <v>56065</v>
      </c>
      <c r="BU34" s="848">
        <f xml:space="preserve"> Time!BU$25</f>
        <v>56249</v>
      </c>
      <c r="BV34" s="848">
        <f xml:space="preserve"> Time!BV$25</f>
        <v>56430</v>
      </c>
      <c r="BW34" s="848">
        <f xml:space="preserve"> Time!BW$25</f>
        <v>56614</v>
      </c>
      <c r="BX34" s="848">
        <f xml:space="preserve"> Time!BX$25</f>
        <v>56795</v>
      </c>
      <c r="BY34" s="848">
        <f xml:space="preserve"> Time!BY$25</f>
        <v>56979</v>
      </c>
      <c r="BZ34" s="848">
        <f xml:space="preserve"> Time!BZ$25</f>
        <v>57161</v>
      </c>
      <c r="CA34" s="848">
        <f xml:space="preserve"> Time!CA$25</f>
        <v>57345</v>
      </c>
      <c r="CB34" s="848">
        <f xml:space="preserve"> Time!CB$25</f>
        <v>57526</v>
      </c>
      <c r="CC34" s="848">
        <f xml:space="preserve"> Time!CC$25</f>
        <v>57710</v>
      </c>
      <c r="CD34" s="848">
        <f xml:space="preserve"> Time!CD$25</f>
        <v>57891</v>
      </c>
      <c r="CE34" s="848">
        <f xml:space="preserve"> Time!CE$25</f>
        <v>58075</v>
      </c>
      <c r="CF34" s="848">
        <f xml:space="preserve"> Time!CF$25</f>
        <v>58256</v>
      </c>
      <c r="CG34" s="848">
        <f xml:space="preserve"> Time!CG$25</f>
        <v>58440</v>
      </c>
      <c r="CH34" s="848">
        <f xml:space="preserve"> Time!CH$25</f>
        <v>58622</v>
      </c>
      <c r="CI34" s="848">
        <f xml:space="preserve"> Time!CI$25</f>
        <v>58806</v>
      </c>
      <c r="CJ34" s="848">
        <f xml:space="preserve"> Time!CJ$25</f>
        <v>58987</v>
      </c>
      <c r="CK34" s="848">
        <f xml:space="preserve"> Time!CK$25</f>
        <v>59171</v>
      </c>
      <c r="CL34" s="848">
        <f xml:space="preserve"> Time!CL$25</f>
        <v>59352</v>
      </c>
      <c r="CM34" s="848">
        <f xml:space="preserve"> Time!CM$25</f>
        <v>59536</v>
      </c>
      <c r="CN34" s="848">
        <f xml:space="preserve"> Time!CN$25</f>
        <v>59717</v>
      </c>
      <c r="CO34" s="848">
        <f xml:space="preserve"> Time!CO$25</f>
        <v>59901</v>
      </c>
      <c r="CP34" s="848">
        <f xml:space="preserve"> Time!CP$25</f>
        <v>60083</v>
      </c>
      <c r="CQ34" s="848">
        <f xml:space="preserve"> Time!CQ$25</f>
        <v>60267</v>
      </c>
      <c r="CR34" s="848">
        <f xml:space="preserve"> Time!CR$25</f>
        <v>60448</v>
      </c>
      <c r="CS34" s="848">
        <f xml:space="preserve"> Time!CS$25</f>
        <v>60632</v>
      </c>
      <c r="CT34" s="848">
        <f xml:space="preserve"> Time!CT$25</f>
        <v>60813</v>
      </c>
      <c r="CU34" s="848">
        <f xml:space="preserve"> Time!CU$25</f>
        <v>60997</v>
      </c>
      <c r="CV34" s="848">
        <f xml:space="preserve"> Time!CV$25</f>
        <v>61178</v>
      </c>
    </row>
    <row r="35" spans="1:100" outlineLevel="1" x14ac:dyDescent="0.2">
      <c r="E35" s="531" t="s">
        <v>600</v>
      </c>
      <c r="F35" s="547">
        <f xml:space="preserve"> XIRR(J31:CV32, J33:CV34)</f>
        <v>7.0641347765922555E-2</v>
      </c>
      <c r="G35" s="531" t="s">
        <v>103</v>
      </c>
    </row>
    <row r="36" spans="1:100" outlineLevel="1" x14ac:dyDescent="0.2"/>
    <row r="37" spans="1:100" x14ac:dyDescent="0.2"/>
    <row r="38" spans="1:100" x14ac:dyDescent="0.2">
      <c r="A38" s="15" t="s">
        <v>153</v>
      </c>
    </row>
    <row r="39" spans="1:100" outlineLevel="1" x14ac:dyDescent="0.2"/>
    <row r="40" spans="1:100" outlineLevel="1" x14ac:dyDescent="0.2">
      <c r="B40" s="15" t="s">
        <v>1285</v>
      </c>
    </row>
    <row r="41" spans="1:100" outlineLevel="1" x14ac:dyDescent="0.2">
      <c r="E41" s="493" t="str">
        <f xml:space="preserve"> InpC!E$400</f>
        <v>Withholding tax on equity cashflows</v>
      </c>
      <c r="F41" s="493">
        <f xml:space="preserve"> InpC!F$400</f>
        <v>0.03</v>
      </c>
      <c r="G41" s="493" t="str">
        <f xml:space="preserve"> InpC!G$400</f>
        <v>%</v>
      </c>
    </row>
    <row r="42" spans="1:100" s="125" customFormat="1" outlineLevel="1" x14ac:dyDescent="0.2">
      <c r="A42" s="85"/>
      <c r="B42" s="85"/>
      <c r="C42" s="86"/>
      <c r="D42" s="87"/>
      <c r="E42" s="396" t="str">
        <f xml:space="preserve"> Equity!E$80</f>
        <v>Dividends paid POS</v>
      </c>
      <c r="F42" s="396">
        <f xml:space="preserve"> Equity!F$80</f>
        <v>0</v>
      </c>
      <c r="G42" s="396" t="str">
        <f xml:space="preserve"> Equity!G$80</f>
        <v>$ 000s</v>
      </c>
      <c r="H42" s="396">
        <f xml:space="preserve"> Equity!H$80</f>
        <v>0</v>
      </c>
      <c r="I42" s="396">
        <f xml:space="preserve"> Equity!I$80</f>
        <v>0</v>
      </c>
      <c r="J42" s="396">
        <f xml:space="preserve"> Equity!J$80</f>
        <v>0</v>
      </c>
      <c r="K42" s="396">
        <f xml:space="preserve"> Equity!K$80</f>
        <v>0</v>
      </c>
      <c r="L42" s="396">
        <f xml:space="preserve"> Equity!L$80</f>
        <v>0</v>
      </c>
      <c r="M42" s="396">
        <f xml:space="preserve"> Equity!M$80</f>
        <v>0</v>
      </c>
      <c r="N42" s="396">
        <f xml:space="preserve"> Equity!N$80</f>
        <v>0</v>
      </c>
      <c r="O42" s="396">
        <f xml:space="preserve"> Equity!O$80</f>
        <v>0</v>
      </c>
      <c r="P42" s="396">
        <f xml:space="preserve"> Equity!P$80</f>
        <v>0</v>
      </c>
      <c r="Q42" s="396">
        <f xml:space="preserve"> Equity!Q$80</f>
        <v>0</v>
      </c>
      <c r="R42" s="396">
        <f xml:space="preserve"> Equity!R$80</f>
        <v>0</v>
      </c>
      <c r="S42" s="396">
        <f xml:space="preserve"> Equity!S$80</f>
        <v>0</v>
      </c>
      <c r="T42" s="396">
        <f xml:space="preserve"> Equity!T$80</f>
        <v>0</v>
      </c>
      <c r="U42" s="396">
        <f xml:space="preserve"> Equity!U$80</f>
        <v>0</v>
      </c>
      <c r="V42" s="396">
        <f xml:space="preserve"> Equity!V$80</f>
        <v>0</v>
      </c>
      <c r="W42" s="396">
        <f xml:space="preserve"> Equity!W$80</f>
        <v>0</v>
      </c>
      <c r="X42" s="396">
        <f xml:space="preserve"> Equity!X$80</f>
        <v>0</v>
      </c>
      <c r="Y42" s="396">
        <f xml:space="preserve"> Equity!Y$80</f>
        <v>0</v>
      </c>
      <c r="Z42" s="396">
        <f xml:space="preserve"> Equity!Z$80</f>
        <v>0</v>
      </c>
      <c r="AA42" s="396">
        <f xml:space="preserve"> Equity!AA$80</f>
        <v>0</v>
      </c>
      <c r="AB42" s="396">
        <f xml:space="preserve"> Equity!AB$80</f>
        <v>0</v>
      </c>
      <c r="AC42" s="396">
        <f xml:space="preserve"> Equity!AC$80</f>
        <v>0</v>
      </c>
      <c r="AD42" s="396">
        <f xml:space="preserve"> Equity!AD$80</f>
        <v>0</v>
      </c>
      <c r="AE42" s="396">
        <f xml:space="preserve"> Equity!AE$80</f>
        <v>0</v>
      </c>
      <c r="AF42" s="396">
        <f xml:space="preserve"> Equity!AF$80</f>
        <v>0</v>
      </c>
      <c r="AG42" s="396">
        <f xml:space="preserve"> Equity!AG$80</f>
        <v>0</v>
      </c>
      <c r="AH42" s="396">
        <f xml:space="preserve"> Equity!AH$80</f>
        <v>0</v>
      </c>
      <c r="AI42" s="396">
        <f xml:space="preserve"> Equity!AI$80</f>
        <v>0</v>
      </c>
      <c r="AJ42" s="396">
        <f xml:space="preserve"> Equity!AJ$80</f>
        <v>0</v>
      </c>
      <c r="AK42" s="396">
        <f xml:space="preserve"> Equity!AK$80</f>
        <v>0</v>
      </c>
      <c r="AL42" s="396">
        <f xml:space="preserve"> Equity!AL$80</f>
        <v>0</v>
      </c>
      <c r="AM42" s="396">
        <f xml:space="preserve"> Equity!AM$80</f>
        <v>0</v>
      </c>
      <c r="AN42" s="396">
        <f xml:space="preserve"> Equity!AN$80</f>
        <v>0</v>
      </c>
      <c r="AO42" s="396">
        <f xml:space="preserve"> Equity!AO$80</f>
        <v>0</v>
      </c>
      <c r="AP42" s="396">
        <f xml:space="preserve"> Equity!AP$80</f>
        <v>0</v>
      </c>
      <c r="AQ42" s="396">
        <f xml:space="preserve"> Equity!AQ$80</f>
        <v>0</v>
      </c>
      <c r="AR42" s="396">
        <f xml:space="preserve"> Equity!AR$80</f>
        <v>0</v>
      </c>
      <c r="AS42" s="396">
        <f xml:space="preserve"> Equity!AS$80</f>
        <v>0</v>
      </c>
      <c r="AT42" s="396">
        <f xml:space="preserve"> Equity!AT$80</f>
        <v>0</v>
      </c>
      <c r="AU42" s="396">
        <f xml:space="preserve"> Equity!AU$80</f>
        <v>0</v>
      </c>
      <c r="AV42" s="396">
        <f xml:space="preserve"> Equity!AV$80</f>
        <v>0</v>
      </c>
      <c r="AW42" s="396">
        <f xml:space="preserve"> Equity!AW$80</f>
        <v>0</v>
      </c>
      <c r="AX42" s="396">
        <f xml:space="preserve"> Equity!AX$80</f>
        <v>0</v>
      </c>
      <c r="AY42" s="396">
        <f xml:space="preserve"> Equity!AY$80</f>
        <v>0</v>
      </c>
      <c r="AZ42" s="396">
        <f xml:space="preserve"> Equity!AZ$80</f>
        <v>0</v>
      </c>
      <c r="BA42" s="396">
        <f xml:space="preserve"> Equity!BA$80</f>
        <v>0</v>
      </c>
      <c r="BB42" s="396">
        <f xml:space="preserve"> Equity!BB$80</f>
        <v>0</v>
      </c>
      <c r="BC42" s="396">
        <f xml:space="preserve"> Equity!BC$80</f>
        <v>0</v>
      </c>
      <c r="BD42" s="396">
        <f xml:space="preserve"> Equity!BD$80</f>
        <v>0</v>
      </c>
      <c r="BE42" s="396">
        <f xml:space="preserve"> Equity!BE$80</f>
        <v>0</v>
      </c>
      <c r="BF42" s="396">
        <f xml:space="preserve"> Equity!BF$80</f>
        <v>0</v>
      </c>
      <c r="BG42" s="396">
        <f xml:space="preserve"> Equity!BG$80</f>
        <v>0</v>
      </c>
      <c r="BH42" s="396">
        <f xml:space="preserve"> Equity!BH$80</f>
        <v>0</v>
      </c>
      <c r="BI42" s="396">
        <f xml:space="preserve"> Equity!BI$80</f>
        <v>0</v>
      </c>
      <c r="BJ42" s="396">
        <f xml:space="preserve"> Equity!BJ$80</f>
        <v>0</v>
      </c>
      <c r="BK42" s="396">
        <f xml:space="preserve"> Equity!BK$80</f>
        <v>0</v>
      </c>
      <c r="BL42" s="396">
        <f xml:space="preserve"> Equity!BL$80</f>
        <v>0</v>
      </c>
      <c r="BM42" s="396">
        <f xml:space="preserve"> Equity!BM$80</f>
        <v>0</v>
      </c>
      <c r="BN42" s="396">
        <f xml:space="preserve"> Equity!BN$80</f>
        <v>0</v>
      </c>
      <c r="BO42" s="396">
        <f xml:space="preserve"> Equity!BO$80</f>
        <v>0</v>
      </c>
      <c r="BP42" s="396">
        <f xml:space="preserve"> Equity!BP$80</f>
        <v>0</v>
      </c>
      <c r="BQ42" s="396">
        <f xml:space="preserve"> Equity!BQ$80</f>
        <v>0</v>
      </c>
      <c r="BR42" s="396">
        <f xml:space="preserve"> Equity!BR$80</f>
        <v>0</v>
      </c>
      <c r="BS42" s="396">
        <f xml:space="preserve"> Equity!BS$80</f>
        <v>0</v>
      </c>
      <c r="BT42" s="396">
        <f xml:space="preserve"> Equity!BT$80</f>
        <v>0</v>
      </c>
      <c r="BU42" s="396">
        <f xml:space="preserve"> Equity!BU$80</f>
        <v>0</v>
      </c>
      <c r="BV42" s="396">
        <f xml:space="preserve"> Equity!BV$80</f>
        <v>0</v>
      </c>
      <c r="BW42" s="396">
        <f xml:space="preserve"> Equity!BW$80</f>
        <v>0</v>
      </c>
      <c r="BX42" s="396">
        <f xml:space="preserve"> Equity!BX$80</f>
        <v>0</v>
      </c>
      <c r="BY42" s="396">
        <f xml:space="preserve"> Equity!BY$80</f>
        <v>0</v>
      </c>
      <c r="BZ42" s="396">
        <f xml:space="preserve"> Equity!BZ$80</f>
        <v>0</v>
      </c>
      <c r="CA42" s="396">
        <f xml:space="preserve"> Equity!CA$80</f>
        <v>0</v>
      </c>
      <c r="CB42" s="396">
        <f xml:space="preserve"> Equity!CB$80</f>
        <v>0</v>
      </c>
      <c r="CC42" s="396">
        <f xml:space="preserve"> Equity!CC$80</f>
        <v>0</v>
      </c>
      <c r="CD42" s="396">
        <f xml:space="preserve"> Equity!CD$80</f>
        <v>0</v>
      </c>
      <c r="CE42" s="396">
        <f xml:space="preserve"> Equity!CE$80</f>
        <v>0</v>
      </c>
      <c r="CF42" s="396">
        <f xml:space="preserve"> Equity!CF$80</f>
        <v>0</v>
      </c>
      <c r="CG42" s="396">
        <f xml:space="preserve"> Equity!CG$80</f>
        <v>0</v>
      </c>
      <c r="CH42" s="396">
        <f xml:space="preserve"> Equity!CH$80</f>
        <v>0</v>
      </c>
      <c r="CI42" s="396">
        <f xml:space="preserve"> Equity!CI$80</f>
        <v>0</v>
      </c>
      <c r="CJ42" s="396">
        <f xml:space="preserve"> Equity!CJ$80</f>
        <v>0</v>
      </c>
      <c r="CK42" s="396">
        <f xml:space="preserve"> Equity!CK$80</f>
        <v>0</v>
      </c>
      <c r="CL42" s="396">
        <f xml:space="preserve"> Equity!CL$80</f>
        <v>0</v>
      </c>
      <c r="CM42" s="396">
        <f xml:space="preserve"> Equity!CM$80</f>
        <v>0</v>
      </c>
      <c r="CN42" s="396">
        <f xml:space="preserve"> Equity!CN$80</f>
        <v>0</v>
      </c>
      <c r="CO42" s="396">
        <f xml:space="preserve"> Equity!CO$80</f>
        <v>0</v>
      </c>
      <c r="CP42" s="396">
        <f xml:space="preserve"> Equity!CP$80</f>
        <v>0</v>
      </c>
      <c r="CQ42" s="396">
        <f xml:space="preserve"> Equity!CQ$80</f>
        <v>0</v>
      </c>
      <c r="CR42" s="396">
        <f xml:space="preserve"> Equity!CR$80</f>
        <v>0</v>
      </c>
      <c r="CS42" s="396">
        <f xml:space="preserve"> Equity!CS$80</f>
        <v>0</v>
      </c>
      <c r="CT42" s="396">
        <f xml:space="preserve"> Equity!CT$80</f>
        <v>0</v>
      </c>
      <c r="CU42" s="396">
        <f xml:space="preserve"> Equity!CU$80</f>
        <v>0</v>
      </c>
      <c r="CV42" s="396">
        <f xml:space="preserve"> Equity!CV$80</f>
        <v>0</v>
      </c>
    </row>
    <row r="43" spans="1:100" outlineLevel="1" x14ac:dyDescent="0.2">
      <c r="A43" s="85"/>
      <c r="B43" s="85"/>
      <c r="C43" s="86"/>
      <c r="D43" s="87"/>
      <c r="E43" s="68" t="str">
        <f xml:space="preserve"> Debt!E$464</f>
        <v>Shareholder loan interest paid POS</v>
      </c>
      <c r="F43" s="68">
        <f xml:space="preserve"> Debt!F$464</f>
        <v>0</v>
      </c>
      <c r="G43" s="68" t="str">
        <f xml:space="preserve"> Debt!G$464</f>
        <v>$ 000s</v>
      </c>
      <c r="H43" s="68">
        <f xml:space="preserve"> Debt!H$464</f>
        <v>209529.209635665</v>
      </c>
      <c r="I43" s="68">
        <f xml:space="preserve"> Debt!I$464</f>
        <v>0</v>
      </c>
      <c r="J43" s="68">
        <f xml:space="preserve"> Debt!J$464</f>
        <v>0</v>
      </c>
      <c r="K43" s="68">
        <f xml:space="preserve"> Debt!K$464</f>
        <v>0</v>
      </c>
      <c r="L43" s="68">
        <f xml:space="preserve"> Debt!L$464</f>
        <v>0</v>
      </c>
      <c r="M43" s="68">
        <f xml:space="preserve"> Debt!M$464</f>
        <v>0</v>
      </c>
      <c r="N43" s="68">
        <f xml:space="preserve"> Debt!N$464</f>
        <v>0</v>
      </c>
      <c r="O43" s="68">
        <f xml:space="preserve"> Debt!O$464</f>
        <v>4958.439672321485</v>
      </c>
      <c r="P43" s="68">
        <f xml:space="preserve"> Debt!P$464</f>
        <v>4419.0608948077006</v>
      </c>
      <c r="Q43" s="68">
        <f xml:space="preserve"> Debt!Q$464</f>
        <v>4431.5253604270329</v>
      </c>
      <c r="R43" s="68">
        <f xml:space="preserve"> Debt!R$464</f>
        <v>4391.093891938297</v>
      </c>
      <c r="S43" s="68">
        <f xml:space="preserve"> Debt!S$464</f>
        <v>4403.1380347567629</v>
      </c>
      <c r="T43" s="68">
        <f xml:space="preserve"> Debt!T$464</f>
        <v>4355.3526856522458</v>
      </c>
      <c r="U43" s="68">
        <f xml:space="preserve"> Debt!U$464</f>
        <v>4382.0081370400603</v>
      </c>
      <c r="V43" s="68">
        <f xml:space="preserve"> Debt!V$464</f>
        <v>4347.3986771604377</v>
      </c>
      <c r="W43" s="68">
        <f xml:space="preserve"> Debt!W$464</f>
        <v>4332.0424186494074</v>
      </c>
      <c r="X43" s="68">
        <f xml:space="preserve"> Debt!X$464</f>
        <v>4305.6339209957259</v>
      </c>
      <c r="Y43" s="68">
        <f xml:space="preserve"> Debt!Y$464</f>
        <v>4312.4659036591293</v>
      </c>
      <c r="Z43" s="68">
        <f xml:space="preserve"> Debt!Z$464</f>
        <v>4272.8092009906122</v>
      </c>
      <c r="AA43" s="68">
        <f xml:space="preserve"> Debt!AA$464</f>
        <v>4283.115731938944</v>
      </c>
      <c r="AB43" s="68">
        <f xml:space="preserve"> Debt!AB$464</f>
        <v>4236.3642612251533</v>
      </c>
      <c r="AC43" s="68">
        <f xml:space="preserve"> Debt!AC$464</f>
        <v>4260.7817874205048</v>
      </c>
      <c r="AD43" s="68">
        <f xml:space="preserve"> Debt!AD$464</f>
        <v>4226.8926984581904</v>
      </c>
      <c r="AE43" s="68">
        <f xml:space="preserve"> Debt!AE$464</f>
        <v>4210.5566747623652</v>
      </c>
      <c r="AF43" s="68">
        <f xml:space="preserve"> Debt!AF$464</f>
        <v>4184.5198798179717</v>
      </c>
      <c r="AG43" s="68">
        <f xml:space="preserve"> Debt!AG$464</f>
        <v>4193.5196354169639</v>
      </c>
      <c r="AH43" s="68">
        <f xml:space="preserve"> Debt!AH$464</f>
        <v>4154.5851076482049</v>
      </c>
      <c r="AI43" s="68">
        <f xml:space="preserve"> Debt!AI$464</f>
        <v>4160.1690071333178</v>
      </c>
      <c r="AJ43" s="68">
        <f xml:space="preserve"> Debt!AJ$464</f>
        <v>4114.5867677660935</v>
      </c>
      <c r="AK43" s="68">
        <f xml:space="preserve"> Debt!AK$464</f>
        <v>4136.8167660469644</v>
      </c>
      <c r="AL43" s="68">
        <f xml:space="preserve"> Debt!AL$464</f>
        <v>4103.793740913763</v>
      </c>
      <c r="AM43" s="68">
        <f xml:space="preserve"> Debt!AM$464</f>
        <v>4086.5915922280165</v>
      </c>
      <c r="AN43" s="68">
        <f xml:space="preserve"> Debt!AN$464</f>
        <v>4061.0374088608005</v>
      </c>
      <c r="AO43" s="68">
        <f xml:space="preserve"> Debt!AO$464</f>
        <v>4068.3871290318584</v>
      </c>
      <c r="AP43" s="68">
        <f xml:space="preserve"> Debt!AP$464</f>
        <v>4030.4248647182721</v>
      </c>
      <c r="AQ43" s="68">
        <f xml:space="preserve"> Debt!AQ$464</f>
        <v>4037.3447391668196</v>
      </c>
      <c r="AR43" s="68">
        <f xml:space="preserve"> Debt!AR$464</f>
        <v>3992.8547991747637</v>
      </c>
      <c r="AS43" s="68">
        <f xml:space="preserve"> Debt!AS$464</f>
        <v>4012.8195573263183</v>
      </c>
      <c r="AT43" s="68">
        <f xml:space="preserve"> Debt!AT$464</f>
        <v>3980.2686518909049</v>
      </c>
      <c r="AU43" s="68">
        <f xml:space="preserve"> Debt!AU$464</f>
        <v>8821.7245186193904</v>
      </c>
      <c r="AV43" s="68">
        <f xml:space="preserve"> Debt!AV$464</f>
        <v>8743.9212089990451</v>
      </c>
      <c r="AW43" s="68">
        <f xml:space="preserve"> Debt!AW$464</f>
        <v>9987.6941905636468</v>
      </c>
      <c r="AX43" s="68">
        <f xml:space="preserve"> Debt!AX$464</f>
        <v>9770.4895641548992</v>
      </c>
      <c r="AY43" s="68">
        <f xml:space="preserve"> Debt!AY$464</f>
        <v>9549.0318421243355</v>
      </c>
      <c r="AZ43" s="68">
        <f xml:space="preserve"> Debt!AZ$464</f>
        <v>9314.507238305725</v>
      </c>
      <c r="BA43" s="68">
        <f xml:space="preserve"> Debt!BA$464</f>
        <v>9074.6492789060685</v>
      </c>
      <c r="BB43" s="68">
        <f xml:space="preserve"> Debt!BB$464</f>
        <v>8820.7921946468232</v>
      </c>
      <c r="BC43" s="68">
        <f xml:space="preserve"> Debt!BC$464</f>
        <v>0</v>
      </c>
      <c r="BD43" s="68">
        <f xml:space="preserve"> Debt!BD$464</f>
        <v>0</v>
      </c>
      <c r="BE43" s="68">
        <f xml:space="preserve"> Debt!BE$464</f>
        <v>0</v>
      </c>
      <c r="BF43" s="68">
        <f xml:space="preserve"> Debt!BF$464</f>
        <v>0</v>
      </c>
      <c r="BG43" s="68">
        <f xml:space="preserve"> Debt!BG$464</f>
        <v>0</v>
      </c>
      <c r="BH43" s="68">
        <f xml:space="preserve"> Debt!BH$464</f>
        <v>0</v>
      </c>
      <c r="BI43" s="68">
        <f xml:space="preserve"> Debt!BI$464</f>
        <v>0</v>
      </c>
      <c r="BJ43" s="68">
        <f xml:space="preserve"> Debt!BJ$464</f>
        <v>0</v>
      </c>
      <c r="BK43" s="68">
        <f xml:space="preserve"> Debt!BK$464</f>
        <v>0</v>
      </c>
      <c r="BL43" s="68">
        <f xml:space="preserve"> Debt!BL$464</f>
        <v>0</v>
      </c>
      <c r="BM43" s="68">
        <f xml:space="preserve"> Debt!BM$464</f>
        <v>0</v>
      </c>
      <c r="BN43" s="68">
        <f xml:space="preserve"> Debt!BN$464</f>
        <v>0</v>
      </c>
      <c r="BO43" s="68">
        <f xml:space="preserve"> Debt!BO$464</f>
        <v>0</v>
      </c>
      <c r="BP43" s="68">
        <f xml:space="preserve"> Debt!BP$464</f>
        <v>0</v>
      </c>
      <c r="BQ43" s="68">
        <f xml:space="preserve"> Debt!BQ$464</f>
        <v>0</v>
      </c>
      <c r="BR43" s="68">
        <f xml:space="preserve"> Debt!BR$464</f>
        <v>0</v>
      </c>
      <c r="BS43" s="68">
        <f xml:space="preserve"> Debt!BS$464</f>
        <v>0</v>
      </c>
      <c r="BT43" s="68">
        <f xml:space="preserve"> Debt!BT$464</f>
        <v>0</v>
      </c>
      <c r="BU43" s="68">
        <f xml:space="preserve"> Debt!BU$464</f>
        <v>0</v>
      </c>
      <c r="BV43" s="68">
        <f xml:space="preserve"> Debt!BV$464</f>
        <v>0</v>
      </c>
      <c r="BW43" s="68">
        <f xml:space="preserve"> Debt!BW$464</f>
        <v>0</v>
      </c>
      <c r="BX43" s="68">
        <f xml:space="preserve"> Debt!BX$464</f>
        <v>0</v>
      </c>
      <c r="BY43" s="68">
        <f xml:space="preserve"> Debt!BY$464</f>
        <v>0</v>
      </c>
      <c r="BZ43" s="68">
        <f xml:space="preserve"> Debt!BZ$464</f>
        <v>0</v>
      </c>
      <c r="CA43" s="68">
        <f xml:space="preserve"> Debt!CA$464</f>
        <v>0</v>
      </c>
      <c r="CB43" s="68">
        <f xml:space="preserve"> Debt!CB$464</f>
        <v>0</v>
      </c>
      <c r="CC43" s="68">
        <f xml:space="preserve"> Debt!CC$464</f>
        <v>0</v>
      </c>
      <c r="CD43" s="68">
        <f xml:space="preserve"> Debt!CD$464</f>
        <v>0</v>
      </c>
      <c r="CE43" s="68">
        <f xml:space="preserve"> Debt!CE$464</f>
        <v>0</v>
      </c>
      <c r="CF43" s="68">
        <f xml:space="preserve"> Debt!CF$464</f>
        <v>0</v>
      </c>
      <c r="CG43" s="68">
        <f xml:space="preserve"> Debt!CG$464</f>
        <v>0</v>
      </c>
      <c r="CH43" s="68">
        <f xml:space="preserve"> Debt!CH$464</f>
        <v>0</v>
      </c>
      <c r="CI43" s="68">
        <f xml:space="preserve"> Debt!CI$464</f>
        <v>0</v>
      </c>
      <c r="CJ43" s="68">
        <f xml:space="preserve"> Debt!CJ$464</f>
        <v>0</v>
      </c>
      <c r="CK43" s="68">
        <f xml:space="preserve"> Debt!CK$464</f>
        <v>0</v>
      </c>
      <c r="CL43" s="68">
        <f xml:space="preserve"> Debt!CL$464</f>
        <v>0</v>
      </c>
      <c r="CM43" s="68">
        <f xml:space="preserve"> Debt!CM$464</f>
        <v>0</v>
      </c>
      <c r="CN43" s="68">
        <f xml:space="preserve"> Debt!CN$464</f>
        <v>0</v>
      </c>
      <c r="CO43" s="68">
        <f xml:space="preserve"> Debt!CO$464</f>
        <v>0</v>
      </c>
      <c r="CP43" s="68">
        <f xml:space="preserve"> Debt!CP$464</f>
        <v>0</v>
      </c>
      <c r="CQ43" s="68">
        <f xml:space="preserve"> Debt!CQ$464</f>
        <v>0</v>
      </c>
      <c r="CR43" s="68">
        <f xml:space="preserve"> Debt!CR$464</f>
        <v>0</v>
      </c>
      <c r="CS43" s="68">
        <f xml:space="preserve"> Debt!CS$464</f>
        <v>0</v>
      </c>
      <c r="CT43" s="68">
        <f xml:space="preserve"> Debt!CT$464</f>
        <v>0</v>
      </c>
      <c r="CU43" s="68">
        <f xml:space="preserve"> Debt!CU$464</f>
        <v>0</v>
      </c>
      <c r="CV43" s="68">
        <f xml:space="preserve"> Debt!CV$464</f>
        <v>0</v>
      </c>
    </row>
    <row r="44" spans="1:100" outlineLevel="1" x14ac:dyDescent="0.2">
      <c r="E44" s="12" t="s">
        <v>1324</v>
      </c>
      <c r="G44" s="12" t="str">
        <f>SMU</f>
        <v>$ 000s</v>
      </c>
      <c r="H44" s="12">
        <f xml:space="preserve"> SUM(J44:CV44)</f>
        <v>6285.87628906995</v>
      </c>
      <c r="J44" s="12">
        <f t="shared" ref="J44:AO44" si="19" xml:space="preserve"> $F41 * SUM(J42:J43)</f>
        <v>0</v>
      </c>
      <c r="K44" s="12">
        <f t="shared" si="19"/>
        <v>0</v>
      </c>
      <c r="L44" s="12">
        <f t="shared" si="19"/>
        <v>0</v>
      </c>
      <c r="M44" s="12">
        <f t="shared" si="19"/>
        <v>0</v>
      </c>
      <c r="N44" s="12">
        <f t="shared" si="19"/>
        <v>0</v>
      </c>
      <c r="O44" s="12">
        <f xml:space="preserve"> $F41 * SUM(O42:O43)</f>
        <v>148.75319016964454</v>
      </c>
      <c r="P44" s="12">
        <f t="shared" si="19"/>
        <v>132.57182684423103</v>
      </c>
      <c r="Q44" s="12">
        <f t="shared" si="19"/>
        <v>132.94576081281099</v>
      </c>
      <c r="R44" s="12">
        <f t="shared" si="19"/>
        <v>131.73281675814891</v>
      </c>
      <c r="S44" s="12">
        <f t="shared" si="19"/>
        <v>132.09414104270289</v>
      </c>
      <c r="T44" s="12">
        <f t="shared" si="19"/>
        <v>130.66058056956737</v>
      </c>
      <c r="U44" s="12">
        <f t="shared" si="19"/>
        <v>131.4602441112018</v>
      </c>
      <c r="V44" s="12">
        <f t="shared" si="19"/>
        <v>130.42196031481313</v>
      </c>
      <c r="W44" s="12">
        <f t="shared" si="19"/>
        <v>129.96127255948221</v>
      </c>
      <c r="X44" s="12">
        <f t="shared" si="19"/>
        <v>129.16901762987177</v>
      </c>
      <c r="Y44" s="12">
        <f t="shared" si="19"/>
        <v>129.37397710977388</v>
      </c>
      <c r="Z44" s="12">
        <f t="shared" si="19"/>
        <v>128.18427602971838</v>
      </c>
      <c r="AA44" s="12">
        <f t="shared" si="19"/>
        <v>128.49347195816833</v>
      </c>
      <c r="AB44" s="12">
        <f t="shared" si="19"/>
        <v>127.09092783675459</v>
      </c>
      <c r="AC44" s="12">
        <f t="shared" si="19"/>
        <v>127.82345362261513</v>
      </c>
      <c r="AD44" s="12">
        <f t="shared" si="19"/>
        <v>126.8067809537457</v>
      </c>
      <c r="AE44" s="12">
        <f t="shared" si="19"/>
        <v>126.31670024287095</v>
      </c>
      <c r="AF44" s="12">
        <f t="shared" si="19"/>
        <v>125.53559639453914</v>
      </c>
      <c r="AG44" s="12">
        <f t="shared" si="19"/>
        <v>125.80558906250891</v>
      </c>
      <c r="AH44" s="12">
        <f t="shared" si="19"/>
        <v>124.63755322944614</v>
      </c>
      <c r="AI44" s="12">
        <f t="shared" si="19"/>
        <v>124.80507021399953</v>
      </c>
      <c r="AJ44" s="12">
        <f t="shared" si="19"/>
        <v>123.43760303298281</v>
      </c>
      <c r="AK44" s="12">
        <f t="shared" si="19"/>
        <v>124.10450298140893</v>
      </c>
      <c r="AL44" s="12">
        <f t="shared" si="19"/>
        <v>123.11381222741289</v>
      </c>
      <c r="AM44" s="12">
        <f t="shared" si="19"/>
        <v>122.59774776684048</v>
      </c>
      <c r="AN44" s="12">
        <f t="shared" si="19"/>
        <v>121.83112226582401</v>
      </c>
      <c r="AO44" s="12">
        <f t="shared" si="19"/>
        <v>122.05161387095575</v>
      </c>
      <c r="AP44" s="12">
        <f t="shared" ref="AP44:BU44" si="20" xml:space="preserve"> $F41 * SUM(AP42:AP43)</f>
        <v>120.91274594154817</v>
      </c>
      <c r="AQ44" s="12">
        <f t="shared" si="20"/>
        <v>121.12034217500458</v>
      </c>
      <c r="AR44" s="12">
        <f t="shared" si="20"/>
        <v>119.78564397524291</v>
      </c>
      <c r="AS44" s="12">
        <f t="shared" si="20"/>
        <v>120.38458671978954</v>
      </c>
      <c r="AT44" s="12">
        <f t="shared" si="20"/>
        <v>119.40805955672714</v>
      </c>
      <c r="AU44" s="12">
        <f t="shared" si="20"/>
        <v>264.65173555858172</v>
      </c>
      <c r="AV44" s="12">
        <f t="shared" si="20"/>
        <v>262.31763626997133</v>
      </c>
      <c r="AW44" s="12">
        <f t="shared" si="20"/>
        <v>299.63082571690938</v>
      </c>
      <c r="AX44" s="12">
        <f t="shared" si="20"/>
        <v>293.11468692464695</v>
      </c>
      <c r="AY44" s="12">
        <f t="shared" si="20"/>
        <v>286.47095526373005</v>
      </c>
      <c r="AZ44" s="12">
        <f t="shared" si="20"/>
        <v>279.43521714917176</v>
      </c>
      <c r="BA44" s="12">
        <f t="shared" si="20"/>
        <v>272.23947836718207</v>
      </c>
      <c r="BB44" s="12">
        <f t="shared" si="20"/>
        <v>264.62376583940471</v>
      </c>
      <c r="BC44" s="12">
        <f t="shared" si="20"/>
        <v>0</v>
      </c>
      <c r="BD44" s="12">
        <f t="shared" si="20"/>
        <v>0</v>
      </c>
      <c r="BE44" s="12">
        <f t="shared" si="20"/>
        <v>0</v>
      </c>
      <c r="BF44" s="12">
        <f t="shared" si="20"/>
        <v>0</v>
      </c>
      <c r="BG44" s="12">
        <f t="shared" si="20"/>
        <v>0</v>
      </c>
      <c r="BH44" s="12">
        <f t="shared" si="20"/>
        <v>0</v>
      </c>
      <c r="BI44" s="12">
        <f t="shared" si="20"/>
        <v>0</v>
      </c>
      <c r="BJ44" s="12">
        <f t="shared" si="20"/>
        <v>0</v>
      </c>
      <c r="BK44" s="12">
        <f t="shared" si="20"/>
        <v>0</v>
      </c>
      <c r="BL44" s="12">
        <f t="shared" si="20"/>
        <v>0</v>
      </c>
      <c r="BM44" s="12">
        <f t="shared" si="20"/>
        <v>0</v>
      </c>
      <c r="BN44" s="12">
        <f t="shared" si="20"/>
        <v>0</v>
      </c>
      <c r="BO44" s="12">
        <f t="shared" si="20"/>
        <v>0</v>
      </c>
      <c r="BP44" s="12">
        <f t="shared" si="20"/>
        <v>0</v>
      </c>
      <c r="BQ44" s="12">
        <f t="shared" si="20"/>
        <v>0</v>
      </c>
      <c r="BR44" s="12">
        <f t="shared" si="20"/>
        <v>0</v>
      </c>
      <c r="BS44" s="12">
        <f t="shared" si="20"/>
        <v>0</v>
      </c>
      <c r="BT44" s="12">
        <f t="shared" si="20"/>
        <v>0</v>
      </c>
      <c r="BU44" s="12">
        <f t="shared" si="20"/>
        <v>0</v>
      </c>
      <c r="BV44" s="12">
        <f t="shared" ref="BV44:CV44" si="21" xml:space="preserve"> $F41 * SUM(BV42:BV43)</f>
        <v>0</v>
      </c>
      <c r="BW44" s="12">
        <f t="shared" si="21"/>
        <v>0</v>
      </c>
      <c r="BX44" s="12">
        <f t="shared" si="21"/>
        <v>0</v>
      </c>
      <c r="BY44" s="12">
        <f t="shared" si="21"/>
        <v>0</v>
      </c>
      <c r="BZ44" s="12">
        <f t="shared" si="21"/>
        <v>0</v>
      </c>
      <c r="CA44" s="12">
        <f t="shared" si="21"/>
        <v>0</v>
      </c>
      <c r="CB44" s="12">
        <f t="shared" si="21"/>
        <v>0</v>
      </c>
      <c r="CC44" s="12">
        <f t="shared" si="21"/>
        <v>0</v>
      </c>
      <c r="CD44" s="12">
        <f t="shared" si="21"/>
        <v>0</v>
      </c>
      <c r="CE44" s="12">
        <f t="shared" si="21"/>
        <v>0</v>
      </c>
      <c r="CF44" s="12">
        <f t="shared" si="21"/>
        <v>0</v>
      </c>
      <c r="CG44" s="12">
        <f t="shared" si="21"/>
        <v>0</v>
      </c>
      <c r="CH44" s="12">
        <f t="shared" si="21"/>
        <v>0</v>
      </c>
      <c r="CI44" s="12">
        <f t="shared" si="21"/>
        <v>0</v>
      </c>
      <c r="CJ44" s="12">
        <f t="shared" si="21"/>
        <v>0</v>
      </c>
      <c r="CK44" s="12">
        <f t="shared" si="21"/>
        <v>0</v>
      </c>
      <c r="CL44" s="12">
        <f t="shared" si="21"/>
        <v>0</v>
      </c>
      <c r="CM44" s="12">
        <f t="shared" si="21"/>
        <v>0</v>
      </c>
      <c r="CN44" s="12">
        <f t="shared" si="21"/>
        <v>0</v>
      </c>
      <c r="CO44" s="12">
        <f t="shared" si="21"/>
        <v>0</v>
      </c>
      <c r="CP44" s="12">
        <f t="shared" si="21"/>
        <v>0</v>
      </c>
      <c r="CQ44" s="12">
        <f t="shared" si="21"/>
        <v>0</v>
      </c>
      <c r="CR44" s="12">
        <f t="shared" si="21"/>
        <v>0</v>
      </c>
      <c r="CS44" s="12">
        <f t="shared" si="21"/>
        <v>0</v>
      </c>
      <c r="CT44" s="12">
        <f t="shared" si="21"/>
        <v>0</v>
      </c>
      <c r="CU44" s="12">
        <f t="shared" si="21"/>
        <v>0</v>
      </c>
      <c r="CV44" s="12">
        <f t="shared" si="21"/>
        <v>0</v>
      </c>
    </row>
    <row r="45" spans="1:100" outlineLevel="1" x14ac:dyDescent="0.2"/>
    <row r="46" spans="1:100" s="732" customFormat="1" outlineLevel="1" x14ac:dyDescent="0.2">
      <c r="A46" s="522"/>
      <c r="B46" s="522"/>
      <c r="C46" s="523"/>
      <c r="D46" s="524" t="s">
        <v>170</v>
      </c>
      <c r="E46" s="760" t="str">
        <f xml:space="preserve"> Debt!E$443</f>
        <v>Shareholder loan drawdown during operations</v>
      </c>
      <c r="F46" s="760">
        <f xml:space="preserve"> Debt!F$443</f>
        <v>0</v>
      </c>
      <c r="G46" s="760" t="str">
        <f xml:space="preserve"> Debt!G$443</f>
        <v>$ 000s</v>
      </c>
      <c r="H46" s="760">
        <f xml:space="preserve"> Debt!H$443</f>
        <v>0</v>
      </c>
      <c r="I46" s="760">
        <f xml:space="preserve"> Debt!I$443</f>
        <v>0</v>
      </c>
      <c r="J46" s="760">
        <f xml:space="preserve"> Debt!J$443</f>
        <v>0</v>
      </c>
      <c r="K46" s="760">
        <f xml:space="preserve"> Debt!K$443</f>
        <v>0</v>
      </c>
      <c r="L46" s="760">
        <f xml:space="preserve"> Debt!L$443</f>
        <v>0</v>
      </c>
      <c r="M46" s="760">
        <f xml:space="preserve"> Debt!M$443</f>
        <v>0</v>
      </c>
      <c r="N46" s="760">
        <f xml:space="preserve"> Debt!N$443</f>
        <v>0</v>
      </c>
      <c r="O46" s="760">
        <f xml:space="preserve"> Debt!O$443</f>
        <v>0</v>
      </c>
      <c r="P46" s="760">
        <f xml:space="preserve"> Debt!P$443</f>
        <v>0</v>
      </c>
      <c r="Q46" s="760">
        <f xml:space="preserve"> Debt!Q$443</f>
        <v>0</v>
      </c>
      <c r="R46" s="760">
        <f xml:space="preserve"> Debt!R$443</f>
        <v>0</v>
      </c>
      <c r="S46" s="760">
        <f xml:space="preserve"> Debt!S$443</f>
        <v>0</v>
      </c>
      <c r="T46" s="760">
        <f xml:space="preserve"> Debt!T$443</f>
        <v>0</v>
      </c>
      <c r="U46" s="760">
        <f xml:space="preserve"> Debt!U$443</f>
        <v>0</v>
      </c>
      <c r="V46" s="760">
        <f xml:space="preserve"> Debt!V$443</f>
        <v>0</v>
      </c>
      <c r="W46" s="760">
        <f xml:space="preserve"> Debt!W$443</f>
        <v>0</v>
      </c>
      <c r="X46" s="760">
        <f xml:space="preserve"> Debt!X$443</f>
        <v>0</v>
      </c>
      <c r="Y46" s="760">
        <f xml:space="preserve"> Debt!Y$443</f>
        <v>0</v>
      </c>
      <c r="Z46" s="760">
        <f xml:space="preserve"> Debt!Z$443</f>
        <v>0</v>
      </c>
      <c r="AA46" s="760">
        <f xml:space="preserve"> Debt!AA$443</f>
        <v>0</v>
      </c>
      <c r="AB46" s="760">
        <f xml:space="preserve"> Debt!AB$443</f>
        <v>0</v>
      </c>
      <c r="AC46" s="760">
        <f xml:space="preserve"> Debt!AC$443</f>
        <v>0</v>
      </c>
      <c r="AD46" s="760">
        <f xml:space="preserve"> Debt!AD$443</f>
        <v>0</v>
      </c>
      <c r="AE46" s="760">
        <f xml:space="preserve"> Debt!AE$443</f>
        <v>0</v>
      </c>
      <c r="AF46" s="760">
        <f xml:space="preserve"> Debt!AF$443</f>
        <v>0</v>
      </c>
      <c r="AG46" s="760">
        <f xml:space="preserve"> Debt!AG$443</f>
        <v>0</v>
      </c>
      <c r="AH46" s="760">
        <f xml:space="preserve"> Debt!AH$443</f>
        <v>0</v>
      </c>
      <c r="AI46" s="760">
        <f xml:space="preserve"> Debt!AI$443</f>
        <v>0</v>
      </c>
      <c r="AJ46" s="760">
        <f xml:space="preserve"> Debt!AJ$443</f>
        <v>0</v>
      </c>
      <c r="AK46" s="760">
        <f xml:space="preserve"> Debt!AK$443</f>
        <v>0</v>
      </c>
      <c r="AL46" s="760">
        <f xml:space="preserve"> Debt!AL$443</f>
        <v>0</v>
      </c>
      <c r="AM46" s="760">
        <f xml:space="preserve"> Debt!AM$443</f>
        <v>0</v>
      </c>
      <c r="AN46" s="760">
        <f xml:space="preserve"> Debt!AN$443</f>
        <v>0</v>
      </c>
      <c r="AO46" s="760">
        <f xml:space="preserve"> Debt!AO$443</f>
        <v>0</v>
      </c>
      <c r="AP46" s="760">
        <f xml:space="preserve"> Debt!AP$443</f>
        <v>0</v>
      </c>
      <c r="AQ46" s="760">
        <f xml:space="preserve"> Debt!AQ$443</f>
        <v>0</v>
      </c>
      <c r="AR46" s="760">
        <f xml:space="preserve"> Debt!AR$443</f>
        <v>0</v>
      </c>
      <c r="AS46" s="760">
        <f xml:space="preserve"> Debt!AS$443</f>
        <v>0</v>
      </c>
      <c r="AT46" s="760">
        <f xml:space="preserve"> Debt!AT$443</f>
        <v>0</v>
      </c>
      <c r="AU46" s="760">
        <f xml:space="preserve"> Debt!AU$443</f>
        <v>0</v>
      </c>
      <c r="AV46" s="760">
        <f xml:space="preserve"> Debt!AV$443</f>
        <v>0</v>
      </c>
      <c r="AW46" s="760">
        <f xml:space="preserve"> Debt!AW$443</f>
        <v>0</v>
      </c>
      <c r="AX46" s="760">
        <f xml:space="preserve"> Debt!AX$443</f>
        <v>0</v>
      </c>
      <c r="AY46" s="760">
        <f xml:space="preserve"> Debt!AY$443</f>
        <v>0</v>
      </c>
      <c r="AZ46" s="760">
        <f xml:space="preserve"> Debt!AZ$443</f>
        <v>0</v>
      </c>
      <c r="BA46" s="760">
        <f xml:space="preserve"> Debt!BA$443</f>
        <v>0</v>
      </c>
      <c r="BB46" s="760">
        <f xml:space="preserve"> Debt!BB$443</f>
        <v>0</v>
      </c>
      <c r="BC46" s="760">
        <f xml:space="preserve"> Debt!BC$443</f>
        <v>0</v>
      </c>
      <c r="BD46" s="760">
        <f xml:space="preserve"> Debt!BD$443</f>
        <v>0</v>
      </c>
      <c r="BE46" s="760">
        <f xml:space="preserve"> Debt!BE$443</f>
        <v>0</v>
      </c>
      <c r="BF46" s="760">
        <f xml:space="preserve"> Debt!BF$443</f>
        <v>0</v>
      </c>
      <c r="BG46" s="760">
        <f xml:space="preserve"> Debt!BG$443</f>
        <v>0</v>
      </c>
      <c r="BH46" s="760">
        <f xml:space="preserve"> Debt!BH$443</f>
        <v>0</v>
      </c>
      <c r="BI46" s="760">
        <f xml:space="preserve"> Debt!BI$443</f>
        <v>0</v>
      </c>
      <c r="BJ46" s="760">
        <f xml:space="preserve"> Debt!BJ$443</f>
        <v>0</v>
      </c>
      <c r="BK46" s="760">
        <f xml:space="preserve"> Debt!BK$443</f>
        <v>0</v>
      </c>
      <c r="BL46" s="760">
        <f xml:space="preserve"> Debt!BL$443</f>
        <v>0</v>
      </c>
      <c r="BM46" s="760">
        <f xml:space="preserve"> Debt!BM$443</f>
        <v>0</v>
      </c>
      <c r="BN46" s="760">
        <f xml:space="preserve"> Debt!BN$443</f>
        <v>0</v>
      </c>
      <c r="BO46" s="760">
        <f xml:space="preserve"> Debt!BO$443</f>
        <v>0</v>
      </c>
      <c r="BP46" s="760">
        <f xml:space="preserve"> Debt!BP$443</f>
        <v>0</v>
      </c>
      <c r="BQ46" s="760">
        <f xml:space="preserve"> Debt!BQ$443</f>
        <v>0</v>
      </c>
      <c r="BR46" s="760">
        <f xml:space="preserve"> Debt!BR$443</f>
        <v>0</v>
      </c>
      <c r="BS46" s="760">
        <f xml:space="preserve"> Debt!BS$443</f>
        <v>0</v>
      </c>
      <c r="BT46" s="760">
        <f xml:space="preserve"> Debt!BT$443</f>
        <v>0</v>
      </c>
      <c r="BU46" s="760">
        <f xml:space="preserve"> Debt!BU$443</f>
        <v>0</v>
      </c>
      <c r="BV46" s="760">
        <f xml:space="preserve"> Debt!BV$443</f>
        <v>0</v>
      </c>
      <c r="BW46" s="760">
        <f xml:space="preserve"> Debt!BW$443</f>
        <v>0</v>
      </c>
      <c r="BX46" s="760">
        <f xml:space="preserve"> Debt!BX$443</f>
        <v>0</v>
      </c>
      <c r="BY46" s="760">
        <f xml:space="preserve"> Debt!BY$443</f>
        <v>0</v>
      </c>
      <c r="BZ46" s="760">
        <f xml:space="preserve"> Debt!BZ$443</f>
        <v>0</v>
      </c>
      <c r="CA46" s="760">
        <f xml:space="preserve"> Debt!CA$443</f>
        <v>0</v>
      </c>
      <c r="CB46" s="760">
        <f xml:space="preserve"> Debt!CB$443</f>
        <v>0</v>
      </c>
      <c r="CC46" s="760">
        <f xml:space="preserve"> Debt!CC$443</f>
        <v>0</v>
      </c>
      <c r="CD46" s="760">
        <f xml:space="preserve"> Debt!CD$443</f>
        <v>0</v>
      </c>
      <c r="CE46" s="760">
        <f xml:space="preserve"> Debt!CE$443</f>
        <v>0</v>
      </c>
      <c r="CF46" s="760">
        <f xml:space="preserve"> Debt!CF$443</f>
        <v>0</v>
      </c>
      <c r="CG46" s="760">
        <f xml:space="preserve"> Debt!CG$443</f>
        <v>0</v>
      </c>
      <c r="CH46" s="760">
        <f xml:space="preserve"> Debt!CH$443</f>
        <v>0</v>
      </c>
      <c r="CI46" s="760">
        <f xml:space="preserve"> Debt!CI$443</f>
        <v>0</v>
      </c>
      <c r="CJ46" s="760">
        <f xml:space="preserve"> Debt!CJ$443</f>
        <v>0</v>
      </c>
      <c r="CK46" s="760">
        <f xml:space="preserve"> Debt!CK$443</f>
        <v>0</v>
      </c>
      <c r="CL46" s="760">
        <f xml:space="preserve"> Debt!CL$443</f>
        <v>0</v>
      </c>
      <c r="CM46" s="760">
        <f xml:space="preserve"> Debt!CM$443</f>
        <v>0</v>
      </c>
      <c r="CN46" s="760">
        <f xml:space="preserve"> Debt!CN$443</f>
        <v>0</v>
      </c>
      <c r="CO46" s="760">
        <f xml:space="preserve"> Debt!CO$443</f>
        <v>0</v>
      </c>
      <c r="CP46" s="760">
        <f xml:space="preserve"> Debt!CP$443</f>
        <v>0</v>
      </c>
      <c r="CQ46" s="760">
        <f xml:space="preserve"> Debt!CQ$443</f>
        <v>0</v>
      </c>
      <c r="CR46" s="760">
        <f xml:space="preserve"> Debt!CR$443</f>
        <v>0</v>
      </c>
      <c r="CS46" s="760">
        <f xml:space="preserve"> Debt!CS$443</f>
        <v>0</v>
      </c>
      <c r="CT46" s="760">
        <f xml:space="preserve"> Debt!CT$443</f>
        <v>0</v>
      </c>
      <c r="CU46" s="760">
        <f xml:space="preserve"> Debt!CU$443</f>
        <v>0</v>
      </c>
      <c r="CV46" s="760">
        <f xml:space="preserve"> Debt!CV$443</f>
        <v>0</v>
      </c>
    </row>
    <row r="47" spans="1:100" s="125" customFormat="1" outlineLevel="1" x14ac:dyDescent="0.2">
      <c r="A47" s="85"/>
      <c r="B47" s="85"/>
      <c r="C47" s="86"/>
      <c r="D47" s="238" t="s">
        <v>170</v>
      </c>
      <c r="E47" s="9" t="str">
        <f t="shared" ref="E47:AJ47" si="22" xml:space="preserve"> E$44</f>
        <v>Withholding tax on dividend and SHL interest</v>
      </c>
      <c r="F47" s="9">
        <f t="shared" si="22"/>
        <v>0</v>
      </c>
      <c r="G47" s="9" t="str">
        <f t="shared" si="22"/>
        <v>$ 000s</v>
      </c>
      <c r="H47" s="9">
        <f t="shared" si="22"/>
        <v>6285.87628906995</v>
      </c>
      <c r="I47" s="9">
        <f t="shared" si="22"/>
        <v>0</v>
      </c>
      <c r="J47" s="9">
        <f t="shared" si="22"/>
        <v>0</v>
      </c>
      <c r="K47" s="9">
        <f t="shared" si="22"/>
        <v>0</v>
      </c>
      <c r="L47" s="9">
        <f t="shared" si="22"/>
        <v>0</v>
      </c>
      <c r="M47" s="9">
        <f t="shared" si="22"/>
        <v>0</v>
      </c>
      <c r="N47" s="9">
        <f t="shared" si="22"/>
        <v>0</v>
      </c>
      <c r="O47" s="9">
        <f xml:space="preserve"> O$44</f>
        <v>148.75319016964454</v>
      </c>
      <c r="P47" s="9">
        <f t="shared" si="22"/>
        <v>132.57182684423103</v>
      </c>
      <c r="Q47" s="9">
        <f t="shared" si="22"/>
        <v>132.94576081281099</v>
      </c>
      <c r="R47" s="9">
        <f t="shared" si="22"/>
        <v>131.73281675814891</v>
      </c>
      <c r="S47" s="9">
        <f t="shared" si="22"/>
        <v>132.09414104270289</v>
      </c>
      <c r="T47" s="9">
        <f t="shared" si="22"/>
        <v>130.66058056956737</v>
      </c>
      <c r="U47" s="9">
        <f t="shared" si="22"/>
        <v>131.4602441112018</v>
      </c>
      <c r="V47" s="9">
        <f t="shared" si="22"/>
        <v>130.42196031481313</v>
      </c>
      <c r="W47" s="9">
        <f t="shared" si="22"/>
        <v>129.96127255948221</v>
      </c>
      <c r="X47" s="9">
        <f t="shared" si="22"/>
        <v>129.16901762987177</v>
      </c>
      <c r="Y47" s="9">
        <f t="shared" si="22"/>
        <v>129.37397710977388</v>
      </c>
      <c r="Z47" s="9">
        <f t="shared" si="22"/>
        <v>128.18427602971838</v>
      </c>
      <c r="AA47" s="9">
        <f t="shared" si="22"/>
        <v>128.49347195816833</v>
      </c>
      <c r="AB47" s="9">
        <f t="shared" si="22"/>
        <v>127.09092783675459</v>
      </c>
      <c r="AC47" s="9">
        <f t="shared" si="22"/>
        <v>127.82345362261513</v>
      </c>
      <c r="AD47" s="9">
        <f t="shared" si="22"/>
        <v>126.8067809537457</v>
      </c>
      <c r="AE47" s="9">
        <f t="shared" si="22"/>
        <v>126.31670024287095</v>
      </c>
      <c r="AF47" s="9">
        <f t="shared" si="22"/>
        <v>125.53559639453914</v>
      </c>
      <c r="AG47" s="9">
        <f t="shared" si="22"/>
        <v>125.80558906250891</v>
      </c>
      <c r="AH47" s="9">
        <f t="shared" si="22"/>
        <v>124.63755322944614</v>
      </c>
      <c r="AI47" s="9">
        <f t="shared" si="22"/>
        <v>124.80507021399953</v>
      </c>
      <c r="AJ47" s="9">
        <f t="shared" si="22"/>
        <v>123.43760303298281</v>
      </c>
      <c r="AK47" s="9">
        <f t="shared" ref="AK47:BP47" si="23" xml:space="preserve"> AK$44</f>
        <v>124.10450298140893</v>
      </c>
      <c r="AL47" s="9">
        <f t="shared" si="23"/>
        <v>123.11381222741289</v>
      </c>
      <c r="AM47" s="9">
        <f t="shared" si="23"/>
        <v>122.59774776684048</v>
      </c>
      <c r="AN47" s="9">
        <f t="shared" si="23"/>
        <v>121.83112226582401</v>
      </c>
      <c r="AO47" s="9">
        <f t="shared" si="23"/>
        <v>122.05161387095575</v>
      </c>
      <c r="AP47" s="9">
        <f t="shared" si="23"/>
        <v>120.91274594154817</v>
      </c>
      <c r="AQ47" s="9">
        <f t="shared" si="23"/>
        <v>121.12034217500458</v>
      </c>
      <c r="AR47" s="9">
        <f t="shared" si="23"/>
        <v>119.78564397524291</v>
      </c>
      <c r="AS47" s="9">
        <f t="shared" si="23"/>
        <v>120.38458671978954</v>
      </c>
      <c r="AT47" s="9">
        <f t="shared" si="23"/>
        <v>119.40805955672714</v>
      </c>
      <c r="AU47" s="9">
        <f t="shared" si="23"/>
        <v>264.65173555858172</v>
      </c>
      <c r="AV47" s="9">
        <f t="shared" si="23"/>
        <v>262.31763626997133</v>
      </c>
      <c r="AW47" s="9">
        <f t="shared" si="23"/>
        <v>299.63082571690938</v>
      </c>
      <c r="AX47" s="9">
        <f t="shared" si="23"/>
        <v>293.11468692464695</v>
      </c>
      <c r="AY47" s="9">
        <f t="shared" si="23"/>
        <v>286.47095526373005</v>
      </c>
      <c r="AZ47" s="9">
        <f t="shared" si="23"/>
        <v>279.43521714917176</v>
      </c>
      <c r="BA47" s="9">
        <f t="shared" si="23"/>
        <v>272.23947836718207</v>
      </c>
      <c r="BB47" s="9">
        <f t="shared" si="23"/>
        <v>264.62376583940471</v>
      </c>
      <c r="BC47" s="9">
        <f t="shared" si="23"/>
        <v>0</v>
      </c>
      <c r="BD47" s="9">
        <f t="shared" si="23"/>
        <v>0</v>
      </c>
      <c r="BE47" s="9">
        <f t="shared" si="23"/>
        <v>0</v>
      </c>
      <c r="BF47" s="9">
        <f t="shared" si="23"/>
        <v>0</v>
      </c>
      <c r="BG47" s="9">
        <f t="shared" si="23"/>
        <v>0</v>
      </c>
      <c r="BH47" s="9">
        <f t="shared" si="23"/>
        <v>0</v>
      </c>
      <c r="BI47" s="9">
        <f t="shared" si="23"/>
        <v>0</v>
      </c>
      <c r="BJ47" s="9">
        <f t="shared" si="23"/>
        <v>0</v>
      </c>
      <c r="BK47" s="9">
        <f t="shared" si="23"/>
        <v>0</v>
      </c>
      <c r="BL47" s="9">
        <f t="shared" si="23"/>
        <v>0</v>
      </c>
      <c r="BM47" s="9">
        <f t="shared" si="23"/>
        <v>0</v>
      </c>
      <c r="BN47" s="9">
        <f t="shared" si="23"/>
        <v>0</v>
      </c>
      <c r="BO47" s="9">
        <f t="shared" si="23"/>
        <v>0</v>
      </c>
      <c r="BP47" s="9">
        <f t="shared" si="23"/>
        <v>0</v>
      </c>
      <c r="BQ47" s="9">
        <f t="shared" ref="BQ47:CV47" si="24" xml:space="preserve"> BQ$44</f>
        <v>0</v>
      </c>
      <c r="BR47" s="9">
        <f t="shared" si="24"/>
        <v>0</v>
      </c>
      <c r="BS47" s="9">
        <f t="shared" si="24"/>
        <v>0</v>
      </c>
      <c r="BT47" s="9">
        <f t="shared" si="24"/>
        <v>0</v>
      </c>
      <c r="BU47" s="9">
        <f t="shared" si="24"/>
        <v>0</v>
      </c>
      <c r="BV47" s="9">
        <f t="shared" si="24"/>
        <v>0</v>
      </c>
      <c r="BW47" s="9">
        <f t="shared" si="24"/>
        <v>0</v>
      </c>
      <c r="BX47" s="9">
        <f t="shared" si="24"/>
        <v>0</v>
      </c>
      <c r="BY47" s="9">
        <f t="shared" si="24"/>
        <v>0</v>
      </c>
      <c r="BZ47" s="9">
        <f t="shared" si="24"/>
        <v>0</v>
      </c>
      <c r="CA47" s="9">
        <f t="shared" si="24"/>
        <v>0</v>
      </c>
      <c r="CB47" s="9">
        <f t="shared" si="24"/>
        <v>0</v>
      </c>
      <c r="CC47" s="9">
        <f t="shared" si="24"/>
        <v>0</v>
      </c>
      <c r="CD47" s="9">
        <f t="shared" si="24"/>
        <v>0</v>
      </c>
      <c r="CE47" s="9">
        <f t="shared" si="24"/>
        <v>0</v>
      </c>
      <c r="CF47" s="9">
        <f t="shared" si="24"/>
        <v>0</v>
      </c>
      <c r="CG47" s="9">
        <f t="shared" si="24"/>
        <v>0</v>
      </c>
      <c r="CH47" s="9">
        <f t="shared" si="24"/>
        <v>0</v>
      </c>
      <c r="CI47" s="9">
        <f t="shared" si="24"/>
        <v>0</v>
      </c>
      <c r="CJ47" s="9">
        <f t="shared" si="24"/>
        <v>0</v>
      </c>
      <c r="CK47" s="9">
        <f t="shared" si="24"/>
        <v>0</v>
      </c>
      <c r="CL47" s="9">
        <f t="shared" si="24"/>
        <v>0</v>
      </c>
      <c r="CM47" s="9">
        <f t="shared" si="24"/>
        <v>0</v>
      </c>
      <c r="CN47" s="9">
        <f t="shared" si="24"/>
        <v>0</v>
      </c>
      <c r="CO47" s="9">
        <f t="shared" si="24"/>
        <v>0</v>
      </c>
      <c r="CP47" s="9">
        <f t="shared" si="24"/>
        <v>0</v>
      </c>
      <c r="CQ47" s="9">
        <f t="shared" si="24"/>
        <v>0</v>
      </c>
      <c r="CR47" s="9">
        <f t="shared" si="24"/>
        <v>0</v>
      </c>
      <c r="CS47" s="9">
        <f t="shared" si="24"/>
        <v>0</v>
      </c>
      <c r="CT47" s="9">
        <f t="shared" si="24"/>
        <v>0</v>
      </c>
      <c r="CU47" s="9">
        <f t="shared" si="24"/>
        <v>0</v>
      </c>
      <c r="CV47" s="9">
        <f t="shared" si="24"/>
        <v>0</v>
      </c>
    </row>
    <row r="48" spans="1:100" s="125" customFormat="1" outlineLevel="1" x14ac:dyDescent="0.2">
      <c r="A48" s="85"/>
      <c r="B48" s="85"/>
      <c r="C48" s="86"/>
      <c r="D48" s="238" t="s">
        <v>1286</v>
      </c>
      <c r="E48" s="396" t="str">
        <f xml:space="preserve"> Equity!E$80</f>
        <v>Dividends paid POS</v>
      </c>
      <c r="F48" s="396">
        <f xml:space="preserve"> Equity!F$80</f>
        <v>0</v>
      </c>
      <c r="G48" s="396" t="str">
        <f xml:space="preserve"> Equity!G$80</f>
        <v>$ 000s</v>
      </c>
      <c r="H48" s="396">
        <f xml:space="preserve"> Equity!H$80</f>
        <v>0</v>
      </c>
      <c r="I48" s="396">
        <f xml:space="preserve"> Equity!I$80</f>
        <v>0</v>
      </c>
      <c r="J48" s="396">
        <f xml:space="preserve"> Equity!J$80</f>
        <v>0</v>
      </c>
      <c r="K48" s="396">
        <f xml:space="preserve"> Equity!K$80</f>
        <v>0</v>
      </c>
      <c r="L48" s="396">
        <f xml:space="preserve"> Equity!L$80</f>
        <v>0</v>
      </c>
      <c r="M48" s="396">
        <f xml:space="preserve"> Equity!M$80</f>
        <v>0</v>
      </c>
      <c r="N48" s="396">
        <f xml:space="preserve"> Equity!N$80</f>
        <v>0</v>
      </c>
      <c r="O48" s="396">
        <f xml:space="preserve"> Equity!O$80</f>
        <v>0</v>
      </c>
      <c r="P48" s="396">
        <f xml:space="preserve"> Equity!P$80</f>
        <v>0</v>
      </c>
      <c r="Q48" s="396">
        <f xml:space="preserve"> Equity!Q$80</f>
        <v>0</v>
      </c>
      <c r="R48" s="396">
        <f xml:space="preserve"> Equity!R$80</f>
        <v>0</v>
      </c>
      <c r="S48" s="396">
        <f xml:space="preserve"> Equity!S$80</f>
        <v>0</v>
      </c>
      <c r="T48" s="396">
        <f xml:space="preserve"> Equity!T$80</f>
        <v>0</v>
      </c>
      <c r="U48" s="396">
        <f xml:space="preserve"> Equity!U$80</f>
        <v>0</v>
      </c>
      <c r="V48" s="396">
        <f xml:space="preserve"> Equity!V$80</f>
        <v>0</v>
      </c>
      <c r="W48" s="396">
        <f xml:space="preserve"> Equity!W$80</f>
        <v>0</v>
      </c>
      <c r="X48" s="396">
        <f xml:space="preserve"> Equity!X$80</f>
        <v>0</v>
      </c>
      <c r="Y48" s="396">
        <f xml:space="preserve"> Equity!Y$80</f>
        <v>0</v>
      </c>
      <c r="Z48" s="396">
        <f xml:space="preserve"> Equity!Z$80</f>
        <v>0</v>
      </c>
      <c r="AA48" s="396">
        <f xml:space="preserve"> Equity!AA$80</f>
        <v>0</v>
      </c>
      <c r="AB48" s="396">
        <f xml:space="preserve"> Equity!AB$80</f>
        <v>0</v>
      </c>
      <c r="AC48" s="396">
        <f xml:space="preserve"> Equity!AC$80</f>
        <v>0</v>
      </c>
      <c r="AD48" s="396">
        <f xml:space="preserve"> Equity!AD$80</f>
        <v>0</v>
      </c>
      <c r="AE48" s="396">
        <f xml:space="preserve"> Equity!AE$80</f>
        <v>0</v>
      </c>
      <c r="AF48" s="396">
        <f xml:space="preserve"> Equity!AF$80</f>
        <v>0</v>
      </c>
      <c r="AG48" s="396">
        <f xml:space="preserve"> Equity!AG$80</f>
        <v>0</v>
      </c>
      <c r="AH48" s="396">
        <f xml:space="preserve"> Equity!AH$80</f>
        <v>0</v>
      </c>
      <c r="AI48" s="396">
        <f xml:space="preserve"> Equity!AI$80</f>
        <v>0</v>
      </c>
      <c r="AJ48" s="396">
        <f xml:space="preserve"> Equity!AJ$80</f>
        <v>0</v>
      </c>
      <c r="AK48" s="396">
        <f xml:space="preserve"> Equity!AK$80</f>
        <v>0</v>
      </c>
      <c r="AL48" s="396">
        <f xml:space="preserve"> Equity!AL$80</f>
        <v>0</v>
      </c>
      <c r="AM48" s="396">
        <f xml:space="preserve"> Equity!AM$80</f>
        <v>0</v>
      </c>
      <c r="AN48" s="396">
        <f xml:space="preserve"> Equity!AN$80</f>
        <v>0</v>
      </c>
      <c r="AO48" s="396">
        <f xml:space="preserve"> Equity!AO$80</f>
        <v>0</v>
      </c>
      <c r="AP48" s="396">
        <f xml:space="preserve"> Equity!AP$80</f>
        <v>0</v>
      </c>
      <c r="AQ48" s="396">
        <f xml:space="preserve"> Equity!AQ$80</f>
        <v>0</v>
      </c>
      <c r="AR48" s="396">
        <f xml:space="preserve"> Equity!AR$80</f>
        <v>0</v>
      </c>
      <c r="AS48" s="396">
        <f xml:space="preserve"> Equity!AS$80</f>
        <v>0</v>
      </c>
      <c r="AT48" s="396">
        <f xml:space="preserve"> Equity!AT$80</f>
        <v>0</v>
      </c>
      <c r="AU48" s="396">
        <f xml:space="preserve"> Equity!AU$80</f>
        <v>0</v>
      </c>
      <c r="AV48" s="396">
        <f xml:space="preserve"> Equity!AV$80</f>
        <v>0</v>
      </c>
      <c r="AW48" s="396">
        <f xml:space="preserve"> Equity!AW$80</f>
        <v>0</v>
      </c>
      <c r="AX48" s="396">
        <f xml:space="preserve"> Equity!AX$80</f>
        <v>0</v>
      </c>
      <c r="AY48" s="396">
        <f xml:space="preserve"> Equity!AY$80</f>
        <v>0</v>
      </c>
      <c r="AZ48" s="396">
        <f xml:space="preserve"> Equity!AZ$80</f>
        <v>0</v>
      </c>
      <c r="BA48" s="396">
        <f xml:space="preserve"> Equity!BA$80</f>
        <v>0</v>
      </c>
      <c r="BB48" s="396">
        <f xml:space="preserve"> Equity!BB$80</f>
        <v>0</v>
      </c>
      <c r="BC48" s="396">
        <f xml:space="preserve"> Equity!BC$80</f>
        <v>0</v>
      </c>
      <c r="BD48" s="396">
        <f xml:space="preserve"> Equity!BD$80</f>
        <v>0</v>
      </c>
      <c r="BE48" s="396">
        <f xml:space="preserve"> Equity!BE$80</f>
        <v>0</v>
      </c>
      <c r="BF48" s="396">
        <f xml:space="preserve"> Equity!BF$80</f>
        <v>0</v>
      </c>
      <c r="BG48" s="396">
        <f xml:space="preserve"> Equity!BG$80</f>
        <v>0</v>
      </c>
      <c r="BH48" s="396">
        <f xml:space="preserve"> Equity!BH$80</f>
        <v>0</v>
      </c>
      <c r="BI48" s="396">
        <f xml:space="preserve"> Equity!BI$80</f>
        <v>0</v>
      </c>
      <c r="BJ48" s="396">
        <f xml:space="preserve"> Equity!BJ$80</f>
        <v>0</v>
      </c>
      <c r="BK48" s="396">
        <f xml:space="preserve"> Equity!BK$80</f>
        <v>0</v>
      </c>
      <c r="BL48" s="396">
        <f xml:space="preserve"> Equity!BL$80</f>
        <v>0</v>
      </c>
      <c r="BM48" s="396">
        <f xml:space="preserve"> Equity!BM$80</f>
        <v>0</v>
      </c>
      <c r="BN48" s="396">
        <f xml:space="preserve"> Equity!BN$80</f>
        <v>0</v>
      </c>
      <c r="BO48" s="396">
        <f xml:space="preserve"> Equity!BO$80</f>
        <v>0</v>
      </c>
      <c r="BP48" s="396">
        <f xml:space="preserve"> Equity!BP$80</f>
        <v>0</v>
      </c>
      <c r="BQ48" s="396">
        <f xml:space="preserve"> Equity!BQ$80</f>
        <v>0</v>
      </c>
      <c r="BR48" s="396">
        <f xml:space="preserve"> Equity!BR$80</f>
        <v>0</v>
      </c>
      <c r="BS48" s="396">
        <f xml:space="preserve"> Equity!BS$80</f>
        <v>0</v>
      </c>
      <c r="BT48" s="396">
        <f xml:space="preserve"> Equity!BT$80</f>
        <v>0</v>
      </c>
      <c r="BU48" s="396">
        <f xml:space="preserve"> Equity!BU$80</f>
        <v>0</v>
      </c>
      <c r="BV48" s="396">
        <f xml:space="preserve"> Equity!BV$80</f>
        <v>0</v>
      </c>
      <c r="BW48" s="396">
        <f xml:space="preserve"> Equity!BW$80</f>
        <v>0</v>
      </c>
      <c r="BX48" s="396">
        <f xml:space="preserve"> Equity!BX$80</f>
        <v>0</v>
      </c>
      <c r="BY48" s="396">
        <f xml:space="preserve"> Equity!BY$80</f>
        <v>0</v>
      </c>
      <c r="BZ48" s="396">
        <f xml:space="preserve"> Equity!BZ$80</f>
        <v>0</v>
      </c>
      <c r="CA48" s="396">
        <f xml:space="preserve"> Equity!CA$80</f>
        <v>0</v>
      </c>
      <c r="CB48" s="396">
        <f xml:space="preserve"> Equity!CB$80</f>
        <v>0</v>
      </c>
      <c r="CC48" s="396">
        <f xml:space="preserve"> Equity!CC$80</f>
        <v>0</v>
      </c>
      <c r="CD48" s="396">
        <f xml:space="preserve"> Equity!CD$80</f>
        <v>0</v>
      </c>
      <c r="CE48" s="396">
        <f xml:space="preserve"> Equity!CE$80</f>
        <v>0</v>
      </c>
      <c r="CF48" s="396">
        <f xml:space="preserve"> Equity!CF$80</f>
        <v>0</v>
      </c>
      <c r="CG48" s="396">
        <f xml:space="preserve"> Equity!CG$80</f>
        <v>0</v>
      </c>
      <c r="CH48" s="396">
        <f xml:space="preserve"> Equity!CH$80</f>
        <v>0</v>
      </c>
      <c r="CI48" s="396">
        <f xml:space="preserve"> Equity!CI$80</f>
        <v>0</v>
      </c>
      <c r="CJ48" s="396">
        <f xml:space="preserve"> Equity!CJ$80</f>
        <v>0</v>
      </c>
      <c r="CK48" s="396">
        <f xml:space="preserve"> Equity!CK$80</f>
        <v>0</v>
      </c>
      <c r="CL48" s="396">
        <f xml:space="preserve"> Equity!CL$80</f>
        <v>0</v>
      </c>
      <c r="CM48" s="396">
        <f xml:space="preserve"> Equity!CM$80</f>
        <v>0</v>
      </c>
      <c r="CN48" s="396">
        <f xml:space="preserve"> Equity!CN$80</f>
        <v>0</v>
      </c>
      <c r="CO48" s="396">
        <f xml:space="preserve"> Equity!CO$80</f>
        <v>0</v>
      </c>
      <c r="CP48" s="396">
        <f xml:space="preserve"> Equity!CP$80</f>
        <v>0</v>
      </c>
      <c r="CQ48" s="396">
        <f xml:space="preserve"> Equity!CQ$80</f>
        <v>0</v>
      </c>
      <c r="CR48" s="396">
        <f xml:space="preserve"> Equity!CR$80</f>
        <v>0</v>
      </c>
      <c r="CS48" s="396">
        <f xml:space="preserve"> Equity!CS$80</f>
        <v>0</v>
      </c>
      <c r="CT48" s="396">
        <f xml:space="preserve"> Equity!CT$80</f>
        <v>0</v>
      </c>
      <c r="CU48" s="396">
        <f xml:space="preserve"> Equity!CU$80</f>
        <v>0</v>
      </c>
      <c r="CV48" s="396">
        <f xml:space="preserve"> Equity!CV$80</f>
        <v>0</v>
      </c>
    </row>
    <row r="49" spans="1:100" outlineLevel="1" x14ac:dyDescent="0.2">
      <c r="A49" s="85"/>
      <c r="B49" s="85"/>
      <c r="C49" s="86"/>
      <c r="D49" s="238" t="s">
        <v>1286</v>
      </c>
      <c r="E49" s="68" t="str">
        <f xml:space="preserve"> Debt!E$464</f>
        <v>Shareholder loan interest paid POS</v>
      </c>
      <c r="F49" s="68">
        <f xml:space="preserve"> Debt!F$464</f>
        <v>0</v>
      </c>
      <c r="G49" s="68" t="str">
        <f xml:space="preserve"> Debt!G$464</f>
        <v>$ 000s</v>
      </c>
      <c r="H49" s="68">
        <f xml:space="preserve"> Debt!H$464</f>
        <v>209529.209635665</v>
      </c>
      <c r="I49" s="68">
        <f xml:space="preserve"> Debt!I$464</f>
        <v>0</v>
      </c>
      <c r="J49" s="68">
        <f xml:space="preserve"> Debt!J$464</f>
        <v>0</v>
      </c>
      <c r="K49" s="68">
        <f xml:space="preserve"> Debt!K$464</f>
        <v>0</v>
      </c>
      <c r="L49" s="68">
        <f xml:space="preserve"> Debt!L$464</f>
        <v>0</v>
      </c>
      <c r="M49" s="68">
        <f xml:space="preserve"> Debt!M$464</f>
        <v>0</v>
      </c>
      <c r="N49" s="68">
        <f xml:space="preserve"> Debt!N$464</f>
        <v>0</v>
      </c>
      <c r="O49" s="68">
        <f xml:space="preserve"> Debt!O$464</f>
        <v>4958.439672321485</v>
      </c>
      <c r="P49" s="68">
        <f xml:space="preserve"> Debt!P$464</f>
        <v>4419.0608948077006</v>
      </c>
      <c r="Q49" s="68">
        <f xml:space="preserve"> Debt!Q$464</f>
        <v>4431.5253604270329</v>
      </c>
      <c r="R49" s="68">
        <f xml:space="preserve"> Debt!R$464</f>
        <v>4391.093891938297</v>
      </c>
      <c r="S49" s="68">
        <f xml:space="preserve"> Debt!S$464</f>
        <v>4403.1380347567629</v>
      </c>
      <c r="T49" s="68">
        <f xml:space="preserve"> Debt!T$464</f>
        <v>4355.3526856522458</v>
      </c>
      <c r="U49" s="68">
        <f xml:space="preserve"> Debt!U$464</f>
        <v>4382.0081370400603</v>
      </c>
      <c r="V49" s="68">
        <f xml:space="preserve"> Debt!V$464</f>
        <v>4347.3986771604377</v>
      </c>
      <c r="W49" s="68">
        <f xml:space="preserve"> Debt!W$464</f>
        <v>4332.0424186494074</v>
      </c>
      <c r="X49" s="68">
        <f xml:space="preserve"> Debt!X$464</f>
        <v>4305.6339209957259</v>
      </c>
      <c r="Y49" s="68">
        <f xml:space="preserve"> Debt!Y$464</f>
        <v>4312.4659036591293</v>
      </c>
      <c r="Z49" s="68">
        <f xml:space="preserve"> Debt!Z$464</f>
        <v>4272.8092009906122</v>
      </c>
      <c r="AA49" s="68">
        <f xml:space="preserve"> Debt!AA$464</f>
        <v>4283.115731938944</v>
      </c>
      <c r="AB49" s="68">
        <f xml:space="preserve"> Debt!AB$464</f>
        <v>4236.3642612251533</v>
      </c>
      <c r="AC49" s="68">
        <f xml:space="preserve"> Debt!AC$464</f>
        <v>4260.7817874205048</v>
      </c>
      <c r="AD49" s="68">
        <f xml:space="preserve"> Debt!AD$464</f>
        <v>4226.8926984581904</v>
      </c>
      <c r="AE49" s="68">
        <f xml:space="preserve"> Debt!AE$464</f>
        <v>4210.5566747623652</v>
      </c>
      <c r="AF49" s="68">
        <f xml:space="preserve"> Debt!AF$464</f>
        <v>4184.5198798179717</v>
      </c>
      <c r="AG49" s="68">
        <f xml:space="preserve"> Debt!AG$464</f>
        <v>4193.5196354169639</v>
      </c>
      <c r="AH49" s="68">
        <f xml:space="preserve"> Debt!AH$464</f>
        <v>4154.5851076482049</v>
      </c>
      <c r="AI49" s="68">
        <f xml:space="preserve"> Debt!AI$464</f>
        <v>4160.1690071333178</v>
      </c>
      <c r="AJ49" s="68">
        <f xml:space="preserve"> Debt!AJ$464</f>
        <v>4114.5867677660935</v>
      </c>
      <c r="AK49" s="68">
        <f xml:space="preserve"> Debt!AK$464</f>
        <v>4136.8167660469644</v>
      </c>
      <c r="AL49" s="68">
        <f xml:space="preserve"> Debt!AL$464</f>
        <v>4103.793740913763</v>
      </c>
      <c r="AM49" s="68">
        <f xml:space="preserve"> Debt!AM$464</f>
        <v>4086.5915922280165</v>
      </c>
      <c r="AN49" s="68">
        <f xml:space="preserve"> Debt!AN$464</f>
        <v>4061.0374088608005</v>
      </c>
      <c r="AO49" s="68">
        <f xml:space="preserve"> Debt!AO$464</f>
        <v>4068.3871290318584</v>
      </c>
      <c r="AP49" s="68">
        <f xml:space="preserve"> Debt!AP$464</f>
        <v>4030.4248647182721</v>
      </c>
      <c r="AQ49" s="68">
        <f xml:space="preserve"> Debt!AQ$464</f>
        <v>4037.3447391668196</v>
      </c>
      <c r="AR49" s="68">
        <f xml:space="preserve"> Debt!AR$464</f>
        <v>3992.8547991747637</v>
      </c>
      <c r="AS49" s="68">
        <f xml:space="preserve"> Debt!AS$464</f>
        <v>4012.8195573263183</v>
      </c>
      <c r="AT49" s="68">
        <f xml:space="preserve"> Debt!AT$464</f>
        <v>3980.2686518909049</v>
      </c>
      <c r="AU49" s="68">
        <f xml:space="preserve"> Debt!AU$464</f>
        <v>8821.7245186193904</v>
      </c>
      <c r="AV49" s="68">
        <f xml:space="preserve"> Debt!AV$464</f>
        <v>8743.9212089990451</v>
      </c>
      <c r="AW49" s="68">
        <f xml:space="preserve"> Debt!AW$464</f>
        <v>9987.6941905636468</v>
      </c>
      <c r="AX49" s="68">
        <f xml:space="preserve"> Debt!AX$464</f>
        <v>9770.4895641548992</v>
      </c>
      <c r="AY49" s="68">
        <f xml:space="preserve"> Debt!AY$464</f>
        <v>9549.0318421243355</v>
      </c>
      <c r="AZ49" s="68">
        <f xml:space="preserve"> Debt!AZ$464</f>
        <v>9314.507238305725</v>
      </c>
      <c r="BA49" s="68">
        <f xml:space="preserve"> Debt!BA$464</f>
        <v>9074.6492789060685</v>
      </c>
      <c r="BB49" s="68">
        <f xml:space="preserve"> Debt!BB$464</f>
        <v>8820.7921946468232</v>
      </c>
      <c r="BC49" s="68">
        <f xml:space="preserve"> Debt!BC$464</f>
        <v>0</v>
      </c>
      <c r="BD49" s="68">
        <f xml:space="preserve"> Debt!BD$464</f>
        <v>0</v>
      </c>
      <c r="BE49" s="68">
        <f xml:space="preserve"> Debt!BE$464</f>
        <v>0</v>
      </c>
      <c r="BF49" s="68">
        <f xml:space="preserve"> Debt!BF$464</f>
        <v>0</v>
      </c>
      <c r="BG49" s="68">
        <f xml:space="preserve"> Debt!BG$464</f>
        <v>0</v>
      </c>
      <c r="BH49" s="68">
        <f xml:space="preserve"> Debt!BH$464</f>
        <v>0</v>
      </c>
      <c r="BI49" s="68">
        <f xml:space="preserve"> Debt!BI$464</f>
        <v>0</v>
      </c>
      <c r="BJ49" s="68">
        <f xml:space="preserve"> Debt!BJ$464</f>
        <v>0</v>
      </c>
      <c r="BK49" s="68">
        <f xml:space="preserve"> Debt!BK$464</f>
        <v>0</v>
      </c>
      <c r="BL49" s="68">
        <f xml:space="preserve"> Debt!BL$464</f>
        <v>0</v>
      </c>
      <c r="BM49" s="68">
        <f xml:space="preserve"> Debt!BM$464</f>
        <v>0</v>
      </c>
      <c r="BN49" s="68">
        <f xml:space="preserve"> Debt!BN$464</f>
        <v>0</v>
      </c>
      <c r="BO49" s="68">
        <f xml:space="preserve"> Debt!BO$464</f>
        <v>0</v>
      </c>
      <c r="BP49" s="68">
        <f xml:space="preserve"> Debt!BP$464</f>
        <v>0</v>
      </c>
      <c r="BQ49" s="68">
        <f xml:space="preserve"> Debt!BQ$464</f>
        <v>0</v>
      </c>
      <c r="BR49" s="68">
        <f xml:space="preserve"> Debt!BR$464</f>
        <v>0</v>
      </c>
      <c r="BS49" s="68">
        <f xml:space="preserve"> Debt!BS$464</f>
        <v>0</v>
      </c>
      <c r="BT49" s="68">
        <f xml:space="preserve"> Debt!BT$464</f>
        <v>0</v>
      </c>
      <c r="BU49" s="68">
        <f xml:space="preserve"> Debt!BU$464</f>
        <v>0</v>
      </c>
      <c r="BV49" s="68">
        <f xml:space="preserve"> Debt!BV$464</f>
        <v>0</v>
      </c>
      <c r="BW49" s="68">
        <f xml:space="preserve"> Debt!BW$464</f>
        <v>0</v>
      </c>
      <c r="BX49" s="68">
        <f xml:space="preserve"> Debt!BX$464</f>
        <v>0</v>
      </c>
      <c r="BY49" s="68">
        <f xml:space="preserve"> Debt!BY$464</f>
        <v>0</v>
      </c>
      <c r="BZ49" s="68">
        <f xml:space="preserve"> Debt!BZ$464</f>
        <v>0</v>
      </c>
      <c r="CA49" s="68">
        <f xml:space="preserve"> Debt!CA$464</f>
        <v>0</v>
      </c>
      <c r="CB49" s="68">
        <f xml:space="preserve"> Debt!CB$464</f>
        <v>0</v>
      </c>
      <c r="CC49" s="68">
        <f xml:space="preserve"> Debt!CC$464</f>
        <v>0</v>
      </c>
      <c r="CD49" s="68">
        <f xml:space="preserve"> Debt!CD$464</f>
        <v>0</v>
      </c>
      <c r="CE49" s="68">
        <f xml:space="preserve"> Debt!CE$464</f>
        <v>0</v>
      </c>
      <c r="CF49" s="68">
        <f xml:space="preserve"> Debt!CF$464</f>
        <v>0</v>
      </c>
      <c r="CG49" s="68">
        <f xml:space="preserve"> Debt!CG$464</f>
        <v>0</v>
      </c>
      <c r="CH49" s="68">
        <f xml:space="preserve"> Debt!CH$464</f>
        <v>0</v>
      </c>
      <c r="CI49" s="68">
        <f xml:space="preserve"> Debt!CI$464</f>
        <v>0</v>
      </c>
      <c r="CJ49" s="68">
        <f xml:space="preserve"> Debt!CJ$464</f>
        <v>0</v>
      </c>
      <c r="CK49" s="68">
        <f xml:space="preserve"> Debt!CK$464</f>
        <v>0</v>
      </c>
      <c r="CL49" s="68">
        <f xml:space="preserve"> Debt!CL$464</f>
        <v>0</v>
      </c>
      <c r="CM49" s="68">
        <f xml:space="preserve"> Debt!CM$464</f>
        <v>0</v>
      </c>
      <c r="CN49" s="68">
        <f xml:space="preserve"> Debt!CN$464</f>
        <v>0</v>
      </c>
      <c r="CO49" s="68">
        <f xml:space="preserve"> Debt!CO$464</f>
        <v>0</v>
      </c>
      <c r="CP49" s="68">
        <f xml:space="preserve"> Debt!CP$464</f>
        <v>0</v>
      </c>
      <c r="CQ49" s="68">
        <f xml:space="preserve"> Debt!CQ$464</f>
        <v>0</v>
      </c>
      <c r="CR49" s="68">
        <f xml:space="preserve"> Debt!CR$464</f>
        <v>0</v>
      </c>
      <c r="CS49" s="68">
        <f xml:space="preserve"> Debt!CS$464</f>
        <v>0</v>
      </c>
      <c r="CT49" s="68">
        <f xml:space="preserve"> Debt!CT$464</f>
        <v>0</v>
      </c>
      <c r="CU49" s="68">
        <f xml:space="preserve"> Debt!CU$464</f>
        <v>0</v>
      </c>
      <c r="CV49" s="68">
        <f xml:space="preserve"> Debt!CV$464</f>
        <v>0</v>
      </c>
    </row>
    <row r="50" spans="1:100" outlineLevel="1" x14ac:dyDescent="0.2">
      <c r="A50" s="85"/>
      <c r="B50" s="85"/>
      <c r="C50" s="86"/>
      <c r="D50" s="238" t="s">
        <v>1286</v>
      </c>
      <c r="E50" s="68" t="str">
        <f xml:space="preserve"> Debt!E$479</f>
        <v>Shareholder loan principal repayment POS</v>
      </c>
      <c r="F50" s="68">
        <f xml:space="preserve"> Debt!F$479</f>
        <v>0</v>
      </c>
      <c r="G50" s="68" t="str">
        <f xml:space="preserve"> Debt!G$479</f>
        <v>$ 000s</v>
      </c>
      <c r="H50" s="68">
        <f xml:space="preserve"> Debt!H$479</f>
        <v>27073.534167424834</v>
      </c>
      <c r="I50" s="68">
        <f xml:space="preserve"> Debt!I$479</f>
        <v>0</v>
      </c>
      <c r="J50" s="68">
        <f xml:space="preserve"> Debt!J$479</f>
        <v>0</v>
      </c>
      <c r="K50" s="68">
        <f xml:space="preserve"> Debt!K$479</f>
        <v>0</v>
      </c>
      <c r="L50" s="68">
        <f xml:space="preserve"> Debt!L$479</f>
        <v>0</v>
      </c>
      <c r="M50" s="68">
        <f xml:space="preserve"> Debt!M$479</f>
        <v>0</v>
      </c>
      <c r="N50" s="68">
        <f xml:space="preserve"> Debt!N$479</f>
        <v>0</v>
      </c>
      <c r="O50" s="68">
        <f xml:space="preserve"> Debt!O$479</f>
        <v>0</v>
      </c>
      <c r="P50" s="68">
        <f xml:space="preserve"> Debt!P$479</f>
        <v>0</v>
      </c>
      <c r="Q50" s="68">
        <f xml:space="preserve"> Debt!Q$479</f>
        <v>0</v>
      </c>
      <c r="R50" s="68">
        <f xml:space="preserve"> Debt!R$479</f>
        <v>0</v>
      </c>
      <c r="S50" s="68">
        <f xml:space="preserve"> Debt!S$479</f>
        <v>0</v>
      </c>
      <c r="T50" s="68">
        <f xml:space="preserve"> Debt!T$479</f>
        <v>0</v>
      </c>
      <c r="U50" s="68">
        <f xml:space="preserve"> Debt!U$479</f>
        <v>0</v>
      </c>
      <c r="V50" s="68">
        <f xml:space="preserve"> Debt!V$479</f>
        <v>0</v>
      </c>
      <c r="W50" s="68">
        <f xml:space="preserve"> Debt!W$479</f>
        <v>0</v>
      </c>
      <c r="X50" s="68">
        <f xml:space="preserve"> Debt!X$479</f>
        <v>0</v>
      </c>
      <c r="Y50" s="68">
        <f xml:space="preserve"> Debt!Y$479</f>
        <v>0</v>
      </c>
      <c r="Z50" s="68">
        <f xml:space="preserve"> Debt!Z$479</f>
        <v>0</v>
      </c>
      <c r="AA50" s="68">
        <f xml:space="preserve"> Debt!AA$479</f>
        <v>0</v>
      </c>
      <c r="AB50" s="68">
        <f xml:space="preserve"> Debt!AB$479</f>
        <v>0</v>
      </c>
      <c r="AC50" s="68">
        <f xml:space="preserve"> Debt!AC$479</f>
        <v>0</v>
      </c>
      <c r="AD50" s="68">
        <f xml:space="preserve"> Debt!AD$479</f>
        <v>0</v>
      </c>
      <c r="AE50" s="68">
        <f xml:space="preserve"> Debt!AE$479</f>
        <v>0</v>
      </c>
      <c r="AF50" s="68">
        <f xml:space="preserve"> Debt!AF$479</f>
        <v>0</v>
      </c>
      <c r="AG50" s="68">
        <f xml:space="preserve"> Debt!AG$479</f>
        <v>0</v>
      </c>
      <c r="AH50" s="68">
        <f xml:space="preserve"> Debt!AH$479</f>
        <v>0</v>
      </c>
      <c r="AI50" s="68">
        <f xml:space="preserve"> Debt!AI$479</f>
        <v>0</v>
      </c>
      <c r="AJ50" s="68">
        <f xml:space="preserve"> Debt!AJ$479</f>
        <v>0</v>
      </c>
      <c r="AK50" s="68">
        <f xml:space="preserve"> Debt!AK$479</f>
        <v>0</v>
      </c>
      <c r="AL50" s="68">
        <f xml:space="preserve"> Debt!AL$479</f>
        <v>0</v>
      </c>
      <c r="AM50" s="68">
        <f xml:space="preserve"> Debt!AM$479</f>
        <v>0</v>
      </c>
      <c r="AN50" s="68">
        <f xml:space="preserve"> Debt!AN$479</f>
        <v>0</v>
      </c>
      <c r="AO50" s="68">
        <f xml:space="preserve"> Debt!AO$479</f>
        <v>0</v>
      </c>
      <c r="AP50" s="68">
        <f xml:space="preserve"> Debt!AP$479</f>
        <v>0</v>
      </c>
      <c r="AQ50" s="68">
        <f xml:space="preserve"> Debt!AQ$479</f>
        <v>0</v>
      </c>
      <c r="AR50" s="68">
        <f xml:space="preserve"> Debt!AR$479</f>
        <v>0</v>
      </c>
      <c r="AS50" s="68">
        <f xml:space="preserve"> Debt!AS$479</f>
        <v>0</v>
      </c>
      <c r="AT50" s="68">
        <f xml:space="preserve"> Debt!AT$479</f>
        <v>0</v>
      </c>
      <c r="AU50" s="68">
        <f xml:space="preserve"> Debt!AU$479</f>
        <v>0</v>
      </c>
      <c r="AV50" s="68">
        <f xml:space="preserve"> Debt!AV$479</f>
        <v>0</v>
      </c>
      <c r="AW50" s="68">
        <f xml:space="preserve"> Debt!AW$479</f>
        <v>3620.0771068124504</v>
      </c>
      <c r="AX50" s="68">
        <f xml:space="preserve"> Debt!AX$479</f>
        <v>3690.9620338427376</v>
      </c>
      <c r="AY50" s="68">
        <f xml:space="preserve"> Debt!AY$479</f>
        <v>3908.7433969768135</v>
      </c>
      <c r="AZ50" s="68">
        <f xml:space="preserve"> Debt!AZ$479</f>
        <v>3997.6326566609459</v>
      </c>
      <c r="BA50" s="68">
        <f xml:space="preserve"> Debt!BA$479</f>
        <v>4230.9514043207746</v>
      </c>
      <c r="BB50" s="68">
        <f xml:space="preserve"> Debt!BB$479</f>
        <v>7625.1675688111136</v>
      </c>
      <c r="BC50" s="68">
        <f xml:space="preserve"> Debt!BC$479</f>
        <v>0</v>
      </c>
      <c r="BD50" s="68">
        <f xml:space="preserve"> Debt!BD$479</f>
        <v>0</v>
      </c>
      <c r="BE50" s="68">
        <f xml:space="preserve"> Debt!BE$479</f>
        <v>0</v>
      </c>
      <c r="BF50" s="68">
        <f xml:space="preserve"> Debt!BF$479</f>
        <v>0</v>
      </c>
      <c r="BG50" s="68">
        <f xml:space="preserve"> Debt!BG$479</f>
        <v>0</v>
      </c>
      <c r="BH50" s="68">
        <f xml:space="preserve"> Debt!BH$479</f>
        <v>0</v>
      </c>
      <c r="BI50" s="68">
        <f xml:space="preserve"> Debt!BI$479</f>
        <v>0</v>
      </c>
      <c r="BJ50" s="68">
        <f xml:space="preserve"> Debt!BJ$479</f>
        <v>0</v>
      </c>
      <c r="BK50" s="68">
        <f xml:space="preserve"> Debt!BK$479</f>
        <v>0</v>
      </c>
      <c r="BL50" s="68">
        <f xml:space="preserve"> Debt!BL$479</f>
        <v>0</v>
      </c>
      <c r="BM50" s="68">
        <f xml:space="preserve"> Debt!BM$479</f>
        <v>0</v>
      </c>
      <c r="BN50" s="68">
        <f xml:space="preserve"> Debt!BN$479</f>
        <v>0</v>
      </c>
      <c r="BO50" s="68">
        <f xml:space="preserve"> Debt!BO$479</f>
        <v>0</v>
      </c>
      <c r="BP50" s="68">
        <f xml:space="preserve"> Debt!BP$479</f>
        <v>0</v>
      </c>
      <c r="BQ50" s="68">
        <f xml:space="preserve"> Debt!BQ$479</f>
        <v>0</v>
      </c>
      <c r="BR50" s="68">
        <f xml:space="preserve"> Debt!BR$479</f>
        <v>0</v>
      </c>
      <c r="BS50" s="68">
        <f xml:space="preserve"> Debt!BS$479</f>
        <v>0</v>
      </c>
      <c r="BT50" s="68">
        <f xml:space="preserve"> Debt!BT$479</f>
        <v>0</v>
      </c>
      <c r="BU50" s="68">
        <f xml:space="preserve"> Debt!BU$479</f>
        <v>0</v>
      </c>
      <c r="BV50" s="68">
        <f xml:space="preserve"> Debt!BV$479</f>
        <v>0</v>
      </c>
      <c r="BW50" s="68">
        <f xml:space="preserve"> Debt!BW$479</f>
        <v>0</v>
      </c>
      <c r="BX50" s="68">
        <f xml:space="preserve"> Debt!BX$479</f>
        <v>0</v>
      </c>
      <c r="BY50" s="68">
        <f xml:space="preserve"> Debt!BY$479</f>
        <v>0</v>
      </c>
      <c r="BZ50" s="68">
        <f xml:space="preserve"> Debt!BZ$479</f>
        <v>0</v>
      </c>
      <c r="CA50" s="68">
        <f xml:space="preserve"> Debt!CA$479</f>
        <v>0</v>
      </c>
      <c r="CB50" s="68">
        <f xml:space="preserve"> Debt!CB$479</f>
        <v>0</v>
      </c>
      <c r="CC50" s="68">
        <f xml:space="preserve"> Debt!CC$479</f>
        <v>0</v>
      </c>
      <c r="CD50" s="68">
        <f xml:space="preserve"> Debt!CD$479</f>
        <v>0</v>
      </c>
      <c r="CE50" s="68">
        <f xml:space="preserve"> Debt!CE$479</f>
        <v>0</v>
      </c>
      <c r="CF50" s="68">
        <f xml:space="preserve"> Debt!CF$479</f>
        <v>0</v>
      </c>
      <c r="CG50" s="68">
        <f xml:space="preserve"> Debt!CG$479</f>
        <v>0</v>
      </c>
      <c r="CH50" s="68">
        <f xml:space="preserve"> Debt!CH$479</f>
        <v>0</v>
      </c>
      <c r="CI50" s="68">
        <f xml:space="preserve"> Debt!CI$479</f>
        <v>0</v>
      </c>
      <c r="CJ50" s="68">
        <f xml:space="preserve"> Debt!CJ$479</f>
        <v>0</v>
      </c>
      <c r="CK50" s="68">
        <f xml:space="preserve"> Debt!CK$479</f>
        <v>0</v>
      </c>
      <c r="CL50" s="68">
        <f xml:space="preserve"> Debt!CL$479</f>
        <v>0</v>
      </c>
      <c r="CM50" s="68">
        <f xml:space="preserve"> Debt!CM$479</f>
        <v>0</v>
      </c>
      <c r="CN50" s="68">
        <f xml:space="preserve"> Debt!CN$479</f>
        <v>0</v>
      </c>
      <c r="CO50" s="68">
        <f xml:space="preserve"> Debt!CO$479</f>
        <v>0</v>
      </c>
      <c r="CP50" s="68">
        <f xml:space="preserve"> Debt!CP$479</f>
        <v>0</v>
      </c>
      <c r="CQ50" s="68">
        <f xml:space="preserve"> Debt!CQ$479</f>
        <v>0</v>
      </c>
      <c r="CR50" s="68">
        <f xml:space="preserve"> Debt!CR$479</f>
        <v>0</v>
      </c>
      <c r="CS50" s="68">
        <f xml:space="preserve"> Debt!CS$479</f>
        <v>0</v>
      </c>
      <c r="CT50" s="68">
        <f xml:space="preserve"> Debt!CT$479</f>
        <v>0</v>
      </c>
      <c r="CU50" s="68">
        <f xml:space="preserve"> Debt!CU$479</f>
        <v>0</v>
      </c>
      <c r="CV50" s="68">
        <f xml:space="preserve"> Debt!CV$479</f>
        <v>0</v>
      </c>
    </row>
    <row r="51" spans="1:100" s="125" customFormat="1" outlineLevel="1" x14ac:dyDescent="0.2">
      <c r="A51" s="85"/>
      <c r="B51" s="85"/>
      <c r="C51" s="86"/>
      <c r="D51" s="238" t="s">
        <v>1286</v>
      </c>
      <c r="E51" s="396" t="str">
        <f xml:space="preserve"> Equity!E$16</f>
        <v>Share capital redemption POS</v>
      </c>
      <c r="F51" s="396">
        <f xml:space="preserve"> Equity!F$16</f>
        <v>0</v>
      </c>
      <c r="G51" s="396" t="str">
        <f xml:space="preserve"> Equity!G$16</f>
        <v>$ 000s</v>
      </c>
      <c r="H51" s="396">
        <f xml:space="preserve"> Equity!H$16</f>
        <v>0</v>
      </c>
      <c r="I51" s="396">
        <f xml:space="preserve"> Equity!I$16</f>
        <v>0</v>
      </c>
      <c r="J51" s="396">
        <f xml:space="preserve"> Equity!J$16</f>
        <v>0</v>
      </c>
      <c r="K51" s="396">
        <f xml:space="preserve"> Equity!K$16</f>
        <v>0</v>
      </c>
      <c r="L51" s="396">
        <f xml:space="preserve"> Equity!L$16</f>
        <v>0</v>
      </c>
      <c r="M51" s="396">
        <f xml:space="preserve"> Equity!M$16</f>
        <v>0</v>
      </c>
      <c r="N51" s="396">
        <f xml:space="preserve"> Equity!N$16</f>
        <v>0</v>
      </c>
      <c r="O51" s="396">
        <f xml:space="preserve"> Equity!O$16</f>
        <v>0</v>
      </c>
      <c r="P51" s="396">
        <f xml:space="preserve"> Equity!P$16</f>
        <v>0</v>
      </c>
      <c r="Q51" s="396">
        <f xml:space="preserve"> Equity!Q$16</f>
        <v>0</v>
      </c>
      <c r="R51" s="396">
        <f xml:space="preserve"> Equity!R$16</f>
        <v>0</v>
      </c>
      <c r="S51" s="396">
        <f xml:space="preserve"> Equity!S$16</f>
        <v>0</v>
      </c>
      <c r="T51" s="396">
        <f xml:space="preserve"> Equity!T$16</f>
        <v>0</v>
      </c>
      <c r="U51" s="396">
        <f xml:space="preserve"> Equity!U$16</f>
        <v>0</v>
      </c>
      <c r="V51" s="396">
        <f xml:space="preserve"> Equity!V$16</f>
        <v>0</v>
      </c>
      <c r="W51" s="396">
        <f xml:space="preserve"> Equity!W$16</f>
        <v>0</v>
      </c>
      <c r="X51" s="396">
        <f xml:space="preserve"> Equity!X$16</f>
        <v>0</v>
      </c>
      <c r="Y51" s="396">
        <f xml:space="preserve"> Equity!Y$16</f>
        <v>0</v>
      </c>
      <c r="Z51" s="396">
        <f xml:space="preserve"> Equity!Z$16</f>
        <v>0</v>
      </c>
      <c r="AA51" s="396">
        <f xml:space="preserve"> Equity!AA$16</f>
        <v>0</v>
      </c>
      <c r="AB51" s="396">
        <f xml:space="preserve"> Equity!AB$16</f>
        <v>0</v>
      </c>
      <c r="AC51" s="396">
        <f xml:space="preserve"> Equity!AC$16</f>
        <v>0</v>
      </c>
      <c r="AD51" s="396">
        <f xml:space="preserve"> Equity!AD$16</f>
        <v>0</v>
      </c>
      <c r="AE51" s="396">
        <f xml:space="preserve"> Equity!AE$16</f>
        <v>0</v>
      </c>
      <c r="AF51" s="396">
        <f xml:space="preserve"> Equity!AF$16</f>
        <v>0</v>
      </c>
      <c r="AG51" s="396">
        <f xml:space="preserve"> Equity!AG$16</f>
        <v>0</v>
      </c>
      <c r="AH51" s="396">
        <f xml:space="preserve"> Equity!AH$16</f>
        <v>0</v>
      </c>
      <c r="AI51" s="396">
        <f xml:space="preserve"> Equity!AI$16</f>
        <v>0</v>
      </c>
      <c r="AJ51" s="396">
        <f xml:space="preserve"> Equity!AJ$16</f>
        <v>0</v>
      </c>
      <c r="AK51" s="396">
        <f xml:space="preserve"> Equity!AK$16</f>
        <v>0</v>
      </c>
      <c r="AL51" s="396">
        <f xml:space="preserve"> Equity!AL$16</f>
        <v>0</v>
      </c>
      <c r="AM51" s="396">
        <f xml:space="preserve"> Equity!AM$16</f>
        <v>0</v>
      </c>
      <c r="AN51" s="396">
        <f xml:space="preserve"> Equity!AN$16</f>
        <v>0</v>
      </c>
      <c r="AO51" s="396">
        <f xml:space="preserve"> Equity!AO$16</f>
        <v>0</v>
      </c>
      <c r="AP51" s="396">
        <f xml:space="preserve"> Equity!AP$16</f>
        <v>0</v>
      </c>
      <c r="AQ51" s="396">
        <f xml:space="preserve"> Equity!AQ$16</f>
        <v>0</v>
      </c>
      <c r="AR51" s="396">
        <f xml:space="preserve"> Equity!AR$16</f>
        <v>0</v>
      </c>
      <c r="AS51" s="396">
        <f xml:space="preserve"> Equity!AS$16</f>
        <v>0</v>
      </c>
      <c r="AT51" s="396">
        <f xml:space="preserve"> Equity!AT$16</f>
        <v>0</v>
      </c>
      <c r="AU51" s="396">
        <f xml:space="preserve"> Equity!AU$16</f>
        <v>0</v>
      </c>
      <c r="AV51" s="396">
        <f xml:space="preserve"> Equity!AV$16</f>
        <v>0</v>
      </c>
      <c r="AW51" s="396">
        <f xml:space="preserve"> Equity!AW$16</f>
        <v>0</v>
      </c>
      <c r="AX51" s="396">
        <f xml:space="preserve"> Equity!AX$16</f>
        <v>0</v>
      </c>
      <c r="AY51" s="396">
        <f xml:space="preserve"> Equity!AY$16</f>
        <v>0</v>
      </c>
      <c r="AZ51" s="396">
        <f xml:space="preserve"> Equity!AZ$16</f>
        <v>0</v>
      </c>
      <c r="BA51" s="396">
        <f xml:space="preserve"> Equity!BA$16</f>
        <v>0</v>
      </c>
      <c r="BB51" s="396">
        <f xml:space="preserve"> Equity!BB$16</f>
        <v>0</v>
      </c>
      <c r="BC51" s="396">
        <f xml:space="preserve"> Equity!BC$16</f>
        <v>0</v>
      </c>
      <c r="BD51" s="396">
        <f xml:space="preserve"> Equity!BD$16</f>
        <v>0</v>
      </c>
      <c r="BE51" s="396">
        <f xml:space="preserve"> Equity!BE$16</f>
        <v>0</v>
      </c>
      <c r="BF51" s="396">
        <f xml:space="preserve"> Equity!BF$16</f>
        <v>0</v>
      </c>
      <c r="BG51" s="396">
        <f xml:space="preserve"> Equity!BG$16</f>
        <v>0</v>
      </c>
      <c r="BH51" s="396">
        <f xml:space="preserve"> Equity!BH$16</f>
        <v>0</v>
      </c>
      <c r="BI51" s="396">
        <f xml:space="preserve"> Equity!BI$16</f>
        <v>0</v>
      </c>
      <c r="BJ51" s="396">
        <f xml:space="preserve"> Equity!BJ$16</f>
        <v>0</v>
      </c>
      <c r="BK51" s="396">
        <f xml:space="preserve"> Equity!BK$16</f>
        <v>0</v>
      </c>
      <c r="BL51" s="396">
        <f xml:space="preserve"> Equity!BL$16</f>
        <v>0</v>
      </c>
      <c r="BM51" s="396">
        <f xml:space="preserve"> Equity!BM$16</f>
        <v>0</v>
      </c>
      <c r="BN51" s="396">
        <f xml:space="preserve"> Equity!BN$16</f>
        <v>0</v>
      </c>
      <c r="BO51" s="396">
        <f xml:space="preserve"> Equity!BO$16</f>
        <v>0</v>
      </c>
      <c r="BP51" s="396">
        <f xml:space="preserve"> Equity!BP$16</f>
        <v>0</v>
      </c>
      <c r="BQ51" s="396">
        <f xml:space="preserve"> Equity!BQ$16</f>
        <v>0</v>
      </c>
      <c r="BR51" s="396">
        <f xml:space="preserve"> Equity!BR$16</f>
        <v>0</v>
      </c>
      <c r="BS51" s="396">
        <f xml:space="preserve"> Equity!BS$16</f>
        <v>0</v>
      </c>
      <c r="BT51" s="396">
        <f xml:space="preserve"> Equity!BT$16</f>
        <v>0</v>
      </c>
      <c r="BU51" s="396">
        <f xml:space="preserve"> Equity!BU$16</f>
        <v>0</v>
      </c>
      <c r="BV51" s="396">
        <f xml:space="preserve"> Equity!BV$16</f>
        <v>0</v>
      </c>
      <c r="BW51" s="396">
        <f xml:space="preserve"> Equity!BW$16</f>
        <v>0</v>
      </c>
      <c r="BX51" s="396">
        <f xml:space="preserve"> Equity!BX$16</f>
        <v>0</v>
      </c>
      <c r="BY51" s="396">
        <f xml:space="preserve"> Equity!BY$16</f>
        <v>0</v>
      </c>
      <c r="BZ51" s="396">
        <f xml:space="preserve"> Equity!BZ$16</f>
        <v>0</v>
      </c>
      <c r="CA51" s="396">
        <f xml:space="preserve"> Equity!CA$16</f>
        <v>0</v>
      </c>
      <c r="CB51" s="396">
        <f xml:space="preserve"> Equity!CB$16</f>
        <v>0</v>
      </c>
      <c r="CC51" s="396">
        <f xml:space="preserve"> Equity!CC$16</f>
        <v>0</v>
      </c>
      <c r="CD51" s="396">
        <f xml:space="preserve"> Equity!CD$16</f>
        <v>0</v>
      </c>
      <c r="CE51" s="396">
        <f xml:space="preserve"> Equity!CE$16</f>
        <v>0</v>
      </c>
      <c r="CF51" s="396">
        <f xml:space="preserve"> Equity!CF$16</f>
        <v>0</v>
      </c>
      <c r="CG51" s="396">
        <f xml:space="preserve"> Equity!CG$16</f>
        <v>0</v>
      </c>
      <c r="CH51" s="396">
        <f xml:space="preserve"> Equity!CH$16</f>
        <v>0</v>
      </c>
      <c r="CI51" s="396">
        <f xml:space="preserve"> Equity!CI$16</f>
        <v>0</v>
      </c>
      <c r="CJ51" s="396">
        <f xml:space="preserve"> Equity!CJ$16</f>
        <v>0</v>
      </c>
      <c r="CK51" s="396">
        <f xml:space="preserve"> Equity!CK$16</f>
        <v>0</v>
      </c>
      <c r="CL51" s="396">
        <f xml:space="preserve"> Equity!CL$16</f>
        <v>0</v>
      </c>
      <c r="CM51" s="396">
        <f xml:space="preserve"> Equity!CM$16</f>
        <v>0</v>
      </c>
      <c r="CN51" s="396">
        <f xml:space="preserve"> Equity!CN$16</f>
        <v>0</v>
      </c>
      <c r="CO51" s="396">
        <f xml:space="preserve"> Equity!CO$16</f>
        <v>0</v>
      </c>
      <c r="CP51" s="396">
        <f xml:space="preserve"> Equity!CP$16</f>
        <v>0</v>
      </c>
      <c r="CQ51" s="396">
        <f xml:space="preserve"> Equity!CQ$16</f>
        <v>0</v>
      </c>
      <c r="CR51" s="396">
        <f xml:space="preserve"> Equity!CR$16</f>
        <v>0</v>
      </c>
      <c r="CS51" s="396">
        <f xml:space="preserve"> Equity!CS$16</f>
        <v>0</v>
      </c>
      <c r="CT51" s="396">
        <f xml:space="preserve"> Equity!CT$16</f>
        <v>0</v>
      </c>
      <c r="CU51" s="396">
        <f xml:space="preserve"> Equity!CU$16</f>
        <v>0</v>
      </c>
      <c r="CV51" s="396">
        <f xml:space="preserve"> Equity!CV$16</f>
        <v>0</v>
      </c>
    </row>
    <row r="52" spans="1:100" s="125" customFormat="1" outlineLevel="1" x14ac:dyDescent="0.2">
      <c r="A52" s="85"/>
      <c r="B52" s="85"/>
      <c r="C52" s="86"/>
      <c r="D52" s="238" t="s">
        <v>1286</v>
      </c>
      <c r="E52" s="396" t="str">
        <f xml:space="preserve"> Equity!E$34</f>
        <v>Standby equity redemption POS</v>
      </c>
      <c r="F52" s="396">
        <f xml:space="preserve"> Equity!F$34</f>
        <v>0</v>
      </c>
      <c r="G52" s="396" t="str">
        <f xml:space="preserve"> Equity!G$34</f>
        <v>$ 000s</v>
      </c>
      <c r="H52" s="396">
        <f xml:space="preserve"> Equity!H$34</f>
        <v>0</v>
      </c>
      <c r="I52" s="396">
        <f xml:space="preserve"> Equity!I$34</f>
        <v>0</v>
      </c>
      <c r="J52" s="396">
        <f xml:space="preserve"> Equity!J$34</f>
        <v>0</v>
      </c>
      <c r="K52" s="396">
        <f xml:space="preserve"> Equity!K$34</f>
        <v>0</v>
      </c>
      <c r="L52" s="396">
        <f xml:space="preserve"> Equity!L$34</f>
        <v>0</v>
      </c>
      <c r="M52" s="396">
        <f xml:space="preserve"> Equity!M$34</f>
        <v>0</v>
      </c>
      <c r="N52" s="396">
        <f xml:space="preserve"> Equity!N$34</f>
        <v>0</v>
      </c>
      <c r="O52" s="396">
        <f xml:space="preserve"> Equity!O$34</f>
        <v>0</v>
      </c>
      <c r="P52" s="396">
        <f xml:space="preserve"> Equity!P$34</f>
        <v>0</v>
      </c>
      <c r="Q52" s="396">
        <f xml:space="preserve"> Equity!Q$34</f>
        <v>0</v>
      </c>
      <c r="R52" s="396">
        <f xml:space="preserve"> Equity!R$34</f>
        <v>0</v>
      </c>
      <c r="S52" s="396">
        <f xml:space="preserve"> Equity!S$34</f>
        <v>0</v>
      </c>
      <c r="T52" s="396">
        <f xml:space="preserve"> Equity!T$34</f>
        <v>0</v>
      </c>
      <c r="U52" s="396">
        <f xml:space="preserve"> Equity!U$34</f>
        <v>0</v>
      </c>
      <c r="V52" s="396">
        <f xml:space="preserve"> Equity!V$34</f>
        <v>0</v>
      </c>
      <c r="W52" s="396">
        <f xml:space="preserve"> Equity!W$34</f>
        <v>0</v>
      </c>
      <c r="X52" s="396">
        <f xml:space="preserve"> Equity!X$34</f>
        <v>0</v>
      </c>
      <c r="Y52" s="396">
        <f xml:space="preserve"> Equity!Y$34</f>
        <v>0</v>
      </c>
      <c r="Z52" s="396">
        <f xml:space="preserve"> Equity!Z$34</f>
        <v>0</v>
      </c>
      <c r="AA52" s="396">
        <f xml:space="preserve"> Equity!AA$34</f>
        <v>0</v>
      </c>
      <c r="AB52" s="396">
        <f xml:space="preserve"> Equity!AB$34</f>
        <v>0</v>
      </c>
      <c r="AC52" s="396">
        <f xml:space="preserve"> Equity!AC$34</f>
        <v>0</v>
      </c>
      <c r="AD52" s="396">
        <f xml:space="preserve"> Equity!AD$34</f>
        <v>0</v>
      </c>
      <c r="AE52" s="396">
        <f xml:space="preserve"> Equity!AE$34</f>
        <v>0</v>
      </c>
      <c r="AF52" s="396">
        <f xml:space="preserve"> Equity!AF$34</f>
        <v>0</v>
      </c>
      <c r="AG52" s="396">
        <f xml:space="preserve"> Equity!AG$34</f>
        <v>0</v>
      </c>
      <c r="AH52" s="396">
        <f xml:space="preserve"> Equity!AH$34</f>
        <v>0</v>
      </c>
      <c r="AI52" s="396">
        <f xml:space="preserve"> Equity!AI$34</f>
        <v>0</v>
      </c>
      <c r="AJ52" s="396">
        <f xml:space="preserve"> Equity!AJ$34</f>
        <v>0</v>
      </c>
      <c r="AK52" s="396">
        <f xml:space="preserve"> Equity!AK$34</f>
        <v>0</v>
      </c>
      <c r="AL52" s="396">
        <f xml:space="preserve"> Equity!AL$34</f>
        <v>0</v>
      </c>
      <c r="AM52" s="396">
        <f xml:space="preserve"> Equity!AM$34</f>
        <v>0</v>
      </c>
      <c r="AN52" s="396">
        <f xml:space="preserve"> Equity!AN$34</f>
        <v>0</v>
      </c>
      <c r="AO52" s="396">
        <f xml:space="preserve"> Equity!AO$34</f>
        <v>0</v>
      </c>
      <c r="AP52" s="396">
        <f xml:space="preserve"> Equity!AP$34</f>
        <v>0</v>
      </c>
      <c r="AQ52" s="396">
        <f xml:space="preserve"> Equity!AQ$34</f>
        <v>0</v>
      </c>
      <c r="AR52" s="396">
        <f xml:space="preserve"> Equity!AR$34</f>
        <v>0</v>
      </c>
      <c r="AS52" s="396">
        <f xml:space="preserve"> Equity!AS$34</f>
        <v>0</v>
      </c>
      <c r="AT52" s="396">
        <f xml:space="preserve"> Equity!AT$34</f>
        <v>0</v>
      </c>
      <c r="AU52" s="396">
        <f xml:space="preserve"> Equity!AU$34</f>
        <v>0</v>
      </c>
      <c r="AV52" s="396">
        <f xml:space="preserve"> Equity!AV$34</f>
        <v>0</v>
      </c>
      <c r="AW52" s="396">
        <f xml:space="preserve"> Equity!AW$34</f>
        <v>0</v>
      </c>
      <c r="AX52" s="396">
        <f xml:space="preserve"> Equity!AX$34</f>
        <v>0</v>
      </c>
      <c r="AY52" s="396">
        <f xml:space="preserve"> Equity!AY$34</f>
        <v>0</v>
      </c>
      <c r="AZ52" s="396">
        <f xml:space="preserve"> Equity!AZ$34</f>
        <v>0</v>
      </c>
      <c r="BA52" s="396">
        <f xml:space="preserve"> Equity!BA$34</f>
        <v>0</v>
      </c>
      <c r="BB52" s="396">
        <f xml:space="preserve"> Equity!BB$34</f>
        <v>0</v>
      </c>
      <c r="BC52" s="396">
        <f xml:space="preserve"> Equity!BC$34</f>
        <v>0</v>
      </c>
      <c r="BD52" s="396">
        <f xml:space="preserve"> Equity!BD$34</f>
        <v>0</v>
      </c>
      <c r="BE52" s="396">
        <f xml:space="preserve"> Equity!BE$34</f>
        <v>0</v>
      </c>
      <c r="BF52" s="396">
        <f xml:space="preserve"> Equity!BF$34</f>
        <v>0</v>
      </c>
      <c r="BG52" s="396">
        <f xml:space="preserve"> Equity!BG$34</f>
        <v>0</v>
      </c>
      <c r="BH52" s="396">
        <f xml:space="preserve"> Equity!BH$34</f>
        <v>0</v>
      </c>
      <c r="BI52" s="396">
        <f xml:space="preserve"> Equity!BI$34</f>
        <v>0</v>
      </c>
      <c r="BJ52" s="396">
        <f xml:space="preserve"> Equity!BJ$34</f>
        <v>0</v>
      </c>
      <c r="BK52" s="396">
        <f xml:space="preserve"> Equity!BK$34</f>
        <v>0</v>
      </c>
      <c r="BL52" s="396">
        <f xml:space="preserve"> Equity!BL$34</f>
        <v>0</v>
      </c>
      <c r="BM52" s="396">
        <f xml:space="preserve"> Equity!BM$34</f>
        <v>0</v>
      </c>
      <c r="BN52" s="396">
        <f xml:space="preserve"> Equity!BN$34</f>
        <v>0</v>
      </c>
      <c r="BO52" s="396">
        <f xml:space="preserve"> Equity!BO$34</f>
        <v>0</v>
      </c>
      <c r="BP52" s="396">
        <f xml:space="preserve"> Equity!BP$34</f>
        <v>0</v>
      </c>
      <c r="BQ52" s="396">
        <f xml:space="preserve"> Equity!BQ$34</f>
        <v>0</v>
      </c>
      <c r="BR52" s="396">
        <f xml:space="preserve"> Equity!BR$34</f>
        <v>0</v>
      </c>
      <c r="BS52" s="396">
        <f xml:space="preserve"> Equity!BS$34</f>
        <v>0</v>
      </c>
      <c r="BT52" s="396">
        <f xml:space="preserve"> Equity!BT$34</f>
        <v>0</v>
      </c>
      <c r="BU52" s="396">
        <f xml:space="preserve"> Equity!BU$34</f>
        <v>0</v>
      </c>
      <c r="BV52" s="396">
        <f xml:space="preserve"> Equity!BV$34</f>
        <v>0</v>
      </c>
      <c r="BW52" s="396">
        <f xml:space="preserve"> Equity!BW$34</f>
        <v>0</v>
      </c>
      <c r="BX52" s="396">
        <f xml:space="preserve"> Equity!BX$34</f>
        <v>0</v>
      </c>
      <c r="BY52" s="396">
        <f xml:space="preserve"> Equity!BY$34</f>
        <v>0</v>
      </c>
      <c r="BZ52" s="396">
        <f xml:space="preserve"> Equity!BZ$34</f>
        <v>0</v>
      </c>
      <c r="CA52" s="396">
        <f xml:space="preserve"> Equity!CA$34</f>
        <v>0</v>
      </c>
      <c r="CB52" s="396">
        <f xml:space="preserve"> Equity!CB$34</f>
        <v>0</v>
      </c>
      <c r="CC52" s="396">
        <f xml:space="preserve"> Equity!CC$34</f>
        <v>0</v>
      </c>
      <c r="CD52" s="396">
        <f xml:space="preserve"> Equity!CD$34</f>
        <v>0</v>
      </c>
      <c r="CE52" s="396">
        <f xml:space="preserve"> Equity!CE$34</f>
        <v>0</v>
      </c>
      <c r="CF52" s="396">
        <f xml:space="preserve"> Equity!CF$34</f>
        <v>0</v>
      </c>
      <c r="CG52" s="396">
        <f xml:space="preserve"> Equity!CG$34</f>
        <v>0</v>
      </c>
      <c r="CH52" s="396">
        <f xml:space="preserve"> Equity!CH$34</f>
        <v>0</v>
      </c>
      <c r="CI52" s="396">
        <f xml:space="preserve"> Equity!CI$34</f>
        <v>0</v>
      </c>
      <c r="CJ52" s="396">
        <f xml:space="preserve"> Equity!CJ$34</f>
        <v>0</v>
      </c>
      <c r="CK52" s="396">
        <f xml:space="preserve"> Equity!CK$34</f>
        <v>0</v>
      </c>
      <c r="CL52" s="396">
        <f xml:space="preserve"> Equity!CL$34</f>
        <v>0</v>
      </c>
      <c r="CM52" s="396">
        <f xml:space="preserve"> Equity!CM$34</f>
        <v>0</v>
      </c>
      <c r="CN52" s="396">
        <f xml:space="preserve"> Equity!CN$34</f>
        <v>0</v>
      </c>
      <c r="CO52" s="396">
        <f xml:space="preserve"> Equity!CO$34</f>
        <v>0</v>
      </c>
      <c r="CP52" s="396">
        <f xml:space="preserve"> Equity!CP$34</f>
        <v>0</v>
      </c>
      <c r="CQ52" s="396">
        <f xml:space="preserve"> Equity!CQ$34</f>
        <v>0</v>
      </c>
      <c r="CR52" s="396">
        <f xml:space="preserve"> Equity!CR$34</f>
        <v>0</v>
      </c>
      <c r="CS52" s="396">
        <f xml:space="preserve"> Equity!CS$34</f>
        <v>0</v>
      </c>
      <c r="CT52" s="396">
        <f xml:space="preserve"> Equity!CT$34</f>
        <v>0</v>
      </c>
      <c r="CU52" s="396">
        <f xml:space="preserve"> Equity!CU$34</f>
        <v>0</v>
      </c>
      <c r="CV52" s="396">
        <f xml:space="preserve"> Equity!CV$34</f>
        <v>0</v>
      </c>
    </row>
    <row r="53" spans="1:100" s="125" customFormat="1" outlineLevel="1" x14ac:dyDescent="0.2">
      <c r="A53" s="85"/>
      <c r="B53" s="85"/>
      <c r="C53" s="86"/>
      <c r="D53" s="238" t="s">
        <v>1286</v>
      </c>
      <c r="E53" s="9" t="str">
        <f t="shared" ref="E53:AJ53" si="25" xml:space="preserve"> E$17</f>
        <v>Terminal value</v>
      </c>
      <c r="F53" s="9">
        <f t="shared" si="25"/>
        <v>0</v>
      </c>
      <c r="G53" s="9" t="str">
        <f t="shared" si="25"/>
        <v>$ 000s</v>
      </c>
      <c r="H53" s="9">
        <f t="shared" si="25"/>
        <v>0</v>
      </c>
      <c r="I53" s="9">
        <f t="shared" si="25"/>
        <v>0</v>
      </c>
      <c r="J53" s="9">
        <f t="shared" si="25"/>
        <v>0</v>
      </c>
      <c r="K53" s="9">
        <f t="shared" si="25"/>
        <v>0</v>
      </c>
      <c r="L53" s="9">
        <f t="shared" si="25"/>
        <v>0</v>
      </c>
      <c r="M53" s="9">
        <f t="shared" si="25"/>
        <v>0</v>
      </c>
      <c r="N53" s="9">
        <f t="shared" si="25"/>
        <v>0</v>
      </c>
      <c r="O53" s="9">
        <f t="shared" si="25"/>
        <v>0</v>
      </c>
      <c r="P53" s="9">
        <f t="shared" si="25"/>
        <v>0</v>
      </c>
      <c r="Q53" s="9">
        <f t="shared" si="25"/>
        <v>0</v>
      </c>
      <c r="R53" s="9">
        <f t="shared" si="25"/>
        <v>0</v>
      </c>
      <c r="S53" s="9">
        <f t="shared" si="25"/>
        <v>0</v>
      </c>
      <c r="T53" s="9">
        <f t="shared" si="25"/>
        <v>0</v>
      </c>
      <c r="U53" s="9">
        <f t="shared" si="25"/>
        <v>0</v>
      </c>
      <c r="V53" s="9">
        <f t="shared" si="25"/>
        <v>0</v>
      </c>
      <c r="W53" s="9">
        <f t="shared" si="25"/>
        <v>0</v>
      </c>
      <c r="X53" s="9">
        <f t="shared" si="25"/>
        <v>0</v>
      </c>
      <c r="Y53" s="9">
        <f t="shared" si="25"/>
        <v>0</v>
      </c>
      <c r="Z53" s="9">
        <f t="shared" si="25"/>
        <v>0</v>
      </c>
      <c r="AA53" s="9">
        <f t="shared" si="25"/>
        <v>0</v>
      </c>
      <c r="AB53" s="9">
        <f t="shared" si="25"/>
        <v>0</v>
      </c>
      <c r="AC53" s="9">
        <f t="shared" si="25"/>
        <v>0</v>
      </c>
      <c r="AD53" s="9">
        <f t="shared" si="25"/>
        <v>0</v>
      </c>
      <c r="AE53" s="9">
        <f t="shared" si="25"/>
        <v>0</v>
      </c>
      <c r="AF53" s="9">
        <f t="shared" si="25"/>
        <v>0</v>
      </c>
      <c r="AG53" s="9">
        <f t="shared" si="25"/>
        <v>0</v>
      </c>
      <c r="AH53" s="9">
        <f t="shared" si="25"/>
        <v>0</v>
      </c>
      <c r="AI53" s="9">
        <f t="shared" si="25"/>
        <v>0</v>
      </c>
      <c r="AJ53" s="9">
        <f t="shared" si="25"/>
        <v>0</v>
      </c>
      <c r="AK53" s="9">
        <f t="shared" ref="AK53:BP53" si="26" xml:space="preserve"> AK$17</f>
        <v>0</v>
      </c>
      <c r="AL53" s="9">
        <f t="shared" si="26"/>
        <v>0</v>
      </c>
      <c r="AM53" s="9">
        <f t="shared" si="26"/>
        <v>0</v>
      </c>
      <c r="AN53" s="9">
        <f t="shared" si="26"/>
        <v>0</v>
      </c>
      <c r="AO53" s="9">
        <f t="shared" si="26"/>
        <v>0</v>
      </c>
      <c r="AP53" s="9">
        <f t="shared" si="26"/>
        <v>0</v>
      </c>
      <c r="AQ53" s="9">
        <f t="shared" si="26"/>
        <v>0</v>
      </c>
      <c r="AR53" s="9">
        <f t="shared" si="26"/>
        <v>0</v>
      </c>
      <c r="AS53" s="9">
        <f t="shared" si="26"/>
        <v>0</v>
      </c>
      <c r="AT53" s="9">
        <f t="shared" si="26"/>
        <v>0</v>
      </c>
      <c r="AU53" s="9">
        <f t="shared" si="26"/>
        <v>0</v>
      </c>
      <c r="AV53" s="9">
        <f t="shared" si="26"/>
        <v>0</v>
      </c>
      <c r="AW53" s="9">
        <f t="shared" si="26"/>
        <v>0</v>
      </c>
      <c r="AX53" s="9">
        <f t="shared" si="26"/>
        <v>0</v>
      </c>
      <c r="AY53" s="9">
        <f t="shared" si="26"/>
        <v>0</v>
      </c>
      <c r="AZ53" s="9">
        <f t="shared" si="26"/>
        <v>0</v>
      </c>
      <c r="BA53" s="9">
        <f t="shared" si="26"/>
        <v>0</v>
      </c>
      <c r="BB53" s="9">
        <f t="shared" si="26"/>
        <v>0</v>
      </c>
      <c r="BC53" s="9">
        <f t="shared" si="26"/>
        <v>0</v>
      </c>
      <c r="BD53" s="9">
        <f t="shared" si="26"/>
        <v>0</v>
      </c>
      <c r="BE53" s="9">
        <f t="shared" si="26"/>
        <v>0</v>
      </c>
      <c r="BF53" s="9">
        <f t="shared" si="26"/>
        <v>0</v>
      </c>
      <c r="BG53" s="9">
        <f t="shared" si="26"/>
        <v>0</v>
      </c>
      <c r="BH53" s="9">
        <f t="shared" si="26"/>
        <v>0</v>
      </c>
      <c r="BI53" s="9">
        <f t="shared" si="26"/>
        <v>0</v>
      </c>
      <c r="BJ53" s="9">
        <f t="shared" si="26"/>
        <v>0</v>
      </c>
      <c r="BK53" s="9">
        <f t="shared" si="26"/>
        <v>0</v>
      </c>
      <c r="BL53" s="9">
        <f t="shared" si="26"/>
        <v>0</v>
      </c>
      <c r="BM53" s="9">
        <f t="shared" si="26"/>
        <v>0</v>
      </c>
      <c r="BN53" s="9">
        <f t="shared" si="26"/>
        <v>0</v>
      </c>
      <c r="BO53" s="9">
        <f t="shared" si="26"/>
        <v>0</v>
      </c>
      <c r="BP53" s="9">
        <f t="shared" si="26"/>
        <v>0</v>
      </c>
      <c r="BQ53" s="9">
        <f t="shared" ref="BQ53:CV53" si="27" xml:space="preserve"> BQ$17</f>
        <v>0</v>
      </c>
      <c r="BR53" s="9">
        <f t="shared" si="27"/>
        <v>0</v>
      </c>
      <c r="BS53" s="9">
        <f t="shared" si="27"/>
        <v>0</v>
      </c>
      <c r="BT53" s="9">
        <f t="shared" si="27"/>
        <v>0</v>
      </c>
      <c r="BU53" s="9">
        <f t="shared" si="27"/>
        <v>0</v>
      </c>
      <c r="BV53" s="9">
        <f t="shared" si="27"/>
        <v>0</v>
      </c>
      <c r="BW53" s="9">
        <f t="shared" si="27"/>
        <v>0</v>
      </c>
      <c r="BX53" s="9">
        <f t="shared" si="27"/>
        <v>0</v>
      </c>
      <c r="BY53" s="9">
        <f t="shared" si="27"/>
        <v>0</v>
      </c>
      <c r="BZ53" s="9">
        <f t="shared" si="27"/>
        <v>0</v>
      </c>
      <c r="CA53" s="9">
        <f t="shared" si="27"/>
        <v>0</v>
      </c>
      <c r="CB53" s="9">
        <f t="shared" si="27"/>
        <v>0</v>
      </c>
      <c r="CC53" s="9">
        <f t="shared" si="27"/>
        <v>0</v>
      </c>
      <c r="CD53" s="9">
        <f t="shared" si="27"/>
        <v>0</v>
      </c>
      <c r="CE53" s="9">
        <f t="shared" si="27"/>
        <v>0</v>
      </c>
      <c r="CF53" s="9">
        <f t="shared" si="27"/>
        <v>0</v>
      </c>
      <c r="CG53" s="9">
        <f t="shared" si="27"/>
        <v>0</v>
      </c>
      <c r="CH53" s="9">
        <f t="shared" si="27"/>
        <v>0</v>
      </c>
      <c r="CI53" s="9">
        <f t="shared" si="27"/>
        <v>0</v>
      </c>
      <c r="CJ53" s="9">
        <f t="shared" si="27"/>
        <v>0</v>
      </c>
      <c r="CK53" s="9">
        <f t="shared" si="27"/>
        <v>0</v>
      </c>
      <c r="CL53" s="9">
        <f t="shared" si="27"/>
        <v>0</v>
      </c>
      <c r="CM53" s="9">
        <f t="shared" si="27"/>
        <v>0</v>
      </c>
      <c r="CN53" s="9">
        <f t="shared" si="27"/>
        <v>0</v>
      </c>
      <c r="CO53" s="9">
        <f t="shared" si="27"/>
        <v>0</v>
      </c>
      <c r="CP53" s="9">
        <f t="shared" si="27"/>
        <v>0</v>
      </c>
      <c r="CQ53" s="9">
        <f t="shared" si="27"/>
        <v>0</v>
      </c>
      <c r="CR53" s="9">
        <f t="shared" si="27"/>
        <v>0</v>
      </c>
      <c r="CS53" s="9">
        <f t="shared" si="27"/>
        <v>0</v>
      </c>
      <c r="CT53" s="9">
        <f t="shared" si="27"/>
        <v>0</v>
      </c>
      <c r="CU53" s="9">
        <f t="shared" si="27"/>
        <v>0</v>
      </c>
      <c r="CV53" s="9">
        <f t="shared" si="27"/>
        <v>0</v>
      </c>
    </row>
    <row r="54" spans="1:100" outlineLevel="1" x14ac:dyDescent="0.2">
      <c r="E54" s="491" t="s">
        <v>309</v>
      </c>
      <c r="F54" s="491"/>
      <c r="G54" s="491" t="str">
        <f xml:space="preserve"> SMU</f>
        <v>$ 000s</v>
      </c>
      <c r="H54" s="491">
        <f xml:space="preserve"> SUM(J54:CV54)</f>
        <v>230316.86751401989</v>
      </c>
      <c r="I54" s="233"/>
      <c r="J54" s="233">
        <f t="shared" ref="J54:AO54" si="28">SUM(J48:J53) - SUM( J46:J47 )</f>
        <v>0</v>
      </c>
      <c r="K54" s="233">
        <f t="shared" si="28"/>
        <v>0</v>
      </c>
      <c r="L54" s="233">
        <f t="shared" si="28"/>
        <v>0</v>
      </c>
      <c r="M54" s="233">
        <f t="shared" si="28"/>
        <v>0</v>
      </c>
      <c r="N54" s="233">
        <f t="shared" si="28"/>
        <v>0</v>
      </c>
      <c r="O54" s="233">
        <f t="shared" si="28"/>
        <v>4809.6864821518402</v>
      </c>
      <c r="P54" s="233">
        <f t="shared" si="28"/>
        <v>4286.48906796347</v>
      </c>
      <c r="Q54" s="233">
        <f t="shared" si="28"/>
        <v>4298.5795996142215</v>
      </c>
      <c r="R54" s="233">
        <f t="shared" si="28"/>
        <v>4259.361075180148</v>
      </c>
      <c r="S54" s="233">
        <f t="shared" si="28"/>
        <v>4271.0438937140598</v>
      </c>
      <c r="T54" s="233">
        <f t="shared" si="28"/>
        <v>4224.6921050826786</v>
      </c>
      <c r="U54" s="233">
        <f t="shared" si="28"/>
        <v>4250.5478929288583</v>
      </c>
      <c r="V54" s="233">
        <f t="shared" si="28"/>
        <v>4216.9767168456247</v>
      </c>
      <c r="W54" s="233">
        <f t="shared" si="28"/>
        <v>4202.0811460899249</v>
      </c>
      <c r="X54" s="233">
        <f t="shared" si="28"/>
        <v>4176.4649033658543</v>
      </c>
      <c r="Y54" s="233">
        <f t="shared" si="28"/>
        <v>4183.0919265493558</v>
      </c>
      <c r="Z54" s="233">
        <f t="shared" si="28"/>
        <v>4144.6249249608936</v>
      </c>
      <c r="AA54" s="233">
        <f t="shared" si="28"/>
        <v>4154.6222599807761</v>
      </c>
      <c r="AB54" s="233">
        <f t="shared" si="28"/>
        <v>4109.2733333883989</v>
      </c>
      <c r="AC54" s="233">
        <f t="shared" si="28"/>
        <v>4132.9583337978893</v>
      </c>
      <c r="AD54" s="233">
        <f t="shared" si="28"/>
        <v>4100.0859175044443</v>
      </c>
      <c r="AE54" s="233">
        <f t="shared" si="28"/>
        <v>4084.2399745194944</v>
      </c>
      <c r="AF54" s="233">
        <f t="shared" si="28"/>
        <v>4058.9842834234328</v>
      </c>
      <c r="AG54" s="233">
        <f t="shared" si="28"/>
        <v>4067.7140463544551</v>
      </c>
      <c r="AH54" s="233">
        <f t="shared" si="28"/>
        <v>4029.947554418759</v>
      </c>
      <c r="AI54" s="233">
        <f t="shared" si="28"/>
        <v>4035.3639369193183</v>
      </c>
      <c r="AJ54" s="233">
        <f t="shared" si="28"/>
        <v>3991.1491647331109</v>
      </c>
      <c r="AK54" s="233">
        <f t="shared" si="28"/>
        <v>4012.7122630655554</v>
      </c>
      <c r="AL54" s="233">
        <f t="shared" si="28"/>
        <v>3980.6799286863502</v>
      </c>
      <c r="AM54" s="233">
        <f t="shared" si="28"/>
        <v>3963.9938444611762</v>
      </c>
      <c r="AN54" s="233">
        <f t="shared" si="28"/>
        <v>3939.2062865949765</v>
      </c>
      <c r="AO54" s="233">
        <f t="shared" si="28"/>
        <v>3946.3355151609026</v>
      </c>
      <c r="AP54" s="233">
        <f t="shared" ref="AP54:BU54" si="29">SUM(AP48:AP53) - SUM( AP46:AP47 )</f>
        <v>3909.512118776724</v>
      </c>
      <c r="AQ54" s="233">
        <f t="shared" si="29"/>
        <v>3916.224396991815</v>
      </c>
      <c r="AR54" s="233">
        <f t="shared" si="29"/>
        <v>3873.069155199521</v>
      </c>
      <c r="AS54" s="233">
        <f t="shared" si="29"/>
        <v>3892.4349706065286</v>
      </c>
      <c r="AT54" s="233">
        <f t="shared" si="29"/>
        <v>3860.8605923341779</v>
      </c>
      <c r="AU54" s="233">
        <f t="shared" si="29"/>
        <v>8557.0727830608084</v>
      </c>
      <c r="AV54" s="233">
        <f t="shared" si="29"/>
        <v>8481.6035727290746</v>
      </c>
      <c r="AW54" s="233">
        <f t="shared" si="29"/>
        <v>13308.140471659188</v>
      </c>
      <c r="AX54" s="233">
        <f t="shared" si="29"/>
        <v>13168.336911072989</v>
      </c>
      <c r="AY54" s="233">
        <f t="shared" si="29"/>
        <v>13171.304283837419</v>
      </c>
      <c r="AZ54" s="233">
        <f t="shared" si="29"/>
        <v>13032.704677817499</v>
      </c>
      <c r="BA54" s="233">
        <f t="shared" si="29"/>
        <v>13033.361204859661</v>
      </c>
      <c r="BB54" s="233">
        <f t="shared" si="29"/>
        <v>16181.335997618533</v>
      </c>
      <c r="BC54" s="233">
        <f t="shared" si="29"/>
        <v>0</v>
      </c>
      <c r="BD54" s="233">
        <f t="shared" si="29"/>
        <v>0</v>
      </c>
      <c r="BE54" s="233">
        <f t="shared" si="29"/>
        <v>0</v>
      </c>
      <c r="BF54" s="233">
        <f t="shared" si="29"/>
        <v>0</v>
      </c>
      <c r="BG54" s="233">
        <f t="shared" si="29"/>
        <v>0</v>
      </c>
      <c r="BH54" s="233">
        <f t="shared" si="29"/>
        <v>0</v>
      </c>
      <c r="BI54" s="233">
        <f t="shared" si="29"/>
        <v>0</v>
      </c>
      <c r="BJ54" s="233">
        <f t="shared" si="29"/>
        <v>0</v>
      </c>
      <c r="BK54" s="233">
        <f t="shared" si="29"/>
        <v>0</v>
      </c>
      <c r="BL54" s="233">
        <f t="shared" si="29"/>
        <v>0</v>
      </c>
      <c r="BM54" s="233">
        <f t="shared" si="29"/>
        <v>0</v>
      </c>
      <c r="BN54" s="233">
        <f t="shared" si="29"/>
        <v>0</v>
      </c>
      <c r="BO54" s="233">
        <f t="shared" si="29"/>
        <v>0</v>
      </c>
      <c r="BP54" s="233">
        <f t="shared" si="29"/>
        <v>0</v>
      </c>
      <c r="BQ54" s="233">
        <f t="shared" si="29"/>
        <v>0</v>
      </c>
      <c r="BR54" s="233">
        <f t="shared" si="29"/>
        <v>0</v>
      </c>
      <c r="BS54" s="233">
        <f t="shared" si="29"/>
        <v>0</v>
      </c>
      <c r="BT54" s="233">
        <f t="shared" si="29"/>
        <v>0</v>
      </c>
      <c r="BU54" s="233">
        <f t="shared" si="29"/>
        <v>0</v>
      </c>
      <c r="BV54" s="233">
        <f t="shared" ref="BV54:CV54" si="30">SUM(BV48:BV53) - SUM( BV46:BV47 )</f>
        <v>0</v>
      </c>
      <c r="BW54" s="233">
        <f t="shared" si="30"/>
        <v>0</v>
      </c>
      <c r="BX54" s="233">
        <f t="shared" si="30"/>
        <v>0</v>
      </c>
      <c r="BY54" s="233">
        <f t="shared" si="30"/>
        <v>0</v>
      </c>
      <c r="BZ54" s="233">
        <f t="shared" si="30"/>
        <v>0</v>
      </c>
      <c r="CA54" s="233">
        <f t="shared" si="30"/>
        <v>0</v>
      </c>
      <c r="CB54" s="233">
        <f t="shared" si="30"/>
        <v>0</v>
      </c>
      <c r="CC54" s="233">
        <f t="shared" si="30"/>
        <v>0</v>
      </c>
      <c r="CD54" s="233">
        <f t="shared" si="30"/>
        <v>0</v>
      </c>
      <c r="CE54" s="233">
        <f t="shared" si="30"/>
        <v>0</v>
      </c>
      <c r="CF54" s="233">
        <f t="shared" si="30"/>
        <v>0</v>
      </c>
      <c r="CG54" s="233">
        <f t="shared" si="30"/>
        <v>0</v>
      </c>
      <c r="CH54" s="233">
        <f t="shared" si="30"/>
        <v>0</v>
      </c>
      <c r="CI54" s="233">
        <f t="shared" si="30"/>
        <v>0</v>
      </c>
      <c r="CJ54" s="233">
        <f t="shared" si="30"/>
        <v>0</v>
      </c>
      <c r="CK54" s="233">
        <f t="shared" si="30"/>
        <v>0</v>
      </c>
      <c r="CL54" s="233">
        <f t="shared" si="30"/>
        <v>0</v>
      </c>
      <c r="CM54" s="233">
        <f t="shared" si="30"/>
        <v>0</v>
      </c>
      <c r="CN54" s="233">
        <f t="shared" si="30"/>
        <v>0</v>
      </c>
      <c r="CO54" s="233">
        <f t="shared" si="30"/>
        <v>0</v>
      </c>
      <c r="CP54" s="233">
        <f t="shared" si="30"/>
        <v>0</v>
      </c>
      <c r="CQ54" s="233">
        <f t="shared" si="30"/>
        <v>0</v>
      </c>
      <c r="CR54" s="233">
        <f t="shared" si="30"/>
        <v>0</v>
      </c>
      <c r="CS54" s="233">
        <f t="shared" si="30"/>
        <v>0</v>
      </c>
      <c r="CT54" s="233">
        <f t="shared" si="30"/>
        <v>0</v>
      </c>
      <c r="CU54" s="233">
        <f t="shared" si="30"/>
        <v>0</v>
      </c>
      <c r="CV54" s="233">
        <f t="shared" si="30"/>
        <v>0</v>
      </c>
    </row>
    <row r="55" spans="1:100" outlineLevel="1" x14ac:dyDescent="0.2"/>
    <row r="56" spans="1:100" s="80" customFormat="1" outlineLevel="1" x14ac:dyDescent="0.2">
      <c r="A56" s="635"/>
      <c r="B56" s="635"/>
      <c r="C56" s="636"/>
      <c r="D56" s="637"/>
      <c r="E56" s="545" t="str">
        <f xml:space="preserve"> ConFin!E$288</f>
        <v>Net cashflow from equity during construction - NEG for IRR</v>
      </c>
      <c r="F56" s="545">
        <f xml:space="preserve"> ConFin!F$288</f>
        <v>0</v>
      </c>
      <c r="G56" s="545" t="str">
        <f xml:space="preserve"> ConFin!G$288</f>
        <v>$ 000s</v>
      </c>
      <c r="H56" s="545">
        <f xml:space="preserve"> ConFin!H$288</f>
        <v>-84478.253106862205</v>
      </c>
      <c r="I56" s="545">
        <f xml:space="preserve"> ConFin!I$288</f>
        <v>0</v>
      </c>
      <c r="J56" s="545">
        <f xml:space="preserve"> ConFin!J$288</f>
        <v>-1.0000000000000001E-9</v>
      </c>
      <c r="K56" s="545">
        <f xml:space="preserve"> ConFin!K$288</f>
        <v>0</v>
      </c>
      <c r="L56" s="545">
        <f xml:space="preserve"> ConFin!L$288</f>
        <v>0</v>
      </c>
      <c r="M56" s="545">
        <f xml:space="preserve"> ConFin!M$288</f>
        <v>1840</v>
      </c>
      <c r="N56" s="545">
        <f xml:space="preserve"> ConFin!N$288</f>
        <v>0</v>
      </c>
      <c r="O56" s="545">
        <f xml:space="preserve"> ConFin!O$288</f>
        <v>0</v>
      </c>
      <c r="P56" s="545">
        <f xml:space="preserve"> ConFin!P$288</f>
        <v>0</v>
      </c>
      <c r="Q56" s="545">
        <f xml:space="preserve"> ConFin!Q$288</f>
        <v>0</v>
      </c>
      <c r="R56" s="545">
        <f xml:space="preserve"> ConFin!R$288</f>
        <v>0</v>
      </c>
      <c r="S56" s="545">
        <f xml:space="preserve"> ConFin!S$288</f>
        <v>0</v>
      </c>
      <c r="T56" s="545">
        <f xml:space="preserve"> ConFin!T$288</f>
        <v>0</v>
      </c>
      <c r="U56" s="545">
        <f xml:space="preserve"> ConFin!U$288</f>
        <v>0</v>
      </c>
      <c r="V56" s="545">
        <f xml:space="preserve"> ConFin!V$288</f>
        <v>0</v>
      </c>
      <c r="W56" s="545">
        <f xml:space="preserve"> ConFin!W$288</f>
        <v>0</v>
      </c>
      <c r="X56" s="545">
        <f xml:space="preserve"> ConFin!X$288</f>
        <v>0</v>
      </c>
      <c r="Y56" s="545">
        <f xml:space="preserve"> ConFin!Y$288</f>
        <v>0</v>
      </c>
      <c r="Z56" s="545">
        <f xml:space="preserve"> ConFin!Z$288</f>
        <v>0</v>
      </c>
      <c r="AA56" s="545">
        <f xml:space="preserve"> ConFin!AA$288</f>
        <v>0</v>
      </c>
      <c r="AB56" s="545">
        <f xml:space="preserve"> ConFin!AB$288</f>
        <v>0</v>
      </c>
      <c r="AC56" s="545">
        <f xml:space="preserve"> ConFin!AC$288</f>
        <v>0</v>
      </c>
      <c r="AD56" s="545">
        <f xml:space="preserve"> ConFin!AD$288</f>
        <v>0</v>
      </c>
      <c r="AE56" s="545">
        <f xml:space="preserve"> ConFin!AE$288</f>
        <v>0</v>
      </c>
      <c r="AF56" s="545">
        <f xml:space="preserve"> ConFin!AF$288</f>
        <v>0</v>
      </c>
      <c r="AG56" s="545">
        <f xml:space="preserve"> ConFin!AG$288</f>
        <v>0</v>
      </c>
      <c r="AH56" s="545">
        <f xml:space="preserve"> ConFin!AH$288</f>
        <v>0</v>
      </c>
      <c r="AI56" s="545">
        <f xml:space="preserve"> ConFin!AI$288</f>
        <v>0</v>
      </c>
      <c r="AJ56" s="545">
        <f xml:space="preserve"> ConFin!AJ$288</f>
        <v>0</v>
      </c>
      <c r="AK56" s="545">
        <f xml:space="preserve"> ConFin!AK$288</f>
        <v>0</v>
      </c>
      <c r="AL56" s="545">
        <f xml:space="preserve"> ConFin!AL$288</f>
        <v>0</v>
      </c>
      <c r="AM56" s="545">
        <f xml:space="preserve"> ConFin!AM$288</f>
        <v>-86318.253106861201</v>
      </c>
      <c r="AN56" s="545">
        <f xml:space="preserve"> ConFin!AN$288</f>
        <v>0</v>
      </c>
      <c r="AO56" s="545">
        <f xml:space="preserve"> ConFin!AO$288</f>
        <v>0</v>
      </c>
      <c r="AP56" s="545">
        <f xml:space="preserve"> ConFin!AP$288</f>
        <v>0</v>
      </c>
      <c r="AQ56" s="545">
        <f xml:space="preserve"> ConFin!AQ$288</f>
        <v>0</v>
      </c>
      <c r="AR56" s="545">
        <f xml:space="preserve"> ConFin!AR$288</f>
        <v>0</v>
      </c>
      <c r="AS56" s="545">
        <f xml:space="preserve"> ConFin!AS$288</f>
        <v>0</v>
      </c>
      <c r="AT56" s="545">
        <f xml:space="preserve"> ConFin!AT$288</f>
        <v>0</v>
      </c>
      <c r="AU56" s="545">
        <f xml:space="preserve"> ConFin!AU$288</f>
        <v>0</v>
      </c>
      <c r="AV56" s="545">
        <f xml:space="preserve"> ConFin!AV$288</f>
        <v>0</v>
      </c>
      <c r="AW56" s="545">
        <f xml:space="preserve"> ConFin!AW$288</f>
        <v>0</v>
      </c>
      <c r="AX56" s="545">
        <f xml:space="preserve"> ConFin!AX$288</f>
        <v>0</v>
      </c>
      <c r="AY56" s="545">
        <f xml:space="preserve"> ConFin!AY$288</f>
        <v>0</v>
      </c>
      <c r="AZ56" s="545">
        <f xml:space="preserve"> ConFin!AZ$288</f>
        <v>0</v>
      </c>
      <c r="BA56" s="545">
        <f xml:space="preserve"> ConFin!BA$288</f>
        <v>0</v>
      </c>
      <c r="BB56" s="545">
        <f xml:space="preserve"> ConFin!BB$288</f>
        <v>0</v>
      </c>
      <c r="BC56" s="545">
        <f xml:space="preserve"> ConFin!BC$288</f>
        <v>0</v>
      </c>
      <c r="BD56" s="545">
        <f xml:space="preserve"> ConFin!BD$288</f>
        <v>0</v>
      </c>
      <c r="BE56" s="545">
        <f xml:space="preserve"> ConFin!BE$288</f>
        <v>0</v>
      </c>
      <c r="BF56" s="545">
        <f xml:space="preserve"> ConFin!BF$288</f>
        <v>0</v>
      </c>
      <c r="BG56" s="545">
        <f xml:space="preserve"> ConFin!BG$288</f>
        <v>0</v>
      </c>
      <c r="BH56" s="545">
        <f xml:space="preserve"> ConFin!BH$288</f>
        <v>0</v>
      </c>
      <c r="BI56" s="545">
        <f xml:space="preserve"> ConFin!BI$288</f>
        <v>0</v>
      </c>
      <c r="BJ56" s="545">
        <f xml:space="preserve"> ConFin!BJ$288</f>
        <v>0</v>
      </c>
      <c r="BK56" s="545">
        <f xml:space="preserve"> ConFin!BK$288</f>
        <v>0</v>
      </c>
      <c r="BL56" s="545">
        <f xml:space="preserve"> ConFin!BL$288</f>
        <v>0</v>
      </c>
      <c r="BM56" s="545">
        <f xml:space="preserve"> ConFin!BM$288</f>
        <v>0</v>
      </c>
      <c r="BN56" s="545">
        <f xml:space="preserve"> ConFin!BN$288</f>
        <v>0</v>
      </c>
      <c r="BO56" s="545">
        <f xml:space="preserve"> ConFin!BO$288</f>
        <v>0</v>
      </c>
      <c r="BP56" s="545">
        <f xml:space="preserve"> ConFin!BP$288</f>
        <v>0</v>
      </c>
      <c r="BQ56" s="545">
        <f xml:space="preserve"> ConFin!BQ$288</f>
        <v>0</v>
      </c>
      <c r="BR56" s="545">
        <f xml:space="preserve"> ConFin!BR$288</f>
        <v>0</v>
      </c>
      <c r="BS56" s="545">
        <f xml:space="preserve"> ConFin!BS$288</f>
        <v>0</v>
      </c>
      <c r="BT56" s="545">
        <f xml:space="preserve"> ConFin!BT$288</f>
        <v>0</v>
      </c>
      <c r="BU56" s="545">
        <f xml:space="preserve"> ConFin!BU$288</f>
        <v>0</v>
      </c>
      <c r="BV56" s="545">
        <f xml:space="preserve"> ConFin!BV$288</f>
        <v>0</v>
      </c>
      <c r="BW56" s="545">
        <f xml:space="preserve"> ConFin!BW$288</f>
        <v>0</v>
      </c>
      <c r="BX56" s="545">
        <f xml:space="preserve"> ConFin!BX$288</f>
        <v>0</v>
      </c>
      <c r="BY56" s="545">
        <f xml:space="preserve"> ConFin!BY$288</f>
        <v>0</v>
      </c>
      <c r="BZ56" s="545">
        <f xml:space="preserve"> ConFin!BZ$288</f>
        <v>0</v>
      </c>
      <c r="CA56" s="545">
        <f xml:space="preserve"> ConFin!CA$288</f>
        <v>0</v>
      </c>
      <c r="CB56" s="545">
        <f xml:space="preserve"> ConFin!CB$288</f>
        <v>0</v>
      </c>
      <c r="CC56" s="545">
        <f xml:space="preserve"> ConFin!CC$288</f>
        <v>0</v>
      </c>
      <c r="CD56" s="545">
        <f xml:space="preserve"> ConFin!CD$288</f>
        <v>0</v>
      </c>
      <c r="CE56" s="545">
        <f xml:space="preserve"> ConFin!CE$288</f>
        <v>0</v>
      </c>
      <c r="CF56" s="545">
        <f xml:space="preserve"> ConFin!CF$288</f>
        <v>0</v>
      </c>
      <c r="CG56" s="545">
        <f xml:space="preserve"> ConFin!CG$288</f>
        <v>0</v>
      </c>
      <c r="CH56" s="545">
        <f xml:space="preserve"> ConFin!CH$288</f>
        <v>0</v>
      </c>
      <c r="CI56" s="545">
        <f xml:space="preserve"> ConFin!CI$288</f>
        <v>0</v>
      </c>
      <c r="CJ56" s="545">
        <f xml:space="preserve"> ConFin!CJ$288</f>
        <v>0</v>
      </c>
      <c r="CK56" s="545">
        <f xml:space="preserve"> ConFin!CK$288</f>
        <v>0</v>
      </c>
      <c r="CL56" s="545">
        <f xml:space="preserve"> ConFin!CL$288</f>
        <v>0</v>
      </c>
      <c r="CM56" s="545">
        <f xml:space="preserve"> ConFin!CM$288</f>
        <v>0</v>
      </c>
      <c r="CN56" s="545">
        <f xml:space="preserve"> ConFin!CN$288</f>
        <v>0</v>
      </c>
      <c r="CO56" s="545">
        <f xml:space="preserve"> ConFin!CO$288</f>
        <v>0</v>
      </c>
      <c r="CP56" s="545">
        <f xml:space="preserve"> ConFin!CP$288</f>
        <v>0</v>
      </c>
      <c r="CQ56" s="545">
        <f xml:space="preserve"> ConFin!CQ$288</f>
        <v>0</v>
      </c>
      <c r="CR56" s="545">
        <f xml:space="preserve"> ConFin!CR$288</f>
        <v>0</v>
      </c>
      <c r="CS56" s="545">
        <f xml:space="preserve"> ConFin!CS$288</f>
        <v>0</v>
      </c>
      <c r="CT56" s="545">
        <f xml:space="preserve"> ConFin!CT$288</f>
        <v>0</v>
      </c>
      <c r="CU56" s="545">
        <f xml:space="preserve"> ConFin!CU$288</f>
        <v>0</v>
      </c>
      <c r="CV56" s="545">
        <f xml:space="preserve"> ConFin!CV$288</f>
        <v>0</v>
      </c>
    </row>
    <row r="57" spans="1:100" outlineLevel="1" x14ac:dyDescent="0.2">
      <c r="E57" s="12" t="str">
        <f t="shared" ref="E57:AJ57" si="31" xml:space="preserve"> E$54</f>
        <v>Net cashflow to equity during operations</v>
      </c>
      <c r="F57" s="12">
        <f t="shared" si="31"/>
        <v>0</v>
      </c>
      <c r="G57" s="12" t="str">
        <f t="shared" si="31"/>
        <v>$ 000s</v>
      </c>
      <c r="H57" s="12">
        <f t="shared" si="31"/>
        <v>230316.86751401989</v>
      </c>
      <c r="I57" s="12">
        <f t="shared" si="31"/>
        <v>0</v>
      </c>
      <c r="J57" s="12">
        <f t="shared" si="31"/>
        <v>0</v>
      </c>
      <c r="K57" s="12">
        <f t="shared" si="31"/>
        <v>0</v>
      </c>
      <c r="L57" s="12">
        <f t="shared" si="31"/>
        <v>0</v>
      </c>
      <c r="M57" s="12">
        <f t="shared" si="31"/>
        <v>0</v>
      </c>
      <c r="N57" s="12">
        <f t="shared" si="31"/>
        <v>0</v>
      </c>
      <c r="O57" s="12">
        <f t="shared" si="31"/>
        <v>4809.6864821518402</v>
      </c>
      <c r="P57" s="12">
        <f t="shared" si="31"/>
        <v>4286.48906796347</v>
      </c>
      <c r="Q57" s="12">
        <f t="shared" si="31"/>
        <v>4298.5795996142215</v>
      </c>
      <c r="R57" s="12">
        <f t="shared" si="31"/>
        <v>4259.361075180148</v>
      </c>
      <c r="S57" s="12">
        <f t="shared" si="31"/>
        <v>4271.0438937140598</v>
      </c>
      <c r="T57" s="12">
        <f t="shared" si="31"/>
        <v>4224.6921050826786</v>
      </c>
      <c r="U57" s="12">
        <f t="shared" si="31"/>
        <v>4250.5478929288583</v>
      </c>
      <c r="V57" s="12">
        <f t="shared" si="31"/>
        <v>4216.9767168456247</v>
      </c>
      <c r="W57" s="12">
        <f t="shared" si="31"/>
        <v>4202.0811460899249</v>
      </c>
      <c r="X57" s="12">
        <f t="shared" si="31"/>
        <v>4176.4649033658543</v>
      </c>
      <c r="Y57" s="12">
        <f t="shared" si="31"/>
        <v>4183.0919265493558</v>
      </c>
      <c r="Z57" s="12">
        <f t="shared" si="31"/>
        <v>4144.6249249608936</v>
      </c>
      <c r="AA57" s="12">
        <f t="shared" si="31"/>
        <v>4154.6222599807761</v>
      </c>
      <c r="AB57" s="12">
        <f t="shared" si="31"/>
        <v>4109.2733333883989</v>
      </c>
      <c r="AC57" s="12">
        <f t="shared" si="31"/>
        <v>4132.9583337978893</v>
      </c>
      <c r="AD57" s="12">
        <f t="shared" si="31"/>
        <v>4100.0859175044443</v>
      </c>
      <c r="AE57" s="12">
        <f t="shared" si="31"/>
        <v>4084.2399745194944</v>
      </c>
      <c r="AF57" s="12">
        <f t="shared" si="31"/>
        <v>4058.9842834234328</v>
      </c>
      <c r="AG57" s="12">
        <f t="shared" si="31"/>
        <v>4067.7140463544551</v>
      </c>
      <c r="AH57" s="12">
        <f t="shared" si="31"/>
        <v>4029.947554418759</v>
      </c>
      <c r="AI57" s="12">
        <f t="shared" si="31"/>
        <v>4035.3639369193183</v>
      </c>
      <c r="AJ57" s="12">
        <f t="shared" si="31"/>
        <v>3991.1491647331109</v>
      </c>
      <c r="AK57" s="12">
        <f t="shared" ref="AK57:BP57" si="32" xml:space="preserve"> AK$54</f>
        <v>4012.7122630655554</v>
      </c>
      <c r="AL57" s="12">
        <f t="shared" si="32"/>
        <v>3980.6799286863502</v>
      </c>
      <c r="AM57" s="12">
        <f t="shared" si="32"/>
        <v>3963.9938444611762</v>
      </c>
      <c r="AN57" s="12">
        <f t="shared" si="32"/>
        <v>3939.2062865949765</v>
      </c>
      <c r="AO57" s="12">
        <f t="shared" si="32"/>
        <v>3946.3355151609026</v>
      </c>
      <c r="AP57" s="12">
        <f t="shared" si="32"/>
        <v>3909.512118776724</v>
      </c>
      <c r="AQ57" s="12">
        <f t="shared" si="32"/>
        <v>3916.224396991815</v>
      </c>
      <c r="AR57" s="12">
        <f t="shared" si="32"/>
        <v>3873.069155199521</v>
      </c>
      <c r="AS57" s="12">
        <f t="shared" si="32"/>
        <v>3892.4349706065286</v>
      </c>
      <c r="AT57" s="12">
        <f t="shared" si="32"/>
        <v>3860.8605923341779</v>
      </c>
      <c r="AU57" s="12">
        <f t="shared" si="32"/>
        <v>8557.0727830608084</v>
      </c>
      <c r="AV57" s="12">
        <f t="shared" si="32"/>
        <v>8481.6035727290746</v>
      </c>
      <c r="AW57" s="12">
        <f t="shared" si="32"/>
        <v>13308.140471659188</v>
      </c>
      <c r="AX57" s="12">
        <f t="shared" si="32"/>
        <v>13168.336911072989</v>
      </c>
      <c r="AY57" s="12">
        <f t="shared" si="32"/>
        <v>13171.304283837419</v>
      </c>
      <c r="AZ57" s="12">
        <f t="shared" si="32"/>
        <v>13032.704677817499</v>
      </c>
      <c r="BA57" s="12">
        <f t="shared" si="32"/>
        <v>13033.361204859661</v>
      </c>
      <c r="BB57" s="12">
        <f t="shared" si="32"/>
        <v>16181.335997618533</v>
      </c>
      <c r="BC57" s="12">
        <f t="shared" si="32"/>
        <v>0</v>
      </c>
      <c r="BD57" s="12">
        <f t="shared" si="32"/>
        <v>0</v>
      </c>
      <c r="BE57" s="12">
        <f t="shared" si="32"/>
        <v>0</v>
      </c>
      <c r="BF57" s="12">
        <f t="shared" si="32"/>
        <v>0</v>
      </c>
      <c r="BG57" s="12">
        <f t="shared" si="32"/>
        <v>0</v>
      </c>
      <c r="BH57" s="12">
        <f t="shared" si="32"/>
        <v>0</v>
      </c>
      <c r="BI57" s="12">
        <f t="shared" si="32"/>
        <v>0</v>
      </c>
      <c r="BJ57" s="12">
        <f t="shared" si="32"/>
        <v>0</v>
      </c>
      <c r="BK57" s="12">
        <f t="shared" si="32"/>
        <v>0</v>
      </c>
      <c r="BL57" s="12">
        <f t="shared" si="32"/>
        <v>0</v>
      </c>
      <c r="BM57" s="12">
        <f t="shared" si="32"/>
        <v>0</v>
      </c>
      <c r="BN57" s="12">
        <f t="shared" si="32"/>
        <v>0</v>
      </c>
      <c r="BO57" s="12">
        <f t="shared" si="32"/>
        <v>0</v>
      </c>
      <c r="BP57" s="12">
        <f t="shared" si="32"/>
        <v>0</v>
      </c>
      <c r="BQ57" s="12">
        <f t="shared" ref="BQ57:CV57" si="33" xml:space="preserve"> BQ$54</f>
        <v>0</v>
      </c>
      <c r="BR57" s="12">
        <f t="shared" si="33"/>
        <v>0</v>
      </c>
      <c r="BS57" s="12">
        <f t="shared" si="33"/>
        <v>0</v>
      </c>
      <c r="BT57" s="12">
        <f t="shared" si="33"/>
        <v>0</v>
      </c>
      <c r="BU57" s="12">
        <f t="shared" si="33"/>
        <v>0</v>
      </c>
      <c r="BV57" s="12">
        <f t="shared" si="33"/>
        <v>0</v>
      </c>
      <c r="BW57" s="12">
        <f t="shared" si="33"/>
        <v>0</v>
      </c>
      <c r="BX57" s="12">
        <f t="shared" si="33"/>
        <v>0</v>
      </c>
      <c r="BY57" s="12">
        <f t="shared" si="33"/>
        <v>0</v>
      </c>
      <c r="BZ57" s="12">
        <f t="shared" si="33"/>
        <v>0</v>
      </c>
      <c r="CA57" s="12">
        <f t="shared" si="33"/>
        <v>0</v>
      </c>
      <c r="CB57" s="12">
        <f t="shared" si="33"/>
        <v>0</v>
      </c>
      <c r="CC57" s="12">
        <f t="shared" si="33"/>
        <v>0</v>
      </c>
      <c r="CD57" s="12">
        <f t="shared" si="33"/>
        <v>0</v>
      </c>
      <c r="CE57" s="12">
        <f t="shared" si="33"/>
        <v>0</v>
      </c>
      <c r="CF57" s="12">
        <f t="shared" si="33"/>
        <v>0</v>
      </c>
      <c r="CG57" s="12">
        <f t="shared" si="33"/>
        <v>0</v>
      </c>
      <c r="CH57" s="12">
        <f t="shared" si="33"/>
        <v>0</v>
      </c>
      <c r="CI57" s="12">
        <f t="shared" si="33"/>
        <v>0</v>
      </c>
      <c r="CJ57" s="12">
        <f t="shared" si="33"/>
        <v>0</v>
      </c>
      <c r="CK57" s="12">
        <f t="shared" si="33"/>
        <v>0</v>
      </c>
      <c r="CL57" s="12">
        <f t="shared" si="33"/>
        <v>0</v>
      </c>
      <c r="CM57" s="12">
        <f t="shared" si="33"/>
        <v>0</v>
      </c>
      <c r="CN57" s="12">
        <f t="shared" si="33"/>
        <v>0</v>
      </c>
      <c r="CO57" s="12">
        <f t="shared" si="33"/>
        <v>0</v>
      </c>
      <c r="CP57" s="12">
        <f t="shared" si="33"/>
        <v>0</v>
      </c>
      <c r="CQ57" s="12">
        <f t="shared" si="33"/>
        <v>0</v>
      </c>
      <c r="CR57" s="12">
        <f t="shared" si="33"/>
        <v>0</v>
      </c>
      <c r="CS57" s="12">
        <f t="shared" si="33"/>
        <v>0</v>
      </c>
      <c r="CT57" s="12">
        <f t="shared" si="33"/>
        <v>0</v>
      </c>
      <c r="CU57" s="12">
        <f t="shared" si="33"/>
        <v>0</v>
      </c>
      <c r="CV57" s="12">
        <f t="shared" si="33"/>
        <v>0</v>
      </c>
    </row>
    <row r="58" spans="1:100" outlineLevel="1" x14ac:dyDescent="0.2">
      <c r="A58" s="85"/>
      <c r="B58" s="85"/>
      <c r="C58" s="86"/>
      <c r="D58" s="87"/>
      <c r="E58" s="546" t="str">
        <f xml:space="preserve"> ConTime!E$23</f>
        <v>Model period ending - m</v>
      </c>
      <c r="F58" s="546">
        <f xml:space="preserve"> ConTime!F$23</f>
        <v>0</v>
      </c>
      <c r="G58" s="546" t="str">
        <f xml:space="preserve"> ConTime!G$23</f>
        <v>date</v>
      </c>
      <c r="H58" s="546">
        <f xml:space="preserve"> ConTime!H$23</f>
        <v>0</v>
      </c>
      <c r="I58" s="546">
        <f xml:space="preserve"> ConTime!I$23</f>
        <v>0</v>
      </c>
      <c r="J58" s="546">
        <f xml:space="preserve"> ConTime!J$23</f>
        <v>44592</v>
      </c>
      <c r="K58" s="546">
        <f xml:space="preserve"> ConTime!K$23</f>
        <v>44620</v>
      </c>
      <c r="L58" s="546">
        <f xml:space="preserve"> ConTime!L$23</f>
        <v>44651</v>
      </c>
      <c r="M58" s="546">
        <f xml:space="preserve"> ConTime!M$23</f>
        <v>44681</v>
      </c>
      <c r="N58" s="546">
        <f xml:space="preserve"> ConTime!N$23</f>
        <v>44712</v>
      </c>
      <c r="O58" s="546">
        <f xml:space="preserve"> ConTime!O$23</f>
        <v>44742</v>
      </c>
      <c r="P58" s="546">
        <f xml:space="preserve"> ConTime!P$23</f>
        <v>44773</v>
      </c>
      <c r="Q58" s="546">
        <f xml:space="preserve"> ConTime!Q$23</f>
        <v>44804</v>
      </c>
      <c r="R58" s="546">
        <f xml:space="preserve"> ConTime!R$23</f>
        <v>44834</v>
      </c>
      <c r="S58" s="546">
        <f xml:space="preserve"> ConTime!S$23</f>
        <v>44865</v>
      </c>
      <c r="T58" s="546">
        <f xml:space="preserve"> ConTime!T$23</f>
        <v>44895</v>
      </c>
      <c r="U58" s="546">
        <f xml:space="preserve"> ConTime!U$23</f>
        <v>44926</v>
      </c>
      <c r="V58" s="546">
        <f xml:space="preserve"> ConTime!V$23</f>
        <v>44957</v>
      </c>
      <c r="W58" s="546">
        <f xml:space="preserve"> ConTime!W$23</f>
        <v>44985</v>
      </c>
      <c r="X58" s="546">
        <f xml:space="preserve"> ConTime!X$23</f>
        <v>45016</v>
      </c>
      <c r="Y58" s="546">
        <f xml:space="preserve"> ConTime!Y$23</f>
        <v>45046</v>
      </c>
      <c r="Z58" s="546">
        <f xml:space="preserve"> ConTime!Z$23</f>
        <v>45077</v>
      </c>
      <c r="AA58" s="546">
        <f xml:space="preserve"> ConTime!AA$23</f>
        <v>45107</v>
      </c>
      <c r="AB58" s="546">
        <f xml:space="preserve"> ConTime!AB$23</f>
        <v>45138</v>
      </c>
      <c r="AC58" s="546">
        <f xml:space="preserve"> ConTime!AC$23</f>
        <v>45169</v>
      </c>
      <c r="AD58" s="546">
        <f xml:space="preserve"> ConTime!AD$23</f>
        <v>45199</v>
      </c>
      <c r="AE58" s="546">
        <f xml:space="preserve"> ConTime!AE$23</f>
        <v>45230</v>
      </c>
      <c r="AF58" s="546">
        <f xml:space="preserve"> ConTime!AF$23</f>
        <v>45260</v>
      </c>
      <c r="AG58" s="546">
        <f xml:space="preserve"> ConTime!AG$23</f>
        <v>45291</v>
      </c>
      <c r="AH58" s="546">
        <f xml:space="preserve"> ConTime!AH$23</f>
        <v>45322</v>
      </c>
      <c r="AI58" s="546">
        <f xml:space="preserve"> ConTime!AI$23</f>
        <v>45351</v>
      </c>
      <c r="AJ58" s="546">
        <f xml:space="preserve"> ConTime!AJ$23</f>
        <v>45382</v>
      </c>
      <c r="AK58" s="546">
        <f xml:space="preserve"> ConTime!AK$23</f>
        <v>45412</v>
      </c>
      <c r="AL58" s="546">
        <f xml:space="preserve"> ConTime!AL$23</f>
        <v>45443</v>
      </c>
      <c r="AM58" s="546">
        <f xml:space="preserve"> ConTime!AM$23</f>
        <v>45473</v>
      </c>
      <c r="AN58" s="546">
        <f xml:space="preserve"> ConTime!AN$23</f>
        <v>45504</v>
      </c>
      <c r="AO58" s="546">
        <f xml:space="preserve"> ConTime!AO$23</f>
        <v>45535</v>
      </c>
      <c r="AP58" s="546">
        <f xml:space="preserve"> ConTime!AP$23</f>
        <v>45565</v>
      </c>
      <c r="AQ58" s="546">
        <f xml:space="preserve"> ConTime!AQ$23</f>
        <v>45596</v>
      </c>
      <c r="AR58" s="546">
        <f xml:space="preserve"> ConTime!AR$23</f>
        <v>45626</v>
      </c>
      <c r="AS58" s="546">
        <f xml:space="preserve"> ConTime!AS$23</f>
        <v>45657</v>
      </c>
      <c r="AT58" s="546">
        <f xml:space="preserve"> ConTime!AT$23</f>
        <v>45688</v>
      </c>
      <c r="AU58" s="546">
        <f xml:space="preserve"> ConTime!AU$23</f>
        <v>45716</v>
      </c>
      <c r="AV58" s="546">
        <f xml:space="preserve"> ConTime!AV$23</f>
        <v>45747</v>
      </c>
      <c r="AW58" s="546">
        <f xml:space="preserve"> ConTime!AW$23</f>
        <v>45777</v>
      </c>
      <c r="AX58" s="546">
        <f xml:space="preserve"> ConTime!AX$23</f>
        <v>45808</v>
      </c>
      <c r="AY58" s="546">
        <f xml:space="preserve"> ConTime!AY$23</f>
        <v>45838</v>
      </c>
      <c r="AZ58" s="546">
        <f xml:space="preserve"> ConTime!AZ$23</f>
        <v>45869</v>
      </c>
      <c r="BA58" s="546">
        <f xml:space="preserve"> ConTime!BA$23</f>
        <v>45900</v>
      </c>
      <c r="BB58" s="546">
        <f xml:space="preserve"> ConTime!BB$23</f>
        <v>45930</v>
      </c>
      <c r="BC58" s="546">
        <f xml:space="preserve"> ConTime!BC$23</f>
        <v>45961</v>
      </c>
      <c r="BD58" s="546">
        <f xml:space="preserve"> ConTime!BD$23</f>
        <v>45991</v>
      </c>
      <c r="BE58" s="546">
        <f xml:space="preserve"> ConTime!BE$23</f>
        <v>46022</v>
      </c>
      <c r="BF58" s="546">
        <f xml:space="preserve"> ConTime!BF$23</f>
        <v>0</v>
      </c>
      <c r="BG58" s="546">
        <f xml:space="preserve"> ConTime!BG$23</f>
        <v>0</v>
      </c>
      <c r="BH58" s="546">
        <f xml:space="preserve"> ConTime!BH$23</f>
        <v>0</v>
      </c>
      <c r="BI58" s="546">
        <f xml:space="preserve"> ConTime!BI$23</f>
        <v>0</v>
      </c>
      <c r="BJ58" s="546">
        <f xml:space="preserve"> ConTime!BJ$23</f>
        <v>0</v>
      </c>
      <c r="BK58" s="546">
        <f xml:space="preserve"> ConTime!BK$23</f>
        <v>0</v>
      </c>
      <c r="BL58" s="546">
        <f xml:space="preserve"> ConTime!BL$23</f>
        <v>0</v>
      </c>
      <c r="BM58" s="546">
        <f xml:space="preserve"> ConTime!BM$23</f>
        <v>0</v>
      </c>
      <c r="BN58" s="546">
        <f xml:space="preserve"> ConTime!BN$23</f>
        <v>0</v>
      </c>
      <c r="BO58" s="546">
        <f xml:space="preserve"> ConTime!BO$23</f>
        <v>0</v>
      </c>
      <c r="BP58" s="546">
        <f xml:space="preserve"> ConTime!BP$23</f>
        <v>0</v>
      </c>
      <c r="BQ58" s="546">
        <f xml:space="preserve"> ConTime!BQ$23</f>
        <v>0</v>
      </c>
      <c r="BR58" s="546">
        <f xml:space="preserve"> ConTime!BR$23</f>
        <v>0</v>
      </c>
      <c r="BS58" s="546">
        <f xml:space="preserve"> ConTime!BS$23</f>
        <v>0</v>
      </c>
      <c r="BT58" s="546">
        <f xml:space="preserve"> ConTime!BT$23</f>
        <v>0</v>
      </c>
      <c r="BU58" s="546">
        <f xml:space="preserve"> ConTime!BU$23</f>
        <v>0</v>
      </c>
      <c r="BV58" s="546">
        <f xml:space="preserve"> ConTime!BV$23</f>
        <v>0</v>
      </c>
      <c r="BW58" s="546">
        <f xml:space="preserve"> ConTime!BW$23</f>
        <v>0</v>
      </c>
      <c r="BX58" s="546">
        <f xml:space="preserve"> ConTime!BX$23</f>
        <v>0</v>
      </c>
      <c r="BY58" s="546">
        <f xml:space="preserve"> ConTime!BY$23</f>
        <v>0</v>
      </c>
      <c r="BZ58" s="546">
        <f xml:space="preserve"> ConTime!BZ$23</f>
        <v>0</v>
      </c>
      <c r="CA58" s="546">
        <f xml:space="preserve"> ConTime!CA$23</f>
        <v>0</v>
      </c>
      <c r="CB58" s="546">
        <f xml:space="preserve"> ConTime!CB$23</f>
        <v>0</v>
      </c>
      <c r="CC58" s="546">
        <f xml:space="preserve"> ConTime!CC$23</f>
        <v>0</v>
      </c>
      <c r="CD58" s="546">
        <f xml:space="preserve"> ConTime!CD$23</f>
        <v>0</v>
      </c>
      <c r="CE58" s="546">
        <f xml:space="preserve"> ConTime!CE$23</f>
        <v>0</v>
      </c>
      <c r="CF58" s="546">
        <f xml:space="preserve"> ConTime!CF$23</f>
        <v>0</v>
      </c>
      <c r="CG58" s="546">
        <f xml:space="preserve"> ConTime!CG$23</f>
        <v>0</v>
      </c>
      <c r="CH58" s="546">
        <f xml:space="preserve"> ConTime!CH$23</f>
        <v>0</v>
      </c>
      <c r="CI58" s="546">
        <f xml:space="preserve"> ConTime!CI$23</f>
        <v>0</v>
      </c>
      <c r="CJ58" s="546">
        <f xml:space="preserve"> ConTime!CJ$23</f>
        <v>0</v>
      </c>
      <c r="CK58" s="546">
        <f xml:space="preserve"> ConTime!CK$23</f>
        <v>0</v>
      </c>
      <c r="CL58" s="546">
        <f xml:space="preserve"> ConTime!CL$23</f>
        <v>0</v>
      </c>
      <c r="CM58" s="546">
        <f xml:space="preserve"> ConTime!CM$23</f>
        <v>0</v>
      </c>
      <c r="CN58" s="546">
        <f xml:space="preserve"> ConTime!CN$23</f>
        <v>0</v>
      </c>
      <c r="CO58" s="546">
        <f xml:space="preserve"> ConTime!CO$23</f>
        <v>0</v>
      </c>
      <c r="CP58" s="546">
        <f xml:space="preserve"> ConTime!CP$23</f>
        <v>0</v>
      </c>
      <c r="CQ58" s="546">
        <f xml:space="preserve"> ConTime!CQ$23</f>
        <v>0</v>
      </c>
      <c r="CR58" s="546">
        <f xml:space="preserve"> ConTime!CR$23</f>
        <v>0</v>
      </c>
      <c r="CS58" s="546">
        <f xml:space="preserve"> ConTime!CS$23</f>
        <v>0</v>
      </c>
      <c r="CT58" s="546">
        <f xml:space="preserve"> ConTime!CT$23</f>
        <v>0</v>
      </c>
      <c r="CU58" s="546">
        <f xml:space="preserve"> ConTime!CU$23</f>
        <v>0</v>
      </c>
      <c r="CV58" s="546">
        <f xml:space="preserve"> ConTime!CV$23</f>
        <v>0</v>
      </c>
    </row>
    <row r="59" spans="1:100" s="125" customFormat="1" outlineLevel="1" x14ac:dyDescent="0.2">
      <c r="A59" s="85"/>
      <c r="B59" s="85"/>
      <c r="C59" s="86"/>
      <c r="D59" s="87"/>
      <c r="E59" s="634" t="str">
        <f xml:space="preserve"> Time!E$25</f>
        <v>Model period ending</v>
      </c>
      <c r="F59" s="634">
        <f xml:space="preserve"> Time!F$25</f>
        <v>0</v>
      </c>
      <c r="G59" s="634" t="str">
        <f xml:space="preserve"> Time!G$25</f>
        <v>date</v>
      </c>
      <c r="H59" s="634">
        <f xml:space="preserve"> Time!H$25</f>
        <v>0</v>
      </c>
      <c r="I59" s="634">
        <f xml:space="preserve"> Time!I$25</f>
        <v>0</v>
      </c>
      <c r="J59" s="634">
        <f xml:space="preserve"> Time!J$25</f>
        <v>44742</v>
      </c>
      <c r="K59" s="634">
        <f xml:space="preserve"> Time!K$25</f>
        <v>44926</v>
      </c>
      <c r="L59" s="634">
        <f xml:space="preserve"> Time!L$25</f>
        <v>45107</v>
      </c>
      <c r="M59" s="634">
        <f xml:space="preserve"> Time!M$25</f>
        <v>45291</v>
      </c>
      <c r="N59" s="634">
        <f xml:space="preserve"> Time!N$25</f>
        <v>45473</v>
      </c>
      <c r="O59" s="634">
        <f xml:space="preserve"> Time!O$25</f>
        <v>45657</v>
      </c>
      <c r="P59" s="634">
        <f xml:space="preserve"> Time!P$25</f>
        <v>45838</v>
      </c>
      <c r="Q59" s="634">
        <f xml:space="preserve"> Time!Q$25</f>
        <v>46022</v>
      </c>
      <c r="R59" s="634">
        <f xml:space="preserve"> Time!R$25</f>
        <v>46203</v>
      </c>
      <c r="S59" s="634">
        <f xml:space="preserve"> Time!S$25</f>
        <v>46387</v>
      </c>
      <c r="T59" s="634">
        <f xml:space="preserve"> Time!T$25</f>
        <v>46568</v>
      </c>
      <c r="U59" s="634">
        <f xml:space="preserve"> Time!U$25</f>
        <v>46752</v>
      </c>
      <c r="V59" s="634">
        <f xml:space="preserve"> Time!V$25</f>
        <v>46934</v>
      </c>
      <c r="W59" s="634">
        <f xml:space="preserve"> Time!W$25</f>
        <v>47118</v>
      </c>
      <c r="X59" s="634">
        <f xml:space="preserve"> Time!X$25</f>
        <v>47299</v>
      </c>
      <c r="Y59" s="634">
        <f xml:space="preserve"> Time!Y$25</f>
        <v>47483</v>
      </c>
      <c r="Z59" s="634">
        <f xml:space="preserve"> Time!Z$25</f>
        <v>47664</v>
      </c>
      <c r="AA59" s="634">
        <f xml:space="preserve"> Time!AA$25</f>
        <v>47848</v>
      </c>
      <c r="AB59" s="634">
        <f xml:space="preserve"> Time!AB$25</f>
        <v>48029</v>
      </c>
      <c r="AC59" s="634">
        <f xml:space="preserve"> Time!AC$25</f>
        <v>48213</v>
      </c>
      <c r="AD59" s="634">
        <f xml:space="preserve"> Time!AD$25</f>
        <v>48395</v>
      </c>
      <c r="AE59" s="634">
        <f xml:space="preserve"> Time!AE$25</f>
        <v>48579</v>
      </c>
      <c r="AF59" s="634">
        <f xml:space="preserve"> Time!AF$25</f>
        <v>48760</v>
      </c>
      <c r="AG59" s="634">
        <f xml:space="preserve"> Time!AG$25</f>
        <v>48944</v>
      </c>
      <c r="AH59" s="634">
        <f xml:space="preserve"> Time!AH$25</f>
        <v>49125</v>
      </c>
      <c r="AI59" s="634">
        <f xml:space="preserve"> Time!AI$25</f>
        <v>49309</v>
      </c>
      <c r="AJ59" s="634">
        <f xml:space="preserve"> Time!AJ$25</f>
        <v>49490</v>
      </c>
      <c r="AK59" s="634">
        <f xml:space="preserve"> Time!AK$25</f>
        <v>49674</v>
      </c>
      <c r="AL59" s="634">
        <f xml:space="preserve"> Time!AL$25</f>
        <v>49856</v>
      </c>
      <c r="AM59" s="634">
        <f xml:space="preserve"> Time!AM$25</f>
        <v>50040</v>
      </c>
      <c r="AN59" s="634">
        <f xml:space="preserve"> Time!AN$25</f>
        <v>50221</v>
      </c>
      <c r="AO59" s="634">
        <f xml:space="preserve"> Time!AO$25</f>
        <v>50405</v>
      </c>
      <c r="AP59" s="634">
        <f xml:space="preserve"> Time!AP$25</f>
        <v>50586</v>
      </c>
      <c r="AQ59" s="634">
        <f xml:space="preserve"> Time!AQ$25</f>
        <v>50770</v>
      </c>
      <c r="AR59" s="634">
        <f xml:space="preserve"> Time!AR$25</f>
        <v>50951</v>
      </c>
      <c r="AS59" s="634">
        <f xml:space="preserve"> Time!AS$25</f>
        <v>51135</v>
      </c>
      <c r="AT59" s="634">
        <f xml:space="preserve"> Time!AT$25</f>
        <v>51317</v>
      </c>
      <c r="AU59" s="634">
        <f xml:space="preserve"> Time!AU$25</f>
        <v>51501</v>
      </c>
      <c r="AV59" s="634">
        <f xml:space="preserve"> Time!AV$25</f>
        <v>51682</v>
      </c>
      <c r="AW59" s="634">
        <f xml:space="preserve"> Time!AW$25</f>
        <v>51866</v>
      </c>
      <c r="AX59" s="634">
        <f xml:space="preserve"> Time!AX$25</f>
        <v>52047</v>
      </c>
      <c r="AY59" s="634">
        <f xml:space="preserve"> Time!AY$25</f>
        <v>52231</v>
      </c>
      <c r="AZ59" s="634">
        <f xml:space="preserve"> Time!AZ$25</f>
        <v>52412</v>
      </c>
      <c r="BA59" s="634">
        <f xml:space="preserve"> Time!BA$25</f>
        <v>52596</v>
      </c>
      <c r="BB59" s="634">
        <f xml:space="preserve"> Time!BB$25</f>
        <v>52778</v>
      </c>
      <c r="BC59" s="634">
        <f xml:space="preserve"> Time!BC$25</f>
        <v>52962</v>
      </c>
      <c r="BD59" s="634">
        <f xml:space="preserve"> Time!BD$25</f>
        <v>53143</v>
      </c>
      <c r="BE59" s="634">
        <f xml:space="preserve"> Time!BE$25</f>
        <v>53327</v>
      </c>
      <c r="BF59" s="634">
        <f xml:space="preserve"> Time!BF$25</f>
        <v>53508</v>
      </c>
      <c r="BG59" s="634">
        <f xml:space="preserve"> Time!BG$25</f>
        <v>53692</v>
      </c>
      <c r="BH59" s="634">
        <f xml:space="preserve"> Time!BH$25</f>
        <v>53873</v>
      </c>
      <c r="BI59" s="634">
        <f xml:space="preserve"> Time!BI$25</f>
        <v>54057</v>
      </c>
      <c r="BJ59" s="634">
        <f xml:space="preserve"> Time!BJ$25</f>
        <v>54239</v>
      </c>
      <c r="BK59" s="634">
        <f xml:space="preserve"> Time!BK$25</f>
        <v>54423</v>
      </c>
      <c r="BL59" s="634">
        <f xml:space="preserve"> Time!BL$25</f>
        <v>54604</v>
      </c>
      <c r="BM59" s="634">
        <f xml:space="preserve"> Time!BM$25</f>
        <v>54788</v>
      </c>
      <c r="BN59" s="634">
        <f xml:space="preserve"> Time!BN$25</f>
        <v>54969</v>
      </c>
      <c r="BO59" s="634">
        <f xml:space="preserve"> Time!BO$25</f>
        <v>55153</v>
      </c>
      <c r="BP59" s="634">
        <f xml:space="preserve"> Time!BP$25</f>
        <v>55334</v>
      </c>
      <c r="BQ59" s="634">
        <f xml:space="preserve"> Time!BQ$25</f>
        <v>55518</v>
      </c>
      <c r="BR59" s="634">
        <f xml:space="preserve"> Time!BR$25</f>
        <v>55700</v>
      </c>
      <c r="BS59" s="634">
        <f xml:space="preserve"> Time!BS$25</f>
        <v>55884</v>
      </c>
      <c r="BT59" s="634">
        <f xml:space="preserve"> Time!BT$25</f>
        <v>56065</v>
      </c>
      <c r="BU59" s="634">
        <f xml:space="preserve"> Time!BU$25</f>
        <v>56249</v>
      </c>
      <c r="BV59" s="634">
        <f xml:space="preserve"> Time!BV$25</f>
        <v>56430</v>
      </c>
      <c r="BW59" s="634">
        <f xml:space="preserve"> Time!BW$25</f>
        <v>56614</v>
      </c>
      <c r="BX59" s="634">
        <f xml:space="preserve"> Time!BX$25</f>
        <v>56795</v>
      </c>
      <c r="BY59" s="634">
        <f xml:space="preserve"> Time!BY$25</f>
        <v>56979</v>
      </c>
      <c r="BZ59" s="634">
        <f xml:space="preserve"> Time!BZ$25</f>
        <v>57161</v>
      </c>
      <c r="CA59" s="634">
        <f xml:space="preserve"> Time!CA$25</f>
        <v>57345</v>
      </c>
      <c r="CB59" s="634">
        <f xml:space="preserve"> Time!CB$25</f>
        <v>57526</v>
      </c>
      <c r="CC59" s="634">
        <f xml:space="preserve"> Time!CC$25</f>
        <v>57710</v>
      </c>
      <c r="CD59" s="634">
        <f xml:space="preserve"> Time!CD$25</f>
        <v>57891</v>
      </c>
      <c r="CE59" s="634">
        <f xml:space="preserve"> Time!CE$25</f>
        <v>58075</v>
      </c>
      <c r="CF59" s="634">
        <f xml:space="preserve"> Time!CF$25</f>
        <v>58256</v>
      </c>
      <c r="CG59" s="634">
        <f xml:space="preserve"> Time!CG$25</f>
        <v>58440</v>
      </c>
      <c r="CH59" s="634">
        <f xml:space="preserve"> Time!CH$25</f>
        <v>58622</v>
      </c>
      <c r="CI59" s="634">
        <f xml:space="preserve"> Time!CI$25</f>
        <v>58806</v>
      </c>
      <c r="CJ59" s="634">
        <f xml:space="preserve"> Time!CJ$25</f>
        <v>58987</v>
      </c>
      <c r="CK59" s="634">
        <f xml:space="preserve"> Time!CK$25</f>
        <v>59171</v>
      </c>
      <c r="CL59" s="634">
        <f xml:space="preserve"> Time!CL$25</f>
        <v>59352</v>
      </c>
      <c r="CM59" s="634">
        <f xml:space="preserve"> Time!CM$25</f>
        <v>59536</v>
      </c>
      <c r="CN59" s="634">
        <f xml:space="preserve"> Time!CN$25</f>
        <v>59717</v>
      </c>
      <c r="CO59" s="634">
        <f xml:space="preserve"> Time!CO$25</f>
        <v>59901</v>
      </c>
      <c r="CP59" s="634">
        <f xml:space="preserve"> Time!CP$25</f>
        <v>60083</v>
      </c>
      <c r="CQ59" s="634">
        <f xml:space="preserve"> Time!CQ$25</f>
        <v>60267</v>
      </c>
      <c r="CR59" s="634">
        <f xml:space="preserve"> Time!CR$25</f>
        <v>60448</v>
      </c>
      <c r="CS59" s="634">
        <f xml:space="preserve"> Time!CS$25</f>
        <v>60632</v>
      </c>
      <c r="CT59" s="634">
        <f xml:space="preserve"> Time!CT$25</f>
        <v>60813</v>
      </c>
      <c r="CU59" s="634">
        <f xml:space="preserve"> Time!CU$25</f>
        <v>60997</v>
      </c>
      <c r="CV59" s="634">
        <f xml:space="preserve"> Time!CV$25</f>
        <v>61178</v>
      </c>
    </row>
    <row r="60" spans="1:100" s="188" customFormat="1" outlineLevel="1" x14ac:dyDescent="0.2">
      <c r="A60" s="141"/>
      <c r="B60" s="141"/>
      <c r="C60" s="142"/>
      <c r="D60" s="143"/>
      <c r="E60" s="144" t="s">
        <v>155</v>
      </c>
      <c r="F60" s="547">
        <f xml:space="preserve"> XIRR(J56:CV57, J58:CV59)</f>
        <v>9.9999994039535522E-2</v>
      </c>
      <c r="G60" s="144" t="s">
        <v>103</v>
      </c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/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  <c r="CK60" s="144"/>
      <c r="CL60" s="144"/>
      <c r="CM60" s="144"/>
      <c r="CN60" s="144"/>
      <c r="CO60" s="144"/>
      <c r="CP60" s="144"/>
      <c r="CQ60" s="144"/>
      <c r="CR60" s="144"/>
      <c r="CS60" s="144"/>
      <c r="CT60" s="144"/>
      <c r="CU60" s="144"/>
      <c r="CV60" s="144"/>
    </row>
    <row r="61" spans="1:100" outlineLevel="1" x14ac:dyDescent="0.2"/>
    <row r="62" spans="1:100" x14ac:dyDescent="0.2"/>
    <row r="63" spans="1:100" x14ac:dyDescent="0.2">
      <c r="A63" s="15" t="s">
        <v>163</v>
      </c>
    </row>
    <row r="64" spans="1:100" outlineLevel="1" x14ac:dyDescent="0.2"/>
    <row r="65" spans="1:100" outlineLevel="1" x14ac:dyDescent="0.2">
      <c r="A65" s="85"/>
      <c r="B65" s="85"/>
      <c r="C65" s="86"/>
      <c r="D65" s="87"/>
      <c r="E65" s="186" t="str">
        <f xml:space="preserve"> 'FS Semi'!E$65</f>
        <v>Cashflow available for senior debt</v>
      </c>
      <c r="F65" s="186">
        <f xml:space="preserve"> 'FS Semi'!F$65</f>
        <v>0</v>
      </c>
      <c r="G65" s="186" t="str">
        <f xml:space="preserve"> 'FS Semi'!G$65</f>
        <v>$ 000s</v>
      </c>
      <c r="H65" s="186">
        <f xml:space="preserve"> 'FS Semi'!H$65</f>
        <v>587649.30780221813</v>
      </c>
      <c r="I65" s="186">
        <f xml:space="preserve"> 'FS Semi'!I$65</f>
        <v>0</v>
      </c>
      <c r="J65" s="186">
        <f xml:space="preserve"> 'FS Semi'!J$65</f>
        <v>-1.5558398445136845E-6</v>
      </c>
      <c r="K65" s="186">
        <f xml:space="preserve"> 'FS Semi'!K$65</f>
        <v>-1.2466658517951146E-5</v>
      </c>
      <c r="L65" s="186">
        <f xml:space="preserve"> 'FS Semi'!L$65</f>
        <v>-1.6754362150095403E-5</v>
      </c>
      <c r="M65" s="186">
        <f xml:space="preserve"> 'FS Semi'!M$65</f>
        <v>-1.9422688637860119E-5</v>
      </c>
      <c r="N65" s="186">
        <f xml:space="preserve"> 'FS Semi'!N$65</f>
        <v>-3.9676149608567357E-3</v>
      </c>
      <c r="O65" s="186">
        <f xml:space="preserve"> 'FS Semi'!O$65</f>
        <v>17761.339089615478</v>
      </c>
      <c r="P65" s="186">
        <f xml:space="preserve"> 'FS Semi'!P$65</f>
        <v>15707.408907742485</v>
      </c>
      <c r="Q65" s="186">
        <f xml:space="preserve"> 'FS Semi'!Q$65</f>
        <v>15745.355493650644</v>
      </c>
      <c r="R65" s="186">
        <f xml:space="preserve"> 'FS Semi'!R$65</f>
        <v>15588.868818823899</v>
      </c>
      <c r="S65" s="186">
        <f xml:space="preserve"> 'FS Semi'!S$65</f>
        <v>15624.695450132087</v>
      </c>
      <c r="T65" s="186">
        <f xml:space="preserve"> 'FS Semi'!T$65</f>
        <v>15468.805976611518</v>
      </c>
      <c r="U65" s="186">
        <f xml:space="preserve"> 'FS Semi'!U$65</f>
        <v>15502.475660941096</v>
      </c>
      <c r="V65" s="186">
        <f xml:space="preserve"> 'FS Semi'!V$65</f>
        <v>15368.238112158891</v>
      </c>
      <c r="W65" s="186">
        <f xml:space="preserve"> 'FS Semi'!W$65</f>
        <v>15357.612782223849</v>
      </c>
      <c r="X65" s="186">
        <f xml:space="preserve"> 'FS Semi'!X$65</f>
        <v>15223.981670526602</v>
      </c>
      <c r="Y65" s="186">
        <f xml:space="preserve"> 'FS Semi'!Y$65</f>
        <v>15253.223441594726</v>
      </c>
      <c r="Z65" s="186">
        <f xml:space="preserve"> 'FS Semi'!Z$65</f>
        <v>15099.15338854069</v>
      </c>
      <c r="AA65" s="186">
        <f xml:space="preserve"> 'FS Semi'!AA$65</f>
        <v>15126.122633909146</v>
      </c>
      <c r="AB65" s="186">
        <f xml:space="preserve"> 'FS Semi'!AB$65</f>
        <v>14972.668690608356</v>
      </c>
      <c r="AC65" s="186">
        <f xml:space="preserve"> 'FS Semi'!AC$65</f>
        <v>14997.325298446642</v>
      </c>
      <c r="AD65" s="186">
        <f xml:space="preserve"> 'FS Semi'!AD$65</f>
        <v>14864.853133923503</v>
      </c>
      <c r="AE65" s="186">
        <f xml:space="preserve"> 'FS Semi'!AE$65</f>
        <v>14846.434846161274</v>
      </c>
      <c r="AF65" s="186">
        <f xml:space="preserve"> 'FS Semi'!AF$65</f>
        <v>14714.588918503887</v>
      </c>
      <c r="AG65" s="186">
        <f xml:space="preserve"> 'FS Semi'!AG$65</f>
        <v>14734.496621546412</v>
      </c>
      <c r="AH65" s="186">
        <f xml:space="preserve"> 'FS Semi'!AH$65</f>
        <v>14582.921507009845</v>
      </c>
      <c r="AI65" s="186">
        <f xml:space="preserve"> 'FS Semi'!AI$65</f>
        <v>14600.391254152939</v>
      </c>
      <c r="AJ65" s="186">
        <f xml:space="preserve"> 'FS Semi'!AJ$65</f>
        <v>14449.45297630897</v>
      </c>
      <c r="AK65" s="186">
        <f xml:space="preserve"> 'FS Semi'!AK$65</f>
        <v>14464.441277785036</v>
      </c>
      <c r="AL65" s="186">
        <f xml:space="preserve"> 'FS Semi'!AL$65</f>
        <v>14333.778560490962</v>
      </c>
      <c r="AM65" s="186">
        <f xml:space="preserve"> 'FS Semi'!AM$65</f>
        <v>14306.974557657806</v>
      </c>
      <c r="AN65" s="186">
        <f xml:space="preserve"> 'FS Semi'!AN$65</f>
        <v>14176.959768611989</v>
      </c>
      <c r="AO65" s="186">
        <f xml:space="preserve"> 'FS Semi'!AO$65</f>
        <v>14186.851142225703</v>
      </c>
      <c r="AP65" s="186">
        <f xml:space="preserve"> 'FS Semi'!AP$65</f>
        <v>14037.856776993409</v>
      </c>
      <c r="AQ65" s="186">
        <f xml:space="preserve"> 'FS Semi'!AQ$65</f>
        <v>14045.130839844553</v>
      </c>
      <c r="AR65" s="186">
        <f xml:space="preserve"> 'FS Semi'!AR$65</f>
        <v>13896.7960059342</v>
      </c>
      <c r="AS65" s="186">
        <f xml:space="preserve"> 'FS Semi'!AS$65</f>
        <v>13901.405610395763</v>
      </c>
      <c r="AT65" s="186">
        <f xml:space="preserve"> 'FS Semi'!AT$65</f>
        <v>13772.600892933437</v>
      </c>
      <c r="AU65" s="186">
        <f xml:space="preserve"> 'FS Semi'!AU$65</f>
        <v>13736.76875976386</v>
      </c>
      <c r="AV65" s="186">
        <f xml:space="preserve"> 'FS Semi'!AV$65</f>
        <v>13608.635708810609</v>
      </c>
      <c r="AW65" s="186">
        <f xml:space="preserve"> 'FS Semi'!AW$65</f>
        <v>13607.771090766597</v>
      </c>
      <c r="AX65" s="186">
        <f xml:space="preserve"> 'FS Semi'!AX$65</f>
        <v>13461.451394756768</v>
      </c>
      <c r="AY65" s="186">
        <f xml:space="preserve"> 'FS Semi'!AY$65</f>
        <v>13457.775032491649</v>
      </c>
      <c r="AZ65" s="186">
        <f xml:space="preserve"> 'FS Semi'!AZ$65</f>
        <v>13312.139691725803</v>
      </c>
      <c r="BA65" s="186">
        <f xml:space="preserve"> 'FS Semi'!BA$65</f>
        <v>13305.600476617343</v>
      </c>
      <c r="BB65" s="186">
        <f xml:space="preserve"> 'FS Semi'!BB$65</f>
        <v>16445.95955909419</v>
      </c>
      <c r="BC65" s="186">
        <f xml:space="preserve"> 'FS Semi'!BC$65</f>
        <v>0</v>
      </c>
      <c r="BD65" s="186">
        <f xml:space="preserve"> 'FS Semi'!BD$65</f>
        <v>0</v>
      </c>
      <c r="BE65" s="186">
        <f xml:space="preserve"> 'FS Semi'!BE$65</f>
        <v>0</v>
      </c>
      <c r="BF65" s="186">
        <f xml:space="preserve"> 'FS Semi'!BF$65</f>
        <v>0</v>
      </c>
      <c r="BG65" s="186">
        <f xml:space="preserve"> 'FS Semi'!BG$65</f>
        <v>0</v>
      </c>
      <c r="BH65" s="186">
        <f xml:space="preserve"> 'FS Semi'!BH$65</f>
        <v>0</v>
      </c>
      <c r="BI65" s="186">
        <f xml:space="preserve"> 'FS Semi'!BI$65</f>
        <v>0</v>
      </c>
      <c r="BJ65" s="186">
        <f xml:space="preserve"> 'FS Semi'!BJ$65</f>
        <v>0</v>
      </c>
      <c r="BK65" s="186">
        <f xml:space="preserve"> 'FS Semi'!BK$65</f>
        <v>0</v>
      </c>
      <c r="BL65" s="186">
        <f xml:space="preserve"> 'FS Semi'!BL$65</f>
        <v>0</v>
      </c>
      <c r="BM65" s="186">
        <f xml:space="preserve"> 'FS Semi'!BM$65</f>
        <v>0</v>
      </c>
      <c r="BN65" s="186">
        <f xml:space="preserve"> 'FS Semi'!BN$65</f>
        <v>0</v>
      </c>
      <c r="BO65" s="186">
        <f xml:space="preserve"> 'FS Semi'!BO$65</f>
        <v>0</v>
      </c>
      <c r="BP65" s="186">
        <f xml:space="preserve"> 'FS Semi'!BP$65</f>
        <v>0</v>
      </c>
      <c r="BQ65" s="186">
        <f xml:space="preserve"> 'FS Semi'!BQ$65</f>
        <v>0</v>
      </c>
      <c r="BR65" s="186">
        <f xml:space="preserve"> 'FS Semi'!BR$65</f>
        <v>0</v>
      </c>
      <c r="BS65" s="186">
        <f xml:space="preserve"> 'FS Semi'!BS$65</f>
        <v>0</v>
      </c>
      <c r="BT65" s="186">
        <f xml:space="preserve"> 'FS Semi'!BT$65</f>
        <v>0</v>
      </c>
      <c r="BU65" s="186">
        <f xml:space="preserve"> 'FS Semi'!BU$65</f>
        <v>0</v>
      </c>
      <c r="BV65" s="186">
        <f xml:space="preserve"> 'FS Semi'!BV$65</f>
        <v>0</v>
      </c>
      <c r="BW65" s="186">
        <f xml:space="preserve"> 'FS Semi'!BW$65</f>
        <v>0</v>
      </c>
      <c r="BX65" s="186">
        <f xml:space="preserve"> 'FS Semi'!BX$65</f>
        <v>0</v>
      </c>
      <c r="BY65" s="186">
        <f xml:space="preserve"> 'FS Semi'!BY$65</f>
        <v>0</v>
      </c>
      <c r="BZ65" s="186">
        <f xml:space="preserve"> 'FS Semi'!BZ$65</f>
        <v>0</v>
      </c>
      <c r="CA65" s="186">
        <f xml:space="preserve"> 'FS Semi'!CA$65</f>
        <v>0</v>
      </c>
      <c r="CB65" s="186">
        <f xml:space="preserve"> 'FS Semi'!CB$65</f>
        <v>0</v>
      </c>
      <c r="CC65" s="186">
        <f xml:space="preserve"> 'FS Semi'!CC$65</f>
        <v>0</v>
      </c>
      <c r="CD65" s="186">
        <f xml:space="preserve"> 'FS Semi'!CD$65</f>
        <v>0</v>
      </c>
      <c r="CE65" s="186">
        <f xml:space="preserve"> 'FS Semi'!CE$65</f>
        <v>0</v>
      </c>
      <c r="CF65" s="186">
        <f xml:space="preserve"> 'FS Semi'!CF$65</f>
        <v>0</v>
      </c>
      <c r="CG65" s="186">
        <f xml:space="preserve"> 'FS Semi'!CG$65</f>
        <v>0</v>
      </c>
      <c r="CH65" s="186">
        <f xml:space="preserve"> 'FS Semi'!CH$65</f>
        <v>0</v>
      </c>
      <c r="CI65" s="186">
        <f xml:space="preserve"> 'FS Semi'!CI$65</f>
        <v>0</v>
      </c>
      <c r="CJ65" s="186">
        <f xml:space="preserve"> 'FS Semi'!CJ$65</f>
        <v>0</v>
      </c>
      <c r="CK65" s="186">
        <f xml:space="preserve"> 'FS Semi'!CK$65</f>
        <v>0</v>
      </c>
      <c r="CL65" s="186">
        <f xml:space="preserve"> 'FS Semi'!CL$65</f>
        <v>0</v>
      </c>
      <c r="CM65" s="186">
        <f xml:space="preserve"> 'FS Semi'!CM$65</f>
        <v>0</v>
      </c>
      <c r="CN65" s="186">
        <f xml:space="preserve"> 'FS Semi'!CN$65</f>
        <v>0</v>
      </c>
      <c r="CO65" s="186">
        <f xml:space="preserve"> 'FS Semi'!CO$65</f>
        <v>0</v>
      </c>
      <c r="CP65" s="186">
        <f xml:space="preserve"> 'FS Semi'!CP$65</f>
        <v>0</v>
      </c>
      <c r="CQ65" s="186">
        <f xml:space="preserve"> 'FS Semi'!CQ$65</f>
        <v>0</v>
      </c>
      <c r="CR65" s="186">
        <f xml:space="preserve"> 'FS Semi'!CR$65</f>
        <v>0</v>
      </c>
      <c r="CS65" s="186">
        <f xml:space="preserve"> 'FS Semi'!CS$65</f>
        <v>0</v>
      </c>
      <c r="CT65" s="186">
        <f xml:space="preserve"> 'FS Semi'!CT$65</f>
        <v>0</v>
      </c>
      <c r="CU65" s="186">
        <f xml:space="preserve"> 'FS Semi'!CU$65</f>
        <v>0</v>
      </c>
      <c r="CV65" s="186">
        <f xml:space="preserve"> 'FS Semi'!CV$65</f>
        <v>0</v>
      </c>
    </row>
    <row r="66" spans="1:100" outlineLevel="1" x14ac:dyDescent="0.2">
      <c r="A66" s="85"/>
      <c r="B66" s="85"/>
      <c r="C66" s="86"/>
      <c r="D66" s="87"/>
      <c r="E66" s="186" t="str">
        <f xml:space="preserve"> Debt!E$369</f>
        <v>Senior debt service</v>
      </c>
      <c r="F66" s="186">
        <f xml:space="preserve"> Debt!F$369</f>
        <v>0</v>
      </c>
      <c r="G66" s="186" t="str">
        <f xml:space="preserve"> Debt!G$369</f>
        <v>$ 000s</v>
      </c>
      <c r="H66" s="186">
        <f xml:space="preserve"> Debt!H$369</f>
        <v>360041.89848376269</v>
      </c>
      <c r="I66" s="186">
        <f xml:space="preserve"> Debt!I$369</f>
        <v>0</v>
      </c>
      <c r="J66" s="186">
        <f xml:space="preserve"> Debt!J$369</f>
        <v>0</v>
      </c>
      <c r="K66" s="186">
        <f xml:space="preserve"> Debt!K$369</f>
        <v>0</v>
      </c>
      <c r="L66" s="186">
        <f xml:space="preserve"> Debt!L$369</f>
        <v>0</v>
      </c>
      <c r="M66" s="186">
        <f xml:space="preserve"> Debt!M$369</f>
        <v>0</v>
      </c>
      <c r="N66" s="186">
        <f xml:space="preserve"> Debt!N$369</f>
        <v>0</v>
      </c>
      <c r="O66" s="186">
        <f xml:space="preserve"> Debt!O$369</f>
        <v>12686.671356945051</v>
      </c>
      <c r="P66" s="186">
        <f xml:space="preserve"> Debt!P$369</f>
        <v>11219.578313619157</v>
      </c>
      <c r="Q66" s="186">
        <f xml:space="preserve"> Debt!Q$369</f>
        <v>11246.683026259163</v>
      </c>
      <c r="R66" s="186">
        <f xml:space="preserve"> Debt!R$369</f>
        <v>11134.906831418644</v>
      </c>
      <c r="S66" s="186">
        <f xml:space="preserve"> Debt!S$369</f>
        <v>11160.497290778691</v>
      </c>
      <c r="T66" s="186">
        <f xml:space="preserve"> Debt!T$369</f>
        <v>11049.147667919469</v>
      </c>
      <c r="U66" s="186">
        <f xml:space="preserve"> Debt!U$369</f>
        <v>11073.197450820346</v>
      </c>
      <c r="V66" s="186">
        <f xml:space="preserve"> Debt!V$369</f>
        <v>10977.313489020877</v>
      </c>
      <c r="W66" s="186">
        <f xml:space="preserve"> Debt!W$369</f>
        <v>10969.723974284556</v>
      </c>
      <c r="X66" s="186">
        <f xml:space="preserve"> Debt!X$369</f>
        <v>10874.27318110882</v>
      </c>
      <c r="Y66" s="186">
        <f xml:space="preserve"> Debt!Y$369</f>
        <v>10895.160171361602</v>
      </c>
      <c r="Z66" s="186">
        <f xml:space="preserve"> Debt!Z$369</f>
        <v>10785.110133328311</v>
      </c>
      <c r="AA66" s="186">
        <f xml:space="preserve"> Debt!AA$369</f>
        <v>10804.373888164411</v>
      </c>
      <c r="AB66" s="186">
        <f xml:space="preserve"> Debt!AB$369</f>
        <v>10694.76392796511</v>
      </c>
      <c r="AC66" s="186">
        <f xml:space="preserve"> Debt!AC$369</f>
        <v>10712.37579856183</v>
      </c>
      <c r="AD66" s="186">
        <f xml:space="preserve"> Debt!AD$369</f>
        <v>10617.752823814142</v>
      </c>
      <c r="AE66" s="186">
        <f xml:space="preserve"> Debt!AE$369</f>
        <v>10604.596909622556</v>
      </c>
      <c r="AF66" s="186">
        <f xml:space="preserve"> Debt!AF$369</f>
        <v>10510.421245766829</v>
      </c>
      <c r="AG66" s="186">
        <f xml:space="preserve"> Debt!AG$369</f>
        <v>10524.641040765775</v>
      </c>
      <c r="AH66" s="186">
        <f xml:space="preserve"> Debt!AH$369</f>
        <v>10416.373099274493</v>
      </c>
      <c r="AI66" s="186">
        <f xml:space="preserve"> Debt!AI$369</f>
        <v>10428.851504537852</v>
      </c>
      <c r="AJ66" s="186">
        <f xml:space="preserve"> Debt!AJ$369</f>
        <v>10321.038445702476</v>
      </c>
      <c r="AK66" s="186">
        <f xml:space="preserve"> Debt!AK$369</f>
        <v>10331.74438166013</v>
      </c>
      <c r="AL66" s="186">
        <f xml:space="preserve"> Debt!AL$369</f>
        <v>10238.413866724009</v>
      </c>
      <c r="AM66" s="186">
        <f xml:space="preserve"> Debt!AM$369</f>
        <v>10219.268154047048</v>
      </c>
      <c r="AN66" s="186">
        <f xml:space="preserve"> Debt!AN$369</f>
        <v>10126.400443477962</v>
      </c>
      <c r="AO66" s="186">
        <f xml:space="preserve"> Debt!AO$369</f>
        <v>10133.465715349392</v>
      </c>
      <c r="AP66" s="186">
        <f xml:space="preserve"> Debt!AP$369</f>
        <v>10027.041163247522</v>
      </c>
      <c r="AQ66" s="186">
        <f xml:space="preserve"> Debt!AQ$369</f>
        <v>10032.236926693096</v>
      </c>
      <c r="AR66" s="186">
        <f xml:space="preserve"> Debt!AR$369</f>
        <v>9926.2834676298662</v>
      </c>
      <c r="AS66" s="186">
        <f xml:space="preserve"> Debt!AS$369</f>
        <v>9929.5775194771086</v>
      </c>
      <c r="AT66" s="186">
        <f xml:space="preserve"> Debt!AT$369</f>
        <v>9837.5746264223908</v>
      </c>
      <c r="AU66" s="186">
        <f xml:space="preserve"> Debt!AU$369</f>
        <v>9811.9812368171188</v>
      </c>
      <c r="AV66" s="186">
        <f xml:space="preserve"> Debt!AV$369</f>
        <v>9720.4606172373533</v>
      </c>
      <c r="AW66" s="186">
        <f xml:space="preserve"> Debt!AW$369</f>
        <v>-2.024773110608092E-4</v>
      </c>
      <c r="AX66" s="186">
        <f xml:space="preserve"> Debt!AX$369</f>
        <v>-1.9917605055438296E-4</v>
      </c>
      <c r="AY66" s="186">
        <f xml:space="preserve"> Debt!AY$369</f>
        <v>-2.024773110608092E-4</v>
      </c>
      <c r="AZ66" s="186">
        <f xml:space="preserve"> Debt!AZ$369</f>
        <v>-1.9917605055438296E-4</v>
      </c>
      <c r="BA66" s="186">
        <f xml:space="preserve"> Debt!BA$369</f>
        <v>-2.024773110608092E-4</v>
      </c>
      <c r="BB66" s="186">
        <f xml:space="preserve"> Debt!BB$369</f>
        <v>-2.0027647072319173E-4</v>
      </c>
      <c r="BC66" s="186">
        <f xml:space="preserve"> Debt!BC$369</f>
        <v>0</v>
      </c>
      <c r="BD66" s="186">
        <f xml:space="preserve"> Debt!BD$369</f>
        <v>0</v>
      </c>
      <c r="BE66" s="186">
        <f xml:space="preserve"> Debt!BE$369</f>
        <v>0</v>
      </c>
      <c r="BF66" s="186">
        <f xml:space="preserve"> Debt!BF$369</f>
        <v>0</v>
      </c>
      <c r="BG66" s="186">
        <f xml:space="preserve"> Debt!BG$369</f>
        <v>0</v>
      </c>
      <c r="BH66" s="186">
        <f xml:space="preserve"> Debt!BH$369</f>
        <v>0</v>
      </c>
      <c r="BI66" s="186">
        <f xml:space="preserve"> Debt!BI$369</f>
        <v>0</v>
      </c>
      <c r="BJ66" s="186">
        <f xml:space="preserve"> Debt!BJ$369</f>
        <v>0</v>
      </c>
      <c r="BK66" s="186">
        <f xml:space="preserve"> Debt!BK$369</f>
        <v>0</v>
      </c>
      <c r="BL66" s="186">
        <f xml:space="preserve"> Debt!BL$369</f>
        <v>0</v>
      </c>
      <c r="BM66" s="186">
        <f xml:space="preserve"> Debt!BM$369</f>
        <v>0</v>
      </c>
      <c r="BN66" s="186">
        <f xml:space="preserve"> Debt!BN$369</f>
        <v>0</v>
      </c>
      <c r="BO66" s="186">
        <f xml:space="preserve"> Debt!BO$369</f>
        <v>0</v>
      </c>
      <c r="BP66" s="186">
        <f xml:space="preserve"> Debt!BP$369</f>
        <v>0</v>
      </c>
      <c r="BQ66" s="186">
        <f xml:space="preserve"> Debt!BQ$369</f>
        <v>0</v>
      </c>
      <c r="BR66" s="186">
        <f xml:space="preserve"> Debt!BR$369</f>
        <v>0</v>
      </c>
      <c r="BS66" s="186">
        <f xml:space="preserve"> Debt!BS$369</f>
        <v>0</v>
      </c>
      <c r="BT66" s="186">
        <f xml:space="preserve"> Debt!BT$369</f>
        <v>0</v>
      </c>
      <c r="BU66" s="186">
        <f xml:space="preserve"> Debt!BU$369</f>
        <v>0</v>
      </c>
      <c r="BV66" s="186">
        <f xml:space="preserve"> Debt!BV$369</f>
        <v>0</v>
      </c>
      <c r="BW66" s="186">
        <f xml:space="preserve"> Debt!BW$369</f>
        <v>0</v>
      </c>
      <c r="BX66" s="186">
        <f xml:space="preserve"> Debt!BX$369</f>
        <v>0</v>
      </c>
      <c r="BY66" s="186">
        <f xml:space="preserve"> Debt!BY$369</f>
        <v>0</v>
      </c>
      <c r="BZ66" s="186">
        <f xml:space="preserve"> Debt!BZ$369</f>
        <v>0</v>
      </c>
      <c r="CA66" s="186">
        <f xml:space="preserve"> Debt!CA$369</f>
        <v>0</v>
      </c>
      <c r="CB66" s="186">
        <f xml:space="preserve"> Debt!CB$369</f>
        <v>0</v>
      </c>
      <c r="CC66" s="186">
        <f xml:space="preserve"> Debt!CC$369</f>
        <v>0</v>
      </c>
      <c r="CD66" s="186">
        <f xml:space="preserve"> Debt!CD$369</f>
        <v>0</v>
      </c>
      <c r="CE66" s="186">
        <f xml:space="preserve"> Debt!CE$369</f>
        <v>0</v>
      </c>
      <c r="CF66" s="186">
        <f xml:space="preserve"> Debt!CF$369</f>
        <v>0</v>
      </c>
      <c r="CG66" s="186">
        <f xml:space="preserve"> Debt!CG$369</f>
        <v>0</v>
      </c>
      <c r="CH66" s="186">
        <f xml:space="preserve"> Debt!CH$369</f>
        <v>0</v>
      </c>
      <c r="CI66" s="186">
        <f xml:space="preserve"> Debt!CI$369</f>
        <v>0</v>
      </c>
      <c r="CJ66" s="186">
        <f xml:space="preserve"> Debt!CJ$369</f>
        <v>0</v>
      </c>
      <c r="CK66" s="186">
        <f xml:space="preserve"> Debt!CK$369</f>
        <v>0</v>
      </c>
      <c r="CL66" s="186">
        <f xml:space="preserve"> Debt!CL$369</f>
        <v>0</v>
      </c>
      <c r="CM66" s="186">
        <f xml:space="preserve"> Debt!CM$369</f>
        <v>0</v>
      </c>
      <c r="CN66" s="186">
        <f xml:space="preserve"> Debt!CN$369</f>
        <v>0</v>
      </c>
      <c r="CO66" s="186">
        <f xml:space="preserve"> Debt!CO$369</f>
        <v>0</v>
      </c>
      <c r="CP66" s="186">
        <f xml:space="preserve"> Debt!CP$369</f>
        <v>0</v>
      </c>
      <c r="CQ66" s="186">
        <f xml:space="preserve"> Debt!CQ$369</f>
        <v>0</v>
      </c>
      <c r="CR66" s="186">
        <f xml:space="preserve"> Debt!CR$369</f>
        <v>0</v>
      </c>
      <c r="CS66" s="186">
        <f xml:space="preserve"> Debt!CS$369</f>
        <v>0</v>
      </c>
      <c r="CT66" s="186">
        <f xml:space="preserve"> Debt!CT$369</f>
        <v>0</v>
      </c>
      <c r="CU66" s="186">
        <f xml:space="preserve"> Debt!CU$369</f>
        <v>0</v>
      </c>
      <c r="CV66" s="186">
        <f xml:space="preserve"> Debt!CV$369</f>
        <v>0</v>
      </c>
    </row>
    <row r="67" spans="1:100" outlineLevel="1" x14ac:dyDescent="0.2">
      <c r="A67" s="85"/>
      <c r="B67" s="85"/>
      <c r="C67" s="86"/>
      <c r="D67" s="87"/>
      <c r="E67" s="189" t="str">
        <f xml:space="preserve"> Time!E$214</f>
        <v>Senior debt repayment period flag</v>
      </c>
      <c r="F67" s="189">
        <f xml:space="preserve"> Time!F$214</f>
        <v>0</v>
      </c>
      <c r="G67" s="189" t="str">
        <f xml:space="preserve"> Time!G$214</f>
        <v>flag</v>
      </c>
      <c r="H67" s="189">
        <f xml:space="preserve"> Time!H$214</f>
        <v>34</v>
      </c>
      <c r="I67" s="189">
        <f xml:space="preserve"> Time!I$214</f>
        <v>0</v>
      </c>
      <c r="J67" s="189">
        <f xml:space="preserve"> Time!J$214</f>
        <v>0</v>
      </c>
      <c r="K67" s="189">
        <f xml:space="preserve"> Time!K$214</f>
        <v>0</v>
      </c>
      <c r="L67" s="189">
        <f xml:space="preserve"> Time!L$214</f>
        <v>0</v>
      </c>
      <c r="M67" s="189">
        <f xml:space="preserve"> Time!M$214</f>
        <v>0</v>
      </c>
      <c r="N67" s="189">
        <f xml:space="preserve"> Time!N$214</f>
        <v>0</v>
      </c>
      <c r="O67" s="189">
        <f xml:space="preserve"> Time!O$214</f>
        <v>1</v>
      </c>
      <c r="P67" s="189">
        <f xml:space="preserve"> Time!P$214</f>
        <v>1</v>
      </c>
      <c r="Q67" s="189">
        <f xml:space="preserve"> Time!Q$214</f>
        <v>1</v>
      </c>
      <c r="R67" s="189">
        <f xml:space="preserve"> Time!R$214</f>
        <v>1</v>
      </c>
      <c r="S67" s="189">
        <f xml:space="preserve"> Time!S$214</f>
        <v>1</v>
      </c>
      <c r="T67" s="189">
        <f xml:space="preserve"> Time!T$214</f>
        <v>1</v>
      </c>
      <c r="U67" s="189">
        <f xml:space="preserve"> Time!U$214</f>
        <v>1</v>
      </c>
      <c r="V67" s="189">
        <f xml:space="preserve"> Time!V$214</f>
        <v>1</v>
      </c>
      <c r="W67" s="189">
        <f xml:space="preserve"> Time!W$214</f>
        <v>1</v>
      </c>
      <c r="X67" s="189">
        <f xml:space="preserve"> Time!X$214</f>
        <v>1</v>
      </c>
      <c r="Y67" s="189">
        <f xml:space="preserve"> Time!Y$214</f>
        <v>1</v>
      </c>
      <c r="Z67" s="189">
        <f xml:space="preserve"> Time!Z$214</f>
        <v>1</v>
      </c>
      <c r="AA67" s="189">
        <f xml:space="preserve"> Time!AA$214</f>
        <v>1</v>
      </c>
      <c r="AB67" s="189">
        <f xml:space="preserve"> Time!AB$214</f>
        <v>1</v>
      </c>
      <c r="AC67" s="189">
        <f xml:space="preserve"> Time!AC$214</f>
        <v>1</v>
      </c>
      <c r="AD67" s="189">
        <f xml:space="preserve"> Time!AD$214</f>
        <v>1</v>
      </c>
      <c r="AE67" s="189">
        <f xml:space="preserve"> Time!AE$214</f>
        <v>1</v>
      </c>
      <c r="AF67" s="189">
        <f xml:space="preserve"> Time!AF$214</f>
        <v>1</v>
      </c>
      <c r="AG67" s="189">
        <f xml:space="preserve"> Time!AG$214</f>
        <v>1</v>
      </c>
      <c r="AH67" s="189">
        <f xml:space="preserve"> Time!AH$214</f>
        <v>1</v>
      </c>
      <c r="AI67" s="189">
        <f xml:space="preserve"> Time!AI$214</f>
        <v>1</v>
      </c>
      <c r="AJ67" s="189">
        <f xml:space="preserve"> Time!AJ$214</f>
        <v>1</v>
      </c>
      <c r="AK67" s="189">
        <f xml:space="preserve"> Time!AK$214</f>
        <v>1</v>
      </c>
      <c r="AL67" s="189">
        <f xml:space="preserve"> Time!AL$214</f>
        <v>1</v>
      </c>
      <c r="AM67" s="189">
        <f xml:space="preserve"> Time!AM$214</f>
        <v>1</v>
      </c>
      <c r="AN67" s="189">
        <f xml:space="preserve"> Time!AN$214</f>
        <v>1</v>
      </c>
      <c r="AO67" s="189">
        <f xml:space="preserve"> Time!AO$214</f>
        <v>1</v>
      </c>
      <c r="AP67" s="189">
        <f xml:space="preserve"> Time!AP$214</f>
        <v>1</v>
      </c>
      <c r="AQ67" s="189">
        <f xml:space="preserve"> Time!AQ$214</f>
        <v>1</v>
      </c>
      <c r="AR67" s="189">
        <f xml:space="preserve"> Time!AR$214</f>
        <v>1</v>
      </c>
      <c r="AS67" s="189">
        <f xml:space="preserve"> Time!AS$214</f>
        <v>1</v>
      </c>
      <c r="AT67" s="189">
        <f xml:space="preserve"> Time!AT$214</f>
        <v>1</v>
      </c>
      <c r="AU67" s="189">
        <f xml:space="preserve"> Time!AU$214</f>
        <v>1</v>
      </c>
      <c r="AV67" s="189">
        <f xml:space="preserve"> Time!AV$214</f>
        <v>1</v>
      </c>
      <c r="AW67" s="189">
        <f xml:space="preserve"> Time!AW$214</f>
        <v>0</v>
      </c>
      <c r="AX67" s="189">
        <f xml:space="preserve"> Time!AX$214</f>
        <v>0</v>
      </c>
      <c r="AY67" s="189">
        <f xml:space="preserve"> Time!AY$214</f>
        <v>0</v>
      </c>
      <c r="AZ67" s="189">
        <f xml:space="preserve"> Time!AZ$214</f>
        <v>0</v>
      </c>
      <c r="BA67" s="189">
        <f xml:space="preserve"> Time!BA$214</f>
        <v>0</v>
      </c>
      <c r="BB67" s="189">
        <f xml:space="preserve"> Time!BB$214</f>
        <v>0</v>
      </c>
      <c r="BC67" s="189">
        <f xml:space="preserve"> Time!BC$214</f>
        <v>0</v>
      </c>
      <c r="BD67" s="189">
        <f xml:space="preserve"> Time!BD$214</f>
        <v>0</v>
      </c>
      <c r="BE67" s="189">
        <f xml:space="preserve"> Time!BE$214</f>
        <v>0</v>
      </c>
      <c r="BF67" s="189">
        <f xml:space="preserve"> Time!BF$214</f>
        <v>0</v>
      </c>
      <c r="BG67" s="189">
        <f xml:space="preserve"> Time!BG$214</f>
        <v>0</v>
      </c>
      <c r="BH67" s="189">
        <f xml:space="preserve"> Time!BH$214</f>
        <v>0</v>
      </c>
      <c r="BI67" s="189">
        <f xml:space="preserve"> Time!BI$214</f>
        <v>0</v>
      </c>
      <c r="BJ67" s="189">
        <f xml:space="preserve"> Time!BJ$214</f>
        <v>0</v>
      </c>
      <c r="BK67" s="189">
        <f xml:space="preserve"> Time!BK$214</f>
        <v>0</v>
      </c>
      <c r="BL67" s="189">
        <f xml:space="preserve"> Time!BL$214</f>
        <v>0</v>
      </c>
      <c r="BM67" s="189">
        <f xml:space="preserve"> Time!BM$214</f>
        <v>0</v>
      </c>
      <c r="BN67" s="189">
        <f xml:space="preserve"> Time!BN$214</f>
        <v>0</v>
      </c>
      <c r="BO67" s="189">
        <f xml:space="preserve"> Time!BO$214</f>
        <v>0</v>
      </c>
      <c r="BP67" s="189">
        <f xml:space="preserve"> Time!BP$214</f>
        <v>0</v>
      </c>
      <c r="BQ67" s="189">
        <f xml:space="preserve"> Time!BQ$214</f>
        <v>0</v>
      </c>
      <c r="BR67" s="189">
        <f xml:space="preserve"> Time!BR$214</f>
        <v>0</v>
      </c>
      <c r="BS67" s="189">
        <f xml:space="preserve"> Time!BS$214</f>
        <v>0</v>
      </c>
      <c r="BT67" s="189">
        <f xml:space="preserve"> Time!BT$214</f>
        <v>0</v>
      </c>
      <c r="BU67" s="189">
        <f xml:space="preserve"> Time!BU$214</f>
        <v>0</v>
      </c>
      <c r="BV67" s="189">
        <f xml:space="preserve"> Time!BV$214</f>
        <v>0</v>
      </c>
      <c r="BW67" s="189">
        <f xml:space="preserve"> Time!BW$214</f>
        <v>0</v>
      </c>
      <c r="BX67" s="189">
        <f xml:space="preserve"> Time!BX$214</f>
        <v>0</v>
      </c>
      <c r="BY67" s="189">
        <f xml:space="preserve"> Time!BY$214</f>
        <v>0</v>
      </c>
      <c r="BZ67" s="189">
        <f xml:space="preserve"> Time!BZ$214</f>
        <v>0</v>
      </c>
      <c r="CA67" s="189">
        <f xml:space="preserve"> Time!CA$214</f>
        <v>0</v>
      </c>
      <c r="CB67" s="189">
        <f xml:space="preserve"> Time!CB$214</f>
        <v>0</v>
      </c>
      <c r="CC67" s="189">
        <f xml:space="preserve"> Time!CC$214</f>
        <v>0</v>
      </c>
      <c r="CD67" s="189">
        <f xml:space="preserve"> Time!CD$214</f>
        <v>0</v>
      </c>
      <c r="CE67" s="189">
        <f xml:space="preserve"> Time!CE$214</f>
        <v>0</v>
      </c>
      <c r="CF67" s="189">
        <f xml:space="preserve"> Time!CF$214</f>
        <v>0</v>
      </c>
      <c r="CG67" s="189">
        <f xml:space="preserve"> Time!CG$214</f>
        <v>0</v>
      </c>
      <c r="CH67" s="189">
        <f xml:space="preserve"> Time!CH$214</f>
        <v>0</v>
      </c>
      <c r="CI67" s="189">
        <f xml:space="preserve"> Time!CI$214</f>
        <v>0</v>
      </c>
      <c r="CJ67" s="189">
        <f xml:space="preserve"> Time!CJ$214</f>
        <v>0</v>
      </c>
      <c r="CK67" s="189">
        <f xml:space="preserve"> Time!CK$214</f>
        <v>0</v>
      </c>
      <c r="CL67" s="189">
        <f xml:space="preserve"> Time!CL$214</f>
        <v>0</v>
      </c>
      <c r="CM67" s="189">
        <f xml:space="preserve"> Time!CM$214</f>
        <v>0</v>
      </c>
      <c r="CN67" s="189">
        <f xml:space="preserve"> Time!CN$214</f>
        <v>0</v>
      </c>
      <c r="CO67" s="189">
        <f xml:space="preserve"> Time!CO$214</f>
        <v>0</v>
      </c>
      <c r="CP67" s="189">
        <f xml:space="preserve"> Time!CP$214</f>
        <v>0</v>
      </c>
      <c r="CQ67" s="189">
        <f xml:space="preserve"> Time!CQ$214</f>
        <v>0</v>
      </c>
      <c r="CR67" s="189">
        <f xml:space="preserve"> Time!CR$214</f>
        <v>0</v>
      </c>
      <c r="CS67" s="189">
        <f xml:space="preserve"> Time!CS$214</f>
        <v>0</v>
      </c>
      <c r="CT67" s="189">
        <f xml:space="preserve"> Time!CT$214</f>
        <v>0</v>
      </c>
      <c r="CU67" s="189">
        <f xml:space="preserve"> Time!CU$214</f>
        <v>0</v>
      </c>
      <c r="CV67" s="189">
        <f xml:space="preserve"> Time!CV$214</f>
        <v>0</v>
      </c>
    </row>
    <row r="68" spans="1:100" s="188" customFormat="1" outlineLevel="1" x14ac:dyDescent="0.2">
      <c r="A68" s="141"/>
      <c r="B68" s="141"/>
      <c r="C68" s="142"/>
      <c r="D68" s="143"/>
      <c r="E68" s="187" t="s">
        <v>208</v>
      </c>
      <c r="F68" s="187"/>
      <c r="G68" s="187" t="s">
        <v>164</v>
      </c>
      <c r="H68" s="187"/>
      <c r="I68" s="144"/>
      <c r="J68" s="411" t="str">
        <f t="shared" ref="J68:BU68" si="34" xml:space="preserve"> IF( J67 = 1, J65 / J66, "na")</f>
        <v>na</v>
      </c>
      <c r="K68" s="411" t="str">
        <f t="shared" si="34"/>
        <v>na</v>
      </c>
      <c r="L68" s="411" t="str">
        <f t="shared" si="34"/>
        <v>na</v>
      </c>
      <c r="M68" s="411" t="str">
        <f t="shared" si="34"/>
        <v>na</v>
      </c>
      <c r="N68" s="411" t="str">
        <f t="shared" si="34"/>
        <v>na</v>
      </c>
      <c r="O68" s="411">
        <f t="shared" si="34"/>
        <v>1.3999999361449846</v>
      </c>
      <c r="P68" s="411">
        <f t="shared" si="34"/>
        <v>1.3999999348171281</v>
      </c>
      <c r="Q68" s="411">
        <f t="shared" si="34"/>
        <v>1.3999999339261022</v>
      </c>
      <c r="R68" s="411">
        <f t="shared" si="34"/>
        <v>1.3999999330787214</v>
      </c>
      <c r="S68" s="411">
        <f t="shared" si="34"/>
        <v>1.3999999321752374</v>
      </c>
      <c r="T68" s="411">
        <f t="shared" si="34"/>
        <v>1.3999999313543667</v>
      </c>
      <c r="U68" s="411">
        <f t="shared" si="34"/>
        <v>1.3999999304439941</v>
      </c>
      <c r="V68" s="411">
        <f t="shared" si="34"/>
        <v>1.3999999296302927</v>
      </c>
      <c r="W68" s="411">
        <f t="shared" si="34"/>
        <v>1.3999999287334366</v>
      </c>
      <c r="X68" s="411">
        <f t="shared" si="34"/>
        <v>1.3999999279928201</v>
      </c>
      <c r="Y68" s="411">
        <f t="shared" si="34"/>
        <v>1.3999999267278769</v>
      </c>
      <c r="Z68" s="411">
        <f t="shared" si="34"/>
        <v>1.3999999259980718</v>
      </c>
      <c r="AA68" s="411">
        <f t="shared" si="34"/>
        <v>1.3999999250746931</v>
      </c>
      <c r="AB68" s="411">
        <f t="shared" si="34"/>
        <v>1.3999999243982566</v>
      </c>
      <c r="AC68" s="411">
        <f t="shared" si="34"/>
        <v>1.3999999234959699</v>
      </c>
      <c r="AD68" s="411">
        <f t="shared" si="34"/>
        <v>1.3999999228258269</v>
      </c>
      <c r="AE68" s="411">
        <f t="shared" si="34"/>
        <v>1.3999999219856905</v>
      </c>
      <c r="AF68" s="411">
        <f t="shared" si="34"/>
        <v>1.3999999214522754</v>
      </c>
      <c r="AG68" s="411">
        <f t="shared" si="34"/>
        <v>1.3999999206124305</v>
      </c>
      <c r="AH68" s="411">
        <f t="shared" si="34"/>
        <v>1.3999999201282023</v>
      </c>
      <c r="AI68" s="411">
        <f t="shared" si="34"/>
        <v>1.3999999182843812</v>
      </c>
      <c r="AJ68" s="411">
        <f t="shared" si="34"/>
        <v>1.3999999178692628</v>
      </c>
      <c r="AK68" s="411">
        <f t="shared" si="34"/>
        <v>1.3999999170963668</v>
      </c>
      <c r="AL68" s="411">
        <f t="shared" si="34"/>
        <v>1.3999999166938686</v>
      </c>
      <c r="AM68" s="411">
        <f t="shared" si="34"/>
        <v>1.3999999160401657</v>
      </c>
      <c r="AN68" s="411">
        <f t="shared" si="34"/>
        <v>1.3999999158380945</v>
      </c>
      <c r="AO68" s="411">
        <f t="shared" si="34"/>
        <v>1.399999915205373</v>
      </c>
      <c r="AP68" s="411">
        <f t="shared" si="34"/>
        <v>1.3999999150743365</v>
      </c>
      <c r="AQ68" s="411">
        <f t="shared" si="34"/>
        <v>1.3999999145229733</v>
      </c>
      <c r="AR68" s="411">
        <f t="shared" si="34"/>
        <v>1.3999999144949251</v>
      </c>
      <c r="AS68" s="411">
        <f t="shared" si="34"/>
        <v>1.399999706244079</v>
      </c>
      <c r="AT68" s="411">
        <f t="shared" si="34"/>
        <v>1.3999996356766737</v>
      </c>
      <c r="AU68" s="411">
        <f t="shared" si="34"/>
        <v>1.3999994932949844</v>
      </c>
      <c r="AV68" s="411">
        <f t="shared" si="34"/>
        <v>1.3999990581391102</v>
      </c>
      <c r="AW68" s="411" t="str">
        <f t="shared" si="34"/>
        <v>na</v>
      </c>
      <c r="AX68" s="411" t="str">
        <f t="shared" si="34"/>
        <v>na</v>
      </c>
      <c r="AY68" s="411" t="str">
        <f t="shared" si="34"/>
        <v>na</v>
      </c>
      <c r="AZ68" s="411" t="str">
        <f t="shared" si="34"/>
        <v>na</v>
      </c>
      <c r="BA68" s="411" t="str">
        <f t="shared" si="34"/>
        <v>na</v>
      </c>
      <c r="BB68" s="411" t="str">
        <f t="shared" si="34"/>
        <v>na</v>
      </c>
      <c r="BC68" s="411" t="str">
        <f t="shared" si="34"/>
        <v>na</v>
      </c>
      <c r="BD68" s="411" t="str">
        <f t="shared" si="34"/>
        <v>na</v>
      </c>
      <c r="BE68" s="411" t="str">
        <f t="shared" si="34"/>
        <v>na</v>
      </c>
      <c r="BF68" s="411" t="str">
        <f t="shared" si="34"/>
        <v>na</v>
      </c>
      <c r="BG68" s="411" t="str">
        <f t="shared" si="34"/>
        <v>na</v>
      </c>
      <c r="BH68" s="411" t="str">
        <f t="shared" si="34"/>
        <v>na</v>
      </c>
      <c r="BI68" s="411" t="str">
        <f t="shared" si="34"/>
        <v>na</v>
      </c>
      <c r="BJ68" s="411" t="str">
        <f t="shared" si="34"/>
        <v>na</v>
      </c>
      <c r="BK68" s="411" t="str">
        <f t="shared" si="34"/>
        <v>na</v>
      </c>
      <c r="BL68" s="411" t="str">
        <f t="shared" si="34"/>
        <v>na</v>
      </c>
      <c r="BM68" s="411" t="str">
        <f t="shared" si="34"/>
        <v>na</v>
      </c>
      <c r="BN68" s="411" t="str">
        <f t="shared" si="34"/>
        <v>na</v>
      </c>
      <c r="BO68" s="411" t="str">
        <f t="shared" si="34"/>
        <v>na</v>
      </c>
      <c r="BP68" s="411" t="str">
        <f t="shared" si="34"/>
        <v>na</v>
      </c>
      <c r="BQ68" s="411" t="str">
        <f t="shared" si="34"/>
        <v>na</v>
      </c>
      <c r="BR68" s="411" t="str">
        <f t="shared" si="34"/>
        <v>na</v>
      </c>
      <c r="BS68" s="411" t="str">
        <f t="shared" si="34"/>
        <v>na</v>
      </c>
      <c r="BT68" s="411" t="str">
        <f t="shared" si="34"/>
        <v>na</v>
      </c>
      <c r="BU68" s="411" t="str">
        <f t="shared" si="34"/>
        <v>na</v>
      </c>
      <c r="BV68" s="411" t="str">
        <f t="shared" ref="BV68:CV68" si="35" xml:space="preserve"> IF( BV67 = 1, BV65 / BV66, "na")</f>
        <v>na</v>
      </c>
      <c r="BW68" s="411" t="str">
        <f t="shared" si="35"/>
        <v>na</v>
      </c>
      <c r="BX68" s="411" t="str">
        <f t="shared" si="35"/>
        <v>na</v>
      </c>
      <c r="BY68" s="411" t="str">
        <f t="shared" si="35"/>
        <v>na</v>
      </c>
      <c r="BZ68" s="411" t="str">
        <f t="shared" si="35"/>
        <v>na</v>
      </c>
      <c r="CA68" s="411" t="str">
        <f t="shared" si="35"/>
        <v>na</v>
      </c>
      <c r="CB68" s="411" t="str">
        <f t="shared" si="35"/>
        <v>na</v>
      </c>
      <c r="CC68" s="411" t="str">
        <f t="shared" si="35"/>
        <v>na</v>
      </c>
      <c r="CD68" s="411" t="str">
        <f t="shared" si="35"/>
        <v>na</v>
      </c>
      <c r="CE68" s="411" t="str">
        <f t="shared" si="35"/>
        <v>na</v>
      </c>
      <c r="CF68" s="411" t="str">
        <f t="shared" si="35"/>
        <v>na</v>
      </c>
      <c r="CG68" s="411" t="str">
        <f t="shared" si="35"/>
        <v>na</v>
      </c>
      <c r="CH68" s="411" t="str">
        <f t="shared" si="35"/>
        <v>na</v>
      </c>
      <c r="CI68" s="411" t="str">
        <f t="shared" si="35"/>
        <v>na</v>
      </c>
      <c r="CJ68" s="411" t="str">
        <f t="shared" si="35"/>
        <v>na</v>
      </c>
      <c r="CK68" s="411" t="str">
        <f t="shared" si="35"/>
        <v>na</v>
      </c>
      <c r="CL68" s="411" t="str">
        <f t="shared" si="35"/>
        <v>na</v>
      </c>
      <c r="CM68" s="411" t="str">
        <f t="shared" si="35"/>
        <v>na</v>
      </c>
      <c r="CN68" s="411" t="str">
        <f t="shared" si="35"/>
        <v>na</v>
      </c>
      <c r="CO68" s="411" t="str">
        <f t="shared" si="35"/>
        <v>na</v>
      </c>
      <c r="CP68" s="411" t="str">
        <f t="shared" si="35"/>
        <v>na</v>
      </c>
      <c r="CQ68" s="411" t="str">
        <f t="shared" si="35"/>
        <v>na</v>
      </c>
      <c r="CR68" s="411" t="str">
        <f t="shared" si="35"/>
        <v>na</v>
      </c>
      <c r="CS68" s="411" t="str">
        <f t="shared" si="35"/>
        <v>na</v>
      </c>
      <c r="CT68" s="411" t="str">
        <f t="shared" si="35"/>
        <v>na</v>
      </c>
      <c r="CU68" s="411" t="str">
        <f t="shared" si="35"/>
        <v>na</v>
      </c>
      <c r="CV68" s="411" t="str">
        <f t="shared" si="35"/>
        <v>na</v>
      </c>
    </row>
    <row r="69" spans="1:100" outlineLevel="1" x14ac:dyDescent="0.2"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  <c r="BD69" s="82"/>
      <c r="BE69" s="82"/>
      <c r="BF69" s="82"/>
      <c r="BG69" s="82"/>
      <c r="BH69" s="82"/>
      <c r="BI69" s="82"/>
      <c r="BJ69" s="82"/>
      <c r="BK69" s="82"/>
      <c r="BL69" s="82"/>
      <c r="BM69" s="82"/>
      <c r="BN69" s="82"/>
      <c r="BO69" s="82"/>
      <c r="BP69" s="82"/>
      <c r="BQ69" s="82"/>
      <c r="BR69" s="82"/>
      <c r="BS69" s="82"/>
      <c r="BT69" s="82"/>
      <c r="BU69" s="82"/>
      <c r="BV69" s="82"/>
      <c r="BW69" s="82"/>
      <c r="BX69" s="82"/>
      <c r="BY69" s="82"/>
      <c r="BZ69" s="82"/>
      <c r="CA69" s="82"/>
      <c r="CB69" s="82"/>
      <c r="CC69" s="82"/>
      <c r="CD69" s="82"/>
      <c r="CE69" s="82"/>
      <c r="CF69" s="82"/>
      <c r="CG69" s="82"/>
      <c r="CH69" s="82"/>
      <c r="CI69" s="82"/>
      <c r="CJ69" s="82"/>
      <c r="CK69" s="82"/>
      <c r="CL69" s="82"/>
      <c r="CM69" s="82"/>
      <c r="CN69" s="82"/>
      <c r="CO69" s="82"/>
      <c r="CP69" s="82"/>
      <c r="CQ69" s="82"/>
      <c r="CR69" s="82"/>
      <c r="CS69" s="82"/>
      <c r="CT69" s="82"/>
      <c r="CU69" s="82"/>
      <c r="CV69" s="82"/>
    </row>
    <row r="70" spans="1:100" outlineLevel="1" x14ac:dyDescent="0.2">
      <c r="A70" s="278"/>
      <c r="B70" s="278"/>
      <c r="C70" s="410"/>
      <c r="D70" s="279"/>
      <c r="E70" s="620" t="str">
        <f t="shared" ref="E70:AJ70" si="36" xml:space="preserve"> E$68</f>
        <v>Senior debt service coverage ratio</v>
      </c>
      <c r="F70" s="620">
        <f t="shared" si="36"/>
        <v>0</v>
      </c>
      <c r="G70" s="620" t="str">
        <f t="shared" si="36"/>
        <v>ratio</v>
      </c>
      <c r="H70" s="620">
        <f t="shared" si="36"/>
        <v>0</v>
      </c>
      <c r="I70" s="620">
        <f t="shared" si="36"/>
        <v>0</v>
      </c>
      <c r="J70" s="82" t="str">
        <f t="shared" si="36"/>
        <v>na</v>
      </c>
      <c r="K70" s="82" t="str">
        <f t="shared" si="36"/>
        <v>na</v>
      </c>
      <c r="L70" s="82" t="str">
        <f t="shared" si="36"/>
        <v>na</v>
      </c>
      <c r="M70" s="82" t="str">
        <f t="shared" si="36"/>
        <v>na</v>
      </c>
      <c r="N70" s="82" t="str">
        <f t="shared" si="36"/>
        <v>na</v>
      </c>
      <c r="O70" s="82">
        <f t="shared" si="36"/>
        <v>1.3999999361449846</v>
      </c>
      <c r="P70" s="82">
        <f t="shared" si="36"/>
        <v>1.3999999348171281</v>
      </c>
      <c r="Q70" s="82">
        <f t="shared" si="36"/>
        <v>1.3999999339261022</v>
      </c>
      <c r="R70" s="82">
        <f t="shared" si="36"/>
        <v>1.3999999330787214</v>
      </c>
      <c r="S70" s="82">
        <f t="shared" si="36"/>
        <v>1.3999999321752374</v>
      </c>
      <c r="T70" s="82">
        <f t="shared" si="36"/>
        <v>1.3999999313543667</v>
      </c>
      <c r="U70" s="82">
        <f t="shared" si="36"/>
        <v>1.3999999304439941</v>
      </c>
      <c r="V70" s="82">
        <f t="shared" si="36"/>
        <v>1.3999999296302927</v>
      </c>
      <c r="W70" s="82">
        <f t="shared" si="36"/>
        <v>1.3999999287334366</v>
      </c>
      <c r="X70" s="82">
        <f t="shared" si="36"/>
        <v>1.3999999279928201</v>
      </c>
      <c r="Y70" s="82">
        <f t="shared" si="36"/>
        <v>1.3999999267278769</v>
      </c>
      <c r="Z70" s="82">
        <f t="shared" si="36"/>
        <v>1.3999999259980718</v>
      </c>
      <c r="AA70" s="82">
        <f t="shared" si="36"/>
        <v>1.3999999250746931</v>
      </c>
      <c r="AB70" s="82">
        <f t="shared" si="36"/>
        <v>1.3999999243982566</v>
      </c>
      <c r="AC70" s="82">
        <f t="shared" si="36"/>
        <v>1.3999999234959699</v>
      </c>
      <c r="AD70" s="82">
        <f t="shared" si="36"/>
        <v>1.3999999228258269</v>
      </c>
      <c r="AE70" s="82">
        <f t="shared" si="36"/>
        <v>1.3999999219856905</v>
      </c>
      <c r="AF70" s="82">
        <f t="shared" si="36"/>
        <v>1.3999999214522754</v>
      </c>
      <c r="AG70" s="82">
        <f t="shared" si="36"/>
        <v>1.3999999206124305</v>
      </c>
      <c r="AH70" s="82">
        <f t="shared" si="36"/>
        <v>1.3999999201282023</v>
      </c>
      <c r="AI70" s="82">
        <f t="shared" si="36"/>
        <v>1.3999999182843812</v>
      </c>
      <c r="AJ70" s="82">
        <f t="shared" si="36"/>
        <v>1.3999999178692628</v>
      </c>
      <c r="AK70" s="82">
        <f t="shared" ref="AK70:BP70" si="37" xml:space="preserve"> AK$68</f>
        <v>1.3999999170963668</v>
      </c>
      <c r="AL70" s="82">
        <f t="shared" si="37"/>
        <v>1.3999999166938686</v>
      </c>
      <c r="AM70" s="82">
        <f t="shared" si="37"/>
        <v>1.3999999160401657</v>
      </c>
      <c r="AN70" s="82">
        <f t="shared" si="37"/>
        <v>1.3999999158380945</v>
      </c>
      <c r="AO70" s="82">
        <f t="shared" si="37"/>
        <v>1.399999915205373</v>
      </c>
      <c r="AP70" s="82">
        <f t="shared" si="37"/>
        <v>1.3999999150743365</v>
      </c>
      <c r="AQ70" s="82">
        <f t="shared" si="37"/>
        <v>1.3999999145229733</v>
      </c>
      <c r="AR70" s="82">
        <f t="shared" si="37"/>
        <v>1.3999999144949251</v>
      </c>
      <c r="AS70" s="82">
        <f t="shared" si="37"/>
        <v>1.399999706244079</v>
      </c>
      <c r="AT70" s="82">
        <f t="shared" si="37"/>
        <v>1.3999996356766737</v>
      </c>
      <c r="AU70" s="82">
        <f t="shared" si="37"/>
        <v>1.3999994932949844</v>
      </c>
      <c r="AV70" s="82">
        <f t="shared" si="37"/>
        <v>1.3999990581391102</v>
      </c>
      <c r="AW70" s="82" t="str">
        <f t="shared" si="37"/>
        <v>na</v>
      </c>
      <c r="AX70" s="82" t="str">
        <f t="shared" si="37"/>
        <v>na</v>
      </c>
      <c r="AY70" s="82" t="str">
        <f t="shared" si="37"/>
        <v>na</v>
      </c>
      <c r="AZ70" s="82" t="str">
        <f t="shared" si="37"/>
        <v>na</v>
      </c>
      <c r="BA70" s="82" t="str">
        <f t="shared" si="37"/>
        <v>na</v>
      </c>
      <c r="BB70" s="82" t="str">
        <f t="shared" si="37"/>
        <v>na</v>
      </c>
      <c r="BC70" s="82" t="str">
        <f t="shared" si="37"/>
        <v>na</v>
      </c>
      <c r="BD70" s="82" t="str">
        <f t="shared" si="37"/>
        <v>na</v>
      </c>
      <c r="BE70" s="82" t="str">
        <f t="shared" si="37"/>
        <v>na</v>
      </c>
      <c r="BF70" s="82" t="str">
        <f t="shared" si="37"/>
        <v>na</v>
      </c>
      <c r="BG70" s="82" t="str">
        <f t="shared" si="37"/>
        <v>na</v>
      </c>
      <c r="BH70" s="82" t="str">
        <f t="shared" si="37"/>
        <v>na</v>
      </c>
      <c r="BI70" s="82" t="str">
        <f t="shared" si="37"/>
        <v>na</v>
      </c>
      <c r="BJ70" s="82" t="str">
        <f t="shared" si="37"/>
        <v>na</v>
      </c>
      <c r="BK70" s="82" t="str">
        <f t="shared" si="37"/>
        <v>na</v>
      </c>
      <c r="BL70" s="82" t="str">
        <f t="shared" si="37"/>
        <v>na</v>
      </c>
      <c r="BM70" s="82" t="str">
        <f t="shared" si="37"/>
        <v>na</v>
      </c>
      <c r="BN70" s="82" t="str">
        <f t="shared" si="37"/>
        <v>na</v>
      </c>
      <c r="BO70" s="82" t="str">
        <f t="shared" si="37"/>
        <v>na</v>
      </c>
      <c r="BP70" s="82" t="str">
        <f t="shared" si="37"/>
        <v>na</v>
      </c>
      <c r="BQ70" s="82" t="str">
        <f t="shared" ref="BQ70:CV70" si="38" xml:space="preserve"> BQ$68</f>
        <v>na</v>
      </c>
      <c r="BR70" s="82" t="str">
        <f t="shared" si="38"/>
        <v>na</v>
      </c>
      <c r="BS70" s="82" t="str">
        <f t="shared" si="38"/>
        <v>na</v>
      </c>
      <c r="BT70" s="82" t="str">
        <f t="shared" si="38"/>
        <v>na</v>
      </c>
      <c r="BU70" s="82" t="str">
        <f t="shared" si="38"/>
        <v>na</v>
      </c>
      <c r="BV70" s="82" t="str">
        <f t="shared" si="38"/>
        <v>na</v>
      </c>
      <c r="BW70" s="82" t="str">
        <f t="shared" si="38"/>
        <v>na</v>
      </c>
      <c r="BX70" s="82" t="str">
        <f t="shared" si="38"/>
        <v>na</v>
      </c>
      <c r="BY70" s="82" t="str">
        <f t="shared" si="38"/>
        <v>na</v>
      </c>
      <c r="BZ70" s="82" t="str">
        <f t="shared" si="38"/>
        <v>na</v>
      </c>
      <c r="CA70" s="82" t="str">
        <f t="shared" si="38"/>
        <v>na</v>
      </c>
      <c r="CB70" s="82" t="str">
        <f t="shared" si="38"/>
        <v>na</v>
      </c>
      <c r="CC70" s="82" t="str">
        <f t="shared" si="38"/>
        <v>na</v>
      </c>
      <c r="CD70" s="82" t="str">
        <f t="shared" si="38"/>
        <v>na</v>
      </c>
      <c r="CE70" s="82" t="str">
        <f t="shared" si="38"/>
        <v>na</v>
      </c>
      <c r="CF70" s="82" t="str">
        <f t="shared" si="38"/>
        <v>na</v>
      </c>
      <c r="CG70" s="82" t="str">
        <f t="shared" si="38"/>
        <v>na</v>
      </c>
      <c r="CH70" s="82" t="str">
        <f t="shared" si="38"/>
        <v>na</v>
      </c>
      <c r="CI70" s="82" t="str">
        <f t="shared" si="38"/>
        <v>na</v>
      </c>
      <c r="CJ70" s="82" t="str">
        <f t="shared" si="38"/>
        <v>na</v>
      </c>
      <c r="CK70" s="82" t="str">
        <f t="shared" si="38"/>
        <v>na</v>
      </c>
      <c r="CL70" s="82" t="str">
        <f t="shared" si="38"/>
        <v>na</v>
      </c>
      <c r="CM70" s="82" t="str">
        <f t="shared" si="38"/>
        <v>na</v>
      </c>
      <c r="CN70" s="82" t="str">
        <f t="shared" si="38"/>
        <v>na</v>
      </c>
      <c r="CO70" s="82" t="str">
        <f t="shared" si="38"/>
        <v>na</v>
      </c>
      <c r="CP70" s="82" t="str">
        <f t="shared" si="38"/>
        <v>na</v>
      </c>
      <c r="CQ70" s="82" t="str">
        <f t="shared" si="38"/>
        <v>na</v>
      </c>
      <c r="CR70" s="82" t="str">
        <f t="shared" si="38"/>
        <v>na</v>
      </c>
      <c r="CS70" s="82" t="str">
        <f t="shared" si="38"/>
        <v>na</v>
      </c>
      <c r="CT70" s="82" t="str">
        <f t="shared" si="38"/>
        <v>na</v>
      </c>
      <c r="CU70" s="82" t="str">
        <f t="shared" si="38"/>
        <v>na</v>
      </c>
      <c r="CV70" s="82" t="str">
        <f t="shared" si="38"/>
        <v>na</v>
      </c>
    </row>
    <row r="71" spans="1:100" s="188" customFormat="1" outlineLevel="1" x14ac:dyDescent="0.2">
      <c r="A71" s="141"/>
      <c r="B71" s="141"/>
      <c r="C71" s="142"/>
      <c r="D71" s="143"/>
      <c r="E71" s="187" t="s">
        <v>1143</v>
      </c>
      <c r="F71" s="411">
        <f xml:space="preserve"> MIN(J70:CV70)</f>
        <v>1.3999990581391102</v>
      </c>
      <c r="G71" s="187" t="s">
        <v>164</v>
      </c>
      <c r="H71" s="187"/>
      <c r="I71" s="144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11"/>
      <c r="Y71" s="411"/>
      <c r="Z71" s="411"/>
      <c r="AA71" s="411"/>
      <c r="AB71" s="411"/>
      <c r="AC71" s="411"/>
      <c r="AD71" s="411"/>
      <c r="AE71" s="411"/>
      <c r="AF71" s="411"/>
      <c r="AG71" s="411"/>
      <c r="AH71" s="411"/>
      <c r="AI71" s="411"/>
      <c r="AJ71" s="411"/>
      <c r="AK71" s="411"/>
      <c r="AL71" s="411"/>
      <c r="AM71" s="411"/>
      <c r="AN71" s="411"/>
      <c r="AO71" s="411"/>
      <c r="AP71" s="411"/>
      <c r="AQ71" s="411"/>
      <c r="AR71" s="411"/>
      <c r="AS71" s="411"/>
      <c r="AT71" s="411"/>
      <c r="AU71" s="411"/>
      <c r="AV71" s="411"/>
      <c r="AW71" s="411"/>
      <c r="AX71" s="411"/>
      <c r="AY71" s="411"/>
      <c r="AZ71" s="411"/>
      <c r="BA71" s="411"/>
      <c r="BB71" s="411"/>
      <c r="BC71" s="411"/>
      <c r="BD71" s="411"/>
      <c r="BE71" s="411"/>
      <c r="BF71" s="411"/>
      <c r="BG71" s="411"/>
      <c r="BH71" s="411"/>
      <c r="BI71" s="411"/>
      <c r="BJ71" s="411"/>
      <c r="BK71" s="411"/>
      <c r="BL71" s="411"/>
      <c r="BM71" s="411"/>
      <c r="BN71" s="411"/>
      <c r="BO71" s="411"/>
      <c r="BP71" s="411"/>
      <c r="BQ71" s="411"/>
      <c r="BR71" s="411"/>
      <c r="BS71" s="411"/>
      <c r="BT71" s="411"/>
      <c r="BU71" s="411"/>
      <c r="BV71" s="411"/>
      <c r="BW71" s="411"/>
      <c r="BX71" s="411"/>
      <c r="BY71" s="411"/>
      <c r="BZ71" s="411"/>
      <c r="CA71" s="411"/>
      <c r="CB71" s="411"/>
      <c r="CC71" s="411"/>
      <c r="CD71" s="411"/>
      <c r="CE71" s="411"/>
      <c r="CF71" s="411"/>
      <c r="CG71" s="411"/>
      <c r="CH71" s="411"/>
      <c r="CI71" s="411"/>
      <c r="CJ71" s="411"/>
      <c r="CK71" s="411"/>
      <c r="CL71" s="411"/>
      <c r="CM71" s="411"/>
      <c r="CN71" s="411"/>
      <c r="CO71" s="411"/>
      <c r="CP71" s="411"/>
      <c r="CQ71" s="411"/>
      <c r="CR71" s="411"/>
      <c r="CS71" s="411"/>
      <c r="CT71" s="411"/>
      <c r="CU71" s="411"/>
      <c r="CV71" s="411"/>
    </row>
    <row r="72" spans="1:100" s="188" customFormat="1" outlineLevel="1" x14ac:dyDescent="0.2">
      <c r="A72" s="141"/>
      <c r="B72" s="141"/>
      <c r="C72" s="142"/>
      <c r="D72" s="143"/>
      <c r="E72" s="187" t="s">
        <v>1144</v>
      </c>
      <c r="F72" s="411">
        <f xml:space="preserve"> AVERAGE(J70:CV70)</f>
        <v>1.3999998707491461</v>
      </c>
      <c r="G72" s="187" t="s">
        <v>164</v>
      </c>
      <c r="H72" s="187"/>
      <c r="I72" s="144"/>
      <c r="J72" s="411"/>
      <c r="K72" s="411"/>
      <c r="L72" s="411"/>
      <c r="M72" s="411"/>
      <c r="N72" s="411"/>
      <c r="O72" s="411"/>
      <c r="P72" s="411"/>
      <c r="Q72" s="411"/>
      <c r="R72" s="411"/>
      <c r="S72" s="411"/>
      <c r="T72" s="411"/>
      <c r="U72" s="411"/>
      <c r="V72" s="411"/>
      <c r="W72" s="411"/>
      <c r="X72" s="411"/>
      <c r="Y72" s="411"/>
      <c r="Z72" s="411"/>
      <c r="AA72" s="411"/>
      <c r="AB72" s="411"/>
      <c r="AC72" s="411"/>
      <c r="AD72" s="411"/>
      <c r="AE72" s="411"/>
      <c r="AF72" s="411"/>
      <c r="AG72" s="411"/>
      <c r="AH72" s="411"/>
      <c r="AI72" s="411"/>
      <c r="AJ72" s="411"/>
      <c r="AK72" s="411"/>
      <c r="AL72" s="411"/>
      <c r="AM72" s="411"/>
      <c r="AN72" s="411"/>
      <c r="AO72" s="411"/>
      <c r="AP72" s="411"/>
      <c r="AQ72" s="411"/>
      <c r="AR72" s="411"/>
      <c r="AS72" s="411"/>
      <c r="AT72" s="411"/>
      <c r="AU72" s="411"/>
      <c r="AV72" s="411"/>
      <c r="AW72" s="411"/>
      <c r="AX72" s="411"/>
      <c r="AY72" s="411"/>
      <c r="AZ72" s="411"/>
      <c r="BA72" s="411"/>
      <c r="BB72" s="411"/>
      <c r="BC72" s="411"/>
      <c r="BD72" s="411"/>
      <c r="BE72" s="411"/>
      <c r="BF72" s="411"/>
      <c r="BG72" s="411"/>
      <c r="BH72" s="411"/>
      <c r="BI72" s="411"/>
      <c r="BJ72" s="411"/>
      <c r="BK72" s="411"/>
      <c r="BL72" s="411"/>
      <c r="BM72" s="411"/>
      <c r="BN72" s="411"/>
      <c r="BO72" s="411"/>
      <c r="BP72" s="411"/>
      <c r="BQ72" s="411"/>
      <c r="BR72" s="411"/>
      <c r="BS72" s="411"/>
      <c r="BT72" s="411"/>
      <c r="BU72" s="411"/>
      <c r="BV72" s="411"/>
      <c r="BW72" s="411"/>
      <c r="BX72" s="411"/>
      <c r="BY72" s="411"/>
      <c r="BZ72" s="411"/>
      <c r="CA72" s="411"/>
      <c r="CB72" s="411"/>
      <c r="CC72" s="411"/>
      <c r="CD72" s="411"/>
      <c r="CE72" s="411"/>
      <c r="CF72" s="411"/>
      <c r="CG72" s="411"/>
      <c r="CH72" s="411"/>
      <c r="CI72" s="411"/>
      <c r="CJ72" s="411"/>
      <c r="CK72" s="411"/>
      <c r="CL72" s="411"/>
      <c r="CM72" s="411"/>
      <c r="CN72" s="411"/>
      <c r="CO72" s="411"/>
      <c r="CP72" s="411"/>
      <c r="CQ72" s="411"/>
      <c r="CR72" s="411"/>
      <c r="CS72" s="411"/>
      <c r="CT72" s="411"/>
      <c r="CU72" s="411"/>
      <c r="CV72" s="411"/>
    </row>
    <row r="73" spans="1:100" s="188" customFormat="1" outlineLevel="1" x14ac:dyDescent="0.2">
      <c r="A73" s="141"/>
      <c r="B73" s="141"/>
      <c r="C73" s="142"/>
      <c r="D73" s="143"/>
      <c r="E73" s="187"/>
      <c r="F73" s="411"/>
      <c r="G73" s="187"/>
      <c r="H73" s="187"/>
      <c r="I73" s="144"/>
      <c r="J73" s="411"/>
      <c r="K73" s="411"/>
      <c r="L73" s="411"/>
      <c r="M73" s="411"/>
      <c r="N73" s="411"/>
      <c r="O73" s="411"/>
      <c r="P73" s="411"/>
      <c r="Q73" s="411"/>
      <c r="R73" s="411"/>
      <c r="S73" s="411"/>
      <c r="T73" s="411"/>
      <c r="U73" s="411"/>
      <c r="V73" s="411"/>
      <c r="W73" s="411"/>
      <c r="X73" s="411"/>
      <c r="Y73" s="411"/>
      <c r="Z73" s="411"/>
      <c r="AA73" s="411"/>
      <c r="AB73" s="411"/>
      <c r="AC73" s="411"/>
      <c r="AD73" s="411"/>
      <c r="AE73" s="411"/>
      <c r="AF73" s="411"/>
      <c r="AG73" s="411"/>
      <c r="AH73" s="411"/>
      <c r="AI73" s="411"/>
      <c r="AJ73" s="411"/>
      <c r="AK73" s="411"/>
      <c r="AL73" s="411"/>
      <c r="AM73" s="411"/>
      <c r="AN73" s="411"/>
      <c r="AO73" s="411"/>
      <c r="AP73" s="411"/>
      <c r="AQ73" s="411"/>
      <c r="AR73" s="411"/>
      <c r="AS73" s="411"/>
      <c r="AT73" s="411"/>
      <c r="AU73" s="411"/>
      <c r="AV73" s="411"/>
      <c r="AW73" s="411"/>
      <c r="AX73" s="411"/>
      <c r="AY73" s="411"/>
      <c r="AZ73" s="411"/>
      <c r="BA73" s="411"/>
      <c r="BB73" s="411"/>
      <c r="BC73" s="411"/>
      <c r="BD73" s="411"/>
      <c r="BE73" s="411"/>
      <c r="BF73" s="411"/>
      <c r="BG73" s="411"/>
      <c r="BH73" s="411"/>
      <c r="BI73" s="411"/>
      <c r="BJ73" s="411"/>
      <c r="BK73" s="411"/>
      <c r="BL73" s="411"/>
      <c r="BM73" s="411"/>
      <c r="BN73" s="411"/>
      <c r="BO73" s="411"/>
      <c r="BP73" s="411"/>
      <c r="BQ73" s="411"/>
      <c r="BR73" s="411"/>
      <c r="BS73" s="411"/>
      <c r="BT73" s="411"/>
      <c r="BU73" s="411"/>
      <c r="BV73" s="411"/>
      <c r="BW73" s="411"/>
      <c r="BX73" s="411"/>
      <c r="BY73" s="411"/>
      <c r="BZ73" s="411"/>
      <c r="CA73" s="411"/>
      <c r="CB73" s="411"/>
      <c r="CC73" s="411"/>
      <c r="CD73" s="411"/>
      <c r="CE73" s="411"/>
      <c r="CF73" s="411"/>
      <c r="CG73" s="411"/>
      <c r="CH73" s="411"/>
      <c r="CI73" s="411"/>
      <c r="CJ73" s="411"/>
      <c r="CK73" s="411"/>
      <c r="CL73" s="411"/>
      <c r="CM73" s="411"/>
      <c r="CN73" s="411"/>
      <c r="CO73" s="411"/>
      <c r="CP73" s="411"/>
      <c r="CQ73" s="411"/>
      <c r="CR73" s="411"/>
      <c r="CS73" s="411"/>
      <c r="CT73" s="411"/>
      <c r="CU73" s="411"/>
      <c r="CV73" s="411"/>
    </row>
    <row r="74" spans="1:100" x14ac:dyDescent="0.2"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  <c r="BD74" s="82"/>
      <c r="BE74" s="82"/>
      <c r="BF74" s="82"/>
      <c r="BG74" s="82"/>
      <c r="BH74" s="82"/>
      <c r="BI74" s="82"/>
      <c r="BJ74" s="82"/>
      <c r="BK74" s="82"/>
      <c r="BL74" s="82"/>
      <c r="BM74" s="82"/>
      <c r="BN74" s="82"/>
      <c r="BO74" s="82"/>
      <c r="BP74" s="82"/>
      <c r="BQ74" s="82"/>
      <c r="BR74" s="82"/>
      <c r="BS74" s="82"/>
      <c r="BT74" s="82"/>
      <c r="BU74" s="82"/>
      <c r="BV74" s="82"/>
      <c r="BW74" s="82"/>
      <c r="BX74" s="82"/>
      <c r="BY74" s="82"/>
      <c r="BZ74" s="82"/>
      <c r="CA74" s="82"/>
      <c r="CB74" s="82"/>
      <c r="CC74" s="82"/>
      <c r="CD74" s="82"/>
      <c r="CE74" s="82"/>
      <c r="CF74" s="82"/>
      <c r="CG74" s="82"/>
      <c r="CH74" s="82"/>
      <c r="CI74" s="82"/>
      <c r="CJ74" s="82"/>
      <c r="CK74" s="82"/>
      <c r="CL74" s="82"/>
      <c r="CM74" s="82"/>
      <c r="CN74" s="82"/>
      <c r="CO74" s="82"/>
      <c r="CP74" s="82"/>
      <c r="CQ74" s="82"/>
      <c r="CR74" s="82"/>
      <c r="CS74" s="82"/>
      <c r="CT74" s="82"/>
      <c r="CU74" s="82"/>
      <c r="CV74" s="82"/>
    </row>
    <row r="75" spans="1:100" x14ac:dyDescent="0.2">
      <c r="A75" s="15" t="s">
        <v>384</v>
      </c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  <c r="AD75" s="82"/>
      <c r="AE75" s="82"/>
      <c r="AF75" s="82"/>
      <c r="AG75" s="82"/>
      <c r="AH75" s="82"/>
      <c r="AI75" s="82"/>
      <c r="AJ75" s="82"/>
      <c r="AK75" s="82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2"/>
      <c r="AW75" s="82"/>
      <c r="AX75" s="82"/>
      <c r="AY75" s="82"/>
      <c r="AZ75" s="82"/>
      <c r="BA75" s="82"/>
      <c r="BB75" s="82"/>
      <c r="BC75" s="82"/>
      <c r="BD75" s="82"/>
      <c r="BE75" s="82"/>
      <c r="BF75" s="82"/>
      <c r="BG75" s="82"/>
      <c r="BH75" s="82"/>
      <c r="BI75" s="82"/>
      <c r="BJ75" s="82"/>
      <c r="BK75" s="82"/>
      <c r="BL75" s="82"/>
      <c r="BM75" s="82"/>
      <c r="BN75" s="82"/>
      <c r="BO75" s="82"/>
      <c r="BP75" s="82"/>
      <c r="BQ75" s="82"/>
      <c r="BR75" s="82"/>
      <c r="BS75" s="82"/>
      <c r="BT75" s="82"/>
      <c r="BU75" s="82"/>
      <c r="BV75" s="82"/>
      <c r="BW75" s="82"/>
      <c r="BX75" s="82"/>
      <c r="BY75" s="82"/>
      <c r="BZ75" s="82"/>
      <c r="CA75" s="82"/>
      <c r="CB75" s="82"/>
      <c r="CC75" s="82"/>
      <c r="CD75" s="82"/>
      <c r="CE75" s="82"/>
      <c r="CF75" s="82"/>
      <c r="CG75" s="82"/>
      <c r="CH75" s="82"/>
      <c r="CI75" s="82"/>
      <c r="CJ75" s="82"/>
      <c r="CK75" s="82"/>
      <c r="CL75" s="82"/>
      <c r="CM75" s="82"/>
      <c r="CN75" s="82"/>
      <c r="CO75" s="82"/>
      <c r="CP75" s="82"/>
      <c r="CQ75" s="82"/>
      <c r="CR75" s="82"/>
      <c r="CS75" s="82"/>
      <c r="CT75" s="82"/>
      <c r="CU75" s="82"/>
      <c r="CV75" s="82"/>
    </row>
    <row r="76" spans="1:100" outlineLevel="1" x14ac:dyDescent="0.2"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2"/>
      <c r="AW76" s="82"/>
      <c r="AX76" s="82"/>
      <c r="AY76" s="82"/>
      <c r="AZ76" s="82"/>
      <c r="BA76" s="82"/>
      <c r="BB76" s="82"/>
      <c r="BC76" s="82"/>
      <c r="BD76" s="82"/>
      <c r="BE76" s="82"/>
      <c r="BF76" s="82"/>
      <c r="BG76" s="82"/>
      <c r="BH76" s="82"/>
      <c r="BI76" s="82"/>
      <c r="BJ76" s="82"/>
      <c r="BK76" s="82"/>
      <c r="BL76" s="82"/>
      <c r="BM76" s="82"/>
      <c r="BN76" s="82"/>
      <c r="BO76" s="82"/>
      <c r="BP76" s="82"/>
      <c r="BQ76" s="82"/>
      <c r="BR76" s="82"/>
      <c r="BS76" s="82"/>
      <c r="BT76" s="82"/>
      <c r="BU76" s="82"/>
      <c r="BV76" s="82"/>
      <c r="BW76" s="82"/>
      <c r="BX76" s="82"/>
      <c r="BY76" s="82"/>
      <c r="BZ76" s="82"/>
      <c r="CA76" s="82"/>
      <c r="CB76" s="82"/>
      <c r="CC76" s="82"/>
      <c r="CD76" s="82"/>
      <c r="CE76" s="82"/>
      <c r="CF76" s="82"/>
      <c r="CG76" s="82"/>
      <c r="CH76" s="82"/>
      <c r="CI76" s="82"/>
      <c r="CJ76" s="82"/>
      <c r="CK76" s="82"/>
      <c r="CL76" s="82"/>
      <c r="CM76" s="82"/>
      <c r="CN76" s="82"/>
      <c r="CO76" s="82"/>
      <c r="CP76" s="82"/>
      <c r="CQ76" s="82"/>
      <c r="CR76" s="82"/>
      <c r="CS76" s="82"/>
      <c r="CT76" s="82"/>
      <c r="CU76" s="82"/>
      <c r="CV76" s="82"/>
    </row>
    <row r="77" spans="1:100" s="495" customFormat="1" outlineLevel="1" x14ac:dyDescent="0.2">
      <c r="A77" s="75"/>
      <c r="B77" s="75"/>
      <c r="C77" s="76"/>
      <c r="D77" s="638"/>
      <c r="E77" s="578" t="str">
        <f xml:space="preserve"> DSRA!E$12</f>
        <v>Periods in a year</v>
      </c>
      <c r="F77" s="578">
        <f xml:space="preserve"> DSRA!F$12</f>
        <v>2</v>
      </c>
      <c r="G77" s="578" t="str">
        <f xml:space="preserve"> DSRA!G$12</f>
        <v>periods</v>
      </c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77"/>
      <c r="BS77" s="77"/>
      <c r="BT77" s="77"/>
      <c r="BU77" s="77"/>
      <c r="BV77" s="77"/>
      <c r="BW77" s="77"/>
      <c r="BX77" s="77"/>
      <c r="BY77" s="77"/>
      <c r="BZ77" s="77"/>
      <c r="CA77" s="77"/>
      <c r="CB77" s="77"/>
      <c r="CC77" s="77"/>
      <c r="CD77" s="77"/>
      <c r="CE77" s="77"/>
      <c r="CF77" s="77"/>
      <c r="CG77" s="77"/>
      <c r="CH77" s="77"/>
      <c r="CI77" s="77"/>
      <c r="CJ77" s="77"/>
      <c r="CK77" s="77"/>
      <c r="CL77" s="77"/>
      <c r="CM77" s="77"/>
      <c r="CN77" s="77"/>
      <c r="CO77" s="77"/>
      <c r="CP77" s="77"/>
      <c r="CQ77" s="77"/>
      <c r="CR77" s="77"/>
      <c r="CS77" s="77"/>
      <c r="CT77" s="77"/>
      <c r="CU77" s="77"/>
      <c r="CV77" s="77"/>
    </row>
    <row r="78" spans="1:100" s="495" customFormat="1" outlineLevel="1" x14ac:dyDescent="0.2">
      <c r="A78" s="75"/>
      <c r="B78" s="75"/>
      <c r="C78" s="76"/>
      <c r="D78" s="638"/>
      <c r="E78" s="576" t="str">
        <f xml:space="preserve"> Time!E$10</f>
        <v>Model column counter</v>
      </c>
      <c r="F78" s="576">
        <f xml:space="preserve"> Time!F$10</f>
        <v>0</v>
      </c>
      <c r="G78" s="576" t="str">
        <f xml:space="preserve"> Time!G$10</f>
        <v>counter</v>
      </c>
      <c r="H78" s="576">
        <f xml:space="preserve"> Time!H$10</f>
        <v>0</v>
      </c>
      <c r="I78" s="576">
        <f xml:space="preserve"> Time!I$10</f>
        <v>0</v>
      </c>
      <c r="J78" s="576">
        <f xml:space="preserve"> Time!J$10</f>
        <v>1</v>
      </c>
      <c r="K78" s="576">
        <f xml:space="preserve"> Time!K$10</f>
        <v>2</v>
      </c>
      <c r="L78" s="576">
        <f xml:space="preserve"> Time!L$10</f>
        <v>3</v>
      </c>
      <c r="M78" s="576">
        <f xml:space="preserve"> Time!M$10</f>
        <v>4</v>
      </c>
      <c r="N78" s="576">
        <f xml:space="preserve"> Time!N$10</f>
        <v>5</v>
      </c>
      <c r="O78" s="576">
        <f xml:space="preserve"> Time!O$10</f>
        <v>6</v>
      </c>
      <c r="P78" s="576">
        <f xml:space="preserve"> Time!P$10</f>
        <v>7</v>
      </c>
      <c r="Q78" s="576">
        <f xml:space="preserve"> Time!Q$10</f>
        <v>8</v>
      </c>
      <c r="R78" s="576">
        <f xml:space="preserve"> Time!R$10</f>
        <v>9</v>
      </c>
      <c r="S78" s="576">
        <f xml:space="preserve"> Time!S$10</f>
        <v>10</v>
      </c>
      <c r="T78" s="576">
        <f xml:space="preserve"> Time!T$10</f>
        <v>11</v>
      </c>
      <c r="U78" s="576">
        <f xml:space="preserve"> Time!U$10</f>
        <v>12</v>
      </c>
      <c r="V78" s="576">
        <f xml:space="preserve"> Time!V$10</f>
        <v>13</v>
      </c>
      <c r="W78" s="576">
        <f xml:space="preserve"> Time!W$10</f>
        <v>14</v>
      </c>
      <c r="X78" s="576">
        <f xml:space="preserve"> Time!X$10</f>
        <v>15</v>
      </c>
      <c r="Y78" s="576">
        <f xml:space="preserve"> Time!Y$10</f>
        <v>16</v>
      </c>
      <c r="Z78" s="576">
        <f xml:space="preserve"> Time!Z$10</f>
        <v>17</v>
      </c>
      <c r="AA78" s="576">
        <f xml:space="preserve"> Time!AA$10</f>
        <v>18</v>
      </c>
      <c r="AB78" s="576">
        <f xml:space="preserve"> Time!AB$10</f>
        <v>19</v>
      </c>
      <c r="AC78" s="576">
        <f xml:space="preserve"> Time!AC$10</f>
        <v>20</v>
      </c>
      <c r="AD78" s="576">
        <f xml:space="preserve"> Time!AD$10</f>
        <v>21</v>
      </c>
      <c r="AE78" s="576">
        <f xml:space="preserve"> Time!AE$10</f>
        <v>22</v>
      </c>
      <c r="AF78" s="576">
        <f xml:space="preserve"> Time!AF$10</f>
        <v>23</v>
      </c>
      <c r="AG78" s="576">
        <f xml:space="preserve"> Time!AG$10</f>
        <v>24</v>
      </c>
      <c r="AH78" s="576">
        <f xml:space="preserve"> Time!AH$10</f>
        <v>25</v>
      </c>
      <c r="AI78" s="576">
        <f xml:space="preserve"> Time!AI$10</f>
        <v>26</v>
      </c>
      <c r="AJ78" s="576">
        <f xml:space="preserve"> Time!AJ$10</f>
        <v>27</v>
      </c>
      <c r="AK78" s="576">
        <f xml:space="preserve"> Time!AK$10</f>
        <v>28</v>
      </c>
      <c r="AL78" s="576">
        <f xml:space="preserve"> Time!AL$10</f>
        <v>29</v>
      </c>
      <c r="AM78" s="576">
        <f xml:space="preserve"> Time!AM$10</f>
        <v>30</v>
      </c>
      <c r="AN78" s="576">
        <f xml:space="preserve"> Time!AN$10</f>
        <v>31</v>
      </c>
      <c r="AO78" s="576">
        <f xml:space="preserve"> Time!AO$10</f>
        <v>32</v>
      </c>
      <c r="AP78" s="576">
        <f xml:space="preserve"> Time!AP$10</f>
        <v>33</v>
      </c>
      <c r="AQ78" s="576">
        <f xml:space="preserve"> Time!AQ$10</f>
        <v>34</v>
      </c>
      <c r="AR78" s="576">
        <f xml:space="preserve"> Time!AR$10</f>
        <v>35</v>
      </c>
      <c r="AS78" s="576">
        <f xml:space="preserve"> Time!AS$10</f>
        <v>36</v>
      </c>
      <c r="AT78" s="576">
        <f xml:space="preserve"> Time!AT$10</f>
        <v>37</v>
      </c>
      <c r="AU78" s="576">
        <f xml:space="preserve"> Time!AU$10</f>
        <v>38</v>
      </c>
      <c r="AV78" s="576">
        <f xml:space="preserve"> Time!AV$10</f>
        <v>39</v>
      </c>
      <c r="AW78" s="576">
        <f xml:space="preserve"> Time!AW$10</f>
        <v>40</v>
      </c>
      <c r="AX78" s="576">
        <f xml:space="preserve"> Time!AX$10</f>
        <v>41</v>
      </c>
      <c r="AY78" s="576">
        <f xml:space="preserve"> Time!AY$10</f>
        <v>42</v>
      </c>
      <c r="AZ78" s="576">
        <f xml:space="preserve"> Time!AZ$10</f>
        <v>43</v>
      </c>
      <c r="BA78" s="576">
        <f xml:space="preserve"> Time!BA$10</f>
        <v>44</v>
      </c>
      <c r="BB78" s="576">
        <f xml:space="preserve"> Time!BB$10</f>
        <v>45</v>
      </c>
      <c r="BC78" s="576">
        <f xml:space="preserve"> Time!BC$10</f>
        <v>46</v>
      </c>
      <c r="BD78" s="576">
        <f xml:space="preserve"> Time!BD$10</f>
        <v>47</v>
      </c>
      <c r="BE78" s="576">
        <f xml:space="preserve"> Time!BE$10</f>
        <v>48</v>
      </c>
      <c r="BF78" s="576">
        <f xml:space="preserve"> Time!BF$10</f>
        <v>49</v>
      </c>
      <c r="BG78" s="576">
        <f xml:space="preserve"> Time!BG$10</f>
        <v>50</v>
      </c>
      <c r="BH78" s="576">
        <f xml:space="preserve"> Time!BH$10</f>
        <v>51</v>
      </c>
      <c r="BI78" s="576">
        <f xml:space="preserve"> Time!BI$10</f>
        <v>52</v>
      </c>
      <c r="BJ78" s="576">
        <f xml:space="preserve"> Time!BJ$10</f>
        <v>53</v>
      </c>
      <c r="BK78" s="576">
        <f xml:space="preserve"> Time!BK$10</f>
        <v>54</v>
      </c>
      <c r="BL78" s="576">
        <f xml:space="preserve"> Time!BL$10</f>
        <v>55</v>
      </c>
      <c r="BM78" s="576">
        <f xml:space="preserve"> Time!BM$10</f>
        <v>56</v>
      </c>
      <c r="BN78" s="576">
        <f xml:space="preserve"> Time!BN$10</f>
        <v>57</v>
      </c>
      <c r="BO78" s="576">
        <f xml:space="preserve"> Time!BO$10</f>
        <v>58</v>
      </c>
      <c r="BP78" s="576">
        <f xml:space="preserve"> Time!BP$10</f>
        <v>59</v>
      </c>
      <c r="BQ78" s="576">
        <f xml:space="preserve"> Time!BQ$10</f>
        <v>60</v>
      </c>
      <c r="BR78" s="576">
        <f xml:space="preserve"> Time!BR$10</f>
        <v>61</v>
      </c>
      <c r="BS78" s="576">
        <f xml:space="preserve"> Time!BS$10</f>
        <v>62</v>
      </c>
      <c r="BT78" s="576">
        <f xml:space="preserve"> Time!BT$10</f>
        <v>63</v>
      </c>
      <c r="BU78" s="576">
        <f xml:space="preserve"> Time!BU$10</f>
        <v>64</v>
      </c>
      <c r="BV78" s="576">
        <f xml:space="preserve"> Time!BV$10</f>
        <v>65</v>
      </c>
      <c r="BW78" s="576">
        <f xml:space="preserve"> Time!BW$10</f>
        <v>66</v>
      </c>
      <c r="BX78" s="576">
        <f xml:space="preserve"> Time!BX$10</f>
        <v>67</v>
      </c>
      <c r="BY78" s="576">
        <f xml:space="preserve"> Time!BY$10</f>
        <v>68</v>
      </c>
      <c r="BZ78" s="576">
        <f xml:space="preserve"> Time!BZ$10</f>
        <v>69</v>
      </c>
      <c r="CA78" s="576">
        <f xml:space="preserve"> Time!CA$10</f>
        <v>70</v>
      </c>
      <c r="CB78" s="576">
        <f xml:space="preserve"> Time!CB$10</f>
        <v>71</v>
      </c>
      <c r="CC78" s="576">
        <f xml:space="preserve"> Time!CC$10</f>
        <v>72</v>
      </c>
      <c r="CD78" s="576">
        <f xml:space="preserve"> Time!CD$10</f>
        <v>73</v>
      </c>
      <c r="CE78" s="576">
        <f xml:space="preserve"> Time!CE$10</f>
        <v>74</v>
      </c>
      <c r="CF78" s="576">
        <f xml:space="preserve"> Time!CF$10</f>
        <v>75</v>
      </c>
      <c r="CG78" s="576">
        <f xml:space="preserve"> Time!CG$10</f>
        <v>76</v>
      </c>
      <c r="CH78" s="576">
        <f xml:space="preserve"> Time!CH$10</f>
        <v>77</v>
      </c>
      <c r="CI78" s="576">
        <f xml:space="preserve"> Time!CI$10</f>
        <v>78</v>
      </c>
      <c r="CJ78" s="576">
        <f xml:space="preserve"> Time!CJ$10</f>
        <v>79</v>
      </c>
      <c r="CK78" s="576">
        <f xml:space="preserve"> Time!CK$10</f>
        <v>80</v>
      </c>
      <c r="CL78" s="576">
        <f xml:space="preserve"> Time!CL$10</f>
        <v>81</v>
      </c>
      <c r="CM78" s="576">
        <f xml:space="preserve"> Time!CM$10</f>
        <v>82</v>
      </c>
      <c r="CN78" s="576">
        <f xml:space="preserve"> Time!CN$10</f>
        <v>83</v>
      </c>
      <c r="CO78" s="576">
        <f xml:space="preserve"> Time!CO$10</f>
        <v>84</v>
      </c>
      <c r="CP78" s="576">
        <f xml:space="preserve"> Time!CP$10</f>
        <v>85</v>
      </c>
      <c r="CQ78" s="576">
        <f xml:space="preserve"> Time!CQ$10</f>
        <v>86</v>
      </c>
      <c r="CR78" s="576">
        <f xml:space="preserve"> Time!CR$10</f>
        <v>87</v>
      </c>
      <c r="CS78" s="576">
        <f xml:space="preserve"> Time!CS$10</f>
        <v>88</v>
      </c>
      <c r="CT78" s="576">
        <f xml:space="preserve"> Time!CT$10</f>
        <v>89</v>
      </c>
      <c r="CU78" s="576">
        <f xml:space="preserve"> Time!CU$10</f>
        <v>90</v>
      </c>
      <c r="CV78" s="576">
        <f xml:space="preserve"> Time!CV$10</f>
        <v>91</v>
      </c>
    </row>
    <row r="79" spans="1:100" s="495" customFormat="1" outlineLevel="1" x14ac:dyDescent="0.2">
      <c r="A79" s="75"/>
      <c r="B79" s="75"/>
      <c r="C79" s="76"/>
      <c r="D79" s="638"/>
      <c r="E79" s="77" t="str">
        <f xml:space="preserve"> Debt!E$369</f>
        <v>Senior debt service</v>
      </c>
      <c r="F79" s="77">
        <f xml:space="preserve"> Debt!F$369</f>
        <v>0</v>
      </c>
      <c r="G79" s="77" t="str">
        <f xml:space="preserve"> Debt!G$369</f>
        <v>$ 000s</v>
      </c>
      <c r="H79" s="77">
        <f xml:space="preserve"> Debt!H$369</f>
        <v>360041.89848376269</v>
      </c>
      <c r="I79" s="77">
        <f xml:space="preserve"> Debt!I$369</f>
        <v>0</v>
      </c>
      <c r="J79" s="77">
        <f xml:space="preserve"> Debt!J$369</f>
        <v>0</v>
      </c>
      <c r="K79" s="77">
        <f xml:space="preserve"> Debt!K$369</f>
        <v>0</v>
      </c>
      <c r="L79" s="77">
        <f xml:space="preserve"> Debt!L$369</f>
        <v>0</v>
      </c>
      <c r="M79" s="77">
        <f xml:space="preserve"> Debt!M$369</f>
        <v>0</v>
      </c>
      <c r="N79" s="77">
        <f xml:space="preserve"> Debt!N$369</f>
        <v>0</v>
      </c>
      <c r="O79" s="77">
        <f xml:space="preserve"> Debt!O$369</f>
        <v>12686.671356945051</v>
      </c>
      <c r="P79" s="77">
        <f xml:space="preserve"> Debt!P$369</f>
        <v>11219.578313619157</v>
      </c>
      <c r="Q79" s="77">
        <f xml:space="preserve"> Debt!Q$369</f>
        <v>11246.683026259163</v>
      </c>
      <c r="R79" s="77">
        <f xml:space="preserve"> Debt!R$369</f>
        <v>11134.906831418644</v>
      </c>
      <c r="S79" s="77">
        <f xml:space="preserve"> Debt!S$369</f>
        <v>11160.497290778691</v>
      </c>
      <c r="T79" s="77">
        <f xml:space="preserve"> Debt!T$369</f>
        <v>11049.147667919469</v>
      </c>
      <c r="U79" s="77">
        <f xml:space="preserve"> Debt!U$369</f>
        <v>11073.197450820346</v>
      </c>
      <c r="V79" s="77">
        <f xml:space="preserve"> Debt!V$369</f>
        <v>10977.313489020877</v>
      </c>
      <c r="W79" s="77">
        <f xml:space="preserve"> Debt!W$369</f>
        <v>10969.723974284556</v>
      </c>
      <c r="X79" s="77">
        <f xml:space="preserve"> Debt!X$369</f>
        <v>10874.27318110882</v>
      </c>
      <c r="Y79" s="77">
        <f xml:space="preserve"> Debt!Y$369</f>
        <v>10895.160171361602</v>
      </c>
      <c r="Z79" s="77">
        <f xml:space="preserve"> Debt!Z$369</f>
        <v>10785.110133328311</v>
      </c>
      <c r="AA79" s="77">
        <f xml:space="preserve"> Debt!AA$369</f>
        <v>10804.373888164411</v>
      </c>
      <c r="AB79" s="77">
        <f xml:space="preserve"> Debt!AB$369</f>
        <v>10694.76392796511</v>
      </c>
      <c r="AC79" s="77">
        <f xml:space="preserve"> Debt!AC$369</f>
        <v>10712.37579856183</v>
      </c>
      <c r="AD79" s="77">
        <f xml:space="preserve"> Debt!AD$369</f>
        <v>10617.752823814142</v>
      </c>
      <c r="AE79" s="77">
        <f xml:space="preserve"> Debt!AE$369</f>
        <v>10604.596909622556</v>
      </c>
      <c r="AF79" s="77">
        <f xml:space="preserve"> Debt!AF$369</f>
        <v>10510.421245766829</v>
      </c>
      <c r="AG79" s="77">
        <f xml:space="preserve"> Debt!AG$369</f>
        <v>10524.641040765775</v>
      </c>
      <c r="AH79" s="77">
        <f xml:space="preserve"> Debt!AH$369</f>
        <v>10416.373099274493</v>
      </c>
      <c r="AI79" s="77">
        <f xml:space="preserve"> Debt!AI$369</f>
        <v>10428.851504537852</v>
      </c>
      <c r="AJ79" s="77">
        <f xml:space="preserve"> Debt!AJ$369</f>
        <v>10321.038445702476</v>
      </c>
      <c r="AK79" s="77">
        <f xml:space="preserve"> Debt!AK$369</f>
        <v>10331.74438166013</v>
      </c>
      <c r="AL79" s="77">
        <f xml:space="preserve"> Debt!AL$369</f>
        <v>10238.413866724009</v>
      </c>
      <c r="AM79" s="77">
        <f xml:space="preserve"> Debt!AM$369</f>
        <v>10219.268154047048</v>
      </c>
      <c r="AN79" s="77">
        <f xml:space="preserve"> Debt!AN$369</f>
        <v>10126.400443477962</v>
      </c>
      <c r="AO79" s="77">
        <f xml:space="preserve"> Debt!AO$369</f>
        <v>10133.465715349392</v>
      </c>
      <c r="AP79" s="77">
        <f xml:space="preserve"> Debt!AP$369</f>
        <v>10027.041163247522</v>
      </c>
      <c r="AQ79" s="77">
        <f xml:space="preserve"> Debt!AQ$369</f>
        <v>10032.236926693096</v>
      </c>
      <c r="AR79" s="77">
        <f xml:space="preserve"> Debt!AR$369</f>
        <v>9926.2834676298662</v>
      </c>
      <c r="AS79" s="77">
        <f xml:space="preserve"> Debt!AS$369</f>
        <v>9929.5775194771086</v>
      </c>
      <c r="AT79" s="77">
        <f xml:space="preserve"> Debt!AT$369</f>
        <v>9837.5746264223908</v>
      </c>
      <c r="AU79" s="77">
        <f xml:space="preserve"> Debt!AU$369</f>
        <v>9811.9812368171188</v>
      </c>
      <c r="AV79" s="77">
        <f xml:space="preserve"> Debt!AV$369</f>
        <v>9720.4606172373533</v>
      </c>
      <c r="AW79" s="77">
        <f xml:space="preserve"> Debt!AW$369</f>
        <v>-2.024773110608092E-4</v>
      </c>
      <c r="AX79" s="77">
        <f xml:space="preserve"> Debt!AX$369</f>
        <v>-1.9917605055438296E-4</v>
      </c>
      <c r="AY79" s="77">
        <f xml:space="preserve"> Debt!AY$369</f>
        <v>-2.024773110608092E-4</v>
      </c>
      <c r="AZ79" s="77">
        <f xml:space="preserve"> Debt!AZ$369</f>
        <v>-1.9917605055438296E-4</v>
      </c>
      <c r="BA79" s="77">
        <f xml:space="preserve"> Debt!BA$369</f>
        <v>-2.024773110608092E-4</v>
      </c>
      <c r="BB79" s="77">
        <f xml:space="preserve"> Debt!BB$369</f>
        <v>-2.0027647072319173E-4</v>
      </c>
      <c r="BC79" s="77">
        <f xml:space="preserve"> Debt!BC$369</f>
        <v>0</v>
      </c>
      <c r="BD79" s="77">
        <f xml:space="preserve"> Debt!BD$369</f>
        <v>0</v>
      </c>
      <c r="BE79" s="77">
        <f xml:space="preserve"> Debt!BE$369</f>
        <v>0</v>
      </c>
      <c r="BF79" s="77">
        <f xml:space="preserve"> Debt!BF$369</f>
        <v>0</v>
      </c>
      <c r="BG79" s="77">
        <f xml:space="preserve"> Debt!BG$369</f>
        <v>0</v>
      </c>
      <c r="BH79" s="77">
        <f xml:space="preserve"> Debt!BH$369</f>
        <v>0</v>
      </c>
      <c r="BI79" s="77">
        <f xml:space="preserve"> Debt!BI$369</f>
        <v>0</v>
      </c>
      <c r="BJ79" s="77">
        <f xml:space="preserve"> Debt!BJ$369</f>
        <v>0</v>
      </c>
      <c r="BK79" s="77">
        <f xml:space="preserve"> Debt!BK$369</f>
        <v>0</v>
      </c>
      <c r="BL79" s="77">
        <f xml:space="preserve"> Debt!BL$369</f>
        <v>0</v>
      </c>
      <c r="BM79" s="77">
        <f xml:space="preserve"> Debt!BM$369</f>
        <v>0</v>
      </c>
      <c r="BN79" s="77">
        <f xml:space="preserve"> Debt!BN$369</f>
        <v>0</v>
      </c>
      <c r="BO79" s="77">
        <f xml:space="preserve"> Debt!BO$369</f>
        <v>0</v>
      </c>
      <c r="BP79" s="77">
        <f xml:space="preserve"> Debt!BP$369</f>
        <v>0</v>
      </c>
      <c r="BQ79" s="77">
        <f xml:space="preserve"> Debt!BQ$369</f>
        <v>0</v>
      </c>
      <c r="BR79" s="77">
        <f xml:space="preserve"> Debt!BR$369</f>
        <v>0</v>
      </c>
      <c r="BS79" s="77">
        <f xml:space="preserve"> Debt!BS$369</f>
        <v>0</v>
      </c>
      <c r="BT79" s="77">
        <f xml:space="preserve"> Debt!BT$369</f>
        <v>0</v>
      </c>
      <c r="BU79" s="77">
        <f xml:space="preserve"> Debt!BU$369</f>
        <v>0</v>
      </c>
      <c r="BV79" s="77">
        <f xml:space="preserve"> Debt!BV$369</f>
        <v>0</v>
      </c>
      <c r="BW79" s="77">
        <f xml:space="preserve"> Debt!BW$369</f>
        <v>0</v>
      </c>
      <c r="BX79" s="77">
        <f xml:space="preserve"> Debt!BX$369</f>
        <v>0</v>
      </c>
      <c r="BY79" s="77">
        <f xml:space="preserve"> Debt!BY$369</f>
        <v>0</v>
      </c>
      <c r="BZ79" s="77">
        <f xml:space="preserve"> Debt!BZ$369</f>
        <v>0</v>
      </c>
      <c r="CA79" s="77">
        <f xml:space="preserve"> Debt!CA$369</f>
        <v>0</v>
      </c>
      <c r="CB79" s="77">
        <f xml:space="preserve"> Debt!CB$369</f>
        <v>0</v>
      </c>
      <c r="CC79" s="77">
        <f xml:space="preserve"> Debt!CC$369</f>
        <v>0</v>
      </c>
      <c r="CD79" s="77">
        <f xml:space="preserve"> Debt!CD$369</f>
        <v>0</v>
      </c>
      <c r="CE79" s="77">
        <f xml:space="preserve"> Debt!CE$369</f>
        <v>0</v>
      </c>
      <c r="CF79" s="77">
        <f xml:space="preserve"> Debt!CF$369</f>
        <v>0</v>
      </c>
      <c r="CG79" s="77">
        <f xml:space="preserve"> Debt!CG$369</f>
        <v>0</v>
      </c>
      <c r="CH79" s="77">
        <f xml:space="preserve"> Debt!CH$369</f>
        <v>0</v>
      </c>
      <c r="CI79" s="77">
        <f xml:space="preserve"> Debt!CI$369</f>
        <v>0</v>
      </c>
      <c r="CJ79" s="77">
        <f xml:space="preserve"> Debt!CJ$369</f>
        <v>0</v>
      </c>
      <c r="CK79" s="77">
        <f xml:space="preserve"> Debt!CK$369</f>
        <v>0</v>
      </c>
      <c r="CL79" s="77">
        <f xml:space="preserve"> Debt!CL$369</f>
        <v>0</v>
      </c>
      <c r="CM79" s="77">
        <f xml:space="preserve"> Debt!CM$369</f>
        <v>0</v>
      </c>
      <c r="CN79" s="77">
        <f xml:space="preserve"> Debt!CN$369</f>
        <v>0</v>
      </c>
      <c r="CO79" s="77">
        <f xml:space="preserve"> Debt!CO$369</f>
        <v>0</v>
      </c>
      <c r="CP79" s="77">
        <f xml:space="preserve"> Debt!CP$369</f>
        <v>0</v>
      </c>
      <c r="CQ79" s="77">
        <f xml:space="preserve"> Debt!CQ$369</f>
        <v>0</v>
      </c>
      <c r="CR79" s="77">
        <f xml:space="preserve"> Debt!CR$369</f>
        <v>0</v>
      </c>
      <c r="CS79" s="77">
        <f xml:space="preserve"> Debt!CS$369</f>
        <v>0</v>
      </c>
      <c r="CT79" s="77">
        <f xml:space="preserve"> Debt!CT$369</f>
        <v>0</v>
      </c>
      <c r="CU79" s="77">
        <f xml:space="preserve"> Debt!CU$369</f>
        <v>0</v>
      </c>
      <c r="CV79" s="77">
        <f xml:space="preserve"> Debt!CV$369</f>
        <v>0</v>
      </c>
    </row>
    <row r="80" spans="1:100" outlineLevel="1" x14ac:dyDescent="0.2">
      <c r="A80" s="85"/>
      <c r="B80" s="85"/>
      <c r="C80" s="86"/>
      <c r="D80" s="87"/>
      <c r="E80" s="189" t="str">
        <f xml:space="preserve"> Time!E$214</f>
        <v>Senior debt repayment period flag</v>
      </c>
      <c r="F80" s="189">
        <f xml:space="preserve"> Time!F$214</f>
        <v>0</v>
      </c>
      <c r="G80" s="189" t="str">
        <f xml:space="preserve"> Time!G$214</f>
        <v>flag</v>
      </c>
      <c r="H80" s="189">
        <f xml:space="preserve"> Time!H$214</f>
        <v>34</v>
      </c>
      <c r="I80" s="189">
        <f xml:space="preserve"> Time!I$214</f>
        <v>0</v>
      </c>
      <c r="J80" s="189">
        <f xml:space="preserve"> Time!J$214</f>
        <v>0</v>
      </c>
      <c r="K80" s="189">
        <f xml:space="preserve"> Time!K$214</f>
        <v>0</v>
      </c>
      <c r="L80" s="189">
        <f xml:space="preserve"> Time!L$214</f>
        <v>0</v>
      </c>
      <c r="M80" s="189">
        <f xml:space="preserve"> Time!M$214</f>
        <v>0</v>
      </c>
      <c r="N80" s="189">
        <f xml:space="preserve"> Time!N$214</f>
        <v>0</v>
      </c>
      <c r="O80" s="189">
        <f xml:space="preserve"> Time!O$214</f>
        <v>1</v>
      </c>
      <c r="P80" s="189">
        <f xml:space="preserve"> Time!P$214</f>
        <v>1</v>
      </c>
      <c r="Q80" s="189">
        <f xml:space="preserve"> Time!Q$214</f>
        <v>1</v>
      </c>
      <c r="R80" s="189">
        <f xml:space="preserve"> Time!R$214</f>
        <v>1</v>
      </c>
      <c r="S80" s="189">
        <f xml:space="preserve"> Time!S$214</f>
        <v>1</v>
      </c>
      <c r="T80" s="189">
        <f xml:space="preserve"> Time!T$214</f>
        <v>1</v>
      </c>
      <c r="U80" s="189">
        <f xml:space="preserve"> Time!U$214</f>
        <v>1</v>
      </c>
      <c r="V80" s="189">
        <f xml:space="preserve"> Time!V$214</f>
        <v>1</v>
      </c>
      <c r="W80" s="189">
        <f xml:space="preserve"> Time!W$214</f>
        <v>1</v>
      </c>
      <c r="X80" s="189">
        <f xml:space="preserve"> Time!X$214</f>
        <v>1</v>
      </c>
      <c r="Y80" s="189">
        <f xml:space="preserve"> Time!Y$214</f>
        <v>1</v>
      </c>
      <c r="Z80" s="189">
        <f xml:space="preserve"> Time!Z$214</f>
        <v>1</v>
      </c>
      <c r="AA80" s="189">
        <f xml:space="preserve"> Time!AA$214</f>
        <v>1</v>
      </c>
      <c r="AB80" s="189">
        <f xml:space="preserve"> Time!AB$214</f>
        <v>1</v>
      </c>
      <c r="AC80" s="189">
        <f xml:space="preserve"> Time!AC$214</f>
        <v>1</v>
      </c>
      <c r="AD80" s="189">
        <f xml:space="preserve"> Time!AD$214</f>
        <v>1</v>
      </c>
      <c r="AE80" s="189">
        <f xml:space="preserve"> Time!AE$214</f>
        <v>1</v>
      </c>
      <c r="AF80" s="189">
        <f xml:space="preserve"> Time!AF$214</f>
        <v>1</v>
      </c>
      <c r="AG80" s="189">
        <f xml:space="preserve"> Time!AG$214</f>
        <v>1</v>
      </c>
      <c r="AH80" s="189">
        <f xml:space="preserve"> Time!AH$214</f>
        <v>1</v>
      </c>
      <c r="AI80" s="189">
        <f xml:space="preserve"> Time!AI$214</f>
        <v>1</v>
      </c>
      <c r="AJ80" s="189">
        <f xml:space="preserve"> Time!AJ$214</f>
        <v>1</v>
      </c>
      <c r="AK80" s="189">
        <f xml:space="preserve"> Time!AK$214</f>
        <v>1</v>
      </c>
      <c r="AL80" s="189">
        <f xml:space="preserve"> Time!AL$214</f>
        <v>1</v>
      </c>
      <c r="AM80" s="189">
        <f xml:space="preserve"> Time!AM$214</f>
        <v>1</v>
      </c>
      <c r="AN80" s="189">
        <f xml:space="preserve"> Time!AN$214</f>
        <v>1</v>
      </c>
      <c r="AO80" s="189">
        <f xml:space="preserve"> Time!AO$214</f>
        <v>1</v>
      </c>
      <c r="AP80" s="189">
        <f xml:space="preserve"> Time!AP$214</f>
        <v>1</v>
      </c>
      <c r="AQ80" s="189">
        <f xml:space="preserve"> Time!AQ$214</f>
        <v>1</v>
      </c>
      <c r="AR80" s="189">
        <f xml:space="preserve"> Time!AR$214</f>
        <v>1</v>
      </c>
      <c r="AS80" s="189">
        <f xml:space="preserve"> Time!AS$214</f>
        <v>1</v>
      </c>
      <c r="AT80" s="189">
        <f xml:space="preserve"> Time!AT$214</f>
        <v>1</v>
      </c>
      <c r="AU80" s="189">
        <f xml:space="preserve"> Time!AU$214</f>
        <v>1</v>
      </c>
      <c r="AV80" s="189">
        <f xml:space="preserve"> Time!AV$214</f>
        <v>1</v>
      </c>
      <c r="AW80" s="189">
        <f xml:space="preserve"> Time!AW$214</f>
        <v>0</v>
      </c>
      <c r="AX80" s="189">
        <f xml:space="preserve"> Time!AX$214</f>
        <v>0</v>
      </c>
      <c r="AY80" s="189">
        <f xml:space="preserve"> Time!AY$214</f>
        <v>0</v>
      </c>
      <c r="AZ80" s="189">
        <f xml:space="preserve"> Time!AZ$214</f>
        <v>0</v>
      </c>
      <c r="BA80" s="189">
        <f xml:space="preserve"> Time!BA$214</f>
        <v>0</v>
      </c>
      <c r="BB80" s="189">
        <f xml:space="preserve"> Time!BB$214</f>
        <v>0</v>
      </c>
      <c r="BC80" s="189">
        <f xml:space="preserve"> Time!BC$214</f>
        <v>0</v>
      </c>
      <c r="BD80" s="189">
        <f xml:space="preserve"> Time!BD$214</f>
        <v>0</v>
      </c>
      <c r="BE80" s="189">
        <f xml:space="preserve"> Time!BE$214</f>
        <v>0</v>
      </c>
      <c r="BF80" s="189">
        <f xml:space="preserve"> Time!BF$214</f>
        <v>0</v>
      </c>
      <c r="BG80" s="189">
        <f xml:space="preserve"> Time!BG$214</f>
        <v>0</v>
      </c>
      <c r="BH80" s="189">
        <f xml:space="preserve"> Time!BH$214</f>
        <v>0</v>
      </c>
      <c r="BI80" s="189">
        <f xml:space="preserve"> Time!BI$214</f>
        <v>0</v>
      </c>
      <c r="BJ80" s="189">
        <f xml:space="preserve"> Time!BJ$214</f>
        <v>0</v>
      </c>
      <c r="BK80" s="189">
        <f xml:space="preserve"> Time!BK$214</f>
        <v>0</v>
      </c>
      <c r="BL80" s="189">
        <f xml:space="preserve"> Time!BL$214</f>
        <v>0</v>
      </c>
      <c r="BM80" s="189">
        <f xml:space="preserve"> Time!BM$214</f>
        <v>0</v>
      </c>
      <c r="BN80" s="189">
        <f xml:space="preserve"> Time!BN$214</f>
        <v>0</v>
      </c>
      <c r="BO80" s="189">
        <f xml:space="preserve"> Time!BO$214</f>
        <v>0</v>
      </c>
      <c r="BP80" s="189">
        <f xml:space="preserve"> Time!BP$214</f>
        <v>0</v>
      </c>
      <c r="BQ80" s="189">
        <f xml:space="preserve"> Time!BQ$214</f>
        <v>0</v>
      </c>
      <c r="BR80" s="189">
        <f xml:space="preserve"> Time!BR$214</f>
        <v>0</v>
      </c>
      <c r="BS80" s="189">
        <f xml:space="preserve"> Time!BS$214</f>
        <v>0</v>
      </c>
      <c r="BT80" s="189">
        <f xml:space="preserve"> Time!BT$214</f>
        <v>0</v>
      </c>
      <c r="BU80" s="189">
        <f xml:space="preserve"> Time!BU$214</f>
        <v>0</v>
      </c>
      <c r="BV80" s="189">
        <f xml:space="preserve"> Time!BV$214</f>
        <v>0</v>
      </c>
      <c r="BW80" s="189">
        <f xml:space="preserve"> Time!BW$214</f>
        <v>0</v>
      </c>
      <c r="BX80" s="189">
        <f xml:space="preserve"> Time!BX$214</f>
        <v>0</v>
      </c>
      <c r="BY80" s="189">
        <f xml:space="preserve"> Time!BY$214</f>
        <v>0</v>
      </c>
      <c r="BZ80" s="189">
        <f xml:space="preserve"> Time!BZ$214</f>
        <v>0</v>
      </c>
      <c r="CA80" s="189">
        <f xml:space="preserve"> Time!CA$214</f>
        <v>0</v>
      </c>
      <c r="CB80" s="189">
        <f xml:space="preserve"> Time!CB$214</f>
        <v>0</v>
      </c>
      <c r="CC80" s="189">
        <f xml:space="preserve"> Time!CC$214</f>
        <v>0</v>
      </c>
      <c r="CD80" s="189">
        <f xml:space="preserve"> Time!CD$214</f>
        <v>0</v>
      </c>
      <c r="CE80" s="189">
        <f xml:space="preserve"> Time!CE$214</f>
        <v>0</v>
      </c>
      <c r="CF80" s="189">
        <f xml:space="preserve"> Time!CF$214</f>
        <v>0</v>
      </c>
      <c r="CG80" s="189">
        <f xml:space="preserve"> Time!CG$214</f>
        <v>0</v>
      </c>
      <c r="CH80" s="189">
        <f xml:space="preserve"> Time!CH$214</f>
        <v>0</v>
      </c>
      <c r="CI80" s="189">
        <f xml:space="preserve"> Time!CI$214</f>
        <v>0</v>
      </c>
      <c r="CJ80" s="189">
        <f xml:space="preserve"> Time!CJ$214</f>
        <v>0</v>
      </c>
      <c r="CK80" s="189">
        <f xml:space="preserve"> Time!CK$214</f>
        <v>0</v>
      </c>
      <c r="CL80" s="189">
        <f xml:space="preserve"> Time!CL$214</f>
        <v>0</v>
      </c>
      <c r="CM80" s="189">
        <f xml:space="preserve"> Time!CM$214</f>
        <v>0</v>
      </c>
      <c r="CN80" s="189">
        <f xml:space="preserve"> Time!CN$214</f>
        <v>0</v>
      </c>
      <c r="CO80" s="189">
        <f xml:space="preserve"> Time!CO$214</f>
        <v>0</v>
      </c>
      <c r="CP80" s="189">
        <f xml:space="preserve"> Time!CP$214</f>
        <v>0</v>
      </c>
      <c r="CQ80" s="189">
        <f xml:space="preserve"> Time!CQ$214</f>
        <v>0</v>
      </c>
      <c r="CR80" s="189">
        <f xml:space="preserve"> Time!CR$214</f>
        <v>0</v>
      </c>
      <c r="CS80" s="189">
        <f xml:space="preserve"> Time!CS$214</f>
        <v>0</v>
      </c>
      <c r="CT80" s="189">
        <f xml:space="preserve"> Time!CT$214</f>
        <v>0</v>
      </c>
      <c r="CU80" s="189">
        <f xml:space="preserve"> Time!CU$214</f>
        <v>0</v>
      </c>
      <c r="CV80" s="189">
        <f xml:space="preserve"> Time!CV$214</f>
        <v>0</v>
      </c>
    </row>
    <row r="81" spans="1:100" outlineLevel="1" x14ac:dyDescent="0.2">
      <c r="A81" s="33"/>
      <c r="B81" s="79"/>
      <c r="C81" s="561"/>
      <c r="D81" s="60"/>
      <c r="E81" s="32" t="s">
        <v>385</v>
      </c>
      <c r="F81" s="32"/>
      <c r="G81" s="32" t="str">
        <f xml:space="preserve"> SMU</f>
        <v>$ 000s</v>
      </c>
      <c r="H81" s="32"/>
      <c r="I81" s="32"/>
      <c r="J81" s="32">
        <f>SUMIFS( $J79:J79, $J78:J78, "&gt;=" &amp; J78 - $F77 + 1, $J78:J78, "&lt;=" &amp; J78) * J80</f>
        <v>0</v>
      </c>
      <c r="K81" s="32">
        <f>SUMIFS( $J79:K79, $J78:K78, "&gt;=" &amp; K78 - $F77 + 1, $J78:K78, "&lt;=" &amp; K78) * K80</f>
        <v>0</v>
      </c>
      <c r="L81" s="32">
        <f>SUMIFS( $J79:L79, $J78:L78, "&gt;=" &amp; L78 - $F77 + 1, $J78:L78, "&lt;=" &amp; L78) * L80</f>
        <v>0</v>
      </c>
      <c r="M81" s="32">
        <f>SUMIFS( $J79:M79, $J78:M78, "&gt;=" &amp; M78 - $F77 + 1, $J78:M78, "&lt;=" &amp; M78) * M80</f>
        <v>0</v>
      </c>
      <c r="N81" s="32">
        <f>SUMIFS( $J79:N79, $J78:N78, "&gt;=" &amp; N78 - $F77 + 1, $J78:N78, "&lt;=" &amp; N78) * N80</f>
        <v>0</v>
      </c>
      <c r="O81" s="32">
        <f>SUMIFS( $J79:O79, $J78:O78, "&gt;=" &amp; O78 - $F77 + 1, $J78:O78, "&lt;=" &amp; O78) * O80</f>
        <v>12686.671356945051</v>
      </c>
      <c r="P81" s="32">
        <f>SUMIFS( $J79:P79, $J78:P78, "&gt;=" &amp; P78 - $F77 + 1, $J78:P78, "&lt;=" &amp; P78) * P80</f>
        <v>23906.249670564208</v>
      </c>
      <c r="Q81" s="32">
        <f>SUMIFS( $J79:Q79, $J78:Q78, "&gt;=" &amp; Q78 - $F77 + 1, $J78:Q78, "&lt;=" &amp; Q78) * Q80</f>
        <v>22466.261339878321</v>
      </c>
      <c r="R81" s="32">
        <f>SUMIFS( $J79:R79, $J78:R78, "&gt;=" &amp; R78 - $F77 + 1, $J78:R78, "&lt;=" &amp; R78) * R80</f>
        <v>22381.589857677805</v>
      </c>
      <c r="S81" s="32">
        <f>SUMIFS( $J79:S79, $J78:S78, "&gt;=" &amp; S78 - $F77 + 1, $J78:S78, "&lt;=" &amp; S78) * S80</f>
        <v>22295.404122197335</v>
      </c>
      <c r="T81" s="32">
        <f>SUMIFS( $J79:T79, $J78:T78, "&gt;=" &amp; T78 - $F77 + 1, $J78:T78, "&lt;=" &amp; T78) * T80</f>
        <v>22209.644958698162</v>
      </c>
      <c r="U81" s="32">
        <f>SUMIFS( $J79:U79, $J78:U78, "&gt;=" &amp; U78 - $F77 + 1, $J78:U78, "&lt;=" &amp; U78) * U80</f>
        <v>22122.345118739817</v>
      </c>
      <c r="V81" s="32">
        <f>SUMIFS( $J79:V79, $J78:V78, "&gt;=" &amp; V78 - $F77 + 1, $J78:V78, "&lt;=" &amp; V78) * V80</f>
        <v>22050.510939841224</v>
      </c>
      <c r="W81" s="32">
        <f>SUMIFS( $J79:W79, $J78:W78, "&gt;=" &amp; W78 - $F77 + 1, $J78:W78, "&lt;=" &amp; W78) * W80</f>
        <v>21947.037463305431</v>
      </c>
      <c r="X81" s="32">
        <f>SUMIFS( $J79:X79, $J78:X78, "&gt;=" &amp; X78 - $F77 + 1, $J78:X78, "&lt;=" &amp; X78) * X80</f>
        <v>21843.997155393376</v>
      </c>
      <c r="Y81" s="32">
        <f>SUMIFS( $J79:Y79, $J78:Y78, "&gt;=" &amp; Y78 - $F77 + 1, $J78:Y78, "&lt;=" &amp; Y78) * Y80</f>
        <v>21769.43335247042</v>
      </c>
      <c r="Z81" s="32">
        <f>SUMIFS( $J79:Z79, $J78:Z78, "&gt;=" &amp; Z78 - $F77 + 1, $J78:Z78, "&lt;=" &amp; Z78) * Z80</f>
        <v>21680.270304689911</v>
      </c>
      <c r="AA81" s="32">
        <f>SUMIFS( $J79:AA79, $J78:AA78, "&gt;=" &amp; AA78 - $F77 + 1, $J78:AA78, "&lt;=" &amp; AA78) * AA80</f>
        <v>21589.484021492724</v>
      </c>
      <c r="AB81" s="32">
        <f>SUMIFS( $J79:AB79, $J78:AB78, "&gt;=" &amp; AB78 - $F77 + 1, $J78:AB78, "&lt;=" &amp; AB78) * AB80</f>
        <v>21499.137816129522</v>
      </c>
      <c r="AC81" s="32">
        <f>SUMIFS( $J79:AC79, $J78:AC78, "&gt;=" &amp; AC78 - $F77 + 1, $J78:AC78, "&lt;=" &amp; AC78) * AC80</f>
        <v>21407.139726526941</v>
      </c>
      <c r="AD81" s="32">
        <f>SUMIFS( $J79:AD79, $J78:AD78, "&gt;=" &amp; AD78 - $F77 + 1, $J78:AD78, "&lt;=" &amp; AD78) * AD80</f>
        <v>21330.128622375974</v>
      </c>
      <c r="AE81" s="32">
        <f>SUMIFS( $J79:AE79, $J78:AE78, "&gt;=" &amp; AE78 - $F77 + 1, $J78:AE78, "&lt;=" &amp; AE78) * AE80</f>
        <v>21222.349733436698</v>
      </c>
      <c r="AF81" s="32">
        <f>SUMIFS( $J79:AF79, $J78:AF78, "&gt;=" &amp; AF78 - $F77 + 1, $J78:AF78, "&lt;=" &amp; AF78) * AF80</f>
        <v>21115.018155389385</v>
      </c>
      <c r="AG81" s="32">
        <f>SUMIFS( $J79:AG79, $J78:AG78, "&gt;=" &amp; AG78 - $F77 + 1, $J78:AG78, "&lt;=" &amp; AG78) * AG80</f>
        <v>21035.062286532604</v>
      </c>
      <c r="AH81" s="32">
        <f>SUMIFS( $J79:AH79, $J78:AH78, "&gt;=" &amp; AH78 - $F77 + 1, $J78:AH78, "&lt;=" &amp; AH78) * AH80</f>
        <v>20941.014140040268</v>
      </c>
      <c r="AI81" s="32">
        <f>SUMIFS( $J79:AI79, $J78:AI78, "&gt;=" &amp; AI78 - $F77 + 1, $J78:AI78, "&lt;=" &amp; AI78) * AI80</f>
        <v>20845.224603812345</v>
      </c>
      <c r="AJ81" s="32">
        <f>SUMIFS( $J79:AJ79, $J78:AJ78, "&gt;=" &amp; AJ78 - $F77 + 1, $J78:AJ78, "&lt;=" &amp; AJ78) * AJ80</f>
        <v>20749.889950240329</v>
      </c>
      <c r="AK81" s="32">
        <f>SUMIFS( $J79:AK79, $J78:AK78, "&gt;=" &amp; AK78 - $F77 + 1, $J78:AK78, "&lt;=" &amp; AK78) * AK80</f>
        <v>20652.782827362607</v>
      </c>
      <c r="AL81" s="32">
        <f>SUMIFS( $J79:AL79, $J78:AL78, "&gt;=" &amp; AL78 - $F77 + 1, $J78:AL78, "&lt;=" &amp; AL78) * AL80</f>
        <v>20570.158248384141</v>
      </c>
      <c r="AM81" s="32">
        <f>SUMIFS( $J79:AM79, $J78:AM78, "&gt;=" &amp; AM78 - $F77 + 1, $J78:AM78, "&lt;=" &amp; AM78) * AM80</f>
        <v>20457.682020771055</v>
      </c>
      <c r="AN81" s="32">
        <f>SUMIFS( $J79:AN79, $J78:AN78, "&gt;=" &amp; AN78 - $F77 + 1, $J78:AN78, "&lt;=" &amp; AN78) * AN80</f>
        <v>20345.668597525007</v>
      </c>
      <c r="AO81" s="32">
        <f>SUMIFS( $J79:AO79, $J78:AO78, "&gt;=" &amp; AO78 - $F77 + 1, $J78:AO78, "&lt;=" &amp; AO78) * AO80</f>
        <v>20259.866158827354</v>
      </c>
      <c r="AP81" s="32">
        <f>SUMIFS( $J79:AP79, $J78:AP78, "&gt;=" &amp; AP78 - $F77 + 1, $J78:AP78, "&lt;=" &amp; AP78) * AP80</f>
        <v>20160.506878596912</v>
      </c>
      <c r="AQ81" s="32">
        <f>SUMIFS( $J79:AQ79, $J78:AQ78, "&gt;=" &amp; AQ78 - $F77 + 1, $J78:AQ78, "&lt;=" &amp; AQ78) * AQ80</f>
        <v>20059.278089940621</v>
      </c>
      <c r="AR81" s="32">
        <f>SUMIFS( $J79:AR79, $J78:AR78, "&gt;=" &amp; AR78 - $F77 + 1, $J78:AR78, "&lt;=" &amp; AR78) * AR80</f>
        <v>19958.520394322964</v>
      </c>
      <c r="AS81" s="32">
        <f>SUMIFS( $J79:AS79, $J78:AS78, "&gt;=" &amp; AS78 - $F77 + 1, $J78:AS78, "&lt;=" &amp; AS78) * AS80</f>
        <v>19855.860987106975</v>
      </c>
      <c r="AT81" s="32">
        <f>SUMIFS( $J79:AT79, $J78:AT78, "&gt;=" &amp; AT78 - $F77 + 1, $J78:AT78, "&lt;=" &amp; AT78) * AT80</f>
        <v>19767.152145899498</v>
      </c>
      <c r="AU81" s="32">
        <f>SUMIFS( $J79:AU79, $J78:AU78, "&gt;=" &amp; AU78 - $F77 + 1, $J78:AU78, "&lt;=" &amp; AU78) * AU80</f>
        <v>19649.555863239511</v>
      </c>
      <c r="AV81" s="32">
        <f>SUMIFS( $J79:AV79, $J78:AV78, "&gt;=" &amp; AV78 - $F77 + 1, $J78:AV78, "&lt;=" &amp; AV78) * AV80</f>
        <v>19532.441854054472</v>
      </c>
      <c r="AW81" s="32">
        <f>SUMIFS( $J79:AW79, $J78:AW78, "&gt;=" &amp; AW78 - $F77 + 1, $J78:AW78, "&lt;=" &amp; AW78) * AW80</f>
        <v>0</v>
      </c>
      <c r="AX81" s="32">
        <f>SUMIFS( $J79:AX79, $J78:AX78, "&gt;=" &amp; AX78 - $F77 + 1, $J78:AX78, "&lt;=" &amp; AX78) * AX80</f>
        <v>0</v>
      </c>
      <c r="AY81" s="32">
        <f>SUMIFS( $J79:AY79, $J78:AY78, "&gt;=" &amp; AY78 - $F77 + 1, $J78:AY78, "&lt;=" &amp; AY78) * AY80</f>
        <v>0</v>
      </c>
      <c r="AZ81" s="32">
        <f>SUMIFS( $J79:AZ79, $J78:AZ78, "&gt;=" &amp; AZ78 - $F77 + 1, $J78:AZ78, "&lt;=" &amp; AZ78) * AZ80</f>
        <v>0</v>
      </c>
      <c r="BA81" s="32">
        <f>SUMIFS( $J79:BA79, $J78:BA78, "&gt;=" &amp; BA78 - $F77 + 1, $J78:BA78, "&lt;=" &amp; BA78) * BA80</f>
        <v>0</v>
      </c>
      <c r="BB81" s="32">
        <f>SUMIFS( $J79:BB79, $J78:BB78, "&gt;=" &amp; BB78 - $F77 + 1, $J78:BB78, "&lt;=" &amp; BB78) * BB80</f>
        <v>0</v>
      </c>
      <c r="BC81" s="32">
        <f>SUMIFS( $J79:BC79, $J78:BC78, "&gt;=" &amp; BC78 - $F77 + 1, $J78:BC78, "&lt;=" &amp; BC78) * BC80</f>
        <v>0</v>
      </c>
      <c r="BD81" s="32">
        <f>SUMIFS( $J79:BD79, $J78:BD78, "&gt;=" &amp; BD78 - $F77 + 1, $J78:BD78, "&lt;=" &amp; BD78) * BD80</f>
        <v>0</v>
      </c>
      <c r="BE81" s="32">
        <f>SUMIFS( $J79:BE79, $J78:BE78, "&gt;=" &amp; BE78 - $F77 + 1, $J78:BE78, "&lt;=" &amp; BE78) * BE80</f>
        <v>0</v>
      </c>
      <c r="BF81" s="32">
        <f>SUMIFS( $J79:BF79, $J78:BF78, "&gt;=" &amp; BF78 - $F77 + 1, $J78:BF78, "&lt;=" &amp; BF78) * BF80</f>
        <v>0</v>
      </c>
      <c r="BG81" s="32">
        <f>SUMIFS( $J79:BG79, $J78:BG78, "&gt;=" &amp; BG78 - $F77 + 1, $J78:BG78, "&lt;=" &amp; BG78) * BG80</f>
        <v>0</v>
      </c>
      <c r="BH81" s="32">
        <f>SUMIFS( $J79:BH79, $J78:BH78, "&gt;=" &amp; BH78 - $F77 + 1, $J78:BH78, "&lt;=" &amp; BH78) * BH80</f>
        <v>0</v>
      </c>
      <c r="BI81" s="32">
        <f>SUMIFS( $J79:BI79, $J78:BI78, "&gt;=" &amp; BI78 - $F77 + 1, $J78:BI78, "&lt;=" &amp; BI78) * BI80</f>
        <v>0</v>
      </c>
      <c r="BJ81" s="32">
        <f>SUMIFS( $J79:BJ79, $J78:BJ78, "&gt;=" &amp; BJ78 - $F77 + 1, $J78:BJ78, "&lt;=" &amp; BJ78) * BJ80</f>
        <v>0</v>
      </c>
      <c r="BK81" s="32">
        <f>SUMIFS( $J79:BK79, $J78:BK78, "&gt;=" &amp; BK78 - $F77 + 1, $J78:BK78, "&lt;=" &amp; BK78) * BK80</f>
        <v>0</v>
      </c>
      <c r="BL81" s="32">
        <f>SUMIFS( $J79:BL79, $J78:BL78, "&gt;=" &amp; BL78 - $F77 + 1, $J78:BL78, "&lt;=" &amp; BL78) * BL80</f>
        <v>0</v>
      </c>
      <c r="BM81" s="32">
        <f>SUMIFS( $J79:BM79, $J78:BM78, "&gt;=" &amp; BM78 - $F77 + 1, $J78:BM78, "&lt;=" &amp; BM78) * BM80</f>
        <v>0</v>
      </c>
      <c r="BN81" s="32">
        <f>SUMIFS( $J79:BN79, $J78:BN78, "&gt;=" &amp; BN78 - $F77 + 1, $J78:BN78, "&lt;=" &amp; BN78) * BN80</f>
        <v>0</v>
      </c>
      <c r="BO81" s="32">
        <f>SUMIFS( $J79:BO79, $J78:BO78, "&gt;=" &amp; BO78 - $F77 + 1, $J78:BO78, "&lt;=" &amp; BO78) * BO80</f>
        <v>0</v>
      </c>
      <c r="BP81" s="32">
        <f>SUMIFS( $J79:BP79, $J78:BP78, "&gt;=" &amp; BP78 - $F77 + 1, $J78:BP78, "&lt;=" &amp; BP78) * BP80</f>
        <v>0</v>
      </c>
      <c r="BQ81" s="32">
        <f>SUMIFS( $J79:BQ79, $J78:BQ78, "&gt;=" &amp; BQ78 - $F77 + 1, $J78:BQ78, "&lt;=" &amp; BQ78) * BQ80</f>
        <v>0</v>
      </c>
      <c r="BR81" s="32">
        <f>SUMIFS( $J79:BR79, $J78:BR78, "&gt;=" &amp; BR78 - $F77 + 1, $J78:BR78, "&lt;=" &amp; BR78) * BR80</f>
        <v>0</v>
      </c>
      <c r="BS81" s="32">
        <f>SUMIFS( $J79:BS79, $J78:BS78, "&gt;=" &amp; BS78 - $F77 + 1, $J78:BS78, "&lt;=" &amp; BS78) * BS80</f>
        <v>0</v>
      </c>
      <c r="BT81" s="32">
        <f>SUMIFS( $J79:BT79, $J78:BT78, "&gt;=" &amp; BT78 - $F77 + 1, $J78:BT78, "&lt;=" &amp; BT78) * BT80</f>
        <v>0</v>
      </c>
      <c r="BU81" s="32">
        <f>SUMIFS( $J79:BU79, $J78:BU78, "&gt;=" &amp; BU78 - $F77 + 1, $J78:BU78, "&lt;=" &amp; BU78) * BU80</f>
        <v>0</v>
      </c>
      <c r="BV81" s="32">
        <f>SUMIFS( $J79:BV79, $J78:BV78, "&gt;=" &amp; BV78 - $F77 + 1, $J78:BV78, "&lt;=" &amp; BV78) * BV80</f>
        <v>0</v>
      </c>
      <c r="BW81" s="32">
        <f>SUMIFS( $J79:BW79, $J78:BW78, "&gt;=" &amp; BW78 - $F77 + 1, $J78:BW78, "&lt;=" &amp; BW78) * BW80</f>
        <v>0</v>
      </c>
      <c r="BX81" s="32">
        <f>SUMIFS( $J79:BX79, $J78:BX78, "&gt;=" &amp; BX78 - $F77 + 1, $J78:BX78, "&lt;=" &amp; BX78) * BX80</f>
        <v>0</v>
      </c>
      <c r="BY81" s="32">
        <f>SUMIFS( $J79:BY79, $J78:BY78, "&gt;=" &amp; BY78 - $F77 + 1, $J78:BY78, "&lt;=" &amp; BY78) * BY80</f>
        <v>0</v>
      </c>
      <c r="BZ81" s="32">
        <f>SUMIFS( $J79:BZ79, $J78:BZ78, "&gt;=" &amp; BZ78 - $F77 + 1, $J78:BZ78, "&lt;=" &amp; BZ78) * BZ80</f>
        <v>0</v>
      </c>
      <c r="CA81" s="32">
        <f>SUMIFS( $J79:CA79, $J78:CA78, "&gt;=" &amp; CA78 - $F77 + 1, $J78:CA78, "&lt;=" &amp; CA78) * CA80</f>
        <v>0</v>
      </c>
      <c r="CB81" s="32">
        <f>SUMIFS( $J79:CB79, $J78:CB78, "&gt;=" &amp; CB78 - $F77 + 1, $J78:CB78, "&lt;=" &amp; CB78) * CB80</f>
        <v>0</v>
      </c>
      <c r="CC81" s="32">
        <f>SUMIFS( $J79:CC79, $J78:CC78, "&gt;=" &amp; CC78 - $F77 + 1, $J78:CC78, "&lt;=" &amp; CC78) * CC80</f>
        <v>0</v>
      </c>
      <c r="CD81" s="32">
        <f>SUMIFS( $J79:CD79, $J78:CD78, "&gt;=" &amp; CD78 - $F77 + 1, $J78:CD78, "&lt;=" &amp; CD78) * CD80</f>
        <v>0</v>
      </c>
      <c r="CE81" s="32">
        <f>SUMIFS( $J79:CE79, $J78:CE78, "&gt;=" &amp; CE78 - $F77 + 1, $J78:CE78, "&lt;=" &amp; CE78) * CE80</f>
        <v>0</v>
      </c>
      <c r="CF81" s="32">
        <f>SUMIFS( $J79:CF79, $J78:CF78, "&gt;=" &amp; CF78 - $F77 + 1, $J78:CF78, "&lt;=" &amp; CF78) * CF80</f>
        <v>0</v>
      </c>
      <c r="CG81" s="32">
        <f>SUMIFS( $J79:CG79, $J78:CG78, "&gt;=" &amp; CG78 - $F77 + 1, $J78:CG78, "&lt;=" &amp; CG78) * CG80</f>
        <v>0</v>
      </c>
      <c r="CH81" s="32">
        <f>SUMIFS( $J79:CH79, $J78:CH78, "&gt;=" &amp; CH78 - $F77 + 1, $J78:CH78, "&lt;=" &amp; CH78) * CH80</f>
        <v>0</v>
      </c>
      <c r="CI81" s="32">
        <f>SUMIFS( $J79:CI79, $J78:CI78, "&gt;=" &amp; CI78 - $F77 + 1, $J78:CI78, "&lt;=" &amp; CI78) * CI80</f>
        <v>0</v>
      </c>
      <c r="CJ81" s="32">
        <f>SUMIFS( $J79:CJ79, $J78:CJ78, "&gt;=" &amp; CJ78 - $F77 + 1, $J78:CJ78, "&lt;=" &amp; CJ78) * CJ80</f>
        <v>0</v>
      </c>
      <c r="CK81" s="32">
        <f>SUMIFS( $J79:CK79, $J78:CK78, "&gt;=" &amp; CK78 - $F77 + 1, $J78:CK78, "&lt;=" &amp; CK78) * CK80</f>
        <v>0</v>
      </c>
      <c r="CL81" s="32">
        <f>SUMIFS( $J79:CL79, $J78:CL78, "&gt;=" &amp; CL78 - $F77 + 1, $J78:CL78, "&lt;=" &amp; CL78) * CL80</f>
        <v>0</v>
      </c>
      <c r="CM81" s="32">
        <f>SUMIFS( $J79:CM79, $J78:CM78, "&gt;=" &amp; CM78 - $F77 + 1, $J78:CM78, "&lt;=" &amp; CM78) * CM80</f>
        <v>0</v>
      </c>
      <c r="CN81" s="32">
        <f>SUMIFS( $J79:CN79, $J78:CN78, "&gt;=" &amp; CN78 - $F77 + 1, $J78:CN78, "&lt;=" &amp; CN78) * CN80</f>
        <v>0</v>
      </c>
      <c r="CO81" s="32">
        <f>SUMIFS( $J79:CO79, $J78:CO78, "&gt;=" &amp; CO78 - $F77 + 1, $J78:CO78, "&lt;=" &amp; CO78) * CO80</f>
        <v>0</v>
      </c>
      <c r="CP81" s="32">
        <f>SUMIFS( $J79:CP79, $J78:CP78, "&gt;=" &amp; CP78 - $F77 + 1, $J78:CP78, "&lt;=" &amp; CP78) * CP80</f>
        <v>0</v>
      </c>
      <c r="CQ81" s="32">
        <f>SUMIFS( $J79:CQ79, $J78:CQ78, "&gt;=" &amp; CQ78 - $F77 + 1, $J78:CQ78, "&lt;=" &amp; CQ78) * CQ80</f>
        <v>0</v>
      </c>
      <c r="CR81" s="32">
        <f>SUMIFS( $J79:CR79, $J78:CR78, "&gt;=" &amp; CR78 - $F77 + 1, $J78:CR78, "&lt;=" &amp; CR78) * CR80</f>
        <v>0</v>
      </c>
      <c r="CS81" s="32">
        <f>SUMIFS( $J79:CS79, $J78:CS78, "&gt;=" &amp; CS78 - $F77 + 1, $J78:CS78, "&lt;=" &amp; CS78) * CS80</f>
        <v>0</v>
      </c>
      <c r="CT81" s="32">
        <f>SUMIFS( $J79:CT79, $J78:CT78, "&gt;=" &amp; CT78 - $F77 + 1, $J78:CT78, "&lt;=" &amp; CT78) * CT80</f>
        <v>0</v>
      </c>
      <c r="CU81" s="32">
        <f>SUMIFS( $J79:CU79, $J78:CU78, "&gt;=" &amp; CU78 - $F77 + 1, $J78:CU78, "&lt;=" &amp; CU78) * CU80</f>
        <v>0</v>
      </c>
      <c r="CV81" s="32">
        <f>SUMIFS( $J79:CV79, $J78:CV78, "&gt;=" &amp; CV78 - $F77 + 1, $J78:CV78, "&lt;=" &amp; CV78) * CV80</f>
        <v>0</v>
      </c>
    </row>
    <row r="82" spans="1:100" outlineLevel="1" x14ac:dyDescent="0.2">
      <c r="A82" s="33"/>
      <c r="B82" s="79"/>
      <c r="C82" s="561"/>
      <c r="D82" s="60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32"/>
    </row>
    <row r="83" spans="1:100" s="495" customFormat="1" outlineLevel="1" x14ac:dyDescent="0.2">
      <c r="A83" s="75"/>
      <c r="B83" s="75"/>
      <c r="C83" s="76"/>
      <c r="D83" s="638"/>
      <c r="E83" s="578" t="str">
        <f xml:space="preserve"> DSRA!E$12</f>
        <v>Periods in a year</v>
      </c>
      <c r="F83" s="578">
        <f xml:space="preserve"> DSRA!F$12</f>
        <v>2</v>
      </c>
      <c r="G83" s="578" t="str">
        <f xml:space="preserve"> DSRA!G$12</f>
        <v>periods</v>
      </c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77"/>
      <c r="BS83" s="77"/>
      <c r="BT83" s="77"/>
      <c r="BU83" s="77"/>
      <c r="BV83" s="77"/>
      <c r="BW83" s="77"/>
      <c r="BX83" s="77"/>
      <c r="BY83" s="77"/>
      <c r="BZ83" s="77"/>
      <c r="CA83" s="77"/>
      <c r="CB83" s="77"/>
      <c r="CC83" s="77"/>
      <c r="CD83" s="77"/>
      <c r="CE83" s="77"/>
      <c r="CF83" s="77"/>
      <c r="CG83" s="77"/>
      <c r="CH83" s="77"/>
      <c r="CI83" s="77"/>
      <c r="CJ83" s="77"/>
      <c r="CK83" s="77"/>
      <c r="CL83" s="77"/>
      <c r="CM83" s="77"/>
      <c r="CN83" s="77"/>
      <c r="CO83" s="77"/>
      <c r="CP83" s="77"/>
      <c r="CQ83" s="77"/>
      <c r="CR83" s="77"/>
      <c r="CS83" s="77"/>
      <c r="CT83" s="77"/>
      <c r="CU83" s="77"/>
      <c r="CV83" s="77"/>
    </row>
    <row r="84" spans="1:100" s="495" customFormat="1" outlineLevel="1" x14ac:dyDescent="0.2">
      <c r="A84" s="75"/>
      <c r="B84" s="75"/>
      <c r="C84" s="76"/>
      <c r="D84" s="638"/>
      <c r="E84" s="576" t="str">
        <f xml:space="preserve"> Time!E$10</f>
        <v>Model column counter</v>
      </c>
      <c r="F84" s="576">
        <f xml:space="preserve"> Time!F$10</f>
        <v>0</v>
      </c>
      <c r="G84" s="576" t="str">
        <f xml:space="preserve"> Time!G$10</f>
        <v>counter</v>
      </c>
      <c r="H84" s="576">
        <f xml:space="preserve"> Time!H$10</f>
        <v>0</v>
      </c>
      <c r="I84" s="576">
        <f xml:space="preserve"> Time!I$10</f>
        <v>0</v>
      </c>
      <c r="J84" s="576">
        <f xml:space="preserve"> Time!J$10</f>
        <v>1</v>
      </c>
      <c r="K84" s="576">
        <f xml:space="preserve"> Time!K$10</f>
        <v>2</v>
      </c>
      <c r="L84" s="576">
        <f xml:space="preserve"> Time!L$10</f>
        <v>3</v>
      </c>
      <c r="M84" s="576">
        <f xml:space="preserve"> Time!M$10</f>
        <v>4</v>
      </c>
      <c r="N84" s="576">
        <f xml:space="preserve"> Time!N$10</f>
        <v>5</v>
      </c>
      <c r="O84" s="576">
        <f xml:space="preserve"> Time!O$10</f>
        <v>6</v>
      </c>
      <c r="P84" s="576">
        <f xml:space="preserve"> Time!P$10</f>
        <v>7</v>
      </c>
      <c r="Q84" s="576">
        <f xml:space="preserve"> Time!Q$10</f>
        <v>8</v>
      </c>
      <c r="R84" s="576">
        <f xml:space="preserve"> Time!R$10</f>
        <v>9</v>
      </c>
      <c r="S84" s="576">
        <f xml:space="preserve"> Time!S$10</f>
        <v>10</v>
      </c>
      <c r="T84" s="576">
        <f xml:space="preserve"> Time!T$10</f>
        <v>11</v>
      </c>
      <c r="U84" s="576">
        <f xml:space="preserve"> Time!U$10</f>
        <v>12</v>
      </c>
      <c r="V84" s="576">
        <f xml:space="preserve"> Time!V$10</f>
        <v>13</v>
      </c>
      <c r="W84" s="576">
        <f xml:space="preserve"> Time!W$10</f>
        <v>14</v>
      </c>
      <c r="X84" s="576">
        <f xml:space="preserve"> Time!X$10</f>
        <v>15</v>
      </c>
      <c r="Y84" s="576">
        <f xml:space="preserve"> Time!Y$10</f>
        <v>16</v>
      </c>
      <c r="Z84" s="576">
        <f xml:space="preserve"> Time!Z$10</f>
        <v>17</v>
      </c>
      <c r="AA84" s="576">
        <f xml:space="preserve"> Time!AA$10</f>
        <v>18</v>
      </c>
      <c r="AB84" s="576">
        <f xml:space="preserve"> Time!AB$10</f>
        <v>19</v>
      </c>
      <c r="AC84" s="576">
        <f xml:space="preserve"> Time!AC$10</f>
        <v>20</v>
      </c>
      <c r="AD84" s="576">
        <f xml:space="preserve"> Time!AD$10</f>
        <v>21</v>
      </c>
      <c r="AE84" s="576">
        <f xml:space="preserve"> Time!AE$10</f>
        <v>22</v>
      </c>
      <c r="AF84" s="576">
        <f xml:space="preserve"> Time!AF$10</f>
        <v>23</v>
      </c>
      <c r="AG84" s="576">
        <f xml:space="preserve"> Time!AG$10</f>
        <v>24</v>
      </c>
      <c r="AH84" s="576">
        <f xml:space="preserve"> Time!AH$10</f>
        <v>25</v>
      </c>
      <c r="AI84" s="576">
        <f xml:space="preserve"> Time!AI$10</f>
        <v>26</v>
      </c>
      <c r="AJ84" s="576">
        <f xml:space="preserve"> Time!AJ$10</f>
        <v>27</v>
      </c>
      <c r="AK84" s="576">
        <f xml:space="preserve"> Time!AK$10</f>
        <v>28</v>
      </c>
      <c r="AL84" s="576">
        <f xml:space="preserve"> Time!AL$10</f>
        <v>29</v>
      </c>
      <c r="AM84" s="576">
        <f xml:space="preserve"> Time!AM$10</f>
        <v>30</v>
      </c>
      <c r="AN84" s="576">
        <f xml:space="preserve"> Time!AN$10</f>
        <v>31</v>
      </c>
      <c r="AO84" s="576">
        <f xml:space="preserve"> Time!AO$10</f>
        <v>32</v>
      </c>
      <c r="AP84" s="576">
        <f xml:space="preserve"> Time!AP$10</f>
        <v>33</v>
      </c>
      <c r="AQ84" s="576">
        <f xml:space="preserve"> Time!AQ$10</f>
        <v>34</v>
      </c>
      <c r="AR84" s="576">
        <f xml:space="preserve"> Time!AR$10</f>
        <v>35</v>
      </c>
      <c r="AS84" s="576">
        <f xml:space="preserve"> Time!AS$10</f>
        <v>36</v>
      </c>
      <c r="AT84" s="576">
        <f xml:space="preserve"> Time!AT$10</f>
        <v>37</v>
      </c>
      <c r="AU84" s="576">
        <f xml:space="preserve"> Time!AU$10</f>
        <v>38</v>
      </c>
      <c r="AV84" s="576">
        <f xml:space="preserve"> Time!AV$10</f>
        <v>39</v>
      </c>
      <c r="AW84" s="576">
        <f xml:space="preserve"> Time!AW$10</f>
        <v>40</v>
      </c>
      <c r="AX84" s="576">
        <f xml:space="preserve"> Time!AX$10</f>
        <v>41</v>
      </c>
      <c r="AY84" s="576">
        <f xml:space="preserve"> Time!AY$10</f>
        <v>42</v>
      </c>
      <c r="AZ84" s="576">
        <f xml:space="preserve"> Time!AZ$10</f>
        <v>43</v>
      </c>
      <c r="BA84" s="576">
        <f xml:space="preserve"> Time!BA$10</f>
        <v>44</v>
      </c>
      <c r="BB84" s="576">
        <f xml:space="preserve"> Time!BB$10</f>
        <v>45</v>
      </c>
      <c r="BC84" s="576">
        <f xml:space="preserve"> Time!BC$10</f>
        <v>46</v>
      </c>
      <c r="BD84" s="576">
        <f xml:space="preserve"> Time!BD$10</f>
        <v>47</v>
      </c>
      <c r="BE84" s="576">
        <f xml:space="preserve"> Time!BE$10</f>
        <v>48</v>
      </c>
      <c r="BF84" s="576">
        <f xml:space="preserve"> Time!BF$10</f>
        <v>49</v>
      </c>
      <c r="BG84" s="576">
        <f xml:space="preserve"> Time!BG$10</f>
        <v>50</v>
      </c>
      <c r="BH84" s="576">
        <f xml:space="preserve"> Time!BH$10</f>
        <v>51</v>
      </c>
      <c r="BI84" s="576">
        <f xml:space="preserve"> Time!BI$10</f>
        <v>52</v>
      </c>
      <c r="BJ84" s="576">
        <f xml:space="preserve"> Time!BJ$10</f>
        <v>53</v>
      </c>
      <c r="BK84" s="576">
        <f xml:space="preserve"> Time!BK$10</f>
        <v>54</v>
      </c>
      <c r="BL84" s="576">
        <f xml:space="preserve"> Time!BL$10</f>
        <v>55</v>
      </c>
      <c r="BM84" s="576">
        <f xml:space="preserve"> Time!BM$10</f>
        <v>56</v>
      </c>
      <c r="BN84" s="576">
        <f xml:space="preserve"> Time!BN$10</f>
        <v>57</v>
      </c>
      <c r="BO84" s="576">
        <f xml:space="preserve"> Time!BO$10</f>
        <v>58</v>
      </c>
      <c r="BP84" s="576">
        <f xml:space="preserve"> Time!BP$10</f>
        <v>59</v>
      </c>
      <c r="BQ84" s="576">
        <f xml:space="preserve"> Time!BQ$10</f>
        <v>60</v>
      </c>
      <c r="BR84" s="576">
        <f xml:space="preserve"> Time!BR$10</f>
        <v>61</v>
      </c>
      <c r="BS84" s="576">
        <f xml:space="preserve"> Time!BS$10</f>
        <v>62</v>
      </c>
      <c r="BT84" s="576">
        <f xml:space="preserve"> Time!BT$10</f>
        <v>63</v>
      </c>
      <c r="BU84" s="576">
        <f xml:space="preserve"> Time!BU$10</f>
        <v>64</v>
      </c>
      <c r="BV84" s="576">
        <f xml:space="preserve"> Time!BV$10</f>
        <v>65</v>
      </c>
      <c r="BW84" s="576">
        <f xml:space="preserve"> Time!BW$10</f>
        <v>66</v>
      </c>
      <c r="BX84" s="576">
        <f xml:space="preserve"> Time!BX$10</f>
        <v>67</v>
      </c>
      <c r="BY84" s="576">
        <f xml:space="preserve"> Time!BY$10</f>
        <v>68</v>
      </c>
      <c r="BZ84" s="576">
        <f xml:space="preserve"> Time!BZ$10</f>
        <v>69</v>
      </c>
      <c r="CA84" s="576">
        <f xml:space="preserve"> Time!CA$10</f>
        <v>70</v>
      </c>
      <c r="CB84" s="576">
        <f xml:space="preserve"> Time!CB$10</f>
        <v>71</v>
      </c>
      <c r="CC84" s="576">
        <f xml:space="preserve"> Time!CC$10</f>
        <v>72</v>
      </c>
      <c r="CD84" s="576">
        <f xml:space="preserve"> Time!CD$10</f>
        <v>73</v>
      </c>
      <c r="CE84" s="576">
        <f xml:space="preserve"> Time!CE$10</f>
        <v>74</v>
      </c>
      <c r="CF84" s="576">
        <f xml:space="preserve"> Time!CF$10</f>
        <v>75</v>
      </c>
      <c r="CG84" s="576">
        <f xml:space="preserve"> Time!CG$10</f>
        <v>76</v>
      </c>
      <c r="CH84" s="576">
        <f xml:space="preserve"> Time!CH$10</f>
        <v>77</v>
      </c>
      <c r="CI84" s="576">
        <f xml:space="preserve"> Time!CI$10</f>
        <v>78</v>
      </c>
      <c r="CJ84" s="576">
        <f xml:space="preserve"> Time!CJ$10</f>
        <v>79</v>
      </c>
      <c r="CK84" s="576">
        <f xml:space="preserve"> Time!CK$10</f>
        <v>80</v>
      </c>
      <c r="CL84" s="576">
        <f xml:space="preserve"> Time!CL$10</f>
        <v>81</v>
      </c>
      <c r="CM84" s="576">
        <f xml:space="preserve"> Time!CM$10</f>
        <v>82</v>
      </c>
      <c r="CN84" s="576">
        <f xml:space="preserve"> Time!CN$10</f>
        <v>83</v>
      </c>
      <c r="CO84" s="576">
        <f xml:space="preserve"> Time!CO$10</f>
        <v>84</v>
      </c>
      <c r="CP84" s="576">
        <f xml:space="preserve"> Time!CP$10</f>
        <v>85</v>
      </c>
      <c r="CQ84" s="576">
        <f xml:space="preserve"> Time!CQ$10</f>
        <v>86</v>
      </c>
      <c r="CR84" s="576">
        <f xml:space="preserve"> Time!CR$10</f>
        <v>87</v>
      </c>
      <c r="CS84" s="576">
        <f xml:space="preserve"> Time!CS$10</f>
        <v>88</v>
      </c>
      <c r="CT84" s="576">
        <f xml:space="preserve"> Time!CT$10</f>
        <v>89</v>
      </c>
      <c r="CU84" s="576">
        <f xml:space="preserve"> Time!CU$10</f>
        <v>90</v>
      </c>
      <c r="CV84" s="576">
        <f xml:space="preserve"> Time!CV$10</f>
        <v>91</v>
      </c>
    </row>
    <row r="85" spans="1:100" outlineLevel="1" x14ac:dyDescent="0.2">
      <c r="A85" s="85"/>
      <c r="B85" s="85"/>
      <c r="C85" s="86"/>
      <c r="D85" s="87"/>
      <c r="E85" s="186" t="str">
        <f xml:space="preserve"> 'FS Semi'!E$65</f>
        <v>Cashflow available for senior debt</v>
      </c>
      <c r="F85" s="186">
        <f xml:space="preserve"> 'FS Semi'!F$65</f>
        <v>0</v>
      </c>
      <c r="G85" s="186" t="str">
        <f xml:space="preserve"> 'FS Semi'!G$65</f>
        <v>$ 000s</v>
      </c>
      <c r="H85" s="186">
        <f xml:space="preserve"> 'FS Semi'!H$65</f>
        <v>587649.30780221813</v>
      </c>
      <c r="I85" s="186">
        <f xml:space="preserve"> 'FS Semi'!I$65</f>
        <v>0</v>
      </c>
      <c r="J85" s="186">
        <f xml:space="preserve"> 'FS Semi'!J$65</f>
        <v>-1.5558398445136845E-6</v>
      </c>
      <c r="K85" s="186">
        <f xml:space="preserve"> 'FS Semi'!K$65</f>
        <v>-1.2466658517951146E-5</v>
      </c>
      <c r="L85" s="186">
        <f xml:space="preserve"> 'FS Semi'!L$65</f>
        <v>-1.6754362150095403E-5</v>
      </c>
      <c r="M85" s="186">
        <f xml:space="preserve"> 'FS Semi'!M$65</f>
        <v>-1.9422688637860119E-5</v>
      </c>
      <c r="N85" s="186">
        <f xml:space="preserve"> 'FS Semi'!N$65</f>
        <v>-3.9676149608567357E-3</v>
      </c>
      <c r="O85" s="186">
        <f xml:space="preserve"> 'FS Semi'!O$65</f>
        <v>17761.339089615478</v>
      </c>
      <c r="P85" s="186">
        <f xml:space="preserve"> 'FS Semi'!P$65</f>
        <v>15707.408907742485</v>
      </c>
      <c r="Q85" s="186">
        <f xml:space="preserve"> 'FS Semi'!Q$65</f>
        <v>15745.355493650644</v>
      </c>
      <c r="R85" s="186">
        <f xml:space="preserve"> 'FS Semi'!R$65</f>
        <v>15588.868818823899</v>
      </c>
      <c r="S85" s="186">
        <f xml:space="preserve"> 'FS Semi'!S$65</f>
        <v>15624.695450132087</v>
      </c>
      <c r="T85" s="186">
        <f xml:space="preserve"> 'FS Semi'!T$65</f>
        <v>15468.805976611518</v>
      </c>
      <c r="U85" s="186">
        <f xml:space="preserve"> 'FS Semi'!U$65</f>
        <v>15502.475660941096</v>
      </c>
      <c r="V85" s="186">
        <f xml:space="preserve"> 'FS Semi'!V$65</f>
        <v>15368.238112158891</v>
      </c>
      <c r="W85" s="186">
        <f xml:space="preserve"> 'FS Semi'!W$65</f>
        <v>15357.612782223849</v>
      </c>
      <c r="X85" s="186">
        <f xml:space="preserve"> 'FS Semi'!X$65</f>
        <v>15223.981670526602</v>
      </c>
      <c r="Y85" s="186">
        <f xml:space="preserve"> 'FS Semi'!Y$65</f>
        <v>15253.223441594726</v>
      </c>
      <c r="Z85" s="186">
        <f xml:space="preserve"> 'FS Semi'!Z$65</f>
        <v>15099.15338854069</v>
      </c>
      <c r="AA85" s="186">
        <f xml:space="preserve"> 'FS Semi'!AA$65</f>
        <v>15126.122633909146</v>
      </c>
      <c r="AB85" s="186">
        <f xml:space="preserve"> 'FS Semi'!AB$65</f>
        <v>14972.668690608356</v>
      </c>
      <c r="AC85" s="186">
        <f xml:space="preserve"> 'FS Semi'!AC$65</f>
        <v>14997.325298446642</v>
      </c>
      <c r="AD85" s="186">
        <f xml:space="preserve"> 'FS Semi'!AD$65</f>
        <v>14864.853133923503</v>
      </c>
      <c r="AE85" s="186">
        <f xml:space="preserve"> 'FS Semi'!AE$65</f>
        <v>14846.434846161274</v>
      </c>
      <c r="AF85" s="186">
        <f xml:space="preserve"> 'FS Semi'!AF$65</f>
        <v>14714.588918503887</v>
      </c>
      <c r="AG85" s="186">
        <f xml:space="preserve"> 'FS Semi'!AG$65</f>
        <v>14734.496621546412</v>
      </c>
      <c r="AH85" s="186">
        <f xml:space="preserve"> 'FS Semi'!AH$65</f>
        <v>14582.921507009845</v>
      </c>
      <c r="AI85" s="186">
        <f xml:space="preserve"> 'FS Semi'!AI$65</f>
        <v>14600.391254152939</v>
      </c>
      <c r="AJ85" s="186">
        <f xml:space="preserve"> 'FS Semi'!AJ$65</f>
        <v>14449.45297630897</v>
      </c>
      <c r="AK85" s="186">
        <f xml:space="preserve"> 'FS Semi'!AK$65</f>
        <v>14464.441277785036</v>
      </c>
      <c r="AL85" s="186">
        <f xml:space="preserve"> 'FS Semi'!AL$65</f>
        <v>14333.778560490962</v>
      </c>
      <c r="AM85" s="186">
        <f xml:space="preserve"> 'FS Semi'!AM$65</f>
        <v>14306.974557657806</v>
      </c>
      <c r="AN85" s="186">
        <f xml:space="preserve"> 'FS Semi'!AN$65</f>
        <v>14176.959768611989</v>
      </c>
      <c r="AO85" s="186">
        <f xml:space="preserve"> 'FS Semi'!AO$65</f>
        <v>14186.851142225703</v>
      </c>
      <c r="AP85" s="186">
        <f xml:space="preserve"> 'FS Semi'!AP$65</f>
        <v>14037.856776993409</v>
      </c>
      <c r="AQ85" s="186">
        <f xml:space="preserve"> 'FS Semi'!AQ$65</f>
        <v>14045.130839844553</v>
      </c>
      <c r="AR85" s="186">
        <f xml:space="preserve"> 'FS Semi'!AR$65</f>
        <v>13896.7960059342</v>
      </c>
      <c r="AS85" s="186">
        <f xml:space="preserve"> 'FS Semi'!AS$65</f>
        <v>13901.405610395763</v>
      </c>
      <c r="AT85" s="186">
        <f xml:space="preserve"> 'FS Semi'!AT$65</f>
        <v>13772.600892933437</v>
      </c>
      <c r="AU85" s="186">
        <f xml:space="preserve"> 'FS Semi'!AU$65</f>
        <v>13736.76875976386</v>
      </c>
      <c r="AV85" s="186">
        <f xml:space="preserve"> 'FS Semi'!AV$65</f>
        <v>13608.635708810609</v>
      </c>
      <c r="AW85" s="186">
        <f xml:space="preserve"> 'FS Semi'!AW$65</f>
        <v>13607.771090766597</v>
      </c>
      <c r="AX85" s="186">
        <f xml:space="preserve"> 'FS Semi'!AX$65</f>
        <v>13461.451394756768</v>
      </c>
      <c r="AY85" s="186">
        <f xml:space="preserve"> 'FS Semi'!AY$65</f>
        <v>13457.775032491649</v>
      </c>
      <c r="AZ85" s="186">
        <f xml:space="preserve"> 'FS Semi'!AZ$65</f>
        <v>13312.139691725803</v>
      </c>
      <c r="BA85" s="186">
        <f xml:space="preserve"> 'FS Semi'!BA$65</f>
        <v>13305.600476617343</v>
      </c>
      <c r="BB85" s="186">
        <f xml:space="preserve"> 'FS Semi'!BB$65</f>
        <v>16445.95955909419</v>
      </c>
      <c r="BC85" s="186">
        <f xml:space="preserve"> 'FS Semi'!BC$65</f>
        <v>0</v>
      </c>
      <c r="BD85" s="186">
        <f xml:space="preserve"> 'FS Semi'!BD$65</f>
        <v>0</v>
      </c>
      <c r="BE85" s="186">
        <f xml:space="preserve"> 'FS Semi'!BE$65</f>
        <v>0</v>
      </c>
      <c r="BF85" s="186">
        <f xml:space="preserve"> 'FS Semi'!BF$65</f>
        <v>0</v>
      </c>
      <c r="BG85" s="186">
        <f xml:space="preserve"> 'FS Semi'!BG$65</f>
        <v>0</v>
      </c>
      <c r="BH85" s="186">
        <f xml:space="preserve"> 'FS Semi'!BH$65</f>
        <v>0</v>
      </c>
      <c r="BI85" s="186">
        <f xml:space="preserve"> 'FS Semi'!BI$65</f>
        <v>0</v>
      </c>
      <c r="BJ85" s="186">
        <f xml:space="preserve"> 'FS Semi'!BJ$65</f>
        <v>0</v>
      </c>
      <c r="BK85" s="186">
        <f xml:space="preserve"> 'FS Semi'!BK$65</f>
        <v>0</v>
      </c>
      <c r="BL85" s="186">
        <f xml:space="preserve"> 'FS Semi'!BL$65</f>
        <v>0</v>
      </c>
      <c r="BM85" s="186">
        <f xml:space="preserve"> 'FS Semi'!BM$65</f>
        <v>0</v>
      </c>
      <c r="BN85" s="186">
        <f xml:space="preserve"> 'FS Semi'!BN$65</f>
        <v>0</v>
      </c>
      <c r="BO85" s="186">
        <f xml:space="preserve"> 'FS Semi'!BO$65</f>
        <v>0</v>
      </c>
      <c r="BP85" s="186">
        <f xml:space="preserve"> 'FS Semi'!BP$65</f>
        <v>0</v>
      </c>
      <c r="BQ85" s="186">
        <f xml:space="preserve"> 'FS Semi'!BQ$65</f>
        <v>0</v>
      </c>
      <c r="BR85" s="186">
        <f xml:space="preserve"> 'FS Semi'!BR$65</f>
        <v>0</v>
      </c>
      <c r="BS85" s="186">
        <f xml:space="preserve"> 'FS Semi'!BS$65</f>
        <v>0</v>
      </c>
      <c r="BT85" s="186">
        <f xml:space="preserve"> 'FS Semi'!BT$65</f>
        <v>0</v>
      </c>
      <c r="BU85" s="186">
        <f xml:space="preserve"> 'FS Semi'!BU$65</f>
        <v>0</v>
      </c>
      <c r="BV85" s="186">
        <f xml:space="preserve"> 'FS Semi'!BV$65</f>
        <v>0</v>
      </c>
      <c r="BW85" s="186">
        <f xml:space="preserve"> 'FS Semi'!BW$65</f>
        <v>0</v>
      </c>
      <c r="BX85" s="186">
        <f xml:space="preserve"> 'FS Semi'!BX$65</f>
        <v>0</v>
      </c>
      <c r="BY85" s="186">
        <f xml:space="preserve"> 'FS Semi'!BY$65</f>
        <v>0</v>
      </c>
      <c r="BZ85" s="186">
        <f xml:space="preserve"> 'FS Semi'!BZ$65</f>
        <v>0</v>
      </c>
      <c r="CA85" s="186">
        <f xml:space="preserve"> 'FS Semi'!CA$65</f>
        <v>0</v>
      </c>
      <c r="CB85" s="186">
        <f xml:space="preserve"> 'FS Semi'!CB$65</f>
        <v>0</v>
      </c>
      <c r="CC85" s="186">
        <f xml:space="preserve"> 'FS Semi'!CC$65</f>
        <v>0</v>
      </c>
      <c r="CD85" s="186">
        <f xml:space="preserve"> 'FS Semi'!CD$65</f>
        <v>0</v>
      </c>
      <c r="CE85" s="186">
        <f xml:space="preserve"> 'FS Semi'!CE$65</f>
        <v>0</v>
      </c>
      <c r="CF85" s="186">
        <f xml:space="preserve"> 'FS Semi'!CF$65</f>
        <v>0</v>
      </c>
      <c r="CG85" s="186">
        <f xml:space="preserve"> 'FS Semi'!CG$65</f>
        <v>0</v>
      </c>
      <c r="CH85" s="186">
        <f xml:space="preserve"> 'FS Semi'!CH$65</f>
        <v>0</v>
      </c>
      <c r="CI85" s="186">
        <f xml:space="preserve"> 'FS Semi'!CI$65</f>
        <v>0</v>
      </c>
      <c r="CJ85" s="186">
        <f xml:space="preserve"> 'FS Semi'!CJ$65</f>
        <v>0</v>
      </c>
      <c r="CK85" s="186">
        <f xml:space="preserve"> 'FS Semi'!CK$65</f>
        <v>0</v>
      </c>
      <c r="CL85" s="186">
        <f xml:space="preserve"> 'FS Semi'!CL$65</f>
        <v>0</v>
      </c>
      <c r="CM85" s="186">
        <f xml:space="preserve"> 'FS Semi'!CM$65</f>
        <v>0</v>
      </c>
      <c r="CN85" s="186">
        <f xml:space="preserve"> 'FS Semi'!CN$65</f>
        <v>0</v>
      </c>
      <c r="CO85" s="186">
        <f xml:space="preserve"> 'FS Semi'!CO$65</f>
        <v>0</v>
      </c>
      <c r="CP85" s="186">
        <f xml:space="preserve"> 'FS Semi'!CP$65</f>
        <v>0</v>
      </c>
      <c r="CQ85" s="186">
        <f xml:space="preserve"> 'FS Semi'!CQ$65</f>
        <v>0</v>
      </c>
      <c r="CR85" s="186">
        <f xml:space="preserve"> 'FS Semi'!CR$65</f>
        <v>0</v>
      </c>
      <c r="CS85" s="186">
        <f xml:space="preserve"> 'FS Semi'!CS$65</f>
        <v>0</v>
      </c>
      <c r="CT85" s="186">
        <f xml:space="preserve"> 'FS Semi'!CT$65</f>
        <v>0</v>
      </c>
      <c r="CU85" s="186">
        <f xml:space="preserve"> 'FS Semi'!CU$65</f>
        <v>0</v>
      </c>
      <c r="CV85" s="186">
        <f xml:space="preserve"> 'FS Semi'!CV$65</f>
        <v>0</v>
      </c>
    </row>
    <row r="86" spans="1:100" outlineLevel="1" x14ac:dyDescent="0.2">
      <c r="A86" s="85"/>
      <c r="B86" s="85"/>
      <c r="C86" s="86"/>
      <c r="D86" s="87"/>
      <c r="E86" s="189" t="str">
        <f xml:space="preserve"> Time!E$214</f>
        <v>Senior debt repayment period flag</v>
      </c>
      <c r="F86" s="189">
        <f xml:space="preserve"> Time!F$214</f>
        <v>0</v>
      </c>
      <c r="G86" s="189" t="str">
        <f xml:space="preserve"> Time!G$214</f>
        <v>flag</v>
      </c>
      <c r="H86" s="189">
        <f xml:space="preserve"> Time!H$214</f>
        <v>34</v>
      </c>
      <c r="I86" s="189">
        <f xml:space="preserve"> Time!I$214</f>
        <v>0</v>
      </c>
      <c r="J86" s="189">
        <f xml:space="preserve"> Time!J$214</f>
        <v>0</v>
      </c>
      <c r="K86" s="189">
        <f xml:space="preserve"> Time!K$214</f>
        <v>0</v>
      </c>
      <c r="L86" s="189">
        <f xml:space="preserve"> Time!L$214</f>
        <v>0</v>
      </c>
      <c r="M86" s="189">
        <f xml:space="preserve"> Time!M$214</f>
        <v>0</v>
      </c>
      <c r="N86" s="189">
        <f xml:space="preserve"> Time!N$214</f>
        <v>0</v>
      </c>
      <c r="O86" s="189">
        <f xml:space="preserve"> Time!O$214</f>
        <v>1</v>
      </c>
      <c r="P86" s="189">
        <f xml:space="preserve"> Time!P$214</f>
        <v>1</v>
      </c>
      <c r="Q86" s="189">
        <f xml:space="preserve"> Time!Q$214</f>
        <v>1</v>
      </c>
      <c r="R86" s="189">
        <f xml:space="preserve"> Time!R$214</f>
        <v>1</v>
      </c>
      <c r="S86" s="189">
        <f xml:space="preserve"> Time!S$214</f>
        <v>1</v>
      </c>
      <c r="T86" s="189">
        <f xml:space="preserve"> Time!T$214</f>
        <v>1</v>
      </c>
      <c r="U86" s="189">
        <f xml:space="preserve"> Time!U$214</f>
        <v>1</v>
      </c>
      <c r="V86" s="189">
        <f xml:space="preserve"> Time!V$214</f>
        <v>1</v>
      </c>
      <c r="W86" s="189">
        <f xml:space="preserve"> Time!W$214</f>
        <v>1</v>
      </c>
      <c r="X86" s="189">
        <f xml:space="preserve"> Time!X$214</f>
        <v>1</v>
      </c>
      <c r="Y86" s="189">
        <f xml:space="preserve"> Time!Y$214</f>
        <v>1</v>
      </c>
      <c r="Z86" s="189">
        <f xml:space="preserve"> Time!Z$214</f>
        <v>1</v>
      </c>
      <c r="AA86" s="189">
        <f xml:space="preserve"> Time!AA$214</f>
        <v>1</v>
      </c>
      <c r="AB86" s="189">
        <f xml:space="preserve"> Time!AB$214</f>
        <v>1</v>
      </c>
      <c r="AC86" s="189">
        <f xml:space="preserve"> Time!AC$214</f>
        <v>1</v>
      </c>
      <c r="AD86" s="189">
        <f xml:space="preserve"> Time!AD$214</f>
        <v>1</v>
      </c>
      <c r="AE86" s="189">
        <f xml:space="preserve"> Time!AE$214</f>
        <v>1</v>
      </c>
      <c r="AF86" s="189">
        <f xml:space="preserve"> Time!AF$214</f>
        <v>1</v>
      </c>
      <c r="AG86" s="189">
        <f xml:space="preserve"> Time!AG$214</f>
        <v>1</v>
      </c>
      <c r="AH86" s="189">
        <f xml:space="preserve"> Time!AH$214</f>
        <v>1</v>
      </c>
      <c r="AI86" s="189">
        <f xml:space="preserve"> Time!AI$214</f>
        <v>1</v>
      </c>
      <c r="AJ86" s="189">
        <f xml:space="preserve"> Time!AJ$214</f>
        <v>1</v>
      </c>
      <c r="AK86" s="189">
        <f xml:space="preserve"> Time!AK$214</f>
        <v>1</v>
      </c>
      <c r="AL86" s="189">
        <f xml:space="preserve"> Time!AL$214</f>
        <v>1</v>
      </c>
      <c r="AM86" s="189">
        <f xml:space="preserve"> Time!AM$214</f>
        <v>1</v>
      </c>
      <c r="AN86" s="189">
        <f xml:space="preserve"> Time!AN$214</f>
        <v>1</v>
      </c>
      <c r="AO86" s="189">
        <f xml:space="preserve"> Time!AO$214</f>
        <v>1</v>
      </c>
      <c r="AP86" s="189">
        <f xml:space="preserve"> Time!AP$214</f>
        <v>1</v>
      </c>
      <c r="AQ86" s="189">
        <f xml:space="preserve"> Time!AQ$214</f>
        <v>1</v>
      </c>
      <c r="AR86" s="189">
        <f xml:space="preserve"> Time!AR$214</f>
        <v>1</v>
      </c>
      <c r="AS86" s="189">
        <f xml:space="preserve"> Time!AS$214</f>
        <v>1</v>
      </c>
      <c r="AT86" s="189">
        <f xml:space="preserve"> Time!AT$214</f>
        <v>1</v>
      </c>
      <c r="AU86" s="189">
        <f xml:space="preserve"> Time!AU$214</f>
        <v>1</v>
      </c>
      <c r="AV86" s="189">
        <f xml:space="preserve"> Time!AV$214</f>
        <v>1</v>
      </c>
      <c r="AW86" s="189">
        <f xml:space="preserve"> Time!AW$214</f>
        <v>0</v>
      </c>
      <c r="AX86" s="189">
        <f xml:space="preserve"> Time!AX$214</f>
        <v>0</v>
      </c>
      <c r="AY86" s="189">
        <f xml:space="preserve"> Time!AY$214</f>
        <v>0</v>
      </c>
      <c r="AZ86" s="189">
        <f xml:space="preserve"> Time!AZ$214</f>
        <v>0</v>
      </c>
      <c r="BA86" s="189">
        <f xml:space="preserve"> Time!BA$214</f>
        <v>0</v>
      </c>
      <c r="BB86" s="189">
        <f xml:space="preserve"> Time!BB$214</f>
        <v>0</v>
      </c>
      <c r="BC86" s="189">
        <f xml:space="preserve"> Time!BC$214</f>
        <v>0</v>
      </c>
      <c r="BD86" s="189">
        <f xml:space="preserve"> Time!BD$214</f>
        <v>0</v>
      </c>
      <c r="BE86" s="189">
        <f xml:space="preserve"> Time!BE$214</f>
        <v>0</v>
      </c>
      <c r="BF86" s="189">
        <f xml:space="preserve"> Time!BF$214</f>
        <v>0</v>
      </c>
      <c r="BG86" s="189">
        <f xml:space="preserve"> Time!BG$214</f>
        <v>0</v>
      </c>
      <c r="BH86" s="189">
        <f xml:space="preserve"> Time!BH$214</f>
        <v>0</v>
      </c>
      <c r="BI86" s="189">
        <f xml:space="preserve"> Time!BI$214</f>
        <v>0</v>
      </c>
      <c r="BJ86" s="189">
        <f xml:space="preserve"> Time!BJ$214</f>
        <v>0</v>
      </c>
      <c r="BK86" s="189">
        <f xml:space="preserve"> Time!BK$214</f>
        <v>0</v>
      </c>
      <c r="BL86" s="189">
        <f xml:space="preserve"> Time!BL$214</f>
        <v>0</v>
      </c>
      <c r="BM86" s="189">
        <f xml:space="preserve"> Time!BM$214</f>
        <v>0</v>
      </c>
      <c r="BN86" s="189">
        <f xml:space="preserve"> Time!BN$214</f>
        <v>0</v>
      </c>
      <c r="BO86" s="189">
        <f xml:space="preserve"> Time!BO$214</f>
        <v>0</v>
      </c>
      <c r="BP86" s="189">
        <f xml:space="preserve"> Time!BP$214</f>
        <v>0</v>
      </c>
      <c r="BQ86" s="189">
        <f xml:space="preserve"> Time!BQ$214</f>
        <v>0</v>
      </c>
      <c r="BR86" s="189">
        <f xml:space="preserve"> Time!BR$214</f>
        <v>0</v>
      </c>
      <c r="BS86" s="189">
        <f xml:space="preserve"> Time!BS$214</f>
        <v>0</v>
      </c>
      <c r="BT86" s="189">
        <f xml:space="preserve"> Time!BT$214</f>
        <v>0</v>
      </c>
      <c r="BU86" s="189">
        <f xml:space="preserve"> Time!BU$214</f>
        <v>0</v>
      </c>
      <c r="BV86" s="189">
        <f xml:space="preserve"> Time!BV$214</f>
        <v>0</v>
      </c>
      <c r="BW86" s="189">
        <f xml:space="preserve"> Time!BW$214</f>
        <v>0</v>
      </c>
      <c r="BX86" s="189">
        <f xml:space="preserve"> Time!BX$214</f>
        <v>0</v>
      </c>
      <c r="BY86" s="189">
        <f xml:space="preserve"> Time!BY$214</f>
        <v>0</v>
      </c>
      <c r="BZ86" s="189">
        <f xml:space="preserve"> Time!BZ$214</f>
        <v>0</v>
      </c>
      <c r="CA86" s="189">
        <f xml:space="preserve"> Time!CA$214</f>
        <v>0</v>
      </c>
      <c r="CB86" s="189">
        <f xml:space="preserve"> Time!CB$214</f>
        <v>0</v>
      </c>
      <c r="CC86" s="189">
        <f xml:space="preserve"> Time!CC$214</f>
        <v>0</v>
      </c>
      <c r="CD86" s="189">
        <f xml:space="preserve"> Time!CD$214</f>
        <v>0</v>
      </c>
      <c r="CE86" s="189">
        <f xml:space="preserve"> Time!CE$214</f>
        <v>0</v>
      </c>
      <c r="CF86" s="189">
        <f xml:space="preserve"> Time!CF$214</f>
        <v>0</v>
      </c>
      <c r="CG86" s="189">
        <f xml:space="preserve"> Time!CG$214</f>
        <v>0</v>
      </c>
      <c r="CH86" s="189">
        <f xml:space="preserve"> Time!CH$214</f>
        <v>0</v>
      </c>
      <c r="CI86" s="189">
        <f xml:space="preserve"> Time!CI$214</f>
        <v>0</v>
      </c>
      <c r="CJ86" s="189">
        <f xml:space="preserve"> Time!CJ$214</f>
        <v>0</v>
      </c>
      <c r="CK86" s="189">
        <f xml:space="preserve"> Time!CK$214</f>
        <v>0</v>
      </c>
      <c r="CL86" s="189">
        <f xml:space="preserve"> Time!CL$214</f>
        <v>0</v>
      </c>
      <c r="CM86" s="189">
        <f xml:space="preserve"> Time!CM$214</f>
        <v>0</v>
      </c>
      <c r="CN86" s="189">
        <f xml:space="preserve"> Time!CN$214</f>
        <v>0</v>
      </c>
      <c r="CO86" s="189">
        <f xml:space="preserve"> Time!CO$214</f>
        <v>0</v>
      </c>
      <c r="CP86" s="189">
        <f xml:space="preserve"> Time!CP$214</f>
        <v>0</v>
      </c>
      <c r="CQ86" s="189">
        <f xml:space="preserve"> Time!CQ$214</f>
        <v>0</v>
      </c>
      <c r="CR86" s="189">
        <f xml:space="preserve"> Time!CR$214</f>
        <v>0</v>
      </c>
      <c r="CS86" s="189">
        <f xml:space="preserve"> Time!CS$214</f>
        <v>0</v>
      </c>
      <c r="CT86" s="189">
        <f xml:space="preserve"> Time!CT$214</f>
        <v>0</v>
      </c>
      <c r="CU86" s="189">
        <f xml:space="preserve"> Time!CU$214</f>
        <v>0</v>
      </c>
      <c r="CV86" s="189">
        <f xml:space="preserve"> Time!CV$214</f>
        <v>0</v>
      </c>
    </row>
    <row r="87" spans="1:100" outlineLevel="1" x14ac:dyDescent="0.2">
      <c r="A87" s="33"/>
      <c r="B87" s="79"/>
      <c r="C87" s="561"/>
      <c r="D87" s="60"/>
      <c r="E87" s="32" t="s">
        <v>386</v>
      </c>
      <c r="F87" s="32"/>
      <c r="G87" s="32" t="str">
        <f xml:space="preserve"> SMU</f>
        <v>$ 000s</v>
      </c>
      <c r="H87" s="32"/>
      <c r="I87" s="32"/>
      <c r="J87" s="32">
        <f>SUMIFS( $J85:J85, $J84:J84, "&gt;=" &amp; J84 - $F83 + 1, $J84:J84, "&lt;=" &amp; J84) * J86</f>
        <v>0</v>
      </c>
      <c r="K87" s="32">
        <f>SUMIFS( $J85:K85, $J84:K84, "&gt;=" &amp; K84 - $F83 + 1, $J84:K84, "&lt;=" &amp; K84) * K86</f>
        <v>0</v>
      </c>
      <c r="L87" s="32">
        <f>SUMIFS( $J85:L85, $J84:L84, "&gt;=" &amp; L84 - $F83 + 1, $J84:L84, "&lt;=" &amp; L84) * L86</f>
        <v>0</v>
      </c>
      <c r="M87" s="32">
        <f>SUMIFS( $J85:M85, $J84:M84, "&gt;=" &amp; M84 - $F83 + 1, $J84:M84, "&lt;=" &amp; M84) * M86</f>
        <v>0</v>
      </c>
      <c r="N87" s="32">
        <f>SUMIFS( $J85:N85, $J84:N84, "&gt;=" &amp; N84 - $F83 + 1, $J84:N84, "&lt;=" &amp; N84) * N86</f>
        <v>0</v>
      </c>
      <c r="O87" s="32">
        <f>SUMIFS( $J85:O85, $J84:O84, "&gt;=" &amp; O84 - $F83 + 1, $J84:O84, "&lt;=" &amp; O84) * O86</f>
        <v>17761.335122000517</v>
      </c>
      <c r="P87" s="32">
        <f>SUMIFS( $J85:P85, $J84:P84, "&gt;=" &amp; P84 - $F83 + 1, $J84:P84, "&lt;=" &amp; P84) * P86</f>
        <v>33468.747997357961</v>
      </c>
      <c r="Q87" s="32">
        <f>SUMIFS( $J85:Q85, $J84:Q84, "&gt;=" &amp; Q84 - $F83 + 1, $J84:Q84, "&lt;=" &amp; Q84) * Q86</f>
        <v>31452.764401393128</v>
      </c>
      <c r="R87" s="32">
        <f>SUMIFS( $J85:R85, $J84:R84, "&gt;=" &amp; R84 - $F83 + 1, $J84:R84, "&lt;=" &amp; R84) * R86</f>
        <v>31334.224312474544</v>
      </c>
      <c r="S87" s="32">
        <f>SUMIFS( $J85:S85, $J84:S84, "&gt;=" &amp; S84 - $F83 + 1, $J84:S84, "&lt;=" &amp; S84) * S86</f>
        <v>31213.564268955986</v>
      </c>
      <c r="T87" s="32">
        <f>SUMIFS( $J85:T85, $J84:T84, "&gt;=" &amp; T84 - $F83 + 1, $J84:T84, "&lt;=" &amp; T84) * T86</f>
        <v>31093.501426743605</v>
      </c>
      <c r="U87" s="32">
        <f>SUMIFS( $J85:U85, $J84:U84, "&gt;=" &amp; U84 - $F83 + 1, $J84:U84, "&lt;=" &amp; U84) * U86</f>
        <v>30971.281637552616</v>
      </c>
      <c r="V87" s="32">
        <f>SUMIFS( $J85:V85, $J84:V84, "&gt;=" &amp; V84 - $F83 + 1, $J84:V84, "&lt;=" &amp; V84) * V86</f>
        <v>30870.713773099989</v>
      </c>
      <c r="W87" s="32">
        <f>SUMIFS( $J85:W85, $J84:W84, "&gt;=" &amp; W84 - $F83 + 1, $J84:W84, "&lt;=" &amp; W84) * W86</f>
        <v>30725.85089438274</v>
      </c>
      <c r="X87" s="32">
        <f>SUMIFS( $J85:X85, $J84:X84, "&gt;=" &amp; X84 - $F83 + 1, $J84:X84, "&lt;=" &amp; X84) * X86</f>
        <v>30581.594452750451</v>
      </c>
      <c r="Y87" s="32">
        <f>SUMIFS( $J85:Y85, $J84:Y84, "&gt;=" &amp; Y84 - $F83 + 1, $J84:Y84, "&lt;=" &amp; Y84) * Y86</f>
        <v>30477.20511212133</v>
      </c>
      <c r="Z87" s="32">
        <f>SUMIFS( $J85:Z85, $J84:Z84, "&gt;=" &amp; Z84 - $F83 + 1, $J84:Z84, "&lt;=" &amp; Z84) * Z86</f>
        <v>30352.376830135414</v>
      </c>
      <c r="AA87" s="32">
        <f>SUMIFS( $J85:AA85, $J84:AA84, "&gt;=" &amp; AA84 - $F83 + 1, $J84:AA84, "&lt;=" &amp; AA84) * AA86</f>
        <v>30225.276022449834</v>
      </c>
      <c r="AB87" s="32">
        <f>SUMIFS( $J85:AB85, $J84:AB84, "&gt;=" &amp; AB84 - $F83 + 1, $J84:AB84, "&lt;=" &amp; AB84) * AB86</f>
        <v>30098.7913245175</v>
      </c>
      <c r="AC87" s="32">
        <f>SUMIFS( $J85:AC85, $J84:AC84, "&gt;=" &amp; AC84 - $F83 + 1, $J84:AC84, "&lt;=" &amp; AC84) * AC86</f>
        <v>29969.993989054998</v>
      </c>
      <c r="AD87" s="32">
        <f>SUMIFS( $J85:AD85, $J84:AD84, "&gt;=" &amp; AD84 - $F83 + 1, $J84:AD84, "&lt;=" &amp; AD84) * AD86</f>
        <v>29862.178432370143</v>
      </c>
      <c r="AE87" s="32">
        <f>SUMIFS( $J85:AE85, $J84:AE84, "&gt;=" &amp; AE84 - $F83 + 1, $J84:AE84, "&lt;=" &amp; AE84) * AE86</f>
        <v>29711.287980084777</v>
      </c>
      <c r="AF87" s="32">
        <f>SUMIFS( $J85:AF85, $J84:AF84, "&gt;=" &amp; AF84 - $F83 + 1, $J84:AF84, "&lt;=" &amp; AF84) * AF86</f>
        <v>29561.023764665159</v>
      </c>
      <c r="AG87" s="32">
        <f>SUMIFS( $J85:AG85, $J84:AG84, "&gt;=" &amp; AG84 - $F83 + 1, $J84:AG84, "&lt;=" &amp; AG84) * AG86</f>
        <v>29449.085540050299</v>
      </c>
      <c r="AH87" s="32">
        <f>SUMIFS( $J85:AH85, $J84:AH84, "&gt;=" &amp; AH84 - $F83 + 1, $J84:AH84, "&lt;=" &amp; AH84) * AH86</f>
        <v>29317.418128556259</v>
      </c>
      <c r="AI87" s="32">
        <f>SUMIFS( $J85:AI85, $J84:AI84, "&gt;=" &amp; AI84 - $F83 + 1, $J84:AI84, "&lt;=" &amp; AI84) * AI86</f>
        <v>29183.312761162786</v>
      </c>
      <c r="AJ87" s="32">
        <f>SUMIFS( $J85:AJ85, $J84:AJ84, "&gt;=" &amp; AJ84 - $F83 + 1, $J84:AJ84, "&lt;=" &amp; AJ84) * AJ86</f>
        <v>29049.844230461909</v>
      </c>
      <c r="AK87" s="32">
        <f>SUMIFS( $J85:AK85, $J84:AK84, "&gt;=" &amp; AK84 - $F83 + 1, $J84:AK84, "&lt;=" &amp; AK84) * AK86</f>
        <v>28913.894254094004</v>
      </c>
      <c r="AL87" s="32">
        <f>SUMIFS( $J85:AL85, $J84:AL84, "&gt;=" &amp; AL84 - $F83 + 1, $J84:AL84, "&lt;=" &amp; AL84) * AL86</f>
        <v>28798.219838275996</v>
      </c>
      <c r="AM87" s="32">
        <f>SUMIFS( $J85:AM85, $J84:AM84, "&gt;=" &amp; AM84 - $F83 + 1, $J84:AM84, "&lt;=" &amp; AM84) * AM86</f>
        <v>28640.753118148768</v>
      </c>
      <c r="AN87" s="32">
        <f>SUMIFS( $J85:AN85, $J84:AN84, "&gt;=" &amp; AN84 - $F83 + 1, $J84:AN84, "&lt;=" &amp; AN84) * AN86</f>
        <v>28483.934326269795</v>
      </c>
      <c r="AO87" s="32">
        <f>SUMIFS( $J85:AO85, $J84:AO84, "&gt;=" &amp; AO84 - $F83 + 1, $J84:AO84, "&lt;=" &amp; AO84) * AO86</f>
        <v>28363.810910837692</v>
      </c>
      <c r="AP87" s="32">
        <f>SUMIFS( $J85:AP85, $J84:AP84, "&gt;=" &amp; AP84 - $F83 + 1, $J84:AP84, "&lt;=" &amp; AP84) * AP86</f>
        <v>28224.707919219112</v>
      </c>
      <c r="AQ87" s="32">
        <f>SUMIFS( $J85:AQ85, $J84:AQ84, "&gt;=" &amp; AQ84 - $F83 + 1, $J84:AQ84, "&lt;=" &amp; AQ84) * AQ86</f>
        <v>28082.987616837963</v>
      </c>
      <c r="AR87" s="32">
        <f>SUMIFS( $J85:AR85, $J84:AR84, "&gt;=" &amp; AR84 - $F83 + 1, $J84:AR84, "&lt;=" &amp; AR84) * AR86</f>
        <v>27941.926845778755</v>
      </c>
      <c r="AS87" s="32">
        <f>SUMIFS( $J85:AS85, $J84:AS84, "&gt;=" &amp; AS84 - $F83 + 1, $J84:AS84, "&lt;=" &amp; AS84) * AS86</f>
        <v>27798.201616329963</v>
      </c>
      <c r="AT87" s="32">
        <f>SUMIFS( $J85:AT85, $J84:AT84, "&gt;=" &amp; AT84 - $F83 + 1, $J84:AT84, "&lt;=" &amp; AT84) * AT86</f>
        <v>27674.006503329198</v>
      </c>
      <c r="AU87" s="32">
        <f>SUMIFS( $J85:AU85, $J84:AU84, "&gt;=" &amp; AU84 - $F83 + 1, $J84:AU84, "&lt;=" &amp; AU84) * AU86</f>
        <v>27509.369652697296</v>
      </c>
      <c r="AV87" s="32">
        <f>SUMIFS( $J85:AV85, $J84:AV84, "&gt;=" &amp; AV84 - $F83 + 1, $J84:AV84, "&lt;=" &amp; AV84) * AV86</f>
        <v>27345.404468574467</v>
      </c>
      <c r="AW87" s="32">
        <f>SUMIFS( $J85:AW85, $J84:AW84, "&gt;=" &amp; AW84 - $F83 + 1, $J84:AW84, "&lt;=" &amp; AW84) * AW86</f>
        <v>0</v>
      </c>
      <c r="AX87" s="32">
        <f>SUMIFS( $J85:AX85, $J84:AX84, "&gt;=" &amp; AX84 - $F83 + 1, $J84:AX84, "&lt;=" &amp; AX84) * AX86</f>
        <v>0</v>
      </c>
      <c r="AY87" s="32">
        <f>SUMIFS( $J85:AY85, $J84:AY84, "&gt;=" &amp; AY84 - $F83 + 1, $J84:AY84, "&lt;=" &amp; AY84) * AY86</f>
        <v>0</v>
      </c>
      <c r="AZ87" s="32">
        <f>SUMIFS( $J85:AZ85, $J84:AZ84, "&gt;=" &amp; AZ84 - $F83 + 1, $J84:AZ84, "&lt;=" &amp; AZ84) * AZ86</f>
        <v>0</v>
      </c>
      <c r="BA87" s="32">
        <f>SUMIFS( $J85:BA85, $J84:BA84, "&gt;=" &amp; BA84 - $F83 + 1, $J84:BA84, "&lt;=" &amp; BA84) * BA86</f>
        <v>0</v>
      </c>
      <c r="BB87" s="32">
        <f>SUMIFS( $J85:BB85, $J84:BB84, "&gt;=" &amp; BB84 - $F83 + 1, $J84:BB84, "&lt;=" &amp; BB84) * BB86</f>
        <v>0</v>
      </c>
      <c r="BC87" s="32">
        <f>SUMIFS( $J85:BC85, $J84:BC84, "&gt;=" &amp; BC84 - $F83 + 1, $J84:BC84, "&lt;=" &amp; BC84) * BC86</f>
        <v>0</v>
      </c>
      <c r="BD87" s="32">
        <f>SUMIFS( $J85:BD85, $J84:BD84, "&gt;=" &amp; BD84 - $F83 + 1, $J84:BD84, "&lt;=" &amp; BD84) * BD86</f>
        <v>0</v>
      </c>
      <c r="BE87" s="32">
        <f>SUMIFS( $J85:BE85, $J84:BE84, "&gt;=" &amp; BE84 - $F83 + 1, $J84:BE84, "&lt;=" &amp; BE84) * BE86</f>
        <v>0</v>
      </c>
      <c r="BF87" s="32">
        <f>SUMIFS( $J85:BF85, $J84:BF84, "&gt;=" &amp; BF84 - $F83 + 1, $J84:BF84, "&lt;=" &amp; BF84) * BF86</f>
        <v>0</v>
      </c>
      <c r="BG87" s="32">
        <f>SUMIFS( $J85:BG85, $J84:BG84, "&gt;=" &amp; BG84 - $F83 + 1, $J84:BG84, "&lt;=" &amp; BG84) * BG86</f>
        <v>0</v>
      </c>
      <c r="BH87" s="32">
        <f>SUMIFS( $J85:BH85, $J84:BH84, "&gt;=" &amp; BH84 - $F83 + 1, $J84:BH84, "&lt;=" &amp; BH84) * BH86</f>
        <v>0</v>
      </c>
      <c r="BI87" s="32">
        <f>SUMIFS( $J85:BI85, $J84:BI84, "&gt;=" &amp; BI84 - $F83 + 1, $J84:BI84, "&lt;=" &amp; BI84) * BI86</f>
        <v>0</v>
      </c>
      <c r="BJ87" s="32">
        <f>SUMIFS( $J85:BJ85, $J84:BJ84, "&gt;=" &amp; BJ84 - $F83 + 1, $J84:BJ84, "&lt;=" &amp; BJ84) * BJ86</f>
        <v>0</v>
      </c>
      <c r="BK87" s="32">
        <f>SUMIFS( $J85:BK85, $J84:BK84, "&gt;=" &amp; BK84 - $F83 + 1, $J84:BK84, "&lt;=" &amp; BK84) * BK86</f>
        <v>0</v>
      </c>
      <c r="BL87" s="32">
        <f>SUMIFS( $J85:BL85, $J84:BL84, "&gt;=" &amp; BL84 - $F83 + 1, $J84:BL84, "&lt;=" &amp; BL84) * BL86</f>
        <v>0</v>
      </c>
      <c r="BM87" s="32">
        <f>SUMIFS( $J85:BM85, $J84:BM84, "&gt;=" &amp; BM84 - $F83 + 1, $J84:BM84, "&lt;=" &amp; BM84) * BM86</f>
        <v>0</v>
      </c>
      <c r="BN87" s="32">
        <f>SUMIFS( $J85:BN85, $J84:BN84, "&gt;=" &amp; BN84 - $F83 + 1, $J84:BN84, "&lt;=" &amp; BN84) * BN86</f>
        <v>0</v>
      </c>
      <c r="BO87" s="32">
        <f>SUMIFS( $J85:BO85, $J84:BO84, "&gt;=" &amp; BO84 - $F83 + 1, $J84:BO84, "&lt;=" &amp; BO84) * BO86</f>
        <v>0</v>
      </c>
      <c r="BP87" s="32">
        <f>SUMIFS( $J85:BP85, $J84:BP84, "&gt;=" &amp; BP84 - $F83 + 1, $J84:BP84, "&lt;=" &amp; BP84) * BP86</f>
        <v>0</v>
      </c>
      <c r="BQ87" s="32">
        <f>SUMIFS( $J85:BQ85, $J84:BQ84, "&gt;=" &amp; BQ84 - $F83 + 1, $J84:BQ84, "&lt;=" &amp; BQ84) * BQ86</f>
        <v>0</v>
      </c>
      <c r="BR87" s="32">
        <f>SUMIFS( $J85:BR85, $J84:BR84, "&gt;=" &amp; BR84 - $F83 + 1, $J84:BR84, "&lt;=" &amp; BR84) * BR86</f>
        <v>0</v>
      </c>
      <c r="BS87" s="32">
        <f>SUMIFS( $J85:BS85, $J84:BS84, "&gt;=" &amp; BS84 - $F83 + 1, $J84:BS84, "&lt;=" &amp; BS84) * BS86</f>
        <v>0</v>
      </c>
      <c r="BT87" s="32">
        <f>SUMIFS( $J85:BT85, $J84:BT84, "&gt;=" &amp; BT84 - $F83 + 1, $J84:BT84, "&lt;=" &amp; BT84) * BT86</f>
        <v>0</v>
      </c>
      <c r="BU87" s="32">
        <f>SUMIFS( $J85:BU85, $J84:BU84, "&gt;=" &amp; BU84 - $F83 + 1, $J84:BU84, "&lt;=" &amp; BU84) * BU86</f>
        <v>0</v>
      </c>
      <c r="BV87" s="32">
        <f>SUMIFS( $J85:BV85, $J84:BV84, "&gt;=" &amp; BV84 - $F83 + 1, $J84:BV84, "&lt;=" &amp; BV84) * BV86</f>
        <v>0</v>
      </c>
      <c r="BW87" s="32">
        <f>SUMIFS( $J85:BW85, $J84:BW84, "&gt;=" &amp; BW84 - $F83 + 1, $J84:BW84, "&lt;=" &amp; BW84) * BW86</f>
        <v>0</v>
      </c>
      <c r="BX87" s="32">
        <f>SUMIFS( $J85:BX85, $J84:BX84, "&gt;=" &amp; BX84 - $F83 + 1, $J84:BX84, "&lt;=" &amp; BX84) * BX86</f>
        <v>0</v>
      </c>
      <c r="BY87" s="32">
        <f>SUMIFS( $J85:BY85, $J84:BY84, "&gt;=" &amp; BY84 - $F83 + 1, $J84:BY84, "&lt;=" &amp; BY84) * BY86</f>
        <v>0</v>
      </c>
      <c r="BZ87" s="32">
        <f>SUMIFS( $J85:BZ85, $J84:BZ84, "&gt;=" &amp; BZ84 - $F83 + 1, $J84:BZ84, "&lt;=" &amp; BZ84) * BZ86</f>
        <v>0</v>
      </c>
      <c r="CA87" s="32">
        <f>SUMIFS( $J85:CA85, $J84:CA84, "&gt;=" &amp; CA84 - $F83 + 1, $J84:CA84, "&lt;=" &amp; CA84) * CA86</f>
        <v>0</v>
      </c>
      <c r="CB87" s="32">
        <f>SUMIFS( $J85:CB85, $J84:CB84, "&gt;=" &amp; CB84 - $F83 + 1, $J84:CB84, "&lt;=" &amp; CB84) * CB86</f>
        <v>0</v>
      </c>
      <c r="CC87" s="32">
        <f>SUMIFS( $J85:CC85, $J84:CC84, "&gt;=" &amp; CC84 - $F83 + 1, $J84:CC84, "&lt;=" &amp; CC84) * CC86</f>
        <v>0</v>
      </c>
      <c r="CD87" s="32">
        <f>SUMIFS( $J85:CD85, $J84:CD84, "&gt;=" &amp; CD84 - $F83 + 1, $J84:CD84, "&lt;=" &amp; CD84) * CD86</f>
        <v>0</v>
      </c>
      <c r="CE87" s="32">
        <f>SUMIFS( $J85:CE85, $J84:CE84, "&gt;=" &amp; CE84 - $F83 + 1, $J84:CE84, "&lt;=" &amp; CE84) * CE86</f>
        <v>0</v>
      </c>
      <c r="CF87" s="32">
        <f>SUMIFS( $J85:CF85, $J84:CF84, "&gt;=" &amp; CF84 - $F83 + 1, $J84:CF84, "&lt;=" &amp; CF84) * CF86</f>
        <v>0</v>
      </c>
      <c r="CG87" s="32">
        <f>SUMIFS( $J85:CG85, $J84:CG84, "&gt;=" &amp; CG84 - $F83 + 1, $J84:CG84, "&lt;=" &amp; CG84) * CG86</f>
        <v>0</v>
      </c>
      <c r="CH87" s="32">
        <f>SUMIFS( $J85:CH85, $J84:CH84, "&gt;=" &amp; CH84 - $F83 + 1, $J84:CH84, "&lt;=" &amp; CH84) * CH86</f>
        <v>0</v>
      </c>
      <c r="CI87" s="32">
        <f>SUMIFS( $J85:CI85, $J84:CI84, "&gt;=" &amp; CI84 - $F83 + 1, $J84:CI84, "&lt;=" &amp; CI84) * CI86</f>
        <v>0</v>
      </c>
      <c r="CJ87" s="32">
        <f>SUMIFS( $J85:CJ85, $J84:CJ84, "&gt;=" &amp; CJ84 - $F83 + 1, $J84:CJ84, "&lt;=" &amp; CJ84) * CJ86</f>
        <v>0</v>
      </c>
      <c r="CK87" s="32">
        <f>SUMIFS( $J85:CK85, $J84:CK84, "&gt;=" &amp; CK84 - $F83 + 1, $J84:CK84, "&lt;=" &amp; CK84) * CK86</f>
        <v>0</v>
      </c>
      <c r="CL87" s="32">
        <f>SUMIFS( $J85:CL85, $J84:CL84, "&gt;=" &amp; CL84 - $F83 + 1, $J84:CL84, "&lt;=" &amp; CL84) * CL86</f>
        <v>0</v>
      </c>
      <c r="CM87" s="32">
        <f>SUMIFS( $J85:CM85, $J84:CM84, "&gt;=" &amp; CM84 - $F83 + 1, $J84:CM84, "&lt;=" &amp; CM84) * CM86</f>
        <v>0</v>
      </c>
      <c r="CN87" s="32">
        <f>SUMIFS( $J85:CN85, $J84:CN84, "&gt;=" &amp; CN84 - $F83 + 1, $J84:CN84, "&lt;=" &amp; CN84) * CN86</f>
        <v>0</v>
      </c>
      <c r="CO87" s="32">
        <f>SUMIFS( $J85:CO85, $J84:CO84, "&gt;=" &amp; CO84 - $F83 + 1, $J84:CO84, "&lt;=" &amp; CO84) * CO86</f>
        <v>0</v>
      </c>
      <c r="CP87" s="32">
        <f>SUMIFS( $J85:CP85, $J84:CP84, "&gt;=" &amp; CP84 - $F83 + 1, $J84:CP84, "&lt;=" &amp; CP84) * CP86</f>
        <v>0</v>
      </c>
      <c r="CQ87" s="32">
        <f>SUMIFS( $J85:CQ85, $J84:CQ84, "&gt;=" &amp; CQ84 - $F83 + 1, $J84:CQ84, "&lt;=" &amp; CQ84) * CQ86</f>
        <v>0</v>
      </c>
      <c r="CR87" s="32">
        <f>SUMIFS( $J85:CR85, $J84:CR84, "&gt;=" &amp; CR84 - $F83 + 1, $J84:CR84, "&lt;=" &amp; CR84) * CR86</f>
        <v>0</v>
      </c>
      <c r="CS87" s="32">
        <f>SUMIFS( $J85:CS85, $J84:CS84, "&gt;=" &amp; CS84 - $F83 + 1, $J84:CS84, "&lt;=" &amp; CS84) * CS86</f>
        <v>0</v>
      </c>
      <c r="CT87" s="32">
        <f>SUMIFS( $J85:CT85, $J84:CT84, "&gt;=" &amp; CT84 - $F83 + 1, $J84:CT84, "&lt;=" &amp; CT84) * CT86</f>
        <v>0</v>
      </c>
      <c r="CU87" s="32">
        <f>SUMIFS( $J85:CU85, $J84:CU84, "&gt;=" &amp; CU84 - $F83 + 1, $J84:CU84, "&lt;=" &amp; CU84) * CU86</f>
        <v>0</v>
      </c>
      <c r="CV87" s="32">
        <f>SUMIFS( $J85:CV85, $J84:CV84, "&gt;=" &amp; CV84 - $F83 + 1, $J84:CV84, "&lt;=" &amp; CV84) * CV86</f>
        <v>0</v>
      </c>
    </row>
    <row r="88" spans="1:100" outlineLevel="1" x14ac:dyDescent="0.2">
      <c r="A88" s="33"/>
      <c r="B88" s="79"/>
      <c r="C88" s="561"/>
      <c r="D88" s="60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32"/>
    </row>
    <row r="89" spans="1:100" outlineLevel="1" x14ac:dyDescent="0.2">
      <c r="E89" s="198" t="str">
        <f t="shared" ref="E89:AJ89" si="39" xml:space="preserve"> E$87</f>
        <v>Annual CFADS</v>
      </c>
      <c r="F89" s="198">
        <f t="shared" si="39"/>
        <v>0</v>
      </c>
      <c r="G89" s="198" t="str">
        <f t="shared" si="39"/>
        <v>$ 000s</v>
      </c>
      <c r="H89" s="198">
        <f t="shared" si="39"/>
        <v>0</v>
      </c>
      <c r="I89" s="198">
        <f t="shared" si="39"/>
        <v>0</v>
      </c>
      <c r="J89" s="198">
        <f t="shared" si="39"/>
        <v>0</v>
      </c>
      <c r="K89" s="198">
        <f t="shared" si="39"/>
        <v>0</v>
      </c>
      <c r="L89" s="198">
        <f t="shared" si="39"/>
        <v>0</v>
      </c>
      <c r="M89" s="198">
        <f t="shared" si="39"/>
        <v>0</v>
      </c>
      <c r="N89" s="198">
        <f t="shared" si="39"/>
        <v>0</v>
      </c>
      <c r="O89" s="198">
        <f t="shared" si="39"/>
        <v>17761.335122000517</v>
      </c>
      <c r="P89" s="198">
        <f t="shared" si="39"/>
        <v>33468.747997357961</v>
      </c>
      <c r="Q89" s="198">
        <f t="shared" si="39"/>
        <v>31452.764401393128</v>
      </c>
      <c r="R89" s="198">
        <f t="shared" si="39"/>
        <v>31334.224312474544</v>
      </c>
      <c r="S89" s="198">
        <f t="shared" si="39"/>
        <v>31213.564268955986</v>
      </c>
      <c r="T89" s="198">
        <f t="shared" si="39"/>
        <v>31093.501426743605</v>
      </c>
      <c r="U89" s="198">
        <f t="shared" si="39"/>
        <v>30971.281637552616</v>
      </c>
      <c r="V89" s="198">
        <f t="shared" si="39"/>
        <v>30870.713773099989</v>
      </c>
      <c r="W89" s="198">
        <f t="shared" si="39"/>
        <v>30725.85089438274</v>
      </c>
      <c r="X89" s="198">
        <f t="shared" si="39"/>
        <v>30581.594452750451</v>
      </c>
      <c r="Y89" s="198">
        <f t="shared" si="39"/>
        <v>30477.20511212133</v>
      </c>
      <c r="Z89" s="198">
        <f t="shared" si="39"/>
        <v>30352.376830135414</v>
      </c>
      <c r="AA89" s="198">
        <f t="shared" si="39"/>
        <v>30225.276022449834</v>
      </c>
      <c r="AB89" s="198">
        <f t="shared" si="39"/>
        <v>30098.7913245175</v>
      </c>
      <c r="AC89" s="198">
        <f t="shared" si="39"/>
        <v>29969.993989054998</v>
      </c>
      <c r="AD89" s="198">
        <f t="shared" si="39"/>
        <v>29862.178432370143</v>
      </c>
      <c r="AE89" s="198">
        <f t="shared" si="39"/>
        <v>29711.287980084777</v>
      </c>
      <c r="AF89" s="198">
        <f t="shared" si="39"/>
        <v>29561.023764665159</v>
      </c>
      <c r="AG89" s="198">
        <f t="shared" si="39"/>
        <v>29449.085540050299</v>
      </c>
      <c r="AH89" s="198">
        <f t="shared" si="39"/>
        <v>29317.418128556259</v>
      </c>
      <c r="AI89" s="198">
        <f t="shared" si="39"/>
        <v>29183.312761162786</v>
      </c>
      <c r="AJ89" s="198">
        <f t="shared" si="39"/>
        <v>29049.844230461909</v>
      </c>
      <c r="AK89" s="198">
        <f t="shared" ref="AK89:BP89" si="40" xml:space="preserve"> AK$87</f>
        <v>28913.894254094004</v>
      </c>
      <c r="AL89" s="198">
        <f t="shared" si="40"/>
        <v>28798.219838275996</v>
      </c>
      <c r="AM89" s="198">
        <f t="shared" si="40"/>
        <v>28640.753118148768</v>
      </c>
      <c r="AN89" s="198">
        <f t="shared" si="40"/>
        <v>28483.934326269795</v>
      </c>
      <c r="AO89" s="198">
        <f t="shared" si="40"/>
        <v>28363.810910837692</v>
      </c>
      <c r="AP89" s="198">
        <f t="shared" si="40"/>
        <v>28224.707919219112</v>
      </c>
      <c r="AQ89" s="198">
        <f t="shared" si="40"/>
        <v>28082.987616837963</v>
      </c>
      <c r="AR89" s="198">
        <f t="shared" si="40"/>
        <v>27941.926845778755</v>
      </c>
      <c r="AS89" s="198">
        <f t="shared" si="40"/>
        <v>27798.201616329963</v>
      </c>
      <c r="AT89" s="198">
        <f t="shared" si="40"/>
        <v>27674.006503329198</v>
      </c>
      <c r="AU89" s="198">
        <f t="shared" si="40"/>
        <v>27509.369652697296</v>
      </c>
      <c r="AV89" s="198">
        <f t="shared" si="40"/>
        <v>27345.404468574467</v>
      </c>
      <c r="AW89" s="198">
        <f t="shared" si="40"/>
        <v>0</v>
      </c>
      <c r="AX89" s="198">
        <f t="shared" si="40"/>
        <v>0</v>
      </c>
      <c r="AY89" s="198">
        <f t="shared" si="40"/>
        <v>0</v>
      </c>
      <c r="AZ89" s="198">
        <f t="shared" si="40"/>
        <v>0</v>
      </c>
      <c r="BA89" s="198">
        <f t="shared" si="40"/>
        <v>0</v>
      </c>
      <c r="BB89" s="198">
        <f t="shared" si="40"/>
        <v>0</v>
      </c>
      <c r="BC89" s="198">
        <f t="shared" si="40"/>
        <v>0</v>
      </c>
      <c r="BD89" s="198">
        <f t="shared" si="40"/>
        <v>0</v>
      </c>
      <c r="BE89" s="198">
        <f t="shared" si="40"/>
        <v>0</v>
      </c>
      <c r="BF89" s="198">
        <f t="shared" si="40"/>
        <v>0</v>
      </c>
      <c r="BG89" s="198">
        <f t="shared" si="40"/>
        <v>0</v>
      </c>
      <c r="BH89" s="198">
        <f t="shared" si="40"/>
        <v>0</v>
      </c>
      <c r="BI89" s="198">
        <f t="shared" si="40"/>
        <v>0</v>
      </c>
      <c r="BJ89" s="198">
        <f t="shared" si="40"/>
        <v>0</v>
      </c>
      <c r="BK89" s="198">
        <f t="shared" si="40"/>
        <v>0</v>
      </c>
      <c r="BL89" s="198">
        <f t="shared" si="40"/>
        <v>0</v>
      </c>
      <c r="BM89" s="198">
        <f t="shared" si="40"/>
        <v>0</v>
      </c>
      <c r="BN89" s="198">
        <f t="shared" si="40"/>
        <v>0</v>
      </c>
      <c r="BO89" s="198">
        <f t="shared" si="40"/>
        <v>0</v>
      </c>
      <c r="BP89" s="198">
        <f t="shared" si="40"/>
        <v>0</v>
      </c>
      <c r="BQ89" s="198">
        <f t="shared" ref="BQ89:CV89" si="41" xml:space="preserve"> BQ$87</f>
        <v>0</v>
      </c>
      <c r="BR89" s="198">
        <f t="shared" si="41"/>
        <v>0</v>
      </c>
      <c r="BS89" s="198">
        <f t="shared" si="41"/>
        <v>0</v>
      </c>
      <c r="BT89" s="198">
        <f t="shared" si="41"/>
        <v>0</v>
      </c>
      <c r="BU89" s="198">
        <f t="shared" si="41"/>
        <v>0</v>
      </c>
      <c r="BV89" s="198">
        <f t="shared" si="41"/>
        <v>0</v>
      </c>
      <c r="BW89" s="198">
        <f t="shared" si="41"/>
        <v>0</v>
      </c>
      <c r="BX89" s="198">
        <f t="shared" si="41"/>
        <v>0</v>
      </c>
      <c r="BY89" s="198">
        <f t="shared" si="41"/>
        <v>0</v>
      </c>
      <c r="BZ89" s="198">
        <f t="shared" si="41"/>
        <v>0</v>
      </c>
      <c r="CA89" s="198">
        <f t="shared" si="41"/>
        <v>0</v>
      </c>
      <c r="CB89" s="198">
        <f t="shared" si="41"/>
        <v>0</v>
      </c>
      <c r="CC89" s="198">
        <f t="shared" si="41"/>
        <v>0</v>
      </c>
      <c r="CD89" s="198">
        <f t="shared" si="41"/>
        <v>0</v>
      </c>
      <c r="CE89" s="198">
        <f t="shared" si="41"/>
        <v>0</v>
      </c>
      <c r="CF89" s="198">
        <f t="shared" si="41"/>
        <v>0</v>
      </c>
      <c r="CG89" s="198">
        <f t="shared" si="41"/>
        <v>0</v>
      </c>
      <c r="CH89" s="198">
        <f t="shared" si="41"/>
        <v>0</v>
      </c>
      <c r="CI89" s="198">
        <f t="shared" si="41"/>
        <v>0</v>
      </c>
      <c r="CJ89" s="198">
        <f t="shared" si="41"/>
        <v>0</v>
      </c>
      <c r="CK89" s="198">
        <f t="shared" si="41"/>
        <v>0</v>
      </c>
      <c r="CL89" s="198">
        <f t="shared" si="41"/>
        <v>0</v>
      </c>
      <c r="CM89" s="198">
        <f t="shared" si="41"/>
        <v>0</v>
      </c>
      <c r="CN89" s="198">
        <f t="shared" si="41"/>
        <v>0</v>
      </c>
      <c r="CO89" s="198">
        <f t="shared" si="41"/>
        <v>0</v>
      </c>
      <c r="CP89" s="198">
        <f t="shared" si="41"/>
        <v>0</v>
      </c>
      <c r="CQ89" s="198">
        <f t="shared" si="41"/>
        <v>0</v>
      </c>
      <c r="CR89" s="198">
        <f t="shared" si="41"/>
        <v>0</v>
      </c>
      <c r="CS89" s="198">
        <f t="shared" si="41"/>
        <v>0</v>
      </c>
      <c r="CT89" s="198">
        <f t="shared" si="41"/>
        <v>0</v>
      </c>
      <c r="CU89" s="198">
        <f t="shared" si="41"/>
        <v>0</v>
      </c>
      <c r="CV89" s="198">
        <f t="shared" si="41"/>
        <v>0</v>
      </c>
    </row>
    <row r="90" spans="1:100" outlineLevel="1" x14ac:dyDescent="0.2">
      <c r="E90" s="198" t="str">
        <f t="shared" ref="E90:AJ90" si="42" xml:space="preserve"> E$81</f>
        <v>Annual debt service</v>
      </c>
      <c r="F90" s="198">
        <f t="shared" si="42"/>
        <v>0</v>
      </c>
      <c r="G90" s="198" t="str">
        <f t="shared" si="42"/>
        <v>$ 000s</v>
      </c>
      <c r="H90" s="198">
        <f t="shared" si="42"/>
        <v>0</v>
      </c>
      <c r="I90" s="198">
        <f t="shared" si="42"/>
        <v>0</v>
      </c>
      <c r="J90" s="198">
        <f t="shared" si="42"/>
        <v>0</v>
      </c>
      <c r="K90" s="198">
        <f t="shared" si="42"/>
        <v>0</v>
      </c>
      <c r="L90" s="198">
        <f t="shared" si="42"/>
        <v>0</v>
      </c>
      <c r="M90" s="198">
        <f t="shared" si="42"/>
        <v>0</v>
      </c>
      <c r="N90" s="198">
        <f t="shared" si="42"/>
        <v>0</v>
      </c>
      <c r="O90" s="198">
        <f t="shared" si="42"/>
        <v>12686.671356945051</v>
      </c>
      <c r="P90" s="198">
        <f t="shared" si="42"/>
        <v>23906.249670564208</v>
      </c>
      <c r="Q90" s="198">
        <f t="shared" si="42"/>
        <v>22466.261339878321</v>
      </c>
      <c r="R90" s="198">
        <f t="shared" si="42"/>
        <v>22381.589857677805</v>
      </c>
      <c r="S90" s="198">
        <f t="shared" si="42"/>
        <v>22295.404122197335</v>
      </c>
      <c r="T90" s="198">
        <f t="shared" si="42"/>
        <v>22209.644958698162</v>
      </c>
      <c r="U90" s="198">
        <f t="shared" si="42"/>
        <v>22122.345118739817</v>
      </c>
      <c r="V90" s="198">
        <f t="shared" si="42"/>
        <v>22050.510939841224</v>
      </c>
      <c r="W90" s="198">
        <f t="shared" si="42"/>
        <v>21947.037463305431</v>
      </c>
      <c r="X90" s="198">
        <f t="shared" si="42"/>
        <v>21843.997155393376</v>
      </c>
      <c r="Y90" s="198">
        <f t="shared" si="42"/>
        <v>21769.43335247042</v>
      </c>
      <c r="Z90" s="198">
        <f t="shared" si="42"/>
        <v>21680.270304689911</v>
      </c>
      <c r="AA90" s="198">
        <f t="shared" si="42"/>
        <v>21589.484021492724</v>
      </c>
      <c r="AB90" s="198">
        <f t="shared" si="42"/>
        <v>21499.137816129522</v>
      </c>
      <c r="AC90" s="198">
        <f t="shared" si="42"/>
        <v>21407.139726526941</v>
      </c>
      <c r="AD90" s="198">
        <f t="shared" si="42"/>
        <v>21330.128622375974</v>
      </c>
      <c r="AE90" s="198">
        <f t="shared" si="42"/>
        <v>21222.349733436698</v>
      </c>
      <c r="AF90" s="198">
        <f t="shared" si="42"/>
        <v>21115.018155389385</v>
      </c>
      <c r="AG90" s="198">
        <f t="shared" si="42"/>
        <v>21035.062286532604</v>
      </c>
      <c r="AH90" s="198">
        <f t="shared" si="42"/>
        <v>20941.014140040268</v>
      </c>
      <c r="AI90" s="198">
        <f t="shared" si="42"/>
        <v>20845.224603812345</v>
      </c>
      <c r="AJ90" s="198">
        <f t="shared" si="42"/>
        <v>20749.889950240329</v>
      </c>
      <c r="AK90" s="198">
        <f t="shared" ref="AK90:BP90" si="43" xml:space="preserve"> AK$81</f>
        <v>20652.782827362607</v>
      </c>
      <c r="AL90" s="198">
        <f t="shared" si="43"/>
        <v>20570.158248384141</v>
      </c>
      <c r="AM90" s="198">
        <f t="shared" si="43"/>
        <v>20457.682020771055</v>
      </c>
      <c r="AN90" s="198">
        <f t="shared" si="43"/>
        <v>20345.668597525007</v>
      </c>
      <c r="AO90" s="198">
        <f t="shared" si="43"/>
        <v>20259.866158827354</v>
      </c>
      <c r="AP90" s="198">
        <f t="shared" si="43"/>
        <v>20160.506878596912</v>
      </c>
      <c r="AQ90" s="198">
        <f t="shared" si="43"/>
        <v>20059.278089940621</v>
      </c>
      <c r="AR90" s="198">
        <f t="shared" si="43"/>
        <v>19958.520394322964</v>
      </c>
      <c r="AS90" s="198">
        <f t="shared" si="43"/>
        <v>19855.860987106975</v>
      </c>
      <c r="AT90" s="198">
        <f t="shared" si="43"/>
        <v>19767.152145899498</v>
      </c>
      <c r="AU90" s="198">
        <f t="shared" si="43"/>
        <v>19649.555863239511</v>
      </c>
      <c r="AV90" s="198">
        <f t="shared" si="43"/>
        <v>19532.441854054472</v>
      </c>
      <c r="AW90" s="198">
        <f t="shared" si="43"/>
        <v>0</v>
      </c>
      <c r="AX90" s="198">
        <f t="shared" si="43"/>
        <v>0</v>
      </c>
      <c r="AY90" s="198">
        <f t="shared" si="43"/>
        <v>0</v>
      </c>
      <c r="AZ90" s="198">
        <f t="shared" si="43"/>
        <v>0</v>
      </c>
      <c r="BA90" s="198">
        <f t="shared" si="43"/>
        <v>0</v>
      </c>
      <c r="BB90" s="198">
        <f t="shared" si="43"/>
        <v>0</v>
      </c>
      <c r="BC90" s="198">
        <f t="shared" si="43"/>
        <v>0</v>
      </c>
      <c r="BD90" s="198">
        <f t="shared" si="43"/>
        <v>0</v>
      </c>
      <c r="BE90" s="198">
        <f t="shared" si="43"/>
        <v>0</v>
      </c>
      <c r="BF90" s="198">
        <f t="shared" si="43"/>
        <v>0</v>
      </c>
      <c r="BG90" s="198">
        <f t="shared" si="43"/>
        <v>0</v>
      </c>
      <c r="BH90" s="198">
        <f t="shared" si="43"/>
        <v>0</v>
      </c>
      <c r="BI90" s="198">
        <f t="shared" si="43"/>
        <v>0</v>
      </c>
      <c r="BJ90" s="198">
        <f t="shared" si="43"/>
        <v>0</v>
      </c>
      <c r="BK90" s="198">
        <f t="shared" si="43"/>
        <v>0</v>
      </c>
      <c r="BL90" s="198">
        <f t="shared" si="43"/>
        <v>0</v>
      </c>
      <c r="BM90" s="198">
        <f t="shared" si="43"/>
        <v>0</v>
      </c>
      <c r="BN90" s="198">
        <f t="shared" si="43"/>
        <v>0</v>
      </c>
      <c r="BO90" s="198">
        <f t="shared" si="43"/>
        <v>0</v>
      </c>
      <c r="BP90" s="198">
        <f t="shared" si="43"/>
        <v>0</v>
      </c>
      <c r="BQ90" s="198">
        <f t="shared" ref="BQ90:CV90" si="44" xml:space="preserve"> BQ$81</f>
        <v>0</v>
      </c>
      <c r="BR90" s="198">
        <f t="shared" si="44"/>
        <v>0</v>
      </c>
      <c r="BS90" s="198">
        <f t="shared" si="44"/>
        <v>0</v>
      </c>
      <c r="BT90" s="198">
        <f t="shared" si="44"/>
        <v>0</v>
      </c>
      <c r="BU90" s="198">
        <f t="shared" si="44"/>
        <v>0</v>
      </c>
      <c r="BV90" s="198">
        <f t="shared" si="44"/>
        <v>0</v>
      </c>
      <c r="BW90" s="198">
        <f t="shared" si="44"/>
        <v>0</v>
      </c>
      <c r="BX90" s="198">
        <f t="shared" si="44"/>
        <v>0</v>
      </c>
      <c r="BY90" s="198">
        <f t="shared" si="44"/>
        <v>0</v>
      </c>
      <c r="BZ90" s="198">
        <f t="shared" si="44"/>
        <v>0</v>
      </c>
      <c r="CA90" s="198">
        <f t="shared" si="44"/>
        <v>0</v>
      </c>
      <c r="CB90" s="198">
        <f t="shared" si="44"/>
        <v>0</v>
      </c>
      <c r="CC90" s="198">
        <f t="shared" si="44"/>
        <v>0</v>
      </c>
      <c r="CD90" s="198">
        <f t="shared" si="44"/>
        <v>0</v>
      </c>
      <c r="CE90" s="198">
        <f t="shared" si="44"/>
        <v>0</v>
      </c>
      <c r="CF90" s="198">
        <f t="shared" si="44"/>
        <v>0</v>
      </c>
      <c r="CG90" s="198">
        <f t="shared" si="44"/>
        <v>0</v>
      </c>
      <c r="CH90" s="198">
        <f t="shared" si="44"/>
        <v>0</v>
      </c>
      <c r="CI90" s="198">
        <f t="shared" si="44"/>
        <v>0</v>
      </c>
      <c r="CJ90" s="198">
        <f t="shared" si="44"/>
        <v>0</v>
      </c>
      <c r="CK90" s="198">
        <f t="shared" si="44"/>
        <v>0</v>
      </c>
      <c r="CL90" s="198">
        <f t="shared" si="44"/>
        <v>0</v>
      </c>
      <c r="CM90" s="198">
        <f t="shared" si="44"/>
        <v>0</v>
      </c>
      <c r="CN90" s="198">
        <f t="shared" si="44"/>
        <v>0</v>
      </c>
      <c r="CO90" s="198">
        <f t="shared" si="44"/>
        <v>0</v>
      </c>
      <c r="CP90" s="198">
        <f t="shared" si="44"/>
        <v>0</v>
      </c>
      <c r="CQ90" s="198">
        <f t="shared" si="44"/>
        <v>0</v>
      </c>
      <c r="CR90" s="198">
        <f t="shared" si="44"/>
        <v>0</v>
      </c>
      <c r="CS90" s="198">
        <f t="shared" si="44"/>
        <v>0</v>
      </c>
      <c r="CT90" s="198">
        <f t="shared" si="44"/>
        <v>0</v>
      </c>
      <c r="CU90" s="198">
        <f t="shared" si="44"/>
        <v>0</v>
      </c>
      <c r="CV90" s="198">
        <f t="shared" si="44"/>
        <v>0</v>
      </c>
    </row>
    <row r="91" spans="1:100" outlineLevel="1" x14ac:dyDescent="0.2">
      <c r="A91" s="85"/>
      <c r="B91" s="85"/>
      <c r="C91" s="86"/>
      <c r="D91" s="87"/>
      <c r="E91" s="189" t="str">
        <f xml:space="preserve"> Time!E$214</f>
        <v>Senior debt repayment period flag</v>
      </c>
      <c r="F91" s="189">
        <f xml:space="preserve"> Time!F$214</f>
        <v>0</v>
      </c>
      <c r="G91" s="189" t="str">
        <f xml:space="preserve"> Time!G$214</f>
        <v>flag</v>
      </c>
      <c r="H91" s="189">
        <f xml:space="preserve"> Time!H$214</f>
        <v>34</v>
      </c>
      <c r="I91" s="189">
        <f xml:space="preserve"> Time!I$214</f>
        <v>0</v>
      </c>
      <c r="J91" s="189">
        <f xml:space="preserve"> Time!J$214</f>
        <v>0</v>
      </c>
      <c r="K91" s="189">
        <f xml:space="preserve"> Time!K$214</f>
        <v>0</v>
      </c>
      <c r="L91" s="189">
        <f xml:space="preserve"> Time!L$214</f>
        <v>0</v>
      </c>
      <c r="M91" s="189">
        <f xml:space="preserve"> Time!M$214</f>
        <v>0</v>
      </c>
      <c r="N91" s="189">
        <f xml:space="preserve"> Time!N$214</f>
        <v>0</v>
      </c>
      <c r="O91" s="189">
        <f xml:space="preserve"> Time!O$214</f>
        <v>1</v>
      </c>
      <c r="P91" s="189">
        <f xml:space="preserve"> Time!P$214</f>
        <v>1</v>
      </c>
      <c r="Q91" s="189">
        <f xml:space="preserve"> Time!Q$214</f>
        <v>1</v>
      </c>
      <c r="R91" s="189">
        <f xml:space="preserve"> Time!R$214</f>
        <v>1</v>
      </c>
      <c r="S91" s="189">
        <f xml:space="preserve"> Time!S$214</f>
        <v>1</v>
      </c>
      <c r="T91" s="189">
        <f xml:space="preserve"> Time!T$214</f>
        <v>1</v>
      </c>
      <c r="U91" s="189">
        <f xml:space="preserve"> Time!U$214</f>
        <v>1</v>
      </c>
      <c r="V91" s="189">
        <f xml:space="preserve"> Time!V$214</f>
        <v>1</v>
      </c>
      <c r="W91" s="189">
        <f xml:space="preserve"> Time!W$214</f>
        <v>1</v>
      </c>
      <c r="X91" s="189">
        <f xml:space="preserve"> Time!X$214</f>
        <v>1</v>
      </c>
      <c r="Y91" s="189">
        <f xml:space="preserve"> Time!Y$214</f>
        <v>1</v>
      </c>
      <c r="Z91" s="189">
        <f xml:space="preserve"> Time!Z$214</f>
        <v>1</v>
      </c>
      <c r="AA91" s="189">
        <f xml:space="preserve"> Time!AA$214</f>
        <v>1</v>
      </c>
      <c r="AB91" s="189">
        <f xml:space="preserve"> Time!AB$214</f>
        <v>1</v>
      </c>
      <c r="AC91" s="189">
        <f xml:space="preserve"> Time!AC$214</f>
        <v>1</v>
      </c>
      <c r="AD91" s="189">
        <f xml:space="preserve"> Time!AD$214</f>
        <v>1</v>
      </c>
      <c r="AE91" s="189">
        <f xml:space="preserve"> Time!AE$214</f>
        <v>1</v>
      </c>
      <c r="AF91" s="189">
        <f xml:space="preserve"> Time!AF$214</f>
        <v>1</v>
      </c>
      <c r="AG91" s="189">
        <f xml:space="preserve"> Time!AG$214</f>
        <v>1</v>
      </c>
      <c r="AH91" s="189">
        <f xml:space="preserve"> Time!AH$214</f>
        <v>1</v>
      </c>
      <c r="AI91" s="189">
        <f xml:space="preserve"> Time!AI$214</f>
        <v>1</v>
      </c>
      <c r="AJ91" s="189">
        <f xml:space="preserve"> Time!AJ$214</f>
        <v>1</v>
      </c>
      <c r="AK91" s="189">
        <f xml:space="preserve"> Time!AK$214</f>
        <v>1</v>
      </c>
      <c r="AL91" s="189">
        <f xml:space="preserve"> Time!AL$214</f>
        <v>1</v>
      </c>
      <c r="AM91" s="189">
        <f xml:space="preserve"> Time!AM$214</f>
        <v>1</v>
      </c>
      <c r="AN91" s="189">
        <f xml:space="preserve"> Time!AN$214</f>
        <v>1</v>
      </c>
      <c r="AO91" s="189">
        <f xml:space="preserve"> Time!AO$214</f>
        <v>1</v>
      </c>
      <c r="AP91" s="189">
        <f xml:space="preserve"> Time!AP$214</f>
        <v>1</v>
      </c>
      <c r="AQ91" s="189">
        <f xml:space="preserve"> Time!AQ$214</f>
        <v>1</v>
      </c>
      <c r="AR91" s="189">
        <f xml:space="preserve"> Time!AR$214</f>
        <v>1</v>
      </c>
      <c r="AS91" s="189">
        <f xml:space="preserve"> Time!AS$214</f>
        <v>1</v>
      </c>
      <c r="AT91" s="189">
        <f xml:space="preserve"> Time!AT$214</f>
        <v>1</v>
      </c>
      <c r="AU91" s="189">
        <f xml:space="preserve"> Time!AU$214</f>
        <v>1</v>
      </c>
      <c r="AV91" s="189">
        <f xml:space="preserve"> Time!AV$214</f>
        <v>1</v>
      </c>
      <c r="AW91" s="189">
        <f xml:space="preserve"> Time!AW$214</f>
        <v>0</v>
      </c>
      <c r="AX91" s="189">
        <f xml:space="preserve"> Time!AX$214</f>
        <v>0</v>
      </c>
      <c r="AY91" s="189">
        <f xml:space="preserve"> Time!AY$214</f>
        <v>0</v>
      </c>
      <c r="AZ91" s="189">
        <f xml:space="preserve"> Time!AZ$214</f>
        <v>0</v>
      </c>
      <c r="BA91" s="189">
        <f xml:space="preserve"> Time!BA$214</f>
        <v>0</v>
      </c>
      <c r="BB91" s="189">
        <f xml:space="preserve"> Time!BB$214</f>
        <v>0</v>
      </c>
      <c r="BC91" s="189">
        <f xml:space="preserve"> Time!BC$214</f>
        <v>0</v>
      </c>
      <c r="BD91" s="189">
        <f xml:space="preserve"> Time!BD$214</f>
        <v>0</v>
      </c>
      <c r="BE91" s="189">
        <f xml:space="preserve"> Time!BE$214</f>
        <v>0</v>
      </c>
      <c r="BF91" s="189">
        <f xml:space="preserve"> Time!BF$214</f>
        <v>0</v>
      </c>
      <c r="BG91" s="189">
        <f xml:space="preserve"> Time!BG$214</f>
        <v>0</v>
      </c>
      <c r="BH91" s="189">
        <f xml:space="preserve"> Time!BH$214</f>
        <v>0</v>
      </c>
      <c r="BI91" s="189">
        <f xml:space="preserve"> Time!BI$214</f>
        <v>0</v>
      </c>
      <c r="BJ91" s="189">
        <f xml:space="preserve"> Time!BJ$214</f>
        <v>0</v>
      </c>
      <c r="BK91" s="189">
        <f xml:space="preserve"> Time!BK$214</f>
        <v>0</v>
      </c>
      <c r="BL91" s="189">
        <f xml:space="preserve"> Time!BL$214</f>
        <v>0</v>
      </c>
      <c r="BM91" s="189">
        <f xml:space="preserve"> Time!BM$214</f>
        <v>0</v>
      </c>
      <c r="BN91" s="189">
        <f xml:space="preserve"> Time!BN$214</f>
        <v>0</v>
      </c>
      <c r="BO91" s="189">
        <f xml:space="preserve"> Time!BO$214</f>
        <v>0</v>
      </c>
      <c r="BP91" s="189">
        <f xml:space="preserve"> Time!BP$214</f>
        <v>0</v>
      </c>
      <c r="BQ91" s="189">
        <f xml:space="preserve"> Time!BQ$214</f>
        <v>0</v>
      </c>
      <c r="BR91" s="189">
        <f xml:space="preserve"> Time!BR$214</f>
        <v>0</v>
      </c>
      <c r="BS91" s="189">
        <f xml:space="preserve"> Time!BS$214</f>
        <v>0</v>
      </c>
      <c r="BT91" s="189">
        <f xml:space="preserve"> Time!BT$214</f>
        <v>0</v>
      </c>
      <c r="BU91" s="189">
        <f xml:space="preserve"> Time!BU$214</f>
        <v>0</v>
      </c>
      <c r="BV91" s="189">
        <f xml:space="preserve"> Time!BV$214</f>
        <v>0</v>
      </c>
      <c r="BW91" s="189">
        <f xml:space="preserve"> Time!BW$214</f>
        <v>0</v>
      </c>
      <c r="BX91" s="189">
        <f xml:space="preserve"> Time!BX$214</f>
        <v>0</v>
      </c>
      <c r="BY91" s="189">
        <f xml:space="preserve"> Time!BY$214</f>
        <v>0</v>
      </c>
      <c r="BZ91" s="189">
        <f xml:space="preserve"> Time!BZ$214</f>
        <v>0</v>
      </c>
      <c r="CA91" s="189">
        <f xml:space="preserve"> Time!CA$214</f>
        <v>0</v>
      </c>
      <c r="CB91" s="189">
        <f xml:space="preserve"> Time!CB$214</f>
        <v>0</v>
      </c>
      <c r="CC91" s="189">
        <f xml:space="preserve"> Time!CC$214</f>
        <v>0</v>
      </c>
      <c r="CD91" s="189">
        <f xml:space="preserve"> Time!CD$214</f>
        <v>0</v>
      </c>
      <c r="CE91" s="189">
        <f xml:space="preserve"> Time!CE$214</f>
        <v>0</v>
      </c>
      <c r="CF91" s="189">
        <f xml:space="preserve"> Time!CF$214</f>
        <v>0</v>
      </c>
      <c r="CG91" s="189">
        <f xml:space="preserve"> Time!CG$214</f>
        <v>0</v>
      </c>
      <c r="CH91" s="189">
        <f xml:space="preserve"> Time!CH$214</f>
        <v>0</v>
      </c>
      <c r="CI91" s="189">
        <f xml:space="preserve"> Time!CI$214</f>
        <v>0</v>
      </c>
      <c r="CJ91" s="189">
        <f xml:space="preserve"> Time!CJ$214</f>
        <v>0</v>
      </c>
      <c r="CK91" s="189">
        <f xml:space="preserve"> Time!CK$214</f>
        <v>0</v>
      </c>
      <c r="CL91" s="189">
        <f xml:space="preserve"> Time!CL$214</f>
        <v>0</v>
      </c>
      <c r="CM91" s="189">
        <f xml:space="preserve"> Time!CM$214</f>
        <v>0</v>
      </c>
      <c r="CN91" s="189">
        <f xml:space="preserve"> Time!CN$214</f>
        <v>0</v>
      </c>
      <c r="CO91" s="189">
        <f xml:space="preserve"> Time!CO$214</f>
        <v>0</v>
      </c>
      <c r="CP91" s="189">
        <f xml:space="preserve"> Time!CP$214</f>
        <v>0</v>
      </c>
      <c r="CQ91" s="189">
        <f xml:space="preserve"> Time!CQ$214</f>
        <v>0</v>
      </c>
      <c r="CR91" s="189">
        <f xml:space="preserve"> Time!CR$214</f>
        <v>0</v>
      </c>
      <c r="CS91" s="189">
        <f xml:space="preserve"> Time!CS$214</f>
        <v>0</v>
      </c>
      <c r="CT91" s="189">
        <f xml:space="preserve"> Time!CT$214</f>
        <v>0</v>
      </c>
      <c r="CU91" s="189">
        <f xml:space="preserve"> Time!CU$214</f>
        <v>0</v>
      </c>
      <c r="CV91" s="189">
        <f xml:space="preserve"> Time!CV$214</f>
        <v>0</v>
      </c>
    </row>
    <row r="92" spans="1:100" outlineLevel="1" x14ac:dyDescent="0.2">
      <c r="E92" s="12" t="s">
        <v>387</v>
      </c>
      <c r="G92" s="12" t="s">
        <v>164</v>
      </c>
      <c r="J92" s="82" t="str">
        <f t="shared" ref="J92:AO92" si="45" xml:space="preserve"> IF( AND(J91 = 1, J90 &gt; CHK_TOL), J89 / J90, "na")</f>
        <v>na</v>
      </c>
      <c r="K92" s="82" t="str">
        <f t="shared" si="45"/>
        <v>na</v>
      </c>
      <c r="L92" s="82" t="str">
        <f t="shared" si="45"/>
        <v>na</v>
      </c>
      <c r="M92" s="82" t="str">
        <f t="shared" si="45"/>
        <v>na</v>
      </c>
      <c r="N92" s="82" t="str">
        <f t="shared" si="45"/>
        <v>na</v>
      </c>
      <c r="O92" s="82">
        <f t="shared" si="45"/>
        <v>1.3999996234061385</v>
      </c>
      <c r="P92" s="82">
        <f t="shared" si="45"/>
        <v>1.3999999355218007</v>
      </c>
      <c r="Q92" s="82">
        <f t="shared" si="45"/>
        <v>1.3999999343710776</v>
      </c>
      <c r="R92" s="82">
        <f t="shared" si="45"/>
        <v>1.3999999335045279</v>
      </c>
      <c r="S92" s="82">
        <f t="shared" si="45"/>
        <v>1.3999999326264609</v>
      </c>
      <c r="T92" s="82">
        <f t="shared" si="45"/>
        <v>1.3999999317668597</v>
      </c>
      <c r="U92" s="82">
        <f t="shared" si="45"/>
        <v>1.3999999308986855</v>
      </c>
      <c r="V92" s="82">
        <f t="shared" si="45"/>
        <v>1.3999999300389125</v>
      </c>
      <c r="W92" s="82">
        <f t="shared" si="45"/>
        <v>1.3999999291820198</v>
      </c>
      <c r="X92" s="82">
        <f t="shared" si="45"/>
        <v>1.3999999283647464</v>
      </c>
      <c r="Y92" s="82">
        <f t="shared" si="45"/>
        <v>1.3999999273597419</v>
      </c>
      <c r="Z92" s="82">
        <f t="shared" si="45"/>
        <v>1.3999999263648266</v>
      </c>
      <c r="AA92" s="82">
        <f t="shared" si="45"/>
        <v>1.3999999255359703</v>
      </c>
      <c r="AB92" s="82">
        <f t="shared" si="45"/>
        <v>1.3999999247381991</v>
      </c>
      <c r="AC92" s="82">
        <f t="shared" si="45"/>
        <v>1.399999923946742</v>
      </c>
      <c r="AD92" s="82">
        <f t="shared" si="45"/>
        <v>1.3999999231623845</v>
      </c>
      <c r="AE92" s="82">
        <f t="shared" si="45"/>
        <v>1.3999999224060191</v>
      </c>
      <c r="AF92" s="82">
        <f t="shared" si="45"/>
        <v>1.3999999217201724</v>
      </c>
      <c r="AG92" s="82">
        <f t="shared" si="45"/>
        <v>1.3999999210320691</v>
      </c>
      <c r="AH92" s="82">
        <f t="shared" si="45"/>
        <v>1.3999999203715683</v>
      </c>
      <c r="AI92" s="82">
        <f t="shared" si="45"/>
        <v>1.39999991920574</v>
      </c>
      <c r="AJ92" s="82">
        <f t="shared" si="45"/>
        <v>1.3999999180779004</v>
      </c>
      <c r="AK92" s="82">
        <f t="shared" si="45"/>
        <v>1.3999999174826143</v>
      </c>
      <c r="AL92" s="82">
        <f t="shared" si="45"/>
        <v>1.3999999168960306</v>
      </c>
      <c r="AM92" s="82">
        <f t="shared" si="45"/>
        <v>1.3999999163673231</v>
      </c>
      <c r="AN92" s="82">
        <f t="shared" si="45"/>
        <v>1.3999999159395915</v>
      </c>
      <c r="AO92" s="82">
        <f t="shared" si="45"/>
        <v>1.3999999155216234</v>
      </c>
      <c r="AP92" s="82">
        <f t="shared" ref="AP92:BU92" si="46" xml:space="preserve"> IF( AND(AP91 = 1, AP90 &gt; CHK_TOL), AP89 / AP90, "na")</f>
        <v>1.3999999151402007</v>
      </c>
      <c r="AQ92" s="82">
        <f t="shared" si="46"/>
        <v>1.3999999147985835</v>
      </c>
      <c r="AR92" s="82">
        <f t="shared" si="46"/>
        <v>1.3999999145090236</v>
      </c>
      <c r="AS92" s="82">
        <f t="shared" si="46"/>
        <v>1.3999998103522278</v>
      </c>
      <c r="AT92" s="82">
        <f t="shared" si="46"/>
        <v>1.3999996711245986</v>
      </c>
      <c r="AU92" s="82">
        <f t="shared" si="46"/>
        <v>1.3999995645785543</v>
      </c>
      <c r="AV92" s="82">
        <f t="shared" si="46"/>
        <v>1.3999992767365237</v>
      </c>
      <c r="AW92" s="82" t="str">
        <f t="shared" si="46"/>
        <v>na</v>
      </c>
      <c r="AX92" s="82" t="str">
        <f t="shared" si="46"/>
        <v>na</v>
      </c>
      <c r="AY92" s="82" t="str">
        <f t="shared" si="46"/>
        <v>na</v>
      </c>
      <c r="AZ92" s="82" t="str">
        <f t="shared" si="46"/>
        <v>na</v>
      </c>
      <c r="BA92" s="82" t="str">
        <f t="shared" si="46"/>
        <v>na</v>
      </c>
      <c r="BB92" s="82" t="str">
        <f t="shared" si="46"/>
        <v>na</v>
      </c>
      <c r="BC92" s="82" t="str">
        <f t="shared" si="46"/>
        <v>na</v>
      </c>
      <c r="BD92" s="82" t="str">
        <f t="shared" si="46"/>
        <v>na</v>
      </c>
      <c r="BE92" s="82" t="str">
        <f t="shared" si="46"/>
        <v>na</v>
      </c>
      <c r="BF92" s="82" t="str">
        <f t="shared" si="46"/>
        <v>na</v>
      </c>
      <c r="BG92" s="82" t="str">
        <f t="shared" si="46"/>
        <v>na</v>
      </c>
      <c r="BH92" s="82" t="str">
        <f t="shared" si="46"/>
        <v>na</v>
      </c>
      <c r="BI92" s="82" t="str">
        <f t="shared" si="46"/>
        <v>na</v>
      </c>
      <c r="BJ92" s="82" t="str">
        <f t="shared" si="46"/>
        <v>na</v>
      </c>
      <c r="BK92" s="82" t="str">
        <f t="shared" si="46"/>
        <v>na</v>
      </c>
      <c r="BL92" s="82" t="str">
        <f t="shared" si="46"/>
        <v>na</v>
      </c>
      <c r="BM92" s="82" t="str">
        <f t="shared" si="46"/>
        <v>na</v>
      </c>
      <c r="BN92" s="82" t="str">
        <f t="shared" si="46"/>
        <v>na</v>
      </c>
      <c r="BO92" s="82" t="str">
        <f t="shared" si="46"/>
        <v>na</v>
      </c>
      <c r="BP92" s="82" t="str">
        <f t="shared" si="46"/>
        <v>na</v>
      </c>
      <c r="BQ92" s="82" t="str">
        <f t="shared" si="46"/>
        <v>na</v>
      </c>
      <c r="BR92" s="82" t="str">
        <f t="shared" si="46"/>
        <v>na</v>
      </c>
      <c r="BS92" s="82" t="str">
        <f t="shared" si="46"/>
        <v>na</v>
      </c>
      <c r="BT92" s="82" t="str">
        <f t="shared" si="46"/>
        <v>na</v>
      </c>
      <c r="BU92" s="82" t="str">
        <f t="shared" si="46"/>
        <v>na</v>
      </c>
      <c r="BV92" s="82" t="str">
        <f t="shared" ref="BV92:CV92" si="47" xml:space="preserve"> IF( AND(BV91 = 1, BV90 &gt; CHK_TOL), BV89 / BV90, "na")</f>
        <v>na</v>
      </c>
      <c r="BW92" s="82" t="str">
        <f t="shared" si="47"/>
        <v>na</v>
      </c>
      <c r="BX92" s="82" t="str">
        <f t="shared" si="47"/>
        <v>na</v>
      </c>
      <c r="BY92" s="82" t="str">
        <f t="shared" si="47"/>
        <v>na</v>
      </c>
      <c r="BZ92" s="82" t="str">
        <f t="shared" si="47"/>
        <v>na</v>
      </c>
      <c r="CA92" s="82" t="str">
        <f t="shared" si="47"/>
        <v>na</v>
      </c>
      <c r="CB92" s="82" t="str">
        <f t="shared" si="47"/>
        <v>na</v>
      </c>
      <c r="CC92" s="82" t="str">
        <f t="shared" si="47"/>
        <v>na</v>
      </c>
      <c r="CD92" s="82" t="str">
        <f t="shared" si="47"/>
        <v>na</v>
      </c>
      <c r="CE92" s="82" t="str">
        <f t="shared" si="47"/>
        <v>na</v>
      </c>
      <c r="CF92" s="82" t="str">
        <f t="shared" si="47"/>
        <v>na</v>
      </c>
      <c r="CG92" s="82" t="str">
        <f t="shared" si="47"/>
        <v>na</v>
      </c>
      <c r="CH92" s="82" t="str">
        <f t="shared" si="47"/>
        <v>na</v>
      </c>
      <c r="CI92" s="82" t="str">
        <f t="shared" si="47"/>
        <v>na</v>
      </c>
      <c r="CJ92" s="82" t="str">
        <f t="shared" si="47"/>
        <v>na</v>
      </c>
      <c r="CK92" s="82" t="str">
        <f t="shared" si="47"/>
        <v>na</v>
      </c>
      <c r="CL92" s="82" t="str">
        <f t="shared" si="47"/>
        <v>na</v>
      </c>
      <c r="CM92" s="82" t="str">
        <f t="shared" si="47"/>
        <v>na</v>
      </c>
      <c r="CN92" s="82" t="str">
        <f t="shared" si="47"/>
        <v>na</v>
      </c>
      <c r="CO92" s="82" t="str">
        <f t="shared" si="47"/>
        <v>na</v>
      </c>
      <c r="CP92" s="82" t="str">
        <f t="shared" si="47"/>
        <v>na</v>
      </c>
      <c r="CQ92" s="82" t="str">
        <f t="shared" si="47"/>
        <v>na</v>
      </c>
      <c r="CR92" s="82" t="str">
        <f t="shared" si="47"/>
        <v>na</v>
      </c>
      <c r="CS92" s="82" t="str">
        <f t="shared" si="47"/>
        <v>na</v>
      </c>
      <c r="CT92" s="82" t="str">
        <f t="shared" si="47"/>
        <v>na</v>
      </c>
      <c r="CU92" s="82" t="str">
        <f t="shared" si="47"/>
        <v>na</v>
      </c>
      <c r="CV92" s="82" t="str">
        <f t="shared" si="47"/>
        <v>na</v>
      </c>
    </row>
    <row r="93" spans="1:100" outlineLevel="1" x14ac:dyDescent="0.2"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2"/>
      <c r="AW93" s="82"/>
      <c r="AX93" s="82"/>
      <c r="AY93" s="82"/>
      <c r="AZ93" s="82"/>
      <c r="BA93" s="82"/>
      <c r="BB93" s="82"/>
      <c r="BC93" s="82"/>
      <c r="BD93" s="82"/>
      <c r="BE93" s="82"/>
      <c r="BF93" s="82"/>
      <c r="BG93" s="82"/>
      <c r="BH93" s="82"/>
      <c r="BI93" s="82"/>
      <c r="BJ93" s="82"/>
      <c r="BK93" s="82"/>
      <c r="BL93" s="82"/>
      <c r="BM93" s="82"/>
      <c r="BN93" s="82"/>
      <c r="BO93" s="82"/>
      <c r="BP93" s="82"/>
      <c r="BQ93" s="82"/>
      <c r="BR93" s="82"/>
      <c r="BS93" s="82"/>
      <c r="BT93" s="82"/>
      <c r="BU93" s="82"/>
      <c r="BV93" s="82"/>
      <c r="BW93" s="82"/>
      <c r="BX93" s="82"/>
      <c r="BY93" s="82"/>
      <c r="BZ93" s="82"/>
      <c r="CA93" s="82"/>
      <c r="CB93" s="82"/>
      <c r="CC93" s="82"/>
      <c r="CD93" s="82"/>
      <c r="CE93" s="82"/>
      <c r="CF93" s="82"/>
      <c r="CG93" s="82"/>
      <c r="CH93" s="82"/>
      <c r="CI93" s="82"/>
      <c r="CJ93" s="82"/>
      <c r="CK93" s="82"/>
      <c r="CL93" s="82"/>
      <c r="CM93" s="82"/>
      <c r="CN93" s="82"/>
      <c r="CO93" s="82"/>
      <c r="CP93" s="82"/>
      <c r="CQ93" s="82"/>
      <c r="CR93" s="82"/>
      <c r="CS93" s="82"/>
      <c r="CT93" s="82"/>
      <c r="CU93" s="82"/>
      <c r="CV93" s="82"/>
    </row>
    <row r="94" spans="1:100" s="280" customFormat="1" outlineLevel="1" x14ac:dyDescent="0.2">
      <c r="A94" s="278"/>
      <c r="B94" s="278"/>
      <c r="C94" s="410"/>
      <c r="D94" s="279"/>
      <c r="E94" s="82" t="str">
        <f t="shared" ref="E94:AJ94" si="48" xml:space="preserve"> E$92</f>
        <v>Senior annual debt service coverage ratio</v>
      </c>
      <c r="F94" s="82">
        <f t="shared" si="48"/>
        <v>0</v>
      </c>
      <c r="G94" s="82" t="str">
        <f t="shared" si="48"/>
        <v>ratio</v>
      </c>
      <c r="H94" s="82">
        <f t="shared" si="48"/>
        <v>0</v>
      </c>
      <c r="I94" s="82">
        <f t="shared" si="48"/>
        <v>0</v>
      </c>
      <c r="J94" s="82" t="str">
        <f t="shared" si="48"/>
        <v>na</v>
      </c>
      <c r="K94" s="82" t="str">
        <f t="shared" si="48"/>
        <v>na</v>
      </c>
      <c r="L94" s="82" t="str">
        <f t="shared" si="48"/>
        <v>na</v>
      </c>
      <c r="M94" s="82" t="str">
        <f t="shared" si="48"/>
        <v>na</v>
      </c>
      <c r="N94" s="82" t="str">
        <f t="shared" si="48"/>
        <v>na</v>
      </c>
      <c r="O94" s="82">
        <f t="shared" si="48"/>
        <v>1.3999996234061385</v>
      </c>
      <c r="P94" s="82">
        <f t="shared" si="48"/>
        <v>1.3999999355218007</v>
      </c>
      <c r="Q94" s="82">
        <f t="shared" si="48"/>
        <v>1.3999999343710776</v>
      </c>
      <c r="R94" s="82">
        <f t="shared" si="48"/>
        <v>1.3999999335045279</v>
      </c>
      <c r="S94" s="82">
        <f t="shared" si="48"/>
        <v>1.3999999326264609</v>
      </c>
      <c r="T94" s="82">
        <f t="shared" si="48"/>
        <v>1.3999999317668597</v>
      </c>
      <c r="U94" s="82">
        <f t="shared" si="48"/>
        <v>1.3999999308986855</v>
      </c>
      <c r="V94" s="82">
        <f t="shared" si="48"/>
        <v>1.3999999300389125</v>
      </c>
      <c r="W94" s="82">
        <f t="shared" si="48"/>
        <v>1.3999999291820198</v>
      </c>
      <c r="X94" s="82">
        <f t="shared" si="48"/>
        <v>1.3999999283647464</v>
      </c>
      <c r="Y94" s="82">
        <f t="shared" si="48"/>
        <v>1.3999999273597419</v>
      </c>
      <c r="Z94" s="82">
        <f t="shared" si="48"/>
        <v>1.3999999263648266</v>
      </c>
      <c r="AA94" s="82">
        <f t="shared" si="48"/>
        <v>1.3999999255359703</v>
      </c>
      <c r="AB94" s="82">
        <f t="shared" si="48"/>
        <v>1.3999999247381991</v>
      </c>
      <c r="AC94" s="82">
        <f t="shared" si="48"/>
        <v>1.399999923946742</v>
      </c>
      <c r="AD94" s="82">
        <f t="shared" si="48"/>
        <v>1.3999999231623845</v>
      </c>
      <c r="AE94" s="82">
        <f t="shared" si="48"/>
        <v>1.3999999224060191</v>
      </c>
      <c r="AF94" s="82">
        <f t="shared" si="48"/>
        <v>1.3999999217201724</v>
      </c>
      <c r="AG94" s="82">
        <f t="shared" si="48"/>
        <v>1.3999999210320691</v>
      </c>
      <c r="AH94" s="82">
        <f t="shared" si="48"/>
        <v>1.3999999203715683</v>
      </c>
      <c r="AI94" s="82">
        <f t="shared" si="48"/>
        <v>1.39999991920574</v>
      </c>
      <c r="AJ94" s="82">
        <f t="shared" si="48"/>
        <v>1.3999999180779004</v>
      </c>
      <c r="AK94" s="82">
        <f t="shared" ref="AK94:BP94" si="49" xml:space="preserve"> AK$92</f>
        <v>1.3999999174826143</v>
      </c>
      <c r="AL94" s="82">
        <f t="shared" si="49"/>
        <v>1.3999999168960306</v>
      </c>
      <c r="AM94" s="82">
        <f t="shared" si="49"/>
        <v>1.3999999163673231</v>
      </c>
      <c r="AN94" s="82">
        <f t="shared" si="49"/>
        <v>1.3999999159395915</v>
      </c>
      <c r="AO94" s="82">
        <f t="shared" si="49"/>
        <v>1.3999999155216234</v>
      </c>
      <c r="AP94" s="82">
        <f t="shared" si="49"/>
        <v>1.3999999151402007</v>
      </c>
      <c r="AQ94" s="82">
        <f t="shared" si="49"/>
        <v>1.3999999147985835</v>
      </c>
      <c r="AR94" s="82">
        <f t="shared" si="49"/>
        <v>1.3999999145090236</v>
      </c>
      <c r="AS94" s="82">
        <f t="shared" si="49"/>
        <v>1.3999998103522278</v>
      </c>
      <c r="AT94" s="82">
        <f t="shared" si="49"/>
        <v>1.3999996711245986</v>
      </c>
      <c r="AU94" s="82">
        <f t="shared" si="49"/>
        <v>1.3999995645785543</v>
      </c>
      <c r="AV94" s="82">
        <f t="shared" si="49"/>
        <v>1.3999992767365237</v>
      </c>
      <c r="AW94" s="82" t="str">
        <f t="shared" si="49"/>
        <v>na</v>
      </c>
      <c r="AX94" s="82" t="str">
        <f t="shared" si="49"/>
        <v>na</v>
      </c>
      <c r="AY94" s="82" t="str">
        <f t="shared" si="49"/>
        <v>na</v>
      </c>
      <c r="AZ94" s="82" t="str">
        <f t="shared" si="49"/>
        <v>na</v>
      </c>
      <c r="BA94" s="82" t="str">
        <f t="shared" si="49"/>
        <v>na</v>
      </c>
      <c r="BB94" s="82" t="str">
        <f t="shared" si="49"/>
        <v>na</v>
      </c>
      <c r="BC94" s="82" t="str">
        <f t="shared" si="49"/>
        <v>na</v>
      </c>
      <c r="BD94" s="82" t="str">
        <f t="shared" si="49"/>
        <v>na</v>
      </c>
      <c r="BE94" s="82" t="str">
        <f t="shared" si="49"/>
        <v>na</v>
      </c>
      <c r="BF94" s="82" t="str">
        <f t="shared" si="49"/>
        <v>na</v>
      </c>
      <c r="BG94" s="82" t="str">
        <f t="shared" si="49"/>
        <v>na</v>
      </c>
      <c r="BH94" s="82" t="str">
        <f t="shared" si="49"/>
        <v>na</v>
      </c>
      <c r="BI94" s="82" t="str">
        <f t="shared" si="49"/>
        <v>na</v>
      </c>
      <c r="BJ94" s="82" t="str">
        <f t="shared" si="49"/>
        <v>na</v>
      </c>
      <c r="BK94" s="82" t="str">
        <f t="shared" si="49"/>
        <v>na</v>
      </c>
      <c r="BL94" s="82" t="str">
        <f t="shared" si="49"/>
        <v>na</v>
      </c>
      <c r="BM94" s="82" t="str">
        <f t="shared" si="49"/>
        <v>na</v>
      </c>
      <c r="BN94" s="82" t="str">
        <f t="shared" si="49"/>
        <v>na</v>
      </c>
      <c r="BO94" s="82" t="str">
        <f t="shared" si="49"/>
        <v>na</v>
      </c>
      <c r="BP94" s="82" t="str">
        <f t="shared" si="49"/>
        <v>na</v>
      </c>
      <c r="BQ94" s="82" t="str">
        <f t="shared" ref="BQ94:CV94" si="50" xml:space="preserve"> BQ$92</f>
        <v>na</v>
      </c>
      <c r="BR94" s="82" t="str">
        <f t="shared" si="50"/>
        <v>na</v>
      </c>
      <c r="BS94" s="82" t="str">
        <f t="shared" si="50"/>
        <v>na</v>
      </c>
      <c r="BT94" s="82" t="str">
        <f t="shared" si="50"/>
        <v>na</v>
      </c>
      <c r="BU94" s="82" t="str">
        <f t="shared" si="50"/>
        <v>na</v>
      </c>
      <c r="BV94" s="82" t="str">
        <f t="shared" si="50"/>
        <v>na</v>
      </c>
      <c r="BW94" s="82" t="str">
        <f t="shared" si="50"/>
        <v>na</v>
      </c>
      <c r="BX94" s="82" t="str">
        <f t="shared" si="50"/>
        <v>na</v>
      </c>
      <c r="BY94" s="82" t="str">
        <f t="shared" si="50"/>
        <v>na</v>
      </c>
      <c r="BZ94" s="82" t="str">
        <f t="shared" si="50"/>
        <v>na</v>
      </c>
      <c r="CA94" s="82" t="str">
        <f t="shared" si="50"/>
        <v>na</v>
      </c>
      <c r="CB94" s="82" t="str">
        <f t="shared" si="50"/>
        <v>na</v>
      </c>
      <c r="CC94" s="82" t="str">
        <f t="shared" si="50"/>
        <v>na</v>
      </c>
      <c r="CD94" s="82" t="str">
        <f t="shared" si="50"/>
        <v>na</v>
      </c>
      <c r="CE94" s="82" t="str">
        <f t="shared" si="50"/>
        <v>na</v>
      </c>
      <c r="CF94" s="82" t="str">
        <f t="shared" si="50"/>
        <v>na</v>
      </c>
      <c r="CG94" s="82" t="str">
        <f t="shared" si="50"/>
        <v>na</v>
      </c>
      <c r="CH94" s="82" t="str">
        <f t="shared" si="50"/>
        <v>na</v>
      </c>
      <c r="CI94" s="82" t="str">
        <f t="shared" si="50"/>
        <v>na</v>
      </c>
      <c r="CJ94" s="82" t="str">
        <f t="shared" si="50"/>
        <v>na</v>
      </c>
      <c r="CK94" s="82" t="str">
        <f t="shared" si="50"/>
        <v>na</v>
      </c>
      <c r="CL94" s="82" t="str">
        <f t="shared" si="50"/>
        <v>na</v>
      </c>
      <c r="CM94" s="82" t="str">
        <f t="shared" si="50"/>
        <v>na</v>
      </c>
      <c r="CN94" s="82" t="str">
        <f t="shared" si="50"/>
        <v>na</v>
      </c>
      <c r="CO94" s="82" t="str">
        <f t="shared" si="50"/>
        <v>na</v>
      </c>
      <c r="CP94" s="82" t="str">
        <f t="shared" si="50"/>
        <v>na</v>
      </c>
      <c r="CQ94" s="82" t="str">
        <f t="shared" si="50"/>
        <v>na</v>
      </c>
      <c r="CR94" s="82" t="str">
        <f t="shared" si="50"/>
        <v>na</v>
      </c>
      <c r="CS94" s="82" t="str">
        <f t="shared" si="50"/>
        <v>na</v>
      </c>
      <c r="CT94" s="82" t="str">
        <f t="shared" si="50"/>
        <v>na</v>
      </c>
      <c r="CU94" s="82" t="str">
        <f t="shared" si="50"/>
        <v>na</v>
      </c>
      <c r="CV94" s="82" t="str">
        <f t="shared" si="50"/>
        <v>na</v>
      </c>
    </row>
    <row r="95" spans="1:100" s="188" customFormat="1" outlineLevel="1" x14ac:dyDescent="0.2">
      <c r="A95" s="141"/>
      <c r="B95" s="141"/>
      <c r="C95" s="142"/>
      <c r="D95" s="143"/>
      <c r="E95" s="187" t="s">
        <v>388</v>
      </c>
      <c r="F95" s="411">
        <f xml:space="preserve"> MIN(J94:CV94)</f>
        <v>1.3999992767365237</v>
      </c>
      <c r="G95" s="187" t="s">
        <v>164</v>
      </c>
      <c r="H95" s="187"/>
      <c r="I95" s="144"/>
      <c r="J95" s="411"/>
      <c r="K95" s="411"/>
      <c r="L95" s="411"/>
      <c r="M95" s="411"/>
      <c r="N95" s="411"/>
      <c r="O95" s="411"/>
      <c r="P95" s="411"/>
      <c r="Q95" s="411"/>
      <c r="R95" s="411"/>
      <c r="S95" s="411"/>
      <c r="T95" s="411"/>
      <c r="U95" s="411"/>
      <c r="V95" s="411"/>
      <c r="W95" s="411"/>
      <c r="X95" s="411"/>
      <c r="Y95" s="411"/>
      <c r="Z95" s="411"/>
      <c r="AA95" s="411"/>
      <c r="AB95" s="411"/>
      <c r="AC95" s="411"/>
      <c r="AD95" s="411"/>
      <c r="AE95" s="411"/>
      <c r="AF95" s="411"/>
      <c r="AG95" s="411"/>
      <c r="AH95" s="411"/>
      <c r="AI95" s="411"/>
      <c r="AJ95" s="411"/>
      <c r="AK95" s="411"/>
      <c r="AL95" s="411"/>
      <c r="AM95" s="411"/>
      <c r="AN95" s="411"/>
      <c r="AO95" s="411"/>
      <c r="AP95" s="411"/>
      <c r="AQ95" s="411"/>
      <c r="AR95" s="411"/>
      <c r="AS95" s="411"/>
      <c r="AT95" s="411"/>
      <c r="AU95" s="411"/>
      <c r="AV95" s="411"/>
      <c r="AW95" s="411"/>
      <c r="AX95" s="411"/>
      <c r="AY95" s="411"/>
      <c r="AZ95" s="411"/>
      <c r="BA95" s="411"/>
      <c r="BB95" s="411"/>
      <c r="BC95" s="411"/>
      <c r="BD95" s="411"/>
      <c r="BE95" s="411"/>
      <c r="BF95" s="411"/>
      <c r="BG95" s="411"/>
      <c r="BH95" s="411"/>
      <c r="BI95" s="411"/>
      <c r="BJ95" s="411"/>
      <c r="BK95" s="411"/>
      <c r="BL95" s="411"/>
      <c r="BM95" s="411"/>
      <c r="BN95" s="411"/>
      <c r="BO95" s="411"/>
      <c r="BP95" s="411"/>
      <c r="BQ95" s="411"/>
      <c r="BR95" s="411"/>
      <c r="BS95" s="411"/>
      <c r="BT95" s="411"/>
      <c r="BU95" s="411"/>
      <c r="BV95" s="411"/>
      <c r="BW95" s="411"/>
      <c r="BX95" s="411"/>
      <c r="BY95" s="411"/>
      <c r="BZ95" s="411"/>
      <c r="CA95" s="411"/>
      <c r="CB95" s="411"/>
      <c r="CC95" s="411"/>
      <c r="CD95" s="411"/>
      <c r="CE95" s="411"/>
      <c r="CF95" s="411"/>
      <c r="CG95" s="411"/>
      <c r="CH95" s="411"/>
      <c r="CI95" s="411"/>
      <c r="CJ95" s="411"/>
      <c r="CK95" s="411"/>
      <c r="CL95" s="411"/>
      <c r="CM95" s="411"/>
      <c r="CN95" s="411"/>
      <c r="CO95" s="411"/>
      <c r="CP95" s="411"/>
      <c r="CQ95" s="411"/>
      <c r="CR95" s="411"/>
      <c r="CS95" s="411"/>
      <c r="CT95" s="411"/>
      <c r="CU95" s="411"/>
      <c r="CV95" s="411"/>
    </row>
    <row r="96" spans="1:100" s="188" customFormat="1" outlineLevel="1" x14ac:dyDescent="0.2">
      <c r="A96" s="141"/>
      <c r="B96" s="141"/>
      <c r="C96" s="142"/>
      <c r="D96" s="143"/>
      <c r="E96" s="187" t="s">
        <v>389</v>
      </c>
      <c r="F96" s="411">
        <f xml:space="preserve"> AVERAGE(J94:CV94)</f>
        <v>1.3999998745014544</v>
      </c>
      <c r="G96" s="187" t="s">
        <v>164</v>
      </c>
      <c r="H96" s="187"/>
      <c r="I96" s="144"/>
      <c r="J96" s="411"/>
      <c r="K96" s="411"/>
      <c r="L96" s="411"/>
      <c r="M96" s="411"/>
      <c r="N96" s="411"/>
      <c r="O96" s="411"/>
      <c r="P96" s="411"/>
      <c r="Q96" s="411"/>
      <c r="R96" s="411"/>
      <c r="S96" s="411"/>
      <c r="T96" s="411"/>
      <c r="U96" s="411"/>
      <c r="V96" s="411"/>
      <c r="W96" s="411"/>
      <c r="X96" s="411"/>
      <c r="Y96" s="411"/>
      <c r="Z96" s="411"/>
      <c r="AA96" s="411"/>
      <c r="AB96" s="411"/>
      <c r="AC96" s="411"/>
      <c r="AD96" s="411"/>
      <c r="AE96" s="411"/>
      <c r="AF96" s="411"/>
      <c r="AG96" s="411"/>
      <c r="AH96" s="411"/>
      <c r="AI96" s="411"/>
      <c r="AJ96" s="411"/>
      <c r="AK96" s="411"/>
      <c r="AL96" s="411"/>
      <c r="AM96" s="411"/>
      <c r="AN96" s="411"/>
      <c r="AO96" s="411"/>
      <c r="AP96" s="411"/>
      <c r="AQ96" s="411"/>
      <c r="AR96" s="411"/>
      <c r="AS96" s="411"/>
      <c r="AT96" s="411"/>
      <c r="AU96" s="411"/>
      <c r="AV96" s="411"/>
      <c r="AW96" s="411"/>
      <c r="AX96" s="411"/>
      <c r="AY96" s="411"/>
      <c r="AZ96" s="411"/>
      <c r="BA96" s="411"/>
      <c r="BB96" s="411"/>
      <c r="BC96" s="411"/>
      <c r="BD96" s="411"/>
      <c r="BE96" s="411"/>
      <c r="BF96" s="411"/>
      <c r="BG96" s="411"/>
      <c r="BH96" s="411"/>
      <c r="BI96" s="411"/>
      <c r="BJ96" s="411"/>
      <c r="BK96" s="411"/>
      <c r="BL96" s="411"/>
      <c r="BM96" s="411"/>
      <c r="BN96" s="411"/>
      <c r="BO96" s="411"/>
      <c r="BP96" s="411"/>
      <c r="BQ96" s="411"/>
      <c r="BR96" s="411"/>
      <c r="BS96" s="411"/>
      <c r="BT96" s="411"/>
      <c r="BU96" s="411"/>
      <c r="BV96" s="411"/>
      <c r="BW96" s="411"/>
      <c r="BX96" s="411"/>
      <c r="BY96" s="411"/>
      <c r="BZ96" s="411"/>
      <c r="CA96" s="411"/>
      <c r="CB96" s="411"/>
      <c r="CC96" s="411"/>
      <c r="CD96" s="411"/>
      <c r="CE96" s="411"/>
      <c r="CF96" s="411"/>
      <c r="CG96" s="411"/>
      <c r="CH96" s="411"/>
      <c r="CI96" s="411"/>
      <c r="CJ96" s="411"/>
      <c r="CK96" s="411"/>
      <c r="CL96" s="411"/>
      <c r="CM96" s="411"/>
      <c r="CN96" s="411"/>
      <c r="CO96" s="411"/>
      <c r="CP96" s="411"/>
      <c r="CQ96" s="411"/>
      <c r="CR96" s="411"/>
      <c r="CS96" s="411"/>
      <c r="CT96" s="411"/>
      <c r="CU96" s="411"/>
      <c r="CV96" s="411"/>
    </row>
    <row r="97" spans="1:100" outlineLevel="1" x14ac:dyDescent="0.2"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  <c r="AD97" s="82"/>
      <c r="AE97" s="82"/>
      <c r="AF97" s="82"/>
      <c r="AG97" s="82"/>
      <c r="AH97" s="82"/>
      <c r="AI97" s="82"/>
      <c r="AJ97" s="82"/>
      <c r="AK97" s="82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2"/>
      <c r="AW97" s="82"/>
      <c r="AX97" s="82"/>
      <c r="AY97" s="82"/>
      <c r="AZ97" s="82"/>
      <c r="BA97" s="82"/>
      <c r="BB97" s="82"/>
      <c r="BC97" s="82"/>
      <c r="BD97" s="82"/>
      <c r="BE97" s="82"/>
      <c r="BF97" s="82"/>
      <c r="BG97" s="82"/>
      <c r="BH97" s="82"/>
      <c r="BI97" s="82"/>
      <c r="BJ97" s="82"/>
      <c r="BK97" s="82"/>
      <c r="BL97" s="82"/>
      <c r="BM97" s="82"/>
      <c r="BN97" s="82"/>
      <c r="BO97" s="82"/>
      <c r="BP97" s="82"/>
      <c r="BQ97" s="82"/>
      <c r="BR97" s="82"/>
      <c r="BS97" s="82"/>
      <c r="BT97" s="82"/>
      <c r="BU97" s="82"/>
      <c r="BV97" s="82"/>
      <c r="BW97" s="82"/>
      <c r="BX97" s="82"/>
      <c r="BY97" s="82"/>
      <c r="BZ97" s="82"/>
      <c r="CA97" s="82"/>
      <c r="CB97" s="82"/>
      <c r="CC97" s="82"/>
      <c r="CD97" s="82"/>
      <c r="CE97" s="82"/>
      <c r="CF97" s="82"/>
      <c r="CG97" s="82"/>
      <c r="CH97" s="82"/>
      <c r="CI97" s="82"/>
      <c r="CJ97" s="82"/>
      <c r="CK97" s="82"/>
      <c r="CL97" s="82"/>
      <c r="CM97" s="82"/>
      <c r="CN97" s="82"/>
      <c r="CO97" s="82"/>
      <c r="CP97" s="82"/>
      <c r="CQ97" s="82"/>
      <c r="CR97" s="82"/>
      <c r="CS97" s="82"/>
      <c r="CT97" s="82"/>
      <c r="CU97" s="82"/>
      <c r="CV97" s="82"/>
    </row>
    <row r="98" spans="1:100" x14ac:dyDescent="0.2"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2"/>
      <c r="AW98" s="82"/>
      <c r="AX98" s="82"/>
      <c r="AY98" s="82"/>
      <c r="AZ98" s="82"/>
      <c r="BA98" s="82"/>
      <c r="BB98" s="82"/>
      <c r="BC98" s="82"/>
      <c r="BD98" s="82"/>
      <c r="BE98" s="82"/>
      <c r="BF98" s="82"/>
      <c r="BG98" s="82"/>
      <c r="BH98" s="82"/>
      <c r="BI98" s="82"/>
      <c r="BJ98" s="82"/>
      <c r="BK98" s="82"/>
      <c r="BL98" s="82"/>
      <c r="BM98" s="82"/>
      <c r="BN98" s="82"/>
      <c r="BO98" s="82"/>
      <c r="BP98" s="82"/>
      <c r="BQ98" s="82"/>
      <c r="BR98" s="82"/>
      <c r="BS98" s="82"/>
      <c r="BT98" s="82"/>
      <c r="BU98" s="82"/>
      <c r="BV98" s="82"/>
      <c r="BW98" s="82"/>
      <c r="BX98" s="82"/>
      <c r="BY98" s="82"/>
      <c r="BZ98" s="82"/>
      <c r="CA98" s="82"/>
      <c r="CB98" s="82"/>
      <c r="CC98" s="82"/>
      <c r="CD98" s="82"/>
      <c r="CE98" s="82"/>
      <c r="CF98" s="82"/>
      <c r="CG98" s="82"/>
      <c r="CH98" s="82"/>
      <c r="CI98" s="82"/>
      <c r="CJ98" s="82"/>
      <c r="CK98" s="82"/>
      <c r="CL98" s="82"/>
      <c r="CM98" s="82"/>
      <c r="CN98" s="82"/>
      <c r="CO98" s="82"/>
      <c r="CP98" s="82"/>
      <c r="CQ98" s="82"/>
      <c r="CR98" s="82"/>
      <c r="CS98" s="82"/>
      <c r="CT98" s="82"/>
      <c r="CU98" s="82"/>
      <c r="CV98" s="82"/>
    </row>
    <row r="99" spans="1:100" x14ac:dyDescent="0.2">
      <c r="A99" s="15" t="s">
        <v>398</v>
      </c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82"/>
      <c r="AD99" s="82"/>
      <c r="AE99" s="82"/>
      <c r="AF99" s="82"/>
      <c r="AG99" s="82"/>
      <c r="AH99" s="82"/>
      <c r="AI99" s="82"/>
      <c r="AJ99" s="82"/>
      <c r="AK99" s="82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2"/>
      <c r="AW99" s="82"/>
      <c r="AX99" s="82"/>
      <c r="AY99" s="82"/>
      <c r="AZ99" s="82"/>
      <c r="BA99" s="82"/>
      <c r="BB99" s="82"/>
      <c r="BC99" s="82"/>
      <c r="BD99" s="82"/>
      <c r="BE99" s="82"/>
      <c r="BF99" s="82"/>
      <c r="BG99" s="82"/>
      <c r="BH99" s="82"/>
      <c r="BI99" s="82"/>
      <c r="BJ99" s="82"/>
      <c r="BK99" s="82"/>
      <c r="BL99" s="82"/>
      <c r="BM99" s="82"/>
      <c r="BN99" s="82"/>
      <c r="BO99" s="82"/>
      <c r="BP99" s="82"/>
      <c r="BQ99" s="82"/>
      <c r="BR99" s="82"/>
      <c r="BS99" s="82"/>
      <c r="BT99" s="82"/>
      <c r="BU99" s="82"/>
      <c r="BV99" s="82"/>
      <c r="BW99" s="82"/>
      <c r="BX99" s="82"/>
      <c r="BY99" s="82"/>
      <c r="BZ99" s="82"/>
      <c r="CA99" s="82"/>
      <c r="CB99" s="82"/>
      <c r="CC99" s="82"/>
      <c r="CD99" s="82"/>
      <c r="CE99" s="82"/>
      <c r="CF99" s="82"/>
      <c r="CG99" s="82"/>
      <c r="CH99" s="82"/>
      <c r="CI99" s="82"/>
      <c r="CJ99" s="82"/>
      <c r="CK99" s="82"/>
      <c r="CL99" s="82"/>
      <c r="CM99" s="82"/>
      <c r="CN99" s="82"/>
      <c r="CO99" s="82"/>
      <c r="CP99" s="82"/>
      <c r="CQ99" s="82"/>
      <c r="CR99" s="82"/>
      <c r="CS99" s="82"/>
      <c r="CT99" s="82"/>
      <c r="CU99" s="82"/>
      <c r="CV99" s="82"/>
    </row>
    <row r="100" spans="1:100" outlineLevel="1" x14ac:dyDescent="0.2"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2"/>
      <c r="AW100" s="82"/>
      <c r="AX100" s="82"/>
      <c r="AY100" s="82"/>
      <c r="AZ100" s="82"/>
      <c r="BA100" s="82"/>
      <c r="BB100" s="82"/>
      <c r="BC100" s="82"/>
      <c r="BD100" s="82"/>
      <c r="BE100" s="82"/>
      <c r="BF100" s="82"/>
      <c r="BG100" s="82"/>
      <c r="BH100" s="82"/>
      <c r="BI100" s="82"/>
      <c r="BJ100" s="82"/>
      <c r="BK100" s="82"/>
      <c r="BL100" s="82"/>
      <c r="BM100" s="82"/>
      <c r="BN100" s="82"/>
      <c r="BO100" s="82"/>
      <c r="BP100" s="82"/>
      <c r="BQ100" s="82"/>
      <c r="BR100" s="82"/>
      <c r="BS100" s="82"/>
      <c r="BT100" s="82"/>
      <c r="BU100" s="82"/>
      <c r="BV100" s="82"/>
      <c r="BW100" s="82"/>
      <c r="BX100" s="82"/>
      <c r="BY100" s="82"/>
      <c r="BZ100" s="82"/>
      <c r="CA100" s="82"/>
      <c r="CB100" s="82"/>
      <c r="CC100" s="82"/>
      <c r="CD100" s="82"/>
      <c r="CE100" s="82"/>
      <c r="CF100" s="82"/>
      <c r="CG100" s="82"/>
      <c r="CH100" s="82"/>
      <c r="CI100" s="82"/>
      <c r="CJ100" s="82"/>
      <c r="CK100" s="82"/>
      <c r="CL100" s="82"/>
      <c r="CM100" s="82"/>
      <c r="CN100" s="82"/>
      <c r="CO100" s="82"/>
      <c r="CP100" s="82"/>
      <c r="CQ100" s="82"/>
      <c r="CR100" s="82"/>
      <c r="CS100" s="82"/>
      <c r="CT100" s="82"/>
      <c r="CU100" s="82"/>
      <c r="CV100" s="82"/>
    </row>
    <row r="101" spans="1:100" outlineLevel="1" x14ac:dyDescent="0.2">
      <c r="A101" s="75"/>
      <c r="B101" s="639"/>
      <c r="C101" s="640"/>
      <c r="D101" s="641"/>
      <c r="E101" s="125" t="str">
        <f xml:space="preserve"> Debt!E$237</f>
        <v>Senior debt interest - T1 POS</v>
      </c>
      <c r="F101" s="125">
        <f xml:space="preserve"> Debt!F$237</f>
        <v>0</v>
      </c>
      <c r="G101" s="125" t="str">
        <f xml:space="preserve"> Debt!G$237</f>
        <v>$ 000s</v>
      </c>
      <c r="H101" s="125">
        <f xml:space="preserve"> Debt!H$237</f>
        <v>58932.622085008683</v>
      </c>
      <c r="I101" s="125">
        <f xml:space="preserve"> Debt!I$237</f>
        <v>0</v>
      </c>
      <c r="J101" s="125">
        <f xml:space="preserve"> Debt!J$237</f>
        <v>0</v>
      </c>
      <c r="K101" s="125">
        <f xml:space="preserve"> Debt!K$237</f>
        <v>0</v>
      </c>
      <c r="L101" s="125">
        <f xml:space="preserve"> Debt!L$237</f>
        <v>0</v>
      </c>
      <c r="M101" s="125">
        <f xml:space="preserve"> Debt!M$237</f>
        <v>0</v>
      </c>
      <c r="N101" s="125">
        <f xml:space="preserve"> Debt!N$237</f>
        <v>0</v>
      </c>
      <c r="O101" s="125">
        <f xml:space="preserve"> Debt!O$237</f>
        <v>2687.5177475939608</v>
      </c>
      <c r="P101" s="125">
        <f xml:space="preserve"> Debt!P$237</f>
        <v>2582.7239566536373</v>
      </c>
      <c r="Q101" s="125">
        <f xml:space="preserve"> Debt!Q$237</f>
        <v>2574.328504175005</v>
      </c>
      <c r="R101" s="125">
        <f xml:space="preserve"> Debt!R$237</f>
        <v>2481.3813281599528</v>
      </c>
      <c r="S101" s="125">
        <f xml:space="preserve"> Debt!S$237</f>
        <v>2469.7293209345407</v>
      </c>
      <c r="T101" s="125">
        <f xml:space="preserve"> Debt!T$237</f>
        <v>2376.876065985799</v>
      </c>
      <c r="U101" s="125">
        <f xml:space="preserve"> Debt!U$237</f>
        <v>2361.8520922003349</v>
      </c>
      <c r="V101" s="125">
        <f xml:space="preserve"> Debt!V$237</f>
        <v>2281.6182261919198</v>
      </c>
      <c r="W101" s="125">
        <f xml:space="preserve"> Debt!W$237</f>
        <v>2250.6592852748454</v>
      </c>
      <c r="X101" s="125">
        <f xml:space="preserve"> Debt!X$237</f>
        <v>2158.0922847899237</v>
      </c>
      <c r="Y101" s="125">
        <f xml:space="preserve"> Debt!Y$237</f>
        <v>2237.6804315095601</v>
      </c>
      <c r="Z101" s="125">
        <f xml:space="preserve"> Debt!Z$237</f>
        <v>2142.3886900549105</v>
      </c>
      <c r="AA101" s="125">
        <f xml:space="preserve"> Debt!AA$237</f>
        <v>2117.0515797327043</v>
      </c>
      <c r="AB101" s="125">
        <f xml:space="preserve"> Debt!AB$237</f>
        <v>2021.7094910691326</v>
      </c>
      <c r="AC101" s="125">
        <f xml:space="preserve"> Debt!AC$237</f>
        <v>1992.3163229370118</v>
      </c>
      <c r="AD101" s="125">
        <f xml:space="preserve"> Debt!AD$237</f>
        <v>1907.3851466300987</v>
      </c>
      <c r="AE101" s="125">
        <f xml:space="preserve"> Debt!AE$237</f>
        <v>1863.349317892918</v>
      </c>
      <c r="AF101" s="125">
        <f xml:space="preserve"> Debt!AF$237</f>
        <v>1767.9820934948079</v>
      </c>
      <c r="AG101" s="125">
        <f xml:space="preserve"> Debt!AG$237</f>
        <v>1730.0089819557033</v>
      </c>
      <c r="AH101" s="125">
        <f xml:space="preserve"> Debt!AH$237</f>
        <v>1634.3997473361794</v>
      </c>
      <c r="AI101" s="125">
        <f xml:space="preserve"> Debt!AI$237</f>
        <v>1664.2398160286421</v>
      </c>
      <c r="AJ101" s="125">
        <f xml:space="preserve"> Debt!AJ$237</f>
        <v>1565.5385581725184</v>
      </c>
      <c r="AK101" s="125">
        <f xml:space="preserve"> Debt!AK$237</f>
        <v>1517.504166079535</v>
      </c>
      <c r="AL101" s="125">
        <f xml:space="preserve"> Debt!AL$237</f>
        <v>1426.3062182693025</v>
      </c>
      <c r="AM101" s="125">
        <f xml:space="preserve"> Debt!AM$237</f>
        <v>1365.2015310096476</v>
      </c>
      <c r="AN101" s="125">
        <f xml:space="preserve"> Debt!AN$237</f>
        <v>1265.9321561833478</v>
      </c>
      <c r="AO101" s="125">
        <f xml:space="preserve"> Debt!AO$237</f>
        <v>1207.2384434234541</v>
      </c>
      <c r="AP101" s="125">
        <f xml:space="preserve"> Debt!AP$237</f>
        <v>1107.4310609472375</v>
      </c>
      <c r="AQ101" s="125">
        <f xml:space="preserve"> Debt!AQ$237</f>
        <v>1043.0631804876928</v>
      </c>
      <c r="AR101" s="125">
        <f xml:space="preserve"> Debt!AR$237</f>
        <v>942.81174989072917</v>
      </c>
      <c r="AS101" s="125">
        <f xml:space="preserve"> Debt!AS$237</f>
        <v>872.52701382584769</v>
      </c>
      <c r="AT101" s="125">
        <f xml:space="preserve"> Debt!AT$237</f>
        <v>652.41628467561759</v>
      </c>
      <c r="AU101" s="125">
        <f xml:space="preserve"> Debt!AU$237</f>
        <v>443.63241738550107</v>
      </c>
      <c r="AV101" s="125">
        <f xml:space="preserve"> Debt!AV$237</f>
        <v>219.7301918317994</v>
      </c>
      <c r="AW101" s="125">
        <f xml:space="preserve"> Debt!AW$237</f>
        <v>-2.2123232123425019E-4</v>
      </c>
      <c r="AX101" s="125">
        <f xml:space="preserve"> Debt!AX$237</f>
        <v>-2.1762527251847438E-4</v>
      </c>
      <c r="AY101" s="125">
        <f xml:space="preserve"> Debt!AY$237</f>
        <v>-2.2123232123425019E-4</v>
      </c>
      <c r="AZ101" s="125">
        <f xml:space="preserve"> Debt!AZ$237</f>
        <v>-2.1762527251847438E-4</v>
      </c>
      <c r="BA101" s="125">
        <f xml:space="preserve"> Debt!BA$237</f>
        <v>-2.2123232123425019E-4</v>
      </c>
      <c r="BB101" s="125">
        <f xml:space="preserve"> Debt!BB$237</f>
        <v>-2.1882762209039967E-4</v>
      </c>
      <c r="BC101" s="125">
        <f xml:space="preserve"> Debt!BC$237</f>
        <v>0</v>
      </c>
      <c r="BD101" s="125">
        <f xml:space="preserve"> Debt!BD$237</f>
        <v>0</v>
      </c>
      <c r="BE101" s="125">
        <f xml:space="preserve"> Debt!BE$237</f>
        <v>0</v>
      </c>
      <c r="BF101" s="125">
        <f xml:space="preserve"> Debt!BF$237</f>
        <v>0</v>
      </c>
      <c r="BG101" s="125">
        <f xml:space="preserve"> Debt!BG$237</f>
        <v>0</v>
      </c>
      <c r="BH101" s="125">
        <f xml:space="preserve"> Debt!BH$237</f>
        <v>0</v>
      </c>
      <c r="BI101" s="125">
        <f xml:space="preserve"> Debt!BI$237</f>
        <v>0</v>
      </c>
      <c r="BJ101" s="125">
        <f xml:space="preserve"> Debt!BJ$237</f>
        <v>0</v>
      </c>
      <c r="BK101" s="125">
        <f xml:space="preserve"> Debt!BK$237</f>
        <v>0</v>
      </c>
      <c r="BL101" s="125">
        <f xml:space="preserve"> Debt!BL$237</f>
        <v>0</v>
      </c>
      <c r="BM101" s="125">
        <f xml:space="preserve"> Debt!BM$237</f>
        <v>0</v>
      </c>
      <c r="BN101" s="125">
        <f xml:space="preserve"> Debt!BN$237</f>
        <v>0</v>
      </c>
      <c r="BO101" s="125">
        <f xml:space="preserve"> Debt!BO$237</f>
        <v>0</v>
      </c>
      <c r="BP101" s="125">
        <f xml:space="preserve"> Debt!BP$237</f>
        <v>0</v>
      </c>
      <c r="BQ101" s="125">
        <f xml:space="preserve"> Debt!BQ$237</f>
        <v>0</v>
      </c>
      <c r="BR101" s="125">
        <f xml:space="preserve"> Debt!BR$237</f>
        <v>0</v>
      </c>
      <c r="BS101" s="125">
        <f xml:space="preserve"> Debt!BS$237</f>
        <v>0</v>
      </c>
      <c r="BT101" s="125">
        <f xml:space="preserve"> Debt!BT$237</f>
        <v>0</v>
      </c>
      <c r="BU101" s="125">
        <f xml:space="preserve"> Debt!BU$237</f>
        <v>0</v>
      </c>
      <c r="BV101" s="125">
        <f xml:space="preserve"> Debt!BV$237</f>
        <v>0</v>
      </c>
      <c r="BW101" s="125">
        <f xml:space="preserve"> Debt!BW$237</f>
        <v>0</v>
      </c>
      <c r="BX101" s="125">
        <f xml:space="preserve"> Debt!BX$237</f>
        <v>0</v>
      </c>
      <c r="BY101" s="125">
        <f xml:space="preserve"> Debt!BY$237</f>
        <v>0</v>
      </c>
      <c r="BZ101" s="125">
        <f xml:space="preserve"> Debt!BZ$237</f>
        <v>0</v>
      </c>
      <c r="CA101" s="125">
        <f xml:space="preserve"> Debt!CA$237</f>
        <v>0</v>
      </c>
      <c r="CB101" s="125">
        <f xml:space="preserve"> Debt!CB$237</f>
        <v>0</v>
      </c>
      <c r="CC101" s="125">
        <f xml:space="preserve"> Debt!CC$237</f>
        <v>0</v>
      </c>
      <c r="CD101" s="125">
        <f xml:space="preserve"> Debt!CD$237</f>
        <v>0</v>
      </c>
      <c r="CE101" s="125">
        <f xml:space="preserve"> Debt!CE$237</f>
        <v>0</v>
      </c>
      <c r="CF101" s="125">
        <f xml:space="preserve"> Debt!CF$237</f>
        <v>0</v>
      </c>
      <c r="CG101" s="125">
        <f xml:space="preserve"> Debt!CG$237</f>
        <v>0</v>
      </c>
      <c r="CH101" s="125">
        <f xml:space="preserve"> Debt!CH$237</f>
        <v>0</v>
      </c>
      <c r="CI101" s="125">
        <f xml:space="preserve"> Debt!CI$237</f>
        <v>0</v>
      </c>
      <c r="CJ101" s="125">
        <f xml:space="preserve"> Debt!CJ$237</f>
        <v>0</v>
      </c>
      <c r="CK101" s="125">
        <f xml:space="preserve"> Debt!CK$237</f>
        <v>0</v>
      </c>
      <c r="CL101" s="125">
        <f xml:space="preserve"> Debt!CL$237</f>
        <v>0</v>
      </c>
      <c r="CM101" s="125">
        <f xml:space="preserve"> Debt!CM$237</f>
        <v>0</v>
      </c>
      <c r="CN101" s="125">
        <f xml:space="preserve"> Debt!CN$237</f>
        <v>0</v>
      </c>
      <c r="CO101" s="125">
        <f xml:space="preserve"> Debt!CO$237</f>
        <v>0</v>
      </c>
      <c r="CP101" s="125">
        <f xml:space="preserve"> Debt!CP$237</f>
        <v>0</v>
      </c>
      <c r="CQ101" s="125">
        <f xml:space="preserve"> Debt!CQ$237</f>
        <v>0</v>
      </c>
      <c r="CR101" s="125">
        <f xml:space="preserve"> Debt!CR$237</f>
        <v>0</v>
      </c>
      <c r="CS101" s="125">
        <f xml:space="preserve"> Debt!CS$237</f>
        <v>0</v>
      </c>
      <c r="CT101" s="125">
        <f xml:space="preserve"> Debt!CT$237</f>
        <v>0</v>
      </c>
      <c r="CU101" s="125">
        <f xml:space="preserve"> Debt!CU$237</f>
        <v>0</v>
      </c>
      <c r="CV101" s="125">
        <f xml:space="preserve"> Debt!CV$237</f>
        <v>0</v>
      </c>
    </row>
    <row r="102" spans="1:100" outlineLevel="1" x14ac:dyDescent="0.2">
      <c r="A102" s="75"/>
      <c r="B102" s="639"/>
      <c r="C102" s="640"/>
      <c r="D102" s="641"/>
      <c r="E102" s="125" t="str">
        <f xml:space="preserve"> Debt!E$187</f>
        <v>Senior debt balance BEG - T1</v>
      </c>
      <c r="F102" s="125">
        <f xml:space="preserve"> Debt!F$187</f>
        <v>0</v>
      </c>
      <c r="G102" s="125" t="str">
        <f xml:space="preserve"> Debt!G$187</f>
        <v>$ 000s</v>
      </c>
      <c r="H102" s="125">
        <f xml:space="preserve"> Debt!H$187</f>
        <v>0</v>
      </c>
      <c r="I102" s="125">
        <f xml:space="preserve"> Debt!I$187</f>
        <v>0</v>
      </c>
      <c r="J102" s="125">
        <f xml:space="preserve"> Debt!J$187</f>
        <v>0</v>
      </c>
      <c r="K102" s="125">
        <f xml:space="preserve"> Debt!K$187</f>
        <v>0</v>
      </c>
      <c r="L102" s="125">
        <f xml:space="preserve"> Debt!L$187</f>
        <v>12084.251893640236</v>
      </c>
      <c r="M102" s="125">
        <f xml:space="preserve"> Debt!M$187</f>
        <v>48641.086087745876</v>
      </c>
      <c r="N102" s="125">
        <f xml:space="preserve"> Debt!N$187</f>
        <v>85848.029919746245</v>
      </c>
      <c r="O102" s="125">
        <f xml:space="preserve"> Debt!O$187</f>
        <v>125194.92613015344</v>
      </c>
      <c r="P102" s="125">
        <f xml:space="preserve"> Debt!P$187</f>
        <v>122307.36969156924</v>
      </c>
      <c r="Q102" s="125">
        <f xml:space="preserve"> Debt!Q$187</f>
        <v>119922.1352876555</v>
      </c>
      <c r="R102" s="125">
        <f xml:space="preserve"> Debt!R$187</f>
        <v>117508.19233590935</v>
      </c>
      <c r="S102" s="125">
        <f xml:space="preserve"> Debt!S$187</f>
        <v>115049.50252800655</v>
      </c>
      <c r="T102" s="125">
        <f xml:space="preserve"> Debt!T$187</f>
        <v>112559.24542947744</v>
      </c>
      <c r="U102" s="125">
        <f xml:space="preserve"> Debt!U$187</f>
        <v>110024.16578572989</v>
      </c>
      <c r="V102" s="125">
        <f xml:space="preserve"> Debt!V$187</f>
        <v>107454.54754436042</v>
      </c>
      <c r="W102" s="125">
        <f xml:space="preserve"> Debt!W$187</f>
        <v>104844.37664323812</v>
      </c>
      <c r="X102" s="125">
        <f xml:space="preserve"> Debt!X$187</f>
        <v>102198.52966645258</v>
      </c>
      <c r="Y102" s="125">
        <f xml:space="preserve"> Debt!Y$187</f>
        <v>99501.600215346058</v>
      </c>
      <c r="Z102" s="125">
        <f xml:space="preserve"> Debt!Z$187</f>
        <v>96843.285838745331</v>
      </c>
      <c r="AA102" s="125">
        <f xml:space="preserve"> Debt!AA$187</f>
        <v>94137.669059260574</v>
      </c>
      <c r="AB102" s="125">
        <f xml:space="preserve"> Debt!AB$187</f>
        <v>91388.173880573551</v>
      </c>
      <c r="AC102" s="125">
        <f xml:space="preserve"> Debt!AC$187</f>
        <v>88591.140842060806</v>
      </c>
      <c r="AD102" s="125">
        <f xml:space="preserve"> Debt!AD$187</f>
        <v>85746.585013341115</v>
      </c>
      <c r="AE102" s="125">
        <f xml:space="preserve"> Debt!AE$187</f>
        <v>82856.442001167306</v>
      </c>
      <c r="AF102" s="125">
        <f xml:space="preserve"> Debt!AF$187</f>
        <v>79918.828937485043</v>
      </c>
      <c r="AG102" s="125">
        <f xml:space="preserve"> Debt!AG$187</f>
        <v>76927.27686561922</v>
      </c>
      <c r="AH102" s="125">
        <f xml:space="preserve"> Debt!AH$187</f>
        <v>73880.450658089481</v>
      </c>
      <c r="AI102" s="125">
        <f xml:space="preserve"> Debt!AI$187</f>
        <v>70785.247373619</v>
      </c>
      <c r="AJ102" s="125">
        <f xml:space="preserve"> Debt!AJ$187</f>
        <v>67690.833646661864</v>
      </c>
      <c r="AK102" s="125">
        <f xml:space="preserve"> Debt!AK$187</f>
        <v>64544.128046861137</v>
      </c>
      <c r="AL102" s="125">
        <f xml:space="preserve"> Debt!AL$187</f>
        <v>61331.848850567236</v>
      </c>
      <c r="AM102" s="125">
        <f xml:space="preserve"> Debt!AM$187</f>
        <v>58066.22768944627</v>
      </c>
      <c r="AN102" s="125">
        <f xml:space="preserve"> Debt!AN$187</f>
        <v>54736.43721186708</v>
      </c>
      <c r="AO102" s="125">
        <f xml:space="preserve"> Debt!AO$187</f>
        <v>51347.570845042952</v>
      </c>
      <c r="AP102" s="125">
        <f xml:space="preserve"> Debt!AP$187</f>
        <v>47883.159012851975</v>
      </c>
      <c r="AQ102" s="125">
        <f xml:space="preserve"> Debt!AQ$187</f>
        <v>44364.691041537037</v>
      </c>
      <c r="AR102" s="125">
        <f xml:space="preserve"> Debt!AR$187</f>
        <v>40765.341095443495</v>
      </c>
      <c r="AS102" s="125">
        <f xml:space="preserve"> Debt!AS$187</f>
        <v>37111.262402800712</v>
      </c>
      <c r="AT102" s="125">
        <f xml:space="preserve"> Debt!AT$187</f>
        <v>28054.211954517719</v>
      </c>
      <c r="AU102" s="125">
        <f xml:space="preserve"> Debt!AU$187</f>
        <v>18869.053669515644</v>
      </c>
      <c r="AV102" s="125">
        <f xml:space="preserve"> Debt!AV$187</f>
        <v>9500.7049074522929</v>
      </c>
      <c r="AW102" s="125">
        <f xml:space="preserve"> Debt!AW$187</f>
        <v>-2.5461520346652833E-2</v>
      </c>
      <c r="AX102" s="125">
        <f xml:space="preserve"> Debt!AX$187</f>
        <v>-2.5461520346652833E-2</v>
      </c>
      <c r="AY102" s="125">
        <f xml:space="preserve"> Debt!AY$187</f>
        <v>-2.5461520346652833E-2</v>
      </c>
      <c r="AZ102" s="125">
        <f xml:space="preserve"> Debt!AZ$187</f>
        <v>-2.5461520346652833E-2</v>
      </c>
      <c r="BA102" s="125">
        <f xml:space="preserve"> Debt!BA$187</f>
        <v>-2.5461520346652833E-2</v>
      </c>
      <c r="BB102" s="125">
        <f xml:space="preserve"> Debt!BB$187</f>
        <v>-2.5461520346652833E-2</v>
      </c>
      <c r="BC102" s="125">
        <f xml:space="preserve"> Debt!BC$187</f>
        <v>-2.5461520346652833E-2</v>
      </c>
      <c r="BD102" s="125">
        <f xml:space="preserve"> Debt!BD$187</f>
        <v>-2.5461520346652833E-2</v>
      </c>
      <c r="BE102" s="125">
        <f xml:space="preserve"> Debt!BE$187</f>
        <v>-2.5461520346652833E-2</v>
      </c>
      <c r="BF102" s="125">
        <f xml:space="preserve"> Debt!BF$187</f>
        <v>-2.5461520346652833E-2</v>
      </c>
      <c r="BG102" s="125">
        <f xml:space="preserve"> Debt!BG$187</f>
        <v>-2.5461520346652833E-2</v>
      </c>
      <c r="BH102" s="125">
        <f xml:space="preserve"> Debt!BH$187</f>
        <v>-2.5461520346652833E-2</v>
      </c>
      <c r="BI102" s="125">
        <f xml:space="preserve"> Debt!BI$187</f>
        <v>-2.5461520346652833E-2</v>
      </c>
      <c r="BJ102" s="125">
        <f xml:space="preserve"> Debt!BJ$187</f>
        <v>-2.5461520346652833E-2</v>
      </c>
      <c r="BK102" s="125">
        <f xml:space="preserve"> Debt!BK$187</f>
        <v>-2.5461520346652833E-2</v>
      </c>
      <c r="BL102" s="125">
        <f xml:space="preserve"> Debt!BL$187</f>
        <v>-2.5461520346652833E-2</v>
      </c>
      <c r="BM102" s="125">
        <f xml:space="preserve"> Debt!BM$187</f>
        <v>-2.5461520346652833E-2</v>
      </c>
      <c r="BN102" s="125">
        <f xml:space="preserve"> Debt!BN$187</f>
        <v>-2.5461520346652833E-2</v>
      </c>
      <c r="BO102" s="125">
        <f xml:space="preserve"> Debt!BO$187</f>
        <v>-2.5461520346652833E-2</v>
      </c>
      <c r="BP102" s="125">
        <f xml:space="preserve"> Debt!BP$187</f>
        <v>-2.5461520346652833E-2</v>
      </c>
      <c r="BQ102" s="125">
        <f xml:space="preserve"> Debt!BQ$187</f>
        <v>-2.5461520346652833E-2</v>
      </c>
      <c r="BR102" s="125">
        <f xml:space="preserve"> Debt!BR$187</f>
        <v>-2.5461520346652833E-2</v>
      </c>
      <c r="BS102" s="125">
        <f xml:space="preserve"> Debt!BS$187</f>
        <v>-2.5461520346652833E-2</v>
      </c>
      <c r="BT102" s="125">
        <f xml:space="preserve"> Debt!BT$187</f>
        <v>-2.5461520346652833E-2</v>
      </c>
      <c r="BU102" s="125">
        <f xml:space="preserve"> Debt!BU$187</f>
        <v>-2.5461520346652833E-2</v>
      </c>
      <c r="BV102" s="125">
        <f xml:space="preserve"> Debt!BV$187</f>
        <v>-2.5461520346652833E-2</v>
      </c>
      <c r="BW102" s="125">
        <f xml:space="preserve"> Debt!BW$187</f>
        <v>-2.5461520346652833E-2</v>
      </c>
      <c r="BX102" s="125">
        <f xml:space="preserve"> Debt!BX$187</f>
        <v>-2.5461520346652833E-2</v>
      </c>
      <c r="BY102" s="125">
        <f xml:space="preserve"> Debt!BY$187</f>
        <v>-2.5461520346652833E-2</v>
      </c>
      <c r="BZ102" s="125">
        <f xml:space="preserve"> Debt!BZ$187</f>
        <v>-2.5461520346652833E-2</v>
      </c>
      <c r="CA102" s="125">
        <f xml:space="preserve"> Debt!CA$187</f>
        <v>-2.5461520346652833E-2</v>
      </c>
      <c r="CB102" s="125">
        <f xml:space="preserve"> Debt!CB$187</f>
        <v>-2.5461520346652833E-2</v>
      </c>
      <c r="CC102" s="125">
        <f xml:space="preserve"> Debt!CC$187</f>
        <v>-2.5461520346652833E-2</v>
      </c>
      <c r="CD102" s="125">
        <f xml:space="preserve"> Debt!CD$187</f>
        <v>-2.5461520346652833E-2</v>
      </c>
      <c r="CE102" s="125">
        <f xml:space="preserve"> Debt!CE$187</f>
        <v>-2.5461520346652833E-2</v>
      </c>
      <c r="CF102" s="125">
        <f xml:space="preserve"> Debt!CF$187</f>
        <v>-2.5461520346652833E-2</v>
      </c>
      <c r="CG102" s="125">
        <f xml:space="preserve"> Debt!CG$187</f>
        <v>-2.5461520346652833E-2</v>
      </c>
      <c r="CH102" s="125">
        <f xml:space="preserve"> Debt!CH$187</f>
        <v>-2.5461520346652833E-2</v>
      </c>
      <c r="CI102" s="125">
        <f xml:space="preserve"> Debt!CI$187</f>
        <v>-2.5461520346652833E-2</v>
      </c>
      <c r="CJ102" s="125">
        <f xml:space="preserve"> Debt!CJ$187</f>
        <v>-2.5461520346652833E-2</v>
      </c>
      <c r="CK102" s="125">
        <f xml:space="preserve"> Debt!CK$187</f>
        <v>-2.5461520346652833E-2</v>
      </c>
      <c r="CL102" s="125">
        <f xml:space="preserve"> Debt!CL$187</f>
        <v>-2.5461520346652833E-2</v>
      </c>
      <c r="CM102" s="125">
        <f xml:space="preserve"> Debt!CM$187</f>
        <v>-2.5461520346652833E-2</v>
      </c>
      <c r="CN102" s="125">
        <f xml:space="preserve"> Debt!CN$187</f>
        <v>-2.5461520346652833E-2</v>
      </c>
      <c r="CO102" s="125">
        <f xml:space="preserve"> Debt!CO$187</f>
        <v>-2.5461520346652833E-2</v>
      </c>
      <c r="CP102" s="125">
        <f xml:space="preserve"> Debt!CP$187</f>
        <v>-2.5461520346652833E-2</v>
      </c>
      <c r="CQ102" s="125">
        <f xml:space="preserve"> Debt!CQ$187</f>
        <v>-2.5461520346652833E-2</v>
      </c>
      <c r="CR102" s="125">
        <f xml:space="preserve"> Debt!CR$187</f>
        <v>-2.5461520346652833E-2</v>
      </c>
      <c r="CS102" s="125">
        <f xml:space="preserve"> Debt!CS$187</f>
        <v>-2.5461520346652833E-2</v>
      </c>
      <c r="CT102" s="125">
        <f xml:space="preserve"> Debt!CT$187</f>
        <v>-2.5461520346652833E-2</v>
      </c>
      <c r="CU102" s="125">
        <f xml:space="preserve"> Debt!CU$187</f>
        <v>-2.5461520346652833E-2</v>
      </c>
      <c r="CV102" s="125">
        <f xml:space="preserve"> Debt!CV$187</f>
        <v>-2.5461520346652833E-2</v>
      </c>
    </row>
    <row r="103" spans="1:100" outlineLevel="1" x14ac:dyDescent="0.2">
      <c r="A103" s="75"/>
      <c r="B103" s="639"/>
      <c r="C103" s="640"/>
      <c r="D103" s="641"/>
      <c r="E103" s="125" t="str">
        <f xml:space="preserve"> Debt!E$349</f>
        <v>Senior debt interest - T2 POS</v>
      </c>
      <c r="F103" s="125">
        <f xml:space="preserve"> Debt!F$349</f>
        <v>0</v>
      </c>
      <c r="G103" s="125" t="str">
        <f xml:space="preserve"> Debt!G$349</f>
        <v>$ 000s</v>
      </c>
      <c r="H103" s="125">
        <f xml:space="preserve"> Debt!H$349</f>
        <v>50719.400835431705</v>
      </c>
      <c r="I103" s="125">
        <f xml:space="preserve"> Debt!I$349</f>
        <v>0</v>
      </c>
      <c r="J103" s="125">
        <f xml:space="preserve"> Debt!J$349</f>
        <v>0</v>
      </c>
      <c r="K103" s="125">
        <f xml:space="preserve"> Debt!K$349</f>
        <v>0</v>
      </c>
      <c r="L103" s="125">
        <f xml:space="preserve"> Debt!L$349</f>
        <v>0</v>
      </c>
      <c r="M103" s="125">
        <f xml:space="preserve"> Debt!M$349</f>
        <v>0</v>
      </c>
      <c r="N103" s="125">
        <f xml:space="preserve"> Debt!N$349</f>
        <v>0</v>
      </c>
      <c r="O103" s="125">
        <f xml:space="preserve"> Debt!O$349</f>
        <v>3007.4603365932417</v>
      </c>
      <c r="P103" s="125">
        <f xml:space="preserve"> Debt!P$349</f>
        <v>2861.4426237247226</v>
      </c>
      <c r="Q103" s="125">
        <f xml:space="preserve"> Debt!Q$349</f>
        <v>2827.4302563544802</v>
      </c>
      <c r="R103" s="125">
        <f xml:space="preserve"> Debt!R$349</f>
        <v>2700.2548554507134</v>
      </c>
      <c r="S103" s="125">
        <f xml:space="preserve"> Debt!S$349</f>
        <v>2661.0628632799539</v>
      </c>
      <c r="T103" s="125">
        <f xml:space="preserve"> Debt!T$349</f>
        <v>2534.0368459800811</v>
      </c>
      <c r="U103" s="125">
        <f xml:space="preserve"> Debt!U$349</f>
        <v>2489.4816638803841</v>
      </c>
      <c r="V103" s="125">
        <f xml:space="preserve"> Debt!V$349</f>
        <v>2375.6406705547574</v>
      </c>
      <c r="W103" s="125">
        <f xml:space="preserve"> Debt!W$349</f>
        <v>2312.626961541976</v>
      </c>
      <c r="X103" s="125">
        <f xml:space="preserve"> Debt!X$349</f>
        <v>2186.0562385133053</v>
      </c>
      <c r="Y103" s="125">
        <f xml:space="preserve"> Debt!Y$349</f>
        <v>2220.854468947296</v>
      </c>
      <c r="Z103" s="125">
        <f xml:space="preserve"> Debt!Z$349</f>
        <v>2091.5619982100643</v>
      </c>
      <c r="AA103" s="125">
        <f xml:space="preserve"> Debt!AA$349</f>
        <v>2029.9192920142364</v>
      </c>
      <c r="AB103" s="125">
        <f xml:space="preserve"> Debt!AB$349</f>
        <v>1900.5471301160426</v>
      </c>
      <c r="AC103" s="125">
        <f xml:space="preserve"> Debt!AC$349</f>
        <v>1832.4843668262508</v>
      </c>
      <c r="AD103" s="125">
        <f xml:space="preserve"> Debt!AD$349</f>
        <v>1712.4114864363401</v>
      </c>
      <c r="AE103" s="125">
        <f xml:space="preserve"> Debt!AE$349</f>
        <v>1628.351296139547</v>
      </c>
      <c r="AF103" s="125">
        <f xml:space="preserve"> Debt!AF$349</f>
        <v>1498.9393486025879</v>
      </c>
      <c r="AG103" s="125">
        <f xml:space="preserve"> Debt!AG$349</f>
        <v>1417.2959784483739</v>
      </c>
      <c r="AH103" s="125">
        <f xml:space="preserve"> Debt!AH$349</f>
        <v>1287.5009694483854</v>
      </c>
      <c r="AI103" s="125">
        <f xml:space="preserve"> Debt!AI$349</f>
        <v>1272.051076082276</v>
      </c>
      <c r="AJ103" s="125">
        <f xml:space="preserve"> Debt!AJ$349</f>
        <v>1136.3240059796112</v>
      </c>
      <c r="AK103" s="125">
        <f xml:space="preserve"> Debt!AK$349</f>
        <v>1036.2897842601778</v>
      </c>
      <c r="AL103" s="125">
        <f xml:space="preserve"> Debt!AL$349</f>
        <v>904.99934106523745</v>
      </c>
      <c r="AM103" s="125">
        <f xml:space="preserve"> Debt!AM$349</f>
        <v>791.5839748373146</v>
      </c>
      <c r="AN103" s="125">
        <f xml:space="preserve"> Debt!AN$349</f>
        <v>654.9441068505555</v>
      </c>
      <c r="AO103" s="125">
        <f xml:space="preserve"> Debt!AO$349</f>
        <v>537.78347303393627</v>
      </c>
      <c r="AP103" s="125">
        <f xml:space="preserve"> Debt!AP$349</f>
        <v>400.27918403838652</v>
      </c>
      <c r="AQ103" s="125">
        <f xml:space="preserve"> Debt!AQ$349</f>
        <v>274.00182155120319</v>
      </c>
      <c r="AR103" s="125">
        <f xml:space="preserve"> Debt!AR$349</f>
        <v>135.78407704150388</v>
      </c>
      <c r="AS103" s="125">
        <f xml:space="preserve"> Debt!AS$349</f>
        <v>5.7368266412878361E-5</v>
      </c>
      <c r="AT103" s="125">
        <f xml:space="preserve"> Debt!AT$349</f>
        <v>5.6744698299694907E-5</v>
      </c>
      <c r="AU103" s="125">
        <f xml:space="preserve"> Debt!AU$349</f>
        <v>5.7368266412878361E-5</v>
      </c>
      <c r="AV103" s="125">
        <f xml:space="preserve"> Debt!AV$349</f>
        <v>5.6432914243103177E-5</v>
      </c>
      <c r="AW103" s="125">
        <f xml:space="preserve"> Debt!AW$349</f>
        <v>1.8755010173441004E-5</v>
      </c>
      <c r="AX103" s="125">
        <f xml:space="preserve"> Debt!AX$349</f>
        <v>1.8449221964091424E-5</v>
      </c>
      <c r="AY103" s="125">
        <f xml:space="preserve"> Debt!AY$349</f>
        <v>1.8755010173441004E-5</v>
      </c>
      <c r="AZ103" s="125">
        <f xml:space="preserve"> Debt!AZ$349</f>
        <v>1.8449221964091424E-5</v>
      </c>
      <c r="BA103" s="125">
        <f xml:space="preserve"> Debt!BA$349</f>
        <v>1.8755010173441004E-5</v>
      </c>
      <c r="BB103" s="125">
        <f xml:space="preserve"> Debt!BB$349</f>
        <v>1.8551151367207951E-5</v>
      </c>
      <c r="BC103" s="125">
        <f xml:space="preserve"> Debt!BC$349</f>
        <v>0</v>
      </c>
      <c r="BD103" s="125">
        <f xml:space="preserve"> Debt!BD$349</f>
        <v>0</v>
      </c>
      <c r="BE103" s="125">
        <f xml:space="preserve"> Debt!BE$349</f>
        <v>0</v>
      </c>
      <c r="BF103" s="125">
        <f xml:space="preserve"> Debt!BF$349</f>
        <v>0</v>
      </c>
      <c r="BG103" s="125">
        <f xml:space="preserve"> Debt!BG$349</f>
        <v>0</v>
      </c>
      <c r="BH103" s="125">
        <f xml:space="preserve"> Debt!BH$349</f>
        <v>0</v>
      </c>
      <c r="BI103" s="125">
        <f xml:space="preserve"> Debt!BI$349</f>
        <v>0</v>
      </c>
      <c r="BJ103" s="125">
        <f xml:space="preserve"> Debt!BJ$349</f>
        <v>0</v>
      </c>
      <c r="BK103" s="125">
        <f xml:space="preserve"> Debt!BK$349</f>
        <v>0</v>
      </c>
      <c r="BL103" s="125">
        <f xml:space="preserve"> Debt!BL$349</f>
        <v>0</v>
      </c>
      <c r="BM103" s="125">
        <f xml:space="preserve"> Debt!BM$349</f>
        <v>0</v>
      </c>
      <c r="BN103" s="125">
        <f xml:space="preserve"> Debt!BN$349</f>
        <v>0</v>
      </c>
      <c r="BO103" s="125">
        <f xml:space="preserve"> Debt!BO$349</f>
        <v>0</v>
      </c>
      <c r="BP103" s="125">
        <f xml:space="preserve"> Debt!BP$349</f>
        <v>0</v>
      </c>
      <c r="BQ103" s="125">
        <f xml:space="preserve"> Debt!BQ$349</f>
        <v>0</v>
      </c>
      <c r="BR103" s="125">
        <f xml:space="preserve"> Debt!BR$349</f>
        <v>0</v>
      </c>
      <c r="BS103" s="125">
        <f xml:space="preserve"> Debt!BS$349</f>
        <v>0</v>
      </c>
      <c r="BT103" s="125">
        <f xml:space="preserve"> Debt!BT$349</f>
        <v>0</v>
      </c>
      <c r="BU103" s="125">
        <f xml:space="preserve"> Debt!BU$349</f>
        <v>0</v>
      </c>
      <c r="BV103" s="125">
        <f xml:space="preserve"> Debt!BV$349</f>
        <v>0</v>
      </c>
      <c r="BW103" s="125">
        <f xml:space="preserve"> Debt!BW$349</f>
        <v>0</v>
      </c>
      <c r="BX103" s="125">
        <f xml:space="preserve"> Debt!BX$349</f>
        <v>0</v>
      </c>
      <c r="BY103" s="125">
        <f xml:space="preserve"> Debt!BY$349</f>
        <v>0</v>
      </c>
      <c r="BZ103" s="125">
        <f xml:space="preserve"> Debt!BZ$349</f>
        <v>0</v>
      </c>
      <c r="CA103" s="125">
        <f xml:space="preserve"> Debt!CA$349</f>
        <v>0</v>
      </c>
      <c r="CB103" s="125">
        <f xml:space="preserve"> Debt!CB$349</f>
        <v>0</v>
      </c>
      <c r="CC103" s="125">
        <f xml:space="preserve"> Debt!CC$349</f>
        <v>0</v>
      </c>
      <c r="CD103" s="125">
        <f xml:space="preserve"> Debt!CD$349</f>
        <v>0</v>
      </c>
      <c r="CE103" s="125">
        <f xml:space="preserve"> Debt!CE$349</f>
        <v>0</v>
      </c>
      <c r="CF103" s="125">
        <f xml:space="preserve"> Debt!CF$349</f>
        <v>0</v>
      </c>
      <c r="CG103" s="125">
        <f xml:space="preserve"> Debt!CG$349</f>
        <v>0</v>
      </c>
      <c r="CH103" s="125">
        <f xml:space="preserve"> Debt!CH$349</f>
        <v>0</v>
      </c>
      <c r="CI103" s="125">
        <f xml:space="preserve"> Debt!CI$349</f>
        <v>0</v>
      </c>
      <c r="CJ103" s="125">
        <f xml:space="preserve"> Debt!CJ$349</f>
        <v>0</v>
      </c>
      <c r="CK103" s="125">
        <f xml:space="preserve"> Debt!CK$349</f>
        <v>0</v>
      </c>
      <c r="CL103" s="125">
        <f xml:space="preserve"> Debt!CL$349</f>
        <v>0</v>
      </c>
      <c r="CM103" s="125">
        <f xml:space="preserve"> Debt!CM$349</f>
        <v>0</v>
      </c>
      <c r="CN103" s="125">
        <f xml:space="preserve"> Debt!CN$349</f>
        <v>0</v>
      </c>
      <c r="CO103" s="125">
        <f xml:space="preserve"> Debt!CO$349</f>
        <v>0</v>
      </c>
      <c r="CP103" s="125">
        <f xml:space="preserve"> Debt!CP$349</f>
        <v>0</v>
      </c>
      <c r="CQ103" s="125">
        <f xml:space="preserve"> Debt!CQ$349</f>
        <v>0</v>
      </c>
      <c r="CR103" s="125">
        <f xml:space="preserve"> Debt!CR$349</f>
        <v>0</v>
      </c>
      <c r="CS103" s="125">
        <f xml:space="preserve"> Debt!CS$349</f>
        <v>0</v>
      </c>
      <c r="CT103" s="125">
        <f xml:space="preserve"> Debt!CT$349</f>
        <v>0</v>
      </c>
      <c r="CU103" s="125">
        <f xml:space="preserve"> Debt!CU$349</f>
        <v>0</v>
      </c>
      <c r="CV103" s="125">
        <f xml:space="preserve"> Debt!CV$349</f>
        <v>0</v>
      </c>
    </row>
    <row r="104" spans="1:100" outlineLevel="1" x14ac:dyDescent="0.2">
      <c r="A104" s="75"/>
      <c r="B104" s="639"/>
      <c r="C104" s="640"/>
      <c r="D104" s="641"/>
      <c r="E104" s="125" t="str">
        <f xml:space="preserve"> Debt!E$299</f>
        <v>Senior debt balance BEG - T2</v>
      </c>
      <c r="F104" s="125">
        <f xml:space="preserve"> Debt!F$299</f>
        <v>0</v>
      </c>
      <c r="G104" s="125" t="str">
        <f xml:space="preserve"> Debt!G$299</f>
        <v>$ 000s</v>
      </c>
      <c r="H104" s="125">
        <f xml:space="preserve"> Debt!H$299</f>
        <v>0</v>
      </c>
      <c r="I104" s="125">
        <f xml:space="preserve"> Debt!I$299</f>
        <v>0</v>
      </c>
      <c r="J104" s="125">
        <f xml:space="preserve"> Debt!J$299</f>
        <v>0</v>
      </c>
      <c r="K104" s="125">
        <f xml:space="preserve"> Debt!K$299</f>
        <v>0</v>
      </c>
      <c r="L104" s="125">
        <f xml:space="preserve"> Debt!L$299</f>
        <v>12084.251893640236</v>
      </c>
      <c r="M104" s="125">
        <f xml:space="preserve"> Debt!M$299</f>
        <v>48641.086087745876</v>
      </c>
      <c r="N104" s="125">
        <f xml:space="preserve"> Debt!N$299</f>
        <v>85848.029919746245</v>
      </c>
      <c r="O104" s="125">
        <f xml:space="preserve"> Debt!O$299</f>
        <v>125194.92613015344</v>
      </c>
      <c r="P104" s="125">
        <f xml:space="preserve"> Debt!P$299</f>
        <v>121090.7892959798</v>
      </c>
      <c r="Q104" s="125">
        <f xml:space="preserve"> Debt!Q$299</f>
        <v>117700.61196665274</v>
      </c>
      <c r="R104" s="125">
        <f xml:space="preserve"> Debt!R$299</f>
        <v>114269.63065266921</v>
      </c>
      <c r="S104" s="125">
        <f xml:space="preserve"> Debt!S$299</f>
        <v>110775.04981276403</v>
      </c>
      <c r="T104" s="125">
        <f xml:space="preserve"> Debt!T$299</f>
        <v>107235.60180472895</v>
      </c>
      <c r="U104" s="125">
        <f xml:space="preserve"> Debt!U$299</f>
        <v>103632.44669252292</v>
      </c>
      <c r="V104" s="125">
        <f xml:space="preserve"> Debt!V$299</f>
        <v>99980.201239152753</v>
      </c>
      <c r="W104" s="125">
        <f xml:space="preserve"> Debt!W$299</f>
        <v>96270.31754800085</v>
      </c>
      <c r="X104" s="125">
        <f xml:space="preserve"> Debt!X$299</f>
        <v>92509.726797318668</v>
      </c>
      <c r="Y104" s="125">
        <f xml:space="preserve"> Debt!Y$299</f>
        <v>88676.531590619605</v>
      </c>
      <c r="Z104" s="125">
        <f xml:space="preserve"> Debt!Z$299</f>
        <v>84898.220696315591</v>
      </c>
      <c r="AA104" s="125">
        <f xml:space="preserve"> Debt!AA$299</f>
        <v>81052.678030737021</v>
      </c>
      <c r="AB104" s="125">
        <f xml:space="preserve"> Debt!AB$299</f>
        <v>77144.770193006567</v>
      </c>
      <c r="AC104" s="125">
        <f xml:space="preserve"> Debt!AC$299</f>
        <v>73169.295924739374</v>
      </c>
      <c r="AD104" s="125">
        <f xml:space="preserve"> Debt!AD$299</f>
        <v>69126.276644660495</v>
      </c>
      <c r="AE104" s="125">
        <f xml:space="preserve"> Debt!AE$299</f>
        <v>65018.4634660866</v>
      </c>
      <c r="AF104" s="125">
        <f xml:space="preserve"> Debt!AF$299</f>
        <v>60843.180234178777</v>
      </c>
      <c r="AG104" s="125">
        <f xml:space="preserve"> Debt!AG$299</f>
        <v>56591.232502375169</v>
      </c>
      <c r="AH104" s="125">
        <f xml:space="preserve"> Debt!AH$299</f>
        <v>52260.722629543205</v>
      </c>
      <c r="AI104" s="125">
        <f xml:space="preserve"> Debt!AI$299</f>
        <v>47861.453531523759</v>
      </c>
      <c r="AJ104" s="125">
        <f xml:space="preserve"> Debt!AJ$299</f>
        <v>43463.30664605397</v>
      </c>
      <c r="AK104" s="125">
        <f xml:space="preserve"> Debt!AK$299</f>
        <v>38990.836364304349</v>
      </c>
      <c r="AL104" s="125">
        <f xml:space="preserve"> Debt!AL$299</f>
        <v>34425.165129277833</v>
      </c>
      <c r="AM104" s="125">
        <f xml:space="preserve"> Debt!AM$299</f>
        <v>29783.677983009326</v>
      </c>
      <c r="AN104" s="125">
        <f xml:space="preserve"> Debt!AN$299</f>
        <v>25050.985812388433</v>
      </c>
      <c r="AO104" s="125">
        <f xml:space="preserve"> Debt!AO$299</f>
        <v>20234.327998768505</v>
      </c>
      <c r="AP104" s="125">
        <f xml:space="preserve"> Debt!AP$299</f>
        <v>15310.296032067479</v>
      </c>
      <c r="AQ104" s="125">
        <f xml:space="preserve"> Debt!AQ$299</f>
        <v>10309.43308512052</v>
      </c>
      <c r="AR104" s="125">
        <f xml:space="preserve"> Debt!AR$299</f>
        <v>5193.6111065598579</v>
      </c>
      <c r="AS104" s="125">
        <f xml:space="preserve"> Debt!AS$299</f>
        <v>2.1585050071735168E-3</v>
      </c>
      <c r="AT104" s="125">
        <f xml:space="preserve"> Debt!AT$299</f>
        <v>2.1585050071735168E-3</v>
      </c>
      <c r="AU104" s="125">
        <f xml:space="preserve"> Debt!AU$299</f>
        <v>2.1585050071735168E-3</v>
      </c>
      <c r="AV104" s="125">
        <f xml:space="preserve"> Debt!AV$299</f>
        <v>2.1585050071735168E-3</v>
      </c>
      <c r="AW104" s="125">
        <f xml:space="preserve"> Debt!AW$299</f>
        <v>2.1585050071735168E-3</v>
      </c>
      <c r="AX104" s="125">
        <f xml:space="preserve"> Debt!AX$299</f>
        <v>2.1585050071735168E-3</v>
      </c>
      <c r="AY104" s="125">
        <f xml:space="preserve"> Debt!AY$299</f>
        <v>2.1585050071735168E-3</v>
      </c>
      <c r="AZ104" s="125">
        <f xml:space="preserve"> Debt!AZ$299</f>
        <v>2.1585050071735168E-3</v>
      </c>
      <c r="BA104" s="125">
        <f xml:space="preserve"> Debt!BA$299</f>
        <v>2.1585050071735168E-3</v>
      </c>
      <c r="BB104" s="125">
        <f xml:space="preserve"> Debt!BB$299</f>
        <v>2.1585050071735168E-3</v>
      </c>
      <c r="BC104" s="125">
        <f xml:space="preserve"> Debt!BC$299</f>
        <v>2.1585050071735168E-3</v>
      </c>
      <c r="BD104" s="125">
        <f xml:space="preserve"> Debt!BD$299</f>
        <v>2.1585050071735168E-3</v>
      </c>
      <c r="BE104" s="125">
        <f xml:space="preserve"> Debt!BE$299</f>
        <v>2.1585050071735168E-3</v>
      </c>
      <c r="BF104" s="125">
        <f xml:space="preserve"> Debt!BF$299</f>
        <v>2.1585050071735168E-3</v>
      </c>
      <c r="BG104" s="125">
        <f xml:space="preserve"> Debt!BG$299</f>
        <v>2.1585050071735168E-3</v>
      </c>
      <c r="BH104" s="125">
        <f xml:space="preserve"> Debt!BH$299</f>
        <v>2.1585050071735168E-3</v>
      </c>
      <c r="BI104" s="125">
        <f xml:space="preserve"> Debt!BI$299</f>
        <v>2.1585050071735168E-3</v>
      </c>
      <c r="BJ104" s="125">
        <f xml:space="preserve"> Debt!BJ$299</f>
        <v>2.1585050071735168E-3</v>
      </c>
      <c r="BK104" s="125">
        <f xml:space="preserve"> Debt!BK$299</f>
        <v>2.1585050071735168E-3</v>
      </c>
      <c r="BL104" s="125">
        <f xml:space="preserve"> Debt!BL$299</f>
        <v>2.1585050071735168E-3</v>
      </c>
      <c r="BM104" s="125">
        <f xml:space="preserve"> Debt!BM$299</f>
        <v>2.1585050071735168E-3</v>
      </c>
      <c r="BN104" s="125">
        <f xml:space="preserve"> Debt!BN$299</f>
        <v>2.1585050071735168E-3</v>
      </c>
      <c r="BO104" s="125">
        <f xml:space="preserve"> Debt!BO$299</f>
        <v>2.1585050071735168E-3</v>
      </c>
      <c r="BP104" s="125">
        <f xml:space="preserve"> Debt!BP$299</f>
        <v>2.1585050071735168E-3</v>
      </c>
      <c r="BQ104" s="125">
        <f xml:space="preserve"> Debt!BQ$299</f>
        <v>2.1585050071735168E-3</v>
      </c>
      <c r="BR104" s="125">
        <f xml:space="preserve"> Debt!BR$299</f>
        <v>2.1585050071735168E-3</v>
      </c>
      <c r="BS104" s="125">
        <f xml:space="preserve"> Debt!BS$299</f>
        <v>2.1585050071735168E-3</v>
      </c>
      <c r="BT104" s="125">
        <f xml:space="preserve"> Debt!BT$299</f>
        <v>2.1585050071735168E-3</v>
      </c>
      <c r="BU104" s="125">
        <f xml:space="preserve"> Debt!BU$299</f>
        <v>2.1585050071735168E-3</v>
      </c>
      <c r="BV104" s="125">
        <f xml:space="preserve"> Debt!BV$299</f>
        <v>2.1585050071735168E-3</v>
      </c>
      <c r="BW104" s="125">
        <f xml:space="preserve"> Debt!BW$299</f>
        <v>2.1585050071735168E-3</v>
      </c>
      <c r="BX104" s="125">
        <f xml:space="preserve"> Debt!BX$299</f>
        <v>2.1585050071735168E-3</v>
      </c>
      <c r="BY104" s="125">
        <f xml:space="preserve"> Debt!BY$299</f>
        <v>2.1585050071735168E-3</v>
      </c>
      <c r="BZ104" s="125">
        <f xml:space="preserve"> Debt!BZ$299</f>
        <v>2.1585050071735168E-3</v>
      </c>
      <c r="CA104" s="125">
        <f xml:space="preserve"> Debt!CA$299</f>
        <v>2.1585050071735168E-3</v>
      </c>
      <c r="CB104" s="125">
        <f xml:space="preserve"> Debt!CB$299</f>
        <v>2.1585050071735168E-3</v>
      </c>
      <c r="CC104" s="125">
        <f xml:space="preserve"> Debt!CC$299</f>
        <v>2.1585050071735168E-3</v>
      </c>
      <c r="CD104" s="125">
        <f xml:space="preserve"> Debt!CD$299</f>
        <v>2.1585050071735168E-3</v>
      </c>
      <c r="CE104" s="125">
        <f xml:space="preserve"> Debt!CE$299</f>
        <v>2.1585050071735168E-3</v>
      </c>
      <c r="CF104" s="125">
        <f xml:space="preserve"> Debt!CF$299</f>
        <v>2.1585050071735168E-3</v>
      </c>
      <c r="CG104" s="125">
        <f xml:space="preserve"> Debt!CG$299</f>
        <v>2.1585050071735168E-3</v>
      </c>
      <c r="CH104" s="125">
        <f xml:space="preserve"> Debt!CH$299</f>
        <v>2.1585050071735168E-3</v>
      </c>
      <c r="CI104" s="125">
        <f xml:space="preserve"> Debt!CI$299</f>
        <v>2.1585050071735168E-3</v>
      </c>
      <c r="CJ104" s="125">
        <f xml:space="preserve"> Debt!CJ$299</f>
        <v>2.1585050071735168E-3</v>
      </c>
      <c r="CK104" s="125">
        <f xml:space="preserve"> Debt!CK$299</f>
        <v>2.1585050071735168E-3</v>
      </c>
      <c r="CL104" s="125">
        <f xml:space="preserve"> Debt!CL$299</f>
        <v>2.1585050071735168E-3</v>
      </c>
      <c r="CM104" s="125">
        <f xml:space="preserve"> Debt!CM$299</f>
        <v>2.1585050071735168E-3</v>
      </c>
      <c r="CN104" s="125">
        <f xml:space="preserve"> Debt!CN$299</f>
        <v>2.1585050071735168E-3</v>
      </c>
      <c r="CO104" s="125">
        <f xml:space="preserve"> Debt!CO$299</f>
        <v>2.1585050071735168E-3</v>
      </c>
      <c r="CP104" s="125">
        <f xml:space="preserve"> Debt!CP$299</f>
        <v>2.1585050071735168E-3</v>
      </c>
      <c r="CQ104" s="125">
        <f xml:space="preserve"> Debt!CQ$299</f>
        <v>2.1585050071735168E-3</v>
      </c>
      <c r="CR104" s="125">
        <f xml:space="preserve"> Debt!CR$299</f>
        <v>2.1585050071735168E-3</v>
      </c>
      <c r="CS104" s="125">
        <f xml:space="preserve"> Debt!CS$299</f>
        <v>2.1585050071735168E-3</v>
      </c>
      <c r="CT104" s="125">
        <f xml:space="preserve"> Debt!CT$299</f>
        <v>2.1585050071735168E-3</v>
      </c>
      <c r="CU104" s="125">
        <f xml:space="preserve"> Debt!CU$299</f>
        <v>2.1585050071735168E-3</v>
      </c>
      <c r="CV104" s="125">
        <f xml:space="preserve"> Debt!CV$299</f>
        <v>2.1585050071735168E-3</v>
      </c>
    </row>
    <row r="105" spans="1:100" outlineLevel="1" x14ac:dyDescent="0.2">
      <c r="A105" s="75"/>
      <c r="B105" s="639"/>
      <c r="C105" s="640"/>
      <c r="D105" s="641"/>
      <c r="E105" s="125" t="str">
        <f xml:space="preserve"> Debt!E$397</f>
        <v>Standby debt interest - T1 POS</v>
      </c>
      <c r="F105" s="125">
        <f xml:space="preserve"> Debt!F$397</f>
        <v>0</v>
      </c>
      <c r="G105" s="125" t="str">
        <f xml:space="preserve"> Debt!G$397</f>
        <v>$ 000s</v>
      </c>
      <c r="H105" s="125">
        <f xml:space="preserve"> Debt!H$397</f>
        <v>0</v>
      </c>
      <c r="I105" s="125">
        <f xml:space="preserve"> Debt!I$397</f>
        <v>0</v>
      </c>
      <c r="J105" s="125">
        <f xml:space="preserve"> Debt!J$397</f>
        <v>0</v>
      </c>
      <c r="K105" s="125">
        <f xml:space="preserve"> Debt!K$397</f>
        <v>0</v>
      </c>
      <c r="L105" s="125">
        <f xml:space="preserve"> Debt!L$397</f>
        <v>0</v>
      </c>
      <c r="M105" s="125">
        <f xml:space="preserve"> Debt!M$397</f>
        <v>0</v>
      </c>
      <c r="N105" s="125">
        <f xml:space="preserve"> Debt!N$397</f>
        <v>0</v>
      </c>
      <c r="O105" s="125">
        <f xml:space="preserve"> Debt!O$397</f>
        <v>0</v>
      </c>
      <c r="P105" s="125">
        <f xml:space="preserve"> Debt!P$397</f>
        <v>0</v>
      </c>
      <c r="Q105" s="125">
        <f xml:space="preserve"> Debt!Q$397</f>
        <v>0</v>
      </c>
      <c r="R105" s="125">
        <f xml:space="preserve"> Debt!R$397</f>
        <v>0</v>
      </c>
      <c r="S105" s="125">
        <f xml:space="preserve"> Debt!S$397</f>
        <v>0</v>
      </c>
      <c r="T105" s="125">
        <f xml:space="preserve"> Debt!T$397</f>
        <v>0</v>
      </c>
      <c r="U105" s="125">
        <f xml:space="preserve"> Debt!U$397</f>
        <v>0</v>
      </c>
      <c r="V105" s="125">
        <f xml:space="preserve"> Debt!V$397</f>
        <v>0</v>
      </c>
      <c r="W105" s="125">
        <f xml:space="preserve"> Debt!W$397</f>
        <v>0</v>
      </c>
      <c r="X105" s="125">
        <f xml:space="preserve"> Debt!X$397</f>
        <v>0</v>
      </c>
      <c r="Y105" s="125">
        <f xml:space="preserve"> Debt!Y$397</f>
        <v>0</v>
      </c>
      <c r="Z105" s="125">
        <f xml:space="preserve"> Debt!Z$397</f>
        <v>0</v>
      </c>
      <c r="AA105" s="125">
        <f xml:space="preserve"> Debt!AA$397</f>
        <v>0</v>
      </c>
      <c r="AB105" s="125">
        <f xml:space="preserve"> Debt!AB$397</f>
        <v>0</v>
      </c>
      <c r="AC105" s="125">
        <f xml:space="preserve"> Debt!AC$397</f>
        <v>0</v>
      </c>
      <c r="AD105" s="125">
        <f xml:space="preserve"> Debt!AD$397</f>
        <v>0</v>
      </c>
      <c r="AE105" s="125">
        <f xml:space="preserve"> Debt!AE$397</f>
        <v>0</v>
      </c>
      <c r="AF105" s="125">
        <f xml:space="preserve"> Debt!AF$397</f>
        <v>0</v>
      </c>
      <c r="AG105" s="125">
        <f xml:space="preserve"> Debt!AG$397</f>
        <v>0</v>
      </c>
      <c r="AH105" s="125">
        <f xml:space="preserve"> Debt!AH$397</f>
        <v>0</v>
      </c>
      <c r="AI105" s="125">
        <f xml:space="preserve"> Debt!AI$397</f>
        <v>0</v>
      </c>
      <c r="AJ105" s="125">
        <f xml:space="preserve"> Debt!AJ$397</f>
        <v>0</v>
      </c>
      <c r="AK105" s="125">
        <f xml:space="preserve"> Debt!AK$397</f>
        <v>0</v>
      </c>
      <c r="AL105" s="125">
        <f xml:space="preserve"> Debt!AL$397</f>
        <v>0</v>
      </c>
      <c r="AM105" s="125">
        <f xml:space="preserve"> Debt!AM$397</f>
        <v>0</v>
      </c>
      <c r="AN105" s="125">
        <f xml:space="preserve"> Debt!AN$397</f>
        <v>0</v>
      </c>
      <c r="AO105" s="125">
        <f xml:space="preserve"> Debt!AO$397</f>
        <v>0</v>
      </c>
      <c r="AP105" s="125">
        <f xml:space="preserve"> Debt!AP$397</f>
        <v>0</v>
      </c>
      <c r="AQ105" s="125">
        <f xml:space="preserve"> Debt!AQ$397</f>
        <v>0</v>
      </c>
      <c r="AR105" s="125">
        <f xml:space="preserve"> Debt!AR$397</f>
        <v>0</v>
      </c>
      <c r="AS105" s="125">
        <f xml:space="preserve"> Debt!AS$397</f>
        <v>0</v>
      </c>
      <c r="AT105" s="125">
        <f xml:space="preserve"> Debt!AT$397</f>
        <v>0</v>
      </c>
      <c r="AU105" s="125">
        <f xml:space="preserve"> Debt!AU$397</f>
        <v>0</v>
      </c>
      <c r="AV105" s="125">
        <f xml:space="preserve"> Debt!AV$397</f>
        <v>0</v>
      </c>
      <c r="AW105" s="125">
        <f xml:space="preserve"> Debt!AW$397</f>
        <v>0</v>
      </c>
      <c r="AX105" s="125">
        <f xml:space="preserve"> Debt!AX$397</f>
        <v>0</v>
      </c>
      <c r="AY105" s="125">
        <f xml:space="preserve"> Debt!AY$397</f>
        <v>0</v>
      </c>
      <c r="AZ105" s="125">
        <f xml:space="preserve"> Debt!AZ$397</f>
        <v>0</v>
      </c>
      <c r="BA105" s="125">
        <f xml:space="preserve"> Debt!BA$397</f>
        <v>0</v>
      </c>
      <c r="BB105" s="125">
        <f xml:space="preserve"> Debt!BB$397</f>
        <v>0</v>
      </c>
      <c r="BC105" s="125">
        <f xml:space="preserve"> Debt!BC$397</f>
        <v>0</v>
      </c>
      <c r="BD105" s="125">
        <f xml:space="preserve"> Debt!BD$397</f>
        <v>0</v>
      </c>
      <c r="BE105" s="125">
        <f xml:space="preserve"> Debt!BE$397</f>
        <v>0</v>
      </c>
      <c r="BF105" s="125">
        <f xml:space="preserve"> Debt!BF$397</f>
        <v>0</v>
      </c>
      <c r="BG105" s="125">
        <f xml:space="preserve"> Debt!BG$397</f>
        <v>0</v>
      </c>
      <c r="BH105" s="125">
        <f xml:space="preserve"> Debt!BH$397</f>
        <v>0</v>
      </c>
      <c r="BI105" s="125">
        <f xml:space="preserve"> Debt!BI$397</f>
        <v>0</v>
      </c>
      <c r="BJ105" s="125">
        <f xml:space="preserve"> Debt!BJ$397</f>
        <v>0</v>
      </c>
      <c r="BK105" s="125">
        <f xml:space="preserve"> Debt!BK$397</f>
        <v>0</v>
      </c>
      <c r="BL105" s="125">
        <f xml:space="preserve"> Debt!BL$397</f>
        <v>0</v>
      </c>
      <c r="BM105" s="125">
        <f xml:space="preserve"> Debt!BM$397</f>
        <v>0</v>
      </c>
      <c r="BN105" s="125">
        <f xml:space="preserve"> Debt!BN$397</f>
        <v>0</v>
      </c>
      <c r="BO105" s="125">
        <f xml:space="preserve"> Debt!BO$397</f>
        <v>0</v>
      </c>
      <c r="BP105" s="125">
        <f xml:space="preserve"> Debt!BP$397</f>
        <v>0</v>
      </c>
      <c r="BQ105" s="125">
        <f xml:space="preserve"> Debt!BQ$397</f>
        <v>0</v>
      </c>
      <c r="BR105" s="125">
        <f xml:space="preserve"> Debt!BR$397</f>
        <v>0</v>
      </c>
      <c r="BS105" s="125">
        <f xml:space="preserve"> Debt!BS$397</f>
        <v>0</v>
      </c>
      <c r="BT105" s="125">
        <f xml:space="preserve"> Debt!BT$397</f>
        <v>0</v>
      </c>
      <c r="BU105" s="125">
        <f xml:space="preserve"> Debt!BU$397</f>
        <v>0</v>
      </c>
      <c r="BV105" s="125">
        <f xml:space="preserve"> Debt!BV$397</f>
        <v>0</v>
      </c>
      <c r="BW105" s="125">
        <f xml:space="preserve"> Debt!BW$397</f>
        <v>0</v>
      </c>
      <c r="BX105" s="125">
        <f xml:space="preserve"> Debt!BX$397</f>
        <v>0</v>
      </c>
      <c r="BY105" s="125">
        <f xml:space="preserve"> Debt!BY$397</f>
        <v>0</v>
      </c>
      <c r="BZ105" s="125">
        <f xml:space="preserve"> Debt!BZ$397</f>
        <v>0</v>
      </c>
      <c r="CA105" s="125">
        <f xml:space="preserve"> Debt!CA$397</f>
        <v>0</v>
      </c>
      <c r="CB105" s="125">
        <f xml:space="preserve"> Debt!CB$397</f>
        <v>0</v>
      </c>
      <c r="CC105" s="125">
        <f xml:space="preserve"> Debt!CC$397</f>
        <v>0</v>
      </c>
      <c r="CD105" s="125">
        <f xml:space="preserve"> Debt!CD$397</f>
        <v>0</v>
      </c>
      <c r="CE105" s="125">
        <f xml:space="preserve"> Debt!CE$397</f>
        <v>0</v>
      </c>
      <c r="CF105" s="125">
        <f xml:space="preserve"> Debt!CF$397</f>
        <v>0</v>
      </c>
      <c r="CG105" s="125">
        <f xml:space="preserve"> Debt!CG$397</f>
        <v>0</v>
      </c>
      <c r="CH105" s="125">
        <f xml:space="preserve"> Debt!CH$397</f>
        <v>0</v>
      </c>
      <c r="CI105" s="125">
        <f xml:space="preserve"> Debt!CI$397</f>
        <v>0</v>
      </c>
      <c r="CJ105" s="125">
        <f xml:space="preserve"> Debt!CJ$397</f>
        <v>0</v>
      </c>
      <c r="CK105" s="125">
        <f xml:space="preserve"> Debt!CK$397</f>
        <v>0</v>
      </c>
      <c r="CL105" s="125">
        <f xml:space="preserve"> Debt!CL$397</f>
        <v>0</v>
      </c>
      <c r="CM105" s="125">
        <f xml:space="preserve"> Debt!CM$397</f>
        <v>0</v>
      </c>
      <c r="CN105" s="125">
        <f xml:space="preserve"> Debt!CN$397</f>
        <v>0</v>
      </c>
      <c r="CO105" s="125">
        <f xml:space="preserve"> Debt!CO$397</f>
        <v>0</v>
      </c>
      <c r="CP105" s="125">
        <f xml:space="preserve"> Debt!CP$397</f>
        <v>0</v>
      </c>
      <c r="CQ105" s="125">
        <f xml:space="preserve"> Debt!CQ$397</f>
        <v>0</v>
      </c>
      <c r="CR105" s="125">
        <f xml:space="preserve"> Debt!CR$397</f>
        <v>0</v>
      </c>
      <c r="CS105" s="125">
        <f xml:space="preserve"> Debt!CS$397</f>
        <v>0</v>
      </c>
      <c r="CT105" s="125">
        <f xml:space="preserve"> Debt!CT$397</f>
        <v>0</v>
      </c>
      <c r="CU105" s="125">
        <f xml:space="preserve"> Debt!CU$397</f>
        <v>0</v>
      </c>
      <c r="CV105" s="125">
        <f xml:space="preserve"> Debt!CV$397</f>
        <v>0</v>
      </c>
    </row>
    <row r="106" spans="1:100" outlineLevel="1" x14ac:dyDescent="0.2">
      <c r="A106" s="75"/>
      <c r="B106" s="639"/>
      <c r="C106" s="640"/>
      <c r="D106" s="641"/>
      <c r="E106" s="125" t="str">
        <f xml:space="preserve"> Debt!E$401</f>
        <v>Standby debt - T1 balance BEG</v>
      </c>
      <c r="F106" s="125">
        <f xml:space="preserve"> Debt!F$401</f>
        <v>0</v>
      </c>
      <c r="G106" s="125" t="str">
        <f xml:space="preserve"> Debt!G$401</f>
        <v>$ 000s</v>
      </c>
      <c r="H106" s="125">
        <f xml:space="preserve"> Debt!H$401</f>
        <v>0</v>
      </c>
      <c r="I106" s="125">
        <f xml:space="preserve"> Debt!I$401</f>
        <v>0</v>
      </c>
      <c r="J106" s="125">
        <f xml:space="preserve"> Debt!J$401</f>
        <v>0</v>
      </c>
      <c r="K106" s="125">
        <f xml:space="preserve"> Debt!K$401</f>
        <v>0</v>
      </c>
      <c r="L106" s="125">
        <f xml:space="preserve"> Debt!L$401</f>
        <v>0</v>
      </c>
      <c r="M106" s="125">
        <f xml:space="preserve"> Debt!M$401</f>
        <v>0</v>
      </c>
      <c r="N106" s="125">
        <f xml:space="preserve"> Debt!N$401</f>
        <v>0</v>
      </c>
      <c r="O106" s="125">
        <f xml:space="preserve"> Debt!O$401</f>
        <v>0</v>
      </c>
      <c r="P106" s="125">
        <f xml:space="preserve"> Debt!P$401</f>
        <v>0</v>
      </c>
      <c r="Q106" s="125">
        <f xml:space="preserve"> Debt!Q$401</f>
        <v>0</v>
      </c>
      <c r="R106" s="125">
        <f xml:space="preserve"> Debt!R$401</f>
        <v>0</v>
      </c>
      <c r="S106" s="125">
        <f xml:space="preserve"> Debt!S$401</f>
        <v>0</v>
      </c>
      <c r="T106" s="125">
        <f xml:space="preserve"> Debt!T$401</f>
        <v>0</v>
      </c>
      <c r="U106" s="125">
        <f xml:space="preserve"> Debt!U$401</f>
        <v>0</v>
      </c>
      <c r="V106" s="125">
        <f xml:space="preserve"> Debt!V$401</f>
        <v>0</v>
      </c>
      <c r="W106" s="125">
        <f xml:space="preserve"> Debt!W$401</f>
        <v>0</v>
      </c>
      <c r="X106" s="125">
        <f xml:space="preserve"> Debt!X$401</f>
        <v>0</v>
      </c>
      <c r="Y106" s="125">
        <f xml:space="preserve"> Debt!Y$401</f>
        <v>0</v>
      </c>
      <c r="Z106" s="125">
        <f xml:space="preserve"> Debt!Z$401</f>
        <v>0</v>
      </c>
      <c r="AA106" s="125">
        <f xml:space="preserve"> Debt!AA$401</f>
        <v>0</v>
      </c>
      <c r="AB106" s="125">
        <f xml:space="preserve"> Debt!AB$401</f>
        <v>0</v>
      </c>
      <c r="AC106" s="125">
        <f xml:space="preserve"> Debt!AC$401</f>
        <v>0</v>
      </c>
      <c r="AD106" s="125">
        <f xml:space="preserve"> Debt!AD$401</f>
        <v>0</v>
      </c>
      <c r="AE106" s="125">
        <f xml:space="preserve"> Debt!AE$401</f>
        <v>0</v>
      </c>
      <c r="AF106" s="125">
        <f xml:space="preserve"> Debt!AF$401</f>
        <v>0</v>
      </c>
      <c r="AG106" s="125">
        <f xml:space="preserve"> Debt!AG$401</f>
        <v>0</v>
      </c>
      <c r="AH106" s="125">
        <f xml:space="preserve"> Debt!AH$401</f>
        <v>0</v>
      </c>
      <c r="AI106" s="125">
        <f xml:space="preserve"> Debt!AI$401</f>
        <v>0</v>
      </c>
      <c r="AJ106" s="125">
        <f xml:space="preserve"> Debt!AJ$401</f>
        <v>0</v>
      </c>
      <c r="AK106" s="125">
        <f xml:space="preserve"> Debt!AK$401</f>
        <v>0</v>
      </c>
      <c r="AL106" s="125">
        <f xml:space="preserve"> Debt!AL$401</f>
        <v>0</v>
      </c>
      <c r="AM106" s="125">
        <f xml:space="preserve"> Debt!AM$401</f>
        <v>0</v>
      </c>
      <c r="AN106" s="125">
        <f xml:space="preserve"> Debt!AN$401</f>
        <v>0</v>
      </c>
      <c r="AO106" s="125">
        <f xml:space="preserve"> Debt!AO$401</f>
        <v>0</v>
      </c>
      <c r="AP106" s="125">
        <f xml:space="preserve"> Debt!AP$401</f>
        <v>0</v>
      </c>
      <c r="AQ106" s="125">
        <f xml:space="preserve"> Debt!AQ$401</f>
        <v>0</v>
      </c>
      <c r="AR106" s="125">
        <f xml:space="preserve"> Debt!AR$401</f>
        <v>0</v>
      </c>
      <c r="AS106" s="125">
        <f xml:space="preserve"> Debt!AS$401</f>
        <v>0</v>
      </c>
      <c r="AT106" s="125">
        <f xml:space="preserve"> Debt!AT$401</f>
        <v>0</v>
      </c>
      <c r="AU106" s="125">
        <f xml:space="preserve"> Debt!AU$401</f>
        <v>0</v>
      </c>
      <c r="AV106" s="125">
        <f xml:space="preserve"> Debt!AV$401</f>
        <v>0</v>
      </c>
      <c r="AW106" s="125">
        <f xml:space="preserve"> Debt!AW$401</f>
        <v>0</v>
      </c>
      <c r="AX106" s="125">
        <f xml:space="preserve"> Debt!AX$401</f>
        <v>0</v>
      </c>
      <c r="AY106" s="125">
        <f xml:space="preserve"> Debt!AY$401</f>
        <v>0</v>
      </c>
      <c r="AZ106" s="125">
        <f xml:space="preserve"> Debt!AZ$401</f>
        <v>0</v>
      </c>
      <c r="BA106" s="125">
        <f xml:space="preserve"> Debt!BA$401</f>
        <v>0</v>
      </c>
      <c r="BB106" s="125">
        <f xml:space="preserve"> Debt!BB$401</f>
        <v>0</v>
      </c>
      <c r="BC106" s="125">
        <f xml:space="preserve"> Debt!BC$401</f>
        <v>0</v>
      </c>
      <c r="BD106" s="125">
        <f xml:space="preserve"> Debt!BD$401</f>
        <v>0</v>
      </c>
      <c r="BE106" s="125">
        <f xml:space="preserve"> Debt!BE$401</f>
        <v>0</v>
      </c>
      <c r="BF106" s="125">
        <f xml:space="preserve"> Debt!BF$401</f>
        <v>0</v>
      </c>
      <c r="BG106" s="125">
        <f xml:space="preserve"> Debt!BG$401</f>
        <v>0</v>
      </c>
      <c r="BH106" s="125">
        <f xml:space="preserve"> Debt!BH$401</f>
        <v>0</v>
      </c>
      <c r="BI106" s="125">
        <f xml:space="preserve"> Debt!BI$401</f>
        <v>0</v>
      </c>
      <c r="BJ106" s="125">
        <f xml:space="preserve"> Debt!BJ$401</f>
        <v>0</v>
      </c>
      <c r="BK106" s="125">
        <f xml:space="preserve"> Debt!BK$401</f>
        <v>0</v>
      </c>
      <c r="BL106" s="125">
        <f xml:space="preserve"> Debt!BL$401</f>
        <v>0</v>
      </c>
      <c r="BM106" s="125">
        <f xml:space="preserve"> Debt!BM$401</f>
        <v>0</v>
      </c>
      <c r="BN106" s="125">
        <f xml:space="preserve"> Debt!BN$401</f>
        <v>0</v>
      </c>
      <c r="BO106" s="125">
        <f xml:space="preserve"> Debt!BO$401</f>
        <v>0</v>
      </c>
      <c r="BP106" s="125">
        <f xml:space="preserve"> Debt!BP$401</f>
        <v>0</v>
      </c>
      <c r="BQ106" s="125">
        <f xml:space="preserve"> Debt!BQ$401</f>
        <v>0</v>
      </c>
      <c r="BR106" s="125">
        <f xml:space="preserve"> Debt!BR$401</f>
        <v>0</v>
      </c>
      <c r="BS106" s="125">
        <f xml:space="preserve"> Debt!BS$401</f>
        <v>0</v>
      </c>
      <c r="BT106" s="125">
        <f xml:space="preserve"> Debt!BT$401</f>
        <v>0</v>
      </c>
      <c r="BU106" s="125">
        <f xml:space="preserve"> Debt!BU$401</f>
        <v>0</v>
      </c>
      <c r="BV106" s="125">
        <f xml:space="preserve"> Debt!BV$401</f>
        <v>0</v>
      </c>
      <c r="BW106" s="125">
        <f xml:space="preserve"> Debt!BW$401</f>
        <v>0</v>
      </c>
      <c r="BX106" s="125">
        <f xml:space="preserve"> Debt!BX$401</f>
        <v>0</v>
      </c>
      <c r="BY106" s="125">
        <f xml:space="preserve"> Debt!BY$401</f>
        <v>0</v>
      </c>
      <c r="BZ106" s="125">
        <f xml:space="preserve"> Debt!BZ$401</f>
        <v>0</v>
      </c>
      <c r="CA106" s="125">
        <f xml:space="preserve"> Debt!CA$401</f>
        <v>0</v>
      </c>
      <c r="CB106" s="125">
        <f xml:space="preserve"> Debt!CB$401</f>
        <v>0</v>
      </c>
      <c r="CC106" s="125">
        <f xml:space="preserve"> Debt!CC$401</f>
        <v>0</v>
      </c>
      <c r="CD106" s="125">
        <f xml:space="preserve"> Debt!CD$401</f>
        <v>0</v>
      </c>
      <c r="CE106" s="125">
        <f xml:space="preserve"> Debt!CE$401</f>
        <v>0</v>
      </c>
      <c r="CF106" s="125">
        <f xml:space="preserve"> Debt!CF$401</f>
        <v>0</v>
      </c>
      <c r="CG106" s="125">
        <f xml:space="preserve"> Debt!CG$401</f>
        <v>0</v>
      </c>
      <c r="CH106" s="125">
        <f xml:space="preserve"> Debt!CH$401</f>
        <v>0</v>
      </c>
      <c r="CI106" s="125">
        <f xml:space="preserve"> Debt!CI$401</f>
        <v>0</v>
      </c>
      <c r="CJ106" s="125">
        <f xml:space="preserve"> Debt!CJ$401</f>
        <v>0</v>
      </c>
      <c r="CK106" s="125">
        <f xml:space="preserve"> Debt!CK$401</f>
        <v>0</v>
      </c>
      <c r="CL106" s="125">
        <f xml:space="preserve"> Debt!CL$401</f>
        <v>0</v>
      </c>
      <c r="CM106" s="125">
        <f xml:space="preserve"> Debt!CM$401</f>
        <v>0</v>
      </c>
      <c r="CN106" s="125">
        <f xml:space="preserve"> Debt!CN$401</f>
        <v>0</v>
      </c>
      <c r="CO106" s="125">
        <f xml:space="preserve"> Debt!CO$401</f>
        <v>0</v>
      </c>
      <c r="CP106" s="125">
        <f xml:space="preserve"> Debt!CP$401</f>
        <v>0</v>
      </c>
      <c r="CQ106" s="125">
        <f xml:space="preserve"> Debt!CQ$401</f>
        <v>0</v>
      </c>
      <c r="CR106" s="125">
        <f xml:space="preserve"> Debt!CR$401</f>
        <v>0</v>
      </c>
      <c r="CS106" s="125">
        <f xml:space="preserve"> Debt!CS$401</f>
        <v>0</v>
      </c>
      <c r="CT106" s="125">
        <f xml:space="preserve"> Debt!CT$401</f>
        <v>0</v>
      </c>
      <c r="CU106" s="125">
        <f xml:space="preserve"> Debt!CU$401</f>
        <v>0</v>
      </c>
      <c r="CV106" s="125">
        <f xml:space="preserve"> Debt!CV$401</f>
        <v>0</v>
      </c>
    </row>
    <row r="107" spans="1:100" outlineLevel="1" x14ac:dyDescent="0.2">
      <c r="A107" s="75"/>
      <c r="B107" s="639"/>
      <c r="C107" s="640"/>
      <c r="D107" s="641"/>
      <c r="E107" s="125" t="str">
        <f xml:space="preserve"> Debt!E$429</f>
        <v>Standby debt interest - T2 POS</v>
      </c>
      <c r="F107" s="125">
        <f xml:space="preserve"> Debt!F$429</f>
        <v>0</v>
      </c>
      <c r="G107" s="125" t="str">
        <f xml:space="preserve"> Debt!G$429</f>
        <v>$ 000s</v>
      </c>
      <c r="H107" s="125">
        <f xml:space="preserve"> Debt!H$429</f>
        <v>0</v>
      </c>
      <c r="I107" s="125">
        <f xml:space="preserve"> Debt!I$429</f>
        <v>0</v>
      </c>
      <c r="J107" s="125">
        <f xml:space="preserve"> Debt!J$429</f>
        <v>0</v>
      </c>
      <c r="K107" s="125">
        <f xml:space="preserve"> Debt!K$429</f>
        <v>0</v>
      </c>
      <c r="L107" s="125">
        <f xml:space="preserve"> Debt!L$429</f>
        <v>0</v>
      </c>
      <c r="M107" s="125">
        <f xml:space="preserve"> Debt!M$429</f>
        <v>0</v>
      </c>
      <c r="N107" s="125">
        <f xml:space="preserve"> Debt!N$429</f>
        <v>0</v>
      </c>
      <c r="O107" s="125">
        <f xml:space="preserve"> Debt!O$429</f>
        <v>0</v>
      </c>
      <c r="P107" s="125">
        <f xml:space="preserve"> Debt!P$429</f>
        <v>0</v>
      </c>
      <c r="Q107" s="125">
        <f xml:space="preserve"> Debt!Q$429</f>
        <v>0</v>
      </c>
      <c r="R107" s="125">
        <f xml:space="preserve"> Debt!R$429</f>
        <v>0</v>
      </c>
      <c r="S107" s="125">
        <f xml:space="preserve"> Debt!S$429</f>
        <v>0</v>
      </c>
      <c r="T107" s="125">
        <f xml:space="preserve"> Debt!T$429</f>
        <v>0</v>
      </c>
      <c r="U107" s="125">
        <f xml:space="preserve"> Debt!U$429</f>
        <v>0</v>
      </c>
      <c r="V107" s="125">
        <f xml:space="preserve"> Debt!V$429</f>
        <v>0</v>
      </c>
      <c r="W107" s="125">
        <f xml:space="preserve"> Debt!W$429</f>
        <v>0</v>
      </c>
      <c r="X107" s="125">
        <f xml:space="preserve"> Debt!X$429</f>
        <v>0</v>
      </c>
      <c r="Y107" s="125">
        <f xml:space="preserve"> Debt!Y$429</f>
        <v>0</v>
      </c>
      <c r="Z107" s="125">
        <f xml:space="preserve"> Debt!Z$429</f>
        <v>0</v>
      </c>
      <c r="AA107" s="125">
        <f xml:space="preserve"> Debt!AA$429</f>
        <v>0</v>
      </c>
      <c r="AB107" s="125">
        <f xml:space="preserve"> Debt!AB$429</f>
        <v>0</v>
      </c>
      <c r="AC107" s="125">
        <f xml:space="preserve"> Debt!AC$429</f>
        <v>0</v>
      </c>
      <c r="AD107" s="125">
        <f xml:space="preserve"> Debt!AD$429</f>
        <v>0</v>
      </c>
      <c r="AE107" s="125">
        <f xml:space="preserve"> Debt!AE$429</f>
        <v>0</v>
      </c>
      <c r="AF107" s="125">
        <f xml:space="preserve"> Debt!AF$429</f>
        <v>0</v>
      </c>
      <c r="AG107" s="125">
        <f xml:space="preserve"> Debt!AG$429</f>
        <v>0</v>
      </c>
      <c r="AH107" s="125">
        <f xml:space="preserve"> Debt!AH$429</f>
        <v>0</v>
      </c>
      <c r="AI107" s="125">
        <f xml:space="preserve"> Debt!AI$429</f>
        <v>0</v>
      </c>
      <c r="AJ107" s="125">
        <f xml:space="preserve"> Debt!AJ$429</f>
        <v>0</v>
      </c>
      <c r="AK107" s="125">
        <f xml:space="preserve"> Debt!AK$429</f>
        <v>0</v>
      </c>
      <c r="AL107" s="125">
        <f xml:space="preserve"> Debt!AL$429</f>
        <v>0</v>
      </c>
      <c r="AM107" s="125">
        <f xml:space="preserve"> Debt!AM$429</f>
        <v>0</v>
      </c>
      <c r="AN107" s="125">
        <f xml:space="preserve"> Debt!AN$429</f>
        <v>0</v>
      </c>
      <c r="AO107" s="125">
        <f xml:space="preserve"> Debt!AO$429</f>
        <v>0</v>
      </c>
      <c r="AP107" s="125">
        <f xml:space="preserve"> Debt!AP$429</f>
        <v>0</v>
      </c>
      <c r="AQ107" s="125">
        <f xml:space="preserve"> Debt!AQ$429</f>
        <v>0</v>
      </c>
      <c r="AR107" s="125">
        <f xml:space="preserve"> Debt!AR$429</f>
        <v>0</v>
      </c>
      <c r="AS107" s="125">
        <f xml:space="preserve"> Debt!AS$429</f>
        <v>0</v>
      </c>
      <c r="AT107" s="125">
        <f xml:space="preserve"> Debt!AT$429</f>
        <v>0</v>
      </c>
      <c r="AU107" s="125">
        <f xml:space="preserve"> Debt!AU$429</f>
        <v>0</v>
      </c>
      <c r="AV107" s="125">
        <f xml:space="preserve"> Debt!AV$429</f>
        <v>0</v>
      </c>
      <c r="AW107" s="125">
        <f xml:space="preserve"> Debt!AW$429</f>
        <v>0</v>
      </c>
      <c r="AX107" s="125">
        <f xml:space="preserve"> Debt!AX$429</f>
        <v>0</v>
      </c>
      <c r="AY107" s="125">
        <f xml:space="preserve"> Debt!AY$429</f>
        <v>0</v>
      </c>
      <c r="AZ107" s="125">
        <f xml:space="preserve"> Debt!AZ$429</f>
        <v>0</v>
      </c>
      <c r="BA107" s="125">
        <f xml:space="preserve"> Debt!BA$429</f>
        <v>0</v>
      </c>
      <c r="BB107" s="125">
        <f xml:space="preserve"> Debt!BB$429</f>
        <v>0</v>
      </c>
      <c r="BC107" s="125">
        <f xml:space="preserve"> Debt!BC$429</f>
        <v>0</v>
      </c>
      <c r="BD107" s="125">
        <f xml:space="preserve"> Debt!BD$429</f>
        <v>0</v>
      </c>
      <c r="BE107" s="125">
        <f xml:space="preserve"> Debt!BE$429</f>
        <v>0</v>
      </c>
      <c r="BF107" s="125">
        <f xml:space="preserve"> Debt!BF$429</f>
        <v>0</v>
      </c>
      <c r="BG107" s="125">
        <f xml:space="preserve"> Debt!BG$429</f>
        <v>0</v>
      </c>
      <c r="BH107" s="125">
        <f xml:space="preserve"> Debt!BH$429</f>
        <v>0</v>
      </c>
      <c r="BI107" s="125">
        <f xml:space="preserve"> Debt!BI$429</f>
        <v>0</v>
      </c>
      <c r="BJ107" s="125">
        <f xml:space="preserve"> Debt!BJ$429</f>
        <v>0</v>
      </c>
      <c r="BK107" s="125">
        <f xml:space="preserve"> Debt!BK$429</f>
        <v>0</v>
      </c>
      <c r="BL107" s="125">
        <f xml:space="preserve"> Debt!BL$429</f>
        <v>0</v>
      </c>
      <c r="BM107" s="125">
        <f xml:space="preserve"> Debt!BM$429</f>
        <v>0</v>
      </c>
      <c r="BN107" s="125">
        <f xml:space="preserve"> Debt!BN$429</f>
        <v>0</v>
      </c>
      <c r="BO107" s="125">
        <f xml:space="preserve"> Debt!BO$429</f>
        <v>0</v>
      </c>
      <c r="BP107" s="125">
        <f xml:space="preserve"> Debt!BP$429</f>
        <v>0</v>
      </c>
      <c r="BQ107" s="125">
        <f xml:space="preserve"> Debt!BQ$429</f>
        <v>0</v>
      </c>
      <c r="BR107" s="125">
        <f xml:space="preserve"> Debt!BR$429</f>
        <v>0</v>
      </c>
      <c r="BS107" s="125">
        <f xml:space="preserve"> Debt!BS$429</f>
        <v>0</v>
      </c>
      <c r="BT107" s="125">
        <f xml:space="preserve"> Debt!BT$429</f>
        <v>0</v>
      </c>
      <c r="BU107" s="125">
        <f xml:space="preserve"> Debt!BU$429</f>
        <v>0</v>
      </c>
      <c r="BV107" s="125">
        <f xml:space="preserve"> Debt!BV$429</f>
        <v>0</v>
      </c>
      <c r="BW107" s="125">
        <f xml:space="preserve"> Debt!BW$429</f>
        <v>0</v>
      </c>
      <c r="BX107" s="125">
        <f xml:space="preserve"> Debt!BX$429</f>
        <v>0</v>
      </c>
      <c r="BY107" s="125">
        <f xml:space="preserve"> Debt!BY$429</f>
        <v>0</v>
      </c>
      <c r="BZ107" s="125">
        <f xml:space="preserve"> Debt!BZ$429</f>
        <v>0</v>
      </c>
      <c r="CA107" s="125">
        <f xml:space="preserve"> Debt!CA$429</f>
        <v>0</v>
      </c>
      <c r="CB107" s="125">
        <f xml:space="preserve"> Debt!CB$429</f>
        <v>0</v>
      </c>
      <c r="CC107" s="125">
        <f xml:space="preserve"> Debt!CC$429</f>
        <v>0</v>
      </c>
      <c r="CD107" s="125">
        <f xml:space="preserve"> Debt!CD$429</f>
        <v>0</v>
      </c>
      <c r="CE107" s="125">
        <f xml:space="preserve"> Debt!CE$429</f>
        <v>0</v>
      </c>
      <c r="CF107" s="125">
        <f xml:space="preserve"> Debt!CF$429</f>
        <v>0</v>
      </c>
      <c r="CG107" s="125">
        <f xml:space="preserve"> Debt!CG$429</f>
        <v>0</v>
      </c>
      <c r="CH107" s="125">
        <f xml:space="preserve"> Debt!CH$429</f>
        <v>0</v>
      </c>
      <c r="CI107" s="125">
        <f xml:space="preserve"> Debt!CI$429</f>
        <v>0</v>
      </c>
      <c r="CJ107" s="125">
        <f xml:space="preserve"> Debt!CJ$429</f>
        <v>0</v>
      </c>
      <c r="CK107" s="125">
        <f xml:space="preserve"> Debt!CK$429</f>
        <v>0</v>
      </c>
      <c r="CL107" s="125">
        <f xml:space="preserve"> Debt!CL$429</f>
        <v>0</v>
      </c>
      <c r="CM107" s="125">
        <f xml:space="preserve"> Debt!CM$429</f>
        <v>0</v>
      </c>
      <c r="CN107" s="125">
        <f xml:space="preserve"> Debt!CN$429</f>
        <v>0</v>
      </c>
      <c r="CO107" s="125">
        <f xml:space="preserve"> Debt!CO$429</f>
        <v>0</v>
      </c>
      <c r="CP107" s="125">
        <f xml:space="preserve"> Debt!CP$429</f>
        <v>0</v>
      </c>
      <c r="CQ107" s="125">
        <f xml:space="preserve"> Debt!CQ$429</f>
        <v>0</v>
      </c>
      <c r="CR107" s="125">
        <f xml:space="preserve"> Debt!CR$429</f>
        <v>0</v>
      </c>
      <c r="CS107" s="125">
        <f xml:space="preserve"> Debt!CS$429</f>
        <v>0</v>
      </c>
      <c r="CT107" s="125">
        <f xml:space="preserve"> Debt!CT$429</f>
        <v>0</v>
      </c>
      <c r="CU107" s="125">
        <f xml:space="preserve"> Debt!CU$429</f>
        <v>0</v>
      </c>
      <c r="CV107" s="125">
        <f xml:space="preserve"> Debt!CV$429</f>
        <v>0</v>
      </c>
    </row>
    <row r="108" spans="1:100" outlineLevel="1" x14ac:dyDescent="0.2">
      <c r="A108" s="75"/>
      <c r="B108" s="639"/>
      <c r="C108" s="640"/>
      <c r="D108" s="641"/>
      <c r="E108" s="125" t="str">
        <f xml:space="preserve"> Debt!E$433</f>
        <v>Standby debt - T2 balance BEG</v>
      </c>
      <c r="F108" s="125">
        <f xml:space="preserve"> Debt!F$433</f>
        <v>0</v>
      </c>
      <c r="G108" s="125" t="str">
        <f xml:space="preserve"> Debt!G$433</f>
        <v>$ 000s</v>
      </c>
      <c r="H108" s="125">
        <f xml:space="preserve"> Debt!H$433</f>
        <v>0</v>
      </c>
      <c r="I108" s="125">
        <f xml:space="preserve"> Debt!I$433</f>
        <v>0</v>
      </c>
      <c r="J108" s="125">
        <f xml:space="preserve"> Debt!J$433</f>
        <v>0</v>
      </c>
      <c r="K108" s="125">
        <f xml:space="preserve"> Debt!K$433</f>
        <v>0</v>
      </c>
      <c r="L108" s="125">
        <f xml:space="preserve"> Debt!L$433</f>
        <v>0</v>
      </c>
      <c r="M108" s="125">
        <f xml:space="preserve"> Debt!M$433</f>
        <v>0</v>
      </c>
      <c r="N108" s="125">
        <f xml:space="preserve"> Debt!N$433</f>
        <v>0</v>
      </c>
      <c r="O108" s="125">
        <f xml:space="preserve"> Debt!O$433</f>
        <v>0</v>
      </c>
      <c r="P108" s="125">
        <f xml:space="preserve"> Debt!P$433</f>
        <v>0</v>
      </c>
      <c r="Q108" s="125">
        <f xml:space="preserve"> Debt!Q$433</f>
        <v>0</v>
      </c>
      <c r="R108" s="125">
        <f xml:space="preserve"> Debt!R$433</f>
        <v>0</v>
      </c>
      <c r="S108" s="125">
        <f xml:space="preserve"> Debt!S$433</f>
        <v>0</v>
      </c>
      <c r="T108" s="125">
        <f xml:space="preserve"> Debt!T$433</f>
        <v>0</v>
      </c>
      <c r="U108" s="125">
        <f xml:space="preserve"> Debt!U$433</f>
        <v>0</v>
      </c>
      <c r="V108" s="125">
        <f xml:space="preserve"> Debt!V$433</f>
        <v>0</v>
      </c>
      <c r="W108" s="125">
        <f xml:space="preserve"> Debt!W$433</f>
        <v>0</v>
      </c>
      <c r="X108" s="125">
        <f xml:space="preserve"> Debt!X$433</f>
        <v>0</v>
      </c>
      <c r="Y108" s="125">
        <f xml:space="preserve"> Debt!Y$433</f>
        <v>0</v>
      </c>
      <c r="Z108" s="125">
        <f xml:space="preserve"> Debt!Z$433</f>
        <v>0</v>
      </c>
      <c r="AA108" s="125">
        <f xml:space="preserve"> Debt!AA$433</f>
        <v>0</v>
      </c>
      <c r="AB108" s="125">
        <f xml:space="preserve"> Debt!AB$433</f>
        <v>0</v>
      </c>
      <c r="AC108" s="125">
        <f xml:space="preserve"> Debt!AC$433</f>
        <v>0</v>
      </c>
      <c r="AD108" s="125">
        <f xml:space="preserve"> Debt!AD$433</f>
        <v>0</v>
      </c>
      <c r="AE108" s="125">
        <f xml:space="preserve"> Debt!AE$433</f>
        <v>0</v>
      </c>
      <c r="AF108" s="125">
        <f xml:space="preserve"> Debt!AF$433</f>
        <v>0</v>
      </c>
      <c r="AG108" s="125">
        <f xml:space="preserve"> Debt!AG$433</f>
        <v>0</v>
      </c>
      <c r="AH108" s="125">
        <f xml:space="preserve"> Debt!AH$433</f>
        <v>0</v>
      </c>
      <c r="AI108" s="125">
        <f xml:space="preserve"> Debt!AI$433</f>
        <v>0</v>
      </c>
      <c r="AJ108" s="125">
        <f xml:space="preserve"> Debt!AJ$433</f>
        <v>0</v>
      </c>
      <c r="AK108" s="125">
        <f xml:space="preserve"> Debt!AK$433</f>
        <v>0</v>
      </c>
      <c r="AL108" s="125">
        <f xml:space="preserve"> Debt!AL$433</f>
        <v>0</v>
      </c>
      <c r="AM108" s="125">
        <f xml:space="preserve"> Debt!AM$433</f>
        <v>0</v>
      </c>
      <c r="AN108" s="125">
        <f xml:space="preserve"> Debt!AN$433</f>
        <v>0</v>
      </c>
      <c r="AO108" s="125">
        <f xml:space="preserve"> Debt!AO$433</f>
        <v>0</v>
      </c>
      <c r="AP108" s="125">
        <f xml:space="preserve"> Debt!AP$433</f>
        <v>0</v>
      </c>
      <c r="AQ108" s="125">
        <f xml:space="preserve"> Debt!AQ$433</f>
        <v>0</v>
      </c>
      <c r="AR108" s="125">
        <f xml:space="preserve"> Debt!AR$433</f>
        <v>0</v>
      </c>
      <c r="AS108" s="125">
        <f xml:space="preserve"> Debt!AS$433</f>
        <v>0</v>
      </c>
      <c r="AT108" s="125">
        <f xml:space="preserve"> Debt!AT$433</f>
        <v>0</v>
      </c>
      <c r="AU108" s="125">
        <f xml:space="preserve"> Debt!AU$433</f>
        <v>0</v>
      </c>
      <c r="AV108" s="125">
        <f xml:space="preserve"> Debt!AV$433</f>
        <v>0</v>
      </c>
      <c r="AW108" s="125">
        <f xml:space="preserve"> Debt!AW$433</f>
        <v>0</v>
      </c>
      <c r="AX108" s="125">
        <f xml:space="preserve"> Debt!AX$433</f>
        <v>0</v>
      </c>
      <c r="AY108" s="125">
        <f xml:space="preserve"> Debt!AY$433</f>
        <v>0</v>
      </c>
      <c r="AZ108" s="125">
        <f xml:space="preserve"> Debt!AZ$433</f>
        <v>0</v>
      </c>
      <c r="BA108" s="125">
        <f xml:space="preserve"> Debt!BA$433</f>
        <v>0</v>
      </c>
      <c r="BB108" s="125">
        <f xml:space="preserve"> Debt!BB$433</f>
        <v>0</v>
      </c>
      <c r="BC108" s="125">
        <f xml:space="preserve"> Debt!BC$433</f>
        <v>0</v>
      </c>
      <c r="BD108" s="125">
        <f xml:space="preserve"> Debt!BD$433</f>
        <v>0</v>
      </c>
      <c r="BE108" s="125">
        <f xml:space="preserve"> Debt!BE$433</f>
        <v>0</v>
      </c>
      <c r="BF108" s="125">
        <f xml:space="preserve"> Debt!BF$433</f>
        <v>0</v>
      </c>
      <c r="BG108" s="125">
        <f xml:space="preserve"> Debt!BG$433</f>
        <v>0</v>
      </c>
      <c r="BH108" s="125">
        <f xml:space="preserve"> Debt!BH$433</f>
        <v>0</v>
      </c>
      <c r="BI108" s="125">
        <f xml:space="preserve"> Debt!BI$433</f>
        <v>0</v>
      </c>
      <c r="BJ108" s="125">
        <f xml:space="preserve"> Debt!BJ$433</f>
        <v>0</v>
      </c>
      <c r="BK108" s="125">
        <f xml:space="preserve"> Debt!BK$433</f>
        <v>0</v>
      </c>
      <c r="BL108" s="125">
        <f xml:space="preserve"> Debt!BL$433</f>
        <v>0</v>
      </c>
      <c r="BM108" s="125">
        <f xml:space="preserve"> Debt!BM$433</f>
        <v>0</v>
      </c>
      <c r="BN108" s="125">
        <f xml:space="preserve"> Debt!BN$433</f>
        <v>0</v>
      </c>
      <c r="BO108" s="125">
        <f xml:space="preserve"> Debt!BO$433</f>
        <v>0</v>
      </c>
      <c r="BP108" s="125">
        <f xml:space="preserve"> Debt!BP$433</f>
        <v>0</v>
      </c>
      <c r="BQ108" s="125">
        <f xml:space="preserve"> Debt!BQ$433</f>
        <v>0</v>
      </c>
      <c r="BR108" s="125">
        <f xml:space="preserve"> Debt!BR$433</f>
        <v>0</v>
      </c>
      <c r="BS108" s="125">
        <f xml:space="preserve"> Debt!BS$433</f>
        <v>0</v>
      </c>
      <c r="BT108" s="125">
        <f xml:space="preserve"> Debt!BT$433</f>
        <v>0</v>
      </c>
      <c r="BU108" s="125">
        <f xml:space="preserve"> Debt!BU$433</f>
        <v>0</v>
      </c>
      <c r="BV108" s="125">
        <f xml:space="preserve"> Debt!BV$433</f>
        <v>0</v>
      </c>
      <c r="BW108" s="125">
        <f xml:space="preserve"> Debt!BW$433</f>
        <v>0</v>
      </c>
      <c r="BX108" s="125">
        <f xml:space="preserve"> Debt!BX$433</f>
        <v>0</v>
      </c>
      <c r="BY108" s="125">
        <f xml:space="preserve"> Debt!BY$433</f>
        <v>0</v>
      </c>
      <c r="BZ108" s="125">
        <f xml:space="preserve"> Debt!BZ$433</f>
        <v>0</v>
      </c>
      <c r="CA108" s="125">
        <f xml:space="preserve"> Debt!CA$433</f>
        <v>0</v>
      </c>
      <c r="CB108" s="125">
        <f xml:space="preserve"> Debt!CB$433</f>
        <v>0</v>
      </c>
      <c r="CC108" s="125">
        <f xml:space="preserve"> Debt!CC$433</f>
        <v>0</v>
      </c>
      <c r="CD108" s="125">
        <f xml:space="preserve"> Debt!CD$433</f>
        <v>0</v>
      </c>
      <c r="CE108" s="125">
        <f xml:space="preserve"> Debt!CE$433</f>
        <v>0</v>
      </c>
      <c r="CF108" s="125">
        <f xml:space="preserve"> Debt!CF$433</f>
        <v>0</v>
      </c>
      <c r="CG108" s="125">
        <f xml:space="preserve"> Debt!CG$433</f>
        <v>0</v>
      </c>
      <c r="CH108" s="125">
        <f xml:space="preserve"> Debt!CH$433</f>
        <v>0</v>
      </c>
      <c r="CI108" s="125">
        <f xml:space="preserve"> Debt!CI$433</f>
        <v>0</v>
      </c>
      <c r="CJ108" s="125">
        <f xml:space="preserve"> Debt!CJ$433</f>
        <v>0</v>
      </c>
      <c r="CK108" s="125">
        <f xml:space="preserve"> Debt!CK$433</f>
        <v>0</v>
      </c>
      <c r="CL108" s="125">
        <f xml:space="preserve"> Debt!CL$433</f>
        <v>0</v>
      </c>
      <c r="CM108" s="125">
        <f xml:space="preserve"> Debt!CM$433</f>
        <v>0</v>
      </c>
      <c r="CN108" s="125">
        <f xml:space="preserve"> Debt!CN$433</f>
        <v>0</v>
      </c>
      <c r="CO108" s="125">
        <f xml:space="preserve"> Debt!CO$433</f>
        <v>0</v>
      </c>
      <c r="CP108" s="125">
        <f xml:space="preserve"> Debt!CP$433</f>
        <v>0</v>
      </c>
      <c r="CQ108" s="125">
        <f xml:space="preserve"> Debt!CQ$433</f>
        <v>0</v>
      </c>
      <c r="CR108" s="125">
        <f xml:space="preserve"> Debt!CR$433</f>
        <v>0</v>
      </c>
      <c r="CS108" s="125">
        <f xml:space="preserve"> Debt!CS$433</f>
        <v>0</v>
      </c>
      <c r="CT108" s="125">
        <f xml:space="preserve"> Debt!CT$433</f>
        <v>0</v>
      </c>
      <c r="CU108" s="125">
        <f xml:space="preserve"> Debt!CU$433</f>
        <v>0</v>
      </c>
      <c r="CV108" s="125">
        <f xml:space="preserve"> Debt!CV$433</f>
        <v>0</v>
      </c>
    </row>
    <row r="109" spans="1:100" outlineLevel="1" x14ac:dyDescent="0.2">
      <c r="A109" s="85"/>
      <c r="B109" s="85"/>
      <c r="C109" s="86"/>
      <c r="D109" s="87"/>
      <c r="E109" s="189" t="str">
        <f xml:space="preserve"> Time!E$214</f>
        <v>Senior debt repayment period flag</v>
      </c>
      <c r="F109" s="189">
        <f xml:space="preserve"> Time!F$214</f>
        <v>0</v>
      </c>
      <c r="G109" s="189" t="str">
        <f xml:space="preserve"> Time!G$214</f>
        <v>flag</v>
      </c>
      <c r="H109" s="189">
        <f xml:space="preserve"> Time!H$214</f>
        <v>34</v>
      </c>
      <c r="I109" s="189">
        <f xml:space="preserve"> Time!I$214</f>
        <v>0</v>
      </c>
      <c r="J109" s="189">
        <f xml:space="preserve"> Time!J$214</f>
        <v>0</v>
      </c>
      <c r="K109" s="189">
        <f xml:space="preserve"> Time!K$214</f>
        <v>0</v>
      </c>
      <c r="L109" s="189">
        <f xml:space="preserve"> Time!L$214</f>
        <v>0</v>
      </c>
      <c r="M109" s="189">
        <f xml:space="preserve"> Time!M$214</f>
        <v>0</v>
      </c>
      <c r="N109" s="189">
        <f xml:space="preserve"> Time!N$214</f>
        <v>0</v>
      </c>
      <c r="O109" s="189">
        <f xml:space="preserve"> Time!O$214</f>
        <v>1</v>
      </c>
      <c r="P109" s="189">
        <f xml:space="preserve"> Time!P$214</f>
        <v>1</v>
      </c>
      <c r="Q109" s="189">
        <f xml:space="preserve"> Time!Q$214</f>
        <v>1</v>
      </c>
      <c r="R109" s="189">
        <f xml:space="preserve"> Time!R$214</f>
        <v>1</v>
      </c>
      <c r="S109" s="189">
        <f xml:space="preserve"> Time!S$214</f>
        <v>1</v>
      </c>
      <c r="T109" s="189">
        <f xml:space="preserve"> Time!T$214</f>
        <v>1</v>
      </c>
      <c r="U109" s="189">
        <f xml:space="preserve"> Time!U$214</f>
        <v>1</v>
      </c>
      <c r="V109" s="189">
        <f xml:space="preserve"> Time!V$214</f>
        <v>1</v>
      </c>
      <c r="W109" s="189">
        <f xml:space="preserve"> Time!W$214</f>
        <v>1</v>
      </c>
      <c r="X109" s="189">
        <f xml:space="preserve"> Time!X$214</f>
        <v>1</v>
      </c>
      <c r="Y109" s="189">
        <f xml:space="preserve"> Time!Y$214</f>
        <v>1</v>
      </c>
      <c r="Z109" s="189">
        <f xml:space="preserve"> Time!Z$214</f>
        <v>1</v>
      </c>
      <c r="AA109" s="189">
        <f xml:space="preserve"> Time!AA$214</f>
        <v>1</v>
      </c>
      <c r="AB109" s="189">
        <f xml:space="preserve"> Time!AB$214</f>
        <v>1</v>
      </c>
      <c r="AC109" s="189">
        <f xml:space="preserve"> Time!AC$214</f>
        <v>1</v>
      </c>
      <c r="AD109" s="189">
        <f xml:space="preserve"> Time!AD$214</f>
        <v>1</v>
      </c>
      <c r="AE109" s="189">
        <f xml:space="preserve"> Time!AE$214</f>
        <v>1</v>
      </c>
      <c r="AF109" s="189">
        <f xml:space="preserve"> Time!AF$214</f>
        <v>1</v>
      </c>
      <c r="AG109" s="189">
        <f xml:space="preserve"> Time!AG$214</f>
        <v>1</v>
      </c>
      <c r="AH109" s="189">
        <f xml:space="preserve"> Time!AH$214</f>
        <v>1</v>
      </c>
      <c r="AI109" s="189">
        <f xml:space="preserve"> Time!AI$214</f>
        <v>1</v>
      </c>
      <c r="AJ109" s="189">
        <f xml:space="preserve"> Time!AJ$214</f>
        <v>1</v>
      </c>
      <c r="AK109" s="189">
        <f xml:space="preserve"> Time!AK$214</f>
        <v>1</v>
      </c>
      <c r="AL109" s="189">
        <f xml:space="preserve"> Time!AL$214</f>
        <v>1</v>
      </c>
      <c r="AM109" s="189">
        <f xml:space="preserve"> Time!AM$214</f>
        <v>1</v>
      </c>
      <c r="AN109" s="189">
        <f xml:space="preserve"> Time!AN$214</f>
        <v>1</v>
      </c>
      <c r="AO109" s="189">
        <f xml:space="preserve"> Time!AO$214</f>
        <v>1</v>
      </c>
      <c r="AP109" s="189">
        <f xml:space="preserve"> Time!AP$214</f>
        <v>1</v>
      </c>
      <c r="AQ109" s="189">
        <f xml:space="preserve"> Time!AQ$214</f>
        <v>1</v>
      </c>
      <c r="AR109" s="189">
        <f xml:space="preserve"> Time!AR$214</f>
        <v>1</v>
      </c>
      <c r="AS109" s="189">
        <f xml:space="preserve"> Time!AS$214</f>
        <v>1</v>
      </c>
      <c r="AT109" s="189">
        <f xml:space="preserve"> Time!AT$214</f>
        <v>1</v>
      </c>
      <c r="AU109" s="189">
        <f xml:space="preserve"> Time!AU$214</f>
        <v>1</v>
      </c>
      <c r="AV109" s="189">
        <f xml:space="preserve"> Time!AV$214</f>
        <v>1</v>
      </c>
      <c r="AW109" s="189">
        <f xml:space="preserve"> Time!AW$214</f>
        <v>0</v>
      </c>
      <c r="AX109" s="189">
        <f xml:space="preserve"> Time!AX$214</f>
        <v>0</v>
      </c>
      <c r="AY109" s="189">
        <f xml:space="preserve"> Time!AY$214</f>
        <v>0</v>
      </c>
      <c r="AZ109" s="189">
        <f xml:space="preserve"> Time!AZ$214</f>
        <v>0</v>
      </c>
      <c r="BA109" s="189">
        <f xml:space="preserve"> Time!BA$214</f>
        <v>0</v>
      </c>
      <c r="BB109" s="189">
        <f xml:space="preserve"> Time!BB$214</f>
        <v>0</v>
      </c>
      <c r="BC109" s="189">
        <f xml:space="preserve"> Time!BC$214</f>
        <v>0</v>
      </c>
      <c r="BD109" s="189">
        <f xml:space="preserve"> Time!BD$214</f>
        <v>0</v>
      </c>
      <c r="BE109" s="189">
        <f xml:space="preserve"> Time!BE$214</f>
        <v>0</v>
      </c>
      <c r="BF109" s="189">
        <f xml:space="preserve"> Time!BF$214</f>
        <v>0</v>
      </c>
      <c r="BG109" s="189">
        <f xml:space="preserve"> Time!BG$214</f>
        <v>0</v>
      </c>
      <c r="BH109" s="189">
        <f xml:space="preserve"> Time!BH$214</f>
        <v>0</v>
      </c>
      <c r="BI109" s="189">
        <f xml:space="preserve"> Time!BI$214</f>
        <v>0</v>
      </c>
      <c r="BJ109" s="189">
        <f xml:space="preserve"> Time!BJ$214</f>
        <v>0</v>
      </c>
      <c r="BK109" s="189">
        <f xml:space="preserve"> Time!BK$214</f>
        <v>0</v>
      </c>
      <c r="BL109" s="189">
        <f xml:space="preserve"> Time!BL$214</f>
        <v>0</v>
      </c>
      <c r="BM109" s="189">
        <f xml:space="preserve"> Time!BM$214</f>
        <v>0</v>
      </c>
      <c r="BN109" s="189">
        <f xml:space="preserve"> Time!BN$214</f>
        <v>0</v>
      </c>
      <c r="BO109" s="189">
        <f xml:space="preserve"> Time!BO$214</f>
        <v>0</v>
      </c>
      <c r="BP109" s="189">
        <f xml:space="preserve"> Time!BP$214</f>
        <v>0</v>
      </c>
      <c r="BQ109" s="189">
        <f xml:space="preserve"> Time!BQ$214</f>
        <v>0</v>
      </c>
      <c r="BR109" s="189">
        <f xml:space="preserve"> Time!BR$214</f>
        <v>0</v>
      </c>
      <c r="BS109" s="189">
        <f xml:space="preserve"> Time!BS$214</f>
        <v>0</v>
      </c>
      <c r="BT109" s="189">
        <f xml:space="preserve"> Time!BT$214</f>
        <v>0</v>
      </c>
      <c r="BU109" s="189">
        <f xml:space="preserve"> Time!BU$214</f>
        <v>0</v>
      </c>
      <c r="BV109" s="189">
        <f xml:space="preserve"> Time!BV$214</f>
        <v>0</v>
      </c>
      <c r="BW109" s="189">
        <f xml:space="preserve"> Time!BW$214</f>
        <v>0</v>
      </c>
      <c r="BX109" s="189">
        <f xml:space="preserve"> Time!BX$214</f>
        <v>0</v>
      </c>
      <c r="BY109" s="189">
        <f xml:space="preserve"> Time!BY$214</f>
        <v>0</v>
      </c>
      <c r="BZ109" s="189">
        <f xml:space="preserve"> Time!BZ$214</f>
        <v>0</v>
      </c>
      <c r="CA109" s="189">
        <f xml:space="preserve"> Time!CA$214</f>
        <v>0</v>
      </c>
      <c r="CB109" s="189">
        <f xml:space="preserve"> Time!CB$214</f>
        <v>0</v>
      </c>
      <c r="CC109" s="189">
        <f xml:space="preserve"> Time!CC$214</f>
        <v>0</v>
      </c>
      <c r="CD109" s="189">
        <f xml:space="preserve"> Time!CD$214</f>
        <v>0</v>
      </c>
      <c r="CE109" s="189">
        <f xml:space="preserve"> Time!CE$214</f>
        <v>0</v>
      </c>
      <c r="CF109" s="189">
        <f xml:space="preserve"> Time!CF$214</f>
        <v>0</v>
      </c>
      <c r="CG109" s="189">
        <f xml:space="preserve"> Time!CG$214</f>
        <v>0</v>
      </c>
      <c r="CH109" s="189">
        <f xml:space="preserve"> Time!CH$214</f>
        <v>0</v>
      </c>
      <c r="CI109" s="189">
        <f xml:space="preserve"> Time!CI$214</f>
        <v>0</v>
      </c>
      <c r="CJ109" s="189">
        <f xml:space="preserve"> Time!CJ$214</f>
        <v>0</v>
      </c>
      <c r="CK109" s="189">
        <f xml:space="preserve"> Time!CK$214</f>
        <v>0</v>
      </c>
      <c r="CL109" s="189">
        <f xml:space="preserve"> Time!CL$214</f>
        <v>0</v>
      </c>
      <c r="CM109" s="189">
        <f xml:space="preserve"> Time!CM$214</f>
        <v>0</v>
      </c>
      <c r="CN109" s="189">
        <f xml:space="preserve"> Time!CN$214</f>
        <v>0</v>
      </c>
      <c r="CO109" s="189">
        <f xml:space="preserve"> Time!CO$214</f>
        <v>0</v>
      </c>
      <c r="CP109" s="189">
        <f xml:space="preserve"> Time!CP$214</f>
        <v>0</v>
      </c>
      <c r="CQ109" s="189">
        <f xml:space="preserve"> Time!CQ$214</f>
        <v>0</v>
      </c>
      <c r="CR109" s="189">
        <f xml:space="preserve"> Time!CR$214</f>
        <v>0</v>
      </c>
      <c r="CS109" s="189">
        <f xml:space="preserve"> Time!CS$214</f>
        <v>0</v>
      </c>
      <c r="CT109" s="189">
        <f xml:space="preserve"> Time!CT$214</f>
        <v>0</v>
      </c>
      <c r="CU109" s="189">
        <f xml:space="preserve"> Time!CU$214</f>
        <v>0</v>
      </c>
      <c r="CV109" s="189">
        <f xml:space="preserve"> Time!CV$214</f>
        <v>0</v>
      </c>
    </row>
    <row r="110" spans="1:100" s="314" customFormat="1" outlineLevel="1" x14ac:dyDescent="0.2">
      <c r="A110" s="651"/>
      <c r="B110" s="562"/>
      <c r="C110" s="563"/>
      <c r="E110" s="314" t="s">
        <v>399</v>
      </c>
      <c r="G110" s="314" t="s">
        <v>103</v>
      </c>
      <c r="J110" s="314">
        <f t="shared" ref="J110:AO110" si="51" xml:space="preserve"> IF( ( J102 + J104 + J106 + J108 ) &gt; CHK_TOL, ( J101 + J103 + J105 + J107) / ( J102 + J104 + J106 + J108 ), 0) * J109</f>
        <v>0</v>
      </c>
      <c r="K110" s="314">
        <f t="shared" si="51"/>
        <v>0</v>
      </c>
      <c r="L110" s="314">
        <f t="shared" si="51"/>
        <v>0</v>
      </c>
      <c r="M110" s="314">
        <f t="shared" si="51"/>
        <v>0</v>
      </c>
      <c r="N110" s="314">
        <f t="shared" si="51"/>
        <v>0</v>
      </c>
      <c r="O110" s="314">
        <f t="shared" si="51"/>
        <v>2.2744444444444446E-2</v>
      </c>
      <c r="P110" s="314">
        <f t="shared" si="51"/>
        <v>2.2367328508252415E-2</v>
      </c>
      <c r="Q110" s="314">
        <f t="shared" si="51"/>
        <v>2.2732498563146495E-2</v>
      </c>
      <c r="R110" s="314">
        <f t="shared" si="51"/>
        <v>2.2356048205121007E-2</v>
      </c>
      <c r="S110" s="314">
        <f t="shared" si="51"/>
        <v>2.2720258408714122E-2</v>
      </c>
      <c r="T110" s="314">
        <f t="shared" si="51"/>
        <v>2.2343166701869803E-2</v>
      </c>
      <c r="U110" s="314">
        <f t="shared" si="51"/>
        <v>2.2706218636572816E-2</v>
      </c>
      <c r="V110" s="314">
        <f t="shared" si="51"/>
        <v>2.245168142781695E-2</v>
      </c>
      <c r="W110" s="314">
        <f t="shared" si="51"/>
        <v>2.2689969348920945E-2</v>
      </c>
      <c r="X110" s="314">
        <f t="shared" si="51"/>
        <v>2.2311064780714786E-2</v>
      </c>
      <c r="Y110" s="314">
        <f t="shared" si="51"/>
        <v>2.3693161674355142E-2</v>
      </c>
      <c r="Z110" s="314">
        <f t="shared" si="51"/>
        <v>2.3296553269454581E-2</v>
      </c>
      <c r="AA110" s="314">
        <f t="shared" si="51"/>
        <v>2.3671229269364859E-2</v>
      </c>
      <c r="AB110" s="314">
        <f t="shared" si="51"/>
        <v>2.3272937185935292E-2</v>
      </c>
      <c r="AC110" s="314">
        <f t="shared" si="51"/>
        <v>2.3644846454496389E-2</v>
      </c>
      <c r="AD110" s="314">
        <f t="shared" si="51"/>
        <v>2.3372698059004448E-2</v>
      </c>
      <c r="AE110" s="314">
        <f t="shared" si="51"/>
        <v>2.3612529813624685E-2</v>
      </c>
      <c r="AF110" s="314">
        <f t="shared" si="51"/>
        <v>2.320882929507833E-2</v>
      </c>
      <c r="AG110" s="314">
        <f t="shared" si="51"/>
        <v>2.3572049862612646E-2</v>
      </c>
      <c r="AH110" s="314">
        <f t="shared" si="51"/>
        <v>2.3163735048840218E-2</v>
      </c>
      <c r="AI110" s="314">
        <f t="shared" si="51"/>
        <v>2.4748188274181033E-2</v>
      </c>
      <c r="AJ110" s="314">
        <f t="shared" si="51"/>
        <v>2.4307349749069024E-2</v>
      </c>
      <c r="AK110" s="314">
        <f t="shared" si="51"/>
        <v>2.466600500482043E-2</v>
      </c>
      <c r="AL110" s="314">
        <f t="shared" si="51"/>
        <v>2.4346055316900681E-2</v>
      </c>
      <c r="AM110" s="314">
        <f t="shared" si="51"/>
        <v>2.4550800474259352E-2</v>
      </c>
      <c r="AN110" s="314">
        <f t="shared" si="51"/>
        <v>2.4074925473529248E-2</v>
      </c>
      <c r="AO110" s="314">
        <f t="shared" si="51"/>
        <v>2.4377977458588395E-2</v>
      </c>
      <c r="AP110" s="314">
        <f t="shared" ref="AP110:BU110" si="52" xml:space="preserve"> IF( ( AP102 + AP104 + AP106 + AP108 ) &gt; CHK_TOL, ( AP101 + AP103 + AP105 + AP107) / ( AP102 + AP104 + AP106 + AP108 ), 0) * AP109</f>
        <v>2.3858645549826432E-2</v>
      </c>
      <c r="AQ110" s="314">
        <f t="shared" si="52"/>
        <v>2.408936627842077E-2</v>
      </c>
      <c r="AR110" s="314">
        <f t="shared" si="52"/>
        <v>2.3468677488370088E-2</v>
      </c>
      <c r="AS110" s="314">
        <f t="shared" si="52"/>
        <v>2.3511111289477849E-2</v>
      </c>
      <c r="AT110" s="314">
        <f t="shared" si="52"/>
        <v>2.3255555788941711E-2</v>
      </c>
      <c r="AU110" s="314">
        <f t="shared" si="52"/>
        <v>2.3511111461919084E-2</v>
      </c>
      <c r="AV110" s="314">
        <f t="shared" si="52"/>
        <v>2.3127778463146776E-2</v>
      </c>
      <c r="AW110" s="314">
        <f t="shared" si="52"/>
        <v>0</v>
      </c>
      <c r="AX110" s="314">
        <f t="shared" si="52"/>
        <v>0</v>
      </c>
      <c r="AY110" s="314">
        <f t="shared" si="52"/>
        <v>0</v>
      </c>
      <c r="AZ110" s="314">
        <f t="shared" si="52"/>
        <v>0</v>
      </c>
      <c r="BA110" s="314">
        <f t="shared" si="52"/>
        <v>0</v>
      </c>
      <c r="BB110" s="314">
        <f t="shared" si="52"/>
        <v>0</v>
      </c>
      <c r="BC110" s="314">
        <f t="shared" si="52"/>
        <v>0</v>
      </c>
      <c r="BD110" s="314">
        <f t="shared" si="52"/>
        <v>0</v>
      </c>
      <c r="BE110" s="314">
        <f t="shared" si="52"/>
        <v>0</v>
      </c>
      <c r="BF110" s="314">
        <f t="shared" si="52"/>
        <v>0</v>
      </c>
      <c r="BG110" s="314">
        <f t="shared" si="52"/>
        <v>0</v>
      </c>
      <c r="BH110" s="314">
        <f t="shared" si="52"/>
        <v>0</v>
      </c>
      <c r="BI110" s="314">
        <f t="shared" si="52"/>
        <v>0</v>
      </c>
      <c r="BJ110" s="314">
        <f t="shared" si="52"/>
        <v>0</v>
      </c>
      <c r="BK110" s="314">
        <f t="shared" si="52"/>
        <v>0</v>
      </c>
      <c r="BL110" s="314">
        <f t="shared" si="52"/>
        <v>0</v>
      </c>
      <c r="BM110" s="314">
        <f t="shared" si="52"/>
        <v>0</v>
      </c>
      <c r="BN110" s="314">
        <f t="shared" si="52"/>
        <v>0</v>
      </c>
      <c r="BO110" s="314">
        <f t="shared" si="52"/>
        <v>0</v>
      </c>
      <c r="BP110" s="314">
        <f t="shared" si="52"/>
        <v>0</v>
      </c>
      <c r="BQ110" s="314">
        <f t="shared" si="52"/>
        <v>0</v>
      </c>
      <c r="BR110" s="314">
        <f t="shared" si="52"/>
        <v>0</v>
      </c>
      <c r="BS110" s="314">
        <f t="shared" si="52"/>
        <v>0</v>
      </c>
      <c r="BT110" s="314">
        <f t="shared" si="52"/>
        <v>0</v>
      </c>
      <c r="BU110" s="314">
        <f t="shared" si="52"/>
        <v>0</v>
      </c>
      <c r="BV110" s="314">
        <f t="shared" ref="BV110:CV110" si="53" xml:space="preserve"> IF( ( BV102 + BV104 + BV106 + BV108 ) &gt; CHK_TOL, ( BV101 + BV103 + BV105 + BV107) / ( BV102 + BV104 + BV106 + BV108 ), 0) * BV109</f>
        <v>0</v>
      </c>
      <c r="BW110" s="314">
        <f t="shared" si="53"/>
        <v>0</v>
      </c>
      <c r="BX110" s="314">
        <f t="shared" si="53"/>
        <v>0</v>
      </c>
      <c r="BY110" s="314">
        <f t="shared" si="53"/>
        <v>0</v>
      </c>
      <c r="BZ110" s="314">
        <f t="shared" si="53"/>
        <v>0</v>
      </c>
      <c r="CA110" s="314">
        <f t="shared" si="53"/>
        <v>0</v>
      </c>
      <c r="CB110" s="314">
        <f t="shared" si="53"/>
        <v>0</v>
      </c>
      <c r="CC110" s="314">
        <f t="shared" si="53"/>
        <v>0</v>
      </c>
      <c r="CD110" s="314">
        <f t="shared" si="53"/>
        <v>0</v>
      </c>
      <c r="CE110" s="314">
        <f t="shared" si="53"/>
        <v>0</v>
      </c>
      <c r="CF110" s="314">
        <f t="shared" si="53"/>
        <v>0</v>
      </c>
      <c r="CG110" s="314">
        <f t="shared" si="53"/>
        <v>0</v>
      </c>
      <c r="CH110" s="314">
        <f t="shared" si="53"/>
        <v>0</v>
      </c>
      <c r="CI110" s="314">
        <f t="shared" si="53"/>
        <v>0</v>
      </c>
      <c r="CJ110" s="314">
        <f t="shared" si="53"/>
        <v>0</v>
      </c>
      <c r="CK110" s="314">
        <f t="shared" si="53"/>
        <v>0</v>
      </c>
      <c r="CL110" s="314">
        <f t="shared" si="53"/>
        <v>0</v>
      </c>
      <c r="CM110" s="314">
        <f t="shared" si="53"/>
        <v>0</v>
      </c>
      <c r="CN110" s="314">
        <f t="shared" si="53"/>
        <v>0</v>
      </c>
      <c r="CO110" s="314">
        <f t="shared" si="53"/>
        <v>0</v>
      </c>
      <c r="CP110" s="314">
        <f t="shared" si="53"/>
        <v>0</v>
      </c>
      <c r="CQ110" s="314">
        <f t="shared" si="53"/>
        <v>0</v>
      </c>
      <c r="CR110" s="314">
        <f t="shared" si="53"/>
        <v>0</v>
      </c>
      <c r="CS110" s="314">
        <f t="shared" si="53"/>
        <v>0</v>
      </c>
      <c r="CT110" s="314">
        <f t="shared" si="53"/>
        <v>0</v>
      </c>
      <c r="CU110" s="314">
        <f t="shared" si="53"/>
        <v>0</v>
      </c>
      <c r="CV110" s="314">
        <f t="shared" si="53"/>
        <v>0</v>
      </c>
    </row>
    <row r="111" spans="1:100" outlineLevel="1" x14ac:dyDescent="0.2">
      <c r="A111" s="405"/>
      <c r="B111" s="431"/>
      <c r="C111" s="564"/>
      <c r="D111" s="565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  <c r="AI111" s="191"/>
      <c r="AJ111" s="191"/>
      <c r="AK111" s="191"/>
      <c r="AL111" s="191"/>
      <c r="AM111" s="191"/>
      <c r="AN111" s="191"/>
      <c r="AO111" s="191"/>
      <c r="AP111" s="191"/>
      <c r="AQ111" s="191"/>
      <c r="AR111" s="191"/>
      <c r="AS111" s="191"/>
      <c r="AT111" s="191"/>
      <c r="AU111" s="191"/>
      <c r="AV111" s="191"/>
      <c r="AW111" s="191"/>
      <c r="AX111" s="191"/>
      <c r="AY111" s="191"/>
      <c r="AZ111" s="191"/>
      <c r="BA111" s="191"/>
      <c r="BB111" s="191"/>
      <c r="BC111" s="191"/>
      <c r="BD111" s="191"/>
      <c r="BE111" s="191"/>
      <c r="BF111" s="191"/>
      <c r="BG111" s="191"/>
      <c r="BH111" s="191"/>
      <c r="BI111" s="191"/>
      <c r="BJ111" s="191"/>
      <c r="BK111" s="191"/>
      <c r="BL111" s="191"/>
      <c r="BM111" s="191"/>
      <c r="BN111" s="191"/>
      <c r="BO111" s="191"/>
      <c r="BP111" s="191"/>
      <c r="BQ111" s="191"/>
      <c r="BR111" s="191"/>
      <c r="BS111" s="191"/>
      <c r="BT111" s="191"/>
      <c r="BU111" s="191"/>
      <c r="BV111" s="191"/>
      <c r="BW111" s="191"/>
      <c r="BX111" s="191"/>
      <c r="BY111" s="191"/>
      <c r="BZ111" s="191"/>
      <c r="CA111" s="191"/>
      <c r="CB111" s="191"/>
      <c r="CC111" s="191"/>
      <c r="CD111" s="191"/>
      <c r="CE111" s="191"/>
      <c r="CF111" s="191"/>
      <c r="CG111" s="191"/>
      <c r="CH111" s="191"/>
      <c r="CI111" s="191"/>
      <c r="CJ111" s="191"/>
      <c r="CK111" s="191"/>
      <c r="CL111" s="191"/>
      <c r="CM111" s="191"/>
      <c r="CN111" s="191"/>
      <c r="CO111" s="191"/>
      <c r="CP111" s="191"/>
      <c r="CQ111" s="191"/>
      <c r="CR111" s="191"/>
      <c r="CS111" s="191"/>
      <c r="CT111" s="191"/>
      <c r="CU111" s="191"/>
      <c r="CV111" s="191"/>
    </row>
    <row r="112" spans="1:100" outlineLevel="1" x14ac:dyDescent="0.2">
      <c r="A112" s="33"/>
      <c r="B112" s="79"/>
      <c r="C112" s="561"/>
      <c r="D112" s="60"/>
      <c r="E112" s="589" t="str">
        <f t="shared" ref="E112:AJ112" si="54" xml:space="preserve"> E$110</f>
        <v>Period interest rate for LLCR</v>
      </c>
      <c r="F112" s="589">
        <f t="shared" si="54"/>
        <v>0</v>
      </c>
      <c r="G112" s="589" t="str">
        <f t="shared" si="54"/>
        <v>%</v>
      </c>
      <c r="H112" s="589">
        <f t="shared" si="54"/>
        <v>0</v>
      </c>
      <c r="I112" s="589">
        <f t="shared" si="54"/>
        <v>0</v>
      </c>
      <c r="J112" s="589">
        <f t="shared" si="54"/>
        <v>0</v>
      </c>
      <c r="K112" s="589">
        <f t="shared" si="54"/>
        <v>0</v>
      </c>
      <c r="L112" s="589">
        <f t="shared" si="54"/>
        <v>0</v>
      </c>
      <c r="M112" s="589">
        <f t="shared" si="54"/>
        <v>0</v>
      </c>
      <c r="N112" s="589">
        <f t="shared" si="54"/>
        <v>0</v>
      </c>
      <c r="O112" s="589">
        <f t="shared" si="54"/>
        <v>2.2744444444444446E-2</v>
      </c>
      <c r="P112" s="589">
        <f t="shared" si="54"/>
        <v>2.2367328508252415E-2</v>
      </c>
      <c r="Q112" s="589">
        <f t="shared" si="54"/>
        <v>2.2732498563146495E-2</v>
      </c>
      <c r="R112" s="589">
        <f t="shared" si="54"/>
        <v>2.2356048205121007E-2</v>
      </c>
      <c r="S112" s="589">
        <f t="shared" si="54"/>
        <v>2.2720258408714122E-2</v>
      </c>
      <c r="T112" s="589">
        <f t="shared" si="54"/>
        <v>2.2343166701869803E-2</v>
      </c>
      <c r="U112" s="589">
        <f t="shared" si="54"/>
        <v>2.2706218636572816E-2</v>
      </c>
      <c r="V112" s="589">
        <f t="shared" si="54"/>
        <v>2.245168142781695E-2</v>
      </c>
      <c r="W112" s="589">
        <f t="shared" si="54"/>
        <v>2.2689969348920945E-2</v>
      </c>
      <c r="X112" s="589">
        <f t="shared" si="54"/>
        <v>2.2311064780714786E-2</v>
      </c>
      <c r="Y112" s="589">
        <f t="shared" si="54"/>
        <v>2.3693161674355142E-2</v>
      </c>
      <c r="Z112" s="589">
        <f t="shared" si="54"/>
        <v>2.3296553269454581E-2</v>
      </c>
      <c r="AA112" s="589">
        <f t="shared" si="54"/>
        <v>2.3671229269364859E-2</v>
      </c>
      <c r="AB112" s="589">
        <f t="shared" si="54"/>
        <v>2.3272937185935292E-2</v>
      </c>
      <c r="AC112" s="589">
        <f t="shared" si="54"/>
        <v>2.3644846454496389E-2</v>
      </c>
      <c r="AD112" s="589">
        <f t="shared" si="54"/>
        <v>2.3372698059004448E-2</v>
      </c>
      <c r="AE112" s="589">
        <f t="shared" si="54"/>
        <v>2.3612529813624685E-2</v>
      </c>
      <c r="AF112" s="589">
        <f t="shared" si="54"/>
        <v>2.320882929507833E-2</v>
      </c>
      <c r="AG112" s="589">
        <f t="shared" si="54"/>
        <v>2.3572049862612646E-2</v>
      </c>
      <c r="AH112" s="589">
        <f t="shared" si="54"/>
        <v>2.3163735048840218E-2</v>
      </c>
      <c r="AI112" s="589">
        <f t="shared" si="54"/>
        <v>2.4748188274181033E-2</v>
      </c>
      <c r="AJ112" s="589">
        <f t="shared" si="54"/>
        <v>2.4307349749069024E-2</v>
      </c>
      <c r="AK112" s="589">
        <f t="shared" ref="AK112:BP112" si="55" xml:space="preserve"> AK$110</f>
        <v>2.466600500482043E-2</v>
      </c>
      <c r="AL112" s="589">
        <f t="shared" si="55"/>
        <v>2.4346055316900681E-2</v>
      </c>
      <c r="AM112" s="589">
        <f t="shared" si="55"/>
        <v>2.4550800474259352E-2</v>
      </c>
      <c r="AN112" s="589">
        <f t="shared" si="55"/>
        <v>2.4074925473529248E-2</v>
      </c>
      <c r="AO112" s="589">
        <f t="shared" si="55"/>
        <v>2.4377977458588395E-2</v>
      </c>
      <c r="AP112" s="589">
        <f t="shared" si="55"/>
        <v>2.3858645549826432E-2</v>
      </c>
      <c r="AQ112" s="589">
        <f t="shared" si="55"/>
        <v>2.408936627842077E-2</v>
      </c>
      <c r="AR112" s="589">
        <f t="shared" si="55"/>
        <v>2.3468677488370088E-2</v>
      </c>
      <c r="AS112" s="589">
        <f t="shared" si="55"/>
        <v>2.3511111289477849E-2</v>
      </c>
      <c r="AT112" s="589">
        <f t="shared" si="55"/>
        <v>2.3255555788941711E-2</v>
      </c>
      <c r="AU112" s="589">
        <f t="shared" si="55"/>
        <v>2.3511111461919084E-2</v>
      </c>
      <c r="AV112" s="589">
        <f t="shared" si="55"/>
        <v>2.3127778463146776E-2</v>
      </c>
      <c r="AW112" s="589">
        <f t="shared" si="55"/>
        <v>0</v>
      </c>
      <c r="AX112" s="589">
        <f t="shared" si="55"/>
        <v>0</v>
      </c>
      <c r="AY112" s="589">
        <f t="shared" si="55"/>
        <v>0</v>
      </c>
      <c r="AZ112" s="589">
        <f t="shared" si="55"/>
        <v>0</v>
      </c>
      <c r="BA112" s="589">
        <f t="shared" si="55"/>
        <v>0</v>
      </c>
      <c r="BB112" s="589">
        <f t="shared" si="55"/>
        <v>0</v>
      </c>
      <c r="BC112" s="589">
        <f t="shared" si="55"/>
        <v>0</v>
      </c>
      <c r="BD112" s="589">
        <f t="shared" si="55"/>
        <v>0</v>
      </c>
      <c r="BE112" s="589">
        <f t="shared" si="55"/>
        <v>0</v>
      </c>
      <c r="BF112" s="589">
        <f t="shared" si="55"/>
        <v>0</v>
      </c>
      <c r="BG112" s="589">
        <f t="shared" si="55"/>
        <v>0</v>
      </c>
      <c r="BH112" s="589">
        <f t="shared" si="55"/>
        <v>0</v>
      </c>
      <c r="BI112" s="589">
        <f t="shared" si="55"/>
        <v>0</v>
      </c>
      <c r="BJ112" s="589">
        <f t="shared" si="55"/>
        <v>0</v>
      </c>
      <c r="BK112" s="589">
        <f t="shared" si="55"/>
        <v>0</v>
      </c>
      <c r="BL112" s="589">
        <f t="shared" si="55"/>
        <v>0</v>
      </c>
      <c r="BM112" s="589">
        <f t="shared" si="55"/>
        <v>0</v>
      </c>
      <c r="BN112" s="589">
        <f t="shared" si="55"/>
        <v>0</v>
      </c>
      <c r="BO112" s="589">
        <f t="shared" si="55"/>
        <v>0</v>
      </c>
      <c r="BP112" s="589">
        <f t="shared" si="55"/>
        <v>0</v>
      </c>
      <c r="BQ112" s="589">
        <f t="shared" ref="BQ112:CV112" si="56" xml:space="preserve"> BQ$110</f>
        <v>0</v>
      </c>
      <c r="BR112" s="589">
        <f t="shared" si="56"/>
        <v>0</v>
      </c>
      <c r="BS112" s="589">
        <f t="shared" si="56"/>
        <v>0</v>
      </c>
      <c r="BT112" s="589">
        <f t="shared" si="56"/>
        <v>0</v>
      </c>
      <c r="BU112" s="589">
        <f t="shared" si="56"/>
        <v>0</v>
      </c>
      <c r="BV112" s="589">
        <f t="shared" si="56"/>
        <v>0</v>
      </c>
      <c r="BW112" s="589">
        <f t="shared" si="56"/>
        <v>0</v>
      </c>
      <c r="BX112" s="589">
        <f t="shared" si="56"/>
        <v>0</v>
      </c>
      <c r="BY112" s="589">
        <f t="shared" si="56"/>
        <v>0</v>
      </c>
      <c r="BZ112" s="589">
        <f t="shared" si="56"/>
        <v>0</v>
      </c>
      <c r="CA112" s="589">
        <f t="shared" si="56"/>
        <v>0</v>
      </c>
      <c r="CB112" s="589">
        <f t="shared" si="56"/>
        <v>0</v>
      </c>
      <c r="CC112" s="589">
        <f t="shared" si="56"/>
        <v>0</v>
      </c>
      <c r="CD112" s="589">
        <f t="shared" si="56"/>
        <v>0</v>
      </c>
      <c r="CE112" s="589">
        <f t="shared" si="56"/>
        <v>0</v>
      </c>
      <c r="CF112" s="589">
        <f t="shared" si="56"/>
        <v>0</v>
      </c>
      <c r="CG112" s="589">
        <f t="shared" si="56"/>
        <v>0</v>
      </c>
      <c r="CH112" s="589">
        <f t="shared" si="56"/>
        <v>0</v>
      </c>
      <c r="CI112" s="589">
        <f t="shared" si="56"/>
        <v>0</v>
      </c>
      <c r="CJ112" s="589">
        <f t="shared" si="56"/>
        <v>0</v>
      </c>
      <c r="CK112" s="589">
        <f t="shared" si="56"/>
        <v>0</v>
      </c>
      <c r="CL112" s="589">
        <f t="shared" si="56"/>
        <v>0</v>
      </c>
      <c r="CM112" s="589">
        <f t="shared" si="56"/>
        <v>0</v>
      </c>
      <c r="CN112" s="589">
        <f t="shared" si="56"/>
        <v>0</v>
      </c>
      <c r="CO112" s="589">
        <f t="shared" si="56"/>
        <v>0</v>
      </c>
      <c r="CP112" s="589">
        <f t="shared" si="56"/>
        <v>0</v>
      </c>
      <c r="CQ112" s="589">
        <f t="shared" si="56"/>
        <v>0</v>
      </c>
      <c r="CR112" s="589">
        <f t="shared" si="56"/>
        <v>0</v>
      </c>
      <c r="CS112" s="589">
        <f t="shared" si="56"/>
        <v>0</v>
      </c>
      <c r="CT112" s="589">
        <f t="shared" si="56"/>
        <v>0</v>
      </c>
      <c r="CU112" s="589">
        <f t="shared" si="56"/>
        <v>0</v>
      </c>
      <c r="CV112" s="589">
        <f t="shared" si="56"/>
        <v>0</v>
      </c>
    </row>
    <row r="113" spans="1:100" outlineLevel="1" x14ac:dyDescent="0.2">
      <c r="A113" s="85"/>
      <c r="B113" s="85"/>
      <c r="C113" s="86"/>
      <c r="D113" s="87"/>
      <c r="E113" s="186" t="str">
        <f xml:space="preserve"> 'FS Semi'!E$65</f>
        <v>Cashflow available for senior debt</v>
      </c>
      <c r="F113" s="186">
        <f xml:space="preserve"> 'FS Semi'!F$65</f>
        <v>0</v>
      </c>
      <c r="G113" s="186" t="str">
        <f xml:space="preserve"> 'FS Semi'!G$65</f>
        <v>$ 000s</v>
      </c>
      <c r="H113" s="186">
        <f xml:space="preserve"> 'FS Semi'!H$65</f>
        <v>587649.30780221813</v>
      </c>
      <c r="I113" s="186">
        <f xml:space="preserve"> 'FS Semi'!I$65</f>
        <v>0</v>
      </c>
      <c r="J113" s="186">
        <f xml:space="preserve"> 'FS Semi'!J$65</f>
        <v>-1.5558398445136845E-6</v>
      </c>
      <c r="K113" s="186">
        <f xml:space="preserve"> 'FS Semi'!K$65</f>
        <v>-1.2466658517951146E-5</v>
      </c>
      <c r="L113" s="186">
        <f xml:space="preserve"> 'FS Semi'!L$65</f>
        <v>-1.6754362150095403E-5</v>
      </c>
      <c r="M113" s="186">
        <f xml:space="preserve"> 'FS Semi'!M$65</f>
        <v>-1.9422688637860119E-5</v>
      </c>
      <c r="N113" s="186">
        <f xml:space="preserve"> 'FS Semi'!N$65</f>
        <v>-3.9676149608567357E-3</v>
      </c>
      <c r="O113" s="186">
        <f xml:space="preserve"> 'FS Semi'!O$65</f>
        <v>17761.339089615478</v>
      </c>
      <c r="P113" s="186">
        <f xml:space="preserve"> 'FS Semi'!P$65</f>
        <v>15707.408907742485</v>
      </c>
      <c r="Q113" s="186">
        <f xml:space="preserve"> 'FS Semi'!Q$65</f>
        <v>15745.355493650644</v>
      </c>
      <c r="R113" s="186">
        <f xml:space="preserve"> 'FS Semi'!R$65</f>
        <v>15588.868818823899</v>
      </c>
      <c r="S113" s="186">
        <f xml:space="preserve"> 'FS Semi'!S$65</f>
        <v>15624.695450132087</v>
      </c>
      <c r="T113" s="186">
        <f xml:space="preserve"> 'FS Semi'!T$65</f>
        <v>15468.805976611518</v>
      </c>
      <c r="U113" s="186">
        <f xml:space="preserve"> 'FS Semi'!U$65</f>
        <v>15502.475660941096</v>
      </c>
      <c r="V113" s="186">
        <f xml:space="preserve"> 'FS Semi'!V$65</f>
        <v>15368.238112158891</v>
      </c>
      <c r="W113" s="186">
        <f xml:space="preserve"> 'FS Semi'!W$65</f>
        <v>15357.612782223849</v>
      </c>
      <c r="X113" s="186">
        <f xml:space="preserve"> 'FS Semi'!X$65</f>
        <v>15223.981670526602</v>
      </c>
      <c r="Y113" s="186">
        <f xml:space="preserve"> 'FS Semi'!Y$65</f>
        <v>15253.223441594726</v>
      </c>
      <c r="Z113" s="186">
        <f xml:space="preserve"> 'FS Semi'!Z$65</f>
        <v>15099.15338854069</v>
      </c>
      <c r="AA113" s="186">
        <f xml:space="preserve"> 'FS Semi'!AA$65</f>
        <v>15126.122633909146</v>
      </c>
      <c r="AB113" s="186">
        <f xml:space="preserve"> 'FS Semi'!AB$65</f>
        <v>14972.668690608356</v>
      </c>
      <c r="AC113" s="186">
        <f xml:space="preserve"> 'FS Semi'!AC$65</f>
        <v>14997.325298446642</v>
      </c>
      <c r="AD113" s="186">
        <f xml:space="preserve"> 'FS Semi'!AD$65</f>
        <v>14864.853133923503</v>
      </c>
      <c r="AE113" s="186">
        <f xml:space="preserve"> 'FS Semi'!AE$65</f>
        <v>14846.434846161274</v>
      </c>
      <c r="AF113" s="186">
        <f xml:space="preserve"> 'FS Semi'!AF$65</f>
        <v>14714.588918503887</v>
      </c>
      <c r="AG113" s="186">
        <f xml:space="preserve"> 'FS Semi'!AG$65</f>
        <v>14734.496621546412</v>
      </c>
      <c r="AH113" s="186">
        <f xml:space="preserve"> 'FS Semi'!AH$65</f>
        <v>14582.921507009845</v>
      </c>
      <c r="AI113" s="186">
        <f xml:space="preserve"> 'FS Semi'!AI$65</f>
        <v>14600.391254152939</v>
      </c>
      <c r="AJ113" s="186">
        <f xml:space="preserve"> 'FS Semi'!AJ$65</f>
        <v>14449.45297630897</v>
      </c>
      <c r="AK113" s="186">
        <f xml:space="preserve"> 'FS Semi'!AK$65</f>
        <v>14464.441277785036</v>
      </c>
      <c r="AL113" s="186">
        <f xml:space="preserve"> 'FS Semi'!AL$65</f>
        <v>14333.778560490962</v>
      </c>
      <c r="AM113" s="186">
        <f xml:space="preserve"> 'FS Semi'!AM$65</f>
        <v>14306.974557657806</v>
      </c>
      <c r="AN113" s="186">
        <f xml:space="preserve"> 'FS Semi'!AN$65</f>
        <v>14176.959768611989</v>
      </c>
      <c r="AO113" s="186">
        <f xml:space="preserve"> 'FS Semi'!AO$65</f>
        <v>14186.851142225703</v>
      </c>
      <c r="AP113" s="186">
        <f xml:space="preserve"> 'FS Semi'!AP$65</f>
        <v>14037.856776993409</v>
      </c>
      <c r="AQ113" s="186">
        <f xml:space="preserve"> 'FS Semi'!AQ$65</f>
        <v>14045.130839844553</v>
      </c>
      <c r="AR113" s="186">
        <f xml:space="preserve"> 'FS Semi'!AR$65</f>
        <v>13896.7960059342</v>
      </c>
      <c r="AS113" s="186">
        <f xml:space="preserve"> 'FS Semi'!AS$65</f>
        <v>13901.405610395763</v>
      </c>
      <c r="AT113" s="186">
        <f xml:space="preserve"> 'FS Semi'!AT$65</f>
        <v>13772.600892933437</v>
      </c>
      <c r="AU113" s="186">
        <f xml:space="preserve"> 'FS Semi'!AU$65</f>
        <v>13736.76875976386</v>
      </c>
      <c r="AV113" s="186">
        <f xml:space="preserve"> 'FS Semi'!AV$65</f>
        <v>13608.635708810609</v>
      </c>
      <c r="AW113" s="186">
        <f xml:space="preserve"> 'FS Semi'!AW$65</f>
        <v>13607.771090766597</v>
      </c>
      <c r="AX113" s="186">
        <f xml:space="preserve"> 'FS Semi'!AX$65</f>
        <v>13461.451394756768</v>
      </c>
      <c r="AY113" s="186">
        <f xml:space="preserve"> 'FS Semi'!AY$65</f>
        <v>13457.775032491649</v>
      </c>
      <c r="AZ113" s="186">
        <f xml:space="preserve"> 'FS Semi'!AZ$65</f>
        <v>13312.139691725803</v>
      </c>
      <c r="BA113" s="186">
        <f xml:space="preserve"> 'FS Semi'!BA$65</f>
        <v>13305.600476617343</v>
      </c>
      <c r="BB113" s="186">
        <f xml:space="preserve"> 'FS Semi'!BB$65</f>
        <v>16445.95955909419</v>
      </c>
      <c r="BC113" s="186">
        <f xml:space="preserve"> 'FS Semi'!BC$65</f>
        <v>0</v>
      </c>
      <c r="BD113" s="186">
        <f xml:space="preserve"> 'FS Semi'!BD$65</f>
        <v>0</v>
      </c>
      <c r="BE113" s="186">
        <f xml:space="preserve"> 'FS Semi'!BE$65</f>
        <v>0</v>
      </c>
      <c r="BF113" s="186">
        <f xml:space="preserve"> 'FS Semi'!BF$65</f>
        <v>0</v>
      </c>
      <c r="BG113" s="186">
        <f xml:space="preserve"> 'FS Semi'!BG$65</f>
        <v>0</v>
      </c>
      <c r="BH113" s="186">
        <f xml:space="preserve"> 'FS Semi'!BH$65</f>
        <v>0</v>
      </c>
      <c r="BI113" s="186">
        <f xml:space="preserve"> 'FS Semi'!BI$65</f>
        <v>0</v>
      </c>
      <c r="BJ113" s="186">
        <f xml:space="preserve"> 'FS Semi'!BJ$65</f>
        <v>0</v>
      </c>
      <c r="BK113" s="186">
        <f xml:space="preserve"> 'FS Semi'!BK$65</f>
        <v>0</v>
      </c>
      <c r="BL113" s="186">
        <f xml:space="preserve"> 'FS Semi'!BL$65</f>
        <v>0</v>
      </c>
      <c r="BM113" s="186">
        <f xml:space="preserve"> 'FS Semi'!BM$65</f>
        <v>0</v>
      </c>
      <c r="BN113" s="186">
        <f xml:space="preserve"> 'FS Semi'!BN$65</f>
        <v>0</v>
      </c>
      <c r="BO113" s="186">
        <f xml:space="preserve"> 'FS Semi'!BO$65</f>
        <v>0</v>
      </c>
      <c r="BP113" s="186">
        <f xml:space="preserve"> 'FS Semi'!BP$65</f>
        <v>0</v>
      </c>
      <c r="BQ113" s="186">
        <f xml:space="preserve"> 'FS Semi'!BQ$65</f>
        <v>0</v>
      </c>
      <c r="BR113" s="186">
        <f xml:space="preserve"> 'FS Semi'!BR$65</f>
        <v>0</v>
      </c>
      <c r="BS113" s="186">
        <f xml:space="preserve"> 'FS Semi'!BS$65</f>
        <v>0</v>
      </c>
      <c r="BT113" s="186">
        <f xml:space="preserve"> 'FS Semi'!BT$65</f>
        <v>0</v>
      </c>
      <c r="BU113" s="186">
        <f xml:space="preserve"> 'FS Semi'!BU$65</f>
        <v>0</v>
      </c>
      <c r="BV113" s="186">
        <f xml:space="preserve"> 'FS Semi'!BV$65</f>
        <v>0</v>
      </c>
      <c r="BW113" s="186">
        <f xml:space="preserve"> 'FS Semi'!BW$65</f>
        <v>0</v>
      </c>
      <c r="BX113" s="186">
        <f xml:space="preserve"> 'FS Semi'!BX$65</f>
        <v>0</v>
      </c>
      <c r="BY113" s="186">
        <f xml:space="preserve"> 'FS Semi'!BY$65</f>
        <v>0</v>
      </c>
      <c r="BZ113" s="186">
        <f xml:space="preserve"> 'FS Semi'!BZ$65</f>
        <v>0</v>
      </c>
      <c r="CA113" s="186">
        <f xml:space="preserve"> 'FS Semi'!CA$65</f>
        <v>0</v>
      </c>
      <c r="CB113" s="186">
        <f xml:space="preserve"> 'FS Semi'!CB$65</f>
        <v>0</v>
      </c>
      <c r="CC113" s="186">
        <f xml:space="preserve"> 'FS Semi'!CC$65</f>
        <v>0</v>
      </c>
      <c r="CD113" s="186">
        <f xml:space="preserve"> 'FS Semi'!CD$65</f>
        <v>0</v>
      </c>
      <c r="CE113" s="186">
        <f xml:space="preserve"> 'FS Semi'!CE$65</f>
        <v>0</v>
      </c>
      <c r="CF113" s="186">
        <f xml:space="preserve"> 'FS Semi'!CF$65</f>
        <v>0</v>
      </c>
      <c r="CG113" s="186">
        <f xml:space="preserve"> 'FS Semi'!CG$65</f>
        <v>0</v>
      </c>
      <c r="CH113" s="186">
        <f xml:space="preserve"> 'FS Semi'!CH$65</f>
        <v>0</v>
      </c>
      <c r="CI113" s="186">
        <f xml:space="preserve"> 'FS Semi'!CI$65</f>
        <v>0</v>
      </c>
      <c r="CJ113" s="186">
        <f xml:space="preserve"> 'FS Semi'!CJ$65</f>
        <v>0</v>
      </c>
      <c r="CK113" s="186">
        <f xml:space="preserve"> 'FS Semi'!CK$65</f>
        <v>0</v>
      </c>
      <c r="CL113" s="186">
        <f xml:space="preserve"> 'FS Semi'!CL$65</f>
        <v>0</v>
      </c>
      <c r="CM113" s="186">
        <f xml:space="preserve"> 'FS Semi'!CM$65</f>
        <v>0</v>
      </c>
      <c r="CN113" s="186">
        <f xml:space="preserve"> 'FS Semi'!CN$65</f>
        <v>0</v>
      </c>
      <c r="CO113" s="186">
        <f xml:space="preserve"> 'FS Semi'!CO$65</f>
        <v>0</v>
      </c>
      <c r="CP113" s="186">
        <f xml:space="preserve"> 'FS Semi'!CP$65</f>
        <v>0</v>
      </c>
      <c r="CQ113" s="186">
        <f xml:space="preserve"> 'FS Semi'!CQ$65</f>
        <v>0</v>
      </c>
      <c r="CR113" s="186">
        <f xml:space="preserve"> 'FS Semi'!CR$65</f>
        <v>0</v>
      </c>
      <c r="CS113" s="186">
        <f xml:space="preserve"> 'FS Semi'!CS$65</f>
        <v>0</v>
      </c>
      <c r="CT113" s="186">
        <f xml:space="preserve"> 'FS Semi'!CT$65</f>
        <v>0</v>
      </c>
      <c r="CU113" s="186">
        <f xml:space="preserve"> 'FS Semi'!CU$65</f>
        <v>0</v>
      </c>
      <c r="CV113" s="186">
        <f xml:space="preserve"> 'FS Semi'!CV$65</f>
        <v>0</v>
      </c>
    </row>
    <row r="114" spans="1:100" outlineLevel="1" x14ac:dyDescent="0.2">
      <c r="A114" s="75"/>
      <c r="B114" s="639"/>
      <c r="C114" s="640"/>
      <c r="D114" s="641"/>
      <c r="E114" s="125" t="str">
        <f xml:space="preserve"> Time!E$218</f>
        <v>LLCR flag</v>
      </c>
      <c r="F114" s="125">
        <f xml:space="preserve"> Time!F$218</f>
        <v>0</v>
      </c>
      <c r="G114" s="125" t="str">
        <f xml:space="preserve"> Time!G$218</f>
        <v>flag</v>
      </c>
      <c r="H114" s="125">
        <f xml:space="preserve"> Time!H$218</f>
        <v>34</v>
      </c>
      <c r="I114" s="125">
        <f xml:space="preserve"> Time!I$218</f>
        <v>0</v>
      </c>
      <c r="J114" s="125">
        <f xml:space="preserve"> Time!J$218</f>
        <v>0</v>
      </c>
      <c r="K114" s="125">
        <f xml:space="preserve"> Time!K$218</f>
        <v>0</v>
      </c>
      <c r="L114" s="125">
        <f xml:space="preserve"> Time!L$218</f>
        <v>0</v>
      </c>
      <c r="M114" s="125">
        <f xml:space="preserve"> Time!M$218</f>
        <v>0</v>
      </c>
      <c r="N114" s="125">
        <f xml:space="preserve"> Time!N$218</f>
        <v>1</v>
      </c>
      <c r="O114" s="125">
        <f xml:space="preserve"> Time!O$218</f>
        <v>1</v>
      </c>
      <c r="P114" s="125">
        <f xml:space="preserve"> Time!P$218</f>
        <v>1</v>
      </c>
      <c r="Q114" s="125">
        <f xml:space="preserve"> Time!Q$218</f>
        <v>1</v>
      </c>
      <c r="R114" s="125">
        <f xml:space="preserve"> Time!R$218</f>
        <v>1</v>
      </c>
      <c r="S114" s="125">
        <f xml:space="preserve"> Time!S$218</f>
        <v>1</v>
      </c>
      <c r="T114" s="125">
        <f xml:space="preserve"> Time!T$218</f>
        <v>1</v>
      </c>
      <c r="U114" s="125">
        <f xml:space="preserve"> Time!U$218</f>
        <v>1</v>
      </c>
      <c r="V114" s="125">
        <f xml:space="preserve"> Time!V$218</f>
        <v>1</v>
      </c>
      <c r="W114" s="125">
        <f xml:space="preserve"> Time!W$218</f>
        <v>1</v>
      </c>
      <c r="X114" s="125">
        <f xml:space="preserve"> Time!X$218</f>
        <v>1</v>
      </c>
      <c r="Y114" s="125">
        <f xml:space="preserve"> Time!Y$218</f>
        <v>1</v>
      </c>
      <c r="Z114" s="125">
        <f xml:space="preserve"> Time!Z$218</f>
        <v>1</v>
      </c>
      <c r="AA114" s="125">
        <f xml:space="preserve"> Time!AA$218</f>
        <v>1</v>
      </c>
      <c r="AB114" s="125">
        <f xml:space="preserve"> Time!AB$218</f>
        <v>1</v>
      </c>
      <c r="AC114" s="125">
        <f xml:space="preserve"> Time!AC$218</f>
        <v>1</v>
      </c>
      <c r="AD114" s="125">
        <f xml:space="preserve"> Time!AD$218</f>
        <v>1</v>
      </c>
      <c r="AE114" s="125">
        <f xml:space="preserve"> Time!AE$218</f>
        <v>1</v>
      </c>
      <c r="AF114" s="125">
        <f xml:space="preserve"> Time!AF$218</f>
        <v>1</v>
      </c>
      <c r="AG114" s="125">
        <f xml:space="preserve"> Time!AG$218</f>
        <v>1</v>
      </c>
      <c r="AH114" s="125">
        <f xml:space="preserve"> Time!AH$218</f>
        <v>1</v>
      </c>
      <c r="AI114" s="125">
        <f xml:space="preserve"> Time!AI$218</f>
        <v>1</v>
      </c>
      <c r="AJ114" s="125">
        <f xml:space="preserve"> Time!AJ$218</f>
        <v>1</v>
      </c>
      <c r="AK114" s="125">
        <f xml:space="preserve"> Time!AK$218</f>
        <v>1</v>
      </c>
      <c r="AL114" s="125">
        <f xml:space="preserve"> Time!AL$218</f>
        <v>1</v>
      </c>
      <c r="AM114" s="125">
        <f xml:space="preserve"> Time!AM$218</f>
        <v>1</v>
      </c>
      <c r="AN114" s="125">
        <f xml:space="preserve"> Time!AN$218</f>
        <v>1</v>
      </c>
      <c r="AO114" s="125">
        <f xml:space="preserve"> Time!AO$218</f>
        <v>1</v>
      </c>
      <c r="AP114" s="125">
        <f xml:space="preserve"> Time!AP$218</f>
        <v>1</v>
      </c>
      <c r="AQ114" s="125">
        <f xml:space="preserve"> Time!AQ$218</f>
        <v>1</v>
      </c>
      <c r="AR114" s="125">
        <f xml:space="preserve"> Time!AR$218</f>
        <v>1</v>
      </c>
      <c r="AS114" s="125">
        <f xml:space="preserve"> Time!AS$218</f>
        <v>1</v>
      </c>
      <c r="AT114" s="125">
        <f xml:space="preserve"> Time!AT$218</f>
        <v>1</v>
      </c>
      <c r="AU114" s="125">
        <f xml:space="preserve"> Time!AU$218</f>
        <v>1</v>
      </c>
      <c r="AV114" s="125">
        <f xml:space="preserve"> Time!AV$218</f>
        <v>0</v>
      </c>
      <c r="AW114" s="125">
        <f xml:space="preserve"> Time!AW$218</f>
        <v>0</v>
      </c>
      <c r="AX114" s="125">
        <f xml:space="preserve"> Time!AX$218</f>
        <v>0</v>
      </c>
      <c r="AY114" s="125">
        <f xml:space="preserve"> Time!AY$218</f>
        <v>0</v>
      </c>
      <c r="AZ114" s="125">
        <f xml:space="preserve"> Time!AZ$218</f>
        <v>0</v>
      </c>
      <c r="BA114" s="125">
        <f xml:space="preserve"> Time!BA$218</f>
        <v>0</v>
      </c>
      <c r="BB114" s="125">
        <f xml:space="preserve"> Time!BB$218</f>
        <v>0</v>
      </c>
      <c r="BC114" s="125">
        <f xml:space="preserve"> Time!BC$218</f>
        <v>0</v>
      </c>
      <c r="BD114" s="125">
        <f xml:space="preserve"> Time!BD$218</f>
        <v>0</v>
      </c>
      <c r="BE114" s="125">
        <f xml:space="preserve"> Time!BE$218</f>
        <v>0</v>
      </c>
      <c r="BF114" s="125">
        <f xml:space="preserve"> Time!BF$218</f>
        <v>0</v>
      </c>
      <c r="BG114" s="125">
        <f xml:space="preserve"> Time!BG$218</f>
        <v>0</v>
      </c>
      <c r="BH114" s="125">
        <f xml:space="preserve"> Time!BH$218</f>
        <v>0</v>
      </c>
      <c r="BI114" s="125">
        <f xml:space="preserve"> Time!BI$218</f>
        <v>0</v>
      </c>
      <c r="BJ114" s="125">
        <f xml:space="preserve"> Time!BJ$218</f>
        <v>0</v>
      </c>
      <c r="BK114" s="125">
        <f xml:space="preserve"> Time!BK$218</f>
        <v>0</v>
      </c>
      <c r="BL114" s="125">
        <f xml:space="preserve"> Time!BL$218</f>
        <v>0</v>
      </c>
      <c r="BM114" s="125">
        <f xml:space="preserve"> Time!BM$218</f>
        <v>0</v>
      </c>
      <c r="BN114" s="125">
        <f xml:space="preserve"> Time!BN$218</f>
        <v>0</v>
      </c>
      <c r="BO114" s="125">
        <f xml:space="preserve"> Time!BO$218</f>
        <v>0</v>
      </c>
      <c r="BP114" s="125">
        <f xml:space="preserve"> Time!BP$218</f>
        <v>0</v>
      </c>
      <c r="BQ114" s="125">
        <f xml:space="preserve"> Time!BQ$218</f>
        <v>0</v>
      </c>
      <c r="BR114" s="125">
        <f xml:space="preserve"> Time!BR$218</f>
        <v>0</v>
      </c>
      <c r="BS114" s="125">
        <f xml:space="preserve"> Time!BS$218</f>
        <v>0</v>
      </c>
      <c r="BT114" s="125">
        <f xml:space="preserve"> Time!BT$218</f>
        <v>0</v>
      </c>
      <c r="BU114" s="125">
        <f xml:space="preserve"> Time!BU$218</f>
        <v>0</v>
      </c>
      <c r="BV114" s="125">
        <f xml:space="preserve"> Time!BV$218</f>
        <v>0</v>
      </c>
      <c r="BW114" s="125">
        <f xml:space="preserve"> Time!BW$218</f>
        <v>0</v>
      </c>
      <c r="BX114" s="125">
        <f xml:space="preserve"> Time!BX$218</f>
        <v>0</v>
      </c>
      <c r="BY114" s="125">
        <f xml:space="preserve"> Time!BY$218</f>
        <v>0</v>
      </c>
      <c r="BZ114" s="125">
        <f xml:space="preserve"> Time!BZ$218</f>
        <v>0</v>
      </c>
      <c r="CA114" s="125">
        <f xml:space="preserve"> Time!CA$218</f>
        <v>0</v>
      </c>
      <c r="CB114" s="125">
        <f xml:space="preserve"> Time!CB$218</f>
        <v>0</v>
      </c>
      <c r="CC114" s="125">
        <f xml:space="preserve"> Time!CC$218</f>
        <v>0</v>
      </c>
      <c r="CD114" s="125">
        <f xml:space="preserve"> Time!CD$218</f>
        <v>0</v>
      </c>
      <c r="CE114" s="125">
        <f xml:space="preserve"> Time!CE$218</f>
        <v>0</v>
      </c>
      <c r="CF114" s="125">
        <f xml:space="preserve"> Time!CF$218</f>
        <v>0</v>
      </c>
      <c r="CG114" s="125">
        <f xml:space="preserve"> Time!CG$218</f>
        <v>0</v>
      </c>
      <c r="CH114" s="125">
        <f xml:space="preserve"> Time!CH$218</f>
        <v>0</v>
      </c>
      <c r="CI114" s="125">
        <f xml:space="preserve"> Time!CI$218</f>
        <v>0</v>
      </c>
      <c r="CJ114" s="125">
        <f xml:space="preserve"> Time!CJ$218</f>
        <v>0</v>
      </c>
      <c r="CK114" s="125">
        <f xml:space="preserve"> Time!CK$218</f>
        <v>0</v>
      </c>
      <c r="CL114" s="125">
        <f xml:space="preserve"> Time!CL$218</f>
        <v>0</v>
      </c>
      <c r="CM114" s="125">
        <f xml:space="preserve"> Time!CM$218</f>
        <v>0</v>
      </c>
      <c r="CN114" s="125">
        <f xml:space="preserve"> Time!CN$218</f>
        <v>0</v>
      </c>
      <c r="CO114" s="125">
        <f xml:space="preserve"> Time!CO$218</f>
        <v>0</v>
      </c>
      <c r="CP114" s="125">
        <f xml:space="preserve"> Time!CP$218</f>
        <v>0</v>
      </c>
      <c r="CQ114" s="125">
        <f xml:space="preserve"> Time!CQ$218</f>
        <v>0</v>
      </c>
      <c r="CR114" s="125">
        <f xml:space="preserve"> Time!CR$218</f>
        <v>0</v>
      </c>
      <c r="CS114" s="125">
        <f xml:space="preserve"> Time!CS$218</f>
        <v>0</v>
      </c>
      <c r="CT114" s="125">
        <f xml:space="preserve"> Time!CT$218</f>
        <v>0</v>
      </c>
      <c r="CU114" s="125">
        <f xml:space="preserve"> Time!CU$218</f>
        <v>0</v>
      </c>
      <c r="CV114" s="125">
        <f xml:space="preserve"> Time!CV$218</f>
        <v>0</v>
      </c>
    </row>
    <row r="115" spans="1:100" s="44" customFormat="1" outlineLevel="1" x14ac:dyDescent="0.2">
      <c r="A115" s="33"/>
      <c r="B115" s="79"/>
      <c r="C115" s="561"/>
      <c r="D115" s="32"/>
      <c r="E115" s="32" t="s">
        <v>401</v>
      </c>
      <c r="F115" s="32"/>
      <c r="G115" s="32" t="str">
        <f xml:space="preserve"> SMU</f>
        <v>$ 000s</v>
      </c>
      <c r="H115" s="32"/>
      <c r="I115" s="32"/>
      <c r="J115" s="32">
        <f t="shared" ref="J115:AO115" si="57" xml:space="preserve"> (K113 + K115) / (1 + K112) * J114</f>
        <v>0</v>
      </c>
      <c r="K115" s="32">
        <f t="shared" si="57"/>
        <v>0</v>
      </c>
      <c r="L115" s="32">
        <f t="shared" si="57"/>
        <v>0</v>
      </c>
      <c r="M115" s="32">
        <f t="shared" si="57"/>
        <v>0</v>
      </c>
      <c r="N115" s="32">
        <f t="shared" si="57"/>
        <v>350545.78110401065</v>
      </c>
      <c r="O115" s="32">
        <f t="shared" si="57"/>
        <v>340757.41105794971</v>
      </c>
      <c r="P115" s="32">
        <f t="shared" si="57"/>
        <v>332671.835104962</v>
      </c>
      <c r="Q115" s="32">
        <f t="shared" si="57"/>
        <v>324488.9416248342</v>
      </c>
      <c r="R115" s="32">
        <f t="shared" si="57"/>
        <v>316154.36322700384</v>
      </c>
      <c r="S115" s="32">
        <f t="shared" si="57"/>
        <v>307712.77660643175</v>
      </c>
      <c r="T115" s="32">
        <f t="shared" si="57"/>
        <v>299119.248493833</v>
      </c>
      <c r="U115" s="32">
        <f t="shared" si="57"/>
        <v>290408.63988760021</v>
      </c>
      <c r="V115" s="32">
        <f t="shared" si="57"/>
        <v>281560.56404208334</v>
      </c>
      <c r="W115" s="32">
        <f t="shared" si="57"/>
        <v>272591.55182783923</v>
      </c>
      <c r="X115" s="32">
        <f t="shared" si="57"/>
        <v>263449.3779288191</v>
      </c>
      <c r="Y115" s="32">
        <f t="shared" si="57"/>
        <v>254438.10319150021</v>
      </c>
      <c r="Z115" s="32">
        <f t="shared" si="57"/>
        <v>245266.48062773931</v>
      </c>
      <c r="AA115" s="32">
        <f t="shared" si="57"/>
        <v>235946.11708885961</v>
      </c>
      <c r="AB115" s="32">
        <f t="shared" si="57"/>
        <v>226464.60756052562</v>
      </c>
      <c r="AC115" s="32">
        <f t="shared" si="57"/>
        <v>216822.00313522542</v>
      </c>
      <c r="AD115" s="32">
        <f t="shared" si="57"/>
        <v>207024.86521313008</v>
      </c>
      <c r="AE115" s="32">
        <f t="shared" si="57"/>
        <v>197066.81116897546</v>
      </c>
      <c r="AF115" s="32">
        <f t="shared" si="57"/>
        <v>186925.91223061775</v>
      </c>
      <c r="AG115" s="32">
        <f t="shared" si="57"/>
        <v>176597.6425327858</v>
      </c>
      <c r="AH115" s="32">
        <f t="shared" si="57"/>
        <v>166105.3820276552</v>
      </c>
      <c r="AI115" s="32">
        <f t="shared" si="57"/>
        <v>155615.79804127748</v>
      </c>
      <c r="AJ115" s="32">
        <f t="shared" si="57"/>
        <v>144948.95269443834</v>
      </c>
      <c r="AK115" s="32">
        <f t="shared" si="57"/>
        <v>134059.82300925782</v>
      </c>
      <c r="AL115" s="32">
        <f t="shared" si="57"/>
        <v>122989.87231552415</v>
      </c>
      <c r="AM115" s="32">
        <f t="shared" si="57"/>
        <v>111702.3975734394</v>
      </c>
      <c r="AN115" s="32">
        <f t="shared" si="57"/>
        <v>100214.66470162252</v>
      </c>
      <c r="AO115" s="32">
        <f t="shared" si="57"/>
        <v>88470.84439651297</v>
      </c>
      <c r="AP115" s="32">
        <f t="shared" ref="AP115:BU115" si="58" xml:space="preserve"> (AQ113 + AQ115) / (1 + AQ112) * AP114</f>
        <v>76543.782137469825</v>
      </c>
      <c r="AQ115" s="32">
        <f t="shared" si="58"/>
        <v>64342.542501870434</v>
      </c>
      <c r="AR115" s="32">
        <f t="shared" si="58"/>
        <v>51955.780874694377</v>
      </c>
      <c r="AS115" s="32">
        <f t="shared" si="58"/>
        <v>39275.913410575282</v>
      </c>
      <c r="AT115" s="32">
        <f t="shared" si="58"/>
        <v>26416.695713123125</v>
      </c>
      <c r="AU115" s="32">
        <f t="shared" si="58"/>
        <v>13301.012830726104</v>
      </c>
      <c r="AV115" s="32">
        <f t="shared" si="58"/>
        <v>0</v>
      </c>
      <c r="AW115" s="32">
        <f t="shared" si="58"/>
        <v>0</v>
      </c>
      <c r="AX115" s="32">
        <f t="shared" si="58"/>
        <v>0</v>
      </c>
      <c r="AY115" s="32">
        <f t="shared" si="58"/>
        <v>0</v>
      </c>
      <c r="AZ115" s="32">
        <f t="shared" si="58"/>
        <v>0</v>
      </c>
      <c r="BA115" s="32">
        <f t="shared" si="58"/>
        <v>0</v>
      </c>
      <c r="BB115" s="32">
        <f t="shared" si="58"/>
        <v>0</v>
      </c>
      <c r="BC115" s="32">
        <f t="shared" si="58"/>
        <v>0</v>
      </c>
      <c r="BD115" s="32">
        <f xml:space="preserve"> (BE113 + BE115) / (1 + BE112) * BD114</f>
        <v>0</v>
      </c>
      <c r="BE115" s="32">
        <f t="shared" si="58"/>
        <v>0</v>
      </c>
      <c r="BF115" s="32">
        <f t="shared" si="58"/>
        <v>0</v>
      </c>
      <c r="BG115" s="32">
        <f t="shared" si="58"/>
        <v>0</v>
      </c>
      <c r="BH115" s="32">
        <f t="shared" si="58"/>
        <v>0</v>
      </c>
      <c r="BI115" s="32">
        <f t="shared" si="58"/>
        <v>0</v>
      </c>
      <c r="BJ115" s="32">
        <f t="shared" si="58"/>
        <v>0</v>
      </c>
      <c r="BK115" s="32">
        <f t="shared" si="58"/>
        <v>0</v>
      </c>
      <c r="BL115" s="32">
        <f t="shared" si="58"/>
        <v>0</v>
      </c>
      <c r="BM115" s="32">
        <f t="shared" si="58"/>
        <v>0</v>
      </c>
      <c r="BN115" s="32">
        <f t="shared" si="58"/>
        <v>0</v>
      </c>
      <c r="BO115" s="32">
        <f t="shared" si="58"/>
        <v>0</v>
      </c>
      <c r="BP115" s="32">
        <f t="shared" si="58"/>
        <v>0</v>
      </c>
      <c r="BQ115" s="32">
        <f t="shared" si="58"/>
        <v>0</v>
      </c>
      <c r="BR115" s="32">
        <f t="shared" si="58"/>
        <v>0</v>
      </c>
      <c r="BS115" s="32">
        <f t="shared" si="58"/>
        <v>0</v>
      </c>
      <c r="BT115" s="32">
        <f t="shared" si="58"/>
        <v>0</v>
      </c>
      <c r="BU115" s="32">
        <f t="shared" si="58"/>
        <v>0</v>
      </c>
      <c r="BV115" s="32">
        <f t="shared" ref="BV115:CV115" si="59" xml:space="preserve"> (BW113 + BW115) / (1 + BW112) * BV114</f>
        <v>0</v>
      </c>
      <c r="BW115" s="32">
        <f t="shared" si="59"/>
        <v>0</v>
      </c>
      <c r="BX115" s="32">
        <f t="shared" si="59"/>
        <v>0</v>
      </c>
      <c r="BY115" s="32">
        <f t="shared" si="59"/>
        <v>0</v>
      </c>
      <c r="BZ115" s="32">
        <f t="shared" si="59"/>
        <v>0</v>
      </c>
      <c r="CA115" s="32">
        <f t="shared" si="59"/>
        <v>0</v>
      </c>
      <c r="CB115" s="32">
        <f t="shared" si="59"/>
        <v>0</v>
      </c>
      <c r="CC115" s="32">
        <f t="shared" si="59"/>
        <v>0</v>
      </c>
      <c r="CD115" s="32">
        <f t="shared" si="59"/>
        <v>0</v>
      </c>
      <c r="CE115" s="32">
        <f t="shared" si="59"/>
        <v>0</v>
      </c>
      <c r="CF115" s="32">
        <f t="shared" si="59"/>
        <v>0</v>
      </c>
      <c r="CG115" s="32">
        <f t="shared" si="59"/>
        <v>0</v>
      </c>
      <c r="CH115" s="32">
        <f t="shared" si="59"/>
        <v>0</v>
      </c>
      <c r="CI115" s="32">
        <f t="shared" si="59"/>
        <v>0</v>
      </c>
      <c r="CJ115" s="32">
        <f t="shared" si="59"/>
        <v>0</v>
      </c>
      <c r="CK115" s="32">
        <f t="shared" si="59"/>
        <v>0</v>
      </c>
      <c r="CL115" s="32">
        <f t="shared" si="59"/>
        <v>0</v>
      </c>
      <c r="CM115" s="32">
        <f t="shared" si="59"/>
        <v>0</v>
      </c>
      <c r="CN115" s="32">
        <f t="shared" si="59"/>
        <v>0</v>
      </c>
      <c r="CO115" s="32">
        <f t="shared" si="59"/>
        <v>0</v>
      </c>
      <c r="CP115" s="32">
        <f t="shared" si="59"/>
        <v>0</v>
      </c>
      <c r="CQ115" s="32">
        <f t="shared" si="59"/>
        <v>0</v>
      </c>
      <c r="CR115" s="32">
        <f t="shared" si="59"/>
        <v>0</v>
      </c>
      <c r="CS115" s="32">
        <f t="shared" si="59"/>
        <v>0</v>
      </c>
      <c r="CT115" s="32">
        <f t="shared" si="59"/>
        <v>0</v>
      </c>
      <c r="CU115" s="32">
        <f t="shared" si="59"/>
        <v>0</v>
      </c>
      <c r="CV115" s="32">
        <f t="shared" si="59"/>
        <v>0</v>
      </c>
    </row>
    <row r="116" spans="1:100" outlineLevel="1" x14ac:dyDescent="0.2">
      <c r="A116" s="405"/>
      <c r="B116" s="431"/>
      <c r="C116" s="564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K116" s="191"/>
      <c r="BL116" s="191"/>
      <c r="BM116" s="191"/>
      <c r="BN116" s="191"/>
      <c r="BO116" s="191"/>
      <c r="BP116" s="191"/>
      <c r="BQ116" s="191"/>
      <c r="BR116" s="191"/>
      <c r="BS116" s="191"/>
      <c r="BT116" s="191"/>
      <c r="BU116" s="191"/>
      <c r="BV116" s="191"/>
      <c r="BW116" s="191"/>
      <c r="BX116" s="191"/>
      <c r="BY116" s="191"/>
      <c r="BZ116" s="191"/>
      <c r="CA116" s="191"/>
      <c r="CB116" s="191"/>
      <c r="CC116" s="191"/>
      <c r="CD116" s="191"/>
      <c r="CE116" s="191"/>
      <c r="CF116" s="191"/>
      <c r="CG116" s="191"/>
      <c r="CH116" s="191"/>
      <c r="CI116" s="191"/>
      <c r="CJ116" s="191"/>
      <c r="CK116" s="191"/>
      <c r="CL116" s="191"/>
      <c r="CM116" s="191"/>
      <c r="CN116" s="191"/>
      <c r="CO116" s="191"/>
      <c r="CP116" s="191"/>
      <c r="CQ116" s="191"/>
      <c r="CR116" s="191"/>
      <c r="CS116" s="191"/>
      <c r="CT116" s="191"/>
      <c r="CU116" s="191"/>
      <c r="CV116" s="191"/>
    </row>
    <row r="117" spans="1:100" outlineLevel="1" x14ac:dyDescent="0.2">
      <c r="A117" s="33"/>
      <c r="B117" s="79"/>
      <c r="C117" s="561"/>
      <c r="D117" s="32"/>
      <c r="E117" s="32" t="str">
        <f t="shared" ref="E117:AJ117" si="60" xml:space="preserve"> E$115</f>
        <v>PV of LLCR cash flow</v>
      </c>
      <c r="F117" s="32">
        <f t="shared" si="60"/>
        <v>0</v>
      </c>
      <c r="G117" s="32" t="str">
        <f t="shared" si="60"/>
        <v>$ 000s</v>
      </c>
      <c r="H117" s="32">
        <f t="shared" si="60"/>
        <v>0</v>
      </c>
      <c r="I117" s="32">
        <f t="shared" si="60"/>
        <v>0</v>
      </c>
      <c r="J117" s="32">
        <f t="shared" si="60"/>
        <v>0</v>
      </c>
      <c r="K117" s="32">
        <f t="shared" si="60"/>
        <v>0</v>
      </c>
      <c r="L117" s="32">
        <f t="shared" si="60"/>
        <v>0</v>
      </c>
      <c r="M117" s="32">
        <f t="shared" si="60"/>
        <v>0</v>
      </c>
      <c r="N117" s="32">
        <f t="shared" si="60"/>
        <v>350545.78110401065</v>
      </c>
      <c r="O117" s="32">
        <f t="shared" si="60"/>
        <v>340757.41105794971</v>
      </c>
      <c r="P117" s="32">
        <f t="shared" si="60"/>
        <v>332671.835104962</v>
      </c>
      <c r="Q117" s="32">
        <f t="shared" si="60"/>
        <v>324488.9416248342</v>
      </c>
      <c r="R117" s="32">
        <f t="shared" si="60"/>
        <v>316154.36322700384</v>
      </c>
      <c r="S117" s="32">
        <f t="shared" si="60"/>
        <v>307712.77660643175</v>
      </c>
      <c r="T117" s="32">
        <f t="shared" si="60"/>
        <v>299119.248493833</v>
      </c>
      <c r="U117" s="32">
        <f t="shared" si="60"/>
        <v>290408.63988760021</v>
      </c>
      <c r="V117" s="32">
        <f t="shared" si="60"/>
        <v>281560.56404208334</v>
      </c>
      <c r="W117" s="32">
        <f t="shared" si="60"/>
        <v>272591.55182783923</v>
      </c>
      <c r="X117" s="32">
        <f t="shared" si="60"/>
        <v>263449.3779288191</v>
      </c>
      <c r="Y117" s="32">
        <f t="shared" si="60"/>
        <v>254438.10319150021</v>
      </c>
      <c r="Z117" s="32">
        <f t="shared" si="60"/>
        <v>245266.48062773931</v>
      </c>
      <c r="AA117" s="32">
        <f t="shared" si="60"/>
        <v>235946.11708885961</v>
      </c>
      <c r="AB117" s="32">
        <f t="shared" si="60"/>
        <v>226464.60756052562</v>
      </c>
      <c r="AC117" s="32">
        <f t="shared" si="60"/>
        <v>216822.00313522542</v>
      </c>
      <c r="AD117" s="32">
        <f t="shared" si="60"/>
        <v>207024.86521313008</v>
      </c>
      <c r="AE117" s="32">
        <f t="shared" si="60"/>
        <v>197066.81116897546</v>
      </c>
      <c r="AF117" s="32">
        <f t="shared" si="60"/>
        <v>186925.91223061775</v>
      </c>
      <c r="AG117" s="32">
        <f t="shared" si="60"/>
        <v>176597.6425327858</v>
      </c>
      <c r="AH117" s="32">
        <f t="shared" si="60"/>
        <v>166105.3820276552</v>
      </c>
      <c r="AI117" s="32">
        <f t="shared" si="60"/>
        <v>155615.79804127748</v>
      </c>
      <c r="AJ117" s="32">
        <f t="shared" si="60"/>
        <v>144948.95269443834</v>
      </c>
      <c r="AK117" s="32">
        <f t="shared" ref="AK117:BP117" si="61" xml:space="preserve"> AK$115</f>
        <v>134059.82300925782</v>
      </c>
      <c r="AL117" s="32">
        <f t="shared" si="61"/>
        <v>122989.87231552415</v>
      </c>
      <c r="AM117" s="32">
        <f t="shared" si="61"/>
        <v>111702.3975734394</v>
      </c>
      <c r="AN117" s="32">
        <f t="shared" si="61"/>
        <v>100214.66470162252</v>
      </c>
      <c r="AO117" s="32">
        <f t="shared" si="61"/>
        <v>88470.84439651297</v>
      </c>
      <c r="AP117" s="32">
        <f t="shared" si="61"/>
        <v>76543.782137469825</v>
      </c>
      <c r="AQ117" s="32">
        <f t="shared" si="61"/>
        <v>64342.542501870434</v>
      </c>
      <c r="AR117" s="32">
        <f t="shared" si="61"/>
        <v>51955.780874694377</v>
      </c>
      <c r="AS117" s="32">
        <f t="shared" si="61"/>
        <v>39275.913410575282</v>
      </c>
      <c r="AT117" s="32">
        <f t="shared" si="61"/>
        <v>26416.695713123125</v>
      </c>
      <c r="AU117" s="32">
        <f t="shared" si="61"/>
        <v>13301.012830726104</v>
      </c>
      <c r="AV117" s="32">
        <f t="shared" si="61"/>
        <v>0</v>
      </c>
      <c r="AW117" s="32">
        <f t="shared" si="61"/>
        <v>0</v>
      </c>
      <c r="AX117" s="32">
        <f t="shared" si="61"/>
        <v>0</v>
      </c>
      <c r="AY117" s="32">
        <f t="shared" si="61"/>
        <v>0</v>
      </c>
      <c r="AZ117" s="32">
        <f t="shared" si="61"/>
        <v>0</v>
      </c>
      <c r="BA117" s="32">
        <f t="shared" si="61"/>
        <v>0</v>
      </c>
      <c r="BB117" s="32">
        <f t="shared" si="61"/>
        <v>0</v>
      </c>
      <c r="BC117" s="32">
        <f t="shared" si="61"/>
        <v>0</v>
      </c>
      <c r="BD117" s="32">
        <f t="shared" si="61"/>
        <v>0</v>
      </c>
      <c r="BE117" s="32">
        <f t="shared" si="61"/>
        <v>0</v>
      </c>
      <c r="BF117" s="32">
        <f t="shared" si="61"/>
        <v>0</v>
      </c>
      <c r="BG117" s="32">
        <f t="shared" si="61"/>
        <v>0</v>
      </c>
      <c r="BH117" s="32">
        <f t="shared" si="61"/>
        <v>0</v>
      </c>
      <c r="BI117" s="32">
        <f t="shared" si="61"/>
        <v>0</v>
      </c>
      <c r="BJ117" s="32">
        <f t="shared" si="61"/>
        <v>0</v>
      </c>
      <c r="BK117" s="32">
        <f t="shared" si="61"/>
        <v>0</v>
      </c>
      <c r="BL117" s="32">
        <f t="shared" si="61"/>
        <v>0</v>
      </c>
      <c r="BM117" s="32">
        <f t="shared" si="61"/>
        <v>0</v>
      </c>
      <c r="BN117" s="32">
        <f t="shared" si="61"/>
        <v>0</v>
      </c>
      <c r="BO117" s="32">
        <f t="shared" si="61"/>
        <v>0</v>
      </c>
      <c r="BP117" s="32">
        <f t="shared" si="61"/>
        <v>0</v>
      </c>
      <c r="BQ117" s="32">
        <f t="shared" ref="BQ117:CV117" si="62" xml:space="preserve"> BQ$115</f>
        <v>0</v>
      </c>
      <c r="BR117" s="32">
        <f t="shared" si="62"/>
        <v>0</v>
      </c>
      <c r="BS117" s="32">
        <f t="shared" si="62"/>
        <v>0</v>
      </c>
      <c r="BT117" s="32">
        <f t="shared" si="62"/>
        <v>0</v>
      </c>
      <c r="BU117" s="32">
        <f t="shared" si="62"/>
        <v>0</v>
      </c>
      <c r="BV117" s="32">
        <f t="shared" si="62"/>
        <v>0</v>
      </c>
      <c r="BW117" s="32">
        <f t="shared" si="62"/>
        <v>0</v>
      </c>
      <c r="BX117" s="32">
        <f t="shared" si="62"/>
        <v>0</v>
      </c>
      <c r="BY117" s="32">
        <f t="shared" si="62"/>
        <v>0</v>
      </c>
      <c r="BZ117" s="32">
        <f t="shared" si="62"/>
        <v>0</v>
      </c>
      <c r="CA117" s="32">
        <f t="shared" si="62"/>
        <v>0</v>
      </c>
      <c r="CB117" s="32">
        <f t="shared" si="62"/>
        <v>0</v>
      </c>
      <c r="CC117" s="32">
        <f t="shared" si="62"/>
        <v>0</v>
      </c>
      <c r="CD117" s="32">
        <f t="shared" si="62"/>
        <v>0</v>
      </c>
      <c r="CE117" s="32">
        <f t="shared" si="62"/>
        <v>0</v>
      </c>
      <c r="CF117" s="32">
        <f t="shared" si="62"/>
        <v>0</v>
      </c>
      <c r="CG117" s="32">
        <f t="shared" si="62"/>
        <v>0</v>
      </c>
      <c r="CH117" s="32">
        <f t="shared" si="62"/>
        <v>0</v>
      </c>
      <c r="CI117" s="32">
        <f t="shared" si="62"/>
        <v>0</v>
      </c>
      <c r="CJ117" s="32">
        <f t="shared" si="62"/>
        <v>0</v>
      </c>
      <c r="CK117" s="32">
        <f t="shared" si="62"/>
        <v>0</v>
      </c>
      <c r="CL117" s="32">
        <f t="shared" si="62"/>
        <v>0</v>
      </c>
      <c r="CM117" s="32">
        <f t="shared" si="62"/>
        <v>0</v>
      </c>
      <c r="CN117" s="32">
        <f t="shared" si="62"/>
        <v>0</v>
      </c>
      <c r="CO117" s="32">
        <f t="shared" si="62"/>
        <v>0</v>
      </c>
      <c r="CP117" s="32">
        <f t="shared" si="62"/>
        <v>0</v>
      </c>
      <c r="CQ117" s="32">
        <f t="shared" si="62"/>
        <v>0</v>
      </c>
      <c r="CR117" s="32">
        <f t="shared" si="62"/>
        <v>0</v>
      </c>
      <c r="CS117" s="32">
        <f t="shared" si="62"/>
        <v>0</v>
      </c>
      <c r="CT117" s="32">
        <f t="shared" si="62"/>
        <v>0</v>
      </c>
      <c r="CU117" s="32">
        <f t="shared" si="62"/>
        <v>0</v>
      </c>
      <c r="CV117" s="32">
        <f t="shared" si="62"/>
        <v>0</v>
      </c>
    </row>
    <row r="118" spans="1:100" outlineLevel="1" x14ac:dyDescent="0.2">
      <c r="A118" s="75"/>
      <c r="B118" s="639"/>
      <c r="C118" s="640"/>
      <c r="D118" s="641"/>
      <c r="E118" s="125" t="str">
        <f xml:space="preserve"> Debt!E$190</f>
        <v>Senior debt balance - T1</v>
      </c>
      <c r="F118" s="125">
        <f xml:space="preserve"> Debt!F$190</f>
        <v>0</v>
      </c>
      <c r="G118" s="125" t="str">
        <f xml:space="preserve"> Debt!G$190</f>
        <v>$ 000s</v>
      </c>
      <c r="H118" s="125">
        <f xml:space="preserve"> Debt!H$190</f>
        <v>0</v>
      </c>
      <c r="I118" s="125">
        <f xml:space="preserve"> Debt!I$190</f>
        <v>0</v>
      </c>
      <c r="J118" s="125">
        <f xml:space="preserve"> Debt!J$190</f>
        <v>0</v>
      </c>
      <c r="K118" s="125">
        <f xml:space="preserve"> Debt!K$190</f>
        <v>12084.251893640236</v>
      </c>
      <c r="L118" s="125">
        <f xml:space="preserve"> Debt!L$190</f>
        <v>48641.086087745876</v>
      </c>
      <c r="M118" s="125">
        <f xml:space="preserve"> Debt!M$190</f>
        <v>85848.029919746245</v>
      </c>
      <c r="N118" s="125">
        <f xml:space="preserve"> Debt!N$190</f>
        <v>125194.92613015344</v>
      </c>
      <c r="O118" s="125">
        <f xml:space="preserve"> Debt!O$190</f>
        <v>122307.36969156924</v>
      </c>
      <c r="P118" s="125">
        <f xml:space="preserve"> Debt!P$190</f>
        <v>119922.1352876555</v>
      </c>
      <c r="Q118" s="125">
        <f xml:space="preserve"> Debt!Q$190</f>
        <v>117508.19233590935</v>
      </c>
      <c r="R118" s="125">
        <f xml:space="preserve"> Debt!R$190</f>
        <v>115049.50252800655</v>
      </c>
      <c r="S118" s="125">
        <f xml:space="preserve"> Debt!S$190</f>
        <v>112559.24542947744</v>
      </c>
      <c r="T118" s="125">
        <f xml:space="preserve"> Debt!T$190</f>
        <v>110024.16578572989</v>
      </c>
      <c r="U118" s="125">
        <f xml:space="preserve"> Debt!U$190</f>
        <v>107454.54754436042</v>
      </c>
      <c r="V118" s="125">
        <f xml:space="preserve"> Debt!V$190</f>
        <v>104844.37664323812</v>
      </c>
      <c r="W118" s="125">
        <f xml:space="preserve"> Debt!W$190</f>
        <v>102198.52966645258</v>
      </c>
      <c r="X118" s="125">
        <f xml:space="preserve"> Debt!X$190</f>
        <v>99501.600215346058</v>
      </c>
      <c r="Y118" s="125">
        <f xml:space="preserve"> Debt!Y$190</f>
        <v>96843.285838745331</v>
      </c>
      <c r="Z118" s="125">
        <f xml:space="preserve"> Debt!Z$190</f>
        <v>94137.669059260574</v>
      </c>
      <c r="AA118" s="125">
        <f xml:space="preserve"> Debt!AA$190</f>
        <v>91388.173880573551</v>
      </c>
      <c r="AB118" s="125">
        <f xml:space="preserve"> Debt!AB$190</f>
        <v>88591.140842060806</v>
      </c>
      <c r="AC118" s="125">
        <f xml:space="preserve"> Debt!AC$190</f>
        <v>85746.585013341115</v>
      </c>
      <c r="AD118" s="125">
        <f xml:space="preserve"> Debt!AD$190</f>
        <v>82856.442001167306</v>
      </c>
      <c r="AE118" s="125">
        <f xml:space="preserve"> Debt!AE$190</f>
        <v>79918.828937485043</v>
      </c>
      <c r="AF118" s="125">
        <f xml:space="preserve"> Debt!AF$190</f>
        <v>76927.27686561922</v>
      </c>
      <c r="AG118" s="125">
        <f xml:space="preserve"> Debt!AG$190</f>
        <v>73880.450658089481</v>
      </c>
      <c r="AH118" s="125">
        <f xml:space="preserve"> Debt!AH$190</f>
        <v>70785.247373619</v>
      </c>
      <c r="AI118" s="125">
        <f xml:space="preserve"> Debt!AI$190</f>
        <v>67690.833646661864</v>
      </c>
      <c r="AJ118" s="125">
        <f xml:space="preserve"> Debt!AJ$190</f>
        <v>64544.128046861137</v>
      </c>
      <c r="AK118" s="125">
        <f xml:space="preserve"> Debt!AK$190</f>
        <v>61331.848850567236</v>
      </c>
      <c r="AL118" s="125">
        <f xml:space="preserve"> Debt!AL$190</f>
        <v>58066.22768944627</v>
      </c>
      <c r="AM118" s="125">
        <f xml:space="preserve"> Debt!AM$190</f>
        <v>54736.43721186708</v>
      </c>
      <c r="AN118" s="125">
        <f xml:space="preserve"> Debt!AN$190</f>
        <v>51347.570845042952</v>
      </c>
      <c r="AO118" s="125">
        <f xml:space="preserve"> Debt!AO$190</f>
        <v>47883.159012851975</v>
      </c>
      <c r="AP118" s="125">
        <f xml:space="preserve"> Debt!AP$190</f>
        <v>44364.691041537037</v>
      </c>
      <c r="AQ118" s="125">
        <f xml:space="preserve"> Debt!AQ$190</f>
        <v>40765.341095443495</v>
      </c>
      <c r="AR118" s="125">
        <f xml:space="preserve"> Debt!AR$190</f>
        <v>37111.262402800712</v>
      </c>
      <c r="AS118" s="125">
        <f xml:space="preserve"> Debt!AS$190</f>
        <v>28054.211954517719</v>
      </c>
      <c r="AT118" s="125">
        <f xml:space="preserve"> Debt!AT$190</f>
        <v>18869.053669515644</v>
      </c>
      <c r="AU118" s="125">
        <f xml:space="preserve"> Debt!AU$190</f>
        <v>9500.7049074522929</v>
      </c>
      <c r="AV118" s="125">
        <f xml:space="preserve"> Debt!AV$190</f>
        <v>-2.5461520346652833E-2</v>
      </c>
      <c r="AW118" s="125">
        <f xml:space="preserve"> Debt!AW$190</f>
        <v>-2.5461520346652833E-2</v>
      </c>
      <c r="AX118" s="125">
        <f xml:space="preserve"> Debt!AX$190</f>
        <v>-2.5461520346652833E-2</v>
      </c>
      <c r="AY118" s="125">
        <f xml:space="preserve"> Debt!AY$190</f>
        <v>-2.5461520346652833E-2</v>
      </c>
      <c r="AZ118" s="125">
        <f xml:space="preserve"> Debt!AZ$190</f>
        <v>-2.5461520346652833E-2</v>
      </c>
      <c r="BA118" s="125">
        <f xml:space="preserve"> Debt!BA$190</f>
        <v>-2.5461520346652833E-2</v>
      </c>
      <c r="BB118" s="125">
        <f xml:space="preserve"> Debt!BB$190</f>
        <v>-2.5461520346652833E-2</v>
      </c>
      <c r="BC118" s="125">
        <f xml:space="preserve"> Debt!BC$190</f>
        <v>-2.5461520346652833E-2</v>
      </c>
      <c r="BD118" s="125">
        <f xml:space="preserve"> Debt!BD$190</f>
        <v>-2.5461520346652833E-2</v>
      </c>
      <c r="BE118" s="125">
        <f xml:space="preserve"> Debt!BE$190</f>
        <v>-2.5461520346652833E-2</v>
      </c>
      <c r="BF118" s="125">
        <f xml:space="preserve"> Debt!BF$190</f>
        <v>-2.5461520346652833E-2</v>
      </c>
      <c r="BG118" s="125">
        <f xml:space="preserve"> Debt!BG$190</f>
        <v>-2.5461520346652833E-2</v>
      </c>
      <c r="BH118" s="125">
        <f xml:space="preserve"> Debt!BH$190</f>
        <v>-2.5461520346652833E-2</v>
      </c>
      <c r="BI118" s="125">
        <f xml:space="preserve"> Debt!BI$190</f>
        <v>-2.5461520346652833E-2</v>
      </c>
      <c r="BJ118" s="125">
        <f xml:space="preserve"> Debt!BJ$190</f>
        <v>-2.5461520346652833E-2</v>
      </c>
      <c r="BK118" s="125">
        <f xml:space="preserve"> Debt!BK$190</f>
        <v>-2.5461520346652833E-2</v>
      </c>
      <c r="BL118" s="125">
        <f xml:space="preserve"> Debt!BL$190</f>
        <v>-2.5461520346652833E-2</v>
      </c>
      <c r="BM118" s="125">
        <f xml:space="preserve"> Debt!BM$190</f>
        <v>-2.5461520346652833E-2</v>
      </c>
      <c r="BN118" s="125">
        <f xml:space="preserve"> Debt!BN$190</f>
        <v>-2.5461520346652833E-2</v>
      </c>
      <c r="BO118" s="125">
        <f xml:space="preserve"> Debt!BO$190</f>
        <v>-2.5461520346652833E-2</v>
      </c>
      <c r="BP118" s="125">
        <f xml:space="preserve"> Debt!BP$190</f>
        <v>-2.5461520346652833E-2</v>
      </c>
      <c r="BQ118" s="125">
        <f xml:space="preserve"> Debt!BQ$190</f>
        <v>-2.5461520346652833E-2</v>
      </c>
      <c r="BR118" s="125">
        <f xml:space="preserve"> Debt!BR$190</f>
        <v>-2.5461520346652833E-2</v>
      </c>
      <c r="BS118" s="125">
        <f xml:space="preserve"> Debt!BS$190</f>
        <v>-2.5461520346652833E-2</v>
      </c>
      <c r="BT118" s="125">
        <f xml:space="preserve"> Debt!BT$190</f>
        <v>-2.5461520346652833E-2</v>
      </c>
      <c r="BU118" s="125">
        <f xml:space="preserve"> Debt!BU$190</f>
        <v>-2.5461520346652833E-2</v>
      </c>
      <c r="BV118" s="125">
        <f xml:space="preserve"> Debt!BV$190</f>
        <v>-2.5461520346652833E-2</v>
      </c>
      <c r="BW118" s="125">
        <f xml:space="preserve"> Debt!BW$190</f>
        <v>-2.5461520346652833E-2</v>
      </c>
      <c r="BX118" s="125">
        <f xml:space="preserve"> Debt!BX$190</f>
        <v>-2.5461520346652833E-2</v>
      </c>
      <c r="BY118" s="125">
        <f xml:space="preserve"> Debt!BY$190</f>
        <v>-2.5461520346652833E-2</v>
      </c>
      <c r="BZ118" s="125">
        <f xml:space="preserve"> Debt!BZ$190</f>
        <v>-2.5461520346652833E-2</v>
      </c>
      <c r="CA118" s="125">
        <f xml:space="preserve"> Debt!CA$190</f>
        <v>-2.5461520346652833E-2</v>
      </c>
      <c r="CB118" s="125">
        <f xml:space="preserve"> Debt!CB$190</f>
        <v>-2.5461520346652833E-2</v>
      </c>
      <c r="CC118" s="125">
        <f xml:space="preserve"> Debt!CC$190</f>
        <v>-2.5461520346652833E-2</v>
      </c>
      <c r="CD118" s="125">
        <f xml:space="preserve"> Debt!CD$190</f>
        <v>-2.5461520346652833E-2</v>
      </c>
      <c r="CE118" s="125">
        <f xml:space="preserve"> Debt!CE$190</f>
        <v>-2.5461520346652833E-2</v>
      </c>
      <c r="CF118" s="125">
        <f xml:space="preserve"> Debt!CF$190</f>
        <v>-2.5461520346652833E-2</v>
      </c>
      <c r="CG118" s="125">
        <f xml:space="preserve"> Debt!CG$190</f>
        <v>-2.5461520346652833E-2</v>
      </c>
      <c r="CH118" s="125">
        <f xml:space="preserve"> Debt!CH$190</f>
        <v>-2.5461520346652833E-2</v>
      </c>
      <c r="CI118" s="125">
        <f xml:space="preserve"> Debt!CI$190</f>
        <v>-2.5461520346652833E-2</v>
      </c>
      <c r="CJ118" s="125">
        <f xml:space="preserve"> Debt!CJ$190</f>
        <v>-2.5461520346652833E-2</v>
      </c>
      <c r="CK118" s="125">
        <f xml:space="preserve"> Debt!CK$190</f>
        <v>-2.5461520346652833E-2</v>
      </c>
      <c r="CL118" s="125">
        <f xml:space="preserve"> Debt!CL$190</f>
        <v>-2.5461520346652833E-2</v>
      </c>
      <c r="CM118" s="125">
        <f xml:space="preserve"> Debt!CM$190</f>
        <v>-2.5461520346652833E-2</v>
      </c>
      <c r="CN118" s="125">
        <f xml:space="preserve"> Debt!CN$190</f>
        <v>-2.5461520346652833E-2</v>
      </c>
      <c r="CO118" s="125">
        <f xml:space="preserve"> Debt!CO$190</f>
        <v>-2.5461520346652833E-2</v>
      </c>
      <c r="CP118" s="125">
        <f xml:space="preserve"> Debt!CP$190</f>
        <v>-2.5461520346652833E-2</v>
      </c>
      <c r="CQ118" s="125">
        <f xml:space="preserve"> Debt!CQ$190</f>
        <v>-2.5461520346652833E-2</v>
      </c>
      <c r="CR118" s="125">
        <f xml:space="preserve"> Debt!CR$190</f>
        <v>-2.5461520346652833E-2</v>
      </c>
      <c r="CS118" s="125">
        <f xml:space="preserve"> Debt!CS$190</f>
        <v>-2.5461520346652833E-2</v>
      </c>
      <c r="CT118" s="125">
        <f xml:space="preserve"> Debt!CT$190</f>
        <v>-2.5461520346652833E-2</v>
      </c>
      <c r="CU118" s="125">
        <f xml:space="preserve"> Debt!CU$190</f>
        <v>-2.5461520346652833E-2</v>
      </c>
      <c r="CV118" s="125">
        <f xml:space="preserve"> Debt!CV$190</f>
        <v>-2.5461520346652833E-2</v>
      </c>
    </row>
    <row r="119" spans="1:100" outlineLevel="1" x14ac:dyDescent="0.2">
      <c r="A119" s="75"/>
      <c r="B119" s="639"/>
      <c r="C119" s="640"/>
      <c r="D119" s="641"/>
      <c r="E119" s="125" t="str">
        <f xml:space="preserve"> Debt!E$302</f>
        <v>Senior debt balance - T2</v>
      </c>
      <c r="F119" s="125">
        <f xml:space="preserve"> Debt!F$302</f>
        <v>0</v>
      </c>
      <c r="G119" s="125" t="str">
        <f xml:space="preserve"> Debt!G$302</f>
        <v>$ 000s</v>
      </c>
      <c r="H119" s="125">
        <f xml:space="preserve"> Debt!H$302</f>
        <v>0</v>
      </c>
      <c r="I119" s="125">
        <f xml:space="preserve"> Debt!I$302</f>
        <v>0</v>
      </c>
      <c r="J119" s="125">
        <f xml:space="preserve"> Debt!J$302</f>
        <v>0</v>
      </c>
      <c r="K119" s="125">
        <f xml:space="preserve"> Debt!K$302</f>
        <v>12084.251893640236</v>
      </c>
      <c r="L119" s="125">
        <f xml:space="preserve"> Debt!L$302</f>
        <v>48641.086087745876</v>
      </c>
      <c r="M119" s="125">
        <f xml:space="preserve"> Debt!M$302</f>
        <v>85848.029919746245</v>
      </c>
      <c r="N119" s="125">
        <f xml:space="preserve"> Debt!N$302</f>
        <v>125194.92613015344</v>
      </c>
      <c r="O119" s="125">
        <f xml:space="preserve"> Debt!O$302</f>
        <v>121090.7892959798</v>
      </c>
      <c r="P119" s="125">
        <f xml:space="preserve"> Debt!P$302</f>
        <v>117700.61196665274</v>
      </c>
      <c r="Q119" s="125">
        <f xml:space="preserve"> Debt!Q$302</f>
        <v>114269.63065266921</v>
      </c>
      <c r="R119" s="125">
        <f xml:space="preserve"> Debt!R$302</f>
        <v>110775.04981276403</v>
      </c>
      <c r="S119" s="125">
        <f xml:space="preserve"> Debt!S$302</f>
        <v>107235.60180472895</v>
      </c>
      <c r="T119" s="125">
        <f xml:space="preserve"> Debt!T$302</f>
        <v>103632.44669252292</v>
      </c>
      <c r="U119" s="125">
        <f xml:space="preserve"> Debt!U$302</f>
        <v>99980.201239152753</v>
      </c>
      <c r="V119" s="125">
        <f xml:space="preserve"> Debt!V$302</f>
        <v>96270.31754800085</v>
      </c>
      <c r="W119" s="125">
        <f xml:space="preserve"> Debt!W$302</f>
        <v>92509.726797318668</v>
      </c>
      <c r="X119" s="125">
        <f xml:space="preserve"> Debt!X$302</f>
        <v>88676.531590619605</v>
      </c>
      <c r="Y119" s="125">
        <f xml:space="preserve"> Debt!Y$302</f>
        <v>84898.220696315591</v>
      </c>
      <c r="Z119" s="125">
        <f xml:space="preserve"> Debt!Z$302</f>
        <v>81052.678030737021</v>
      </c>
      <c r="AA119" s="125">
        <f xml:space="preserve"> Debt!AA$302</f>
        <v>77144.770193006567</v>
      </c>
      <c r="AB119" s="125">
        <f xml:space="preserve"> Debt!AB$302</f>
        <v>73169.295924739374</v>
      </c>
      <c r="AC119" s="125">
        <f xml:space="preserve"> Debt!AC$302</f>
        <v>69126.276644660495</v>
      </c>
      <c r="AD119" s="125">
        <f xml:space="preserve"> Debt!AD$302</f>
        <v>65018.4634660866</v>
      </c>
      <c r="AE119" s="125">
        <f xml:space="preserve"> Debt!AE$302</f>
        <v>60843.180234178777</v>
      </c>
      <c r="AF119" s="125">
        <f xml:space="preserve"> Debt!AF$302</f>
        <v>56591.232502375169</v>
      </c>
      <c r="AG119" s="125">
        <f xml:space="preserve"> Debt!AG$302</f>
        <v>52260.722629543205</v>
      </c>
      <c r="AH119" s="125">
        <f xml:space="preserve"> Debt!AH$302</f>
        <v>47861.453531523759</v>
      </c>
      <c r="AI119" s="125">
        <f xml:space="preserve"> Debt!AI$302</f>
        <v>43463.30664605397</v>
      </c>
      <c r="AJ119" s="125">
        <f xml:space="preserve"> Debt!AJ$302</f>
        <v>38990.836364304349</v>
      </c>
      <c r="AK119" s="125">
        <f xml:space="preserve"> Debt!AK$302</f>
        <v>34425.165129277833</v>
      </c>
      <c r="AL119" s="125">
        <f xml:space="preserve"> Debt!AL$302</f>
        <v>29783.677983009326</v>
      </c>
      <c r="AM119" s="125">
        <f xml:space="preserve"> Debt!AM$302</f>
        <v>25050.985812388433</v>
      </c>
      <c r="AN119" s="125">
        <f xml:space="preserve"> Debt!AN$302</f>
        <v>20234.327998768505</v>
      </c>
      <c r="AO119" s="125">
        <f xml:space="preserve"> Debt!AO$302</f>
        <v>15310.296032067479</v>
      </c>
      <c r="AP119" s="125">
        <f xml:space="preserve"> Debt!AP$302</f>
        <v>10309.43308512052</v>
      </c>
      <c r="AQ119" s="125">
        <f xml:space="preserve"> Debt!AQ$302</f>
        <v>5193.6111065598579</v>
      </c>
      <c r="AR119" s="125">
        <f xml:space="preserve"> Debt!AR$302</f>
        <v>2.1585050071735168E-3</v>
      </c>
      <c r="AS119" s="125">
        <f xml:space="preserve"> Debt!AS$302</f>
        <v>2.1585050071735168E-3</v>
      </c>
      <c r="AT119" s="125">
        <f xml:space="preserve"> Debt!AT$302</f>
        <v>2.1585050071735168E-3</v>
      </c>
      <c r="AU119" s="125">
        <f xml:space="preserve"> Debt!AU$302</f>
        <v>2.1585050071735168E-3</v>
      </c>
      <c r="AV119" s="125">
        <f xml:space="preserve"> Debt!AV$302</f>
        <v>2.1585050071735168E-3</v>
      </c>
      <c r="AW119" s="125">
        <f xml:space="preserve"> Debt!AW$302</f>
        <v>2.1585050071735168E-3</v>
      </c>
      <c r="AX119" s="125">
        <f xml:space="preserve"> Debt!AX$302</f>
        <v>2.1585050071735168E-3</v>
      </c>
      <c r="AY119" s="125">
        <f xml:space="preserve"> Debt!AY$302</f>
        <v>2.1585050071735168E-3</v>
      </c>
      <c r="AZ119" s="125">
        <f xml:space="preserve"> Debt!AZ$302</f>
        <v>2.1585050071735168E-3</v>
      </c>
      <c r="BA119" s="125">
        <f xml:space="preserve"> Debt!BA$302</f>
        <v>2.1585050071735168E-3</v>
      </c>
      <c r="BB119" s="125">
        <f xml:space="preserve"> Debt!BB$302</f>
        <v>2.1585050071735168E-3</v>
      </c>
      <c r="BC119" s="125">
        <f xml:space="preserve"> Debt!BC$302</f>
        <v>2.1585050071735168E-3</v>
      </c>
      <c r="BD119" s="125">
        <f xml:space="preserve"> Debt!BD$302</f>
        <v>2.1585050071735168E-3</v>
      </c>
      <c r="BE119" s="125">
        <f xml:space="preserve"> Debt!BE$302</f>
        <v>2.1585050071735168E-3</v>
      </c>
      <c r="BF119" s="125">
        <f xml:space="preserve"> Debt!BF$302</f>
        <v>2.1585050071735168E-3</v>
      </c>
      <c r="BG119" s="125">
        <f xml:space="preserve"> Debt!BG$302</f>
        <v>2.1585050071735168E-3</v>
      </c>
      <c r="BH119" s="125">
        <f xml:space="preserve"> Debt!BH$302</f>
        <v>2.1585050071735168E-3</v>
      </c>
      <c r="BI119" s="125">
        <f xml:space="preserve"> Debt!BI$302</f>
        <v>2.1585050071735168E-3</v>
      </c>
      <c r="BJ119" s="125">
        <f xml:space="preserve"> Debt!BJ$302</f>
        <v>2.1585050071735168E-3</v>
      </c>
      <c r="BK119" s="125">
        <f xml:space="preserve"> Debt!BK$302</f>
        <v>2.1585050071735168E-3</v>
      </c>
      <c r="BL119" s="125">
        <f xml:space="preserve"> Debt!BL$302</f>
        <v>2.1585050071735168E-3</v>
      </c>
      <c r="BM119" s="125">
        <f xml:space="preserve"> Debt!BM$302</f>
        <v>2.1585050071735168E-3</v>
      </c>
      <c r="BN119" s="125">
        <f xml:space="preserve"> Debt!BN$302</f>
        <v>2.1585050071735168E-3</v>
      </c>
      <c r="BO119" s="125">
        <f xml:space="preserve"> Debt!BO$302</f>
        <v>2.1585050071735168E-3</v>
      </c>
      <c r="BP119" s="125">
        <f xml:space="preserve"> Debt!BP$302</f>
        <v>2.1585050071735168E-3</v>
      </c>
      <c r="BQ119" s="125">
        <f xml:space="preserve"> Debt!BQ$302</f>
        <v>2.1585050071735168E-3</v>
      </c>
      <c r="BR119" s="125">
        <f xml:space="preserve"> Debt!BR$302</f>
        <v>2.1585050071735168E-3</v>
      </c>
      <c r="BS119" s="125">
        <f xml:space="preserve"> Debt!BS$302</f>
        <v>2.1585050071735168E-3</v>
      </c>
      <c r="BT119" s="125">
        <f xml:space="preserve"> Debt!BT$302</f>
        <v>2.1585050071735168E-3</v>
      </c>
      <c r="BU119" s="125">
        <f xml:space="preserve"> Debt!BU$302</f>
        <v>2.1585050071735168E-3</v>
      </c>
      <c r="BV119" s="125">
        <f xml:space="preserve"> Debt!BV$302</f>
        <v>2.1585050071735168E-3</v>
      </c>
      <c r="BW119" s="125">
        <f xml:space="preserve"> Debt!BW$302</f>
        <v>2.1585050071735168E-3</v>
      </c>
      <c r="BX119" s="125">
        <f xml:space="preserve"> Debt!BX$302</f>
        <v>2.1585050071735168E-3</v>
      </c>
      <c r="BY119" s="125">
        <f xml:space="preserve"> Debt!BY$302</f>
        <v>2.1585050071735168E-3</v>
      </c>
      <c r="BZ119" s="125">
        <f xml:space="preserve"> Debt!BZ$302</f>
        <v>2.1585050071735168E-3</v>
      </c>
      <c r="CA119" s="125">
        <f xml:space="preserve"> Debt!CA$302</f>
        <v>2.1585050071735168E-3</v>
      </c>
      <c r="CB119" s="125">
        <f xml:space="preserve"> Debt!CB$302</f>
        <v>2.1585050071735168E-3</v>
      </c>
      <c r="CC119" s="125">
        <f xml:space="preserve"> Debt!CC$302</f>
        <v>2.1585050071735168E-3</v>
      </c>
      <c r="CD119" s="125">
        <f xml:space="preserve"> Debt!CD$302</f>
        <v>2.1585050071735168E-3</v>
      </c>
      <c r="CE119" s="125">
        <f xml:space="preserve"> Debt!CE$302</f>
        <v>2.1585050071735168E-3</v>
      </c>
      <c r="CF119" s="125">
        <f xml:space="preserve"> Debt!CF$302</f>
        <v>2.1585050071735168E-3</v>
      </c>
      <c r="CG119" s="125">
        <f xml:space="preserve"> Debt!CG$302</f>
        <v>2.1585050071735168E-3</v>
      </c>
      <c r="CH119" s="125">
        <f xml:space="preserve"> Debt!CH$302</f>
        <v>2.1585050071735168E-3</v>
      </c>
      <c r="CI119" s="125">
        <f xml:space="preserve"> Debt!CI$302</f>
        <v>2.1585050071735168E-3</v>
      </c>
      <c r="CJ119" s="125">
        <f xml:space="preserve"> Debt!CJ$302</f>
        <v>2.1585050071735168E-3</v>
      </c>
      <c r="CK119" s="125">
        <f xml:space="preserve"> Debt!CK$302</f>
        <v>2.1585050071735168E-3</v>
      </c>
      <c r="CL119" s="125">
        <f xml:space="preserve"> Debt!CL$302</f>
        <v>2.1585050071735168E-3</v>
      </c>
      <c r="CM119" s="125">
        <f xml:space="preserve"> Debt!CM$302</f>
        <v>2.1585050071735168E-3</v>
      </c>
      <c r="CN119" s="125">
        <f xml:space="preserve"> Debt!CN$302</f>
        <v>2.1585050071735168E-3</v>
      </c>
      <c r="CO119" s="125">
        <f xml:space="preserve"> Debt!CO$302</f>
        <v>2.1585050071735168E-3</v>
      </c>
      <c r="CP119" s="125">
        <f xml:space="preserve"> Debt!CP$302</f>
        <v>2.1585050071735168E-3</v>
      </c>
      <c r="CQ119" s="125">
        <f xml:space="preserve"> Debt!CQ$302</f>
        <v>2.1585050071735168E-3</v>
      </c>
      <c r="CR119" s="125">
        <f xml:space="preserve"> Debt!CR$302</f>
        <v>2.1585050071735168E-3</v>
      </c>
      <c r="CS119" s="125">
        <f xml:space="preserve"> Debt!CS$302</f>
        <v>2.1585050071735168E-3</v>
      </c>
      <c r="CT119" s="125">
        <f xml:space="preserve"> Debt!CT$302</f>
        <v>2.1585050071735168E-3</v>
      </c>
      <c r="CU119" s="125">
        <f xml:space="preserve"> Debt!CU$302</f>
        <v>2.1585050071735168E-3</v>
      </c>
      <c r="CV119" s="125">
        <f xml:space="preserve"> Debt!CV$302</f>
        <v>2.1585050071735168E-3</v>
      </c>
    </row>
    <row r="120" spans="1:100" outlineLevel="1" x14ac:dyDescent="0.2">
      <c r="A120" s="75"/>
      <c r="B120" s="639"/>
      <c r="C120" s="640"/>
      <c r="D120" s="641"/>
      <c r="E120" s="125" t="str">
        <f xml:space="preserve"> Debt!E$404</f>
        <v>Standby debt - T1 balance</v>
      </c>
      <c r="F120" s="125">
        <f xml:space="preserve"> Debt!F$404</f>
        <v>0</v>
      </c>
      <c r="G120" s="125" t="str">
        <f xml:space="preserve"> Debt!G$404</f>
        <v>$ 000s</v>
      </c>
      <c r="H120" s="125">
        <f xml:space="preserve"> Debt!H$404</f>
        <v>0</v>
      </c>
      <c r="I120" s="125">
        <f xml:space="preserve"> Debt!I$404</f>
        <v>0</v>
      </c>
      <c r="J120" s="125">
        <f xml:space="preserve"> Debt!J$404</f>
        <v>0</v>
      </c>
      <c r="K120" s="125">
        <f xml:space="preserve"> Debt!K$404</f>
        <v>0</v>
      </c>
      <c r="L120" s="125">
        <f xml:space="preserve"> Debt!L$404</f>
        <v>0</v>
      </c>
      <c r="M120" s="125">
        <f xml:space="preserve"> Debt!M$404</f>
        <v>0</v>
      </c>
      <c r="N120" s="125">
        <f xml:space="preserve"> Debt!N$404</f>
        <v>0</v>
      </c>
      <c r="O120" s="125">
        <f xml:space="preserve"> Debt!O$404</f>
        <v>0</v>
      </c>
      <c r="P120" s="125">
        <f xml:space="preserve"> Debt!P$404</f>
        <v>0</v>
      </c>
      <c r="Q120" s="125">
        <f xml:space="preserve"> Debt!Q$404</f>
        <v>0</v>
      </c>
      <c r="R120" s="125">
        <f xml:space="preserve"> Debt!R$404</f>
        <v>0</v>
      </c>
      <c r="S120" s="125">
        <f xml:space="preserve"> Debt!S$404</f>
        <v>0</v>
      </c>
      <c r="T120" s="125">
        <f xml:space="preserve"> Debt!T$404</f>
        <v>0</v>
      </c>
      <c r="U120" s="125">
        <f xml:space="preserve"> Debt!U$404</f>
        <v>0</v>
      </c>
      <c r="V120" s="125">
        <f xml:space="preserve"> Debt!V$404</f>
        <v>0</v>
      </c>
      <c r="W120" s="125">
        <f xml:space="preserve"> Debt!W$404</f>
        <v>0</v>
      </c>
      <c r="X120" s="125">
        <f xml:space="preserve"> Debt!X$404</f>
        <v>0</v>
      </c>
      <c r="Y120" s="125">
        <f xml:space="preserve"> Debt!Y$404</f>
        <v>0</v>
      </c>
      <c r="Z120" s="125">
        <f xml:space="preserve"> Debt!Z$404</f>
        <v>0</v>
      </c>
      <c r="AA120" s="125">
        <f xml:space="preserve"> Debt!AA$404</f>
        <v>0</v>
      </c>
      <c r="AB120" s="125">
        <f xml:space="preserve"> Debt!AB$404</f>
        <v>0</v>
      </c>
      <c r="AC120" s="125">
        <f xml:space="preserve"> Debt!AC$404</f>
        <v>0</v>
      </c>
      <c r="AD120" s="125">
        <f xml:space="preserve"> Debt!AD$404</f>
        <v>0</v>
      </c>
      <c r="AE120" s="125">
        <f xml:space="preserve"> Debt!AE$404</f>
        <v>0</v>
      </c>
      <c r="AF120" s="125">
        <f xml:space="preserve"> Debt!AF$404</f>
        <v>0</v>
      </c>
      <c r="AG120" s="125">
        <f xml:space="preserve"> Debt!AG$404</f>
        <v>0</v>
      </c>
      <c r="AH120" s="125">
        <f xml:space="preserve"> Debt!AH$404</f>
        <v>0</v>
      </c>
      <c r="AI120" s="125">
        <f xml:space="preserve"> Debt!AI$404</f>
        <v>0</v>
      </c>
      <c r="AJ120" s="125">
        <f xml:space="preserve"> Debt!AJ$404</f>
        <v>0</v>
      </c>
      <c r="AK120" s="125">
        <f xml:space="preserve"> Debt!AK$404</f>
        <v>0</v>
      </c>
      <c r="AL120" s="125">
        <f xml:space="preserve"> Debt!AL$404</f>
        <v>0</v>
      </c>
      <c r="AM120" s="125">
        <f xml:space="preserve"> Debt!AM$404</f>
        <v>0</v>
      </c>
      <c r="AN120" s="125">
        <f xml:space="preserve"> Debt!AN$404</f>
        <v>0</v>
      </c>
      <c r="AO120" s="125">
        <f xml:space="preserve"> Debt!AO$404</f>
        <v>0</v>
      </c>
      <c r="AP120" s="125">
        <f xml:space="preserve"> Debt!AP$404</f>
        <v>0</v>
      </c>
      <c r="AQ120" s="125">
        <f xml:space="preserve"> Debt!AQ$404</f>
        <v>0</v>
      </c>
      <c r="AR120" s="125">
        <f xml:space="preserve"> Debt!AR$404</f>
        <v>0</v>
      </c>
      <c r="AS120" s="125">
        <f xml:space="preserve"> Debt!AS$404</f>
        <v>0</v>
      </c>
      <c r="AT120" s="125">
        <f xml:space="preserve"> Debt!AT$404</f>
        <v>0</v>
      </c>
      <c r="AU120" s="125">
        <f xml:space="preserve"> Debt!AU$404</f>
        <v>0</v>
      </c>
      <c r="AV120" s="125">
        <f xml:space="preserve"> Debt!AV$404</f>
        <v>0</v>
      </c>
      <c r="AW120" s="125">
        <f xml:space="preserve"> Debt!AW$404</f>
        <v>0</v>
      </c>
      <c r="AX120" s="125">
        <f xml:space="preserve"> Debt!AX$404</f>
        <v>0</v>
      </c>
      <c r="AY120" s="125">
        <f xml:space="preserve"> Debt!AY$404</f>
        <v>0</v>
      </c>
      <c r="AZ120" s="125">
        <f xml:space="preserve"> Debt!AZ$404</f>
        <v>0</v>
      </c>
      <c r="BA120" s="125">
        <f xml:space="preserve"> Debt!BA$404</f>
        <v>0</v>
      </c>
      <c r="BB120" s="125">
        <f xml:space="preserve"> Debt!BB$404</f>
        <v>0</v>
      </c>
      <c r="BC120" s="125">
        <f xml:space="preserve"> Debt!BC$404</f>
        <v>0</v>
      </c>
      <c r="BD120" s="125">
        <f xml:space="preserve"> Debt!BD$404</f>
        <v>0</v>
      </c>
      <c r="BE120" s="125">
        <f xml:space="preserve"> Debt!BE$404</f>
        <v>0</v>
      </c>
      <c r="BF120" s="125">
        <f xml:space="preserve"> Debt!BF$404</f>
        <v>0</v>
      </c>
      <c r="BG120" s="125">
        <f xml:space="preserve"> Debt!BG$404</f>
        <v>0</v>
      </c>
      <c r="BH120" s="125">
        <f xml:space="preserve"> Debt!BH$404</f>
        <v>0</v>
      </c>
      <c r="BI120" s="125">
        <f xml:space="preserve"> Debt!BI$404</f>
        <v>0</v>
      </c>
      <c r="BJ120" s="125">
        <f xml:space="preserve"> Debt!BJ$404</f>
        <v>0</v>
      </c>
      <c r="BK120" s="125">
        <f xml:space="preserve"> Debt!BK$404</f>
        <v>0</v>
      </c>
      <c r="BL120" s="125">
        <f xml:space="preserve"> Debt!BL$404</f>
        <v>0</v>
      </c>
      <c r="BM120" s="125">
        <f xml:space="preserve"> Debt!BM$404</f>
        <v>0</v>
      </c>
      <c r="BN120" s="125">
        <f xml:space="preserve"> Debt!BN$404</f>
        <v>0</v>
      </c>
      <c r="BO120" s="125">
        <f xml:space="preserve"> Debt!BO$404</f>
        <v>0</v>
      </c>
      <c r="BP120" s="125">
        <f xml:space="preserve"> Debt!BP$404</f>
        <v>0</v>
      </c>
      <c r="BQ120" s="125">
        <f xml:space="preserve"> Debt!BQ$404</f>
        <v>0</v>
      </c>
      <c r="BR120" s="125">
        <f xml:space="preserve"> Debt!BR$404</f>
        <v>0</v>
      </c>
      <c r="BS120" s="125">
        <f xml:space="preserve"> Debt!BS$404</f>
        <v>0</v>
      </c>
      <c r="BT120" s="125">
        <f xml:space="preserve"> Debt!BT$404</f>
        <v>0</v>
      </c>
      <c r="BU120" s="125">
        <f xml:space="preserve"> Debt!BU$404</f>
        <v>0</v>
      </c>
      <c r="BV120" s="125">
        <f xml:space="preserve"> Debt!BV$404</f>
        <v>0</v>
      </c>
      <c r="BW120" s="125">
        <f xml:space="preserve"> Debt!BW$404</f>
        <v>0</v>
      </c>
      <c r="BX120" s="125">
        <f xml:space="preserve"> Debt!BX$404</f>
        <v>0</v>
      </c>
      <c r="BY120" s="125">
        <f xml:space="preserve"> Debt!BY$404</f>
        <v>0</v>
      </c>
      <c r="BZ120" s="125">
        <f xml:space="preserve"> Debt!BZ$404</f>
        <v>0</v>
      </c>
      <c r="CA120" s="125">
        <f xml:space="preserve"> Debt!CA$404</f>
        <v>0</v>
      </c>
      <c r="CB120" s="125">
        <f xml:space="preserve"> Debt!CB$404</f>
        <v>0</v>
      </c>
      <c r="CC120" s="125">
        <f xml:space="preserve"> Debt!CC$404</f>
        <v>0</v>
      </c>
      <c r="CD120" s="125">
        <f xml:space="preserve"> Debt!CD$404</f>
        <v>0</v>
      </c>
      <c r="CE120" s="125">
        <f xml:space="preserve"> Debt!CE$404</f>
        <v>0</v>
      </c>
      <c r="CF120" s="125">
        <f xml:space="preserve"> Debt!CF$404</f>
        <v>0</v>
      </c>
      <c r="CG120" s="125">
        <f xml:space="preserve"> Debt!CG$404</f>
        <v>0</v>
      </c>
      <c r="CH120" s="125">
        <f xml:space="preserve"> Debt!CH$404</f>
        <v>0</v>
      </c>
      <c r="CI120" s="125">
        <f xml:space="preserve"> Debt!CI$404</f>
        <v>0</v>
      </c>
      <c r="CJ120" s="125">
        <f xml:space="preserve"> Debt!CJ$404</f>
        <v>0</v>
      </c>
      <c r="CK120" s="125">
        <f xml:space="preserve"> Debt!CK$404</f>
        <v>0</v>
      </c>
      <c r="CL120" s="125">
        <f xml:space="preserve"> Debt!CL$404</f>
        <v>0</v>
      </c>
      <c r="CM120" s="125">
        <f xml:space="preserve"> Debt!CM$404</f>
        <v>0</v>
      </c>
      <c r="CN120" s="125">
        <f xml:space="preserve"> Debt!CN$404</f>
        <v>0</v>
      </c>
      <c r="CO120" s="125">
        <f xml:space="preserve"> Debt!CO$404</f>
        <v>0</v>
      </c>
      <c r="CP120" s="125">
        <f xml:space="preserve"> Debt!CP$404</f>
        <v>0</v>
      </c>
      <c r="CQ120" s="125">
        <f xml:space="preserve"> Debt!CQ$404</f>
        <v>0</v>
      </c>
      <c r="CR120" s="125">
        <f xml:space="preserve"> Debt!CR$404</f>
        <v>0</v>
      </c>
      <c r="CS120" s="125">
        <f xml:space="preserve"> Debt!CS$404</f>
        <v>0</v>
      </c>
      <c r="CT120" s="125">
        <f xml:space="preserve"> Debt!CT$404</f>
        <v>0</v>
      </c>
      <c r="CU120" s="125">
        <f xml:space="preserve"> Debt!CU$404</f>
        <v>0</v>
      </c>
      <c r="CV120" s="125">
        <f xml:space="preserve"> Debt!CV$404</f>
        <v>0</v>
      </c>
    </row>
    <row r="121" spans="1:100" outlineLevel="1" x14ac:dyDescent="0.2">
      <c r="A121" s="75"/>
      <c r="B121" s="639"/>
      <c r="C121" s="640"/>
      <c r="D121" s="641"/>
      <c r="E121" s="125" t="str">
        <f xml:space="preserve"> Debt!E$436</f>
        <v>Standby debt - T2 balance</v>
      </c>
      <c r="F121" s="125">
        <f xml:space="preserve"> Debt!F$436</f>
        <v>0</v>
      </c>
      <c r="G121" s="125" t="str">
        <f xml:space="preserve"> Debt!G$436</f>
        <v>$ 000s</v>
      </c>
      <c r="H121" s="125">
        <f xml:space="preserve"> Debt!H$436</f>
        <v>0</v>
      </c>
      <c r="I121" s="125">
        <f xml:space="preserve"> Debt!I$436</f>
        <v>0</v>
      </c>
      <c r="J121" s="125">
        <f xml:space="preserve"> Debt!J$436</f>
        <v>0</v>
      </c>
      <c r="K121" s="125">
        <f xml:space="preserve"> Debt!K$436</f>
        <v>0</v>
      </c>
      <c r="L121" s="125">
        <f xml:space="preserve"> Debt!L$436</f>
        <v>0</v>
      </c>
      <c r="M121" s="125">
        <f xml:space="preserve"> Debt!M$436</f>
        <v>0</v>
      </c>
      <c r="N121" s="125">
        <f xml:space="preserve"> Debt!N$436</f>
        <v>0</v>
      </c>
      <c r="O121" s="125">
        <f xml:space="preserve"> Debt!O$436</f>
        <v>0</v>
      </c>
      <c r="P121" s="125">
        <f xml:space="preserve"> Debt!P$436</f>
        <v>0</v>
      </c>
      <c r="Q121" s="125">
        <f xml:space="preserve"> Debt!Q$436</f>
        <v>0</v>
      </c>
      <c r="R121" s="125">
        <f xml:space="preserve"> Debt!R$436</f>
        <v>0</v>
      </c>
      <c r="S121" s="125">
        <f xml:space="preserve"> Debt!S$436</f>
        <v>0</v>
      </c>
      <c r="T121" s="125">
        <f xml:space="preserve"> Debt!T$436</f>
        <v>0</v>
      </c>
      <c r="U121" s="125">
        <f xml:space="preserve"> Debt!U$436</f>
        <v>0</v>
      </c>
      <c r="V121" s="125">
        <f xml:space="preserve"> Debt!V$436</f>
        <v>0</v>
      </c>
      <c r="W121" s="125">
        <f xml:space="preserve"> Debt!W$436</f>
        <v>0</v>
      </c>
      <c r="X121" s="125">
        <f xml:space="preserve"> Debt!X$436</f>
        <v>0</v>
      </c>
      <c r="Y121" s="125">
        <f xml:space="preserve"> Debt!Y$436</f>
        <v>0</v>
      </c>
      <c r="Z121" s="125">
        <f xml:space="preserve"> Debt!Z$436</f>
        <v>0</v>
      </c>
      <c r="AA121" s="125">
        <f xml:space="preserve"> Debt!AA$436</f>
        <v>0</v>
      </c>
      <c r="AB121" s="125">
        <f xml:space="preserve"> Debt!AB$436</f>
        <v>0</v>
      </c>
      <c r="AC121" s="125">
        <f xml:space="preserve"> Debt!AC$436</f>
        <v>0</v>
      </c>
      <c r="AD121" s="125">
        <f xml:space="preserve"> Debt!AD$436</f>
        <v>0</v>
      </c>
      <c r="AE121" s="125">
        <f xml:space="preserve"> Debt!AE$436</f>
        <v>0</v>
      </c>
      <c r="AF121" s="125">
        <f xml:space="preserve"> Debt!AF$436</f>
        <v>0</v>
      </c>
      <c r="AG121" s="125">
        <f xml:space="preserve"> Debt!AG$436</f>
        <v>0</v>
      </c>
      <c r="AH121" s="125">
        <f xml:space="preserve"> Debt!AH$436</f>
        <v>0</v>
      </c>
      <c r="AI121" s="125">
        <f xml:space="preserve"> Debt!AI$436</f>
        <v>0</v>
      </c>
      <c r="AJ121" s="125">
        <f xml:space="preserve"> Debt!AJ$436</f>
        <v>0</v>
      </c>
      <c r="AK121" s="125">
        <f xml:space="preserve"> Debt!AK$436</f>
        <v>0</v>
      </c>
      <c r="AL121" s="125">
        <f xml:space="preserve"> Debt!AL$436</f>
        <v>0</v>
      </c>
      <c r="AM121" s="125">
        <f xml:space="preserve"> Debt!AM$436</f>
        <v>0</v>
      </c>
      <c r="AN121" s="125">
        <f xml:space="preserve"> Debt!AN$436</f>
        <v>0</v>
      </c>
      <c r="AO121" s="125">
        <f xml:space="preserve"> Debt!AO$436</f>
        <v>0</v>
      </c>
      <c r="AP121" s="125">
        <f xml:space="preserve"> Debt!AP$436</f>
        <v>0</v>
      </c>
      <c r="AQ121" s="125">
        <f xml:space="preserve"> Debt!AQ$436</f>
        <v>0</v>
      </c>
      <c r="AR121" s="125">
        <f xml:space="preserve"> Debt!AR$436</f>
        <v>0</v>
      </c>
      <c r="AS121" s="125">
        <f xml:space="preserve"> Debt!AS$436</f>
        <v>0</v>
      </c>
      <c r="AT121" s="125">
        <f xml:space="preserve"> Debt!AT$436</f>
        <v>0</v>
      </c>
      <c r="AU121" s="125">
        <f xml:space="preserve"> Debt!AU$436</f>
        <v>0</v>
      </c>
      <c r="AV121" s="125">
        <f xml:space="preserve"> Debt!AV$436</f>
        <v>0</v>
      </c>
      <c r="AW121" s="125">
        <f xml:space="preserve"> Debt!AW$436</f>
        <v>0</v>
      </c>
      <c r="AX121" s="125">
        <f xml:space="preserve"> Debt!AX$436</f>
        <v>0</v>
      </c>
      <c r="AY121" s="125">
        <f xml:space="preserve"> Debt!AY$436</f>
        <v>0</v>
      </c>
      <c r="AZ121" s="125">
        <f xml:space="preserve"> Debt!AZ$436</f>
        <v>0</v>
      </c>
      <c r="BA121" s="125">
        <f xml:space="preserve"> Debt!BA$436</f>
        <v>0</v>
      </c>
      <c r="BB121" s="125">
        <f xml:space="preserve"> Debt!BB$436</f>
        <v>0</v>
      </c>
      <c r="BC121" s="125">
        <f xml:space="preserve"> Debt!BC$436</f>
        <v>0</v>
      </c>
      <c r="BD121" s="125">
        <f xml:space="preserve"> Debt!BD$436</f>
        <v>0</v>
      </c>
      <c r="BE121" s="125">
        <f xml:space="preserve"> Debt!BE$436</f>
        <v>0</v>
      </c>
      <c r="BF121" s="125">
        <f xml:space="preserve"> Debt!BF$436</f>
        <v>0</v>
      </c>
      <c r="BG121" s="125">
        <f xml:space="preserve"> Debt!BG$436</f>
        <v>0</v>
      </c>
      <c r="BH121" s="125">
        <f xml:space="preserve"> Debt!BH$436</f>
        <v>0</v>
      </c>
      <c r="BI121" s="125">
        <f xml:space="preserve"> Debt!BI$436</f>
        <v>0</v>
      </c>
      <c r="BJ121" s="125">
        <f xml:space="preserve"> Debt!BJ$436</f>
        <v>0</v>
      </c>
      <c r="BK121" s="125">
        <f xml:space="preserve"> Debt!BK$436</f>
        <v>0</v>
      </c>
      <c r="BL121" s="125">
        <f xml:space="preserve"> Debt!BL$436</f>
        <v>0</v>
      </c>
      <c r="BM121" s="125">
        <f xml:space="preserve"> Debt!BM$436</f>
        <v>0</v>
      </c>
      <c r="BN121" s="125">
        <f xml:space="preserve"> Debt!BN$436</f>
        <v>0</v>
      </c>
      <c r="BO121" s="125">
        <f xml:space="preserve"> Debt!BO$436</f>
        <v>0</v>
      </c>
      <c r="BP121" s="125">
        <f xml:space="preserve"> Debt!BP$436</f>
        <v>0</v>
      </c>
      <c r="BQ121" s="125">
        <f xml:space="preserve"> Debt!BQ$436</f>
        <v>0</v>
      </c>
      <c r="BR121" s="125">
        <f xml:space="preserve"> Debt!BR$436</f>
        <v>0</v>
      </c>
      <c r="BS121" s="125">
        <f xml:space="preserve"> Debt!BS$436</f>
        <v>0</v>
      </c>
      <c r="BT121" s="125">
        <f xml:space="preserve"> Debt!BT$436</f>
        <v>0</v>
      </c>
      <c r="BU121" s="125">
        <f xml:space="preserve"> Debt!BU$436</f>
        <v>0</v>
      </c>
      <c r="BV121" s="125">
        <f xml:space="preserve"> Debt!BV$436</f>
        <v>0</v>
      </c>
      <c r="BW121" s="125">
        <f xml:space="preserve"> Debt!BW$436</f>
        <v>0</v>
      </c>
      <c r="BX121" s="125">
        <f xml:space="preserve"> Debt!BX$436</f>
        <v>0</v>
      </c>
      <c r="BY121" s="125">
        <f xml:space="preserve"> Debt!BY$436</f>
        <v>0</v>
      </c>
      <c r="BZ121" s="125">
        <f xml:space="preserve"> Debt!BZ$436</f>
        <v>0</v>
      </c>
      <c r="CA121" s="125">
        <f xml:space="preserve"> Debt!CA$436</f>
        <v>0</v>
      </c>
      <c r="CB121" s="125">
        <f xml:space="preserve"> Debt!CB$436</f>
        <v>0</v>
      </c>
      <c r="CC121" s="125">
        <f xml:space="preserve"> Debt!CC$436</f>
        <v>0</v>
      </c>
      <c r="CD121" s="125">
        <f xml:space="preserve"> Debt!CD$436</f>
        <v>0</v>
      </c>
      <c r="CE121" s="125">
        <f xml:space="preserve"> Debt!CE$436</f>
        <v>0</v>
      </c>
      <c r="CF121" s="125">
        <f xml:space="preserve"> Debt!CF$436</f>
        <v>0</v>
      </c>
      <c r="CG121" s="125">
        <f xml:space="preserve"> Debt!CG$436</f>
        <v>0</v>
      </c>
      <c r="CH121" s="125">
        <f xml:space="preserve"> Debt!CH$436</f>
        <v>0</v>
      </c>
      <c r="CI121" s="125">
        <f xml:space="preserve"> Debt!CI$436</f>
        <v>0</v>
      </c>
      <c r="CJ121" s="125">
        <f xml:space="preserve"> Debt!CJ$436</f>
        <v>0</v>
      </c>
      <c r="CK121" s="125">
        <f xml:space="preserve"> Debt!CK$436</f>
        <v>0</v>
      </c>
      <c r="CL121" s="125">
        <f xml:space="preserve"> Debt!CL$436</f>
        <v>0</v>
      </c>
      <c r="CM121" s="125">
        <f xml:space="preserve"> Debt!CM$436</f>
        <v>0</v>
      </c>
      <c r="CN121" s="125">
        <f xml:space="preserve"> Debt!CN$436</f>
        <v>0</v>
      </c>
      <c r="CO121" s="125">
        <f xml:space="preserve"> Debt!CO$436</f>
        <v>0</v>
      </c>
      <c r="CP121" s="125">
        <f xml:space="preserve"> Debt!CP$436</f>
        <v>0</v>
      </c>
      <c r="CQ121" s="125">
        <f xml:space="preserve"> Debt!CQ$436</f>
        <v>0</v>
      </c>
      <c r="CR121" s="125">
        <f xml:space="preserve"> Debt!CR$436</f>
        <v>0</v>
      </c>
      <c r="CS121" s="125">
        <f xml:space="preserve"> Debt!CS$436</f>
        <v>0</v>
      </c>
      <c r="CT121" s="125">
        <f xml:space="preserve"> Debt!CT$436</f>
        <v>0</v>
      </c>
      <c r="CU121" s="125">
        <f xml:space="preserve"> Debt!CU$436</f>
        <v>0</v>
      </c>
      <c r="CV121" s="125">
        <f xml:space="preserve"> Debt!CV$436</f>
        <v>0</v>
      </c>
    </row>
    <row r="122" spans="1:100" outlineLevel="1" x14ac:dyDescent="0.2">
      <c r="A122" s="75"/>
      <c r="B122" s="639"/>
      <c r="C122" s="640"/>
      <c r="D122" s="641"/>
      <c r="E122" s="125" t="str">
        <f xml:space="preserve"> Time!E$218</f>
        <v>LLCR flag</v>
      </c>
      <c r="F122" s="125">
        <f xml:space="preserve"> Time!F$218</f>
        <v>0</v>
      </c>
      <c r="G122" s="125" t="str">
        <f xml:space="preserve"> Time!G$218</f>
        <v>flag</v>
      </c>
      <c r="H122" s="125">
        <f xml:space="preserve"> Time!H$218</f>
        <v>34</v>
      </c>
      <c r="I122" s="125">
        <f xml:space="preserve"> Time!I$218</f>
        <v>0</v>
      </c>
      <c r="J122" s="125">
        <f xml:space="preserve"> Time!J$218</f>
        <v>0</v>
      </c>
      <c r="K122" s="125">
        <f xml:space="preserve"> Time!K$218</f>
        <v>0</v>
      </c>
      <c r="L122" s="125">
        <f xml:space="preserve"> Time!L$218</f>
        <v>0</v>
      </c>
      <c r="M122" s="125">
        <f xml:space="preserve"> Time!M$218</f>
        <v>0</v>
      </c>
      <c r="N122" s="125">
        <f xml:space="preserve"> Time!N$218</f>
        <v>1</v>
      </c>
      <c r="O122" s="125">
        <f xml:space="preserve"> Time!O$218</f>
        <v>1</v>
      </c>
      <c r="P122" s="125">
        <f xml:space="preserve"> Time!P$218</f>
        <v>1</v>
      </c>
      <c r="Q122" s="125">
        <f xml:space="preserve"> Time!Q$218</f>
        <v>1</v>
      </c>
      <c r="R122" s="125">
        <f xml:space="preserve"> Time!R$218</f>
        <v>1</v>
      </c>
      <c r="S122" s="125">
        <f xml:space="preserve"> Time!S$218</f>
        <v>1</v>
      </c>
      <c r="T122" s="125">
        <f xml:space="preserve"> Time!T$218</f>
        <v>1</v>
      </c>
      <c r="U122" s="125">
        <f xml:space="preserve"> Time!U$218</f>
        <v>1</v>
      </c>
      <c r="V122" s="125">
        <f xml:space="preserve"> Time!V$218</f>
        <v>1</v>
      </c>
      <c r="W122" s="125">
        <f xml:space="preserve"> Time!W$218</f>
        <v>1</v>
      </c>
      <c r="X122" s="125">
        <f xml:space="preserve"> Time!X$218</f>
        <v>1</v>
      </c>
      <c r="Y122" s="125">
        <f xml:space="preserve"> Time!Y$218</f>
        <v>1</v>
      </c>
      <c r="Z122" s="125">
        <f xml:space="preserve"> Time!Z$218</f>
        <v>1</v>
      </c>
      <c r="AA122" s="125">
        <f xml:space="preserve"> Time!AA$218</f>
        <v>1</v>
      </c>
      <c r="AB122" s="125">
        <f xml:space="preserve"> Time!AB$218</f>
        <v>1</v>
      </c>
      <c r="AC122" s="125">
        <f xml:space="preserve"> Time!AC$218</f>
        <v>1</v>
      </c>
      <c r="AD122" s="125">
        <f xml:space="preserve"> Time!AD$218</f>
        <v>1</v>
      </c>
      <c r="AE122" s="125">
        <f xml:space="preserve"> Time!AE$218</f>
        <v>1</v>
      </c>
      <c r="AF122" s="125">
        <f xml:space="preserve"> Time!AF$218</f>
        <v>1</v>
      </c>
      <c r="AG122" s="125">
        <f xml:space="preserve"> Time!AG$218</f>
        <v>1</v>
      </c>
      <c r="AH122" s="125">
        <f xml:space="preserve"> Time!AH$218</f>
        <v>1</v>
      </c>
      <c r="AI122" s="125">
        <f xml:space="preserve"> Time!AI$218</f>
        <v>1</v>
      </c>
      <c r="AJ122" s="125">
        <f xml:space="preserve"> Time!AJ$218</f>
        <v>1</v>
      </c>
      <c r="AK122" s="125">
        <f xml:space="preserve"> Time!AK$218</f>
        <v>1</v>
      </c>
      <c r="AL122" s="125">
        <f xml:space="preserve"> Time!AL$218</f>
        <v>1</v>
      </c>
      <c r="AM122" s="125">
        <f xml:space="preserve"> Time!AM$218</f>
        <v>1</v>
      </c>
      <c r="AN122" s="125">
        <f xml:space="preserve"> Time!AN$218</f>
        <v>1</v>
      </c>
      <c r="AO122" s="125">
        <f xml:space="preserve"> Time!AO$218</f>
        <v>1</v>
      </c>
      <c r="AP122" s="125">
        <f xml:space="preserve"> Time!AP$218</f>
        <v>1</v>
      </c>
      <c r="AQ122" s="125">
        <f xml:space="preserve"> Time!AQ$218</f>
        <v>1</v>
      </c>
      <c r="AR122" s="125">
        <f xml:space="preserve"> Time!AR$218</f>
        <v>1</v>
      </c>
      <c r="AS122" s="125">
        <f xml:space="preserve"> Time!AS$218</f>
        <v>1</v>
      </c>
      <c r="AT122" s="125">
        <f xml:space="preserve"> Time!AT$218</f>
        <v>1</v>
      </c>
      <c r="AU122" s="125">
        <f xml:space="preserve"> Time!AU$218</f>
        <v>1</v>
      </c>
      <c r="AV122" s="125">
        <f xml:space="preserve"> Time!AV$218</f>
        <v>0</v>
      </c>
      <c r="AW122" s="125">
        <f xml:space="preserve"> Time!AW$218</f>
        <v>0</v>
      </c>
      <c r="AX122" s="125">
        <f xml:space="preserve"> Time!AX$218</f>
        <v>0</v>
      </c>
      <c r="AY122" s="125">
        <f xml:space="preserve"> Time!AY$218</f>
        <v>0</v>
      </c>
      <c r="AZ122" s="125">
        <f xml:space="preserve"> Time!AZ$218</f>
        <v>0</v>
      </c>
      <c r="BA122" s="125">
        <f xml:space="preserve"> Time!BA$218</f>
        <v>0</v>
      </c>
      <c r="BB122" s="125">
        <f xml:space="preserve"> Time!BB$218</f>
        <v>0</v>
      </c>
      <c r="BC122" s="125">
        <f xml:space="preserve"> Time!BC$218</f>
        <v>0</v>
      </c>
      <c r="BD122" s="125">
        <f xml:space="preserve"> Time!BD$218</f>
        <v>0</v>
      </c>
      <c r="BE122" s="125">
        <f xml:space="preserve"> Time!BE$218</f>
        <v>0</v>
      </c>
      <c r="BF122" s="125">
        <f xml:space="preserve"> Time!BF$218</f>
        <v>0</v>
      </c>
      <c r="BG122" s="125">
        <f xml:space="preserve"> Time!BG$218</f>
        <v>0</v>
      </c>
      <c r="BH122" s="125">
        <f xml:space="preserve"> Time!BH$218</f>
        <v>0</v>
      </c>
      <c r="BI122" s="125">
        <f xml:space="preserve"> Time!BI$218</f>
        <v>0</v>
      </c>
      <c r="BJ122" s="125">
        <f xml:space="preserve"> Time!BJ$218</f>
        <v>0</v>
      </c>
      <c r="BK122" s="125">
        <f xml:space="preserve"> Time!BK$218</f>
        <v>0</v>
      </c>
      <c r="BL122" s="125">
        <f xml:space="preserve"> Time!BL$218</f>
        <v>0</v>
      </c>
      <c r="BM122" s="125">
        <f xml:space="preserve"> Time!BM$218</f>
        <v>0</v>
      </c>
      <c r="BN122" s="125">
        <f xml:space="preserve"> Time!BN$218</f>
        <v>0</v>
      </c>
      <c r="BO122" s="125">
        <f xml:space="preserve"> Time!BO$218</f>
        <v>0</v>
      </c>
      <c r="BP122" s="125">
        <f xml:space="preserve"> Time!BP$218</f>
        <v>0</v>
      </c>
      <c r="BQ122" s="125">
        <f xml:space="preserve"> Time!BQ$218</f>
        <v>0</v>
      </c>
      <c r="BR122" s="125">
        <f xml:space="preserve"> Time!BR$218</f>
        <v>0</v>
      </c>
      <c r="BS122" s="125">
        <f xml:space="preserve"> Time!BS$218</f>
        <v>0</v>
      </c>
      <c r="BT122" s="125">
        <f xml:space="preserve"> Time!BT$218</f>
        <v>0</v>
      </c>
      <c r="BU122" s="125">
        <f xml:space="preserve"> Time!BU$218</f>
        <v>0</v>
      </c>
      <c r="BV122" s="125">
        <f xml:space="preserve"> Time!BV$218</f>
        <v>0</v>
      </c>
      <c r="BW122" s="125">
        <f xml:space="preserve"> Time!BW$218</f>
        <v>0</v>
      </c>
      <c r="BX122" s="125">
        <f xml:space="preserve"> Time!BX$218</f>
        <v>0</v>
      </c>
      <c r="BY122" s="125">
        <f xml:space="preserve"> Time!BY$218</f>
        <v>0</v>
      </c>
      <c r="BZ122" s="125">
        <f xml:space="preserve"> Time!BZ$218</f>
        <v>0</v>
      </c>
      <c r="CA122" s="125">
        <f xml:space="preserve"> Time!CA$218</f>
        <v>0</v>
      </c>
      <c r="CB122" s="125">
        <f xml:space="preserve"> Time!CB$218</f>
        <v>0</v>
      </c>
      <c r="CC122" s="125">
        <f xml:space="preserve"> Time!CC$218</f>
        <v>0</v>
      </c>
      <c r="CD122" s="125">
        <f xml:space="preserve"> Time!CD$218</f>
        <v>0</v>
      </c>
      <c r="CE122" s="125">
        <f xml:space="preserve"> Time!CE$218</f>
        <v>0</v>
      </c>
      <c r="CF122" s="125">
        <f xml:space="preserve"> Time!CF$218</f>
        <v>0</v>
      </c>
      <c r="CG122" s="125">
        <f xml:space="preserve"> Time!CG$218</f>
        <v>0</v>
      </c>
      <c r="CH122" s="125">
        <f xml:space="preserve"> Time!CH$218</f>
        <v>0</v>
      </c>
      <c r="CI122" s="125">
        <f xml:space="preserve"> Time!CI$218</f>
        <v>0</v>
      </c>
      <c r="CJ122" s="125">
        <f xml:space="preserve"> Time!CJ$218</f>
        <v>0</v>
      </c>
      <c r="CK122" s="125">
        <f xml:space="preserve"> Time!CK$218</f>
        <v>0</v>
      </c>
      <c r="CL122" s="125">
        <f xml:space="preserve"> Time!CL$218</f>
        <v>0</v>
      </c>
      <c r="CM122" s="125">
        <f xml:space="preserve"> Time!CM$218</f>
        <v>0</v>
      </c>
      <c r="CN122" s="125">
        <f xml:space="preserve"> Time!CN$218</f>
        <v>0</v>
      </c>
      <c r="CO122" s="125">
        <f xml:space="preserve"> Time!CO$218</f>
        <v>0</v>
      </c>
      <c r="CP122" s="125">
        <f xml:space="preserve"> Time!CP$218</f>
        <v>0</v>
      </c>
      <c r="CQ122" s="125">
        <f xml:space="preserve"> Time!CQ$218</f>
        <v>0</v>
      </c>
      <c r="CR122" s="125">
        <f xml:space="preserve"> Time!CR$218</f>
        <v>0</v>
      </c>
      <c r="CS122" s="125">
        <f xml:space="preserve"> Time!CS$218</f>
        <v>0</v>
      </c>
      <c r="CT122" s="125">
        <f xml:space="preserve"> Time!CT$218</f>
        <v>0</v>
      </c>
      <c r="CU122" s="125">
        <f xml:space="preserve"> Time!CU$218</f>
        <v>0</v>
      </c>
      <c r="CV122" s="125">
        <f xml:space="preserve"> Time!CV$218</f>
        <v>0</v>
      </c>
    </row>
    <row r="123" spans="1:100" s="280" customFormat="1" outlineLevel="1" x14ac:dyDescent="0.2">
      <c r="A123" s="652"/>
      <c r="B123" s="599"/>
      <c r="C123" s="600"/>
      <c r="D123" s="82"/>
      <c r="E123" s="82" t="s">
        <v>403</v>
      </c>
      <c r="F123" s="82"/>
      <c r="G123" s="82" t="s">
        <v>164</v>
      </c>
      <c r="H123" s="82"/>
      <c r="I123" s="82"/>
      <c r="J123" s="82" t="str">
        <f t="shared" ref="J123:AO123" si="63" xml:space="preserve"> IF(AND(J122 = 1, SUM(J118:J121) &gt; CHK_TOL), J117 / SUM(J118:J121), "na")</f>
        <v>na</v>
      </c>
      <c r="K123" s="82" t="str">
        <f t="shared" si="63"/>
        <v>na</v>
      </c>
      <c r="L123" s="82" t="str">
        <f t="shared" si="63"/>
        <v>na</v>
      </c>
      <c r="M123" s="82" t="str">
        <f t="shared" si="63"/>
        <v>na</v>
      </c>
      <c r="N123" s="82">
        <f t="shared" si="63"/>
        <v>1.3999999518334354</v>
      </c>
      <c r="O123" s="82">
        <f t="shared" si="63"/>
        <v>1.3999999526511662</v>
      </c>
      <c r="P123" s="82">
        <f t="shared" si="63"/>
        <v>1.3999999534932168</v>
      </c>
      <c r="Q123" s="82">
        <f t="shared" si="63"/>
        <v>1.3999999544426829</v>
      </c>
      <c r="R123" s="82">
        <f t="shared" si="63"/>
        <v>1.3999999554960927</v>
      </c>
      <c r="S123" s="82">
        <f t="shared" si="63"/>
        <v>1.399999956680253</v>
      </c>
      <c r="T123" s="82">
        <f t="shared" si="63"/>
        <v>1.3999999579899691</v>
      </c>
      <c r="U123" s="82">
        <f t="shared" si="63"/>
        <v>1.3999999594604169</v>
      </c>
      <c r="V123" s="82">
        <f t="shared" si="63"/>
        <v>1.3999999610886154</v>
      </c>
      <c r="W123" s="82">
        <f t="shared" si="63"/>
        <v>1.3999999629114828</v>
      </c>
      <c r="X123" s="82">
        <f t="shared" si="63"/>
        <v>1.3999999649293318</v>
      </c>
      <c r="Y123" s="82">
        <f t="shared" si="63"/>
        <v>1.3999999672194579</v>
      </c>
      <c r="Z123" s="82">
        <f t="shared" si="63"/>
        <v>1.3999999697571388</v>
      </c>
      <c r="AA123" s="82">
        <f t="shared" si="63"/>
        <v>1.3999999726216581</v>
      </c>
      <c r="AB123" s="82">
        <f t="shared" si="63"/>
        <v>1.3999999758099402</v>
      </c>
      <c r="AC123" s="82">
        <f t="shared" si="63"/>
        <v>1.399999979428437</v>
      </c>
      <c r="AD123" s="82">
        <f t="shared" si="63"/>
        <v>1.3999999834926327</v>
      </c>
      <c r="AE123" s="82">
        <f t="shared" si="63"/>
        <v>1.3999999881263852</v>
      </c>
      <c r="AF123" s="82">
        <f t="shared" si="63"/>
        <v>1.3999999933748932</v>
      </c>
      <c r="AG123" s="82">
        <f t="shared" si="63"/>
        <v>1.3999999994458594</v>
      </c>
      <c r="AH123" s="82">
        <f t="shared" si="63"/>
        <v>1.4000000064094098</v>
      </c>
      <c r="AI123" s="82">
        <f t="shared" si="63"/>
        <v>1.4000000146775937</v>
      </c>
      <c r="AJ123" s="82">
        <f t="shared" si="63"/>
        <v>1.4000000243280779</v>
      </c>
      <c r="AK123" s="82">
        <f t="shared" si="63"/>
        <v>1.4000000358978897</v>
      </c>
      <c r="AL123" s="82">
        <f t="shared" si="63"/>
        <v>1.4000000497904497</v>
      </c>
      <c r="AM123" s="82">
        <f t="shared" si="63"/>
        <v>1.4000000669213453</v>
      </c>
      <c r="AN123" s="82">
        <f t="shared" si="63"/>
        <v>1.4000000882944792</v>
      </c>
      <c r="AO123" s="82">
        <f t="shared" si="63"/>
        <v>1.4000001160504001</v>
      </c>
      <c r="AP123" s="82">
        <f t="shared" ref="AP123:BU123" si="64" xml:space="preserve"> IF(AND(AP122 = 1, SUM(AP118:AP121) &gt; CHK_TOL), AP117 / SUM(AP118:AP121), "na")</f>
        <v>1.4000001529087001</v>
      </c>
      <c r="AQ123" s="82">
        <f t="shared" si="64"/>
        <v>1.4000002049451801</v>
      </c>
      <c r="AR123" s="82">
        <f t="shared" si="64"/>
        <v>1.4000002826329552</v>
      </c>
      <c r="AS123" s="82">
        <f t="shared" si="64"/>
        <v>1.4000004866414513</v>
      </c>
      <c r="AT123" s="82">
        <f t="shared" si="64"/>
        <v>1.4000009303006133</v>
      </c>
      <c r="AU123" s="82">
        <f t="shared" si="64"/>
        <v>1.4000024143872372</v>
      </c>
      <c r="AV123" s="82" t="str">
        <f t="shared" si="64"/>
        <v>na</v>
      </c>
      <c r="AW123" s="82" t="str">
        <f t="shared" si="64"/>
        <v>na</v>
      </c>
      <c r="AX123" s="82" t="str">
        <f t="shared" si="64"/>
        <v>na</v>
      </c>
      <c r="AY123" s="82" t="str">
        <f t="shared" si="64"/>
        <v>na</v>
      </c>
      <c r="AZ123" s="82" t="str">
        <f t="shared" si="64"/>
        <v>na</v>
      </c>
      <c r="BA123" s="82" t="str">
        <f t="shared" si="64"/>
        <v>na</v>
      </c>
      <c r="BB123" s="82" t="str">
        <f t="shared" si="64"/>
        <v>na</v>
      </c>
      <c r="BC123" s="82" t="str">
        <f t="shared" si="64"/>
        <v>na</v>
      </c>
      <c r="BD123" s="82" t="str">
        <f t="shared" si="64"/>
        <v>na</v>
      </c>
      <c r="BE123" s="82" t="str">
        <f t="shared" si="64"/>
        <v>na</v>
      </c>
      <c r="BF123" s="82" t="str">
        <f t="shared" si="64"/>
        <v>na</v>
      </c>
      <c r="BG123" s="82" t="str">
        <f t="shared" si="64"/>
        <v>na</v>
      </c>
      <c r="BH123" s="82" t="str">
        <f t="shared" si="64"/>
        <v>na</v>
      </c>
      <c r="BI123" s="82" t="str">
        <f t="shared" si="64"/>
        <v>na</v>
      </c>
      <c r="BJ123" s="82" t="str">
        <f t="shared" si="64"/>
        <v>na</v>
      </c>
      <c r="BK123" s="82" t="str">
        <f t="shared" si="64"/>
        <v>na</v>
      </c>
      <c r="BL123" s="82" t="str">
        <f t="shared" si="64"/>
        <v>na</v>
      </c>
      <c r="BM123" s="82" t="str">
        <f t="shared" si="64"/>
        <v>na</v>
      </c>
      <c r="BN123" s="82" t="str">
        <f t="shared" si="64"/>
        <v>na</v>
      </c>
      <c r="BO123" s="82" t="str">
        <f t="shared" si="64"/>
        <v>na</v>
      </c>
      <c r="BP123" s="82" t="str">
        <f t="shared" si="64"/>
        <v>na</v>
      </c>
      <c r="BQ123" s="82" t="str">
        <f t="shared" si="64"/>
        <v>na</v>
      </c>
      <c r="BR123" s="82" t="str">
        <f t="shared" si="64"/>
        <v>na</v>
      </c>
      <c r="BS123" s="82" t="str">
        <f t="shared" si="64"/>
        <v>na</v>
      </c>
      <c r="BT123" s="82" t="str">
        <f t="shared" si="64"/>
        <v>na</v>
      </c>
      <c r="BU123" s="82" t="str">
        <f t="shared" si="64"/>
        <v>na</v>
      </c>
      <c r="BV123" s="82" t="str">
        <f t="shared" ref="BV123:CV123" si="65" xml:space="preserve"> IF(AND(BV122 = 1, SUM(BV118:BV121) &gt; CHK_TOL), BV117 / SUM(BV118:BV121), "na")</f>
        <v>na</v>
      </c>
      <c r="BW123" s="82" t="str">
        <f t="shared" si="65"/>
        <v>na</v>
      </c>
      <c r="BX123" s="82" t="str">
        <f t="shared" si="65"/>
        <v>na</v>
      </c>
      <c r="BY123" s="82" t="str">
        <f t="shared" si="65"/>
        <v>na</v>
      </c>
      <c r="BZ123" s="82" t="str">
        <f t="shared" si="65"/>
        <v>na</v>
      </c>
      <c r="CA123" s="82" t="str">
        <f t="shared" si="65"/>
        <v>na</v>
      </c>
      <c r="CB123" s="82" t="str">
        <f t="shared" si="65"/>
        <v>na</v>
      </c>
      <c r="CC123" s="82" t="str">
        <f t="shared" si="65"/>
        <v>na</v>
      </c>
      <c r="CD123" s="82" t="str">
        <f t="shared" si="65"/>
        <v>na</v>
      </c>
      <c r="CE123" s="82" t="str">
        <f t="shared" si="65"/>
        <v>na</v>
      </c>
      <c r="CF123" s="82" t="str">
        <f t="shared" si="65"/>
        <v>na</v>
      </c>
      <c r="CG123" s="82" t="str">
        <f t="shared" si="65"/>
        <v>na</v>
      </c>
      <c r="CH123" s="82" t="str">
        <f t="shared" si="65"/>
        <v>na</v>
      </c>
      <c r="CI123" s="82" t="str">
        <f t="shared" si="65"/>
        <v>na</v>
      </c>
      <c r="CJ123" s="82" t="str">
        <f t="shared" si="65"/>
        <v>na</v>
      </c>
      <c r="CK123" s="82" t="str">
        <f t="shared" si="65"/>
        <v>na</v>
      </c>
      <c r="CL123" s="82" t="str">
        <f t="shared" si="65"/>
        <v>na</v>
      </c>
      <c r="CM123" s="82" t="str">
        <f t="shared" si="65"/>
        <v>na</v>
      </c>
      <c r="CN123" s="82" t="str">
        <f t="shared" si="65"/>
        <v>na</v>
      </c>
      <c r="CO123" s="82" t="str">
        <f t="shared" si="65"/>
        <v>na</v>
      </c>
      <c r="CP123" s="82" t="str">
        <f t="shared" si="65"/>
        <v>na</v>
      </c>
      <c r="CQ123" s="82" t="str">
        <f t="shared" si="65"/>
        <v>na</v>
      </c>
      <c r="CR123" s="82" t="str">
        <f t="shared" si="65"/>
        <v>na</v>
      </c>
      <c r="CS123" s="82" t="str">
        <f t="shared" si="65"/>
        <v>na</v>
      </c>
      <c r="CT123" s="82" t="str">
        <f t="shared" si="65"/>
        <v>na</v>
      </c>
      <c r="CU123" s="82" t="str">
        <f t="shared" si="65"/>
        <v>na</v>
      </c>
      <c r="CV123" s="82" t="str">
        <f t="shared" si="65"/>
        <v>na</v>
      </c>
    </row>
    <row r="124" spans="1:100" outlineLevel="1" x14ac:dyDescent="0.2">
      <c r="A124" s="653"/>
      <c r="B124" s="597"/>
      <c r="C124" s="598"/>
      <c r="D124" s="282"/>
      <c r="E124" s="282"/>
      <c r="F124" s="282"/>
      <c r="G124" s="282"/>
      <c r="H124" s="282"/>
      <c r="I124" s="282"/>
      <c r="J124" s="282"/>
      <c r="K124" s="282"/>
      <c r="L124" s="282"/>
      <c r="M124" s="282"/>
      <c r="N124" s="282"/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2"/>
      <c r="AF124" s="282"/>
      <c r="AG124" s="282"/>
      <c r="AH124" s="282"/>
      <c r="AI124" s="282"/>
      <c r="AJ124" s="282"/>
      <c r="AK124" s="282"/>
      <c r="AL124" s="282"/>
      <c r="AM124" s="282"/>
      <c r="AN124" s="282"/>
      <c r="AO124" s="282"/>
      <c r="AP124" s="282"/>
      <c r="AQ124" s="282"/>
      <c r="AR124" s="282"/>
      <c r="AS124" s="282"/>
      <c r="AT124" s="282"/>
      <c r="AU124" s="282"/>
      <c r="AV124" s="282"/>
      <c r="AW124" s="282"/>
      <c r="AX124" s="282"/>
      <c r="AY124" s="282"/>
      <c r="AZ124" s="282"/>
      <c r="BA124" s="282"/>
      <c r="BB124" s="282"/>
      <c r="BC124" s="282"/>
      <c r="BD124" s="282"/>
      <c r="BE124" s="282"/>
      <c r="BF124" s="282"/>
      <c r="BG124" s="282"/>
      <c r="BH124" s="282"/>
      <c r="BI124" s="282"/>
      <c r="BJ124" s="282"/>
      <c r="BK124" s="282"/>
      <c r="BL124" s="282"/>
      <c r="BM124" s="282"/>
      <c r="BN124" s="282"/>
      <c r="BO124" s="282"/>
      <c r="BP124" s="282"/>
      <c r="BQ124" s="282"/>
      <c r="BR124" s="282"/>
      <c r="BS124" s="282"/>
      <c r="BT124" s="282"/>
      <c r="BU124" s="282"/>
      <c r="BV124" s="282"/>
      <c r="BW124" s="282"/>
      <c r="BX124" s="282"/>
      <c r="BY124" s="282"/>
      <c r="BZ124" s="282"/>
      <c r="CA124" s="282"/>
      <c r="CB124" s="282"/>
      <c r="CC124" s="282"/>
      <c r="CD124" s="282"/>
      <c r="CE124" s="282"/>
      <c r="CF124" s="282"/>
      <c r="CG124" s="282"/>
      <c r="CH124" s="282"/>
      <c r="CI124" s="282"/>
      <c r="CJ124" s="282"/>
      <c r="CK124" s="282"/>
      <c r="CL124" s="282"/>
      <c r="CM124" s="282"/>
      <c r="CN124" s="282"/>
      <c r="CO124" s="282"/>
      <c r="CP124" s="282"/>
      <c r="CQ124" s="282"/>
      <c r="CR124" s="282"/>
      <c r="CS124" s="282"/>
      <c r="CT124" s="282"/>
      <c r="CU124" s="282"/>
      <c r="CV124" s="282"/>
    </row>
    <row r="125" spans="1:100" outlineLevel="1" x14ac:dyDescent="0.2">
      <c r="A125" s="33"/>
      <c r="B125" s="79"/>
      <c r="C125" s="561"/>
      <c r="D125" s="60"/>
      <c r="E125" s="602" t="str">
        <f t="shared" ref="E125:AJ125" si="66" xml:space="preserve"> E$123</f>
        <v>Loan life coverage ratio</v>
      </c>
      <c r="F125" s="602">
        <f t="shared" si="66"/>
        <v>0</v>
      </c>
      <c r="G125" s="602" t="str">
        <f t="shared" si="66"/>
        <v>ratio</v>
      </c>
      <c r="H125" s="602">
        <f t="shared" si="66"/>
        <v>0</v>
      </c>
      <c r="I125" s="602">
        <f t="shared" si="66"/>
        <v>0</v>
      </c>
      <c r="J125" s="602" t="str">
        <f t="shared" si="66"/>
        <v>na</v>
      </c>
      <c r="K125" s="602" t="str">
        <f t="shared" si="66"/>
        <v>na</v>
      </c>
      <c r="L125" s="602" t="str">
        <f t="shared" si="66"/>
        <v>na</v>
      </c>
      <c r="M125" s="602" t="str">
        <f t="shared" si="66"/>
        <v>na</v>
      </c>
      <c r="N125" s="602">
        <f t="shared" si="66"/>
        <v>1.3999999518334354</v>
      </c>
      <c r="O125" s="602">
        <f t="shared" si="66"/>
        <v>1.3999999526511662</v>
      </c>
      <c r="P125" s="602">
        <f t="shared" si="66"/>
        <v>1.3999999534932168</v>
      </c>
      <c r="Q125" s="602">
        <f t="shared" si="66"/>
        <v>1.3999999544426829</v>
      </c>
      <c r="R125" s="602">
        <f t="shared" si="66"/>
        <v>1.3999999554960927</v>
      </c>
      <c r="S125" s="602">
        <f t="shared" si="66"/>
        <v>1.399999956680253</v>
      </c>
      <c r="T125" s="602">
        <f t="shared" si="66"/>
        <v>1.3999999579899691</v>
      </c>
      <c r="U125" s="602">
        <f t="shared" si="66"/>
        <v>1.3999999594604169</v>
      </c>
      <c r="V125" s="602">
        <f t="shared" si="66"/>
        <v>1.3999999610886154</v>
      </c>
      <c r="W125" s="602">
        <f t="shared" si="66"/>
        <v>1.3999999629114828</v>
      </c>
      <c r="X125" s="602">
        <f t="shared" si="66"/>
        <v>1.3999999649293318</v>
      </c>
      <c r="Y125" s="602">
        <f t="shared" si="66"/>
        <v>1.3999999672194579</v>
      </c>
      <c r="Z125" s="602">
        <f t="shared" si="66"/>
        <v>1.3999999697571388</v>
      </c>
      <c r="AA125" s="602">
        <f t="shared" si="66"/>
        <v>1.3999999726216581</v>
      </c>
      <c r="AB125" s="602">
        <f t="shared" si="66"/>
        <v>1.3999999758099402</v>
      </c>
      <c r="AC125" s="602">
        <f t="shared" si="66"/>
        <v>1.399999979428437</v>
      </c>
      <c r="AD125" s="602">
        <f t="shared" si="66"/>
        <v>1.3999999834926327</v>
      </c>
      <c r="AE125" s="602">
        <f t="shared" si="66"/>
        <v>1.3999999881263852</v>
      </c>
      <c r="AF125" s="602">
        <f t="shared" si="66"/>
        <v>1.3999999933748932</v>
      </c>
      <c r="AG125" s="602">
        <f t="shared" si="66"/>
        <v>1.3999999994458594</v>
      </c>
      <c r="AH125" s="602">
        <f t="shared" si="66"/>
        <v>1.4000000064094098</v>
      </c>
      <c r="AI125" s="602">
        <f t="shared" si="66"/>
        <v>1.4000000146775937</v>
      </c>
      <c r="AJ125" s="602">
        <f t="shared" si="66"/>
        <v>1.4000000243280779</v>
      </c>
      <c r="AK125" s="602">
        <f t="shared" ref="AK125:BP125" si="67" xml:space="preserve"> AK$123</f>
        <v>1.4000000358978897</v>
      </c>
      <c r="AL125" s="602">
        <f t="shared" si="67"/>
        <v>1.4000000497904497</v>
      </c>
      <c r="AM125" s="602">
        <f t="shared" si="67"/>
        <v>1.4000000669213453</v>
      </c>
      <c r="AN125" s="602">
        <f t="shared" si="67"/>
        <v>1.4000000882944792</v>
      </c>
      <c r="AO125" s="602">
        <f t="shared" si="67"/>
        <v>1.4000001160504001</v>
      </c>
      <c r="AP125" s="602">
        <f t="shared" si="67"/>
        <v>1.4000001529087001</v>
      </c>
      <c r="AQ125" s="602">
        <f t="shared" si="67"/>
        <v>1.4000002049451801</v>
      </c>
      <c r="AR125" s="602">
        <f t="shared" si="67"/>
        <v>1.4000002826329552</v>
      </c>
      <c r="AS125" s="602">
        <f t="shared" si="67"/>
        <v>1.4000004866414513</v>
      </c>
      <c r="AT125" s="602">
        <f t="shared" si="67"/>
        <v>1.4000009303006133</v>
      </c>
      <c r="AU125" s="602">
        <f t="shared" si="67"/>
        <v>1.4000024143872372</v>
      </c>
      <c r="AV125" s="602" t="str">
        <f t="shared" si="67"/>
        <v>na</v>
      </c>
      <c r="AW125" s="602" t="str">
        <f t="shared" si="67"/>
        <v>na</v>
      </c>
      <c r="AX125" s="602" t="str">
        <f t="shared" si="67"/>
        <v>na</v>
      </c>
      <c r="AY125" s="602" t="str">
        <f t="shared" si="67"/>
        <v>na</v>
      </c>
      <c r="AZ125" s="602" t="str">
        <f t="shared" si="67"/>
        <v>na</v>
      </c>
      <c r="BA125" s="602" t="str">
        <f t="shared" si="67"/>
        <v>na</v>
      </c>
      <c r="BB125" s="602" t="str">
        <f t="shared" si="67"/>
        <v>na</v>
      </c>
      <c r="BC125" s="602" t="str">
        <f t="shared" si="67"/>
        <v>na</v>
      </c>
      <c r="BD125" s="602" t="str">
        <f t="shared" si="67"/>
        <v>na</v>
      </c>
      <c r="BE125" s="602" t="str">
        <f t="shared" si="67"/>
        <v>na</v>
      </c>
      <c r="BF125" s="602" t="str">
        <f t="shared" si="67"/>
        <v>na</v>
      </c>
      <c r="BG125" s="602" t="str">
        <f t="shared" si="67"/>
        <v>na</v>
      </c>
      <c r="BH125" s="602" t="str">
        <f t="shared" si="67"/>
        <v>na</v>
      </c>
      <c r="BI125" s="602" t="str">
        <f t="shared" si="67"/>
        <v>na</v>
      </c>
      <c r="BJ125" s="602" t="str">
        <f t="shared" si="67"/>
        <v>na</v>
      </c>
      <c r="BK125" s="602" t="str">
        <f t="shared" si="67"/>
        <v>na</v>
      </c>
      <c r="BL125" s="602" t="str">
        <f t="shared" si="67"/>
        <v>na</v>
      </c>
      <c r="BM125" s="602" t="str">
        <f t="shared" si="67"/>
        <v>na</v>
      </c>
      <c r="BN125" s="602" t="str">
        <f t="shared" si="67"/>
        <v>na</v>
      </c>
      <c r="BO125" s="602" t="str">
        <f t="shared" si="67"/>
        <v>na</v>
      </c>
      <c r="BP125" s="602" t="str">
        <f t="shared" si="67"/>
        <v>na</v>
      </c>
      <c r="BQ125" s="602" t="str">
        <f t="shared" ref="BQ125:CV125" si="68" xml:space="preserve"> BQ$123</f>
        <v>na</v>
      </c>
      <c r="BR125" s="602" t="str">
        <f t="shared" si="68"/>
        <v>na</v>
      </c>
      <c r="BS125" s="602" t="str">
        <f t="shared" si="68"/>
        <v>na</v>
      </c>
      <c r="BT125" s="602" t="str">
        <f t="shared" si="68"/>
        <v>na</v>
      </c>
      <c r="BU125" s="602" t="str">
        <f t="shared" si="68"/>
        <v>na</v>
      </c>
      <c r="BV125" s="602" t="str">
        <f t="shared" si="68"/>
        <v>na</v>
      </c>
      <c r="BW125" s="602" t="str">
        <f t="shared" si="68"/>
        <v>na</v>
      </c>
      <c r="BX125" s="602" t="str">
        <f t="shared" si="68"/>
        <v>na</v>
      </c>
      <c r="BY125" s="602" t="str">
        <f t="shared" si="68"/>
        <v>na</v>
      </c>
      <c r="BZ125" s="602" t="str">
        <f t="shared" si="68"/>
        <v>na</v>
      </c>
      <c r="CA125" s="602" t="str">
        <f t="shared" si="68"/>
        <v>na</v>
      </c>
      <c r="CB125" s="602" t="str">
        <f t="shared" si="68"/>
        <v>na</v>
      </c>
      <c r="CC125" s="602" t="str">
        <f t="shared" si="68"/>
        <v>na</v>
      </c>
      <c r="CD125" s="602" t="str">
        <f t="shared" si="68"/>
        <v>na</v>
      </c>
      <c r="CE125" s="602" t="str">
        <f t="shared" si="68"/>
        <v>na</v>
      </c>
      <c r="CF125" s="602" t="str">
        <f t="shared" si="68"/>
        <v>na</v>
      </c>
      <c r="CG125" s="602" t="str">
        <f t="shared" si="68"/>
        <v>na</v>
      </c>
      <c r="CH125" s="602" t="str">
        <f t="shared" si="68"/>
        <v>na</v>
      </c>
      <c r="CI125" s="602" t="str">
        <f t="shared" si="68"/>
        <v>na</v>
      </c>
      <c r="CJ125" s="602" t="str">
        <f t="shared" si="68"/>
        <v>na</v>
      </c>
      <c r="CK125" s="602" t="str">
        <f t="shared" si="68"/>
        <v>na</v>
      </c>
      <c r="CL125" s="602" t="str">
        <f t="shared" si="68"/>
        <v>na</v>
      </c>
      <c r="CM125" s="602" t="str">
        <f t="shared" si="68"/>
        <v>na</v>
      </c>
      <c r="CN125" s="602" t="str">
        <f t="shared" si="68"/>
        <v>na</v>
      </c>
      <c r="CO125" s="602" t="str">
        <f t="shared" si="68"/>
        <v>na</v>
      </c>
      <c r="CP125" s="602" t="str">
        <f t="shared" si="68"/>
        <v>na</v>
      </c>
      <c r="CQ125" s="602" t="str">
        <f t="shared" si="68"/>
        <v>na</v>
      </c>
      <c r="CR125" s="602" t="str">
        <f t="shared" si="68"/>
        <v>na</v>
      </c>
      <c r="CS125" s="602" t="str">
        <f t="shared" si="68"/>
        <v>na</v>
      </c>
      <c r="CT125" s="602" t="str">
        <f t="shared" si="68"/>
        <v>na</v>
      </c>
      <c r="CU125" s="602" t="str">
        <f t="shared" si="68"/>
        <v>na</v>
      </c>
      <c r="CV125" s="602" t="str">
        <f t="shared" si="68"/>
        <v>na</v>
      </c>
    </row>
    <row r="126" spans="1:100" s="188" customFormat="1" outlineLevel="1" x14ac:dyDescent="0.2">
      <c r="A126" s="141"/>
      <c r="B126" s="141"/>
      <c r="C126" s="142"/>
      <c r="D126" s="143"/>
      <c r="E126" s="187" t="s">
        <v>400</v>
      </c>
      <c r="F126" s="411">
        <f xml:space="preserve"> MIN(J125:CV125)</f>
        <v>1.3999999518334354</v>
      </c>
      <c r="G126" s="187" t="s">
        <v>164</v>
      </c>
      <c r="H126" s="187"/>
      <c r="I126" s="144"/>
      <c r="J126" s="411"/>
      <c r="K126" s="411"/>
      <c r="L126" s="411"/>
      <c r="M126" s="411"/>
      <c r="N126" s="411"/>
      <c r="O126" s="411"/>
      <c r="P126" s="411"/>
      <c r="Q126" s="411"/>
      <c r="R126" s="411"/>
      <c r="S126" s="411"/>
      <c r="T126" s="411"/>
      <c r="U126" s="411"/>
      <c r="V126" s="411"/>
      <c r="W126" s="411"/>
      <c r="X126" s="411"/>
      <c r="Y126" s="411"/>
      <c r="Z126" s="411"/>
      <c r="AA126" s="411"/>
      <c r="AB126" s="411"/>
      <c r="AC126" s="411"/>
      <c r="AD126" s="411"/>
      <c r="AE126" s="411"/>
      <c r="AF126" s="411"/>
      <c r="AG126" s="411"/>
      <c r="AH126" s="411"/>
      <c r="AI126" s="411"/>
      <c r="AJ126" s="411"/>
      <c r="AK126" s="411"/>
      <c r="AL126" s="411"/>
      <c r="AM126" s="411"/>
      <c r="AN126" s="411"/>
      <c r="AO126" s="411"/>
      <c r="AP126" s="411"/>
      <c r="AQ126" s="411"/>
      <c r="AR126" s="411"/>
      <c r="AS126" s="411"/>
      <c r="AT126" s="411"/>
      <c r="AU126" s="411"/>
      <c r="AV126" s="411"/>
      <c r="AW126" s="411"/>
      <c r="AX126" s="411"/>
      <c r="AY126" s="411"/>
      <c r="AZ126" s="411"/>
      <c r="BA126" s="411"/>
      <c r="BB126" s="411"/>
      <c r="BC126" s="411"/>
      <c r="BD126" s="411"/>
      <c r="BE126" s="411"/>
      <c r="BF126" s="411"/>
      <c r="BG126" s="411"/>
      <c r="BH126" s="411"/>
      <c r="BI126" s="411"/>
      <c r="BJ126" s="411"/>
      <c r="BK126" s="411"/>
      <c r="BL126" s="411"/>
      <c r="BM126" s="411"/>
      <c r="BN126" s="411"/>
      <c r="BO126" s="411"/>
      <c r="BP126" s="411"/>
      <c r="BQ126" s="411"/>
      <c r="BR126" s="411"/>
      <c r="BS126" s="411"/>
      <c r="BT126" s="411"/>
      <c r="BU126" s="411"/>
      <c r="BV126" s="411"/>
      <c r="BW126" s="411"/>
      <c r="BX126" s="411"/>
      <c r="BY126" s="411"/>
      <c r="BZ126" s="411"/>
      <c r="CA126" s="411"/>
      <c r="CB126" s="411"/>
      <c r="CC126" s="411"/>
      <c r="CD126" s="411"/>
      <c r="CE126" s="411"/>
      <c r="CF126" s="411"/>
      <c r="CG126" s="411"/>
      <c r="CH126" s="411"/>
      <c r="CI126" s="411"/>
      <c r="CJ126" s="411"/>
      <c r="CK126" s="411"/>
      <c r="CL126" s="411"/>
      <c r="CM126" s="411"/>
      <c r="CN126" s="411"/>
      <c r="CO126" s="411"/>
      <c r="CP126" s="411"/>
      <c r="CQ126" s="411"/>
      <c r="CR126" s="411"/>
      <c r="CS126" s="411"/>
      <c r="CT126" s="411"/>
      <c r="CU126" s="411"/>
      <c r="CV126" s="411"/>
    </row>
    <row r="127" spans="1:100" s="188" customFormat="1" outlineLevel="1" x14ac:dyDescent="0.2">
      <c r="A127" s="141"/>
      <c r="B127" s="141"/>
      <c r="C127" s="142"/>
      <c r="D127" s="143"/>
      <c r="E127" s="187" t="s">
        <v>404</v>
      </c>
      <c r="F127" s="411">
        <f xml:space="preserve"> AVERAGE(J125:CV125)</f>
        <v>1.400000124542319</v>
      </c>
      <c r="G127" s="187" t="s">
        <v>164</v>
      </c>
      <c r="H127" s="187"/>
      <c r="I127" s="144"/>
      <c r="J127" s="411"/>
      <c r="K127" s="411"/>
      <c r="L127" s="411"/>
      <c r="M127" s="411"/>
      <c r="N127" s="411"/>
      <c r="O127" s="411"/>
      <c r="P127" s="411"/>
      <c r="Q127" s="411"/>
      <c r="R127" s="411"/>
      <c r="S127" s="411"/>
      <c r="T127" s="411"/>
      <c r="U127" s="411"/>
      <c r="V127" s="411"/>
      <c r="W127" s="411"/>
      <c r="X127" s="411"/>
      <c r="Y127" s="411"/>
      <c r="Z127" s="411"/>
      <c r="AA127" s="411"/>
      <c r="AB127" s="411"/>
      <c r="AC127" s="411"/>
      <c r="AD127" s="411"/>
      <c r="AE127" s="411"/>
      <c r="AF127" s="411"/>
      <c r="AG127" s="411"/>
      <c r="AH127" s="411"/>
      <c r="AI127" s="411"/>
      <c r="AJ127" s="411"/>
      <c r="AK127" s="411"/>
      <c r="AL127" s="411"/>
      <c r="AM127" s="411"/>
      <c r="AN127" s="411"/>
      <c r="AO127" s="411"/>
      <c r="AP127" s="411"/>
      <c r="AQ127" s="411"/>
      <c r="AR127" s="411"/>
      <c r="AS127" s="411"/>
      <c r="AT127" s="411"/>
      <c r="AU127" s="411"/>
      <c r="AV127" s="411"/>
      <c r="AW127" s="411"/>
      <c r="AX127" s="411"/>
      <c r="AY127" s="411"/>
      <c r="AZ127" s="411"/>
      <c r="BA127" s="411"/>
      <c r="BB127" s="411"/>
      <c r="BC127" s="411"/>
      <c r="BD127" s="411"/>
      <c r="BE127" s="411"/>
      <c r="BF127" s="411"/>
      <c r="BG127" s="411"/>
      <c r="BH127" s="411"/>
      <c r="BI127" s="411"/>
      <c r="BJ127" s="411"/>
      <c r="BK127" s="411"/>
      <c r="BL127" s="411"/>
      <c r="BM127" s="411"/>
      <c r="BN127" s="411"/>
      <c r="BO127" s="411"/>
      <c r="BP127" s="411"/>
      <c r="BQ127" s="411"/>
      <c r="BR127" s="411"/>
      <c r="BS127" s="411"/>
      <c r="BT127" s="411"/>
      <c r="BU127" s="411"/>
      <c r="BV127" s="411"/>
      <c r="BW127" s="411"/>
      <c r="BX127" s="411"/>
      <c r="BY127" s="411"/>
      <c r="BZ127" s="411"/>
      <c r="CA127" s="411"/>
      <c r="CB127" s="411"/>
      <c r="CC127" s="411"/>
      <c r="CD127" s="411"/>
      <c r="CE127" s="411"/>
      <c r="CF127" s="411"/>
      <c r="CG127" s="411"/>
      <c r="CH127" s="411"/>
      <c r="CI127" s="411"/>
      <c r="CJ127" s="411"/>
      <c r="CK127" s="411"/>
      <c r="CL127" s="411"/>
      <c r="CM127" s="411"/>
      <c r="CN127" s="411"/>
      <c r="CO127" s="411"/>
      <c r="CP127" s="411"/>
      <c r="CQ127" s="411"/>
      <c r="CR127" s="411"/>
      <c r="CS127" s="411"/>
      <c r="CT127" s="411"/>
      <c r="CU127" s="411"/>
      <c r="CV127" s="411"/>
    </row>
    <row r="128" spans="1:100" outlineLevel="1" x14ac:dyDescent="0.2">
      <c r="A128" s="405"/>
      <c r="B128" s="431"/>
      <c r="C128" s="564"/>
      <c r="D128" s="565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  <c r="BK128" s="191"/>
      <c r="BL128" s="191"/>
      <c r="BM128" s="191"/>
      <c r="BN128" s="191"/>
      <c r="BO128" s="191"/>
      <c r="BP128" s="191"/>
      <c r="BQ128" s="191"/>
      <c r="BR128" s="191"/>
      <c r="BS128" s="191"/>
      <c r="BT128" s="191"/>
      <c r="BU128" s="191"/>
      <c r="BV128" s="191"/>
      <c r="BW128" s="191"/>
      <c r="BX128" s="191"/>
      <c r="BY128" s="191"/>
      <c r="BZ128" s="191"/>
      <c r="CA128" s="191"/>
      <c r="CB128" s="191"/>
      <c r="CC128" s="191"/>
      <c r="CD128" s="191"/>
      <c r="CE128" s="191"/>
      <c r="CF128" s="191"/>
      <c r="CG128" s="191"/>
      <c r="CH128" s="191"/>
      <c r="CI128" s="191"/>
      <c r="CJ128" s="191"/>
      <c r="CK128" s="191"/>
      <c r="CL128" s="191"/>
      <c r="CM128" s="191"/>
      <c r="CN128" s="191"/>
      <c r="CO128" s="191"/>
      <c r="CP128" s="191"/>
      <c r="CQ128" s="191"/>
      <c r="CR128" s="191"/>
      <c r="CS128" s="191"/>
      <c r="CT128" s="191"/>
      <c r="CU128" s="191"/>
      <c r="CV128" s="191"/>
    </row>
    <row r="129" spans="1:100" x14ac:dyDescent="0.2"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82"/>
      <c r="AD129" s="82"/>
      <c r="AE129" s="82"/>
      <c r="AF129" s="82"/>
      <c r="AG129" s="82"/>
      <c r="AH129" s="82"/>
      <c r="AI129" s="82"/>
      <c r="AJ129" s="82"/>
      <c r="AK129" s="82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2"/>
      <c r="AW129" s="82"/>
      <c r="AX129" s="82"/>
      <c r="AY129" s="82"/>
      <c r="AZ129" s="82"/>
      <c r="BA129" s="82"/>
      <c r="BB129" s="82"/>
      <c r="BC129" s="82"/>
      <c r="BD129" s="82"/>
      <c r="BE129" s="82"/>
      <c r="BF129" s="82"/>
      <c r="BG129" s="82"/>
      <c r="BH129" s="82"/>
      <c r="BI129" s="82"/>
      <c r="BJ129" s="82"/>
      <c r="BK129" s="82"/>
      <c r="BL129" s="82"/>
      <c r="BM129" s="82"/>
      <c r="BN129" s="82"/>
      <c r="BO129" s="82"/>
      <c r="BP129" s="82"/>
      <c r="BQ129" s="82"/>
      <c r="BR129" s="82"/>
      <c r="BS129" s="82"/>
      <c r="BT129" s="82"/>
      <c r="BU129" s="82"/>
      <c r="BV129" s="82"/>
      <c r="BW129" s="82"/>
      <c r="BX129" s="82"/>
      <c r="BY129" s="82"/>
      <c r="BZ129" s="82"/>
      <c r="CA129" s="82"/>
      <c r="CB129" s="82"/>
      <c r="CC129" s="82"/>
      <c r="CD129" s="82"/>
      <c r="CE129" s="82"/>
      <c r="CF129" s="82"/>
      <c r="CG129" s="82"/>
      <c r="CH129" s="82"/>
      <c r="CI129" s="82"/>
      <c r="CJ129" s="82"/>
      <c r="CK129" s="82"/>
      <c r="CL129" s="82"/>
      <c r="CM129" s="82"/>
      <c r="CN129" s="82"/>
      <c r="CO129" s="82"/>
      <c r="CP129" s="82"/>
      <c r="CQ129" s="82"/>
      <c r="CR129" s="82"/>
      <c r="CS129" s="82"/>
      <c r="CT129" s="82"/>
      <c r="CU129" s="82"/>
      <c r="CV129" s="82"/>
    </row>
    <row r="130" spans="1:100" x14ac:dyDescent="0.2">
      <c r="A130" s="15" t="s">
        <v>390</v>
      </c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82"/>
      <c r="AD130" s="82"/>
      <c r="AE130" s="82"/>
      <c r="AF130" s="82"/>
      <c r="AG130" s="82"/>
      <c r="AH130" s="82"/>
      <c r="AI130" s="82"/>
      <c r="AJ130" s="82"/>
      <c r="AK130" s="82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2"/>
      <c r="AW130" s="82"/>
      <c r="AX130" s="82"/>
      <c r="AY130" s="82"/>
      <c r="AZ130" s="82"/>
      <c r="BA130" s="82"/>
      <c r="BB130" s="82"/>
      <c r="BC130" s="82"/>
      <c r="BD130" s="82"/>
      <c r="BE130" s="82"/>
      <c r="BF130" s="82"/>
      <c r="BG130" s="82"/>
      <c r="BH130" s="82"/>
      <c r="BI130" s="82"/>
      <c r="BJ130" s="82"/>
      <c r="BK130" s="82"/>
      <c r="BL130" s="82"/>
      <c r="BM130" s="82"/>
      <c r="BN130" s="82"/>
      <c r="BO130" s="82"/>
      <c r="BP130" s="82"/>
      <c r="BQ130" s="82"/>
      <c r="BR130" s="82"/>
      <c r="BS130" s="82"/>
      <c r="BT130" s="82"/>
      <c r="BU130" s="82"/>
      <c r="BV130" s="82"/>
      <c r="BW130" s="82"/>
      <c r="BX130" s="82"/>
      <c r="BY130" s="82"/>
      <c r="BZ130" s="82"/>
      <c r="CA130" s="82"/>
      <c r="CB130" s="82"/>
      <c r="CC130" s="82"/>
      <c r="CD130" s="82"/>
      <c r="CE130" s="82"/>
      <c r="CF130" s="82"/>
      <c r="CG130" s="82"/>
      <c r="CH130" s="82"/>
      <c r="CI130" s="82"/>
      <c r="CJ130" s="82"/>
      <c r="CK130" s="82"/>
      <c r="CL130" s="82"/>
      <c r="CM130" s="82"/>
      <c r="CN130" s="82"/>
      <c r="CO130" s="82"/>
      <c r="CP130" s="82"/>
      <c r="CQ130" s="82"/>
      <c r="CR130" s="82"/>
      <c r="CS130" s="82"/>
      <c r="CT130" s="82"/>
      <c r="CU130" s="82"/>
      <c r="CV130" s="82"/>
    </row>
    <row r="131" spans="1:100" outlineLevel="1" x14ac:dyDescent="0.2"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82"/>
      <c r="AD131" s="82"/>
      <c r="AE131" s="82"/>
      <c r="AF131" s="82"/>
      <c r="AG131" s="82"/>
      <c r="AH131" s="82"/>
      <c r="AI131" s="82"/>
      <c r="AJ131" s="82"/>
      <c r="AK131" s="82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2"/>
      <c r="AW131" s="82"/>
      <c r="AX131" s="82"/>
      <c r="AY131" s="82"/>
      <c r="AZ131" s="82"/>
      <c r="BA131" s="82"/>
      <c r="BB131" s="82"/>
      <c r="BC131" s="82"/>
      <c r="BD131" s="82"/>
      <c r="BE131" s="82"/>
      <c r="BF131" s="82"/>
      <c r="BG131" s="82"/>
      <c r="BH131" s="82"/>
      <c r="BI131" s="82"/>
      <c r="BJ131" s="82"/>
      <c r="BK131" s="82"/>
      <c r="BL131" s="82"/>
      <c r="BM131" s="82"/>
      <c r="BN131" s="82"/>
      <c r="BO131" s="82"/>
      <c r="BP131" s="82"/>
      <c r="BQ131" s="82"/>
      <c r="BR131" s="82"/>
      <c r="BS131" s="82"/>
      <c r="BT131" s="82"/>
      <c r="BU131" s="82"/>
      <c r="BV131" s="82"/>
      <c r="BW131" s="82"/>
      <c r="BX131" s="82"/>
      <c r="BY131" s="82"/>
      <c r="BZ131" s="82"/>
      <c r="CA131" s="82"/>
      <c r="CB131" s="82"/>
      <c r="CC131" s="82"/>
      <c r="CD131" s="82"/>
      <c r="CE131" s="82"/>
      <c r="CF131" s="82"/>
      <c r="CG131" s="82"/>
      <c r="CH131" s="82"/>
      <c r="CI131" s="82"/>
      <c r="CJ131" s="82"/>
      <c r="CK131" s="82"/>
      <c r="CL131" s="82"/>
      <c r="CM131" s="82"/>
      <c r="CN131" s="82"/>
      <c r="CO131" s="82"/>
      <c r="CP131" s="82"/>
      <c r="CQ131" s="82"/>
      <c r="CR131" s="82"/>
      <c r="CS131" s="82"/>
      <c r="CT131" s="82"/>
      <c r="CU131" s="82"/>
      <c r="CV131" s="82"/>
    </row>
    <row r="132" spans="1:100" outlineLevel="1" x14ac:dyDescent="0.2">
      <c r="A132" s="85"/>
      <c r="B132" s="85"/>
      <c r="C132" s="86"/>
      <c r="D132" s="87"/>
      <c r="E132" s="396" t="str">
        <f xml:space="preserve"> InpC!E$420</f>
        <v>Small negative value for IRR</v>
      </c>
      <c r="F132" s="396">
        <f xml:space="preserve"> InpC!F$420</f>
        <v>-1.0000000000000001E-9</v>
      </c>
      <c r="G132" s="396" t="str">
        <f xml:space="preserve"> InpC!G$420</f>
        <v>$ 000s</v>
      </c>
      <c r="H132" s="125"/>
      <c r="I132" s="125"/>
      <c r="J132" s="125"/>
      <c r="K132" s="125"/>
      <c r="L132" s="461"/>
      <c r="M132" s="461"/>
      <c r="N132" s="461"/>
      <c r="O132" s="461"/>
      <c r="P132" s="461"/>
      <c r="Q132" s="461"/>
      <c r="R132" s="461"/>
      <c r="S132" s="461"/>
      <c r="T132" s="461"/>
      <c r="U132" s="461"/>
      <c r="V132" s="461"/>
      <c r="W132" s="461"/>
      <c r="X132" s="461"/>
      <c r="Y132" s="461"/>
      <c r="Z132" s="461"/>
      <c r="AA132" s="461"/>
      <c r="AB132" s="461"/>
      <c r="AC132" s="461"/>
      <c r="AD132" s="461"/>
      <c r="AE132" s="461"/>
      <c r="AF132" s="461"/>
      <c r="AG132" s="461"/>
      <c r="AH132" s="461"/>
      <c r="AI132" s="461"/>
      <c r="AJ132" s="461"/>
      <c r="AK132" s="461"/>
      <c r="AL132" s="461"/>
      <c r="AM132" s="461"/>
      <c r="AN132" s="461"/>
      <c r="AO132" s="461"/>
      <c r="AP132" s="461"/>
      <c r="AQ132" s="461"/>
      <c r="AR132" s="461"/>
      <c r="AS132" s="461"/>
      <c r="AT132" s="461"/>
      <c r="AU132" s="461"/>
      <c r="AV132" s="461"/>
      <c r="AW132" s="461"/>
      <c r="AX132" s="461"/>
      <c r="AY132" s="461"/>
      <c r="AZ132" s="461"/>
      <c r="BA132" s="461"/>
      <c r="BB132" s="461"/>
      <c r="BC132" s="461"/>
      <c r="BD132" s="461"/>
      <c r="BE132" s="461"/>
      <c r="BF132" s="461"/>
      <c r="BG132" s="461"/>
      <c r="BH132" s="461"/>
      <c r="BI132" s="461"/>
      <c r="BJ132" s="461"/>
      <c r="BK132" s="461"/>
      <c r="BL132" s="461"/>
      <c r="BM132" s="461"/>
      <c r="BN132" s="461"/>
      <c r="BO132" s="461"/>
      <c r="BP132" s="461"/>
      <c r="BQ132" s="461"/>
      <c r="BR132" s="461"/>
      <c r="BS132" s="461"/>
      <c r="BT132" s="461"/>
      <c r="BU132" s="461"/>
      <c r="BV132" s="461"/>
      <c r="BW132" s="461"/>
      <c r="BX132" s="461"/>
      <c r="BY132" s="461"/>
      <c r="BZ132" s="461"/>
      <c r="CA132" s="461"/>
      <c r="CB132" s="461"/>
      <c r="CC132" s="461"/>
      <c r="CD132" s="461"/>
      <c r="CE132" s="461"/>
      <c r="CF132" s="461"/>
      <c r="CG132" s="461"/>
      <c r="CH132" s="461"/>
      <c r="CI132" s="461"/>
      <c r="CJ132" s="461"/>
      <c r="CK132" s="461"/>
      <c r="CL132" s="461"/>
      <c r="CM132" s="461"/>
      <c r="CN132" s="461"/>
      <c r="CO132" s="461"/>
      <c r="CP132" s="461"/>
      <c r="CQ132" s="461"/>
      <c r="CR132" s="461"/>
      <c r="CS132" s="461"/>
      <c r="CT132" s="461"/>
      <c r="CU132" s="461"/>
      <c r="CV132" s="461"/>
    </row>
    <row r="133" spans="1:100" outlineLevel="1" x14ac:dyDescent="0.2">
      <c r="A133" s="85"/>
      <c r="B133" s="85"/>
      <c r="C133" s="86"/>
      <c r="D133" s="87"/>
      <c r="E133" s="125" t="str">
        <f xml:space="preserve"> Time!E$14</f>
        <v>First model column flag</v>
      </c>
      <c r="F133" s="125">
        <f xml:space="preserve"> Time!F$14</f>
        <v>0</v>
      </c>
      <c r="G133" s="125" t="str">
        <f xml:space="preserve"> Time!G$14</f>
        <v>flag</v>
      </c>
      <c r="H133" s="125">
        <f xml:space="preserve"> Time!H$14</f>
        <v>1</v>
      </c>
      <c r="I133" s="125">
        <f xml:space="preserve"> Time!I$14</f>
        <v>0</v>
      </c>
      <c r="J133" s="125">
        <f xml:space="preserve"> Time!J$14</f>
        <v>1</v>
      </c>
      <c r="K133" s="125">
        <f xml:space="preserve"> Time!K$14</f>
        <v>0</v>
      </c>
      <c r="L133" s="125">
        <f xml:space="preserve"> Time!L$14</f>
        <v>0</v>
      </c>
      <c r="M133" s="125">
        <f xml:space="preserve"> Time!M$14</f>
        <v>0</v>
      </c>
      <c r="N133" s="125">
        <f xml:space="preserve"> Time!N$14</f>
        <v>0</v>
      </c>
      <c r="O133" s="125">
        <f xml:space="preserve"> Time!O$14</f>
        <v>0</v>
      </c>
      <c r="P133" s="125">
        <f xml:space="preserve"> Time!P$14</f>
        <v>0</v>
      </c>
      <c r="Q133" s="125">
        <f xml:space="preserve"> Time!Q$14</f>
        <v>0</v>
      </c>
      <c r="R133" s="125">
        <f xml:space="preserve"> Time!R$14</f>
        <v>0</v>
      </c>
      <c r="S133" s="125">
        <f xml:space="preserve"> Time!S$14</f>
        <v>0</v>
      </c>
      <c r="T133" s="125">
        <f xml:space="preserve"> Time!T$14</f>
        <v>0</v>
      </c>
      <c r="U133" s="125">
        <f xml:space="preserve"> Time!U$14</f>
        <v>0</v>
      </c>
      <c r="V133" s="125">
        <f xml:space="preserve"> Time!V$14</f>
        <v>0</v>
      </c>
      <c r="W133" s="125">
        <f xml:space="preserve"> Time!W$14</f>
        <v>0</v>
      </c>
      <c r="X133" s="125">
        <f xml:space="preserve"> Time!X$14</f>
        <v>0</v>
      </c>
      <c r="Y133" s="125">
        <f xml:space="preserve"> Time!Y$14</f>
        <v>0</v>
      </c>
      <c r="Z133" s="125">
        <f xml:space="preserve"> Time!Z$14</f>
        <v>0</v>
      </c>
      <c r="AA133" s="125">
        <f xml:space="preserve"> Time!AA$14</f>
        <v>0</v>
      </c>
      <c r="AB133" s="125">
        <f xml:space="preserve"> Time!AB$14</f>
        <v>0</v>
      </c>
      <c r="AC133" s="125">
        <f xml:space="preserve"> Time!AC$14</f>
        <v>0</v>
      </c>
      <c r="AD133" s="125">
        <f xml:space="preserve"> Time!AD$14</f>
        <v>0</v>
      </c>
      <c r="AE133" s="125">
        <f xml:space="preserve"> Time!AE$14</f>
        <v>0</v>
      </c>
      <c r="AF133" s="125">
        <f xml:space="preserve"> Time!AF$14</f>
        <v>0</v>
      </c>
      <c r="AG133" s="125">
        <f xml:space="preserve"> Time!AG$14</f>
        <v>0</v>
      </c>
      <c r="AH133" s="125">
        <f xml:space="preserve"> Time!AH$14</f>
        <v>0</v>
      </c>
      <c r="AI133" s="125">
        <f xml:space="preserve"> Time!AI$14</f>
        <v>0</v>
      </c>
      <c r="AJ133" s="125">
        <f xml:space="preserve"> Time!AJ$14</f>
        <v>0</v>
      </c>
      <c r="AK133" s="125">
        <f xml:space="preserve"> Time!AK$14</f>
        <v>0</v>
      </c>
      <c r="AL133" s="125">
        <f xml:space="preserve"> Time!AL$14</f>
        <v>0</v>
      </c>
      <c r="AM133" s="125">
        <f xml:space="preserve"> Time!AM$14</f>
        <v>0</v>
      </c>
      <c r="AN133" s="125">
        <f xml:space="preserve"> Time!AN$14</f>
        <v>0</v>
      </c>
      <c r="AO133" s="125">
        <f xml:space="preserve"> Time!AO$14</f>
        <v>0</v>
      </c>
      <c r="AP133" s="125">
        <f xml:space="preserve"> Time!AP$14</f>
        <v>0</v>
      </c>
      <c r="AQ133" s="125">
        <f xml:space="preserve"> Time!AQ$14</f>
        <v>0</v>
      </c>
      <c r="AR133" s="125">
        <f xml:space="preserve"> Time!AR$14</f>
        <v>0</v>
      </c>
      <c r="AS133" s="125">
        <f xml:space="preserve"> Time!AS$14</f>
        <v>0</v>
      </c>
      <c r="AT133" s="125">
        <f xml:space="preserve"> Time!AT$14</f>
        <v>0</v>
      </c>
      <c r="AU133" s="125">
        <f xml:space="preserve"> Time!AU$14</f>
        <v>0</v>
      </c>
      <c r="AV133" s="125">
        <f xml:space="preserve"> Time!AV$14</f>
        <v>0</v>
      </c>
      <c r="AW133" s="125">
        <f xml:space="preserve"> Time!AW$14</f>
        <v>0</v>
      </c>
      <c r="AX133" s="125">
        <f xml:space="preserve"> Time!AX$14</f>
        <v>0</v>
      </c>
      <c r="AY133" s="125">
        <f xml:space="preserve"> Time!AY$14</f>
        <v>0</v>
      </c>
      <c r="AZ133" s="125">
        <f xml:space="preserve"> Time!AZ$14</f>
        <v>0</v>
      </c>
      <c r="BA133" s="125">
        <f xml:space="preserve"> Time!BA$14</f>
        <v>0</v>
      </c>
      <c r="BB133" s="125">
        <f xml:space="preserve"> Time!BB$14</f>
        <v>0</v>
      </c>
      <c r="BC133" s="125">
        <f xml:space="preserve"> Time!BC$14</f>
        <v>0</v>
      </c>
      <c r="BD133" s="125">
        <f xml:space="preserve"> Time!BD$14</f>
        <v>0</v>
      </c>
      <c r="BE133" s="125">
        <f xml:space="preserve"> Time!BE$14</f>
        <v>0</v>
      </c>
      <c r="BF133" s="125">
        <f xml:space="preserve"> Time!BF$14</f>
        <v>0</v>
      </c>
      <c r="BG133" s="125">
        <f xml:space="preserve"> Time!BG$14</f>
        <v>0</v>
      </c>
      <c r="BH133" s="125">
        <f xml:space="preserve"> Time!BH$14</f>
        <v>0</v>
      </c>
      <c r="BI133" s="125">
        <f xml:space="preserve"> Time!BI$14</f>
        <v>0</v>
      </c>
      <c r="BJ133" s="125">
        <f xml:space="preserve"> Time!BJ$14</f>
        <v>0</v>
      </c>
      <c r="BK133" s="125">
        <f xml:space="preserve"> Time!BK$14</f>
        <v>0</v>
      </c>
      <c r="BL133" s="125">
        <f xml:space="preserve"> Time!BL$14</f>
        <v>0</v>
      </c>
      <c r="BM133" s="125">
        <f xml:space="preserve"> Time!BM$14</f>
        <v>0</v>
      </c>
      <c r="BN133" s="125">
        <f xml:space="preserve"> Time!BN$14</f>
        <v>0</v>
      </c>
      <c r="BO133" s="125">
        <f xml:space="preserve"> Time!BO$14</f>
        <v>0</v>
      </c>
      <c r="BP133" s="125">
        <f xml:space="preserve"> Time!BP$14</f>
        <v>0</v>
      </c>
      <c r="BQ133" s="125">
        <f xml:space="preserve"> Time!BQ$14</f>
        <v>0</v>
      </c>
      <c r="BR133" s="125">
        <f xml:space="preserve"> Time!BR$14</f>
        <v>0</v>
      </c>
      <c r="BS133" s="125">
        <f xml:space="preserve"> Time!BS$14</f>
        <v>0</v>
      </c>
      <c r="BT133" s="125">
        <f xml:space="preserve"> Time!BT$14</f>
        <v>0</v>
      </c>
      <c r="BU133" s="125">
        <f xml:space="preserve"> Time!BU$14</f>
        <v>0</v>
      </c>
      <c r="BV133" s="125">
        <f xml:space="preserve"> Time!BV$14</f>
        <v>0</v>
      </c>
      <c r="BW133" s="125">
        <f xml:space="preserve"> Time!BW$14</f>
        <v>0</v>
      </c>
      <c r="BX133" s="125">
        <f xml:space="preserve"> Time!BX$14</f>
        <v>0</v>
      </c>
      <c r="BY133" s="125">
        <f xml:space="preserve"> Time!BY$14</f>
        <v>0</v>
      </c>
      <c r="BZ133" s="125">
        <f xml:space="preserve"> Time!BZ$14</f>
        <v>0</v>
      </c>
      <c r="CA133" s="125">
        <f xml:space="preserve"> Time!CA$14</f>
        <v>0</v>
      </c>
      <c r="CB133" s="125">
        <f xml:space="preserve"> Time!CB$14</f>
        <v>0</v>
      </c>
      <c r="CC133" s="125">
        <f xml:space="preserve"> Time!CC$14</f>
        <v>0</v>
      </c>
      <c r="CD133" s="125">
        <f xml:space="preserve"> Time!CD$14</f>
        <v>0</v>
      </c>
      <c r="CE133" s="125">
        <f xml:space="preserve"> Time!CE$14</f>
        <v>0</v>
      </c>
      <c r="CF133" s="125">
        <f xml:space="preserve"> Time!CF$14</f>
        <v>0</v>
      </c>
      <c r="CG133" s="125">
        <f xml:space="preserve"> Time!CG$14</f>
        <v>0</v>
      </c>
      <c r="CH133" s="125">
        <f xml:space="preserve"> Time!CH$14</f>
        <v>0</v>
      </c>
      <c r="CI133" s="125">
        <f xml:space="preserve"> Time!CI$14</f>
        <v>0</v>
      </c>
      <c r="CJ133" s="125">
        <f xml:space="preserve"> Time!CJ$14</f>
        <v>0</v>
      </c>
      <c r="CK133" s="125">
        <f xml:space="preserve"> Time!CK$14</f>
        <v>0</v>
      </c>
      <c r="CL133" s="125">
        <f xml:space="preserve"> Time!CL$14</f>
        <v>0</v>
      </c>
      <c r="CM133" s="125">
        <f xml:space="preserve"> Time!CM$14</f>
        <v>0</v>
      </c>
      <c r="CN133" s="125">
        <f xml:space="preserve"> Time!CN$14</f>
        <v>0</v>
      </c>
      <c r="CO133" s="125">
        <f xml:space="preserve"> Time!CO$14</f>
        <v>0</v>
      </c>
      <c r="CP133" s="125">
        <f xml:space="preserve"> Time!CP$14</f>
        <v>0</v>
      </c>
      <c r="CQ133" s="125">
        <f xml:space="preserve"> Time!CQ$14</f>
        <v>0</v>
      </c>
      <c r="CR133" s="125">
        <f xml:space="preserve"> Time!CR$14</f>
        <v>0</v>
      </c>
      <c r="CS133" s="125">
        <f xml:space="preserve"> Time!CS$14</f>
        <v>0</v>
      </c>
      <c r="CT133" s="125">
        <f xml:space="preserve"> Time!CT$14</f>
        <v>0</v>
      </c>
      <c r="CU133" s="125">
        <f xml:space="preserve"> Time!CU$14</f>
        <v>0</v>
      </c>
      <c r="CV133" s="125">
        <f xml:space="preserve"> Time!CV$14</f>
        <v>0</v>
      </c>
    </row>
    <row r="134" spans="1:100" outlineLevel="1" x14ac:dyDescent="0.2">
      <c r="A134" s="85"/>
      <c r="B134" s="85"/>
      <c r="C134" s="86"/>
      <c r="D134" s="87"/>
      <c r="E134" s="545" t="str">
        <f xml:space="preserve"> ConFin!E$343</f>
        <v>Construction debt drawdown - m</v>
      </c>
      <c r="F134" s="545">
        <f xml:space="preserve"> ConFin!F$343</f>
        <v>0</v>
      </c>
      <c r="G134" s="545" t="str">
        <f xml:space="preserve"> ConFin!G$343</f>
        <v>$ 000s</v>
      </c>
      <c r="H134" s="545">
        <f xml:space="preserve"> ConFin!H$343</f>
        <v>250389.85226030689</v>
      </c>
      <c r="I134" s="545">
        <f xml:space="preserve"> ConFin!I$343</f>
        <v>0</v>
      </c>
      <c r="J134" s="545">
        <f xml:space="preserve"> ConFin!J$343</f>
        <v>0</v>
      </c>
      <c r="K134" s="545">
        <f xml:space="preserve"> ConFin!K$343</f>
        <v>0</v>
      </c>
      <c r="L134" s="545">
        <f xml:space="preserve"> ConFin!L$343</f>
        <v>0</v>
      </c>
      <c r="M134" s="545">
        <f xml:space="preserve"> ConFin!M$343</f>
        <v>0</v>
      </c>
      <c r="N134" s="545">
        <f xml:space="preserve"> ConFin!N$343</f>
        <v>0</v>
      </c>
      <c r="O134" s="545">
        <f xml:space="preserve"> ConFin!O$343</f>
        <v>0</v>
      </c>
      <c r="P134" s="545">
        <f xml:space="preserve"> ConFin!P$343</f>
        <v>0</v>
      </c>
      <c r="Q134" s="545">
        <f xml:space="preserve"> ConFin!Q$343</f>
        <v>0</v>
      </c>
      <c r="R134" s="545">
        <f xml:space="preserve"> ConFin!R$343</f>
        <v>0</v>
      </c>
      <c r="S134" s="545">
        <f xml:space="preserve"> ConFin!S$343</f>
        <v>60.378964305980844</v>
      </c>
      <c r="T134" s="545">
        <f xml:space="preserve"> ConFin!T$343</f>
        <v>12031.934187437519</v>
      </c>
      <c r="U134" s="545">
        <f xml:space="preserve"> ConFin!U$343</f>
        <v>12076.190635536972</v>
      </c>
      <c r="V134" s="545">
        <f xml:space="preserve"> ConFin!V$343</f>
        <v>12110.976773522409</v>
      </c>
      <c r="W134" s="545">
        <f xml:space="preserve"> ConFin!W$343</f>
        <v>12104.694875399815</v>
      </c>
      <c r="X134" s="545">
        <f xml:space="preserve"> ConFin!X$343</f>
        <v>12180.731360946033</v>
      </c>
      <c r="Y134" s="545">
        <f xml:space="preserve"> ConFin!Y$343</f>
        <v>12199.330047588888</v>
      </c>
      <c r="Z134" s="545">
        <f xml:space="preserve"> ConFin!Z$343</f>
        <v>12250.959482205111</v>
      </c>
      <c r="AA134" s="545">
        <f xml:space="preserve"> ConFin!AA$343</f>
        <v>12266.975848549024</v>
      </c>
      <c r="AB134" s="545">
        <f xml:space="preserve"> ConFin!AB$343</f>
        <v>12321.584756958357</v>
      </c>
      <c r="AC134" s="545">
        <f xml:space="preserve"> ConFin!AC$343</f>
        <v>12357.077766346292</v>
      </c>
      <c r="AD134" s="545">
        <f xml:space="preserve"> ConFin!AD$343</f>
        <v>12369.192114605235</v>
      </c>
      <c r="AE134" s="545">
        <f xml:space="preserve"> ConFin!AE$343</f>
        <v>12428.303160347879</v>
      </c>
      <c r="AF134" s="545">
        <f xml:space="preserve"> ConFin!AF$343</f>
        <v>12437.798518130739</v>
      </c>
      <c r="AG134" s="545">
        <f xml:space="preserve"> ConFin!AG$343</f>
        <v>12499.931347612244</v>
      </c>
      <c r="AH134" s="545">
        <f xml:space="preserve"> ConFin!AH$343</f>
        <v>10545.938094264708</v>
      </c>
      <c r="AI134" s="545">
        <f xml:space="preserve"> ConFin!AI$343</f>
        <v>10515.623743976959</v>
      </c>
      <c r="AJ134" s="545">
        <f xml:space="preserve"> ConFin!AJ$343</f>
        <v>10606.607093158804</v>
      </c>
      <c r="AK134" s="545">
        <f xml:space="preserve"> ConFin!AK$343</f>
        <v>10604.408171304991</v>
      </c>
      <c r="AL134" s="545">
        <f xml:space="preserve"> ConFin!AL$343</f>
        <v>10667.706600951156</v>
      </c>
      <c r="AM134" s="545">
        <f xml:space="preserve"> ConFin!AM$343</f>
        <v>25753.508717157791</v>
      </c>
      <c r="AN134" s="545">
        <f xml:space="preserve"> ConFin!AN$343</f>
        <v>0</v>
      </c>
      <c r="AO134" s="545">
        <f xml:space="preserve"> ConFin!AO$343</f>
        <v>0</v>
      </c>
      <c r="AP134" s="545">
        <f xml:space="preserve"> ConFin!AP$343</f>
        <v>0</v>
      </c>
      <c r="AQ134" s="545">
        <f xml:space="preserve"> ConFin!AQ$343</f>
        <v>0</v>
      </c>
      <c r="AR134" s="545">
        <f xml:space="preserve"> ConFin!AR$343</f>
        <v>0</v>
      </c>
      <c r="AS134" s="545">
        <f xml:space="preserve"> ConFin!AS$343</f>
        <v>0</v>
      </c>
      <c r="AT134" s="545">
        <f xml:space="preserve"> ConFin!AT$343</f>
        <v>0</v>
      </c>
      <c r="AU134" s="545">
        <f xml:space="preserve"> ConFin!AU$343</f>
        <v>0</v>
      </c>
      <c r="AV134" s="545">
        <f xml:space="preserve"> ConFin!AV$343</f>
        <v>0</v>
      </c>
      <c r="AW134" s="545">
        <f xml:space="preserve"> ConFin!AW$343</f>
        <v>0</v>
      </c>
      <c r="AX134" s="545">
        <f xml:space="preserve"> ConFin!AX$343</f>
        <v>0</v>
      </c>
      <c r="AY134" s="545">
        <f xml:space="preserve"> ConFin!AY$343</f>
        <v>0</v>
      </c>
      <c r="AZ134" s="545">
        <f xml:space="preserve"> ConFin!AZ$343</f>
        <v>0</v>
      </c>
      <c r="BA134" s="545">
        <f xml:space="preserve"> ConFin!BA$343</f>
        <v>0</v>
      </c>
      <c r="BB134" s="545">
        <f xml:space="preserve"> ConFin!BB$343</f>
        <v>0</v>
      </c>
      <c r="BC134" s="545">
        <f xml:space="preserve"> ConFin!BC$343</f>
        <v>0</v>
      </c>
      <c r="BD134" s="545">
        <f xml:space="preserve"> ConFin!BD$343</f>
        <v>0</v>
      </c>
      <c r="BE134" s="545">
        <f xml:space="preserve"> ConFin!BE$343</f>
        <v>0</v>
      </c>
      <c r="BF134" s="545">
        <f xml:space="preserve"> ConFin!BF$343</f>
        <v>0</v>
      </c>
      <c r="BG134" s="545">
        <f xml:space="preserve"> ConFin!BG$343</f>
        <v>0</v>
      </c>
      <c r="BH134" s="545">
        <f xml:space="preserve"> ConFin!BH$343</f>
        <v>0</v>
      </c>
      <c r="BI134" s="545">
        <f xml:space="preserve"> ConFin!BI$343</f>
        <v>0</v>
      </c>
      <c r="BJ134" s="545">
        <f xml:space="preserve"> ConFin!BJ$343</f>
        <v>0</v>
      </c>
      <c r="BK134" s="545">
        <f xml:space="preserve"> ConFin!BK$343</f>
        <v>0</v>
      </c>
      <c r="BL134" s="545">
        <f xml:space="preserve"> ConFin!BL$343</f>
        <v>0</v>
      </c>
      <c r="BM134" s="545">
        <f xml:space="preserve"> ConFin!BM$343</f>
        <v>0</v>
      </c>
      <c r="BN134" s="545">
        <f xml:space="preserve"> ConFin!BN$343</f>
        <v>0</v>
      </c>
      <c r="BO134" s="545">
        <f xml:space="preserve"> ConFin!BO$343</f>
        <v>0</v>
      </c>
      <c r="BP134" s="545">
        <f xml:space="preserve"> ConFin!BP$343</f>
        <v>0</v>
      </c>
      <c r="BQ134" s="545">
        <f xml:space="preserve"> ConFin!BQ$343</f>
        <v>0</v>
      </c>
      <c r="BR134" s="545">
        <f xml:space="preserve"> ConFin!BR$343</f>
        <v>0</v>
      </c>
      <c r="BS134" s="545">
        <f xml:space="preserve"> ConFin!BS$343</f>
        <v>0</v>
      </c>
      <c r="BT134" s="545">
        <f xml:space="preserve"> ConFin!BT$343</f>
        <v>0</v>
      </c>
      <c r="BU134" s="545">
        <f xml:space="preserve"> ConFin!BU$343</f>
        <v>0</v>
      </c>
      <c r="BV134" s="545">
        <f xml:space="preserve"> ConFin!BV$343</f>
        <v>0</v>
      </c>
      <c r="BW134" s="545">
        <f xml:space="preserve"> ConFin!BW$343</f>
        <v>0</v>
      </c>
      <c r="BX134" s="545">
        <f xml:space="preserve"> ConFin!BX$343</f>
        <v>0</v>
      </c>
      <c r="BY134" s="545">
        <f xml:space="preserve"> ConFin!BY$343</f>
        <v>0</v>
      </c>
      <c r="BZ134" s="545">
        <f xml:space="preserve"> ConFin!BZ$343</f>
        <v>0</v>
      </c>
      <c r="CA134" s="545">
        <f xml:space="preserve"> ConFin!CA$343</f>
        <v>0</v>
      </c>
      <c r="CB134" s="545">
        <f xml:space="preserve"> ConFin!CB$343</f>
        <v>0</v>
      </c>
      <c r="CC134" s="545">
        <f xml:space="preserve"> ConFin!CC$343</f>
        <v>0</v>
      </c>
      <c r="CD134" s="545">
        <f xml:space="preserve"> ConFin!CD$343</f>
        <v>0</v>
      </c>
      <c r="CE134" s="545">
        <f xml:space="preserve"> ConFin!CE$343</f>
        <v>0</v>
      </c>
      <c r="CF134" s="545">
        <f xml:space="preserve"> ConFin!CF$343</f>
        <v>0</v>
      </c>
      <c r="CG134" s="545">
        <f xml:space="preserve"> ConFin!CG$343</f>
        <v>0</v>
      </c>
      <c r="CH134" s="545">
        <f xml:space="preserve"> ConFin!CH$343</f>
        <v>0</v>
      </c>
      <c r="CI134" s="545">
        <f xml:space="preserve"> ConFin!CI$343</f>
        <v>0</v>
      </c>
      <c r="CJ134" s="545">
        <f xml:space="preserve"> ConFin!CJ$343</f>
        <v>0</v>
      </c>
      <c r="CK134" s="545">
        <f xml:space="preserve"> ConFin!CK$343</f>
        <v>0</v>
      </c>
      <c r="CL134" s="545">
        <f xml:space="preserve"> ConFin!CL$343</f>
        <v>0</v>
      </c>
      <c r="CM134" s="545">
        <f xml:space="preserve"> ConFin!CM$343</f>
        <v>0</v>
      </c>
      <c r="CN134" s="545">
        <f xml:space="preserve"> ConFin!CN$343</f>
        <v>0</v>
      </c>
      <c r="CO134" s="545">
        <f xml:space="preserve"> ConFin!CO$343</f>
        <v>0</v>
      </c>
      <c r="CP134" s="545">
        <f xml:space="preserve"> ConFin!CP$343</f>
        <v>0</v>
      </c>
      <c r="CQ134" s="545">
        <f xml:space="preserve"> ConFin!CQ$343</f>
        <v>0</v>
      </c>
      <c r="CR134" s="545">
        <f xml:space="preserve"> ConFin!CR$343</f>
        <v>0</v>
      </c>
      <c r="CS134" s="545">
        <f xml:space="preserve"> ConFin!CS$343</f>
        <v>0</v>
      </c>
      <c r="CT134" s="545">
        <f xml:space="preserve"> ConFin!CT$343</f>
        <v>0</v>
      </c>
      <c r="CU134" s="545">
        <f xml:space="preserve"> ConFin!CU$343</f>
        <v>0</v>
      </c>
      <c r="CV134" s="545">
        <f xml:space="preserve"> ConFin!CV$343</f>
        <v>0</v>
      </c>
    </row>
    <row r="135" spans="1:100" outlineLevel="1" x14ac:dyDescent="0.2">
      <c r="A135" s="85"/>
      <c r="B135" s="85"/>
      <c r="C135" s="86"/>
      <c r="D135" s="87"/>
      <c r="E135" s="545" t="str">
        <f xml:space="preserve"> ConFin!E$500</f>
        <v>Standby debt drawdown</v>
      </c>
      <c r="F135" s="545">
        <f xml:space="preserve"> ConFin!F$500</f>
        <v>0</v>
      </c>
      <c r="G135" s="545" t="str">
        <f xml:space="preserve"> ConFin!G$500</f>
        <v>$ 000s</v>
      </c>
      <c r="H135" s="545">
        <f xml:space="preserve"> ConFin!H$500</f>
        <v>0</v>
      </c>
      <c r="I135" s="545">
        <f xml:space="preserve"> ConFin!I$500</f>
        <v>0</v>
      </c>
      <c r="J135" s="545">
        <f xml:space="preserve"> ConFin!J$500</f>
        <v>0</v>
      </c>
      <c r="K135" s="545">
        <f xml:space="preserve"> ConFin!K$500</f>
        <v>0</v>
      </c>
      <c r="L135" s="545">
        <f xml:space="preserve"> ConFin!L$500</f>
        <v>0</v>
      </c>
      <c r="M135" s="545">
        <f xml:space="preserve"> ConFin!M$500</f>
        <v>0</v>
      </c>
      <c r="N135" s="545">
        <f xml:space="preserve"> ConFin!N$500</f>
        <v>0</v>
      </c>
      <c r="O135" s="545">
        <f xml:space="preserve"> ConFin!O$500</f>
        <v>0</v>
      </c>
      <c r="P135" s="545">
        <f xml:space="preserve"> ConFin!P$500</f>
        <v>0</v>
      </c>
      <c r="Q135" s="545">
        <f xml:space="preserve"> ConFin!Q$500</f>
        <v>0</v>
      </c>
      <c r="R135" s="545">
        <f xml:space="preserve"> ConFin!R$500</f>
        <v>0</v>
      </c>
      <c r="S135" s="545">
        <f xml:space="preserve"> ConFin!S$500</f>
        <v>0</v>
      </c>
      <c r="T135" s="545">
        <f xml:space="preserve"> ConFin!T$500</f>
        <v>0</v>
      </c>
      <c r="U135" s="545">
        <f xml:space="preserve"> ConFin!U$500</f>
        <v>0</v>
      </c>
      <c r="V135" s="545">
        <f xml:space="preserve"> ConFin!V$500</f>
        <v>0</v>
      </c>
      <c r="W135" s="545">
        <f xml:space="preserve"> ConFin!W$500</f>
        <v>0</v>
      </c>
      <c r="X135" s="545">
        <f xml:space="preserve"> ConFin!X$500</f>
        <v>0</v>
      </c>
      <c r="Y135" s="545">
        <f xml:space="preserve"> ConFin!Y$500</f>
        <v>0</v>
      </c>
      <c r="Z135" s="545">
        <f xml:space="preserve"> ConFin!Z$500</f>
        <v>0</v>
      </c>
      <c r="AA135" s="545">
        <f xml:space="preserve"> ConFin!AA$500</f>
        <v>0</v>
      </c>
      <c r="AB135" s="545">
        <f xml:space="preserve"> ConFin!AB$500</f>
        <v>0</v>
      </c>
      <c r="AC135" s="545">
        <f xml:space="preserve"> ConFin!AC$500</f>
        <v>0</v>
      </c>
      <c r="AD135" s="545">
        <f xml:space="preserve"> ConFin!AD$500</f>
        <v>0</v>
      </c>
      <c r="AE135" s="545">
        <f xml:space="preserve"> ConFin!AE$500</f>
        <v>0</v>
      </c>
      <c r="AF135" s="545">
        <f xml:space="preserve"> ConFin!AF$500</f>
        <v>0</v>
      </c>
      <c r="AG135" s="545">
        <f xml:space="preserve"> ConFin!AG$500</f>
        <v>0</v>
      </c>
      <c r="AH135" s="545">
        <f xml:space="preserve"> ConFin!AH$500</f>
        <v>0</v>
      </c>
      <c r="AI135" s="545">
        <f xml:space="preserve"> ConFin!AI$500</f>
        <v>0</v>
      </c>
      <c r="AJ135" s="545">
        <f xml:space="preserve"> ConFin!AJ$500</f>
        <v>0</v>
      </c>
      <c r="AK135" s="545">
        <f xml:space="preserve"> ConFin!AK$500</f>
        <v>0</v>
      </c>
      <c r="AL135" s="545">
        <f xml:space="preserve"> ConFin!AL$500</f>
        <v>0</v>
      </c>
      <c r="AM135" s="545">
        <f xml:space="preserve"> ConFin!AM$500</f>
        <v>0</v>
      </c>
      <c r="AN135" s="545">
        <f xml:space="preserve"> ConFin!AN$500</f>
        <v>0</v>
      </c>
      <c r="AO135" s="545">
        <f xml:space="preserve"> ConFin!AO$500</f>
        <v>0</v>
      </c>
      <c r="AP135" s="545">
        <f xml:space="preserve"> ConFin!AP$500</f>
        <v>0</v>
      </c>
      <c r="AQ135" s="545">
        <f xml:space="preserve"> ConFin!AQ$500</f>
        <v>0</v>
      </c>
      <c r="AR135" s="545">
        <f xml:space="preserve"> ConFin!AR$500</f>
        <v>0</v>
      </c>
      <c r="AS135" s="545">
        <f xml:space="preserve"> ConFin!AS$500</f>
        <v>0</v>
      </c>
      <c r="AT135" s="545">
        <f xml:space="preserve"> ConFin!AT$500</f>
        <v>0</v>
      </c>
      <c r="AU135" s="545">
        <f xml:space="preserve"> ConFin!AU$500</f>
        <v>0</v>
      </c>
      <c r="AV135" s="545">
        <f xml:space="preserve"> ConFin!AV$500</f>
        <v>0</v>
      </c>
      <c r="AW135" s="545">
        <f xml:space="preserve"> ConFin!AW$500</f>
        <v>0</v>
      </c>
      <c r="AX135" s="545">
        <f xml:space="preserve"> ConFin!AX$500</f>
        <v>0</v>
      </c>
      <c r="AY135" s="545">
        <f xml:space="preserve"> ConFin!AY$500</f>
        <v>0</v>
      </c>
      <c r="AZ135" s="545">
        <f xml:space="preserve"> ConFin!AZ$500</f>
        <v>0</v>
      </c>
      <c r="BA135" s="545">
        <f xml:space="preserve"> ConFin!BA$500</f>
        <v>0</v>
      </c>
      <c r="BB135" s="545">
        <f xml:space="preserve"> ConFin!BB$500</f>
        <v>0</v>
      </c>
      <c r="BC135" s="545">
        <f xml:space="preserve"> ConFin!BC$500</f>
        <v>0</v>
      </c>
      <c r="BD135" s="545">
        <f xml:space="preserve"> ConFin!BD$500</f>
        <v>0</v>
      </c>
      <c r="BE135" s="545">
        <f xml:space="preserve"> ConFin!BE$500</f>
        <v>0</v>
      </c>
      <c r="BF135" s="545">
        <f xml:space="preserve"> ConFin!BF$500</f>
        <v>0</v>
      </c>
      <c r="BG135" s="545">
        <f xml:space="preserve"> ConFin!BG$500</f>
        <v>0</v>
      </c>
      <c r="BH135" s="545">
        <f xml:space="preserve"> ConFin!BH$500</f>
        <v>0</v>
      </c>
      <c r="BI135" s="545">
        <f xml:space="preserve"> ConFin!BI$500</f>
        <v>0</v>
      </c>
      <c r="BJ135" s="545">
        <f xml:space="preserve"> ConFin!BJ$500</f>
        <v>0</v>
      </c>
      <c r="BK135" s="545">
        <f xml:space="preserve"> ConFin!BK$500</f>
        <v>0</v>
      </c>
      <c r="BL135" s="545">
        <f xml:space="preserve"> ConFin!BL$500</f>
        <v>0</v>
      </c>
      <c r="BM135" s="545">
        <f xml:space="preserve"> ConFin!BM$500</f>
        <v>0</v>
      </c>
      <c r="BN135" s="545">
        <f xml:space="preserve"> ConFin!BN$500</f>
        <v>0</v>
      </c>
      <c r="BO135" s="545">
        <f xml:space="preserve"> ConFin!BO$500</f>
        <v>0</v>
      </c>
      <c r="BP135" s="545">
        <f xml:space="preserve"> ConFin!BP$500</f>
        <v>0</v>
      </c>
      <c r="BQ135" s="545">
        <f xml:space="preserve"> ConFin!BQ$500</f>
        <v>0</v>
      </c>
      <c r="BR135" s="545">
        <f xml:space="preserve"> ConFin!BR$500</f>
        <v>0</v>
      </c>
      <c r="BS135" s="545">
        <f xml:space="preserve"> ConFin!BS$500</f>
        <v>0</v>
      </c>
      <c r="BT135" s="545">
        <f xml:space="preserve"> ConFin!BT$500</f>
        <v>0</v>
      </c>
      <c r="BU135" s="545">
        <f xml:space="preserve"> ConFin!BU$500</f>
        <v>0</v>
      </c>
      <c r="BV135" s="545">
        <f xml:space="preserve"> ConFin!BV$500</f>
        <v>0</v>
      </c>
      <c r="BW135" s="545">
        <f xml:space="preserve"> ConFin!BW$500</f>
        <v>0</v>
      </c>
      <c r="BX135" s="545">
        <f xml:space="preserve"> ConFin!BX$500</f>
        <v>0</v>
      </c>
      <c r="BY135" s="545">
        <f xml:space="preserve"> ConFin!BY$500</f>
        <v>0</v>
      </c>
      <c r="BZ135" s="545">
        <f xml:space="preserve"> ConFin!BZ$500</f>
        <v>0</v>
      </c>
      <c r="CA135" s="545">
        <f xml:space="preserve"> ConFin!CA$500</f>
        <v>0</v>
      </c>
      <c r="CB135" s="545">
        <f xml:space="preserve"> ConFin!CB$500</f>
        <v>0</v>
      </c>
      <c r="CC135" s="545">
        <f xml:space="preserve"> ConFin!CC$500</f>
        <v>0</v>
      </c>
      <c r="CD135" s="545">
        <f xml:space="preserve"> ConFin!CD$500</f>
        <v>0</v>
      </c>
      <c r="CE135" s="545">
        <f xml:space="preserve"> ConFin!CE$500</f>
        <v>0</v>
      </c>
      <c r="CF135" s="545">
        <f xml:space="preserve"> ConFin!CF$500</f>
        <v>0</v>
      </c>
      <c r="CG135" s="545">
        <f xml:space="preserve"> ConFin!CG$500</f>
        <v>0</v>
      </c>
      <c r="CH135" s="545">
        <f xml:space="preserve"> ConFin!CH$500</f>
        <v>0</v>
      </c>
      <c r="CI135" s="545">
        <f xml:space="preserve"> ConFin!CI$500</f>
        <v>0</v>
      </c>
      <c r="CJ135" s="545">
        <f xml:space="preserve"> ConFin!CJ$500</f>
        <v>0</v>
      </c>
      <c r="CK135" s="545">
        <f xml:space="preserve"> ConFin!CK$500</f>
        <v>0</v>
      </c>
      <c r="CL135" s="545">
        <f xml:space="preserve"> ConFin!CL$500</f>
        <v>0</v>
      </c>
      <c r="CM135" s="545">
        <f xml:space="preserve"> ConFin!CM$500</f>
        <v>0</v>
      </c>
      <c r="CN135" s="545">
        <f xml:space="preserve"> ConFin!CN$500</f>
        <v>0</v>
      </c>
      <c r="CO135" s="545">
        <f xml:space="preserve"> ConFin!CO$500</f>
        <v>0</v>
      </c>
      <c r="CP135" s="545">
        <f xml:space="preserve"> ConFin!CP$500</f>
        <v>0</v>
      </c>
      <c r="CQ135" s="545">
        <f xml:space="preserve"> ConFin!CQ$500</f>
        <v>0</v>
      </c>
      <c r="CR135" s="545">
        <f xml:space="preserve"> ConFin!CR$500</f>
        <v>0</v>
      </c>
      <c r="CS135" s="545">
        <f xml:space="preserve"> ConFin!CS$500</f>
        <v>0</v>
      </c>
      <c r="CT135" s="545">
        <f xml:space="preserve"> ConFin!CT$500</f>
        <v>0</v>
      </c>
      <c r="CU135" s="545">
        <f xml:space="preserve"> ConFin!CU$500</f>
        <v>0</v>
      </c>
      <c r="CV135" s="545">
        <f xml:space="preserve"> ConFin!CV$500</f>
        <v>0</v>
      </c>
    </row>
    <row r="136" spans="1:100" outlineLevel="1" x14ac:dyDescent="0.2">
      <c r="E136" s="487" t="s">
        <v>391</v>
      </c>
      <c r="F136" s="487"/>
      <c r="G136" s="487" t="str">
        <f xml:space="preserve"> SMU</f>
        <v>$ 000s</v>
      </c>
      <c r="H136" s="487">
        <f xml:space="preserve"> SUM(J136:CV136)</f>
        <v>-250389.85226030787</v>
      </c>
      <c r="I136" s="487"/>
      <c r="J136" s="487">
        <f t="shared" ref="J136:AO136" si="69" xml:space="preserve"> IF(J133 = 1, $F132, -1 * SUM(J134:J135))</f>
        <v>-1.0000000000000001E-9</v>
      </c>
      <c r="K136" s="487">
        <f t="shared" si="69"/>
        <v>0</v>
      </c>
      <c r="L136" s="487">
        <f t="shared" si="69"/>
        <v>0</v>
      </c>
      <c r="M136" s="487">
        <f t="shared" si="69"/>
        <v>0</v>
      </c>
      <c r="N136" s="487">
        <f t="shared" si="69"/>
        <v>0</v>
      </c>
      <c r="O136" s="487">
        <f t="shared" si="69"/>
        <v>0</v>
      </c>
      <c r="P136" s="487">
        <f t="shared" si="69"/>
        <v>0</v>
      </c>
      <c r="Q136" s="487">
        <f t="shared" si="69"/>
        <v>0</v>
      </c>
      <c r="R136" s="487">
        <f t="shared" si="69"/>
        <v>0</v>
      </c>
      <c r="S136" s="487">
        <f t="shared" si="69"/>
        <v>-60.378964305980844</v>
      </c>
      <c r="T136" s="487">
        <f t="shared" si="69"/>
        <v>-12031.934187437519</v>
      </c>
      <c r="U136" s="487">
        <f t="shared" si="69"/>
        <v>-12076.190635536972</v>
      </c>
      <c r="V136" s="487">
        <f t="shared" si="69"/>
        <v>-12110.976773522409</v>
      </c>
      <c r="W136" s="487">
        <f t="shared" si="69"/>
        <v>-12104.694875399815</v>
      </c>
      <c r="X136" s="487">
        <f t="shared" si="69"/>
        <v>-12180.731360946033</v>
      </c>
      <c r="Y136" s="487">
        <f t="shared" si="69"/>
        <v>-12199.330047588888</v>
      </c>
      <c r="Z136" s="487">
        <f t="shared" si="69"/>
        <v>-12250.959482205111</v>
      </c>
      <c r="AA136" s="487">
        <f t="shared" si="69"/>
        <v>-12266.975848549024</v>
      </c>
      <c r="AB136" s="487">
        <f t="shared" si="69"/>
        <v>-12321.584756958357</v>
      </c>
      <c r="AC136" s="487">
        <f t="shared" si="69"/>
        <v>-12357.077766346292</v>
      </c>
      <c r="AD136" s="487">
        <f t="shared" si="69"/>
        <v>-12369.192114605235</v>
      </c>
      <c r="AE136" s="487">
        <f t="shared" si="69"/>
        <v>-12428.303160347879</v>
      </c>
      <c r="AF136" s="487">
        <f t="shared" si="69"/>
        <v>-12437.798518130739</v>
      </c>
      <c r="AG136" s="487">
        <f t="shared" si="69"/>
        <v>-12499.931347612244</v>
      </c>
      <c r="AH136" s="487">
        <f t="shared" si="69"/>
        <v>-10545.938094264708</v>
      </c>
      <c r="AI136" s="487">
        <f t="shared" si="69"/>
        <v>-10515.623743976959</v>
      </c>
      <c r="AJ136" s="487">
        <f t="shared" si="69"/>
        <v>-10606.607093158804</v>
      </c>
      <c r="AK136" s="487">
        <f t="shared" si="69"/>
        <v>-10604.408171304991</v>
      </c>
      <c r="AL136" s="487">
        <f t="shared" si="69"/>
        <v>-10667.706600951156</v>
      </c>
      <c r="AM136" s="487">
        <f t="shared" si="69"/>
        <v>-25753.508717157791</v>
      </c>
      <c r="AN136" s="487">
        <f t="shared" si="69"/>
        <v>0</v>
      </c>
      <c r="AO136" s="487">
        <f t="shared" si="69"/>
        <v>0</v>
      </c>
      <c r="AP136" s="487">
        <f t="shared" ref="AP136:BU136" si="70" xml:space="preserve"> IF(AP133 = 1, $F132, -1 * SUM(AP134:AP135))</f>
        <v>0</v>
      </c>
      <c r="AQ136" s="487">
        <f t="shared" si="70"/>
        <v>0</v>
      </c>
      <c r="AR136" s="487">
        <f t="shared" si="70"/>
        <v>0</v>
      </c>
      <c r="AS136" s="487">
        <f t="shared" si="70"/>
        <v>0</v>
      </c>
      <c r="AT136" s="487">
        <f t="shared" si="70"/>
        <v>0</v>
      </c>
      <c r="AU136" s="487">
        <f t="shared" si="70"/>
        <v>0</v>
      </c>
      <c r="AV136" s="487">
        <f t="shared" si="70"/>
        <v>0</v>
      </c>
      <c r="AW136" s="487">
        <f t="shared" si="70"/>
        <v>0</v>
      </c>
      <c r="AX136" s="487">
        <f t="shared" si="70"/>
        <v>0</v>
      </c>
      <c r="AY136" s="487">
        <f t="shared" si="70"/>
        <v>0</v>
      </c>
      <c r="AZ136" s="487">
        <f t="shared" si="70"/>
        <v>0</v>
      </c>
      <c r="BA136" s="487">
        <f t="shared" si="70"/>
        <v>0</v>
      </c>
      <c r="BB136" s="487">
        <f t="shared" si="70"/>
        <v>0</v>
      </c>
      <c r="BC136" s="487">
        <f t="shared" si="70"/>
        <v>0</v>
      </c>
      <c r="BD136" s="487">
        <f t="shared" si="70"/>
        <v>0</v>
      </c>
      <c r="BE136" s="487">
        <f t="shared" si="70"/>
        <v>0</v>
      </c>
      <c r="BF136" s="487">
        <f t="shared" si="70"/>
        <v>0</v>
      </c>
      <c r="BG136" s="487">
        <f t="shared" si="70"/>
        <v>0</v>
      </c>
      <c r="BH136" s="487">
        <f t="shared" si="70"/>
        <v>0</v>
      </c>
      <c r="BI136" s="487">
        <f t="shared" si="70"/>
        <v>0</v>
      </c>
      <c r="BJ136" s="487">
        <f t="shared" si="70"/>
        <v>0</v>
      </c>
      <c r="BK136" s="487">
        <f t="shared" si="70"/>
        <v>0</v>
      </c>
      <c r="BL136" s="487">
        <f t="shared" si="70"/>
        <v>0</v>
      </c>
      <c r="BM136" s="487">
        <f t="shared" si="70"/>
        <v>0</v>
      </c>
      <c r="BN136" s="487">
        <f t="shared" si="70"/>
        <v>0</v>
      </c>
      <c r="BO136" s="487">
        <f t="shared" si="70"/>
        <v>0</v>
      </c>
      <c r="BP136" s="487">
        <f t="shared" si="70"/>
        <v>0</v>
      </c>
      <c r="BQ136" s="487">
        <f t="shared" si="70"/>
        <v>0</v>
      </c>
      <c r="BR136" s="487">
        <f t="shared" si="70"/>
        <v>0</v>
      </c>
      <c r="BS136" s="487">
        <f t="shared" si="70"/>
        <v>0</v>
      </c>
      <c r="BT136" s="487">
        <f t="shared" si="70"/>
        <v>0</v>
      </c>
      <c r="BU136" s="487">
        <f t="shared" si="70"/>
        <v>0</v>
      </c>
      <c r="BV136" s="487">
        <f t="shared" ref="BV136:CV136" si="71" xml:space="preserve"> IF(BV133 = 1, $F132, -1 * SUM(BV134:BV135))</f>
        <v>0</v>
      </c>
      <c r="BW136" s="487">
        <f t="shared" si="71"/>
        <v>0</v>
      </c>
      <c r="BX136" s="487">
        <f t="shared" si="71"/>
        <v>0</v>
      </c>
      <c r="BY136" s="487">
        <f t="shared" si="71"/>
        <v>0</v>
      </c>
      <c r="BZ136" s="487">
        <f t="shared" si="71"/>
        <v>0</v>
      </c>
      <c r="CA136" s="487">
        <f t="shared" si="71"/>
        <v>0</v>
      </c>
      <c r="CB136" s="487">
        <f t="shared" si="71"/>
        <v>0</v>
      </c>
      <c r="CC136" s="487">
        <f t="shared" si="71"/>
        <v>0</v>
      </c>
      <c r="CD136" s="487">
        <f t="shared" si="71"/>
        <v>0</v>
      </c>
      <c r="CE136" s="487">
        <f t="shared" si="71"/>
        <v>0</v>
      </c>
      <c r="CF136" s="487">
        <f t="shared" si="71"/>
        <v>0</v>
      </c>
      <c r="CG136" s="487">
        <f t="shared" si="71"/>
        <v>0</v>
      </c>
      <c r="CH136" s="487">
        <f t="shared" si="71"/>
        <v>0</v>
      </c>
      <c r="CI136" s="487">
        <f t="shared" si="71"/>
        <v>0</v>
      </c>
      <c r="CJ136" s="487">
        <f t="shared" si="71"/>
        <v>0</v>
      </c>
      <c r="CK136" s="487">
        <f t="shared" si="71"/>
        <v>0</v>
      </c>
      <c r="CL136" s="487">
        <f t="shared" si="71"/>
        <v>0</v>
      </c>
      <c r="CM136" s="487">
        <f t="shared" si="71"/>
        <v>0</v>
      </c>
      <c r="CN136" s="487">
        <f t="shared" si="71"/>
        <v>0</v>
      </c>
      <c r="CO136" s="487">
        <f t="shared" si="71"/>
        <v>0</v>
      </c>
      <c r="CP136" s="487">
        <f t="shared" si="71"/>
        <v>0</v>
      </c>
      <c r="CQ136" s="487">
        <f t="shared" si="71"/>
        <v>0</v>
      </c>
      <c r="CR136" s="487">
        <f t="shared" si="71"/>
        <v>0</v>
      </c>
      <c r="CS136" s="487">
        <f t="shared" si="71"/>
        <v>0</v>
      </c>
      <c r="CT136" s="487">
        <f t="shared" si="71"/>
        <v>0</v>
      </c>
      <c r="CU136" s="487">
        <f t="shared" si="71"/>
        <v>0</v>
      </c>
      <c r="CV136" s="487">
        <f t="shared" si="71"/>
        <v>0</v>
      </c>
    </row>
    <row r="137" spans="1:100" outlineLevel="1" x14ac:dyDescent="0.2"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82"/>
      <c r="AD137" s="82"/>
      <c r="AE137" s="82"/>
      <c r="AF137" s="82"/>
      <c r="AG137" s="82"/>
      <c r="AH137" s="82"/>
      <c r="AI137" s="82"/>
      <c r="AJ137" s="82"/>
      <c r="AK137" s="82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2"/>
      <c r="AW137" s="82"/>
      <c r="AX137" s="82"/>
      <c r="AY137" s="82"/>
      <c r="AZ137" s="82"/>
      <c r="BA137" s="82"/>
      <c r="BB137" s="82"/>
      <c r="BC137" s="82"/>
      <c r="BD137" s="82"/>
      <c r="BE137" s="82"/>
      <c r="BF137" s="82"/>
      <c r="BG137" s="82"/>
      <c r="BH137" s="82"/>
      <c r="BI137" s="82"/>
      <c r="BJ137" s="82"/>
      <c r="BK137" s="82"/>
      <c r="BL137" s="82"/>
      <c r="BM137" s="82"/>
      <c r="BN137" s="82"/>
      <c r="BO137" s="82"/>
      <c r="BP137" s="82"/>
      <c r="BQ137" s="82"/>
      <c r="BR137" s="82"/>
      <c r="BS137" s="82"/>
      <c r="BT137" s="82"/>
      <c r="BU137" s="82"/>
      <c r="BV137" s="82"/>
      <c r="BW137" s="82"/>
      <c r="BX137" s="82"/>
      <c r="BY137" s="82"/>
      <c r="BZ137" s="82"/>
      <c r="CA137" s="82"/>
      <c r="CB137" s="82"/>
      <c r="CC137" s="82"/>
      <c r="CD137" s="82"/>
      <c r="CE137" s="82"/>
      <c r="CF137" s="82"/>
      <c r="CG137" s="82"/>
      <c r="CH137" s="82"/>
      <c r="CI137" s="82"/>
      <c r="CJ137" s="82"/>
      <c r="CK137" s="82"/>
      <c r="CL137" s="82"/>
      <c r="CM137" s="82"/>
      <c r="CN137" s="82"/>
      <c r="CO137" s="82"/>
      <c r="CP137" s="82"/>
      <c r="CQ137" s="82"/>
      <c r="CR137" s="82"/>
      <c r="CS137" s="82"/>
      <c r="CT137" s="82"/>
      <c r="CU137" s="82"/>
      <c r="CV137" s="82"/>
    </row>
    <row r="138" spans="1:100" s="80" customFormat="1" outlineLevel="1" x14ac:dyDescent="0.2">
      <c r="A138" s="542"/>
      <c r="B138" s="542"/>
      <c r="C138" s="543"/>
      <c r="D138" s="544"/>
      <c r="E138" s="586" t="str">
        <f t="shared" ref="E138:AJ138" si="72" xml:space="preserve"> E$136</f>
        <v>Debt drawdown - neg for cost of debt</v>
      </c>
      <c r="F138" s="586">
        <f t="shared" si="72"/>
        <v>0</v>
      </c>
      <c r="G138" s="586" t="str">
        <f t="shared" si="72"/>
        <v>$ 000s</v>
      </c>
      <c r="H138" s="586">
        <f t="shared" si="72"/>
        <v>-250389.85226030787</v>
      </c>
      <c r="I138" s="586">
        <f t="shared" si="72"/>
        <v>0</v>
      </c>
      <c r="J138" s="586">
        <f t="shared" si="72"/>
        <v>-1.0000000000000001E-9</v>
      </c>
      <c r="K138" s="586">
        <f t="shared" si="72"/>
        <v>0</v>
      </c>
      <c r="L138" s="586">
        <f t="shared" si="72"/>
        <v>0</v>
      </c>
      <c r="M138" s="586">
        <f t="shared" si="72"/>
        <v>0</v>
      </c>
      <c r="N138" s="586">
        <f t="shared" si="72"/>
        <v>0</v>
      </c>
      <c r="O138" s="586">
        <f t="shared" si="72"/>
        <v>0</v>
      </c>
      <c r="P138" s="586">
        <f t="shared" si="72"/>
        <v>0</v>
      </c>
      <c r="Q138" s="586">
        <f t="shared" si="72"/>
        <v>0</v>
      </c>
      <c r="R138" s="586">
        <f t="shared" si="72"/>
        <v>0</v>
      </c>
      <c r="S138" s="586">
        <f t="shared" si="72"/>
        <v>-60.378964305980844</v>
      </c>
      <c r="T138" s="586">
        <f t="shared" si="72"/>
        <v>-12031.934187437519</v>
      </c>
      <c r="U138" s="586">
        <f t="shared" si="72"/>
        <v>-12076.190635536972</v>
      </c>
      <c r="V138" s="586">
        <f t="shared" si="72"/>
        <v>-12110.976773522409</v>
      </c>
      <c r="W138" s="586">
        <f t="shared" si="72"/>
        <v>-12104.694875399815</v>
      </c>
      <c r="X138" s="586">
        <f t="shared" si="72"/>
        <v>-12180.731360946033</v>
      </c>
      <c r="Y138" s="586">
        <f t="shared" si="72"/>
        <v>-12199.330047588888</v>
      </c>
      <c r="Z138" s="586">
        <f t="shared" si="72"/>
        <v>-12250.959482205111</v>
      </c>
      <c r="AA138" s="586">
        <f t="shared" si="72"/>
        <v>-12266.975848549024</v>
      </c>
      <c r="AB138" s="586">
        <f t="shared" si="72"/>
        <v>-12321.584756958357</v>
      </c>
      <c r="AC138" s="586">
        <f t="shared" si="72"/>
        <v>-12357.077766346292</v>
      </c>
      <c r="AD138" s="586">
        <f t="shared" si="72"/>
        <v>-12369.192114605235</v>
      </c>
      <c r="AE138" s="586">
        <f t="shared" si="72"/>
        <v>-12428.303160347879</v>
      </c>
      <c r="AF138" s="586">
        <f t="shared" si="72"/>
        <v>-12437.798518130739</v>
      </c>
      <c r="AG138" s="586">
        <f t="shared" si="72"/>
        <v>-12499.931347612244</v>
      </c>
      <c r="AH138" s="586">
        <f t="shared" si="72"/>
        <v>-10545.938094264708</v>
      </c>
      <c r="AI138" s="586">
        <f t="shared" si="72"/>
        <v>-10515.623743976959</v>
      </c>
      <c r="AJ138" s="586">
        <f t="shared" si="72"/>
        <v>-10606.607093158804</v>
      </c>
      <c r="AK138" s="586">
        <f t="shared" ref="AK138:BD138" si="73" xml:space="preserve"> AK$136</f>
        <v>-10604.408171304991</v>
      </c>
      <c r="AL138" s="586">
        <f t="shared" si="73"/>
        <v>-10667.706600951156</v>
      </c>
      <c r="AM138" s="586">
        <f t="shared" si="73"/>
        <v>-25753.508717157791</v>
      </c>
      <c r="AN138" s="586">
        <f t="shared" si="73"/>
        <v>0</v>
      </c>
      <c r="AO138" s="586">
        <f t="shared" si="73"/>
        <v>0</v>
      </c>
      <c r="AP138" s="586">
        <f t="shared" si="73"/>
        <v>0</v>
      </c>
      <c r="AQ138" s="586">
        <f t="shared" si="73"/>
        <v>0</v>
      </c>
      <c r="AR138" s="586">
        <f t="shared" si="73"/>
        <v>0</v>
      </c>
      <c r="AS138" s="586">
        <f t="shared" si="73"/>
        <v>0</v>
      </c>
      <c r="AT138" s="586">
        <f t="shared" si="73"/>
        <v>0</v>
      </c>
      <c r="AU138" s="586">
        <f t="shared" si="73"/>
        <v>0</v>
      </c>
      <c r="AV138" s="586">
        <f t="shared" si="73"/>
        <v>0</v>
      </c>
      <c r="AW138" s="586">
        <f t="shared" si="73"/>
        <v>0</v>
      </c>
      <c r="AX138" s="586">
        <f t="shared" si="73"/>
        <v>0</v>
      </c>
      <c r="AY138" s="586">
        <f t="shared" si="73"/>
        <v>0</v>
      </c>
      <c r="AZ138" s="586">
        <f t="shared" si="73"/>
        <v>0</v>
      </c>
      <c r="BA138" s="586">
        <f t="shared" si="73"/>
        <v>0</v>
      </c>
      <c r="BB138" s="586">
        <f t="shared" si="73"/>
        <v>0</v>
      </c>
      <c r="BC138" s="586">
        <f t="shared" si="73"/>
        <v>0</v>
      </c>
      <c r="BD138" s="586">
        <f t="shared" si="73"/>
        <v>0</v>
      </c>
      <c r="BE138" s="586">
        <f t="shared" ref="BE138:CJ138" si="74" xml:space="preserve"> BE$136</f>
        <v>0</v>
      </c>
      <c r="BF138" s="586">
        <f t="shared" si="74"/>
        <v>0</v>
      </c>
      <c r="BG138" s="586">
        <f t="shared" si="74"/>
        <v>0</v>
      </c>
      <c r="BH138" s="586">
        <f t="shared" si="74"/>
        <v>0</v>
      </c>
      <c r="BI138" s="586">
        <f t="shared" si="74"/>
        <v>0</v>
      </c>
      <c r="BJ138" s="586">
        <f t="shared" si="74"/>
        <v>0</v>
      </c>
      <c r="BK138" s="586">
        <f t="shared" si="74"/>
        <v>0</v>
      </c>
      <c r="BL138" s="586">
        <f t="shared" si="74"/>
        <v>0</v>
      </c>
      <c r="BM138" s="586">
        <f t="shared" si="74"/>
        <v>0</v>
      </c>
      <c r="BN138" s="586">
        <f t="shared" si="74"/>
        <v>0</v>
      </c>
      <c r="BO138" s="586">
        <f t="shared" si="74"/>
        <v>0</v>
      </c>
      <c r="BP138" s="586">
        <f t="shared" si="74"/>
        <v>0</v>
      </c>
      <c r="BQ138" s="586">
        <f t="shared" si="74"/>
        <v>0</v>
      </c>
      <c r="BR138" s="586">
        <f t="shared" si="74"/>
        <v>0</v>
      </c>
      <c r="BS138" s="586">
        <f t="shared" si="74"/>
        <v>0</v>
      </c>
      <c r="BT138" s="586">
        <f t="shared" si="74"/>
        <v>0</v>
      </c>
      <c r="BU138" s="586">
        <f t="shared" si="74"/>
        <v>0</v>
      </c>
      <c r="BV138" s="586">
        <f t="shared" si="74"/>
        <v>0</v>
      </c>
      <c r="BW138" s="586">
        <f t="shared" si="74"/>
        <v>0</v>
      </c>
      <c r="BX138" s="586">
        <f t="shared" si="74"/>
        <v>0</v>
      </c>
      <c r="BY138" s="586">
        <f t="shared" si="74"/>
        <v>0</v>
      </c>
      <c r="BZ138" s="586">
        <f t="shared" si="74"/>
        <v>0</v>
      </c>
      <c r="CA138" s="586">
        <f t="shared" si="74"/>
        <v>0</v>
      </c>
      <c r="CB138" s="586">
        <f t="shared" si="74"/>
        <v>0</v>
      </c>
      <c r="CC138" s="586">
        <f t="shared" si="74"/>
        <v>0</v>
      </c>
      <c r="CD138" s="586">
        <f t="shared" si="74"/>
        <v>0</v>
      </c>
      <c r="CE138" s="586">
        <f t="shared" si="74"/>
        <v>0</v>
      </c>
      <c r="CF138" s="586">
        <f t="shared" si="74"/>
        <v>0</v>
      </c>
      <c r="CG138" s="586">
        <f t="shared" si="74"/>
        <v>0</v>
      </c>
      <c r="CH138" s="586">
        <f t="shared" si="74"/>
        <v>0</v>
      </c>
      <c r="CI138" s="586">
        <f t="shared" si="74"/>
        <v>0</v>
      </c>
      <c r="CJ138" s="586">
        <f t="shared" si="74"/>
        <v>0</v>
      </c>
      <c r="CK138" s="586">
        <f t="shared" ref="CK138:CV138" si="75" xml:space="preserve"> CK$136</f>
        <v>0</v>
      </c>
      <c r="CL138" s="586">
        <f t="shared" si="75"/>
        <v>0</v>
      </c>
      <c r="CM138" s="586">
        <f t="shared" si="75"/>
        <v>0</v>
      </c>
      <c r="CN138" s="586">
        <f t="shared" si="75"/>
        <v>0</v>
      </c>
      <c r="CO138" s="586">
        <f t="shared" si="75"/>
        <v>0</v>
      </c>
      <c r="CP138" s="586">
        <f t="shared" si="75"/>
        <v>0</v>
      </c>
      <c r="CQ138" s="586">
        <f t="shared" si="75"/>
        <v>0</v>
      </c>
      <c r="CR138" s="586">
        <f t="shared" si="75"/>
        <v>0</v>
      </c>
      <c r="CS138" s="586">
        <f t="shared" si="75"/>
        <v>0</v>
      </c>
      <c r="CT138" s="586">
        <f t="shared" si="75"/>
        <v>0</v>
      </c>
      <c r="CU138" s="586">
        <f t="shared" si="75"/>
        <v>0</v>
      </c>
      <c r="CV138" s="586">
        <f t="shared" si="75"/>
        <v>0</v>
      </c>
    </row>
    <row r="139" spans="1:100" s="80" customFormat="1" outlineLevel="1" x14ac:dyDescent="0.2">
      <c r="A139" s="635"/>
      <c r="B139" s="635"/>
      <c r="C139" s="636"/>
      <c r="D139" s="637"/>
      <c r="E139" s="545" t="str">
        <f xml:space="preserve"> ConFin!E$589</f>
        <v>Senior debt financing costs - m</v>
      </c>
      <c r="F139" s="545">
        <f xml:space="preserve"> ConFin!F$589</f>
        <v>0</v>
      </c>
      <c r="G139" s="545" t="str">
        <f xml:space="preserve"> ConFin!G$589</f>
        <v>$ 000s</v>
      </c>
      <c r="H139" s="545">
        <f xml:space="preserve"> ConFin!H$589</f>
        <v>16120.196735529827</v>
      </c>
      <c r="I139" s="545">
        <f xml:space="preserve"> ConFin!I$589</f>
        <v>0</v>
      </c>
      <c r="J139" s="545">
        <f xml:space="preserve"> ConFin!J$589</f>
        <v>0</v>
      </c>
      <c r="K139" s="545">
        <f xml:space="preserve"> ConFin!K$589</f>
        <v>0</v>
      </c>
      <c r="L139" s="545">
        <f xml:space="preserve"> ConFin!L$589</f>
        <v>0</v>
      </c>
      <c r="M139" s="545">
        <f xml:space="preserve"> ConFin!M$589</f>
        <v>5348.6508196941331</v>
      </c>
      <c r="N139" s="545">
        <f xml:space="preserve"> ConFin!N$589</f>
        <v>165.55347775243743</v>
      </c>
      <c r="O139" s="545">
        <f xml:space="preserve"> ConFin!O$589</f>
        <v>165.55347775243743</v>
      </c>
      <c r="P139" s="545">
        <f xml:space="preserve"> ConFin!P$589</f>
        <v>165.55347775243743</v>
      </c>
      <c r="Q139" s="545">
        <f xml:space="preserve"> ConFin!Q$589</f>
        <v>165.55347775243743</v>
      </c>
      <c r="R139" s="545">
        <f xml:space="preserve"> ConFin!R$589</f>
        <v>165.55347775243743</v>
      </c>
      <c r="S139" s="545">
        <f xml:space="preserve"> ConFin!S$589</f>
        <v>165.55347775243743</v>
      </c>
      <c r="T139" s="545">
        <f xml:space="preserve"> ConFin!T$589</f>
        <v>165.72052622035068</v>
      </c>
      <c r="U139" s="545">
        <f xml:space="preserve"> ConFin!U$589</f>
        <v>200.38605758120968</v>
      </c>
      <c r="V139" s="545">
        <f xml:space="preserve"> ConFin!V$589</f>
        <v>235.17219560635368</v>
      </c>
      <c r="W139" s="545">
        <f xml:space="preserve"> ConFin!W$589</f>
        <v>257.66304784292032</v>
      </c>
      <c r="X139" s="545">
        <f xml:space="preserve"> ConFin!X$589</f>
        <v>304.92678310616571</v>
      </c>
      <c r="Y139" s="545">
        <f xml:space="preserve"> ConFin!Y$589</f>
        <v>333.11638655788227</v>
      </c>
      <c r="Z139" s="545">
        <f xml:space="preserve"> ConFin!Z$589</f>
        <v>375.15490444130666</v>
      </c>
      <c r="AA139" s="545">
        <f xml:space="preserve"> ConFin!AA$589</f>
        <v>400.76218759031229</v>
      </c>
      <c r="AB139" s="545">
        <f xml:space="preserve"> ConFin!AB$589</f>
        <v>445.78017926906222</v>
      </c>
      <c r="AC139" s="545">
        <f xml:space="preserve"> ConFin!AC$589</f>
        <v>481.27318869396731</v>
      </c>
      <c r="AD139" s="545">
        <f xml:space="preserve"> ConFin!AD$589</f>
        <v>502.97845375244083</v>
      </c>
      <c r="AE139" s="545">
        <f xml:space="preserve"> ConFin!AE$589</f>
        <v>552.49858276770817</v>
      </c>
      <c r="AF139" s="545">
        <f xml:space="preserve"> ConFin!AF$589</f>
        <v>571.58485734647775</v>
      </c>
      <c r="AG139" s="545">
        <f xml:space="preserve"> ConFin!AG$589</f>
        <v>624.12677010265918</v>
      </c>
      <c r="AH139" s="545">
        <f xml:space="preserve"> ConFin!AH$589</f>
        <v>660.13351679008656</v>
      </c>
      <c r="AI139" s="545">
        <f xml:space="preserve"> ConFin!AI$589</f>
        <v>649.00100004893216</v>
      </c>
      <c r="AJ139" s="545">
        <f xml:space="preserve"> ConFin!AJ$589</f>
        <v>720.80251575191051</v>
      </c>
      <c r="AK139" s="545">
        <f xml:space="preserve"> ConFin!AK$589</f>
        <v>728.1945106852412</v>
      </c>
      <c r="AL139" s="545">
        <f xml:space="preserve"> ConFin!AL$589</f>
        <v>781.90202361093543</v>
      </c>
      <c r="AM139" s="545">
        <f xml:space="preserve"> ConFin!AM$589</f>
        <v>787.04736155514991</v>
      </c>
      <c r="AN139" s="545">
        <f xml:space="preserve"> ConFin!AN$589</f>
        <v>0</v>
      </c>
      <c r="AO139" s="545">
        <f xml:space="preserve"> ConFin!AO$589</f>
        <v>0</v>
      </c>
      <c r="AP139" s="545">
        <f xml:space="preserve"> ConFin!AP$589</f>
        <v>0</v>
      </c>
      <c r="AQ139" s="545">
        <f xml:space="preserve"> ConFin!AQ$589</f>
        <v>0</v>
      </c>
      <c r="AR139" s="545">
        <f xml:space="preserve"> ConFin!AR$589</f>
        <v>0</v>
      </c>
      <c r="AS139" s="545">
        <f xml:space="preserve"> ConFin!AS$589</f>
        <v>0</v>
      </c>
      <c r="AT139" s="545">
        <f xml:space="preserve"> ConFin!AT$589</f>
        <v>0</v>
      </c>
      <c r="AU139" s="545">
        <f xml:space="preserve"> ConFin!AU$589</f>
        <v>0</v>
      </c>
      <c r="AV139" s="545">
        <f xml:space="preserve"> ConFin!AV$589</f>
        <v>0</v>
      </c>
      <c r="AW139" s="545">
        <f xml:space="preserve"> ConFin!AW$589</f>
        <v>0</v>
      </c>
      <c r="AX139" s="545">
        <f xml:space="preserve"> ConFin!AX$589</f>
        <v>0</v>
      </c>
      <c r="AY139" s="545">
        <f xml:space="preserve"> ConFin!AY$589</f>
        <v>0</v>
      </c>
      <c r="AZ139" s="545">
        <f xml:space="preserve"> ConFin!AZ$589</f>
        <v>0</v>
      </c>
      <c r="BA139" s="545">
        <f xml:space="preserve"> ConFin!BA$589</f>
        <v>0</v>
      </c>
      <c r="BB139" s="545">
        <f xml:space="preserve"> ConFin!BB$589</f>
        <v>0</v>
      </c>
      <c r="BC139" s="545">
        <f xml:space="preserve"> ConFin!BC$589</f>
        <v>0</v>
      </c>
      <c r="BD139" s="545">
        <f xml:space="preserve"> ConFin!BD$589</f>
        <v>0</v>
      </c>
      <c r="BE139" s="545">
        <f xml:space="preserve"> ConFin!BE$589</f>
        <v>0</v>
      </c>
      <c r="BF139" s="545">
        <f xml:space="preserve"> ConFin!BF$589</f>
        <v>0</v>
      </c>
      <c r="BG139" s="545">
        <f xml:space="preserve"> ConFin!BG$589</f>
        <v>0</v>
      </c>
      <c r="BH139" s="545">
        <f xml:space="preserve"> ConFin!BH$589</f>
        <v>0</v>
      </c>
      <c r="BI139" s="545">
        <f xml:space="preserve"> ConFin!BI$589</f>
        <v>0</v>
      </c>
      <c r="BJ139" s="545">
        <f xml:space="preserve"> ConFin!BJ$589</f>
        <v>0</v>
      </c>
      <c r="BK139" s="545">
        <f xml:space="preserve"> ConFin!BK$589</f>
        <v>0</v>
      </c>
      <c r="BL139" s="545">
        <f xml:space="preserve"> ConFin!BL$589</f>
        <v>0</v>
      </c>
      <c r="BM139" s="545">
        <f xml:space="preserve"> ConFin!BM$589</f>
        <v>0</v>
      </c>
      <c r="BN139" s="545">
        <f xml:space="preserve"> ConFin!BN$589</f>
        <v>0</v>
      </c>
      <c r="BO139" s="545">
        <f xml:space="preserve"> ConFin!BO$589</f>
        <v>0</v>
      </c>
      <c r="BP139" s="545">
        <f xml:space="preserve"> ConFin!BP$589</f>
        <v>0</v>
      </c>
      <c r="BQ139" s="545">
        <f xml:space="preserve"> ConFin!BQ$589</f>
        <v>0</v>
      </c>
      <c r="BR139" s="545">
        <f xml:space="preserve"> ConFin!BR$589</f>
        <v>0</v>
      </c>
      <c r="BS139" s="545">
        <f xml:space="preserve"> ConFin!BS$589</f>
        <v>0</v>
      </c>
      <c r="BT139" s="545">
        <f xml:space="preserve"> ConFin!BT$589</f>
        <v>0</v>
      </c>
      <c r="BU139" s="545">
        <f xml:space="preserve"> ConFin!BU$589</f>
        <v>0</v>
      </c>
      <c r="BV139" s="545">
        <f xml:space="preserve"> ConFin!BV$589</f>
        <v>0</v>
      </c>
      <c r="BW139" s="545">
        <f xml:space="preserve"> ConFin!BW$589</f>
        <v>0</v>
      </c>
      <c r="BX139" s="545">
        <f xml:space="preserve"> ConFin!BX$589</f>
        <v>0</v>
      </c>
      <c r="BY139" s="545">
        <f xml:space="preserve"> ConFin!BY$589</f>
        <v>0</v>
      </c>
      <c r="BZ139" s="545">
        <f xml:space="preserve"> ConFin!BZ$589</f>
        <v>0</v>
      </c>
      <c r="CA139" s="545">
        <f xml:space="preserve"> ConFin!CA$589</f>
        <v>0</v>
      </c>
      <c r="CB139" s="545">
        <f xml:space="preserve"> ConFin!CB$589</f>
        <v>0</v>
      </c>
      <c r="CC139" s="545">
        <f xml:space="preserve"> ConFin!CC$589</f>
        <v>0</v>
      </c>
      <c r="CD139" s="545">
        <f xml:space="preserve"> ConFin!CD$589</f>
        <v>0</v>
      </c>
      <c r="CE139" s="545">
        <f xml:space="preserve"> ConFin!CE$589</f>
        <v>0</v>
      </c>
      <c r="CF139" s="545">
        <f xml:space="preserve"> ConFin!CF$589</f>
        <v>0</v>
      </c>
      <c r="CG139" s="545">
        <f xml:space="preserve"> ConFin!CG$589</f>
        <v>0</v>
      </c>
      <c r="CH139" s="545">
        <f xml:space="preserve"> ConFin!CH$589</f>
        <v>0</v>
      </c>
      <c r="CI139" s="545">
        <f xml:space="preserve"> ConFin!CI$589</f>
        <v>0</v>
      </c>
      <c r="CJ139" s="545">
        <f xml:space="preserve"> ConFin!CJ$589</f>
        <v>0</v>
      </c>
      <c r="CK139" s="545">
        <f xml:space="preserve"> ConFin!CK$589</f>
        <v>0</v>
      </c>
      <c r="CL139" s="545">
        <f xml:space="preserve"> ConFin!CL$589</f>
        <v>0</v>
      </c>
      <c r="CM139" s="545">
        <f xml:space="preserve"> ConFin!CM$589</f>
        <v>0</v>
      </c>
      <c r="CN139" s="545">
        <f xml:space="preserve"> ConFin!CN$589</f>
        <v>0</v>
      </c>
      <c r="CO139" s="545">
        <f xml:space="preserve"> ConFin!CO$589</f>
        <v>0</v>
      </c>
      <c r="CP139" s="545">
        <f xml:space="preserve"> ConFin!CP$589</f>
        <v>0</v>
      </c>
      <c r="CQ139" s="545">
        <f xml:space="preserve"> ConFin!CQ$589</f>
        <v>0</v>
      </c>
      <c r="CR139" s="545">
        <f xml:space="preserve"> ConFin!CR$589</f>
        <v>0</v>
      </c>
      <c r="CS139" s="545">
        <f xml:space="preserve"> ConFin!CS$589</f>
        <v>0</v>
      </c>
      <c r="CT139" s="545">
        <f xml:space="preserve"> ConFin!CT$589</f>
        <v>0</v>
      </c>
      <c r="CU139" s="545">
        <f xml:space="preserve"> ConFin!CU$589</f>
        <v>0</v>
      </c>
      <c r="CV139" s="545">
        <f xml:space="preserve"> ConFin!CV$589</f>
        <v>0</v>
      </c>
    </row>
    <row r="140" spans="1:100" s="629" customFormat="1" outlineLevel="1" x14ac:dyDescent="0.2">
      <c r="A140" s="642"/>
      <c r="B140" s="642"/>
      <c r="C140" s="643"/>
      <c r="D140" s="644"/>
      <c r="E140" s="645" t="s">
        <v>392</v>
      </c>
      <c r="F140" s="645"/>
      <c r="G140" s="645" t="str">
        <f xml:space="preserve"> SMU</f>
        <v>$ 000s</v>
      </c>
      <c r="H140" s="645">
        <f xml:space="preserve"> SUM(J140:CV140)</f>
        <v>-234269.65552477809</v>
      </c>
      <c r="I140" s="646"/>
      <c r="J140" s="645">
        <f t="shared" ref="J140:AO140" si="76">SUM(J138:J139)</f>
        <v>-1.0000000000000001E-9</v>
      </c>
      <c r="K140" s="645">
        <f t="shared" si="76"/>
        <v>0</v>
      </c>
      <c r="L140" s="645">
        <f t="shared" si="76"/>
        <v>0</v>
      </c>
      <c r="M140" s="645">
        <f t="shared" si="76"/>
        <v>5348.6508196941331</v>
      </c>
      <c r="N140" s="645">
        <f t="shared" si="76"/>
        <v>165.55347775243743</v>
      </c>
      <c r="O140" s="645">
        <f t="shared" si="76"/>
        <v>165.55347775243743</v>
      </c>
      <c r="P140" s="645">
        <f t="shared" si="76"/>
        <v>165.55347775243743</v>
      </c>
      <c r="Q140" s="645">
        <f t="shared" si="76"/>
        <v>165.55347775243743</v>
      </c>
      <c r="R140" s="645">
        <f t="shared" si="76"/>
        <v>165.55347775243743</v>
      </c>
      <c r="S140" s="645">
        <f t="shared" si="76"/>
        <v>105.17451344645659</v>
      </c>
      <c r="T140" s="645">
        <f t="shared" si="76"/>
        <v>-11866.213661217167</v>
      </c>
      <c r="U140" s="645">
        <f t="shared" si="76"/>
        <v>-11875.804577955761</v>
      </c>
      <c r="V140" s="645">
        <f t="shared" si="76"/>
        <v>-11875.804577916055</v>
      </c>
      <c r="W140" s="645">
        <f t="shared" si="76"/>
        <v>-11847.031827556895</v>
      </c>
      <c r="X140" s="645">
        <f t="shared" si="76"/>
        <v>-11875.804577839866</v>
      </c>
      <c r="Y140" s="645">
        <f t="shared" si="76"/>
        <v>-11866.213661031006</v>
      </c>
      <c r="Z140" s="645">
        <f t="shared" si="76"/>
        <v>-11875.804577763805</v>
      </c>
      <c r="AA140" s="645">
        <f t="shared" si="76"/>
        <v>-11866.213660958712</v>
      </c>
      <c r="AB140" s="645">
        <f t="shared" si="76"/>
        <v>-11875.804577689294</v>
      </c>
      <c r="AC140" s="645">
        <f t="shared" si="76"/>
        <v>-11875.804577652325</v>
      </c>
      <c r="AD140" s="645">
        <f t="shared" si="76"/>
        <v>-11866.213660852794</v>
      </c>
      <c r="AE140" s="645">
        <f t="shared" si="76"/>
        <v>-11875.804577580171</v>
      </c>
      <c r="AF140" s="645">
        <f t="shared" si="76"/>
        <v>-11866.213660784262</v>
      </c>
      <c r="AG140" s="645">
        <f t="shared" si="76"/>
        <v>-11875.804577509585</v>
      </c>
      <c r="AH140" s="645">
        <f t="shared" si="76"/>
        <v>-9885.8045774746206</v>
      </c>
      <c r="AI140" s="645">
        <f t="shared" si="76"/>
        <v>-9866.6227439280265</v>
      </c>
      <c r="AJ140" s="645">
        <f t="shared" si="76"/>
        <v>-9885.8045774068923</v>
      </c>
      <c r="AK140" s="645">
        <f t="shared" si="76"/>
        <v>-9876.2136606197491</v>
      </c>
      <c r="AL140" s="645">
        <f t="shared" si="76"/>
        <v>-9885.8045773402209</v>
      </c>
      <c r="AM140" s="645">
        <f t="shared" si="76"/>
        <v>-24966.461355602642</v>
      </c>
      <c r="AN140" s="645">
        <f t="shared" si="76"/>
        <v>0</v>
      </c>
      <c r="AO140" s="645">
        <f t="shared" si="76"/>
        <v>0</v>
      </c>
      <c r="AP140" s="645">
        <f t="shared" ref="AP140:BU140" si="77">SUM(AP138:AP139)</f>
        <v>0</v>
      </c>
      <c r="AQ140" s="645">
        <f t="shared" si="77"/>
        <v>0</v>
      </c>
      <c r="AR140" s="645">
        <f t="shared" si="77"/>
        <v>0</v>
      </c>
      <c r="AS140" s="645">
        <f t="shared" si="77"/>
        <v>0</v>
      </c>
      <c r="AT140" s="645">
        <f t="shared" si="77"/>
        <v>0</v>
      </c>
      <c r="AU140" s="645">
        <f t="shared" si="77"/>
        <v>0</v>
      </c>
      <c r="AV140" s="645">
        <f t="shared" si="77"/>
        <v>0</v>
      </c>
      <c r="AW140" s="645">
        <f t="shared" si="77"/>
        <v>0</v>
      </c>
      <c r="AX140" s="645">
        <f t="shared" si="77"/>
        <v>0</v>
      </c>
      <c r="AY140" s="645">
        <f t="shared" si="77"/>
        <v>0</v>
      </c>
      <c r="AZ140" s="645">
        <f t="shared" si="77"/>
        <v>0</v>
      </c>
      <c r="BA140" s="645">
        <f t="shared" si="77"/>
        <v>0</v>
      </c>
      <c r="BB140" s="645">
        <f t="shared" si="77"/>
        <v>0</v>
      </c>
      <c r="BC140" s="645">
        <f t="shared" si="77"/>
        <v>0</v>
      </c>
      <c r="BD140" s="645">
        <f t="shared" si="77"/>
        <v>0</v>
      </c>
      <c r="BE140" s="645">
        <f t="shared" si="77"/>
        <v>0</v>
      </c>
      <c r="BF140" s="645">
        <f t="shared" si="77"/>
        <v>0</v>
      </c>
      <c r="BG140" s="645">
        <f t="shared" si="77"/>
        <v>0</v>
      </c>
      <c r="BH140" s="645">
        <f t="shared" si="77"/>
        <v>0</v>
      </c>
      <c r="BI140" s="645">
        <f t="shared" si="77"/>
        <v>0</v>
      </c>
      <c r="BJ140" s="645">
        <f t="shared" si="77"/>
        <v>0</v>
      </c>
      <c r="BK140" s="645">
        <f t="shared" si="77"/>
        <v>0</v>
      </c>
      <c r="BL140" s="645">
        <f t="shared" si="77"/>
        <v>0</v>
      </c>
      <c r="BM140" s="645">
        <f t="shared" si="77"/>
        <v>0</v>
      </c>
      <c r="BN140" s="645">
        <f t="shared" si="77"/>
        <v>0</v>
      </c>
      <c r="BO140" s="645">
        <f t="shared" si="77"/>
        <v>0</v>
      </c>
      <c r="BP140" s="645">
        <f t="shared" si="77"/>
        <v>0</v>
      </c>
      <c r="BQ140" s="645">
        <f t="shared" si="77"/>
        <v>0</v>
      </c>
      <c r="BR140" s="645">
        <f t="shared" si="77"/>
        <v>0</v>
      </c>
      <c r="BS140" s="645">
        <f t="shared" si="77"/>
        <v>0</v>
      </c>
      <c r="BT140" s="645">
        <f t="shared" si="77"/>
        <v>0</v>
      </c>
      <c r="BU140" s="645">
        <f t="shared" si="77"/>
        <v>0</v>
      </c>
      <c r="BV140" s="645">
        <f t="shared" ref="BV140:CV140" si="78">SUM(BV138:BV139)</f>
        <v>0</v>
      </c>
      <c r="BW140" s="645">
        <f t="shared" si="78"/>
        <v>0</v>
      </c>
      <c r="BX140" s="645">
        <f t="shared" si="78"/>
        <v>0</v>
      </c>
      <c r="BY140" s="645">
        <f t="shared" si="78"/>
        <v>0</v>
      </c>
      <c r="BZ140" s="645">
        <f t="shared" si="78"/>
        <v>0</v>
      </c>
      <c r="CA140" s="645">
        <f t="shared" si="78"/>
        <v>0</v>
      </c>
      <c r="CB140" s="645">
        <f t="shared" si="78"/>
        <v>0</v>
      </c>
      <c r="CC140" s="645">
        <f t="shared" si="78"/>
        <v>0</v>
      </c>
      <c r="CD140" s="645">
        <f t="shared" si="78"/>
        <v>0</v>
      </c>
      <c r="CE140" s="645">
        <f t="shared" si="78"/>
        <v>0</v>
      </c>
      <c r="CF140" s="645">
        <f t="shared" si="78"/>
        <v>0</v>
      </c>
      <c r="CG140" s="645">
        <f t="shared" si="78"/>
        <v>0</v>
      </c>
      <c r="CH140" s="645">
        <f t="shared" si="78"/>
        <v>0</v>
      </c>
      <c r="CI140" s="645">
        <f t="shared" si="78"/>
        <v>0</v>
      </c>
      <c r="CJ140" s="645">
        <f t="shared" si="78"/>
        <v>0</v>
      </c>
      <c r="CK140" s="645">
        <f t="shared" si="78"/>
        <v>0</v>
      </c>
      <c r="CL140" s="645">
        <f t="shared" si="78"/>
        <v>0</v>
      </c>
      <c r="CM140" s="645">
        <f t="shared" si="78"/>
        <v>0</v>
      </c>
      <c r="CN140" s="645">
        <f t="shared" si="78"/>
        <v>0</v>
      </c>
      <c r="CO140" s="645">
        <f t="shared" si="78"/>
        <v>0</v>
      </c>
      <c r="CP140" s="645">
        <f t="shared" si="78"/>
        <v>0</v>
      </c>
      <c r="CQ140" s="645">
        <f t="shared" si="78"/>
        <v>0</v>
      </c>
      <c r="CR140" s="645">
        <f t="shared" si="78"/>
        <v>0</v>
      </c>
      <c r="CS140" s="645">
        <f t="shared" si="78"/>
        <v>0</v>
      </c>
      <c r="CT140" s="645">
        <f t="shared" si="78"/>
        <v>0</v>
      </c>
      <c r="CU140" s="645">
        <f t="shared" si="78"/>
        <v>0</v>
      </c>
      <c r="CV140" s="645">
        <f t="shared" si="78"/>
        <v>0</v>
      </c>
    </row>
    <row r="141" spans="1:100" outlineLevel="1" x14ac:dyDescent="0.2"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82"/>
      <c r="AD141" s="82"/>
      <c r="AE141" s="82"/>
      <c r="AF141" s="82"/>
      <c r="AG141" s="82"/>
      <c r="AH141" s="82"/>
      <c r="AI141" s="82"/>
      <c r="AJ141" s="82"/>
      <c r="AK141" s="82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2"/>
      <c r="AW141" s="82"/>
      <c r="AX141" s="82"/>
      <c r="AY141" s="82"/>
      <c r="AZ141" s="82"/>
      <c r="BA141" s="82"/>
      <c r="BB141" s="82"/>
      <c r="BC141" s="82"/>
      <c r="BD141" s="82"/>
      <c r="BE141" s="82"/>
      <c r="BF141" s="82"/>
      <c r="BG141" s="82"/>
      <c r="BH141" s="82"/>
      <c r="BI141" s="82"/>
      <c r="BJ141" s="82"/>
      <c r="BK141" s="82"/>
      <c r="BL141" s="82"/>
      <c r="BM141" s="82"/>
      <c r="BN141" s="82"/>
      <c r="BO141" s="82"/>
      <c r="BP141" s="82"/>
      <c r="BQ141" s="82"/>
      <c r="BR141" s="82"/>
      <c r="BS141" s="82"/>
      <c r="BT141" s="82"/>
      <c r="BU141" s="82"/>
      <c r="BV141" s="82"/>
      <c r="BW141" s="82"/>
      <c r="BX141" s="82"/>
      <c r="BY141" s="82"/>
      <c r="BZ141" s="82"/>
      <c r="CA141" s="82"/>
      <c r="CB141" s="82"/>
      <c r="CC141" s="82"/>
      <c r="CD141" s="82"/>
      <c r="CE141" s="82"/>
      <c r="CF141" s="82"/>
      <c r="CG141" s="82"/>
      <c r="CH141" s="82"/>
      <c r="CI141" s="82"/>
      <c r="CJ141" s="82"/>
      <c r="CK141" s="82"/>
      <c r="CL141" s="82"/>
      <c r="CM141" s="82"/>
      <c r="CN141" s="82"/>
      <c r="CO141" s="82"/>
      <c r="CP141" s="82"/>
      <c r="CQ141" s="82"/>
      <c r="CR141" s="82"/>
      <c r="CS141" s="82"/>
      <c r="CT141" s="82"/>
      <c r="CU141" s="82"/>
      <c r="CV141" s="82"/>
    </row>
    <row r="142" spans="1:100" outlineLevel="1" x14ac:dyDescent="0.2">
      <c r="A142" s="85"/>
      <c r="B142" s="85"/>
      <c r="C142" s="86"/>
      <c r="D142" s="87"/>
      <c r="E142" s="186" t="str">
        <f xml:space="preserve"> Debt!E$369</f>
        <v>Senior debt service</v>
      </c>
      <c r="F142" s="186">
        <f xml:space="preserve"> Debt!F$369</f>
        <v>0</v>
      </c>
      <c r="G142" s="186" t="str">
        <f xml:space="preserve"> Debt!G$369</f>
        <v>$ 000s</v>
      </c>
      <c r="H142" s="186">
        <f xml:space="preserve"> Debt!H$369</f>
        <v>360041.89848376269</v>
      </c>
      <c r="I142" s="186">
        <f xml:space="preserve"> Debt!I$369</f>
        <v>0</v>
      </c>
      <c r="J142" s="186">
        <f xml:space="preserve"> Debt!J$369</f>
        <v>0</v>
      </c>
      <c r="K142" s="186">
        <f xml:space="preserve"> Debt!K$369</f>
        <v>0</v>
      </c>
      <c r="L142" s="186">
        <f xml:space="preserve"> Debt!L$369</f>
        <v>0</v>
      </c>
      <c r="M142" s="186">
        <f xml:space="preserve"> Debt!M$369</f>
        <v>0</v>
      </c>
      <c r="N142" s="186">
        <f xml:space="preserve"> Debt!N$369</f>
        <v>0</v>
      </c>
      <c r="O142" s="186">
        <f xml:space="preserve"> Debt!O$369</f>
        <v>12686.671356945051</v>
      </c>
      <c r="P142" s="186">
        <f xml:space="preserve"> Debt!P$369</f>
        <v>11219.578313619157</v>
      </c>
      <c r="Q142" s="186">
        <f xml:space="preserve"> Debt!Q$369</f>
        <v>11246.683026259163</v>
      </c>
      <c r="R142" s="186">
        <f xml:space="preserve"> Debt!R$369</f>
        <v>11134.906831418644</v>
      </c>
      <c r="S142" s="186">
        <f xml:space="preserve"> Debt!S$369</f>
        <v>11160.497290778691</v>
      </c>
      <c r="T142" s="186">
        <f xml:space="preserve"> Debt!T$369</f>
        <v>11049.147667919469</v>
      </c>
      <c r="U142" s="186">
        <f xml:space="preserve"> Debt!U$369</f>
        <v>11073.197450820346</v>
      </c>
      <c r="V142" s="186">
        <f xml:space="preserve"> Debt!V$369</f>
        <v>10977.313489020877</v>
      </c>
      <c r="W142" s="186">
        <f xml:space="preserve"> Debt!W$369</f>
        <v>10969.723974284556</v>
      </c>
      <c r="X142" s="186">
        <f xml:space="preserve"> Debt!X$369</f>
        <v>10874.27318110882</v>
      </c>
      <c r="Y142" s="186">
        <f xml:space="preserve"> Debt!Y$369</f>
        <v>10895.160171361602</v>
      </c>
      <c r="Z142" s="186">
        <f xml:space="preserve"> Debt!Z$369</f>
        <v>10785.110133328311</v>
      </c>
      <c r="AA142" s="186">
        <f xml:space="preserve"> Debt!AA$369</f>
        <v>10804.373888164411</v>
      </c>
      <c r="AB142" s="186">
        <f xml:space="preserve"> Debt!AB$369</f>
        <v>10694.76392796511</v>
      </c>
      <c r="AC142" s="186">
        <f xml:space="preserve"> Debt!AC$369</f>
        <v>10712.37579856183</v>
      </c>
      <c r="AD142" s="186">
        <f xml:space="preserve"> Debt!AD$369</f>
        <v>10617.752823814142</v>
      </c>
      <c r="AE142" s="186">
        <f xml:space="preserve"> Debt!AE$369</f>
        <v>10604.596909622556</v>
      </c>
      <c r="AF142" s="186">
        <f xml:space="preserve"> Debt!AF$369</f>
        <v>10510.421245766829</v>
      </c>
      <c r="AG142" s="186">
        <f xml:space="preserve"> Debt!AG$369</f>
        <v>10524.641040765775</v>
      </c>
      <c r="AH142" s="186">
        <f xml:space="preserve"> Debt!AH$369</f>
        <v>10416.373099274493</v>
      </c>
      <c r="AI142" s="186">
        <f xml:space="preserve"> Debt!AI$369</f>
        <v>10428.851504537852</v>
      </c>
      <c r="AJ142" s="186">
        <f xml:space="preserve"> Debt!AJ$369</f>
        <v>10321.038445702476</v>
      </c>
      <c r="AK142" s="186">
        <f xml:space="preserve"> Debt!AK$369</f>
        <v>10331.74438166013</v>
      </c>
      <c r="AL142" s="186">
        <f xml:space="preserve"> Debt!AL$369</f>
        <v>10238.413866724009</v>
      </c>
      <c r="AM142" s="186">
        <f xml:space="preserve"> Debt!AM$369</f>
        <v>10219.268154047048</v>
      </c>
      <c r="AN142" s="186">
        <f xml:space="preserve"> Debt!AN$369</f>
        <v>10126.400443477962</v>
      </c>
      <c r="AO142" s="186">
        <f xml:space="preserve"> Debt!AO$369</f>
        <v>10133.465715349392</v>
      </c>
      <c r="AP142" s="186">
        <f xml:space="preserve"> Debt!AP$369</f>
        <v>10027.041163247522</v>
      </c>
      <c r="AQ142" s="186">
        <f xml:space="preserve"> Debt!AQ$369</f>
        <v>10032.236926693096</v>
      </c>
      <c r="AR142" s="186">
        <f xml:space="preserve"> Debt!AR$369</f>
        <v>9926.2834676298662</v>
      </c>
      <c r="AS142" s="186">
        <f xml:space="preserve"> Debt!AS$369</f>
        <v>9929.5775194771086</v>
      </c>
      <c r="AT142" s="186">
        <f xml:space="preserve"> Debt!AT$369</f>
        <v>9837.5746264223908</v>
      </c>
      <c r="AU142" s="186">
        <f xml:space="preserve"> Debt!AU$369</f>
        <v>9811.9812368171188</v>
      </c>
      <c r="AV142" s="186">
        <f xml:space="preserve"> Debt!AV$369</f>
        <v>9720.4606172373533</v>
      </c>
      <c r="AW142" s="186">
        <f xml:space="preserve"> Debt!AW$369</f>
        <v>-2.024773110608092E-4</v>
      </c>
      <c r="AX142" s="186">
        <f xml:space="preserve"> Debt!AX$369</f>
        <v>-1.9917605055438296E-4</v>
      </c>
      <c r="AY142" s="186">
        <f xml:space="preserve"> Debt!AY$369</f>
        <v>-2.024773110608092E-4</v>
      </c>
      <c r="AZ142" s="186">
        <f xml:space="preserve"> Debt!AZ$369</f>
        <v>-1.9917605055438296E-4</v>
      </c>
      <c r="BA142" s="186">
        <f xml:space="preserve"> Debt!BA$369</f>
        <v>-2.024773110608092E-4</v>
      </c>
      <c r="BB142" s="186">
        <f xml:space="preserve"> Debt!BB$369</f>
        <v>-2.0027647072319173E-4</v>
      </c>
      <c r="BC142" s="186">
        <f xml:space="preserve"> Debt!BC$369</f>
        <v>0</v>
      </c>
      <c r="BD142" s="186">
        <f xml:space="preserve"> Debt!BD$369</f>
        <v>0</v>
      </c>
      <c r="BE142" s="186">
        <f xml:space="preserve"> Debt!BE$369</f>
        <v>0</v>
      </c>
      <c r="BF142" s="186">
        <f xml:space="preserve"> Debt!BF$369</f>
        <v>0</v>
      </c>
      <c r="BG142" s="186">
        <f xml:space="preserve"> Debt!BG$369</f>
        <v>0</v>
      </c>
      <c r="BH142" s="186">
        <f xml:space="preserve"> Debt!BH$369</f>
        <v>0</v>
      </c>
      <c r="BI142" s="186">
        <f xml:space="preserve"> Debt!BI$369</f>
        <v>0</v>
      </c>
      <c r="BJ142" s="186">
        <f xml:space="preserve"> Debt!BJ$369</f>
        <v>0</v>
      </c>
      <c r="BK142" s="186">
        <f xml:space="preserve"> Debt!BK$369</f>
        <v>0</v>
      </c>
      <c r="BL142" s="186">
        <f xml:space="preserve"> Debt!BL$369</f>
        <v>0</v>
      </c>
      <c r="BM142" s="186">
        <f xml:space="preserve"> Debt!BM$369</f>
        <v>0</v>
      </c>
      <c r="BN142" s="186">
        <f xml:space="preserve"> Debt!BN$369</f>
        <v>0</v>
      </c>
      <c r="BO142" s="186">
        <f xml:space="preserve"> Debt!BO$369</f>
        <v>0</v>
      </c>
      <c r="BP142" s="186">
        <f xml:space="preserve"> Debt!BP$369</f>
        <v>0</v>
      </c>
      <c r="BQ142" s="186">
        <f xml:space="preserve"> Debt!BQ$369</f>
        <v>0</v>
      </c>
      <c r="BR142" s="186">
        <f xml:space="preserve"> Debt!BR$369</f>
        <v>0</v>
      </c>
      <c r="BS142" s="186">
        <f xml:space="preserve"> Debt!BS$369</f>
        <v>0</v>
      </c>
      <c r="BT142" s="186">
        <f xml:space="preserve"> Debt!BT$369</f>
        <v>0</v>
      </c>
      <c r="BU142" s="186">
        <f xml:space="preserve"> Debt!BU$369</f>
        <v>0</v>
      </c>
      <c r="BV142" s="186">
        <f xml:space="preserve"> Debt!BV$369</f>
        <v>0</v>
      </c>
      <c r="BW142" s="186">
        <f xml:space="preserve"> Debt!BW$369</f>
        <v>0</v>
      </c>
      <c r="BX142" s="186">
        <f xml:space="preserve"> Debt!BX$369</f>
        <v>0</v>
      </c>
      <c r="BY142" s="186">
        <f xml:space="preserve"> Debt!BY$369</f>
        <v>0</v>
      </c>
      <c r="BZ142" s="186">
        <f xml:space="preserve"> Debt!BZ$369</f>
        <v>0</v>
      </c>
      <c r="CA142" s="186">
        <f xml:space="preserve"> Debt!CA$369</f>
        <v>0</v>
      </c>
      <c r="CB142" s="186">
        <f xml:space="preserve"> Debt!CB$369</f>
        <v>0</v>
      </c>
      <c r="CC142" s="186">
        <f xml:space="preserve"> Debt!CC$369</f>
        <v>0</v>
      </c>
      <c r="CD142" s="186">
        <f xml:space="preserve"> Debt!CD$369</f>
        <v>0</v>
      </c>
      <c r="CE142" s="186">
        <f xml:space="preserve"> Debt!CE$369</f>
        <v>0</v>
      </c>
      <c r="CF142" s="186">
        <f xml:space="preserve"> Debt!CF$369</f>
        <v>0</v>
      </c>
      <c r="CG142" s="186">
        <f xml:space="preserve"> Debt!CG$369</f>
        <v>0</v>
      </c>
      <c r="CH142" s="186">
        <f xml:space="preserve"> Debt!CH$369</f>
        <v>0</v>
      </c>
      <c r="CI142" s="186">
        <f xml:space="preserve"> Debt!CI$369</f>
        <v>0</v>
      </c>
      <c r="CJ142" s="186">
        <f xml:space="preserve"> Debt!CJ$369</f>
        <v>0</v>
      </c>
      <c r="CK142" s="186">
        <f xml:space="preserve"> Debt!CK$369</f>
        <v>0</v>
      </c>
      <c r="CL142" s="186">
        <f xml:space="preserve"> Debt!CL$369</f>
        <v>0</v>
      </c>
      <c r="CM142" s="186">
        <f xml:space="preserve"> Debt!CM$369</f>
        <v>0</v>
      </c>
      <c r="CN142" s="186">
        <f xml:space="preserve"> Debt!CN$369</f>
        <v>0</v>
      </c>
      <c r="CO142" s="186">
        <f xml:space="preserve"> Debt!CO$369</f>
        <v>0</v>
      </c>
      <c r="CP142" s="186">
        <f xml:space="preserve"> Debt!CP$369</f>
        <v>0</v>
      </c>
      <c r="CQ142" s="186">
        <f xml:space="preserve"> Debt!CQ$369</f>
        <v>0</v>
      </c>
      <c r="CR142" s="186">
        <f xml:space="preserve"> Debt!CR$369</f>
        <v>0</v>
      </c>
      <c r="CS142" s="186">
        <f xml:space="preserve"> Debt!CS$369</f>
        <v>0</v>
      </c>
      <c r="CT142" s="186">
        <f xml:space="preserve"> Debt!CT$369</f>
        <v>0</v>
      </c>
      <c r="CU142" s="186">
        <f xml:space="preserve"> Debt!CU$369</f>
        <v>0</v>
      </c>
      <c r="CV142" s="186">
        <f xml:space="preserve"> Debt!CV$369</f>
        <v>0</v>
      </c>
    </row>
    <row r="143" spans="1:100" outlineLevel="1" x14ac:dyDescent="0.2">
      <c r="A143" s="52"/>
      <c r="B143" s="52"/>
      <c r="C143" s="34"/>
      <c r="D143" s="35"/>
      <c r="E143" s="441" t="s">
        <v>419</v>
      </c>
      <c r="F143" s="441"/>
      <c r="G143" s="441" t="str">
        <f xml:space="preserve"> SMU</f>
        <v>$ 000s</v>
      </c>
      <c r="H143" s="441">
        <f xml:space="preserve"> SUM(J143:CV143)</f>
        <v>360041.89848376269</v>
      </c>
      <c r="I143" s="628"/>
      <c r="J143" s="441">
        <f t="shared" ref="J143:AO143" si="79" xml:space="preserve"> SUM(J142:J142)</f>
        <v>0</v>
      </c>
      <c r="K143" s="441">
        <f t="shared" si="79"/>
        <v>0</v>
      </c>
      <c r="L143" s="441">
        <f t="shared" si="79"/>
        <v>0</v>
      </c>
      <c r="M143" s="441">
        <f t="shared" si="79"/>
        <v>0</v>
      </c>
      <c r="N143" s="441">
        <f t="shared" si="79"/>
        <v>0</v>
      </c>
      <c r="O143" s="441">
        <f t="shared" si="79"/>
        <v>12686.671356945051</v>
      </c>
      <c r="P143" s="441">
        <f t="shared" si="79"/>
        <v>11219.578313619157</v>
      </c>
      <c r="Q143" s="441">
        <f t="shared" si="79"/>
        <v>11246.683026259163</v>
      </c>
      <c r="R143" s="441">
        <f t="shared" si="79"/>
        <v>11134.906831418644</v>
      </c>
      <c r="S143" s="441">
        <f t="shared" si="79"/>
        <v>11160.497290778691</v>
      </c>
      <c r="T143" s="441">
        <f t="shared" si="79"/>
        <v>11049.147667919469</v>
      </c>
      <c r="U143" s="441">
        <f t="shared" si="79"/>
        <v>11073.197450820346</v>
      </c>
      <c r="V143" s="441">
        <f t="shared" si="79"/>
        <v>10977.313489020877</v>
      </c>
      <c r="W143" s="441">
        <f t="shared" si="79"/>
        <v>10969.723974284556</v>
      </c>
      <c r="X143" s="441">
        <f t="shared" si="79"/>
        <v>10874.27318110882</v>
      </c>
      <c r="Y143" s="441">
        <f t="shared" si="79"/>
        <v>10895.160171361602</v>
      </c>
      <c r="Z143" s="441">
        <f t="shared" si="79"/>
        <v>10785.110133328311</v>
      </c>
      <c r="AA143" s="441">
        <f t="shared" si="79"/>
        <v>10804.373888164411</v>
      </c>
      <c r="AB143" s="441">
        <f t="shared" si="79"/>
        <v>10694.76392796511</v>
      </c>
      <c r="AC143" s="441">
        <f t="shared" si="79"/>
        <v>10712.37579856183</v>
      </c>
      <c r="AD143" s="441">
        <f t="shared" si="79"/>
        <v>10617.752823814142</v>
      </c>
      <c r="AE143" s="441">
        <f t="shared" si="79"/>
        <v>10604.596909622556</v>
      </c>
      <c r="AF143" s="441">
        <f t="shared" si="79"/>
        <v>10510.421245766829</v>
      </c>
      <c r="AG143" s="441">
        <f t="shared" si="79"/>
        <v>10524.641040765775</v>
      </c>
      <c r="AH143" s="441">
        <f t="shared" si="79"/>
        <v>10416.373099274493</v>
      </c>
      <c r="AI143" s="441">
        <f t="shared" si="79"/>
        <v>10428.851504537852</v>
      </c>
      <c r="AJ143" s="441">
        <f t="shared" si="79"/>
        <v>10321.038445702476</v>
      </c>
      <c r="AK143" s="441">
        <f t="shared" si="79"/>
        <v>10331.74438166013</v>
      </c>
      <c r="AL143" s="441">
        <f t="shared" si="79"/>
        <v>10238.413866724009</v>
      </c>
      <c r="AM143" s="441">
        <f t="shared" si="79"/>
        <v>10219.268154047048</v>
      </c>
      <c r="AN143" s="441">
        <f t="shared" si="79"/>
        <v>10126.400443477962</v>
      </c>
      <c r="AO143" s="441">
        <f t="shared" si="79"/>
        <v>10133.465715349392</v>
      </c>
      <c r="AP143" s="441">
        <f t="shared" ref="AP143:BU143" si="80" xml:space="preserve"> SUM(AP142:AP142)</f>
        <v>10027.041163247522</v>
      </c>
      <c r="AQ143" s="441">
        <f t="shared" si="80"/>
        <v>10032.236926693096</v>
      </c>
      <c r="AR143" s="441">
        <f t="shared" si="80"/>
        <v>9926.2834676298662</v>
      </c>
      <c r="AS143" s="441">
        <f t="shared" si="80"/>
        <v>9929.5775194771086</v>
      </c>
      <c r="AT143" s="441">
        <f t="shared" si="80"/>
        <v>9837.5746264223908</v>
      </c>
      <c r="AU143" s="441">
        <f t="shared" si="80"/>
        <v>9811.9812368171188</v>
      </c>
      <c r="AV143" s="441">
        <f t="shared" si="80"/>
        <v>9720.4606172373533</v>
      </c>
      <c r="AW143" s="441">
        <f t="shared" si="80"/>
        <v>-2.024773110608092E-4</v>
      </c>
      <c r="AX143" s="441">
        <f t="shared" si="80"/>
        <v>-1.9917605055438296E-4</v>
      </c>
      <c r="AY143" s="441">
        <f t="shared" si="80"/>
        <v>-2.024773110608092E-4</v>
      </c>
      <c r="AZ143" s="441">
        <f t="shared" si="80"/>
        <v>-1.9917605055438296E-4</v>
      </c>
      <c r="BA143" s="441">
        <f t="shared" si="80"/>
        <v>-2.024773110608092E-4</v>
      </c>
      <c r="BB143" s="441">
        <f t="shared" si="80"/>
        <v>-2.0027647072319173E-4</v>
      </c>
      <c r="BC143" s="441">
        <f t="shared" si="80"/>
        <v>0</v>
      </c>
      <c r="BD143" s="441">
        <f t="shared" si="80"/>
        <v>0</v>
      </c>
      <c r="BE143" s="441">
        <f t="shared" si="80"/>
        <v>0</v>
      </c>
      <c r="BF143" s="441">
        <f t="shared" si="80"/>
        <v>0</v>
      </c>
      <c r="BG143" s="441">
        <f t="shared" si="80"/>
        <v>0</v>
      </c>
      <c r="BH143" s="441">
        <f t="shared" si="80"/>
        <v>0</v>
      </c>
      <c r="BI143" s="441">
        <f t="shared" si="80"/>
        <v>0</v>
      </c>
      <c r="BJ143" s="441">
        <f t="shared" si="80"/>
        <v>0</v>
      </c>
      <c r="BK143" s="441">
        <f t="shared" si="80"/>
        <v>0</v>
      </c>
      <c r="BL143" s="441">
        <f t="shared" si="80"/>
        <v>0</v>
      </c>
      <c r="BM143" s="441">
        <f t="shared" si="80"/>
        <v>0</v>
      </c>
      <c r="BN143" s="441">
        <f t="shared" si="80"/>
        <v>0</v>
      </c>
      <c r="BO143" s="441">
        <f t="shared" si="80"/>
        <v>0</v>
      </c>
      <c r="BP143" s="441">
        <f t="shared" si="80"/>
        <v>0</v>
      </c>
      <c r="BQ143" s="441">
        <f t="shared" si="80"/>
        <v>0</v>
      </c>
      <c r="BR143" s="441">
        <f t="shared" si="80"/>
        <v>0</v>
      </c>
      <c r="BS143" s="441">
        <f t="shared" si="80"/>
        <v>0</v>
      </c>
      <c r="BT143" s="441">
        <f t="shared" si="80"/>
        <v>0</v>
      </c>
      <c r="BU143" s="441">
        <f t="shared" si="80"/>
        <v>0</v>
      </c>
      <c r="BV143" s="441">
        <f t="shared" ref="BV143:CV143" si="81" xml:space="preserve"> SUM(BV142:BV142)</f>
        <v>0</v>
      </c>
      <c r="BW143" s="441">
        <f t="shared" si="81"/>
        <v>0</v>
      </c>
      <c r="BX143" s="441">
        <f t="shared" si="81"/>
        <v>0</v>
      </c>
      <c r="BY143" s="441">
        <f t="shared" si="81"/>
        <v>0</v>
      </c>
      <c r="BZ143" s="441">
        <f t="shared" si="81"/>
        <v>0</v>
      </c>
      <c r="CA143" s="441">
        <f t="shared" si="81"/>
        <v>0</v>
      </c>
      <c r="CB143" s="441">
        <f t="shared" si="81"/>
        <v>0</v>
      </c>
      <c r="CC143" s="441">
        <f t="shared" si="81"/>
        <v>0</v>
      </c>
      <c r="CD143" s="441">
        <f t="shared" si="81"/>
        <v>0</v>
      </c>
      <c r="CE143" s="441">
        <f t="shared" si="81"/>
        <v>0</v>
      </c>
      <c r="CF143" s="441">
        <f t="shared" si="81"/>
        <v>0</v>
      </c>
      <c r="CG143" s="441">
        <f t="shared" si="81"/>
        <v>0</v>
      </c>
      <c r="CH143" s="441">
        <f t="shared" si="81"/>
        <v>0</v>
      </c>
      <c r="CI143" s="441">
        <f t="shared" si="81"/>
        <v>0</v>
      </c>
      <c r="CJ143" s="441">
        <f t="shared" si="81"/>
        <v>0</v>
      </c>
      <c r="CK143" s="441">
        <f t="shared" si="81"/>
        <v>0</v>
      </c>
      <c r="CL143" s="441">
        <f t="shared" si="81"/>
        <v>0</v>
      </c>
      <c r="CM143" s="441">
        <f t="shared" si="81"/>
        <v>0</v>
      </c>
      <c r="CN143" s="441">
        <f t="shared" si="81"/>
        <v>0</v>
      </c>
      <c r="CO143" s="441">
        <f t="shared" si="81"/>
        <v>0</v>
      </c>
      <c r="CP143" s="441">
        <f t="shared" si="81"/>
        <v>0</v>
      </c>
      <c r="CQ143" s="441">
        <f t="shared" si="81"/>
        <v>0</v>
      </c>
      <c r="CR143" s="441">
        <f t="shared" si="81"/>
        <v>0</v>
      </c>
      <c r="CS143" s="441">
        <f t="shared" si="81"/>
        <v>0</v>
      </c>
      <c r="CT143" s="441">
        <f t="shared" si="81"/>
        <v>0</v>
      </c>
      <c r="CU143" s="441">
        <f t="shared" si="81"/>
        <v>0</v>
      </c>
      <c r="CV143" s="441">
        <f t="shared" si="81"/>
        <v>0</v>
      </c>
    </row>
    <row r="144" spans="1:100" outlineLevel="1" x14ac:dyDescent="0.2"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2"/>
      <c r="AW144" s="82"/>
      <c r="AX144" s="82"/>
      <c r="AY144" s="82"/>
      <c r="AZ144" s="82"/>
      <c r="BA144" s="82"/>
      <c r="BB144" s="82"/>
      <c r="BC144" s="82"/>
      <c r="BD144" s="82"/>
      <c r="BE144" s="82"/>
      <c r="BF144" s="82"/>
      <c r="BG144" s="82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82"/>
      <c r="CB144" s="82"/>
      <c r="CC144" s="82"/>
      <c r="CD144" s="82"/>
      <c r="CE144" s="82"/>
      <c r="CF144" s="82"/>
      <c r="CG144" s="82"/>
      <c r="CH144" s="82"/>
      <c r="CI144" s="82"/>
      <c r="CJ144" s="82"/>
      <c r="CK144" s="82"/>
      <c r="CL144" s="82"/>
      <c r="CM144" s="82"/>
      <c r="CN144" s="82"/>
      <c r="CO144" s="82"/>
      <c r="CP144" s="82"/>
      <c r="CQ144" s="82"/>
      <c r="CR144" s="82"/>
      <c r="CS144" s="82"/>
      <c r="CT144" s="82"/>
      <c r="CU144" s="82"/>
      <c r="CV144" s="82"/>
    </row>
    <row r="145" spans="1:100" s="80" customFormat="1" outlineLevel="1" x14ac:dyDescent="0.2">
      <c r="A145" s="542"/>
      <c r="B145" s="542"/>
      <c r="C145" s="543"/>
      <c r="D145" s="544"/>
      <c r="E145" s="586" t="str">
        <f t="shared" ref="E145:AJ145" si="82" xml:space="preserve"> E$140</f>
        <v>Debt cashflow during construction</v>
      </c>
      <c r="F145" s="586">
        <f t="shared" si="82"/>
        <v>0</v>
      </c>
      <c r="G145" s="586" t="str">
        <f t="shared" si="82"/>
        <v>$ 000s</v>
      </c>
      <c r="H145" s="586">
        <f t="shared" si="82"/>
        <v>-234269.65552477809</v>
      </c>
      <c r="I145" s="586">
        <f t="shared" si="82"/>
        <v>0</v>
      </c>
      <c r="J145" s="586">
        <f t="shared" si="82"/>
        <v>-1.0000000000000001E-9</v>
      </c>
      <c r="K145" s="586">
        <f t="shared" si="82"/>
        <v>0</v>
      </c>
      <c r="L145" s="586">
        <f t="shared" si="82"/>
        <v>0</v>
      </c>
      <c r="M145" s="586">
        <f t="shared" si="82"/>
        <v>5348.6508196941331</v>
      </c>
      <c r="N145" s="586">
        <f t="shared" si="82"/>
        <v>165.55347775243743</v>
      </c>
      <c r="O145" s="586">
        <f t="shared" si="82"/>
        <v>165.55347775243743</v>
      </c>
      <c r="P145" s="586">
        <f t="shared" si="82"/>
        <v>165.55347775243743</v>
      </c>
      <c r="Q145" s="586">
        <f t="shared" si="82"/>
        <v>165.55347775243743</v>
      </c>
      <c r="R145" s="586">
        <f t="shared" si="82"/>
        <v>165.55347775243743</v>
      </c>
      <c r="S145" s="586">
        <f t="shared" si="82"/>
        <v>105.17451344645659</v>
      </c>
      <c r="T145" s="586">
        <f t="shared" si="82"/>
        <v>-11866.213661217167</v>
      </c>
      <c r="U145" s="586">
        <f t="shared" si="82"/>
        <v>-11875.804577955761</v>
      </c>
      <c r="V145" s="586">
        <f t="shared" si="82"/>
        <v>-11875.804577916055</v>
      </c>
      <c r="W145" s="586">
        <f t="shared" si="82"/>
        <v>-11847.031827556895</v>
      </c>
      <c r="X145" s="586">
        <f t="shared" si="82"/>
        <v>-11875.804577839866</v>
      </c>
      <c r="Y145" s="586">
        <f t="shared" si="82"/>
        <v>-11866.213661031006</v>
      </c>
      <c r="Z145" s="586">
        <f t="shared" si="82"/>
        <v>-11875.804577763805</v>
      </c>
      <c r="AA145" s="586">
        <f t="shared" si="82"/>
        <v>-11866.213660958712</v>
      </c>
      <c r="AB145" s="586">
        <f t="shared" si="82"/>
        <v>-11875.804577689294</v>
      </c>
      <c r="AC145" s="586">
        <f t="shared" si="82"/>
        <v>-11875.804577652325</v>
      </c>
      <c r="AD145" s="586">
        <f t="shared" si="82"/>
        <v>-11866.213660852794</v>
      </c>
      <c r="AE145" s="586">
        <f t="shared" si="82"/>
        <v>-11875.804577580171</v>
      </c>
      <c r="AF145" s="586">
        <f t="shared" si="82"/>
        <v>-11866.213660784262</v>
      </c>
      <c r="AG145" s="586">
        <f t="shared" si="82"/>
        <v>-11875.804577509585</v>
      </c>
      <c r="AH145" s="586">
        <f t="shared" si="82"/>
        <v>-9885.8045774746206</v>
      </c>
      <c r="AI145" s="586">
        <f t="shared" si="82"/>
        <v>-9866.6227439280265</v>
      </c>
      <c r="AJ145" s="586">
        <f t="shared" si="82"/>
        <v>-9885.8045774068923</v>
      </c>
      <c r="AK145" s="586">
        <f t="shared" ref="AK145:BP145" si="83" xml:space="preserve"> AK$140</f>
        <v>-9876.2136606197491</v>
      </c>
      <c r="AL145" s="586">
        <f t="shared" si="83"/>
        <v>-9885.8045773402209</v>
      </c>
      <c r="AM145" s="586">
        <f t="shared" si="83"/>
        <v>-24966.461355602642</v>
      </c>
      <c r="AN145" s="586">
        <f t="shared" si="83"/>
        <v>0</v>
      </c>
      <c r="AO145" s="586">
        <f t="shared" si="83"/>
        <v>0</v>
      </c>
      <c r="AP145" s="586">
        <f t="shared" si="83"/>
        <v>0</v>
      </c>
      <c r="AQ145" s="586">
        <f t="shared" si="83"/>
        <v>0</v>
      </c>
      <c r="AR145" s="586">
        <f t="shared" si="83"/>
        <v>0</v>
      </c>
      <c r="AS145" s="586">
        <f t="shared" si="83"/>
        <v>0</v>
      </c>
      <c r="AT145" s="586">
        <f t="shared" si="83"/>
        <v>0</v>
      </c>
      <c r="AU145" s="586">
        <f t="shared" si="83"/>
        <v>0</v>
      </c>
      <c r="AV145" s="586">
        <f t="shared" si="83"/>
        <v>0</v>
      </c>
      <c r="AW145" s="586">
        <f t="shared" si="83"/>
        <v>0</v>
      </c>
      <c r="AX145" s="586">
        <f t="shared" si="83"/>
        <v>0</v>
      </c>
      <c r="AY145" s="586">
        <f t="shared" si="83"/>
        <v>0</v>
      </c>
      <c r="AZ145" s="586">
        <f t="shared" si="83"/>
        <v>0</v>
      </c>
      <c r="BA145" s="586">
        <f t="shared" si="83"/>
        <v>0</v>
      </c>
      <c r="BB145" s="586">
        <f t="shared" si="83"/>
        <v>0</v>
      </c>
      <c r="BC145" s="586">
        <f t="shared" si="83"/>
        <v>0</v>
      </c>
      <c r="BD145" s="586">
        <f t="shared" si="83"/>
        <v>0</v>
      </c>
      <c r="BE145" s="586">
        <f t="shared" si="83"/>
        <v>0</v>
      </c>
      <c r="BF145" s="586">
        <f t="shared" si="83"/>
        <v>0</v>
      </c>
      <c r="BG145" s="586">
        <f t="shared" si="83"/>
        <v>0</v>
      </c>
      <c r="BH145" s="586">
        <f t="shared" si="83"/>
        <v>0</v>
      </c>
      <c r="BI145" s="586">
        <f t="shared" si="83"/>
        <v>0</v>
      </c>
      <c r="BJ145" s="586">
        <f t="shared" si="83"/>
        <v>0</v>
      </c>
      <c r="BK145" s="586">
        <f t="shared" si="83"/>
        <v>0</v>
      </c>
      <c r="BL145" s="586">
        <f t="shared" si="83"/>
        <v>0</v>
      </c>
      <c r="BM145" s="586">
        <f t="shared" si="83"/>
        <v>0</v>
      </c>
      <c r="BN145" s="586">
        <f t="shared" si="83"/>
        <v>0</v>
      </c>
      <c r="BO145" s="586">
        <f t="shared" si="83"/>
        <v>0</v>
      </c>
      <c r="BP145" s="586">
        <f t="shared" si="83"/>
        <v>0</v>
      </c>
      <c r="BQ145" s="586">
        <f t="shared" ref="BQ145:CV145" si="84" xml:space="preserve"> BQ$140</f>
        <v>0</v>
      </c>
      <c r="BR145" s="586">
        <f t="shared" si="84"/>
        <v>0</v>
      </c>
      <c r="BS145" s="586">
        <f t="shared" si="84"/>
        <v>0</v>
      </c>
      <c r="BT145" s="586">
        <f t="shared" si="84"/>
        <v>0</v>
      </c>
      <c r="BU145" s="586">
        <f t="shared" si="84"/>
        <v>0</v>
      </c>
      <c r="BV145" s="586">
        <f t="shared" si="84"/>
        <v>0</v>
      </c>
      <c r="BW145" s="586">
        <f t="shared" si="84"/>
        <v>0</v>
      </c>
      <c r="BX145" s="586">
        <f t="shared" si="84"/>
        <v>0</v>
      </c>
      <c r="BY145" s="586">
        <f t="shared" si="84"/>
        <v>0</v>
      </c>
      <c r="BZ145" s="586">
        <f t="shared" si="84"/>
        <v>0</v>
      </c>
      <c r="CA145" s="586">
        <f t="shared" si="84"/>
        <v>0</v>
      </c>
      <c r="CB145" s="586">
        <f t="shared" si="84"/>
        <v>0</v>
      </c>
      <c r="CC145" s="586">
        <f t="shared" si="84"/>
        <v>0</v>
      </c>
      <c r="CD145" s="586">
        <f t="shared" si="84"/>
        <v>0</v>
      </c>
      <c r="CE145" s="586">
        <f t="shared" si="84"/>
        <v>0</v>
      </c>
      <c r="CF145" s="586">
        <f t="shared" si="84"/>
        <v>0</v>
      </c>
      <c r="CG145" s="586">
        <f t="shared" si="84"/>
        <v>0</v>
      </c>
      <c r="CH145" s="586">
        <f t="shared" si="84"/>
        <v>0</v>
      </c>
      <c r="CI145" s="586">
        <f t="shared" si="84"/>
        <v>0</v>
      </c>
      <c r="CJ145" s="586">
        <f t="shared" si="84"/>
        <v>0</v>
      </c>
      <c r="CK145" s="586">
        <f t="shared" si="84"/>
        <v>0</v>
      </c>
      <c r="CL145" s="586">
        <f t="shared" si="84"/>
        <v>0</v>
      </c>
      <c r="CM145" s="586">
        <f t="shared" si="84"/>
        <v>0</v>
      </c>
      <c r="CN145" s="586">
        <f t="shared" si="84"/>
        <v>0</v>
      </c>
      <c r="CO145" s="586">
        <f t="shared" si="84"/>
        <v>0</v>
      </c>
      <c r="CP145" s="586">
        <f t="shared" si="84"/>
        <v>0</v>
      </c>
      <c r="CQ145" s="586">
        <f t="shared" si="84"/>
        <v>0</v>
      </c>
      <c r="CR145" s="586">
        <f t="shared" si="84"/>
        <v>0</v>
      </c>
      <c r="CS145" s="586">
        <f t="shared" si="84"/>
        <v>0</v>
      </c>
      <c r="CT145" s="586">
        <f t="shared" si="84"/>
        <v>0</v>
      </c>
      <c r="CU145" s="586">
        <f t="shared" si="84"/>
        <v>0</v>
      </c>
      <c r="CV145" s="586">
        <f t="shared" si="84"/>
        <v>0</v>
      </c>
    </row>
    <row r="146" spans="1:100" outlineLevel="1" x14ac:dyDescent="0.2">
      <c r="E146" s="198" t="str">
        <f t="shared" ref="E146:AJ146" si="85" xml:space="preserve"> E$143</f>
        <v>Net senior debt cashflows - operations</v>
      </c>
      <c r="F146" s="198">
        <f t="shared" si="85"/>
        <v>0</v>
      </c>
      <c r="G146" s="198" t="str">
        <f t="shared" si="85"/>
        <v>$ 000s</v>
      </c>
      <c r="H146" s="198">
        <f t="shared" si="85"/>
        <v>360041.89848376269</v>
      </c>
      <c r="I146" s="198">
        <f t="shared" si="85"/>
        <v>0</v>
      </c>
      <c r="J146" s="198">
        <f t="shared" si="85"/>
        <v>0</v>
      </c>
      <c r="K146" s="198">
        <f t="shared" si="85"/>
        <v>0</v>
      </c>
      <c r="L146" s="198">
        <f t="shared" si="85"/>
        <v>0</v>
      </c>
      <c r="M146" s="198">
        <f t="shared" si="85"/>
        <v>0</v>
      </c>
      <c r="N146" s="198">
        <f t="shared" si="85"/>
        <v>0</v>
      </c>
      <c r="O146" s="198">
        <f t="shared" si="85"/>
        <v>12686.671356945051</v>
      </c>
      <c r="P146" s="198">
        <f t="shared" si="85"/>
        <v>11219.578313619157</v>
      </c>
      <c r="Q146" s="198">
        <f t="shared" si="85"/>
        <v>11246.683026259163</v>
      </c>
      <c r="R146" s="198">
        <f t="shared" si="85"/>
        <v>11134.906831418644</v>
      </c>
      <c r="S146" s="198">
        <f t="shared" si="85"/>
        <v>11160.497290778691</v>
      </c>
      <c r="T146" s="198">
        <f t="shared" si="85"/>
        <v>11049.147667919469</v>
      </c>
      <c r="U146" s="198">
        <f t="shared" si="85"/>
        <v>11073.197450820346</v>
      </c>
      <c r="V146" s="198">
        <f t="shared" si="85"/>
        <v>10977.313489020877</v>
      </c>
      <c r="W146" s="198">
        <f t="shared" si="85"/>
        <v>10969.723974284556</v>
      </c>
      <c r="X146" s="198">
        <f t="shared" si="85"/>
        <v>10874.27318110882</v>
      </c>
      <c r="Y146" s="198">
        <f t="shared" si="85"/>
        <v>10895.160171361602</v>
      </c>
      <c r="Z146" s="198">
        <f t="shared" si="85"/>
        <v>10785.110133328311</v>
      </c>
      <c r="AA146" s="198">
        <f t="shared" si="85"/>
        <v>10804.373888164411</v>
      </c>
      <c r="AB146" s="198">
        <f t="shared" si="85"/>
        <v>10694.76392796511</v>
      </c>
      <c r="AC146" s="198">
        <f t="shared" si="85"/>
        <v>10712.37579856183</v>
      </c>
      <c r="AD146" s="198">
        <f t="shared" si="85"/>
        <v>10617.752823814142</v>
      </c>
      <c r="AE146" s="198">
        <f t="shared" si="85"/>
        <v>10604.596909622556</v>
      </c>
      <c r="AF146" s="198">
        <f t="shared" si="85"/>
        <v>10510.421245766829</v>
      </c>
      <c r="AG146" s="198">
        <f t="shared" si="85"/>
        <v>10524.641040765775</v>
      </c>
      <c r="AH146" s="198">
        <f t="shared" si="85"/>
        <v>10416.373099274493</v>
      </c>
      <c r="AI146" s="198">
        <f t="shared" si="85"/>
        <v>10428.851504537852</v>
      </c>
      <c r="AJ146" s="198">
        <f t="shared" si="85"/>
        <v>10321.038445702476</v>
      </c>
      <c r="AK146" s="198">
        <f t="shared" ref="AK146:BP146" si="86" xml:space="preserve"> AK$143</f>
        <v>10331.74438166013</v>
      </c>
      <c r="AL146" s="198">
        <f t="shared" si="86"/>
        <v>10238.413866724009</v>
      </c>
      <c r="AM146" s="198">
        <f t="shared" si="86"/>
        <v>10219.268154047048</v>
      </c>
      <c r="AN146" s="198">
        <f t="shared" si="86"/>
        <v>10126.400443477962</v>
      </c>
      <c r="AO146" s="198">
        <f t="shared" si="86"/>
        <v>10133.465715349392</v>
      </c>
      <c r="AP146" s="198">
        <f t="shared" si="86"/>
        <v>10027.041163247522</v>
      </c>
      <c r="AQ146" s="198">
        <f t="shared" si="86"/>
        <v>10032.236926693096</v>
      </c>
      <c r="AR146" s="198">
        <f t="shared" si="86"/>
        <v>9926.2834676298662</v>
      </c>
      <c r="AS146" s="198">
        <f t="shared" si="86"/>
        <v>9929.5775194771086</v>
      </c>
      <c r="AT146" s="198">
        <f t="shared" si="86"/>
        <v>9837.5746264223908</v>
      </c>
      <c r="AU146" s="198">
        <f t="shared" si="86"/>
        <v>9811.9812368171188</v>
      </c>
      <c r="AV146" s="198">
        <f t="shared" si="86"/>
        <v>9720.4606172373533</v>
      </c>
      <c r="AW146" s="198">
        <f t="shared" si="86"/>
        <v>-2.024773110608092E-4</v>
      </c>
      <c r="AX146" s="198">
        <f t="shared" si="86"/>
        <v>-1.9917605055438296E-4</v>
      </c>
      <c r="AY146" s="198">
        <f t="shared" si="86"/>
        <v>-2.024773110608092E-4</v>
      </c>
      <c r="AZ146" s="198">
        <f t="shared" si="86"/>
        <v>-1.9917605055438296E-4</v>
      </c>
      <c r="BA146" s="198">
        <f t="shared" si="86"/>
        <v>-2.024773110608092E-4</v>
      </c>
      <c r="BB146" s="198">
        <f t="shared" si="86"/>
        <v>-2.0027647072319173E-4</v>
      </c>
      <c r="BC146" s="198">
        <f t="shared" si="86"/>
        <v>0</v>
      </c>
      <c r="BD146" s="198">
        <f t="shared" si="86"/>
        <v>0</v>
      </c>
      <c r="BE146" s="198">
        <f t="shared" si="86"/>
        <v>0</v>
      </c>
      <c r="BF146" s="198">
        <f t="shared" si="86"/>
        <v>0</v>
      </c>
      <c r="BG146" s="198">
        <f t="shared" si="86"/>
        <v>0</v>
      </c>
      <c r="BH146" s="198">
        <f t="shared" si="86"/>
        <v>0</v>
      </c>
      <c r="BI146" s="198">
        <f t="shared" si="86"/>
        <v>0</v>
      </c>
      <c r="BJ146" s="198">
        <f t="shared" si="86"/>
        <v>0</v>
      </c>
      <c r="BK146" s="198">
        <f t="shared" si="86"/>
        <v>0</v>
      </c>
      <c r="BL146" s="198">
        <f t="shared" si="86"/>
        <v>0</v>
      </c>
      <c r="BM146" s="198">
        <f t="shared" si="86"/>
        <v>0</v>
      </c>
      <c r="BN146" s="198">
        <f t="shared" si="86"/>
        <v>0</v>
      </c>
      <c r="BO146" s="198">
        <f t="shared" si="86"/>
        <v>0</v>
      </c>
      <c r="BP146" s="198">
        <f t="shared" si="86"/>
        <v>0</v>
      </c>
      <c r="BQ146" s="198">
        <f t="shared" ref="BQ146:CV146" si="87" xml:space="preserve"> BQ$143</f>
        <v>0</v>
      </c>
      <c r="BR146" s="198">
        <f t="shared" si="87"/>
        <v>0</v>
      </c>
      <c r="BS146" s="198">
        <f t="shared" si="87"/>
        <v>0</v>
      </c>
      <c r="BT146" s="198">
        <f t="shared" si="87"/>
        <v>0</v>
      </c>
      <c r="BU146" s="198">
        <f t="shared" si="87"/>
        <v>0</v>
      </c>
      <c r="BV146" s="198">
        <f t="shared" si="87"/>
        <v>0</v>
      </c>
      <c r="BW146" s="198">
        <f t="shared" si="87"/>
        <v>0</v>
      </c>
      <c r="BX146" s="198">
        <f t="shared" si="87"/>
        <v>0</v>
      </c>
      <c r="BY146" s="198">
        <f t="shared" si="87"/>
        <v>0</v>
      </c>
      <c r="BZ146" s="198">
        <f t="shared" si="87"/>
        <v>0</v>
      </c>
      <c r="CA146" s="198">
        <f t="shared" si="87"/>
        <v>0</v>
      </c>
      <c r="CB146" s="198">
        <f t="shared" si="87"/>
        <v>0</v>
      </c>
      <c r="CC146" s="198">
        <f t="shared" si="87"/>
        <v>0</v>
      </c>
      <c r="CD146" s="198">
        <f t="shared" si="87"/>
        <v>0</v>
      </c>
      <c r="CE146" s="198">
        <f t="shared" si="87"/>
        <v>0</v>
      </c>
      <c r="CF146" s="198">
        <f t="shared" si="87"/>
        <v>0</v>
      </c>
      <c r="CG146" s="198">
        <f t="shared" si="87"/>
        <v>0</v>
      </c>
      <c r="CH146" s="198">
        <f t="shared" si="87"/>
        <v>0</v>
      </c>
      <c r="CI146" s="198">
        <f t="shared" si="87"/>
        <v>0</v>
      </c>
      <c r="CJ146" s="198">
        <f t="shared" si="87"/>
        <v>0</v>
      </c>
      <c r="CK146" s="198">
        <f t="shared" si="87"/>
        <v>0</v>
      </c>
      <c r="CL146" s="198">
        <f t="shared" si="87"/>
        <v>0</v>
      </c>
      <c r="CM146" s="198">
        <f t="shared" si="87"/>
        <v>0</v>
      </c>
      <c r="CN146" s="198">
        <f t="shared" si="87"/>
        <v>0</v>
      </c>
      <c r="CO146" s="198">
        <f t="shared" si="87"/>
        <v>0</v>
      </c>
      <c r="CP146" s="198">
        <f t="shared" si="87"/>
        <v>0</v>
      </c>
      <c r="CQ146" s="198">
        <f t="shared" si="87"/>
        <v>0</v>
      </c>
      <c r="CR146" s="198">
        <f t="shared" si="87"/>
        <v>0</v>
      </c>
      <c r="CS146" s="198">
        <f t="shared" si="87"/>
        <v>0</v>
      </c>
      <c r="CT146" s="198">
        <f t="shared" si="87"/>
        <v>0</v>
      </c>
      <c r="CU146" s="198">
        <f t="shared" si="87"/>
        <v>0</v>
      </c>
      <c r="CV146" s="198">
        <f t="shared" si="87"/>
        <v>0</v>
      </c>
    </row>
    <row r="147" spans="1:100" outlineLevel="1" x14ac:dyDescent="0.2">
      <c r="A147" s="85"/>
      <c r="B147" s="85"/>
      <c r="C147" s="86"/>
      <c r="D147" s="87"/>
      <c r="E147" s="546" t="str">
        <f xml:space="preserve"> ConTime!E$23</f>
        <v>Model period ending - m</v>
      </c>
      <c r="F147" s="546">
        <f xml:space="preserve"> ConTime!F$23</f>
        <v>0</v>
      </c>
      <c r="G147" s="546" t="str">
        <f xml:space="preserve"> ConTime!G$23</f>
        <v>date</v>
      </c>
      <c r="H147" s="546">
        <f xml:space="preserve"> ConTime!H$23</f>
        <v>0</v>
      </c>
      <c r="I147" s="546">
        <f xml:space="preserve"> ConTime!I$23</f>
        <v>0</v>
      </c>
      <c r="J147" s="546">
        <f xml:space="preserve"> ConTime!J$23</f>
        <v>44592</v>
      </c>
      <c r="K147" s="546">
        <f xml:space="preserve"> ConTime!K$23</f>
        <v>44620</v>
      </c>
      <c r="L147" s="546">
        <f xml:space="preserve"> ConTime!L$23</f>
        <v>44651</v>
      </c>
      <c r="M147" s="546">
        <f xml:space="preserve"> ConTime!M$23</f>
        <v>44681</v>
      </c>
      <c r="N147" s="546">
        <f xml:space="preserve"> ConTime!N$23</f>
        <v>44712</v>
      </c>
      <c r="O147" s="546">
        <f xml:space="preserve"> ConTime!O$23</f>
        <v>44742</v>
      </c>
      <c r="P147" s="546">
        <f xml:space="preserve"> ConTime!P$23</f>
        <v>44773</v>
      </c>
      <c r="Q147" s="546">
        <f xml:space="preserve"> ConTime!Q$23</f>
        <v>44804</v>
      </c>
      <c r="R147" s="546">
        <f xml:space="preserve"> ConTime!R$23</f>
        <v>44834</v>
      </c>
      <c r="S147" s="546">
        <f xml:space="preserve"> ConTime!S$23</f>
        <v>44865</v>
      </c>
      <c r="T147" s="546">
        <f xml:space="preserve"> ConTime!T$23</f>
        <v>44895</v>
      </c>
      <c r="U147" s="546">
        <f xml:space="preserve"> ConTime!U$23</f>
        <v>44926</v>
      </c>
      <c r="V147" s="546">
        <f xml:space="preserve"> ConTime!V$23</f>
        <v>44957</v>
      </c>
      <c r="W147" s="546">
        <f xml:space="preserve"> ConTime!W$23</f>
        <v>44985</v>
      </c>
      <c r="X147" s="546">
        <f xml:space="preserve"> ConTime!X$23</f>
        <v>45016</v>
      </c>
      <c r="Y147" s="546">
        <f xml:space="preserve"> ConTime!Y$23</f>
        <v>45046</v>
      </c>
      <c r="Z147" s="546">
        <f xml:space="preserve"> ConTime!Z$23</f>
        <v>45077</v>
      </c>
      <c r="AA147" s="546">
        <f xml:space="preserve"> ConTime!AA$23</f>
        <v>45107</v>
      </c>
      <c r="AB147" s="546">
        <f xml:space="preserve"> ConTime!AB$23</f>
        <v>45138</v>
      </c>
      <c r="AC147" s="546">
        <f xml:space="preserve"> ConTime!AC$23</f>
        <v>45169</v>
      </c>
      <c r="AD147" s="546">
        <f xml:space="preserve"> ConTime!AD$23</f>
        <v>45199</v>
      </c>
      <c r="AE147" s="546">
        <f xml:space="preserve"> ConTime!AE$23</f>
        <v>45230</v>
      </c>
      <c r="AF147" s="546">
        <f xml:space="preserve"> ConTime!AF$23</f>
        <v>45260</v>
      </c>
      <c r="AG147" s="546">
        <f xml:space="preserve"> ConTime!AG$23</f>
        <v>45291</v>
      </c>
      <c r="AH147" s="546">
        <f xml:space="preserve"> ConTime!AH$23</f>
        <v>45322</v>
      </c>
      <c r="AI147" s="546">
        <f xml:space="preserve"> ConTime!AI$23</f>
        <v>45351</v>
      </c>
      <c r="AJ147" s="546">
        <f xml:space="preserve"> ConTime!AJ$23</f>
        <v>45382</v>
      </c>
      <c r="AK147" s="546">
        <f xml:space="preserve"> ConTime!AK$23</f>
        <v>45412</v>
      </c>
      <c r="AL147" s="546">
        <f xml:space="preserve"> ConTime!AL$23</f>
        <v>45443</v>
      </c>
      <c r="AM147" s="546">
        <f xml:space="preserve"> ConTime!AM$23</f>
        <v>45473</v>
      </c>
      <c r="AN147" s="546">
        <f xml:space="preserve"> ConTime!AN$23</f>
        <v>45504</v>
      </c>
      <c r="AO147" s="546">
        <f xml:space="preserve"> ConTime!AO$23</f>
        <v>45535</v>
      </c>
      <c r="AP147" s="546">
        <f xml:space="preserve"> ConTime!AP$23</f>
        <v>45565</v>
      </c>
      <c r="AQ147" s="546">
        <f xml:space="preserve"> ConTime!AQ$23</f>
        <v>45596</v>
      </c>
      <c r="AR147" s="546">
        <f xml:space="preserve"> ConTime!AR$23</f>
        <v>45626</v>
      </c>
      <c r="AS147" s="546">
        <f xml:space="preserve"> ConTime!AS$23</f>
        <v>45657</v>
      </c>
      <c r="AT147" s="546">
        <f xml:space="preserve"> ConTime!AT$23</f>
        <v>45688</v>
      </c>
      <c r="AU147" s="546">
        <f xml:space="preserve"> ConTime!AU$23</f>
        <v>45716</v>
      </c>
      <c r="AV147" s="546">
        <f xml:space="preserve"> ConTime!AV$23</f>
        <v>45747</v>
      </c>
      <c r="AW147" s="546">
        <f xml:space="preserve"> ConTime!AW$23</f>
        <v>45777</v>
      </c>
      <c r="AX147" s="546">
        <f xml:space="preserve"> ConTime!AX$23</f>
        <v>45808</v>
      </c>
      <c r="AY147" s="546">
        <f xml:space="preserve"> ConTime!AY$23</f>
        <v>45838</v>
      </c>
      <c r="AZ147" s="546">
        <f xml:space="preserve"> ConTime!AZ$23</f>
        <v>45869</v>
      </c>
      <c r="BA147" s="546">
        <f xml:space="preserve"> ConTime!BA$23</f>
        <v>45900</v>
      </c>
      <c r="BB147" s="546">
        <f xml:space="preserve"> ConTime!BB$23</f>
        <v>45930</v>
      </c>
      <c r="BC147" s="546">
        <f xml:space="preserve"> ConTime!BC$23</f>
        <v>45961</v>
      </c>
      <c r="BD147" s="546">
        <f xml:space="preserve"> ConTime!BD$23</f>
        <v>45991</v>
      </c>
      <c r="BE147" s="546">
        <f xml:space="preserve"> ConTime!BE$23</f>
        <v>46022</v>
      </c>
      <c r="BF147" s="546">
        <f xml:space="preserve"> ConTime!BF$23</f>
        <v>0</v>
      </c>
      <c r="BG147" s="546">
        <f xml:space="preserve"> ConTime!BG$23</f>
        <v>0</v>
      </c>
      <c r="BH147" s="546">
        <f xml:space="preserve"> ConTime!BH$23</f>
        <v>0</v>
      </c>
      <c r="BI147" s="546">
        <f xml:space="preserve"> ConTime!BI$23</f>
        <v>0</v>
      </c>
      <c r="BJ147" s="546">
        <f xml:space="preserve"> ConTime!BJ$23</f>
        <v>0</v>
      </c>
      <c r="BK147" s="546">
        <f xml:space="preserve"> ConTime!BK$23</f>
        <v>0</v>
      </c>
      <c r="BL147" s="546">
        <f xml:space="preserve"> ConTime!BL$23</f>
        <v>0</v>
      </c>
      <c r="BM147" s="546">
        <f xml:space="preserve"> ConTime!BM$23</f>
        <v>0</v>
      </c>
      <c r="BN147" s="546">
        <f xml:space="preserve"> ConTime!BN$23</f>
        <v>0</v>
      </c>
      <c r="BO147" s="546">
        <f xml:space="preserve"> ConTime!BO$23</f>
        <v>0</v>
      </c>
      <c r="BP147" s="546">
        <f xml:space="preserve"> ConTime!BP$23</f>
        <v>0</v>
      </c>
      <c r="BQ147" s="546">
        <f xml:space="preserve"> ConTime!BQ$23</f>
        <v>0</v>
      </c>
      <c r="BR147" s="546">
        <f xml:space="preserve"> ConTime!BR$23</f>
        <v>0</v>
      </c>
      <c r="BS147" s="546">
        <f xml:space="preserve"> ConTime!BS$23</f>
        <v>0</v>
      </c>
      <c r="BT147" s="546">
        <f xml:space="preserve"> ConTime!BT$23</f>
        <v>0</v>
      </c>
      <c r="BU147" s="546">
        <f xml:space="preserve"> ConTime!BU$23</f>
        <v>0</v>
      </c>
      <c r="BV147" s="546">
        <f xml:space="preserve"> ConTime!BV$23</f>
        <v>0</v>
      </c>
      <c r="BW147" s="546">
        <f xml:space="preserve"> ConTime!BW$23</f>
        <v>0</v>
      </c>
      <c r="BX147" s="546">
        <f xml:space="preserve"> ConTime!BX$23</f>
        <v>0</v>
      </c>
      <c r="BY147" s="546">
        <f xml:space="preserve"> ConTime!BY$23</f>
        <v>0</v>
      </c>
      <c r="BZ147" s="546">
        <f xml:space="preserve"> ConTime!BZ$23</f>
        <v>0</v>
      </c>
      <c r="CA147" s="546">
        <f xml:space="preserve"> ConTime!CA$23</f>
        <v>0</v>
      </c>
      <c r="CB147" s="546">
        <f xml:space="preserve"> ConTime!CB$23</f>
        <v>0</v>
      </c>
      <c r="CC147" s="546">
        <f xml:space="preserve"> ConTime!CC$23</f>
        <v>0</v>
      </c>
      <c r="CD147" s="546">
        <f xml:space="preserve"> ConTime!CD$23</f>
        <v>0</v>
      </c>
      <c r="CE147" s="546">
        <f xml:space="preserve"> ConTime!CE$23</f>
        <v>0</v>
      </c>
      <c r="CF147" s="546">
        <f xml:space="preserve"> ConTime!CF$23</f>
        <v>0</v>
      </c>
      <c r="CG147" s="546">
        <f xml:space="preserve"> ConTime!CG$23</f>
        <v>0</v>
      </c>
      <c r="CH147" s="546">
        <f xml:space="preserve"> ConTime!CH$23</f>
        <v>0</v>
      </c>
      <c r="CI147" s="546">
        <f xml:space="preserve"> ConTime!CI$23</f>
        <v>0</v>
      </c>
      <c r="CJ147" s="546">
        <f xml:space="preserve"> ConTime!CJ$23</f>
        <v>0</v>
      </c>
      <c r="CK147" s="546">
        <f xml:space="preserve"> ConTime!CK$23</f>
        <v>0</v>
      </c>
      <c r="CL147" s="546">
        <f xml:space="preserve"> ConTime!CL$23</f>
        <v>0</v>
      </c>
      <c r="CM147" s="546">
        <f xml:space="preserve"> ConTime!CM$23</f>
        <v>0</v>
      </c>
      <c r="CN147" s="546">
        <f xml:space="preserve"> ConTime!CN$23</f>
        <v>0</v>
      </c>
      <c r="CO147" s="546">
        <f xml:space="preserve"> ConTime!CO$23</f>
        <v>0</v>
      </c>
      <c r="CP147" s="546">
        <f xml:space="preserve"> ConTime!CP$23</f>
        <v>0</v>
      </c>
      <c r="CQ147" s="546">
        <f xml:space="preserve"> ConTime!CQ$23</f>
        <v>0</v>
      </c>
      <c r="CR147" s="546">
        <f xml:space="preserve"> ConTime!CR$23</f>
        <v>0</v>
      </c>
      <c r="CS147" s="546">
        <f xml:space="preserve"> ConTime!CS$23</f>
        <v>0</v>
      </c>
      <c r="CT147" s="546">
        <f xml:space="preserve"> ConTime!CT$23</f>
        <v>0</v>
      </c>
      <c r="CU147" s="546">
        <f xml:space="preserve"> ConTime!CU$23</f>
        <v>0</v>
      </c>
      <c r="CV147" s="546">
        <f xml:space="preserve"> ConTime!CV$23</f>
        <v>0</v>
      </c>
    </row>
    <row r="148" spans="1:100" outlineLevel="1" x14ac:dyDescent="0.2">
      <c r="A148" s="85"/>
      <c r="B148" s="85"/>
      <c r="C148" s="86"/>
      <c r="D148" s="87"/>
      <c r="E148" s="634" t="str">
        <f xml:space="preserve"> Time!E$25</f>
        <v>Model period ending</v>
      </c>
      <c r="F148" s="634">
        <f xml:space="preserve"> Time!F$25</f>
        <v>0</v>
      </c>
      <c r="G148" s="634" t="str">
        <f xml:space="preserve"> Time!G$25</f>
        <v>date</v>
      </c>
      <c r="H148" s="634">
        <f xml:space="preserve"> Time!H$25</f>
        <v>0</v>
      </c>
      <c r="I148" s="634">
        <f xml:space="preserve"> Time!I$25</f>
        <v>0</v>
      </c>
      <c r="J148" s="634">
        <f xml:space="preserve"> Time!J$25</f>
        <v>44742</v>
      </c>
      <c r="K148" s="634">
        <f xml:space="preserve"> Time!K$25</f>
        <v>44926</v>
      </c>
      <c r="L148" s="634">
        <f xml:space="preserve"> Time!L$25</f>
        <v>45107</v>
      </c>
      <c r="M148" s="634">
        <f xml:space="preserve"> Time!M$25</f>
        <v>45291</v>
      </c>
      <c r="N148" s="634">
        <f xml:space="preserve"> Time!N$25</f>
        <v>45473</v>
      </c>
      <c r="O148" s="634">
        <f xml:space="preserve"> Time!O$25</f>
        <v>45657</v>
      </c>
      <c r="P148" s="634">
        <f xml:space="preserve"> Time!P$25</f>
        <v>45838</v>
      </c>
      <c r="Q148" s="634">
        <f xml:space="preserve"> Time!Q$25</f>
        <v>46022</v>
      </c>
      <c r="R148" s="634">
        <f xml:space="preserve"> Time!R$25</f>
        <v>46203</v>
      </c>
      <c r="S148" s="634">
        <f xml:space="preserve"> Time!S$25</f>
        <v>46387</v>
      </c>
      <c r="T148" s="634">
        <f xml:space="preserve"> Time!T$25</f>
        <v>46568</v>
      </c>
      <c r="U148" s="634">
        <f xml:space="preserve"> Time!U$25</f>
        <v>46752</v>
      </c>
      <c r="V148" s="634">
        <f xml:space="preserve"> Time!V$25</f>
        <v>46934</v>
      </c>
      <c r="W148" s="634">
        <f xml:space="preserve"> Time!W$25</f>
        <v>47118</v>
      </c>
      <c r="X148" s="634">
        <f xml:space="preserve"> Time!X$25</f>
        <v>47299</v>
      </c>
      <c r="Y148" s="634">
        <f xml:space="preserve"> Time!Y$25</f>
        <v>47483</v>
      </c>
      <c r="Z148" s="634">
        <f xml:space="preserve"> Time!Z$25</f>
        <v>47664</v>
      </c>
      <c r="AA148" s="634">
        <f xml:space="preserve"> Time!AA$25</f>
        <v>47848</v>
      </c>
      <c r="AB148" s="634">
        <f xml:space="preserve"> Time!AB$25</f>
        <v>48029</v>
      </c>
      <c r="AC148" s="634">
        <f xml:space="preserve"> Time!AC$25</f>
        <v>48213</v>
      </c>
      <c r="AD148" s="634">
        <f xml:space="preserve"> Time!AD$25</f>
        <v>48395</v>
      </c>
      <c r="AE148" s="634">
        <f xml:space="preserve"> Time!AE$25</f>
        <v>48579</v>
      </c>
      <c r="AF148" s="634">
        <f xml:space="preserve"> Time!AF$25</f>
        <v>48760</v>
      </c>
      <c r="AG148" s="634">
        <f xml:space="preserve"> Time!AG$25</f>
        <v>48944</v>
      </c>
      <c r="AH148" s="634">
        <f xml:space="preserve"> Time!AH$25</f>
        <v>49125</v>
      </c>
      <c r="AI148" s="634">
        <f xml:space="preserve"> Time!AI$25</f>
        <v>49309</v>
      </c>
      <c r="AJ148" s="634">
        <f xml:space="preserve"> Time!AJ$25</f>
        <v>49490</v>
      </c>
      <c r="AK148" s="634">
        <f xml:space="preserve"> Time!AK$25</f>
        <v>49674</v>
      </c>
      <c r="AL148" s="634">
        <f xml:space="preserve"> Time!AL$25</f>
        <v>49856</v>
      </c>
      <c r="AM148" s="634">
        <f xml:space="preserve"> Time!AM$25</f>
        <v>50040</v>
      </c>
      <c r="AN148" s="634">
        <f xml:space="preserve"> Time!AN$25</f>
        <v>50221</v>
      </c>
      <c r="AO148" s="634">
        <f xml:space="preserve"> Time!AO$25</f>
        <v>50405</v>
      </c>
      <c r="AP148" s="634">
        <f xml:space="preserve"> Time!AP$25</f>
        <v>50586</v>
      </c>
      <c r="AQ148" s="634">
        <f xml:space="preserve"> Time!AQ$25</f>
        <v>50770</v>
      </c>
      <c r="AR148" s="634">
        <f xml:space="preserve"> Time!AR$25</f>
        <v>50951</v>
      </c>
      <c r="AS148" s="634">
        <f xml:space="preserve"> Time!AS$25</f>
        <v>51135</v>
      </c>
      <c r="AT148" s="634">
        <f xml:space="preserve"> Time!AT$25</f>
        <v>51317</v>
      </c>
      <c r="AU148" s="634">
        <f xml:space="preserve"> Time!AU$25</f>
        <v>51501</v>
      </c>
      <c r="AV148" s="634">
        <f xml:space="preserve"> Time!AV$25</f>
        <v>51682</v>
      </c>
      <c r="AW148" s="634">
        <f xml:space="preserve"> Time!AW$25</f>
        <v>51866</v>
      </c>
      <c r="AX148" s="634">
        <f xml:space="preserve"> Time!AX$25</f>
        <v>52047</v>
      </c>
      <c r="AY148" s="634">
        <f xml:space="preserve"> Time!AY$25</f>
        <v>52231</v>
      </c>
      <c r="AZ148" s="634">
        <f xml:space="preserve"> Time!AZ$25</f>
        <v>52412</v>
      </c>
      <c r="BA148" s="634">
        <f xml:space="preserve"> Time!BA$25</f>
        <v>52596</v>
      </c>
      <c r="BB148" s="634">
        <f xml:space="preserve"> Time!BB$25</f>
        <v>52778</v>
      </c>
      <c r="BC148" s="634">
        <f xml:space="preserve"> Time!BC$25</f>
        <v>52962</v>
      </c>
      <c r="BD148" s="634">
        <f xml:space="preserve"> Time!BD$25</f>
        <v>53143</v>
      </c>
      <c r="BE148" s="634">
        <f xml:space="preserve"> Time!BE$25</f>
        <v>53327</v>
      </c>
      <c r="BF148" s="634">
        <f xml:space="preserve"> Time!BF$25</f>
        <v>53508</v>
      </c>
      <c r="BG148" s="634">
        <f xml:space="preserve"> Time!BG$25</f>
        <v>53692</v>
      </c>
      <c r="BH148" s="634">
        <f xml:space="preserve"> Time!BH$25</f>
        <v>53873</v>
      </c>
      <c r="BI148" s="634">
        <f xml:space="preserve"> Time!BI$25</f>
        <v>54057</v>
      </c>
      <c r="BJ148" s="634">
        <f xml:space="preserve"> Time!BJ$25</f>
        <v>54239</v>
      </c>
      <c r="BK148" s="634">
        <f xml:space="preserve"> Time!BK$25</f>
        <v>54423</v>
      </c>
      <c r="BL148" s="634">
        <f xml:space="preserve"> Time!BL$25</f>
        <v>54604</v>
      </c>
      <c r="BM148" s="634">
        <f xml:space="preserve"> Time!BM$25</f>
        <v>54788</v>
      </c>
      <c r="BN148" s="634">
        <f xml:space="preserve"> Time!BN$25</f>
        <v>54969</v>
      </c>
      <c r="BO148" s="634">
        <f xml:space="preserve"> Time!BO$25</f>
        <v>55153</v>
      </c>
      <c r="BP148" s="634">
        <f xml:space="preserve"> Time!BP$25</f>
        <v>55334</v>
      </c>
      <c r="BQ148" s="634">
        <f xml:space="preserve"> Time!BQ$25</f>
        <v>55518</v>
      </c>
      <c r="BR148" s="634">
        <f xml:space="preserve"> Time!BR$25</f>
        <v>55700</v>
      </c>
      <c r="BS148" s="634">
        <f xml:space="preserve"> Time!BS$25</f>
        <v>55884</v>
      </c>
      <c r="BT148" s="634">
        <f xml:space="preserve"> Time!BT$25</f>
        <v>56065</v>
      </c>
      <c r="BU148" s="634">
        <f xml:space="preserve"> Time!BU$25</f>
        <v>56249</v>
      </c>
      <c r="BV148" s="634">
        <f xml:space="preserve"> Time!BV$25</f>
        <v>56430</v>
      </c>
      <c r="BW148" s="634">
        <f xml:space="preserve"> Time!BW$25</f>
        <v>56614</v>
      </c>
      <c r="BX148" s="634">
        <f xml:space="preserve"> Time!BX$25</f>
        <v>56795</v>
      </c>
      <c r="BY148" s="634">
        <f xml:space="preserve"> Time!BY$25</f>
        <v>56979</v>
      </c>
      <c r="BZ148" s="634">
        <f xml:space="preserve"> Time!BZ$25</f>
        <v>57161</v>
      </c>
      <c r="CA148" s="634">
        <f xml:space="preserve"> Time!CA$25</f>
        <v>57345</v>
      </c>
      <c r="CB148" s="634">
        <f xml:space="preserve"> Time!CB$25</f>
        <v>57526</v>
      </c>
      <c r="CC148" s="634">
        <f xml:space="preserve"> Time!CC$25</f>
        <v>57710</v>
      </c>
      <c r="CD148" s="634">
        <f xml:space="preserve"> Time!CD$25</f>
        <v>57891</v>
      </c>
      <c r="CE148" s="634">
        <f xml:space="preserve"> Time!CE$25</f>
        <v>58075</v>
      </c>
      <c r="CF148" s="634">
        <f xml:space="preserve"> Time!CF$25</f>
        <v>58256</v>
      </c>
      <c r="CG148" s="634">
        <f xml:space="preserve"> Time!CG$25</f>
        <v>58440</v>
      </c>
      <c r="CH148" s="634">
        <f xml:space="preserve"> Time!CH$25</f>
        <v>58622</v>
      </c>
      <c r="CI148" s="634">
        <f xml:space="preserve"> Time!CI$25</f>
        <v>58806</v>
      </c>
      <c r="CJ148" s="634">
        <f xml:space="preserve"> Time!CJ$25</f>
        <v>58987</v>
      </c>
      <c r="CK148" s="634">
        <f xml:space="preserve"> Time!CK$25</f>
        <v>59171</v>
      </c>
      <c r="CL148" s="634">
        <f xml:space="preserve"> Time!CL$25</f>
        <v>59352</v>
      </c>
      <c r="CM148" s="634">
        <f xml:space="preserve"> Time!CM$25</f>
        <v>59536</v>
      </c>
      <c r="CN148" s="634">
        <f xml:space="preserve"> Time!CN$25</f>
        <v>59717</v>
      </c>
      <c r="CO148" s="634">
        <f xml:space="preserve"> Time!CO$25</f>
        <v>59901</v>
      </c>
      <c r="CP148" s="634">
        <f xml:space="preserve"> Time!CP$25</f>
        <v>60083</v>
      </c>
      <c r="CQ148" s="634">
        <f xml:space="preserve"> Time!CQ$25</f>
        <v>60267</v>
      </c>
      <c r="CR148" s="634">
        <f xml:space="preserve"> Time!CR$25</f>
        <v>60448</v>
      </c>
      <c r="CS148" s="634">
        <f xml:space="preserve"> Time!CS$25</f>
        <v>60632</v>
      </c>
      <c r="CT148" s="634">
        <f xml:space="preserve"> Time!CT$25</f>
        <v>60813</v>
      </c>
      <c r="CU148" s="634">
        <f xml:space="preserve"> Time!CU$25</f>
        <v>60997</v>
      </c>
      <c r="CV148" s="634">
        <f xml:space="preserve"> Time!CV$25</f>
        <v>61178</v>
      </c>
    </row>
    <row r="149" spans="1:100" s="188" customFormat="1" outlineLevel="1" x14ac:dyDescent="0.2">
      <c r="A149" s="141"/>
      <c r="B149" s="141"/>
      <c r="C149" s="142"/>
      <c r="D149" s="143"/>
      <c r="E149" s="144" t="s">
        <v>853</v>
      </c>
      <c r="F149" s="547">
        <f xml:space="preserve"> XIRR(J145:CV146, J147:CV148)</f>
        <v>5.0889906287193296E-2</v>
      </c>
      <c r="G149" s="144" t="s">
        <v>116</v>
      </c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  <c r="AF149" s="144"/>
      <c r="AG149" s="144"/>
      <c r="AH149" s="144"/>
      <c r="AI149" s="144"/>
      <c r="AJ149" s="144"/>
      <c r="AK149" s="144"/>
      <c r="AL149" s="144"/>
      <c r="AM149" s="144"/>
      <c r="AN149" s="144"/>
      <c r="AO149" s="144"/>
      <c r="AP149" s="144"/>
      <c r="AQ149" s="144"/>
      <c r="AR149" s="144"/>
      <c r="AS149" s="144"/>
      <c r="AT149" s="144"/>
      <c r="AU149" s="144"/>
      <c r="AV149" s="144"/>
      <c r="AW149" s="144"/>
      <c r="AX149" s="144"/>
      <c r="AY149" s="144"/>
      <c r="AZ149" s="144"/>
      <c r="BA149" s="144"/>
      <c r="BB149" s="144"/>
      <c r="BC149" s="144"/>
      <c r="BD149" s="144"/>
      <c r="BE149" s="144"/>
      <c r="BF149" s="144"/>
      <c r="BG149" s="144"/>
      <c r="BH149" s="144"/>
      <c r="BI149" s="144"/>
      <c r="BJ149" s="144"/>
      <c r="BK149" s="144"/>
      <c r="BL149" s="144"/>
      <c r="BM149" s="144"/>
      <c r="BN149" s="144"/>
      <c r="BO149" s="144"/>
      <c r="BP149" s="144"/>
      <c r="BQ149" s="144"/>
      <c r="BR149" s="144"/>
      <c r="BS149" s="144"/>
      <c r="BT149" s="144"/>
      <c r="BU149" s="144"/>
      <c r="BV149" s="144"/>
      <c r="BW149" s="144"/>
      <c r="BX149" s="144"/>
      <c r="BY149" s="144"/>
      <c r="BZ149" s="144"/>
      <c r="CA149" s="144"/>
      <c r="CB149" s="144"/>
      <c r="CC149" s="144"/>
      <c r="CD149" s="144"/>
      <c r="CE149" s="144"/>
      <c r="CF149" s="144"/>
      <c r="CG149" s="144"/>
      <c r="CH149" s="144"/>
      <c r="CI149" s="144"/>
      <c r="CJ149" s="144"/>
      <c r="CK149" s="144"/>
      <c r="CL149" s="144"/>
      <c r="CM149" s="144"/>
      <c r="CN149" s="144"/>
      <c r="CO149" s="144"/>
      <c r="CP149" s="144"/>
      <c r="CQ149" s="144"/>
      <c r="CR149" s="144"/>
      <c r="CS149" s="144"/>
      <c r="CT149" s="144"/>
      <c r="CU149" s="144"/>
      <c r="CV149" s="144"/>
    </row>
    <row r="150" spans="1:100" outlineLevel="1" x14ac:dyDescent="0.2"/>
    <row r="151" spans="1:100" x14ac:dyDescent="0.2"/>
    <row r="152" spans="1:100" x14ac:dyDescent="0.2">
      <c r="A152" s="15" t="s">
        <v>395</v>
      </c>
    </row>
    <row r="153" spans="1:100" outlineLevel="1" x14ac:dyDescent="0.2"/>
    <row r="154" spans="1:100" outlineLevel="1" x14ac:dyDescent="0.2">
      <c r="A154" s="85"/>
      <c r="B154" s="85"/>
      <c r="C154" s="86"/>
      <c r="D154" s="87"/>
      <c r="E154" s="591" t="str">
        <f xml:space="preserve"> InpC!E$19</f>
        <v>Construction period length</v>
      </c>
      <c r="F154" s="591">
        <f xml:space="preserve"> InpC!F$19</f>
        <v>26</v>
      </c>
      <c r="G154" s="591" t="str">
        <f xml:space="preserve"> InpC!G$19</f>
        <v>months</v>
      </c>
      <c r="H154" s="587"/>
      <c r="I154" s="587"/>
      <c r="J154" s="587"/>
      <c r="K154" s="587"/>
      <c r="L154" s="587"/>
      <c r="M154" s="186"/>
      <c r="N154" s="186"/>
      <c r="O154" s="186"/>
      <c r="P154" s="186"/>
      <c r="Q154" s="186"/>
      <c r="R154" s="186"/>
      <c r="S154" s="186"/>
      <c r="T154" s="186"/>
      <c r="U154" s="186"/>
      <c r="V154" s="186"/>
      <c r="W154" s="186"/>
      <c r="X154" s="186"/>
      <c r="Y154" s="186"/>
      <c r="Z154" s="186"/>
      <c r="AA154" s="186"/>
      <c r="AB154" s="186"/>
      <c r="AC154" s="186"/>
      <c r="AD154" s="186"/>
      <c r="AE154" s="186"/>
      <c r="AF154" s="186"/>
      <c r="AG154" s="186"/>
      <c r="AH154" s="186"/>
      <c r="AI154" s="186"/>
      <c r="AJ154" s="186"/>
      <c r="AK154" s="186"/>
      <c r="AL154" s="186"/>
      <c r="AM154" s="186"/>
      <c r="AN154" s="186"/>
      <c r="AO154" s="186"/>
      <c r="AP154" s="186"/>
      <c r="AQ154" s="186"/>
      <c r="AR154" s="186"/>
      <c r="AS154" s="186"/>
      <c r="AT154" s="186"/>
      <c r="AU154" s="186"/>
      <c r="AV154" s="186"/>
      <c r="AW154" s="186"/>
      <c r="AX154" s="186"/>
      <c r="AY154" s="186"/>
      <c r="AZ154" s="186"/>
      <c r="BA154" s="186"/>
      <c r="BB154" s="186"/>
      <c r="BC154" s="186"/>
      <c r="BD154" s="186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6"/>
      <c r="BS154" s="186"/>
      <c r="BT154" s="186"/>
      <c r="BU154" s="186"/>
      <c r="BV154" s="186"/>
      <c r="BW154" s="186"/>
      <c r="BX154" s="186"/>
      <c r="BY154" s="186"/>
      <c r="BZ154" s="186"/>
      <c r="CA154" s="186"/>
      <c r="CB154" s="186"/>
      <c r="CC154" s="186"/>
      <c r="CD154" s="186"/>
      <c r="CE154" s="186"/>
      <c r="CF154" s="186"/>
      <c r="CG154" s="186"/>
      <c r="CH154" s="186"/>
      <c r="CI154" s="186"/>
      <c r="CJ154" s="186"/>
      <c r="CK154" s="186"/>
      <c r="CL154" s="186"/>
      <c r="CM154" s="186"/>
      <c r="CN154" s="186"/>
      <c r="CO154" s="186"/>
      <c r="CP154" s="186"/>
      <c r="CQ154" s="186"/>
      <c r="CR154" s="186"/>
      <c r="CS154" s="186"/>
      <c r="CT154" s="186"/>
      <c r="CU154" s="186"/>
      <c r="CV154" s="186"/>
    </row>
    <row r="155" spans="1:100" outlineLevel="1" x14ac:dyDescent="0.2">
      <c r="A155" s="85"/>
      <c r="B155" s="85"/>
      <c r="C155" s="86"/>
      <c r="D155" s="87"/>
      <c r="E155" s="125" t="str">
        <f xml:space="preserve"> InpC!E$412</f>
        <v>Months in year</v>
      </c>
      <c r="F155" s="125">
        <f xml:space="preserve"> InpC!F$412</f>
        <v>12</v>
      </c>
      <c r="G155" s="125" t="str">
        <f xml:space="preserve"> InpC!G$412</f>
        <v>months</v>
      </c>
      <c r="H155" s="125"/>
      <c r="I155" s="125"/>
      <c r="J155" s="125"/>
      <c r="K155" s="125"/>
      <c r="L155" s="125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6"/>
      <c r="AH155" s="186"/>
      <c r="AI155" s="186"/>
      <c r="AJ155" s="186"/>
      <c r="AK155" s="186"/>
      <c r="AL155" s="186"/>
      <c r="AM155" s="186"/>
      <c r="AN155" s="186"/>
      <c r="AO155" s="186"/>
      <c r="AP155" s="186"/>
      <c r="AQ155" s="186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86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6"/>
      <c r="BS155" s="186"/>
      <c r="BT155" s="186"/>
      <c r="BU155" s="186"/>
      <c r="BV155" s="186"/>
      <c r="BW155" s="186"/>
      <c r="BX155" s="186"/>
      <c r="BY155" s="186"/>
      <c r="BZ155" s="186"/>
      <c r="CA155" s="186"/>
      <c r="CB155" s="186"/>
      <c r="CC155" s="186"/>
      <c r="CD155" s="186"/>
      <c r="CE155" s="186"/>
      <c r="CF155" s="186"/>
      <c r="CG155" s="186"/>
      <c r="CH155" s="186"/>
      <c r="CI155" s="186"/>
      <c r="CJ155" s="186"/>
      <c r="CK155" s="186"/>
      <c r="CL155" s="186"/>
      <c r="CM155" s="186"/>
      <c r="CN155" s="186"/>
      <c r="CO155" s="186"/>
      <c r="CP155" s="186"/>
      <c r="CQ155" s="186"/>
      <c r="CR155" s="186"/>
      <c r="CS155" s="186"/>
      <c r="CT155" s="186"/>
      <c r="CU155" s="186"/>
      <c r="CV155" s="186"/>
    </row>
    <row r="156" spans="1:100" outlineLevel="1" x14ac:dyDescent="0.2">
      <c r="E156" s="588" t="s">
        <v>393</v>
      </c>
      <c r="F156" s="588">
        <f xml:space="preserve"> F154 / F155</f>
        <v>2.1666666666666665</v>
      </c>
      <c r="G156" s="588" t="s">
        <v>29</v>
      </c>
      <c r="H156" s="32"/>
      <c r="I156" s="32"/>
      <c r="J156" s="32"/>
      <c r="K156" s="32"/>
      <c r="L156" s="32"/>
    </row>
    <row r="157" spans="1:100" outlineLevel="1" x14ac:dyDescent="0.2">
      <c r="E157" s="32"/>
      <c r="F157" s="32"/>
      <c r="G157" s="32"/>
      <c r="H157" s="32"/>
      <c r="I157" s="32"/>
      <c r="J157" s="32"/>
      <c r="K157" s="32"/>
      <c r="L157" s="32"/>
    </row>
    <row r="158" spans="1:100" outlineLevel="1" x14ac:dyDescent="0.2">
      <c r="E158" s="588" t="str">
        <f t="shared" ref="E158:G158" si="88" xml:space="preserve"> E$156</f>
        <v>Length of construction period</v>
      </c>
      <c r="F158" s="588">
        <f t="shared" si="88"/>
        <v>2.1666666666666665</v>
      </c>
      <c r="G158" s="588" t="str">
        <f t="shared" si="88"/>
        <v>years</v>
      </c>
      <c r="H158" s="32"/>
      <c r="I158" s="32"/>
      <c r="J158" s="32"/>
      <c r="K158" s="32"/>
      <c r="L158" s="32"/>
    </row>
    <row r="159" spans="1:100" outlineLevel="1" x14ac:dyDescent="0.2">
      <c r="A159" s="85"/>
      <c r="B159" s="85"/>
      <c r="C159" s="86"/>
      <c r="D159" s="87"/>
      <c r="E159" s="125" t="str">
        <f xml:space="preserve"> InpC!E$16</f>
        <v>Length of operating period</v>
      </c>
      <c r="F159" s="125">
        <f xml:space="preserve"> InpC!F$16</f>
        <v>6</v>
      </c>
      <c r="G159" s="125" t="str">
        <f xml:space="preserve"> InpC!G$16</f>
        <v>months</v>
      </c>
      <c r="H159" s="125"/>
      <c r="I159" s="125"/>
      <c r="J159" s="125"/>
      <c r="K159" s="125"/>
      <c r="L159" s="125"/>
      <c r="M159" s="186"/>
      <c r="N159" s="186"/>
      <c r="O159" s="186"/>
      <c r="P159" s="186"/>
      <c r="Q159" s="186"/>
      <c r="R159" s="186"/>
      <c r="S159" s="186"/>
      <c r="T159" s="186"/>
      <c r="U159" s="186"/>
      <c r="V159" s="186"/>
      <c r="W159" s="186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6"/>
      <c r="AH159" s="186"/>
      <c r="AI159" s="186"/>
      <c r="AJ159" s="186"/>
      <c r="AK159" s="186"/>
      <c r="AL159" s="186"/>
      <c r="AM159" s="186"/>
      <c r="AN159" s="186"/>
      <c r="AO159" s="186"/>
      <c r="AP159" s="186"/>
      <c r="AQ159" s="186"/>
      <c r="AR159" s="186"/>
      <c r="AS159" s="186"/>
      <c r="AT159" s="186"/>
      <c r="AU159" s="186"/>
      <c r="AV159" s="186"/>
      <c r="AW159" s="186"/>
      <c r="AX159" s="186"/>
      <c r="AY159" s="186"/>
      <c r="AZ159" s="186"/>
      <c r="BA159" s="186"/>
      <c r="BB159" s="186"/>
      <c r="BC159" s="186"/>
      <c r="BD159" s="186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6"/>
      <c r="BS159" s="186"/>
      <c r="BT159" s="186"/>
      <c r="BU159" s="186"/>
      <c r="BV159" s="186"/>
      <c r="BW159" s="186"/>
      <c r="BX159" s="186"/>
      <c r="BY159" s="186"/>
      <c r="BZ159" s="186"/>
      <c r="CA159" s="186"/>
      <c r="CB159" s="186"/>
      <c r="CC159" s="186"/>
      <c r="CD159" s="186"/>
      <c r="CE159" s="186"/>
      <c r="CF159" s="186"/>
      <c r="CG159" s="186"/>
      <c r="CH159" s="186"/>
      <c r="CI159" s="186"/>
      <c r="CJ159" s="186"/>
      <c r="CK159" s="186"/>
      <c r="CL159" s="186"/>
      <c r="CM159" s="186"/>
      <c r="CN159" s="186"/>
      <c r="CO159" s="186"/>
      <c r="CP159" s="186"/>
      <c r="CQ159" s="186"/>
      <c r="CR159" s="186"/>
      <c r="CS159" s="186"/>
      <c r="CT159" s="186"/>
      <c r="CU159" s="186"/>
      <c r="CV159" s="186"/>
    </row>
    <row r="160" spans="1:100" outlineLevel="1" x14ac:dyDescent="0.2">
      <c r="A160" s="85"/>
      <c r="B160" s="85"/>
      <c r="C160" s="86"/>
      <c r="D160" s="87"/>
      <c r="E160" s="125" t="str">
        <f xml:space="preserve"> InpC!E$412</f>
        <v>Months in year</v>
      </c>
      <c r="F160" s="125">
        <f xml:space="preserve"> InpC!F$412</f>
        <v>12</v>
      </c>
      <c r="G160" s="125" t="str">
        <f xml:space="preserve"> InpC!G$412</f>
        <v>months</v>
      </c>
      <c r="H160" s="125"/>
      <c r="I160" s="125"/>
      <c r="J160" s="125"/>
      <c r="K160" s="125"/>
      <c r="L160" s="125"/>
      <c r="M160" s="186"/>
      <c r="N160" s="186"/>
      <c r="O160" s="186"/>
      <c r="P160" s="186"/>
      <c r="Q160" s="186"/>
      <c r="R160" s="186"/>
      <c r="S160" s="186"/>
      <c r="T160" s="186"/>
      <c r="U160" s="186"/>
      <c r="V160" s="186"/>
      <c r="W160" s="186"/>
      <c r="X160" s="186"/>
      <c r="Y160" s="186"/>
      <c r="Z160" s="186"/>
      <c r="AA160" s="186"/>
      <c r="AB160" s="186"/>
      <c r="AC160" s="186"/>
      <c r="AD160" s="186"/>
      <c r="AE160" s="186"/>
      <c r="AF160" s="186"/>
      <c r="AG160" s="186"/>
      <c r="AH160" s="186"/>
      <c r="AI160" s="186"/>
      <c r="AJ160" s="186"/>
      <c r="AK160" s="186"/>
      <c r="AL160" s="186"/>
      <c r="AM160" s="186"/>
      <c r="AN160" s="186"/>
      <c r="AO160" s="186"/>
      <c r="AP160" s="186"/>
      <c r="AQ160" s="186"/>
      <c r="AR160" s="186"/>
      <c r="AS160" s="186"/>
      <c r="AT160" s="186"/>
      <c r="AU160" s="186"/>
      <c r="AV160" s="186"/>
      <c r="AW160" s="186"/>
      <c r="AX160" s="186"/>
      <c r="AY160" s="186"/>
      <c r="AZ160" s="186"/>
      <c r="BA160" s="186"/>
      <c r="BB160" s="186"/>
      <c r="BC160" s="186"/>
      <c r="BD160" s="186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6"/>
      <c r="BS160" s="186"/>
      <c r="BT160" s="186"/>
      <c r="BU160" s="186"/>
      <c r="BV160" s="186"/>
      <c r="BW160" s="186"/>
      <c r="BX160" s="186"/>
      <c r="BY160" s="186"/>
      <c r="BZ160" s="186"/>
      <c r="CA160" s="186"/>
      <c r="CB160" s="186"/>
      <c r="CC160" s="186"/>
      <c r="CD160" s="186"/>
      <c r="CE160" s="186"/>
      <c r="CF160" s="186"/>
      <c r="CG160" s="186"/>
      <c r="CH160" s="186"/>
      <c r="CI160" s="186"/>
      <c r="CJ160" s="186"/>
      <c r="CK160" s="186"/>
      <c r="CL160" s="186"/>
      <c r="CM160" s="186"/>
      <c r="CN160" s="186"/>
      <c r="CO160" s="186"/>
      <c r="CP160" s="186"/>
      <c r="CQ160" s="186"/>
      <c r="CR160" s="186"/>
      <c r="CS160" s="186"/>
      <c r="CT160" s="186"/>
      <c r="CU160" s="186"/>
      <c r="CV160" s="186"/>
    </row>
    <row r="161" spans="1:100" outlineLevel="1" x14ac:dyDescent="0.2">
      <c r="A161" s="85"/>
      <c r="B161" s="85"/>
      <c r="C161" s="86"/>
      <c r="D161" s="87"/>
      <c r="E161" s="189" t="str">
        <f xml:space="preserve"> Time!E$214</f>
        <v>Senior debt repayment period flag</v>
      </c>
      <c r="F161" s="189">
        <f xml:space="preserve"> Time!F$214</f>
        <v>0</v>
      </c>
      <c r="G161" s="189" t="str">
        <f xml:space="preserve"> Time!G$214</f>
        <v>flag</v>
      </c>
      <c r="H161" s="189">
        <f xml:space="preserve"> Time!H$214</f>
        <v>34</v>
      </c>
      <c r="I161" s="189">
        <f xml:space="preserve"> Time!I$214</f>
        <v>0</v>
      </c>
      <c r="J161" s="189">
        <f xml:space="preserve"> Time!J$214</f>
        <v>0</v>
      </c>
      <c r="K161" s="189">
        <f xml:space="preserve"> Time!K$214</f>
        <v>0</v>
      </c>
      <c r="L161" s="189">
        <f xml:space="preserve"> Time!L$214</f>
        <v>0</v>
      </c>
      <c r="M161" s="189">
        <f xml:space="preserve"> Time!M$214</f>
        <v>0</v>
      </c>
      <c r="N161" s="189">
        <f xml:space="preserve"> Time!N$214</f>
        <v>0</v>
      </c>
      <c r="O161" s="189">
        <f xml:space="preserve"> Time!O$214</f>
        <v>1</v>
      </c>
      <c r="P161" s="189">
        <f xml:space="preserve"> Time!P$214</f>
        <v>1</v>
      </c>
      <c r="Q161" s="189">
        <f xml:space="preserve"> Time!Q$214</f>
        <v>1</v>
      </c>
      <c r="R161" s="189">
        <f xml:space="preserve"> Time!R$214</f>
        <v>1</v>
      </c>
      <c r="S161" s="189">
        <f xml:space="preserve"> Time!S$214</f>
        <v>1</v>
      </c>
      <c r="T161" s="189">
        <f xml:space="preserve"> Time!T$214</f>
        <v>1</v>
      </c>
      <c r="U161" s="189">
        <f xml:space="preserve"> Time!U$214</f>
        <v>1</v>
      </c>
      <c r="V161" s="189">
        <f xml:space="preserve"> Time!V$214</f>
        <v>1</v>
      </c>
      <c r="W161" s="189">
        <f xml:space="preserve"> Time!W$214</f>
        <v>1</v>
      </c>
      <c r="X161" s="189">
        <f xml:space="preserve"> Time!X$214</f>
        <v>1</v>
      </c>
      <c r="Y161" s="189">
        <f xml:space="preserve"> Time!Y$214</f>
        <v>1</v>
      </c>
      <c r="Z161" s="189">
        <f xml:space="preserve"> Time!Z$214</f>
        <v>1</v>
      </c>
      <c r="AA161" s="189">
        <f xml:space="preserve"> Time!AA$214</f>
        <v>1</v>
      </c>
      <c r="AB161" s="189">
        <f xml:space="preserve"> Time!AB$214</f>
        <v>1</v>
      </c>
      <c r="AC161" s="189">
        <f xml:space="preserve"> Time!AC$214</f>
        <v>1</v>
      </c>
      <c r="AD161" s="189">
        <f xml:space="preserve"> Time!AD$214</f>
        <v>1</v>
      </c>
      <c r="AE161" s="189">
        <f xml:space="preserve"> Time!AE$214</f>
        <v>1</v>
      </c>
      <c r="AF161" s="189">
        <f xml:space="preserve"> Time!AF$214</f>
        <v>1</v>
      </c>
      <c r="AG161" s="189">
        <f xml:space="preserve"> Time!AG$214</f>
        <v>1</v>
      </c>
      <c r="AH161" s="189">
        <f xml:space="preserve"> Time!AH$214</f>
        <v>1</v>
      </c>
      <c r="AI161" s="189">
        <f xml:space="preserve"> Time!AI$214</f>
        <v>1</v>
      </c>
      <c r="AJ161" s="189">
        <f xml:space="preserve"> Time!AJ$214</f>
        <v>1</v>
      </c>
      <c r="AK161" s="189">
        <f xml:space="preserve"> Time!AK$214</f>
        <v>1</v>
      </c>
      <c r="AL161" s="189">
        <f xml:space="preserve"> Time!AL$214</f>
        <v>1</v>
      </c>
      <c r="AM161" s="189">
        <f xml:space="preserve"> Time!AM$214</f>
        <v>1</v>
      </c>
      <c r="AN161" s="189">
        <f xml:space="preserve"> Time!AN$214</f>
        <v>1</v>
      </c>
      <c r="AO161" s="189">
        <f xml:space="preserve"> Time!AO$214</f>
        <v>1</v>
      </c>
      <c r="AP161" s="189">
        <f xml:space="preserve"> Time!AP$214</f>
        <v>1</v>
      </c>
      <c r="AQ161" s="189">
        <f xml:space="preserve"> Time!AQ$214</f>
        <v>1</v>
      </c>
      <c r="AR161" s="189">
        <f xml:space="preserve"> Time!AR$214</f>
        <v>1</v>
      </c>
      <c r="AS161" s="189">
        <f xml:space="preserve"> Time!AS$214</f>
        <v>1</v>
      </c>
      <c r="AT161" s="189">
        <f xml:space="preserve"> Time!AT$214</f>
        <v>1</v>
      </c>
      <c r="AU161" s="189">
        <f xml:space="preserve"> Time!AU$214</f>
        <v>1</v>
      </c>
      <c r="AV161" s="189">
        <f xml:space="preserve"> Time!AV$214</f>
        <v>1</v>
      </c>
      <c r="AW161" s="189">
        <f xml:space="preserve"> Time!AW$214</f>
        <v>0</v>
      </c>
      <c r="AX161" s="189">
        <f xml:space="preserve"> Time!AX$214</f>
        <v>0</v>
      </c>
      <c r="AY161" s="189">
        <f xml:space="preserve"> Time!AY$214</f>
        <v>0</v>
      </c>
      <c r="AZ161" s="189">
        <f xml:space="preserve"> Time!AZ$214</f>
        <v>0</v>
      </c>
      <c r="BA161" s="189">
        <f xml:space="preserve"> Time!BA$214</f>
        <v>0</v>
      </c>
      <c r="BB161" s="189">
        <f xml:space="preserve"> Time!BB$214</f>
        <v>0</v>
      </c>
      <c r="BC161" s="189">
        <f xml:space="preserve"> Time!BC$214</f>
        <v>0</v>
      </c>
      <c r="BD161" s="189">
        <f xml:space="preserve"> Time!BD$214</f>
        <v>0</v>
      </c>
      <c r="BE161" s="189">
        <f xml:space="preserve"> Time!BE$214</f>
        <v>0</v>
      </c>
      <c r="BF161" s="189">
        <f xml:space="preserve"> Time!BF$214</f>
        <v>0</v>
      </c>
      <c r="BG161" s="189">
        <f xml:space="preserve"> Time!BG$214</f>
        <v>0</v>
      </c>
      <c r="BH161" s="189">
        <f xml:space="preserve"> Time!BH$214</f>
        <v>0</v>
      </c>
      <c r="BI161" s="189">
        <f xml:space="preserve"> Time!BI$214</f>
        <v>0</v>
      </c>
      <c r="BJ161" s="189">
        <f xml:space="preserve"> Time!BJ$214</f>
        <v>0</v>
      </c>
      <c r="BK161" s="189">
        <f xml:space="preserve"> Time!BK$214</f>
        <v>0</v>
      </c>
      <c r="BL161" s="189">
        <f xml:space="preserve"> Time!BL$214</f>
        <v>0</v>
      </c>
      <c r="BM161" s="189">
        <f xml:space="preserve"> Time!BM$214</f>
        <v>0</v>
      </c>
      <c r="BN161" s="189">
        <f xml:space="preserve"> Time!BN$214</f>
        <v>0</v>
      </c>
      <c r="BO161" s="189">
        <f xml:space="preserve"> Time!BO$214</f>
        <v>0</v>
      </c>
      <c r="BP161" s="189">
        <f xml:space="preserve"> Time!BP$214</f>
        <v>0</v>
      </c>
      <c r="BQ161" s="189">
        <f xml:space="preserve"> Time!BQ$214</f>
        <v>0</v>
      </c>
      <c r="BR161" s="189">
        <f xml:space="preserve"> Time!BR$214</f>
        <v>0</v>
      </c>
      <c r="BS161" s="189">
        <f xml:space="preserve"> Time!BS$214</f>
        <v>0</v>
      </c>
      <c r="BT161" s="189">
        <f xml:space="preserve"> Time!BT$214</f>
        <v>0</v>
      </c>
      <c r="BU161" s="189">
        <f xml:space="preserve"> Time!BU$214</f>
        <v>0</v>
      </c>
      <c r="BV161" s="189">
        <f xml:space="preserve"> Time!BV$214</f>
        <v>0</v>
      </c>
      <c r="BW161" s="189">
        <f xml:space="preserve"> Time!BW$214</f>
        <v>0</v>
      </c>
      <c r="BX161" s="189">
        <f xml:space="preserve"> Time!BX$214</f>
        <v>0</v>
      </c>
      <c r="BY161" s="189">
        <f xml:space="preserve"> Time!BY$214</f>
        <v>0</v>
      </c>
      <c r="BZ161" s="189">
        <f xml:space="preserve"> Time!BZ$214</f>
        <v>0</v>
      </c>
      <c r="CA161" s="189">
        <f xml:space="preserve"> Time!CA$214</f>
        <v>0</v>
      </c>
      <c r="CB161" s="189">
        <f xml:space="preserve"> Time!CB$214</f>
        <v>0</v>
      </c>
      <c r="CC161" s="189">
        <f xml:space="preserve"> Time!CC$214</f>
        <v>0</v>
      </c>
      <c r="CD161" s="189">
        <f xml:space="preserve"> Time!CD$214</f>
        <v>0</v>
      </c>
      <c r="CE161" s="189">
        <f xml:space="preserve"> Time!CE$214</f>
        <v>0</v>
      </c>
      <c r="CF161" s="189">
        <f xml:space="preserve"> Time!CF$214</f>
        <v>0</v>
      </c>
      <c r="CG161" s="189">
        <f xml:space="preserve"> Time!CG$214</f>
        <v>0</v>
      </c>
      <c r="CH161" s="189">
        <f xml:space="preserve"> Time!CH$214</f>
        <v>0</v>
      </c>
      <c r="CI161" s="189">
        <f xml:space="preserve"> Time!CI$214</f>
        <v>0</v>
      </c>
      <c r="CJ161" s="189">
        <f xml:space="preserve"> Time!CJ$214</f>
        <v>0</v>
      </c>
      <c r="CK161" s="189">
        <f xml:space="preserve"> Time!CK$214</f>
        <v>0</v>
      </c>
      <c r="CL161" s="189">
        <f xml:space="preserve"> Time!CL$214</f>
        <v>0</v>
      </c>
      <c r="CM161" s="189">
        <f xml:space="preserve"> Time!CM$214</f>
        <v>0</v>
      </c>
      <c r="CN161" s="189">
        <f xml:space="preserve"> Time!CN$214</f>
        <v>0</v>
      </c>
      <c r="CO161" s="189">
        <f xml:space="preserve"> Time!CO$214</f>
        <v>0</v>
      </c>
      <c r="CP161" s="189">
        <f xml:space="preserve"> Time!CP$214</f>
        <v>0</v>
      </c>
      <c r="CQ161" s="189">
        <f xml:space="preserve"> Time!CQ$214</f>
        <v>0</v>
      </c>
      <c r="CR161" s="189">
        <f xml:space="preserve"> Time!CR$214</f>
        <v>0</v>
      </c>
      <c r="CS161" s="189">
        <f xml:space="preserve"> Time!CS$214</f>
        <v>0</v>
      </c>
      <c r="CT161" s="189">
        <f xml:space="preserve"> Time!CT$214</f>
        <v>0</v>
      </c>
      <c r="CU161" s="189">
        <f xml:space="preserve"> Time!CU$214</f>
        <v>0</v>
      </c>
      <c r="CV161" s="189">
        <f xml:space="preserve"> Time!CV$214</f>
        <v>0</v>
      </c>
    </row>
    <row r="162" spans="1:100" outlineLevel="1" x14ac:dyDescent="0.2">
      <c r="E162" s="588" t="s">
        <v>394</v>
      </c>
      <c r="F162" s="588"/>
      <c r="G162" s="588" t="s">
        <v>29</v>
      </c>
      <c r="H162" s="588"/>
      <c r="I162" s="588"/>
      <c r="J162" s="588">
        <f xml:space="preserve"> ($F158 + (SUM($J161:J161) * ($F159 / $F160))) * J161</f>
        <v>0</v>
      </c>
      <c r="K162" s="588">
        <f xml:space="preserve"> ($F158 + (SUM($J161:K161) * ($F159 / $F160))) * K161</f>
        <v>0</v>
      </c>
      <c r="L162" s="588">
        <f xml:space="preserve"> ($F158 + (SUM($J161:L161) * ($F159 / $F160))) * L161</f>
        <v>0</v>
      </c>
      <c r="M162" s="588">
        <f xml:space="preserve"> ($F158 + (SUM($J161:M161) * ($F159 / $F160))) * M161</f>
        <v>0</v>
      </c>
      <c r="N162" s="588">
        <f xml:space="preserve"> ($F158 + (SUM($J161:N161) * ($F159 / $F160))) * N161</f>
        <v>0</v>
      </c>
      <c r="O162" s="588">
        <f xml:space="preserve"> ($F158 + (SUM($J161:O161) * ($F159 / $F160))) * O161</f>
        <v>2.6666666666666665</v>
      </c>
      <c r="P162" s="588">
        <f xml:space="preserve"> ($F158 + (SUM($J161:P161) * ($F159 / $F160))) * P161</f>
        <v>3.1666666666666665</v>
      </c>
      <c r="Q162" s="588">
        <f xml:space="preserve"> ($F158 + (SUM($J161:Q161) * ($F159 / $F160))) * Q161</f>
        <v>3.6666666666666665</v>
      </c>
      <c r="R162" s="588">
        <f xml:space="preserve"> ($F158 + (SUM($J161:R161) * ($F159 / $F160))) * R161</f>
        <v>4.1666666666666661</v>
      </c>
      <c r="S162" s="588">
        <f xml:space="preserve"> ($F158 + (SUM($J161:S161) * ($F159 / $F160))) * S161</f>
        <v>4.6666666666666661</v>
      </c>
      <c r="T162" s="588">
        <f xml:space="preserve"> ($F158 + (SUM($J161:T161) * ($F159 / $F160))) * T161</f>
        <v>5.1666666666666661</v>
      </c>
      <c r="U162" s="588">
        <f xml:space="preserve"> ($F158 + (SUM($J161:U161) * ($F159 / $F160))) * U161</f>
        <v>5.6666666666666661</v>
      </c>
      <c r="V162" s="588">
        <f xml:space="preserve"> ($F158 + (SUM($J161:V161) * ($F159 / $F160))) * V161</f>
        <v>6.1666666666666661</v>
      </c>
      <c r="W162" s="588">
        <f xml:space="preserve"> ($F158 + (SUM($J161:W161) * ($F159 / $F160))) * W161</f>
        <v>6.6666666666666661</v>
      </c>
      <c r="X162" s="588">
        <f xml:space="preserve"> ($F158 + (SUM($J161:X161) * ($F159 / $F160))) * X161</f>
        <v>7.1666666666666661</v>
      </c>
      <c r="Y162" s="588">
        <f xml:space="preserve"> ($F158 + (SUM($J161:Y161) * ($F159 / $F160))) * Y161</f>
        <v>7.6666666666666661</v>
      </c>
      <c r="Z162" s="588">
        <f xml:space="preserve"> ($F158 + (SUM($J161:Z161) * ($F159 / $F160))) * Z161</f>
        <v>8.1666666666666661</v>
      </c>
      <c r="AA162" s="588">
        <f xml:space="preserve"> ($F158 + (SUM($J161:AA161) * ($F159 / $F160))) * AA161</f>
        <v>8.6666666666666661</v>
      </c>
      <c r="AB162" s="588">
        <f xml:space="preserve"> ($F158 + (SUM($J161:AB161) * ($F159 / $F160))) * AB161</f>
        <v>9.1666666666666661</v>
      </c>
      <c r="AC162" s="588">
        <f xml:space="preserve"> ($F158 + (SUM($J161:AC161) * ($F159 / $F160))) * AC161</f>
        <v>9.6666666666666661</v>
      </c>
      <c r="AD162" s="588">
        <f xml:space="preserve"> ($F158 + (SUM($J161:AD161) * ($F159 / $F160))) * AD161</f>
        <v>10.166666666666666</v>
      </c>
      <c r="AE162" s="588">
        <f xml:space="preserve"> ($F158 + (SUM($J161:AE161) * ($F159 / $F160))) * AE161</f>
        <v>10.666666666666666</v>
      </c>
      <c r="AF162" s="588">
        <f xml:space="preserve"> ($F158 + (SUM($J161:AF161) * ($F159 / $F160))) * AF161</f>
        <v>11.166666666666666</v>
      </c>
      <c r="AG162" s="588">
        <f xml:space="preserve"> ($F158 + (SUM($J161:AG161) * ($F159 / $F160))) * AG161</f>
        <v>11.666666666666666</v>
      </c>
      <c r="AH162" s="588">
        <f xml:space="preserve"> ($F158 + (SUM($J161:AH161) * ($F159 / $F160))) * AH161</f>
        <v>12.166666666666666</v>
      </c>
      <c r="AI162" s="588">
        <f xml:space="preserve"> ($F158 + (SUM($J161:AI161) * ($F159 / $F160))) * AI161</f>
        <v>12.666666666666666</v>
      </c>
      <c r="AJ162" s="588">
        <f xml:space="preserve"> ($F158 + (SUM($J161:AJ161) * ($F159 / $F160))) * AJ161</f>
        <v>13.166666666666666</v>
      </c>
      <c r="AK162" s="588">
        <f xml:space="preserve"> ($F158 + (SUM($J161:AK161) * ($F159 / $F160))) * AK161</f>
        <v>13.666666666666666</v>
      </c>
      <c r="AL162" s="588">
        <f xml:space="preserve"> ($F158 + (SUM($J161:AL161) * ($F159 / $F160))) * AL161</f>
        <v>14.166666666666666</v>
      </c>
      <c r="AM162" s="588">
        <f xml:space="preserve"> ($F158 + (SUM($J161:AM161) * ($F159 / $F160))) * AM161</f>
        <v>14.666666666666666</v>
      </c>
      <c r="AN162" s="588">
        <f xml:space="preserve"> ($F158 + (SUM($J161:AN161) * ($F159 / $F160))) * AN161</f>
        <v>15.166666666666666</v>
      </c>
      <c r="AO162" s="588">
        <f xml:space="preserve"> ($F158 + (SUM($J161:AO161) * ($F159 / $F160))) * AO161</f>
        <v>15.666666666666666</v>
      </c>
      <c r="AP162" s="588">
        <f xml:space="preserve"> ($F158 + (SUM($J161:AP161) * ($F159 / $F160))) * AP161</f>
        <v>16.166666666666668</v>
      </c>
      <c r="AQ162" s="588">
        <f xml:space="preserve"> ($F158 + (SUM($J161:AQ161) * ($F159 / $F160))) * AQ161</f>
        <v>16.666666666666668</v>
      </c>
      <c r="AR162" s="588">
        <f xml:space="preserve"> ($F158 + (SUM($J161:AR161) * ($F159 / $F160))) * AR161</f>
        <v>17.166666666666668</v>
      </c>
      <c r="AS162" s="588">
        <f xml:space="preserve"> ($F158 + (SUM($J161:AS161) * ($F159 / $F160))) * AS161</f>
        <v>17.666666666666668</v>
      </c>
      <c r="AT162" s="588">
        <f xml:space="preserve"> ($F158 + (SUM($J161:AT161) * ($F159 / $F160))) * AT161</f>
        <v>18.166666666666668</v>
      </c>
      <c r="AU162" s="588">
        <f xml:space="preserve"> ($F158 + (SUM($J161:AU161) * ($F159 / $F160))) * AU161</f>
        <v>18.666666666666668</v>
      </c>
      <c r="AV162" s="588">
        <f xml:space="preserve"> ($F158 + (SUM($J161:AV161) * ($F159 / $F160))) * AV161</f>
        <v>19.166666666666668</v>
      </c>
      <c r="AW162" s="588">
        <f xml:space="preserve"> ($F158 + (SUM($J161:AW161) * ($F159 / $F160))) * AW161</f>
        <v>0</v>
      </c>
      <c r="AX162" s="588">
        <f xml:space="preserve"> ($F158 + (SUM($J161:AX161) * ($F159 / $F160))) * AX161</f>
        <v>0</v>
      </c>
      <c r="AY162" s="588">
        <f xml:space="preserve"> ($F158 + (SUM($J161:AY161) * ($F159 / $F160))) * AY161</f>
        <v>0</v>
      </c>
      <c r="AZ162" s="588">
        <f xml:space="preserve"> ($F158 + (SUM($J161:AZ161) * ($F159 / $F160))) * AZ161</f>
        <v>0</v>
      </c>
      <c r="BA162" s="588">
        <f xml:space="preserve"> ($F158 + (SUM($J161:BA161) * ($F159 / $F160))) * BA161</f>
        <v>0</v>
      </c>
      <c r="BB162" s="588">
        <f xml:space="preserve"> ($F158 + (SUM($J161:BB161) * ($F159 / $F160))) * BB161</f>
        <v>0</v>
      </c>
      <c r="BC162" s="588">
        <f xml:space="preserve"> ($F158 + (SUM($J161:BC161) * ($F159 / $F160))) * BC161</f>
        <v>0</v>
      </c>
      <c r="BD162" s="588">
        <f xml:space="preserve"> ($F158 + (SUM($J161:BD161) * ($F159 / $F160))) * BD161</f>
        <v>0</v>
      </c>
      <c r="BE162" s="588">
        <f xml:space="preserve"> ($F158 + (SUM($J161:BE161) * ($F159 / $F160))) * BE161</f>
        <v>0</v>
      </c>
      <c r="BF162" s="588">
        <f xml:space="preserve"> ($F158 + (SUM($J161:BF161) * ($F159 / $F160))) * BF161</f>
        <v>0</v>
      </c>
      <c r="BG162" s="588">
        <f xml:space="preserve"> ($F158 + (SUM($J161:BG161) * ($F159 / $F160))) * BG161</f>
        <v>0</v>
      </c>
      <c r="BH162" s="588">
        <f xml:space="preserve"> ($F158 + (SUM($J161:BH161) * ($F159 / $F160))) * BH161</f>
        <v>0</v>
      </c>
      <c r="BI162" s="588">
        <f xml:space="preserve"> ($F158 + (SUM($J161:BI161) * ($F159 / $F160))) * BI161</f>
        <v>0</v>
      </c>
      <c r="BJ162" s="588">
        <f xml:space="preserve"> ($F158 + (SUM($J161:BJ161) * ($F159 / $F160))) * BJ161</f>
        <v>0</v>
      </c>
      <c r="BK162" s="588">
        <f xml:space="preserve"> ($F158 + (SUM($J161:BK161) * ($F159 / $F160))) * BK161</f>
        <v>0</v>
      </c>
      <c r="BL162" s="588">
        <f xml:space="preserve"> ($F158 + (SUM($J161:BL161) * ($F159 / $F160))) * BL161</f>
        <v>0</v>
      </c>
      <c r="BM162" s="588">
        <f xml:space="preserve"> ($F158 + (SUM($J161:BM161) * ($F159 / $F160))) * BM161</f>
        <v>0</v>
      </c>
      <c r="BN162" s="588">
        <f xml:space="preserve"> ($F158 + (SUM($J161:BN161) * ($F159 / $F160))) * BN161</f>
        <v>0</v>
      </c>
      <c r="BO162" s="588">
        <f xml:space="preserve"> ($F158 + (SUM($J161:BO161) * ($F159 / $F160))) * BO161</f>
        <v>0</v>
      </c>
      <c r="BP162" s="588">
        <f xml:space="preserve"> ($F158 + (SUM($J161:BP161) * ($F159 / $F160))) * BP161</f>
        <v>0</v>
      </c>
      <c r="BQ162" s="588">
        <f xml:space="preserve"> ($F158 + (SUM($J161:BQ161) * ($F159 / $F160))) * BQ161</f>
        <v>0</v>
      </c>
      <c r="BR162" s="588">
        <f xml:space="preserve"> ($F158 + (SUM($J161:BR161) * ($F159 / $F160))) * BR161</f>
        <v>0</v>
      </c>
      <c r="BS162" s="588">
        <f xml:space="preserve"> ($F158 + (SUM($J161:BS161) * ($F159 / $F160))) * BS161</f>
        <v>0</v>
      </c>
      <c r="BT162" s="588">
        <f xml:space="preserve"> ($F158 + (SUM($J161:BT161) * ($F159 / $F160))) * BT161</f>
        <v>0</v>
      </c>
      <c r="BU162" s="588">
        <f xml:space="preserve"> ($F158 + (SUM($J161:BU161) * ($F159 / $F160))) * BU161</f>
        <v>0</v>
      </c>
      <c r="BV162" s="588">
        <f xml:space="preserve"> ($F158 + (SUM($J161:BV161) * ($F159 / $F160))) * BV161</f>
        <v>0</v>
      </c>
      <c r="BW162" s="588">
        <f xml:space="preserve"> ($F158 + (SUM($J161:BW161) * ($F159 / $F160))) * BW161</f>
        <v>0</v>
      </c>
      <c r="BX162" s="588">
        <f xml:space="preserve"> ($F158 + (SUM($J161:BX161) * ($F159 / $F160))) * BX161</f>
        <v>0</v>
      </c>
      <c r="BY162" s="588">
        <f xml:space="preserve"> ($F158 + (SUM($J161:BY161) * ($F159 / $F160))) * BY161</f>
        <v>0</v>
      </c>
      <c r="BZ162" s="588">
        <f xml:space="preserve"> ($F158 + (SUM($J161:BZ161) * ($F159 / $F160))) * BZ161</f>
        <v>0</v>
      </c>
      <c r="CA162" s="588">
        <f xml:space="preserve"> ($F158 + (SUM($J161:CA161) * ($F159 / $F160))) * CA161</f>
        <v>0</v>
      </c>
      <c r="CB162" s="588">
        <f xml:space="preserve"> ($F158 + (SUM($J161:CB161) * ($F159 / $F160))) * CB161</f>
        <v>0</v>
      </c>
      <c r="CC162" s="588">
        <f xml:space="preserve"> ($F158 + (SUM($J161:CC161) * ($F159 / $F160))) * CC161</f>
        <v>0</v>
      </c>
      <c r="CD162" s="588">
        <f xml:space="preserve"> ($F158 + (SUM($J161:CD161) * ($F159 / $F160))) * CD161</f>
        <v>0</v>
      </c>
      <c r="CE162" s="588">
        <f xml:space="preserve"> ($F158 + (SUM($J161:CE161) * ($F159 / $F160))) * CE161</f>
        <v>0</v>
      </c>
      <c r="CF162" s="588">
        <f xml:space="preserve"> ($F158 + (SUM($J161:CF161) * ($F159 / $F160))) * CF161</f>
        <v>0</v>
      </c>
      <c r="CG162" s="588">
        <f xml:space="preserve"> ($F158 + (SUM($J161:CG161) * ($F159 / $F160))) * CG161</f>
        <v>0</v>
      </c>
      <c r="CH162" s="588">
        <f xml:space="preserve"> ($F158 + (SUM($J161:CH161) * ($F159 / $F160))) * CH161</f>
        <v>0</v>
      </c>
      <c r="CI162" s="588">
        <f xml:space="preserve"> ($F158 + (SUM($J161:CI161) * ($F159 / $F160))) * CI161</f>
        <v>0</v>
      </c>
      <c r="CJ162" s="588">
        <f xml:space="preserve"> ($F158 + (SUM($J161:CJ161) * ($F159 / $F160))) * CJ161</f>
        <v>0</v>
      </c>
      <c r="CK162" s="588">
        <f xml:space="preserve"> ($F158 + (SUM($J161:CK161) * ($F159 / $F160))) * CK161</f>
        <v>0</v>
      </c>
      <c r="CL162" s="588">
        <f xml:space="preserve"> ($F158 + (SUM($J161:CL161) * ($F159 / $F160))) * CL161</f>
        <v>0</v>
      </c>
      <c r="CM162" s="588">
        <f xml:space="preserve"> ($F158 + (SUM($J161:CM161) * ($F159 / $F160))) * CM161</f>
        <v>0</v>
      </c>
      <c r="CN162" s="588">
        <f xml:space="preserve"> ($F158 + (SUM($J161:CN161) * ($F159 / $F160))) * CN161</f>
        <v>0</v>
      </c>
      <c r="CO162" s="588">
        <f xml:space="preserve"> ($F158 + (SUM($J161:CO161) * ($F159 / $F160))) * CO161</f>
        <v>0</v>
      </c>
      <c r="CP162" s="588">
        <f xml:space="preserve"> ($F158 + (SUM($J161:CP161) * ($F159 / $F160))) * CP161</f>
        <v>0</v>
      </c>
      <c r="CQ162" s="588">
        <f xml:space="preserve"> ($F158 + (SUM($J161:CQ161) * ($F159 / $F160))) * CQ161</f>
        <v>0</v>
      </c>
      <c r="CR162" s="588">
        <f xml:space="preserve"> ($F158 + (SUM($J161:CR161) * ($F159 / $F160))) * CR161</f>
        <v>0</v>
      </c>
      <c r="CS162" s="588">
        <f xml:space="preserve"> ($F158 + (SUM($J161:CS161) * ($F159 / $F160))) * CS161</f>
        <v>0</v>
      </c>
      <c r="CT162" s="588">
        <f xml:space="preserve"> ($F158 + (SUM($J161:CT161) * ($F159 / $F160))) * CT161</f>
        <v>0</v>
      </c>
      <c r="CU162" s="588">
        <f xml:space="preserve"> ($F158 + (SUM($J161:CU161) * ($F159 / $F160))) * CU161</f>
        <v>0</v>
      </c>
      <c r="CV162" s="588">
        <f xml:space="preserve"> ($F158 + (SUM($J161:CV161) * ($F159 / $F160))) * CV161</f>
        <v>0</v>
      </c>
    </row>
    <row r="163" spans="1:100" outlineLevel="1" x14ac:dyDescent="0.2">
      <c r="E163" s="32"/>
      <c r="F163" s="32"/>
      <c r="G163" s="32"/>
      <c r="H163" s="32"/>
      <c r="I163" s="32"/>
      <c r="J163" s="32"/>
      <c r="K163" s="32"/>
      <c r="L163" s="32"/>
    </row>
    <row r="164" spans="1:100" outlineLevel="1" x14ac:dyDescent="0.2">
      <c r="A164" s="85"/>
      <c r="B164" s="85"/>
      <c r="C164" s="86"/>
      <c r="D164" s="87"/>
      <c r="E164" s="125" t="str">
        <f xml:space="preserve"> ConFin!E$344</f>
        <v>Sum of construction debt drawdown - m</v>
      </c>
      <c r="F164" s="125">
        <f xml:space="preserve"> ConFin!F$344</f>
        <v>250389.85226030689</v>
      </c>
      <c r="G164" s="125" t="str">
        <f xml:space="preserve"> ConFin!G$344</f>
        <v>$ 000s</v>
      </c>
      <c r="H164" s="125"/>
      <c r="I164" s="125"/>
      <c r="J164" s="125"/>
      <c r="K164" s="125"/>
      <c r="L164" s="125"/>
      <c r="M164" s="186"/>
      <c r="N164" s="186"/>
      <c r="O164" s="186"/>
      <c r="P164" s="186"/>
      <c r="Q164" s="186"/>
      <c r="R164" s="186"/>
      <c r="S164" s="186"/>
      <c r="T164" s="186"/>
      <c r="U164" s="186"/>
      <c r="V164" s="186"/>
      <c r="W164" s="186"/>
      <c r="X164" s="186"/>
      <c r="Y164" s="186"/>
      <c r="Z164" s="186"/>
      <c r="AA164" s="186"/>
      <c r="AB164" s="186"/>
      <c r="AC164" s="186"/>
      <c r="AD164" s="186"/>
      <c r="AE164" s="186"/>
      <c r="AF164" s="186"/>
      <c r="AG164" s="186"/>
      <c r="AH164" s="186"/>
      <c r="AI164" s="186"/>
      <c r="AJ164" s="186"/>
      <c r="AK164" s="186"/>
      <c r="AL164" s="186"/>
      <c r="AM164" s="186"/>
      <c r="AN164" s="186"/>
      <c r="AO164" s="186"/>
      <c r="AP164" s="186"/>
      <c r="AQ164" s="186"/>
      <c r="AR164" s="186"/>
      <c r="AS164" s="186"/>
      <c r="AT164" s="186"/>
      <c r="AU164" s="186"/>
      <c r="AV164" s="186"/>
      <c r="AW164" s="186"/>
      <c r="AX164" s="186"/>
      <c r="AY164" s="186"/>
      <c r="AZ164" s="186"/>
      <c r="BA164" s="186"/>
      <c r="BB164" s="186"/>
      <c r="BC164" s="186"/>
      <c r="BD164" s="186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86"/>
      <c r="BT164" s="186"/>
      <c r="BU164" s="186"/>
      <c r="BV164" s="186"/>
      <c r="BW164" s="186"/>
      <c r="BX164" s="186"/>
      <c r="BY164" s="186"/>
      <c r="BZ164" s="186"/>
      <c r="CA164" s="186"/>
      <c r="CB164" s="186"/>
      <c r="CC164" s="186"/>
      <c r="CD164" s="186"/>
      <c r="CE164" s="186"/>
      <c r="CF164" s="186"/>
      <c r="CG164" s="186"/>
      <c r="CH164" s="186"/>
      <c r="CI164" s="186"/>
      <c r="CJ164" s="186"/>
      <c r="CK164" s="186"/>
      <c r="CL164" s="186"/>
      <c r="CM164" s="186"/>
      <c r="CN164" s="186"/>
      <c r="CO164" s="186"/>
      <c r="CP164" s="186"/>
      <c r="CQ164" s="186"/>
      <c r="CR164" s="186"/>
      <c r="CS164" s="186"/>
      <c r="CT164" s="186"/>
      <c r="CU164" s="186"/>
      <c r="CV164" s="186"/>
    </row>
    <row r="165" spans="1:100" outlineLevel="1" x14ac:dyDescent="0.2">
      <c r="A165" s="85"/>
      <c r="B165" s="85"/>
      <c r="C165" s="86"/>
      <c r="D165" s="87"/>
      <c r="E165" s="125" t="str">
        <f xml:space="preserve"> Debt!E$183</f>
        <v>Senior debt principal repayment - T1 POS</v>
      </c>
      <c r="F165" s="125">
        <f xml:space="preserve"> Debt!F$183</f>
        <v>0</v>
      </c>
      <c r="G165" s="125" t="str">
        <f xml:space="preserve"> Debt!G$183</f>
        <v>$ 000s</v>
      </c>
      <c r="H165" s="125">
        <f xml:space="preserve"> Debt!H$183</f>
        <v>125194.95159167382</v>
      </c>
      <c r="I165" s="125">
        <f xml:space="preserve"> Debt!I$183</f>
        <v>0</v>
      </c>
      <c r="J165" s="125">
        <f xml:space="preserve"> Debt!J$183</f>
        <v>0</v>
      </c>
      <c r="K165" s="125">
        <f xml:space="preserve"> Debt!K$183</f>
        <v>0</v>
      </c>
      <c r="L165" s="125">
        <f xml:space="preserve"> Debt!L$183</f>
        <v>0</v>
      </c>
      <c r="M165" s="125">
        <f xml:space="preserve"> Debt!M$183</f>
        <v>0</v>
      </c>
      <c r="N165" s="125">
        <f xml:space="preserve"> Debt!N$183</f>
        <v>0</v>
      </c>
      <c r="O165" s="125">
        <f xml:space="preserve"> Debt!O$183</f>
        <v>2887.5564385842031</v>
      </c>
      <c r="P165" s="125">
        <f xml:space="preserve"> Debt!P$183</f>
        <v>2385.234403913732</v>
      </c>
      <c r="Q165" s="125">
        <f xml:space="preserve"> Debt!Q$183</f>
        <v>2413.9429517461499</v>
      </c>
      <c r="R165" s="125">
        <f xml:space="preserve"> Debt!R$183</f>
        <v>2458.6898079027978</v>
      </c>
      <c r="S165" s="125">
        <f xml:space="preserve"> Debt!S$183</f>
        <v>2490.2570985291154</v>
      </c>
      <c r="T165" s="125">
        <f xml:space="preserve"> Debt!T$183</f>
        <v>2535.0796437475524</v>
      </c>
      <c r="U165" s="125">
        <f xml:space="preserve"> Debt!U$183</f>
        <v>2569.6182413694601</v>
      </c>
      <c r="V165" s="125">
        <f xml:space="preserve"> Debt!V$183</f>
        <v>2610.1709011222924</v>
      </c>
      <c r="W165" s="125">
        <f xml:space="preserve"> Debt!W$183</f>
        <v>2645.8469767855477</v>
      </c>
      <c r="X165" s="125">
        <f xml:space="preserve"> Debt!X$183</f>
        <v>2696.9294511065236</v>
      </c>
      <c r="Y165" s="125">
        <f xml:space="preserve"> Debt!Y$183</f>
        <v>2658.3143766007292</v>
      </c>
      <c r="Z165" s="125">
        <f xml:space="preserve"> Debt!Z$183</f>
        <v>2705.6167794847602</v>
      </c>
      <c r="AA165" s="125">
        <f xml:space="preserve"> Debt!AA$183</f>
        <v>2749.4951786870188</v>
      </c>
      <c r="AB165" s="125">
        <f xml:space="preserve"> Debt!AB$183</f>
        <v>2797.0330385127395</v>
      </c>
      <c r="AC165" s="125">
        <f xml:space="preserve"> Debt!AC$183</f>
        <v>2844.5558287196923</v>
      </c>
      <c r="AD165" s="125">
        <f xml:space="preserve"> Debt!AD$183</f>
        <v>2890.1430121738081</v>
      </c>
      <c r="AE165" s="125">
        <f xml:space="preserve"> Debt!AE$183</f>
        <v>2937.6130636822691</v>
      </c>
      <c r="AF165" s="125">
        <f xml:space="preserve"> Debt!AF$183</f>
        <v>2991.5520718658245</v>
      </c>
      <c r="AG165" s="125">
        <f xml:space="preserve"> Debt!AG$183</f>
        <v>3046.8262075297375</v>
      </c>
      <c r="AH165" s="125">
        <f xml:space="preserve"> Debt!AH$183</f>
        <v>3095.2032844704854</v>
      </c>
      <c r="AI165" s="125">
        <f xml:space="preserve"> Debt!AI$183</f>
        <v>3094.413726957142</v>
      </c>
      <c r="AJ165" s="125">
        <f xml:space="preserve"> Debt!AJ$183</f>
        <v>3146.705599800724</v>
      </c>
      <c r="AK165" s="125">
        <f xml:space="preserve"> Debt!AK$183</f>
        <v>3212.2791962939004</v>
      </c>
      <c r="AL165" s="125">
        <f xml:space="preserve"> Debt!AL$183</f>
        <v>3265.6211611209619</v>
      </c>
      <c r="AM165" s="125">
        <f xml:space="preserve"> Debt!AM$183</f>
        <v>3329.7904775791908</v>
      </c>
      <c r="AN165" s="125">
        <f xml:space="preserve"> Debt!AN$183</f>
        <v>3388.8663668241315</v>
      </c>
      <c r="AO165" s="125">
        <f xml:space="preserve"> Debt!AO$183</f>
        <v>3464.411832190975</v>
      </c>
      <c r="AP165" s="125">
        <f xml:space="preserve"> Debt!AP$183</f>
        <v>3518.4679713149394</v>
      </c>
      <c r="AQ165" s="125">
        <f xml:space="preserve"> Debt!AQ$183</f>
        <v>3599.3499460935395</v>
      </c>
      <c r="AR165" s="125">
        <f xml:space="preserve"> Debt!AR$183</f>
        <v>3654.0786926427813</v>
      </c>
      <c r="AS165" s="125">
        <f xml:space="preserve"> Debt!AS$183</f>
        <v>9057.0504482829947</v>
      </c>
      <c r="AT165" s="125">
        <f xml:space="preserve"> Debt!AT$183</f>
        <v>9185.158285002075</v>
      </c>
      <c r="AU165" s="125">
        <f xml:space="preserve"> Debt!AU$183</f>
        <v>9368.3487620633514</v>
      </c>
      <c r="AV165" s="125">
        <f xml:space="preserve"> Debt!AV$183</f>
        <v>9500.7303689726396</v>
      </c>
      <c r="AW165" s="125">
        <f xml:space="preserve"> Debt!AW$183</f>
        <v>0</v>
      </c>
      <c r="AX165" s="125">
        <f xml:space="preserve"> Debt!AX$183</f>
        <v>0</v>
      </c>
      <c r="AY165" s="125">
        <f xml:space="preserve"> Debt!AY$183</f>
        <v>0</v>
      </c>
      <c r="AZ165" s="125">
        <f xml:space="preserve"> Debt!AZ$183</f>
        <v>0</v>
      </c>
      <c r="BA165" s="125">
        <f xml:space="preserve"> Debt!BA$183</f>
        <v>0</v>
      </c>
      <c r="BB165" s="125">
        <f xml:space="preserve"> Debt!BB$183</f>
        <v>0</v>
      </c>
      <c r="BC165" s="125">
        <f xml:space="preserve"> Debt!BC$183</f>
        <v>0</v>
      </c>
      <c r="BD165" s="125">
        <f xml:space="preserve"> Debt!BD$183</f>
        <v>0</v>
      </c>
      <c r="BE165" s="125">
        <f xml:space="preserve"> Debt!BE$183</f>
        <v>0</v>
      </c>
      <c r="BF165" s="125">
        <f xml:space="preserve"> Debt!BF$183</f>
        <v>0</v>
      </c>
      <c r="BG165" s="125">
        <f xml:space="preserve"> Debt!BG$183</f>
        <v>0</v>
      </c>
      <c r="BH165" s="125">
        <f xml:space="preserve"> Debt!BH$183</f>
        <v>0</v>
      </c>
      <c r="BI165" s="125">
        <f xml:space="preserve"> Debt!BI$183</f>
        <v>0</v>
      </c>
      <c r="BJ165" s="125">
        <f xml:space="preserve"> Debt!BJ$183</f>
        <v>0</v>
      </c>
      <c r="BK165" s="125">
        <f xml:space="preserve"> Debt!BK$183</f>
        <v>0</v>
      </c>
      <c r="BL165" s="125">
        <f xml:space="preserve"> Debt!BL$183</f>
        <v>0</v>
      </c>
      <c r="BM165" s="125">
        <f xml:space="preserve"> Debt!BM$183</f>
        <v>0</v>
      </c>
      <c r="BN165" s="125">
        <f xml:space="preserve"> Debt!BN$183</f>
        <v>0</v>
      </c>
      <c r="BO165" s="125">
        <f xml:space="preserve"> Debt!BO$183</f>
        <v>0</v>
      </c>
      <c r="BP165" s="125">
        <f xml:space="preserve"> Debt!BP$183</f>
        <v>0</v>
      </c>
      <c r="BQ165" s="125">
        <f xml:space="preserve"> Debt!BQ$183</f>
        <v>0</v>
      </c>
      <c r="BR165" s="125">
        <f xml:space="preserve"> Debt!BR$183</f>
        <v>0</v>
      </c>
      <c r="BS165" s="125">
        <f xml:space="preserve"> Debt!BS$183</f>
        <v>0</v>
      </c>
      <c r="BT165" s="125">
        <f xml:space="preserve"> Debt!BT$183</f>
        <v>0</v>
      </c>
      <c r="BU165" s="125">
        <f xml:space="preserve"> Debt!BU$183</f>
        <v>0</v>
      </c>
      <c r="BV165" s="125">
        <f xml:space="preserve"> Debt!BV$183</f>
        <v>0</v>
      </c>
      <c r="BW165" s="125">
        <f xml:space="preserve"> Debt!BW$183</f>
        <v>0</v>
      </c>
      <c r="BX165" s="125">
        <f xml:space="preserve"> Debt!BX$183</f>
        <v>0</v>
      </c>
      <c r="BY165" s="125">
        <f xml:space="preserve"> Debt!BY$183</f>
        <v>0</v>
      </c>
      <c r="BZ165" s="125">
        <f xml:space="preserve"> Debt!BZ$183</f>
        <v>0</v>
      </c>
      <c r="CA165" s="125">
        <f xml:space="preserve"> Debt!CA$183</f>
        <v>0</v>
      </c>
      <c r="CB165" s="125">
        <f xml:space="preserve"> Debt!CB$183</f>
        <v>0</v>
      </c>
      <c r="CC165" s="125">
        <f xml:space="preserve"> Debt!CC$183</f>
        <v>0</v>
      </c>
      <c r="CD165" s="125">
        <f xml:space="preserve"> Debt!CD$183</f>
        <v>0</v>
      </c>
      <c r="CE165" s="125">
        <f xml:space="preserve"> Debt!CE$183</f>
        <v>0</v>
      </c>
      <c r="CF165" s="125">
        <f xml:space="preserve"> Debt!CF$183</f>
        <v>0</v>
      </c>
      <c r="CG165" s="125">
        <f xml:space="preserve"> Debt!CG$183</f>
        <v>0</v>
      </c>
      <c r="CH165" s="125">
        <f xml:space="preserve"> Debt!CH$183</f>
        <v>0</v>
      </c>
      <c r="CI165" s="125">
        <f xml:space="preserve"> Debt!CI$183</f>
        <v>0</v>
      </c>
      <c r="CJ165" s="125">
        <f xml:space="preserve"> Debt!CJ$183</f>
        <v>0</v>
      </c>
      <c r="CK165" s="125">
        <f xml:space="preserve"> Debt!CK$183</f>
        <v>0</v>
      </c>
      <c r="CL165" s="125">
        <f xml:space="preserve"> Debt!CL$183</f>
        <v>0</v>
      </c>
      <c r="CM165" s="125">
        <f xml:space="preserve"> Debt!CM$183</f>
        <v>0</v>
      </c>
      <c r="CN165" s="125">
        <f xml:space="preserve"> Debt!CN$183</f>
        <v>0</v>
      </c>
      <c r="CO165" s="125">
        <f xml:space="preserve"> Debt!CO$183</f>
        <v>0</v>
      </c>
      <c r="CP165" s="125">
        <f xml:space="preserve"> Debt!CP$183</f>
        <v>0</v>
      </c>
      <c r="CQ165" s="125">
        <f xml:space="preserve"> Debt!CQ$183</f>
        <v>0</v>
      </c>
      <c r="CR165" s="125">
        <f xml:space="preserve"> Debt!CR$183</f>
        <v>0</v>
      </c>
      <c r="CS165" s="125">
        <f xml:space="preserve"> Debt!CS$183</f>
        <v>0</v>
      </c>
      <c r="CT165" s="125">
        <f xml:space="preserve"> Debt!CT$183</f>
        <v>0</v>
      </c>
      <c r="CU165" s="125">
        <f xml:space="preserve"> Debt!CU$183</f>
        <v>0</v>
      </c>
      <c r="CV165" s="125">
        <f xml:space="preserve"> Debt!CV$183</f>
        <v>0</v>
      </c>
    </row>
    <row r="166" spans="1:100" outlineLevel="1" x14ac:dyDescent="0.2">
      <c r="A166" s="85"/>
      <c r="B166" s="85"/>
      <c r="C166" s="86"/>
      <c r="D166" s="87"/>
      <c r="E166" s="125" t="str">
        <f xml:space="preserve"> Debt!E$295</f>
        <v>Senior debt principal repayment - T2 POS</v>
      </c>
      <c r="F166" s="125">
        <f xml:space="preserve"> Debt!F$295</f>
        <v>0</v>
      </c>
      <c r="G166" s="125" t="str">
        <f xml:space="preserve"> Debt!G$295</f>
        <v>$ 000s</v>
      </c>
      <c r="H166" s="125">
        <f xml:space="preserve"> Debt!H$295</f>
        <v>125194.92397164847</v>
      </c>
      <c r="I166" s="125">
        <f xml:space="preserve"> Debt!I$295</f>
        <v>0</v>
      </c>
      <c r="J166" s="125">
        <f xml:space="preserve"> Debt!J$295</f>
        <v>0</v>
      </c>
      <c r="K166" s="125">
        <f xml:space="preserve"> Debt!K$295</f>
        <v>0</v>
      </c>
      <c r="L166" s="125">
        <f xml:space="preserve"> Debt!L$295</f>
        <v>0</v>
      </c>
      <c r="M166" s="125">
        <f xml:space="preserve"> Debt!M$295</f>
        <v>0</v>
      </c>
      <c r="N166" s="125">
        <f xml:space="preserve"> Debt!N$295</f>
        <v>0</v>
      </c>
      <c r="O166" s="125">
        <f xml:space="preserve"> Debt!O$295</f>
        <v>4104.1368341736443</v>
      </c>
      <c r="P166" s="125">
        <f xml:space="preserve"> Debt!P$295</f>
        <v>3390.1773293270649</v>
      </c>
      <c r="Q166" s="125">
        <f xml:space="preserve"> Debt!Q$295</f>
        <v>3430.9813139835283</v>
      </c>
      <c r="R166" s="125">
        <f xml:space="preserve"> Debt!R$295</f>
        <v>3494.5808399051803</v>
      </c>
      <c r="S166" s="125">
        <f xml:space="preserve"> Debt!S$295</f>
        <v>3539.4480080350804</v>
      </c>
      <c r="T166" s="125">
        <f xml:space="preserve"> Debt!T$295</f>
        <v>3603.1551122060368</v>
      </c>
      <c r="U166" s="125">
        <f xml:space="preserve"> Debt!U$295</f>
        <v>3652.2454533701657</v>
      </c>
      <c r="V166" s="125">
        <f xml:space="preserve"> Debt!V$295</f>
        <v>3709.8836911519061</v>
      </c>
      <c r="W166" s="125">
        <f xml:space="preserve"> Debt!W$295</f>
        <v>3760.5907506821859</v>
      </c>
      <c r="X166" s="125">
        <f xml:space="preserve"> Debt!X$295</f>
        <v>3833.1952066990661</v>
      </c>
      <c r="Y166" s="125">
        <f xml:space="preserve"> Debt!Y$295</f>
        <v>3778.310894304017</v>
      </c>
      <c r="Z166" s="125">
        <f xml:space="preserve"> Debt!Z$295</f>
        <v>3845.5426655785759</v>
      </c>
      <c r="AA166" s="125">
        <f xml:space="preserve"> Debt!AA$295</f>
        <v>3907.9078377304527</v>
      </c>
      <c r="AB166" s="125">
        <f xml:space="preserve"> Debt!AB$295</f>
        <v>3975.4742682671963</v>
      </c>
      <c r="AC166" s="125">
        <f xml:space="preserve"> Debt!AC$295</f>
        <v>4043.019280078875</v>
      </c>
      <c r="AD166" s="125">
        <f xml:space="preserve"> Debt!AD$295</f>
        <v>4107.813178573896</v>
      </c>
      <c r="AE166" s="125">
        <f xml:space="preserve"> Debt!AE$295</f>
        <v>4175.2832319078207</v>
      </c>
      <c r="AF166" s="125">
        <f xml:space="preserve"> Debt!AF$295</f>
        <v>4251.9477318036097</v>
      </c>
      <c r="AG166" s="125">
        <f xml:space="preserve"> Debt!AG$295</f>
        <v>4330.5098728319617</v>
      </c>
      <c r="AH166" s="125">
        <f xml:space="preserve"> Debt!AH$295</f>
        <v>4399.2690980194438</v>
      </c>
      <c r="AI166" s="125">
        <f xml:space="preserve"> Debt!AI$295</f>
        <v>4398.1468854697905</v>
      </c>
      <c r="AJ166" s="125">
        <f xml:space="preserve"> Debt!AJ$295</f>
        <v>4472.4702817496218</v>
      </c>
      <c r="AK166" s="125">
        <f xml:space="preserve"> Debt!AK$295</f>
        <v>4565.6712350265161</v>
      </c>
      <c r="AL166" s="125">
        <f xml:space="preserve"> Debt!AL$295</f>
        <v>4641.4871462685069</v>
      </c>
      <c r="AM166" s="125">
        <f xml:space="preserve"> Debt!AM$295</f>
        <v>4732.6921706208932</v>
      </c>
      <c r="AN166" s="125">
        <f xml:space="preserve"> Debt!AN$295</f>
        <v>4816.6578136199269</v>
      </c>
      <c r="AO166" s="125">
        <f xml:space="preserve"> Debt!AO$295</f>
        <v>4924.0319667010262</v>
      </c>
      <c r="AP166" s="125">
        <f xml:space="preserve"> Debt!AP$295</f>
        <v>5000.8629469469588</v>
      </c>
      <c r="AQ166" s="125">
        <f xml:space="preserve"> Debt!AQ$295</f>
        <v>5115.8219785606616</v>
      </c>
      <c r="AR166" s="125">
        <f xml:space="preserve"> Debt!AR$295</f>
        <v>5193.6089480548508</v>
      </c>
      <c r="AS166" s="125">
        <f xml:space="preserve"> Debt!AS$295</f>
        <v>0</v>
      </c>
      <c r="AT166" s="125">
        <f xml:space="preserve"> Debt!AT$295</f>
        <v>0</v>
      </c>
      <c r="AU166" s="125">
        <f xml:space="preserve"> Debt!AU$295</f>
        <v>0</v>
      </c>
      <c r="AV166" s="125">
        <f xml:space="preserve"> Debt!AV$295</f>
        <v>0</v>
      </c>
      <c r="AW166" s="125">
        <f xml:space="preserve"> Debt!AW$295</f>
        <v>0</v>
      </c>
      <c r="AX166" s="125">
        <f xml:space="preserve"> Debt!AX$295</f>
        <v>0</v>
      </c>
      <c r="AY166" s="125">
        <f xml:space="preserve"> Debt!AY$295</f>
        <v>0</v>
      </c>
      <c r="AZ166" s="125">
        <f xml:space="preserve"> Debt!AZ$295</f>
        <v>0</v>
      </c>
      <c r="BA166" s="125">
        <f xml:space="preserve"> Debt!BA$295</f>
        <v>0</v>
      </c>
      <c r="BB166" s="125">
        <f xml:space="preserve"> Debt!BB$295</f>
        <v>0</v>
      </c>
      <c r="BC166" s="125">
        <f xml:space="preserve"> Debt!BC$295</f>
        <v>0</v>
      </c>
      <c r="BD166" s="125">
        <f xml:space="preserve"> Debt!BD$295</f>
        <v>0</v>
      </c>
      <c r="BE166" s="125">
        <f xml:space="preserve"> Debt!BE$295</f>
        <v>0</v>
      </c>
      <c r="BF166" s="125">
        <f xml:space="preserve"> Debt!BF$295</f>
        <v>0</v>
      </c>
      <c r="BG166" s="125">
        <f xml:space="preserve"> Debt!BG$295</f>
        <v>0</v>
      </c>
      <c r="BH166" s="125">
        <f xml:space="preserve"> Debt!BH$295</f>
        <v>0</v>
      </c>
      <c r="BI166" s="125">
        <f xml:space="preserve"> Debt!BI$295</f>
        <v>0</v>
      </c>
      <c r="BJ166" s="125">
        <f xml:space="preserve"> Debt!BJ$295</f>
        <v>0</v>
      </c>
      <c r="BK166" s="125">
        <f xml:space="preserve"> Debt!BK$295</f>
        <v>0</v>
      </c>
      <c r="BL166" s="125">
        <f xml:space="preserve"> Debt!BL$295</f>
        <v>0</v>
      </c>
      <c r="BM166" s="125">
        <f xml:space="preserve"> Debt!BM$295</f>
        <v>0</v>
      </c>
      <c r="BN166" s="125">
        <f xml:space="preserve"> Debt!BN$295</f>
        <v>0</v>
      </c>
      <c r="BO166" s="125">
        <f xml:space="preserve"> Debt!BO$295</f>
        <v>0</v>
      </c>
      <c r="BP166" s="125">
        <f xml:space="preserve"> Debt!BP$295</f>
        <v>0</v>
      </c>
      <c r="BQ166" s="125">
        <f xml:space="preserve"> Debt!BQ$295</f>
        <v>0</v>
      </c>
      <c r="BR166" s="125">
        <f xml:space="preserve"> Debt!BR$295</f>
        <v>0</v>
      </c>
      <c r="BS166" s="125">
        <f xml:space="preserve"> Debt!BS$295</f>
        <v>0</v>
      </c>
      <c r="BT166" s="125">
        <f xml:space="preserve"> Debt!BT$295</f>
        <v>0</v>
      </c>
      <c r="BU166" s="125">
        <f xml:space="preserve"> Debt!BU$295</f>
        <v>0</v>
      </c>
      <c r="BV166" s="125">
        <f xml:space="preserve"> Debt!BV$295</f>
        <v>0</v>
      </c>
      <c r="BW166" s="125">
        <f xml:space="preserve"> Debt!BW$295</f>
        <v>0</v>
      </c>
      <c r="BX166" s="125">
        <f xml:space="preserve"> Debt!BX$295</f>
        <v>0</v>
      </c>
      <c r="BY166" s="125">
        <f xml:space="preserve"> Debt!BY$295</f>
        <v>0</v>
      </c>
      <c r="BZ166" s="125">
        <f xml:space="preserve"> Debt!BZ$295</f>
        <v>0</v>
      </c>
      <c r="CA166" s="125">
        <f xml:space="preserve"> Debt!CA$295</f>
        <v>0</v>
      </c>
      <c r="CB166" s="125">
        <f xml:space="preserve"> Debt!CB$295</f>
        <v>0</v>
      </c>
      <c r="CC166" s="125">
        <f xml:space="preserve"> Debt!CC$295</f>
        <v>0</v>
      </c>
      <c r="CD166" s="125">
        <f xml:space="preserve"> Debt!CD$295</f>
        <v>0</v>
      </c>
      <c r="CE166" s="125">
        <f xml:space="preserve"> Debt!CE$295</f>
        <v>0</v>
      </c>
      <c r="CF166" s="125">
        <f xml:space="preserve"> Debt!CF$295</f>
        <v>0</v>
      </c>
      <c r="CG166" s="125">
        <f xml:space="preserve"> Debt!CG$295</f>
        <v>0</v>
      </c>
      <c r="CH166" s="125">
        <f xml:space="preserve"> Debt!CH$295</f>
        <v>0</v>
      </c>
      <c r="CI166" s="125">
        <f xml:space="preserve"> Debt!CI$295</f>
        <v>0</v>
      </c>
      <c r="CJ166" s="125">
        <f xml:space="preserve"> Debt!CJ$295</f>
        <v>0</v>
      </c>
      <c r="CK166" s="125">
        <f xml:space="preserve"> Debt!CK$295</f>
        <v>0</v>
      </c>
      <c r="CL166" s="125">
        <f xml:space="preserve"> Debt!CL$295</f>
        <v>0</v>
      </c>
      <c r="CM166" s="125">
        <f xml:space="preserve"> Debt!CM$295</f>
        <v>0</v>
      </c>
      <c r="CN166" s="125">
        <f xml:space="preserve"> Debt!CN$295</f>
        <v>0</v>
      </c>
      <c r="CO166" s="125">
        <f xml:space="preserve"> Debt!CO$295</f>
        <v>0</v>
      </c>
      <c r="CP166" s="125">
        <f xml:space="preserve"> Debt!CP$295</f>
        <v>0</v>
      </c>
      <c r="CQ166" s="125">
        <f xml:space="preserve"> Debt!CQ$295</f>
        <v>0</v>
      </c>
      <c r="CR166" s="125">
        <f xml:space="preserve"> Debt!CR$295</f>
        <v>0</v>
      </c>
      <c r="CS166" s="125">
        <f xml:space="preserve"> Debt!CS$295</f>
        <v>0</v>
      </c>
      <c r="CT166" s="125">
        <f xml:space="preserve"> Debt!CT$295</f>
        <v>0</v>
      </c>
      <c r="CU166" s="125">
        <f xml:space="preserve"> Debt!CU$295</f>
        <v>0</v>
      </c>
      <c r="CV166" s="125">
        <f xml:space="preserve"> Debt!CV$295</f>
        <v>0</v>
      </c>
    </row>
    <row r="167" spans="1:100" outlineLevel="1" x14ac:dyDescent="0.2">
      <c r="A167" s="85"/>
      <c r="B167" s="85"/>
      <c r="C167" s="86"/>
      <c r="D167" s="87"/>
      <c r="E167" s="189" t="str">
        <f xml:space="preserve"> Time!E$214</f>
        <v>Senior debt repayment period flag</v>
      </c>
      <c r="F167" s="189">
        <f xml:space="preserve"> Time!F$214</f>
        <v>0</v>
      </c>
      <c r="G167" s="189" t="str">
        <f xml:space="preserve"> Time!G$214</f>
        <v>flag</v>
      </c>
      <c r="H167" s="189">
        <f xml:space="preserve"> Time!H$214</f>
        <v>34</v>
      </c>
      <c r="I167" s="189">
        <f xml:space="preserve"> Time!I$214</f>
        <v>0</v>
      </c>
      <c r="J167" s="189">
        <f xml:space="preserve"> Time!J$214</f>
        <v>0</v>
      </c>
      <c r="K167" s="189">
        <f xml:space="preserve"> Time!K$214</f>
        <v>0</v>
      </c>
      <c r="L167" s="189">
        <f xml:space="preserve"> Time!L$214</f>
        <v>0</v>
      </c>
      <c r="M167" s="189">
        <f xml:space="preserve"> Time!M$214</f>
        <v>0</v>
      </c>
      <c r="N167" s="189">
        <f xml:space="preserve"> Time!N$214</f>
        <v>0</v>
      </c>
      <c r="O167" s="189">
        <f xml:space="preserve"> Time!O$214</f>
        <v>1</v>
      </c>
      <c r="P167" s="189">
        <f xml:space="preserve"> Time!P$214</f>
        <v>1</v>
      </c>
      <c r="Q167" s="189">
        <f xml:space="preserve"> Time!Q$214</f>
        <v>1</v>
      </c>
      <c r="R167" s="189">
        <f xml:space="preserve"> Time!R$214</f>
        <v>1</v>
      </c>
      <c r="S167" s="189">
        <f xml:space="preserve"> Time!S$214</f>
        <v>1</v>
      </c>
      <c r="T167" s="189">
        <f xml:space="preserve"> Time!T$214</f>
        <v>1</v>
      </c>
      <c r="U167" s="189">
        <f xml:space="preserve"> Time!U$214</f>
        <v>1</v>
      </c>
      <c r="V167" s="189">
        <f xml:space="preserve"> Time!V$214</f>
        <v>1</v>
      </c>
      <c r="W167" s="189">
        <f xml:space="preserve"> Time!W$214</f>
        <v>1</v>
      </c>
      <c r="X167" s="189">
        <f xml:space="preserve"> Time!X$214</f>
        <v>1</v>
      </c>
      <c r="Y167" s="189">
        <f xml:space="preserve"> Time!Y$214</f>
        <v>1</v>
      </c>
      <c r="Z167" s="189">
        <f xml:space="preserve"> Time!Z$214</f>
        <v>1</v>
      </c>
      <c r="AA167" s="189">
        <f xml:space="preserve"> Time!AA$214</f>
        <v>1</v>
      </c>
      <c r="AB167" s="189">
        <f xml:space="preserve"> Time!AB$214</f>
        <v>1</v>
      </c>
      <c r="AC167" s="189">
        <f xml:space="preserve"> Time!AC$214</f>
        <v>1</v>
      </c>
      <c r="AD167" s="189">
        <f xml:space="preserve"> Time!AD$214</f>
        <v>1</v>
      </c>
      <c r="AE167" s="189">
        <f xml:space="preserve"> Time!AE$214</f>
        <v>1</v>
      </c>
      <c r="AF167" s="189">
        <f xml:space="preserve"> Time!AF$214</f>
        <v>1</v>
      </c>
      <c r="AG167" s="189">
        <f xml:space="preserve"> Time!AG$214</f>
        <v>1</v>
      </c>
      <c r="AH167" s="189">
        <f xml:space="preserve"> Time!AH$214</f>
        <v>1</v>
      </c>
      <c r="AI167" s="189">
        <f xml:space="preserve"> Time!AI$214</f>
        <v>1</v>
      </c>
      <c r="AJ167" s="189">
        <f xml:space="preserve"> Time!AJ$214</f>
        <v>1</v>
      </c>
      <c r="AK167" s="189">
        <f xml:space="preserve"> Time!AK$214</f>
        <v>1</v>
      </c>
      <c r="AL167" s="189">
        <f xml:space="preserve"> Time!AL$214</f>
        <v>1</v>
      </c>
      <c r="AM167" s="189">
        <f xml:space="preserve"> Time!AM$214</f>
        <v>1</v>
      </c>
      <c r="AN167" s="189">
        <f xml:space="preserve"> Time!AN$214</f>
        <v>1</v>
      </c>
      <c r="AO167" s="189">
        <f xml:space="preserve"> Time!AO$214</f>
        <v>1</v>
      </c>
      <c r="AP167" s="189">
        <f xml:space="preserve"> Time!AP$214</f>
        <v>1</v>
      </c>
      <c r="AQ167" s="189">
        <f xml:space="preserve"> Time!AQ$214</f>
        <v>1</v>
      </c>
      <c r="AR167" s="189">
        <f xml:space="preserve"> Time!AR$214</f>
        <v>1</v>
      </c>
      <c r="AS167" s="189">
        <f xml:space="preserve"> Time!AS$214</f>
        <v>1</v>
      </c>
      <c r="AT167" s="189">
        <f xml:space="preserve"> Time!AT$214</f>
        <v>1</v>
      </c>
      <c r="AU167" s="189">
        <f xml:space="preserve"> Time!AU$214</f>
        <v>1</v>
      </c>
      <c r="AV167" s="189">
        <f xml:space="preserve"> Time!AV$214</f>
        <v>1</v>
      </c>
      <c r="AW167" s="189">
        <f xml:space="preserve"> Time!AW$214</f>
        <v>0</v>
      </c>
      <c r="AX167" s="189">
        <f xml:space="preserve"> Time!AX$214</f>
        <v>0</v>
      </c>
      <c r="AY167" s="189">
        <f xml:space="preserve"> Time!AY$214</f>
        <v>0</v>
      </c>
      <c r="AZ167" s="189">
        <f xml:space="preserve"> Time!AZ$214</f>
        <v>0</v>
      </c>
      <c r="BA167" s="189">
        <f xml:space="preserve"> Time!BA$214</f>
        <v>0</v>
      </c>
      <c r="BB167" s="189">
        <f xml:space="preserve"> Time!BB$214</f>
        <v>0</v>
      </c>
      <c r="BC167" s="189">
        <f xml:space="preserve"> Time!BC$214</f>
        <v>0</v>
      </c>
      <c r="BD167" s="189">
        <f xml:space="preserve"> Time!BD$214</f>
        <v>0</v>
      </c>
      <c r="BE167" s="189">
        <f xml:space="preserve"> Time!BE$214</f>
        <v>0</v>
      </c>
      <c r="BF167" s="189">
        <f xml:space="preserve"> Time!BF$214</f>
        <v>0</v>
      </c>
      <c r="BG167" s="189">
        <f xml:space="preserve"> Time!BG$214</f>
        <v>0</v>
      </c>
      <c r="BH167" s="189">
        <f xml:space="preserve"> Time!BH$214</f>
        <v>0</v>
      </c>
      <c r="BI167" s="189">
        <f xml:space="preserve"> Time!BI$214</f>
        <v>0</v>
      </c>
      <c r="BJ167" s="189">
        <f xml:space="preserve"> Time!BJ$214</f>
        <v>0</v>
      </c>
      <c r="BK167" s="189">
        <f xml:space="preserve"> Time!BK$214</f>
        <v>0</v>
      </c>
      <c r="BL167" s="189">
        <f xml:space="preserve"> Time!BL$214</f>
        <v>0</v>
      </c>
      <c r="BM167" s="189">
        <f xml:space="preserve"> Time!BM$214</f>
        <v>0</v>
      </c>
      <c r="BN167" s="189">
        <f xml:space="preserve"> Time!BN$214</f>
        <v>0</v>
      </c>
      <c r="BO167" s="189">
        <f xml:space="preserve"> Time!BO$214</f>
        <v>0</v>
      </c>
      <c r="BP167" s="189">
        <f xml:space="preserve"> Time!BP$214</f>
        <v>0</v>
      </c>
      <c r="BQ167" s="189">
        <f xml:space="preserve"> Time!BQ$214</f>
        <v>0</v>
      </c>
      <c r="BR167" s="189">
        <f xml:space="preserve"> Time!BR$214</f>
        <v>0</v>
      </c>
      <c r="BS167" s="189">
        <f xml:space="preserve"> Time!BS$214</f>
        <v>0</v>
      </c>
      <c r="BT167" s="189">
        <f xml:space="preserve"> Time!BT$214</f>
        <v>0</v>
      </c>
      <c r="BU167" s="189">
        <f xml:space="preserve"> Time!BU$214</f>
        <v>0</v>
      </c>
      <c r="BV167" s="189">
        <f xml:space="preserve"> Time!BV$214</f>
        <v>0</v>
      </c>
      <c r="BW167" s="189">
        <f xml:space="preserve"> Time!BW$214</f>
        <v>0</v>
      </c>
      <c r="BX167" s="189">
        <f xml:space="preserve"> Time!BX$214</f>
        <v>0</v>
      </c>
      <c r="BY167" s="189">
        <f xml:space="preserve"> Time!BY$214</f>
        <v>0</v>
      </c>
      <c r="BZ167" s="189">
        <f xml:space="preserve"> Time!BZ$214</f>
        <v>0</v>
      </c>
      <c r="CA167" s="189">
        <f xml:space="preserve"> Time!CA$214</f>
        <v>0</v>
      </c>
      <c r="CB167" s="189">
        <f xml:space="preserve"> Time!CB$214</f>
        <v>0</v>
      </c>
      <c r="CC167" s="189">
        <f xml:space="preserve"> Time!CC$214</f>
        <v>0</v>
      </c>
      <c r="CD167" s="189">
        <f xml:space="preserve"> Time!CD$214</f>
        <v>0</v>
      </c>
      <c r="CE167" s="189">
        <f xml:space="preserve"> Time!CE$214</f>
        <v>0</v>
      </c>
      <c r="CF167" s="189">
        <f xml:space="preserve"> Time!CF$214</f>
        <v>0</v>
      </c>
      <c r="CG167" s="189">
        <f xml:space="preserve"> Time!CG$214</f>
        <v>0</v>
      </c>
      <c r="CH167" s="189">
        <f xml:space="preserve"> Time!CH$214</f>
        <v>0</v>
      </c>
      <c r="CI167" s="189">
        <f xml:space="preserve"> Time!CI$214</f>
        <v>0</v>
      </c>
      <c r="CJ167" s="189">
        <f xml:space="preserve"> Time!CJ$214</f>
        <v>0</v>
      </c>
      <c r="CK167" s="189">
        <f xml:space="preserve"> Time!CK$214</f>
        <v>0</v>
      </c>
      <c r="CL167" s="189">
        <f xml:space="preserve"> Time!CL$214</f>
        <v>0</v>
      </c>
      <c r="CM167" s="189">
        <f xml:space="preserve"> Time!CM$214</f>
        <v>0</v>
      </c>
      <c r="CN167" s="189">
        <f xml:space="preserve"> Time!CN$214</f>
        <v>0</v>
      </c>
      <c r="CO167" s="189">
        <f xml:space="preserve"> Time!CO$214</f>
        <v>0</v>
      </c>
      <c r="CP167" s="189">
        <f xml:space="preserve"> Time!CP$214</f>
        <v>0</v>
      </c>
      <c r="CQ167" s="189">
        <f xml:space="preserve"> Time!CQ$214</f>
        <v>0</v>
      </c>
      <c r="CR167" s="189">
        <f xml:space="preserve"> Time!CR$214</f>
        <v>0</v>
      </c>
      <c r="CS167" s="189">
        <f xml:space="preserve"> Time!CS$214</f>
        <v>0</v>
      </c>
      <c r="CT167" s="189">
        <f xml:space="preserve"> Time!CT$214</f>
        <v>0</v>
      </c>
      <c r="CU167" s="189">
        <f xml:space="preserve"> Time!CU$214</f>
        <v>0</v>
      </c>
      <c r="CV167" s="189">
        <f xml:space="preserve"> Time!CV$214</f>
        <v>0</v>
      </c>
    </row>
    <row r="168" spans="1:100" outlineLevel="1" x14ac:dyDescent="0.2">
      <c r="E168" s="282" t="s">
        <v>396</v>
      </c>
      <c r="F168" s="282"/>
      <c r="G168" s="282" t="s">
        <v>103</v>
      </c>
      <c r="H168" s="282">
        <f xml:space="preserve"> SUM(J168:CV168)</f>
        <v>1.0000000930669319</v>
      </c>
      <c r="I168" s="282"/>
      <c r="J168" s="282">
        <f t="shared" ref="J168:AO168" si="89" xml:space="preserve"> IF($F164 &gt; CHK_TOL, (J165 + J166) / $F164, 0) * J167</f>
        <v>0</v>
      </c>
      <c r="K168" s="282">
        <f t="shared" si="89"/>
        <v>0</v>
      </c>
      <c r="L168" s="282">
        <f t="shared" si="89"/>
        <v>0</v>
      </c>
      <c r="M168" s="282">
        <f t="shared" si="89"/>
        <v>0</v>
      </c>
      <c r="N168" s="282">
        <f t="shared" si="89"/>
        <v>0</v>
      </c>
      <c r="O168" s="282">
        <f t="shared" si="89"/>
        <v>2.7923229354715379E-2</v>
      </c>
      <c r="P168" s="282">
        <f t="shared" si="89"/>
        <v>2.3065678105982673E-2</v>
      </c>
      <c r="Q168" s="282">
        <f t="shared" si="89"/>
        <v>2.3343295317149106E-2</v>
      </c>
      <c r="R168" s="282">
        <f t="shared" si="89"/>
        <v>2.3776006072398333E-2</v>
      </c>
      <c r="S168" s="282">
        <f t="shared" si="89"/>
        <v>2.408126787940142E-2</v>
      </c>
      <c r="T168" s="282">
        <f t="shared" si="89"/>
        <v>2.4514710562520088E-2</v>
      </c>
      <c r="U168" s="282">
        <f t="shared" si="89"/>
        <v>2.4848705482965569E-2</v>
      </c>
      <c r="V168" s="282">
        <f t="shared" si="89"/>
        <v>2.5240857547628684E-2</v>
      </c>
      <c r="W168" s="282">
        <f t="shared" si="89"/>
        <v>2.5585852100777472E-2</v>
      </c>
      <c r="X168" s="282">
        <f t="shared" si="89"/>
        <v>2.6079829509291896E-2</v>
      </c>
      <c r="Y168" s="282">
        <f t="shared" si="89"/>
        <v>2.5706414268790691E-2</v>
      </c>
      <c r="Z168" s="282">
        <f t="shared" si="89"/>
        <v>2.6163837655260522E-2</v>
      </c>
      <c r="AA168" s="282">
        <f t="shared" si="89"/>
        <v>2.6588150263759061E-2</v>
      </c>
      <c r="AB168" s="282">
        <f t="shared" si="89"/>
        <v>2.7047850564403841E-2</v>
      </c>
      <c r="AC168" s="282">
        <f t="shared" si="89"/>
        <v>2.750740513891993E-2</v>
      </c>
      <c r="AD168" s="282">
        <f t="shared" si="89"/>
        <v>2.7948242021695768E-2</v>
      </c>
      <c r="AE168" s="282">
        <f t="shared" si="89"/>
        <v>2.8407286602795217E-2</v>
      </c>
      <c r="AF168" s="282">
        <f t="shared" si="89"/>
        <v>2.8928887246353122E-2</v>
      </c>
      <c r="AG168" s="282">
        <f t="shared" si="89"/>
        <v>2.9463398830924564E-2</v>
      </c>
      <c r="AH168" s="282">
        <f t="shared" si="89"/>
        <v>2.9931214523416981E-2</v>
      </c>
      <c r="AI168" s="282">
        <f t="shared" si="89"/>
        <v>2.9923579349524193E-2</v>
      </c>
      <c r="AJ168" s="282">
        <f t="shared" si="89"/>
        <v>3.0429251875708611E-2</v>
      </c>
      <c r="AK168" s="282">
        <f t="shared" si="89"/>
        <v>3.1063361238914785E-2</v>
      </c>
      <c r="AL168" s="282">
        <f t="shared" si="89"/>
        <v>3.1579188357718224E-2</v>
      </c>
      <c r="AM168" s="282">
        <f t="shared" si="89"/>
        <v>3.2199718061330519E-2</v>
      </c>
      <c r="AN168" s="282">
        <f t="shared" si="89"/>
        <v>3.2770993338474212E-2</v>
      </c>
      <c r="AO168" s="282">
        <f t="shared" si="89"/>
        <v>3.350153260273233E-2</v>
      </c>
      <c r="AP168" s="282">
        <f t="shared" ref="AP168:BU168" si="90" xml:space="preserve"> IF($F164 &gt; CHK_TOL, (AP165 + AP166) / $F164, 0) * AP167</f>
        <v>3.4024265925142794E-2</v>
      </c>
      <c r="AQ168" s="282">
        <f t="shared" si="90"/>
        <v>3.4806410267752601E-2</v>
      </c>
      <c r="AR168" s="282">
        <f t="shared" si="90"/>
        <v>3.5335647834080428E-2</v>
      </c>
      <c r="AS168" s="282">
        <f t="shared" si="90"/>
        <v>3.6171795168708464E-2</v>
      </c>
      <c r="AT168" s="282">
        <f t="shared" si="90"/>
        <v>3.6683428669677581E-2</v>
      </c>
      <c r="AU168" s="282">
        <f t="shared" si="90"/>
        <v>3.7415049681502097E-2</v>
      </c>
      <c r="AV168" s="282">
        <f t="shared" si="90"/>
        <v>3.7943751646514888E-2</v>
      </c>
      <c r="AW168" s="282">
        <f t="shared" si="90"/>
        <v>0</v>
      </c>
      <c r="AX168" s="282">
        <f t="shared" si="90"/>
        <v>0</v>
      </c>
      <c r="AY168" s="282">
        <f t="shared" si="90"/>
        <v>0</v>
      </c>
      <c r="AZ168" s="282">
        <f t="shared" si="90"/>
        <v>0</v>
      </c>
      <c r="BA168" s="282">
        <f t="shared" si="90"/>
        <v>0</v>
      </c>
      <c r="BB168" s="282">
        <f t="shared" si="90"/>
        <v>0</v>
      </c>
      <c r="BC168" s="282">
        <f t="shared" si="90"/>
        <v>0</v>
      </c>
      <c r="BD168" s="282">
        <f t="shared" si="90"/>
        <v>0</v>
      </c>
      <c r="BE168" s="282">
        <f t="shared" si="90"/>
        <v>0</v>
      </c>
      <c r="BF168" s="282">
        <f t="shared" si="90"/>
        <v>0</v>
      </c>
      <c r="BG168" s="282">
        <f t="shared" si="90"/>
        <v>0</v>
      </c>
      <c r="BH168" s="282">
        <f t="shared" si="90"/>
        <v>0</v>
      </c>
      <c r="BI168" s="282">
        <f t="shared" si="90"/>
        <v>0</v>
      </c>
      <c r="BJ168" s="282">
        <f t="shared" si="90"/>
        <v>0</v>
      </c>
      <c r="BK168" s="282">
        <f t="shared" si="90"/>
        <v>0</v>
      </c>
      <c r="BL168" s="282">
        <f t="shared" si="90"/>
        <v>0</v>
      </c>
      <c r="BM168" s="282">
        <f t="shared" si="90"/>
        <v>0</v>
      </c>
      <c r="BN168" s="282">
        <f t="shared" si="90"/>
        <v>0</v>
      </c>
      <c r="BO168" s="282">
        <f t="shared" si="90"/>
        <v>0</v>
      </c>
      <c r="BP168" s="282">
        <f t="shared" si="90"/>
        <v>0</v>
      </c>
      <c r="BQ168" s="282">
        <f t="shared" si="90"/>
        <v>0</v>
      </c>
      <c r="BR168" s="282">
        <f t="shared" si="90"/>
        <v>0</v>
      </c>
      <c r="BS168" s="282">
        <f t="shared" si="90"/>
        <v>0</v>
      </c>
      <c r="BT168" s="282">
        <f t="shared" si="90"/>
        <v>0</v>
      </c>
      <c r="BU168" s="282">
        <f t="shared" si="90"/>
        <v>0</v>
      </c>
      <c r="BV168" s="282">
        <f t="shared" ref="BV168:CV168" si="91" xml:space="preserve"> IF($F164 &gt; CHK_TOL, (BV165 + BV166) / $F164, 0) * BV167</f>
        <v>0</v>
      </c>
      <c r="BW168" s="282">
        <f t="shared" si="91"/>
        <v>0</v>
      </c>
      <c r="BX168" s="282">
        <f t="shared" si="91"/>
        <v>0</v>
      </c>
      <c r="BY168" s="282">
        <f t="shared" si="91"/>
        <v>0</v>
      </c>
      <c r="BZ168" s="282">
        <f t="shared" si="91"/>
        <v>0</v>
      </c>
      <c r="CA168" s="282">
        <f t="shared" si="91"/>
        <v>0</v>
      </c>
      <c r="CB168" s="282">
        <f t="shared" si="91"/>
        <v>0</v>
      </c>
      <c r="CC168" s="282">
        <f t="shared" si="91"/>
        <v>0</v>
      </c>
      <c r="CD168" s="282">
        <f t="shared" si="91"/>
        <v>0</v>
      </c>
      <c r="CE168" s="282">
        <f t="shared" si="91"/>
        <v>0</v>
      </c>
      <c r="CF168" s="282">
        <f t="shared" si="91"/>
        <v>0</v>
      </c>
      <c r="CG168" s="282">
        <f t="shared" si="91"/>
        <v>0</v>
      </c>
      <c r="CH168" s="282">
        <f t="shared" si="91"/>
        <v>0</v>
      </c>
      <c r="CI168" s="282">
        <f t="shared" si="91"/>
        <v>0</v>
      </c>
      <c r="CJ168" s="282">
        <f t="shared" si="91"/>
        <v>0</v>
      </c>
      <c r="CK168" s="282">
        <f t="shared" si="91"/>
        <v>0</v>
      </c>
      <c r="CL168" s="282">
        <f t="shared" si="91"/>
        <v>0</v>
      </c>
      <c r="CM168" s="282">
        <f t="shared" si="91"/>
        <v>0</v>
      </c>
      <c r="CN168" s="282">
        <f t="shared" si="91"/>
        <v>0</v>
      </c>
      <c r="CO168" s="282">
        <f t="shared" si="91"/>
        <v>0</v>
      </c>
      <c r="CP168" s="282">
        <f t="shared" si="91"/>
        <v>0</v>
      </c>
      <c r="CQ168" s="282">
        <f t="shared" si="91"/>
        <v>0</v>
      </c>
      <c r="CR168" s="282">
        <f t="shared" si="91"/>
        <v>0</v>
      </c>
      <c r="CS168" s="282">
        <f t="shared" si="91"/>
        <v>0</v>
      </c>
      <c r="CT168" s="282">
        <f t="shared" si="91"/>
        <v>0</v>
      </c>
      <c r="CU168" s="282">
        <f t="shared" si="91"/>
        <v>0</v>
      </c>
      <c r="CV168" s="282">
        <f t="shared" si="91"/>
        <v>0</v>
      </c>
    </row>
    <row r="169" spans="1:100" outlineLevel="1" x14ac:dyDescent="0.2">
      <c r="E169" s="32"/>
      <c r="F169" s="32"/>
      <c r="G169" s="32"/>
      <c r="H169" s="32"/>
      <c r="I169" s="32"/>
      <c r="J169" s="32"/>
      <c r="K169" s="32"/>
      <c r="L169" s="32"/>
    </row>
    <row r="170" spans="1:100" outlineLevel="1" x14ac:dyDescent="0.2">
      <c r="E170" s="589" t="str">
        <f t="shared" ref="E170:AJ170" si="92" xml:space="preserve"> E$168</f>
        <v>Senior debt repayment as % of total</v>
      </c>
      <c r="F170" s="589">
        <f t="shared" si="92"/>
        <v>0</v>
      </c>
      <c r="G170" s="589" t="str">
        <f t="shared" si="92"/>
        <v>%</v>
      </c>
      <c r="H170" s="589">
        <f t="shared" si="92"/>
        <v>1.0000000930669319</v>
      </c>
      <c r="I170" s="589">
        <f t="shared" si="92"/>
        <v>0</v>
      </c>
      <c r="J170" s="589">
        <f t="shared" si="92"/>
        <v>0</v>
      </c>
      <c r="K170" s="589">
        <f t="shared" si="92"/>
        <v>0</v>
      </c>
      <c r="L170" s="589">
        <f t="shared" si="92"/>
        <v>0</v>
      </c>
      <c r="M170" s="589">
        <f t="shared" si="92"/>
        <v>0</v>
      </c>
      <c r="N170" s="589">
        <f t="shared" si="92"/>
        <v>0</v>
      </c>
      <c r="O170" s="589">
        <f t="shared" si="92"/>
        <v>2.7923229354715379E-2</v>
      </c>
      <c r="P170" s="589">
        <f t="shared" si="92"/>
        <v>2.3065678105982673E-2</v>
      </c>
      <c r="Q170" s="589">
        <f t="shared" si="92"/>
        <v>2.3343295317149106E-2</v>
      </c>
      <c r="R170" s="589">
        <f t="shared" si="92"/>
        <v>2.3776006072398333E-2</v>
      </c>
      <c r="S170" s="589">
        <f t="shared" si="92"/>
        <v>2.408126787940142E-2</v>
      </c>
      <c r="T170" s="589">
        <f t="shared" si="92"/>
        <v>2.4514710562520088E-2</v>
      </c>
      <c r="U170" s="589">
        <f t="shared" si="92"/>
        <v>2.4848705482965569E-2</v>
      </c>
      <c r="V170" s="589">
        <f t="shared" si="92"/>
        <v>2.5240857547628684E-2</v>
      </c>
      <c r="W170" s="589">
        <f t="shared" si="92"/>
        <v>2.5585852100777472E-2</v>
      </c>
      <c r="X170" s="589">
        <f t="shared" si="92"/>
        <v>2.6079829509291896E-2</v>
      </c>
      <c r="Y170" s="589">
        <f t="shared" si="92"/>
        <v>2.5706414268790691E-2</v>
      </c>
      <c r="Z170" s="589">
        <f t="shared" si="92"/>
        <v>2.6163837655260522E-2</v>
      </c>
      <c r="AA170" s="589">
        <f t="shared" si="92"/>
        <v>2.6588150263759061E-2</v>
      </c>
      <c r="AB170" s="589">
        <f t="shared" si="92"/>
        <v>2.7047850564403841E-2</v>
      </c>
      <c r="AC170" s="589">
        <f t="shared" si="92"/>
        <v>2.750740513891993E-2</v>
      </c>
      <c r="AD170" s="589">
        <f t="shared" si="92"/>
        <v>2.7948242021695768E-2</v>
      </c>
      <c r="AE170" s="589">
        <f t="shared" si="92"/>
        <v>2.8407286602795217E-2</v>
      </c>
      <c r="AF170" s="589">
        <f t="shared" si="92"/>
        <v>2.8928887246353122E-2</v>
      </c>
      <c r="AG170" s="589">
        <f t="shared" si="92"/>
        <v>2.9463398830924564E-2</v>
      </c>
      <c r="AH170" s="589">
        <f t="shared" si="92"/>
        <v>2.9931214523416981E-2</v>
      </c>
      <c r="AI170" s="589">
        <f t="shared" si="92"/>
        <v>2.9923579349524193E-2</v>
      </c>
      <c r="AJ170" s="589">
        <f t="shared" si="92"/>
        <v>3.0429251875708611E-2</v>
      </c>
      <c r="AK170" s="589">
        <f t="shared" ref="AK170:BP170" si="93" xml:space="preserve"> AK$168</f>
        <v>3.1063361238914785E-2</v>
      </c>
      <c r="AL170" s="589">
        <f t="shared" si="93"/>
        <v>3.1579188357718224E-2</v>
      </c>
      <c r="AM170" s="589">
        <f t="shared" si="93"/>
        <v>3.2199718061330519E-2</v>
      </c>
      <c r="AN170" s="589">
        <f t="shared" si="93"/>
        <v>3.2770993338474212E-2</v>
      </c>
      <c r="AO170" s="589">
        <f t="shared" si="93"/>
        <v>3.350153260273233E-2</v>
      </c>
      <c r="AP170" s="589">
        <f t="shared" si="93"/>
        <v>3.4024265925142794E-2</v>
      </c>
      <c r="AQ170" s="589">
        <f t="shared" si="93"/>
        <v>3.4806410267752601E-2</v>
      </c>
      <c r="AR170" s="589">
        <f t="shared" si="93"/>
        <v>3.5335647834080428E-2</v>
      </c>
      <c r="AS170" s="589">
        <f t="shared" si="93"/>
        <v>3.6171795168708464E-2</v>
      </c>
      <c r="AT170" s="589">
        <f t="shared" si="93"/>
        <v>3.6683428669677581E-2</v>
      </c>
      <c r="AU170" s="589">
        <f t="shared" si="93"/>
        <v>3.7415049681502097E-2</v>
      </c>
      <c r="AV170" s="589">
        <f t="shared" si="93"/>
        <v>3.7943751646514888E-2</v>
      </c>
      <c r="AW170" s="589">
        <f t="shared" si="93"/>
        <v>0</v>
      </c>
      <c r="AX170" s="589">
        <f t="shared" si="93"/>
        <v>0</v>
      </c>
      <c r="AY170" s="589">
        <f t="shared" si="93"/>
        <v>0</v>
      </c>
      <c r="AZ170" s="589">
        <f t="shared" si="93"/>
        <v>0</v>
      </c>
      <c r="BA170" s="589">
        <f t="shared" si="93"/>
        <v>0</v>
      </c>
      <c r="BB170" s="589">
        <f t="shared" si="93"/>
        <v>0</v>
      </c>
      <c r="BC170" s="589">
        <f t="shared" si="93"/>
        <v>0</v>
      </c>
      <c r="BD170" s="589">
        <f t="shared" si="93"/>
        <v>0</v>
      </c>
      <c r="BE170" s="589">
        <f t="shared" si="93"/>
        <v>0</v>
      </c>
      <c r="BF170" s="589">
        <f t="shared" si="93"/>
        <v>0</v>
      </c>
      <c r="BG170" s="589">
        <f t="shared" si="93"/>
        <v>0</v>
      </c>
      <c r="BH170" s="589">
        <f t="shared" si="93"/>
        <v>0</v>
      </c>
      <c r="BI170" s="589">
        <f t="shared" si="93"/>
        <v>0</v>
      </c>
      <c r="BJ170" s="589">
        <f t="shared" si="93"/>
        <v>0</v>
      </c>
      <c r="BK170" s="589">
        <f t="shared" si="93"/>
        <v>0</v>
      </c>
      <c r="BL170" s="589">
        <f t="shared" si="93"/>
        <v>0</v>
      </c>
      <c r="BM170" s="589">
        <f t="shared" si="93"/>
        <v>0</v>
      </c>
      <c r="BN170" s="589">
        <f t="shared" si="93"/>
        <v>0</v>
      </c>
      <c r="BO170" s="589">
        <f t="shared" si="93"/>
        <v>0</v>
      </c>
      <c r="BP170" s="589">
        <f t="shared" si="93"/>
        <v>0</v>
      </c>
      <c r="BQ170" s="589">
        <f t="shared" ref="BQ170:CV170" si="94" xml:space="preserve"> BQ$168</f>
        <v>0</v>
      </c>
      <c r="BR170" s="589">
        <f t="shared" si="94"/>
        <v>0</v>
      </c>
      <c r="BS170" s="589">
        <f t="shared" si="94"/>
        <v>0</v>
      </c>
      <c r="BT170" s="589">
        <f t="shared" si="94"/>
        <v>0</v>
      </c>
      <c r="BU170" s="589">
        <f t="shared" si="94"/>
        <v>0</v>
      </c>
      <c r="BV170" s="589">
        <f t="shared" si="94"/>
        <v>0</v>
      </c>
      <c r="BW170" s="589">
        <f t="shared" si="94"/>
        <v>0</v>
      </c>
      <c r="BX170" s="589">
        <f t="shared" si="94"/>
        <v>0</v>
      </c>
      <c r="BY170" s="589">
        <f t="shared" si="94"/>
        <v>0</v>
      </c>
      <c r="BZ170" s="589">
        <f t="shared" si="94"/>
        <v>0</v>
      </c>
      <c r="CA170" s="589">
        <f t="shared" si="94"/>
        <v>0</v>
      </c>
      <c r="CB170" s="589">
        <f t="shared" si="94"/>
        <v>0</v>
      </c>
      <c r="CC170" s="589">
        <f t="shared" si="94"/>
        <v>0</v>
      </c>
      <c r="CD170" s="589">
        <f t="shared" si="94"/>
        <v>0</v>
      </c>
      <c r="CE170" s="589">
        <f t="shared" si="94"/>
        <v>0</v>
      </c>
      <c r="CF170" s="589">
        <f t="shared" si="94"/>
        <v>0</v>
      </c>
      <c r="CG170" s="589">
        <f t="shared" si="94"/>
        <v>0</v>
      </c>
      <c r="CH170" s="589">
        <f t="shared" si="94"/>
        <v>0</v>
      </c>
      <c r="CI170" s="589">
        <f t="shared" si="94"/>
        <v>0</v>
      </c>
      <c r="CJ170" s="589">
        <f t="shared" si="94"/>
        <v>0</v>
      </c>
      <c r="CK170" s="589">
        <f t="shared" si="94"/>
        <v>0</v>
      </c>
      <c r="CL170" s="589">
        <f t="shared" si="94"/>
        <v>0</v>
      </c>
      <c r="CM170" s="589">
        <f t="shared" si="94"/>
        <v>0</v>
      </c>
      <c r="CN170" s="589">
        <f t="shared" si="94"/>
        <v>0</v>
      </c>
      <c r="CO170" s="589">
        <f t="shared" si="94"/>
        <v>0</v>
      </c>
      <c r="CP170" s="589">
        <f t="shared" si="94"/>
        <v>0</v>
      </c>
      <c r="CQ170" s="589">
        <f t="shared" si="94"/>
        <v>0</v>
      </c>
      <c r="CR170" s="589">
        <f t="shared" si="94"/>
        <v>0</v>
      </c>
      <c r="CS170" s="589">
        <f t="shared" si="94"/>
        <v>0</v>
      </c>
      <c r="CT170" s="589">
        <f t="shared" si="94"/>
        <v>0</v>
      </c>
      <c r="CU170" s="589">
        <f t="shared" si="94"/>
        <v>0</v>
      </c>
      <c r="CV170" s="589">
        <f t="shared" si="94"/>
        <v>0</v>
      </c>
    </row>
    <row r="171" spans="1:100" outlineLevel="1" x14ac:dyDescent="0.2">
      <c r="E171" s="590" t="str">
        <f t="shared" ref="E171:AJ171" si="95" xml:space="preserve"> E$162</f>
        <v>Years from FC - counter</v>
      </c>
      <c r="F171" s="590">
        <f t="shared" si="95"/>
        <v>0</v>
      </c>
      <c r="G171" s="590" t="str">
        <f t="shared" si="95"/>
        <v>years</v>
      </c>
      <c r="H171" s="590">
        <f t="shared" si="95"/>
        <v>0</v>
      </c>
      <c r="I171" s="590">
        <f t="shared" si="95"/>
        <v>0</v>
      </c>
      <c r="J171" s="590">
        <f t="shared" si="95"/>
        <v>0</v>
      </c>
      <c r="K171" s="590">
        <f t="shared" si="95"/>
        <v>0</v>
      </c>
      <c r="L171" s="590">
        <f t="shared" si="95"/>
        <v>0</v>
      </c>
      <c r="M171" s="590">
        <f t="shared" si="95"/>
        <v>0</v>
      </c>
      <c r="N171" s="590">
        <f t="shared" si="95"/>
        <v>0</v>
      </c>
      <c r="O171" s="590">
        <f t="shared" si="95"/>
        <v>2.6666666666666665</v>
      </c>
      <c r="P171" s="590">
        <f t="shared" si="95"/>
        <v>3.1666666666666665</v>
      </c>
      <c r="Q171" s="590">
        <f t="shared" si="95"/>
        <v>3.6666666666666665</v>
      </c>
      <c r="R171" s="590">
        <f t="shared" si="95"/>
        <v>4.1666666666666661</v>
      </c>
      <c r="S171" s="590">
        <f t="shared" si="95"/>
        <v>4.6666666666666661</v>
      </c>
      <c r="T171" s="590">
        <f t="shared" si="95"/>
        <v>5.1666666666666661</v>
      </c>
      <c r="U171" s="590">
        <f t="shared" si="95"/>
        <v>5.6666666666666661</v>
      </c>
      <c r="V171" s="590">
        <f t="shared" si="95"/>
        <v>6.1666666666666661</v>
      </c>
      <c r="W171" s="590">
        <f t="shared" si="95"/>
        <v>6.6666666666666661</v>
      </c>
      <c r="X171" s="590">
        <f t="shared" si="95"/>
        <v>7.1666666666666661</v>
      </c>
      <c r="Y171" s="590">
        <f t="shared" si="95"/>
        <v>7.6666666666666661</v>
      </c>
      <c r="Z171" s="590">
        <f t="shared" si="95"/>
        <v>8.1666666666666661</v>
      </c>
      <c r="AA171" s="590">
        <f t="shared" si="95"/>
        <v>8.6666666666666661</v>
      </c>
      <c r="AB171" s="590">
        <f t="shared" si="95"/>
        <v>9.1666666666666661</v>
      </c>
      <c r="AC171" s="590">
        <f t="shared" si="95"/>
        <v>9.6666666666666661</v>
      </c>
      <c r="AD171" s="590">
        <f t="shared" si="95"/>
        <v>10.166666666666666</v>
      </c>
      <c r="AE171" s="590">
        <f t="shared" si="95"/>
        <v>10.666666666666666</v>
      </c>
      <c r="AF171" s="590">
        <f t="shared" si="95"/>
        <v>11.166666666666666</v>
      </c>
      <c r="AG171" s="590">
        <f t="shared" si="95"/>
        <v>11.666666666666666</v>
      </c>
      <c r="AH171" s="590">
        <f t="shared" si="95"/>
        <v>12.166666666666666</v>
      </c>
      <c r="AI171" s="590">
        <f t="shared" si="95"/>
        <v>12.666666666666666</v>
      </c>
      <c r="AJ171" s="590">
        <f t="shared" si="95"/>
        <v>13.166666666666666</v>
      </c>
      <c r="AK171" s="590">
        <f t="shared" ref="AK171:BP171" si="96" xml:space="preserve"> AK$162</f>
        <v>13.666666666666666</v>
      </c>
      <c r="AL171" s="590">
        <f t="shared" si="96"/>
        <v>14.166666666666666</v>
      </c>
      <c r="AM171" s="590">
        <f t="shared" si="96"/>
        <v>14.666666666666666</v>
      </c>
      <c r="AN171" s="590">
        <f t="shared" si="96"/>
        <v>15.166666666666666</v>
      </c>
      <c r="AO171" s="590">
        <f t="shared" si="96"/>
        <v>15.666666666666666</v>
      </c>
      <c r="AP171" s="590">
        <f t="shared" si="96"/>
        <v>16.166666666666668</v>
      </c>
      <c r="AQ171" s="590">
        <f t="shared" si="96"/>
        <v>16.666666666666668</v>
      </c>
      <c r="AR171" s="590">
        <f t="shared" si="96"/>
        <v>17.166666666666668</v>
      </c>
      <c r="AS171" s="590">
        <f t="shared" si="96"/>
        <v>17.666666666666668</v>
      </c>
      <c r="AT171" s="590">
        <f t="shared" si="96"/>
        <v>18.166666666666668</v>
      </c>
      <c r="AU171" s="590">
        <f t="shared" si="96"/>
        <v>18.666666666666668</v>
      </c>
      <c r="AV171" s="590">
        <f t="shared" si="96"/>
        <v>19.166666666666668</v>
      </c>
      <c r="AW171" s="590">
        <f t="shared" si="96"/>
        <v>0</v>
      </c>
      <c r="AX171" s="590">
        <f t="shared" si="96"/>
        <v>0</v>
      </c>
      <c r="AY171" s="590">
        <f t="shared" si="96"/>
        <v>0</v>
      </c>
      <c r="AZ171" s="590">
        <f t="shared" si="96"/>
        <v>0</v>
      </c>
      <c r="BA171" s="590">
        <f t="shared" si="96"/>
        <v>0</v>
      </c>
      <c r="BB171" s="590">
        <f t="shared" si="96"/>
        <v>0</v>
      </c>
      <c r="BC171" s="590">
        <f t="shared" si="96"/>
        <v>0</v>
      </c>
      <c r="BD171" s="590">
        <f t="shared" si="96"/>
        <v>0</v>
      </c>
      <c r="BE171" s="590">
        <f t="shared" si="96"/>
        <v>0</v>
      </c>
      <c r="BF171" s="590">
        <f t="shared" si="96"/>
        <v>0</v>
      </c>
      <c r="BG171" s="590">
        <f t="shared" si="96"/>
        <v>0</v>
      </c>
      <c r="BH171" s="590">
        <f t="shared" si="96"/>
        <v>0</v>
      </c>
      <c r="BI171" s="590">
        <f t="shared" si="96"/>
        <v>0</v>
      </c>
      <c r="BJ171" s="590">
        <f t="shared" si="96"/>
        <v>0</v>
      </c>
      <c r="BK171" s="590">
        <f t="shared" si="96"/>
        <v>0</v>
      </c>
      <c r="BL171" s="590">
        <f t="shared" si="96"/>
        <v>0</v>
      </c>
      <c r="BM171" s="590">
        <f t="shared" si="96"/>
        <v>0</v>
      </c>
      <c r="BN171" s="590">
        <f t="shared" si="96"/>
        <v>0</v>
      </c>
      <c r="BO171" s="590">
        <f t="shared" si="96"/>
        <v>0</v>
      </c>
      <c r="BP171" s="590">
        <f t="shared" si="96"/>
        <v>0</v>
      </c>
      <c r="BQ171" s="590">
        <f t="shared" ref="BQ171:CV171" si="97" xml:space="preserve"> BQ$162</f>
        <v>0</v>
      </c>
      <c r="BR171" s="590">
        <f t="shared" si="97"/>
        <v>0</v>
      </c>
      <c r="BS171" s="590">
        <f t="shared" si="97"/>
        <v>0</v>
      </c>
      <c r="BT171" s="590">
        <f t="shared" si="97"/>
        <v>0</v>
      </c>
      <c r="BU171" s="590">
        <f t="shared" si="97"/>
        <v>0</v>
      </c>
      <c r="BV171" s="590">
        <f t="shared" si="97"/>
        <v>0</v>
      </c>
      <c r="BW171" s="590">
        <f t="shared" si="97"/>
        <v>0</v>
      </c>
      <c r="BX171" s="590">
        <f t="shared" si="97"/>
        <v>0</v>
      </c>
      <c r="BY171" s="590">
        <f t="shared" si="97"/>
        <v>0</v>
      </c>
      <c r="BZ171" s="590">
        <f t="shared" si="97"/>
        <v>0</v>
      </c>
      <c r="CA171" s="590">
        <f t="shared" si="97"/>
        <v>0</v>
      </c>
      <c r="CB171" s="590">
        <f t="shared" si="97"/>
        <v>0</v>
      </c>
      <c r="CC171" s="590">
        <f t="shared" si="97"/>
        <v>0</v>
      </c>
      <c r="CD171" s="590">
        <f t="shared" si="97"/>
        <v>0</v>
      </c>
      <c r="CE171" s="590">
        <f t="shared" si="97"/>
        <v>0</v>
      </c>
      <c r="CF171" s="590">
        <f t="shared" si="97"/>
        <v>0</v>
      </c>
      <c r="CG171" s="590">
        <f t="shared" si="97"/>
        <v>0</v>
      </c>
      <c r="CH171" s="590">
        <f t="shared" si="97"/>
        <v>0</v>
      </c>
      <c r="CI171" s="590">
        <f t="shared" si="97"/>
        <v>0</v>
      </c>
      <c r="CJ171" s="590">
        <f t="shared" si="97"/>
        <v>0</v>
      </c>
      <c r="CK171" s="590">
        <f t="shared" si="97"/>
        <v>0</v>
      </c>
      <c r="CL171" s="590">
        <f t="shared" si="97"/>
        <v>0</v>
      </c>
      <c r="CM171" s="590">
        <f t="shared" si="97"/>
        <v>0</v>
      </c>
      <c r="CN171" s="590">
        <f t="shared" si="97"/>
        <v>0</v>
      </c>
      <c r="CO171" s="590">
        <f t="shared" si="97"/>
        <v>0</v>
      </c>
      <c r="CP171" s="590">
        <f t="shared" si="97"/>
        <v>0</v>
      </c>
      <c r="CQ171" s="590">
        <f t="shared" si="97"/>
        <v>0</v>
      </c>
      <c r="CR171" s="590">
        <f t="shared" si="97"/>
        <v>0</v>
      </c>
      <c r="CS171" s="590">
        <f t="shared" si="97"/>
        <v>0</v>
      </c>
      <c r="CT171" s="590">
        <f t="shared" si="97"/>
        <v>0</v>
      </c>
      <c r="CU171" s="590">
        <f t="shared" si="97"/>
        <v>0</v>
      </c>
      <c r="CV171" s="590">
        <f t="shared" si="97"/>
        <v>0</v>
      </c>
    </row>
    <row r="172" spans="1:100" s="188" customFormat="1" outlineLevel="1" x14ac:dyDescent="0.2">
      <c r="A172" s="141"/>
      <c r="B172" s="141"/>
      <c r="C172" s="142"/>
      <c r="D172" s="143"/>
      <c r="E172" s="592" t="s">
        <v>397</v>
      </c>
      <c r="F172" s="592">
        <f xml:space="preserve"> SUMPRODUCT(J170:CV170, J171:CV171)</f>
        <v>11.611877382799589</v>
      </c>
      <c r="G172" s="592" t="s">
        <v>29</v>
      </c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187"/>
      <c r="AA172" s="187"/>
      <c r="AB172" s="187"/>
      <c r="AC172" s="187"/>
      <c r="AD172" s="187"/>
      <c r="AE172" s="187"/>
      <c r="AF172" s="187"/>
      <c r="AG172" s="187"/>
      <c r="AH172" s="187"/>
      <c r="AI172" s="187"/>
      <c r="AJ172" s="187"/>
      <c r="AK172" s="187"/>
      <c r="AL172" s="187"/>
      <c r="AM172" s="187"/>
      <c r="AN172" s="187"/>
      <c r="AO172" s="187"/>
      <c r="AP172" s="187"/>
      <c r="AQ172" s="187"/>
      <c r="AR172" s="187"/>
      <c r="AS172" s="187"/>
      <c r="AT172" s="187"/>
      <c r="AU172" s="187"/>
      <c r="AV172" s="187"/>
      <c r="AW172" s="187"/>
      <c r="AX172" s="187"/>
      <c r="AY172" s="187"/>
      <c r="AZ172" s="187"/>
      <c r="BA172" s="187"/>
      <c r="BB172" s="187"/>
      <c r="BC172" s="187"/>
      <c r="BD172" s="187"/>
      <c r="BE172" s="187"/>
      <c r="BF172" s="187"/>
      <c r="BG172" s="187"/>
      <c r="BH172" s="187"/>
      <c r="BI172" s="187"/>
      <c r="BJ172" s="187"/>
      <c r="BK172" s="187"/>
      <c r="BL172" s="187"/>
      <c r="BM172" s="187"/>
      <c r="BN172" s="187"/>
      <c r="BO172" s="187"/>
      <c r="BP172" s="187"/>
      <c r="BQ172" s="187"/>
      <c r="BR172" s="187"/>
      <c r="BS172" s="187"/>
      <c r="BT172" s="187"/>
      <c r="BU172" s="187"/>
      <c r="BV172" s="187"/>
      <c r="BW172" s="187"/>
      <c r="BX172" s="187"/>
      <c r="BY172" s="187"/>
      <c r="BZ172" s="187"/>
      <c r="CA172" s="187"/>
      <c r="CB172" s="187"/>
      <c r="CC172" s="187"/>
      <c r="CD172" s="187"/>
      <c r="CE172" s="187"/>
      <c r="CF172" s="187"/>
      <c r="CG172" s="187"/>
      <c r="CH172" s="187"/>
      <c r="CI172" s="187"/>
      <c r="CJ172" s="187"/>
      <c r="CK172" s="187"/>
      <c r="CL172" s="187"/>
      <c r="CM172" s="187"/>
      <c r="CN172" s="187"/>
      <c r="CO172" s="187"/>
      <c r="CP172" s="187"/>
      <c r="CQ172" s="187"/>
      <c r="CR172" s="187"/>
      <c r="CS172" s="187"/>
      <c r="CT172" s="187"/>
      <c r="CU172" s="187"/>
      <c r="CV172" s="187"/>
    </row>
    <row r="173" spans="1:100" outlineLevel="1" x14ac:dyDescent="0.2"/>
    <row r="174" spans="1:100" x14ac:dyDescent="0.2"/>
    <row r="175" spans="1:100" x14ac:dyDescent="0.2">
      <c r="A175" s="15" t="s">
        <v>1250</v>
      </c>
    </row>
    <row r="176" spans="1:100" outlineLevel="1" x14ac:dyDescent="0.2"/>
    <row r="177" spans="1:100" s="125" customFormat="1" outlineLevel="1" x14ac:dyDescent="0.2">
      <c r="A177" s="85"/>
      <c r="B177" s="85"/>
      <c r="C177" s="86"/>
      <c r="D177" s="87"/>
      <c r="E177" s="186" t="str">
        <f xml:space="preserve"> 'FS Semi_P99'!E$45</f>
        <v>Operating cashflow - P99</v>
      </c>
      <c r="F177" s="186">
        <f xml:space="preserve"> 'FS Semi_P99'!F$45</f>
        <v>0</v>
      </c>
      <c r="G177" s="186" t="str">
        <f xml:space="preserve"> 'FS Semi_P99'!G$45</f>
        <v>$ 000s</v>
      </c>
      <c r="H177" s="186">
        <f ca="1" xml:space="preserve"> 'FS Semi_P99'!H$45</f>
        <v>452153.90234455839</v>
      </c>
      <c r="I177" s="186">
        <f xml:space="preserve"> 'FS Semi_P99'!I$45</f>
        <v>0</v>
      </c>
      <c r="J177" s="186">
        <f ca="1" xml:space="preserve"> 'FS Semi_P99'!J$45</f>
        <v>0</v>
      </c>
      <c r="K177" s="186">
        <f ca="1" xml:space="preserve"> 'FS Semi_P99'!K$45</f>
        <v>0</v>
      </c>
      <c r="L177" s="186">
        <f ca="1" xml:space="preserve"> 'FS Semi_P99'!L$45</f>
        <v>0</v>
      </c>
      <c r="M177" s="186">
        <f ca="1" xml:space="preserve"> 'FS Semi_P99'!M$45</f>
        <v>0</v>
      </c>
      <c r="N177" s="186">
        <f ca="1" xml:space="preserve"> 'FS Semi_P99'!N$45</f>
        <v>11940</v>
      </c>
      <c r="O177" s="186">
        <f ca="1" xml:space="preserve"> 'FS Semi_P99'!O$45</f>
        <v>14020.372995316127</v>
      </c>
      <c r="P177" s="186">
        <f ca="1" xml:space="preserve"> 'FS Semi_P99'!P$45</f>
        <v>12030.372995316129</v>
      </c>
      <c r="Q177" s="186">
        <f ca="1" xml:space="preserve"> 'FS Semi_P99'!Q$45</f>
        <v>11993.784267611052</v>
      </c>
      <c r="R177" s="186">
        <f ca="1" xml:space="preserve"> 'FS Semi_P99'!R$45</f>
        <v>11917.385541845897</v>
      </c>
      <c r="S177" s="186">
        <f ca="1" xml:space="preserve"> 'FS Semi_P99'!S$45</f>
        <v>11879.155257275261</v>
      </c>
      <c r="T177" s="186">
        <f ca="1" xml:space="preserve"> 'FS Semi_P99'!T$45</f>
        <v>11802.831368568357</v>
      </c>
      <c r="U177" s="186">
        <f ca="1" xml:space="preserve"> 'FS Semi_P99'!U$45</f>
        <v>11762.928287235867</v>
      </c>
      <c r="V177" s="186">
        <f ca="1" xml:space="preserve"> 'FS Semi_P99'!V$45</f>
        <v>11686.677528771314</v>
      </c>
      <c r="W177" s="186">
        <f ca="1" xml:space="preserve"> 'FS Semi_P99'!W$45</f>
        <v>11629.105341614206</v>
      </c>
      <c r="X177" s="186">
        <f ca="1" xml:space="preserve"> 'FS Semi_P99'!X$45</f>
        <v>11568.890415912327</v>
      </c>
      <c r="Y177" s="186">
        <f ca="1" xml:space="preserve"> 'FS Semi_P99'!Y$45</f>
        <v>11525.545480627239</v>
      </c>
      <c r="Z177" s="186">
        <f ca="1" xml:space="preserve"> 'FS Semi_P99'!Z$45</f>
        <v>11449.435750349998</v>
      </c>
      <c r="AA177" s="186">
        <f ca="1" xml:space="preserve"> 'FS Semi_P99'!AA$45</f>
        <v>11404.320455503168</v>
      </c>
      <c r="AB177" s="186">
        <f ca="1" xml:space="preserve"> 'FS Semi_P99'!AB$45</f>
        <v>11328.278565808636</v>
      </c>
      <c r="AC177" s="186">
        <f ca="1" xml:space="preserve"> 'FS Semi_P99'!AC$45</f>
        <v>11281.359066246368</v>
      </c>
      <c r="AD177" s="186">
        <f ca="1" xml:space="preserve"> 'FS Semi_P99'!AD$45</f>
        <v>11205.38319557111</v>
      </c>
      <c r="AE177" s="186">
        <f ca="1" xml:space="preserve"> 'FS Semi_P99'!AE$45</f>
        <v>11141.317990629093</v>
      </c>
      <c r="AF177" s="186">
        <f ca="1" xml:space="preserve"> 'FS Semi_P99'!AF$45</f>
        <v>11080.713258394269</v>
      </c>
      <c r="AG177" s="186">
        <f ca="1" xml:space="preserve"> 'FS Semi_P99'!AG$45</f>
        <v>11030.081062769019</v>
      </c>
      <c r="AH177" s="186">
        <f ca="1" xml:space="preserve"> 'FS Semi_P99'!AH$45</f>
        <v>10954.231644141453</v>
      </c>
      <c r="AI177" s="186">
        <f ca="1" xml:space="preserve"> 'FS Semi_P99'!AI$45</f>
        <v>10901.689546931615</v>
      </c>
      <c r="AJ177" s="186">
        <f ca="1" xml:space="preserve"> 'FS Semi_P99'!AJ$45</f>
        <v>10825.90049912633</v>
      </c>
      <c r="AK177" s="186">
        <f ca="1" xml:space="preserve"> 'FS Semi_P99'!AK$45</f>
        <v>10771.411834146054</v>
      </c>
      <c r="AL177" s="186">
        <f ca="1" xml:space="preserve"> 'FS Semi_P99'!AL$45</f>
        <v>10695.681211162373</v>
      </c>
      <c r="AM177" s="186">
        <f ca="1" xml:space="preserve"> 'FS Semi_P99'!AM$45</f>
        <v>10624.597871946047</v>
      </c>
      <c r="AN177" s="186">
        <f ca="1" xml:space="preserve"> 'FS Semi_P99'!AN$45</f>
        <v>10563.534394311991</v>
      </c>
      <c r="AO177" s="186">
        <f ca="1" xml:space="preserve"> 'FS Semi_P99'!AO$45</f>
        <v>10505.039616202108</v>
      </c>
      <c r="AP177" s="186">
        <f ca="1" xml:space="preserve"> 'FS Semi_P99'!AP$45</f>
        <v>10429.419873329298</v>
      </c>
      <c r="AQ177" s="186">
        <f ca="1" xml:space="preserve"> 'FS Semi_P99'!AQ$45</f>
        <v>10368.864022823194</v>
      </c>
      <c r="AR177" s="186">
        <f ca="1" xml:space="preserve"> 'FS Semi_P99'!AR$45</f>
        <v>10293.296667790339</v>
      </c>
      <c r="AS177" s="186">
        <f ca="1" xml:space="preserve"> 'FS Semi_P99'!AS$45</f>
        <v>10230.640024023749</v>
      </c>
      <c r="AT177" s="186">
        <f ca="1" xml:space="preserve"> 'FS Semi_P99'!AT$45</f>
        <v>10155.122975904564</v>
      </c>
      <c r="AU177" s="186">
        <f ca="1" xml:space="preserve"> 'FS Semi_P99'!AU$45</f>
        <v>10076.452739058863</v>
      </c>
      <c r="AV177" s="186">
        <f ca="1" xml:space="preserve"> 'FS Semi_P99'!AV$45</f>
        <v>10014.856158001163</v>
      </c>
      <c r="AW177" s="186">
        <f ca="1" xml:space="preserve"> 'FS Semi_P99'!AW$45</f>
        <v>9947.8755393576703</v>
      </c>
      <c r="AX177" s="186">
        <f ca="1" xml:space="preserve"> 'FS Semi_P99'!AX$45</f>
        <v>9872.4527196835443</v>
      </c>
      <c r="AY177" s="186">
        <f ca="1" xml:space="preserve"> 'FS Semi_P99'!AY$45</f>
        <v>9803.2472659130381</v>
      </c>
      <c r="AZ177" s="186">
        <f ca="1" xml:space="preserve"> 'FS Semi_P99'!AZ$45</f>
        <v>9727.8682946455738</v>
      </c>
      <c r="BA177" s="186">
        <f ca="1" xml:space="preserve"> 'FS Semi_P99'!BA$45</f>
        <v>9656.3949772083179</v>
      </c>
      <c r="BB177" s="186">
        <f ca="1" xml:space="preserve"> 'FS Semi_P99'!BB$45</f>
        <v>12057.385643485566</v>
      </c>
      <c r="BC177" s="186">
        <f ca="1" xml:space="preserve"> 'FS Semi_P99'!BC$45</f>
        <v>0</v>
      </c>
      <c r="BD177" s="186">
        <f ca="1" xml:space="preserve"> 'FS Semi_P99'!BD$45</f>
        <v>0</v>
      </c>
      <c r="BE177" s="186">
        <f ca="1" xml:space="preserve"> 'FS Semi_P99'!BE$45</f>
        <v>0</v>
      </c>
      <c r="BF177" s="186">
        <f ca="1" xml:space="preserve"> 'FS Semi_P99'!BF$45</f>
        <v>0</v>
      </c>
      <c r="BG177" s="186">
        <f ca="1" xml:space="preserve"> 'FS Semi_P99'!BG$45</f>
        <v>0</v>
      </c>
      <c r="BH177" s="186">
        <f ca="1" xml:space="preserve"> 'FS Semi_P99'!BH$45</f>
        <v>0</v>
      </c>
      <c r="BI177" s="186">
        <f ca="1" xml:space="preserve"> 'FS Semi_P99'!BI$45</f>
        <v>0</v>
      </c>
      <c r="BJ177" s="186">
        <f ca="1" xml:space="preserve"> 'FS Semi_P99'!BJ$45</f>
        <v>0</v>
      </c>
      <c r="BK177" s="186">
        <f ca="1" xml:space="preserve"> 'FS Semi_P99'!BK$45</f>
        <v>0</v>
      </c>
      <c r="BL177" s="186">
        <f ca="1" xml:space="preserve"> 'FS Semi_P99'!BL$45</f>
        <v>0</v>
      </c>
      <c r="BM177" s="186">
        <f ca="1" xml:space="preserve"> 'FS Semi_P99'!BM$45</f>
        <v>0</v>
      </c>
      <c r="BN177" s="186">
        <f ca="1" xml:space="preserve"> 'FS Semi_P99'!BN$45</f>
        <v>0</v>
      </c>
      <c r="BO177" s="186">
        <f ca="1" xml:space="preserve"> 'FS Semi_P99'!BO$45</f>
        <v>0</v>
      </c>
      <c r="BP177" s="186">
        <f ca="1" xml:space="preserve"> 'FS Semi_P99'!BP$45</f>
        <v>0</v>
      </c>
      <c r="BQ177" s="186">
        <f ca="1" xml:space="preserve"> 'FS Semi_P99'!BQ$45</f>
        <v>0</v>
      </c>
      <c r="BR177" s="186">
        <f ca="1" xml:space="preserve"> 'FS Semi_P99'!BR$45</f>
        <v>0</v>
      </c>
      <c r="BS177" s="186">
        <f ca="1" xml:space="preserve"> 'FS Semi_P99'!BS$45</f>
        <v>0</v>
      </c>
      <c r="BT177" s="186">
        <f ca="1" xml:space="preserve"> 'FS Semi_P99'!BT$45</f>
        <v>0</v>
      </c>
      <c r="BU177" s="186">
        <f ca="1" xml:space="preserve"> 'FS Semi_P99'!BU$45</f>
        <v>0</v>
      </c>
      <c r="BV177" s="186">
        <f ca="1" xml:space="preserve"> 'FS Semi_P99'!BV$45</f>
        <v>0</v>
      </c>
      <c r="BW177" s="186">
        <f ca="1" xml:space="preserve"> 'FS Semi_P99'!BW$45</f>
        <v>0</v>
      </c>
      <c r="BX177" s="186">
        <f ca="1" xml:space="preserve"> 'FS Semi_P99'!BX$45</f>
        <v>0</v>
      </c>
      <c r="BY177" s="186">
        <f ca="1" xml:space="preserve"> 'FS Semi_P99'!BY$45</f>
        <v>0</v>
      </c>
      <c r="BZ177" s="186">
        <f ca="1" xml:space="preserve"> 'FS Semi_P99'!BZ$45</f>
        <v>0</v>
      </c>
      <c r="CA177" s="186">
        <f ca="1" xml:space="preserve"> 'FS Semi_P99'!CA$45</f>
        <v>0</v>
      </c>
      <c r="CB177" s="186">
        <f ca="1" xml:space="preserve"> 'FS Semi_P99'!CB$45</f>
        <v>0</v>
      </c>
      <c r="CC177" s="186">
        <f ca="1" xml:space="preserve"> 'FS Semi_P99'!CC$45</f>
        <v>0</v>
      </c>
      <c r="CD177" s="186">
        <f ca="1" xml:space="preserve"> 'FS Semi_P99'!CD$45</f>
        <v>0</v>
      </c>
      <c r="CE177" s="186">
        <f ca="1" xml:space="preserve"> 'FS Semi_P99'!CE$45</f>
        <v>0</v>
      </c>
      <c r="CF177" s="186">
        <f ca="1" xml:space="preserve"> 'FS Semi_P99'!CF$45</f>
        <v>0</v>
      </c>
      <c r="CG177" s="186">
        <f ca="1" xml:space="preserve"> 'FS Semi_P99'!CG$45</f>
        <v>0</v>
      </c>
      <c r="CH177" s="186">
        <f ca="1" xml:space="preserve"> 'FS Semi_P99'!CH$45</f>
        <v>0</v>
      </c>
      <c r="CI177" s="186">
        <f ca="1" xml:space="preserve"> 'FS Semi_P99'!CI$45</f>
        <v>0</v>
      </c>
      <c r="CJ177" s="186">
        <f ca="1" xml:space="preserve"> 'FS Semi_P99'!CJ$45</f>
        <v>0</v>
      </c>
      <c r="CK177" s="186">
        <f ca="1" xml:space="preserve"> 'FS Semi_P99'!CK$45</f>
        <v>0</v>
      </c>
      <c r="CL177" s="186">
        <f ca="1" xml:space="preserve"> 'FS Semi_P99'!CL$45</f>
        <v>0</v>
      </c>
      <c r="CM177" s="186">
        <f ca="1" xml:space="preserve"> 'FS Semi_P99'!CM$45</f>
        <v>0</v>
      </c>
      <c r="CN177" s="186">
        <f ca="1" xml:space="preserve"> 'FS Semi_P99'!CN$45</f>
        <v>0</v>
      </c>
      <c r="CO177" s="186">
        <f ca="1" xml:space="preserve"> 'FS Semi_P99'!CO$45</f>
        <v>0</v>
      </c>
      <c r="CP177" s="186">
        <f ca="1" xml:space="preserve"> 'FS Semi_P99'!CP$45</f>
        <v>0</v>
      </c>
      <c r="CQ177" s="186">
        <f ca="1" xml:space="preserve"> 'FS Semi_P99'!CQ$45</f>
        <v>0</v>
      </c>
      <c r="CR177" s="186">
        <f ca="1" xml:space="preserve"> 'FS Semi_P99'!CR$45</f>
        <v>0</v>
      </c>
      <c r="CS177" s="186">
        <f ca="1" xml:space="preserve"> 'FS Semi_P99'!CS$45</f>
        <v>0</v>
      </c>
      <c r="CT177" s="186">
        <f ca="1" xml:space="preserve"> 'FS Semi_P99'!CT$45</f>
        <v>0</v>
      </c>
      <c r="CU177" s="186">
        <f ca="1" xml:space="preserve"> 'FS Semi_P99'!CU$45</f>
        <v>0</v>
      </c>
      <c r="CV177" s="186">
        <f ca="1" xml:space="preserve"> 'FS Semi_P99'!CV$45</f>
        <v>0</v>
      </c>
    </row>
    <row r="178" spans="1:100" outlineLevel="1" x14ac:dyDescent="0.2">
      <c r="E178" s="12" t="str">
        <f t="shared" ref="E178:BP178" si="98" xml:space="preserve"> E$17</f>
        <v>Terminal value</v>
      </c>
      <c r="F178" s="12">
        <f t="shared" si="98"/>
        <v>0</v>
      </c>
      <c r="G178" s="12" t="str">
        <f t="shared" si="98"/>
        <v>$ 000s</v>
      </c>
      <c r="H178" s="12">
        <f t="shared" si="98"/>
        <v>0</v>
      </c>
      <c r="I178" s="12">
        <f t="shared" si="98"/>
        <v>0</v>
      </c>
      <c r="J178" s="12">
        <f t="shared" si="98"/>
        <v>0</v>
      </c>
      <c r="K178" s="12">
        <f t="shared" si="98"/>
        <v>0</v>
      </c>
      <c r="L178" s="12">
        <f t="shared" si="98"/>
        <v>0</v>
      </c>
      <c r="M178" s="12">
        <f t="shared" si="98"/>
        <v>0</v>
      </c>
      <c r="N178" s="12">
        <f t="shared" si="98"/>
        <v>0</v>
      </c>
      <c r="O178" s="12">
        <f t="shared" si="98"/>
        <v>0</v>
      </c>
      <c r="P178" s="12">
        <f t="shared" si="98"/>
        <v>0</v>
      </c>
      <c r="Q178" s="12">
        <f t="shared" si="98"/>
        <v>0</v>
      </c>
      <c r="R178" s="12">
        <f t="shared" si="98"/>
        <v>0</v>
      </c>
      <c r="S178" s="12">
        <f t="shared" si="98"/>
        <v>0</v>
      </c>
      <c r="T178" s="12">
        <f t="shared" si="98"/>
        <v>0</v>
      </c>
      <c r="U178" s="12">
        <f t="shared" si="98"/>
        <v>0</v>
      </c>
      <c r="V178" s="12">
        <f t="shared" si="98"/>
        <v>0</v>
      </c>
      <c r="W178" s="12">
        <f t="shared" si="98"/>
        <v>0</v>
      </c>
      <c r="X178" s="12">
        <f t="shared" si="98"/>
        <v>0</v>
      </c>
      <c r="Y178" s="12">
        <f t="shared" si="98"/>
        <v>0</v>
      </c>
      <c r="Z178" s="12">
        <f t="shared" si="98"/>
        <v>0</v>
      </c>
      <c r="AA178" s="12">
        <f t="shared" si="98"/>
        <v>0</v>
      </c>
      <c r="AB178" s="12">
        <f t="shared" si="98"/>
        <v>0</v>
      </c>
      <c r="AC178" s="12">
        <f t="shared" si="98"/>
        <v>0</v>
      </c>
      <c r="AD178" s="12">
        <f t="shared" si="98"/>
        <v>0</v>
      </c>
      <c r="AE178" s="12">
        <f t="shared" si="98"/>
        <v>0</v>
      </c>
      <c r="AF178" s="12">
        <f t="shared" si="98"/>
        <v>0</v>
      </c>
      <c r="AG178" s="12">
        <f t="shared" si="98"/>
        <v>0</v>
      </c>
      <c r="AH178" s="12">
        <f t="shared" si="98"/>
        <v>0</v>
      </c>
      <c r="AI178" s="12">
        <f t="shared" si="98"/>
        <v>0</v>
      </c>
      <c r="AJ178" s="12">
        <f t="shared" si="98"/>
        <v>0</v>
      </c>
      <c r="AK178" s="12">
        <f t="shared" si="98"/>
        <v>0</v>
      </c>
      <c r="AL178" s="12">
        <f t="shared" si="98"/>
        <v>0</v>
      </c>
      <c r="AM178" s="12">
        <f t="shared" si="98"/>
        <v>0</v>
      </c>
      <c r="AN178" s="12">
        <f t="shared" si="98"/>
        <v>0</v>
      </c>
      <c r="AO178" s="12">
        <f t="shared" si="98"/>
        <v>0</v>
      </c>
      <c r="AP178" s="12">
        <f t="shared" si="98"/>
        <v>0</v>
      </c>
      <c r="AQ178" s="12">
        <f t="shared" si="98"/>
        <v>0</v>
      </c>
      <c r="AR178" s="12">
        <f t="shared" si="98"/>
        <v>0</v>
      </c>
      <c r="AS178" s="12">
        <f t="shared" si="98"/>
        <v>0</v>
      </c>
      <c r="AT178" s="12">
        <f t="shared" si="98"/>
        <v>0</v>
      </c>
      <c r="AU178" s="12">
        <f t="shared" si="98"/>
        <v>0</v>
      </c>
      <c r="AV178" s="12">
        <f t="shared" si="98"/>
        <v>0</v>
      </c>
      <c r="AW178" s="12">
        <f t="shared" si="98"/>
        <v>0</v>
      </c>
      <c r="AX178" s="12">
        <f t="shared" si="98"/>
        <v>0</v>
      </c>
      <c r="AY178" s="12">
        <f t="shared" si="98"/>
        <v>0</v>
      </c>
      <c r="AZ178" s="12">
        <f t="shared" si="98"/>
        <v>0</v>
      </c>
      <c r="BA178" s="12">
        <f t="shared" si="98"/>
        <v>0</v>
      </c>
      <c r="BB178" s="12">
        <f t="shared" si="98"/>
        <v>0</v>
      </c>
      <c r="BC178" s="12">
        <f t="shared" si="98"/>
        <v>0</v>
      </c>
      <c r="BD178" s="12">
        <f t="shared" si="98"/>
        <v>0</v>
      </c>
      <c r="BE178" s="12">
        <f t="shared" si="98"/>
        <v>0</v>
      </c>
      <c r="BF178" s="12">
        <f t="shared" si="98"/>
        <v>0</v>
      </c>
      <c r="BG178" s="12">
        <f t="shared" si="98"/>
        <v>0</v>
      </c>
      <c r="BH178" s="12">
        <f t="shared" si="98"/>
        <v>0</v>
      </c>
      <c r="BI178" s="12">
        <f t="shared" si="98"/>
        <v>0</v>
      </c>
      <c r="BJ178" s="12">
        <f t="shared" si="98"/>
        <v>0</v>
      </c>
      <c r="BK178" s="12">
        <f t="shared" si="98"/>
        <v>0</v>
      </c>
      <c r="BL178" s="12">
        <f t="shared" si="98"/>
        <v>0</v>
      </c>
      <c r="BM178" s="12">
        <f t="shared" si="98"/>
        <v>0</v>
      </c>
      <c r="BN178" s="12">
        <f t="shared" si="98"/>
        <v>0</v>
      </c>
      <c r="BO178" s="12">
        <f t="shared" si="98"/>
        <v>0</v>
      </c>
      <c r="BP178" s="12">
        <f t="shared" si="98"/>
        <v>0</v>
      </c>
      <c r="BQ178" s="12">
        <f t="shared" ref="BQ178:CV178" si="99" xml:space="preserve"> BQ$17</f>
        <v>0</v>
      </c>
      <c r="BR178" s="12">
        <f t="shared" si="99"/>
        <v>0</v>
      </c>
      <c r="BS178" s="12">
        <f t="shared" si="99"/>
        <v>0</v>
      </c>
      <c r="BT178" s="12">
        <f t="shared" si="99"/>
        <v>0</v>
      </c>
      <c r="BU178" s="12">
        <f t="shared" si="99"/>
        <v>0</v>
      </c>
      <c r="BV178" s="12">
        <f t="shared" si="99"/>
        <v>0</v>
      </c>
      <c r="BW178" s="12">
        <f t="shared" si="99"/>
        <v>0</v>
      </c>
      <c r="BX178" s="12">
        <f t="shared" si="99"/>
        <v>0</v>
      </c>
      <c r="BY178" s="12">
        <f t="shared" si="99"/>
        <v>0</v>
      </c>
      <c r="BZ178" s="12">
        <f t="shared" si="99"/>
        <v>0</v>
      </c>
      <c r="CA178" s="12">
        <f t="shared" si="99"/>
        <v>0</v>
      </c>
      <c r="CB178" s="12">
        <f t="shared" si="99"/>
        <v>0</v>
      </c>
      <c r="CC178" s="12">
        <f t="shared" si="99"/>
        <v>0</v>
      </c>
      <c r="CD178" s="12">
        <f t="shared" si="99"/>
        <v>0</v>
      </c>
      <c r="CE178" s="12">
        <f t="shared" si="99"/>
        <v>0</v>
      </c>
      <c r="CF178" s="12">
        <f t="shared" si="99"/>
        <v>0</v>
      </c>
      <c r="CG178" s="12">
        <f t="shared" si="99"/>
        <v>0</v>
      </c>
      <c r="CH178" s="12">
        <f t="shared" si="99"/>
        <v>0</v>
      </c>
      <c r="CI178" s="12">
        <f t="shared" si="99"/>
        <v>0</v>
      </c>
      <c r="CJ178" s="12">
        <f t="shared" si="99"/>
        <v>0</v>
      </c>
      <c r="CK178" s="12">
        <f t="shared" si="99"/>
        <v>0</v>
      </c>
      <c r="CL178" s="12">
        <f t="shared" si="99"/>
        <v>0</v>
      </c>
      <c r="CM178" s="12">
        <f t="shared" si="99"/>
        <v>0</v>
      </c>
      <c r="CN178" s="12">
        <f t="shared" si="99"/>
        <v>0</v>
      </c>
      <c r="CO178" s="12">
        <f t="shared" si="99"/>
        <v>0</v>
      </c>
      <c r="CP178" s="12">
        <f t="shared" si="99"/>
        <v>0</v>
      </c>
      <c r="CQ178" s="12">
        <f t="shared" si="99"/>
        <v>0</v>
      </c>
      <c r="CR178" s="12">
        <f t="shared" si="99"/>
        <v>0</v>
      </c>
      <c r="CS178" s="12">
        <f t="shared" si="99"/>
        <v>0</v>
      </c>
      <c r="CT178" s="12">
        <f t="shared" si="99"/>
        <v>0</v>
      </c>
      <c r="CU178" s="12">
        <f t="shared" si="99"/>
        <v>0</v>
      </c>
      <c r="CV178" s="12">
        <f t="shared" si="99"/>
        <v>0</v>
      </c>
    </row>
    <row r="179" spans="1:100" outlineLevel="1" x14ac:dyDescent="0.2">
      <c r="E179" s="491" t="s">
        <v>1251</v>
      </c>
      <c r="F179" s="491"/>
      <c r="G179" s="491" t="str">
        <f xml:space="preserve"> SMU</f>
        <v>$ 000s</v>
      </c>
      <c r="H179" s="491">
        <f ca="1" xml:space="preserve"> SUM(J179:CV179)</f>
        <v>452153.90234455839</v>
      </c>
      <c r="I179" s="233"/>
      <c r="J179" s="491">
        <f t="shared" ref="J179" ca="1" si="100">SUM(J177:J178)</f>
        <v>0</v>
      </c>
      <c r="K179" s="491">
        <f t="shared" ref="K179" ca="1" si="101">SUM(K177:K178)</f>
        <v>0</v>
      </c>
      <c r="L179" s="491">
        <f t="shared" ref="L179" ca="1" si="102">SUM(L177:L178)</f>
        <v>0</v>
      </c>
      <c r="M179" s="491">
        <f t="shared" ref="M179" ca="1" si="103">SUM(M177:M178)</f>
        <v>0</v>
      </c>
      <c r="N179" s="491">
        <f t="shared" ref="N179" ca="1" si="104">SUM(N177:N178)</f>
        <v>11940</v>
      </c>
      <c r="O179" s="491">
        <f t="shared" ref="O179" ca="1" si="105">SUM(O177:O178)</f>
        <v>14020.372995316127</v>
      </c>
      <c r="P179" s="491">
        <f t="shared" ref="P179" ca="1" si="106">SUM(P177:P178)</f>
        <v>12030.372995316129</v>
      </c>
      <c r="Q179" s="491">
        <f t="shared" ref="Q179" ca="1" si="107">SUM(Q177:Q178)</f>
        <v>11993.784267611052</v>
      </c>
      <c r="R179" s="491">
        <f t="shared" ref="R179" ca="1" si="108">SUM(R177:R178)</f>
        <v>11917.385541845897</v>
      </c>
      <c r="S179" s="491">
        <f t="shared" ref="S179" ca="1" si="109">SUM(S177:S178)</f>
        <v>11879.155257275261</v>
      </c>
      <c r="T179" s="491">
        <f t="shared" ref="T179" ca="1" si="110">SUM(T177:T178)</f>
        <v>11802.831368568357</v>
      </c>
      <c r="U179" s="491">
        <f t="shared" ref="U179" ca="1" si="111">SUM(U177:U178)</f>
        <v>11762.928287235867</v>
      </c>
      <c r="V179" s="491">
        <f t="shared" ref="V179" ca="1" si="112">SUM(V177:V178)</f>
        <v>11686.677528771314</v>
      </c>
      <c r="W179" s="491">
        <f t="shared" ref="W179" ca="1" si="113">SUM(W177:W178)</f>
        <v>11629.105341614206</v>
      </c>
      <c r="X179" s="491">
        <f t="shared" ref="X179" ca="1" si="114">SUM(X177:X178)</f>
        <v>11568.890415912327</v>
      </c>
      <c r="Y179" s="491">
        <f t="shared" ref="Y179" ca="1" si="115">SUM(Y177:Y178)</f>
        <v>11525.545480627239</v>
      </c>
      <c r="Z179" s="491">
        <f t="shared" ref="Z179" ca="1" si="116">SUM(Z177:Z178)</f>
        <v>11449.435750349998</v>
      </c>
      <c r="AA179" s="491">
        <f t="shared" ref="AA179" ca="1" si="117">SUM(AA177:AA178)</f>
        <v>11404.320455503168</v>
      </c>
      <c r="AB179" s="491">
        <f t="shared" ref="AB179" ca="1" si="118">SUM(AB177:AB178)</f>
        <v>11328.278565808636</v>
      </c>
      <c r="AC179" s="491">
        <f t="shared" ref="AC179" ca="1" si="119">SUM(AC177:AC178)</f>
        <v>11281.359066246368</v>
      </c>
      <c r="AD179" s="491">
        <f t="shared" ref="AD179" ca="1" si="120">SUM(AD177:AD178)</f>
        <v>11205.38319557111</v>
      </c>
      <c r="AE179" s="491">
        <f t="shared" ref="AE179" ca="1" si="121">SUM(AE177:AE178)</f>
        <v>11141.317990629093</v>
      </c>
      <c r="AF179" s="491">
        <f t="shared" ref="AF179" ca="1" si="122">SUM(AF177:AF178)</f>
        <v>11080.713258394269</v>
      </c>
      <c r="AG179" s="491">
        <f t="shared" ref="AG179" ca="1" si="123">SUM(AG177:AG178)</f>
        <v>11030.081062769019</v>
      </c>
      <c r="AH179" s="491">
        <f t="shared" ref="AH179" ca="1" si="124">SUM(AH177:AH178)</f>
        <v>10954.231644141453</v>
      </c>
      <c r="AI179" s="491">
        <f t="shared" ref="AI179" ca="1" si="125">SUM(AI177:AI178)</f>
        <v>10901.689546931615</v>
      </c>
      <c r="AJ179" s="491">
        <f t="shared" ref="AJ179" ca="1" si="126">SUM(AJ177:AJ178)</f>
        <v>10825.90049912633</v>
      </c>
      <c r="AK179" s="491">
        <f t="shared" ref="AK179" ca="1" si="127">SUM(AK177:AK178)</f>
        <v>10771.411834146054</v>
      </c>
      <c r="AL179" s="491">
        <f t="shared" ref="AL179" ca="1" si="128">SUM(AL177:AL178)</f>
        <v>10695.681211162373</v>
      </c>
      <c r="AM179" s="491">
        <f t="shared" ref="AM179" ca="1" si="129">SUM(AM177:AM178)</f>
        <v>10624.597871946047</v>
      </c>
      <c r="AN179" s="491">
        <f t="shared" ref="AN179" ca="1" si="130">SUM(AN177:AN178)</f>
        <v>10563.534394311991</v>
      </c>
      <c r="AO179" s="491">
        <f t="shared" ref="AO179" ca="1" si="131">SUM(AO177:AO178)</f>
        <v>10505.039616202108</v>
      </c>
      <c r="AP179" s="491">
        <f t="shared" ref="AP179" ca="1" si="132">SUM(AP177:AP178)</f>
        <v>10429.419873329298</v>
      </c>
      <c r="AQ179" s="491">
        <f t="shared" ref="AQ179" ca="1" si="133">SUM(AQ177:AQ178)</f>
        <v>10368.864022823194</v>
      </c>
      <c r="AR179" s="491">
        <f t="shared" ref="AR179" ca="1" si="134">SUM(AR177:AR178)</f>
        <v>10293.296667790339</v>
      </c>
      <c r="AS179" s="491">
        <f t="shared" ref="AS179" ca="1" si="135">SUM(AS177:AS178)</f>
        <v>10230.640024023749</v>
      </c>
      <c r="AT179" s="491">
        <f t="shared" ref="AT179" ca="1" si="136">SUM(AT177:AT178)</f>
        <v>10155.122975904564</v>
      </c>
      <c r="AU179" s="491">
        <f t="shared" ref="AU179" ca="1" si="137">SUM(AU177:AU178)</f>
        <v>10076.452739058863</v>
      </c>
      <c r="AV179" s="491">
        <f t="shared" ref="AV179" ca="1" si="138">SUM(AV177:AV178)</f>
        <v>10014.856158001163</v>
      </c>
      <c r="AW179" s="491">
        <f t="shared" ref="AW179" ca="1" si="139">SUM(AW177:AW178)</f>
        <v>9947.8755393576703</v>
      </c>
      <c r="AX179" s="491">
        <f t="shared" ref="AX179" ca="1" si="140">SUM(AX177:AX178)</f>
        <v>9872.4527196835443</v>
      </c>
      <c r="AY179" s="491">
        <f t="shared" ref="AY179" ca="1" si="141">SUM(AY177:AY178)</f>
        <v>9803.2472659130381</v>
      </c>
      <c r="AZ179" s="491">
        <f t="shared" ref="AZ179" ca="1" si="142">SUM(AZ177:AZ178)</f>
        <v>9727.8682946455738</v>
      </c>
      <c r="BA179" s="491">
        <f t="shared" ref="BA179" ca="1" si="143">SUM(BA177:BA178)</f>
        <v>9656.3949772083179</v>
      </c>
      <c r="BB179" s="491">
        <f t="shared" ref="BB179" ca="1" si="144">SUM(BB177:BB178)</f>
        <v>12057.385643485566</v>
      </c>
      <c r="BC179" s="491">
        <f t="shared" ref="BC179" ca="1" si="145">SUM(BC177:BC178)</f>
        <v>0</v>
      </c>
      <c r="BD179" s="491">
        <f t="shared" ref="BD179" ca="1" si="146">SUM(BD177:BD178)</f>
        <v>0</v>
      </c>
      <c r="BE179" s="491">
        <f t="shared" ref="BE179" ca="1" si="147">SUM(BE177:BE178)</f>
        <v>0</v>
      </c>
      <c r="BF179" s="491">
        <f t="shared" ref="BF179" ca="1" si="148">SUM(BF177:BF178)</f>
        <v>0</v>
      </c>
      <c r="BG179" s="491">
        <f t="shared" ref="BG179" ca="1" si="149">SUM(BG177:BG178)</f>
        <v>0</v>
      </c>
      <c r="BH179" s="491">
        <f t="shared" ref="BH179" ca="1" si="150">SUM(BH177:BH178)</f>
        <v>0</v>
      </c>
      <c r="BI179" s="491">
        <f t="shared" ref="BI179" ca="1" si="151">SUM(BI177:BI178)</f>
        <v>0</v>
      </c>
      <c r="BJ179" s="491">
        <f t="shared" ref="BJ179" ca="1" si="152">SUM(BJ177:BJ178)</f>
        <v>0</v>
      </c>
      <c r="BK179" s="491">
        <f t="shared" ref="BK179" ca="1" si="153">SUM(BK177:BK178)</f>
        <v>0</v>
      </c>
      <c r="BL179" s="491">
        <f t="shared" ref="BL179" ca="1" si="154">SUM(BL177:BL178)</f>
        <v>0</v>
      </c>
      <c r="BM179" s="491">
        <f t="shared" ref="BM179" ca="1" si="155">SUM(BM177:BM178)</f>
        <v>0</v>
      </c>
      <c r="BN179" s="491">
        <f t="shared" ref="BN179" ca="1" si="156">SUM(BN177:BN178)</f>
        <v>0</v>
      </c>
      <c r="BO179" s="491">
        <f t="shared" ref="BO179" ca="1" si="157">SUM(BO177:BO178)</f>
        <v>0</v>
      </c>
      <c r="BP179" s="491">
        <f t="shared" ref="BP179" ca="1" si="158">SUM(BP177:BP178)</f>
        <v>0</v>
      </c>
      <c r="BQ179" s="491">
        <f t="shared" ref="BQ179" ca="1" si="159">SUM(BQ177:BQ178)</f>
        <v>0</v>
      </c>
      <c r="BR179" s="491">
        <f t="shared" ref="BR179" ca="1" si="160">SUM(BR177:BR178)</f>
        <v>0</v>
      </c>
      <c r="BS179" s="491">
        <f t="shared" ref="BS179" ca="1" si="161">SUM(BS177:BS178)</f>
        <v>0</v>
      </c>
      <c r="BT179" s="491">
        <f t="shared" ref="BT179" ca="1" si="162">SUM(BT177:BT178)</f>
        <v>0</v>
      </c>
      <c r="BU179" s="491">
        <f t="shared" ref="BU179" ca="1" si="163">SUM(BU177:BU178)</f>
        <v>0</v>
      </c>
      <c r="BV179" s="491">
        <f t="shared" ref="BV179" ca="1" si="164">SUM(BV177:BV178)</f>
        <v>0</v>
      </c>
      <c r="BW179" s="491">
        <f t="shared" ref="BW179" ca="1" si="165">SUM(BW177:BW178)</f>
        <v>0</v>
      </c>
      <c r="BX179" s="491">
        <f t="shared" ref="BX179" ca="1" si="166">SUM(BX177:BX178)</f>
        <v>0</v>
      </c>
      <c r="BY179" s="491">
        <f t="shared" ref="BY179" ca="1" si="167">SUM(BY177:BY178)</f>
        <v>0</v>
      </c>
      <c r="BZ179" s="491">
        <f t="shared" ref="BZ179" ca="1" si="168">SUM(BZ177:BZ178)</f>
        <v>0</v>
      </c>
      <c r="CA179" s="491">
        <f t="shared" ref="CA179" ca="1" si="169">SUM(CA177:CA178)</f>
        <v>0</v>
      </c>
      <c r="CB179" s="491">
        <f t="shared" ref="CB179" ca="1" si="170">SUM(CB177:CB178)</f>
        <v>0</v>
      </c>
      <c r="CC179" s="491">
        <f t="shared" ref="CC179" ca="1" si="171">SUM(CC177:CC178)</f>
        <v>0</v>
      </c>
      <c r="CD179" s="491">
        <f t="shared" ref="CD179" ca="1" si="172">SUM(CD177:CD178)</f>
        <v>0</v>
      </c>
      <c r="CE179" s="491">
        <f t="shared" ref="CE179" ca="1" si="173">SUM(CE177:CE178)</f>
        <v>0</v>
      </c>
      <c r="CF179" s="491">
        <f t="shared" ref="CF179" ca="1" si="174">SUM(CF177:CF178)</f>
        <v>0</v>
      </c>
      <c r="CG179" s="491">
        <f t="shared" ref="CG179" ca="1" si="175">SUM(CG177:CG178)</f>
        <v>0</v>
      </c>
      <c r="CH179" s="491">
        <f t="shared" ref="CH179" ca="1" si="176">SUM(CH177:CH178)</f>
        <v>0</v>
      </c>
      <c r="CI179" s="491">
        <f t="shared" ref="CI179" ca="1" si="177">SUM(CI177:CI178)</f>
        <v>0</v>
      </c>
      <c r="CJ179" s="491">
        <f t="shared" ref="CJ179" ca="1" si="178">SUM(CJ177:CJ178)</f>
        <v>0</v>
      </c>
      <c r="CK179" s="491">
        <f t="shared" ref="CK179" ca="1" si="179">SUM(CK177:CK178)</f>
        <v>0</v>
      </c>
      <c r="CL179" s="491">
        <f t="shared" ref="CL179" ca="1" si="180">SUM(CL177:CL178)</f>
        <v>0</v>
      </c>
      <c r="CM179" s="491">
        <f t="shared" ref="CM179" ca="1" si="181">SUM(CM177:CM178)</f>
        <v>0</v>
      </c>
      <c r="CN179" s="491">
        <f t="shared" ref="CN179" ca="1" si="182">SUM(CN177:CN178)</f>
        <v>0</v>
      </c>
      <c r="CO179" s="491">
        <f t="shared" ref="CO179" ca="1" si="183">SUM(CO177:CO178)</f>
        <v>0</v>
      </c>
      <c r="CP179" s="491">
        <f t="shared" ref="CP179" ca="1" si="184">SUM(CP177:CP178)</f>
        <v>0</v>
      </c>
      <c r="CQ179" s="491">
        <f t="shared" ref="CQ179" ca="1" si="185">SUM(CQ177:CQ178)</f>
        <v>0</v>
      </c>
      <c r="CR179" s="491">
        <f t="shared" ref="CR179" ca="1" si="186">SUM(CR177:CR178)</f>
        <v>0</v>
      </c>
      <c r="CS179" s="491">
        <f t="shared" ref="CS179" ca="1" si="187">SUM(CS177:CS178)</f>
        <v>0</v>
      </c>
      <c r="CT179" s="491">
        <f t="shared" ref="CT179" ca="1" si="188">SUM(CT177:CT178)</f>
        <v>0</v>
      </c>
      <c r="CU179" s="491">
        <f t="shared" ref="CU179" ca="1" si="189">SUM(CU177:CU178)</f>
        <v>0</v>
      </c>
      <c r="CV179" s="491">
        <f t="shared" ref="CV179" ca="1" si="190">SUM(CV177:CV178)</f>
        <v>0</v>
      </c>
    </row>
    <row r="180" spans="1:100" outlineLevel="1" x14ac:dyDescent="0.2"/>
    <row r="181" spans="1:100" s="80" customFormat="1" outlineLevel="1" x14ac:dyDescent="0.2">
      <c r="A181" s="542"/>
      <c r="B181" s="542"/>
      <c r="C181" s="543"/>
      <c r="D181" s="544"/>
      <c r="E181" s="846" t="str">
        <f t="shared" ref="E181:AJ181" si="191" xml:space="preserve"> E$25</f>
        <v>Capital costs</v>
      </c>
      <c r="F181" s="846">
        <f t="shared" si="191"/>
        <v>0</v>
      </c>
      <c r="G181" s="846" t="str">
        <f t="shared" si="191"/>
        <v>$ 000s</v>
      </c>
      <c r="H181" s="846">
        <f t="shared" si="191"/>
        <v>-309322.30772000086</v>
      </c>
      <c r="I181" s="846">
        <f t="shared" si="191"/>
        <v>0</v>
      </c>
      <c r="J181" s="846">
        <f t="shared" si="191"/>
        <v>-1.0000000000000001E-9</v>
      </c>
      <c r="K181" s="846">
        <f t="shared" si="191"/>
        <v>0</v>
      </c>
      <c r="L181" s="846">
        <f t="shared" si="191"/>
        <v>0</v>
      </c>
      <c r="M181" s="846">
        <f t="shared" si="191"/>
        <v>-8300</v>
      </c>
      <c r="N181" s="846">
        <f t="shared" si="191"/>
        <v>-11577.781066153846</v>
      </c>
      <c r="O181" s="846">
        <f t="shared" si="191"/>
        <v>-11577.781066153846</v>
      </c>
      <c r="P181" s="846">
        <f t="shared" si="191"/>
        <v>-11577.781066153846</v>
      </c>
      <c r="Q181" s="846">
        <f t="shared" si="191"/>
        <v>-11577.781066153846</v>
      </c>
      <c r="R181" s="846">
        <f t="shared" si="191"/>
        <v>-11577.781066153846</v>
      </c>
      <c r="S181" s="846">
        <f t="shared" si="191"/>
        <v>-11577.781066153846</v>
      </c>
      <c r="T181" s="846">
        <f t="shared" si="191"/>
        <v>-11577.781066153846</v>
      </c>
      <c r="U181" s="846">
        <f t="shared" si="191"/>
        <v>-11577.781066153846</v>
      </c>
      <c r="V181" s="846">
        <f t="shared" si="191"/>
        <v>-11577.781066153846</v>
      </c>
      <c r="W181" s="846">
        <f t="shared" si="191"/>
        <v>-11577.781066153846</v>
      </c>
      <c r="X181" s="846">
        <f t="shared" si="191"/>
        <v>-11577.781066153846</v>
      </c>
      <c r="Y181" s="846">
        <f t="shared" si="191"/>
        <v>-11577.781066153846</v>
      </c>
      <c r="Z181" s="846">
        <f t="shared" si="191"/>
        <v>-11577.781066153846</v>
      </c>
      <c r="AA181" s="846">
        <f t="shared" si="191"/>
        <v>-11577.781066153846</v>
      </c>
      <c r="AB181" s="846">
        <f t="shared" si="191"/>
        <v>-11577.781066153846</v>
      </c>
      <c r="AC181" s="846">
        <f t="shared" si="191"/>
        <v>-11577.781066153846</v>
      </c>
      <c r="AD181" s="846">
        <f t="shared" si="191"/>
        <v>-11577.781066153846</v>
      </c>
      <c r="AE181" s="846">
        <f t="shared" si="191"/>
        <v>-11577.781066153846</v>
      </c>
      <c r="AF181" s="846">
        <f t="shared" si="191"/>
        <v>-11577.781066153846</v>
      </c>
      <c r="AG181" s="846">
        <f t="shared" si="191"/>
        <v>-11577.781066153846</v>
      </c>
      <c r="AH181" s="846">
        <f t="shared" si="191"/>
        <v>-11577.781066153846</v>
      </c>
      <c r="AI181" s="846">
        <f t="shared" si="191"/>
        <v>-11577.781066153846</v>
      </c>
      <c r="AJ181" s="846">
        <f t="shared" si="191"/>
        <v>-11577.781066153846</v>
      </c>
      <c r="AK181" s="846">
        <f t="shared" ref="AK181:BP181" si="192" xml:space="preserve"> AK$25</f>
        <v>-11577.781066153846</v>
      </c>
      <c r="AL181" s="846">
        <f t="shared" si="192"/>
        <v>-11577.781066153846</v>
      </c>
      <c r="AM181" s="846">
        <f t="shared" si="192"/>
        <v>-11577.781066153846</v>
      </c>
      <c r="AN181" s="846">
        <f t="shared" si="192"/>
        <v>0</v>
      </c>
      <c r="AO181" s="846">
        <f t="shared" si="192"/>
        <v>0</v>
      </c>
      <c r="AP181" s="846">
        <f t="shared" si="192"/>
        <v>0</v>
      </c>
      <c r="AQ181" s="846">
        <f t="shared" si="192"/>
        <v>0</v>
      </c>
      <c r="AR181" s="846">
        <f t="shared" si="192"/>
        <v>0</v>
      </c>
      <c r="AS181" s="846">
        <f t="shared" si="192"/>
        <v>0</v>
      </c>
      <c r="AT181" s="846">
        <f t="shared" si="192"/>
        <v>0</v>
      </c>
      <c r="AU181" s="846">
        <f t="shared" si="192"/>
        <v>0</v>
      </c>
      <c r="AV181" s="846">
        <f t="shared" si="192"/>
        <v>0</v>
      </c>
      <c r="AW181" s="846">
        <f t="shared" si="192"/>
        <v>0</v>
      </c>
      <c r="AX181" s="846">
        <f t="shared" si="192"/>
        <v>0</v>
      </c>
      <c r="AY181" s="846">
        <f t="shared" si="192"/>
        <v>0</v>
      </c>
      <c r="AZ181" s="846">
        <f t="shared" si="192"/>
        <v>0</v>
      </c>
      <c r="BA181" s="846">
        <f t="shared" si="192"/>
        <v>0</v>
      </c>
      <c r="BB181" s="846">
        <f t="shared" si="192"/>
        <v>0</v>
      </c>
      <c r="BC181" s="846">
        <f t="shared" si="192"/>
        <v>0</v>
      </c>
      <c r="BD181" s="846">
        <f t="shared" si="192"/>
        <v>0</v>
      </c>
      <c r="BE181" s="846">
        <f t="shared" si="192"/>
        <v>0</v>
      </c>
      <c r="BF181" s="846">
        <f t="shared" si="192"/>
        <v>0</v>
      </c>
      <c r="BG181" s="846">
        <f t="shared" si="192"/>
        <v>0</v>
      </c>
      <c r="BH181" s="846">
        <f t="shared" si="192"/>
        <v>0</v>
      </c>
      <c r="BI181" s="846">
        <f t="shared" si="192"/>
        <v>0</v>
      </c>
      <c r="BJ181" s="846">
        <f t="shared" si="192"/>
        <v>0</v>
      </c>
      <c r="BK181" s="846">
        <f t="shared" si="192"/>
        <v>0</v>
      </c>
      <c r="BL181" s="846">
        <f t="shared" si="192"/>
        <v>0</v>
      </c>
      <c r="BM181" s="846">
        <f t="shared" si="192"/>
        <v>0</v>
      </c>
      <c r="BN181" s="846">
        <f t="shared" si="192"/>
        <v>0</v>
      </c>
      <c r="BO181" s="846">
        <f t="shared" si="192"/>
        <v>0</v>
      </c>
      <c r="BP181" s="846">
        <f t="shared" si="192"/>
        <v>0</v>
      </c>
      <c r="BQ181" s="846">
        <f t="shared" ref="BQ181:CV181" si="193" xml:space="preserve"> BQ$25</f>
        <v>0</v>
      </c>
      <c r="BR181" s="846">
        <f t="shared" si="193"/>
        <v>0</v>
      </c>
      <c r="BS181" s="846">
        <f t="shared" si="193"/>
        <v>0</v>
      </c>
      <c r="BT181" s="846">
        <f t="shared" si="193"/>
        <v>0</v>
      </c>
      <c r="BU181" s="846">
        <f t="shared" si="193"/>
        <v>0</v>
      </c>
      <c r="BV181" s="846">
        <f t="shared" si="193"/>
        <v>0</v>
      </c>
      <c r="BW181" s="846">
        <f t="shared" si="193"/>
        <v>0</v>
      </c>
      <c r="BX181" s="846">
        <f t="shared" si="193"/>
        <v>0</v>
      </c>
      <c r="BY181" s="846">
        <f t="shared" si="193"/>
        <v>0</v>
      </c>
      <c r="BZ181" s="846">
        <f t="shared" si="193"/>
        <v>0</v>
      </c>
      <c r="CA181" s="846">
        <f t="shared" si="193"/>
        <v>0</v>
      </c>
      <c r="CB181" s="846">
        <f t="shared" si="193"/>
        <v>0</v>
      </c>
      <c r="CC181" s="846">
        <f t="shared" si="193"/>
        <v>0</v>
      </c>
      <c r="CD181" s="846">
        <f t="shared" si="193"/>
        <v>0</v>
      </c>
      <c r="CE181" s="846">
        <f t="shared" si="193"/>
        <v>0</v>
      </c>
      <c r="CF181" s="846">
        <f t="shared" si="193"/>
        <v>0</v>
      </c>
      <c r="CG181" s="846">
        <f t="shared" si="193"/>
        <v>0</v>
      </c>
      <c r="CH181" s="846">
        <f t="shared" si="193"/>
        <v>0</v>
      </c>
      <c r="CI181" s="846">
        <f t="shared" si="193"/>
        <v>0</v>
      </c>
      <c r="CJ181" s="846">
        <f t="shared" si="193"/>
        <v>0</v>
      </c>
      <c r="CK181" s="846">
        <f t="shared" si="193"/>
        <v>0</v>
      </c>
      <c r="CL181" s="846">
        <f t="shared" si="193"/>
        <v>0</v>
      </c>
      <c r="CM181" s="846">
        <f t="shared" si="193"/>
        <v>0</v>
      </c>
      <c r="CN181" s="846">
        <f t="shared" si="193"/>
        <v>0</v>
      </c>
      <c r="CO181" s="846">
        <f t="shared" si="193"/>
        <v>0</v>
      </c>
      <c r="CP181" s="846">
        <f t="shared" si="193"/>
        <v>0</v>
      </c>
      <c r="CQ181" s="846">
        <f t="shared" si="193"/>
        <v>0</v>
      </c>
      <c r="CR181" s="846">
        <f t="shared" si="193"/>
        <v>0</v>
      </c>
      <c r="CS181" s="846">
        <f t="shared" si="193"/>
        <v>0</v>
      </c>
      <c r="CT181" s="846">
        <f t="shared" si="193"/>
        <v>0</v>
      </c>
      <c r="CU181" s="846">
        <f t="shared" si="193"/>
        <v>0</v>
      </c>
      <c r="CV181" s="846">
        <f t="shared" si="193"/>
        <v>0</v>
      </c>
    </row>
    <row r="182" spans="1:100" outlineLevel="1" x14ac:dyDescent="0.2">
      <c r="E182" s="12" t="str">
        <f t="shared" ref="E182:AJ182" si="194" xml:space="preserve"> E$179</f>
        <v>Operating cashflow including terminal value - P99</v>
      </c>
      <c r="F182" s="12">
        <f t="shared" si="194"/>
        <v>0</v>
      </c>
      <c r="G182" s="12" t="str">
        <f t="shared" si="194"/>
        <v>$ 000s</v>
      </c>
      <c r="H182" s="12">
        <f t="shared" ca="1" si="194"/>
        <v>452153.90234455839</v>
      </c>
      <c r="I182" s="12">
        <f t="shared" si="194"/>
        <v>0</v>
      </c>
      <c r="J182" s="12">
        <f t="shared" ca="1" si="194"/>
        <v>0</v>
      </c>
      <c r="K182" s="12">
        <f t="shared" ca="1" si="194"/>
        <v>0</v>
      </c>
      <c r="L182" s="12">
        <f t="shared" ca="1" si="194"/>
        <v>0</v>
      </c>
      <c r="M182" s="12">
        <f t="shared" ca="1" si="194"/>
        <v>0</v>
      </c>
      <c r="N182" s="12">
        <f t="shared" ca="1" si="194"/>
        <v>11940</v>
      </c>
      <c r="O182" s="12">
        <f t="shared" ca="1" si="194"/>
        <v>14020.372995316127</v>
      </c>
      <c r="P182" s="12">
        <f t="shared" ca="1" si="194"/>
        <v>12030.372995316129</v>
      </c>
      <c r="Q182" s="12">
        <f t="shared" ca="1" si="194"/>
        <v>11993.784267611052</v>
      </c>
      <c r="R182" s="12">
        <f t="shared" ca="1" si="194"/>
        <v>11917.385541845897</v>
      </c>
      <c r="S182" s="12">
        <f t="shared" ca="1" si="194"/>
        <v>11879.155257275261</v>
      </c>
      <c r="T182" s="12">
        <f t="shared" ca="1" si="194"/>
        <v>11802.831368568357</v>
      </c>
      <c r="U182" s="12">
        <f t="shared" ca="1" si="194"/>
        <v>11762.928287235867</v>
      </c>
      <c r="V182" s="12">
        <f t="shared" ca="1" si="194"/>
        <v>11686.677528771314</v>
      </c>
      <c r="W182" s="12">
        <f t="shared" ca="1" si="194"/>
        <v>11629.105341614206</v>
      </c>
      <c r="X182" s="12">
        <f t="shared" ca="1" si="194"/>
        <v>11568.890415912327</v>
      </c>
      <c r="Y182" s="12">
        <f t="shared" ca="1" si="194"/>
        <v>11525.545480627239</v>
      </c>
      <c r="Z182" s="12">
        <f t="shared" ca="1" si="194"/>
        <v>11449.435750349998</v>
      </c>
      <c r="AA182" s="12">
        <f t="shared" ca="1" si="194"/>
        <v>11404.320455503168</v>
      </c>
      <c r="AB182" s="12">
        <f t="shared" ca="1" si="194"/>
        <v>11328.278565808636</v>
      </c>
      <c r="AC182" s="12">
        <f t="shared" ca="1" si="194"/>
        <v>11281.359066246368</v>
      </c>
      <c r="AD182" s="12">
        <f t="shared" ca="1" si="194"/>
        <v>11205.38319557111</v>
      </c>
      <c r="AE182" s="12">
        <f t="shared" ca="1" si="194"/>
        <v>11141.317990629093</v>
      </c>
      <c r="AF182" s="12">
        <f t="shared" ca="1" si="194"/>
        <v>11080.713258394269</v>
      </c>
      <c r="AG182" s="12">
        <f t="shared" ca="1" si="194"/>
        <v>11030.081062769019</v>
      </c>
      <c r="AH182" s="12">
        <f t="shared" ca="1" si="194"/>
        <v>10954.231644141453</v>
      </c>
      <c r="AI182" s="12">
        <f t="shared" ca="1" si="194"/>
        <v>10901.689546931615</v>
      </c>
      <c r="AJ182" s="12">
        <f t="shared" ca="1" si="194"/>
        <v>10825.90049912633</v>
      </c>
      <c r="AK182" s="12">
        <f t="shared" ref="AK182:BP182" ca="1" si="195" xml:space="preserve"> AK$179</f>
        <v>10771.411834146054</v>
      </c>
      <c r="AL182" s="12">
        <f t="shared" ca="1" si="195"/>
        <v>10695.681211162373</v>
      </c>
      <c r="AM182" s="12">
        <f t="shared" ca="1" si="195"/>
        <v>10624.597871946047</v>
      </c>
      <c r="AN182" s="12">
        <f t="shared" ca="1" si="195"/>
        <v>10563.534394311991</v>
      </c>
      <c r="AO182" s="12">
        <f t="shared" ca="1" si="195"/>
        <v>10505.039616202108</v>
      </c>
      <c r="AP182" s="12">
        <f t="shared" ca="1" si="195"/>
        <v>10429.419873329298</v>
      </c>
      <c r="AQ182" s="12">
        <f t="shared" ca="1" si="195"/>
        <v>10368.864022823194</v>
      </c>
      <c r="AR182" s="12">
        <f t="shared" ca="1" si="195"/>
        <v>10293.296667790339</v>
      </c>
      <c r="AS182" s="12">
        <f t="shared" ca="1" si="195"/>
        <v>10230.640024023749</v>
      </c>
      <c r="AT182" s="12">
        <f t="shared" ca="1" si="195"/>
        <v>10155.122975904564</v>
      </c>
      <c r="AU182" s="12">
        <f t="shared" ca="1" si="195"/>
        <v>10076.452739058863</v>
      </c>
      <c r="AV182" s="12">
        <f t="shared" ca="1" si="195"/>
        <v>10014.856158001163</v>
      </c>
      <c r="AW182" s="12">
        <f t="shared" ca="1" si="195"/>
        <v>9947.8755393576703</v>
      </c>
      <c r="AX182" s="12">
        <f t="shared" ca="1" si="195"/>
        <v>9872.4527196835443</v>
      </c>
      <c r="AY182" s="12">
        <f t="shared" ca="1" si="195"/>
        <v>9803.2472659130381</v>
      </c>
      <c r="AZ182" s="12">
        <f t="shared" ca="1" si="195"/>
        <v>9727.8682946455738</v>
      </c>
      <c r="BA182" s="12">
        <f t="shared" ca="1" si="195"/>
        <v>9656.3949772083179</v>
      </c>
      <c r="BB182" s="12">
        <f t="shared" ca="1" si="195"/>
        <v>12057.385643485566</v>
      </c>
      <c r="BC182" s="12">
        <f t="shared" ca="1" si="195"/>
        <v>0</v>
      </c>
      <c r="BD182" s="12">
        <f t="shared" ca="1" si="195"/>
        <v>0</v>
      </c>
      <c r="BE182" s="12">
        <f t="shared" ca="1" si="195"/>
        <v>0</v>
      </c>
      <c r="BF182" s="12">
        <f t="shared" ca="1" si="195"/>
        <v>0</v>
      </c>
      <c r="BG182" s="12">
        <f t="shared" ca="1" si="195"/>
        <v>0</v>
      </c>
      <c r="BH182" s="12">
        <f t="shared" ca="1" si="195"/>
        <v>0</v>
      </c>
      <c r="BI182" s="12">
        <f t="shared" ca="1" si="195"/>
        <v>0</v>
      </c>
      <c r="BJ182" s="12">
        <f t="shared" ca="1" si="195"/>
        <v>0</v>
      </c>
      <c r="BK182" s="12">
        <f t="shared" ca="1" si="195"/>
        <v>0</v>
      </c>
      <c r="BL182" s="12">
        <f t="shared" ca="1" si="195"/>
        <v>0</v>
      </c>
      <c r="BM182" s="12">
        <f t="shared" ca="1" si="195"/>
        <v>0</v>
      </c>
      <c r="BN182" s="12">
        <f t="shared" ca="1" si="195"/>
        <v>0</v>
      </c>
      <c r="BO182" s="12">
        <f t="shared" ca="1" si="195"/>
        <v>0</v>
      </c>
      <c r="BP182" s="12">
        <f t="shared" ca="1" si="195"/>
        <v>0</v>
      </c>
      <c r="BQ182" s="12">
        <f t="shared" ref="BQ182:CV182" ca="1" si="196" xml:space="preserve"> BQ$179</f>
        <v>0</v>
      </c>
      <c r="BR182" s="12">
        <f t="shared" ca="1" si="196"/>
        <v>0</v>
      </c>
      <c r="BS182" s="12">
        <f t="shared" ca="1" si="196"/>
        <v>0</v>
      </c>
      <c r="BT182" s="12">
        <f t="shared" ca="1" si="196"/>
        <v>0</v>
      </c>
      <c r="BU182" s="12">
        <f t="shared" ca="1" si="196"/>
        <v>0</v>
      </c>
      <c r="BV182" s="12">
        <f t="shared" ca="1" si="196"/>
        <v>0</v>
      </c>
      <c r="BW182" s="12">
        <f t="shared" ca="1" si="196"/>
        <v>0</v>
      </c>
      <c r="BX182" s="12">
        <f t="shared" ca="1" si="196"/>
        <v>0</v>
      </c>
      <c r="BY182" s="12">
        <f t="shared" ca="1" si="196"/>
        <v>0</v>
      </c>
      <c r="BZ182" s="12">
        <f t="shared" ca="1" si="196"/>
        <v>0</v>
      </c>
      <c r="CA182" s="12">
        <f t="shared" ca="1" si="196"/>
        <v>0</v>
      </c>
      <c r="CB182" s="12">
        <f t="shared" ca="1" si="196"/>
        <v>0</v>
      </c>
      <c r="CC182" s="12">
        <f t="shared" ca="1" si="196"/>
        <v>0</v>
      </c>
      <c r="CD182" s="12">
        <f t="shared" ca="1" si="196"/>
        <v>0</v>
      </c>
      <c r="CE182" s="12">
        <f t="shared" ca="1" si="196"/>
        <v>0</v>
      </c>
      <c r="CF182" s="12">
        <f t="shared" ca="1" si="196"/>
        <v>0</v>
      </c>
      <c r="CG182" s="12">
        <f t="shared" ca="1" si="196"/>
        <v>0</v>
      </c>
      <c r="CH182" s="12">
        <f t="shared" ca="1" si="196"/>
        <v>0</v>
      </c>
      <c r="CI182" s="12">
        <f t="shared" ca="1" si="196"/>
        <v>0</v>
      </c>
      <c r="CJ182" s="12">
        <f t="shared" ca="1" si="196"/>
        <v>0</v>
      </c>
      <c r="CK182" s="12">
        <f t="shared" ca="1" si="196"/>
        <v>0</v>
      </c>
      <c r="CL182" s="12">
        <f t="shared" ca="1" si="196"/>
        <v>0</v>
      </c>
      <c r="CM182" s="12">
        <f t="shared" ca="1" si="196"/>
        <v>0</v>
      </c>
      <c r="CN182" s="12">
        <f t="shared" ca="1" si="196"/>
        <v>0</v>
      </c>
      <c r="CO182" s="12">
        <f t="shared" ca="1" si="196"/>
        <v>0</v>
      </c>
      <c r="CP182" s="12">
        <f t="shared" ca="1" si="196"/>
        <v>0</v>
      </c>
      <c r="CQ182" s="12">
        <f t="shared" ca="1" si="196"/>
        <v>0</v>
      </c>
      <c r="CR182" s="12">
        <f t="shared" ca="1" si="196"/>
        <v>0</v>
      </c>
      <c r="CS182" s="12">
        <f t="shared" ca="1" si="196"/>
        <v>0</v>
      </c>
      <c r="CT182" s="12">
        <f t="shared" ca="1" si="196"/>
        <v>0</v>
      </c>
      <c r="CU182" s="12">
        <f t="shared" ca="1" si="196"/>
        <v>0</v>
      </c>
      <c r="CV182" s="12">
        <f t="shared" ca="1" si="196"/>
        <v>0</v>
      </c>
    </row>
    <row r="183" spans="1:100" s="11" customFormat="1" outlineLevel="1" x14ac:dyDescent="0.2">
      <c r="A183" s="49"/>
      <c r="B183" s="49"/>
      <c r="C183" s="50"/>
      <c r="D183" s="70"/>
      <c r="E183" s="847" t="str">
        <f xml:space="preserve"> ConTime!E$23</f>
        <v>Model period ending - m</v>
      </c>
      <c r="F183" s="847">
        <f xml:space="preserve"> ConTime!F$23</f>
        <v>0</v>
      </c>
      <c r="G183" s="847" t="str">
        <f xml:space="preserve"> ConTime!G$23</f>
        <v>date</v>
      </c>
      <c r="H183" s="847">
        <f xml:space="preserve"> ConTime!H$23</f>
        <v>0</v>
      </c>
      <c r="I183" s="847">
        <f xml:space="preserve"> ConTime!I$23</f>
        <v>0</v>
      </c>
      <c r="J183" s="847">
        <f xml:space="preserve"> ConTime!J$23</f>
        <v>44592</v>
      </c>
      <c r="K183" s="847">
        <f xml:space="preserve"> ConTime!K$23</f>
        <v>44620</v>
      </c>
      <c r="L183" s="847">
        <f xml:space="preserve"> ConTime!L$23</f>
        <v>44651</v>
      </c>
      <c r="M183" s="847">
        <f xml:space="preserve"> ConTime!M$23</f>
        <v>44681</v>
      </c>
      <c r="N183" s="847">
        <f xml:space="preserve"> ConTime!N$23</f>
        <v>44712</v>
      </c>
      <c r="O183" s="847">
        <f xml:space="preserve"> ConTime!O$23</f>
        <v>44742</v>
      </c>
      <c r="P183" s="847">
        <f xml:space="preserve"> ConTime!P$23</f>
        <v>44773</v>
      </c>
      <c r="Q183" s="847">
        <f xml:space="preserve"> ConTime!Q$23</f>
        <v>44804</v>
      </c>
      <c r="R183" s="847">
        <f xml:space="preserve"> ConTime!R$23</f>
        <v>44834</v>
      </c>
      <c r="S183" s="847">
        <f xml:space="preserve"> ConTime!S$23</f>
        <v>44865</v>
      </c>
      <c r="T183" s="847">
        <f xml:space="preserve"> ConTime!T$23</f>
        <v>44895</v>
      </c>
      <c r="U183" s="847">
        <f xml:space="preserve"> ConTime!U$23</f>
        <v>44926</v>
      </c>
      <c r="V183" s="847">
        <f xml:space="preserve"> ConTime!V$23</f>
        <v>44957</v>
      </c>
      <c r="W183" s="847">
        <f xml:space="preserve"> ConTime!W$23</f>
        <v>44985</v>
      </c>
      <c r="X183" s="847">
        <f xml:space="preserve"> ConTime!X$23</f>
        <v>45016</v>
      </c>
      <c r="Y183" s="847">
        <f xml:space="preserve"> ConTime!Y$23</f>
        <v>45046</v>
      </c>
      <c r="Z183" s="847">
        <f xml:space="preserve"> ConTime!Z$23</f>
        <v>45077</v>
      </c>
      <c r="AA183" s="847">
        <f xml:space="preserve"> ConTime!AA$23</f>
        <v>45107</v>
      </c>
      <c r="AB183" s="847">
        <f xml:space="preserve"> ConTime!AB$23</f>
        <v>45138</v>
      </c>
      <c r="AC183" s="847">
        <f xml:space="preserve"> ConTime!AC$23</f>
        <v>45169</v>
      </c>
      <c r="AD183" s="847">
        <f xml:space="preserve"> ConTime!AD$23</f>
        <v>45199</v>
      </c>
      <c r="AE183" s="847">
        <f xml:space="preserve"> ConTime!AE$23</f>
        <v>45230</v>
      </c>
      <c r="AF183" s="847">
        <f xml:space="preserve"> ConTime!AF$23</f>
        <v>45260</v>
      </c>
      <c r="AG183" s="847">
        <f xml:space="preserve"> ConTime!AG$23</f>
        <v>45291</v>
      </c>
      <c r="AH183" s="847">
        <f xml:space="preserve"> ConTime!AH$23</f>
        <v>45322</v>
      </c>
      <c r="AI183" s="847">
        <f xml:space="preserve"> ConTime!AI$23</f>
        <v>45351</v>
      </c>
      <c r="AJ183" s="847">
        <f xml:space="preserve"> ConTime!AJ$23</f>
        <v>45382</v>
      </c>
      <c r="AK183" s="847">
        <f xml:space="preserve"> ConTime!AK$23</f>
        <v>45412</v>
      </c>
      <c r="AL183" s="847">
        <f xml:space="preserve"> ConTime!AL$23</f>
        <v>45443</v>
      </c>
      <c r="AM183" s="847">
        <f xml:space="preserve"> ConTime!AM$23</f>
        <v>45473</v>
      </c>
      <c r="AN183" s="847">
        <f xml:space="preserve"> ConTime!AN$23</f>
        <v>45504</v>
      </c>
      <c r="AO183" s="847">
        <f xml:space="preserve"> ConTime!AO$23</f>
        <v>45535</v>
      </c>
      <c r="AP183" s="847">
        <f xml:space="preserve"> ConTime!AP$23</f>
        <v>45565</v>
      </c>
      <c r="AQ183" s="847">
        <f xml:space="preserve"> ConTime!AQ$23</f>
        <v>45596</v>
      </c>
      <c r="AR183" s="847">
        <f xml:space="preserve"> ConTime!AR$23</f>
        <v>45626</v>
      </c>
      <c r="AS183" s="847">
        <f xml:space="preserve"> ConTime!AS$23</f>
        <v>45657</v>
      </c>
      <c r="AT183" s="847">
        <f xml:space="preserve"> ConTime!AT$23</f>
        <v>45688</v>
      </c>
      <c r="AU183" s="847">
        <f xml:space="preserve"> ConTime!AU$23</f>
        <v>45716</v>
      </c>
      <c r="AV183" s="847">
        <f xml:space="preserve"> ConTime!AV$23</f>
        <v>45747</v>
      </c>
      <c r="AW183" s="847">
        <f xml:space="preserve"> ConTime!AW$23</f>
        <v>45777</v>
      </c>
      <c r="AX183" s="847">
        <f xml:space="preserve"> ConTime!AX$23</f>
        <v>45808</v>
      </c>
      <c r="AY183" s="847">
        <f xml:space="preserve"> ConTime!AY$23</f>
        <v>45838</v>
      </c>
      <c r="AZ183" s="847">
        <f xml:space="preserve"> ConTime!AZ$23</f>
        <v>45869</v>
      </c>
      <c r="BA183" s="847">
        <f xml:space="preserve"> ConTime!BA$23</f>
        <v>45900</v>
      </c>
      <c r="BB183" s="847">
        <f xml:space="preserve"> ConTime!BB$23</f>
        <v>45930</v>
      </c>
      <c r="BC183" s="847">
        <f xml:space="preserve"> ConTime!BC$23</f>
        <v>45961</v>
      </c>
      <c r="BD183" s="847">
        <f xml:space="preserve"> ConTime!BD$23</f>
        <v>45991</v>
      </c>
      <c r="BE183" s="847">
        <f xml:space="preserve"> ConTime!BE$23</f>
        <v>46022</v>
      </c>
      <c r="BF183" s="847">
        <f xml:space="preserve"> ConTime!BF$23</f>
        <v>0</v>
      </c>
      <c r="BG183" s="847">
        <f xml:space="preserve"> ConTime!BG$23</f>
        <v>0</v>
      </c>
      <c r="BH183" s="847">
        <f xml:space="preserve"> ConTime!BH$23</f>
        <v>0</v>
      </c>
      <c r="BI183" s="847">
        <f xml:space="preserve"> ConTime!BI$23</f>
        <v>0</v>
      </c>
      <c r="BJ183" s="847">
        <f xml:space="preserve"> ConTime!BJ$23</f>
        <v>0</v>
      </c>
      <c r="BK183" s="847">
        <f xml:space="preserve"> ConTime!BK$23</f>
        <v>0</v>
      </c>
      <c r="BL183" s="847">
        <f xml:space="preserve"> ConTime!BL$23</f>
        <v>0</v>
      </c>
      <c r="BM183" s="847">
        <f xml:space="preserve"> ConTime!BM$23</f>
        <v>0</v>
      </c>
      <c r="BN183" s="847">
        <f xml:space="preserve"> ConTime!BN$23</f>
        <v>0</v>
      </c>
      <c r="BO183" s="847">
        <f xml:space="preserve"> ConTime!BO$23</f>
        <v>0</v>
      </c>
      <c r="BP183" s="847">
        <f xml:space="preserve"> ConTime!BP$23</f>
        <v>0</v>
      </c>
      <c r="BQ183" s="847">
        <f xml:space="preserve"> ConTime!BQ$23</f>
        <v>0</v>
      </c>
      <c r="BR183" s="847">
        <f xml:space="preserve"> ConTime!BR$23</f>
        <v>0</v>
      </c>
      <c r="BS183" s="847">
        <f xml:space="preserve"> ConTime!BS$23</f>
        <v>0</v>
      </c>
      <c r="BT183" s="847">
        <f xml:space="preserve"> ConTime!BT$23</f>
        <v>0</v>
      </c>
      <c r="BU183" s="847">
        <f xml:space="preserve"> ConTime!BU$23</f>
        <v>0</v>
      </c>
      <c r="BV183" s="847">
        <f xml:space="preserve"> ConTime!BV$23</f>
        <v>0</v>
      </c>
      <c r="BW183" s="847">
        <f xml:space="preserve"> ConTime!BW$23</f>
        <v>0</v>
      </c>
      <c r="BX183" s="847">
        <f xml:space="preserve"> ConTime!BX$23</f>
        <v>0</v>
      </c>
      <c r="BY183" s="847">
        <f xml:space="preserve"> ConTime!BY$23</f>
        <v>0</v>
      </c>
      <c r="BZ183" s="847">
        <f xml:space="preserve"> ConTime!BZ$23</f>
        <v>0</v>
      </c>
      <c r="CA183" s="847">
        <f xml:space="preserve"> ConTime!CA$23</f>
        <v>0</v>
      </c>
      <c r="CB183" s="847">
        <f xml:space="preserve"> ConTime!CB$23</f>
        <v>0</v>
      </c>
      <c r="CC183" s="847">
        <f xml:space="preserve"> ConTime!CC$23</f>
        <v>0</v>
      </c>
      <c r="CD183" s="847">
        <f xml:space="preserve"> ConTime!CD$23</f>
        <v>0</v>
      </c>
      <c r="CE183" s="847">
        <f xml:space="preserve"> ConTime!CE$23</f>
        <v>0</v>
      </c>
      <c r="CF183" s="847">
        <f xml:space="preserve"> ConTime!CF$23</f>
        <v>0</v>
      </c>
      <c r="CG183" s="847">
        <f xml:space="preserve"> ConTime!CG$23</f>
        <v>0</v>
      </c>
      <c r="CH183" s="847">
        <f xml:space="preserve"> ConTime!CH$23</f>
        <v>0</v>
      </c>
      <c r="CI183" s="847">
        <f xml:space="preserve"> ConTime!CI$23</f>
        <v>0</v>
      </c>
      <c r="CJ183" s="847">
        <f xml:space="preserve"> ConTime!CJ$23</f>
        <v>0</v>
      </c>
      <c r="CK183" s="847">
        <f xml:space="preserve"> ConTime!CK$23</f>
        <v>0</v>
      </c>
      <c r="CL183" s="847">
        <f xml:space="preserve"> ConTime!CL$23</f>
        <v>0</v>
      </c>
      <c r="CM183" s="847">
        <f xml:space="preserve"> ConTime!CM$23</f>
        <v>0</v>
      </c>
      <c r="CN183" s="847">
        <f xml:space="preserve"> ConTime!CN$23</f>
        <v>0</v>
      </c>
      <c r="CO183" s="847">
        <f xml:space="preserve"> ConTime!CO$23</f>
        <v>0</v>
      </c>
      <c r="CP183" s="847">
        <f xml:space="preserve"> ConTime!CP$23</f>
        <v>0</v>
      </c>
      <c r="CQ183" s="847">
        <f xml:space="preserve"> ConTime!CQ$23</f>
        <v>0</v>
      </c>
      <c r="CR183" s="847">
        <f xml:space="preserve"> ConTime!CR$23</f>
        <v>0</v>
      </c>
      <c r="CS183" s="847">
        <f xml:space="preserve"> ConTime!CS$23</f>
        <v>0</v>
      </c>
      <c r="CT183" s="847">
        <f xml:space="preserve"> ConTime!CT$23</f>
        <v>0</v>
      </c>
      <c r="CU183" s="847">
        <f xml:space="preserve"> ConTime!CU$23</f>
        <v>0</v>
      </c>
      <c r="CV183" s="847">
        <f xml:space="preserve"> ConTime!CV$23</f>
        <v>0</v>
      </c>
    </row>
    <row r="184" spans="1:100" s="848" customFormat="1" outlineLevel="1" x14ac:dyDescent="0.2">
      <c r="A184" s="849"/>
      <c r="B184" s="849"/>
      <c r="C184" s="850"/>
      <c r="D184" s="851"/>
      <c r="E184" s="848" t="str">
        <f xml:space="preserve"> Time!E$25</f>
        <v>Model period ending</v>
      </c>
      <c r="F184" s="848">
        <f xml:space="preserve"> Time!F$25</f>
        <v>0</v>
      </c>
      <c r="G184" s="848" t="str">
        <f xml:space="preserve"> Time!G$25</f>
        <v>date</v>
      </c>
      <c r="H184" s="848">
        <f xml:space="preserve"> Time!H$25</f>
        <v>0</v>
      </c>
      <c r="I184" s="848">
        <f xml:space="preserve"> Time!I$25</f>
        <v>0</v>
      </c>
      <c r="J184" s="848">
        <f xml:space="preserve"> Time!J$25</f>
        <v>44742</v>
      </c>
      <c r="K184" s="848">
        <f xml:space="preserve"> Time!K$25</f>
        <v>44926</v>
      </c>
      <c r="L184" s="848">
        <f xml:space="preserve"> Time!L$25</f>
        <v>45107</v>
      </c>
      <c r="M184" s="848">
        <f xml:space="preserve"> Time!M$25</f>
        <v>45291</v>
      </c>
      <c r="N184" s="848">
        <f xml:space="preserve"> Time!N$25</f>
        <v>45473</v>
      </c>
      <c r="O184" s="848">
        <f xml:space="preserve"> Time!O$25</f>
        <v>45657</v>
      </c>
      <c r="P184" s="848">
        <f xml:space="preserve"> Time!P$25</f>
        <v>45838</v>
      </c>
      <c r="Q184" s="848">
        <f xml:space="preserve"> Time!Q$25</f>
        <v>46022</v>
      </c>
      <c r="R184" s="848">
        <f xml:space="preserve"> Time!R$25</f>
        <v>46203</v>
      </c>
      <c r="S184" s="848">
        <f xml:space="preserve"> Time!S$25</f>
        <v>46387</v>
      </c>
      <c r="T184" s="848">
        <f xml:space="preserve"> Time!T$25</f>
        <v>46568</v>
      </c>
      <c r="U184" s="848">
        <f xml:space="preserve"> Time!U$25</f>
        <v>46752</v>
      </c>
      <c r="V184" s="848">
        <f xml:space="preserve"> Time!V$25</f>
        <v>46934</v>
      </c>
      <c r="W184" s="848">
        <f xml:space="preserve"> Time!W$25</f>
        <v>47118</v>
      </c>
      <c r="X184" s="848">
        <f xml:space="preserve"> Time!X$25</f>
        <v>47299</v>
      </c>
      <c r="Y184" s="848">
        <f xml:space="preserve"> Time!Y$25</f>
        <v>47483</v>
      </c>
      <c r="Z184" s="848">
        <f xml:space="preserve"> Time!Z$25</f>
        <v>47664</v>
      </c>
      <c r="AA184" s="848">
        <f xml:space="preserve"> Time!AA$25</f>
        <v>47848</v>
      </c>
      <c r="AB184" s="848">
        <f xml:space="preserve"> Time!AB$25</f>
        <v>48029</v>
      </c>
      <c r="AC184" s="848">
        <f xml:space="preserve"> Time!AC$25</f>
        <v>48213</v>
      </c>
      <c r="AD184" s="848">
        <f xml:space="preserve"> Time!AD$25</f>
        <v>48395</v>
      </c>
      <c r="AE184" s="848">
        <f xml:space="preserve"> Time!AE$25</f>
        <v>48579</v>
      </c>
      <c r="AF184" s="848">
        <f xml:space="preserve"> Time!AF$25</f>
        <v>48760</v>
      </c>
      <c r="AG184" s="848">
        <f xml:space="preserve"> Time!AG$25</f>
        <v>48944</v>
      </c>
      <c r="AH184" s="848">
        <f xml:space="preserve"> Time!AH$25</f>
        <v>49125</v>
      </c>
      <c r="AI184" s="848">
        <f xml:space="preserve"> Time!AI$25</f>
        <v>49309</v>
      </c>
      <c r="AJ184" s="848">
        <f xml:space="preserve"> Time!AJ$25</f>
        <v>49490</v>
      </c>
      <c r="AK184" s="848">
        <f xml:space="preserve"> Time!AK$25</f>
        <v>49674</v>
      </c>
      <c r="AL184" s="848">
        <f xml:space="preserve"> Time!AL$25</f>
        <v>49856</v>
      </c>
      <c r="AM184" s="848">
        <f xml:space="preserve"> Time!AM$25</f>
        <v>50040</v>
      </c>
      <c r="AN184" s="848">
        <f xml:space="preserve"> Time!AN$25</f>
        <v>50221</v>
      </c>
      <c r="AO184" s="848">
        <f xml:space="preserve"> Time!AO$25</f>
        <v>50405</v>
      </c>
      <c r="AP184" s="848">
        <f xml:space="preserve"> Time!AP$25</f>
        <v>50586</v>
      </c>
      <c r="AQ184" s="848">
        <f xml:space="preserve"> Time!AQ$25</f>
        <v>50770</v>
      </c>
      <c r="AR184" s="848">
        <f xml:space="preserve"> Time!AR$25</f>
        <v>50951</v>
      </c>
      <c r="AS184" s="848">
        <f xml:space="preserve"> Time!AS$25</f>
        <v>51135</v>
      </c>
      <c r="AT184" s="848">
        <f xml:space="preserve"> Time!AT$25</f>
        <v>51317</v>
      </c>
      <c r="AU184" s="848">
        <f xml:space="preserve"> Time!AU$25</f>
        <v>51501</v>
      </c>
      <c r="AV184" s="848">
        <f xml:space="preserve"> Time!AV$25</f>
        <v>51682</v>
      </c>
      <c r="AW184" s="848">
        <f xml:space="preserve"> Time!AW$25</f>
        <v>51866</v>
      </c>
      <c r="AX184" s="848">
        <f xml:space="preserve"> Time!AX$25</f>
        <v>52047</v>
      </c>
      <c r="AY184" s="848">
        <f xml:space="preserve"> Time!AY$25</f>
        <v>52231</v>
      </c>
      <c r="AZ184" s="848">
        <f xml:space="preserve"> Time!AZ$25</f>
        <v>52412</v>
      </c>
      <c r="BA184" s="848">
        <f xml:space="preserve"> Time!BA$25</f>
        <v>52596</v>
      </c>
      <c r="BB184" s="848">
        <f xml:space="preserve"> Time!BB$25</f>
        <v>52778</v>
      </c>
      <c r="BC184" s="848">
        <f xml:space="preserve"> Time!BC$25</f>
        <v>52962</v>
      </c>
      <c r="BD184" s="848">
        <f xml:space="preserve"> Time!BD$25</f>
        <v>53143</v>
      </c>
      <c r="BE184" s="848">
        <f xml:space="preserve"> Time!BE$25</f>
        <v>53327</v>
      </c>
      <c r="BF184" s="848">
        <f xml:space="preserve"> Time!BF$25</f>
        <v>53508</v>
      </c>
      <c r="BG184" s="848">
        <f xml:space="preserve"> Time!BG$25</f>
        <v>53692</v>
      </c>
      <c r="BH184" s="848">
        <f xml:space="preserve"> Time!BH$25</f>
        <v>53873</v>
      </c>
      <c r="BI184" s="848">
        <f xml:space="preserve"> Time!BI$25</f>
        <v>54057</v>
      </c>
      <c r="BJ184" s="848">
        <f xml:space="preserve"> Time!BJ$25</f>
        <v>54239</v>
      </c>
      <c r="BK184" s="848">
        <f xml:space="preserve"> Time!BK$25</f>
        <v>54423</v>
      </c>
      <c r="BL184" s="848">
        <f xml:space="preserve"> Time!BL$25</f>
        <v>54604</v>
      </c>
      <c r="BM184" s="848">
        <f xml:space="preserve"> Time!BM$25</f>
        <v>54788</v>
      </c>
      <c r="BN184" s="848">
        <f xml:space="preserve"> Time!BN$25</f>
        <v>54969</v>
      </c>
      <c r="BO184" s="848">
        <f xml:space="preserve"> Time!BO$25</f>
        <v>55153</v>
      </c>
      <c r="BP184" s="848">
        <f xml:space="preserve"> Time!BP$25</f>
        <v>55334</v>
      </c>
      <c r="BQ184" s="848">
        <f xml:space="preserve"> Time!BQ$25</f>
        <v>55518</v>
      </c>
      <c r="BR184" s="848">
        <f xml:space="preserve"> Time!BR$25</f>
        <v>55700</v>
      </c>
      <c r="BS184" s="848">
        <f xml:space="preserve"> Time!BS$25</f>
        <v>55884</v>
      </c>
      <c r="BT184" s="848">
        <f xml:space="preserve"> Time!BT$25</f>
        <v>56065</v>
      </c>
      <c r="BU184" s="848">
        <f xml:space="preserve"> Time!BU$25</f>
        <v>56249</v>
      </c>
      <c r="BV184" s="848">
        <f xml:space="preserve"> Time!BV$25</f>
        <v>56430</v>
      </c>
      <c r="BW184" s="848">
        <f xml:space="preserve"> Time!BW$25</f>
        <v>56614</v>
      </c>
      <c r="BX184" s="848">
        <f xml:space="preserve"> Time!BX$25</f>
        <v>56795</v>
      </c>
      <c r="BY184" s="848">
        <f xml:space="preserve"> Time!BY$25</f>
        <v>56979</v>
      </c>
      <c r="BZ184" s="848">
        <f xml:space="preserve"> Time!BZ$25</f>
        <v>57161</v>
      </c>
      <c r="CA184" s="848">
        <f xml:space="preserve"> Time!CA$25</f>
        <v>57345</v>
      </c>
      <c r="CB184" s="848">
        <f xml:space="preserve"> Time!CB$25</f>
        <v>57526</v>
      </c>
      <c r="CC184" s="848">
        <f xml:space="preserve"> Time!CC$25</f>
        <v>57710</v>
      </c>
      <c r="CD184" s="848">
        <f xml:space="preserve"> Time!CD$25</f>
        <v>57891</v>
      </c>
      <c r="CE184" s="848">
        <f xml:space="preserve"> Time!CE$25</f>
        <v>58075</v>
      </c>
      <c r="CF184" s="848">
        <f xml:space="preserve"> Time!CF$25</f>
        <v>58256</v>
      </c>
      <c r="CG184" s="848">
        <f xml:space="preserve"> Time!CG$25</f>
        <v>58440</v>
      </c>
      <c r="CH184" s="848">
        <f xml:space="preserve"> Time!CH$25</f>
        <v>58622</v>
      </c>
      <c r="CI184" s="848">
        <f xml:space="preserve"> Time!CI$25</f>
        <v>58806</v>
      </c>
      <c r="CJ184" s="848">
        <f xml:space="preserve"> Time!CJ$25</f>
        <v>58987</v>
      </c>
      <c r="CK184" s="848">
        <f xml:space="preserve"> Time!CK$25</f>
        <v>59171</v>
      </c>
      <c r="CL184" s="848">
        <f xml:space="preserve"> Time!CL$25</f>
        <v>59352</v>
      </c>
      <c r="CM184" s="848">
        <f xml:space="preserve"> Time!CM$25</f>
        <v>59536</v>
      </c>
      <c r="CN184" s="848">
        <f xml:space="preserve"> Time!CN$25</f>
        <v>59717</v>
      </c>
      <c r="CO184" s="848">
        <f xml:space="preserve"> Time!CO$25</f>
        <v>59901</v>
      </c>
      <c r="CP184" s="848">
        <f xml:space="preserve"> Time!CP$25</f>
        <v>60083</v>
      </c>
      <c r="CQ184" s="848">
        <f xml:space="preserve"> Time!CQ$25</f>
        <v>60267</v>
      </c>
      <c r="CR184" s="848">
        <f xml:space="preserve"> Time!CR$25</f>
        <v>60448</v>
      </c>
      <c r="CS184" s="848">
        <f xml:space="preserve"> Time!CS$25</f>
        <v>60632</v>
      </c>
      <c r="CT184" s="848">
        <f xml:space="preserve"> Time!CT$25</f>
        <v>60813</v>
      </c>
      <c r="CU184" s="848">
        <f xml:space="preserve"> Time!CU$25</f>
        <v>60997</v>
      </c>
      <c r="CV184" s="848">
        <f xml:space="preserve"> Time!CV$25</f>
        <v>61178</v>
      </c>
    </row>
    <row r="185" spans="1:100" outlineLevel="1" x14ac:dyDescent="0.2">
      <c r="E185" s="531" t="s">
        <v>1252</v>
      </c>
      <c r="F185" s="547">
        <f ca="1" xml:space="preserve"> XIRR(J181:CV182, J183:CV184)</f>
        <v>3.8544139266014105E-2</v>
      </c>
      <c r="G185" s="531" t="s">
        <v>103</v>
      </c>
    </row>
    <row r="186" spans="1:100" outlineLevel="1" x14ac:dyDescent="0.2"/>
    <row r="187" spans="1:100" x14ac:dyDescent="0.2"/>
    <row r="188" spans="1:100" x14ac:dyDescent="0.2">
      <c r="A188" s="15" t="s">
        <v>1253</v>
      </c>
    </row>
    <row r="189" spans="1:100" outlineLevel="1" x14ac:dyDescent="0.2"/>
    <row r="190" spans="1:100" outlineLevel="1" x14ac:dyDescent="0.2">
      <c r="B190" s="15" t="s">
        <v>1288</v>
      </c>
    </row>
    <row r="191" spans="1:100" outlineLevel="1" x14ac:dyDescent="0.2">
      <c r="E191" s="493" t="str">
        <f xml:space="preserve"> InpC!E$400</f>
        <v>Withholding tax on equity cashflows</v>
      </c>
      <c r="F191" s="493">
        <f xml:space="preserve"> InpC!F$400</f>
        <v>0.03</v>
      </c>
      <c r="G191" s="493" t="str">
        <f xml:space="preserve"> InpC!G$400</f>
        <v>%</v>
      </c>
    </row>
    <row r="192" spans="1:100" s="125" customFormat="1" outlineLevel="1" x14ac:dyDescent="0.2">
      <c r="A192" s="85"/>
      <c r="B192" s="85"/>
      <c r="C192" s="86"/>
      <c r="D192" s="87"/>
      <c r="E192" s="68" t="str">
        <f xml:space="preserve"> Equity!E$148</f>
        <v>Dividends paid - P99 POS</v>
      </c>
      <c r="F192" s="68">
        <f xml:space="preserve"> Equity!F$148</f>
        <v>0</v>
      </c>
      <c r="G192" s="68" t="str">
        <f xml:space="preserve"> Equity!G$148</f>
        <v>$ 000s</v>
      </c>
      <c r="H192" s="68">
        <f ca="1" xml:space="preserve"> Equity!H$148</f>
        <v>0</v>
      </c>
      <c r="I192" s="68">
        <f xml:space="preserve"> Equity!I$148</f>
        <v>0</v>
      </c>
      <c r="J192" s="68">
        <f ca="1" xml:space="preserve"> Equity!J$148</f>
        <v>0</v>
      </c>
      <c r="K192" s="68">
        <f ca="1" xml:space="preserve"> Equity!K$148</f>
        <v>0</v>
      </c>
      <c r="L192" s="68">
        <f ca="1" xml:space="preserve"> Equity!L$148</f>
        <v>0</v>
      </c>
      <c r="M192" s="68">
        <f ca="1" xml:space="preserve"> Equity!M$148</f>
        <v>0</v>
      </c>
      <c r="N192" s="68">
        <f ca="1" xml:space="preserve"> Equity!N$148</f>
        <v>0</v>
      </c>
      <c r="O192" s="68">
        <f ca="1" xml:space="preserve"> Equity!O$148</f>
        <v>0</v>
      </c>
      <c r="P192" s="68">
        <f ca="1" xml:space="preserve"> Equity!P$148</f>
        <v>0</v>
      </c>
      <c r="Q192" s="68">
        <f ca="1" xml:space="preserve"> Equity!Q$148</f>
        <v>0</v>
      </c>
      <c r="R192" s="68">
        <f ca="1" xml:space="preserve"> Equity!R$148</f>
        <v>0</v>
      </c>
      <c r="S192" s="68">
        <f ca="1" xml:space="preserve"> Equity!S$148</f>
        <v>0</v>
      </c>
      <c r="T192" s="68">
        <f ca="1" xml:space="preserve"> Equity!T$148</f>
        <v>0</v>
      </c>
      <c r="U192" s="68">
        <f ca="1" xml:space="preserve"> Equity!U$148</f>
        <v>0</v>
      </c>
      <c r="V192" s="68">
        <f ca="1" xml:space="preserve"> Equity!V$148</f>
        <v>0</v>
      </c>
      <c r="W192" s="68">
        <f ca="1" xml:space="preserve"> Equity!W$148</f>
        <v>0</v>
      </c>
      <c r="X192" s="68">
        <f ca="1" xml:space="preserve"> Equity!X$148</f>
        <v>0</v>
      </c>
      <c r="Y192" s="68">
        <f ca="1" xml:space="preserve"> Equity!Y$148</f>
        <v>0</v>
      </c>
      <c r="Z192" s="68">
        <f ca="1" xml:space="preserve"> Equity!Z$148</f>
        <v>0</v>
      </c>
      <c r="AA192" s="68">
        <f ca="1" xml:space="preserve"> Equity!AA$148</f>
        <v>0</v>
      </c>
      <c r="AB192" s="68">
        <f ca="1" xml:space="preserve"> Equity!AB$148</f>
        <v>0</v>
      </c>
      <c r="AC192" s="68">
        <f ca="1" xml:space="preserve"> Equity!AC$148</f>
        <v>0</v>
      </c>
      <c r="AD192" s="68">
        <f ca="1" xml:space="preserve"> Equity!AD$148</f>
        <v>0</v>
      </c>
      <c r="AE192" s="68">
        <f ca="1" xml:space="preserve"> Equity!AE$148</f>
        <v>0</v>
      </c>
      <c r="AF192" s="68">
        <f ca="1" xml:space="preserve"> Equity!AF$148</f>
        <v>0</v>
      </c>
      <c r="AG192" s="68">
        <f ca="1" xml:space="preserve"> Equity!AG$148</f>
        <v>0</v>
      </c>
      <c r="AH192" s="68">
        <f ca="1" xml:space="preserve"> Equity!AH$148</f>
        <v>0</v>
      </c>
      <c r="AI192" s="68">
        <f ca="1" xml:space="preserve"> Equity!AI$148</f>
        <v>0</v>
      </c>
      <c r="AJ192" s="68">
        <f ca="1" xml:space="preserve"> Equity!AJ$148</f>
        <v>0</v>
      </c>
      <c r="AK192" s="68">
        <f ca="1" xml:space="preserve"> Equity!AK$148</f>
        <v>0</v>
      </c>
      <c r="AL192" s="68">
        <f ca="1" xml:space="preserve"> Equity!AL$148</f>
        <v>0</v>
      </c>
      <c r="AM192" s="68">
        <f ca="1" xml:space="preserve"> Equity!AM$148</f>
        <v>0</v>
      </c>
      <c r="AN192" s="68">
        <f ca="1" xml:space="preserve"> Equity!AN$148</f>
        <v>0</v>
      </c>
      <c r="AO192" s="68">
        <f ca="1" xml:space="preserve"> Equity!AO$148</f>
        <v>0</v>
      </c>
      <c r="AP192" s="68">
        <f ca="1" xml:space="preserve"> Equity!AP$148</f>
        <v>0</v>
      </c>
      <c r="AQ192" s="68">
        <f ca="1" xml:space="preserve"> Equity!AQ$148</f>
        <v>0</v>
      </c>
      <c r="AR192" s="68">
        <f ca="1" xml:space="preserve"> Equity!AR$148</f>
        <v>0</v>
      </c>
      <c r="AS192" s="68">
        <f ca="1" xml:space="preserve"> Equity!AS$148</f>
        <v>0</v>
      </c>
      <c r="AT192" s="68">
        <f ca="1" xml:space="preserve"> Equity!AT$148</f>
        <v>0</v>
      </c>
      <c r="AU192" s="68">
        <f ca="1" xml:space="preserve"> Equity!AU$148</f>
        <v>0</v>
      </c>
      <c r="AV192" s="68">
        <f ca="1" xml:space="preserve"> Equity!AV$148</f>
        <v>0</v>
      </c>
      <c r="AW192" s="68">
        <f ca="1" xml:space="preserve"> Equity!AW$148</f>
        <v>0</v>
      </c>
      <c r="AX192" s="68">
        <f ca="1" xml:space="preserve"> Equity!AX$148</f>
        <v>0</v>
      </c>
      <c r="AY192" s="68">
        <f ca="1" xml:space="preserve"> Equity!AY$148</f>
        <v>0</v>
      </c>
      <c r="AZ192" s="68">
        <f ca="1" xml:space="preserve"> Equity!AZ$148</f>
        <v>0</v>
      </c>
      <c r="BA192" s="68">
        <f ca="1" xml:space="preserve"> Equity!BA$148</f>
        <v>0</v>
      </c>
      <c r="BB192" s="68">
        <f ca="1" xml:space="preserve"> Equity!BB$148</f>
        <v>0</v>
      </c>
      <c r="BC192" s="68">
        <f ca="1" xml:space="preserve"> Equity!BC$148</f>
        <v>0</v>
      </c>
      <c r="BD192" s="68">
        <f ca="1" xml:space="preserve"> Equity!BD$148</f>
        <v>0</v>
      </c>
      <c r="BE192" s="68">
        <f ca="1" xml:space="preserve"> Equity!BE$148</f>
        <v>0</v>
      </c>
      <c r="BF192" s="68">
        <f ca="1" xml:space="preserve"> Equity!BF$148</f>
        <v>0</v>
      </c>
      <c r="BG192" s="68">
        <f ca="1" xml:space="preserve"> Equity!BG$148</f>
        <v>0</v>
      </c>
      <c r="BH192" s="68">
        <f ca="1" xml:space="preserve"> Equity!BH$148</f>
        <v>0</v>
      </c>
      <c r="BI192" s="68">
        <f ca="1" xml:space="preserve"> Equity!BI$148</f>
        <v>0</v>
      </c>
      <c r="BJ192" s="68">
        <f ca="1" xml:space="preserve"> Equity!BJ$148</f>
        <v>0</v>
      </c>
      <c r="BK192" s="68">
        <f ca="1" xml:space="preserve"> Equity!BK$148</f>
        <v>0</v>
      </c>
      <c r="BL192" s="68">
        <f ca="1" xml:space="preserve"> Equity!BL$148</f>
        <v>0</v>
      </c>
      <c r="BM192" s="68">
        <f ca="1" xml:space="preserve"> Equity!BM$148</f>
        <v>0</v>
      </c>
      <c r="BN192" s="68">
        <f ca="1" xml:space="preserve"> Equity!BN$148</f>
        <v>0</v>
      </c>
      <c r="BO192" s="68">
        <f ca="1" xml:space="preserve"> Equity!BO$148</f>
        <v>0</v>
      </c>
      <c r="BP192" s="68">
        <f ca="1" xml:space="preserve"> Equity!BP$148</f>
        <v>0</v>
      </c>
      <c r="BQ192" s="68">
        <f ca="1" xml:space="preserve"> Equity!BQ$148</f>
        <v>0</v>
      </c>
      <c r="BR192" s="68">
        <f ca="1" xml:space="preserve"> Equity!BR$148</f>
        <v>0</v>
      </c>
      <c r="BS192" s="68">
        <f ca="1" xml:space="preserve"> Equity!BS$148</f>
        <v>0</v>
      </c>
      <c r="BT192" s="68">
        <f ca="1" xml:space="preserve"> Equity!BT$148</f>
        <v>0</v>
      </c>
      <c r="BU192" s="68">
        <f ca="1" xml:space="preserve"> Equity!BU$148</f>
        <v>0</v>
      </c>
      <c r="BV192" s="68">
        <f ca="1" xml:space="preserve"> Equity!BV$148</f>
        <v>0</v>
      </c>
      <c r="BW192" s="68">
        <f ca="1" xml:space="preserve"> Equity!BW$148</f>
        <v>0</v>
      </c>
      <c r="BX192" s="68">
        <f ca="1" xml:space="preserve"> Equity!BX$148</f>
        <v>0</v>
      </c>
      <c r="BY192" s="68">
        <f ca="1" xml:space="preserve"> Equity!BY$148</f>
        <v>0</v>
      </c>
      <c r="BZ192" s="68">
        <f ca="1" xml:space="preserve"> Equity!BZ$148</f>
        <v>0</v>
      </c>
      <c r="CA192" s="68">
        <f ca="1" xml:space="preserve"> Equity!CA$148</f>
        <v>0</v>
      </c>
      <c r="CB192" s="68">
        <f ca="1" xml:space="preserve"> Equity!CB$148</f>
        <v>0</v>
      </c>
      <c r="CC192" s="68">
        <f ca="1" xml:space="preserve"> Equity!CC$148</f>
        <v>0</v>
      </c>
      <c r="CD192" s="68">
        <f ca="1" xml:space="preserve"> Equity!CD$148</f>
        <v>0</v>
      </c>
      <c r="CE192" s="68">
        <f ca="1" xml:space="preserve"> Equity!CE$148</f>
        <v>0</v>
      </c>
      <c r="CF192" s="68">
        <f ca="1" xml:space="preserve"> Equity!CF$148</f>
        <v>0</v>
      </c>
      <c r="CG192" s="68">
        <f ca="1" xml:space="preserve"> Equity!CG$148</f>
        <v>0</v>
      </c>
      <c r="CH192" s="68">
        <f ca="1" xml:space="preserve"> Equity!CH$148</f>
        <v>0</v>
      </c>
      <c r="CI192" s="68">
        <f ca="1" xml:space="preserve"> Equity!CI$148</f>
        <v>0</v>
      </c>
      <c r="CJ192" s="68">
        <f ca="1" xml:space="preserve"> Equity!CJ$148</f>
        <v>0</v>
      </c>
      <c r="CK192" s="68">
        <f ca="1" xml:space="preserve"> Equity!CK$148</f>
        <v>0</v>
      </c>
      <c r="CL192" s="68">
        <f ca="1" xml:space="preserve"> Equity!CL$148</f>
        <v>0</v>
      </c>
      <c r="CM192" s="68">
        <f ca="1" xml:space="preserve"> Equity!CM$148</f>
        <v>0</v>
      </c>
      <c r="CN192" s="68">
        <f ca="1" xml:space="preserve"> Equity!CN$148</f>
        <v>0</v>
      </c>
      <c r="CO192" s="68">
        <f ca="1" xml:space="preserve"> Equity!CO$148</f>
        <v>0</v>
      </c>
      <c r="CP192" s="68">
        <f ca="1" xml:space="preserve"> Equity!CP$148</f>
        <v>0</v>
      </c>
      <c r="CQ192" s="68">
        <f ca="1" xml:space="preserve"> Equity!CQ$148</f>
        <v>0</v>
      </c>
      <c r="CR192" s="68">
        <f ca="1" xml:space="preserve"> Equity!CR$148</f>
        <v>0</v>
      </c>
      <c r="CS192" s="68">
        <f ca="1" xml:space="preserve"> Equity!CS$148</f>
        <v>0</v>
      </c>
      <c r="CT192" s="68">
        <f ca="1" xml:space="preserve"> Equity!CT$148</f>
        <v>0</v>
      </c>
      <c r="CU192" s="68">
        <f ca="1" xml:space="preserve"> Equity!CU$148</f>
        <v>0</v>
      </c>
      <c r="CV192" s="68">
        <f ca="1" xml:space="preserve"> Equity!CV$148</f>
        <v>0</v>
      </c>
    </row>
    <row r="193" spans="1:100" outlineLevel="1" x14ac:dyDescent="0.2">
      <c r="A193" s="85"/>
      <c r="B193" s="85"/>
      <c r="C193" s="86"/>
      <c r="D193" s="87"/>
      <c r="E193" s="68" t="str">
        <f xml:space="preserve"> Debt!E$508</f>
        <v>Shareholder loan interest paid - P99 POS</v>
      </c>
      <c r="F193" s="68">
        <f xml:space="preserve"> Debt!F$508</f>
        <v>0</v>
      </c>
      <c r="G193" s="68" t="str">
        <f xml:space="preserve"> Debt!G$508</f>
        <v>$ 000s</v>
      </c>
      <c r="H193" s="68">
        <f ca="1" xml:space="preserve"> Debt!H$508</f>
        <v>91405.13071374697</v>
      </c>
      <c r="I193" s="68">
        <f xml:space="preserve"> Debt!I$508</f>
        <v>0</v>
      </c>
      <c r="J193" s="68">
        <f ca="1" xml:space="preserve"> Debt!J$508</f>
        <v>0</v>
      </c>
      <c r="K193" s="68">
        <f ca="1" xml:space="preserve"> Debt!K$508</f>
        <v>0</v>
      </c>
      <c r="L193" s="68">
        <f ca="1" xml:space="preserve"> Debt!L$508</f>
        <v>0</v>
      </c>
      <c r="M193" s="68">
        <f ca="1" xml:space="preserve"> Debt!M$508</f>
        <v>0</v>
      </c>
      <c r="N193" s="68">
        <f ca="1" xml:space="preserve"> Debt!N$508</f>
        <v>0</v>
      </c>
      <c r="O193" s="68">
        <f ca="1" xml:space="preserve"> Debt!O$508</f>
        <v>1333.6976205565661</v>
      </c>
      <c r="P193" s="68">
        <f ca="1" xml:space="preserve"> Debt!P$508</f>
        <v>853.13042279723049</v>
      </c>
      <c r="Q193" s="68">
        <f ca="1" xml:space="preserve"> Debt!Q$508</f>
        <v>790.19410909212456</v>
      </c>
      <c r="R193" s="68">
        <f ca="1" xml:space="preserve"> Debt!R$508</f>
        <v>825.35829217683931</v>
      </c>
      <c r="S193" s="68">
        <f ca="1" xml:space="preserve"> Debt!S$508</f>
        <v>762.30788647574263</v>
      </c>
      <c r="T193" s="68">
        <f ca="1" xml:space="preserve"> Debt!T$508</f>
        <v>789.60079009818401</v>
      </c>
      <c r="U193" s="68">
        <f ca="1" xml:space="preserve"> Debt!U$508</f>
        <v>741.46757468341821</v>
      </c>
      <c r="V193" s="68">
        <f ca="1" xml:space="preserve"> Debt!V$508</f>
        <v>760.88419370646443</v>
      </c>
      <c r="W193" s="68">
        <f ca="1" xml:space="preserve"> Debt!W$508</f>
        <v>696.66326879112785</v>
      </c>
      <c r="X193" s="68">
        <f ca="1" xml:space="preserve"> Debt!X$508</f>
        <v>739.19875869376119</v>
      </c>
      <c r="Y193" s="68">
        <f ca="1" xml:space="preserve"> Debt!Y$508</f>
        <v>675.77845086423076</v>
      </c>
      <c r="Z193" s="68">
        <f ca="1" xml:space="preserve"> Debt!Z$508</f>
        <v>709.49871970328786</v>
      </c>
      <c r="AA193" s="68">
        <f ca="1" xml:space="preserve"> Debt!AA$508</f>
        <v>645.94561214004716</v>
      </c>
      <c r="AB193" s="68">
        <f ca="1" xml:space="preserve"> Debt!AB$508</f>
        <v>672.02018991900695</v>
      </c>
      <c r="AC193" s="68">
        <f ca="1" xml:space="preserve"> Debt!AC$508</f>
        <v>622.87271215417604</v>
      </c>
      <c r="AD193" s="68">
        <f ca="1" xml:space="preserve"> Debt!AD$508</f>
        <v>641.29616078062463</v>
      </c>
      <c r="AE193" s="68">
        <f ca="1" xml:space="preserve"> Debt!AE$508</f>
        <v>576.69901543492961</v>
      </c>
      <c r="AF193" s="68">
        <f ca="1" xml:space="preserve"> Debt!AF$508</f>
        <v>617.31608587360824</v>
      </c>
      <c r="AG193" s="68">
        <f ca="1" xml:space="preserve"> Debt!AG$508</f>
        <v>553.33479011720556</v>
      </c>
      <c r="AH193" s="68">
        <f ca="1" xml:space="preserve"> Debt!AH$508</f>
        <v>585.52587165296791</v>
      </c>
      <c r="AI193" s="68">
        <f ca="1" xml:space="preserve"> Debt!AI$508</f>
        <v>521.39160383262424</v>
      </c>
      <c r="AJ193" s="68">
        <f ca="1" xml:space="preserve"> Debt!AJ$508</f>
        <v>546.17434291308746</v>
      </c>
      <c r="AK193" s="68">
        <f ca="1" xml:space="preserve"> Debt!AK$508</f>
        <v>495.90556629246748</v>
      </c>
      <c r="AL193" s="68">
        <f ca="1" xml:space="preserve"> Debt!AL$508</f>
        <v>513.27405606138927</v>
      </c>
      <c r="AM193" s="68">
        <f ca="1" xml:space="preserve"> Debt!AM$508</f>
        <v>448.23093724782666</v>
      </c>
      <c r="AN193" s="68">
        <f ca="1" xml:space="preserve"> Debt!AN$508</f>
        <v>486.81359094925028</v>
      </c>
      <c r="AO193" s="68">
        <f ca="1" xml:space="preserve"> Debt!AO$508</f>
        <v>422.18829518086204</v>
      </c>
      <c r="AP193" s="68">
        <f ca="1" xml:space="preserve"> Debt!AP$508</f>
        <v>452.75755789060349</v>
      </c>
      <c r="AQ193" s="68">
        <f ca="1" xml:space="preserve"> Debt!AQ$508</f>
        <v>387.95679973809092</v>
      </c>
      <c r="AR193" s="68">
        <f ca="1" xml:space="preserve"> Debt!AR$508</f>
        <v>411.3676207642111</v>
      </c>
      <c r="AS193" s="68">
        <f ca="1" xml:space="preserve"> Debt!AS$508</f>
        <v>359.8606458766335</v>
      </c>
      <c r="AT193" s="68">
        <f ca="1" xml:space="preserve"> Debt!AT$508</f>
        <v>376.10535407469251</v>
      </c>
      <c r="AU193" s="68">
        <f ca="1" xml:space="preserve"> Debt!AU$508</f>
        <v>5170.462221888959</v>
      </c>
      <c r="AV193" s="68">
        <f ca="1" xml:space="preserve"> Debt!AV$508</f>
        <v>5154.6259489705117</v>
      </c>
      <c r="AW193" s="68">
        <f ca="1" xml:space="preserve"> Debt!AW$508</f>
        <v>9947.8757418349815</v>
      </c>
      <c r="AX193" s="68">
        <f ca="1" xml:space="preserve"> Debt!AX$508</f>
        <v>9872.4529188595952</v>
      </c>
      <c r="AY193" s="68">
        <f ca="1" xml:space="preserve"> Debt!AY$508</f>
        <v>9803.2474683903492</v>
      </c>
      <c r="AZ193" s="68">
        <f ca="1" xml:space="preserve"> Debt!AZ$508</f>
        <v>9727.8684938216247</v>
      </c>
      <c r="BA193" s="68">
        <f ca="1" xml:space="preserve"> Debt!BA$508</f>
        <v>9656.395179685629</v>
      </c>
      <c r="BB193" s="68">
        <f ca="1" xml:space="preserve"> Debt!BB$508</f>
        <v>12057.385843762037</v>
      </c>
      <c r="BC193" s="68">
        <f ca="1" xml:space="preserve"> Debt!BC$508</f>
        <v>0</v>
      </c>
      <c r="BD193" s="68">
        <f ca="1" xml:space="preserve"> Debt!BD$508</f>
        <v>0</v>
      </c>
      <c r="BE193" s="68">
        <f ca="1" xml:space="preserve"> Debt!BE$508</f>
        <v>0</v>
      </c>
      <c r="BF193" s="68">
        <f ca="1" xml:space="preserve"> Debt!BF$508</f>
        <v>0</v>
      </c>
      <c r="BG193" s="68">
        <f ca="1" xml:space="preserve"> Debt!BG$508</f>
        <v>0</v>
      </c>
      <c r="BH193" s="68">
        <f ca="1" xml:space="preserve"> Debt!BH$508</f>
        <v>0</v>
      </c>
      <c r="BI193" s="68">
        <f ca="1" xml:space="preserve"> Debt!BI$508</f>
        <v>0</v>
      </c>
      <c r="BJ193" s="68">
        <f ca="1" xml:space="preserve"> Debt!BJ$508</f>
        <v>0</v>
      </c>
      <c r="BK193" s="68">
        <f ca="1" xml:space="preserve"> Debt!BK$508</f>
        <v>0</v>
      </c>
      <c r="BL193" s="68">
        <f ca="1" xml:space="preserve"> Debt!BL$508</f>
        <v>0</v>
      </c>
      <c r="BM193" s="68">
        <f ca="1" xml:space="preserve"> Debt!BM$508</f>
        <v>0</v>
      </c>
      <c r="BN193" s="68">
        <f ca="1" xml:space="preserve"> Debt!BN$508</f>
        <v>0</v>
      </c>
      <c r="BO193" s="68">
        <f ca="1" xml:space="preserve"> Debt!BO$508</f>
        <v>0</v>
      </c>
      <c r="BP193" s="68">
        <f ca="1" xml:space="preserve"> Debt!BP$508</f>
        <v>0</v>
      </c>
      <c r="BQ193" s="68">
        <f ca="1" xml:space="preserve"> Debt!BQ$508</f>
        <v>0</v>
      </c>
      <c r="BR193" s="68">
        <f ca="1" xml:space="preserve"> Debt!BR$508</f>
        <v>0</v>
      </c>
      <c r="BS193" s="68">
        <f ca="1" xml:space="preserve"> Debt!BS$508</f>
        <v>0</v>
      </c>
      <c r="BT193" s="68">
        <f ca="1" xml:space="preserve"> Debt!BT$508</f>
        <v>0</v>
      </c>
      <c r="BU193" s="68">
        <f ca="1" xml:space="preserve"> Debt!BU$508</f>
        <v>0</v>
      </c>
      <c r="BV193" s="68">
        <f ca="1" xml:space="preserve"> Debt!BV$508</f>
        <v>0</v>
      </c>
      <c r="BW193" s="68">
        <f ca="1" xml:space="preserve"> Debt!BW$508</f>
        <v>0</v>
      </c>
      <c r="BX193" s="68">
        <f ca="1" xml:space="preserve"> Debt!BX$508</f>
        <v>0</v>
      </c>
      <c r="BY193" s="68">
        <f ca="1" xml:space="preserve"> Debt!BY$508</f>
        <v>0</v>
      </c>
      <c r="BZ193" s="68">
        <f ca="1" xml:space="preserve"> Debt!BZ$508</f>
        <v>0</v>
      </c>
      <c r="CA193" s="68">
        <f ca="1" xml:space="preserve"> Debt!CA$508</f>
        <v>0</v>
      </c>
      <c r="CB193" s="68">
        <f ca="1" xml:space="preserve"> Debt!CB$508</f>
        <v>0</v>
      </c>
      <c r="CC193" s="68">
        <f ca="1" xml:space="preserve"> Debt!CC$508</f>
        <v>0</v>
      </c>
      <c r="CD193" s="68">
        <f ca="1" xml:space="preserve"> Debt!CD$508</f>
        <v>0</v>
      </c>
      <c r="CE193" s="68">
        <f ca="1" xml:space="preserve"> Debt!CE$508</f>
        <v>0</v>
      </c>
      <c r="CF193" s="68">
        <f ca="1" xml:space="preserve"> Debt!CF$508</f>
        <v>0</v>
      </c>
      <c r="CG193" s="68">
        <f ca="1" xml:space="preserve"> Debt!CG$508</f>
        <v>0</v>
      </c>
      <c r="CH193" s="68">
        <f ca="1" xml:space="preserve"> Debt!CH$508</f>
        <v>0</v>
      </c>
      <c r="CI193" s="68">
        <f ca="1" xml:space="preserve"> Debt!CI$508</f>
        <v>0</v>
      </c>
      <c r="CJ193" s="68">
        <f ca="1" xml:space="preserve"> Debt!CJ$508</f>
        <v>0</v>
      </c>
      <c r="CK193" s="68">
        <f ca="1" xml:space="preserve"> Debt!CK$508</f>
        <v>0</v>
      </c>
      <c r="CL193" s="68">
        <f ca="1" xml:space="preserve"> Debt!CL$508</f>
        <v>0</v>
      </c>
      <c r="CM193" s="68">
        <f ca="1" xml:space="preserve"> Debt!CM$508</f>
        <v>0</v>
      </c>
      <c r="CN193" s="68">
        <f ca="1" xml:space="preserve"> Debt!CN$508</f>
        <v>0</v>
      </c>
      <c r="CO193" s="68">
        <f ca="1" xml:space="preserve"> Debt!CO$508</f>
        <v>0</v>
      </c>
      <c r="CP193" s="68">
        <f ca="1" xml:space="preserve"> Debt!CP$508</f>
        <v>0</v>
      </c>
      <c r="CQ193" s="68">
        <f ca="1" xml:space="preserve"> Debt!CQ$508</f>
        <v>0</v>
      </c>
      <c r="CR193" s="68">
        <f ca="1" xml:space="preserve"> Debt!CR$508</f>
        <v>0</v>
      </c>
      <c r="CS193" s="68">
        <f ca="1" xml:space="preserve"> Debt!CS$508</f>
        <v>0</v>
      </c>
      <c r="CT193" s="68">
        <f ca="1" xml:space="preserve"> Debt!CT$508</f>
        <v>0</v>
      </c>
      <c r="CU193" s="68">
        <f ca="1" xml:space="preserve"> Debt!CU$508</f>
        <v>0</v>
      </c>
      <c r="CV193" s="68">
        <f ca="1" xml:space="preserve"> Debt!CV$508</f>
        <v>0</v>
      </c>
    </row>
    <row r="194" spans="1:100" outlineLevel="1" x14ac:dyDescent="0.2">
      <c r="E194" s="12" t="s">
        <v>1289</v>
      </c>
      <c r="G194" s="12" t="str">
        <f>SMU</f>
        <v>$ 000s</v>
      </c>
      <c r="H194" s="12">
        <f ca="1" xml:space="preserve"> SUM(J194:CV194)</f>
        <v>2742.1539214124091</v>
      </c>
      <c r="J194" s="12">
        <f t="shared" ref="J194" ca="1" si="197" xml:space="preserve"> $F191 * SUM(J192:J193)</f>
        <v>0</v>
      </c>
      <c r="K194" s="12">
        <f t="shared" ref="K194" ca="1" si="198" xml:space="preserve"> $F191 * SUM(K192:K193)</f>
        <v>0</v>
      </c>
      <c r="L194" s="12">
        <f t="shared" ref="L194" ca="1" si="199" xml:space="preserve"> $F191 * SUM(L192:L193)</f>
        <v>0</v>
      </c>
      <c r="M194" s="12">
        <f t="shared" ref="M194" ca="1" si="200" xml:space="preserve"> $F191 * SUM(M192:M193)</f>
        <v>0</v>
      </c>
      <c r="N194" s="12">
        <f t="shared" ref="N194" ca="1" si="201" xml:space="preserve"> $F191 * SUM(N192:N193)</f>
        <v>0</v>
      </c>
      <c r="O194" s="12">
        <f t="shared" ref="O194" ca="1" si="202" xml:space="preserve"> $F191 * SUM(O192:O193)</f>
        <v>40.01092861669698</v>
      </c>
      <c r="P194" s="12">
        <f t="shared" ref="P194" ca="1" si="203" xml:space="preserve"> $F191 * SUM(P192:P193)</f>
        <v>25.593912683916916</v>
      </c>
      <c r="Q194" s="12">
        <f t="shared" ref="Q194" ca="1" si="204" xml:space="preserve"> $F191 * SUM(Q192:Q193)</f>
        <v>23.705823272763737</v>
      </c>
      <c r="R194" s="12">
        <f t="shared" ref="R194" ca="1" si="205" xml:space="preserve"> $F191 * SUM(R192:R193)</f>
        <v>24.760748765305177</v>
      </c>
      <c r="S194" s="12">
        <f t="shared" ref="S194" ca="1" si="206" xml:space="preserve"> $F191 * SUM(S192:S193)</f>
        <v>22.869236594272277</v>
      </c>
      <c r="T194" s="12">
        <f t="shared" ref="T194" ca="1" si="207" xml:space="preserve"> $F191 * SUM(T192:T193)</f>
        <v>23.688023702945518</v>
      </c>
      <c r="U194" s="12">
        <f t="shared" ref="U194" ca="1" si="208" xml:space="preserve"> $F191 * SUM(U192:U193)</f>
        <v>22.244027240502547</v>
      </c>
      <c r="V194" s="12">
        <f t="shared" ref="V194" ca="1" si="209" xml:space="preserve"> $F191 * SUM(V192:V193)</f>
        <v>22.826525811193932</v>
      </c>
      <c r="W194" s="12">
        <f t="shared" ref="W194" ca="1" si="210" xml:space="preserve"> $F191 * SUM(W192:W193)</f>
        <v>20.899898063733836</v>
      </c>
      <c r="X194" s="12">
        <f t="shared" ref="X194" ca="1" si="211" xml:space="preserve"> $F191 * SUM(X192:X193)</f>
        <v>22.175962760812833</v>
      </c>
      <c r="Y194" s="12">
        <f t="shared" ref="Y194" ca="1" si="212" xml:space="preserve"> $F191 * SUM(Y192:Y193)</f>
        <v>20.273353525926922</v>
      </c>
      <c r="Z194" s="12">
        <f t="shared" ref="Z194" ca="1" si="213" xml:space="preserve"> $F191 * SUM(Z192:Z193)</f>
        <v>21.284961591098636</v>
      </c>
      <c r="AA194" s="12">
        <f t="shared" ref="AA194" ca="1" si="214" xml:space="preserve"> $F191 * SUM(AA192:AA193)</f>
        <v>19.378368364201414</v>
      </c>
      <c r="AB194" s="12">
        <f t="shared" ref="AB194" ca="1" si="215" xml:space="preserve"> $F191 * SUM(AB192:AB193)</f>
        <v>20.160605697570208</v>
      </c>
      <c r="AC194" s="12">
        <f t="shared" ref="AC194" ca="1" si="216" xml:space="preserve"> $F191 * SUM(AC192:AC193)</f>
        <v>18.686181364625281</v>
      </c>
      <c r="AD194" s="12">
        <f t="shared" ref="AD194" ca="1" si="217" xml:space="preserve"> $F191 * SUM(AD192:AD193)</f>
        <v>19.23888482341874</v>
      </c>
      <c r="AE194" s="12">
        <f t="shared" ref="AE194" ca="1" si="218" xml:space="preserve"> $F191 * SUM(AE192:AE193)</f>
        <v>17.300970463047889</v>
      </c>
      <c r="AF194" s="12">
        <f t="shared" ref="AF194" ca="1" si="219" xml:space="preserve"> $F191 * SUM(AF192:AF193)</f>
        <v>18.519482576208247</v>
      </c>
      <c r="AG194" s="12">
        <f t="shared" ref="AG194" ca="1" si="220" xml:space="preserve"> $F191 * SUM(AG192:AG193)</f>
        <v>16.600043703516167</v>
      </c>
      <c r="AH194" s="12">
        <f t="shared" ref="AH194" ca="1" si="221" xml:space="preserve"> $F191 * SUM(AH192:AH193)</f>
        <v>17.565776149589038</v>
      </c>
      <c r="AI194" s="12">
        <f t="shared" ref="AI194" ca="1" si="222" xml:space="preserve"> $F191 * SUM(AI192:AI193)</f>
        <v>15.641748114978727</v>
      </c>
      <c r="AJ194" s="12">
        <f t="shared" ref="AJ194" ca="1" si="223" xml:space="preserve"> $F191 * SUM(AJ192:AJ193)</f>
        <v>16.385230287392623</v>
      </c>
      <c r="AK194" s="12">
        <f t="shared" ref="AK194" ca="1" si="224" xml:space="preserve"> $F191 * SUM(AK192:AK193)</f>
        <v>14.877166988774023</v>
      </c>
      <c r="AL194" s="12">
        <f t="shared" ref="AL194" ca="1" si="225" xml:space="preserve"> $F191 * SUM(AL192:AL193)</f>
        <v>15.398221681841678</v>
      </c>
      <c r="AM194" s="12">
        <f t="shared" ref="AM194" ca="1" si="226" xml:space="preserve"> $F191 * SUM(AM192:AM193)</f>
        <v>13.446928117434799</v>
      </c>
      <c r="AN194" s="12">
        <f t="shared" ref="AN194" ca="1" si="227" xml:space="preserve"> $F191 * SUM(AN192:AN193)</f>
        <v>14.604407728477508</v>
      </c>
      <c r="AO194" s="12">
        <f t="shared" ref="AO194" ca="1" si="228" xml:space="preserve"> $F191 * SUM(AO192:AO193)</f>
        <v>12.665648855425861</v>
      </c>
      <c r="AP194" s="12">
        <f t="shared" ref="AP194" ca="1" si="229" xml:space="preserve"> $F191 * SUM(AP192:AP193)</f>
        <v>13.582726736718104</v>
      </c>
      <c r="AQ194" s="12">
        <f t="shared" ref="AQ194" ca="1" si="230" xml:space="preserve"> $F191 * SUM(AQ192:AQ193)</f>
        <v>11.638703992142727</v>
      </c>
      <c r="AR194" s="12">
        <f t="shared" ref="AR194" ca="1" si="231" xml:space="preserve"> $F191 * SUM(AR192:AR193)</f>
        <v>12.341028622926332</v>
      </c>
      <c r="AS194" s="12">
        <f t="shared" ref="AS194" ca="1" si="232" xml:space="preserve"> $F191 * SUM(AS192:AS193)</f>
        <v>10.795819376299004</v>
      </c>
      <c r="AT194" s="12">
        <f t="shared" ref="AT194" ca="1" si="233" xml:space="preserve"> $F191 * SUM(AT192:AT193)</f>
        <v>11.283160622240775</v>
      </c>
      <c r="AU194" s="12">
        <f t="shared" ref="AU194" ca="1" si="234" xml:space="preserve"> $F191 * SUM(AU192:AU193)</f>
        <v>155.11386665666876</v>
      </c>
      <c r="AV194" s="12">
        <f t="shared" ref="AV194" ca="1" si="235" xml:space="preserve"> $F191 * SUM(AV192:AV193)</f>
        <v>154.63877846911535</v>
      </c>
      <c r="AW194" s="12">
        <f t="shared" ref="AW194" ca="1" si="236" xml:space="preserve"> $F191 * SUM(AW192:AW193)</f>
        <v>298.43627225504946</v>
      </c>
      <c r="AX194" s="12">
        <f t="shared" ref="AX194" ca="1" si="237" xml:space="preserve"> $F191 * SUM(AX192:AX193)</f>
        <v>296.17358756578784</v>
      </c>
      <c r="AY194" s="12">
        <f t="shared" ref="AY194" ca="1" si="238" xml:space="preserve"> $F191 * SUM(AY192:AY193)</f>
        <v>294.09742405171045</v>
      </c>
      <c r="AZ194" s="12">
        <f t="shared" ref="AZ194" ca="1" si="239" xml:space="preserve"> $F191 * SUM(AZ192:AZ193)</f>
        <v>291.83605481464872</v>
      </c>
      <c r="BA194" s="12">
        <f t="shared" ref="BA194" ca="1" si="240" xml:space="preserve"> $F191 * SUM(BA192:BA193)</f>
        <v>289.69185539056883</v>
      </c>
      <c r="BB194" s="12">
        <f t="shared" ref="BB194" ca="1" si="241" xml:space="preserve"> $F191 * SUM(BB192:BB193)</f>
        <v>361.72157531286109</v>
      </c>
      <c r="BC194" s="12">
        <f t="shared" ref="BC194" ca="1" si="242" xml:space="preserve"> $F191 * SUM(BC192:BC193)</f>
        <v>0</v>
      </c>
      <c r="BD194" s="12">
        <f t="shared" ref="BD194" ca="1" si="243" xml:space="preserve"> $F191 * SUM(BD192:BD193)</f>
        <v>0</v>
      </c>
      <c r="BE194" s="12">
        <f t="shared" ref="BE194" ca="1" si="244" xml:space="preserve"> $F191 * SUM(BE192:BE193)</f>
        <v>0</v>
      </c>
      <c r="BF194" s="12">
        <f t="shared" ref="BF194" ca="1" si="245" xml:space="preserve"> $F191 * SUM(BF192:BF193)</f>
        <v>0</v>
      </c>
      <c r="BG194" s="12">
        <f t="shared" ref="BG194" ca="1" si="246" xml:space="preserve"> $F191 * SUM(BG192:BG193)</f>
        <v>0</v>
      </c>
      <c r="BH194" s="12">
        <f t="shared" ref="BH194" ca="1" si="247" xml:space="preserve"> $F191 * SUM(BH192:BH193)</f>
        <v>0</v>
      </c>
      <c r="BI194" s="12">
        <f t="shared" ref="BI194" ca="1" si="248" xml:space="preserve"> $F191 * SUM(BI192:BI193)</f>
        <v>0</v>
      </c>
      <c r="BJ194" s="12">
        <f t="shared" ref="BJ194" ca="1" si="249" xml:space="preserve"> $F191 * SUM(BJ192:BJ193)</f>
        <v>0</v>
      </c>
      <c r="BK194" s="12">
        <f t="shared" ref="BK194" ca="1" si="250" xml:space="preserve"> $F191 * SUM(BK192:BK193)</f>
        <v>0</v>
      </c>
      <c r="BL194" s="12">
        <f t="shared" ref="BL194" ca="1" si="251" xml:space="preserve"> $F191 * SUM(BL192:BL193)</f>
        <v>0</v>
      </c>
      <c r="BM194" s="12">
        <f t="shared" ref="BM194" ca="1" si="252" xml:space="preserve"> $F191 * SUM(BM192:BM193)</f>
        <v>0</v>
      </c>
      <c r="BN194" s="12">
        <f t="shared" ref="BN194" ca="1" si="253" xml:space="preserve"> $F191 * SUM(BN192:BN193)</f>
        <v>0</v>
      </c>
      <c r="BO194" s="12">
        <f t="shared" ref="BO194" ca="1" si="254" xml:space="preserve"> $F191 * SUM(BO192:BO193)</f>
        <v>0</v>
      </c>
      <c r="BP194" s="12">
        <f t="shared" ref="BP194" ca="1" si="255" xml:space="preserve"> $F191 * SUM(BP192:BP193)</f>
        <v>0</v>
      </c>
      <c r="BQ194" s="12">
        <f t="shared" ref="BQ194" ca="1" si="256" xml:space="preserve"> $F191 * SUM(BQ192:BQ193)</f>
        <v>0</v>
      </c>
      <c r="BR194" s="12">
        <f t="shared" ref="BR194" ca="1" si="257" xml:space="preserve"> $F191 * SUM(BR192:BR193)</f>
        <v>0</v>
      </c>
      <c r="BS194" s="12">
        <f t="shared" ref="BS194" ca="1" si="258" xml:space="preserve"> $F191 * SUM(BS192:BS193)</f>
        <v>0</v>
      </c>
      <c r="BT194" s="12">
        <f t="shared" ref="BT194" ca="1" si="259" xml:space="preserve"> $F191 * SUM(BT192:BT193)</f>
        <v>0</v>
      </c>
      <c r="BU194" s="12">
        <f t="shared" ref="BU194" ca="1" si="260" xml:space="preserve"> $F191 * SUM(BU192:BU193)</f>
        <v>0</v>
      </c>
      <c r="BV194" s="12">
        <f t="shared" ref="BV194" ca="1" si="261" xml:space="preserve"> $F191 * SUM(BV192:BV193)</f>
        <v>0</v>
      </c>
      <c r="BW194" s="12">
        <f t="shared" ref="BW194" ca="1" si="262" xml:space="preserve"> $F191 * SUM(BW192:BW193)</f>
        <v>0</v>
      </c>
      <c r="BX194" s="12">
        <f t="shared" ref="BX194" ca="1" si="263" xml:space="preserve"> $F191 * SUM(BX192:BX193)</f>
        <v>0</v>
      </c>
      <c r="BY194" s="12">
        <f t="shared" ref="BY194" ca="1" si="264" xml:space="preserve"> $F191 * SUM(BY192:BY193)</f>
        <v>0</v>
      </c>
      <c r="BZ194" s="12">
        <f t="shared" ref="BZ194" ca="1" si="265" xml:space="preserve"> $F191 * SUM(BZ192:BZ193)</f>
        <v>0</v>
      </c>
      <c r="CA194" s="12">
        <f t="shared" ref="CA194" ca="1" si="266" xml:space="preserve"> $F191 * SUM(CA192:CA193)</f>
        <v>0</v>
      </c>
      <c r="CB194" s="12">
        <f t="shared" ref="CB194" ca="1" si="267" xml:space="preserve"> $F191 * SUM(CB192:CB193)</f>
        <v>0</v>
      </c>
      <c r="CC194" s="12">
        <f t="shared" ref="CC194" ca="1" si="268" xml:space="preserve"> $F191 * SUM(CC192:CC193)</f>
        <v>0</v>
      </c>
      <c r="CD194" s="12">
        <f t="shared" ref="CD194" ca="1" si="269" xml:space="preserve"> $F191 * SUM(CD192:CD193)</f>
        <v>0</v>
      </c>
      <c r="CE194" s="12">
        <f t="shared" ref="CE194" ca="1" si="270" xml:space="preserve"> $F191 * SUM(CE192:CE193)</f>
        <v>0</v>
      </c>
      <c r="CF194" s="12">
        <f t="shared" ref="CF194" ca="1" si="271" xml:space="preserve"> $F191 * SUM(CF192:CF193)</f>
        <v>0</v>
      </c>
      <c r="CG194" s="12">
        <f t="shared" ref="CG194" ca="1" si="272" xml:space="preserve"> $F191 * SUM(CG192:CG193)</f>
        <v>0</v>
      </c>
      <c r="CH194" s="12">
        <f t="shared" ref="CH194" ca="1" si="273" xml:space="preserve"> $F191 * SUM(CH192:CH193)</f>
        <v>0</v>
      </c>
      <c r="CI194" s="12">
        <f t="shared" ref="CI194" ca="1" si="274" xml:space="preserve"> $F191 * SUM(CI192:CI193)</f>
        <v>0</v>
      </c>
      <c r="CJ194" s="12">
        <f t="shared" ref="CJ194" ca="1" si="275" xml:space="preserve"> $F191 * SUM(CJ192:CJ193)</f>
        <v>0</v>
      </c>
      <c r="CK194" s="12">
        <f t="shared" ref="CK194" ca="1" si="276" xml:space="preserve"> $F191 * SUM(CK192:CK193)</f>
        <v>0</v>
      </c>
      <c r="CL194" s="12">
        <f t="shared" ref="CL194" ca="1" si="277" xml:space="preserve"> $F191 * SUM(CL192:CL193)</f>
        <v>0</v>
      </c>
      <c r="CM194" s="12">
        <f t="shared" ref="CM194" ca="1" si="278" xml:space="preserve"> $F191 * SUM(CM192:CM193)</f>
        <v>0</v>
      </c>
      <c r="CN194" s="12">
        <f t="shared" ref="CN194" ca="1" si="279" xml:space="preserve"> $F191 * SUM(CN192:CN193)</f>
        <v>0</v>
      </c>
      <c r="CO194" s="12">
        <f t="shared" ref="CO194" ca="1" si="280" xml:space="preserve"> $F191 * SUM(CO192:CO193)</f>
        <v>0</v>
      </c>
      <c r="CP194" s="12">
        <f t="shared" ref="CP194" ca="1" si="281" xml:space="preserve"> $F191 * SUM(CP192:CP193)</f>
        <v>0</v>
      </c>
      <c r="CQ194" s="12">
        <f t="shared" ref="CQ194" ca="1" si="282" xml:space="preserve"> $F191 * SUM(CQ192:CQ193)</f>
        <v>0</v>
      </c>
      <c r="CR194" s="12">
        <f t="shared" ref="CR194" ca="1" si="283" xml:space="preserve"> $F191 * SUM(CR192:CR193)</f>
        <v>0</v>
      </c>
      <c r="CS194" s="12">
        <f t="shared" ref="CS194" ca="1" si="284" xml:space="preserve"> $F191 * SUM(CS192:CS193)</f>
        <v>0</v>
      </c>
      <c r="CT194" s="12">
        <f t="shared" ref="CT194" ca="1" si="285" xml:space="preserve"> $F191 * SUM(CT192:CT193)</f>
        <v>0</v>
      </c>
      <c r="CU194" s="12">
        <f t="shared" ref="CU194" ca="1" si="286" xml:space="preserve"> $F191 * SUM(CU192:CU193)</f>
        <v>0</v>
      </c>
      <c r="CV194" s="12">
        <f t="shared" ref="CV194" ca="1" si="287" xml:space="preserve"> $F191 * SUM(CV192:CV193)</f>
        <v>0</v>
      </c>
    </row>
    <row r="195" spans="1:100" outlineLevel="1" x14ac:dyDescent="0.2"/>
    <row r="196" spans="1:100" s="732" customFormat="1" outlineLevel="1" x14ac:dyDescent="0.2">
      <c r="A196" s="522"/>
      <c r="B196" s="522"/>
      <c r="C196" s="523"/>
      <c r="D196" s="524" t="s">
        <v>170</v>
      </c>
      <c r="E196" s="760" t="str">
        <f xml:space="preserve"> Debt!E$443</f>
        <v>Shareholder loan drawdown during operations</v>
      </c>
      <c r="F196" s="760">
        <f xml:space="preserve"> Debt!F$443</f>
        <v>0</v>
      </c>
      <c r="G196" s="760" t="str">
        <f xml:space="preserve"> Debt!G$443</f>
        <v>$ 000s</v>
      </c>
      <c r="H196" s="760">
        <f xml:space="preserve"> Debt!H$443</f>
        <v>0</v>
      </c>
      <c r="I196" s="760">
        <f xml:space="preserve"> Debt!I$443</f>
        <v>0</v>
      </c>
      <c r="J196" s="760">
        <f xml:space="preserve"> Debt!J$443</f>
        <v>0</v>
      </c>
      <c r="K196" s="760">
        <f xml:space="preserve"> Debt!K$443</f>
        <v>0</v>
      </c>
      <c r="L196" s="760">
        <f xml:space="preserve"> Debt!L$443</f>
        <v>0</v>
      </c>
      <c r="M196" s="760">
        <f xml:space="preserve"> Debt!M$443</f>
        <v>0</v>
      </c>
      <c r="N196" s="760">
        <f xml:space="preserve"> Debt!N$443</f>
        <v>0</v>
      </c>
      <c r="O196" s="760">
        <f xml:space="preserve"> Debt!O$443</f>
        <v>0</v>
      </c>
      <c r="P196" s="760">
        <f xml:space="preserve"> Debt!P$443</f>
        <v>0</v>
      </c>
      <c r="Q196" s="760">
        <f xml:space="preserve"> Debt!Q$443</f>
        <v>0</v>
      </c>
      <c r="R196" s="760">
        <f xml:space="preserve"> Debt!R$443</f>
        <v>0</v>
      </c>
      <c r="S196" s="760">
        <f xml:space="preserve"> Debt!S$443</f>
        <v>0</v>
      </c>
      <c r="T196" s="760">
        <f xml:space="preserve"> Debt!T$443</f>
        <v>0</v>
      </c>
      <c r="U196" s="760">
        <f xml:space="preserve"> Debt!U$443</f>
        <v>0</v>
      </c>
      <c r="V196" s="760">
        <f xml:space="preserve"> Debt!V$443</f>
        <v>0</v>
      </c>
      <c r="W196" s="760">
        <f xml:space="preserve"> Debt!W$443</f>
        <v>0</v>
      </c>
      <c r="X196" s="760">
        <f xml:space="preserve"> Debt!X$443</f>
        <v>0</v>
      </c>
      <c r="Y196" s="760">
        <f xml:space="preserve"> Debt!Y$443</f>
        <v>0</v>
      </c>
      <c r="Z196" s="760">
        <f xml:space="preserve"> Debt!Z$443</f>
        <v>0</v>
      </c>
      <c r="AA196" s="760">
        <f xml:space="preserve"> Debt!AA$443</f>
        <v>0</v>
      </c>
      <c r="AB196" s="760">
        <f xml:space="preserve"> Debt!AB$443</f>
        <v>0</v>
      </c>
      <c r="AC196" s="760">
        <f xml:space="preserve"> Debt!AC$443</f>
        <v>0</v>
      </c>
      <c r="AD196" s="760">
        <f xml:space="preserve"> Debt!AD$443</f>
        <v>0</v>
      </c>
      <c r="AE196" s="760">
        <f xml:space="preserve"> Debt!AE$443</f>
        <v>0</v>
      </c>
      <c r="AF196" s="760">
        <f xml:space="preserve"> Debt!AF$443</f>
        <v>0</v>
      </c>
      <c r="AG196" s="760">
        <f xml:space="preserve"> Debt!AG$443</f>
        <v>0</v>
      </c>
      <c r="AH196" s="760">
        <f xml:space="preserve"> Debt!AH$443</f>
        <v>0</v>
      </c>
      <c r="AI196" s="760">
        <f xml:space="preserve"> Debt!AI$443</f>
        <v>0</v>
      </c>
      <c r="AJ196" s="760">
        <f xml:space="preserve"> Debt!AJ$443</f>
        <v>0</v>
      </c>
      <c r="AK196" s="760">
        <f xml:space="preserve"> Debt!AK$443</f>
        <v>0</v>
      </c>
      <c r="AL196" s="760">
        <f xml:space="preserve"> Debt!AL$443</f>
        <v>0</v>
      </c>
      <c r="AM196" s="760">
        <f xml:space="preserve"> Debt!AM$443</f>
        <v>0</v>
      </c>
      <c r="AN196" s="760">
        <f xml:space="preserve"> Debt!AN$443</f>
        <v>0</v>
      </c>
      <c r="AO196" s="760">
        <f xml:space="preserve"> Debt!AO$443</f>
        <v>0</v>
      </c>
      <c r="AP196" s="760">
        <f xml:space="preserve"> Debt!AP$443</f>
        <v>0</v>
      </c>
      <c r="AQ196" s="760">
        <f xml:space="preserve"> Debt!AQ$443</f>
        <v>0</v>
      </c>
      <c r="AR196" s="760">
        <f xml:space="preserve"> Debt!AR$443</f>
        <v>0</v>
      </c>
      <c r="AS196" s="760">
        <f xml:space="preserve"> Debt!AS$443</f>
        <v>0</v>
      </c>
      <c r="AT196" s="760">
        <f xml:space="preserve"> Debt!AT$443</f>
        <v>0</v>
      </c>
      <c r="AU196" s="760">
        <f xml:space="preserve"> Debt!AU$443</f>
        <v>0</v>
      </c>
      <c r="AV196" s="760">
        <f xml:space="preserve"> Debt!AV$443</f>
        <v>0</v>
      </c>
      <c r="AW196" s="760">
        <f xml:space="preserve"> Debt!AW$443</f>
        <v>0</v>
      </c>
      <c r="AX196" s="760">
        <f xml:space="preserve"> Debt!AX$443</f>
        <v>0</v>
      </c>
      <c r="AY196" s="760">
        <f xml:space="preserve"> Debt!AY$443</f>
        <v>0</v>
      </c>
      <c r="AZ196" s="760">
        <f xml:space="preserve"> Debt!AZ$443</f>
        <v>0</v>
      </c>
      <c r="BA196" s="760">
        <f xml:space="preserve"> Debt!BA$443</f>
        <v>0</v>
      </c>
      <c r="BB196" s="760">
        <f xml:space="preserve"> Debt!BB$443</f>
        <v>0</v>
      </c>
      <c r="BC196" s="760">
        <f xml:space="preserve"> Debt!BC$443</f>
        <v>0</v>
      </c>
      <c r="BD196" s="760">
        <f xml:space="preserve"> Debt!BD$443</f>
        <v>0</v>
      </c>
      <c r="BE196" s="760">
        <f xml:space="preserve"> Debt!BE$443</f>
        <v>0</v>
      </c>
      <c r="BF196" s="760">
        <f xml:space="preserve"> Debt!BF$443</f>
        <v>0</v>
      </c>
      <c r="BG196" s="760">
        <f xml:space="preserve"> Debt!BG$443</f>
        <v>0</v>
      </c>
      <c r="BH196" s="760">
        <f xml:space="preserve"> Debt!BH$443</f>
        <v>0</v>
      </c>
      <c r="BI196" s="760">
        <f xml:space="preserve"> Debt!BI$443</f>
        <v>0</v>
      </c>
      <c r="BJ196" s="760">
        <f xml:space="preserve"> Debt!BJ$443</f>
        <v>0</v>
      </c>
      <c r="BK196" s="760">
        <f xml:space="preserve"> Debt!BK$443</f>
        <v>0</v>
      </c>
      <c r="BL196" s="760">
        <f xml:space="preserve"> Debt!BL$443</f>
        <v>0</v>
      </c>
      <c r="BM196" s="760">
        <f xml:space="preserve"> Debt!BM$443</f>
        <v>0</v>
      </c>
      <c r="BN196" s="760">
        <f xml:space="preserve"> Debt!BN$443</f>
        <v>0</v>
      </c>
      <c r="BO196" s="760">
        <f xml:space="preserve"> Debt!BO$443</f>
        <v>0</v>
      </c>
      <c r="BP196" s="760">
        <f xml:space="preserve"> Debt!BP$443</f>
        <v>0</v>
      </c>
      <c r="BQ196" s="760">
        <f xml:space="preserve"> Debt!BQ$443</f>
        <v>0</v>
      </c>
      <c r="BR196" s="760">
        <f xml:space="preserve"> Debt!BR$443</f>
        <v>0</v>
      </c>
      <c r="BS196" s="760">
        <f xml:space="preserve"> Debt!BS$443</f>
        <v>0</v>
      </c>
      <c r="BT196" s="760">
        <f xml:space="preserve"> Debt!BT$443</f>
        <v>0</v>
      </c>
      <c r="BU196" s="760">
        <f xml:space="preserve"> Debt!BU$443</f>
        <v>0</v>
      </c>
      <c r="BV196" s="760">
        <f xml:space="preserve"> Debt!BV$443</f>
        <v>0</v>
      </c>
      <c r="BW196" s="760">
        <f xml:space="preserve"> Debt!BW$443</f>
        <v>0</v>
      </c>
      <c r="BX196" s="760">
        <f xml:space="preserve"> Debt!BX$443</f>
        <v>0</v>
      </c>
      <c r="BY196" s="760">
        <f xml:space="preserve"> Debt!BY$443</f>
        <v>0</v>
      </c>
      <c r="BZ196" s="760">
        <f xml:space="preserve"> Debt!BZ$443</f>
        <v>0</v>
      </c>
      <c r="CA196" s="760">
        <f xml:space="preserve"> Debt!CA$443</f>
        <v>0</v>
      </c>
      <c r="CB196" s="760">
        <f xml:space="preserve"> Debt!CB$443</f>
        <v>0</v>
      </c>
      <c r="CC196" s="760">
        <f xml:space="preserve"> Debt!CC$443</f>
        <v>0</v>
      </c>
      <c r="CD196" s="760">
        <f xml:space="preserve"> Debt!CD$443</f>
        <v>0</v>
      </c>
      <c r="CE196" s="760">
        <f xml:space="preserve"> Debt!CE$443</f>
        <v>0</v>
      </c>
      <c r="CF196" s="760">
        <f xml:space="preserve"> Debt!CF$443</f>
        <v>0</v>
      </c>
      <c r="CG196" s="760">
        <f xml:space="preserve"> Debt!CG$443</f>
        <v>0</v>
      </c>
      <c r="CH196" s="760">
        <f xml:space="preserve"> Debt!CH$443</f>
        <v>0</v>
      </c>
      <c r="CI196" s="760">
        <f xml:space="preserve"> Debt!CI$443</f>
        <v>0</v>
      </c>
      <c r="CJ196" s="760">
        <f xml:space="preserve"> Debt!CJ$443</f>
        <v>0</v>
      </c>
      <c r="CK196" s="760">
        <f xml:space="preserve"> Debt!CK$443</f>
        <v>0</v>
      </c>
      <c r="CL196" s="760">
        <f xml:space="preserve"> Debt!CL$443</f>
        <v>0</v>
      </c>
      <c r="CM196" s="760">
        <f xml:space="preserve"> Debt!CM$443</f>
        <v>0</v>
      </c>
      <c r="CN196" s="760">
        <f xml:space="preserve"> Debt!CN$443</f>
        <v>0</v>
      </c>
      <c r="CO196" s="760">
        <f xml:space="preserve"> Debt!CO$443</f>
        <v>0</v>
      </c>
      <c r="CP196" s="760">
        <f xml:space="preserve"> Debt!CP$443</f>
        <v>0</v>
      </c>
      <c r="CQ196" s="760">
        <f xml:space="preserve"> Debt!CQ$443</f>
        <v>0</v>
      </c>
      <c r="CR196" s="760">
        <f xml:space="preserve"> Debt!CR$443</f>
        <v>0</v>
      </c>
      <c r="CS196" s="760">
        <f xml:space="preserve"> Debt!CS$443</f>
        <v>0</v>
      </c>
      <c r="CT196" s="760">
        <f xml:space="preserve"> Debt!CT$443</f>
        <v>0</v>
      </c>
      <c r="CU196" s="760">
        <f xml:space="preserve"> Debt!CU$443</f>
        <v>0</v>
      </c>
      <c r="CV196" s="760">
        <f xml:space="preserve"> Debt!CV$443</f>
        <v>0</v>
      </c>
    </row>
    <row r="197" spans="1:100" s="732" customFormat="1" outlineLevel="1" x14ac:dyDescent="0.2">
      <c r="A197" s="522"/>
      <c r="B197" s="522"/>
      <c r="C197" s="523"/>
      <c r="D197" s="524" t="s">
        <v>170</v>
      </c>
      <c r="E197" s="526" t="str">
        <f t="shared" ref="E197:AJ197" si="288" xml:space="preserve"> E$194</f>
        <v>Withholding tax on dividend and SHL interest (P99)</v>
      </c>
      <c r="F197" s="526">
        <f t="shared" si="288"/>
        <v>0</v>
      </c>
      <c r="G197" s="526" t="str">
        <f t="shared" si="288"/>
        <v>$ 000s</v>
      </c>
      <c r="H197" s="526">
        <f t="shared" ca="1" si="288"/>
        <v>2742.1539214124091</v>
      </c>
      <c r="I197" s="526">
        <f t="shared" si="288"/>
        <v>0</v>
      </c>
      <c r="J197" s="526">
        <f t="shared" ca="1" si="288"/>
        <v>0</v>
      </c>
      <c r="K197" s="526">
        <f t="shared" ca="1" si="288"/>
        <v>0</v>
      </c>
      <c r="L197" s="526">
        <f t="shared" ca="1" si="288"/>
        <v>0</v>
      </c>
      <c r="M197" s="526">
        <f t="shared" ca="1" si="288"/>
        <v>0</v>
      </c>
      <c r="N197" s="526">
        <f t="shared" ca="1" si="288"/>
        <v>0</v>
      </c>
      <c r="O197" s="526">
        <f t="shared" ca="1" si="288"/>
        <v>40.01092861669698</v>
      </c>
      <c r="P197" s="526">
        <f t="shared" ca="1" si="288"/>
        <v>25.593912683916916</v>
      </c>
      <c r="Q197" s="526">
        <f t="shared" ca="1" si="288"/>
        <v>23.705823272763737</v>
      </c>
      <c r="R197" s="526">
        <f t="shared" ca="1" si="288"/>
        <v>24.760748765305177</v>
      </c>
      <c r="S197" s="526">
        <f t="shared" ca="1" si="288"/>
        <v>22.869236594272277</v>
      </c>
      <c r="T197" s="526">
        <f t="shared" ca="1" si="288"/>
        <v>23.688023702945518</v>
      </c>
      <c r="U197" s="526">
        <f t="shared" ca="1" si="288"/>
        <v>22.244027240502547</v>
      </c>
      <c r="V197" s="526">
        <f t="shared" ca="1" si="288"/>
        <v>22.826525811193932</v>
      </c>
      <c r="W197" s="526">
        <f t="shared" ca="1" si="288"/>
        <v>20.899898063733836</v>
      </c>
      <c r="X197" s="526">
        <f t="shared" ca="1" si="288"/>
        <v>22.175962760812833</v>
      </c>
      <c r="Y197" s="526">
        <f t="shared" ca="1" si="288"/>
        <v>20.273353525926922</v>
      </c>
      <c r="Z197" s="526">
        <f t="shared" ca="1" si="288"/>
        <v>21.284961591098636</v>
      </c>
      <c r="AA197" s="526">
        <f t="shared" ca="1" si="288"/>
        <v>19.378368364201414</v>
      </c>
      <c r="AB197" s="526">
        <f t="shared" ca="1" si="288"/>
        <v>20.160605697570208</v>
      </c>
      <c r="AC197" s="526">
        <f t="shared" ca="1" si="288"/>
        <v>18.686181364625281</v>
      </c>
      <c r="AD197" s="526">
        <f t="shared" ca="1" si="288"/>
        <v>19.23888482341874</v>
      </c>
      <c r="AE197" s="526">
        <f t="shared" ca="1" si="288"/>
        <v>17.300970463047889</v>
      </c>
      <c r="AF197" s="526">
        <f t="shared" ca="1" si="288"/>
        <v>18.519482576208247</v>
      </c>
      <c r="AG197" s="526">
        <f t="shared" ca="1" si="288"/>
        <v>16.600043703516167</v>
      </c>
      <c r="AH197" s="526">
        <f t="shared" ca="1" si="288"/>
        <v>17.565776149589038</v>
      </c>
      <c r="AI197" s="526">
        <f t="shared" ca="1" si="288"/>
        <v>15.641748114978727</v>
      </c>
      <c r="AJ197" s="526">
        <f t="shared" ca="1" si="288"/>
        <v>16.385230287392623</v>
      </c>
      <c r="AK197" s="526">
        <f t="shared" ref="AK197:BP197" ca="1" si="289" xml:space="preserve"> AK$194</f>
        <v>14.877166988774023</v>
      </c>
      <c r="AL197" s="526">
        <f t="shared" ca="1" si="289"/>
        <v>15.398221681841678</v>
      </c>
      <c r="AM197" s="526">
        <f t="shared" ca="1" si="289"/>
        <v>13.446928117434799</v>
      </c>
      <c r="AN197" s="526">
        <f t="shared" ca="1" si="289"/>
        <v>14.604407728477508</v>
      </c>
      <c r="AO197" s="526">
        <f t="shared" ca="1" si="289"/>
        <v>12.665648855425861</v>
      </c>
      <c r="AP197" s="526">
        <f t="shared" ca="1" si="289"/>
        <v>13.582726736718104</v>
      </c>
      <c r="AQ197" s="526">
        <f t="shared" ca="1" si="289"/>
        <v>11.638703992142727</v>
      </c>
      <c r="AR197" s="526">
        <f t="shared" ca="1" si="289"/>
        <v>12.341028622926332</v>
      </c>
      <c r="AS197" s="526">
        <f t="shared" ca="1" si="289"/>
        <v>10.795819376299004</v>
      </c>
      <c r="AT197" s="526">
        <f t="shared" ca="1" si="289"/>
        <v>11.283160622240775</v>
      </c>
      <c r="AU197" s="526">
        <f t="shared" ca="1" si="289"/>
        <v>155.11386665666876</v>
      </c>
      <c r="AV197" s="526">
        <f t="shared" ca="1" si="289"/>
        <v>154.63877846911535</v>
      </c>
      <c r="AW197" s="526">
        <f t="shared" ca="1" si="289"/>
        <v>298.43627225504946</v>
      </c>
      <c r="AX197" s="526">
        <f t="shared" ca="1" si="289"/>
        <v>296.17358756578784</v>
      </c>
      <c r="AY197" s="526">
        <f t="shared" ca="1" si="289"/>
        <v>294.09742405171045</v>
      </c>
      <c r="AZ197" s="526">
        <f t="shared" ca="1" si="289"/>
        <v>291.83605481464872</v>
      </c>
      <c r="BA197" s="526">
        <f t="shared" ca="1" si="289"/>
        <v>289.69185539056883</v>
      </c>
      <c r="BB197" s="526">
        <f t="shared" ca="1" si="289"/>
        <v>361.72157531286109</v>
      </c>
      <c r="BC197" s="526">
        <f t="shared" ca="1" si="289"/>
        <v>0</v>
      </c>
      <c r="BD197" s="526">
        <f t="shared" ca="1" si="289"/>
        <v>0</v>
      </c>
      <c r="BE197" s="526">
        <f t="shared" ca="1" si="289"/>
        <v>0</v>
      </c>
      <c r="BF197" s="526">
        <f t="shared" ca="1" si="289"/>
        <v>0</v>
      </c>
      <c r="BG197" s="526">
        <f t="shared" ca="1" si="289"/>
        <v>0</v>
      </c>
      <c r="BH197" s="526">
        <f t="shared" ca="1" si="289"/>
        <v>0</v>
      </c>
      <c r="BI197" s="526">
        <f t="shared" ca="1" si="289"/>
        <v>0</v>
      </c>
      <c r="BJ197" s="526">
        <f t="shared" ca="1" si="289"/>
        <v>0</v>
      </c>
      <c r="BK197" s="526">
        <f t="shared" ca="1" si="289"/>
        <v>0</v>
      </c>
      <c r="BL197" s="526">
        <f t="shared" ca="1" si="289"/>
        <v>0</v>
      </c>
      <c r="BM197" s="526">
        <f t="shared" ca="1" si="289"/>
        <v>0</v>
      </c>
      <c r="BN197" s="526">
        <f t="shared" ca="1" si="289"/>
        <v>0</v>
      </c>
      <c r="BO197" s="526">
        <f t="shared" ca="1" si="289"/>
        <v>0</v>
      </c>
      <c r="BP197" s="526">
        <f t="shared" ca="1" si="289"/>
        <v>0</v>
      </c>
      <c r="BQ197" s="526">
        <f t="shared" ref="BQ197:CV197" ca="1" si="290" xml:space="preserve"> BQ$194</f>
        <v>0</v>
      </c>
      <c r="BR197" s="526">
        <f t="shared" ca="1" si="290"/>
        <v>0</v>
      </c>
      <c r="BS197" s="526">
        <f t="shared" ca="1" si="290"/>
        <v>0</v>
      </c>
      <c r="BT197" s="526">
        <f t="shared" ca="1" si="290"/>
        <v>0</v>
      </c>
      <c r="BU197" s="526">
        <f t="shared" ca="1" si="290"/>
        <v>0</v>
      </c>
      <c r="BV197" s="526">
        <f t="shared" ca="1" si="290"/>
        <v>0</v>
      </c>
      <c r="BW197" s="526">
        <f t="shared" ca="1" si="290"/>
        <v>0</v>
      </c>
      <c r="BX197" s="526">
        <f t="shared" ca="1" si="290"/>
        <v>0</v>
      </c>
      <c r="BY197" s="526">
        <f t="shared" ca="1" si="290"/>
        <v>0</v>
      </c>
      <c r="BZ197" s="526">
        <f t="shared" ca="1" si="290"/>
        <v>0</v>
      </c>
      <c r="CA197" s="526">
        <f t="shared" ca="1" si="290"/>
        <v>0</v>
      </c>
      <c r="CB197" s="526">
        <f t="shared" ca="1" si="290"/>
        <v>0</v>
      </c>
      <c r="CC197" s="526">
        <f t="shared" ca="1" si="290"/>
        <v>0</v>
      </c>
      <c r="CD197" s="526">
        <f t="shared" ca="1" si="290"/>
        <v>0</v>
      </c>
      <c r="CE197" s="526">
        <f t="shared" ca="1" si="290"/>
        <v>0</v>
      </c>
      <c r="CF197" s="526">
        <f t="shared" ca="1" si="290"/>
        <v>0</v>
      </c>
      <c r="CG197" s="526">
        <f t="shared" ca="1" si="290"/>
        <v>0</v>
      </c>
      <c r="CH197" s="526">
        <f t="shared" ca="1" si="290"/>
        <v>0</v>
      </c>
      <c r="CI197" s="526">
        <f t="shared" ca="1" si="290"/>
        <v>0</v>
      </c>
      <c r="CJ197" s="526">
        <f t="shared" ca="1" si="290"/>
        <v>0</v>
      </c>
      <c r="CK197" s="526">
        <f t="shared" ca="1" si="290"/>
        <v>0</v>
      </c>
      <c r="CL197" s="526">
        <f t="shared" ca="1" si="290"/>
        <v>0</v>
      </c>
      <c r="CM197" s="526">
        <f t="shared" ca="1" si="290"/>
        <v>0</v>
      </c>
      <c r="CN197" s="526">
        <f t="shared" ca="1" si="290"/>
        <v>0</v>
      </c>
      <c r="CO197" s="526">
        <f t="shared" ca="1" si="290"/>
        <v>0</v>
      </c>
      <c r="CP197" s="526">
        <f t="shared" ca="1" si="290"/>
        <v>0</v>
      </c>
      <c r="CQ197" s="526">
        <f t="shared" ca="1" si="290"/>
        <v>0</v>
      </c>
      <c r="CR197" s="526">
        <f t="shared" ca="1" si="290"/>
        <v>0</v>
      </c>
      <c r="CS197" s="526">
        <f t="shared" ca="1" si="290"/>
        <v>0</v>
      </c>
      <c r="CT197" s="526">
        <f t="shared" ca="1" si="290"/>
        <v>0</v>
      </c>
      <c r="CU197" s="526">
        <f t="shared" ca="1" si="290"/>
        <v>0</v>
      </c>
      <c r="CV197" s="526">
        <f t="shared" ca="1" si="290"/>
        <v>0</v>
      </c>
    </row>
    <row r="198" spans="1:100" s="125" customFormat="1" outlineLevel="1" x14ac:dyDescent="0.2">
      <c r="A198" s="85"/>
      <c r="B198" s="85"/>
      <c r="C198" s="86"/>
      <c r="D198" s="238" t="s">
        <v>1287</v>
      </c>
      <c r="E198" s="68" t="str">
        <f xml:space="preserve"> Equity!E$148</f>
        <v>Dividends paid - P99 POS</v>
      </c>
      <c r="F198" s="68">
        <f xml:space="preserve"> Equity!F$148</f>
        <v>0</v>
      </c>
      <c r="G198" s="68" t="str">
        <f xml:space="preserve"> Equity!G$148</f>
        <v>$ 000s</v>
      </c>
      <c r="H198" s="68">
        <f ca="1" xml:space="preserve"> Equity!H$148</f>
        <v>0</v>
      </c>
      <c r="I198" s="68">
        <f xml:space="preserve"> Equity!I$148</f>
        <v>0</v>
      </c>
      <c r="J198" s="68">
        <f ca="1" xml:space="preserve"> Equity!J$148</f>
        <v>0</v>
      </c>
      <c r="K198" s="68">
        <f ca="1" xml:space="preserve"> Equity!K$148</f>
        <v>0</v>
      </c>
      <c r="L198" s="68">
        <f ca="1" xml:space="preserve"> Equity!L$148</f>
        <v>0</v>
      </c>
      <c r="M198" s="68">
        <f ca="1" xml:space="preserve"> Equity!M$148</f>
        <v>0</v>
      </c>
      <c r="N198" s="68">
        <f ca="1" xml:space="preserve"> Equity!N$148</f>
        <v>0</v>
      </c>
      <c r="O198" s="68">
        <f ca="1" xml:space="preserve"> Equity!O$148</f>
        <v>0</v>
      </c>
      <c r="P198" s="68">
        <f ca="1" xml:space="preserve"> Equity!P$148</f>
        <v>0</v>
      </c>
      <c r="Q198" s="68">
        <f ca="1" xml:space="preserve"> Equity!Q$148</f>
        <v>0</v>
      </c>
      <c r="R198" s="68">
        <f ca="1" xml:space="preserve"> Equity!R$148</f>
        <v>0</v>
      </c>
      <c r="S198" s="68">
        <f ca="1" xml:space="preserve"> Equity!S$148</f>
        <v>0</v>
      </c>
      <c r="T198" s="68">
        <f ca="1" xml:space="preserve"> Equity!T$148</f>
        <v>0</v>
      </c>
      <c r="U198" s="68">
        <f ca="1" xml:space="preserve"> Equity!U$148</f>
        <v>0</v>
      </c>
      <c r="V198" s="68">
        <f ca="1" xml:space="preserve"> Equity!V$148</f>
        <v>0</v>
      </c>
      <c r="W198" s="68">
        <f ca="1" xml:space="preserve"> Equity!W$148</f>
        <v>0</v>
      </c>
      <c r="X198" s="68">
        <f ca="1" xml:space="preserve"> Equity!X$148</f>
        <v>0</v>
      </c>
      <c r="Y198" s="68">
        <f ca="1" xml:space="preserve"> Equity!Y$148</f>
        <v>0</v>
      </c>
      <c r="Z198" s="68">
        <f ca="1" xml:space="preserve"> Equity!Z$148</f>
        <v>0</v>
      </c>
      <c r="AA198" s="68">
        <f ca="1" xml:space="preserve"> Equity!AA$148</f>
        <v>0</v>
      </c>
      <c r="AB198" s="68">
        <f ca="1" xml:space="preserve"> Equity!AB$148</f>
        <v>0</v>
      </c>
      <c r="AC198" s="68">
        <f ca="1" xml:space="preserve"> Equity!AC$148</f>
        <v>0</v>
      </c>
      <c r="AD198" s="68">
        <f ca="1" xml:space="preserve"> Equity!AD$148</f>
        <v>0</v>
      </c>
      <c r="AE198" s="68">
        <f ca="1" xml:space="preserve"> Equity!AE$148</f>
        <v>0</v>
      </c>
      <c r="AF198" s="68">
        <f ca="1" xml:space="preserve"> Equity!AF$148</f>
        <v>0</v>
      </c>
      <c r="AG198" s="68">
        <f ca="1" xml:space="preserve"> Equity!AG$148</f>
        <v>0</v>
      </c>
      <c r="AH198" s="68">
        <f ca="1" xml:space="preserve"> Equity!AH$148</f>
        <v>0</v>
      </c>
      <c r="AI198" s="68">
        <f ca="1" xml:space="preserve"> Equity!AI$148</f>
        <v>0</v>
      </c>
      <c r="AJ198" s="68">
        <f ca="1" xml:space="preserve"> Equity!AJ$148</f>
        <v>0</v>
      </c>
      <c r="AK198" s="68">
        <f ca="1" xml:space="preserve"> Equity!AK$148</f>
        <v>0</v>
      </c>
      <c r="AL198" s="68">
        <f ca="1" xml:space="preserve"> Equity!AL$148</f>
        <v>0</v>
      </c>
      <c r="AM198" s="68">
        <f ca="1" xml:space="preserve"> Equity!AM$148</f>
        <v>0</v>
      </c>
      <c r="AN198" s="68">
        <f ca="1" xml:space="preserve"> Equity!AN$148</f>
        <v>0</v>
      </c>
      <c r="AO198" s="68">
        <f ca="1" xml:space="preserve"> Equity!AO$148</f>
        <v>0</v>
      </c>
      <c r="AP198" s="68">
        <f ca="1" xml:space="preserve"> Equity!AP$148</f>
        <v>0</v>
      </c>
      <c r="AQ198" s="68">
        <f ca="1" xml:space="preserve"> Equity!AQ$148</f>
        <v>0</v>
      </c>
      <c r="AR198" s="68">
        <f ca="1" xml:space="preserve"> Equity!AR$148</f>
        <v>0</v>
      </c>
      <c r="AS198" s="68">
        <f ca="1" xml:space="preserve"> Equity!AS$148</f>
        <v>0</v>
      </c>
      <c r="AT198" s="68">
        <f ca="1" xml:space="preserve"> Equity!AT$148</f>
        <v>0</v>
      </c>
      <c r="AU198" s="68">
        <f ca="1" xml:space="preserve"> Equity!AU$148</f>
        <v>0</v>
      </c>
      <c r="AV198" s="68">
        <f ca="1" xml:space="preserve"> Equity!AV$148</f>
        <v>0</v>
      </c>
      <c r="AW198" s="68">
        <f ca="1" xml:space="preserve"> Equity!AW$148</f>
        <v>0</v>
      </c>
      <c r="AX198" s="68">
        <f ca="1" xml:space="preserve"> Equity!AX$148</f>
        <v>0</v>
      </c>
      <c r="AY198" s="68">
        <f ca="1" xml:space="preserve"> Equity!AY$148</f>
        <v>0</v>
      </c>
      <c r="AZ198" s="68">
        <f ca="1" xml:space="preserve"> Equity!AZ$148</f>
        <v>0</v>
      </c>
      <c r="BA198" s="68">
        <f ca="1" xml:space="preserve"> Equity!BA$148</f>
        <v>0</v>
      </c>
      <c r="BB198" s="68">
        <f ca="1" xml:space="preserve"> Equity!BB$148</f>
        <v>0</v>
      </c>
      <c r="BC198" s="68">
        <f ca="1" xml:space="preserve"> Equity!BC$148</f>
        <v>0</v>
      </c>
      <c r="BD198" s="68">
        <f ca="1" xml:space="preserve"> Equity!BD$148</f>
        <v>0</v>
      </c>
      <c r="BE198" s="68">
        <f ca="1" xml:space="preserve"> Equity!BE$148</f>
        <v>0</v>
      </c>
      <c r="BF198" s="68">
        <f ca="1" xml:space="preserve"> Equity!BF$148</f>
        <v>0</v>
      </c>
      <c r="BG198" s="68">
        <f ca="1" xml:space="preserve"> Equity!BG$148</f>
        <v>0</v>
      </c>
      <c r="BH198" s="68">
        <f ca="1" xml:space="preserve"> Equity!BH$148</f>
        <v>0</v>
      </c>
      <c r="BI198" s="68">
        <f ca="1" xml:space="preserve"> Equity!BI$148</f>
        <v>0</v>
      </c>
      <c r="BJ198" s="68">
        <f ca="1" xml:space="preserve"> Equity!BJ$148</f>
        <v>0</v>
      </c>
      <c r="BK198" s="68">
        <f ca="1" xml:space="preserve"> Equity!BK$148</f>
        <v>0</v>
      </c>
      <c r="BL198" s="68">
        <f ca="1" xml:space="preserve"> Equity!BL$148</f>
        <v>0</v>
      </c>
      <c r="BM198" s="68">
        <f ca="1" xml:space="preserve"> Equity!BM$148</f>
        <v>0</v>
      </c>
      <c r="BN198" s="68">
        <f ca="1" xml:space="preserve"> Equity!BN$148</f>
        <v>0</v>
      </c>
      <c r="BO198" s="68">
        <f ca="1" xml:space="preserve"> Equity!BO$148</f>
        <v>0</v>
      </c>
      <c r="BP198" s="68">
        <f ca="1" xml:space="preserve"> Equity!BP$148</f>
        <v>0</v>
      </c>
      <c r="BQ198" s="68">
        <f ca="1" xml:space="preserve"> Equity!BQ$148</f>
        <v>0</v>
      </c>
      <c r="BR198" s="68">
        <f ca="1" xml:space="preserve"> Equity!BR$148</f>
        <v>0</v>
      </c>
      <c r="BS198" s="68">
        <f ca="1" xml:space="preserve"> Equity!BS$148</f>
        <v>0</v>
      </c>
      <c r="BT198" s="68">
        <f ca="1" xml:space="preserve"> Equity!BT$148</f>
        <v>0</v>
      </c>
      <c r="BU198" s="68">
        <f ca="1" xml:space="preserve"> Equity!BU$148</f>
        <v>0</v>
      </c>
      <c r="BV198" s="68">
        <f ca="1" xml:space="preserve"> Equity!BV$148</f>
        <v>0</v>
      </c>
      <c r="BW198" s="68">
        <f ca="1" xml:space="preserve"> Equity!BW$148</f>
        <v>0</v>
      </c>
      <c r="BX198" s="68">
        <f ca="1" xml:space="preserve"> Equity!BX$148</f>
        <v>0</v>
      </c>
      <c r="BY198" s="68">
        <f ca="1" xml:space="preserve"> Equity!BY$148</f>
        <v>0</v>
      </c>
      <c r="BZ198" s="68">
        <f ca="1" xml:space="preserve"> Equity!BZ$148</f>
        <v>0</v>
      </c>
      <c r="CA198" s="68">
        <f ca="1" xml:space="preserve"> Equity!CA$148</f>
        <v>0</v>
      </c>
      <c r="CB198" s="68">
        <f ca="1" xml:space="preserve"> Equity!CB$148</f>
        <v>0</v>
      </c>
      <c r="CC198" s="68">
        <f ca="1" xml:space="preserve"> Equity!CC$148</f>
        <v>0</v>
      </c>
      <c r="CD198" s="68">
        <f ca="1" xml:space="preserve"> Equity!CD$148</f>
        <v>0</v>
      </c>
      <c r="CE198" s="68">
        <f ca="1" xml:space="preserve"> Equity!CE$148</f>
        <v>0</v>
      </c>
      <c r="CF198" s="68">
        <f ca="1" xml:space="preserve"> Equity!CF$148</f>
        <v>0</v>
      </c>
      <c r="CG198" s="68">
        <f ca="1" xml:space="preserve"> Equity!CG$148</f>
        <v>0</v>
      </c>
      <c r="CH198" s="68">
        <f ca="1" xml:space="preserve"> Equity!CH$148</f>
        <v>0</v>
      </c>
      <c r="CI198" s="68">
        <f ca="1" xml:space="preserve"> Equity!CI$148</f>
        <v>0</v>
      </c>
      <c r="CJ198" s="68">
        <f ca="1" xml:space="preserve"> Equity!CJ$148</f>
        <v>0</v>
      </c>
      <c r="CK198" s="68">
        <f ca="1" xml:space="preserve"> Equity!CK$148</f>
        <v>0</v>
      </c>
      <c r="CL198" s="68">
        <f ca="1" xml:space="preserve"> Equity!CL$148</f>
        <v>0</v>
      </c>
      <c r="CM198" s="68">
        <f ca="1" xml:space="preserve"> Equity!CM$148</f>
        <v>0</v>
      </c>
      <c r="CN198" s="68">
        <f ca="1" xml:space="preserve"> Equity!CN$148</f>
        <v>0</v>
      </c>
      <c r="CO198" s="68">
        <f ca="1" xml:space="preserve"> Equity!CO$148</f>
        <v>0</v>
      </c>
      <c r="CP198" s="68">
        <f ca="1" xml:space="preserve"> Equity!CP$148</f>
        <v>0</v>
      </c>
      <c r="CQ198" s="68">
        <f ca="1" xml:space="preserve"> Equity!CQ$148</f>
        <v>0</v>
      </c>
      <c r="CR198" s="68">
        <f ca="1" xml:space="preserve"> Equity!CR$148</f>
        <v>0</v>
      </c>
      <c r="CS198" s="68">
        <f ca="1" xml:space="preserve"> Equity!CS$148</f>
        <v>0</v>
      </c>
      <c r="CT198" s="68">
        <f ca="1" xml:space="preserve"> Equity!CT$148</f>
        <v>0</v>
      </c>
      <c r="CU198" s="68">
        <f ca="1" xml:space="preserve"> Equity!CU$148</f>
        <v>0</v>
      </c>
      <c r="CV198" s="68">
        <f ca="1" xml:space="preserve"> Equity!CV$148</f>
        <v>0</v>
      </c>
    </row>
    <row r="199" spans="1:100" outlineLevel="1" x14ac:dyDescent="0.2">
      <c r="A199" s="85"/>
      <c r="B199" s="85"/>
      <c r="C199" s="86"/>
      <c r="D199" s="238" t="s">
        <v>1287</v>
      </c>
      <c r="E199" s="68" t="str">
        <f xml:space="preserve"> Debt!E$508</f>
        <v>Shareholder loan interest paid - P99 POS</v>
      </c>
      <c r="F199" s="68">
        <f xml:space="preserve"> Debt!F$508</f>
        <v>0</v>
      </c>
      <c r="G199" s="68" t="str">
        <f xml:space="preserve"> Debt!G$508</f>
        <v>$ 000s</v>
      </c>
      <c r="H199" s="68">
        <f ca="1" xml:space="preserve"> Debt!H$508</f>
        <v>91405.13071374697</v>
      </c>
      <c r="I199" s="68">
        <f xml:space="preserve"> Debt!I$508</f>
        <v>0</v>
      </c>
      <c r="J199" s="68">
        <f ca="1" xml:space="preserve"> Debt!J$508</f>
        <v>0</v>
      </c>
      <c r="K199" s="68">
        <f ca="1" xml:space="preserve"> Debt!K$508</f>
        <v>0</v>
      </c>
      <c r="L199" s="68">
        <f ca="1" xml:space="preserve"> Debt!L$508</f>
        <v>0</v>
      </c>
      <c r="M199" s="68">
        <f ca="1" xml:space="preserve"> Debt!M$508</f>
        <v>0</v>
      </c>
      <c r="N199" s="68">
        <f ca="1" xml:space="preserve"> Debt!N$508</f>
        <v>0</v>
      </c>
      <c r="O199" s="68">
        <f ca="1" xml:space="preserve"> Debt!O$508</f>
        <v>1333.6976205565661</v>
      </c>
      <c r="P199" s="68">
        <f ca="1" xml:space="preserve"> Debt!P$508</f>
        <v>853.13042279723049</v>
      </c>
      <c r="Q199" s="68">
        <f ca="1" xml:space="preserve"> Debt!Q$508</f>
        <v>790.19410909212456</v>
      </c>
      <c r="R199" s="68">
        <f ca="1" xml:space="preserve"> Debt!R$508</f>
        <v>825.35829217683931</v>
      </c>
      <c r="S199" s="68">
        <f ca="1" xml:space="preserve"> Debt!S$508</f>
        <v>762.30788647574263</v>
      </c>
      <c r="T199" s="68">
        <f ca="1" xml:space="preserve"> Debt!T$508</f>
        <v>789.60079009818401</v>
      </c>
      <c r="U199" s="68">
        <f ca="1" xml:space="preserve"> Debt!U$508</f>
        <v>741.46757468341821</v>
      </c>
      <c r="V199" s="68">
        <f ca="1" xml:space="preserve"> Debt!V$508</f>
        <v>760.88419370646443</v>
      </c>
      <c r="W199" s="68">
        <f ca="1" xml:space="preserve"> Debt!W$508</f>
        <v>696.66326879112785</v>
      </c>
      <c r="X199" s="68">
        <f ca="1" xml:space="preserve"> Debt!X$508</f>
        <v>739.19875869376119</v>
      </c>
      <c r="Y199" s="68">
        <f ca="1" xml:space="preserve"> Debt!Y$508</f>
        <v>675.77845086423076</v>
      </c>
      <c r="Z199" s="68">
        <f ca="1" xml:space="preserve"> Debt!Z$508</f>
        <v>709.49871970328786</v>
      </c>
      <c r="AA199" s="68">
        <f ca="1" xml:space="preserve"> Debt!AA$508</f>
        <v>645.94561214004716</v>
      </c>
      <c r="AB199" s="68">
        <f ca="1" xml:space="preserve"> Debt!AB$508</f>
        <v>672.02018991900695</v>
      </c>
      <c r="AC199" s="68">
        <f ca="1" xml:space="preserve"> Debt!AC$508</f>
        <v>622.87271215417604</v>
      </c>
      <c r="AD199" s="68">
        <f ca="1" xml:space="preserve"> Debt!AD$508</f>
        <v>641.29616078062463</v>
      </c>
      <c r="AE199" s="68">
        <f ca="1" xml:space="preserve"> Debt!AE$508</f>
        <v>576.69901543492961</v>
      </c>
      <c r="AF199" s="68">
        <f ca="1" xml:space="preserve"> Debt!AF$508</f>
        <v>617.31608587360824</v>
      </c>
      <c r="AG199" s="68">
        <f ca="1" xml:space="preserve"> Debt!AG$508</f>
        <v>553.33479011720556</v>
      </c>
      <c r="AH199" s="68">
        <f ca="1" xml:space="preserve"> Debt!AH$508</f>
        <v>585.52587165296791</v>
      </c>
      <c r="AI199" s="68">
        <f ca="1" xml:space="preserve"> Debt!AI$508</f>
        <v>521.39160383262424</v>
      </c>
      <c r="AJ199" s="68">
        <f ca="1" xml:space="preserve"> Debt!AJ$508</f>
        <v>546.17434291308746</v>
      </c>
      <c r="AK199" s="68">
        <f ca="1" xml:space="preserve"> Debt!AK$508</f>
        <v>495.90556629246748</v>
      </c>
      <c r="AL199" s="68">
        <f ca="1" xml:space="preserve"> Debt!AL$508</f>
        <v>513.27405606138927</v>
      </c>
      <c r="AM199" s="68">
        <f ca="1" xml:space="preserve"> Debt!AM$508</f>
        <v>448.23093724782666</v>
      </c>
      <c r="AN199" s="68">
        <f ca="1" xml:space="preserve"> Debt!AN$508</f>
        <v>486.81359094925028</v>
      </c>
      <c r="AO199" s="68">
        <f ca="1" xml:space="preserve"> Debt!AO$508</f>
        <v>422.18829518086204</v>
      </c>
      <c r="AP199" s="68">
        <f ca="1" xml:space="preserve"> Debt!AP$508</f>
        <v>452.75755789060349</v>
      </c>
      <c r="AQ199" s="68">
        <f ca="1" xml:space="preserve"> Debt!AQ$508</f>
        <v>387.95679973809092</v>
      </c>
      <c r="AR199" s="68">
        <f ca="1" xml:space="preserve"> Debt!AR$508</f>
        <v>411.3676207642111</v>
      </c>
      <c r="AS199" s="68">
        <f ca="1" xml:space="preserve"> Debt!AS$508</f>
        <v>359.8606458766335</v>
      </c>
      <c r="AT199" s="68">
        <f ca="1" xml:space="preserve"> Debt!AT$508</f>
        <v>376.10535407469251</v>
      </c>
      <c r="AU199" s="68">
        <f ca="1" xml:space="preserve"> Debt!AU$508</f>
        <v>5170.462221888959</v>
      </c>
      <c r="AV199" s="68">
        <f ca="1" xml:space="preserve"> Debt!AV$508</f>
        <v>5154.6259489705117</v>
      </c>
      <c r="AW199" s="68">
        <f ca="1" xml:space="preserve"> Debt!AW$508</f>
        <v>9947.8757418349815</v>
      </c>
      <c r="AX199" s="68">
        <f ca="1" xml:space="preserve"> Debt!AX$508</f>
        <v>9872.4529188595952</v>
      </c>
      <c r="AY199" s="68">
        <f ca="1" xml:space="preserve"> Debt!AY$508</f>
        <v>9803.2474683903492</v>
      </c>
      <c r="AZ199" s="68">
        <f ca="1" xml:space="preserve"> Debt!AZ$508</f>
        <v>9727.8684938216247</v>
      </c>
      <c r="BA199" s="68">
        <f ca="1" xml:space="preserve"> Debt!BA$508</f>
        <v>9656.395179685629</v>
      </c>
      <c r="BB199" s="68">
        <f ca="1" xml:space="preserve"> Debt!BB$508</f>
        <v>12057.385843762037</v>
      </c>
      <c r="BC199" s="68">
        <f ca="1" xml:space="preserve"> Debt!BC$508</f>
        <v>0</v>
      </c>
      <c r="BD199" s="68">
        <f ca="1" xml:space="preserve"> Debt!BD$508</f>
        <v>0</v>
      </c>
      <c r="BE199" s="68">
        <f ca="1" xml:space="preserve"> Debt!BE$508</f>
        <v>0</v>
      </c>
      <c r="BF199" s="68">
        <f ca="1" xml:space="preserve"> Debt!BF$508</f>
        <v>0</v>
      </c>
      <c r="BG199" s="68">
        <f ca="1" xml:space="preserve"> Debt!BG$508</f>
        <v>0</v>
      </c>
      <c r="BH199" s="68">
        <f ca="1" xml:space="preserve"> Debt!BH$508</f>
        <v>0</v>
      </c>
      <c r="BI199" s="68">
        <f ca="1" xml:space="preserve"> Debt!BI$508</f>
        <v>0</v>
      </c>
      <c r="BJ199" s="68">
        <f ca="1" xml:space="preserve"> Debt!BJ$508</f>
        <v>0</v>
      </c>
      <c r="BK199" s="68">
        <f ca="1" xml:space="preserve"> Debt!BK$508</f>
        <v>0</v>
      </c>
      <c r="BL199" s="68">
        <f ca="1" xml:space="preserve"> Debt!BL$508</f>
        <v>0</v>
      </c>
      <c r="BM199" s="68">
        <f ca="1" xml:space="preserve"> Debt!BM$508</f>
        <v>0</v>
      </c>
      <c r="BN199" s="68">
        <f ca="1" xml:space="preserve"> Debt!BN$508</f>
        <v>0</v>
      </c>
      <c r="BO199" s="68">
        <f ca="1" xml:space="preserve"> Debt!BO$508</f>
        <v>0</v>
      </c>
      <c r="BP199" s="68">
        <f ca="1" xml:space="preserve"> Debt!BP$508</f>
        <v>0</v>
      </c>
      <c r="BQ199" s="68">
        <f ca="1" xml:space="preserve"> Debt!BQ$508</f>
        <v>0</v>
      </c>
      <c r="BR199" s="68">
        <f ca="1" xml:space="preserve"> Debt!BR$508</f>
        <v>0</v>
      </c>
      <c r="BS199" s="68">
        <f ca="1" xml:space="preserve"> Debt!BS$508</f>
        <v>0</v>
      </c>
      <c r="BT199" s="68">
        <f ca="1" xml:space="preserve"> Debt!BT$508</f>
        <v>0</v>
      </c>
      <c r="BU199" s="68">
        <f ca="1" xml:space="preserve"> Debt!BU$508</f>
        <v>0</v>
      </c>
      <c r="BV199" s="68">
        <f ca="1" xml:space="preserve"> Debt!BV$508</f>
        <v>0</v>
      </c>
      <c r="BW199" s="68">
        <f ca="1" xml:space="preserve"> Debt!BW$508</f>
        <v>0</v>
      </c>
      <c r="BX199" s="68">
        <f ca="1" xml:space="preserve"> Debt!BX$508</f>
        <v>0</v>
      </c>
      <c r="BY199" s="68">
        <f ca="1" xml:space="preserve"> Debt!BY$508</f>
        <v>0</v>
      </c>
      <c r="BZ199" s="68">
        <f ca="1" xml:space="preserve"> Debt!BZ$508</f>
        <v>0</v>
      </c>
      <c r="CA199" s="68">
        <f ca="1" xml:space="preserve"> Debt!CA$508</f>
        <v>0</v>
      </c>
      <c r="CB199" s="68">
        <f ca="1" xml:space="preserve"> Debt!CB$508</f>
        <v>0</v>
      </c>
      <c r="CC199" s="68">
        <f ca="1" xml:space="preserve"> Debt!CC$508</f>
        <v>0</v>
      </c>
      <c r="CD199" s="68">
        <f ca="1" xml:space="preserve"> Debt!CD$508</f>
        <v>0</v>
      </c>
      <c r="CE199" s="68">
        <f ca="1" xml:space="preserve"> Debt!CE$508</f>
        <v>0</v>
      </c>
      <c r="CF199" s="68">
        <f ca="1" xml:space="preserve"> Debt!CF$508</f>
        <v>0</v>
      </c>
      <c r="CG199" s="68">
        <f ca="1" xml:space="preserve"> Debt!CG$508</f>
        <v>0</v>
      </c>
      <c r="CH199" s="68">
        <f ca="1" xml:space="preserve"> Debt!CH$508</f>
        <v>0</v>
      </c>
      <c r="CI199" s="68">
        <f ca="1" xml:space="preserve"> Debt!CI$508</f>
        <v>0</v>
      </c>
      <c r="CJ199" s="68">
        <f ca="1" xml:space="preserve"> Debt!CJ$508</f>
        <v>0</v>
      </c>
      <c r="CK199" s="68">
        <f ca="1" xml:space="preserve"> Debt!CK$508</f>
        <v>0</v>
      </c>
      <c r="CL199" s="68">
        <f ca="1" xml:space="preserve"> Debt!CL$508</f>
        <v>0</v>
      </c>
      <c r="CM199" s="68">
        <f ca="1" xml:space="preserve"> Debt!CM$508</f>
        <v>0</v>
      </c>
      <c r="CN199" s="68">
        <f ca="1" xml:space="preserve"> Debt!CN$508</f>
        <v>0</v>
      </c>
      <c r="CO199" s="68">
        <f ca="1" xml:space="preserve"> Debt!CO$508</f>
        <v>0</v>
      </c>
      <c r="CP199" s="68">
        <f ca="1" xml:space="preserve"> Debt!CP$508</f>
        <v>0</v>
      </c>
      <c r="CQ199" s="68">
        <f ca="1" xml:space="preserve"> Debt!CQ$508</f>
        <v>0</v>
      </c>
      <c r="CR199" s="68">
        <f ca="1" xml:space="preserve"> Debt!CR$508</f>
        <v>0</v>
      </c>
      <c r="CS199" s="68">
        <f ca="1" xml:space="preserve"> Debt!CS$508</f>
        <v>0</v>
      </c>
      <c r="CT199" s="68">
        <f ca="1" xml:space="preserve"> Debt!CT$508</f>
        <v>0</v>
      </c>
      <c r="CU199" s="68">
        <f ca="1" xml:space="preserve"> Debt!CU$508</f>
        <v>0</v>
      </c>
      <c r="CV199" s="68">
        <f ca="1" xml:space="preserve"> Debt!CV$508</f>
        <v>0</v>
      </c>
    </row>
    <row r="200" spans="1:100" outlineLevel="1" x14ac:dyDescent="0.2">
      <c r="A200" s="85"/>
      <c r="B200" s="85"/>
      <c r="C200" s="86"/>
      <c r="D200" s="238" t="s">
        <v>1287</v>
      </c>
      <c r="E200" s="68" t="str">
        <f xml:space="preserve"> Debt!E$523</f>
        <v>Shareholder loan principal repayment - P99 POS</v>
      </c>
      <c r="F200" s="68">
        <f xml:space="preserve"> Debt!F$523</f>
        <v>0</v>
      </c>
      <c r="G200" s="68" t="str">
        <f xml:space="preserve"> Debt!G$523</f>
        <v>$ 000s</v>
      </c>
      <c r="H200" s="68">
        <f ca="1" xml:space="preserve"> Debt!H$523</f>
        <v>0</v>
      </c>
      <c r="I200" s="68">
        <f xml:space="preserve"> Debt!I$523</f>
        <v>0</v>
      </c>
      <c r="J200" s="68">
        <f ca="1" xml:space="preserve"> Debt!J$523</f>
        <v>0</v>
      </c>
      <c r="K200" s="68">
        <f ca="1" xml:space="preserve"> Debt!K$523</f>
        <v>0</v>
      </c>
      <c r="L200" s="68">
        <f ca="1" xml:space="preserve"> Debt!L$523</f>
        <v>0</v>
      </c>
      <c r="M200" s="68">
        <f ca="1" xml:space="preserve"> Debt!M$523</f>
        <v>0</v>
      </c>
      <c r="N200" s="68">
        <f ca="1" xml:space="preserve"> Debt!N$523</f>
        <v>0</v>
      </c>
      <c r="O200" s="68">
        <f ca="1" xml:space="preserve"> Debt!O$523</f>
        <v>0</v>
      </c>
      <c r="P200" s="68">
        <f ca="1" xml:space="preserve"> Debt!P$523</f>
        <v>0</v>
      </c>
      <c r="Q200" s="68">
        <f ca="1" xml:space="preserve"> Debt!Q$523</f>
        <v>0</v>
      </c>
      <c r="R200" s="68">
        <f ca="1" xml:space="preserve"> Debt!R$523</f>
        <v>0</v>
      </c>
      <c r="S200" s="68">
        <f ca="1" xml:space="preserve"> Debt!S$523</f>
        <v>0</v>
      </c>
      <c r="T200" s="68">
        <f ca="1" xml:space="preserve"> Debt!T$523</f>
        <v>0</v>
      </c>
      <c r="U200" s="68">
        <f ca="1" xml:space="preserve"> Debt!U$523</f>
        <v>0</v>
      </c>
      <c r="V200" s="68">
        <f ca="1" xml:space="preserve"> Debt!V$523</f>
        <v>0</v>
      </c>
      <c r="W200" s="68">
        <f ca="1" xml:space="preserve"> Debt!W$523</f>
        <v>0</v>
      </c>
      <c r="X200" s="68">
        <f ca="1" xml:space="preserve"> Debt!X$523</f>
        <v>0</v>
      </c>
      <c r="Y200" s="68">
        <f ca="1" xml:space="preserve"> Debt!Y$523</f>
        <v>0</v>
      </c>
      <c r="Z200" s="68">
        <f ca="1" xml:space="preserve"> Debt!Z$523</f>
        <v>0</v>
      </c>
      <c r="AA200" s="68">
        <f ca="1" xml:space="preserve"> Debt!AA$523</f>
        <v>0</v>
      </c>
      <c r="AB200" s="68">
        <f ca="1" xml:space="preserve"> Debt!AB$523</f>
        <v>0</v>
      </c>
      <c r="AC200" s="68">
        <f ca="1" xml:space="preserve"> Debt!AC$523</f>
        <v>0</v>
      </c>
      <c r="AD200" s="68">
        <f ca="1" xml:space="preserve"> Debt!AD$523</f>
        <v>0</v>
      </c>
      <c r="AE200" s="68">
        <f ca="1" xml:space="preserve"> Debt!AE$523</f>
        <v>0</v>
      </c>
      <c r="AF200" s="68">
        <f ca="1" xml:space="preserve"> Debt!AF$523</f>
        <v>0</v>
      </c>
      <c r="AG200" s="68">
        <f ca="1" xml:space="preserve"> Debt!AG$523</f>
        <v>0</v>
      </c>
      <c r="AH200" s="68">
        <f ca="1" xml:space="preserve"> Debt!AH$523</f>
        <v>0</v>
      </c>
      <c r="AI200" s="68">
        <f ca="1" xml:space="preserve"> Debt!AI$523</f>
        <v>0</v>
      </c>
      <c r="AJ200" s="68">
        <f ca="1" xml:space="preserve"> Debt!AJ$523</f>
        <v>0</v>
      </c>
      <c r="AK200" s="68">
        <f ca="1" xml:space="preserve"> Debt!AK$523</f>
        <v>0</v>
      </c>
      <c r="AL200" s="68">
        <f ca="1" xml:space="preserve"> Debt!AL$523</f>
        <v>0</v>
      </c>
      <c r="AM200" s="68">
        <f ca="1" xml:space="preserve"> Debt!AM$523</f>
        <v>0</v>
      </c>
      <c r="AN200" s="68">
        <f ca="1" xml:space="preserve"> Debt!AN$523</f>
        <v>0</v>
      </c>
      <c r="AO200" s="68">
        <f ca="1" xml:space="preserve"> Debt!AO$523</f>
        <v>0</v>
      </c>
      <c r="AP200" s="68">
        <f ca="1" xml:space="preserve"> Debt!AP$523</f>
        <v>0</v>
      </c>
      <c r="AQ200" s="68">
        <f ca="1" xml:space="preserve"> Debt!AQ$523</f>
        <v>0</v>
      </c>
      <c r="AR200" s="68">
        <f ca="1" xml:space="preserve"> Debt!AR$523</f>
        <v>0</v>
      </c>
      <c r="AS200" s="68">
        <f ca="1" xml:space="preserve"> Debt!AS$523</f>
        <v>0</v>
      </c>
      <c r="AT200" s="68">
        <f ca="1" xml:space="preserve"> Debt!AT$523</f>
        <v>0</v>
      </c>
      <c r="AU200" s="68">
        <f ca="1" xml:space="preserve"> Debt!AU$523</f>
        <v>0</v>
      </c>
      <c r="AV200" s="68">
        <f ca="1" xml:space="preserve"> Debt!AV$523</f>
        <v>0</v>
      </c>
      <c r="AW200" s="68">
        <f ca="1" xml:space="preserve"> Debt!AW$523</f>
        <v>0</v>
      </c>
      <c r="AX200" s="68">
        <f ca="1" xml:space="preserve"> Debt!AX$523</f>
        <v>0</v>
      </c>
      <c r="AY200" s="68">
        <f ca="1" xml:space="preserve"> Debt!AY$523</f>
        <v>0</v>
      </c>
      <c r="AZ200" s="68">
        <f ca="1" xml:space="preserve"> Debt!AZ$523</f>
        <v>0</v>
      </c>
      <c r="BA200" s="68">
        <f ca="1" xml:space="preserve"> Debt!BA$523</f>
        <v>0</v>
      </c>
      <c r="BB200" s="68">
        <f ca="1" xml:space="preserve"> Debt!BB$523</f>
        <v>0</v>
      </c>
      <c r="BC200" s="68">
        <f ca="1" xml:space="preserve"> Debt!BC$523</f>
        <v>0</v>
      </c>
      <c r="BD200" s="68">
        <f ca="1" xml:space="preserve"> Debt!BD$523</f>
        <v>0</v>
      </c>
      <c r="BE200" s="68">
        <f ca="1" xml:space="preserve"> Debt!BE$523</f>
        <v>0</v>
      </c>
      <c r="BF200" s="68">
        <f ca="1" xml:space="preserve"> Debt!BF$523</f>
        <v>0</v>
      </c>
      <c r="BG200" s="68">
        <f ca="1" xml:space="preserve"> Debt!BG$523</f>
        <v>0</v>
      </c>
      <c r="BH200" s="68">
        <f ca="1" xml:space="preserve"> Debt!BH$523</f>
        <v>0</v>
      </c>
      <c r="BI200" s="68">
        <f ca="1" xml:space="preserve"> Debt!BI$523</f>
        <v>0</v>
      </c>
      <c r="BJ200" s="68">
        <f ca="1" xml:space="preserve"> Debt!BJ$523</f>
        <v>0</v>
      </c>
      <c r="BK200" s="68">
        <f ca="1" xml:space="preserve"> Debt!BK$523</f>
        <v>0</v>
      </c>
      <c r="BL200" s="68">
        <f ca="1" xml:space="preserve"> Debt!BL$523</f>
        <v>0</v>
      </c>
      <c r="BM200" s="68">
        <f ca="1" xml:space="preserve"> Debt!BM$523</f>
        <v>0</v>
      </c>
      <c r="BN200" s="68">
        <f ca="1" xml:space="preserve"> Debt!BN$523</f>
        <v>0</v>
      </c>
      <c r="BO200" s="68">
        <f ca="1" xml:space="preserve"> Debt!BO$523</f>
        <v>0</v>
      </c>
      <c r="BP200" s="68">
        <f ca="1" xml:space="preserve"> Debt!BP$523</f>
        <v>0</v>
      </c>
      <c r="BQ200" s="68">
        <f ca="1" xml:space="preserve"> Debt!BQ$523</f>
        <v>0</v>
      </c>
      <c r="BR200" s="68">
        <f ca="1" xml:space="preserve"> Debt!BR$523</f>
        <v>0</v>
      </c>
      <c r="BS200" s="68">
        <f ca="1" xml:space="preserve"> Debt!BS$523</f>
        <v>0</v>
      </c>
      <c r="BT200" s="68">
        <f ca="1" xml:space="preserve"> Debt!BT$523</f>
        <v>0</v>
      </c>
      <c r="BU200" s="68">
        <f ca="1" xml:space="preserve"> Debt!BU$523</f>
        <v>0</v>
      </c>
      <c r="BV200" s="68">
        <f ca="1" xml:space="preserve"> Debt!BV$523</f>
        <v>0</v>
      </c>
      <c r="BW200" s="68">
        <f ca="1" xml:space="preserve"> Debt!BW$523</f>
        <v>0</v>
      </c>
      <c r="BX200" s="68">
        <f ca="1" xml:space="preserve"> Debt!BX$523</f>
        <v>0</v>
      </c>
      <c r="BY200" s="68">
        <f ca="1" xml:space="preserve"> Debt!BY$523</f>
        <v>0</v>
      </c>
      <c r="BZ200" s="68">
        <f ca="1" xml:space="preserve"> Debt!BZ$523</f>
        <v>0</v>
      </c>
      <c r="CA200" s="68">
        <f ca="1" xml:space="preserve"> Debt!CA$523</f>
        <v>0</v>
      </c>
      <c r="CB200" s="68">
        <f ca="1" xml:space="preserve"> Debt!CB$523</f>
        <v>0</v>
      </c>
      <c r="CC200" s="68">
        <f ca="1" xml:space="preserve"> Debt!CC$523</f>
        <v>0</v>
      </c>
      <c r="CD200" s="68">
        <f ca="1" xml:space="preserve"> Debt!CD$523</f>
        <v>0</v>
      </c>
      <c r="CE200" s="68">
        <f ca="1" xml:space="preserve"> Debt!CE$523</f>
        <v>0</v>
      </c>
      <c r="CF200" s="68">
        <f ca="1" xml:space="preserve"> Debt!CF$523</f>
        <v>0</v>
      </c>
      <c r="CG200" s="68">
        <f ca="1" xml:space="preserve"> Debt!CG$523</f>
        <v>0</v>
      </c>
      <c r="CH200" s="68">
        <f ca="1" xml:space="preserve"> Debt!CH$523</f>
        <v>0</v>
      </c>
      <c r="CI200" s="68">
        <f ca="1" xml:space="preserve"> Debt!CI$523</f>
        <v>0</v>
      </c>
      <c r="CJ200" s="68">
        <f ca="1" xml:space="preserve"> Debt!CJ$523</f>
        <v>0</v>
      </c>
      <c r="CK200" s="68">
        <f ca="1" xml:space="preserve"> Debt!CK$523</f>
        <v>0</v>
      </c>
      <c r="CL200" s="68">
        <f ca="1" xml:space="preserve"> Debt!CL$523</f>
        <v>0</v>
      </c>
      <c r="CM200" s="68">
        <f ca="1" xml:space="preserve"> Debt!CM$523</f>
        <v>0</v>
      </c>
      <c r="CN200" s="68">
        <f ca="1" xml:space="preserve"> Debt!CN$523</f>
        <v>0</v>
      </c>
      <c r="CO200" s="68">
        <f ca="1" xml:space="preserve"> Debt!CO$523</f>
        <v>0</v>
      </c>
      <c r="CP200" s="68">
        <f ca="1" xml:space="preserve"> Debt!CP$523</f>
        <v>0</v>
      </c>
      <c r="CQ200" s="68">
        <f ca="1" xml:space="preserve"> Debt!CQ$523</f>
        <v>0</v>
      </c>
      <c r="CR200" s="68">
        <f ca="1" xml:space="preserve"> Debt!CR$523</f>
        <v>0</v>
      </c>
      <c r="CS200" s="68">
        <f ca="1" xml:space="preserve"> Debt!CS$523</f>
        <v>0</v>
      </c>
      <c r="CT200" s="68">
        <f ca="1" xml:space="preserve"> Debt!CT$523</f>
        <v>0</v>
      </c>
      <c r="CU200" s="68">
        <f ca="1" xml:space="preserve"> Debt!CU$523</f>
        <v>0</v>
      </c>
      <c r="CV200" s="68">
        <f ca="1" xml:space="preserve"> Debt!CV$523</f>
        <v>0</v>
      </c>
    </row>
    <row r="201" spans="1:100" s="125" customFormat="1" outlineLevel="1" x14ac:dyDescent="0.2">
      <c r="A201" s="85"/>
      <c r="B201" s="85"/>
      <c r="C201" s="86"/>
      <c r="D201" s="238" t="s">
        <v>1287</v>
      </c>
      <c r="E201" s="396" t="str">
        <f xml:space="preserve"> Equity!E$93</f>
        <v>Share capital redemption - P99 POS</v>
      </c>
      <c r="F201" s="396">
        <f xml:space="preserve"> Equity!F$93</f>
        <v>0</v>
      </c>
      <c r="G201" s="396" t="str">
        <f xml:space="preserve"> Equity!G$93</f>
        <v>$ 000s</v>
      </c>
      <c r="H201" s="396">
        <f ca="1" xml:space="preserve"> Equity!H$93</f>
        <v>0</v>
      </c>
      <c r="I201" s="396">
        <f xml:space="preserve"> Equity!I$93</f>
        <v>0</v>
      </c>
      <c r="J201" s="396">
        <f ca="1" xml:space="preserve"> Equity!J$93</f>
        <v>0</v>
      </c>
      <c r="K201" s="396">
        <f ca="1" xml:space="preserve"> Equity!K$93</f>
        <v>0</v>
      </c>
      <c r="L201" s="396">
        <f ca="1" xml:space="preserve"> Equity!L$93</f>
        <v>0</v>
      </c>
      <c r="M201" s="396">
        <f ca="1" xml:space="preserve"> Equity!M$93</f>
        <v>0</v>
      </c>
      <c r="N201" s="396">
        <f ca="1" xml:space="preserve"> Equity!N$93</f>
        <v>0</v>
      </c>
      <c r="O201" s="396">
        <f ca="1" xml:space="preserve"> Equity!O$93</f>
        <v>0</v>
      </c>
      <c r="P201" s="396">
        <f ca="1" xml:space="preserve"> Equity!P$93</f>
        <v>0</v>
      </c>
      <c r="Q201" s="396">
        <f ca="1" xml:space="preserve"> Equity!Q$93</f>
        <v>0</v>
      </c>
      <c r="R201" s="396">
        <f ca="1" xml:space="preserve"> Equity!R$93</f>
        <v>0</v>
      </c>
      <c r="S201" s="396">
        <f ca="1" xml:space="preserve"> Equity!S$93</f>
        <v>0</v>
      </c>
      <c r="T201" s="396">
        <f ca="1" xml:space="preserve"> Equity!T$93</f>
        <v>0</v>
      </c>
      <c r="U201" s="396">
        <f ca="1" xml:space="preserve"> Equity!U$93</f>
        <v>0</v>
      </c>
      <c r="V201" s="396">
        <f ca="1" xml:space="preserve"> Equity!V$93</f>
        <v>0</v>
      </c>
      <c r="W201" s="396">
        <f ca="1" xml:space="preserve"> Equity!W$93</f>
        <v>0</v>
      </c>
      <c r="X201" s="396">
        <f ca="1" xml:space="preserve"> Equity!X$93</f>
        <v>0</v>
      </c>
      <c r="Y201" s="396">
        <f ca="1" xml:space="preserve"> Equity!Y$93</f>
        <v>0</v>
      </c>
      <c r="Z201" s="396">
        <f ca="1" xml:space="preserve"> Equity!Z$93</f>
        <v>0</v>
      </c>
      <c r="AA201" s="396">
        <f ca="1" xml:space="preserve"> Equity!AA$93</f>
        <v>0</v>
      </c>
      <c r="AB201" s="396">
        <f ca="1" xml:space="preserve"> Equity!AB$93</f>
        <v>0</v>
      </c>
      <c r="AC201" s="396">
        <f ca="1" xml:space="preserve"> Equity!AC$93</f>
        <v>0</v>
      </c>
      <c r="AD201" s="396">
        <f ca="1" xml:space="preserve"> Equity!AD$93</f>
        <v>0</v>
      </c>
      <c r="AE201" s="396">
        <f ca="1" xml:space="preserve"> Equity!AE$93</f>
        <v>0</v>
      </c>
      <c r="AF201" s="396">
        <f ca="1" xml:space="preserve"> Equity!AF$93</f>
        <v>0</v>
      </c>
      <c r="AG201" s="396">
        <f ca="1" xml:space="preserve"> Equity!AG$93</f>
        <v>0</v>
      </c>
      <c r="AH201" s="396">
        <f ca="1" xml:space="preserve"> Equity!AH$93</f>
        <v>0</v>
      </c>
      <c r="AI201" s="396">
        <f ca="1" xml:space="preserve"> Equity!AI$93</f>
        <v>0</v>
      </c>
      <c r="AJ201" s="396">
        <f ca="1" xml:space="preserve"> Equity!AJ$93</f>
        <v>0</v>
      </c>
      <c r="AK201" s="396">
        <f ca="1" xml:space="preserve"> Equity!AK$93</f>
        <v>0</v>
      </c>
      <c r="AL201" s="396">
        <f ca="1" xml:space="preserve"> Equity!AL$93</f>
        <v>0</v>
      </c>
      <c r="AM201" s="396">
        <f ca="1" xml:space="preserve"> Equity!AM$93</f>
        <v>0</v>
      </c>
      <c r="AN201" s="396">
        <f ca="1" xml:space="preserve"> Equity!AN$93</f>
        <v>0</v>
      </c>
      <c r="AO201" s="396">
        <f ca="1" xml:space="preserve"> Equity!AO$93</f>
        <v>0</v>
      </c>
      <c r="AP201" s="396">
        <f ca="1" xml:space="preserve"> Equity!AP$93</f>
        <v>0</v>
      </c>
      <c r="AQ201" s="396">
        <f ca="1" xml:space="preserve"> Equity!AQ$93</f>
        <v>0</v>
      </c>
      <c r="AR201" s="396">
        <f ca="1" xml:space="preserve"> Equity!AR$93</f>
        <v>0</v>
      </c>
      <c r="AS201" s="396">
        <f ca="1" xml:space="preserve"> Equity!AS$93</f>
        <v>0</v>
      </c>
      <c r="AT201" s="396">
        <f ca="1" xml:space="preserve"> Equity!AT$93</f>
        <v>0</v>
      </c>
      <c r="AU201" s="396">
        <f ca="1" xml:space="preserve"> Equity!AU$93</f>
        <v>0</v>
      </c>
      <c r="AV201" s="396">
        <f ca="1" xml:space="preserve"> Equity!AV$93</f>
        <v>0</v>
      </c>
      <c r="AW201" s="396">
        <f ca="1" xml:space="preserve"> Equity!AW$93</f>
        <v>0</v>
      </c>
      <c r="AX201" s="396">
        <f ca="1" xml:space="preserve"> Equity!AX$93</f>
        <v>0</v>
      </c>
      <c r="AY201" s="396">
        <f ca="1" xml:space="preserve"> Equity!AY$93</f>
        <v>0</v>
      </c>
      <c r="AZ201" s="396">
        <f ca="1" xml:space="preserve"> Equity!AZ$93</f>
        <v>0</v>
      </c>
      <c r="BA201" s="396">
        <f ca="1" xml:space="preserve"> Equity!BA$93</f>
        <v>0</v>
      </c>
      <c r="BB201" s="396">
        <f ca="1" xml:space="preserve"> Equity!BB$93</f>
        <v>0</v>
      </c>
      <c r="BC201" s="396">
        <f ca="1" xml:space="preserve"> Equity!BC$93</f>
        <v>0</v>
      </c>
      <c r="BD201" s="396">
        <f ca="1" xml:space="preserve"> Equity!BD$93</f>
        <v>0</v>
      </c>
      <c r="BE201" s="396">
        <f ca="1" xml:space="preserve"> Equity!BE$93</f>
        <v>0</v>
      </c>
      <c r="BF201" s="396">
        <f ca="1" xml:space="preserve"> Equity!BF$93</f>
        <v>0</v>
      </c>
      <c r="BG201" s="396">
        <f ca="1" xml:space="preserve"> Equity!BG$93</f>
        <v>0</v>
      </c>
      <c r="BH201" s="396">
        <f ca="1" xml:space="preserve"> Equity!BH$93</f>
        <v>0</v>
      </c>
      <c r="BI201" s="396">
        <f ca="1" xml:space="preserve"> Equity!BI$93</f>
        <v>0</v>
      </c>
      <c r="BJ201" s="396">
        <f ca="1" xml:space="preserve"> Equity!BJ$93</f>
        <v>0</v>
      </c>
      <c r="BK201" s="396">
        <f ca="1" xml:space="preserve"> Equity!BK$93</f>
        <v>0</v>
      </c>
      <c r="BL201" s="396">
        <f ca="1" xml:space="preserve"> Equity!BL$93</f>
        <v>0</v>
      </c>
      <c r="BM201" s="396">
        <f ca="1" xml:space="preserve"> Equity!BM$93</f>
        <v>0</v>
      </c>
      <c r="BN201" s="396">
        <f ca="1" xml:space="preserve"> Equity!BN$93</f>
        <v>0</v>
      </c>
      <c r="BO201" s="396">
        <f ca="1" xml:space="preserve"> Equity!BO$93</f>
        <v>0</v>
      </c>
      <c r="BP201" s="396">
        <f ca="1" xml:space="preserve"> Equity!BP$93</f>
        <v>0</v>
      </c>
      <c r="BQ201" s="396">
        <f ca="1" xml:space="preserve"> Equity!BQ$93</f>
        <v>0</v>
      </c>
      <c r="BR201" s="396">
        <f ca="1" xml:space="preserve"> Equity!BR$93</f>
        <v>0</v>
      </c>
      <c r="BS201" s="396">
        <f ca="1" xml:space="preserve"> Equity!BS$93</f>
        <v>0</v>
      </c>
      <c r="BT201" s="396">
        <f ca="1" xml:space="preserve"> Equity!BT$93</f>
        <v>0</v>
      </c>
      <c r="BU201" s="396">
        <f ca="1" xml:space="preserve"> Equity!BU$93</f>
        <v>0</v>
      </c>
      <c r="BV201" s="396">
        <f ca="1" xml:space="preserve"> Equity!BV$93</f>
        <v>0</v>
      </c>
      <c r="BW201" s="396">
        <f ca="1" xml:space="preserve"> Equity!BW$93</f>
        <v>0</v>
      </c>
      <c r="BX201" s="396">
        <f ca="1" xml:space="preserve"> Equity!BX$93</f>
        <v>0</v>
      </c>
      <c r="BY201" s="396">
        <f ca="1" xml:space="preserve"> Equity!BY$93</f>
        <v>0</v>
      </c>
      <c r="BZ201" s="396">
        <f ca="1" xml:space="preserve"> Equity!BZ$93</f>
        <v>0</v>
      </c>
      <c r="CA201" s="396">
        <f ca="1" xml:space="preserve"> Equity!CA$93</f>
        <v>0</v>
      </c>
      <c r="CB201" s="396">
        <f ca="1" xml:space="preserve"> Equity!CB$93</f>
        <v>0</v>
      </c>
      <c r="CC201" s="396">
        <f ca="1" xml:space="preserve"> Equity!CC$93</f>
        <v>0</v>
      </c>
      <c r="CD201" s="396">
        <f ca="1" xml:space="preserve"> Equity!CD$93</f>
        <v>0</v>
      </c>
      <c r="CE201" s="396">
        <f ca="1" xml:space="preserve"> Equity!CE$93</f>
        <v>0</v>
      </c>
      <c r="CF201" s="396">
        <f ca="1" xml:space="preserve"> Equity!CF$93</f>
        <v>0</v>
      </c>
      <c r="CG201" s="396">
        <f ca="1" xml:space="preserve"> Equity!CG$93</f>
        <v>0</v>
      </c>
      <c r="CH201" s="396">
        <f ca="1" xml:space="preserve"> Equity!CH$93</f>
        <v>0</v>
      </c>
      <c r="CI201" s="396">
        <f ca="1" xml:space="preserve"> Equity!CI$93</f>
        <v>0</v>
      </c>
      <c r="CJ201" s="396">
        <f ca="1" xml:space="preserve"> Equity!CJ$93</f>
        <v>0</v>
      </c>
      <c r="CK201" s="396">
        <f ca="1" xml:space="preserve"> Equity!CK$93</f>
        <v>0</v>
      </c>
      <c r="CL201" s="396">
        <f ca="1" xml:space="preserve"> Equity!CL$93</f>
        <v>0</v>
      </c>
      <c r="CM201" s="396">
        <f ca="1" xml:space="preserve"> Equity!CM$93</f>
        <v>0</v>
      </c>
      <c r="CN201" s="396">
        <f ca="1" xml:space="preserve"> Equity!CN$93</f>
        <v>0</v>
      </c>
      <c r="CO201" s="396">
        <f ca="1" xml:space="preserve"> Equity!CO$93</f>
        <v>0</v>
      </c>
      <c r="CP201" s="396">
        <f ca="1" xml:space="preserve"> Equity!CP$93</f>
        <v>0</v>
      </c>
      <c r="CQ201" s="396">
        <f ca="1" xml:space="preserve"> Equity!CQ$93</f>
        <v>0</v>
      </c>
      <c r="CR201" s="396">
        <f ca="1" xml:space="preserve"> Equity!CR$93</f>
        <v>0</v>
      </c>
      <c r="CS201" s="396">
        <f ca="1" xml:space="preserve"> Equity!CS$93</f>
        <v>0</v>
      </c>
      <c r="CT201" s="396">
        <f ca="1" xml:space="preserve"> Equity!CT$93</f>
        <v>0</v>
      </c>
      <c r="CU201" s="396">
        <f ca="1" xml:space="preserve"> Equity!CU$93</f>
        <v>0</v>
      </c>
      <c r="CV201" s="396">
        <f ca="1" xml:space="preserve"> Equity!CV$93</f>
        <v>0</v>
      </c>
    </row>
    <row r="202" spans="1:100" s="125" customFormat="1" outlineLevel="1" x14ac:dyDescent="0.2">
      <c r="A202" s="85"/>
      <c r="B202" s="85"/>
      <c r="C202" s="86"/>
      <c r="D202" s="238" t="s">
        <v>1287</v>
      </c>
      <c r="E202" s="396" t="str">
        <f xml:space="preserve"> Equity!E$111</f>
        <v>Standby equity redemption - P99 POS</v>
      </c>
      <c r="F202" s="396">
        <f xml:space="preserve"> Equity!F$111</f>
        <v>0</v>
      </c>
      <c r="G202" s="396" t="str">
        <f xml:space="preserve"> Equity!G$111</f>
        <v>$ 000s</v>
      </c>
      <c r="H202" s="396">
        <f ca="1" xml:space="preserve"> Equity!H$111</f>
        <v>0</v>
      </c>
      <c r="I202" s="396">
        <f xml:space="preserve"> Equity!I$111</f>
        <v>0</v>
      </c>
      <c r="J202" s="396">
        <f ca="1" xml:space="preserve"> Equity!J$111</f>
        <v>0</v>
      </c>
      <c r="K202" s="396">
        <f ca="1" xml:space="preserve"> Equity!K$111</f>
        <v>0</v>
      </c>
      <c r="L202" s="396">
        <f ca="1" xml:space="preserve"> Equity!L$111</f>
        <v>0</v>
      </c>
      <c r="M202" s="396">
        <f ca="1" xml:space="preserve"> Equity!M$111</f>
        <v>0</v>
      </c>
      <c r="N202" s="396">
        <f ca="1" xml:space="preserve"> Equity!N$111</f>
        <v>0</v>
      </c>
      <c r="O202" s="396">
        <f ca="1" xml:space="preserve"> Equity!O$111</f>
        <v>0</v>
      </c>
      <c r="P202" s="396">
        <f ca="1" xml:space="preserve"> Equity!P$111</f>
        <v>0</v>
      </c>
      <c r="Q202" s="396">
        <f ca="1" xml:space="preserve"> Equity!Q$111</f>
        <v>0</v>
      </c>
      <c r="R202" s="396">
        <f ca="1" xml:space="preserve"> Equity!R$111</f>
        <v>0</v>
      </c>
      <c r="S202" s="396">
        <f ca="1" xml:space="preserve"> Equity!S$111</f>
        <v>0</v>
      </c>
      <c r="T202" s="396">
        <f ca="1" xml:space="preserve"> Equity!T$111</f>
        <v>0</v>
      </c>
      <c r="U202" s="396">
        <f ca="1" xml:space="preserve"> Equity!U$111</f>
        <v>0</v>
      </c>
      <c r="V202" s="396">
        <f ca="1" xml:space="preserve"> Equity!V$111</f>
        <v>0</v>
      </c>
      <c r="W202" s="396">
        <f ca="1" xml:space="preserve"> Equity!W$111</f>
        <v>0</v>
      </c>
      <c r="X202" s="396">
        <f ca="1" xml:space="preserve"> Equity!X$111</f>
        <v>0</v>
      </c>
      <c r="Y202" s="396">
        <f ca="1" xml:space="preserve"> Equity!Y$111</f>
        <v>0</v>
      </c>
      <c r="Z202" s="396">
        <f ca="1" xml:space="preserve"> Equity!Z$111</f>
        <v>0</v>
      </c>
      <c r="AA202" s="396">
        <f ca="1" xml:space="preserve"> Equity!AA$111</f>
        <v>0</v>
      </c>
      <c r="AB202" s="396">
        <f ca="1" xml:space="preserve"> Equity!AB$111</f>
        <v>0</v>
      </c>
      <c r="AC202" s="396">
        <f ca="1" xml:space="preserve"> Equity!AC$111</f>
        <v>0</v>
      </c>
      <c r="AD202" s="396">
        <f ca="1" xml:space="preserve"> Equity!AD$111</f>
        <v>0</v>
      </c>
      <c r="AE202" s="396">
        <f ca="1" xml:space="preserve"> Equity!AE$111</f>
        <v>0</v>
      </c>
      <c r="AF202" s="396">
        <f ca="1" xml:space="preserve"> Equity!AF$111</f>
        <v>0</v>
      </c>
      <c r="AG202" s="396">
        <f ca="1" xml:space="preserve"> Equity!AG$111</f>
        <v>0</v>
      </c>
      <c r="AH202" s="396">
        <f ca="1" xml:space="preserve"> Equity!AH$111</f>
        <v>0</v>
      </c>
      <c r="AI202" s="396">
        <f ca="1" xml:space="preserve"> Equity!AI$111</f>
        <v>0</v>
      </c>
      <c r="AJ202" s="396">
        <f ca="1" xml:space="preserve"> Equity!AJ$111</f>
        <v>0</v>
      </c>
      <c r="AK202" s="396">
        <f ca="1" xml:space="preserve"> Equity!AK$111</f>
        <v>0</v>
      </c>
      <c r="AL202" s="396">
        <f ca="1" xml:space="preserve"> Equity!AL$111</f>
        <v>0</v>
      </c>
      <c r="AM202" s="396">
        <f ca="1" xml:space="preserve"> Equity!AM$111</f>
        <v>0</v>
      </c>
      <c r="AN202" s="396">
        <f ca="1" xml:space="preserve"> Equity!AN$111</f>
        <v>0</v>
      </c>
      <c r="AO202" s="396">
        <f ca="1" xml:space="preserve"> Equity!AO$111</f>
        <v>0</v>
      </c>
      <c r="AP202" s="396">
        <f ca="1" xml:space="preserve"> Equity!AP$111</f>
        <v>0</v>
      </c>
      <c r="AQ202" s="396">
        <f ca="1" xml:space="preserve"> Equity!AQ$111</f>
        <v>0</v>
      </c>
      <c r="AR202" s="396">
        <f ca="1" xml:space="preserve"> Equity!AR$111</f>
        <v>0</v>
      </c>
      <c r="AS202" s="396">
        <f ca="1" xml:space="preserve"> Equity!AS$111</f>
        <v>0</v>
      </c>
      <c r="AT202" s="396">
        <f ca="1" xml:space="preserve"> Equity!AT$111</f>
        <v>0</v>
      </c>
      <c r="AU202" s="396">
        <f ca="1" xml:space="preserve"> Equity!AU$111</f>
        <v>0</v>
      </c>
      <c r="AV202" s="396">
        <f ca="1" xml:space="preserve"> Equity!AV$111</f>
        <v>0</v>
      </c>
      <c r="AW202" s="396">
        <f ca="1" xml:space="preserve"> Equity!AW$111</f>
        <v>0</v>
      </c>
      <c r="AX202" s="396">
        <f ca="1" xml:space="preserve"> Equity!AX$111</f>
        <v>0</v>
      </c>
      <c r="AY202" s="396">
        <f ca="1" xml:space="preserve"> Equity!AY$111</f>
        <v>0</v>
      </c>
      <c r="AZ202" s="396">
        <f ca="1" xml:space="preserve"> Equity!AZ$111</f>
        <v>0</v>
      </c>
      <c r="BA202" s="396">
        <f ca="1" xml:space="preserve"> Equity!BA$111</f>
        <v>0</v>
      </c>
      <c r="BB202" s="396">
        <f ca="1" xml:space="preserve"> Equity!BB$111</f>
        <v>0</v>
      </c>
      <c r="BC202" s="396">
        <f ca="1" xml:space="preserve"> Equity!BC$111</f>
        <v>0</v>
      </c>
      <c r="BD202" s="396">
        <f ca="1" xml:space="preserve"> Equity!BD$111</f>
        <v>0</v>
      </c>
      <c r="BE202" s="396">
        <f ca="1" xml:space="preserve"> Equity!BE$111</f>
        <v>0</v>
      </c>
      <c r="BF202" s="396">
        <f ca="1" xml:space="preserve"> Equity!BF$111</f>
        <v>0</v>
      </c>
      <c r="BG202" s="396">
        <f ca="1" xml:space="preserve"> Equity!BG$111</f>
        <v>0</v>
      </c>
      <c r="BH202" s="396">
        <f ca="1" xml:space="preserve"> Equity!BH$111</f>
        <v>0</v>
      </c>
      <c r="BI202" s="396">
        <f ca="1" xml:space="preserve"> Equity!BI$111</f>
        <v>0</v>
      </c>
      <c r="BJ202" s="396">
        <f ca="1" xml:space="preserve"> Equity!BJ$111</f>
        <v>0</v>
      </c>
      <c r="BK202" s="396">
        <f ca="1" xml:space="preserve"> Equity!BK$111</f>
        <v>0</v>
      </c>
      <c r="BL202" s="396">
        <f ca="1" xml:space="preserve"> Equity!BL$111</f>
        <v>0</v>
      </c>
      <c r="BM202" s="396">
        <f ca="1" xml:space="preserve"> Equity!BM$111</f>
        <v>0</v>
      </c>
      <c r="BN202" s="396">
        <f ca="1" xml:space="preserve"> Equity!BN$111</f>
        <v>0</v>
      </c>
      <c r="BO202" s="396">
        <f ca="1" xml:space="preserve"> Equity!BO$111</f>
        <v>0</v>
      </c>
      <c r="BP202" s="396">
        <f ca="1" xml:space="preserve"> Equity!BP$111</f>
        <v>0</v>
      </c>
      <c r="BQ202" s="396">
        <f ca="1" xml:space="preserve"> Equity!BQ$111</f>
        <v>0</v>
      </c>
      <c r="BR202" s="396">
        <f ca="1" xml:space="preserve"> Equity!BR$111</f>
        <v>0</v>
      </c>
      <c r="BS202" s="396">
        <f ca="1" xml:space="preserve"> Equity!BS$111</f>
        <v>0</v>
      </c>
      <c r="BT202" s="396">
        <f ca="1" xml:space="preserve"> Equity!BT$111</f>
        <v>0</v>
      </c>
      <c r="BU202" s="396">
        <f ca="1" xml:space="preserve"> Equity!BU$111</f>
        <v>0</v>
      </c>
      <c r="BV202" s="396">
        <f ca="1" xml:space="preserve"> Equity!BV$111</f>
        <v>0</v>
      </c>
      <c r="BW202" s="396">
        <f ca="1" xml:space="preserve"> Equity!BW$111</f>
        <v>0</v>
      </c>
      <c r="BX202" s="396">
        <f ca="1" xml:space="preserve"> Equity!BX$111</f>
        <v>0</v>
      </c>
      <c r="BY202" s="396">
        <f ca="1" xml:space="preserve"> Equity!BY$111</f>
        <v>0</v>
      </c>
      <c r="BZ202" s="396">
        <f ca="1" xml:space="preserve"> Equity!BZ$111</f>
        <v>0</v>
      </c>
      <c r="CA202" s="396">
        <f ca="1" xml:space="preserve"> Equity!CA$111</f>
        <v>0</v>
      </c>
      <c r="CB202" s="396">
        <f ca="1" xml:space="preserve"> Equity!CB$111</f>
        <v>0</v>
      </c>
      <c r="CC202" s="396">
        <f ca="1" xml:space="preserve"> Equity!CC$111</f>
        <v>0</v>
      </c>
      <c r="CD202" s="396">
        <f ca="1" xml:space="preserve"> Equity!CD$111</f>
        <v>0</v>
      </c>
      <c r="CE202" s="396">
        <f ca="1" xml:space="preserve"> Equity!CE$111</f>
        <v>0</v>
      </c>
      <c r="CF202" s="396">
        <f ca="1" xml:space="preserve"> Equity!CF$111</f>
        <v>0</v>
      </c>
      <c r="CG202" s="396">
        <f ca="1" xml:space="preserve"> Equity!CG$111</f>
        <v>0</v>
      </c>
      <c r="CH202" s="396">
        <f ca="1" xml:space="preserve"> Equity!CH$111</f>
        <v>0</v>
      </c>
      <c r="CI202" s="396">
        <f ca="1" xml:space="preserve"> Equity!CI$111</f>
        <v>0</v>
      </c>
      <c r="CJ202" s="396">
        <f ca="1" xml:space="preserve"> Equity!CJ$111</f>
        <v>0</v>
      </c>
      <c r="CK202" s="396">
        <f ca="1" xml:space="preserve"> Equity!CK$111</f>
        <v>0</v>
      </c>
      <c r="CL202" s="396">
        <f ca="1" xml:space="preserve"> Equity!CL$111</f>
        <v>0</v>
      </c>
      <c r="CM202" s="396">
        <f ca="1" xml:space="preserve"> Equity!CM$111</f>
        <v>0</v>
      </c>
      <c r="CN202" s="396">
        <f ca="1" xml:space="preserve"> Equity!CN$111</f>
        <v>0</v>
      </c>
      <c r="CO202" s="396">
        <f ca="1" xml:space="preserve"> Equity!CO$111</f>
        <v>0</v>
      </c>
      <c r="CP202" s="396">
        <f ca="1" xml:space="preserve"> Equity!CP$111</f>
        <v>0</v>
      </c>
      <c r="CQ202" s="396">
        <f ca="1" xml:space="preserve"> Equity!CQ$111</f>
        <v>0</v>
      </c>
      <c r="CR202" s="396">
        <f ca="1" xml:space="preserve"> Equity!CR$111</f>
        <v>0</v>
      </c>
      <c r="CS202" s="396">
        <f ca="1" xml:space="preserve"> Equity!CS$111</f>
        <v>0</v>
      </c>
      <c r="CT202" s="396">
        <f ca="1" xml:space="preserve"> Equity!CT$111</f>
        <v>0</v>
      </c>
      <c r="CU202" s="396">
        <f ca="1" xml:space="preserve"> Equity!CU$111</f>
        <v>0</v>
      </c>
      <c r="CV202" s="396">
        <f ca="1" xml:space="preserve"> Equity!CV$111</f>
        <v>0</v>
      </c>
    </row>
    <row r="203" spans="1:100" s="125" customFormat="1" outlineLevel="1" x14ac:dyDescent="0.2">
      <c r="A203" s="85"/>
      <c r="B203" s="85"/>
      <c r="C203" s="86"/>
      <c r="D203" s="238" t="s">
        <v>1287</v>
      </c>
      <c r="E203" s="9" t="str">
        <f t="shared" ref="E203:BP203" si="291" xml:space="preserve"> E$17</f>
        <v>Terminal value</v>
      </c>
      <c r="F203" s="9">
        <f t="shared" si="291"/>
        <v>0</v>
      </c>
      <c r="G203" s="9" t="str">
        <f t="shared" si="291"/>
        <v>$ 000s</v>
      </c>
      <c r="H203" s="9">
        <f t="shared" si="291"/>
        <v>0</v>
      </c>
      <c r="I203" s="9">
        <f t="shared" si="291"/>
        <v>0</v>
      </c>
      <c r="J203" s="9">
        <f t="shared" si="291"/>
        <v>0</v>
      </c>
      <c r="K203" s="9">
        <f t="shared" si="291"/>
        <v>0</v>
      </c>
      <c r="L203" s="9">
        <f t="shared" si="291"/>
        <v>0</v>
      </c>
      <c r="M203" s="9">
        <f t="shared" si="291"/>
        <v>0</v>
      </c>
      <c r="N203" s="9">
        <f t="shared" si="291"/>
        <v>0</v>
      </c>
      <c r="O203" s="9">
        <f t="shared" si="291"/>
        <v>0</v>
      </c>
      <c r="P203" s="9">
        <f t="shared" si="291"/>
        <v>0</v>
      </c>
      <c r="Q203" s="9">
        <f t="shared" si="291"/>
        <v>0</v>
      </c>
      <c r="R203" s="9">
        <f t="shared" si="291"/>
        <v>0</v>
      </c>
      <c r="S203" s="9">
        <f t="shared" si="291"/>
        <v>0</v>
      </c>
      <c r="T203" s="9">
        <f t="shared" si="291"/>
        <v>0</v>
      </c>
      <c r="U203" s="9">
        <f t="shared" si="291"/>
        <v>0</v>
      </c>
      <c r="V203" s="9">
        <f t="shared" si="291"/>
        <v>0</v>
      </c>
      <c r="W203" s="9">
        <f t="shared" si="291"/>
        <v>0</v>
      </c>
      <c r="X203" s="9">
        <f t="shared" si="291"/>
        <v>0</v>
      </c>
      <c r="Y203" s="9">
        <f t="shared" si="291"/>
        <v>0</v>
      </c>
      <c r="Z203" s="9">
        <f t="shared" si="291"/>
        <v>0</v>
      </c>
      <c r="AA203" s="9">
        <f t="shared" si="291"/>
        <v>0</v>
      </c>
      <c r="AB203" s="9">
        <f t="shared" si="291"/>
        <v>0</v>
      </c>
      <c r="AC203" s="9">
        <f t="shared" si="291"/>
        <v>0</v>
      </c>
      <c r="AD203" s="9">
        <f t="shared" si="291"/>
        <v>0</v>
      </c>
      <c r="AE203" s="9">
        <f t="shared" si="291"/>
        <v>0</v>
      </c>
      <c r="AF203" s="9">
        <f t="shared" si="291"/>
        <v>0</v>
      </c>
      <c r="AG203" s="9">
        <f t="shared" si="291"/>
        <v>0</v>
      </c>
      <c r="AH203" s="9">
        <f t="shared" si="291"/>
        <v>0</v>
      </c>
      <c r="AI203" s="9">
        <f t="shared" si="291"/>
        <v>0</v>
      </c>
      <c r="AJ203" s="9">
        <f t="shared" si="291"/>
        <v>0</v>
      </c>
      <c r="AK203" s="9">
        <f t="shared" si="291"/>
        <v>0</v>
      </c>
      <c r="AL203" s="9">
        <f t="shared" si="291"/>
        <v>0</v>
      </c>
      <c r="AM203" s="9">
        <f t="shared" si="291"/>
        <v>0</v>
      </c>
      <c r="AN203" s="9">
        <f t="shared" si="291"/>
        <v>0</v>
      </c>
      <c r="AO203" s="9">
        <f t="shared" si="291"/>
        <v>0</v>
      </c>
      <c r="AP203" s="9">
        <f t="shared" si="291"/>
        <v>0</v>
      </c>
      <c r="AQ203" s="9">
        <f t="shared" si="291"/>
        <v>0</v>
      </c>
      <c r="AR203" s="9">
        <f t="shared" si="291"/>
        <v>0</v>
      </c>
      <c r="AS203" s="9">
        <f t="shared" si="291"/>
        <v>0</v>
      </c>
      <c r="AT203" s="9">
        <f t="shared" si="291"/>
        <v>0</v>
      </c>
      <c r="AU203" s="9">
        <f t="shared" si="291"/>
        <v>0</v>
      </c>
      <c r="AV203" s="9">
        <f t="shared" si="291"/>
        <v>0</v>
      </c>
      <c r="AW203" s="9">
        <f t="shared" si="291"/>
        <v>0</v>
      </c>
      <c r="AX203" s="9">
        <f t="shared" si="291"/>
        <v>0</v>
      </c>
      <c r="AY203" s="9">
        <f t="shared" si="291"/>
        <v>0</v>
      </c>
      <c r="AZ203" s="9">
        <f t="shared" si="291"/>
        <v>0</v>
      </c>
      <c r="BA203" s="9">
        <f t="shared" si="291"/>
        <v>0</v>
      </c>
      <c r="BB203" s="9">
        <f t="shared" si="291"/>
        <v>0</v>
      </c>
      <c r="BC203" s="9">
        <f t="shared" si="291"/>
        <v>0</v>
      </c>
      <c r="BD203" s="9">
        <f t="shared" si="291"/>
        <v>0</v>
      </c>
      <c r="BE203" s="9">
        <f t="shared" si="291"/>
        <v>0</v>
      </c>
      <c r="BF203" s="9">
        <f t="shared" si="291"/>
        <v>0</v>
      </c>
      <c r="BG203" s="9">
        <f t="shared" si="291"/>
        <v>0</v>
      </c>
      <c r="BH203" s="9">
        <f t="shared" si="291"/>
        <v>0</v>
      </c>
      <c r="BI203" s="9">
        <f t="shared" si="291"/>
        <v>0</v>
      </c>
      <c r="BJ203" s="9">
        <f t="shared" si="291"/>
        <v>0</v>
      </c>
      <c r="BK203" s="9">
        <f t="shared" si="291"/>
        <v>0</v>
      </c>
      <c r="BL203" s="9">
        <f t="shared" si="291"/>
        <v>0</v>
      </c>
      <c r="BM203" s="9">
        <f t="shared" si="291"/>
        <v>0</v>
      </c>
      <c r="BN203" s="9">
        <f t="shared" si="291"/>
        <v>0</v>
      </c>
      <c r="BO203" s="9">
        <f t="shared" si="291"/>
        <v>0</v>
      </c>
      <c r="BP203" s="9">
        <f t="shared" si="291"/>
        <v>0</v>
      </c>
      <c r="BQ203" s="9">
        <f t="shared" ref="BQ203:CV203" si="292" xml:space="preserve"> BQ$17</f>
        <v>0</v>
      </c>
      <c r="BR203" s="9">
        <f t="shared" si="292"/>
        <v>0</v>
      </c>
      <c r="BS203" s="9">
        <f t="shared" si="292"/>
        <v>0</v>
      </c>
      <c r="BT203" s="9">
        <f t="shared" si="292"/>
        <v>0</v>
      </c>
      <c r="BU203" s="9">
        <f t="shared" si="292"/>
        <v>0</v>
      </c>
      <c r="BV203" s="9">
        <f t="shared" si="292"/>
        <v>0</v>
      </c>
      <c r="BW203" s="9">
        <f t="shared" si="292"/>
        <v>0</v>
      </c>
      <c r="BX203" s="9">
        <f t="shared" si="292"/>
        <v>0</v>
      </c>
      <c r="BY203" s="9">
        <f t="shared" si="292"/>
        <v>0</v>
      </c>
      <c r="BZ203" s="9">
        <f t="shared" si="292"/>
        <v>0</v>
      </c>
      <c r="CA203" s="9">
        <f t="shared" si="292"/>
        <v>0</v>
      </c>
      <c r="CB203" s="9">
        <f t="shared" si="292"/>
        <v>0</v>
      </c>
      <c r="CC203" s="9">
        <f t="shared" si="292"/>
        <v>0</v>
      </c>
      <c r="CD203" s="9">
        <f t="shared" si="292"/>
        <v>0</v>
      </c>
      <c r="CE203" s="9">
        <f t="shared" si="292"/>
        <v>0</v>
      </c>
      <c r="CF203" s="9">
        <f t="shared" si="292"/>
        <v>0</v>
      </c>
      <c r="CG203" s="9">
        <f t="shared" si="292"/>
        <v>0</v>
      </c>
      <c r="CH203" s="9">
        <f t="shared" si="292"/>
        <v>0</v>
      </c>
      <c r="CI203" s="9">
        <f t="shared" si="292"/>
        <v>0</v>
      </c>
      <c r="CJ203" s="9">
        <f t="shared" si="292"/>
        <v>0</v>
      </c>
      <c r="CK203" s="9">
        <f t="shared" si="292"/>
        <v>0</v>
      </c>
      <c r="CL203" s="9">
        <f t="shared" si="292"/>
        <v>0</v>
      </c>
      <c r="CM203" s="9">
        <f t="shared" si="292"/>
        <v>0</v>
      </c>
      <c r="CN203" s="9">
        <f t="shared" si="292"/>
        <v>0</v>
      </c>
      <c r="CO203" s="9">
        <f t="shared" si="292"/>
        <v>0</v>
      </c>
      <c r="CP203" s="9">
        <f t="shared" si="292"/>
        <v>0</v>
      </c>
      <c r="CQ203" s="9">
        <f t="shared" si="292"/>
        <v>0</v>
      </c>
      <c r="CR203" s="9">
        <f t="shared" si="292"/>
        <v>0</v>
      </c>
      <c r="CS203" s="9">
        <f t="shared" si="292"/>
        <v>0</v>
      </c>
      <c r="CT203" s="9">
        <f t="shared" si="292"/>
        <v>0</v>
      </c>
      <c r="CU203" s="9">
        <f t="shared" si="292"/>
        <v>0</v>
      </c>
      <c r="CV203" s="9">
        <f t="shared" si="292"/>
        <v>0</v>
      </c>
    </row>
    <row r="204" spans="1:100" outlineLevel="1" x14ac:dyDescent="0.2">
      <c r="E204" s="491" t="s">
        <v>1254</v>
      </c>
      <c r="F204" s="491"/>
      <c r="G204" s="491" t="str">
        <f xml:space="preserve"> SMU</f>
        <v>$ 000s</v>
      </c>
      <c r="H204" s="491">
        <f ca="1" xml:space="preserve"> SUM(J204:CV204)</f>
        <v>88662.976792334564</v>
      </c>
      <c r="I204" s="233"/>
      <c r="J204" s="491">
        <f t="shared" ref="J204:AO204" ca="1" si="293">SUM(J198:J203) - SUM(J196:J197)</f>
        <v>0</v>
      </c>
      <c r="K204" s="491">
        <f t="shared" ca="1" si="293"/>
        <v>0</v>
      </c>
      <c r="L204" s="491">
        <f t="shared" ca="1" si="293"/>
        <v>0</v>
      </c>
      <c r="M204" s="491">
        <f t="shared" ca="1" si="293"/>
        <v>0</v>
      </c>
      <c r="N204" s="491">
        <f t="shared" ca="1" si="293"/>
        <v>0</v>
      </c>
      <c r="O204" s="491">
        <f t="shared" ca="1" si="293"/>
        <v>1293.6866919398692</v>
      </c>
      <c r="P204" s="491">
        <f t="shared" ca="1" si="293"/>
        <v>827.53651011331362</v>
      </c>
      <c r="Q204" s="491">
        <f t="shared" ca="1" si="293"/>
        <v>766.48828581936084</v>
      </c>
      <c r="R204" s="491">
        <f t="shared" ca="1" si="293"/>
        <v>800.59754341153416</v>
      </c>
      <c r="S204" s="491">
        <f t="shared" ca="1" si="293"/>
        <v>739.43864988147038</v>
      </c>
      <c r="T204" s="491">
        <f t="shared" ca="1" si="293"/>
        <v>765.91276639523846</v>
      </c>
      <c r="U204" s="491">
        <f t="shared" ca="1" si="293"/>
        <v>719.22354744291567</v>
      </c>
      <c r="V204" s="491">
        <f t="shared" ca="1" si="293"/>
        <v>738.05766789527047</v>
      </c>
      <c r="W204" s="491">
        <f t="shared" ca="1" si="293"/>
        <v>675.76337072739398</v>
      </c>
      <c r="X204" s="491">
        <f t="shared" ca="1" si="293"/>
        <v>717.02279593294838</v>
      </c>
      <c r="Y204" s="491">
        <f t="shared" ca="1" si="293"/>
        <v>655.50509733830381</v>
      </c>
      <c r="Z204" s="491">
        <f t="shared" ca="1" si="293"/>
        <v>688.21375811218923</v>
      </c>
      <c r="AA204" s="491">
        <f t="shared" ca="1" si="293"/>
        <v>626.56724377584578</v>
      </c>
      <c r="AB204" s="491">
        <f t="shared" ca="1" si="293"/>
        <v>651.85958422143676</v>
      </c>
      <c r="AC204" s="491">
        <f t="shared" ca="1" si="293"/>
        <v>604.18653078955072</v>
      </c>
      <c r="AD204" s="491">
        <f t="shared" ca="1" si="293"/>
        <v>622.05727595720589</v>
      </c>
      <c r="AE204" s="491">
        <f t="shared" ca="1" si="293"/>
        <v>559.39804497188175</v>
      </c>
      <c r="AF204" s="491">
        <f t="shared" ca="1" si="293"/>
        <v>598.7966032974</v>
      </c>
      <c r="AG204" s="491">
        <f t="shared" ca="1" si="293"/>
        <v>536.73474641368944</v>
      </c>
      <c r="AH204" s="491">
        <f t="shared" ca="1" si="293"/>
        <v>567.96009550337885</v>
      </c>
      <c r="AI204" s="491">
        <f t="shared" ca="1" si="293"/>
        <v>505.74985571764552</v>
      </c>
      <c r="AJ204" s="491">
        <f t="shared" ca="1" si="293"/>
        <v>529.78911262569488</v>
      </c>
      <c r="AK204" s="491">
        <f t="shared" ca="1" si="293"/>
        <v>481.02839930369345</v>
      </c>
      <c r="AL204" s="491">
        <f t="shared" ca="1" si="293"/>
        <v>497.8758343795476</v>
      </c>
      <c r="AM204" s="491">
        <f t="shared" ca="1" si="293"/>
        <v>434.78400913039184</v>
      </c>
      <c r="AN204" s="491">
        <f t="shared" ca="1" si="293"/>
        <v>472.20918322077279</v>
      </c>
      <c r="AO204" s="491">
        <f t="shared" ca="1" si="293"/>
        <v>409.5226463254362</v>
      </c>
      <c r="AP204" s="491">
        <f t="shared" ref="AP204:BU204" ca="1" si="294">SUM(AP198:AP203) - SUM(AP196:AP197)</f>
        <v>439.17483115388541</v>
      </c>
      <c r="AQ204" s="491">
        <f t="shared" ca="1" si="294"/>
        <v>376.3180957459482</v>
      </c>
      <c r="AR204" s="491">
        <f t="shared" ca="1" si="294"/>
        <v>399.02659214128477</v>
      </c>
      <c r="AS204" s="491">
        <f t="shared" ca="1" si="294"/>
        <v>349.0648265003345</v>
      </c>
      <c r="AT204" s="491">
        <f t="shared" ca="1" si="294"/>
        <v>364.82219345245176</v>
      </c>
      <c r="AU204" s="491">
        <f t="shared" ca="1" si="294"/>
        <v>5015.3483552322905</v>
      </c>
      <c r="AV204" s="491">
        <f t="shared" ca="1" si="294"/>
        <v>4999.9871705013966</v>
      </c>
      <c r="AW204" s="491">
        <f t="shared" ca="1" si="294"/>
        <v>9649.4394695799328</v>
      </c>
      <c r="AX204" s="491">
        <f t="shared" ca="1" si="294"/>
        <v>9576.2793312938065</v>
      </c>
      <c r="AY204" s="491">
        <f t="shared" ca="1" si="294"/>
        <v>9509.1500443386394</v>
      </c>
      <c r="AZ204" s="491">
        <f t="shared" ca="1" si="294"/>
        <v>9436.0324390069763</v>
      </c>
      <c r="BA204" s="491">
        <f t="shared" ca="1" si="294"/>
        <v>9366.7033242950602</v>
      </c>
      <c r="BB204" s="491">
        <f t="shared" ca="1" si="294"/>
        <v>11695.664268449176</v>
      </c>
      <c r="BC204" s="491">
        <f t="shared" ca="1" si="294"/>
        <v>0</v>
      </c>
      <c r="BD204" s="491">
        <f t="shared" ca="1" si="294"/>
        <v>0</v>
      </c>
      <c r="BE204" s="491">
        <f t="shared" ca="1" si="294"/>
        <v>0</v>
      </c>
      <c r="BF204" s="491">
        <f t="shared" ca="1" si="294"/>
        <v>0</v>
      </c>
      <c r="BG204" s="491">
        <f t="shared" ca="1" si="294"/>
        <v>0</v>
      </c>
      <c r="BH204" s="491">
        <f t="shared" ca="1" si="294"/>
        <v>0</v>
      </c>
      <c r="BI204" s="491">
        <f t="shared" ca="1" si="294"/>
        <v>0</v>
      </c>
      <c r="BJ204" s="491">
        <f t="shared" ca="1" si="294"/>
        <v>0</v>
      </c>
      <c r="BK204" s="491">
        <f t="shared" ca="1" si="294"/>
        <v>0</v>
      </c>
      <c r="BL204" s="491">
        <f t="shared" ca="1" si="294"/>
        <v>0</v>
      </c>
      <c r="BM204" s="491">
        <f t="shared" ca="1" si="294"/>
        <v>0</v>
      </c>
      <c r="BN204" s="491">
        <f t="shared" ca="1" si="294"/>
        <v>0</v>
      </c>
      <c r="BO204" s="491">
        <f t="shared" ca="1" si="294"/>
        <v>0</v>
      </c>
      <c r="BP204" s="491">
        <f t="shared" ca="1" si="294"/>
        <v>0</v>
      </c>
      <c r="BQ204" s="491">
        <f t="shared" ca="1" si="294"/>
        <v>0</v>
      </c>
      <c r="BR204" s="491">
        <f t="shared" ca="1" si="294"/>
        <v>0</v>
      </c>
      <c r="BS204" s="491">
        <f t="shared" ca="1" si="294"/>
        <v>0</v>
      </c>
      <c r="BT204" s="491">
        <f t="shared" ca="1" si="294"/>
        <v>0</v>
      </c>
      <c r="BU204" s="491">
        <f t="shared" ca="1" si="294"/>
        <v>0</v>
      </c>
      <c r="BV204" s="491">
        <f t="shared" ref="BV204:CV204" ca="1" si="295">SUM(BV198:BV203) - SUM(BV196:BV197)</f>
        <v>0</v>
      </c>
      <c r="BW204" s="491">
        <f t="shared" ca="1" si="295"/>
        <v>0</v>
      </c>
      <c r="BX204" s="491">
        <f t="shared" ca="1" si="295"/>
        <v>0</v>
      </c>
      <c r="BY204" s="491">
        <f t="shared" ca="1" si="295"/>
        <v>0</v>
      </c>
      <c r="BZ204" s="491">
        <f t="shared" ca="1" si="295"/>
        <v>0</v>
      </c>
      <c r="CA204" s="491">
        <f t="shared" ca="1" si="295"/>
        <v>0</v>
      </c>
      <c r="CB204" s="491">
        <f t="shared" ca="1" si="295"/>
        <v>0</v>
      </c>
      <c r="CC204" s="491">
        <f t="shared" ca="1" si="295"/>
        <v>0</v>
      </c>
      <c r="CD204" s="491">
        <f t="shared" ca="1" si="295"/>
        <v>0</v>
      </c>
      <c r="CE204" s="491">
        <f t="shared" ca="1" si="295"/>
        <v>0</v>
      </c>
      <c r="CF204" s="491">
        <f t="shared" ca="1" si="295"/>
        <v>0</v>
      </c>
      <c r="CG204" s="491">
        <f t="shared" ca="1" si="295"/>
        <v>0</v>
      </c>
      <c r="CH204" s="491">
        <f t="shared" ca="1" si="295"/>
        <v>0</v>
      </c>
      <c r="CI204" s="491">
        <f t="shared" ca="1" si="295"/>
        <v>0</v>
      </c>
      <c r="CJ204" s="491">
        <f t="shared" ca="1" si="295"/>
        <v>0</v>
      </c>
      <c r="CK204" s="491">
        <f t="shared" ca="1" si="295"/>
        <v>0</v>
      </c>
      <c r="CL204" s="491">
        <f t="shared" ca="1" si="295"/>
        <v>0</v>
      </c>
      <c r="CM204" s="491">
        <f t="shared" ca="1" si="295"/>
        <v>0</v>
      </c>
      <c r="CN204" s="491">
        <f t="shared" ca="1" si="295"/>
        <v>0</v>
      </c>
      <c r="CO204" s="491">
        <f t="shared" ca="1" si="295"/>
        <v>0</v>
      </c>
      <c r="CP204" s="491">
        <f t="shared" ca="1" si="295"/>
        <v>0</v>
      </c>
      <c r="CQ204" s="491">
        <f t="shared" ca="1" si="295"/>
        <v>0</v>
      </c>
      <c r="CR204" s="491">
        <f t="shared" ca="1" si="295"/>
        <v>0</v>
      </c>
      <c r="CS204" s="491">
        <f t="shared" ca="1" si="295"/>
        <v>0</v>
      </c>
      <c r="CT204" s="491">
        <f t="shared" ca="1" si="295"/>
        <v>0</v>
      </c>
      <c r="CU204" s="491">
        <f t="shared" ca="1" si="295"/>
        <v>0</v>
      </c>
      <c r="CV204" s="491">
        <f t="shared" ca="1" si="295"/>
        <v>0</v>
      </c>
    </row>
    <row r="205" spans="1:100" outlineLevel="1" x14ac:dyDescent="0.2"/>
    <row r="206" spans="1:100" s="80" customFormat="1" outlineLevel="1" x14ac:dyDescent="0.2">
      <c r="A206" s="635"/>
      <c r="B206" s="635"/>
      <c r="C206" s="636"/>
      <c r="D206" s="637"/>
      <c r="E206" s="545" t="str">
        <f xml:space="preserve"> ConFin!E$288</f>
        <v>Net cashflow from equity during construction - NEG for IRR</v>
      </c>
      <c r="F206" s="545">
        <f xml:space="preserve"> ConFin!F$288</f>
        <v>0</v>
      </c>
      <c r="G206" s="545" t="str">
        <f xml:space="preserve"> ConFin!G$288</f>
        <v>$ 000s</v>
      </c>
      <c r="H206" s="545">
        <f xml:space="preserve"> ConFin!H$288</f>
        <v>-84478.253106862205</v>
      </c>
      <c r="I206" s="545">
        <f xml:space="preserve"> ConFin!I$288</f>
        <v>0</v>
      </c>
      <c r="J206" s="545">
        <f xml:space="preserve"> ConFin!J$288</f>
        <v>-1.0000000000000001E-9</v>
      </c>
      <c r="K206" s="545">
        <f xml:space="preserve"> ConFin!K$288</f>
        <v>0</v>
      </c>
      <c r="L206" s="545">
        <f xml:space="preserve"> ConFin!L$288</f>
        <v>0</v>
      </c>
      <c r="M206" s="545">
        <f xml:space="preserve"> ConFin!M$288</f>
        <v>1840</v>
      </c>
      <c r="N206" s="545">
        <f xml:space="preserve"> ConFin!N$288</f>
        <v>0</v>
      </c>
      <c r="O206" s="545">
        <f xml:space="preserve"> ConFin!O$288</f>
        <v>0</v>
      </c>
      <c r="P206" s="545">
        <f xml:space="preserve"> ConFin!P$288</f>
        <v>0</v>
      </c>
      <c r="Q206" s="545">
        <f xml:space="preserve"> ConFin!Q$288</f>
        <v>0</v>
      </c>
      <c r="R206" s="545">
        <f xml:space="preserve"> ConFin!R$288</f>
        <v>0</v>
      </c>
      <c r="S206" s="545">
        <f xml:space="preserve"> ConFin!S$288</f>
        <v>0</v>
      </c>
      <c r="T206" s="545">
        <f xml:space="preserve"> ConFin!T$288</f>
        <v>0</v>
      </c>
      <c r="U206" s="545">
        <f xml:space="preserve"> ConFin!U$288</f>
        <v>0</v>
      </c>
      <c r="V206" s="545">
        <f xml:space="preserve"> ConFin!V$288</f>
        <v>0</v>
      </c>
      <c r="W206" s="545">
        <f xml:space="preserve"> ConFin!W$288</f>
        <v>0</v>
      </c>
      <c r="X206" s="545">
        <f xml:space="preserve"> ConFin!X$288</f>
        <v>0</v>
      </c>
      <c r="Y206" s="545">
        <f xml:space="preserve"> ConFin!Y$288</f>
        <v>0</v>
      </c>
      <c r="Z206" s="545">
        <f xml:space="preserve"> ConFin!Z$288</f>
        <v>0</v>
      </c>
      <c r="AA206" s="545">
        <f xml:space="preserve"> ConFin!AA$288</f>
        <v>0</v>
      </c>
      <c r="AB206" s="545">
        <f xml:space="preserve"> ConFin!AB$288</f>
        <v>0</v>
      </c>
      <c r="AC206" s="545">
        <f xml:space="preserve"> ConFin!AC$288</f>
        <v>0</v>
      </c>
      <c r="AD206" s="545">
        <f xml:space="preserve"> ConFin!AD$288</f>
        <v>0</v>
      </c>
      <c r="AE206" s="545">
        <f xml:space="preserve"> ConFin!AE$288</f>
        <v>0</v>
      </c>
      <c r="AF206" s="545">
        <f xml:space="preserve"> ConFin!AF$288</f>
        <v>0</v>
      </c>
      <c r="AG206" s="545">
        <f xml:space="preserve"> ConFin!AG$288</f>
        <v>0</v>
      </c>
      <c r="AH206" s="545">
        <f xml:space="preserve"> ConFin!AH$288</f>
        <v>0</v>
      </c>
      <c r="AI206" s="545">
        <f xml:space="preserve"> ConFin!AI$288</f>
        <v>0</v>
      </c>
      <c r="AJ206" s="545">
        <f xml:space="preserve"> ConFin!AJ$288</f>
        <v>0</v>
      </c>
      <c r="AK206" s="545">
        <f xml:space="preserve"> ConFin!AK$288</f>
        <v>0</v>
      </c>
      <c r="AL206" s="545">
        <f xml:space="preserve"> ConFin!AL$288</f>
        <v>0</v>
      </c>
      <c r="AM206" s="545">
        <f xml:space="preserve"> ConFin!AM$288</f>
        <v>-86318.253106861201</v>
      </c>
      <c r="AN206" s="545">
        <f xml:space="preserve"> ConFin!AN$288</f>
        <v>0</v>
      </c>
      <c r="AO206" s="545">
        <f xml:space="preserve"> ConFin!AO$288</f>
        <v>0</v>
      </c>
      <c r="AP206" s="545">
        <f xml:space="preserve"> ConFin!AP$288</f>
        <v>0</v>
      </c>
      <c r="AQ206" s="545">
        <f xml:space="preserve"> ConFin!AQ$288</f>
        <v>0</v>
      </c>
      <c r="AR206" s="545">
        <f xml:space="preserve"> ConFin!AR$288</f>
        <v>0</v>
      </c>
      <c r="AS206" s="545">
        <f xml:space="preserve"> ConFin!AS$288</f>
        <v>0</v>
      </c>
      <c r="AT206" s="545">
        <f xml:space="preserve"> ConFin!AT$288</f>
        <v>0</v>
      </c>
      <c r="AU206" s="545">
        <f xml:space="preserve"> ConFin!AU$288</f>
        <v>0</v>
      </c>
      <c r="AV206" s="545">
        <f xml:space="preserve"> ConFin!AV$288</f>
        <v>0</v>
      </c>
      <c r="AW206" s="545">
        <f xml:space="preserve"> ConFin!AW$288</f>
        <v>0</v>
      </c>
      <c r="AX206" s="545">
        <f xml:space="preserve"> ConFin!AX$288</f>
        <v>0</v>
      </c>
      <c r="AY206" s="545">
        <f xml:space="preserve"> ConFin!AY$288</f>
        <v>0</v>
      </c>
      <c r="AZ206" s="545">
        <f xml:space="preserve"> ConFin!AZ$288</f>
        <v>0</v>
      </c>
      <c r="BA206" s="545">
        <f xml:space="preserve"> ConFin!BA$288</f>
        <v>0</v>
      </c>
      <c r="BB206" s="545">
        <f xml:space="preserve"> ConFin!BB$288</f>
        <v>0</v>
      </c>
      <c r="BC206" s="545">
        <f xml:space="preserve"> ConFin!BC$288</f>
        <v>0</v>
      </c>
      <c r="BD206" s="545">
        <f xml:space="preserve"> ConFin!BD$288</f>
        <v>0</v>
      </c>
      <c r="BE206" s="545">
        <f xml:space="preserve"> ConFin!BE$288</f>
        <v>0</v>
      </c>
      <c r="BF206" s="545">
        <f xml:space="preserve"> ConFin!BF$288</f>
        <v>0</v>
      </c>
      <c r="BG206" s="545">
        <f xml:space="preserve"> ConFin!BG$288</f>
        <v>0</v>
      </c>
      <c r="BH206" s="545">
        <f xml:space="preserve"> ConFin!BH$288</f>
        <v>0</v>
      </c>
      <c r="BI206" s="545">
        <f xml:space="preserve"> ConFin!BI$288</f>
        <v>0</v>
      </c>
      <c r="BJ206" s="545">
        <f xml:space="preserve"> ConFin!BJ$288</f>
        <v>0</v>
      </c>
      <c r="BK206" s="545">
        <f xml:space="preserve"> ConFin!BK$288</f>
        <v>0</v>
      </c>
      <c r="BL206" s="545">
        <f xml:space="preserve"> ConFin!BL$288</f>
        <v>0</v>
      </c>
      <c r="BM206" s="545">
        <f xml:space="preserve"> ConFin!BM$288</f>
        <v>0</v>
      </c>
      <c r="BN206" s="545">
        <f xml:space="preserve"> ConFin!BN$288</f>
        <v>0</v>
      </c>
      <c r="BO206" s="545">
        <f xml:space="preserve"> ConFin!BO$288</f>
        <v>0</v>
      </c>
      <c r="BP206" s="545">
        <f xml:space="preserve"> ConFin!BP$288</f>
        <v>0</v>
      </c>
      <c r="BQ206" s="545">
        <f xml:space="preserve"> ConFin!BQ$288</f>
        <v>0</v>
      </c>
      <c r="BR206" s="545">
        <f xml:space="preserve"> ConFin!BR$288</f>
        <v>0</v>
      </c>
      <c r="BS206" s="545">
        <f xml:space="preserve"> ConFin!BS$288</f>
        <v>0</v>
      </c>
      <c r="BT206" s="545">
        <f xml:space="preserve"> ConFin!BT$288</f>
        <v>0</v>
      </c>
      <c r="BU206" s="545">
        <f xml:space="preserve"> ConFin!BU$288</f>
        <v>0</v>
      </c>
      <c r="BV206" s="545">
        <f xml:space="preserve"> ConFin!BV$288</f>
        <v>0</v>
      </c>
      <c r="BW206" s="545">
        <f xml:space="preserve"> ConFin!BW$288</f>
        <v>0</v>
      </c>
      <c r="BX206" s="545">
        <f xml:space="preserve"> ConFin!BX$288</f>
        <v>0</v>
      </c>
      <c r="BY206" s="545">
        <f xml:space="preserve"> ConFin!BY$288</f>
        <v>0</v>
      </c>
      <c r="BZ206" s="545">
        <f xml:space="preserve"> ConFin!BZ$288</f>
        <v>0</v>
      </c>
      <c r="CA206" s="545">
        <f xml:space="preserve"> ConFin!CA$288</f>
        <v>0</v>
      </c>
      <c r="CB206" s="545">
        <f xml:space="preserve"> ConFin!CB$288</f>
        <v>0</v>
      </c>
      <c r="CC206" s="545">
        <f xml:space="preserve"> ConFin!CC$288</f>
        <v>0</v>
      </c>
      <c r="CD206" s="545">
        <f xml:space="preserve"> ConFin!CD$288</f>
        <v>0</v>
      </c>
      <c r="CE206" s="545">
        <f xml:space="preserve"> ConFin!CE$288</f>
        <v>0</v>
      </c>
      <c r="CF206" s="545">
        <f xml:space="preserve"> ConFin!CF$288</f>
        <v>0</v>
      </c>
      <c r="CG206" s="545">
        <f xml:space="preserve"> ConFin!CG$288</f>
        <v>0</v>
      </c>
      <c r="CH206" s="545">
        <f xml:space="preserve"> ConFin!CH$288</f>
        <v>0</v>
      </c>
      <c r="CI206" s="545">
        <f xml:space="preserve"> ConFin!CI$288</f>
        <v>0</v>
      </c>
      <c r="CJ206" s="545">
        <f xml:space="preserve"> ConFin!CJ$288</f>
        <v>0</v>
      </c>
      <c r="CK206" s="545">
        <f xml:space="preserve"> ConFin!CK$288</f>
        <v>0</v>
      </c>
      <c r="CL206" s="545">
        <f xml:space="preserve"> ConFin!CL$288</f>
        <v>0</v>
      </c>
      <c r="CM206" s="545">
        <f xml:space="preserve"> ConFin!CM$288</f>
        <v>0</v>
      </c>
      <c r="CN206" s="545">
        <f xml:space="preserve"> ConFin!CN$288</f>
        <v>0</v>
      </c>
      <c r="CO206" s="545">
        <f xml:space="preserve"> ConFin!CO$288</f>
        <v>0</v>
      </c>
      <c r="CP206" s="545">
        <f xml:space="preserve"> ConFin!CP$288</f>
        <v>0</v>
      </c>
      <c r="CQ206" s="545">
        <f xml:space="preserve"> ConFin!CQ$288</f>
        <v>0</v>
      </c>
      <c r="CR206" s="545">
        <f xml:space="preserve"> ConFin!CR$288</f>
        <v>0</v>
      </c>
      <c r="CS206" s="545">
        <f xml:space="preserve"> ConFin!CS$288</f>
        <v>0</v>
      </c>
      <c r="CT206" s="545">
        <f xml:space="preserve"> ConFin!CT$288</f>
        <v>0</v>
      </c>
      <c r="CU206" s="545">
        <f xml:space="preserve"> ConFin!CU$288</f>
        <v>0</v>
      </c>
      <c r="CV206" s="545">
        <f xml:space="preserve"> ConFin!CV$288</f>
        <v>0</v>
      </c>
    </row>
    <row r="207" spans="1:100" outlineLevel="1" x14ac:dyDescent="0.2">
      <c r="E207" s="12" t="str">
        <f t="shared" ref="E207:AJ207" si="296" xml:space="preserve"> E$204</f>
        <v>Net cashflow to equity during operations - P99</v>
      </c>
      <c r="F207" s="12">
        <f t="shared" si="296"/>
        <v>0</v>
      </c>
      <c r="G207" s="12" t="str">
        <f t="shared" si="296"/>
        <v>$ 000s</v>
      </c>
      <c r="H207" s="12">
        <f t="shared" ca="1" si="296"/>
        <v>88662.976792334564</v>
      </c>
      <c r="I207" s="12">
        <f t="shared" si="296"/>
        <v>0</v>
      </c>
      <c r="J207" s="12">
        <f t="shared" ca="1" si="296"/>
        <v>0</v>
      </c>
      <c r="K207" s="12">
        <f t="shared" ca="1" si="296"/>
        <v>0</v>
      </c>
      <c r="L207" s="12">
        <f t="shared" ca="1" si="296"/>
        <v>0</v>
      </c>
      <c r="M207" s="12">
        <f t="shared" ca="1" si="296"/>
        <v>0</v>
      </c>
      <c r="N207" s="12">
        <f t="shared" ca="1" si="296"/>
        <v>0</v>
      </c>
      <c r="O207" s="12">
        <f t="shared" ca="1" si="296"/>
        <v>1293.6866919398692</v>
      </c>
      <c r="P207" s="12">
        <f t="shared" ca="1" si="296"/>
        <v>827.53651011331362</v>
      </c>
      <c r="Q207" s="12">
        <f t="shared" ca="1" si="296"/>
        <v>766.48828581936084</v>
      </c>
      <c r="R207" s="12">
        <f t="shared" ca="1" si="296"/>
        <v>800.59754341153416</v>
      </c>
      <c r="S207" s="12">
        <f t="shared" ca="1" si="296"/>
        <v>739.43864988147038</v>
      </c>
      <c r="T207" s="12">
        <f t="shared" ca="1" si="296"/>
        <v>765.91276639523846</v>
      </c>
      <c r="U207" s="12">
        <f t="shared" ca="1" si="296"/>
        <v>719.22354744291567</v>
      </c>
      <c r="V207" s="12">
        <f t="shared" ca="1" si="296"/>
        <v>738.05766789527047</v>
      </c>
      <c r="W207" s="12">
        <f t="shared" ca="1" si="296"/>
        <v>675.76337072739398</v>
      </c>
      <c r="X207" s="12">
        <f t="shared" ca="1" si="296"/>
        <v>717.02279593294838</v>
      </c>
      <c r="Y207" s="12">
        <f t="shared" ca="1" si="296"/>
        <v>655.50509733830381</v>
      </c>
      <c r="Z207" s="12">
        <f t="shared" ca="1" si="296"/>
        <v>688.21375811218923</v>
      </c>
      <c r="AA207" s="12">
        <f t="shared" ca="1" si="296"/>
        <v>626.56724377584578</v>
      </c>
      <c r="AB207" s="12">
        <f t="shared" ca="1" si="296"/>
        <v>651.85958422143676</v>
      </c>
      <c r="AC207" s="12">
        <f t="shared" ca="1" si="296"/>
        <v>604.18653078955072</v>
      </c>
      <c r="AD207" s="12">
        <f t="shared" ca="1" si="296"/>
        <v>622.05727595720589</v>
      </c>
      <c r="AE207" s="12">
        <f t="shared" ca="1" si="296"/>
        <v>559.39804497188175</v>
      </c>
      <c r="AF207" s="12">
        <f t="shared" ca="1" si="296"/>
        <v>598.7966032974</v>
      </c>
      <c r="AG207" s="12">
        <f t="shared" ca="1" si="296"/>
        <v>536.73474641368944</v>
      </c>
      <c r="AH207" s="12">
        <f t="shared" ca="1" si="296"/>
        <v>567.96009550337885</v>
      </c>
      <c r="AI207" s="12">
        <f t="shared" ca="1" si="296"/>
        <v>505.74985571764552</v>
      </c>
      <c r="AJ207" s="12">
        <f t="shared" ca="1" si="296"/>
        <v>529.78911262569488</v>
      </c>
      <c r="AK207" s="12">
        <f t="shared" ref="AK207:BP207" ca="1" si="297" xml:space="preserve"> AK$204</f>
        <v>481.02839930369345</v>
      </c>
      <c r="AL207" s="12">
        <f t="shared" ca="1" si="297"/>
        <v>497.8758343795476</v>
      </c>
      <c r="AM207" s="12">
        <f t="shared" ca="1" si="297"/>
        <v>434.78400913039184</v>
      </c>
      <c r="AN207" s="12">
        <f t="shared" ca="1" si="297"/>
        <v>472.20918322077279</v>
      </c>
      <c r="AO207" s="12">
        <f t="shared" ca="1" si="297"/>
        <v>409.5226463254362</v>
      </c>
      <c r="AP207" s="12">
        <f t="shared" ca="1" si="297"/>
        <v>439.17483115388541</v>
      </c>
      <c r="AQ207" s="12">
        <f t="shared" ca="1" si="297"/>
        <v>376.3180957459482</v>
      </c>
      <c r="AR207" s="12">
        <f t="shared" ca="1" si="297"/>
        <v>399.02659214128477</v>
      </c>
      <c r="AS207" s="12">
        <f t="shared" ca="1" si="297"/>
        <v>349.0648265003345</v>
      </c>
      <c r="AT207" s="12">
        <f t="shared" ca="1" si="297"/>
        <v>364.82219345245176</v>
      </c>
      <c r="AU207" s="12">
        <f t="shared" ca="1" si="297"/>
        <v>5015.3483552322905</v>
      </c>
      <c r="AV207" s="12">
        <f t="shared" ca="1" si="297"/>
        <v>4999.9871705013966</v>
      </c>
      <c r="AW207" s="12">
        <f t="shared" ca="1" si="297"/>
        <v>9649.4394695799328</v>
      </c>
      <c r="AX207" s="12">
        <f t="shared" ca="1" si="297"/>
        <v>9576.2793312938065</v>
      </c>
      <c r="AY207" s="12">
        <f t="shared" ca="1" si="297"/>
        <v>9509.1500443386394</v>
      </c>
      <c r="AZ207" s="12">
        <f t="shared" ca="1" si="297"/>
        <v>9436.0324390069763</v>
      </c>
      <c r="BA207" s="12">
        <f t="shared" ca="1" si="297"/>
        <v>9366.7033242950602</v>
      </c>
      <c r="BB207" s="12">
        <f t="shared" ca="1" si="297"/>
        <v>11695.664268449176</v>
      </c>
      <c r="BC207" s="12">
        <f t="shared" ca="1" si="297"/>
        <v>0</v>
      </c>
      <c r="BD207" s="12">
        <f t="shared" ca="1" si="297"/>
        <v>0</v>
      </c>
      <c r="BE207" s="12">
        <f t="shared" ca="1" si="297"/>
        <v>0</v>
      </c>
      <c r="BF207" s="12">
        <f t="shared" ca="1" si="297"/>
        <v>0</v>
      </c>
      <c r="BG207" s="12">
        <f t="shared" ca="1" si="297"/>
        <v>0</v>
      </c>
      <c r="BH207" s="12">
        <f t="shared" ca="1" si="297"/>
        <v>0</v>
      </c>
      <c r="BI207" s="12">
        <f t="shared" ca="1" si="297"/>
        <v>0</v>
      </c>
      <c r="BJ207" s="12">
        <f t="shared" ca="1" si="297"/>
        <v>0</v>
      </c>
      <c r="BK207" s="12">
        <f t="shared" ca="1" si="297"/>
        <v>0</v>
      </c>
      <c r="BL207" s="12">
        <f t="shared" ca="1" si="297"/>
        <v>0</v>
      </c>
      <c r="BM207" s="12">
        <f t="shared" ca="1" si="297"/>
        <v>0</v>
      </c>
      <c r="BN207" s="12">
        <f t="shared" ca="1" si="297"/>
        <v>0</v>
      </c>
      <c r="BO207" s="12">
        <f t="shared" ca="1" si="297"/>
        <v>0</v>
      </c>
      <c r="BP207" s="12">
        <f t="shared" ca="1" si="297"/>
        <v>0</v>
      </c>
      <c r="BQ207" s="12">
        <f t="shared" ref="BQ207:CV207" ca="1" si="298" xml:space="preserve"> BQ$204</f>
        <v>0</v>
      </c>
      <c r="BR207" s="12">
        <f t="shared" ca="1" si="298"/>
        <v>0</v>
      </c>
      <c r="BS207" s="12">
        <f t="shared" ca="1" si="298"/>
        <v>0</v>
      </c>
      <c r="BT207" s="12">
        <f t="shared" ca="1" si="298"/>
        <v>0</v>
      </c>
      <c r="BU207" s="12">
        <f t="shared" ca="1" si="298"/>
        <v>0</v>
      </c>
      <c r="BV207" s="12">
        <f t="shared" ca="1" si="298"/>
        <v>0</v>
      </c>
      <c r="BW207" s="12">
        <f t="shared" ca="1" si="298"/>
        <v>0</v>
      </c>
      <c r="BX207" s="12">
        <f t="shared" ca="1" si="298"/>
        <v>0</v>
      </c>
      <c r="BY207" s="12">
        <f t="shared" ca="1" si="298"/>
        <v>0</v>
      </c>
      <c r="BZ207" s="12">
        <f t="shared" ca="1" si="298"/>
        <v>0</v>
      </c>
      <c r="CA207" s="12">
        <f t="shared" ca="1" si="298"/>
        <v>0</v>
      </c>
      <c r="CB207" s="12">
        <f t="shared" ca="1" si="298"/>
        <v>0</v>
      </c>
      <c r="CC207" s="12">
        <f t="shared" ca="1" si="298"/>
        <v>0</v>
      </c>
      <c r="CD207" s="12">
        <f t="shared" ca="1" si="298"/>
        <v>0</v>
      </c>
      <c r="CE207" s="12">
        <f t="shared" ca="1" si="298"/>
        <v>0</v>
      </c>
      <c r="CF207" s="12">
        <f t="shared" ca="1" si="298"/>
        <v>0</v>
      </c>
      <c r="CG207" s="12">
        <f t="shared" ca="1" si="298"/>
        <v>0</v>
      </c>
      <c r="CH207" s="12">
        <f t="shared" ca="1" si="298"/>
        <v>0</v>
      </c>
      <c r="CI207" s="12">
        <f t="shared" ca="1" si="298"/>
        <v>0</v>
      </c>
      <c r="CJ207" s="12">
        <f t="shared" ca="1" si="298"/>
        <v>0</v>
      </c>
      <c r="CK207" s="12">
        <f t="shared" ca="1" si="298"/>
        <v>0</v>
      </c>
      <c r="CL207" s="12">
        <f t="shared" ca="1" si="298"/>
        <v>0</v>
      </c>
      <c r="CM207" s="12">
        <f t="shared" ca="1" si="298"/>
        <v>0</v>
      </c>
      <c r="CN207" s="12">
        <f t="shared" ca="1" si="298"/>
        <v>0</v>
      </c>
      <c r="CO207" s="12">
        <f t="shared" ca="1" si="298"/>
        <v>0</v>
      </c>
      <c r="CP207" s="12">
        <f t="shared" ca="1" si="298"/>
        <v>0</v>
      </c>
      <c r="CQ207" s="12">
        <f t="shared" ca="1" si="298"/>
        <v>0</v>
      </c>
      <c r="CR207" s="12">
        <f t="shared" ca="1" si="298"/>
        <v>0</v>
      </c>
      <c r="CS207" s="12">
        <f t="shared" ca="1" si="298"/>
        <v>0</v>
      </c>
      <c r="CT207" s="12">
        <f t="shared" ca="1" si="298"/>
        <v>0</v>
      </c>
      <c r="CU207" s="12">
        <f t="shared" ca="1" si="298"/>
        <v>0</v>
      </c>
      <c r="CV207" s="12">
        <f t="shared" ca="1" si="298"/>
        <v>0</v>
      </c>
    </row>
    <row r="208" spans="1:100" outlineLevel="1" x14ac:dyDescent="0.2">
      <c r="A208" s="85"/>
      <c r="B208" s="85"/>
      <c r="C208" s="86"/>
      <c r="D208" s="87"/>
      <c r="E208" s="546" t="str">
        <f xml:space="preserve"> ConTime!E$23</f>
        <v>Model period ending - m</v>
      </c>
      <c r="F208" s="546">
        <f xml:space="preserve"> ConTime!F$23</f>
        <v>0</v>
      </c>
      <c r="G208" s="546" t="str">
        <f xml:space="preserve"> ConTime!G$23</f>
        <v>date</v>
      </c>
      <c r="H208" s="546">
        <f xml:space="preserve"> ConTime!H$23</f>
        <v>0</v>
      </c>
      <c r="I208" s="546">
        <f xml:space="preserve"> ConTime!I$23</f>
        <v>0</v>
      </c>
      <c r="J208" s="546">
        <f xml:space="preserve"> ConTime!J$23</f>
        <v>44592</v>
      </c>
      <c r="K208" s="546">
        <f xml:space="preserve"> ConTime!K$23</f>
        <v>44620</v>
      </c>
      <c r="L208" s="546">
        <f xml:space="preserve"> ConTime!L$23</f>
        <v>44651</v>
      </c>
      <c r="M208" s="546">
        <f xml:space="preserve"> ConTime!M$23</f>
        <v>44681</v>
      </c>
      <c r="N208" s="546">
        <f xml:space="preserve"> ConTime!N$23</f>
        <v>44712</v>
      </c>
      <c r="O208" s="546">
        <f xml:space="preserve"> ConTime!O$23</f>
        <v>44742</v>
      </c>
      <c r="P208" s="546">
        <f xml:space="preserve"> ConTime!P$23</f>
        <v>44773</v>
      </c>
      <c r="Q208" s="546">
        <f xml:space="preserve"> ConTime!Q$23</f>
        <v>44804</v>
      </c>
      <c r="R208" s="546">
        <f xml:space="preserve"> ConTime!R$23</f>
        <v>44834</v>
      </c>
      <c r="S208" s="546">
        <f xml:space="preserve"> ConTime!S$23</f>
        <v>44865</v>
      </c>
      <c r="T208" s="546">
        <f xml:space="preserve"> ConTime!T$23</f>
        <v>44895</v>
      </c>
      <c r="U208" s="546">
        <f xml:space="preserve"> ConTime!U$23</f>
        <v>44926</v>
      </c>
      <c r="V208" s="546">
        <f xml:space="preserve"> ConTime!V$23</f>
        <v>44957</v>
      </c>
      <c r="W208" s="546">
        <f xml:space="preserve"> ConTime!W$23</f>
        <v>44985</v>
      </c>
      <c r="X208" s="546">
        <f xml:space="preserve"> ConTime!X$23</f>
        <v>45016</v>
      </c>
      <c r="Y208" s="546">
        <f xml:space="preserve"> ConTime!Y$23</f>
        <v>45046</v>
      </c>
      <c r="Z208" s="546">
        <f xml:space="preserve"> ConTime!Z$23</f>
        <v>45077</v>
      </c>
      <c r="AA208" s="546">
        <f xml:space="preserve"> ConTime!AA$23</f>
        <v>45107</v>
      </c>
      <c r="AB208" s="546">
        <f xml:space="preserve"> ConTime!AB$23</f>
        <v>45138</v>
      </c>
      <c r="AC208" s="546">
        <f xml:space="preserve"> ConTime!AC$23</f>
        <v>45169</v>
      </c>
      <c r="AD208" s="546">
        <f xml:space="preserve"> ConTime!AD$23</f>
        <v>45199</v>
      </c>
      <c r="AE208" s="546">
        <f xml:space="preserve"> ConTime!AE$23</f>
        <v>45230</v>
      </c>
      <c r="AF208" s="546">
        <f xml:space="preserve"> ConTime!AF$23</f>
        <v>45260</v>
      </c>
      <c r="AG208" s="546">
        <f xml:space="preserve"> ConTime!AG$23</f>
        <v>45291</v>
      </c>
      <c r="AH208" s="546">
        <f xml:space="preserve"> ConTime!AH$23</f>
        <v>45322</v>
      </c>
      <c r="AI208" s="546">
        <f xml:space="preserve"> ConTime!AI$23</f>
        <v>45351</v>
      </c>
      <c r="AJ208" s="546">
        <f xml:space="preserve"> ConTime!AJ$23</f>
        <v>45382</v>
      </c>
      <c r="AK208" s="546">
        <f xml:space="preserve"> ConTime!AK$23</f>
        <v>45412</v>
      </c>
      <c r="AL208" s="546">
        <f xml:space="preserve"> ConTime!AL$23</f>
        <v>45443</v>
      </c>
      <c r="AM208" s="546">
        <f xml:space="preserve"> ConTime!AM$23</f>
        <v>45473</v>
      </c>
      <c r="AN208" s="546">
        <f xml:space="preserve"> ConTime!AN$23</f>
        <v>45504</v>
      </c>
      <c r="AO208" s="546">
        <f xml:space="preserve"> ConTime!AO$23</f>
        <v>45535</v>
      </c>
      <c r="AP208" s="546">
        <f xml:space="preserve"> ConTime!AP$23</f>
        <v>45565</v>
      </c>
      <c r="AQ208" s="546">
        <f xml:space="preserve"> ConTime!AQ$23</f>
        <v>45596</v>
      </c>
      <c r="AR208" s="546">
        <f xml:space="preserve"> ConTime!AR$23</f>
        <v>45626</v>
      </c>
      <c r="AS208" s="546">
        <f xml:space="preserve"> ConTime!AS$23</f>
        <v>45657</v>
      </c>
      <c r="AT208" s="546">
        <f xml:space="preserve"> ConTime!AT$23</f>
        <v>45688</v>
      </c>
      <c r="AU208" s="546">
        <f xml:space="preserve"> ConTime!AU$23</f>
        <v>45716</v>
      </c>
      <c r="AV208" s="546">
        <f xml:space="preserve"> ConTime!AV$23</f>
        <v>45747</v>
      </c>
      <c r="AW208" s="546">
        <f xml:space="preserve"> ConTime!AW$23</f>
        <v>45777</v>
      </c>
      <c r="AX208" s="546">
        <f xml:space="preserve"> ConTime!AX$23</f>
        <v>45808</v>
      </c>
      <c r="AY208" s="546">
        <f xml:space="preserve"> ConTime!AY$23</f>
        <v>45838</v>
      </c>
      <c r="AZ208" s="546">
        <f xml:space="preserve"> ConTime!AZ$23</f>
        <v>45869</v>
      </c>
      <c r="BA208" s="546">
        <f xml:space="preserve"> ConTime!BA$23</f>
        <v>45900</v>
      </c>
      <c r="BB208" s="546">
        <f xml:space="preserve"> ConTime!BB$23</f>
        <v>45930</v>
      </c>
      <c r="BC208" s="546">
        <f xml:space="preserve"> ConTime!BC$23</f>
        <v>45961</v>
      </c>
      <c r="BD208" s="546">
        <f xml:space="preserve"> ConTime!BD$23</f>
        <v>45991</v>
      </c>
      <c r="BE208" s="546">
        <f xml:space="preserve"> ConTime!BE$23</f>
        <v>46022</v>
      </c>
      <c r="BF208" s="546">
        <f xml:space="preserve"> ConTime!BF$23</f>
        <v>0</v>
      </c>
      <c r="BG208" s="546">
        <f xml:space="preserve"> ConTime!BG$23</f>
        <v>0</v>
      </c>
      <c r="BH208" s="546">
        <f xml:space="preserve"> ConTime!BH$23</f>
        <v>0</v>
      </c>
      <c r="BI208" s="546">
        <f xml:space="preserve"> ConTime!BI$23</f>
        <v>0</v>
      </c>
      <c r="BJ208" s="546">
        <f xml:space="preserve"> ConTime!BJ$23</f>
        <v>0</v>
      </c>
      <c r="BK208" s="546">
        <f xml:space="preserve"> ConTime!BK$23</f>
        <v>0</v>
      </c>
      <c r="BL208" s="546">
        <f xml:space="preserve"> ConTime!BL$23</f>
        <v>0</v>
      </c>
      <c r="BM208" s="546">
        <f xml:space="preserve"> ConTime!BM$23</f>
        <v>0</v>
      </c>
      <c r="BN208" s="546">
        <f xml:space="preserve"> ConTime!BN$23</f>
        <v>0</v>
      </c>
      <c r="BO208" s="546">
        <f xml:space="preserve"> ConTime!BO$23</f>
        <v>0</v>
      </c>
      <c r="BP208" s="546">
        <f xml:space="preserve"> ConTime!BP$23</f>
        <v>0</v>
      </c>
      <c r="BQ208" s="546">
        <f xml:space="preserve"> ConTime!BQ$23</f>
        <v>0</v>
      </c>
      <c r="BR208" s="546">
        <f xml:space="preserve"> ConTime!BR$23</f>
        <v>0</v>
      </c>
      <c r="BS208" s="546">
        <f xml:space="preserve"> ConTime!BS$23</f>
        <v>0</v>
      </c>
      <c r="BT208" s="546">
        <f xml:space="preserve"> ConTime!BT$23</f>
        <v>0</v>
      </c>
      <c r="BU208" s="546">
        <f xml:space="preserve"> ConTime!BU$23</f>
        <v>0</v>
      </c>
      <c r="BV208" s="546">
        <f xml:space="preserve"> ConTime!BV$23</f>
        <v>0</v>
      </c>
      <c r="BW208" s="546">
        <f xml:space="preserve"> ConTime!BW$23</f>
        <v>0</v>
      </c>
      <c r="BX208" s="546">
        <f xml:space="preserve"> ConTime!BX$23</f>
        <v>0</v>
      </c>
      <c r="BY208" s="546">
        <f xml:space="preserve"> ConTime!BY$23</f>
        <v>0</v>
      </c>
      <c r="BZ208" s="546">
        <f xml:space="preserve"> ConTime!BZ$23</f>
        <v>0</v>
      </c>
      <c r="CA208" s="546">
        <f xml:space="preserve"> ConTime!CA$23</f>
        <v>0</v>
      </c>
      <c r="CB208" s="546">
        <f xml:space="preserve"> ConTime!CB$23</f>
        <v>0</v>
      </c>
      <c r="CC208" s="546">
        <f xml:space="preserve"> ConTime!CC$23</f>
        <v>0</v>
      </c>
      <c r="CD208" s="546">
        <f xml:space="preserve"> ConTime!CD$23</f>
        <v>0</v>
      </c>
      <c r="CE208" s="546">
        <f xml:space="preserve"> ConTime!CE$23</f>
        <v>0</v>
      </c>
      <c r="CF208" s="546">
        <f xml:space="preserve"> ConTime!CF$23</f>
        <v>0</v>
      </c>
      <c r="CG208" s="546">
        <f xml:space="preserve"> ConTime!CG$23</f>
        <v>0</v>
      </c>
      <c r="CH208" s="546">
        <f xml:space="preserve"> ConTime!CH$23</f>
        <v>0</v>
      </c>
      <c r="CI208" s="546">
        <f xml:space="preserve"> ConTime!CI$23</f>
        <v>0</v>
      </c>
      <c r="CJ208" s="546">
        <f xml:space="preserve"> ConTime!CJ$23</f>
        <v>0</v>
      </c>
      <c r="CK208" s="546">
        <f xml:space="preserve"> ConTime!CK$23</f>
        <v>0</v>
      </c>
      <c r="CL208" s="546">
        <f xml:space="preserve"> ConTime!CL$23</f>
        <v>0</v>
      </c>
      <c r="CM208" s="546">
        <f xml:space="preserve"> ConTime!CM$23</f>
        <v>0</v>
      </c>
      <c r="CN208" s="546">
        <f xml:space="preserve"> ConTime!CN$23</f>
        <v>0</v>
      </c>
      <c r="CO208" s="546">
        <f xml:space="preserve"> ConTime!CO$23</f>
        <v>0</v>
      </c>
      <c r="CP208" s="546">
        <f xml:space="preserve"> ConTime!CP$23</f>
        <v>0</v>
      </c>
      <c r="CQ208" s="546">
        <f xml:space="preserve"> ConTime!CQ$23</f>
        <v>0</v>
      </c>
      <c r="CR208" s="546">
        <f xml:space="preserve"> ConTime!CR$23</f>
        <v>0</v>
      </c>
      <c r="CS208" s="546">
        <f xml:space="preserve"> ConTime!CS$23</f>
        <v>0</v>
      </c>
      <c r="CT208" s="546">
        <f xml:space="preserve"> ConTime!CT$23</f>
        <v>0</v>
      </c>
      <c r="CU208" s="546">
        <f xml:space="preserve"> ConTime!CU$23</f>
        <v>0</v>
      </c>
      <c r="CV208" s="546">
        <f xml:space="preserve"> ConTime!CV$23</f>
        <v>0</v>
      </c>
    </row>
    <row r="209" spans="1:100" outlineLevel="1" x14ac:dyDescent="0.2">
      <c r="A209" s="85"/>
      <c r="B209" s="85"/>
      <c r="C209" s="86"/>
      <c r="D209" s="87"/>
      <c r="E209" s="634" t="str">
        <f xml:space="preserve"> Time!E$25</f>
        <v>Model period ending</v>
      </c>
      <c r="F209" s="634">
        <f xml:space="preserve"> Time!F$25</f>
        <v>0</v>
      </c>
      <c r="G209" s="634" t="str">
        <f xml:space="preserve"> Time!G$25</f>
        <v>date</v>
      </c>
      <c r="H209" s="634">
        <f xml:space="preserve"> Time!H$25</f>
        <v>0</v>
      </c>
      <c r="I209" s="634">
        <f xml:space="preserve"> Time!I$25</f>
        <v>0</v>
      </c>
      <c r="J209" s="634">
        <f xml:space="preserve"> Time!J$25</f>
        <v>44742</v>
      </c>
      <c r="K209" s="634">
        <f xml:space="preserve"> Time!K$25</f>
        <v>44926</v>
      </c>
      <c r="L209" s="634">
        <f xml:space="preserve"> Time!L$25</f>
        <v>45107</v>
      </c>
      <c r="M209" s="634">
        <f xml:space="preserve"> Time!M$25</f>
        <v>45291</v>
      </c>
      <c r="N209" s="634">
        <f xml:space="preserve"> Time!N$25</f>
        <v>45473</v>
      </c>
      <c r="O209" s="634">
        <f xml:space="preserve"> Time!O$25</f>
        <v>45657</v>
      </c>
      <c r="P209" s="634">
        <f xml:space="preserve"> Time!P$25</f>
        <v>45838</v>
      </c>
      <c r="Q209" s="634">
        <f xml:space="preserve"> Time!Q$25</f>
        <v>46022</v>
      </c>
      <c r="R209" s="634">
        <f xml:space="preserve"> Time!R$25</f>
        <v>46203</v>
      </c>
      <c r="S209" s="634">
        <f xml:space="preserve"> Time!S$25</f>
        <v>46387</v>
      </c>
      <c r="T209" s="634">
        <f xml:space="preserve"> Time!T$25</f>
        <v>46568</v>
      </c>
      <c r="U209" s="634">
        <f xml:space="preserve"> Time!U$25</f>
        <v>46752</v>
      </c>
      <c r="V209" s="634">
        <f xml:space="preserve"> Time!V$25</f>
        <v>46934</v>
      </c>
      <c r="W209" s="634">
        <f xml:space="preserve"> Time!W$25</f>
        <v>47118</v>
      </c>
      <c r="X209" s="634">
        <f xml:space="preserve"> Time!X$25</f>
        <v>47299</v>
      </c>
      <c r="Y209" s="634">
        <f xml:space="preserve"> Time!Y$25</f>
        <v>47483</v>
      </c>
      <c r="Z209" s="634">
        <f xml:space="preserve"> Time!Z$25</f>
        <v>47664</v>
      </c>
      <c r="AA209" s="634">
        <f xml:space="preserve"> Time!AA$25</f>
        <v>47848</v>
      </c>
      <c r="AB209" s="634">
        <f xml:space="preserve"> Time!AB$25</f>
        <v>48029</v>
      </c>
      <c r="AC209" s="634">
        <f xml:space="preserve"> Time!AC$25</f>
        <v>48213</v>
      </c>
      <c r="AD209" s="634">
        <f xml:space="preserve"> Time!AD$25</f>
        <v>48395</v>
      </c>
      <c r="AE209" s="634">
        <f xml:space="preserve"> Time!AE$25</f>
        <v>48579</v>
      </c>
      <c r="AF209" s="634">
        <f xml:space="preserve"> Time!AF$25</f>
        <v>48760</v>
      </c>
      <c r="AG209" s="634">
        <f xml:space="preserve"> Time!AG$25</f>
        <v>48944</v>
      </c>
      <c r="AH209" s="634">
        <f xml:space="preserve"> Time!AH$25</f>
        <v>49125</v>
      </c>
      <c r="AI209" s="634">
        <f xml:space="preserve"> Time!AI$25</f>
        <v>49309</v>
      </c>
      <c r="AJ209" s="634">
        <f xml:space="preserve"> Time!AJ$25</f>
        <v>49490</v>
      </c>
      <c r="AK209" s="634">
        <f xml:space="preserve"> Time!AK$25</f>
        <v>49674</v>
      </c>
      <c r="AL209" s="634">
        <f xml:space="preserve"> Time!AL$25</f>
        <v>49856</v>
      </c>
      <c r="AM209" s="634">
        <f xml:space="preserve"> Time!AM$25</f>
        <v>50040</v>
      </c>
      <c r="AN209" s="634">
        <f xml:space="preserve"> Time!AN$25</f>
        <v>50221</v>
      </c>
      <c r="AO209" s="634">
        <f xml:space="preserve"> Time!AO$25</f>
        <v>50405</v>
      </c>
      <c r="AP209" s="634">
        <f xml:space="preserve"> Time!AP$25</f>
        <v>50586</v>
      </c>
      <c r="AQ209" s="634">
        <f xml:space="preserve"> Time!AQ$25</f>
        <v>50770</v>
      </c>
      <c r="AR209" s="634">
        <f xml:space="preserve"> Time!AR$25</f>
        <v>50951</v>
      </c>
      <c r="AS209" s="634">
        <f xml:space="preserve"> Time!AS$25</f>
        <v>51135</v>
      </c>
      <c r="AT209" s="634">
        <f xml:space="preserve"> Time!AT$25</f>
        <v>51317</v>
      </c>
      <c r="AU209" s="634">
        <f xml:space="preserve"> Time!AU$25</f>
        <v>51501</v>
      </c>
      <c r="AV209" s="634">
        <f xml:space="preserve"> Time!AV$25</f>
        <v>51682</v>
      </c>
      <c r="AW209" s="634">
        <f xml:space="preserve"> Time!AW$25</f>
        <v>51866</v>
      </c>
      <c r="AX209" s="634">
        <f xml:space="preserve"> Time!AX$25</f>
        <v>52047</v>
      </c>
      <c r="AY209" s="634">
        <f xml:space="preserve"> Time!AY$25</f>
        <v>52231</v>
      </c>
      <c r="AZ209" s="634">
        <f xml:space="preserve"> Time!AZ$25</f>
        <v>52412</v>
      </c>
      <c r="BA209" s="634">
        <f xml:space="preserve"> Time!BA$25</f>
        <v>52596</v>
      </c>
      <c r="BB209" s="634">
        <f xml:space="preserve"> Time!BB$25</f>
        <v>52778</v>
      </c>
      <c r="BC209" s="634">
        <f xml:space="preserve"> Time!BC$25</f>
        <v>52962</v>
      </c>
      <c r="BD209" s="634">
        <f xml:space="preserve"> Time!BD$25</f>
        <v>53143</v>
      </c>
      <c r="BE209" s="634">
        <f xml:space="preserve"> Time!BE$25</f>
        <v>53327</v>
      </c>
      <c r="BF209" s="634">
        <f xml:space="preserve"> Time!BF$25</f>
        <v>53508</v>
      </c>
      <c r="BG209" s="634">
        <f xml:space="preserve"> Time!BG$25</f>
        <v>53692</v>
      </c>
      <c r="BH209" s="634">
        <f xml:space="preserve"> Time!BH$25</f>
        <v>53873</v>
      </c>
      <c r="BI209" s="634">
        <f xml:space="preserve"> Time!BI$25</f>
        <v>54057</v>
      </c>
      <c r="BJ209" s="634">
        <f xml:space="preserve"> Time!BJ$25</f>
        <v>54239</v>
      </c>
      <c r="BK209" s="634">
        <f xml:space="preserve"> Time!BK$25</f>
        <v>54423</v>
      </c>
      <c r="BL209" s="634">
        <f xml:space="preserve"> Time!BL$25</f>
        <v>54604</v>
      </c>
      <c r="BM209" s="634">
        <f xml:space="preserve"> Time!BM$25</f>
        <v>54788</v>
      </c>
      <c r="BN209" s="634">
        <f xml:space="preserve"> Time!BN$25</f>
        <v>54969</v>
      </c>
      <c r="BO209" s="634">
        <f xml:space="preserve"> Time!BO$25</f>
        <v>55153</v>
      </c>
      <c r="BP209" s="634">
        <f xml:space="preserve"> Time!BP$25</f>
        <v>55334</v>
      </c>
      <c r="BQ209" s="634">
        <f xml:space="preserve"> Time!BQ$25</f>
        <v>55518</v>
      </c>
      <c r="BR209" s="634">
        <f xml:space="preserve"> Time!BR$25</f>
        <v>55700</v>
      </c>
      <c r="BS209" s="634">
        <f xml:space="preserve"> Time!BS$25</f>
        <v>55884</v>
      </c>
      <c r="BT209" s="634">
        <f xml:space="preserve"> Time!BT$25</f>
        <v>56065</v>
      </c>
      <c r="BU209" s="634">
        <f xml:space="preserve"> Time!BU$25</f>
        <v>56249</v>
      </c>
      <c r="BV209" s="634">
        <f xml:space="preserve"> Time!BV$25</f>
        <v>56430</v>
      </c>
      <c r="BW209" s="634">
        <f xml:space="preserve"> Time!BW$25</f>
        <v>56614</v>
      </c>
      <c r="BX209" s="634">
        <f xml:space="preserve"> Time!BX$25</f>
        <v>56795</v>
      </c>
      <c r="BY209" s="634">
        <f xml:space="preserve"> Time!BY$25</f>
        <v>56979</v>
      </c>
      <c r="BZ209" s="634">
        <f xml:space="preserve"> Time!BZ$25</f>
        <v>57161</v>
      </c>
      <c r="CA209" s="634">
        <f xml:space="preserve"> Time!CA$25</f>
        <v>57345</v>
      </c>
      <c r="CB209" s="634">
        <f xml:space="preserve"> Time!CB$25</f>
        <v>57526</v>
      </c>
      <c r="CC209" s="634">
        <f xml:space="preserve"> Time!CC$25</f>
        <v>57710</v>
      </c>
      <c r="CD209" s="634">
        <f xml:space="preserve"> Time!CD$25</f>
        <v>57891</v>
      </c>
      <c r="CE209" s="634">
        <f xml:space="preserve"> Time!CE$25</f>
        <v>58075</v>
      </c>
      <c r="CF209" s="634">
        <f xml:space="preserve"> Time!CF$25</f>
        <v>58256</v>
      </c>
      <c r="CG209" s="634">
        <f xml:space="preserve"> Time!CG$25</f>
        <v>58440</v>
      </c>
      <c r="CH209" s="634">
        <f xml:space="preserve"> Time!CH$25</f>
        <v>58622</v>
      </c>
      <c r="CI209" s="634">
        <f xml:space="preserve"> Time!CI$25</f>
        <v>58806</v>
      </c>
      <c r="CJ209" s="634">
        <f xml:space="preserve"> Time!CJ$25</f>
        <v>58987</v>
      </c>
      <c r="CK209" s="634">
        <f xml:space="preserve"> Time!CK$25</f>
        <v>59171</v>
      </c>
      <c r="CL209" s="634">
        <f xml:space="preserve"> Time!CL$25</f>
        <v>59352</v>
      </c>
      <c r="CM209" s="634">
        <f xml:space="preserve"> Time!CM$25</f>
        <v>59536</v>
      </c>
      <c r="CN209" s="634">
        <f xml:space="preserve"> Time!CN$25</f>
        <v>59717</v>
      </c>
      <c r="CO209" s="634">
        <f xml:space="preserve"> Time!CO$25</f>
        <v>59901</v>
      </c>
      <c r="CP209" s="634">
        <f xml:space="preserve"> Time!CP$25</f>
        <v>60083</v>
      </c>
      <c r="CQ209" s="634">
        <f xml:space="preserve"> Time!CQ$25</f>
        <v>60267</v>
      </c>
      <c r="CR209" s="634">
        <f xml:space="preserve"> Time!CR$25</f>
        <v>60448</v>
      </c>
      <c r="CS209" s="634">
        <f xml:space="preserve"> Time!CS$25</f>
        <v>60632</v>
      </c>
      <c r="CT209" s="634">
        <f xml:space="preserve"> Time!CT$25</f>
        <v>60813</v>
      </c>
      <c r="CU209" s="634">
        <f xml:space="preserve"> Time!CU$25</f>
        <v>60997</v>
      </c>
      <c r="CV209" s="634">
        <f xml:space="preserve"> Time!CV$25</f>
        <v>61178</v>
      </c>
    </row>
    <row r="210" spans="1:100" s="188" customFormat="1" outlineLevel="1" x14ac:dyDescent="0.2">
      <c r="A210" s="141"/>
      <c r="B210" s="141"/>
      <c r="C210" s="142"/>
      <c r="D210" s="143"/>
      <c r="E210" s="144" t="s">
        <v>1255</v>
      </c>
      <c r="F210" s="547">
        <f ca="1" xml:space="preserve"> XIRR(J206:CV207, J208:CV209)</f>
        <v>3.0456453561782835E-3</v>
      </c>
      <c r="G210" s="144" t="s">
        <v>103</v>
      </c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  <c r="AF210" s="144"/>
      <c r="AG210" s="144"/>
      <c r="AH210" s="144"/>
      <c r="AI210" s="144"/>
      <c r="AJ210" s="144"/>
      <c r="AK210" s="144"/>
      <c r="AL210" s="144"/>
      <c r="AM210" s="144"/>
      <c r="AN210" s="144"/>
      <c r="AO210" s="144"/>
      <c r="AP210" s="144"/>
      <c r="AQ210" s="144"/>
      <c r="AR210" s="144"/>
      <c r="AS210" s="144"/>
      <c r="AT210" s="144"/>
      <c r="AU210" s="144"/>
      <c r="AV210" s="144"/>
      <c r="AW210" s="144"/>
      <c r="AX210" s="144"/>
      <c r="AY210" s="144"/>
      <c r="AZ210" s="144"/>
      <c r="BA210" s="144"/>
      <c r="BB210" s="144"/>
      <c r="BC210" s="144"/>
      <c r="BD210" s="144"/>
      <c r="BE210" s="144"/>
      <c r="BF210" s="144"/>
      <c r="BG210" s="144"/>
      <c r="BH210" s="144"/>
      <c r="BI210" s="144"/>
      <c r="BJ210" s="144"/>
      <c r="BK210" s="144"/>
      <c r="BL210" s="144"/>
      <c r="BM210" s="144"/>
      <c r="BN210" s="144"/>
      <c r="BO210" s="144"/>
      <c r="BP210" s="144"/>
      <c r="BQ210" s="144"/>
      <c r="BR210" s="144"/>
      <c r="BS210" s="144"/>
      <c r="BT210" s="144"/>
      <c r="BU210" s="144"/>
      <c r="BV210" s="144"/>
      <c r="BW210" s="144"/>
      <c r="BX210" s="144"/>
      <c r="BY210" s="144"/>
      <c r="BZ210" s="144"/>
      <c r="CA210" s="144"/>
      <c r="CB210" s="144"/>
      <c r="CC210" s="144"/>
      <c r="CD210" s="144"/>
      <c r="CE210" s="144"/>
      <c r="CF210" s="144"/>
      <c r="CG210" s="144"/>
      <c r="CH210" s="144"/>
      <c r="CI210" s="144"/>
      <c r="CJ210" s="144"/>
      <c r="CK210" s="144"/>
      <c r="CL210" s="144"/>
      <c r="CM210" s="144"/>
      <c r="CN210" s="144"/>
      <c r="CO210" s="144"/>
      <c r="CP210" s="144"/>
      <c r="CQ210" s="144"/>
      <c r="CR210" s="144"/>
      <c r="CS210" s="144"/>
      <c r="CT210" s="144"/>
      <c r="CU210" s="144"/>
      <c r="CV210" s="144"/>
    </row>
    <row r="211" spans="1:100" outlineLevel="1" x14ac:dyDescent="0.2"/>
    <row r="212" spans="1:100" x14ac:dyDescent="0.2"/>
    <row r="213" spans="1:100" x14ac:dyDescent="0.2">
      <c r="A213" s="15" t="s">
        <v>1256</v>
      </c>
    </row>
    <row r="214" spans="1:100" outlineLevel="1" x14ac:dyDescent="0.2"/>
    <row r="215" spans="1:100" outlineLevel="1" x14ac:dyDescent="0.2">
      <c r="A215" s="85"/>
      <c r="B215" s="85"/>
      <c r="C215" s="86"/>
      <c r="D215" s="87"/>
      <c r="E215" s="186" t="str">
        <f xml:space="preserve"> 'FS Semi_P99'!E$63</f>
        <v>Cashflow available for senior debt - P99</v>
      </c>
      <c r="F215" s="186">
        <f xml:space="preserve"> 'FS Semi_P99'!F$63</f>
        <v>0</v>
      </c>
      <c r="G215" s="186" t="str">
        <f xml:space="preserve"> 'FS Semi_P99'!G$63</f>
        <v>$ 000s</v>
      </c>
      <c r="H215" s="186">
        <f ca="1" xml:space="preserve"> 'FS Semi_P99'!H$63</f>
        <v>440213.89832674386</v>
      </c>
      <c r="I215" s="186">
        <f xml:space="preserve"> 'FS Semi_P99'!I$63</f>
        <v>0</v>
      </c>
      <c r="J215" s="186">
        <f ca="1" xml:space="preserve"> 'FS Semi_P99'!J$63</f>
        <v>-1.5558398445136845E-6</v>
      </c>
      <c r="K215" s="186">
        <f ca="1" xml:space="preserve"> 'FS Semi_P99'!K$63</f>
        <v>-1.2466658517951146E-5</v>
      </c>
      <c r="L215" s="186">
        <f ca="1" xml:space="preserve"> 'FS Semi_P99'!L$63</f>
        <v>-1.6754362150095403E-5</v>
      </c>
      <c r="M215" s="186">
        <f ca="1" xml:space="preserve"> 'FS Semi_P99'!M$63</f>
        <v>-1.9422688637860119E-5</v>
      </c>
      <c r="N215" s="186">
        <f ca="1" xml:space="preserve"> 'FS Semi_P99'!N$63</f>
        <v>-3.9676149608567357E-3</v>
      </c>
      <c r="O215" s="186">
        <f ca="1" xml:space="preserve"> 'FS Semi_P99'!O$63</f>
        <v>14020.372995316127</v>
      </c>
      <c r="P215" s="186">
        <f ca="1" xml:space="preserve"> 'FS Semi_P99'!P$63</f>
        <v>12030.372995316129</v>
      </c>
      <c r="Q215" s="186">
        <f ca="1" xml:space="preserve"> 'FS Semi_P99'!Q$63</f>
        <v>11993.784267611052</v>
      </c>
      <c r="R215" s="186">
        <f ca="1" xml:space="preserve"> 'FS Semi_P99'!R$63</f>
        <v>11917.385541845897</v>
      </c>
      <c r="S215" s="186">
        <f ca="1" xml:space="preserve"> 'FS Semi_P99'!S$63</f>
        <v>11879.155257275261</v>
      </c>
      <c r="T215" s="186">
        <f ca="1" xml:space="preserve"> 'FS Semi_P99'!T$63</f>
        <v>11802.831368568357</v>
      </c>
      <c r="U215" s="186">
        <f ca="1" xml:space="preserve"> 'FS Semi_P99'!U$63</f>
        <v>11762.928287235867</v>
      </c>
      <c r="V215" s="186">
        <f ca="1" xml:space="preserve"> 'FS Semi_P99'!V$63</f>
        <v>11686.677528771314</v>
      </c>
      <c r="W215" s="186">
        <f ca="1" xml:space="preserve"> 'FS Semi_P99'!W$63</f>
        <v>11629.105341614206</v>
      </c>
      <c r="X215" s="186">
        <f ca="1" xml:space="preserve"> 'FS Semi_P99'!X$63</f>
        <v>11568.890415912327</v>
      </c>
      <c r="Y215" s="186">
        <f ca="1" xml:space="preserve"> 'FS Semi_P99'!Y$63</f>
        <v>11525.545480627239</v>
      </c>
      <c r="Z215" s="186">
        <f ca="1" xml:space="preserve"> 'FS Semi_P99'!Z$63</f>
        <v>11449.435750349998</v>
      </c>
      <c r="AA215" s="186">
        <f ca="1" xml:space="preserve"> 'FS Semi_P99'!AA$63</f>
        <v>11404.320455503168</v>
      </c>
      <c r="AB215" s="186">
        <f ca="1" xml:space="preserve"> 'FS Semi_P99'!AB$63</f>
        <v>11328.278565808636</v>
      </c>
      <c r="AC215" s="186">
        <f ca="1" xml:space="preserve"> 'FS Semi_P99'!AC$63</f>
        <v>11281.359066246368</v>
      </c>
      <c r="AD215" s="186">
        <f ca="1" xml:space="preserve"> 'FS Semi_P99'!AD$63</f>
        <v>11205.38319557111</v>
      </c>
      <c r="AE215" s="186">
        <f ca="1" xml:space="preserve"> 'FS Semi_P99'!AE$63</f>
        <v>11141.317990629093</v>
      </c>
      <c r="AF215" s="186">
        <f ca="1" xml:space="preserve"> 'FS Semi_P99'!AF$63</f>
        <v>11080.713258394269</v>
      </c>
      <c r="AG215" s="186">
        <f ca="1" xml:space="preserve"> 'FS Semi_P99'!AG$63</f>
        <v>11030.081062769019</v>
      </c>
      <c r="AH215" s="186">
        <f ca="1" xml:space="preserve"> 'FS Semi_P99'!AH$63</f>
        <v>10954.231644141453</v>
      </c>
      <c r="AI215" s="186">
        <f ca="1" xml:space="preserve"> 'FS Semi_P99'!AI$63</f>
        <v>10901.689546931615</v>
      </c>
      <c r="AJ215" s="186">
        <f ca="1" xml:space="preserve"> 'FS Semi_P99'!AJ$63</f>
        <v>10825.90049912633</v>
      </c>
      <c r="AK215" s="186">
        <f ca="1" xml:space="preserve"> 'FS Semi_P99'!AK$63</f>
        <v>10771.411834146054</v>
      </c>
      <c r="AL215" s="186">
        <f ca="1" xml:space="preserve"> 'FS Semi_P99'!AL$63</f>
        <v>10695.681211162373</v>
      </c>
      <c r="AM215" s="186">
        <f ca="1" xml:space="preserve"> 'FS Semi_P99'!AM$63</f>
        <v>10624.597871946047</v>
      </c>
      <c r="AN215" s="186">
        <f ca="1" xml:space="preserve"> 'FS Semi_P99'!AN$63</f>
        <v>10563.534394311991</v>
      </c>
      <c r="AO215" s="186">
        <f ca="1" xml:space="preserve"> 'FS Semi_P99'!AO$63</f>
        <v>10505.039616202108</v>
      </c>
      <c r="AP215" s="186">
        <f ca="1" xml:space="preserve"> 'FS Semi_P99'!AP$63</f>
        <v>10429.419873329298</v>
      </c>
      <c r="AQ215" s="186">
        <f ca="1" xml:space="preserve"> 'FS Semi_P99'!AQ$63</f>
        <v>10368.864022823194</v>
      </c>
      <c r="AR215" s="186">
        <f ca="1" xml:space="preserve"> 'FS Semi_P99'!AR$63</f>
        <v>10293.296667790339</v>
      </c>
      <c r="AS215" s="186">
        <f ca="1" xml:space="preserve"> 'FS Semi_P99'!AS$63</f>
        <v>10230.640024023749</v>
      </c>
      <c r="AT215" s="186">
        <f ca="1" xml:space="preserve"> 'FS Semi_P99'!AT$63</f>
        <v>10155.122975904564</v>
      </c>
      <c r="AU215" s="186">
        <f ca="1" xml:space="preserve"> 'FS Semi_P99'!AU$63</f>
        <v>10076.452739058863</v>
      </c>
      <c r="AV215" s="186">
        <f ca="1" xml:space="preserve"> 'FS Semi_P99'!AV$63</f>
        <v>10014.856158001163</v>
      </c>
      <c r="AW215" s="186">
        <f ca="1" xml:space="preserve"> 'FS Semi_P99'!AW$63</f>
        <v>9947.8755393576703</v>
      </c>
      <c r="AX215" s="186">
        <f ca="1" xml:space="preserve"> 'FS Semi_P99'!AX$63</f>
        <v>9872.4527196835443</v>
      </c>
      <c r="AY215" s="186">
        <f ca="1" xml:space="preserve"> 'FS Semi_P99'!AY$63</f>
        <v>9803.2472659130381</v>
      </c>
      <c r="AZ215" s="186">
        <f ca="1" xml:space="preserve"> 'FS Semi_P99'!AZ$63</f>
        <v>9727.8682946455738</v>
      </c>
      <c r="BA215" s="186">
        <f ca="1" xml:space="preserve"> 'FS Semi_P99'!BA$63</f>
        <v>9656.3949772083179</v>
      </c>
      <c r="BB215" s="186">
        <f ca="1" xml:space="preserve"> 'FS Semi_P99'!BB$63</f>
        <v>12057.385643485566</v>
      </c>
      <c r="BC215" s="186">
        <f ca="1" xml:space="preserve"> 'FS Semi_P99'!BC$63</f>
        <v>0</v>
      </c>
      <c r="BD215" s="186">
        <f ca="1" xml:space="preserve"> 'FS Semi_P99'!BD$63</f>
        <v>0</v>
      </c>
      <c r="BE215" s="186">
        <f ca="1" xml:space="preserve"> 'FS Semi_P99'!BE$63</f>
        <v>0</v>
      </c>
      <c r="BF215" s="186">
        <f ca="1" xml:space="preserve"> 'FS Semi_P99'!BF$63</f>
        <v>0</v>
      </c>
      <c r="BG215" s="186">
        <f ca="1" xml:space="preserve"> 'FS Semi_P99'!BG$63</f>
        <v>0</v>
      </c>
      <c r="BH215" s="186">
        <f ca="1" xml:space="preserve"> 'FS Semi_P99'!BH$63</f>
        <v>0</v>
      </c>
      <c r="BI215" s="186">
        <f ca="1" xml:space="preserve"> 'FS Semi_P99'!BI$63</f>
        <v>0</v>
      </c>
      <c r="BJ215" s="186">
        <f ca="1" xml:space="preserve"> 'FS Semi_P99'!BJ$63</f>
        <v>0</v>
      </c>
      <c r="BK215" s="186">
        <f ca="1" xml:space="preserve"> 'FS Semi_P99'!BK$63</f>
        <v>0</v>
      </c>
      <c r="BL215" s="186">
        <f ca="1" xml:space="preserve"> 'FS Semi_P99'!BL$63</f>
        <v>0</v>
      </c>
      <c r="BM215" s="186">
        <f ca="1" xml:space="preserve"> 'FS Semi_P99'!BM$63</f>
        <v>0</v>
      </c>
      <c r="BN215" s="186">
        <f ca="1" xml:space="preserve"> 'FS Semi_P99'!BN$63</f>
        <v>0</v>
      </c>
      <c r="BO215" s="186">
        <f ca="1" xml:space="preserve"> 'FS Semi_P99'!BO$63</f>
        <v>0</v>
      </c>
      <c r="BP215" s="186">
        <f ca="1" xml:space="preserve"> 'FS Semi_P99'!BP$63</f>
        <v>0</v>
      </c>
      <c r="BQ215" s="186">
        <f ca="1" xml:space="preserve"> 'FS Semi_P99'!BQ$63</f>
        <v>0</v>
      </c>
      <c r="BR215" s="186">
        <f ca="1" xml:space="preserve"> 'FS Semi_P99'!BR$63</f>
        <v>0</v>
      </c>
      <c r="BS215" s="186">
        <f ca="1" xml:space="preserve"> 'FS Semi_P99'!BS$63</f>
        <v>0</v>
      </c>
      <c r="BT215" s="186">
        <f ca="1" xml:space="preserve"> 'FS Semi_P99'!BT$63</f>
        <v>0</v>
      </c>
      <c r="BU215" s="186">
        <f ca="1" xml:space="preserve"> 'FS Semi_P99'!BU$63</f>
        <v>0</v>
      </c>
      <c r="BV215" s="186">
        <f ca="1" xml:space="preserve"> 'FS Semi_P99'!BV$63</f>
        <v>0</v>
      </c>
      <c r="BW215" s="186">
        <f ca="1" xml:space="preserve"> 'FS Semi_P99'!BW$63</f>
        <v>0</v>
      </c>
      <c r="BX215" s="186">
        <f ca="1" xml:space="preserve"> 'FS Semi_P99'!BX$63</f>
        <v>0</v>
      </c>
      <c r="BY215" s="186">
        <f ca="1" xml:space="preserve"> 'FS Semi_P99'!BY$63</f>
        <v>0</v>
      </c>
      <c r="BZ215" s="186">
        <f ca="1" xml:space="preserve"> 'FS Semi_P99'!BZ$63</f>
        <v>0</v>
      </c>
      <c r="CA215" s="186">
        <f ca="1" xml:space="preserve"> 'FS Semi_P99'!CA$63</f>
        <v>0</v>
      </c>
      <c r="CB215" s="186">
        <f ca="1" xml:space="preserve"> 'FS Semi_P99'!CB$63</f>
        <v>0</v>
      </c>
      <c r="CC215" s="186">
        <f ca="1" xml:space="preserve"> 'FS Semi_P99'!CC$63</f>
        <v>0</v>
      </c>
      <c r="CD215" s="186">
        <f ca="1" xml:space="preserve"> 'FS Semi_P99'!CD$63</f>
        <v>0</v>
      </c>
      <c r="CE215" s="186">
        <f ca="1" xml:space="preserve"> 'FS Semi_P99'!CE$63</f>
        <v>0</v>
      </c>
      <c r="CF215" s="186">
        <f ca="1" xml:space="preserve"> 'FS Semi_P99'!CF$63</f>
        <v>0</v>
      </c>
      <c r="CG215" s="186">
        <f ca="1" xml:space="preserve"> 'FS Semi_P99'!CG$63</f>
        <v>0</v>
      </c>
      <c r="CH215" s="186">
        <f ca="1" xml:space="preserve"> 'FS Semi_P99'!CH$63</f>
        <v>0</v>
      </c>
      <c r="CI215" s="186">
        <f ca="1" xml:space="preserve"> 'FS Semi_P99'!CI$63</f>
        <v>0</v>
      </c>
      <c r="CJ215" s="186">
        <f ca="1" xml:space="preserve"> 'FS Semi_P99'!CJ$63</f>
        <v>0</v>
      </c>
      <c r="CK215" s="186">
        <f ca="1" xml:space="preserve"> 'FS Semi_P99'!CK$63</f>
        <v>0</v>
      </c>
      <c r="CL215" s="186">
        <f ca="1" xml:space="preserve"> 'FS Semi_P99'!CL$63</f>
        <v>0</v>
      </c>
      <c r="CM215" s="186">
        <f ca="1" xml:space="preserve"> 'FS Semi_P99'!CM$63</f>
        <v>0</v>
      </c>
      <c r="CN215" s="186">
        <f ca="1" xml:space="preserve"> 'FS Semi_P99'!CN$63</f>
        <v>0</v>
      </c>
      <c r="CO215" s="186">
        <f ca="1" xml:space="preserve"> 'FS Semi_P99'!CO$63</f>
        <v>0</v>
      </c>
      <c r="CP215" s="186">
        <f ca="1" xml:space="preserve"> 'FS Semi_P99'!CP$63</f>
        <v>0</v>
      </c>
      <c r="CQ215" s="186">
        <f ca="1" xml:space="preserve"> 'FS Semi_P99'!CQ$63</f>
        <v>0</v>
      </c>
      <c r="CR215" s="186">
        <f ca="1" xml:space="preserve"> 'FS Semi_P99'!CR$63</f>
        <v>0</v>
      </c>
      <c r="CS215" s="186">
        <f ca="1" xml:space="preserve"> 'FS Semi_P99'!CS$63</f>
        <v>0</v>
      </c>
      <c r="CT215" s="186">
        <f ca="1" xml:space="preserve"> 'FS Semi_P99'!CT$63</f>
        <v>0</v>
      </c>
      <c r="CU215" s="186">
        <f ca="1" xml:space="preserve"> 'FS Semi_P99'!CU$63</f>
        <v>0</v>
      </c>
      <c r="CV215" s="186">
        <f ca="1" xml:space="preserve"> 'FS Semi_P99'!CV$63</f>
        <v>0</v>
      </c>
    </row>
    <row r="216" spans="1:100" outlineLevel="1" x14ac:dyDescent="0.2">
      <c r="A216" s="85"/>
      <c r="B216" s="85"/>
      <c r="C216" s="86"/>
      <c r="D216" s="87"/>
      <c r="E216" s="186" t="str">
        <f xml:space="preserve"> Debt!E$369</f>
        <v>Senior debt service</v>
      </c>
      <c r="F216" s="186">
        <f xml:space="preserve"> Debt!F$369</f>
        <v>0</v>
      </c>
      <c r="G216" s="186" t="str">
        <f xml:space="preserve"> Debt!G$369</f>
        <v>$ 000s</v>
      </c>
      <c r="H216" s="186">
        <f xml:space="preserve"> Debt!H$369</f>
        <v>360041.89848376269</v>
      </c>
      <c r="I216" s="186">
        <f xml:space="preserve"> Debt!I$369</f>
        <v>0</v>
      </c>
      <c r="J216" s="186">
        <f xml:space="preserve"> Debt!J$369</f>
        <v>0</v>
      </c>
      <c r="K216" s="186">
        <f xml:space="preserve"> Debt!K$369</f>
        <v>0</v>
      </c>
      <c r="L216" s="186">
        <f xml:space="preserve"> Debt!L$369</f>
        <v>0</v>
      </c>
      <c r="M216" s="186">
        <f xml:space="preserve"> Debt!M$369</f>
        <v>0</v>
      </c>
      <c r="N216" s="186">
        <f xml:space="preserve"> Debt!N$369</f>
        <v>0</v>
      </c>
      <c r="O216" s="186">
        <f xml:space="preserve"> Debt!O$369</f>
        <v>12686.671356945051</v>
      </c>
      <c r="P216" s="186">
        <f xml:space="preserve"> Debt!P$369</f>
        <v>11219.578313619157</v>
      </c>
      <c r="Q216" s="186">
        <f xml:space="preserve"> Debt!Q$369</f>
        <v>11246.683026259163</v>
      </c>
      <c r="R216" s="186">
        <f xml:space="preserve"> Debt!R$369</f>
        <v>11134.906831418644</v>
      </c>
      <c r="S216" s="186">
        <f xml:space="preserve"> Debt!S$369</f>
        <v>11160.497290778691</v>
      </c>
      <c r="T216" s="186">
        <f xml:space="preserve"> Debt!T$369</f>
        <v>11049.147667919469</v>
      </c>
      <c r="U216" s="186">
        <f xml:space="preserve"> Debt!U$369</f>
        <v>11073.197450820346</v>
      </c>
      <c r="V216" s="186">
        <f xml:space="preserve"> Debt!V$369</f>
        <v>10977.313489020877</v>
      </c>
      <c r="W216" s="186">
        <f xml:space="preserve"> Debt!W$369</f>
        <v>10969.723974284556</v>
      </c>
      <c r="X216" s="186">
        <f xml:space="preserve"> Debt!X$369</f>
        <v>10874.27318110882</v>
      </c>
      <c r="Y216" s="186">
        <f xml:space="preserve"> Debt!Y$369</f>
        <v>10895.160171361602</v>
      </c>
      <c r="Z216" s="186">
        <f xml:space="preserve"> Debt!Z$369</f>
        <v>10785.110133328311</v>
      </c>
      <c r="AA216" s="186">
        <f xml:space="preserve"> Debt!AA$369</f>
        <v>10804.373888164411</v>
      </c>
      <c r="AB216" s="186">
        <f xml:space="preserve"> Debt!AB$369</f>
        <v>10694.76392796511</v>
      </c>
      <c r="AC216" s="186">
        <f xml:space="preserve"> Debt!AC$369</f>
        <v>10712.37579856183</v>
      </c>
      <c r="AD216" s="186">
        <f xml:space="preserve"> Debt!AD$369</f>
        <v>10617.752823814142</v>
      </c>
      <c r="AE216" s="186">
        <f xml:space="preserve"> Debt!AE$369</f>
        <v>10604.596909622556</v>
      </c>
      <c r="AF216" s="186">
        <f xml:space="preserve"> Debt!AF$369</f>
        <v>10510.421245766829</v>
      </c>
      <c r="AG216" s="186">
        <f xml:space="preserve"> Debt!AG$369</f>
        <v>10524.641040765775</v>
      </c>
      <c r="AH216" s="186">
        <f xml:space="preserve"> Debt!AH$369</f>
        <v>10416.373099274493</v>
      </c>
      <c r="AI216" s="186">
        <f xml:space="preserve"> Debt!AI$369</f>
        <v>10428.851504537852</v>
      </c>
      <c r="AJ216" s="186">
        <f xml:space="preserve"> Debt!AJ$369</f>
        <v>10321.038445702476</v>
      </c>
      <c r="AK216" s="186">
        <f xml:space="preserve"> Debt!AK$369</f>
        <v>10331.74438166013</v>
      </c>
      <c r="AL216" s="186">
        <f xml:space="preserve"> Debt!AL$369</f>
        <v>10238.413866724009</v>
      </c>
      <c r="AM216" s="186">
        <f xml:space="preserve"> Debt!AM$369</f>
        <v>10219.268154047048</v>
      </c>
      <c r="AN216" s="186">
        <f xml:space="preserve"> Debt!AN$369</f>
        <v>10126.400443477962</v>
      </c>
      <c r="AO216" s="186">
        <f xml:space="preserve"> Debt!AO$369</f>
        <v>10133.465715349392</v>
      </c>
      <c r="AP216" s="186">
        <f xml:space="preserve"> Debt!AP$369</f>
        <v>10027.041163247522</v>
      </c>
      <c r="AQ216" s="186">
        <f xml:space="preserve"> Debt!AQ$369</f>
        <v>10032.236926693096</v>
      </c>
      <c r="AR216" s="186">
        <f xml:space="preserve"> Debt!AR$369</f>
        <v>9926.2834676298662</v>
      </c>
      <c r="AS216" s="186">
        <f xml:space="preserve"> Debt!AS$369</f>
        <v>9929.5775194771086</v>
      </c>
      <c r="AT216" s="186">
        <f xml:space="preserve"> Debt!AT$369</f>
        <v>9837.5746264223908</v>
      </c>
      <c r="AU216" s="186">
        <f xml:space="preserve"> Debt!AU$369</f>
        <v>9811.9812368171188</v>
      </c>
      <c r="AV216" s="186">
        <f xml:space="preserve"> Debt!AV$369</f>
        <v>9720.4606172373533</v>
      </c>
      <c r="AW216" s="186">
        <f xml:space="preserve"> Debt!AW$369</f>
        <v>-2.024773110608092E-4</v>
      </c>
      <c r="AX216" s="186">
        <f xml:space="preserve"> Debt!AX$369</f>
        <v>-1.9917605055438296E-4</v>
      </c>
      <c r="AY216" s="186">
        <f xml:space="preserve"> Debt!AY$369</f>
        <v>-2.024773110608092E-4</v>
      </c>
      <c r="AZ216" s="186">
        <f xml:space="preserve"> Debt!AZ$369</f>
        <v>-1.9917605055438296E-4</v>
      </c>
      <c r="BA216" s="186">
        <f xml:space="preserve"> Debt!BA$369</f>
        <v>-2.024773110608092E-4</v>
      </c>
      <c r="BB216" s="186">
        <f xml:space="preserve"> Debt!BB$369</f>
        <v>-2.0027647072319173E-4</v>
      </c>
      <c r="BC216" s="186">
        <f xml:space="preserve"> Debt!BC$369</f>
        <v>0</v>
      </c>
      <c r="BD216" s="186">
        <f xml:space="preserve"> Debt!BD$369</f>
        <v>0</v>
      </c>
      <c r="BE216" s="186">
        <f xml:space="preserve"> Debt!BE$369</f>
        <v>0</v>
      </c>
      <c r="BF216" s="186">
        <f xml:space="preserve"> Debt!BF$369</f>
        <v>0</v>
      </c>
      <c r="BG216" s="186">
        <f xml:space="preserve"> Debt!BG$369</f>
        <v>0</v>
      </c>
      <c r="BH216" s="186">
        <f xml:space="preserve"> Debt!BH$369</f>
        <v>0</v>
      </c>
      <c r="BI216" s="186">
        <f xml:space="preserve"> Debt!BI$369</f>
        <v>0</v>
      </c>
      <c r="BJ216" s="186">
        <f xml:space="preserve"> Debt!BJ$369</f>
        <v>0</v>
      </c>
      <c r="BK216" s="186">
        <f xml:space="preserve"> Debt!BK$369</f>
        <v>0</v>
      </c>
      <c r="BL216" s="186">
        <f xml:space="preserve"> Debt!BL$369</f>
        <v>0</v>
      </c>
      <c r="BM216" s="186">
        <f xml:space="preserve"> Debt!BM$369</f>
        <v>0</v>
      </c>
      <c r="BN216" s="186">
        <f xml:space="preserve"> Debt!BN$369</f>
        <v>0</v>
      </c>
      <c r="BO216" s="186">
        <f xml:space="preserve"> Debt!BO$369</f>
        <v>0</v>
      </c>
      <c r="BP216" s="186">
        <f xml:space="preserve"> Debt!BP$369</f>
        <v>0</v>
      </c>
      <c r="BQ216" s="186">
        <f xml:space="preserve"> Debt!BQ$369</f>
        <v>0</v>
      </c>
      <c r="BR216" s="186">
        <f xml:space="preserve"> Debt!BR$369</f>
        <v>0</v>
      </c>
      <c r="BS216" s="186">
        <f xml:space="preserve"> Debt!BS$369</f>
        <v>0</v>
      </c>
      <c r="BT216" s="186">
        <f xml:space="preserve"> Debt!BT$369</f>
        <v>0</v>
      </c>
      <c r="BU216" s="186">
        <f xml:space="preserve"> Debt!BU$369</f>
        <v>0</v>
      </c>
      <c r="BV216" s="186">
        <f xml:space="preserve"> Debt!BV$369</f>
        <v>0</v>
      </c>
      <c r="BW216" s="186">
        <f xml:space="preserve"> Debt!BW$369</f>
        <v>0</v>
      </c>
      <c r="BX216" s="186">
        <f xml:space="preserve"> Debt!BX$369</f>
        <v>0</v>
      </c>
      <c r="BY216" s="186">
        <f xml:space="preserve"> Debt!BY$369</f>
        <v>0</v>
      </c>
      <c r="BZ216" s="186">
        <f xml:space="preserve"> Debt!BZ$369</f>
        <v>0</v>
      </c>
      <c r="CA216" s="186">
        <f xml:space="preserve"> Debt!CA$369</f>
        <v>0</v>
      </c>
      <c r="CB216" s="186">
        <f xml:space="preserve"> Debt!CB$369</f>
        <v>0</v>
      </c>
      <c r="CC216" s="186">
        <f xml:space="preserve"> Debt!CC$369</f>
        <v>0</v>
      </c>
      <c r="CD216" s="186">
        <f xml:space="preserve"> Debt!CD$369</f>
        <v>0</v>
      </c>
      <c r="CE216" s="186">
        <f xml:space="preserve"> Debt!CE$369</f>
        <v>0</v>
      </c>
      <c r="CF216" s="186">
        <f xml:space="preserve"> Debt!CF$369</f>
        <v>0</v>
      </c>
      <c r="CG216" s="186">
        <f xml:space="preserve"> Debt!CG$369</f>
        <v>0</v>
      </c>
      <c r="CH216" s="186">
        <f xml:space="preserve"> Debt!CH$369</f>
        <v>0</v>
      </c>
      <c r="CI216" s="186">
        <f xml:space="preserve"> Debt!CI$369</f>
        <v>0</v>
      </c>
      <c r="CJ216" s="186">
        <f xml:space="preserve"> Debt!CJ$369</f>
        <v>0</v>
      </c>
      <c r="CK216" s="186">
        <f xml:space="preserve"> Debt!CK$369</f>
        <v>0</v>
      </c>
      <c r="CL216" s="186">
        <f xml:space="preserve"> Debt!CL$369</f>
        <v>0</v>
      </c>
      <c r="CM216" s="186">
        <f xml:space="preserve"> Debt!CM$369</f>
        <v>0</v>
      </c>
      <c r="CN216" s="186">
        <f xml:space="preserve"> Debt!CN$369</f>
        <v>0</v>
      </c>
      <c r="CO216" s="186">
        <f xml:space="preserve"> Debt!CO$369</f>
        <v>0</v>
      </c>
      <c r="CP216" s="186">
        <f xml:space="preserve"> Debt!CP$369</f>
        <v>0</v>
      </c>
      <c r="CQ216" s="186">
        <f xml:space="preserve"> Debt!CQ$369</f>
        <v>0</v>
      </c>
      <c r="CR216" s="186">
        <f xml:space="preserve"> Debt!CR$369</f>
        <v>0</v>
      </c>
      <c r="CS216" s="186">
        <f xml:space="preserve"> Debt!CS$369</f>
        <v>0</v>
      </c>
      <c r="CT216" s="186">
        <f xml:space="preserve"> Debt!CT$369</f>
        <v>0</v>
      </c>
      <c r="CU216" s="186">
        <f xml:space="preserve"> Debt!CU$369</f>
        <v>0</v>
      </c>
      <c r="CV216" s="186">
        <f xml:space="preserve"> Debt!CV$369</f>
        <v>0</v>
      </c>
    </row>
    <row r="217" spans="1:100" outlineLevel="1" x14ac:dyDescent="0.2">
      <c r="A217" s="85"/>
      <c r="B217" s="85"/>
      <c r="C217" s="86"/>
      <c r="D217" s="87"/>
      <c r="E217" s="189" t="str">
        <f xml:space="preserve"> Time!E$214</f>
        <v>Senior debt repayment period flag</v>
      </c>
      <c r="F217" s="189">
        <f xml:space="preserve"> Time!F$214</f>
        <v>0</v>
      </c>
      <c r="G217" s="189" t="str">
        <f xml:space="preserve"> Time!G$214</f>
        <v>flag</v>
      </c>
      <c r="H217" s="189">
        <f xml:space="preserve"> Time!H$214</f>
        <v>34</v>
      </c>
      <c r="I217" s="189">
        <f xml:space="preserve"> Time!I$214</f>
        <v>0</v>
      </c>
      <c r="J217" s="189">
        <f xml:space="preserve"> Time!J$214</f>
        <v>0</v>
      </c>
      <c r="K217" s="189">
        <f xml:space="preserve"> Time!K$214</f>
        <v>0</v>
      </c>
      <c r="L217" s="189">
        <f xml:space="preserve"> Time!L$214</f>
        <v>0</v>
      </c>
      <c r="M217" s="189">
        <f xml:space="preserve"> Time!M$214</f>
        <v>0</v>
      </c>
      <c r="N217" s="189">
        <f xml:space="preserve"> Time!N$214</f>
        <v>0</v>
      </c>
      <c r="O217" s="189">
        <f xml:space="preserve"> Time!O$214</f>
        <v>1</v>
      </c>
      <c r="P217" s="189">
        <f xml:space="preserve"> Time!P$214</f>
        <v>1</v>
      </c>
      <c r="Q217" s="189">
        <f xml:space="preserve"> Time!Q$214</f>
        <v>1</v>
      </c>
      <c r="R217" s="189">
        <f xml:space="preserve"> Time!R$214</f>
        <v>1</v>
      </c>
      <c r="S217" s="189">
        <f xml:space="preserve"> Time!S$214</f>
        <v>1</v>
      </c>
      <c r="T217" s="189">
        <f xml:space="preserve"> Time!T$214</f>
        <v>1</v>
      </c>
      <c r="U217" s="189">
        <f xml:space="preserve"> Time!U$214</f>
        <v>1</v>
      </c>
      <c r="V217" s="189">
        <f xml:space="preserve"> Time!V$214</f>
        <v>1</v>
      </c>
      <c r="W217" s="189">
        <f xml:space="preserve"> Time!W$214</f>
        <v>1</v>
      </c>
      <c r="X217" s="189">
        <f xml:space="preserve"> Time!X$214</f>
        <v>1</v>
      </c>
      <c r="Y217" s="189">
        <f xml:space="preserve"> Time!Y$214</f>
        <v>1</v>
      </c>
      <c r="Z217" s="189">
        <f xml:space="preserve"> Time!Z$214</f>
        <v>1</v>
      </c>
      <c r="AA217" s="189">
        <f xml:space="preserve"> Time!AA$214</f>
        <v>1</v>
      </c>
      <c r="AB217" s="189">
        <f xml:space="preserve"> Time!AB$214</f>
        <v>1</v>
      </c>
      <c r="AC217" s="189">
        <f xml:space="preserve"> Time!AC$214</f>
        <v>1</v>
      </c>
      <c r="AD217" s="189">
        <f xml:space="preserve"> Time!AD$214</f>
        <v>1</v>
      </c>
      <c r="AE217" s="189">
        <f xml:space="preserve"> Time!AE$214</f>
        <v>1</v>
      </c>
      <c r="AF217" s="189">
        <f xml:space="preserve"> Time!AF$214</f>
        <v>1</v>
      </c>
      <c r="AG217" s="189">
        <f xml:space="preserve"> Time!AG$214</f>
        <v>1</v>
      </c>
      <c r="AH217" s="189">
        <f xml:space="preserve"> Time!AH$214</f>
        <v>1</v>
      </c>
      <c r="AI217" s="189">
        <f xml:space="preserve"> Time!AI$214</f>
        <v>1</v>
      </c>
      <c r="AJ217" s="189">
        <f xml:space="preserve"> Time!AJ$214</f>
        <v>1</v>
      </c>
      <c r="AK217" s="189">
        <f xml:space="preserve"> Time!AK$214</f>
        <v>1</v>
      </c>
      <c r="AL217" s="189">
        <f xml:space="preserve"> Time!AL$214</f>
        <v>1</v>
      </c>
      <c r="AM217" s="189">
        <f xml:space="preserve"> Time!AM$214</f>
        <v>1</v>
      </c>
      <c r="AN217" s="189">
        <f xml:space="preserve"> Time!AN$214</f>
        <v>1</v>
      </c>
      <c r="AO217" s="189">
        <f xml:space="preserve"> Time!AO$214</f>
        <v>1</v>
      </c>
      <c r="AP217" s="189">
        <f xml:space="preserve"> Time!AP$214</f>
        <v>1</v>
      </c>
      <c r="AQ217" s="189">
        <f xml:space="preserve"> Time!AQ$214</f>
        <v>1</v>
      </c>
      <c r="AR217" s="189">
        <f xml:space="preserve"> Time!AR$214</f>
        <v>1</v>
      </c>
      <c r="AS217" s="189">
        <f xml:space="preserve"> Time!AS$214</f>
        <v>1</v>
      </c>
      <c r="AT217" s="189">
        <f xml:space="preserve"> Time!AT$214</f>
        <v>1</v>
      </c>
      <c r="AU217" s="189">
        <f xml:space="preserve"> Time!AU$214</f>
        <v>1</v>
      </c>
      <c r="AV217" s="189">
        <f xml:space="preserve"> Time!AV$214</f>
        <v>1</v>
      </c>
      <c r="AW217" s="189">
        <f xml:space="preserve"> Time!AW$214</f>
        <v>0</v>
      </c>
      <c r="AX217" s="189">
        <f xml:space="preserve"> Time!AX$214</f>
        <v>0</v>
      </c>
      <c r="AY217" s="189">
        <f xml:space="preserve"> Time!AY$214</f>
        <v>0</v>
      </c>
      <c r="AZ217" s="189">
        <f xml:space="preserve"> Time!AZ$214</f>
        <v>0</v>
      </c>
      <c r="BA217" s="189">
        <f xml:space="preserve"> Time!BA$214</f>
        <v>0</v>
      </c>
      <c r="BB217" s="189">
        <f xml:space="preserve"> Time!BB$214</f>
        <v>0</v>
      </c>
      <c r="BC217" s="189">
        <f xml:space="preserve"> Time!BC$214</f>
        <v>0</v>
      </c>
      <c r="BD217" s="189">
        <f xml:space="preserve"> Time!BD$214</f>
        <v>0</v>
      </c>
      <c r="BE217" s="189">
        <f xml:space="preserve"> Time!BE$214</f>
        <v>0</v>
      </c>
      <c r="BF217" s="189">
        <f xml:space="preserve"> Time!BF$214</f>
        <v>0</v>
      </c>
      <c r="BG217" s="189">
        <f xml:space="preserve"> Time!BG$214</f>
        <v>0</v>
      </c>
      <c r="BH217" s="189">
        <f xml:space="preserve"> Time!BH$214</f>
        <v>0</v>
      </c>
      <c r="BI217" s="189">
        <f xml:space="preserve"> Time!BI$214</f>
        <v>0</v>
      </c>
      <c r="BJ217" s="189">
        <f xml:space="preserve"> Time!BJ$214</f>
        <v>0</v>
      </c>
      <c r="BK217" s="189">
        <f xml:space="preserve"> Time!BK$214</f>
        <v>0</v>
      </c>
      <c r="BL217" s="189">
        <f xml:space="preserve"> Time!BL$214</f>
        <v>0</v>
      </c>
      <c r="BM217" s="189">
        <f xml:space="preserve"> Time!BM$214</f>
        <v>0</v>
      </c>
      <c r="BN217" s="189">
        <f xml:space="preserve"> Time!BN$214</f>
        <v>0</v>
      </c>
      <c r="BO217" s="189">
        <f xml:space="preserve"> Time!BO$214</f>
        <v>0</v>
      </c>
      <c r="BP217" s="189">
        <f xml:space="preserve"> Time!BP$214</f>
        <v>0</v>
      </c>
      <c r="BQ217" s="189">
        <f xml:space="preserve"> Time!BQ$214</f>
        <v>0</v>
      </c>
      <c r="BR217" s="189">
        <f xml:space="preserve"> Time!BR$214</f>
        <v>0</v>
      </c>
      <c r="BS217" s="189">
        <f xml:space="preserve"> Time!BS$214</f>
        <v>0</v>
      </c>
      <c r="BT217" s="189">
        <f xml:space="preserve"> Time!BT$214</f>
        <v>0</v>
      </c>
      <c r="BU217" s="189">
        <f xml:space="preserve"> Time!BU$214</f>
        <v>0</v>
      </c>
      <c r="BV217" s="189">
        <f xml:space="preserve"> Time!BV$214</f>
        <v>0</v>
      </c>
      <c r="BW217" s="189">
        <f xml:space="preserve"> Time!BW$214</f>
        <v>0</v>
      </c>
      <c r="BX217" s="189">
        <f xml:space="preserve"> Time!BX$214</f>
        <v>0</v>
      </c>
      <c r="BY217" s="189">
        <f xml:space="preserve"> Time!BY$214</f>
        <v>0</v>
      </c>
      <c r="BZ217" s="189">
        <f xml:space="preserve"> Time!BZ$214</f>
        <v>0</v>
      </c>
      <c r="CA217" s="189">
        <f xml:space="preserve"> Time!CA$214</f>
        <v>0</v>
      </c>
      <c r="CB217" s="189">
        <f xml:space="preserve"> Time!CB$214</f>
        <v>0</v>
      </c>
      <c r="CC217" s="189">
        <f xml:space="preserve"> Time!CC$214</f>
        <v>0</v>
      </c>
      <c r="CD217" s="189">
        <f xml:space="preserve"> Time!CD$214</f>
        <v>0</v>
      </c>
      <c r="CE217" s="189">
        <f xml:space="preserve"> Time!CE$214</f>
        <v>0</v>
      </c>
      <c r="CF217" s="189">
        <f xml:space="preserve"> Time!CF$214</f>
        <v>0</v>
      </c>
      <c r="CG217" s="189">
        <f xml:space="preserve"> Time!CG$214</f>
        <v>0</v>
      </c>
      <c r="CH217" s="189">
        <f xml:space="preserve"> Time!CH$214</f>
        <v>0</v>
      </c>
      <c r="CI217" s="189">
        <f xml:space="preserve"> Time!CI$214</f>
        <v>0</v>
      </c>
      <c r="CJ217" s="189">
        <f xml:space="preserve"> Time!CJ$214</f>
        <v>0</v>
      </c>
      <c r="CK217" s="189">
        <f xml:space="preserve"> Time!CK$214</f>
        <v>0</v>
      </c>
      <c r="CL217" s="189">
        <f xml:space="preserve"> Time!CL$214</f>
        <v>0</v>
      </c>
      <c r="CM217" s="189">
        <f xml:space="preserve"> Time!CM$214</f>
        <v>0</v>
      </c>
      <c r="CN217" s="189">
        <f xml:space="preserve"> Time!CN$214</f>
        <v>0</v>
      </c>
      <c r="CO217" s="189">
        <f xml:space="preserve"> Time!CO$214</f>
        <v>0</v>
      </c>
      <c r="CP217" s="189">
        <f xml:space="preserve"> Time!CP$214</f>
        <v>0</v>
      </c>
      <c r="CQ217" s="189">
        <f xml:space="preserve"> Time!CQ$214</f>
        <v>0</v>
      </c>
      <c r="CR217" s="189">
        <f xml:space="preserve"> Time!CR$214</f>
        <v>0</v>
      </c>
      <c r="CS217" s="189">
        <f xml:space="preserve"> Time!CS$214</f>
        <v>0</v>
      </c>
      <c r="CT217" s="189">
        <f xml:space="preserve"> Time!CT$214</f>
        <v>0</v>
      </c>
      <c r="CU217" s="189">
        <f xml:space="preserve"> Time!CU$214</f>
        <v>0</v>
      </c>
      <c r="CV217" s="189">
        <f xml:space="preserve"> Time!CV$214</f>
        <v>0</v>
      </c>
    </row>
    <row r="218" spans="1:100" outlineLevel="1" x14ac:dyDescent="0.2">
      <c r="E218" s="12" t="s">
        <v>1257</v>
      </c>
      <c r="G218" s="12" t="s">
        <v>164</v>
      </c>
      <c r="J218" s="82" t="str">
        <f t="shared" ref="J218:AO218" ca="1" si="299" xml:space="preserve"> IF( J217 = 1, J215 / J216, "na")</f>
        <v>na</v>
      </c>
      <c r="K218" s="82" t="str">
        <f t="shared" ca="1" si="299"/>
        <v>na</v>
      </c>
      <c r="L218" s="82" t="str">
        <f t="shared" ca="1" si="299"/>
        <v>na</v>
      </c>
      <c r="M218" s="82" t="str">
        <f t="shared" ca="1" si="299"/>
        <v>na</v>
      </c>
      <c r="N218" s="82" t="str">
        <f t="shared" ca="1" si="299"/>
        <v>na</v>
      </c>
      <c r="O218" s="82">
        <f t="shared" ca="1" si="299"/>
        <v>1.1051262069337808</v>
      </c>
      <c r="P218" s="82">
        <f t="shared" ca="1" si="299"/>
        <v>1.0722660566228919</v>
      </c>
      <c r="Q218" s="82">
        <f t="shared" ca="1" si="299"/>
        <v>1.0664285851755162</v>
      </c>
      <c r="R218" s="82">
        <f t="shared" ca="1" si="299"/>
        <v>1.070272587123889</v>
      </c>
      <c r="S218" s="82">
        <f t="shared" ca="1" si="299"/>
        <v>1.0643930057749629</v>
      </c>
      <c r="T218" s="82">
        <f t="shared" ca="1" si="299"/>
        <v>1.0682119312096048</v>
      </c>
      <c r="U218" s="82">
        <f t="shared" ca="1" si="299"/>
        <v>1.0622883173066171</v>
      </c>
      <c r="V218" s="82">
        <f t="shared" ca="1" si="299"/>
        <v>1.0646209148039654</v>
      </c>
      <c r="W218" s="82">
        <f t="shared" ca="1" si="299"/>
        <v>1.0601092031919295</v>
      </c>
      <c r="X218" s="82">
        <f t="shared" ca="1" si="299"/>
        <v>1.0638771183356164</v>
      </c>
      <c r="Y218" s="82">
        <f t="shared" ca="1" si="299"/>
        <v>1.0578592053123397</v>
      </c>
      <c r="Z218" s="82">
        <f t="shared" ca="1" si="299"/>
        <v>1.0615965538422067</v>
      </c>
      <c r="AA218" s="82">
        <f t="shared" ca="1" si="299"/>
        <v>1.0555281197734154</v>
      </c>
      <c r="AB218" s="82">
        <f t="shared" ca="1" si="299"/>
        <v>1.0592359627674421</v>
      </c>
      <c r="AC218" s="82">
        <f t="shared" ca="1" si="299"/>
        <v>1.0531145731240055</v>
      </c>
      <c r="AD218" s="82">
        <f t="shared" ca="1" si="299"/>
        <v>1.0553441374561852</v>
      </c>
      <c r="AE218" s="82">
        <f t="shared" ca="1" si="299"/>
        <v>1.0506121152534822</v>
      </c>
      <c r="AF218" s="82">
        <f t="shared" ca="1" si="299"/>
        <v>1.0542596723092454</v>
      </c>
      <c r="AG218" s="82">
        <f t="shared" ca="1" si="299"/>
        <v>1.0480244428332985</v>
      </c>
      <c r="AH218" s="82">
        <f t="shared" ca="1" si="299"/>
        <v>1.0516358755337232</v>
      </c>
      <c r="AI218" s="82">
        <f t="shared" ca="1" si="299"/>
        <v>1.0453394165395893</v>
      </c>
      <c r="AJ218" s="82">
        <f t="shared" ca="1" si="299"/>
        <v>1.0489158194768735</v>
      </c>
      <c r="AK218" s="82">
        <f t="shared" ca="1" si="299"/>
        <v>1.0425550068066316</v>
      </c>
      <c r="AL218" s="82">
        <f t="shared" ca="1" si="299"/>
        <v>1.0446619320522423</v>
      </c>
      <c r="AM218" s="82">
        <f t="shared" ca="1" si="299"/>
        <v>1.039663282320122</v>
      </c>
      <c r="AN218" s="82">
        <f t="shared" ca="1" si="299"/>
        <v>1.0431677527739456</v>
      </c>
      <c r="AO218" s="82">
        <f t="shared" ca="1" si="299"/>
        <v>1.036667998026567</v>
      </c>
      <c r="AP218" s="82">
        <f t="shared" ref="AP218:BU218" ca="1" si="300" xml:space="preserve"> IF( AP217 = 1, AP215 / AP216, "na")</f>
        <v>1.0401293565600018</v>
      </c>
      <c r="AQ218" s="82">
        <f t="shared" ca="1" si="300"/>
        <v>1.0335545400881057</v>
      </c>
      <c r="AR218" s="82">
        <f t="shared" ca="1" si="300"/>
        <v>1.0369738786281211</v>
      </c>
      <c r="AS218" s="82">
        <f t="shared" ca="1" si="300"/>
        <v>1.0303197697944448</v>
      </c>
      <c r="AT218" s="82">
        <f t="shared" ca="1" si="300"/>
        <v>1.032279129921849</v>
      </c>
      <c r="AU218" s="82">
        <f t="shared" ca="1" si="300"/>
        <v>1.0269539347720498</v>
      </c>
      <c r="AV218" s="82">
        <f t="shared" ca="1" si="300"/>
        <v>1.0302861718550411</v>
      </c>
      <c r="AW218" s="82" t="str">
        <f t="shared" ca="1" si="300"/>
        <v>na</v>
      </c>
      <c r="AX218" s="82" t="str">
        <f t="shared" ca="1" si="300"/>
        <v>na</v>
      </c>
      <c r="AY218" s="82" t="str">
        <f t="shared" ca="1" si="300"/>
        <v>na</v>
      </c>
      <c r="AZ218" s="82" t="str">
        <f t="shared" ca="1" si="300"/>
        <v>na</v>
      </c>
      <c r="BA218" s="82" t="str">
        <f t="shared" ca="1" si="300"/>
        <v>na</v>
      </c>
      <c r="BB218" s="82" t="str">
        <f t="shared" ca="1" si="300"/>
        <v>na</v>
      </c>
      <c r="BC218" s="82" t="str">
        <f t="shared" ca="1" si="300"/>
        <v>na</v>
      </c>
      <c r="BD218" s="82" t="str">
        <f t="shared" ca="1" si="300"/>
        <v>na</v>
      </c>
      <c r="BE218" s="82" t="str">
        <f t="shared" ca="1" si="300"/>
        <v>na</v>
      </c>
      <c r="BF218" s="82" t="str">
        <f t="shared" ca="1" si="300"/>
        <v>na</v>
      </c>
      <c r="BG218" s="82" t="str">
        <f t="shared" ca="1" si="300"/>
        <v>na</v>
      </c>
      <c r="BH218" s="82" t="str">
        <f t="shared" ca="1" si="300"/>
        <v>na</v>
      </c>
      <c r="BI218" s="82" t="str">
        <f t="shared" ca="1" si="300"/>
        <v>na</v>
      </c>
      <c r="BJ218" s="82" t="str">
        <f t="shared" ca="1" si="300"/>
        <v>na</v>
      </c>
      <c r="BK218" s="82" t="str">
        <f t="shared" ca="1" si="300"/>
        <v>na</v>
      </c>
      <c r="BL218" s="82" t="str">
        <f t="shared" ca="1" si="300"/>
        <v>na</v>
      </c>
      <c r="BM218" s="82" t="str">
        <f t="shared" ca="1" si="300"/>
        <v>na</v>
      </c>
      <c r="BN218" s="82" t="str">
        <f t="shared" ca="1" si="300"/>
        <v>na</v>
      </c>
      <c r="BO218" s="82" t="str">
        <f t="shared" ca="1" si="300"/>
        <v>na</v>
      </c>
      <c r="BP218" s="82" t="str">
        <f t="shared" ca="1" si="300"/>
        <v>na</v>
      </c>
      <c r="BQ218" s="82" t="str">
        <f t="shared" ca="1" si="300"/>
        <v>na</v>
      </c>
      <c r="BR218" s="82" t="str">
        <f t="shared" ca="1" si="300"/>
        <v>na</v>
      </c>
      <c r="BS218" s="82" t="str">
        <f t="shared" ca="1" si="300"/>
        <v>na</v>
      </c>
      <c r="BT218" s="82" t="str">
        <f t="shared" ca="1" si="300"/>
        <v>na</v>
      </c>
      <c r="BU218" s="82" t="str">
        <f t="shared" ca="1" si="300"/>
        <v>na</v>
      </c>
      <c r="BV218" s="82" t="str">
        <f t="shared" ref="BV218:CV218" ca="1" si="301" xml:space="preserve"> IF( BV217 = 1, BV215 / BV216, "na")</f>
        <v>na</v>
      </c>
      <c r="BW218" s="82" t="str">
        <f t="shared" ca="1" si="301"/>
        <v>na</v>
      </c>
      <c r="BX218" s="82" t="str">
        <f t="shared" ca="1" si="301"/>
        <v>na</v>
      </c>
      <c r="BY218" s="82" t="str">
        <f t="shared" ca="1" si="301"/>
        <v>na</v>
      </c>
      <c r="BZ218" s="82" t="str">
        <f t="shared" ca="1" si="301"/>
        <v>na</v>
      </c>
      <c r="CA218" s="82" t="str">
        <f t="shared" ca="1" si="301"/>
        <v>na</v>
      </c>
      <c r="CB218" s="82" t="str">
        <f t="shared" ca="1" si="301"/>
        <v>na</v>
      </c>
      <c r="CC218" s="82" t="str">
        <f t="shared" ca="1" si="301"/>
        <v>na</v>
      </c>
      <c r="CD218" s="82" t="str">
        <f t="shared" ca="1" si="301"/>
        <v>na</v>
      </c>
      <c r="CE218" s="82" t="str">
        <f t="shared" ca="1" si="301"/>
        <v>na</v>
      </c>
      <c r="CF218" s="82" t="str">
        <f t="shared" ca="1" si="301"/>
        <v>na</v>
      </c>
      <c r="CG218" s="82" t="str">
        <f t="shared" ca="1" si="301"/>
        <v>na</v>
      </c>
      <c r="CH218" s="82" t="str">
        <f t="shared" ca="1" si="301"/>
        <v>na</v>
      </c>
      <c r="CI218" s="82" t="str">
        <f t="shared" ca="1" si="301"/>
        <v>na</v>
      </c>
      <c r="CJ218" s="82" t="str">
        <f t="shared" ca="1" si="301"/>
        <v>na</v>
      </c>
      <c r="CK218" s="82" t="str">
        <f t="shared" ca="1" si="301"/>
        <v>na</v>
      </c>
      <c r="CL218" s="82" t="str">
        <f t="shared" ca="1" si="301"/>
        <v>na</v>
      </c>
      <c r="CM218" s="82" t="str">
        <f t="shared" ca="1" si="301"/>
        <v>na</v>
      </c>
      <c r="CN218" s="82" t="str">
        <f t="shared" ca="1" si="301"/>
        <v>na</v>
      </c>
      <c r="CO218" s="82" t="str">
        <f t="shared" ca="1" si="301"/>
        <v>na</v>
      </c>
      <c r="CP218" s="82" t="str">
        <f t="shared" ca="1" si="301"/>
        <v>na</v>
      </c>
      <c r="CQ218" s="82" t="str">
        <f t="shared" ca="1" si="301"/>
        <v>na</v>
      </c>
      <c r="CR218" s="82" t="str">
        <f t="shared" ca="1" si="301"/>
        <v>na</v>
      </c>
      <c r="CS218" s="82" t="str">
        <f t="shared" ca="1" si="301"/>
        <v>na</v>
      </c>
      <c r="CT218" s="82" t="str">
        <f t="shared" ca="1" si="301"/>
        <v>na</v>
      </c>
      <c r="CU218" s="82" t="str">
        <f t="shared" ca="1" si="301"/>
        <v>na</v>
      </c>
      <c r="CV218" s="82" t="str">
        <f t="shared" ca="1" si="301"/>
        <v>na</v>
      </c>
    </row>
    <row r="219" spans="1:100" outlineLevel="1" x14ac:dyDescent="0.2"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82"/>
      <c r="AD219" s="82"/>
      <c r="AE219" s="82"/>
      <c r="AF219" s="82"/>
      <c r="AG219" s="82"/>
      <c r="AH219" s="82"/>
      <c r="AI219" s="82"/>
      <c r="AJ219" s="82"/>
      <c r="AK219" s="82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2"/>
      <c r="AW219" s="82"/>
      <c r="AX219" s="82"/>
      <c r="AY219" s="82"/>
      <c r="AZ219" s="82"/>
      <c r="BA219" s="82"/>
      <c r="BB219" s="82"/>
      <c r="BC219" s="82"/>
      <c r="BD219" s="82"/>
      <c r="BE219" s="82"/>
      <c r="BF219" s="82"/>
      <c r="BG219" s="82"/>
      <c r="BH219" s="82"/>
      <c r="BI219" s="82"/>
      <c r="BJ219" s="82"/>
      <c r="BK219" s="82"/>
      <c r="BL219" s="82"/>
      <c r="BM219" s="82"/>
      <c r="BN219" s="82"/>
      <c r="BO219" s="82"/>
      <c r="BP219" s="82"/>
      <c r="BQ219" s="82"/>
      <c r="BR219" s="82"/>
      <c r="BS219" s="82"/>
      <c r="BT219" s="82"/>
      <c r="BU219" s="82"/>
      <c r="BV219" s="82"/>
      <c r="BW219" s="82"/>
      <c r="BX219" s="82"/>
      <c r="BY219" s="82"/>
      <c r="BZ219" s="82"/>
      <c r="CA219" s="82"/>
      <c r="CB219" s="82"/>
      <c r="CC219" s="82"/>
      <c r="CD219" s="82"/>
      <c r="CE219" s="82"/>
      <c r="CF219" s="82"/>
      <c r="CG219" s="82"/>
      <c r="CH219" s="82"/>
      <c r="CI219" s="82"/>
      <c r="CJ219" s="82"/>
      <c r="CK219" s="82"/>
      <c r="CL219" s="82"/>
      <c r="CM219" s="82"/>
      <c r="CN219" s="82"/>
      <c r="CO219" s="82"/>
      <c r="CP219" s="82"/>
      <c r="CQ219" s="82"/>
      <c r="CR219" s="82"/>
      <c r="CS219" s="82"/>
      <c r="CT219" s="82"/>
      <c r="CU219" s="82"/>
      <c r="CV219" s="82"/>
    </row>
    <row r="220" spans="1:100" outlineLevel="1" x14ac:dyDescent="0.2">
      <c r="A220" s="278"/>
      <c r="B220" s="278"/>
      <c r="C220" s="410"/>
      <c r="D220" s="279"/>
      <c r="E220" s="620" t="str">
        <f t="shared" ref="E220:AJ220" si="302" xml:space="preserve"> E$218</f>
        <v>Senior debt service coverage ratio - P99</v>
      </c>
      <c r="F220" s="620">
        <f t="shared" si="302"/>
        <v>0</v>
      </c>
      <c r="G220" s="620" t="str">
        <f t="shared" si="302"/>
        <v>ratio</v>
      </c>
      <c r="H220" s="620">
        <f t="shared" si="302"/>
        <v>0</v>
      </c>
      <c r="I220" s="620">
        <f t="shared" si="302"/>
        <v>0</v>
      </c>
      <c r="J220" s="82" t="str">
        <f t="shared" ca="1" si="302"/>
        <v>na</v>
      </c>
      <c r="K220" s="82" t="str">
        <f t="shared" ca="1" si="302"/>
        <v>na</v>
      </c>
      <c r="L220" s="82" t="str">
        <f t="shared" ca="1" si="302"/>
        <v>na</v>
      </c>
      <c r="M220" s="82" t="str">
        <f t="shared" ca="1" si="302"/>
        <v>na</v>
      </c>
      <c r="N220" s="82" t="str">
        <f t="shared" ca="1" si="302"/>
        <v>na</v>
      </c>
      <c r="O220" s="82">
        <f t="shared" ca="1" si="302"/>
        <v>1.1051262069337808</v>
      </c>
      <c r="P220" s="82">
        <f t="shared" ca="1" si="302"/>
        <v>1.0722660566228919</v>
      </c>
      <c r="Q220" s="82">
        <f t="shared" ca="1" si="302"/>
        <v>1.0664285851755162</v>
      </c>
      <c r="R220" s="82">
        <f t="shared" ca="1" si="302"/>
        <v>1.070272587123889</v>
      </c>
      <c r="S220" s="82">
        <f t="shared" ca="1" si="302"/>
        <v>1.0643930057749629</v>
      </c>
      <c r="T220" s="82">
        <f t="shared" ca="1" si="302"/>
        <v>1.0682119312096048</v>
      </c>
      <c r="U220" s="82">
        <f t="shared" ca="1" si="302"/>
        <v>1.0622883173066171</v>
      </c>
      <c r="V220" s="82">
        <f t="shared" ca="1" si="302"/>
        <v>1.0646209148039654</v>
      </c>
      <c r="W220" s="82">
        <f t="shared" ca="1" si="302"/>
        <v>1.0601092031919295</v>
      </c>
      <c r="X220" s="82">
        <f t="shared" ca="1" si="302"/>
        <v>1.0638771183356164</v>
      </c>
      <c r="Y220" s="82">
        <f t="shared" ca="1" si="302"/>
        <v>1.0578592053123397</v>
      </c>
      <c r="Z220" s="82">
        <f t="shared" ca="1" si="302"/>
        <v>1.0615965538422067</v>
      </c>
      <c r="AA220" s="82">
        <f t="shared" ca="1" si="302"/>
        <v>1.0555281197734154</v>
      </c>
      <c r="AB220" s="82">
        <f t="shared" ca="1" si="302"/>
        <v>1.0592359627674421</v>
      </c>
      <c r="AC220" s="82">
        <f t="shared" ca="1" si="302"/>
        <v>1.0531145731240055</v>
      </c>
      <c r="AD220" s="82">
        <f t="shared" ca="1" si="302"/>
        <v>1.0553441374561852</v>
      </c>
      <c r="AE220" s="82">
        <f t="shared" ca="1" si="302"/>
        <v>1.0506121152534822</v>
      </c>
      <c r="AF220" s="82">
        <f t="shared" ca="1" si="302"/>
        <v>1.0542596723092454</v>
      </c>
      <c r="AG220" s="82">
        <f t="shared" ca="1" si="302"/>
        <v>1.0480244428332985</v>
      </c>
      <c r="AH220" s="82">
        <f t="shared" ca="1" si="302"/>
        <v>1.0516358755337232</v>
      </c>
      <c r="AI220" s="82">
        <f t="shared" ca="1" si="302"/>
        <v>1.0453394165395893</v>
      </c>
      <c r="AJ220" s="82">
        <f t="shared" ca="1" si="302"/>
        <v>1.0489158194768735</v>
      </c>
      <c r="AK220" s="82">
        <f t="shared" ref="AK220:BP220" ca="1" si="303" xml:space="preserve"> AK$218</f>
        <v>1.0425550068066316</v>
      </c>
      <c r="AL220" s="82">
        <f t="shared" ca="1" si="303"/>
        <v>1.0446619320522423</v>
      </c>
      <c r="AM220" s="82">
        <f t="shared" ca="1" si="303"/>
        <v>1.039663282320122</v>
      </c>
      <c r="AN220" s="82">
        <f t="shared" ca="1" si="303"/>
        <v>1.0431677527739456</v>
      </c>
      <c r="AO220" s="82">
        <f t="shared" ca="1" si="303"/>
        <v>1.036667998026567</v>
      </c>
      <c r="AP220" s="82">
        <f t="shared" ca="1" si="303"/>
        <v>1.0401293565600018</v>
      </c>
      <c r="AQ220" s="82">
        <f t="shared" ca="1" si="303"/>
        <v>1.0335545400881057</v>
      </c>
      <c r="AR220" s="82">
        <f t="shared" ca="1" si="303"/>
        <v>1.0369738786281211</v>
      </c>
      <c r="AS220" s="82">
        <f t="shared" ca="1" si="303"/>
        <v>1.0303197697944448</v>
      </c>
      <c r="AT220" s="82">
        <f t="shared" ca="1" si="303"/>
        <v>1.032279129921849</v>
      </c>
      <c r="AU220" s="82">
        <f t="shared" ca="1" si="303"/>
        <v>1.0269539347720498</v>
      </c>
      <c r="AV220" s="82">
        <f t="shared" ca="1" si="303"/>
        <v>1.0302861718550411</v>
      </c>
      <c r="AW220" s="82" t="str">
        <f t="shared" ca="1" si="303"/>
        <v>na</v>
      </c>
      <c r="AX220" s="82" t="str">
        <f t="shared" ca="1" si="303"/>
        <v>na</v>
      </c>
      <c r="AY220" s="82" t="str">
        <f t="shared" ca="1" si="303"/>
        <v>na</v>
      </c>
      <c r="AZ220" s="82" t="str">
        <f t="shared" ca="1" si="303"/>
        <v>na</v>
      </c>
      <c r="BA220" s="82" t="str">
        <f t="shared" ca="1" si="303"/>
        <v>na</v>
      </c>
      <c r="BB220" s="82" t="str">
        <f t="shared" ca="1" si="303"/>
        <v>na</v>
      </c>
      <c r="BC220" s="82" t="str">
        <f t="shared" ca="1" si="303"/>
        <v>na</v>
      </c>
      <c r="BD220" s="82" t="str">
        <f t="shared" ca="1" si="303"/>
        <v>na</v>
      </c>
      <c r="BE220" s="82" t="str">
        <f t="shared" ca="1" si="303"/>
        <v>na</v>
      </c>
      <c r="BF220" s="82" t="str">
        <f t="shared" ca="1" si="303"/>
        <v>na</v>
      </c>
      <c r="BG220" s="82" t="str">
        <f t="shared" ca="1" si="303"/>
        <v>na</v>
      </c>
      <c r="BH220" s="82" t="str">
        <f t="shared" ca="1" si="303"/>
        <v>na</v>
      </c>
      <c r="BI220" s="82" t="str">
        <f t="shared" ca="1" si="303"/>
        <v>na</v>
      </c>
      <c r="BJ220" s="82" t="str">
        <f t="shared" ca="1" si="303"/>
        <v>na</v>
      </c>
      <c r="BK220" s="82" t="str">
        <f t="shared" ca="1" si="303"/>
        <v>na</v>
      </c>
      <c r="BL220" s="82" t="str">
        <f t="shared" ca="1" si="303"/>
        <v>na</v>
      </c>
      <c r="BM220" s="82" t="str">
        <f t="shared" ca="1" si="303"/>
        <v>na</v>
      </c>
      <c r="BN220" s="82" t="str">
        <f t="shared" ca="1" si="303"/>
        <v>na</v>
      </c>
      <c r="BO220" s="82" t="str">
        <f t="shared" ca="1" si="303"/>
        <v>na</v>
      </c>
      <c r="BP220" s="82" t="str">
        <f t="shared" ca="1" si="303"/>
        <v>na</v>
      </c>
      <c r="BQ220" s="82" t="str">
        <f t="shared" ref="BQ220:CV220" ca="1" si="304" xml:space="preserve"> BQ$218</f>
        <v>na</v>
      </c>
      <c r="BR220" s="82" t="str">
        <f t="shared" ca="1" si="304"/>
        <v>na</v>
      </c>
      <c r="BS220" s="82" t="str">
        <f t="shared" ca="1" si="304"/>
        <v>na</v>
      </c>
      <c r="BT220" s="82" t="str">
        <f t="shared" ca="1" si="304"/>
        <v>na</v>
      </c>
      <c r="BU220" s="82" t="str">
        <f t="shared" ca="1" si="304"/>
        <v>na</v>
      </c>
      <c r="BV220" s="82" t="str">
        <f t="shared" ca="1" si="304"/>
        <v>na</v>
      </c>
      <c r="BW220" s="82" t="str">
        <f t="shared" ca="1" si="304"/>
        <v>na</v>
      </c>
      <c r="BX220" s="82" t="str">
        <f t="shared" ca="1" si="304"/>
        <v>na</v>
      </c>
      <c r="BY220" s="82" t="str">
        <f t="shared" ca="1" si="304"/>
        <v>na</v>
      </c>
      <c r="BZ220" s="82" t="str">
        <f t="shared" ca="1" si="304"/>
        <v>na</v>
      </c>
      <c r="CA220" s="82" t="str">
        <f t="shared" ca="1" si="304"/>
        <v>na</v>
      </c>
      <c r="CB220" s="82" t="str">
        <f t="shared" ca="1" si="304"/>
        <v>na</v>
      </c>
      <c r="CC220" s="82" t="str">
        <f t="shared" ca="1" si="304"/>
        <v>na</v>
      </c>
      <c r="CD220" s="82" t="str">
        <f t="shared" ca="1" si="304"/>
        <v>na</v>
      </c>
      <c r="CE220" s="82" t="str">
        <f t="shared" ca="1" si="304"/>
        <v>na</v>
      </c>
      <c r="CF220" s="82" t="str">
        <f t="shared" ca="1" si="304"/>
        <v>na</v>
      </c>
      <c r="CG220" s="82" t="str">
        <f t="shared" ca="1" si="304"/>
        <v>na</v>
      </c>
      <c r="CH220" s="82" t="str">
        <f t="shared" ca="1" si="304"/>
        <v>na</v>
      </c>
      <c r="CI220" s="82" t="str">
        <f t="shared" ca="1" si="304"/>
        <v>na</v>
      </c>
      <c r="CJ220" s="82" t="str">
        <f t="shared" ca="1" si="304"/>
        <v>na</v>
      </c>
      <c r="CK220" s="82" t="str">
        <f t="shared" ca="1" si="304"/>
        <v>na</v>
      </c>
      <c r="CL220" s="82" t="str">
        <f t="shared" ca="1" si="304"/>
        <v>na</v>
      </c>
      <c r="CM220" s="82" t="str">
        <f t="shared" ca="1" si="304"/>
        <v>na</v>
      </c>
      <c r="CN220" s="82" t="str">
        <f t="shared" ca="1" si="304"/>
        <v>na</v>
      </c>
      <c r="CO220" s="82" t="str">
        <f t="shared" ca="1" si="304"/>
        <v>na</v>
      </c>
      <c r="CP220" s="82" t="str">
        <f t="shared" ca="1" si="304"/>
        <v>na</v>
      </c>
      <c r="CQ220" s="82" t="str">
        <f t="shared" ca="1" si="304"/>
        <v>na</v>
      </c>
      <c r="CR220" s="82" t="str">
        <f t="shared" ca="1" si="304"/>
        <v>na</v>
      </c>
      <c r="CS220" s="82" t="str">
        <f t="shared" ca="1" si="304"/>
        <v>na</v>
      </c>
      <c r="CT220" s="82" t="str">
        <f t="shared" ca="1" si="304"/>
        <v>na</v>
      </c>
      <c r="CU220" s="82" t="str">
        <f t="shared" ca="1" si="304"/>
        <v>na</v>
      </c>
      <c r="CV220" s="82" t="str">
        <f t="shared" ca="1" si="304"/>
        <v>na</v>
      </c>
    </row>
    <row r="221" spans="1:100" s="188" customFormat="1" outlineLevel="1" x14ac:dyDescent="0.2">
      <c r="A221" s="141"/>
      <c r="B221" s="141"/>
      <c r="C221" s="142"/>
      <c r="D221" s="143"/>
      <c r="E221" s="187" t="s">
        <v>1258</v>
      </c>
      <c r="F221" s="411">
        <f ca="1" xml:space="preserve"> MIN(J220:CV220)</f>
        <v>1.0269539347720498</v>
      </c>
      <c r="G221" s="187" t="s">
        <v>164</v>
      </c>
      <c r="H221" s="187"/>
      <c r="I221" s="144"/>
      <c r="J221" s="411"/>
      <c r="K221" s="411"/>
      <c r="L221" s="411"/>
      <c r="M221" s="411"/>
      <c r="N221" s="411"/>
      <c r="O221" s="411"/>
      <c r="P221" s="411"/>
      <c r="Q221" s="411"/>
      <c r="R221" s="411"/>
      <c r="S221" s="411"/>
      <c r="T221" s="411"/>
      <c r="U221" s="411"/>
      <c r="V221" s="411"/>
      <c r="W221" s="411"/>
      <c r="X221" s="411"/>
      <c r="Y221" s="411"/>
      <c r="Z221" s="411"/>
      <c r="AA221" s="411"/>
      <c r="AB221" s="411"/>
      <c r="AC221" s="411"/>
      <c r="AD221" s="411"/>
      <c r="AE221" s="411"/>
      <c r="AF221" s="411"/>
      <c r="AG221" s="411"/>
      <c r="AH221" s="411"/>
      <c r="AI221" s="411"/>
      <c r="AJ221" s="411"/>
      <c r="AK221" s="411"/>
      <c r="AL221" s="411"/>
      <c r="AM221" s="411"/>
      <c r="AN221" s="411"/>
      <c r="AO221" s="411"/>
      <c r="AP221" s="411"/>
      <c r="AQ221" s="411"/>
      <c r="AR221" s="411"/>
      <c r="AS221" s="411"/>
      <c r="AT221" s="411"/>
      <c r="AU221" s="411"/>
      <c r="AV221" s="411"/>
      <c r="AW221" s="411"/>
      <c r="AX221" s="411"/>
      <c r="AY221" s="411"/>
      <c r="AZ221" s="411"/>
      <c r="BA221" s="411"/>
      <c r="BB221" s="411"/>
      <c r="BC221" s="411"/>
      <c r="BD221" s="411"/>
      <c r="BE221" s="411"/>
      <c r="BF221" s="411"/>
      <c r="BG221" s="411"/>
      <c r="BH221" s="411"/>
      <c r="BI221" s="411"/>
      <c r="BJ221" s="411"/>
      <c r="BK221" s="411"/>
      <c r="BL221" s="411"/>
      <c r="BM221" s="411"/>
      <c r="BN221" s="411"/>
      <c r="BO221" s="411"/>
      <c r="BP221" s="411"/>
      <c r="BQ221" s="411"/>
      <c r="BR221" s="411"/>
      <c r="BS221" s="411"/>
      <c r="BT221" s="411"/>
      <c r="BU221" s="411"/>
      <c r="BV221" s="411"/>
      <c r="BW221" s="411"/>
      <c r="BX221" s="411"/>
      <c r="BY221" s="411"/>
      <c r="BZ221" s="411"/>
      <c r="CA221" s="411"/>
      <c r="CB221" s="411"/>
      <c r="CC221" s="411"/>
      <c r="CD221" s="411"/>
      <c r="CE221" s="411"/>
      <c r="CF221" s="411"/>
      <c r="CG221" s="411"/>
      <c r="CH221" s="411"/>
      <c r="CI221" s="411"/>
      <c r="CJ221" s="411"/>
      <c r="CK221" s="411"/>
      <c r="CL221" s="411"/>
      <c r="CM221" s="411"/>
      <c r="CN221" s="411"/>
      <c r="CO221" s="411"/>
      <c r="CP221" s="411"/>
      <c r="CQ221" s="411"/>
      <c r="CR221" s="411"/>
      <c r="CS221" s="411"/>
      <c r="CT221" s="411"/>
      <c r="CU221" s="411"/>
      <c r="CV221" s="411"/>
    </row>
    <row r="222" spans="1:100" s="188" customFormat="1" outlineLevel="1" x14ac:dyDescent="0.2">
      <c r="A222" s="141"/>
      <c r="B222" s="141"/>
      <c r="C222" s="142"/>
      <c r="D222" s="143"/>
      <c r="E222" s="187" t="s">
        <v>1259</v>
      </c>
      <c r="F222" s="411">
        <f ca="1" xml:space="preserve"> AVERAGE(J220:CV220)</f>
        <v>1.0522433110088147</v>
      </c>
      <c r="G222" s="187" t="s">
        <v>164</v>
      </c>
      <c r="H222" s="187"/>
      <c r="I222" s="144"/>
      <c r="J222" s="411"/>
      <c r="K222" s="411"/>
      <c r="L222" s="411"/>
      <c r="M222" s="411"/>
      <c r="N222" s="411"/>
      <c r="O222" s="411"/>
      <c r="P222" s="411"/>
      <c r="Q222" s="411"/>
      <c r="R222" s="411"/>
      <c r="S222" s="411"/>
      <c r="T222" s="411"/>
      <c r="U222" s="411"/>
      <c r="V222" s="411"/>
      <c r="W222" s="411"/>
      <c r="X222" s="411"/>
      <c r="Y222" s="411"/>
      <c r="Z222" s="411"/>
      <c r="AA222" s="411"/>
      <c r="AB222" s="411"/>
      <c r="AC222" s="411"/>
      <c r="AD222" s="411"/>
      <c r="AE222" s="411"/>
      <c r="AF222" s="411"/>
      <c r="AG222" s="411"/>
      <c r="AH222" s="411"/>
      <c r="AI222" s="411"/>
      <c r="AJ222" s="411"/>
      <c r="AK222" s="411"/>
      <c r="AL222" s="411"/>
      <c r="AM222" s="411"/>
      <c r="AN222" s="411"/>
      <c r="AO222" s="411"/>
      <c r="AP222" s="411"/>
      <c r="AQ222" s="411"/>
      <c r="AR222" s="411"/>
      <c r="AS222" s="411"/>
      <c r="AT222" s="411"/>
      <c r="AU222" s="411"/>
      <c r="AV222" s="411"/>
      <c r="AW222" s="411"/>
      <c r="AX222" s="411"/>
      <c r="AY222" s="411"/>
      <c r="AZ222" s="411"/>
      <c r="BA222" s="411"/>
      <c r="BB222" s="411"/>
      <c r="BC222" s="411"/>
      <c r="BD222" s="411"/>
      <c r="BE222" s="411"/>
      <c r="BF222" s="411"/>
      <c r="BG222" s="411"/>
      <c r="BH222" s="411"/>
      <c r="BI222" s="411"/>
      <c r="BJ222" s="411"/>
      <c r="BK222" s="411"/>
      <c r="BL222" s="411"/>
      <c r="BM222" s="411"/>
      <c r="BN222" s="411"/>
      <c r="BO222" s="411"/>
      <c r="BP222" s="411"/>
      <c r="BQ222" s="411"/>
      <c r="BR222" s="411"/>
      <c r="BS222" s="411"/>
      <c r="BT222" s="411"/>
      <c r="BU222" s="411"/>
      <c r="BV222" s="411"/>
      <c r="BW222" s="411"/>
      <c r="BX222" s="411"/>
      <c r="BY222" s="411"/>
      <c r="BZ222" s="411"/>
      <c r="CA222" s="411"/>
      <c r="CB222" s="411"/>
      <c r="CC222" s="411"/>
      <c r="CD222" s="411"/>
      <c r="CE222" s="411"/>
      <c r="CF222" s="411"/>
      <c r="CG222" s="411"/>
      <c r="CH222" s="411"/>
      <c r="CI222" s="411"/>
      <c r="CJ222" s="411"/>
      <c r="CK222" s="411"/>
      <c r="CL222" s="411"/>
      <c r="CM222" s="411"/>
      <c r="CN222" s="411"/>
      <c r="CO222" s="411"/>
      <c r="CP222" s="411"/>
      <c r="CQ222" s="411"/>
      <c r="CR222" s="411"/>
      <c r="CS222" s="411"/>
      <c r="CT222" s="411"/>
      <c r="CU222" s="411"/>
      <c r="CV222" s="411"/>
    </row>
    <row r="223" spans="1:100" outlineLevel="1" x14ac:dyDescent="0.2">
      <c r="J223" s="82"/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  <c r="AA223" s="82"/>
      <c r="AB223" s="82"/>
      <c r="AC223" s="82"/>
      <c r="AD223" s="82"/>
      <c r="AE223" s="82"/>
      <c r="AF223" s="82"/>
      <c r="AG223" s="82"/>
      <c r="AH223" s="82"/>
      <c r="AI223" s="82"/>
      <c r="AJ223" s="82"/>
      <c r="AK223" s="82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2"/>
      <c r="AW223" s="82"/>
      <c r="AX223" s="82"/>
      <c r="AY223" s="82"/>
      <c r="AZ223" s="82"/>
      <c r="BA223" s="82"/>
      <c r="BB223" s="82"/>
      <c r="BC223" s="82"/>
      <c r="BD223" s="82"/>
      <c r="BE223" s="82"/>
      <c r="BF223" s="82"/>
      <c r="BG223" s="82"/>
      <c r="BH223" s="82"/>
      <c r="BI223" s="82"/>
      <c r="BJ223" s="82"/>
      <c r="BK223" s="82"/>
      <c r="BL223" s="82"/>
      <c r="BM223" s="82"/>
      <c r="BN223" s="82"/>
      <c r="BO223" s="82"/>
      <c r="BP223" s="82"/>
      <c r="BQ223" s="82"/>
      <c r="BR223" s="82"/>
      <c r="BS223" s="82"/>
      <c r="BT223" s="82"/>
      <c r="BU223" s="82"/>
      <c r="BV223" s="82"/>
      <c r="BW223" s="82"/>
      <c r="BX223" s="82"/>
      <c r="BY223" s="82"/>
      <c r="BZ223" s="82"/>
      <c r="CA223" s="82"/>
      <c r="CB223" s="82"/>
      <c r="CC223" s="82"/>
      <c r="CD223" s="82"/>
      <c r="CE223" s="82"/>
      <c r="CF223" s="82"/>
      <c r="CG223" s="82"/>
      <c r="CH223" s="82"/>
      <c r="CI223" s="82"/>
      <c r="CJ223" s="82"/>
      <c r="CK223" s="82"/>
      <c r="CL223" s="82"/>
      <c r="CM223" s="82"/>
      <c r="CN223" s="82"/>
      <c r="CO223" s="82"/>
      <c r="CP223" s="82"/>
      <c r="CQ223" s="82"/>
      <c r="CR223" s="82"/>
      <c r="CS223" s="82"/>
      <c r="CT223" s="82"/>
      <c r="CU223" s="82"/>
      <c r="CV223" s="82"/>
    </row>
    <row r="224" spans="1:100" x14ac:dyDescent="0.2">
      <c r="J224" s="82"/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  <c r="AA224" s="82"/>
      <c r="AB224" s="82"/>
      <c r="AC224" s="82"/>
      <c r="AD224" s="82"/>
      <c r="AE224" s="82"/>
      <c r="AF224" s="82"/>
      <c r="AG224" s="82"/>
      <c r="AH224" s="82"/>
      <c r="AI224" s="82"/>
      <c r="AJ224" s="82"/>
      <c r="AK224" s="82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2"/>
      <c r="AW224" s="82"/>
      <c r="AX224" s="82"/>
      <c r="AY224" s="82"/>
      <c r="AZ224" s="82"/>
      <c r="BA224" s="82"/>
      <c r="BB224" s="82"/>
      <c r="BC224" s="82"/>
      <c r="BD224" s="82"/>
      <c r="BE224" s="82"/>
      <c r="BF224" s="82"/>
      <c r="BG224" s="82"/>
      <c r="BH224" s="82"/>
      <c r="BI224" s="82"/>
      <c r="BJ224" s="82"/>
      <c r="BK224" s="82"/>
      <c r="BL224" s="82"/>
      <c r="BM224" s="82"/>
      <c r="BN224" s="82"/>
      <c r="BO224" s="82"/>
      <c r="BP224" s="82"/>
      <c r="BQ224" s="82"/>
      <c r="BR224" s="82"/>
      <c r="BS224" s="82"/>
      <c r="BT224" s="82"/>
      <c r="BU224" s="82"/>
      <c r="BV224" s="82"/>
      <c r="BW224" s="82"/>
      <c r="BX224" s="82"/>
      <c r="BY224" s="82"/>
      <c r="BZ224" s="82"/>
      <c r="CA224" s="82"/>
      <c r="CB224" s="82"/>
      <c r="CC224" s="82"/>
      <c r="CD224" s="82"/>
      <c r="CE224" s="82"/>
      <c r="CF224" s="82"/>
      <c r="CG224" s="82"/>
      <c r="CH224" s="82"/>
      <c r="CI224" s="82"/>
      <c r="CJ224" s="82"/>
      <c r="CK224" s="82"/>
      <c r="CL224" s="82"/>
      <c r="CM224" s="82"/>
      <c r="CN224" s="82"/>
      <c r="CO224" s="82"/>
      <c r="CP224" s="82"/>
      <c r="CQ224" s="82"/>
      <c r="CR224" s="82"/>
      <c r="CS224" s="82"/>
      <c r="CT224" s="82"/>
      <c r="CU224" s="82"/>
      <c r="CV224" s="82"/>
    </row>
    <row r="225" spans="1:100" x14ac:dyDescent="0.2">
      <c r="A225" s="15" t="s">
        <v>1260</v>
      </c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  <c r="AB225" s="82"/>
      <c r="AC225" s="82"/>
      <c r="AD225" s="82"/>
      <c r="AE225" s="82"/>
      <c r="AF225" s="82"/>
      <c r="AG225" s="82"/>
      <c r="AH225" s="82"/>
      <c r="AI225" s="82"/>
      <c r="AJ225" s="82"/>
      <c r="AK225" s="82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2"/>
      <c r="AW225" s="82"/>
      <c r="AX225" s="82"/>
      <c r="AY225" s="82"/>
      <c r="AZ225" s="82"/>
      <c r="BA225" s="82"/>
      <c r="BB225" s="82"/>
      <c r="BC225" s="82"/>
      <c r="BD225" s="82"/>
      <c r="BE225" s="82"/>
      <c r="BF225" s="82"/>
      <c r="BG225" s="82"/>
      <c r="BH225" s="82"/>
      <c r="BI225" s="82"/>
      <c r="BJ225" s="82"/>
      <c r="BK225" s="82"/>
      <c r="BL225" s="82"/>
      <c r="BM225" s="82"/>
      <c r="BN225" s="82"/>
      <c r="BO225" s="82"/>
      <c r="BP225" s="82"/>
      <c r="BQ225" s="82"/>
      <c r="BR225" s="82"/>
      <c r="BS225" s="82"/>
      <c r="BT225" s="82"/>
      <c r="BU225" s="82"/>
      <c r="BV225" s="82"/>
      <c r="BW225" s="82"/>
      <c r="BX225" s="82"/>
      <c r="BY225" s="82"/>
      <c r="BZ225" s="82"/>
      <c r="CA225" s="82"/>
      <c r="CB225" s="82"/>
      <c r="CC225" s="82"/>
      <c r="CD225" s="82"/>
      <c r="CE225" s="82"/>
      <c r="CF225" s="82"/>
      <c r="CG225" s="82"/>
      <c r="CH225" s="82"/>
      <c r="CI225" s="82"/>
      <c r="CJ225" s="82"/>
      <c r="CK225" s="82"/>
      <c r="CL225" s="82"/>
      <c r="CM225" s="82"/>
      <c r="CN225" s="82"/>
      <c r="CO225" s="82"/>
      <c r="CP225" s="82"/>
      <c r="CQ225" s="82"/>
      <c r="CR225" s="82"/>
      <c r="CS225" s="82"/>
      <c r="CT225" s="82"/>
      <c r="CU225" s="82"/>
      <c r="CV225" s="82"/>
    </row>
    <row r="226" spans="1:100" outlineLevel="1" x14ac:dyDescent="0.2">
      <c r="J226" s="82"/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  <c r="AA226" s="82"/>
      <c r="AB226" s="82"/>
      <c r="AC226" s="82"/>
      <c r="AD226" s="82"/>
      <c r="AE226" s="82"/>
      <c r="AF226" s="82"/>
      <c r="AG226" s="82"/>
      <c r="AH226" s="82"/>
      <c r="AI226" s="82"/>
      <c r="AJ226" s="82"/>
      <c r="AK226" s="82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2"/>
      <c r="AW226" s="82"/>
      <c r="AX226" s="82"/>
      <c r="AY226" s="82"/>
      <c r="AZ226" s="82"/>
      <c r="BA226" s="82"/>
      <c r="BB226" s="82"/>
      <c r="BC226" s="82"/>
      <c r="BD226" s="82"/>
      <c r="BE226" s="82"/>
      <c r="BF226" s="82"/>
      <c r="BG226" s="82"/>
      <c r="BH226" s="82"/>
      <c r="BI226" s="82"/>
      <c r="BJ226" s="82"/>
      <c r="BK226" s="82"/>
      <c r="BL226" s="82"/>
      <c r="BM226" s="82"/>
      <c r="BN226" s="82"/>
      <c r="BO226" s="82"/>
      <c r="BP226" s="82"/>
      <c r="BQ226" s="82"/>
      <c r="BR226" s="82"/>
      <c r="BS226" s="82"/>
      <c r="BT226" s="82"/>
      <c r="BU226" s="82"/>
      <c r="BV226" s="82"/>
      <c r="BW226" s="82"/>
      <c r="BX226" s="82"/>
      <c r="BY226" s="82"/>
      <c r="BZ226" s="82"/>
      <c r="CA226" s="82"/>
      <c r="CB226" s="82"/>
      <c r="CC226" s="82"/>
      <c r="CD226" s="82"/>
      <c r="CE226" s="82"/>
      <c r="CF226" s="82"/>
      <c r="CG226" s="82"/>
      <c r="CH226" s="82"/>
      <c r="CI226" s="82"/>
      <c r="CJ226" s="82"/>
      <c r="CK226" s="82"/>
      <c r="CL226" s="82"/>
      <c r="CM226" s="82"/>
      <c r="CN226" s="82"/>
      <c r="CO226" s="82"/>
      <c r="CP226" s="82"/>
      <c r="CQ226" s="82"/>
      <c r="CR226" s="82"/>
      <c r="CS226" s="82"/>
      <c r="CT226" s="82"/>
      <c r="CU226" s="82"/>
      <c r="CV226" s="82"/>
    </row>
    <row r="227" spans="1:100" s="495" customFormat="1" outlineLevel="1" x14ac:dyDescent="0.2">
      <c r="A227" s="75"/>
      <c r="B227" s="75"/>
      <c r="C227" s="76"/>
      <c r="D227" s="638"/>
      <c r="E227" s="578" t="str">
        <f xml:space="preserve"> DSRA!E$12</f>
        <v>Periods in a year</v>
      </c>
      <c r="F227" s="578">
        <f xml:space="preserve"> DSRA!F$12</f>
        <v>2</v>
      </c>
      <c r="G227" s="578" t="str">
        <f xml:space="preserve"> DSRA!G$12</f>
        <v>periods</v>
      </c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W227" s="77"/>
      <c r="AX227" s="77"/>
      <c r="AY227" s="77"/>
      <c r="AZ227" s="77"/>
      <c r="BA227" s="77"/>
      <c r="BB227" s="77"/>
      <c r="BC227" s="77"/>
      <c r="BD227" s="77"/>
      <c r="BE227" s="77"/>
      <c r="BF227" s="77"/>
      <c r="BG227" s="77"/>
      <c r="BH227" s="77"/>
      <c r="BI227" s="77"/>
      <c r="BJ227" s="77"/>
      <c r="BK227" s="77"/>
      <c r="BL227" s="77"/>
      <c r="BM227" s="77"/>
      <c r="BN227" s="77"/>
      <c r="BO227" s="77"/>
      <c r="BP227" s="77"/>
      <c r="BQ227" s="77"/>
      <c r="BR227" s="77"/>
      <c r="BS227" s="77"/>
      <c r="BT227" s="77"/>
      <c r="BU227" s="77"/>
      <c r="BV227" s="77"/>
      <c r="BW227" s="77"/>
      <c r="BX227" s="77"/>
      <c r="BY227" s="77"/>
      <c r="BZ227" s="77"/>
      <c r="CA227" s="77"/>
      <c r="CB227" s="77"/>
      <c r="CC227" s="77"/>
      <c r="CD227" s="77"/>
      <c r="CE227" s="77"/>
      <c r="CF227" s="77"/>
      <c r="CG227" s="77"/>
      <c r="CH227" s="77"/>
      <c r="CI227" s="77"/>
      <c r="CJ227" s="77"/>
      <c r="CK227" s="77"/>
      <c r="CL227" s="77"/>
      <c r="CM227" s="77"/>
      <c r="CN227" s="77"/>
      <c r="CO227" s="77"/>
      <c r="CP227" s="77"/>
      <c r="CQ227" s="77"/>
      <c r="CR227" s="77"/>
      <c r="CS227" s="77"/>
      <c r="CT227" s="77"/>
      <c r="CU227" s="77"/>
      <c r="CV227" s="77"/>
    </row>
    <row r="228" spans="1:100" s="495" customFormat="1" outlineLevel="1" x14ac:dyDescent="0.2">
      <c r="A228" s="75"/>
      <c r="B228" s="75"/>
      <c r="C228" s="76"/>
      <c r="D228" s="638"/>
      <c r="E228" s="576" t="str">
        <f xml:space="preserve"> Time!E$10</f>
        <v>Model column counter</v>
      </c>
      <c r="F228" s="576">
        <f xml:space="preserve"> Time!F$10</f>
        <v>0</v>
      </c>
      <c r="G228" s="576" t="str">
        <f xml:space="preserve"> Time!G$10</f>
        <v>counter</v>
      </c>
      <c r="H228" s="576">
        <f xml:space="preserve"> Time!H$10</f>
        <v>0</v>
      </c>
      <c r="I228" s="576">
        <f xml:space="preserve"> Time!I$10</f>
        <v>0</v>
      </c>
      <c r="J228" s="576">
        <f xml:space="preserve"> Time!J$10</f>
        <v>1</v>
      </c>
      <c r="K228" s="576">
        <f xml:space="preserve"> Time!K$10</f>
        <v>2</v>
      </c>
      <c r="L228" s="576">
        <f xml:space="preserve"> Time!L$10</f>
        <v>3</v>
      </c>
      <c r="M228" s="576">
        <f xml:space="preserve"> Time!M$10</f>
        <v>4</v>
      </c>
      <c r="N228" s="576">
        <f xml:space="preserve"> Time!N$10</f>
        <v>5</v>
      </c>
      <c r="O228" s="576">
        <f xml:space="preserve"> Time!O$10</f>
        <v>6</v>
      </c>
      <c r="P228" s="576">
        <f xml:space="preserve"> Time!P$10</f>
        <v>7</v>
      </c>
      <c r="Q228" s="576">
        <f xml:space="preserve"> Time!Q$10</f>
        <v>8</v>
      </c>
      <c r="R228" s="576">
        <f xml:space="preserve"> Time!R$10</f>
        <v>9</v>
      </c>
      <c r="S228" s="576">
        <f xml:space="preserve"> Time!S$10</f>
        <v>10</v>
      </c>
      <c r="T228" s="576">
        <f xml:space="preserve"> Time!T$10</f>
        <v>11</v>
      </c>
      <c r="U228" s="576">
        <f xml:space="preserve"> Time!U$10</f>
        <v>12</v>
      </c>
      <c r="V228" s="576">
        <f xml:space="preserve"> Time!V$10</f>
        <v>13</v>
      </c>
      <c r="W228" s="576">
        <f xml:space="preserve"> Time!W$10</f>
        <v>14</v>
      </c>
      <c r="X228" s="576">
        <f xml:space="preserve"> Time!X$10</f>
        <v>15</v>
      </c>
      <c r="Y228" s="576">
        <f xml:space="preserve"> Time!Y$10</f>
        <v>16</v>
      </c>
      <c r="Z228" s="576">
        <f xml:space="preserve"> Time!Z$10</f>
        <v>17</v>
      </c>
      <c r="AA228" s="576">
        <f xml:space="preserve"> Time!AA$10</f>
        <v>18</v>
      </c>
      <c r="AB228" s="576">
        <f xml:space="preserve"> Time!AB$10</f>
        <v>19</v>
      </c>
      <c r="AC228" s="576">
        <f xml:space="preserve"> Time!AC$10</f>
        <v>20</v>
      </c>
      <c r="AD228" s="576">
        <f xml:space="preserve"> Time!AD$10</f>
        <v>21</v>
      </c>
      <c r="AE228" s="576">
        <f xml:space="preserve"> Time!AE$10</f>
        <v>22</v>
      </c>
      <c r="AF228" s="576">
        <f xml:space="preserve"> Time!AF$10</f>
        <v>23</v>
      </c>
      <c r="AG228" s="576">
        <f xml:space="preserve"> Time!AG$10</f>
        <v>24</v>
      </c>
      <c r="AH228" s="576">
        <f xml:space="preserve"> Time!AH$10</f>
        <v>25</v>
      </c>
      <c r="AI228" s="576">
        <f xml:space="preserve"> Time!AI$10</f>
        <v>26</v>
      </c>
      <c r="AJ228" s="576">
        <f xml:space="preserve"> Time!AJ$10</f>
        <v>27</v>
      </c>
      <c r="AK228" s="576">
        <f xml:space="preserve"> Time!AK$10</f>
        <v>28</v>
      </c>
      <c r="AL228" s="576">
        <f xml:space="preserve"> Time!AL$10</f>
        <v>29</v>
      </c>
      <c r="AM228" s="576">
        <f xml:space="preserve"> Time!AM$10</f>
        <v>30</v>
      </c>
      <c r="AN228" s="576">
        <f xml:space="preserve"> Time!AN$10</f>
        <v>31</v>
      </c>
      <c r="AO228" s="576">
        <f xml:space="preserve"> Time!AO$10</f>
        <v>32</v>
      </c>
      <c r="AP228" s="576">
        <f xml:space="preserve"> Time!AP$10</f>
        <v>33</v>
      </c>
      <c r="AQ228" s="576">
        <f xml:space="preserve"> Time!AQ$10</f>
        <v>34</v>
      </c>
      <c r="AR228" s="576">
        <f xml:space="preserve"> Time!AR$10</f>
        <v>35</v>
      </c>
      <c r="AS228" s="576">
        <f xml:space="preserve"> Time!AS$10</f>
        <v>36</v>
      </c>
      <c r="AT228" s="576">
        <f xml:space="preserve"> Time!AT$10</f>
        <v>37</v>
      </c>
      <c r="AU228" s="576">
        <f xml:space="preserve"> Time!AU$10</f>
        <v>38</v>
      </c>
      <c r="AV228" s="576">
        <f xml:space="preserve"> Time!AV$10</f>
        <v>39</v>
      </c>
      <c r="AW228" s="576">
        <f xml:space="preserve"> Time!AW$10</f>
        <v>40</v>
      </c>
      <c r="AX228" s="576">
        <f xml:space="preserve"> Time!AX$10</f>
        <v>41</v>
      </c>
      <c r="AY228" s="576">
        <f xml:space="preserve"> Time!AY$10</f>
        <v>42</v>
      </c>
      <c r="AZ228" s="576">
        <f xml:space="preserve"> Time!AZ$10</f>
        <v>43</v>
      </c>
      <c r="BA228" s="576">
        <f xml:space="preserve"> Time!BA$10</f>
        <v>44</v>
      </c>
      <c r="BB228" s="576">
        <f xml:space="preserve"> Time!BB$10</f>
        <v>45</v>
      </c>
      <c r="BC228" s="576">
        <f xml:space="preserve"> Time!BC$10</f>
        <v>46</v>
      </c>
      <c r="BD228" s="576">
        <f xml:space="preserve"> Time!BD$10</f>
        <v>47</v>
      </c>
      <c r="BE228" s="576">
        <f xml:space="preserve"> Time!BE$10</f>
        <v>48</v>
      </c>
      <c r="BF228" s="576">
        <f xml:space="preserve"> Time!BF$10</f>
        <v>49</v>
      </c>
      <c r="BG228" s="576">
        <f xml:space="preserve"> Time!BG$10</f>
        <v>50</v>
      </c>
      <c r="BH228" s="576">
        <f xml:space="preserve"> Time!BH$10</f>
        <v>51</v>
      </c>
      <c r="BI228" s="576">
        <f xml:space="preserve"> Time!BI$10</f>
        <v>52</v>
      </c>
      <c r="BJ228" s="576">
        <f xml:space="preserve"> Time!BJ$10</f>
        <v>53</v>
      </c>
      <c r="BK228" s="576">
        <f xml:space="preserve"> Time!BK$10</f>
        <v>54</v>
      </c>
      <c r="BL228" s="576">
        <f xml:space="preserve"> Time!BL$10</f>
        <v>55</v>
      </c>
      <c r="BM228" s="576">
        <f xml:space="preserve"> Time!BM$10</f>
        <v>56</v>
      </c>
      <c r="BN228" s="576">
        <f xml:space="preserve"> Time!BN$10</f>
        <v>57</v>
      </c>
      <c r="BO228" s="576">
        <f xml:space="preserve"> Time!BO$10</f>
        <v>58</v>
      </c>
      <c r="BP228" s="576">
        <f xml:space="preserve"> Time!BP$10</f>
        <v>59</v>
      </c>
      <c r="BQ228" s="576">
        <f xml:space="preserve"> Time!BQ$10</f>
        <v>60</v>
      </c>
      <c r="BR228" s="576">
        <f xml:space="preserve"> Time!BR$10</f>
        <v>61</v>
      </c>
      <c r="BS228" s="576">
        <f xml:space="preserve"> Time!BS$10</f>
        <v>62</v>
      </c>
      <c r="BT228" s="576">
        <f xml:space="preserve"> Time!BT$10</f>
        <v>63</v>
      </c>
      <c r="BU228" s="576">
        <f xml:space="preserve"> Time!BU$10</f>
        <v>64</v>
      </c>
      <c r="BV228" s="576">
        <f xml:space="preserve"> Time!BV$10</f>
        <v>65</v>
      </c>
      <c r="BW228" s="576">
        <f xml:space="preserve"> Time!BW$10</f>
        <v>66</v>
      </c>
      <c r="BX228" s="576">
        <f xml:space="preserve"> Time!BX$10</f>
        <v>67</v>
      </c>
      <c r="BY228" s="576">
        <f xml:space="preserve"> Time!BY$10</f>
        <v>68</v>
      </c>
      <c r="BZ228" s="576">
        <f xml:space="preserve"> Time!BZ$10</f>
        <v>69</v>
      </c>
      <c r="CA228" s="576">
        <f xml:space="preserve"> Time!CA$10</f>
        <v>70</v>
      </c>
      <c r="CB228" s="576">
        <f xml:space="preserve"> Time!CB$10</f>
        <v>71</v>
      </c>
      <c r="CC228" s="576">
        <f xml:space="preserve"> Time!CC$10</f>
        <v>72</v>
      </c>
      <c r="CD228" s="576">
        <f xml:space="preserve"> Time!CD$10</f>
        <v>73</v>
      </c>
      <c r="CE228" s="576">
        <f xml:space="preserve"> Time!CE$10</f>
        <v>74</v>
      </c>
      <c r="CF228" s="576">
        <f xml:space="preserve"> Time!CF$10</f>
        <v>75</v>
      </c>
      <c r="CG228" s="576">
        <f xml:space="preserve"> Time!CG$10</f>
        <v>76</v>
      </c>
      <c r="CH228" s="576">
        <f xml:space="preserve"> Time!CH$10</f>
        <v>77</v>
      </c>
      <c r="CI228" s="576">
        <f xml:space="preserve"> Time!CI$10</f>
        <v>78</v>
      </c>
      <c r="CJ228" s="576">
        <f xml:space="preserve"> Time!CJ$10</f>
        <v>79</v>
      </c>
      <c r="CK228" s="576">
        <f xml:space="preserve"> Time!CK$10</f>
        <v>80</v>
      </c>
      <c r="CL228" s="576">
        <f xml:space="preserve"> Time!CL$10</f>
        <v>81</v>
      </c>
      <c r="CM228" s="576">
        <f xml:space="preserve"> Time!CM$10</f>
        <v>82</v>
      </c>
      <c r="CN228" s="576">
        <f xml:space="preserve"> Time!CN$10</f>
        <v>83</v>
      </c>
      <c r="CO228" s="576">
        <f xml:space="preserve"> Time!CO$10</f>
        <v>84</v>
      </c>
      <c r="CP228" s="576">
        <f xml:space="preserve"> Time!CP$10</f>
        <v>85</v>
      </c>
      <c r="CQ228" s="576">
        <f xml:space="preserve"> Time!CQ$10</f>
        <v>86</v>
      </c>
      <c r="CR228" s="576">
        <f xml:space="preserve"> Time!CR$10</f>
        <v>87</v>
      </c>
      <c r="CS228" s="576">
        <f xml:space="preserve"> Time!CS$10</f>
        <v>88</v>
      </c>
      <c r="CT228" s="576">
        <f xml:space="preserve"> Time!CT$10</f>
        <v>89</v>
      </c>
      <c r="CU228" s="576">
        <f xml:space="preserve"> Time!CU$10</f>
        <v>90</v>
      </c>
      <c r="CV228" s="576">
        <f xml:space="preserve"> Time!CV$10</f>
        <v>91</v>
      </c>
    </row>
    <row r="229" spans="1:100" s="495" customFormat="1" outlineLevel="1" x14ac:dyDescent="0.2">
      <c r="A229" s="75"/>
      <c r="B229" s="75"/>
      <c r="C229" s="76"/>
      <c r="D229" s="638"/>
      <c r="E229" s="77" t="str">
        <f xml:space="preserve"> Debt!E$369</f>
        <v>Senior debt service</v>
      </c>
      <c r="F229" s="77">
        <f xml:space="preserve"> Debt!F$369</f>
        <v>0</v>
      </c>
      <c r="G229" s="77" t="str">
        <f xml:space="preserve"> Debt!G$369</f>
        <v>$ 000s</v>
      </c>
      <c r="H229" s="77">
        <f xml:space="preserve"> Debt!H$369</f>
        <v>360041.89848376269</v>
      </c>
      <c r="I229" s="77">
        <f xml:space="preserve"> Debt!I$369</f>
        <v>0</v>
      </c>
      <c r="J229" s="77">
        <f xml:space="preserve"> Debt!J$369</f>
        <v>0</v>
      </c>
      <c r="K229" s="77">
        <f xml:space="preserve"> Debt!K$369</f>
        <v>0</v>
      </c>
      <c r="L229" s="77">
        <f xml:space="preserve"> Debt!L$369</f>
        <v>0</v>
      </c>
      <c r="M229" s="77">
        <f xml:space="preserve"> Debt!M$369</f>
        <v>0</v>
      </c>
      <c r="N229" s="77">
        <f xml:space="preserve"> Debt!N$369</f>
        <v>0</v>
      </c>
      <c r="O229" s="77">
        <f xml:space="preserve"> Debt!O$369</f>
        <v>12686.671356945051</v>
      </c>
      <c r="P229" s="77">
        <f xml:space="preserve"> Debt!P$369</f>
        <v>11219.578313619157</v>
      </c>
      <c r="Q229" s="77">
        <f xml:space="preserve"> Debt!Q$369</f>
        <v>11246.683026259163</v>
      </c>
      <c r="R229" s="77">
        <f xml:space="preserve"> Debt!R$369</f>
        <v>11134.906831418644</v>
      </c>
      <c r="S229" s="77">
        <f xml:space="preserve"> Debt!S$369</f>
        <v>11160.497290778691</v>
      </c>
      <c r="T229" s="77">
        <f xml:space="preserve"> Debt!T$369</f>
        <v>11049.147667919469</v>
      </c>
      <c r="U229" s="77">
        <f xml:space="preserve"> Debt!U$369</f>
        <v>11073.197450820346</v>
      </c>
      <c r="V229" s="77">
        <f xml:space="preserve"> Debt!V$369</f>
        <v>10977.313489020877</v>
      </c>
      <c r="W229" s="77">
        <f xml:space="preserve"> Debt!W$369</f>
        <v>10969.723974284556</v>
      </c>
      <c r="X229" s="77">
        <f xml:space="preserve"> Debt!X$369</f>
        <v>10874.27318110882</v>
      </c>
      <c r="Y229" s="77">
        <f xml:space="preserve"> Debt!Y$369</f>
        <v>10895.160171361602</v>
      </c>
      <c r="Z229" s="77">
        <f xml:space="preserve"> Debt!Z$369</f>
        <v>10785.110133328311</v>
      </c>
      <c r="AA229" s="77">
        <f xml:space="preserve"> Debt!AA$369</f>
        <v>10804.373888164411</v>
      </c>
      <c r="AB229" s="77">
        <f xml:space="preserve"> Debt!AB$369</f>
        <v>10694.76392796511</v>
      </c>
      <c r="AC229" s="77">
        <f xml:space="preserve"> Debt!AC$369</f>
        <v>10712.37579856183</v>
      </c>
      <c r="AD229" s="77">
        <f xml:space="preserve"> Debt!AD$369</f>
        <v>10617.752823814142</v>
      </c>
      <c r="AE229" s="77">
        <f xml:space="preserve"> Debt!AE$369</f>
        <v>10604.596909622556</v>
      </c>
      <c r="AF229" s="77">
        <f xml:space="preserve"> Debt!AF$369</f>
        <v>10510.421245766829</v>
      </c>
      <c r="AG229" s="77">
        <f xml:space="preserve"> Debt!AG$369</f>
        <v>10524.641040765775</v>
      </c>
      <c r="AH229" s="77">
        <f xml:space="preserve"> Debt!AH$369</f>
        <v>10416.373099274493</v>
      </c>
      <c r="AI229" s="77">
        <f xml:space="preserve"> Debt!AI$369</f>
        <v>10428.851504537852</v>
      </c>
      <c r="AJ229" s="77">
        <f xml:space="preserve"> Debt!AJ$369</f>
        <v>10321.038445702476</v>
      </c>
      <c r="AK229" s="77">
        <f xml:space="preserve"> Debt!AK$369</f>
        <v>10331.74438166013</v>
      </c>
      <c r="AL229" s="77">
        <f xml:space="preserve"> Debt!AL$369</f>
        <v>10238.413866724009</v>
      </c>
      <c r="AM229" s="77">
        <f xml:space="preserve"> Debt!AM$369</f>
        <v>10219.268154047048</v>
      </c>
      <c r="AN229" s="77">
        <f xml:space="preserve"> Debt!AN$369</f>
        <v>10126.400443477962</v>
      </c>
      <c r="AO229" s="77">
        <f xml:space="preserve"> Debt!AO$369</f>
        <v>10133.465715349392</v>
      </c>
      <c r="AP229" s="77">
        <f xml:space="preserve"> Debt!AP$369</f>
        <v>10027.041163247522</v>
      </c>
      <c r="AQ229" s="77">
        <f xml:space="preserve"> Debt!AQ$369</f>
        <v>10032.236926693096</v>
      </c>
      <c r="AR229" s="77">
        <f xml:space="preserve"> Debt!AR$369</f>
        <v>9926.2834676298662</v>
      </c>
      <c r="AS229" s="77">
        <f xml:space="preserve"> Debt!AS$369</f>
        <v>9929.5775194771086</v>
      </c>
      <c r="AT229" s="77">
        <f xml:space="preserve"> Debt!AT$369</f>
        <v>9837.5746264223908</v>
      </c>
      <c r="AU229" s="77">
        <f xml:space="preserve"> Debt!AU$369</f>
        <v>9811.9812368171188</v>
      </c>
      <c r="AV229" s="77">
        <f xml:space="preserve"> Debt!AV$369</f>
        <v>9720.4606172373533</v>
      </c>
      <c r="AW229" s="77">
        <f xml:space="preserve"> Debt!AW$369</f>
        <v>-2.024773110608092E-4</v>
      </c>
      <c r="AX229" s="77">
        <f xml:space="preserve"> Debt!AX$369</f>
        <v>-1.9917605055438296E-4</v>
      </c>
      <c r="AY229" s="77">
        <f xml:space="preserve"> Debt!AY$369</f>
        <v>-2.024773110608092E-4</v>
      </c>
      <c r="AZ229" s="77">
        <f xml:space="preserve"> Debt!AZ$369</f>
        <v>-1.9917605055438296E-4</v>
      </c>
      <c r="BA229" s="77">
        <f xml:space="preserve"> Debt!BA$369</f>
        <v>-2.024773110608092E-4</v>
      </c>
      <c r="BB229" s="77">
        <f xml:space="preserve"> Debt!BB$369</f>
        <v>-2.0027647072319173E-4</v>
      </c>
      <c r="BC229" s="77">
        <f xml:space="preserve"> Debt!BC$369</f>
        <v>0</v>
      </c>
      <c r="BD229" s="77">
        <f xml:space="preserve"> Debt!BD$369</f>
        <v>0</v>
      </c>
      <c r="BE229" s="77">
        <f xml:space="preserve"> Debt!BE$369</f>
        <v>0</v>
      </c>
      <c r="BF229" s="77">
        <f xml:space="preserve"> Debt!BF$369</f>
        <v>0</v>
      </c>
      <c r="BG229" s="77">
        <f xml:space="preserve"> Debt!BG$369</f>
        <v>0</v>
      </c>
      <c r="BH229" s="77">
        <f xml:space="preserve"> Debt!BH$369</f>
        <v>0</v>
      </c>
      <c r="BI229" s="77">
        <f xml:space="preserve"> Debt!BI$369</f>
        <v>0</v>
      </c>
      <c r="BJ229" s="77">
        <f xml:space="preserve"> Debt!BJ$369</f>
        <v>0</v>
      </c>
      <c r="BK229" s="77">
        <f xml:space="preserve"> Debt!BK$369</f>
        <v>0</v>
      </c>
      <c r="BL229" s="77">
        <f xml:space="preserve"> Debt!BL$369</f>
        <v>0</v>
      </c>
      <c r="BM229" s="77">
        <f xml:space="preserve"> Debt!BM$369</f>
        <v>0</v>
      </c>
      <c r="BN229" s="77">
        <f xml:space="preserve"> Debt!BN$369</f>
        <v>0</v>
      </c>
      <c r="BO229" s="77">
        <f xml:space="preserve"> Debt!BO$369</f>
        <v>0</v>
      </c>
      <c r="BP229" s="77">
        <f xml:space="preserve"> Debt!BP$369</f>
        <v>0</v>
      </c>
      <c r="BQ229" s="77">
        <f xml:space="preserve"> Debt!BQ$369</f>
        <v>0</v>
      </c>
      <c r="BR229" s="77">
        <f xml:space="preserve"> Debt!BR$369</f>
        <v>0</v>
      </c>
      <c r="BS229" s="77">
        <f xml:space="preserve"> Debt!BS$369</f>
        <v>0</v>
      </c>
      <c r="BT229" s="77">
        <f xml:space="preserve"> Debt!BT$369</f>
        <v>0</v>
      </c>
      <c r="BU229" s="77">
        <f xml:space="preserve"> Debt!BU$369</f>
        <v>0</v>
      </c>
      <c r="BV229" s="77">
        <f xml:space="preserve"> Debt!BV$369</f>
        <v>0</v>
      </c>
      <c r="BW229" s="77">
        <f xml:space="preserve"> Debt!BW$369</f>
        <v>0</v>
      </c>
      <c r="BX229" s="77">
        <f xml:space="preserve"> Debt!BX$369</f>
        <v>0</v>
      </c>
      <c r="BY229" s="77">
        <f xml:space="preserve"> Debt!BY$369</f>
        <v>0</v>
      </c>
      <c r="BZ229" s="77">
        <f xml:space="preserve"> Debt!BZ$369</f>
        <v>0</v>
      </c>
      <c r="CA229" s="77">
        <f xml:space="preserve"> Debt!CA$369</f>
        <v>0</v>
      </c>
      <c r="CB229" s="77">
        <f xml:space="preserve"> Debt!CB$369</f>
        <v>0</v>
      </c>
      <c r="CC229" s="77">
        <f xml:space="preserve"> Debt!CC$369</f>
        <v>0</v>
      </c>
      <c r="CD229" s="77">
        <f xml:space="preserve"> Debt!CD$369</f>
        <v>0</v>
      </c>
      <c r="CE229" s="77">
        <f xml:space="preserve"> Debt!CE$369</f>
        <v>0</v>
      </c>
      <c r="CF229" s="77">
        <f xml:space="preserve"> Debt!CF$369</f>
        <v>0</v>
      </c>
      <c r="CG229" s="77">
        <f xml:space="preserve"> Debt!CG$369</f>
        <v>0</v>
      </c>
      <c r="CH229" s="77">
        <f xml:space="preserve"> Debt!CH$369</f>
        <v>0</v>
      </c>
      <c r="CI229" s="77">
        <f xml:space="preserve"> Debt!CI$369</f>
        <v>0</v>
      </c>
      <c r="CJ229" s="77">
        <f xml:space="preserve"> Debt!CJ$369</f>
        <v>0</v>
      </c>
      <c r="CK229" s="77">
        <f xml:space="preserve"> Debt!CK$369</f>
        <v>0</v>
      </c>
      <c r="CL229" s="77">
        <f xml:space="preserve"> Debt!CL$369</f>
        <v>0</v>
      </c>
      <c r="CM229" s="77">
        <f xml:space="preserve"> Debt!CM$369</f>
        <v>0</v>
      </c>
      <c r="CN229" s="77">
        <f xml:space="preserve"> Debt!CN$369</f>
        <v>0</v>
      </c>
      <c r="CO229" s="77">
        <f xml:space="preserve"> Debt!CO$369</f>
        <v>0</v>
      </c>
      <c r="CP229" s="77">
        <f xml:space="preserve"> Debt!CP$369</f>
        <v>0</v>
      </c>
      <c r="CQ229" s="77">
        <f xml:space="preserve"> Debt!CQ$369</f>
        <v>0</v>
      </c>
      <c r="CR229" s="77">
        <f xml:space="preserve"> Debt!CR$369</f>
        <v>0</v>
      </c>
      <c r="CS229" s="77">
        <f xml:space="preserve"> Debt!CS$369</f>
        <v>0</v>
      </c>
      <c r="CT229" s="77">
        <f xml:space="preserve"> Debt!CT$369</f>
        <v>0</v>
      </c>
      <c r="CU229" s="77">
        <f xml:space="preserve"> Debt!CU$369</f>
        <v>0</v>
      </c>
      <c r="CV229" s="77">
        <f xml:space="preserve"> Debt!CV$369</f>
        <v>0</v>
      </c>
    </row>
    <row r="230" spans="1:100" outlineLevel="1" x14ac:dyDescent="0.2">
      <c r="A230" s="85"/>
      <c r="B230" s="85"/>
      <c r="C230" s="86"/>
      <c r="D230" s="87"/>
      <c r="E230" s="189" t="str">
        <f xml:space="preserve"> Time!E$214</f>
        <v>Senior debt repayment period flag</v>
      </c>
      <c r="F230" s="189">
        <f xml:space="preserve"> Time!F$214</f>
        <v>0</v>
      </c>
      <c r="G230" s="189" t="str">
        <f xml:space="preserve"> Time!G$214</f>
        <v>flag</v>
      </c>
      <c r="H230" s="189">
        <f xml:space="preserve"> Time!H$214</f>
        <v>34</v>
      </c>
      <c r="I230" s="189">
        <f xml:space="preserve"> Time!I$214</f>
        <v>0</v>
      </c>
      <c r="J230" s="189">
        <f xml:space="preserve"> Time!J$214</f>
        <v>0</v>
      </c>
      <c r="K230" s="189">
        <f xml:space="preserve"> Time!K$214</f>
        <v>0</v>
      </c>
      <c r="L230" s="189">
        <f xml:space="preserve"> Time!L$214</f>
        <v>0</v>
      </c>
      <c r="M230" s="189">
        <f xml:space="preserve"> Time!M$214</f>
        <v>0</v>
      </c>
      <c r="N230" s="189">
        <f xml:space="preserve"> Time!N$214</f>
        <v>0</v>
      </c>
      <c r="O230" s="189">
        <f xml:space="preserve"> Time!O$214</f>
        <v>1</v>
      </c>
      <c r="P230" s="189">
        <f xml:space="preserve"> Time!P$214</f>
        <v>1</v>
      </c>
      <c r="Q230" s="189">
        <f xml:space="preserve"> Time!Q$214</f>
        <v>1</v>
      </c>
      <c r="R230" s="189">
        <f xml:space="preserve"> Time!R$214</f>
        <v>1</v>
      </c>
      <c r="S230" s="189">
        <f xml:space="preserve"> Time!S$214</f>
        <v>1</v>
      </c>
      <c r="T230" s="189">
        <f xml:space="preserve"> Time!T$214</f>
        <v>1</v>
      </c>
      <c r="U230" s="189">
        <f xml:space="preserve"> Time!U$214</f>
        <v>1</v>
      </c>
      <c r="V230" s="189">
        <f xml:space="preserve"> Time!V$214</f>
        <v>1</v>
      </c>
      <c r="W230" s="189">
        <f xml:space="preserve"> Time!W$214</f>
        <v>1</v>
      </c>
      <c r="X230" s="189">
        <f xml:space="preserve"> Time!X$214</f>
        <v>1</v>
      </c>
      <c r="Y230" s="189">
        <f xml:space="preserve"> Time!Y$214</f>
        <v>1</v>
      </c>
      <c r="Z230" s="189">
        <f xml:space="preserve"> Time!Z$214</f>
        <v>1</v>
      </c>
      <c r="AA230" s="189">
        <f xml:space="preserve"> Time!AA$214</f>
        <v>1</v>
      </c>
      <c r="AB230" s="189">
        <f xml:space="preserve"> Time!AB$214</f>
        <v>1</v>
      </c>
      <c r="AC230" s="189">
        <f xml:space="preserve"> Time!AC$214</f>
        <v>1</v>
      </c>
      <c r="AD230" s="189">
        <f xml:space="preserve"> Time!AD$214</f>
        <v>1</v>
      </c>
      <c r="AE230" s="189">
        <f xml:space="preserve"> Time!AE$214</f>
        <v>1</v>
      </c>
      <c r="AF230" s="189">
        <f xml:space="preserve"> Time!AF$214</f>
        <v>1</v>
      </c>
      <c r="AG230" s="189">
        <f xml:space="preserve"> Time!AG$214</f>
        <v>1</v>
      </c>
      <c r="AH230" s="189">
        <f xml:space="preserve"> Time!AH$214</f>
        <v>1</v>
      </c>
      <c r="AI230" s="189">
        <f xml:space="preserve"> Time!AI$214</f>
        <v>1</v>
      </c>
      <c r="AJ230" s="189">
        <f xml:space="preserve"> Time!AJ$214</f>
        <v>1</v>
      </c>
      <c r="AK230" s="189">
        <f xml:space="preserve"> Time!AK$214</f>
        <v>1</v>
      </c>
      <c r="AL230" s="189">
        <f xml:space="preserve"> Time!AL$214</f>
        <v>1</v>
      </c>
      <c r="AM230" s="189">
        <f xml:space="preserve"> Time!AM$214</f>
        <v>1</v>
      </c>
      <c r="AN230" s="189">
        <f xml:space="preserve"> Time!AN$214</f>
        <v>1</v>
      </c>
      <c r="AO230" s="189">
        <f xml:space="preserve"> Time!AO$214</f>
        <v>1</v>
      </c>
      <c r="AP230" s="189">
        <f xml:space="preserve"> Time!AP$214</f>
        <v>1</v>
      </c>
      <c r="AQ230" s="189">
        <f xml:space="preserve"> Time!AQ$214</f>
        <v>1</v>
      </c>
      <c r="AR230" s="189">
        <f xml:space="preserve"> Time!AR$214</f>
        <v>1</v>
      </c>
      <c r="AS230" s="189">
        <f xml:space="preserve"> Time!AS$214</f>
        <v>1</v>
      </c>
      <c r="AT230" s="189">
        <f xml:space="preserve"> Time!AT$214</f>
        <v>1</v>
      </c>
      <c r="AU230" s="189">
        <f xml:space="preserve"> Time!AU$214</f>
        <v>1</v>
      </c>
      <c r="AV230" s="189">
        <f xml:space="preserve"> Time!AV$214</f>
        <v>1</v>
      </c>
      <c r="AW230" s="189">
        <f xml:space="preserve"> Time!AW$214</f>
        <v>0</v>
      </c>
      <c r="AX230" s="189">
        <f xml:space="preserve"> Time!AX$214</f>
        <v>0</v>
      </c>
      <c r="AY230" s="189">
        <f xml:space="preserve"> Time!AY$214</f>
        <v>0</v>
      </c>
      <c r="AZ230" s="189">
        <f xml:space="preserve"> Time!AZ$214</f>
        <v>0</v>
      </c>
      <c r="BA230" s="189">
        <f xml:space="preserve"> Time!BA$214</f>
        <v>0</v>
      </c>
      <c r="BB230" s="189">
        <f xml:space="preserve"> Time!BB$214</f>
        <v>0</v>
      </c>
      <c r="BC230" s="189">
        <f xml:space="preserve"> Time!BC$214</f>
        <v>0</v>
      </c>
      <c r="BD230" s="189">
        <f xml:space="preserve"> Time!BD$214</f>
        <v>0</v>
      </c>
      <c r="BE230" s="189">
        <f xml:space="preserve"> Time!BE$214</f>
        <v>0</v>
      </c>
      <c r="BF230" s="189">
        <f xml:space="preserve"> Time!BF$214</f>
        <v>0</v>
      </c>
      <c r="BG230" s="189">
        <f xml:space="preserve"> Time!BG$214</f>
        <v>0</v>
      </c>
      <c r="BH230" s="189">
        <f xml:space="preserve"> Time!BH$214</f>
        <v>0</v>
      </c>
      <c r="BI230" s="189">
        <f xml:space="preserve"> Time!BI$214</f>
        <v>0</v>
      </c>
      <c r="BJ230" s="189">
        <f xml:space="preserve"> Time!BJ$214</f>
        <v>0</v>
      </c>
      <c r="BK230" s="189">
        <f xml:space="preserve"> Time!BK$214</f>
        <v>0</v>
      </c>
      <c r="BL230" s="189">
        <f xml:space="preserve"> Time!BL$214</f>
        <v>0</v>
      </c>
      <c r="BM230" s="189">
        <f xml:space="preserve"> Time!BM$214</f>
        <v>0</v>
      </c>
      <c r="BN230" s="189">
        <f xml:space="preserve"> Time!BN$214</f>
        <v>0</v>
      </c>
      <c r="BO230" s="189">
        <f xml:space="preserve"> Time!BO$214</f>
        <v>0</v>
      </c>
      <c r="BP230" s="189">
        <f xml:space="preserve"> Time!BP$214</f>
        <v>0</v>
      </c>
      <c r="BQ230" s="189">
        <f xml:space="preserve"> Time!BQ$214</f>
        <v>0</v>
      </c>
      <c r="BR230" s="189">
        <f xml:space="preserve"> Time!BR$214</f>
        <v>0</v>
      </c>
      <c r="BS230" s="189">
        <f xml:space="preserve"> Time!BS$214</f>
        <v>0</v>
      </c>
      <c r="BT230" s="189">
        <f xml:space="preserve"> Time!BT$214</f>
        <v>0</v>
      </c>
      <c r="BU230" s="189">
        <f xml:space="preserve"> Time!BU$214</f>
        <v>0</v>
      </c>
      <c r="BV230" s="189">
        <f xml:space="preserve"> Time!BV$214</f>
        <v>0</v>
      </c>
      <c r="BW230" s="189">
        <f xml:space="preserve"> Time!BW$214</f>
        <v>0</v>
      </c>
      <c r="BX230" s="189">
        <f xml:space="preserve"> Time!BX$214</f>
        <v>0</v>
      </c>
      <c r="BY230" s="189">
        <f xml:space="preserve"> Time!BY$214</f>
        <v>0</v>
      </c>
      <c r="BZ230" s="189">
        <f xml:space="preserve"> Time!BZ$214</f>
        <v>0</v>
      </c>
      <c r="CA230" s="189">
        <f xml:space="preserve"> Time!CA$214</f>
        <v>0</v>
      </c>
      <c r="CB230" s="189">
        <f xml:space="preserve"> Time!CB$214</f>
        <v>0</v>
      </c>
      <c r="CC230" s="189">
        <f xml:space="preserve"> Time!CC$214</f>
        <v>0</v>
      </c>
      <c r="CD230" s="189">
        <f xml:space="preserve"> Time!CD$214</f>
        <v>0</v>
      </c>
      <c r="CE230" s="189">
        <f xml:space="preserve"> Time!CE$214</f>
        <v>0</v>
      </c>
      <c r="CF230" s="189">
        <f xml:space="preserve"> Time!CF$214</f>
        <v>0</v>
      </c>
      <c r="CG230" s="189">
        <f xml:space="preserve"> Time!CG$214</f>
        <v>0</v>
      </c>
      <c r="CH230" s="189">
        <f xml:space="preserve"> Time!CH$214</f>
        <v>0</v>
      </c>
      <c r="CI230" s="189">
        <f xml:space="preserve"> Time!CI$214</f>
        <v>0</v>
      </c>
      <c r="CJ230" s="189">
        <f xml:space="preserve"> Time!CJ$214</f>
        <v>0</v>
      </c>
      <c r="CK230" s="189">
        <f xml:space="preserve"> Time!CK$214</f>
        <v>0</v>
      </c>
      <c r="CL230" s="189">
        <f xml:space="preserve"> Time!CL$214</f>
        <v>0</v>
      </c>
      <c r="CM230" s="189">
        <f xml:space="preserve"> Time!CM$214</f>
        <v>0</v>
      </c>
      <c r="CN230" s="189">
        <f xml:space="preserve"> Time!CN$214</f>
        <v>0</v>
      </c>
      <c r="CO230" s="189">
        <f xml:space="preserve"> Time!CO$214</f>
        <v>0</v>
      </c>
      <c r="CP230" s="189">
        <f xml:space="preserve"> Time!CP$214</f>
        <v>0</v>
      </c>
      <c r="CQ230" s="189">
        <f xml:space="preserve"> Time!CQ$214</f>
        <v>0</v>
      </c>
      <c r="CR230" s="189">
        <f xml:space="preserve"> Time!CR$214</f>
        <v>0</v>
      </c>
      <c r="CS230" s="189">
        <f xml:space="preserve"> Time!CS$214</f>
        <v>0</v>
      </c>
      <c r="CT230" s="189">
        <f xml:space="preserve"> Time!CT$214</f>
        <v>0</v>
      </c>
      <c r="CU230" s="189">
        <f xml:space="preserve"> Time!CU$214</f>
        <v>0</v>
      </c>
      <c r="CV230" s="189">
        <f xml:space="preserve"> Time!CV$214</f>
        <v>0</v>
      </c>
    </row>
    <row r="231" spans="1:100" outlineLevel="1" x14ac:dyDescent="0.2">
      <c r="A231" s="33"/>
      <c r="B231" s="79"/>
      <c r="C231" s="561"/>
      <c r="D231" s="60"/>
      <c r="E231" s="32" t="s">
        <v>1261</v>
      </c>
      <c r="F231" s="32"/>
      <c r="G231" s="32" t="str">
        <f xml:space="preserve"> SMU</f>
        <v>$ 000s</v>
      </c>
      <c r="H231" s="32"/>
      <c r="I231" s="32"/>
      <c r="J231" s="32">
        <f>SUMIFS( $J229:J229, $J228:J228, "&gt;=" &amp; J228 - $F227 + 1, $J228:J228, "&lt;=" &amp; J228) * J230</f>
        <v>0</v>
      </c>
      <c r="K231" s="32">
        <f>SUMIFS( $J229:K229, $J228:K228, "&gt;=" &amp; K228 - $F227 + 1, $J228:K228, "&lt;=" &amp; K228) * K230</f>
        <v>0</v>
      </c>
      <c r="L231" s="32">
        <f>SUMIFS( $J229:L229, $J228:L228, "&gt;=" &amp; L228 - $F227 + 1, $J228:L228, "&lt;=" &amp; L228) * L230</f>
        <v>0</v>
      </c>
      <c r="M231" s="32">
        <f>SUMIFS( $J229:M229, $J228:M228, "&gt;=" &amp; M228 - $F227 + 1, $J228:M228, "&lt;=" &amp; M228) * M230</f>
        <v>0</v>
      </c>
      <c r="N231" s="32">
        <f>SUMIFS( $J229:N229, $J228:N228, "&gt;=" &amp; N228 - $F227 + 1, $J228:N228, "&lt;=" &amp; N228) * N230</f>
        <v>0</v>
      </c>
      <c r="O231" s="32">
        <f>SUMIFS( $J229:O229, $J228:O228, "&gt;=" &amp; O228 - $F227 + 1, $J228:O228, "&lt;=" &amp; O228) * O230</f>
        <v>12686.671356945051</v>
      </c>
      <c r="P231" s="32">
        <f>SUMIFS( $J229:P229, $J228:P228, "&gt;=" &amp; P228 - $F227 + 1, $J228:P228, "&lt;=" &amp; P228) * P230</f>
        <v>23906.249670564208</v>
      </c>
      <c r="Q231" s="32">
        <f>SUMIFS( $J229:Q229, $J228:Q228, "&gt;=" &amp; Q228 - $F227 + 1, $J228:Q228, "&lt;=" &amp; Q228) * Q230</f>
        <v>22466.261339878321</v>
      </c>
      <c r="R231" s="32">
        <f>SUMIFS( $J229:R229, $J228:R228, "&gt;=" &amp; R228 - $F227 + 1, $J228:R228, "&lt;=" &amp; R228) * R230</f>
        <v>22381.589857677805</v>
      </c>
      <c r="S231" s="32">
        <f>SUMIFS( $J229:S229, $J228:S228, "&gt;=" &amp; S228 - $F227 + 1, $J228:S228, "&lt;=" &amp; S228) * S230</f>
        <v>22295.404122197335</v>
      </c>
      <c r="T231" s="32">
        <f>SUMIFS( $J229:T229, $J228:T228, "&gt;=" &amp; T228 - $F227 + 1, $J228:T228, "&lt;=" &amp; T228) * T230</f>
        <v>22209.644958698162</v>
      </c>
      <c r="U231" s="32">
        <f>SUMIFS( $J229:U229, $J228:U228, "&gt;=" &amp; U228 - $F227 + 1, $J228:U228, "&lt;=" &amp; U228) * U230</f>
        <v>22122.345118739817</v>
      </c>
      <c r="V231" s="32">
        <f>SUMIFS( $J229:V229, $J228:V228, "&gt;=" &amp; V228 - $F227 + 1, $J228:V228, "&lt;=" &amp; V228) * V230</f>
        <v>22050.510939841224</v>
      </c>
      <c r="W231" s="32">
        <f>SUMIFS( $J229:W229, $J228:W228, "&gt;=" &amp; W228 - $F227 + 1, $J228:W228, "&lt;=" &amp; W228) * W230</f>
        <v>21947.037463305431</v>
      </c>
      <c r="X231" s="32">
        <f>SUMIFS( $J229:X229, $J228:X228, "&gt;=" &amp; X228 - $F227 + 1, $J228:X228, "&lt;=" &amp; X228) * X230</f>
        <v>21843.997155393376</v>
      </c>
      <c r="Y231" s="32">
        <f>SUMIFS( $J229:Y229, $J228:Y228, "&gt;=" &amp; Y228 - $F227 + 1, $J228:Y228, "&lt;=" &amp; Y228) * Y230</f>
        <v>21769.43335247042</v>
      </c>
      <c r="Z231" s="32">
        <f>SUMIFS( $J229:Z229, $J228:Z228, "&gt;=" &amp; Z228 - $F227 + 1, $J228:Z228, "&lt;=" &amp; Z228) * Z230</f>
        <v>21680.270304689911</v>
      </c>
      <c r="AA231" s="32">
        <f>SUMIFS( $J229:AA229, $J228:AA228, "&gt;=" &amp; AA228 - $F227 + 1, $J228:AA228, "&lt;=" &amp; AA228) * AA230</f>
        <v>21589.484021492724</v>
      </c>
      <c r="AB231" s="32">
        <f>SUMIFS( $J229:AB229, $J228:AB228, "&gt;=" &amp; AB228 - $F227 + 1, $J228:AB228, "&lt;=" &amp; AB228) * AB230</f>
        <v>21499.137816129522</v>
      </c>
      <c r="AC231" s="32">
        <f>SUMIFS( $J229:AC229, $J228:AC228, "&gt;=" &amp; AC228 - $F227 + 1, $J228:AC228, "&lt;=" &amp; AC228) * AC230</f>
        <v>21407.139726526941</v>
      </c>
      <c r="AD231" s="32">
        <f>SUMIFS( $J229:AD229, $J228:AD228, "&gt;=" &amp; AD228 - $F227 + 1, $J228:AD228, "&lt;=" &amp; AD228) * AD230</f>
        <v>21330.128622375974</v>
      </c>
      <c r="AE231" s="32">
        <f>SUMIFS( $J229:AE229, $J228:AE228, "&gt;=" &amp; AE228 - $F227 + 1, $J228:AE228, "&lt;=" &amp; AE228) * AE230</f>
        <v>21222.349733436698</v>
      </c>
      <c r="AF231" s="32">
        <f>SUMIFS( $J229:AF229, $J228:AF228, "&gt;=" &amp; AF228 - $F227 + 1, $J228:AF228, "&lt;=" &amp; AF228) * AF230</f>
        <v>21115.018155389385</v>
      </c>
      <c r="AG231" s="32">
        <f>SUMIFS( $J229:AG229, $J228:AG228, "&gt;=" &amp; AG228 - $F227 + 1, $J228:AG228, "&lt;=" &amp; AG228) * AG230</f>
        <v>21035.062286532604</v>
      </c>
      <c r="AH231" s="32">
        <f>SUMIFS( $J229:AH229, $J228:AH228, "&gt;=" &amp; AH228 - $F227 + 1, $J228:AH228, "&lt;=" &amp; AH228) * AH230</f>
        <v>20941.014140040268</v>
      </c>
      <c r="AI231" s="32">
        <f>SUMIFS( $J229:AI229, $J228:AI228, "&gt;=" &amp; AI228 - $F227 + 1, $J228:AI228, "&lt;=" &amp; AI228) * AI230</f>
        <v>20845.224603812345</v>
      </c>
      <c r="AJ231" s="32">
        <f>SUMIFS( $J229:AJ229, $J228:AJ228, "&gt;=" &amp; AJ228 - $F227 + 1, $J228:AJ228, "&lt;=" &amp; AJ228) * AJ230</f>
        <v>20749.889950240329</v>
      </c>
      <c r="AK231" s="32">
        <f>SUMIFS( $J229:AK229, $J228:AK228, "&gt;=" &amp; AK228 - $F227 + 1, $J228:AK228, "&lt;=" &amp; AK228) * AK230</f>
        <v>20652.782827362607</v>
      </c>
      <c r="AL231" s="32">
        <f>SUMIFS( $J229:AL229, $J228:AL228, "&gt;=" &amp; AL228 - $F227 + 1, $J228:AL228, "&lt;=" &amp; AL228) * AL230</f>
        <v>20570.158248384141</v>
      </c>
      <c r="AM231" s="32">
        <f>SUMIFS( $J229:AM229, $J228:AM228, "&gt;=" &amp; AM228 - $F227 + 1, $J228:AM228, "&lt;=" &amp; AM228) * AM230</f>
        <v>20457.682020771055</v>
      </c>
      <c r="AN231" s="32">
        <f>SUMIFS( $J229:AN229, $J228:AN228, "&gt;=" &amp; AN228 - $F227 + 1, $J228:AN228, "&lt;=" &amp; AN228) * AN230</f>
        <v>20345.668597525007</v>
      </c>
      <c r="AO231" s="32">
        <f>SUMIFS( $J229:AO229, $J228:AO228, "&gt;=" &amp; AO228 - $F227 + 1, $J228:AO228, "&lt;=" &amp; AO228) * AO230</f>
        <v>20259.866158827354</v>
      </c>
      <c r="AP231" s="32">
        <f>SUMIFS( $J229:AP229, $J228:AP228, "&gt;=" &amp; AP228 - $F227 + 1, $J228:AP228, "&lt;=" &amp; AP228) * AP230</f>
        <v>20160.506878596912</v>
      </c>
      <c r="AQ231" s="32">
        <f>SUMIFS( $J229:AQ229, $J228:AQ228, "&gt;=" &amp; AQ228 - $F227 + 1, $J228:AQ228, "&lt;=" &amp; AQ228) * AQ230</f>
        <v>20059.278089940621</v>
      </c>
      <c r="AR231" s="32">
        <f>SUMIFS( $J229:AR229, $J228:AR228, "&gt;=" &amp; AR228 - $F227 + 1, $J228:AR228, "&lt;=" &amp; AR228) * AR230</f>
        <v>19958.520394322964</v>
      </c>
      <c r="AS231" s="32">
        <f>SUMIFS( $J229:AS229, $J228:AS228, "&gt;=" &amp; AS228 - $F227 + 1, $J228:AS228, "&lt;=" &amp; AS228) * AS230</f>
        <v>19855.860987106975</v>
      </c>
      <c r="AT231" s="32">
        <f>SUMIFS( $J229:AT229, $J228:AT228, "&gt;=" &amp; AT228 - $F227 + 1, $J228:AT228, "&lt;=" &amp; AT228) * AT230</f>
        <v>19767.152145899498</v>
      </c>
      <c r="AU231" s="32">
        <f>SUMIFS( $J229:AU229, $J228:AU228, "&gt;=" &amp; AU228 - $F227 + 1, $J228:AU228, "&lt;=" &amp; AU228) * AU230</f>
        <v>19649.555863239511</v>
      </c>
      <c r="AV231" s="32">
        <f>SUMIFS( $J229:AV229, $J228:AV228, "&gt;=" &amp; AV228 - $F227 + 1, $J228:AV228, "&lt;=" &amp; AV228) * AV230</f>
        <v>19532.441854054472</v>
      </c>
      <c r="AW231" s="32">
        <f>SUMIFS( $J229:AW229, $J228:AW228, "&gt;=" &amp; AW228 - $F227 + 1, $J228:AW228, "&lt;=" &amp; AW228) * AW230</f>
        <v>0</v>
      </c>
      <c r="AX231" s="32">
        <f>SUMIFS( $J229:AX229, $J228:AX228, "&gt;=" &amp; AX228 - $F227 + 1, $J228:AX228, "&lt;=" &amp; AX228) * AX230</f>
        <v>0</v>
      </c>
      <c r="AY231" s="32">
        <f>SUMIFS( $J229:AY229, $J228:AY228, "&gt;=" &amp; AY228 - $F227 + 1, $J228:AY228, "&lt;=" &amp; AY228) * AY230</f>
        <v>0</v>
      </c>
      <c r="AZ231" s="32">
        <f>SUMIFS( $J229:AZ229, $J228:AZ228, "&gt;=" &amp; AZ228 - $F227 + 1, $J228:AZ228, "&lt;=" &amp; AZ228) * AZ230</f>
        <v>0</v>
      </c>
      <c r="BA231" s="32">
        <f>SUMIFS( $J229:BA229, $J228:BA228, "&gt;=" &amp; BA228 - $F227 + 1, $J228:BA228, "&lt;=" &amp; BA228) * BA230</f>
        <v>0</v>
      </c>
      <c r="BB231" s="32">
        <f>SUMIFS( $J229:BB229, $J228:BB228, "&gt;=" &amp; BB228 - $F227 + 1, $J228:BB228, "&lt;=" &amp; BB228) * BB230</f>
        <v>0</v>
      </c>
      <c r="BC231" s="32">
        <f>SUMIFS( $J229:BC229, $J228:BC228, "&gt;=" &amp; BC228 - $F227 + 1, $J228:BC228, "&lt;=" &amp; BC228) * BC230</f>
        <v>0</v>
      </c>
      <c r="BD231" s="32">
        <f>SUMIFS( $J229:BD229, $J228:BD228, "&gt;=" &amp; BD228 - $F227 + 1, $J228:BD228, "&lt;=" &amp; BD228) * BD230</f>
        <v>0</v>
      </c>
      <c r="BE231" s="32">
        <f>SUMIFS( $J229:BE229, $J228:BE228, "&gt;=" &amp; BE228 - $F227 + 1, $J228:BE228, "&lt;=" &amp; BE228) * BE230</f>
        <v>0</v>
      </c>
      <c r="BF231" s="32">
        <f>SUMIFS( $J229:BF229, $J228:BF228, "&gt;=" &amp; BF228 - $F227 + 1, $J228:BF228, "&lt;=" &amp; BF228) * BF230</f>
        <v>0</v>
      </c>
      <c r="BG231" s="32">
        <f>SUMIFS( $J229:BG229, $J228:BG228, "&gt;=" &amp; BG228 - $F227 + 1, $J228:BG228, "&lt;=" &amp; BG228) * BG230</f>
        <v>0</v>
      </c>
      <c r="BH231" s="32">
        <f>SUMIFS( $J229:BH229, $J228:BH228, "&gt;=" &amp; BH228 - $F227 + 1, $J228:BH228, "&lt;=" &amp; BH228) * BH230</f>
        <v>0</v>
      </c>
      <c r="BI231" s="32">
        <f>SUMIFS( $J229:BI229, $J228:BI228, "&gt;=" &amp; BI228 - $F227 + 1, $J228:BI228, "&lt;=" &amp; BI228) * BI230</f>
        <v>0</v>
      </c>
      <c r="BJ231" s="32">
        <f>SUMIFS( $J229:BJ229, $J228:BJ228, "&gt;=" &amp; BJ228 - $F227 + 1, $J228:BJ228, "&lt;=" &amp; BJ228) * BJ230</f>
        <v>0</v>
      </c>
      <c r="BK231" s="32">
        <f>SUMIFS( $J229:BK229, $J228:BK228, "&gt;=" &amp; BK228 - $F227 + 1, $J228:BK228, "&lt;=" &amp; BK228) * BK230</f>
        <v>0</v>
      </c>
      <c r="BL231" s="32">
        <f>SUMIFS( $J229:BL229, $J228:BL228, "&gt;=" &amp; BL228 - $F227 + 1, $J228:BL228, "&lt;=" &amp; BL228) * BL230</f>
        <v>0</v>
      </c>
      <c r="BM231" s="32">
        <f>SUMIFS( $J229:BM229, $J228:BM228, "&gt;=" &amp; BM228 - $F227 + 1, $J228:BM228, "&lt;=" &amp; BM228) * BM230</f>
        <v>0</v>
      </c>
      <c r="BN231" s="32">
        <f>SUMIFS( $J229:BN229, $J228:BN228, "&gt;=" &amp; BN228 - $F227 + 1, $J228:BN228, "&lt;=" &amp; BN228) * BN230</f>
        <v>0</v>
      </c>
      <c r="BO231" s="32">
        <f>SUMIFS( $J229:BO229, $J228:BO228, "&gt;=" &amp; BO228 - $F227 + 1, $J228:BO228, "&lt;=" &amp; BO228) * BO230</f>
        <v>0</v>
      </c>
      <c r="BP231" s="32">
        <f>SUMIFS( $J229:BP229, $J228:BP228, "&gt;=" &amp; BP228 - $F227 + 1, $J228:BP228, "&lt;=" &amp; BP228) * BP230</f>
        <v>0</v>
      </c>
      <c r="BQ231" s="32">
        <f>SUMIFS( $J229:BQ229, $J228:BQ228, "&gt;=" &amp; BQ228 - $F227 + 1, $J228:BQ228, "&lt;=" &amp; BQ228) * BQ230</f>
        <v>0</v>
      </c>
      <c r="BR231" s="32">
        <f>SUMIFS( $J229:BR229, $J228:BR228, "&gt;=" &amp; BR228 - $F227 + 1, $J228:BR228, "&lt;=" &amp; BR228) * BR230</f>
        <v>0</v>
      </c>
      <c r="BS231" s="32">
        <f>SUMIFS( $J229:BS229, $J228:BS228, "&gt;=" &amp; BS228 - $F227 + 1, $J228:BS228, "&lt;=" &amp; BS228) * BS230</f>
        <v>0</v>
      </c>
      <c r="BT231" s="32">
        <f>SUMIFS( $J229:BT229, $J228:BT228, "&gt;=" &amp; BT228 - $F227 + 1, $J228:BT228, "&lt;=" &amp; BT228) * BT230</f>
        <v>0</v>
      </c>
      <c r="BU231" s="32">
        <f>SUMIFS( $J229:BU229, $J228:BU228, "&gt;=" &amp; BU228 - $F227 + 1, $J228:BU228, "&lt;=" &amp; BU228) * BU230</f>
        <v>0</v>
      </c>
      <c r="BV231" s="32">
        <f>SUMIFS( $J229:BV229, $J228:BV228, "&gt;=" &amp; BV228 - $F227 + 1, $J228:BV228, "&lt;=" &amp; BV228) * BV230</f>
        <v>0</v>
      </c>
      <c r="BW231" s="32">
        <f>SUMIFS( $J229:BW229, $J228:BW228, "&gt;=" &amp; BW228 - $F227 + 1, $J228:BW228, "&lt;=" &amp; BW228) * BW230</f>
        <v>0</v>
      </c>
      <c r="BX231" s="32">
        <f>SUMIFS( $J229:BX229, $J228:BX228, "&gt;=" &amp; BX228 - $F227 + 1, $J228:BX228, "&lt;=" &amp; BX228) * BX230</f>
        <v>0</v>
      </c>
      <c r="BY231" s="32">
        <f>SUMIFS( $J229:BY229, $J228:BY228, "&gt;=" &amp; BY228 - $F227 + 1, $J228:BY228, "&lt;=" &amp; BY228) * BY230</f>
        <v>0</v>
      </c>
      <c r="BZ231" s="32">
        <f>SUMIFS( $J229:BZ229, $J228:BZ228, "&gt;=" &amp; BZ228 - $F227 + 1, $J228:BZ228, "&lt;=" &amp; BZ228) * BZ230</f>
        <v>0</v>
      </c>
      <c r="CA231" s="32">
        <f>SUMIFS( $J229:CA229, $J228:CA228, "&gt;=" &amp; CA228 - $F227 + 1, $J228:CA228, "&lt;=" &amp; CA228) * CA230</f>
        <v>0</v>
      </c>
      <c r="CB231" s="32">
        <f>SUMIFS( $J229:CB229, $J228:CB228, "&gt;=" &amp; CB228 - $F227 + 1, $J228:CB228, "&lt;=" &amp; CB228) * CB230</f>
        <v>0</v>
      </c>
      <c r="CC231" s="32">
        <f>SUMIFS( $J229:CC229, $J228:CC228, "&gt;=" &amp; CC228 - $F227 + 1, $J228:CC228, "&lt;=" &amp; CC228) * CC230</f>
        <v>0</v>
      </c>
      <c r="CD231" s="32">
        <f>SUMIFS( $J229:CD229, $J228:CD228, "&gt;=" &amp; CD228 - $F227 + 1, $J228:CD228, "&lt;=" &amp; CD228) * CD230</f>
        <v>0</v>
      </c>
      <c r="CE231" s="32">
        <f>SUMIFS( $J229:CE229, $J228:CE228, "&gt;=" &amp; CE228 - $F227 + 1, $J228:CE228, "&lt;=" &amp; CE228) * CE230</f>
        <v>0</v>
      </c>
      <c r="CF231" s="32">
        <f>SUMIFS( $J229:CF229, $J228:CF228, "&gt;=" &amp; CF228 - $F227 + 1, $J228:CF228, "&lt;=" &amp; CF228) * CF230</f>
        <v>0</v>
      </c>
      <c r="CG231" s="32">
        <f>SUMIFS( $J229:CG229, $J228:CG228, "&gt;=" &amp; CG228 - $F227 + 1, $J228:CG228, "&lt;=" &amp; CG228) * CG230</f>
        <v>0</v>
      </c>
      <c r="CH231" s="32">
        <f>SUMIFS( $J229:CH229, $J228:CH228, "&gt;=" &amp; CH228 - $F227 + 1, $J228:CH228, "&lt;=" &amp; CH228) * CH230</f>
        <v>0</v>
      </c>
      <c r="CI231" s="32">
        <f>SUMIFS( $J229:CI229, $J228:CI228, "&gt;=" &amp; CI228 - $F227 + 1, $J228:CI228, "&lt;=" &amp; CI228) * CI230</f>
        <v>0</v>
      </c>
      <c r="CJ231" s="32">
        <f>SUMIFS( $J229:CJ229, $J228:CJ228, "&gt;=" &amp; CJ228 - $F227 + 1, $J228:CJ228, "&lt;=" &amp; CJ228) * CJ230</f>
        <v>0</v>
      </c>
      <c r="CK231" s="32">
        <f>SUMIFS( $J229:CK229, $J228:CK228, "&gt;=" &amp; CK228 - $F227 + 1, $J228:CK228, "&lt;=" &amp; CK228) * CK230</f>
        <v>0</v>
      </c>
      <c r="CL231" s="32">
        <f>SUMIFS( $J229:CL229, $J228:CL228, "&gt;=" &amp; CL228 - $F227 + 1, $J228:CL228, "&lt;=" &amp; CL228) * CL230</f>
        <v>0</v>
      </c>
      <c r="CM231" s="32">
        <f>SUMIFS( $J229:CM229, $J228:CM228, "&gt;=" &amp; CM228 - $F227 + 1, $J228:CM228, "&lt;=" &amp; CM228) * CM230</f>
        <v>0</v>
      </c>
      <c r="CN231" s="32">
        <f>SUMIFS( $J229:CN229, $J228:CN228, "&gt;=" &amp; CN228 - $F227 + 1, $J228:CN228, "&lt;=" &amp; CN228) * CN230</f>
        <v>0</v>
      </c>
      <c r="CO231" s="32">
        <f>SUMIFS( $J229:CO229, $J228:CO228, "&gt;=" &amp; CO228 - $F227 + 1, $J228:CO228, "&lt;=" &amp; CO228) * CO230</f>
        <v>0</v>
      </c>
      <c r="CP231" s="32">
        <f>SUMIFS( $J229:CP229, $J228:CP228, "&gt;=" &amp; CP228 - $F227 + 1, $J228:CP228, "&lt;=" &amp; CP228) * CP230</f>
        <v>0</v>
      </c>
      <c r="CQ231" s="32">
        <f>SUMIFS( $J229:CQ229, $J228:CQ228, "&gt;=" &amp; CQ228 - $F227 + 1, $J228:CQ228, "&lt;=" &amp; CQ228) * CQ230</f>
        <v>0</v>
      </c>
      <c r="CR231" s="32">
        <f>SUMIFS( $J229:CR229, $J228:CR228, "&gt;=" &amp; CR228 - $F227 + 1, $J228:CR228, "&lt;=" &amp; CR228) * CR230</f>
        <v>0</v>
      </c>
      <c r="CS231" s="32">
        <f>SUMIFS( $J229:CS229, $J228:CS228, "&gt;=" &amp; CS228 - $F227 + 1, $J228:CS228, "&lt;=" &amp; CS228) * CS230</f>
        <v>0</v>
      </c>
      <c r="CT231" s="32">
        <f>SUMIFS( $J229:CT229, $J228:CT228, "&gt;=" &amp; CT228 - $F227 + 1, $J228:CT228, "&lt;=" &amp; CT228) * CT230</f>
        <v>0</v>
      </c>
      <c r="CU231" s="32">
        <f>SUMIFS( $J229:CU229, $J228:CU228, "&gt;=" &amp; CU228 - $F227 + 1, $J228:CU228, "&lt;=" &amp; CU228) * CU230</f>
        <v>0</v>
      </c>
      <c r="CV231" s="32">
        <f>SUMIFS( $J229:CV229, $J228:CV228, "&gt;=" &amp; CV228 - $F227 + 1, $J228:CV228, "&lt;=" &amp; CV228) * CV230</f>
        <v>0</v>
      </c>
    </row>
    <row r="232" spans="1:100" outlineLevel="1" x14ac:dyDescent="0.2">
      <c r="A232" s="33"/>
      <c r="B232" s="79"/>
      <c r="C232" s="561"/>
      <c r="D232" s="60"/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  <c r="AY232" s="32"/>
      <c r="AZ232" s="32"/>
      <c r="BA232" s="32"/>
      <c r="BB232" s="32"/>
      <c r="BC232" s="32"/>
      <c r="BD232" s="32"/>
      <c r="BE232" s="32"/>
      <c r="BF232" s="32"/>
      <c r="BG232" s="32"/>
      <c r="BH232" s="32"/>
      <c r="BI232" s="32"/>
      <c r="BJ232" s="32"/>
      <c r="BK232" s="32"/>
      <c r="BL232" s="32"/>
      <c r="BM232" s="32"/>
      <c r="BN232" s="32"/>
      <c r="BO232" s="32"/>
      <c r="BP232" s="32"/>
      <c r="BQ232" s="32"/>
      <c r="BR232" s="32"/>
      <c r="BS232" s="32"/>
      <c r="BT232" s="32"/>
      <c r="BU232" s="32"/>
      <c r="BV232" s="32"/>
      <c r="BW232" s="32"/>
      <c r="BX232" s="32"/>
      <c r="BY232" s="32"/>
      <c r="BZ232" s="32"/>
      <c r="CA232" s="32"/>
      <c r="CB232" s="32"/>
      <c r="CC232" s="32"/>
      <c r="CD232" s="32"/>
      <c r="CE232" s="32"/>
      <c r="CF232" s="32"/>
      <c r="CG232" s="32"/>
      <c r="CH232" s="32"/>
      <c r="CI232" s="32"/>
      <c r="CJ232" s="32"/>
      <c r="CK232" s="32"/>
      <c r="CL232" s="32"/>
      <c r="CM232" s="32"/>
      <c r="CN232" s="32"/>
      <c r="CO232" s="32"/>
      <c r="CP232" s="32"/>
      <c r="CQ232" s="32"/>
      <c r="CR232" s="32"/>
      <c r="CS232" s="32"/>
      <c r="CT232" s="32"/>
      <c r="CU232" s="32"/>
      <c r="CV232" s="32"/>
    </row>
    <row r="233" spans="1:100" s="495" customFormat="1" outlineLevel="1" x14ac:dyDescent="0.2">
      <c r="A233" s="75"/>
      <c r="B233" s="75"/>
      <c r="C233" s="76"/>
      <c r="D233" s="638"/>
      <c r="E233" s="578" t="str">
        <f xml:space="preserve"> DSRA!E$12</f>
        <v>Periods in a year</v>
      </c>
      <c r="F233" s="578">
        <f xml:space="preserve"> DSRA!F$12</f>
        <v>2</v>
      </c>
      <c r="G233" s="578" t="str">
        <f xml:space="preserve"> DSRA!G$12</f>
        <v>periods</v>
      </c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77"/>
      <c r="AS233" s="77"/>
      <c r="AT233" s="77"/>
      <c r="AU233" s="77"/>
      <c r="AV233" s="77"/>
      <c r="AW233" s="77"/>
      <c r="AX233" s="77"/>
      <c r="AY233" s="77"/>
      <c r="AZ233" s="77"/>
      <c r="BA233" s="77"/>
      <c r="BB233" s="77"/>
      <c r="BC233" s="77"/>
      <c r="BD233" s="77"/>
      <c r="BE233" s="77"/>
      <c r="BF233" s="77"/>
      <c r="BG233" s="77"/>
      <c r="BH233" s="77"/>
      <c r="BI233" s="77"/>
      <c r="BJ233" s="77"/>
      <c r="BK233" s="77"/>
      <c r="BL233" s="77"/>
      <c r="BM233" s="77"/>
      <c r="BN233" s="77"/>
      <c r="BO233" s="77"/>
      <c r="BP233" s="77"/>
      <c r="BQ233" s="77"/>
      <c r="BR233" s="77"/>
      <c r="BS233" s="77"/>
      <c r="BT233" s="77"/>
      <c r="BU233" s="77"/>
      <c r="BV233" s="77"/>
      <c r="BW233" s="77"/>
      <c r="BX233" s="77"/>
      <c r="BY233" s="77"/>
      <c r="BZ233" s="77"/>
      <c r="CA233" s="77"/>
      <c r="CB233" s="77"/>
      <c r="CC233" s="77"/>
      <c r="CD233" s="77"/>
      <c r="CE233" s="77"/>
      <c r="CF233" s="77"/>
      <c r="CG233" s="77"/>
      <c r="CH233" s="77"/>
      <c r="CI233" s="77"/>
      <c r="CJ233" s="77"/>
      <c r="CK233" s="77"/>
      <c r="CL233" s="77"/>
      <c r="CM233" s="77"/>
      <c r="CN233" s="77"/>
      <c r="CO233" s="77"/>
      <c r="CP233" s="77"/>
      <c r="CQ233" s="77"/>
      <c r="CR233" s="77"/>
      <c r="CS233" s="77"/>
      <c r="CT233" s="77"/>
      <c r="CU233" s="77"/>
      <c r="CV233" s="77"/>
    </row>
    <row r="234" spans="1:100" s="495" customFormat="1" outlineLevel="1" x14ac:dyDescent="0.2">
      <c r="A234" s="75"/>
      <c r="B234" s="75"/>
      <c r="C234" s="76"/>
      <c r="D234" s="638"/>
      <c r="E234" s="576" t="str">
        <f xml:space="preserve"> Time!E$10</f>
        <v>Model column counter</v>
      </c>
      <c r="F234" s="576">
        <f xml:space="preserve"> Time!F$10</f>
        <v>0</v>
      </c>
      <c r="G234" s="576" t="str">
        <f xml:space="preserve"> Time!G$10</f>
        <v>counter</v>
      </c>
      <c r="H234" s="576">
        <f xml:space="preserve"> Time!H$10</f>
        <v>0</v>
      </c>
      <c r="I234" s="576">
        <f xml:space="preserve"> Time!I$10</f>
        <v>0</v>
      </c>
      <c r="J234" s="576">
        <f xml:space="preserve"> Time!J$10</f>
        <v>1</v>
      </c>
      <c r="K234" s="576">
        <f xml:space="preserve"> Time!K$10</f>
        <v>2</v>
      </c>
      <c r="L234" s="576">
        <f xml:space="preserve"> Time!L$10</f>
        <v>3</v>
      </c>
      <c r="M234" s="576">
        <f xml:space="preserve"> Time!M$10</f>
        <v>4</v>
      </c>
      <c r="N234" s="576">
        <f xml:space="preserve"> Time!N$10</f>
        <v>5</v>
      </c>
      <c r="O234" s="576">
        <f xml:space="preserve"> Time!O$10</f>
        <v>6</v>
      </c>
      <c r="P234" s="576">
        <f xml:space="preserve"> Time!P$10</f>
        <v>7</v>
      </c>
      <c r="Q234" s="576">
        <f xml:space="preserve"> Time!Q$10</f>
        <v>8</v>
      </c>
      <c r="R234" s="576">
        <f xml:space="preserve"> Time!R$10</f>
        <v>9</v>
      </c>
      <c r="S234" s="576">
        <f xml:space="preserve"> Time!S$10</f>
        <v>10</v>
      </c>
      <c r="T234" s="576">
        <f xml:space="preserve"> Time!T$10</f>
        <v>11</v>
      </c>
      <c r="U234" s="576">
        <f xml:space="preserve"> Time!U$10</f>
        <v>12</v>
      </c>
      <c r="V234" s="576">
        <f xml:space="preserve"> Time!V$10</f>
        <v>13</v>
      </c>
      <c r="W234" s="576">
        <f xml:space="preserve"> Time!W$10</f>
        <v>14</v>
      </c>
      <c r="X234" s="576">
        <f xml:space="preserve"> Time!X$10</f>
        <v>15</v>
      </c>
      <c r="Y234" s="576">
        <f xml:space="preserve"> Time!Y$10</f>
        <v>16</v>
      </c>
      <c r="Z234" s="576">
        <f xml:space="preserve"> Time!Z$10</f>
        <v>17</v>
      </c>
      <c r="AA234" s="576">
        <f xml:space="preserve"> Time!AA$10</f>
        <v>18</v>
      </c>
      <c r="AB234" s="576">
        <f xml:space="preserve"> Time!AB$10</f>
        <v>19</v>
      </c>
      <c r="AC234" s="576">
        <f xml:space="preserve"> Time!AC$10</f>
        <v>20</v>
      </c>
      <c r="AD234" s="576">
        <f xml:space="preserve"> Time!AD$10</f>
        <v>21</v>
      </c>
      <c r="AE234" s="576">
        <f xml:space="preserve"> Time!AE$10</f>
        <v>22</v>
      </c>
      <c r="AF234" s="576">
        <f xml:space="preserve"> Time!AF$10</f>
        <v>23</v>
      </c>
      <c r="AG234" s="576">
        <f xml:space="preserve"> Time!AG$10</f>
        <v>24</v>
      </c>
      <c r="AH234" s="576">
        <f xml:space="preserve"> Time!AH$10</f>
        <v>25</v>
      </c>
      <c r="AI234" s="576">
        <f xml:space="preserve"> Time!AI$10</f>
        <v>26</v>
      </c>
      <c r="AJ234" s="576">
        <f xml:space="preserve"> Time!AJ$10</f>
        <v>27</v>
      </c>
      <c r="AK234" s="576">
        <f xml:space="preserve"> Time!AK$10</f>
        <v>28</v>
      </c>
      <c r="AL234" s="576">
        <f xml:space="preserve"> Time!AL$10</f>
        <v>29</v>
      </c>
      <c r="AM234" s="576">
        <f xml:space="preserve"> Time!AM$10</f>
        <v>30</v>
      </c>
      <c r="AN234" s="576">
        <f xml:space="preserve"> Time!AN$10</f>
        <v>31</v>
      </c>
      <c r="AO234" s="576">
        <f xml:space="preserve"> Time!AO$10</f>
        <v>32</v>
      </c>
      <c r="AP234" s="576">
        <f xml:space="preserve"> Time!AP$10</f>
        <v>33</v>
      </c>
      <c r="AQ234" s="576">
        <f xml:space="preserve"> Time!AQ$10</f>
        <v>34</v>
      </c>
      <c r="AR234" s="576">
        <f xml:space="preserve"> Time!AR$10</f>
        <v>35</v>
      </c>
      <c r="AS234" s="576">
        <f xml:space="preserve"> Time!AS$10</f>
        <v>36</v>
      </c>
      <c r="AT234" s="576">
        <f xml:space="preserve"> Time!AT$10</f>
        <v>37</v>
      </c>
      <c r="AU234" s="576">
        <f xml:space="preserve"> Time!AU$10</f>
        <v>38</v>
      </c>
      <c r="AV234" s="576">
        <f xml:space="preserve"> Time!AV$10</f>
        <v>39</v>
      </c>
      <c r="AW234" s="576">
        <f xml:space="preserve"> Time!AW$10</f>
        <v>40</v>
      </c>
      <c r="AX234" s="576">
        <f xml:space="preserve"> Time!AX$10</f>
        <v>41</v>
      </c>
      <c r="AY234" s="576">
        <f xml:space="preserve"> Time!AY$10</f>
        <v>42</v>
      </c>
      <c r="AZ234" s="576">
        <f xml:space="preserve"> Time!AZ$10</f>
        <v>43</v>
      </c>
      <c r="BA234" s="576">
        <f xml:space="preserve"> Time!BA$10</f>
        <v>44</v>
      </c>
      <c r="BB234" s="576">
        <f xml:space="preserve"> Time!BB$10</f>
        <v>45</v>
      </c>
      <c r="BC234" s="576">
        <f xml:space="preserve"> Time!BC$10</f>
        <v>46</v>
      </c>
      <c r="BD234" s="576">
        <f xml:space="preserve"> Time!BD$10</f>
        <v>47</v>
      </c>
      <c r="BE234" s="576">
        <f xml:space="preserve"> Time!BE$10</f>
        <v>48</v>
      </c>
      <c r="BF234" s="576">
        <f xml:space="preserve"> Time!BF$10</f>
        <v>49</v>
      </c>
      <c r="BG234" s="576">
        <f xml:space="preserve"> Time!BG$10</f>
        <v>50</v>
      </c>
      <c r="BH234" s="576">
        <f xml:space="preserve"> Time!BH$10</f>
        <v>51</v>
      </c>
      <c r="BI234" s="576">
        <f xml:space="preserve"> Time!BI$10</f>
        <v>52</v>
      </c>
      <c r="BJ234" s="576">
        <f xml:space="preserve"> Time!BJ$10</f>
        <v>53</v>
      </c>
      <c r="BK234" s="576">
        <f xml:space="preserve"> Time!BK$10</f>
        <v>54</v>
      </c>
      <c r="BL234" s="576">
        <f xml:space="preserve"> Time!BL$10</f>
        <v>55</v>
      </c>
      <c r="BM234" s="576">
        <f xml:space="preserve"> Time!BM$10</f>
        <v>56</v>
      </c>
      <c r="BN234" s="576">
        <f xml:space="preserve"> Time!BN$10</f>
        <v>57</v>
      </c>
      <c r="BO234" s="576">
        <f xml:space="preserve"> Time!BO$10</f>
        <v>58</v>
      </c>
      <c r="BP234" s="576">
        <f xml:space="preserve"> Time!BP$10</f>
        <v>59</v>
      </c>
      <c r="BQ234" s="576">
        <f xml:space="preserve"> Time!BQ$10</f>
        <v>60</v>
      </c>
      <c r="BR234" s="576">
        <f xml:space="preserve"> Time!BR$10</f>
        <v>61</v>
      </c>
      <c r="BS234" s="576">
        <f xml:space="preserve"> Time!BS$10</f>
        <v>62</v>
      </c>
      <c r="BT234" s="576">
        <f xml:space="preserve"> Time!BT$10</f>
        <v>63</v>
      </c>
      <c r="BU234" s="576">
        <f xml:space="preserve"> Time!BU$10</f>
        <v>64</v>
      </c>
      <c r="BV234" s="576">
        <f xml:space="preserve"> Time!BV$10</f>
        <v>65</v>
      </c>
      <c r="BW234" s="576">
        <f xml:space="preserve"> Time!BW$10</f>
        <v>66</v>
      </c>
      <c r="BX234" s="576">
        <f xml:space="preserve"> Time!BX$10</f>
        <v>67</v>
      </c>
      <c r="BY234" s="576">
        <f xml:space="preserve"> Time!BY$10</f>
        <v>68</v>
      </c>
      <c r="BZ234" s="576">
        <f xml:space="preserve"> Time!BZ$10</f>
        <v>69</v>
      </c>
      <c r="CA234" s="576">
        <f xml:space="preserve"> Time!CA$10</f>
        <v>70</v>
      </c>
      <c r="CB234" s="576">
        <f xml:space="preserve"> Time!CB$10</f>
        <v>71</v>
      </c>
      <c r="CC234" s="576">
        <f xml:space="preserve"> Time!CC$10</f>
        <v>72</v>
      </c>
      <c r="CD234" s="576">
        <f xml:space="preserve"> Time!CD$10</f>
        <v>73</v>
      </c>
      <c r="CE234" s="576">
        <f xml:space="preserve"> Time!CE$10</f>
        <v>74</v>
      </c>
      <c r="CF234" s="576">
        <f xml:space="preserve"> Time!CF$10</f>
        <v>75</v>
      </c>
      <c r="CG234" s="576">
        <f xml:space="preserve"> Time!CG$10</f>
        <v>76</v>
      </c>
      <c r="CH234" s="576">
        <f xml:space="preserve"> Time!CH$10</f>
        <v>77</v>
      </c>
      <c r="CI234" s="576">
        <f xml:space="preserve"> Time!CI$10</f>
        <v>78</v>
      </c>
      <c r="CJ234" s="576">
        <f xml:space="preserve"> Time!CJ$10</f>
        <v>79</v>
      </c>
      <c r="CK234" s="576">
        <f xml:space="preserve"> Time!CK$10</f>
        <v>80</v>
      </c>
      <c r="CL234" s="576">
        <f xml:space="preserve"> Time!CL$10</f>
        <v>81</v>
      </c>
      <c r="CM234" s="576">
        <f xml:space="preserve"> Time!CM$10</f>
        <v>82</v>
      </c>
      <c r="CN234" s="576">
        <f xml:space="preserve"> Time!CN$10</f>
        <v>83</v>
      </c>
      <c r="CO234" s="576">
        <f xml:space="preserve"> Time!CO$10</f>
        <v>84</v>
      </c>
      <c r="CP234" s="576">
        <f xml:space="preserve"> Time!CP$10</f>
        <v>85</v>
      </c>
      <c r="CQ234" s="576">
        <f xml:space="preserve"> Time!CQ$10</f>
        <v>86</v>
      </c>
      <c r="CR234" s="576">
        <f xml:space="preserve"> Time!CR$10</f>
        <v>87</v>
      </c>
      <c r="CS234" s="576">
        <f xml:space="preserve"> Time!CS$10</f>
        <v>88</v>
      </c>
      <c r="CT234" s="576">
        <f xml:space="preserve"> Time!CT$10</f>
        <v>89</v>
      </c>
      <c r="CU234" s="576">
        <f xml:space="preserve"> Time!CU$10</f>
        <v>90</v>
      </c>
      <c r="CV234" s="576">
        <f xml:space="preserve"> Time!CV$10</f>
        <v>91</v>
      </c>
    </row>
    <row r="235" spans="1:100" s="495" customFormat="1" outlineLevel="1" x14ac:dyDescent="0.2">
      <c r="A235" s="75"/>
      <c r="B235" s="75"/>
      <c r="C235" s="76"/>
      <c r="D235" s="638"/>
      <c r="E235" s="77" t="str">
        <f xml:space="preserve"> 'FS Semi_P99'!E$63</f>
        <v>Cashflow available for senior debt - P99</v>
      </c>
      <c r="F235" s="77">
        <f xml:space="preserve"> 'FS Semi_P99'!F$63</f>
        <v>0</v>
      </c>
      <c r="G235" s="77" t="str">
        <f xml:space="preserve"> 'FS Semi_P99'!G$63</f>
        <v>$ 000s</v>
      </c>
      <c r="H235" s="77">
        <f ca="1" xml:space="preserve"> 'FS Semi_P99'!H$63</f>
        <v>440213.89832674386</v>
      </c>
      <c r="I235" s="77">
        <f xml:space="preserve"> 'FS Semi_P99'!I$63</f>
        <v>0</v>
      </c>
      <c r="J235" s="77">
        <f ca="1" xml:space="preserve"> 'FS Semi_P99'!J$63</f>
        <v>-1.5558398445136845E-6</v>
      </c>
      <c r="K235" s="77">
        <f ca="1" xml:space="preserve"> 'FS Semi_P99'!K$63</f>
        <v>-1.2466658517951146E-5</v>
      </c>
      <c r="L235" s="77">
        <f ca="1" xml:space="preserve"> 'FS Semi_P99'!L$63</f>
        <v>-1.6754362150095403E-5</v>
      </c>
      <c r="M235" s="77">
        <f ca="1" xml:space="preserve"> 'FS Semi_P99'!M$63</f>
        <v>-1.9422688637860119E-5</v>
      </c>
      <c r="N235" s="77">
        <f ca="1" xml:space="preserve"> 'FS Semi_P99'!N$63</f>
        <v>-3.9676149608567357E-3</v>
      </c>
      <c r="O235" s="77">
        <f ca="1" xml:space="preserve"> 'FS Semi_P99'!O$63</f>
        <v>14020.372995316127</v>
      </c>
      <c r="P235" s="77">
        <f ca="1" xml:space="preserve"> 'FS Semi_P99'!P$63</f>
        <v>12030.372995316129</v>
      </c>
      <c r="Q235" s="77">
        <f ca="1" xml:space="preserve"> 'FS Semi_P99'!Q$63</f>
        <v>11993.784267611052</v>
      </c>
      <c r="R235" s="77">
        <f ca="1" xml:space="preserve"> 'FS Semi_P99'!R$63</f>
        <v>11917.385541845897</v>
      </c>
      <c r="S235" s="77">
        <f ca="1" xml:space="preserve"> 'FS Semi_P99'!S$63</f>
        <v>11879.155257275261</v>
      </c>
      <c r="T235" s="77">
        <f ca="1" xml:space="preserve"> 'FS Semi_P99'!T$63</f>
        <v>11802.831368568357</v>
      </c>
      <c r="U235" s="77">
        <f ca="1" xml:space="preserve"> 'FS Semi_P99'!U$63</f>
        <v>11762.928287235867</v>
      </c>
      <c r="V235" s="77">
        <f ca="1" xml:space="preserve"> 'FS Semi_P99'!V$63</f>
        <v>11686.677528771314</v>
      </c>
      <c r="W235" s="77">
        <f ca="1" xml:space="preserve"> 'FS Semi_P99'!W$63</f>
        <v>11629.105341614206</v>
      </c>
      <c r="X235" s="77">
        <f ca="1" xml:space="preserve"> 'FS Semi_P99'!X$63</f>
        <v>11568.890415912327</v>
      </c>
      <c r="Y235" s="77">
        <f ca="1" xml:space="preserve"> 'FS Semi_P99'!Y$63</f>
        <v>11525.545480627239</v>
      </c>
      <c r="Z235" s="77">
        <f ca="1" xml:space="preserve"> 'FS Semi_P99'!Z$63</f>
        <v>11449.435750349998</v>
      </c>
      <c r="AA235" s="77">
        <f ca="1" xml:space="preserve"> 'FS Semi_P99'!AA$63</f>
        <v>11404.320455503168</v>
      </c>
      <c r="AB235" s="77">
        <f ca="1" xml:space="preserve"> 'FS Semi_P99'!AB$63</f>
        <v>11328.278565808636</v>
      </c>
      <c r="AC235" s="77">
        <f ca="1" xml:space="preserve"> 'FS Semi_P99'!AC$63</f>
        <v>11281.359066246368</v>
      </c>
      <c r="AD235" s="77">
        <f ca="1" xml:space="preserve"> 'FS Semi_P99'!AD$63</f>
        <v>11205.38319557111</v>
      </c>
      <c r="AE235" s="77">
        <f ca="1" xml:space="preserve"> 'FS Semi_P99'!AE$63</f>
        <v>11141.317990629093</v>
      </c>
      <c r="AF235" s="77">
        <f ca="1" xml:space="preserve"> 'FS Semi_P99'!AF$63</f>
        <v>11080.713258394269</v>
      </c>
      <c r="AG235" s="77">
        <f ca="1" xml:space="preserve"> 'FS Semi_P99'!AG$63</f>
        <v>11030.081062769019</v>
      </c>
      <c r="AH235" s="77">
        <f ca="1" xml:space="preserve"> 'FS Semi_P99'!AH$63</f>
        <v>10954.231644141453</v>
      </c>
      <c r="AI235" s="77">
        <f ca="1" xml:space="preserve"> 'FS Semi_P99'!AI$63</f>
        <v>10901.689546931615</v>
      </c>
      <c r="AJ235" s="77">
        <f ca="1" xml:space="preserve"> 'FS Semi_P99'!AJ$63</f>
        <v>10825.90049912633</v>
      </c>
      <c r="AK235" s="77">
        <f ca="1" xml:space="preserve"> 'FS Semi_P99'!AK$63</f>
        <v>10771.411834146054</v>
      </c>
      <c r="AL235" s="77">
        <f ca="1" xml:space="preserve"> 'FS Semi_P99'!AL$63</f>
        <v>10695.681211162373</v>
      </c>
      <c r="AM235" s="77">
        <f ca="1" xml:space="preserve"> 'FS Semi_P99'!AM$63</f>
        <v>10624.597871946047</v>
      </c>
      <c r="AN235" s="77">
        <f ca="1" xml:space="preserve"> 'FS Semi_P99'!AN$63</f>
        <v>10563.534394311991</v>
      </c>
      <c r="AO235" s="77">
        <f ca="1" xml:space="preserve"> 'FS Semi_P99'!AO$63</f>
        <v>10505.039616202108</v>
      </c>
      <c r="AP235" s="77">
        <f ca="1" xml:space="preserve"> 'FS Semi_P99'!AP$63</f>
        <v>10429.419873329298</v>
      </c>
      <c r="AQ235" s="77">
        <f ca="1" xml:space="preserve"> 'FS Semi_P99'!AQ$63</f>
        <v>10368.864022823194</v>
      </c>
      <c r="AR235" s="77">
        <f ca="1" xml:space="preserve"> 'FS Semi_P99'!AR$63</f>
        <v>10293.296667790339</v>
      </c>
      <c r="AS235" s="77">
        <f ca="1" xml:space="preserve"> 'FS Semi_P99'!AS$63</f>
        <v>10230.640024023749</v>
      </c>
      <c r="AT235" s="77">
        <f ca="1" xml:space="preserve"> 'FS Semi_P99'!AT$63</f>
        <v>10155.122975904564</v>
      </c>
      <c r="AU235" s="77">
        <f ca="1" xml:space="preserve"> 'FS Semi_P99'!AU$63</f>
        <v>10076.452739058863</v>
      </c>
      <c r="AV235" s="77">
        <f ca="1" xml:space="preserve"> 'FS Semi_P99'!AV$63</f>
        <v>10014.856158001163</v>
      </c>
      <c r="AW235" s="77">
        <f ca="1" xml:space="preserve"> 'FS Semi_P99'!AW$63</f>
        <v>9947.8755393576703</v>
      </c>
      <c r="AX235" s="77">
        <f ca="1" xml:space="preserve"> 'FS Semi_P99'!AX$63</f>
        <v>9872.4527196835443</v>
      </c>
      <c r="AY235" s="77">
        <f ca="1" xml:space="preserve"> 'FS Semi_P99'!AY$63</f>
        <v>9803.2472659130381</v>
      </c>
      <c r="AZ235" s="77">
        <f ca="1" xml:space="preserve"> 'FS Semi_P99'!AZ$63</f>
        <v>9727.8682946455738</v>
      </c>
      <c r="BA235" s="77">
        <f ca="1" xml:space="preserve"> 'FS Semi_P99'!BA$63</f>
        <v>9656.3949772083179</v>
      </c>
      <c r="BB235" s="77">
        <f ca="1" xml:space="preserve"> 'FS Semi_P99'!BB$63</f>
        <v>12057.385643485566</v>
      </c>
      <c r="BC235" s="77">
        <f ca="1" xml:space="preserve"> 'FS Semi_P99'!BC$63</f>
        <v>0</v>
      </c>
      <c r="BD235" s="77">
        <f ca="1" xml:space="preserve"> 'FS Semi_P99'!BD$63</f>
        <v>0</v>
      </c>
      <c r="BE235" s="77">
        <f ca="1" xml:space="preserve"> 'FS Semi_P99'!BE$63</f>
        <v>0</v>
      </c>
      <c r="BF235" s="77">
        <f ca="1" xml:space="preserve"> 'FS Semi_P99'!BF$63</f>
        <v>0</v>
      </c>
      <c r="BG235" s="77">
        <f ca="1" xml:space="preserve"> 'FS Semi_P99'!BG$63</f>
        <v>0</v>
      </c>
      <c r="BH235" s="77">
        <f ca="1" xml:space="preserve"> 'FS Semi_P99'!BH$63</f>
        <v>0</v>
      </c>
      <c r="BI235" s="77">
        <f ca="1" xml:space="preserve"> 'FS Semi_P99'!BI$63</f>
        <v>0</v>
      </c>
      <c r="BJ235" s="77">
        <f ca="1" xml:space="preserve"> 'FS Semi_P99'!BJ$63</f>
        <v>0</v>
      </c>
      <c r="BK235" s="77">
        <f ca="1" xml:space="preserve"> 'FS Semi_P99'!BK$63</f>
        <v>0</v>
      </c>
      <c r="BL235" s="77">
        <f ca="1" xml:space="preserve"> 'FS Semi_P99'!BL$63</f>
        <v>0</v>
      </c>
      <c r="BM235" s="77">
        <f ca="1" xml:space="preserve"> 'FS Semi_P99'!BM$63</f>
        <v>0</v>
      </c>
      <c r="BN235" s="77">
        <f ca="1" xml:space="preserve"> 'FS Semi_P99'!BN$63</f>
        <v>0</v>
      </c>
      <c r="BO235" s="77">
        <f ca="1" xml:space="preserve"> 'FS Semi_P99'!BO$63</f>
        <v>0</v>
      </c>
      <c r="BP235" s="77">
        <f ca="1" xml:space="preserve"> 'FS Semi_P99'!BP$63</f>
        <v>0</v>
      </c>
      <c r="BQ235" s="77">
        <f ca="1" xml:space="preserve"> 'FS Semi_P99'!BQ$63</f>
        <v>0</v>
      </c>
      <c r="BR235" s="77">
        <f ca="1" xml:space="preserve"> 'FS Semi_P99'!BR$63</f>
        <v>0</v>
      </c>
      <c r="BS235" s="77">
        <f ca="1" xml:space="preserve"> 'FS Semi_P99'!BS$63</f>
        <v>0</v>
      </c>
      <c r="BT235" s="77">
        <f ca="1" xml:space="preserve"> 'FS Semi_P99'!BT$63</f>
        <v>0</v>
      </c>
      <c r="BU235" s="77">
        <f ca="1" xml:space="preserve"> 'FS Semi_P99'!BU$63</f>
        <v>0</v>
      </c>
      <c r="BV235" s="77">
        <f ca="1" xml:space="preserve"> 'FS Semi_P99'!BV$63</f>
        <v>0</v>
      </c>
      <c r="BW235" s="77">
        <f ca="1" xml:space="preserve"> 'FS Semi_P99'!BW$63</f>
        <v>0</v>
      </c>
      <c r="BX235" s="77">
        <f ca="1" xml:space="preserve"> 'FS Semi_P99'!BX$63</f>
        <v>0</v>
      </c>
      <c r="BY235" s="77">
        <f ca="1" xml:space="preserve"> 'FS Semi_P99'!BY$63</f>
        <v>0</v>
      </c>
      <c r="BZ235" s="77">
        <f ca="1" xml:space="preserve"> 'FS Semi_P99'!BZ$63</f>
        <v>0</v>
      </c>
      <c r="CA235" s="77">
        <f ca="1" xml:space="preserve"> 'FS Semi_P99'!CA$63</f>
        <v>0</v>
      </c>
      <c r="CB235" s="77">
        <f ca="1" xml:space="preserve"> 'FS Semi_P99'!CB$63</f>
        <v>0</v>
      </c>
      <c r="CC235" s="77">
        <f ca="1" xml:space="preserve"> 'FS Semi_P99'!CC$63</f>
        <v>0</v>
      </c>
      <c r="CD235" s="77">
        <f ca="1" xml:space="preserve"> 'FS Semi_P99'!CD$63</f>
        <v>0</v>
      </c>
      <c r="CE235" s="77">
        <f ca="1" xml:space="preserve"> 'FS Semi_P99'!CE$63</f>
        <v>0</v>
      </c>
      <c r="CF235" s="77">
        <f ca="1" xml:space="preserve"> 'FS Semi_P99'!CF$63</f>
        <v>0</v>
      </c>
      <c r="CG235" s="77">
        <f ca="1" xml:space="preserve"> 'FS Semi_P99'!CG$63</f>
        <v>0</v>
      </c>
      <c r="CH235" s="77">
        <f ca="1" xml:space="preserve"> 'FS Semi_P99'!CH$63</f>
        <v>0</v>
      </c>
      <c r="CI235" s="77">
        <f ca="1" xml:space="preserve"> 'FS Semi_P99'!CI$63</f>
        <v>0</v>
      </c>
      <c r="CJ235" s="77">
        <f ca="1" xml:space="preserve"> 'FS Semi_P99'!CJ$63</f>
        <v>0</v>
      </c>
      <c r="CK235" s="77">
        <f ca="1" xml:space="preserve"> 'FS Semi_P99'!CK$63</f>
        <v>0</v>
      </c>
      <c r="CL235" s="77">
        <f ca="1" xml:space="preserve"> 'FS Semi_P99'!CL$63</f>
        <v>0</v>
      </c>
      <c r="CM235" s="77">
        <f ca="1" xml:space="preserve"> 'FS Semi_P99'!CM$63</f>
        <v>0</v>
      </c>
      <c r="CN235" s="77">
        <f ca="1" xml:space="preserve"> 'FS Semi_P99'!CN$63</f>
        <v>0</v>
      </c>
      <c r="CO235" s="77">
        <f ca="1" xml:space="preserve"> 'FS Semi_P99'!CO$63</f>
        <v>0</v>
      </c>
      <c r="CP235" s="77">
        <f ca="1" xml:space="preserve"> 'FS Semi_P99'!CP$63</f>
        <v>0</v>
      </c>
      <c r="CQ235" s="77">
        <f ca="1" xml:space="preserve"> 'FS Semi_P99'!CQ$63</f>
        <v>0</v>
      </c>
      <c r="CR235" s="77">
        <f ca="1" xml:space="preserve"> 'FS Semi_P99'!CR$63</f>
        <v>0</v>
      </c>
      <c r="CS235" s="77">
        <f ca="1" xml:space="preserve"> 'FS Semi_P99'!CS$63</f>
        <v>0</v>
      </c>
      <c r="CT235" s="77">
        <f ca="1" xml:space="preserve"> 'FS Semi_P99'!CT$63</f>
        <v>0</v>
      </c>
      <c r="CU235" s="77">
        <f ca="1" xml:space="preserve"> 'FS Semi_P99'!CU$63</f>
        <v>0</v>
      </c>
      <c r="CV235" s="77">
        <f ca="1" xml:space="preserve"> 'FS Semi_P99'!CV$63</f>
        <v>0</v>
      </c>
    </row>
    <row r="236" spans="1:100" outlineLevel="1" x14ac:dyDescent="0.2">
      <c r="A236" s="85"/>
      <c r="B236" s="85"/>
      <c r="C236" s="86"/>
      <c r="D236" s="87"/>
      <c r="E236" s="189" t="str">
        <f xml:space="preserve"> Time!E$214</f>
        <v>Senior debt repayment period flag</v>
      </c>
      <c r="F236" s="189">
        <f xml:space="preserve"> Time!F$214</f>
        <v>0</v>
      </c>
      <c r="G236" s="189" t="str">
        <f xml:space="preserve"> Time!G$214</f>
        <v>flag</v>
      </c>
      <c r="H236" s="189">
        <f xml:space="preserve"> Time!H$214</f>
        <v>34</v>
      </c>
      <c r="I236" s="189">
        <f xml:space="preserve"> Time!I$214</f>
        <v>0</v>
      </c>
      <c r="J236" s="189">
        <f xml:space="preserve"> Time!J$214</f>
        <v>0</v>
      </c>
      <c r="K236" s="189">
        <f xml:space="preserve"> Time!K$214</f>
        <v>0</v>
      </c>
      <c r="L236" s="189">
        <f xml:space="preserve"> Time!L$214</f>
        <v>0</v>
      </c>
      <c r="M236" s="189">
        <f xml:space="preserve"> Time!M$214</f>
        <v>0</v>
      </c>
      <c r="N236" s="189">
        <f xml:space="preserve"> Time!N$214</f>
        <v>0</v>
      </c>
      <c r="O236" s="189">
        <f xml:space="preserve"> Time!O$214</f>
        <v>1</v>
      </c>
      <c r="P236" s="189">
        <f xml:space="preserve"> Time!P$214</f>
        <v>1</v>
      </c>
      <c r="Q236" s="189">
        <f xml:space="preserve"> Time!Q$214</f>
        <v>1</v>
      </c>
      <c r="R236" s="189">
        <f xml:space="preserve"> Time!R$214</f>
        <v>1</v>
      </c>
      <c r="S236" s="189">
        <f xml:space="preserve"> Time!S$214</f>
        <v>1</v>
      </c>
      <c r="T236" s="189">
        <f xml:space="preserve"> Time!T$214</f>
        <v>1</v>
      </c>
      <c r="U236" s="189">
        <f xml:space="preserve"> Time!U$214</f>
        <v>1</v>
      </c>
      <c r="V236" s="189">
        <f xml:space="preserve"> Time!V$214</f>
        <v>1</v>
      </c>
      <c r="W236" s="189">
        <f xml:space="preserve"> Time!W$214</f>
        <v>1</v>
      </c>
      <c r="X236" s="189">
        <f xml:space="preserve"> Time!X$214</f>
        <v>1</v>
      </c>
      <c r="Y236" s="189">
        <f xml:space="preserve"> Time!Y$214</f>
        <v>1</v>
      </c>
      <c r="Z236" s="189">
        <f xml:space="preserve"> Time!Z$214</f>
        <v>1</v>
      </c>
      <c r="AA236" s="189">
        <f xml:space="preserve"> Time!AA$214</f>
        <v>1</v>
      </c>
      <c r="AB236" s="189">
        <f xml:space="preserve"> Time!AB$214</f>
        <v>1</v>
      </c>
      <c r="AC236" s="189">
        <f xml:space="preserve"> Time!AC$214</f>
        <v>1</v>
      </c>
      <c r="AD236" s="189">
        <f xml:space="preserve"> Time!AD$214</f>
        <v>1</v>
      </c>
      <c r="AE236" s="189">
        <f xml:space="preserve"> Time!AE$214</f>
        <v>1</v>
      </c>
      <c r="AF236" s="189">
        <f xml:space="preserve"> Time!AF$214</f>
        <v>1</v>
      </c>
      <c r="AG236" s="189">
        <f xml:space="preserve"> Time!AG$214</f>
        <v>1</v>
      </c>
      <c r="AH236" s="189">
        <f xml:space="preserve"> Time!AH$214</f>
        <v>1</v>
      </c>
      <c r="AI236" s="189">
        <f xml:space="preserve"> Time!AI$214</f>
        <v>1</v>
      </c>
      <c r="AJ236" s="189">
        <f xml:space="preserve"> Time!AJ$214</f>
        <v>1</v>
      </c>
      <c r="AK236" s="189">
        <f xml:space="preserve"> Time!AK$214</f>
        <v>1</v>
      </c>
      <c r="AL236" s="189">
        <f xml:space="preserve"> Time!AL$214</f>
        <v>1</v>
      </c>
      <c r="AM236" s="189">
        <f xml:space="preserve"> Time!AM$214</f>
        <v>1</v>
      </c>
      <c r="AN236" s="189">
        <f xml:space="preserve"> Time!AN$214</f>
        <v>1</v>
      </c>
      <c r="AO236" s="189">
        <f xml:space="preserve"> Time!AO$214</f>
        <v>1</v>
      </c>
      <c r="AP236" s="189">
        <f xml:space="preserve"> Time!AP$214</f>
        <v>1</v>
      </c>
      <c r="AQ236" s="189">
        <f xml:space="preserve"> Time!AQ$214</f>
        <v>1</v>
      </c>
      <c r="AR236" s="189">
        <f xml:space="preserve"> Time!AR$214</f>
        <v>1</v>
      </c>
      <c r="AS236" s="189">
        <f xml:space="preserve"> Time!AS$214</f>
        <v>1</v>
      </c>
      <c r="AT236" s="189">
        <f xml:space="preserve"> Time!AT$214</f>
        <v>1</v>
      </c>
      <c r="AU236" s="189">
        <f xml:space="preserve"> Time!AU$214</f>
        <v>1</v>
      </c>
      <c r="AV236" s="189">
        <f xml:space="preserve"> Time!AV$214</f>
        <v>1</v>
      </c>
      <c r="AW236" s="189">
        <f xml:space="preserve"> Time!AW$214</f>
        <v>0</v>
      </c>
      <c r="AX236" s="189">
        <f xml:space="preserve"> Time!AX$214</f>
        <v>0</v>
      </c>
      <c r="AY236" s="189">
        <f xml:space="preserve"> Time!AY$214</f>
        <v>0</v>
      </c>
      <c r="AZ236" s="189">
        <f xml:space="preserve"> Time!AZ$214</f>
        <v>0</v>
      </c>
      <c r="BA236" s="189">
        <f xml:space="preserve"> Time!BA$214</f>
        <v>0</v>
      </c>
      <c r="BB236" s="189">
        <f xml:space="preserve"> Time!BB$214</f>
        <v>0</v>
      </c>
      <c r="BC236" s="189">
        <f xml:space="preserve"> Time!BC$214</f>
        <v>0</v>
      </c>
      <c r="BD236" s="189">
        <f xml:space="preserve"> Time!BD$214</f>
        <v>0</v>
      </c>
      <c r="BE236" s="189">
        <f xml:space="preserve"> Time!BE$214</f>
        <v>0</v>
      </c>
      <c r="BF236" s="189">
        <f xml:space="preserve"> Time!BF$214</f>
        <v>0</v>
      </c>
      <c r="BG236" s="189">
        <f xml:space="preserve"> Time!BG$214</f>
        <v>0</v>
      </c>
      <c r="BH236" s="189">
        <f xml:space="preserve"> Time!BH$214</f>
        <v>0</v>
      </c>
      <c r="BI236" s="189">
        <f xml:space="preserve"> Time!BI$214</f>
        <v>0</v>
      </c>
      <c r="BJ236" s="189">
        <f xml:space="preserve"> Time!BJ$214</f>
        <v>0</v>
      </c>
      <c r="BK236" s="189">
        <f xml:space="preserve"> Time!BK$214</f>
        <v>0</v>
      </c>
      <c r="BL236" s="189">
        <f xml:space="preserve"> Time!BL$214</f>
        <v>0</v>
      </c>
      <c r="BM236" s="189">
        <f xml:space="preserve"> Time!BM$214</f>
        <v>0</v>
      </c>
      <c r="BN236" s="189">
        <f xml:space="preserve"> Time!BN$214</f>
        <v>0</v>
      </c>
      <c r="BO236" s="189">
        <f xml:space="preserve"> Time!BO$214</f>
        <v>0</v>
      </c>
      <c r="BP236" s="189">
        <f xml:space="preserve"> Time!BP$214</f>
        <v>0</v>
      </c>
      <c r="BQ236" s="189">
        <f xml:space="preserve"> Time!BQ$214</f>
        <v>0</v>
      </c>
      <c r="BR236" s="189">
        <f xml:space="preserve"> Time!BR$214</f>
        <v>0</v>
      </c>
      <c r="BS236" s="189">
        <f xml:space="preserve"> Time!BS$214</f>
        <v>0</v>
      </c>
      <c r="BT236" s="189">
        <f xml:space="preserve"> Time!BT$214</f>
        <v>0</v>
      </c>
      <c r="BU236" s="189">
        <f xml:space="preserve"> Time!BU$214</f>
        <v>0</v>
      </c>
      <c r="BV236" s="189">
        <f xml:space="preserve"> Time!BV$214</f>
        <v>0</v>
      </c>
      <c r="BW236" s="189">
        <f xml:space="preserve"> Time!BW$214</f>
        <v>0</v>
      </c>
      <c r="BX236" s="189">
        <f xml:space="preserve"> Time!BX$214</f>
        <v>0</v>
      </c>
      <c r="BY236" s="189">
        <f xml:space="preserve"> Time!BY$214</f>
        <v>0</v>
      </c>
      <c r="BZ236" s="189">
        <f xml:space="preserve"> Time!BZ$214</f>
        <v>0</v>
      </c>
      <c r="CA236" s="189">
        <f xml:space="preserve"> Time!CA$214</f>
        <v>0</v>
      </c>
      <c r="CB236" s="189">
        <f xml:space="preserve"> Time!CB$214</f>
        <v>0</v>
      </c>
      <c r="CC236" s="189">
        <f xml:space="preserve"> Time!CC$214</f>
        <v>0</v>
      </c>
      <c r="CD236" s="189">
        <f xml:space="preserve"> Time!CD$214</f>
        <v>0</v>
      </c>
      <c r="CE236" s="189">
        <f xml:space="preserve"> Time!CE$214</f>
        <v>0</v>
      </c>
      <c r="CF236" s="189">
        <f xml:space="preserve"> Time!CF$214</f>
        <v>0</v>
      </c>
      <c r="CG236" s="189">
        <f xml:space="preserve"> Time!CG$214</f>
        <v>0</v>
      </c>
      <c r="CH236" s="189">
        <f xml:space="preserve"> Time!CH$214</f>
        <v>0</v>
      </c>
      <c r="CI236" s="189">
        <f xml:space="preserve"> Time!CI$214</f>
        <v>0</v>
      </c>
      <c r="CJ236" s="189">
        <f xml:space="preserve"> Time!CJ$214</f>
        <v>0</v>
      </c>
      <c r="CK236" s="189">
        <f xml:space="preserve"> Time!CK$214</f>
        <v>0</v>
      </c>
      <c r="CL236" s="189">
        <f xml:space="preserve"> Time!CL$214</f>
        <v>0</v>
      </c>
      <c r="CM236" s="189">
        <f xml:space="preserve"> Time!CM$214</f>
        <v>0</v>
      </c>
      <c r="CN236" s="189">
        <f xml:space="preserve"> Time!CN$214</f>
        <v>0</v>
      </c>
      <c r="CO236" s="189">
        <f xml:space="preserve"> Time!CO$214</f>
        <v>0</v>
      </c>
      <c r="CP236" s="189">
        <f xml:space="preserve"> Time!CP$214</f>
        <v>0</v>
      </c>
      <c r="CQ236" s="189">
        <f xml:space="preserve"> Time!CQ$214</f>
        <v>0</v>
      </c>
      <c r="CR236" s="189">
        <f xml:space="preserve"> Time!CR$214</f>
        <v>0</v>
      </c>
      <c r="CS236" s="189">
        <f xml:space="preserve"> Time!CS$214</f>
        <v>0</v>
      </c>
      <c r="CT236" s="189">
        <f xml:space="preserve"> Time!CT$214</f>
        <v>0</v>
      </c>
      <c r="CU236" s="189">
        <f xml:space="preserve"> Time!CU$214</f>
        <v>0</v>
      </c>
      <c r="CV236" s="189">
        <f xml:space="preserve"> Time!CV$214</f>
        <v>0</v>
      </c>
    </row>
    <row r="237" spans="1:100" outlineLevel="1" x14ac:dyDescent="0.2">
      <c r="A237" s="33"/>
      <c r="B237" s="79"/>
      <c r="C237" s="561"/>
      <c r="D237" s="60"/>
      <c r="E237" s="32" t="s">
        <v>1262</v>
      </c>
      <c r="F237" s="32"/>
      <c r="G237" s="32" t="str">
        <f xml:space="preserve"> SMU</f>
        <v>$ 000s</v>
      </c>
      <c r="H237" s="32"/>
      <c r="I237" s="32"/>
      <c r="J237" s="32">
        <f ca="1">SUMIFS( $J235:J235, $J234:J234, "&gt;=" &amp; J234 - $F233 + 1, $J234:J234, "&lt;=" &amp; J234) * J236</f>
        <v>0</v>
      </c>
      <c r="K237" s="32">
        <f ca="1">SUMIFS( $J235:K235, $J234:K234, "&gt;=" &amp; K234 - $F233 + 1, $J234:K234, "&lt;=" &amp; K234) * K236</f>
        <v>0</v>
      </c>
      <c r="L237" s="32">
        <f ca="1">SUMIFS( $J235:L235, $J234:L234, "&gt;=" &amp; L234 - $F233 + 1, $J234:L234, "&lt;=" &amp; L234) * L236</f>
        <v>0</v>
      </c>
      <c r="M237" s="32">
        <f ca="1">SUMIFS( $J235:M235, $J234:M234, "&gt;=" &amp; M234 - $F233 + 1, $J234:M234, "&lt;=" &amp; M234) * M236</f>
        <v>0</v>
      </c>
      <c r="N237" s="32">
        <f ca="1">SUMIFS( $J235:N235, $J234:N234, "&gt;=" &amp; N234 - $F233 + 1, $J234:N234, "&lt;=" &amp; N234) * N236</f>
        <v>0</v>
      </c>
      <c r="O237" s="32">
        <f ca="1">SUMIFS( $J235:O235, $J234:O234, "&gt;=" &amp; O234 - $F233 + 1, $J234:O234, "&lt;=" &amp; O234) * O236</f>
        <v>14020.369027701166</v>
      </c>
      <c r="P237" s="32">
        <f ca="1">SUMIFS( $J235:P235, $J234:P234, "&gt;=" &amp; P234 - $F233 + 1, $J234:P234, "&lt;=" &amp; P234) * P236</f>
        <v>26050.745990632255</v>
      </c>
      <c r="Q237" s="32">
        <f ca="1">SUMIFS( $J235:Q235, $J234:Q234, "&gt;=" &amp; Q234 - $F233 + 1, $J234:Q234, "&lt;=" &amp; Q234) * Q236</f>
        <v>24024.157262927183</v>
      </c>
      <c r="R237" s="32">
        <f ca="1">SUMIFS( $J235:R235, $J234:R234, "&gt;=" &amp; R234 - $F233 + 1, $J234:R234, "&lt;=" &amp; R234) * R236</f>
        <v>23911.169809456951</v>
      </c>
      <c r="S237" s="32">
        <f ca="1">SUMIFS( $J235:S235, $J234:S234, "&gt;=" &amp; S234 - $F233 + 1, $J234:S234, "&lt;=" &amp; S234) * S236</f>
        <v>23796.540799121158</v>
      </c>
      <c r="T237" s="32">
        <f ca="1">SUMIFS( $J235:T235, $J234:T234, "&gt;=" &amp; T234 - $F233 + 1, $J234:T234, "&lt;=" &amp; T234) * T236</f>
        <v>23681.986625843616</v>
      </c>
      <c r="U237" s="32">
        <f ca="1">SUMIFS( $J235:U235, $J234:U234, "&gt;=" &amp; U234 - $F233 + 1, $J234:U234, "&lt;=" &amp; U234) * U236</f>
        <v>23565.759655804224</v>
      </c>
      <c r="V237" s="32">
        <f ca="1">SUMIFS( $J235:V235, $J234:V234, "&gt;=" &amp; V234 - $F233 + 1, $J234:V234, "&lt;=" &amp; V234) * V236</f>
        <v>23449.605816007181</v>
      </c>
      <c r="W237" s="32">
        <f ca="1">SUMIFS( $J235:W235, $J234:W234, "&gt;=" &amp; W234 - $F233 + 1, $J234:W234, "&lt;=" &amp; W234) * W236</f>
        <v>23315.782870385519</v>
      </c>
      <c r="X237" s="32">
        <f ca="1">SUMIFS( $J235:X235, $J234:X234, "&gt;=" &amp; X234 - $F233 + 1, $J234:X234, "&lt;=" &amp; X234) * X236</f>
        <v>23197.995757526533</v>
      </c>
      <c r="Y237" s="32">
        <f ca="1">SUMIFS( $J235:Y235, $J234:Y234, "&gt;=" &amp; Y234 - $F233 + 1, $J234:Y234, "&lt;=" &amp; Y234) * Y236</f>
        <v>23094.435896539566</v>
      </c>
      <c r="Z237" s="32">
        <f ca="1">SUMIFS( $J235:Z235, $J234:Z234, "&gt;=" &amp; Z234 - $F233 + 1, $J234:Z234, "&lt;=" &amp; Z234) * Z236</f>
        <v>22974.981230977239</v>
      </c>
      <c r="AA237" s="32">
        <f ca="1">SUMIFS( $J235:AA235, $J234:AA234, "&gt;=" &amp; AA234 - $F233 + 1, $J234:AA234, "&lt;=" &amp; AA234) * AA236</f>
        <v>22853.756205853166</v>
      </c>
      <c r="AB237" s="32">
        <f ca="1">SUMIFS( $J235:AB235, $J234:AB234, "&gt;=" &amp; AB234 - $F233 + 1, $J234:AB234, "&lt;=" &amp; AB234) * AB236</f>
        <v>22732.599021311806</v>
      </c>
      <c r="AC237" s="32">
        <f ca="1">SUMIFS( $J235:AC235, $J234:AC234, "&gt;=" &amp; AC234 - $F233 + 1, $J234:AC234, "&lt;=" &amp; AC234) * AC236</f>
        <v>22609.637632055004</v>
      </c>
      <c r="AD237" s="32">
        <f ca="1">SUMIFS( $J235:AD235, $J234:AD234, "&gt;=" &amp; AD234 - $F233 + 1, $J234:AD234, "&lt;=" &amp; AD234) * AD236</f>
        <v>22486.742261817479</v>
      </c>
      <c r="AE237" s="32">
        <f ca="1">SUMIFS( $J235:AE235, $J234:AE234, "&gt;=" &amp; AE234 - $F233 + 1, $J234:AE234, "&lt;=" &amp; AE234) * AE236</f>
        <v>22346.701186200204</v>
      </c>
      <c r="AF237" s="32">
        <f ca="1">SUMIFS( $J235:AF235, $J234:AF234, "&gt;=" &amp; AF234 - $F233 + 1, $J234:AF234, "&lt;=" &amp; AF234) * AF236</f>
        <v>22222.031249023363</v>
      </c>
      <c r="AG237" s="32">
        <f ca="1">SUMIFS( $J235:AG235, $J234:AG234, "&gt;=" &amp; AG234 - $F233 + 1, $J234:AG234, "&lt;=" &amp; AG234) * AG236</f>
        <v>22110.794321163288</v>
      </c>
      <c r="AH237" s="32">
        <f ca="1">SUMIFS( $J235:AH235, $J234:AH234, "&gt;=" &amp; AH234 - $F233 + 1, $J234:AH234, "&lt;=" &amp; AH234) * AH236</f>
        <v>21984.312706910474</v>
      </c>
      <c r="AI237" s="32">
        <f ca="1">SUMIFS( $J235:AI235, $J234:AI234, "&gt;=" &amp; AI234 - $F233 + 1, $J234:AI234, "&lt;=" &amp; AI234) * AI236</f>
        <v>21855.921191073066</v>
      </c>
      <c r="AJ237" s="32">
        <f ca="1">SUMIFS( $J235:AJ235, $J234:AJ234, "&gt;=" &amp; AJ234 - $F233 + 1, $J234:AJ234, "&lt;=" &amp; AJ234) * AJ236</f>
        <v>21727.590046057943</v>
      </c>
      <c r="AK237" s="32">
        <f ca="1">SUMIFS( $J235:AK235, $J234:AK234, "&gt;=" &amp; AK234 - $F233 + 1, $J234:AK234, "&lt;=" &amp; AK234) * AK236</f>
        <v>21597.312333272384</v>
      </c>
      <c r="AL237" s="32">
        <f ca="1">SUMIFS( $J235:AL235, $J234:AL234, "&gt;=" &amp; AL234 - $F233 + 1, $J234:AL234, "&lt;=" &amp; AL234) * AL236</f>
        <v>21467.093045308429</v>
      </c>
      <c r="AM237" s="32">
        <f ca="1">SUMIFS( $J235:AM235, $J234:AM234, "&gt;=" &amp; AM234 - $F233 + 1, $J234:AM234, "&lt;=" &amp; AM234) * AM236</f>
        <v>21320.27908310842</v>
      </c>
      <c r="AN237" s="32">
        <f ca="1">SUMIFS( $J235:AN235, $J234:AN234, "&gt;=" &amp; AN234 - $F233 + 1, $J234:AN234, "&lt;=" &amp; AN234) * AN236</f>
        <v>21188.132266258039</v>
      </c>
      <c r="AO237" s="32">
        <f ca="1">SUMIFS( $J235:AO235, $J234:AO234, "&gt;=" &amp; AO234 - $F233 + 1, $J234:AO234, "&lt;=" &amp; AO234) * AO236</f>
        <v>21068.574010514101</v>
      </c>
      <c r="AP237" s="32">
        <f ca="1">SUMIFS( $J235:AP235, $J234:AP234, "&gt;=" &amp; AP234 - $F233 + 1, $J234:AP234, "&lt;=" &amp; AP234) * AP236</f>
        <v>20934.459489531408</v>
      </c>
      <c r="AQ237" s="32">
        <f ca="1">SUMIFS( $J235:AQ235, $J234:AQ234, "&gt;=" &amp; AQ234 - $F233 + 1, $J234:AQ234, "&lt;=" &amp; AQ234) * AQ236</f>
        <v>20798.28389615249</v>
      </c>
      <c r="AR237" s="32">
        <f ca="1">SUMIFS( $J235:AR235, $J234:AR234, "&gt;=" &amp; AR234 - $F233 + 1, $J234:AR234, "&lt;=" &amp; AR234) * AR236</f>
        <v>20662.160690613535</v>
      </c>
      <c r="AS237" s="32">
        <f ca="1">SUMIFS( $J235:AS235, $J234:AS234, "&gt;=" &amp; AS234 - $F233 + 1, $J234:AS234, "&lt;=" &amp; AS234) * AS236</f>
        <v>20523.936691814088</v>
      </c>
      <c r="AT237" s="32">
        <f ca="1">SUMIFS( $J235:AT235, $J234:AT234, "&gt;=" &amp; AT234 - $F233 + 1, $J234:AT234, "&lt;=" &amp; AT234) * AT236</f>
        <v>20385.762999928313</v>
      </c>
      <c r="AU237" s="32">
        <f ca="1">SUMIFS( $J235:AU235, $J234:AU234, "&gt;=" &amp; AU234 - $F233 + 1, $J234:AU234, "&lt;=" &amp; AU234) * AU236</f>
        <v>20231.575714963426</v>
      </c>
      <c r="AV237" s="32">
        <f ca="1">SUMIFS( $J235:AV235, $J234:AV234, "&gt;=" &amp; AV234 - $F233 + 1, $J234:AV234, "&lt;=" &amp; AV234) * AV236</f>
        <v>20091.308897060026</v>
      </c>
      <c r="AW237" s="32">
        <f ca="1">SUMIFS( $J235:AW235, $J234:AW234, "&gt;=" &amp; AW234 - $F233 + 1, $J234:AW234, "&lt;=" &amp; AW234) * AW236</f>
        <v>0</v>
      </c>
      <c r="AX237" s="32">
        <f ca="1">SUMIFS( $J235:AX235, $J234:AX234, "&gt;=" &amp; AX234 - $F233 + 1, $J234:AX234, "&lt;=" &amp; AX234) * AX236</f>
        <v>0</v>
      </c>
      <c r="AY237" s="32">
        <f ca="1">SUMIFS( $J235:AY235, $J234:AY234, "&gt;=" &amp; AY234 - $F233 + 1, $J234:AY234, "&lt;=" &amp; AY234) * AY236</f>
        <v>0</v>
      </c>
      <c r="AZ237" s="32">
        <f ca="1">SUMIFS( $J235:AZ235, $J234:AZ234, "&gt;=" &amp; AZ234 - $F233 + 1, $J234:AZ234, "&lt;=" &amp; AZ234) * AZ236</f>
        <v>0</v>
      </c>
      <c r="BA237" s="32">
        <f ca="1">SUMIFS( $J235:BA235, $J234:BA234, "&gt;=" &amp; BA234 - $F233 + 1, $J234:BA234, "&lt;=" &amp; BA234) * BA236</f>
        <v>0</v>
      </c>
      <c r="BB237" s="32">
        <f ca="1">SUMIFS( $J235:BB235, $J234:BB234, "&gt;=" &amp; BB234 - $F233 + 1, $J234:BB234, "&lt;=" &amp; BB234) * BB236</f>
        <v>0</v>
      </c>
      <c r="BC237" s="32">
        <f ca="1">SUMIFS( $J235:BC235, $J234:BC234, "&gt;=" &amp; BC234 - $F233 + 1, $J234:BC234, "&lt;=" &amp; BC234) * BC236</f>
        <v>0</v>
      </c>
      <c r="BD237" s="32">
        <f ca="1">SUMIFS( $J235:BD235, $J234:BD234, "&gt;=" &amp; BD234 - $F233 + 1, $J234:BD234, "&lt;=" &amp; BD234) * BD236</f>
        <v>0</v>
      </c>
      <c r="BE237" s="32">
        <f ca="1">SUMIFS( $J235:BE235, $J234:BE234, "&gt;=" &amp; BE234 - $F233 + 1, $J234:BE234, "&lt;=" &amp; BE234) * BE236</f>
        <v>0</v>
      </c>
      <c r="BF237" s="32">
        <f ca="1">SUMIFS( $J235:BF235, $J234:BF234, "&gt;=" &amp; BF234 - $F233 + 1, $J234:BF234, "&lt;=" &amp; BF234) * BF236</f>
        <v>0</v>
      </c>
      <c r="BG237" s="32">
        <f ca="1">SUMIFS( $J235:BG235, $J234:BG234, "&gt;=" &amp; BG234 - $F233 + 1, $J234:BG234, "&lt;=" &amp; BG234) * BG236</f>
        <v>0</v>
      </c>
      <c r="BH237" s="32">
        <f ca="1">SUMIFS( $J235:BH235, $J234:BH234, "&gt;=" &amp; BH234 - $F233 + 1, $J234:BH234, "&lt;=" &amp; BH234) * BH236</f>
        <v>0</v>
      </c>
      <c r="BI237" s="32">
        <f ca="1">SUMIFS( $J235:BI235, $J234:BI234, "&gt;=" &amp; BI234 - $F233 + 1, $J234:BI234, "&lt;=" &amp; BI234) * BI236</f>
        <v>0</v>
      </c>
      <c r="BJ237" s="32">
        <f ca="1">SUMIFS( $J235:BJ235, $J234:BJ234, "&gt;=" &amp; BJ234 - $F233 + 1, $J234:BJ234, "&lt;=" &amp; BJ234) * BJ236</f>
        <v>0</v>
      </c>
      <c r="BK237" s="32">
        <f ca="1">SUMIFS( $J235:BK235, $J234:BK234, "&gt;=" &amp; BK234 - $F233 + 1, $J234:BK234, "&lt;=" &amp; BK234) * BK236</f>
        <v>0</v>
      </c>
      <c r="BL237" s="32">
        <f ca="1">SUMIFS( $J235:BL235, $J234:BL234, "&gt;=" &amp; BL234 - $F233 + 1, $J234:BL234, "&lt;=" &amp; BL234) * BL236</f>
        <v>0</v>
      </c>
      <c r="BM237" s="32">
        <f ca="1">SUMIFS( $J235:BM235, $J234:BM234, "&gt;=" &amp; BM234 - $F233 + 1, $J234:BM234, "&lt;=" &amp; BM234) * BM236</f>
        <v>0</v>
      </c>
      <c r="BN237" s="32">
        <f ca="1">SUMIFS( $J235:BN235, $J234:BN234, "&gt;=" &amp; BN234 - $F233 + 1, $J234:BN234, "&lt;=" &amp; BN234) * BN236</f>
        <v>0</v>
      </c>
      <c r="BO237" s="32">
        <f ca="1">SUMIFS( $J235:BO235, $J234:BO234, "&gt;=" &amp; BO234 - $F233 + 1, $J234:BO234, "&lt;=" &amp; BO234) * BO236</f>
        <v>0</v>
      </c>
      <c r="BP237" s="32">
        <f ca="1">SUMIFS( $J235:BP235, $J234:BP234, "&gt;=" &amp; BP234 - $F233 + 1, $J234:BP234, "&lt;=" &amp; BP234) * BP236</f>
        <v>0</v>
      </c>
      <c r="BQ237" s="32">
        <f ca="1">SUMIFS( $J235:BQ235, $J234:BQ234, "&gt;=" &amp; BQ234 - $F233 + 1, $J234:BQ234, "&lt;=" &amp; BQ234) * BQ236</f>
        <v>0</v>
      </c>
      <c r="BR237" s="32">
        <f ca="1">SUMIFS( $J235:BR235, $J234:BR234, "&gt;=" &amp; BR234 - $F233 + 1, $J234:BR234, "&lt;=" &amp; BR234) * BR236</f>
        <v>0</v>
      </c>
      <c r="BS237" s="32">
        <f ca="1">SUMIFS( $J235:BS235, $J234:BS234, "&gt;=" &amp; BS234 - $F233 + 1, $J234:BS234, "&lt;=" &amp; BS234) * BS236</f>
        <v>0</v>
      </c>
      <c r="BT237" s="32">
        <f ca="1">SUMIFS( $J235:BT235, $J234:BT234, "&gt;=" &amp; BT234 - $F233 + 1, $J234:BT234, "&lt;=" &amp; BT234) * BT236</f>
        <v>0</v>
      </c>
      <c r="BU237" s="32">
        <f ca="1">SUMIFS( $J235:BU235, $J234:BU234, "&gt;=" &amp; BU234 - $F233 + 1, $J234:BU234, "&lt;=" &amp; BU234) * BU236</f>
        <v>0</v>
      </c>
      <c r="BV237" s="32">
        <f ca="1">SUMIFS( $J235:BV235, $J234:BV234, "&gt;=" &amp; BV234 - $F233 + 1, $J234:BV234, "&lt;=" &amp; BV234) * BV236</f>
        <v>0</v>
      </c>
      <c r="BW237" s="32">
        <f ca="1">SUMIFS( $J235:BW235, $J234:BW234, "&gt;=" &amp; BW234 - $F233 + 1, $J234:BW234, "&lt;=" &amp; BW234) * BW236</f>
        <v>0</v>
      </c>
      <c r="BX237" s="32">
        <f ca="1">SUMIFS( $J235:BX235, $J234:BX234, "&gt;=" &amp; BX234 - $F233 + 1, $J234:BX234, "&lt;=" &amp; BX234) * BX236</f>
        <v>0</v>
      </c>
      <c r="BY237" s="32">
        <f ca="1">SUMIFS( $J235:BY235, $J234:BY234, "&gt;=" &amp; BY234 - $F233 + 1, $J234:BY234, "&lt;=" &amp; BY234) * BY236</f>
        <v>0</v>
      </c>
      <c r="BZ237" s="32">
        <f ca="1">SUMIFS( $J235:BZ235, $J234:BZ234, "&gt;=" &amp; BZ234 - $F233 + 1, $J234:BZ234, "&lt;=" &amp; BZ234) * BZ236</f>
        <v>0</v>
      </c>
      <c r="CA237" s="32">
        <f ca="1">SUMIFS( $J235:CA235, $J234:CA234, "&gt;=" &amp; CA234 - $F233 + 1, $J234:CA234, "&lt;=" &amp; CA234) * CA236</f>
        <v>0</v>
      </c>
      <c r="CB237" s="32">
        <f ca="1">SUMIFS( $J235:CB235, $J234:CB234, "&gt;=" &amp; CB234 - $F233 + 1, $J234:CB234, "&lt;=" &amp; CB234) * CB236</f>
        <v>0</v>
      </c>
      <c r="CC237" s="32">
        <f ca="1">SUMIFS( $J235:CC235, $J234:CC234, "&gt;=" &amp; CC234 - $F233 + 1, $J234:CC234, "&lt;=" &amp; CC234) * CC236</f>
        <v>0</v>
      </c>
      <c r="CD237" s="32">
        <f ca="1">SUMIFS( $J235:CD235, $J234:CD234, "&gt;=" &amp; CD234 - $F233 + 1, $J234:CD234, "&lt;=" &amp; CD234) * CD236</f>
        <v>0</v>
      </c>
      <c r="CE237" s="32">
        <f ca="1">SUMIFS( $J235:CE235, $J234:CE234, "&gt;=" &amp; CE234 - $F233 + 1, $J234:CE234, "&lt;=" &amp; CE234) * CE236</f>
        <v>0</v>
      </c>
      <c r="CF237" s="32">
        <f ca="1">SUMIFS( $J235:CF235, $J234:CF234, "&gt;=" &amp; CF234 - $F233 + 1, $J234:CF234, "&lt;=" &amp; CF234) * CF236</f>
        <v>0</v>
      </c>
      <c r="CG237" s="32">
        <f ca="1">SUMIFS( $J235:CG235, $J234:CG234, "&gt;=" &amp; CG234 - $F233 + 1, $J234:CG234, "&lt;=" &amp; CG234) * CG236</f>
        <v>0</v>
      </c>
      <c r="CH237" s="32">
        <f ca="1">SUMIFS( $J235:CH235, $J234:CH234, "&gt;=" &amp; CH234 - $F233 + 1, $J234:CH234, "&lt;=" &amp; CH234) * CH236</f>
        <v>0</v>
      </c>
      <c r="CI237" s="32">
        <f ca="1">SUMIFS( $J235:CI235, $J234:CI234, "&gt;=" &amp; CI234 - $F233 + 1, $J234:CI234, "&lt;=" &amp; CI234) * CI236</f>
        <v>0</v>
      </c>
      <c r="CJ237" s="32">
        <f ca="1">SUMIFS( $J235:CJ235, $J234:CJ234, "&gt;=" &amp; CJ234 - $F233 + 1, $J234:CJ234, "&lt;=" &amp; CJ234) * CJ236</f>
        <v>0</v>
      </c>
      <c r="CK237" s="32">
        <f ca="1">SUMIFS( $J235:CK235, $J234:CK234, "&gt;=" &amp; CK234 - $F233 + 1, $J234:CK234, "&lt;=" &amp; CK234) * CK236</f>
        <v>0</v>
      </c>
      <c r="CL237" s="32">
        <f ca="1">SUMIFS( $J235:CL235, $J234:CL234, "&gt;=" &amp; CL234 - $F233 + 1, $J234:CL234, "&lt;=" &amp; CL234) * CL236</f>
        <v>0</v>
      </c>
      <c r="CM237" s="32">
        <f ca="1">SUMIFS( $J235:CM235, $J234:CM234, "&gt;=" &amp; CM234 - $F233 + 1, $J234:CM234, "&lt;=" &amp; CM234) * CM236</f>
        <v>0</v>
      </c>
      <c r="CN237" s="32">
        <f ca="1">SUMIFS( $J235:CN235, $J234:CN234, "&gt;=" &amp; CN234 - $F233 + 1, $J234:CN234, "&lt;=" &amp; CN234) * CN236</f>
        <v>0</v>
      </c>
      <c r="CO237" s="32">
        <f ca="1">SUMIFS( $J235:CO235, $J234:CO234, "&gt;=" &amp; CO234 - $F233 + 1, $J234:CO234, "&lt;=" &amp; CO234) * CO236</f>
        <v>0</v>
      </c>
      <c r="CP237" s="32">
        <f ca="1">SUMIFS( $J235:CP235, $J234:CP234, "&gt;=" &amp; CP234 - $F233 + 1, $J234:CP234, "&lt;=" &amp; CP234) * CP236</f>
        <v>0</v>
      </c>
      <c r="CQ237" s="32">
        <f ca="1">SUMIFS( $J235:CQ235, $J234:CQ234, "&gt;=" &amp; CQ234 - $F233 + 1, $J234:CQ234, "&lt;=" &amp; CQ234) * CQ236</f>
        <v>0</v>
      </c>
      <c r="CR237" s="32">
        <f ca="1">SUMIFS( $J235:CR235, $J234:CR234, "&gt;=" &amp; CR234 - $F233 + 1, $J234:CR234, "&lt;=" &amp; CR234) * CR236</f>
        <v>0</v>
      </c>
      <c r="CS237" s="32">
        <f ca="1">SUMIFS( $J235:CS235, $J234:CS234, "&gt;=" &amp; CS234 - $F233 + 1, $J234:CS234, "&lt;=" &amp; CS234) * CS236</f>
        <v>0</v>
      </c>
      <c r="CT237" s="32">
        <f ca="1">SUMIFS( $J235:CT235, $J234:CT234, "&gt;=" &amp; CT234 - $F233 + 1, $J234:CT234, "&lt;=" &amp; CT234) * CT236</f>
        <v>0</v>
      </c>
      <c r="CU237" s="32">
        <f ca="1">SUMIFS( $J235:CU235, $J234:CU234, "&gt;=" &amp; CU234 - $F233 + 1, $J234:CU234, "&lt;=" &amp; CU234) * CU236</f>
        <v>0</v>
      </c>
      <c r="CV237" s="32">
        <f ca="1">SUMIFS( $J235:CV235, $J234:CV234, "&gt;=" &amp; CV234 - $F233 + 1, $J234:CV234, "&lt;=" &amp; CV234) * CV236</f>
        <v>0</v>
      </c>
    </row>
    <row r="238" spans="1:100" outlineLevel="1" x14ac:dyDescent="0.2">
      <c r="A238" s="33"/>
      <c r="B238" s="79"/>
      <c r="C238" s="561"/>
      <c r="D238" s="60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32"/>
      <c r="CS238" s="32"/>
      <c r="CT238" s="32"/>
      <c r="CU238" s="32"/>
      <c r="CV238" s="32"/>
    </row>
    <row r="239" spans="1:100" outlineLevel="1" x14ac:dyDescent="0.2">
      <c r="E239" s="198" t="str">
        <f t="shared" ref="E239:AJ239" si="305" xml:space="preserve"> E$237</f>
        <v>Annual CFADS - P99</v>
      </c>
      <c r="F239" s="198">
        <f t="shared" si="305"/>
        <v>0</v>
      </c>
      <c r="G239" s="198" t="str">
        <f t="shared" si="305"/>
        <v>$ 000s</v>
      </c>
      <c r="H239" s="198">
        <f t="shared" si="305"/>
        <v>0</v>
      </c>
      <c r="I239" s="198">
        <f t="shared" si="305"/>
        <v>0</v>
      </c>
      <c r="J239" s="198">
        <f t="shared" ca="1" si="305"/>
        <v>0</v>
      </c>
      <c r="K239" s="198">
        <f t="shared" ca="1" si="305"/>
        <v>0</v>
      </c>
      <c r="L239" s="198">
        <f t="shared" ca="1" si="305"/>
        <v>0</v>
      </c>
      <c r="M239" s="198">
        <f t="shared" ca="1" si="305"/>
        <v>0</v>
      </c>
      <c r="N239" s="198">
        <f t="shared" ca="1" si="305"/>
        <v>0</v>
      </c>
      <c r="O239" s="198">
        <f t="shared" ca="1" si="305"/>
        <v>14020.369027701166</v>
      </c>
      <c r="P239" s="198">
        <f t="shared" ca="1" si="305"/>
        <v>26050.745990632255</v>
      </c>
      <c r="Q239" s="198">
        <f t="shared" ca="1" si="305"/>
        <v>24024.157262927183</v>
      </c>
      <c r="R239" s="198">
        <f t="shared" ca="1" si="305"/>
        <v>23911.169809456951</v>
      </c>
      <c r="S239" s="198">
        <f t="shared" ca="1" si="305"/>
        <v>23796.540799121158</v>
      </c>
      <c r="T239" s="198">
        <f t="shared" ca="1" si="305"/>
        <v>23681.986625843616</v>
      </c>
      <c r="U239" s="198">
        <f t="shared" ca="1" si="305"/>
        <v>23565.759655804224</v>
      </c>
      <c r="V239" s="198">
        <f t="shared" ca="1" si="305"/>
        <v>23449.605816007181</v>
      </c>
      <c r="W239" s="198">
        <f t="shared" ca="1" si="305"/>
        <v>23315.782870385519</v>
      </c>
      <c r="X239" s="198">
        <f t="shared" ca="1" si="305"/>
        <v>23197.995757526533</v>
      </c>
      <c r="Y239" s="198">
        <f t="shared" ca="1" si="305"/>
        <v>23094.435896539566</v>
      </c>
      <c r="Z239" s="198">
        <f t="shared" ca="1" si="305"/>
        <v>22974.981230977239</v>
      </c>
      <c r="AA239" s="198">
        <f t="shared" ca="1" si="305"/>
        <v>22853.756205853166</v>
      </c>
      <c r="AB239" s="198">
        <f t="shared" ca="1" si="305"/>
        <v>22732.599021311806</v>
      </c>
      <c r="AC239" s="198">
        <f t="shared" ca="1" si="305"/>
        <v>22609.637632055004</v>
      </c>
      <c r="AD239" s="198">
        <f t="shared" ca="1" si="305"/>
        <v>22486.742261817479</v>
      </c>
      <c r="AE239" s="198">
        <f t="shared" ca="1" si="305"/>
        <v>22346.701186200204</v>
      </c>
      <c r="AF239" s="198">
        <f t="shared" ca="1" si="305"/>
        <v>22222.031249023363</v>
      </c>
      <c r="AG239" s="198">
        <f t="shared" ca="1" si="305"/>
        <v>22110.794321163288</v>
      </c>
      <c r="AH239" s="198">
        <f t="shared" ca="1" si="305"/>
        <v>21984.312706910474</v>
      </c>
      <c r="AI239" s="198">
        <f t="shared" ca="1" si="305"/>
        <v>21855.921191073066</v>
      </c>
      <c r="AJ239" s="198">
        <f t="shared" ca="1" si="305"/>
        <v>21727.590046057943</v>
      </c>
      <c r="AK239" s="198">
        <f t="shared" ref="AK239:BP239" ca="1" si="306" xml:space="preserve"> AK$237</f>
        <v>21597.312333272384</v>
      </c>
      <c r="AL239" s="198">
        <f t="shared" ca="1" si="306"/>
        <v>21467.093045308429</v>
      </c>
      <c r="AM239" s="198">
        <f t="shared" ca="1" si="306"/>
        <v>21320.27908310842</v>
      </c>
      <c r="AN239" s="198">
        <f t="shared" ca="1" si="306"/>
        <v>21188.132266258039</v>
      </c>
      <c r="AO239" s="198">
        <f t="shared" ca="1" si="306"/>
        <v>21068.574010514101</v>
      </c>
      <c r="AP239" s="198">
        <f t="shared" ca="1" si="306"/>
        <v>20934.459489531408</v>
      </c>
      <c r="AQ239" s="198">
        <f t="shared" ca="1" si="306"/>
        <v>20798.28389615249</v>
      </c>
      <c r="AR239" s="198">
        <f t="shared" ca="1" si="306"/>
        <v>20662.160690613535</v>
      </c>
      <c r="AS239" s="198">
        <f t="shared" ca="1" si="306"/>
        <v>20523.936691814088</v>
      </c>
      <c r="AT239" s="198">
        <f t="shared" ca="1" si="306"/>
        <v>20385.762999928313</v>
      </c>
      <c r="AU239" s="198">
        <f t="shared" ca="1" si="306"/>
        <v>20231.575714963426</v>
      </c>
      <c r="AV239" s="198">
        <f t="shared" ca="1" si="306"/>
        <v>20091.308897060026</v>
      </c>
      <c r="AW239" s="198">
        <f t="shared" ca="1" si="306"/>
        <v>0</v>
      </c>
      <c r="AX239" s="198">
        <f t="shared" ca="1" si="306"/>
        <v>0</v>
      </c>
      <c r="AY239" s="198">
        <f t="shared" ca="1" si="306"/>
        <v>0</v>
      </c>
      <c r="AZ239" s="198">
        <f t="shared" ca="1" si="306"/>
        <v>0</v>
      </c>
      <c r="BA239" s="198">
        <f t="shared" ca="1" si="306"/>
        <v>0</v>
      </c>
      <c r="BB239" s="198">
        <f t="shared" ca="1" si="306"/>
        <v>0</v>
      </c>
      <c r="BC239" s="198">
        <f t="shared" ca="1" si="306"/>
        <v>0</v>
      </c>
      <c r="BD239" s="198">
        <f t="shared" ca="1" si="306"/>
        <v>0</v>
      </c>
      <c r="BE239" s="198">
        <f t="shared" ca="1" si="306"/>
        <v>0</v>
      </c>
      <c r="BF239" s="198">
        <f t="shared" ca="1" si="306"/>
        <v>0</v>
      </c>
      <c r="BG239" s="198">
        <f t="shared" ca="1" si="306"/>
        <v>0</v>
      </c>
      <c r="BH239" s="198">
        <f t="shared" ca="1" si="306"/>
        <v>0</v>
      </c>
      <c r="BI239" s="198">
        <f t="shared" ca="1" si="306"/>
        <v>0</v>
      </c>
      <c r="BJ239" s="198">
        <f t="shared" ca="1" si="306"/>
        <v>0</v>
      </c>
      <c r="BK239" s="198">
        <f t="shared" ca="1" si="306"/>
        <v>0</v>
      </c>
      <c r="BL239" s="198">
        <f t="shared" ca="1" si="306"/>
        <v>0</v>
      </c>
      <c r="BM239" s="198">
        <f t="shared" ca="1" si="306"/>
        <v>0</v>
      </c>
      <c r="BN239" s="198">
        <f t="shared" ca="1" si="306"/>
        <v>0</v>
      </c>
      <c r="BO239" s="198">
        <f t="shared" ca="1" si="306"/>
        <v>0</v>
      </c>
      <c r="BP239" s="198">
        <f t="shared" ca="1" si="306"/>
        <v>0</v>
      </c>
      <c r="BQ239" s="198">
        <f t="shared" ref="BQ239:CV239" ca="1" si="307" xml:space="preserve"> BQ$237</f>
        <v>0</v>
      </c>
      <c r="BR239" s="198">
        <f t="shared" ca="1" si="307"/>
        <v>0</v>
      </c>
      <c r="BS239" s="198">
        <f t="shared" ca="1" si="307"/>
        <v>0</v>
      </c>
      <c r="BT239" s="198">
        <f t="shared" ca="1" si="307"/>
        <v>0</v>
      </c>
      <c r="BU239" s="198">
        <f t="shared" ca="1" si="307"/>
        <v>0</v>
      </c>
      <c r="BV239" s="198">
        <f t="shared" ca="1" si="307"/>
        <v>0</v>
      </c>
      <c r="BW239" s="198">
        <f t="shared" ca="1" si="307"/>
        <v>0</v>
      </c>
      <c r="BX239" s="198">
        <f t="shared" ca="1" si="307"/>
        <v>0</v>
      </c>
      <c r="BY239" s="198">
        <f t="shared" ca="1" si="307"/>
        <v>0</v>
      </c>
      <c r="BZ239" s="198">
        <f t="shared" ca="1" si="307"/>
        <v>0</v>
      </c>
      <c r="CA239" s="198">
        <f t="shared" ca="1" si="307"/>
        <v>0</v>
      </c>
      <c r="CB239" s="198">
        <f t="shared" ca="1" si="307"/>
        <v>0</v>
      </c>
      <c r="CC239" s="198">
        <f t="shared" ca="1" si="307"/>
        <v>0</v>
      </c>
      <c r="CD239" s="198">
        <f t="shared" ca="1" si="307"/>
        <v>0</v>
      </c>
      <c r="CE239" s="198">
        <f t="shared" ca="1" si="307"/>
        <v>0</v>
      </c>
      <c r="CF239" s="198">
        <f t="shared" ca="1" si="307"/>
        <v>0</v>
      </c>
      <c r="CG239" s="198">
        <f t="shared" ca="1" si="307"/>
        <v>0</v>
      </c>
      <c r="CH239" s="198">
        <f t="shared" ca="1" si="307"/>
        <v>0</v>
      </c>
      <c r="CI239" s="198">
        <f t="shared" ca="1" si="307"/>
        <v>0</v>
      </c>
      <c r="CJ239" s="198">
        <f t="shared" ca="1" si="307"/>
        <v>0</v>
      </c>
      <c r="CK239" s="198">
        <f t="shared" ca="1" si="307"/>
        <v>0</v>
      </c>
      <c r="CL239" s="198">
        <f t="shared" ca="1" si="307"/>
        <v>0</v>
      </c>
      <c r="CM239" s="198">
        <f t="shared" ca="1" si="307"/>
        <v>0</v>
      </c>
      <c r="CN239" s="198">
        <f t="shared" ca="1" si="307"/>
        <v>0</v>
      </c>
      <c r="CO239" s="198">
        <f t="shared" ca="1" si="307"/>
        <v>0</v>
      </c>
      <c r="CP239" s="198">
        <f t="shared" ca="1" si="307"/>
        <v>0</v>
      </c>
      <c r="CQ239" s="198">
        <f t="shared" ca="1" si="307"/>
        <v>0</v>
      </c>
      <c r="CR239" s="198">
        <f t="shared" ca="1" si="307"/>
        <v>0</v>
      </c>
      <c r="CS239" s="198">
        <f t="shared" ca="1" si="307"/>
        <v>0</v>
      </c>
      <c r="CT239" s="198">
        <f t="shared" ca="1" si="307"/>
        <v>0</v>
      </c>
      <c r="CU239" s="198">
        <f t="shared" ca="1" si="307"/>
        <v>0</v>
      </c>
      <c r="CV239" s="198">
        <f t="shared" ca="1" si="307"/>
        <v>0</v>
      </c>
    </row>
    <row r="240" spans="1:100" outlineLevel="1" x14ac:dyDescent="0.2">
      <c r="E240" s="198" t="str">
        <f t="shared" ref="E240:AJ240" si="308" xml:space="preserve"> E$231</f>
        <v>Annual debt service - P99</v>
      </c>
      <c r="F240" s="198">
        <f t="shared" si="308"/>
        <v>0</v>
      </c>
      <c r="G240" s="198" t="str">
        <f t="shared" si="308"/>
        <v>$ 000s</v>
      </c>
      <c r="H240" s="198">
        <f t="shared" si="308"/>
        <v>0</v>
      </c>
      <c r="I240" s="198">
        <f t="shared" si="308"/>
        <v>0</v>
      </c>
      <c r="J240" s="198">
        <f t="shared" si="308"/>
        <v>0</v>
      </c>
      <c r="K240" s="198">
        <f t="shared" si="308"/>
        <v>0</v>
      </c>
      <c r="L240" s="198">
        <f t="shared" si="308"/>
        <v>0</v>
      </c>
      <c r="M240" s="198">
        <f t="shared" si="308"/>
        <v>0</v>
      </c>
      <c r="N240" s="198">
        <f t="shared" si="308"/>
        <v>0</v>
      </c>
      <c r="O240" s="198">
        <f t="shared" si="308"/>
        <v>12686.671356945051</v>
      </c>
      <c r="P240" s="198">
        <f t="shared" si="308"/>
        <v>23906.249670564208</v>
      </c>
      <c r="Q240" s="198">
        <f t="shared" si="308"/>
        <v>22466.261339878321</v>
      </c>
      <c r="R240" s="198">
        <f t="shared" si="308"/>
        <v>22381.589857677805</v>
      </c>
      <c r="S240" s="198">
        <f t="shared" si="308"/>
        <v>22295.404122197335</v>
      </c>
      <c r="T240" s="198">
        <f t="shared" si="308"/>
        <v>22209.644958698162</v>
      </c>
      <c r="U240" s="198">
        <f t="shared" si="308"/>
        <v>22122.345118739817</v>
      </c>
      <c r="V240" s="198">
        <f t="shared" si="308"/>
        <v>22050.510939841224</v>
      </c>
      <c r="W240" s="198">
        <f t="shared" si="308"/>
        <v>21947.037463305431</v>
      </c>
      <c r="X240" s="198">
        <f t="shared" si="308"/>
        <v>21843.997155393376</v>
      </c>
      <c r="Y240" s="198">
        <f t="shared" si="308"/>
        <v>21769.43335247042</v>
      </c>
      <c r="Z240" s="198">
        <f t="shared" si="308"/>
        <v>21680.270304689911</v>
      </c>
      <c r="AA240" s="198">
        <f t="shared" si="308"/>
        <v>21589.484021492724</v>
      </c>
      <c r="AB240" s="198">
        <f t="shared" si="308"/>
        <v>21499.137816129522</v>
      </c>
      <c r="AC240" s="198">
        <f t="shared" si="308"/>
        <v>21407.139726526941</v>
      </c>
      <c r="AD240" s="198">
        <f t="shared" si="308"/>
        <v>21330.128622375974</v>
      </c>
      <c r="AE240" s="198">
        <f t="shared" si="308"/>
        <v>21222.349733436698</v>
      </c>
      <c r="AF240" s="198">
        <f t="shared" si="308"/>
        <v>21115.018155389385</v>
      </c>
      <c r="AG240" s="198">
        <f t="shared" si="308"/>
        <v>21035.062286532604</v>
      </c>
      <c r="AH240" s="198">
        <f t="shared" si="308"/>
        <v>20941.014140040268</v>
      </c>
      <c r="AI240" s="198">
        <f t="shared" si="308"/>
        <v>20845.224603812345</v>
      </c>
      <c r="AJ240" s="198">
        <f t="shared" si="308"/>
        <v>20749.889950240329</v>
      </c>
      <c r="AK240" s="198">
        <f t="shared" ref="AK240:BP240" si="309" xml:space="preserve"> AK$231</f>
        <v>20652.782827362607</v>
      </c>
      <c r="AL240" s="198">
        <f t="shared" si="309"/>
        <v>20570.158248384141</v>
      </c>
      <c r="AM240" s="198">
        <f t="shared" si="309"/>
        <v>20457.682020771055</v>
      </c>
      <c r="AN240" s="198">
        <f t="shared" si="309"/>
        <v>20345.668597525007</v>
      </c>
      <c r="AO240" s="198">
        <f t="shared" si="309"/>
        <v>20259.866158827354</v>
      </c>
      <c r="AP240" s="198">
        <f t="shared" si="309"/>
        <v>20160.506878596912</v>
      </c>
      <c r="AQ240" s="198">
        <f t="shared" si="309"/>
        <v>20059.278089940621</v>
      </c>
      <c r="AR240" s="198">
        <f t="shared" si="309"/>
        <v>19958.520394322964</v>
      </c>
      <c r="AS240" s="198">
        <f t="shared" si="309"/>
        <v>19855.860987106975</v>
      </c>
      <c r="AT240" s="198">
        <f t="shared" si="309"/>
        <v>19767.152145899498</v>
      </c>
      <c r="AU240" s="198">
        <f t="shared" si="309"/>
        <v>19649.555863239511</v>
      </c>
      <c r="AV240" s="198">
        <f t="shared" si="309"/>
        <v>19532.441854054472</v>
      </c>
      <c r="AW240" s="198">
        <f t="shared" si="309"/>
        <v>0</v>
      </c>
      <c r="AX240" s="198">
        <f t="shared" si="309"/>
        <v>0</v>
      </c>
      <c r="AY240" s="198">
        <f t="shared" si="309"/>
        <v>0</v>
      </c>
      <c r="AZ240" s="198">
        <f t="shared" si="309"/>
        <v>0</v>
      </c>
      <c r="BA240" s="198">
        <f t="shared" si="309"/>
        <v>0</v>
      </c>
      <c r="BB240" s="198">
        <f t="shared" si="309"/>
        <v>0</v>
      </c>
      <c r="BC240" s="198">
        <f t="shared" si="309"/>
        <v>0</v>
      </c>
      <c r="BD240" s="198">
        <f t="shared" si="309"/>
        <v>0</v>
      </c>
      <c r="BE240" s="198">
        <f t="shared" si="309"/>
        <v>0</v>
      </c>
      <c r="BF240" s="198">
        <f t="shared" si="309"/>
        <v>0</v>
      </c>
      <c r="BG240" s="198">
        <f t="shared" si="309"/>
        <v>0</v>
      </c>
      <c r="BH240" s="198">
        <f t="shared" si="309"/>
        <v>0</v>
      </c>
      <c r="BI240" s="198">
        <f t="shared" si="309"/>
        <v>0</v>
      </c>
      <c r="BJ240" s="198">
        <f t="shared" si="309"/>
        <v>0</v>
      </c>
      <c r="BK240" s="198">
        <f t="shared" si="309"/>
        <v>0</v>
      </c>
      <c r="BL240" s="198">
        <f t="shared" si="309"/>
        <v>0</v>
      </c>
      <c r="BM240" s="198">
        <f t="shared" si="309"/>
        <v>0</v>
      </c>
      <c r="BN240" s="198">
        <f t="shared" si="309"/>
        <v>0</v>
      </c>
      <c r="BO240" s="198">
        <f t="shared" si="309"/>
        <v>0</v>
      </c>
      <c r="BP240" s="198">
        <f t="shared" si="309"/>
        <v>0</v>
      </c>
      <c r="BQ240" s="198">
        <f t="shared" ref="BQ240:CV240" si="310" xml:space="preserve"> BQ$231</f>
        <v>0</v>
      </c>
      <c r="BR240" s="198">
        <f t="shared" si="310"/>
        <v>0</v>
      </c>
      <c r="BS240" s="198">
        <f t="shared" si="310"/>
        <v>0</v>
      </c>
      <c r="BT240" s="198">
        <f t="shared" si="310"/>
        <v>0</v>
      </c>
      <c r="BU240" s="198">
        <f t="shared" si="310"/>
        <v>0</v>
      </c>
      <c r="BV240" s="198">
        <f t="shared" si="310"/>
        <v>0</v>
      </c>
      <c r="BW240" s="198">
        <f t="shared" si="310"/>
        <v>0</v>
      </c>
      <c r="BX240" s="198">
        <f t="shared" si="310"/>
        <v>0</v>
      </c>
      <c r="BY240" s="198">
        <f t="shared" si="310"/>
        <v>0</v>
      </c>
      <c r="BZ240" s="198">
        <f t="shared" si="310"/>
        <v>0</v>
      </c>
      <c r="CA240" s="198">
        <f t="shared" si="310"/>
        <v>0</v>
      </c>
      <c r="CB240" s="198">
        <f t="shared" si="310"/>
        <v>0</v>
      </c>
      <c r="CC240" s="198">
        <f t="shared" si="310"/>
        <v>0</v>
      </c>
      <c r="CD240" s="198">
        <f t="shared" si="310"/>
        <v>0</v>
      </c>
      <c r="CE240" s="198">
        <f t="shared" si="310"/>
        <v>0</v>
      </c>
      <c r="CF240" s="198">
        <f t="shared" si="310"/>
        <v>0</v>
      </c>
      <c r="CG240" s="198">
        <f t="shared" si="310"/>
        <v>0</v>
      </c>
      <c r="CH240" s="198">
        <f t="shared" si="310"/>
        <v>0</v>
      </c>
      <c r="CI240" s="198">
        <f t="shared" si="310"/>
        <v>0</v>
      </c>
      <c r="CJ240" s="198">
        <f t="shared" si="310"/>
        <v>0</v>
      </c>
      <c r="CK240" s="198">
        <f t="shared" si="310"/>
        <v>0</v>
      </c>
      <c r="CL240" s="198">
        <f t="shared" si="310"/>
        <v>0</v>
      </c>
      <c r="CM240" s="198">
        <f t="shared" si="310"/>
        <v>0</v>
      </c>
      <c r="CN240" s="198">
        <f t="shared" si="310"/>
        <v>0</v>
      </c>
      <c r="CO240" s="198">
        <f t="shared" si="310"/>
        <v>0</v>
      </c>
      <c r="CP240" s="198">
        <f t="shared" si="310"/>
        <v>0</v>
      </c>
      <c r="CQ240" s="198">
        <f t="shared" si="310"/>
        <v>0</v>
      </c>
      <c r="CR240" s="198">
        <f t="shared" si="310"/>
        <v>0</v>
      </c>
      <c r="CS240" s="198">
        <f t="shared" si="310"/>
        <v>0</v>
      </c>
      <c r="CT240" s="198">
        <f t="shared" si="310"/>
        <v>0</v>
      </c>
      <c r="CU240" s="198">
        <f t="shared" si="310"/>
        <v>0</v>
      </c>
      <c r="CV240" s="198">
        <f t="shared" si="310"/>
        <v>0</v>
      </c>
    </row>
    <row r="241" spans="1:100" outlineLevel="1" x14ac:dyDescent="0.2">
      <c r="A241" s="85"/>
      <c r="B241" s="85"/>
      <c r="C241" s="86"/>
      <c r="D241" s="87"/>
      <c r="E241" s="189" t="str">
        <f xml:space="preserve"> Time!E$214</f>
        <v>Senior debt repayment period flag</v>
      </c>
      <c r="F241" s="189">
        <f xml:space="preserve"> Time!F$214</f>
        <v>0</v>
      </c>
      <c r="G241" s="189" t="str">
        <f xml:space="preserve"> Time!G$214</f>
        <v>flag</v>
      </c>
      <c r="H241" s="189">
        <f xml:space="preserve"> Time!H$214</f>
        <v>34</v>
      </c>
      <c r="I241" s="189">
        <f xml:space="preserve"> Time!I$214</f>
        <v>0</v>
      </c>
      <c r="J241" s="189">
        <f xml:space="preserve"> Time!J$214</f>
        <v>0</v>
      </c>
      <c r="K241" s="189">
        <f xml:space="preserve"> Time!K$214</f>
        <v>0</v>
      </c>
      <c r="L241" s="189">
        <f xml:space="preserve"> Time!L$214</f>
        <v>0</v>
      </c>
      <c r="M241" s="189">
        <f xml:space="preserve"> Time!M$214</f>
        <v>0</v>
      </c>
      <c r="N241" s="189">
        <f xml:space="preserve"> Time!N$214</f>
        <v>0</v>
      </c>
      <c r="O241" s="189">
        <f xml:space="preserve"> Time!O$214</f>
        <v>1</v>
      </c>
      <c r="P241" s="189">
        <f xml:space="preserve"> Time!P$214</f>
        <v>1</v>
      </c>
      <c r="Q241" s="189">
        <f xml:space="preserve"> Time!Q$214</f>
        <v>1</v>
      </c>
      <c r="R241" s="189">
        <f xml:space="preserve"> Time!R$214</f>
        <v>1</v>
      </c>
      <c r="S241" s="189">
        <f xml:space="preserve"> Time!S$214</f>
        <v>1</v>
      </c>
      <c r="T241" s="189">
        <f xml:space="preserve"> Time!T$214</f>
        <v>1</v>
      </c>
      <c r="U241" s="189">
        <f xml:space="preserve"> Time!U$214</f>
        <v>1</v>
      </c>
      <c r="V241" s="189">
        <f xml:space="preserve"> Time!V$214</f>
        <v>1</v>
      </c>
      <c r="W241" s="189">
        <f xml:space="preserve"> Time!W$214</f>
        <v>1</v>
      </c>
      <c r="X241" s="189">
        <f xml:space="preserve"> Time!X$214</f>
        <v>1</v>
      </c>
      <c r="Y241" s="189">
        <f xml:space="preserve"> Time!Y$214</f>
        <v>1</v>
      </c>
      <c r="Z241" s="189">
        <f xml:space="preserve"> Time!Z$214</f>
        <v>1</v>
      </c>
      <c r="AA241" s="189">
        <f xml:space="preserve"> Time!AA$214</f>
        <v>1</v>
      </c>
      <c r="AB241" s="189">
        <f xml:space="preserve"> Time!AB$214</f>
        <v>1</v>
      </c>
      <c r="AC241" s="189">
        <f xml:space="preserve"> Time!AC$214</f>
        <v>1</v>
      </c>
      <c r="AD241" s="189">
        <f xml:space="preserve"> Time!AD$214</f>
        <v>1</v>
      </c>
      <c r="AE241" s="189">
        <f xml:space="preserve"> Time!AE$214</f>
        <v>1</v>
      </c>
      <c r="AF241" s="189">
        <f xml:space="preserve"> Time!AF$214</f>
        <v>1</v>
      </c>
      <c r="AG241" s="189">
        <f xml:space="preserve"> Time!AG$214</f>
        <v>1</v>
      </c>
      <c r="AH241" s="189">
        <f xml:space="preserve"> Time!AH$214</f>
        <v>1</v>
      </c>
      <c r="AI241" s="189">
        <f xml:space="preserve"> Time!AI$214</f>
        <v>1</v>
      </c>
      <c r="AJ241" s="189">
        <f xml:space="preserve"> Time!AJ$214</f>
        <v>1</v>
      </c>
      <c r="AK241" s="189">
        <f xml:space="preserve"> Time!AK$214</f>
        <v>1</v>
      </c>
      <c r="AL241" s="189">
        <f xml:space="preserve"> Time!AL$214</f>
        <v>1</v>
      </c>
      <c r="AM241" s="189">
        <f xml:space="preserve"> Time!AM$214</f>
        <v>1</v>
      </c>
      <c r="AN241" s="189">
        <f xml:space="preserve"> Time!AN$214</f>
        <v>1</v>
      </c>
      <c r="AO241" s="189">
        <f xml:space="preserve"> Time!AO$214</f>
        <v>1</v>
      </c>
      <c r="AP241" s="189">
        <f xml:space="preserve"> Time!AP$214</f>
        <v>1</v>
      </c>
      <c r="AQ241" s="189">
        <f xml:space="preserve"> Time!AQ$214</f>
        <v>1</v>
      </c>
      <c r="AR241" s="189">
        <f xml:space="preserve"> Time!AR$214</f>
        <v>1</v>
      </c>
      <c r="AS241" s="189">
        <f xml:space="preserve"> Time!AS$214</f>
        <v>1</v>
      </c>
      <c r="AT241" s="189">
        <f xml:space="preserve"> Time!AT$214</f>
        <v>1</v>
      </c>
      <c r="AU241" s="189">
        <f xml:space="preserve"> Time!AU$214</f>
        <v>1</v>
      </c>
      <c r="AV241" s="189">
        <f xml:space="preserve"> Time!AV$214</f>
        <v>1</v>
      </c>
      <c r="AW241" s="189">
        <f xml:space="preserve"> Time!AW$214</f>
        <v>0</v>
      </c>
      <c r="AX241" s="189">
        <f xml:space="preserve"> Time!AX$214</f>
        <v>0</v>
      </c>
      <c r="AY241" s="189">
        <f xml:space="preserve"> Time!AY$214</f>
        <v>0</v>
      </c>
      <c r="AZ241" s="189">
        <f xml:space="preserve"> Time!AZ$214</f>
        <v>0</v>
      </c>
      <c r="BA241" s="189">
        <f xml:space="preserve"> Time!BA$214</f>
        <v>0</v>
      </c>
      <c r="BB241" s="189">
        <f xml:space="preserve"> Time!BB$214</f>
        <v>0</v>
      </c>
      <c r="BC241" s="189">
        <f xml:space="preserve"> Time!BC$214</f>
        <v>0</v>
      </c>
      <c r="BD241" s="189">
        <f xml:space="preserve"> Time!BD$214</f>
        <v>0</v>
      </c>
      <c r="BE241" s="189">
        <f xml:space="preserve"> Time!BE$214</f>
        <v>0</v>
      </c>
      <c r="BF241" s="189">
        <f xml:space="preserve"> Time!BF$214</f>
        <v>0</v>
      </c>
      <c r="BG241" s="189">
        <f xml:space="preserve"> Time!BG$214</f>
        <v>0</v>
      </c>
      <c r="BH241" s="189">
        <f xml:space="preserve"> Time!BH$214</f>
        <v>0</v>
      </c>
      <c r="BI241" s="189">
        <f xml:space="preserve"> Time!BI$214</f>
        <v>0</v>
      </c>
      <c r="BJ241" s="189">
        <f xml:space="preserve"> Time!BJ$214</f>
        <v>0</v>
      </c>
      <c r="BK241" s="189">
        <f xml:space="preserve"> Time!BK$214</f>
        <v>0</v>
      </c>
      <c r="BL241" s="189">
        <f xml:space="preserve"> Time!BL$214</f>
        <v>0</v>
      </c>
      <c r="BM241" s="189">
        <f xml:space="preserve"> Time!BM$214</f>
        <v>0</v>
      </c>
      <c r="BN241" s="189">
        <f xml:space="preserve"> Time!BN$214</f>
        <v>0</v>
      </c>
      <c r="BO241" s="189">
        <f xml:space="preserve"> Time!BO$214</f>
        <v>0</v>
      </c>
      <c r="BP241" s="189">
        <f xml:space="preserve"> Time!BP$214</f>
        <v>0</v>
      </c>
      <c r="BQ241" s="189">
        <f xml:space="preserve"> Time!BQ$214</f>
        <v>0</v>
      </c>
      <c r="BR241" s="189">
        <f xml:space="preserve"> Time!BR$214</f>
        <v>0</v>
      </c>
      <c r="BS241" s="189">
        <f xml:space="preserve"> Time!BS$214</f>
        <v>0</v>
      </c>
      <c r="BT241" s="189">
        <f xml:space="preserve"> Time!BT$214</f>
        <v>0</v>
      </c>
      <c r="BU241" s="189">
        <f xml:space="preserve"> Time!BU$214</f>
        <v>0</v>
      </c>
      <c r="BV241" s="189">
        <f xml:space="preserve"> Time!BV$214</f>
        <v>0</v>
      </c>
      <c r="BW241" s="189">
        <f xml:space="preserve"> Time!BW$214</f>
        <v>0</v>
      </c>
      <c r="BX241" s="189">
        <f xml:space="preserve"> Time!BX$214</f>
        <v>0</v>
      </c>
      <c r="BY241" s="189">
        <f xml:space="preserve"> Time!BY$214</f>
        <v>0</v>
      </c>
      <c r="BZ241" s="189">
        <f xml:space="preserve"> Time!BZ$214</f>
        <v>0</v>
      </c>
      <c r="CA241" s="189">
        <f xml:space="preserve"> Time!CA$214</f>
        <v>0</v>
      </c>
      <c r="CB241" s="189">
        <f xml:space="preserve"> Time!CB$214</f>
        <v>0</v>
      </c>
      <c r="CC241" s="189">
        <f xml:space="preserve"> Time!CC$214</f>
        <v>0</v>
      </c>
      <c r="CD241" s="189">
        <f xml:space="preserve"> Time!CD$214</f>
        <v>0</v>
      </c>
      <c r="CE241" s="189">
        <f xml:space="preserve"> Time!CE$214</f>
        <v>0</v>
      </c>
      <c r="CF241" s="189">
        <f xml:space="preserve"> Time!CF$214</f>
        <v>0</v>
      </c>
      <c r="CG241" s="189">
        <f xml:space="preserve"> Time!CG$214</f>
        <v>0</v>
      </c>
      <c r="CH241" s="189">
        <f xml:space="preserve"> Time!CH$214</f>
        <v>0</v>
      </c>
      <c r="CI241" s="189">
        <f xml:space="preserve"> Time!CI$214</f>
        <v>0</v>
      </c>
      <c r="CJ241" s="189">
        <f xml:space="preserve"> Time!CJ$214</f>
        <v>0</v>
      </c>
      <c r="CK241" s="189">
        <f xml:space="preserve"> Time!CK$214</f>
        <v>0</v>
      </c>
      <c r="CL241" s="189">
        <f xml:space="preserve"> Time!CL$214</f>
        <v>0</v>
      </c>
      <c r="CM241" s="189">
        <f xml:space="preserve"> Time!CM$214</f>
        <v>0</v>
      </c>
      <c r="CN241" s="189">
        <f xml:space="preserve"> Time!CN$214</f>
        <v>0</v>
      </c>
      <c r="CO241" s="189">
        <f xml:space="preserve"> Time!CO$214</f>
        <v>0</v>
      </c>
      <c r="CP241" s="189">
        <f xml:space="preserve"> Time!CP$214</f>
        <v>0</v>
      </c>
      <c r="CQ241" s="189">
        <f xml:space="preserve"> Time!CQ$214</f>
        <v>0</v>
      </c>
      <c r="CR241" s="189">
        <f xml:space="preserve"> Time!CR$214</f>
        <v>0</v>
      </c>
      <c r="CS241" s="189">
        <f xml:space="preserve"> Time!CS$214</f>
        <v>0</v>
      </c>
      <c r="CT241" s="189">
        <f xml:space="preserve"> Time!CT$214</f>
        <v>0</v>
      </c>
      <c r="CU241" s="189">
        <f xml:space="preserve"> Time!CU$214</f>
        <v>0</v>
      </c>
      <c r="CV241" s="189">
        <f xml:space="preserve"> Time!CV$214</f>
        <v>0</v>
      </c>
    </row>
    <row r="242" spans="1:100" outlineLevel="1" x14ac:dyDescent="0.2">
      <c r="E242" s="12" t="s">
        <v>1263</v>
      </c>
      <c r="G242" s="12" t="s">
        <v>164</v>
      </c>
      <c r="J242" s="82" t="str">
        <f t="shared" ref="J242:AO242" ca="1" si="311" xml:space="preserve"> IF( J241 = 1, J239 / J240, "na")</f>
        <v>na</v>
      </c>
      <c r="K242" s="82" t="str">
        <f t="shared" ca="1" si="311"/>
        <v>na</v>
      </c>
      <c r="L242" s="82" t="str">
        <f t="shared" ca="1" si="311"/>
        <v>na</v>
      </c>
      <c r="M242" s="82" t="str">
        <f t="shared" ca="1" si="311"/>
        <v>na</v>
      </c>
      <c r="N242" s="82" t="str">
        <f t="shared" ca="1" si="311"/>
        <v>na</v>
      </c>
      <c r="O242" s="82">
        <f t="shared" ca="1" si="311"/>
        <v>1.1051258941949349</v>
      </c>
      <c r="P242" s="82">
        <f t="shared" ca="1" si="311"/>
        <v>1.0897044224677603</v>
      </c>
      <c r="Q242" s="82">
        <f t="shared" ca="1" si="311"/>
        <v>1.0693437995526005</v>
      </c>
      <c r="R242" s="82">
        <f t="shared" ca="1" si="311"/>
        <v>1.0683409874591387</v>
      </c>
      <c r="S242" s="82">
        <f t="shared" ca="1" si="311"/>
        <v>1.0673294221847851</v>
      </c>
      <c r="T242" s="82">
        <f t="shared" ca="1" si="311"/>
        <v>1.0662928952661546</v>
      </c>
      <c r="U242" s="82">
        <f t="shared" ca="1" si="311"/>
        <v>1.065246904399918</v>
      </c>
      <c r="V242" s="82">
        <f t="shared" ca="1" si="311"/>
        <v>1.063449544547199</v>
      </c>
      <c r="W242" s="82">
        <f t="shared" ca="1" si="311"/>
        <v>1.0623658390964419</v>
      </c>
      <c r="X242" s="82">
        <f t="shared" ca="1" si="311"/>
        <v>1.0619849285138205</v>
      </c>
      <c r="Y242" s="82">
        <f t="shared" ca="1" si="311"/>
        <v>1.0608652748381613</v>
      </c>
      <c r="Z242" s="82">
        <f t="shared" ca="1" si="311"/>
        <v>1.0597183941017219</v>
      </c>
      <c r="AA242" s="82">
        <f t="shared" ca="1" si="311"/>
        <v>1.0585596294520905</v>
      </c>
      <c r="AB242" s="82">
        <f t="shared" ca="1" si="311"/>
        <v>1.0573725893443453</v>
      </c>
      <c r="AC242" s="82">
        <f t="shared" ca="1" si="311"/>
        <v>1.0561727498811049</v>
      </c>
      <c r="AD242" s="82">
        <f t="shared" ca="1" si="311"/>
        <v>1.0542244099844846</v>
      </c>
      <c r="AE242" s="82">
        <f t="shared" ca="1" si="311"/>
        <v>1.0529795930651376</v>
      </c>
      <c r="AF242" s="82">
        <f t="shared" ca="1" si="311"/>
        <v>1.0524277594973994</v>
      </c>
      <c r="AG242" s="82">
        <f t="shared" ca="1" si="311"/>
        <v>1.0511399500499414</v>
      </c>
      <c r="AH242" s="82">
        <f t="shared" ca="1" si="311"/>
        <v>1.0498208233800561</v>
      </c>
      <c r="AI242" s="82">
        <f t="shared" ca="1" si="311"/>
        <v>1.0484857614379399</v>
      </c>
      <c r="AJ242" s="82">
        <f t="shared" ca="1" si="311"/>
        <v>1.0471183268037665</v>
      </c>
      <c r="AK242" s="82">
        <f t="shared" ca="1" si="311"/>
        <v>1.0457337644909712</v>
      </c>
      <c r="AL242" s="82">
        <f t="shared" ca="1" si="311"/>
        <v>1.0436036896796721</v>
      </c>
      <c r="AM242" s="82">
        <f t="shared" ca="1" si="311"/>
        <v>1.0421649462271216</v>
      </c>
      <c r="AN242" s="82">
        <f t="shared" ca="1" si="311"/>
        <v>1.0414075194774142</v>
      </c>
      <c r="AO242" s="82">
        <f t="shared" ca="1" si="311"/>
        <v>1.0399167420627007</v>
      </c>
      <c r="AP242" s="82">
        <f t="shared" ref="AP242:BU242" ca="1" si="312" xml:space="preserve"> IF( AP241 = 1, AP239 / AP240, "na")</f>
        <v>1.0383895412746864</v>
      </c>
      <c r="AQ242" s="82">
        <f t="shared" ca="1" si="312"/>
        <v>1.0368410968180588</v>
      </c>
      <c r="AR242" s="82">
        <f t="shared" ca="1" si="312"/>
        <v>1.0352551332658264</v>
      </c>
      <c r="AS242" s="82">
        <f t="shared" ca="1" si="312"/>
        <v>1.0336462722589022</v>
      </c>
      <c r="AT242" s="82">
        <f t="shared" ca="1" si="312"/>
        <v>1.031294890101665</v>
      </c>
      <c r="AU242" s="82">
        <f t="shared" ca="1" si="312"/>
        <v>1.029620000359029</v>
      </c>
      <c r="AV242" s="82">
        <f t="shared" ca="1" si="312"/>
        <v>1.0286122465988319</v>
      </c>
      <c r="AW242" s="82" t="str">
        <f t="shared" ca="1" si="312"/>
        <v>na</v>
      </c>
      <c r="AX242" s="82" t="str">
        <f t="shared" ca="1" si="312"/>
        <v>na</v>
      </c>
      <c r="AY242" s="82" t="str">
        <f t="shared" ca="1" si="312"/>
        <v>na</v>
      </c>
      <c r="AZ242" s="82" t="str">
        <f t="shared" ca="1" si="312"/>
        <v>na</v>
      </c>
      <c r="BA242" s="82" t="str">
        <f t="shared" ca="1" si="312"/>
        <v>na</v>
      </c>
      <c r="BB242" s="82" t="str">
        <f t="shared" ca="1" si="312"/>
        <v>na</v>
      </c>
      <c r="BC242" s="82" t="str">
        <f t="shared" ca="1" si="312"/>
        <v>na</v>
      </c>
      <c r="BD242" s="82" t="str">
        <f t="shared" ca="1" si="312"/>
        <v>na</v>
      </c>
      <c r="BE242" s="82" t="str">
        <f t="shared" ca="1" si="312"/>
        <v>na</v>
      </c>
      <c r="BF242" s="82" t="str">
        <f t="shared" ca="1" si="312"/>
        <v>na</v>
      </c>
      <c r="BG242" s="82" t="str">
        <f t="shared" ca="1" si="312"/>
        <v>na</v>
      </c>
      <c r="BH242" s="82" t="str">
        <f t="shared" ca="1" si="312"/>
        <v>na</v>
      </c>
      <c r="BI242" s="82" t="str">
        <f t="shared" ca="1" si="312"/>
        <v>na</v>
      </c>
      <c r="BJ242" s="82" t="str">
        <f t="shared" ca="1" si="312"/>
        <v>na</v>
      </c>
      <c r="BK242" s="82" t="str">
        <f t="shared" ca="1" si="312"/>
        <v>na</v>
      </c>
      <c r="BL242" s="82" t="str">
        <f t="shared" ca="1" si="312"/>
        <v>na</v>
      </c>
      <c r="BM242" s="82" t="str">
        <f t="shared" ca="1" si="312"/>
        <v>na</v>
      </c>
      <c r="BN242" s="82" t="str">
        <f t="shared" ca="1" si="312"/>
        <v>na</v>
      </c>
      <c r="BO242" s="82" t="str">
        <f t="shared" ca="1" si="312"/>
        <v>na</v>
      </c>
      <c r="BP242" s="82" t="str">
        <f t="shared" ca="1" si="312"/>
        <v>na</v>
      </c>
      <c r="BQ242" s="82" t="str">
        <f t="shared" ca="1" si="312"/>
        <v>na</v>
      </c>
      <c r="BR242" s="82" t="str">
        <f t="shared" ca="1" si="312"/>
        <v>na</v>
      </c>
      <c r="BS242" s="82" t="str">
        <f t="shared" ca="1" si="312"/>
        <v>na</v>
      </c>
      <c r="BT242" s="82" t="str">
        <f t="shared" ca="1" si="312"/>
        <v>na</v>
      </c>
      <c r="BU242" s="82" t="str">
        <f t="shared" ca="1" si="312"/>
        <v>na</v>
      </c>
      <c r="BV242" s="82" t="str">
        <f t="shared" ref="BV242:CV242" ca="1" si="313" xml:space="preserve"> IF( BV241 = 1, BV239 / BV240, "na")</f>
        <v>na</v>
      </c>
      <c r="BW242" s="82" t="str">
        <f t="shared" ca="1" si="313"/>
        <v>na</v>
      </c>
      <c r="BX242" s="82" t="str">
        <f t="shared" ca="1" si="313"/>
        <v>na</v>
      </c>
      <c r="BY242" s="82" t="str">
        <f t="shared" ca="1" si="313"/>
        <v>na</v>
      </c>
      <c r="BZ242" s="82" t="str">
        <f t="shared" ca="1" si="313"/>
        <v>na</v>
      </c>
      <c r="CA242" s="82" t="str">
        <f t="shared" ca="1" si="313"/>
        <v>na</v>
      </c>
      <c r="CB242" s="82" t="str">
        <f t="shared" ca="1" si="313"/>
        <v>na</v>
      </c>
      <c r="CC242" s="82" t="str">
        <f t="shared" ca="1" si="313"/>
        <v>na</v>
      </c>
      <c r="CD242" s="82" t="str">
        <f t="shared" ca="1" si="313"/>
        <v>na</v>
      </c>
      <c r="CE242" s="82" t="str">
        <f t="shared" ca="1" si="313"/>
        <v>na</v>
      </c>
      <c r="CF242" s="82" t="str">
        <f t="shared" ca="1" si="313"/>
        <v>na</v>
      </c>
      <c r="CG242" s="82" t="str">
        <f t="shared" ca="1" si="313"/>
        <v>na</v>
      </c>
      <c r="CH242" s="82" t="str">
        <f t="shared" ca="1" si="313"/>
        <v>na</v>
      </c>
      <c r="CI242" s="82" t="str">
        <f t="shared" ca="1" si="313"/>
        <v>na</v>
      </c>
      <c r="CJ242" s="82" t="str">
        <f t="shared" ca="1" si="313"/>
        <v>na</v>
      </c>
      <c r="CK242" s="82" t="str">
        <f t="shared" ca="1" si="313"/>
        <v>na</v>
      </c>
      <c r="CL242" s="82" t="str">
        <f t="shared" ca="1" si="313"/>
        <v>na</v>
      </c>
      <c r="CM242" s="82" t="str">
        <f t="shared" ca="1" si="313"/>
        <v>na</v>
      </c>
      <c r="CN242" s="82" t="str">
        <f t="shared" ca="1" si="313"/>
        <v>na</v>
      </c>
      <c r="CO242" s="82" t="str">
        <f t="shared" ca="1" si="313"/>
        <v>na</v>
      </c>
      <c r="CP242" s="82" t="str">
        <f t="shared" ca="1" si="313"/>
        <v>na</v>
      </c>
      <c r="CQ242" s="82" t="str">
        <f t="shared" ca="1" si="313"/>
        <v>na</v>
      </c>
      <c r="CR242" s="82" t="str">
        <f t="shared" ca="1" si="313"/>
        <v>na</v>
      </c>
      <c r="CS242" s="82" t="str">
        <f t="shared" ca="1" si="313"/>
        <v>na</v>
      </c>
      <c r="CT242" s="82" t="str">
        <f t="shared" ca="1" si="313"/>
        <v>na</v>
      </c>
      <c r="CU242" s="82" t="str">
        <f t="shared" ca="1" si="313"/>
        <v>na</v>
      </c>
      <c r="CV242" s="82" t="str">
        <f t="shared" ca="1" si="313"/>
        <v>na</v>
      </c>
    </row>
    <row r="243" spans="1:100" outlineLevel="1" x14ac:dyDescent="0.2"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  <c r="AB243" s="82"/>
      <c r="AC243" s="82"/>
      <c r="AD243" s="82"/>
      <c r="AE243" s="82"/>
      <c r="AF243" s="82"/>
      <c r="AG243" s="82"/>
      <c r="AH243" s="82"/>
      <c r="AI243" s="82"/>
      <c r="AJ243" s="82"/>
      <c r="AK243" s="82"/>
      <c r="AL243" s="82"/>
      <c r="AM243" s="82"/>
      <c r="AN243" s="82"/>
      <c r="AO243" s="82"/>
      <c r="AP243" s="82"/>
      <c r="AQ243" s="82"/>
      <c r="AR243" s="82"/>
      <c r="AS243" s="82"/>
      <c r="AT243" s="82"/>
      <c r="AU243" s="82"/>
      <c r="AV243" s="82"/>
      <c r="AW243" s="82"/>
      <c r="AX243" s="82"/>
      <c r="AY243" s="82"/>
      <c r="AZ243" s="82"/>
      <c r="BA243" s="82"/>
      <c r="BB243" s="82"/>
      <c r="BC243" s="82"/>
      <c r="BD243" s="82"/>
      <c r="BE243" s="82"/>
      <c r="BF243" s="82"/>
      <c r="BG243" s="82"/>
      <c r="BH243" s="82"/>
      <c r="BI243" s="82"/>
      <c r="BJ243" s="82"/>
      <c r="BK243" s="82"/>
      <c r="BL243" s="82"/>
      <c r="BM243" s="82"/>
      <c r="BN243" s="82"/>
      <c r="BO243" s="82"/>
      <c r="BP243" s="82"/>
      <c r="BQ243" s="82"/>
      <c r="BR243" s="82"/>
      <c r="BS243" s="82"/>
      <c r="BT243" s="82"/>
      <c r="BU243" s="82"/>
      <c r="BV243" s="82"/>
      <c r="BW243" s="82"/>
      <c r="BX243" s="82"/>
      <c r="BY243" s="82"/>
      <c r="BZ243" s="82"/>
      <c r="CA243" s="82"/>
      <c r="CB243" s="82"/>
      <c r="CC243" s="82"/>
      <c r="CD243" s="82"/>
      <c r="CE243" s="82"/>
      <c r="CF243" s="82"/>
      <c r="CG243" s="82"/>
      <c r="CH243" s="82"/>
      <c r="CI243" s="82"/>
      <c r="CJ243" s="82"/>
      <c r="CK243" s="82"/>
      <c r="CL243" s="82"/>
      <c r="CM243" s="82"/>
      <c r="CN243" s="82"/>
      <c r="CO243" s="82"/>
      <c r="CP243" s="82"/>
      <c r="CQ243" s="82"/>
      <c r="CR243" s="82"/>
      <c r="CS243" s="82"/>
      <c r="CT243" s="82"/>
      <c r="CU243" s="82"/>
      <c r="CV243" s="82"/>
    </row>
    <row r="244" spans="1:100" s="280" customFormat="1" outlineLevel="1" x14ac:dyDescent="0.2">
      <c r="A244" s="278"/>
      <c r="B244" s="278"/>
      <c r="C244" s="410"/>
      <c r="D244" s="279"/>
      <c r="E244" s="82" t="str">
        <f t="shared" ref="E244:AJ244" si="314" xml:space="preserve"> E$242</f>
        <v>Senior annual debt service coverage ratio - P99</v>
      </c>
      <c r="F244" s="82">
        <f t="shared" si="314"/>
        <v>0</v>
      </c>
      <c r="G244" s="82" t="str">
        <f t="shared" si="314"/>
        <v>ratio</v>
      </c>
      <c r="H244" s="82">
        <f t="shared" si="314"/>
        <v>0</v>
      </c>
      <c r="I244" s="82">
        <f t="shared" si="314"/>
        <v>0</v>
      </c>
      <c r="J244" s="82" t="str">
        <f t="shared" ca="1" si="314"/>
        <v>na</v>
      </c>
      <c r="K244" s="82" t="str">
        <f t="shared" ca="1" si="314"/>
        <v>na</v>
      </c>
      <c r="L244" s="82" t="str">
        <f t="shared" ca="1" si="314"/>
        <v>na</v>
      </c>
      <c r="M244" s="82" t="str">
        <f t="shared" ca="1" si="314"/>
        <v>na</v>
      </c>
      <c r="N244" s="82" t="str">
        <f t="shared" ca="1" si="314"/>
        <v>na</v>
      </c>
      <c r="O244" s="82">
        <f t="shared" ca="1" si="314"/>
        <v>1.1051258941949349</v>
      </c>
      <c r="P244" s="82">
        <f t="shared" ca="1" si="314"/>
        <v>1.0897044224677603</v>
      </c>
      <c r="Q244" s="82">
        <f t="shared" ca="1" si="314"/>
        <v>1.0693437995526005</v>
      </c>
      <c r="R244" s="82">
        <f t="shared" ca="1" si="314"/>
        <v>1.0683409874591387</v>
      </c>
      <c r="S244" s="82">
        <f t="shared" ca="1" si="314"/>
        <v>1.0673294221847851</v>
      </c>
      <c r="T244" s="82">
        <f t="shared" ca="1" si="314"/>
        <v>1.0662928952661546</v>
      </c>
      <c r="U244" s="82">
        <f t="shared" ca="1" si="314"/>
        <v>1.065246904399918</v>
      </c>
      <c r="V244" s="82">
        <f t="shared" ca="1" si="314"/>
        <v>1.063449544547199</v>
      </c>
      <c r="W244" s="82">
        <f t="shared" ca="1" si="314"/>
        <v>1.0623658390964419</v>
      </c>
      <c r="X244" s="82">
        <f t="shared" ca="1" si="314"/>
        <v>1.0619849285138205</v>
      </c>
      <c r="Y244" s="82">
        <f t="shared" ca="1" si="314"/>
        <v>1.0608652748381613</v>
      </c>
      <c r="Z244" s="82">
        <f t="shared" ca="1" si="314"/>
        <v>1.0597183941017219</v>
      </c>
      <c r="AA244" s="82">
        <f t="shared" ca="1" si="314"/>
        <v>1.0585596294520905</v>
      </c>
      <c r="AB244" s="82">
        <f t="shared" ca="1" si="314"/>
        <v>1.0573725893443453</v>
      </c>
      <c r="AC244" s="82">
        <f t="shared" ca="1" si="314"/>
        <v>1.0561727498811049</v>
      </c>
      <c r="AD244" s="82">
        <f t="shared" ca="1" si="314"/>
        <v>1.0542244099844846</v>
      </c>
      <c r="AE244" s="82">
        <f t="shared" ca="1" si="314"/>
        <v>1.0529795930651376</v>
      </c>
      <c r="AF244" s="82">
        <f t="shared" ca="1" si="314"/>
        <v>1.0524277594973994</v>
      </c>
      <c r="AG244" s="82">
        <f t="shared" ca="1" si="314"/>
        <v>1.0511399500499414</v>
      </c>
      <c r="AH244" s="82">
        <f t="shared" ca="1" si="314"/>
        <v>1.0498208233800561</v>
      </c>
      <c r="AI244" s="82">
        <f t="shared" ca="1" si="314"/>
        <v>1.0484857614379399</v>
      </c>
      <c r="AJ244" s="82">
        <f t="shared" ca="1" si="314"/>
        <v>1.0471183268037665</v>
      </c>
      <c r="AK244" s="82">
        <f t="shared" ref="AK244:BP244" ca="1" si="315" xml:space="preserve"> AK$242</f>
        <v>1.0457337644909712</v>
      </c>
      <c r="AL244" s="82">
        <f t="shared" ca="1" si="315"/>
        <v>1.0436036896796721</v>
      </c>
      <c r="AM244" s="82">
        <f t="shared" ca="1" si="315"/>
        <v>1.0421649462271216</v>
      </c>
      <c r="AN244" s="82">
        <f t="shared" ca="1" si="315"/>
        <v>1.0414075194774142</v>
      </c>
      <c r="AO244" s="82">
        <f t="shared" ca="1" si="315"/>
        <v>1.0399167420627007</v>
      </c>
      <c r="AP244" s="82">
        <f t="shared" ca="1" si="315"/>
        <v>1.0383895412746864</v>
      </c>
      <c r="AQ244" s="82">
        <f t="shared" ca="1" si="315"/>
        <v>1.0368410968180588</v>
      </c>
      <c r="AR244" s="82">
        <f t="shared" ca="1" si="315"/>
        <v>1.0352551332658264</v>
      </c>
      <c r="AS244" s="82">
        <f t="shared" ca="1" si="315"/>
        <v>1.0336462722589022</v>
      </c>
      <c r="AT244" s="82">
        <f t="shared" ca="1" si="315"/>
        <v>1.031294890101665</v>
      </c>
      <c r="AU244" s="82">
        <f t="shared" ca="1" si="315"/>
        <v>1.029620000359029</v>
      </c>
      <c r="AV244" s="82">
        <f t="shared" ca="1" si="315"/>
        <v>1.0286122465988319</v>
      </c>
      <c r="AW244" s="82" t="str">
        <f t="shared" ca="1" si="315"/>
        <v>na</v>
      </c>
      <c r="AX244" s="82" t="str">
        <f t="shared" ca="1" si="315"/>
        <v>na</v>
      </c>
      <c r="AY244" s="82" t="str">
        <f t="shared" ca="1" si="315"/>
        <v>na</v>
      </c>
      <c r="AZ244" s="82" t="str">
        <f t="shared" ca="1" si="315"/>
        <v>na</v>
      </c>
      <c r="BA244" s="82" t="str">
        <f t="shared" ca="1" si="315"/>
        <v>na</v>
      </c>
      <c r="BB244" s="82" t="str">
        <f t="shared" ca="1" si="315"/>
        <v>na</v>
      </c>
      <c r="BC244" s="82" t="str">
        <f t="shared" ca="1" si="315"/>
        <v>na</v>
      </c>
      <c r="BD244" s="82" t="str">
        <f t="shared" ca="1" si="315"/>
        <v>na</v>
      </c>
      <c r="BE244" s="82" t="str">
        <f t="shared" ca="1" si="315"/>
        <v>na</v>
      </c>
      <c r="BF244" s="82" t="str">
        <f t="shared" ca="1" si="315"/>
        <v>na</v>
      </c>
      <c r="BG244" s="82" t="str">
        <f t="shared" ca="1" si="315"/>
        <v>na</v>
      </c>
      <c r="BH244" s="82" t="str">
        <f t="shared" ca="1" si="315"/>
        <v>na</v>
      </c>
      <c r="BI244" s="82" t="str">
        <f t="shared" ca="1" si="315"/>
        <v>na</v>
      </c>
      <c r="BJ244" s="82" t="str">
        <f t="shared" ca="1" si="315"/>
        <v>na</v>
      </c>
      <c r="BK244" s="82" t="str">
        <f t="shared" ca="1" si="315"/>
        <v>na</v>
      </c>
      <c r="BL244" s="82" t="str">
        <f t="shared" ca="1" si="315"/>
        <v>na</v>
      </c>
      <c r="BM244" s="82" t="str">
        <f t="shared" ca="1" si="315"/>
        <v>na</v>
      </c>
      <c r="BN244" s="82" t="str">
        <f t="shared" ca="1" si="315"/>
        <v>na</v>
      </c>
      <c r="BO244" s="82" t="str">
        <f t="shared" ca="1" si="315"/>
        <v>na</v>
      </c>
      <c r="BP244" s="82" t="str">
        <f t="shared" ca="1" si="315"/>
        <v>na</v>
      </c>
      <c r="BQ244" s="82" t="str">
        <f t="shared" ref="BQ244:CV244" ca="1" si="316" xml:space="preserve"> BQ$242</f>
        <v>na</v>
      </c>
      <c r="BR244" s="82" t="str">
        <f t="shared" ca="1" si="316"/>
        <v>na</v>
      </c>
      <c r="BS244" s="82" t="str">
        <f t="shared" ca="1" si="316"/>
        <v>na</v>
      </c>
      <c r="BT244" s="82" t="str">
        <f t="shared" ca="1" si="316"/>
        <v>na</v>
      </c>
      <c r="BU244" s="82" t="str">
        <f t="shared" ca="1" si="316"/>
        <v>na</v>
      </c>
      <c r="BV244" s="82" t="str">
        <f t="shared" ca="1" si="316"/>
        <v>na</v>
      </c>
      <c r="BW244" s="82" t="str">
        <f t="shared" ca="1" si="316"/>
        <v>na</v>
      </c>
      <c r="BX244" s="82" t="str">
        <f t="shared" ca="1" si="316"/>
        <v>na</v>
      </c>
      <c r="BY244" s="82" t="str">
        <f t="shared" ca="1" si="316"/>
        <v>na</v>
      </c>
      <c r="BZ244" s="82" t="str">
        <f t="shared" ca="1" si="316"/>
        <v>na</v>
      </c>
      <c r="CA244" s="82" t="str">
        <f t="shared" ca="1" si="316"/>
        <v>na</v>
      </c>
      <c r="CB244" s="82" t="str">
        <f t="shared" ca="1" si="316"/>
        <v>na</v>
      </c>
      <c r="CC244" s="82" t="str">
        <f t="shared" ca="1" si="316"/>
        <v>na</v>
      </c>
      <c r="CD244" s="82" t="str">
        <f t="shared" ca="1" si="316"/>
        <v>na</v>
      </c>
      <c r="CE244" s="82" t="str">
        <f t="shared" ca="1" si="316"/>
        <v>na</v>
      </c>
      <c r="CF244" s="82" t="str">
        <f t="shared" ca="1" si="316"/>
        <v>na</v>
      </c>
      <c r="CG244" s="82" t="str">
        <f t="shared" ca="1" si="316"/>
        <v>na</v>
      </c>
      <c r="CH244" s="82" t="str">
        <f t="shared" ca="1" si="316"/>
        <v>na</v>
      </c>
      <c r="CI244" s="82" t="str">
        <f t="shared" ca="1" si="316"/>
        <v>na</v>
      </c>
      <c r="CJ244" s="82" t="str">
        <f t="shared" ca="1" si="316"/>
        <v>na</v>
      </c>
      <c r="CK244" s="82" t="str">
        <f t="shared" ca="1" si="316"/>
        <v>na</v>
      </c>
      <c r="CL244" s="82" t="str">
        <f t="shared" ca="1" si="316"/>
        <v>na</v>
      </c>
      <c r="CM244" s="82" t="str">
        <f t="shared" ca="1" si="316"/>
        <v>na</v>
      </c>
      <c r="CN244" s="82" t="str">
        <f t="shared" ca="1" si="316"/>
        <v>na</v>
      </c>
      <c r="CO244" s="82" t="str">
        <f t="shared" ca="1" si="316"/>
        <v>na</v>
      </c>
      <c r="CP244" s="82" t="str">
        <f t="shared" ca="1" si="316"/>
        <v>na</v>
      </c>
      <c r="CQ244" s="82" t="str">
        <f t="shared" ca="1" si="316"/>
        <v>na</v>
      </c>
      <c r="CR244" s="82" t="str">
        <f t="shared" ca="1" si="316"/>
        <v>na</v>
      </c>
      <c r="CS244" s="82" t="str">
        <f t="shared" ca="1" si="316"/>
        <v>na</v>
      </c>
      <c r="CT244" s="82" t="str">
        <f t="shared" ca="1" si="316"/>
        <v>na</v>
      </c>
      <c r="CU244" s="82" t="str">
        <f t="shared" ca="1" si="316"/>
        <v>na</v>
      </c>
      <c r="CV244" s="82" t="str">
        <f t="shared" ca="1" si="316"/>
        <v>na</v>
      </c>
    </row>
    <row r="245" spans="1:100" s="188" customFormat="1" outlineLevel="1" x14ac:dyDescent="0.2">
      <c r="A245" s="141"/>
      <c r="B245" s="141"/>
      <c r="C245" s="142"/>
      <c r="D245" s="143"/>
      <c r="E245" s="187" t="s">
        <v>1264</v>
      </c>
      <c r="F245" s="411">
        <f ca="1" xml:space="preserve"> MIN(J244:CV244)</f>
        <v>1.0286122465988319</v>
      </c>
      <c r="G245" s="187" t="s">
        <v>164</v>
      </c>
      <c r="H245" s="187"/>
      <c r="I245" s="144"/>
      <c r="J245" s="411"/>
      <c r="K245" s="411"/>
      <c r="L245" s="411"/>
      <c r="M245" s="411"/>
      <c r="N245" s="411"/>
      <c r="O245" s="411"/>
      <c r="P245" s="411"/>
      <c r="Q245" s="411"/>
      <c r="R245" s="411"/>
      <c r="S245" s="411"/>
      <c r="T245" s="411"/>
      <c r="U245" s="411"/>
      <c r="V245" s="411"/>
      <c r="W245" s="411"/>
      <c r="X245" s="411"/>
      <c r="Y245" s="411"/>
      <c r="Z245" s="411"/>
      <c r="AA245" s="411"/>
      <c r="AB245" s="411"/>
      <c r="AC245" s="411"/>
      <c r="AD245" s="411"/>
      <c r="AE245" s="411"/>
      <c r="AF245" s="411"/>
      <c r="AG245" s="411"/>
      <c r="AH245" s="411"/>
      <c r="AI245" s="411"/>
      <c r="AJ245" s="411"/>
      <c r="AK245" s="411"/>
      <c r="AL245" s="411"/>
      <c r="AM245" s="411"/>
      <c r="AN245" s="411"/>
      <c r="AO245" s="411"/>
      <c r="AP245" s="411"/>
      <c r="AQ245" s="411"/>
      <c r="AR245" s="411"/>
      <c r="AS245" s="411"/>
      <c r="AT245" s="411"/>
      <c r="AU245" s="411"/>
      <c r="AV245" s="411"/>
      <c r="AW245" s="411"/>
      <c r="AX245" s="411"/>
      <c r="AY245" s="411"/>
      <c r="AZ245" s="411"/>
      <c r="BA245" s="411"/>
      <c r="BB245" s="411"/>
      <c r="BC245" s="411"/>
      <c r="BD245" s="411"/>
      <c r="BE245" s="411"/>
      <c r="BF245" s="411"/>
      <c r="BG245" s="411"/>
      <c r="BH245" s="411"/>
      <c r="BI245" s="411"/>
      <c r="BJ245" s="411"/>
      <c r="BK245" s="411"/>
      <c r="BL245" s="411"/>
      <c r="BM245" s="411"/>
      <c r="BN245" s="411"/>
      <c r="BO245" s="411"/>
      <c r="BP245" s="411"/>
      <c r="BQ245" s="411"/>
      <c r="BR245" s="411"/>
      <c r="BS245" s="411"/>
      <c r="BT245" s="411"/>
      <c r="BU245" s="411"/>
      <c r="BV245" s="411"/>
      <c r="BW245" s="411"/>
      <c r="BX245" s="411"/>
      <c r="BY245" s="411"/>
      <c r="BZ245" s="411"/>
      <c r="CA245" s="411"/>
      <c r="CB245" s="411"/>
      <c r="CC245" s="411"/>
      <c r="CD245" s="411"/>
      <c r="CE245" s="411"/>
      <c r="CF245" s="411"/>
      <c r="CG245" s="411"/>
      <c r="CH245" s="411"/>
      <c r="CI245" s="411"/>
      <c r="CJ245" s="411"/>
      <c r="CK245" s="411"/>
      <c r="CL245" s="411"/>
      <c r="CM245" s="411"/>
      <c r="CN245" s="411"/>
      <c r="CO245" s="411"/>
      <c r="CP245" s="411"/>
      <c r="CQ245" s="411"/>
      <c r="CR245" s="411"/>
      <c r="CS245" s="411"/>
      <c r="CT245" s="411"/>
      <c r="CU245" s="411"/>
      <c r="CV245" s="411"/>
    </row>
    <row r="246" spans="1:100" s="188" customFormat="1" outlineLevel="1" x14ac:dyDescent="0.2">
      <c r="A246" s="141"/>
      <c r="B246" s="141"/>
      <c r="C246" s="142"/>
      <c r="D246" s="143"/>
      <c r="E246" s="187" t="s">
        <v>1265</v>
      </c>
      <c r="F246" s="411">
        <f ca="1" xml:space="preserve"> AVERAGE(J244:CV244)</f>
        <v>1.0533692865333464</v>
      </c>
      <c r="G246" s="187" t="s">
        <v>164</v>
      </c>
      <c r="H246" s="187"/>
      <c r="I246" s="144"/>
      <c r="J246" s="411"/>
      <c r="K246" s="411"/>
      <c r="L246" s="411"/>
      <c r="M246" s="411"/>
      <c r="N246" s="411"/>
      <c r="O246" s="411"/>
      <c r="P246" s="411"/>
      <c r="Q246" s="411"/>
      <c r="R246" s="411"/>
      <c r="S246" s="411"/>
      <c r="T246" s="411"/>
      <c r="U246" s="411"/>
      <c r="V246" s="411"/>
      <c r="W246" s="411"/>
      <c r="X246" s="411"/>
      <c r="Y246" s="411"/>
      <c r="Z246" s="411"/>
      <c r="AA246" s="411"/>
      <c r="AB246" s="411"/>
      <c r="AC246" s="411"/>
      <c r="AD246" s="411"/>
      <c r="AE246" s="411"/>
      <c r="AF246" s="411"/>
      <c r="AG246" s="411"/>
      <c r="AH246" s="411"/>
      <c r="AI246" s="411"/>
      <c r="AJ246" s="411"/>
      <c r="AK246" s="411"/>
      <c r="AL246" s="411"/>
      <c r="AM246" s="411"/>
      <c r="AN246" s="411"/>
      <c r="AO246" s="411"/>
      <c r="AP246" s="411"/>
      <c r="AQ246" s="411"/>
      <c r="AR246" s="411"/>
      <c r="AS246" s="411"/>
      <c r="AT246" s="411"/>
      <c r="AU246" s="411"/>
      <c r="AV246" s="411"/>
      <c r="AW246" s="411"/>
      <c r="AX246" s="411"/>
      <c r="AY246" s="411"/>
      <c r="AZ246" s="411"/>
      <c r="BA246" s="411"/>
      <c r="BB246" s="411"/>
      <c r="BC246" s="411"/>
      <c r="BD246" s="411"/>
      <c r="BE246" s="411"/>
      <c r="BF246" s="411"/>
      <c r="BG246" s="411"/>
      <c r="BH246" s="411"/>
      <c r="BI246" s="411"/>
      <c r="BJ246" s="411"/>
      <c r="BK246" s="411"/>
      <c r="BL246" s="411"/>
      <c r="BM246" s="411"/>
      <c r="BN246" s="411"/>
      <c r="BO246" s="411"/>
      <c r="BP246" s="411"/>
      <c r="BQ246" s="411"/>
      <c r="BR246" s="411"/>
      <c r="BS246" s="411"/>
      <c r="BT246" s="411"/>
      <c r="BU246" s="411"/>
      <c r="BV246" s="411"/>
      <c r="BW246" s="411"/>
      <c r="BX246" s="411"/>
      <c r="BY246" s="411"/>
      <c r="BZ246" s="411"/>
      <c r="CA246" s="411"/>
      <c r="CB246" s="411"/>
      <c r="CC246" s="411"/>
      <c r="CD246" s="411"/>
      <c r="CE246" s="411"/>
      <c r="CF246" s="411"/>
      <c r="CG246" s="411"/>
      <c r="CH246" s="411"/>
      <c r="CI246" s="411"/>
      <c r="CJ246" s="411"/>
      <c r="CK246" s="411"/>
      <c r="CL246" s="411"/>
      <c r="CM246" s="411"/>
      <c r="CN246" s="411"/>
      <c r="CO246" s="411"/>
      <c r="CP246" s="411"/>
      <c r="CQ246" s="411"/>
      <c r="CR246" s="411"/>
      <c r="CS246" s="411"/>
      <c r="CT246" s="411"/>
      <c r="CU246" s="411"/>
      <c r="CV246" s="411"/>
    </row>
    <row r="247" spans="1:100" outlineLevel="1" x14ac:dyDescent="0.2">
      <c r="J247" s="82"/>
      <c r="K247" s="82"/>
      <c r="L247" s="82"/>
      <c r="M247" s="82"/>
      <c r="N247" s="82"/>
      <c r="O247" s="82"/>
      <c r="P247" s="82"/>
      <c r="Q247" s="82"/>
      <c r="R247" s="82"/>
      <c r="S247" s="82"/>
      <c r="T247" s="82"/>
      <c r="U247" s="82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2"/>
      <c r="AS247" s="82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82"/>
      <c r="CO247" s="82"/>
      <c r="CP247" s="82"/>
      <c r="CQ247" s="82"/>
      <c r="CR247" s="82"/>
      <c r="CS247" s="82"/>
      <c r="CT247" s="82"/>
      <c r="CU247" s="82"/>
      <c r="CV247" s="82"/>
    </row>
    <row r="248" spans="1:100" x14ac:dyDescent="0.2">
      <c r="J248" s="82"/>
      <c r="K248" s="82"/>
      <c r="L248" s="82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2"/>
      <c r="AS248" s="82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82"/>
      <c r="CO248" s="82"/>
      <c r="CP248" s="82"/>
      <c r="CQ248" s="82"/>
      <c r="CR248" s="82"/>
      <c r="CS248" s="82"/>
      <c r="CT248" s="82"/>
      <c r="CU248" s="82"/>
      <c r="CV248" s="82"/>
    </row>
    <row r="249" spans="1:100" x14ac:dyDescent="0.2">
      <c r="A249" s="15" t="s">
        <v>1266</v>
      </c>
      <c r="J249" s="82"/>
      <c r="K249" s="82"/>
      <c r="L249" s="82"/>
      <c r="M249" s="82"/>
      <c r="N249" s="82"/>
      <c r="O249" s="82"/>
      <c r="P249" s="82"/>
      <c r="Q249" s="82"/>
      <c r="R249" s="82"/>
      <c r="S249" s="82"/>
      <c r="T249" s="82"/>
      <c r="U249" s="82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2"/>
      <c r="AS249" s="82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82"/>
      <c r="CO249" s="82"/>
      <c r="CP249" s="82"/>
      <c r="CQ249" s="82"/>
      <c r="CR249" s="82"/>
      <c r="CS249" s="82"/>
      <c r="CT249" s="82"/>
      <c r="CU249" s="82"/>
      <c r="CV249" s="82"/>
    </row>
    <row r="250" spans="1:100" outlineLevel="1" x14ac:dyDescent="0.2">
      <c r="J250" s="82"/>
      <c r="K250" s="82"/>
      <c r="L250" s="82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2"/>
      <c r="AS250" s="82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82"/>
      <c r="CO250" s="82"/>
      <c r="CP250" s="82"/>
      <c r="CQ250" s="82"/>
      <c r="CR250" s="82"/>
      <c r="CS250" s="82"/>
      <c r="CT250" s="82"/>
      <c r="CU250" s="82"/>
      <c r="CV250" s="82"/>
    </row>
    <row r="251" spans="1:100" outlineLevel="1" x14ac:dyDescent="0.2">
      <c r="A251" s="75"/>
      <c r="B251" s="639"/>
      <c r="C251" s="640"/>
      <c r="D251" s="641"/>
      <c r="E251" s="125" t="str">
        <f xml:space="preserve"> Debt!E$237</f>
        <v>Senior debt interest - T1 POS</v>
      </c>
      <c r="F251" s="125">
        <f xml:space="preserve"> Debt!F$237</f>
        <v>0</v>
      </c>
      <c r="G251" s="125" t="str">
        <f xml:space="preserve"> Debt!G$237</f>
        <v>$ 000s</v>
      </c>
      <c r="H251" s="125">
        <f xml:space="preserve"> Debt!H$237</f>
        <v>58932.622085008683</v>
      </c>
      <c r="I251" s="125">
        <f xml:space="preserve"> Debt!I$237</f>
        <v>0</v>
      </c>
      <c r="J251" s="125">
        <f xml:space="preserve"> Debt!J$237</f>
        <v>0</v>
      </c>
      <c r="K251" s="125">
        <f xml:space="preserve"> Debt!K$237</f>
        <v>0</v>
      </c>
      <c r="L251" s="125">
        <f xml:space="preserve"> Debt!L$237</f>
        <v>0</v>
      </c>
      <c r="M251" s="125">
        <f xml:space="preserve"> Debt!M$237</f>
        <v>0</v>
      </c>
      <c r="N251" s="125">
        <f xml:space="preserve"> Debt!N$237</f>
        <v>0</v>
      </c>
      <c r="O251" s="125">
        <f xml:space="preserve"> Debt!O$237</f>
        <v>2687.5177475939608</v>
      </c>
      <c r="P251" s="125">
        <f xml:space="preserve"> Debt!P$237</f>
        <v>2582.7239566536373</v>
      </c>
      <c r="Q251" s="125">
        <f xml:space="preserve"> Debt!Q$237</f>
        <v>2574.328504175005</v>
      </c>
      <c r="R251" s="125">
        <f xml:space="preserve"> Debt!R$237</f>
        <v>2481.3813281599528</v>
      </c>
      <c r="S251" s="125">
        <f xml:space="preserve"> Debt!S$237</f>
        <v>2469.7293209345407</v>
      </c>
      <c r="T251" s="125">
        <f xml:space="preserve"> Debt!T$237</f>
        <v>2376.876065985799</v>
      </c>
      <c r="U251" s="125">
        <f xml:space="preserve"> Debt!U$237</f>
        <v>2361.8520922003349</v>
      </c>
      <c r="V251" s="125">
        <f xml:space="preserve"> Debt!V$237</f>
        <v>2281.6182261919198</v>
      </c>
      <c r="W251" s="125">
        <f xml:space="preserve"> Debt!W$237</f>
        <v>2250.6592852748454</v>
      </c>
      <c r="X251" s="125">
        <f xml:space="preserve"> Debt!X$237</f>
        <v>2158.0922847899237</v>
      </c>
      <c r="Y251" s="125">
        <f xml:space="preserve"> Debt!Y$237</f>
        <v>2237.6804315095601</v>
      </c>
      <c r="Z251" s="125">
        <f xml:space="preserve"> Debt!Z$237</f>
        <v>2142.3886900549105</v>
      </c>
      <c r="AA251" s="125">
        <f xml:space="preserve"> Debt!AA$237</f>
        <v>2117.0515797327043</v>
      </c>
      <c r="AB251" s="125">
        <f xml:space="preserve"> Debt!AB$237</f>
        <v>2021.7094910691326</v>
      </c>
      <c r="AC251" s="125">
        <f xml:space="preserve"> Debt!AC$237</f>
        <v>1992.3163229370118</v>
      </c>
      <c r="AD251" s="125">
        <f xml:space="preserve"> Debt!AD$237</f>
        <v>1907.3851466300987</v>
      </c>
      <c r="AE251" s="125">
        <f xml:space="preserve"> Debt!AE$237</f>
        <v>1863.349317892918</v>
      </c>
      <c r="AF251" s="125">
        <f xml:space="preserve"> Debt!AF$237</f>
        <v>1767.9820934948079</v>
      </c>
      <c r="AG251" s="125">
        <f xml:space="preserve"> Debt!AG$237</f>
        <v>1730.0089819557033</v>
      </c>
      <c r="AH251" s="125">
        <f xml:space="preserve"> Debt!AH$237</f>
        <v>1634.3997473361794</v>
      </c>
      <c r="AI251" s="125">
        <f xml:space="preserve"> Debt!AI$237</f>
        <v>1664.2398160286421</v>
      </c>
      <c r="AJ251" s="125">
        <f xml:space="preserve"> Debt!AJ$237</f>
        <v>1565.5385581725184</v>
      </c>
      <c r="AK251" s="125">
        <f xml:space="preserve"> Debt!AK$237</f>
        <v>1517.504166079535</v>
      </c>
      <c r="AL251" s="125">
        <f xml:space="preserve"> Debt!AL$237</f>
        <v>1426.3062182693025</v>
      </c>
      <c r="AM251" s="125">
        <f xml:space="preserve"> Debt!AM$237</f>
        <v>1365.2015310096476</v>
      </c>
      <c r="AN251" s="125">
        <f xml:space="preserve"> Debt!AN$237</f>
        <v>1265.9321561833478</v>
      </c>
      <c r="AO251" s="125">
        <f xml:space="preserve"> Debt!AO$237</f>
        <v>1207.2384434234541</v>
      </c>
      <c r="AP251" s="125">
        <f xml:space="preserve"> Debt!AP$237</f>
        <v>1107.4310609472375</v>
      </c>
      <c r="AQ251" s="125">
        <f xml:space="preserve"> Debt!AQ$237</f>
        <v>1043.0631804876928</v>
      </c>
      <c r="AR251" s="125">
        <f xml:space="preserve"> Debt!AR$237</f>
        <v>942.81174989072917</v>
      </c>
      <c r="AS251" s="125">
        <f xml:space="preserve"> Debt!AS$237</f>
        <v>872.52701382584769</v>
      </c>
      <c r="AT251" s="125">
        <f xml:space="preserve"> Debt!AT$237</f>
        <v>652.41628467561759</v>
      </c>
      <c r="AU251" s="125">
        <f xml:space="preserve"> Debt!AU$237</f>
        <v>443.63241738550107</v>
      </c>
      <c r="AV251" s="125">
        <f xml:space="preserve"> Debt!AV$237</f>
        <v>219.7301918317994</v>
      </c>
      <c r="AW251" s="125">
        <f xml:space="preserve"> Debt!AW$237</f>
        <v>-2.2123232123425019E-4</v>
      </c>
      <c r="AX251" s="125">
        <f xml:space="preserve"> Debt!AX$237</f>
        <v>-2.1762527251847438E-4</v>
      </c>
      <c r="AY251" s="125">
        <f xml:space="preserve"> Debt!AY$237</f>
        <v>-2.2123232123425019E-4</v>
      </c>
      <c r="AZ251" s="125">
        <f xml:space="preserve"> Debt!AZ$237</f>
        <v>-2.1762527251847438E-4</v>
      </c>
      <c r="BA251" s="125">
        <f xml:space="preserve"> Debt!BA$237</f>
        <v>-2.2123232123425019E-4</v>
      </c>
      <c r="BB251" s="125">
        <f xml:space="preserve"> Debt!BB$237</f>
        <v>-2.1882762209039967E-4</v>
      </c>
      <c r="BC251" s="125">
        <f xml:space="preserve"> Debt!BC$237</f>
        <v>0</v>
      </c>
      <c r="BD251" s="125">
        <f xml:space="preserve"> Debt!BD$237</f>
        <v>0</v>
      </c>
      <c r="BE251" s="125">
        <f xml:space="preserve"> Debt!BE$237</f>
        <v>0</v>
      </c>
      <c r="BF251" s="125">
        <f xml:space="preserve"> Debt!BF$237</f>
        <v>0</v>
      </c>
      <c r="BG251" s="125">
        <f xml:space="preserve"> Debt!BG$237</f>
        <v>0</v>
      </c>
      <c r="BH251" s="125">
        <f xml:space="preserve"> Debt!BH$237</f>
        <v>0</v>
      </c>
      <c r="BI251" s="125">
        <f xml:space="preserve"> Debt!BI$237</f>
        <v>0</v>
      </c>
      <c r="BJ251" s="125">
        <f xml:space="preserve"> Debt!BJ$237</f>
        <v>0</v>
      </c>
      <c r="BK251" s="125">
        <f xml:space="preserve"> Debt!BK$237</f>
        <v>0</v>
      </c>
      <c r="BL251" s="125">
        <f xml:space="preserve"> Debt!BL$237</f>
        <v>0</v>
      </c>
      <c r="BM251" s="125">
        <f xml:space="preserve"> Debt!BM$237</f>
        <v>0</v>
      </c>
      <c r="BN251" s="125">
        <f xml:space="preserve"> Debt!BN$237</f>
        <v>0</v>
      </c>
      <c r="BO251" s="125">
        <f xml:space="preserve"> Debt!BO$237</f>
        <v>0</v>
      </c>
      <c r="BP251" s="125">
        <f xml:space="preserve"> Debt!BP$237</f>
        <v>0</v>
      </c>
      <c r="BQ251" s="125">
        <f xml:space="preserve"> Debt!BQ$237</f>
        <v>0</v>
      </c>
      <c r="BR251" s="125">
        <f xml:space="preserve"> Debt!BR$237</f>
        <v>0</v>
      </c>
      <c r="BS251" s="125">
        <f xml:space="preserve"> Debt!BS$237</f>
        <v>0</v>
      </c>
      <c r="BT251" s="125">
        <f xml:space="preserve"> Debt!BT$237</f>
        <v>0</v>
      </c>
      <c r="BU251" s="125">
        <f xml:space="preserve"> Debt!BU$237</f>
        <v>0</v>
      </c>
      <c r="BV251" s="125">
        <f xml:space="preserve"> Debt!BV$237</f>
        <v>0</v>
      </c>
      <c r="BW251" s="125">
        <f xml:space="preserve"> Debt!BW$237</f>
        <v>0</v>
      </c>
      <c r="BX251" s="125">
        <f xml:space="preserve"> Debt!BX$237</f>
        <v>0</v>
      </c>
      <c r="BY251" s="125">
        <f xml:space="preserve"> Debt!BY$237</f>
        <v>0</v>
      </c>
      <c r="BZ251" s="125">
        <f xml:space="preserve"> Debt!BZ$237</f>
        <v>0</v>
      </c>
      <c r="CA251" s="125">
        <f xml:space="preserve"> Debt!CA$237</f>
        <v>0</v>
      </c>
      <c r="CB251" s="125">
        <f xml:space="preserve"> Debt!CB$237</f>
        <v>0</v>
      </c>
      <c r="CC251" s="125">
        <f xml:space="preserve"> Debt!CC$237</f>
        <v>0</v>
      </c>
      <c r="CD251" s="125">
        <f xml:space="preserve"> Debt!CD$237</f>
        <v>0</v>
      </c>
      <c r="CE251" s="125">
        <f xml:space="preserve"> Debt!CE$237</f>
        <v>0</v>
      </c>
      <c r="CF251" s="125">
        <f xml:space="preserve"> Debt!CF$237</f>
        <v>0</v>
      </c>
      <c r="CG251" s="125">
        <f xml:space="preserve"> Debt!CG$237</f>
        <v>0</v>
      </c>
      <c r="CH251" s="125">
        <f xml:space="preserve"> Debt!CH$237</f>
        <v>0</v>
      </c>
      <c r="CI251" s="125">
        <f xml:space="preserve"> Debt!CI$237</f>
        <v>0</v>
      </c>
      <c r="CJ251" s="125">
        <f xml:space="preserve"> Debt!CJ$237</f>
        <v>0</v>
      </c>
      <c r="CK251" s="125">
        <f xml:space="preserve"> Debt!CK$237</f>
        <v>0</v>
      </c>
      <c r="CL251" s="125">
        <f xml:space="preserve"> Debt!CL$237</f>
        <v>0</v>
      </c>
      <c r="CM251" s="125">
        <f xml:space="preserve"> Debt!CM$237</f>
        <v>0</v>
      </c>
      <c r="CN251" s="125">
        <f xml:space="preserve"> Debt!CN$237</f>
        <v>0</v>
      </c>
      <c r="CO251" s="125">
        <f xml:space="preserve"> Debt!CO$237</f>
        <v>0</v>
      </c>
      <c r="CP251" s="125">
        <f xml:space="preserve"> Debt!CP$237</f>
        <v>0</v>
      </c>
      <c r="CQ251" s="125">
        <f xml:space="preserve"> Debt!CQ$237</f>
        <v>0</v>
      </c>
      <c r="CR251" s="125">
        <f xml:space="preserve"> Debt!CR$237</f>
        <v>0</v>
      </c>
      <c r="CS251" s="125">
        <f xml:space="preserve"> Debt!CS$237</f>
        <v>0</v>
      </c>
      <c r="CT251" s="125">
        <f xml:space="preserve"> Debt!CT$237</f>
        <v>0</v>
      </c>
      <c r="CU251" s="125">
        <f xml:space="preserve"> Debt!CU$237</f>
        <v>0</v>
      </c>
      <c r="CV251" s="125">
        <f xml:space="preserve"> Debt!CV$237</f>
        <v>0</v>
      </c>
    </row>
    <row r="252" spans="1:100" outlineLevel="1" x14ac:dyDescent="0.2">
      <c r="A252" s="75"/>
      <c r="B252" s="639"/>
      <c r="C252" s="640"/>
      <c r="D252" s="641"/>
      <c r="E252" s="125" t="str">
        <f xml:space="preserve"> Debt!E$187</f>
        <v>Senior debt balance BEG - T1</v>
      </c>
      <c r="F252" s="125">
        <f xml:space="preserve"> Debt!F$187</f>
        <v>0</v>
      </c>
      <c r="G252" s="125" t="str">
        <f xml:space="preserve"> Debt!G$187</f>
        <v>$ 000s</v>
      </c>
      <c r="H252" s="125">
        <f xml:space="preserve"> Debt!H$187</f>
        <v>0</v>
      </c>
      <c r="I252" s="125">
        <f xml:space="preserve"> Debt!I$187</f>
        <v>0</v>
      </c>
      <c r="J252" s="125">
        <f xml:space="preserve"> Debt!J$187</f>
        <v>0</v>
      </c>
      <c r="K252" s="125">
        <f xml:space="preserve"> Debt!K$187</f>
        <v>0</v>
      </c>
      <c r="L252" s="125">
        <f xml:space="preserve"> Debt!L$187</f>
        <v>12084.251893640236</v>
      </c>
      <c r="M252" s="125">
        <f xml:space="preserve"> Debt!M$187</f>
        <v>48641.086087745876</v>
      </c>
      <c r="N252" s="125">
        <f xml:space="preserve"> Debt!N$187</f>
        <v>85848.029919746245</v>
      </c>
      <c r="O252" s="125">
        <f xml:space="preserve"> Debt!O$187</f>
        <v>125194.92613015344</v>
      </c>
      <c r="P252" s="125">
        <f xml:space="preserve"> Debt!P$187</f>
        <v>122307.36969156924</v>
      </c>
      <c r="Q252" s="125">
        <f xml:space="preserve"> Debt!Q$187</f>
        <v>119922.1352876555</v>
      </c>
      <c r="R252" s="125">
        <f xml:space="preserve"> Debt!R$187</f>
        <v>117508.19233590935</v>
      </c>
      <c r="S252" s="125">
        <f xml:space="preserve"> Debt!S$187</f>
        <v>115049.50252800655</v>
      </c>
      <c r="T252" s="125">
        <f xml:space="preserve"> Debt!T$187</f>
        <v>112559.24542947744</v>
      </c>
      <c r="U252" s="125">
        <f xml:space="preserve"> Debt!U$187</f>
        <v>110024.16578572989</v>
      </c>
      <c r="V252" s="125">
        <f xml:space="preserve"> Debt!V$187</f>
        <v>107454.54754436042</v>
      </c>
      <c r="W252" s="125">
        <f xml:space="preserve"> Debt!W$187</f>
        <v>104844.37664323812</v>
      </c>
      <c r="X252" s="125">
        <f xml:space="preserve"> Debt!X$187</f>
        <v>102198.52966645258</v>
      </c>
      <c r="Y252" s="125">
        <f xml:space="preserve"> Debt!Y$187</f>
        <v>99501.600215346058</v>
      </c>
      <c r="Z252" s="125">
        <f xml:space="preserve"> Debt!Z$187</f>
        <v>96843.285838745331</v>
      </c>
      <c r="AA252" s="125">
        <f xml:space="preserve"> Debt!AA$187</f>
        <v>94137.669059260574</v>
      </c>
      <c r="AB252" s="125">
        <f xml:space="preserve"> Debt!AB$187</f>
        <v>91388.173880573551</v>
      </c>
      <c r="AC252" s="125">
        <f xml:space="preserve"> Debt!AC$187</f>
        <v>88591.140842060806</v>
      </c>
      <c r="AD252" s="125">
        <f xml:space="preserve"> Debt!AD$187</f>
        <v>85746.585013341115</v>
      </c>
      <c r="AE252" s="125">
        <f xml:space="preserve"> Debt!AE$187</f>
        <v>82856.442001167306</v>
      </c>
      <c r="AF252" s="125">
        <f xml:space="preserve"> Debt!AF$187</f>
        <v>79918.828937485043</v>
      </c>
      <c r="AG252" s="125">
        <f xml:space="preserve"> Debt!AG$187</f>
        <v>76927.27686561922</v>
      </c>
      <c r="AH252" s="125">
        <f xml:space="preserve"> Debt!AH$187</f>
        <v>73880.450658089481</v>
      </c>
      <c r="AI252" s="125">
        <f xml:space="preserve"> Debt!AI$187</f>
        <v>70785.247373619</v>
      </c>
      <c r="AJ252" s="125">
        <f xml:space="preserve"> Debt!AJ$187</f>
        <v>67690.833646661864</v>
      </c>
      <c r="AK252" s="125">
        <f xml:space="preserve"> Debt!AK$187</f>
        <v>64544.128046861137</v>
      </c>
      <c r="AL252" s="125">
        <f xml:space="preserve"> Debt!AL$187</f>
        <v>61331.848850567236</v>
      </c>
      <c r="AM252" s="125">
        <f xml:space="preserve"> Debt!AM$187</f>
        <v>58066.22768944627</v>
      </c>
      <c r="AN252" s="125">
        <f xml:space="preserve"> Debt!AN$187</f>
        <v>54736.43721186708</v>
      </c>
      <c r="AO252" s="125">
        <f xml:space="preserve"> Debt!AO$187</f>
        <v>51347.570845042952</v>
      </c>
      <c r="AP252" s="125">
        <f xml:space="preserve"> Debt!AP$187</f>
        <v>47883.159012851975</v>
      </c>
      <c r="AQ252" s="125">
        <f xml:space="preserve"> Debt!AQ$187</f>
        <v>44364.691041537037</v>
      </c>
      <c r="AR252" s="125">
        <f xml:space="preserve"> Debt!AR$187</f>
        <v>40765.341095443495</v>
      </c>
      <c r="AS252" s="125">
        <f xml:space="preserve"> Debt!AS$187</f>
        <v>37111.262402800712</v>
      </c>
      <c r="AT252" s="125">
        <f xml:space="preserve"> Debt!AT$187</f>
        <v>28054.211954517719</v>
      </c>
      <c r="AU252" s="125">
        <f xml:space="preserve"> Debt!AU$187</f>
        <v>18869.053669515644</v>
      </c>
      <c r="AV252" s="125">
        <f xml:space="preserve"> Debt!AV$187</f>
        <v>9500.7049074522929</v>
      </c>
      <c r="AW252" s="125">
        <f xml:space="preserve"> Debt!AW$187</f>
        <v>-2.5461520346652833E-2</v>
      </c>
      <c r="AX252" s="125">
        <f xml:space="preserve"> Debt!AX$187</f>
        <v>-2.5461520346652833E-2</v>
      </c>
      <c r="AY252" s="125">
        <f xml:space="preserve"> Debt!AY$187</f>
        <v>-2.5461520346652833E-2</v>
      </c>
      <c r="AZ252" s="125">
        <f xml:space="preserve"> Debt!AZ$187</f>
        <v>-2.5461520346652833E-2</v>
      </c>
      <c r="BA252" s="125">
        <f xml:space="preserve"> Debt!BA$187</f>
        <v>-2.5461520346652833E-2</v>
      </c>
      <c r="BB252" s="125">
        <f xml:space="preserve"> Debt!BB$187</f>
        <v>-2.5461520346652833E-2</v>
      </c>
      <c r="BC252" s="125">
        <f xml:space="preserve"> Debt!BC$187</f>
        <v>-2.5461520346652833E-2</v>
      </c>
      <c r="BD252" s="125">
        <f xml:space="preserve"> Debt!BD$187</f>
        <v>-2.5461520346652833E-2</v>
      </c>
      <c r="BE252" s="125">
        <f xml:space="preserve"> Debt!BE$187</f>
        <v>-2.5461520346652833E-2</v>
      </c>
      <c r="BF252" s="125">
        <f xml:space="preserve"> Debt!BF$187</f>
        <v>-2.5461520346652833E-2</v>
      </c>
      <c r="BG252" s="125">
        <f xml:space="preserve"> Debt!BG$187</f>
        <v>-2.5461520346652833E-2</v>
      </c>
      <c r="BH252" s="125">
        <f xml:space="preserve"> Debt!BH$187</f>
        <v>-2.5461520346652833E-2</v>
      </c>
      <c r="BI252" s="125">
        <f xml:space="preserve"> Debt!BI$187</f>
        <v>-2.5461520346652833E-2</v>
      </c>
      <c r="BJ252" s="125">
        <f xml:space="preserve"> Debt!BJ$187</f>
        <v>-2.5461520346652833E-2</v>
      </c>
      <c r="BK252" s="125">
        <f xml:space="preserve"> Debt!BK$187</f>
        <v>-2.5461520346652833E-2</v>
      </c>
      <c r="BL252" s="125">
        <f xml:space="preserve"> Debt!BL$187</f>
        <v>-2.5461520346652833E-2</v>
      </c>
      <c r="BM252" s="125">
        <f xml:space="preserve"> Debt!BM$187</f>
        <v>-2.5461520346652833E-2</v>
      </c>
      <c r="BN252" s="125">
        <f xml:space="preserve"> Debt!BN$187</f>
        <v>-2.5461520346652833E-2</v>
      </c>
      <c r="BO252" s="125">
        <f xml:space="preserve"> Debt!BO$187</f>
        <v>-2.5461520346652833E-2</v>
      </c>
      <c r="BP252" s="125">
        <f xml:space="preserve"> Debt!BP$187</f>
        <v>-2.5461520346652833E-2</v>
      </c>
      <c r="BQ252" s="125">
        <f xml:space="preserve"> Debt!BQ$187</f>
        <v>-2.5461520346652833E-2</v>
      </c>
      <c r="BR252" s="125">
        <f xml:space="preserve"> Debt!BR$187</f>
        <v>-2.5461520346652833E-2</v>
      </c>
      <c r="BS252" s="125">
        <f xml:space="preserve"> Debt!BS$187</f>
        <v>-2.5461520346652833E-2</v>
      </c>
      <c r="BT252" s="125">
        <f xml:space="preserve"> Debt!BT$187</f>
        <v>-2.5461520346652833E-2</v>
      </c>
      <c r="BU252" s="125">
        <f xml:space="preserve"> Debt!BU$187</f>
        <v>-2.5461520346652833E-2</v>
      </c>
      <c r="BV252" s="125">
        <f xml:space="preserve"> Debt!BV$187</f>
        <v>-2.5461520346652833E-2</v>
      </c>
      <c r="BW252" s="125">
        <f xml:space="preserve"> Debt!BW$187</f>
        <v>-2.5461520346652833E-2</v>
      </c>
      <c r="BX252" s="125">
        <f xml:space="preserve"> Debt!BX$187</f>
        <v>-2.5461520346652833E-2</v>
      </c>
      <c r="BY252" s="125">
        <f xml:space="preserve"> Debt!BY$187</f>
        <v>-2.5461520346652833E-2</v>
      </c>
      <c r="BZ252" s="125">
        <f xml:space="preserve"> Debt!BZ$187</f>
        <v>-2.5461520346652833E-2</v>
      </c>
      <c r="CA252" s="125">
        <f xml:space="preserve"> Debt!CA$187</f>
        <v>-2.5461520346652833E-2</v>
      </c>
      <c r="CB252" s="125">
        <f xml:space="preserve"> Debt!CB$187</f>
        <v>-2.5461520346652833E-2</v>
      </c>
      <c r="CC252" s="125">
        <f xml:space="preserve"> Debt!CC$187</f>
        <v>-2.5461520346652833E-2</v>
      </c>
      <c r="CD252" s="125">
        <f xml:space="preserve"> Debt!CD$187</f>
        <v>-2.5461520346652833E-2</v>
      </c>
      <c r="CE252" s="125">
        <f xml:space="preserve"> Debt!CE$187</f>
        <v>-2.5461520346652833E-2</v>
      </c>
      <c r="CF252" s="125">
        <f xml:space="preserve"> Debt!CF$187</f>
        <v>-2.5461520346652833E-2</v>
      </c>
      <c r="CG252" s="125">
        <f xml:space="preserve"> Debt!CG$187</f>
        <v>-2.5461520346652833E-2</v>
      </c>
      <c r="CH252" s="125">
        <f xml:space="preserve"> Debt!CH$187</f>
        <v>-2.5461520346652833E-2</v>
      </c>
      <c r="CI252" s="125">
        <f xml:space="preserve"> Debt!CI$187</f>
        <v>-2.5461520346652833E-2</v>
      </c>
      <c r="CJ252" s="125">
        <f xml:space="preserve"> Debt!CJ$187</f>
        <v>-2.5461520346652833E-2</v>
      </c>
      <c r="CK252" s="125">
        <f xml:space="preserve"> Debt!CK$187</f>
        <v>-2.5461520346652833E-2</v>
      </c>
      <c r="CL252" s="125">
        <f xml:space="preserve"> Debt!CL$187</f>
        <v>-2.5461520346652833E-2</v>
      </c>
      <c r="CM252" s="125">
        <f xml:space="preserve"> Debt!CM$187</f>
        <v>-2.5461520346652833E-2</v>
      </c>
      <c r="CN252" s="125">
        <f xml:space="preserve"> Debt!CN$187</f>
        <v>-2.5461520346652833E-2</v>
      </c>
      <c r="CO252" s="125">
        <f xml:space="preserve"> Debt!CO$187</f>
        <v>-2.5461520346652833E-2</v>
      </c>
      <c r="CP252" s="125">
        <f xml:space="preserve"> Debt!CP$187</f>
        <v>-2.5461520346652833E-2</v>
      </c>
      <c r="CQ252" s="125">
        <f xml:space="preserve"> Debt!CQ$187</f>
        <v>-2.5461520346652833E-2</v>
      </c>
      <c r="CR252" s="125">
        <f xml:space="preserve"> Debt!CR$187</f>
        <v>-2.5461520346652833E-2</v>
      </c>
      <c r="CS252" s="125">
        <f xml:space="preserve"> Debt!CS$187</f>
        <v>-2.5461520346652833E-2</v>
      </c>
      <c r="CT252" s="125">
        <f xml:space="preserve"> Debt!CT$187</f>
        <v>-2.5461520346652833E-2</v>
      </c>
      <c r="CU252" s="125">
        <f xml:space="preserve"> Debt!CU$187</f>
        <v>-2.5461520346652833E-2</v>
      </c>
      <c r="CV252" s="125">
        <f xml:space="preserve"> Debt!CV$187</f>
        <v>-2.5461520346652833E-2</v>
      </c>
    </row>
    <row r="253" spans="1:100" outlineLevel="1" x14ac:dyDescent="0.2">
      <c r="A253" s="75"/>
      <c r="B253" s="639"/>
      <c r="C253" s="640"/>
      <c r="D253" s="641"/>
      <c r="E253" s="125" t="str">
        <f xml:space="preserve"> Debt!E$349</f>
        <v>Senior debt interest - T2 POS</v>
      </c>
      <c r="F253" s="125">
        <f xml:space="preserve"> Debt!F$349</f>
        <v>0</v>
      </c>
      <c r="G253" s="125" t="str">
        <f xml:space="preserve"> Debt!G$349</f>
        <v>$ 000s</v>
      </c>
      <c r="H253" s="125">
        <f xml:space="preserve"> Debt!H$349</f>
        <v>50719.400835431705</v>
      </c>
      <c r="I253" s="125">
        <f xml:space="preserve"> Debt!I$349</f>
        <v>0</v>
      </c>
      <c r="J253" s="125">
        <f xml:space="preserve"> Debt!J$349</f>
        <v>0</v>
      </c>
      <c r="K253" s="125">
        <f xml:space="preserve"> Debt!K$349</f>
        <v>0</v>
      </c>
      <c r="L253" s="125">
        <f xml:space="preserve"> Debt!L$349</f>
        <v>0</v>
      </c>
      <c r="M253" s="125">
        <f xml:space="preserve"> Debt!M$349</f>
        <v>0</v>
      </c>
      <c r="N253" s="125">
        <f xml:space="preserve"> Debt!N$349</f>
        <v>0</v>
      </c>
      <c r="O253" s="125">
        <f xml:space="preserve"> Debt!O$349</f>
        <v>3007.4603365932417</v>
      </c>
      <c r="P253" s="125">
        <f xml:space="preserve"> Debt!P$349</f>
        <v>2861.4426237247226</v>
      </c>
      <c r="Q253" s="125">
        <f xml:space="preserve"> Debt!Q$349</f>
        <v>2827.4302563544802</v>
      </c>
      <c r="R253" s="125">
        <f xml:space="preserve"> Debt!R$349</f>
        <v>2700.2548554507134</v>
      </c>
      <c r="S253" s="125">
        <f xml:space="preserve"> Debt!S$349</f>
        <v>2661.0628632799539</v>
      </c>
      <c r="T253" s="125">
        <f xml:space="preserve"> Debt!T$349</f>
        <v>2534.0368459800811</v>
      </c>
      <c r="U253" s="125">
        <f xml:space="preserve"> Debt!U$349</f>
        <v>2489.4816638803841</v>
      </c>
      <c r="V253" s="125">
        <f xml:space="preserve"> Debt!V$349</f>
        <v>2375.6406705547574</v>
      </c>
      <c r="W253" s="125">
        <f xml:space="preserve"> Debt!W$349</f>
        <v>2312.626961541976</v>
      </c>
      <c r="X253" s="125">
        <f xml:space="preserve"> Debt!X$349</f>
        <v>2186.0562385133053</v>
      </c>
      <c r="Y253" s="125">
        <f xml:space="preserve"> Debt!Y$349</f>
        <v>2220.854468947296</v>
      </c>
      <c r="Z253" s="125">
        <f xml:space="preserve"> Debt!Z$349</f>
        <v>2091.5619982100643</v>
      </c>
      <c r="AA253" s="125">
        <f xml:space="preserve"> Debt!AA$349</f>
        <v>2029.9192920142364</v>
      </c>
      <c r="AB253" s="125">
        <f xml:space="preserve"> Debt!AB$349</f>
        <v>1900.5471301160426</v>
      </c>
      <c r="AC253" s="125">
        <f xml:space="preserve"> Debt!AC$349</f>
        <v>1832.4843668262508</v>
      </c>
      <c r="AD253" s="125">
        <f xml:space="preserve"> Debt!AD$349</f>
        <v>1712.4114864363401</v>
      </c>
      <c r="AE253" s="125">
        <f xml:space="preserve"> Debt!AE$349</f>
        <v>1628.351296139547</v>
      </c>
      <c r="AF253" s="125">
        <f xml:space="preserve"> Debt!AF$349</f>
        <v>1498.9393486025879</v>
      </c>
      <c r="AG253" s="125">
        <f xml:space="preserve"> Debt!AG$349</f>
        <v>1417.2959784483739</v>
      </c>
      <c r="AH253" s="125">
        <f xml:space="preserve"> Debt!AH$349</f>
        <v>1287.5009694483854</v>
      </c>
      <c r="AI253" s="125">
        <f xml:space="preserve"> Debt!AI$349</f>
        <v>1272.051076082276</v>
      </c>
      <c r="AJ253" s="125">
        <f xml:space="preserve"> Debt!AJ$349</f>
        <v>1136.3240059796112</v>
      </c>
      <c r="AK253" s="125">
        <f xml:space="preserve"> Debt!AK$349</f>
        <v>1036.2897842601778</v>
      </c>
      <c r="AL253" s="125">
        <f xml:space="preserve"> Debt!AL$349</f>
        <v>904.99934106523745</v>
      </c>
      <c r="AM253" s="125">
        <f xml:space="preserve"> Debt!AM$349</f>
        <v>791.5839748373146</v>
      </c>
      <c r="AN253" s="125">
        <f xml:space="preserve"> Debt!AN$349</f>
        <v>654.9441068505555</v>
      </c>
      <c r="AO253" s="125">
        <f xml:space="preserve"> Debt!AO$349</f>
        <v>537.78347303393627</v>
      </c>
      <c r="AP253" s="125">
        <f xml:space="preserve"> Debt!AP$349</f>
        <v>400.27918403838652</v>
      </c>
      <c r="AQ253" s="125">
        <f xml:space="preserve"> Debt!AQ$349</f>
        <v>274.00182155120319</v>
      </c>
      <c r="AR253" s="125">
        <f xml:space="preserve"> Debt!AR$349</f>
        <v>135.78407704150388</v>
      </c>
      <c r="AS253" s="125">
        <f xml:space="preserve"> Debt!AS$349</f>
        <v>5.7368266412878361E-5</v>
      </c>
      <c r="AT253" s="125">
        <f xml:space="preserve"> Debt!AT$349</f>
        <v>5.6744698299694907E-5</v>
      </c>
      <c r="AU253" s="125">
        <f xml:space="preserve"> Debt!AU$349</f>
        <v>5.7368266412878361E-5</v>
      </c>
      <c r="AV253" s="125">
        <f xml:space="preserve"> Debt!AV$349</f>
        <v>5.6432914243103177E-5</v>
      </c>
      <c r="AW253" s="125">
        <f xml:space="preserve"> Debt!AW$349</f>
        <v>1.8755010173441004E-5</v>
      </c>
      <c r="AX253" s="125">
        <f xml:space="preserve"> Debt!AX$349</f>
        <v>1.8449221964091424E-5</v>
      </c>
      <c r="AY253" s="125">
        <f xml:space="preserve"> Debt!AY$349</f>
        <v>1.8755010173441004E-5</v>
      </c>
      <c r="AZ253" s="125">
        <f xml:space="preserve"> Debt!AZ$349</f>
        <v>1.8449221964091424E-5</v>
      </c>
      <c r="BA253" s="125">
        <f xml:space="preserve"> Debt!BA$349</f>
        <v>1.8755010173441004E-5</v>
      </c>
      <c r="BB253" s="125">
        <f xml:space="preserve"> Debt!BB$349</f>
        <v>1.8551151367207951E-5</v>
      </c>
      <c r="BC253" s="125">
        <f xml:space="preserve"> Debt!BC$349</f>
        <v>0</v>
      </c>
      <c r="BD253" s="125">
        <f xml:space="preserve"> Debt!BD$349</f>
        <v>0</v>
      </c>
      <c r="BE253" s="125">
        <f xml:space="preserve"> Debt!BE$349</f>
        <v>0</v>
      </c>
      <c r="BF253" s="125">
        <f xml:space="preserve"> Debt!BF$349</f>
        <v>0</v>
      </c>
      <c r="BG253" s="125">
        <f xml:space="preserve"> Debt!BG$349</f>
        <v>0</v>
      </c>
      <c r="BH253" s="125">
        <f xml:space="preserve"> Debt!BH$349</f>
        <v>0</v>
      </c>
      <c r="BI253" s="125">
        <f xml:space="preserve"> Debt!BI$349</f>
        <v>0</v>
      </c>
      <c r="BJ253" s="125">
        <f xml:space="preserve"> Debt!BJ$349</f>
        <v>0</v>
      </c>
      <c r="BK253" s="125">
        <f xml:space="preserve"> Debt!BK$349</f>
        <v>0</v>
      </c>
      <c r="BL253" s="125">
        <f xml:space="preserve"> Debt!BL$349</f>
        <v>0</v>
      </c>
      <c r="BM253" s="125">
        <f xml:space="preserve"> Debt!BM$349</f>
        <v>0</v>
      </c>
      <c r="BN253" s="125">
        <f xml:space="preserve"> Debt!BN$349</f>
        <v>0</v>
      </c>
      <c r="BO253" s="125">
        <f xml:space="preserve"> Debt!BO$349</f>
        <v>0</v>
      </c>
      <c r="BP253" s="125">
        <f xml:space="preserve"> Debt!BP$349</f>
        <v>0</v>
      </c>
      <c r="BQ253" s="125">
        <f xml:space="preserve"> Debt!BQ$349</f>
        <v>0</v>
      </c>
      <c r="BR253" s="125">
        <f xml:space="preserve"> Debt!BR$349</f>
        <v>0</v>
      </c>
      <c r="BS253" s="125">
        <f xml:space="preserve"> Debt!BS$349</f>
        <v>0</v>
      </c>
      <c r="BT253" s="125">
        <f xml:space="preserve"> Debt!BT$349</f>
        <v>0</v>
      </c>
      <c r="BU253" s="125">
        <f xml:space="preserve"> Debt!BU$349</f>
        <v>0</v>
      </c>
      <c r="BV253" s="125">
        <f xml:space="preserve"> Debt!BV$349</f>
        <v>0</v>
      </c>
      <c r="BW253" s="125">
        <f xml:space="preserve"> Debt!BW$349</f>
        <v>0</v>
      </c>
      <c r="BX253" s="125">
        <f xml:space="preserve"> Debt!BX$349</f>
        <v>0</v>
      </c>
      <c r="BY253" s="125">
        <f xml:space="preserve"> Debt!BY$349</f>
        <v>0</v>
      </c>
      <c r="BZ253" s="125">
        <f xml:space="preserve"> Debt!BZ$349</f>
        <v>0</v>
      </c>
      <c r="CA253" s="125">
        <f xml:space="preserve"> Debt!CA$349</f>
        <v>0</v>
      </c>
      <c r="CB253" s="125">
        <f xml:space="preserve"> Debt!CB$349</f>
        <v>0</v>
      </c>
      <c r="CC253" s="125">
        <f xml:space="preserve"> Debt!CC$349</f>
        <v>0</v>
      </c>
      <c r="CD253" s="125">
        <f xml:space="preserve"> Debt!CD$349</f>
        <v>0</v>
      </c>
      <c r="CE253" s="125">
        <f xml:space="preserve"> Debt!CE$349</f>
        <v>0</v>
      </c>
      <c r="CF253" s="125">
        <f xml:space="preserve"> Debt!CF$349</f>
        <v>0</v>
      </c>
      <c r="CG253" s="125">
        <f xml:space="preserve"> Debt!CG$349</f>
        <v>0</v>
      </c>
      <c r="CH253" s="125">
        <f xml:space="preserve"> Debt!CH$349</f>
        <v>0</v>
      </c>
      <c r="CI253" s="125">
        <f xml:space="preserve"> Debt!CI$349</f>
        <v>0</v>
      </c>
      <c r="CJ253" s="125">
        <f xml:space="preserve"> Debt!CJ$349</f>
        <v>0</v>
      </c>
      <c r="CK253" s="125">
        <f xml:space="preserve"> Debt!CK$349</f>
        <v>0</v>
      </c>
      <c r="CL253" s="125">
        <f xml:space="preserve"> Debt!CL$349</f>
        <v>0</v>
      </c>
      <c r="CM253" s="125">
        <f xml:space="preserve"> Debt!CM$349</f>
        <v>0</v>
      </c>
      <c r="CN253" s="125">
        <f xml:space="preserve"> Debt!CN$349</f>
        <v>0</v>
      </c>
      <c r="CO253" s="125">
        <f xml:space="preserve"> Debt!CO$349</f>
        <v>0</v>
      </c>
      <c r="CP253" s="125">
        <f xml:space="preserve"> Debt!CP$349</f>
        <v>0</v>
      </c>
      <c r="CQ253" s="125">
        <f xml:space="preserve"> Debt!CQ$349</f>
        <v>0</v>
      </c>
      <c r="CR253" s="125">
        <f xml:space="preserve"> Debt!CR$349</f>
        <v>0</v>
      </c>
      <c r="CS253" s="125">
        <f xml:space="preserve"> Debt!CS$349</f>
        <v>0</v>
      </c>
      <c r="CT253" s="125">
        <f xml:space="preserve"> Debt!CT$349</f>
        <v>0</v>
      </c>
      <c r="CU253" s="125">
        <f xml:space="preserve"> Debt!CU$349</f>
        <v>0</v>
      </c>
      <c r="CV253" s="125">
        <f xml:space="preserve"> Debt!CV$349</f>
        <v>0</v>
      </c>
    </row>
    <row r="254" spans="1:100" outlineLevel="1" x14ac:dyDescent="0.2">
      <c r="A254" s="75"/>
      <c r="B254" s="639"/>
      <c r="C254" s="640"/>
      <c r="D254" s="641"/>
      <c r="E254" s="125" t="str">
        <f xml:space="preserve"> Debt!E$299</f>
        <v>Senior debt balance BEG - T2</v>
      </c>
      <c r="F254" s="125">
        <f xml:space="preserve"> Debt!F$299</f>
        <v>0</v>
      </c>
      <c r="G254" s="125" t="str">
        <f xml:space="preserve"> Debt!G$299</f>
        <v>$ 000s</v>
      </c>
      <c r="H254" s="125">
        <f xml:space="preserve"> Debt!H$299</f>
        <v>0</v>
      </c>
      <c r="I254" s="125">
        <f xml:space="preserve"> Debt!I$299</f>
        <v>0</v>
      </c>
      <c r="J254" s="125">
        <f xml:space="preserve"> Debt!J$299</f>
        <v>0</v>
      </c>
      <c r="K254" s="125">
        <f xml:space="preserve"> Debt!K$299</f>
        <v>0</v>
      </c>
      <c r="L254" s="125">
        <f xml:space="preserve"> Debt!L$299</f>
        <v>12084.251893640236</v>
      </c>
      <c r="M254" s="125">
        <f xml:space="preserve"> Debt!M$299</f>
        <v>48641.086087745876</v>
      </c>
      <c r="N254" s="125">
        <f xml:space="preserve"> Debt!N$299</f>
        <v>85848.029919746245</v>
      </c>
      <c r="O254" s="125">
        <f xml:space="preserve"> Debt!O$299</f>
        <v>125194.92613015344</v>
      </c>
      <c r="P254" s="125">
        <f xml:space="preserve"> Debt!P$299</f>
        <v>121090.7892959798</v>
      </c>
      <c r="Q254" s="125">
        <f xml:space="preserve"> Debt!Q$299</f>
        <v>117700.61196665274</v>
      </c>
      <c r="R254" s="125">
        <f xml:space="preserve"> Debt!R$299</f>
        <v>114269.63065266921</v>
      </c>
      <c r="S254" s="125">
        <f xml:space="preserve"> Debt!S$299</f>
        <v>110775.04981276403</v>
      </c>
      <c r="T254" s="125">
        <f xml:space="preserve"> Debt!T$299</f>
        <v>107235.60180472895</v>
      </c>
      <c r="U254" s="125">
        <f xml:space="preserve"> Debt!U$299</f>
        <v>103632.44669252292</v>
      </c>
      <c r="V254" s="125">
        <f xml:space="preserve"> Debt!V$299</f>
        <v>99980.201239152753</v>
      </c>
      <c r="W254" s="125">
        <f xml:space="preserve"> Debt!W$299</f>
        <v>96270.31754800085</v>
      </c>
      <c r="X254" s="125">
        <f xml:space="preserve"> Debt!X$299</f>
        <v>92509.726797318668</v>
      </c>
      <c r="Y254" s="125">
        <f xml:space="preserve"> Debt!Y$299</f>
        <v>88676.531590619605</v>
      </c>
      <c r="Z254" s="125">
        <f xml:space="preserve"> Debt!Z$299</f>
        <v>84898.220696315591</v>
      </c>
      <c r="AA254" s="125">
        <f xml:space="preserve"> Debt!AA$299</f>
        <v>81052.678030737021</v>
      </c>
      <c r="AB254" s="125">
        <f xml:space="preserve"> Debt!AB$299</f>
        <v>77144.770193006567</v>
      </c>
      <c r="AC254" s="125">
        <f xml:space="preserve"> Debt!AC$299</f>
        <v>73169.295924739374</v>
      </c>
      <c r="AD254" s="125">
        <f xml:space="preserve"> Debt!AD$299</f>
        <v>69126.276644660495</v>
      </c>
      <c r="AE254" s="125">
        <f xml:space="preserve"> Debt!AE$299</f>
        <v>65018.4634660866</v>
      </c>
      <c r="AF254" s="125">
        <f xml:space="preserve"> Debt!AF$299</f>
        <v>60843.180234178777</v>
      </c>
      <c r="AG254" s="125">
        <f xml:space="preserve"> Debt!AG$299</f>
        <v>56591.232502375169</v>
      </c>
      <c r="AH254" s="125">
        <f xml:space="preserve"> Debt!AH$299</f>
        <v>52260.722629543205</v>
      </c>
      <c r="AI254" s="125">
        <f xml:space="preserve"> Debt!AI$299</f>
        <v>47861.453531523759</v>
      </c>
      <c r="AJ254" s="125">
        <f xml:space="preserve"> Debt!AJ$299</f>
        <v>43463.30664605397</v>
      </c>
      <c r="AK254" s="125">
        <f xml:space="preserve"> Debt!AK$299</f>
        <v>38990.836364304349</v>
      </c>
      <c r="AL254" s="125">
        <f xml:space="preserve"> Debt!AL$299</f>
        <v>34425.165129277833</v>
      </c>
      <c r="AM254" s="125">
        <f xml:space="preserve"> Debt!AM$299</f>
        <v>29783.677983009326</v>
      </c>
      <c r="AN254" s="125">
        <f xml:space="preserve"> Debt!AN$299</f>
        <v>25050.985812388433</v>
      </c>
      <c r="AO254" s="125">
        <f xml:space="preserve"> Debt!AO$299</f>
        <v>20234.327998768505</v>
      </c>
      <c r="AP254" s="125">
        <f xml:space="preserve"> Debt!AP$299</f>
        <v>15310.296032067479</v>
      </c>
      <c r="AQ254" s="125">
        <f xml:space="preserve"> Debt!AQ$299</f>
        <v>10309.43308512052</v>
      </c>
      <c r="AR254" s="125">
        <f xml:space="preserve"> Debt!AR$299</f>
        <v>5193.6111065598579</v>
      </c>
      <c r="AS254" s="125">
        <f xml:space="preserve"> Debt!AS$299</f>
        <v>2.1585050071735168E-3</v>
      </c>
      <c r="AT254" s="125">
        <f xml:space="preserve"> Debt!AT$299</f>
        <v>2.1585050071735168E-3</v>
      </c>
      <c r="AU254" s="125">
        <f xml:space="preserve"> Debt!AU$299</f>
        <v>2.1585050071735168E-3</v>
      </c>
      <c r="AV254" s="125">
        <f xml:space="preserve"> Debt!AV$299</f>
        <v>2.1585050071735168E-3</v>
      </c>
      <c r="AW254" s="125">
        <f xml:space="preserve"> Debt!AW$299</f>
        <v>2.1585050071735168E-3</v>
      </c>
      <c r="AX254" s="125">
        <f xml:space="preserve"> Debt!AX$299</f>
        <v>2.1585050071735168E-3</v>
      </c>
      <c r="AY254" s="125">
        <f xml:space="preserve"> Debt!AY$299</f>
        <v>2.1585050071735168E-3</v>
      </c>
      <c r="AZ254" s="125">
        <f xml:space="preserve"> Debt!AZ$299</f>
        <v>2.1585050071735168E-3</v>
      </c>
      <c r="BA254" s="125">
        <f xml:space="preserve"> Debt!BA$299</f>
        <v>2.1585050071735168E-3</v>
      </c>
      <c r="BB254" s="125">
        <f xml:space="preserve"> Debt!BB$299</f>
        <v>2.1585050071735168E-3</v>
      </c>
      <c r="BC254" s="125">
        <f xml:space="preserve"> Debt!BC$299</f>
        <v>2.1585050071735168E-3</v>
      </c>
      <c r="BD254" s="125">
        <f xml:space="preserve"> Debt!BD$299</f>
        <v>2.1585050071735168E-3</v>
      </c>
      <c r="BE254" s="125">
        <f xml:space="preserve"> Debt!BE$299</f>
        <v>2.1585050071735168E-3</v>
      </c>
      <c r="BF254" s="125">
        <f xml:space="preserve"> Debt!BF$299</f>
        <v>2.1585050071735168E-3</v>
      </c>
      <c r="BG254" s="125">
        <f xml:space="preserve"> Debt!BG$299</f>
        <v>2.1585050071735168E-3</v>
      </c>
      <c r="BH254" s="125">
        <f xml:space="preserve"> Debt!BH$299</f>
        <v>2.1585050071735168E-3</v>
      </c>
      <c r="BI254" s="125">
        <f xml:space="preserve"> Debt!BI$299</f>
        <v>2.1585050071735168E-3</v>
      </c>
      <c r="BJ254" s="125">
        <f xml:space="preserve"> Debt!BJ$299</f>
        <v>2.1585050071735168E-3</v>
      </c>
      <c r="BK254" s="125">
        <f xml:space="preserve"> Debt!BK$299</f>
        <v>2.1585050071735168E-3</v>
      </c>
      <c r="BL254" s="125">
        <f xml:space="preserve"> Debt!BL$299</f>
        <v>2.1585050071735168E-3</v>
      </c>
      <c r="BM254" s="125">
        <f xml:space="preserve"> Debt!BM$299</f>
        <v>2.1585050071735168E-3</v>
      </c>
      <c r="BN254" s="125">
        <f xml:space="preserve"> Debt!BN$299</f>
        <v>2.1585050071735168E-3</v>
      </c>
      <c r="BO254" s="125">
        <f xml:space="preserve"> Debt!BO$299</f>
        <v>2.1585050071735168E-3</v>
      </c>
      <c r="BP254" s="125">
        <f xml:space="preserve"> Debt!BP$299</f>
        <v>2.1585050071735168E-3</v>
      </c>
      <c r="BQ254" s="125">
        <f xml:space="preserve"> Debt!BQ$299</f>
        <v>2.1585050071735168E-3</v>
      </c>
      <c r="BR254" s="125">
        <f xml:space="preserve"> Debt!BR$299</f>
        <v>2.1585050071735168E-3</v>
      </c>
      <c r="BS254" s="125">
        <f xml:space="preserve"> Debt!BS$299</f>
        <v>2.1585050071735168E-3</v>
      </c>
      <c r="BT254" s="125">
        <f xml:space="preserve"> Debt!BT$299</f>
        <v>2.1585050071735168E-3</v>
      </c>
      <c r="BU254" s="125">
        <f xml:space="preserve"> Debt!BU$299</f>
        <v>2.1585050071735168E-3</v>
      </c>
      <c r="BV254" s="125">
        <f xml:space="preserve"> Debt!BV$299</f>
        <v>2.1585050071735168E-3</v>
      </c>
      <c r="BW254" s="125">
        <f xml:space="preserve"> Debt!BW$299</f>
        <v>2.1585050071735168E-3</v>
      </c>
      <c r="BX254" s="125">
        <f xml:space="preserve"> Debt!BX$299</f>
        <v>2.1585050071735168E-3</v>
      </c>
      <c r="BY254" s="125">
        <f xml:space="preserve"> Debt!BY$299</f>
        <v>2.1585050071735168E-3</v>
      </c>
      <c r="BZ254" s="125">
        <f xml:space="preserve"> Debt!BZ$299</f>
        <v>2.1585050071735168E-3</v>
      </c>
      <c r="CA254" s="125">
        <f xml:space="preserve"> Debt!CA$299</f>
        <v>2.1585050071735168E-3</v>
      </c>
      <c r="CB254" s="125">
        <f xml:space="preserve"> Debt!CB$299</f>
        <v>2.1585050071735168E-3</v>
      </c>
      <c r="CC254" s="125">
        <f xml:space="preserve"> Debt!CC$299</f>
        <v>2.1585050071735168E-3</v>
      </c>
      <c r="CD254" s="125">
        <f xml:space="preserve"> Debt!CD$299</f>
        <v>2.1585050071735168E-3</v>
      </c>
      <c r="CE254" s="125">
        <f xml:space="preserve"> Debt!CE$299</f>
        <v>2.1585050071735168E-3</v>
      </c>
      <c r="CF254" s="125">
        <f xml:space="preserve"> Debt!CF$299</f>
        <v>2.1585050071735168E-3</v>
      </c>
      <c r="CG254" s="125">
        <f xml:space="preserve"> Debt!CG$299</f>
        <v>2.1585050071735168E-3</v>
      </c>
      <c r="CH254" s="125">
        <f xml:space="preserve"> Debt!CH$299</f>
        <v>2.1585050071735168E-3</v>
      </c>
      <c r="CI254" s="125">
        <f xml:space="preserve"> Debt!CI$299</f>
        <v>2.1585050071735168E-3</v>
      </c>
      <c r="CJ254" s="125">
        <f xml:space="preserve"> Debt!CJ$299</f>
        <v>2.1585050071735168E-3</v>
      </c>
      <c r="CK254" s="125">
        <f xml:space="preserve"> Debt!CK$299</f>
        <v>2.1585050071735168E-3</v>
      </c>
      <c r="CL254" s="125">
        <f xml:space="preserve"> Debt!CL$299</f>
        <v>2.1585050071735168E-3</v>
      </c>
      <c r="CM254" s="125">
        <f xml:space="preserve"> Debt!CM$299</f>
        <v>2.1585050071735168E-3</v>
      </c>
      <c r="CN254" s="125">
        <f xml:space="preserve"> Debt!CN$299</f>
        <v>2.1585050071735168E-3</v>
      </c>
      <c r="CO254" s="125">
        <f xml:space="preserve"> Debt!CO$299</f>
        <v>2.1585050071735168E-3</v>
      </c>
      <c r="CP254" s="125">
        <f xml:space="preserve"> Debt!CP$299</f>
        <v>2.1585050071735168E-3</v>
      </c>
      <c r="CQ254" s="125">
        <f xml:space="preserve"> Debt!CQ$299</f>
        <v>2.1585050071735168E-3</v>
      </c>
      <c r="CR254" s="125">
        <f xml:space="preserve"> Debt!CR$299</f>
        <v>2.1585050071735168E-3</v>
      </c>
      <c r="CS254" s="125">
        <f xml:space="preserve"> Debt!CS$299</f>
        <v>2.1585050071735168E-3</v>
      </c>
      <c r="CT254" s="125">
        <f xml:space="preserve"> Debt!CT$299</f>
        <v>2.1585050071735168E-3</v>
      </c>
      <c r="CU254" s="125">
        <f xml:space="preserve"> Debt!CU$299</f>
        <v>2.1585050071735168E-3</v>
      </c>
      <c r="CV254" s="125">
        <f xml:space="preserve"> Debt!CV$299</f>
        <v>2.1585050071735168E-3</v>
      </c>
    </row>
    <row r="255" spans="1:100" s="495" customFormat="1" outlineLevel="1" x14ac:dyDescent="0.2">
      <c r="A255" s="205"/>
      <c r="B255" s="205"/>
      <c r="C255" s="206"/>
      <c r="D255" s="209"/>
      <c r="E255" s="125" t="str">
        <f xml:space="preserve"> Debt!E$397</f>
        <v>Standby debt interest - T1 POS</v>
      </c>
      <c r="F255" s="125">
        <f xml:space="preserve"> Debt!F$397</f>
        <v>0</v>
      </c>
      <c r="G255" s="125" t="str">
        <f xml:space="preserve"> Debt!G$397</f>
        <v>$ 000s</v>
      </c>
      <c r="H255" s="125">
        <f xml:space="preserve"> Debt!H$397</f>
        <v>0</v>
      </c>
      <c r="I255" s="125">
        <f xml:space="preserve"> Debt!I$397</f>
        <v>0</v>
      </c>
      <c r="J255" s="125">
        <f xml:space="preserve"> Debt!J$397</f>
        <v>0</v>
      </c>
      <c r="K255" s="125">
        <f xml:space="preserve"> Debt!K$397</f>
        <v>0</v>
      </c>
      <c r="L255" s="125">
        <f xml:space="preserve"> Debt!L$397</f>
        <v>0</v>
      </c>
      <c r="M255" s="125">
        <f xml:space="preserve"> Debt!M$397</f>
        <v>0</v>
      </c>
      <c r="N255" s="125">
        <f xml:space="preserve"> Debt!N$397</f>
        <v>0</v>
      </c>
      <c r="O255" s="125">
        <f xml:space="preserve"> Debt!O$397</f>
        <v>0</v>
      </c>
      <c r="P255" s="125">
        <f xml:space="preserve"> Debt!P$397</f>
        <v>0</v>
      </c>
      <c r="Q255" s="125">
        <f xml:space="preserve"> Debt!Q$397</f>
        <v>0</v>
      </c>
      <c r="R255" s="125">
        <f xml:space="preserve"> Debt!R$397</f>
        <v>0</v>
      </c>
      <c r="S255" s="125">
        <f xml:space="preserve"> Debt!S$397</f>
        <v>0</v>
      </c>
      <c r="T255" s="125">
        <f xml:space="preserve"> Debt!T$397</f>
        <v>0</v>
      </c>
      <c r="U255" s="125">
        <f xml:space="preserve"> Debt!U$397</f>
        <v>0</v>
      </c>
      <c r="V255" s="125">
        <f xml:space="preserve"> Debt!V$397</f>
        <v>0</v>
      </c>
      <c r="W255" s="125">
        <f xml:space="preserve"> Debt!W$397</f>
        <v>0</v>
      </c>
      <c r="X255" s="125">
        <f xml:space="preserve"> Debt!X$397</f>
        <v>0</v>
      </c>
      <c r="Y255" s="125">
        <f xml:space="preserve"> Debt!Y$397</f>
        <v>0</v>
      </c>
      <c r="Z255" s="125">
        <f xml:space="preserve"> Debt!Z$397</f>
        <v>0</v>
      </c>
      <c r="AA255" s="125">
        <f xml:space="preserve"> Debt!AA$397</f>
        <v>0</v>
      </c>
      <c r="AB255" s="125">
        <f xml:space="preserve"> Debt!AB$397</f>
        <v>0</v>
      </c>
      <c r="AC255" s="125">
        <f xml:space="preserve"> Debt!AC$397</f>
        <v>0</v>
      </c>
      <c r="AD255" s="125">
        <f xml:space="preserve"> Debt!AD$397</f>
        <v>0</v>
      </c>
      <c r="AE255" s="125">
        <f xml:space="preserve"> Debt!AE$397</f>
        <v>0</v>
      </c>
      <c r="AF255" s="125">
        <f xml:space="preserve"> Debt!AF$397</f>
        <v>0</v>
      </c>
      <c r="AG255" s="125">
        <f xml:space="preserve"> Debt!AG$397</f>
        <v>0</v>
      </c>
      <c r="AH255" s="125">
        <f xml:space="preserve"> Debt!AH$397</f>
        <v>0</v>
      </c>
      <c r="AI255" s="125">
        <f xml:space="preserve"> Debt!AI$397</f>
        <v>0</v>
      </c>
      <c r="AJ255" s="125">
        <f xml:space="preserve"> Debt!AJ$397</f>
        <v>0</v>
      </c>
      <c r="AK255" s="125">
        <f xml:space="preserve"> Debt!AK$397</f>
        <v>0</v>
      </c>
      <c r="AL255" s="125">
        <f xml:space="preserve"> Debt!AL$397</f>
        <v>0</v>
      </c>
      <c r="AM255" s="125">
        <f xml:space="preserve"> Debt!AM$397</f>
        <v>0</v>
      </c>
      <c r="AN255" s="125">
        <f xml:space="preserve"> Debt!AN$397</f>
        <v>0</v>
      </c>
      <c r="AO255" s="125">
        <f xml:space="preserve"> Debt!AO$397</f>
        <v>0</v>
      </c>
      <c r="AP255" s="125">
        <f xml:space="preserve"> Debt!AP$397</f>
        <v>0</v>
      </c>
      <c r="AQ255" s="125">
        <f xml:space="preserve"> Debt!AQ$397</f>
        <v>0</v>
      </c>
      <c r="AR255" s="125">
        <f xml:space="preserve"> Debt!AR$397</f>
        <v>0</v>
      </c>
      <c r="AS255" s="125">
        <f xml:space="preserve"> Debt!AS$397</f>
        <v>0</v>
      </c>
      <c r="AT255" s="125">
        <f xml:space="preserve"> Debt!AT$397</f>
        <v>0</v>
      </c>
      <c r="AU255" s="125">
        <f xml:space="preserve"> Debt!AU$397</f>
        <v>0</v>
      </c>
      <c r="AV255" s="125">
        <f xml:space="preserve"> Debt!AV$397</f>
        <v>0</v>
      </c>
      <c r="AW255" s="125">
        <f xml:space="preserve"> Debt!AW$397</f>
        <v>0</v>
      </c>
      <c r="AX255" s="125">
        <f xml:space="preserve"> Debt!AX$397</f>
        <v>0</v>
      </c>
      <c r="AY255" s="125">
        <f xml:space="preserve"> Debt!AY$397</f>
        <v>0</v>
      </c>
      <c r="AZ255" s="125">
        <f xml:space="preserve"> Debt!AZ$397</f>
        <v>0</v>
      </c>
      <c r="BA255" s="125">
        <f xml:space="preserve"> Debt!BA$397</f>
        <v>0</v>
      </c>
      <c r="BB255" s="125">
        <f xml:space="preserve"> Debt!BB$397</f>
        <v>0</v>
      </c>
      <c r="BC255" s="125">
        <f xml:space="preserve"> Debt!BC$397</f>
        <v>0</v>
      </c>
      <c r="BD255" s="125">
        <f xml:space="preserve"> Debt!BD$397</f>
        <v>0</v>
      </c>
      <c r="BE255" s="125">
        <f xml:space="preserve"> Debt!BE$397</f>
        <v>0</v>
      </c>
      <c r="BF255" s="125">
        <f xml:space="preserve"> Debt!BF$397</f>
        <v>0</v>
      </c>
      <c r="BG255" s="125">
        <f xml:space="preserve"> Debt!BG$397</f>
        <v>0</v>
      </c>
      <c r="BH255" s="125">
        <f xml:space="preserve"> Debt!BH$397</f>
        <v>0</v>
      </c>
      <c r="BI255" s="125">
        <f xml:space="preserve"> Debt!BI$397</f>
        <v>0</v>
      </c>
      <c r="BJ255" s="125">
        <f xml:space="preserve"> Debt!BJ$397</f>
        <v>0</v>
      </c>
      <c r="BK255" s="125">
        <f xml:space="preserve"> Debt!BK$397</f>
        <v>0</v>
      </c>
      <c r="BL255" s="125">
        <f xml:space="preserve"> Debt!BL$397</f>
        <v>0</v>
      </c>
      <c r="BM255" s="125">
        <f xml:space="preserve"> Debt!BM$397</f>
        <v>0</v>
      </c>
      <c r="BN255" s="125">
        <f xml:space="preserve"> Debt!BN$397</f>
        <v>0</v>
      </c>
      <c r="BO255" s="125">
        <f xml:space="preserve"> Debt!BO$397</f>
        <v>0</v>
      </c>
      <c r="BP255" s="125">
        <f xml:space="preserve"> Debt!BP$397</f>
        <v>0</v>
      </c>
      <c r="BQ255" s="125">
        <f xml:space="preserve"> Debt!BQ$397</f>
        <v>0</v>
      </c>
      <c r="BR255" s="125">
        <f xml:space="preserve"> Debt!BR$397</f>
        <v>0</v>
      </c>
      <c r="BS255" s="125">
        <f xml:space="preserve"> Debt!BS$397</f>
        <v>0</v>
      </c>
      <c r="BT255" s="125">
        <f xml:space="preserve"> Debt!BT$397</f>
        <v>0</v>
      </c>
      <c r="BU255" s="125">
        <f xml:space="preserve"> Debt!BU$397</f>
        <v>0</v>
      </c>
      <c r="BV255" s="125">
        <f xml:space="preserve"> Debt!BV$397</f>
        <v>0</v>
      </c>
      <c r="BW255" s="125">
        <f xml:space="preserve"> Debt!BW$397</f>
        <v>0</v>
      </c>
      <c r="BX255" s="125">
        <f xml:space="preserve"> Debt!BX$397</f>
        <v>0</v>
      </c>
      <c r="BY255" s="125">
        <f xml:space="preserve"> Debt!BY$397</f>
        <v>0</v>
      </c>
      <c r="BZ255" s="125">
        <f xml:space="preserve"> Debt!BZ$397</f>
        <v>0</v>
      </c>
      <c r="CA255" s="125">
        <f xml:space="preserve"> Debt!CA$397</f>
        <v>0</v>
      </c>
      <c r="CB255" s="125">
        <f xml:space="preserve"> Debt!CB$397</f>
        <v>0</v>
      </c>
      <c r="CC255" s="125">
        <f xml:space="preserve"> Debt!CC$397</f>
        <v>0</v>
      </c>
      <c r="CD255" s="125">
        <f xml:space="preserve"> Debt!CD$397</f>
        <v>0</v>
      </c>
      <c r="CE255" s="125">
        <f xml:space="preserve"> Debt!CE$397</f>
        <v>0</v>
      </c>
      <c r="CF255" s="125">
        <f xml:space="preserve"> Debt!CF$397</f>
        <v>0</v>
      </c>
      <c r="CG255" s="125">
        <f xml:space="preserve"> Debt!CG$397</f>
        <v>0</v>
      </c>
      <c r="CH255" s="125">
        <f xml:space="preserve"> Debt!CH$397</f>
        <v>0</v>
      </c>
      <c r="CI255" s="125">
        <f xml:space="preserve"> Debt!CI$397</f>
        <v>0</v>
      </c>
      <c r="CJ255" s="125">
        <f xml:space="preserve"> Debt!CJ$397</f>
        <v>0</v>
      </c>
      <c r="CK255" s="125">
        <f xml:space="preserve"> Debt!CK$397</f>
        <v>0</v>
      </c>
      <c r="CL255" s="125">
        <f xml:space="preserve"> Debt!CL$397</f>
        <v>0</v>
      </c>
      <c r="CM255" s="125">
        <f xml:space="preserve"> Debt!CM$397</f>
        <v>0</v>
      </c>
      <c r="CN255" s="125">
        <f xml:space="preserve"> Debt!CN$397</f>
        <v>0</v>
      </c>
      <c r="CO255" s="125">
        <f xml:space="preserve"> Debt!CO$397</f>
        <v>0</v>
      </c>
      <c r="CP255" s="125">
        <f xml:space="preserve"> Debt!CP$397</f>
        <v>0</v>
      </c>
      <c r="CQ255" s="125">
        <f xml:space="preserve"> Debt!CQ$397</f>
        <v>0</v>
      </c>
      <c r="CR255" s="125">
        <f xml:space="preserve"> Debt!CR$397</f>
        <v>0</v>
      </c>
      <c r="CS255" s="125">
        <f xml:space="preserve"> Debt!CS$397</f>
        <v>0</v>
      </c>
      <c r="CT255" s="125">
        <f xml:space="preserve"> Debt!CT$397</f>
        <v>0</v>
      </c>
      <c r="CU255" s="125">
        <f xml:space="preserve"> Debt!CU$397</f>
        <v>0</v>
      </c>
      <c r="CV255" s="125">
        <f xml:space="preserve"> Debt!CV$397</f>
        <v>0</v>
      </c>
    </row>
    <row r="256" spans="1:100" s="495" customFormat="1" outlineLevel="1" x14ac:dyDescent="0.2">
      <c r="A256" s="205"/>
      <c r="B256" s="205"/>
      <c r="C256" s="206"/>
      <c r="D256" s="209"/>
      <c r="E256" s="125" t="str">
        <f xml:space="preserve"> Debt!E$401</f>
        <v>Standby debt - T1 balance BEG</v>
      </c>
      <c r="F256" s="125">
        <f xml:space="preserve"> Debt!F$401</f>
        <v>0</v>
      </c>
      <c r="G256" s="125" t="str">
        <f xml:space="preserve"> Debt!G$401</f>
        <v>$ 000s</v>
      </c>
      <c r="H256" s="125">
        <f xml:space="preserve"> Debt!H$401</f>
        <v>0</v>
      </c>
      <c r="I256" s="125">
        <f xml:space="preserve"> Debt!I$401</f>
        <v>0</v>
      </c>
      <c r="J256" s="125">
        <f xml:space="preserve"> Debt!J$401</f>
        <v>0</v>
      </c>
      <c r="K256" s="125">
        <f xml:space="preserve"> Debt!K$401</f>
        <v>0</v>
      </c>
      <c r="L256" s="125">
        <f xml:space="preserve"> Debt!L$401</f>
        <v>0</v>
      </c>
      <c r="M256" s="125">
        <f xml:space="preserve"> Debt!M$401</f>
        <v>0</v>
      </c>
      <c r="N256" s="125">
        <f xml:space="preserve"> Debt!N$401</f>
        <v>0</v>
      </c>
      <c r="O256" s="125">
        <f xml:space="preserve"> Debt!O$401</f>
        <v>0</v>
      </c>
      <c r="P256" s="125">
        <f xml:space="preserve"> Debt!P$401</f>
        <v>0</v>
      </c>
      <c r="Q256" s="125">
        <f xml:space="preserve"> Debt!Q$401</f>
        <v>0</v>
      </c>
      <c r="R256" s="125">
        <f xml:space="preserve"> Debt!R$401</f>
        <v>0</v>
      </c>
      <c r="S256" s="125">
        <f xml:space="preserve"> Debt!S$401</f>
        <v>0</v>
      </c>
      <c r="T256" s="125">
        <f xml:space="preserve"> Debt!T$401</f>
        <v>0</v>
      </c>
      <c r="U256" s="125">
        <f xml:space="preserve"> Debt!U$401</f>
        <v>0</v>
      </c>
      <c r="V256" s="125">
        <f xml:space="preserve"> Debt!V$401</f>
        <v>0</v>
      </c>
      <c r="W256" s="125">
        <f xml:space="preserve"> Debt!W$401</f>
        <v>0</v>
      </c>
      <c r="X256" s="125">
        <f xml:space="preserve"> Debt!X$401</f>
        <v>0</v>
      </c>
      <c r="Y256" s="125">
        <f xml:space="preserve"> Debt!Y$401</f>
        <v>0</v>
      </c>
      <c r="Z256" s="125">
        <f xml:space="preserve"> Debt!Z$401</f>
        <v>0</v>
      </c>
      <c r="AA256" s="125">
        <f xml:space="preserve"> Debt!AA$401</f>
        <v>0</v>
      </c>
      <c r="AB256" s="125">
        <f xml:space="preserve"> Debt!AB$401</f>
        <v>0</v>
      </c>
      <c r="AC256" s="125">
        <f xml:space="preserve"> Debt!AC$401</f>
        <v>0</v>
      </c>
      <c r="AD256" s="125">
        <f xml:space="preserve"> Debt!AD$401</f>
        <v>0</v>
      </c>
      <c r="AE256" s="125">
        <f xml:space="preserve"> Debt!AE$401</f>
        <v>0</v>
      </c>
      <c r="AF256" s="125">
        <f xml:space="preserve"> Debt!AF$401</f>
        <v>0</v>
      </c>
      <c r="AG256" s="125">
        <f xml:space="preserve"> Debt!AG$401</f>
        <v>0</v>
      </c>
      <c r="AH256" s="125">
        <f xml:space="preserve"> Debt!AH$401</f>
        <v>0</v>
      </c>
      <c r="AI256" s="125">
        <f xml:space="preserve"> Debt!AI$401</f>
        <v>0</v>
      </c>
      <c r="AJ256" s="125">
        <f xml:space="preserve"> Debt!AJ$401</f>
        <v>0</v>
      </c>
      <c r="AK256" s="125">
        <f xml:space="preserve"> Debt!AK$401</f>
        <v>0</v>
      </c>
      <c r="AL256" s="125">
        <f xml:space="preserve"> Debt!AL$401</f>
        <v>0</v>
      </c>
      <c r="AM256" s="125">
        <f xml:space="preserve"> Debt!AM$401</f>
        <v>0</v>
      </c>
      <c r="AN256" s="125">
        <f xml:space="preserve"> Debt!AN$401</f>
        <v>0</v>
      </c>
      <c r="AO256" s="125">
        <f xml:space="preserve"> Debt!AO$401</f>
        <v>0</v>
      </c>
      <c r="AP256" s="125">
        <f xml:space="preserve"> Debt!AP$401</f>
        <v>0</v>
      </c>
      <c r="AQ256" s="125">
        <f xml:space="preserve"> Debt!AQ$401</f>
        <v>0</v>
      </c>
      <c r="AR256" s="125">
        <f xml:space="preserve"> Debt!AR$401</f>
        <v>0</v>
      </c>
      <c r="AS256" s="125">
        <f xml:space="preserve"> Debt!AS$401</f>
        <v>0</v>
      </c>
      <c r="AT256" s="125">
        <f xml:space="preserve"> Debt!AT$401</f>
        <v>0</v>
      </c>
      <c r="AU256" s="125">
        <f xml:space="preserve"> Debt!AU$401</f>
        <v>0</v>
      </c>
      <c r="AV256" s="125">
        <f xml:space="preserve"> Debt!AV$401</f>
        <v>0</v>
      </c>
      <c r="AW256" s="125">
        <f xml:space="preserve"> Debt!AW$401</f>
        <v>0</v>
      </c>
      <c r="AX256" s="125">
        <f xml:space="preserve"> Debt!AX$401</f>
        <v>0</v>
      </c>
      <c r="AY256" s="125">
        <f xml:space="preserve"> Debt!AY$401</f>
        <v>0</v>
      </c>
      <c r="AZ256" s="125">
        <f xml:space="preserve"> Debt!AZ$401</f>
        <v>0</v>
      </c>
      <c r="BA256" s="125">
        <f xml:space="preserve"> Debt!BA$401</f>
        <v>0</v>
      </c>
      <c r="BB256" s="125">
        <f xml:space="preserve"> Debt!BB$401</f>
        <v>0</v>
      </c>
      <c r="BC256" s="125">
        <f xml:space="preserve"> Debt!BC$401</f>
        <v>0</v>
      </c>
      <c r="BD256" s="125">
        <f xml:space="preserve"> Debt!BD$401</f>
        <v>0</v>
      </c>
      <c r="BE256" s="125">
        <f xml:space="preserve"> Debt!BE$401</f>
        <v>0</v>
      </c>
      <c r="BF256" s="125">
        <f xml:space="preserve"> Debt!BF$401</f>
        <v>0</v>
      </c>
      <c r="BG256" s="125">
        <f xml:space="preserve"> Debt!BG$401</f>
        <v>0</v>
      </c>
      <c r="BH256" s="125">
        <f xml:space="preserve"> Debt!BH$401</f>
        <v>0</v>
      </c>
      <c r="BI256" s="125">
        <f xml:space="preserve"> Debt!BI$401</f>
        <v>0</v>
      </c>
      <c r="BJ256" s="125">
        <f xml:space="preserve"> Debt!BJ$401</f>
        <v>0</v>
      </c>
      <c r="BK256" s="125">
        <f xml:space="preserve"> Debt!BK$401</f>
        <v>0</v>
      </c>
      <c r="BL256" s="125">
        <f xml:space="preserve"> Debt!BL$401</f>
        <v>0</v>
      </c>
      <c r="BM256" s="125">
        <f xml:space="preserve"> Debt!BM$401</f>
        <v>0</v>
      </c>
      <c r="BN256" s="125">
        <f xml:space="preserve"> Debt!BN$401</f>
        <v>0</v>
      </c>
      <c r="BO256" s="125">
        <f xml:space="preserve"> Debt!BO$401</f>
        <v>0</v>
      </c>
      <c r="BP256" s="125">
        <f xml:space="preserve"> Debt!BP$401</f>
        <v>0</v>
      </c>
      <c r="BQ256" s="125">
        <f xml:space="preserve"> Debt!BQ$401</f>
        <v>0</v>
      </c>
      <c r="BR256" s="125">
        <f xml:space="preserve"> Debt!BR$401</f>
        <v>0</v>
      </c>
      <c r="BS256" s="125">
        <f xml:space="preserve"> Debt!BS$401</f>
        <v>0</v>
      </c>
      <c r="BT256" s="125">
        <f xml:space="preserve"> Debt!BT$401</f>
        <v>0</v>
      </c>
      <c r="BU256" s="125">
        <f xml:space="preserve"> Debt!BU$401</f>
        <v>0</v>
      </c>
      <c r="BV256" s="125">
        <f xml:space="preserve"> Debt!BV$401</f>
        <v>0</v>
      </c>
      <c r="BW256" s="125">
        <f xml:space="preserve"> Debt!BW$401</f>
        <v>0</v>
      </c>
      <c r="BX256" s="125">
        <f xml:space="preserve"> Debt!BX$401</f>
        <v>0</v>
      </c>
      <c r="BY256" s="125">
        <f xml:space="preserve"> Debt!BY$401</f>
        <v>0</v>
      </c>
      <c r="BZ256" s="125">
        <f xml:space="preserve"> Debt!BZ$401</f>
        <v>0</v>
      </c>
      <c r="CA256" s="125">
        <f xml:space="preserve"> Debt!CA$401</f>
        <v>0</v>
      </c>
      <c r="CB256" s="125">
        <f xml:space="preserve"> Debt!CB$401</f>
        <v>0</v>
      </c>
      <c r="CC256" s="125">
        <f xml:space="preserve"> Debt!CC$401</f>
        <v>0</v>
      </c>
      <c r="CD256" s="125">
        <f xml:space="preserve"> Debt!CD$401</f>
        <v>0</v>
      </c>
      <c r="CE256" s="125">
        <f xml:space="preserve"> Debt!CE$401</f>
        <v>0</v>
      </c>
      <c r="CF256" s="125">
        <f xml:space="preserve"> Debt!CF$401</f>
        <v>0</v>
      </c>
      <c r="CG256" s="125">
        <f xml:space="preserve"> Debt!CG$401</f>
        <v>0</v>
      </c>
      <c r="CH256" s="125">
        <f xml:space="preserve"> Debt!CH$401</f>
        <v>0</v>
      </c>
      <c r="CI256" s="125">
        <f xml:space="preserve"> Debt!CI$401</f>
        <v>0</v>
      </c>
      <c r="CJ256" s="125">
        <f xml:space="preserve"> Debt!CJ$401</f>
        <v>0</v>
      </c>
      <c r="CK256" s="125">
        <f xml:space="preserve"> Debt!CK$401</f>
        <v>0</v>
      </c>
      <c r="CL256" s="125">
        <f xml:space="preserve"> Debt!CL$401</f>
        <v>0</v>
      </c>
      <c r="CM256" s="125">
        <f xml:space="preserve"> Debt!CM$401</f>
        <v>0</v>
      </c>
      <c r="CN256" s="125">
        <f xml:space="preserve"> Debt!CN$401</f>
        <v>0</v>
      </c>
      <c r="CO256" s="125">
        <f xml:space="preserve"> Debt!CO$401</f>
        <v>0</v>
      </c>
      <c r="CP256" s="125">
        <f xml:space="preserve"> Debt!CP$401</f>
        <v>0</v>
      </c>
      <c r="CQ256" s="125">
        <f xml:space="preserve"> Debt!CQ$401</f>
        <v>0</v>
      </c>
      <c r="CR256" s="125">
        <f xml:space="preserve"> Debt!CR$401</f>
        <v>0</v>
      </c>
      <c r="CS256" s="125">
        <f xml:space="preserve"> Debt!CS$401</f>
        <v>0</v>
      </c>
      <c r="CT256" s="125">
        <f xml:space="preserve"> Debt!CT$401</f>
        <v>0</v>
      </c>
      <c r="CU256" s="125">
        <f xml:space="preserve"> Debt!CU$401</f>
        <v>0</v>
      </c>
      <c r="CV256" s="125">
        <f xml:space="preserve"> Debt!CV$401</f>
        <v>0</v>
      </c>
    </row>
    <row r="257" spans="1:100" s="495" customFormat="1" outlineLevel="1" x14ac:dyDescent="0.2">
      <c r="A257" s="205"/>
      <c r="B257" s="205"/>
      <c r="C257" s="206"/>
      <c r="D257" s="209"/>
      <c r="E257" s="125" t="str">
        <f xml:space="preserve"> Debt!E$429</f>
        <v>Standby debt interest - T2 POS</v>
      </c>
      <c r="F257" s="125">
        <f xml:space="preserve"> Debt!F$429</f>
        <v>0</v>
      </c>
      <c r="G257" s="125" t="str">
        <f xml:space="preserve"> Debt!G$429</f>
        <v>$ 000s</v>
      </c>
      <c r="H257" s="125">
        <f xml:space="preserve"> Debt!H$429</f>
        <v>0</v>
      </c>
      <c r="I257" s="125">
        <f xml:space="preserve"> Debt!I$429</f>
        <v>0</v>
      </c>
      <c r="J257" s="125">
        <f xml:space="preserve"> Debt!J$429</f>
        <v>0</v>
      </c>
      <c r="K257" s="125">
        <f xml:space="preserve"> Debt!K$429</f>
        <v>0</v>
      </c>
      <c r="L257" s="125">
        <f xml:space="preserve"> Debt!L$429</f>
        <v>0</v>
      </c>
      <c r="M257" s="125">
        <f xml:space="preserve"> Debt!M$429</f>
        <v>0</v>
      </c>
      <c r="N257" s="125">
        <f xml:space="preserve"> Debt!N$429</f>
        <v>0</v>
      </c>
      <c r="O257" s="125">
        <f xml:space="preserve"> Debt!O$429</f>
        <v>0</v>
      </c>
      <c r="P257" s="125">
        <f xml:space="preserve"> Debt!P$429</f>
        <v>0</v>
      </c>
      <c r="Q257" s="125">
        <f xml:space="preserve"> Debt!Q$429</f>
        <v>0</v>
      </c>
      <c r="R257" s="125">
        <f xml:space="preserve"> Debt!R$429</f>
        <v>0</v>
      </c>
      <c r="S257" s="125">
        <f xml:space="preserve"> Debt!S$429</f>
        <v>0</v>
      </c>
      <c r="T257" s="125">
        <f xml:space="preserve"> Debt!T$429</f>
        <v>0</v>
      </c>
      <c r="U257" s="125">
        <f xml:space="preserve"> Debt!U$429</f>
        <v>0</v>
      </c>
      <c r="V257" s="125">
        <f xml:space="preserve"> Debt!V$429</f>
        <v>0</v>
      </c>
      <c r="W257" s="125">
        <f xml:space="preserve"> Debt!W$429</f>
        <v>0</v>
      </c>
      <c r="X257" s="125">
        <f xml:space="preserve"> Debt!X$429</f>
        <v>0</v>
      </c>
      <c r="Y257" s="125">
        <f xml:space="preserve"> Debt!Y$429</f>
        <v>0</v>
      </c>
      <c r="Z257" s="125">
        <f xml:space="preserve"> Debt!Z$429</f>
        <v>0</v>
      </c>
      <c r="AA257" s="125">
        <f xml:space="preserve"> Debt!AA$429</f>
        <v>0</v>
      </c>
      <c r="AB257" s="125">
        <f xml:space="preserve"> Debt!AB$429</f>
        <v>0</v>
      </c>
      <c r="AC257" s="125">
        <f xml:space="preserve"> Debt!AC$429</f>
        <v>0</v>
      </c>
      <c r="AD257" s="125">
        <f xml:space="preserve"> Debt!AD$429</f>
        <v>0</v>
      </c>
      <c r="AE257" s="125">
        <f xml:space="preserve"> Debt!AE$429</f>
        <v>0</v>
      </c>
      <c r="AF257" s="125">
        <f xml:space="preserve"> Debt!AF$429</f>
        <v>0</v>
      </c>
      <c r="AG257" s="125">
        <f xml:space="preserve"> Debt!AG$429</f>
        <v>0</v>
      </c>
      <c r="AH257" s="125">
        <f xml:space="preserve"> Debt!AH$429</f>
        <v>0</v>
      </c>
      <c r="AI257" s="125">
        <f xml:space="preserve"> Debt!AI$429</f>
        <v>0</v>
      </c>
      <c r="AJ257" s="125">
        <f xml:space="preserve"> Debt!AJ$429</f>
        <v>0</v>
      </c>
      <c r="AK257" s="125">
        <f xml:space="preserve"> Debt!AK$429</f>
        <v>0</v>
      </c>
      <c r="AL257" s="125">
        <f xml:space="preserve"> Debt!AL$429</f>
        <v>0</v>
      </c>
      <c r="AM257" s="125">
        <f xml:space="preserve"> Debt!AM$429</f>
        <v>0</v>
      </c>
      <c r="AN257" s="125">
        <f xml:space="preserve"> Debt!AN$429</f>
        <v>0</v>
      </c>
      <c r="AO257" s="125">
        <f xml:space="preserve"> Debt!AO$429</f>
        <v>0</v>
      </c>
      <c r="AP257" s="125">
        <f xml:space="preserve"> Debt!AP$429</f>
        <v>0</v>
      </c>
      <c r="AQ257" s="125">
        <f xml:space="preserve"> Debt!AQ$429</f>
        <v>0</v>
      </c>
      <c r="AR257" s="125">
        <f xml:space="preserve"> Debt!AR$429</f>
        <v>0</v>
      </c>
      <c r="AS257" s="125">
        <f xml:space="preserve"> Debt!AS$429</f>
        <v>0</v>
      </c>
      <c r="AT257" s="125">
        <f xml:space="preserve"> Debt!AT$429</f>
        <v>0</v>
      </c>
      <c r="AU257" s="125">
        <f xml:space="preserve"> Debt!AU$429</f>
        <v>0</v>
      </c>
      <c r="AV257" s="125">
        <f xml:space="preserve"> Debt!AV$429</f>
        <v>0</v>
      </c>
      <c r="AW257" s="125">
        <f xml:space="preserve"> Debt!AW$429</f>
        <v>0</v>
      </c>
      <c r="AX257" s="125">
        <f xml:space="preserve"> Debt!AX$429</f>
        <v>0</v>
      </c>
      <c r="AY257" s="125">
        <f xml:space="preserve"> Debt!AY$429</f>
        <v>0</v>
      </c>
      <c r="AZ257" s="125">
        <f xml:space="preserve"> Debt!AZ$429</f>
        <v>0</v>
      </c>
      <c r="BA257" s="125">
        <f xml:space="preserve"> Debt!BA$429</f>
        <v>0</v>
      </c>
      <c r="BB257" s="125">
        <f xml:space="preserve"> Debt!BB$429</f>
        <v>0</v>
      </c>
      <c r="BC257" s="125">
        <f xml:space="preserve"> Debt!BC$429</f>
        <v>0</v>
      </c>
      <c r="BD257" s="125">
        <f xml:space="preserve"> Debt!BD$429</f>
        <v>0</v>
      </c>
      <c r="BE257" s="125">
        <f xml:space="preserve"> Debt!BE$429</f>
        <v>0</v>
      </c>
      <c r="BF257" s="125">
        <f xml:space="preserve"> Debt!BF$429</f>
        <v>0</v>
      </c>
      <c r="BG257" s="125">
        <f xml:space="preserve"> Debt!BG$429</f>
        <v>0</v>
      </c>
      <c r="BH257" s="125">
        <f xml:space="preserve"> Debt!BH$429</f>
        <v>0</v>
      </c>
      <c r="BI257" s="125">
        <f xml:space="preserve"> Debt!BI$429</f>
        <v>0</v>
      </c>
      <c r="BJ257" s="125">
        <f xml:space="preserve"> Debt!BJ$429</f>
        <v>0</v>
      </c>
      <c r="BK257" s="125">
        <f xml:space="preserve"> Debt!BK$429</f>
        <v>0</v>
      </c>
      <c r="BL257" s="125">
        <f xml:space="preserve"> Debt!BL$429</f>
        <v>0</v>
      </c>
      <c r="BM257" s="125">
        <f xml:space="preserve"> Debt!BM$429</f>
        <v>0</v>
      </c>
      <c r="BN257" s="125">
        <f xml:space="preserve"> Debt!BN$429</f>
        <v>0</v>
      </c>
      <c r="BO257" s="125">
        <f xml:space="preserve"> Debt!BO$429</f>
        <v>0</v>
      </c>
      <c r="BP257" s="125">
        <f xml:space="preserve"> Debt!BP$429</f>
        <v>0</v>
      </c>
      <c r="BQ257" s="125">
        <f xml:space="preserve"> Debt!BQ$429</f>
        <v>0</v>
      </c>
      <c r="BR257" s="125">
        <f xml:space="preserve"> Debt!BR$429</f>
        <v>0</v>
      </c>
      <c r="BS257" s="125">
        <f xml:space="preserve"> Debt!BS$429</f>
        <v>0</v>
      </c>
      <c r="BT257" s="125">
        <f xml:space="preserve"> Debt!BT$429</f>
        <v>0</v>
      </c>
      <c r="BU257" s="125">
        <f xml:space="preserve"> Debt!BU$429</f>
        <v>0</v>
      </c>
      <c r="BV257" s="125">
        <f xml:space="preserve"> Debt!BV$429</f>
        <v>0</v>
      </c>
      <c r="BW257" s="125">
        <f xml:space="preserve"> Debt!BW$429</f>
        <v>0</v>
      </c>
      <c r="BX257" s="125">
        <f xml:space="preserve"> Debt!BX$429</f>
        <v>0</v>
      </c>
      <c r="BY257" s="125">
        <f xml:space="preserve"> Debt!BY$429</f>
        <v>0</v>
      </c>
      <c r="BZ257" s="125">
        <f xml:space="preserve"> Debt!BZ$429</f>
        <v>0</v>
      </c>
      <c r="CA257" s="125">
        <f xml:space="preserve"> Debt!CA$429</f>
        <v>0</v>
      </c>
      <c r="CB257" s="125">
        <f xml:space="preserve"> Debt!CB$429</f>
        <v>0</v>
      </c>
      <c r="CC257" s="125">
        <f xml:space="preserve"> Debt!CC$429</f>
        <v>0</v>
      </c>
      <c r="CD257" s="125">
        <f xml:space="preserve"> Debt!CD$429</f>
        <v>0</v>
      </c>
      <c r="CE257" s="125">
        <f xml:space="preserve"> Debt!CE$429</f>
        <v>0</v>
      </c>
      <c r="CF257" s="125">
        <f xml:space="preserve"> Debt!CF$429</f>
        <v>0</v>
      </c>
      <c r="CG257" s="125">
        <f xml:space="preserve"> Debt!CG$429</f>
        <v>0</v>
      </c>
      <c r="CH257" s="125">
        <f xml:space="preserve"> Debt!CH$429</f>
        <v>0</v>
      </c>
      <c r="CI257" s="125">
        <f xml:space="preserve"> Debt!CI$429</f>
        <v>0</v>
      </c>
      <c r="CJ257" s="125">
        <f xml:space="preserve"> Debt!CJ$429</f>
        <v>0</v>
      </c>
      <c r="CK257" s="125">
        <f xml:space="preserve"> Debt!CK$429</f>
        <v>0</v>
      </c>
      <c r="CL257" s="125">
        <f xml:space="preserve"> Debt!CL$429</f>
        <v>0</v>
      </c>
      <c r="CM257" s="125">
        <f xml:space="preserve"> Debt!CM$429</f>
        <v>0</v>
      </c>
      <c r="CN257" s="125">
        <f xml:space="preserve"> Debt!CN$429</f>
        <v>0</v>
      </c>
      <c r="CO257" s="125">
        <f xml:space="preserve"> Debt!CO$429</f>
        <v>0</v>
      </c>
      <c r="CP257" s="125">
        <f xml:space="preserve"> Debt!CP$429</f>
        <v>0</v>
      </c>
      <c r="CQ257" s="125">
        <f xml:space="preserve"> Debt!CQ$429</f>
        <v>0</v>
      </c>
      <c r="CR257" s="125">
        <f xml:space="preserve"> Debt!CR$429</f>
        <v>0</v>
      </c>
      <c r="CS257" s="125">
        <f xml:space="preserve"> Debt!CS$429</f>
        <v>0</v>
      </c>
      <c r="CT257" s="125">
        <f xml:space="preserve"> Debt!CT$429</f>
        <v>0</v>
      </c>
      <c r="CU257" s="125">
        <f xml:space="preserve"> Debt!CU$429</f>
        <v>0</v>
      </c>
      <c r="CV257" s="125">
        <f xml:space="preserve"> Debt!CV$429</f>
        <v>0</v>
      </c>
    </row>
    <row r="258" spans="1:100" outlineLevel="1" x14ac:dyDescent="0.2">
      <c r="A258" s="75"/>
      <c r="B258" s="639"/>
      <c r="C258" s="640"/>
      <c r="D258" s="641"/>
      <c r="E258" s="125" t="str">
        <f xml:space="preserve"> Debt!E$433</f>
        <v>Standby debt - T2 balance BEG</v>
      </c>
      <c r="F258" s="125">
        <f xml:space="preserve"> Debt!F$433</f>
        <v>0</v>
      </c>
      <c r="G258" s="125" t="str">
        <f xml:space="preserve"> Debt!G$433</f>
        <v>$ 000s</v>
      </c>
      <c r="H258" s="125">
        <f xml:space="preserve"> Debt!H$433</f>
        <v>0</v>
      </c>
      <c r="I258" s="125">
        <f xml:space="preserve"> Debt!I$433</f>
        <v>0</v>
      </c>
      <c r="J258" s="125">
        <f xml:space="preserve"> Debt!J$433</f>
        <v>0</v>
      </c>
      <c r="K258" s="125">
        <f xml:space="preserve"> Debt!K$433</f>
        <v>0</v>
      </c>
      <c r="L258" s="125">
        <f xml:space="preserve"> Debt!L$433</f>
        <v>0</v>
      </c>
      <c r="M258" s="125">
        <f xml:space="preserve"> Debt!M$433</f>
        <v>0</v>
      </c>
      <c r="N258" s="125">
        <f xml:space="preserve"> Debt!N$433</f>
        <v>0</v>
      </c>
      <c r="O258" s="125">
        <f xml:space="preserve"> Debt!O$433</f>
        <v>0</v>
      </c>
      <c r="P258" s="125">
        <f xml:space="preserve"> Debt!P$433</f>
        <v>0</v>
      </c>
      <c r="Q258" s="125">
        <f xml:space="preserve"> Debt!Q$433</f>
        <v>0</v>
      </c>
      <c r="R258" s="125">
        <f xml:space="preserve"> Debt!R$433</f>
        <v>0</v>
      </c>
      <c r="S258" s="125">
        <f xml:space="preserve"> Debt!S$433</f>
        <v>0</v>
      </c>
      <c r="T258" s="125">
        <f xml:space="preserve"> Debt!T$433</f>
        <v>0</v>
      </c>
      <c r="U258" s="125">
        <f xml:space="preserve"> Debt!U$433</f>
        <v>0</v>
      </c>
      <c r="V258" s="125">
        <f xml:space="preserve"> Debt!V$433</f>
        <v>0</v>
      </c>
      <c r="W258" s="125">
        <f xml:space="preserve"> Debt!W$433</f>
        <v>0</v>
      </c>
      <c r="X258" s="125">
        <f xml:space="preserve"> Debt!X$433</f>
        <v>0</v>
      </c>
      <c r="Y258" s="125">
        <f xml:space="preserve"> Debt!Y$433</f>
        <v>0</v>
      </c>
      <c r="Z258" s="125">
        <f xml:space="preserve"> Debt!Z$433</f>
        <v>0</v>
      </c>
      <c r="AA258" s="125">
        <f xml:space="preserve"> Debt!AA$433</f>
        <v>0</v>
      </c>
      <c r="AB258" s="125">
        <f xml:space="preserve"> Debt!AB$433</f>
        <v>0</v>
      </c>
      <c r="AC258" s="125">
        <f xml:space="preserve"> Debt!AC$433</f>
        <v>0</v>
      </c>
      <c r="AD258" s="125">
        <f xml:space="preserve"> Debt!AD$433</f>
        <v>0</v>
      </c>
      <c r="AE258" s="125">
        <f xml:space="preserve"> Debt!AE$433</f>
        <v>0</v>
      </c>
      <c r="AF258" s="125">
        <f xml:space="preserve"> Debt!AF$433</f>
        <v>0</v>
      </c>
      <c r="AG258" s="125">
        <f xml:space="preserve"> Debt!AG$433</f>
        <v>0</v>
      </c>
      <c r="AH258" s="125">
        <f xml:space="preserve"> Debt!AH$433</f>
        <v>0</v>
      </c>
      <c r="AI258" s="125">
        <f xml:space="preserve"> Debt!AI$433</f>
        <v>0</v>
      </c>
      <c r="AJ258" s="125">
        <f xml:space="preserve"> Debt!AJ$433</f>
        <v>0</v>
      </c>
      <c r="AK258" s="125">
        <f xml:space="preserve"> Debt!AK$433</f>
        <v>0</v>
      </c>
      <c r="AL258" s="125">
        <f xml:space="preserve"> Debt!AL$433</f>
        <v>0</v>
      </c>
      <c r="AM258" s="125">
        <f xml:space="preserve"> Debt!AM$433</f>
        <v>0</v>
      </c>
      <c r="AN258" s="125">
        <f xml:space="preserve"> Debt!AN$433</f>
        <v>0</v>
      </c>
      <c r="AO258" s="125">
        <f xml:space="preserve"> Debt!AO$433</f>
        <v>0</v>
      </c>
      <c r="AP258" s="125">
        <f xml:space="preserve"> Debt!AP$433</f>
        <v>0</v>
      </c>
      <c r="AQ258" s="125">
        <f xml:space="preserve"> Debt!AQ$433</f>
        <v>0</v>
      </c>
      <c r="AR258" s="125">
        <f xml:space="preserve"> Debt!AR$433</f>
        <v>0</v>
      </c>
      <c r="AS258" s="125">
        <f xml:space="preserve"> Debt!AS$433</f>
        <v>0</v>
      </c>
      <c r="AT258" s="125">
        <f xml:space="preserve"> Debt!AT$433</f>
        <v>0</v>
      </c>
      <c r="AU258" s="125">
        <f xml:space="preserve"> Debt!AU$433</f>
        <v>0</v>
      </c>
      <c r="AV258" s="125">
        <f xml:space="preserve"> Debt!AV$433</f>
        <v>0</v>
      </c>
      <c r="AW258" s="125">
        <f xml:space="preserve"> Debt!AW$433</f>
        <v>0</v>
      </c>
      <c r="AX258" s="125">
        <f xml:space="preserve"> Debt!AX$433</f>
        <v>0</v>
      </c>
      <c r="AY258" s="125">
        <f xml:space="preserve"> Debt!AY$433</f>
        <v>0</v>
      </c>
      <c r="AZ258" s="125">
        <f xml:space="preserve"> Debt!AZ$433</f>
        <v>0</v>
      </c>
      <c r="BA258" s="125">
        <f xml:space="preserve"> Debt!BA$433</f>
        <v>0</v>
      </c>
      <c r="BB258" s="125">
        <f xml:space="preserve"> Debt!BB$433</f>
        <v>0</v>
      </c>
      <c r="BC258" s="125">
        <f xml:space="preserve"> Debt!BC$433</f>
        <v>0</v>
      </c>
      <c r="BD258" s="125">
        <f xml:space="preserve"> Debt!BD$433</f>
        <v>0</v>
      </c>
      <c r="BE258" s="125">
        <f xml:space="preserve"> Debt!BE$433</f>
        <v>0</v>
      </c>
      <c r="BF258" s="125">
        <f xml:space="preserve"> Debt!BF$433</f>
        <v>0</v>
      </c>
      <c r="BG258" s="125">
        <f xml:space="preserve"> Debt!BG$433</f>
        <v>0</v>
      </c>
      <c r="BH258" s="125">
        <f xml:space="preserve"> Debt!BH$433</f>
        <v>0</v>
      </c>
      <c r="BI258" s="125">
        <f xml:space="preserve"> Debt!BI$433</f>
        <v>0</v>
      </c>
      <c r="BJ258" s="125">
        <f xml:space="preserve"> Debt!BJ$433</f>
        <v>0</v>
      </c>
      <c r="BK258" s="125">
        <f xml:space="preserve"> Debt!BK$433</f>
        <v>0</v>
      </c>
      <c r="BL258" s="125">
        <f xml:space="preserve"> Debt!BL$433</f>
        <v>0</v>
      </c>
      <c r="BM258" s="125">
        <f xml:space="preserve"> Debt!BM$433</f>
        <v>0</v>
      </c>
      <c r="BN258" s="125">
        <f xml:space="preserve"> Debt!BN$433</f>
        <v>0</v>
      </c>
      <c r="BO258" s="125">
        <f xml:space="preserve"> Debt!BO$433</f>
        <v>0</v>
      </c>
      <c r="BP258" s="125">
        <f xml:space="preserve"> Debt!BP$433</f>
        <v>0</v>
      </c>
      <c r="BQ258" s="125">
        <f xml:space="preserve"> Debt!BQ$433</f>
        <v>0</v>
      </c>
      <c r="BR258" s="125">
        <f xml:space="preserve"> Debt!BR$433</f>
        <v>0</v>
      </c>
      <c r="BS258" s="125">
        <f xml:space="preserve"> Debt!BS$433</f>
        <v>0</v>
      </c>
      <c r="BT258" s="125">
        <f xml:space="preserve"> Debt!BT$433</f>
        <v>0</v>
      </c>
      <c r="BU258" s="125">
        <f xml:space="preserve"> Debt!BU$433</f>
        <v>0</v>
      </c>
      <c r="BV258" s="125">
        <f xml:space="preserve"> Debt!BV$433</f>
        <v>0</v>
      </c>
      <c r="BW258" s="125">
        <f xml:space="preserve"> Debt!BW$433</f>
        <v>0</v>
      </c>
      <c r="BX258" s="125">
        <f xml:space="preserve"> Debt!BX$433</f>
        <v>0</v>
      </c>
      <c r="BY258" s="125">
        <f xml:space="preserve"> Debt!BY$433</f>
        <v>0</v>
      </c>
      <c r="BZ258" s="125">
        <f xml:space="preserve"> Debt!BZ$433</f>
        <v>0</v>
      </c>
      <c r="CA258" s="125">
        <f xml:space="preserve"> Debt!CA$433</f>
        <v>0</v>
      </c>
      <c r="CB258" s="125">
        <f xml:space="preserve"> Debt!CB$433</f>
        <v>0</v>
      </c>
      <c r="CC258" s="125">
        <f xml:space="preserve"> Debt!CC$433</f>
        <v>0</v>
      </c>
      <c r="CD258" s="125">
        <f xml:space="preserve"> Debt!CD$433</f>
        <v>0</v>
      </c>
      <c r="CE258" s="125">
        <f xml:space="preserve"> Debt!CE$433</f>
        <v>0</v>
      </c>
      <c r="CF258" s="125">
        <f xml:space="preserve"> Debt!CF$433</f>
        <v>0</v>
      </c>
      <c r="CG258" s="125">
        <f xml:space="preserve"> Debt!CG$433</f>
        <v>0</v>
      </c>
      <c r="CH258" s="125">
        <f xml:space="preserve"> Debt!CH$433</f>
        <v>0</v>
      </c>
      <c r="CI258" s="125">
        <f xml:space="preserve"> Debt!CI$433</f>
        <v>0</v>
      </c>
      <c r="CJ258" s="125">
        <f xml:space="preserve"> Debt!CJ$433</f>
        <v>0</v>
      </c>
      <c r="CK258" s="125">
        <f xml:space="preserve"> Debt!CK$433</f>
        <v>0</v>
      </c>
      <c r="CL258" s="125">
        <f xml:space="preserve"> Debt!CL$433</f>
        <v>0</v>
      </c>
      <c r="CM258" s="125">
        <f xml:space="preserve"> Debt!CM$433</f>
        <v>0</v>
      </c>
      <c r="CN258" s="125">
        <f xml:space="preserve"> Debt!CN$433</f>
        <v>0</v>
      </c>
      <c r="CO258" s="125">
        <f xml:space="preserve"> Debt!CO$433</f>
        <v>0</v>
      </c>
      <c r="CP258" s="125">
        <f xml:space="preserve"> Debt!CP$433</f>
        <v>0</v>
      </c>
      <c r="CQ258" s="125">
        <f xml:space="preserve"> Debt!CQ$433</f>
        <v>0</v>
      </c>
      <c r="CR258" s="125">
        <f xml:space="preserve"> Debt!CR$433</f>
        <v>0</v>
      </c>
      <c r="CS258" s="125">
        <f xml:space="preserve"> Debt!CS$433</f>
        <v>0</v>
      </c>
      <c r="CT258" s="125">
        <f xml:space="preserve"> Debt!CT$433</f>
        <v>0</v>
      </c>
      <c r="CU258" s="125">
        <f xml:space="preserve"> Debt!CU$433</f>
        <v>0</v>
      </c>
      <c r="CV258" s="125">
        <f xml:space="preserve"> Debt!CV$433</f>
        <v>0</v>
      </c>
    </row>
    <row r="259" spans="1:100" outlineLevel="1" x14ac:dyDescent="0.2">
      <c r="A259" s="85"/>
      <c r="B259" s="85"/>
      <c r="C259" s="86"/>
      <c r="D259" s="87"/>
      <c r="E259" s="189" t="str">
        <f xml:space="preserve"> Time!E$214</f>
        <v>Senior debt repayment period flag</v>
      </c>
      <c r="F259" s="189">
        <f xml:space="preserve"> Time!F$214</f>
        <v>0</v>
      </c>
      <c r="G259" s="189" t="str">
        <f xml:space="preserve"> Time!G$214</f>
        <v>flag</v>
      </c>
      <c r="H259" s="189">
        <f xml:space="preserve"> Time!H$214</f>
        <v>34</v>
      </c>
      <c r="I259" s="189">
        <f xml:space="preserve"> Time!I$214</f>
        <v>0</v>
      </c>
      <c r="J259" s="189">
        <f xml:space="preserve"> Time!J$214</f>
        <v>0</v>
      </c>
      <c r="K259" s="189">
        <f xml:space="preserve"> Time!K$214</f>
        <v>0</v>
      </c>
      <c r="L259" s="189">
        <f xml:space="preserve"> Time!L$214</f>
        <v>0</v>
      </c>
      <c r="M259" s="189">
        <f xml:space="preserve"> Time!M$214</f>
        <v>0</v>
      </c>
      <c r="N259" s="189">
        <f xml:space="preserve"> Time!N$214</f>
        <v>0</v>
      </c>
      <c r="O259" s="189">
        <f xml:space="preserve"> Time!O$214</f>
        <v>1</v>
      </c>
      <c r="P259" s="189">
        <f xml:space="preserve"> Time!P$214</f>
        <v>1</v>
      </c>
      <c r="Q259" s="189">
        <f xml:space="preserve"> Time!Q$214</f>
        <v>1</v>
      </c>
      <c r="R259" s="189">
        <f xml:space="preserve"> Time!R$214</f>
        <v>1</v>
      </c>
      <c r="S259" s="189">
        <f xml:space="preserve"> Time!S$214</f>
        <v>1</v>
      </c>
      <c r="T259" s="189">
        <f xml:space="preserve"> Time!T$214</f>
        <v>1</v>
      </c>
      <c r="U259" s="189">
        <f xml:space="preserve"> Time!U$214</f>
        <v>1</v>
      </c>
      <c r="V259" s="189">
        <f xml:space="preserve"> Time!V$214</f>
        <v>1</v>
      </c>
      <c r="W259" s="189">
        <f xml:space="preserve"> Time!W$214</f>
        <v>1</v>
      </c>
      <c r="X259" s="189">
        <f xml:space="preserve"> Time!X$214</f>
        <v>1</v>
      </c>
      <c r="Y259" s="189">
        <f xml:space="preserve"> Time!Y$214</f>
        <v>1</v>
      </c>
      <c r="Z259" s="189">
        <f xml:space="preserve"> Time!Z$214</f>
        <v>1</v>
      </c>
      <c r="AA259" s="189">
        <f xml:space="preserve"> Time!AA$214</f>
        <v>1</v>
      </c>
      <c r="AB259" s="189">
        <f xml:space="preserve"> Time!AB$214</f>
        <v>1</v>
      </c>
      <c r="AC259" s="189">
        <f xml:space="preserve"> Time!AC$214</f>
        <v>1</v>
      </c>
      <c r="AD259" s="189">
        <f xml:space="preserve"> Time!AD$214</f>
        <v>1</v>
      </c>
      <c r="AE259" s="189">
        <f xml:space="preserve"> Time!AE$214</f>
        <v>1</v>
      </c>
      <c r="AF259" s="189">
        <f xml:space="preserve"> Time!AF$214</f>
        <v>1</v>
      </c>
      <c r="AG259" s="189">
        <f xml:space="preserve"> Time!AG$214</f>
        <v>1</v>
      </c>
      <c r="AH259" s="189">
        <f xml:space="preserve"> Time!AH$214</f>
        <v>1</v>
      </c>
      <c r="AI259" s="189">
        <f xml:space="preserve"> Time!AI$214</f>
        <v>1</v>
      </c>
      <c r="AJ259" s="189">
        <f xml:space="preserve"> Time!AJ$214</f>
        <v>1</v>
      </c>
      <c r="AK259" s="189">
        <f xml:space="preserve"> Time!AK$214</f>
        <v>1</v>
      </c>
      <c r="AL259" s="189">
        <f xml:space="preserve"> Time!AL$214</f>
        <v>1</v>
      </c>
      <c r="AM259" s="189">
        <f xml:space="preserve"> Time!AM$214</f>
        <v>1</v>
      </c>
      <c r="AN259" s="189">
        <f xml:space="preserve"> Time!AN$214</f>
        <v>1</v>
      </c>
      <c r="AO259" s="189">
        <f xml:space="preserve"> Time!AO$214</f>
        <v>1</v>
      </c>
      <c r="AP259" s="189">
        <f xml:space="preserve"> Time!AP$214</f>
        <v>1</v>
      </c>
      <c r="AQ259" s="189">
        <f xml:space="preserve"> Time!AQ$214</f>
        <v>1</v>
      </c>
      <c r="AR259" s="189">
        <f xml:space="preserve"> Time!AR$214</f>
        <v>1</v>
      </c>
      <c r="AS259" s="189">
        <f xml:space="preserve"> Time!AS$214</f>
        <v>1</v>
      </c>
      <c r="AT259" s="189">
        <f xml:space="preserve"> Time!AT$214</f>
        <v>1</v>
      </c>
      <c r="AU259" s="189">
        <f xml:space="preserve"> Time!AU$214</f>
        <v>1</v>
      </c>
      <c r="AV259" s="189">
        <f xml:space="preserve"> Time!AV$214</f>
        <v>1</v>
      </c>
      <c r="AW259" s="189">
        <f xml:space="preserve"> Time!AW$214</f>
        <v>0</v>
      </c>
      <c r="AX259" s="189">
        <f xml:space="preserve"> Time!AX$214</f>
        <v>0</v>
      </c>
      <c r="AY259" s="189">
        <f xml:space="preserve"> Time!AY$214</f>
        <v>0</v>
      </c>
      <c r="AZ259" s="189">
        <f xml:space="preserve"> Time!AZ$214</f>
        <v>0</v>
      </c>
      <c r="BA259" s="189">
        <f xml:space="preserve"> Time!BA$214</f>
        <v>0</v>
      </c>
      <c r="BB259" s="189">
        <f xml:space="preserve"> Time!BB$214</f>
        <v>0</v>
      </c>
      <c r="BC259" s="189">
        <f xml:space="preserve"> Time!BC$214</f>
        <v>0</v>
      </c>
      <c r="BD259" s="189">
        <f xml:space="preserve"> Time!BD$214</f>
        <v>0</v>
      </c>
      <c r="BE259" s="189">
        <f xml:space="preserve"> Time!BE$214</f>
        <v>0</v>
      </c>
      <c r="BF259" s="189">
        <f xml:space="preserve"> Time!BF$214</f>
        <v>0</v>
      </c>
      <c r="BG259" s="189">
        <f xml:space="preserve"> Time!BG$214</f>
        <v>0</v>
      </c>
      <c r="BH259" s="189">
        <f xml:space="preserve"> Time!BH$214</f>
        <v>0</v>
      </c>
      <c r="BI259" s="189">
        <f xml:space="preserve"> Time!BI$214</f>
        <v>0</v>
      </c>
      <c r="BJ259" s="189">
        <f xml:space="preserve"> Time!BJ$214</f>
        <v>0</v>
      </c>
      <c r="BK259" s="189">
        <f xml:space="preserve"> Time!BK$214</f>
        <v>0</v>
      </c>
      <c r="BL259" s="189">
        <f xml:space="preserve"> Time!BL$214</f>
        <v>0</v>
      </c>
      <c r="BM259" s="189">
        <f xml:space="preserve"> Time!BM$214</f>
        <v>0</v>
      </c>
      <c r="BN259" s="189">
        <f xml:space="preserve"> Time!BN$214</f>
        <v>0</v>
      </c>
      <c r="BO259" s="189">
        <f xml:space="preserve"> Time!BO$214</f>
        <v>0</v>
      </c>
      <c r="BP259" s="189">
        <f xml:space="preserve"> Time!BP$214</f>
        <v>0</v>
      </c>
      <c r="BQ259" s="189">
        <f xml:space="preserve"> Time!BQ$214</f>
        <v>0</v>
      </c>
      <c r="BR259" s="189">
        <f xml:space="preserve"> Time!BR$214</f>
        <v>0</v>
      </c>
      <c r="BS259" s="189">
        <f xml:space="preserve"> Time!BS$214</f>
        <v>0</v>
      </c>
      <c r="BT259" s="189">
        <f xml:space="preserve"> Time!BT$214</f>
        <v>0</v>
      </c>
      <c r="BU259" s="189">
        <f xml:space="preserve"> Time!BU$214</f>
        <v>0</v>
      </c>
      <c r="BV259" s="189">
        <f xml:space="preserve"> Time!BV$214</f>
        <v>0</v>
      </c>
      <c r="BW259" s="189">
        <f xml:space="preserve"> Time!BW$214</f>
        <v>0</v>
      </c>
      <c r="BX259" s="189">
        <f xml:space="preserve"> Time!BX$214</f>
        <v>0</v>
      </c>
      <c r="BY259" s="189">
        <f xml:space="preserve"> Time!BY$214</f>
        <v>0</v>
      </c>
      <c r="BZ259" s="189">
        <f xml:space="preserve"> Time!BZ$214</f>
        <v>0</v>
      </c>
      <c r="CA259" s="189">
        <f xml:space="preserve"> Time!CA$214</f>
        <v>0</v>
      </c>
      <c r="CB259" s="189">
        <f xml:space="preserve"> Time!CB$214</f>
        <v>0</v>
      </c>
      <c r="CC259" s="189">
        <f xml:space="preserve"> Time!CC$214</f>
        <v>0</v>
      </c>
      <c r="CD259" s="189">
        <f xml:space="preserve"> Time!CD$214</f>
        <v>0</v>
      </c>
      <c r="CE259" s="189">
        <f xml:space="preserve"> Time!CE$214</f>
        <v>0</v>
      </c>
      <c r="CF259" s="189">
        <f xml:space="preserve"> Time!CF$214</f>
        <v>0</v>
      </c>
      <c r="CG259" s="189">
        <f xml:space="preserve"> Time!CG$214</f>
        <v>0</v>
      </c>
      <c r="CH259" s="189">
        <f xml:space="preserve"> Time!CH$214</f>
        <v>0</v>
      </c>
      <c r="CI259" s="189">
        <f xml:space="preserve"> Time!CI$214</f>
        <v>0</v>
      </c>
      <c r="CJ259" s="189">
        <f xml:space="preserve"> Time!CJ$214</f>
        <v>0</v>
      </c>
      <c r="CK259" s="189">
        <f xml:space="preserve"> Time!CK$214</f>
        <v>0</v>
      </c>
      <c r="CL259" s="189">
        <f xml:space="preserve"> Time!CL$214</f>
        <v>0</v>
      </c>
      <c r="CM259" s="189">
        <f xml:space="preserve"> Time!CM$214</f>
        <v>0</v>
      </c>
      <c r="CN259" s="189">
        <f xml:space="preserve"> Time!CN$214</f>
        <v>0</v>
      </c>
      <c r="CO259" s="189">
        <f xml:space="preserve"> Time!CO$214</f>
        <v>0</v>
      </c>
      <c r="CP259" s="189">
        <f xml:space="preserve"> Time!CP$214</f>
        <v>0</v>
      </c>
      <c r="CQ259" s="189">
        <f xml:space="preserve"> Time!CQ$214</f>
        <v>0</v>
      </c>
      <c r="CR259" s="189">
        <f xml:space="preserve"> Time!CR$214</f>
        <v>0</v>
      </c>
      <c r="CS259" s="189">
        <f xml:space="preserve"> Time!CS$214</f>
        <v>0</v>
      </c>
      <c r="CT259" s="189">
        <f xml:space="preserve"> Time!CT$214</f>
        <v>0</v>
      </c>
      <c r="CU259" s="189">
        <f xml:space="preserve"> Time!CU$214</f>
        <v>0</v>
      </c>
      <c r="CV259" s="189">
        <f xml:space="preserve"> Time!CV$214</f>
        <v>0</v>
      </c>
    </row>
    <row r="260" spans="1:100" s="314" customFormat="1" outlineLevel="1" x14ac:dyDescent="0.2">
      <c r="A260" s="651"/>
      <c r="B260" s="562"/>
      <c r="C260" s="563"/>
      <c r="E260" s="314" t="s">
        <v>1267</v>
      </c>
      <c r="G260" s="314" t="s">
        <v>103</v>
      </c>
      <c r="J260" s="314">
        <f t="shared" ref="J260:AO260" si="317" xml:space="preserve"> IF( ( J252 + J254 + J256 + J258 ) &gt; CHK_TOL, ( J251 + J253 + J255 + J257) / ( J252 + J254 + J256 + J258), 0) * J259</f>
        <v>0</v>
      </c>
      <c r="K260" s="314">
        <f t="shared" si="317"/>
        <v>0</v>
      </c>
      <c r="L260" s="314">
        <f t="shared" si="317"/>
        <v>0</v>
      </c>
      <c r="M260" s="314">
        <f t="shared" si="317"/>
        <v>0</v>
      </c>
      <c r="N260" s="314">
        <f t="shared" si="317"/>
        <v>0</v>
      </c>
      <c r="O260" s="314">
        <f t="shared" si="317"/>
        <v>2.2744444444444446E-2</v>
      </c>
      <c r="P260" s="314">
        <f t="shared" si="317"/>
        <v>2.2367328508252415E-2</v>
      </c>
      <c r="Q260" s="314">
        <f t="shared" si="317"/>
        <v>2.2732498563146495E-2</v>
      </c>
      <c r="R260" s="314">
        <f t="shared" si="317"/>
        <v>2.2356048205121007E-2</v>
      </c>
      <c r="S260" s="314">
        <f t="shared" si="317"/>
        <v>2.2720258408714122E-2</v>
      </c>
      <c r="T260" s="314">
        <f t="shared" si="317"/>
        <v>2.2343166701869803E-2</v>
      </c>
      <c r="U260" s="314">
        <f t="shared" si="317"/>
        <v>2.2706218636572816E-2</v>
      </c>
      <c r="V260" s="314">
        <f t="shared" si="317"/>
        <v>2.245168142781695E-2</v>
      </c>
      <c r="W260" s="314">
        <f t="shared" si="317"/>
        <v>2.2689969348920945E-2</v>
      </c>
      <c r="X260" s="314">
        <f t="shared" si="317"/>
        <v>2.2311064780714786E-2</v>
      </c>
      <c r="Y260" s="314">
        <f t="shared" si="317"/>
        <v>2.3693161674355142E-2</v>
      </c>
      <c r="Z260" s="314">
        <f t="shared" si="317"/>
        <v>2.3296553269454581E-2</v>
      </c>
      <c r="AA260" s="314">
        <f t="shared" si="317"/>
        <v>2.3671229269364859E-2</v>
      </c>
      <c r="AB260" s="314">
        <f t="shared" si="317"/>
        <v>2.3272937185935292E-2</v>
      </c>
      <c r="AC260" s="314">
        <f t="shared" si="317"/>
        <v>2.3644846454496389E-2</v>
      </c>
      <c r="AD260" s="314">
        <f t="shared" si="317"/>
        <v>2.3372698059004448E-2</v>
      </c>
      <c r="AE260" s="314">
        <f t="shared" si="317"/>
        <v>2.3612529813624685E-2</v>
      </c>
      <c r="AF260" s="314">
        <f t="shared" si="317"/>
        <v>2.320882929507833E-2</v>
      </c>
      <c r="AG260" s="314">
        <f t="shared" si="317"/>
        <v>2.3572049862612646E-2</v>
      </c>
      <c r="AH260" s="314">
        <f t="shared" si="317"/>
        <v>2.3163735048840218E-2</v>
      </c>
      <c r="AI260" s="314">
        <f t="shared" si="317"/>
        <v>2.4748188274181033E-2</v>
      </c>
      <c r="AJ260" s="314">
        <f t="shared" si="317"/>
        <v>2.4307349749069024E-2</v>
      </c>
      <c r="AK260" s="314">
        <f t="shared" si="317"/>
        <v>2.466600500482043E-2</v>
      </c>
      <c r="AL260" s="314">
        <f t="shared" si="317"/>
        <v>2.4346055316900681E-2</v>
      </c>
      <c r="AM260" s="314">
        <f t="shared" si="317"/>
        <v>2.4550800474259352E-2</v>
      </c>
      <c r="AN260" s="314">
        <f t="shared" si="317"/>
        <v>2.4074925473529248E-2</v>
      </c>
      <c r="AO260" s="314">
        <f t="shared" si="317"/>
        <v>2.4377977458588395E-2</v>
      </c>
      <c r="AP260" s="314">
        <f t="shared" ref="AP260:BU260" si="318" xml:space="preserve"> IF( ( AP252 + AP254 + AP256 + AP258 ) &gt; CHK_TOL, ( AP251 + AP253 + AP255 + AP257) / ( AP252 + AP254 + AP256 + AP258), 0) * AP259</f>
        <v>2.3858645549826432E-2</v>
      </c>
      <c r="AQ260" s="314">
        <f t="shared" si="318"/>
        <v>2.408936627842077E-2</v>
      </c>
      <c r="AR260" s="314">
        <f t="shared" si="318"/>
        <v>2.3468677488370088E-2</v>
      </c>
      <c r="AS260" s="314">
        <f t="shared" si="318"/>
        <v>2.3511111289477849E-2</v>
      </c>
      <c r="AT260" s="314">
        <f t="shared" si="318"/>
        <v>2.3255555788941711E-2</v>
      </c>
      <c r="AU260" s="314">
        <f t="shared" si="318"/>
        <v>2.3511111461919084E-2</v>
      </c>
      <c r="AV260" s="314">
        <f t="shared" si="318"/>
        <v>2.3127778463146776E-2</v>
      </c>
      <c r="AW260" s="314">
        <f t="shared" si="318"/>
        <v>0</v>
      </c>
      <c r="AX260" s="314">
        <f t="shared" si="318"/>
        <v>0</v>
      </c>
      <c r="AY260" s="314">
        <f t="shared" si="318"/>
        <v>0</v>
      </c>
      <c r="AZ260" s="314">
        <f t="shared" si="318"/>
        <v>0</v>
      </c>
      <c r="BA260" s="314">
        <f t="shared" si="318"/>
        <v>0</v>
      </c>
      <c r="BB260" s="314">
        <f t="shared" si="318"/>
        <v>0</v>
      </c>
      <c r="BC260" s="314">
        <f t="shared" si="318"/>
        <v>0</v>
      </c>
      <c r="BD260" s="314">
        <f t="shared" si="318"/>
        <v>0</v>
      </c>
      <c r="BE260" s="314">
        <f t="shared" si="318"/>
        <v>0</v>
      </c>
      <c r="BF260" s="314">
        <f t="shared" si="318"/>
        <v>0</v>
      </c>
      <c r="BG260" s="314">
        <f t="shared" si="318"/>
        <v>0</v>
      </c>
      <c r="BH260" s="314">
        <f t="shared" si="318"/>
        <v>0</v>
      </c>
      <c r="BI260" s="314">
        <f t="shared" si="318"/>
        <v>0</v>
      </c>
      <c r="BJ260" s="314">
        <f t="shared" si="318"/>
        <v>0</v>
      </c>
      <c r="BK260" s="314">
        <f t="shared" si="318"/>
        <v>0</v>
      </c>
      <c r="BL260" s="314">
        <f t="shared" si="318"/>
        <v>0</v>
      </c>
      <c r="BM260" s="314">
        <f t="shared" si="318"/>
        <v>0</v>
      </c>
      <c r="BN260" s="314">
        <f t="shared" si="318"/>
        <v>0</v>
      </c>
      <c r="BO260" s="314">
        <f t="shared" si="318"/>
        <v>0</v>
      </c>
      <c r="BP260" s="314">
        <f t="shared" si="318"/>
        <v>0</v>
      </c>
      <c r="BQ260" s="314">
        <f t="shared" si="318"/>
        <v>0</v>
      </c>
      <c r="BR260" s="314">
        <f t="shared" si="318"/>
        <v>0</v>
      </c>
      <c r="BS260" s="314">
        <f t="shared" si="318"/>
        <v>0</v>
      </c>
      <c r="BT260" s="314">
        <f t="shared" si="318"/>
        <v>0</v>
      </c>
      <c r="BU260" s="314">
        <f t="shared" si="318"/>
        <v>0</v>
      </c>
      <c r="BV260" s="314">
        <f t="shared" ref="BV260:CV260" si="319" xml:space="preserve"> IF( ( BV252 + BV254 + BV256 + BV258 ) &gt; CHK_TOL, ( BV251 + BV253 + BV255 + BV257) / ( BV252 + BV254 + BV256 + BV258), 0) * BV259</f>
        <v>0</v>
      </c>
      <c r="BW260" s="314">
        <f t="shared" si="319"/>
        <v>0</v>
      </c>
      <c r="BX260" s="314">
        <f t="shared" si="319"/>
        <v>0</v>
      </c>
      <c r="BY260" s="314">
        <f t="shared" si="319"/>
        <v>0</v>
      </c>
      <c r="BZ260" s="314">
        <f t="shared" si="319"/>
        <v>0</v>
      </c>
      <c r="CA260" s="314">
        <f t="shared" si="319"/>
        <v>0</v>
      </c>
      <c r="CB260" s="314">
        <f t="shared" si="319"/>
        <v>0</v>
      </c>
      <c r="CC260" s="314">
        <f t="shared" si="319"/>
        <v>0</v>
      </c>
      <c r="CD260" s="314">
        <f t="shared" si="319"/>
        <v>0</v>
      </c>
      <c r="CE260" s="314">
        <f t="shared" si="319"/>
        <v>0</v>
      </c>
      <c r="CF260" s="314">
        <f t="shared" si="319"/>
        <v>0</v>
      </c>
      <c r="CG260" s="314">
        <f t="shared" si="319"/>
        <v>0</v>
      </c>
      <c r="CH260" s="314">
        <f t="shared" si="319"/>
        <v>0</v>
      </c>
      <c r="CI260" s="314">
        <f t="shared" si="319"/>
        <v>0</v>
      </c>
      <c r="CJ260" s="314">
        <f t="shared" si="319"/>
        <v>0</v>
      </c>
      <c r="CK260" s="314">
        <f t="shared" si="319"/>
        <v>0</v>
      </c>
      <c r="CL260" s="314">
        <f t="shared" si="319"/>
        <v>0</v>
      </c>
      <c r="CM260" s="314">
        <f t="shared" si="319"/>
        <v>0</v>
      </c>
      <c r="CN260" s="314">
        <f t="shared" si="319"/>
        <v>0</v>
      </c>
      <c r="CO260" s="314">
        <f t="shared" si="319"/>
        <v>0</v>
      </c>
      <c r="CP260" s="314">
        <f t="shared" si="319"/>
        <v>0</v>
      </c>
      <c r="CQ260" s="314">
        <f t="shared" si="319"/>
        <v>0</v>
      </c>
      <c r="CR260" s="314">
        <f t="shared" si="319"/>
        <v>0</v>
      </c>
      <c r="CS260" s="314">
        <f t="shared" si="319"/>
        <v>0</v>
      </c>
      <c r="CT260" s="314">
        <f t="shared" si="319"/>
        <v>0</v>
      </c>
      <c r="CU260" s="314">
        <f t="shared" si="319"/>
        <v>0</v>
      </c>
      <c r="CV260" s="314">
        <f t="shared" si="319"/>
        <v>0</v>
      </c>
    </row>
    <row r="261" spans="1:100" outlineLevel="1" x14ac:dyDescent="0.2">
      <c r="A261" s="405"/>
      <c r="B261" s="431"/>
      <c r="C261" s="564"/>
      <c r="D261" s="565"/>
      <c r="E261" s="191"/>
      <c r="F261" s="191"/>
      <c r="G261" s="191"/>
      <c r="H261" s="191"/>
      <c r="I261" s="191"/>
      <c r="J261" s="191"/>
      <c r="K261" s="191"/>
      <c r="L261" s="191"/>
      <c r="M261" s="191"/>
      <c r="N261" s="191"/>
      <c r="O261" s="191"/>
      <c r="P261" s="191"/>
      <c r="Q261" s="191"/>
      <c r="R261" s="191"/>
      <c r="S261" s="191"/>
      <c r="T261" s="191"/>
      <c r="U261" s="191"/>
      <c r="V261" s="191"/>
      <c r="W261" s="191"/>
      <c r="X261" s="191"/>
      <c r="Y261" s="191"/>
      <c r="Z261" s="191"/>
      <c r="AA261" s="191"/>
      <c r="AB261" s="191"/>
      <c r="AC261" s="191"/>
      <c r="AD261" s="191"/>
      <c r="AE261" s="191"/>
      <c r="AF261" s="191"/>
      <c r="AG261" s="191"/>
      <c r="AH261" s="191"/>
      <c r="AI261" s="191"/>
      <c r="AJ261" s="191"/>
      <c r="AK261" s="191"/>
      <c r="AL261" s="191"/>
      <c r="AM261" s="191"/>
      <c r="AN261" s="191"/>
      <c r="AO261" s="191"/>
      <c r="AP261" s="191"/>
      <c r="AQ261" s="191"/>
      <c r="AR261" s="191"/>
      <c r="AS261" s="191"/>
      <c r="AT261" s="191"/>
      <c r="AU261" s="191"/>
      <c r="AV261" s="191"/>
      <c r="AW261" s="191"/>
      <c r="AX261" s="191"/>
      <c r="AY261" s="191"/>
      <c r="AZ261" s="191"/>
      <c r="BA261" s="191"/>
      <c r="BB261" s="191"/>
      <c r="BC261" s="191"/>
      <c r="BD261" s="191"/>
      <c r="BE261" s="191"/>
      <c r="BF261" s="191"/>
      <c r="BG261" s="191"/>
      <c r="BH261" s="191"/>
      <c r="BI261" s="191"/>
      <c r="BJ261" s="191"/>
      <c r="BK261" s="191"/>
      <c r="BL261" s="191"/>
      <c r="BM261" s="191"/>
      <c r="BN261" s="191"/>
      <c r="BO261" s="191"/>
      <c r="BP261" s="191"/>
      <c r="BQ261" s="191"/>
      <c r="BR261" s="191"/>
      <c r="BS261" s="191"/>
      <c r="BT261" s="191"/>
      <c r="BU261" s="191"/>
      <c r="BV261" s="191"/>
      <c r="BW261" s="191"/>
      <c r="BX261" s="191"/>
      <c r="BY261" s="191"/>
      <c r="BZ261" s="191"/>
      <c r="CA261" s="191"/>
      <c r="CB261" s="191"/>
      <c r="CC261" s="191"/>
      <c r="CD261" s="191"/>
      <c r="CE261" s="191"/>
      <c r="CF261" s="191"/>
      <c r="CG261" s="191"/>
      <c r="CH261" s="191"/>
      <c r="CI261" s="191"/>
      <c r="CJ261" s="191"/>
      <c r="CK261" s="191"/>
      <c r="CL261" s="191"/>
      <c r="CM261" s="191"/>
      <c r="CN261" s="191"/>
      <c r="CO261" s="191"/>
      <c r="CP261" s="191"/>
      <c r="CQ261" s="191"/>
      <c r="CR261" s="191"/>
      <c r="CS261" s="191"/>
      <c r="CT261" s="191"/>
      <c r="CU261" s="191"/>
      <c r="CV261" s="191"/>
    </row>
    <row r="262" spans="1:100" outlineLevel="1" x14ac:dyDescent="0.2">
      <c r="A262" s="33"/>
      <c r="B262" s="79"/>
      <c r="C262" s="561"/>
      <c r="D262" s="60"/>
      <c r="E262" s="589" t="str">
        <f t="shared" ref="E262:AJ262" si="320" xml:space="preserve"> E$260</f>
        <v>Period interest rate for LLCR - P99</v>
      </c>
      <c r="F262" s="589">
        <f t="shared" si="320"/>
        <v>0</v>
      </c>
      <c r="G262" s="589" t="str">
        <f t="shared" si="320"/>
        <v>%</v>
      </c>
      <c r="H262" s="589">
        <f t="shared" si="320"/>
        <v>0</v>
      </c>
      <c r="I262" s="589">
        <f t="shared" si="320"/>
        <v>0</v>
      </c>
      <c r="J262" s="589">
        <f t="shared" si="320"/>
        <v>0</v>
      </c>
      <c r="K262" s="589">
        <f t="shared" si="320"/>
        <v>0</v>
      </c>
      <c r="L262" s="589">
        <f t="shared" si="320"/>
        <v>0</v>
      </c>
      <c r="M262" s="589">
        <f t="shared" si="320"/>
        <v>0</v>
      </c>
      <c r="N262" s="589">
        <f t="shared" si="320"/>
        <v>0</v>
      </c>
      <c r="O262" s="589">
        <f t="shared" si="320"/>
        <v>2.2744444444444446E-2</v>
      </c>
      <c r="P262" s="589">
        <f t="shared" si="320"/>
        <v>2.2367328508252415E-2</v>
      </c>
      <c r="Q262" s="589">
        <f t="shared" si="320"/>
        <v>2.2732498563146495E-2</v>
      </c>
      <c r="R262" s="589">
        <f t="shared" si="320"/>
        <v>2.2356048205121007E-2</v>
      </c>
      <c r="S262" s="589">
        <f t="shared" si="320"/>
        <v>2.2720258408714122E-2</v>
      </c>
      <c r="T262" s="589">
        <f t="shared" si="320"/>
        <v>2.2343166701869803E-2</v>
      </c>
      <c r="U262" s="589">
        <f t="shared" si="320"/>
        <v>2.2706218636572816E-2</v>
      </c>
      <c r="V262" s="589">
        <f t="shared" si="320"/>
        <v>2.245168142781695E-2</v>
      </c>
      <c r="W262" s="589">
        <f t="shared" si="320"/>
        <v>2.2689969348920945E-2</v>
      </c>
      <c r="X262" s="589">
        <f t="shared" si="320"/>
        <v>2.2311064780714786E-2</v>
      </c>
      <c r="Y262" s="589">
        <f t="shared" si="320"/>
        <v>2.3693161674355142E-2</v>
      </c>
      <c r="Z262" s="589">
        <f t="shared" si="320"/>
        <v>2.3296553269454581E-2</v>
      </c>
      <c r="AA262" s="589">
        <f t="shared" si="320"/>
        <v>2.3671229269364859E-2</v>
      </c>
      <c r="AB262" s="589">
        <f t="shared" si="320"/>
        <v>2.3272937185935292E-2</v>
      </c>
      <c r="AC262" s="589">
        <f t="shared" si="320"/>
        <v>2.3644846454496389E-2</v>
      </c>
      <c r="AD262" s="589">
        <f t="shared" si="320"/>
        <v>2.3372698059004448E-2</v>
      </c>
      <c r="AE262" s="589">
        <f t="shared" si="320"/>
        <v>2.3612529813624685E-2</v>
      </c>
      <c r="AF262" s="589">
        <f t="shared" si="320"/>
        <v>2.320882929507833E-2</v>
      </c>
      <c r="AG262" s="589">
        <f t="shared" si="320"/>
        <v>2.3572049862612646E-2</v>
      </c>
      <c r="AH262" s="589">
        <f t="shared" si="320"/>
        <v>2.3163735048840218E-2</v>
      </c>
      <c r="AI262" s="589">
        <f t="shared" si="320"/>
        <v>2.4748188274181033E-2</v>
      </c>
      <c r="AJ262" s="589">
        <f t="shared" si="320"/>
        <v>2.4307349749069024E-2</v>
      </c>
      <c r="AK262" s="589">
        <f t="shared" ref="AK262:BP262" si="321" xml:space="preserve"> AK$260</f>
        <v>2.466600500482043E-2</v>
      </c>
      <c r="AL262" s="589">
        <f t="shared" si="321"/>
        <v>2.4346055316900681E-2</v>
      </c>
      <c r="AM262" s="589">
        <f t="shared" si="321"/>
        <v>2.4550800474259352E-2</v>
      </c>
      <c r="AN262" s="589">
        <f t="shared" si="321"/>
        <v>2.4074925473529248E-2</v>
      </c>
      <c r="AO262" s="589">
        <f t="shared" si="321"/>
        <v>2.4377977458588395E-2</v>
      </c>
      <c r="AP262" s="589">
        <f t="shared" si="321"/>
        <v>2.3858645549826432E-2</v>
      </c>
      <c r="AQ262" s="589">
        <f t="shared" si="321"/>
        <v>2.408936627842077E-2</v>
      </c>
      <c r="AR262" s="589">
        <f t="shared" si="321"/>
        <v>2.3468677488370088E-2</v>
      </c>
      <c r="AS262" s="589">
        <f t="shared" si="321"/>
        <v>2.3511111289477849E-2</v>
      </c>
      <c r="AT262" s="589">
        <f t="shared" si="321"/>
        <v>2.3255555788941711E-2</v>
      </c>
      <c r="AU262" s="589">
        <f t="shared" si="321"/>
        <v>2.3511111461919084E-2</v>
      </c>
      <c r="AV262" s="589">
        <f t="shared" si="321"/>
        <v>2.3127778463146776E-2</v>
      </c>
      <c r="AW262" s="589">
        <f t="shared" si="321"/>
        <v>0</v>
      </c>
      <c r="AX262" s="589">
        <f t="shared" si="321"/>
        <v>0</v>
      </c>
      <c r="AY262" s="589">
        <f t="shared" si="321"/>
        <v>0</v>
      </c>
      <c r="AZ262" s="589">
        <f t="shared" si="321"/>
        <v>0</v>
      </c>
      <c r="BA262" s="589">
        <f t="shared" si="321"/>
        <v>0</v>
      </c>
      <c r="BB262" s="589">
        <f t="shared" si="321"/>
        <v>0</v>
      </c>
      <c r="BC262" s="589">
        <f t="shared" si="321"/>
        <v>0</v>
      </c>
      <c r="BD262" s="589">
        <f t="shared" si="321"/>
        <v>0</v>
      </c>
      <c r="BE262" s="589">
        <f t="shared" si="321"/>
        <v>0</v>
      </c>
      <c r="BF262" s="589">
        <f t="shared" si="321"/>
        <v>0</v>
      </c>
      <c r="BG262" s="589">
        <f t="shared" si="321"/>
        <v>0</v>
      </c>
      <c r="BH262" s="589">
        <f t="shared" si="321"/>
        <v>0</v>
      </c>
      <c r="BI262" s="589">
        <f t="shared" si="321"/>
        <v>0</v>
      </c>
      <c r="BJ262" s="589">
        <f t="shared" si="321"/>
        <v>0</v>
      </c>
      <c r="BK262" s="589">
        <f t="shared" si="321"/>
        <v>0</v>
      </c>
      <c r="BL262" s="589">
        <f t="shared" si="321"/>
        <v>0</v>
      </c>
      <c r="BM262" s="589">
        <f t="shared" si="321"/>
        <v>0</v>
      </c>
      <c r="BN262" s="589">
        <f t="shared" si="321"/>
        <v>0</v>
      </c>
      <c r="BO262" s="589">
        <f t="shared" si="321"/>
        <v>0</v>
      </c>
      <c r="BP262" s="589">
        <f t="shared" si="321"/>
        <v>0</v>
      </c>
      <c r="BQ262" s="589">
        <f t="shared" ref="BQ262:CV262" si="322" xml:space="preserve"> BQ$260</f>
        <v>0</v>
      </c>
      <c r="BR262" s="589">
        <f t="shared" si="322"/>
        <v>0</v>
      </c>
      <c r="BS262" s="589">
        <f t="shared" si="322"/>
        <v>0</v>
      </c>
      <c r="BT262" s="589">
        <f t="shared" si="322"/>
        <v>0</v>
      </c>
      <c r="BU262" s="589">
        <f t="shared" si="322"/>
        <v>0</v>
      </c>
      <c r="BV262" s="589">
        <f t="shared" si="322"/>
        <v>0</v>
      </c>
      <c r="BW262" s="589">
        <f t="shared" si="322"/>
        <v>0</v>
      </c>
      <c r="BX262" s="589">
        <f t="shared" si="322"/>
        <v>0</v>
      </c>
      <c r="BY262" s="589">
        <f t="shared" si="322"/>
        <v>0</v>
      </c>
      <c r="BZ262" s="589">
        <f t="shared" si="322"/>
        <v>0</v>
      </c>
      <c r="CA262" s="589">
        <f t="shared" si="322"/>
        <v>0</v>
      </c>
      <c r="CB262" s="589">
        <f t="shared" si="322"/>
        <v>0</v>
      </c>
      <c r="CC262" s="589">
        <f t="shared" si="322"/>
        <v>0</v>
      </c>
      <c r="CD262" s="589">
        <f t="shared" si="322"/>
        <v>0</v>
      </c>
      <c r="CE262" s="589">
        <f t="shared" si="322"/>
        <v>0</v>
      </c>
      <c r="CF262" s="589">
        <f t="shared" si="322"/>
        <v>0</v>
      </c>
      <c r="CG262" s="589">
        <f t="shared" si="322"/>
        <v>0</v>
      </c>
      <c r="CH262" s="589">
        <f t="shared" si="322"/>
        <v>0</v>
      </c>
      <c r="CI262" s="589">
        <f t="shared" si="322"/>
        <v>0</v>
      </c>
      <c r="CJ262" s="589">
        <f t="shared" si="322"/>
        <v>0</v>
      </c>
      <c r="CK262" s="589">
        <f t="shared" si="322"/>
        <v>0</v>
      </c>
      <c r="CL262" s="589">
        <f t="shared" si="322"/>
        <v>0</v>
      </c>
      <c r="CM262" s="589">
        <f t="shared" si="322"/>
        <v>0</v>
      </c>
      <c r="CN262" s="589">
        <f t="shared" si="322"/>
        <v>0</v>
      </c>
      <c r="CO262" s="589">
        <f t="shared" si="322"/>
        <v>0</v>
      </c>
      <c r="CP262" s="589">
        <f t="shared" si="322"/>
        <v>0</v>
      </c>
      <c r="CQ262" s="589">
        <f t="shared" si="322"/>
        <v>0</v>
      </c>
      <c r="CR262" s="589">
        <f t="shared" si="322"/>
        <v>0</v>
      </c>
      <c r="CS262" s="589">
        <f t="shared" si="322"/>
        <v>0</v>
      </c>
      <c r="CT262" s="589">
        <f t="shared" si="322"/>
        <v>0</v>
      </c>
      <c r="CU262" s="589">
        <f t="shared" si="322"/>
        <v>0</v>
      </c>
      <c r="CV262" s="589">
        <f t="shared" si="322"/>
        <v>0</v>
      </c>
    </row>
    <row r="263" spans="1:100" s="495" customFormat="1" outlineLevel="1" x14ac:dyDescent="0.2">
      <c r="A263" s="75"/>
      <c r="B263" s="75"/>
      <c r="C263" s="76"/>
      <c r="D263" s="638"/>
      <c r="E263" s="77" t="str">
        <f xml:space="preserve"> 'FS Semi_P99'!E$63</f>
        <v>Cashflow available for senior debt - P99</v>
      </c>
      <c r="F263" s="77">
        <f xml:space="preserve"> 'FS Semi_P99'!F$63</f>
        <v>0</v>
      </c>
      <c r="G263" s="77" t="str">
        <f xml:space="preserve"> 'FS Semi_P99'!G$63</f>
        <v>$ 000s</v>
      </c>
      <c r="H263" s="77">
        <f ca="1" xml:space="preserve"> 'FS Semi_P99'!H$63</f>
        <v>440213.89832674386</v>
      </c>
      <c r="I263" s="77">
        <f xml:space="preserve"> 'FS Semi_P99'!I$63</f>
        <v>0</v>
      </c>
      <c r="J263" s="77">
        <f ca="1" xml:space="preserve"> 'FS Semi_P99'!J$63</f>
        <v>-1.5558398445136845E-6</v>
      </c>
      <c r="K263" s="77">
        <f ca="1" xml:space="preserve"> 'FS Semi_P99'!K$63</f>
        <v>-1.2466658517951146E-5</v>
      </c>
      <c r="L263" s="77">
        <f ca="1" xml:space="preserve"> 'FS Semi_P99'!L$63</f>
        <v>-1.6754362150095403E-5</v>
      </c>
      <c r="M263" s="77">
        <f ca="1" xml:space="preserve"> 'FS Semi_P99'!M$63</f>
        <v>-1.9422688637860119E-5</v>
      </c>
      <c r="N263" s="77">
        <f ca="1" xml:space="preserve"> 'FS Semi_P99'!N$63</f>
        <v>-3.9676149608567357E-3</v>
      </c>
      <c r="O263" s="77">
        <f ca="1" xml:space="preserve"> 'FS Semi_P99'!O$63</f>
        <v>14020.372995316127</v>
      </c>
      <c r="P263" s="77">
        <f ca="1" xml:space="preserve"> 'FS Semi_P99'!P$63</f>
        <v>12030.372995316129</v>
      </c>
      <c r="Q263" s="77">
        <f ca="1" xml:space="preserve"> 'FS Semi_P99'!Q$63</f>
        <v>11993.784267611052</v>
      </c>
      <c r="R263" s="77">
        <f ca="1" xml:space="preserve"> 'FS Semi_P99'!R$63</f>
        <v>11917.385541845897</v>
      </c>
      <c r="S263" s="77">
        <f ca="1" xml:space="preserve"> 'FS Semi_P99'!S$63</f>
        <v>11879.155257275261</v>
      </c>
      <c r="T263" s="77">
        <f ca="1" xml:space="preserve"> 'FS Semi_P99'!T$63</f>
        <v>11802.831368568357</v>
      </c>
      <c r="U263" s="77">
        <f ca="1" xml:space="preserve"> 'FS Semi_P99'!U$63</f>
        <v>11762.928287235867</v>
      </c>
      <c r="V263" s="77">
        <f ca="1" xml:space="preserve"> 'FS Semi_P99'!V$63</f>
        <v>11686.677528771314</v>
      </c>
      <c r="W263" s="77">
        <f ca="1" xml:space="preserve"> 'FS Semi_P99'!W$63</f>
        <v>11629.105341614206</v>
      </c>
      <c r="X263" s="77">
        <f ca="1" xml:space="preserve"> 'FS Semi_P99'!X$63</f>
        <v>11568.890415912327</v>
      </c>
      <c r="Y263" s="77">
        <f ca="1" xml:space="preserve"> 'FS Semi_P99'!Y$63</f>
        <v>11525.545480627239</v>
      </c>
      <c r="Z263" s="77">
        <f ca="1" xml:space="preserve"> 'FS Semi_P99'!Z$63</f>
        <v>11449.435750349998</v>
      </c>
      <c r="AA263" s="77">
        <f ca="1" xml:space="preserve"> 'FS Semi_P99'!AA$63</f>
        <v>11404.320455503168</v>
      </c>
      <c r="AB263" s="77">
        <f ca="1" xml:space="preserve"> 'FS Semi_P99'!AB$63</f>
        <v>11328.278565808636</v>
      </c>
      <c r="AC263" s="77">
        <f ca="1" xml:space="preserve"> 'FS Semi_P99'!AC$63</f>
        <v>11281.359066246368</v>
      </c>
      <c r="AD263" s="77">
        <f ca="1" xml:space="preserve"> 'FS Semi_P99'!AD$63</f>
        <v>11205.38319557111</v>
      </c>
      <c r="AE263" s="77">
        <f ca="1" xml:space="preserve"> 'FS Semi_P99'!AE$63</f>
        <v>11141.317990629093</v>
      </c>
      <c r="AF263" s="77">
        <f ca="1" xml:space="preserve"> 'FS Semi_P99'!AF$63</f>
        <v>11080.713258394269</v>
      </c>
      <c r="AG263" s="77">
        <f ca="1" xml:space="preserve"> 'FS Semi_P99'!AG$63</f>
        <v>11030.081062769019</v>
      </c>
      <c r="AH263" s="77">
        <f ca="1" xml:space="preserve"> 'FS Semi_P99'!AH$63</f>
        <v>10954.231644141453</v>
      </c>
      <c r="AI263" s="77">
        <f ca="1" xml:space="preserve"> 'FS Semi_P99'!AI$63</f>
        <v>10901.689546931615</v>
      </c>
      <c r="AJ263" s="77">
        <f ca="1" xml:space="preserve"> 'FS Semi_P99'!AJ$63</f>
        <v>10825.90049912633</v>
      </c>
      <c r="AK263" s="77">
        <f ca="1" xml:space="preserve"> 'FS Semi_P99'!AK$63</f>
        <v>10771.411834146054</v>
      </c>
      <c r="AL263" s="77">
        <f ca="1" xml:space="preserve"> 'FS Semi_P99'!AL$63</f>
        <v>10695.681211162373</v>
      </c>
      <c r="AM263" s="77">
        <f ca="1" xml:space="preserve"> 'FS Semi_P99'!AM$63</f>
        <v>10624.597871946047</v>
      </c>
      <c r="AN263" s="77">
        <f ca="1" xml:space="preserve"> 'FS Semi_P99'!AN$63</f>
        <v>10563.534394311991</v>
      </c>
      <c r="AO263" s="77">
        <f ca="1" xml:space="preserve"> 'FS Semi_P99'!AO$63</f>
        <v>10505.039616202108</v>
      </c>
      <c r="AP263" s="77">
        <f ca="1" xml:space="preserve"> 'FS Semi_P99'!AP$63</f>
        <v>10429.419873329298</v>
      </c>
      <c r="AQ263" s="77">
        <f ca="1" xml:space="preserve"> 'FS Semi_P99'!AQ$63</f>
        <v>10368.864022823194</v>
      </c>
      <c r="AR263" s="77">
        <f ca="1" xml:space="preserve"> 'FS Semi_P99'!AR$63</f>
        <v>10293.296667790339</v>
      </c>
      <c r="AS263" s="77">
        <f ca="1" xml:space="preserve"> 'FS Semi_P99'!AS$63</f>
        <v>10230.640024023749</v>
      </c>
      <c r="AT263" s="77">
        <f ca="1" xml:space="preserve"> 'FS Semi_P99'!AT$63</f>
        <v>10155.122975904564</v>
      </c>
      <c r="AU263" s="77">
        <f ca="1" xml:space="preserve"> 'FS Semi_P99'!AU$63</f>
        <v>10076.452739058863</v>
      </c>
      <c r="AV263" s="77">
        <f ca="1" xml:space="preserve"> 'FS Semi_P99'!AV$63</f>
        <v>10014.856158001163</v>
      </c>
      <c r="AW263" s="77">
        <f ca="1" xml:space="preserve"> 'FS Semi_P99'!AW$63</f>
        <v>9947.8755393576703</v>
      </c>
      <c r="AX263" s="77">
        <f ca="1" xml:space="preserve"> 'FS Semi_P99'!AX$63</f>
        <v>9872.4527196835443</v>
      </c>
      <c r="AY263" s="77">
        <f ca="1" xml:space="preserve"> 'FS Semi_P99'!AY$63</f>
        <v>9803.2472659130381</v>
      </c>
      <c r="AZ263" s="77">
        <f ca="1" xml:space="preserve"> 'FS Semi_P99'!AZ$63</f>
        <v>9727.8682946455738</v>
      </c>
      <c r="BA263" s="77">
        <f ca="1" xml:space="preserve"> 'FS Semi_P99'!BA$63</f>
        <v>9656.3949772083179</v>
      </c>
      <c r="BB263" s="77">
        <f ca="1" xml:space="preserve"> 'FS Semi_P99'!BB$63</f>
        <v>12057.385643485566</v>
      </c>
      <c r="BC263" s="77">
        <f ca="1" xml:space="preserve"> 'FS Semi_P99'!BC$63</f>
        <v>0</v>
      </c>
      <c r="BD263" s="77">
        <f ca="1" xml:space="preserve"> 'FS Semi_P99'!BD$63</f>
        <v>0</v>
      </c>
      <c r="BE263" s="77">
        <f ca="1" xml:space="preserve"> 'FS Semi_P99'!BE$63</f>
        <v>0</v>
      </c>
      <c r="BF263" s="77">
        <f ca="1" xml:space="preserve"> 'FS Semi_P99'!BF$63</f>
        <v>0</v>
      </c>
      <c r="BG263" s="77">
        <f ca="1" xml:space="preserve"> 'FS Semi_P99'!BG$63</f>
        <v>0</v>
      </c>
      <c r="BH263" s="77">
        <f ca="1" xml:space="preserve"> 'FS Semi_P99'!BH$63</f>
        <v>0</v>
      </c>
      <c r="BI263" s="77">
        <f ca="1" xml:space="preserve"> 'FS Semi_P99'!BI$63</f>
        <v>0</v>
      </c>
      <c r="BJ263" s="77">
        <f ca="1" xml:space="preserve"> 'FS Semi_P99'!BJ$63</f>
        <v>0</v>
      </c>
      <c r="BK263" s="77">
        <f ca="1" xml:space="preserve"> 'FS Semi_P99'!BK$63</f>
        <v>0</v>
      </c>
      <c r="BL263" s="77">
        <f ca="1" xml:space="preserve"> 'FS Semi_P99'!BL$63</f>
        <v>0</v>
      </c>
      <c r="BM263" s="77">
        <f ca="1" xml:space="preserve"> 'FS Semi_P99'!BM$63</f>
        <v>0</v>
      </c>
      <c r="BN263" s="77">
        <f ca="1" xml:space="preserve"> 'FS Semi_P99'!BN$63</f>
        <v>0</v>
      </c>
      <c r="BO263" s="77">
        <f ca="1" xml:space="preserve"> 'FS Semi_P99'!BO$63</f>
        <v>0</v>
      </c>
      <c r="BP263" s="77">
        <f ca="1" xml:space="preserve"> 'FS Semi_P99'!BP$63</f>
        <v>0</v>
      </c>
      <c r="BQ263" s="77">
        <f ca="1" xml:space="preserve"> 'FS Semi_P99'!BQ$63</f>
        <v>0</v>
      </c>
      <c r="BR263" s="77">
        <f ca="1" xml:space="preserve"> 'FS Semi_P99'!BR$63</f>
        <v>0</v>
      </c>
      <c r="BS263" s="77">
        <f ca="1" xml:space="preserve"> 'FS Semi_P99'!BS$63</f>
        <v>0</v>
      </c>
      <c r="BT263" s="77">
        <f ca="1" xml:space="preserve"> 'FS Semi_P99'!BT$63</f>
        <v>0</v>
      </c>
      <c r="BU263" s="77">
        <f ca="1" xml:space="preserve"> 'FS Semi_P99'!BU$63</f>
        <v>0</v>
      </c>
      <c r="BV263" s="77">
        <f ca="1" xml:space="preserve"> 'FS Semi_P99'!BV$63</f>
        <v>0</v>
      </c>
      <c r="BW263" s="77">
        <f ca="1" xml:space="preserve"> 'FS Semi_P99'!BW$63</f>
        <v>0</v>
      </c>
      <c r="BX263" s="77">
        <f ca="1" xml:space="preserve"> 'FS Semi_P99'!BX$63</f>
        <v>0</v>
      </c>
      <c r="BY263" s="77">
        <f ca="1" xml:space="preserve"> 'FS Semi_P99'!BY$63</f>
        <v>0</v>
      </c>
      <c r="BZ263" s="77">
        <f ca="1" xml:space="preserve"> 'FS Semi_P99'!BZ$63</f>
        <v>0</v>
      </c>
      <c r="CA263" s="77">
        <f ca="1" xml:space="preserve"> 'FS Semi_P99'!CA$63</f>
        <v>0</v>
      </c>
      <c r="CB263" s="77">
        <f ca="1" xml:space="preserve"> 'FS Semi_P99'!CB$63</f>
        <v>0</v>
      </c>
      <c r="CC263" s="77">
        <f ca="1" xml:space="preserve"> 'FS Semi_P99'!CC$63</f>
        <v>0</v>
      </c>
      <c r="CD263" s="77">
        <f ca="1" xml:space="preserve"> 'FS Semi_P99'!CD$63</f>
        <v>0</v>
      </c>
      <c r="CE263" s="77">
        <f ca="1" xml:space="preserve"> 'FS Semi_P99'!CE$63</f>
        <v>0</v>
      </c>
      <c r="CF263" s="77">
        <f ca="1" xml:space="preserve"> 'FS Semi_P99'!CF$63</f>
        <v>0</v>
      </c>
      <c r="CG263" s="77">
        <f ca="1" xml:space="preserve"> 'FS Semi_P99'!CG$63</f>
        <v>0</v>
      </c>
      <c r="CH263" s="77">
        <f ca="1" xml:space="preserve"> 'FS Semi_P99'!CH$63</f>
        <v>0</v>
      </c>
      <c r="CI263" s="77">
        <f ca="1" xml:space="preserve"> 'FS Semi_P99'!CI$63</f>
        <v>0</v>
      </c>
      <c r="CJ263" s="77">
        <f ca="1" xml:space="preserve"> 'FS Semi_P99'!CJ$63</f>
        <v>0</v>
      </c>
      <c r="CK263" s="77">
        <f ca="1" xml:space="preserve"> 'FS Semi_P99'!CK$63</f>
        <v>0</v>
      </c>
      <c r="CL263" s="77">
        <f ca="1" xml:space="preserve"> 'FS Semi_P99'!CL$63</f>
        <v>0</v>
      </c>
      <c r="CM263" s="77">
        <f ca="1" xml:space="preserve"> 'FS Semi_P99'!CM$63</f>
        <v>0</v>
      </c>
      <c r="CN263" s="77">
        <f ca="1" xml:space="preserve"> 'FS Semi_P99'!CN$63</f>
        <v>0</v>
      </c>
      <c r="CO263" s="77">
        <f ca="1" xml:space="preserve"> 'FS Semi_P99'!CO$63</f>
        <v>0</v>
      </c>
      <c r="CP263" s="77">
        <f ca="1" xml:space="preserve"> 'FS Semi_P99'!CP$63</f>
        <v>0</v>
      </c>
      <c r="CQ263" s="77">
        <f ca="1" xml:space="preserve"> 'FS Semi_P99'!CQ$63</f>
        <v>0</v>
      </c>
      <c r="CR263" s="77">
        <f ca="1" xml:space="preserve"> 'FS Semi_P99'!CR$63</f>
        <v>0</v>
      </c>
      <c r="CS263" s="77">
        <f ca="1" xml:space="preserve"> 'FS Semi_P99'!CS$63</f>
        <v>0</v>
      </c>
      <c r="CT263" s="77">
        <f ca="1" xml:space="preserve"> 'FS Semi_P99'!CT$63</f>
        <v>0</v>
      </c>
      <c r="CU263" s="77">
        <f ca="1" xml:space="preserve"> 'FS Semi_P99'!CU$63</f>
        <v>0</v>
      </c>
      <c r="CV263" s="77">
        <f ca="1" xml:space="preserve"> 'FS Semi_P99'!CV$63</f>
        <v>0</v>
      </c>
    </row>
    <row r="264" spans="1:100" outlineLevel="1" x14ac:dyDescent="0.2">
      <c r="A264" s="75"/>
      <c r="B264" s="639"/>
      <c r="C264" s="640"/>
      <c r="D264" s="641"/>
      <c r="E264" s="125" t="str">
        <f xml:space="preserve"> Time!E$218</f>
        <v>LLCR flag</v>
      </c>
      <c r="F264" s="125">
        <f xml:space="preserve"> Time!F$218</f>
        <v>0</v>
      </c>
      <c r="G264" s="125" t="str">
        <f xml:space="preserve"> Time!G$218</f>
        <v>flag</v>
      </c>
      <c r="H264" s="125">
        <f xml:space="preserve"> Time!H$218</f>
        <v>34</v>
      </c>
      <c r="I264" s="125">
        <f xml:space="preserve"> Time!I$218</f>
        <v>0</v>
      </c>
      <c r="J264" s="125">
        <f xml:space="preserve"> Time!J$218</f>
        <v>0</v>
      </c>
      <c r="K264" s="125">
        <f xml:space="preserve"> Time!K$218</f>
        <v>0</v>
      </c>
      <c r="L264" s="125">
        <f xml:space="preserve"> Time!L$218</f>
        <v>0</v>
      </c>
      <c r="M264" s="125">
        <f xml:space="preserve"> Time!M$218</f>
        <v>0</v>
      </c>
      <c r="N264" s="125">
        <f xml:space="preserve"> Time!N$218</f>
        <v>1</v>
      </c>
      <c r="O264" s="125">
        <f xml:space="preserve"> Time!O$218</f>
        <v>1</v>
      </c>
      <c r="P264" s="125">
        <f xml:space="preserve"> Time!P$218</f>
        <v>1</v>
      </c>
      <c r="Q264" s="125">
        <f xml:space="preserve"> Time!Q$218</f>
        <v>1</v>
      </c>
      <c r="R264" s="125">
        <f xml:space="preserve"> Time!R$218</f>
        <v>1</v>
      </c>
      <c r="S264" s="125">
        <f xml:space="preserve"> Time!S$218</f>
        <v>1</v>
      </c>
      <c r="T264" s="125">
        <f xml:space="preserve"> Time!T$218</f>
        <v>1</v>
      </c>
      <c r="U264" s="125">
        <f xml:space="preserve"> Time!U$218</f>
        <v>1</v>
      </c>
      <c r="V264" s="125">
        <f xml:space="preserve"> Time!V$218</f>
        <v>1</v>
      </c>
      <c r="W264" s="125">
        <f xml:space="preserve"> Time!W$218</f>
        <v>1</v>
      </c>
      <c r="X264" s="125">
        <f xml:space="preserve"> Time!X$218</f>
        <v>1</v>
      </c>
      <c r="Y264" s="125">
        <f xml:space="preserve"> Time!Y$218</f>
        <v>1</v>
      </c>
      <c r="Z264" s="125">
        <f xml:space="preserve"> Time!Z$218</f>
        <v>1</v>
      </c>
      <c r="AA264" s="125">
        <f xml:space="preserve"> Time!AA$218</f>
        <v>1</v>
      </c>
      <c r="AB264" s="125">
        <f xml:space="preserve"> Time!AB$218</f>
        <v>1</v>
      </c>
      <c r="AC264" s="125">
        <f xml:space="preserve"> Time!AC$218</f>
        <v>1</v>
      </c>
      <c r="AD264" s="125">
        <f xml:space="preserve"> Time!AD$218</f>
        <v>1</v>
      </c>
      <c r="AE264" s="125">
        <f xml:space="preserve"> Time!AE$218</f>
        <v>1</v>
      </c>
      <c r="AF264" s="125">
        <f xml:space="preserve"> Time!AF$218</f>
        <v>1</v>
      </c>
      <c r="AG264" s="125">
        <f xml:space="preserve"> Time!AG$218</f>
        <v>1</v>
      </c>
      <c r="AH264" s="125">
        <f xml:space="preserve"> Time!AH$218</f>
        <v>1</v>
      </c>
      <c r="AI264" s="125">
        <f xml:space="preserve"> Time!AI$218</f>
        <v>1</v>
      </c>
      <c r="AJ264" s="125">
        <f xml:space="preserve"> Time!AJ$218</f>
        <v>1</v>
      </c>
      <c r="AK264" s="125">
        <f xml:space="preserve"> Time!AK$218</f>
        <v>1</v>
      </c>
      <c r="AL264" s="125">
        <f xml:space="preserve"> Time!AL$218</f>
        <v>1</v>
      </c>
      <c r="AM264" s="125">
        <f xml:space="preserve"> Time!AM$218</f>
        <v>1</v>
      </c>
      <c r="AN264" s="125">
        <f xml:space="preserve"> Time!AN$218</f>
        <v>1</v>
      </c>
      <c r="AO264" s="125">
        <f xml:space="preserve"> Time!AO$218</f>
        <v>1</v>
      </c>
      <c r="AP264" s="125">
        <f xml:space="preserve"> Time!AP$218</f>
        <v>1</v>
      </c>
      <c r="AQ264" s="125">
        <f xml:space="preserve"> Time!AQ$218</f>
        <v>1</v>
      </c>
      <c r="AR264" s="125">
        <f xml:space="preserve"> Time!AR$218</f>
        <v>1</v>
      </c>
      <c r="AS264" s="125">
        <f xml:space="preserve"> Time!AS$218</f>
        <v>1</v>
      </c>
      <c r="AT264" s="125">
        <f xml:space="preserve"> Time!AT$218</f>
        <v>1</v>
      </c>
      <c r="AU264" s="125">
        <f xml:space="preserve"> Time!AU$218</f>
        <v>1</v>
      </c>
      <c r="AV264" s="125">
        <f xml:space="preserve"> Time!AV$218</f>
        <v>0</v>
      </c>
      <c r="AW264" s="125">
        <f xml:space="preserve"> Time!AW$218</f>
        <v>0</v>
      </c>
      <c r="AX264" s="125">
        <f xml:space="preserve"> Time!AX$218</f>
        <v>0</v>
      </c>
      <c r="AY264" s="125">
        <f xml:space="preserve"> Time!AY$218</f>
        <v>0</v>
      </c>
      <c r="AZ264" s="125">
        <f xml:space="preserve"> Time!AZ$218</f>
        <v>0</v>
      </c>
      <c r="BA264" s="125">
        <f xml:space="preserve"> Time!BA$218</f>
        <v>0</v>
      </c>
      <c r="BB264" s="125">
        <f xml:space="preserve"> Time!BB$218</f>
        <v>0</v>
      </c>
      <c r="BC264" s="125">
        <f xml:space="preserve"> Time!BC$218</f>
        <v>0</v>
      </c>
      <c r="BD264" s="125">
        <f xml:space="preserve"> Time!BD$218</f>
        <v>0</v>
      </c>
      <c r="BE264" s="125">
        <f xml:space="preserve"> Time!BE$218</f>
        <v>0</v>
      </c>
      <c r="BF264" s="125">
        <f xml:space="preserve"> Time!BF$218</f>
        <v>0</v>
      </c>
      <c r="BG264" s="125">
        <f xml:space="preserve"> Time!BG$218</f>
        <v>0</v>
      </c>
      <c r="BH264" s="125">
        <f xml:space="preserve"> Time!BH$218</f>
        <v>0</v>
      </c>
      <c r="BI264" s="125">
        <f xml:space="preserve"> Time!BI$218</f>
        <v>0</v>
      </c>
      <c r="BJ264" s="125">
        <f xml:space="preserve"> Time!BJ$218</f>
        <v>0</v>
      </c>
      <c r="BK264" s="125">
        <f xml:space="preserve"> Time!BK$218</f>
        <v>0</v>
      </c>
      <c r="BL264" s="125">
        <f xml:space="preserve"> Time!BL$218</f>
        <v>0</v>
      </c>
      <c r="BM264" s="125">
        <f xml:space="preserve"> Time!BM$218</f>
        <v>0</v>
      </c>
      <c r="BN264" s="125">
        <f xml:space="preserve"> Time!BN$218</f>
        <v>0</v>
      </c>
      <c r="BO264" s="125">
        <f xml:space="preserve"> Time!BO$218</f>
        <v>0</v>
      </c>
      <c r="BP264" s="125">
        <f xml:space="preserve"> Time!BP$218</f>
        <v>0</v>
      </c>
      <c r="BQ264" s="125">
        <f xml:space="preserve"> Time!BQ$218</f>
        <v>0</v>
      </c>
      <c r="BR264" s="125">
        <f xml:space="preserve"> Time!BR$218</f>
        <v>0</v>
      </c>
      <c r="BS264" s="125">
        <f xml:space="preserve"> Time!BS$218</f>
        <v>0</v>
      </c>
      <c r="BT264" s="125">
        <f xml:space="preserve"> Time!BT$218</f>
        <v>0</v>
      </c>
      <c r="BU264" s="125">
        <f xml:space="preserve"> Time!BU$218</f>
        <v>0</v>
      </c>
      <c r="BV264" s="125">
        <f xml:space="preserve"> Time!BV$218</f>
        <v>0</v>
      </c>
      <c r="BW264" s="125">
        <f xml:space="preserve"> Time!BW$218</f>
        <v>0</v>
      </c>
      <c r="BX264" s="125">
        <f xml:space="preserve"> Time!BX$218</f>
        <v>0</v>
      </c>
      <c r="BY264" s="125">
        <f xml:space="preserve"> Time!BY$218</f>
        <v>0</v>
      </c>
      <c r="BZ264" s="125">
        <f xml:space="preserve"> Time!BZ$218</f>
        <v>0</v>
      </c>
      <c r="CA264" s="125">
        <f xml:space="preserve"> Time!CA$218</f>
        <v>0</v>
      </c>
      <c r="CB264" s="125">
        <f xml:space="preserve"> Time!CB$218</f>
        <v>0</v>
      </c>
      <c r="CC264" s="125">
        <f xml:space="preserve"> Time!CC$218</f>
        <v>0</v>
      </c>
      <c r="CD264" s="125">
        <f xml:space="preserve"> Time!CD$218</f>
        <v>0</v>
      </c>
      <c r="CE264" s="125">
        <f xml:space="preserve"> Time!CE$218</f>
        <v>0</v>
      </c>
      <c r="CF264" s="125">
        <f xml:space="preserve"> Time!CF$218</f>
        <v>0</v>
      </c>
      <c r="CG264" s="125">
        <f xml:space="preserve"> Time!CG$218</f>
        <v>0</v>
      </c>
      <c r="CH264" s="125">
        <f xml:space="preserve"> Time!CH$218</f>
        <v>0</v>
      </c>
      <c r="CI264" s="125">
        <f xml:space="preserve"> Time!CI$218</f>
        <v>0</v>
      </c>
      <c r="CJ264" s="125">
        <f xml:space="preserve"> Time!CJ$218</f>
        <v>0</v>
      </c>
      <c r="CK264" s="125">
        <f xml:space="preserve"> Time!CK$218</f>
        <v>0</v>
      </c>
      <c r="CL264" s="125">
        <f xml:space="preserve"> Time!CL$218</f>
        <v>0</v>
      </c>
      <c r="CM264" s="125">
        <f xml:space="preserve"> Time!CM$218</f>
        <v>0</v>
      </c>
      <c r="CN264" s="125">
        <f xml:space="preserve"> Time!CN$218</f>
        <v>0</v>
      </c>
      <c r="CO264" s="125">
        <f xml:space="preserve"> Time!CO$218</f>
        <v>0</v>
      </c>
      <c r="CP264" s="125">
        <f xml:space="preserve"> Time!CP$218</f>
        <v>0</v>
      </c>
      <c r="CQ264" s="125">
        <f xml:space="preserve"> Time!CQ$218</f>
        <v>0</v>
      </c>
      <c r="CR264" s="125">
        <f xml:space="preserve"> Time!CR$218</f>
        <v>0</v>
      </c>
      <c r="CS264" s="125">
        <f xml:space="preserve"> Time!CS$218</f>
        <v>0</v>
      </c>
      <c r="CT264" s="125">
        <f xml:space="preserve"> Time!CT$218</f>
        <v>0</v>
      </c>
      <c r="CU264" s="125">
        <f xml:space="preserve"> Time!CU$218</f>
        <v>0</v>
      </c>
      <c r="CV264" s="125">
        <f xml:space="preserve"> Time!CV$218</f>
        <v>0</v>
      </c>
    </row>
    <row r="265" spans="1:100" s="44" customFormat="1" outlineLevel="1" x14ac:dyDescent="0.2">
      <c r="A265" s="33"/>
      <c r="B265" s="79"/>
      <c r="C265" s="561"/>
      <c r="D265" s="32"/>
      <c r="E265" s="32" t="s">
        <v>1268</v>
      </c>
      <c r="F265" s="32"/>
      <c r="G265" s="32" t="str">
        <f xml:space="preserve"> SMU</f>
        <v>$ 000s</v>
      </c>
      <c r="H265" s="32"/>
      <c r="I265" s="32"/>
      <c r="J265" s="32">
        <f t="shared" ref="J265:AO265" ca="1" si="323" xml:space="preserve"> (K263 + K265) / (1 + K262) * J264</f>
        <v>0</v>
      </c>
      <c r="K265" s="32">
        <f t="shared" ca="1" si="323"/>
        <v>0</v>
      </c>
      <c r="L265" s="32">
        <f t="shared" ca="1" si="323"/>
        <v>0</v>
      </c>
      <c r="M265" s="32">
        <f t="shared" ca="1" si="323"/>
        <v>0</v>
      </c>
      <c r="N265" s="32">
        <f t="shared" ca="1" si="323"/>
        <v>264511.65603686101</v>
      </c>
      <c r="O265" s="32">
        <f t="shared" ca="1" si="323"/>
        <v>256507.45370718327</v>
      </c>
      <c r="P265" s="32">
        <f t="shared" ca="1" si="323"/>
        <v>250214.46719375107</v>
      </c>
      <c r="Q265" s="32">
        <f t="shared" ca="1" si="323"/>
        <v>243908.68294210045</v>
      </c>
      <c r="R265" s="32">
        <f t="shared" ca="1" si="323"/>
        <v>237444.13167375574</v>
      </c>
      <c r="S265" s="32">
        <f t="shared" ca="1" si="323"/>
        <v>230959.76844574092</v>
      </c>
      <c r="T265" s="32">
        <f t="shared" ca="1" si="323"/>
        <v>224317.30968498101</v>
      </c>
      <c r="U265" s="32">
        <f t="shared" ca="1" si="323"/>
        <v>217647.77927542012</v>
      </c>
      <c r="V265" s="32">
        <f t="shared" ca="1" si="323"/>
        <v>210847.66035041239</v>
      </c>
      <c r="W265" s="32">
        <f t="shared" ca="1" si="323"/>
        <v>204002.68195944073</v>
      </c>
      <c r="X265" s="32">
        <f t="shared" ca="1" si="323"/>
        <v>196985.30859616504</v>
      </c>
      <c r="Y265" s="32">
        <f t="shared" ca="1" si="323"/>
        <v>190126.96787957949</v>
      </c>
      <c r="Z265" s="32">
        <f t="shared" ca="1" si="323"/>
        <v>183106.835164396</v>
      </c>
      <c r="AA265" s="32">
        <f t="shared" ca="1" si="323"/>
        <v>176036.87858485707</v>
      </c>
      <c r="AB265" s="32">
        <f t="shared" ca="1" si="323"/>
        <v>168805.49523676193</v>
      </c>
      <c r="AC265" s="32">
        <f t="shared" ca="1" si="323"/>
        <v>161515.51618606402</v>
      </c>
      <c r="AD265" s="32">
        <f t="shared" ca="1" si="323"/>
        <v>154085.18638215406</v>
      </c>
      <c r="AE265" s="32">
        <f t="shared" ca="1" si="323"/>
        <v>146582.20944881151</v>
      </c>
      <c r="AF265" s="32">
        <f t="shared" ca="1" si="323"/>
        <v>138903.49766721012</v>
      </c>
      <c r="AG265" s="32">
        <f t="shared" ca="1" si="323"/>
        <v>131147.65677754386</v>
      </c>
      <c r="AH265" s="32">
        <f t="shared" ca="1" si="323"/>
        <v>123231.29470727367</v>
      </c>
      <c r="AI265" s="32">
        <f t="shared" ca="1" si="323"/>
        <v>115379.35644302875</v>
      </c>
      <c r="AJ265" s="32">
        <f t="shared" ca="1" si="323"/>
        <v>107358.02231478563</v>
      </c>
      <c r="AK265" s="32">
        <f t="shared" ca="1" si="323"/>
        <v>99234.703996363693</v>
      </c>
      <c r="AL265" s="32">
        <f t="shared" ca="1" si="323"/>
        <v>90954.996378053052</v>
      </c>
      <c r="AM265" s="32">
        <f t="shared" ca="1" si="323"/>
        <v>82563.416474321581</v>
      </c>
      <c r="AN265" s="32">
        <f t="shared" ca="1" si="323"/>
        <v>73987.590178468832</v>
      </c>
      <c r="AO265" s="32">
        <f t="shared" ca="1" si="323"/>
        <v>65286.218367852707</v>
      </c>
      <c r="AP265" s="32">
        <f t="shared" ref="AP265:BU265" ca="1" si="324" xml:space="preserve"> (AQ263 + AQ265) / (1 + AQ262) * AP264</f>
        <v>56414.439237850573</v>
      </c>
      <c r="AQ265" s="32">
        <f t="shared" ca="1" si="324"/>
        <v>47404.563305219672</v>
      </c>
      <c r="AR265" s="32">
        <f t="shared" ca="1" si="324"/>
        <v>38223.789045116559</v>
      </c>
      <c r="AS265" s="32">
        <f t="shared" ca="1" si="324"/>
        <v>28891.832779238073</v>
      </c>
      <c r="AT265" s="32">
        <f t="shared" ca="1" si="324"/>
        <v>19408.605432375858</v>
      </c>
      <c r="AU265" s="32">
        <f t="shared" ca="1" si="324"/>
        <v>9788.470578957993</v>
      </c>
      <c r="AV265" s="32">
        <f t="shared" ca="1" si="324"/>
        <v>0</v>
      </c>
      <c r="AW265" s="32">
        <f t="shared" ca="1" si="324"/>
        <v>0</v>
      </c>
      <c r="AX265" s="32">
        <f t="shared" ca="1" si="324"/>
        <v>0</v>
      </c>
      <c r="AY265" s="32">
        <f t="shared" ca="1" si="324"/>
        <v>0</v>
      </c>
      <c r="AZ265" s="32">
        <f t="shared" ca="1" si="324"/>
        <v>0</v>
      </c>
      <c r="BA265" s="32">
        <f t="shared" ca="1" si="324"/>
        <v>0</v>
      </c>
      <c r="BB265" s="32">
        <f t="shared" ca="1" si="324"/>
        <v>0</v>
      </c>
      <c r="BC265" s="32">
        <f t="shared" ca="1" si="324"/>
        <v>0</v>
      </c>
      <c r="BD265" s="32">
        <f t="shared" ca="1" si="324"/>
        <v>0</v>
      </c>
      <c r="BE265" s="32">
        <f t="shared" ca="1" si="324"/>
        <v>0</v>
      </c>
      <c r="BF265" s="32">
        <f t="shared" ca="1" si="324"/>
        <v>0</v>
      </c>
      <c r="BG265" s="32">
        <f t="shared" ca="1" si="324"/>
        <v>0</v>
      </c>
      <c r="BH265" s="32">
        <f t="shared" ca="1" si="324"/>
        <v>0</v>
      </c>
      <c r="BI265" s="32">
        <f t="shared" ca="1" si="324"/>
        <v>0</v>
      </c>
      <c r="BJ265" s="32">
        <f t="shared" ca="1" si="324"/>
        <v>0</v>
      </c>
      <c r="BK265" s="32">
        <f t="shared" ca="1" si="324"/>
        <v>0</v>
      </c>
      <c r="BL265" s="32">
        <f t="shared" ca="1" si="324"/>
        <v>0</v>
      </c>
      <c r="BM265" s="32">
        <f t="shared" ca="1" si="324"/>
        <v>0</v>
      </c>
      <c r="BN265" s="32">
        <f t="shared" ca="1" si="324"/>
        <v>0</v>
      </c>
      <c r="BO265" s="32">
        <f t="shared" ca="1" si="324"/>
        <v>0</v>
      </c>
      <c r="BP265" s="32">
        <f t="shared" ca="1" si="324"/>
        <v>0</v>
      </c>
      <c r="BQ265" s="32">
        <f t="shared" ca="1" si="324"/>
        <v>0</v>
      </c>
      <c r="BR265" s="32">
        <f t="shared" ca="1" si="324"/>
        <v>0</v>
      </c>
      <c r="BS265" s="32">
        <f t="shared" ca="1" si="324"/>
        <v>0</v>
      </c>
      <c r="BT265" s="32">
        <f t="shared" ca="1" si="324"/>
        <v>0</v>
      </c>
      <c r="BU265" s="32">
        <f t="shared" ca="1" si="324"/>
        <v>0</v>
      </c>
      <c r="BV265" s="32">
        <f t="shared" ref="BV265:CV265" ca="1" si="325" xml:space="preserve"> (BW263 + BW265) / (1 + BW262) * BV264</f>
        <v>0</v>
      </c>
      <c r="BW265" s="32">
        <f t="shared" ca="1" si="325"/>
        <v>0</v>
      </c>
      <c r="BX265" s="32">
        <f t="shared" ca="1" si="325"/>
        <v>0</v>
      </c>
      <c r="BY265" s="32">
        <f t="shared" ca="1" si="325"/>
        <v>0</v>
      </c>
      <c r="BZ265" s="32">
        <f t="shared" ca="1" si="325"/>
        <v>0</v>
      </c>
      <c r="CA265" s="32">
        <f t="shared" ca="1" si="325"/>
        <v>0</v>
      </c>
      <c r="CB265" s="32">
        <f t="shared" ca="1" si="325"/>
        <v>0</v>
      </c>
      <c r="CC265" s="32">
        <f t="shared" ca="1" si="325"/>
        <v>0</v>
      </c>
      <c r="CD265" s="32">
        <f t="shared" ca="1" si="325"/>
        <v>0</v>
      </c>
      <c r="CE265" s="32">
        <f t="shared" ca="1" si="325"/>
        <v>0</v>
      </c>
      <c r="CF265" s="32">
        <f t="shared" ca="1" si="325"/>
        <v>0</v>
      </c>
      <c r="CG265" s="32">
        <f t="shared" ca="1" si="325"/>
        <v>0</v>
      </c>
      <c r="CH265" s="32">
        <f t="shared" ca="1" si="325"/>
        <v>0</v>
      </c>
      <c r="CI265" s="32">
        <f t="shared" ca="1" si="325"/>
        <v>0</v>
      </c>
      <c r="CJ265" s="32">
        <f t="shared" ca="1" si="325"/>
        <v>0</v>
      </c>
      <c r="CK265" s="32">
        <f t="shared" ca="1" si="325"/>
        <v>0</v>
      </c>
      <c r="CL265" s="32">
        <f t="shared" ca="1" si="325"/>
        <v>0</v>
      </c>
      <c r="CM265" s="32">
        <f t="shared" ca="1" si="325"/>
        <v>0</v>
      </c>
      <c r="CN265" s="32">
        <f t="shared" ca="1" si="325"/>
        <v>0</v>
      </c>
      <c r="CO265" s="32">
        <f t="shared" ca="1" si="325"/>
        <v>0</v>
      </c>
      <c r="CP265" s="32">
        <f t="shared" ca="1" si="325"/>
        <v>0</v>
      </c>
      <c r="CQ265" s="32">
        <f t="shared" ca="1" si="325"/>
        <v>0</v>
      </c>
      <c r="CR265" s="32">
        <f t="shared" ca="1" si="325"/>
        <v>0</v>
      </c>
      <c r="CS265" s="32">
        <f t="shared" ca="1" si="325"/>
        <v>0</v>
      </c>
      <c r="CT265" s="32">
        <f t="shared" ca="1" si="325"/>
        <v>0</v>
      </c>
      <c r="CU265" s="32">
        <f t="shared" ca="1" si="325"/>
        <v>0</v>
      </c>
      <c r="CV265" s="32">
        <f t="shared" si="325"/>
        <v>0</v>
      </c>
    </row>
    <row r="266" spans="1:100" outlineLevel="1" x14ac:dyDescent="0.2">
      <c r="A266" s="405"/>
      <c r="B266" s="431"/>
      <c r="C266" s="564"/>
      <c r="D266" s="191"/>
      <c r="E266" s="191"/>
      <c r="F266" s="191"/>
      <c r="G266" s="191"/>
      <c r="H266" s="191"/>
      <c r="I266" s="191"/>
      <c r="J266" s="191"/>
      <c r="K266" s="191"/>
      <c r="L266" s="191"/>
      <c r="M266" s="191"/>
      <c r="N266" s="191"/>
      <c r="O266" s="191"/>
      <c r="P266" s="191"/>
      <c r="Q266" s="191"/>
      <c r="R266" s="191"/>
      <c r="S266" s="191"/>
      <c r="T266" s="191"/>
      <c r="U266" s="191"/>
      <c r="V266" s="191"/>
      <c r="W266" s="191"/>
      <c r="X266" s="191"/>
      <c r="Y266" s="191"/>
      <c r="Z266" s="191"/>
      <c r="AA266" s="191"/>
      <c r="AB266" s="191"/>
      <c r="AC266" s="191"/>
      <c r="AD266" s="191"/>
      <c r="AE266" s="191"/>
      <c r="AF266" s="191"/>
      <c r="AG266" s="191"/>
      <c r="AH266" s="191"/>
      <c r="AI266" s="191"/>
      <c r="AJ266" s="191"/>
      <c r="AK266" s="191"/>
      <c r="AL266" s="191"/>
      <c r="AM266" s="191"/>
      <c r="AN266" s="191"/>
      <c r="AO266" s="191"/>
      <c r="AP266" s="191"/>
      <c r="AQ266" s="191"/>
      <c r="AR266" s="191"/>
      <c r="AS266" s="191"/>
      <c r="AT266" s="191"/>
      <c r="AU266" s="191"/>
      <c r="AV266" s="191"/>
      <c r="AW266" s="191"/>
      <c r="AX266" s="191"/>
      <c r="AY266" s="191"/>
      <c r="AZ266" s="191"/>
      <c r="BA266" s="191"/>
      <c r="BB266" s="191"/>
      <c r="BC266" s="191"/>
      <c r="BD266" s="191"/>
      <c r="BE266" s="191"/>
      <c r="BF266" s="191"/>
      <c r="BG266" s="191"/>
      <c r="BH266" s="191"/>
      <c r="BI266" s="191"/>
      <c r="BJ266" s="191"/>
      <c r="BK266" s="191"/>
      <c r="BL266" s="191"/>
      <c r="BM266" s="191"/>
      <c r="BN266" s="191"/>
      <c r="BO266" s="191"/>
      <c r="BP266" s="191"/>
      <c r="BQ266" s="191"/>
      <c r="BR266" s="191"/>
      <c r="BS266" s="191"/>
      <c r="BT266" s="191"/>
      <c r="BU266" s="191"/>
      <c r="BV266" s="191"/>
      <c r="BW266" s="191"/>
      <c r="BX266" s="191"/>
      <c r="BY266" s="191"/>
      <c r="BZ266" s="191"/>
      <c r="CA266" s="191"/>
      <c r="CB266" s="191"/>
      <c r="CC266" s="191"/>
      <c r="CD266" s="191"/>
      <c r="CE266" s="191"/>
      <c r="CF266" s="191"/>
      <c r="CG266" s="191"/>
      <c r="CH266" s="191"/>
      <c r="CI266" s="191"/>
      <c r="CJ266" s="191"/>
      <c r="CK266" s="191"/>
      <c r="CL266" s="191"/>
      <c r="CM266" s="191"/>
      <c r="CN266" s="191"/>
      <c r="CO266" s="191"/>
      <c r="CP266" s="191"/>
      <c r="CQ266" s="191"/>
      <c r="CR266" s="191"/>
      <c r="CS266" s="191"/>
      <c r="CT266" s="191"/>
      <c r="CU266" s="191"/>
      <c r="CV266" s="191"/>
    </row>
    <row r="267" spans="1:100" outlineLevel="1" x14ac:dyDescent="0.2">
      <c r="A267" s="33"/>
      <c r="B267" s="79"/>
      <c r="C267" s="561"/>
      <c r="D267" s="32"/>
      <c r="E267" s="32" t="str">
        <f t="shared" ref="E267:AJ267" si="326" xml:space="preserve"> E$265</f>
        <v>PV of LLCR cash flow - P99</v>
      </c>
      <c r="F267" s="32">
        <f t="shared" si="326"/>
        <v>0</v>
      </c>
      <c r="G267" s="32" t="str">
        <f t="shared" si="326"/>
        <v>$ 000s</v>
      </c>
      <c r="H267" s="32">
        <f t="shared" si="326"/>
        <v>0</v>
      </c>
      <c r="I267" s="32">
        <f t="shared" si="326"/>
        <v>0</v>
      </c>
      <c r="J267" s="32">
        <f t="shared" ca="1" si="326"/>
        <v>0</v>
      </c>
      <c r="K267" s="32">
        <f t="shared" ca="1" si="326"/>
        <v>0</v>
      </c>
      <c r="L267" s="32">
        <f t="shared" ca="1" si="326"/>
        <v>0</v>
      </c>
      <c r="M267" s="32">
        <f t="shared" ca="1" si="326"/>
        <v>0</v>
      </c>
      <c r="N267" s="32">
        <f t="shared" ca="1" si="326"/>
        <v>264511.65603686101</v>
      </c>
      <c r="O267" s="32">
        <f t="shared" ca="1" si="326"/>
        <v>256507.45370718327</v>
      </c>
      <c r="P267" s="32">
        <f t="shared" ca="1" si="326"/>
        <v>250214.46719375107</v>
      </c>
      <c r="Q267" s="32">
        <f t="shared" ca="1" si="326"/>
        <v>243908.68294210045</v>
      </c>
      <c r="R267" s="32">
        <f t="shared" ca="1" si="326"/>
        <v>237444.13167375574</v>
      </c>
      <c r="S267" s="32">
        <f t="shared" ca="1" si="326"/>
        <v>230959.76844574092</v>
      </c>
      <c r="T267" s="32">
        <f t="shared" ca="1" si="326"/>
        <v>224317.30968498101</v>
      </c>
      <c r="U267" s="32">
        <f t="shared" ca="1" si="326"/>
        <v>217647.77927542012</v>
      </c>
      <c r="V267" s="32">
        <f t="shared" ca="1" si="326"/>
        <v>210847.66035041239</v>
      </c>
      <c r="W267" s="32">
        <f t="shared" ca="1" si="326"/>
        <v>204002.68195944073</v>
      </c>
      <c r="X267" s="32">
        <f t="shared" ca="1" si="326"/>
        <v>196985.30859616504</v>
      </c>
      <c r="Y267" s="32">
        <f t="shared" ca="1" si="326"/>
        <v>190126.96787957949</v>
      </c>
      <c r="Z267" s="32">
        <f t="shared" ca="1" si="326"/>
        <v>183106.835164396</v>
      </c>
      <c r="AA267" s="32">
        <f t="shared" ca="1" si="326"/>
        <v>176036.87858485707</v>
      </c>
      <c r="AB267" s="32">
        <f t="shared" ca="1" si="326"/>
        <v>168805.49523676193</v>
      </c>
      <c r="AC267" s="32">
        <f t="shared" ca="1" si="326"/>
        <v>161515.51618606402</v>
      </c>
      <c r="AD267" s="32">
        <f t="shared" ca="1" si="326"/>
        <v>154085.18638215406</v>
      </c>
      <c r="AE267" s="32">
        <f t="shared" ca="1" si="326"/>
        <v>146582.20944881151</v>
      </c>
      <c r="AF267" s="32">
        <f t="shared" ca="1" si="326"/>
        <v>138903.49766721012</v>
      </c>
      <c r="AG267" s="32">
        <f t="shared" ca="1" si="326"/>
        <v>131147.65677754386</v>
      </c>
      <c r="AH267" s="32">
        <f t="shared" ca="1" si="326"/>
        <v>123231.29470727367</v>
      </c>
      <c r="AI267" s="32">
        <f t="shared" ca="1" si="326"/>
        <v>115379.35644302875</v>
      </c>
      <c r="AJ267" s="32">
        <f t="shared" ca="1" si="326"/>
        <v>107358.02231478563</v>
      </c>
      <c r="AK267" s="32">
        <f t="shared" ref="AK267:BP267" ca="1" si="327" xml:space="preserve"> AK$265</f>
        <v>99234.703996363693</v>
      </c>
      <c r="AL267" s="32">
        <f t="shared" ca="1" si="327"/>
        <v>90954.996378053052</v>
      </c>
      <c r="AM267" s="32">
        <f t="shared" ca="1" si="327"/>
        <v>82563.416474321581</v>
      </c>
      <c r="AN267" s="32">
        <f t="shared" ca="1" si="327"/>
        <v>73987.590178468832</v>
      </c>
      <c r="AO267" s="32">
        <f t="shared" ca="1" si="327"/>
        <v>65286.218367852707</v>
      </c>
      <c r="AP267" s="32">
        <f t="shared" ca="1" si="327"/>
        <v>56414.439237850573</v>
      </c>
      <c r="AQ267" s="32">
        <f t="shared" ca="1" si="327"/>
        <v>47404.563305219672</v>
      </c>
      <c r="AR267" s="32">
        <f t="shared" ca="1" si="327"/>
        <v>38223.789045116559</v>
      </c>
      <c r="AS267" s="32">
        <f t="shared" ca="1" si="327"/>
        <v>28891.832779238073</v>
      </c>
      <c r="AT267" s="32">
        <f t="shared" ca="1" si="327"/>
        <v>19408.605432375858</v>
      </c>
      <c r="AU267" s="32">
        <f t="shared" ca="1" si="327"/>
        <v>9788.470578957993</v>
      </c>
      <c r="AV267" s="32">
        <f t="shared" ca="1" si="327"/>
        <v>0</v>
      </c>
      <c r="AW267" s="32">
        <f t="shared" ca="1" si="327"/>
        <v>0</v>
      </c>
      <c r="AX267" s="32">
        <f t="shared" ca="1" si="327"/>
        <v>0</v>
      </c>
      <c r="AY267" s="32">
        <f t="shared" ca="1" si="327"/>
        <v>0</v>
      </c>
      <c r="AZ267" s="32">
        <f t="shared" ca="1" si="327"/>
        <v>0</v>
      </c>
      <c r="BA267" s="32">
        <f t="shared" ca="1" si="327"/>
        <v>0</v>
      </c>
      <c r="BB267" s="32">
        <f t="shared" ca="1" si="327"/>
        <v>0</v>
      </c>
      <c r="BC267" s="32">
        <f t="shared" ca="1" si="327"/>
        <v>0</v>
      </c>
      <c r="BD267" s="32">
        <f t="shared" ca="1" si="327"/>
        <v>0</v>
      </c>
      <c r="BE267" s="32">
        <f t="shared" ca="1" si="327"/>
        <v>0</v>
      </c>
      <c r="BF267" s="32">
        <f t="shared" ca="1" si="327"/>
        <v>0</v>
      </c>
      <c r="BG267" s="32">
        <f t="shared" ca="1" si="327"/>
        <v>0</v>
      </c>
      <c r="BH267" s="32">
        <f t="shared" ca="1" si="327"/>
        <v>0</v>
      </c>
      <c r="BI267" s="32">
        <f t="shared" ca="1" si="327"/>
        <v>0</v>
      </c>
      <c r="BJ267" s="32">
        <f t="shared" ca="1" si="327"/>
        <v>0</v>
      </c>
      <c r="BK267" s="32">
        <f t="shared" ca="1" si="327"/>
        <v>0</v>
      </c>
      <c r="BL267" s="32">
        <f t="shared" ca="1" si="327"/>
        <v>0</v>
      </c>
      <c r="BM267" s="32">
        <f t="shared" ca="1" si="327"/>
        <v>0</v>
      </c>
      <c r="BN267" s="32">
        <f t="shared" ca="1" si="327"/>
        <v>0</v>
      </c>
      <c r="BO267" s="32">
        <f t="shared" ca="1" si="327"/>
        <v>0</v>
      </c>
      <c r="BP267" s="32">
        <f t="shared" ca="1" si="327"/>
        <v>0</v>
      </c>
      <c r="BQ267" s="32">
        <f t="shared" ref="BQ267:CV267" ca="1" si="328" xml:space="preserve"> BQ$265</f>
        <v>0</v>
      </c>
      <c r="BR267" s="32">
        <f t="shared" ca="1" si="328"/>
        <v>0</v>
      </c>
      <c r="BS267" s="32">
        <f t="shared" ca="1" si="328"/>
        <v>0</v>
      </c>
      <c r="BT267" s="32">
        <f t="shared" ca="1" si="328"/>
        <v>0</v>
      </c>
      <c r="BU267" s="32">
        <f t="shared" ca="1" si="328"/>
        <v>0</v>
      </c>
      <c r="BV267" s="32">
        <f t="shared" ca="1" si="328"/>
        <v>0</v>
      </c>
      <c r="BW267" s="32">
        <f t="shared" ca="1" si="328"/>
        <v>0</v>
      </c>
      <c r="BX267" s="32">
        <f t="shared" ca="1" si="328"/>
        <v>0</v>
      </c>
      <c r="BY267" s="32">
        <f t="shared" ca="1" si="328"/>
        <v>0</v>
      </c>
      <c r="BZ267" s="32">
        <f t="shared" ca="1" si="328"/>
        <v>0</v>
      </c>
      <c r="CA267" s="32">
        <f t="shared" ca="1" si="328"/>
        <v>0</v>
      </c>
      <c r="CB267" s="32">
        <f t="shared" ca="1" si="328"/>
        <v>0</v>
      </c>
      <c r="CC267" s="32">
        <f t="shared" ca="1" si="328"/>
        <v>0</v>
      </c>
      <c r="CD267" s="32">
        <f t="shared" ca="1" si="328"/>
        <v>0</v>
      </c>
      <c r="CE267" s="32">
        <f t="shared" ca="1" si="328"/>
        <v>0</v>
      </c>
      <c r="CF267" s="32">
        <f t="shared" ca="1" si="328"/>
        <v>0</v>
      </c>
      <c r="CG267" s="32">
        <f t="shared" ca="1" si="328"/>
        <v>0</v>
      </c>
      <c r="CH267" s="32">
        <f t="shared" ca="1" si="328"/>
        <v>0</v>
      </c>
      <c r="CI267" s="32">
        <f t="shared" ca="1" si="328"/>
        <v>0</v>
      </c>
      <c r="CJ267" s="32">
        <f t="shared" ca="1" si="328"/>
        <v>0</v>
      </c>
      <c r="CK267" s="32">
        <f t="shared" ca="1" si="328"/>
        <v>0</v>
      </c>
      <c r="CL267" s="32">
        <f t="shared" ca="1" si="328"/>
        <v>0</v>
      </c>
      <c r="CM267" s="32">
        <f t="shared" ca="1" si="328"/>
        <v>0</v>
      </c>
      <c r="CN267" s="32">
        <f t="shared" ca="1" si="328"/>
        <v>0</v>
      </c>
      <c r="CO267" s="32">
        <f t="shared" ca="1" si="328"/>
        <v>0</v>
      </c>
      <c r="CP267" s="32">
        <f t="shared" ca="1" si="328"/>
        <v>0</v>
      </c>
      <c r="CQ267" s="32">
        <f t="shared" ca="1" si="328"/>
        <v>0</v>
      </c>
      <c r="CR267" s="32">
        <f t="shared" ca="1" si="328"/>
        <v>0</v>
      </c>
      <c r="CS267" s="32">
        <f t="shared" ca="1" si="328"/>
        <v>0</v>
      </c>
      <c r="CT267" s="32">
        <f t="shared" ca="1" si="328"/>
        <v>0</v>
      </c>
      <c r="CU267" s="32">
        <f t="shared" ca="1" si="328"/>
        <v>0</v>
      </c>
      <c r="CV267" s="32">
        <f t="shared" si="328"/>
        <v>0</v>
      </c>
    </row>
    <row r="268" spans="1:100" outlineLevel="1" x14ac:dyDescent="0.2">
      <c r="A268" s="75"/>
      <c r="B268" s="639"/>
      <c r="C268" s="640"/>
      <c r="D268" s="641"/>
      <c r="E268" s="125" t="str">
        <f xml:space="preserve"> Debt!E$190</f>
        <v>Senior debt balance - T1</v>
      </c>
      <c r="F268" s="125">
        <f xml:space="preserve"> Debt!F$190</f>
        <v>0</v>
      </c>
      <c r="G268" s="125" t="str">
        <f xml:space="preserve"> Debt!G$190</f>
        <v>$ 000s</v>
      </c>
      <c r="H268" s="125">
        <f xml:space="preserve"> Debt!H$190</f>
        <v>0</v>
      </c>
      <c r="I268" s="125">
        <f xml:space="preserve"> Debt!I$190</f>
        <v>0</v>
      </c>
      <c r="J268" s="125">
        <f xml:space="preserve"> Debt!J$190</f>
        <v>0</v>
      </c>
      <c r="K268" s="125">
        <f xml:space="preserve"> Debt!K$190</f>
        <v>12084.251893640236</v>
      </c>
      <c r="L268" s="125">
        <f xml:space="preserve"> Debt!L$190</f>
        <v>48641.086087745876</v>
      </c>
      <c r="M268" s="125">
        <f xml:space="preserve"> Debt!M$190</f>
        <v>85848.029919746245</v>
      </c>
      <c r="N268" s="125">
        <f xml:space="preserve"> Debt!N$190</f>
        <v>125194.92613015344</v>
      </c>
      <c r="O268" s="125">
        <f xml:space="preserve"> Debt!O$190</f>
        <v>122307.36969156924</v>
      </c>
      <c r="P268" s="125">
        <f xml:space="preserve"> Debt!P$190</f>
        <v>119922.1352876555</v>
      </c>
      <c r="Q268" s="125">
        <f xml:space="preserve"> Debt!Q$190</f>
        <v>117508.19233590935</v>
      </c>
      <c r="R268" s="125">
        <f xml:space="preserve"> Debt!R$190</f>
        <v>115049.50252800655</v>
      </c>
      <c r="S268" s="125">
        <f xml:space="preserve"> Debt!S$190</f>
        <v>112559.24542947744</v>
      </c>
      <c r="T268" s="125">
        <f xml:space="preserve"> Debt!T$190</f>
        <v>110024.16578572989</v>
      </c>
      <c r="U268" s="125">
        <f xml:space="preserve"> Debt!U$190</f>
        <v>107454.54754436042</v>
      </c>
      <c r="V268" s="125">
        <f xml:space="preserve"> Debt!V$190</f>
        <v>104844.37664323812</v>
      </c>
      <c r="W268" s="125">
        <f xml:space="preserve"> Debt!W$190</f>
        <v>102198.52966645258</v>
      </c>
      <c r="X268" s="125">
        <f xml:space="preserve"> Debt!X$190</f>
        <v>99501.600215346058</v>
      </c>
      <c r="Y268" s="125">
        <f xml:space="preserve"> Debt!Y$190</f>
        <v>96843.285838745331</v>
      </c>
      <c r="Z268" s="125">
        <f xml:space="preserve"> Debt!Z$190</f>
        <v>94137.669059260574</v>
      </c>
      <c r="AA268" s="125">
        <f xml:space="preserve"> Debt!AA$190</f>
        <v>91388.173880573551</v>
      </c>
      <c r="AB268" s="125">
        <f xml:space="preserve"> Debt!AB$190</f>
        <v>88591.140842060806</v>
      </c>
      <c r="AC268" s="125">
        <f xml:space="preserve"> Debt!AC$190</f>
        <v>85746.585013341115</v>
      </c>
      <c r="AD268" s="125">
        <f xml:space="preserve"> Debt!AD$190</f>
        <v>82856.442001167306</v>
      </c>
      <c r="AE268" s="125">
        <f xml:space="preserve"> Debt!AE$190</f>
        <v>79918.828937485043</v>
      </c>
      <c r="AF268" s="125">
        <f xml:space="preserve"> Debt!AF$190</f>
        <v>76927.27686561922</v>
      </c>
      <c r="AG268" s="125">
        <f xml:space="preserve"> Debt!AG$190</f>
        <v>73880.450658089481</v>
      </c>
      <c r="AH268" s="125">
        <f xml:space="preserve"> Debt!AH$190</f>
        <v>70785.247373619</v>
      </c>
      <c r="AI268" s="125">
        <f xml:space="preserve"> Debt!AI$190</f>
        <v>67690.833646661864</v>
      </c>
      <c r="AJ268" s="125">
        <f xml:space="preserve"> Debt!AJ$190</f>
        <v>64544.128046861137</v>
      </c>
      <c r="AK268" s="125">
        <f xml:space="preserve"> Debt!AK$190</f>
        <v>61331.848850567236</v>
      </c>
      <c r="AL268" s="125">
        <f xml:space="preserve"> Debt!AL$190</f>
        <v>58066.22768944627</v>
      </c>
      <c r="AM268" s="125">
        <f xml:space="preserve"> Debt!AM$190</f>
        <v>54736.43721186708</v>
      </c>
      <c r="AN268" s="125">
        <f xml:space="preserve"> Debt!AN$190</f>
        <v>51347.570845042952</v>
      </c>
      <c r="AO268" s="125">
        <f xml:space="preserve"> Debt!AO$190</f>
        <v>47883.159012851975</v>
      </c>
      <c r="AP268" s="125">
        <f xml:space="preserve"> Debt!AP$190</f>
        <v>44364.691041537037</v>
      </c>
      <c r="AQ268" s="125">
        <f xml:space="preserve"> Debt!AQ$190</f>
        <v>40765.341095443495</v>
      </c>
      <c r="AR268" s="125">
        <f xml:space="preserve"> Debt!AR$190</f>
        <v>37111.262402800712</v>
      </c>
      <c r="AS268" s="125">
        <f xml:space="preserve"> Debt!AS$190</f>
        <v>28054.211954517719</v>
      </c>
      <c r="AT268" s="125">
        <f xml:space="preserve"> Debt!AT$190</f>
        <v>18869.053669515644</v>
      </c>
      <c r="AU268" s="125">
        <f xml:space="preserve"> Debt!AU$190</f>
        <v>9500.7049074522929</v>
      </c>
      <c r="AV268" s="125">
        <f xml:space="preserve"> Debt!AV$190</f>
        <v>-2.5461520346652833E-2</v>
      </c>
      <c r="AW268" s="125">
        <f xml:space="preserve"> Debt!AW$190</f>
        <v>-2.5461520346652833E-2</v>
      </c>
      <c r="AX268" s="125">
        <f xml:space="preserve"> Debt!AX$190</f>
        <v>-2.5461520346652833E-2</v>
      </c>
      <c r="AY268" s="125">
        <f xml:space="preserve"> Debt!AY$190</f>
        <v>-2.5461520346652833E-2</v>
      </c>
      <c r="AZ268" s="125">
        <f xml:space="preserve"> Debt!AZ$190</f>
        <v>-2.5461520346652833E-2</v>
      </c>
      <c r="BA268" s="125">
        <f xml:space="preserve"> Debt!BA$190</f>
        <v>-2.5461520346652833E-2</v>
      </c>
      <c r="BB268" s="125">
        <f xml:space="preserve"> Debt!BB$190</f>
        <v>-2.5461520346652833E-2</v>
      </c>
      <c r="BC268" s="125">
        <f xml:space="preserve"> Debt!BC$190</f>
        <v>-2.5461520346652833E-2</v>
      </c>
      <c r="BD268" s="125">
        <f xml:space="preserve"> Debt!BD$190</f>
        <v>-2.5461520346652833E-2</v>
      </c>
      <c r="BE268" s="125">
        <f xml:space="preserve"> Debt!BE$190</f>
        <v>-2.5461520346652833E-2</v>
      </c>
      <c r="BF268" s="125">
        <f xml:space="preserve"> Debt!BF$190</f>
        <v>-2.5461520346652833E-2</v>
      </c>
      <c r="BG268" s="125">
        <f xml:space="preserve"> Debt!BG$190</f>
        <v>-2.5461520346652833E-2</v>
      </c>
      <c r="BH268" s="125">
        <f xml:space="preserve"> Debt!BH$190</f>
        <v>-2.5461520346652833E-2</v>
      </c>
      <c r="BI268" s="125">
        <f xml:space="preserve"> Debt!BI$190</f>
        <v>-2.5461520346652833E-2</v>
      </c>
      <c r="BJ268" s="125">
        <f xml:space="preserve"> Debt!BJ$190</f>
        <v>-2.5461520346652833E-2</v>
      </c>
      <c r="BK268" s="125">
        <f xml:space="preserve"> Debt!BK$190</f>
        <v>-2.5461520346652833E-2</v>
      </c>
      <c r="BL268" s="125">
        <f xml:space="preserve"> Debt!BL$190</f>
        <v>-2.5461520346652833E-2</v>
      </c>
      <c r="BM268" s="125">
        <f xml:space="preserve"> Debt!BM$190</f>
        <v>-2.5461520346652833E-2</v>
      </c>
      <c r="BN268" s="125">
        <f xml:space="preserve"> Debt!BN$190</f>
        <v>-2.5461520346652833E-2</v>
      </c>
      <c r="BO268" s="125">
        <f xml:space="preserve"> Debt!BO$190</f>
        <v>-2.5461520346652833E-2</v>
      </c>
      <c r="BP268" s="125">
        <f xml:space="preserve"> Debt!BP$190</f>
        <v>-2.5461520346652833E-2</v>
      </c>
      <c r="BQ268" s="125">
        <f xml:space="preserve"> Debt!BQ$190</f>
        <v>-2.5461520346652833E-2</v>
      </c>
      <c r="BR268" s="125">
        <f xml:space="preserve"> Debt!BR$190</f>
        <v>-2.5461520346652833E-2</v>
      </c>
      <c r="BS268" s="125">
        <f xml:space="preserve"> Debt!BS$190</f>
        <v>-2.5461520346652833E-2</v>
      </c>
      <c r="BT268" s="125">
        <f xml:space="preserve"> Debt!BT$190</f>
        <v>-2.5461520346652833E-2</v>
      </c>
      <c r="BU268" s="125">
        <f xml:space="preserve"> Debt!BU$190</f>
        <v>-2.5461520346652833E-2</v>
      </c>
      <c r="BV268" s="125">
        <f xml:space="preserve"> Debt!BV$190</f>
        <v>-2.5461520346652833E-2</v>
      </c>
      <c r="BW268" s="125">
        <f xml:space="preserve"> Debt!BW$190</f>
        <v>-2.5461520346652833E-2</v>
      </c>
      <c r="BX268" s="125">
        <f xml:space="preserve"> Debt!BX$190</f>
        <v>-2.5461520346652833E-2</v>
      </c>
      <c r="BY268" s="125">
        <f xml:space="preserve"> Debt!BY$190</f>
        <v>-2.5461520346652833E-2</v>
      </c>
      <c r="BZ268" s="125">
        <f xml:space="preserve"> Debt!BZ$190</f>
        <v>-2.5461520346652833E-2</v>
      </c>
      <c r="CA268" s="125">
        <f xml:space="preserve"> Debt!CA$190</f>
        <v>-2.5461520346652833E-2</v>
      </c>
      <c r="CB268" s="125">
        <f xml:space="preserve"> Debt!CB$190</f>
        <v>-2.5461520346652833E-2</v>
      </c>
      <c r="CC268" s="125">
        <f xml:space="preserve"> Debt!CC$190</f>
        <v>-2.5461520346652833E-2</v>
      </c>
      <c r="CD268" s="125">
        <f xml:space="preserve"> Debt!CD$190</f>
        <v>-2.5461520346652833E-2</v>
      </c>
      <c r="CE268" s="125">
        <f xml:space="preserve"> Debt!CE$190</f>
        <v>-2.5461520346652833E-2</v>
      </c>
      <c r="CF268" s="125">
        <f xml:space="preserve"> Debt!CF$190</f>
        <v>-2.5461520346652833E-2</v>
      </c>
      <c r="CG268" s="125">
        <f xml:space="preserve"> Debt!CG$190</f>
        <v>-2.5461520346652833E-2</v>
      </c>
      <c r="CH268" s="125">
        <f xml:space="preserve"> Debt!CH$190</f>
        <v>-2.5461520346652833E-2</v>
      </c>
      <c r="CI268" s="125">
        <f xml:space="preserve"> Debt!CI$190</f>
        <v>-2.5461520346652833E-2</v>
      </c>
      <c r="CJ268" s="125">
        <f xml:space="preserve"> Debt!CJ$190</f>
        <v>-2.5461520346652833E-2</v>
      </c>
      <c r="CK268" s="125">
        <f xml:space="preserve"> Debt!CK$190</f>
        <v>-2.5461520346652833E-2</v>
      </c>
      <c r="CL268" s="125">
        <f xml:space="preserve"> Debt!CL$190</f>
        <v>-2.5461520346652833E-2</v>
      </c>
      <c r="CM268" s="125">
        <f xml:space="preserve"> Debt!CM$190</f>
        <v>-2.5461520346652833E-2</v>
      </c>
      <c r="CN268" s="125">
        <f xml:space="preserve"> Debt!CN$190</f>
        <v>-2.5461520346652833E-2</v>
      </c>
      <c r="CO268" s="125">
        <f xml:space="preserve"> Debt!CO$190</f>
        <v>-2.5461520346652833E-2</v>
      </c>
      <c r="CP268" s="125">
        <f xml:space="preserve"> Debt!CP$190</f>
        <v>-2.5461520346652833E-2</v>
      </c>
      <c r="CQ268" s="125">
        <f xml:space="preserve"> Debt!CQ$190</f>
        <v>-2.5461520346652833E-2</v>
      </c>
      <c r="CR268" s="125">
        <f xml:space="preserve"> Debt!CR$190</f>
        <v>-2.5461520346652833E-2</v>
      </c>
      <c r="CS268" s="125">
        <f xml:space="preserve"> Debt!CS$190</f>
        <v>-2.5461520346652833E-2</v>
      </c>
      <c r="CT268" s="125">
        <f xml:space="preserve"> Debt!CT$190</f>
        <v>-2.5461520346652833E-2</v>
      </c>
      <c r="CU268" s="125">
        <f xml:space="preserve"> Debt!CU$190</f>
        <v>-2.5461520346652833E-2</v>
      </c>
      <c r="CV268" s="125">
        <f xml:space="preserve"> Debt!CV$190</f>
        <v>-2.5461520346652833E-2</v>
      </c>
    </row>
    <row r="269" spans="1:100" outlineLevel="1" x14ac:dyDescent="0.2">
      <c r="A269" s="75"/>
      <c r="B269" s="639"/>
      <c r="C269" s="640"/>
      <c r="D269" s="641"/>
      <c r="E269" s="125" t="str">
        <f xml:space="preserve"> Debt!E$302</f>
        <v>Senior debt balance - T2</v>
      </c>
      <c r="F269" s="125">
        <f xml:space="preserve"> Debt!F$302</f>
        <v>0</v>
      </c>
      <c r="G269" s="125" t="str">
        <f xml:space="preserve"> Debt!G$302</f>
        <v>$ 000s</v>
      </c>
      <c r="H269" s="125">
        <f xml:space="preserve"> Debt!H$302</f>
        <v>0</v>
      </c>
      <c r="I269" s="125">
        <f xml:space="preserve"> Debt!I$302</f>
        <v>0</v>
      </c>
      <c r="J269" s="125">
        <f xml:space="preserve"> Debt!J$302</f>
        <v>0</v>
      </c>
      <c r="K269" s="125">
        <f xml:space="preserve"> Debt!K$302</f>
        <v>12084.251893640236</v>
      </c>
      <c r="L269" s="125">
        <f xml:space="preserve"> Debt!L$302</f>
        <v>48641.086087745876</v>
      </c>
      <c r="M269" s="125">
        <f xml:space="preserve"> Debt!M$302</f>
        <v>85848.029919746245</v>
      </c>
      <c r="N269" s="125">
        <f xml:space="preserve"> Debt!N$302</f>
        <v>125194.92613015344</v>
      </c>
      <c r="O269" s="125">
        <f xml:space="preserve"> Debt!O$302</f>
        <v>121090.7892959798</v>
      </c>
      <c r="P269" s="125">
        <f xml:space="preserve"> Debt!P$302</f>
        <v>117700.61196665274</v>
      </c>
      <c r="Q269" s="125">
        <f xml:space="preserve"> Debt!Q$302</f>
        <v>114269.63065266921</v>
      </c>
      <c r="R269" s="125">
        <f xml:space="preserve"> Debt!R$302</f>
        <v>110775.04981276403</v>
      </c>
      <c r="S269" s="125">
        <f xml:space="preserve"> Debt!S$302</f>
        <v>107235.60180472895</v>
      </c>
      <c r="T269" s="125">
        <f xml:space="preserve"> Debt!T$302</f>
        <v>103632.44669252292</v>
      </c>
      <c r="U269" s="125">
        <f xml:space="preserve"> Debt!U$302</f>
        <v>99980.201239152753</v>
      </c>
      <c r="V269" s="125">
        <f xml:space="preserve"> Debt!V$302</f>
        <v>96270.31754800085</v>
      </c>
      <c r="W269" s="125">
        <f xml:space="preserve"> Debt!W$302</f>
        <v>92509.726797318668</v>
      </c>
      <c r="X269" s="125">
        <f xml:space="preserve"> Debt!X$302</f>
        <v>88676.531590619605</v>
      </c>
      <c r="Y269" s="125">
        <f xml:space="preserve"> Debt!Y$302</f>
        <v>84898.220696315591</v>
      </c>
      <c r="Z269" s="125">
        <f xml:space="preserve"> Debt!Z$302</f>
        <v>81052.678030737021</v>
      </c>
      <c r="AA269" s="125">
        <f xml:space="preserve"> Debt!AA$302</f>
        <v>77144.770193006567</v>
      </c>
      <c r="AB269" s="125">
        <f xml:space="preserve"> Debt!AB$302</f>
        <v>73169.295924739374</v>
      </c>
      <c r="AC269" s="125">
        <f xml:space="preserve"> Debt!AC$302</f>
        <v>69126.276644660495</v>
      </c>
      <c r="AD269" s="125">
        <f xml:space="preserve"> Debt!AD$302</f>
        <v>65018.4634660866</v>
      </c>
      <c r="AE269" s="125">
        <f xml:space="preserve"> Debt!AE$302</f>
        <v>60843.180234178777</v>
      </c>
      <c r="AF269" s="125">
        <f xml:space="preserve"> Debt!AF$302</f>
        <v>56591.232502375169</v>
      </c>
      <c r="AG269" s="125">
        <f xml:space="preserve"> Debt!AG$302</f>
        <v>52260.722629543205</v>
      </c>
      <c r="AH269" s="125">
        <f xml:space="preserve"> Debt!AH$302</f>
        <v>47861.453531523759</v>
      </c>
      <c r="AI269" s="125">
        <f xml:space="preserve"> Debt!AI$302</f>
        <v>43463.30664605397</v>
      </c>
      <c r="AJ269" s="125">
        <f xml:space="preserve"> Debt!AJ$302</f>
        <v>38990.836364304349</v>
      </c>
      <c r="AK269" s="125">
        <f xml:space="preserve"> Debt!AK$302</f>
        <v>34425.165129277833</v>
      </c>
      <c r="AL269" s="125">
        <f xml:space="preserve"> Debt!AL$302</f>
        <v>29783.677983009326</v>
      </c>
      <c r="AM269" s="125">
        <f xml:space="preserve"> Debt!AM$302</f>
        <v>25050.985812388433</v>
      </c>
      <c r="AN269" s="125">
        <f xml:space="preserve"> Debt!AN$302</f>
        <v>20234.327998768505</v>
      </c>
      <c r="AO269" s="125">
        <f xml:space="preserve"> Debt!AO$302</f>
        <v>15310.296032067479</v>
      </c>
      <c r="AP269" s="125">
        <f xml:space="preserve"> Debt!AP$302</f>
        <v>10309.43308512052</v>
      </c>
      <c r="AQ269" s="125">
        <f xml:space="preserve"> Debt!AQ$302</f>
        <v>5193.6111065598579</v>
      </c>
      <c r="AR269" s="125">
        <f xml:space="preserve"> Debt!AR$302</f>
        <v>2.1585050071735168E-3</v>
      </c>
      <c r="AS269" s="125">
        <f xml:space="preserve"> Debt!AS$302</f>
        <v>2.1585050071735168E-3</v>
      </c>
      <c r="AT269" s="125">
        <f xml:space="preserve"> Debt!AT$302</f>
        <v>2.1585050071735168E-3</v>
      </c>
      <c r="AU269" s="125">
        <f xml:space="preserve"> Debt!AU$302</f>
        <v>2.1585050071735168E-3</v>
      </c>
      <c r="AV269" s="125">
        <f xml:space="preserve"> Debt!AV$302</f>
        <v>2.1585050071735168E-3</v>
      </c>
      <c r="AW269" s="125">
        <f xml:space="preserve"> Debt!AW$302</f>
        <v>2.1585050071735168E-3</v>
      </c>
      <c r="AX269" s="125">
        <f xml:space="preserve"> Debt!AX$302</f>
        <v>2.1585050071735168E-3</v>
      </c>
      <c r="AY269" s="125">
        <f xml:space="preserve"> Debt!AY$302</f>
        <v>2.1585050071735168E-3</v>
      </c>
      <c r="AZ269" s="125">
        <f xml:space="preserve"> Debt!AZ$302</f>
        <v>2.1585050071735168E-3</v>
      </c>
      <c r="BA269" s="125">
        <f xml:space="preserve"> Debt!BA$302</f>
        <v>2.1585050071735168E-3</v>
      </c>
      <c r="BB269" s="125">
        <f xml:space="preserve"> Debt!BB$302</f>
        <v>2.1585050071735168E-3</v>
      </c>
      <c r="BC269" s="125">
        <f xml:space="preserve"> Debt!BC$302</f>
        <v>2.1585050071735168E-3</v>
      </c>
      <c r="BD269" s="125">
        <f xml:space="preserve"> Debt!BD$302</f>
        <v>2.1585050071735168E-3</v>
      </c>
      <c r="BE269" s="125">
        <f xml:space="preserve"> Debt!BE$302</f>
        <v>2.1585050071735168E-3</v>
      </c>
      <c r="BF269" s="125">
        <f xml:space="preserve"> Debt!BF$302</f>
        <v>2.1585050071735168E-3</v>
      </c>
      <c r="BG269" s="125">
        <f xml:space="preserve"> Debt!BG$302</f>
        <v>2.1585050071735168E-3</v>
      </c>
      <c r="BH269" s="125">
        <f xml:space="preserve"> Debt!BH$302</f>
        <v>2.1585050071735168E-3</v>
      </c>
      <c r="BI269" s="125">
        <f xml:space="preserve"> Debt!BI$302</f>
        <v>2.1585050071735168E-3</v>
      </c>
      <c r="BJ269" s="125">
        <f xml:space="preserve"> Debt!BJ$302</f>
        <v>2.1585050071735168E-3</v>
      </c>
      <c r="BK269" s="125">
        <f xml:space="preserve"> Debt!BK$302</f>
        <v>2.1585050071735168E-3</v>
      </c>
      <c r="BL269" s="125">
        <f xml:space="preserve"> Debt!BL$302</f>
        <v>2.1585050071735168E-3</v>
      </c>
      <c r="BM269" s="125">
        <f xml:space="preserve"> Debt!BM$302</f>
        <v>2.1585050071735168E-3</v>
      </c>
      <c r="BN269" s="125">
        <f xml:space="preserve"> Debt!BN$302</f>
        <v>2.1585050071735168E-3</v>
      </c>
      <c r="BO269" s="125">
        <f xml:space="preserve"> Debt!BO$302</f>
        <v>2.1585050071735168E-3</v>
      </c>
      <c r="BP269" s="125">
        <f xml:space="preserve"> Debt!BP$302</f>
        <v>2.1585050071735168E-3</v>
      </c>
      <c r="BQ269" s="125">
        <f xml:space="preserve"> Debt!BQ$302</f>
        <v>2.1585050071735168E-3</v>
      </c>
      <c r="BR269" s="125">
        <f xml:space="preserve"> Debt!BR$302</f>
        <v>2.1585050071735168E-3</v>
      </c>
      <c r="BS269" s="125">
        <f xml:space="preserve"> Debt!BS$302</f>
        <v>2.1585050071735168E-3</v>
      </c>
      <c r="BT269" s="125">
        <f xml:space="preserve"> Debt!BT$302</f>
        <v>2.1585050071735168E-3</v>
      </c>
      <c r="BU269" s="125">
        <f xml:space="preserve"> Debt!BU$302</f>
        <v>2.1585050071735168E-3</v>
      </c>
      <c r="BV269" s="125">
        <f xml:space="preserve"> Debt!BV$302</f>
        <v>2.1585050071735168E-3</v>
      </c>
      <c r="BW269" s="125">
        <f xml:space="preserve"> Debt!BW$302</f>
        <v>2.1585050071735168E-3</v>
      </c>
      <c r="BX269" s="125">
        <f xml:space="preserve"> Debt!BX$302</f>
        <v>2.1585050071735168E-3</v>
      </c>
      <c r="BY269" s="125">
        <f xml:space="preserve"> Debt!BY$302</f>
        <v>2.1585050071735168E-3</v>
      </c>
      <c r="BZ269" s="125">
        <f xml:space="preserve"> Debt!BZ$302</f>
        <v>2.1585050071735168E-3</v>
      </c>
      <c r="CA269" s="125">
        <f xml:space="preserve"> Debt!CA$302</f>
        <v>2.1585050071735168E-3</v>
      </c>
      <c r="CB269" s="125">
        <f xml:space="preserve"> Debt!CB$302</f>
        <v>2.1585050071735168E-3</v>
      </c>
      <c r="CC269" s="125">
        <f xml:space="preserve"> Debt!CC$302</f>
        <v>2.1585050071735168E-3</v>
      </c>
      <c r="CD269" s="125">
        <f xml:space="preserve"> Debt!CD$302</f>
        <v>2.1585050071735168E-3</v>
      </c>
      <c r="CE269" s="125">
        <f xml:space="preserve"> Debt!CE$302</f>
        <v>2.1585050071735168E-3</v>
      </c>
      <c r="CF269" s="125">
        <f xml:space="preserve"> Debt!CF$302</f>
        <v>2.1585050071735168E-3</v>
      </c>
      <c r="CG269" s="125">
        <f xml:space="preserve"> Debt!CG$302</f>
        <v>2.1585050071735168E-3</v>
      </c>
      <c r="CH269" s="125">
        <f xml:space="preserve"> Debt!CH$302</f>
        <v>2.1585050071735168E-3</v>
      </c>
      <c r="CI269" s="125">
        <f xml:space="preserve"> Debt!CI$302</f>
        <v>2.1585050071735168E-3</v>
      </c>
      <c r="CJ269" s="125">
        <f xml:space="preserve"> Debt!CJ$302</f>
        <v>2.1585050071735168E-3</v>
      </c>
      <c r="CK269" s="125">
        <f xml:space="preserve"> Debt!CK$302</f>
        <v>2.1585050071735168E-3</v>
      </c>
      <c r="CL269" s="125">
        <f xml:space="preserve"> Debt!CL$302</f>
        <v>2.1585050071735168E-3</v>
      </c>
      <c r="CM269" s="125">
        <f xml:space="preserve"> Debt!CM$302</f>
        <v>2.1585050071735168E-3</v>
      </c>
      <c r="CN269" s="125">
        <f xml:space="preserve"> Debt!CN$302</f>
        <v>2.1585050071735168E-3</v>
      </c>
      <c r="CO269" s="125">
        <f xml:space="preserve"> Debt!CO$302</f>
        <v>2.1585050071735168E-3</v>
      </c>
      <c r="CP269" s="125">
        <f xml:space="preserve"> Debt!CP$302</f>
        <v>2.1585050071735168E-3</v>
      </c>
      <c r="CQ269" s="125">
        <f xml:space="preserve"> Debt!CQ$302</f>
        <v>2.1585050071735168E-3</v>
      </c>
      <c r="CR269" s="125">
        <f xml:space="preserve"> Debt!CR$302</f>
        <v>2.1585050071735168E-3</v>
      </c>
      <c r="CS269" s="125">
        <f xml:space="preserve"> Debt!CS$302</f>
        <v>2.1585050071735168E-3</v>
      </c>
      <c r="CT269" s="125">
        <f xml:space="preserve"> Debt!CT$302</f>
        <v>2.1585050071735168E-3</v>
      </c>
      <c r="CU269" s="125">
        <f xml:space="preserve"> Debt!CU$302</f>
        <v>2.1585050071735168E-3</v>
      </c>
      <c r="CV269" s="125">
        <f xml:space="preserve"> Debt!CV$302</f>
        <v>2.1585050071735168E-3</v>
      </c>
    </row>
    <row r="270" spans="1:100" outlineLevel="1" x14ac:dyDescent="0.2">
      <c r="A270" s="205"/>
      <c r="B270" s="205"/>
      <c r="C270" s="206"/>
      <c r="D270" s="209"/>
      <c r="E270" s="125" t="str">
        <f xml:space="preserve"> Debt!E$404</f>
        <v>Standby debt - T1 balance</v>
      </c>
      <c r="F270" s="125">
        <f xml:space="preserve"> Debt!F$404</f>
        <v>0</v>
      </c>
      <c r="G270" s="125" t="str">
        <f xml:space="preserve"> Debt!G$404</f>
        <v>$ 000s</v>
      </c>
      <c r="H270" s="125">
        <f xml:space="preserve"> Debt!H$404</f>
        <v>0</v>
      </c>
      <c r="I270" s="125">
        <f xml:space="preserve"> Debt!I$404</f>
        <v>0</v>
      </c>
      <c r="J270" s="125">
        <f xml:space="preserve"> Debt!J$404</f>
        <v>0</v>
      </c>
      <c r="K270" s="125">
        <f xml:space="preserve"> Debt!K$404</f>
        <v>0</v>
      </c>
      <c r="L270" s="125">
        <f xml:space="preserve"> Debt!L$404</f>
        <v>0</v>
      </c>
      <c r="M270" s="125">
        <f xml:space="preserve"> Debt!M$404</f>
        <v>0</v>
      </c>
      <c r="N270" s="125">
        <f xml:space="preserve"> Debt!N$404</f>
        <v>0</v>
      </c>
      <c r="O270" s="125">
        <f xml:space="preserve"> Debt!O$404</f>
        <v>0</v>
      </c>
      <c r="P270" s="125">
        <f xml:space="preserve"> Debt!P$404</f>
        <v>0</v>
      </c>
      <c r="Q270" s="125">
        <f xml:space="preserve"> Debt!Q$404</f>
        <v>0</v>
      </c>
      <c r="R270" s="125">
        <f xml:space="preserve"> Debt!R$404</f>
        <v>0</v>
      </c>
      <c r="S270" s="125">
        <f xml:space="preserve"> Debt!S$404</f>
        <v>0</v>
      </c>
      <c r="T270" s="125">
        <f xml:space="preserve"> Debt!T$404</f>
        <v>0</v>
      </c>
      <c r="U270" s="125">
        <f xml:space="preserve"> Debt!U$404</f>
        <v>0</v>
      </c>
      <c r="V270" s="125">
        <f xml:space="preserve"> Debt!V$404</f>
        <v>0</v>
      </c>
      <c r="W270" s="125">
        <f xml:space="preserve"> Debt!W$404</f>
        <v>0</v>
      </c>
      <c r="X270" s="125">
        <f xml:space="preserve"> Debt!X$404</f>
        <v>0</v>
      </c>
      <c r="Y270" s="125">
        <f xml:space="preserve"> Debt!Y$404</f>
        <v>0</v>
      </c>
      <c r="Z270" s="125">
        <f xml:space="preserve"> Debt!Z$404</f>
        <v>0</v>
      </c>
      <c r="AA270" s="125">
        <f xml:space="preserve"> Debt!AA$404</f>
        <v>0</v>
      </c>
      <c r="AB270" s="125">
        <f xml:space="preserve"> Debt!AB$404</f>
        <v>0</v>
      </c>
      <c r="AC270" s="125">
        <f xml:space="preserve"> Debt!AC$404</f>
        <v>0</v>
      </c>
      <c r="AD270" s="125">
        <f xml:space="preserve"> Debt!AD$404</f>
        <v>0</v>
      </c>
      <c r="AE270" s="125">
        <f xml:space="preserve"> Debt!AE$404</f>
        <v>0</v>
      </c>
      <c r="AF270" s="125">
        <f xml:space="preserve"> Debt!AF$404</f>
        <v>0</v>
      </c>
      <c r="AG270" s="125">
        <f xml:space="preserve"> Debt!AG$404</f>
        <v>0</v>
      </c>
      <c r="AH270" s="125">
        <f xml:space="preserve"> Debt!AH$404</f>
        <v>0</v>
      </c>
      <c r="AI270" s="125">
        <f xml:space="preserve"> Debt!AI$404</f>
        <v>0</v>
      </c>
      <c r="AJ270" s="125">
        <f xml:space="preserve"> Debt!AJ$404</f>
        <v>0</v>
      </c>
      <c r="AK270" s="125">
        <f xml:space="preserve"> Debt!AK$404</f>
        <v>0</v>
      </c>
      <c r="AL270" s="125">
        <f xml:space="preserve"> Debt!AL$404</f>
        <v>0</v>
      </c>
      <c r="AM270" s="125">
        <f xml:space="preserve"> Debt!AM$404</f>
        <v>0</v>
      </c>
      <c r="AN270" s="125">
        <f xml:space="preserve"> Debt!AN$404</f>
        <v>0</v>
      </c>
      <c r="AO270" s="125">
        <f xml:space="preserve"> Debt!AO$404</f>
        <v>0</v>
      </c>
      <c r="AP270" s="125">
        <f xml:space="preserve"> Debt!AP$404</f>
        <v>0</v>
      </c>
      <c r="AQ270" s="125">
        <f xml:space="preserve"> Debt!AQ$404</f>
        <v>0</v>
      </c>
      <c r="AR270" s="125">
        <f xml:space="preserve"> Debt!AR$404</f>
        <v>0</v>
      </c>
      <c r="AS270" s="125">
        <f xml:space="preserve"> Debt!AS$404</f>
        <v>0</v>
      </c>
      <c r="AT270" s="125">
        <f xml:space="preserve"> Debt!AT$404</f>
        <v>0</v>
      </c>
      <c r="AU270" s="125">
        <f xml:space="preserve"> Debt!AU$404</f>
        <v>0</v>
      </c>
      <c r="AV270" s="125">
        <f xml:space="preserve"> Debt!AV$404</f>
        <v>0</v>
      </c>
      <c r="AW270" s="125">
        <f xml:space="preserve"> Debt!AW$404</f>
        <v>0</v>
      </c>
      <c r="AX270" s="125">
        <f xml:space="preserve"> Debt!AX$404</f>
        <v>0</v>
      </c>
      <c r="AY270" s="125">
        <f xml:space="preserve"> Debt!AY$404</f>
        <v>0</v>
      </c>
      <c r="AZ270" s="125">
        <f xml:space="preserve"> Debt!AZ$404</f>
        <v>0</v>
      </c>
      <c r="BA270" s="125">
        <f xml:space="preserve"> Debt!BA$404</f>
        <v>0</v>
      </c>
      <c r="BB270" s="125">
        <f xml:space="preserve"> Debt!BB$404</f>
        <v>0</v>
      </c>
      <c r="BC270" s="125">
        <f xml:space="preserve"> Debt!BC$404</f>
        <v>0</v>
      </c>
      <c r="BD270" s="125">
        <f xml:space="preserve"> Debt!BD$404</f>
        <v>0</v>
      </c>
      <c r="BE270" s="125">
        <f xml:space="preserve"> Debt!BE$404</f>
        <v>0</v>
      </c>
      <c r="BF270" s="125">
        <f xml:space="preserve"> Debt!BF$404</f>
        <v>0</v>
      </c>
      <c r="BG270" s="125">
        <f xml:space="preserve"> Debt!BG$404</f>
        <v>0</v>
      </c>
      <c r="BH270" s="125">
        <f xml:space="preserve"> Debt!BH$404</f>
        <v>0</v>
      </c>
      <c r="BI270" s="125">
        <f xml:space="preserve"> Debt!BI$404</f>
        <v>0</v>
      </c>
      <c r="BJ270" s="125">
        <f xml:space="preserve"> Debt!BJ$404</f>
        <v>0</v>
      </c>
      <c r="BK270" s="125">
        <f xml:space="preserve"> Debt!BK$404</f>
        <v>0</v>
      </c>
      <c r="BL270" s="125">
        <f xml:space="preserve"> Debt!BL$404</f>
        <v>0</v>
      </c>
      <c r="BM270" s="125">
        <f xml:space="preserve"> Debt!BM$404</f>
        <v>0</v>
      </c>
      <c r="BN270" s="125">
        <f xml:space="preserve"> Debt!BN$404</f>
        <v>0</v>
      </c>
      <c r="BO270" s="125">
        <f xml:space="preserve"> Debt!BO$404</f>
        <v>0</v>
      </c>
      <c r="BP270" s="125">
        <f xml:space="preserve"> Debt!BP$404</f>
        <v>0</v>
      </c>
      <c r="BQ270" s="125">
        <f xml:space="preserve"> Debt!BQ$404</f>
        <v>0</v>
      </c>
      <c r="BR270" s="125">
        <f xml:space="preserve"> Debt!BR$404</f>
        <v>0</v>
      </c>
      <c r="BS270" s="125">
        <f xml:space="preserve"> Debt!BS$404</f>
        <v>0</v>
      </c>
      <c r="BT270" s="125">
        <f xml:space="preserve"> Debt!BT$404</f>
        <v>0</v>
      </c>
      <c r="BU270" s="125">
        <f xml:space="preserve"> Debt!BU$404</f>
        <v>0</v>
      </c>
      <c r="BV270" s="125">
        <f xml:space="preserve"> Debt!BV$404</f>
        <v>0</v>
      </c>
      <c r="BW270" s="125">
        <f xml:space="preserve"> Debt!BW$404</f>
        <v>0</v>
      </c>
      <c r="BX270" s="125">
        <f xml:space="preserve"> Debt!BX$404</f>
        <v>0</v>
      </c>
      <c r="BY270" s="125">
        <f xml:space="preserve"> Debt!BY$404</f>
        <v>0</v>
      </c>
      <c r="BZ270" s="125">
        <f xml:space="preserve"> Debt!BZ$404</f>
        <v>0</v>
      </c>
      <c r="CA270" s="125">
        <f xml:space="preserve"> Debt!CA$404</f>
        <v>0</v>
      </c>
      <c r="CB270" s="125">
        <f xml:space="preserve"> Debt!CB$404</f>
        <v>0</v>
      </c>
      <c r="CC270" s="125">
        <f xml:space="preserve"> Debt!CC$404</f>
        <v>0</v>
      </c>
      <c r="CD270" s="125">
        <f xml:space="preserve"> Debt!CD$404</f>
        <v>0</v>
      </c>
      <c r="CE270" s="125">
        <f xml:space="preserve"> Debt!CE$404</f>
        <v>0</v>
      </c>
      <c r="CF270" s="125">
        <f xml:space="preserve"> Debt!CF$404</f>
        <v>0</v>
      </c>
      <c r="CG270" s="125">
        <f xml:space="preserve"> Debt!CG$404</f>
        <v>0</v>
      </c>
      <c r="CH270" s="125">
        <f xml:space="preserve"> Debt!CH$404</f>
        <v>0</v>
      </c>
      <c r="CI270" s="125">
        <f xml:space="preserve"> Debt!CI$404</f>
        <v>0</v>
      </c>
      <c r="CJ270" s="125">
        <f xml:space="preserve"> Debt!CJ$404</f>
        <v>0</v>
      </c>
      <c r="CK270" s="125">
        <f xml:space="preserve"> Debt!CK$404</f>
        <v>0</v>
      </c>
      <c r="CL270" s="125">
        <f xml:space="preserve"> Debt!CL$404</f>
        <v>0</v>
      </c>
      <c r="CM270" s="125">
        <f xml:space="preserve"> Debt!CM$404</f>
        <v>0</v>
      </c>
      <c r="CN270" s="125">
        <f xml:space="preserve"> Debt!CN$404</f>
        <v>0</v>
      </c>
      <c r="CO270" s="125">
        <f xml:space="preserve"> Debt!CO$404</f>
        <v>0</v>
      </c>
      <c r="CP270" s="125">
        <f xml:space="preserve"> Debt!CP$404</f>
        <v>0</v>
      </c>
      <c r="CQ270" s="125">
        <f xml:space="preserve"> Debt!CQ$404</f>
        <v>0</v>
      </c>
      <c r="CR270" s="125">
        <f xml:space="preserve"> Debt!CR$404</f>
        <v>0</v>
      </c>
      <c r="CS270" s="125">
        <f xml:space="preserve"> Debt!CS$404</f>
        <v>0</v>
      </c>
      <c r="CT270" s="125">
        <f xml:space="preserve"> Debt!CT$404</f>
        <v>0</v>
      </c>
      <c r="CU270" s="125">
        <f xml:space="preserve"> Debt!CU$404</f>
        <v>0</v>
      </c>
      <c r="CV270" s="125">
        <f xml:space="preserve"> Debt!CV$404</f>
        <v>0</v>
      </c>
    </row>
    <row r="271" spans="1:100" outlineLevel="1" x14ac:dyDescent="0.2">
      <c r="A271" s="75"/>
      <c r="B271" s="639"/>
      <c r="C271" s="640"/>
      <c r="D271" s="641"/>
      <c r="E271" s="125" t="str">
        <f xml:space="preserve"> Debt!E$436</f>
        <v>Standby debt - T2 balance</v>
      </c>
      <c r="F271" s="125">
        <f xml:space="preserve"> Debt!F$436</f>
        <v>0</v>
      </c>
      <c r="G271" s="125" t="str">
        <f xml:space="preserve"> Debt!G$436</f>
        <v>$ 000s</v>
      </c>
      <c r="H271" s="125">
        <f xml:space="preserve"> Debt!H$436</f>
        <v>0</v>
      </c>
      <c r="I271" s="125">
        <f xml:space="preserve"> Debt!I$436</f>
        <v>0</v>
      </c>
      <c r="J271" s="125">
        <f xml:space="preserve"> Debt!J$436</f>
        <v>0</v>
      </c>
      <c r="K271" s="125">
        <f xml:space="preserve"> Debt!K$436</f>
        <v>0</v>
      </c>
      <c r="L271" s="125">
        <f xml:space="preserve"> Debt!L$436</f>
        <v>0</v>
      </c>
      <c r="M271" s="125">
        <f xml:space="preserve"> Debt!M$436</f>
        <v>0</v>
      </c>
      <c r="N271" s="125">
        <f xml:space="preserve"> Debt!N$436</f>
        <v>0</v>
      </c>
      <c r="O271" s="125">
        <f xml:space="preserve"> Debt!O$436</f>
        <v>0</v>
      </c>
      <c r="P271" s="125">
        <f xml:space="preserve"> Debt!P$436</f>
        <v>0</v>
      </c>
      <c r="Q271" s="125">
        <f xml:space="preserve"> Debt!Q$436</f>
        <v>0</v>
      </c>
      <c r="R271" s="125">
        <f xml:space="preserve"> Debt!R$436</f>
        <v>0</v>
      </c>
      <c r="S271" s="125">
        <f xml:space="preserve"> Debt!S$436</f>
        <v>0</v>
      </c>
      <c r="T271" s="125">
        <f xml:space="preserve"> Debt!T$436</f>
        <v>0</v>
      </c>
      <c r="U271" s="125">
        <f xml:space="preserve"> Debt!U$436</f>
        <v>0</v>
      </c>
      <c r="V271" s="125">
        <f xml:space="preserve"> Debt!V$436</f>
        <v>0</v>
      </c>
      <c r="W271" s="125">
        <f xml:space="preserve"> Debt!W$436</f>
        <v>0</v>
      </c>
      <c r="X271" s="125">
        <f xml:space="preserve"> Debt!X$436</f>
        <v>0</v>
      </c>
      <c r="Y271" s="125">
        <f xml:space="preserve"> Debt!Y$436</f>
        <v>0</v>
      </c>
      <c r="Z271" s="125">
        <f xml:space="preserve"> Debt!Z$436</f>
        <v>0</v>
      </c>
      <c r="AA271" s="125">
        <f xml:space="preserve"> Debt!AA$436</f>
        <v>0</v>
      </c>
      <c r="AB271" s="125">
        <f xml:space="preserve"> Debt!AB$436</f>
        <v>0</v>
      </c>
      <c r="AC271" s="125">
        <f xml:space="preserve"> Debt!AC$436</f>
        <v>0</v>
      </c>
      <c r="AD271" s="125">
        <f xml:space="preserve"> Debt!AD$436</f>
        <v>0</v>
      </c>
      <c r="AE271" s="125">
        <f xml:space="preserve"> Debt!AE$436</f>
        <v>0</v>
      </c>
      <c r="AF271" s="125">
        <f xml:space="preserve"> Debt!AF$436</f>
        <v>0</v>
      </c>
      <c r="AG271" s="125">
        <f xml:space="preserve"> Debt!AG$436</f>
        <v>0</v>
      </c>
      <c r="AH271" s="125">
        <f xml:space="preserve"> Debt!AH$436</f>
        <v>0</v>
      </c>
      <c r="AI271" s="125">
        <f xml:space="preserve"> Debt!AI$436</f>
        <v>0</v>
      </c>
      <c r="AJ271" s="125">
        <f xml:space="preserve"> Debt!AJ$436</f>
        <v>0</v>
      </c>
      <c r="AK271" s="125">
        <f xml:space="preserve"> Debt!AK$436</f>
        <v>0</v>
      </c>
      <c r="AL271" s="125">
        <f xml:space="preserve"> Debt!AL$436</f>
        <v>0</v>
      </c>
      <c r="AM271" s="125">
        <f xml:space="preserve"> Debt!AM$436</f>
        <v>0</v>
      </c>
      <c r="AN271" s="125">
        <f xml:space="preserve"> Debt!AN$436</f>
        <v>0</v>
      </c>
      <c r="AO271" s="125">
        <f xml:space="preserve"> Debt!AO$436</f>
        <v>0</v>
      </c>
      <c r="AP271" s="125">
        <f xml:space="preserve"> Debt!AP$436</f>
        <v>0</v>
      </c>
      <c r="AQ271" s="125">
        <f xml:space="preserve"> Debt!AQ$436</f>
        <v>0</v>
      </c>
      <c r="AR271" s="125">
        <f xml:space="preserve"> Debt!AR$436</f>
        <v>0</v>
      </c>
      <c r="AS271" s="125">
        <f xml:space="preserve"> Debt!AS$436</f>
        <v>0</v>
      </c>
      <c r="AT271" s="125">
        <f xml:space="preserve"> Debt!AT$436</f>
        <v>0</v>
      </c>
      <c r="AU271" s="125">
        <f xml:space="preserve"> Debt!AU$436</f>
        <v>0</v>
      </c>
      <c r="AV271" s="125">
        <f xml:space="preserve"> Debt!AV$436</f>
        <v>0</v>
      </c>
      <c r="AW271" s="125">
        <f xml:space="preserve"> Debt!AW$436</f>
        <v>0</v>
      </c>
      <c r="AX271" s="125">
        <f xml:space="preserve"> Debt!AX$436</f>
        <v>0</v>
      </c>
      <c r="AY271" s="125">
        <f xml:space="preserve"> Debt!AY$436</f>
        <v>0</v>
      </c>
      <c r="AZ271" s="125">
        <f xml:space="preserve"> Debt!AZ$436</f>
        <v>0</v>
      </c>
      <c r="BA271" s="125">
        <f xml:space="preserve"> Debt!BA$436</f>
        <v>0</v>
      </c>
      <c r="BB271" s="125">
        <f xml:space="preserve"> Debt!BB$436</f>
        <v>0</v>
      </c>
      <c r="BC271" s="125">
        <f xml:space="preserve"> Debt!BC$436</f>
        <v>0</v>
      </c>
      <c r="BD271" s="125">
        <f xml:space="preserve"> Debt!BD$436</f>
        <v>0</v>
      </c>
      <c r="BE271" s="125">
        <f xml:space="preserve"> Debt!BE$436</f>
        <v>0</v>
      </c>
      <c r="BF271" s="125">
        <f xml:space="preserve"> Debt!BF$436</f>
        <v>0</v>
      </c>
      <c r="BG271" s="125">
        <f xml:space="preserve"> Debt!BG$436</f>
        <v>0</v>
      </c>
      <c r="BH271" s="125">
        <f xml:space="preserve"> Debt!BH$436</f>
        <v>0</v>
      </c>
      <c r="BI271" s="125">
        <f xml:space="preserve"> Debt!BI$436</f>
        <v>0</v>
      </c>
      <c r="BJ271" s="125">
        <f xml:space="preserve"> Debt!BJ$436</f>
        <v>0</v>
      </c>
      <c r="BK271" s="125">
        <f xml:space="preserve"> Debt!BK$436</f>
        <v>0</v>
      </c>
      <c r="BL271" s="125">
        <f xml:space="preserve"> Debt!BL$436</f>
        <v>0</v>
      </c>
      <c r="BM271" s="125">
        <f xml:space="preserve"> Debt!BM$436</f>
        <v>0</v>
      </c>
      <c r="BN271" s="125">
        <f xml:space="preserve"> Debt!BN$436</f>
        <v>0</v>
      </c>
      <c r="BO271" s="125">
        <f xml:space="preserve"> Debt!BO$436</f>
        <v>0</v>
      </c>
      <c r="BP271" s="125">
        <f xml:space="preserve"> Debt!BP$436</f>
        <v>0</v>
      </c>
      <c r="BQ271" s="125">
        <f xml:space="preserve"> Debt!BQ$436</f>
        <v>0</v>
      </c>
      <c r="BR271" s="125">
        <f xml:space="preserve"> Debt!BR$436</f>
        <v>0</v>
      </c>
      <c r="BS271" s="125">
        <f xml:space="preserve"> Debt!BS$436</f>
        <v>0</v>
      </c>
      <c r="BT271" s="125">
        <f xml:space="preserve"> Debt!BT$436</f>
        <v>0</v>
      </c>
      <c r="BU271" s="125">
        <f xml:space="preserve"> Debt!BU$436</f>
        <v>0</v>
      </c>
      <c r="BV271" s="125">
        <f xml:space="preserve"> Debt!BV$436</f>
        <v>0</v>
      </c>
      <c r="BW271" s="125">
        <f xml:space="preserve"> Debt!BW$436</f>
        <v>0</v>
      </c>
      <c r="BX271" s="125">
        <f xml:space="preserve"> Debt!BX$436</f>
        <v>0</v>
      </c>
      <c r="BY271" s="125">
        <f xml:space="preserve"> Debt!BY$436</f>
        <v>0</v>
      </c>
      <c r="BZ271" s="125">
        <f xml:space="preserve"> Debt!BZ$436</f>
        <v>0</v>
      </c>
      <c r="CA271" s="125">
        <f xml:space="preserve"> Debt!CA$436</f>
        <v>0</v>
      </c>
      <c r="CB271" s="125">
        <f xml:space="preserve"> Debt!CB$436</f>
        <v>0</v>
      </c>
      <c r="CC271" s="125">
        <f xml:space="preserve"> Debt!CC$436</f>
        <v>0</v>
      </c>
      <c r="CD271" s="125">
        <f xml:space="preserve"> Debt!CD$436</f>
        <v>0</v>
      </c>
      <c r="CE271" s="125">
        <f xml:space="preserve"> Debt!CE$436</f>
        <v>0</v>
      </c>
      <c r="CF271" s="125">
        <f xml:space="preserve"> Debt!CF$436</f>
        <v>0</v>
      </c>
      <c r="CG271" s="125">
        <f xml:space="preserve"> Debt!CG$436</f>
        <v>0</v>
      </c>
      <c r="CH271" s="125">
        <f xml:space="preserve"> Debt!CH$436</f>
        <v>0</v>
      </c>
      <c r="CI271" s="125">
        <f xml:space="preserve"> Debt!CI$436</f>
        <v>0</v>
      </c>
      <c r="CJ271" s="125">
        <f xml:space="preserve"> Debt!CJ$436</f>
        <v>0</v>
      </c>
      <c r="CK271" s="125">
        <f xml:space="preserve"> Debt!CK$436</f>
        <v>0</v>
      </c>
      <c r="CL271" s="125">
        <f xml:space="preserve"> Debt!CL$436</f>
        <v>0</v>
      </c>
      <c r="CM271" s="125">
        <f xml:space="preserve"> Debt!CM$436</f>
        <v>0</v>
      </c>
      <c r="CN271" s="125">
        <f xml:space="preserve"> Debt!CN$436</f>
        <v>0</v>
      </c>
      <c r="CO271" s="125">
        <f xml:space="preserve"> Debt!CO$436</f>
        <v>0</v>
      </c>
      <c r="CP271" s="125">
        <f xml:space="preserve"> Debt!CP$436</f>
        <v>0</v>
      </c>
      <c r="CQ271" s="125">
        <f xml:space="preserve"> Debt!CQ$436</f>
        <v>0</v>
      </c>
      <c r="CR271" s="125">
        <f xml:space="preserve"> Debt!CR$436</f>
        <v>0</v>
      </c>
      <c r="CS271" s="125">
        <f xml:space="preserve"> Debt!CS$436</f>
        <v>0</v>
      </c>
      <c r="CT271" s="125">
        <f xml:space="preserve"> Debt!CT$436</f>
        <v>0</v>
      </c>
      <c r="CU271" s="125">
        <f xml:space="preserve"> Debt!CU$436</f>
        <v>0</v>
      </c>
      <c r="CV271" s="125">
        <f xml:space="preserve"> Debt!CV$436</f>
        <v>0</v>
      </c>
    </row>
    <row r="272" spans="1:100" outlineLevel="1" x14ac:dyDescent="0.2">
      <c r="A272" s="75"/>
      <c r="B272" s="639"/>
      <c r="C272" s="640"/>
      <c r="D272" s="641"/>
      <c r="E272" s="125" t="str">
        <f xml:space="preserve"> Time!E$218</f>
        <v>LLCR flag</v>
      </c>
      <c r="F272" s="125">
        <f xml:space="preserve"> Time!F$218</f>
        <v>0</v>
      </c>
      <c r="G272" s="125" t="str">
        <f xml:space="preserve"> Time!G$218</f>
        <v>flag</v>
      </c>
      <c r="H272" s="125">
        <f xml:space="preserve"> Time!H$218</f>
        <v>34</v>
      </c>
      <c r="I272" s="125">
        <f xml:space="preserve"> Time!I$218</f>
        <v>0</v>
      </c>
      <c r="J272" s="125">
        <f xml:space="preserve"> Time!J$218</f>
        <v>0</v>
      </c>
      <c r="K272" s="125">
        <f xml:space="preserve"> Time!K$218</f>
        <v>0</v>
      </c>
      <c r="L272" s="125">
        <f xml:space="preserve"> Time!L$218</f>
        <v>0</v>
      </c>
      <c r="M272" s="125">
        <f xml:space="preserve"> Time!M$218</f>
        <v>0</v>
      </c>
      <c r="N272" s="125">
        <f xml:space="preserve"> Time!N$218</f>
        <v>1</v>
      </c>
      <c r="O272" s="125">
        <f xml:space="preserve"> Time!O$218</f>
        <v>1</v>
      </c>
      <c r="P272" s="125">
        <f xml:space="preserve"> Time!P$218</f>
        <v>1</v>
      </c>
      <c r="Q272" s="125">
        <f xml:space="preserve"> Time!Q$218</f>
        <v>1</v>
      </c>
      <c r="R272" s="125">
        <f xml:space="preserve"> Time!R$218</f>
        <v>1</v>
      </c>
      <c r="S272" s="125">
        <f xml:space="preserve"> Time!S$218</f>
        <v>1</v>
      </c>
      <c r="T272" s="125">
        <f xml:space="preserve"> Time!T$218</f>
        <v>1</v>
      </c>
      <c r="U272" s="125">
        <f xml:space="preserve"> Time!U$218</f>
        <v>1</v>
      </c>
      <c r="V272" s="125">
        <f xml:space="preserve"> Time!V$218</f>
        <v>1</v>
      </c>
      <c r="W272" s="125">
        <f xml:space="preserve"> Time!W$218</f>
        <v>1</v>
      </c>
      <c r="X272" s="125">
        <f xml:space="preserve"> Time!X$218</f>
        <v>1</v>
      </c>
      <c r="Y272" s="125">
        <f xml:space="preserve"> Time!Y$218</f>
        <v>1</v>
      </c>
      <c r="Z272" s="125">
        <f xml:space="preserve"> Time!Z$218</f>
        <v>1</v>
      </c>
      <c r="AA272" s="125">
        <f xml:space="preserve"> Time!AA$218</f>
        <v>1</v>
      </c>
      <c r="AB272" s="125">
        <f xml:space="preserve"> Time!AB$218</f>
        <v>1</v>
      </c>
      <c r="AC272" s="125">
        <f xml:space="preserve"> Time!AC$218</f>
        <v>1</v>
      </c>
      <c r="AD272" s="125">
        <f xml:space="preserve"> Time!AD$218</f>
        <v>1</v>
      </c>
      <c r="AE272" s="125">
        <f xml:space="preserve"> Time!AE$218</f>
        <v>1</v>
      </c>
      <c r="AF272" s="125">
        <f xml:space="preserve"> Time!AF$218</f>
        <v>1</v>
      </c>
      <c r="AG272" s="125">
        <f xml:space="preserve"> Time!AG$218</f>
        <v>1</v>
      </c>
      <c r="AH272" s="125">
        <f xml:space="preserve"> Time!AH$218</f>
        <v>1</v>
      </c>
      <c r="AI272" s="125">
        <f xml:space="preserve"> Time!AI$218</f>
        <v>1</v>
      </c>
      <c r="AJ272" s="125">
        <f xml:space="preserve"> Time!AJ$218</f>
        <v>1</v>
      </c>
      <c r="AK272" s="125">
        <f xml:space="preserve"> Time!AK$218</f>
        <v>1</v>
      </c>
      <c r="AL272" s="125">
        <f xml:space="preserve"> Time!AL$218</f>
        <v>1</v>
      </c>
      <c r="AM272" s="125">
        <f xml:space="preserve"> Time!AM$218</f>
        <v>1</v>
      </c>
      <c r="AN272" s="125">
        <f xml:space="preserve"> Time!AN$218</f>
        <v>1</v>
      </c>
      <c r="AO272" s="125">
        <f xml:space="preserve"> Time!AO$218</f>
        <v>1</v>
      </c>
      <c r="AP272" s="125">
        <f xml:space="preserve"> Time!AP$218</f>
        <v>1</v>
      </c>
      <c r="AQ272" s="125">
        <f xml:space="preserve"> Time!AQ$218</f>
        <v>1</v>
      </c>
      <c r="AR272" s="125">
        <f xml:space="preserve"> Time!AR$218</f>
        <v>1</v>
      </c>
      <c r="AS272" s="125">
        <f xml:space="preserve"> Time!AS$218</f>
        <v>1</v>
      </c>
      <c r="AT272" s="125">
        <f xml:space="preserve"> Time!AT$218</f>
        <v>1</v>
      </c>
      <c r="AU272" s="125">
        <f xml:space="preserve"> Time!AU$218</f>
        <v>1</v>
      </c>
      <c r="AV272" s="125">
        <f xml:space="preserve"> Time!AV$218</f>
        <v>0</v>
      </c>
      <c r="AW272" s="125">
        <f xml:space="preserve"> Time!AW$218</f>
        <v>0</v>
      </c>
      <c r="AX272" s="125">
        <f xml:space="preserve"> Time!AX$218</f>
        <v>0</v>
      </c>
      <c r="AY272" s="125">
        <f xml:space="preserve"> Time!AY$218</f>
        <v>0</v>
      </c>
      <c r="AZ272" s="125">
        <f xml:space="preserve"> Time!AZ$218</f>
        <v>0</v>
      </c>
      <c r="BA272" s="125">
        <f xml:space="preserve"> Time!BA$218</f>
        <v>0</v>
      </c>
      <c r="BB272" s="125">
        <f xml:space="preserve"> Time!BB$218</f>
        <v>0</v>
      </c>
      <c r="BC272" s="125">
        <f xml:space="preserve"> Time!BC$218</f>
        <v>0</v>
      </c>
      <c r="BD272" s="125">
        <f xml:space="preserve"> Time!BD$218</f>
        <v>0</v>
      </c>
      <c r="BE272" s="125">
        <f xml:space="preserve"> Time!BE$218</f>
        <v>0</v>
      </c>
      <c r="BF272" s="125">
        <f xml:space="preserve"> Time!BF$218</f>
        <v>0</v>
      </c>
      <c r="BG272" s="125">
        <f xml:space="preserve"> Time!BG$218</f>
        <v>0</v>
      </c>
      <c r="BH272" s="125">
        <f xml:space="preserve"> Time!BH$218</f>
        <v>0</v>
      </c>
      <c r="BI272" s="125">
        <f xml:space="preserve"> Time!BI$218</f>
        <v>0</v>
      </c>
      <c r="BJ272" s="125">
        <f xml:space="preserve"> Time!BJ$218</f>
        <v>0</v>
      </c>
      <c r="BK272" s="125">
        <f xml:space="preserve"> Time!BK$218</f>
        <v>0</v>
      </c>
      <c r="BL272" s="125">
        <f xml:space="preserve"> Time!BL$218</f>
        <v>0</v>
      </c>
      <c r="BM272" s="125">
        <f xml:space="preserve"> Time!BM$218</f>
        <v>0</v>
      </c>
      <c r="BN272" s="125">
        <f xml:space="preserve"> Time!BN$218</f>
        <v>0</v>
      </c>
      <c r="BO272" s="125">
        <f xml:space="preserve"> Time!BO$218</f>
        <v>0</v>
      </c>
      <c r="BP272" s="125">
        <f xml:space="preserve"> Time!BP$218</f>
        <v>0</v>
      </c>
      <c r="BQ272" s="125">
        <f xml:space="preserve"> Time!BQ$218</f>
        <v>0</v>
      </c>
      <c r="BR272" s="125">
        <f xml:space="preserve"> Time!BR$218</f>
        <v>0</v>
      </c>
      <c r="BS272" s="125">
        <f xml:space="preserve"> Time!BS$218</f>
        <v>0</v>
      </c>
      <c r="BT272" s="125">
        <f xml:space="preserve"> Time!BT$218</f>
        <v>0</v>
      </c>
      <c r="BU272" s="125">
        <f xml:space="preserve"> Time!BU$218</f>
        <v>0</v>
      </c>
      <c r="BV272" s="125">
        <f xml:space="preserve"> Time!BV$218</f>
        <v>0</v>
      </c>
      <c r="BW272" s="125">
        <f xml:space="preserve"> Time!BW$218</f>
        <v>0</v>
      </c>
      <c r="BX272" s="125">
        <f xml:space="preserve"> Time!BX$218</f>
        <v>0</v>
      </c>
      <c r="BY272" s="125">
        <f xml:space="preserve"> Time!BY$218</f>
        <v>0</v>
      </c>
      <c r="BZ272" s="125">
        <f xml:space="preserve"> Time!BZ$218</f>
        <v>0</v>
      </c>
      <c r="CA272" s="125">
        <f xml:space="preserve"> Time!CA$218</f>
        <v>0</v>
      </c>
      <c r="CB272" s="125">
        <f xml:space="preserve"> Time!CB$218</f>
        <v>0</v>
      </c>
      <c r="CC272" s="125">
        <f xml:space="preserve"> Time!CC$218</f>
        <v>0</v>
      </c>
      <c r="CD272" s="125">
        <f xml:space="preserve"> Time!CD$218</f>
        <v>0</v>
      </c>
      <c r="CE272" s="125">
        <f xml:space="preserve"> Time!CE$218</f>
        <v>0</v>
      </c>
      <c r="CF272" s="125">
        <f xml:space="preserve"> Time!CF$218</f>
        <v>0</v>
      </c>
      <c r="CG272" s="125">
        <f xml:space="preserve"> Time!CG$218</f>
        <v>0</v>
      </c>
      <c r="CH272" s="125">
        <f xml:space="preserve"> Time!CH$218</f>
        <v>0</v>
      </c>
      <c r="CI272" s="125">
        <f xml:space="preserve"> Time!CI$218</f>
        <v>0</v>
      </c>
      <c r="CJ272" s="125">
        <f xml:space="preserve"> Time!CJ$218</f>
        <v>0</v>
      </c>
      <c r="CK272" s="125">
        <f xml:space="preserve"> Time!CK$218</f>
        <v>0</v>
      </c>
      <c r="CL272" s="125">
        <f xml:space="preserve"> Time!CL$218</f>
        <v>0</v>
      </c>
      <c r="CM272" s="125">
        <f xml:space="preserve"> Time!CM$218</f>
        <v>0</v>
      </c>
      <c r="CN272" s="125">
        <f xml:space="preserve"> Time!CN$218</f>
        <v>0</v>
      </c>
      <c r="CO272" s="125">
        <f xml:space="preserve"> Time!CO$218</f>
        <v>0</v>
      </c>
      <c r="CP272" s="125">
        <f xml:space="preserve"> Time!CP$218</f>
        <v>0</v>
      </c>
      <c r="CQ272" s="125">
        <f xml:space="preserve"> Time!CQ$218</f>
        <v>0</v>
      </c>
      <c r="CR272" s="125">
        <f xml:space="preserve"> Time!CR$218</f>
        <v>0</v>
      </c>
      <c r="CS272" s="125">
        <f xml:space="preserve"> Time!CS$218</f>
        <v>0</v>
      </c>
      <c r="CT272" s="125">
        <f xml:space="preserve"> Time!CT$218</f>
        <v>0</v>
      </c>
      <c r="CU272" s="125">
        <f xml:space="preserve"> Time!CU$218</f>
        <v>0</v>
      </c>
      <c r="CV272" s="125">
        <f xml:space="preserve"> Time!CV$218</f>
        <v>0</v>
      </c>
    </row>
    <row r="273" spans="1:100" s="280" customFormat="1" outlineLevel="1" x14ac:dyDescent="0.2">
      <c r="A273" s="652"/>
      <c r="B273" s="599"/>
      <c r="C273" s="600"/>
      <c r="D273" s="82"/>
      <c r="E273" s="82" t="s">
        <v>1269</v>
      </c>
      <c r="F273" s="82"/>
      <c r="G273" s="82" t="s">
        <v>164</v>
      </c>
      <c r="H273" s="82"/>
      <c r="I273" s="82"/>
      <c r="J273" s="82" t="str">
        <f t="shared" ref="J273:AO273" ca="1" si="329" xml:space="preserve"> IF(AND(J272 = 1, SUM(J268:J271) &gt; CHK_TOL), J267 / SUM(J268:J271), "na")</f>
        <v>na</v>
      </c>
      <c r="K273" s="82" t="str">
        <f t="shared" ca="1" si="329"/>
        <v>na</v>
      </c>
      <c r="L273" s="82" t="str">
        <f t="shared" ca="1" si="329"/>
        <v>na</v>
      </c>
      <c r="M273" s="82" t="str">
        <f t="shared" ca="1" si="329"/>
        <v>na</v>
      </c>
      <c r="N273" s="82">
        <f t="shared" ca="1" si="329"/>
        <v>1.05639926558155</v>
      </c>
      <c r="O273" s="82">
        <f t="shared" ca="1" si="329"/>
        <v>1.0538594653885809</v>
      </c>
      <c r="P273" s="82">
        <f t="shared" ca="1" si="329"/>
        <v>1.0529903811185506</v>
      </c>
      <c r="Q273" s="82">
        <f t="shared" ca="1" si="329"/>
        <v>1.0523383117379599</v>
      </c>
      <c r="R273" s="82">
        <f t="shared" ca="1" si="329"/>
        <v>1.0514540124735912</v>
      </c>
      <c r="S273" s="82">
        <f t="shared" ca="1" si="329"/>
        <v>1.0507970107217188</v>
      </c>
      <c r="T273" s="82">
        <f t="shared" ca="1" si="329"/>
        <v>1.0498964065893974</v>
      </c>
      <c r="U273" s="82">
        <f t="shared" ca="1" si="329"/>
        <v>1.0492349066479969</v>
      </c>
      <c r="V273" s="82">
        <f t="shared" ca="1" si="329"/>
        <v>1.0483951020998914</v>
      </c>
      <c r="W273" s="82">
        <f t="shared" ca="1" si="329"/>
        <v>1.0477351380186535</v>
      </c>
      <c r="X273" s="82">
        <f t="shared" ca="1" si="329"/>
        <v>1.046802339388089</v>
      </c>
      <c r="Y273" s="82">
        <f t="shared" ca="1" si="329"/>
        <v>1.046139495068513</v>
      </c>
      <c r="Z273" s="82">
        <f t="shared" ca="1" si="329"/>
        <v>1.0451879239118784</v>
      </c>
      <c r="AA273" s="82">
        <f t="shared" ca="1" si="329"/>
        <v>1.0445250307144744</v>
      </c>
      <c r="AB273" s="82">
        <f t="shared" ca="1" si="329"/>
        <v>1.043552419928973</v>
      </c>
      <c r="AC273" s="82">
        <f t="shared" ca="1" si="329"/>
        <v>1.0428910169086374</v>
      </c>
      <c r="AD273" s="82">
        <f t="shared" ca="1" si="329"/>
        <v>1.0419968546744085</v>
      </c>
      <c r="AE273" s="82">
        <f t="shared" ca="1" si="329"/>
        <v>1.0413478062113319</v>
      </c>
      <c r="AF273" s="82">
        <f t="shared" ca="1" si="329"/>
        <v>1.0403313991798246</v>
      </c>
      <c r="AG273" s="82">
        <f t="shared" ca="1" si="329"/>
        <v>1.0396895268961481</v>
      </c>
      <c r="AH273" s="82">
        <f t="shared" ca="1" si="329"/>
        <v>1.0386407187655076</v>
      </c>
      <c r="AI273" s="82">
        <f t="shared" ca="1" si="329"/>
        <v>1.0380122246385617</v>
      </c>
      <c r="AJ273" s="82">
        <f t="shared" ca="1" si="329"/>
        <v>1.0369252834089724</v>
      </c>
      <c r="AK273" s="82">
        <f t="shared" ca="1" si="329"/>
        <v>1.0363178619714541</v>
      </c>
      <c r="AL273" s="82">
        <f t="shared" ca="1" si="329"/>
        <v>1.0353454073949111</v>
      </c>
      <c r="AM273" s="82">
        <f t="shared" ca="1" si="329"/>
        <v>1.0347923688326437</v>
      </c>
      <c r="AN273" s="82">
        <f t="shared" ca="1" si="329"/>
        <v>1.0336075372896503</v>
      </c>
      <c r="AO273" s="82">
        <f t="shared" ca="1" si="329"/>
        <v>1.0331167732709925</v>
      </c>
      <c r="AP273" s="82">
        <f t="shared" ref="AP273:BU273" ca="1" si="330" xml:space="preserve"> IF(AND(AP272 = 1, SUM(AP268:AP271) &gt; CHK_TOL), AP267 / SUM(AP268:AP271), "na")</f>
        <v>1.0318306902761061</v>
      </c>
      <c r="AQ273" s="82">
        <f t="shared" ca="1" si="330"/>
        <v>1.0314543964549587</v>
      </c>
      <c r="AR273" s="82">
        <f t="shared" ca="1" si="330"/>
        <v>1.0299780806976548</v>
      </c>
      <c r="AS273" s="82">
        <f t="shared" ca="1" si="330"/>
        <v>1.0298571424186331</v>
      </c>
      <c r="AT273" s="82">
        <f t="shared" ca="1" si="330"/>
        <v>1.0285944145416099</v>
      </c>
      <c r="AU273" s="82">
        <f t="shared" ca="1" si="330"/>
        <v>1.0302886417824417</v>
      </c>
      <c r="AV273" s="82" t="str">
        <f t="shared" ca="1" si="330"/>
        <v>na</v>
      </c>
      <c r="AW273" s="82" t="str">
        <f t="shared" ca="1" si="330"/>
        <v>na</v>
      </c>
      <c r="AX273" s="82" t="str">
        <f t="shared" ca="1" si="330"/>
        <v>na</v>
      </c>
      <c r="AY273" s="82" t="str">
        <f t="shared" ca="1" si="330"/>
        <v>na</v>
      </c>
      <c r="AZ273" s="82" t="str">
        <f t="shared" ca="1" si="330"/>
        <v>na</v>
      </c>
      <c r="BA273" s="82" t="str">
        <f t="shared" ca="1" si="330"/>
        <v>na</v>
      </c>
      <c r="BB273" s="82" t="str">
        <f t="shared" ca="1" si="330"/>
        <v>na</v>
      </c>
      <c r="BC273" s="82" t="str">
        <f t="shared" ca="1" si="330"/>
        <v>na</v>
      </c>
      <c r="BD273" s="82" t="str">
        <f t="shared" ca="1" si="330"/>
        <v>na</v>
      </c>
      <c r="BE273" s="82" t="str">
        <f t="shared" ca="1" si="330"/>
        <v>na</v>
      </c>
      <c r="BF273" s="82" t="str">
        <f t="shared" ca="1" si="330"/>
        <v>na</v>
      </c>
      <c r="BG273" s="82" t="str">
        <f t="shared" ca="1" si="330"/>
        <v>na</v>
      </c>
      <c r="BH273" s="82" t="str">
        <f t="shared" ca="1" si="330"/>
        <v>na</v>
      </c>
      <c r="BI273" s="82" t="str">
        <f t="shared" ca="1" si="330"/>
        <v>na</v>
      </c>
      <c r="BJ273" s="82" t="str">
        <f t="shared" ca="1" si="330"/>
        <v>na</v>
      </c>
      <c r="BK273" s="82" t="str">
        <f t="shared" ca="1" si="330"/>
        <v>na</v>
      </c>
      <c r="BL273" s="82" t="str">
        <f t="shared" ca="1" si="330"/>
        <v>na</v>
      </c>
      <c r="BM273" s="82" t="str">
        <f t="shared" ca="1" si="330"/>
        <v>na</v>
      </c>
      <c r="BN273" s="82" t="str">
        <f t="shared" ca="1" si="330"/>
        <v>na</v>
      </c>
      <c r="BO273" s="82" t="str">
        <f t="shared" ca="1" si="330"/>
        <v>na</v>
      </c>
      <c r="BP273" s="82" t="str">
        <f t="shared" ca="1" si="330"/>
        <v>na</v>
      </c>
      <c r="BQ273" s="82" t="str">
        <f t="shared" ca="1" si="330"/>
        <v>na</v>
      </c>
      <c r="BR273" s="82" t="str">
        <f t="shared" ca="1" si="330"/>
        <v>na</v>
      </c>
      <c r="BS273" s="82" t="str">
        <f t="shared" ca="1" si="330"/>
        <v>na</v>
      </c>
      <c r="BT273" s="82" t="str">
        <f t="shared" ca="1" si="330"/>
        <v>na</v>
      </c>
      <c r="BU273" s="82" t="str">
        <f t="shared" ca="1" si="330"/>
        <v>na</v>
      </c>
      <c r="BV273" s="82" t="str">
        <f t="shared" ref="BV273:CV273" ca="1" si="331" xml:space="preserve"> IF(AND(BV272 = 1, SUM(BV268:BV271) &gt; CHK_TOL), BV267 / SUM(BV268:BV271), "na")</f>
        <v>na</v>
      </c>
      <c r="BW273" s="82" t="str">
        <f t="shared" ca="1" si="331"/>
        <v>na</v>
      </c>
      <c r="BX273" s="82" t="str">
        <f t="shared" ca="1" si="331"/>
        <v>na</v>
      </c>
      <c r="BY273" s="82" t="str">
        <f t="shared" ca="1" si="331"/>
        <v>na</v>
      </c>
      <c r="BZ273" s="82" t="str">
        <f t="shared" ca="1" si="331"/>
        <v>na</v>
      </c>
      <c r="CA273" s="82" t="str">
        <f t="shared" ca="1" si="331"/>
        <v>na</v>
      </c>
      <c r="CB273" s="82" t="str">
        <f t="shared" ca="1" si="331"/>
        <v>na</v>
      </c>
      <c r="CC273" s="82" t="str">
        <f t="shared" ca="1" si="331"/>
        <v>na</v>
      </c>
      <c r="CD273" s="82" t="str">
        <f t="shared" ca="1" si="331"/>
        <v>na</v>
      </c>
      <c r="CE273" s="82" t="str">
        <f t="shared" ca="1" si="331"/>
        <v>na</v>
      </c>
      <c r="CF273" s="82" t="str">
        <f t="shared" ca="1" si="331"/>
        <v>na</v>
      </c>
      <c r="CG273" s="82" t="str">
        <f t="shared" ca="1" si="331"/>
        <v>na</v>
      </c>
      <c r="CH273" s="82" t="str">
        <f t="shared" ca="1" si="331"/>
        <v>na</v>
      </c>
      <c r="CI273" s="82" t="str">
        <f t="shared" ca="1" si="331"/>
        <v>na</v>
      </c>
      <c r="CJ273" s="82" t="str">
        <f t="shared" ca="1" si="331"/>
        <v>na</v>
      </c>
      <c r="CK273" s="82" t="str">
        <f t="shared" ca="1" si="331"/>
        <v>na</v>
      </c>
      <c r="CL273" s="82" t="str">
        <f t="shared" ca="1" si="331"/>
        <v>na</v>
      </c>
      <c r="CM273" s="82" t="str">
        <f t="shared" ca="1" si="331"/>
        <v>na</v>
      </c>
      <c r="CN273" s="82" t="str">
        <f t="shared" ca="1" si="331"/>
        <v>na</v>
      </c>
      <c r="CO273" s="82" t="str">
        <f t="shared" ca="1" si="331"/>
        <v>na</v>
      </c>
      <c r="CP273" s="82" t="str">
        <f t="shared" ca="1" si="331"/>
        <v>na</v>
      </c>
      <c r="CQ273" s="82" t="str">
        <f t="shared" ca="1" si="331"/>
        <v>na</v>
      </c>
      <c r="CR273" s="82" t="str">
        <f t="shared" ca="1" si="331"/>
        <v>na</v>
      </c>
      <c r="CS273" s="82" t="str">
        <f t="shared" ca="1" si="331"/>
        <v>na</v>
      </c>
      <c r="CT273" s="82" t="str">
        <f t="shared" ca="1" si="331"/>
        <v>na</v>
      </c>
      <c r="CU273" s="82" t="str">
        <f t="shared" ca="1" si="331"/>
        <v>na</v>
      </c>
      <c r="CV273" s="82" t="str">
        <f t="shared" si="331"/>
        <v>na</v>
      </c>
    </row>
    <row r="274" spans="1:100" outlineLevel="1" x14ac:dyDescent="0.2">
      <c r="A274" s="653"/>
      <c r="B274" s="597"/>
      <c r="C274" s="598"/>
      <c r="D274" s="282"/>
      <c r="E274" s="282"/>
      <c r="F274" s="282"/>
      <c r="G274" s="282"/>
      <c r="H274" s="282"/>
      <c r="I274" s="282"/>
      <c r="J274" s="282"/>
      <c r="K274" s="282"/>
      <c r="L274" s="282"/>
      <c r="M274" s="282"/>
      <c r="N274" s="282"/>
      <c r="O274" s="282"/>
      <c r="P274" s="282"/>
      <c r="Q274" s="282"/>
      <c r="R274" s="282"/>
      <c r="S274" s="282"/>
      <c r="T274" s="282"/>
      <c r="U274" s="282"/>
      <c r="V274" s="282"/>
      <c r="W274" s="282"/>
      <c r="X274" s="282"/>
      <c r="Y274" s="282"/>
      <c r="Z274" s="282"/>
      <c r="AA274" s="282"/>
      <c r="AB274" s="282"/>
      <c r="AC274" s="282"/>
      <c r="AD274" s="282"/>
      <c r="AE274" s="282"/>
      <c r="AF274" s="282"/>
      <c r="AG274" s="282"/>
      <c r="AH274" s="282"/>
      <c r="AI274" s="282"/>
      <c r="AJ274" s="282"/>
      <c r="AK274" s="282"/>
      <c r="AL274" s="282"/>
      <c r="AM274" s="282"/>
      <c r="AN274" s="282"/>
      <c r="AO274" s="282"/>
      <c r="AP274" s="282"/>
      <c r="AQ274" s="282"/>
      <c r="AR274" s="282"/>
      <c r="AS274" s="282"/>
      <c r="AT274" s="282"/>
      <c r="AU274" s="282"/>
      <c r="AV274" s="282"/>
      <c r="AW274" s="282"/>
      <c r="AX274" s="282"/>
      <c r="AY274" s="282"/>
      <c r="AZ274" s="282"/>
      <c r="BA274" s="282"/>
      <c r="BB274" s="282"/>
      <c r="BC274" s="282"/>
      <c r="BD274" s="282"/>
      <c r="BE274" s="282"/>
      <c r="BF274" s="282"/>
      <c r="BG274" s="282"/>
      <c r="BH274" s="282"/>
      <c r="BI274" s="282"/>
      <c r="BJ274" s="282"/>
      <c r="BK274" s="282"/>
      <c r="BL274" s="282"/>
      <c r="BM274" s="282"/>
      <c r="BN274" s="282"/>
      <c r="BO274" s="282"/>
      <c r="BP274" s="282"/>
      <c r="BQ274" s="282"/>
      <c r="BR274" s="282"/>
      <c r="BS274" s="282"/>
      <c r="BT274" s="282"/>
      <c r="BU274" s="282"/>
      <c r="BV274" s="282"/>
      <c r="BW274" s="282"/>
      <c r="BX274" s="282"/>
      <c r="BY274" s="282"/>
      <c r="BZ274" s="282"/>
      <c r="CA274" s="282"/>
      <c r="CB274" s="282"/>
      <c r="CC274" s="282"/>
      <c r="CD274" s="282"/>
      <c r="CE274" s="282"/>
      <c r="CF274" s="282"/>
      <c r="CG274" s="282"/>
      <c r="CH274" s="282"/>
      <c r="CI274" s="282"/>
      <c r="CJ274" s="282"/>
      <c r="CK274" s="282"/>
      <c r="CL274" s="282"/>
      <c r="CM274" s="282"/>
      <c r="CN274" s="282"/>
      <c r="CO274" s="282"/>
      <c r="CP274" s="282"/>
      <c r="CQ274" s="282"/>
      <c r="CR274" s="282"/>
      <c r="CS274" s="282"/>
      <c r="CT274" s="282"/>
      <c r="CU274" s="282"/>
      <c r="CV274" s="282"/>
    </row>
    <row r="275" spans="1:100" outlineLevel="1" x14ac:dyDescent="0.2">
      <c r="A275" s="33"/>
      <c r="B275" s="79"/>
      <c r="C275" s="561"/>
      <c r="D275" s="60"/>
      <c r="E275" s="602" t="str">
        <f t="shared" ref="E275:AJ275" si="332" xml:space="preserve"> E$273</f>
        <v>Loan life coverage ratio - P99</v>
      </c>
      <c r="F275" s="602">
        <f t="shared" si="332"/>
        <v>0</v>
      </c>
      <c r="G275" s="602" t="str">
        <f t="shared" si="332"/>
        <v>ratio</v>
      </c>
      <c r="H275" s="602">
        <f t="shared" si="332"/>
        <v>0</v>
      </c>
      <c r="I275" s="602">
        <f t="shared" si="332"/>
        <v>0</v>
      </c>
      <c r="J275" s="602" t="str">
        <f t="shared" ca="1" si="332"/>
        <v>na</v>
      </c>
      <c r="K275" s="602" t="str">
        <f t="shared" ca="1" si="332"/>
        <v>na</v>
      </c>
      <c r="L275" s="602" t="str">
        <f t="shared" ca="1" si="332"/>
        <v>na</v>
      </c>
      <c r="M275" s="602" t="str">
        <f t="shared" ca="1" si="332"/>
        <v>na</v>
      </c>
      <c r="N275" s="602">
        <f t="shared" ca="1" si="332"/>
        <v>1.05639926558155</v>
      </c>
      <c r="O275" s="602">
        <f t="shared" ca="1" si="332"/>
        <v>1.0538594653885809</v>
      </c>
      <c r="P275" s="602">
        <f t="shared" ca="1" si="332"/>
        <v>1.0529903811185506</v>
      </c>
      <c r="Q275" s="602">
        <f t="shared" ca="1" si="332"/>
        <v>1.0523383117379599</v>
      </c>
      <c r="R275" s="602">
        <f t="shared" ca="1" si="332"/>
        <v>1.0514540124735912</v>
      </c>
      <c r="S275" s="602">
        <f t="shared" ca="1" si="332"/>
        <v>1.0507970107217188</v>
      </c>
      <c r="T275" s="602">
        <f t="shared" ca="1" si="332"/>
        <v>1.0498964065893974</v>
      </c>
      <c r="U275" s="602">
        <f t="shared" ca="1" si="332"/>
        <v>1.0492349066479969</v>
      </c>
      <c r="V275" s="602">
        <f t="shared" ca="1" si="332"/>
        <v>1.0483951020998914</v>
      </c>
      <c r="W275" s="602">
        <f t="shared" ca="1" si="332"/>
        <v>1.0477351380186535</v>
      </c>
      <c r="X275" s="602">
        <f t="shared" ca="1" si="332"/>
        <v>1.046802339388089</v>
      </c>
      <c r="Y275" s="602">
        <f t="shared" ca="1" si="332"/>
        <v>1.046139495068513</v>
      </c>
      <c r="Z275" s="602">
        <f t="shared" ca="1" si="332"/>
        <v>1.0451879239118784</v>
      </c>
      <c r="AA275" s="602">
        <f t="shared" ca="1" si="332"/>
        <v>1.0445250307144744</v>
      </c>
      <c r="AB275" s="602">
        <f t="shared" ca="1" si="332"/>
        <v>1.043552419928973</v>
      </c>
      <c r="AC275" s="602">
        <f t="shared" ca="1" si="332"/>
        <v>1.0428910169086374</v>
      </c>
      <c r="AD275" s="602">
        <f t="shared" ca="1" si="332"/>
        <v>1.0419968546744085</v>
      </c>
      <c r="AE275" s="602">
        <f t="shared" ca="1" si="332"/>
        <v>1.0413478062113319</v>
      </c>
      <c r="AF275" s="602">
        <f t="shared" ca="1" si="332"/>
        <v>1.0403313991798246</v>
      </c>
      <c r="AG275" s="602">
        <f t="shared" ca="1" si="332"/>
        <v>1.0396895268961481</v>
      </c>
      <c r="AH275" s="602">
        <f t="shared" ca="1" si="332"/>
        <v>1.0386407187655076</v>
      </c>
      <c r="AI275" s="602">
        <f t="shared" ca="1" si="332"/>
        <v>1.0380122246385617</v>
      </c>
      <c r="AJ275" s="602">
        <f t="shared" ca="1" si="332"/>
        <v>1.0369252834089724</v>
      </c>
      <c r="AK275" s="602">
        <f t="shared" ref="AK275:BP275" ca="1" si="333" xml:space="preserve"> AK$273</f>
        <v>1.0363178619714541</v>
      </c>
      <c r="AL275" s="602">
        <f t="shared" ca="1" si="333"/>
        <v>1.0353454073949111</v>
      </c>
      <c r="AM275" s="602">
        <f t="shared" ca="1" si="333"/>
        <v>1.0347923688326437</v>
      </c>
      <c r="AN275" s="602">
        <f t="shared" ca="1" si="333"/>
        <v>1.0336075372896503</v>
      </c>
      <c r="AO275" s="602">
        <f t="shared" ca="1" si="333"/>
        <v>1.0331167732709925</v>
      </c>
      <c r="AP275" s="602">
        <f t="shared" ca="1" si="333"/>
        <v>1.0318306902761061</v>
      </c>
      <c r="AQ275" s="602">
        <f t="shared" ca="1" si="333"/>
        <v>1.0314543964549587</v>
      </c>
      <c r="AR275" s="602">
        <f t="shared" ca="1" si="333"/>
        <v>1.0299780806976548</v>
      </c>
      <c r="AS275" s="602">
        <f t="shared" ca="1" si="333"/>
        <v>1.0298571424186331</v>
      </c>
      <c r="AT275" s="602">
        <f t="shared" ca="1" si="333"/>
        <v>1.0285944145416099</v>
      </c>
      <c r="AU275" s="602">
        <f t="shared" ca="1" si="333"/>
        <v>1.0302886417824417</v>
      </c>
      <c r="AV275" s="602" t="str">
        <f t="shared" ca="1" si="333"/>
        <v>na</v>
      </c>
      <c r="AW275" s="602" t="str">
        <f t="shared" ca="1" si="333"/>
        <v>na</v>
      </c>
      <c r="AX275" s="602" t="str">
        <f t="shared" ca="1" si="333"/>
        <v>na</v>
      </c>
      <c r="AY275" s="602" t="str">
        <f t="shared" ca="1" si="333"/>
        <v>na</v>
      </c>
      <c r="AZ275" s="602" t="str">
        <f t="shared" ca="1" si="333"/>
        <v>na</v>
      </c>
      <c r="BA275" s="602" t="str">
        <f t="shared" ca="1" si="333"/>
        <v>na</v>
      </c>
      <c r="BB275" s="602" t="str">
        <f t="shared" ca="1" si="333"/>
        <v>na</v>
      </c>
      <c r="BC275" s="602" t="str">
        <f t="shared" ca="1" si="333"/>
        <v>na</v>
      </c>
      <c r="BD275" s="602" t="str">
        <f t="shared" ca="1" si="333"/>
        <v>na</v>
      </c>
      <c r="BE275" s="602" t="str">
        <f t="shared" ca="1" si="333"/>
        <v>na</v>
      </c>
      <c r="BF275" s="602" t="str">
        <f t="shared" ca="1" si="333"/>
        <v>na</v>
      </c>
      <c r="BG275" s="602" t="str">
        <f t="shared" ca="1" si="333"/>
        <v>na</v>
      </c>
      <c r="BH275" s="602" t="str">
        <f t="shared" ca="1" si="333"/>
        <v>na</v>
      </c>
      <c r="BI275" s="602" t="str">
        <f t="shared" ca="1" si="333"/>
        <v>na</v>
      </c>
      <c r="BJ275" s="602" t="str">
        <f t="shared" ca="1" si="333"/>
        <v>na</v>
      </c>
      <c r="BK275" s="602" t="str">
        <f t="shared" ca="1" si="333"/>
        <v>na</v>
      </c>
      <c r="BL275" s="602" t="str">
        <f t="shared" ca="1" si="333"/>
        <v>na</v>
      </c>
      <c r="BM275" s="602" t="str">
        <f t="shared" ca="1" si="333"/>
        <v>na</v>
      </c>
      <c r="BN275" s="602" t="str">
        <f t="shared" ca="1" si="333"/>
        <v>na</v>
      </c>
      <c r="BO275" s="602" t="str">
        <f t="shared" ca="1" si="333"/>
        <v>na</v>
      </c>
      <c r="BP275" s="602" t="str">
        <f t="shared" ca="1" si="333"/>
        <v>na</v>
      </c>
      <c r="BQ275" s="602" t="str">
        <f t="shared" ref="BQ275:CV275" ca="1" si="334" xml:space="preserve"> BQ$273</f>
        <v>na</v>
      </c>
      <c r="BR275" s="602" t="str">
        <f t="shared" ca="1" si="334"/>
        <v>na</v>
      </c>
      <c r="BS275" s="602" t="str">
        <f t="shared" ca="1" si="334"/>
        <v>na</v>
      </c>
      <c r="BT275" s="602" t="str">
        <f t="shared" ca="1" si="334"/>
        <v>na</v>
      </c>
      <c r="BU275" s="602" t="str">
        <f t="shared" ca="1" si="334"/>
        <v>na</v>
      </c>
      <c r="BV275" s="602" t="str">
        <f t="shared" ca="1" si="334"/>
        <v>na</v>
      </c>
      <c r="BW275" s="602" t="str">
        <f t="shared" ca="1" si="334"/>
        <v>na</v>
      </c>
      <c r="BX275" s="602" t="str">
        <f t="shared" ca="1" si="334"/>
        <v>na</v>
      </c>
      <c r="BY275" s="602" t="str">
        <f t="shared" ca="1" si="334"/>
        <v>na</v>
      </c>
      <c r="BZ275" s="602" t="str">
        <f t="shared" ca="1" si="334"/>
        <v>na</v>
      </c>
      <c r="CA275" s="602" t="str">
        <f t="shared" ca="1" si="334"/>
        <v>na</v>
      </c>
      <c r="CB275" s="602" t="str">
        <f t="shared" ca="1" si="334"/>
        <v>na</v>
      </c>
      <c r="CC275" s="602" t="str">
        <f t="shared" ca="1" si="334"/>
        <v>na</v>
      </c>
      <c r="CD275" s="602" t="str">
        <f t="shared" ca="1" si="334"/>
        <v>na</v>
      </c>
      <c r="CE275" s="602" t="str">
        <f t="shared" ca="1" si="334"/>
        <v>na</v>
      </c>
      <c r="CF275" s="602" t="str">
        <f t="shared" ca="1" si="334"/>
        <v>na</v>
      </c>
      <c r="CG275" s="602" t="str">
        <f t="shared" ca="1" si="334"/>
        <v>na</v>
      </c>
      <c r="CH275" s="602" t="str">
        <f t="shared" ca="1" si="334"/>
        <v>na</v>
      </c>
      <c r="CI275" s="602" t="str">
        <f t="shared" ca="1" si="334"/>
        <v>na</v>
      </c>
      <c r="CJ275" s="602" t="str">
        <f t="shared" ca="1" si="334"/>
        <v>na</v>
      </c>
      <c r="CK275" s="602" t="str">
        <f t="shared" ca="1" si="334"/>
        <v>na</v>
      </c>
      <c r="CL275" s="602" t="str">
        <f t="shared" ca="1" si="334"/>
        <v>na</v>
      </c>
      <c r="CM275" s="602" t="str">
        <f t="shared" ca="1" si="334"/>
        <v>na</v>
      </c>
      <c r="CN275" s="602" t="str">
        <f t="shared" ca="1" si="334"/>
        <v>na</v>
      </c>
      <c r="CO275" s="602" t="str">
        <f t="shared" ca="1" si="334"/>
        <v>na</v>
      </c>
      <c r="CP275" s="602" t="str">
        <f t="shared" ca="1" si="334"/>
        <v>na</v>
      </c>
      <c r="CQ275" s="602" t="str">
        <f t="shared" ca="1" si="334"/>
        <v>na</v>
      </c>
      <c r="CR275" s="602" t="str">
        <f t="shared" ca="1" si="334"/>
        <v>na</v>
      </c>
      <c r="CS275" s="602" t="str">
        <f t="shared" ca="1" si="334"/>
        <v>na</v>
      </c>
      <c r="CT275" s="602" t="str">
        <f t="shared" ca="1" si="334"/>
        <v>na</v>
      </c>
      <c r="CU275" s="602" t="str">
        <f t="shared" ca="1" si="334"/>
        <v>na</v>
      </c>
      <c r="CV275" s="602" t="str">
        <f t="shared" si="334"/>
        <v>na</v>
      </c>
    </row>
    <row r="276" spans="1:100" s="188" customFormat="1" outlineLevel="1" x14ac:dyDescent="0.2">
      <c r="A276" s="141"/>
      <c r="B276" s="141"/>
      <c r="C276" s="142"/>
      <c r="D276" s="143"/>
      <c r="E276" s="187" t="s">
        <v>1270</v>
      </c>
      <c r="F276" s="411">
        <f ca="1" xml:space="preserve"> MIN(J275:CV275)</f>
        <v>1.0285944145416099</v>
      </c>
      <c r="G276" s="187" t="s">
        <v>164</v>
      </c>
      <c r="H276" s="187"/>
      <c r="I276" s="144"/>
      <c r="J276" s="411"/>
      <c r="K276" s="411"/>
      <c r="L276" s="411"/>
      <c r="M276" s="411"/>
      <c r="N276" s="411"/>
      <c r="O276" s="411"/>
      <c r="P276" s="411"/>
      <c r="Q276" s="411"/>
      <c r="R276" s="411"/>
      <c r="S276" s="411"/>
      <c r="T276" s="411"/>
      <c r="U276" s="411"/>
      <c r="V276" s="411"/>
      <c r="W276" s="411"/>
      <c r="X276" s="411"/>
      <c r="Y276" s="411"/>
      <c r="Z276" s="411"/>
      <c r="AA276" s="411"/>
      <c r="AB276" s="411"/>
      <c r="AC276" s="411"/>
      <c r="AD276" s="411"/>
      <c r="AE276" s="411"/>
      <c r="AF276" s="411"/>
      <c r="AG276" s="411"/>
      <c r="AH276" s="411"/>
      <c r="AI276" s="411"/>
      <c r="AJ276" s="411"/>
      <c r="AK276" s="411"/>
      <c r="AL276" s="411"/>
      <c r="AM276" s="411"/>
      <c r="AN276" s="411"/>
      <c r="AO276" s="411"/>
      <c r="AP276" s="411"/>
      <c r="AQ276" s="411"/>
      <c r="AR276" s="411"/>
      <c r="AS276" s="411"/>
      <c r="AT276" s="411"/>
      <c r="AU276" s="411"/>
      <c r="AV276" s="411"/>
      <c r="AW276" s="411"/>
      <c r="AX276" s="411"/>
      <c r="AY276" s="411"/>
      <c r="AZ276" s="411"/>
      <c r="BA276" s="411"/>
      <c r="BB276" s="411"/>
      <c r="BC276" s="411"/>
      <c r="BD276" s="411"/>
      <c r="BE276" s="411"/>
      <c r="BF276" s="411"/>
      <c r="BG276" s="411"/>
      <c r="BH276" s="411"/>
      <c r="BI276" s="411"/>
      <c r="BJ276" s="411"/>
      <c r="BK276" s="411"/>
      <c r="BL276" s="411"/>
      <c r="BM276" s="411"/>
      <c r="BN276" s="411"/>
      <c r="BO276" s="411"/>
      <c r="BP276" s="411"/>
      <c r="BQ276" s="411"/>
      <c r="BR276" s="411"/>
      <c r="BS276" s="411"/>
      <c r="BT276" s="411"/>
      <c r="BU276" s="411"/>
      <c r="BV276" s="411"/>
      <c r="BW276" s="411"/>
      <c r="BX276" s="411"/>
      <c r="BY276" s="411"/>
      <c r="BZ276" s="411"/>
      <c r="CA276" s="411"/>
      <c r="CB276" s="411"/>
      <c r="CC276" s="411"/>
      <c r="CD276" s="411"/>
      <c r="CE276" s="411"/>
      <c r="CF276" s="411"/>
      <c r="CG276" s="411"/>
      <c r="CH276" s="411"/>
      <c r="CI276" s="411"/>
      <c r="CJ276" s="411"/>
      <c r="CK276" s="411"/>
      <c r="CL276" s="411"/>
      <c r="CM276" s="411"/>
      <c r="CN276" s="411"/>
      <c r="CO276" s="411"/>
      <c r="CP276" s="411"/>
      <c r="CQ276" s="411"/>
      <c r="CR276" s="411"/>
      <c r="CS276" s="411"/>
      <c r="CT276" s="411"/>
      <c r="CU276" s="411"/>
      <c r="CV276" s="411"/>
    </row>
    <row r="277" spans="1:100" s="188" customFormat="1" outlineLevel="1" x14ac:dyDescent="0.2">
      <c r="A277" s="141"/>
      <c r="B277" s="141"/>
      <c r="C277" s="142"/>
      <c r="D277" s="143"/>
      <c r="E277" s="187" t="s">
        <v>1271</v>
      </c>
      <c r="F277" s="411">
        <f ca="1" xml:space="preserve"> AVERAGE(J275:CV275)</f>
        <v>1.0415978045589489</v>
      </c>
      <c r="G277" s="187" t="s">
        <v>164</v>
      </c>
      <c r="H277" s="187"/>
      <c r="I277" s="144"/>
      <c r="J277" s="411"/>
      <c r="K277" s="411"/>
      <c r="L277" s="411"/>
      <c r="M277" s="411"/>
      <c r="N277" s="411"/>
      <c r="O277" s="411"/>
      <c r="P277" s="411"/>
      <c r="Q277" s="411"/>
      <c r="R277" s="411"/>
      <c r="S277" s="411"/>
      <c r="T277" s="411"/>
      <c r="U277" s="411"/>
      <c r="V277" s="411"/>
      <c r="W277" s="411"/>
      <c r="X277" s="411"/>
      <c r="Y277" s="411"/>
      <c r="Z277" s="411"/>
      <c r="AA277" s="411"/>
      <c r="AB277" s="411"/>
      <c r="AC277" s="411"/>
      <c r="AD277" s="411"/>
      <c r="AE277" s="411"/>
      <c r="AF277" s="411"/>
      <c r="AG277" s="411"/>
      <c r="AH277" s="411"/>
      <c r="AI277" s="411"/>
      <c r="AJ277" s="411"/>
      <c r="AK277" s="411"/>
      <c r="AL277" s="411"/>
      <c r="AM277" s="411"/>
      <c r="AN277" s="411"/>
      <c r="AO277" s="411"/>
      <c r="AP277" s="411"/>
      <c r="AQ277" s="411"/>
      <c r="AR277" s="411"/>
      <c r="AS277" s="411"/>
      <c r="AT277" s="411"/>
      <c r="AU277" s="411"/>
      <c r="AV277" s="411"/>
      <c r="AW277" s="411"/>
      <c r="AX277" s="411"/>
      <c r="AY277" s="411"/>
      <c r="AZ277" s="411"/>
      <c r="BA277" s="411"/>
      <c r="BB277" s="411"/>
      <c r="BC277" s="411"/>
      <c r="BD277" s="411"/>
      <c r="BE277" s="411"/>
      <c r="BF277" s="411"/>
      <c r="BG277" s="411"/>
      <c r="BH277" s="411"/>
      <c r="BI277" s="411"/>
      <c r="BJ277" s="411"/>
      <c r="BK277" s="411"/>
      <c r="BL277" s="411"/>
      <c r="BM277" s="411"/>
      <c r="BN277" s="411"/>
      <c r="BO277" s="411"/>
      <c r="BP277" s="411"/>
      <c r="BQ277" s="411"/>
      <c r="BR277" s="411"/>
      <c r="BS277" s="411"/>
      <c r="BT277" s="411"/>
      <c r="BU277" s="411"/>
      <c r="BV277" s="411"/>
      <c r="BW277" s="411"/>
      <c r="BX277" s="411"/>
      <c r="BY277" s="411"/>
      <c r="BZ277" s="411"/>
      <c r="CA277" s="411"/>
      <c r="CB277" s="411"/>
      <c r="CC277" s="411"/>
      <c r="CD277" s="411"/>
      <c r="CE277" s="411"/>
      <c r="CF277" s="411"/>
      <c r="CG277" s="411"/>
      <c r="CH277" s="411"/>
      <c r="CI277" s="411"/>
      <c r="CJ277" s="411"/>
      <c r="CK277" s="411"/>
      <c r="CL277" s="411"/>
      <c r="CM277" s="411"/>
      <c r="CN277" s="411"/>
      <c r="CO277" s="411"/>
      <c r="CP277" s="411"/>
      <c r="CQ277" s="411"/>
      <c r="CR277" s="411"/>
      <c r="CS277" s="411"/>
      <c r="CT277" s="411"/>
      <c r="CU277" s="411"/>
      <c r="CV277" s="411"/>
    </row>
    <row r="278" spans="1:100" outlineLevel="1" x14ac:dyDescent="0.2">
      <c r="A278" s="405"/>
      <c r="B278" s="431"/>
      <c r="C278" s="564"/>
      <c r="D278" s="565"/>
      <c r="E278" s="191"/>
      <c r="F278" s="191"/>
      <c r="G278" s="191"/>
      <c r="H278" s="191"/>
      <c r="I278" s="191"/>
      <c r="J278" s="191"/>
      <c r="K278" s="191"/>
      <c r="L278" s="191"/>
      <c r="M278" s="191"/>
      <c r="N278" s="191"/>
      <c r="O278" s="191"/>
      <c r="P278" s="191"/>
      <c r="Q278" s="191"/>
      <c r="R278" s="191"/>
      <c r="S278" s="191"/>
      <c r="T278" s="191"/>
      <c r="U278" s="191"/>
      <c r="V278" s="191"/>
      <c r="W278" s="191"/>
      <c r="X278" s="191"/>
      <c r="Y278" s="191"/>
      <c r="Z278" s="191"/>
      <c r="AA278" s="191"/>
      <c r="AB278" s="191"/>
      <c r="AC278" s="191"/>
      <c r="AD278" s="191"/>
      <c r="AE278" s="191"/>
      <c r="AF278" s="191"/>
      <c r="AG278" s="191"/>
      <c r="AH278" s="191"/>
      <c r="AI278" s="191"/>
      <c r="AJ278" s="191"/>
      <c r="AK278" s="191"/>
      <c r="AL278" s="191"/>
      <c r="AM278" s="191"/>
      <c r="AN278" s="191"/>
      <c r="AO278" s="191"/>
      <c r="AP278" s="191"/>
      <c r="AQ278" s="191"/>
      <c r="AR278" s="191"/>
      <c r="AS278" s="191"/>
      <c r="AT278" s="191"/>
      <c r="AU278" s="191"/>
      <c r="AV278" s="191"/>
      <c r="AW278" s="191"/>
      <c r="AX278" s="191"/>
      <c r="AY278" s="191"/>
      <c r="AZ278" s="191"/>
      <c r="BA278" s="191"/>
      <c r="BB278" s="191"/>
      <c r="BC278" s="191"/>
      <c r="BD278" s="191"/>
      <c r="BE278" s="191"/>
      <c r="BF278" s="191"/>
      <c r="BG278" s="191"/>
      <c r="BH278" s="191"/>
      <c r="BI278" s="191"/>
      <c r="BJ278" s="191"/>
      <c r="BK278" s="191"/>
      <c r="BL278" s="191"/>
      <c r="BM278" s="191"/>
      <c r="BN278" s="191"/>
      <c r="BO278" s="191"/>
      <c r="BP278" s="191"/>
      <c r="BQ278" s="191"/>
      <c r="BR278" s="191"/>
      <c r="BS278" s="191"/>
      <c r="BT278" s="191"/>
      <c r="BU278" s="191"/>
      <c r="BV278" s="191"/>
      <c r="BW278" s="191"/>
      <c r="BX278" s="191"/>
      <c r="BY278" s="191"/>
      <c r="BZ278" s="191"/>
      <c r="CA278" s="191"/>
      <c r="CB278" s="191"/>
      <c r="CC278" s="191"/>
      <c r="CD278" s="191"/>
      <c r="CE278" s="191"/>
      <c r="CF278" s="191"/>
      <c r="CG278" s="191"/>
      <c r="CH278" s="191"/>
      <c r="CI278" s="191"/>
      <c r="CJ278" s="191"/>
      <c r="CK278" s="191"/>
      <c r="CL278" s="191"/>
      <c r="CM278" s="191"/>
      <c r="CN278" s="191"/>
      <c r="CO278" s="191"/>
      <c r="CP278" s="191"/>
      <c r="CQ278" s="191"/>
      <c r="CR278" s="191"/>
      <c r="CS278" s="191"/>
      <c r="CT278" s="191"/>
      <c r="CU278" s="191"/>
      <c r="CV278" s="191"/>
    </row>
    <row r="279" spans="1:100" x14ac:dyDescent="0.2"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B279" s="82"/>
      <c r="AC279" s="82"/>
      <c r="AD279" s="82"/>
      <c r="AE279" s="82"/>
      <c r="AF279" s="82"/>
      <c r="AG279" s="82"/>
      <c r="AH279" s="82"/>
      <c r="AI279" s="82"/>
      <c r="AJ279" s="82"/>
      <c r="AK279" s="82"/>
      <c r="AL279" s="82"/>
      <c r="AM279" s="82"/>
      <c r="AN279" s="82"/>
      <c r="AO279" s="82"/>
      <c r="AP279" s="82"/>
      <c r="AQ279" s="82"/>
      <c r="AR279" s="82"/>
      <c r="AS279" s="82"/>
      <c r="AT279" s="82"/>
      <c r="AU279" s="82"/>
      <c r="AV279" s="82"/>
      <c r="AW279" s="82"/>
      <c r="AX279" s="82"/>
      <c r="AY279" s="82"/>
      <c r="AZ279" s="82"/>
      <c r="BA279" s="82"/>
      <c r="BB279" s="82"/>
      <c r="BC279" s="82"/>
      <c r="BD279" s="82"/>
      <c r="BE279" s="82"/>
      <c r="BF279" s="82"/>
      <c r="BG279" s="82"/>
      <c r="BH279" s="82"/>
      <c r="BI279" s="82"/>
      <c r="BJ279" s="82"/>
      <c r="BK279" s="82"/>
      <c r="BL279" s="82"/>
      <c r="BM279" s="82"/>
      <c r="BN279" s="82"/>
      <c r="BO279" s="82"/>
      <c r="BP279" s="82"/>
      <c r="BQ279" s="82"/>
      <c r="BR279" s="82"/>
      <c r="BS279" s="82"/>
      <c r="BT279" s="82"/>
      <c r="BU279" s="82"/>
      <c r="BV279" s="82"/>
      <c r="BW279" s="82"/>
      <c r="BX279" s="82"/>
      <c r="BY279" s="82"/>
      <c r="BZ279" s="82"/>
      <c r="CA279" s="82"/>
      <c r="CB279" s="82"/>
      <c r="CC279" s="82"/>
      <c r="CD279" s="82"/>
      <c r="CE279" s="82"/>
      <c r="CF279" s="82"/>
      <c r="CG279" s="82"/>
      <c r="CH279" s="82"/>
      <c r="CI279" s="82"/>
      <c r="CJ279" s="82"/>
      <c r="CK279" s="82"/>
      <c r="CL279" s="82"/>
      <c r="CM279" s="82"/>
      <c r="CN279" s="82"/>
      <c r="CO279" s="82"/>
      <c r="CP279" s="82"/>
      <c r="CQ279" s="82"/>
      <c r="CR279" s="82"/>
      <c r="CS279" s="82"/>
      <c r="CT279" s="82"/>
      <c r="CU279" s="82"/>
      <c r="CV279" s="82"/>
    </row>
    <row r="280" spans="1:100" x14ac:dyDescent="0.2">
      <c r="A280" s="15" t="s">
        <v>62</v>
      </c>
    </row>
    <row r="294" spans="5:5" hidden="1" x14ac:dyDescent="0.2">
      <c r="E294" s="12" t="s">
        <v>189</v>
      </c>
    </row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</sheetData>
  <conditionalFormatting sqref="J3:CV3">
    <cfRule type="cellIs" dxfId="54" priority="8" stopIfTrue="1" operator="equal">
      <formula>"Construction"</formula>
    </cfRule>
    <cfRule type="cellIs" dxfId="53" priority="9" stopIfTrue="1" operator="equal">
      <formula>"Operations"</formula>
    </cfRule>
  </conditionalFormatting>
  <conditionalFormatting sqref="J3:CV3">
    <cfRule type="cellIs" dxfId="52" priority="7" operator="equal">
      <formula>"Fin Close"</formula>
    </cfRule>
  </conditionalFormatting>
  <conditionalFormatting sqref="J3:CV3">
    <cfRule type="cellIs" dxfId="51" priority="5" operator="equal">
      <formula>"PPA ext."</formula>
    </cfRule>
    <cfRule type="cellIs" dxfId="50" priority="6" operator="equal">
      <formula>"Delay"</formula>
    </cfRule>
  </conditionalFormatting>
  <conditionalFormatting sqref="F2:F4">
    <cfRule type="cellIs" dxfId="49" priority="1" stopIfTrue="1" operator="notEqual">
      <formula>0</formula>
    </cfRule>
    <cfRule type="cellIs" dxfId="48" priority="2" stopIfTrue="1" operator="equal">
      <formula>""</formula>
    </cfRule>
  </conditionalFormatting>
  <conditionalFormatting sqref="F2:F4">
    <cfRule type="cellIs" dxfId="47" priority="3" stopIfTrue="1" operator="notEqual">
      <formula>0</formula>
    </cfRule>
    <cfRule type="cellIs" dxfId="4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E5B3-5512-45B3-9199-AFA664481462}">
  <sheetPr codeName="Sheet57">
    <outlinePr summaryBelow="0" summaryRight="0"/>
  </sheetPr>
  <dimension ref="A1:GK214"/>
  <sheetViews>
    <sheetView defaultGridColor="0" colorId="22" zoomScale="75" zoomScaleNormal="75" zoomScalePageLayoutView="80" workbookViewId="0">
      <pane xSplit="9" ySplit="5" topLeftCell="CJ198" activePane="bottomRight" state="frozen"/>
      <selection activeCell="B2" sqref="B2"/>
      <selection pane="topRight" activeCell="B2" sqref="B2"/>
      <selection pane="bottomLeft" activeCell="B2" sqref="B2"/>
      <selection pane="bottomRight" activeCell="CV214" sqref="CV214"/>
    </sheetView>
  </sheetViews>
  <sheetFormatPr defaultColWidth="0" defaultRowHeight="15" zeroHeight="1" outlineLevelRow="1" x14ac:dyDescent="0.2"/>
  <cols>
    <col min="1" max="1" width="1.140625" style="992" customWidth="1"/>
    <col min="2" max="2" width="1.140625" style="981" customWidth="1"/>
    <col min="3" max="3" width="1.140625" style="982" customWidth="1"/>
    <col min="4" max="4" width="1.140625" style="983" customWidth="1"/>
    <col min="5" max="5" width="42.5703125" style="984" customWidth="1"/>
    <col min="6" max="6" width="12.5703125" style="984" customWidth="1"/>
    <col min="7" max="8" width="11.5703125" style="984" customWidth="1"/>
    <col min="9" max="9" width="2.5703125" style="984" customWidth="1"/>
    <col min="10" max="100" width="11.5703125" style="984" customWidth="1"/>
    <col min="101" max="193" width="0" style="986" hidden="1" customWidth="1"/>
    <col min="194" max="16384" width="11.5703125" style="986" hidden="1"/>
  </cols>
  <sheetData>
    <row r="1" spans="1:100" ht="26.25" x14ac:dyDescent="0.2">
      <c r="A1" s="980" t="str">
        <f ca="1" xml:space="preserve"> RIGHT(CELL("filename", A1), LEN(CELL("filename", A1)) - SEARCH("]", CELL("filename", A1)))</f>
        <v>Chart data</v>
      </c>
      <c r="J1" s="985"/>
    </row>
    <row r="2" spans="1:100" x14ac:dyDescent="0.2">
      <c r="A2" s="987"/>
      <c r="B2" s="988"/>
      <c r="C2" s="989"/>
      <c r="D2" s="990"/>
      <c r="E2" s="991" t="str">
        <f xml:space="preserve"> Time!E$20</f>
        <v>Model period beginning</v>
      </c>
      <c r="G2" s="37"/>
      <c r="H2" s="988"/>
      <c r="I2" s="988"/>
      <c r="J2" s="988">
        <f xml:space="preserve"> Time!J$20</f>
        <v>44562</v>
      </c>
      <c r="K2" s="988">
        <f xml:space="preserve"> Time!K$20</f>
        <v>44743</v>
      </c>
      <c r="L2" s="988">
        <f xml:space="preserve"> Time!L$20</f>
        <v>44927</v>
      </c>
      <c r="M2" s="988">
        <f xml:space="preserve"> Time!M$20</f>
        <v>45108</v>
      </c>
      <c r="N2" s="988">
        <f xml:space="preserve"> Time!N$20</f>
        <v>45292</v>
      </c>
      <c r="O2" s="988">
        <f xml:space="preserve"> Time!O$20</f>
        <v>45474</v>
      </c>
      <c r="P2" s="988">
        <f xml:space="preserve"> Time!P$20</f>
        <v>45658</v>
      </c>
      <c r="Q2" s="988">
        <f xml:space="preserve"> Time!Q$20</f>
        <v>45839</v>
      </c>
      <c r="R2" s="988">
        <f xml:space="preserve"> Time!R$20</f>
        <v>46023</v>
      </c>
      <c r="S2" s="988">
        <f xml:space="preserve"> Time!S$20</f>
        <v>46204</v>
      </c>
      <c r="T2" s="988">
        <f xml:space="preserve"> Time!T$20</f>
        <v>46388</v>
      </c>
      <c r="U2" s="988">
        <f xml:space="preserve"> Time!U$20</f>
        <v>46569</v>
      </c>
      <c r="V2" s="988">
        <f xml:space="preserve"> Time!V$20</f>
        <v>46753</v>
      </c>
      <c r="W2" s="988">
        <f xml:space="preserve"> Time!W$20</f>
        <v>46935</v>
      </c>
      <c r="X2" s="988">
        <f xml:space="preserve"> Time!X$20</f>
        <v>47119</v>
      </c>
      <c r="Y2" s="988">
        <f xml:space="preserve"> Time!Y$20</f>
        <v>47300</v>
      </c>
      <c r="Z2" s="988">
        <f xml:space="preserve"> Time!Z$20</f>
        <v>47484</v>
      </c>
      <c r="AA2" s="988">
        <f xml:space="preserve"> Time!AA$20</f>
        <v>47665</v>
      </c>
      <c r="AB2" s="988">
        <f xml:space="preserve"> Time!AB$20</f>
        <v>47849</v>
      </c>
      <c r="AC2" s="988">
        <f xml:space="preserve"> Time!AC$20</f>
        <v>48030</v>
      </c>
      <c r="AD2" s="988">
        <f xml:space="preserve"> Time!AD$20</f>
        <v>48214</v>
      </c>
      <c r="AE2" s="988">
        <f xml:space="preserve"> Time!AE$20</f>
        <v>48396</v>
      </c>
      <c r="AF2" s="988">
        <f xml:space="preserve"> Time!AF$20</f>
        <v>48580</v>
      </c>
      <c r="AG2" s="988">
        <f xml:space="preserve"> Time!AG$20</f>
        <v>48761</v>
      </c>
      <c r="AH2" s="988">
        <f xml:space="preserve"> Time!AH$20</f>
        <v>48945</v>
      </c>
      <c r="AI2" s="988">
        <f xml:space="preserve"> Time!AI$20</f>
        <v>49126</v>
      </c>
      <c r="AJ2" s="988">
        <f xml:space="preserve"> Time!AJ$20</f>
        <v>49310</v>
      </c>
      <c r="AK2" s="988">
        <f xml:space="preserve"> Time!AK$20</f>
        <v>49491</v>
      </c>
      <c r="AL2" s="988">
        <f xml:space="preserve"> Time!AL$20</f>
        <v>49675</v>
      </c>
      <c r="AM2" s="988">
        <f xml:space="preserve"> Time!AM$20</f>
        <v>49857</v>
      </c>
      <c r="AN2" s="988">
        <f xml:space="preserve"> Time!AN$20</f>
        <v>50041</v>
      </c>
      <c r="AO2" s="988">
        <f xml:space="preserve"> Time!AO$20</f>
        <v>50222</v>
      </c>
      <c r="AP2" s="988">
        <f xml:space="preserve"> Time!AP$20</f>
        <v>50406</v>
      </c>
      <c r="AQ2" s="988">
        <f xml:space="preserve"> Time!AQ$20</f>
        <v>50587</v>
      </c>
      <c r="AR2" s="988">
        <f xml:space="preserve"> Time!AR$20</f>
        <v>50771</v>
      </c>
      <c r="AS2" s="988">
        <f xml:space="preserve"> Time!AS$20</f>
        <v>50952</v>
      </c>
      <c r="AT2" s="988">
        <f xml:space="preserve"> Time!AT$20</f>
        <v>51136</v>
      </c>
      <c r="AU2" s="988">
        <f xml:space="preserve"> Time!AU$20</f>
        <v>51318</v>
      </c>
      <c r="AV2" s="988">
        <f xml:space="preserve"> Time!AV$20</f>
        <v>51502</v>
      </c>
      <c r="AW2" s="988">
        <f xml:space="preserve"> Time!AW$20</f>
        <v>51683</v>
      </c>
      <c r="AX2" s="988">
        <f xml:space="preserve"> Time!AX$20</f>
        <v>51867</v>
      </c>
      <c r="AY2" s="988">
        <f xml:space="preserve"> Time!AY$20</f>
        <v>52048</v>
      </c>
      <c r="AZ2" s="988">
        <f xml:space="preserve"> Time!AZ$20</f>
        <v>52232</v>
      </c>
      <c r="BA2" s="988">
        <f xml:space="preserve"> Time!BA$20</f>
        <v>52413</v>
      </c>
      <c r="BB2" s="988">
        <f xml:space="preserve"> Time!BB$20</f>
        <v>52597</v>
      </c>
      <c r="BC2" s="988">
        <f xml:space="preserve"> Time!BC$20</f>
        <v>52779</v>
      </c>
      <c r="BD2" s="988">
        <f xml:space="preserve"> Time!BD$20</f>
        <v>52963</v>
      </c>
      <c r="BE2" s="988">
        <f xml:space="preserve"> Time!BE$20</f>
        <v>53144</v>
      </c>
      <c r="BF2" s="988">
        <f xml:space="preserve"> Time!BF$20</f>
        <v>53328</v>
      </c>
      <c r="BG2" s="988">
        <f xml:space="preserve"> Time!BG$20</f>
        <v>53509</v>
      </c>
      <c r="BH2" s="988">
        <f xml:space="preserve"> Time!BH$20</f>
        <v>53693</v>
      </c>
      <c r="BI2" s="988">
        <f xml:space="preserve"> Time!BI$20</f>
        <v>53874</v>
      </c>
      <c r="BJ2" s="988">
        <f xml:space="preserve"> Time!BJ$20</f>
        <v>54058</v>
      </c>
      <c r="BK2" s="988">
        <f xml:space="preserve"> Time!BK$20</f>
        <v>54240</v>
      </c>
      <c r="BL2" s="988">
        <f xml:space="preserve"> Time!BL$20</f>
        <v>54424</v>
      </c>
      <c r="BM2" s="988">
        <f xml:space="preserve"> Time!BM$20</f>
        <v>54605</v>
      </c>
      <c r="BN2" s="988">
        <f xml:space="preserve"> Time!BN$20</f>
        <v>54789</v>
      </c>
      <c r="BO2" s="988">
        <f xml:space="preserve"> Time!BO$20</f>
        <v>54970</v>
      </c>
      <c r="BP2" s="988">
        <f xml:space="preserve"> Time!BP$20</f>
        <v>55154</v>
      </c>
      <c r="BQ2" s="988">
        <f xml:space="preserve"> Time!BQ$20</f>
        <v>55335</v>
      </c>
      <c r="BR2" s="988">
        <f xml:space="preserve"> Time!BR$20</f>
        <v>55519</v>
      </c>
      <c r="BS2" s="988">
        <f xml:space="preserve"> Time!BS$20</f>
        <v>55701</v>
      </c>
      <c r="BT2" s="988">
        <f xml:space="preserve"> Time!BT$20</f>
        <v>55885</v>
      </c>
      <c r="BU2" s="988">
        <f xml:space="preserve"> Time!BU$20</f>
        <v>56066</v>
      </c>
      <c r="BV2" s="988">
        <f xml:space="preserve"> Time!BV$20</f>
        <v>56250</v>
      </c>
      <c r="BW2" s="988">
        <f xml:space="preserve"> Time!BW$20</f>
        <v>56431</v>
      </c>
      <c r="BX2" s="988">
        <f xml:space="preserve"> Time!BX$20</f>
        <v>56615</v>
      </c>
      <c r="BY2" s="988">
        <f xml:space="preserve"> Time!BY$20</f>
        <v>56796</v>
      </c>
      <c r="BZ2" s="988">
        <f xml:space="preserve"> Time!BZ$20</f>
        <v>56980</v>
      </c>
      <c r="CA2" s="988">
        <f xml:space="preserve"> Time!CA$20</f>
        <v>57162</v>
      </c>
      <c r="CB2" s="988">
        <f xml:space="preserve"> Time!CB$20</f>
        <v>57346</v>
      </c>
      <c r="CC2" s="988">
        <f xml:space="preserve"> Time!CC$20</f>
        <v>57527</v>
      </c>
      <c r="CD2" s="988">
        <f xml:space="preserve"> Time!CD$20</f>
        <v>57711</v>
      </c>
      <c r="CE2" s="988">
        <f xml:space="preserve"> Time!CE$20</f>
        <v>57892</v>
      </c>
      <c r="CF2" s="988">
        <f xml:space="preserve"> Time!CF$20</f>
        <v>58076</v>
      </c>
      <c r="CG2" s="988">
        <f xml:space="preserve"> Time!CG$20</f>
        <v>58257</v>
      </c>
      <c r="CH2" s="988">
        <f xml:space="preserve"> Time!CH$20</f>
        <v>58441</v>
      </c>
      <c r="CI2" s="988">
        <f xml:space="preserve"> Time!CI$20</f>
        <v>58623</v>
      </c>
      <c r="CJ2" s="988">
        <f xml:space="preserve"> Time!CJ$20</f>
        <v>58807</v>
      </c>
      <c r="CK2" s="988">
        <f xml:space="preserve"> Time!CK$20</f>
        <v>58988</v>
      </c>
      <c r="CL2" s="988">
        <f xml:space="preserve"> Time!CL$20</f>
        <v>59172</v>
      </c>
      <c r="CM2" s="988">
        <f xml:space="preserve"> Time!CM$20</f>
        <v>59353</v>
      </c>
      <c r="CN2" s="988">
        <f xml:space="preserve"> Time!CN$20</f>
        <v>59537</v>
      </c>
      <c r="CO2" s="988">
        <f xml:space="preserve"> Time!CO$20</f>
        <v>59718</v>
      </c>
      <c r="CP2" s="988">
        <f xml:space="preserve"> Time!CP$20</f>
        <v>59902</v>
      </c>
      <c r="CQ2" s="988">
        <f xml:space="preserve"> Time!CQ$20</f>
        <v>60084</v>
      </c>
      <c r="CR2" s="988">
        <f xml:space="preserve"> Time!CR$20</f>
        <v>60268</v>
      </c>
      <c r="CS2" s="988">
        <f xml:space="preserve"> Time!CS$20</f>
        <v>60449</v>
      </c>
      <c r="CT2" s="988">
        <f xml:space="preserve"> Time!CT$20</f>
        <v>60633</v>
      </c>
      <c r="CU2" s="988">
        <f xml:space="preserve"> Time!CU$20</f>
        <v>60814</v>
      </c>
      <c r="CV2" s="988">
        <f xml:space="preserve"> Time!CV$20</f>
        <v>60998</v>
      </c>
    </row>
    <row r="3" spans="1:100" x14ac:dyDescent="0.2">
      <c r="A3" s="987"/>
      <c r="B3" s="988"/>
      <c r="C3" s="989"/>
      <c r="D3" s="988"/>
      <c r="E3" s="988" t="str">
        <f xml:space="preserve"> Time!E$25</f>
        <v>Model period ending</v>
      </c>
      <c r="H3" s="988"/>
      <c r="I3" s="988"/>
      <c r="J3" s="988">
        <f xml:space="preserve"> Time!J$25</f>
        <v>44742</v>
      </c>
      <c r="K3" s="988">
        <f xml:space="preserve"> Time!K$25</f>
        <v>44926</v>
      </c>
      <c r="L3" s="988">
        <f xml:space="preserve"> Time!L$25</f>
        <v>45107</v>
      </c>
      <c r="M3" s="988">
        <f xml:space="preserve"> Time!M$25</f>
        <v>45291</v>
      </c>
      <c r="N3" s="988">
        <f xml:space="preserve"> Time!N$25</f>
        <v>45473</v>
      </c>
      <c r="O3" s="988">
        <f xml:space="preserve"> Time!O$25</f>
        <v>45657</v>
      </c>
      <c r="P3" s="988">
        <f xml:space="preserve"> Time!P$25</f>
        <v>45838</v>
      </c>
      <c r="Q3" s="988">
        <f xml:space="preserve"> Time!Q$25</f>
        <v>46022</v>
      </c>
      <c r="R3" s="988">
        <f xml:space="preserve"> Time!R$25</f>
        <v>46203</v>
      </c>
      <c r="S3" s="988">
        <f xml:space="preserve"> Time!S$25</f>
        <v>46387</v>
      </c>
      <c r="T3" s="988">
        <f xml:space="preserve"> Time!T$25</f>
        <v>46568</v>
      </c>
      <c r="U3" s="988">
        <f xml:space="preserve"> Time!U$25</f>
        <v>46752</v>
      </c>
      <c r="V3" s="988">
        <f xml:space="preserve"> Time!V$25</f>
        <v>46934</v>
      </c>
      <c r="W3" s="988">
        <f xml:space="preserve"> Time!W$25</f>
        <v>47118</v>
      </c>
      <c r="X3" s="988">
        <f xml:space="preserve"> Time!X$25</f>
        <v>47299</v>
      </c>
      <c r="Y3" s="988">
        <f xml:space="preserve"> Time!Y$25</f>
        <v>47483</v>
      </c>
      <c r="Z3" s="988">
        <f xml:space="preserve"> Time!Z$25</f>
        <v>47664</v>
      </c>
      <c r="AA3" s="988">
        <f xml:space="preserve"> Time!AA$25</f>
        <v>47848</v>
      </c>
      <c r="AB3" s="988">
        <f xml:space="preserve"> Time!AB$25</f>
        <v>48029</v>
      </c>
      <c r="AC3" s="988">
        <f xml:space="preserve"> Time!AC$25</f>
        <v>48213</v>
      </c>
      <c r="AD3" s="988">
        <f xml:space="preserve"> Time!AD$25</f>
        <v>48395</v>
      </c>
      <c r="AE3" s="988">
        <f xml:space="preserve"> Time!AE$25</f>
        <v>48579</v>
      </c>
      <c r="AF3" s="988">
        <f xml:space="preserve"> Time!AF$25</f>
        <v>48760</v>
      </c>
      <c r="AG3" s="988">
        <f xml:space="preserve"> Time!AG$25</f>
        <v>48944</v>
      </c>
      <c r="AH3" s="988">
        <f xml:space="preserve"> Time!AH$25</f>
        <v>49125</v>
      </c>
      <c r="AI3" s="988">
        <f xml:space="preserve"> Time!AI$25</f>
        <v>49309</v>
      </c>
      <c r="AJ3" s="988">
        <f xml:space="preserve"> Time!AJ$25</f>
        <v>49490</v>
      </c>
      <c r="AK3" s="988">
        <f xml:space="preserve"> Time!AK$25</f>
        <v>49674</v>
      </c>
      <c r="AL3" s="988">
        <f xml:space="preserve"> Time!AL$25</f>
        <v>49856</v>
      </c>
      <c r="AM3" s="988">
        <f xml:space="preserve"> Time!AM$25</f>
        <v>50040</v>
      </c>
      <c r="AN3" s="988">
        <f xml:space="preserve"> Time!AN$25</f>
        <v>50221</v>
      </c>
      <c r="AO3" s="988">
        <f xml:space="preserve"> Time!AO$25</f>
        <v>50405</v>
      </c>
      <c r="AP3" s="988">
        <f xml:space="preserve"> Time!AP$25</f>
        <v>50586</v>
      </c>
      <c r="AQ3" s="988">
        <f xml:space="preserve"> Time!AQ$25</f>
        <v>50770</v>
      </c>
      <c r="AR3" s="988">
        <f xml:space="preserve"> Time!AR$25</f>
        <v>50951</v>
      </c>
      <c r="AS3" s="988">
        <f xml:space="preserve"> Time!AS$25</f>
        <v>51135</v>
      </c>
      <c r="AT3" s="988">
        <f xml:space="preserve"> Time!AT$25</f>
        <v>51317</v>
      </c>
      <c r="AU3" s="988">
        <f xml:space="preserve"> Time!AU$25</f>
        <v>51501</v>
      </c>
      <c r="AV3" s="988">
        <f xml:space="preserve"> Time!AV$25</f>
        <v>51682</v>
      </c>
      <c r="AW3" s="988">
        <f xml:space="preserve"> Time!AW$25</f>
        <v>51866</v>
      </c>
      <c r="AX3" s="988">
        <f xml:space="preserve"> Time!AX$25</f>
        <v>52047</v>
      </c>
      <c r="AY3" s="988">
        <f xml:space="preserve"> Time!AY$25</f>
        <v>52231</v>
      </c>
      <c r="AZ3" s="988">
        <f xml:space="preserve"> Time!AZ$25</f>
        <v>52412</v>
      </c>
      <c r="BA3" s="988">
        <f xml:space="preserve"> Time!BA$25</f>
        <v>52596</v>
      </c>
      <c r="BB3" s="988">
        <f xml:space="preserve"> Time!BB$25</f>
        <v>52778</v>
      </c>
      <c r="BC3" s="988">
        <f xml:space="preserve"> Time!BC$25</f>
        <v>52962</v>
      </c>
      <c r="BD3" s="988">
        <f xml:space="preserve"> Time!BD$25</f>
        <v>53143</v>
      </c>
      <c r="BE3" s="988">
        <f xml:space="preserve"> Time!BE$25</f>
        <v>53327</v>
      </c>
      <c r="BF3" s="988">
        <f xml:space="preserve"> Time!BF$25</f>
        <v>53508</v>
      </c>
      <c r="BG3" s="988">
        <f xml:space="preserve"> Time!BG$25</f>
        <v>53692</v>
      </c>
      <c r="BH3" s="988">
        <f xml:space="preserve"> Time!BH$25</f>
        <v>53873</v>
      </c>
      <c r="BI3" s="988">
        <f xml:space="preserve"> Time!BI$25</f>
        <v>54057</v>
      </c>
      <c r="BJ3" s="988">
        <f xml:space="preserve"> Time!BJ$25</f>
        <v>54239</v>
      </c>
      <c r="BK3" s="988">
        <f xml:space="preserve"> Time!BK$25</f>
        <v>54423</v>
      </c>
      <c r="BL3" s="988">
        <f xml:space="preserve"> Time!BL$25</f>
        <v>54604</v>
      </c>
      <c r="BM3" s="988">
        <f xml:space="preserve"> Time!BM$25</f>
        <v>54788</v>
      </c>
      <c r="BN3" s="988">
        <f xml:space="preserve"> Time!BN$25</f>
        <v>54969</v>
      </c>
      <c r="BO3" s="988">
        <f xml:space="preserve"> Time!BO$25</f>
        <v>55153</v>
      </c>
      <c r="BP3" s="988">
        <f xml:space="preserve"> Time!BP$25</f>
        <v>55334</v>
      </c>
      <c r="BQ3" s="988">
        <f xml:space="preserve"> Time!BQ$25</f>
        <v>55518</v>
      </c>
      <c r="BR3" s="988">
        <f xml:space="preserve"> Time!BR$25</f>
        <v>55700</v>
      </c>
      <c r="BS3" s="988">
        <f xml:space="preserve"> Time!BS$25</f>
        <v>55884</v>
      </c>
      <c r="BT3" s="988">
        <f xml:space="preserve"> Time!BT$25</f>
        <v>56065</v>
      </c>
      <c r="BU3" s="988">
        <f xml:space="preserve"> Time!BU$25</f>
        <v>56249</v>
      </c>
      <c r="BV3" s="988">
        <f xml:space="preserve"> Time!BV$25</f>
        <v>56430</v>
      </c>
      <c r="BW3" s="988">
        <f xml:space="preserve"> Time!BW$25</f>
        <v>56614</v>
      </c>
      <c r="BX3" s="988">
        <f xml:space="preserve"> Time!BX$25</f>
        <v>56795</v>
      </c>
      <c r="BY3" s="988">
        <f xml:space="preserve"> Time!BY$25</f>
        <v>56979</v>
      </c>
      <c r="BZ3" s="988">
        <f xml:space="preserve"> Time!BZ$25</f>
        <v>57161</v>
      </c>
      <c r="CA3" s="988">
        <f xml:space="preserve"> Time!CA$25</f>
        <v>57345</v>
      </c>
      <c r="CB3" s="988">
        <f xml:space="preserve"> Time!CB$25</f>
        <v>57526</v>
      </c>
      <c r="CC3" s="988">
        <f xml:space="preserve"> Time!CC$25</f>
        <v>57710</v>
      </c>
      <c r="CD3" s="988">
        <f xml:space="preserve"> Time!CD$25</f>
        <v>57891</v>
      </c>
      <c r="CE3" s="988">
        <f xml:space="preserve"> Time!CE$25</f>
        <v>58075</v>
      </c>
      <c r="CF3" s="988">
        <f xml:space="preserve"> Time!CF$25</f>
        <v>58256</v>
      </c>
      <c r="CG3" s="988">
        <f xml:space="preserve"> Time!CG$25</f>
        <v>58440</v>
      </c>
      <c r="CH3" s="988">
        <f xml:space="preserve"> Time!CH$25</f>
        <v>58622</v>
      </c>
      <c r="CI3" s="988">
        <f xml:space="preserve"> Time!CI$25</f>
        <v>58806</v>
      </c>
      <c r="CJ3" s="988">
        <f xml:space="preserve"> Time!CJ$25</f>
        <v>58987</v>
      </c>
      <c r="CK3" s="988">
        <f xml:space="preserve"> Time!CK$25</f>
        <v>59171</v>
      </c>
      <c r="CL3" s="988">
        <f xml:space="preserve"> Time!CL$25</f>
        <v>59352</v>
      </c>
      <c r="CM3" s="988">
        <f xml:space="preserve"> Time!CM$25</f>
        <v>59536</v>
      </c>
      <c r="CN3" s="988">
        <f xml:space="preserve"> Time!CN$25</f>
        <v>59717</v>
      </c>
      <c r="CO3" s="988">
        <f xml:space="preserve"> Time!CO$25</f>
        <v>59901</v>
      </c>
      <c r="CP3" s="988">
        <f xml:space="preserve"> Time!CP$25</f>
        <v>60083</v>
      </c>
      <c r="CQ3" s="988">
        <f xml:space="preserve"> Time!CQ$25</f>
        <v>60267</v>
      </c>
      <c r="CR3" s="988">
        <f xml:space="preserve"> Time!CR$25</f>
        <v>60448</v>
      </c>
      <c r="CS3" s="988">
        <f xml:space="preserve"> Time!CS$25</f>
        <v>60632</v>
      </c>
      <c r="CT3" s="988">
        <f xml:space="preserve"> Time!CT$25</f>
        <v>60813</v>
      </c>
      <c r="CU3" s="988">
        <f xml:space="preserve"> Time!CU$25</f>
        <v>60997</v>
      </c>
      <c r="CV3" s="988">
        <f xml:space="preserve"> Time!CV$25</f>
        <v>61178</v>
      </c>
    </row>
    <row r="4" spans="1:100" x14ac:dyDescent="0.2">
      <c r="E4" s="993" t="str">
        <f xml:space="preserve"> Time!E$64</f>
        <v>Timeline label</v>
      </c>
      <c r="G4" s="994"/>
      <c r="J4" s="43" t="str">
        <f xml:space="preserve"> Time!J$64</f>
        <v>Fin Close</v>
      </c>
      <c r="K4" s="43" t="str">
        <f xml:space="preserve"> Time!K$64</f>
        <v>Construction</v>
      </c>
      <c r="L4" s="43" t="str">
        <f xml:space="preserve"> Time!L$64</f>
        <v>Construction</v>
      </c>
      <c r="M4" s="43" t="str">
        <f xml:space="preserve"> Time!M$64</f>
        <v>Construction</v>
      </c>
      <c r="N4" s="43" t="str">
        <f xml:space="preserve"> Time!N$64</f>
        <v>Construction</v>
      </c>
      <c r="O4" s="43" t="str">
        <f xml:space="preserve"> Time!O$64</f>
        <v>Operations</v>
      </c>
      <c r="P4" s="43" t="str">
        <f xml:space="preserve"> Time!P$64</f>
        <v>Operations</v>
      </c>
      <c r="Q4" s="43" t="str">
        <f xml:space="preserve"> Time!Q$64</f>
        <v>Operations</v>
      </c>
      <c r="R4" s="43" t="str">
        <f xml:space="preserve"> Time!R$64</f>
        <v>Operations</v>
      </c>
      <c r="S4" s="43" t="str">
        <f xml:space="preserve"> Time!S$64</f>
        <v>Operations</v>
      </c>
      <c r="T4" s="43" t="str">
        <f xml:space="preserve"> Time!T$64</f>
        <v>Operations</v>
      </c>
      <c r="U4" s="43" t="str">
        <f xml:space="preserve"> Time!U$64</f>
        <v>Operations</v>
      </c>
      <c r="V4" s="43" t="str">
        <f xml:space="preserve"> Time!V$64</f>
        <v>Operations</v>
      </c>
      <c r="W4" s="43" t="str">
        <f xml:space="preserve"> Time!W$64</f>
        <v>Operations</v>
      </c>
      <c r="X4" s="43" t="str">
        <f xml:space="preserve"> Time!X$64</f>
        <v>Operations</v>
      </c>
      <c r="Y4" s="43" t="str">
        <f xml:space="preserve"> Time!Y$64</f>
        <v>Operations</v>
      </c>
      <c r="Z4" s="43" t="str">
        <f xml:space="preserve"> Time!Z$64</f>
        <v>Operations</v>
      </c>
      <c r="AA4" s="43" t="str">
        <f xml:space="preserve"> Time!AA$64</f>
        <v>Operations</v>
      </c>
      <c r="AB4" s="43" t="str">
        <f xml:space="preserve"> Time!AB$64</f>
        <v>Operations</v>
      </c>
      <c r="AC4" s="43" t="str">
        <f xml:space="preserve"> Time!AC$64</f>
        <v>Operations</v>
      </c>
      <c r="AD4" s="43" t="str">
        <f xml:space="preserve"> Time!AD$64</f>
        <v>Operations</v>
      </c>
      <c r="AE4" s="43" t="str">
        <f xml:space="preserve"> Time!AE$64</f>
        <v>Operations</v>
      </c>
      <c r="AF4" s="43" t="str">
        <f xml:space="preserve"> Time!AF$64</f>
        <v>Operations</v>
      </c>
      <c r="AG4" s="43" t="str">
        <f xml:space="preserve"> Time!AG$64</f>
        <v>Operations</v>
      </c>
      <c r="AH4" s="43" t="str">
        <f xml:space="preserve"> Time!AH$64</f>
        <v>Operations</v>
      </c>
      <c r="AI4" s="43" t="str">
        <f xml:space="preserve"> Time!AI$64</f>
        <v>Operations</v>
      </c>
      <c r="AJ4" s="43" t="str">
        <f xml:space="preserve"> Time!AJ$64</f>
        <v>Operations</v>
      </c>
      <c r="AK4" s="43" t="str">
        <f xml:space="preserve"> Time!AK$64</f>
        <v>Operations</v>
      </c>
      <c r="AL4" s="43" t="str">
        <f xml:space="preserve"> Time!AL$64</f>
        <v>Operations</v>
      </c>
      <c r="AM4" s="43" t="str">
        <f xml:space="preserve"> Time!AM$64</f>
        <v>Operations</v>
      </c>
      <c r="AN4" s="43" t="str">
        <f xml:space="preserve"> Time!AN$64</f>
        <v>Operations</v>
      </c>
      <c r="AO4" s="43" t="str">
        <f xml:space="preserve"> Time!AO$64</f>
        <v>Operations</v>
      </c>
      <c r="AP4" s="43" t="str">
        <f xml:space="preserve"> Time!AP$64</f>
        <v>Operations</v>
      </c>
      <c r="AQ4" s="43" t="str">
        <f xml:space="preserve"> Time!AQ$64</f>
        <v>Operations</v>
      </c>
      <c r="AR4" s="43" t="str">
        <f xml:space="preserve"> Time!AR$64</f>
        <v>Operations</v>
      </c>
      <c r="AS4" s="43" t="str">
        <f xml:space="preserve"> Time!AS$64</f>
        <v>Operations</v>
      </c>
      <c r="AT4" s="43" t="str">
        <f xml:space="preserve"> Time!AT$64</f>
        <v>Operations</v>
      </c>
      <c r="AU4" s="43" t="str">
        <f xml:space="preserve"> Time!AU$64</f>
        <v>Operations</v>
      </c>
      <c r="AV4" s="43" t="str">
        <f xml:space="preserve"> Time!AV$64</f>
        <v>Operations</v>
      </c>
      <c r="AW4" s="43" t="str">
        <f xml:space="preserve"> Time!AW$64</f>
        <v>Operations</v>
      </c>
      <c r="AX4" s="43" t="str">
        <f xml:space="preserve"> Time!AX$64</f>
        <v>Operations</v>
      </c>
      <c r="AY4" s="43" t="str">
        <f xml:space="preserve"> Time!AY$64</f>
        <v>Operations</v>
      </c>
      <c r="AZ4" s="43" t="str">
        <f xml:space="preserve"> Time!AZ$64</f>
        <v>Operations</v>
      </c>
      <c r="BA4" s="43" t="str">
        <f xml:space="preserve"> Time!BA$64</f>
        <v>Operations</v>
      </c>
      <c r="BB4" s="43" t="str">
        <f xml:space="preserve"> Time!BB$64</f>
        <v>Operations</v>
      </c>
      <c r="BC4" s="43" t="str">
        <f xml:space="preserve"> Time!BC$64</f>
        <v>Post ops</v>
      </c>
      <c r="BD4" s="43" t="str">
        <f xml:space="preserve"> Time!BD$64</f>
        <v>Post ops</v>
      </c>
      <c r="BE4" s="43" t="str">
        <f xml:space="preserve"> Time!BE$64</f>
        <v>Post ops</v>
      </c>
      <c r="BF4" s="43" t="str">
        <f xml:space="preserve"> Time!BF$64</f>
        <v>Post ops</v>
      </c>
      <c r="BG4" s="43" t="str">
        <f xml:space="preserve"> Time!BG$64</f>
        <v>Post ops</v>
      </c>
      <c r="BH4" s="43" t="str">
        <f xml:space="preserve"> Time!BH$64</f>
        <v>Post ops</v>
      </c>
      <c r="BI4" s="43" t="str">
        <f xml:space="preserve"> Time!BI$64</f>
        <v>Post ops</v>
      </c>
      <c r="BJ4" s="43" t="str">
        <f xml:space="preserve"> Time!BJ$64</f>
        <v>Post ops</v>
      </c>
      <c r="BK4" s="43" t="str">
        <f xml:space="preserve"> Time!BK$64</f>
        <v>Post ops</v>
      </c>
      <c r="BL4" s="43" t="str">
        <f xml:space="preserve"> Time!BL$64</f>
        <v>Post ops</v>
      </c>
      <c r="BM4" s="43" t="str">
        <f xml:space="preserve"> Time!BM$64</f>
        <v>Post ops</v>
      </c>
      <c r="BN4" s="43" t="str">
        <f xml:space="preserve"> Time!BN$64</f>
        <v>Post ops</v>
      </c>
      <c r="BO4" s="43" t="str">
        <f xml:space="preserve"> Time!BO$64</f>
        <v>Post ops</v>
      </c>
      <c r="BP4" s="43" t="str">
        <f xml:space="preserve"> Time!BP$64</f>
        <v>Post ops</v>
      </c>
      <c r="BQ4" s="43" t="str">
        <f xml:space="preserve"> Time!BQ$64</f>
        <v>Post ops</v>
      </c>
      <c r="BR4" s="43" t="str">
        <f xml:space="preserve"> Time!BR$64</f>
        <v>Post ops</v>
      </c>
      <c r="BS4" s="43" t="str">
        <f xml:space="preserve"> Time!BS$64</f>
        <v>Post ops</v>
      </c>
      <c r="BT4" s="43" t="str">
        <f xml:space="preserve"> Time!BT$64</f>
        <v>Post ops</v>
      </c>
      <c r="BU4" s="43" t="str">
        <f xml:space="preserve"> Time!BU$64</f>
        <v>Post ops</v>
      </c>
      <c r="BV4" s="43" t="str">
        <f xml:space="preserve"> Time!BV$64</f>
        <v>Post ops</v>
      </c>
      <c r="BW4" s="43" t="str">
        <f xml:space="preserve"> Time!BW$64</f>
        <v>Post ops</v>
      </c>
      <c r="BX4" s="43" t="str">
        <f xml:space="preserve"> Time!BX$64</f>
        <v>Post ops</v>
      </c>
      <c r="BY4" s="43" t="str">
        <f xml:space="preserve"> Time!BY$64</f>
        <v>Post ops</v>
      </c>
      <c r="BZ4" s="43" t="str">
        <f xml:space="preserve"> Time!BZ$64</f>
        <v>Post ops</v>
      </c>
      <c r="CA4" s="43" t="str">
        <f xml:space="preserve"> Time!CA$64</f>
        <v>Post ops</v>
      </c>
      <c r="CB4" s="43" t="str">
        <f xml:space="preserve"> Time!CB$64</f>
        <v>Post ops</v>
      </c>
      <c r="CC4" s="43" t="str">
        <f xml:space="preserve"> Time!CC$64</f>
        <v>Post ops</v>
      </c>
      <c r="CD4" s="43" t="str">
        <f xml:space="preserve"> Time!CD$64</f>
        <v>Post ops</v>
      </c>
      <c r="CE4" s="43" t="str">
        <f xml:space="preserve"> Time!CE$64</f>
        <v>Post ops</v>
      </c>
      <c r="CF4" s="43" t="str">
        <f xml:space="preserve"> Time!CF$64</f>
        <v>Post ops</v>
      </c>
      <c r="CG4" s="43" t="str">
        <f xml:space="preserve"> Time!CG$64</f>
        <v>Post ops</v>
      </c>
      <c r="CH4" s="43" t="str">
        <f xml:space="preserve"> Time!CH$64</f>
        <v>Post ops</v>
      </c>
      <c r="CI4" s="43" t="str">
        <f xml:space="preserve"> Time!CI$64</f>
        <v>Post ops</v>
      </c>
      <c r="CJ4" s="43" t="str">
        <f xml:space="preserve"> Time!CJ$64</f>
        <v>Post ops</v>
      </c>
      <c r="CK4" s="43" t="str">
        <f xml:space="preserve"> Time!CK$64</f>
        <v>Post ops</v>
      </c>
      <c r="CL4" s="43" t="str">
        <f xml:space="preserve"> Time!CL$64</f>
        <v>Post ops</v>
      </c>
      <c r="CM4" s="43" t="str">
        <f xml:space="preserve"> Time!CM$64</f>
        <v>Post ops</v>
      </c>
      <c r="CN4" s="43" t="str">
        <f xml:space="preserve"> Time!CN$64</f>
        <v>Post ops</v>
      </c>
      <c r="CO4" s="43" t="str">
        <f xml:space="preserve"> Time!CO$64</f>
        <v>Post ops</v>
      </c>
      <c r="CP4" s="43" t="str">
        <f xml:space="preserve"> Time!CP$64</f>
        <v>Post ops</v>
      </c>
      <c r="CQ4" s="43" t="str">
        <f xml:space="preserve"> Time!CQ$64</f>
        <v>Post ops</v>
      </c>
      <c r="CR4" s="43" t="str">
        <f xml:space="preserve"> Time!CR$64</f>
        <v>Post ops</v>
      </c>
      <c r="CS4" s="43" t="str">
        <f xml:space="preserve"> Time!CS$64</f>
        <v>Post ops</v>
      </c>
      <c r="CT4" s="43" t="str">
        <f xml:space="preserve"> Time!CT$64</f>
        <v>Post ops</v>
      </c>
      <c r="CU4" s="43" t="str">
        <f xml:space="preserve"> Time!CU$64</f>
        <v>Post ops</v>
      </c>
      <c r="CV4" s="43" t="str">
        <f xml:space="preserve"> Time!CV$64</f>
        <v>Post ops</v>
      </c>
    </row>
    <row r="5" spans="1:100" x14ac:dyDescent="0.2">
      <c r="E5" s="993" t="s">
        <v>0</v>
      </c>
      <c r="F5" s="995" t="s">
        <v>19</v>
      </c>
      <c r="G5" s="996" t="s">
        <v>17</v>
      </c>
      <c r="H5" s="995" t="s">
        <v>18</v>
      </c>
      <c r="J5" s="993">
        <f xml:space="preserve"> Time!J$10</f>
        <v>1</v>
      </c>
      <c r="K5" s="993">
        <f xml:space="preserve"> Time!K$10</f>
        <v>2</v>
      </c>
      <c r="L5" s="993">
        <f xml:space="preserve"> Time!L$10</f>
        <v>3</v>
      </c>
      <c r="M5" s="993">
        <f xml:space="preserve"> Time!M$10</f>
        <v>4</v>
      </c>
      <c r="N5" s="993">
        <f xml:space="preserve"> Time!N$10</f>
        <v>5</v>
      </c>
      <c r="O5" s="993">
        <f xml:space="preserve"> Time!O$10</f>
        <v>6</v>
      </c>
      <c r="P5" s="993">
        <f xml:space="preserve"> Time!P$10</f>
        <v>7</v>
      </c>
      <c r="Q5" s="993">
        <f xml:space="preserve"> Time!Q$10</f>
        <v>8</v>
      </c>
      <c r="R5" s="993">
        <f xml:space="preserve"> Time!R$10</f>
        <v>9</v>
      </c>
      <c r="S5" s="993">
        <f xml:space="preserve"> Time!S$10</f>
        <v>10</v>
      </c>
      <c r="T5" s="993">
        <f xml:space="preserve"> Time!T$10</f>
        <v>11</v>
      </c>
      <c r="U5" s="993">
        <f xml:space="preserve"> Time!U$10</f>
        <v>12</v>
      </c>
      <c r="V5" s="993">
        <f xml:space="preserve"> Time!V$10</f>
        <v>13</v>
      </c>
      <c r="W5" s="993">
        <f xml:space="preserve"> Time!W$10</f>
        <v>14</v>
      </c>
      <c r="X5" s="993">
        <f xml:space="preserve"> Time!X$10</f>
        <v>15</v>
      </c>
      <c r="Y5" s="993">
        <f xml:space="preserve"> Time!Y$10</f>
        <v>16</v>
      </c>
      <c r="Z5" s="993">
        <f xml:space="preserve"> Time!Z$10</f>
        <v>17</v>
      </c>
      <c r="AA5" s="993">
        <f xml:space="preserve"> Time!AA$10</f>
        <v>18</v>
      </c>
      <c r="AB5" s="993">
        <f xml:space="preserve"> Time!AB$10</f>
        <v>19</v>
      </c>
      <c r="AC5" s="993">
        <f xml:space="preserve"> Time!AC$10</f>
        <v>20</v>
      </c>
      <c r="AD5" s="993">
        <f xml:space="preserve"> Time!AD$10</f>
        <v>21</v>
      </c>
      <c r="AE5" s="993">
        <f xml:space="preserve"> Time!AE$10</f>
        <v>22</v>
      </c>
      <c r="AF5" s="993">
        <f xml:space="preserve"> Time!AF$10</f>
        <v>23</v>
      </c>
      <c r="AG5" s="993">
        <f xml:space="preserve"> Time!AG$10</f>
        <v>24</v>
      </c>
      <c r="AH5" s="993">
        <f xml:space="preserve"> Time!AH$10</f>
        <v>25</v>
      </c>
      <c r="AI5" s="993">
        <f xml:space="preserve"> Time!AI$10</f>
        <v>26</v>
      </c>
      <c r="AJ5" s="993">
        <f xml:space="preserve"> Time!AJ$10</f>
        <v>27</v>
      </c>
      <c r="AK5" s="993">
        <f xml:space="preserve"> Time!AK$10</f>
        <v>28</v>
      </c>
      <c r="AL5" s="993">
        <f xml:space="preserve"> Time!AL$10</f>
        <v>29</v>
      </c>
      <c r="AM5" s="993">
        <f xml:space="preserve"> Time!AM$10</f>
        <v>30</v>
      </c>
      <c r="AN5" s="993">
        <f xml:space="preserve"> Time!AN$10</f>
        <v>31</v>
      </c>
      <c r="AO5" s="993">
        <f xml:space="preserve"> Time!AO$10</f>
        <v>32</v>
      </c>
      <c r="AP5" s="993">
        <f xml:space="preserve"> Time!AP$10</f>
        <v>33</v>
      </c>
      <c r="AQ5" s="993">
        <f xml:space="preserve"> Time!AQ$10</f>
        <v>34</v>
      </c>
      <c r="AR5" s="993">
        <f xml:space="preserve"> Time!AR$10</f>
        <v>35</v>
      </c>
      <c r="AS5" s="993">
        <f xml:space="preserve"> Time!AS$10</f>
        <v>36</v>
      </c>
      <c r="AT5" s="993">
        <f xml:space="preserve"> Time!AT$10</f>
        <v>37</v>
      </c>
      <c r="AU5" s="993">
        <f xml:space="preserve"> Time!AU$10</f>
        <v>38</v>
      </c>
      <c r="AV5" s="993">
        <f xml:space="preserve"> Time!AV$10</f>
        <v>39</v>
      </c>
      <c r="AW5" s="993">
        <f xml:space="preserve"> Time!AW$10</f>
        <v>40</v>
      </c>
      <c r="AX5" s="993">
        <f xml:space="preserve"> Time!AX$10</f>
        <v>41</v>
      </c>
      <c r="AY5" s="993">
        <f xml:space="preserve"> Time!AY$10</f>
        <v>42</v>
      </c>
      <c r="AZ5" s="993">
        <f xml:space="preserve"> Time!AZ$10</f>
        <v>43</v>
      </c>
      <c r="BA5" s="993">
        <f xml:space="preserve"> Time!BA$10</f>
        <v>44</v>
      </c>
      <c r="BB5" s="993">
        <f xml:space="preserve"> Time!BB$10</f>
        <v>45</v>
      </c>
      <c r="BC5" s="993">
        <f xml:space="preserve"> Time!BC$10</f>
        <v>46</v>
      </c>
      <c r="BD5" s="993">
        <f xml:space="preserve"> Time!BD$10</f>
        <v>47</v>
      </c>
      <c r="BE5" s="993">
        <f xml:space="preserve"> Time!BE$10</f>
        <v>48</v>
      </c>
      <c r="BF5" s="993">
        <f xml:space="preserve"> Time!BF$10</f>
        <v>49</v>
      </c>
      <c r="BG5" s="993">
        <f xml:space="preserve"> Time!BG$10</f>
        <v>50</v>
      </c>
      <c r="BH5" s="993">
        <f xml:space="preserve"> Time!BH$10</f>
        <v>51</v>
      </c>
      <c r="BI5" s="993">
        <f xml:space="preserve"> Time!BI$10</f>
        <v>52</v>
      </c>
      <c r="BJ5" s="993">
        <f xml:space="preserve"> Time!BJ$10</f>
        <v>53</v>
      </c>
      <c r="BK5" s="993">
        <f xml:space="preserve"> Time!BK$10</f>
        <v>54</v>
      </c>
      <c r="BL5" s="993">
        <f xml:space="preserve"> Time!BL$10</f>
        <v>55</v>
      </c>
      <c r="BM5" s="993">
        <f xml:space="preserve"> Time!BM$10</f>
        <v>56</v>
      </c>
      <c r="BN5" s="993">
        <f xml:space="preserve"> Time!BN$10</f>
        <v>57</v>
      </c>
      <c r="BO5" s="993">
        <f xml:space="preserve"> Time!BO$10</f>
        <v>58</v>
      </c>
      <c r="BP5" s="993">
        <f xml:space="preserve"> Time!BP$10</f>
        <v>59</v>
      </c>
      <c r="BQ5" s="993">
        <f xml:space="preserve"> Time!BQ$10</f>
        <v>60</v>
      </c>
      <c r="BR5" s="993">
        <f xml:space="preserve"> Time!BR$10</f>
        <v>61</v>
      </c>
      <c r="BS5" s="993">
        <f xml:space="preserve"> Time!BS$10</f>
        <v>62</v>
      </c>
      <c r="BT5" s="993">
        <f xml:space="preserve"> Time!BT$10</f>
        <v>63</v>
      </c>
      <c r="BU5" s="993">
        <f xml:space="preserve"> Time!BU$10</f>
        <v>64</v>
      </c>
      <c r="BV5" s="993">
        <f xml:space="preserve"> Time!BV$10</f>
        <v>65</v>
      </c>
      <c r="BW5" s="993">
        <f xml:space="preserve"> Time!BW$10</f>
        <v>66</v>
      </c>
      <c r="BX5" s="993">
        <f xml:space="preserve"> Time!BX$10</f>
        <v>67</v>
      </c>
      <c r="BY5" s="993">
        <f xml:space="preserve"> Time!BY$10</f>
        <v>68</v>
      </c>
      <c r="BZ5" s="993">
        <f xml:space="preserve"> Time!BZ$10</f>
        <v>69</v>
      </c>
      <c r="CA5" s="993">
        <f xml:space="preserve"> Time!CA$10</f>
        <v>70</v>
      </c>
      <c r="CB5" s="993">
        <f xml:space="preserve"> Time!CB$10</f>
        <v>71</v>
      </c>
      <c r="CC5" s="993">
        <f xml:space="preserve"> Time!CC$10</f>
        <v>72</v>
      </c>
      <c r="CD5" s="993">
        <f xml:space="preserve"> Time!CD$10</f>
        <v>73</v>
      </c>
      <c r="CE5" s="993">
        <f xml:space="preserve"> Time!CE$10</f>
        <v>74</v>
      </c>
      <c r="CF5" s="993">
        <f xml:space="preserve"> Time!CF$10</f>
        <v>75</v>
      </c>
      <c r="CG5" s="993">
        <f xml:space="preserve"> Time!CG$10</f>
        <v>76</v>
      </c>
      <c r="CH5" s="993">
        <f xml:space="preserve"> Time!CH$10</f>
        <v>77</v>
      </c>
      <c r="CI5" s="993">
        <f xml:space="preserve"> Time!CI$10</f>
        <v>78</v>
      </c>
      <c r="CJ5" s="993">
        <f xml:space="preserve"> Time!CJ$10</f>
        <v>79</v>
      </c>
      <c r="CK5" s="993">
        <f xml:space="preserve"> Time!CK$10</f>
        <v>80</v>
      </c>
      <c r="CL5" s="993">
        <f xml:space="preserve"> Time!CL$10</f>
        <v>81</v>
      </c>
      <c r="CM5" s="993">
        <f xml:space="preserve"> Time!CM$10</f>
        <v>82</v>
      </c>
      <c r="CN5" s="993">
        <f xml:space="preserve"> Time!CN$10</f>
        <v>83</v>
      </c>
      <c r="CO5" s="993">
        <f xml:space="preserve"> Time!CO$10</f>
        <v>84</v>
      </c>
      <c r="CP5" s="993">
        <f xml:space="preserve"> Time!CP$10</f>
        <v>85</v>
      </c>
      <c r="CQ5" s="993">
        <f xml:space="preserve"> Time!CQ$10</f>
        <v>86</v>
      </c>
      <c r="CR5" s="993">
        <f xml:space="preserve"> Time!CR$10</f>
        <v>87</v>
      </c>
      <c r="CS5" s="993">
        <f xml:space="preserve"> Time!CS$10</f>
        <v>88</v>
      </c>
      <c r="CT5" s="993">
        <f xml:space="preserve"> Time!CT$10</f>
        <v>89</v>
      </c>
      <c r="CU5" s="993">
        <f xml:space="preserve"> Time!CU$10</f>
        <v>90</v>
      </c>
      <c r="CV5" s="993">
        <f xml:space="preserve"> Time!CV$10</f>
        <v>91</v>
      </c>
    </row>
    <row r="6" spans="1:100" x14ac:dyDescent="0.2"/>
    <row r="7" spans="1:100" x14ac:dyDescent="0.2">
      <c r="A7" s="981" t="s">
        <v>783</v>
      </c>
    </row>
    <row r="8" spans="1:100" s="1001" customFormat="1" outlineLevel="1" x14ac:dyDescent="0.2">
      <c r="A8" s="997"/>
      <c r="B8" s="997"/>
      <c r="C8" s="998"/>
      <c r="D8" s="999"/>
      <c r="E8" s="1000" t="str">
        <f ca="1" xml:space="preserve"> E$3</f>
        <v>Model period ending</v>
      </c>
      <c r="F8" s="1000">
        <f t="shared" ref="F8:BQ8" ca="1" si="0" xml:space="preserve"> F$3</f>
        <v>0</v>
      </c>
      <c r="G8" s="1000">
        <f t="shared" ca="1" si="0"/>
        <v>0</v>
      </c>
      <c r="H8" s="1000">
        <f t="shared" ca="1" si="0"/>
        <v>0</v>
      </c>
      <c r="I8" s="1000">
        <f t="shared" ca="1" si="0"/>
        <v>0</v>
      </c>
      <c r="J8" s="1000">
        <f t="shared" ca="1" si="0"/>
        <v>44742</v>
      </c>
      <c r="K8" s="1000">
        <f t="shared" ca="1" si="0"/>
        <v>44926</v>
      </c>
      <c r="L8" s="1000">
        <f t="shared" ca="1" si="0"/>
        <v>45107</v>
      </c>
      <c r="M8" s="1000">
        <f t="shared" ca="1" si="0"/>
        <v>45291</v>
      </c>
      <c r="N8" s="1000">
        <f t="shared" ca="1" si="0"/>
        <v>45473</v>
      </c>
      <c r="O8" s="1000">
        <f t="shared" ca="1" si="0"/>
        <v>45657</v>
      </c>
      <c r="P8" s="1000">
        <f t="shared" ca="1" si="0"/>
        <v>45838</v>
      </c>
      <c r="Q8" s="1000">
        <f t="shared" ca="1" si="0"/>
        <v>46022</v>
      </c>
      <c r="R8" s="1000">
        <f t="shared" ca="1" si="0"/>
        <v>46203</v>
      </c>
      <c r="S8" s="1000">
        <f t="shared" ca="1" si="0"/>
        <v>46387</v>
      </c>
      <c r="T8" s="1000">
        <f t="shared" ca="1" si="0"/>
        <v>46568</v>
      </c>
      <c r="U8" s="1000">
        <f t="shared" ca="1" si="0"/>
        <v>46752</v>
      </c>
      <c r="V8" s="1000">
        <f t="shared" ca="1" si="0"/>
        <v>46934</v>
      </c>
      <c r="W8" s="1000">
        <f t="shared" ca="1" si="0"/>
        <v>47118</v>
      </c>
      <c r="X8" s="1000">
        <f t="shared" ca="1" si="0"/>
        <v>47299</v>
      </c>
      <c r="Y8" s="1000">
        <f t="shared" ca="1" si="0"/>
        <v>47483</v>
      </c>
      <c r="Z8" s="1000">
        <f t="shared" ca="1" si="0"/>
        <v>47664</v>
      </c>
      <c r="AA8" s="1000">
        <f t="shared" ca="1" si="0"/>
        <v>47848</v>
      </c>
      <c r="AB8" s="1000">
        <f t="shared" ca="1" si="0"/>
        <v>48029</v>
      </c>
      <c r="AC8" s="1000">
        <f t="shared" ca="1" si="0"/>
        <v>48213</v>
      </c>
      <c r="AD8" s="1000">
        <f t="shared" ca="1" si="0"/>
        <v>48395</v>
      </c>
      <c r="AE8" s="1000">
        <f t="shared" ca="1" si="0"/>
        <v>48579</v>
      </c>
      <c r="AF8" s="1000">
        <f t="shared" ca="1" si="0"/>
        <v>48760</v>
      </c>
      <c r="AG8" s="1000">
        <f t="shared" ca="1" si="0"/>
        <v>48944</v>
      </c>
      <c r="AH8" s="1000">
        <f t="shared" ca="1" si="0"/>
        <v>49125</v>
      </c>
      <c r="AI8" s="1000">
        <f t="shared" ca="1" si="0"/>
        <v>49309</v>
      </c>
      <c r="AJ8" s="1000">
        <f t="shared" ca="1" si="0"/>
        <v>49490</v>
      </c>
      <c r="AK8" s="1000">
        <f t="shared" ca="1" si="0"/>
        <v>49674</v>
      </c>
      <c r="AL8" s="1000">
        <f t="shared" ca="1" si="0"/>
        <v>49856</v>
      </c>
      <c r="AM8" s="1000">
        <f t="shared" ca="1" si="0"/>
        <v>50040</v>
      </c>
      <c r="AN8" s="1000">
        <f t="shared" ca="1" si="0"/>
        <v>50221</v>
      </c>
      <c r="AO8" s="1000">
        <f t="shared" ca="1" si="0"/>
        <v>50405</v>
      </c>
      <c r="AP8" s="1000">
        <f t="shared" ca="1" si="0"/>
        <v>50586</v>
      </c>
      <c r="AQ8" s="1000">
        <f t="shared" ca="1" si="0"/>
        <v>50770</v>
      </c>
      <c r="AR8" s="1000">
        <f t="shared" ca="1" si="0"/>
        <v>50951</v>
      </c>
      <c r="AS8" s="1000">
        <f t="shared" ca="1" si="0"/>
        <v>51135</v>
      </c>
      <c r="AT8" s="1000">
        <f t="shared" ca="1" si="0"/>
        <v>51317</v>
      </c>
      <c r="AU8" s="1000">
        <f t="shared" ca="1" si="0"/>
        <v>51501</v>
      </c>
      <c r="AV8" s="1000">
        <f t="shared" ca="1" si="0"/>
        <v>51682</v>
      </c>
      <c r="AW8" s="1000">
        <f t="shared" ca="1" si="0"/>
        <v>51866</v>
      </c>
      <c r="AX8" s="1000">
        <f t="shared" ca="1" si="0"/>
        <v>52047</v>
      </c>
      <c r="AY8" s="1000">
        <f t="shared" ca="1" si="0"/>
        <v>52231</v>
      </c>
      <c r="AZ8" s="1000">
        <f t="shared" ca="1" si="0"/>
        <v>52412</v>
      </c>
      <c r="BA8" s="1000">
        <f t="shared" ca="1" si="0"/>
        <v>52596</v>
      </c>
      <c r="BB8" s="1000">
        <f t="shared" ca="1" si="0"/>
        <v>52778</v>
      </c>
      <c r="BC8" s="1000">
        <f t="shared" ca="1" si="0"/>
        <v>52962</v>
      </c>
      <c r="BD8" s="1000">
        <f t="shared" ca="1" si="0"/>
        <v>53143</v>
      </c>
      <c r="BE8" s="1000">
        <f t="shared" ca="1" si="0"/>
        <v>53327</v>
      </c>
      <c r="BF8" s="1000">
        <f t="shared" ca="1" si="0"/>
        <v>53508</v>
      </c>
      <c r="BG8" s="1000">
        <f t="shared" ca="1" si="0"/>
        <v>53692</v>
      </c>
      <c r="BH8" s="1000">
        <f t="shared" ca="1" si="0"/>
        <v>53873</v>
      </c>
      <c r="BI8" s="1000">
        <f t="shared" ca="1" si="0"/>
        <v>54057</v>
      </c>
      <c r="BJ8" s="1000">
        <f t="shared" ca="1" si="0"/>
        <v>54239</v>
      </c>
      <c r="BK8" s="1000">
        <f t="shared" ca="1" si="0"/>
        <v>54423</v>
      </c>
      <c r="BL8" s="1000">
        <f t="shared" ca="1" si="0"/>
        <v>54604</v>
      </c>
      <c r="BM8" s="1000">
        <f t="shared" ca="1" si="0"/>
        <v>54788</v>
      </c>
      <c r="BN8" s="1000">
        <f t="shared" ca="1" si="0"/>
        <v>54969</v>
      </c>
      <c r="BO8" s="1000">
        <f t="shared" ca="1" si="0"/>
        <v>55153</v>
      </c>
      <c r="BP8" s="1000">
        <f t="shared" ca="1" si="0"/>
        <v>55334</v>
      </c>
      <c r="BQ8" s="1000">
        <f t="shared" ca="1" si="0"/>
        <v>55518</v>
      </c>
      <c r="BR8" s="1000">
        <f t="shared" ref="BR8:CV8" ca="1" si="1" xml:space="preserve"> BR$3</f>
        <v>55700</v>
      </c>
      <c r="BS8" s="1000">
        <f t="shared" ca="1" si="1"/>
        <v>55884</v>
      </c>
      <c r="BT8" s="1000">
        <f t="shared" ca="1" si="1"/>
        <v>56065</v>
      </c>
      <c r="BU8" s="1000">
        <f t="shared" ca="1" si="1"/>
        <v>56249</v>
      </c>
      <c r="BV8" s="1000">
        <f t="shared" ca="1" si="1"/>
        <v>56430</v>
      </c>
      <c r="BW8" s="1000">
        <f t="shared" ca="1" si="1"/>
        <v>56614</v>
      </c>
      <c r="BX8" s="1000">
        <f t="shared" ca="1" si="1"/>
        <v>56795</v>
      </c>
      <c r="BY8" s="1000">
        <f t="shared" ca="1" si="1"/>
        <v>56979</v>
      </c>
      <c r="BZ8" s="1000">
        <f t="shared" ca="1" si="1"/>
        <v>57161</v>
      </c>
      <c r="CA8" s="1000">
        <f t="shared" ca="1" si="1"/>
        <v>57345</v>
      </c>
      <c r="CB8" s="1000">
        <f t="shared" ca="1" si="1"/>
        <v>57526</v>
      </c>
      <c r="CC8" s="1000">
        <f t="shared" ca="1" si="1"/>
        <v>57710</v>
      </c>
      <c r="CD8" s="1000">
        <f t="shared" ca="1" si="1"/>
        <v>57891</v>
      </c>
      <c r="CE8" s="1000">
        <f t="shared" ca="1" si="1"/>
        <v>58075</v>
      </c>
      <c r="CF8" s="1000">
        <f t="shared" ca="1" si="1"/>
        <v>58256</v>
      </c>
      <c r="CG8" s="1000">
        <f t="shared" ca="1" si="1"/>
        <v>58440</v>
      </c>
      <c r="CH8" s="1000">
        <f t="shared" ca="1" si="1"/>
        <v>58622</v>
      </c>
      <c r="CI8" s="1000">
        <f t="shared" ca="1" si="1"/>
        <v>58806</v>
      </c>
      <c r="CJ8" s="1000">
        <f t="shared" ca="1" si="1"/>
        <v>58987</v>
      </c>
      <c r="CK8" s="1000">
        <f t="shared" ca="1" si="1"/>
        <v>59171</v>
      </c>
      <c r="CL8" s="1000">
        <f t="shared" ca="1" si="1"/>
        <v>59352</v>
      </c>
      <c r="CM8" s="1000">
        <f t="shared" ca="1" si="1"/>
        <v>59536</v>
      </c>
      <c r="CN8" s="1000">
        <f t="shared" ca="1" si="1"/>
        <v>59717</v>
      </c>
      <c r="CO8" s="1000">
        <f t="shared" ca="1" si="1"/>
        <v>59901</v>
      </c>
      <c r="CP8" s="1000">
        <f t="shared" ca="1" si="1"/>
        <v>60083</v>
      </c>
      <c r="CQ8" s="1000">
        <f t="shared" ca="1" si="1"/>
        <v>60267</v>
      </c>
      <c r="CR8" s="1000">
        <f t="shared" ca="1" si="1"/>
        <v>60448</v>
      </c>
      <c r="CS8" s="1000">
        <f t="shared" ca="1" si="1"/>
        <v>60632</v>
      </c>
      <c r="CT8" s="1000">
        <f t="shared" ca="1" si="1"/>
        <v>60813</v>
      </c>
      <c r="CU8" s="1000">
        <f t="shared" ca="1" si="1"/>
        <v>60997</v>
      </c>
      <c r="CV8" s="1000">
        <f t="shared" ca="1" si="1"/>
        <v>61178</v>
      </c>
    </row>
    <row r="9" spans="1:100" s="1003" customFormat="1" outlineLevel="1" x14ac:dyDescent="0.2">
      <c r="A9" s="195"/>
      <c r="B9" s="195"/>
      <c r="C9" s="1002"/>
      <c r="D9" s="194"/>
      <c r="E9" s="194" t="str">
        <f xml:space="preserve"> Time!E$45</f>
        <v>Model period ending - annual</v>
      </c>
      <c r="F9" s="194">
        <f xml:space="preserve"> Time!F$45</f>
        <v>0</v>
      </c>
      <c r="G9" s="194" t="str">
        <f xml:space="preserve"> Time!G$45</f>
        <v>date</v>
      </c>
      <c r="H9" s="194">
        <f xml:space="preserve"> Time!H$45</f>
        <v>0</v>
      </c>
      <c r="I9" s="194">
        <f xml:space="preserve"> Time!I$45</f>
        <v>0</v>
      </c>
      <c r="J9" s="194">
        <f xml:space="preserve"> Time!J$45</f>
        <v>44742</v>
      </c>
      <c r="K9" s="194">
        <f xml:space="preserve"> Time!K$45</f>
        <v>45107</v>
      </c>
      <c r="L9" s="194">
        <f xml:space="preserve"> Time!L$45</f>
        <v>45473</v>
      </c>
      <c r="M9" s="194">
        <f xml:space="preserve"> Time!M$45</f>
        <v>45838</v>
      </c>
      <c r="N9" s="194">
        <f xml:space="preserve"> Time!N$45</f>
        <v>46203</v>
      </c>
      <c r="O9" s="194">
        <f xml:space="preserve"> Time!O$45</f>
        <v>46568</v>
      </c>
      <c r="P9" s="194">
        <f xml:space="preserve"> Time!P$45</f>
        <v>46934</v>
      </c>
      <c r="Q9" s="194">
        <f xml:space="preserve"> Time!Q$45</f>
        <v>47299</v>
      </c>
      <c r="R9" s="194">
        <f xml:space="preserve"> Time!R$45</f>
        <v>47664</v>
      </c>
      <c r="S9" s="194">
        <f xml:space="preserve"> Time!S$45</f>
        <v>48029</v>
      </c>
      <c r="T9" s="194">
        <f xml:space="preserve"> Time!T$45</f>
        <v>48395</v>
      </c>
      <c r="U9" s="194">
        <f xml:space="preserve"> Time!U$45</f>
        <v>48760</v>
      </c>
      <c r="V9" s="194">
        <f xml:space="preserve"> Time!V$45</f>
        <v>49125</v>
      </c>
      <c r="W9" s="194">
        <f xml:space="preserve"> Time!W$45</f>
        <v>49490</v>
      </c>
      <c r="X9" s="194">
        <f xml:space="preserve"> Time!X$45</f>
        <v>49856</v>
      </c>
      <c r="Y9" s="194">
        <f xml:space="preserve"> Time!Y$45</f>
        <v>50221</v>
      </c>
      <c r="Z9" s="194">
        <f xml:space="preserve"> Time!Z$45</f>
        <v>50586</v>
      </c>
      <c r="AA9" s="194">
        <f xml:space="preserve"> Time!AA$45</f>
        <v>50951</v>
      </c>
      <c r="AB9" s="194">
        <f xml:space="preserve"> Time!AB$45</f>
        <v>51317</v>
      </c>
      <c r="AC9" s="194">
        <f xml:space="preserve"> Time!AC$45</f>
        <v>51682</v>
      </c>
      <c r="AD9" s="194">
        <f xml:space="preserve"> Time!AD$45</f>
        <v>52047</v>
      </c>
      <c r="AE9" s="194">
        <f xml:space="preserve"> Time!AE$45</f>
        <v>52412</v>
      </c>
      <c r="AF9" s="194">
        <f xml:space="preserve"> Time!AF$45</f>
        <v>52778</v>
      </c>
      <c r="AG9" s="194">
        <f xml:space="preserve"> Time!AG$45</f>
        <v>53143</v>
      </c>
      <c r="AH9" s="194">
        <f xml:space="preserve"> Time!AH$45</f>
        <v>53508</v>
      </c>
      <c r="AI9" s="194">
        <f xml:space="preserve"> Time!AI$45</f>
        <v>53873</v>
      </c>
      <c r="AJ9" s="194">
        <f xml:space="preserve"> Time!AJ$45</f>
        <v>54239</v>
      </c>
      <c r="AK9" s="194">
        <f xml:space="preserve"> Time!AK$45</f>
        <v>54604</v>
      </c>
      <c r="AL9" s="194">
        <f xml:space="preserve"> Time!AL$45</f>
        <v>54969</v>
      </c>
      <c r="AM9" s="194">
        <f xml:space="preserve"> Time!AM$45</f>
        <v>55334</v>
      </c>
      <c r="AN9" s="194">
        <f xml:space="preserve"> Time!AN$45</f>
        <v>55700</v>
      </c>
      <c r="AO9" s="194">
        <f xml:space="preserve"> Time!AO$45</f>
        <v>56065</v>
      </c>
      <c r="AP9" s="194">
        <f xml:space="preserve"> Time!AP$45</f>
        <v>56430</v>
      </c>
      <c r="AQ9" s="194">
        <f xml:space="preserve"> Time!AQ$45</f>
        <v>56795</v>
      </c>
      <c r="AR9" s="194">
        <f xml:space="preserve"> Time!AR$45</f>
        <v>57161</v>
      </c>
      <c r="AS9" s="194">
        <f xml:space="preserve"> Time!AS$45</f>
        <v>57526</v>
      </c>
      <c r="AT9" s="194">
        <f xml:space="preserve"> Time!AT$45</f>
        <v>57891</v>
      </c>
      <c r="AU9" s="194">
        <f xml:space="preserve"> Time!AU$45</f>
        <v>58256</v>
      </c>
      <c r="AV9" s="194">
        <f xml:space="preserve"> Time!AV$45</f>
        <v>58622</v>
      </c>
      <c r="AW9" s="194">
        <f xml:space="preserve"> Time!AW$45</f>
        <v>58987</v>
      </c>
      <c r="AX9" s="194">
        <f xml:space="preserve"> Time!AX$45</f>
        <v>59352</v>
      </c>
      <c r="AY9" s="194">
        <f xml:space="preserve"> Time!AY$45</f>
        <v>59717</v>
      </c>
      <c r="AZ9" s="194">
        <f xml:space="preserve"> Time!AZ$45</f>
        <v>60083</v>
      </c>
      <c r="BA9" s="194">
        <f xml:space="preserve"> Time!BA$45</f>
        <v>60448</v>
      </c>
      <c r="BB9" s="194">
        <f xml:space="preserve"> Time!BB$45</f>
        <v>60813</v>
      </c>
      <c r="BC9" s="194">
        <f xml:space="preserve"> Time!BC$45</f>
        <v>0</v>
      </c>
      <c r="BD9" s="194">
        <f xml:space="preserve"> Time!BD$45</f>
        <v>0</v>
      </c>
      <c r="BE9" s="194">
        <f xml:space="preserve"> Time!BE$45</f>
        <v>0</v>
      </c>
      <c r="BF9" s="194">
        <f xml:space="preserve"> Time!BF$45</f>
        <v>0</v>
      </c>
      <c r="BG9" s="194">
        <f xml:space="preserve"> Time!BG$45</f>
        <v>0</v>
      </c>
      <c r="BH9" s="194">
        <f xml:space="preserve"> Time!BH$45</f>
        <v>0</v>
      </c>
      <c r="BI9" s="194">
        <f xml:space="preserve"> Time!BI$45</f>
        <v>0</v>
      </c>
      <c r="BJ9" s="194">
        <f xml:space="preserve"> Time!BJ$45</f>
        <v>0</v>
      </c>
      <c r="BK9" s="194">
        <f xml:space="preserve"> Time!BK$45</f>
        <v>0</v>
      </c>
      <c r="BL9" s="194">
        <f xml:space="preserve"> Time!BL$45</f>
        <v>0</v>
      </c>
      <c r="BM9" s="194">
        <f xml:space="preserve"> Time!BM$45</f>
        <v>0</v>
      </c>
      <c r="BN9" s="194">
        <f xml:space="preserve"> Time!BN$45</f>
        <v>0</v>
      </c>
      <c r="BO9" s="194">
        <f xml:space="preserve"> Time!BO$45</f>
        <v>0</v>
      </c>
      <c r="BP9" s="194">
        <f xml:space="preserve"> Time!BP$45</f>
        <v>0</v>
      </c>
      <c r="BQ9" s="194">
        <f xml:space="preserve"> Time!BQ$45</f>
        <v>0</v>
      </c>
      <c r="BR9" s="194">
        <f xml:space="preserve"> Time!BR$45</f>
        <v>0</v>
      </c>
      <c r="BS9" s="194">
        <f xml:space="preserve"> Time!BS$45</f>
        <v>0</v>
      </c>
      <c r="BT9" s="194">
        <f xml:space="preserve"> Time!BT$45</f>
        <v>0</v>
      </c>
      <c r="BU9" s="194">
        <f xml:space="preserve"> Time!BU$45</f>
        <v>0</v>
      </c>
      <c r="BV9" s="194">
        <f xml:space="preserve"> Time!BV$45</f>
        <v>0</v>
      </c>
      <c r="BW9" s="194">
        <f xml:space="preserve"> Time!BW$45</f>
        <v>0</v>
      </c>
      <c r="BX9" s="194">
        <f xml:space="preserve"> Time!BX$45</f>
        <v>0</v>
      </c>
      <c r="BY9" s="194">
        <f xml:space="preserve"> Time!BY$45</f>
        <v>0</v>
      </c>
      <c r="BZ9" s="194">
        <f xml:space="preserve"> Time!BZ$45</f>
        <v>0</v>
      </c>
      <c r="CA9" s="194">
        <f xml:space="preserve"> Time!CA$45</f>
        <v>0</v>
      </c>
      <c r="CB9" s="194">
        <f xml:space="preserve"> Time!CB$45</f>
        <v>0</v>
      </c>
      <c r="CC9" s="194">
        <f xml:space="preserve"> Time!CC$45</f>
        <v>0</v>
      </c>
      <c r="CD9" s="194">
        <f xml:space="preserve"> Time!CD$45</f>
        <v>0</v>
      </c>
      <c r="CE9" s="194">
        <f xml:space="preserve"> Time!CE$45</f>
        <v>0</v>
      </c>
      <c r="CF9" s="194">
        <f xml:space="preserve"> Time!CF$45</f>
        <v>0</v>
      </c>
      <c r="CG9" s="194">
        <f xml:space="preserve"> Time!CG$45</f>
        <v>0</v>
      </c>
      <c r="CH9" s="194">
        <f xml:space="preserve"> Time!CH$45</f>
        <v>0</v>
      </c>
      <c r="CI9" s="194">
        <f xml:space="preserve"> Time!CI$45</f>
        <v>0</v>
      </c>
      <c r="CJ9" s="194">
        <f xml:space="preserve"> Time!CJ$45</f>
        <v>0</v>
      </c>
      <c r="CK9" s="194">
        <f xml:space="preserve"> Time!CK$45</f>
        <v>0</v>
      </c>
      <c r="CL9" s="194">
        <f xml:space="preserve"> Time!CL$45</f>
        <v>0</v>
      </c>
      <c r="CM9" s="194">
        <f xml:space="preserve"> Time!CM$45</f>
        <v>0</v>
      </c>
      <c r="CN9" s="194">
        <f xml:space="preserve"> Time!CN$45</f>
        <v>0</v>
      </c>
      <c r="CO9" s="194">
        <f xml:space="preserve"> Time!CO$45</f>
        <v>0</v>
      </c>
      <c r="CP9" s="194">
        <f xml:space="preserve"> Time!CP$45</f>
        <v>0</v>
      </c>
      <c r="CQ9" s="194">
        <f xml:space="preserve"> Time!CQ$45</f>
        <v>0</v>
      </c>
      <c r="CR9" s="194">
        <f xml:space="preserve"> Time!CR$45</f>
        <v>0</v>
      </c>
      <c r="CS9" s="194">
        <f xml:space="preserve"> Time!CS$45</f>
        <v>0</v>
      </c>
      <c r="CT9" s="194">
        <f xml:space="preserve"> Time!CT$45</f>
        <v>0</v>
      </c>
      <c r="CU9" s="194">
        <f xml:space="preserve"> Time!CU$45</f>
        <v>0</v>
      </c>
      <c r="CV9" s="194">
        <f xml:space="preserve"> Time!CV$45</f>
        <v>0</v>
      </c>
    </row>
    <row r="10" spans="1:100" s="1001" customFormat="1" outlineLevel="1" x14ac:dyDescent="0.2">
      <c r="A10" s="997"/>
      <c r="B10" s="997"/>
      <c r="C10" s="998"/>
      <c r="D10" s="999"/>
      <c r="E10" s="1004"/>
      <c r="F10" s="1005"/>
      <c r="G10" s="1005"/>
      <c r="H10" s="1005"/>
      <c r="I10" s="1005"/>
      <c r="J10" s="1004"/>
      <c r="K10" s="1004"/>
      <c r="L10" s="1004"/>
      <c r="M10" s="1004"/>
      <c r="N10" s="1004"/>
      <c r="O10" s="1004"/>
      <c r="P10" s="1004"/>
      <c r="Q10" s="1004"/>
      <c r="R10" s="1004"/>
      <c r="S10" s="1005"/>
      <c r="T10" s="1005"/>
      <c r="U10" s="1005"/>
      <c r="V10" s="1005"/>
      <c r="W10" s="1005"/>
      <c r="X10" s="1005"/>
      <c r="Y10" s="1005"/>
      <c r="Z10" s="1005"/>
      <c r="AA10" s="1005"/>
      <c r="AB10" s="1005"/>
      <c r="AC10" s="1005"/>
      <c r="AD10" s="1005"/>
      <c r="AE10" s="1005"/>
      <c r="AF10" s="1005"/>
      <c r="AG10" s="1005"/>
      <c r="AH10" s="1005"/>
      <c r="AI10" s="1005"/>
      <c r="AJ10" s="1005"/>
      <c r="AK10" s="1005"/>
      <c r="AL10" s="1005"/>
      <c r="AM10" s="1005"/>
      <c r="AN10" s="1005"/>
      <c r="AO10" s="1005"/>
      <c r="AP10" s="1005"/>
      <c r="AQ10" s="1005"/>
      <c r="AR10" s="1005"/>
      <c r="AS10" s="1005"/>
      <c r="AT10" s="1005"/>
      <c r="AU10" s="1005"/>
      <c r="AV10" s="1005"/>
      <c r="AW10" s="1005"/>
      <c r="AX10" s="1005"/>
      <c r="AY10" s="1005"/>
      <c r="AZ10" s="1005"/>
      <c r="BA10" s="1005"/>
      <c r="BB10" s="1005"/>
      <c r="BC10" s="1005"/>
      <c r="BD10" s="1005"/>
      <c r="BE10" s="1005"/>
      <c r="BF10" s="1005"/>
      <c r="BG10" s="1005"/>
      <c r="BH10" s="1005"/>
      <c r="BI10" s="1005"/>
      <c r="BJ10" s="1005"/>
      <c r="BK10" s="1005"/>
      <c r="BL10" s="1005"/>
      <c r="BM10" s="1005"/>
      <c r="BN10" s="1005"/>
      <c r="BO10" s="1005"/>
      <c r="BP10" s="1005"/>
      <c r="BQ10" s="1005"/>
      <c r="BR10" s="1005"/>
      <c r="BS10" s="1005"/>
      <c r="BT10" s="1005"/>
      <c r="BU10" s="1005"/>
      <c r="BV10" s="1005"/>
      <c r="BW10" s="1005"/>
      <c r="BX10" s="1005"/>
      <c r="BY10" s="1005"/>
      <c r="BZ10" s="1005"/>
      <c r="CA10" s="1005"/>
      <c r="CB10" s="1005"/>
      <c r="CC10" s="1005"/>
      <c r="CD10" s="1005"/>
      <c r="CE10" s="1005"/>
      <c r="CF10" s="1005"/>
      <c r="CG10" s="1005"/>
      <c r="CH10" s="1005"/>
      <c r="CI10" s="1005"/>
      <c r="CJ10" s="1005"/>
      <c r="CK10" s="1005"/>
      <c r="CL10" s="1005"/>
      <c r="CM10" s="1005"/>
      <c r="CN10" s="1005"/>
      <c r="CO10" s="1005"/>
      <c r="CP10" s="1005"/>
      <c r="CQ10" s="1005"/>
      <c r="CR10" s="1005"/>
      <c r="CS10" s="1005"/>
      <c r="CT10" s="1005"/>
      <c r="CU10" s="1005"/>
      <c r="CV10" s="1005"/>
    </row>
    <row r="11" spans="1:100" s="1084" customFormat="1" outlineLevel="1" x14ac:dyDescent="0.2">
      <c r="A11" s="1081"/>
      <c r="B11" s="1081"/>
      <c r="C11" s="1082"/>
      <c r="D11" s="388"/>
      <c r="E11" s="1083" t="str">
        <f xml:space="preserve"> Time!E$39</f>
        <v>Financial year - semi timeline</v>
      </c>
      <c r="F11" s="1083">
        <f xml:space="preserve"> Time!F$39</f>
        <v>0</v>
      </c>
      <c r="G11" s="1083" t="str">
        <f xml:space="preserve"> Time!G$39</f>
        <v>year #</v>
      </c>
      <c r="H11" s="1083">
        <f xml:space="preserve"> Time!H$39</f>
        <v>0</v>
      </c>
      <c r="I11" s="1083">
        <f xml:space="preserve"> Time!I$39</f>
        <v>0</v>
      </c>
      <c r="J11" s="1083">
        <f xml:space="preserve"> Time!J$39</f>
        <v>2022</v>
      </c>
      <c r="K11" s="1083">
        <f xml:space="preserve"> Time!K$39</f>
        <v>2023</v>
      </c>
      <c r="L11" s="1083">
        <f xml:space="preserve"> Time!L$39</f>
        <v>2023</v>
      </c>
      <c r="M11" s="1083">
        <f xml:space="preserve"> Time!M$39</f>
        <v>2024</v>
      </c>
      <c r="N11" s="1083">
        <f xml:space="preserve"> Time!N$39</f>
        <v>2024</v>
      </c>
      <c r="O11" s="1083">
        <f xml:space="preserve"> Time!O$39</f>
        <v>2025</v>
      </c>
      <c r="P11" s="1083">
        <f xml:space="preserve"> Time!P$39</f>
        <v>2025</v>
      </c>
      <c r="Q11" s="1083">
        <f xml:space="preserve"> Time!Q$39</f>
        <v>2026</v>
      </c>
      <c r="R11" s="1083">
        <f xml:space="preserve"> Time!R$39</f>
        <v>2026</v>
      </c>
      <c r="S11" s="1083">
        <f xml:space="preserve"> Time!S$39</f>
        <v>2027</v>
      </c>
      <c r="T11" s="1083">
        <f xml:space="preserve"> Time!T$39</f>
        <v>2027</v>
      </c>
      <c r="U11" s="1083">
        <f xml:space="preserve"> Time!U$39</f>
        <v>2028</v>
      </c>
      <c r="V11" s="1083">
        <f xml:space="preserve"> Time!V$39</f>
        <v>2028</v>
      </c>
      <c r="W11" s="1083">
        <f xml:space="preserve"> Time!W$39</f>
        <v>2029</v>
      </c>
      <c r="X11" s="1083">
        <f xml:space="preserve"> Time!X$39</f>
        <v>2029</v>
      </c>
      <c r="Y11" s="1083">
        <f xml:space="preserve"> Time!Y$39</f>
        <v>2030</v>
      </c>
      <c r="Z11" s="1083">
        <f xml:space="preserve"> Time!Z$39</f>
        <v>2030</v>
      </c>
      <c r="AA11" s="1083">
        <f xml:space="preserve"> Time!AA$39</f>
        <v>2031</v>
      </c>
      <c r="AB11" s="1083">
        <f xml:space="preserve"> Time!AB$39</f>
        <v>2031</v>
      </c>
      <c r="AC11" s="1083">
        <f xml:space="preserve"> Time!AC$39</f>
        <v>2032</v>
      </c>
      <c r="AD11" s="1083">
        <f xml:space="preserve"> Time!AD$39</f>
        <v>2032</v>
      </c>
      <c r="AE11" s="1083">
        <f xml:space="preserve"> Time!AE$39</f>
        <v>2033</v>
      </c>
      <c r="AF11" s="1083">
        <f xml:space="preserve"> Time!AF$39</f>
        <v>2033</v>
      </c>
      <c r="AG11" s="1083">
        <f xml:space="preserve"> Time!AG$39</f>
        <v>2034</v>
      </c>
      <c r="AH11" s="1083">
        <f xml:space="preserve"> Time!AH$39</f>
        <v>2034</v>
      </c>
      <c r="AI11" s="1083">
        <f xml:space="preserve"> Time!AI$39</f>
        <v>2035</v>
      </c>
      <c r="AJ11" s="1083">
        <f xml:space="preserve"> Time!AJ$39</f>
        <v>2035</v>
      </c>
      <c r="AK11" s="1083">
        <f xml:space="preserve"> Time!AK$39</f>
        <v>2036</v>
      </c>
      <c r="AL11" s="1083">
        <f xml:space="preserve"> Time!AL$39</f>
        <v>2036</v>
      </c>
      <c r="AM11" s="1083">
        <f xml:space="preserve"> Time!AM$39</f>
        <v>2037</v>
      </c>
      <c r="AN11" s="1083">
        <f xml:space="preserve"> Time!AN$39</f>
        <v>2037</v>
      </c>
      <c r="AO11" s="1083">
        <f xml:space="preserve"> Time!AO$39</f>
        <v>2038</v>
      </c>
      <c r="AP11" s="1083">
        <f xml:space="preserve"> Time!AP$39</f>
        <v>2038</v>
      </c>
      <c r="AQ11" s="1083">
        <f xml:space="preserve"> Time!AQ$39</f>
        <v>2039</v>
      </c>
      <c r="AR11" s="1083">
        <f xml:space="preserve"> Time!AR$39</f>
        <v>2039</v>
      </c>
      <c r="AS11" s="1083">
        <f xml:space="preserve"> Time!AS$39</f>
        <v>2040</v>
      </c>
      <c r="AT11" s="1083">
        <f xml:space="preserve"> Time!AT$39</f>
        <v>2040</v>
      </c>
      <c r="AU11" s="1083">
        <f xml:space="preserve"> Time!AU$39</f>
        <v>2041</v>
      </c>
      <c r="AV11" s="1083">
        <f xml:space="preserve"> Time!AV$39</f>
        <v>2041</v>
      </c>
      <c r="AW11" s="1083">
        <f xml:space="preserve"> Time!AW$39</f>
        <v>2042</v>
      </c>
      <c r="AX11" s="1083">
        <f xml:space="preserve"> Time!AX$39</f>
        <v>2042</v>
      </c>
      <c r="AY11" s="1083">
        <f xml:space="preserve"> Time!AY$39</f>
        <v>2043</v>
      </c>
      <c r="AZ11" s="1083">
        <f xml:space="preserve"> Time!AZ$39</f>
        <v>2043</v>
      </c>
      <c r="BA11" s="1083">
        <f xml:space="preserve"> Time!BA$39</f>
        <v>2044</v>
      </c>
      <c r="BB11" s="1083">
        <f xml:space="preserve"> Time!BB$39</f>
        <v>2044</v>
      </c>
      <c r="BC11" s="1083">
        <f xml:space="preserve"> Time!BC$39</f>
        <v>2045</v>
      </c>
      <c r="BD11" s="1083">
        <f xml:space="preserve"> Time!BD$39</f>
        <v>2045</v>
      </c>
      <c r="BE11" s="1083">
        <f xml:space="preserve"> Time!BE$39</f>
        <v>2046</v>
      </c>
      <c r="BF11" s="1083">
        <f xml:space="preserve"> Time!BF$39</f>
        <v>2046</v>
      </c>
      <c r="BG11" s="1083">
        <f xml:space="preserve"> Time!BG$39</f>
        <v>2047</v>
      </c>
      <c r="BH11" s="1083">
        <f xml:space="preserve"> Time!BH$39</f>
        <v>2047</v>
      </c>
      <c r="BI11" s="1083">
        <f xml:space="preserve"> Time!BI$39</f>
        <v>2048</v>
      </c>
      <c r="BJ11" s="1083">
        <f xml:space="preserve"> Time!BJ$39</f>
        <v>2048</v>
      </c>
      <c r="BK11" s="1083">
        <f xml:space="preserve"> Time!BK$39</f>
        <v>2049</v>
      </c>
      <c r="BL11" s="1083">
        <f xml:space="preserve"> Time!BL$39</f>
        <v>2049</v>
      </c>
      <c r="BM11" s="1083">
        <f xml:space="preserve"> Time!BM$39</f>
        <v>2050</v>
      </c>
      <c r="BN11" s="1083">
        <f xml:space="preserve"> Time!BN$39</f>
        <v>2050</v>
      </c>
      <c r="BO11" s="1083">
        <f xml:space="preserve"> Time!BO$39</f>
        <v>2051</v>
      </c>
      <c r="BP11" s="1083">
        <f xml:space="preserve"> Time!BP$39</f>
        <v>2051</v>
      </c>
      <c r="BQ11" s="1083">
        <f xml:space="preserve"> Time!BQ$39</f>
        <v>2052</v>
      </c>
      <c r="BR11" s="1083">
        <f xml:space="preserve"> Time!BR$39</f>
        <v>2052</v>
      </c>
      <c r="BS11" s="1083">
        <f xml:space="preserve"> Time!BS$39</f>
        <v>2053</v>
      </c>
      <c r="BT11" s="1083">
        <f xml:space="preserve"> Time!BT$39</f>
        <v>2053</v>
      </c>
      <c r="BU11" s="1083">
        <f xml:space="preserve"> Time!BU$39</f>
        <v>2054</v>
      </c>
      <c r="BV11" s="1083">
        <f xml:space="preserve"> Time!BV$39</f>
        <v>2054</v>
      </c>
      <c r="BW11" s="1083">
        <f xml:space="preserve"> Time!BW$39</f>
        <v>2055</v>
      </c>
      <c r="BX11" s="1083">
        <f xml:space="preserve"> Time!BX$39</f>
        <v>2055</v>
      </c>
      <c r="BY11" s="1083">
        <f xml:space="preserve"> Time!BY$39</f>
        <v>2056</v>
      </c>
      <c r="BZ11" s="1083">
        <f xml:space="preserve"> Time!BZ$39</f>
        <v>2056</v>
      </c>
      <c r="CA11" s="1083">
        <f xml:space="preserve"> Time!CA$39</f>
        <v>2057</v>
      </c>
      <c r="CB11" s="1083">
        <f xml:space="preserve"> Time!CB$39</f>
        <v>2057</v>
      </c>
      <c r="CC11" s="1083">
        <f xml:space="preserve"> Time!CC$39</f>
        <v>2058</v>
      </c>
      <c r="CD11" s="1083">
        <f xml:space="preserve"> Time!CD$39</f>
        <v>2058</v>
      </c>
      <c r="CE11" s="1083">
        <f xml:space="preserve"> Time!CE$39</f>
        <v>2059</v>
      </c>
      <c r="CF11" s="1083">
        <f xml:space="preserve"> Time!CF$39</f>
        <v>2059</v>
      </c>
      <c r="CG11" s="1083">
        <f xml:space="preserve"> Time!CG$39</f>
        <v>2060</v>
      </c>
      <c r="CH11" s="1083">
        <f xml:space="preserve"> Time!CH$39</f>
        <v>2060</v>
      </c>
      <c r="CI11" s="1083">
        <f xml:space="preserve"> Time!CI$39</f>
        <v>2061</v>
      </c>
      <c r="CJ11" s="1083">
        <f xml:space="preserve"> Time!CJ$39</f>
        <v>2061</v>
      </c>
      <c r="CK11" s="1083">
        <f xml:space="preserve"> Time!CK$39</f>
        <v>2062</v>
      </c>
      <c r="CL11" s="1083">
        <f xml:space="preserve"> Time!CL$39</f>
        <v>2062</v>
      </c>
      <c r="CM11" s="1083">
        <f xml:space="preserve"> Time!CM$39</f>
        <v>2063</v>
      </c>
      <c r="CN11" s="1083">
        <f xml:space="preserve"> Time!CN$39</f>
        <v>2063</v>
      </c>
      <c r="CO11" s="1083">
        <f xml:space="preserve"> Time!CO$39</f>
        <v>2064</v>
      </c>
      <c r="CP11" s="1083">
        <f xml:space="preserve"> Time!CP$39</f>
        <v>2064</v>
      </c>
      <c r="CQ11" s="1083">
        <f xml:space="preserve"> Time!CQ$39</f>
        <v>2065</v>
      </c>
      <c r="CR11" s="1083">
        <f xml:space="preserve"> Time!CR$39</f>
        <v>2065</v>
      </c>
      <c r="CS11" s="1083">
        <f xml:space="preserve"> Time!CS$39</f>
        <v>2066</v>
      </c>
      <c r="CT11" s="1083">
        <f xml:space="preserve"> Time!CT$39</f>
        <v>2066</v>
      </c>
      <c r="CU11" s="1083">
        <f xml:space="preserve"> Time!CU$39</f>
        <v>2067</v>
      </c>
      <c r="CV11" s="1083">
        <f xml:space="preserve"> Time!CV$39</f>
        <v>2067</v>
      </c>
    </row>
    <row r="12" spans="1:100" s="1084" customFormat="1" outlineLevel="1" x14ac:dyDescent="0.2">
      <c r="A12" s="1081"/>
      <c r="B12" s="1081"/>
      <c r="C12" s="1082"/>
      <c r="D12" s="388"/>
      <c r="E12" s="388" t="s">
        <v>785</v>
      </c>
      <c r="F12" s="388"/>
      <c r="G12" s="388" t="s">
        <v>784</v>
      </c>
      <c r="H12" s="388"/>
      <c r="I12" s="388"/>
      <c r="J12" s="388">
        <f t="shared" ref="J12:AP12" ca="1" si="2">YEAR(J9)</f>
        <v>2022</v>
      </c>
      <c r="K12" s="388">
        <f t="shared" ca="1" si="2"/>
        <v>2023</v>
      </c>
      <c r="L12" s="388">
        <f t="shared" ca="1" si="2"/>
        <v>2024</v>
      </c>
      <c r="M12" s="388">
        <f t="shared" ca="1" si="2"/>
        <v>2025</v>
      </c>
      <c r="N12" s="388">
        <f t="shared" ca="1" si="2"/>
        <v>2026</v>
      </c>
      <c r="O12" s="388">
        <f t="shared" ca="1" si="2"/>
        <v>2027</v>
      </c>
      <c r="P12" s="388">
        <f t="shared" ca="1" si="2"/>
        <v>2028</v>
      </c>
      <c r="Q12" s="388">
        <f t="shared" ca="1" si="2"/>
        <v>2029</v>
      </c>
      <c r="R12" s="388">
        <f t="shared" ca="1" si="2"/>
        <v>2030</v>
      </c>
      <c r="S12" s="388">
        <f t="shared" ca="1" si="2"/>
        <v>2031</v>
      </c>
      <c r="T12" s="388">
        <f t="shared" ca="1" si="2"/>
        <v>2032</v>
      </c>
      <c r="U12" s="388">
        <f t="shared" ca="1" si="2"/>
        <v>2033</v>
      </c>
      <c r="V12" s="388">
        <f t="shared" ca="1" si="2"/>
        <v>2034</v>
      </c>
      <c r="W12" s="388">
        <f t="shared" ca="1" si="2"/>
        <v>2035</v>
      </c>
      <c r="X12" s="388">
        <f t="shared" ca="1" si="2"/>
        <v>2036</v>
      </c>
      <c r="Y12" s="388">
        <f t="shared" ca="1" si="2"/>
        <v>2037</v>
      </c>
      <c r="Z12" s="388">
        <f t="shared" ca="1" si="2"/>
        <v>2038</v>
      </c>
      <c r="AA12" s="388">
        <f t="shared" ca="1" si="2"/>
        <v>2039</v>
      </c>
      <c r="AB12" s="388">
        <f t="shared" ca="1" si="2"/>
        <v>2040</v>
      </c>
      <c r="AC12" s="388">
        <f t="shared" ca="1" si="2"/>
        <v>2041</v>
      </c>
      <c r="AD12" s="388">
        <f t="shared" ca="1" si="2"/>
        <v>2042</v>
      </c>
      <c r="AE12" s="388">
        <f t="shared" ca="1" si="2"/>
        <v>2043</v>
      </c>
      <c r="AF12" s="388">
        <f t="shared" ca="1" si="2"/>
        <v>2044</v>
      </c>
      <c r="AG12" s="388">
        <f t="shared" ca="1" si="2"/>
        <v>2045</v>
      </c>
      <c r="AH12" s="388">
        <f t="shared" ca="1" si="2"/>
        <v>2046</v>
      </c>
      <c r="AI12" s="388">
        <f t="shared" ca="1" si="2"/>
        <v>2047</v>
      </c>
      <c r="AJ12" s="388">
        <f t="shared" ca="1" si="2"/>
        <v>2048</v>
      </c>
      <c r="AK12" s="388">
        <f t="shared" ca="1" si="2"/>
        <v>2049</v>
      </c>
      <c r="AL12" s="388">
        <f t="shared" ca="1" si="2"/>
        <v>2050</v>
      </c>
      <c r="AM12" s="388">
        <f t="shared" ca="1" si="2"/>
        <v>2051</v>
      </c>
      <c r="AN12" s="388">
        <f t="shared" ca="1" si="2"/>
        <v>2052</v>
      </c>
      <c r="AO12" s="388">
        <f t="shared" ca="1" si="2"/>
        <v>2053</v>
      </c>
      <c r="AP12" s="388">
        <f t="shared" ca="1" si="2"/>
        <v>2054</v>
      </c>
      <c r="AQ12" s="321"/>
      <c r="AR12" s="321"/>
      <c r="AS12" s="321"/>
      <c r="AT12" s="321"/>
      <c r="AU12" s="321"/>
      <c r="AV12" s="321"/>
      <c r="AW12" s="321"/>
      <c r="AX12" s="321"/>
      <c r="AY12" s="321"/>
      <c r="AZ12" s="321"/>
      <c r="BA12" s="321"/>
      <c r="BB12" s="321"/>
      <c r="BC12" s="321"/>
      <c r="BD12" s="321"/>
      <c r="BE12" s="321"/>
      <c r="BF12" s="321"/>
      <c r="BG12" s="321"/>
      <c r="BH12" s="321"/>
      <c r="BI12" s="321"/>
      <c r="BJ12" s="321"/>
      <c r="BK12" s="321"/>
      <c r="BL12" s="321"/>
      <c r="BM12" s="321"/>
      <c r="BN12" s="321"/>
      <c r="BO12" s="321"/>
      <c r="BP12" s="321"/>
      <c r="BQ12" s="321"/>
      <c r="BR12" s="321"/>
      <c r="BS12" s="321"/>
      <c r="BT12" s="321"/>
      <c r="BU12" s="321"/>
      <c r="BV12" s="321"/>
      <c r="BW12" s="321"/>
      <c r="BX12" s="321"/>
      <c r="BY12" s="321"/>
      <c r="BZ12" s="321"/>
      <c r="CA12" s="321"/>
      <c r="CB12" s="321"/>
      <c r="CC12" s="321"/>
      <c r="CD12" s="321"/>
      <c r="CE12" s="321"/>
      <c r="CF12" s="321"/>
      <c r="CG12" s="321"/>
      <c r="CH12" s="321"/>
      <c r="CI12" s="321"/>
      <c r="CJ12" s="321"/>
      <c r="CK12" s="321"/>
      <c r="CL12" s="321"/>
      <c r="CM12" s="321"/>
      <c r="CN12" s="321"/>
      <c r="CO12" s="321"/>
      <c r="CP12" s="321"/>
      <c r="CQ12" s="321"/>
      <c r="CR12" s="321"/>
      <c r="CS12" s="321"/>
      <c r="CT12" s="321"/>
      <c r="CU12" s="321"/>
      <c r="CV12" s="321"/>
    </row>
    <row r="13" spans="1:100" s="1001" customFormat="1" outlineLevel="1" x14ac:dyDescent="0.2">
      <c r="A13" s="997"/>
      <c r="B13" s="997"/>
      <c r="C13" s="998"/>
      <c r="D13" s="999"/>
      <c r="E13" s="1004"/>
      <c r="F13" s="1005"/>
      <c r="G13" s="1005"/>
      <c r="H13" s="1005"/>
      <c r="I13" s="1005"/>
      <c r="J13" s="1006"/>
      <c r="K13" s="1006"/>
      <c r="L13" s="1006"/>
      <c r="M13" s="1006"/>
      <c r="N13" s="1006"/>
      <c r="O13" s="1006"/>
      <c r="P13" s="1006"/>
      <c r="Q13" s="1006"/>
      <c r="R13" s="1006"/>
      <c r="S13" s="1006"/>
      <c r="T13" s="1006"/>
      <c r="U13" s="1006"/>
      <c r="V13" s="1006"/>
      <c r="W13" s="1006"/>
      <c r="X13" s="1006"/>
      <c r="Y13" s="1006"/>
      <c r="Z13" s="1006"/>
      <c r="AA13" s="1006"/>
      <c r="AB13" s="1006"/>
      <c r="AC13" s="1006"/>
      <c r="AD13" s="1006"/>
      <c r="AE13" s="1006"/>
      <c r="AF13" s="1006"/>
      <c r="AG13" s="1006"/>
      <c r="AH13" s="1006"/>
      <c r="AI13" s="1006"/>
      <c r="AJ13" s="1006"/>
      <c r="AK13" s="1006"/>
      <c r="AL13" s="1006"/>
      <c r="AM13" s="1006"/>
      <c r="AN13" s="1006"/>
      <c r="AO13" s="1006"/>
      <c r="AP13" s="1006"/>
      <c r="AQ13" s="1007"/>
      <c r="AR13" s="1007"/>
      <c r="AS13" s="1007"/>
      <c r="AT13" s="1007"/>
      <c r="AU13" s="1007"/>
      <c r="AV13" s="1007"/>
      <c r="AW13" s="1007"/>
      <c r="AX13" s="1007"/>
      <c r="AY13" s="1007"/>
      <c r="AZ13" s="1007"/>
      <c r="BA13" s="1007"/>
      <c r="BB13" s="1007"/>
      <c r="BC13" s="1007"/>
      <c r="BD13" s="1007"/>
      <c r="BE13" s="1007"/>
      <c r="BF13" s="1007"/>
      <c r="BG13" s="1007"/>
      <c r="BH13" s="1007"/>
      <c r="BI13" s="1007"/>
      <c r="BJ13" s="1007"/>
      <c r="BK13" s="1007"/>
      <c r="BL13" s="1007"/>
      <c r="BM13" s="1007"/>
      <c r="BN13" s="1007"/>
      <c r="BO13" s="1007"/>
      <c r="BP13" s="1007"/>
      <c r="BQ13" s="1007"/>
      <c r="BR13" s="1007"/>
      <c r="BS13" s="1007"/>
      <c r="BT13" s="1007"/>
      <c r="BU13" s="1007"/>
      <c r="BV13" s="1007"/>
      <c r="BW13" s="1007"/>
      <c r="BX13" s="1007"/>
      <c r="BY13" s="1007"/>
      <c r="BZ13" s="1007"/>
      <c r="CA13" s="1007"/>
      <c r="CB13" s="1007"/>
      <c r="CC13" s="1007"/>
      <c r="CD13" s="1007"/>
      <c r="CE13" s="1007"/>
      <c r="CF13" s="1007"/>
      <c r="CG13" s="1007"/>
      <c r="CH13" s="1007"/>
      <c r="CI13" s="1007"/>
      <c r="CJ13" s="1007"/>
      <c r="CK13" s="1007"/>
      <c r="CL13" s="1007"/>
      <c r="CM13" s="1007"/>
      <c r="CN13" s="1007"/>
      <c r="CO13" s="1007"/>
      <c r="CP13" s="1007"/>
      <c r="CQ13" s="1007"/>
      <c r="CR13" s="1007"/>
      <c r="CS13" s="1007"/>
      <c r="CT13" s="1007"/>
      <c r="CU13" s="1007"/>
      <c r="CV13" s="1007"/>
    </row>
    <row r="14" spans="1:100" s="1001" customFormat="1" x14ac:dyDescent="0.2">
      <c r="A14" s="997"/>
      <c r="B14" s="997"/>
      <c r="C14" s="998"/>
      <c r="D14" s="999"/>
      <c r="E14" s="1004"/>
      <c r="F14" s="1005"/>
      <c r="G14" s="1005"/>
      <c r="H14" s="1005"/>
      <c r="I14" s="1005"/>
      <c r="J14" s="1006"/>
      <c r="K14" s="1006"/>
      <c r="L14" s="1006"/>
      <c r="M14" s="1006"/>
      <c r="N14" s="1006"/>
      <c r="O14" s="1006"/>
      <c r="P14" s="1006"/>
      <c r="Q14" s="1006"/>
      <c r="R14" s="1006"/>
      <c r="S14" s="1006"/>
      <c r="T14" s="1006"/>
      <c r="U14" s="1006"/>
      <c r="V14" s="1006"/>
      <c r="W14" s="1006"/>
      <c r="X14" s="1006"/>
      <c r="Y14" s="1006"/>
      <c r="Z14" s="1006"/>
      <c r="AA14" s="1006"/>
      <c r="AB14" s="1006"/>
      <c r="AC14" s="1006"/>
      <c r="AD14" s="1006"/>
      <c r="AE14" s="1006"/>
      <c r="AF14" s="1006"/>
      <c r="AG14" s="1006"/>
      <c r="AH14" s="1006"/>
      <c r="AI14" s="1006"/>
      <c r="AJ14" s="1006"/>
      <c r="AK14" s="1006"/>
      <c r="AL14" s="1006"/>
      <c r="AM14" s="1006"/>
      <c r="AN14" s="1006"/>
      <c r="AO14" s="1006"/>
      <c r="AP14" s="1006"/>
      <c r="AQ14" s="1007"/>
      <c r="AR14" s="1007"/>
      <c r="AS14" s="1007"/>
      <c r="AT14" s="1007"/>
      <c r="AU14" s="1007"/>
      <c r="AV14" s="1007"/>
      <c r="AW14" s="1007"/>
      <c r="AX14" s="1007"/>
      <c r="AY14" s="1007"/>
      <c r="AZ14" s="1007"/>
      <c r="BA14" s="1007"/>
      <c r="BB14" s="1007"/>
      <c r="BC14" s="1007"/>
      <c r="BD14" s="1007"/>
      <c r="BE14" s="1007"/>
      <c r="BF14" s="1007"/>
      <c r="BG14" s="1007"/>
      <c r="BH14" s="1007"/>
      <c r="BI14" s="1007"/>
      <c r="BJ14" s="1007"/>
      <c r="BK14" s="1007"/>
      <c r="BL14" s="1007"/>
      <c r="BM14" s="1007"/>
      <c r="BN14" s="1007"/>
      <c r="BO14" s="1007"/>
      <c r="BP14" s="1007"/>
      <c r="BQ14" s="1007"/>
      <c r="BR14" s="1007"/>
      <c r="BS14" s="1007"/>
      <c r="BT14" s="1007"/>
      <c r="BU14" s="1007"/>
      <c r="BV14" s="1007"/>
      <c r="BW14" s="1007"/>
      <c r="BX14" s="1007"/>
      <c r="BY14" s="1007"/>
      <c r="BZ14" s="1007"/>
      <c r="CA14" s="1007"/>
      <c r="CB14" s="1007"/>
      <c r="CC14" s="1007"/>
      <c r="CD14" s="1007"/>
      <c r="CE14" s="1007"/>
      <c r="CF14" s="1007"/>
      <c r="CG14" s="1007"/>
      <c r="CH14" s="1007"/>
      <c r="CI14" s="1007"/>
      <c r="CJ14" s="1007"/>
      <c r="CK14" s="1007"/>
      <c r="CL14" s="1007"/>
      <c r="CM14" s="1007"/>
      <c r="CN14" s="1007"/>
      <c r="CO14" s="1007"/>
      <c r="CP14" s="1007"/>
      <c r="CQ14" s="1007"/>
      <c r="CR14" s="1007"/>
      <c r="CS14" s="1007"/>
      <c r="CT14" s="1007"/>
      <c r="CU14" s="1007"/>
      <c r="CV14" s="1007"/>
    </row>
    <row r="15" spans="1:100" s="1001" customFormat="1" x14ac:dyDescent="0.2">
      <c r="A15" s="997" t="s">
        <v>1278</v>
      </c>
      <c r="B15" s="997"/>
      <c r="C15" s="998"/>
      <c r="D15" s="999"/>
      <c r="E15" s="1005"/>
      <c r="F15" s="1005"/>
      <c r="G15" s="1005"/>
      <c r="H15" s="1005"/>
      <c r="I15" s="1005"/>
      <c r="J15" s="1005"/>
      <c r="K15" s="1005"/>
      <c r="L15" s="1005"/>
      <c r="M15" s="1005"/>
      <c r="N15" s="1005"/>
      <c r="O15" s="1005"/>
      <c r="P15" s="1005"/>
      <c r="Q15" s="1005"/>
      <c r="R15" s="1005"/>
      <c r="S15" s="1005"/>
      <c r="T15" s="1005"/>
      <c r="U15" s="1005"/>
      <c r="V15" s="1005"/>
      <c r="W15" s="1005"/>
      <c r="X15" s="1005"/>
      <c r="Y15" s="1005"/>
      <c r="Z15" s="1005"/>
      <c r="AA15" s="1005"/>
      <c r="AB15" s="1005"/>
      <c r="AC15" s="1005"/>
      <c r="AD15" s="1005"/>
      <c r="AE15" s="1005"/>
      <c r="AF15" s="1005"/>
      <c r="AG15" s="1005"/>
      <c r="AH15" s="1005"/>
      <c r="AI15" s="1005"/>
      <c r="AJ15" s="1005"/>
      <c r="AK15" s="1005"/>
      <c r="AL15" s="1005"/>
      <c r="AM15" s="1005"/>
      <c r="AN15" s="1005"/>
      <c r="AO15" s="1005"/>
      <c r="AP15" s="1005"/>
      <c r="AQ15" s="1005"/>
      <c r="AR15" s="1005"/>
      <c r="AS15" s="1005"/>
      <c r="AT15" s="1005"/>
      <c r="AU15" s="1005"/>
      <c r="AV15" s="1005"/>
      <c r="AW15" s="1005"/>
      <c r="AX15" s="1005"/>
      <c r="AY15" s="1005"/>
      <c r="AZ15" s="1005"/>
      <c r="BA15" s="1005"/>
      <c r="BB15" s="1005"/>
      <c r="BC15" s="1005"/>
      <c r="BD15" s="1005"/>
      <c r="BE15" s="1005"/>
      <c r="BF15" s="1005"/>
      <c r="BG15" s="1005"/>
      <c r="BH15" s="1005"/>
      <c r="BI15" s="1005"/>
      <c r="BJ15" s="1005"/>
      <c r="BK15" s="1005"/>
      <c r="BL15" s="1005"/>
      <c r="BM15" s="1005"/>
      <c r="BN15" s="1005"/>
      <c r="BO15" s="1005"/>
      <c r="BP15" s="1005"/>
      <c r="BQ15" s="1005"/>
      <c r="BR15" s="1005"/>
      <c r="BS15" s="1005"/>
      <c r="BT15" s="1005"/>
      <c r="BU15" s="1005"/>
      <c r="BV15" s="1005"/>
      <c r="BW15" s="1005"/>
      <c r="BX15" s="1005"/>
      <c r="BY15" s="1005"/>
      <c r="BZ15" s="1005"/>
      <c r="CA15" s="1005"/>
      <c r="CB15" s="1005"/>
      <c r="CC15" s="1005"/>
      <c r="CD15" s="1005"/>
      <c r="CE15" s="1005"/>
      <c r="CF15" s="1005"/>
      <c r="CG15" s="1005"/>
      <c r="CH15" s="1005"/>
      <c r="CI15" s="1005"/>
      <c r="CJ15" s="1005"/>
      <c r="CK15" s="1005"/>
      <c r="CL15" s="1005"/>
      <c r="CM15" s="1005"/>
      <c r="CN15" s="1005"/>
      <c r="CO15" s="1005"/>
      <c r="CP15" s="1005"/>
      <c r="CQ15" s="1005"/>
      <c r="CR15" s="1005"/>
      <c r="CS15" s="1005"/>
      <c r="CT15" s="1005"/>
      <c r="CU15" s="1005"/>
      <c r="CV15" s="1005"/>
    </row>
    <row r="16" spans="1:100" s="1001" customFormat="1" outlineLevel="1" x14ac:dyDescent="0.2">
      <c r="A16" s="997"/>
      <c r="B16" s="997"/>
      <c r="C16" s="998"/>
      <c r="D16" s="999"/>
      <c r="E16" s="1005"/>
      <c r="F16" s="1005"/>
      <c r="G16" s="1005"/>
      <c r="H16" s="1005"/>
      <c r="I16" s="1005"/>
      <c r="J16" s="1005"/>
      <c r="K16" s="1005"/>
      <c r="L16" s="1005"/>
      <c r="M16" s="1005"/>
      <c r="N16" s="1005"/>
      <c r="O16" s="1005"/>
      <c r="P16" s="1005"/>
      <c r="Q16" s="1005"/>
      <c r="R16" s="1005"/>
      <c r="S16" s="1005"/>
      <c r="T16" s="1005"/>
      <c r="U16" s="1005"/>
      <c r="V16" s="1005"/>
      <c r="W16" s="1005"/>
      <c r="X16" s="1005"/>
      <c r="Y16" s="1005"/>
      <c r="Z16" s="1005"/>
      <c r="AA16" s="1005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1005"/>
      <c r="AO16" s="1005"/>
      <c r="AP16" s="1005"/>
      <c r="AQ16" s="1005"/>
      <c r="AR16" s="1005"/>
      <c r="AS16" s="1005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1005"/>
      <c r="BI16" s="1005"/>
      <c r="BJ16" s="1005"/>
      <c r="BK16" s="1005"/>
      <c r="BL16" s="1005"/>
      <c r="BM16" s="1005"/>
      <c r="BN16" s="1005"/>
      <c r="BO16" s="1005"/>
      <c r="BP16" s="1005"/>
      <c r="BQ16" s="1005"/>
      <c r="BR16" s="1005"/>
      <c r="BS16" s="1005"/>
      <c r="BT16" s="1005"/>
      <c r="BU16" s="1005"/>
      <c r="BV16" s="1005"/>
      <c r="BW16" s="1005"/>
      <c r="BX16" s="1005"/>
      <c r="BY16" s="1005"/>
      <c r="BZ16" s="1005"/>
      <c r="CA16" s="1005"/>
      <c r="CB16" s="1005"/>
      <c r="CC16" s="1005"/>
      <c r="CD16" s="1005"/>
      <c r="CE16" s="1005"/>
      <c r="CF16" s="1005"/>
      <c r="CG16" s="1005"/>
      <c r="CH16" s="1005"/>
      <c r="CI16" s="1005"/>
      <c r="CJ16" s="1005"/>
      <c r="CK16" s="1005"/>
      <c r="CL16" s="1005"/>
      <c r="CM16" s="1005"/>
      <c r="CN16" s="1005"/>
      <c r="CO16" s="1005"/>
      <c r="CP16" s="1005"/>
      <c r="CQ16" s="1005"/>
      <c r="CR16" s="1005"/>
      <c r="CS16" s="1005"/>
      <c r="CT16" s="1005"/>
      <c r="CU16" s="1005"/>
      <c r="CV16" s="1005"/>
    </row>
    <row r="17" spans="1:100" s="1001" customFormat="1" outlineLevel="1" x14ac:dyDescent="0.2">
      <c r="A17" s="1008"/>
      <c r="B17" s="997"/>
      <c r="C17" s="998"/>
      <c r="D17" s="999"/>
      <c r="E17" s="1005" t="str">
        <f xml:space="preserve"> Ops!E$34</f>
        <v>Electricity generation (ESn)</v>
      </c>
      <c r="F17" s="1005">
        <f xml:space="preserve"> Ops!F$34</f>
        <v>0</v>
      </c>
      <c r="G17" s="1005" t="str">
        <f xml:space="preserve"> Ops!G$34</f>
        <v>GWh</v>
      </c>
      <c r="H17" s="1005">
        <f xml:space="preserve"> Ops!H$34</f>
        <v>20217.473920645203</v>
      </c>
      <c r="I17" s="1005">
        <f xml:space="preserve"> Ops!I$34</f>
        <v>0</v>
      </c>
      <c r="J17" s="1005">
        <f xml:space="preserve"> Ops!J$34</f>
        <v>0</v>
      </c>
      <c r="K17" s="1005">
        <f xml:space="preserve"> Ops!K$34</f>
        <v>0</v>
      </c>
      <c r="L17" s="1005">
        <f xml:space="preserve"> Ops!L$34</f>
        <v>0</v>
      </c>
      <c r="M17" s="1005">
        <f xml:space="preserve"> Ops!M$34</f>
        <v>0</v>
      </c>
      <c r="N17" s="1005">
        <f xml:space="preserve"> Ops!N$34</f>
        <v>0</v>
      </c>
      <c r="O17" s="1005">
        <f xml:space="preserve"> Ops!O$34</f>
        <v>515.08799999999997</v>
      </c>
      <c r="P17" s="1005">
        <f xml:space="preserve"> Ops!P$34</f>
        <v>515.08799999999997</v>
      </c>
      <c r="Q17" s="1005">
        <f xml:space="preserve"> Ops!Q$34</f>
        <v>514.05988023952091</v>
      </c>
      <c r="R17" s="1005">
        <f xml:space="preserve"> Ops!R$34</f>
        <v>514.05988023952091</v>
      </c>
      <c r="S17" s="1005">
        <f xml:space="preserve"> Ops!S$34</f>
        <v>513.0338126142924</v>
      </c>
      <c r="T17" s="1005">
        <f xml:space="preserve"> Ops!T$34</f>
        <v>513.0338126142924</v>
      </c>
      <c r="U17" s="1005">
        <f xml:space="preserve"> Ops!U$34</f>
        <v>512.00979302823589</v>
      </c>
      <c r="V17" s="1005">
        <f xml:space="preserve"> Ops!V$34</f>
        <v>512.00979302823589</v>
      </c>
      <c r="W17" s="1005">
        <f xml:space="preserve"> Ops!W$34</f>
        <v>510.98781739344901</v>
      </c>
      <c r="X17" s="1005">
        <f xml:space="preserve"> Ops!X$34</f>
        <v>510.98781739344901</v>
      </c>
      <c r="Y17" s="1005">
        <f xml:space="preserve"> Ops!Y$34</f>
        <v>509.96788163018857</v>
      </c>
      <c r="Z17" s="1005">
        <f xml:space="preserve"> Ops!Z$34</f>
        <v>509.96788163018857</v>
      </c>
      <c r="AA17" s="1005">
        <f xml:space="preserve"> Ops!AA$34</f>
        <v>508.94998166685502</v>
      </c>
      <c r="AB17" s="1005">
        <f xml:space="preserve"> Ops!AB$34</f>
        <v>508.94998166685502</v>
      </c>
      <c r="AC17" s="1005">
        <f xml:space="preserve"> Ops!AC$34</f>
        <v>507.93411343997508</v>
      </c>
      <c r="AD17" s="1005">
        <f xml:space="preserve"> Ops!AD$34</f>
        <v>507.93411343997508</v>
      </c>
      <c r="AE17" s="1005">
        <f xml:space="preserve"> Ops!AE$34</f>
        <v>506.92027289418661</v>
      </c>
      <c r="AF17" s="1005">
        <f xml:space="preserve"> Ops!AF$34</f>
        <v>506.92027289418661</v>
      </c>
      <c r="AG17" s="1005">
        <f xml:space="preserve"> Ops!AG$34</f>
        <v>505.90845598222216</v>
      </c>
      <c r="AH17" s="1005">
        <f xml:space="preserve"> Ops!AH$34</f>
        <v>505.90845598222216</v>
      </c>
      <c r="AI17" s="1005">
        <f xml:space="preserve"> Ops!AI$34</f>
        <v>504.89865866489248</v>
      </c>
      <c r="AJ17" s="1005">
        <f xml:space="preserve"> Ops!AJ$34</f>
        <v>504.89865866489248</v>
      </c>
      <c r="AK17" s="1005">
        <f xml:space="preserve"> Ops!AK$34</f>
        <v>503.89087691107034</v>
      </c>
      <c r="AL17" s="1005">
        <f xml:space="preserve"> Ops!AL$34</f>
        <v>503.89087691107034</v>
      </c>
      <c r="AM17" s="1005">
        <f xml:space="preserve"> Ops!AM$34</f>
        <v>502.88510669767498</v>
      </c>
      <c r="AN17" s="1005">
        <f xml:space="preserve"> Ops!AN$34</f>
        <v>502.88510669767498</v>
      </c>
      <c r="AO17" s="1005">
        <f xml:space="preserve"> Ops!AO$34</f>
        <v>501.88134400965561</v>
      </c>
      <c r="AP17" s="1005">
        <f xml:space="preserve"> Ops!AP$34</f>
        <v>501.88134400965561</v>
      </c>
      <c r="AQ17" s="1005">
        <f xml:space="preserve"> Ops!AQ$34</f>
        <v>500.87958483997585</v>
      </c>
      <c r="AR17" s="1005">
        <f xml:space="preserve"> Ops!AR$34</f>
        <v>500.87958483997585</v>
      </c>
      <c r="AS17" s="1005">
        <f xml:space="preserve"> Ops!AS$34</f>
        <v>499.87982518959649</v>
      </c>
      <c r="AT17" s="1005">
        <f xml:space="preserve"> Ops!AT$34</f>
        <v>499.87982518959649</v>
      </c>
      <c r="AU17" s="1005">
        <f xml:space="preserve"> Ops!AU$34</f>
        <v>498.88206106746162</v>
      </c>
      <c r="AV17" s="1005">
        <f xml:space="preserve"> Ops!AV$34</f>
        <v>498.88206106746162</v>
      </c>
      <c r="AW17" s="1005">
        <f xml:space="preserve"> Ops!AW$34</f>
        <v>497.88628849048064</v>
      </c>
      <c r="AX17" s="1005">
        <f xml:space="preserve"> Ops!AX$34</f>
        <v>497.88628849048064</v>
      </c>
      <c r="AY17" s="1005">
        <f xml:space="preserve"> Ops!AY$34</f>
        <v>496.89250348351368</v>
      </c>
      <c r="AZ17" s="1005">
        <f xml:space="preserve"> Ops!AZ$34</f>
        <v>496.89250348351368</v>
      </c>
      <c r="BA17" s="1005">
        <f xml:space="preserve"> Ops!BA$34</f>
        <v>495.90070207935497</v>
      </c>
      <c r="BB17" s="1005">
        <f xml:space="preserve"> Ops!BB$34</f>
        <v>495.90070207935497</v>
      </c>
      <c r="BC17" s="1005">
        <f xml:space="preserve"> Ops!BC$34</f>
        <v>0</v>
      </c>
      <c r="BD17" s="1005">
        <f xml:space="preserve"> Ops!BD$34</f>
        <v>0</v>
      </c>
      <c r="BE17" s="1005">
        <f xml:space="preserve"> Ops!BE$34</f>
        <v>0</v>
      </c>
      <c r="BF17" s="1005">
        <f xml:space="preserve"> Ops!BF$34</f>
        <v>0</v>
      </c>
      <c r="BG17" s="1005">
        <f xml:space="preserve"> Ops!BG$34</f>
        <v>0</v>
      </c>
      <c r="BH17" s="1005">
        <f xml:space="preserve"> Ops!BH$34</f>
        <v>0</v>
      </c>
      <c r="BI17" s="1005">
        <f xml:space="preserve"> Ops!BI$34</f>
        <v>0</v>
      </c>
      <c r="BJ17" s="1005">
        <f xml:space="preserve"> Ops!BJ$34</f>
        <v>0</v>
      </c>
      <c r="BK17" s="1005">
        <f xml:space="preserve"> Ops!BK$34</f>
        <v>0</v>
      </c>
      <c r="BL17" s="1005">
        <f xml:space="preserve"> Ops!BL$34</f>
        <v>0</v>
      </c>
      <c r="BM17" s="1005">
        <f xml:space="preserve"> Ops!BM$34</f>
        <v>0</v>
      </c>
      <c r="BN17" s="1005">
        <f xml:space="preserve"> Ops!BN$34</f>
        <v>0</v>
      </c>
      <c r="BO17" s="1005">
        <f xml:space="preserve"> Ops!BO$34</f>
        <v>0</v>
      </c>
      <c r="BP17" s="1005">
        <f xml:space="preserve"> Ops!BP$34</f>
        <v>0</v>
      </c>
      <c r="BQ17" s="1005">
        <f xml:space="preserve"> Ops!BQ$34</f>
        <v>0</v>
      </c>
      <c r="BR17" s="1005">
        <f xml:space="preserve"> Ops!BR$34</f>
        <v>0</v>
      </c>
      <c r="BS17" s="1005">
        <f xml:space="preserve"> Ops!BS$34</f>
        <v>0</v>
      </c>
      <c r="BT17" s="1005">
        <f xml:space="preserve"> Ops!BT$34</f>
        <v>0</v>
      </c>
      <c r="BU17" s="1005">
        <f xml:space="preserve"> Ops!BU$34</f>
        <v>0</v>
      </c>
      <c r="BV17" s="1005">
        <f xml:space="preserve"> Ops!BV$34</f>
        <v>0</v>
      </c>
      <c r="BW17" s="1005">
        <f xml:space="preserve"> Ops!BW$34</f>
        <v>0</v>
      </c>
      <c r="BX17" s="1005">
        <f xml:space="preserve"> Ops!BX$34</f>
        <v>0</v>
      </c>
      <c r="BY17" s="1005">
        <f xml:space="preserve"> Ops!BY$34</f>
        <v>0</v>
      </c>
      <c r="BZ17" s="1005">
        <f xml:space="preserve"> Ops!BZ$34</f>
        <v>0</v>
      </c>
      <c r="CA17" s="1005">
        <f xml:space="preserve"> Ops!CA$34</f>
        <v>0</v>
      </c>
      <c r="CB17" s="1005">
        <f xml:space="preserve"> Ops!CB$34</f>
        <v>0</v>
      </c>
      <c r="CC17" s="1005">
        <f xml:space="preserve"> Ops!CC$34</f>
        <v>0</v>
      </c>
      <c r="CD17" s="1005">
        <f xml:space="preserve"> Ops!CD$34</f>
        <v>0</v>
      </c>
      <c r="CE17" s="1005">
        <f xml:space="preserve"> Ops!CE$34</f>
        <v>0</v>
      </c>
      <c r="CF17" s="1005">
        <f xml:space="preserve"> Ops!CF$34</f>
        <v>0</v>
      </c>
      <c r="CG17" s="1005">
        <f xml:space="preserve"> Ops!CG$34</f>
        <v>0</v>
      </c>
      <c r="CH17" s="1005">
        <f xml:space="preserve"> Ops!CH$34</f>
        <v>0</v>
      </c>
      <c r="CI17" s="1005">
        <f xml:space="preserve"> Ops!CI$34</f>
        <v>0</v>
      </c>
      <c r="CJ17" s="1005">
        <f xml:space="preserve"> Ops!CJ$34</f>
        <v>0</v>
      </c>
      <c r="CK17" s="1005">
        <f xml:space="preserve"> Ops!CK$34</f>
        <v>0</v>
      </c>
      <c r="CL17" s="1005">
        <f xml:space="preserve"> Ops!CL$34</f>
        <v>0</v>
      </c>
      <c r="CM17" s="1005">
        <f xml:space="preserve"> Ops!CM$34</f>
        <v>0</v>
      </c>
      <c r="CN17" s="1005">
        <f xml:space="preserve"> Ops!CN$34</f>
        <v>0</v>
      </c>
      <c r="CO17" s="1005">
        <f xml:space="preserve"> Ops!CO$34</f>
        <v>0</v>
      </c>
      <c r="CP17" s="1005">
        <f xml:space="preserve"> Ops!CP$34</f>
        <v>0</v>
      </c>
      <c r="CQ17" s="1005">
        <f xml:space="preserve"> Ops!CQ$34</f>
        <v>0</v>
      </c>
      <c r="CR17" s="1005">
        <f xml:space="preserve"> Ops!CR$34</f>
        <v>0</v>
      </c>
      <c r="CS17" s="1005">
        <f xml:space="preserve"> Ops!CS$34</f>
        <v>0</v>
      </c>
      <c r="CT17" s="1005">
        <f xml:space="preserve"> Ops!CT$34</f>
        <v>0</v>
      </c>
      <c r="CU17" s="1005">
        <f xml:space="preserve"> Ops!CU$34</f>
        <v>0</v>
      </c>
      <c r="CV17" s="1005">
        <f xml:space="preserve"> Ops!CV$34</f>
        <v>0</v>
      </c>
    </row>
    <row r="18" spans="1:100" s="1001" customFormat="1" outlineLevel="1" x14ac:dyDescent="0.2">
      <c r="A18" s="1008"/>
      <c r="B18" s="997"/>
      <c r="C18" s="998"/>
      <c r="D18" s="999"/>
      <c r="E18" s="1005" t="str">
        <f xml:space="preserve"> Ops!E$92</f>
        <v>Electricity generation (Esn) - P99</v>
      </c>
      <c r="F18" s="1005">
        <f xml:space="preserve"> Ops!F$92</f>
        <v>0</v>
      </c>
      <c r="G18" s="1005" t="str">
        <f xml:space="preserve"> Ops!G$92</f>
        <v>GWh</v>
      </c>
      <c r="H18" s="1005">
        <f xml:space="preserve"> Ops!H$92</f>
        <v>16454.843722743681</v>
      </c>
      <c r="I18" s="1005">
        <f xml:space="preserve"> Ops!I$92</f>
        <v>0</v>
      </c>
      <c r="J18" s="1005">
        <f xml:space="preserve"> Ops!J$92</f>
        <v>0</v>
      </c>
      <c r="K18" s="1005">
        <f xml:space="preserve"> Ops!K$92</f>
        <v>0</v>
      </c>
      <c r="L18" s="1005">
        <f xml:space="preserve"> Ops!L$92</f>
        <v>0</v>
      </c>
      <c r="M18" s="1005">
        <f xml:space="preserve"> Ops!M$92</f>
        <v>0</v>
      </c>
      <c r="N18" s="1005">
        <f xml:space="preserve"> Ops!N$92</f>
        <v>0</v>
      </c>
      <c r="O18" s="1005">
        <f xml:space="preserve"> Ops!O$92</f>
        <v>419.22609010048416</v>
      </c>
      <c r="P18" s="1005">
        <f xml:space="preserve"> Ops!P$92</f>
        <v>419.22609010048416</v>
      </c>
      <c r="Q18" s="1005">
        <f xml:space="preserve"> Ops!Q$92</f>
        <v>418.38931147752908</v>
      </c>
      <c r="R18" s="1005">
        <f xml:space="preserve"> Ops!R$92</f>
        <v>418.38931147752908</v>
      </c>
      <c r="S18" s="1005">
        <f xml:space="preserve"> Ops!S$92</f>
        <v>417.55420307138638</v>
      </c>
      <c r="T18" s="1005">
        <f xml:space="preserve"> Ops!T$92</f>
        <v>417.55420307138638</v>
      </c>
      <c r="U18" s="1005">
        <f xml:space="preserve"> Ops!U$92</f>
        <v>416.72076154828977</v>
      </c>
      <c r="V18" s="1005">
        <f xml:space="preserve"> Ops!V$92</f>
        <v>416.72076154828977</v>
      </c>
      <c r="W18" s="1005">
        <f xml:space="preserve"> Ops!W$92</f>
        <v>415.88898358112755</v>
      </c>
      <c r="X18" s="1005">
        <f xml:space="preserve"> Ops!X$92</f>
        <v>415.88898358112755</v>
      </c>
      <c r="Y18" s="1005">
        <f xml:space="preserve"> Ops!Y$92</f>
        <v>415.05886584942863</v>
      </c>
      <c r="Z18" s="1005">
        <f xml:space="preserve"> Ops!Z$92</f>
        <v>415.05886584942863</v>
      </c>
      <c r="AA18" s="1005">
        <f xml:space="preserve"> Ops!AA$92</f>
        <v>414.23040503935005</v>
      </c>
      <c r="AB18" s="1005">
        <f xml:space="preserve"> Ops!AB$92</f>
        <v>414.23040503935005</v>
      </c>
      <c r="AC18" s="1005">
        <f xml:space="preserve"> Ops!AC$92</f>
        <v>413.40359784366274</v>
      </c>
      <c r="AD18" s="1005">
        <f xml:space="preserve"> Ops!AD$92</f>
        <v>413.40359784366274</v>
      </c>
      <c r="AE18" s="1005">
        <f xml:space="preserve"> Ops!AE$92</f>
        <v>412.57844096173915</v>
      </c>
      <c r="AF18" s="1005">
        <f xml:space="preserve"> Ops!AF$92</f>
        <v>412.57844096173915</v>
      </c>
      <c r="AG18" s="1005">
        <f xml:space="preserve"> Ops!AG$92</f>
        <v>411.75493109954004</v>
      </c>
      <c r="AH18" s="1005">
        <f xml:space="preserve"> Ops!AH$92</f>
        <v>411.75493109954004</v>
      </c>
      <c r="AI18" s="1005">
        <f xml:space="preserve"> Ops!AI$92</f>
        <v>410.93306496960099</v>
      </c>
      <c r="AJ18" s="1005">
        <f xml:space="preserve"> Ops!AJ$92</f>
        <v>410.93306496960099</v>
      </c>
      <c r="AK18" s="1005">
        <f xml:space="preserve"> Ops!AK$92</f>
        <v>410.11283929101893</v>
      </c>
      <c r="AL18" s="1005">
        <f xml:space="preserve"> Ops!AL$92</f>
        <v>410.11283929101893</v>
      </c>
      <c r="AM18" s="1005">
        <f xml:space="preserve"> Ops!AM$92</f>
        <v>409.29425078944001</v>
      </c>
      <c r="AN18" s="1005">
        <f xml:space="preserve"> Ops!AN$92</f>
        <v>409.29425078944001</v>
      </c>
      <c r="AO18" s="1005">
        <f xml:space="preserve"> Ops!AO$92</f>
        <v>408.47729619704586</v>
      </c>
      <c r="AP18" s="1005">
        <f xml:space="preserve"> Ops!AP$92</f>
        <v>408.47729619704586</v>
      </c>
      <c r="AQ18" s="1005">
        <f xml:space="preserve"> Ops!AQ$92</f>
        <v>407.66197225254098</v>
      </c>
      <c r="AR18" s="1005">
        <f xml:space="preserve"> Ops!AR$92</f>
        <v>407.66197225254098</v>
      </c>
      <c r="AS18" s="1005">
        <f xml:space="preserve"> Ops!AS$92</f>
        <v>406.84827570113856</v>
      </c>
      <c r="AT18" s="1005">
        <f xml:space="preserve"> Ops!AT$92</f>
        <v>406.84827570113856</v>
      </c>
      <c r="AU18" s="1005">
        <f xml:space="preserve"> Ops!AU$92</f>
        <v>406.03620329454952</v>
      </c>
      <c r="AV18" s="1005">
        <f xml:space="preserve"> Ops!AV$92</f>
        <v>406.03620329454952</v>
      </c>
      <c r="AW18" s="1005">
        <f xml:space="preserve"> Ops!AW$92</f>
        <v>405.22575179096754</v>
      </c>
      <c r="AX18" s="1005">
        <f xml:space="preserve"> Ops!AX$92</f>
        <v>405.22575179096754</v>
      </c>
      <c r="AY18" s="1005">
        <f xml:space="preserve"> Ops!AY$92</f>
        <v>404.4169179550575</v>
      </c>
      <c r="AZ18" s="1005">
        <f xml:space="preserve"> Ops!AZ$92</f>
        <v>404.4169179550575</v>
      </c>
      <c r="BA18" s="1005">
        <f xml:space="preserve"> Ops!BA$92</f>
        <v>403.60969855794161</v>
      </c>
      <c r="BB18" s="1005">
        <f xml:space="preserve"> Ops!BB$92</f>
        <v>403.60969855794161</v>
      </c>
      <c r="BC18" s="1005">
        <f xml:space="preserve"> Ops!BC$92</f>
        <v>0</v>
      </c>
      <c r="BD18" s="1005">
        <f xml:space="preserve"> Ops!BD$92</f>
        <v>0</v>
      </c>
      <c r="BE18" s="1005">
        <f xml:space="preserve"> Ops!BE$92</f>
        <v>0</v>
      </c>
      <c r="BF18" s="1005">
        <f xml:space="preserve"> Ops!BF$92</f>
        <v>0</v>
      </c>
      <c r="BG18" s="1005">
        <f xml:space="preserve"> Ops!BG$92</f>
        <v>0</v>
      </c>
      <c r="BH18" s="1005">
        <f xml:space="preserve"> Ops!BH$92</f>
        <v>0</v>
      </c>
      <c r="BI18" s="1005">
        <f xml:space="preserve"> Ops!BI$92</f>
        <v>0</v>
      </c>
      <c r="BJ18" s="1005">
        <f xml:space="preserve"> Ops!BJ$92</f>
        <v>0</v>
      </c>
      <c r="BK18" s="1005">
        <f xml:space="preserve"> Ops!BK$92</f>
        <v>0</v>
      </c>
      <c r="BL18" s="1005">
        <f xml:space="preserve"> Ops!BL$92</f>
        <v>0</v>
      </c>
      <c r="BM18" s="1005">
        <f xml:space="preserve"> Ops!BM$92</f>
        <v>0</v>
      </c>
      <c r="BN18" s="1005">
        <f xml:space="preserve"> Ops!BN$92</f>
        <v>0</v>
      </c>
      <c r="BO18" s="1005">
        <f xml:space="preserve"> Ops!BO$92</f>
        <v>0</v>
      </c>
      <c r="BP18" s="1005">
        <f xml:space="preserve"> Ops!BP$92</f>
        <v>0</v>
      </c>
      <c r="BQ18" s="1005">
        <f xml:space="preserve"> Ops!BQ$92</f>
        <v>0</v>
      </c>
      <c r="BR18" s="1005">
        <f xml:space="preserve"> Ops!BR$92</f>
        <v>0</v>
      </c>
      <c r="BS18" s="1005">
        <f xml:space="preserve"> Ops!BS$92</f>
        <v>0</v>
      </c>
      <c r="BT18" s="1005">
        <f xml:space="preserve"> Ops!BT$92</f>
        <v>0</v>
      </c>
      <c r="BU18" s="1005">
        <f xml:space="preserve"> Ops!BU$92</f>
        <v>0</v>
      </c>
      <c r="BV18" s="1005">
        <f xml:space="preserve"> Ops!BV$92</f>
        <v>0</v>
      </c>
      <c r="BW18" s="1005">
        <f xml:space="preserve"> Ops!BW$92</f>
        <v>0</v>
      </c>
      <c r="BX18" s="1005">
        <f xml:space="preserve"> Ops!BX$92</f>
        <v>0</v>
      </c>
      <c r="BY18" s="1005">
        <f xml:space="preserve"> Ops!BY$92</f>
        <v>0</v>
      </c>
      <c r="BZ18" s="1005">
        <f xml:space="preserve"> Ops!BZ$92</f>
        <v>0</v>
      </c>
      <c r="CA18" s="1005">
        <f xml:space="preserve"> Ops!CA$92</f>
        <v>0</v>
      </c>
      <c r="CB18" s="1005">
        <f xml:space="preserve"> Ops!CB$92</f>
        <v>0</v>
      </c>
      <c r="CC18" s="1005">
        <f xml:space="preserve"> Ops!CC$92</f>
        <v>0</v>
      </c>
      <c r="CD18" s="1005">
        <f xml:space="preserve"> Ops!CD$92</f>
        <v>0</v>
      </c>
      <c r="CE18" s="1005">
        <f xml:space="preserve"> Ops!CE$92</f>
        <v>0</v>
      </c>
      <c r="CF18" s="1005">
        <f xml:space="preserve"> Ops!CF$92</f>
        <v>0</v>
      </c>
      <c r="CG18" s="1005">
        <f xml:space="preserve"> Ops!CG$92</f>
        <v>0</v>
      </c>
      <c r="CH18" s="1005">
        <f xml:space="preserve"> Ops!CH$92</f>
        <v>0</v>
      </c>
      <c r="CI18" s="1005">
        <f xml:space="preserve"> Ops!CI$92</f>
        <v>0</v>
      </c>
      <c r="CJ18" s="1005">
        <f xml:space="preserve"> Ops!CJ$92</f>
        <v>0</v>
      </c>
      <c r="CK18" s="1005">
        <f xml:space="preserve"> Ops!CK$92</f>
        <v>0</v>
      </c>
      <c r="CL18" s="1005">
        <f xml:space="preserve"> Ops!CL$92</f>
        <v>0</v>
      </c>
      <c r="CM18" s="1005">
        <f xml:space="preserve"> Ops!CM$92</f>
        <v>0</v>
      </c>
      <c r="CN18" s="1005">
        <f xml:space="preserve"> Ops!CN$92</f>
        <v>0</v>
      </c>
      <c r="CO18" s="1005">
        <f xml:space="preserve"> Ops!CO$92</f>
        <v>0</v>
      </c>
      <c r="CP18" s="1005">
        <f xml:space="preserve"> Ops!CP$92</f>
        <v>0</v>
      </c>
      <c r="CQ18" s="1005">
        <f xml:space="preserve"> Ops!CQ$92</f>
        <v>0</v>
      </c>
      <c r="CR18" s="1005">
        <f xml:space="preserve"> Ops!CR$92</f>
        <v>0</v>
      </c>
      <c r="CS18" s="1005">
        <f xml:space="preserve"> Ops!CS$92</f>
        <v>0</v>
      </c>
      <c r="CT18" s="1005">
        <f xml:space="preserve"> Ops!CT$92</f>
        <v>0</v>
      </c>
      <c r="CU18" s="1005">
        <f xml:space="preserve"> Ops!CU$92</f>
        <v>0</v>
      </c>
      <c r="CV18" s="1005">
        <f xml:space="preserve"> Ops!CV$92</f>
        <v>0</v>
      </c>
    </row>
    <row r="19" spans="1:100" s="1001" customFormat="1" outlineLevel="1" x14ac:dyDescent="0.2">
      <c r="B19" s="997"/>
      <c r="C19" s="998"/>
      <c r="D19" s="999"/>
      <c r="E19" s="1005"/>
      <c r="F19" s="1005"/>
      <c r="G19" s="1005"/>
      <c r="H19" s="1005"/>
      <c r="I19" s="1005"/>
      <c r="J19" s="1005"/>
      <c r="K19" s="1005"/>
      <c r="L19" s="1005"/>
      <c r="M19" s="1005"/>
      <c r="N19" s="1005"/>
      <c r="O19" s="1005"/>
      <c r="P19" s="1005"/>
      <c r="Q19" s="1005"/>
      <c r="R19" s="1005"/>
      <c r="S19" s="1005"/>
      <c r="T19" s="1005"/>
      <c r="U19" s="1005"/>
      <c r="V19" s="1005"/>
      <c r="W19" s="1005"/>
      <c r="X19" s="1005"/>
      <c r="Y19" s="1005"/>
      <c r="Z19" s="1005"/>
      <c r="AA19" s="1005"/>
      <c r="AB19" s="1005"/>
      <c r="AC19" s="1005"/>
      <c r="AD19" s="1005"/>
      <c r="AE19" s="1005"/>
      <c r="AF19" s="1005"/>
      <c r="AG19" s="1005"/>
      <c r="AH19" s="1005"/>
      <c r="AI19" s="1005"/>
      <c r="AJ19" s="1005"/>
      <c r="AK19" s="1005"/>
      <c r="AL19" s="1005"/>
      <c r="AM19" s="1005"/>
      <c r="AN19" s="1005"/>
      <c r="AO19" s="1005"/>
      <c r="AP19" s="1005"/>
      <c r="AQ19" s="1005"/>
      <c r="AR19" s="1005"/>
      <c r="AS19" s="1005"/>
      <c r="AT19" s="1005"/>
      <c r="AU19" s="1005"/>
      <c r="AV19" s="1005"/>
      <c r="AW19" s="1005"/>
      <c r="AX19" s="1005"/>
      <c r="AY19" s="1005"/>
      <c r="AZ19" s="1005"/>
      <c r="BA19" s="1005"/>
      <c r="BB19" s="1005"/>
      <c r="BC19" s="1005"/>
      <c r="BD19" s="1005"/>
      <c r="BE19" s="1005"/>
      <c r="BF19" s="1005"/>
      <c r="BG19" s="1005"/>
      <c r="BH19" s="1005"/>
      <c r="BI19" s="1005"/>
      <c r="BJ19" s="1005"/>
      <c r="BK19" s="1005"/>
      <c r="BL19" s="1005"/>
      <c r="BM19" s="1005"/>
      <c r="BN19" s="1005"/>
      <c r="BO19" s="1005"/>
      <c r="BP19" s="1005"/>
      <c r="BQ19" s="1005"/>
      <c r="BR19" s="1005"/>
      <c r="BS19" s="1005"/>
      <c r="BT19" s="1005"/>
      <c r="BU19" s="1005"/>
      <c r="BV19" s="1005"/>
      <c r="BW19" s="1005"/>
      <c r="BX19" s="1005"/>
      <c r="BY19" s="1005"/>
      <c r="BZ19" s="1005"/>
      <c r="CA19" s="1005"/>
      <c r="CB19" s="1005"/>
      <c r="CC19" s="1005"/>
      <c r="CD19" s="1005"/>
      <c r="CE19" s="1005"/>
      <c r="CF19" s="1005"/>
      <c r="CG19" s="1005"/>
      <c r="CH19" s="1005"/>
      <c r="CI19" s="1005"/>
      <c r="CJ19" s="1005"/>
      <c r="CK19" s="1005"/>
      <c r="CL19" s="1005"/>
      <c r="CM19" s="1005"/>
      <c r="CN19" s="1005"/>
      <c r="CO19" s="1005"/>
      <c r="CP19" s="1005"/>
      <c r="CQ19" s="1005"/>
      <c r="CR19" s="1005"/>
      <c r="CS19" s="1005"/>
      <c r="CT19" s="1005"/>
      <c r="CU19" s="1005"/>
      <c r="CV19" s="1005"/>
    </row>
    <row r="20" spans="1:100" s="1001" customFormat="1" outlineLevel="1" x14ac:dyDescent="0.2">
      <c r="A20" s="1008"/>
      <c r="B20" s="997"/>
      <c r="C20" s="998"/>
      <c r="D20" s="999"/>
      <c r="E20" s="1005" t="str">
        <f xml:space="preserve"> 'FS Semi'!E$65</f>
        <v>Cashflow available for senior debt</v>
      </c>
      <c r="F20" s="1005">
        <f xml:space="preserve"> 'FS Semi'!F$65</f>
        <v>0</v>
      </c>
      <c r="G20" s="1005" t="str">
        <f xml:space="preserve"> 'FS Semi'!G$65</f>
        <v>$ 000s</v>
      </c>
      <c r="H20" s="1005">
        <f xml:space="preserve"> 'FS Semi'!H$65</f>
        <v>587649.30780221813</v>
      </c>
      <c r="I20" s="1005">
        <f xml:space="preserve"> 'FS Semi'!I$65</f>
        <v>0</v>
      </c>
      <c r="J20" s="1005">
        <f xml:space="preserve"> 'FS Semi'!J$65</f>
        <v>-1.5558398445136845E-6</v>
      </c>
      <c r="K20" s="1005">
        <f xml:space="preserve"> 'FS Semi'!K$65</f>
        <v>-1.2466658517951146E-5</v>
      </c>
      <c r="L20" s="1005">
        <f xml:space="preserve"> 'FS Semi'!L$65</f>
        <v>-1.6754362150095403E-5</v>
      </c>
      <c r="M20" s="1005">
        <f xml:space="preserve"> 'FS Semi'!M$65</f>
        <v>-1.9422688637860119E-5</v>
      </c>
      <c r="N20" s="1005">
        <f xml:space="preserve"> 'FS Semi'!N$65</f>
        <v>-3.9676149608567357E-3</v>
      </c>
      <c r="O20" s="1005">
        <f xml:space="preserve"> 'FS Semi'!O$65</f>
        <v>17761.339089615478</v>
      </c>
      <c r="P20" s="1005">
        <f xml:space="preserve"> 'FS Semi'!P$65</f>
        <v>15707.408907742485</v>
      </c>
      <c r="Q20" s="1005">
        <f xml:space="preserve"> 'FS Semi'!Q$65</f>
        <v>15745.355493650644</v>
      </c>
      <c r="R20" s="1005">
        <f xml:space="preserve"> 'FS Semi'!R$65</f>
        <v>15588.868818823899</v>
      </c>
      <c r="S20" s="1005">
        <f xml:space="preserve"> 'FS Semi'!S$65</f>
        <v>15624.695450132087</v>
      </c>
      <c r="T20" s="1005">
        <f xml:space="preserve"> 'FS Semi'!T$65</f>
        <v>15468.805976611518</v>
      </c>
      <c r="U20" s="1005">
        <f xml:space="preserve"> 'FS Semi'!U$65</f>
        <v>15502.475660941096</v>
      </c>
      <c r="V20" s="1005">
        <f xml:space="preserve"> 'FS Semi'!V$65</f>
        <v>15368.238112158891</v>
      </c>
      <c r="W20" s="1005">
        <f xml:space="preserve"> 'FS Semi'!W$65</f>
        <v>15357.612782223849</v>
      </c>
      <c r="X20" s="1005">
        <f xml:space="preserve"> 'FS Semi'!X$65</f>
        <v>15223.981670526602</v>
      </c>
      <c r="Y20" s="1005">
        <f xml:space="preserve"> 'FS Semi'!Y$65</f>
        <v>15253.223441594726</v>
      </c>
      <c r="Z20" s="1005">
        <f xml:space="preserve"> 'FS Semi'!Z$65</f>
        <v>15099.15338854069</v>
      </c>
      <c r="AA20" s="1005">
        <f xml:space="preserve"> 'FS Semi'!AA$65</f>
        <v>15126.122633909146</v>
      </c>
      <c r="AB20" s="1005">
        <f xml:space="preserve"> 'FS Semi'!AB$65</f>
        <v>14972.668690608356</v>
      </c>
      <c r="AC20" s="1005">
        <f xml:space="preserve"> 'FS Semi'!AC$65</f>
        <v>14997.325298446642</v>
      </c>
      <c r="AD20" s="1005">
        <f xml:space="preserve"> 'FS Semi'!AD$65</f>
        <v>14864.853133923503</v>
      </c>
      <c r="AE20" s="1005">
        <f xml:space="preserve"> 'FS Semi'!AE$65</f>
        <v>14846.434846161274</v>
      </c>
      <c r="AF20" s="1005">
        <f xml:space="preserve"> 'FS Semi'!AF$65</f>
        <v>14714.588918503887</v>
      </c>
      <c r="AG20" s="1005">
        <f xml:space="preserve"> 'FS Semi'!AG$65</f>
        <v>14734.496621546412</v>
      </c>
      <c r="AH20" s="1005">
        <f xml:space="preserve"> 'FS Semi'!AH$65</f>
        <v>14582.921507009845</v>
      </c>
      <c r="AI20" s="1005">
        <f xml:space="preserve"> 'FS Semi'!AI$65</f>
        <v>14600.391254152939</v>
      </c>
      <c r="AJ20" s="1005">
        <f xml:space="preserve"> 'FS Semi'!AJ$65</f>
        <v>14449.45297630897</v>
      </c>
      <c r="AK20" s="1005">
        <f xml:space="preserve"> 'FS Semi'!AK$65</f>
        <v>14464.441277785036</v>
      </c>
      <c r="AL20" s="1005">
        <f xml:space="preserve"> 'FS Semi'!AL$65</f>
        <v>14333.778560490962</v>
      </c>
      <c r="AM20" s="1005">
        <f xml:space="preserve"> 'FS Semi'!AM$65</f>
        <v>14306.974557657806</v>
      </c>
      <c r="AN20" s="1005">
        <f xml:space="preserve"> 'FS Semi'!AN$65</f>
        <v>14176.959768611989</v>
      </c>
      <c r="AO20" s="1005">
        <f xml:space="preserve"> 'FS Semi'!AO$65</f>
        <v>14186.851142225703</v>
      </c>
      <c r="AP20" s="1005">
        <f xml:space="preserve"> 'FS Semi'!AP$65</f>
        <v>14037.856776993409</v>
      </c>
      <c r="AQ20" s="1005">
        <f xml:space="preserve"> 'FS Semi'!AQ$65</f>
        <v>14045.130839844553</v>
      </c>
      <c r="AR20" s="1005">
        <f xml:space="preserve"> 'FS Semi'!AR$65</f>
        <v>13896.7960059342</v>
      </c>
      <c r="AS20" s="1005">
        <f xml:space="preserve"> 'FS Semi'!AS$65</f>
        <v>13901.405610395763</v>
      </c>
      <c r="AT20" s="1005">
        <f xml:space="preserve"> 'FS Semi'!AT$65</f>
        <v>13772.600892933437</v>
      </c>
      <c r="AU20" s="1005">
        <f xml:space="preserve"> 'FS Semi'!AU$65</f>
        <v>13736.76875976386</v>
      </c>
      <c r="AV20" s="1005">
        <f xml:space="preserve"> 'FS Semi'!AV$65</f>
        <v>13608.635708810609</v>
      </c>
      <c r="AW20" s="1005">
        <f xml:space="preserve"> 'FS Semi'!AW$65</f>
        <v>13607.771090766597</v>
      </c>
      <c r="AX20" s="1005">
        <f xml:space="preserve"> 'FS Semi'!AX$65</f>
        <v>13461.451394756768</v>
      </c>
      <c r="AY20" s="1005">
        <f xml:space="preserve"> 'FS Semi'!AY$65</f>
        <v>13457.775032491649</v>
      </c>
      <c r="AZ20" s="1005">
        <f xml:space="preserve"> 'FS Semi'!AZ$65</f>
        <v>13312.139691725803</v>
      </c>
      <c r="BA20" s="1005">
        <f xml:space="preserve"> 'FS Semi'!BA$65</f>
        <v>13305.600476617343</v>
      </c>
      <c r="BB20" s="1005">
        <f xml:space="preserve"> 'FS Semi'!BB$65</f>
        <v>16445.95955909419</v>
      </c>
      <c r="BC20" s="1005">
        <f xml:space="preserve"> 'FS Semi'!BC$65</f>
        <v>0</v>
      </c>
      <c r="BD20" s="1005">
        <f xml:space="preserve"> 'FS Semi'!BD$65</f>
        <v>0</v>
      </c>
      <c r="BE20" s="1005">
        <f xml:space="preserve"> 'FS Semi'!BE$65</f>
        <v>0</v>
      </c>
      <c r="BF20" s="1005">
        <f xml:space="preserve"> 'FS Semi'!BF$65</f>
        <v>0</v>
      </c>
      <c r="BG20" s="1005">
        <f xml:space="preserve"> 'FS Semi'!BG$65</f>
        <v>0</v>
      </c>
      <c r="BH20" s="1005">
        <f xml:space="preserve"> 'FS Semi'!BH$65</f>
        <v>0</v>
      </c>
      <c r="BI20" s="1005">
        <f xml:space="preserve"> 'FS Semi'!BI$65</f>
        <v>0</v>
      </c>
      <c r="BJ20" s="1005">
        <f xml:space="preserve"> 'FS Semi'!BJ$65</f>
        <v>0</v>
      </c>
      <c r="BK20" s="1005">
        <f xml:space="preserve"> 'FS Semi'!BK$65</f>
        <v>0</v>
      </c>
      <c r="BL20" s="1005">
        <f xml:space="preserve"> 'FS Semi'!BL$65</f>
        <v>0</v>
      </c>
      <c r="BM20" s="1005">
        <f xml:space="preserve"> 'FS Semi'!BM$65</f>
        <v>0</v>
      </c>
      <c r="BN20" s="1005">
        <f xml:space="preserve"> 'FS Semi'!BN$65</f>
        <v>0</v>
      </c>
      <c r="BO20" s="1005">
        <f xml:space="preserve"> 'FS Semi'!BO$65</f>
        <v>0</v>
      </c>
      <c r="BP20" s="1005">
        <f xml:space="preserve"> 'FS Semi'!BP$65</f>
        <v>0</v>
      </c>
      <c r="BQ20" s="1005">
        <f xml:space="preserve"> 'FS Semi'!BQ$65</f>
        <v>0</v>
      </c>
      <c r="BR20" s="1005">
        <f xml:space="preserve"> 'FS Semi'!BR$65</f>
        <v>0</v>
      </c>
      <c r="BS20" s="1005">
        <f xml:space="preserve"> 'FS Semi'!BS$65</f>
        <v>0</v>
      </c>
      <c r="BT20" s="1005">
        <f xml:space="preserve"> 'FS Semi'!BT$65</f>
        <v>0</v>
      </c>
      <c r="BU20" s="1005">
        <f xml:space="preserve"> 'FS Semi'!BU$65</f>
        <v>0</v>
      </c>
      <c r="BV20" s="1005">
        <f xml:space="preserve"> 'FS Semi'!BV$65</f>
        <v>0</v>
      </c>
      <c r="BW20" s="1005">
        <f xml:space="preserve"> 'FS Semi'!BW$65</f>
        <v>0</v>
      </c>
      <c r="BX20" s="1005">
        <f xml:space="preserve"> 'FS Semi'!BX$65</f>
        <v>0</v>
      </c>
      <c r="BY20" s="1005">
        <f xml:space="preserve"> 'FS Semi'!BY$65</f>
        <v>0</v>
      </c>
      <c r="BZ20" s="1005">
        <f xml:space="preserve"> 'FS Semi'!BZ$65</f>
        <v>0</v>
      </c>
      <c r="CA20" s="1005">
        <f xml:space="preserve"> 'FS Semi'!CA$65</f>
        <v>0</v>
      </c>
      <c r="CB20" s="1005">
        <f xml:space="preserve"> 'FS Semi'!CB$65</f>
        <v>0</v>
      </c>
      <c r="CC20" s="1005">
        <f xml:space="preserve"> 'FS Semi'!CC$65</f>
        <v>0</v>
      </c>
      <c r="CD20" s="1005">
        <f xml:space="preserve"> 'FS Semi'!CD$65</f>
        <v>0</v>
      </c>
      <c r="CE20" s="1005">
        <f xml:space="preserve"> 'FS Semi'!CE$65</f>
        <v>0</v>
      </c>
      <c r="CF20" s="1005">
        <f xml:space="preserve"> 'FS Semi'!CF$65</f>
        <v>0</v>
      </c>
      <c r="CG20" s="1005">
        <f xml:space="preserve"> 'FS Semi'!CG$65</f>
        <v>0</v>
      </c>
      <c r="CH20" s="1005">
        <f xml:space="preserve"> 'FS Semi'!CH$65</f>
        <v>0</v>
      </c>
      <c r="CI20" s="1005">
        <f xml:space="preserve"> 'FS Semi'!CI$65</f>
        <v>0</v>
      </c>
      <c r="CJ20" s="1005">
        <f xml:space="preserve"> 'FS Semi'!CJ$65</f>
        <v>0</v>
      </c>
      <c r="CK20" s="1005">
        <f xml:space="preserve"> 'FS Semi'!CK$65</f>
        <v>0</v>
      </c>
      <c r="CL20" s="1005">
        <f xml:space="preserve"> 'FS Semi'!CL$65</f>
        <v>0</v>
      </c>
      <c r="CM20" s="1005">
        <f xml:space="preserve"> 'FS Semi'!CM$65</f>
        <v>0</v>
      </c>
      <c r="CN20" s="1005">
        <f xml:space="preserve"> 'FS Semi'!CN$65</f>
        <v>0</v>
      </c>
      <c r="CO20" s="1005">
        <f xml:space="preserve"> 'FS Semi'!CO$65</f>
        <v>0</v>
      </c>
      <c r="CP20" s="1005">
        <f xml:space="preserve"> 'FS Semi'!CP$65</f>
        <v>0</v>
      </c>
      <c r="CQ20" s="1005">
        <f xml:space="preserve"> 'FS Semi'!CQ$65</f>
        <v>0</v>
      </c>
      <c r="CR20" s="1005">
        <f xml:space="preserve"> 'FS Semi'!CR$65</f>
        <v>0</v>
      </c>
      <c r="CS20" s="1005">
        <f xml:space="preserve"> 'FS Semi'!CS$65</f>
        <v>0</v>
      </c>
      <c r="CT20" s="1005">
        <f xml:space="preserve"> 'FS Semi'!CT$65</f>
        <v>0</v>
      </c>
      <c r="CU20" s="1005">
        <f xml:space="preserve"> 'FS Semi'!CU$65</f>
        <v>0</v>
      </c>
      <c r="CV20" s="1005">
        <f xml:space="preserve"> 'FS Semi'!CV$65</f>
        <v>0</v>
      </c>
    </row>
    <row r="21" spans="1:100" s="1001" customFormat="1" outlineLevel="1" x14ac:dyDescent="0.2">
      <c r="A21" s="1008"/>
      <c r="B21" s="997"/>
      <c r="C21" s="998"/>
      <c r="D21" s="999"/>
      <c r="E21" s="1009" t="str">
        <f xml:space="preserve"> Debt!E$369</f>
        <v>Senior debt service</v>
      </c>
      <c r="F21" s="1009">
        <f xml:space="preserve"> Debt!F$369</f>
        <v>0</v>
      </c>
      <c r="G21" s="1009" t="str">
        <f xml:space="preserve"> Debt!G$369</f>
        <v>$ 000s</v>
      </c>
      <c r="H21" s="1009">
        <f xml:space="preserve"> Debt!H$369</f>
        <v>360041.89848376269</v>
      </c>
      <c r="I21" s="1009">
        <f xml:space="preserve"> Debt!I$369</f>
        <v>0</v>
      </c>
      <c r="J21" s="1009">
        <f xml:space="preserve"> Debt!J$369</f>
        <v>0</v>
      </c>
      <c r="K21" s="1009">
        <f xml:space="preserve"> Debt!K$369</f>
        <v>0</v>
      </c>
      <c r="L21" s="1009">
        <f xml:space="preserve"> Debt!L$369</f>
        <v>0</v>
      </c>
      <c r="M21" s="1009">
        <f xml:space="preserve"> Debt!M$369</f>
        <v>0</v>
      </c>
      <c r="N21" s="1009">
        <f xml:space="preserve"> Debt!N$369</f>
        <v>0</v>
      </c>
      <c r="O21" s="1009">
        <f xml:space="preserve"> Debt!O$369</f>
        <v>12686.671356945051</v>
      </c>
      <c r="P21" s="1009">
        <f xml:space="preserve"> Debt!P$369</f>
        <v>11219.578313619157</v>
      </c>
      <c r="Q21" s="1009">
        <f xml:space="preserve"> Debt!Q$369</f>
        <v>11246.683026259163</v>
      </c>
      <c r="R21" s="1009">
        <f xml:space="preserve"> Debt!R$369</f>
        <v>11134.906831418644</v>
      </c>
      <c r="S21" s="1009">
        <f xml:space="preserve"> Debt!S$369</f>
        <v>11160.497290778691</v>
      </c>
      <c r="T21" s="1009">
        <f xml:space="preserve"> Debt!T$369</f>
        <v>11049.147667919469</v>
      </c>
      <c r="U21" s="1009">
        <f xml:space="preserve"> Debt!U$369</f>
        <v>11073.197450820346</v>
      </c>
      <c r="V21" s="1009">
        <f xml:space="preserve"> Debt!V$369</f>
        <v>10977.313489020877</v>
      </c>
      <c r="W21" s="1009">
        <f xml:space="preserve"> Debt!W$369</f>
        <v>10969.723974284556</v>
      </c>
      <c r="X21" s="1009">
        <f xml:space="preserve"> Debt!X$369</f>
        <v>10874.27318110882</v>
      </c>
      <c r="Y21" s="1009">
        <f xml:space="preserve"> Debt!Y$369</f>
        <v>10895.160171361602</v>
      </c>
      <c r="Z21" s="1009">
        <f xml:space="preserve"> Debt!Z$369</f>
        <v>10785.110133328311</v>
      </c>
      <c r="AA21" s="1009">
        <f xml:space="preserve"> Debt!AA$369</f>
        <v>10804.373888164411</v>
      </c>
      <c r="AB21" s="1009">
        <f xml:space="preserve"> Debt!AB$369</f>
        <v>10694.76392796511</v>
      </c>
      <c r="AC21" s="1009">
        <f xml:space="preserve"> Debt!AC$369</f>
        <v>10712.37579856183</v>
      </c>
      <c r="AD21" s="1009">
        <f xml:space="preserve"> Debt!AD$369</f>
        <v>10617.752823814142</v>
      </c>
      <c r="AE21" s="1009">
        <f xml:space="preserve"> Debt!AE$369</f>
        <v>10604.596909622556</v>
      </c>
      <c r="AF21" s="1009">
        <f xml:space="preserve"> Debt!AF$369</f>
        <v>10510.421245766829</v>
      </c>
      <c r="AG21" s="1009">
        <f xml:space="preserve"> Debt!AG$369</f>
        <v>10524.641040765775</v>
      </c>
      <c r="AH21" s="1009">
        <f xml:space="preserve"> Debt!AH$369</f>
        <v>10416.373099274493</v>
      </c>
      <c r="AI21" s="1009">
        <f xml:space="preserve"> Debt!AI$369</f>
        <v>10428.851504537852</v>
      </c>
      <c r="AJ21" s="1009">
        <f xml:space="preserve"> Debt!AJ$369</f>
        <v>10321.038445702476</v>
      </c>
      <c r="AK21" s="1009">
        <f xml:space="preserve"> Debt!AK$369</f>
        <v>10331.74438166013</v>
      </c>
      <c r="AL21" s="1009">
        <f xml:space="preserve"> Debt!AL$369</f>
        <v>10238.413866724009</v>
      </c>
      <c r="AM21" s="1009">
        <f xml:space="preserve"> Debt!AM$369</f>
        <v>10219.268154047048</v>
      </c>
      <c r="AN21" s="1009">
        <f xml:space="preserve"> Debt!AN$369</f>
        <v>10126.400443477962</v>
      </c>
      <c r="AO21" s="1009">
        <f xml:space="preserve"> Debt!AO$369</f>
        <v>10133.465715349392</v>
      </c>
      <c r="AP21" s="1009">
        <f xml:space="preserve"> Debt!AP$369</f>
        <v>10027.041163247522</v>
      </c>
      <c r="AQ21" s="1009">
        <f xml:space="preserve"> Debt!AQ$369</f>
        <v>10032.236926693096</v>
      </c>
      <c r="AR21" s="1009">
        <f xml:space="preserve"> Debt!AR$369</f>
        <v>9926.2834676298662</v>
      </c>
      <c r="AS21" s="1009">
        <f xml:space="preserve"> Debt!AS$369</f>
        <v>9929.5775194771086</v>
      </c>
      <c r="AT21" s="1009">
        <f xml:space="preserve"> Debt!AT$369</f>
        <v>9837.5746264223908</v>
      </c>
      <c r="AU21" s="1009">
        <f xml:space="preserve"> Debt!AU$369</f>
        <v>9811.9812368171188</v>
      </c>
      <c r="AV21" s="1009">
        <f xml:space="preserve"> Debt!AV$369</f>
        <v>9720.4606172373533</v>
      </c>
      <c r="AW21" s="1009">
        <f xml:space="preserve"> Debt!AW$369</f>
        <v>-2.024773110608092E-4</v>
      </c>
      <c r="AX21" s="1009">
        <f xml:space="preserve"> Debt!AX$369</f>
        <v>-1.9917605055438296E-4</v>
      </c>
      <c r="AY21" s="1009">
        <f xml:space="preserve"> Debt!AY$369</f>
        <v>-2.024773110608092E-4</v>
      </c>
      <c r="AZ21" s="1009">
        <f xml:space="preserve"> Debt!AZ$369</f>
        <v>-1.9917605055438296E-4</v>
      </c>
      <c r="BA21" s="1009">
        <f xml:space="preserve"> Debt!BA$369</f>
        <v>-2.024773110608092E-4</v>
      </c>
      <c r="BB21" s="1009">
        <f xml:space="preserve"> Debt!BB$369</f>
        <v>-2.0027647072319173E-4</v>
      </c>
      <c r="BC21" s="1009">
        <f xml:space="preserve"> Debt!BC$369</f>
        <v>0</v>
      </c>
      <c r="BD21" s="1009">
        <f xml:space="preserve"> Debt!BD$369</f>
        <v>0</v>
      </c>
      <c r="BE21" s="1009">
        <f xml:space="preserve"> Debt!BE$369</f>
        <v>0</v>
      </c>
      <c r="BF21" s="1009">
        <f xml:space="preserve"> Debt!BF$369</f>
        <v>0</v>
      </c>
      <c r="BG21" s="1009">
        <f xml:space="preserve"> Debt!BG$369</f>
        <v>0</v>
      </c>
      <c r="BH21" s="1009">
        <f xml:space="preserve"> Debt!BH$369</f>
        <v>0</v>
      </c>
      <c r="BI21" s="1009">
        <f xml:space="preserve"> Debt!BI$369</f>
        <v>0</v>
      </c>
      <c r="BJ21" s="1009">
        <f xml:space="preserve"> Debt!BJ$369</f>
        <v>0</v>
      </c>
      <c r="BK21" s="1009">
        <f xml:space="preserve"> Debt!BK$369</f>
        <v>0</v>
      </c>
      <c r="BL21" s="1009">
        <f xml:space="preserve"> Debt!BL$369</f>
        <v>0</v>
      </c>
      <c r="BM21" s="1009">
        <f xml:space="preserve"> Debt!BM$369</f>
        <v>0</v>
      </c>
      <c r="BN21" s="1009">
        <f xml:space="preserve"> Debt!BN$369</f>
        <v>0</v>
      </c>
      <c r="BO21" s="1009">
        <f xml:space="preserve"> Debt!BO$369</f>
        <v>0</v>
      </c>
      <c r="BP21" s="1009">
        <f xml:space="preserve"> Debt!BP$369</f>
        <v>0</v>
      </c>
      <c r="BQ21" s="1009">
        <f xml:space="preserve"> Debt!BQ$369</f>
        <v>0</v>
      </c>
      <c r="BR21" s="1009">
        <f xml:space="preserve"> Debt!BR$369</f>
        <v>0</v>
      </c>
      <c r="BS21" s="1009">
        <f xml:space="preserve"> Debt!BS$369</f>
        <v>0</v>
      </c>
      <c r="BT21" s="1009">
        <f xml:space="preserve"> Debt!BT$369</f>
        <v>0</v>
      </c>
      <c r="BU21" s="1009">
        <f xml:space="preserve"> Debt!BU$369</f>
        <v>0</v>
      </c>
      <c r="BV21" s="1009">
        <f xml:space="preserve"> Debt!BV$369</f>
        <v>0</v>
      </c>
      <c r="BW21" s="1009">
        <f xml:space="preserve"> Debt!BW$369</f>
        <v>0</v>
      </c>
      <c r="BX21" s="1009">
        <f xml:space="preserve"> Debt!BX$369</f>
        <v>0</v>
      </c>
      <c r="BY21" s="1009">
        <f xml:space="preserve"> Debt!BY$369</f>
        <v>0</v>
      </c>
      <c r="BZ21" s="1009">
        <f xml:space="preserve"> Debt!BZ$369</f>
        <v>0</v>
      </c>
      <c r="CA21" s="1009">
        <f xml:space="preserve"> Debt!CA$369</f>
        <v>0</v>
      </c>
      <c r="CB21" s="1009">
        <f xml:space="preserve"> Debt!CB$369</f>
        <v>0</v>
      </c>
      <c r="CC21" s="1009">
        <f xml:space="preserve"> Debt!CC$369</f>
        <v>0</v>
      </c>
      <c r="CD21" s="1009">
        <f xml:space="preserve"> Debt!CD$369</f>
        <v>0</v>
      </c>
      <c r="CE21" s="1009">
        <f xml:space="preserve"> Debt!CE$369</f>
        <v>0</v>
      </c>
      <c r="CF21" s="1009">
        <f xml:space="preserve"> Debt!CF$369</f>
        <v>0</v>
      </c>
      <c r="CG21" s="1009">
        <f xml:space="preserve"> Debt!CG$369</f>
        <v>0</v>
      </c>
      <c r="CH21" s="1009">
        <f xml:space="preserve"> Debt!CH$369</f>
        <v>0</v>
      </c>
      <c r="CI21" s="1009">
        <f xml:space="preserve"> Debt!CI$369</f>
        <v>0</v>
      </c>
      <c r="CJ21" s="1009">
        <f xml:space="preserve"> Debt!CJ$369</f>
        <v>0</v>
      </c>
      <c r="CK21" s="1009">
        <f xml:space="preserve"> Debt!CK$369</f>
        <v>0</v>
      </c>
      <c r="CL21" s="1009">
        <f xml:space="preserve"> Debt!CL$369</f>
        <v>0</v>
      </c>
      <c r="CM21" s="1009">
        <f xml:space="preserve"> Debt!CM$369</f>
        <v>0</v>
      </c>
      <c r="CN21" s="1009">
        <f xml:space="preserve"> Debt!CN$369</f>
        <v>0</v>
      </c>
      <c r="CO21" s="1009">
        <f xml:space="preserve"> Debt!CO$369</f>
        <v>0</v>
      </c>
      <c r="CP21" s="1009">
        <f xml:space="preserve"> Debt!CP$369</f>
        <v>0</v>
      </c>
      <c r="CQ21" s="1009">
        <f xml:space="preserve"> Debt!CQ$369</f>
        <v>0</v>
      </c>
      <c r="CR21" s="1009">
        <f xml:space="preserve"> Debt!CR$369</f>
        <v>0</v>
      </c>
      <c r="CS21" s="1009">
        <f xml:space="preserve"> Debt!CS$369</f>
        <v>0</v>
      </c>
      <c r="CT21" s="1009">
        <f xml:space="preserve"> Debt!CT$369</f>
        <v>0</v>
      </c>
      <c r="CU21" s="1009">
        <f xml:space="preserve"> Debt!CU$369</f>
        <v>0</v>
      </c>
      <c r="CV21" s="1009">
        <f xml:space="preserve"> Debt!CV$369</f>
        <v>0</v>
      </c>
    </row>
    <row r="22" spans="1:100" s="1001" customFormat="1" outlineLevel="1" x14ac:dyDescent="0.2">
      <c r="B22" s="997"/>
      <c r="C22" s="998"/>
      <c r="D22" s="999"/>
      <c r="E22" s="1005"/>
      <c r="F22" s="1005"/>
      <c r="G22" s="1005"/>
      <c r="H22" s="1005"/>
      <c r="I22" s="1005"/>
      <c r="J22" s="1005"/>
      <c r="K22" s="1005"/>
      <c r="L22" s="1005"/>
      <c r="M22" s="1005"/>
      <c r="N22" s="1005"/>
      <c r="O22" s="1005"/>
      <c r="P22" s="1005"/>
      <c r="Q22" s="1005"/>
      <c r="R22" s="1005"/>
      <c r="S22" s="1005"/>
      <c r="T22" s="415"/>
      <c r="U22" s="415"/>
      <c r="V22" s="415"/>
      <c r="W22" s="415"/>
      <c r="X22" s="415"/>
      <c r="Y22" s="415"/>
      <c r="Z22" s="415"/>
      <c r="AA22" s="415"/>
      <c r="AB22" s="415"/>
      <c r="AC22" s="415"/>
      <c r="AD22" s="415"/>
      <c r="AE22" s="415"/>
      <c r="AF22" s="415"/>
      <c r="AG22" s="415"/>
      <c r="AH22" s="415"/>
      <c r="AI22" s="415"/>
      <c r="AJ22" s="415"/>
      <c r="AK22" s="415"/>
      <c r="AL22" s="415"/>
      <c r="AM22" s="415"/>
      <c r="AN22" s="415"/>
      <c r="AO22" s="415"/>
      <c r="AP22" s="415"/>
      <c r="AQ22" s="415"/>
      <c r="AR22" s="415"/>
      <c r="AS22" s="415"/>
      <c r="AT22" s="415"/>
      <c r="AU22" s="415"/>
      <c r="AV22" s="415"/>
      <c r="AW22" s="415"/>
      <c r="AX22" s="415"/>
      <c r="AY22" s="415"/>
      <c r="AZ22" s="415"/>
      <c r="BA22" s="415"/>
      <c r="BB22" s="415"/>
      <c r="BC22" s="415"/>
      <c r="BD22" s="415"/>
      <c r="BE22" s="415"/>
      <c r="BF22" s="415"/>
      <c r="BG22" s="415"/>
      <c r="BH22" s="415"/>
      <c r="BI22" s="415"/>
      <c r="BJ22" s="415"/>
      <c r="BK22" s="415"/>
      <c r="BL22" s="415"/>
      <c r="BM22" s="415"/>
      <c r="BN22" s="415"/>
      <c r="BO22" s="415"/>
      <c r="BP22" s="415"/>
      <c r="BQ22" s="415"/>
      <c r="BR22" s="415"/>
      <c r="BS22" s="415"/>
      <c r="BT22" s="415"/>
      <c r="BU22" s="415"/>
      <c r="BV22" s="415"/>
      <c r="BW22" s="415"/>
      <c r="BX22" s="415"/>
      <c r="BY22" s="415"/>
      <c r="BZ22" s="415"/>
      <c r="CA22" s="415"/>
      <c r="CB22" s="415"/>
      <c r="CC22" s="415"/>
      <c r="CD22" s="415"/>
      <c r="CE22" s="415"/>
      <c r="CF22" s="415"/>
      <c r="CG22" s="415"/>
      <c r="CH22" s="415"/>
      <c r="CI22" s="415"/>
      <c r="CJ22" s="415"/>
      <c r="CK22" s="415"/>
      <c r="CL22" s="415"/>
      <c r="CM22" s="415"/>
      <c r="CN22" s="415"/>
      <c r="CO22" s="415"/>
      <c r="CP22" s="415"/>
      <c r="CQ22" s="415"/>
      <c r="CR22" s="415"/>
      <c r="CS22" s="415"/>
      <c r="CT22" s="415"/>
      <c r="CU22" s="415"/>
      <c r="CV22" s="415"/>
    </row>
    <row r="23" spans="1:100" s="1001" customFormat="1" outlineLevel="1" x14ac:dyDescent="0.2">
      <c r="A23" s="1008"/>
      <c r="B23" s="997"/>
      <c r="C23" s="998"/>
      <c r="D23" s="999"/>
      <c r="E23" s="1005" t="str">
        <f xml:space="preserve"> Debt!E$464</f>
        <v>Shareholder loan interest paid POS</v>
      </c>
      <c r="F23" s="1005">
        <f xml:space="preserve"> Debt!F$464</f>
        <v>0</v>
      </c>
      <c r="G23" s="1005" t="str">
        <f xml:space="preserve"> Debt!G$464</f>
        <v>$ 000s</v>
      </c>
      <c r="H23" s="1005">
        <f xml:space="preserve"> Debt!H$464</f>
        <v>209529.209635665</v>
      </c>
      <c r="I23" s="1005">
        <f xml:space="preserve"> Debt!I$464</f>
        <v>0</v>
      </c>
      <c r="J23" s="1005">
        <f xml:space="preserve"> Debt!J$464</f>
        <v>0</v>
      </c>
      <c r="K23" s="1005">
        <f xml:space="preserve"> Debt!K$464</f>
        <v>0</v>
      </c>
      <c r="L23" s="1005">
        <f xml:space="preserve"> Debt!L$464</f>
        <v>0</v>
      </c>
      <c r="M23" s="1005">
        <f xml:space="preserve"> Debt!M$464</f>
        <v>0</v>
      </c>
      <c r="N23" s="1005">
        <f xml:space="preserve"> Debt!N$464</f>
        <v>0</v>
      </c>
      <c r="O23" s="1005">
        <f xml:space="preserve"> Debt!O$464</f>
        <v>4958.439672321485</v>
      </c>
      <c r="P23" s="1005">
        <f xml:space="preserve"> Debt!P$464</f>
        <v>4419.0608948077006</v>
      </c>
      <c r="Q23" s="1005">
        <f xml:space="preserve"> Debt!Q$464</f>
        <v>4431.5253604270329</v>
      </c>
      <c r="R23" s="1005">
        <f xml:space="preserve"> Debt!R$464</f>
        <v>4391.093891938297</v>
      </c>
      <c r="S23" s="1005">
        <f xml:space="preserve"> Debt!S$464</f>
        <v>4403.1380347567629</v>
      </c>
      <c r="T23" s="1005">
        <f xml:space="preserve"> Debt!T$464</f>
        <v>4355.3526856522458</v>
      </c>
      <c r="U23" s="1005">
        <f xml:space="preserve"> Debt!U$464</f>
        <v>4382.0081370400603</v>
      </c>
      <c r="V23" s="1005">
        <f xml:space="preserve"> Debt!V$464</f>
        <v>4347.3986771604377</v>
      </c>
      <c r="W23" s="1005">
        <f xml:space="preserve"> Debt!W$464</f>
        <v>4332.0424186494074</v>
      </c>
      <c r="X23" s="1005">
        <f xml:space="preserve"> Debt!X$464</f>
        <v>4305.6339209957259</v>
      </c>
      <c r="Y23" s="1005">
        <f xml:space="preserve"> Debt!Y$464</f>
        <v>4312.4659036591293</v>
      </c>
      <c r="Z23" s="1005">
        <f xml:space="preserve"> Debt!Z$464</f>
        <v>4272.8092009906122</v>
      </c>
      <c r="AA23" s="1005">
        <f xml:space="preserve"> Debt!AA$464</f>
        <v>4283.115731938944</v>
      </c>
      <c r="AB23" s="1005">
        <f xml:space="preserve"> Debt!AB$464</f>
        <v>4236.3642612251533</v>
      </c>
      <c r="AC23" s="1005">
        <f xml:space="preserve"> Debt!AC$464</f>
        <v>4260.7817874205048</v>
      </c>
      <c r="AD23" s="1005">
        <f xml:space="preserve"> Debt!AD$464</f>
        <v>4226.8926984581904</v>
      </c>
      <c r="AE23" s="1005">
        <f xml:space="preserve"> Debt!AE$464</f>
        <v>4210.5566747623652</v>
      </c>
      <c r="AF23" s="1005">
        <f xml:space="preserve"> Debt!AF$464</f>
        <v>4184.5198798179717</v>
      </c>
      <c r="AG23" s="1005">
        <f xml:space="preserve"> Debt!AG$464</f>
        <v>4193.5196354169639</v>
      </c>
      <c r="AH23" s="1005">
        <f xml:space="preserve"> Debt!AH$464</f>
        <v>4154.5851076482049</v>
      </c>
      <c r="AI23" s="1005">
        <f xml:space="preserve"> Debt!AI$464</f>
        <v>4160.1690071333178</v>
      </c>
      <c r="AJ23" s="1005">
        <f xml:space="preserve"> Debt!AJ$464</f>
        <v>4114.5867677660935</v>
      </c>
      <c r="AK23" s="1005">
        <f xml:space="preserve"> Debt!AK$464</f>
        <v>4136.8167660469644</v>
      </c>
      <c r="AL23" s="1005">
        <f xml:space="preserve"> Debt!AL$464</f>
        <v>4103.793740913763</v>
      </c>
      <c r="AM23" s="1005">
        <f xml:space="preserve"> Debt!AM$464</f>
        <v>4086.5915922280165</v>
      </c>
      <c r="AN23" s="1005">
        <f xml:space="preserve"> Debt!AN$464</f>
        <v>4061.0374088608005</v>
      </c>
      <c r="AO23" s="1005">
        <f xml:space="preserve"> Debt!AO$464</f>
        <v>4068.3871290318584</v>
      </c>
      <c r="AP23" s="1005">
        <f xml:space="preserve"> Debt!AP$464</f>
        <v>4030.4248647182721</v>
      </c>
      <c r="AQ23" s="1005">
        <f xml:space="preserve"> Debt!AQ$464</f>
        <v>4037.3447391668196</v>
      </c>
      <c r="AR23" s="1005">
        <f xml:space="preserve"> Debt!AR$464</f>
        <v>3992.8547991747637</v>
      </c>
      <c r="AS23" s="1005">
        <f xml:space="preserve"> Debt!AS$464</f>
        <v>4012.8195573263183</v>
      </c>
      <c r="AT23" s="1005">
        <f xml:space="preserve"> Debt!AT$464</f>
        <v>3980.2686518909049</v>
      </c>
      <c r="AU23" s="1005">
        <f xml:space="preserve"> Debt!AU$464</f>
        <v>8821.7245186193904</v>
      </c>
      <c r="AV23" s="1005">
        <f xml:space="preserve"> Debt!AV$464</f>
        <v>8743.9212089990451</v>
      </c>
      <c r="AW23" s="1005">
        <f xml:space="preserve"> Debt!AW$464</f>
        <v>9987.6941905636468</v>
      </c>
      <c r="AX23" s="1005">
        <f xml:space="preserve"> Debt!AX$464</f>
        <v>9770.4895641548992</v>
      </c>
      <c r="AY23" s="1005">
        <f xml:space="preserve"> Debt!AY$464</f>
        <v>9549.0318421243355</v>
      </c>
      <c r="AZ23" s="1005">
        <f xml:space="preserve"> Debt!AZ$464</f>
        <v>9314.507238305725</v>
      </c>
      <c r="BA23" s="1005">
        <f xml:space="preserve"> Debt!BA$464</f>
        <v>9074.6492789060685</v>
      </c>
      <c r="BB23" s="1005">
        <f xml:space="preserve"> Debt!BB$464</f>
        <v>8820.7921946468232</v>
      </c>
      <c r="BC23" s="1005">
        <f xml:space="preserve"> Debt!BC$464</f>
        <v>0</v>
      </c>
      <c r="BD23" s="1005">
        <f xml:space="preserve"> Debt!BD$464</f>
        <v>0</v>
      </c>
      <c r="BE23" s="1005">
        <f xml:space="preserve"> Debt!BE$464</f>
        <v>0</v>
      </c>
      <c r="BF23" s="1005">
        <f xml:space="preserve"> Debt!BF$464</f>
        <v>0</v>
      </c>
      <c r="BG23" s="1005">
        <f xml:space="preserve"> Debt!BG$464</f>
        <v>0</v>
      </c>
      <c r="BH23" s="1005">
        <f xml:space="preserve"> Debt!BH$464</f>
        <v>0</v>
      </c>
      <c r="BI23" s="1005">
        <f xml:space="preserve"> Debt!BI$464</f>
        <v>0</v>
      </c>
      <c r="BJ23" s="1005">
        <f xml:space="preserve"> Debt!BJ$464</f>
        <v>0</v>
      </c>
      <c r="BK23" s="1005">
        <f xml:space="preserve"> Debt!BK$464</f>
        <v>0</v>
      </c>
      <c r="BL23" s="1005">
        <f xml:space="preserve"> Debt!BL$464</f>
        <v>0</v>
      </c>
      <c r="BM23" s="1005">
        <f xml:space="preserve"> Debt!BM$464</f>
        <v>0</v>
      </c>
      <c r="BN23" s="1005">
        <f xml:space="preserve"> Debt!BN$464</f>
        <v>0</v>
      </c>
      <c r="BO23" s="1005">
        <f xml:space="preserve"> Debt!BO$464</f>
        <v>0</v>
      </c>
      <c r="BP23" s="1005">
        <f xml:space="preserve"> Debt!BP$464</f>
        <v>0</v>
      </c>
      <c r="BQ23" s="1005">
        <f xml:space="preserve"> Debt!BQ$464</f>
        <v>0</v>
      </c>
      <c r="BR23" s="1005">
        <f xml:space="preserve"> Debt!BR$464</f>
        <v>0</v>
      </c>
      <c r="BS23" s="1005">
        <f xml:space="preserve"> Debt!BS$464</f>
        <v>0</v>
      </c>
      <c r="BT23" s="1005">
        <f xml:space="preserve"> Debt!BT$464</f>
        <v>0</v>
      </c>
      <c r="BU23" s="1005">
        <f xml:space="preserve"> Debt!BU$464</f>
        <v>0</v>
      </c>
      <c r="BV23" s="1005">
        <f xml:space="preserve"> Debt!BV$464</f>
        <v>0</v>
      </c>
      <c r="BW23" s="1005">
        <f xml:space="preserve"> Debt!BW$464</f>
        <v>0</v>
      </c>
      <c r="BX23" s="1005">
        <f xml:space="preserve"> Debt!BX$464</f>
        <v>0</v>
      </c>
      <c r="BY23" s="1005">
        <f xml:space="preserve"> Debt!BY$464</f>
        <v>0</v>
      </c>
      <c r="BZ23" s="1005">
        <f xml:space="preserve"> Debt!BZ$464</f>
        <v>0</v>
      </c>
      <c r="CA23" s="1005">
        <f xml:space="preserve"> Debt!CA$464</f>
        <v>0</v>
      </c>
      <c r="CB23" s="1005">
        <f xml:space="preserve"> Debt!CB$464</f>
        <v>0</v>
      </c>
      <c r="CC23" s="1005">
        <f xml:space="preserve"> Debt!CC$464</f>
        <v>0</v>
      </c>
      <c r="CD23" s="1005">
        <f xml:space="preserve"> Debt!CD$464</f>
        <v>0</v>
      </c>
      <c r="CE23" s="1005">
        <f xml:space="preserve"> Debt!CE$464</f>
        <v>0</v>
      </c>
      <c r="CF23" s="1005">
        <f xml:space="preserve"> Debt!CF$464</f>
        <v>0</v>
      </c>
      <c r="CG23" s="1005">
        <f xml:space="preserve"> Debt!CG$464</f>
        <v>0</v>
      </c>
      <c r="CH23" s="1005">
        <f xml:space="preserve"> Debt!CH$464</f>
        <v>0</v>
      </c>
      <c r="CI23" s="1005">
        <f xml:space="preserve"> Debt!CI$464</f>
        <v>0</v>
      </c>
      <c r="CJ23" s="1005">
        <f xml:space="preserve"> Debt!CJ$464</f>
        <v>0</v>
      </c>
      <c r="CK23" s="1005">
        <f xml:space="preserve"> Debt!CK$464</f>
        <v>0</v>
      </c>
      <c r="CL23" s="1005">
        <f xml:space="preserve"> Debt!CL$464</f>
        <v>0</v>
      </c>
      <c r="CM23" s="1005">
        <f xml:space="preserve"> Debt!CM$464</f>
        <v>0</v>
      </c>
      <c r="CN23" s="1005">
        <f xml:space="preserve"> Debt!CN$464</f>
        <v>0</v>
      </c>
      <c r="CO23" s="1005">
        <f xml:space="preserve"> Debt!CO$464</f>
        <v>0</v>
      </c>
      <c r="CP23" s="1005">
        <f xml:space="preserve"> Debt!CP$464</f>
        <v>0</v>
      </c>
      <c r="CQ23" s="1005">
        <f xml:space="preserve"> Debt!CQ$464</f>
        <v>0</v>
      </c>
      <c r="CR23" s="1005">
        <f xml:space="preserve"> Debt!CR$464</f>
        <v>0</v>
      </c>
      <c r="CS23" s="1005">
        <f xml:space="preserve"> Debt!CS$464</f>
        <v>0</v>
      </c>
      <c r="CT23" s="1005">
        <f xml:space="preserve"> Debt!CT$464</f>
        <v>0</v>
      </c>
      <c r="CU23" s="1005">
        <f xml:space="preserve"> Debt!CU$464</f>
        <v>0</v>
      </c>
      <c r="CV23" s="1005">
        <f xml:space="preserve"> Debt!CV$464</f>
        <v>0</v>
      </c>
    </row>
    <row r="24" spans="1:100" s="1001" customFormat="1" outlineLevel="1" x14ac:dyDescent="0.2">
      <c r="A24" s="1008"/>
      <c r="B24" s="997"/>
      <c r="C24" s="998"/>
      <c r="D24" s="999"/>
      <c r="E24" s="1009" t="str">
        <f xml:space="preserve"> Debt!E$479</f>
        <v>Shareholder loan principal repayment POS</v>
      </c>
      <c r="F24" s="1009">
        <f xml:space="preserve"> Debt!F$479</f>
        <v>0</v>
      </c>
      <c r="G24" s="1009" t="str">
        <f xml:space="preserve"> Debt!G$479</f>
        <v>$ 000s</v>
      </c>
      <c r="H24" s="1009">
        <f xml:space="preserve"> Debt!H$479</f>
        <v>27073.534167424834</v>
      </c>
      <c r="I24" s="1009">
        <f xml:space="preserve"> Debt!I$479</f>
        <v>0</v>
      </c>
      <c r="J24" s="1009">
        <f xml:space="preserve"> Debt!J$479</f>
        <v>0</v>
      </c>
      <c r="K24" s="1009">
        <f xml:space="preserve"> Debt!K$479</f>
        <v>0</v>
      </c>
      <c r="L24" s="1009">
        <f xml:space="preserve"> Debt!L$479</f>
        <v>0</v>
      </c>
      <c r="M24" s="1009">
        <f xml:space="preserve"> Debt!M$479</f>
        <v>0</v>
      </c>
      <c r="N24" s="1009">
        <f xml:space="preserve"> Debt!N$479</f>
        <v>0</v>
      </c>
      <c r="O24" s="1009">
        <f xml:space="preserve"> Debt!O$479</f>
        <v>0</v>
      </c>
      <c r="P24" s="1009">
        <f xml:space="preserve"> Debt!P$479</f>
        <v>0</v>
      </c>
      <c r="Q24" s="1009">
        <f xml:space="preserve"> Debt!Q$479</f>
        <v>0</v>
      </c>
      <c r="R24" s="1009">
        <f xml:space="preserve"> Debt!R$479</f>
        <v>0</v>
      </c>
      <c r="S24" s="1009">
        <f xml:space="preserve"> Debt!S$479</f>
        <v>0</v>
      </c>
      <c r="T24" s="1009">
        <f xml:space="preserve"> Debt!T$479</f>
        <v>0</v>
      </c>
      <c r="U24" s="1009">
        <f xml:space="preserve"> Debt!U$479</f>
        <v>0</v>
      </c>
      <c r="V24" s="1009">
        <f xml:space="preserve"> Debt!V$479</f>
        <v>0</v>
      </c>
      <c r="W24" s="1009">
        <f xml:space="preserve"> Debt!W$479</f>
        <v>0</v>
      </c>
      <c r="X24" s="1009">
        <f xml:space="preserve"> Debt!X$479</f>
        <v>0</v>
      </c>
      <c r="Y24" s="1009">
        <f xml:space="preserve"> Debt!Y$479</f>
        <v>0</v>
      </c>
      <c r="Z24" s="1009">
        <f xml:space="preserve"> Debt!Z$479</f>
        <v>0</v>
      </c>
      <c r="AA24" s="1009">
        <f xml:space="preserve"> Debt!AA$479</f>
        <v>0</v>
      </c>
      <c r="AB24" s="1009">
        <f xml:space="preserve"> Debt!AB$479</f>
        <v>0</v>
      </c>
      <c r="AC24" s="1009">
        <f xml:space="preserve"> Debt!AC$479</f>
        <v>0</v>
      </c>
      <c r="AD24" s="1009">
        <f xml:space="preserve"> Debt!AD$479</f>
        <v>0</v>
      </c>
      <c r="AE24" s="1009">
        <f xml:space="preserve"> Debt!AE$479</f>
        <v>0</v>
      </c>
      <c r="AF24" s="1009">
        <f xml:space="preserve"> Debt!AF$479</f>
        <v>0</v>
      </c>
      <c r="AG24" s="1009">
        <f xml:space="preserve"> Debt!AG$479</f>
        <v>0</v>
      </c>
      <c r="AH24" s="1009">
        <f xml:space="preserve"> Debt!AH$479</f>
        <v>0</v>
      </c>
      <c r="AI24" s="1009">
        <f xml:space="preserve"> Debt!AI$479</f>
        <v>0</v>
      </c>
      <c r="AJ24" s="1009">
        <f xml:space="preserve"> Debt!AJ$479</f>
        <v>0</v>
      </c>
      <c r="AK24" s="1009">
        <f xml:space="preserve"> Debt!AK$479</f>
        <v>0</v>
      </c>
      <c r="AL24" s="1009">
        <f xml:space="preserve"> Debt!AL$479</f>
        <v>0</v>
      </c>
      <c r="AM24" s="1009">
        <f xml:space="preserve"> Debt!AM$479</f>
        <v>0</v>
      </c>
      <c r="AN24" s="1009">
        <f xml:space="preserve"> Debt!AN$479</f>
        <v>0</v>
      </c>
      <c r="AO24" s="1009">
        <f xml:space="preserve"> Debt!AO$479</f>
        <v>0</v>
      </c>
      <c r="AP24" s="1009">
        <f xml:space="preserve"> Debt!AP$479</f>
        <v>0</v>
      </c>
      <c r="AQ24" s="1009">
        <f xml:space="preserve"> Debt!AQ$479</f>
        <v>0</v>
      </c>
      <c r="AR24" s="1009">
        <f xml:space="preserve"> Debt!AR$479</f>
        <v>0</v>
      </c>
      <c r="AS24" s="1009">
        <f xml:space="preserve"> Debt!AS$479</f>
        <v>0</v>
      </c>
      <c r="AT24" s="1009">
        <f xml:space="preserve"> Debt!AT$479</f>
        <v>0</v>
      </c>
      <c r="AU24" s="1009">
        <f xml:space="preserve"> Debt!AU$479</f>
        <v>0</v>
      </c>
      <c r="AV24" s="1009">
        <f xml:space="preserve"> Debt!AV$479</f>
        <v>0</v>
      </c>
      <c r="AW24" s="1009">
        <f xml:space="preserve"> Debt!AW$479</f>
        <v>3620.0771068124504</v>
      </c>
      <c r="AX24" s="1009">
        <f xml:space="preserve"> Debt!AX$479</f>
        <v>3690.9620338427376</v>
      </c>
      <c r="AY24" s="1009">
        <f xml:space="preserve"> Debt!AY$479</f>
        <v>3908.7433969768135</v>
      </c>
      <c r="AZ24" s="1009">
        <f xml:space="preserve"> Debt!AZ$479</f>
        <v>3997.6326566609459</v>
      </c>
      <c r="BA24" s="1009">
        <f xml:space="preserve"> Debt!BA$479</f>
        <v>4230.9514043207746</v>
      </c>
      <c r="BB24" s="1009">
        <f xml:space="preserve"> Debt!BB$479</f>
        <v>7625.1675688111136</v>
      </c>
      <c r="BC24" s="1009">
        <f xml:space="preserve"> Debt!BC$479</f>
        <v>0</v>
      </c>
      <c r="BD24" s="1009">
        <f xml:space="preserve"> Debt!BD$479</f>
        <v>0</v>
      </c>
      <c r="BE24" s="1009">
        <f xml:space="preserve"> Debt!BE$479</f>
        <v>0</v>
      </c>
      <c r="BF24" s="1009">
        <f xml:space="preserve"> Debt!BF$479</f>
        <v>0</v>
      </c>
      <c r="BG24" s="1009">
        <f xml:space="preserve"> Debt!BG$479</f>
        <v>0</v>
      </c>
      <c r="BH24" s="1009">
        <f xml:space="preserve"> Debt!BH$479</f>
        <v>0</v>
      </c>
      <c r="BI24" s="1009">
        <f xml:space="preserve"> Debt!BI$479</f>
        <v>0</v>
      </c>
      <c r="BJ24" s="1009">
        <f xml:space="preserve"> Debt!BJ$479</f>
        <v>0</v>
      </c>
      <c r="BK24" s="1009">
        <f xml:space="preserve"> Debt!BK$479</f>
        <v>0</v>
      </c>
      <c r="BL24" s="1009">
        <f xml:space="preserve"> Debt!BL$479</f>
        <v>0</v>
      </c>
      <c r="BM24" s="1009">
        <f xml:space="preserve"> Debt!BM$479</f>
        <v>0</v>
      </c>
      <c r="BN24" s="1009">
        <f xml:space="preserve"> Debt!BN$479</f>
        <v>0</v>
      </c>
      <c r="BO24" s="1009">
        <f xml:space="preserve"> Debt!BO$479</f>
        <v>0</v>
      </c>
      <c r="BP24" s="1009">
        <f xml:space="preserve"> Debt!BP$479</f>
        <v>0</v>
      </c>
      <c r="BQ24" s="1009">
        <f xml:space="preserve"> Debt!BQ$479</f>
        <v>0</v>
      </c>
      <c r="BR24" s="1009">
        <f xml:space="preserve"> Debt!BR$479</f>
        <v>0</v>
      </c>
      <c r="BS24" s="1009">
        <f xml:space="preserve"> Debt!BS$479</f>
        <v>0</v>
      </c>
      <c r="BT24" s="1009">
        <f xml:space="preserve"> Debt!BT$479</f>
        <v>0</v>
      </c>
      <c r="BU24" s="1009">
        <f xml:space="preserve"> Debt!BU$479</f>
        <v>0</v>
      </c>
      <c r="BV24" s="1009">
        <f xml:space="preserve"> Debt!BV$479</f>
        <v>0</v>
      </c>
      <c r="BW24" s="1009">
        <f xml:space="preserve"> Debt!BW$479</f>
        <v>0</v>
      </c>
      <c r="BX24" s="1009">
        <f xml:space="preserve"> Debt!BX$479</f>
        <v>0</v>
      </c>
      <c r="BY24" s="1009">
        <f xml:space="preserve"> Debt!BY$479</f>
        <v>0</v>
      </c>
      <c r="BZ24" s="1009">
        <f xml:space="preserve"> Debt!BZ$479</f>
        <v>0</v>
      </c>
      <c r="CA24" s="1009">
        <f xml:space="preserve"> Debt!CA$479</f>
        <v>0</v>
      </c>
      <c r="CB24" s="1009">
        <f xml:space="preserve"> Debt!CB$479</f>
        <v>0</v>
      </c>
      <c r="CC24" s="1009">
        <f xml:space="preserve"> Debt!CC$479</f>
        <v>0</v>
      </c>
      <c r="CD24" s="1009">
        <f xml:space="preserve"> Debt!CD$479</f>
        <v>0</v>
      </c>
      <c r="CE24" s="1009">
        <f xml:space="preserve"> Debt!CE$479</f>
        <v>0</v>
      </c>
      <c r="CF24" s="1009">
        <f xml:space="preserve"> Debt!CF$479</f>
        <v>0</v>
      </c>
      <c r="CG24" s="1009">
        <f xml:space="preserve"> Debt!CG$479</f>
        <v>0</v>
      </c>
      <c r="CH24" s="1009">
        <f xml:space="preserve"> Debt!CH$479</f>
        <v>0</v>
      </c>
      <c r="CI24" s="1009">
        <f xml:space="preserve"> Debt!CI$479</f>
        <v>0</v>
      </c>
      <c r="CJ24" s="1009">
        <f xml:space="preserve"> Debt!CJ$479</f>
        <v>0</v>
      </c>
      <c r="CK24" s="1009">
        <f xml:space="preserve"> Debt!CK$479</f>
        <v>0</v>
      </c>
      <c r="CL24" s="1009">
        <f xml:space="preserve"> Debt!CL$479</f>
        <v>0</v>
      </c>
      <c r="CM24" s="1009">
        <f xml:space="preserve"> Debt!CM$479</f>
        <v>0</v>
      </c>
      <c r="CN24" s="1009">
        <f xml:space="preserve"> Debt!CN$479</f>
        <v>0</v>
      </c>
      <c r="CO24" s="1009">
        <f xml:space="preserve"> Debt!CO$479</f>
        <v>0</v>
      </c>
      <c r="CP24" s="1009">
        <f xml:space="preserve"> Debt!CP$479</f>
        <v>0</v>
      </c>
      <c r="CQ24" s="1009">
        <f xml:space="preserve"> Debt!CQ$479</f>
        <v>0</v>
      </c>
      <c r="CR24" s="1009">
        <f xml:space="preserve"> Debt!CR$479</f>
        <v>0</v>
      </c>
      <c r="CS24" s="1009">
        <f xml:space="preserve"> Debt!CS$479</f>
        <v>0</v>
      </c>
      <c r="CT24" s="1009">
        <f xml:space="preserve"> Debt!CT$479</f>
        <v>0</v>
      </c>
      <c r="CU24" s="1009">
        <f xml:space="preserve"> Debt!CU$479</f>
        <v>0</v>
      </c>
      <c r="CV24" s="1009">
        <f xml:space="preserve"> Debt!CV$479</f>
        <v>0</v>
      </c>
    </row>
    <row r="25" spans="1:100" s="1001" customFormat="1" outlineLevel="1" x14ac:dyDescent="0.2">
      <c r="A25" s="1008"/>
      <c r="B25" s="997"/>
      <c r="C25" s="998"/>
      <c r="D25" s="999"/>
      <c r="E25" s="1005" t="str">
        <f xml:space="preserve"> Equity!E$80</f>
        <v>Dividends paid POS</v>
      </c>
      <c r="F25" s="1005">
        <f xml:space="preserve"> Equity!F$80</f>
        <v>0</v>
      </c>
      <c r="G25" s="1005" t="str">
        <f xml:space="preserve"> Equity!G$80</f>
        <v>$ 000s</v>
      </c>
      <c r="H25" s="1005">
        <f xml:space="preserve"> Equity!H$80</f>
        <v>0</v>
      </c>
      <c r="I25" s="1005">
        <f xml:space="preserve"> Equity!I$80</f>
        <v>0</v>
      </c>
      <c r="J25" s="1005">
        <f xml:space="preserve"> Equity!J$80</f>
        <v>0</v>
      </c>
      <c r="K25" s="1005">
        <f xml:space="preserve"> Equity!K$80</f>
        <v>0</v>
      </c>
      <c r="L25" s="1005">
        <f xml:space="preserve"> Equity!L$80</f>
        <v>0</v>
      </c>
      <c r="M25" s="1005">
        <f xml:space="preserve"> Equity!M$80</f>
        <v>0</v>
      </c>
      <c r="N25" s="1005">
        <f xml:space="preserve"> Equity!N$80</f>
        <v>0</v>
      </c>
      <c r="O25" s="1005">
        <f xml:space="preserve"> Equity!O$80</f>
        <v>0</v>
      </c>
      <c r="P25" s="1005">
        <f xml:space="preserve"> Equity!P$80</f>
        <v>0</v>
      </c>
      <c r="Q25" s="1005">
        <f xml:space="preserve"> Equity!Q$80</f>
        <v>0</v>
      </c>
      <c r="R25" s="1005">
        <f xml:space="preserve"> Equity!R$80</f>
        <v>0</v>
      </c>
      <c r="S25" s="1005">
        <f xml:space="preserve"> Equity!S$80</f>
        <v>0</v>
      </c>
      <c r="T25" s="1005">
        <f xml:space="preserve"> Equity!T$80</f>
        <v>0</v>
      </c>
      <c r="U25" s="1005">
        <f xml:space="preserve"> Equity!U$80</f>
        <v>0</v>
      </c>
      <c r="V25" s="1005">
        <f xml:space="preserve"> Equity!V$80</f>
        <v>0</v>
      </c>
      <c r="W25" s="1005">
        <f xml:space="preserve"> Equity!W$80</f>
        <v>0</v>
      </c>
      <c r="X25" s="1005">
        <f xml:space="preserve"> Equity!X$80</f>
        <v>0</v>
      </c>
      <c r="Y25" s="1005">
        <f xml:space="preserve"> Equity!Y$80</f>
        <v>0</v>
      </c>
      <c r="Z25" s="1005">
        <f xml:space="preserve"> Equity!Z$80</f>
        <v>0</v>
      </c>
      <c r="AA25" s="1005">
        <f xml:space="preserve"> Equity!AA$80</f>
        <v>0</v>
      </c>
      <c r="AB25" s="1005">
        <f xml:space="preserve"> Equity!AB$80</f>
        <v>0</v>
      </c>
      <c r="AC25" s="1005">
        <f xml:space="preserve"> Equity!AC$80</f>
        <v>0</v>
      </c>
      <c r="AD25" s="1005">
        <f xml:space="preserve"> Equity!AD$80</f>
        <v>0</v>
      </c>
      <c r="AE25" s="1005">
        <f xml:space="preserve"> Equity!AE$80</f>
        <v>0</v>
      </c>
      <c r="AF25" s="1005">
        <f xml:space="preserve"> Equity!AF$80</f>
        <v>0</v>
      </c>
      <c r="AG25" s="1005">
        <f xml:space="preserve"> Equity!AG$80</f>
        <v>0</v>
      </c>
      <c r="AH25" s="1005">
        <f xml:space="preserve"> Equity!AH$80</f>
        <v>0</v>
      </c>
      <c r="AI25" s="1005">
        <f xml:space="preserve"> Equity!AI$80</f>
        <v>0</v>
      </c>
      <c r="AJ25" s="1005">
        <f xml:space="preserve"> Equity!AJ$80</f>
        <v>0</v>
      </c>
      <c r="AK25" s="1005">
        <f xml:space="preserve"> Equity!AK$80</f>
        <v>0</v>
      </c>
      <c r="AL25" s="1005">
        <f xml:space="preserve"> Equity!AL$80</f>
        <v>0</v>
      </c>
      <c r="AM25" s="1005">
        <f xml:space="preserve"> Equity!AM$80</f>
        <v>0</v>
      </c>
      <c r="AN25" s="1005">
        <f xml:space="preserve"> Equity!AN$80</f>
        <v>0</v>
      </c>
      <c r="AO25" s="1005">
        <f xml:space="preserve"> Equity!AO$80</f>
        <v>0</v>
      </c>
      <c r="AP25" s="1005">
        <f xml:space="preserve"> Equity!AP$80</f>
        <v>0</v>
      </c>
      <c r="AQ25" s="1005">
        <f xml:space="preserve"> Equity!AQ$80</f>
        <v>0</v>
      </c>
      <c r="AR25" s="1005">
        <f xml:space="preserve"> Equity!AR$80</f>
        <v>0</v>
      </c>
      <c r="AS25" s="1005">
        <f xml:space="preserve"> Equity!AS$80</f>
        <v>0</v>
      </c>
      <c r="AT25" s="1005">
        <f xml:space="preserve"> Equity!AT$80</f>
        <v>0</v>
      </c>
      <c r="AU25" s="1005">
        <f xml:space="preserve"> Equity!AU$80</f>
        <v>0</v>
      </c>
      <c r="AV25" s="1005">
        <f xml:space="preserve"> Equity!AV$80</f>
        <v>0</v>
      </c>
      <c r="AW25" s="1005">
        <f xml:space="preserve"> Equity!AW$80</f>
        <v>0</v>
      </c>
      <c r="AX25" s="1005">
        <f xml:space="preserve"> Equity!AX$80</f>
        <v>0</v>
      </c>
      <c r="AY25" s="1005">
        <f xml:space="preserve"> Equity!AY$80</f>
        <v>0</v>
      </c>
      <c r="AZ25" s="1005">
        <f xml:space="preserve"> Equity!AZ$80</f>
        <v>0</v>
      </c>
      <c r="BA25" s="1005">
        <f xml:space="preserve"> Equity!BA$80</f>
        <v>0</v>
      </c>
      <c r="BB25" s="1005">
        <f xml:space="preserve"> Equity!BB$80</f>
        <v>0</v>
      </c>
      <c r="BC25" s="1005">
        <f xml:space="preserve"> Equity!BC$80</f>
        <v>0</v>
      </c>
      <c r="BD25" s="1005">
        <f xml:space="preserve"> Equity!BD$80</f>
        <v>0</v>
      </c>
      <c r="BE25" s="1005">
        <f xml:space="preserve"> Equity!BE$80</f>
        <v>0</v>
      </c>
      <c r="BF25" s="1005">
        <f xml:space="preserve"> Equity!BF$80</f>
        <v>0</v>
      </c>
      <c r="BG25" s="1005">
        <f xml:space="preserve"> Equity!BG$80</f>
        <v>0</v>
      </c>
      <c r="BH25" s="1005">
        <f xml:space="preserve"> Equity!BH$80</f>
        <v>0</v>
      </c>
      <c r="BI25" s="1005">
        <f xml:space="preserve"> Equity!BI$80</f>
        <v>0</v>
      </c>
      <c r="BJ25" s="1005">
        <f xml:space="preserve"> Equity!BJ$80</f>
        <v>0</v>
      </c>
      <c r="BK25" s="1005">
        <f xml:space="preserve"> Equity!BK$80</f>
        <v>0</v>
      </c>
      <c r="BL25" s="1005">
        <f xml:space="preserve"> Equity!BL$80</f>
        <v>0</v>
      </c>
      <c r="BM25" s="1005">
        <f xml:space="preserve"> Equity!BM$80</f>
        <v>0</v>
      </c>
      <c r="BN25" s="1005">
        <f xml:space="preserve"> Equity!BN$80</f>
        <v>0</v>
      </c>
      <c r="BO25" s="1005">
        <f xml:space="preserve"> Equity!BO$80</f>
        <v>0</v>
      </c>
      <c r="BP25" s="1005">
        <f xml:space="preserve"> Equity!BP$80</f>
        <v>0</v>
      </c>
      <c r="BQ25" s="1005">
        <f xml:space="preserve"> Equity!BQ$80</f>
        <v>0</v>
      </c>
      <c r="BR25" s="1005">
        <f xml:space="preserve"> Equity!BR$80</f>
        <v>0</v>
      </c>
      <c r="BS25" s="1005">
        <f xml:space="preserve"> Equity!BS$80</f>
        <v>0</v>
      </c>
      <c r="BT25" s="1005">
        <f xml:space="preserve"> Equity!BT$80</f>
        <v>0</v>
      </c>
      <c r="BU25" s="1005">
        <f xml:space="preserve"> Equity!BU$80</f>
        <v>0</v>
      </c>
      <c r="BV25" s="1005">
        <f xml:space="preserve"> Equity!BV$80</f>
        <v>0</v>
      </c>
      <c r="BW25" s="1005">
        <f xml:space="preserve"> Equity!BW$80</f>
        <v>0</v>
      </c>
      <c r="BX25" s="1005">
        <f xml:space="preserve"> Equity!BX$80</f>
        <v>0</v>
      </c>
      <c r="BY25" s="1005">
        <f xml:space="preserve"> Equity!BY$80</f>
        <v>0</v>
      </c>
      <c r="BZ25" s="1005">
        <f xml:space="preserve"> Equity!BZ$80</f>
        <v>0</v>
      </c>
      <c r="CA25" s="1005">
        <f xml:space="preserve"> Equity!CA$80</f>
        <v>0</v>
      </c>
      <c r="CB25" s="1005">
        <f xml:space="preserve"> Equity!CB$80</f>
        <v>0</v>
      </c>
      <c r="CC25" s="1005">
        <f xml:space="preserve"> Equity!CC$80</f>
        <v>0</v>
      </c>
      <c r="CD25" s="1005">
        <f xml:space="preserve"> Equity!CD$80</f>
        <v>0</v>
      </c>
      <c r="CE25" s="1005">
        <f xml:space="preserve"> Equity!CE$80</f>
        <v>0</v>
      </c>
      <c r="CF25" s="1005">
        <f xml:space="preserve"> Equity!CF$80</f>
        <v>0</v>
      </c>
      <c r="CG25" s="1005">
        <f xml:space="preserve"> Equity!CG$80</f>
        <v>0</v>
      </c>
      <c r="CH25" s="1005">
        <f xml:space="preserve"> Equity!CH$80</f>
        <v>0</v>
      </c>
      <c r="CI25" s="1005">
        <f xml:space="preserve"> Equity!CI$80</f>
        <v>0</v>
      </c>
      <c r="CJ25" s="1005">
        <f xml:space="preserve"> Equity!CJ$80</f>
        <v>0</v>
      </c>
      <c r="CK25" s="1005">
        <f xml:space="preserve"> Equity!CK$80</f>
        <v>0</v>
      </c>
      <c r="CL25" s="1005">
        <f xml:space="preserve"> Equity!CL$80</f>
        <v>0</v>
      </c>
      <c r="CM25" s="1005">
        <f xml:space="preserve"> Equity!CM$80</f>
        <v>0</v>
      </c>
      <c r="CN25" s="1005">
        <f xml:space="preserve"> Equity!CN$80</f>
        <v>0</v>
      </c>
      <c r="CO25" s="1005">
        <f xml:space="preserve"> Equity!CO$80</f>
        <v>0</v>
      </c>
      <c r="CP25" s="1005">
        <f xml:space="preserve"> Equity!CP$80</f>
        <v>0</v>
      </c>
      <c r="CQ25" s="1005">
        <f xml:space="preserve"> Equity!CQ$80</f>
        <v>0</v>
      </c>
      <c r="CR25" s="1005">
        <f xml:space="preserve"> Equity!CR$80</f>
        <v>0</v>
      </c>
      <c r="CS25" s="1005">
        <f xml:space="preserve"> Equity!CS$80</f>
        <v>0</v>
      </c>
      <c r="CT25" s="1005">
        <f xml:space="preserve"> Equity!CT$80</f>
        <v>0</v>
      </c>
      <c r="CU25" s="1005">
        <f xml:space="preserve"> Equity!CU$80</f>
        <v>0</v>
      </c>
      <c r="CV25" s="1005">
        <f xml:space="preserve"> Equity!CV$80</f>
        <v>0</v>
      </c>
    </row>
    <row r="26" spans="1:100" s="1001" customFormat="1" outlineLevel="1" x14ac:dyDescent="0.2">
      <c r="B26" s="997"/>
      <c r="C26" s="998"/>
      <c r="D26" s="999"/>
      <c r="E26" s="1005"/>
      <c r="F26" s="1005"/>
      <c r="G26" s="1005"/>
      <c r="H26" s="1005"/>
      <c r="I26" s="1005"/>
      <c r="J26" s="1005"/>
      <c r="K26" s="1005"/>
      <c r="L26" s="1005"/>
      <c r="M26" s="1005"/>
      <c r="N26" s="1005"/>
      <c r="O26" s="1005"/>
      <c r="P26" s="1005"/>
      <c r="Q26" s="1005"/>
      <c r="R26" s="1005"/>
      <c r="S26" s="1005"/>
      <c r="T26" s="1005"/>
      <c r="U26" s="1005"/>
      <c r="V26" s="1005"/>
      <c r="W26" s="1005"/>
      <c r="X26" s="1005"/>
      <c r="Y26" s="1005"/>
      <c r="Z26" s="1005"/>
      <c r="AA26" s="1005"/>
      <c r="AB26" s="1005"/>
      <c r="AC26" s="1005"/>
      <c r="AD26" s="1005"/>
      <c r="AE26" s="1005"/>
      <c r="AF26" s="1005"/>
      <c r="AG26" s="1005"/>
      <c r="AH26" s="1005"/>
      <c r="AI26" s="1005"/>
      <c r="AJ26" s="1005"/>
      <c r="AK26" s="1005"/>
      <c r="AL26" s="1005"/>
      <c r="AM26" s="1005"/>
      <c r="AN26" s="1005"/>
      <c r="AO26" s="1005"/>
      <c r="AP26" s="1005"/>
      <c r="AQ26" s="1005"/>
      <c r="AR26" s="1005"/>
      <c r="AS26" s="1005"/>
      <c r="AT26" s="1005"/>
      <c r="AU26" s="1005"/>
      <c r="AV26" s="1005"/>
      <c r="AW26" s="1005"/>
      <c r="AX26" s="1005"/>
      <c r="AY26" s="1005"/>
      <c r="AZ26" s="1005"/>
      <c r="BA26" s="1005"/>
      <c r="BB26" s="1005"/>
      <c r="BC26" s="1005"/>
      <c r="BD26" s="1005"/>
      <c r="BE26" s="1005"/>
      <c r="BF26" s="1005"/>
      <c r="BG26" s="1005"/>
      <c r="BH26" s="1005"/>
      <c r="BI26" s="1005"/>
      <c r="BJ26" s="1005"/>
      <c r="BK26" s="1005"/>
      <c r="BL26" s="1005"/>
      <c r="BM26" s="1005"/>
      <c r="BN26" s="1005"/>
      <c r="BO26" s="1005"/>
      <c r="BP26" s="1005"/>
      <c r="BQ26" s="1005"/>
      <c r="BR26" s="1005"/>
      <c r="BS26" s="1005"/>
      <c r="BT26" s="1005"/>
      <c r="BU26" s="1005"/>
      <c r="BV26" s="1005"/>
      <c r="BW26" s="1005"/>
      <c r="BX26" s="1005"/>
      <c r="BY26" s="1005"/>
      <c r="BZ26" s="1005"/>
      <c r="CA26" s="1005"/>
      <c r="CB26" s="1005"/>
      <c r="CC26" s="1005"/>
      <c r="CD26" s="1005"/>
      <c r="CE26" s="1005"/>
      <c r="CF26" s="1005"/>
      <c r="CG26" s="1005"/>
      <c r="CH26" s="1005"/>
      <c r="CI26" s="1005"/>
      <c r="CJ26" s="1005"/>
      <c r="CK26" s="1005"/>
      <c r="CL26" s="1005"/>
      <c r="CM26" s="1005"/>
      <c r="CN26" s="1005"/>
      <c r="CO26" s="1005"/>
      <c r="CP26" s="1005"/>
      <c r="CQ26" s="1005"/>
      <c r="CR26" s="1005"/>
      <c r="CS26" s="1005"/>
      <c r="CT26" s="1005"/>
      <c r="CU26" s="1005"/>
      <c r="CV26" s="1005"/>
    </row>
    <row r="27" spans="1:100" s="1001" customFormat="1" outlineLevel="1" x14ac:dyDescent="0.2">
      <c r="A27" s="1008"/>
      <c r="B27" s="997"/>
      <c r="C27" s="998"/>
      <c r="D27" s="999"/>
      <c r="E27" s="1005" t="str">
        <f xml:space="preserve"> Ops!E$75</f>
        <v>Electricity payments (EPn) - P50</v>
      </c>
      <c r="F27" s="1005">
        <f xml:space="preserve"> Ops!F$75</f>
        <v>0</v>
      </c>
      <c r="G27" s="1005" t="str">
        <f xml:space="preserve"> Ops!G$75</f>
        <v>$ 000s</v>
      </c>
      <c r="H27" s="1005">
        <f xml:space="preserve"> Ops!H$75</f>
        <v>792204.22663711873</v>
      </c>
      <c r="I27" s="1005">
        <f xml:space="preserve"> Ops!I$75</f>
        <v>0</v>
      </c>
      <c r="J27" s="1005">
        <f xml:space="preserve"> Ops!J$75</f>
        <v>0</v>
      </c>
      <c r="K27" s="1005">
        <f xml:space="preserve"> Ops!K$75</f>
        <v>0</v>
      </c>
      <c r="L27" s="1005">
        <f xml:space="preserve"> Ops!L$75</f>
        <v>0</v>
      </c>
      <c r="M27" s="1005">
        <f xml:space="preserve"> Ops!M$75</f>
        <v>0</v>
      </c>
      <c r="N27" s="1005">
        <f xml:space="preserve"> Ops!N$75</f>
        <v>0</v>
      </c>
      <c r="O27" s="1005">
        <f xml:space="preserve"> Ops!O$75</f>
        <v>20101.067729615475</v>
      </c>
      <c r="P27" s="1005">
        <f xml:space="preserve"> Ops!P$75</f>
        <v>20101.067729615475</v>
      </c>
      <c r="Q27" s="1005">
        <f xml:space="preserve"> Ops!Q$75</f>
        <v>20068.639747579797</v>
      </c>
      <c r="R27" s="1005">
        <f xml:space="preserve"> Ops!R$75</f>
        <v>20068.639747579797</v>
      </c>
      <c r="S27" s="1005">
        <f xml:space="preserve"> Ops!S$75</f>
        <v>20036.414706000804</v>
      </c>
      <c r="T27" s="1005">
        <f xml:space="preserve"> Ops!T$75</f>
        <v>20036.414706000804</v>
      </c>
      <c r="U27" s="1005">
        <f xml:space="preserve"> Ops!U$75</f>
        <v>20004.39468269296</v>
      </c>
      <c r="V27" s="1005">
        <f xml:space="preserve"> Ops!V$75</f>
        <v>20004.39468269296</v>
      </c>
      <c r="W27" s="1005">
        <f xml:space="preserve"> Ops!W$75</f>
        <v>19972.581795926155</v>
      </c>
      <c r="X27" s="1005">
        <f xml:space="preserve"> Ops!X$75</f>
        <v>19972.581795926155</v>
      </c>
      <c r="Y27" s="1005">
        <f xml:space="preserve"> Ops!Y$75</f>
        <v>19940.978205146155</v>
      </c>
      <c r="Z27" s="1005">
        <f xml:space="preserve"> Ops!Z$75</f>
        <v>19940.978205146155</v>
      </c>
      <c r="AA27" s="1005">
        <f xml:space="preserve"> Ops!AA$75</f>
        <v>19909.586111708071</v>
      </c>
      <c r="AB27" s="1005">
        <f xml:space="preserve"> Ops!AB$75</f>
        <v>19909.586111708071</v>
      </c>
      <c r="AC27" s="1005">
        <f xml:space="preserve"> Ops!AC$75</f>
        <v>19878.407759622987</v>
      </c>
      <c r="AD27" s="1005">
        <f xml:space="preserve"> Ops!AD$75</f>
        <v>19878.407759622987</v>
      </c>
      <c r="AE27" s="1005">
        <f xml:space="preserve"> Ops!AE$75</f>
        <v>19847.445436318063</v>
      </c>
      <c r="AF27" s="1005">
        <f xml:space="preserve"> Ops!AF$75</f>
        <v>19847.445436318063</v>
      </c>
      <c r="AG27" s="1005">
        <f xml:space="preserve"> Ops!AG$75</f>
        <v>19816.701473410223</v>
      </c>
      <c r="AH27" s="1005">
        <f xml:space="preserve"> Ops!AH$75</f>
        <v>19816.701473410223</v>
      </c>
      <c r="AI27" s="1005">
        <f xml:space="preserve"> Ops!AI$75</f>
        <v>19786.178247493852</v>
      </c>
      <c r="AJ27" s="1005">
        <f xml:space="preserve"> Ops!AJ$75</f>
        <v>19786.178247493852</v>
      </c>
      <c r="AK27" s="1005">
        <f xml:space="preserve"> Ops!AK$75</f>
        <v>19755.878180942527</v>
      </c>
      <c r="AL27" s="1005">
        <f xml:space="preserve"> Ops!AL$75</f>
        <v>19755.878180942527</v>
      </c>
      <c r="AM27" s="1005">
        <f xml:space="preserve"> Ops!AM$75</f>
        <v>19725.803742725308</v>
      </c>
      <c r="AN27" s="1005">
        <f xml:space="preserve"> Ops!AN$75</f>
        <v>19725.803742725308</v>
      </c>
      <c r="AO27" s="1005">
        <f xml:space="preserve"> Ops!AO$75</f>
        <v>19695.957449237616</v>
      </c>
      <c r="AP27" s="1005">
        <f xml:space="preserve"> Ops!AP$75</f>
        <v>19695.957449237616</v>
      </c>
      <c r="AQ27" s="1005">
        <f xml:space="preserve"> Ops!AQ$75</f>
        <v>19666.341865147042</v>
      </c>
      <c r="AR27" s="1005">
        <f xml:space="preserve"> Ops!AR$75</f>
        <v>19666.341865147042</v>
      </c>
      <c r="AS27" s="1005">
        <f xml:space="preserve"> Ops!AS$75</f>
        <v>19636.959604254404</v>
      </c>
      <c r="AT27" s="1005">
        <f xml:space="preserve"> Ops!AT$75</f>
        <v>19636.959604254404</v>
      </c>
      <c r="AU27" s="1005">
        <f xml:space="preserve"> Ops!AU$75</f>
        <v>19607.813330370303</v>
      </c>
      <c r="AV27" s="1005">
        <f xml:space="preserve"> Ops!AV$75</f>
        <v>19607.813330370303</v>
      </c>
      <c r="AW27" s="1005">
        <f xml:space="preserve"> Ops!AW$75</f>
        <v>19578.905758207362</v>
      </c>
      <c r="AX27" s="1005">
        <f xml:space="preserve"> Ops!AX$75</f>
        <v>19578.905758207362</v>
      </c>
      <c r="AY27" s="1005">
        <f xml:space="preserve"> Ops!AY$75</f>
        <v>19550.239654288544</v>
      </c>
      <c r="AZ27" s="1005">
        <f xml:space="preserve"> Ops!AZ$75</f>
        <v>19550.239654288544</v>
      </c>
      <c r="BA27" s="1005">
        <f xml:space="preserve"> Ops!BA$75</f>
        <v>19521.817837871837</v>
      </c>
      <c r="BB27" s="1005">
        <f xml:space="preserve"> Ops!BB$75</f>
        <v>19521.817837871837</v>
      </c>
      <c r="BC27" s="1005">
        <f xml:space="preserve"> Ops!BC$75</f>
        <v>0</v>
      </c>
      <c r="BD27" s="1005">
        <f xml:space="preserve"> Ops!BD$75</f>
        <v>0</v>
      </c>
      <c r="BE27" s="1005">
        <f xml:space="preserve"> Ops!BE$75</f>
        <v>0</v>
      </c>
      <c r="BF27" s="1005">
        <f xml:space="preserve"> Ops!BF$75</f>
        <v>0</v>
      </c>
      <c r="BG27" s="1005">
        <f xml:space="preserve"> Ops!BG$75</f>
        <v>0</v>
      </c>
      <c r="BH27" s="1005">
        <f xml:space="preserve"> Ops!BH$75</f>
        <v>0</v>
      </c>
      <c r="BI27" s="1005">
        <f xml:space="preserve"> Ops!BI$75</f>
        <v>0</v>
      </c>
      <c r="BJ27" s="1005">
        <f xml:space="preserve"> Ops!BJ$75</f>
        <v>0</v>
      </c>
      <c r="BK27" s="1005">
        <f xml:space="preserve"> Ops!BK$75</f>
        <v>0</v>
      </c>
      <c r="BL27" s="1005">
        <f xml:space="preserve"> Ops!BL$75</f>
        <v>0</v>
      </c>
      <c r="BM27" s="1005">
        <f xml:space="preserve"> Ops!BM$75</f>
        <v>0</v>
      </c>
      <c r="BN27" s="1005">
        <f xml:space="preserve"> Ops!BN$75</f>
        <v>0</v>
      </c>
      <c r="BO27" s="1005">
        <f xml:space="preserve"> Ops!BO$75</f>
        <v>0</v>
      </c>
      <c r="BP27" s="1005">
        <f xml:space="preserve"> Ops!BP$75</f>
        <v>0</v>
      </c>
      <c r="BQ27" s="1005">
        <f xml:space="preserve"> Ops!BQ$75</f>
        <v>0</v>
      </c>
      <c r="BR27" s="1005">
        <f xml:space="preserve"> Ops!BR$75</f>
        <v>0</v>
      </c>
      <c r="BS27" s="1005">
        <f xml:space="preserve"> Ops!BS$75</f>
        <v>0</v>
      </c>
      <c r="BT27" s="1005">
        <f xml:space="preserve"> Ops!BT$75</f>
        <v>0</v>
      </c>
      <c r="BU27" s="1005">
        <f xml:space="preserve"> Ops!BU$75</f>
        <v>0</v>
      </c>
      <c r="BV27" s="1005">
        <f xml:space="preserve"> Ops!BV$75</f>
        <v>0</v>
      </c>
      <c r="BW27" s="1005">
        <f xml:space="preserve"> Ops!BW$75</f>
        <v>0</v>
      </c>
      <c r="BX27" s="1005">
        <f xml:space="preserve"> Ops!BX$75</f>
        <v>0</v>
      </c>
      <c r="BY27" s="1005">
        <f xml:space="preserve"> Ops!BY$75</f>
        <v>0</v>
      </c>
      <c r="BZ27" s="1005">
        <f xml:space="preserve"> Ops!BZ$75</f>
        <v>0</v>
      </c>
      <c r="CA27" s="1005">
        <f xml:space="preserve"> Ops!CA$75</f>
        <v>0</v>
      </c>
      <c r="CB27" s="1005">
        <f xml:space="preserve"> Ops!CB$75</f>
        <v>0</v>
      </c>
      <c r="CC27" s="1005">
        <f xml:space="preserve"> Ops!CC$75</f>
        <v>0</v>
      </c>
      <c r="CD27" s="1005">
        <f xml:space="preserve"> Ops!CD$75</f>
        <v>0</v>
      </c>
      <c r="CE27" s="1005">
        <f xml:space="preserve"> Ops!CE$75</f>
        <v>0</v>
      </c>
      <c r="CF27" s="1005">
        <f xml:space="preserve"> Ops!CF$75</f>
        <v>0</v>
      </c>
      <c r="CG27" s="1005">
        <f xml:space="preserve"> Ops!CG$75</f>
        <v>0</v>
      </c>
      <c r="CH27" s="1005">
        <f xml:space="preserve"> Ops!CH$75</f>
        <v>0</v>
      </c>
      <c r="CI27" s="1005">
        <f xml:space="preserve"> Ops!CI$75</f>
        <v>0</v>
      </c>
      <c r="CJ27" s="1005">
        <f xml:space="preserve"> Ops!CJ$75</f>
        <v>0</v>
      </c>
      <c r="CK27" s="1005">
        <f xml:space="preserve"> Ops!CK$75</f>
        <v>0</v>
      </c>
      <c r="CL27" s="1005">
        <f xml:space="preserve"> Ops!CL$75</f>
        <v>0</v>
      </c>
      <c r="CM27" s="1005">
        <f xml:space="preserve"> Ops!CM$75</f>
        <v>0</v>
      </c>
      <c r="CN27" s="1005">
        <f xml:space="preserve"> Ops!CN$75</f>
        <v>0</v>
      </c>
      <c r="CO27" s="1005">
        <f xml:space="preserve"> Ops!CO$75</f>
        <v>0</v>
      </c>
      <c r="CP27" s="1005">
        <f xml:space="preserve"> Ops!CP$75</f>
        <v>0</v>
      </c>
      <c r="CQ27" s="1005">
        <f xml:space="preserve"> Ops!CQ$75</f>
        <v>0</v>
      </c>
      <c r="CR27" s="1005">
        <f xml:space="preserve"> Ops!CR$75</f>
        <v>0</v>
      </c>
      <c r="CS27" s="1005">
        <f xml:space="preserve"> Ops!CS$75</f>
        <v>0</v>
      </c>
      <c r="CT27" s="1005">
        <f xml:space="preserve"> Ops!CT$75</f>
        <v>0</v>
      </c>
      <c r="CU27" s="1005">
        <f xml:space="preserve"> Ops!CU$75</f>
        <v>0</v>
      </c>
      <c r="CV27" s="1005">
        <f xml:space="preserve"> Ops!CV$75</f>
        <v>0</v>
      </c>
    </row>
    <row r="28" spans="1:100" s="1001" customFormat="1" outlineLevel="1" x14ac:dyDescent="0.2">
      <c r="A28" s="1008"/>
      <c r="B28" s="997"/>
      <c r="C28" s="998"/>
      <c r="D28" s="999"/>
      <c r="E28" s="1005"/>
      <c r="F28" s="1005"/>
      <c r="G28" s="1005"/>
      <c r="H28" s="1005"/>
      <c r="I28" s="1005"/>
      <c r="J28" s="1005"/>
      <c r="K28" s="1005"/>
      <c r="L28" s="1005"/>
      <c r="M28" s="1005"/>
      <c r="N28" s="1005"/>
      <c r="O28" s="1005"/>
      <c r="P28" s="1005"/>
      <c r="Q28" s="1005"/>
      <c r="R28" s="1005"/>
      <c r="S28" s="1005"/>
      <c r="T28" s="1005"/>
      <c r="U28" s="1005"/>
      <c r="V28" s="1005"/>
      <c r="W28" s="1005"/>
      <c r="X28" s="1005"/>
      <c r="Y28" s="1005"/>
      <c r="Z28" s="1005"/>
      <c r="AA28" s="1005"/>
      <c r="AB28" s="1005"/>
      <c r="AC28" s="1005"/>
      <c r="AD28" s="1005"/>
      <c r="AE28" s="1005"/>
      <c r="AF28" s="1005"/>
      <c r="AG28" s="1005"/>
      <c r="AH28" s="1005"/>
      <c r="AI28" s="1005"/>
      <c r="AJ28" s="1005"/>
      <c r="AK28" s="1005"/>
      <c r="AL28" s="1005"/>
      <c r="AM28" s="1005"/>
      <c r="AN28" s="1005"/>
      <c r="AO28" s="1005"/>
      <c r="AP28" s="1005"/>
      <c r="AQ28" s="1005"/>
      <c r="AR28" s="1005"/>
      <c r="AS28" s="1005"/>
      <c r="AT28" s="1005"/>
      <c r="AU28" s="1005"/>
      <c r="AV28" s="1005"/>
      <c r="AW28" s="1005"/>
      <c r="AX28" s="1005"/>
      <c r="AY28" s="1005"/>
      <c r="AZ28" s="1005"/>
      <c r="BA28" s="1005"/>
      <c r="BB28" s="1005"/>
      <c r="BC28" s="1005"/>
      <c r="BD28" s="1005"/>
      <c r="BE28" s="1005"/>
      <c r="BF28" s="1005"/>
      <c r="BG28" s="1005"/>
      <c r="BH28" s="1005"/>
      <c r="BI28" s="1005"/>
      <c r="BJ28" s="1005"/>
      <c r="BK28" s="1005"/>
      <c r="BL28" s="1005"/>
      <c r="BM28" s="1005"/>
      <c r="BN28" s="1005"/>
      <c r="BO28" s="1005"/>
      <c r="BP28" s="1005"/>
      <c r="BQ28" s="1005"/>
      <c r="BR28" s="1005"/>
      <c r="BS28" s="1005"/>
      <c r="BT28" s="1005"/>
      <c r="BU28" s="1005"/>
      <c r="BV28" s="1005"/>
      <c r="BW28" s="1005"/>
      <c r="BX28" s="1005"/>
      <c r="BY28" s="1005"/>
      <c r="BZ28" s="1005"/>
      <c r="CA28" s="1005"/>
      <c r="CB28" s="1005"/>
      <c r="CC28" s="1005"/>
      <c r="CD28" s="1005"/>
      <c r="CE28" s="1005"/>
      <c r="CF28" s="1005"/>
      <c r="CG28" s="1005"/>
      <c r="CH28" s="1005"/>
      <c r="CI28" s="1005"/>
      <c r="CJ28" s="1005"/>
      <c r="CK28" s="1005"/>
      <c r="CL28" s="1005"/>
      <c r="CM28" s="1005"/>
      <c r="CN28" s="1005"/>
      <c r="CO28" s="1005"/>
      <c r="CP28" s="1005"/>
      <c r="CQ28" s="1005"/>
      <c r="CR28" s="1005"/>
      <c r="CS28" s="1005"/>
      <c r="CT28" s="1005"/>
      <c r="CU28" s="1005"/>
      <c r="CV28" s="1005"/>
    </row>
    <row r="29" spans="1:100" s="1001" customFormat="1" outlineLevel="1" x14ac:dyDescent="0.2">
      <c r="A29" s="1008"/>
      <c r="B29" s="997"/>
      <c r="C29" s="998"/>
      <c r="D29" s="999"/>
      <c r="E29" s="1005" t="str">
        <f xml:space="preserve"> Ops!E$116</f>
        <v>Fixed O&amp;M costs</v>
      </c>
      <c r="F29" s="1005">
        <f xml:space="preserve"> Ops!F$116</f>
        <v>0</v>
      </c>
      <c r="G29" s="1005" t="str">
        <f xml:space="preserve"> Ops!G$116</f>
        <v>WID 000s</v>
      </c>
      <c r="H29" s="1005">
        <f xml:space="preserve"> Ops!H$116</f>
        <v>197251.90855320951</v>
      </c>
      <c r="I29" s="1005">
        <f xml:space="preserve"> Ops!I$116</f>
        <v>0</v>
      </c>
      <c r="J29" s="1005">
        <f xml:space="preserve"> Ops!J$116</f>
        <v>0</v>
      </c>
      <c r="K29" s="1005">
        <f xml:space="preserve"> Ops!K$116</f>
        <v>0</v>
      </c>
      <c r="L29" s="1005">
        <f xml:space="preserve"> Ops!L$116</f>
        <v>0</v>
      </c>
      <c r="M29" s="1005">
        <f xml:space="preserve"> Ops!M$116</f>
        <v>0</v>
      </c>
      <c r="N29" s="1005">
        <f xml:space="preserve"> Ops!N$116</f>
        <v>0</v>
      </c>
      <c r="O29" s="1005">
        <f xml:space="preserve"> Ops!O$116</f>
        <v>4059.1205999999997</v>
      </c>
      <c r="P29" s="1005">
        <f xml:space="preserve"> Ops!P$116</f>
        <v>4059.1205999999997</v>
      </c>
      <c r="Q29" s="1005">
        <f xml:space="preserve"> Ops!Q$116</f>
        <v>4140.3030120000003</v>
      </c>
      <c r="R29" s="1005">
        <f xml:space="preserve"> Ops!R$116</f>
        <v>4140.3030120000003</v>
      </c>
      <c r="S29" s="1005">
        <f xml:space="preserve"> Ops!S$116</f>
        <v>4223.1090722400004</v>
      </c>
      <c r="T29" s="1005">
        <f xml:space="preserve"> Ops!T$116</f>
        <v>4223.1090722400004</v>
      </c>
      <c r="U29" s="1005">
        <f xml:space="preserve"> Ops!U$116</f>
        <v>4307.5712536847996</v>
      </c>
      <c r="V29" s="1005">
        <f xml:space="preserve"> Ops!V$116</f>
        <v>4307.5712536847996</v>
      </c>
      <c r="W29" s="1005">
        <f xml:space="preserve"> Ops!W$116</f>
        <v>4393.7226787584959</v>
      </c>
      <c r="X29" s="1005">
        <f xml:space="preserve"> Ops!X$116</f>
        <v>4393.7226787584959</v>
      </c>
      <c r="Y29" s="1005">
        <f xml:space="preserve"> Ops!Y$116</f>
        <v>4481.5971323336653</v>
      </c>
      <c r="Z29" s="1005">
        <f xml:space="preserve"> Ops!Z$116</f>
        <v>4481.5971323336653</v>
      </c>
      <c r="AA29" s="1005">
        <f xml:space="preserve"> Ops!AA$116</f>
        <v>4571.2290749803387</v>
      </c>
      <c r="AB29" s="1005">
        <f xml:space="preserve"> Ops!AB$116</f>
        <v>4571.2290749803387</v>
      </c>
      <c r="AC29" s="1005">
        <f xml:space="preserve"> Ops!AC$116</f>
        <v>4662.6536564799453</v>
      </c>
      <c r="AD29" s="1005">
        <f xml:space="preserve"> Ops!AD$116</f>
        <v>4662.6536564799453</v>
      </c>
      <c r="AE29" s="1005">
        <f xml:space="preserve"> Ops!AE$116</f>
        <v>4755.9067296095445</v>
      </c>
      <c r="AF29" s="1005">
        <f xml:space="preserve"> Ops!AF$116</f>
        <v>4755.9067296095445</v>
      </c>
      <c r="AG29" s="1005">
        <f xml:space="preserve"> Ops!AG$116</f>
        <v>4851.024864201735</v>
      </c>
      <c r="AH29" s="1005">
        <f xml:space="preserve"> Ops!AH$116</f>
        <v>4851.024864201735</v>
      </c>
      <c r="AI29" s="1005">
        <f xml:space="preserve"> Ops!AI$116</f>
        <v>4948.0453614857706</v>
      </c>
      <c r="AJ29" s="1005">
        <f xml:space="preserve"> Ops!AJ$116</f>
        <v>4948.0453614857706</v>
      </c>
      <c r="AK29" s="1005">
        <f xml:space="preserve"> Ops!AK$116</f>
        <v>5047.006268715485</v>
      </c>
      <c r="AL29" s="1005">
        <f xml:space="preserve"> Ops!AL$116</f>
        <v>5047.006268715485</v>
      </c>
      <c r="AM29" s="1005">
        <f xml:space="preserve"> Ops!AM$116</f>
        <v>5147.9463940897949</v>
      </c>
      <c r="AN29" s="1005">
        <f xml:space="preserve"> Ops!AN$116</f>
        <v>5147.9463940897949</v>
      </c>
      <c r="AO29" s="1005">
        <f xml:space="preserve"> Ops!AO$116</f>
        <v>5250.9053219715915</v>
      </c>
      <c r="AP29" s="1005">
        <f xml:space="preserve"> Ops!AP$116</f>
        <v>5250.9053219715915</v>
      </c>
      <c r="AQ29" s="1005">
        <f xml:space="preserve"> Ops!AQ$116</f>
        <v>5355.9234284110225</v>
      </c>
      <c r="AR29" s="1005">
        <f xml:space="preserve"> Ops!AR$116</f>
        <v>5355.9234284110225</v>
      </c>
      <c r="AS29" s="1005">
        <f xml:space="preserve"> Ops!AS$116</f>
        <v>5463.0418969792427</v>
      </c>
      <c r="AT29" s="1005">
        <f xml:space="preserve"> Ops!AT$116</f>
        <v>5463.0418969792427</v>
      </c>
      <c r="AU29" s="1005">
        <f xml:space="preserve"> Ops!AU$116</f>
        <v>5572.3027349188287</v>
      </c>
      <c r="AV29" s="1005">
        <f xml:space="preserve"> Ops!AV$116</f>
        <v>5572.3027349188287</v>
      </c>
      <c r="AW29" s="1005">
        <f xml:space="preserve"> Ops!AW$116</f>
        <v>5683.7487896172042</v>
      </c>
      <c r="AX29" s="1005">
        <f xml:space="preserve"> Ops!AX$116</f>
        <v>5683.7487896172042</v>
      </c>
      <c r="AY29" s="1005">
        <f xml:space="preserve"> Ops!AY$116</f>
        <v>5797.4237654095487</v>
      </c>
      <c r="AZ29" s="1005">
        <f xml:space="preserve"> Ops!AZ$116</f>
        <v>5797.4237654095487</v>
      </c>
      <c r="BA29" s="1005">
        <f xml:space="preserve"> Ops!BA$116</f>
        <v>5913.3722407177393</v>
      </c>
      <c r="BB29" s="1005">
        <f xml:space="preserve"> Ops!BB$116</f>
        <v>5913.3722407177393</v>
      </c>
      <c r="BC29" s="1005">
        <f xml:space="preserve"> Ops!BC$116</f>
        <v>0</v>
      </c>
      <c r="BD29" s="1005">
        <f xml:space="preserve"> Ops!BD$116</f>
        <v>0</v>
      </c>
      <c r="BE29" s="1005">
        <f xml:space="preserve"> Ops!BE$116</f>
        <v>0</v>
      </c>
      <c r="BF29" s="1005">
        <f xml:space="preserve"> Ops!BF$116</f>
        <v>0</v>
      </c>
      <c r="BG29" s="1005">
        <f xml:space="preserve"> Ops!BG$116</f>
        <v>0</v>
      </c>
      <c r="BH29" s="1005">
        <f xml:space="preserve"> Ops!BH$116</f>
        <v>0</v>
      </c>
      <c r="BI29" s="1005">
        <f xml:space="preserve"> Ops!BI$116</f>
        <v>0</v>
      </c>
      <c r="BJ29" s="1005">
        <f xml:space="preserve"> Ops!BJ$116</f>
        <v>0</v>
      </c>
      <c r="BK29" s="1005">
        <f xml:space="preserve"> Ops!BK$116</f>
        <v>0</v>
      </c>
      <c r="BL29" s="1005">
        <f xml:space="preserve"> Ops!BL$116</f>
        <v>0</v>
      </c>
      <c r="BM29" s="1005">
        <f xml:space="preserve"> Ops!BM$116</f>
        <v>0</v>
      </c>
      <c r="BN29" s="1005">
        <f xml:space="preserve"> Ops!BN$116</f>
        <v>0</v>
      </c>
      <c r="BO29" s="1005">
        <f xml:space="preserve"> Ops!BO$116</f>
        <v>0</v>
      </c>
      <c r="BP29" s="1005">
        <f xml:space="preserve"> Ops!BP$116</f>
        <v>0</v>
      </c>
      <c r="BQ29" s="1005">
        <f xml:space="preserve"> Ops!BQ$116</f>
        <v>0</v>
      </c>
      <c r="BR29" s="1005">
        <f xml:space="preserve"> Ops!BR$116</f>
        <v>0</v>
      </c>
      <c r="BS29" s="1005">
        <f xml:space="preserve"> Ops!BS$116</f>
        <v>0</v>
      </c>
      <c r="BT29" s="1005">
        <f xml:space="preserve"> Ops!BT$116</f>
        <v>0</v>
      </c>
      <c r="BU29" s="1005">
        <f xml:space="preserve"> Ops!BU$116</f>
        <v>0</v>
      </c>
      <c r="BV29" s="1005">
        <f xml:space="preserve"> Ops!BV$116</f>
        <v>0</v>
      </c>
      <c r="BW29" s="1005">
        <f xml:space="preserve"> Ops!BW$116</f>
        <v>0</v>
      </c>
      <c r="BX29" s="1005">
        <f xml:space="preserve"> Ops!BX$116</f>
        <v>0</v>
      </c>
      <c r="BY29" s="1005">
        <f xml:space="preserve"> Ops!BY$116</f>
        <v>0</v>
      </c>
      <c r="BZ29" s="1005">
        <f xml:space="preserve"> Ops!BZ$116</f>
        <v>0</v>
      </c>
      <c r="CA29" s="1005">
        <f xml:space="preserve"> Ops!CA$116</f>
        <v>0</v>
      </c>
      <c r="CB29" s="1005">
        <f xml:space="preserve"> Ops!CB$116</f>
        <v>0</v>
      </c>
      <c r="CC29" s="1005">
        <f xml:space="preserve"> Ops!CC$116</f>
        <v>0</v>
      </c>
      <c r="CD29" s="1005">
        <f xml:space="preserve"> Ops!CD$116</f>
        <v>0</v>
      </c>
      <c r="CE29" s="1005">
        <f xml:space="preserve"> Ops!CE$116</f>
        <v>0</v>
      </c>
      <c r="CF29" s="1005">
        <f xml:space="preserve"> Ops!CF$116</f>
        <v>0</v>
      </c>
      <c r="CG29" s="1005">
        <f xml:space="preserve"> Ops!CG$116</f>
        <v>0</v>
      </c>
      <c r="CH29" s="1005">
        <f xml:space="preserve"> Ops!CH$116</f>
        <v>0</v>
      </c>
      <c r="CI29" s="1005">
        <f xml:space="preserve"> Ops!CI$116</f>
        <v>0</v>
      </c>
      <c r="CJ29" s="1005">
        <f xml:space="preserve"> Ops!CJ$116</f>
        <v>0</v>
      </c>
      <c r="CK29" s="1005">
        <f xml:space="preserve"> Ops!CK$116</f>
        <v>0</v>
      </c>
      <c r="CL29" s="1005">
        <f xml:space="preserve"> Ops!CL$116</f>
        <v>0</v>
      </c>
      <c r="CM29" s="1005">
        <f xml:space="preserve"> Ops!CM$116</f>
        <v>0</v>
      </c>
      <c r="CN29" s="1005">
        <f xml:space="preserve"> Ops!CN$116</f>
        <v>0</v>
      </c>
      <c r="CO29" s="1005">
        <f xml:space="preserve"> Ops!CO$116</f>
        <v>0</v>
      </c>
      <c r="CP29" s="1005">
        <f xml:space="preserve"> Ops!CP$116</f>
        <v>0</v>
      </c>
      <c r="CQ29" s="1005">
        <f xml:space="preserve"> Ops!CQ$116</f>
        <v>0</v>
      </c>
      <c r="CR29" s="1005">
        <f xml:space="preserve"> Ops!CR$116</f>
        <v>0</v>
      </c>
      <c r="CS29" s="1005">
        <f xml:space="preserve"> Ops!CS$116</f>
        <v>0</v>
      </c>
      <c r="CT29" s="1005">
        <f xml:space="preserve"> Ops!CT$116</f>
        <v>0</v>
      </c>
      <c r="CU29" s="1005">
        <f xml:space="preserve"> Ops!CU$116</f>
        <v>0</v>
      </c>
      <c r="CV29" s="1005">
        <f xml:space="preserve"> Ops!CV$116</f>
        <v>0</v>
      </c>
    </row>
    <row r="30" spans="1:100" s="1001" customFormat="1" outlineLevel="1" x14ac:dyDescent="0.2">
      <c r="A30" s="1008"/>
      <c r="B30" s="997"/>
      <c r="C30" s="998"/>
      <c r="D30" s="999"/>
      <c r="E30" s="1005" t="str">
        <f xml:space="preserve"> Ops!E$149</f>
        <v>Project Co costs</v>
      </c>
      <c r="F30" s="1005">
        <f xml:space="preserve"> Ops!F$149</f>
        <v>0</v>
      </c>
      <c r="G30" s="1005" t="str">
        <f xml:space="preserve"> Ops!G$149</f>
        <v>$ 000s</v>
      </c>
      <c r="H30" s="1005">
        <f xml:space="preserve"> Ops!H$149</f>
        <v>13150.127236880637</v>
      </c>
      <c r="I30" s="1005">
        <f xml:space="preserve"> Ops!I$149</f>
        <v>0</v>
      </c>
      <c r="J30" s="1005">
        <f xml:space="preserve"> Ops!J$149</f>
        <v>0</v>
      </c>
      <c r="K30" s="1005">
        <f xml:space="preserve"> Ops!K$149</f>
        <v>0</v>
      </c>
      <c r="L30" s="1005">
        <f xml:space="preserve"> Ops!L$149</f>
        <v>0</v>
      </c>
      <c r="M30" s="1005">
        <f xml:space="preserve"> Ops!M$149</f>
        <v>0</v>
      </c>
      <c r="N30" s="1005">
        <f xml:space="preserve"> Ops!N$149</f>
        <v>0</v>
      </c>
      <c r="O30" s="1005">
        <f xml:space="preserve"> Ops!O$149</f>
        <v>270.60804000000002</v>
      </c>
      <c r="P30" s="1005">
        <f xml:space="preserve"> Ops!P$149</f>
        <v>270.60804000000002</v>
      </c>
      <c r="Q30" s="1005">
        <f xml:space="preserve"> Ops!Q$149</f>
        <v>276.0202008</v>
      </c>
      <c r="R30" s="1005">
        <f xml:space="preserve"> Ops!R$149</f>
        <v>276.0202008</v>
      </c>
      <c r="S30" s="1005">
        <f xml:space="preserve"> Ops!S$149</f>
        <v>281.54060481600004</v>
      </c>
      <c r="T30" s="1005">
        <f xml:space="preserve"> Ops!T$149</f>
        <v>281.54060481600004</v>
      </c>
      <c r="U30" s="1005">
        <f xml:space="preserve"> Ops!U$149</f>
        <v>287.17141691231996</v>
      </c>
      <c r="V30" s="1005">
        <f xml:space="preserve"> Ops!V$149</f>
        <v>287.17141691231996</v>
      </c>
      <c r="W30" s="1005">
        <f xml:space="preserve"> Ops!W$149</f>
        <v>292.91484525056637</v>
      </c>
      <c r="X30" s="1005">
        <f xml:space="preserve"> Ops!X$149</f>
        <v>292.91484525056637</v>
      </c>
      <c r="Y30" s="1005">
        <f xml:space="preserve"> Ops!Y$149</f>
        <v>298.77314215557772</v>
      </c>
      <c r="Z30" s="1005">
        <f xml:space="preserve"> Ops!Z$149</f>
        <v>298.77314215557772</v>
      </c>
      <c r="AA30" s="1005">
        <f xml:space="preserve"> Ops!AA$149</f>
        <v>304.7486049986893</v>
      </c>
      <c r="AB30" s="1005">
        <f xml:space="preserve"> Ops!AB$149</f>
        <v>304.7486049986893</v>
      </c>
      <c r="AC30" s="1005">
        <f xml:space="preserve"> Ops!AC$149</f>
        <v>310.84357709866299</v>
      </c>
      <c r="AD30" s="1005">
        <f xml:space="preserve"> Ops!AD$149</f>
        <v>310.84357709866299</v>
      </c>
      <c r="AE30" s="1005">
        <f xml:space="preserve"> Ops!AE$149</f>
        <v>317.06044864063631</v>
      </c>
      <c r="AF30" s="1005">
        <f xml:space="preserve"> Ops!AF$149</f>
        <v>317.06044864063631</v>
      </c>
      <c r="AG30" s="1005">
        <f xml:space="preserve"> Ops!AG$149</f>
        <v>323.401657613449</v>
      </c>
      <c r="AH30" s="1005">
        <f xml:space="preserve"> Ops!AH$149</f>
        <v>323.401657613449</v>
      </c>
      <c r="AI30" s="1005">
        <f xml:space="preserve"> Ops!AI$149</f>
        <v>329.86969076571802</v>
      </c>
      <c r="AJ30" s="1005">
        <f xml:space="preserve"> Ops!AJ$149</f>
        <v>329.86969076571802</v>
      </c>
      <c r="AK30" s="1005">
        <f xml:space="preserve"> Ops!AK$149</f>
        <v>336.46708458103228</v>
      </c>
      <c r="AL30" s="1005">
        <f xml:space="preserve"> Ops!AL$149</f>
        <v>336.46708458103228</v>
      </c>
      <c r="AM30" s="1005">
        <f xml:space="preserve"> Ops!AM$149</f>
        <v>343.19642627265301</v>
      </c>
      <c r="AN30" s="1005">
        <f xml:space="preserve"> Ops!AN$149</f>
        <v>343.19642627265301</v>
      </c>
      <c r="AO30" s="1005">
        <f xml:space="preserve"> Ops!AO$149</f>
        <v>350.06035479810612</v>
      </c>
      <c r="AP30" s="1005">
        <f xml:space="preserve"> Ops!AP$149</f>
        <v>350.06035479810612</v>
      </c>
      <c r="AQ30" s="1005">
        <f xml:space="preserve"> Ops!AQ$149</f>
        <v>357.06156189406818</v>
      </c>
      <c r="AR30" s="1005">
        <f xml:space="preserve"> Ops!AR$149</f>
        <v>357.06156189406818</v>
      </c>
      <c r="AS30" s="1005">
        <f xml:space="preserve"> Ops!AS$149</f>
        <v>364.20279313194953</v>
      </c>
      <c r="AT30" s="1005">
        <f xml:space="preserve"> Ops!AT$149</f>
        <v>364.20279313194953</v>
      </c>
      <c r="AU30" s="1005">
        <f xml:space="preserve"> Ops!AU$149</f>
        <v>371.48684899458857</v>
      </c>
      <c r="AV30" s="1005">
        <f xml:space="preserve"> Ops!AV$149</f>
        <v>371.48684899458857</v>
      </c>
      <c r="AW30" s="1005">
        <f xml:space="preserve"> Ops!AW$149</f>
        <v>378.91658597448031</v>
      </c>
      <c r="AX30" s="1005">
        <f xml:space="preserve"> Ops!AX$149</f>
        <v>378.91658597448031</v>
      </c>
      <c r="AY30" s="1005">
        <f xml:space="preserve"> Ops!AY$149</f>
        <v>386.49491769396991</v>
      </c>
      <c r="AZ30" s="1005">
        <f xml:space="preserve"> Ops!AZ$149</f>
        <v>386.49491769396991</v>
      </c>
      <c r="BA30" s="1005">
        <f xml:space="preserve"> Ops!BA$149</f>
        <v>394.22481604784923</v>
      </c>
      <c r="BB30" s="1005">
        <f xml:space="preserve"> Ops!BB$149</f>
        <v>394.22481604784923</v>
      </c>
      <c r="BC30" s="1005">
        <f xml:space="preserve"> Ops!BC$149</f>
        <v>0</v>
      </c>
      <c r="BD30" s="1005">
        <f xml:space="preserve"> Ops!BD$149</f>
        <v>0</v>
      </c>
      <c r="BE30" s="1005">
        <f xml:space="preserve"> Ops!BE$149</f>
        <v>0</v>
      </c>
      <c r="BF30" s="1005">
        <f xml:space="preserve"> Ops!BF$149</f>
        <v>0</v>
      </c>
      <c r="BG30" s="1005">
        <f xml:space="preserve"> Ops!BG$149</f>
        <v>0</v>
      </c>
      <c r="BH30" s="1005">
        <f xml:space="preserve"> Ops!BH$149</f>
        <v>0</v>
      </c>
      <c r="BI30" s="1005">
        <f xml:space="preserve"> Ops!BI$149</f>
        <v>0</v>
      </c>
      <c r="BJ30" s="1005">
        <f xml:space="preserve"> Ops!BJ$149</f>
        <v>0</v>
      </c>
      <c r="BK30" s="1005">
        <f xml:space="preserve"> Ops!BK$149</f>
        <v>0</v>
      </c>
      <c r="BL30" s="1005">
        <f xml:space="preserve"> Ops!BL$149</f>
        <v>0</v>
      </c>
      <c r="BM30" s="1005">
        <f xml:space="preserve"> Ops!BM$149</f>
        <v>0</v>
      </c>
      <c r="BN30" s="1005">
        <f xml:space="preserve"> Ops!BN$149</f>
        <v>0</v>
      </c>
      <c r="BO30" s="1005">
        <f xml:space="preserve"> Ops!BO$149</f>
        <v>0</v>
      </c>
      <c r="BP30" s="1005">
        <f xml:space="preserve"> Ops!BP$149</f>
        <v>0</v>
      </c>
      <c r="BQ30" s="1005">
        <f xml:space="preserve"> Ops!BQ$149</f>
        <v>0</v>
      </c>
      <c r="BR30" s="1005">
        <f xml:space="preserve"> Ops!BR$149</f>
        <v>0</v>
      </c>
      <c r="BS30" s="1005">
        <f xml:space="preserve"> Ops!BS$149</f>
        <v>0</v>
      </c>
      <c r="BT30" s="1005">
        <f xml:space="preserve"> Ops!BT$149</f>
        <v>0</v>
      </c>
      <c r="BU30" s="1005">
        <f xml:space="preserve"> Ops!BU$149</f>
        <v>0</v>
      </c>
      <c r="BV30" s="1005">
        <f xml:space="preserve"> Ops!BV$149</f>
        <v>0</v>
      </c>
      <c r="BW30" s="1005">
        <f xml:space="preserve"> Ops!BW$149</f>
        <v>0</v>
      </c>
      <c r="BX30" s="1005">
        <f xml:space="preserve"> Ops!BX$149</f>
        <v>0</v>
      </c>
      <c r="BY30" s="1005">
        <f xml:space="preserve"> Ops!BY$149</f>
        <v>0</v>
      </c>
      <c r="BZ30" s="1005">
        <f xml:space="preserve"> Ops!BZ$149</f>
        <v>0</v>
      </c>
      <c r="CA30" s="1005">
        <f xml:space="preserve"> Ops!CA$149</f>
        <v>0</v>
      </c>
      <c r="CB30" s="1005">
        <f xml:space="preserve"> Ops!CB$149</f>
        <v>0</v>
      </c>
      <c r="CC30" s="1005">
        <f xml:space="preserve"> Ops!CC$149</f>
        <v>0</v>
      </c>
      <c r="CD30" s="1005">
        <f xml:space="preserve"> Ops!CD$149</f>
        <v>0</v>
      </c>
      <c r="CE30" s="1005">
        <f xml:space="preserve"> Ops!CE$149</f>
        <v>0</v>
      </c>
      <c r="CF30" s="1005">
        <f xml:space="preserve"> Ops!CF$149</f>
        <v>0</v>
      </c>
      <c r="CG30" s="1005">
        <f xml:space="preserve"> Ops!CG$149</f>
        <v>0</v>
      </c>
      <c r="CH30" s="1005">
        <f xml:space="preserve"> Ops!CH$149</f>
        <v>0</v>
      </c>
      <c r="CI30" s="1005">
        <f xml:space="preserve"> Ops!CI$149</f>
        <v>0</v>
      </c>
      <c r="CJ30" s="1005">
        <f xml:space="preserve"> Ops!CJ$149</f>
        <v>0</v>
      </c>
      <c r="CK30" s="1005">
        <f xml:space="preserve"> Ops!CK$149</f>
        <v>0</v>
      </c>
      <c r="CL30" s="1005">
        <f xml:space="preserve"> Ops!CL$149</f>
        <v>0</v>
      </c>
      <c r="CM30" s="1005">
        <f xml:space="preserve"> Ops!CM$149</f>
        <v>0</v>
      </c>
      <c r="CN30" s="1005">
        <f xml:space="preserve"> Ops!CN$149</f>
        <v>0</v>
      </c>
      <c r="CO30" s="1005">
        <f xml:space="preserve"> Ops!CO$149</f>
        <v>0</v>
      </c>
      <c r="CP30" s="1005">
        <f xml:space="preserve"> Ops!CP$149</f>
        <v>0</v>
      </c>
      <c r="CQ30" s="1005">
        <f xml:space="preserve"> Ops!CQ$149</f>
        <v>0</v>
      </c>
      <c r="CR30" s="1005">
        <f xml:space="preserve"> Ops!CR$149</f>
        <v>0</v>
      </c>
      <c r="CS30" s="1005">
        <f xml:space="preserve"> Ops!CS$149</f>
        <v>0</v>
      </c>
      <c r="CT30" s="1005">
        <f xml:space="preserve"> Ops!CT$149</f>
        <v>0</v>
      </c>
      <c r="CU30" s="1005">
        <f xml:space="preserve"> Ops!CU$149</f>
        <v>0</v>
      </c>
      <c r="CV30" s="1005">
        <f xml:space="preserve"> Ops!CV$149</f>
        <v>0</v>
      </c>
    </row>
    <row r="31" spans="1:100" s="1001" customFormat="1" outlineLevel="1" x14ac:dyDescent="0.2">
      <c r="A31" s="1008"/>
      <c r="B31" s="997"/>
      <c r="C31" s="998"/>
      <c r="D31" s="999"/>
      <c r="E31" s="1009"/>
      <c r="F31" s="1005"/>
      <c r="G31" s="1005"/>
      <c r="H31" s="1005"/>
      <c r="I31" s="1005"/>
      <c r="J31" s="1005"/>
      <c r="K31" s="1005"/>
      <c r="L31" s="1005"/>
      <c r="M31" s="1005"/>
      <c r="N31" s="1005"/>
      <c r="O31" s="1005"/>
      <c r="P31" s="1005"/>
      <c r="Q31" s="1005"/>
      <c r="R31" s="1005"/>
      <c r="S31" s="1005"/>
      <c r="T31" s="1005"/>
      <c r="U31" s="1005"/>
      <c r="V31" s="1005"/>
      <c r="W31" s="1005"/>
      <c r="X31" s="1005"/>
      <c r="Y31" s="1005"/>
      <c r="Z31" s="1005"/>
      <c r="AA31" s="1005"/>
      <c r="AB31" s="1005"/>
      <c r="AC31" s="1005"/>
      <c r="AD31" s="1005"/>
      <c r="AE31" s="1005"/>
      <c r="AF31" s="1005"/>
      <c r="AG31" s="1005"/>
      <c r="AH31" s="1005"/>
      <c r="AI31" s="1005"/>
      <c r="AJ31" s="1005"/>
      <c r="AK31" s="1005"/>
      <c r="AL31" s="1005"/>
      <c r="AM31" s="1005"/>
      <c r="AN31" s="1005"/>
      <c r="AO31" s="1005"/>
      <c r="AP31" s="1005"/>
      <c r="AQ31" s="1005"/>
      <c r="AR31" s="1005"/>
      <c r="AS31" s="1005"/>
      <c r="AT31" s="1005"/>
      <c r="AU31" s="1005"/>
      <c r="AV31" s="1005"/>
      <c r="AW31" s="1005"/>
      <c r="AX31" s="1005"/>
      <c r="AY31" s="1005"/>
      <c r="AZ31" s="1005"/>
      <c r="BA31" s="1005"/>
      <c r="BB31" s="1005"/>
      <c r="BC31" s="1005"/>
      <c r="BD31" s="1005"/>
      <c r="BE31" s="1005"/>
      <c r="BF31" s="1005"/>
      <c r="BG31" s="1005"/>
      <c r="BH31" s="1005"/>
      <c r="BI31" s="1005"/>
      <c r="BJ31" s="1005"/>
      <c r="BK31" s="1005"/>
      <c r="BL31" s="1005"/>
      <c r="BM31" s="1005"/>
      <c r="BN31" s="1005"/>
      <c r="BO31" s="1005"/>
      <c r="BP31" s="1005"/>
      <c r="BQ31" s="1005"/>
      <c r="BR31" s="1005"/>
      <c r="BS31" s="1005"/>
      <c r="BT31" s="1005"/>
      <c r="BU31" s="1005"/>
      <c r="BV31" s="1005"/>
      <c r="BW31" s="1005"/>
      <c r="BX31" s="1005"/>
      <c r="BY31" s="1005"/>
      <c r="BZ31" s="1005"/>
      <c r="CA31" s="1005"/>
      <c r="CB31" s="1005"/>
      <c r="CC31" s="1005"/>
      <c r="CD31" s="1005"/>
      <c r="CE31" s="1005"/>
      <c r="CF31" s="1005"/>
      <c r="CG31" s="1005"/>
      <c r="CH31" s="1005"/>
      <c r="CI31" s="1005"/>
      <c r="CJ31" s="1005"/>
      <c r="CK31" s="1005"/>
      <c r="CL31" s="1005"/>
      <c r="CM31" s="1005"/>
      <c r="CN31" s="1005"/>
      <c r="CO31" s="1005"/>
      <c r="CP31" s="1005"/>
      <c r="CQ31" s="1005"/>
      <c r="CR31" s="1005"/>
      <c r="CS31" s="1005"/>
      <c r="CT31" s="1005"/>
      <c r="CU31" s="1005"/>
      <c r="CV31" s="1005"/>
    </row>
    <row r="32" spans="1:100" s="1001" customFormat="1" outlineLevel="1" x14ac:dyDescent="0.2">
      <c r="A32" s="1008"/>
      <c r="B32" s="997"/>
      <c r="C32" s="998"/>
      <c r="D32" s="999"/>
      <c r="E32" s="1005" t="str">
        <f xml:space="preserve"> 'FS Semi'!E$11</f>
        <v>EBITDA</v>
      </c>
      <c r="F32" s="1005">
        <f xml:space="preserve"> 'FS Semi'!F$11</f>
        <v>0</v>
      </c>
      <c r="G32" s="1005" t="str">
        <f xml:space="preserve"> 'FS Semi'!G$11</f>
        <v>$ 000s</v>
      </c>
      <c r="H32" s="1005">
        <f xml:space="preserve"> 'FS Semi'!H$11</f>
        <v>581802.19084702886</v>
      </c>
      <c r="I32" s="1005">
        <f xml:space="preserve"> 'FS Semi'!I$11</f>
        <v>0</v>
      </c>
      <c r="J32" s="1005">
        <f xml:space="preserve"> 'FS Semi'!J$11</f>
        <v>0</v>
      </c>
      <c r="K32" s="1005">
        <f xml:space="preserve"> 'FS Semi'!K$11</f>
        <v>0</v>
      </c>
      <c r="L32" s="1005">
        <f xml:space="preserve"> 'FS Semi'!L$11</f>
        <v>0</v>
      </c>
      <c r="M32" s="1005">
        <f xml:space="preserve"> 'FS Semi'!M$11</f>
        <v>0</v>
      </c>
      <c r="N32" s="1005">
        <f xml:space="preserve"> 'FS Semi'!N$11</f>
        <v>0</v>
      </c>
      <c r="O32" s="1005">
        <f xml:space="preserve"> 'FS Semi'!O$11</f>
        <v>15771.339089615476</v>
      </c>
      <c r="P32" s="1005">
        <f xml:space="preserve"> 'FS Semi'!P$11</f>
        <v>15771.339089615476</v>
      </c>
      <c r="Q32" s="1005">
        <f xml:space="preserve"> 'FS Semi'!Q$11</f>
        <v>15652.316534779797</v>
      </c>
      <c r="R32" s="1005">
        <f xml:space="preserve"> 'FS Semi'!R$11</f>
        <v>15652.316534779797</v>
      </c>
      <c r="S32" s="1005">
        <f xml:space="preserve"> 'FS Semi'!S$11</f>
        <v>15531.765028944803</v>
      </c>
      <c r="T32" s="1005">
        <f xml:space="preserve"> 'FS Semi'!T$11</f>
        <v>15531.765028944803</v>
      </c>
      <c r="U32" s="1005">
        <f xml:space="preserve"> 'FS Semi'!U$11</f>
        <v>15409.652012095841</v>
      </c>
      <c r="V32" s="1005">
        <f xml:space="preserve"> 'FS Semi'!V$11</f>
        <v>15409.652012095841</v>
      </c>
      <c r="W32" s="1005">
        <f xml:space="preserve"> 'FS Semi'!W$11</f>
        <v>15285.944271917093</v>
      </c>
      <c r="X32" s="1005">
        <f xml:space="preserve"> 'FS Semi'!X$11</f>
        <v>15285.944271917093</v>
      </c>
      <c r="Y32" s="1005">
        <f xml:space="preserve"> 'FS Semi'!Y$11</f>
        <v>15160.607930656912</v>
      </c>
      <c r="Z32" s="1005">
        <f xml:space="preserve"> 'FS Semi'!Z$11</f>
        <v>15160.607930656912</v>
      </c>
      <c r="AA32" s="1005">
        <f xml:space="preserve"> 'FS Semi'!AA$11</f>
        <v>15033.608431729044</v>
      </c>
      <c r="AB32" s="1005">
        <f xml:space="preserve"> 'FS Semi'!AB$11</f>
        <v>15033.608431729044</v>
      </c>
      <c r="AC32" s="1005">
        <f xml:space="preserve"> 'FS Semi'!AC$11</f>
        <v>14904.910526044379</v>
      </c>
      <c r="AD32" s="1005">
        <f xml:space="preserve"> 'FS Semi'!AD$11</f>
        <v>14904.910526044379</v>
      </c>
      <c r="AE32" s="1005">
        <f xml:space="preserve"> 'FS Semi'!AE$11</f>
        <v>14774.478258067882</v>
      </c>
      <c r="AF32" s="1005">
        <f xml:space="preserve"> 'FS Semi'!AF$11</f>
        <v>14774.478258067882</v>
      </c>
      <c r="AG32" s="1005">
        <f xml:space="preserve"> 'FS Semi'!AG$11</f>
        <v>14642.274951595038</v>
      </c>
      <c r="AH32" s="1005">
        <f xml:space="preserve"> 'FS Semi'!AH$11</f>
        <v>14642.274951595038</v>
      </c>
      <c r="AI32" s="1005">
        <f xml:space="preserve"> 'FS Semi'!AI$11</f>
        <v>14508.263195242364</v>
      </c>
      <c r="AJ32" s="1005">
        <f xml:space="preserve"> 'FS Semi'!AJ$11</f>
        <v>14508.263195242364</v>
      </c>
      <c r="AK32" s="1005">
        <f xml:space="preserve"> 'FS Semi'!AK$11</f>
        <v>14372.404827646009</v>
      </c>
      <c r="AL32" s="1005">
        <f xml:space="preserve"> 'FS Semi'!AL$11</f>
        <v>14372.404827646009</v>
      </c>
      <c r="AM32" s="1005">
        <f xml:space="preserve"> 'FS Semi'!AM$11</f>
        <v>14234.660922362858</v>
      </c>
      <c r="AN32" s="1005">
        <f xml:space="preserve"> 'FS Semi'!AN$11</f>
        <v>14234.660922362858</v>
      </c>
      <c r="AO32" s="1005">
        <f xml:space="preserve"> 'FS Semi'!AO$11</f>
        <v>14094.991772467918</v>
      </c>
      <c r="AP32" s="1005">
        <f xml:space="preserve"> 'FS Semi'!AP$11</f>
        <v>14094.991772467918</v>
      </c>
      <c r="AQ32" s="1005">
        <f xml:space="preserve"> 'FS Semi'!AQ$11</f>
        <v>13953.356874841951</v>
      </c>
      <c r="AR32" s="1005">
        <f xml:space="preserve"> 'FS Semi'!AR$11</f>
        <v>13953.356874841951</v>
      </c>
      <c r="AS32" s="1005">
        <f xml:space="preserve"> 'FS Semi'!AS$11</f>
        <v>13809.714914143211</v>
      </c>
      <c r="AT32" s="1005">
        <f xml:space="preserve"> 'FS Semi'!AT$11</f>
        <v>13809.714914143211</v>
      </c>
      <c r="AU32" s="1005">
        <f xml:space="preserve"> 'FS Semi'!AU$11</f>
        <v>13664.023746456885</v>
      </c>
      <c r="AV32" s="1005">
        <f xml:space="preserve"> 'FS Semi'!AV$11</f>
        <v>13664.023746456885</v>
      </c>
      <c r="AW32" s="1005">
        <f xml:space="preserve"> 'FS Semi'!AW$11</f>
        <v>13516.240382615677</v>
      </c>
      <c r="AX32" s="1005">
        <f xml:space="preserve"> 'FS Semi'!AX$11</f>
        <v>13516.240382615677</v>
      </c>
      <c r="AY32" s="1005">
        <f xml:space="preserve"> 'FS Semi'!AY$11</f>
        <v>13366.320971185025</v>
      </c>
      <c r="AZ32" s="1005">
        <f xml:space="preserve"> 'FS Semi'!AZ$11</f>
        <v>13366.320971185025</v>
      </c>
      <c r="BA32" s="1005">
        <f xml:space="preserve"> 'FS Semi'!BA$11</f>
        <v>13214.220781106247</v>
      </c>
      <c r="BB32" s="1005">
        <f xml:space="preserve"> 'FS Semi'!BB$11</f>
        <v>13214.220781106247</v>
      </c>
      <c r="BC32" s="1005">
        <f xml:space="preserve"> 'FS Semi'!BC$11</f>
        <v>0</v>
      </c>
      <c r="BD32" s="1005">
        <f xml:space="preserve"> 'FS Semi'!BD$11</f>
        <v>0</v>
      </c>
      <c r="BE32" s="1005">
        <f xml:space="preserve"> 'FS Semi'!BE$11</f>
        <v>0</v>
      </c>
      <c r="BF32" s="1005">
        <f xml:space="preserve"> 'FS Semi'!BF$11</f>
        <v>0</v>
      </c>
      <c r="BG32" s="1005">
        <f xml:space="preserve"> 'FS Semi'!BG$11</f>
        <v>0</v>
      </c>
      <c r="BH32" s="1005">
        <f xml:space="preserve"> 'FS Semi'!BH$11</f>
        <v>0</v>
      </c>
      <c r="BI32" s="1005">
        <f xml:space="preserve"> 'FS Semi'!BI$11</f>
        <v>0</v>
      </c>
      <c r="BJ32" s="1005">
        <f xml:space="preserve"> 'FS Semi'!BJ$11</f>
        <v>0</v>
      </c>
      <c r="BK32" s="1005">
        <f xml:space="preserve"> 'FS Semi'!BK$11</f>
        <v>0</v>
      </c>
      <c r="BL32" s="1005">
        <f xml:space="preserve"> 'FS Semi'!BL$11</f>
        <v>0</v>
      </c>
      <c r="BM32" s="1005">
        <f xml:space="preserve"> 'FS Semi'!BM$11</f>
        <v>0</v>
      </c>
      <c r="BN32" s="1005">
        <f xml:space="preserve"> 'FS Semi'!BN$11</f>
        <v>0</v>
      </c>
      <c r="BO32" s="1005">
        <f xml:space="preserve"> 'FS Semi'!BO$11</f>
        <v>0</v>
      </c>
      <c r="BP32" s="1005">
        <f xml:space="preserve"> 'FS Semi'!BP$11</f>
        <v>0</v>
      </c>
      <c r="BQ32" s="1005">
        <f xml:space="preserve"> 'FS Semi'!BQ$11</f>
        <v>0</v>
      </c>
      <c r="BR32" s="1005">
        <f xml:space="preserve"> 'FS Semi'!BR$11</f>
        <v>0</v>
      </c>
      <c r="BS32" s="1005">
        <f xml:space="preserve"> 'FS Semi'!BS$11</f>
        <v>0</v>
      </c>
      <c r="BT32" s="1005">
        <f xml:space="preserve"> 'FS Semi'!BT$11</f>
        <v>0</v>
      </c>
      <c r="BU32" s="1005">
        <f xml:space="preserve"> 'FS Semi'!BU$11</f>
        <v>0</v>
      </c>
      <c r="BV32" s="1005">
        <f xml:space="preserve"> 'FS Semi'!BV$11</f>
        <v>0</v>
      </c>
      <c r="BW32" s="1005">
        <f xml:space="preserve"> 'FS Semi'!BW$11</f>
        <v>0</v>
      </c>
      <c r="BX32" s="1005">
        <f xml:space="preserve"> 'FS Semi'!BX$11</f>
        <v>0</v>
      </c>
      <c r="BY32" s="1005">
        <f xml:space="preserve"> 'FS Semi'!BY$11</f>
        <v>0</v>
      </c>
      <c r="BZ32" s="1005">
        <f xml:space="preserve"> 'FS Semi'!BZ$11</f>
        <v>0</v>
      </c>
      <c r="CA32" s="1005">
        <f xml:space="preserve"> 'FS Semi'!CA$11</f>
        <v>0</v>
      </c>
      <c r="CB32" s="1005">
        <f xml:space="preserve"> 'FS Semi'!CB$11</f>
        <v>0</v>
      </c>
      <c r="CC32" s="1005">
        <f xml:space="preserve"> 'FS Semi'!CC$11</f>
        <v>0</v>
      </c>
      <c r="CD32" s="1005">
        <f xml:space="preserve"> 'FS Semi'!CD$11</f>
        <v>0</v>
      </c>
      <c r="CE32" s="1005">
        <f xml:space="preserve"> 'FS Semi'!CE$11</f>
        <v>0</v>
      </c>
      <c r="CF32" s="1005">
        <f xml:space="preserve"> 'FS Semi'!CF$11</f>
        <v>0</v>
      </c>
      <c r="CG32" s="1005">
        <f xml:space="preserve"> 'FS Semi'!CG$11</f>
        <v>0</v>
      </c>
      <c r="CH32" s="1005">
        <f xml:space="preserve"> 'FS Semi'!CH$11</f>
        <v>0</v>
      </c>
      <c r="CI32" s="1005">
        <f xml:space="preserve"> 'FS Semi'!CI$11</f>
        <v>0</v>
      </c>
      <c r="CJ32" s="1005">
        <f xml:space="preserve"> 'FS Semi'!CJ$11</f>
        <v>0</v>
      </c>
      <c r="CK32" s="1005">
        <f xml:space="preserve"> 'FS Semi'!CK$11</f>
        <v>0</v>
      </c>
      <c r="CL32" s="1005">
        <f xml:space="preserve"> 'FS Semi'!CL$11</f>
        <v>0</v>
      </c>
      <c r="CM32" s="1005">
        <f xml:space="preserve"> 'FS Semi'!CM$11</f>
        <v>0</v>
      </c>
      <c r="CN32" s="1005">
        <f xml:space="preserve"> 'FS Semi'!CN$11</f>
        <v>0</v>
      </c>
      <c r="CO32" s="1005">
        <f xml:space="preserve"> 'FS Semi'!CO$11</f>
        <v>0</v>
      </c>
      <c r="CP32" s="1005">
        <f xml:space="preserve"> 'FS Semi'!CP$11</f>
        <v>0</v>
      </c>
      <c r="CQ32" s="1005">
        <f xml:space="preserve"> 'FS Semi'!CQ$11</f>
        <v>0</v>
      </c>
      <c r="CR32" s="1005">
        <f xml:space="preserve"> 'FS Semi'!CR$11</f>
        <v>0</v>
      </c>
      <c r="CS32" s="1005">
        <f xml:space="preserve"> 'FS Semi'!CS$11</f>
        <v>0</v>
      </c>
      <c r="CT32" s="1005">
        <f xml:space="preserve"> 'FS Semi'!CT$11</f>
        <v>0</v>
      </c>
      <c r="CU32" s="1005">
        <f xml:space="preserve"> 'FS Semi'!CU$11</f>
        <v>0</v>
      </c>
      <c r="CV32" s="1005">
        <f xml:space="preserve"> 'FS Semi'!CV$11</f>
        <v>0</v>
      </c>
    </row>
    <row r="33" spans="1:100" s="1001" customFormat="1" outlineLevel="1" x14ac:dyDescent="0.2">
      <c r="A33" s="1008"/>
      <c r="B33" s="997"/>
      <c r="C33" s="998"/>
      <c r="D33" s="999"/>
      <c r="E33" s="1005"/>
      <c r="F33" s="1005"/>
      <c r="G33" s="1005"/>
      <c r="H33" s="1005"/>
      <c r="I33" s="1005"/>
      <c r="J33" s="1005"/>
      <c r="K33" s="1005"/>
      <c r="L33" s="1005"/>
      <c r="M33" s="1005"/>
      <c r="N33" s="1005"/>
      <c r="O33" s="1005"/>
      <c r="P33" s="1005"/>
      <c r="Q33" s="1005"/>
      <c r="R33" s="1005"/>
      <c r="S33" s="1005"/>
      <c r="T33" s="1005"/>
      <c r="U33" s="1005"/>
      <c r="V33" s="1005"/>
      <c r="W33" s="1005"/>
      <c r="X33" s="1005"/>
      <c r="Y33" s="1005"/>
      <c r="Z33" s="1005"/>
      <c r="AA33" s="1005"/>
      <c r="AB33" s="1005"/>
      <c r="AC33" s="1005"/>
      <c r="AD33" s="1005"/>
      <c r="AE33" s="1005"/>
      <c r="AF33" s="1005"/>
      <c r="AG33" s="1005"/>
      <c r="AH33" s="1005"/>
      <c r="AI33" s="1005"/>
      <c r="AJ33" s="1005"/>
      <c r="AK33" s="1005"/>
      <c r="AL33" s="1005"/>
      <c r="AM33" s="1005"/>
      <c r="AN33" s="1005"/>
      <c r="AO33" s="1005"/>
      <c r="AP33" s="1005"/>
      <c r="AQ33" s="1005"/>
      <c r="AR33" s="1005"/>
      <c r="AS33" s="1005"/>
      <c r="AT33" s="1005"/>
      <c r="AU33" s="1005"/>
      <c r="AV33" s="1005"/>
      <c r="AW33" s="1005"/>
      <c r="AX33" s="1005"/>
      <c r="AY33" s="1005"/>
      <c r="AZ33" s="1005"/>
      <c r="BA33" s="1005"/>
      <c r="BB33" s="1005"/>
      <c r="BC33" s="1005"/>
      <c r="BD33" s="1005"/>
      <c r="BE33" s="1005"/>
      <c r="BF33" s="1005"/>
      <c r="BG33" s="1005"/>
      <c r="BH33" s="1005"/>
      <c r="BI33" s="1005"/>
      <c r="BJ33" s="1005"/>
      <c r="BK33" s="1005"/>
      <c r="BL33" s="1005"/>
      <c r="BM33" s="1005"/>
      <c r="BN33" s="1005"/>
      <c r="BO33" s="1005"/>
      <c r="BP33" s="1005"/>
      <c r="BQ33" s="1005"/>
      <c r="BR33" s="1005"/>
      <c r="BS33" s="1005"/>
      <c r="BT33" s="1005"/>
      <c r="BU33" s="1005"/>
      <c r="BV33" s="1005"/>
      <c r="BW33" s="1005"/>
      <c r="BX33" s="1005"/>
      <c r="BY33" s="1005"/>
      <c r="BZ33" s="1005"/>
      <c r="CA33" s="1005"/>
      <c r="CB33" s="1005"/>
      <c r="CC33" s="1005"/>
      <c r="CD33" s="1005"/>
      <c r="CE33" s="1005"/>
      <c r="CF33" s="1005"/>
      <c r="CG33" s="1005"/>
      <c r="CH33" s="1005"/>
      <c r="CI33" s="1005"/>
      <c r="CJ33" s="1005"/>
      <c r="CK33" s="1005"/>
      <c r="CL33" s="1005"/>
      <c r="CM33" s="1005"/>
      <c r="CN33" s="1005"/>
      <c r="CO33" s="1005"/>
      <c r="CP33" s="1005"/>
      <c r="CQ33" s="1005"/>
      <c r="CR33" s="1005"/>
      <c r="CS33" s="1005"/>
      <c r="CT33" s="1005"/>
      <c r="CU33" s="1005"/>
      <c r="CV33" s="1005"/>
    </row>
    <row r="34" spans="1:100" s="1001" customFormat="1" x14ac:dyDescent="0.2">
      <c r="A34" s="1008"/>
      <c r="B34" s="997"/>
      <c r="C34" s="998"/>
      <c r="D34" s="999"/>
      <c r="E34" s="1005"/>
      <c r="F34" s="1005"/>
      <c r="G34" s="1005"/>
      <c r="H34" s="1005"/>
      <c r="I34" s="1005"/>
      <c r="J34" s="1005"/>
      <c r="K34" s="1005"/>
      <c r="L34" s="1005"/>
      <c r="M34" s="1005"/>
      <c r="N34" s="1005"/>
      <c r="O34" s="1005"/>
      <c r="P34" s="1005"/>
      <c r="Q34" s="1005"/>
      <c r="R34" s="1005"/>
      <c r="S34" s="1005"/>
      <c r="T34" s="1005"/>
      <c r="U34" s="1005"/>
      <c r="V34" s="1005"/>
      <c r="W34" s="1005"/>
      <c r="X34" s="1005"/>
      <c r="Y34" s="1005"/>
      <c r="Z34" s="1005"/>
      <c r="AA34" s="1005"/>
      <c r="AB34" s="1005"/>
      <c r="AC34" s="1005"/>
      <c r="AD34" s="1005"/>
      <c r="AE34" s="1005"/>
      <c r="AF34" s="1005"/>
      <c r="AG34" s="1005"/>
      <c r="AH34" s="1005"/>
      <c r="AI34" s="1005"/>
      <c r="AJ34" s="1005"/>
      <c r="AK34" s="1005"/>
      <c r="AL34" s="1005"/>
      <c r="AM34" s="1005"/>
      <c r="AN34" s="1005"/>
      <c r="AO34" s="1005"/>
      <c r="AP34" s="1005"/>
      <c r="AQ34" s="1005"/>
      <c r="AR34" s="1005"/>
      <c r="AS34" s="1005"/>
      <c r="AT34" s="1005"/>
      <c r="AU34" s="1005"/>
      <c r="AV34" s="1005"/>
      <c r="AW34" s="1005"/>
      <c r="AX34" s="1005"/>
      <c r="AY34" s="1005"/>
      <c r="AZ34" s="1005"/>
      <c r="BA34" s="1005"/>
      <c r="BB34" s="1005"/>
      <c r="BC34" s="1005"/>
      <c r="BD34" s="1005"/>
      <c r="BE34" s="1005"/>
      <c r="BF34" s="1005"/>
      <c r="BG34" s="1005"/>
      <c r="BH34" s="1005"/>
      <c r="BI34" s="1005"/>
      <c r="BJ34" s="1005"/>
      <c r="BK34" s="1005"/>
      <c r="BL34" s="1005"/>
      <c r="BM34" s="1005"/>
      <c r="BN34" s="1005"/>
      <c r="BO34" s="1005"/>
      <c r="BP34" s="1005"/>
      <c r="BQ34" s="1005"/>
      <c r="BR34" s="1005"/>
      <c r="BS34" s="1005"/>
      <c r="BT34" s="1005"/>
      <c r="BU34" s="1005"/>
      <c r="BV34" s="1005"/>
      <c r="BW34" s="1005"/>
      <c r="BX34" s="1005"/>
      <c r="BY34" s="1005"/>
      <c r="BZ34" s="1005"/>
      <c r="CA34" s="1005"/>
      <c r="CB34" s="1005"/>
      <c r="CC34" s="1005"/>
      <c r="CD34" s="1005"/>
      <c r="CE34" s="1005"/>
      <c r="CF34" s="1005"/>
      <c r="CG34" s="1005"/>
      <c r="CH34" s="1005"/>
      <c r="CI34" s="1005"/>
      <c r="CJ34" s="1005"/>
      <c r="CK34" s="1005"/>
      <c r="CL34" s="1005"/>
      <c r="CM34" s="1005"/>
      <c r="CN34" s="1005"/>
      <c r="CO34" s="1005"/>
      <c r="CP34" s="1005"/>
      <c r="CQ34" s="1005"/>
      <c r="CR34" s="1005"/>
      <c r="CS34" s="1005"/>
      <c r="CT34" s="1005"/>
      <c r="CU34" s="1005"/>
      <c r="CV34" s="1005"/>
    </row>
    <row r="35" spans="1:100" s="1001" customFormat="1" x14ac:dyDescent="0.2">
      <c r="A35" s="1008" t="s">
        <v>1283</v>
      </c>
      <c r="B35" s="997"/>
      <c r="C35" s="998"/>
      <c r="D35" s="999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5"/>
      <c r="V35" s="1005"/>
      <c r="W35" s="1005"/>
      <c r="X35" s="1005"/>
      <c r="Y35" s="1005"/>
      <c r="Z35" s="1005"/>
      <c r="AA35" s="1005"/>
      <c r="AB35" s="1005"/>
      <c r="AC35" s="1005"/>
      <c r="AD35" s="1005"/>
      <c r="AE35" s="1005"/>
      <c r="AF35" s="1005"/>
      <c r="AG35" s="1005"/>
      <c r="AH35" s="1005"/>
      <c r="AI35" s="1005"/>
      <c r="AJ35" s="1005"/>
      <c r="AK35" s="1005"/>
      <c r="AL35" s="1005"/>
      <c r="AM35" s="1005"/>
      <c r="AN35" s="1005"/>
      <c r="AO35" s="1005"/>
      <c r="AP35" s="1005"/>
      <c r="AQ35" s="1005"/>
      <c r="AR35" s="1005"/>
      <c r="AS35" s="1005"/>
      <c r="AT35" s="1005"/>
      <c r="AU35" s="1005"/>
      <c r="AV35" s="1005"/>
      <c r="AW35" s="1005"/>
      <c r="AX35" s="1005"/>
      <c r="AY35" s="1005"/>
      <c r="AZ35" s="1005"/>
      <c r="BA35" s="1005"/>
      <c r="BB35" s="1005"/>
      <c r="BC35" s="1005"/>
      <c r="BD35" s="1005"/>
      <c r="BE35" s="1005"/>
      <c r="BF35" s="1005"/>
      <c r="BG35" s="1005"/>
      <c r="BH35" s="1005"/>
      <c r="BI35" s="1005"/>
      <c r="BJ35" s="1005"/>
      <c r="BK35" s="1005"/>
      <c r="BL35" s="1005"/>
      <c r="BM35" s="1005"/>
      <c r="BN35" s="1005"/>
      <c r="BO35" s="1005"/>
      <c r="BP35" s="1005"/>
      <c r="BQ35" s="1005"/>
      <c r="BR35" s="1005"/>
      <c r="BS35" s="1005"/>
      <c r="BT35" s="1005"/>
      <c r="BU35" s="1005"/>
      <c r="BV35" s="1005"/>
      <c r="BW35" s="1005"/>
      <c r="BX35" s="1005"/>
      <c r="BY35" s="1005"/>
      <c r="BZ35" s="1005"/>
      <c r="CA35" s="1005"/>
      <c r="CB35" s="1005"/>
      <c r="CC35" s="1005"/>
      <c r="CD35" s="1005"/>
      <c r="CE35" s="1005"/>
      <c r="CF35" s="1005"/>
      <c r="CG35" s="1005"/>
      <c r="CH35" s="1005"/>
      <c r="CI35" s="1005"/>
      <c r="CJ35" s="1005"/>
      <c r="CK35" s="1005"/>
      <c r="CL35" s="1005"/>
      <c r="CM35" s="1005"/>
      <c r="CN35" s="1005"/>
      <c r="CO35" s="1005"/>
      <c r="CP35" s="1005"/>
      <c r="CQ35" s="1005"/>
      <c r="CR35" s="1005"/>
      <c r="CS35" s="1005"/>
      <c r="CT35" s="1005"/>
      <c r="CU35" s="1005"/>
      <c r="CV35" s="1005"/>
    </row>
    <row r="36" spans="1:100" s="1001" customFormat="1" outlineLevel="1" x14ac:dyDescent="0.2">
      <c r="A36" s="1008"/>
      <c r="B36" s="997"/>
      <c r="C36" s="998"/>
      <c r="D36" s="999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5"/>
      <c r="V36" s="1005"/>
      <c r="W36" s="1005"/>
      <c r="X36" s="1005"/>
      <c r="Y36" s="1005"/>
      <c r="Z36" s="1005"/>
      <c r="AA36" s="1005"/>
      <c r="AB36" s="1005"/>
      <c r="AC36" s="1005"/>
      <c r="AD36" s="1005"/>
      <c r="AE36" s="1005"/>
      <c r="AF36" s="1005"/>
      <c r="AG36" s="1005"/>
      <c r="AH36" s="1005"/>
      <c r="AI36" s="1005"/>
      <c r="AJ36" s="1005"/>
      <c r="AK36" s="1005"/>
      <c r="AL36" s="1005"/>
      <c r="AM36" s="1005"/>
      <c r="AN36" s="1005"/>
      <c r="AO36" s="1005"/>
      <c r="AP36" s="1005"/>
      <c r="AQ36" s="1005"/>
      <c r="AR36" s="1005"/>
      <c r="AS36" s="1005"/>
      <c r="AT36" s="1005"/>
      <c r="AU36" s="1005"/>
      <c r="AV36" s="1005"/>
      <c r="AW36" s="1005"/>
      <c r="AX36" s="1005"/>
      <c r="AY36" s="1005"/>
      <c r="AZ36" s="1005"/>
      <c r="BA36" s="1005"/>
      <c r="BB36" s="1005"/>
      <c r="BC36" s="1005"/>
      <c r="BD36" s="1005"/>
      <c r="BE36" s="1005"/>
      <c r="BF36" s="1005"/>
      <c r="BG36" s="1005"/>
      <c r="BH36" s="1005"/>
      <c r="BI36" s="1005"/>
      <c r="BJ36" s="1005"/>
      <c r="BK36" s="1005"/>
      <c r="BL36" s="1005"/>
      <c r="BM36" s="1005"/>
      <c r="BN36" s="1005"/>
      <c r="BO36" s="1005"/>
      <c r="BP36" s="1005"/>
      <c r="BQ36" s="1005"/>
      <c r="BR36" s="1005"/>
      <c r="BS36" s="1005"/>
      <c r="BT36" s="1005"/>
      <c r="BU36" s="1005"/>
      <c r="BV36" s="1005"/>
      <c r="BW36" s="1005"/>
      <c r="BX36" s="1005"/>
      <c r="BY36" s="1005"/>
      <c r="BZ36" s="1005"/>
      <c r="CA36" s="1005"/>
      <c r="CB36" s="1005"/>
      <c r="CC36" s="1005"/>
      <c r="CD36" s="1005"/>
      <c r="CE36" s="1005"/>
      <c r="CF36" s="1005"/>
      <c r="CG36" s="1005"/>
      <c r="CH36" s="1005"/>
      <c r="CI36" s="1005"/>
      <c r="CJ36" s="1005"/>
      <c r="CK36" s="1005"/>
      <c r="CL36" s="1005"/>
      <c r="CM36" s="1005"/>
      <c r="CN36" s="1005"/>
      <c r="CO36" s="1005"/>
      <c r="CP36" s="1005"/>
      <c r="CQ36" s="1005"/>
      <c r="CR36" s="1005"/>
      <c r="CS36" s="1005"/>
      <c r="CT36" s="1005"/>
      <c r="CU36" s="1005"/>
      <c r="CV36" s="1005"/>
    </row>
    <row r="37" spans="1:100" s="1001" customFormat="1" outlineLevel="1" x14ac:dyDescent="0.2">
      <c r="A37" s="1008"/>
      <c r="B37" s="997"/>
      <c r="C37" s="998"/>
      <c r="D37" s="999"/>
      <c r="E37" s="1005" t="s">
        <v>633</v>
      </c>
      <c r="F37" s="1005">
        <f ca="1" xml:space="preserve"> F17</f>
        <v>0</v>
      </c>
      <c r="G37" s="1005" t="str">
        <f ca="1" xml:space="preserve"> G17</f>
        <v>GWh</v>
      </c>
      <c r="H37" s="1005"/>
      <c r="I37" s="1005"/>
      <c r="J37" s="1005">
        <f t="shared" ref="J37:AO37" ca="1" si="3">SUMIF($J$11:$CV$11, J$12, $J17:$CV17)</f>
        <v>0</v>
      </c>
      <c r="K37" s="1005">
        <f t="shared" ca="1" si="3"/>
        <v>0</v>
      </c>
      <c r="L37" s="1005">
        <f t="shared" ca="1" si="3"/>
        <v>0</v>
      </c>
      <c r="M37" s="1005">
        <f t="shared" ca="1" si="3"/>
        <v>1030.1759999999999</v>
      </c>
      <c r="N37" s="1005">
        <f t="shared" ca="1" si="3"/>
        <v>1028.1197604790418</v>
      </c>
      <c r="O37" s="1005">
        <f t="shared" ca="1" si="3"/>
        <v>1026.0676252285848</v>
      </c>
      <c r="P37" s="1005">
        <f t="shared" ca="1" si="3"/>
        <v>1024.0195860564718</v>
      </c>
      <c r="Q37" s="1005">
        <f t="shared" ca="1" si="3"/>
        <v>1021.975634786898</v>
      </c>
      <c r="R37" s="1005">
        <f t="shared" ca="1" si="3"/>
        <v>1019.9357632603771</v>
      </c>
      <c r="S37" s="1005">
        <f t="shared" ca="1" si="3"/>
        <v>1017.89996333371</v>
      </c>
      <c r="T37" s="1005">
        <f t="shared" ca="1" si="3"/>
        <v>1015.8682268799502</v>
      </c>
      <c r="U37" s="1005">
        <f t="shared" ca="1" si="3"/>
        <v>1013.8405457883732</v>
      </c>
      <c r="V37" s="1005">
        <f t="shared" ca="1" si="3"/>
        <v>1011.8169119644443</v>
      </c>
      <c r="W37" s="1005">
        <f t="shared" ca="1" si="3"/>
        <v>1009.797317329785</v>
      </c>
      <c r="X37" s="1005">
        <f t="shared" ca="1" si="3"/>
        <v>1007.7817538221407</v>
      </c>
      <c r="Y37" s="1005">
        <f t="shared" ca="1" si="3"/>
        <v>1005.77021339535</v>
      </c>
      <c r="Z37" s="1005">
        <f t="shared" ca="1" si="3"/>
        <v>1003.7626880193112</v>
      </c>
      <c r="AA37" s="1005">
        <f t="shared" ca="1" si="3"/>
        <v>1001.7591696799517</v>
      </c>
      <c r="AB37" s="1005">
        <f t="shared" ca="1" si="3"/>
        <v>999.75965037919298</v>
      </c>
      <c r="AC37" s="1005">
        <f t="shared" ca="1" si="3"/>
        <v>997.76412213492324</v>
      </c>
      <c r="AD37" s="1005">
        <f t="shared" ca="1" si="3"/>
        <v>995.77257698096128</v>
      </c>
      <c r="AE37" s="1005">
        <f t="shared" ca="1" si="3"/>
        <v>993.78500696702736</v>
      </c>
      <c r="AF37" s="1005">
        <f t="shared" ca="1" si="3"/>
        <v>991.80140415870994</v>
      </c>
      <c r="AG37" s="1005">
        <f t="shared" ca="1" si="3"/>
        <v>0</v>
      </c>
      <c r="AH37" s="1005">
        <f t="shared" ca="1" si="3"/>
        <v>0</v>
      </c>
      <c r="AI37" s="1005">
        <f t="shared" ca="1" si="3"/>
        <v>0</v>
      </c>
      <c r="AJ37" s="1005">
        <f t="shared" ca="1" si="3"/>
        <v>0</v>
      </c>
      <c r="AK37" s="1005">
        <f t="shared" ca="1" si="3"/>
        <v>0</v>
      </c>
      <c r="AL37" s="1005">
        <f t="shared" ca="1" si="3"/>
        <v>0</v>
      </c>
      <c r="AM37" s="1005">
        <f t="shared" ca="1" si="3"/>
        <v>0</v>
      </c>
      <c r="AN37" s="1005">
        <f t="shared" ca="1" si="3"/>
        <v>0</v>
      </c>
      <c r="AO37" s="1005">
        <f t="shared" ca="1" si="3"/>
        <v>0</v>
      </c>
      <c r="AP37" s="1005">
        <f t="shared" ref="AP37:BU37" ca="1" si="4">SUMIF($J$11:$CV$11, AP$12, $J17:$CV17)</f>
        <v>0</v>
      </c>
      <c r="AQ37" s="1005">
        <f t="shared" ca="1" si="4"/>
        <v>0</v>
      </c>
      <c r="AR37" s="1005">
        <f t="shared" ca="1" si="4"/>
        <v>0</v>
      </c>
      <c r="AS37" s="1005">
        <f t="shared" ca="1" si="4"/>
        <v>0</v>
      </c>
      <c r="AT37" s="1005">
        <f t="shared" ca="1" si="4"/>
        <v>0</v>
      </c>
      <c r="AU37" s="1005">
        <f t="shared" ca="1" si="4"/>
        <v>0</v>
      </c>
      <c r="AV37" s="1005">
        <f t="shared" ca="1" si="4"/>
        <v>0</v>
      </c>
      <c r="AW37" s="1005">
        <f t="shared" ca="1" si="4"/>
        <v>0</v>
      </c>
      <c r="AX37" s="1005">
        <f t="shared" ca="1" si="4"/>
        <v>0</v>
      </c>
      <c r="AY37" s="1005">
        <f t="shared" ca="1" si="4"/>
        <v>0</v>
      </c>
      <c r="AZ37" s="1005">
        <f t="shared" ca="1" si="4"/>
        <v>0</v>
      </c>
      <c r="BA37" s="1005">
        <f t="shared" ca="1" si="4"/>
        <v>0</v>
      </c>
      <c r="BB37" s="1005">
        <f t="shared" ca="1" si="4"/>
        <v>0</v>
      </c>
      <c r="BC37" s="1005">
        <f t="shared" ca="1" si="4"/>
        <v>0</v>
      </c>
      <c r="BD37" s="1005">
        <f t="shared" ca="1" si="4"/>
        <v>0</v>
      </c>
      <c r="BE37" s="1005">
        <f t="shared" ca="1" si="4"/>
        <v>0</v>
      </c>
      <c r="BF37" s="1005">
        <f t="shared" ca="1" si="4"/>
        <v>0</v>
      </c>
      <c r="BG37" s="1005">
        <f t="shared" ca="1" si="4"/>
        <v>0</v>
      </c>
      <c r="BH37" s="1005">
        <f t="shared" ca="1" si="4"/>
        <v>0</v>
      </c>
      <c r="BI37" s="1005">
        <f t="shared" ca="1" si="4"/>
        <v>0</v>
      </c>
      <c r="BJ37" s="1005">
        <f t="shared" ca="1" si="4"/>
        <v>0</v>
      </c>
      <c r="BK37" s="1005">
        <f t="shared" ca="1" si="4"/>
        <v>0</v>
      </c>
      <c r="BL37" s="1005">
        <f t="shared" ca="1" si="4"/>
        <v>0</v>
      </c>
      <c r="BM37" s="1005">
        <f t="shared" ca="1" si="4"/>
        <v>0</v>
      </c>
      <c r="BN37" s="1005">
        <f t="shared" ca="1" si="4"/>
        <v>0</v>
      </c>
      <c r="BO37" s="1005">
        <f t="shared" ca="1" si="4"/>
        <v>0</v>
      </c>
      <c r="BP37" s="1005">
        <f t="shared" ca="1" si="4"/>
        <v>0</v>
      </c>
      <c r="BQ37" s="1005">
        <f t="shared" ca="1" si="4"/>
        <v>0</v>
      </c>
      <c r="BR37" s="1005">
        <f t="shared" ca="1" si="4"/>
        <v>0</v>
      </c>
      <c r="BS37" s="1005">
        <f t="shared" ca="1" si="4"/>
        <v>0</v>
      </c>
      <c r="BT37" s="1005">
        <f t="shared" ca="1" si="4"/>
        <v>0</v>
      </c>
      <c r="BU37" s="1005">
        <f t="shared" ca="1" si="4"/>
        <v>0</v>
      </c>
      <c r="BV37" s="1005">
        <f t="shared" ref="BV37:CV37" ca="1" si="5">SUMIF($J$11:$CV$11, BV$12, $J17:$CV17)</f>
        <v>0</v>
      </c>
      <c r="BW37" s="1005">
        <f t="shared" ca="1" si="5"/>
        <v>0</v>
      </c>
      <c r="BX37" s="1005">
        <f t="shared" ca="1" si="5"/>
        <v>0</v>
      </c>
      <c r="BY37" s="1005">
        <f t="shared" ca="1" si="5"/>
        <v>0</v>
      </c>
      <c r="BZ37" s="1005">
        <f t="shared" ca="1" si="5"/>
        <v>0</v>
      </c>
      <c r="CA37" s="1005">
        <f t="shared" ca="1" si="5"/>
        <v>0</v>
      </c>
      <c r="CB37" s="1005">
        <f t="shared" ca="1" si="5"/>
        <v>0</v>
      </c>
      <c r="CC37" s="1005">
        <f t="shared" ca="1" si="5"/>
        <v>0</v>
      </c>
      <c r="CD37" s="1005">
        <f t="shared" ca="1" si="5"/>
        <v>0</v>
      </c>
      <c r="CE37" s="1005">
        <f t="shared" ca="1" si="5"/>
        <v>0</v>
      </c>
      <c r="CF37" s="1005">
        <f t="shared" ca="1" si="5"/>
        <v>0</v>
      </c>
      <c r="CG37" s="1005">
        <f t="shared" ca="1" si="5"/>
        <v>0</v>
      </c>
      <c r="CH37" s="1005">
        <f t="shared" ca="1" si="5"/>
        <v>0</v>
      </c>
      <c r="CI37" s="1005">
        <f t="shared" ca="1" si="5"/>
        <v>0</v>
      </c>
      <c r="CJ37" s="1005">
        <f t="shared" ca="1" si="5"/>
        <v>0</v>
      </c>
      <c r="CK37" s="1005">
        <f t="shared" ca="1" si="5"/>
        <v>0</v>
      </c>
      <c r="CL37" s="1005">
        <f t="shared" ca="1" si="5"/>
        <v>0</v>
      </c>
      <c r="CM37" s="1005">
        <f t="shared" ca="1" si="5"/>
        <v>0</v>
      </c>
      <c r="CN37" s="1005">
        <f t="shared" ca="1" si="5"/>
        <v>0</v>
      </c>
      <c r="CO37" s="1005">
        <f t="shared" ca="1" si="5"/>
        <v>0</v>
      </c>
      <c r="CP37" s="1005">
        <f t="shared" ca="1" si="5"/>
        <v>0</v>
      </c>
      <c r="CQ37" s="1005">
        <f t="shared" ca="1" si="5"/>
        <v>0</v>
      </c>
      <c r="CR37" s="1005">
        <f t="shared" ca="1" si="5"/>
        <v>0</v>
      </c>
      <c r="CS37" s="1005">
        <f t="shared" ca="1" si="5"/>
        <v>0</v>
      </c>
      <c r="CT37" s="1005">
        <f t="shared" ca="1" si="5"/>
        <v>0</v>
      </c>
      <c r="CU37" s="1005">
        <f t="shared" ca="1" si="5"/>
        <v>0</v>
      </c>
      <c r="CV37" s="1005">
        <f t="shared" ca="1" si="5"/>
        <v>0</v>
      </c>
    </row>
    <row r="38" spans="1:100" s="1001" customFormat="1" outlineLevel="1" x14ac:dyDescent="0.2">
      <c r="A38" s="1008"/>
      <c r="B38" s="997"/>
      <c r="C38" s="998"/>
      <c r="D38" s="999"/>
      <c r="E38" s="1005" t="s">
        <v>1167</v>
      </c>
      <c r="F38" s="1005">
        <f ca="1" xml:space="preserve"> F18</f>
        <v>0</v>
      </c>
      <c r="G38" s="1005" t="str">
        <f ca="1" xml:space="preserve"> G18</f>
        <v>GWh</v>
      </c>
      <c r="H38" s="1005"/>
      <c r="I38" s="1005"/>
      <c r="J38" s="1005">
        <f t="shared" ref="J38:AO38" ca="1" si="6">SUMIF($J$11:$CV$11, J$12, $J18:$CV18)</f>
        <v>0</v>
      </c>
      <c r="K38" s="1005">
        <f t="shared" ca="1" si="6"/>
        <v>0</v>
      </c>
      <c r="L38" s="1005">
        <f t="shared" ca="1" si="6"/>
        <v>0</v>
      </c>
      <c r="M38" s="1005">
        <f t="shared" ca="1" si="6"/>
        <v>838.45218020096831</v>
      </c>
      <c r="N38" s="1005">
        <f t="shared" ca="1" si="6"/>
        <v>836.77862295505815</v>
      </c>
      <c r="O38" s="1005">
        <f t="shared" ca="1" si="6"/>
        <v>835.10840614277276</v>
      </c>
      <c r="P38" s="1005">
        <f t="shared" ca="1" si="6"/>
        <v>833.44152309657954</v>
      </c>
      <c r="Q38" s="1005">
        <f t="shared" ca="1" si="6"/>
        <v>831.77796716225509</v>
      </c>
      <c r="R38" s="1005">
        <f t="shared" ca="1" si="6"/>
        <v>830.11773169885726</v>
      </c>
      <c r="S38" s="1005">
        <f t="shared" ca="1" si="6"/>
        <v>828.46081007870009</v>
      </c>
      <c r="T38" s="1005">
        <f t="shared" ca="1" si="6"/>
        <v>826.80719568732547</v>
      </c>
      <c r="U38" s="1005">
        <f t="shared" ca="1" si="6"/>
        <v>825.15688192347829</v>
      </c>
      <c r="V38" s="1005">
        <f t="shared" ca="1" si="6"/>
        <v>823.50986219908009</v>
      </c>
      <c r="W38" s="1005">
        <f t="shared" ca="1" si="6"/>
        <v>821.86612993920198</v>
      </c>
      <c r="X38" s="1005">
        <f t="shared" ca="1" si="6"/>
        <v>820.22567858203786</v>
      </c>
      <c r="Y38" s="1005">
        <f t="shared" ca="1" si="6"/>
        <v>818.58850157888003</v>
      </c>
      <c r="Z38" s="1005">
        <f t="shared" ca="1" si="6"/>
        <v>816.95459239409172</v>
      </c>
      <c r="AA38" s="1005">
        <f t="shared" ca="1" si="6"/>
        <v>815.32394450508195</v>
      </c>
      <c r="AB38" s="1005">
        <f t="shared" ca="1" si="6"/>
        <v>813.69655140227712</v>
      </c>
      <c r="AC38" s="1005">
        <f t="shared" ca="1" si="6"/>
        <v>812.07240658909905</v>
      </c>
      <c r="AD38" s="1005">
        <f t="shared" ca="1" si="6"/>
        <v>810.45150358193507</v>
      </c>
      <c r="AE38" s="1005">
        <f t="shared" ca="1" si="6"/>
        <v>808.833835910115</v>
      </c>
      <c r="AF38" s="1005">
        <f t="shared" ca="1" si="6"/>
        <v>807.21939711588323</v>
      </c>
      <c r="AG38" s="1005">
        <f t="shared" ca="1" si="6"/>
        <v>0</v>
      </c>
      <c r="AH38" s="1005">
        <f t="shared" ca="1" si="6"/>
        <v>0</v>
      </c>
      <c r="AI38" s="1005">
        <f t="shared" ca="1" si="6"/>
        <v>0</v>
      </c>
      <c r="AJ38" s="1005">
        <f t="shared" ca="1" si="6"/>
        <v>0</v>
      </c>
      <c r="AK38" s="1005">
        <f t="shared" ca="1" si="6"/>
        <v>0</v>
      </c>
      <c r="AL38" s="1005">
        <f t="shared" ca="1" si="6"/>
        <v>0</v>
      </c>
      <c r="AM38" s="1005">
        <f t="shared" ca="1" si="6"/>
        <v>0</v>
      </c>
      <c r="AN38" s="1005">
        <f t="shared" ca="1" si="6"/>
        <v>0</v>
      </c>
      <c r="AO38" s="1005">
        <f t="shared" ca="1" si="6"/>
        <v>0</v>
      </c>
      <c r="AP38" s="1005">
        <f t="shared" ref="AP38:BU38" ca="1" si="7">SUMIF($J$11:$CV$11, AP$12, $J18:$CV18)</f>
        <v>0</v>
      </c>
      <c r="AQ38" s="1005">
        <f t="shared" ca="1" si="7"/>
        <v>0</v>
      </c>
      <c r="AR38" s="1005">
        <f t="shared" ca="1" si="7"/>
        <v>0</v>
      </c>
      <c r="AS38" s="1005">
        <f t="shared" ca="1" si="7"/>
        <v>0</v>
      </c>
      <c r="AT38" s="1005">
        <f t="shared" ca="1" si="7"/>
        <v>0</v>
      </c>
      <c r="AU38" s="1005">
        <f t="shared" ca="1" si="7"/>
        <v>0</v>
      </c>
      <c r="AV38" s="1005">
        <f t="shared" ca="1" si="7"/>
        <v>0</v>
      </c>
      <c r="AW38" s="1005">
        <f t="shared" ca="1" si="7"/>
        <v>0</v>
      </c>
      <c r="AX38" s="1005">
        <f t="shared" ca="1" si="7"/>
        <v>0</v>
      </c>
      <c r="AY38" s="1005">
        <f t="shared" ca="1" si="7"/>
        <v>0</v>
      </c>
      <c r="AZ38" s="1005">
        <f t="shared" ca="1" si="7"/>
        <v>0</v>
      </c>
      <c r="BA38" s="1005">
        <f t="shared" ca="1" si="7"/>
        <v>0</v>
      </c>
      <c r="BB38" s="1005">
        <f t="shared" ca="1" si="7"/>
        <v>0</v>
      </c>
      <c r="BC38" s="1005">
        <f t="shared" ca="1" si="7"/>
        <v>0</v>
      </c>
      <c r="BD38" s="1005">
        <f t="shared" ca="1" si="7"/>
        <v>0</v>
      </c>
      <c r="BE38" s="1005">
        <f t="shared" ca="1" si="7"/>
        <v>0</v>
      </c>
      <c r="BF38" s="1005">
        <f t="shared" ca="1" si="7"/>
        <v>0</v>
      </c>
      <c r="BG38" s="1005">
        <f t="shared" ca="1" si="7"/>
        <v>0</v>
      </c>
      <c r="BH38" s="1005">
        <f t="shared" ca="1" si="7"/>
        <v>0</v>
      </c>
      <c r="BI38" s="1005">
        <f t="shared" ca="1" si="7"/>
        <v>0</v>
      </c>
      <c r="BJ38" s="1005">
        <f t="shared" ca="1" si="7"/>
        <v>0</v>
      </c>
      <c r="BK38" s="1005">
        <f t="shared" ca="1" si="7"/>
        <v>0</v>
      </c>
      <c r="BL38" s="1005">
        <f t="shared" ca="1" si="7"/>
        <v>0</v>
      </c>
      <c r="BM38" s="1005">
        <f t="shared" ca="1" si="7"/>
        <v>0</v>
      </c>
      <c r="BN38" s="1005">
        <f t="shared" ca="1" si="7"/>
        <v>0</v>
      </c>
      <c r="BO38" s="1005">
        <f t="shared" ca="1" si="7"/>
        <v>0</v>
      </c>
      <c r="BP38" s="1005">
        <f t="shared" ca="1" si="7"/>
        <v>0</v>
      </c>
      <c r="BQ38" s="1005">
        <f t="shared" ca="1" si="7"/>
        <v>0</v>
      </c>
      <c r="BR38" s="1005">
        <f t="shared" ca="1" si="7"/>
        <v>0</v>
      </c>
      <c r="BS38" s="1005">
        <f t="shared" ca="1" si="7"/>
        <v>0</v>
      </c>
      <c r="BT38" s="1005">
        <f t="shared" ca="1" si="7"/>
        <v>0</v>
      </c>
      <c r="BU38" s="1005">
        <f t="shared" ca="1" si="7"/>
        <v>0</v>
      </c>
      <c r="BV38" s="1005">
        <f t="shared" ref="BV38:CV38" ca="1" si="8">SUMIF($J$11:$CV$11, BV$12, $J18:$CV18)</f>
        <v>0</v>
      </c>
      <c r="BW38" s="1005">
        <f t="shared" ca="1" si="8"/>
        <v>0</v>
      </c>
      <c r="BX38" s="1005">
        <f t="shared" ca="1" si="8"/>
        <v>0</v>
      </c>
      <c r="BY38" s="1005">
        <f t="shared" ca="1" si="8"/>
        <v>0</v>
      </c>
      <c r="BZ38" s="1005">
        <f t="shared" ca="1" si="8"/>
        <v>0</v>
      </c>
      <c r="CA38" s="1005">
        <f t="shared" ca="1" si="8"/>
        <v>0</v>
      </c>
      <c r="CB38" s="1005">
        <f t="shared" ca="1" si="8"/>
        <v>0</v>
      </c>
      <c r="CC38" s="1005">
        <f t="shared" ca="1" si="8"/>
        <v>0</v>
      </c>
      <c r="CD38" s="1005">
        <f t="shared" ca="1" si="8"/>
        <v>0</v>
      </c>
      <c r="CE38" s="1005">
        <f t="shared" ca="1" si="8"/>
        <v>0</v>
      </c>
      <c r="CF38" s="1005">
        <f t="shared" ca="1" si="8"/>
        <v>0</v>
      </c>
      <c r="CG38" s="1005">
        <f t="shared" ca="1" si="8"/>
        <v>0</v>
      </c>
      <c r="CH38" s="1005">
        <f t="shared" ca="1" si="8"/>
        <v>0</v>
      </c>
      <c r="CI38" s="1005">
        <f t="shared" ca="1" si="8"/>
        <v>0</v>
      </c>
      <c r="CJ38" s="1005">
        <f t="shared" ca="1" si="8"/>
        <v>0</v>
      </c>
      <c r="CK38" s="1005">
        <f t="shared" ca="1" si="8"/>
        <v>0</v>
      </c>
      <c r="CL38" s="1005">
        <f t="shared" ca="1" si="8"/>
        <v>0</v>
      </c>
      <c r="CM38" s="1005">
        <f t="shared" ca="1" si="8"/>
        <v>0</v>
      </c>
      <c r="CN38" s="1005">
        <f t="shared" ca="1" si="8"/>
        <v>0</v>
      </c>
      <c r="CO38" s="1005">
        <f t="shared" ca="1" si="8"/>
        <v>0</v>
      </c>
      <c r="CP38" s="1005">
        <f t="shared" ca="1" si="8"/>
        <v>0</v>
      </c>
      <c r="CQ38" s="1005">
        <f t="shared" ca="1" si="8"/>
        <v>0</v>
      </c>
      <c r="CR38" s="1005">
        <f t="shared" ca="1" si="8"/>
        <v>0</v>
      </c>
      <c r="CS38" s="1005">
        <f t="shared" ca="1" si="8"/>
        <v>0</v>
      </c>
      <c r="CT38" s="1005">
        <f t="shared" ca="1" si="8"/>
        <v>0</v>
      </c>
      <c r="CU38" s="1005">
        <f t="shared" ca="1" si="8"/>
        <v>0</v>
      </c>
      <c r="CV38" s="1005">
        <f t="shared" ca="1" si="8"/>
        <v>0</v>
      </c>
    </row>
    <row r="39" spans="1:100" s="1001" customFormat="1" outlineLevel="1" x14ac:dyDescent="0.2">
      <c r="A39" s="1008"/>
      <c r="B39" s="997"/>
      <c r="C39" s="998"/>
      <c r="D39" s="999"/>
      <c r="E39" s="1005"/>
      <c r="F39" s="1005"/>
      <c r="G39" s="1005"/>
      <c r="H39" s="1005"/>
      <c r="I39" s="1005"/>
      <c r="J39" s="1005"/>
      <c r="K39" s="1005"/>
      <c r="L39" s="1005"/>
      <c r="M39" s="1005"/>
      <c r="N39" s="1005"/>
      <c r="O39" s="1005"/>
      <c r="P39" s="1005"/>
      <c r="Q39" s="1005"/>
      <c r="R39" s="1005"/>
      <c r="S39" s="1005"/>
      <c r="T39" s="1005"/>
      <c r="U39" s="1005"/>
      <c r="V39" s="1005"/>
      <c r="W39" s="1005"/>
      <c r="X39" s="1005"/>
      <c r="Y39" s="1005"/>
      <c r="Z39" s="1005"/>
      <c r="AA39" s="1005"/>
      <c r="AB39" s="1005"/>
      <c r="AC39" s="1005"/>
      <c r="AD39" s="1005"/>
      <c r="AE39" s="1005"/>
      <c r="AF39" s="1005"/>
      <c r="AG39" s="1005"/>
      <c r="AH39" s="1005"/>
      <c r="AI39" s="1005"/>
      <c r="AJ39" s="1005"/>
      <c r="AK39" s="1005"/>
      <c r="AL39" s="1005"/>
      <c r="AM39" s="1005"/>
      <c r="AN39" s="1005"/>
      <c r="AO39" s="1005"/>
      <c r="AP39" s="1005"/>
      <c r="AQ39" s="1005"/>
      <c r="AR39" s="1005"/>
      <c r="AS39" s="1005"/>
      <c r="AT39" s="1005"/>
      <c r="AU39" s="1005"/>
      <c r="AV39" s="1005"/>
      <c r="AW39" s="1005"/>
      <c r="AX39" s="1005"/>
      <c r="AY39" s="1005"/>
      <c r="AZ39" s="1005"/>
      <c r="BA39" s="1005"/>
      <c r="BB39" s="1005"/>
      <c r="BC39" s="1005"/>
      <c r="BD39" s="1005"/>
      <c r="BE39" s="1005"/>
      <c r="BF39" s="1005"/>
      <c r="BG39" s="1005"/>
      <c r="BH39" s="1005"/>
      <c r="BI39" s="1005"/>
      <c r="BJ39" s="1005"/>
      <c r="BK39" s="1005"/>
      <c r="BL39" s="1005"/>
      <c r="BM39" s="1005"/>
      <c r="BN39" s="1005"/>
      <c r="BO39" s="1005"/>
      <c r="BP39" s="1005"/>
      <c r="BQ39" s="1005"/>
      <c r="BR39" s="1005"/>
      <c r="BS39" s="1005"/>
      <c r="BT39" s="1005"/>
      <c r="BU39" s="1005"/>
      <c r="BV39" s="1005"/>
      <c r="BW39" s="1005"/>
      <c r="BX39" s="1005"/>
      <c r="BY39" s="1005"/>
      <c r="BZ39" s="1005"/>
      <c r="CA39" s="1005"/>
      <c r="CB39" s="1005"/>
      <c r="CC39" s="1005"/>
      <c r="CD39" s="1005"/>
      <c r="CE39" s="1005"/>
      <c r="CF39" s="1005"/>
      <c r="CG39" s="1005"/>
      <c r="CH39" s="1005"/>
      <c r="CI39" s="1005"/>
      <c r="CJ39" s="1005"/>
      <c r="CK39" s="1005"/>
      <c r="CL39" s="1005"/>
      <c r="CM39" s="1005"/>
      <c r="CN39" s="1005"/>
      <c r="CO39" s="1005"/>
      <c r="CP39" s="1005"/>
      <c r="CQ39" s="1005"/>
      <c r="CR39" s="1005"/>
      <c r="CS39" s="1005"/>
      <c r="CT39" s="1005"/>
      <c r="CU39" s="1005"/>
      <c r="CV39" s="1005"/>
    </row>
    <row r="40" spans="1:100" s="1001" customFormat="1" outlineLevel="1" x14ac:dyDescent="0.2">
      <c r="A40" s="1008"/>
      <c r="B40" s="997"/>
      <c r="C40" s="998"/>
      <c r="D40" s="999"/>
      <c r="E40" s="1005" t="s">
        <v>786</v>
      </c>
      <c r="F40" s="1005"/>
      <c r="G40" s="1005" t="str">
        <f>SMU</f>
        <v>$ 000s</v>
      </c>
      <c r="H40" s="1005"/>
      <c r="I40" s="1005"/>
      <c r="J40" s="1005">
        <f t="shared" ref="J40:AP40" ca="1" si="9">SUMIF($J$11:$CV$11, J$12, $J20:$CV20)</f>
        <v>-1.5558398445136845E-6</v>
      </c>
      <c r="K40" s="1005">
        <f t="shared" ca="1" si="9"/>
        <v>-2.9221020668046549E-5</v>
      </c>
      <c r="L40" s="1005">
        <f t="shared" ca="1" si="9"/>
        <v>-3.9870376494945958E-3</v>
      </c>
      <c r="M40" s="1005">
        <f t="shared" ca="1" si="9"/>
        <v>33468.747997357961</v>
      </c>
      <c r="N40" s="1005">
        <f t="shared" ca="1" si="9"/>
        <v>31334.224312474544</v>
      </c>
      <c r="O40" s="1005">
        <f t="shared" ca="1" si="9"/>
        <v>31093.501426743605</v>
      </c>
      <c r="P40" s="1005">
        <f t="shared" ca="1" si="9"/>
        <v>30870.713773099989</v>
      </c>
      <c r="Q40" s="1005">
        <f t="shared" ca="1" si="9"/>
        <v>30581.594452750451</v>
      </c>
      <c r="R40" s="1005">
        <f t="shared" ca="1" si="9"/>
        <v>30352.376830135414</v>
      </c>
      <c r="S40" s="1005">
        <f t="shared" ca="1" si="9"/>
        <v>30098.7913245175</v>
      </c>
      <c r="T40" s="1005">
        <f t="shared" ca="1" si="9"/>
        <v>29862.178432370143</v>
      </c>
      <c r="U40" s="1005">
        <f t="shared" ca="1" si="9"/>
        <v>29561.023764665159</v>
      </c>
      <c r="V40" s="1005">
        <f t="shared" ca="1" si="9"/>
        <v>29317.418128556259</v>
      </c>
      <c r="W40" s="1005">
        <f t="shared" ca="1" si="9"/>
        <v>29049.844230461909</v>
      </c>
      <c r="X40" s="1005">
        <f t="shared" ca="1" si="9"/>
        <v>28798.219838275996</v>
      </c>
      <c r="Y40" s="1005">
        <f t="shared" ca="1" si="9"/>
        <v>28483.934326269795</v>
      </c>
      <c r="Z40" s="1005">
        <f t="shared" ca="1" si="9"/>
        <v>28224.707919219112</v>
      </c>
      <c r="AA40" s="1005">
        <f t="shared" ca="1" si="9"/>
        <v>27941.926845778755</v>
      </c>
      <c r="AB40" s="1005">
        <f t="shared" ca="1" si="9"/>
        <v>27674.006503329198</v>
      </c>
      <c r="AC40" s="1005">
        <f t="shared" ca="1" si="9"/>
        <v>27345.404468574467</v>
      </c>
      <c r="AD40" s="1005">
        <f t="shared" ca="1" si="9"/>
        <v>27069.222485523365</v>
      </c>
      <c r="AE40" s="1005">
        <f t="shared" ca="1" si="9"/>
        <v>26769.914724217451</v>
      </c>
      <c r="AF40" s="1005">
        <f t="shared" ca="1" si="9"/>
        <v>29751.560035711533</v>
      </c>
      <c r="AG40" s="1005">
        <f t="shared" ca="1" si="9"/>
        <v>0</v>
      </c>
      <c r="AH40" s="1005">
        <f t="shared" ca="1" si="9"/>
        <v>0</v>
      </c>
      <c r="AI40" s="1005">
        <f t="shared" ca="1" si="9"/>
        <v>0</v>
      </c>
      <c r="AJ40" s="1005">
        <f t="shared" ca="1" si="9"/>
        <v>0</v>
      </c>
      <c r="AK40" s="1005">
        <f t="shared" ca="1" si="9"/>
        <v>0</v>
      </c>
      <c r="AL40" s="1005">
        <f t="shared" ca="1" si="9"/>
        <v>0</v>
      </c>
      <c r="AM40" s="1005">
        <f t="shared" ca="1" si="9"/>
        <v>0</v>
      </c>
      <c r="AN40" s="1005">
        <f t="shared" ca="1" si="9"/>
        <v>0</v>
      </c>
      <c r="AO40" s="1005">
        <f t="shared" ca="1" si="9"/>
        <v>0</v>
      </c>
      <c r="AP40" s="1005">
        <f t="shared" ca="1" si="9"/>
        <v>0</v>
      </c>
      <c r="AQ40" s="1010"/>
      <c r="AR40" s="1010"/>
      <c r="AS40" s="1010"/>
      <c r="AT40" s="1010"/>
      <c r="AU40" s="1010"/>
      <c r="AV40" s="1010"/>
      <c r="AW40" s="1010"/>
      <c r="AX40" s="1010"/>
      <c r="AY40" s="1010"/>
      <c r="AZ40" s="1010"/>
      <c r="BA40" s="1010"/>
      <c r="BB40" s="1010"/>
      <c r="BC40" s="1010"/>
      <c r="BD40" s="1010"/>
      <c r="BE40" s="1010"/>
      <c r="BF40" s="1010"/>
      <c r="BG40" s="1010"/>
      <c r="BH40" s="1010"/>
      <c r="BI40" s="1010"/>
      <c r="BJ40" s="1010"/>
      <c r="BK40" s="1010"/>
      <c r="BL40" s="1010"/>
      <c r="BM40" s="1010"/>
      <c r="BN40" s="1010"/>
      <c r="BO40" s="1010"/>
      <c r="BP40" s="1010"/>
      <c r="BQ40" s="1010"/>
      <c r="BR40" s="1010"/>
      <c r="BS40" s="1010"/>
      <c r="BT40" s="1010"/>
      <c r="BU40" s="1010"/>
      <c r="BV40" s="1010"/>
      <c r="BW40" s="1010"/>
      <c r="BX40" s="1010"/>
      <c r="BY40" s="1010"/>
      <c r="BZ40" s="1010"/>
      <c r="CA40" s="1010"/>
      <c r="CB40" s="1010"/>
      <c r="CC40" s="1010"/>
      <c r="CD40" s="1010"/>
      <c r="CE40" s="1010"/>
      <c r="CF40" s="1010"/>
      <c r="CG40" s="1010"/>
      <c r="CH40" s="1010"/>
      <c r="CI40" s="1010"/>
      <c r="CJ40" s="1010"/>
      <c r="CK40" s="1010"/>
      <c r="CL40" s="1010"/>
      <c r="CM40" s="1010"/>
      <c r="CN40" s="1010"/>
      <c r="CO40" s="1010"/>
      <c r="CP40" s="1010"/>
      <c r="CQ40" s="1010"/>
      <c r="CR40" s="1010"/>
      <c r="CS40" s="1010"/>
      <c r="CT40" s="1010"/>
      <c r="CU40" s="1010"/>
      <c r="CV40" s="1010"/>
    </row>
    <row r="41" spans="1:100" s="1001" customFormat="1" outlineLevel="1" x14ac:dyDescent="0.2">
      <c r="A41" s="1008"/>
      <c r="B41" s="997"/>
      <c r="C41" s="998"/>
      <c r="D41" s="999"/>
      <c r="E41" s="1005" t="s">
        <v>787</v>
      </c>
      <c r="F41" s="1005"/>
      <c r="G41" s="1005" t="str">
        <f>SMU</f>
        <v>$ 000s</v>
      </c>
      <c r="H41" s="1005"/>
      <c r="I41" s="1005"/>
      <c r="J41" s="1005">
        <f t="shared" ref="J41:AP41" ca="1" si="10">SUMIF($J$11:$CV$11, J$12, $J21:$CV21)</f>
        <v>0</v>
      </c>
      <c r="K41" s="1005">
        <f t="shared" ca="1" si="10"/>
        <v>0</v>
      </c>
      <c r="L41" s="1005">
        <f t="shared" ca="1" si="10"/>
        <v>0</v>
      </c>
      <c r="M41" s="1005">
        <f t="shared" ca="1" si="10"/>
        <v>23906.249670564208</v>
      </c>
      <c r="N41" s="1005">
        <f t="shared" ca="1" si="10"/>
        <v>22381.589857677805</v>
      </c>
      <c r="O41" s="1005">
        <f t="shared" ca="1" si="10"/>
        <v>22209.644958698162</v>
      </c>
      <c r="P41" s="1005">
        <f t="shared" ca="1" si="10"/>
        <v>22050.510939841224</v>
      </c>
      <c r="Q41" s="1005">
        <f t="shared" ca="1" si="10"/>
        <v>21843.997155393376</v>
      </c>
      <c r="R41" s="1005">
        <f t="shared" ca="1" si="10"/>
        <v>21680.270304689911</v>
      </c>
      <c r="S41" s="1005">
        <f t="shared" ca="1" si="10"/>
        <v>21499.137816129522</v>
      </c>
      <c r="T41" s="1005">
        <f t="shared" ca="1" si="10"/>
        <v>21330.128622375974</v>
      </c>
      <c r="U41" s="1005">
        <f t="shared" ca="1" si="10"/>
        <v>21115.018155389385</v>
      </c>
      <c r="V41" s="1005">
        <f t="shared" ca="1" si="10"/>
        <v>20941.014140040268</v>
      </c>
      <c r="W41" s="1005">
        <f t="shared" ca="1" si="10"/>
        <v>20749.889950240329</v>
      </c>
      <c r="X41" s="1005">
        <f t="shared" ca="1" si="10"/>
        <v>20570.158248384141</v>
      </c>
      <c r="Y41" s="1005">
        <f t="shared" ca="1" si="10"/>
        <v>20345.668597525007</v>
      </c>
      <c r="Z41" s="1005">
        <f t="shared" ca="1" si="10"/>
        <v>20160.506878596912</v>
      </c>
      <c r="AA41" s="1005">
        <f t="shared" ca="1" si="10"/>
        <v>19958.520394322964</v>
      </c>
      <c r="AB41" s="1005">
        <f t="shared" ca="1" si="10"/>
        <v>19767.152145899498</v>
      </c>
      <c r="AC41" s="1005">
        <f t="shared" ca="1" si="10"/>
        <v>19532.441854054472</v>
      </c>
      <c r="AD41" s="1005">
        <f t="shared" ca="1" si="10"/>
        <v>-4.0165336161519219E-4</v>
      </c>
      <c r="AE41" s="1005">
        <f t="shared" ca="1" si="10"/>
        <v>-4.0165336161519219E-4</v>
      </c>
      <c r="AF41" s="1005">
        <f t="shared" ca="1" si="10"/>
        <v>-4.0275378178400092E-4</v>
      </c>
      <c r="AG41" s="1005">
        <f t="shared" ca="1" si="10"/>
        <v>0</v>
      </c>
      <c r="AH41" s="1005">
        <f t="shared" ca="1" si="10"/>
        <v>0</v>
      </c>
      <c r="AI41" s="1005">
        <f t="shared" ca="1" si="10"/>
        <v>0</v>
      </c>
      <c r="AJ41" s="1005">
        <f t="shared" ca="1" si="10"/>
        <v>0</v>
      </c>
      <c r="AK41" s="1005">
        <f t="shared" ca="1" si="10"/>
        <v>0</v>
      </c>
      <c r="AL41" s="1005">
        <f t="shared" ca="1" si="10"/>
        <v>0</v>
      </c>
      <c r="AM41" s="1005">
        <f t="shared" ca="1" si="10"/>
        <v>0</v>
      </c>
      <c r="AN41" s="1005">
        <f t="shared" ca="1" si="10"/>
        <v>0</v>
      </c>
      <c r="AO41" s="1005">
        <f t="shared" ca="1" si="10"/>
        <v>0</v>
      </c>
      <c r="AP41" s="1005">
        <f t="shared" ca="1" si="10"/>
        <v>0</v>
      </c>
      <c r="AQ41" s="1010"/>
      <c r="AR41" s="1010"/>
      <c r="AS41" s="1010"/>
      <c r="AT41" s="1010"/>
      <c r="AU41" s="1010"/>
      <c r="AV41" s="1010"/>
      <c r="AW41" s="1010"/>
      <c r="AX41" s="1010"/>
      <c r="AY41" s="1010"/>
      <c r="AZ41" s="1010"/>
      <c r="BA41" s="1010"/>
      <c r="BB41" s="1010"/>
      <c r="BC41" s="1010"/>
      <c r="BD41" s="1010"/>
      <c r="BE41" s="1010"/>
      <c r="BF41" s="1010"/>
      <c r="BG41" s="1010"/>
      <c r="BH41" s="1010"/>
      <c r="BI41" s="1010"/>
      <c r="BJ41" s="1010"/>
      <c r="BK41" s="1010"/>
      <c r="BL41" s="1010"/>
      <c r="BM41" s="1010"/>
      <c r="BN41" s="1010"/>
      <c r="BO41" s="1010"/>
      <c r="BP41" s="1010"/>
      <c r="BQ41" s="1010"/>
      <c r="BR41" s="1010"/>
      <c r="BS41" s="1010"/>
      <c r="BT41" s="1010"/>
      <c r="BU41" s="1010"/>
      <c r="BV41" s="1010"/>
      <c r="BW41" s="1010"/>
      <c r="BX41" s="1010"/>
      <c r="BY41" s="1010"/>
      <c r="BZ41" s="1010"/>
      <c r="CA41" s="1010"/>
      <c r="CB41" s="1010"/>
      <c r="CC41" s="1010"/>
      <c r="CD41" s="1010"/>
      <c r="CE41" s="1010"/>
      <c r="CF41" s="1010"/>
      <c r="CG41" s="1010"/>
      <c r="CH41" s="1010"/>
      <c r="CI41" s="1010"/>
      <c r="CJ41" s="1010"/>
      <c r="CK41" s="1010"/>
      <c r="CL41" s="1010"/>
      <c r="CM41" s="1010"/>
      <c r="CN41" s="1010"/>
      <c r="CO41" s="1010"/>
      <c r="CP41" s="1010"/>
      <c r="CQ41" s="1010"/>
      <c r="CR41" s="1010"/>
      <c r="CS41" s="1010"/>
      <c r="CT41" s="1010"/>
      <c r="CU41" s="1010"/>
      <c r="CV41" s="1010"/>
    </row>
    <row r="42" spans="1:100" s="1001" customFormat="1" outlineLevel="1" x14ac:dyDescent="0.2">
      <c r="A42" s="1008"/>
      <c r="B42" s="997"/>
      <c r="C42" s="998"/>
      <c r="D42" s="999"/>
      <c r="E42" s="1005"/>
      <c r="F42" s="1005"/>
      <c r="G42" s="1005"/>
      <c r="H42" s="1005"/>
      <c r="I42" s="1005"/>
      <c r="J42" s="1005"/>
      <c r="K42" s="1005"/>
      <c r="L42" s="1005"/>
      <c r="M42" s="1005"/>
      <c r="N42" s="1005"/>
      <c r="O42" s="1005"/>
      <c r="P42" s="1005"/>
      <c r="Q42" s="1005"/>
      <c r="R42" s="1005"/>
      <c r="S42" s="1005"/>
      <c r="T42" s="1005"/>
      <c r="U42" s="1005"/>
      <c r="V42" s="1005"/>
      <c r="W42" s="1005"/>
      <c r="X42" s="1005"/>
      <c r="Y42" s="1005"/>
      <c r="Z42" s="1005"/>
      <c r="AA42" s="1005"/>
      <c r="AB42" s="1005"/>
      <c r="AC42" s="1005"/>
      <c r="AD42" s="1005"/>
      <c r="AE42" s="1005"/>
      <c r="AF42" s="1005"/>
      <c r="AG42" s="1005"/>
      <c r="AH42" s="1005"/>
      <c r="AI42" s="1005"/>
      <c r="AJ42" s="1005"/>
      <c r="AK42" s="1005"/>
      <c r="AL42" s="1005"/>
      <c r="AM42" s="1005"/>
      <c r="AN42" s="1005"/>
      <c r="AO42" s="1005"/>
      <c r="AP42" s="1005"/>
      <c r="AQ42" s="1005"/>
      <c r="AR42" s="1005"/>
      <c r="AS42" s="1005"/>
      <c r="AT42" s="1005"/>
      <c r="AU42" s="1005"/>
      <c r="AV42" s="1005"/>
      <c r="AW42" s="1005"/>
      <c r="AX42" s="1005"/>
      <c r="AY42" s="1005"/>
      <c r="AZ42" s="1005"/>
      <c r="BA42" s="1005"/>
      <c r="BB42" s="1005"/>
      <c r="BC42" s="1005"/>
      <c r="BD42" s="1005"/>
      <c r="BE42" s="1005"/>
      <c r="BF42" s="1005"/>
      <c r="BG42" s="1005"/>
      <c r="BH42" s="1005"/>
      <c r="BI42" s="1005"/>
      <c r="BJ42" s="1005"/>
      <c r="BK42" s="1005"/>
      <c r="BL42" s="1005"/>
      <c r="BM42" s="1005"/>
      <c r="BN42" s="1005"/>
      <c r="BO42" s="1005"/>
      <c r="BP42" s="1005"/>
      <c r="BQ42" s="1005"/>
      <c r="BR42" s="1005"/>
      <c r="BS42" s="1005"/>
      <c r="BT42" s="1005"/>
      <c r="BU42" s="1005"/>
      <c r="BV42" s="1005"/>
      <c r="BW42" s="1005"/>
      <c r="BX42" s="1005"/>
      <c r="BY42" s="1005"/>
      <c r="BZ42" s="1005"/>
      <c r="CA42" s="1005"/>
      <c r="CB42" s="1005"/>
      <c r="CC42" s="1005"/>
      <c r="CD42" s="1005"/>
      <c r="CE42" s="1005"/>
      <c r="CF42" s="1005"/>
      <c r="CG42" s="1005"/>
      <c r="CH42" s="1005"/>
      <c r="CI42" s="1005"/>
      <c r="CJ42" s="1005"/>
      <c r="CK42" s="1005"/>
      <c r="CL42" s="1005"/>
      <c r="CM42" s="1005"/>
      <c r="CN42" s="1005"/>
      <c r="CO42" s="1005"/>
      <c r="CP42" s="1005"/>
      <c r="CQ42" s="1005"/>
      <c r="CR42" s="1005"/>
      <c r="CS42" s="1005"/>
      <c r="CT42" s="1005"/>
      <c r="CU42" s="1005"/>
      <c r="CV42" s="1005"/>
    </row>
    <row r="43" spans="1:100" s="1001" customFormat="1" outlineLevel="1" x14ac:dyDescent="0.2">
      <c r="A43" s="1008"/>
      <c r="B43" s="1008"/>
      <c r="C43" s="1017"/>
      <c r="D43" s="1018"/>
      <c r="E43" s="1019" t="s">
        <v>348</v>
      </c>
      <c r="F43" s="1005"/>
      <c r="G43" s="1005" t="str">
        <f>SMU</f>
        <v>$ 000s</v>
      </c>
      <c r="H43" s="1005"/>
      <c r="I43" s="1005"/>
      <c r="J43" s="1005">
        <f t="shared" ref="J43:AP43" ca="1" si="11">SUMIF($J$11:$CV$11, J$12, $J23:$CV23)</f>
        <v>0</v>
      </c>
      <c r="K43" s="1005">
        <f t="shared" ca="1" si="11"/>
        <v>0</v>
      </c>
      <c r="L43" s="1005">
        <f t="shared" ca="1" si="11"/>
        <v>0</v>
      </c>
      <c r="M43" s="1005">
        <f t="shared" ca="1" si="11"/>
        <v>9377.5005671291856</v>
      </c>
      <c r="N43" s="1005">
        <f t="shared" ca="1" si="11"/>
        <v>8822.6192523653299</v>
      </c>
      <c r="O43" s="1005">
        <f t="shared" ca="1" si="11"/>
        <v>8758.4907204090086</v>
      </c>
      <c r="P43" s="1005">
        <f t="shared" ca="1" si="11"/>
        <v>8729.406814200498</v>
      </c>
      <c r="Q43" s="1005">
        <f t="shared" ca="1" si="11"/>
        <v>8637.6763396451333</v>
      </c>
      <c r="R43" s="1005">
        <f t="shared" ca="1" si="11"/>
        <v>8585.2751046497415</v>
      </c>
      <c r="S43" s="1005">
        <f t="shared" ca="1" si="11"/>
        <v>8519.4799931640973</v>
      </c>
      <c r="T43" s="1005">
        <f t="shared" ca="1" si="11"/>
        <v>8487.6744858786951</v>
      </c>
      <c r="U43" s="1005">
        <f t="shared" ca="1" si="11"/>
        <v>8395.076554580337</v>
      </c>
      <c r="V43" s="1005">
        <f t="shared" ca="1" si="11"/>
        <v>8348.1047430651688</v>
      </c>
      <c r="W43" s="1005">
        <f t="shared" ca="1" si="11"/>
        <v>8274.7557748994113</v>
      </c>
      <c r="X43" s="1005">
        <f t="shared" ca="1" si="11"/>
        <v>8240.6105069607274</v>
      </c>
      <c r="Y43" s="1005">
        <f t="shared" ca="1" si="11"/>
        <v>8147.6290010888169</v>
      </c>
      <c r="Z43" s="1005">
        <f t="shared" ca="1" si="11"/>
        <v>8098.8119937501306</v>
      </c>
      <c r="AA43" s="1005">
        <f t="shared" ca="1" si="11"/>
        <v>8030.1995383415833</v>
      </c>
      <c r="AB43" s="1005">
        <f t="shared" ca="1" si="11"/>
        <v>7993.0882092172233</v>
      </c>
      <c r="AC43" s="1005">
        <f t="shared" ca="1" si="11"/>
        <v>17565.645727618437</v>
      </c>
      <c r="AD43" s="1005">
        <f t="shared" ca="1" si="11"/>
        <v>19758.183754718546</v>
      </c>
      <c r="AE43" s="1005">
        <f t="shared" ca="1" si="11"/>
        <v>18863.539080430062</v>
      </c>
      <c r="AF43" s="1005">
        <f t="shared" ca="1" si="11"/>
        <v>17895.441473552892</v>
      </c>
      <c r="AG43" s="1005">
        <f t="shared" ca="1" si="11"/>
        <v>0</v>
      </c>
      <c r="AH43" s="1005">
        <f t="shared" ca="1" si="11"/>
        <v>0</v>
      </c>
      <c r="AI43" s="1005">
        <f t="shared" ca="1" si="11"/>
        <v>0</v>
      </c>
      <c r="AJ43" s="1005">
        <f t="shared" ca="1" si="11"/>
        <v>0</v>
      </c>
      <c r="AK43" s="1005">
        <f t="shared" ca="1" si="11"/>
        <v>0</v>
      </c>
      <c r="AL43" s="1005">
        <f t="shared" ca="1" si="11"/>
        <v>0</v>
      </c>
      <c r="AM43" s="1005">
        <f t="shared" ca="1" si="11"/>
        <v>0</v>
      </c>
      <c r="AN43" s="1005">
        <f t="shared" ca="1" si="11"/>
        <v>0</v>
      </c>
      <c r="AO43" s="1005">
        <f t="shared" ca="1" si="11"/>
        <v>0</v>
      </c>
      <c r="AP43" s="1005">
        <f t="shared" ca="1" si="11"/>
        <v>0</v>
      </c>
      <c r="AQ43" s="1010"/>
      <c r="AR43" s="1010"/>
      <c r="AS43" s="1010"/>
      <c r="AT43" s="1010"/>
      <c r="AU43" s="1010"/>
      <c r="AV43" s="1010"/>
      <c r="AW43" s="1010"/>
      <c r="AX43" s="1010"/>
      <c r="AY43" s="1010"/>
      <c r="AZ43" s="1010"/>
      <c r="BA43" s="1010"/>
      <c r="BB43" s="1010"/>
      <c r="BC43" s="1010"/>
      <c r="BD43" s="1010"/>
      <c r="BE43" s="1010"/>
      <c r="BF43" s="1010"/>
      <c r="BG43" s="1010"/>
      <c r="BH43" s="1010"/>
      <c r="BI43" s="1010"/>
      <c r="BJ43" s="1010"/>
      <c r="BK43" s="1010"/>
      <c r="BL43" s="1010"/>
      <c r="BM43" s="1010"/>
      <c r="BN43" s="1010"/>
      <c r="BO43" s="1010"/>
      <c r="BP43" s="1010"/>
      <c r="BQ43" s="1010"/>
      <c r="BR43" s="1010"/>
      <c r="BS43" s="1010"/>
      <c r="BT43" s="1010"/>
      <c r="BU43" s="1010"/>
      <c r="BV43" s="1010"/>
      <c r="BW43" s="1010"/>
      <c r="BX43" s="1010"/>
      <c r="BY43" s="1010"/>
      <c r="BZ43" s="1010"/>
      <c r="CA43" s="1010"/>
      <c r="CB43" s="1010"/>
      <c r="CC43" s="1010"/>
      <c r="CD43" s="1010"/>
      <c r="CE43" s="1010"/>
      <c r="CF43" s="1010"/>
      <c r="CG43" s="1010"/>
      <c r="CH43" s="1010"/>
      <c r="CI43" s="1010"/>
      <c r="CJ43" s="1010"/>
      <c r="CK43" s="1010"/>
      <c r="CL43" s="1010"/>
      <c r="CM43" s="1010"/>
      <c r="CN43" s="1010"/>
      <c r="CO43" s="1010"/>
      <c r="CP43" s="1010"/>
      <c r="CQ43" s="1010"/>
      <c r="CR43" s="1010"/>
      <c r="CS43" s="1010"/>
      <c r="CT43" s="1010"/>
      <c r="CU43" s="1010"/>
      <c r="CV43" s="1010"/>
    </row>
    <row r="44" spans="1:100" s="1020" customFormat="1" outlineLevel="1" x14ac:dyDescent="0.2">
      <c r="A44" s="1008"/>
      <c r="B44" s="1008"/>
      <c r="C44" s="1017"/>
      <c r="D44" s="1018"/>
      <c r="E44" s="1098" t="s">
        <v>351</v>
      </c>
      <c r="F44" s="1019"/>
      <c r="G44" s="1005" t="str">
        <f>SMU</f>
        <v>$ 000s</v>
      </c>
      <c r="H44" s="1019"/>
      <c r="I44" s="1019"/>
      <c r="J44" s="1019">
        <f t="shared" ref="J44:AP44" ca="1" si="12">SUMIF($J$11:$CV$11, J$12, $J24:$CV24)</f>
        <v>0</v>
      </c>
      <c r="K44" s="1019">
        <f t="shared" ca="1" si="12"/>
        <v>0</v>
      </c>
      <c r="L44" s="1019">
        <f t="shared" ca="1" si="12"/>
        <v>0</v>
      </c>
      <c r="M44" s="1019">
        <f t="shared" ca="1" si="12"/>
        <v>0</v>
      </c>
      <c r="N44" s="1019">
        <f t="shared" ca="1" si="12"/>
        <v>0</v>
      </c>
      <c r="O44" s="1019">
        <f t="shared" ca="1" si="12"/>
        <v>0</v>
      </c>
      <c r="P44" s="1019">
        <f t="shared" ca="1" si="12"/>
        <v>0</v>
      </c>
      <c r="Q44" s="1019">
        <f t="shared" ca="1" si="12"/>
        <v>0</v>
      </c>
      <c r="R44" s="1019">
        <f t="shared" ca="1" si="12"/>
        <v>0</v>
      </c>
      <c r="S44" s="1019">
        <f t="shared" ca="1" si="12"/>
        <v>0</v>
      </c>
      <c r="T44" s="1019">
        <f t="shared" ca="1" si="12"/>
        <v>0</v>
      </c>
      <c r="U44" s="1019">
        <f t="shared" ca="1" si="12"/>
        <v>0</v>
      </c>
      <c r="V44" s="1019">
        <f t="shared" ca="1" si="12"/>
        <v>0</v>
      </c>
      <c r="W44" s="1019">
        <f t="shared" ca="1" si="12"/>
        <v>0</v>
      </c>
      <c r="X44" s="1019">
        <f t="shared" ca="1" si="12"/>
        <v>0</v>
      </c>
      <c r="Y44" s="1019">
        <f t="shared" ca="1" si="12"/>
        <v>0</v>
      </c>
      <c r="Z44" s="1019">
        <f t="shared" ca="1" si="12"/>
        <v>0</v>
      </c>
      <c r="AA44" s="1019">
        <f t="shared" ca="1" si="12"/>
        <v>0</v>
      </c>
      <c r="AB44" s="1019">
        <f t="shared" ca="1" si="12"/>
        <v>0</v>
      </c>
      <c r="AC44" s="1019">
        <f t="shared" ca="1" si="12"/>
        <v>0</v>
      </c>
      <c r="AD44" s="1019">
        <f t="shared" ca="1" si="12"/>
        <v>7311.039140655188</v>
      </c>
      <c r="AE44" s="1019">
        <f t="shared" ca="1" si="12"/>
        <v>7906.3760536377595</v>
      </c>
      <c r="AF44" s="1019">
        <f t="shared" ca="1" si="12"/>
        <v>11856.118973131888</v>
      </c>
      <c r="AG44" s="1019">
        <f t="shared" ca="1" si="12"/>
        <v>0</v>
      </c>
      <c r="AH44" s="1019">
        <f t="shared" ca="1" si="12"/>
        <v>0</v>
      </c>
      <c r="AI44" s="1019">
        <f t="shared" ca="1" si="12"/>
        <v>0</v>
      </c>
      <c r="AJ44" s="1019">
        <f t="shared" ca="1" si="12"/>
        <v>0</v>
      </c>
      <c r="AK44" s="1019">
        <f t="shared" ca="1" si="12"/>
        <v>0</v>
      </c>
      <c r="AL44" s="1019">
        <f t="shared" ca="1" si="12"/>
        <v>0</v>
      </c>
      <c r="AM44" s="1019">
        <f t="shared" ca="1" si="12"/>
        <v>0</v>
      </c>
      <c r="AN44" s="1019">
        <f t="shared" ca="1" si="12"/>
        <v>0</v>
      </c>
      <c r="AO44" s="1019">
        <f t="shared" ca="1" si="12"/>
        <v>0</v>
      </c>
      <c r="AP44" s="1019">
        <f t="shared" ca="1" si="12"/>
        <v>0</v>
      </c>
      <c r="AQ44" s="1019"/>
      <c r="AR44" s="1019"/>
      <c r="AS44" s="1019"/>
      <c r="AT44" s="1019"/>
      <c r="AU44" s="1019"/>
      <c r="AV44" s="1019"/>
      <c r="AW44" s="1019"/>
      <c r="AX44" s="1019"/>
      <c r="AY44" s="1019"/>
      <c r="AZ44" s="1019"/>
      <c r="BA44" s="1019"/>
      <c r="BB44" s="1019"/>
      <c r="BC44" s="1019"/>
      <c r="BD44" s="1019"/>
      <c r="BE44" s="1019"/>
      <c r="BF44" s="1019"/>
      <c r="BG44" s="1019"/>
      <c r="BH44" s="1019"/>
      <c r="BI44" s="1019"/>
      <c r="BJ44" s="1019"/>
      <c r="BK44" s="1019"/>
      <c r="BL44" s="1019"/>
      <c r="BM44" s="1019"/>
      <c r="BN44" s="1019"/>
      <c r="BO44" s="1019"/>
      <c r="BP44" s="1019"/>
      <c r="BQ44" s="1019"/>
      <c r="BR44" s="1019"/>
      <c r="BS44" s="1019"/>
      <c r="BT44" s="1019"/>
      <c r="BU44" s="1019"/>
      <c r="BV44" s="1019"/>
      <c r="BW44" s="1019"/>
      <c r="BX44" s="1019"/>
      <c r="BY44" s="1019"/>
      <c r="BZ44" s="1019"/>
      <c r="CA44" s="1019"/>
      <c r="CB44" s="1019"/>
      <c r="CC44" s="1019"/>
      <c r="CD44" s="1019"/>
      <c r="CE44" s="1019"/>
      <c r="CF44" s="1019"/>
      <c r="CG44" s="1019"/>
      <c r="CH44" s="1019"/>
      <c r="CI44" s="1019"/>
      <c r="CJ44" s="1019"/>
      <c r="CK44" s="1019"/>
      <c r="CL44" s="1019"/>
      <c r="CM44" s="1019"/>
      <c r="CN44" s="1019"/>
      <c r="CO44" s="1019"/>
      <c r="CP44" s="1019"/>
      <c r="CQ44" s="1019"/>
      <c r="CR44" s="1019"/>
      <c r="CS44" s="1019"/>
      <c r="CT44" s="1019"/>
      <c r="CU44" s="1019"/>
      <c r="CV44" s="1019"/>
    </row>
    <row r="45" spans="1:100" s="1001" customFormat="1" outlineLevel="1" x14ac:dyDescent="0.2">
      <c r="A45" s="1008"/>
      <c r="B45" s="997"/>
      <c r="C45" s="998"/>
      <c r="D45" s="999"/>
      <c r="E45" s="1005" t="s">
        <v>788</v>
      </c>
      <c r="F45" s="1005"/>
      <c r="G45" s="1005" t="str">
        <f>SMU</f>
        <v>$ 000s</v>
      </c>
      <c r="H45" s="1005"/>
      <c r="I45" s="1005"/>
      <c r="J45" s="1005">
        <f t="shared" ref="J45:AP45" ca="1" si="13">SUMIF($J$11:$CV$11, J$12, $J25:$CV25)</f>
        <v>0</v>
      </c>
      <c r="K45" s="1005">
        <f t="shared" ca="1" si="13"/>
        <v>0</v>
      </c>
      <c r="L45" s="1005">
        <f t="shared" ca="1" si="13"/>
        <v>0</v>
      </c>
      <c r="M45" s="1005">
        <f t="shared" ca="1" si="13"/>
        <v>0</v>
      </c>
      <c r="N45" s="1005">
        <f t="shared" ca="1" si="13"/>
        <v>0</v>
      </c>
      <c r="O45" s="1005">
        <f t="shared" ca="1" si="13"/>
        <v>0</v>
      </c>
      <c r="P45" s="1005">
        <f t="shared" ca="1" si="13"/>
        <v>0</v>
      </c>
      <c r="Q45" s="1005">
        <f t="shared" ca="1" si="13"/>
        <v>0</v>
      </c>
      <c r="R45" s="1005">
        <f t="shared" ca="1" si="13"/>
        <v>0</v>
      </c>
      <c r="S45" s="1005">
        <f t="shared" ca="1" si="13"/>
        <v>0</v>
      </c>
      <c r="T45" s="1005">
        <f t="shared" ca="1" si="13"/>
        <v>0</v>
      </c>
      <c r="U45" s="1005">
        <f t="shared" ca="1" si="13"/>
        <v>0</v>
      </c>
      <c r="V45" s="1005">
        <f t="shared" ca="1" si="13"/>
        <v>0</v>
      </c>
      <c r="W45" s="1005">
        <f t="shared" ca="1" si="13"/>
        <v>0</v>
      </c>
      <c r="X45" s="1005">
        <f t="shared" ca="1" si="13"/>
        <v>0</v>
      </c>
      <c r="Y45" s="1005">
        <f t="shared" ca="1" si="13"/>
        <v>0</v>
      </c>
      <c r="Z45" s="1005">
        <f t="shared" ca="1" si="13"/>
        <v>0</v>
      </c>
      <c r="AA45" s="1005">
        <f t="shared" ca="1" si="13"/>
        <v>0</v>
      </c>
      <c r="AB45" s="1005">
        <f t="shared" ca="1" si="13"/>
        <v>0</v>
      </c>
      <c r="AC45" s="1005">
        <f t="shared" ca="1" si="13"/>
        <v>0</v>
      </c>
      <c r="AD45" s="1005">
        <f t="shared" ca="1" si="13"/>
        <v>0</v>
      </c>
      <c r="AE45" s="1005">
        <f t="shared" ca="1" si="13"/>
        <v>0</v>
      </c>
      <c r="AF45" s="1005">
        <f t="shared" ca="1" si="13"/>
        <v>0</v>
      </c>
      <c r="AG45" s="1005">
        <f t="shared" ca="1" si="13"/>
        <v>0</v>
      </c>
      <c r="AH45" s="1005">
        <f t="shared" ca="1" si="13"/>
        <v>0</v>
      </c>
      <c r="AI45" s="1005">
        <f t="shared" ca="1" si="13"/>
        <v>0</v>
      </c>
      <c r="AJ45" s="1005">
        <f t="shared" ca="1" si="13"/>
        <v>0</v>
      </c>
      <c r="AK45" s="1005">
        <f t="shared" ca="1" si="13"/>
        <v>0</v>
      </c>
      <c r="AL45" s="1005">
        <f t="shared" ca="1" si="13"/>
        <v>0</v>
      </c>
      <c r="AM45" s="1005">
        <f t="shared" ca="1" si="13"/>
        <v>0</v>
      </c>
      <c r="AN45" s="1005">
        <f t="shared" ca="1" si="13"/>
        <v>0</v>
      </c>
      <c r="AO45" s="1005">
        <f t="shared" ca="1" si="13"/>
        <v>0</v>
      </c>
      <c r="AP45" s="1005">
        <f t="shared" ca="1" si="13"/>
        <v>0</v>
      </c>
      <c r="AQ45" s="1010"/>
      <c r="AR45" s="1010"/>
      <c r="AS45" s="1010"/>
      <c r="AT45" s="1010"/>
      <c r="AU45" s="1010"/>
      <c r="AV45" s="1010"/>
      <c r="AW45" s="1010"/>
      <c r="AX45" s="1010"/>
      <c r="AY45" s="1010"/>
      <c r="AZ45" s="1010"/>
      <c r="BA45" s="1010"/>
      <c r="BB45" s="1010"/>
      <c r="BC45" s="1010"/>
      <c r="BD45" s="1010"/>
      <c r="BE45" s="1010"/>
      <c r="BF45" s="1010"/>
      <c r="BG45" s="1010"/>
      <c r="BH45" s="1010"/>
      <c r="BI45" s="1010"/>
      <c r="BJ45" s="1010"/>
      <c r="BK45" s="1010"/>
      <c r="BL45" s="1010"/>
      <c r="BM45" s="1010"/>
      <c r="BN45" s="1010"/>
      <c r="BO45" s="1010"/>
      <c r="BP45" s="1010"/>
      <c r="BQ45" s="1010"/>
      <c r="BR45" s="1010"/>
      <c r="BS45" s="1010"/>
      <c r="BT45" s="1010"/>
      <c r="BU45" s="1010"/>
      <c r="BV45" s="1010"/>
      <c r="BW45" s="1010"/>
      <c r="BX45" s="1010"/>
      <c r="BY45" s="1010"/>
      <c r="BZ45" s="1010"/>
      <c r="CA45" s="1010"/>
      <c r="CB45" s="1010"/>
      <c r="CC45" s="1010"/>
      <c r="CD45" s="1010"/>
      <c r="CE45" s="1010"/>
      <c r="CF45" s="1010"/>
      <c r="CG45" s="1010"/>
      <c r="CH45" s="1010"/>
      <c r="CI45" s="1010"/>
      <c r="CJ45" s="1010"/>
      <c r="CK45" s="1010"/>
      <c r="CL45" s="1010"/>
      <c r="CM45" s="1010"/>
      <c r="CN45" s="1010"/>
      <c r="CO45" s="1010"/>
      <c r="CP45" s="1010"/>
      <c r="CQ45" s="1010"/>
      <c r="CR45" s="1010"/>
      <c r="CS45" s="1010"/>
      <c r="CT45" s="1010"/>
      <c r="CU45" s="1010"/>
      <c r="CV45" s="1010"/>
    </row>
    <row r="46" spans="1:100" s="1001" customFormat="1" outlineLevel="1" x14ac:dyDescent="0.2">
      <c r="A46" s="1008"/>
      <c r="B46" s="997"/>
      <c r="C46" s="998"/>
      <c r="D46" s="999"/>
      <c r="E46" s="1005"/>
      <c r="F46" s="1005"/>
      <c r="G46" s="1005"/>
      <c r="H46" s="1005"/>
      <c r="I46" s="1005"/>
      <c r="J46" s="1005"/>
      <c r="K46" s="1005"/>
      <c r="L46" s="1005"/>
      <c r="M46" s="1005"/>
      <c r="N46" s="1005"/>
      <c r="O46" s="1005"/>
      <c r="P46" s="1005"/>
      <c r="Q46" s="1005"/>
      <c r="R46" s="1005"/>
      <c r="S46" s="1005"/>
      <c r="T46" s="1005"/>
      <c r="U46" s="1005"/>
      <c r="V46" s="1005"/>
      <c r="W46" s="1005"/>
      <c r="X46" s="1005"/>
      <c r="Y46" s="1005"/>
      <c r="Z46" s="1005"/>
      <c r="AA46" s="1005"/>
      <c r="AB46" s="1005"/>
      <c r="AC46" s="1005"/>
      <c r="AD46" s="1005"/>
      <c r="AE46" s="1005"/>
      <c r="AF46" s="1005"/>
      <c r="AG46" s="1005"/>
      <c r="AH46" s="1005"/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5"/>
      <c r="AX46" s="1005"/>
      <c r="AY46" s="1005"/>
      <c r="AZ46" s="1005"/>
      <c r="BA46" s="1005"/>
      <c r="BB46" s="1005"/>
      <c r="BC46" s="1005"/>
      <c r="BD46" s="1005"/>
      <c r="BE46" s="1005"/>
      <c r="BF46" s="1005"/>
      <c r="BG46" s="1005"/>
      <c r="BH46" s="1005"/>
      <c r="BI46" s="1005"/>
      <c r="BJ46" s="1005"/>
      <c r="BK46" s="1005"/>
      <c r="BL46" s="1005"/>
      <c r="BM46" s="1005"/>
      <c r="BN46" s="1005"/>
      <c r="BO46" s="1005"/>
      <c r="BP46" s="1005"/>
      <c r="BQ46" s="1005"/>
      <c r="BR46" s="1005"/>
      <c r="BS46" s="1005"/>
      <c r="BT46" s="1005"/>
      <c r="BU46" s="1005"/>
      <c r="BV46" s="1005"/>
      <c r="BW46" s="1005"/>
      <c r="BX46" s="1005"/>
      <c r="BY46" s="1005"/>
      <c r="BZ46" s="1005"/>
      <c r="CA46" s="1005"/>
      <c r="CB46" s="1005"/>
      <c r="CC46" s="1005"/>
      <c r="CD46" s="1005"/>
      <c r="CE46" s="1005"/>
      <c r="CF46" s="1005"/>
      <c r="CG46" s="1005"/>
      <c r="CH46" s="1005"/>
      <c r="CI46" s="1005"/>
      <c r="CJ46" s="1005"/>
      <c r="CK46" s="1005"/>
      <c r="CL46" s="1005"/>
      <c r="CM46" s="1005"/>
      <c r="CN46" s="1005"/>
      <c r="CO46" s="1005"/>
      <c r="CP46" s="1005"/>
      <c r="CQ46" s="1005"/>
      <c r="CR46" s="1005"/>
      <c r="CS46" s="1005"/>
      <c r="CT46" s="1005"/>
      <c r="CU46" s="1005"/>
      <c r="CV46" s="1005"/>
    </row>
    <row r="47" spans="1:100" s="1001" customFormat="1" outlineLevel="1" x14ac:dyDescent="0.2">
      <c r="A47" s="1008"/>
      <c r="B47" s="1008"/>
      <c r="C47" s="1017"/>
      <c r="D47" s="1018"/>
      <c r="E47" s="1099" t="s">
        <v>627</v>
      </c>
      <c r="F47" s="1005"/>
      <c r="G47" s="1005" t="str">
        <f>SMU</f>
        <v>$ 000s</v>
      </c>
      <c r="H47" s="1005"/>
      <c r="I47" s="1005"/>
      <c r="J47" s="1005">
        <f t="shared" ref="J47:AO47" ca="1" si="14">SUMIF($J$11:$CV$11, J$12, $J27:$CV27)</f>
        <v>0</v>
      </c>
      <c r="K47" s="1005">
        <f t="shared" ca="1" si="14"/>
        <v>0</v>
      </c>
      <c r="L47" s="1005">
        <f t="shared" ca="1" si="14"/>
        <v>0</v>
      </c>
      <c r="M47" s="1005">
        <f t="shared" ca="1" si="14"/>
        <v>40202.135459230951</v>
      </c>
      <c r="N47" s="1005">
        <f t="shared" ca="1" si="14"/>
        <v>40137.279495159593</v>
      </c>
      <c r="O47" s="1005">
        <f t="shared" ca="1" si="14"/>
        <v>40072.829412001607</v>
      </c>
      <c r="P47" s="1005">
        <f t="shared" ca="1" si="14"/>
        <v>40008.789365385921</v>
      </c>
      <c r="Q47" s="1005">
        <f t="shared" ca="1" si="14"/>
        <v>39945.16359185231</v>
      </c>
      <c r="R47" s="1005">
        <f t="shared" ca="1" si="14"/>
        <v>39881.95641029231</v>
      </c>
      <c r="S47" s="1005">
        <f t="shared" ca="1" si="14"/>
        <v>39819.172223416143</v>
      </c>
      <c r="T47" s="1005">
        <f t="shared" ca="1" si="14"/>
        <v>39756.815519245974</v>
      </c>
      <c r="U47" s="1005">
        <f t="shared" ca="1" si="14"/>
        <v>39694.890872636126</v>
      </c>
      <c r="V47" s="1005">
        <f t="shared" ca="1" si="14"/>
        <v>39633.402946820446</v>
      </c>
      <c r="W47" s="1005">
        <f t="shared" ca="1" si="14"/>
        <v>39572.356494987704</v>
      </c>
      <c r="X47" s="1005">
        <f t="shared" ca="1" si="14"/>
        <v>39511.756361885055</v>
      </c>
      <c r="Y47" s="1005">
        <f t="shared" ca="1" si="14"/>
        <v>39451.607485450615</v>
      </c>
      <c r="Z47" s="1005">
        <f t="shared" ca="1" si="14"/>
        <v>39391.914898475232</v>
      </c>
      <c r="AA47" s="1005">
        <f t="shared" ca="1" si="14"/>
        <v>39332.683730294084</v>
      </c>
      <c r="AB47" s="1005">
        <f t="shared" ca="1" si="14"/>
        <v>39273.919208508807</v>
      </c>
      <c r="AC47" s="1005">
        <f t="shared" ca="1" si="14"/>
        <v>39215.626660740607</v>
      </c>
      <c r="AD47" s="1005">
        <f t="shared" ca="1" si="14"/>
        <v>39157.811516414724</v>
      </c>
      <c r="AE47" s="1005">
        <f t="shared" ca="1" si="14"/>
        <v>39100.479308577087</v>
      </c>
      <c r="AF47" s="1005">
        <f t="shared" ca="1" si="14"/>
        <v>39043.635675743673</v>
      </c>
      <c r="AG47" s="1005">
        <f t="shared" ca="1" si="14"/>
        <v>0</v>
      </c>
      <c r="AH47" s="1005">
        <f t="shared" ca="1" si="14"/>
        <v>0</v>
      </c>
      <c r="AI47" s="1005">
        <f t="shared" ca="1" si="14"/>
        <v>0</v>
      </c>
      <c r="AJ47" s="1005">
        <f t="shared" ca="1" si="14"/>
        <v>0</v>
      </c>
      <c r="AK47" s="1005">
        <f t="shared" ca="1" si="14"/>
        <v>0</v>
      </c>
      <c r="AL47" s="1005">
        <f t="shared" ca="1" si="14"/>
        <v>0</v>
      </c>
      <c r="AM47" s="1005">
        <f t="shared" ca="1" si="14"/>
        <v>0</v>
      </c>
      <c r="AN47" s="1005">
        <f t="shared" ca="1" si="14"/>
        <v>0</v>
      </c>
      <c r="AO47" s="1005">
        <f t="shared" ca="1" si="14"/>
        <v>0</v>
      </c>
      <c r="AP47" s="1005">
        <f t="shared" ref="AP47:BU47" ca="1" si="15">SUMIF($J$11:$CV$11, AP$12, $J27:$CV27)</f>
        <v>0</v>
      </c>
      <c r="AQ47" s="1005">
        <f t="shared" ca="1" si="15"/>
        <v>0</v>
      </c>
      <c r="AR47" s="1005">
        <f t="shared" ca="1" si="15"/>
        <v>0</v>
      </c>
      <c r="AS47" s="1005">
        <f t="shared" ca="1" si="15"/>
        <v>0</v>
      </c>
      <c r="AT47" s="1005">
        <f t="shared" ca="1" si="15"/>
        <v>0</v>
      </c>
      <c r="AU47" s="1005">
        <f t="shared" ca="1" si="15"/>
        <v>0</v>
      </c>
      <c r="AV47" s="1005">
        <f t="shared" ca="1" si="15"/>
        <v>0</v>
      </c>
      <c r="AW47" s="1005">
        <f t="shared" ca="1" si="15"/>
        <v>0</v>
      </c>
      <c r="AX47" s="1005">
        <f t="shared" ca="1" si="15"/>
        <v>0</v>
      </c>
      <c r="AY47" s="1005">
        <f t="shared" ca="1" si="15"/>
        <v>0</v>
      </c>
      <c r="AZ47" s="1005">
        <f t="shared" ca="1" si="15"/>
        <v>0</v>
      </c>
      <c r="BA47" s="1005">
        <f t="shared" ca="1" si="15"/>
        <v>0</v>
      </c>
      <c r="BB47" s="1005">
        <f t="shared" ca="1" si="15"/>
        <v>0</v>
      </c>
      <c r="BC47" s="1005">
        <f t="shared" ca="1" si="15"/>
        <v>0</v>
      </c>
      <c r="BD47" s="1005">
        <f t="shared" ca="1" si="15"/>
        <v>0</v>
      </c>
      <c r="BE47" s="1005">
        <f t="shared" ca="1" si="15"/>
        <v>0</v>
      </c>
      <c r="BF47" s="1005">
        <f t="shared" ca="1" si="15"/>
        <v>0</v>
      </c>
      <c r="BG47" s="1005">
        <f t="shared" ca="1" si="15"/>
        <v>0</v>
      </c>
      <c r="BH47" s="1005">
        <f t="shared" ca="1" si="15"/>
        <v>0</v>
      </c>
      <c r="BI47" s="1005">
        <f t="shared" ca="1" si="15"/>
        <v>0</v>
      </c>
      <c r="BJ47" s="1005">
        <f t="shared" ca="1" si="15"/>
        <v>0</v>
      </c>
      <c r="BK47" s="1005">
        <f t="shared" ca="1" si="15"/>
        <v>0</v>
      </c>
      <c r="BL47" s="1005">
        <f t="shared" ca="1" si="15"/>
        <v>0</v>
      </c>
      <c r="BM47" s="1005">
        <f t="shared" ca="1" si="15"/>
        <v>0</v>
      </c>
      <c r="BN47" s="1005">
        <f t="shared" ca="1" si="15"/>
        <v>0</v>
      </c>
      <c r="BO47" s="1005">
        <f t="shared" ca="1" si="15"/>
        <v>0</v>
      </c>
      <c r="BP47" s="1005">
        <f t="shared" ca="1" si="15"/>
        <v>0</v>
      </c>
      <c r="BQ47" s="1005">
        <f t="shared" ca="1" si="15"/>
        <v>0</v>
      </c>
      <c r="BR47" s="1005">
        <f t="shared" ca="1" si="15"/>
        <v>0</v>
      </c>
      <c r="BS47" s="1005">
        <f t="shared" ca="1" si="15"/>
        <v>0</v>
      </c>
      <c r="BT47" s="1005">
        <f t="shared" ca="1" si="15"/>
        <v>0</v>
      </c>
      <c r="BU47" s="1005">
        <f t="shared" ca="1" si="15"/>
        <v>0</v>
      </c>
      <c r="BV47" s="1005">
        <f t="shared" ref="BV47:CV47" ca="1" si="16">SUMIF($J$11:$CV$11, BV$12, $J27:$CV27)</f>
        <v>0</v>
      </c>
      <c r="BW47" s="1005">
        <f t="shared" ca="1" si="16"/>
        <v>0</v>
      </c>
      <c r="BX47" s="1005">
        <f t="shared" ca="1" si="16"/>
        <v>0</v>
      </c>
      <c r="BY47" s="1005">
        <f t="shared" ca="1" si="16"/>
        <v>0</v>
      </c>
      <c r="BZ47" s="1005">
        <f t="shared" ca="1" si="16"/>
        <v>0</v>
      </c>
      <c r="CA47" s="1005">
        <f t="shared" ca="1" si="16"/>
        <v>0</v>
      </c>
      <c r="CB47" s="1005">
        <f t="shared" ca="1" si="16"/>
        <v>0</v>
      </c>
      <c r="CC47" s="1005">
        <f t="shared" ca="1" si="16"/>
        <v>0</v>
      </c>
      <c r="CD47" s="1005">
        <f t="shared" ca="1" si="16"/>
        <v>0</v>
      </c>
      <c r="CE47" s="1005">
        <f t="shared" ca="1" si="16"/>
        <v>0</v>
      </c>
      <c r="CF47" s="1005">
        <f t="shared" ca="1" si="16"/>
        <v>0</v>
      </c>
      <c r="CG47" s="1005">
        <f t="shared" ca="1" si="16"/>
        <v>0</v>
      </c>
      <c r="CH47" s="1005">
        <f t="shared" ca="1" si="16"/>
        <v>0</v>
      </c>
      <c r="CI47" s="1005">
        <f t="shared" ca="1" si="16"/>
        <v>0</v>
      </c>
      <c r="CJ47" s="1005">
        <f t="shared" ca="1" si="16"/>
        <v>0</v>
      </c>
      <c r="CK47" s="1005">
        <f t="shared" ca="1" si="16"/>
        <v>0</v>
      </c>
      <c r="CL47" s="1005">
        <f t="shared" ca="1" si="16"/>
        <v>0</v>
      </c>
      <c r="CM47" s="1005">
        <f t="shared" ca="1" si="16"/>
        <v>0</v>
      </c>
      <c r="CN47" s="1005">
        <f t="shared" ca="1" si="16"/>
        <v>0</v>
      </c>
      <c r="CO47" s="1005">
        <f t="shared" ca="1" si="16"/>
        <v>0</v>
      </c>
      <c r="CP47" s="1005">
        <f t="shared" ca="1" si="16"/>
        <v>0</v>
      </c>
      <c r="CQ47" s="1005">
        <f t="shared" ca="1" si="16"/>
        <v>0</v>
      </c>
      <c r="CR47" s="1005">
        <f t="shared" ca="1" si="16"/>
        <v>0</v>
      </c>
      <c r="CS47" s="1005">
        <f t="shared" ca="1" si="16"/>
        <v>0</v>
      </c>
      <c r="CT47" s="1005">
        <f t="shared" ca="1" si="16"/>
        <v>0</v>
      </c>
      <c r="CU47" s="1005">
        <f t="shared" ca="1" si="16"/>
        <v>0</v>
      </c>
      <c r="CV47" s="1005">
        <f t="shared" ca="1" si="16"/>
        <v>0</v>
      </c>
    </row>
    <row r="48" spans="1:100" s="1001" customFormat="1" outlineLevel="1" x14ac:dyDescent="0.2">
      <c r="A48" s="1008"/>
      <c r="B48" s="997"/>
      <c r="C48" s="998"/>
      <c r="D48" s="999"/>
      <c r="E48" s="1005"/>
      <c r="F48" s="1005"/>
      <c r="G48" s="1005"/>
      <c r="H48" s="1005"/>
      <c r="I48" s="1005"/>
      <c r="J48" s="1005"/>
      <c r="K48" s="1005"/>
      <c r="L48" s="1005"/>
      <c r="M48" s="1005"/>
      <c r="N48" s="1005"/>
      <c r="O48" s="1005"/>
      <c r="P48" s="1005"/>
      <c r="Q48" s="1005"/>
      <c r="R48" s="1005"/>
      <c r="S48" s="1005"/>
      <c r="T48" s="1005"/>
      <c r="U48" s="1005"/>
      <c r="V48" s="1005"/>
      <c r="W48" s="1005"/>
      <c r="X48" s="1005"/>
      <c r="Y48" s="1005"/>
      <c r="Z48" s="1005"/>
      <c r="AA48" s="1005"/>
      <c r="AB48" s="1005"/>
      <c r="AC48" s="1005"/>
      <c r="AD48" s="1005"/>
      <c r="AE48" s="1005"/>
      <c r="AF48" s="1005"/>
      <c r="AG48" s="1005"/>
      <c r="AH48" s="1005"/>
      <c r="AI48" s="1005"/>
      <c r="AJ48" s="1005"/>
      <c r="AK48" s="1005"/>
      <c r="AL48" s="1005"/>
      <c r="AM48" s="1005"/>
      <c r="AN48" s="1005"/>
      <c r="AO48" s="1005"/>
      <c r="AP48" s="1005"/>
      <c r="AQ48" s="1005"/>
      <c r="AR48" s="1005"/>
      <c r="AS48" s="1005"/>
      <c r="AT48" s="1005"/>
      <c r="AU48" s="1005"/>
      <c r="AV48" s="1005"/>
      <c r="AW48" s="1005"/>
      <c r="AX48" s="1005"/>
      <c r="AY48" s="1005"/>
      <c r="AZ48" s="1005"/>
      <c r="BA48" s="1005"/>
      <c r="BB48" s="1005"/>
      <c r="BC48" s="1005"/>
      <c r="BD48" s="1005"/>
      <c r="BE48" s="1005"/>
      <c r="BF48" s="1005"/>
      <c r="BG48" s="1005"/>
      <c r="BH48" s="1005"/>
      <c r="BI48" s="1005"/>
      <c r="BJ48" s="1005"/>
      <c r="BK48" s="1005"/>
      <c r="BL48" s="1005"/>
      <c r="BM48" s="1005"/>
      <c r="BN48" s="1005"/>
      <c r="BO48" s="1005"/>
      <c r="BP48" s="1005"/>
      <c r="BQ48" s="1005"/>
      <c r="BR48" s="1005"/>
      <c r="BS48" s="1005"/>
      <c r="BT48" s="1005"/>
      <c r="BU48" s="1005"/>
      <c r="BV48" s="1005"/>
      <c r="BW48" s="1005"/>
      <c r="BX48" s="1005"/>
      <c r="BY48" s="1005"/>
      <c r="BZ48" s="1005"/>
      <c r="CA48" s="1005"/>
      <c r="CB48" s="1005"/>
      <c r="CC48" s="1005"/>
      <c r="CD48" s="1005"/>
      <c r="CE48" s="1005"/>
      <c r="CF48" s="1005"/>
      <c r="CG48" s="1005"/>
      <c r="CH48" s="1005"/>
      <c r="CI48" s="1005"/>
      <c r="CJ48" s="1005"/>
      <c r="CK48" s="1005"/>
      <c r="CL48" s="1005"/>
      <c r="CM48" s="1005"/>
      <c r="CN48" s="1005"/>
      <c r="CO48" s="1005"/>
      <c r="CP48" s="1005"/>
      <c r="CQ48" s="1005"/>
      <c r="CR48" s="1005"/>
      <c r="CS48" s="1005"/>
      <c r="CT48" s="1005"/>
      <c r="CU48" s="1005"/>
      <c r="CV48" s="1005"/>
    </row>
    <row r="49" spans="1:100" s="1001" customFormat="1" outlineLevel="1" x14ac:dyDescent="0.2">
      <c r="A49" s="1008"/>
      <c r="B49" s="997"/>
      <c r="C49" s="998"/>
      <c r="D49" s="999"/>
      <c r="E49" s="1005" t="s">
        <v>789</v>
      </c>
      <c r="F49" s="1005"/>
      <c r="G49" s="1005" t="str">
        <f>SMU</f>
        <v>$ 000s</v>
      </c>
      <c r="H49" s="1005"/>
      <c r="I49" s="1005"/>
      <c r="J49" s="1005">
        <f t="shared" ref="J49:AO49" ca="1" si="17">SUMIF($J$11:$CV$11, J$12, $J29:$CV29)</f>
        <v>0</v>
      </c>
      <c r="K49" s="1005">
        <f t="shared" ca="1" si="17"/>
        <v>0</v>
      </c>
      <c r="L49" s="1005">
        <f t="shared" ca="1" si="17"/>
        <v>0</v>
      </c>
      <c r="M49" s="1005">
        <f t="shared" ca="1" si="17"/>
        <v>8118.2411999999995</v>
      </c>
      <c r="N49" s="1005">
        <f t="shared" ca="1" si="17"/>
        <v>8280.6060240000006</v>
      </c>
      <c r="O49" s="1005">
        <f t="shared" ca="1" si="17"/>
        <v>8446.2181444800008</v>
      </c>
      <c r="P49" s="1005">
        <f t="shared" ca="1" si="17"/>
        <v>8615.1425073695991</v>
      </c>
      <c r="Q49" s="1005">
        <f t="shared" ca="1" si="17"/>
        <v>8787.4453575169919</v>
      </c>
      <c r="R49" s="1005">
        <f t="shared" ca="1" si="17"/>
        <v>8963.1942646673306</v>
      </c>
      <c r="S49" s="1005">
        <f t="shared" ca="1" si="17"/>
        <v>9142.4581499606775</v>
      </c>
      <c r="T49" s="1005">
        <f t="shared" ca="1" si="17"/>
        <v>9325.3073129598906</v>
      </c>
      <c r="U49" s="1005">
        <f t="shared" ca="1" si="17"/>
        <v>9511.8134592190891</v>
      </c>
      <c r="V49" s="1005">
        <f t="shared" ca="1" si="17"/>
        <v>9702.04972840347</v>
      </c>
      <c r="W49" s="1005">
        <f t="shared" ca="1" si="17"/>
        <v>9896.0907229715413</v>
      </c>
      <c r="X49" s="1005">
        <f t="shared" ca="1" si="17"/>
        <v>10094.01253743097</v>
      </c>
      <c r="Y49" s="1005">
        <f t="shared" ca="1" si="17"/>
        <v>10295.89278817959</v>
      </c>
      <c r="Z49" s="1005">
        <f t="shared" ca="1" si="17"/>
        <v>10501.810643943183</v>
      </c>
      <c r="AA49" s="1005">
        <f t="shared" ca="1" si="17"/>
        <v>10711.846856822045</v>
      </c>
      <c r="AB49" s="1005">
        <f t="shared" ca="1" si="17"/>
        <v>10926.083793958485</v>
      </c>
      <c r="AC49" s="1005">
        <f t="shared" ca="1" si="17"/>
        <v>11144.605469837657</v>
      </c>
      <c r="AD49" s="1005">
        <f t="shared" ca="1" si="17"/>
        <v>11367.497579234408</v>
      </c>
      <c r="AE49" s="1005">
        <f t="shared" ca="1" si="17"/>
        <v>11594.847530819097</v>
      </c>
      <c r="AF49" s="1005">
        <f t="shared" ca="1" si="17"/>
        <v>11826.744481435479</v>
      </c>
      <c r="AG49" s="1005">
        <f t="shared" ca="1" si="17"/>
        <v>0</v>
      </c>
      <c r="AH49" s="1005">
        <f t="shared" ca="1" si="17"/>
        <v>0</v>
      </c>
      <c r="AI49" s="1005">
        <f t="shared" ca="1" si="17"/>
        <v>0</v>
      </c>
      <c r="AJ49" s="1005">
        <f t="shared" ca="1" si="17"/>
        <v>0</v>
      </c>
      <c r="AK49" s="1005">
        <f t="shared" ca="1" si="17"/>
        <v>0</v>
      </c>
      <c r="AL49" s="1005">
        <f t="shared" ca="1" si="17"/>
        <v>0</v>
      </c>
      <c r="AM49" s="1005">
        <f t="shared" ca="1" si="17"/>
        <v>0</v>
      </c>
      <c r="AN49" s="1005">
        <f t="shared" ca="1" si="17"/>
        <v>0</v>
      </c>
      <c r="AO49" s="1005">
        <f t="shared" ca="1" si="17"/>
        <v>0</v>
      </c>
      <c r="AP49" s="1005">
        <f t="shared" ref="AP49:BU49" ca="1" si="18">SUMIF($J$11:$CV$11, AP$12, $J29:$CV29)</f>
        <v>0</v>
      </c>
      <c r="AQ49" s="1005">
        <f t="shared" ca="1" si="18"/>
        <v>0</v>
      </c>
      <c r="AR49" s="1005">
        <f t="shared" ca="1" si="18"/>
        <v>0</v>
      </c>
      <c r="AS49" s="1005">
        <f t="shared" ca="1" si="18"/>
        <v>0</v>
      </c>
      <c r="AT49" s="1005">
        <f t="shared" ca="1" si="18"/>
        <v>0</v>
      </c>
      <c r="AU49" s="1005">
        <f t="shared" ca="1" si="18"/>
        <v>0</v>
      </c>
      <c r="AV49" s="1005">
        <f t="shared" ca="1" si="18"/>
        <v>0</v>
      </c>
      <c r="AW49" s="1005">
        <f t="shared" ca="1" si="18"/>
        <v>0</v>
      </c>
      <c r="AX49" s="1005">
        <f t="shared" ca="1" si="18"/>
        <v>0</v>
      </c>
      <c r="AY49" s="1005">
        <f t="shared" ca="1" si="18"/>
        <v>0</v>
      </c>
      <c r="AZ49" s="1005">
        <f t="shared" ca="1" si="18"/>
        <v>0</v>
      </c>
      <c r="BA49" s="1005">
        <f t="shared" ca="1" si="18"/>
        <v>0</v>
      </c>
      <c r="BB49" s="1005">
        <f t="shared" ca="1" si="18"/>
        <v>0</v>
      </c>
      <c r="BC49" s="1005">
        <f t="shared" ca="1" si="18"/>
        <v>0</v>
      </c>
      <c r="BD49" s="1005">
        <f t="shared" ca="1" si="18"/>
        <v>0</v>
      </c>
      <c r="BE49" s="1005">
        <f t="shared" ca="1" si="18"/>
        <v>0</v>
      </c>
      <c r="BF49" s="1005">
        <f t="shared" ca="1" si="18"/>
        <v>0</v>
      </c>
      <c r="BG49" s="1005">
        <f t="shared" ca="1" si="18"/>
        <v>0</v>
      </c>
      <c r="BH49" s="1005">
        <f t="shared" ca="1" si="18"/>
        <v>0</v>
      </c>
      <c r="BI49" s="1005">
        <f t="shared" ca="1" si="18"/>
        <v>0</v>
      </c>
      <c r="BJ49" s="1005">
        <f t="shared" ca="1" si="18"/>
        <v>0</v>
      </c>
      <c r="BK49" s="1005">
        <f t="shared" ca="1" si="18"/>
        <v>0</v>
      </c>
      <c r="BL49" s="1005">
        <f t="shared" ca="1" si="18"/>
        <v>0</v>
      </c>
      <c r="BM49" s="1005">
        <f t="shared" ca="1" si="18"/>
        <v>0</v>
      </c>
      <c r="BN49" s="1005">
        <f t="shared" ca="1" si="18"/>
        <v>0</v>
      </c>
      <c r="BO49" s="1005">
        <f t="shared" ca="1" si="18"/>
        <v>0</v>
      </c>
      <c r="BP49" s="1005">
        <f t="shared" ca="1" si="18"/>
        <v>0</v>
      </c>
      <c r="BQ49" s="1005">
        <f t="shared" ca="1" si="18"/>
        <v>0</v>
      </c>
      <c r="BR49" s="1005">
        <f t="shared" ca="1" si="18"/>
        <v>0</v>
      </c>
      <c r="BS49" s="1005">
        <f t="shared" ca="1" si="18"/>
        <v>0</v>
      </c>
      <c r="BT49" s="1005">
        <f t="shared" ca="1" si="18"/>
        <v>0</v>
      </c>
      <c r="BU49" s="1005">
        <f t="shared" ca="1" si="18"/>
        <v>0</v>
      </c>
      <c r="BV49" s="1005">
        <f t="shared" ref="BV49:CV49" ca="1" si="19">SUMIF($J$11:$CV$11, BV$12, $J29:$CV29)</f>
        <v>0</v>
      </c>
      <c r="BW49" s="1005">
        <f t="shared" ca="1" si="19"/>
        <v>0</v>
      </c>
      <c r="BX49" s="1005">
        <f t="shared" ca="1" si="19"/>
        <v>0</v>
      </c>
      <c r="BY49" s="1005">
        <f t="shared" ca="1" si="19"/>
        <v>0</v>
      </c>
      <c r="BZ49" s="1005">
        <f t="shared" ca="1" si="19"/>
        <v>0</v>
      </c>
      <c r="CA49" s="1005">
        <f t="shared" ca="1" si="19"/>
        <v>0</v>
      </c>
      <c r="CB49" s="1005">
        <f t="shared" ca="1" si="19"/>
        <v>0</v>
      </c>
      <c r="CC49" s="1005">
        <f t="shared" ca="1" si="19"/>
        <v>0</v>
      </c>
      <c r="CD49" s="1005">
        <f t="shared" ca="1" si="19"/>
        <v>0</v>
      </c>
      <c r="CE49" s="1005">
        <f t="shared" ca="1" si="19"/>
        <v>0</v>
      </c>
      <c r="CF49" s="1005">
        <f t="shared" ca="1" si="19"/>
        <v>0</v>
      </c>
      <c r="CG49" s="1005">
        <f t="shared" ca="1" si="19"/>
        <v>0</v>
      </c>
      <c r="CH49" s="1005">
        <f t="shared" ca="1" si="19"/>
        <v>0</v>
      </c>
      <c r="CI49" s="1005">
        <f t="shared" ca="1" si="19"/>
        <v>0</v>
      </c>
      <c r="CJ49" s="1005">
        <f t="shared" ca="1" si="19"/>
        <v>0</v>
      </c>
      <c r="CK49" s="1005">
        <f t="shared" ca="1" si="19"/>
        <v>0</v>
      </c>
      <c r="CL49" s="1005">
        <f t="shared" ca="1" si="19"/>
        <v>0</v>
      </c>
      <c r="CM49" s="1005">
        <f t="shared" ca="1" si="19"/>
        <v>0</v>
      </c>
      <c r="CN49" s="1005">
        <f t="shared" ca="1" si="19"/>
        <v>0</v>
      </c>
      <c r="CO49" s="1005">
        <f t="shared" ca="1" si="19"/>
        <v>0</v>
      </c>
      <c r="CP49" s="1005">
        <f t="shared" ca="1" si="19"/>
        <v>0</v>
      </c>
      <c r="CQ49" s="1005">
        <f t="shared" ca="1" si="19"/>
        <v>0</v>
      </c>
      <c r="CR49" s="1005">
        <f t="shared" ca="1" si="19"/>
        <v>0</v>
      </c>
      <c r="CS49" s="1005">
        <f t="shared" ca="1" si="19"/>
        <v>0</v>
      </c>
      <c r="CT49" s="1005">
        <f t="shared" ca="1" si="19"/>
        <v>0</v>
      </c>
      <c r="CU49" s="1005">
        <f t="shared" ca="1" si="19"/>
        <v>0</v>
      </c>
      <c r="CV49" s="1005">
        <f t="shared" ca="1" si="19"/>
        <v>0</v>
      </c>
    </row>
    <row r="50" spans="1:100" s="1001" customFormat="1" outlineLevel="1" x14ac:dyDescent="0.2">
      <c r="A50" s="1008"/>
      <c r="B50" s="997"/>
      <c r="C50" s="998"/>
      <c r="D50" s="999"/>
      <c r="E50" s="1005" t="s">
        <v>790</v>
      </c>
      <c r="F50" s="1005"/>
      <c r="G50" s="1005" t="str">
        <f>SMU</f>
        <v>$ 000s</v>
      </c>
      <c r="H50" s="1005"/>
      <c r="I50" s="1005"/>
      <c r="J50" s="1005">
        <f t="shared" ref="J50:AO50" ca="1" si="20">SUMIF($J$11:$CV$11, J$12, $J30:$CV30)</f>
        <v>0</v>
      </c>
      <c r="K50" s="1005">
        <f t="shared" ca="1" si="20"/>
        <v>0</v>
      </c>
      <c r="L50" s="1005">
        <f t="shared" ca="1" si="20"/>
        <v>0</v>
      </c>
      <c r="M50" s="1005">
        <f t="shared" ca="1" si="20"/>
        <v>541.21608000000003</v>
      </c>
      <c r="N50" s="1005">
        <f t="shared" ca="1" si="20"/>
        <v>552.0404016</v>
      </c>
      <c r="O50" s="1005">
        <f t="shared" ca="1" si="20"/>
        <v>563.08120963200008</v>
      </c>
      <c r="P50" s="1005">
        <f t="shared" ca="1" si="20"/>
        <v>574.34283382463991</v>
      </c>
      <c r="Q50" s="1005">
        <f t="shared" ca="1" si="20"/>
        <v>585.82969050113275</v>
      </c>
      <c r="R50" s="1005">
        <f t="shared" ca="1" si="20"/>
        <v>597.54628431115543</v>
      </c>
      <c r="S50" s="1005">
        <f t="shared" ca="1" si="20"/>
        <v>609.4972099973786</v>
      </c>
      <c r="T50" s="1005">
        <f t="shared" ca="1" si="20"/>
        <v>621.68715419732598</v>
      </c>
      <c r="U50" s="1005">
        <f t="shared" ca="1" si="20"/>
        <v>634.12089728127262</v>
      </c>
      <c r="V50" s="1005">
        <f t="shared" ca="1" si="20"/>
        <v>646.80331522689801</v>
      </c>
      <c r="W50" s="1005">
        <f t="shared" ca="1" si="20"/>
        <v>659.73938153143604</v>
      </c>
      <c r="X50" s="1005">
        <f t="shared" ca="1" si="20"/>
        <v>672.93416916206456</v>
      </c>
      <c r="Y50" s="1005">
        <f t="shared" ca="1" si="20"/>
        <v>686.39285254530603</v>
      </c>
      <c r="Z50" s="1005">
        <f t="shared" ca="1" si="20"/>
        <v>700.12070959621224</v>
      </c>
      <c r="AA50" s="1005">
        <f t="shared" ca="1" si="20"/>
        <v>714.12312378813635</v>
      </c>
      <c r="AB50" s="1005">
        <f t="shared" ca="1" si="20"/>
        <v>728.40558626389907</v>
      </c>
      <c r="AC50" s="1005">
        <f t="shared" ca="1" si="20"/>
        <v>742.97369798917714</v>
      </c>
      <c r="AD50" s="1005">
        <f t="shared" ca="1" si="20"/>
        <v>757.83317194896063</v>
      </c>
      <c r="AE50" s="1005">
        <f t="shared" ca="1" si="20"/>
        <v>772.98983538793982</v>
      </c>
      <c r="AF50" s="1005">
        <f t="shared" ca="1" si="20"/>
        <v>788.44963209569846</v>
      </c>
      <c r="AG50" s="1005">
        <f t="shared" ca="1" si="20"/>
        <v>0</v>
      </c>
      <c r="AH50" s="1005">
        <f t="shared" ca="1" si="20"/>
        <v>0</v>
      </c>
      <c r="AI50" s="1005">
        <f t="shared" ca="1" si="20"/>
        <v>0</v>
      </c>
      <c r="AJ50" s="1005">
        <f t="shared" ca="1" si="20"/>
        <v>0</v>
      </c>
      <c r="AK50" s="1005">
        <f t="shared" ca="1" si="20"/>
        <v>0</v>
      </c>
      <c r="AL50" s="1005">
        <f t="shared" ca="1" si="20"/>
        <v>0</v>
      </c>
      <c r="AM50" s="1005">
        <f t="shared" ca="1" si="20"/>
        <v>0</v>
      </c>
      <c r="AN50" s="1005">
        <f t="shared" ca="1" si="20"/>
        <v>0</v>
      </c>
      <c r="AO50" s="1005">
        <f t="shared" ca="1" si="20"/>
        <v>0</v>
      </c>
      <c r="AP50" s="1005">
        <f t="shared" ref="AP50:BU50" ca="1" si="21">SUMIF($J$11:$CV$11, AP$12, $J30:$CV30)</f>
        <v>0</v>
      </c>
      <c r="AQ50" s="1005">
        <f t="shared" ca="1" si="21"/>
        <v>0</v>
      </c>
      <c r="AR50" s="1005">
        <f t="shared" ca="1" si="21"/>
        <v>0</v>
      </c>
      <c r="AS50" s="1005">
        <f t="shared" ca="1" si="21"/>
        <v>0</v>
      </c>
      <c r="AT50" s="1005">
        <f t="shared" ca="1" si="21"/>
        <v>0</v>
      </c>
      <c r="AU50" s="1005">
        <f t="shared" ca="1" si="21"/>
        <v>0</v>
      </c>
      <c r="AV50" s="1005">
        <f t="shared" ca="1" si="21"/>
        <v>0</v>
      </c>
      <c r="AW50" s="1005">
        <f t="shared" ca="1" si="21"/>
        <v>0</v>
      </c>
      <c r="AX50" s="1005">
        <f t="shared" ca="1" si="21"/>
        <v>0</v>
      </c>
      <c r="AY50" s="1005">
        <f t="shared" ca="1" si="21"/>
        <v>0</v>
      </c>
      <c r="AZ50" s="1005">
        <f t="shared" ca="1" si="21"/>
        <v>0</v>
      </c>
      <c r="BA50" s="1005">
        <f t="shared" ca="1" si="21"/>
        <v>0</v>
      </c>
      <c r="BB50" s="1005">
        <f t="shared" ca="1" si="21"/>
        <v>0</v>
      </c>
      <c r="BC50" s="1005">
        <f t="shared" ca="1" si="21"/>
        <v>0</v>
      </c>
      <c r="BD50" s="1005">
        <f t="shared" ca="1" si="21"/>
        <v>0</v>
      </c>
      <c r="BE50" s="1005">
        <f t="shared" ca="1" si="21"/>
        <v>0</v>
      </c>
      <c r="BF50" s="1005">
        <f t="shared" ca="1" si="21"/>
        <v>0</v>
      </c>
      <c r="BG50" s="1005">
        <f t="shared" ca="1" si="21"/>
        <v>0</v>
      </c>
      <c r="BH50" s="1005">
        <f t="shared" ca="1" si="21"/>
        <v>0</v>
      </c>
      <c r="BI50" s="1005">
        <f t="shared" ca="1" si="21"/>
        <v>0</v>
      </c>
      <c r="BJ50" s="1005">
        <f t="shared" ca="1" si="21"/>
        <v>0</v>
      </c>
      <c r="BK50" s="1005">
        <f t="shared" ca="1" si="21"/>
        <v>0</v>
      </c>
      <c r="BL50" s="1005">
        <f t="shared" ca="1" si="21"/>
        <v>0</v>
      </c>
      <c r="BM50" s="1005">
        <f t="shared" ca="1" si="21"/>
        <v>0</v>
      </c>
      <c r="BN50" s="1005">
        <f t="shared" ca="1" si="21"/>
        <v>0</v>
      </c>
      <c r="BO50" s="1005">
        <f t="shared" ca="1" si="21"/>
        <v>0</v>
      </c>
      <c r="BP50" s="1005">
        <f t="shared" ca="1" si="21"/>
        <v>0</v>
      </c>
      <c r="BQ50" s="1005">
        <f t="shared" ca="1" si="21"/>
        <v>0</v>
      </c>
      <c r="BR50" s="1005">
        <f t="shared" ca="1" si="21"/>
        <v>0</v>
      </c>
      <c r="BS50" s="1005">
        <f t="shared" ca="1" si="21"/>
        <v>0</v>
      </c>
      <c r="BT50" s="1005">
        <f t="shared" ca="1" si="21"/>
        <v>0</v>
      </c>
      <c r="BU50" s="1005">
        <f t="shared" ca="1" si="21"/>
        <v>0</v>
      </c>
      <c r="BV50" s="1005">
        <f t="shared" ref="BV50:CV50" ca="1" si="22">SUMIF($J$11:$CV$11, BV$12, $J30:$CV30)</f>
        <v>0</v>
      </c>
      <c r="BW50" s="1005">
        <f t="shared" ca="1" si="22"/>
        <v>0</v>
      </c>
      <c r="BX50" s="1005">
        <f t="shared" ca="1" si="22"/>
        <v>0</v>
      </c>
      <c r="BY50" s="1005">
        <f t="shared" ca="1" si="22"/>
        <v>0</v>
      </c>
      <c r="BZ50" s="1005">
        <f t="shared" ca="1" si="22"/>
        <v>0</v>
      </c>
      <c r="CA50" s="1005">
        <f t="shared" ca="1" si="22"/>
        <v>0</v>
      </c>
      <c r="CB50" s="1005">
        <f t="shared" ca="1" si="22"/>
        <v>0</v>
      </c>
      <c r="CC50" s="1005">
        <f t="shared" ca="1" si="22"/>
        <v>0</v>
      </c>
      <c r="CD50" s="1005">
        <f t="shared" ca="1" si="22"/>
        <v>0</v>
      </c>
      <c r="CE50" s="1005">
        <f t="shared" ca="1" si="22"/>
        <v>0</v>
      </c>
      <c r="CF50" s="1005">
        <f t="shared" ca="1" si="22"/>
        <v>0</v>
      </c>
      <c r="CG50" s="1005">
        <f t="shared" ca="1" si="22"/>
        <v>0</v>
      </c>
      <c r="CH50" s="1005">
        <f t="shared" ca="1" si="22"/>
        <v>0</v>
      </c>
      <c r="CI50" s="1005">
        <f t="shared" ca="1" si="22"/>
        <v>0</v>
      </c>
      <c r="CJ50" s="1005">
        <f t="shared" ca="1" si="22"/>
        <v>0</v>
      </c>
      <c r="CK50" s="1005">
        <f t="shared" ca="1" si="22"/>
        <v>0</v>
      </c>
      <c r="CL50" s="1005">
        <f t="shared" ca="1" si="22"/>
        <v>0</v>
      </c>
      <c r="CM50" s="1005">
        <f t="shared" ca="1" si="22"/>
        <v>0</v>
      </c>
      <c r="CN50" s="1005">
        <f t="shared" ca="1" si="22"/>
        <v>0</v>
      </c>
      <c r="CO50" s="1005">
        <f t="shared" ca="1" si="22"/>
        <v>0</v>
      </c>
      <c r="CP50" s="1005">
        <f t="shared" ca="1" si="22"/>
        <v>0</v>
      </c>
      <c r="CQ50" s="1005">
        <f t="shared" ca="1" si="22"/>
        <v>0</v>
      </c>
      <c r="CR50" s="1005">
        <f t="shared" ca="1" si="22"/>
        <v>0</v>
      </c>
      <c r="CS50" s="1005">
        <f t="shared" ca="1" si="22"/>
        <v>0</v>
      </c>
      <c r="CT50" s="1005">
        <f t="shared" ca="1" si="22"/>
        <v>0</v>
      </c>
      <c r="CU50" s="1005">
        <f t="shared" ca="1" si="22"/>
        <v>0</v>
      </c>
      <c r="CV50" s="1005">
        <f t="shared" ca="1" si="22"/>
        <v>0</v>
      </c>
    </row>
    <row r="51" spans="1:100" s="1001" customFormat="1" outlineLevel="1" x14ac:dyDescent="0.2">
      <c r="A51" s="1008"/>
      <c r="B51" s="997"/>
      <c r="C51" s="998"/>
      <c r="D51" s="999"/>
      <c r="E51" s="1005"/>
      <c r="F51" s="1005"/>
      <c r="G51" s="1005"/>
      <c r="H51" s="1005"/>
      <c r="I51" s="1005"/>
      <c r="J51" s="1005"/>
      <c r="K51" s="1005"/>
      <c r="L51" s="1005"/>
      <c r="M51" s="1005"/>
      <c r="N51" s="1005"/>
      <c r="O51" s="1005"/>
      <c r="P51" s="1005"/>
      <c r="Q51" s="1005"/>
      <c r="R51" s="1005"/>
      <c r="S51" s="1005"/>
      <c r="T51" s="1005"/>
      <c r="U51" s="1005"/>
      <c r="V51" s="1005"/>
      <c r="W51" s="1005"/>
      <c r="X51" s="1005"/>
      <c r="Y51" s="1005"/>
      <c r="Z51" s="1005"/>
      <c r="AA51" s="1005"/>
      <c r="AB51" s="1005"/>
      <c r="AC51" s="1005"/>
      <c r="AD51" s="1005"/>
      <c r="AE51" s="1005"/>
      <c r="AF51" s="1005"/>
      <c r="AG51" s="1005"/>
      <c r="AH51" s="1005"/>
      <c r="AI51" s="1005"/>
      <c r="AJ51" s="1005"/>
      <c r="AK51" s="1005"/>
      <c r="AL51" s="1005"/>
      <c r="AM51" s="1005"/>
      <c r="AN51" s="1005"/>
      <c r="AO51" s="1005"/>
      <c r="AP51" s="1005"/>
      <c r="AQ51" s="1005"/>
      <c r="AR51" s="1005"/>
      <c r="AS51" s="1005"/>
      <c r="AT51" s="1005"/>
      <c r="AU51" s="1005"/>
      <c r="AV51" s="1005"/>
      <c r="AW51" s="1005"/>
      <c r="AX51" s="1005"/>
      <c r="AY51" s="1005"/>
      <c r="AZ51" s="1005"/>
      <c r="BA51" s="1005"/>
      <c r="BB51" s="1005"/>
      <c r="BC51" s="1005"/>
      <c r="BD51" s="1005"/>
      <c r="BE51" s="1005"/>
      <c r="BF51" s="1005"/>
      <c r="BG51" s="1005"/>
      <c r="BH51" s="1005"/>
      <c r="BI51" s="1005"/>
      <c r="BJ51" s="1005"/>
      <c r="BK51" s="1005"/>
      <c r="BL51" s="1005"/>
      <c r="BM51" s="1005"/>
      <c r="BN51" s="1005"/>
      <c r="BO51" s="1005"/>
      <c r="BP51" s="1005"/>
      <c r="BQ51" s="1005"/>
      <c r="BR51" s="1005"/>
      <c r="BS51" s="1005"/>
      <c r="BT51" s="1005"/>
      <c r="BU51" s="1005"/>
      <c r="BV51" s="1005"/>
      <c r="BW51" s="1005"/>
      <c r="BX51" s="1005"/>
      <c r="BY51" s="1005"/>
      <c r="BZ51" s="1005"/>
      <c r="CA51" s="1005"/>
      <c r="CB51" s="1005"/>
      <c r="CC51" s="1005"/>
      <c r="CD51" s="1005"/>
      <c r="CE51" s="1005"/>
      <c r="CF51" s="1005"/>
      <c r="CG51" s="1005"/>
      <c r="CH51" s="1005"/>
      <c r="CI51" s="1005"/>
      <c r="CJ51" s="1005"/>
      <c r="CK51" s="1005"/>
      <c r="CL51" s="1005"/>
      <c r="CM51" s="1005"/>
      <c r="CN51" s="1005"/>
      <c r="CO51" s="1005"/>
      <c r="CP51" s="1005"/>
      <c r="CQ51" s="1005"/>
      <c r="CR51" s="1005"/>
      <c r="CS51" s="1005"/>
      <c r="CT51" s="1005"/>
      <c r="CU51" s="1005"/>
      <c r="CV51" s="1005"/>
    </row>
    <row r="52" spans="1:100" s="1020" customFormat="1" outlineLevel="1" x14ac:dyDescent="0.2">
      <c r="A52" s="1008"/>
      <c r="B52" s="1008"/>
      <c r="C52" s="1017"/>
      <c r="D52" s="1018"/>
      <c r="E52" s="1099" t="s">
        <v>51</v>
      </c>
      <c r="F52" s="1019"/>
      <c r="G52" s="1019" t="str">
        <f>SMU</f>
        <v>$ 000s</v>
      </c>
      <c r="H52" s="1019"/>
      <c r="I52" s="1019"/>
      <c r="J52" s="1019">
        <f t="shared" ref="J52:AO52" ca="1" si="23">SUMIF($J$11:$CV$11, J$12, $J32:$CV32)</f>
        <v>0</v>
      </c>
      <c r="K52" s="1019">
        <f t="shared" ca="1" si="23"/>
        <v>0</v>
      </c>
      <c r="L52" s="1019">
        <f t="shared" ca="1" si="23"/>
        <v>0</v>
      </c>
      <c r="M52" s="1019">
        <f t="shared" ca="1" si="23"/>
        <v>31542.678179230952</v>
      </c>
      <c r="N52" s="1019">
        <f t="shared" ca="1" si="23"/>
        <v>31304.633069559593</v>
      </c>
      <c r="O52" s="1019">
        <f t="shared" ca="1" si="23"/>
        <v>31063.530057889606</v>
      </c>
      <c r="P52" s="1019">
        <f t="shared" ca="1" si="23"/>
        <v>30819.304024191682</v>
      </c>
      <c r="Q52" s="1019">
        <f t="shared" ca="1" si="23"/>
        <v>30571.888543834186</v>
      </c>
      <c r="R52" s="1019">
        <f t="shared" ca="1" si="23"/>
        <v>30321.215861313824</v>
      </c>
      <c r="S52" s="1019">
        <f t="shared" ca="1" si="23"/>
        <v>30067.216863458088</v>
      </c>
      <c r="T52" s="1019">
        <f t="shared" ca="1" si="23"/>
        <v>29809.821052088759</v>
      </c>
      <c r="U52" s="1019">
        <f t="shared" ca="1" si="23"/>
        <v>29548.956516135764</v>
      </c>
      <c r="V52" s="1019">
        <f t="shared" ca="1" si="23"/>
        <v>29284.549903190076</v>
      </c>
      <c r="W52" s="1019">
        <f t="shared" ca="1" si="23"/>
        <v>29016.526390484727</v>
      </c>
      <c r="X52" s="1019">
        <f t="shared" ca="1" si="23"/>
        <v>28744.809655292018</v>
      </c>
      <c r="Y52" s="1019">
        <f t="shared" ca="1" si="23"/>
        <v>28469.321844725717</v>
      </c>
      <c r="Z52" s="1019">
        <f t="shared" ca="1" si="23"/>
        <v>28189.983544935836</v>
      </c>
      <c r="AA52" s="1019">
        <f t="shared" ca="1" si="23"/>
        <v>27906.713749683902</v>
      </c>
      <c r="AB52" s="1019">
        <f t="shared" ca="1" si="23"/>
        <v>27619.429828286422</v>
      </c>
      <c r="AC52" s="1019">
        <f t="shared" ca="1" si="23"/>
        <v>27328.047492913771</v>
      </c>
      <c r="AD52" s="1019">
        <f t="shared" ca="1" si="23"/>
        <v>27032.480765231354</v>
      </c>
      <c r="AE52" s="1019">
        <f t="shared" ca="1" si="23"/>
        <v>26732.64194237005</v>
      </c>
      <c r="AF52" s="1019">
        <f t="shared" ca="1" si="23"/>
        <v>26428.441562212494</v>
      </c>
      <c r="AG52" s="1019">
        <f t="shared" ca="1" si="23"/>
        <v>0</v>
      </c>
      <c r="AH52" s="1019">
        <f t="shared" ca="1" si="23"/>
        <v>0</v>
      </c>
      <c r="AI52" s="1019">
        <f t="shared" ca="1" si="23"/>
        <v>0</v>
      </c>
      <c r="AJ52" s="1019">
        <f t="shared" ca="1" si="23"/>
        <v>0</v>
      </c>
      <c r="AK52" s="1019">
        <f t="shared" ca="1" si="23"/>
        <v>0</v>
      </c>
      <c r="AL52" s="1019">
        <f t="shared" ca="1" si="23"/>
        <v>0</v>
      </c>
      <c r="AM52" s="1019">
        <f t="shared" ca="1" si="23"/>
        <v>0</v>
      </c>
      <c r="AN52" s="1019">
        <f t="shared" ca="1" si="23"/>
        <v>0</v>
      </c>
      <c r="AO52" s="1019">
        <f t="shared" ca="1" si="23"/>
        <v>0</v>
      </c>
      <c r="AP52" s="1019">
        <f t="shared" ref="AP52:BU52" ca="1" si="24">SUMIF($J$11:$CV$11, AP$12, $J32:$CV32)</f>
        <v>0</v>
      </c>
      <c r="AQ52" s="1019">
        <f t="shared" ca="1" si="24"/>
        <v>0</v>
      </c>
      <c r="AR52" s="1019">
        <f t="shared" ca="1" si="24"/>
        <v>0</v>
      </c>
      <c r="AS52" s="1019">
        <f t="shared" ca="1" si="24"/>
        <v>0</v>
      </c>
      <c r="AT52" s="1019">
        <f t="shared" ca="1" si="24"/>
        <v>0</v>
      </c>
      <c r="AU52" s="1019">
        <f t="shared" ca="1" si="24"/>
        <v>0</v>
      </c>
      <c r="AV52" s="1019">
        <f t="shared" ca="1" si="24"/>
        <v>0</v>
      </c>
      <c r="AW52" s="1019">
        <f t="shared" ca="1" si="24"/>
        <v>0</v>
      </c>
      <c r="AX52" s="1019">
        <f t="shared" ca="1" si="24"/>
        <v>0</v>
      </c>
      <c r="AY52" s="1019">
        <f t="shared" ca="1" si="24"/>
        <v>0</v>
      </c>
      <c r="AZ52" s="1019">
        <f t="shared" ca="1" si="24"/>
        <v>0</v>
      </c>
      <c r="BA52" s="1019">
        <f t="shared" ca="1" si="24"/>
        <v>0</v>
      </c>
      <c r="BB52" s="1019">
        <f t="shared" ca="1" si="24"/>
        <v>0</v>
      </c>
      <c r="BC52" s="1019">
        <f t="shared" ca="1" si="24"/>
        <v>0</v>
      </c>
      <c r="BD52" s="1019">
        <f t="shared" ca="1" si="24"/>
        <v>0</v>
      </c>
      <c r="BE52" s="1019">
        <f t="shared" ca="1" si="24"/>
        <v>0</v>
      </c>
      <c r="BF52" s="1019">
        <f t="shared" ca="1" si="24"/>
        <v>0</v>
      </c>
      <c r="BG52" s="1019">
        <f t="shared" ca="1" si="24"/>
        <v>0</v>
      </c>
      <c r="BH52" s="1019">
        <f t="shared" ca="1" si="24"/>
        <v>0</v>
      </c>
      <c r="BI52" s="1019">
        <f t="shared" ca="1" si="24"/>
        <v>0</v>
      </c>
      <c r="BJ52" s="1019">
        <f t="shared" ca="1" si="24"/>
        <v>0</v>
      </c>
      <c r="BK52" s="1019">
        <f t="shared" ca="1" si="24"/>
        <v>0</v>
      </c>
      <c r="BL52" s="1019">
        <f t="shared" ca="1" si="24"/>
        <v>0</v>
      </c>
      <c r="BM52" s="1019">
        <f t="shared" ca="1" si="24"/>
        <v>0</v>
      </c>
      <c r="BN52" s="1019">
        <f t="shared" ca="1" si="24"/>
        <v>0</v>
      </c>
      <c r="BO52" s="1019">
        <f t="shared" ca="1" si="24"/>
        <v>0</v>
      </c>
      <c r="BP52" s="1019">
        <f t="shared" ca="1" si="24"/>
        <v>0</v>
      </c>
      <c r="BQ52" s="1019">
        <f t="shared" ca="1" si="24"/>
        <v>0</v>
      </c>
      <c r="BR52" s="1019">
        <f t="shared" ca="1" si="24"/>
        <v>0</v>
      </c>
      <c r="BS52" s="1019">
        <f t="shared" ca="1" si="24"/>
        <v>0</v>
      </c>
      <c r="BT52" s="1019">
        <f t="shared" ca="1" si="24"/>
        <v>0</v>
      </c>
      <c r="BU52" s="1019">
        <f t="shared" ca="1" si="24"/>
        <v>0</v>
      </c>
      <c r="BV52" s="1019">
        <f t="shared" ref="BV52:CV52" ca="1" si="25">SUMIF($J$11:$CV$11, BV$12, $J32:$CV32)</f>
        <v>0</v>
      </c>
      <c r="BW52" s="1019">
        <f t="shared" ca="1" si="25"/>
        <v>0</v>
      </c>
      <c r="BX52" s="1019">
        <f t="shared" ca="1" si="25"/>
        <v>0</v>
      </c>
      <c r="BY52" s="1019">
        <f t="shared" ca="1" si="25"/>
        <v>0</v>
      </c>
      <c r="BZ52" s="1019">
        <f t="shared" ca="1" si="25"/>
        <v>0</v>
      </c>
      <c r="CA52" s="1019">
        <f t="shared" ca="1" si="25"/>
        <v>0</v>
      </c>
      <c r="CB52" s="1019">
        <f t="shared" ca="1" si="25"/>
        <v>0</v>
      </c>
      <c r="CC52" s="1019">
        <f t="shared" ca="1" si="25"/>
        <v>0</v>
      </c>
      <c r="CD52" s="1019">
        <f t="shared" ca="1" si="25"/>
        <v>0</v>
      </c>
      <c r="CE52" s="1019">
        <f t="shared" ca="1" si="25"/>
        <v>0</v>
      </c>
      <c r="CF52" s="1019">
        <f t="shared" ca="1" si="25"/>
        <v>0</v>
      </c>
      <c r="CG52" s="1019">
        <f t="shared" ca="1" si="25"/>
        <v>0</v>
      </c>
      <c r="CH52" s="1019">
        <f t="shared" ca="1" si="25"/>
        <v>0</v>
      </c>
      <c r="CI52" s="1019">
        <f t="shared" ca="1" si="25"/>
        <v>0</v>
      </c>
      <c r="CJ52" s="1019">
        <f t="shared" ca="1" si="25"/>
        <v>0</v>
      </c>
      <c r="CK52" s="1019">
        <f t="shared" ca="1" si="25"/>
        <v>0</v>
      </c>
      <c r="CL52" s="1019">
        <f t="shared" ca="1" si="25"/>
        <v>0</v>
      </c>
      <c r="CM52" s="1019">
        <f t="shared" ca="1" si="25"/>
        <v>0</v>
      </c>
      <c r="CN52" s="1019">
        <f t="shared" ca="1" si="25"/>
        <v>0</v>
      </c>
      <c r="CO52" s="1019">
        <f t="shared" ca="1" si="25"/>
        <v>0</v>
      </c>
      <c r="CP52" s="1019">
        <f t="shared" ca="1" si="25"/>
        <v>0</v>
      </c>
      <c r="CQ52" s="1019">
        <f t="shared" ca="1" si="25"/>
        <v>0</v>
      </c>
      <c r="CR52" s="1019">
        <f t="shared" ca="1" si="25"/>
        <v>0</v>
      </c>
      <c r="CS52" s="1019">
        <f t="shared" ca="1" si="25"/>
        <v>0</v>
      </c>
      <c r="CT52" s="1019">
        <f t="shared" ca="1" si="25"/>
        <v>0</v>
      </c>
      <c r="CU52" s="1019">
        <f t="shared" ca="1" si="25"/>
        <v>0</v>
      </c>
      <c r="CV52" s="1019">
        <f t="shared" ca="1" si="25"/>
        <v>0</v>
      </c>
    </row>
    <row r="53" spans="1:100" s="1001" customFormat="1" outlineLevel="1" x14ac:dyDescent="0.2">
      <c r="A53" s="1008"/>
      <c r="B53" s="997"/>
      <c r="C53" s="998"/>
      <c r="D53" s="999"/>
      <c r="E53" s="1005"/>
      <c r="F53" s="1005"/>
      <c r="G53" s="1005"/>
      <c r="H53" s="1005"/>
      <c r="I53" s="1005"/>
      <c r="J53" s="1005"/>
      <c r="K53" s="1005"/>
      <c r="L53" s="1005"/>
      <c r="M53" s="1005"/>
      <c r="N53" s="1005"/>
      <c r="O53" s="1005"/>
      <c r="P53" s="1005"/>
      <c r="Q53" s="1005"/>
      <c r="R53" s="1005"/>
      <c r="S53" s="1005"/>
      <c r="T53" s="1005"/>
      <c r="U53" s="1005"/>
      <c r="V53" s="1005"/>
      <c r="W53" s="1005"/>
      <c r="X53" s="1005"/>
      <c r="Y53" s="1005"/>
      <c r="Z53" s="1005"/>
      <c r="AA53" s="1005"/>
      <c r="AB53" s="1005"/>
      <c r="AC53" s="1005"/>
      <c r="AD53" s="1005"/>
      <c r="AE53" s="1005"/>
      <c r="AF53" s="1005"/>
      <c r="AG53" s="1005"/>
      <c r="AH53" s="1005"/>
      <c r="AI53" s="1005"/>
      <c r="AJ53" s="1005"/>
      <c r="AK53" s="1005"/>
      <c r="AL53" s="1005"/>
      <c r="AM53" s="1005"/>
      <c r="AN53" s="1005"/>
      <c r="AO53" s="1005"/>
      <c r="AP53" s="1005"/>
      <c r="AQ53" s="1005"/>
      <c r="AR53" s="1005"/>
      <c r="AS53" s="1005"/>
      <c r="AT53" s="1005"/>
      <c r="AU53" s="1005"/>
      <c r="AV53" s="1005"/>
      <c r="AW53" s="1005"/>
      <c r="AX53" s="1005"/>
      <c r="AY53" s="1005"/>
      <c r="AZ53" s="1005"/>
      <c r="BA53" s="1005"/>
      <c r="BB53" s="1005"/>
      <c r="BC53" s="1005"/>
      <c r="BD53" s="1005"/>
      <c r="BE53" s="1005"/>
      <c r="BF53" s="1005"/>
      <c r="BG53" s="1005"/>
      <c r="BH53" s="1005"/>
      <c r="BI53" s="1005"/>
      <c r="BJ53" s="1005"/>
      <c r="BK53" s="1005"/>
      <c r="BL53" s="1005"/>
      <c r="BM53" s="1005"/>
      <c r="BN53" s="1005"/>
      <c r="BO53" s="1005"/>
      <c r="BP53" s="1005"/>
      <c r="BQ53" s="1005"/>
      <c r="BR53" s="1005"/>
      <c r="BS53" s="1005"/>
      <c r="BT53" s="1005"/>
      <c r="BU53" s="1005"/>
      <c r="BV53" s="1005"/>
      <c r="BW53" s="1005"/>
      <c r="BX53" s="1005"/>
      <c r="BY53" s="1005"/>
      <c r="BZ53" s="1005"/>
      <c r="CA53" s="1005"/>
      <c r="CB53" s="1005"/>
      <c r="CC53" s="1005"/>
      <c r="CD53" s="1005"/>
      <c r="CE53" s="1005"/>
      <c r="CF53" s="1005"/>
      <c r="CG53" s="1005"/>
      <c r="CH53" s="1005"/>
      <c r="CI53" s="1005"/>
      <c r="CJ53" s="1005"/>
      <c r="CK53" s="1005"/>
      <c r="CL53" s="1005"/>
      <c r="CM53" s="1005"/>
      <c r="CN53" s="1005"/>
      <c r="CO53" s="1005"/>
      <c r="CP53" s="1005"/>
      <c r="CQ53" s="1005"/>
      <c r="CR53" s="1005"/>
      <c r="CS53" s="1005"/>
      <c r="CT53" s="1005"/>
      <c r="CU53" s="1005"/>
      <c r="CV53" s="1005"/>
    </row>
    <row r="54" spans="1:100" s="1001" customFormat="1" x14ac:dyDescent="0.2">
      <c r="A54" s="1008"/>
      <c r="B54" s="997"/>
      <c r="C54" s="998"/>
      <c r="D54" s="999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5"/>
      <c r="V54" s="1005"/>
      <c r="W54" s="1005"/>
      <c r="X54" s="1005"/>
      <c r="Y54" s="1005"/>
      <c r="Z54" s="1005"/>
      <c r="AA54" s="1005"/>
      <c r="AB54" s="1005"/>
      <c r="AC54" s="1005"/>
      <c r="AD54" s="1005"/>
      <c r="AE54" s="1005"/>
      <c r="AF54" s="1005"/>
      <c r="AG54" s="1005"/>
      <c r="AH54" s="1005"/>
      <c r="AI54" s="1005"/>
      <c r="AJ54" s="1005"/>
      <c r="AK54" s="1005"/>
      <c r="AL54" s="1005"/>
      <c r="AM54" s="1005"/>
      <c r="AN54" s="1005"/>
      <c r="AO54" s="1005"/>
      <c r="AP54" s="1005"/>
      <c r="AQ54" s="1005"/>
      <c r="AR54" s="1005"/>
      <c r="AS54" s="1005"/>
      <c r="AT54" s="1005"/>
      <c r="AU54" s="1005"/>
      <c r="AV54" s="1005"/>
      <c r="AW54" s="1005"/>
      <c r="AX54" s="1005"/>
      <c r="AY54" s="1005"/>
      <c r="AZ54" s="1005"/>
      <c r="BA54" s="1005"/>
      <c r="BB54" s="1005"/>
      <c r="BC54" s="1005"/>
      <c r="BD54" s="1005"/>
      <c r="BE54" s="1005"/>
      <c r="BF54" s="1005"/>
      <c r="BG54" s="1005"/>
      <c r="BH54" s="1005"/>
      <c r="BI54" s="1005"/>
      <c r="BJ54" s="1005"/>
      <c r="BK54" s="1005"/>
      <c r="BL54" s="1005"/>
      <c r="BM54" s="1005"/>
      <c r="BN54" s="1005"/>
      <c r="BO54" s="1005"/>
      <c r="BP54" s="1005"/>
      <c r="BQ54" s="1005"/>
      <c r="BR54" s="1005"/>
      <c r="BS54" s="1005"/>
      <c r="BT54" s="1005"/>
      <c r="BU54" s="1005"/>
      <c r="BV54" s="1005"/>
      <c r="BW54" s="1005"/>
      <c r="BX54" s="1005"/>
      <c r="BY54" s="1005"/>
      <c r="BZ54" s="1005"/>
      <c r="CA54" s="1005"/>
      <c r="CB54" s="1005"/>
      <c r="CC54" s="1005"/>
      <c r="CD54" s="1005"/>
      <c r="CE54" s="1005"/>
      <c r="CF54" s="1005"/>
      <c r="CG54" s="1005"/>
      <c r="CH54" s="1005"/>
      <c r="CI54" s="1005"/>
      <c r="CJ54" s="1005"/>
      <c r="CK54" s="1005"/>
      <c r="CL54" s="1005"/>
      <c r="CM54" s="1005"/>
      <c r="CN54" s="1005"/>
      <c r="CO54" s="1005"/>
      <c r="CP54" s="1005"/>
      <c r="CQ54" s="1005"/>
      <c r="CR54" s="1005"/>
      <c r="CS54" s="1005"/>
      <c r="CT54" s="1005"/>
      <c r="CU54" s="1005"/>
      <c r="CV54" s="1005"/>
    </row>
    <row r="55" spans="1:100" s="1001" customFormat="1" x14ac:dyDescent="0.2">
      <c r="A55" s="997" t="s">
        <v>1279</v>
      </c>
      <c r="B55" s="997"/>
      <c r="C55" s="998"/>
      <c r="D55" s="999"/>
      <c r="E55" s="1005"/>
      <c r="F55" s="1005"/>
      <c r="G55" s="1005"/>
      <c r="H55" s="1005"/>
      <c r="I55" s="1005"/>
      <c r="J55" s="1005"/>
      <c r="K55" s="1005"/>
      <c r="L55" s="1005"/>
      <c r="M55" s="1005"/>
      <c r="N55" s="1005"/>
      <c r="O55" s="1005"/>
      <c r="P55" s="1005"/>
      <c r="Q55" s="1005"/>
      <c r="R55" s="1005"/>
      <c r="S55" s="1005"/>
      <c r="T55" s="1005"/>
      <c r="U55" s="1005"/>
      <c r="V55" s="1005"/>
      <c r="W55" s="1005"/>
      <c r="X55" s="1005"/>
      <c r="Y55" s="1005"/>
      <c r="Z55" s="1005"/>
      <c r="AA55" s="1005"/>
      <c r="AB55" s="1005"/>
      <c r="AC55" s="1005"/>
      <c r="AD55" s="1005"/>
      <c r="AE55" s="1005"/>
      <c r="AF55" s="1005"/>
      <c r="AG55" s="1005"/>
      <c r="AH55" s="1005"/>
      <c r="AI55" s="1005"/>
      <c r="AJ55" s="1005"/>
      <c r="AK55" s="1005"/>
      <c r="AL55" s="1005"/>
      <c r="AM55" s="1005"/>
      <c r="AN55" s="1005"/>
      <c r="AO55" s="1005"/>
      <c r="AP55" s="1005"/>
      <c r="AQ55" s="1005"/>
      <c r="AR55" s="1005"/>
      <c r="AS55" s="1005"/>
      <c r="AT55" s="1005"/>
      <c r="AU55" s="1005"/>
      <c r="AV55" s="1005"/>
      <c r="AW55" s="1005"/>
      <c r="AX55" s="1005"/>
      <c r="AY55" s="1005"/>
      <c r="AZ55" s="1005"/>
      <c r="BA55" s="1005"/>
      <c r="BB55" s="1005"/>
      <c r="BC55" s="1005"/>
      <c r="BD55" s="1005"/>
      <c r="BE55" s="1005"/>
      <c r="BF55" s="1005"/>
      <c r="BG55" s="1005"/>
      <c r="BH55" s="1005"/>
      <c r="BI55" s="1005"/>
      <c r="BJ55" s="1005"/>
      <c r="BK55" s="1005"/>
      <c r="BL55" s="1005"/>
      <c r="BM55" s="1005"/>
      <c r="BN55" s="1005"/>
      <c r="BO55" s="1005"/>
      <c r="BP55" s="1005"/>
      <c r="BQ55" s="1005"/>
      <c r="BR55" s="1005"/>
      <c r="BS55" s="1005"/>
      <c r="BT55" s="1005"/>
      <c r="BU55" s="1005"/>
      <c r="BV55" s="1005"/>
      <c r="BW55" s="1005"/>
      <c r="BX55" s="1005"/>
      <c r="BY55" s="1005"/>
      <c r="BZ55" s="1005"/>
      <c r="CA55" s="1005"/>
      <c r="CB55" s="1005"/>
      <c r="CC55" s="1005"/>
      <c r="CD55" s="1005"/>
      <c r="CE55" s="1005"/>
      <c r="CF55" s="1005"/>
      <c r="CG55" s="1005"/>
      <c r="CH55" s="1005"/>
      <c r="CI55" s="1005"/>
      <c r="CJ55" s="1005"/>
      <c r="CK55" s="1005"/>
      <c r="CL55" s="1005"/>
      <c r="CM55" s="1005"/>
      <c r="CN55" s="1005"/>
      <c r="CO55" s="1005"/>
      <c r="CP55" s="1005"/>
      <c r="CQ55" s="1005"/>
      <c r="CR55" s="1005"/>
      <c r="CS55" s="1005"/>
      <c r="CT55" s="1005"/>
      <c r="CU55" s="1005"/>
      <c r="CV55" s="1005"/>
    </row>
    <row r="56" spans="1:100" s="1001" customFormat="1" outlineLevel="1" x14ac:dyDescent="0.2">
      <c r="A56" s="997"/>
      <c r="B56" s="997"/>
      <c r="C56" s="998"/>
      <c r="D56" s="999"/>
      <c r="E56" s="1005"/>
      <c r="F56" s="1005"/>
      <c r="G56" s="1005"/>
      <c r="H56" s="1005"/>
      <c r="I56" s="1005"/>
      <c r="J56" s="1005"/>
      <c r="K56" s="1005"/>
      <c r="L56" s="1005"/>
      <c r="M56" s="1005"/>
      <c r="N56" s="1005"/>
      <c r="O56" s="1005"/>
      <c r="P56" s="1005"/>
      <c r="Q56" s="1005"/>
      <c r="R56" s="1005"/>
      <c r="S56" s="1005"/>
      <c r="T56" s="1005"/>
      <c r="U56" s="1005"/>
      <c r="V56" s="1005"/>
      <c r="W56" s="1005"/>
      <c r="X56" s="1005"/>
      <c r="Y56" s="1005"/>
      <c r="Z56" s="1005"/>
      <c r="AA56" s="1005"/>
      <c r="AB56" s="1005"/>
      <c r="AC56" s="1005"/>
      <c r="AD56" s="1005"/>
      <c r="AE56" s="1005"/>
      <c r="AF56" s="1005"/>
      <c r="AG56" s="1005"/>
      <c r="AH56" s="1005"/>
      <c r="AI56" s="1005"/>
      <c r="AJ56" s="1005"/>
      <c r="AK56" s="1005"/>
      <c r="AL56" s="1005"/>
      <c r="AM56" s="1005"/>
      <c r="AN56" s="1005"/>
      <c r="AO56" s="1005"/>
      <c r="AP56" s="1005"/>
      <c r="AQ56" s="1005"/>
      <c r="AR56" s="1005"/>
      <c r="AS56" s="1005"/>
      <c r="AT56" s="1005"/>
      <c r="AU56" s="1005"/>
      <c r="AV56" s="1005"/>
      <c r="AW56" s="1005"/>
      <c r="AX56" s="1005"/>
      <c r="AY56" s="1005"/>
      <c r="AZ56" s="1005"/>
      <c r="BA56" s="1005"/>
      <c r="BB56" s="1005"/>
      <c r="BC56" s="1005"/>
      <c r="BD56" s="1005"/>
      <c r="BE56" s="1005"/>
      <c r="BF56" s="1005"/>
      <c r="BG56" s="1005"/>
      <c r="BH56" s="1005"/>
      <c r="BI56" s="1005"/>
      <c r="BJ56" s="1005"/>
      <c r="BK56" s="1005"/>
      <c r="BL56" s="1005"/>
      <c r="BM56" s="1005"/>
      <c r="BN56" s="1005"/>
      <c r="BO56" s="1005"/>
      <c r="BP56" s="1005"/>
      <c r="BQ56" s="1005"/>
      <c r="BR56" s="1005"/>
      <c r="BS56" s="1005"/>
      <c r="BT56" s="1005"/>
      <c r="BU56" s="1005"/>
      <c r="BV56" s="1005"/>
      <c r="BW56" s="1005"/>
      <c r="BX56" s="1005"/>
      <c r="BY56" s="1005"/>
      <c r="BZ56" s="1005"/>
      <c r="CA56" s="1005"/>
      <c r="CB56" s="1005"/>
      <c r="CC56" s="1005"/>
      <c r="CD56" s="1005"/>
      <c r="CE56" s="1005"/>
      <c r="CF56" s="1005"/>
      <c r="CG56" s="1005"/>
      <c r="CH56" s="1005"/>
      <c r="CI56" s="1005"/>
      <c r="CJ56" s="1005"/>
      <c r="CK56" s="1005"/>
      <c r="CL56" s="1005"/>
      <c r="CM56" s="1005"/>
      <c r="CN56" s="1005"/>
      <c r="CO56" s="1005"/>
      <c r="CP56" s="1005"/>
      <c r="CQ56" s="1005"/>
      <c r="CR56" s="1005"/>
      <c r="CS56" s="1005"/>
      <c r="CT56" s="1005"/>
      <c r="CU56" s="1005"/>
      <c r="CV56" s="1005"/>
    </row>
    <row r="57" spans="1:100" s="1015" customFormat="1" outlineLevel="1" x14ac:dyDescent="0.2">
      <c r="A57" s="1011"/>
      <c r="B57" s="1012"/>
      <c r="C57" s="1013"/>
      <c r="D57" s="1014"/>
      <c r="E57" s="1014" t="str">
        <f xml:space="preserve"> Metrics!E$68</f>
        <v>Senior debt service coverage ratio</v>
      </c>
      <c r="F57" s="1014">
        <f xml:space="preserve"> Metrics!F$68</f>
        <v>0</v>
      </c>
      <c r="G57" s="1014" t="str">
        <f xml:space="preserve"> Metrics!G$68</f>
        <v>ratio</v>
      </c>
      <c r="H57" s="1014">
        <f xml:space="preserve"> Metrics!H$68</f>
        <v>0</v>
      </c>
      <c r="I57" s="1014">
        <f xml:space="preserve"> Metrics!I$68</f>
        <v>0</v>
      </c>
      <c r="J57" s="1014" t="str">
        <f xml:space="preserve"> Metrics!J$68</f>
        <v>na</v>
      </c>
      <c r="K57" s="1014" t="str">
        <f xml:space="preserve"> Metrics!K$68</f>
        <v>na</v>
      </c>
      <c r="L57" s="1014" t="str">
        <f xml:space="preserve"> Metrics!L$68</f>
        <v>na</v>
      </c>
      <c r="M57" s="1014" t="str">
        <f xml:space="preserve"> Metrics!M$68</f>
        <v>na</v>
      </c>
      <c r="N57" s="1014" t="str">
        <f xml:space="preserve"> Metrics!N$68</f>
        <v>na</v>
      </c>
      <c r="O57" s="1014">
        <f xml:space="preserve"> Metrics!O$68</f>
        <v>1.3999999361449846</v>
      </c>
      <c r="P57" s="1014">
        <f xml:space="preserve"> Metrics!P$68</f>
        <v>1.3999999348171281</v>
      </c>
      <c r="Q57" s="1014">
        <f xml:space="preserve"> Metrics!Q$68</f>
        <v>1.3999999339261022</v>
      </c>
      <c r="R57" s="1014">
        <f xml:space="preserve"> Metrics!R$68</f>
        <v>1.3999999330787214</v>
      </c>
      <c r="S57" s="1014">
        <f xml:space="preserve"> Metrics!S$68</f>
        <v>1.3999999321752374</v>
      </c>
      <c r="T57" s="1014">
        <f xml:space="preserve"> Metrics!T$68</f>
        <v>1.3999999313543667</v>
      </c>
      <c r="U57" s="1014">
        <f xml:space="preserve"> Metrics!U$68</f>
        <v>1.3999999304439941</v>
      </c>
      <c r="V57" s="1014">
        <f xml:space="preserve"> Metrics!V$68</f>
        <v>1.3999999296302927</v>
      </c>
      <c r="W57" s="1014">
        <f xml:space="preserve"> Metrics!W$68</f>
        <v>1.3999999287334366</v>
      </c>
      <c r="X57" s="1014">
        <f xml:space="preserve"> Metrics!X$68</f>
        <v>1.3999999279928201</v>
      </c>
      <c r="Y57" s="1014">
        <f xml:space="preserve"> Metrics!Y$68</f>
        <v>1.3999999267278769</v>
      </c>
      <c r="Z57" s="1014">
        <f xml:space="preserve"> Metrics!Z$68</f>
        <v>1.3999999259980718</v>
      </c>
      <c r="AA57" s="1014">
        <f xml:space="preserve"> Metrics!AA$68</f>
        <v>1.3999999250746931</v>
      </c>
      <c r="AB57" s="1014">
        <f xml:space="preserve"> Metrics!AB$68</f>
        <v>1.3999999243982566</v>
      </c>
      <c r="AC57" s="1014">
        <f xml:space="preserve"> Metrics!AC$68</f>
        <v>1.3999999234959699</v>
      </c>
      <c r="AD57" s="1014">
        <f xml:space="preserve"> Metrics!AD$68</f>
        <v>1.3999999228258269</v>
      </c>
      <c r="AE57" s="1014">
        <f xml:space="preserve"> Metrics!AE$68</f>
        <v>1.3999999219856905</v>
      </c>
      <c r="AF57" s="1014">
        <f xml:space="preserve"> Metrics!AF$68</f>
        <v>1.3999999214522754</v>
      </c>
      <c r="AG57" s="1014">
        <f xml:space="preserve"> Metrics!AG$68</f>
        <v>1.3999999206124305</v>
      </c>
      <c r="AH57" s="1014">
        <f xml:space="preserve"> Metrics!AH$68</f>
        <v>1.3999999201282023</v>
      </c>
      <c r="AI57" s="1014">
        <f xml:space="preserve"> Metrics!AI$68</f>
        <v>1.3999999182843812</v>
      </c>
      <c r="AJ57" s="1014">
        <f xml:space="preserve"> Metrics!AJ$68</f>
        <v>1.3999999178692628</v>
      </c>
      <c r="AK57" s="1014">
        <f xml:space="preserve"> Metrics!AK$68</f>
        <v>1.3999999170963668</v>
      </c>
      <c r="AL57" s="1014">
        <f xml:space="preserve"> Metrics!AL$68</f>
        <v>1.3999999166938686</v>
      </c>
      <c r="AM57" s="1014">
        <f xml:space="preserve"> Metrics!AM$68</f>
        <v>1.3999999160401657</v>
      </c>
      <c r="AN57" s="1014">
        <f xml:space="preserve"> Metrics!AN$68</f>
        <v>1.3999999158380945</v>
      </c>
      <c r="AO57" s="1014">
        <f xml:space="preserve"> Metrics!AO$68</f>
        <v>1.399999915205373</v>
      </c>
      <c r="AP57" s="1014">
        <f xml:space="preserve"> Metrics!AP$68</f>
        <v>1.3999999150743365</v>
      </c>
      <c r="AQ57" s="1014">
        <f xml:space="preserve"> Metrics!AQ$68</f>
        <v>1.3999999145229733</v>
      </c>
      <c r="AR57" s="1014">
        <f xml:space="preserve"> Metrics!AR$68</f>
        <v>1.3999999144949251</v>
      </c>
      <c r="AS57" s="1014">
        <f xml:space="preserve"> Metrics!AS$68</f>
        <v>1.399999706244079</v>
      </c>
      <c r="AT57" s="1014">
        <f xml:space="preserve"> Metrics!AT$68</f>
        <v>1.3999996356766737</v>
      </c>
      <c r="AU57" s="1014">
        <f xml:space="preserve"> Metrics!AU$68</f>
        <v>1.3999994932949844</v>
      </c>
      <c r="AV57" s="1014">
        <f xml:space="preserve"> Metrics!AV$68</f>
        <v>1.3999990581391102</v>
      </c>
      <c r="AW57" s="1014" t="str">
        <f xml:space="preserve"> Metrics!AW$68</f>
        <v>na</v>
      </c>
      <c r="AX57" s="1014" t="str">
        <f xml:space="preserve"> Metrics!AX$68</f>
        <v>na</v>
      </c>
      <c r="AY57" s="1014" t="str">
        <f xml:space="preserve"> Metrics!AY$68</f>
        <v>na</v>
      </c>
      <c r="AZ57" s="1014" t="str">
        <f xml:space="preserve"> Metrics!AZ$68</f>
        <v>na</v>
      </c>
      <c r="BA57" s="1014" t="str">
        <f xml:space="preserve"> Metrics!BA$68</f>
        <v>na</v>
      </c>
      <c r="BB57" s="1014" t="str">
        <f xml:space="preserve"> Metrics!BB$68</f>
        <v>na</v>
      </c>
      <c r="BC57" s="1014" t="str">
        <f xml:space="preserve"> Metrics!BC$68</f>
        <v>na</v>
      </c>
      <c r="BD57" s="1014" t="str">
        <f xml:space="preserve"> Metrics!BD$68</f>
        <v>na</v>
      </c>
      <c r="BE57" s="1014" t="str">
        <f xml:space="preserve"> Metrics!BE$68</f>
        <v>na</v>
      </c>
      <c r="BF57" s="1014" t="str">
        <f xml:space="preserve"> Metrics!BF$68</f>
        <v>na</v>
      </c>
      <c r="BG57" s="1014" t="str">
        <f xml:space="preserve"> Metrics!BG$68</f>
        <v>na</v>
      </c>
      <c r="BH57" s="1014" t="str">
        <f xml:space="preserve"> Metrics!BH$68</f>
        <v>na</v>
      </c>
      <c r="BI57" s="1014" t="str">
        <f xml:space="preserve"> Metrics!BI$68</f>
        <v>na</v>
      </c>
      <c r="BJ57" s="1014" t="str">
        <f xml:space="preserve"> Metrics!BJ$68</f>
        <v>na</v>
      </c>
      <c r="BK57" s="1014" t="str">
        <f xml:space="preserve"> Metrics!BK$68</f>
        <v>na</v>
      </c>
      <c r="BL57" s="1014" t="str">
        <f xml:space="preserve"> Metrics!BL$68</f>
        <v>na</v>
      </c>
      <c r="BM57" s="1014" t="str">
        <f xml:space="preserve"> Metrics!BM$68</f>
        <v>na</v>
      </c>
      <c r="BN57" s="1014" t="str">
        <f xml:space="preserve"> Metrics!BN$68</f>
        <v>na</v>
      </c>
      <c r="BO57" s="1014" t="str">
        <f xml:space="preserve"> Metrics!BO$68</f>
        <v>na</v>
      </c>
      <c r="BP57" s="1014" t="str">
        <f xml:space="preserve"> Metrics!BP$68</f>
        <v>na</v>
      </c>
      <c r="BQ57" s="1014" t="str">
        <f xml:space="preserve"> Metrics!BQ$68</f>
        <v>na</v>
      </c>
      <c r="BR57" s="1014" t="str">
        <f xml:space="preserve"> Metrics!BR$68</f>
        <v>na</v>
      </c>
      <c r="BS57" s="1014" t="str">
        <f xml:space="preserve"> Metrics!BS$68</f>
        <v>na</v>
      </c>
      <c r="BT57" s="1014" t="str">
        <f xml:space="preserve"> Metrics!BT$68</f>
        <v>na</v>
      </c>
      <c r="BU57" s="1014" t="str">
        <f xml:space="preserve"> Metrics!BU$68</f>
        <v>na</v>
      </c>
      <c r="BV57" s="1014" t="str">
        <f xml:space="preserve"> Metrics!BV$68</f>
        <v>na</v>
      </c>
      <c r="BW57" s="1014" t="str">
        <f xml:space="preserve"> Metrics!BW$68</f>
        <v>na</v>
      </c>
      <c r="BX57" s="1014" t="str">
        <f xml:space="preserve"> Metrics!BX$68</f>
        <v>na</v>
      </c>
      <c r="BY57" s="1014" t="str">
        <f xml:space="preserve"> Metrics!BY$68</f>
        <v>na</v>
      </c>
      <c r="BZ57" s="1014" t="str">
        <f xml:space="preserve"> Metrics!BZ$68</f>
        <v>na</v>
      </c>
      <c r="CA57" s="1014" t="str">
        <f xml:space="preserve"> Metrics!CA$68</f>
        <v>na</v>
      </c>
      <c r="CB57" s="1014" t="str">
        <f xml:space="preserve"> Metrics!CB$68</f>
        <v>na</v>
      </c>
      <c r="CC57" s="1014" t="str">
        <f xml:space="preserve"> Metrics!CC$68</f>
        <v>na</v>
      </c>
      <c r="CD57" s="1014" t="str">
        <f xml:space="preserve"> Metrics!CD$68</f>
        <v>na</v>
      </c>
      <c r="CE57" s="1014" t="str">
        <f xml:space="preserve"> Metrics!CE$68</f>
        <v>na</v>
      </c>
      <c r="CF57" s="1014" t="str">
        <f xml:space="preserve"> Metrics!CF$68</f>
        <v>na</v>
      </c>
      <c r="CG57" s="1014" t="str">
        <f xml:space="preserve"> Metrics!CG$68</f>
        <v>na</v>
      </c>
      <c r="CH57" s="1014" t="str">
        <f xml:space="preserve"> Metrics!CH$68</f>
        <v>na</v>
      </c>
      <c r="CI57" s="1014" t="str">
        <f xml:space="preserve"> Metrics!CI$68</f>
        <v>na</v>
      </c>
      <c r="CJ57" s="1014" t="str">
        <f xml:space="preserve"> Metrics!CJ$68</f>
        <v>na</v>
      </c>
      <c r="CK57" s="1014" t="str">
        <f xml:space="preserve"> Metrics!CK$68</f>
        <v>na</v>
      </c>
      <c r="CL57" s="1014" t="str">
        <f xml:space="preserve"> Metrics!CL$68</f>
        <v>na</v>
      </c>
      <c r="CM57" s="1014" t="str">
        <f xml:space="preserve"> Metrics!CM$68</f>
        <v>na</v>
      </c>
      <c r="CN57" s="1014" t="str">
        <f xml:space="preserve"> Metrics!CN$68</f>
        <v>na</v>
      </c>
      <c r="CO57" s="1014" t="str">
        <f xml:space="preserve"> Metrics!CO$68</f>
        <v>na</v>
      </c>
      <c r="CP57" s="1014" t="str">
        <f xml:space="preserve"> Metrics!CP$68</f>
        <v>na</v>
      </c>
      <c r="CQ57" s="1014" t="str">
        <f xml:space="preserve"> Metrics!CQ$68</f>
        <v>na</v>
      </c>
      <c r="CR57" s="1014" t="str">
        <f xml:space="preserve"> Metrics!CR$68</f>
        <v>na</v>
      </c>
      <c r="CS57" s="1014" t="str">
        <f xml:space="preserve"> Metrics!CS$68</f>
        <v>na</v>
      </c>
      <c r="CT57" s="1014" t="str">
        <f xml:space="preserve"> Metrics!CT$68</f>
        <v>na</v>
      </c>
      <c r="CU57" s="1014" t="str">
        <f xml:space="preserve"> Metrics!CU$68</f>
        <v>na</v>
      </c>
      <c r="CV57" s="1014" t="str">
        <f xml:space="preserve"> Metrics!CV$68</f>
        <v>na</v>
      </c>
    </row>
    <row r="58" spans="1:100" s="1015" customFormat="1" outlineLevel="1" x14ac:dyDescent="0.2">
      <c r="A58" s="1011"/>
      <c r="B58" s="1012"/>
      <c r="C58" s="1013"/>
      <c r="D58" s="1014"/>
      <c r="E58" s="1014"/>
      <c r="F58" s="1014"/>
      <c r="G58" s="1014"/>
      <c r="H58" s="1014"/>
      <c r="I58" s="1014"/>
      <c r="J58" s="1014"/>
      <c r="K58" s="1014"/>
      <c r="L58" s="1014"/>
      <c r="M58" s="1014"/>
      <c r="N58" s="1014"/>
      <c r="O58" s="1014"/>
      <c r="P58" s="1014"/>
      <c r="Q58" s="1014"/>
      <c r="R58" s="1014"/>
      <c r="S58" s="1014"/>
      <c r="T58" s="1014"/>
      <c r="U58" s="1014"/>
      <c r="V58" s="1014"/>
      <c r="W58" s="1014"/>
      <c r="X58" s="1014"/>
      <c r="Y58" s="1014"/>
      <c r="Z58" s="1014"/>
      <c r="AA58" s="1014"/>
      <c r="AB58" s="1014"/>
      <c r="AC58" s="1014"/>
      <c r="AD58" s="1014"/>
      <c r="AE58" s="1014"/>
      <c r="AF58" s="1014"/>
      <c r="AG58" s="1014"/>
      <c r="AH58" s="1014"/>
      <c r="AI58" s="1014"/>
      <c r="AJ58" s="1014"/>
      <c r="AK58" s="1014"/>
      <c r="AL58" s="1014"/>
      <c r="AM58" s="1014"/>
      <c r="AN58" s="1014"/>
      <c r="AO58" s="1014"/>
      <c r="AP58" s="1014"/>
      <c r="AQ58" s="1014"/>
      <c r="AR58" s="1014"/>
      <c r="AS58" s="1014"/>
      <c r="AT58" s="1014"/>
      <c r="AU58" s="1014"/>
      <c r="AV58" s="1014"/>
      <c r="AW58" s="1014"/>
      <c r="AX58" s="1014"/>
      <c r="AY58" s="1014"/>
      <c r="AZ58" s="1014"/>
      <c r="BA58" s="1014"/>
      <c r="BB58" s="1014"/>
      <c r="BC58" s="1014"/>
      <c r="BD58" s="1014"/>
      <c r="BE58" s="1014"/>
      <c r="BF58" s="1014"/>
      <c r="BG58" s="1014"/>
      <c r="BH58" s="1014"/>
      <c r="BI58" s="1014"/>
      <c r="BJ58" s="1014"/>
      <c r="BK58" s="1014"/>
      <c r="BL58" s="1014"/>
      <c r="BM58" s="1014"/>
      <c r="BN58" s="1014"/>
      <c r="BO58" s="1014"/>
      <c r="BP58" s="1014"/>
      <c r="BQ58" s="1014"/>
      <c r="BR58" s="1014"/>
      <c r="BS58" s="1014"/>
      <c r="BT58" s="1014"/>
      <c r="BU58" s="1014"/>
      <c r="BV58" s="1014"/>
      <c r="BW58" s="1014"/>
      <c r="BX58" s="1014"/>
      <c r="BY58" s="1014"/>
      <c r="BZ58" s="1014"/>
      <c r="CA58" s="1014"/>
      <c r="CB58" s="1014"/>
      <c r="CC58" s="1014"/>
      <c r="CD58" s="1014"/>
      <c r="CE58" s="1014"/>
      <c r="CF58" s="1014"/>
      <c r="CG58" s="1014"/>
      <c r="CH58" s="1014"/>
      <c r="CI58" s="1014"/>
      <c r="CJ58" s="1014"/>
      <c r="CK58" s="1014"/>
      <c r="CL58" s="1014"/>
      <c r="CM58" s="1014"/>
      <c r="CN58" s="1014"/>
      <c r="CO58" s="1014"/>
      <c r="CP58" s="1014"/>
      <c r="CQ58" s="1014"/>
      <c r="CR58" s="1014"/>
      <c r="CS58" s="1014"/>
      <c r="CT58" s="1014"/>
      <c r="CU58" s="1014"/>
      <c r="CV58" s="1014"/>
    </row>
    <row r="59" spans="1:100" s="1001" customFormat="1" outlineLevel="1" x14ac:dyDescent="0.2">
      <c r="A59" s="1008"/>
      <c r="B59" s="997"/>
      <c r="C59" s="998"/>
      <c r="D59" s="999"/>
      <c r="E59" s="1005" t="str">
        <f xml:space="preserve"> 'FS Semi'!E$107</f>
        <v>Retained cash balance</v>
      </c>
      <c r="F59" s="1005">
        <f xml:space="preserve"> 'FS Semi'!F$107</f>
        <v>0</v>
      </c>
      <c r="G59" s="1005" t="str">
        <f xml:space="preserve"> 'FS Semi'!G$107</f>
        <v>$ 000s</v>
      </c>
      <c r="H59" s="1005">
        <f xml:space="preserve"> 'FS Semi'!H$107</f>
        <v>0</v>
      </c>
      <c r="I59" s="1005">
        <f xml:space="preserve"> 'FS Semi'!I$107</f>
        <v>0</v>
      </c>
      <c r="J59" s="1005">
        <f xml:space="preserve"> 'FS Semi'!J$107</f>
        <v>-1.5558398445136845E-6</v>
      </c>
      <c r="K59" s="1005">
        <f xml:space="preserve"> 'FS Semi'!K$107</f>
        <v>-1.402249836246483E-5</v>
      </c>
      <c r="L59" s="1005">
        <f xml:space="preserve"> 'FS Semi'!L$107</f>
        <v>-3.0776860512560233E-5</v>
      </c>
      <c r="M59" s="1005">
        <f xml:space="preserve"> 'FS Semi'!M$107</f>
        <v>-5.0199549150420353E-5</v>
      </c>
      <c r="N59" s="1005">
        <f xml:space="preserve"> 'FS Semi'!N$107</f>
        <v>-4.0178145100071561E-3</v>
      </c>
      <c r="O59" s="1005">
        <f xml:space="preserve"> 'FS Semi'!O$107</f>
        <v>0</v>
      </c>
      <c r="P59" s="1005">
        <f xml:space="preserve"> 'FS Semi'!P$107</f>
        <v>0</v>
      </c>
      <c r="Q59" s="1005">
        <f xml:space="preserve"> 'FS Semi'!Q$107</f>
        <v>0</v>
      </c>
      <c r="R59" s="1005">
        <f xml:space="preserve"> 'FS Semi'!R$107</f>
        <v>0</v>
      </c>
      <c r="S59" s="1005">
        <f xml:space="preserve"> 'FS Semi'!S$107</f>
        <v>0</v>
      </c>
      <c r="T59" s="1005">
        <f xml:space="preserve"> 'FS Semi'!T$107</f>
        <v>0</v>
      </c>
      <c r="U59" s="1005">
        <f xml:space="preserve"> 'FS Semi'!U$107</f>
        <v>0</v>
      </c>
      <c r="V59" s="1005">
        <f xml:space="preserve"> 'FS Semi'!V$107</f>
        <v>0</v>
      </c>
      <c r="W59" s="1005">
        <f xml:space="preserve"> 'FS Semi'!W$107</f>
        <v>0</v>
      </c>
      <c r="X59" s="1005">
        <f xml:space="preserve"> 'FS Semi'!X$107</f>
        <v>0</v>
      </c>
      <c r="Y59" s="1005">
        <f xml:space="preserve"> 'FS Semi'!Y$107</f>
        <v>0</v>
      </c>
      <c r="Z59" s="1005">
        <f xml:space="preserve"> 'FS Semi'!Z$107</f>
        <v>0</v>
      </c>
      <c r="AA59" s="1005">
        <f xml:space="preserve"> 'FS Semi'!AA$107</f>
        <v>0</v>
      </c>
      <c r="AB59" s="1005">
        <f xml:space="preserve"> 'FS Semi'!AB$107</f>
        <v>0</v>
      </c>
      <c r="AC59" s="1005">
        <f xml:space="preserve"> 'FS Semi'!AC$107</f>
        <v>0</v>
      </c>
      <c r="AD59" s="1005">
        <f xml:space="preserve"> 'FS Semi'!AD$107</f>
        <v>0</v>
      </c>
      <c r="AE59" s="1005">
        <f xml:space="preserve"> 'FS Semi'!AE$107</f>
        <v>0</v>
      </c>
      <c r="AF59" s="1005">
        <f xml:space="preserve"> 'FS Semi'!AF$107</f>
        <v>0</v>
      </c>
      <c r="AG59" s="1005">
        <f xml:space="preserve"> 'FS Semi'!AG$107</f>
        <v>0</v>
      </c>
      <c r="AH59" s="1005">
        <f xml:space="preserve"> 'FS Semi'!AH$107</f>
        <v>0</v>
      </c>
      <c r="AI59" s="1005">
        <f xml:space="preserve"> 'FS Semi'!AI$107</f>
        <v>0</v>
      </c>
      <c r="AJ59" s="1005">
        <f xml:space="preserve"> 'FS Semi'!AJ$107</f>
        <v>0</v>
      </c>
      <c r="AK59" s="1005">
        <f xml:space="preserve"> 'FS Semi'!AK$107</f>
        <v>0</v>
      </c>
      <c r="AL59" s="1005">
        <f xml:space="preserve"> 'FS Semi'!AL$107</f>
        <v>0</v>
      </c>
      <c r="AM59" s="1005">
        <f xml:space="preserve"> 'FS Semi'!AM$107</f>
        <v>0</v>
      </c>
      <c r="AN59" s="1005">
        <f xml:space="preserve"> 'FS Semi'!AN$107</f>
        <v>0</v>
      </c>
      <c r="AO59" s="1005">
        <f xml:space="preserve"> 'FS Semi'!AO$107</f>
        <v>0</v>
      </c>
      <c r="AP59" s="1005">
        <f xml:space="preserve"> 'FS Semi'!AP$107</f>
        <v>0</v>
      </c>
      <c r="AQ59" s="1005">
        <f xml:space="preserve"> 'FS Semi'!AQ$107</f>
        <v>0</v>
      </c>
      <c r="AR59" s="1005">
        <f xml:space="preserve"> 'FS Semi'!AR$107</f>
        <v>0</v>
      </c>
      <c r="AS59" s="1005">
        <f xml:space="preserve"> 'FS Semi'!AS$107</f>
        <v>0</v>
      </c>
      <c r="AT59" s="1005">
        <f xml:space="preserve"> 'FS Semi'!AT$107</f>
        <v>0</v>
      </c>
      <c r="AU59" s="1005">
        <f xml:space="preserve"> 'FS Semi'!AU$107</f>
        <v>0</v>
      </c>
      <c r="AV59" s="1005">
        <f xml:space="preserve"> 'FS Semi'!AV$107</f>
        <v>0</v>
      </c>
      <c r="AW59" s="1005">
        <f xml:space="preserve"> 'FS Semi'!AW$107</f>
        <v>0</v>
      </c>
      <c r="AX59" s="1005">
        <f xml:space="preserve"> 'FS Semi'!AX$107</f>
        <v>0</v>
      </c>
      <c r="AY59" s="1005">
        <f xml:space="preserve"> 'FS Semi'!AY$107</f>
        <v>0</v>
      </c>
      <c r="AZ59" s="1005">
        <f xml:space="preserve"> 'FS Semi'!AZ$107</f>
        <v>0</v>
      </c>
      <c r="BA59" s="1005">
        <f xml:space="preserve"> 'FS Semi'!BA$107</f>
        <v>0</v>
      </c>
      <c r="BB59" s="1005">
        <f xml:space="preserve"> 'FS Semi'!BB$107</f>
        <v>0</v>
      </c>
      <c r="BC59" s="1005">
        <f xml:space="preserve"> 'FS Semi'!BC$107</f>
        <v>0</v>
      </c>
      <c r="BD59" s="1005">
        <f xml:space="preserve"> 'FS Semi'!BD$107</f>
        <v>0</v>
      </c>
      <c r="BE59" s="1005">
        <f xml:space="preserve"> 'FS Semi'!BE$107</f>
        <v>0</v>
      </c>
      <c r="BF59" s="1005">
        <f xml:space="preserve"> 'FS Semi'!BF$107</f>
        <v>0</v>
      </c>
      <c r="BG59" s="1005">
        <f xml:space="preserve"> 'FS Semi'!BG$107</f>
        <v>0</v>
      </c>
      <c r="BH59" s="1005">
        <f xml:space="preserve"> 'FS Semi'!BH$107</f>
        <v>0</v>
      </c>
      <c r="BI59" s="1005">
        <f xml:space="preserve"> 'FS Semi'!BI$107</f>
        <v>0</v>
      </c>
      <c r="BJ59" s="1005">
        <f xml:space="preserve"> 'FS Semi'!BJ$107</f>
        <v>0</v>
      </c>
      <c r="BK59" s="1005">
        <f xml:space="preserve"> 'FS Semi'!BK$107</f>
        <v>0</v>
      </c>
      <c r="BL59" s="1005">
        <f xml:space="preserve"> 'FS Semi'!BL$107</f>
        <v>0</v>
      </c>
      <c r="BM59" s="1005">
        <f xml:space="preserve"> 'FS Semi'!BM$107</f>
        <v>0</v>
      </c>
      <c r="BN59" s="1005">
        <f xml:space="preserve"> 'FS Semi'!BN$107</f>
        <v>0</v>
      </c>
      <c r="BO59" s="1005">
        <f xml:space="preserve"> 'FS Semi'!BO$107</f>
        <v>0</v>
      </c>
      <c r="BP59" s="1005">
        <f xml:space="preserve"> 'FS Semi'!BP$107</f>
        <v>0</v>
      </c>
      <c r="BQ59" s="1005">
        <f xml:space="preserve"> 'FS Semi'!BQ$107</f>
        <v>0</v>
      </c>
      <c r="BR59" s="1005">
        <f xml:space="preserve"> 'FS Semi'!BR$107</f>
        <v>0</v>
      </c>
      <c r="BS59" s="1005">
        <f xml:space="preserve"> 'FS Semi'!BS$107</f>
        <v>0</v>
      </c>
      <c r="BT59" s="1005">
        <f xml:space="preserve"> 'FS Semi'!BT$107</f>
        <v>0</v>
      </c>
      <c r="BU59" s="1005">
        <f xml:space="preserve"> 'FS Semi'!BU$107</f>
        <v>0</v>
      </c>
      <c r="BV59" s="1005">
        <f xml:space="preserve"> 'FS Semi'!BV$107</f>
        <v>0</v>
      </c>
      <c r="BW59" s="1005">
        <f xml:space="preserve"> 'FS Semi'!BW$107</f>
        <v>0</v>
      </c>
      <c r="BX59" s="1005">
        <f xml:space="preserve"> 'FS Semi'!BX$107</f>
        <v>0</v>
      </c>
      <c r="BY59" s="1005">
        <f xml:space="preserve"> 'FS Semi'!BY$107</f>
        <v>0</v>
      </c>
      <c r="BZ59" s="1005">
        <f xml:space="preserve"> 'FS Semi'!BZ$107</f>
        <v>0</v>
      </c>
      <c r="CA59" s="1005">
        <f xml:space="preserve"> 'FS Semi'!CA$107</f>
        <v>0</v>
      </c>
      <c r="CB59" s="1005">
        <f xml:space="preserve"> 'FS Semi'!CB$107</f>
        <v>0</v>
      </c>
      <c r="CC59" s="1005">
        <f xml:space="preserve"> 'FS Semi'!CC$107</f>
        <v>0</v>
      </c>
      <c r="CD59" s="1005">
        <f xml:space="preserve"> 'FS Semi'!CD$107</f>
        <v>0</v>
      </c>
      <c r="CE59" s="1005">
        <f xml:space="preserve"> 'FS Semi'!CE$107</f>
        <v>0</v>
      </c>
      <c r="CF59" s="1005">
        <f xml:space="preserve"> 'FS Semi'!CF$107</f>
        <v>0</v>
      </c>
      <c r="CG59" s="1005">
        <f xml:space="preserve"> 'FS Semi'!CG$107</f>
        <v>0</v>
      </c>
      <c r="CH59" s="1005">
        <f xml:space="preserve"> 'FS Semi'!CH$107</f>
        <v>0</v>
      </c>
      <c r="CI59" s="1005">
        <f xml:space="preserve"> 'FS Semi'!CI$107</f>
        <v>0</v>
      </c>
      <c r="CJ59" s="1005">
        <f xml:space="preserve"> 'FS Semi'!CJ$107</f>
        <v>0</v>
      </c>
      <c r="CK59" s="1005">
        <f xml:space="preserve"> 'FS Semi'!CK$107</f>
        <v>0</v>
      </c>
      <c r="CL59" s="1005">
        <f xml:space="preserve"> 'FS Semi'!CL$107</f>
        <v>0</v>
      </c>
      <c r="CM59" s="1005">
        <f xml:space="preserve"> 'FS Semi'!CM$107</f>
        <v>0</v>
      </c>
      <c r="CN59" s="1005">
        <f xml:space="preserve"> 'FS Semi'!CN$107</f>
        <v>0</v>
      </c>
      <c r="CO59" s="1005">
        <f xml:space="preserve"> 'FS Semi'!CO$107</f>
        <v>0</v>
      </c>
      <c r="CP59" s="1005">
        <f xml:space="preserve"> 'FS Semi'!CP$107</f>
        <v>0</v>
      </c>
      <c r="CQ59" s="1005">
        <f xml:space="preserve"> 'FS Semi'!CQ$107</f>
        <v>0</v>
      </c>
      <c r="CR59" s="1005">
        <f xml:space="preserve"> 'FS Semi'!CR$107</f>
        <v>0</v>
      </c>
      <c r="CS59" s="1005">
        <f xml:space="preserve"> 'FS Semi'!CS$107</f>
        <v>0</v>
      </c>
      <c r="CT59" s="1005">
        <f xml:space="preserve"> 'FS Semi'!CT$107</f>
        <v>0</v>
      </c>
      <c r="CU59" s="1005">
        <f xml:space="preserve"> 'FS Semi'!CU$107</f>
        <v>0</v>
      </c>
      <c r="CV59" s="1005">
        <f xml:space="preserve"> 'FS Semi'!CV$107</f>
        <v>0</v>
      </c>
    </row>
    <row r="60" spans="1:100" s="1001" customFormat="1" outlineLevel="1" x14ac:dyDescent="0.2">
      <c r="A60" s="1008"/>
      <c r="B60" s="997"/>
      <c r="C60" s="998"/>
      <c r="D60" s="999"/>
      <c r="E60" s="1005" t="str">
        <f xml:space="preserve"> 'FS Semi'!E$111</f>
        <v>DSRA balance</v>
      </c>
      <c r="F60" s="1005">
        <f xml:space="preserve"> 'FS Semi'!F$111</f>
        <v>0</v>
      </c>
      <c r="G60" s="1005" t="str">
        <f xml:space="preserve"> 'FS Semi'!G$111</f>
        <v>$ 000s</v>
      </c>
      <c r="H60" s="1005">
        <f xml:space="preserve"> 'FS Semi'!H$111</f>
        <v>0</v>
      </c>
      <c r="I60" s="1005">
        <f xml:space="preserve"> 'FS Semi'!I$111</f>
        <v>0</v>
      </c>
      <c r="J60" s="1005">
        <f xml:space="preserve"> 'FS Semi'!J$111</f>
        <v>0</v>
      </c>
      <c r="K60" s="1005">
        <f xml:space="preserve"> 'FS Semi'!K$111</f>
        <v>0</v>
      </c>
      <c r="L60" s="1005">
        <f xml:space="preserve"> 'FS Semi'!L$111</f>
        <v>0</v>
      </c>
      <c r="M60" s="1005">
        <f xml:space="preserve"> 'FS Semi'!M$111</f>
        <v>0</v>
      </c>
      <c r="N60" s="1005">
        <f xml:space="preserve"> 'FS Semi'!N$111</f>
        <v>11233.130669939161</v>
      </c>
      <c r="O60" s="1005">
        <f xml:space="preserve"> 'FS Semi'!O$111</f>
        <v>11233.130669939161</v>
      </c>
      <c r="P60" s="1005">
        <f xml:space="preserve"> 'FS Semi'!P$111</f>
        <v>11190.794928838903</v>
      </c>
      <c r="Q60" s="1005">
        <f xml:space="preserve"> 'FS Semi'!Q$111</f>
        <v>11147.702061098667</v>
      </c>
      <c r="R60" s="1005">
        <f xml:space="preserve"> 'FS Semi'!R$111</f>
        <v>11104.822479349081</v>
      </c>
      <c r="S60" s="1005">
        <f xml:space="preserve"> 'FS Semi'!S$111</f>
        <v>11061.172559369908</v>
      </c>
      <c r="T60" s="1005">
        <f xml:space="preserve"> 'FS Semi'!T$111</f>
        <v>11025.255469920612</v>
      </c>
      <c r="U60" s="1005">
        <f xml:space="preserve"> 'FS Semi'!U$111</f>
        <v>10973.518731652715</v>
      </c>
      <c r="V60" s="1005">
        <f xml:space="preserve"> 'FS Semi'!V$111</f>
        <v>10921.998577696688</v>
      </c>
      <c r="W60" s="1005">
        <f xml:space="preserve"> 'FS Semi'!W$111</f>
        <v>10884.71667623521</v>
      </c>
      <c r="X60" s="1005">
        <f xml:space="preserve"> 'FS Semi'!X$111</f>
        <v>10840.135152344956</v>
      </c>
      <c r="Y60" s="1005">
        <f xml:space="preserve"> 'FS Semi'!Y$111</f>
        <v>10794.742010746362</v>
      </c>
      <c r="Z60" s="1005">
        <f xml:space="preserve"> 'FS Semi'!Z$111</f>
        <v>10749.568908064761</v>
      </c>
      <c r="AA60" s="1005">
        <f xml:space="preserve"> 'FS Semi'!AA$111</f>
        <v>10703.56986326347</v>
      </c>
      <c r="AB60" s="1005">
        <f xml:space="preserve"> 'FS Semi'!AB$111</f>
        <v>10665.064311187987</v>
      </c>
      <c r="AC60" s="1005">
        <f xml:space="preserve"> 'FS Semi'!AC$111</f>
        <v>10611.174866718349</v>
      </c>
      <c r="AD60" s="1005">
        <f xml:space="preserve"> 'FS Semi'!AD$111</f>
        <v>10557.509077694693</v>
      </c>
      <c r="AE60" s="1005">
        <f xml:space="preserve"> 'FS Semi'!AE$111</f>
        <v>10517.531143266302</v>
      </c>
      <c r="AF60" s="1005">
        <f xml:space="preserve"> 'FS Semi'!AF$111</f>
        <v>10470.507070020134</v>
      </c>
      <c r="AG60" s="1005">
        <f xml:space="preserve"> 'FS Semi'!AG$111</f>
        <v>10422.612301906172</v>
      </c>
      <c r="AH60" s="1005">
        <f xml:space="preserve"> 'FS Semi'!AH$111</f>
        <v>10374.944975120165</v>
      </c>
      <c r="AI60" s="1005">
        <f xml:space="preserve"> 'FS Semi'!AI$111</f>
        <v>10326.391413681304</v>
      </c>
      <c r="AJ60" s="1005">
        <f xml:space="preserve"> 'FS Semi'!AJ$111</f>
        <v>10285.079124192071</v>
      </c>
      <c r="AK60" s="1005">
        <f xml:space="preserve"> 'FS Semi'!AK$111</f>
        <v>10228.841010385528</v>
      </c>
      <c r="AL60" s="1005">
        <f xml:space="preserve"> 'FS Semi'!AL$111</f>
        <v>10172.834298762504</v>
      </c>
      <c r="AM60" s="1005">
        <f xml:space="preserve"> 'FS Semi'!AM$111</f>
        <v>10129.933079413677</v>
      </c>
      <c r="AN60" s="1005">
        <f xml:space="preserve"> 'FS Semi'!AN$111</f>
        <v>10080.253439298456</v>
      </c>
      <c r="AO60" s="1005">
        <f xml:space="preserve"> 'FS Semi'!AO$111</f>
        <v>10029.63904497031</v>
      </c>
      <c r="AP60" s="1005">
        <f xml:space="preserve"> 'FS Semi'!AP$111</f>
        <v>9979.2601971614822</v>
      </c>
      <c r="AQ60" s="1005">
        <f xml:space="preserve"> 'FS Semi'!AQ$111</f>
        <v>9927.9304935534874</v>
      </c>
      <c r="AR60" s="1005">
        <f xml:space="preserve"> 'FS Semi'!AR$111</f>
        <v>9883.5760729497488</v>
      </c>
      <c r="AS60" s="1005">
        <f xml:space="preserve"> 'FS Semi'!AS$111</f>
        <v>9824.7779316197557</v>
      </c>
      <c r="AT60" s="1005">
        <f xml:space="preserve"> 'FS Semi'!AT$111</f>
        <v>9766.220927027236</v>
      </c>
      <c r="AU60" s="1005">
        <f xml:space="preserve"> 'FS Semi'!AU$111</f>
        <v>4860.2302073800211</v>
      </c>
      <c r="AV60" s="1005">
        <f xml:space="preserve"> 'FS Semi'!AV$111</f>
        <v>-2.0082668106624624E-4</v>
      </c>
      <c r="AW60" s="1005">
        <f xml:space="preserve"> 'FS Semi'!AW$111</f>
        <v>-2.0082668106624624E-4</v>
      </c>
      <c r="AX60" s="1005">
        <f xml:space="preserve"> 'FS Semi'!AX$111</f>
        <v>-2.0082668106624624E-4</v>
      </c>
      <c r="AY60" s="1005">
        <f xml:space="preserve"> 'FS Semi'!AY$111</f>
        <v>-2.0082668106624624E-4</v>
      </c>
      <c r="AZ60" s="1005">
        <f xml:space="preserve"> 'FS Semi'!AZ$111</f>
        <v>-2.0082668106624624E-4</v>
      </c>
      <c r="BA60" s="1005">
        <f xml:space="preserve"> 'FS Semi'!BA$111</f>
        <v>-2.0082668106624624E-4</v>
      </c>
      <c r="BB60" s="1005">
        <f xml:space="preserve"> 'FS Semi'!BB$111</f>
        <v>-2.0082668106624624E-4</v>
      </c>
      <c r="BC60" s="1005">
        <f xml:space="preserve"> 'FS Semi'!BC$111</f>
        <v>-2.0082668106624624E-4</v>
      </c>
      <c r="BD60" s="1005">
        <f xml:space="preserve"> 'FS Semi'!BD$111</f>
        <v>-2.0082668106624624E-4</v>
      </c>
      <c r="BE60" s="1005">
        <f xml:space="preserve"> 'FS Semi'!BE$111</f>
        <v>-2.0082668106624624E-4</v>
      </c>
      <c r="BF60" s="1005">
        <f xml:space="preserve"> 'FS Semi'!BF$111</f>
        <v>-2.0082668106624624E-4</v>
      </c>
      <c r="BG60" s="1005">
        <f xml:space="preserve"> 'FS Semi'!BG$111</f>
        <v>-2.0082668106624624E-4</v>
      </c>
      <c r="BH60" s="1005">
        <f xml:space="preserve"> 'FS Semi'!BH$111</f>
        <v>-2.0082668106624624E-4</v>
      </c>
      <c r="BI60" s="1005">
        <f xml:space="preserve"> 'FS Semi'!BI$111</f>
        <v>-2.0082668106624624E-4</v>
      </c>
      <c r="BJ60" s="1005">
        <f xml:space="preserve"> 'FS Semi'!BJ$111</f>
        <v>-2.0082668106624624E-4</v>
      </c>
      <c r="BK60" s="1005">
        <f xml:space="preserve"> 'FS Semi'!BK$111</f>
        <v>-2.0082668106624624E-4</v>
      </c>
      <c r="BL60" s="1005">
        <f xml:space="preserve"> 'FS Semi'!BL$111</f>
        <v>-2.0082668106624624E-4</v>
      </c>
      <c r="BM60" s="1005">
        <f xml:space="preserve"> 'FS Semi'!BM$111</f>
        <v>-2.0082668106624624E-4</v>
      </c>
      <c r="BN60" s="1005">
        <f xml:space="preserve"> 'FS Semi'!BN$111</f>
        <v>-2.0082668106624624E-4</v>
      </c>
      <c r="BO60" s="1005">
        <f xml:space="preserve"> 'FS Semi'!BO$111</f>
        <v>-2.0082668106624624E-4</v>
      </c>
      <c r="BP60" s="1005">
        <f xml:space="preserve"> 'FS Semi'!BP$111</f>
        <v>-2.0082668106624624E-4</v>
      </c>
      <c r="BQ60" s="1005">
        <f xml:space="preserve"> 'FS Semi'!BQ$111</f>
        <v>-2.0082668106624624E-4</v>
      </c>
      <c r="BR60" s="1005">
        <f xml:space="preserve"> 'FS Semi'!BR$111</f>
        <v>-2.0082668106624624E-4</v>
      </c>
      <c r="BS60" s="1005">
        <f xml:space="preserve"> 'FS Semi'!BS$111</f>
        <v>-2.0082668106624624E-4</v>
      </c>
      <c r="BT60" s="1005">
        <f xml:space="preserve"> 'FS Semi'!BT$111</f>
        <v>-2.0082668106624624E-4</v>
      </c>
      <c r="BU60" s="1005">
        <f xml:space="preserve"> 'FS Semi'!BU$111</f>
        <v>-2.0082668106624624E-4</v>
      </c>
      <c r="BV60" s="1005">
        <f xml:space="preserve"> 'FS Semi'!BV$111</f>
        <v>-2.0082668106624624E-4</v>
      </c>
      <c r="BW60" s="1005">
        <f xml:space="preserve"> 'FS Semi'!BW$111</f>
        <v>-2.0082668106624624E-4</v>
      </c>
      <c r="BX60" s="1005">
        <f xml:space="preserve"> 'FS Semi'!BX$111</f>
        <v>-2.0082668106624624E-4</v>
      </c>
      <c r="BY60" s="1005">
        <f xml:space="preserve"> 'FS Semi'!BY$111</f>
        <v>-2.0082668106624624E-4</v>
      </c>
      <c r="BZ60" s="1005">
        <f xml:space="preserve"> 'FS Semi'!BZ$111</f>
        <v>-2.0082668106624624E-4</v>
      </c>
      <c r="CA60" s="1005">
        <f xml:space="preserve"> 'FS Semi'!CA$111</f>
        <v>-2.0082668106624624E-4</v>
      </c>
      <c r="CB60" s="1005">
        <f xml:space="preserve"> 'FS Semi'!CB$111</f>
        <v>-2.0082668106624624E-4</v>
      </c>
      <c r="CC60" s="1005">
        <f xml:space="preserve"> 'FS Semi'!CC$111</f>
        <v>-2.0082668106624624E-4</v>
      </c>
      <c r="CD60" s="1005">
        <f xml:space="preserve"> 'FS Semi'!CD$111</f>
        <v>-2.0082668106624624E-4</v>
      </c>
      <c r="CE60" s="1005">
        <f xml:space="preserve"> 'FS Semi'!CE$111</f>
        <v>-2.0082668106624624E-4</v>
      </c>
      <c r="CF60" s="1005">
        <f xml:space="preserve"> 'FS Semi'!CF$111</f>
        <v>-2.0082668106624624E-4</v>
      </c>
      <c r="CG60" s="1005">
        <f xml:space="preserve"> 'FS Semi'!CG$111</f>
        <v>-2.0082668106624624E-4</v>
      </c>
      <c r="CH60" s="1005">
        <f xml:space="preserve"> 'FS Semi'!CH$111</f>
        <v>-2.0082668106624624E-4</v>
      </c>
      <c r="CI60" s="1005">
        <f xml:space="preserve"> 'FS Semi'!CI$111</f>
        <v>-2.0082668106624624E-4</v>
      </c>
      <c r="CJ60" s="1005">
        <f xml:space="preserve"> 'FS Semi'!CJ$111</f>
        <v>-2.0082668106624624E-4</v>
      </c>
      <c r="CK60" s="1005">
        <f xml:space="preserve"> 'FS Semi'!CK$111</f>
        <v>-2.0082668106624624E-4</v>
      </c>
      <c r="CL60" s="1005">
        <f xml:space="preserve"> 'FS Semi'!CL$111</f>
        <v>-2.0082668106624624E-4</v>
      </c>
      <c r="CM60" s="1005">
        <f xml:space="preserve"> 'FS Semi'!CM$111</f>
        <v>-2.0082668106624624E-4</v>
      </c>
      <c r="CN60" s="1005">
        <f xml:space="preserve"> 'FS Semi'!CN$111</f>
        <v>-2.0082668106624624E-4</v>
      </c>
      <c r="CO60" s="1005">
        <f xml:space="preserve"> 'FS Semi'!CO$111</f>
        <v>-2.0082668106624624E-4</v>
      </c>
      <c r="CP60" s="1005">
        <f xml:space="preserve"> 'FS Semi'!CP$111</f>
        <v>-2.0082668106624624E-4</v>
      </c>
      <c r="CQ60" s="1005">
        <f xml:space="preserve"> 'FS Semi'!CQ$111</f>
        <v>-2.0082668106624624E-4</v>
      </c>
      <c r="CR60" s="1005">
        <f xml:space="preserve"> 'FS Semi'!CR$111</f>
        <v>-2.0082668106624624E-4</v>
      </c>
      <c r="CS60" s="1005">
        <f xml:space="preserve"> 'FS Semi'!CS$111</f>
        <v>-2.0082668106624624E-4</v>
      </c>
      <c r="CT60" s="1005">
        <f xml:space="preserve"> 'FS Semi'!CT$111</f>
        <v>-2.0082668106624624E-4</v>
      </c>
      <c r="CU60" s="1005">
        <f xml:space="preserve"> 'FS Semi'!CU$111</f>
        <v>-2.0082668106624624E-4</v>
      </c>
      <c r="CV60" s="1005">
        <f xml:space="preserve"> 'FS Semi'!CV$111</f>
        <v>-2.0082668106624624E-4</v>
      </c>
    </row>
    <row r="61" spans="1:100" s="1001" customFormat="1" outlineLevel="1" x14ac:dyDescent="0.2">
      <c r="A61" s="1008"/>
      <c r="B61" s="997"/>
      <c r="C61" s="998"/>
      <c r="D61" s="999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5"/>
      <c r="V61" s="1005"/>
      <c r="W61" s="1005"/>
      <c r="X61" s="1005"/>
      <c r="Y61" s="1005"/>
      <c r="Z61" s="1005"/>
      <c r="AA61" s="1005"/>
      <c r="AB61" s="1005"/>
      <c r="AC61" s="1005"/>
      <c r="AD61" s="1005"/>
      <c r="AE61" s="1005"/>
      <c r="AF61" s="1005"/>
      <c r="AG61" s="1005"/>
      <c r="AH61" s="1005"/>
      <c r="AI61" s="1005"/>
      <c r="AJ61" s="1005"/>
      <c r="AK61" s="1005"/>
      <c r="AL61" s="1005"/>
      <c r="AM61" s="1005"/>
      <c r="AN61" s="1005"/>
      <c r="AO61" s="1005"/>
      <c r="AP61" s="1005"/>
      <c r="AQ61" s="1005"/>
      <c r="AR61" s="1005"/>
      <c r="AS61" s="1005"/>
      <c r="AT61" s="1005"/>
      <c r="AU61" s="1005"/>
      <c r="AV61" s="1005"/>
      <c r="AW61" s="1005"/>
      <c r="AX61" s="1005"/>
      <c r="AY61" s="1005"/>
      <c r="AZ61" s="1005"/>
      <c r="BA61" s="1005"/>
      <c r="BB61" s="1005"/>
      <c r="BC61" s="1005"/>
      <c r="BD61" s="1005"/>
      <c r="BE61" s="1005"/>
      <c r="BF61" s="1005"/>
      <c r="BG61" s="1005"/>
      <c r="BH61" s="1005"/>
      <c r="BI61" s="1005"/>
      <c r="BJ61" s="1005"/>
      <c r="BK61" s="1005"/>
      <c r="BL61" s="1005"/>
      <c r="BM61" s="1005"/>
      <c r="BN61" s="1005"/>
      <c r="BO61" s="1005"/>
      <c r="BP61" s="1005"/>
      <c r="BQ61" s="1005"/>
      <c r="BR61" s="1005"/>
      <c r="BS61" s="1005"/>
      <c r="BT61" s="1005"/>
      <c r="BU61" s="1005"/>
      <c r="BV61" s="1005"/>
      <c r="BW61" s="1005"/>
      <c r="BX61" s="1005"/>
      <c r="BY61" s="1005"/>
      <c r="BZ61" s="1005"/>
      <c r="CA61" s="1005"/>
      <c r="CB61" s="1005"/>
      <c r="CC61" s="1005"/>
      <c r="CD61" s="1005"/>
      <c r="CE61" s="1005"/>
      <c r="CF61" s="1005"/>
      <c r="CG61" s="1005"/>
      <c r="CH61" s="1005"/>
      <c r="CI61" s="1005"/>
      <c r="CJ61" s="1005"/>
      <c r="CK61" s="1005"/>
      <c r="CL61" s="1005"/>
      <c r="CM61" s="1005"/>
      <c r="CN61" s="1005"/>
      <c r="CO61" s="1005"/>
      <c r="CP61" s="1005"/>
      <c r="CQ61" s="1005"/>
      <c r="CR61" s="1005"/>
      <c r="CS61" s="1005"/>
      <c r="CT61" s="1005"/>
      <c r="CU61" s="1005"/>
      <c r="CV61" s="1005"/>
    </row>
    <row r="62" spans="1:100" s="1001" customFormat="1" outlineLevel="1" x14ac:dyDescent="0.2">
      <c r="A62" s="1008"/>
      <c r="B62" s="997"/>
      <c r="C62" s="998"/>
      <c r="D62" s="999"/>
      <c r="E62" s="1005" t="str">
        <f xml:space="preserve"> 'FS Semi'!E$119</f>
        <v>Senior debt balance - T1</v>
      </c>
      <c r="F62" s="1005">
        <f xml:space="preserve"> 'FS Semi'!F$119</f>
        <v>0</v>
      </c>
      <c r="G62" s="1005" t="str">
        <f xml:space="preserve"> 'FS Semi'!G$119</f>
        <v>$ 000s</v>
      </c>
      <c r="H62" s="1005">
        <f xml:space="preserve"> 'FS Semi'!H$119</f>
        <v>0</v>
      </c>
      <c r="I62" s="1005">
        <f xml:space="preserve"> 'FS Semi'!I$119</f>
        <v>0</v>
      </c>
      <c r="J62" s="1005">
        <f xml:space="preserve"> 'FS Semi'!J$119</f>
        <v>0</v>
      </c>
      <c r="K62" s="1005">
        <f xml:space="preserve"> 'FS Semi'!K$119</f>
        <v>12084.251893640236</v>
      </c>
      <c r="L62" s="1005">
        <f xml:space="preserve"> 'FS Semi'!L$119</f>
        <v>48641.086087745876</v>
      </c>
      <c r="M62" s="1005">
        <f xml:space="preserve"> 'FS Semi'!M$119</f>
        <v>85848.029919746245</v>
      </c>
      <c r="N62" s="1005">
        <f xml:space="preserve"> 'FS Semi'!N$119</f>
        <v>125194.92613015344</v>
      </c>
      <c r="O62" s="1005">
        <f xml:space="preserve"> 'FS Semi'!O$119</f>
        <v>122307.36969156924</v>
      </c>
      <c r="P62" s="1005">
        <f xml:space="preserve"> 'FS Semi'!P$119</f>
        <v>119922.1352876555</v>
      </c>
      <c r="Q62" s="1005">
        <f xml:space="preserve"> 'FS Semi'!Q$119</f>
        <v>117508.19233590935</v>
      </c>
      <c r="R62" s="1005">
        <f xml:space="preserve"> 'FS Semi'!R$119</f>
        <v>115049.50252800655</v>
      </c>
      <c r="S62" s="1005">
        <f xml:space="preserve"> 'FS Semi'!S$119</f>
        <v>112559.24542947744</v>
      </c>
      <c r="T62" s="1005">
        <f xml:space="preserve"> 'FS Semi'!T$119</f>
        <v>110024.16578572989</v>
      </c>
      <c r="U62" s="1005">
        <f xml:space="preserve"> 'FS Semi'!U$119</f>
        <v>107454.54754436042</v>
      </c>
      <c r="V62" s="1005">
        <f xml:space="preserve"> 'FS Semi'!V$119</f>
        <v>104844.37664323812</v>
      </c>
      <c r="W62" s="1005">
        <f xml:space="preserve"> 'FS Semi'!W$119</f>
        <v>102198.52966645258</v>
      </c>
      <c r="X62" s="1005">
        <f xml:space="preserve"> 'FS Semi'!X$119</f>
        <v>99501.600215346058</v>
      </c>
      <c r="Y62" s="1005">
        <f xml:space="preserve"> 'FS Semi'!Y$119</f>
        <v>96843.285838745331</v>
      </c>
      <c r="Z62" s="1005">
        <f xml:space="preserve"> 'FS Semi'!Z$119</f>
        <v>94137.669059260574</v>
      </c>
      <c r="AA62" s="1005">
        <f xml:space="preserve"> 'FS Semi'!AA$119</f>
        <v>91388.173880573551</v>
      </c>
      <c r="AB62" s="1005">
        <f xml:space="preserve"> 'FS Semi'!AB$119</f>
        <v>88591.140842060806</v>
      </c>
      <c r="AC62" s="1005">
        <f xml:space="preserve"> 'FS Semi'!AC$119</f>
        <v>85746.585013341115</v>
      </c>
      <c r="AD62" s="1005">
        <f xml:space="preserve"> 'FS Semi'!AD$119</f>
        <v>82856.442001167306</v>
      </c>
      <c r="AE62" s="1005">
        <f xml:space="preserve"> 'FS Semi'!AE$119</f>
        <v>79918.828937485043</v>
      </c>
      <c r="AF62" s="1005">
        <f xml:space="preserve"> 'FS Semi'!AF$119</f>
        <v>76927.27686561922</v>
      </c>
      <c r="AG62" s="1005">
        <f xml:space="preserve"> 'FS Semi'!AG$119</f>
        <v>73880.450658089481</v>
      </c>
      <c r="AH62" s="1005">
        <f xml:space="preserve"> 'FS Semi'!AH$119</f>
        <v>70785.247373619</v>
      </c>
      <c r="AI62" s="1005">
        <f xml:space="preserve"> 'FS Semi'!AI$119</f>
        <v>67690.833646661864</v>
      </c>
      <c r="AJ62" s="1005">
        <f xml:space="preserve"> 'FS Semi'!AJ$119</f>
        <v>64544.128046861137</v>
      </c>
      <c r="AK62" s="1005">
        <f xml:space="preserve"> 'FS Semi'!AK$119</f>
        <v>61331.848850567236</v>
      </c>
      <c r="AL62" s="1005">
        <f xml:space="preserve"> 'FS Semi'!AL$119</f>
        <v>58066.22768944627</v>
      </c>
      <c r="AM62" s="1005">
        <f xml:space="preserve"> 'FS Semi'!AM$119</f>
        <v>54736.43721186708</v>
      </c>
      <c r="AN62" s="1005">
        <f xml:space="preserve"> 'FS Semi'!AN$119</f>
        <v>51347.570845042952</v>
      </c>
      <c r="AO62" s="1005">
        <f xml:space="preserve"> 'FS Semi'!AO$119</f>
        <v>47883.159012851975</v>
      </c>
      <c r="AP62" s="1005">
        <f xml:space="preserve"> 'FS Semi'!AP$119</f>
        <v>44364.691041537037</v>
      </c>
      <c r="AQ62" s="1005">
        <f xml:space="preserve"> 'FS Semi'!AQ$119</f>
        <v>40765.341095443495</v>
      </c>
      <c r="AR62" s="1005">
        <f xml:space="preserve"> 'FS Semi'!AR$119</f>
        <v>37111.262402800712</v>
      </c>
      <c r="AS62" s="1005">
        <f xml:space="preserve"> 'FS Semi'!AS$119</f>
        <v>28054.211954517719</v>
      </c>
      <c r="AT62" s="1005">
        <f xml:space="preserve"> 'FS Semi'!AT$119</f>
        <v>18869.053669515644</v>
      </c>
      <c r="AU62" s="1005">
        <f xml:space="preserve"> 'FS Semi'!AU$119</f>
        <v>9500.7049074522929</v>
      </c>
      <c r="AV62" s="1005">
        <f xml:space="preserve"> 'FS Semi'!AV$119</f>
        <v>-2.5461520346652833E-2</v>
      </c>
      <c r="AW62" s="1005">
        <f xml:space="preserve"> 'FS Semi'!AW$119</f>
        <v>-2.5461520346652833E-2</v>
      </c>
      <c r="AX62" s="1005">
        <f xml:space="preserve"> 'FS Semi'!AX$119</f>
        <v>-2.5461520346652833E-2</v>
      </c>
      <c r="AY62" s="1005">
        <f xml:space="preserve"> 'FS Semi'!AY$119</f>
        <v>-2.5461520346652833E-2</v>
      </c>
      <c r="AZ62" s="1005">
        <f xml:space="preserve"> 'FS Semi'!AZ$119</f>
        <v>-2.5461520346652833E-2</v>
      </c>
      <c r="BA62" s="1005">
        <f xml:space="preserve"> 'FS Semi'!BA$119</f>
        <v>-2.5461520346652833E-2</v>
      </c>
      <c r="BB62" s="1005">
        <f xml:space="preserve"> 'FS Semi'!BB$119</f>
        <v>-2.5461520346652833E-2</v>
      </c>
      <c r="BC62" s="1005">
        <f xml:space="preserve"> 'FS Semi'!BC$119</f>
        <v>-2.5461520346652833E-2</v>
      </c>
      <c r="BD62" s="1005">
        <f xml:space="preserve"> 'FS Semi'!BD$119</f>
        <v>-2.5461520346652833E-2</v>
      </c>
      <c r="BE62" s="1005">
        <f xml:space="preserve"> 'FS Semi'!BE$119</f>
        <v>-2.5461520346652833E-2</v>
      </c>
      <c r="BF62" s="1005">
        <f xml:space="preserve"> 'FS Semi'!BF$119</f>
        <v>-2.5461520346652833E-2</v>
      </c>
      <c r="BG62" s="1005">
        <f xml:space="preserve"> 'FS Semi'!BG$119</f>
        <v>-2.5461520346652833E-2</v>
      </c>
      <c r="BH62" s="1005">
        <f xml:space="preserve"> 'FS Semi'!BH$119</f>
        <v>-2.5461520346652833E-2</v>
      </c>
      <c r="BI62" s="1005">
        <f xml:space="preserve"> 'FS Semi'!BI$119</f>
        <v>-2.5461520346652833E-2</v>
      </c>
      <c r="BJ62" s="1005">
        <f xml:space="preserve"> 'FS Semi'!BJ$119</f>
        <v>-2.5461520346652833E-2</v>
      </c>
      <c r="BK62" s="1005">
        <f xml:space="preserve"> 'FS Semi'!BK$119</f>
        <v>-2.5461520346652833E-2</v>
      </c>
      <c r="BL62" s="1005">
        <f xml:space="preserve"> 'FS Semi'!BL$119</f>
        <v>-2.5461520346652833E-2</v>
      </c>
      <c r="BM62" s="1005">
        <f xml:space="preserve"> 'FS Semi'!BM$119</f>
        <v>-2.5461520346652833E-2</v>
      </c>
      <c r="BN62" s="1005">
        <f xml:space="preserve"> 'FS Semi'!BN$119</f>
        <v>-2.5461520346652833E-2</v>
      </c>
      <c r="BO62" s="1005">
        <f xml:space="preserve"> 'FS Semi'!BO$119</f>
        <v>-2.5461520346652833E-2</v>
      </c>
      <c r="BP62" s="1005">
        <f xml:space="preserve"> 'FS Semi'!BP$119</f>
        <v>-2.5461520346652833E-2</v>
      </c>
      <c r="BQ62" s="1005">
        <f xml:space="preserve"> 'FS Semi'!BQ$119</f>
        <v>-2.5461520346652833E-2</v>
      </c>
      <c r="BR62" s="1005">
        <f xml:space="preserve"> 'FS Semi'!BR$119</f>
        <v>-2.5461520346652833E-2</v>
      </c>
      <c r="BS62" s="1005">
        <f xml:space="preserve"> 'FS Semi'!BS$119</f>
        <v>-2.5461520346652833E-2</v>
      </c>
      <c r="BT62" s="1005">
        <f xml:space="preserve"> 'FS Semi'!BT$119</f>
        <v>-2.5461520346652833E-2</v>
      </c>
      <c r="BU62" s="1005">
        <f xml:space="preserve"> 'FS Semi'!BU$119</f>
        <v>-2.5461520346652833E-2</v>
      </c>
      <c r="BV62" s="1005">
        <f xml:space="preserve"> 'FS Semi'!BV$119</f>
        <v>-2.5461520346652833E-2</v>
      </c>
      <c r="BW62" s="1005">
        <f xml:space="preserve"> 'FS Semi'!BW$119</f>
        <v>-2.5461520346652833E-2</v>
      </c>
      <c r="BX62" s="1005">
        <f xml:space="preserve"> 'FS Semi'!BX$119</f>
        <v>-2.5461520346652833E-2</v>
      </c>
      <c r="BY62" s="1005">
        <f xml:space="preserve"> 'FS Semi'!BY$119</f>
        <v>-2.5461520346652833E-2</v>
      </c>
      <c r="BZ62" s="1005">
        <f xml:space="preserve"> 'FS Semi'!BZ$119</f>
        <v>-2.5461520346652833E-2</v>
      </c>
      <c r="CA62" s="1005">
        <f xml:space="preserve"> 'FS Semi'!CA$119</f>
        <v>-2.5461520346652833E-2</v>
      </c>
      <c r="CB62" s="1005">
        <f xml:space="preserve"> 'FS Semi'!CB$119</f>
        <v>-2.5461520346652833E-2</v>
      </c>
      <c r="CC62" s="1005">
        <f xml:space="preserve"> 'FS Semi'!CC$119</f>
        <v>-2.5461520346652833E-2</v>
      </c>
      <c r="CD62" s="1005">
        <f xml:space="preserve"> 'FS Semi'!CD$119</f>
        <v>-2.5461520346652833E-2</v>
      </c>
      <c r="CE62" s="1005">
        <f xml:space="preserve"> 'FS Semi'!CE$119</f>
        <v>-2.5461520346652833E-2</v>
      </c>
      <c r="CF62" s="1005">
        <f xml:space="preserve"> 'FS Semi'!CF$119</f>
        <v>-2.5461520346652833E-2</v>
      </c>
      <c r="CG62" s="1005">
        <f xml:space="preserve"> 'FS Semi'!CG$119</f>
        <v>-2.5461520346652833E-2</v>
      </c>
      <c r="CH62" s="1005">
        <f xml:space="preserve"> 'FS Semi'!CH$119</f>
        <v>-2.5461520346652833E-2</v>
      </c>
      <c r="CI62" s="1005">
        <f xml:space="preserve"> 'FS Semi'!CI$119</f>
        <v>-2.5461520346652833E-2</v>
      </c>
      <c r="CJ62" s="1005">
        <f xml:space="preserve"> 'FS Semi'!CJ$119</f>
        <v>-2.5461520346652833E-2</v>
      </c>
      <c r="CK62" s="1005">
        <f xml:space="preserve"> 'FS Semi'!CK$119</f>
        <v>-2.5461520346652833E-2</v>
      </c>
      <c r="CL62" s="1005">
        <f xml:space="preserve"> 'FS Semi'!CL$119</f>
        <v>-2.5461520346652833E-2</v>
      </c>
      <c r="CM62" s="1005">
        <f xml:space="preserve"> 'FS Semi'!CM$119</f>
        <v>-2.5461520346652833E-2</v>
      </c>
      <c r="CN62" s="1005">
        <f xml:space="preserve"> 'FS Semi'!CN$119</f>
        <v>-2.5461520346652833E-2</v>
      </c>
      <c r="CO62" s="1005">
        <f xml:space="preserve"> 'FS Semi'!CO$119</f>
        <v>-2.5461520346652833E-2</v>
      </c>
      <c r="CP62" s="1005">
        <f xml:space="preserve"> 'FS Semi'!CP$119</f>
        <v>-2.5461520346652833E-2</v>
      </c>
      <c r="CQ62" s="1005">
        <f xml:space="preserve"> 'FS Semi'!CQ$119</f>
        <v>-2.5461520346652833E-2</v>
      </c>
      <c r="CR62" s="1005">
        <f xml:space="preserve"> 'FS Semi'!CR$119</f>
        <v>-2.5461520346652833E-2</v>
      </c>
      <c r="CS62" s="1005">
        <f xml:space="preserve"> 'FS Semi'!CS$119</f>
        <v>-2.5461520346652833E-2</v>
      </c>
      <c r="CT62" s="1005">
        <f xml:space="preserve"> 'FS Semi'!CT$119</f>
        <v>-2.5461520346652833E-2</v>
      </c>
      <c r="CU62" s="1005">
        <f xml:space="preserve"> 'FS Semi'!CU$119</f>
        <v>-2.5461520346652833E-2</v>
      </c>
      <c r="CV62" s="1005">
        <f xml:space="preserve"> 'FS Semi'!CV$119</f>
        <v>-2.5461520346652833E-2</v>
      </c>
    </row>
    <row r="63" spans="1:100" s="1001" customFormat="1" outlineLevel="1" x14ac:dyDescent="0.2">
      <c r="A63" s="1008"/>
      <c r="B63" s="997"/>
      <c r="C63" s="998"/>
      <c r="D63" s="999"/>
      <c r="E63" s="1005" t="str">
        <f xml:space="preserve"> 'FS Semi'!E$120</f>
        <v>Senior debt balance - T2</v>
      </c>
      <c r="F63" s="1005">
        <f xml:space="preserve"> 'FS Semi'!F$120</f>
        <v>0</v>
      </c>
      <c r="G63" s="1005" t="str">
        <f xml:space="preserve"> 'FS Semi'!G$120</f>
        <v>$ 000s</v>
      </c>
      <c r="H63" s="1005">
        <f xml:space="preserve"> 'FS Semi'!H$120</f>
        <v>0</v>
      </c>
      <c r="I63" s="1005">
        <f xml:space="preserve"> 'FS Semi'!I$120</f>
        <v>0</v>
      </c>
      <c r="J63" s="1005">
        <f xml:space="preserve"> 'FS Semi'!J$120</f>
        <v>0</v>
      </c>
      <c r="K63" s="1005">
        <f xml:space="preserve"> 'FS Semi'!K$120</f>
        <v>12084.251893640236</v>
      </c>
      <c r="L63" s="1005">
        <f xml:space="preserve"> 'FS Semi'!L$120</f>
        <v>48641.086087745876</v>
      </c>
      <c r="M63" s="1005">
        <f xml:space="preserve"> 'FS Semi'!M$120</f>
        <v>85848.029919746245</v>
      </c>
      <c r="N63" s="1005">
        <f xml:space="preserve"> 'FS Semi'!N$120</f>
        <v>125194.92613015344</v>
      </c>
      <c r="O63" s="1005">
        <f xml:space="preserve"> 'FS Semi'!O$120</f>
        <v>121090.7892959798</v>
      </c>
      <c r="P63" s="1005">
        <f xml:space="preserve"> 'FS Semi'!P$120</f>
        <v>117700.61196665274</v>
      </c>
      <c r="Q63" s="1005">
        <f xml:space="preserve"> 'FS Semi'!Q$120</f>
        <v>114269.63065266921</v>
      </c>
      <c r="R63" s="1005">
        <f xml:space="preserve"> 'FS Semi'!R$120</f>
        <v>110775.04981276403</v>
      </c>
      <c r="S63" s="1005">
        <f xml:space="preserve"> 'FS Semi'!S$120</f>
        <v>107235.60180472895</v>
      </c>
      <c r="T63" s="1005">
        <f xml:space="preserve"> 'FS Semi'!T$120</f>
        <v>103632.44669252292</v>
      </c>
      <c r="U63" s="1005">
        <f xml:space="preserve"> 'FS Semi'!U$120</f>
        <v>99980.201239152753</v>
      </c>
      <c r="V63" s="1005">
        <f xml:space="preserve"> 'FS Semi'!V$120</f>
        <v>96270.31754800085</v>
      </c>
      <c r="W63" s="1005">
        <f xml:space="preserve"> 'FS Semi'!W$120</f>
        <v>92509.726797318668</v>
      </c>
      <c r="X63" s="1005">
        <f xml:space="preserve"> 'FS Semi'!X$120</f>
        <v>88676.531590619605</v>
      </c>
      <c r="Y63" s="1005">
        <f xml:space="preserve"> 'FS Semi'!Y$120</f>
        <v>84898.220696315591</v>
      </c>
      <c r="Z63" s="1005">
        <f xml:space="preserve"> 'FS Semi'!Z$120</f>
        <v>81052.678030737021</v>
      </c>
      <c r="AA63" s="1005">
        <f xml:space="preserve"> 'FS Semi'!AA$120</f>
        <v>77144.770193006567</v>
      </c>
      <c r="AB63" s="1005">
        <f xml:space="preserve"> 'FS Semi'!AB$120</f>
        <v>73169.295924739374</v>
      </c>
      <c r="AC63" s="1005">
        <f xml:space="preserve"> 'FS Semi'!AC$120</f>
        <v>69126.276644660495</v>
      </c>
      <c r="AD63" s="1005">
        <f xml:space="preserve"> 'FS Semi'!AD$120</f>
        <v>65018.4634660866</v>
      </c>
      <c r="AE63" s="1005">
        <f xml:space="preserve"> 'FS Semi'!AE$120</f>
        <v>60843.180234178777</v>
      </c>
      <c r="AF63" s="1005">
        <f xml:space="preserve"> 'FS Semi'!AF$120</f>
        <v>56591.232502375169</v>
      </c>
      <c r="AG63" s="1005">
        <f xml:space="preserve"> 'FS Semi'!AG$120</f>
        <v>52260.722629543205</v>
      </c>
      <c r="AH63" s="1005">
        <f xml:space="preserve"> 'FS Semi'!AH$120</f>
        <v>47861.453531523759</v>
      </c>
      <c r="AI63" s="1005">
        <f xml:space="preserve"> 'FS Semi'!AI$120</f>
        <v>43463.30664605397</v>
      </c>
      <c r="AJ63" s="1005">
        <f xml:space="preserve"> 'FS Semi'!AJ$120</f>
        <v>38990.836364304349</v>
      </c>
      <c r="AK63" s="1005">
        <f xml:space="preserve"> 'FS Semi'!AK$120</f>
        <v>34425.165129277833</v>
      </c>
      <c r="AL63" s="1005">
        <f xml:space="preserve"> 'FS Semi'!AL$120</f>
        <v>29783.677983009326</v>
      </c>
      <c r="AM63" s="1005">
        <f xml:space="preserve"> 'FS Semi'!AM$120</f>
        <v>25050.985812388433</v>
      </c>
      <c r="AN63" s="1005">
        <f xml:space="preserve"> 'FS Semi'!AN$120</f>
        <v>20234.327998768505</v>
      </c>
      <c r="AO63" s="1005">
        <f xml:space="preserve"> 'FS Semi'!AO$120</f>
        <v>15310.296032067479</v>
      </c>
      <c r="AP63" s="1005">
        <f xml:space="preserve"> 'FS Semi'!AP$120</f>
        <v>10309.43308512052</v>
      </c>
      <c r="AQ63" s="1005">
        <f xml:space="preserve"> 'FS Semi'!AQ$120</f>
        <v>5193.6111065598579</v>
      </c>
      <c r="AR63" s="1005">
        <f xml:space="preserve"> 'FS Semi'!AR$120</f>
        <v>2.1585050071735168E-3</v>
      </c>
      <c r="AS63" s="1005">
        <f xml:space="preserve"> 'FS Semi'!AS$120</f>
        <v>2.1585050071735168E-3</v>
      </c>
      <c r="AT63" s="1005">
        <f xml:space="preserve"> 'FS Semi'!AT$120</f>
        <v>2.1585050071735168E-3</v>
      </c>
      <c r="AU63" s="1005">
        <f xml:space="preserve"> 'FS Semi'!AU$120</f>
        <v>2.1585050071735168E-3</v>
      </c>
      <c r="AV63" s="1005">
        <f xml:space="preserve"> 'FS Semi'!AV$120</f>
        <v>2.1585050071735168E-3</v>
      </c>
      <c r="AW63" s="1005">
        <f xml:space="preserve"> 'FS Semi'!AW$120</f>
        <v>2.1585050071735168E-3</v>
      </c>
      <c r="AX63" s="1005">
        <f xml:space="preserve"> 'FS Semi'!AX$120</f>
        <v>2.1585050071735168E-3</v>
      </c>
      <c r="AY63" s="1005">
        <f xml:space="preserve"> 'FS Semi'!AY$120</f>
        <v>2.1585050071735168E-3</v>
      </c>
      <c r="AZ63" s="1005">
        <f xml:space="preserve"> 'FS Semi'!AZ$120</f>
        <v>2.1585050071735168E-3</v>
      </c>
      <c r="BA63" s="1005">
        <f xml:space="preserve"> 'FS Semi'!BA$120</f>
        <v>2.1585050071735168E-3</v>
      </c>
      <c r="BB63" s="1005">
        <f xml:space="preserve"> 'FS Semi'!BB$120</f>
        <v>2.1585050071735168E-3</v>
      </c>
      <c r="BC63" s="1005">
        <f xml:space="preserve"> 'FS Semi'!BC$120</f>
        <v>2.1585050071735168E-3</v>
      </c>
      <c r="BD63" s="1005">
        <f xml:space="preserve"> 'FS Semi'!BD$120</f>
        <v>2.1585050071735168E-3</v>
      </c>
      <c r="BE63" s="1005">
        <f xml:space="preserve"> 'FS Semi'!BE$120</f>
        <v>2.1585050071735168E-3</v>
      </c>
      <c r="BF63" s="1005">
        <f xml:space="preserve"> 'FS Semi'!BF$120</f>
        <v>2.1585050071735168E-3</v>
      </c>
      <c r="BG63" s="1005">
        <f xml:space="preserve"> 'FS Semi'!BG$120</f>
        <v>2.1585050071735168E-3</v>
      </c>
      <c r="BH63" s="1005">
        <f xml:space="preserve"> 'FS Semi'!BH$120</f>
        <v>2.1585050071735168E-3</v>
      </c>
      <c r="BI63" s="1005">
        <f xml:space="preserve"> 'FS Semi'!BI$120</f>
        <v>2.1585050071735168E-3</v>
      </c>
      <c r="BJ63" s="1005">
        <f xml:space="preserve"> 'FS Semi'!BJ$120</f>
        <v>2.1585050071735168E-3</v>
      </c>
      <c r="BK63" s="1005">
        <f xml:space="preserve"> 'FS Semi'!BK$120</f>
        <v>2.1585050071735168E-3</v>
      </c>
      <c r="BL63" s="1005">
        <f xml:space="preserve"> 'FS Semi'!BL$120</f>
        <v>2.1585050071735168E-3</v>
      </c>
      <c r="BM63" s="1005">
        <f xml:space="preserve"> 'FS Semi'!BM$120</f>
        <v>2.1585050071735168E-3</v>
      </c>
      <c r="BN63" s="1005">
        <f xml:space="preserve"> 'FS Semi'!BN$120</f>
        <v>2.1585050071735168E-3</v>
      </c>
      <c r="BO63" s="1005">
        <f xml:space="preserve"> 'FS Semi'!BO$120</f>
        <v>2.1585050071735168E-3</v>
      </c>
      <c r="BP63" s="1005">
        <f xml:space="preserve"> 'FS Semi'!BP$120</f>
        <v>2.1585050071735168E-3</v>
      </c>
      <c r="BQ63" s="1005">
        <f xml:space="preserve"> 'FS Semi'!BQ$120</f>
        <v>2.1585050071735168E-3</v>
      </c>
      <c r="BR63" s="1005">
        <f xml:space="preserve"> 'FS Semi'!BR$120</f>
        <v>2.1585050071735168E-3</v>
      </c>
      <c r="BS63" s="1005">
        <f xml:space="preserve"> 'FS Semi'!BS$120</f>
        <v>2.1585050071735168E-3</v>
      </c>
      <c r="BT63" s="1005">
        <f xml:space="preserve"> 'FS Semi'!BT$120</f>
        <v>2.1585050071735168E-3</v>
      </c>
      <c r="BU63" s="1005">
        <f xml:space="preserve"> 'FS Semi'!BU$120</f>
        <v>2.1585050071735168E-3</v>
      </c>
      <c r="BV63" s="1005">
        <f xml:space="preserve"> 'FS Semi'!BV$120</f>
        <v>2.1585050071735168E-3</v>
      </c>
      <c r="BW63" s="1005">
        <f xml:space="preserve"> 'FS Semi'!BW$120</f>
        <v>2.1585050071735168E-3</v>
      </c>
      <c r="BX63" s="1005">
        <f xml:space="preserve"> 'FS Semi'!BX$120</f>
        <v>2.1585050071735168E-3</v>
      </c>
      <c r="BY63" s="1005">
        <f xml:space="preserve"> 'FS Semi'!BY$120</f>
        <v>2.1585050071735168E-3</v>
      </c>
      <c r="BZ63" s="1005">
        <f xml:space="preserve"> 'FS Semi'!BZ$120</f>
        <v>2.1585050071735168E-3</v>
      </c>
      <c r="CA63" s="1005">
        <f xml:space="preserve"> 'FS Semi'!CA$120</f>
        <v>2.1585050071735168E-3</v>
      </c>
      <c r="CB63" s="1005">
        <f xml:space="preserve"> 'FS Semi'!CB$120</f>
        <v>2.1585050071735168E-3</v>
      </c>
      <c r="CC63" s="1005">
        <f xml:space="preserve"> 'FS Semi'!CC$120</f>
        <v>2.1585050071735168E-3</v>
      </c>
      <c r="CD63" s="1005">
        <f xml:space="preserve"> 'FS Semi'!CD$120</f>
        <v>2.1585050071735168E-3</v>
      </c>
      <c r="CE63" s="1005">
        <f xml:space="preserve"> 'FS Semi'!CE$120</f>
        <v>2.1585050071735168E-3</v>
      </c>
      <c r="CF63" s="1005">
        <f xml:space="preserve"> 'FS Semi'!CF$120</f>
        <v>2.1585050071735168E-3</v>
      </c>
      <c r="CG63" s="1005">
        <f xml:space="preserve"> 'FS Semi'!CG$120</f>
        <v>2.1585050071735168E-3</v>
      </c>
      <c r="CH63" s="1005">
        <f xml:space="preserve"> 'FS Semi'!CH$120</f>
        <v>2.1585050071735168E-3</v>
      </c>
      <c r="CI63" s="1005">
        <f xml:space="preserve"> 'FS Semi'!CI$120</f>
        <v>2.1585050071735168E-3</v>
      </c>
      <c r="CJ63" s="1005">
        <f xml:space="preserve"> 'FS Semi'!CJ$120</f>
        <v>2.1585050071735168E-3</v>
      </c>
      <c r="CK63" s="1005">
        <f xml:space="preserve"> 'FS Semi'!CK$120</f>
        <v>2.1585050071735168E-3</v>
      </c>
      <c r="CL63" s="1005">
        <f xml:space="preserve"> 'FS Semi'!CL$120</f>
        <v>2.1585050071735168E-3</v>
      </c>
      <c r="CM63" s="1005">
        <f xml:space="preserve"> 'FS Semi'!CM$120</f>
        <v>2.1585050071735168E-3</v>
      </c>
      <c r="CN63" s="1005">
        <f xml:space="preserve"> 'FS Semi'!CN$120</f>
        <v>2.1585050071735168E-3</v>
      </c>
      <c r="CO63" s="1005">
        <f xml:space="preserve"> 'FS Semi'!CO$120</f>
        <v>2.1585050071735168E-3</v>
      </c>
      <c r="CP63" s="1005">
        <f xml:space="preserve"> 'FS Semi'!CP$120</f>
        <v>2.1585050071735168E-3</v>
      </c>
      <c r="CQ63" s="1005">
        <f xml:space="preserve"> 'FS Semi'!CQ$120</f>
        <v>2.1585050071735168E-3</v>
      </c>
      <c r="CR63" s="1005">
        <f xml:space="preserve"> 'FS Semi'!CR$120</f>
        <v>2.1585050071735168E-3</v>
      </c>
      <c r="CS63" s="1005">
        <f xml:space="preserve"> 'FS Semi'!CS$120</f>
        <v>2.1585050071735168E-3</v>
      </c>
      <c r="CT63" s="1005">
        <f xml:space="preserve"> 'FS Semi'!CT$120</f>
        <v>2.1585050071735168E-3</v>
      </c>
      <c r="CU63" s="1005">
        <f xml:space="preserve"> 'FS Semi'!CU$120</f>
        <v>2.1585050071735168E-3</v>
      </c>
      <c r="CV63" s="1005">
        <f xml:space="preserve"> 'FS Semi'!CV$120</f>
        <v>2.1585050071735168E-3</v>
      </c>
    </row>
    <row r="64" spans="1:100" s="1001" customFormat="1" outlineLevel="1" x14ac:dyDescent="0.2">
      <c r="A64" s="1008"/>
      <c r="B64" s="997"/>
      <c r="C64" s="998"/>
      <c r="D64" s="999"/>
      <c r="E64" s="1005"/>
      <c r="F64" s="1005"/>
      <c r="G64" s="1005"/>
      <c r="H64" s="1005"/>
      <c r="I64" s="1005"/>
      <c r="J64" s="1005"/>
      <c r="K64" s="1005"/>
      <c r="L64" s="1005"/>
      <c r="M64" s="1005"/>
      <c r="N64" s="1005"/>
      <c r="O64" s="1005"/>
      <c r="P64" s="1005"/>
      <c r="Q64" s="1005"/>
      <c r="R64" s="1005"/>
      <c r="S64" s="1005"/>
      <c r="T64" s="1005"/>
      <c r="U64" s="1005"/>
      <c r="V64" s="1005"/>
      <c r="W64" s="1005"/>
      <c r="X64" s="1005"/>
      <c r="Y64" s="1005"/>
      <c r="Z64" s="1005"/>
      <c r="AA64" s="1005"/>
      <c r="AB64" s="1005"/>
      <c r="AC64" s="1005"/>
      <c r="AD64" s="1005"/>
      <c r="AE64" s="1005"/>
      <c r="AF64" s="1005"/>
      <c r="AG64" s="1005"/>
      <c r="AH64" s="1005"/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5"/>
      <c r="AX64" s="1005"/>
      <c r="AY64" s="1005"/>
      <c r="AZ64" s="1005"/>
      <c r="BA64" s="1005"/>
      <c r="BB64" s="1005"/>
      <c r="BC64" s="1005"/>
      <c r="BD64" s="1005"/>
      <c r="BE64" s="1005"/>
      <c r="BF64" s="1005"/>
      <c r="BG64" s="1005"/>
      <c r="BH64" s="1005"/>
      <c r="BI64" s="1005"/>
      <c r="BJ64" s="1005"/>
      <c r="BK64" s="1005"/>
      <c r="BL64" s="1005"/>
      <c r="BM64" s="1005"/>
      <c r="BN64" s="1005"/>
      <c r="BO64" s="1005"/>
      <c r="BP64" s="1005"/>
      <c r="BQ64" s="1005"/>
      <c r="BR64" s="1005"/>
      <c r="BS64" s="1005"/>
      <c r="BT64" s="1005"/>
      <c r="BU64" s="1005"/>
      <c r="BV64" s="1005"/>
      <c r="BW64" s="1005"/>
      <c r="BX64" s="1005"/>
      <c r="BY64" s="1005"/>
      <c r="BZ64" s="1005"/>
      <c r="CA64" s="1005"/>
      <c r="CB64" s="1005"/>
      <c r="CC64" s="1005"/>
      <c r="CD64" s="1005"/>
      <c r="CE64" s="1005"/>
      <c r="CF64" s="1005"/>
      <c r="CG64" s="1005"/>
      <c r="CH64" s="1005"/>
      <c r="CI64" s="1005"/>
      <c r="CJ64" s="1005"/>
      <c r="CK64" s="1005"/>
      <c r="CL64" s="1005"/>
      <c r="CM64" s="1005"/>
      <c r="CN64" s="1005"/>
      <c r="CO64" s="1005"/>
      <c r="CP64" s="1005"/>
      <c r="CQ64" s="1005"/>
      <c r="CR64" s="1005"/>
      <c r="CS64" s="1005"/>
      <c r="CT64" s="1005"/>
      <c r="CU64" s="1005"/>
      <c r="CV64" s="1005"/>
    </row>
    <row r="65" spans="1:100" s="1001" customFormat="1" x14ac:dyDescent="0.2">
      <c r="B65" s="997"/>
      <c r="C65" s="998"/>
      <c r="D65" s="999"/>
      <c r="E65" s="1005"/>
      <c r="F65" s="1005"/>
      <c r="G65" s="1005"/>
      <c r="H65" s="1005"/>
      <c r="I65" s="1005"/>
      <c r="J65" s="1005"/>
      <c r="K65" s="1005"/>
      <c r="L65" s="1005"/>
      <c r="M65" s="1005"/>
      <c r="N65" s="1005"/>
      <c r="O65" s="1005"/>
      <c r="P65" s="1005"/>
      <c r="Q65" s="1005"/>
      <c r="R65" s="1005"/>
      <c r="S65" s="1005"/>
      <c r="T65" s="1005"/>
      <c r="U65" s="1005"/>
      <c r="V65" s="1005"/>
      <c r="W65" s="1005"/>
      <c r="X65" s="1005"/>
      <c r="Y65" s="1005"/>
      <c r="Z65" s="1005"/>
      <c r="AA65" s="1005"/>
      <c r="AB65" s="1005"/>
      <c r="AC65" s="1005"/>
      <c r="AD65" s="1005"/>
      <c r="AE65" s="1005"/>
      <c r="AF65" s="1005"/>
      <c r="AG65" s="1005"/>
      <c r="AH65" s="1005"/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5"/>
      <c r="AX65" s="1005"/>
      <c r="AY65" s="1005"/>
      <c r="AZ65" s="1005"/>
      <c r="BA65" s="1005"/>
      <c r="BB65" s="1005"/>
      <c r="BC65" s="1005"/>
      <c r="BD65" s="1005"/>
      <c r="BE65" s="1005"/>
      <c r="BF65" s="1005"/>
      <c r="BG65" s="1005"/>
      <c r="BH65" s="1005"/>
      <c r="BI65" s="1005"/>
      <c r="BJ65" s="1005"/>
      <c r="BK65" s="1005"/>
      <c r="BL65" s="1005"/>
      <c r="BM65" s="1005"/>
      <c r="BN65" s="1005"/>
      <c r="BO65" s="1005"/>
      <c r="BP65" s="1005"/>
      <c r="BQ65" s="1005"/>
      <c r="BR65" s="1005"/>
      <c r="BS65" s="1005"/>
      <c r="BT65" s="1005"/>
      <c r="BU65" s="1005"/>
      <c r="BV65" s="1005"/>
      <c r="BW65" s="1005"/>
      <c r="BX65" s="1005"/>
      <c r="BY65" s="1005"/>
      <c r="BZ65" s="1005"/>
      <c r="CA65" s="1005"/>
      <c r="CB65" s="1005"/>
      <c r="CC65" s="1005"/>
      <c r="CD65" s="1005"/>
      <c r="CE65" s="1005"/>
      <c r="CF65" s="1005"/>
      <c r="CG65" s="1005"/>
      <c r="CH65" s="1005"/>
      <c r="CI65" s="1005"/>
      <c r="CJ65" s="1005"/>
      <c r="CK65" s="1005"/>
      <c r="CL65" s="1005"/>
      <c r="CM65" s="1005"/>
      <c r="CN65" s="1005"/>
      <c r="CO65" s="1005"/>
      <c r="CP65" s="1005"/>
      <c r="CQ65" s="1005"/>
      <c r="CR65" s="1005"/>
      <c r="CS65" s="1005"/>
      <c r="CT65" s="1005"/>
      <c r="CU65" s="1005"/>
      <c r="CV65" s="1005"/>
    </row>
    <row r="66" spans="1:100" s="1001" customFormat="1" x14ac:dyDescent="0.2">
      <c r="A66" s="1008" t="s">
        <v>791</v>
      </c>
      <c r="B66" s="997"/>
      <c r="C66" s="998"/>
      <c r="D66" s="999"/>
      <c r="E66" s="1005"/>
      <c r="F66" s="1005"/>
      <c r="G66" s="1005"/>
      <c r="H66" s="1005"/>
      <c r="I66" s="1005"/>
      <c r="J66" s="1005"/>
      <c r="K66" s="1005"/>
      <c r="L66" s="1005"/>
      <c r="M66" s="1005"/>
      <c r="N66" s="1005"/>
      <c r="O66" s="1005"/>
      <c r="P66" s="1005"/>
      <c r="Q66" s="1005"/>
      <c r="R66" s="1005"/>
      <c r="S66" s="1005"/>
      <c r="T66" s="1005"/>
      <c r="U66" s="1005"/>
      <c r="V66" s="1005"/>
      <c r="W66" s="1005"/>
      <c r="X66" s="1005"/>
      <c r="Y66" s="1005"/>
      <c r="Z66" s="1005"/>
      <c r="AA66" s="1005"/>
      <c r="AB66" s="1005"/>
      <c r="AC66" s="1005"/>
      <c r="AD66" s="1005"/>
      <c r="AE66" s="1005"/>
      <c r="AF66" s="1005"/>
      <c r="AG66" s="1005"/>
      <c r="AH66" s="1005"/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5"/>
      <c r="AX66" s="1005"/>
      <c r="AY66" s="1005"/>
      <c r="AZ66" s="1005"/>
      <c r="BA66" s="1005"/>
      <c r="BB66" s="1005"/>
      <c r="BC66" s="1005"/>
      <c r="BD66" s="1005"/>
      <c r="BE66" s="1005"/>
      <c r="BF66" s="1005"/>
      <c r="BG66" s="1005"/>
      <c r="BH66" s="1005"/>
      <c r="BI66" s="1005"/>
      <c r="BJ66" s="1005"/>
      <c r="BK66" s="1005"/>
      <c r="BL66" s="1005"/>
      <c r="BM66" s="1005"/>
      <c r="BN66" s="1005"/>
      <c r="BO66" s="1005"/>
      <c r="BP66" s="1005"/>
      <c r="BQ66" s="1005"/>
      <c r="BR66" s="1005"/>
      <c r="BS66" s="1005"/>
      <c r="BT66" s="1005"/>
      <c r="BU66" s="1005"/>
      <c r="BV66" s="1005"/>
      <c r="BW66" s="1005"/>
      <c r="BX66" s="1005"/>
      <c r="BY66" s="1005"/>
      <c r="BZ66" s="1005"/>
      <c r="CA66" s="1005"/>
      <c r="CB66" s="1005"/>
      <c r="CC66" s="1005"/>
      <c r="CD66" s="1005"/>
      <c r="CE66" s="1005"/>
      <c r="CF66" s="1005"/>
      <c r="CG66" s="1005"/>
      <c r="CH66" s="1005"/>
      <c r="CI66" s="1005"/>
      <c r="CJ66" s="1005"/>
      <c r="CK66" s="1005"/>
      <c r="CL66" s="1005"/>
      <c r="CM66" s="1005"/>
      <c r="CN66" s="1005"/>
      <c r="CO66" s="1005"/>
      <c r="CP66" s="1005"/>
      <c r="CQ66" s="1005"/>
      <c r="CR66" s="1005"/>
      <c r="CS66" s="1005"/>
      <c r="CT66" s="1005"/>
      <c r="CU66" s="1005"/>
      <c r="CV66" s="1005"/>
    </row>
    <row r="67" spans="1:100" s="1001" customFormat="1" outlineLevel="1" x14ac:dyDescent="0.2">
      <c r="A67" s="1008"/>
      <c r="B67" s="997"/>
      <c r="C67" s="998"/>
      <c r="D67" s="999"/>
      <c r="E67" s="1005"/>
      <c r="F67" s="1005"/>
      <c r="G67" s="1005"/>
      <c r="H67" s="1005"/>
      <c r="I67" s="1005"/>
      <c r="J67" s="1005"/>
      <c r="K67" s="1005"/>
      <c r="L67" s="1005"/>
      <c r="M67" s="1005"/>
      <c r="N67" s="1005"/>
      <c r="O67" s="1005"/>
      <c r="P67" s="1005"/>
      <c r="Q67" s="1005"/>
      <c r="R67" s="1005"/>
      <c r="S67" s="1005"/>
      <c r="T67" s="1005"/>
      <c r="U67" s="1005"/>
      <c r="V67" s="1005"/>
      <c r="W67" s="1005"/>
      <c r="X67" s="1005"/>
      <c r="Y67" s="1005"/>
      <c r="Z67" s="1005"/>
      <c r="AA67" s="1005"/>
      <c r="AB67" s="1005"/>
      <c r="AC67" s="1005"/>
      <c r="AD67" s="1005"/>
      <c r="AE67" s="1005"/>
      <c r="AF67" s="1005"/>
      <c r="AG67" s="1005"/>
      <c r="AH67" s="1005"/>
      <c r="AI67" s="1005"/>
      <c r="AJ67" s="1005"/>
      <c r="AK67" s="1005"/>
      <c r="AL67" s="1005"/>
      <c r="AM67" s="1005"/>
      <c r="AN67" s="1005"/>
      <c r="AO67" s="1005"/>
      <c r="AP67" s="1005"/>
      <c r="AQ67" s="1005"/>
      <c r="AR67" s="1005"/>
      <c r="AS67" s="1005"/>
      <c r="AT67" s="1005"/>
      <c r="AU67" s="1005"/>
      <c r="AV67" s="1005"/>
      <c r="AW67" s="1005"/>
      <c r="AX67" s="1005"/>
      <c r="AY67" s="1005"/>
      <c r="AZ67" s="1005"/>
      <c r="BA67" s="1005"/>
      <c r="BB67" s="1005"/>
      <c r="BC67" s="1005"/>
      <c r="BD67" s="1005"/>
      <c r="BE67" s="1005"/>
      <c r="BF67" s="1005"/>
      <c r="BG67" s="1005"/>
      <c r="BH67" s="1005"/>
      <c r="BI67" s="1005"/>
      <c r="BJ67" s="1005"/>
      <c r="BK67" s="1005"/>
      <c r="BL67" s="1005"/>
      <c r="BM67" s="1005"/>
      <c r="BN67" s="1005"/>
      <c r="BO67" s="1005"/>
      <c r="BP67" s="1005"/>
      <c r="BQ67" s="1005"/>
      <c r="BR67" s="1005"/>
      <c r="BS67" s="1005"/>
      <c r="BT67" s="1005"/>
      <c r="BU67" s="1005"/>
      <c r="BV67" s="1005"/>
      <c r="BW67" s="1005"/>
      <c r="BX67" s="1005"/>
      <c r="BY67" s="1005"/>
      <c r="BZ67" s="1005"/>
      <c r="CA67" s="1005"/>
      <c r="CB67" s="1005"/>
      <c r="CC67" s="1005"/>
      <c r="CD67" s="1005"/>
      <c r="CE67" s="1005"/>
      <c r="CF67" s="1005"/>
      <c r="CG67" s="1005"/>
      <c r="CH67" s="1005"/>
      <c r="CI67" s="1005"/>
      <c r="CJ67" s="1005"/>
      <c r="CK67" s="1005"/>
      <c r="CL67" s="1005"/>
      <c r="CM67" s="1005"/>
      <c r="CN67" s="1005"/>
      <c r="CO67" s="1005"/>
      <c r="CP67" s="1005"/>
      <c r="CQ67" s="1005"/>
      <c r="CR67" s="1005"/>
      <c r="CS67" s="1005"/>
      <c r="CT67" s="1005"/>
      <c r="CU67" s="1005"/>
      <c r="CV67" s="1005"/>
    </row>
    <row r="68" spans="1:100" s="1001" customFormat="1" outlineLevel="1" x14ac:dyDescent="0.2">
      <c r="A68" s="1008"/>
      <c r="B68" s="997"/>
      <c r="C68" s="998"/>
      <c r="D68" s="999"/>
      <c r="E68" s="1005" t="s">
        <v>792</v>
      </c>
      <c r="F68" s="1005"/>
      <c r="G68" s="1005" t="s">
        <v>164</v>
      </c>
      <c r="H68" s="1005"/>
      <c r="I68" s="1005"/>
      <c r="J68" s="1016" t="str">
        <f t="shared" ref="J68:AP68" ca="1" si="26" xml:space="preserve"> IF(SUMIF($J$8:$CV$8, J$9, $J57:$CV57) = 0, "na", SUMIF($J$8:$CV$8, J$9, $J57:$CV57))</f>
        <v>na</v>
      </c>
      <c r="K68" s="1016" t="str">
        <f t="shared" ca="1" si="26"/>
        <v>na</v>
      </c>
      <c r="L68" s="1016" t="str">
        <f t="shared" ca="1" si="26"/>
        <v>na</v>
      </c>
      <c r="M68" s="1016">
        <f t="shared" ca="1" si="26"/>
        <v>1.3999999348171281</v>
      </c>
      <c r="N68" s="1016">
        <f t="shared" ca="1" si="26"/>
        <v>1.3999999330787214</v>
      </c>
      <c r="O68" s="1016">
        <f t="shared" ca="1" si="26"/>
        <v>1.3999999313543667</v>
      </c>
      <c r="P68" s="1016">
        <f t="shared" ca="1" si="26"/>
        <v>1.3999999296302927</v>
      </c>
      <c r="Q68" s="1016">
        <f t="shared" ca="1" si="26"/>
        <v>1.3999999279928201</v>
      </c>
      <c r="R68" s="1016">
        <f t="shared" ca="1" si="26"/>
        <v>1.3999999259980718</v>
      </c>
      <c r="S68" s="1016">
        <f t="shared" ca="1" si="26"/>
        <v>1.3999999243982566</v>
      </c>
      <c r="T68" s="1016">
        <f t="shared" ca="1" si="26"/>
        <v>1.3999999228258269</v>
      </c>
      <c r="U68" s="1016">
        <f t="shared" ca="1" si="26"/>
        <v>1.3999999214522754</v>
      </c>
      <c r="V68" s="1016">
        <f t="shared" ca="1" si="26"/>
        <v>1.3999999201282023</v>
      </c>
      <c r="W68" s="1016">
        <f t="shared" ca="1" si="26"/>
        <v>1.3999999178692628</v>
      </c>
      <c r="X68" s="1016">
        <f t="shared" ca="1" si="26"/>
        <v>1.3999999166938686</v>
      </c>
      <c r="Y68" s="1016">
        <f t="shared" ca="1" si="26"/>
        <v>1.3999999158380945</v>
      </c>
      <c r="Z68" s="1016">
        <f t="shared" ca="1" si="26"/>
        <v>1.3999999150743365</v>
      </c>
      <c r="AA68" s="1016">
        <f t="shared" ca="1" si="26"/>
        <v>1.3999999144949251</v>
      </c>
      <c r="AB68" s="1016">
        <f t="shared" ca="1" si="26"/>
        <v>1.3999996356766737</v>
      </c>
      <c r="AC68" s="1016">
        <f t="shared" ca="1" si="26"/>
        <v>1.3999990581391102</v>
      </c>
      <c r="AD68" s="1016" t="str">
        <f t="shared" ca="1" si="26"/>
        <v>na</v>
      </c>
      <c r="AE68" s="1016" t="str">
        <f t="shared" ca="1" si="26"/>
        <v>na</v>
      </c>
      <c r="AF68" s="1016" t="str">
        <f t="shared" ca="1" si="26"/>
        <v>na</v>
      </c>
      <c r="AG68" s="1016" t="str">
        <f t="shared" ca="1" si="26"/>
        <v>na</v>
      </c>
      <c r="AH68" s="1016" t="str">
        <f t="shared" ca="1" si="26"/>
        <v>na</v>
      </c>
      <c r="AI68" s="1016" t="str">
        <f t="shared" ca="1" si="26"/>
        <v>na</v>
      </c>
      <c r="AJ68" s="1016" t="str">
        <f t="shared" ca="1" si="26"/>
        <v>na</v>
      </c>
      <c r="AK68" s="1016" t="str">
        <f t="shared" ca="1" si="26"/>
        <v>na</v>
      </c>
      <c r="AL68" s="1016" t="str">
        <f t="shared" ca="1" si="26"/>
        <v>na</v>
      </c>
      <c r="AM68" s="1016" t="str">
        <f t="shared" ca="1" si="26"/>
        <v>na</v>
      </c>
      <c r="AN68" s="1016" t="str">
        <f t="shared" ca="1" si="26"/>
        <v>na</v>
      </c>
      <c r="AO68" s="1016" t="str">
        <f t="shared" ca="1" si="26"/>
        <v>na</v>
      </c>
      <c r="AP68" s="1016" t="str">
        <f t="shared" ca="1" si="26"/>
        <v>na</v>
      </c>
      <c r="AQ68" s="1010"/>
      <c r="AR68" s="1010"/>
      <c r="AS68" s="1010"/>
      <c r="AT68" s="1010"/>
      <c r="AU68" s="1010"/>
      <c r="AV68" s="1010"/>
      <c r="AW68" s="1010"/>
      <c r="AX68" s="1010"/>
      <c r="AY68" s="1010"/>
      <c r="AZ68" s="1010"/>
      <c r="BA68" s="1010"/>
      <c r="BB68" s="1010"/>
      <c r="BC68" s="1010"/>
      <c r="BD68" s="1010"/>
      <c r="BE68" s="1010"/>
      <c r="BF68" s="1010"/>
      <c r="BG68" s="1010"/>
      <c r="BH68" s="1010"/>
      <c r="BI68" s="1010"/>
      <c r="BJ68" s="1010"/>
      <c r="BK68" s="1010"/>
      <c r="BL68" s="1010"/>
      <c r="BM68" s="1010"/>
      <c r="BN68" s="1010"/>
      <c r="BO68" s="1010"/>
      <c r="BP68" s="1010"/>
      <c r="BQ68" s="1010"/>
      <c r="BR68" s="1010"/>
      <c r="BS68" s="1010"/>
      <c r="BT68" s="1010"/>
      <c r="BU68" s="1010"/>
      <c r="BV68" s="1010"/>
      <c r="BW68" s="1010"/>
      <c r="BX68" s="1010"/>
      <c r="BY68" s="1010"/>
      <c r="BZ68" s="1010"/>
      <c r="CA68" s="1010"/>
      <c r="CB68" s="1010"/>
      <c r="CC68" s="1010"/>
      <c r="CD68" s="1010"/>
      <c r="CE68" s="1010"/>
      <c r="CF68" s="1010"/>
      <c r="CG68" s="1010"/>
      <c r="CH68" s="1010"/>
      <c r="CI68" s="1010"/>
      <c r="CJ68" s="1010"/>
      <c r="CK68" s="1010"/>
      <c r="CL68" s="1010"/>
      <c r="CM68" s="1010"/>
      <c r="CN68" s="1010"/>
      <c r="CO68" s="1010"/>
      <c r="CP68" s="1010"/>
      <c r="CQ68" s="1010"/>
      <c r="CR68" s="1010"/>
      <c r="CS68" s="1010"/>
      <c r="CT68" s="1010"/>
      <c r="CU68" s="1010"/>
      <c r="CV68" s="1010"/>
    </row>
    <row r="69" spans="1:100" s="1020" customFormat="1" outlineLevel="1" x14ac:dyDescent="0.2">
      <c r="A69" s="1008"/>
      <c r="B69" s="1008"/>
      <c r="C69" s="1017"/>
      <c r="D69" s="1018"/>
      <c r="E69" s="1019"/>
      <c r="F69" s="1019"/>
      <c r="G69" s="1019"/>
      <c r="H69" s="1019"/>
      <c r="I69" s="1019"/>
      <c r="J69" s="1019"/>
      <c r="K69" s="1019"/>
      <c r="L69" s="1019"/>
      <c r="M69" s="1019"/>
      <c r="N69" s="1019"/>
      <c r="O69" s="1019"/>
      <c r="P69" s="1019"/>
      <c r="Q69" s="1019"/>
      <c r="R69" s="1019"/>
      <c r="S69" s="1019"/>
      <c r="T69" s="1019"/>
      <c r="U69" s="1019"/>
      <c r="V69" s="1019"/>
      <c r="W69" s="1019"/>
      <c r="X69" s="1019"/>
      <c r="Y69" s="1019"/>
      <c r="Z69" s="1019"/>
      <c r="AA69" s="1019"/>
      <c r="AB69" s="1019"/>
      <c r="AC69" s="1019"/>
      <c r="AD69" s="1019"/>
      <c r="AE69" s="1019"/>
      <c r="AF69" s="1019"/>
      <c r="AG69" s="1019"/>
      <c r="AH69" s="1019"/>
      <c r="AI69" s="1019"/>
      <c r="AJ69" s="1019"/>
      <c r="AK69" s="1019"/>
      <c r="AL69" s="1019"/>
      <c r="AM69" s="1019"/>
      <c r="AN69" s="1019"/>
      <c r="AO69" s="1019"/>
      <c r="AP69" s="1019"/>
      <c r="AQ69" s="1019"/>
      <c r="AR69" s="1019"/>
      <c r="AS69" s="1019"/>
      <c r="AT69" s="1019"/>
      <c r="AU69" s="1019"/>
      <c r="AV69" s="1019"/>
      <c r="AW69" s="1019"/>
      <c r="AX69" s="1019"/>
      <c r="AY69" s="1019"/>
      <c r="AZ69" s="1019"/>
      <c r="BA69" s="1019"/>
      <c r="BB69" s="1019"/>
      <c r="BC69" s="1019"/>
      <c r="BD69" s="1019"/>
      <c r="BE69" s="1019"/>
      <c r="BF69" s="1019"/>
      <c r="BG69" s="1019"/>
      <c r="BH69" s="1019"/>
      <c r="BI69" s="1019"/>
      <c r="BJ69" s="1019"/>
      <c r="BK69" s="1019"/>
      <c r="BL69" s="1019"/>
      <c r="BM69" s="1019"/>
      <c r="BN69" s="1019"/>
      <c r="BO69" s="1019"/>
      <c r="BP69" s="1019"/>
      <c r="BQ69" s="1019"/>
      <c r="BR69" s="1019"/>
      <c r="BS69" s="1019"/>
      <c r="BT69" s="1019"/>
      <c r="BU69" s="1019"/>
      <c r="BV69" s="1019"/>
      <c r="BW69" s="1019"/>
      <c r="BX69" s="1019"/>
      <c r="BY69" s="1019"/>
      <c r="BZ69" s="1019"/>
      <c r="CA69" s="1019"/>
      <c r="CB69" s="1019"/>
      <c r="CC69" s="1019"/>
      <c r="CD69" s="1019"/>
      <c r="CE69" s="1019"/>
      <c r="CF69" s="1019"/>
      <c r="CG69" s="1019"/>
      <c r="CH69" s="1019"/>
      <c r="CI69" s="1019"/>
      <c r="CJ69" s="1019"/>
      <c r="CK69" s="1019"/>
      <c r="CL69" s="1019"/>
      <c r="CM69" s="1019"/>
      <c r="CN69" s="1019"/>
      <c r="CO69" s="1019"/>
      <c r="CP69" s="1019"/>
      <c r="CQ69" s="1019"/>
      <c r="CR69" s="1019"/>
      <c r="CS69" s="1019"/>
      <c r="CT69" s="1019"/>
      <c r="CU69" s="1019"/>
      <c r="CV69" s="1019"/>
    </row>
    <row r="70" spans="1:100" s="1020" customFormat="1" outlineLevel="1" x14ac:dyDescent="0.2">
      <c r="A70" s="1008"/>
      <c r="B70" s="1008"/>
      <c r="C70" s="1017"/>
      <c r="D70" s="1018"/>
      <c r="E70" s="1100" t="s">
        <v>135</v>
      </c>
      <c r="F70" s="1019"/>
      <c r="G70" s="1019" t="str">
        <f>SMU</f>
        <v>$ 000s</v>
      </c>
      <c r="H70" s="1019"/>
      <c r="I70" s="1019"/>
      <c r="J70" s="1019">
        <f t="shared" ref="J70:AP70" ca="1" si="27">SUMIF($J$8:$CV$8, J$9, $J59:$CV59)</f>
        <v>-1.5558398445136845E-6</v>
      </c>
      <c r="K70" s="1019">
        <f t="shared" ca="1" si="27"/>
        <v>-3.0776860512560233E-5</v>
      </c>
      <c r="L70" s="1019">
        <f t="shared" ca="1" si="27"/>
        <v>-4.0178145100071561E-3</v>
      </c>
      <c r="M70" s="1019">
        <f t="shared" ca="1" si="27"/>
        <v>0</v>
      </c>
      <c r="N70" s="1019">
        <f t="shared" ca="1" si="27"/>
        <v>0</v>
      </c>
      <c r="O70" s="1019">
        <f t="shared" ca="1" si="27"/>
        <v>0</v>
      </c>
      <c r="P70" s="1019">
        <f t="shared" ca="1" si="27"/>
        <v>0</v>
      </c>
      <c r="Q70" s="1019">
        <f t="shared" ca="1" si="27"/>
        <v>0</v>
      </c>
      <c r="R70" s="1019">
        <f t="shared" ca="1" si="27"/>
        <v>0</v>
      </c>
      <c r="S70" s="1019">
        <f t="shared" ca="1" si="27"/>
        <v>0</v>
      </c>
      <c r="T70" s="1019">
        <f t="shared" ca="1" si="27"/>
        <v>0</v>
      </c>
      <c r="U70" s="1019">
        <f t="shared" ca="1" si="27"/>
        <v>0</v>
      </c>
      <c r="V70" s="1019">
        <f t="shared" ca="1" si="27"/>
        <v>0</v>
      </c>
      <c r="W70" s="1019">
        <f t="shared" ca="1" si="27"/>
        <v>0</v>
      </c>
      <c r="X70" s="1019">
        <f t="shared" ca="1" si="27"/>
        <v>0</v>
      </c>
      <c r="Y70" s="1019">
        <f t="shared" ca="1" si="27"/>
        <v>0</v>
      </c>
      <c r="Z70" s="1019">
        <f t="shared" ca="1" si="27"/>
        <v>0</v>
      </c>
      <c r="AA70" s="1019">
        <f t="shared" ca="1" si="27"/>
        <v>0</v>
      </c>
      <c r="AB70" s="1019">
        <f t="shared" ca="1" si="27"/>
        <v>0</v>
      </c>
      <c r="AC70" s="1019">
        <f t="shared" ca="1" si="27"/>
        <v>0</v>
      </c>
      <c r="AD70" s="1019">
        <f t="shared" ca="1" si="27"/>
        <v>0</v>
      </c>
      <c r="AE70" s="1019">
        <f t="shared" ca="1" si="27"/>
        <v>0</v>
      </c>
      <c r="AF70" s="1019">
        <f t="shared" ca="1" si="27"/>
        <v>0</v>
      </c>
      <c r="AG70" s="1019">
        <f t="shared" ca="1" si="27"/>
        <v>0</v>
      </c>
      <c r="AH70" s="1019">
        <f t="shared" ca="1" si="27"/>
        <v>0</v>
      </c>
      <c r="AI70" s="1019">
        <f t="shared" ca="1" si="27"/>
        <v>0</v>
      </c>
      <c r="AJ70" s="1019">
        <f t="shared" ca="1" si="27"/>
        <v>0</v>
      </c>
      <c r="AK70" s="1019">
        <f t="shared" ca="1" si="27"/>
        <v>0</v>
      </c>
      <c r="AL70" s="1019">
        <f t="shared" ca="1" si="27"/>
        <v>0</v>
      </c>
      <c r="AM70" s="1019">
        <f t="shared" ca="1" si="27"/>
        <v>0</v>
      </c>
      <c r="AN70" s="1019">
        <f t="shared" ca="1" si="27"/>
        <v>0</v>
      </c>
      <c r="AO70" s="1019">
        <f t="shared" ca="1" si="27"/>
        <v>0</v>
      </c>
      <c r="AP70" s="1019">
        <f t="shared" ca="1" si="27"/>
        <v>0</v>
      </c>
      <c r="AQ70" s="1010"/>
      <c r="AR70" s="1010"/>
      <c r="AS70" s="1010"/>
      <c r="AT70" s="1010"/>
      <c r="AU70" s="1010"/>
      <c r="AV70" s="1010"/>
      <c r="AW70" s="1010"/>
      <c r="AX70" s="1010"/>
      <c r="AY70" s="1010"/>
      <c r="AZ70" s="1010"/>
      <c r="BA70" s="1010"/>
      <c r="BB70" s="1010"/>
      <c r="BC70" s="1010"/>
      <c r="BD70" s="1010"/>
      <c r="BE70" s="1010"/>
      <c r="BF70" s="1010"/>
      <c r="BG70" s="1010"/>
      <c r="BH70" s="1010"/>
      <c r="BI70" s="1010"/>
      <c r="BJ70" s="1010"/>
      <c r="BK70" s="1010"/>
      <c r="BL70" s="1010"/>
      <c r="BM70" s="1010"/>
      <c r="BN70" s="1010"/>
      <c r="BO70" s="1010"/>
      <c r="BP70" s="1010"/>
      <c r="BQ70" s="1010"/>
      <c r="BR70" s="1010"/>
      <c r="BS70" s="1010"/>
      <c r="BT70" s="1010"/>
      <c r="BU70" s="1010"/>
      <c r="BV70" s="1010"/>
      <c r="BW70" s="1010"/>
      <c r="BX70" s="1010"/>
      <c r="BY70" s="1010"/>
      <c r="BZ70" s="1010"/>
      <c r="CA70" s="1010"/>
      <c r="CB70" s="1010"/>
      <c r="CC70" s="1010"/>
      <c r="CD70" s="1010"/>
      <c r="CE70" s="1010"/>
      <c r="CF70" s="1010"/>
      <c r="CG70" s="1010"/>
      <c r="CH70" s="1010"/>
      <c r="CI70" s="1010"/>
      <c r="CJ70" s="1010"/>
      <c r="CK70" s="1010"/>
      <c r="CL70" s="1010"/>
      <c r="CM70" s="1010"/>
      <c r="CN70" s="1010"/>
      <c r="CO70" s="1010"/>
      <c r="CP70" s="1010"/>
      <c r="CQ70" s="1010"/>
      <c r="CR70" s="1010"/>
      <c r="CS70" s="1010"/>
      <c r="CT70" s="1010"/>
      <c r="CU70" s="1010"/>
      <c r="CV70" s="1010"/>
    </row>
    <row r="71" spans="1:100" s="1020" customFormat="1" outlineLevel="1" x14ac:dyDescent="0.2">
      <c r="A71" s="1008"/>
      <c r="B71" s="1008"/>
      <c r="C71" s="1017"/>
      <c r="D71" s="1018"/>
      <c r="E71" s="1100" t="s">
        <v>368</v>
      </c>
      <c r="F71" s="1019"/>
      <c r="G71" s="1019" t="str">
        <f>SMU</f>
        <v>$ 000s</v>
      </c>
      <c r="H71" s="1019"/>
      <c r="I71" s="1019"/>
      <c r="J71" s="1019">
        <f t="shared" ref="J71:AP71" ca="1" si="28">SUMIF($J$8:$CV$8, J$9, $J60:$CV60)</f>
        <v>0</v>
      </c>
      <c r="K71" s="1019">
        <f t="shared" ca="1" si="28"/>
        <v>0</v>
      </c>
      <c r="L71" s="1019">
        <f t="shared" ca="1" si="28"/>
        <v>11233.130669939161</v>
      </c>
      <c r="M71" s="1019">
        <f t="shared" ca="1" si="28"/>
        <v>11190.794928838903</v>
      </c>
      <c r="N71" s="1019">
        <f t="shared" ca="1" si="28"/>
        <v>11104.822479349081</v>
      </c>
      <c r="O71" s="1019">
        <f t="shared" ca="1" si="28"/>
        <v>11025.255469920612</v>
      </c>
      <c r="P71" s="1019">
        <f t="shared" ca="1" si="28"/>
        <v>10921.998577696688</v>
      </c>
      <c r="Q71" s="1019">
        <f t="shared" ca="1" si="28"/>
        <v>10840.135152344956</v>
      </c>
      <c r="R71" s="1019">
        <f t="shared" ca="1" si="28"/>
        <v>10749.568908064761</v>
      </c>
      <c r="S71" s="1019">
        <f t="shared" ca="1" si="28"/>
        <v>10665.064311187987</v>
      </c>
      <c r="T71" s="1019">
        <f t="shared" ca="1" si="28"/>
        <v>10557.509077694693</v>
      </c>
      <c r="U71" s="1019">
        <f t="shared" ca="1" si="28"/>
        <v>10470.507070020134</v>
      </c>
      <c r="V71" s="1019">
        <f t="shared" ca="1" si="28"/>
        <v>10374.944975120165</v>
      </c>
      <c r="W71" s="1019">
        <f t="shared" ca="1" si="28"/>
        <v>10285.079124192071</v>
      </c>
      <c r="X71" s="1019">
        <f t="shared" ca="1" si="28"/>
        <v>10172.834298762504</v>
      </c>
      <c r="Y71" s="1019">
        <f t="shared" ca="1" si="28"/>
        <v>10080.253439298456</v>
      </c>
      <c r="Z71" s="1019">
        <f t="shared" ca="1" si="28"/>
        <v>9979.2601971614822</v>
      </c>
      <c r="AA71" s="1019">
        <f t="shared" ca="1" si="28"/>
        <v>9883.5760729497488</v>
      </c>
      <c r="AB71" s="1019">
        <f t="shared" ca="1" si="28"/>
        <v>9766.220927027236</v>
      </c>
      <c r="AC71" s="1019">
        <f t="shared" ca="1" si="28"/>
        <v>-2.0082668106624624E-4</v>
      </c>
      <c r="AD71" s="1019">
        <f t="shared" ca="1" si="28"/>
        <v>-2.0082668106624624E-4</v>
      </c>
      <c r="AE71" s="1019">
        <f t="shared" ca="1" si="28"/>
        <v>-2.0082668106624624E-4</v>
      </c>
      <c r="AF71" s="1019">
        <f t="shared" ca="1" si="28"/>
        <v>-2.0082668106624624E-4</v>
      </c>
      <c r="AG71" s="1019">
        <f t="shared" ca="1" si="28"/>
        <v>-2.0082668106624624E-4</v>
      </c>
      <c r="AH71" s="1019">
        <f t="shared" ca="1" si="28"/>
        <v>-2.0082668106624624E-4</v>
      </c>
      <c r="AI71" s="1019">
        <f t="shared" ca="1" si="28"/>
        <v>-2.0082668106624624E-4</v>
      </c>
      <c r="AJ71" s="1019">
        <f t="shared" ca="1" si="28"/>
        <v>-2.0082668106624624E-4</v>
      </c>
      <c r="AK71" s="1019">
        <f t="shared" ca="1" si="28"/>
        <v>-2.0082668106624624E-4</v>
      </c>
      <c r="AL71" s="1019">
        <f t="shared" ca="1" si="28"/>
        <v>-2.0082668106624624E-4</v>
      </c>
      <c r="AM71" s="1019">
        <f t="shared" ca="1" si="28"/>
        <v>-2.0082668106624624E-4</v>
      </c>
      <c r="AN71" s="1019">
        <f t="shared" ca="1" si="28"/>
        <v>-2.0082668106624624E-4</v>
      </c>
      <c r="AO71" s="1019">
        <f t="shared" ca="1" si="28"/>
        <v>-2.0082668106624624E-4</v>
      </c>
      <c r="AP71" s="1019">
        <f t="shared" ca="1" si="28"/>
        <v>-2.0082668106624624E-4</v>
      </c>
      <c r="AQ71" s="1010"/>
      <c r="AR71" s="1010"/>
      <c r="AS71" s="1010"/>
      <c r="AT71" s="1010"/>
      <c r="AU71" s="1010"/>
      <c r="AV71" s="1010"/>
      <c r="AW71" s="1010"/>
      <c r="AX71" s="1010"/>
      <c r="AY71" s="1010"/>
      <c r="AZ71" s="1010"/>
      <c r="BA71" s="1010"/>
      <c r="BB71" s="1010"/>
      <c r="BC71" s="1010"/>
      <c r="BD71" s="1010"/>
      <c r="BE71" s="1010"/>
      <c r="BF71" s="1010"/>
      <c r="BG71" s="1010"/>
      <c r="BH71" s="1010"/>
      <c r="BI71" s="1010"/>
      <c r="BJ71" s="1010"/>
      <c r="BK71" s="1010"/>
      <c r="BL71" s="1010"/>
      <c r="BM71" s="1010"/>
      <c r="BN71" s="1010"/>
      <c r="BO71" s="1010"/>
      <c r="BP71" s="1010"/>
      <c r="BQ71" s="1010"/>
      <c r="BR71" s="1010"/>
      <c r="BS71" s="1010"/>
      <c r="BT71" s="1010"/>
      <c r="BU71" s="1010"/>
      <c r="BV71" s="1010"/>
      <c r="BW71" s="1010"/>
      <c r="BX71" s="1010"/>
      <c r="BY71" s="1010"/>
      <c r="BZ71" s="1010"/>
      <c r="CA71" s="1010"/>
      <c r="CB71" s="1010"/>
      <c r="CC71" s="1010"/>
      <c r="CD71" s="1010"/>
      <c r="CE71" s="1010"/>
      <c r="CF71" s="1010"/>
      <c r="CG71" s="1010"/>
      <c r="CH71" s="1010"/>
      <c r="CI71" s="1010"/>
      <c r="CJ71" s="1010"/>
      <c r="CK71" s="1010"/>
      <c r="CL71" s="1010"/>
      <c r="CM71" s="1010"/>
      <c r="CN71" s="1010"/>
      <c r="CO71" s="1010"/>
      <c r="CP71" s="1010"/>
      <c r="CQ71" s="1010"/>
      <c r="CR71" s="1010"/>
      <c r="CS71" s="1010"/>
      <c r="CT71" s="1010"/>
      <c r="CU71" s="1010"/>
      <c r="CV71" s="1010"/>
    </row>
    <row r="72" spans="1:100" s="1020" customFormat="1" outlineLevel="1" x14ac:dyDescent="0.2">
      <c r="A72" s="1008"/>
      <c r="B72" s="1008"/>
      <c r="C72" s="1017"/>
      <c r="D72" s="1018"/>
      <c r="E72" s="1019"/>
      <c r="F72" s="1019"/>
      <c r="G72" s="1019"/>
      <c r="H72" s="1019"/>
      <c r="I72" s="1019"/>
      <c r="J72" s="1019"/>
      <c r="K72" s="1019"/>
      <c r="L72" s="1019"/>
      <c r="M72" s="1019"/>
      <c r="N72" s="1019"/>
      <c r="O72" s="1019"/>
      <c r="P72" s="1019"/>
      <c r="Q72" s="1019"/>
      <c r="R72" s="1019"/>
      <c r="S72" s="1019"/>
      <c r="T72" s="1019"/>
      <c r="U72" s="1019"/>
      <c r="V72" s="1019"/>
      <c r="W72" s="1019"/>
      <c r="X72" s="1019"/>
      <c r="Y72" s="1019"/>
      <c r="Z72" s="1019"/>
      <c r="AA72" s="1019"/>
      <c r="AB72" s="1019"/>
      <c r="AC72" s="1019"/>
      <c r="AD72" s="1019"/>
      <c r="AE72" s="1019"/>
      <c r="AF72" s="1019"/>
      <c r="AG72" s="1019"/>
      <c r="AH72" s="1019"/>
      <c r="AI72" s="1019"/>
      <c r="AJ72" s="1019"/>
      <c r="AK72" s="1019"/>
      <c r="AL72" s="1019"/>
      <c r="AM72" s="1019"/>
      <c r="AN72" s="1019"/>
      <c r="AO72" s="1019"/>
      <c r="AP72" s="1019"/>
      <c r="AQ72" s="1019"/>
      <c r="AR72" s="1019"/>
      <c r="AS72" s="1019"/>
      <c r="AT72" s="1019"/>
      <c r="AU72" s="1019"/>
      <c r="AV72" s="1019"/>
      <c r="AW72" s="1019"/>
      <c r="AX72" s="1019"/>
      <c r="AY72" s="1019"/>
      <c r="AZ72" s="1019"/>
      <c r="BA72" s="1019"/>
      <c r="BB72" s="1019"/>
      <c r="BC72" s="1019"/>
      <c r="BD72" s="1019"/>
      <c r="BE72" s="1019"/>
      <c r="BF72" s="1019"/>
      <c r="BG72" s="1019"/>
      <c r="BH72" s="1019"/>
      <c r="BI72" s="1019"/>
      <c r="BJ72" s="1019"/>
      <c r="BK72" s="1019"/>
      <c r="BL72" s="1019"/>
      <c r="BM72" s="1019"/>
      <c r="BN72" s="1019"/>
      <c r="BO72" s="1019"/>
      <c r="BP72" s="1019"/>
      <c r="BQ72" s="1019"/>
      <c r="BR72" s="1019"/>
      <c r="BS72" s="1019"/>
      <c r="BT72" s="1019"/>
      <c r="BU72" s="1019"/>
      <c r="BV72" s="1019"/>
      <c r="BW72" s="1019"/>
      <c r="BX72" s="1019"/>
      <c r="BY72" s="1019"/>
      <c r="BZ72" s="1019"/>
      <c r="CA72" s="1019"/>
      <c r="CB72" s="1019"/>
      <c r="CC72" s="1019"/>
      <c r="CD72" s="1019"/>
      <c r="CE72" s="1019"/>
      <c r="CF72" s="1019"/>
      <c r="CG72" s="1019"/>
      <c r="CH72" s="1019"/>
      <c r="CI72" s="1019"/>
      <c r="CJ72" s="1019"/>
      <c r="CK72" s="1019"/>
      <c r="CL72" s="1019"/>
      <c r="CM72" s="1019"/>
      <c r="CN72" s="1019"/>
      <c r="CO72" s="1019"/>
      <c r="CP72" s="1019"/>
      <c r="CQ72" s="1019"/>
      <c r="CR72" s="1019"/>
      <c r="CS72" s="1019"/>
      <c r="CT72" s="1019"/>
      <c r="CU72" s="1019"/>
      <c r="CV72" s="1019"/>
    </row>
    <row r="73" spans="1:100" s="1001" customFormat="1" outlineLevel="1" x14ac:dyDescent="0.2">
      <c r="A73" s="1008"/>
      <c r="B73" s="997"/>
      <c r="C73" s="998"/>
      <c r="D73" s="999"/>
      <c r="E73" s="1005" t="s">
        <v>1015</v>
      </c>
      <c r="F73" s="1005"/>
      <c r="G73" s="1005" t="str">
        <f>SMU</f>
        <v>$ 000s</v>
      </c>
      <c r="H73" s="1005"/>
      <c r="I73" s="1005"/>
      <c r="J73" s="1005">
        <f t="shared" ref="J73:AP73" ca="1" si="29">SUMIF($J$8:$CV$8, J$9, $J62:$CV62)</f>
        <v>0</v>
      </c>
      <c r="K73" s="1005">
        <f t="shared" ca="1" si="29"/>
        <v>48641.086087745876</v>
      </c>
      <c r="L73" s="1005">
        <f t="shared" ca="1" si="29"/>
        <v>125194.92613015344</v>
      </c>
      <c r="M73" s="1005">
        <f t="shared" ca="1" si="29"/>
        <v>119922.1352876555</v>
      </c>
      <c r="N73" s="1005">
        <f t="shared" ca="1" si="29"/>
        <v>115049.50252800655</v>
      </c>
      <c r="O73" s="1005">
        <f t="shared" ca="1" si="29"/>
        <v>110024.16578572989</v>
      </c>
      <c r="P73" s="1005">
        <f t="shared" ca="1" si="29"/>
        <v>104844.37664323812</v>
      </c>
      <c r="Q73" s="1005">
        <f t="shared" ca="1" si="29"/>
        <v>99501.600215346058</v>
      </c>
      <c r="R73" s="1005">
        <f t="shared" ca="1" si="29"/>
        <v>94137.669059260574</v>
      </c>
      <c r="S73" s="1005">
        <f t="shared" ca="1" si="29"/>
        <v>88591.140842060806</v>
      </c>
      <c r="T73" s="1005">
        <f t="shared" ca="1" si="29"/>
        <v>82856.442001167306</v>
      </c>
      <c r="U73" s="1005">
        <f t="shared" ca="1" si="29"/>
        <v>76927.27686561922</v>
      </c>
      <c r="V73" s="1005">
        <f t="shared" ca="1" si="29"/>
        <v>70785.247373619</v>
      </c>
      <c r="W73" s="1005">
        <f t="shared" ca="1" si="29"/>
        <v>64544.128046861137</v>
      </c>
      <c r="X73" s="1005">
        <f t="shared" ca="1" si="29"/>
        <v>58066.22768944627</v>
      </c>
      <c r="Y73" s="1005">
        <f t="shared" ca="1" si="29"/>
        <v>51347.570845042952</v>
      </c>
      <c r="Z73" s="1005">
        <f t="shared" ca="1" si="29"/>
        <v>44364.691041537037</v>
      </c>
      <c r="AA73" s="1005">
        <f t="shared" ca="1" si="29"/>
        <v>37111.262402800712</v>
      </c>
      <c r="AB73" s="1005">
        <f t="shared" ca="1" si="29"/>
        <v>18869.053669515644</v>
      </c>
      <c r="AC73" s="1005">
        <f t="shared" ca="1" si="29"/>
        <v>-2.5461520346652833E-2</v>
      </c>
      <c r="AD73" s="1005">
        <f t="shared" ca="1" si="29"/>
        <v>-2.5461520346652833E-2</v>
      </c>
      <c r="AE73" s="1005">
        <f t="shared" ca="1" si="29"/>
        <v>-2.5461520346652833E-2</v>
      </c>
      <c r="AF73" s="1005">
        <f t="shared" ca="1" si="29"/>
        <v>-2.5461520346652833E-2</v>
      </c>
      <c r="AG73" s="1005">
        <f t="shared" ca="1" si="29"/>
        <v>-2.5461520346652833E-2</v>
      </c>
      <c r="AH73" s="1005">
        <f t="shared" ca="1" si="29"/>
        <v>-2.5461520346652833E-2</v>
      </c>
      <c r="AI73" s="1005">
        <f t="shared" ca="1" si="29"/>
        <v>-2.5461520346652833E-2</v>
      </c>
      <c r="AJ73" s="1005">
        <f t="shared" ca="1" si="29"/>
        <v>-2.5461520346652833E-2</v>
      </c>
      <c r="AK73" s="1005">
        <f t="shared" ca="1" si="29"/>
        <v>-2.5461520346652833E-2</v>
      </c>
      <c r="AL73" s="1005">
        <f t="shared" ca="1" si="29"/>
        <v>-2.5461520346652833E-2</v>
      </c>
      <c r="AM73" s="1005">
        <f t="shared" ca="1" si="29"/>
        <v>-2.5461520346652833E-2</v>
      </c>
      <c r="AN73" s="1005">
        <f t="shared" ca="1" si="29"/>
        <v>-2.5461520346652833E-2</v>
      </c>
      <c r="AO73" s="1005">
        <f t="shared" ca="1" si="29"/>
        <v>-2.5461520346652833E-2</v>
      </c>
      <c r="AP73" s="1005">
        <f t="shared" ca="1" si="29"/>
        <v>-2.5461520346652833E-2</v>
      </c>
      <c r="AQ73" s="1010"/>
      <c r="AR73" s="1010"/>
      <c r="AS73" s="1010"/>
      <c r="AT73" s="1010"/>
      <c r="AU73" s="1010"/>
      <c r="AV73" s="1010"/>
      <c r="AW73" s="1010"/>
      <c r="AX73" s="1010"/>
      <c r="AY73" s="1010"/>
      <c r="AZ73" s="1010"/>
      <c r="BA73" s="1010"/>
      <c r="BB73" s="1010"/>
      <c r="BC73" s="1010"/>
      <c r="BD73" s="1010"/>
      <c r="BE73" s="1010"/>
      <c r="BF73" s="1010"/>
      <c r="BG73" s="1010"/>
      <c r="BH73" s="1010"/>
      <c r="BI73" s="1010"/>
      <c r="BJ73" s="1010"/>
      <c r="BK73" s="1010"/>
      <c r="BL73" s="1010"/>
      <c r="BM73" s="1010"/>
      <c r="BN73" s="1010"/>
      <c r="BO73" s="1010"/>
      <c r="BP73" s="1010"/>
      <c r="BQ73" s="1010"/>
      <c r="BR73" s="1010"/>
      <c r="BS73" s="1010"/>
      <c r="BT73" s="1010"/>
      <c r="BU73" s="1010"/>
      <c r="BV73" s="1010"/>
      <c r="BW73" s="1010"/>
      <c r="BX73" s="1010"/>
      <c r="BY73" s="1010"/>
      <c r="BZ73" s="1010"/>
      <c r="CA73" s="1010"/>
      <c r="CB73" s="1010"/>
      <c r="CC73" s="1010"/>
      <c r="CD73" s="1010"/>
      <c r="CE73" s="1010"/>
      <c r="CF73" s="1010"/>
      <c r="CG73" s="1010"/>
      <c r="CH73" s="1010"/>
      <c r="CI73" s="1010"/>
      <c r="CJ73" s="1010"/>
      <c r="CK73" s="1010"/>
      <c r="CL73" s="1010"/>
      <c r="CM73" s="1010"/>
      <c r="CN73" s="1010"/>
      <c r="CO73" s="1010"/>
      <c r="CP73" s="1010"/>
      <c r="CQ73" s="1010"/>
      <c r="CR73" s="1010"/>
      <c r="CS73" s="1010"/>
      <c r="CT73" s="1010"/>
      <c r="CU73" s="1010"/>
      <c r="CV73" s="1010"/>
    </row>
    <row r="74" spans="1:100" s="1001" customFormat="1" outlineLevel="1" x14ac:dyDescent="0.2">
      <c r="A74" s="1008"/>
      <c r="B74" s="997"/>
      <c r="C74" s="998"/>
      <c r="D74" s="999"/>
      <c r="E74" s="1005" t="s">
        <v>1016</v>
      </c>
      <c r="F74" s="1005"/>
      <c r="G74" s="1005" t="str">
        <f>SMU</f>
        <v>$ 000s</v>
      </c>
      <c r="H74" s="1005"/>
      <c r="I74" s="1005"/>
      <c r="J74" s="1005">
        <f t="shared" ref="J74:AP74" ca="1" si="30">SUMIF($J$8:$CV$8, J$9, $J63:$CV63)</f>
        <v>0</v>
      </c>
      <c r="K74" s="1005">
        <f t="shared" ca="1" si="30"/>
        <v>48641.086087745876</v>
      </c>
      <c r="L74" s="1005">
        <f t="shared" ca="1" si="30"/>
        <v>125194.92613015344</v>
      </c>
      <c r="M74" s="1005">
        <f t="shared" ca="1" si="30"/>
        <v>117700.61196665274</v>
      </c>
      <c r="N74" s="1005">
        <f t="shared" ca="1" si="30"/>
        <v>110775.04981276403</v>
      </c>
      <c r="O74" s="1005">
        <f t="shared" ca="1" si="30"/>
        <v>103632.44669252292</v>
      </c>
      <c r="P74" s="1005">
        <f t="shared" ca="1" si="30"/>
        <v>96270.31754800085</v>
      </c>
      <c r="Q74" s="1005">
        <f t="shared" ca="1" si="30"/>
        <v>88676.531590619605</v>
      </c>
      <c r="R74" s="1005">
        <f t="shared" ca="1" si="30"/>
        <v>81052.678030737021</v>
      </c>
      <c r="S74" s="1005">
        <f t="shared" ca="1" si="30"/>
        <v>73169.295924739374</v>
      </c>
      <c r="T74" s="1005">
        <f t="shared" ca="1" si="30"/>
        <v>65018.4634660866</v>
      </c>
      <c r="U74" s="1005">
        <f t="shared" ca="1" si="30"/>
        <v>56591.232502375169</v>
      </c>
      <c r="V74" s="1005">
        <f t="shared" ca="1" si="30"/>
        <v>47861.453531523759</v>
      </c>
      <c r="W74" s="1005">
        <f t="shared" ca="1" si="30"/>
        <v>38990.836364304349</v>
      </c>
      <c r="X74" s="1005">
        <f t="shared" ca="1" si="30"/>
        <v>29783.677983009326</v>
      </c>
      <c r="Y74" s="1005">
        <f t="shared" ca="1" si="30"/>
        <v>20234.327998768505</v>
      </c>
      <c r="Z74" s="1005">
        <f t="shared" ca="1" si="30"/>
        <v>10309.43308512052</v>
      </c>
      <c r="AA74" s="1005">
        <f t="shared" ca="1" si="30"/>
        <v>2.1585050071735168E-3</v>
      </c>
      <c r="AB74" s="1005">
        <f t="shared" ca="1" si="30"/>
        <v>2.1585050071735168E-3</v>
      </c>
      <c r="AC74" s="1005">
        <f t="shared" ca="1" si="30"/>
        <v>2.1585050071735168E-3</v>
      </c>
      <c r="AD74" s="1005">
        <f t="shared" ca="1" si="30"/>
        <v>2.1585050071735168E-3</v>
      </c>
      <c r="AE74" s="1005">
        <f t="shared" ca="1" si="30"/>
        <v>2.1585050071735168E-3</v>
      </c>
      <c r="AF74" s="1005">
        <f t="shared" ca="1" si="30"/>
        <v>2.1585050071735168E-3</v>
      </c>
      <c r="AG74" s="1005">
        <f t="shared" ca="1" si="30"/>
        <v>2.1585050071735168E-3</v>
      </c>
      <c r="AH74" s="1005">
        <f t="shared" ca="1" si="30"/>
        <v>2.1585050071735168E-3</v>
      </c>
      <c r="AI74" s="1005">
        <f t="shared" ca="1" si="30"/>
        <v>2.1585050071735168E-3</v>
      </c>
      <c r="AJ74" s="1005">
        <f t="shared" ca="1" si="30"/>
        <v>2.1585050071735168E-3</v>
      </c>
      <c r="AK74" s="1005">
        <f t="shared" ca="1" si="30"/>
        <v>2.1585050071735168E-3</v>
      </c>
      <c r="AL74" s="1005">
        <f t="shared" ca="1" si="30"/>
        <v>2.1585050071735168E-3</v>
      </c>
      <c r="AM74" s="1005">
        <f t="shared" ca="1" si="30"/>
        <v>2.1585050071735168E-3</v>
      </c>
      <c r="AN74" s="1005">
        <f t="shared" ca="1" si="30"/>
        <v>2.1585050071735168E-3</v>
      </c>
      <c r="AO74" s="1005">
        <f t="shared" ca="1" si="30"/>
        <v>2.1585050071735168E-3</v>
      </c>
      <c r="AP74" s="1005">
        <f t="shared" ca="1" si="30"/>
        <v>2.1585050071735168E-3</v>
      </c>
      <c r="AQ74" s="1010"/>
      <c r="AR74" s="1010"/>
      <c r="AS74" s="1010"/>
      <c r="AT74" s="1010"/>
      <c r="AU74" s="1010"/>
      <c r="AV74" s="1010"/>
      <c r="AW74" s="1010"/>
      <c r="AX74" s="1010"/>
      <c r="AY74" s="1010"/>
      <c r="AZ74" s="1010"/>
      <c r="BA74" s="1010"/>
      <c r="BB74" s="1010"/>
      <c r="BC74" s="1010"/>
      <c r="BD74" s="1010"/>
      <c r="BE74" s="1010"/>
      <c r="BF74" s="1010"/>
      <c r="BG74" s="1010"/>
      <c r="BH74" s="1010"/>
      <c r="BI74" s="1010"/>
      <c r="BJ74" s="1010"/>
      <c r="BK74" s="1010"/>
      <c r="BL74" s="1010"/>
      <c r="BM74" s="1010"/>
      <c r="BN74" s="1010"/>
      <c r="BO74" s="1010"/>
      <c r="BP74" s="1010"/>
      <c r="BQ74" s="1010"/>
      <c r="BR74" s="1010"/>
      <c r="BS74" s="1010"/>
      <c r="BT74" s="1010"/>
      <c r="BU74" s="1010"/>
      <c r="BV74" s="1010"/>
      <c r="BW74" s="1010"/>
      <c r="BX74" s="1010"/>
      <c r="BY74" s="1010"/>
      <c r="BZ74" s="1010"/>
      <c r="CA74" s="1010"/>
      <c r="CB74" s="1010"/>
      <c r="CC74" s="1010"/>
      <c r="CD74" s="1010"/>
      <c r="CE74" s="1010"/>
      <c r="CF74" s="1010"/>
      <c r="CG74" s="1010"/>
      <c r="CH74" s="1010"/>
      <c r="CI74" s="1010"/>
      <c r="CJ74" s="1010"/>
      <c r="CK74" s="1010"/>
      <c r="CL74" s="1010"/>
      <c r="CM74" s="1010"/>
      <c r="CN74" s="1010"/>
      <c r="CO74" s="1010"/>
      <c r="CP74" s="1010"/>
      <c r="CQ74" s="1010"/>
      <c r="CR74" s="1010"/>
      <c r="CS74" s="1010"/>
      <c r="CT74" s="1010"/>
      <c r="CU74" s="1010"/>
      <c r="CV74" s="1010"/>
    </row>
    <row r="75" spans="1:100" s="1020" customFormat="1" outlineLevel="1" x14ac:dyDescent="0.2">
      <c r="A75" s="1008"/>
      <c r="B75" s="1008"/>
      <c r="C75" s="1017"/>
      <c r="D75" s="1018"/>
      <c r="E75" s="1019"/>
      <c r="F75" s="1019"/>
      <c r="G75" s="1019"/>
      <c r="H75" s="1019"/>
      <c r="I75" s="1019"/>
      <c r="J75" s="1019"/>
      <c r="K75" s="1019"/>
      <c r="L75" s="1019"/>
      <c r="M75" s="1019"/>
      <c r="N75" s="1019"/>
      <c r="O75" s="1019"/>
      <c r="P75" s="1019"/>
      <c r="Q75" s="1019"/>
      <c r="R75" s="1019"/>
      <c r="S75" s="1019"/>
      <c r="T75" s="1019"/>
      <c r="U75" s="1019"/>
      <c r="V75" s="1019"/>
      <c r="W75" s="1019"/>
      <c r="X75" s="1019"/>
      <c r="Y75" s="1019"/>
      <c r="Z75" s="1019"/>
      <c r="AA75" s="1019"/>
      <c r="AB75" s="1019"/>
      <c r="AC75" s="1019"/>
      <c r="AD75" s="1019"/>
      <c r="AE75" s="1019"/>
      <c r="AF75" s="1019"/>
      <c r="AG75" s="1019"/>
      <c r="AH75" s="1019"/>
      <c r="AI75" s="1019"/>
      <c r="AJ75" s="1019"/>
      <c r="AK75" s="1019"/>
      <c r="AL75" s="1019"/>
      <c r="AM75" s="1019"/>
      <c r="AN75" s="1019"/>
      <c r="AO75" s="1019"/>
      <c r="AP75" s="1019"/>
      <c r="AQ75" s="1019"/>
      <c r="AR75" s="1019"/>
      <c r="AS75" s="1019"/>
      <c r="AT75" s="1019"/>
      <c r="AU75" s="1019"/>
      <c r="AV75" s="1019"/>
      <c r="AW75" s="1019"/>
      <c r="AX75" s="1019"/>
      <c r="AY75" s="1019"/>
      <c r="AZ75" s="1019"/>
      <c r="BA75" s="1019"/>
      <c r="BB75" s="1019"/>
      <c r="BC75" s="1019"/>
      <c r="BD75" s="1019"/>
      <c r="BE75" s="1019"/>
      <c r="BF75" s="1019"/>
      <c r="BG75" s="1019"/>
      <c r="BH75" s="1019"/>
      <c r="BI75" s="1019"/>
      <c r="BJ75" s="1019"/>
      <c r="BK75" s="1019"/>
      <c r="BL75" s="1019"/>
      <c r="BM75" s="1019"/>
      <c r="BN75" s="1019"/>
      <c r="BO75" s="1019"/>
      <c r="BP75" s="1019"/>
      <c r="BQ75" s="1019"/>
      <c r="BR75" s="1019"/>
      <c r="BS75" s="1019"/>
      <c r="BT75" s="1019"/>
      <c r="BU75" s="1019"/>
      <c r="BV75" s="1019"/>
      <c r="BW75" s="1019"/>
      <c r="BX75" s="1019"/>
      <c r="BY75" s="1019"/>
      <c r="BZ75" s="1019"/>
      <c r="CA75" s="1019"/>
      <c r="CB75" s="1019"/>
      <c r="CC75" s="1019"/>
      <c r="CD75" s="1019"/>
      <c r="CE75" s="1019"/>
      <c r="CF75" s="1019"/>
      <c r="CG75" s="1019"/>
      <c r="CH75" s="1019"/>
      <c r="CI75" s="1019"/>
      <c r="CJ75" s="1019"/>
      <c r="CK75" s="1019"/>
      <c r="CL75" s="1019"/>
      <c r="CM75" s="1019"/>
      <c r="CN75" s="1019"/>
      <c r="CO75" s="1019"/>
      <c r="CP75" s="1019"/>
      <c r="CQ75" s="1019"/>
      <c r="CR75" s="1019"/>
      <c r="CS75" s="1019"/>
      <c r="CT75" s="1019"/>
      <c r="CU75" s="1019"/>
      <c r="CV75" s="1019"/>
    </row>
    <row r="76" spans="1:100" s="1020" customFormat="1" x14ac:dyDescent="0.2">
      <c r="A76" s="1008"/>
      <c r="B76" s="1008"/>
      <c r="C76" s="1017"/>
      <c r="D76" s="1018"/>
      <c r="E76" s="1019"/>
      <c r="F76" s="1019"/>
      <c r="G76" s="1019"/>
      <c r="H76" s="1019"/>
      <c r="I76" s="1019"/>
      <c r="J76" s="1019"/>
      <c r="K76" s="1019"/>
      <c r="L76" s="1019"/>
      <c r="M76" s="1019"/>
      <c r="N76" s="1019"/>
      <c r="O76" s="1019"/>
      <c r="P76" s="1019"/>
      <c r="Q76" s="1019"/>
      <c r="R76" s="1019"/>
      <c r="S76" s="1019"/>
      <c r="T76" s="1019"/>
      <c r="U76" s="1019"/>
      <c r="V76" s="1019"/>
      <c r="W76" s="1019"/>
      <c r="X76" s="1019"/>
      <c r="Y76" s="1019"/>
      <c r="Z76" s="1019"/>
      <c r="AA76" s="1019"/>
      <c r="AB76" s="1019"/>
      <c r="AC76" s="1019"/>
      <c r="AD76" s="1019"/>
      <c r="AE76" s="1019"/>
      <c r="AF76" s="1019"/>
      <c r="AG76" s="1019"/>
      <c r="AH76" s="1019"/>
      <c r="AI76" s="1019"/>
      <c r="AJ76" s="1019"/>
      <c r="AK76" s="1019"/>
      <c r="AL76" s="1019"/>
      <c r="AM76" s="1019"/>
      <c r="AN76" s="1019"/>
      <c r="AO76" s="1019"/>
      <c r="AP76" s="1019"/>
      <c r="AQ76" s="1019"/>
      <c r="AR76" s="1019"/>
      <c r="AS76" s="1019"/>
      <c r="AT76" s="1019"/>
      <c r="AU76" s="1019"/>
      <c r="AV76" s="1019"/>
      <c r="AW76" s="1019"/>
      <c r="AX76" s="1019"/>
      <c r="AY76" s="1019"/>
      <c r="AZ76" s="1019"/>
      <c r="BA76" s="1019"/>
      <c r="BB76" s="1019"/>
      <c r="BC76" s="1019"/>
      <c r="BD76" s="1019"/>
      <c r="BE76" s="1019"/>
      <c r="BF76" s="1019"/>
      <c r="BG76" s="1019"/>
      <c r="BH76" s="1019"/>
      <c r="BI76" s="1019"/>
      <c r="BJ76" s="1019"/>
      <c r="BK76" s="1019"/>
      <c r="BL76" s="1019"/>
      <c r="BM76" s="1019"/>
      <c r="BN76" s="1019"/>
      <c r="BO76" s="1019"/>
      <c r="BP76" s="1019"/>
      <c r="BQ76" s="1019"/>
      <c r="BR76" s="1019"/>
      <c r="BS76" s="1019"/>
      <c r="BT76" s="1019"/>
      <c r="BU76" s="1019"/>
      <c r="BV76" s="1019"/>
      <c r="BW76" s="1019"/>
      <c r="BX76" s="1019"/>
      <c r="BY76" s="1019"/>
      <c r="BZ76" s="1019"/>
      <c r="CA76" s="1019"/>
      <c r="CB76" s="1019"/>
      <c r="CC76" s="1019"/>
      <c r="CD76" s="1019"/>
      <c r="CE76" s="1019"/>
      <c r="CF76" s="1019"/>
      <c r="CG76" s="1019"/>
      <c r="CH76" s="1019"/>
      <c r="CI76" s="1019"/>
      <c r="CJ76" s="1019"/>
      <c r="CK76" s="1019"/>
      <c r="CL76" s="1019"/>
      <c r="CM76" s="1019"/>
      <c r="CN76" s="1019"/>
      <c r="CO76" s="1019"/>
      <c r="CP76" s="1019"/>
      <c r="CQ76" s="1019"/>
      <c r="CR76" s="1019"/>
      <c r="CS76" s="1019"/>
      <c r="CT76" s="1019"/>
      <c r="CU76" s="1019"/>
      <c r="CV76" s="1019"/>
    </row>
    <row r="77" spans="1:100" x14ac:dyDescent="0.2">
      <c r="A77" s="992" t="s">
        <v>793</v>
      </c>
    </row>
    <row r="78" spans="1:100" outlineLevel="1" x14ac:dyDescent="0.2"/>
    <row r="79" spans="1:100" s="1031" customFormat="1" outlineLevel="1" x14ac:dyDescent="0.2">
      <c r="A79" s="1022"/>
      <c r="B79" s="1023"/>
      <c r="C79" s="1024"/>
      <c r="D79" s="1025"/>
      <c r="E79" s="1026" t="s">
        <v>220</v>
      </c>
      <c r="F79" s="1026">
        <f xml:space="preserve"> InpC!F$18</f>
        <v>44681</v>
      </c>
      <c r="G79" s="1027" t="str">
        <f xml:space="preserve"> InpC!G$18</f>
        <v>date</v>
      </c>
      <c r="H79" s="1028"/>
      <c r="I79" s="1028"/>
      <c r="J79" s="1028"/>
      <c r="K79" s="1028"/>
      <c r="L79" s="1028"/>
      <c r="M79" s="1029"/>
      <c r="N79" s="1030"/>
      <c r="O79" s="1030"/>
      <c r="P79" s="1030"/>
      <c r="Q79" s="1030"/>
      <c r="R79" s="1030"/>
      <c r="S79" s="1030"/>
      <c r="T79" s="1030"/>
      <c r="U79" s="1030"/>
      <c r="V79" s="1030"/>
      <c r="W79" s="1030"/>
      <c r="X79" s="1030"/>
      <c r="Y79" s="1030"/>
      <c r="Z79" s="1030"/>
      <c r="AA79" s="1030"/>
      <c r="AB79" s="1030"/>
      <c r="AC79" s="1030"/>
      <c r="AD79" s="1030"/>
      <c r="AE79" s="1030"/>
      <c r="AF79" s="1030"/>
      <c r="AG79" s="1030"/>
      <c r="AH79" s="1030"/>
      <c r="AI79" s="1030"/>
      <c r="AJ79" s="1030"/>
      <c r="AK79" s="1030"/>
      <c r="AL79" s="1030"/>
      <c r="AM79" s="1030"/>
      <c r="AN79" s="1030"/>
      <c r="AO79" s="1030"/>
      <c r="AP79" s="1030"/>
      <c r="AQ79" s="1030"/>
      <c r="AR79" s="1030"/>
      <c r="AS79" s="1030"/>
      <c r="AT79" s="1030"/>
      <c r="AU79" s="1030"/>
      <c r="AV79" s="1030"/>
      <c r="AW79" s="1030"/>
      <c r="AX79" s="1030"/>
      <c r="AY79" s="1030"/>
      <c r="AZ79" s="1030"/>
      <c r="BA79" s="1030"/>
      <c r="BB79" s="1030"/>
      <c r="BC79" s="1030"/>
      <c r="BD79" s="1030"/>
      <c r="BE79" s="1030"/>
      <c r="BF79" s="1030"/>
      <c r="BG79" s="1030"/>
      <c r="BH79" s="1030"/>
      <c r="BI79" s="1030"/>
      <c r="BJ79" s="1030"/>
      <c r="BK79" s="1030"/>
      <c r="BL79" s="1030"/>
      <c r="BM79" s="1030"/>
      <c r="BN79" s="1030"/>
      <c r="BO79" s="1030"/>
      <c r="BP79" s="1030"/>
      <c r="BQ79" s="1030"/>
      <c r="BR79" s="1030"/>
      <c r="BS79" s="1030"/>
      <c r="BT79" s="1030"/>
      <c r="BU79" s="1030"/>
      <c r="BV79" s="1030"/>
      <c r="BW79" s="1030"/>
      <c r="BX79" s="1030"/>
      <c r="BY79" s="1030"/>
      <c r="BZ79" s="1030"/>
      <c r="CA79" s="1030"/>
      <c r="CB79" s="1030"/>
      <c r="CC79" s="1030"/>
      <c r="CD79" s="1030"/>
      <c r="CE79" s="1030"/>
      <c r="CF79" s="1030"/>
      <c r="CG79" s="1030"/>
      <c r="CH79" s="1030"/>
      <c r="CI79" s="1030"/>
      <c r="CJ79" s="1030"/>
      <c r="CK79" s="1030"/>
      <c r="CL79" s="1030"/>
      <c r="CM79" s="1030"/>
      <c r="CN79" s="1030"/>
      <c r="CO79" s="1030"/>
      <c r="CP79" s="1030"/>
      <c r="CQ79" s="1030"/>
      <c r="CR79" s="1030"/>
      <c r="CS79" s="1030"/>
      <c r="CT79" s="1030"/>
      <c r="CU79" s="1030"/>
      <c r="CV79" s="1030"/>
    </row>
    <row r="80" spans="1:100" s="1031" customFormat="1" outlineLevel="1" x14ac:dyDescent="0.2">
      <c r="A80" s="1022"/>
      <c r="B80" s="1023"/>
      <c r="C80" s="1024"/>
      <c r="D80" s="1025"/>
      <c r="E80" s="1026"/>
      <c r="F80" s="1026"/>
      <c r="G80" s="1027"/>
      <c r="H80" s="1028"/>
      <c r="I80" s="1028"/>
      <c r="J80" s="1028"/>
      <c r="K80" s="1028"/>
      <c r="L80" s="1028"/>
      <c r="M80" s="1029"/>
      <c r="N80" s="1030"/>
      <c r="O80" s="1030"/>
      <c r="P80" s="1030"/>
      <c r="Q80" s="1030"/>
      <c r="R80" s="1030"/>
      <c r="S80" s="1030"/>
      <c r="T80" s="1030"/>
      <c r="U80" s="1030"/>
      <c r="V80" s="1030"/>
      <c r="W80" s="1030"/>
      <c r="X80" s="1030"/>
      <c r="Y80" s="1030"/>
      <c r="Z80" s="1030"/>
      <c r="AA80" s="1030"/>
      <c r="AB80" s="1030"/>
      <c r="AC80" s="1030"/>
      <c r="AD80" s="1030"/>
      <c r="AE80" s="1030"/>
      <c r="AF80" s="1030"/>
      <c r="AG80" s="1030"/>
      <c r="AH80" s="1030"/>
      <c r="AI80" s="1030"/>
      <c r="AJ80" s="1030"/>
      <c r="AK80" s="1030"/>
      <c r="AL80" s="1030"/>
      <c r="AM80" s="1030"/>
      <c r="AN80" s="1030"/>
      <c r="AO80" s="1030"/>
      <c r="AP80" s="1030"/>
      <c r="AQ80" s="1030"/>
      <c r="AR80" s="1030"/>
      <c r="AS80" s="1030"/>
      <c r="AT80" s="1030"/>
      <c r="AU80" s="1030"/>
      <c r="AV80" s="1030"/>
      <c r="AW80" s="1030"/>
      <c r="AX80" s="1030"/>
      <c r="AY80" s="1030"/>
      <c r="AZ80" s="1030"/>
      <c r="BA80" s="1030"/>
      <c r="BB80" s="1030"/>
      <c r="BC80" s="1030"/>
      <c r="BD80" s="1030"/>
      <c r="BE80" s="1030"/>
      <c r="BF80" s="1030"/>
      <c r="BG80" s="1030"/>
      <c r="BH80" s="1030"/>
      <c r="BI80" s="1030"/>
      <c r="BJ80" s="1030"/>
      <c r="BK80" s="1030"/>
      <c r="BL80" s="1030"/>
      <c r="BM80" s="1030"/>
      <c r="BN80" s="1030"/>
      <c r="BO80" s="1030"/>
      <c r="BP80" s="1030"/>
      <c r="BQ80" s="1030"/>
      <c r="BR80" s="1030"/>
      <c r="BS80" s="1030"/>
      <c r="BT80" s="1030"/>
      <c r="BU80" s="1030"/>
      <c r="BV80" s="1030"/>
      <c r="BW80" s="1030"/>
      <c r="BX80" s="1030"/>
      <c r="BY80" s="1030"/>
      <c r="BZ80" s="1030"/>
      <c r="CA80" s="1030"/>
      <c r="CB80" s="1030"/>
      <c r="CC80" s="1030"/>
      <c r="CD80" s="1030"/>
      <c r="CE80" s="1030"/>
      <c r="CF80" s="1030"/>
      <c r="CG80" s="1030"/>
      <c r="CH80" s="1030"/>
      <c r="CI80" s="1030"/>
      <c r="CJ80" s="1030"/>
      <c r="CK80" s="1030"/>
      <c r="CL80" s="1030"/>
      <c r="CM80" s="1030"/>
      <c r="CN80" s="1030"/>
      <c r="CO80" s="1030"/>
      <c r="CP80" s="1030"/>
      <c r="CQ80" s="1030"/>
      <c r="CR80" s="1030"/>
      <c r="CS80" s="1030"/>
      <c r="CT80" s="1030"/>
      <c r="CU80" s="1030"/>
      <c r="CV80" s="1030"/>
    </row>
    <row r="81" spans="1:100" s="1001" customFormat="1" outlineLevel="1" x14ac:dyDescent="0.2">
      <c r="A81" s="1008"/>
      <c r="B81" s="997"/>
      <c r="C81" s="998"/>
      <c r="D81" s="999"/>
      <c r="E81" s="1026" t="s">
        <v>828</v>
      </c>
      <c r="F81" s="1026">
        <f ca="1" xml:space="preserve"> F79 + 1</f>
        <v>44682</v>
      </c>
      <c r="G81" s="1026" t="str">
        <f xml:space="preserve"> InpC!G$18</f>
        <v>date</v>
      </c>
      <c r="H81" s="1005"/>
      <c r="I81" s="1005"/>
      <c r="J81" s="1005"/>
      <c r="K81" s="1005"/>
      <c r="L81" s="1005"/>
      <c r="M81" s="1005"/>
      <c r="N81" s="1005"/>
      <c r="O81" s="1005"/>
      <c r="P81" s="1005"/>
      <c r="Q81" s="1005"/>
      <c r="R81" s="1005"/>
      <c r="S81" s="1005"/>
      <c r="T81" s="1005"/>
      <c r="U81" s="1005"/>
      <c r="V81" s="1005"/>
      <c r="W81" s="1005"/>
      <c r="X81" s="1005"/>
      <c r="Y81" s="1005"/>
      <c r="Z81" s="1005"/>
      <c r="AA81" s="1005"/>
      <c r="AB81" s="1005"/>
      <c r="AC81" s="1005"/>
      <c r="AD81" s="1005"/>
      <c r="AE81" s="1005"/>
      <c r="AF81" s="1005"/>
      <c r="AG81" s="1005"/>
      <c r="AH81" s="1005"/>
      <c r="AI81" s="1005"/>
      <c r="AJ81" s="1005"/>
      <c r="AK81" s="1005"/>
      <c r="AL81" s="1005"/>
      <c r="AM81" s="1005"/>
      <c r="AN81" s="1005"/>
      <c r="AO81" s="1005"/>
      <c r="AP81" s="1005"/>
      <c r="AQ81" s="1005"/>
      <c r="AR81" s="1005"/>
      <c r="AS81" s="1005"/>
      <c r="AT81" s="1005"/>
      <c r="AU81" s="1005"/>
      <c r="AV81" s="1005"/>
      <c r="AW81" s="1005"/>
      <c r="AX81" s="1005"/>
      <c r="AY81" s="1005"/>
      <c r="AZ81" s="1005"/>
      <c r="BA81" s="1005"/>
      <c r="BB81" s="1005"/>
      <c r="BC81" s="1005"/>
      <c r="BD81" s="1005"/>
      <c r="BE81" s="1005"/>
      <c r="BF81" s="1005"/>
      <c r="BG81" s="1005"/>
      <c r="BH81" s="1005"/>
      <c r="BI81" s="1005"/>
      <c r="BJ81" s="1005"/>
      <c r="BK81" s="1005"/>
      <c r="BL81" s="1005"/>
      <c r="BM81" s="1005"/>
      <c r="BN81" s="1005"/>
      <c r="BO81" s="1005"/>
      <c r="BP81" s="1005"/>
      <c r="BQ81" s="1005"/>
      <c r="BR81" s="1005"/>
      <c r="BS81" s="1005"/>
      <c r="BT81" s="1005"/>
      <c r="BU81" s="1005"/>
      <c r="BV81" s="1005"/>
      <c r="BW81" s="1005"/>
      <c r="BX81" s="1005"/>
      <c r="BY81" s="1005"/>
      <c r="BZ81" s="1005"/>
      <c r="CA81" s="1005"/>
      <c r="CB81" s="1005"/>
      <c r="CC81" s="1005"/>
      <c r="CD81" s="1005"/>
      <c r="CE81" s="1005"/>
      <c r="CF81" s="1005"/>
      <c r="CG81" s="1005"/>
      <c r="CH81" s="1005"/>
      <c r="CI81" s="1005"/>
      <c r="CJ81" s="1005"/>
      <c r="CK81" s="1005"/>
      <c r="CL81" s="1005"/>
      <c r="CM81" s="1005"/>
      <c r="CN81" s="1005"/>
      <c r="CO81" s="1005"/>
      <c r="CP81" s="1005"/>
      <c r="CQ81" s="1005"/>
      <c r="CR81" s="1005"/>
      <c r="CS81" s="1005"/>
      <c r="CT81" s="1005"/>
      <c r="CU81" s="1005"/>
      <c r="CV81" s="1005"/>
    </row>
    <row r="82" spans="1:100" s="1001" customFormat="1" outlineLevel="1" x14ac:dyDescent="0.2">
      <c r="A82" s="1008"/>
      <c r="B82" s="997"/>
      <c r="C82" s="998"/>
      <c r="D82" s="999"/>
      <c r="E82" s="1009" t="str">
        <f xml:space="preserve"> InpC!E$19</f>
        <v>Construction period length</v>
      </c>
      <c r="F82" s="1009">
        <f xml:space="preserve"> InpC!F$19</f>
        <v>26</v>
      </c>
      <c r="G82" s="1009" t="str">
        <f xml:space="preserve"> InpC!G$19</f>
        <v>months</v>
      </c>
      <c r="H82" s="1005"/>
      <c r="I82" s="1005"/>
      <c r="J82" s="1005"/>
      <c r="K82" s="1005"/>
      <c r="L82" s="1005"/>
      <c r="M82" s="1005"/>
      <c r="N82" s="1005"/>
      <c r="O82" s="1005"/>
      <c r="P82" s="1005"/>
      <c r="Q82" s="1005"/>
      <c r="R82" s="1005"/>
      <c r="S82" s="1005"/>
      <c r="T82" s="1005"/>
      <c r="U82" s="1005"/>
      <c r="V82" s="1005"/>
      <c r="W82" s="1005"/>
      <c r="X82" s="1005"/>
      <c r="Y82" s="1005"/>
      <c r="Z82" s="1005"/>
      <c r="AA82" s="1005"/>
      <c r="AB82" s="1005"/>
      <c r="AC82" s="1005"/>
      <c r="AD82" s="1005"/>
      <c r="AE82" s="1005"/>
      <c r="AF82" s="1005"/>
      <c r="AG82" s="1005"/>
      <c r="AH82" s="1005"/>
      <c r="AI82" s="1005"/>
      <c r="AJ82" s="1005"/>
      <c r="AK82" s="1005"/>
      <c r="AL82" s="1005"/>
      <c r="AM82" s="1005"/>
      <c r="AN82" s="1005"/>
      <c r="AO82" s="1005"/>
      <c r="AP82" s="1005"/>
      <c r="AQ82" s="1005"/>
      <c r="AR82" s="1005"/>
      <c r="AS82" s="1005"/>
      <c r="AT82" s="1005"/>
      <c r="AU82" s="1005"/>
      <c r="AV82" s="1005"/>
      <c r="AW82" s="1005"/>
      <c r="AX82" s="1005"/>
      <c r="AY82" s="1005"/>
      <c r="AZ82" s="1005"/>
      <c r="BA82" s="1005"/>
      <c r="BB82" s="1005"/>
      <c r="BC82" s="1005"/>
      <c r="BD82" s="1005"/>
      <c r="BE82" s="1005"/>
      <c r="BF82" s="1005"/>
      <c r="BG82" s="1005"/>
      <c r="BH82" s="1005"/>
      <c r="BI82" s="1005"/>
      <c r="BJ82" s="1005"/>
      <c r="BK82" s="1005"/>
      <c r="BL82" s="1005"/>
      <c r="BM82" s="1005"/>
      <c r="BN82" s="1005"/>
      <c r="BO82" s="1005"/>
      <c r="BP82" s="1005"/>
      <c r="BQ82" s="1005"/>
      <c r="BR82" s="1005"/>
      <c r="BS82" s="1005"/>
      <c r="BT82" s="1005"/>
      <c r="BU82" s="1005"/>
      <c r="BV82" s="1005"/>
      <c r="BW82" s="1005"/>
      <c r="BX82" s="1005"/>
      <c r="BY82" s="1005"/>
      <c r="BZ82" s="1005"/>
      <c r="CA82" s="1005"/>
      <c r="CB82" s="1005"/>
      <c r="CC82" s="1005"/>
      <c r="CD82" s="1005"/>
      <c r="CE82" s="1005"/>
      <c r="CF82" s="1005"/>
      <c r="CG82" s="1005"/>
      <c r="CH82" s="1005"/>
      <c r="CI82" s="1005"/>
      <c r="CJ82" s="1005"/>
      <c r="CK82" s="1005"/>
      <c r="CL82" s="1005"/>
      <c r="CM82" s="1005"/>
      <c r="CN82" s="1005"/>
      <c r="CO82" s="1005"/>
      <c r="CP82" s="1005"/>
      <c r="CQ82" s="1005"/>
      <c r="CR82" s="1005"/>
      <c r="CS82" s="1005"/>
      <c r="CT82" s="1005"/>
      <c r="CU82" s="1005"/>
      <c r="CV82" s="1005"/>
    </row>
    <row r="83" spans="1:100" s="1001" customFormat="1" outlineLevel="1" x14ac:dyDescent="0.2">
      <c r="A83" s="1008"/>
      <c r="B83" s="997"/>
      <c r="C83" s="998"/>
      <c r="D83" s="999"/>
      <c r="E83" s="1004" t="str">
        <f xml:space="preserve"> ConTime!E$73</f>
        <v>End of construction period date</v>
      </c>
      <c r="F83" s="1004">
        <f xml:space="preserve"> ConTime!F$73</f>
        <v>45473</v>
      </c>
      <c r="G83" s="1004" t="str">
        <f xml:space="preserve"> ConTime!G$73</f>
        <v>date</v>
      </c>
      <c r="H83" s="1005"/>
      <c r="I83" s="1005"/>
      <c r="J83" s="1005"/>
      <c r="K83" s="1005"/>
      <c r="L83" s="1005"/>
      <c r="M83" s="1005"/>
      <c r="N83" s="1005"/>
      <c r="O83" s="1005"/>
      <c r="P83" s="1005"/>
      <c r="Q83" s="1005"/>
      <c r="R83" s="1005"/>
      <c r="S83" s="1005"/>
      <c r="T83" s="1005"/>
      <c r="U83" s="1005"/>
      <c r="V83" s="1005"/>
      <c r="W83" s="1005"/>
      <c r="X83" s="1005"/>
      <c r="Y83" s="1005"/>
      <c r="Z83" s="1005"/>
      <c r="AA83" s="1005"/>
      <c r="AB83" s="1005"/>
      <c r="AC83" s="1005"/>
      <c r="AD83" s="1005"/>
      <c r="AE83" s="1005"/>
      <c r="AF83" s="1005"/>
      <c r="AG83" s="1005"/>
      <c r="AH83" s="1005"/>
      <c r="AI83" s="1005"/>
      <c r="AJ83" s="1005"/>
      <c r="AK83" s="1005"/>
      <c r="AL83" s="1005"/>
      <c r="AM83" s="1005"/>
      <c r="AN83" s="1005"/>
      <c r="AO83" s="1005"/>
      <c r="AP83" s="1005"/>
      <c r="AQ83" s="1005"/>
      <c r="AR83" s="1005"/>
      <c r="AS83" s="1005"/>
      <c r="AT83" s="1005"/>
      <c r="AU83" s="1005"/>
      <c r="AV83" s="1005"/>
      <c r="AW83" s="1005"/>
      <c r="AX83" s="1005"/>
      <c r="AY83" s="1005"/>
      <c r="AZ83" s="1005"/>
      <c r="BA83" s="1005"/>
      <c r="BB83" s="1005"/>
      <c r="BC83" s="1005"/>
      <c r="BD83" s="1005"/>
      <c r="BE83" s="1005"/>
      <c r="BF83" s="1005"/>
      <c r="BG83" s="1005"/>
      <c r="BH83" s="1005"/>
      <c r="BI83" s="1005"/>
      <c r="BJ83" s="1005"/>
      <c r="BK83" s="1005"/>
      <c r="BL83" s="1005"/>
      <c r="BM83" s="1005"/>
      <c r="BN83" s="1005"/>
      <c r="BO83" s="1005"/>
      <c r="BP83" s="1005"/>
      <c r="BQ83" s="1005"/>
      <c r="BR83" s="1005"/>
      <c r="BS83" s="1005"/>
      <c r="BT83" s="1005"/>
      <c r="BU83" s="1005"/>
      <c r="BV83" s="1005"/>
      <c r="BW83" s="1005"/>
      <c r="BX83" s="1005"/>
      <c r="BY83" s="1005"/>
      <c r="BZ83" s="1005"/>
      <c r="CA83" s="1005"/>
      <c r="CB83" s="1005"/>
      <c r="CC83" s="1005"/>
      <c r="CD83" s="1005"/>
      <c r="CE83" s="1005"/>
      <c r="CF83" s="1005"/>
      <c r="CG83" s="1005"/>
      <c r="CH83" s="1005"/>
      <c r="CI83" s="1005"/>
      <c r="CJ83" s="1005"/>
      <c r="CK83" s="1005"/>
      <c r="CL83" s="1005"/>
      <c r="CM83" s="1005"/>
      <c r="CN83" s="1005"/>
      <c r="CO83" s="1005"/>
      <c r="CP83" s="1005"/>
      <c r="CQ83" s="1005"/>
      <c r="CR83" s="1005"/>
      <c r="CS83" s="1005"/>
      <c r="CT83" s="1005"/>
      <c r="CU83" s="1005"/>
      <c r="CV83" s="1005"/>
    </row>
    <row r="84" spans="1:100" s="1001" customFormat="1" outlineLevel="1" x14ac:dyDescent="0.2">
      <c r="A84" s="1008"/>
      <c r="B84" s="997"/>
      <c r="C84" s="998"/>
      <c r="D84" s="999"/>
      <c r="E84" s="1004"/>
      <c r="F84" s="1004"/>
      <c r="G84" s="1004"/>
      <c r="H84" s="1005"/>
      <c r="I84" s="1005"/>
      <c r="J84" s="1005"/>
      <c r="K84" s="1005"/>
      <c r="L84" s="1005"/>
      <c r="M84" s="1005"/>
      <c r="N84" s="1005"/>
      <c r="O84" s="1005"/>
      <c r="P84" s="1005"/>
      <c r="Q84" s="1005"/>
      <c r="R84" s="1005"/>
      <c r="S84" s="1005"/>
      <c r="T84" s="1005"/>
      <c r="U84" s="1005"/>
      <c r="V84" s="1005"/>
      <c r="W84" s="1005"/>
      <c r="X84" s="1005"/>
      <c r="Y84" s="1005"/>
      <c r="Z84" s="1005"/>
      <c r="AA84" s="1005"/>
      <c r="AB84" s="1005"/>
      <c r="AC84" s="1005"/>
      <c r="AD84" s="1005"/>
      <c r="AE84" s="1005"/>
      <c r="AF84" s="1005"/>
      <c r="AG84" s="1005"/>
      <c r="AH84" s="1005"/>
      <c r="AI84" s="1005"/>
      <c r="AJ84" s="1005"/>
      <c r="AK84" s="1005"/>
      <c r="AL84" s="1005"/>
      <c r="AM84" s="1005"/>
      <c r="AN84" s="1005"/>
      <c r="AO84" s="1005"/>
      <c r="AP84" s="1005"/>
      <c r="AQ84" s="1005"/>
      <c r="AR84" s="1005"/>
      <c r="AS84" s="1005"/>
      <c r="AT84" s="1005"/>
      <c r="AU84" s="1005"/>
      <c r="AV84" s="1005"/>
      <c r="AW84" s="1005"/>
      <c r="AX84" s="1005"/>
      <c r="AY84" s="1005"/>
      <c r="AZ84" s="1005"/>
      <c r="BA84" s="1005"/>
      <c r="BB84" s="1005"/>
      <c r="BC84" s="1005"/>
      <c r="BD84" s="1005"/>
      <c r="BE84" s="1005"/>
      <c r="BF84" s="1005"/>
      <c r="BG84" s="1005"/>
      <c r="BH84" s="1005"/>
      <c r="BI84" s="1005"/>
      <c r="BJ84" s="1005"/>
      <c r="BK84" s="1005"/>
      <c r="BL84" s="1005"/>
      <c r="BM84" s="1005"/>
      <c r="BN84" s="1005"/>
      <c r="BO84" s="1005"/>
      <c r="BP84" s="1005"/>
      <c r="BQ84" s="1005"/>
      <c r="BR84" s="1005"/>
      <c r="BS84" s="1005"/>
      <c r="BT84" s="1005"/>
      <c r="BU84" s="1005"/>
      <c r="BV84" s="1005"/>
      <c r="BW84" s="1005"/>
      <c r="BX84" s="1005"/>
      <c r="BY84" s="1005"/>
      <c r="BZ84" s="1005"/>
      <c r="CA84" s="1005"/>
      <c r="CB84" s="1005"/>
      <c r="CC84" s="1005"/>
      <c r="CD84" s="1005"/>
      <c r="CE84" s="1005"/>
      <c r="CF84" s="1005"/>
      <c r="CG84" s="1005"/>
      <c r="CH84" s="1005"/>
      <c r="CI84" s="1005"/>
      <c r="CJ84" s="1005"/>
      <c r="CK84" s="1005"/>
      <c r="CL84" s="1005"/>
      <c r="CM84" s="1005"/>
      <c r="CN84" s="1005"/>
      <c r="CO84" s="1005"/>
      <c r="CP84" s="1005"/>
      <c r="CQ84" s="1005"/>
      <c r="CR84" s="1005"/>
      <c r="CS84" s="1005"/>
      <c r="CT84" s="1005"/>
      <c r="CU84" s="1005"/>
      <c r="CV84" s="1005"/>
    </row>
    <row r="85" spans="1:100" s="1031" customFormat="1" outlineLevel="1" x14ac:dyDescent="0.2">
      <c r="A85" s="1022"/>
      <c r="B85" s="1023"/>
      <c r="C85" s="1024"/>
      <c r="D85" s="1025"/>
      <c r="E85" s="1027" t="s">
        <v>794</v>
      </c>
      <c r="F85" s="1033">
        <f ca="1" xml:space="preserve"> F83 + 1</f>
        <v>45474</v>
      </c>
      <c r="G85" s="1027" t="str">
        <f xml:space="preserve"> ConTime!G$73</f>
        <v>date</v>
      </c>
      <c r="H85" s="1028"/>
      <c r="I85" s="1028"/>
      <c r="J85" s="1028"/>
      <c r="K85" s="1028"/>
      <c r="L85" s="1028"/>
      <c r="M85" s="1032"/>
      <c r="N85" s="1030"/>
      <c r="O85" s="1030"/>
      <c r="P85" s="1030"/>
      <c r="Q85" s="1030"/>
      <c r="R85" s="1030"/>
      <c r="S85" s="1030"/>
      <c r="T85" s="1030"/>
      <c r="U85" s="1030"/>
      <c r="V85" s="1030"/>
      <c r="W85" s="1030"/>
      <c r="X85" s="1030"/>
      <c r="Y85" s="1030"/>
      <c r="Z85" s="1030"/>
      <c r="AA85" s="1030"/>
      <c r="AB85" s="1030"/>
      <c r="AC85" s="1030"/>
      <c r="AD85" s="1030"/>
      <c r="AE85" s="1030"/>
      <c r="AF85" s="1030"/>
      <c r="AG85" s="1030"/>
      <c r="AH85" s="1030"/>
      <c r="AI85" s="1030"/>
      <c r="AJ85" s="1030"/>
      <c r="AK85" s="1030"/>
      <c r="AL85" s="1030"/>
      <c r="AM85" s="1030"/>
      <c r="AN85" s="1030"/>
      <c r="AO85" s="1030"/>
      <c r="AP85" s="1030"/>
      <c r="AQ85" s="1030"/>
      <c r="AR85" s="1030"/>
      <c r="AS85" s="1030"/>
      <c r="AT85" s="1030"/>
      <c r="AU85" s="1030"/>
      <c r="AV85" s="1030"/>
      <c r="AW85" s="1030"/>
      <c r="AX85" s="1030"/>
      <c r="AY85" s="1030"/>
      <c r="AZ85" s="1030"/>
      <c r="BA85" s="1030"/>
      <c r="BB85" s="1030"/>
      <c r="BC85" s="1030"/>
      <c r="BD85" s="1030"/>
      <c r="BE85" s="1030"/>
      <c r="BF85" s="1030"/>
      <c r="BG85" s="1030"/>
      <c r="BH85" s="1030"/>
      <c r="BI85" s="1030"/>
      <c r="BJ85" s="1030"/>
      <c r="BK85" s="1030"/>
      <c r="BL85" s="1030"/>
      <c r="BM85" s="1030"/>
      <c r="BN85" s="1030"/>
      <c r="BO85" s="1030"/>
      <c r="BP85" s="1030"/>
      <c r="BQ85" s="1030"/>
      <c r="BR85" s="1030"/>
      <c r="BS85" s="1030"/>
      <c r="BT85" s="1030"/>
      <c r="BU85" s="1030"/>
      <c r="BV85" s="1030"/>
      <c r="BW85" s="1030"/>
      <c r="BX85" s="1030"/>
      <c r="BY85" s="1030"/>
      <c r="BZ85" s="1030"/>
      <c r="CA85" s="1030"/>
      <c r="CB85" s="1030"/>
      <c r="CC85" s="1030"/>
      <c r="CD85" s="1030"/>
      <c r="CE85" s="1030"/>
      <c r="CF85" s="1030"/>
      <c r="CG85" s="1030"/>
      <c r="CH85" s="1030"/>
      <c r="CI85" s="1030"/>
      <c r="CJ85" s="1030"/>
      <c r="CK85" s="1030"/>
      <c r="CL85" s="1030"/>
      <c r="CM85" s="1030"/>
      <c r="CN85" s="1030"/>
      <c r="CO85" s="1030"/>
      <c r="CP85" s="1030"/>
      <c r="CQ85" s="1030"/>
      <c r="CR85" s="1030"/>
      <c r="CS85" s="1030"/>
      <c r="CT85" s="1030"/>
      <c r="CU85" s="1030"/>
      <c r="CV85" s="1030"/>
    </row>
    <row r="86" spans="1:100" s="1031" customFormat="1" outlineLevel="1" x14ac:dyDescent="0.2">
      <c r="A86" s="1022"/>
      <c r="B86" s="1023"/>
      <c r="C86" s="1024"/>
      <c r="D86" s="1025"/>
      <c r="E86" s="1034" t="s">
        <v>795</v>
      </c>
      <c r="F86" s="1027">
        <f xml:space="preserve"> InpC!F$21</f>
        <v>20</v>
      </c>
      <c r="G86" s="1027" t="str">
        <f xml:space="preserve"> InpC!G$21</f>
        <v>years</v>
      </c>
      <c r="H86" s="1028"/>
      <c r="I86" s="1028"/>
      <c r="J86" s="1028"/>
      <c r="K86" s="1028"/>
      <c r="L86" s="1028"/>
      <c r="M86" s="1035"/>
      <c r="N86" s="1030"/>
      <c r="O86" s="1030"/>
      <c r="P86" s="1030"/>
      <c r="Q86" s="1030"/>
      <c r="R86" s="1030"/>
      <c r="S86" s="1030"/>
      <c r="T86" s="1030"/>
      <c r="U86" s="1030"/>
      <c r="V86" s="1030"/>
      <c r="W86" s="1030"/>
      <c r="X86" s="1030"/>
      <c r="Y86" s="1030"/>
      <c r="Z86" s="1030"/>
      <c r="AA86" s="1030"/>
      <c r="AB86" s="1030"/>
      <c r="AC86" s="1030"/>
      <c r="AD86" s="1030"/>
      <c r="AE86" s="1030"/>
      <c r="AF86" s="1030"/>
      <c r="AG86" s="1030"/>
      <c r="AH86" s="1030"/>
      <c r="AI86" s="1030"/>
      <c r="AJ86" s="1030"/>
      <c r="AK86" s="1030"/>
      <c r="AL86" s="1030"/>
      <c r="AM86" s="1030"/>
      <c r="AN86" s="1030"/>
      <c r="AO86" s="1030"/>
      <c r="AP86" s="1030"/>
      <c r="AQ86" s="1030"/>
      <c r="AR86" s="1030"/>
      <c r="AS86" s="1030"/>
      <c r="AT86" s="1030"/>
      <c r="AU86" s="1030"/>
      <c r="AV86" s="1030"/>
      <c r="AW86" s="1030"/>
      <c r="AX86" s="1030"/>
      <c r="AY86" s="1030"/>
      <c r="AZ86" s="1030"/>
      <c r="BA86" s="1030"/>
      <c r="BB86" s="1030"/>
      <c r="BC86" s="1030"/>
      <c r="BD86" s="1030"/>
      <c r="BE86" s="1030"/>
      <c r="BF86" s="1030"/>
      <c r="BG86" s="1030"/>
      <c r="BH86" s="1030"/>
      <c r="BI86" s="1030"/>
      <c r="BJ86" s="1030"/>
      <c r="BK86" s="1030"/>
      <c r="BL86" s="1030"/>
      <c r="BM86" s="1030"/>
      <c r="BN86" s="1030"/>
      <c r="BO86" s="1030"/>
      <c r="BP86" s="1030"/>
      <c r="BQ86" s="1030"/>
      <c r="BR86" s="1030"/>
      <c r="BS86" s="1030"/>
      <c r="BT86" s="1030"/>
      <c r="BU86" s="1030"/>
      <c r="BV86" s="1030"/>
      <c r="BW86" s="1030"/>
      <c r="BX86" s="1030"/>
      <c r="BY86" s="1030"/>
      <c r="BZ86" s="1030"/>
      <c r="CA86" s="1030"/>
      <c r="CB86" s="1030"/>
      <c r="CC86" s="1030"/>
      <c r="CD86" s="1030"/>
      <c r="CE86" s="1030"/>
      <c r="CF86" s="1030"/>
      <c r="CG86" s="1030"/>
      <c r="CH86" s="1030"/>
      <c r="CI86" s="1030"/>
      <c r="CJ86" s="1030"/>
      <c r="CK86" s="1030"/>
      <c r="CL86" s="1030"/>
      <c r="CM86" s="1030"/>
      <c r="CN86" s="1030"/>
      <c r="CO86" s="1030"/>
      <c r="CP86" s="1030"/>
      <c r="CQ86" s="1030"/>
      <c r="CR86" s="1030"/>
      <c r="CS86" s="1030"/>
      <c r="CT86" s="1030"/>
      <c r="CU86" s="1030"/>
      <c r="CV86" s="1030"/>
    </row>
    <row r="87" spans="1:100" s="1001" customFormat="1" outlineLevel="1" x14ac:dyDescent="0.2">
      <c r="A87" s="1008"/>
      <c r="B87" s="997"/>
      <c r="C87" s="998"/>
      <c r="D87" s="999"/>
      <c r="E87" s="1005" t="s">
        <v>796</v>
      </c>
      <c r="F87" s="1036">
        <f xml:space="preserve"> Time!F97</f>
        <v>52778</v>
      </c>
      <c r="G87" s="1027" t="str">
        <f xml:space="preserve"> Time!G97</f>
        <v>date</v>
      </c>
      <c r="H87" s="1005"/>
      <c r="I87" s="1005"/>
      <c r="J87" s="1005"/>
      <c r="K87" s="1005"/>
      <c r="L87" s="1005"/>
      <c r="M87" s="1005"/>
      <c r="N87" s="1005"/>
      <c r="O87" s="1005"/>
      <c r="P87" s="1005"/>
      <c r="Q87" s="1005"/>
      <c r="R87" s="1005"/>
      <c r="S87" s="1005"/>
      <c r="T87" s="1005"/>
      <c r="U87" s="1005"/>
      <c r="V87" s="1005"/>
      <c r="W87" s="1005"/>
      <c r="X87" s="1005"/>
      <c r="Y87" s="1005"/>
      <c r="Z87" s="1005"/>
      <c r="AA87" s="1005"/>
      <c r="AB87" s="1005"/>
      <c r="AC87" s="1005"/>
      <c r="AD87" s="1005"/>
      <c r="AE87" s="1005"/>
      <c r="AF87" s="1005"/>
      <c r="AG87" s="1005"/>
      <c r="AH87" s="1005"/>
      <c r="AI87" s="1005"/>
      <c r="AJ87" s="1005"/>
      <c r="AK87" s="1005"/>
      <c r="AL87" s="1005"/>
      <c r="AM87" s="1005"/>
      <c r="AN87" s="1005"/>
      <c r="AO87" s="1005"/>
      <c r="AP87" s="1005"/>
      <c r="AQ87" s="1005"/>
      <c r="AR87" s="1005"/>
      <c r="AS87" s="1005"/>
      <c r="AT87" s="1005"/>
      <c r="AU87" s="1005"/>
      <c r="AV87" s="1005"/>
      <c r="AW87" s="1005"/>
      <c r="AX87" s="1005"/>
      <c r="AY87" s="1005"/>
      <c r="AZ87" s="1005"/>
      <c r="BA87" s="1005"/>
      <c r="BB87" s="1005"/>
      <c r="BC87" s="1005"/>
      <c r="BD87" s="1005"/>
      <c r="BE87" s="1005"/>
      <c r="BF87" s="1005"/>
      <c r="BG87" s="1005"/>
      <c r="BH87" s="1005"/>
      <c r="BI87" s="1005"/>
      <c r="BJ87" s="1005"/>
      <c r="BK87" s="1005"/>
      <c r="BL87" s="1005"/>
      <c r="BM87" s="1005"/>
      <c r="BN87" s="1005"/>
      <c r="BO87" s="1005"/>
      <c r="BP87" s="1005"/>
      <c r="BQ87" s="1005"/>
      <c r="BR87" s="1005"/>
      <c r="BS87" s="1005"/>
      <c r="BT87" s="1005"/>
      <c r="BU87" s="1005"/>
      <c r="BV87" s="1005"/>
      <c r="BW87" s="1005"/>
      <c r="BX87" s="1005"/>
      <c r="BY87" s="1005"/>
      <c r="BZ87" s="1005"/>
      <c r="CA87" s="1005"/>
      <c r="CB87" s="1005"/>
      <c r="CC87" s="1005"/>
      <c r="CD87" s="1005"/>
      <c r="CE87" s="1005"/>
      <c r="CF87" s="1005"/>
      <c r="CG87" s="1005"/>
      <c r="CH87" s="1005"/>
      <c r="CI87" s="1005"/>
      <c r="CJ87" s="1005"/>
      <c r="CK87" s="1005"/>
      <c r="CL87" s="1005"/>
      <c r="CM87" s="1005"/>
      <c r="CN87" s="1005"/>
      <c r="CO87" s="1005"/>
      <c r="CP87" s="1005"/>
      <c r="CQ87" s="1005"/>
      <c r="CR87" s="1005"/>
      <c r="CS87" s="1005"/>
      <c r="CT87" s="1005"/>
      <c r="CU87" s="1005"/>
      <c r="CV87" s="1005"/>
    </row>
    <row r="88" spans="1:100" s="1001" customFormat="1" outlineLevel="1" x14ac:dyDescent="0.2">
      <c r="A88" s="1008"/>
      <c r="B88" s="997"/>
      <c r="C88" s="998"/>
      <c r="D88" s="999"/>
      <c r="E88" s="1005"/>
      <c r="F88" s="1036"/>
      <c r="G88" s="1027"/>
      <c r="H88" s="1005"/>
      <c r="I88" s="1005"/>
      <c r="J88" s="1005"/>
      <c r="K88" s="1005"/>
      <c r="L88" s="1005"/>
      <c r="M88" s="1005"/>
      <c r="N88" s="1005"/>
      <c r="O88" s="1005"/>
      <c r="P88" s="1005"/>
      <c r="Q88" s="1005"/>
      <c r="R88" s="1005"/>
      <c r="S88" s="1005"/>
      <c r="T88" s="1005"/>
      <c r="U88" s="1005"/>
      <c r="V88" s="1005"/>
      <c r="W88" s="1005"/>
      <c r="X88" s="1005"/>
      <c r="Y88" s="1005"/>
      <c r="Z88" s="1005"/>
      <c r="AA88" s="1005"/>
      <c r="AB88" s="1005"/>
      <c r="AC88" s="1005"/>
      <c r="AD88" s="1005"/>
      <c r="AE88" s="1005"/>
      <c r="AF88" s="1005"/>
      <c r="AG88" s="1005"/>
      <c r="AH88" s="1005"/>
      <c r="AI88" s="1005"/>
      <c r="AJ88" s="1005"/>
      <c r="AK88" s="1005"/>
      <c r="AL88" s="1005"/>
      <c r="AM88" s="1005"/>
      <c r="AN88" s="1005"/>
      <c r="AO88" s="1005"/>
      <c r="AP88" s="1005"/>
      <c r="AQ88" s="1005"/>
      <c r="AR88" s="1005"/>
      <c r="AS88" s="1005"/>
      <c r="AT88" s="1005"/>
      <c r="AU88" s="1005"/>
      <c r="AV88" s="1005"/>
      <c r="AW88" s="1005"/>
      <c r="AX88" s="1005"/>
      <c r="AY88" s="1005"/>
      <c r="AZ88" s="1005"/>
      <c r="BA88" s="1005"/>
      <c r="BB88" s="1005"/>
      <c r="BC88" s="1005"/>
      <c r="BD88" s="1005"/>
      <c r="BE88" s="1005"/>
      <c r="BF88" s="1005"/>
      <c r="BG88" s="1005"/>
      <c r="BH88" s="1005"/>
      <c r="BI88" s="1005"/>
      <c r="BJ88" s="1005"/>
      <c r="BK88" s="1005"/>
      <c r="BL88" s="1005"/>
      <c r="BM88" s="1005"/>
      <c r="BN88" s="1005"/>
      <c r="BO88" s="1005"/>
      <c r="BP88" s="1005"/>
      <c r="BQ88" s="1005"/>
      <c r="BR88" s="1005"/>
      <c r="BS88" s="1005"/>
      <c r="BT88" s="1005"/>
      <c r="BU88" s="1005"/>
      <c r="BV88" s="1005"/>
      <c r="BW88" s="1005"/>
      <c r="BX88" s="1005"/>
      <c r="BY88" s="1005"/>
      <c r="BZ88" s="1005"/>
      <c r="CA88" s="1005"/>
      <c r="CB88" s="1005"/>
      <c r="CC88" s="1005"/>
      <c r="CD88" s="1005"/>
      <c r="CE88" s="1005"/>
      <c r="CF88" s="1005"/>
      <c r="CG88" s="1005"/>
      <c r="CH88" s="1005"/>
      <c r="CI88" s="1005"/>
      <c r="CJ88" s="1005"/>
      <c r="CK88" s="1005"/>
      <c r="CL88" s="1005"/>
      <c r="CM88" s="1005"/>
      <c r="CN88" s="1005"/>
      <c r="CO88" s="1005"/>
      <c r="CP88" s="1005"/>
      <c r="CQ88" s="1005"/>
      <c r="CR88" s="1005"/>
      <c r="CS88" s="1005"/>
      <c r="CT88" s="1005"/>
      <c r="CU88" s="1005"/>
      <c r="CV88" s="1005"/>
    </row>
    <row r="89" spans="1:100" s="1001" customFormat="1" x14ac:dyDescent="0.2">
      <c r="A89" s="1008"/>
      <c r="B89" s="997"/>
      <c r="C89" s="998"/>
      <c r="D89" s="999"/>
      <c r="E89" s="1037"/>
      <c r="F89" s="1037"/>
      <c r="G89" s="1038"/>
      <c r="H89" s="1005"/>
      <c r="I89" s="1005"/>
      <c r="J89" s="1005"/>
      <c r="K89" s="1005"/>
      <c r="L89" s="1005"/>
      <c r="M89" s="1005"/>
      <c r="N89" s="1005"/>
      <c r="O89" s="1005"/>
      <c r="P89" s="1005"/>
      <c r="Q89" s="1005"/>
      <c r="R89" s="1005"/>
      <c r="S89" s="1005"/>
      <c r="T89" s="1005"/>
      <c r="U89" s="1005"/>
      <c r="V89" s="1005"/>
      <c r="W89" s="1005"/>
      <c r="X89" s="1005"/>
      <c r="Y89" s="1005"/>
      <c r="Z89" s="1005"/>
      <c r="AA89" s="1005"/>
      <c r="AB89" s="1005"/>
      <c r="AC89" s="1005"/>
      <c r="AD89" s="1005"/>
      <c r="AE89" s="1005"/>
      <c r="AF89" s="1005"/>
      <c r="AG89" s="1005"/>
      <c r="AH89" s="1005"/>
      <c r="AI89" s="1005"/>
      <c r="AJ89" s="1005"/>
      <c r="AK89" s="1005"/>
      <c r="AL89" s="1005"/>
      <c r="AM89" s="1005"/>
      <c r="AN89" s="1005"/>
      <c r="AO89" s="1005"/>
      <c r="AP89" s="1005"/>
      <c r="AQ89" s="1005"/>
      <c r="AR89" s="1005"/>
      <c r="AS89" s="1005"/>
      <c r="AT89" s="1005"/>
      <c r="AU89" s="1005"/>
      <c r="AV89" s="1005"/>
      <c r="AW89" s="1005"/>
      <c r="AX89" s="1005"/>
      <c r="AY89" s="1005"/>
      <c r="AZ89" s="1005"/>
      <c r="BA89" s="1005"/>
      <c r="BB89" s="1005"/>
      <c r="BC89" s="1005"/>
      <c r="BD89" s="1005"/>
      <c r="BE89" s="1005"/>
      <c r="BF89" s="1005"/>
      <c r="BG89" s="1005"/>
      <c r="BH89" s="1005"/>
      <c r="BI89" s="1005"/>
      <c r="BJ89" s="1005"/>
      <c r="BK89" s="1005"/>
      <c r="BL89" s="1005"/>
      <c r="BM89" s="1005"/>
      <c r="BN89" s="1005"/>
      <c r="BO89" s="1005"/>
      <c r="BP89" s="1005"/>
      <c r="BQ89" s="1005"/>
      <c r="BR89" s="1005"/>
      <c r="BS89" s="1005"/>
      <c r="BT89" s="1005"/>
      <c r="BU89" s="1005"/>
      <c r="BV89" s="1005"/>
      <c r="BW89" s="1005"/>
      <c r="BX89" s="1005"/>
      <c r="BY89" s="1005"/>
      <c r="BZ89" s="1005"/>
      <c r="CA89" s="1005"/>
      <c r="CB89" s="1005"/>
      <c r="CC89" s="1005"/>
      <c r="CD89" s="1005"/>
      <c r="CE89" s="1005"/>
      <c r="CF89" s="1005"/>
      <c r="CG89" s="1005"/>
      <c r="CH89" s="1005"/>
      <c r="CI89" s="1005"/>
      <c r="CJ89" s="1005"/>
      <c r="CK89" s="1005"/>
      <c r="CL89" s="1005"/>
      <c r="CM89" s="1005"/>
      <c r="CN89" s="1005"/>
      <c r="CO89" s="1005"/>
      <c r="CP89" s="1005"/>
      <c r="CQ89" s="1005"/>
      <c r="CR89" s="1005"/>
      <c r="CS89" s="1005"/>
      <c r="CT89" s="1005"/>
      <c r="CU89" s="1005"/>
      <c r="CV89" s="1005"/>
    </row>
    <row r="90" spans="1:100" s="1001" customFormat="1" x14ac:dyDescent="0.2">
      <c r="A90" s="1008" t="s">
        <v>797</v>
      </c>
      <c r="B90" s="997"/>
      <c r="C90" s="998"/>
      <c r="D90" s="999"/>
      <c r="E90" s="1005"/>
      <c r="F90" s="1005"/>
      <c r="G90" s="1005"/>
      <c r="H90" s="1005"/>
      <c r="I90" s="1005"/>
      <c r="J90" s="1005"/>
      <c r="K90" s="1005"/>
      <c r="L90" s="1005"/>
      <c r="M90" s="1005"/>
      <c r="N90" s="1005"/>
      <c r="O90" s="1005"/>
      <c r="P90" s="1005"/>
      <c r="Q90" s="1005"/>
      <c r="R90" s="1005"/>
      <c r="S90" s="1005"/>
      <c r="T90" s="1005"/>
      <c r="U90" s="1005"/>
      <c r="V90" s="1005"/>
      <c r="W90" s="1005"/>
      <c r="X90" s="1005"/>
      <c r="Y90" s="1005"/>
      <c r="Z90" s="1005"/>
      <c r="AA90" s="1005"/>
      <c r="AB90" s="1005"/>
      <c r="AC90" s="1005"/>
      <c r="AD90" s="1005"/>
      <c r="AE90" s="1005"/>
      <c r="AF90" s="1005"/>
      <c r="AG90" s="1005"/>
      <c r="AH90" s="1005"/>
      <c r="AI90" s="1005"/>
      <c r="AJ90" s="1005"/>
      <c r="AK90" s="1005"/>
      <c r="AL90" s="1005"/>
      <c r="AM90" s="1005"/>
      <c r="AN90" s="1005"/>
      <c r="AO90" s="1005"/>
      <c r="AP90" s="1005"/>
      <c r="AQ90" s="1005"/>
      <c r="AR90" s="1005"/>
      <c r="AS90" s="1005"/>
      <c r="AT90" s="1005"/>
      <c r="AU90" s="1005"/>
      <c r="AV90" s="1005"/>
      <c r="AW90" s="1005"/>
      <c r="AX90" s="1005"/>
      <c r="AY90" s="1005"/>
      <c r="AZ90" s="1005"/>
      <c r="BA90" s="1005"/>
      <c r="BB90" s="1005"/>
      <c r="BC90" s="1005"/>
      <c r="BD90" s="1005"/>
      <c r="BE90" s="1005"/>
      <c r="BF90" s="1005"/>
      <c r="BG90" s="1005"/>
      <c r="BH90" s="1005"/>
      <c r="BI90" s="1005"/>
      <c r="BJ90" s="1005"/>
      <c r="BK90" s="1005"/>
      <c r="BL90" s="1005"/>
      <c r="BM90" s="1005"/>
      <c r="BN90" s="1005"/>
      <c r="BO90" s="1005"/>
      <c r="BP90" s="1005"/>
      <c r="BQ90" s="1005"/>
      <c r="BR90" s="1005"/>
      <c r="BS90" s="1005"/>
      <c r="BT90" s="1005"/>
      <c r="BU90" s="1005"/>
      <c r="BV90" s="1005"/>
      <c r="BW90" s="1005"/>
      <c r="BX90" s="1005"/>
      <c r="BY90" s="1005"/>
      <c r="BZ90" s="1005"/>
      <c r="CA90" s="1005"/>
      <c r="CB90" s="1005"/>
      <c r="CC90" s="1005"/>
      <c r="CD90" s="1005"/>
      <c r="CE90" s="1005"/>
      <c r="CF90" s="1005"/>
      <c r="CG90" s="1005"/>
      <c r="CH90" s="1005"/>
      <c r="CI90" s="1005"/>
      <c r="CJ90" s="1005"/>
      <c r="CK90" s="1005"/>
      <c r="CL90" s="1005"/>
      <c r="CM90" s="1005"/>
      <c r="CN90" s="1005"/>
      <c r="CO90" s="1005"/>
      <c r="CP90" s="1005"/>
      <c r="CQ90" s="1005"/>
      <c r="CR90" s="1005"/>
      <c r="CS90" s="1005"/>
      <c r="CT90" s="1005"/>
      <c r="CU90" s="1005"/>
      <c r="CV90" s="1005"/>
    </row>
    <row r="91" spans="1:100" s="1001" customFormat="1" outlineLevel="1" x14ac:dyDescent="0.2">
      <c r="A91" s="1008"/>
      <c r="B91" s="997"/>
      <c r="C91" s="998"/>
      <c r="D91" s="999"/>
      <c r="E91" s="1005"/>
      <c r="F91" s="1005"/>
      <c r="G91" s="1005"/>
      <c r="H91" s="1005"/>
      <c r="I91" s="1005"/>
      <c r="J91" s="1005"/>
      <c r="K91" s="1005"/>
      <c r="L91" s="1005"/>
      <c r="M91" s="1005"/>
      <c r="N91" s="1005"/>
      <c r="O91" s="1005"/>
      <c r="P91" s="1005"/>
      <c r="Q91" s="1005"/>
      <c r="R91" s="1005"/>
      <c r="S91" s="1005"/>
      <c r="T91" s="1005"/>
      <c r="U91" s="1005"/>
      <c r="V91" s="1005"/>
      <c r="W91" s="1005"/>
      <c r="X91" s="1005"/>
      <c r="Y91" s="1005"/>
      <c r="Z91" s="1005"/>
      <c r="AA91" s="1005"/>
      <c r="AB91" s="1005"/>
      <c r="AC91" s="1005"/>
      <c r="AD91" s="1005"/>
      <c r="AE91" s="1005"/>
      <c r="AF91" s="1005"/>
      <c r="AG91" s="1005"/>
      <c r="AH91" s="1005"/>
      <c r="AI91" s="1005"/>
      <c r="AJ91" s="1005"/>
      <c r="AK91" s="1005"/>
      <c r="AL91" s="1005"/>
      <c r="AM91" s="1005"/>
      <c r="AN91" s="1005"/>
      <c r="AO91" s="1005"/>
      <c r="AP91" s="1005"/>
      <c r="AQ91" s="1005"/>
      <c r="AR91" s="1005"/>
      <c r="AS91" s="1005"/>
      <c r="AT91" s="1005"/>
      <c r="AU91" s="1005"/>
      <c r="AV91" s="1005"/>
      <c r="AW91" s="1005"/>
      <c r="AX91" s="1005"/>
      <c r="AY91" s="1005"/>
      <c r="AZ91" s="1005"/>
      <c r="BA91" s="1005"/>
      <c r="BB91" s="1005"/>
      <c r="BC91" s="1005"/>
      <c r="BD91" s="1005"/>
      <c r="BE91" s="1005"/>
      <c r="BF91" s="1005"/>
      <c r="BG91" s="1005"/>
      <c r="BH91" s="1005"/>
      <c r="BI91" s="1005"/>
      <c r="BJ91" s="1005"/>
      <c r="BK91" s="1005"/>
      <c r="BL91" s="1005"/>
      <c r="BM91" s="1005"/>
      <c r="BN91" s="1005"/>
      <c r="BO91" s="1005"/>
      <c r="BP91" s="1005"/>
      <c r="BQ91" s="1005"/>
      <c r="BR91" s="1005"/>
      <c r="BS91" s="1005"/>
      <c r="BT91" s="1005"/>
      <c r="BU91" s="1005"/>
      <c r="BV91" s="1005"/>
      <c r="BW91" s="1005"/>
      <c r="BX91" s="1005"/>
      <c r="BY91" s="1005"/>
      <c r="BZ91" s="1005"/>
      <c r="CA91" s="1005"/>
      <c r="CB91" s="1005"/>
      <c r="CC91" s="1005"/>
      <c r="CD91" s="1005"/>
      <c r="CE91" s="1005"/>
      <c r="CF91" s="1005"/>
      <c r="CG91" s="1005"/>
      <c r="CH91" s="1005"/>
      <c r="CI91" s="1005"/>
      <c r="CJ91" s="1005"/>
      <c r="CK91" s="1005"/>
      <c r="CL91" s="1005"/>
      <c r="CM91" s="1005"/>
      <c r="CN91" s="1005"/>
      <c r="CO91" s="1005"/>
      <c r="CP91" s="1005"/>
      <c r="CQ91" s="1005"/>
      <c r="CR91" s="1005"/>
      <c r="CS91" s="1005"/>
      <c r="CT91" s="1005"/>
      <c r="CU91" s="1005"/>
      <c r="CV91" s="1005"/>
    </row>
    <row r="92" spans="1:100" s="1065" customFormat="1" outlineLevel="1" x14ac:dyDescent="0.2">
      <c r="A92" s="651"/>
      <c r="B92" s="562"/>
      <c r="C92" s="563"/>
      <c r="D92" s="314"/>
      <c r="E92" s="314" t="str">
        <f xml:space="preserve"> Metrics!E$60</f>
        <v>Blended equity IRR</v>
      </c>
      <c r="F92" s="314">
        <f xml:space="preserve"> Metrics!F$60</f>
        <v>9.9999994039535522E-2</v>
      </c>
      <c r="G92" s="314" t="str">
        <f xml:space="preserve"> Metrics!G$60</f>
        <v>%</v>
      </c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314"/>
      <c r="BG92" s="314"/>
      <c r="BH92" s="314"/>
      <c r="BI92" s="314"/>
      <c r="BJ92" s="314"/>
      <c r="BK92" s="314"/>
      <c r="BL92" s="314"/>
      <c r="BM92" s="314"/>
      <c r="BN92" s="314"/>
      <c r="BO92" s="314"/>
      <c r="BP92" s="314"/>
      <c r="BQ92" s="314"/>
      <c r="BR92" s="314"/>
      <c r="BS92" s="314"/>
      <c r="BT92" s="314"/>
      <c r="BU92" s="314"/>
      <c r="BV92" s="314"/>
      <c r="BW92" s="314"/>
      <c r="BX92" s="314"/>
      <c r="BY92" s="314"/>
      <c r="BZ92" s="314"/>
      <c r="CA92" s="314"/>
      <c r="CB92" s="314"/>
      <c r="CC92" s="314"/>
      <c r="CD92" s="314"/>
      <c r="CE92" s="314"/>
      <c r="CF92" s="314"/>
      <c r="CG92" s="314"/>
      <c r="CH92" s="314"/>
      <c r="CI92" s="314"/>
      <c r="CJ92" s="314"/>
      <c r="CK92" s="314"/>
      <c r="CL92" s="314"/>
      <c r="CM92" s="314"/>
      <c r="CN92" s="314"/>
      <c r="CO92" s="314"/>
      <c r="CP92" s="314"/>
      <c r="CQ92" s="314"/>
      <c r="CR92" s="314"/>
      <c r="CS92" s="314"/>
      <c r="CT92" s="314"/>
      <c r="CU92" s="314"/>
      <c r="CV92" s="314"/>
    </row>
    <row r="93" spans="1:100" s="1001" customFormat="1" outlineLevel="1" x14ac:dyDescent="0.2">
      <c r="A93" s="1008"/>
      <c r="B93" s="997"/>
      <c r="C93" s="998"/>
      <c r="D93" s="999"/>
      <c r="E93" s="314" t="str">
        <f xml:space="preserve"> Metrics!E$35</f>
        <v>Project IRR</v>
      </c>
      <c r="F93" s="314">
        <f xml:space="preserve"> Metrics!F$35</f>
        <v>7.0641347765922555E-2</v>
      </c>
      <c r="G93" s="314" t="str">
        <f xml:space="preserve"> Metrics!G$35</f>
        <v>%</v>
      </c>
      <c r="H93" s="1005"/>
      <c r="I93" s="1005"/>
      <c r="J93" s="1005"/>
      <c r="K93" s="1005"/>
      <c r="L93" s="1005"/>
      <c r="M93" s="1005"/>
      <c r="N93" s="1005"/>
      <c r="O93" s="1005"/>
      <c r="P93" s="1005"/>
      <c r="Q93" s="1005"/>
      <c r="R93" s="1005"/>
      <c r="S93" s="1005"/>
      <c r="T93" s="1005"/>
      <c r="U93" s="1005"/>
      <c r="V93" s="1005"/>
      <c r="W93" s="1005"/>
      <c r="X93" s="1005"/>
      <c r="Y93" s="1005"/>
      <c r="Z93" s="1005"/>
      <c r="AA93" s="1005"/>
      <c r="AB93" s="1005"/>
      <c r="AC93" s="1005"/>
      <c r="AD93" s="1005"/>
      <c r="AE93" s="1005"/>
      <c r="AF93" s="1005"/>
      <c r="AG93" s="1005"/>
      <c r="AH93" s="1005"/>
      <c r="AI93" s="1005"/>
      <c r="AJ93" s="1005"/>
      <c r="AK93" s="1005"/>
      <c r="AL93" s="1005"/>
      <c r="AM93" s="1005"/>
      <c r="AN93" s="1005"/>
      <c r="AO93" s="1005"/>
      <c r="AP93" s="1005"/>
      <c r="AQ93" s="1005"/>
      <c r="AR93" s="1005"/>
      <c r="AS93" s="1005"/>
      <c r="AT93" s="1005"/>
      <c r="AU93" s="1005"/>
      <c r="AV93" s="1005"/>
      <c r="AW93" s="1005"/>
      <c r="AX93" s="1005"/>
      <c r="AY93" s="1005"/>
      <c r="AZ93" s="1005"/>
      <c r="BA93" s="1005"/>
      <c r="BB93" s="1005"/>
      <c r="BC93" s="1005"/>
      <c r="BD93" s="1005"/>
      <c r="BE93" s="1005"/>
      <c r="BF93" s="1005"/>
      <c r="BG93" s="1005"/>
      <c r="BH93" s="1005"/>
      <c r="BI93" s="1005"/>
      <c r="BJ93" s="1005"/>
      <c r="BK93" s="1005"/>
      <c r="BL93" s="1005"/>
      <c r="BM93" s="1005"/>
      <c r="BN93" s="1005"/>
      <c r="BO93" s="1005"/>
      <c r="BP93" s="1005"/>
      <c r="BQ93" s="1005"/>
      <c r="BR93" s="1005"/>
      <c r="BS93" s="1005"/>
      <c r="BT93" s="1005"/>
      <c r="BU93" s="1005"/>
      <c r="BV93" s="1005"/>
      <c r="BW93" s="1005"/>
      <c r="BX93" s="1005"/>
      <c r="BY93" s="1005"/>
      <c r="BZ93" s="1005"/>
      <c r="CA93" s="1005"/>
      <c r="CB93" s="1005"/>
      <c r="CC93" s="1005"/>
      <c r="CD93" s="1005"/>
      <c r="CE93" s="1005"/>
      <c r="CF93" s="1005"/>
      <c r="CG93" s="1005"/>
      <c r="CH93" s="1005"/>
      <c r="CI93" s="1005"/>
      <c r="CJ93" s="1005"/>
      <c r="CK93" s="1005"/>
      <c r="CL93" s="1005"/>
      <c r="CM93" s="1005"/>
      <c r="CN93" s="1005"/>
      <c r="CO93" s="1005"/>
      <c r="CP93" s="1005"/>
      <c r="CQ93" s="1005"/>
      <c r="CR93" s="1005"/>
      <c r="CS93" s="1005"/>
      <c r="CT93" s="1005"/>
      <c r="CU93" s="1005"/>
      <c r="CV93" s="1005"/>
    </row>
    <row r="94" spans="1:100" s="1001" customFormat="1" outlineLevel="1" x14ac:dyDescent="0.2">
      <c r="A94" s="1008"/>
      <c r="B94" s="997"/>
      <c r="C94" s="998"/>
      <c r="D94" s="999"/>
      <c r="E94" s="314"/>
      <c r="F94" s="314"/>
      <c r="G94" s="314"/>
      <c r="H94" s="1005"/>
      <c r="I94" s="1005"/>
      <c r="J94" s="1005"/>
      <c r="K94" s="1005"/>
      <c r="L94" s="1005"/>
      <c r="M94" s="1005"/>
      <c r="N94" s="1005"/>
      <c r="O94" s="1005"/>
      <c r="P94" s="1005"/>
      <c r="Q94" s="1005"/>
      <c r="R94" s="1005"/>
      <c r="S94" s="1005"/>
      <c r="T94" s="1005"/>
      <c r="U94" s="1005"/>
      <c r="V94" s="1005"/>
      <c r="W94" s="1005"/>
      <c r="X94" s="1005"/>
      <c r="Y94" s="1005"/>
      <c r="Z94" s="1005"/>
      <c r="AA94" s="1005"/>
      <c r="AB94" s="1005"/>
      <c r="AC94" s="1005"/>
      <c r="AD94" s="1005"/>
      <c r="AE94" s="1005"/>
      <c r="AF94" s="1005"/>
      <c r="AG94" s="1005"/>
      <c r="AH94" s="1005"/>
      <c r="AI94" s="1005"/>
      <c r="AJ94" s="1005"/>
      <c r="AK94" s="1005"/>
      <c r="AL94" s="1005"/>
      <c r="AM94" s="1005"/>
      <c r="AN94" s="1005"/>
      <c r="AO94" s="1005"/>
      <c r="AP94" s="1005"/>
      <c r="AQ94" s="1005"/>
      <c r="AR94" s="1005"/>
      <c r="AS94" s="1005"/>
      <c r="AT94" s="1005"/>
      <c r="AU94" s="1005"/>
      <c r="AV94" s="1005"/>
      <c r="AW94" s="1005"/>
      <c r="AX94" s="1005"/>
      <c r="AY94" s="1005"/>
      <c r="AZ94" s="1005"/>
      <c r="BA94" s="1005"/>
      <c r="BB94" s="1005"/>
      <c r="BC94" s="1005"/>
      <c r="BD94" s="1005"/>
      <c r="BE94" s="1005"/>
      <c r="BF94" s="1005"/>
      <c r="BG94" s="1005"/>
      <c r="BH94" s="1005"/>
      <c r="BI94" s="1005"/>
      <c r="BJ94" s="1005"/>
      <c r="BK94" s="1005"/>
      <c r="BL94" s="1005"/>
      <c r="BM94" s="1005"/>
      <c r="BN94" s="1005"/>
      <c r="BO94" s="1005"/>
      <c r="BP94" s="1005"/>
      <c r="BQ94" s="1005"/>
      <c r="BR94" s="1005"/>
      <c r="BS94" s="1005"/>
      <c r="BT94" s="1005"/>
      <c r="BU94" s="1005"/>
      <c r="BV94" s="1005"/>
      <c r="BW94" s="1005"/>
      <c r="BX94" s="1005"/>
      <c r="BY94" s="1005"/>
      <c r="BZ94" s="1005"/>
      <c r="CA94" s="1005"/>
      <c r="CB94" s="1005"/>
      <c r="CC94" s="1005"/>
      <c r="CD94" s="1005"/>
      <c r="CE94" s="1005"/>
      <c r="CF94" s="1005"/>
      <c r="CG94" s="1005"/>
      <c r="CH94" s="1005"/>
      <c r="CI94" s="1005"/>
      <c r="CJ94" s="1005"/>
      <c r="CK94" s="1005"/>
      <c r="CL94" s="1005"/>
      <c r="CM94" s="1005"/>
      <c r="CN94" s="1005"/>
      <c r="CO94" s="1005"/>
      <c r="CP94" s="1005"/>
      <c r="CQ94" s="1005"/>
      <c r="CR94" s="1005"/>
      <c r="CS94" s="1005"/>
      <c r="CT94" s="1005"/>
      <c r="CU94" s="1005"/>
      <c r="CV94" s="1005"/>
    </row>
    <row r="95" spans="1:100" s="1001" customFormat="1" outlineLevel="1" x14ac:dyDescent="0.2">
      <c r="A95" s="1008"/>
      <c r="B95" s="997"/>
      <c r="C95" s="998"/>
      <c r="D95" s="999"/>
      <c r="E95" s="315" t="str">
        <f xml:space="preserve"> Metrics!E$210</f>
        <v>Blended equity IRR - P99</v>
      </c>
      <c r="F95" s="315">
        <f ca="1" xml:space="preserve"> Metrics!F$210</f>
        <v>3.0456453561782835E-3</v>
      </c>
      <c r="G95" s="315" t="str">
        <f xml:space="preserve"> Metrics!G$210</f>
        <v>%</v>
      </c>
      <c r="H95" s="1005"/>
      <c r="I95" s="1005"/>
      <c r="J95" s="1005"/>
      <c r="K95" s="1005"/>
      <c r="L95" s="1005"/>
      <c r="M95" s="1005"/>
      <c r="N95" s="1005"/>
      <c r="O95" s="1005"/>
      <c r="P95" s="1005"/>
      <c r="Q95" s="1005"/>
      <c r="R95" s="1005"/>
      <c r="S95" s="1005"/>
      <c r="T95" s="1005"/>
      <c r="U95" s="1005"/>
      <c r="V95" s="1005"/>
      <c r="W95" s="1005"/>
      <c r="X95" s="1005"/>
      <c r="Y95" s="1005"/>
      <c r="Z95" s="1005"/>
      <c r="AA95" s="1005"/>
      <c r="AB95" s="1005"/>
      <c r="AC95" s="1005"/>
      <c r="AD95" s="1005"/>
      <c r="AE95" s="1005"/>
      <c r="AF95" s="1005"/>
      <c r="AG95" s="1005"/>
      <c r="AH95" s="1005"/>
      <c r="AI95" s="1005"/>
      <c r="AJ95" s="1005"/>
      <c r="AK95" s="1005"/>
      <c r="AL95" s="1005"/>
      <c r="AM95" s="1005"/>
      <c r="AN95" s="1005"/>
      <c r="AO95" s="1005"/>
      <c r="AP95" s="1005"/>
      <c r="AQ95" s="1005"/>
      <c r="AR95" s="1005"/>
      <c r="AS95" s="1005"/>
      <c r="AT95" s="1005"/>
      <c r="AU95" s="1005"/>
      <c r="AV95" s="1005"/>
      <c r="AW95" s="1005"/>
      <c r="AX95" s="1005"/>
      <c r="AY95" s="1005"/>
      <c r="AZ95" s="1005"/>
      <c r="BA95" s="1005"/>
      <c r="BB95" s="1005"/>
      <c r="BC95" s="1005"/>
      <c r="BD95" s="1005"/>
      <c r="BE95" s="1005"/>
      <c r="BF95" s="1005"/>
      <c r="BG95" s="1005"/>
      <c r="BH95" s="1005"/>
      <c r="BI95" s="1005"/>
      <c r="BJ95" s="1005"/>
      <c r="BK95" s="1005"/>
      <c r="BL95" s="1005"/>
      <c r="BM95" s="1005"/>
      <c r="BN95" s="1005"/>
      <c r="BO95" s="1005"/>
      <c r="BP95" s="1005"/>
      <c r="BQ95" s="1005"/>
      <c r="BR95" s="1005"/>
      <c r="BS95" s="1005"/>
      <c r="BT95" s="1005"/>
      <c r="BU95" s="1005"/>
      <c r="BV95" s="1005"/>
      <c r="BW95" s="1005"/>
      <c r="BX95" s="1005"/>
      <c r="BY95" s="1005"/>
      <c r="BZ95" s="1005"/>
      <c r="CA95" s="1005"/>
      <c r="CB95" s="1005"/>
      <c r="CC95" s="1005"/>
      <c r="CD95" s="1005"/>
      <c r="CE95" s="1005"/>
      <c r="CF95" s="1005"/>
      <c r="CG95" s="1005"/>
      <c r="CH95" s="1005"/>
      <c r="CI95" s="1005"/>
      <c r="CJ95" s="1005"/>
      <c r="CK95" s="1005"/>
      <c r="CL95" s="1005"/>
      <c r="CM95" s="1005"/>
      <c r="CN95" s="1005"/>
      <c r="CO95" s="1005"/>
      <c r="CP95" s="1005"/>
      <c r="CQ95" s="1005"/>
      <c r="CR95" s="1005"/>
      <c r="CS95" s="1005"/>
      <c r="CT95" s="1005"/>
      <c r="CU95" s="1005"/>
      <c r="CV95" s="1005"/>
    </row>
    <row r="96" spans="1:100" s="1001" customFormat="1" outlineLevel="1" x14ac:dyDescent="0.2">
      <c r="A96" s="1008"/>
      <c r="B96" s="997"/>
      <c r="C96" s="998"/>
      <c r="D96" s="999"/>
      <c r="E96" s="315" t="str">
        <f xml:space="preserve"> Metrics!E$185</f>
        <v>Project IRR - P99</v>
      </c>
      <c r="F96" s="315">
        <f ca="1" xml:space="preserve"> Metrics!F$185</f>
        <v>3.8544139266014105E-2</v>
      </c>
      <c r="G96" s="315" t="str">
        <f xml:space="preserve"> Metrics!G$185</f>
        <v>%</v>
      </c>
      <c r="H96" s="1005"/>
      <c r="I96" s="1005"/>
      <c r="J96" s="1005"/>
      <c r="K96" s="1005"/>
      <c r="L96" s="1005"/>
      <c r="M96" s="1005"/>
      <c r="N96" s="1005"/>
      <c r="O96" s="1005"/>
      <c r="P96" s="1005"/>
      <c r="Q96" s="1005"/>
      <c r="R96" s="1005"/>
      <c r="S96" s="1005"/>
      <c r="T96" s="1005"/>
      <c r="U96" s="1005"/>
      <c r="V96" s="1005"/>
      <c r="W96" s="1005"/>
      <c r="X96" s="1005"/>
      <c r="Y96" s="1005"/>
      <c r="Z96" s="1005"/>
      <c r="AA96" s="1005"/>
      <c r="AB96" s="1005"/>
      <c r="AC96" s="1005"/>
      <c r="AD96" s="1005"/>
      <c r="AE96" s="1005"/>
      <c r="AF96" s="1005"/>
      <c r="AG96" s="1005"/>
      <c r="AH96" s="1005"/>
      <c r="AI96" s="1005"/>
      <c r="AJ96" s="1005"/>
      <c r="AK96" s="1005"/>
      <c r="AL96" s="1005"/>
      <c r="AM96" s="1005"/>
      <c r="AN96" s="1005"/>
      <c r="AO96" s="1005"/>
      <c r="AP96" s="1005"/>
      <c r="AQ96" s="1005"/>
      <c r="AR96" s="1005"/>
      <c r="AS96" s="1005"/>
      <c r="AT96" s="1005"/>
      <c r="AU96" s="1005"/>
      <c r="AV96" s="1005"/>
      <c r="AW96" s="1005"/>
      <c r="AX96" s="1005"/>
      <c r="AY96" s="1005"/>
      <c r="AZ96" s="1005"/>
      <c r="BA96" s="1005"/>
      <c r="BB96" s="1005"/>
      <c r="BC96" s="1005"/>
      <c r="BD96" s="1005"/>
      <c r="BE96" s="1005"/>
      <c r="BF96" s="1005"/>
      <c r="BG96" s="1005"/>
      <c r="BH96" s="1005"/>
      <c r="BI96" s="1005"/>
      <c r="BJ96" s="1005"/>
      <c r="BK96" s="1005"/>
      <c r="BL96" s="1005"/>
      <c r="BM96" s="1005"/>
      <c r="BN96" s="1005"/>
      <c r="BO96" s="1005"/>
      <c r="BP96" s="1005"/>
      <c r="BQ96" s="1005"/>
      <c r="BR96" s="1005"/>
      <c r="BS96" s="1005"/>
      <c r="BT96" s="1005"/>
      <c r="BU96" s="1005"/>
      <c r="BV96" s="1005"/>
      <c r="BW96" s="1005"/>
      <c r="BX96" s="1005"/>
      <c r="BY96" s="1005"/>
      <c r="BZ96" s="1005"/>
      <c r="CA96" s="1005"/>
      <c r="CB96" s="1005"/>
      <c r="CC96" s="1005"/>
      <c r="CD96" s="1005"/>
      <c r="CE96" s="1005"/>
      <c r="CF96" s="1005"/>
      <c r="CG96" s="1005"/>
      <c r="CH96" s="1005"/>
      <c r="CI96" s="1005"/>
      <c r="CJ96" s="1005"/>
      <c r="CK96" s="1005"/>
      <c r="CL96" s="1005"/>
      <c r="CM96" s="1005"/>
      <c r="CN96" s="1005"/>
      <c r="CO96" s="1005"/>
      <c r="CP96" s="1005"/>
      <c r="CQ96" s="1005"/>
      <c r="CR96" s="1005"/>
      <c r="CS96" s="1005"/>
      <c r="CT96" s="1005"/>
      <c r="CU96" s="1005"/>
      <c r="CV96" s="1005"/>
    </row>
    <row r="97" spans="1:100" s="1001" customFormat="1" outlineLevel="1" x14ac:dyDescent="0.2">
      <c r="A97" s="1008"/>
      <c r="B97" s="997"/>
      <c r="C97" s="998"/>
      <c r="D97" s="999"/>
      <c r="E97" s="315"/>
      <c r="F97" s="315"/>
      <c r="G97" s="315"/>
      <c r="H97" s="1005"/>
      <c r="I97" s="1005"/>
      <c r="J97" s="1005"/>
      <c r="K97" s="1005"/>
      <c r="L97" s="1005"/>
      <c r="M97" s="1005"/>
      <c r="N97" s="1005"/>
      <c r="O97" s="1005"/>
      <c r="P97" s="1005"/>
      <c r="Q97" s="1005"/>
      <c r="R97" s="1005"/>
      <c r="S97" s="1005"/>
      <c r="T97" s="1005"/>
      <c r="U97" s="1005"/>
      <c r="V97" s="1005"/>
      <c r="W97" s="1005"/>
      <c r="X97" s="1005"/>
      <c r="Y97" s="1005"/>
      <c r="Z97" s="1005"/>
      <c r="AA97" s="1005"/>
      <c r="AB97" s="1005"/>
      <c r="AC97" s="1005"/>
      <c r="AD97" s="1005"/>
      <c r="AE97" s="1005"/>
      <c r="AF97" s="1005"/>
      <c r="AG97" s="1005"/>
      <c r="AH97" s="1005"/>
      <c r="AI97" s="1005"/>
      <c r="AJ97" s="1005"/>
      <c r="AK97" s="1005"/>
      <c r="AL97" s="1005"/>
      <c r="AM97" s="1005"/>
      <c r="AN97" s="1005"/>
      <c r="AO97" s="1005"/>
      <c r="AP97" s="1005"/>
      <c r="AQ97" s="1005"/>
      <c r="AR97" s="1005"/>
      <c r="AS97" s="1005"/>
      <c r="AT97" s="1005"/>
      <c r="AU97" s="1005"/>
      <c r="AV97" s="1005"/>
      <c r="AW97" s="1005"/>
      <c r="AX97" s="1005"/>
      <c r="AY97" s="1005"/>
      <c r="AZ97" s="1005"/>
      <c r="BA97" s="1005"/>
      <c r="BB97" s="1005"/>
      <c r="BC97" s="1005"/>
      <c r="BD97" s="1005"/>
      <c r="BE97" s="1005"/>
      <c r="BF97" s="1005"/>
      <c r="BG97" s="1005"/>
      <c r="BH97" s="1005"/>
      <c r="BI97" s="1005"/>
      <c r="BJ97" s="1005"/>
      <c r="BK97" s="1005"/>
      <c r="BL97" s="1005"/>
      <c r="BM97" s="1005"/>
      <c r="BN97" s="1005"/>
      <c r="BO97" s="1005"/>
      <c r="BP97" s="1005"/>
      <c r="BQ97" s="1005"/>
      <c r="BR97" s="1005"/>
      <c r="BS97" s="1005"/>
      <c r="BT97" s="1005"/>
      <c r="BU97" s="1005"/>
      <c r="BV97" s="1005"/>
      <c r="BW97" s="1005"/>
      <c r="BX97" s="1005"/>
      <c r="BY97" s="1005"/>
      <c r="BZ97" s="1005"/>
      <c r="CA97" s="1005"/>
      <c r="CB97" s="1005"/>
      <c r="CC97" s="1005"/>
      <c r="CD97" s="1005"/>
      <c r="CE97" s="1005"/>
      <c r="CF97" s="1005"/>
      <c r="CG97" s="1005"/>
      <c r="CH97" s="1005"/>
      <c r="CI97" s="1005"/>
      <c r="CJ97" s="1005"/>
      <c r="CK97" s="1005"/>
      <c r="CL97" s="1005"/>
      <c r="CM97" s="1005"/>
      <c r="CN97" s="1005"/>
      <c r="CO97" s="1005"/>
      <c r="CP97" s="1005"/>
      <c r="CQ97" s="1005"/>
      <c r="CR97" s="1005"/>
      <c r="CS97" s="1005"/>
      <c r="CT97" s="1005"/>
      <c r="CU97" s="1005"/>
      <c r="CV97" s="1005"/>
    </row>
    <row r="98" spans="1:100" s="1001" customFormat="1" x14ac:dyDescent="0.2">
      <c r="A98" s="1008"/>
      <c r="B98" s="997"/>
      <c r="C98" s="998"/>
      <c r="D98" s="999"/>
      <c r="E98" s="1005"/>
      <c r="F98" s="1005"/>
      <c r="G98" s="1005"/>
      <c r="H98" s="1005"/>
      <c r="I98" s="1005"/>
      <c r="J98" s="1005"/>
      <c r="K98" s="1005"/>
      <c r="L98" s="1005"/>
      <c r="M98" s="1005"/>
      <c r="N98" s="1005"/>
      <c r="O98" s="1005"/>
      <c r="P98" s="1005"/>
      <c r="Q98" s="1005"/>
      <c r="R98" s="1005"/>
      <c r="S98" s="1005"/>
      <c r="T98" s="1005"/>
      <c r="U98" s="1005"/>
      <c r="V98" s="1005"/>
      <c r="W98" s="1005"/>
      <c r="X98" s="1005"/>
      <c r="Y98" s="1005"/>
      <c r="Z98" s="1005"/>
      <c r="AA98" s="1005"/>
      <c r="AB98" s="1005"/>
      <c r="AC98" s="1005"/>
      <c r="AD98" s="1005"/>
      <c r="AE98" s="1005"/>
      <c r="AF98" s="1005"/>
      <c r="AG98" s="1005"/>
      <c r="AH98" s="1005"/>
      <c r="AI98" s="1005"/>
      <c r="AJ98" s="1005"/>
      <c r="AK98" s="1005"/>
      <c r="AL98" s="1005"/>
      <c r="AM98" s="1005"/>
      <c r="AN98" s="1005"/>
      <c r="AO98" s="1005"/>
      <c r="AP98" s="1005"/>
      <c r="AQ98" s="1005"/>
      <c r="AR98" s="1005"/>
      <c r="AS98" s="1005"/>
      <c r="AT98" s="1005"/>
      <c r="AU98" s="1005"/>
      <c r="AV98" s="1005"/>
      <c r="AW98" s="1005"/>
      <c r="AX98" s="1005"/>
      <c r="AY98" s="1005"/>
      <c r="AZ98" s="1005"/>
      <c r="BA98" s="1005"/>
      <c r="BB98" s="1005"/>
      <c r="BC98" s="1005"/>
      <c r="BD98" s="1005"/>
      <c r="BE98" s="1005"/>
      <c r="BF98" s="1005"/>
      <c r="BG98" s="1005"/>
      <c r="BH98" s="1005"/>
      <c r="BI98" s="1005"/>
      <c r="BJ98" s="1005"/>
      <c r="BK98" s="1005"/>
      <c r="BL98" s="1005"/>
      <c r="BM98" s="1005"/>
      <c r="BN98" s="1005"/>
      <c r="BO98" s="1005"/>
      <c r="BP98" s="1005"/>
      <c r="BQ98" s="1005"/>
      <c r="BR98" s="1005"/>
      <c r="BS98" s="1005"/>
      <c r="BT98" s="1005"/>
      <c r="BU98" s="1005"/>
      <c r="BV98" s="1005"/>
      <c r="BW98" s="1005"/>
      <c r="BX98" s="1005"/>
      <c r="BY98" s="1005"/>
      <c r="BZ98" s="1005"/>
      <c r="CA98" s="1005"/>
      <c r="CB98" s="1005"/>
      <c r="CC98" s="1005"/>
      <c r="CD98" s="1005"/>
      <c r="CE98" s="1005"/>
      <c r="CF98" s="1005"/>
      <c r="CG98" s="1005"/>
      <c r="CH98" s="1005"/>
      <c r="CI98" s="1005"/>
      <c r="CJ98" s="1005"/>
      <c r="CK98" s="1005"/>
      <c r="CL98" s="1005"/>
      <c r="CM98" s="1005"/>
      <c r="CN98" s="1005"/>
      <c r="CO98" s="1005"/>
      <c r="CP98" s="1005"/>
      <c r="CQ98" s="1005"/>
      <c r="CR98" s="1005"/>
      <c r="CS98" s="1005"/>
      <c r="CT98" s="1005"/>
      <c r="CU98" s="1005"/>
      <c r="CV98" s="1005"/>
    </row>
    <row r="99" spans="1:100" s="1001" customFormat="1" x14ac:dyDescent="0.2">
      <c r="A99" s="1008" t="s">
        <v>798</v>
      </c>
      <c r="B99" s="997"/>
      <c r="C99" s="998"/>
      <c r="D99" s="999"/>
      <c r="E99" s="1005"/>
      <c r="F99" s="1005"/>
      <c r="G99" s="1005"/>
      <c r="H99" s="1005"/>
      <c r="I99" s="1005"/>
      <c r="J99" s="1005"/>
      <c r="K99" s="1005"/>
      <c r="L99" s="1005"/>
      <c r="M99" s="1005"/>
      <c r="N99" s="1005"/>
      <c r="O99" s="1005"/>
      <c r="P99" s="1005"/>
      <c r="Q99" s="1005"/>
      <c r="R99" s="1005"/>
      <c r="S99" s="1005"/>
      <c r="T99" s="1005"/>
      <c r="U99" s="1005"/>
      <c r="V99" s="1005"/>
      <c r="W99" s="1005"/>
      <c r="X99" s="1005"/>
      <c r="Y99" s="1005"/>
      <c r="Z99" s="1005"/>
      <c r="AA99" s="1005"/>
      <c r="AB99" s="1005"/>
      <c r="AC99" s="1005"/>
      <c r="AD99" s="1005"/>
      <c r="AE99" s="1005"/>
      <c r="AF99" s="1005"/>
      <c r="AG99" s="1005"/>
      <c r="AH99" s="1005"/>
      <c r="AI99" s="1005"/>
      <c r="AJ99" s="1005"/>
      <c r="AK99" s="1005"/>
      <c r="AL99" s="1005"/>
      <c r="AM99" s="1005"/>
      <c r="AN99" s="1005"/>
      <c r="AO99" s="1005"/>
      <c r="AP99" s="1005"/>
      <c r="AQ99" s="1005"/>
      <c r="AR99" s="1005"/>
      <c r="AS99" s="1005"/>
      <c r="AT99" s="1005"/>
      <c r="AU99" s="1005"/>
      <c r="AV99" s="1005"/>
      <c r="AW99" s="1005"/>
      <c r="AX99" s="1005"/>
      <c r="AY99" s="1005"/>
      <c r="AZ99" s="1005"/>
      <c r="BA99" s="1005"/>
      <c r="BB99" s="1005"/>
      <c r="BC99" s="1005"/>
      <c r="BD99" s="1005"/>
      <c r="BE99" s="1005"/>
      <c r="BF99" s="1005"/>
      <c r="BG99" s="1005"/>
      <c r="BH99" s="1005"/>
      <c r="BI99" s="1005"/>
      <c r="BJ99" s="1005"/>
      <c r="BK99" s="1005"/>
      <c r="BL99" s="1005"/>
      <c r="BM99" s="1005"/>
      <c r="BN99" s="1005"/>
      <c r="BO99" s="1005"/>
      <c r="BP99" s="1005"/>
      <c r="BQ99" s="1005"/>
      <c r="BR99" s="1005"/>
      <c r="BS99" s="1005"/>
      <c r="BT99" s="1005"/>
      <c r="BU99" s="1005"/>
      <c r="BV99" s="1005"/>
      <c r="BW99" s="1005"/>
      <c r="BX99" s="1005"/>
      <c r="BY99" s="1005"/>
      <c r="BZ99" s="1005"/>
      <c r="CA99" s="1005"/>
      <c r="CB99" s="1005"/>
      <c r="CC99" s="1005"/>
      <c r="CD99" s="1005"/>
      <c r="CE99" s="1005"/>
      <c r="CF99" s="1005"/>
      <c r="CG99" s="1005"/>
      <c r="CH99" s="1005"/>
      <c r="CI99" s="1005"/>
      <c r="CJ99" s="1005"/>
      <c r="CK99" s="1005"/>
      <c r="CL99" s="1005"/>
      <c r="CM99" s="1005"/>
      <c r="CN99" s="1005"/>
      <c r="CO99" s="1005"/>
      <c r="CP99" s="1005"/>
      <c r="CQ99" s="1005"/>
      <c r="CR99" s="1005"/>
      <c r="CS99" s="1005"/>
      <c r="CT99" s="1005"/>
      <c r="CU99" s="1005"/>
      <c r="CV99" s="1005"/>
    </row>
    <row r="100" spans="1:100" s="1001" customFormat="1" outlineLevel="1" x14ac:dyDescent="0.2">
      <c r="A100" s="1008"/>
      <c r="B100" s="997"/>
      <c r="C100" s="998"/>
      <c r="D100" s="999"/>
      <c r="E100" s="1005"/>
      <c r="F100" s="1005"/>
      <c r="G100" s="1005"/>
      <c r="H100" s="1005"/>
      <c r="I100" s="1005"/>
      <c r="J100" s="1005"/>
      <c r="K100" s="1005"/>
      <c r="L100" s="1005"/>
      <c r="M100" s="1005"/>
      <c r="N100" s="1005"/>
      <c r="O100" s="1005"/>
      <c r="P100" s="1005"/>
      <c r="Q100" s="1005"/>
      <c r="R100" s="1005"/>
      <c r="S100" s="1005"/>
      <c r="T100" s="1005"/>
      <c r="U100" s="1005"/>
      <c r="V100" s="1005"/>
      <c r="W100" s="1005"/>
      <c r="X100" s="1005"/>
      <c r="Y100" s="1005"/>
      <c r="Z100" s="1005"/>
      <c r="AA100" s="1005"/>
      <c r="AB100" s="1005"/>
      <c r="AC100" s="1005"/>
      <c r="AD100" s="1005"/>
      <c r="AE100" s="1005"/>
      <c r="AF100" s="1005"/>
      <c r="AG100" s="1005"/>
      <c r="AH100" s="1005"/>
      <c r="AI100" s="1005"/>
      <c r="AJ100" s="1005"/>
      <c r="AK100" s="1005"/>
      <c r="AL100" s="1005"/>
      <c r="AM100" s="1005"/>
      <c r="AN100" s="1005"/>
      <c r="AO100" s="1005"/>
      <c r="AP100" s="1005"/>
      <c r="AQ100" s="1005"/>
      <c r="AR100" s="1005"/>
      <c r="AS100" s="1005"/>
      <c r="AT100" s="1005"/>
      <c r="AU100" s="1005"/>
      <c r="AV100" s="1005"/>
      <c r="AW100" s="1005"/>
      <c r="AX100" s="1005"/>
      <c r="AY100" s="1005"/>
      <c r="AZ100" s="1005"/>
      <c r="BA100" s="1005"/>
      <c r="BB100" s="1005"/>
      <c r="BC100" s="1005"/>
      <c r="BD100" s="1005"/>
      <c r="BE100" s="1005"/>
      <c r="BF100" s="1005"/>
      <c r="BG100" s="1005"/>
      <c r="BH100" s="1005"/>
      <c r="BI100" s="1005"/>
      <c r="BJ100" s="1005"/>
      <c r="BK100" s="1005"/>
      <c r="BL100" s="1005"/>
      <c r="BM100" s="1005"/>
      <c r="BN100" s="1005"/>
      <c r="BO100" s="1005"/>
      <c r="BP100" s="1005"/>
      <c r="BQ100" s="1005"/>
      <c r="BR100" s="1005"/>
      <c r="BS100" s="1005"/>
      <c r="BT100" s="1005"/>
      <c r="BU100" s="1005"/>
      <c r="BV100" s="1005"/>
      <c r="BW100" s="1005"/>
      <c r="BX100" s="1005"/>
      <c r="BY100" s="1005"/>
      <c r="BZ100" s="1005"/>
      <c r="CA100" s="1005"/>
      <c r="CB100" s="1005"/>
      <c r="CC100" s="1005"/>
      <c r="CD100" s="1005"/>
      <c r="CE100" s="1005"/>
      <c r="CF100" s="1005"/>
      <c r="CG100" s="1005"/>
      <c r="CH100" s="1005"/>
      <c r="CI100" s="1005"/>
      <c r="CJ100" s="1005"/>
      <c r="CK100" s="1005"/>
      <c r="CL100" s="1005"/>
      <c r="CM100" s="1005"/>
      <c r="CN100" s="1005"/>
      <c r="CO100" s="1005"/>
      <c r="CP100" s="1005"/>
      <c r="CQ100" s="1005"/>
      <c r="CR100" s="1005"/>
      <c r="CS100" s="1005"/>
      <c r="CT100" s="1005"/>
      <c r="CU100" s="1005"/>
      <c r="CV100" s="1005"/>
    </row>
    <row r="101" spans="1:100" s="1001" customFormat="1" outlineLevel="1" x14ac:dyDescent="0.2">
      <c r="A101" s="1008"/>
      <c r="B101" s="997"/>
      <c r="C101" s="998"/>
      <c r="D101" s="999"/>
      <c r="E101" s="1040" t="str">
        <f xml:space="preserve"> InpC!E$196</f>
        <v>Senior debt sizing method</v>
      </c>
      <c r="F101" s="1040">
        <f xml:space="preserve"> InpC!F$196</f>
        <v>2</v>
      </c>
      <c r="G101" s="1005" t="str">
        <f xml:space="preserve"> InpC!G$196</f>
        <v>1 = leverage, 2 = DSCR</v>
      </c>
      <c r="H101" s="1005"/>
      <c r="I101" s="1005"/>
      <c r="J101" s="1005"/>
      <c r="K101" s="1005"/>
      <c r="L101" s="1005"/>
      <c r="M101" s="1005"/>
      <c r="N101" s="1005"/>
      <c r="O101" s="1005"/>
      <c r="P101" s="1005"/>
      <c r="Q101" s="1005"/>
      <c r="R101" s="1005"/>
      <c r="S101" s="1005"/>
      <c r="T101" s="1005"/>
      <c r="U101" s="1005"/>
      <c r="V101" s="1005"/>
      <c r="W101" s="1005"/>
      <c r="X101" s="1005"/>
      <c r="Y101" s="1005"/>
      <c r="Z101" s="1005"/>
      <c r="AA101" s="1005"/>
      <c r="AB101" s="1005"/>
      <c r="AC101" s="1005"/>
      <c r="AD101" s="1005"/>
      <c r="AE101" s="1005"/>
      <c r="AF101" s="1005"/>
      <c r="AG101" s="1005"/>
      <c r="AH101" s="1005"/>
      <c r="AI101" s="1005"/>
      <c r="AJ101" s="1005"/>
      <c r="AK101" s="1005"/>
      <c r="AL101" s="1005"/>
      <c r="AM101" s="1005"/>
      <c r="AN101" s="1005"/>
      <c r="AO101" s="1005"/>
      <c r="AP101" s="1005"/>
      <c r="AQ101" s="1005"/>
      <c r="AR101" s="1005"/>
      <c r="AS101" s="1005"/>
      <c r="AT101" s="1005"/>
      <c r="AU101" s="1005"/>
      <c r="AV101" s="1005"/>
      <c r="AW101" s="1005"/>
      <c r="AX101" s="1005"/>
      <c r="AY101" s="1005"/>
      <c r="AZ101" s="1005"/>
      <c r="BA101" s="1005"/>
      <c r="BB101" s="1005"/>
      <c r="BC101" s="1005"/>
      <c r="BD101" s="1005"/>
      <c r="BE101" s="1005"/>
      <c r="BF101" s="1005"/>
      <c r="BG101" s="1005"/>
      <c r="BH101" s="1005"/>
      <c r="BI101" s="1005"/>
      <c r="BJ101" s="1005"/>
      <c r="BK101" s="1005"/>
      <c r="BL101" s="1005"/>
      <c r="BM101" s="1005"/>
      <c r="BN101" s="1005"/>
      <c r="BO101" s="1005"/>
      <c r="BP101" s="1005"/>
      <c r="BQ101" s="1005"/>
      <c r="BR101" s="1005"/>
      <c r="BS101" s="1005"/>
      <c r="BT101" s="1005"/>
      <c r="BU101" s="1005"/>
      <c r="BV101" s="1005"/>
      <c r="BW101" s="1005"/>
      <c r="BX101" s="1005"/>
      <c r="BY101" s="1005"/>
      <c r="BZ101" s="1005"/>
      <c r="CA101" s="1005"/>
      <c r="CB101" s="1005"/>
      <c r="CC101" s="1005"/>
      <c r="CD101" s="1005"/>
      <c r="CE101" s="1005"/>
      <c r="CF101" s="1005"/>
      <c r="CG101" s="1005"/>
      <c r="CH101" s="1005"/>
      <c r="CI101" s="1005"/>
      <c r="CJ101" s="1005"/>
      <c r="CK101" s="1005"/>
      <c r="CL101" s="1005"/>
      <c r="CM101" s="1005"/>
      <c r="CN101" s="1005"/>
      <c r="CO101" s="1005"/>
      <c r="CP101" s="1005"/>
      <c r="CQ101" s="1005"/>
      <c r="CR101" s="1005"/>
      <c r="CS101" s="1005"/>
      <c r="CT101" s="1005"/>
      <c r="CU101" s="1005"/>
      <c r="CV101" s="1005"/>
    </row>
    <row r="102" spans="1:100" s="1001" customFormat="1" outlineLevel="1" x14ac:dyDescent="0.2">
      <c r="A102" s="1008"/>
      <c r="B102" s="997"/>
      <c r="C102" s="998"/>
      <c r="D102" s="999"/>
      <c r="E102" s="1040" t="s">
        <v>799</v>
      </c>
      <c r="F102" s="1005" t="str">
        <f ca="1" xml:space="preserve"> IF(F101 = 1, "Leverage", "DSCR")</f>
        <v>DSCR</v>
      </c>
      <c r="G102" s="1005" t="s">
        <v>26</v>
      </c>
      <c r="H102" s="1005"/>
      <c r="I102" s="1005"/>
      <c r="J102" s="1005"/>
      <c r="K102" s="1005"/>
      <c r="L102" s="1005"/>
      <c r="M102" s="1005"/>
      <c r="N102" s="1005"/>
      <c r="O102" s="1005"/>
      <c r="P102" s="1005"/>
      <c r="Q102" s="1005"/>
      <c r="R102" s="1005"/>
      <c r="S102" s="1005"/>
      <c r="T102" s="1005"/>
      <c r="U102" s="1005"/>
      <c r="V102" s="1005"/>
      <c r="W102" s="1005"/>
      <c r="X102" s="1005"/>
      <c r="Y102" s="1005"/>
      <c r="Z102" s="1005"/>
      <c r="AA102" s="1005"/>
      <c r="AB102" s="1005"/>
      <c r="AC102" s="1005"/>
      <c r="AD102" s="1005"/>
      <c r="AE102" s="1005"/>
      <c r="AF102" s="1005"/>
      <c r="AG102" s="1005"/>
      <c r="AH102" s="1005"/>
      <c r="AI102" s="1005"/>
      <c r="AJ102" s="1005"/>
      <c r="AK102" s="1005"/>
      <c r="AL102" s="1005"/>
      <c r="AM102" s="1005"/>
      <c r="AN102" s="1005"/>
      <c r="AO102" s="1005"/>
      <c r="AP102" s="1005"/>
      <c r="AQ102" s="1005"/>
      <c r="AR102" s="1005"/>
      <c r="AS102" s="1005"/>
      <c r="AT102" s="1005"/>
      <c r="AU102" s="1005"/>
      <c r="AV102" s="1005"/>
      <c r="AW102" s="1005"/>
      <c r="AX102" s="1005"/>
      <c r="AY102" s="1005"/>
      <c r="AZ102" s="1005"/>
      <c r="BA102" s="1005"/>
      <c r="BB102" s="1005"/>
      <c r="BC102" s="1005"/>
      <c r="BD102" s="1005"/>
      <c r="BE102" s="1005"/>
      <c r="BF102" s="1005"/>
      <c r="BG102" s="1005"/>
      <c r="BH102" s="1005"/>
      <c r="BI102" s="1005"/>
      <c r="BJ102" s="1005"/>
      <c r="BK102" s="1005"/>
      <c r="BL102" s="1005"/>
      <c r="BM102" s="1005"/>
      <c r="BN102" s="1005"/>
      <c r="BO102" s="1005"/>
      <c r="BP102" s="1005"/>
      <c r="BQ102" s="1005"/>
      <c r="BR102" s="1005"/>
      <c r="BS102" s="1005"/>
      <c r="BT102" s="1005"/>
      <c r="BU102" s="1005"/>
      <c r="BV102" s="1005"/>
      <c r="BW102" s="1005"/>
      <c r="BX102" s="1005"/>
      <c r="BY102" s="1005"/>
      <c r="BZ102" s="1005"/>
      <c r="CA102" s="1005"/>
      <c r="CB102" s="1005"/>
      <c r="CC102" s="1005"/>
      <c r="CD102" s="1005"/>
      <c r="CE102" s="1005"/>
      <c r="CF102" s="1005"/>
      <c r="CG102" s="1005"/>
      <c r="CH102" s="1005"/>
      <c r="CI102" s="1005"/>
      <c r="CJ102" s="1005"/>
      <c r="CK102" s="1005"/>
      <c r="CL102" s="1005"/>
      <c r="CM102" s="1005"/>
      <c r="CN102" s="1005"/>
      <c r="CO102" s="1005"/>
      <c r="CP102" s="1005"/>
      <c r="CQ102" s="1005"/>
      <c r="CR102" s="1005"/>
      <c r="CS102" s="1005"/>
      <c r="CT102" s="1005"/>
      <c r="CU102" s="1005"/>
      <c r="CV102" s="1005"/>
    </row>
    <row r="103" spans="1:100" s="1001" customFormat="1" outlineLevel="1" x14ac:dyDescent="0.2">
      <c r="A103" s="1008"/>
      <c r="B103" s="997"/>
      <c r="C103" s="998"/>
      <c r="D103" s="999"/>
      <c r="E103" s="1040"/>
      <c r="F103" s="1005"/>
      <c r="G103" s="1005"/>
      <c r="H103" s="1005"/>
      <c r="I103" s="1005"/>
      <c r="J103" s="1005"/>
      <c r="K103" s="1005"/>
      <c r="L103" s="1005"/>
      <c r="M103" s="1005"/>
      <c r="N103" s="1005"/>
      <c r="O103" s="1005"/>
      <c r="P103" s="1005"/>
      <c r="Q103" s="1005"/>
      <c r="R103" s="1005"/>
      <c r="S103" s="1005"/>
      <c r="T103" s="1005"/>
      <c r="U103" s="1005"/>
      <c r="V103" s="1005"/>
      <c r="W103" s="1005"/>
      <c r="X103" s="1005"/>
      <c r="Y103" s="1005"/>
      <c r="Z103" s="1005"/>
      <c r="AA103" s="1005"/>
      <c r="AB103" s="1005"/>
      <c r="AC103" s="1005"/>
      <c r="AD103" s="1005"/>
      <c r="AE103" s="1005"/>
      <c r="AF103" s="1005"/>
      <c r="AG103" s="1005"/>
      <c r="AH103" s="1005"/>
      <c r="AI103" s="1005"/>
      <c r="AJ103" s="1005"/>
      <c r="AK103" s="1005"/>
      <c r="AL103" s="1005"/>
      <c r="AM103" s="1005"/>
      <c r="AN103" s="1005"/>
      <c r="AO103" s="1005"/>
      <c r="AP103" s="1005"/>
      <c r="AQ103" s="1005"/>
      <c r="AR103" s="1005"/>
      <c r="AS103" s="1005"/>
      <c r="AT103" s="1005"/>
      <c r="AU103" s="1005"/>
      <c r="AV103" s="1005"/>
      <c r="AW103" s="1005"/>
      <c r="AX103" s="1005"/>
      <c r="AY103" s="1005"/>
      <c r="AZ103" s="1005"/>
      <c r="BA103" s="1005"/>
      <c r="BB103" s="1005"/>
      <c r="BC103" s="1005"/>
      <c r="BD103" s="1005"/>
      <c r="BE103" s="1005"/>
      <c r="BF103" s="1005"/>
      <c r="BG103" s="1005"/>
      <c r="BH103" s="1005"/>
      <c r="BI103" s="1005"/>
      <c r="BJ103" s="1005"/>
      <c r="BK103" s="1005"/>
      <c r="BL103" s="1005"/>
      <c r="BM103" s="1005"/>
      <c r="BN103" s="1005"/>
      <c r="BO103" s="1005"/>
      <c r="BP103" s="1005"/>
      <c r="BQ103" s="1005"/>
      <c r="BR103" s="1005"/>
      <c r="BS103" s="1005"/>
      <c r="BT103" s="1005"/>
      <c r="BU103" s="1005"/>
      <c r="BV103" s="1005"/>
      <c r="BW103" s="1005"/>
      <c r="BX103" s="1005"/>
      <c r="BY103" s="1005"/>
      <c r="BZ103" s="1005"/>
      <c r="CA103" s="1005"/>
      <c r="CB103" s="1005"/>
      <c r="CC103" s="1005"/>
      <c r="CD103" s="1005"/>
      <c r="CE103" s="1005"/>
      <c r="CF103" s="1005"/>
      <c r="CG103" s="1005"/>
      <c r="CH103" s="1005"/>
      <c r="CI103" s="1005"/>
      <c r="CJ103" s="1005"/>
      <c r="CK103" s="1005"/>
      <c r="CL103" s="1005"/>
      <c r="CM103" s="1005"/>
      <c r="CN103" s="1005"/>
      <c r="CO103" s="1005"/>
      <c r="CP103" s="1005"/>
      <c r="CQ103" s="1005"/>
      <c r="CR103" s="1005"/>
      <c r="CS103" s="1005"/>
      <c r="CT103" s="1005"/>
      <c r="CU103" s="1005"/>
      <c r="CV103" s="1005"/>
    </row>
    <row r="104" spans="1:100" s="1001" customFormat="1" outlineLevel="1" x14ac:dyDescent="0.2">
      <c r="A104" s="1008"/>
      <c r="B104" s="997"/>
      <c r="C104" s="998"/>
      <c r="D104" s="999"/>
      <c r="E104" s="1040" t="s">
        <v>800</v>
      </c>
      <c r="F104" s="1021">
        <f xml:space="preserve"> InpC!F194</f>
        <v>0.8</v>
      </c>
      <c r="G104" s="1041" t="s">
        <v>103</v>
      </c>
      <c r="H104" s="1005"/>
      <c r="I104" s="1005"/>
      <c r="J104" s="1005"/>
      <c r="K104" s="1005"/>
      <c r="L104" s="1005"/>
      <c r="M104" s="1005"/>
      <c r="N104" s="1005"/>
      <c r="O104" s="1005"/>
      <c r="P104" s="1005"/>
      <c r="Q104" s="1005"/>
      <c r="R104" s="1005"/>
      <c r="S104" s="1005"/>
      <c r="T104" s="1005"/>
      <c r="U104" s="1005"/>
      <c r="V104" s="1005"/>
      <c r="W104" s="1005"/>
      <c r="X104" s="1005"/>
      <c r="Y104" s="1005"/>
      <c r="Z104" s="1005"/>
      <c r="AA104" s="1005"/>
      <c r="AB104" s="1005"/>
      <c r="AC104" s="1005"/>
      <c r="AD104" s="1005"/>
      <c r="AE104" s="1005"/>
      <c r="AF104" s="1005"/>
      <c r="AG104" s="1005"/>
      <c r="AH104" s="1005"/>
      <c r="AI104" s="1005"/>
      <c r="AJ104" s="1005"/>
      <c r="AK104" s="1005"/>
      <c r="AL104" s="1005"/>
      <c r="AM104" s="1005"/>
      <c r="AN104" s="1005"/>
      <c r="AO104" s="1005"/>
      <c r="AP104" s="1005"/>
      <c r="AQ104" s="1005"/>
      <c r="AR104" s="1005"/>
      <c r="AS104" s="1005"/>
      <c r="AT104" s="1005"/>
      <c r="AU104" s="1005"/>
      <c r="AV104" s="1005"/>
      <c r="AW104" s="1005"/>
      <c r="AX104" s="1005"/>
      <c r="AY104" s="1005"/>
      <c r="AZ104" s="1005"/>
      <c r="BA104" s="1005"/>
      <c r="BB104" s="1005"/>
      <c r="BC104" s="1005"/>
      <c r="BD104" s="1005"/>
      <c r="BE104" s="1005"/>
      <c r="BF104" s="1005"/>
      <c r="BG104" s="1005"/>
      <c r="BH104" s="1005"/>
      <c r="BI104" s="1005"/>
      <c r="BJ104" s="1005"/>
      <c r="BK104" s="1005"/>
      <c r="BL104" s="1005"/>
      <c r="BM104" s="1005"/>
      <c r="BN104" s="1005"/>
      <c r="BO104" s="1005"/>
      <c r="BP104" s="1005"/>
      <c r="BQ104" s="1005"/>
      <c r="BR104" s="1005"/>
      <c r="BS104" s="1005"/>
      <c r="BT104" s="1005"/>
      <c r="BU104" s="1005"/>
      <c r="BV104" s="1005"/>
      <c r="BW104" s="1005"/>
      <c r="BX104" s="1005"/>
      <c r="BY104" s="1005"/>
      <c r="BZ104" s="1005"/>
      <c r="CA104" s="1005"/>
      <c r="CB104" s="1005"/>
      <c r="CC104" s="1005"/>
      <c r="CD104" s="1005"/>
      <c r="CE104" s="1005"/>
      <c r="CF104" s="1005"/>
      <c r="CG104" s="1005"/>
      <c r="CH104" s="1005"/>
      <c r="CI104" s="1005"/>
      <c r="CJ104" s="1005"/>
      <c r="CK104" s="1005"/>
      <c r="CL104" s="1005"/>
      <c r="CM104" s="1005"/>
      <c r="CN104" s="1005"/>
      <c r="CO104" s="1005"/>
      <c r="CP104" s="1005"/>
      <c r="CQ104" s="1005"/>
      <c r="CR104" s="1005"/>
      <c r="CS104" s="1005"/>
      <c r="CT104" s="1005"/>
      <c r="CU104" s="1005"/>
      <c r="CV104" s="1005"/>
    </row>
    <row r="105" spans="1:100" s="1001" customFormat="1" outlineLevel="1" x14ac:dyDescent="0.2">
      <c r="A105" s="1008"/>
      <c r="B105" s="997"/>
      <c r="C105" s="998"/>
      <c r="D105" s="999"/>
      <c r="E105" s="1039" t="s">
        <v>801</v>
      </c>
      <c r="F105" s="1021">
        <f xml:space="preserve"> Debt!F67</f>
        <v>0.71796762690416871</v>
      </c>
      <c r="G105" s="1043" t="s">
        <v>103</v>
      </c>
      <c r="H105" s="1005"/>
      <c r="I105" s="1005"/>
      <c r="J105" s="1005"/>
      <c r="K105" s="1005"/>
      <c r="L105" s="1005"/>
      <c r="M105" s="1005"/>
      <c r="N105" s="1005"/>
      <c r="O105" s="1005"/>
      <c r="P105" s="1005"/>
      <c r="Q105" s="1005"/>
      <c r="R105" s="1005"/>
      <c r="S105" s="1005"/>
      <c r="T105" s="1005"/>
      <c r="U105" s="1005"/>
      <c r="V105" s="1005"/>
      <c r="W105" s="1005"/>
      <c r="X105" s="1005"/>
      <c r="Y105" s="1005"/>
      <c r="Z105" s="1005"/>
      <c r="AA105" s="1005"/>
      <c r="AB105" s="1005"/>
      <c r="AC105" s="1005"/>
      <c r="AD105" s="1005"/>
      <c r="AE105" s="1005"/>
      <c r="AF105" s="1005"/>
      <c r="AG105" s="1005"/>
      <c r="AH105" s="1005"/>
      <c r="AI105" s="1005"/>
      <c r="AJ105" s="1005"/>
      <c r="AK105" s="1005"/>
      <c r="AL105" s="1005"/>
      <c r="AM105" s="1005"/>
      <c r="AN105" s="1005"/>
      <c r="AO105" s="1005"/>
      <c r="AP105" s="1005"/>
      <c r="AQ105" s="1005"/>
      <c r="AR105" s="1005"/>
      <c r="AS105" s="1005"/>
      <c r="AT105" s="1005"/>
      <c r="AU105" s="1005"/>
      <c r="AV105" s="1005"/>
      <c r="AW105" s="1005"/>
      <c r="AX105" s="1005"/>
      <c r="AY105" s="1005"/>
      <c r="AZ105" s="1005"/>
      <c r="BA105" s="1005"/>
      <c r="BB105" s="1005"/>
      <c r="BC105" s="1005"/>
      <c r="BD105" s="1005"/>
      <c r="BE105" s="1005"/>
      <c r="BF105" s="1005"/>
      <c r="BG105" s="1005"/>
      <c r="BH105" s="1005"/>
      <c r="BI105" s="1005"/>
      <c r="BJ105" s="1005"/>
      <c r="BK105" s="1005"/>
      <c r="BL105" s="1005"/>
      <c r="BM105" s="1005"/>
      <c r="BN105" s="1005"/>
      <c r="BO105" s="1005"/>
      <c r="BP105" s="1005"/>
      <c r="BQ105" s="1005"/>
      <c r="BR105" s="1005"/>
      <c r="BS105" s="1005"/>
      <c r="BT105" s="1005"/>
      <c r="BU105" s="1005"/>
      <c r="BV105" s="1005"/>
      <c r="BW105" s="1005"/>
      <c r="BX105" s="1005"/>
      <c r="BY105" s="1005"/>
      <c r="BZ105" s="1005"/>
      <c r="CA105" s="1005"/>
      <c r="CB105" s="1005"/>
      <c r="CC105" s="1005"/>
      <c r="CD105" s="1005"/>
      <c r="CE105" s="1005"/>
      <c r="CF105" s="1005"/>
      <c r="CG105" s="1005"/>
      <c r="CH105" s="1005"/>
      <c r="CI105" s="1005"/>
      <c r="CJ105" s="1005"/>
      <c r="CK105" s="1005"/>
      <c r="CL105" s="1005"/>
      <c r="CM105" s="1005"/>
      <c r="CN105" s="1005"/>
      <c r="CO105" s="1005"/>
      <c r="CP105" s="1005"/>
      <c r="CQ105" s="1005"/>
      <c r="CR105" s="1005"/>
      <c r="CS105" s="1005"/>
      <c r="CT105" s="1005"/>
      <c r="CU105" s="1005"/>
      <c r="CV105" s="1005"/>
    </row>
    <row r="106" spans="1:100" s="1001" customFormat="1" outlineLevel="1" x14ac:dyDescent="0.2">
      <c r="A106" s="1008"/>
      <c r="B106" s="997"/>
      <c r="C106" s="998"/>
      <c r="D106" s="999"/>
      <c r="E106" s="1005"/>
      <c r="F106" s="1005"/>
      <c r="G106" s="1005"/>
      <c r="H106" s="1005"/>
      <c r="I106" s="1005"/>
      <c r="J106" s="1005"/>
      <c r="K106" s="1005"/>
      <c r="L106" s="1005"/>
      <c r="M106" s="1005"/>
      <c r="N106" s="1005"/>
      <c r="O106" s="1005"/>
      <c r="P106" s="1005"/>
      <c r="Q106" s="1005"/>
      <c r="R106" s="1005"/>
      <c r="S106" s="1005"/>
      <c r="T106" s="1005"/>
      <c r="U106" s="1005"/>
      <c r="V106" s="1005"/>
      <c r="W106" s="1005"/>
      <c r="X106" s="1005"/>
      <c r="Y106" s="1005"/>
      <c r="Z106" s="1005"/>
      <c r="AA106" s="1005"/>
      <c r="AB106" s="1005"/>
      <c r="AC106" s="1005"/>
      <c r="AD106" s="1005"/>
      <c r="AE106" s="1005"/>
      <c r="AF106" s="1005"/>
      <c r="AG106" s="1005"/>
      <c r="AH106" s="1005"/>
      <c r="AI106" s="1005"/>
      <c r="AJ106" s="1005"/>
      <c r="AK106" s="1005"/>
      <c r="AL106" s="1005"/>
      <c r="AM106" s="1005"/>
      <c r="AN106" s="1005"/>
      <c r="AO106" s="1005"/>
      <c r="AP106" s="1005"/>
      <c r="AQ106" s="1005"/>
      <c r="AR106" s="1005"/>
      <c r="AS106" s="1005"/>
      <c r="AT106" s="1005"/>
      <c r="AU106" s="1005"/>
      <c r="AV106" s="1005"/>
      <c r="AW106" s="1005"/>
      <c r="AX106" s="1005"/>
      <c r="AY106" s="1005"/>
      <c r="AZ106" s="1005"/>
      <c r="BA106" s="1005"/>
      <c r="BB106" s="1005"/>
      <c r="BC106" s="1005"/>
      <c r="BD106" s="1005"/>
      <c r="BE106" s="1005"/>
      <c r="BF106" s="1005"/>
      <c r="BG106" s="1005"/>
      <c r="BH106" s="1005"/>
      <c r="BI106" s="1005"/>
      <c r="BJ106" s="1005"/>
      <c r="BK106" s="1005"/>
      <c r="BL106" s="1005"/>
      <c r="BM106" s="1005"/>
      <c r="BN106" s="1005"/>
      <c r="BO106" s="1005"/>
      <c r="BP106" s="1005"/>
      <c r="BQ106" s="1005"/>
      <c r="BR106" s="1005"/>
      <c r="BS106" s="1005"/>
      <c r="BT106" s="1005"/>
      <c r="BU106" s="1005"/>
      <c r="BV106" s="1005"/>
      <c r="BW106" s="1005"/>
      <c r="BX106" s="1005"/>
      <c r="BY106" s="1005"/>
      <c r="BZ106" s="1005"/>
      <c r="CA106" s="1005"/>
      <c r="CB106" s="1005"/>
      <c r="CC106" s="1005"/>
      <c r="CD106" s="1005"/>
      <c r="CE106" s="1005"/>
      <c r="CF106" s="1005"/>
      <c r="CG106" s="1005"/>
      <c r="CH106" s="1005"/>
      <c r="CI106" s="1005"/>
      <c r="CJ106" s="1005"/>
      <c r="CK106" s="1005"/>
      <c r="CL106" s="1005"/>
      <c r="CM106" s="1005"/>
      <c r="CN106" s="1005"/>
      <c r="CO106" s="1005"/>
      <c r="CP106" s="1005"/>
      <c r="CQ106" s="1005"/>
      <c r="CR106" s="1005"/>
      <c r="CS106" s="1005"/>
      <c r="CT106" s="1005"/>
      <c r="CU106" s="1005"/>
      <c r="CV106" s="1005"/>
    </row>
    <row r="107" spans="1:100" s="1127" customFormat="1" outlineLevel="1" x14ac:dyDescent="0.2">
      <c r="A107" s="1124"/>
      <c r="B107" s="1125"/>
      <c r="C107" s="1126"/>
      <c r="D107" s="415"/>
      <c r="E107" s="415" t="str">
        <f xml:space="preserve"> Metrics!E$71</f>
        <v>Min DSCR - P50</v>
      </c>
      <c r="F107" s="1128">
        <f xml:space="preserve"> Metrics!F$71</f>
        <v>1.3999990581391102</v>
      </c>
      <c r="G107" s="1043" t="s">
        <v>802</v>
      </c>
      <c r="H107" s="415"/>
      <c r="I107" s="415"/>
      <c r="J107" s="415"/>
      <c r="K107" s="415"/>
      <c r="L107" s="415"/>
      <c r="M107" s="415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5"/>
      <c r="AE107" s="415"/>
      <c r="AF107" s="415"/>
      <c r="AG107" s="415"/>
      <c r="AH107" s="415"/>
      <c r="AI107" s="415"/>
      <c r="AJ107" s="415"/>
      <c r="AK107" s="415"/>
      <c r="AL107" s="415"/>
      <c r="AM107" s="415"/>
      <c r="AN107" s="415"/>
      <c r="AO107" s="415"/>
      <c r="AP107" s="415"/>
      <c r="AQ107" s="415"/>
      <c r="AR107" s="415"/>
      <c r="AS107" s="415"/>
      <c r="AT107" s="415"/>
      <c r="AU107" s="415"/>
      <c r="AV107" s="415"/>
      <c r="AW107" s="415"/>
      <c r="AX107" s="415"/>
      <c r="AY107" s="415"/>
      <c r="AZ107" s="415"/>
      <c r="BA107" s="415"/>
      <c r="BB107" s="415"/>
      <c r="BC107" s="415"/>
      <c r="BD107" s="415"/>
      <c r="BE107" s="415"/>
      <c r="BF107" s="415"/>
      <c r="BG107" s="415"/>
      <c r="BH107" s="415"/>
      <c r="BI107" s="415"/>
      <c r="BJ107" s="415"/>
      <c r="BK107" s="415"/>
      <c r="BL107" s="415"/>
      <c r="BM107" s="415"/>
      <c r="BN107" s="415"/>
      <c r="BO107" s="415"/>
      <c r="BP107" s="415"/>
      <c r="BQ107" s="415"/>
      <c r="BR107" s="415"/>
      <c r="BS107" s="415"/>
      <c r="BT107" s="415"/>
      <c r="BU107" s="415"/>
      <c r="BV107" s="415"/>
      <c r="BW107" s="415"/>
      <c r="BX107" s="415"/>
      <c r="BY107" s="415"/>
      <c r="BZ107" s="415"/>
      <c r="CA107" s="415"/>
      <c r="CB107" s="415"/>
      <c r="CC107" s="415"/>
      <c r="CD107" s="415"/>
      <c r="CE107" s="415"/>
      <c r="CF107" s="415"/>
      <c r="CG107" s="415"/>
      <c r="CH107" s="415"/>
      <c r="CI107" s="415"/>
      <c r="CJ107" s="415"/>
      <c r="CK107" s="415"/>
      <c r="CL107" s="415"/>
      <c r="CM107" s="415"/>
      <c r="CN107" s="415"/>
      <c r="CO107" s="415"/>
      <c r="CP107" s="415"/>
      <c r="CQ107" s="415"/>
      <c r="CR107" s="415"/>
      <c r="CS107" s="415"/>
      <c r="CT107" s="415"/>
      <c r="CU107" s="415"/>
      <c r="CV107" s="415"/>
    </row>
    <row r="108" spans="1:100" s="1127" customFormat="1" outlineLevel="1" x14ac:dyDescent="0.2">
      <c r="A108" s="1124"/>
      <c r="B108" s="1125"/>
      <c r="C108" s="1126"/>
      <c r="D108" s="415"/>
      <c r="E108" s="415" t="str">
        <f xml:space="preserve"> Metrics!E$72</f>
        <v>Avg DSCR - P50</v>
      </c>
      <c r="F108" s="1128">
        <f xml:space="preserve"> Metrics!F$72</f>
        <v>1.3999998707491461</v>
      </c>
      <c r="G108" s="1043" t="s">
        <v>802</v>
      </c>
      <c r="H108" s="415"/>
      <c r="I108" s="415"/>
      <c r="J108" s="415"/>
      <c r="K108" s="415"/>
      <c r="L108" s="415"/>
      <c r="M108" s="415"/>
      <c r="N108" s="415"/>
      <c r="O108" s="415"/>
      <c r="P108" s="415"/>
      <c r="Q108" s="415"/>
      <c r="R108" s="415"/>
      <c r="S108" s="415"/>
      <c r="T108" s="415"/>
      <c r="U108" s="415"/>
      <c r="V108" s="415"/>
      <c r="W108" s="415"/>
      <c r="X108" s="415"/>
      <c r="Y108" s="415"/>
      <c r="Z108" s="415"/>
      <c r="AA108" s="415"/>
      <c r="AB108" s="415"/>
      <c r="AC108" s="415"/>
      <c r="AD108" s="415"/>
      <c r="AE108" s="415"/>
      <c r="AF108" s="415"/>
      <c r="AG108" s="415"/>
      <c r="AH108" s="415"/>
      <c r="AI108" s="415"/>
      <c r="AJ108" s="415"/>
      <c r="AK108" s="415"/>
      <c r="AL108" s="415"/>
      <c r="AM108" s="415"/>
      <c r="AN108" s="415"/>
      <c r="AO108" s="415"/>
      <c r="AP108" s="415"/>
      <c r="AQ108" s="415"/>
      <c r="AR108" s="415"/>
      <c r="AS108" s="415"/>
      <c r="AT108" s="415"/>
      <c r="AU108" s="415"/>
      <c r="AV108" s="415"/>
      <c r="AW108" s="415"/>
      <c r="AX108" s="415"/>
      <c r="AY108" s="415"/>
      <c r="AZ108" s="415"/>
      <c r="BA108" s="415"/>
      <c r="BB108" s="415"/>
      <c r="BC108" s="415"/>
      <c r="BD108" s="415"/>
      <c r="BE108" s="415"/>
      <c r="BF108" s="415"/>
      <c r="BG108" s="415"/>
      <c r="BH108" s="415"/>
      <c r="BI108" s="415"/>
      <c r="BJ108" s="415"/>
      <c r="BK108" s="415"/>
      <c r="BL108" s="415"/>
      <c r="BM108" s="415"/>
      <c r="BN108" s="415"/>
      <c r="BO108" s="415"/>
      <c r="BP108" s="415"/>
      <c r="BQ108" s="415"/>
      <c r="BR108" s="415"/>
      <c r="BS108" s="415"/>
      <c r="BT108" s="415"/>
      <c r="BU108" s="415"/>
      <c r="BV108" s="415"/>
      <c r="BW108" s="415"/>
      <c r="BX108" s="415"/>
      <c r="BY108" s="415"/>
      <c r="BZ108" s="415"/>
      <c r="CA108" s="415"/>
      <c r="CB108" s="415"/>
      <c r="CC108" s="415"/>
      <c r="CD108" s="415"/>
      <c r="CE108" s="415"/>
      <c r="CF108" s="415"/>
      <c r="CG108" s="415"/>
      <c r="CH108" s="415"/>
      <c r="CI108" s="415"/>
      <c r="CJ108" s="415"/>
      <c r="CK108" s="415"/>
      <c r="CL108" s="415"/>
      <c r="CM108" s="415"/>
      <c r="CN108" s="415"/>
      <c r="CO108" s="415"/>
      <c r="CP108" s="415"/>
      <c r="CQ108" s="415"/>
      <c r="CR108" s="415"/>
      <c r="CS108" s="415"/>
      <c r="CT108" s="415"/>
      <c r="CU108" s="415"/>
      <c r="CV108" s="415"/>
    </row>
    <row r="109" spans="1:100" s="1001" customFormat="1" outlineLevel="1" x14ac:dyDescent="0.2">
      <c r="A109" s="1008"/>
      <c r="B109" s="997"/>
      <c r="C109" s="998"/>
      <c r="D109" s="999"/>
      <c r="E109" s="1042" t="str">
        <f xml:space="preserve"> Metrics!E221</f>
        <v>Min DSCR - P99</v>
      </c>
      <c r="F109" s="1042">
        <f ca="1" xml:space="preserve"> Metrics!F221</f>
        <v>1.0269539347720498</v>
      </c>
      <c r="G109" s="1043" t="s">
        <v>802</v>
      </c>
      <c r="H109" s="1005"/>
      <c r="I109" s="1005"/>
      <c r="J109" s="1005"/>
      <c r="K109" s="1005"/>
      <c r="L109" s="1005"/>
      <c r="M109" s="1005"/>
      <c r="N109" s="1005"/>
      <c r="O109" s="1005"/>
      <c r="P109" s="1005"/>
      <c r="Q109" s="1005"/>
      <c r="R109" s="1005"/>
      <c r="S109" s="1005"/>
      <c r="T109" s="1005"/>
      <c r="U109" s="1005"/>
      <c r="V109" s="1005"/>
      <c r="W109" s="1005"/>
      <c r="X109" s="1005"/>
      <c r="Y109" s="1005"/>
      <c r="Z109" s="1005"/>
      <c r="AA109" s="1005"/>
      <c r="AB109" s="1005"/>
      <c r="AC109" s="1005"/>
      <c r="AD109" s="1005"/>
      <c r="AE109" s="1005"/>
      <c r="AF109" s="1005"/>
      <c r="AG109" s="1005"/>
      <c r="AH109" s="1005"/>
      <c r="AI109" s="1005"/>
      <c r="AJ109" s="1005"/>
      <c r="AK109" s="1005"/>
      <c r="AL109" s="1005"/>
      <c r="AM109" s="1005"/>
      <c r="AN109" s="1005"/>
      <c r="AO109" s="1005"/>
      <c r="AP109" s="1005"/>
      <c r="AQ109" s="1005"/>
      <c r="AR109" s="1005"/>
      <c r="AS109" s="1005"/>
      <c r="AT109" s="1005"/>
      <c r="AU109" s="1005"/>
      <c r="AV109" s="1005"/>
      <c r="AW109" s="1005"/>
      <c r="AX109" s="1005"/>
      <c r="AY109" s="1005"/>
      <c r="AZ109" s="1005"/>
      <c r="BA109" s="1005"/>
      <c r="BB109" s="1005"/>
      <c r="BC109" s="1005"/>
      <c r="BD109" s="1005"/>
      <c r="BE109" s="1005"/>
      <c r="BF109" s="1005"/>
      <c r="BG109" s="1005"/>
      <c r="BH109" s="1005"/>
      <c r="BI109" s="1005"/>
      <c r="BJ109" s="1005"/>
      <c r="BK109" s="1005"/>
      <c r="BL109" s="1005"/>
      <c r="BM109" s="1005"/>
      <c r="BN109" s="1005"/>
      <c r="BO109" s="1005"/>
      <c r="BP109" s="1005"/>
      <c r="BQ109" s="1005"/>
      <c r="BR109" s="1005"/>
      <c r="BS109" s="1005"/>
      <c r="BT109" s="1005"/>
      <c r="BU109" s="1005"/>
      <c r="BV109" s="1005"/>
      <c r="BW109" s="1005"/>
      <c r="BX109" s="1005"/>
      <c r="BY109" s="1005"/>
      <c r="BZ109" s="1005"/>
      <c r="CA109" s="1005"/>
      <c r="CB109" s="1005"/>
      <c r="CC109" s="1005"/>
      <c r="CD109" s="1005"/>
      <c r="CE109" s="1005"/>
      <c r="CF109" s="1005"/>
      <c r="CG109" s="1005"/>
      <c r="CH109" s="1005"/>
      <c r="CI109" s="1005"/>
      <c r="CJ109" s="1005"/>
      <c r="CK109" s="1005"/>
      <c r="CL109" s="1005"/>
      <c r="CM109" s="1005"/>
      <c r="CN109" s="1005"/>
      <c r="CO109" s="1005"/>
      <c r="CP109" s="1005"/>
      <c r="CQ109" s="1005"/>
      <c r="CR109" s="1005"/>
      <c r="CS109" s="1005"/>
      <c r="CT109" s="1005"/>
      <c r="CU109" s="1005"/>
      <c r="CV109" s="1005"/>
    </row>
    <row r="110" spans="1:100" s="1001" customFormat="1" outlineLevel="1" x14ac:dyDescent="0.2">
      <c r="A110" s="1008"/>
      <c r="B110" s="997"/>
      <c r="C110" s="998"/>
      <c r="D110" s="999"/>
      <c r="E110" s="1042" t="str">
        <f xml:space="preserve"> Metrics!E222</f>
        <v>Avg DSCR - P99</v>
      </c>
      <c r="F110" s="1042">
        <f ca="1" xml:space="preserve"> Metrics!F222</f>
        <v>1.0522433110088147</v>
      </c>
      <c r="G110" s="1043" t="s">
        <v>802</v>
      </c>
      <c r="H110" s="1005"/>
      <c r="I110" s="1005"/>
      <c r="J110" s="1005"/>
      <c r="K110" s="1005"/>
      <c r="L110" s="1005"/>
      <c r="M110" s="1005"/>
      <c r="N110" s="1005"/>
      <c r="O110" s="1005"/>
      <c r="P110" s="1005"/>
      <c r="Q110" s="1005"/>
      <c r="R110" s="1005"/>
      <c r="S110" s="1005"/>
      <c r="T110" s="1005"/>
      <c r="U110" s="1005"/>
      <c r="V110" s="1005"/>
      <c r="W110" s="1005"/>
      <c r="X110" s="1005"/>
      <c r="Y110" s="1005"/>
      <c r="Z110" s="1005"/>
      <c r="AA110" s="1005"/>
      <c r="AB110" s="1005"/>
      <c r="AC110" s="1005"/>
      <c r="AD110" s="1005"/>
      <c r="AE110" s="1005"/>
      <c r="AF110" s="1005"/>
      <c r="AG110" s="1005"/>
      <c r="AH110" s="1005"/>
      <c r="AI110" s="1005"/>
      <c r="AJ110" s="1005"/>
      <c r="AK110" s="1005"/>
      <c r="AL110" s="1005"/>
      <c r="AM110" s="1005"/>
      <c r="AN110" s="1005"/>
      <c r="AO110" s="1005"/>
      <c r="AP110" s="1005"/>
      <c r="AQ110" s="1005"/>
      <c r="AR110" s="1005"/>
      <c r="AS110" s="1005"/>
      <c r="AT110" s="1005"/>
      <c r="AU110" s="1005"/>
      <c r="AV110" s="1005"/>
      <c r="AW110" s="1005"/>
      <c r="AX110" s="1005"/>
      <c r="AY110" s="1005"/>
      <c r="AZ110" s="1005"/>
      <c r="BA110" s="1005"/>
      <c r="BB110" s="1005"/>
      <c r="BC110" s="1005"/>
      <c r="BD110" s="1005"/>
      <c r="BE110" s="1005"/>
      <c r="BF110" s="1005"/>
      <c r="BG110" s="1005"/>
      <c r="BH110" s="1005"/>
      <c r="BI110" s="1005"/>
      <c r="BJ110" s="1005"/>
      <c r="BK110" s="1005"/>
      <c r="BL110" s="1005"/>
      <c r="BM110" s="1005"/>
      <c r="BN110" s="1005"/>
      <c r="BO110" s="1005"/>
      <c r="BP110" s="1005"/>
      <c r="BQ110" s="1005"/>
      <c r="BR110" s="1005"/>
      <c r="BS110" s="1005"/>
      <c r="BT110" s="1005"/>
      <c r="BU110" s="1005"/>
      <c r="BV110" s="1005"/>
      <c r="BW110" s="1005"/>
      <c r="BX110" s="1005"/>
      <c r="BY110" s="1005"/>
      <c r="BZ110" s="1005"/>
      <c r="CA110" s="1005"/>
      <c r="CB110" s="1005"/>
      <c r="CC110" s="1005"/>
      <c r="CD110" s="1005"/>
      <c r="CE110" s="1005"/>
      <c r="CF110" s="1005"/>
      <c r="CG110" s="1005"/>
      <c r="CH110" s="1005"/>
      <c r="CI110" s="1005"/>
      <c r="CJ110" s="1005"/>
      <c r="CK110" s="1005"/>
      <c r="CL110" s="1005"/>
      <c r="CM110" s="1005"/>
      <c r="CN110" s="1005"/>
      <c r="CO110" s="1005"/>
      <c r="CP110" s="1005"/>
      <c r="CQ110" s="1005"/>
      <c r="CR110" s="1005"/>
      <c r="CS110" s="1005"/>
      <c r="CT110" s="1005"/>
      <c r="CU110" s="1005"/>
      <c r="CV110" s="1005"/>
    </row>
    <row r="111" spans="1:100" s="1001" customFormat="1" outlineLevel="1" x14ac:dyDescent="0.2">
      <c r="A111" s="1008"/>
      <c r="B111" s="997"/>
      <c r="C111" s="998"/>
      <c r="D111" s="999"/>
      <c r="E111" s="1005"/>
      <c r="F111" s="1005"/>
      <c r="G111" s="1005"/>
      <c r="H111" s="1005"/>
      <c r="I111" s="1005"/>
      <c r="J111" s="1005"/>
      <c r="K111" s="1005"/>
      <c r="L111" s="1005"/>
      <c r="M111" s="1005"/>
      <c r="N111" s="1005"/>
      <c r="O111" s="1005"/>
      <c r="P111" s="1005"/>
      <c r="Q111" s="1005"/>
      <c r="R111" s="1005"/>
      <c r="S111" s="1005"/>
      <c r="T111" s="1005"/>
      <c r="U111" s="1005"/>
      <c r="V111" s="1005"/>
      <c r="W111" s="1005"/>
      <c r="X111" s="1005"/>
      <c r="Y111" s="1005"/>
      <c r="Z111" s="1005"/>
      <c r="AA111" s="1005"/>
      <c r="AB111" s="1005"/>
      <c r="AC111" s="1005"/>
      <c r="AD111" s="1005"/>
      <c r="AE111" s="1005"/>
      <c r="AF111" s="1005"/>
      <c r="AG111" s="1005"/>
      <c r="AH111" s="1005"/>
      <c r="AI111" s="1005"/>
      <c r="AJ111" s="1005"/>
      <c r="AK111" s="1005"/>
      <c r="AL111" s="1005"/>
      <c r="AM111" s="1005"/>
      <c r="AN111" s="1005"/>
      <c r="AO111" s="1005"/>
      <c r="AP111" s="1005"/>
      <c r="AQ111" s="1005"/>
      <c r="AR111" s="1005"/>
      <c r="AS111" s="1005"/>
      <c r="AT111" s="1005"/>
      <c r="AU111" s="1005"/>
      <c r="AV111" s="1005"/>
      <c r="AW111" s="1005"/>
      <c r="AX111" s="1005"/>
      <c r="AY111" s="1005"/>
      <c r="AZ111" s="1005"/>
      <c r="BA111" s="1005"/>
      <c r="BB111" s="1005"/>
      <c r="BC111" s="1005"/>
      <c r="BD111" s="1005"/>
      <c r="BE111" s="1005"/>
      <c r="BF111" s="1005"/>
      <c r="BG111" s="1005"/>
      <c r="BH111" s="1005"/>
      <c r="BI111" s="1005"/>
      <c r="BJ111" s="1005"/>
      <c r="BK111" s="1005"/>
      <c r="BL111" s="1005"/>
      <c r="BM111" s="1005"/>
      <c r="BN111" s="1005"/>
      <c r="BO111" s="1005"/>
      <c r="BP111" s="1005"/>
      <c r="BQ111" s="1005"/>
      <c r="BR111" s="1005"/>
      <c r="BS111" s="1005"/>
      <c r="BT111" s="1005"/>
      <c r="BU111" s="1005"/>
      <c r="BV111" s="1005"/>
      <c r="BW111" s="1005"/>
      <c r="BX111" s="1005"/>
      <c r="BY111" s="1005"/>
      <c r="BZ111" s="1005"/>
      <c r="CA111" s="1005"/>
      <c r="CB111" s="1005"/>
      <c r="CC111" s="1005"/>
      <c r="CD111" s="1005"/>
      <c r="CE111" s="1005"/>
      <c r="CF111" s="1005"/>
      <c r="CG111" s="1005"/>
      <c r="CH111" s="1005"/>
      <c r="CI111" s="1005"/>
      <c r="CJ111" s="1005"/>
      <c r="CK111" s="1005"/>
      <c r="CL111" s="1005"/>
      <c r="CM111" s="1005"/>
      <c r="CN111" s="1005"/>
      <c r="CO111" s="1005"/>
      <c r="CP111" s="1005"/>
      <c r="CQ111" s="1005"/>
      <c r="CR111" s="1005"/>
      <c r="CS111" s="1005"/>
      <c r="CT111" s="1005"/>
      <c r="CU111" s="1005"/>
      <c r="CV111" s="1005"/>
    </row>
    <row r="112" spans="1:100" s="1001" customFormat="1" outlineLevel="1" x14ac:dyDescent="0.2">
      <c r="A112" s="1008"/>
      <c r="B112" s="997"/>
      <c r="C112" s="998"/>
      <c r="D112" s="999"/>
      <c r="E112" s="1005" t="str">
        <f xml:space="preserve"> Metrics!E$149</f>
        <v>Average cost of debt</v>
      </c>
      <c r="F112" s="315">
        <f xml:space="preserve"> Metrics!F$149</f>
        <v>5.0889906287193296E-2</v>
      </c>
      <c r="G112" s="1005" t="str">
        <f xml:space="preserve"> Metrics!G$149</f>
        <v>% p.a.</v>
      </c>
      <c r="H112" s="1005"/>
      <c r="I112" s="1005"/>
      <c r="J112" s="1005"/>
      <c r="K112" s="1005"/>
      <c r="L112" s="1005"/>
      <c r="M112" s="1005"/>
      <c r="N112" s="1005"/>
      <c r="O112" s="1005"/>
      <c r="P112" s="1005"/>
      <c r="Q112" s="1005"/>
      <c r="R112" s="1005"/>
      <c r="S112" s="1005"/>
      <c r="T112" s="1005"/>
      <c r="U112" s="1005"/>
      <c r="V112" s="1005"/>
      <c r="W112" s="1005"/>
      <c r="X112" s="1005"/>
      <c r="Y112" s="1005"/>
      <c r="Z112" s="1005"/>
      <c r="AA112" s="1005"/>
      <c r="AB112" s="1005"/>
      <c r="AC112" s="1005"/>
      <c r="AD112" s="1005"/>
      <c r="AE112" s="1005"/>
      <c r="AF112" s="1005"/>
      <c r="AG112" s="1005"/>
      <c r="AH112" s="1005"/>
      <c r="AI112" s="1005"/>
      <c r="AJ112" s="1005"/>
      <c r="AK112" s="1005"/>
      <c r="AL112" s="1005"/>
      <c r="AM112" s="1005"/>
      <c r="AN112" s="1005"/>
      <c r="AO112" s="1005"/>
      <c r="AP112" s="1005"/>
      <c r="AQ112" s="1005"/>
      <c r="AR112" s="1005"/>
      <c r="AS112" s="1005"/>
      <c r="AT112" s="1005"/>
      <c r="AU112" s="1005"/>
      <c r="AV112" s="1005"/>
      <c r="AW112" s="1005"/>
      <c r="AX112" s="1005"/>
      <c r="AY112" s="1005"/>
      <c r="AZ112" s="1005"/>
      <c r="BA112" s="1005"/>
      <c r="BB112" s="1005"/>
      <c r="BC112" s="1005"/>
      <c r="BD112" s="1005"/>
      <c r="BE112" s="1005"/>
      <c r="BF112" s="1005"/>
      <c r="BG112" s="1005"/>
      <c r="BH112" s="1005"/>
      <c r="BI112" s="1005"/>
      <c r="BJ112" s="1005"/>
      <c r="BK112" s="1005"/>
      <c r="BL112" s="1005"/>
      <c r="BM112" s="1005"/>
      <c r="BN112" s="1005"/>
      <c r="BO112" s="1005"/>
      <c r="BP112" s="1005"/>
      <c r="BQ112" s="1005"/>
      <c r="BR112" s="1005"/>
      <c r="BS112" s="1005"/>
      <c r="BT112" s="1005"/>
      <c r="BU112" s="1005"/>
      <c r="BV112" s="1005"/>
      <c r="BW112" s="1005"/>
      <c r="BX112" s="1005"/>
      <c r="BY112" s="1005"/>
      <c r="BZ112" s="1005"/>
      <c r="CA112" s="1005"/>
      <c r="CB112" s="1005"/>
      <c r="CC112" s="1005"/>
      <c r="CD112" s="1005"/>
      <c r="CE112" s="1005"/>
      <c r="CF112" s="1005"/>
      <c r="CG112" s="1005"/>
      <c r="CH112" s="1005"/>
      <c r="CI112" s="1005"/>
      <c r="CJ112" s="1005"/>
      <c r="CK112" s="1005"/>
      <c r="CL112" s="1005"/>
      <c r="CM112" s="1005"/>
      <c r="CN112" s="1005"/>
      <c r="CO112" s="1005"/>
      <c r="CP112" s="1005"/>
      <c r="CQ112" s="1005"/>
      <c r="CR112" s="1005"/>
      <c r="CS112" s="1005"/>
      <c r="CT112" s="1005"/>
      <c r="CU112" s="1005"/>
      <c r="CV112" s="1005"/>
    </row>
    <row r="113" spans="1:100" s="1001" customFormat="1" outlineLevel="1" x14ac:dyDescent="0.2">
      <c r="A113" s="1008"/>
      <c r="B113" s="997"/>
      <c r="C113" s="998"/>
      <c r="D113" s="999"/>
      <c r="E113" s="1005"/>
      <c r="F113" s="1005"/>
      <c r="G113" s="1005"/>
      <c r="H113" s="1005"/>
      <c r="I113" s="1005"/>
      <c r="J113" s="1005"/>
      <c r="K113" s="1005"/>
      <c r="L113" s="1005"/>
      <c r="M113" s="1005"/>
      <c r="N113" s="1005"/>
      <c r="O113" s="1005"/>
      <c r="P113" s="1005"/>
      <c r="Q113" s="1005"/>
      <c r="R113" s="1005"/>
      <c r="S113" s="1005"/>
      <c r="T113" s="1005"/>
      <c r="U113" s="1005"/>
      <c r="V113" s="1005"/>
      <c r="W113" s="1005"/>
      <c r="X113" s="1005"/>
      <c r="Y113" s="1005"/>
      <c r="Z113" s="1005"/>
      <c r="AA113" s="1005"/>
      <c r="AB113" s="1005"/>
      <c r="AC113" s="1005"/>
      <c r="AD113" s="1005"/>
      <c r="AE113" s="1005"/>
      <c r="AF113" s="1005"/>
      <c r="AG113" s="1005"/>
      <c r="AH113" s="1005"/>
      <c r="AI113" s="1005"/>
      <c r="AJ113" s="1005"/>
      <c r="AK113" s="1005"/>
      <c r="AL113" s="1005"/>
      <c r="AM113" s="1005"/>
      <c r="AN113" s="1005"/>
      <c r="AO113" s="1005"/>
      <c r="AP113" s="1005"/>
      <c r="AQ113" s="1005"/>
      <c r="AR113" s="1005"/>
      <c r="AS113" s="1005"/>
      <c r="AT113" s="1005"/>
      <c r="AU113" s="1005"/>
      <c r="AV113" s="1005"/>
      <c r="AW113" s="1005"/>
      <c r="AX113" s="1005"/>
      <c r="AY113" s="1005"/>
      <c r="AZ113" s="1005"/>
      <c r="BA113" s="1005"/>
      <c r="BB113" s="1005"/>
      <c r="BC113" s="1005"/>
      <c r="BD113" s="1005"/>
      <c r="BE113" s="1005"/>
      <c r="BF113" s="1005"/>
      <c r="BG113" s="1005"/>
      <c r="BH113" s="1005"/>
      <c r="BI113" s="1005"/>
      <c r="BJ113" s="1005"/>
      <c r="BK113" s="1005"/>
      <c r="BL113" s="1005"/>
      <c r="BM113" s="1005"/>
      <c r="BN113" s="1005"/>
      <c r="BO113" s="1005"/>
      <c r="BP113" s="1005"/>
      <c r="BQ113" s="1005"/>
      <c r="BR113" s="1005"/>
      <c r="BS113" s="1005"/>
      <c r="BT113" s="1005"/>
      <c r="BU113" s="1005"/>
      <c r="BV113" s="1005"/>
      <c r="BW113" s="1005"/>
      <c r="BX113" s="1005"/>
      <c r="BY113" s="1005"/>
      <c r="BZ113" s="1005"/>
      <c r="CA113" s="1005"/>
      <c r="CB113" s="1005"/>
      <c r="CC113" s="1005"/>
      <c r="CD113" s="1005"/>
      <c r="CE113" s="1005"/>
      <c r="CF113" s="1005"/>
      <c r="CG113" s="1005"/>
      <c r="CH113" s="1005"/>
      <c r="CI113" s="1005"/>
      <c r="CJ113" s="1005"/>
      <c r="CK113" s="1005"/>
      <c r="CL113" s="1005"/>
      <c r="CM113" s="1005"/>
      <c r="CN113" s="1005"/>
      <c r="CO113" s="1005"/>
      <c r="CP113" s="1005"/>
      <c r="CQ113" s="1005"/>
      <c r="CR113" s="1005"/>
      <c r="CS113" s="1005"/>
      <c r="CT113" s="1005"/>
      <c r="CU113" s="1005"/>
      <c r="CV113" s="1005"/>
    </row>
    <row r="114" spans="1:100" s="1001" customFormat="1" x14ac:dyDescent="0.2">
      <c r="A114" s="1008"/>
      <c r="B114" s="997"/>
      <c r="C114" s="998"/>
      <c r="D114" s="999"/>
      <c r="E114" s="1005"/>
      <c r="F114" s="1005"/>
      <c r="G114" s="1005"/>
      <c r="H114" s="1005"/>
      <c r="I114" s="1005"/>
      <c r="J114" s="1005"/>
      <c r="K114" s="1005"/>
      <c r="L114" s="1005"/>
      <c r="M114" s="1005"/>
      <c r="N114" s="1005"/>
      <c r="O114" s="1005"/>
      <c r="P114" s="1005"/>
      <c r="Q114" s="1005"/>
      <c r="R114" s="1005"/>
      <c r="S114" s="1005"/>
      <c r="T114" s="1005"/>
      <c r="U114" s="1005"/>
      <c r="V114" s="1005"/>
      <c r="W114" s="1005"/>
      <c r="X114" s="1005"/>
      <c r="Y114" s="1005"/>
      <c r="Z114" s="1005"/>
      <c r="AA114" s="1005"/>
      <c r="AB114" s="1005"/>
      <c r="AC114" s="1005"/>
      <c r="AD114" s="1005"/>
      <c r="AE114" s="1005"/>
      <c r="AF114" s="1005"/>
      <c r="AG114" s="1005"/>
      <c r="AH114" s="1005"/>
      <c r="AI114" s="1005"/>
      <c r="AJ114" s="1005"/>
      <c r="AK114" s="1005"/>
      <c r="AL114" s="1005"/>
      <c r="AM114" s="1005"/>
      <c r="AN114" s="1005"/>
      <c r="AO114" s="1005"/>
      <c r="AP114" s="1005"/>
      <c r="AQ114" s="1005"/>
      <c r="AR114" s="1005"/>
      <c r="AS114" s="1005"/>
      <c r="AT114" s="1005"/>
      <c r="AU114" s="1005"/>
      <c r="AV114" s="1005"/>
      <c r="AW114" s="1005"/>
      <c r="AX114" s="1005"/>
      <c r="AY114" s="1005"/>
      <c r="AZ114" s="1005"/>
      <c r="BA114" s="1005"/>
      <c r="BB114" s="1005"/>
      <c r="BC114" s="1005"/>
      <c r="BD114" s="1005"/>
      <c r="BE114" s="1005"/>
      <c r="BF114" s="1005"/>
      <c r="BG114" s="1005"/>
      <c r="BH114" s="1005"/>
      <c r="BI114" s="1005"/>
      <c r="BJ114" s="1005"/>
      <c r="BK114" s="1005"/>
      <c r="BL114" s="1005"/>
      <c r="BM114" s="1005"/>
      <c r="BN114" s="1005"/>
      <c r="BO114" s="1005"/>
      <c r="BP114" s="1005"/>
      <c r="BQ114" s="1005"/>
      <c r="BR114" s="1005"/>
      <c r="BS114" s="1005"/>
      <c r="BT114" s="1005"/>
      <c r="BU114" s="1005"/>
      <c r="BV114" s="1005"/>
      <c r="BW114" s="1005"/>
      <c r="BX114" s="1005"/>
      <c r="BY114" s="1005"/>
      <c r="BZ114" s="1005"/>
      <c r="CA114" s="1005"/>
      <c r="CB114" s="1005"/>
      <c r="CC114" s="1005"/>
      <c r="CD114" s="1005"/>
      <c r="CE114" s="1005"/>
      <c r="CF114" s="1005"/>
      <c r="CG114" s="1005"/>
      <c r="CH114" s="1005"/>
      <c r="CI114" s="1005"/>
      <c r="CJ114" s="1005"/>
      <c r="CK114" s="1005"/>
      <c r="CL114" s="1005"/>
      <c r="CM114" s="1005"/>
      <c r="CN114" s="1005"/>
      <c r="CO114" s="1005"/>
      <c r="CP114" s="1005"/>
      <c r="CQ114" s="1005"/>
      <c r="CR114" s="1005"/>
      <c r="CS114" s="1005"/>
      <c r="CT114" s="1005"/>
      <c r="CU114" s="1005"/>
      <c r="CV114" s="1005"/>
    </row>
    <row r="115" spans="1:100" s="1001" customFormat="1" x14ac:dyDescent="0.2">
      <c r="A115" s="1008" t="s">
        <v>803</v>
      </c>
      <c r="B115" s="997"/>
      <c r="C115" s="998"/>
      <c r="D115" s="999"/>
      <c r="E115" s="1005"/>
      <c r="F115" s="1005"/>
      <c r="G115" s="1005"/>
      <c r="H115" s="1005"/>
      <c r="I115" s="1005"/>
      <c r="J115" s="1005"/>
      <c r="K115" s="1005"/>
      <c r="L115" s="1005"/>
      <c r="M115" s="1005"/>
      <c r="N115" s="1005"/>
      <c r="O115" s="1005"/>
      <c r="P115" s="1005"/>
      <c r="Q115" s="1005"/>
      <c r="R115" s="1005"/>
      <c r="S115" s="1005"/>
      <c r="T115" s="1005"/>
      <c r="U115" s="1005"/>
      <c r="V115" s="1005"/>
      <c r="W115" s="1005"/>
      <c r="X115" s="1005"/>
      <c r="Y115" s="1005"/>
      <c r="Z115" s="1005"/>
      <c r="AA115" s="1005"/>
      <c r="AB115" s="1005"/>
      <c r="AC115" s="1005"/>
      <c r="AD115" s="1005"/>
      <c r="AE115" s="1005"/>
      <c r="AF115" s="1005"/>
      <c r="AG115" s="1005"/>
      <c r="AH115" s="1005"/>
      <c r="AI115" s="1005"/>
      <c r="AJ115" s="1005"/>
      <c r="AK115" s="1005"/>
      <c r="AL115" s="1005"/>
      <c r="AM115" s="1005"/>
      <c r="AN115" s="1005"/>
      <c r="AO115" s="1005"/>
      <c r="AP115" s="1005"/>
      <c r="AQ115" s="1005"/>
      <c r="AR115" s="1005"/>
      <c r="AS115" s="1005"/>
      <c r="AT115" s="1005"/>
      <c r="AU115" s="1005"/>
      <c r="AV115" s="1005"/>
      <c r="AW115" s="1005"/>
      <c r="AX115" s="1005"/>
      <c r="AY115" s="1005"/>
      <c r="AZ115" s="1005"/>
      <c r="BA115" s="1005"/>
      <c r="BB115" s="1005"/>
      <c r="BC115" s="1005"/>
      <c r="BD115" s="1005"/>
      <c r="BE115" s="1005"/>
      <c r="BF115" s="1005"/>
      <c r="BG115" s="1005"/>
      <c r="BH115" s="1005"/>
      <c r="BI115" s="1005"/>
      <c r="BJ115" s="1005"/>
      <c r="BK115" s="1005"/>
      <c r="BL115" s="1005"/>
      <c r="BM115" s="1005"/>
      <c r="BN115" s="1005"/>
      <c r="BO115" s="1005"/>
      <c r="BP115" s="1005"/>
      <c r="BQ115" s="1005"/>
      <c r="BR115" s="1005"/>
      <c r="BS115" s="1005"/>
      <c r="BT115" s="1005"/>
      <c r="BU115" s="1005"/>
      <c r="BV115" s="1005"/>
      <c r="BW115" s="1005"/>
      <c r="BX115" s="1005"/>
      <c r="BY115" s="1005"/>
      <c r="BZ115" s="1005"/>
      <c r="CA115" s="1005"/>
      <c r="CB115" s="1005"/>
      <c r="CC115" s="1005"/>
      <c r="CD115" s="1005"/>
      <c r="CE115" s="1005"/>
      <c r="CF115" s="1005"/>
      <c r="CG115" s="1005"/>
      <c r="CH115" s="1005"/>
      <c r="CI115" s="1005"/>
      <c r="CJ115" s="1005"/>
      <c r="CK115" s="1005"/>
      <c r="CL115" s="1005"/>
      <c r="CM115" s="1005"/>
      <c r="CN115" s="1005"/>
      <c r="CO115" s="1005"/>
      <c r="CP115" s="1005"/>
      <c r="CQ115" s="1005"/>
      <c r="CR115" s="1005"/>
      <c r="CS115" s="1005"/>
      <c r="CT115" s="1005"/>
      <c r="CU115" s="1005"/>
      <c r="CV115" s="1005"/>
    </row>
    <row r="116" spans="1:100" s="1001" customFormat="1" outlineLevel="1" x14ac:dyDescent="0.2">
      <c r="A116" s="1008"/>
      <c r="B116" s="997"/>
      <c r="C116" s="998"/>
      <c r="D116" s="999"/>
      <c r="E116" s="1005"/>
      <c r="F116" s="1005"/>
      <c r="G116" s="1005"/>
      <c r="H116" s="1005"/>
      <c r="I116" s="1005"/>
      <c r="J116" s="1005"/>
      <c r="K116" s="1005"/>
      <c r="L116" s="1005"/>
      <c r="M116" s="1005"/>
      <c r="N116" s="1005"/>
      <c r="O116" s="1005"/>
      <c r="P116" s="1005"/>
      <c r="Q116" s="1005"/>
      <c r="R116" s="1005"/>
      <c r="S116" s="1005"/>
      <c r="T116" s="1005"/>
      <c r="U116" s="1005"/>
      <c r="V116" s="1005"/>
      <c r="W116" s="1005"/>
      <c r="X116" s="1005"/>
      <c r="Y116" s="1005"/>
      <c r="Z116" s="1005"/>
      <c r="AA116" s="1005"/>
      <c r="AB116" s="1005"/>
      <c r="AC116" s="1005"/>
      <c r="AD116" s="1005"/>
      <c r="AE116" s="1005"/>
      <c r="AF116" s="1005"/>
      <c r="AG116" s="1005"/>
      <c r="AH116" s="1005"/>
      <c r="AI116" s="1005"/>
      <c r="AJ116" s="1005"/>
      <c r="AK116" s="1005"/>
      <c r="AL116" s="1005"/>
      <c r="AM116" s="1005"/>
      <c r="AN116" s="1005"/>
      <c r="AO116" s="1005"/>
      <c r="AP116" s="1005"/>
      <c r="AQ116" s="1005"/>
      <c r="AR116" s="1005"/>
      <c r="AS116" s="1005"/>
      <c r="AT116" s="1005"/>
      <c r="AU116" s="1005"/>
      <c r="AV116" s="1005"/>
      <c r="AW116" s="1005"/>
      <c r="AX116" s="1005"/>
      <c r="AY116" s="1005"/>
      <c r="AZ116" s="1005"/>
      <c r="BA116" s="1005"/>
      <c r="BB116" s="1005"/>
      <c r="BC116" s="1005"/>
      <c r="BD116" s="1005"/>
      <c r="BE116" s="1005"/>
      <c r="BF116" s="1005"/>
      <c r="BG116" s="1005"/>
      <c r="BH116" s="1005"/>
      <c r="BI116" s="1005"/>
      <c r="BJ116" s="1005"/>
      <c r="BK116" s="1005"/>
      <c r="BL116" s="1005"/>
      <c r="BM116" s="1005"/>
      <c r="BN116" s="1005"/>
      <c r="BO116" s="1005"/>
      <c r="BP116" s="1005"/>
      <c r="BQ116" s="1005"/>
      <c r="BR116" s="1005"/>
      <c r="BS116" s="1005"/>
      <c r="BT116" s="1005"/>
      <c r="BU116" s="1005"/>
      <c r="BV116" s="1005"/>
      <c r="BW116" s="1005"/>
      <c r="BX116" s="1005"/>
      <c r="BY116" s="1005"/>
      <c r="BZ116" s="1005"/>
      <c r="CA116" s="1005"/>
      <c r="CB116" s="1005"/>
      <c r="CC116" s="1005"/>
      <c r="CD116" s="1005"/>
      <c r="CE116" s="1005"/>
      <c r="CF116" s="1005"/>
      <c r="CG116" s="1005"/>
      <c r="CH116" s="1005"/>
      <c r="CI116" s="1005"/>
      <c r="CJ116" s="1005"/>
      <c r="CK116" s="1005"/>
      <c r="CL116" s="1005"/>
      <c r="CM116" s="1005"/>
      <c r="CN116" s="1005"/>
      <c r="CO116" s="1005"/>
      <c r="CP116" s="1005"/>
      <c r="CQ116" s="1005"/>
      <c r="CR116" s="1005"/>
      <c r="CS116" s="1005"/>
      <c r="CT116" s="1005"/>
      <c r="CU116" s="1005"/>
      <c r="CV116" s="1005"/>
    </row>
    <row r="117" spans="1:100" s="1001" customFormat="1" outlineLevel="1" x14ac:dyDescent="0.2">
      <c r="A117" s="1008"/>
      <c r="B117" s="997"/>
      <c r="C117" s="998"/>
      <c r="D117" s="999"/>
      <c r="E117" s="1005" t="str">
        <f xml:space="preserve"> InpC!E$36</f>
        <v>Contracted plant capacity</v>
      </c>
      <c r="F117" s="1005">
        <f xml:space="preserve"> InpC!F$36</f>
        <v>300</v>
      </c>
      <c r="G117" s="1005" t="str">
        <f xml:space="preserve"> InpC!G$36</f>
        <v>MW</v>
      </c>
      <c r="H117" s="1005"/>
      <c r="I117" s="1005"/>
      <c r="J117" s="1005"/>
      <c r="K117" s="1005"/>
      <c r="L117" s="1005"/>
      <c r="M117" s="1005"/>
      <c r="N117" s="1005"/>
      <c r="O117" s="1005"/>
      <c r="P117" s="1005"/>
      <c r="Q117" s="1005"/>
      <c r="R117" s="1005"/>
      <c r="S117" s="1005"/>
      <c r="T117" s="1005"/>
      <c r="U117" s="1005"/>
      <c r="V117" s="1005"/>
      <c r="W117" s="1005"/>
      <c r="X117" s="1005"/>
      <c r="Y117" s="1005"/>
      <c r="Z117" s="1005"/>
      <c r="AA117" s="1005"/>
      <c r="AB117" s="1005"/>
      <c r="AC117" s="1005"/>
      <c r="AD117" s="1005"/>
      <c r="AE117" s="1005"/>
      <c r="AF117" s="1005"/>
      <c r="AG117" s="1005"/>
      <c r="AH117" s="1005"/>
      <c r="AI117" s="1005"/>
      <c r="AJ117" s="1005"/>
      <c r="AK117" s="1005"/>
      <c r="AL117" s="1005"/>
      <c r="AM117" s="1005"/>
      <c r="AN117" s="1005"/>
      <c r="AO117" s="1005"/>
      <c r="AP117" s="1005"/>
      <c r="AQ117" s="1005"/>
      <c r="AR117" s="1005"/>
      <c r="AS117" s="1005"/>
      <c r="AT117" s="1005"/>
      <c r="AU117" s="1005"/>
      <c r="AV117" s="1005"/>
      <c r="AW117" s="1005"/>
      <c r="AX117" s="1005"/>
      <c r="AY117" s="1005"/>
      <c r="AZ117" s="1005"/>
      <c r="BA117" s="1005"/>
      <c r="BB117" s="1005"/>
      <c r="BC117" s="1005"/>
      <c r="BD117" s="1005"/>
      <c r="BE117" s="1005"/>
      <c r="BF117" s="1005"/>
      <c r="BG117" s="1005"/>
      <c r="BH117" s="1005"/>
      <c r="BI117" s="1005"/>
      <c r="BJ117" s="1005"/>
      <c r="BK117" s="1005"/>
      <c r="BL117" s="1005"/>
      <c r="BM117" s="1005"/>
      <c r="BN117" s="1005"/>
      <c r="BO117" s="1005"/>
      <c r="BP117" s="1005"/>
      <c r="BQ117" s="1005"/>
      <c r="BR117" s="1005"/>
      <c r="BS117" s="1005"/>
      <c r="BT117" s="1005"/>
      <c r="BU117" s="1005"/>
      <c r="BV117" s="1005"/>
      <c r="BW117" s="1005"/>
      <c r="BX117" s="1005"/>
      <c r="BY117" s="1005"/>
      <c r="BZ117" s="1005"/>
      <c r="CA117" s="1005"/>
      <c r="CB117" s="1005"/>
      <c r="CC117" s="1005"/>
      <c r="CD117" s="1005"/>
      <c r="CE117" s="1005"/>
      <c r="CF117" s="1005"/>
      <c r="CG117" s="1005"/>
      <c r="CH117" s="1005"/>
      <c r="CI117" s="1005"/>
      <c r="CJ117" s="1005"/>
      <c r="CK117" s="1005"/>
      <c r="CL117" s="1005"/>
      <c r="CM117" s="1005"/>
      <c r="CN117" s="1005"/>
      <c r="CO117" s="1005"/>
      <c r="CP117" s="1005"/>
      <c r="CQ117" s="1005"/>
      <c r="CR117" s="1005"/>
      <c r="CS117" s="1005"/>
      <c r="CT117" s="1005"/>
      <c r="CU117" s="1005"/>
      <c r="CV117" s="1005"/>
    </row>
    <row r="118" spans="1:100" s="1001" customFormat="1" outlineLevel="1" x14ac:dyDescent="0.2">
      <c r="A118" s="1008"/>
      <c r="B118" s="997"/>
      <c r="C118" s="998"/>
      <c r="D118" s="999"/>
      <c r="E118" s="1034" t="str">
        <f xml:space="preserve"> Ops!E$26</f>
        <v>Year 1 P50 production</v>
      </c>
      <c r="F118" s="1034">
        <f xml:space="preserve"> Ops!F$26</f>
        <v>1051.2</v>
      </c>
      <c r="G118" s="1034" t="str">
        <f xml:space="preserve"> Ops!G$26</f>
        <v>GWh p.a.</v>
      </c>
      <c r="H118" s="1005"/>
      <c r="I118" s="1005"/>
      <c r="J118" s="1005"/>
      <c r="K118" s="1005"/>
      <c r="L118" s="1005"/>
      <c r="M118" s="1005"/>
      <c r="N118" s="1005"/>
      <c r="O118" s="1005"/>
      <c r="P118" s="1005"/>
      <c r="Q118" s="1005"/>
      <c r="R118" s="1005"/>
      <c r="S118" s="1005"/>
      <c r="T118" s="1005"/>
      <c r="U118" s="1005"/>
      <c r="V118" s="1005"/>
      <c r="W118" s="1005"/>
      <c r="X118" s="1005"/>
      <c r="Y118" s="1005"/>
      <c r="Z118" s="1005"/>
      <c r="AA118" s="1005"/>
      <c r="AB118" s="1005"/>
      <c r="AC118" s="1005"/>
      <c r="AD118" s="1005"/>
      <c r="AE118" s="1005"/>
      <c r="AF118" s="1005"/>
      <c r="AG118" s="1005"/>
      <c r="AH118" s="1005"/>
      <c r="AI118" s="1005"/>
      <c r="AJ118" s="1005"/>
      <c r="AK118" s="1005"/>
      <c r="AL118" s="1005"/>
      <c r="AM118" s="1005"/>
      <c r="AN118" s="1005"/>
      <c r="AO118" s="1005"/>
      <c r="AP118" s="1005"/>
      <c r="AQ118" s="1005"/>
      <c r="AR118" s="1005"/>
      <c r="AS118" s="1005"/>
      <c r="AT118" s="1005"/>
      <c r="AU118" s="1005"/>
      <c r="AV118" s="1005"/>
      <c r="AW118" s="1005"/>
      <c r="AX118" s="1005"/>
      <c r="AY118" s="1005"/>
      <c r="AZ118" s="1005"/>
      <c r="BA118" s="1005"/>
      <c r="BB118" s="1005"/>
      <c r="BC118" s="1005"/>
      <c r="BD118" s="1005"/>
      <c r="BE118" s="1005"/>
      <c r="BF118" s="1005"/>
      <c r="BG118" s="1005"/>
      <c r="BH118" s="1005"/>
      <c r="BI118" s="1005"/>
      <c r="BJ118" s="1005"/>
      <c r="BK118" s="1005"/>
      <c r="BL118" s="1005"/>
      <c r="BM118" s="1005"/>
      <c r="BN118" s="1005"/>
      <c r="BO118" s="1005"/>
      <c r="BP118" s="1005"/>
      <c r="BQ118" s="1005"/>
      <c r="BR118" s="1005"/>
      <c r="BS118" s="1005"/>
      <c r="BT118" s="1005"/>
      <c r="BU118" s="1005"/>
      <c r="BV118" s="1005"/>
      <c r="BW118" s="1005"/>
      <c r="BX118" s="1005"/>
      <c r="BY118" s="1005"/>
      <c r="BZ118" s="1005"/>
      <c r="CA118" s="1005"/>
      <c r="CB118" s="1005"/>
      <c r="CC118" s="1005"/>
      <c r="CD118" s="1005"/>
      <c r="CE118" s="1005"/>
      <c r="CF118" s="1005"/>
      <c r="CG118" s="1005"/>
      <c r="CH118" s="1005"/>
      <c r="CI118" s="1005"/>
      <c r="CJ118" s="1005"/>
      <c r="CK118" s="1005"/>
      <c r="CL118" s="1005"/>
      <c r="CM118" s="1005"/>
      <c r="CN118" s="1005"/>
      <c r="CO118" s="1005"/>
      <c r="CP118" s="1005"/>
      <c r="CQ118" s="1005"/>
      <c r="CR118" s="1005"/>
      <c r="CS118" s="1005"/>
      <c r="CT118" s="1005"/>
      <c r="CU118" s="1005"/>
      <c r="CV118" s="1005"/>
    </row>
    <row r="119" spans="1:100" s="1001" customFormat="1" outlineLevel="1" x14ac:dyDescent="0.2">
      <c r="A119" s="1008"/>
      <c r="B119" s="997"/>
      <c r="C119" s="998"/>
      <c r="D119" s="999"/>
      <c r="E119" s="1034" t="str">
        <f xml:space="preserve"> Ops!E$83</f>
        <v>Year 1 P99 production</v>
      </c>
      <c r="F119" s="1034">
        <f xml:space="preserve"> Ops!F$83</f>
        <v>855.56344918466152</v>
      </c>
      <c r="G119" s="1034" t="str">
        <f xml:space="preserve"> Ops!G$83</f>
        <v>GWh p.a.</v>
      </c>
      <c r="H119" s="1005"/>
      <c r="I119" s="1005"/>
      <c r="J119" s="1005"/>
      <c r="K119" s="1005"/>
      <c r="L119" s="1005"/>
      <c r="M119" s="1005"/>
      <c r="N119" s="1005"/>
      <c r="O119" s="1005"/>
      <c r="P119" s="1005"/>
      <c r="Q119" s="1005"/>
      <c r="R119" s="1005"/>
      <c r="S119" s="1005"/>
      <c r="T119" s="1005"/>
      <c r="U119" s="1005"/>
      <c r="V119" s="1005"/>
      <c r="W119" s="1005"/>
      <c r="X119" s="1005"/>
      <c r="Y119" s="1005"/>
      <c r="Z119" s="1005"/>
      <c r="AA119" s="1005"/>
      <c r="AB119" s="1005"/>
      <c r="AC119" s="1005"/>
      <c r="AD119" s="1005"/>
      <c r="AE119" s="1005"/>
      <c r="AF119" s="1005"/>
      <c r="AG119" s="1005"/>
      <c r="AH119" s="1005"/>
      <c r="AI119" s="1005"/>
      <c r="AJ119" s="1005"/>
      <c r="AK119" s="1005"/>
      <c r="AL119" s="1005"/>
      <c r="AM119" s="1005"/>
      <c r="AN119" s="1005"/>
      <c r="AO119" s="1005"/>
      <c r="AP119" s="1005"/>
      <c r="AQ119" s="1005"/>
      <c r="AR119" s="1005"/>
      <c r="AS119" s="1005"/>
      <c r="AT119" s="1005"/>
      <c r="AU119" s="1005"/>
      <c r="AV119" s="1005"/>
      <c r="AW119" s="1005"/>
      <c r="AX119" s="1005"/>
      <c r="AY119" s="1005"/>
      <c r="AZ119" s="1005"/>
      <c r="BA119" s="1005"/>
      <c r="BB119" s="1005"/>
      <c r="BC119" s="1005"/>
      <c r="BD119" s="1005"/>
      <c r="BE119" s="1005"/>
      <c r="BF119" s="1005"/>
      <c r="BG119" s="1005"/>
      <c r="BH119" s="1005"/>
      <c r="BI119" s="1005"/>
      <c r="BJ119" s="1005"/>
      <c r="BK119" s="1005"/>
      <c r="BL119" s="1005"/>
      <c r="BM119" s="1005"/>
      <c r="BN119" s="1005"/>
      <c r="BO119" s="1005"/>
      <c r="BP119" s="1005"/>
      <c r="BQ119" s="1005"/>
      <c r="BR119" s="1005"/>
      <c r="BS119" s="1005"/>
      <c r="BT119" s="1005"/>
      <c r="BU119" s="1005"/>
      <c r="BV119" s="1005"/>
      <c r="BW119" s="1005"/>
      <c r="BX119" s="1005"/>
      <c r="BY119" s="1005"/>
      <c r="BZ119" s="1005"/>
      <c r="CA119" s="1005"/>
      <c r="CB119" s="1005"/>
      <c r="CC119" s="1005"/>
      <c r="CD119" s="1005"/>
      <c r="CE119" s="1005"/>
      <c r="CF119" s="1005"/>
      <c r="CG119" s="1005"/>
      <c r="CH119" s="1005"/>
      <c r="CI119" s="1005"/>
      <c r="CJ119" s="1005"/>
      <c r="CK119" s="1005"/>
      <c r="CL119" s="1005"/>
      <c r="CM119" s="1005"/>
      <c r="CN119" s="1005"/>
      <c r="CO119" s="1005"/>
      <c r="CP119" s="1005"/>
      <c r="CQ119" s="1005"/>
      <c r="CR119" s="1005"/>
      <c r="CS119" s="1005"/>
      <c r="CT119" s="1005"/>
      <c r="CU119" s="1005"/>
      <c r="CV119" s="1005"/>
    </row>
    <row r="120" spans="1:100" s="1065" customFormat="1" outlineLevel="1" x14ac:dyDescent="0.2">
      <c r="A120" s="651"/>
      <c r="B120" s="562"/>
      <c r="C120" s="563"/>
      <c r="D120" s="314"/>
      <c r="E120" s="333" t="str">
        <f xml:space="preserve"> InpC!E$81</f>
        <v xml:space="preserve">Availability </v>
      </c>
      <c r="F120" s="333">
        <f xml:space="preserve"> InpC!F$81</f>
        <v>0.98</v>
      </c>
      <c r="G120" s="333" t="str">
        <f xml:space="preserve"> InpC!G$81</f>
        <v>%</v>
      </c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314"/>
      <c r="AO120" s="314"/>
      <c r="AP120" s="314"/>
      <c r="AQ120" s="314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314"/>
      <c r="BG120" s="314"/>
      <c r="BH120" s="314"/>
      <c r="BI120" s="314"/>
      <c r="BJ120" s="314"/>
      <c r="BK120" s="314"/>
      <c r="BL120" s="314"/>
      <c r="BM120" s="314"/>
      <c r="BN120" s="314"/>
      <c r="BO120" s="314"/>
      <c r="BP120" s="314"/>
      <c r="BQ120" s="314"/>
      <c r="BR120" s="314"/>
      <c r="BS120" s="314"/>
      <c r="BT120" s="314"/>
      <c r="BU120" s="314"/>
      <c r="BV120" s="314"/>
      <c r="BW120" s="314"/>
      <c r="BX120" s="314"/>
      <c r="BY120" s="314"/>
      <c r="BZ120" s="314"/>
      <c r="CA120" s="314"/>
      <c r="CB120" s="314"/>
      <c r="CC120" s="314"/>
      <c r="CD120" s="314"/>
      <c r="CE120" s="314"/>
      <c r="CF120" s="314"/>
      <c r="CG120" s="314"/>
      <c r="CH120" s="314"/>
      <c r="CI120" s="314"/>
      <c r="CJ120" s="314"/>
      <c r="CK120" s="314"/>
      <c r="CL120" s="314"/>
      <c r="CM120" s="314"/>
      <c r="CN120" s="314"/>
      <c r="CO120" s="314"/>
      <c r="CP120" s="314"/>
      <c r="CQ120" s="314"/>
      <c r="CR120" s="314"/>
      <c r="CS120" s="314"/>
      <c r="CT120" s="314"/>
      <c r="CU120" s="314"/>
      <c r="CV120" s="314"/>
    </row>
    <row r="121" spans="1:100" s="1001" customFormat="1" outlineLevel="1" x14ac:dyDescent="0.2">
      <c r="A121" s="1008"/>
      <c r="B121" s="997"/>
      <c r="C121" s="998"/>
      <c r="D121" s="999"/>
      <c r="E121" s="1028"/>
      <c r="F121" s="1005"/>
      <c r="G121" s="1005"/>
      <c r="H121" s="1005"/>
      <c r="I121" s="1005"/>
      <c r="J121" s="1005"/>
      <c r="K121" s="1005"/>
      <c r="L121" s="1005"/>
      <c r="M121" s="1005"/>
      <c r="N121" s="1005"/>
      <c r="O121" s="1005"/>
      <c r="P121" s="1005"/>
      <c r="Q121" s="1005"/>
      <c r="R121" s="1005"/>
      <c r="S121" s="1005"/>
      <c r="T121" s="1005"/>
      <c r="U121" s="1005"/>
      <c r="V121" s="1005"/>
      <c r="W121" s="1005"/>
      <c r="X121" s="1005"/>
      <c r="Y121" s="1005"/>
      <c r="Z121" s="1005"/>
      <c r="AA121" s="1005"/>
      <c r="AB121" s="1005"/>
      <c r="AC121" s="1005"/>
      <c r="AD121" s="1005"/>
      <c r="AE121" s="1005"/>
      <c r="AF121" s="1005"/>
      <c r="AG121" s="1005"/>
      <c r="AH121" s="1005"/>
      <c r="AI121" s="1005"/>
      <c r="AJ121" s="1005"/>
      <c r="AK121" s="1005"/>
      <c r="AL121" s="1005"/>
      <c r="AM121" s="1005"/>
      <c r="AN121" s="1005"/>
      <c r="AO121" s="1005"/>
      <c r="AP121" s="1005"/>
      <c r="AQ121" s="1005"/>
      <c r="AR121" s="1005"/>
      <c r="AS121" s="1005"/>
      <c r="AT121" s="1005"/>
      <c r="AU121" s="1005"/>
      <c r="AV121" s="1005"/>
      <c r="AW121" s="1005"/>
      <c r="AX121" s="1005"/>
      <c r="AY121" s="1005"/>
      <c r="AZ121" s="1005"/>
      <c r="BA121" s="1005"/>
      <c r="BB121" s="1005"/>
      <c r="BC121" s="1005"/>
      <c r="BD121" s="1005"/>
      <c r="BE121" s="1005"/>
      <c r="BF121" s="1005"/>
      <c r="BG121" s="1005"/>
      <c r="BH121" s="1005"/>
      <c r="BI121" s="1005"/>
      <c r="BJ121" s="1005"/>
      <c r="BK121" s="1005"/>
      <c r="BL121" s="1005"/>
      <c r="BM121" s="1005"/>
      <c r="BN121" s="1005"/>
      <c r="BO121" s="1005"/>
      <c r="BP121" s="1005"/>
      <c r="BQ121" s="1005"/>
      <c r="BR121" s="1005"/>
      <c r="BS121" s="1005"/>
      <c r="BT121" s="1005"/>
      <c r="BU121" s="1005"/>
      <c r="BV121" s="1005"/>
      <c r="BW121" s="1005"/>
      <c r="BX121" s="1005"/>
      <c r="BY121" s="1005"/>
      <c r="BZ121" s="1005"/>
      <c r="CA121" s="1005"/>
      <c r="CB121" s="1005"/>
      <c r="CC121" s="1005"/>
      <c r="CD121" s="1005"/>
      <c r="CE121" s="1005"/>
      <c r="CF121" s="1005"/>
      <c r="CG121" s="1005"/>
      <c r="CH121" s="1005"/>
      <c r="CI121" s="1005"/>
      <c r="CJ121" s="1005"/>
      <c r="CK121" s="1005"/>
      <c r="CL121" s="1005"/>
      <c r="CM121" s="1005"/>
      <c r="CN121" s="1005"/>
      <c r="CO121" s="1005"/>
      <c r="CP121" s="1005"/>
      <c r="CQ121" s="1005"/>
      <c r="CR121" s="1005"/>
      <c r="CS121" s="1005"/>
      <c r="CT121" s="1005"/>
      <c r="CU121" s="1005"/>
      <c r="CV121" s="1005"/>
    </row>
    <row r="122" spans="1:100" s="1001" customFormat="1" x14ac:dyDescent="0.2">
      <c r="A122" s="1008"/>
      <c r="B122" s="997"/>
      <c r="C122" s="998"/>
      <c r="D122" s="999"/>
      <c r="E122" s="1028"/>
      <c r="F122" s="1005"/>
      <c r="G122" s="1005"/>
      <c r="H122" s="1005"/>
      <c r="I122" s="1005"/>
      <c r="J122" s="1005"/>
      <c r="K122" s="1005"/>
      <c r="L122" s="1005"/>
      <c r="M122" s="1005"/>
      <c r="N122" s="1005"/>
      <c r="O122" s="1005"/>
      <c r="P122" s="1005"/>
      <c r="Q122" s="1005"/>
      <c r="R122" s="1005"/>
      <c r="S122" s="1005"/>
      <c r="T122" s="1005"/>
      <c r="U122" s="1005"/>
      <c r="V122" s="1005"/>
      <c r="W122" s="1005"/>
      <c r="X122" s="1005"/>
      <c r="Y122" s="1005"/>
      <c r="Z122" s="1005"/>
      <c r="AA122" s="1005"/>
      <c r="AB122" s="1005"/>
      <c r="AC122" s="1005"/>
      <c r="AD122" s="1005"/>
      <c r="AE122" s="1005"/>
      <c r="AF122" s="1005"/>
      <c r="AG122" s="1005"/>
      <c r="AH122" s="1005"/>
      <c r="AI122" s="1005"/>
      <c r="AJ122" s="1005"/>
      <c r="AK122" s="1005"/>
      <c r="AL122" s="1005"/>
      <c r="AM122" s="1005"/>
      <c r="AN122" s="1005"/>
      <c r="AO122" s="1005"/>
      <c r="AP122" s="1005"/>
      <c r="AQ122" s="1005"/>
      <c r="AR122" s="1005"/>
      <c r="AS122" s="1005"/>
      <c r="AT122" s="1005"/>
      <c r="AU122" s="1005"/>
      <c r="AV122" s="1005"/>
      <c r="AW122" s="1005"/>
      <c r="AX122" s="1005"/>
      <c r="AY122" s="1005"/>
      <c r="AZ122" s="1005"/>
      <c r="BA122" s="1005"/>
      <c r="BB122" s="1005"/>
      <c r="BC122" s="1005"/>
      <c r="BD122" s="1005"/>
      <c r="BE122" s="1005"/>
      <c r="BF122" s="1005"/>
      <c r="BG122" s="1005"/>
      <c r="BH122" s="1005"/>
      <c r="BI122" s="1005"/>
      <c r="BJ122" s="1005"/>
      <c r="BK122" s="1005"/>
      <c r="BL122" s="1005"/>
      <c r="BM122" s="1005"/>
      <c r="BN122" s="1005"/>
      <c r="BO122" s="1005"/>
      <c r="BP122" s="1005"/>
      <c r="BQ122" s="1005"/>
      <c r="BR122" s="1005"/>
      <c r="BS122" s="1005"/>
      <c r="BT122" s="1005"/>
      <c r="BU122" s="1005"/>
      <c r="BV122" s="1005"/>
      <c r="BW122" s="1005"/>
      <c r="BX122" s="1005"/>
      <c r="BY122" s="1005"/>
      <c r="BZ122" s="1005"/>
      <c r="CA122" s="1005"/>
      <c r="CB122" s="1005"/>
      <c r="CC122" s="1005"/>
      <c r="CD122" s="1005"/>
      <c r="CE122" s="1005"/>
      <c r="CF122" s="1005"/>
      <c r="CG122" s="1005"/>
      <c r="CH122" s="1005"/>
      <c r="CI122" s="1005"/>
      <c r="CJ122" s="1005"/>
      <c r="CK122" s="1005"/>
      <c r="CL122" s="1005"/>
      <c r="CM122" s="1005"/>
      <c r="CN122" s="1005"/>
      <c r="CO122" s="1005"/>
      <c r="CP122" s="1005"/>
      <c r="CQ122" s="1005"/>
      <c r="CR122" s="1005"/>
      <c r="CS122" s="1005"/>
      <c r="CT122" s="1005"/>
      <c r="CU122" s="1005"/>
      <c r="CV122" s="1005"/>
    </row>
    <row r="123" spans="1:100" s="1001" customFormat="1" x14ac:dyDescent="0.2">
      <c r="A123" s="1008" t="s">
        <v>804</v>
      </c>
      <c r="B123" s="997"/>
      <c r="C123" s="998"/>
      <c r="D123" s="999"/>
      <c r="E123" s="1005"/>
      <c r="I123" s="1005"/>
      <c r="J123" s="1005"/>
      <c r="K123" s="1005"/>
      <c r="L123" s="1005"/>
      <c r="M123" s="1005"/>
      <c r="N123" s="1005"/>
      <c r="O123" s="1005"/>
      <c r="P123" s="1005"/>
      <c r="Q123" s="1005"/>
      <c r="R123" s="1005"/>
      <c r="S123" s="1005"/>
      <c r="T123" s="1005"/>
      <c r="U123" s="1005"/>
      <c r="V123" s="1005"/>
      <c r="W123" s="1005"/>
      <c r="X123" s="1005"/>
      <c r="Y123" s="1005"/>
      <c r="Z123" s="1005"/>
      <c r="AA123" s="1005"/>
      <c r="AB123" s="1005"/>
      <c r="AC123" s="1005"/>
      <c r="AD123" s="1005"/>
      <c r="AE123" s="1005"/>
      <c r="AF123" s="1005"/>
      <c r="AG123" s="1005"/>
      <c r="AH123" s="1005"/>
      <c r="AI123" s="1005"/>
      <c r="AJ123" s="1005"/>
      <c r="AK123" s="1005"/>
      <c r="AL123" s="1005"/>
      <c r="AM123" s="1005"/>
      <c r="AN123" s="1005"/>
      <c r="AO123" s="1005"/>
      <c r="AP123" s="1005"/>
      <c r="AQ123" s="1005"/>
      <c r="AR123" s="1005"/>
      <c r="AS123" s="1005"/>
      <c r="AT123" s="1005"/>
      <c r="AU123" s="1005"/>
      <c r="AV123" s="1005"/>
      <c r="AW123" s="1005"/>
      <c r="AX123" s="1005"/>
      <c r="AY123" s="1005"/>
      <c r="AZ123" s="1005"/>
      <c r="BA123" s="1005"/>
      <c r="BB123" s="1005"/>
      <c r="BC123" s="1005"/>
      <c r="BD123" s="1005"/>
      <c r="BE123" s="1005"/>
      <c r="BF123" s="1005"/>
      <c r="BG123" s="1005"/>
      <c r="BH123" s="1005"/>
      <c r="BI123" s="1005"/>
      <c r="BJ123" s="1005"/>
      <c r="BK123" s="1005"/>
      <c r="BL123" s="1005"/>
      <c r="BM123" s="1005"/>
      <c r="BN123" s="1005"/>
      <c r="BO123" s="1005"/>
      <c r="BP123" s="1005"/>
      <c r="BQ123" s="1005"/>
      <c r="BR123" s="1005"/>
      <c r="BS123" s="1005"/>
      <c r="BT123" s="1005"/>
      <c r="BU123" s="1005"/>
      <c r="BV123" s="1005"/>
      <c r="BW123" s="1005"/>
      <c r="BX123" s="1005"/>
      <c r="BY123" s="1005"/>
      <c r="BZ123" s="1005"/>
      <c r="CA123" s="1005"/>
      <c r="CB123" s="1005"/>
      <c r="CC123" s="1005"/>
      <c r="CD123" s="1005"/>
      <c r="CE123" s="1005"/>
      <c r="CF123" s="1005"/>
      <c r="CG123" s="1005"/>
      <c r="CH123" s="1005"/>
      <c r="CI123" s="1005"/>
      <c r="CJ123" s="1005"/>
      <c r="CK123" s="1005"/>
      <c r="CL123" s="1005"/>
      <c r="CM123" s="1005"/>
      <c r="CN123" s="1005"/>
      <c r="CO123" s="1005"/>
      <c r="CP123" s="1005"/>
      <c r="CQ123" s="1005"/>
      <c r="CR123" s="1005"/>
      <c r="CS123" s="1005"/>
      <c r="CT123" s="1005"/>
      <c r="CU123" s="1005"/>
      <c r="CV123" s="1005"/>
    </row>
    <row r="124" spans="1:100" s="1001" customFormat="1" outlineLevel="1" x14ac:dyDescent="0.2">
      <c r="A124" s="1008"/>
      <c r="B124" s="997"/>
      <c r="C124" s="998"/>
      <c r="D124" s="999"/>
      <c r="E124" s="1005"/>
      <c r="F124" s="1046"/>
      <c r="H124" s="1046"/>
      <c r="I124" s="1005"/>
      <c r="J124" s="1005"/>
      <c r="K124" s="1005"/>
      <c r="L124" s="1005"/>
      <c r="M124" s="1005"/>
      <c r="N124" s="1005"/>
      <c r="O124" s="1005"/>
      <c r="P124" s="1005"/>
      <c r="Q124" s="1005"/>
      <c r="R124" s="1005"/>
      <c r="S124" s="1005"/>
      <c r="T124" s="1005"/>
      <c r="U124" s="1005"/>
      <c r="V124" s="1005"/>
      <c r="W124" s="1005"/>
      <c r="X124" s="1005"/>
      <c r="Y124" s="1005"/>
      <c r="Z124" s="1005"/>
      <c r="AA124" s="1005"/>
      <c r="AB124" s="1005"/>
      <c r="AC124" s="1005"/>
      <c r="AD124" s="1005"/>
      <c r="AE124" s="1005"/>
      <c r="AF124" s="1005"/>
      <c r="AG124" s="1005"/>
      <c r="AH124" s="1005"/>
      <c r="AI124" s="1005"/>
      <c r="AJ124" s="1005"/>
      <c r="AK124" s="1005"/>
      <c r="AL124" s="1005"/>
      <c r="AM124" s="1005"/>
      <c r="AN124" s="1005"/>
      <c r="AO124" s="1005"/>
      <c r="AP124" s="1005"/>
      <c r="AQ124" s="1005"/>
      <c r="AR124" s="1005"/>
      <c r="AS124" s="1005"/>
      <c r="AT124" s="1005"/>
      <c r="AU124" s="1005"/>
      <c r="AV124" s="1005"/>
      <c r="AW124" s="1005"/>
      <c r="AX124" s="1005"/>
      <c r="AY124" s="1005"/>
      <c r="AZ124" s="1005"/>
      <c r="BA124" s="1005"/>
      <c r="BB124" s="1005"/>
      <c r="BC124" s="1005"/>
      <c r="BD124" s="1005"/>
      <c r="BE124" s="1005"/>
      <c r="BF124" s="1005"/>
      <c r="BG124" s="1005"/>
      <c r="BH124" s="1005"/>
      <c r="BI124" s="1005"/>
      <c r="BJ124" s="1005"/>
      <c r="BK124" s="1005"/>
      <c r="BL124" s="1005"/>
      <c r="BM124" s="1005"/>
      <c r="BN124" s="1005"/>
      <c r="BO124" s="1005"/>
      <c r="BP124" s="1005"/>
      <c r="BQ124" s="1005"/>
      <c r="BR124" s="1005"/>
      <c r="BS124" s="1005"/>
      <c r="BT124" s="1005"/>
      <c r="BU124" s="1005"/>
      <c r="BV124" s="1005"/>
      <c r="BW124" s="1005"/>
      <c r="BX124" s="1005"/>
      <c r="BY124" s="1005"/>
      <c r="BZ124" s="1005"/>
      <c r="CA124" s="1005"/>
      <c r="CB124" s="1005"/>
      <c r="CC124" s="1005"/>
      <c r="CD124" s="1005"/>
      <c r="CE124" s="1005"/>
      <c r="CF124" s="1005"/>
      <c r="CG124" s="1005"/>
      <c r="CH124" s="1005"/>
      <c r="CI124" s="1005"/>
      <c r="CJ124" s="1005"/>
      <c r="CK124" s="1005"/>
      <c r="CL124" s="1005"/>
      <c r="CM124" s="1005"/>
      <c r="CN124" s="1005"/>
      <c r="CO124" s="1005"/>
      <c r="CP124" s="1005"/>
      <c r="CQ124" s="1005"/>
      <c r="CR124" s="1005"/>
      <c r="CS124" s="1005"/>
      <c r="CT124" s="1005"/>
      <c r="CU124" s="1005"/>
      <c r="CV124" s="1005"/>
    </row>
    <row r="125" spans="1:100" s="1001" customFormat="1" outlineLevel="1" x14ac:dyDescent="0.2">
      <c r="A125" s="1008"/>
      <c r="B125" s="997"/>
      <c r="C125" s="998"/>
      <c r="D125" s="999"/>
      <c r="E125" s="1027" t="s">
        <v>816</v>
      </c>
      <c r="F125" s="190">
        <f xml:space="preserve"> 'S&amp;U'!H9</f>
        <v>100</v>
      </c>
      <c r="G125" s="190">
        <f t="shared" ref="G125:G131" ca="1" si="31" xml:space="preserve"> F125 * FX</f>
        <v>500</v>
      </c>
      <c r="H125" s="1021">
        <f t="shared" ref="H125:H131" ca="1" si="32">F125 / $F$132</f>
        <v>2.2984999426465508E-4</v>
      </c>
      <c r="I125" s="1005"/>
      <c r="J125" s="1005"/>
      <c r="K125" s="1005"/>
      <c r="L125" s="1005"/>
      <c r="M125" s="1005"/>
      <c r="N125" s="1005"/>
      <c r="O125" s="1005"/>
      <c r="P125" s="1005"/>
      <c r="Q125" s="1005"/>
      <c r="R125" s="1005"/>
      <c r="S125" s="1005"/>
      <c r="T125" s="1005"/>
      <c r="U125" s="1005"/>
      <c r="V125" s="1005"/>
      <c r="W125" s="1005"/>
      <c r="X125" s="1005"/>
      <c r="Y125" s="1005"/>
      <c r="Z125" s="1005"/>
      <c r="AA125" s="1005"/>
      <c r="AB125" s="1005"/>
      <c r="AC125" s="1005"/>
      <c r="AD125" s="1005"/>
      <c r="AE125" s="1005"/>
      <c r="AF125" s="1005"/>
      <c r="AG125" s="1005"/>
      <c r="AH125" s="1005"/>
      <c r="AI125" s="1005"/>
      <c r="AJ125" s="1005"/>
      <c r="AK125" s="1005"/>
      <c r="AL125" s="1005"/>
      <c r="AM125" s="1005"/>
      <c r="AN125" s="1005"/>
      <c r="AO125" s="1005"/>
      <c r="AP125" s="1005"/>
      <c r="AQ125" s="1005"/>
      <c r="AR125" s="1005"/>
      <c r="AS125" s="1005"/>
      <c r="AT125" s="1005"/>
      <c r="AU125" s="1005"/>
      <c r="AV125" s="1005"/>
      <c r="AW125" s="1005"/>
      <c r="AX125" s="1005"/>
      <c r="AY125" s="1005"/>
      <c r="AZ125" s="1005"/>
      <c r="BA125" s="1005"/>
      <c r="BB125" s="1005"/>
      <c r="BC125" s="1005"/>
      <c r="BD125" s="1005"/>
      <c r="BE125" s="1005"/>
      <c r="BF125" s="1005"/>
      <c r="BG125" s="1005"/>
      <c r="BH125" s="1005"/>
      <c r="BI125" s="1005"/>
      <c r="BJ125" s="1005"/>
      <c r="BK125" s="1005"/>
      <c r="BL125" s="1005"/>
      <c r="BM125" s="1005"/>
      <c r="BN125" s="1005"/>
      <c r="BO125" s="1005"/>
      <c r="BP125" s="1005"/>
      <c r="BQ125" s="1005"/>
      <c r="BR125" s="1005"/>
      <c r="BS125" s="1005"/>
      <c r="BT125" s="1005"/>
      <c r="BU125" s="1005"/>
      <c r="BV125" s="1005"/>
      <c r="BW125" s="1005"/>
      <c r="BX125" s="1005"/>
      <c r="BY125" s="1005"/>
      <c r="BZ125" s="1005"/>
      <c r="CA125" s="1005"/>
      <c r="CB125" s="1005"/>
      <c r="CC125" s="1005"/>
      <c r="CD125" s="1005"/>
      <c r="CE125" s="1005"/>
      <c r="CF125" s="1005"/>
      <c r="CG125" s="1005"/>
      <c r="CH125" s="1005"/>
      <c r="CI125" s="1005"/>
      <c r="CJ125" s="1005"/>
      <c r="CK125" s="1005"/>
      <c r="CL125" s="1005"/>
      <c r="CM125" s="1005"/>
      <c r="CN125" s="1005"/>
      <c r="CO125" s="1005"/>
      <c r="CP125" s="1005"/>
      <c r="CQ125" s="1005"/>
      <c r="CR125" s="1005"/>
      <c r="CS125" s="1005"/>
      <c r="CT125" s="1005"/>
      <c r="CU125" s="1005"/>
      <c r="CV125" s="1005"/>
    </row>
    <row r="126" spans="1:100" s="1001" customFormat="1" outlineLevel="1" x14ac:dyDescent="0.2">
      <c r="A126" s="1008"/>
      <c r="B126" s="997"/>
      <c r="C126" s="998"/>
      <c r="D126" s="999"/>
      <c r="E126" s="1043" t="s">
        <v>342</v>
      </c>
      <c r="F126" s="190">
        <f xml:space="preserve"> 'S&amp;U'!H10</f>
        <v>86318.253106861201</v>
      </c>
      <c r="G126" s="190">
        <f t="shared" ca="1" si="31"/>
        <v>431591.265534306</v>
      </c>
      <c r="H126" s="1021">
        <f t="shared" ca="1" si="32"/>
        <v>0.19840249981547092</v>
      </c>
      <c r="I126" s="1005"/>
      <c r="J126" s="1005"/>
      <c r="K126" s="1005"/>
      <c r="L126" s="1005"/>
      <c r="M126" s="1005"/>
      <c r="N126" s="1005"/>
      <c r="O126" s="1005"/>
      <c r="P126" s="1005"/>
      <c r="Q126" s="1005"/>
      <c r="R126" s="1005"/>
      <c r="S126" s="1005"/>
      <c r="T126" s="1005"/>
      <c r="U126" s="1005"/>
      <c r="V126" s="1005"/>
      <c r="W126" s="1005"/>
      <c r="X126" s="1005"/>
      <c r="Y126" s="1005"/>
      <c r="Z126" s="1005"/>
      <c r="AA126" s="1005"/>
      <c r="AB126" s="1005"/>
      <c r="AC126" s="1005"/>
      <c r="AD126" s="1005"/>
      <c r="AE126" s="1005"/>
      <c r="AF126" s="1005"/>
      <c r="AG126" s="1005"/>
      <c r="AH126" s="1005"/>
      <c r="AI126" s="1005"/>
      <c r="AJ126" s="1005"/>
      <c r="AK126" s="1005"/>
      <c r="AL126" s="1005"/>
      <c r="AM126" s="1005"/>
      <c r="AN126" s="1005"/>
      <c r="AO126" s="1005"/>
      <c r="AP126" s="1005"/>
      <c r="AQ126" s="1005"/>
      <c r="AR126" s="1005"/>
      <c r="AS126" s="1005"/>
      <c r="AT126" s="1005"/>
      <c r="AU126" s="1005"/>
      <c r="AV126" s="1005"/>
      <c r="AW126" s="1005"/>
      <c r="AX126" s="1005"/>
      <c r="AY126" s="1005"/>
      <c r="AZ126" s="1005"/>
      <c r="BA126" s="1005"/>
      <c r="BB126" s="1005"/>
      <c r="BC126" s="1005"/>
      <c r="BD126" s="1005"/>
      <c r="BE126" s="1005"/>
      <c r="BF126" s="1005"/>
      <c r="BG126" s="1005"/>
      <c r="BH126" s="1005"/>
      <c r="BI126" s="1005"/>
      <c r="BJ126" s="1005"/>
      <c r="BK126" s="1005"/>
      <c r="BL126" s="1005"/>
      <c r="BM126" s="1005"/>
      <c r="BN126" s="1005"/>
      <c r="BO126" s="1005"/>
      <c r="BP126" s="1005"/>
      <c r="BQ126" s="1005"/>
      <c r="BR126" s="1005"/>
      <c r="BS126" s="1005"/>
      <c r="BT126" s="1005"/>
      <c r="BU126" s="1005"/>
      <c r="BV126" s="1005"/>
      <c r="BW126" s="1005"/>
      <c r="BX126" s="1005"/>
      <c r="BY126" s="1005"/>
      <c r="BZ126" s="1005"/>
      <c r="CA126" s="1005"/>
      <c r="CB126" s="1005"/>
      <c r="CC126" s="1005"/>
      <c r="CD126" s="1005"/>
      <c r="CE126" s="1005"/>
      <c r="CF126" s="1005"/>
      <c r="CG126" s="1005"/>
      <c r="CH126" s="1005"/>
      <c r="CI126" s="1005"/>
      <c r="CJ126" s="1005"/>
      <c r="CK126" s="1005"/>
      <c r="CL126" s="1005"/>
      <c r="CM126" s="1005"/>
      <c r="CN126" s="1005"/>
      <c r="CO126" s="1005"/>
      <c r="CP126" s="1005"/>
      <c r="CQ126" s="1005"/>
      <c r="CR126" s="1005"/>
      <c r="CS126" s="1005"/>
      <c r="CT126" s="1005"/>
      <c r="CU126" s="1005"/>
      <c r="CV126" s="1005"/>
    </row>
    <row r="127" spans="1:100" s="1001" customFormat="1" outlineLevel="1" x14ac:dyDescent="0.2">
      <c r="A127" s="1008"/>
      <c r="B127" s="997"/>
      <c r="C127" s="998"/>
      <c r="D127" s="999"/>
      <c r="E127" s="1043" t="s">
        <v>496</v>
      </c>
      <c r="F127" s="192">
        <f xml:space="preserve"> 'S&amp;U'!H11</f>
        <v>86318.253106861201</v>
      </c>
      <c r="G127" s="190">
        <f t="shared" ca="1" si="31"/>
        <v>431591.265534306</v>
      </c>
      <c r="H127" s="1021">
        <f t="shared" ca="1" si="32"/>
        <v>0.19840249981547092</v>
      </c>
      <c r="I127" s="1005"/>
      <c r="J127" s="1005"/>
      <c r="K127" s="1005"/>
      <c r="L127" s="1005"/>
      <c r="M127" s="1005"/>
      <c r="N127" s="1005"/>
      <c r="O127" s="1005"/>
      <c r="P127" s="1005"/>
      <c r="Q127" s="1005"/>
      <c r="R127" s="1005"/>
      <c r="S127" s="1005"/>
      <c r="T127" s="1005"/>
      <c r="U127" s="1005"/>
      <c r="V127" s="1005"/>
      <c r="W127" s="1005"/>
      <c r="X127" s="1005"/>
      <c r="Y127" s="1005"/>
      <c r="Z127" s="1005"/>
      <c r="AA127" s="1005"/>
      <c r="AB127" s="1005"/>
      <c r="AC127" s="1005"/>
      <c r="AD127" s="1005"/>
      <c r="AE127" s="1005"/>
      <c r="AF127" s="1005"/>
      <c r="AG127" s="1005"/>
      <c r="AH127" s="1005"/>
      <c r="AI127" s="1005"/>
      <c r="AJ127" s="1005"/>
      <c r="AK127" s="1005"/>
      <c r="AL127" s="1005"/>
      <c r="AM127" s="1005"/>
      <c r="AN127" s="1005"/>
      <c r="AO127" s="1005"/>
      <c r="AP127" s="1005"/>
      <c r="AQ127" s="1005"/>
      <c r="AR127" s="1005"/>
      <c r="AS127" s="1005"/>
      <c r="AT127" s="1005"/>
      <c r="AU127" s="1005"/>
      <c r="AV127" s="1005"/>
      <c r="AW127" s="1005"/>
      <c r="AX127" s="1005"/>
      <c r="AY127" s="1005"/>
      <c r="AZ127" s="1005"/>
      <c r="BA127" s="1005"/>
      <c r="BB127" s="1005"/>
      <c r="BC127" s="1005"/>
      <c r="BD127" s="1005"/>
      <c r="BE127" s="1005"/>
      <c r="BF127" s="1005"/>
      <c r="BG127" s="1005"/>
      <c r="BH127" s="1005"/>
      <c r="BI127" s="1005"/>
      <c r="BJ127" s="1005"/>
      <c r="BK127" s="1005"/>
      <c r="BL127" s="1005"/>
      <c r="BM127" s="1005"/>
      <c r="BN127" s="1005"/>
      <c r="BO127" s="1005"/>
      <c r="BP127" s="1005"/>
      <c r="BQ127" s="1005"/>
      <c r="BR127" s="1005"/>
      <c r="BS127" s="1005"/>
      <c r="BT127" s="1005"/>
      <c r="BU127" s="1005"/>
      <c r="BV127" s="1005"/>
      <c r="BW127" s="1005"/>
      <c r="BX127" s="1005"/>
      <c r="BY127" s="1005"/>
      <c r="BZ127" s="1005"/>
      <c r="CA127" s="1005"/>
      <c r="CB127" s="1005"/>
      <c r="CC127" s="1005"/>
      <c r="CD127" s="1005"/>
      <c r="CE127" s="1005"/>
      <c r="CF127" s="1005"/>
      <c r="CG127" s="1005"/>
      <c r="CH127" s="1005"/>
      <c r="CI127" s="1005"/>
      <c r="CJ127" s="1005"/>
      <c r="CK127" s="1005"/>
      <c r="CL127" s="1005"/>
      <c r="CM127" s="1005"/>
      <c r="CN127" s="1005"/>
      <c r="CO127" s="1005"/>
      <c r="CP127" s="1005"/>
      <c r="CQ127" s="1005"/>
      <c r="CR127" s="1005"/>
      <c r="CS127" s="1005"/>
      <c r="CT127" s="1005"/>
      <c r="CU127" s="1005"/>
      <c r="CV127" s="1005"/>
    </row>
    <row r="128" spans="1:100" s="1001" customFormat="1" outlineLevel="1" x14ac:dyDescent="0.2">
      <c r="A128" s="1008"/>
      <c r="B128" s="997"/>
      <c r="C128" s="998"/>
      <c r="D128" s="999"/>
      <c r="E128" s="1043" t="s">
        <v>805</v>
      </c>
      <c r="F128" s="192">
        <f xml:space="preserve"> 'S&amp;U'!H12</f>
        <v>0</v>
      </c>
      <c r="G128" s="190">
        <f t="shared" ca="1" si="31"/>
        <v>0</v>
      </c>
      <c r="H128" s="1021">
        <f t="shared" ca="1" si="32"/>
        <v>0</v>
      </c>
      <c r="I128" s="1005"/>
      <c r="J128" s="1005"/>
      <c r="K128" s="1005"/>
      <c r="L128" s="1005"/>
      <c r="M128" s="1005"/>
      <c r="N128" s="1005"/>
      <c r="O128" s="1005"/>
      <c r="P128" s="1005"/>
      <c r="Q128" s="1005"/>
      <c r="R128" s="1005"/>
      <c r="S128" s="1005"/>
      <c r="T128" s="1005"/>
      <c r="U128" s="1005"/>
      <c r="V128" s="1005"/>
      <c r="W128" s="1005"/>
      <c r="X128" s="1005"/>
      <c r="Y128" s="1005"/>
      <c r="Z128" s="1005"/>
      <c r="AA128" s="1005"/>
      <c r="AB128" s="1005"/>
      <c r="AC128" s="1005"/>
      <c r="AD128" s="1005"/>
      <c r="AE128" s="1005"/>
      <c r="AF128" s="1005"/>
      <c r="AG128" s="1005"/>
      <c r="AH128" s="1005"/>
      <c r="AI128" s="1005"/>
      <c r="AJ128" s="1005"/>
      <c r="AK128" s="1005"/>
      <c r="AL128" s="1005"/>
      <c r="AM128" s="1005"/>
      <c r="AN128" s="1005"/>
      <c r="AO128" s="1005"/>
      <c r="AP128" s="1005"/>
      <c r="AQ128" s="1005"/>
      <c r="AR128" s="1005"/>
      <c r="AS128" s="1005"/>
      <c r="AT128" s="1005"/>
      <c r="AU128" s="1005"/>
      <c r="AV128" s="1005"/>
      <c r="AW128" s="1005"/>
      <c r="AX128" s="1005"/>
      <c r="AY128" s="1005"/>
      <c r="AZ128" s="1005"/>
      <c r="BA128" s="1005"/>
      <c r="BB128" s="1005"/>
      <c r="BC128" s="1005"/>
      <c r="BD128" s="1005"/>
      <c r="BE128" s="1005"/>
      <c r="BF128" s="1005"/>
      <c r="BG128" s="1005"/>
      <c r="BH128" s="1005"/>
      <c r="BI128" s="1005"/>
      <c r="BJ128" s="1005"/>
      <c r="BK128" s="1005"/>
      <c r="BL128" s="1005"/>
      <c r="BM128" s="1005"/>
      <c r="BN128" s="1005"/>
      <c r="BO128" s="1005"/>
      <c r="BP128" s="1005"/>
      <c r="BQ128" s="1005"/>
      <c r="BR128" s="1005"/>
      <c r="BS128" s="1005"/>
      <c r="BT128" s="1005"/>
      <c r="BU128" s="1005"/>
      <c r="BV128" s="1005"/>
      <c r="BW128" s="1005"/>
      <c r="BX128" s="1005"/>
      <c r="BY128" s="1005"/>
      <c r="BZ128" s="1005"/>
      <c r="CA128" s="1005"/>
      <c r="CB128" s="1005"/>
      <c r="CC128" s="1005"/>
      <c r="CD128" s="1005"/>
      <c r="CE128" s="1005"/>
      <c r="CF128" s="1005"/>
      <c r="CG128" s="1005"/>
      <c r="CH128" s="1005"/>
      <c r="CI128" s="1005"/>
      <c r="CJ128" s="1005"/>
      <c r="CK128" s="1005"/>
      <c r="CL128" s="1005"/>
      <c r="CM128" s="1005"/>
      <c r="CN128" s="1005"/>
      <c r="CO128" s="1005"/>
      <c r="CP128" s="1005"/>
      <c r="CQ128" s="1005"/>
      <c r="CR128" s="1005"/>
      <c r="CS128" s="1005"/>
      <c r="CT128" s="1005"/>
      <c r="CU128" s="1005"/>
      <c r="CV128" s="1005"/>
    </row>
    <row r="129" spans="1:100" s="1001" customFormat="1" outlineLevel="1" x14ac:dyDescent="0.2">
      <c r="A129" s="1008"/>
      <c r="B129" s="997"/>
      <c r="C129" s="998"/>
      <c r="D129" s="999"/>
      <c r="E129" s="1043" t="s">
        <v>284</v>
      </c>
      <c r="F129" s="191">
        <f xml:space="preserve"> 'S&amp;U'!H13</f>
        <v>250389.85226030689</v>
      </c>
      <c r="G129" s="190">
        <f t="shared" ca="1" si="31"/>
        <v>1251949.2613015345</v>
      </c>
      <c r="H129" s="1021">
        <f t="shared" ca="1" si="32"/>
        <v>0.57552106105959366</v>
      </c>
      <c r="I129" s="1005"/>
      <c r="J129" s="1005"/>
      <c r="K129" s="1005"/>
      <c r="L129" s="1005"/>
      <c r="M129" s="1005"/>
      <c r="N129" s="1005"/>
      <c r="O129" s="1005"/>
      <c r="P129" s="1005"/>
      <c r="Q129" s="1005"/>
      <c r="R129" s="1005"/>
      <c r="S129" s="1005"/>
      <c r="T129" s="1005"/>
      <c r="U129" s="1005"/>
      <c r="V129" s="1005"/>
      <c r="W129" s="1005"/>
      <c r="X129" s="1005"/>
      <c r="Y129" s="1005"/>
      <c r="Z129" s="1005"/>
      <c r="AA129" s="1005"/>
      <c r="AB129" s="1005"/>
      <c r="AC129" s="1005"/>
      <c r="AD129" s="1005"/>
      <c r="AE129" s="1005"/>
      <c r="AF129" s="1005"/>
      <c r="AG129" s="1005"/>
      <c r="AH129" s="1005"/>
      <c r="AI129" s="1005"/>
      <c r="AJ129" s="1005"/>
      <c r="AK129" s="1005"/>
      <c r="AL129" s="1005"/>
      <c r="AM129" s="1005"/>
      <c r="AN129" s="1005"/>
      <c r="AO129" s="1005"/>
      <c r="AP129" s="1005"/>
      <c r="AQ129" s="1005"/>
      <c r="AR129" s="1005"/>
      <c r="AS129" s="1005"/>
      <c r="AT129" s="1005"/>
      <c r="AU129" s="1005"/>
      <c r="AV129" s="1005"/>
      <c r="AW129" s="1005"/>
      <c r="AX129" s="1005"/>
      <c r="AY129" s="1005"/>
      <c r="AZ129" s="1005"/>
      <c r="BA129" s="1005"/>
      <c r="BB129" s="1005"/>
      <c r="BC129" s="1005"/>
      <c r="BD129" s="1005"/>
      <c r="BE129" s="1005"/>
      <c r="BF129" s="1005"/>
      <c r="BG129" s="1005"/>
      <c r="BH129" s="1005"/>
      <c r="BI129" s="1005"/>
      <c r="BJ129" s="1005"/>
      <c r="BK129" s="1005"/>
      <c r="BL129" s="1005"/>
      <c r="BM129" s="1005"/>
      <c r="BN129" s="1005"/>
      <c r="BO129" s="1005"/>
      <c r="BP129" s="1005"/>
      <c r="BQ129" s="1005"/>
      <c r="BR129" s="1005"/>
      <c r="BS129" s="1005"/>
      <c r="BT129" s="1005"/>
      <c r="BU129" s="1005"/>
      <c r="BV129" s="1005"/>
      <c r="BW129" s="1005"/>
      <c r="BX129" s="1005"/>
      <c r="BY129" s="1005"/>
      <c r="BZ129" s="1005"/>
      <c r="CA129" s="1005"/>
      <c r="CB129" s="1005"/>
      <c r="CC129" s="1005"/>
      <c r="CD129" s="1005"/>
      <c r="CE129" s="1005"/>
      <c r="CF129" s="1005"/>
      <c r="CG129" s="1005"/>
      <c r="CH129" s="1005"/>
      <c r="CI129" s="1005"/>
      <c r="CJ129" s="1005"/>
      <c r="CK129" s="1005"/>
      <c r="CL129" s="1005"/>
      <c r="CM129" s="1005"/>
      <c r="CN129" s="1005"/>
      <c r="CO129" s="1005"/>
      <c r="CP129" s="1005"/>
      <c r="CQ129" s="1005"/>
      <c r="CR129" s="1005"/>
      <c r="CS129" s="1005"/>
      <c r="CT129" s="1005"/>
      <c r="CU129" s="1005"/>
      <c r="CV129" s="1005"/>
    </row>
    <row r="130" spans="1:100" s="1001" customFormat="1" outlineLevel="1" x14ac:dyDescent="0.2">
      <c r="A130" s="1008"/>
      <c r="B130" s="997"/>
      <c r="C130" s="998"/>
      <c r="D130" s="999"/>
      <c r="E130" s="1043" t="s">
        <v>433</v>
      </c>
      <c r="F130" s="191">
        <f xml:space="preserve"> 'S&amp;U'!H14</f>
        <v>0</v>
      </c>
      <c r="G130" s="190">
        <f t="shared" ca="1" si="31"/>
        <v>0</v>
      </c>
      <c r="H130" s="1021">
        <f t="shared" ca="1" si="32"/>
        <v>0</v>
      </c>
      <c r="I130" s="1005"/>
      <c r="J130" s="1005"/>
      <c r="K130" s="1005"/>
      <c r="L130" s="1005"/>
      <c r="M130" s="1005"/>
      <c r="N130" s="1005"/>
      <c r="O130" s="1005"/>
      <c r="P130" s="1005"/>
      <c r="Q130" s="1005"/>
      <c r="R130" s="1005"/>
      <c r="S130" s="1005"/>
      <c r="T130" s="1005"/>
      <c r="U130" s="1005"/>
      <c r="V130" s="1005"/>
      <c r="W130" s="1005"/>
      <c r="X130" s="1005"/>
      <c r="Y130" s="1005"/>
      <c r="Z130" s="1005"/>
      <c r="AA130" s="1005"/>
      <c r="AB130" s="1005"/>
      <c r="AC130" s="1005"/>
      <c r="AD130" s="1005"/>
      <c r="AE130" s="1005"/>
      <c r="AF130" s="1005"/>
      <c r="AG130" s="1005"/>
      <c r="AH130" s="1005"/>
      <c r="AI130" s="1005"/>
      <c r="AJ130" s="1005"/>
      <c r="AK130" s="1005"/>
      <c r="AL130" s="1005"/>
      <c r="AM130" s="1005"/>
      <c r="AN130" s="1005"/>
      <c r="AO130" s="1005"/>
      <c r="AP130" s="1005"/>
      <c r="AQ130" s="1005"/>
      <c r="AR130" s="1005"/>
      <c r="AS130" s="1005"/>
      <c r="AT130" s="1005"/>
      <c r="AU130" s="1005"/>
      <c r="AV130" s="1005"/>
      <c r="AW130" s="1005"/>
      <c r="AX130" s="1005"/>
      <c r="AY130" s="1005"/>
      <c r="AZ130" s="1005"/>
      <c r="BA130" s="1005"/>
      <c r="BB130" s="1005"/>
      <c r="BC130" s="1005"/>
      <c r="BD130" s="1005"/>
      <c r="BE130" s="1005"/>
      <c r="BF130" s="1005"/>
      <c r="BG130" s="1005"/>
      <c r="BH130" s="1005"/>
      <c r="BI130" s="1005"/>
      <c r="BJ130" s="1005"/>
      <c r="BK130" s="1005"/>
      <c r="BL130" s="1005"/>
      <c r="BM130" s="1005"/>
      <c r="BN130" s="1005"/>
      <c r="BO130" s="1005"/>
      <c r="BP130" s="1005"/>
      <c r="BQ130" s="1005"/>
      <c r="BR130" s="1005"/>
      <c r="BS130" s="1005"/>
      <c r="BT130" s="1005"/>
      <c r="BU130" s="1005"/>
      <c r="BV130" s="1005"/>
      <c r="BW130" s="1005"/>
      <c r="BX130" s="1005"/>
      <c r="BY130" s="1005"/>
      <c r="BZ130" s="1005"/>
      <c r="CA130" s="1005"/>
      <c r="CB130" s="1005"/>
      <c r="CC130" s="1005"/>
      <c r="CD130" s="1005"/>
      <c r="CE130" s="1005"/>
      <c r="CF130" s="1005"/>
      <c r="CG130" s="1005"/>
      <c r="CH130" s="1005"/>
      <c r="CI130" s="1005"/>
      <c r="CJ130" s="1005"/>
      <c r="CK130" s="1005"/>
      <c r="CL130" s="1005"/>
      <c r="CM130" s="1005"/>
      <c r="CN130" s="1005"/>
      <c r="CO130" s="1005"/>
      <c r="CP130" s="1005"/>
      <c r="CQ130" s="1005"/>
      <c r="CR130" s="1005"/>
      <c r="CS130" s="1005"/>
      <c r="CT130" s="1005"/>
      <c r="CU130" s="1005"/>
      <c r="CV130" s="1005"/>
    </row>
    <row r="131" spans="1:100" s="1001" customFormat="1" outlineLevel="1" x14ac:dyDescent="0.2">
      <c r="A131" s="1008"/>
      <c r="B131" s="997"/>
      <c r="C131" s="998"/>
      <c r="D131" s="999"/>
      <c r="E131" s="1040" t="s">
        <v>763</v>
      </c>
      <c r="F131" s="192">
        <f xml:space="preserve"> 'S&amp;U'!H15</f>
        <v>11940</v>
      </c>
      <c r="G131" s="190">
        <f t="shared" ca="1" si="31"/>
        <v>59700</v>
      </c>
      <c r="H131" s="1021">
        <f t="shared" ca="1" si="32"/>
        <v>2.7444089315199816E-2</v>
      </c>
      <c r="I131" s="1005"/>
      <c r="J131" s="1005"/>
      <c r="K131" s="1005"/>
      <c r="L131" s="1005"/>
      <c r="M131" s="1005"/>
      <c r="N131" s="1005"/>
      <c r="O131" s="1005"/>
      <c r="P131" s="1005"/>
      <c r="Q131" s="1005"/>
      <c r="R131" s="1005"/>
      <c r="S131" s="1005"/>
      <c r="T131" s="1005"/>
      <c r="U131" s="1005"/>
      <c r="V131" s="1005"/>
      <c r="W131" s="1005"/>
      <c r="X131" s="1005"/>
      <c r="Y131" s="1005"/>
      <c r="Z131" s="1005"/>
      <c r="AA131" s="1005"/>
      <c r="AB131" s="1005"/>
      <c r="AC131" s="1005"/>
      <c r="AD131" s="1005"/>
      <c r="AE131" s="1005"/>
      <c r="AF131" s="1005"/>
      <c r="AG131" s="1005"/>
      <c r="AH131" s="1005"/>
      <c r="AI131" s="1005"/>
      <c r="AJ131" s="1005"/>
      <c r="AK131" s="1005"/>
      <c r="AL131" s="1005"/>
      <c r="AM131" s="1005"/>
      <c r="AN131" s="1005"/>
      <c r="AO131" s="1005"/>
      <c r="AP131" s="1005"/>
      <c r="AQ131" s="1005"/>
      <c r="AR131" s="1005"/>
      <c r="AS131" s="1005"/>
      <c r="AT131" s="1005"/>
      <c r="AU131" s="1005"/>
      <c r="AV131" s="1005"/>
      <c r="AW131" s="1005"/>
      <c r="AX131" s="1005"/>
      <c r="AY131" s="1005"/>
      <c r="AZ131" s="1005"/>
      <c r="BA131" s="1005"/>
      <c r="BB131" s="1005"/>
      <c r="BC131" s="1005"/>
      <c r="BD131" s="1005"/>
      <c r="BE131" s="1005"/>
      <c r="BF131" s="1005"/>
      <c r="BG131" s="1005"/>
      <c r="BH131" s="1005"/>
      <c r="BI131" s="1005"/>
      <c r="BJ131" s="1005"/>
      <c r="BK131" s="1005"/>
      <c r="BL131" s="1005"/>
      <c r="BM131" s="1005"/>
      <c r="BN131" s="1005"/>
      <c r="BO131" s="1005"/>
      <c r="BP131" s="1005"/>
      <c r="BQ131" s="1005"/>
      <c r="BR131" s="1005"/>
      <c r="BS131" s="1005"/>
      <c r="BT131" s="1005"/>
      <c r="BU131" s="1005"/>
      <c r="BV131" s="1005"/>
      <c r="BW131" s="1005"/>
      <c r="BX131" s="1005"/>
      <c r="BY131" s="1005"/>
      <c r="BZ131" s="1005"/>
      <c r="CA131" s="1005"/>
      <c r="CB131" s="1005"/>
      <c r="CC131" s="1005"/>
      <c r="CD131" s="1005"/>
      <c r="CE131" s="1005"/>
      <c r="CF131" s="1005"/>
      <c r="CG131" s="1005"/>
      <c r="CH131" s="1005"/>
      <c r="CI131" s="1005"/>
      <c r="CJ131" s="1005"/>
      <c r="CK131" s="1005"/>
      <c r="CL131" s="1005"/>
      <c r="CM131" s="1005"/>
      <c r="CN131" s="1005"/>
      <c r="CO131" s="1005"/>
      <c r="CP131" s="1005"/>
      <c r="CQ131" s="1005"/>
      <c r="CR131" s="1005"/>
      <c r="CS131" s="1005"/>
      <c r="CT131" s="1005"/>
      <c r="CU131" s="1005"/>
      <c r="CV131" s="1005"/>
    </row>
    <row r="132" spans="1:100" s="1001" customFormat="1" outlineLevel="1" x14ac:dyDescent="0.2">
      <c r="A132" s="1008"/>
      <c r="B132" s="997"/>
      <c r="C132" s="998"/>
      <c r="D132" s="999"/>
      <c r="E132" s="1047" t="s">
        <v>778</v>
      </c>
      <c r="F132" s="1047">
        <f ca="1">SUM(F125:F131)</f>
        <v>435066.35847402929</v>
      </c>
      <c r="G132" s="1047">
        <f ca="1">SUM(G125:G131)</f>
        <v>2175331.7923701466</v>
      </c>
      <c r="H132" s="1048">
        <f ca="1">SUM(H125:H131)</f>
        <v>1</v>
      </c>
      <c r="I132" s="1005"/>
      <c r="J132" s="1005"/>
      <c r="K132" s="1005"/>
      <c r="L132" s="1005"/>
      <c r="M132" s="1005"/>
      <c r="N132" s="1005"/>
      <c r="O132" s="1005"/>
      <c r="P132" s="1005"/>
      <c r="Q132" s="1005"/>
      <c r="R132" s="1005"/>
      <c r="S132" s="1005"/>
      <c r="T132" s="1005"/>
      <c r="U132" s="1005"/>
      <c r="V132" s="1005"/>
      <c r="W132" s="1005"/>
      <c r="X132" s="1005"/>
      <c r="Y132" s="1005"/>
      <c r="Z132" s="1005"/>
      <c r="AA132" s="1005"/>
      <c r="AB132" s="1005"/>
      <c r="AC132" s="1005"/>
      <c r="AD132" s="1005"/>
      <c r="AE132" s="1005"/>
      <c r="AF132" s="1005"/>
      <c r="AG132" s="1005"/>
      <c r="AH132" s="1005"/>
      <c r="AI132" s="1005"/>
      <c r="AJ132" s="1005"/>
      <c r="AK132" s="1005"/>
      <c r="AL132" s="1005"/>
      <c r="AM132" s="1005"/>
      <c r="AN132" s="1005"/>
      <c r="AO132" s="1005"/>
      <c r="AP132" s="1005"/>
      <c r="AQ132" s="1005"/>
      <c r="AR132" s="1005"/>
      <c r="AS132" s="1005"/>
      <c r="AT132" s="1005"/>
      <c r="AU132" s="1005"/>
      <c r="AV132" s="1005"/>
      <c r="AW132" s="1005"/>
      <c r="AX132" s="1005"/>
      <c r="AY132" s="1005"/>
      <c r="AZ132" s="1005"/>
      <c r="BA132" s="1005"/>
      <c r="BB132" s="1005"/>
      <c r="BC132" s="1005"/>
      <c r="BD132" s="1005"/>
      <c r="BE132" s="1005"/>
      <c r="BF132" s="1005"/>
      <c r="BG132" s="1005"/>
      <c r="BH132" s="1005"/>
      <c r="BI132" s="1005"/>
      <c r="BJ132" s="1005"/>
      <c r="BK132" s="1005"/>
      <c r="BL132" s="1005"/>
      <c r="BM132" s="1005"/>
      <c r="BN132" s="1005"/>
      <c r="BO132" s="1005"/>
      <c r="BP132" s="1005"/>
      <c r="BQ132" s="1005"/>
      <c r="BR132" s="1005"/>
      <c r="BS132" s="1005"/>
      <c r="BT132" s="1005"/>
      <c r="BU132" s="1005"/>
      <c r="BV132" s="1005"/>
      <c r="BW132" s="1005"/>
      <c r="BX132" s="1005"/>
      <c r="BY132" s="1005"/>
      <c r="BZ132" s="1005"/>
      <c r="CA132" s="1005"/>
      <c r="CB132" s="1005"/>
      <c r="CC132" s="1005"/>
      <c r="CD132" s="1005"/>
      <c r="CE132" s="1005"/>
      <c r="CF132" s="1005"/>
      <c r="CG132" s="1005"/>
      <c r="CH132" s="1005"/>
      <c r="CI132" s="1005"/>
      <c r="CJ132" s="1005"/>
      <c r="CK132" s="1005"/>
      <c r="CL132" s="1005"/>
      <c r="CM132" s="1005"/>
      <c r="CN132" s="1005"/>
      <c r="CO132" s="1005"/>
      <c r="CP132" s="1005"/>
      <c r="CQ132" s="1005"/>
      <c r="CR132" s="1005"/>
      <c r="CS132" s="1005"/>
      <c r="CT132" s="1005"/>
      <c r="CU132" s="1005"/>
      <c r="CV132" s="1005"/>
    </row>
    <row r="133" spans="1:100" s="1001" customFormat="1" outlineLevel="1" x14ac:dyDescent="0.2">
      <c r="A133" s="1008"/>
      <c r="B133" s="997"/>
      <c r="C133" s="998"/>
      <c r="D133" s="999"/>
      <c r="E133" s="1005"/>
      <c r="F133" s="1005"/>
      <c r="G133" s="1005"/>
      <c r="H133" s="1005"/>
      <c r="I133" s="1005"/>
      <c r="J133" s="1005"/>
      <c r="K133" s="1005"/>
      <c r="L133" s="1005"/>
      <c r="M133" s="1005"/>
      <c r="N133" s="1005"/>
      <c r="O133" s="1005"/>
      <c r="P133" s="1005"/>
      <c r="Q133" s="1005"/>
      <c r="R133" s="1005"/>
      <c r="S133" s="1005"/>
      <c r="T133" s="1005"/>
      <c r="U133" s="1005"/>
      <c r="V133" s="1005"/>
      <c r="W133" s="1005"/>
      <c r="X133" s="1005"/>
      <c r="Y133" s="1005"/>
      <c r="Z133" s="1005"/>
      <c r="AA133" s="1005"/>
      <c r="AB133" s="1005"/>
      <c r="AC133" s="1005"/>
      <c r="AD133" s="1005"/>
      <c r="AE133" s="1005"/>
      <c r="AF133" s="1005"/>
      <c r="AG133" s="1005"/>
      <c r="AH133" s="1005"/>
      <c r="AI133" s="1005"/>
      <c r="AJ133" s="1005"/>
      <c r="AK133" s="1005"/>
      <c r="AL133" s="1005"/>
      <c r="AM133" s="1005"/>
      <c r="AN133" s="1005"/>
      <c r="AO133" s="1005"/>
      <c r="AP133" s="1005"/>
      <c r="AQ133" s="1005"/>
      <c r="AR133" s="1005"/>
      <c r="AS133" s="1005"/>
      <c r="AT133" s="1005"/>
      <c r="AU133" s="1005"/>
      <c r="AV133" s="1005"/>
      <c r="AW133" s="1005"/>
      <c r="AX133" s="1005"/>
      <c r="AY133" s="1005"/>
      <c r="AZ133" s="1005"/>
      <c r="BA133" s="1005"/>
      <c r="BB133" s="1005"/>
      <c r="BC133" s="1005"/>
      <c r="BD133" s="1005"/>
      <c r="BE133" s="1005"/>
      <c r="BF133" s="1005"/>
      <c r="BG133" s="1005"/>
      <c r="BH133" s="1005"/>
      <c r="BI133" s="1005"/>
      <c r="BJ133" s="1005"/>
      <c r="BK133" s="1005"/>
      <c r="BL133" s="1005"/>
      <c r="BM133" s="1005"/>
      <c r="BN133" s="1005"/>
      <c r="BO133" s="1005"/>
      <c r="BP133" s="1005"/>
      <c r="BQ133" s="1005"/>
      <c r="BR133" s="1005"/>
      <c r="BS133" s="1005"/>
      <c r="BT133" s="1005"/>
      <c r="BU133" s="1005"/>
      <c r="BV133" s="1005"/>
      <c r="BW133" s="1005"/>
      <c r="BX133" s="1005"/>
      <c r="BY133" s="1005"/>
      <c r="BZ133" s="1005"/>
      <c r="CA133" s="1005"/>
      <c r="CB133" s="1005"/>
      <c r="CC133" s="1005"/>
      <c r="CD133" s="1005"/>
      <c r="CE133" s="1005"/>
      <c r="CF133" s="1005"/>
      <c r="CG133" s="1005"/>
      <c r="CH133" s="1005"/>
      <c r="CI133" s="1005"/>
      <c r="CJ133" s="1005"/>
      <c r="CK133" s="1005"/>
      <c r="CL133" s="1005"/>
      <c r="CM133" s="1005"/>
      <c r="CN133" s="1005"/>
      <c r="CO133" s="1005"/>
      <c r="CP133" s="1005"/>
      <c r="CQ133" s="1005"/>
      <c r="CR133" s="1005"/>
      <c r="CS133" s="1005"/>
      <c r="CT133" s="1005"/>
      <c r="CU133" s="1005"/>
      <c r="CV133" s="1005"/>
    </row>
    <row r="134" spans="1:100" s="1001" customFormat="1" x14ac:dyDescent="0.2">
      <c r="A134" s="1008"/>
      <c r="B134" s="997"/>
      <c r="C134" s="998"/>
      <c r="D134" s="999"/>
      <c r="E134" s="1005"/>
      <c r="F134" s="1005"/>
      <c r="G134" s="1005"/>
      <c r="H134" s="1005"/>
      <c r="I134" s="1005"/>
      <c r="J134" s="1005"/>
      <c r="K134" s="1005"/>
      <c r="L134" s="1005"/>
      <c r="M134" s="1005"/>
      <c r="N134" s="1005"/>
      <c r="O134" s="1005"/>
      <c r="P134" s="1005"/>
      <c r="Q134" s="1005"/>
      <c r="R134" s="1005"/>
      <c r="S134" s="1005"/>
      <c r="T134" s="1005"/>
      <c r="U134" s="1005"/>
      <c r="V134" s="1005"/>
      <c r="W134" s="1005"/>
      <c r="X134" s="1005"/>
      <c r="Y134" s="1005"/>
      <c r="Z134" s="1005"/>
      <c r="AA134" s="1005"/>
      <c r="AB134" s="1005"/>
      <c r="AC134" s="1005"/>
      <c r="AD134" s="1005"/>
      <c r="AE134" s="1005"/>
      <c r="AF134" s="1005"/>
      <c r="AG134" s="1005"/>
      <c r="AH134" s="1005"/>
      <c r="AI134" s="1005"/>
      <c r="AJ134" s="1005"/>
      <c r="AK134" s="1005"/>
      <c r="AL134" s="1005"/>
      <c r="AM134" s="1005"/>
      <c r="AN134" s="1005"/>
      <c r="AO134" s="1005"/>
      <c r="AP134" s="1005"/>
      <c r="AQ134" s="1005"/>
      <c r="AR134" s="1005"/>
      <c r="AS134" s="1005"/>
      <c r="AT134" s="1005"/>
      <c r="AU134" s="1005"/>
      <c r="AV134" s="1005"/>
      <c r="AW134" s="1005"/>
      <c r="AX134" s="1005"/>
      <c r="AY134" s="1005"/>
      <c r="AZ134" s="1005"/>
      <c r="BA134" s="1005"/>
      <c r="BB134" s="1005"/>
      <c r="BC134" s="1005"/>
      <c r="BD134" s="1005"/>
      <c r="BE134" s="1005"/>
      <c r="BF134" s="1005"/>
      <c r="BG134" s="1005"/>
      <c r="BH134" s="1005"/>
      <c r="BI134" s="1005"/>
      <c r="BJ134" s="1005"/>
      <c r="BK134" s="1005"/>
      <c r="BL134" s="1005"/>
      <c r="BM134" s="1005"/>
      <c r="BN134" s="1005"/>
      <c r="BO134" s="1005"/>
      <c r="BP134" s="1005"/>
      <c r="BQ134" s="1005"/>
      <c r="BR134" s="1005"/>
      <c r="BS134" s="1005"/>
      <c r="BT134" s="1005"/>
      <c r="BU134" s="1005"/>
      <c r="BV134" s="1005"/>
      <c r="BW134" s="1005"/>
      <c r="BX134" s="1005"/>
      <c r="BY134" s="1005"/>
      <c r="BZ134" s="1005"/>
      <c r="CA134" s="1005"/>
      <c r="CB134" s="1005"/>
      <c r="CC134" s="1005"/>
      <c r="CD134" s="1005"/>
      <c r="CE134" s="1005"/>
      <c r="CF134" s="1005"/>
      <c r="CG134" s="1005"/>
      <c r="CH134" s="1005"/>
      <c r="CI134" s="1005"/>
      <c r="CJ134" s="1005"/>
      <c r="CK134" s="1005"/>
      <c r="CL134" s="1005"/>
      <c r="CM134" s="1005"/>
      <c r="CN134" s="1005"/>
      <c r="CO134" s="1005"/>
      <c r="CP134" s="1005"/>
      <c r="CQ134" s="1005"/>
      <c r="CR134" s="1005"/>
      <c r="CS134" s="1005"/>
      <c r="CT134" s="1005"/>
      <c r="CU134" s="1005"/>
      <c r="CV134" s="1005"/>
    </row>
    <row r="135" spans="1:100" s="1001" customFormat="1" x14ac:dyDescent="0.2">
      <c r="A135" s="1008" t="s">
        <v>806</v>
      </c>
      <c r="B135" s="997"/>
      <c r="C135" s="998"/>
      <c r="D135" s="999"/>
      <c r="E135" s="1005"/>
      <c r="I135" s="1005"/>
      <c r="J135" s="1005"/>
      <c r="K135" s="1005"/>
      <c r="L135" s="1005"/>
      <c r="M135" s="1005"/>
      <c r="N135" s="1005"/>
      <c r="O135" s="1005"/>
      <c r="P135" s="1005"/>
      <c r="Q135" s="1005"/>
      <c r="R135" s="1005"/>
      <c r="S135" s="1005"/>
      <c r="T135" s="1005"/>
      <c r="U135" s="1005"/>
      <c r="V135" s="1005"/>
      <c r="W135" s="1005"/>
      <c r="X135" s="1005"/>
      <c r="Y135" s="1005"/>
      <c r="Z135" s="1005"/>
      <c r="AA135" s="1005"/>
      <c r="AB135" s="1005"/>
      <c r="AC135" s="1005"/>
      <c r="AD135" s="1005"/>
      <c r="AE135" s="1005"/>
      <c r="AF135" s="1005"/>
      <c r="AG135" s="1005"/>
      <c r="AH135" s="1005"/>
      <c r="AI135" s="1005"/>
      <c r="AJ135" s="1005"/>
      <c r="AK135" s="1005"/>
      <c r="AL135" s="1005"/>
      <c r="AM135" s="1005"/>
      <c r="AN135" s="1005"/>
      <c r="AO135" s="1005"/>
      <c r="AP135" s="1005"/>
      <c r="AQ135" s="1005"/>
      <c r="AR135" s="1005"/>
      <c r="AS135" s="1005"/>
      <c r="AT135" s="1005"/>
      <c r="AU135" s="1005"/>
      <c r="AV135" s="1005"/>
      <c r="AW135" s="1005"/>
      <c r="AX135" s="1005"/>
      <c r="AY135" s="1005"/>
      <c r="AZ135" s="1005"/>
      <c r="BA135" s="1005"/>
      <c r="BB135" s="1005"/>
      <c r="BC135" s="1005"/>
      <c r="BD135" s="1005"/>
      <c r="BE135" s="1005"/>
      <c r="BF135" s="1005"/>
      <c r="BG135" s="1005"/>
      <c r="BH135" s="1005"/>
      <c r="BI135" s="1005"/>
      <c r="BJ135" s="1005"/>
      <c r="BK135" s="1005"/>
      <c r="BL135" s="1005"/>
      <c r="BM135" s="1005"/>
      <c r="BN135" s="1005"/>
      <c r="BO135" s="1005"/>
      <c r="BP135" s="1005"/>
      <c r="BQ135" s="1005"/>
      <c r="BR135" s="1005"/>
      <c r="BS135" s="1005"/>
      <c r="BT135" s="1005"/>
      <c r="BU135" s="1005"/>
      <c r="BV135" s="1005"/>
      <c r="BW135" s="1005"/>
      <c r="BX135" s="1005"/>
      <c r="BY135" s="1005"/>
      <c r="BZ135" s="1005"/>
      <c r="CA135" s="1005"/>
      <c r="CB135" s="1005"/>
      <c r="CC135" s="1005"/>
      <c r="CD135" s="1005"/>
      <c r="CE135" s="1005"/>
      <c r="CF135" s="1005"/>
      <c r="CG135" s="1005"/>
      <c r="CH135" s="1005"/>
      <c r="CI135" s="1005"/>
      <c r="CJ135" s="1005"/>
      <c r="CK135" s="1005"/>
      <c r="CL135" s="1005"/>
      <c r="CM135" s="1005"/>
      <c r="CN135" s="1005"/>
      <c r="CO135" s="1005"/>
      <c r="CP135" s="1005"/>
      <c r="CQ135" s="1005"/>
      <c r="CR135" s="1005"/>
      <c r="CS135" s="1005"/>
      <c r="CT135" s="1005"/>
      <c r="CU135" s="1005"/>
      <c r="CV135" s="1005"/>
    </row>
    <row r="136" spans="1:100" s="1001" customFormat="1" outlineLevel="1" x14ac:dyDescent="0.2">
      <c r="A136" s="1008"/>
      <c r="B136" s="997"/>
      <c r="C136" s="998"/>
      <c r="D136" s="999"/>
      <c r="E136" s="1005"/>
      <c r="F136" s="1046"/>
      <c r="H136" s="1046"/>
      <c r="I136" s="1005"/>
      <c r="J136" s="1005"/>
      <c r="K136" s="1005"/>
      <c r="L136" s="1005"/>
      <c r="M136" s="1005"/>
      <c r="N136" s="1005"/>
      <c r="O136" s="1005"/>
      <c r="P136" s="1005"/>
      <c r="Q136" s="1005"/>
      <c r="R136" s="1005"/>
      <c r="S136" s="1005"/>
      <c r="T136" s="1005"/>
      <c r="U136" s="1005"/>
      <c r="V136" s="1005"/>
      <c r="W136" s="1005"/>
      <c r="X136" s="1005"/>
      <c r="Y136" s="1005"/>
      <c r="Z136" s="1005"/>
      <c r="AA136" s="1005"/>
      <c r="AB136" s="1005"/>
      <c r="AC136" s="1005"/>
      <c r="AD136" s="1005"/>
      <c r="AE136" s="1005"/>
      <c r="AF136" s="1005"/>
      <c r="AG136" s="1005"/>
      <c r="AH136" s="1005"/>
      <c r="AI136" s="1005"/>
      <c r="AJ136" s="1005"/>
      <c r="AK136" s="1005"/>
      <c r="AL136" s="1005"/>
      <c r="AM136" s="1005"/>
      <c r="AN136" s="1005"/>
      <c r="AO136" s="1005"/>
      <c r="AP136" s="1005"/>
      <c r="AQ136" s="1005"/>
      <c r="AR136" s="1005"/>
      <c r="AS136" s="1005"/>
      <c r="AT136" s="1005"/>
      <c r="AU136" s="1005"/>
      <c r="AV136" s="1005"/>
      <c r="AW136" s="1005"/>
      <c r="AX136" s="1005"/>
      <c r="AY136" s="1005"/>
      <c r="AZ136" s="1005"/>
      <c r="BA136" s="1005"/>
      <c r="BB136" s="1005"/>
      <c r="BC136" s="1005"/>
      <c r="BD136" s="1005"/>
      <c r="BE136" s="1005"/>
      <c r="BF136" s="1005"/>
      <c r="BG136" s="1005"/>
      <c r="BH136" s="1005"/>
      <c r="BI136" s="1005"/>
      <c r="BJ136" s="1005"/>
      <c r="BK136" s="1005"/>
      <c r="BL136" s="1005"/>
      <c r="BM136" s="1005"/>
      <c r="BN136" s="1005"/>
      <c r="BO136" s="1005"/>
      <c r="BP136" s="1005"/>
      <c r="BQ136" s="1005"/>
      <c r="BR136" s="1005"/>
      <c r="BS136" s="1005"/>
      <c r="BT136" s="1005"/>
      <c r="BU136" s="1005"/>
      <c r="BV136" s="1005"/>
      <c r="BW136" s="1005"/>
      <c r="BX136" s="1005"/>
      <c r="BY136" s="1005"/>
      <c r="BZ136" s="1005"/>
      <c r="CA136" s="1005"/>
      <c r="CB136" s="1005"/>
      <c r="CC136" s="1005"/>
      <c r="CD136" s="1005"/>
      <c r="CE136" s="1005"/>
      <c r="CF136" s="1005"/>
      <c r="CG136" s="1005"/>
      <c r="CH136" s="1005"/>
      <c r="CI136" s="1005"/>
      <c r="CJ136" s="1005"/>
      <c r="CK136" s="1005"/>
      <c r="CL136" s="1005"/>
      <c r="CM136" s="1005"/>
      <c r="CN136" s="1005"/>
      <c r="CO136" s="1005"/>
      <c r="CP136" s="1005"/>
      <c r="CQ136" s="1005"/>
      <c r="CR136" s="1005"/>
      <c r="CS136" s="1005"/>
      <c r="CT136" s="1005"/>
      <c r="CU136" s="1005"/>
      <c r="CV136" s="1005"/>
    </row>
    <row r="137" spans="1:100" s="1001" customFormat="1" outlineLevel="1" x14ac:dyDescent="0.2">
      <c r="A137" s="1008"/>
      <c r="B137" s="997"/>
      <c r="C137" s="998"/>
      <c r="D137" s="999"/>
      <c r="E137" s="1005"/>
      <c r="F137" s="1046" t="s">
        <v>817</v>
      </c>
      <c r="G137" s="1046" t="s">
        <v>830</v>
      </c>
      <c r="H137" s="1046" t="s">
        <v>103</v>
      </c>
      <c r="I137" s="1005"/>
      <c r="J137" s="1005"/>
      <c r="K137" s="1005"/>
      <c r="L137" s="1005"/>
      <c r="M137" s="1005"/>
      <c r="N137" s="1005"/>
      <c r="O137" s="1005"/>
      <c r="P137" s="1005"/>
      <c r="Q137" s="1005"/>
      <c r="R137" s="1005"/>
      <c r="S137" s="1005"/>
      <c r="T137" s="1005"/>
      <c r="U137" s="1005"/>
      <c r="V137" s="1005"/>
      <c r="W137" s="1005"/>
      <c r="X137" s="1005"/>
      <c r="Y137" s="1005"/>
      <c r="Z137" s="1005"/>
      <c r="AA137" s="1005"/>
      <c r="AB137" s="1005"/>
      <c r="AC137" s="1005"/>
      <c r="AD137" s="1005"/>
      <c r="AE137" s="1005"/>
      <c r="AF137" s="1005"/>
      <c r="AG137" s="1005"/>
      <c r="AH137" s="1005"/>
      <c r="AI137" s="1005"/>
      <c r="AJ137" s="1005"/>
      <c r="AK137" s="1005"/>
      <c r="AL137" s="1005"/>
      <c r="AM137" s="1005"/>
      <c r="AN137" s="1005"/>
      <c r="AO137" s="1005"/>
      <c r="AP137" s="1005"/>
      <c r="AQ137" s="1005"/>
      <c r="AR137" s="1005"/>
      <c r="AS137" s="1005"/>
      <c r="AT137" s="1005"/>
      <c r="AU137" s="1005"/>
      <c r="AV137" s="1005"/>
      <c r="AW137" s="1005"/>
      <c r="AX137" s="1005"/>
      <c r="AY137" s="1005"/>
      <c r="AZ137" s="1005"/>
      <c r="BA137" s="1005"/>
      <c r="BB137" s="1005"/>
      <c r="BC137" s="1005"/>
      <c r="BD137" s="1005"/>
      <c r="BE137" s="1005"/>
      <c r="BF137" s="1005"/>
      <c r="BG137" s="1005"/>
      <c r="BH137" s="1005"/>
      <c r="BI137" s="1005"/>
      <c r="BJ137" s="1005"/>
      <c r="BK137" s="1005"/>
      <c r="BL137" s="1005"/>
      <c r="BM137" s="1005"/>
      <c r="BN137" s="1005"/>
      <c r="BO137" s="1005"/>
      <c r="BP137" s="1005"/>
      <c r="BQ137" s="1005"/>
      <c r="BR137" s="1005"/>
      <c r="BS137" s="1005"/>
      <c r="BT137" s="1005"/>
      <c r="BU137" s="1005"/>
      <c r="BV137" s="1005"/>
      <c r="BW137" s="1005"/>
      <c r="BX137" s="1005"/>
      <c r="BY137" s="1005"/>
      <c r="BZ137" s="1005"/>
      <c r="CA137" s="1005"/>
      <c r="CB137" s="1005"/>
      <c r="CC137" s="1005"/>
      <c r="CD137" s="1005"/>
      <c r="CE137" s="1005"/>
      <c r="CF137" s="1005"/>
      <c r="CG137" s="1005"/>
      <c r="CH137" s="1005"/>
      <c r="CI137" s="1005"/>
      <c r="CJ137" s="1005"/>
      <c r="CK137" s="1005"/>
      <c r="CL137" s="1005"/>
      <c r="CM137" s="1005"/>
      <c r="CN137" s="1005"/>
      <c r="CO137" s="1005"/>
      <c r="CP137" s="1005"/>
      <c r="CQ137" s="1005"/>
      <c r="CR137" s="1005"/>
      <c r="CS137" s="1005"/>
      <c r="CT137" s="1005"/>
      <c r="CU137" s="1005"/>
      <c r="CV137" s="1005"/>
    </row>
    <row r="138" spans="1:100" s="1001" customFormat="1" outlineLevel="1" x14ac:dyDescent="0.2">
      <c r="A138" s="1008"/>
      <c r="B138" s="997"/>
      <c r="C138" s="998"/>
      <c r="D138" s="999"/>
      <c r="E138" s="1049" t="s">
        <v>807</v>
      </c>
      <c r="F138" s="190">
        <f xml:space="preserve"> 'S&amp;U'!H21</f>
        <v>300000</v>
      </c>
      <c r="G138" s="190">
        <f t="shared" ref="G138:G160" ca="1" si="33" xml:space="preserve"> F138 * FX</f>
        <v>1500000</v>
      </c>
      <c r="H138" s="1045">
        <f ca="1">F138 / $F$172</f>
        <v>0.68954997642600813</v>
      </c>
      <c r="I138" s="1028"/>
      <c r="J138" s="1028"/>
      <c r="K138" s="1028"/>
      <c r="L138" s="1050"/>
      <c r="M138" s="1005"/>
      <c r="N138" s="1005"/>
      <c r="O138" s="1005"/>
      <c r="P138" s="1005"/>
      <c r="Q138" s="1005"/>
      <c r="R138" s="1005"/>
      <c r="S138" s="1005"/>
      <c r="T138" s="1005"/>
      <c r="U138" s="1005"/>
      <c r="V138" s="1005"/>
      <c r="W138" s="1005"/>
      <c r="X138" s="1005"/>
      <c r="Y138" s="1005"/>
      <c r="Z138" s="1005"/>
      <c r="AA138" s="1005"/>
      <c r="AB138" s="1005"/>
      <c r="AC138" s="1005"/>
      <c r="AD138" s="1005"/>
      <c r="AE138" s="1005"/>
      <c r="AF138" s="1005"/>
      <c r="AG138" s="1005"/>
      <c r="AH138" s="1005"/>
      <c r="AI138" s="1005"/>
      <c r="AJ138" s="1005"/>
      <c r="AK138" s="1005"/>
      <c r="AL138" s="1005"/>
      <c r="AM138" s="1005"/>
      <c r="AN138" s="1005"/>
      <c r="AO138" s="1005"/>
      <c r="AP138" s="1005"/>
      <c r="AQ138" s="1005"/>
      <c r="AR138" s="1005"/>
      <c r="AS138" s="1005"/>
      <c r="AT138" s="1005"/>
      <c r="AU138" s="1005"/>
      <c r="AV138" s="1005"/>
      <c r="AW138" s="1005"/>
      <c r="AX138" s="1005"/>
      <c r="AY138" s="1005"/>
      <c r="AZ138" s="1005"/>
      <c r="BA138" s="1005"/>
      <c r="BB138" s="1005"/>
      <c r="BC138" s="1005"/>
      <c r="BD138" s="1005"/>
      <c r="BE138" s="1005"/>
      <c r="BF138" s="1005"/>
      <c r="BG138" s="1005"/>
      <c r="BH138" s="1005"/>
      <c r="BI138" s="1005"/>
      <c r="BJ138" s="1005"/>
      <c r="BK138" s="1005"/>
      <c r="BL138" s="1005"/>
      <c r="BM138" s="1005"/>
      <c r="BN138" s="1005"/>
      <c r="BO138" s="1005"/>
      <c r="BP138" s="1005"/>
      <c r="BQ138" s="1005"/>
      <c r="BR138" s="1005"/>
      <c r="BS138" s="1005"/>
      <c r="BT138" s="1005"/>
      <c r="BU138" s="1005"/>
      <c r="BV138" s="1005"/>
      <c r="BW138" s="1005"/>
      <c r="BX138" s="1005"/>
      <c r="BY138" s="1005"/>
      <c r="BZ138" s="1005"/>
      <c r="CA138" s="1005"/>
      <c r="CB138" s="1005"/>
      <c r="CC138" s="1005"/>
      <c r="CD138" s="1005"/>
      <c r="CE138" s="1005"/>
      <c r="CF138" s="1005"/>
      <c r="CG138" s="1005"/>
      <c r="CH138" s="1005"/>
      <c r="CI138" s="1005"/>
      <c r="CJ138" s="1005"/>
      <c r="CK138" s="1005"/>
      <c r="CL138" s="1005"/>
      <c r="CM138" s="1005"/>
      <c r="CN138" s="1005"/>
      <c r="CO138" s="1005"/>
      <c r="CP138" s="1005"/>
      <c r="CQ138" s="1005"/>
      <c r="CR138" s="1005"/>
      <c r="CS138" s="1005"/>
      <c r="CT138" s="1005"/>
      <c r="CU138" s="1005"/>
      <c r="CV138" s="1005"/>
    </row>
    <row r="139" spans="1:100" s="1001" customFormat="1" outlineLevel="1" x14ac:dyDescent="0.2">
      <c r="A139" s="1008"/>
      <c r="B139" s="997"/>
      <c r="C139" s="998"/>
      <c r="D139" s="999"/>
      <c r="E139" s="1049" t="s">
        <v>256</v>
      </c>
      <c r="F139" s="332">
        <f xml:space="preserve"> 'S&amp;U'!H22</f>
        <v>0</v>
      </c>
      <c r="G139" s="332">
        <f t="shared" ca="1" si="33"/>
        <v>0</v>
      </c>
      <c r="H139" s="1045">
        <f ca="1">F139 / $F$172</f>
        <v>0</v>
      </c>
      <c r="I139" s="1028"/>
      <c r="J139" s="1028"/>
      <c r="K139" s="1028"/>
      <c r="L139" s="1051"/>
      <c r="M139" s="1005"/>
      <c r="N139" s="1005"/>
      <c r="O139" s="1005"/>
      <c r="P139" s="1005"/>
      <c r="Q139" s="1005"/>
      <c r="R139" s="1005"/>
      <c r="S139" s="1005"/>
      <c r="T139" s="1005"/>
      <c r="U139" s="1005"/>
      <c r="V139" s="1005"/>
      <c r="W139" s="1005"/>
      <c r="X139" s="1005"/>
      <c r="Y139" s="1005"/>
      <c r="Z139" s="1005"/>
      <c r="AA139" s="1005"/>
      <c r="AB139" s="1005"/>
      <c r="AC139" s="1005"/>
      <c r="AD139" s="1005"/>
      <c r="AE139" s="1005"/>
      <c r="AF139" s="1005"/>
      <c r="AG139" s="1005"/>
      <c r="AH139" s="1005"/>
      <c r="AI139" s="1005"/>
      <c r="AJ139" s="1005"/>
      <c r="AK139" s="1005"/>
      <c r="AL139" s="1005"/>
      <c r="AM139" s="1005"/>
      <c r="AN139" s="1005"/>
      <c r="AO139" s="1005"/>
      <c r="AP139" s="1005"/>
      <c r="AQ139" s="1005"/>
      <c r="AR139" s="1005"/>
      <c r="AS139" s="1005"/>
      <c r="AT139" s="1005"/>
      <c r="AU139" s="1005"/>
      <c r="AV139" s="1005"/>
      <c r="AW139" s="1005"/>
      <c r="AX139" s="1005"/>
      <c r="AY139" s="1005"/>
      <c r="AZ139" s="1005"/>
      <c r="BA139" s="1005"/>
      <c r="BB139" s="1005"/>
      <c r="BC139" s="1005"/>
      <c r="BD139" s="1005"/>
      <c r="BE139" s="1005"/>
      <c r="BF139" s="1005"/>
      <c r="BG139" s="1005"/>
      <c r="BH139" s="1005"/>
      <c r="BI139" s="1005"/>
      <c r="BJ139" s="1005"/>
      <c r="BK139" s="1005"/>
      <c r="BL139" s="1005"/>
      <c r="BM139" s="1005"/>
      <c r="BN139" s="1005"/>
      <c r="BO139" s="1005"/>
      <c r="BP139" s="1005"/>
      <c r="BQ139" s="1005"/>
      <c r="BR139" s="1005"/>
      <c r="BS139" s="1005"/>
      <c r="BT139" s="1005"/>
      <c r="BU139" s="1005"/>
      <c r="BV139" s="1005"/>
      <c r="BW139" s="1005"/>
      <c r="BX139" s="1005"/>
      <c r="BY139" s="1005"/>
      <c r="BZ139" s="1005"/>
      <c r="CA139" s="1005"/>
      <c r="CB139" s="1005"/>
      <c r="CC139" s="1005"/>
      <c r="CD139" s="1005"/>
      <c r="CE139" s="1005"/>
      <c r="CF139" s="1005"/>
      <c r="CG139" s="1005"/>
      <c r="CH139" s="1005"/>
      <c r="CI139" s="1005"/>
      <c r="CJ139" s="1005"/>
      <c r="CK139" s="1005"/>
      <c r="CL139" s="1005"/>
      <c r="CM139" s="1005"/>
      <c r="CN139" s="1005"/>
      <c r="CO139" s="1005"/>
      <c r="CP139" s="1005"/>
      <c r="CQ139" s="1005"/>
      <c r="CR139" s="1005"/>
      <c r="CS139" s="1005"/>
      <c r="CT139" s="1005"/>
      <c r="CU139" s="1005"/>
      <c r="CV139" s="1005"/>
    </row>
    <row r="140" spans="1:100" s="1001" customFormat="1" outlineLevel="1" x14ac:dyDescent="0.2">
      <c r="A140" s="1008"/>
      <c r="B140" s="997"/>
      <c r="C140" s="998"/>
      <c r="D140" s="999"/>
      <c r="E140" s="1052" t="s">
        <v>808</v>
      </c>
      <c r="F140" s="359">
        <f ca="1">SUM(F138:F139)</f>
        <v>300000</v>
      </c>
      <c r="G140" s="359">
        <f t="shared" ca="1" si="33"/>
        <v>1500000</v>
      </c>
      <c r="H140" s="1048">
        <f ca="1">F140 / $F$172</f>
        <v>0.68954997642600813</v>
      </c>
      <c r="I140" s="1028"/>
      <c r="J140" s="1028"/>
      <c r="K140" s="1028"/>
      <c r="L140" s="1051"/>
      <c r="M140" s="1005"/>
      <c r="N140" s="1005"/>
      <c r="O140" s="1005"/>
      <c r="P140" s="1005"/>
      <c r="Q140" s="1005"/>
      <c r="R140" s="1005"/>
      <c r="S140" s="1005"/>
      <c r="T140" s="1005"/>
      <c r="U140" s="1005"/>
      <c r="V140" s="1005"/>
      <c r="W140" s="1005"/>
      <c r="X140" s="1005"/>
      <c r="Y140" s="1005"/>
      <c r="Z140" s="1005"/>
      <c r="AA140" s="1005"/>
      <c r="AB140" s="1005"/>
      <c r="AC140" s="1005"/>
      <c r="AD140" s="1005"/>
      <c r="AE140" s="1005"/>
      <c r="AF140" s="1005"/>
      <c r="AG140" s="1005"/>
      <c r="AH140" s="1005"/>
      <c r="AI140" s="1005"/>
      <c r="AJ140" s="1005"/>
      <c r="AK140" s="1005"/>
      <c r="AL140" s="1005"/>
      <c r="AM140" s="1005"/>
      <c r="AN140" s="1005"/>
      <c r="AO140" s="1005"/>
      <c r="AP140" s="1005"/>
      <c r="AQ140" s="1005"/>
      <c r="AR140" s="1005"/>
      <c r="AS140" s="1005"/>
      <c r="AT140" s="1005"/>
      <c r="AU140" s="1005"/>
      <c r="AV140" s="1005"/>
      <c r="AW140" s="1005"/>
      <c r="AX140" s="1005"/>
      <c r="AY140" s="1005"/>
      <c r="AZ140" s="1005"/>
      <c r="BA140" s="1005"/>
      <c r="BB140" s="1005"/>
      <c r="BC140" s="1005"/>
      <c r="BD140" s="1005"/>
      <c r="BE140" s="1005"/>
      <c r="BF140" s="1005"/>
      <c r="BG140" s="1005"/>
      <c r="BH140" s="1005"/>
      <c r="BI140" s="1005"/>
      <c r="BJ140" s="1005"/>
      <c r="BK140" s="1005"/>
      <c r="BL140" s="1005"/>
      <c r="BM140" s="1005"/>
      <c r="BN140" s="1005"/>
      <c r="BO140" s="1005"/>
      <c r="BP140" s="1005"/>
      <c r="BQ140" s="1005"/>
      <c r="BR140" s="1005"/>
      <c r="BS140" s="1005"/>
      <c r="BT140" s="1005"/>
      <c r="BU140" s="1005"/>
      <c r="BV140" s="1005"/>
      <c r="BW140" s="1005"/>
      <c r="BX140" s="1005"/>
      <c r="BY140" s="1005"/>
      <c r="BZ140" s="1005"/>
      <c r="CA140" s="1005"/>
      <c r="CB140" s="1005"/>
      <c r="CC140" s="1005"/>
      <c r="CD140" s="1005"/>
      <c r="CE140" s="1005"/>
      <c r="CF140" s="1005"/>
      <c r="CG140" s="1005"/>
      <c r="CH140" s="1005"/>
      <c r="CI140" s="1005"/>
      <c r="CJ140" s="1005"/>
      <c r="CK140" s="1005"/>
      <c r="CL140" s="1005"/>
      <c r="CM140" s="1005"/>
      <c r="CN140" s="1005"/>
      <c r="CO140" s="1005"/>
      <c r="CP140" s="1005"/>
      <c r="CQ140" s="1005"/>
      <c r="CR140" s="1005"/>
      <c r="CS140" s="1005"/>
      <c r="CT140" s="1005"/>
      <c r="CU140" s="1005"/>
      <c r="CV140" s="1005"/>
    </row>
    <row r="141" spans="1:100" s="1001" customFormat="1" outlineLevel="1" x14ac:dyDescent="0.2">
      <c r="A141" s="1008"/>
      <c r="B141" s="997"/>
      <c r="C141" s="998"/>
      <c r="D141" s="999"/>
      <c r="E141" s="1049"/>
      <c r="F141" s="332"/>
      <c r="G141" s="332"/>
      <c r="H141" s="1045"/>
      <c r="I141" s="1028"/>
      <c r="J141" s="1028"/>
      <c r="K141" s="1028"/>
      <c r="L141" s="1051"/>
      <c r="M141" s="1005"/>
      <c r="N141" s="1005"/>
      <c r="O141" s="1005"/>
      <c r="P141" s="1005"/>
      <c r="Q141" s="1005"/>
      <c r="R141" s="1005"/>
      <c r="S141" s="1005"/>
      <c r="T141" s="1005"/>
      <c r="U141" s="1005"/>
      <c r="V141" s="1005"/>
      <c r="W141" s="1005"/>
      <c r="X141" s="1005"/>
      <c r="Y141" s="1005"/>
      <c r="Z141" s="1005"/>
      <c r="AA141" s="1005"/>
      <c r="AB141" s="1005"/>
      <c r="AC141" s="1005"/>
      <c r="AD141" s="1005"/>
      <c r="AE141" s="1005"/>
      <c r="AF141" s="1005"/>
      <c r="AG141" s="1005"/>
      <c r="AH141" s="1005"/>
      <c r="AI141" s="1005"/>
      <c r="AJ141" s="1005"/>
      <c r="AK141" s="1005"/>
      <c r="AL141" s="1005"/>
      <c r="AM141" s="1005"/>
      <c r="AN141" s="1005"/>
      <c r="AO141" s="1005"/>
      <c r="AP141" s="1005"/>
      <c r="AQ141" s="1005"/>
      <c r="AR141" s="1005"/>
      <c r="AS141" s="1005"/>
      <c r="AT141" s="1005"/>
      <c r="AU141" s="1005"/>
      <c r="AV141" s="1005"/>
      <c r="AW141" s="1005"/>
      <c r="AX141" s="1005"/>
      <c r="AY141" s="1005"/>
      <c r="AZ141" s="1005"/>
      <c r="BA141" s="1005"/>
      <c r="BB141" s="1005"/>
      <c r="BC141" s="1005"/>
      <c r="BD141" s="1005"/>
      <c r="BE141" s="1005"/>
      <c r="BF141" s="1005"/>
      <c r="BG141" s="1005"/>
      <c r="BH141" s="1005"/>
      <c r="BI141" s="1005"/>
      <c r="BJ141" s="1005"/>
      <c r="BK141" s="1005"/>
      <c r="BL141" s="1005"/>
      <c r="BM141" s="1005"/>
      <c r="BN141" s="1005"/>
      <c r="BO141" s="1005"/>
      <c r="BP141" s="1005"/>
      <c r="BQ141" s="1005"/>
      <c r="BR141" s="1005"/>
      <c r="BS141" s="1005"/>
      <c r="BT141" s="1005"/>
      <c r="BU141" s="1005"/>
      <c r="BV141" s="1005"/>
      <c r="BW141" s="1005"/>
      <c r="BX141" s="1005"/>
      <c r="BY141" s="1005"/>
      <c r="BZ141" s="1005"/>
      <c r="CA141" s="1005"/>
      <c r="CB141" s="1005"/>
      <c r="CC141" s="1005"/>
      <c r="CD141" s="1005"/>
      <c r="CE141" s="1005"/>
      <c r="CF141" s="1005"/>
      <c r="CG141" s="1005"/>
      <c r="CH141" s="1005"/>
      <c r="CI141" s="1005"/>
      <c r="CJ141" s="1005"/>
      <c r="CK141" s="1005"/>
      <c r="CL141" s="1005"/>
      <c r="CM141" s="1005"/>
      <c r="CN141" s="1005"/>
      <c r="CO141" s="1005"/>
      <c r="CP141" s="1005"/>
      <c r="CQ141" s="1005"/>
      <c r="CR141" s="1005"/>
      <c r="CS141" s="1005"/>
      <c r="CT141" s="1005"/>
      <c r="CU141" s="1005"/>
      <c r="CV141" s="1005"/>
    </row>
    <row r="142" spans="1:100" s="1138" customFormat="1" outlineLevel="1" x14ac:dyDescent="0.2">
      <c r="A142" s="1129"/>
      <c r="B142" s="1130"/>
      <c r="C142" s="1131"/>
      <c r="D142" s="1132"/>
      <c r="E142" s="1133" t="s">
        <v>1284</v>
      </c>
      <c r="F142" s="601">
        <f xml:space="preserve"> ConCost!H$63</f>
        <v>0</v>
      </c>
      <c r="G142" s="229">
        <f t="shared" ca="1" si="33"/>
        <v>0</v>
      </c>
      <c r="H142" s="1134">
        <f ca="1">F142 / $F$172</f>
        <v>0</v>
      </c>
      <c r="I142" s="1135"/>
      <c r="J142" s="1135"/>
      <c r="K142" s="1135"/>
      <c r="L142" s="1136"/>
      <c r="M142" s="1137"/>
      <c r="N142" s="1137"/>
      <c r="O142" s="1137"/>
      <c r="P142" s="1137"/>
      <c r="Q142" s="1137"/>
      <c r="R142" s="1137"/>
      <c r="S142" s="1137"/>
      <c r="T142" s="1137"/>
      <c r="U142" s="1137"/>
      <c r="V142" s="1137"/>
      <c r="W142" s="1137"/>
      <c r="X142" s="1137"/>
      <c r="Y142" s="1137"/>
      <c r="Z142" s="1137"/>
      <c r="AA142" s="1137"/>
      <c r="AB142" s="1137"/>
      <c r="AC142" s="1137"/>
      <c r="AD142" s="1137"/>
      <c r="AE142" s="1137"/>
      <c r="AF142" s="1137"/>
      <c r="AG142" s="1137"/>
      <c r="AH142" s="1137"/>
      <c r="AI142" s="1137"/>
      <c r="AJ142" s="1137"/>
      <c r="AK142" s="1137"/>
      <c r="AL142" s="1137"/>
      <c r="AM142" s="1137"/>
      <c r="AN142" s="1137"/>
      <c r="AO142" s="1137"/>
      <c r="AP142" s="1137"/>
      <c r="AQ142" s="1137"/>
      <c r="AR142" s="1137"/>
      <c r="AS142" s="1137"/>
      <c r="AT142" s="1137"/>
      <c r="AU142" s="1137"/>
      <c r="AV142" s="1137"/>
      <c r="AW142" s="1137"/>
      <c r="AX142" s="1137"/>
      <c r="AY142" s="1137"/>
      <c r="AZ142" s="1137"/>
      <c r="BA142" s="1137"/>
      <c r="BB142" s="1137"/>
      <c r="BC142" s="1137"/>
      <c r="BD142" s="1137"/>
      <c r="BE142" s="1137"/>
      <c r="BF142" s="1137"/>
      <c r="BG142" s="1137"/>
      <c r="BH142" s="1137"/>
      <c r="BI142" s="1137"/>
      <c r="BJ142" s="1137"/>
      <c r="BK142" s="1137"/>
      <c r="BL142" s="1137"/>
      <c r="BM142" s="1137"/>
      <c r="BN142" s="1137"/>
      <c r="BO142" s="1137"/>
      <c r="BP142" s="1137"/>
      <c r="BQ142" s="1137"/>
      <c r="BR142" s="1137"/>
      <c r="BS142" s="1137"/>
      <c r="BT142" s="1137"/>
      <c r="BU142" s="1137"/>
      <c r="BV142" s="1137"/>
      <c r="BW142" s="1137"/>
      <c r="BX142" s="1137"/>
      <c r="BY142" s="1137"/>
      <c r="BZ142" s="1137"/>
      <c r="CA142" s="1137"/>
      <c r="CB142" s="1137"/>
      <c r="CC142" s="1137"/>
      <c r="CD142" s="1137"/>
      <c r="CE142" s="1137"/>
      <c r="CF142" s="1137"/>
      <c r="CG142" s="1137"/>
      <c r="CH142" s="1137"/>
      <c r="CI142" s="1137"/>
      <c r="CJ142" s="1137"/>
      <c r="CK142" s="1137"/>
      <c r="CL142" s="1137"/>
      <c r="CM142" s="1137"/>
      <c r="CN142" s="1137"/>
      <c r="CO142" s="1137"/>
      <c r="CP142" s="1137"/>
      <c r="CQ142" s="1137"/>
      <c r="CR142" s="1137"/>
      <c r="CS142" s="1137"/>
      <c r="CT142" s="1137"/>
      <c r="CU142" s="1137"/>
      <c r="CV142" s="1137"/>
    </row>
    <row r="143" spans="1:100" s="1001" customFormat="1" outlineLevel="1" x14ac:dyDescent="0.2">
      <c r="A143" s="1008"/>
      <c r="B143" s="997"/>
      <c r="C143" s="998"/>
      <c r="D143" s="999"/>
      <c r="E143" s="1049"/>
      <c r="F143" s="332"/>
      <c r="G143" s="332"/>
      <c r="H143" s="1045"/>
      <c r="I143" s="1028"/>
      <c r="J143" s="1028"/>
      <c r="K143" s="1028"/>
      <c r="L143" s="1051"/>
      <c r="M143" s="1005"/>
      <c r="N143" s="1005"/>
      <c r="O143" s="1005"/>
      <c r="P143" s="1005"/>
      <c r="Q143" s="1005"/>
      <c r="R143" s="1005"/>
      <c r="S143" s="1005"/>
      <c r="T143" s="1005"/>
      <c r="U143" s="1005"/>
      <c r="V143" s="1005"/>
      <c r="W143" s="1005"/>
      <c r="X143" s="1005"/>
      <c r="Y143" s="1005"/>
      <c r="Z143" s="1005"/>
      <c r="AA143" s="1005"/>
      <c r="AB143" s="1005"/>
      <c r="AC143" s="1005"/>
      <c r="AD143" s="1005"/>
      <c r="AE143" s="1005"/>
      <c r="AF143" s="1005"/>
      <c r="AG143" s="1005"/>
      <c r="AH143" s="1005"/>
      <c r="AI143" s="1005"/>
      <c r="AJ143" s="1005"/>
      <c r="AK143" s="1005"/>
      <c r="AL143" s="1005"/>
      <c r="AM143" s="1005"/>
      <c r="AN143" s="1005"/>
      <c r="AO143" s="1005"/>
      <c r="AP143" s="1005"/>
      <c r="AQ143" s="1005"/>
      <c r="AR143" s="1005"/>
      <c r="AS143" s="1005"/>
      <c r="AT143" s="1005"/>
      <c r="AU143" s="1005"/>
      <c r="AV143" s="1005"/>
      <c r="AW143" s="1005"/>
      <c r="AX143" s="1005"/>
      <c r="AY143" s="1005"/>
      <c r="AZ143" s="1005"/>
      <c r="BA143" s="1005"/>
      <c r="BB143" s="1005"/>
      <c r="BC143" s="1005"/>
      <c r="BD143" s="1005"/>
      <c r="BE143" s="1005"/>
      <c r="BF143" s="1005"/>
      <c r="BG143" s="1005"/>
      <c r="BH143" s="1005"/>
      <c r="BI143" s="1005"/>
      <c r="BJ143" s="1005"/>
      <c r="BK143" s="1005"/>
      <c r="BL143" s="1005"/>
      <c r="BM143" s="1005"/>
      <c r="BN143" s="1005"/>
      <c r="BO143" s="1005"/>
      <c r="BP143" s="1005"/>
      <c r="BQ143" s="1005"/>
      <c r="BR143" s="1005"/>
      <c r="BS143" s="1005"/>
      <c r="BT143" s="1005"/>
      <c r="BU143" s="1005"/>
      <c r="BV143" s="1005"/>
      <c r="BW143" s="1005"/>
      <c r="BX143" s="1005"/>
      <c r="BY143" s="1005"/>
      <c r="BZ143" s="1005"/>
      <c r="CA143" s="1005"/>
      <c r="CB143" s="1005"/>
      <c r="CC143" s="1005"/>
      <c r="CD143" s="1005"/>
      <c r="CE143" s="1005"/>
      <c r="CF143" s="1005"/>
      <c r="CG143" s="1005"/>
      <c r="CH143" s="1005"/>
      <c r="CI143" s="1005"/>
      <c r="CJ143" s="1005"/>
      <c r="CK143" s="1005"/>
      <c r="CL143" s="1005"/>
      <c r="CM143" s="1005"/>
      <c r="CN143" s="1005"/>
      <c r="CO143" s="1005"/>
      <c r="CP143" s="1005"/>
      <c r="CQ143" s="1005"/>
      <c r="CR143" s="1005"/>
      <c r="CS143" s="1005"/>
      <c r="CT143" s="1005"/>
      <c r="CU143" s="1005"/>
      <c r="CV143" s="1005"/>
    </row>
    <row r="144" spans="1:100" s="1001" customFormat="1" outlineLevel="1" x14ac:dyDescent="0.2">
      <c r="A144" s="1008"/>
      <c r="B144" s="997"/>
      <c r="C144" s="998"/>
      <c r="D144" s="999"/>
      <c r="E144" s="1034" t="s">
        <v>246</v>
      </c>
      <c r="F144" s="190">
        <f xml:space="preserve"> 'S&amp;U'!H26</f>
        <v>5000</v>
      </c>
      <c r="G144" s="190">
        <f t="shared" ca="1" si="33"/>
        <v>25000</v>
      </c>
      <c r="H144" s="1045">
        <f t="shared" ref="H144:H170" ca="1" si="34">F144 / $F$172</f>
        <v>1.1492499607100136E-2</v>
      </c>
      <c r="I144" s="1028"/>
      <c r="J144" s="1028"/>
      <c r="K144" s="1028"/>
      <c r="L144" s="1050"/>
      <c r="M144" s="1005"/>
      <c r="N144" s="1005"/>
      <c r="O144" s="1005"/>
      <c r="P144" s="1005"/>
      <c r="Q144" s="1005"/>
      <c r="R144" s="1005"/>
      <c r="S144" s="1005"/>
      <c r="T144" s="1005"/>
      <c r="U144" s="1005"/>
      <c r="V144" s="1005"/>
      <c r="W144" s="1005"/>
      <c r="X144" s="1005"/>
      <c r="Y144" s="1005"/>
      <c r="Z144" s="1005"/>
      <c r="AA144" s="1005"/>
      <c r="AB144" s="1005"/>
      <c r="AC144" s="1005"/>
      <c r="AD144" s="1005"/>
      <c r="AE144" s="1005"/>
      <c r="AF144" s="1005"/>
      <c r="AG144" s="1005"/>
      <c r="AH144" s="1005"/>
      <c r="AI144" s="1005"/>
      <c r="AJ144" s="1005"/>
      <c r="AK144" s="1005"/>
      <c r="AL144" s="1005"/>
      <c r="AM144" s="1005"/>
      <c r="AN144" s="1005"/>
      <c r="AO144" s="1005"/>
      <c r="AP144" s="1005"/>
      <c r="AQ144" s="1005"/>
      <c r="AR144" s="1005"/>
      <c r="AS144" s="1005"/>
      <c r="AT144" s="1005"/>
      <c r="AU144" s="1005"/>
      <c r="AV144" s="1005"/>
      <c r="AW144" s="1005"/>
      <c r="AX144" s="1005"/>
      <c r="AY144" s="1005"/>
      <c r="AZ144" s="1005"/>
      <c r="BA144" s="1005"/>
      <c r="BB144" s="1005"/>
      <c r="BC144" s="1005"/>
      <c r="BD144" s="1005"/>
      <c r="BE144" s="1005"/>
      <c r="BF144" s="1005"/>
      <c r="BG144" s="1005"/>
      <c r="BH144" s="1005"/>
      <c r="BI144" s="1005"/>
      <c r="BJ144" s="1005"/>
      <c r="BK144" s="1005"/>
      <c r="BL144" s="1005"/>
      <c r="BM144" s="1005"/>
      <c r="BN144" s="1005"/>
      <c r="BO144" s="1005"/>
      <c r="BP144" s="1005"/>
      <c r="BQ144" s="1005"/>
      <c r="BR144" s="1005"/>
      <c r="BS144" s="1005"/>
      <c r="BT144" s="1005"/>
      <c r="BU144" s="1005"/>
      <c r="BV144" s="1005"/>
      <c r="BW144" s="1005"/>
      <c r="BX144" s="1005"/>
      <c r="BY144" s="1005"/>
      <c r="BZ144" s="1005"/>
      <c r="CA144" s="1005"/>
      <c r="CB144" s="1005"/>
      <c r="CC144" s="1005"/>
      <c r="CD144" s="1005"/>
      <c r="CE144" s="1005"/>
      <c r="CF144" s="1005"/>
      <c r="CG144" s="1005"/>
      <c r="CH144" s="1005"/>
      <c r="CI144" s="1005"/>
      <c r="CJ144" s="1005"/>
      <c r="CK144" s="1005"/>
      <c r="CL144" s="1005"/>
      <c r="CM144" s="1005"/>
      <c r="CN144" s="1005"/>
      <c r="CO144" s="1005"/>
      <c r="CP144" s="1005"/>
      <c r="CQ144" s="1005"/>
      <c r="CR144" s="1005"/>
      <c r="CS144" s="1005"/>
      <c r="CT144" s="1005"/>
      <c r="CU144" s="1005"/>
      <c r="CV144" s="1005"/>
    </row>
    <row r="145" spans="1:100" s="1001" customFormat="1" outlineLevel="1" x14ac:dyDescent="0.2">
      <c r="A145" s="1008"/>
      <c r="B145" s="997"/>
      <c r="C145" s="998"/>
      <c r="D145" s="999"/>
      <c r="E145" s="1027" t="s">
        <v>1124</v>
      </c>
      <c r="F145" s="190">
        <f xml:space="preserve"> 'S&amp;U'!H27</f>
        <v>2000</v>
      </c>
      <c r="G145" s="190">
        <f t="shared" ca="1" si="33"/>
        <v>10000</v>
      </c>
      <c r="H145" s="1045">
        <f t="shared" ca="1" si="34"/>
        <v>4.5969998428400539E-3</v>
      </c>
      <c r="I145" s="1028"/>
      <c r="J145" s="1028"/>
      <c r="K145" s="1028"/>
      <c r="L145" s="1050"/>
      <c r="M145" s="1005"/>
      <c r="N145" s="1005"/>
      <c r="O145" s="1005"/>
      <c r="P145" s="1005"/>
      <c r="Q145" s="1005"/>
      <c r="R145" s="1005"/>
      <c r="S145" s="1005"/>
      <c r="T145" s="1005"/>
      <c r="U145" s="1005"/>
      <c r="V145" s="1005"/>
      <c r="W145" s="1005"/>
      <c r="X145" s="1005"/>
      <c r="Y145" s="1005"/>
      <c r="Z145" s="1005"/>
      <c r="AA145" s="1005"/>
      <c r="AB145" s="1005"/>
      <c r="AC145" s="1005"/>
      <c r="AD145" s="1005"/>
      <c r="AE145" s="1005"/>
      <c r="AF145" s="1005"/>
      <c r="AG145" s="1005"/>
      <c r="AH145" s="1005"/>
      <c r="AI145" s="1005"/>
      <c r="AJ145" s="1005"/>
      <c r="AK145" s="1005"/>
      <c r="AL145" s="1005"/>
      <c r="AM145" s="1005"/>
      <c r="AN145" s="1005"/>
      <c r="AO145" s="1005"/>
      <c r="AP145" s="1005"/>
      <c r="AQ145" s="1005"/>
      <c r="AR145" s="1005"/>
      <c r="AS145" s="1005"/>
      <c r="AT145" s="1005"/>
      <c r="AU145" s="1005"/>
      <c r="AV145" s="1005"/>
      <c r="AW145" s="1005"/>
      <c r="AX145" s="1005"/>
      <c r="AY145" s="1005"/>
      <c r="AZ145" s="1005"/>
      <c r="BA145" s="1005"/>
      <c r="BB145" s="1005"/>
      <c r="BC145" s="1005"/>
      <c r="BD145" s="1005"/>
      <c r="BE145" s="1005"/>
      <c r="BF145" s="1005"/>
      <c r="BG145" s="1005"/>
      <c r="BH145" s="1005"/>
      <c r="BI145" s="1005"/>
      <c r="BJ145" s="1005"/>
      <c r="BK145" s="1005"/>
      <c r="BL145" s="1005"/>
      <c r="BM145" s="1005"/>
      <c r="BN145" s="1005"/>
      <c r="BO145" s="1005"/>
      <c r="BP145" s="1005"/>
      <c r="BQ145" s="1005"/>
      <c r="BR145" s="1005"/>
      <c r="BS145" s="1005"/>
      <c r="BT145" s="1005"/>
      <c r="BU145" s="1005"/>
      <c r="BV145" s="1005"/>
      <c r="BW145" s="1005"/>
      <c r="BX145" s="1005"/>
      <c r="BY145" s="1005"/>
      <c r="BZ145" s="1005"/>
      <c r="CA145" s="1005"/>
      <c r="CB145" s="1005"/>
      <c r="CC145" s="1005"/>
      <c r="CD145" s="1005"/>
      <c r="CE145" s="1005"/>
      <c r="CF145" s="1005"/>
      <c r="CG145" s="1005"/>
      <c r="CH145" s="1005"/>
      <c r="CI145" s="1005"/>
      <c r="CJ145" s="1005"/>
      <c r="CK145" s="1005"/>
      <c r="CL145" s="1005"/>
      <c r="CM145" s="1005"/>
      <c r="CN145" s="1005"/>
      <c r="CO145" s="1005"/>
      <c r="CP145" s="1005"/>
      <c r="CQ145" s="1005"/>
      <c r="CR145" s="1005"/>
      <c r="CS145" s="1005"/>
      <c r="CT145" s="1005"/>
      <c r="CU145" s="1005"/>
      <c r="CV145" s="1005"/>
    </row>
    <row r="146" spans="1:100" s="1001" customFormat="1" outlineLevel="1" x14ac:dyDescent="0.2">
      <c r="A146" s="1008"/>
      <c r="B146" s="997"/>
      <c r="C146" s="998"/>
      <c r="D146" s="999"/>
      <c r="E146" s="1052" t="s">
        <v>809</v>
      </c>
      <c r="F146" s="359">
        <f ca="1">SUM(F144:F145)</f>
        <v>7000</v>
      </c>
      <c r="G146" s="359">
        <f t="shared" ca="1" si="33"/>
        <v>35000</v>
      </c>
      <c r="H146" s="1048">
        <f t="shared" ca="1" si="34"/>
        <v>1.6089499449940189E-2</v>
      </c>
      <c r="I146" s="1028"/>
      <c r="J146" s="1028"/>
      <c r="K146" s="1028"/>
      <c r="L146" s="1051"/>
      <c r="M146" s="1005"/>
      <c r="N146" s="1005"/>
      <c r="O146" s="1005"/>
      <c r="P146" s="1005"/>
      <c r="Q146" s="1005"/>
      <c r="R146" s="1005"/>
      <c r="S146" s="1005"/>
      <c r="T146" s="1005"/>
      <c r="U146" s="1005"/>
      <c r="V146" s="1005"/>
      <c r="W146" s="1005"/>
      <c r="X146" s="1005"/>
      <c r="Y146" s="1005"/>
      <c r="Z146" s="1005"/>
      <c r="AA146" s="1005"/>
      <c r="AB146" s="1005"/>
      <c r="AC146" s="1005"/>
      <c r="AD146" s="1005"/>
      <c r="AE146" s="1005"/>
      <c r="AF146" s="1005"/>
      <c r="AG146" s="1005"/>
      <c r="AH146" s="1005"/>
      <c r="AI146" s="1005"/>
      <c r="AJ146" s="1005"/>
      <c r="AK146" s="1005"/>
      <c r="AL146" s="1005"/>
      <c r="AM146" s="1005"/>
      <c r="AN146" s="1005"/>
      <c r="AO146" s="1005"/>
      <c r="AP146" s="1005"/>
      <c r="AQ146" s="1005"/>
      <c r="AR146" s="1005"/>
      <c r="AS146" s="1005"/>
      <c r="AT146" s="1005"/>
      <c r="AU146" s="1005"/>
      <c r="AV146" s="1005"/>
      <c r="AW146" s="1005"/>
      <c r="AX146" s="1005"/>
      <c r="AY146" s="1005"/>
      <c r="AZ146" s="1005"/>
      <c r="BA146" s="1005"/>
      <c r="BB146" s="1005"/>
      <c r="BC146" s="1005"/>
      <c r="BD146" s="1005"/>
      <c r="BE146" s="1005"/>
      <c r="BF146" s="1005"/>
      <c r="BG146" s="1005"/>
      <c r="BH146" s="1005"/>
      <c r="BI146" s="1005"/>
      <c r="BJ146" s="1005"/>
      <c r="BK146" s="1005"/>
      <c r="BL146" s="1005"/>
      <c r="BM146" s="1005"/>
      <c r="BN146" s="1005"/>
      <c r="BO146" s="1005"/>
      <c r="BP146" s="1005"/>
      <c r="BQ146" s="1005"/>
      <c r="BR146" s="1005"/>
      <c r="BS146" s="1005"/>
      <c r="BT146" s="1005"/>
      <c r="BU146" s="1005"/>
      <c r="BV146" s="1005"/>
      <c r="BW146" s="1005"/>
      <c r="BX146" s="1005"/>
      <c r="BY146" s="1005"/>
      <c r="BZ146" s="1005"/>
      <c r="CA146" s="1005"/>
      <c r="CB146" s="1005"/>
      <c r="CC146" s="1005"/>
      <c r="CD146" s="1005"/>
      <c r="CE146" s="1005"/>
      <c r="CF146" s="1005"/>
      <c r="CG146" s="1005"/>
      <c r="CH146" s="1005"/>
      <c r="CI146" s="1005"/>
      <c r="CJ146" s="1005"/>
      <c r="CK146" s="1005"/>
      <c r="CL146" s="1005"/>
      <c r="CM146" s="1005"/>
      <c r="CN146" s="1005"/>
      <c r="CO146" s="1005"/>
      <c r="CP146" s="1005"/>
      <c r="CQ146" s="1005"/>
      <c r="CR146" s="1005"/>
      <c r="CS146" s="1005"/>
      <c r="CT146" s="1005"/>
      <c r="CU146" s="1005"/>
      <c r="CV146" s="1005"/>
    </row>
    <row r="147" spans="1:100" s="1001" customFormat="1" outlineLevel="1" x14ac:dyDescent="0.2">
      <c r="A147" s="1008"/>
      <c r="B147" s="997"/>
      <c r="C147" s="998"/>
      <c r="D147" s="999"/>
      <c r="E147" s="1044" t="s">
        <v>257</v>
      </c>
      <c r="F147" s="192">
        <f xml:space="preserve"> 'S&amp;U'!H24</f>
        <v>697.30772000000013</v>
      </c>
      <c r="G147" s="192">
        <f t="shared" ca="1" si="33"/>
        <v>3486.5386000000008</v>
      </c>
      <c r="H147" s="1045">
        <f t="shared" ca="1" si="34"/>
        <v>1.6027617396255785E-3</v>
      </c>
      <c r="I147" s="1028"/>
      <c r="J147" s="1028"/>
      <c r="K147" s="1028"/>
      <c r="L147" s="1050"/>
      <c r="M147" s="1005"/>
      <c r="N147" s="1005"/>
      <c r="O147" s="1005"/>
      <c r="P147" s="1005"/>
      <c r="Q147" s="1005"/>
      <c r="R147" s="1005"/>
      <c r="S147" s="1005"/>
      <c r="T147" s="1005"/>
      <c r="U147" s="1005"/>
      <c r="V147" s="1005"/>
      <c r="W147" s="1005"/>
      <c r="X147" s="1005"/>
      <c r="Y147" s="1005"/>
      <c r="Z147" s="1005"/>
      <c r="AA147" s="1005"/>
      <c r="AB147" s="1005"/>
      <c r="AC147" s="1005"/>
      <c r="AD147" s="1005"/>
      <c r="AE147" s="1005"/>
      <c r="AF147" s="1005"/>
      <c r="AG147" s="1005"/>
      <c r="AH147" s="1005"/>
      <c r="AI147" s="1005"/>
      <c r="AJ147" s="1005"/>
      <c r="AK147" s="1005"/>
      <c r="AL147" s="1005"/>
      <c r="AM147" s="1005"/>
      <c r="AN147" s="1005"/>
      <c r="AO147" s="1005"/>
      <c r="AP147" s="1005"/>
      <c r="AQ147" s="1005"/>
      <c r="AR147" s="1005"/>
      <c r="AS147" s="1005"/>
      <c r="AT147" s="1005"/>
      <c r="AU147" s="1005"/>
      <c r="AV147" s="1005"/>
      <c r="AW147" s="1005"/>
      <c r="AX147" s="1005"/>
      <c r="AY147" s="1005"/>
      <c r="AZ147" s="1005"/>
      <c r="BA147" s="1005"/>
      <c r="BB147" s="1005"/>
      <c r="BC147" s="1005"/>
      <c r="BD147" s="1005"/>
      <c r="BE147" s="1005"/>
      <c r="BF147" s="1005"/>
      <c r="BG147" s="1005"/>
      <c r="BH147" s="1005"/>
      <c r="BI147" s="1005"/>
      <c r="BJ147" s="1005"/>
      <c r="BK147" s="1005"/>
      <c r="BL147" s="1005"/>
      <c r="BM147" s="1005"/>
      <c r="BN147" s="1005"/>
      <c r="BO147" s="1005"/>
      <c r="BP147" s="1005"/>
      <c r="BQ147" s="1005"/>
      <c r="BR147" s="1005"/>
      <c r="BS147" s="1005"/>
      <c r="BT147" s="1005"/>
      <c r="BU147" s="1005"/>
      <c r="BV147" s="1005"/>
      <c r="BW147" s="1005"/>
      <c r="BX147" s="1005"/>
      <c r="BY147" s="1005"/>
      <c r="BZ147" s="1005"/>
      <c r="CA147" s="1005"/>
      <c r="CB147" s="1005"/>
      <c r="CC147" s="1005"/>
      <c r="CD147" s="1005"/>
      <c r="CE147" s="1005"/>
      <c r="CF147" s="1005"/>
      <c r="CG147" s="1005"/>
      <c r="CH147" s="1005"/>
      <c r="CI147" s="1005"/>
      <c r="CJ147" s="1005"/>
      <c r="CK147" s="1005"/>
      <c r="CL147" s="1005"/>
      <c r="CM147" s="1005"/>
      <c r="CN147" s="1005"/>
      <c r="CO147" s="1005"/>
      <c r="CP147" s="1005"/>
      <c r="CQ147" s="1005"/>
      <c r="CR147" s="1005"/>
      <c r="CS147" s="1005"/>
      <c r="CT147" s="1005"/>
      <c r="CU147" s="1005"/>
      <c r="CV147" s="1005"/>
    </row>
    <row r="148" spans="1:100" s="1001" customFormat="1" outlineLevel="1" x14ac:dyDescent="0.2">
      <c r="A148" s="1008"/>
      <c r="B148" s="997"/>
      <c r="C148" s="998"/>
      <c r="D148" s="999"/>
      <c r="E148" s="1044" t="s">
        <v>245</v>
      </c>
      <c r="F148" s="192">
        <f xml:space="preserve"> 'S&amp;U'!H25</f>
        <v>1300</v>
      </c>
      <c r="G148" s="192">
        <f t="shared" ca="1" si="33"/>
        <v>6500</v>
      </c>
      <c r="H148" s="1045">
        <f t="shared" ca="1" si="34"/>
        <v>2.9880498978460349E-3</v>
      </c>
      <c r="I148" s="1028"/>
      <c r="J148" s="1028"/>
      <c r="K148" s="1028"/>
      <c r="L148" s="1050"/>
      <c r="M148" s="1005"/>
      <c r="N148" s="1005"/>
      <c r="O148" s="1005"/>
      <c r="P148" s="1005"/>
      <c r="Q148" s="1005"/>
      <c r="R148" s="1005"/>
      <c r="S148" s="1005"/>
      <c r="T148" s="1005"/>
      <c r="U148" s="1005"/>
      <c r="V148" s="1005"/>
      <c r="W148" s="1005"/>
      <c r="X148" s="1005"/>
      <c r="Y148" s="1005"/>
      <c r="Z148" s="1005"/>
      <c r="AA148" s="1005"/>
      <c r="AB148" s="1005"/>
      <c r="AC148" s="1005"/>
      <c r="AD148" s="1005"/>
      <c r="AE148" s="1005"/>
      <c r="AF148" s="1005"/>
      <c r="AG148" s="1005"/>
      <c r="AH148" s="1005"/>
      <c r="AI148" s="1005"/>
      <c r="AJ148" s="1005"/>
      <c r="AK148" s="1005"/>
      <c r="AL148" s="1005"/>
      <c r="AM148" s="1005"/>
      <c r="AN148" s="1005"/>
      <c r="AO148" s="1005"/>
      <c r="AP148" s="1005"/>
      <c r="AQ148" s="1005"/>
      <c r="AR148" s="1005"/>
      <c r="AS148" s="1005"/>
      <c r="AT148" s="1005"/>
      <c r="AU148" s="1005"/>
      <c r="AV148" s="1005"/>
      <c r="AW148" s="1005"/>
      <c r="AX148" s="1005"/>
      <c r="AY148" s="1005"/>
      <c r="AZ148" s="1005"/>
      <c r="BA148" s="1005"/>
      <c r="BB148" s="1005"/>
      <c r="BC148" s="1005"/>
      <c r="BD148" s="1005"/>
      <c r="BE148" s="1005"/>
      <c r="BF148" s="1005"/>
      <c r="BG148" s="1005"/>
      <c r="BH148" s="1005"/>
      <c r="BI148" s="1005"/>
      <c r="BJ148" s="1005"/>
      <c r="BK148" s="1005"/>
      <c r="BL148" s="1005"/>
      <c r="BM148" s="1005"/>
      <c r="BN148" s="1005"/>
      <c r="BO148" s="1005"/>
      <c r="BP148" s="1005"/>
      <c r="BQ148" s="1005"/>
      <c r="BR148" s="1005"/>
      <c r="BS148" s="1005"/>
      <c r="BT148" s="1005"/>
      <c r="BU148" s="1005"/>
      <c r="BV148" s="1005"/>
      <c r="BW148" s="1005"/>
      <c r="BX148" s="1005"/>
      <c r="BY148" s="1005"/>
      <c r="BZ148" s="1005"/>
      <c r="CA148" s="1005"/>
      <c r="CB148" s="1005"/>
      <c r="CC148" s="1005"/>
      <c r="CD148" s="1005"/>
      <c r="CE148" s="1005"/>
      <c r="CF148" s="1005"/>
      <c r="CG148" s="1005"/>
      <c r="CH148" s="1005"/>
      <c r="CI148" s="1005"/>
      <c r="CJ148" s="1005"/>
      <c r="CK148" s="1005"/>
      <c r="CL148" s="1005"/>
      <c r="CM148" s="1005"/>
      <c r="CN148" s="1005"/>
      <c r="CO148" s="1005"/>
      <c r="CP148" s="1005"/>
      <c r="CQ148" s="1005"/>
      <c r="CR148" s="1005"/>
      <c r="CS148" s="1005"/>
      <c r="CT148" s="1005"/>
      <c r="CU148" s="1005"/>
      <c r="CV148" s="1005"/>
    </row>
    <row r="149" spans="1:100" s="1001" customFormat="1" outlineLevel="1" x14ac:dyDescent="0.2">
      <c r="A149" s="1008"/>
      <c r="B149" s="997"/>
      <c r="C149" s="998"/>
      <c r="D149" s="999"/>
      <c r="E149" s="1054" t="s">
        <v>247</v>
      </c>
      <c r="F149" s="192">
        <f xml:space="preserve"> 'S&amp;U'!H28</f>
        <v>0</v>
      </c>
      <c r="G149" s="192">
        <f t="shared" ca="1" si="33"/>
        <v>0</v>
      </c>
      <c r="H149" s="1045">
        <f t="shared" ca="1" si="34"/>
        <v>0</v>
      </c>
      <c r="I149" s="1028"/>
      <c r="J149" s="1028"/>
      <c r="K149" s="1028"/>
      <c r="L149" s="1050"/>
      <c r="M149" s="1005"/>
      <c r="N149" s="1005"/>
      <c r="O149" s="1005"/>
      <c r="P149" s="1005"/>
      <c r="Q149" s="1005"/>
      <c r="R149" s="1005"/>
      <c r="S149" s="1005"/>
      <c r="T149" s="1005"/>
      <c r="U149" s="1005"/>
      <c r="V149" s="1005"/>
      <c r="W149" s="1005"/>
      <c r="X149" s="1005"/>
      <c r="Y149" s="1005"/>
      <c r="Z149" s="1005"/>
      <c r="AA149" s="1005"/>
      <c r="AB149" s="1005"/>
      <c r="AC149" s="1005"/>
      <c r="AD149" s="1005"/>
      <c r="AE149" s="1005"/>
      <c r="AF149" s="1005"/>
      <c r="AG149" s="1005"/>
      <c r="AH149" s="1005"/>
      <c r="AI149" s="1005"/>
      <c r="AJ149" s="1005"/>
      <c r="AK149" s="1005"/>
      <c r="AL149" s="1005"/>
      <c r="AM149" s="1005"/>
      <c r="AN149" s="1005"/>
      <c r="AO149" s="1005"/>
      <c r="AP149" s="1005"/>
      <c r="AQ149" s="1005"/>
      <c r="AR149" s="1005"/>
      <c r="AS149" s="1005"/>
      <c r="AT149" s="1005"/>
      <c r="AU149" s="1005"/>
      <c r="AV149" s="1005"/>
      <c r="AW149" s="1005"/>
      <c r="AX149" s="1005"/>
      <c r="AY149" s="1005"/>
      <c r="AZ149" s="1005"/>
      <c r="BA149" s="1005"/>
      <c r="BB149" s="1005"/>
      <c r="BC149" s="1005"/>
      <c r="BD149" s="1005"/>
      <c r="BE149" s="1005"/>
      <c r="BF149" s="1005"/>
      <c r="BG149" s="1005"/>
      <c r="BH149" s="1005"/>
      <c r="BI149" s="1005"/>
      <c r="BJ149" s="1005"/>
      <c r="BK149" s="1005"/>
      <c r="BL149" s="1005"/>
      <c r="BM149" s="1005"/>
      <c r="BN149" s="1005"/>
      <c r="BO149" s="1005"/>
      <c r="BP149" s="1005"/>
      <c r="BQ149" s="1005"/>
      <c r="BR149" s="1005"/>
      <c r="BS149" s="1005"/>
      <c r="BT149" s="1005"/>
      <c r="BU149" s="1005"/>
      <c r="BV149" s="1005"/>
      <c r="BW149" s="1005"/>
      <c r="BX149" s="1005"/>
      <c r="BY149" s="1005"/>
      <c r="BZ149" s="1005"/>
      <c r="CA149" s="1005"/>
      <c r="CB149" s="1005"/>
      <c r="CC149" s="1005"/>
      <c r="CD149" s="1005"/>
      <c r="CE149" s="1005"/>
      <c r="CF149" s="1005"/>
      <c r="CG149" s="1005"/>
      <c r="CH149" s="1005"/>
      <c r="CI149" s="1005"/>
      <c r="CJ149" s="1005"/>
      <c r="CK149" s="1005"/>
      <c r="CL149" s="1005"/>
      <c r="CM149" s="1005"/>
      <c r="CN149" s="1005"/>
      <c r="CO149" s="1005"/>
      <c r="CP149" s="1005"/>
      <c r="CQ149" s="1005"/>
      <c r="CR149" s="1005"/>
      <c r="CS149" s="1005"/>
      <c r="CT149" s="1005"/>
      <c r="CU149" s="1005"/>
      <c r="CV149" s="1005"/>
    </row>
    <row r="150" spans="1:100" s="1001" customFormat="1" outlineLevel="1" x14ac:dyDescent="0.2">
      <c r="A150" s="1008"/>
      <c r="B150" s="997"/>
      <c r="C150" s="998"/>
      <c r="D150" s="999"/>
      <c r="E150" s="1052" t="s">
        <v>810</v>
      </c>
      <c r="F150" s="359">
        <f ca="1">SUM(F147:F149)</f>
        <v>1997.3077200000002</v>
      </c>
      <c r="G150" s="359">
        <f t="shared" ca="1" si="33"/>
        <v>9986.5386000000017</v>
      </c>
      <c r="H150" s="1048">
        <f t="shared" ca="1" si="34"/>
        <v>4.5908116374716139E-3</v>
      </c>
      <c r="I150" s="1028"/>
      <c r="J150" s="1028"/>
      <c r="K150" s="1028"/>
      <c r="L150" s="1050"/>
      <c r="M150" s="1005"/>
      <c r="N150" s="1005"/>
      <c r="O150" s="1005"/>
      <c r="P150" s="1005"/>
      <c r="Q150" s="1005"/>
      <c r="R150" s="1005"/>
      <c r="S150" s="1005"/>
      <c r="T150" s="1005"/>
      <c r="U150" s="1005"/>
      <c r="V150" s="1005"/>
      <c r="W150" s="1005"/>
      <c r="X150" s="1005"/>
      <c r="Y150" s="1005"/>
      <c r="Z150" s="1005"/>
      <c r="AA150" s="1005"/>
      <c r="AB150" s="1005"/>
      <c r="AC150" s="1005"/>
      <c r="AD150" s="1005"/>
      <c r="AE150" s="1005"/>
      <c r="AF150" s="1005"/>
      <c r="AG150" s="1005"/>
      <c r="AH150" s="1005"/>
      <c r="AI150" s="1005"/>
      <c r="AJ150" s="1005"/>
      <c r="AK150" s="1005"/>
      <c r="AL150" s="1005"/>
      <c r="AM150" s="1005"/>
      <c r="AN150" s="1005"/>
      <c r="AO150" s="1005"/>
      <c r="AP150" s="1005"/>
      <c r="AQ150" s="1005"/>
      <c r="AR150" s="1005"/>
      <c r="AS150" s="1005"/>
      <c r="AT150" s="1005"/>
      <c r="AU150" s="1005"/>
      <c r="AV150" s="1005"/>
      <c r="AW150" s="1005"/>
      <c r="AX150" s="1005"/>
      <c r="AY150" s="1005"/>
      <c r="AZ150" s="1005"/>
      <c r="BA150" s="1005"/>
      <c r="BB150" s="1005"/>
      <c r="BC150" s="1005"/>
      <c r="BD150" s="1005"/>
      <c r="BE150" s="1005"/>
      <c r="BF150" s="1005"/>
      <c r="BG150" s="1005"/>
      <c r="BH150" s="1005"/>
      <c r="BI150" s="1005"/>
      <c r="BJ150" s="1005"/>
      <c r="BK150" s="1005"/>
      <c r="BL150" s="1005"/>
      <c r="BM150" s="1005"/>
      <c r="BN150" s="1005"/>
      <c r="BO150" s="1005"/>
      <c r="BP150" s="1005"/>
      <c r="BQ150" s="1005"/>
      <c r="BR150" s="1005"/>
      <c r="BS150" s="1005"/>
      <c r="BT150" s="1005"/>
      <c r="BU150" s="1005"/>
      <c r="BV150" s="1005"/>
      <c r="BW150" s="1005"/>
      <c r="BX150" s="1005"/>
      <c r="BY150" s="1005"/>
      <c r="BZ150" s="1005"/>
      <c r="CA150" s="1005"/>
      <c r="CB150" s="1005"/>
      <c r="CC150" s="1005"/>
      <c r="CD150" s="1005"/>
      <c r="CE150" s="1005"/>
      <c r="CF150" s="1005"/>
      <c r="CG150" s="1005"/>
      <c r="CH150" s="1005"/>
      <c r="CI150" s="1005"/>
      <c r="CJ150" s="1005"/>
      <c r="CK150" s="1005"/>
      <c r="CL150" s="1005"/>
      <c r="CM150" s="1005"/>
      <c r="CN150" s="1005"/>
      <c r="CO150" s="1005"/>
      <c r="CP150" s="1005"/>
      <c r="CQ150" s="1005"/>
      <c r="CR150" s="1005"/>
      <c r="CS150" s="1005"/>
      <c r="CT150" s="1005"/>
      <c r="CU150" s="1005"/>
      <c r="CV150" s="1005"/>
    </row>
    <row r="151" spans="1:100" s="1001" customFormat="1" outlineLevel="1" x14ac:dyDescent="0.2">
      <c r="A151" s="1008"/>
      <c r="B151" s="997"/>
      <c r="C151" s="998"/>
      <c r="D151" s="999"/>
      <c r="E151" s="1049" t="s">
        <v>581</v>
      </c>
      <c r="F151" s="332">
        <f xml:space="preserve"> 'S&amp;U'!H29</f>
        <v>325</v>
      </c>
      <c r="G151" s="332">
        <f t="shared" ca="1" si="33"/>
        <v>1625</v>
      </c>
      <c r="H151" s="1045">
        <f t="shared" ca="1" si="34"/>
        <v>7.4701247446150873E-4</v>
      </c>
      <c r="I151" s="1028"/>
      <c r="J151" s="1028"/>
      <c r="K151" s="1028"/>
      <c r="L151" s="1050"/>
      <c r="M151" s="1005"/>
      <c r="N151" s="1005"/>
      <c r="O151" s="1005"/>
      <c r="P151" s="1005"/>
      <c r="Q151" s="1005"/>
      <c r="R151" s="1005"/>
      <c r="S151" s="1005"/>
      <c r="T151" s="1005"/>
      <c r="U151" s="1005"/>
      <c r="V151" s="1005"/>
      <c r="W151" s="1005"/>
      <c r="X151" s="1005"/>
      <c r="Y151" s="1005"/>
      <c r="Z151" s="1005"/>
      <c r="AA151" s="1005"/>
      <c r="AB151" s="1005"/>
      <c r="AC151" s="1005"/>
      <c r="AD151" s="1005"/>
      <c r="AE151" s="1005"/>
      <c r="AF151" s="1005"/>
      <c r="AG151" s="1005"/>
      <c r="AH151" s="1005"/>
      <c r="AI151" s="1005"/>
      <c r="AJ151" s="1005"/>
      <c r="AK151" s="1005"/>
      <c r="AL151" s="1005"/>
      <c r="AM151" s="1005"/>
      <c r="AN151" s="1005"/>
      <c r="AO151" s="1005"/>
      <c r="AP151" s="1005"/>
      <c r="AQ151" s="1005"/>
      <c r="AR151" s="1005"/>
      <c r="AS151" s="1005"/>
      <c r="AT151" s="1005"/>
      <c r="AU151" s="1005"/>
      <c r="AV151" s="1005"/>
      <c r="AW151" s="1005"/>
      <c r="AX151" s="1005"/>
      <c r="AY151" s="1005"/>
      <c r="AZ151" s="1005"/>
      <c r="BA151" s="1005"/>
      <c r="BB151" s="1005"/>
      <c r="BC151" s="1005"/>
      <c r="BD151" s="1005"/>
      <c r="BE151" s="1005"/>
      <c r="BF151" s="1005"/>
      <c r="BG151" s="1005"/>
      <c r="BH151" s="1005"/>
      <c r="BI151" s="1005"/>
      <c r="BJ151" s="1005"/>
      <c r="BK151" s="1005"/>
      <c r="BL151" s="1005"/>
      <c r="BM151" s="1005"/>
      <c r="BN151" s="1005"/>
      <c r="BO151" s="1005"/>
      <c r="BP151" s="1005"/>
      <c r="BQ151" s="1005"/>
      <c r="BR151" s="1005"/>
      <c r="BS151" s="1005"/>
      <c r="BT151" s="1005"/>
      <c r="BU151" s="1005"/>
      <c r="BV151" s="1005"/>
      <c r="BW151" s="1005"/>
      <c r="BX151" s="1005"/>
      <c r="BY151" s="1005"/>
      <c r="BZ151" s="1005"/>
      <c r="CA151" s="1005"/>
      <c r="CB151" s="1005"/>
      <c r="CC151" s="1005"/>
      <c r="CD151" s="1005"/>
      <c r="CE151" s="1005"/>
      <c r="CF151" s="1005"/>
      <c r="CG151" s="1005"/>
      <c r="CH151" s="1005"/>
      <c r="CI151" s="1005"/>
      <c r="CJ151" s="1005"/>
      <c r="CK151" s="1005"/>
      <c r="CL151" s="1005"/>
      <c r="CM151" s="1005"/>
      <c r="CN151" s="1005"/>
      <c r="CO151" s="1005"/>
      <c r="CP151" s="1005"/>
      <c r="CQ151" s="1005"/>
      <c r="CR151" s="1005"/>
      <c r="CS151" s="1005"/>
      <c r="CT151" s="1005"/>
      <c r="CU151" s="1005"/>
      <c r="CV151" s="1005"/>
    </row>
    <row r="152" spans="1:100" s="1001" customFormat="1" outlineLevel="1" x14ac:dyDescent="0.2">
      <c r="A152" s="1008"/>
      <c r="B152" s="1008"/>
      <c r="C152" s="1017"/>
      <c r="D152" s="1018"/>
      <c r="E152" s="1052" t="s">
        <v>581</v>
      </c>
      <c r="F152" s="359">
        <f ca="1" xml:space="preserve"> F151</f>
        <v>325</v>
      </c>
      <c r="G152" s="359">
        <f t="shared" ca="1" si="33"/>
        <v>1625</v>
      </c>
      <c r="H152" s="1048">
        <f t="shared" ca="1" si="34"/>
        <v>7.4701247446150873E-4</v>
      </c>
      <c r="I152" s="1028"/>
      <c r="J152" s="1028"/>
      <c r="K152" s="1028"/>
      <c r="L152" s="1050"/>
      <c r="M152" s="1005"/>
      <c r="N152" s="1005"/>
      <c r="O152" s="1005"/>
      <c r="P152" s="1005"/>
      <c r="Q152" s="1005"/>
      <c r="R152" s="1005"/>
      <c r="S152" s="1005"/>
      <c r="T152" s="1005"/>
      <c r="U152" s="1005"/>
      <c r="V152" s="1005"/>
      <c r="W152" s="1005"/>
      <c r="X152" s="1005"/>
      <c r="Y152" s="1005"/>
      <c r="Z152" s="1005"/>
      <c r="AA152" s="1005"/>
      <c r="AB152" s="1005"/>
      <c r="AC152" s="1005"/>
      <c r="AD152" s="1005"/>
      <c r="AE152" s="1005"/>
      <c r="AF152" s="1005"/>
      <c r="AG152" s="1005"/>
      <c r="AH152" s="1005"/>
      <c r="AI152" s="1005"/>
      <c r="AJ152" s="1005"/>
      <c r="AK152" s="1005"/>
      <c r="AL152" s="1005"/>
      <c r="AM152" s="1005"/>
      <c r="AN152" s="1005"/>
      <c r="AO152" s="1005"/>
      <c r="AP152" s="1005"/>
      <c r="AQ152" s="1005"/>
      <c r="AR152" s="1005"/>
      <c r="AS152" s="1005"/>
      <c r="AT152" s="1005"/>
      <c r="AU152" s="1005"/>
      <c r="AV152" s="1005"/>
      <c r="AW152" s="1005"/>
      <c r="AX152" s="1005"/>
      <c r="AY152" s="1005"/>
      <c r="AZ152" s="1005"/>
      <c r="BA152" s="1005"/>
      <c r="BB152" s="1005"/>
      <c r="BC152" s="1005"/>
      <c r="BD152" s="1005"/>
      <c r="BE152" s="1005"/>
      <c r="BF152" s="1005"/>
      <c r="BG152" s="1005"/>
      <c r="BH152" s="1005"/>
      <c r="BI152" s="1005"/>
      <c r="BJ152" s="1005"/>
      <c r="BK152" s="1005"/>
      <c r="BL152" s="1005"/>
      <c r="BM152" s="1005"/>
      <c r="BN152" s="1005"/>
      <c r="BO152" s="1005"/>
      <c r="BP152" s="1005"/>
      <c r="BQ152" s="1005"/>
      <c r="BR152" s="1005"/>
      <c r="BS152" s="1005"/>
      <c r="BT152" s="1005"/>
      <c r="BU152" s="1005"/>
      <c r="BV152" s="1005"/>
      <c r="BW152" s="1005"/>
      <c r="BX152" s="1005"/>
      <c r="BY152" s="1005"/>
      <c r="BZ152" s="1005"/>
      <c r="CA152" s="1005"/>
      <c r="CB152" s="1005"/>
      <c r="CC152" s="1005"/>
      <c r="CD152" s="1005"/>
      <c r="CE152" s="1005"/>
      <c r="CF152" s="1005"/>
      <c r="CG152" s="1005"/>
      <c r="CH152" s="1005"/>
      <c r="CI152" s="1005"/>
      <c r="CJ152" s="1005"/>
      <c r="CK152" s="1005"/>
      <c r="CL152" s="1005"/>
      <c r="CM152" s="1005"/>
      <c r="CN152" s="1005"/>
      <c r="CO152" s="1005"/>
      <c r="CP152" s="1005"/>
      <c r="CQ152" s="1005"/>
      <c r="CR152" s="1005"/>
      <c r="CS152" s="1005"/>
      <c r="CT152" s="1005"/>
      <c r="CU152" s="1005"/>
      <c r="CV152" s="1005"/>
    </row>
    <row r="153" spans="1:100" s="1001" customFormat="1" outlineLevel="1" x14ac:dyDescent="0.2">
      <c r="A153" s="1008"/>
      <c r="B153" s="997"/>
      <c r="C153" s="998"/>
      <c r="D153" s="999"/>
      <c r="E153" s="1044" t="s">
        <v>508</v>
      </c>
      <c r="F153" s="192">
        <f xml:space="preserve"> 'S&amp;U'!H31</f>
        <v>1294.7739489543146</v>
      </c>
      <c r="G153" s="192">
        <f t="shared" ca="1" si="33"/>
        <v>6473.8697447715731</v>
      </c>
      <c r="H153" s="1045">
        <f t="shared" ca="1" si="34"/>
        <v>2.9760378199281904E-3</v>
      </c>
      <c r="I153" s="1028"/>
      <c r="J153" s="1028"/>
      <c r="K153" s="1028"/>
      <c r="L153" s="1050"/>
      <c r="M153" s="1005"/>
      <c r="N153" s="1005"/>
      <c r="O153" s="1005"/>
      <c r="P153" s="1005"/>
      <c r="Q153" s="1005"/>
      <c r="R153" s="1005"/>
      <c r="S153" s="1005"/>
      <c r="T153" s="1005"/>
      <c r="U153" s="1005"/>
      <c r="V153" s="1005"/>
      <c r="W153" s="1005"/>
      <c r="X153" s="1005"/>
      <c r="Y153" s="1005"/>
      <c r="Z153" s="1005"/>
      <c r="AA153" s="1005"/>
      <c r="AB153" s="1005"/>
      <c r="AC153" s="1005"/>
      <c r="AD153" s="1005"/>
      <c r="AE153" s="1005"/>
      <c r="AF153" s="1005"/>
      <c r="AG153" s="1005"/>
      <c r="AH153" s="1005"/>
      <c r="AI153" s="1005"/>
      <c r="AJ153" s="1005"/>
      <c r="AK153" s="1005"/>
      <c r="AL153" s="1005"/>
      <c r="AM153" s="1005"/>
      <c r="AN153" s="1005"/>
      <c r="AO153" s="1005"/>
      <c r="AP153" s="1005"/>
      <c r="AQ153" s="1005"/>
      <c r="AR153" s="1005"/>
      <c r="AS153" s="1005"/>
      <c r="AT153" s="1005"/>
      <c r="AU153" s="1005"/>
      <c r="AV153" s="1005"/>
      <c r="AW153" s="1005"/>
      <c r="AX153" s="1005"/>
      <c r="AY153" s="1005"/>
      <c r="AZ153" s="1005"/>
      <c r="BA153" s="1005"/>
      <c r="BB153" s="1005"/>
      <c r="BC153" s="1005"/>
      <c r="BD153" s="1005"/>
      <c r="BE153" s="1005"/>
      <c r="BF153" s="1005"/>
      <c r="BG153" s="1005"/>
      <c r="BH153" s="1005"/>
      <c r="BI153" s="1005"/>
      <c r="BJ153" s="1005"/>
      <c r="BK153" s="1005"/>
      <c r="BL153" s="1005"/>
      <c r="BM153" s="1005"/>
      <c r="BN153" s="1005"/>
      <c r="BO153" s="1005"/>
      <c r="BP153" s="1005"/>
      <c r="BQ153" s="1005"/>
      <c r="BR153" s="1005"/>
      <c r="BS153" s="1005"/>
      <c r="BT153" s="1005"/>
      <c r="BU153" s="1005"/>
      <c r="BV153" s="1005"/>
      <c r="BW153" s="1005"/>
      <c r="BX153" s="1005"/>
      <c r="BY153" s="1005"/>
      <c r="BZ153" s="1005"/>
      <c r="CA153" s="1005"/>
      <c r="CB153" s="1005"/>
      <c r="CC153" s="1005"/>
      <c r="CD153" s="1005"/>
      <c r="CE153" s="1005"/>
      <c r="CF153" s="1005"/>
      <c r="CG153" s="1005"/>
      <c r="CH153" s="1005"/>
      <c r="CI153" s="1005"/>
      <c r="CJ153" s="1005"/>
      <c r="CK153" s="1005"/>
      <c r="CL153" s="1005"/>
      <c r="CM153" s="1005"/>
      <c r="CN153" s="1005"/>
      <c r="CO153" s="1005"/>
      <c r="CP153" s="1005"/>
      <c r="CQ153" s="1005"/>
      <c r="CR153" s="1005"/>
      <c r="CS153" s="1005"/>
      <c r="CT153" s="1005"/>
      <c r="CU153" s="1005"/>
      <c r="CV153" s="1005"/>
    </row>
    <row r="154" spans="1:100" s="1001" customFormat="1" outlineLevel="1" x14ac:dyDescent="0.2">
      <c r="A154" s="1008"/>
      <c r="B154" s="997"/>
      <c r="C154" s="998"/>
      <c r="D154" s="999"/>
      <c r="E154" s="1044" t="s">
        <v>509</v>
      </c>
      <c r="F154" s="192">
        <f xml:space="preserve"> 'S&amp;U'!H32</f>
        <v>160.09844613595186</v>
      </c>
      <c r="G154" s="192">
        <f t="shared" ca="1" si="33"/>
        <v>800.49223067975936</v>
      </c>
      <c r="H154" s="1045">
        <f t="shared" ca="1" si="34"/>
        <v>3.6798626586295377E-4</v>
      </c>
      <c r="I154" s="1028"/>
      <c r="J154" s="1028"/>
      <c r="K154" s="1028"/>
      <c r="L154" s="1050"/>
      <c r="M154" s="1005"/>
      <c r="N154" s="1005"/>
      <c r="O154" s="1005"/>
      <c r="P154" s="1005"/>
      <c r="Q154" s="1005"/>
      <c r="R154" s="1005"/>
      <c r="S154" s="1005"/>
      <c r="T154" s="1005"/>
      <c r="U154" s="1005"/>
      <c r="V154" s="1005"/>
      <c r="W154" s="1005"/>
      <c r="X154" s="1005"/>
      <c r="Y154" s="1005"/>
      <c r="Z154" s="1005"/>
      <c r="AA154" s="1005"/>
      <c r="AB154" s="1005"/>
      <c r="AC154" s="1005"/>
      <c r="AD154" s="1005"/>
      <c r="AE154" s="1005"/>
      <c r="AF154" s="1005"/>
      <c r="AG154" s="1005"/>
      <c r="AH154" s="1005"/>
      <c r="AI154" s="1005"/>
      <c r="AJ154" s="1005"/>
      <c r="AK154" s="1005"/>
      <c r="AL154" s="1005"/>
      <c r="AM154" s="1005"/>
      <c r="AN154" s="1005"/>
      <c r="AO154" s="1005"/>
      <c r="AP154" s="1005"/>
      <c r="AQ154" s="1005"/>
      <c r="AR154" s="1005"/>
      <c r="AS154" s="1005"/>
      <c r="AT154" s="1005"/>
      <c r="AU154" s="1005"/>
      <c r="AV154" s="1005"/>
      <c r="AW154" s="1005"/>
      <c r="AX154" s="1005"/>
      <c r="AY154" s="1005"/>
      <c r="AZ154" s="1005"/>
      <c r="BA154" s="1005"/>
      <c r="BB154" s="1005"/>
      <c r="BC154" s="1005"/>
      <c r="BD154" s="1005"/>
      <c r="BE154" s="1005"/>
      <c r="BF154" s="1005"/>
      <c r="BG154" s="1005"/>
      <c r="BH154" s="1005"/>
      <c r="BI154" s="1005"/>
      <c r="BJ154" s="1005"/>
      <c r="BK154" s="1005"/>
      <c r="BL154" s="1005"/>
      <c r="BM154" s="1005"/>
      <c r="BN154" s="1005"/>
      <c r="BO154" s="1005"/>
      <c r="BP154" s="1005"/>
      <c r="BQ154" s="1005"/>
      <c r="BR154" s="1005"/>
      <c r="BS154" s="1005"/>
      <c r="BT154" s="1005"/>
      <c r="BU154" s="1005"/>
      <c r="BV154" s="1005"/>
      <c r="BW154" s="1005"/>
      <c r="BX154" s="1005"/>
      <c r="BY154" s="1005"/>
      <c r="BZ154" s="1005"/>
      <c r="CA154" s="1005"/>
      <c r="CB154" s="1005"/>
      <c r="CC154" s="1005"/>
      <c r="CD154" s="1005"/>
      <c r="CE154" s="1005"/>
      <c r="CF154" s="1005"/>
      <c r="CG154" s="1005"/>
      <c r="CH154" s="1005"/>
      <c r="CI154" s="1005"/>
      <c r="CJ154" s="1005"/>
      <c r="CK154" s="1005"/>
      <c r="CL154" s="1005"/>
      <c r="CM154" s="1005"/>
      <c r="CN154" s="1005"/>
      <c r="CO154" s="1005"/>
      <c r="CP154" s="1005"/>
      <c r="CQ154" s="1005"/>
      <c r="CR154" s="1005"/>
      <c r="CS154" s="1005"/>
      <c r="CT154" s="1005"/>
      <c r="CU154" s="1005"/>
      <c r="CV154" s="1005"/>
    </row>
    <row r="155" spans="1:100" s="1001" customFormat="1" outlineLevel="1" x14ac:dyDescent="0.2">
      <c r="A155" s="1008"/>
      <c r="B155" s="997"/>
      <c r="C155" s="998"/>
      <c r="D155" s="999"/>
      <c r="E155" s="1044" t="s">
        <v>522</v>
      </c>
      <c r="F155" s="192">
        <f xml:space="preserve"> 'S&amp;U'!H33</f>
        <v>6742.148787806902</v>
      </c>
      <c r="G155" s="192">
        <f t="shared" ca="1" si="33"/>
        <v>33710.74393903451</v>
      </c>
      <c r="H155" s="1045">
        <f t="shared" ca="1" si="34"/>
        <v>1.5496828458976295E-2</v>
      </c>
      <c r="I155" s="1028"/>
      <c r="J155" s="1028"/>
      <c r="K155" s="1028"/>
      <c r="L155" s="1050"/>
      <c r="M155" s="1005"/>
      <c r="N155" s="1005"/>
      <c r="O155" s="1005"/>
      <c r="P155" s="1005"/>
      <c r="Q155" s="1005"/>
      <c r="R155" s="1005"/>
      <c r="S155" s="1005"/>
      <c r="T155" s="1005"/>
      <c r="U155" s="1005"/>
      <c r="V155" s="1005"/>
      <c r="W155" s="1005"/>
      <c r="X155" s="1005"/>
      <c r="Y155" s="1005"/>
      <c r="Z155" s="1005"/>
      <c r="AA155" s="1005"/>
      <c r="AB155" s="1005"/>
      <c r="AC155" s="1005"/>
      <c r="AD155" s="1005"/>
      <c r="AE155" s="1005"/>
      <c r="AF155" s="1005"/>
      <c r="AG155" s="1005"/>
      <c r="AH155" s="1005"/>
      <c r="AI155" s="1005"/>
      <c r="AJ155" s="1005"/>
      <c r="AK155" s="1005"/>
      <c r="AL155" s="1005"/>
      <c r="AM155" s="1005"/>
      <c r="AN155" s="1005"/>
      <c r="AO155" s="1005"/>
      <c r="AP155" s="1005"/>
      <c r="AQ155" s="1005"/>
      <c r="AR155" s="1005"/>
      <c r="AS155" s="1005"/>
      <c r="AT155" s="1005"/>
      <c r="AU155" s="1005"/>
      <c r="AV155" s="1005"/>
      <c r="AW155" s="1005"/>
      <c r="AX155" s="1005"/>
      <c r="AY155" s="1005"/>
      <c r="AZ155" s="1005"/>
      <c r="BA155" s="1005"/>
      <c r="BB155" s="1005"/>
      <c r="BC155" s="1005"/>
      <c r="BD155" s="1005"/>
      <c r="BE155" s="1005"/>
      <c r="BF155" s="1005"/>
      <c r="BG155" s="1005"/>
      <c r="BH155" s="1005"/>
      <c r="BI155" s="1005"/>
      <c r="BJ155" s="1005"/>
      <c r="BK155" s="1005"/>
      <c r="BL155" s="1005"/>
      <c r="BM155" s="1005"/>
      <c r="BN155" s="1005"/>
      <c r="BO155" s="1005"/>
      <c r="BP155" s="1005"/>
      <c r="BQ155" s="1005"/>
      <c r="BR155" s="1005"/>
      <c r="BS155" s="1005"/>
      <c r="BT155" s="1005"/>
      <c r="BU155" s="1005"/>
      <c r="BV155" s="1005"/>
      <c r="BW155" s="1005"/>
      <c r="BX155" s="1005"/>
      <c r="BY155" s="1005"/>
      <c r="BZ155" s="1005"/>
      <c r="CA155" s="1005"/>
      <c r="CB155" s="1005"/>
      <c r="CC155" s="1005"/>
      <c r="CD155" s="1005"/>
      <c r="CE155" s="1005"/>
      <c r="CF155" s="1005"/>
      <c r="CG155" s="1005"/>
      <c r="CH155" s="1005"/>
      <c r="CI155" s="1005"/>
      <c r="CJ155" s="1005"/>
      <c r="CK155" s="1005"/>
      <c r="CL155" s="1005"/>
      <c r="CM155" s="1005"/>
      <c r="CN155" s="1005"/>
      <c r="CO155" s="1005"/>
      <c r="CP155" s="1005"/>
      <c r="CQ155" s="1005"/>
      <c r="CR155" s="1005"/>
      <c r="CS155" s="1005"/>
      <c r="CT155" s="1005"/>
      <c r="CU155" s="1005"/>
      <c r="CV155" s="1005"/>
    </row>
    <row r="156" spans="1:100" s="1001" customFormat="1" outlineLevel="1" x14ac:dyDescent="0.2">
      <c r="A156" s="1008"/>
      <c r="B156" s="997"/>
      <c r="C156" s="998"/>
      <c r="D156" s="999"/>
      <c r="E156" s="1052" t="s">
        <v>811</v>
      </c>
      <c r="F156" s="359">
        <f ca="1">SUM(F153:F155)</f>
        <v>8197.0211828971678</v>
      </c>
      <c r="G156" s="359">
        <f t="shared" ca="1" si="33"/>
        <v>40985.105914485837</v>
      </c>
      <c r="H156" s="1048">
        <f t="shared" ca="1" si="34"/>
        <v>1.8840852544767438E-2</v>
      </c>
      <c r="I156" s="1028"/>
      <c r="J156" s="1028"/>
      <c r="K156" s="1028"/>
      <c r="L156" s="1050"/>
      <c r="M156" s="1005"/>
      <c r="N156" s="1005"/>
      <c r="O156" s="1005"/>
      <c r="P156" s="1005"/>
      <c r="Q156" s="1005"/>
      <c r="R156" s="1005"/>
      <c r="S156" s="1005"/>
      <c r="T156" s="1005"/>
      <c r="U156" s="1005"/>
      <c r="V156" s="1005"/>
      <c r="W156" s="1005"/>
      <c r="X156" s="1005"/>
      <c r="Y156" s="1005"/>
      <c r="Z156" s="1005"/>
      <c r="AA156" s="1005"/>
      <c r="AB156" s="1005"/>
      <c r="AC156" s="1005"/>
      <c r="AD156" s="1005"/>
      <c r="AE156" s="1005"/>
      <c r="AF156" s="1005"/>
      <c r="AG156" s="1005"/>
      <c r="AH156" s="1005"/>
      <c r="AI156" s="1005"/>
      <c r="AJ156" s="1005"/>
      <c r="AK156" s="1005"/>
      <c r="AL156" s="1005"/>
      <c r="AM156" s="1005"/>
      <c r="AN156" s="1005"/>
      <c r="AO156" s="1005"/>
      <c r="AP156" s="1005"/>
      <c r="AQ156" s="1005"/>
      <c r="AR156" s="1005"/>
      <c r="AS156" s="1005"/>
      <c r="AT156" s="1005"/>
      <c r="AU156" s="1005"/>
      <c r="AV156" s="1005"/>
      <c r="AW156" s="1005"/>
      <c r="AX156" s="1005"/>
      <c r="AY156" s="1005"/>
      <c r="AZ156" s="1005"/>
      <c r="BA156" s="1005"/>
      <c r="BB156" s="1005"/>
      <c r="BC156" s="1005"/>
      <c r="BD156" s="1005"/>
      <c r="BE156" s="1005"/>
      <c r="BF156" s="1005"/>
      <c r="BG156" s="1005"/>
      <c r="BH156" s="1005"/>
      <c r="BI156" s="1005"/>
      <c r="BJ156" s="1005"/>
      <c r="BK156" s="1005"/>
      <c r="BL156" s="1005"/>
      <c r="BM156" s="1005"/>
      <c r="BN156" s="1005"/>
      <c r="BO156" s="1005"/>
      <c r="BP156" s="1005"/>
      <c r="BQ156" s="1005"/>
      <c r="BR156" s="1005"/>
      <c r="BS156" s="1005"/>
      <c r="BT156" s="1005"/>
      <c r="BU156" s="1005"/>
      <c r="BV156" s="1005"/>
      <c r="BW156" s="1005"/>
      <c r="BX156" s="1005"/>
      <c r="BY156" s="1005"/>
      <c r="BZ156" s="1005"/>
      <c r="CA156" s="1005"/>
      <c r="CB156" s="1005"/>
      <c r="CC156" s="1005"/>
      <c r="CD156" s="1005"/>
      <c r="CE156" s="1005"/>
      <c r="CF156" s="1005"/>
      <c r="CG156" s="1005"/>
      <c r="CH156" s="1005"/>
      <c r="CI156" s="1005"/>
      <c r="CJ156" s="1005"/>
      <c r="CK156" s="1005"/>
      <c r="CL156" s="1005"/>
      <c r="CM156" s="1005"/>
      <c r="CN156" s="1005"/>
      <c r="CO156" s="1005"/>
      <c r="CP156" s="1005"/>
      <c r="CQ156" s="1005"/>
      <c r="CR156" s="1005"/>
      <c r="CS156" s="1005"/>
      <c r="CT156" s="1005"/>
      <c r="CU156" s="1005"/>
      <c r="CV156" s="1005"/>
    </row>
    <row r="157" spans="1:100" s="1001" customFormat="1" outlineLevel="1" x14ac:dyDescent="0.2">
      <c r="A157" s="1008"/>
      <c r="B157" s="997"/>
      <c r="C157" s="998"/>
      <c r="D157" s="999"/>
      <c r="E157" s="1044" t="s">
        <v>818</v>
      </c>
      <c r="F157" s="192">
        <f xml:space="preserve"> 'S&amp;U'!H35</f>
        <v>5258.1868974664449</v>
      </c>
      <c r="G157" s="192">
        <f t="shared" ca="1" si="33"/>
        <v>26290.934487332226</v>
      </c>
      <c r="H157" s="1045">
        <f t="shared" ca="1" si="34"/>
        <v>1.208594217063844E-2</v>
      </c>
      <c r="I157" s="1028"/>
      <c r="J157" s="1028"/>
      <c r="K157" s="1028"/>
      <c r="L157" s="1050"/>
      <c r="M157" s="1005"/>
      <c r="N157" s="1005"/>
      <c r="O157" s="1005"/>
      <c r="P157" s="1005"/>
      <c r="Q157" s="1005"/>
      <c r="R157" s="1005"/>
      <c r="S157" s="1005"/>
      <c r="T157" s="1005"/>
      <c r="U157" s="1005"/>
      <c r="V157" s="1005"/>
      <c r="W157" s="1005"/>
      <c r="X157" s="1005"/>
      <c r="Y157" s="1005"/>
      <c r="Z157" s="1005"/>
      <c r="AA157" s="1005"/>
      <c r="AB157" s="1005"/>
      <c r="AC157" s="1005"/>
      <c r="AD157" s="1005"/>
      <c r="AE157" s="1005"/>
      <c r="AF157" s="1005"/>
      <c r="AG157" s="1005"/>
      <c r="AH157" s="1005"/>
      <c r="AI157" s="1005"/>
      <c r="AJ157" s="1005"/>
      <c r="AK157" s="1005"/>
      <c r="AL157" s="1005"/>
      <c r="AM157" s="1005"/>
      <c r="AN157" s="1005"/>
      <c r="AO157" s="1005"/>
      <c r="AP157" s="1005"/>
      <c r="AQ157" s="1005"/>
      <c r="AR157" s="1005"/>
      <c r="AS157" s="1005"/>
      <c r="AT157" s="1005"/>
      <c r="AU157" s="1005"/>
      <c r="AV157" s="1005"/>
      <c r="AW157" s="1005"/>
      <c r="AX157" s="1005"/>
      <c r="AY157" s="1005"/>
      <c r="AZ157" s="1005"/>
      <c r="BA157" s="1005"/>
      <c r="BB157" s="1005"/>
      <c r="BC157" s="1005"/>
      <c r="BD157" s="1005"/>
      <c r="BE157" s="1005"/>
      <c r="BF157" s="1005"/>
      <c r="BG157" s="1005"/>
      <c r="BH157" s="1005"/>
      <c r="BI157" s="1005"/>
      <c r="BJ157" s="1005"/>
      <c r="BK157" s="1005"/>
      <c r="BL157" s="1005"/>
      <c r="BM157" s="1005"/>
      <c r="BN157" s="1005"/>
      <c r="BO157" s="1005"/>
      <c r="BP157" s="1005"/>
      <c r="BQ157" s="1005"/>
      <c r="BR157" s="1005"/>
      <c r="BS157" s="1005"/>
      <c r="BT157" s="1005"/>
      <c r="BU157" s="1005"/>
      <c r="BV157" s="1005"/>
      <c r="BW157" s="1005"/>
      <c r="BX157" s="1005"/>
      <c r="BY157" s="1005"/>
      <c r="BZ157" s="1005"/>
      <c r="CA157" s="1005"/>
      <c r="CB157" s="1005"/>
      <c r="CC157" s="1005"/>
      <c r="CD157" s="1005"/>
      <c r="CE157" s="1005"/>
      <c r="CF157" s="1005"/>
      <c r="CG157" s="1005"/>
      <c r="CH157" s="1005"/>
      <c r="CI157" s="1005"/>
      <c r="CJ157" s="1005"/>
      <c r="CK157" s="1005"/>
      <c r="CL157" s="1005"/>
      <c r="CM157" s="1005"/>
      <c r="CN157" s="1005"/>
      <c r="CO157" s="1005"/>
      <c r="CP157" s="1005"/>
      <c r="CQ157" s="1005"/>
      <c r="CR157" s="1005"/>
      <c r="CS157" s="1005"/>
      <c r="CT157" s="1005"/>
      <c r="CU157" s="1005"/>
      <c r="CV157" s="1005"/>
    </row>
    <row r="158" spans="1:100" s="1001" customFormat="1" outlineLevel="1" x14ac:dyDescent="0.2">
      <c r="A158" s="1008"/>
      <c r="B158" s="997"/>
      <c r="C158" s="998"/>
      <c r="D158" s="999"/>
      <c r="E158" s="1044" t="s">
        <v>279</v>
      </c>
      <c r="F158" s="192">
        <f xml:space="preserve"> 'S&amp;U'!H36</f>
        <v>2738.4570389187838</v>
      </c>
      <c r="G158" s="192">
        <f t="shared" ca="1" si="33"/>
        <v>13692.285194593918</v>
      </c>
      <c r="H158" s="1045">
        <f t="shared" ca="1" si="34"/>
        <v>6.2943432887669444E-3</v>
      </c>
      <c r="I158" s="1028"/>
      <c r="J158" s="1028"/>
      <c r="K158" s="1028"/>
      <c r="L158" s="1050"/>
      <c r="M158" s="1005"/>
      <c r="N158" s="1005"/>
      <c r="O158" s="1005"/>
      <c r="P158" s="1005"/>
      <c r="Q158" s="1005"/>
      <c r="R158" s="1005"/>
      <c r="S158" s="1005"/>
      <c r="T158" s="1005"/>
      <c r="U158" s="1005"/>
      <c r="V158" s="1005"/>
      <c r="W158" s="1005"/>
      <c r="X158" s="1005"/>
      <c r="Y158" s="1005"/>
      <c r="Z158" s="1005"/>
      <c r="AA158" s="1005"/>
      <c r="AB158" s="1005"/>
      <c r="AC158" s="1005"/>
      <c r="AD158" s="1005"/>
      <c r="AE158" s="1005"/>
      <c r="AF158" s="1005"/>
      <c r="AG158" s="1005"/>
      <c r="AH158" s="1005"/>
      <c r="AI158" s="1005"/>
      <c r="AJ158" s="1005"/>
      <c r="AK158" s="1005"/>
      <c r="AL158" s="1005"/>
      <c r="AM158" s="1005"/>
      <c r="AN158" s="1005"/>
      <c r="AO158" s="1005"/>
      <c r="AP158" s="1005"/>
      <c r="AQ158" s="1005"/>
      <c r="AR158" s="1005"/>
      <c r="AS158" s="1005"/>
      <c r="AT158" s="1005"/>
      <c r="AU158" s="1005"/>
      <c r="AV158" s="1005"/>
      <c r="AW158" s="1005"/>
      <c r="AX158" s="1005"/>
      <c r="AY158" s="1005"/>
      <c r="AZ158" s="1005"/>
      <c r="BA158" s="1005"/>
      <c r="BB158" s="1005"/>
      <c r="BC158" s="1005"/>
      <c r="BD158" s="1005"/>
      <c r="BE158" s="1005"/>
      <c r="BF158" s="1005"/>
      <c r="BG158" s="1005"/>
      <c r="BH158" s="1005"/>
      <c r="BI158" s="1005"/>
      <c r="BJ158" s="1005"/>
      <c r="BK158" s="1005"/>
      <c r="BL158" s="1005"/>
      <c r="BM158" s="1005"/>
      <c r="BN158" s="1005"/>
      <c r="BO158" s="1005"/>
      <c r="BP158" s="1005"/>
      <c r="BQ158" s="1005"/>
      <c r="BR158" s="1005"/>
      <c r="BS158" s="1005"/>
      <c r="BT158" s="1005"/>
      <c r="BU158" s="1005"/>
      <c r="BV158" s="1005"/>
      <c r="BW158" s="1005"/>
      <c r="BX158" s="1005"/>
      <c r="BY158" s="1005"/>
      <c r="BZ158" s="1005"/>
      <c r="CA158" s="1005"/>
      <c r="CB158" s="1005"/>
      <c r="CC158" s="1005"/>
      <c r="CD158" s="1005"/>
      <c r="CE158" s="1005"/>
      <c r="CF158" s="1005"/>
      <c r="CG158" s="1005"/>
      <c r="CH158" s="1005"/>
      <c r="CI158" s="1005"/>
      <c r="CJ158" s="1005"/>
      <c r="CK158" s="1005"/>
      <c r="CL158" s="1005"/>
      <c r="CM158" s="1005"/>
      <c r="CN158" s="1005"/>
      <c r="CO158" s="1005"/>
      <c r="CP158" s="1005"/>
      <c r="CQ158" s="1005"/>
      <c r="CR158" s="1005"/>
      <c r="CS158" s="1005"/>
      <c r="CT158" s="1005"/>
      <c r="CU158" s="1005"/>
      <c r="CV158" s="1005"/>
    </row>
    <row r="159" spans="1:100" s="1001" customFormat="1" outlineLevel="1" x14ac:dyDescent="0.2">
      <c r="A159" s="1008"/>
      <c r="B159" s="997"/>
      <c r="C159" s="998"/>
      <c r="D159" s="999"/>
      <c r="E159" s="1044" t="s">
        <v>283</v>
      </c>
      <c r="F159" s="192">
        <f xml:space="preserve"> 'S&amp;U'!H37</f>
        <v>7960.286958552726</v>
      </c>
      <c r="G159" s="192">
        <f t="shared" ca="1" si="33"/>
        <v>39801.434792763626</v>
      </c>
      <c r="H159" s="1045">
        <f t="shared" ca="1" si="34"/>
        <v>1.8296718948714305E-2</v>
      </c>
      <c r="I159" s="1028"/>
      <c r="J159" s="1028"/>
      <c r="K159" s="1028"/>
      <c r="L159" s="1050"/>
      <c r="M159" s="1005"/>
      <c r="N159" s="1005"/>
      <c r="O159" s="1005"/>
      <c r="P159" s="1005"/>
      <c r="Q159" s="1005"/>
      <c r="R159" s="1005"/>
      <c r="S159" s="1005"/>
      <c r="T159" s="1005"/>
      <c r="U159" s="1005"/>
      <c r="V159" s="1005"/>
      <c r="W159" s="1005"/>
      <c r="X159" s="1005"/>
      <c r="Y159" s="1005"/>
      <c r="Z159" s="1005"/>
      <c r="AA159" s="1005"/>
      <c r="AB159" s="1005"/>
      <c r="AC159" s="1005"/>
      <c r="AD159" s="1005"/>
      <c r="AE159" s="1005"/>
      <c r="AF159" s="1005"/>
      <c r="AG159" s="1005"/>
      <c r="AH159" s="1005"/>
      <c r="AI159" s="1005"/>
      <c r="AJ159" s="1005"/>
      <c r="AK159" s="1005"/>
      <c r="AL159" s="1005"/>
      <c r="AM159" s="1005"/>
      <c r="AN159" s="1005"/>
      <c r="AO159" s="1005"/>
      <c r="AP159" s="1005"/>
      <c r="AQ159" s="1005"/>
      <c r="AR159" s="1005"/>
      <c r="AS159" s="1005"/>
      <c r="AT159" s="1005"/>
      <c r="AU159" s="1005"/>
      <c r="AV159" s="1005"/>
      <c r="AW159" s="1005"/>
      <c r="AX159" s="1005"/>
      <c r="AY159" s="1005"/>
      <c r="AZ159" s="1005"/>
      <c r="BA159" s="1005"/>
      <c r="BB159" s="1005"/>
      <c r="BC159" s="1005"/>
      <c r="BD159" s="1005"/>
      <c r="BE159" s="1005"/>
      <c r="BF159" s="1005"/>
      <c r="BG159" s="1005"/>
      <c r="BH159" s="1005"/>
      <c r="BI159" s="1005"/>
      <c r="BJ159" s="1005"/>
      <c r="BK159" s="1005"/>
      <c r="BL159" s="1005"/>
      <c r="BM159" s="1005"/>
      <c r="BN159" s="1005"/>
      <c r="BO159" s="1005"/>
      <c r="BP159" s="1005"/>
      <c r="BQ159" s="1005"/>
      <c r="BR159" s="1005"/>
      <c r="BS159" s="1005"/>
      <c r="BT159" s="1005"/>
      <c r="BU159" s="1005"/>
      <c r="BV159" s="1005"/>
      <c r="BW159" s="1005"/>
      <c r="BX159" s="1005"/>
      <c r="BY159" s="1005"/>
      <c r="BZ159" s="1005"/>
      <c r="CA159" s="1005"/>
      <c r="CB159" s="1005"/>
      <c r="CC159" s="1005"/>
      <c r="CD159" s="1005"/>
      <c r="CE159" s="1005"/>
      <c r="CF159" s="1005"/>
      <c r="CG159" s="1005"/>
      <c r="CH159" s="1005"/>
      <c r="CI159" s="1005"/>
      <c r="CJ159" s="1005"/>
      <c r="CK159" s="1005"/>
      <c r="CL159" s="1005"/>
      <c r="CM159" s="1005"/>
      <c r="CN159" s="1005"/>
      <c r="CO159" s="1005"/>
      <c r="CP159" s="1005"/>
      <c r="CQ159" s="1005"/>
      <c r="CR159" s="1005"/>
      <c r="CS159" s="1005"/>
      <c r="CT159" s="1005"/>
      <c r="CU159" s="1005"/>
      <c r="CV159" s="1005"/>
    </row>
    <row r="160" spans="1:100" s="1001" customFormat="1" outlineLevel="1" x14ac:dyDescent="0.2">
      <c r="A160" s="1008"/>
      <c r="B160" s="997"/>
      <c r="C160" s="998"/>
      <c r="D160" s="999"/>
      <c r="E160" s="1044" t="s">
        <v>831</v>
      </c>
      <c r="F160" s="192">
        <f xml:space="preserve"> 'S&amp;U'!H44</f>
        <v>0</v>
      </c>
      <c r="G160" s="192">
        <f t="shared" ca="1" si="33"/>
        <v>0</v>
      </c>
      <c r="H160" s="192">
        <f t="shared" ca="1" si="34"/>
        <v>0</v>
      </c>
      <c r="I160" s="1028"/>
      <c r="J160" s="1028"/>
      <c r="K160" s="1028"/>
      <c r="L160" s="1050"/>
      <c r="M160" s="1005"/>
      <c r="N160" s="1005"/>
      <c r="O160" s="1005"/>
      <c r="P160" s="1005"/>
      <c r="Q160" s="1005"/>
      <c r="R160" s="1005"/>
      <c r="S160" s="1005"/>
      <c r="T160" s="1005"/>
      <c r="U160" s="1005"/>
      <c r="V160" s="1005"/>
      <c r="W160" s="1005"/>
      <c r="X160" s="1005"/>
      <c r="Y160" s="1005"/>
      <c r="Z160" s="1005"/>
      <c r="AA160" s="1005"/>
      <c r="AB160" s="1005"/>
      <c r="AC160" s="1005"/>
      <c r="AD160" s="1005"/>
      <c r="AE160" s="1005"/>
      <c r="AF160" s="1005"/>
      <c r="AG160" s="1005"/>
      <c r="AH160" s="1005"/>
      <c r="AI160" s="1005"/>
      <c r="AJ160" s="1005"/>
      <c r="AK160" s="1005"/>
      <c r="AL160" s="1005"/>
      <c r="AM160" s="1005"/>
      <c r="AN160" s="1005"/>
      <c r="AO160" s="1005"/>
      <c r="AP160" s="1005"/>
      <c r="AQ160" s="1005"/>
      <c r="AR160" s="1005"/>
      <c r="AS160" s="1005"/>
      <c r="AT160" s="1005"/>
      <c r="AU160" s="1005"/>
      <c r="AV160" s="1005"/>
      <c r="AW160" s="1005"/>
      <c r="AX160" s="1005"/>
      <c r="AY160" s="1005"/>
      <c r="AZ160" s="1005"/>
      <c r="BA160" s="1005"/>
      <c r="BB160" s="1005"/>
      <c r="BC160" s="1005"/>
      <c r="BD160" s="1005"/>
      <c r="BE160" s="1005"/>
      <c r="BF160" s="1005"/>
      <c r="BG160" s="1005"/>
      <c r="BH160" s="1005"/>
      <c r="BI160" s="1005"/>
      <c r="BJ160" s="1005"/>
      <c r="BK160" s="1005"/>
      <c r="BL160" s="1005"/>
      <c r="BM160" s="1005"/>
      <c r="BN160" s="1005"/>
      <c r="BO160" s="1005"/>
      <c r="BP160" s="1005"/>
      <c r="BQ160" s="1005"/>
      <c r="BR160" s="1005"/>
      <c r="BS160" s="1005"/>
      <c r="BT160" s="1005"/>
      <c r="BU160" s="1005"/>
      <c r="BV160" s="1005"/>
      <c r="BW160" s="1005"/>
      <c r="BX160" s="1005"/>
      <c r="BY160" s="1005"/>
      <c r="BZ160" s="1005"/>
      <c r="CA160" s="1005"/>
      <c r="CB160" s="1005"/>
      <c r="CC160" s="1005"/>
      <c r="CD160" s="1005"/>
      <c r="CE160" s="1005"/>
      <c r="CF160" s="1005"/>
      <c r="CG160" s="1005"/>
      <c r="CH160" s="1005"/>
      <c r="CI160" s="1005"/>
      <c r="CJ160" s="1005"/>
      <c r="CK160" s="1005"/>
      <c r="CL160" s="1005"/>
      <c r="CM160" s="1005"/>
      <c r="CN160" s="1005"/>
      <c r="CO160" s="1005"/>
      <c r="CP160" s="1005"/>
      <c r="CQ160" s="1005"/>
      <c r="CR160" s="1005"/>
      <c r="CS160" s="1005"/>
      <c r="CT160" s="1005"/>
      <c r="CU160" s="1005"/>
      <c r="CV160" s="1005"/>
    </row>
    <row r="161" spans="1:101" s="1001" customFormat="1" outlineLevel="1" x14ac:dyDescent="0.2">
      <c r="A161" s="1008"/>
      <c r="B161" s="997"/>
      <c r="C161" s="998"/>
      <c r="D161" s="999"/>
      <c r="E161" s="1052" t="s">
        <v>812</v>
      </c>
      <c r="F161" s="359">
        <f ca="1">SUM(F157:F160)</f>
        <v>15956.930894937956</v>
      </c>
      <c r="G161" s="359">
        <f t="shared" ref="G161" ca="1" si="35">SUM(G157:G160)</f>
        <v>79784.654474689771</v>
      </c>
      <c r="H161" s="1048">
        <f t="shared" ca="1" si="34"/>
        <v>3.667700440811969E-2</v>
      </c>
      <c r="I161" s="1028"/>
      <c r="J161" s="1028"/>
      <c r="K161" s="1028"/>
      <c r="L161" s="1050"/>
      <c r="M161" s="1005"/>
      <c r="N161" s="1005"/>
      <c r="O161" s="1005"/>
      <c r="P161" s="1005"/>
      <c r="Q161" s="1005"/>
      <c r="R161" s="1005"/>
      <c r="S161" s="1005"/>
      <c r="T161" s="1005"/>
      <c r="U161" s="1005"/>
      <c r="V161" s="1005"/>
      <c r="W161" s="1005"/>
      <c r="X161" s="1005"/>
      <c r="Y161" s="1005"/>
      <c r="Z161" s="1005"/>
      <c r="AA161" s="1005"/>
      <c r="AB161" s="1005"/>
      <c r="AC161" s="1005"/>
      <c r="AD161" s="1005"/>
      <c r="AE161" s="1005"/>
      <c r="AF161" s="1005"/>
      <c r="AG161" s="1005"/>
      <c r="AH161" s="1005"/>
      <c r="AI161" s="1005"/>
      <c r="AJ161" s="1005"/>
      <c r="AK161" s="1005"/>
      <c r="AL161" s="1005"/>
      <c r="AM161" s="1005"/>
      <c r="AN161" s="1005"/>
      <c r="AO161" s="1005"/>
      <c r="AP161" s="1005"/>
      <c r="AQ161" s="1005"/>
      <c r="AR161" s="1005"/>
      <c r="AS161" s="1005"/>
      <c r="AT161" s="1005"/>
      <c r="AU161" s="1005"/>
      <c r="AV161" s="1005"/>
      <c r="AW161" s="1005"/>
      <c r="AX161" s="1005"/>
      <c r="AY161" s="1005"/>
      <c r="AZ161" s="1005"/>
      <c r="BA161" s="1005"/>
      <c r="BB161" s="1005"/>
      <c r="BC161" s="1005"/>
      <c r="BD161" s="1005"/>
      <c r="BE161" s="1005"/>
      <c r="BF161" s="1005"/>
      <c r="BG161" s="1005"/>
      <c r="BH161" s="1005"/>
      <c r="BI161" s="1005"/>
      <c r="BJ161" s="1005"/>
      <c r="BK161" s="1005"/>
      <c r="BL161" s="1005"/>
      <c r="BM161" s="1005"/>
      <c r="BN161" s="1005"/>
      <c r="BO161" s="1005"/>
      <c r="BP161" s="1005"/>
      <c r="BQ161" s="1005"/>
      <c r="BR161" s="1005"/>
      <c r="BS161" s="1005"/>
      <c r="BT161" s="1005"/>
      <c r="BU161" s="1005"/>
      <c r="BV161" s="1005"/>
      <c r="BW161" s="1005"/>
      <c r="BX161" s="1005"/>
      <c r="BY161" s="1005"/>
      <c r="BZ161" s="1005"/>
      <c r="CA161" s="1005"/>
      <c r="CB161" s="1005"/>
      <c r="CC161" s="1005"/>
      <c r="CD161" s="1005"/>
      <c r="CE161" s="1005"/>
      <c r="CF161" s="1005"/>
      <c r="CG161" s="1005"/>
      <c r="CH161" s="1005"/>
      <c r="CI161" s="1005"/>
      <c r="CJ161" s="1005"/>
      <c r="CK161" s="1005"/>
      <c r="CL161" s="1005"/>
      <c r="CM161" s="1005"/>
      <c r="CN161" s="1005"/>
      <c r="CO161" s="1005"/>
      <c r="CP161" s="1005"/>
      <c r="CQ161" s="1005"/>
      <c r="CR161" s="1005"/>
      <c r="CS161" s="1005"/>
      <c r="CT161" s="1005"/>
      <c r="CU161" s="1005"/>
      <c r="CV161" s="1005"/>
    </row>
    <row r="162" spans="1:101" s="1001" customFormat="1" outlineLevel="1" x14ac:dyDescent="0.2">
      <c r="A162" s="1008"/>
      <c r="B162" s="997"/>
      <c r="C162" s="998"/>
      <c r="D162" s="999"/>
      <c r="E162" s="1043" t="s">
        <v>819</v>
      </c>
      <c r="F162" s="192">
        <f xml:space="preserve"> 'S&amp;U'!H38</f>
        <v>90.463922227688386</v>
      </c>
      <c r="G162" s="192">
        <f t="shared" ref="G162:G170" ca="1" si="36" xml:space="preserve"> F162 * FX</f>
        <v>452.31961113844193</v>
      </c>
      <c r="H162" s="1045">
        <f t="shared" ca="1" si="34"/>
        <v>2.0793131813168919E-4</v>
      </c>
      <c r="I162" s="1028"/>
      <c r="J162" s="1028"/>
      <c r="K162" s="1028"/>
      <c r="L162" s="1050"/>
      <c r="M162" s="1005"/>
      <c r="N162" s="1005"/>
      <c r="O162" s="1005"/>
      <c r="P162" s="1005"/>
      <c r="Q162" s="1005"/>
      <c r="R162" s="1005"/>
      <c r="S162" s="1005"/>
      <c r="T162" s="1005"/>
      <c r="U162" s="1005"/>
      <c r="V162" s="1005"/>
      <c r="W162" s="1005"/>
      <c r="X162" s="1005"/>
      <c r="Y162" s="1005"/>
      <c r="Z162" s="1005"/>
      <c r="AA162" s="1005"/>
      <c r="AB162" s="1005"/>
      <c r="AC162" s="1005"/>
      <c r="AD162" s="1005"/>
      <c r="AE162" s="1005"/>
      <c r="AF162" s="1005"/>
      <c r="AG162" s="1005"/>
      <c r="AH162" s="1005"/>
      <c r="AI162" s="1005"/>
      <c r="AJ162" s="1005"/>
      <c r="AK162" s="1005"/>
      <c r="AL162" s="1005"/>
      <c r="AM162" s="1005"/>
      <c r="AN162" s="1005"/>
      <c r="AO162" s="1005"/>
      <c r="AP162" s="1005"/>
      <c r="AQ162" s="1005"/>
      <c r="AR162" s="1005"/>
      <c r="AS162" s="1005"/>
      <c r="AT162" s="1005"/>
      <c r="AU162" s="1005"/>
      <c r="AV162" s="1005"/>
      <c r="AW162" s="1005"/>
      <c r="AX162" s="1005"/>
      <c r="AY162" s="1005"/>
      <c r="AZ162" s="1005"/>
      <c r="BA162" s="1005"/>
      <c r="BB162" s="1005"/>
      <c r="BC162" s="1005"/>
      <c r="BD162" s="1005"/>
      <c r="BE162" s="1005"/>
      <c r="BF162" s="1005"/>
      <c r="BG162" s="1005"/>
      <c r="BH162" s="1005"/>
      <c r="BI162" s="1005"/>
      <c r="BJ162" s="1005"/>
      <c r="BK162" s="1005"/>
      <c r="BL162" s="1005"/>
      <c r="BM162" s="1005"/>
      <c r="BN162" s="1005"/>
      <c r="BO162" s="1005"/>
      <c r="BP162" s="1005"/>
      <c r="BQ162" s="1005"/>
      <c r="BR162" s="1005"/>
      <c r="BS162" s="1005"/>
      <c r="BT162" s="1005"/>
      <c r="BU162" s="1005"/>
      <c r="BV162" s="1005"/>
      <c r="BW162" s="1005"/>
      <c r="BX162" s="1005"/>
      <c r="BY162" s="1005"/>
      <c r="BZ162" s="1005"/>
      <c r="CA162" s="1005"/>
      <c r="CB162" s="1005"/>
      <c r="CC162" s="1005"/>
      <c r="CD162" s="1005"/>
      <c r="CE162" s="1005"/>
      <c r="CF162" s="1005"/>
      <c r="CG162" s="1005"/>
      <c r="CH162" s="1005"/>
      <c r="CI162" s="1005"/>
      <c r="CJ162" s="1005"/>
      <c r="CK162" s="1005"/>
      <c r="CL162" s="1005"/>
      <c r="CM162" s="1005"/>
      <c r="CN162" s="1005"/>
      <c r="CO162" s="1005"/>
      <c r="CP162" s="1005"/>
      <c r="CQ162" s="1005"/>
      <c r="CR162" s="1005"/>
      <c r="CS162" s="1005"/>
      <c r="CT162" s="1005"/>
      <c r="CU162" s="1005"/>
      <c r="CV162" s="1005"/>
    </row>
    <row r="163" spans="1:101" s="1001" customFormat="1" outlineLevel="1" x14ac:dyDescent="0.2">
      <c r="A163" s="1008"/>
      <c r="B163" s="997"/>
      <c r="C163" s="998"/>
      <c r="D163" s="999"/>
      <c r="E163" s="1043" t="s">
        <v>449</v>
      </c>
      <c r="F163" s="192">
        <f xml:space="preserve"> 'S&amp;U'!H39</f>
        <v>72.801918364187358</v>
      </c>
      <c r="G163" s="192">
        <f t="shared" ca="1" si="36"/>
        <v>364.00959182093681</v>
      </c>
      <c r="H163" s="1045">
        <f t="shared" ca="1" si="34"/>
        <v>1.6733520363931186E-4</v>
      </c>
      <c r="I163" s="1028"/>
      <c r="J163" s="1028"/>
      <c r="K163" s="1028"/>
      <c r="L163" s="1050"/>
      <c r="M163" s="1005"/>
      <c r="N163" s="1005"/>
      <c r="O163" s="1005"/>
      <c r="P163" s="1005"/>
      <c r="Q163" s="1005"/>
      <c r="R163" s="1005"/>
      <c r="S163" s="1005"/>
      <c r="T163" s="1005"/>
      <c r="U163" s="1005"/>
      <c r="V163" s="1005"/>
      <c r="W163" s="1005"/>
      <c r="X163" s="1005"/>
      <c r="Y163" s="1005"/>
      <c r="Z163" s="1005"/>
      <c r="AA163" s="1005"/>
      <c r="AB163" s="1005"/>
      <c r="AC163" s="1005"/>
      <c r="AD163" s="1005"/>
      <c r="AE163" s="1005"/>
      <c r="AF163" s="1005"/>
      <c r="AG163" s="1005"/>
      <c r="AH163" s="1005"/>
      <c r="AI163" s="1005"/>
      <c r="AJ163" s="1005"/>
      <c r="AK163" s="1005"/>
      <c r="AL163" s="1005"/>
      <c r="AM163" s="1005"/>
      <c r="AN163" s="1005"/>
      <c r="AO163" s="1005"/>
      <c r="AP163" s="1005"/>
      <c r="AQ163" s="1005"/>
      <c r="AR163" s="1005"/>
      <c r="AS163" s="1005"/>
      <c r="AT163" s="1005"/>
      <c r="AU163" s="1005"/>
      <c r="AV163" s="1005"/>
      <c r="AW163" s="1005"/>
      <c r="AX163" s="1005"/>
      <c r="AY163" s="1005"/>
      <c r="AZ163" s="1005"/>
      <c r="BA163" s="1005"/>
      <c r="BB163" s="1005"/>
      <c r="BC163" s="1005"/>
      <c r="BD163" s="1005"/>
      <c r="BE163" s="1005"/>
      <c r="BF163" s="1005"/>
      <c r="BG163" s="1005"/>
      <c r="BH163" s="1005"/>
      <c r="BI163" s="1005"/>
      <c r="BJ163" s="1005"/>
      <c r="BK163" s="1005"/>
      <c r="BL163" s="1005"/>
      <c r="BM163" s="1005"/>
      <c r="BN163" s="1005"/>
      <c r="BO163" s="1005"/>
      <c r="BP163" s="1005"/>
      <c r="BQ163" s="1005"/>
      <c r="BR163" s="1005"/>
      <c r="BS163" s="1005"/>
      <c r="BT163" s="1005"/>
      <c r="BU163" s="1005"/>
      <c r="BV163" s="1005"/>
      <c r="BW163" s="1005"/>
      <c r="BX163" s="1005"/>
      <c r="BY163" s="1005"/>
      <c r="BZ163" s="1005"/>
      <c r="CA163" s="1005"/>
      <c r="CB163" s="1005"/>
      <c r="CC163" s="1005"/>
      <c r="CD163" s="1005"/>
      <c r="CE163" s="1005"/>
      <c r="CF163" s="1005"/>
      <c r="CG163" s="1005"/>
      <c r="CH163" s="1005"/>
      <c r="CI163" s="1005"/>
      <c r="CJ163" s="1005"/>
      <c r="CK163" s="1005"/>
      <c r="CL163" s="1005"/>
      <c r="CM163" s="1005"/>
      <c r="CN163" s="1005"/>
      <c r="CO163" s="1005"/>
      <c r="CP163" s="1005"/>
      <c r="CQ163" s="1005"/>
      <c r="CR163" s="1005"/>
      <c r="CS163" s="1005"/>
      <c r="CT163" s="1005"/>
      <c r="CU163" s="1005"/>
      <c r="CV163" s="1005"/>
    </row>
    <row r="164" spans="1:101" s="1001" customFormat="1" outlineLevel="1" x14ac:dyDescent="0.2">
      <c r="A164" s="1008"/>
      <c r="B164" s="997"/>
      <c r="C164" s="998"/>
      <c r="D164" s="999"/>
      <c r="E164" s="1043" t="s">
        <v>450</v>
      </c>
      <c r="F164" s="192">
        <f xml:space="preserve"> 'S&amp;U'!H40</f>
        <v>0</v>
      </c>
      <c r="G164" s="192">
        <f t="shared" ca="1" si="36"/>
        <v>0</v>
      </c>
      <c r="H164" s="1045">
        <f t="shared" ca="1" si="34"/>
        <v>0</v>
      </c>
      <c r="I164" s="1028"/>
      <c r="J164" s="1028"/>
      <c r="K164" s="1028"/>
      <c r="L164" s="1050"/>
      <c r="M164" s="1005"/>
      <c r="N164" s="1005"/>
      <c r="O164" s="1005"/>
      <c r="P164" s="1005"/>
      <c r="Q164" s="1005"/>
      <c r="R164" s="1005"/>
      <c r="S164" s="1005"/>
      <c r="T164" s="1005"/>
      <c r="U164" s="1005"/>
      <c r="V164" s="1005"/>
      <c r="W164" s="1005"/>
      <c r="X164" s="1005"/>
      <c r="Y164" s="1005"/>
      <c r="Z164" s="1005"/>
      <c r="AA164" s="1005"/>
      <c r="AB164" s="1005"/>
      <c r="AC164" s="1005"/>
      <c r="AD164" s="1005"/>
      <c r="AE164" s="1005"/>
      <c r="AF164" s="1005"/>
      <c r="AG164" s="1005"/>
      <c r="AH164" s="1005"/>
      <c r="AI164" s="1005"/>
      <c r="AJ164" s="1005"/>
      <c r="AK164" s="1005"/>
      <c r="AL164" s="1005"/>
      <c r="AM164" s="1005"/>
      <c r="AN164" s="1005"/>
      <c r="AO164" s="1005"/>
      <c r="AP164" s="1005"/>
      <c r="AQ164" s="1005"/>
      <c r="AR164" s="1005"/>
      <c r="AS164" s="1005"/>
      <c r="AT164" s="1005"/>
      <c r="AU164" s="1005"/>
      <c r="AV164" s="1005"/>
      <c r="AW164" s="1005"/>
      <c r="AX164" s="1005"/>
      <c r="AY164" s="1005"/>
      <c r="AZ164" s="1005"/>
      <c r="BA164" s="1005"/>
      <c r="BB164" s="1005"/>
      <c r="BC164" s="1005"/>
      <c r="BD164" s="1005"/>
      <c r="BE164" s="1005"/>
      <c r="BF164" s="1005"/>
      <c r="BG164" s="1005"/>
      <c r="BH164" s="1005"/>
      <c r="BI164" s="1005"/>
      <c r="BJ164" s="1005"/>
      <c r="BK164" s="1005"/>
      <c r="BL164" s="1005"/>
      <c r="BM164" s="1005"/>
      <c r="BN164" s="1005"/>
      <c r="BO164" s="1005"/>
      <c r="BP164" s="1005"/>
      <c r="BQ164" s="1005"/>
      <c r="BR164" s="1005"/>
      <c r="BS164" s="1005"/>
      <c r="BT164" s="1005"/>
      <c r="BU164" s="1005"/>
      <c r="BV164" s="1005"/>
      <c r="BW164" s="1005"/>
      <c r="BX164" s="1005"/>
      <c r="BY164" s="1005"/>
      <c r="BZ164" s="1005"/>
      <c r="CA164" s="1005"/>
      <c r="CB164" s="1005"/>
      <c r="CC164" s="1005"/>
      <c r="CD164" s="1005"/>
      <c r="CE164" s="1005"/>
      <c r="CF164" s="1005"/>
      <c r="CG164" s="1005"/>
      <c r="CH164" s="1005"/>
      <c r="CI164" s="1005"/>
      <c r="CJ164" s="1005"/>
      <c r="CK164" s="1005"/>
      <c r="CL164" s="1005"/>
      <c r="CM164" s="1005"/>
      <c r="CN164" s="1005"/>
      <c r="CO164" s="1005"/>
      <c r="CP164" s="1005"/>
      <c r="CQ164" s="1005"/>
      <c r="CR164" s="1005"/>
      <c r="CS164" s="1005"/>
      <c r="CT164" s="1005"/>
      <c r="CU164" s="1005"/>
      <c r="CV164" s="1005"/>
    </row>
    <row r="165" spans="1:101" s="1001" customFormat="1" outlineLevel="1" x14ac:dyDescent="0.2">
      <c r="A165" s="1008"/>
      <c r="B165" s="997"/>
      <c r="C165" s="998"/>
      <c r="D165" s="999"/>
      <c r="E165" s="1052" t="s">
        <v>813</v>
      </c>
      <c r="F165" s="359">
        <f ca="1">SUM(F162:F164)</f>
        <v>163.26584059187576</v>
      </c>
      <c r="G165" s="359">
        <f t="shared" ca="1" si="36"/>
        <v>816.32920295937879</v>
      </c>
      <c r="H165" s="1048">
        <f t="shared" ca="1" si="34"/>
        <v>3.752665217710011E-4</v>
      </c>
      <c r="I165" s="1028"/>
      <c r="J165" s="1028"/>
      <c r="K165" s="1028"/>
      <c r="L165" s="1050"/>
      <c r="M165" s="1005"/>
      <c r="N165" s="1005"/>
      <c r="O165" s="1005"/>
      <c r="P165" s="1005"/>
      <c r="Q165" s="1005"/>
      <c r="R165" s="1005"/>
      <c r="S165" s="1005"/>
      <c r="T165" s="1005"/>
      <c r="U165" s="1005"/>
      <c r="V165" s="1005"/>
      <c r="W165" s="1005"/>
      <c r="X165" s="1005"/>
      <c r="Y165" s="1005"/>
      <c r="Z165" s="1005"/>
      <c r="AA165" s="1005"/>
      <c r="AB165" s="1005"/>
      <c r="AC165" s="1005"/>
      <c r="AD165" s="1005"/>
      <c r="AE165" s="1005"/>
      <c r="AF165" s="1005"/>
      <c r="AG165" s="1005"/>
      <c r="AH165" s="1005"/>
      <c r="AI165" s="1005"/>
      <c r="AJ165" s="1005"/>
      <c r="AK165" s="1005"/>
      <c r="AL165" s="1005"/>
      <c r="AM165" s="1005"/>
      <c r="AN165" s="1005"/>
      <c r="AO165" s="1005"/>
      <c r="AP165" s="1005"/>
      <c r="AQ165" s="1005"/>
      <c r="AR165" s="1005"/>
      <c r="AS165" s="1005"/>
      <c r="AT165" s="1005"/>
      <c r="AU165" s="1005"/>
      <c r="AV165" s="1005"/>
      <c r="AW165" s="1005"/>
      <c r="AX165" s="1005"/>
      <c r="AY165" s="1005"/>
      <c r="AZ165" s="1005"/>
      <c r="BA165" s="1005"/>
      <c r="BB165" s="1005"/>
      <c r="BC165" s="1005"/>
      <c r="BD165" s="1005"/>
      <c r="BE165" s="1005"/>
      <c r="BF165" s="1005"/>
      <c r="BG165" s="1005"/>
      <c r="BH165" s="1005"/>
      <c r="BI165" s="1005"/>
      <c r="BJ165" s="1005"/>
      <c r="BK165" s="1005"/>
      <c r="BL165" s="1005"/>
      <c r="BM165" s="1005"/>
      <c r="BN165" s="1005"/>
      <c r="BO165" s="1005"/>
      <c r="BP165" s="1005"/>
      <c r="BQ165" s="1005"/>
      <c r="BR165" s="1005"/>
      <c r="BS165" s="1005"/>
      <c r="BT165" s="1005"/>
      <c r="BU165" s="1005"/>
      <c r="BV165" s="1005"/>
      <c r="BW165" s="1005"/>
      <c r="BX165" s="1005"/>
      <c r="BY165" s="1005"/>
      <c r="BZ165" s="1005"/>
      <c r="CA165" s="1005"/>
      <c r="CB165" s="1005"/>
      <c r="CC165" s="1005"/>
      <c r="CD165" s="1005"/>
      <c r="CE165" s="1005"/>
      <c r="CF165" s="1005"/>
      <c r="CG165" s="1005"/>
      <c r="CH165" s="1005"/>
      <c r="CI165" s="1005"/>
      <c r="CJ165" s="1005"/>
      <c r="CK165" s="1005"/>
      <c r="CL165" s="1005"/>
      <c r="CM165" s="1005"/>
      <c r="CN165" s="1005"/>
      <c r="CO165" s="1005"/>
      <c r="CP165" s="1005"/>
      <c r="CQ165" s="1005"/>
      <c r="CR165" s="1005"/>
      <c r="CS165" s="1005"/>
      <c r="CT165" s="1005"/>
      <c r="CU165" s="1005"/>
      <c r="CV165" s="1005"/>
    </row>
    <row r="166" spans="1:101" s="1001" customFormat="1" outlineLevel="1" x14ac:dyDescent="0.2">
      <c r="A166" s="1008"/>
      <c r="B166" s="997"/>
      <c r="C166" s="998"/>
      <c r="D166" s="999"/>
      <c r="E166" s="1044" t="s">
        <v>820</v>
      </c>
      <c r="F166" s="192">
        <f xml:space="preserve"> 'S&amp;U'!H41</f>
        <v>3857.1209730037863</v>
      </c>
      <c r="G166" s="192">
        <f t="shared" ca="1" si="36"/>
        <v>19285.604865018933</v>
      </c>
      <c r="H166" s="1045">
        <f t="shared" ca="1" si="34"/>
        <v>8.8655922533567404E-3</v>
      </c>
      <c r="I166" s="1055"/>
      <c r="J166" s="1055"/>
      <c r="K166" s="1055"/>
      <c r="L166" s="1050"/>
      <c r="M166" s="1005"/>
      <c r="N166" s="1005"/>
      <c r="O166" s="1005"/>
      <c r="P166" s="1005"/>
      <c r="Q166" s="1005"/>
      <c r="R166" s="1005"/>
      <c r="S166" s="1005"/>
      <c r="T166" s="1005"/>
      <c r="U166" s="1005"/>
      <c r="V166" s="1005"/>
      <c r="W166" s="1005"/>
      <c r="X166" s="1005"/>
      <c r="Y166" s="1005"/>
      <c r="Z166" s="1005"/>
      <c r="AA166" s="1005"/>
      <c r="AB166" s="1005"/>
      <c r="AC166" s="1005"/>
      <c r="AD166" s="1005"/>
      <c r="AE166" s="1005"/>
      <c r="AF166" s="1005"/>
      <c r="AG166" s="1005"/>
      <c r="AH166" s="1005"/>
      <c r="AI166" s="1005"/>
      <c r="AJ166" s="1005"/>
      <c r="AK166" s="1005"/>
      <c r="AL166" s="1005"/>
      <c r="AM166" s="1005"/>
      <c r="AN166" s="1005"/>
      <c r="AO166" s="1005"/>
      <c r="AP166" s="1005"/>
      <c r="AQ166" s="1005"/>
      <c r="AR166" s="1005"/>
      <c r="AS166" s="1005"/>
      <c r="AT166" s="1005"/>
      <c r="AU166" s="1005"/>
      <c r="AV166" s="1005"/>
      <c r="AW166" s="1005"/>
      <c r="AX166" s="1005"/>
      <c r="AY166" s="1005"/>
      <c r="AZ166" s="1005"/>
      <c r="BA166" s="1005"/>
      <c r="BB166" s="1005"/>
      <c r="BC166" s="1005"/>
      <c r="BD166" s="1005"/>
      <c r="BE166" s="1005"/>
      <c r="BF166" s="1005"/>
      <c r="BG166" s="1005"/>
      <c r="BH166" s="1005"/>
      <c r="BI166" s="1005"/>
      <c r="BJ166" s="1005"/>
      <c r="BK166" s="1005"/>
      <c r="BL166" s="1005"/>
      <c r="BM166" s="1005"/>
      <c r="BN166" s="1005"/>
      <c r="BO166" s="1005"/>
      <c r="BP166" s="1005"/>
      <c r="BQ166" s="1005"/>
      <c r="BR166" s="1005"/>
      <c r="BS166" s="1005"/>
      <c r="BT166" s="1005"/>
      <c r="BU166" s="1005"/>
      <c r="BV166" s="1005"/>
      <c r="BW166" s="1005"/>
      <c r="BX166" s="1005"/>
      <c r="BY166" s="1005"/>
      <c r="BZ166" s="1005"/>
      <c r="CA166" s="1005"/>
      <c r="CB166" s="1005"/>
      <c r="CC166" s="1005"/>
      <c r="CD166" s="1005"/>
      <c r="CE166" s="1005"/>
      <c r="CF166" s="1005"/>
      <c r="CG166" s="1005"/>
      <c r="CH166" s="1005"/>
      <c r="CI166" s="1005"/>
      <c r="CJ166" s="1005"/>
      <c r="CK166" s="1005"/>
      <c r="CL166" s="1005"/>
      <c r="CM166" s="1005"/>
      <c r="CN166" s="1005"/>
      <c r="CO166" s="1005"/>
      <c r="CP166" s="1005"/>
      <c r="CQ166" s="1005"/>
      <c r="CR166" s="1005"/>
      <c r="CS166" s="1005"/>
      <c r="CT166" s="1005"/>
      <c r="CU166" s="1005"/>
      <c r="CV166" s="1005"/>
    </row>
    <row r="167" spans="1:101" s="1001" customFormat="1" outlineLevel="1" x14ac:dyDescent="0.2">
      <c r="A167" s="1008"/>
      <c r="B167" s="997"/>
      <c r="C167" s="998"/>
      <c r="D167" s="999"/>
      <c r="E167" s="1044" t="s">
        <v>814</v>
      </c>
      <c r="F167" s="192">
        <f xml:space="preserve"> 'S&amp;U'!H42</f>
        <v>11233.130669939161</v>
      </c>
      <c r="G167" s="192">
        <f t="shared" ca="1" si="36"/>
        <v>56165.6533496958</v>
      </c>
      <c r="H167" s="1045">
        <f t="shared" ca="1" si="34"/>
        <v>2.5819349962156058E-2</v>
      </c>
      <c r="I167" s="1028"/>
      <c r="J167" s="1028"/>
      <c r="K167" s="1028"/>
      <c r="L167" s="1050"/>
      <c r="M167" s="1005"/>
      <c r="N167" s="1005"/>
      <c r="O167" s="1005"/>
      <c r="P167" s="1005"/>
      <c r="Q167" s="1005"/>
      <c r="R167" s="1005"/>
      <c r="S167" s="1005"/>
      <c r="T167" s="1005"/>
      <c r="U167" s="1005"/>
      <c r="V167" s="1005"/>
      <c r="W167" s="1005"/>
      <c r="X167" s="1005"/>
      <c r="Y167" s="1005"/>
      <c r="Z167" s="1005"/>
      <c r="AA167" s="1005"/>
      <c r="AB167" s="1005"/>
      <c r="AC167" s="1005"/>
      <c r="AD167" s="1005"/>
      <c r="AE167" s="1005"/>
      <c r="AF167" s="1005"/>
      <c r="AG167" s="1005"/>
      <c r="AH167" s="1005"/>
      <c r="AI167" s="1005"/>
      <c r="AJ167" s="1005"/>
      <c r="AK167" s="1005"/>
      <c r="AL167" s="1005"/>
      <c r="AM167" s="1005"/>
      <c r="AN167" s="1005"/>
      <c r="AO167" s="1005"/>
      <c r="AP167" s="1005"/>
      <c r="AQ167" s="1005"/>
      <c r="AR167" s="1005"/>
      <c r="AS167" s="1005"/>
      <c r="AT167" s="1005"/>
      <c r="AU167" s="1005"/>
      <c r="AV167" s="1005"/>
      <c r="AW167" s="1005"/>
      <c r="AX167" s="1005"/>
      <c r="AY167" s="1005"/>
      <c r="AZ167" s="1005"/>
      <c r="BA167" s="1005"/>
      <c r="BB167" s="1005"/>
      <c r="BC167" s="1005"/>
      <c r="BD167" s="1005"/>
      <c r="BE167" s="1005"/>
      <c r="BF167" s="1005"/>
      <c r="BG167" s="1005"/>
      <c r="BH167" s="1005"/>
      <c r="BI167" s="1005"/>
      <c r="BJ167" s="1005"/>
      <c r="BK167" s="1005"/>
      <c r="BL167" s="1005"/>
      <c r="BM167" s="1005"/>
      <c r="BN167" s="1005"/>
      <c r="BO167" s="1005"/>
      <c r="BP167" s="1005"/>
      <c r="BQ167" s="1005"/>
      <c r="BR167" s="1005"/>
      <c r="BS167" s="1005"/>
      <c r="BT167" s="1005"/>
      <c r="BU167" s="1005"/>
      <c r="BV167" s="1005"/>
      <c r="BW167" s="1005"/>
      <c r="BX167" s="1005"/>
      <c r="BY167" s="1005"/>
      <c r="BZ167" s="1005"/>
      <c r="CA167" s="1005"/>
      <c r="CB167" s="1005"/>
      <c r="CC167" s="1005"/>
      <c r="CD167" s="1005"/>
      <c r="CE167" s="1005"/>
      <c r="CF167" s="1005"/>
      <c r="CG167" s="1005"/>
      <c r="CH167" s="1005"/>
      <c r="CI167" s="1005"/>
      <c r="CJ167" s="1005"/>
      <c r="CK167" s="1005"/>
      <c r="CL167" s="1005"/>
      <c r="CM167" s="1005"/>
      <c r="CN167" s="1005"/>
      <c r="CO167" s="1005"/>
      <c r="CP167" s="1005"/>
      <c r="CQ167" s="1005"/>
      <c r="CR167" s="1005"/>
      <c r="CS167" s="1005"/>
      <c r="CT167" s="1005"/>
      <c r="CU167" s="1005"/>
      <c r="CV167" s="1005"/>
    </row>
    <row r="168" spans="1:101" s="1001" customFormat="1" outlineLevel="1" x14ac:dyDescent="0.2">
      <c r="A168" s="1008"/>
      <c r="B168" s="997"/>
      <c r="C168" s="998"/>
      <c r="D168" s="999"/>
      <c r="E168" s="1044" t="s">
        <v>1295</v>
      </c>
      <c r="F168" s="192">
        <f xml:space="preserve"> 'S&amp;U'!H43</f>
        <v>18.33210361270044</v>
      </c>
      <c r="G168" s="192">
        <f t="shared" ref="G168" ca="1" si="37" xml:space="preserve"> F168 * FX</f>
        <v>91.660518063502195</v>
      </c>
      <c r="H168" s="1045">
        <f t="shared" ca="1" si="34"/>
        <v>4.2136338713255758E-5</v>
      </c>
      <c r="I168" s="1028"/>
      <c r="J168" s="1028"/>
      <c r="K168" s="1028"/>
      <c r="L168" s="1050"/>
      <c r="M168" s="1005"/>
      <c r="N168" s="1005"/>
      <c r="O168" s="1005"/>
      <c r="P168" s="1005"/>
      <c r="Q168" s="1005"/>
      <c r="R168" s="1005"/>
      <c r="S168" s="1005"/>
      <c r="T168" s="1005"/>
      <c r="U168" s="1005"/>
      <c r="V168" s="1005"/>
      <c r="W168" s="1005"/>
      <c r="X168" s="1005"/>
      <c r="Y168" s="1005"/>
      <c r="Z168" s="1005"/>
      <c r="AA168" s="1005"/>
      <c r="AB168" s="1005"/>
      <c r="AC168" s="1005"/>
      <c r="AD168" s="1005"/>
      <c r="AE168" s="1005"/>
      <c r="AF168" s="1005"/>
      <c r="AG168" s="1005"/>
      <c r="AH168" s="1005"/>
      <c r="AI168" s="1005"/>
      <c r="AJ168" s="1005"/>
      <c r="AK168" s="1005"/>
      <c r="AL168" s="1005"/>
      <c r="AM168" s="1005"/>
      <c r="AN168" s="1005"/>
      <c r="AO168" s="1005"/>
      <c r="AP168" s="1005"/>
      <c r="AQ168" s="1005"/>
      <c r="AR168" s="1005"/>
      <c r="AS168" s="1005"/>
      <c r="AT168" s="1005"/>
      <c r="AU168" s="1005"/>
      <c r="AV168" s="1005"/>
      <c r="AW168" s="1005"/>
      <c r="AX168" s="1005"/>
      <c r="AY168" s="1005"/>
      <c r="AZ168" s="1005"/>
      <c r="BA168" s="1005"/>
      <c r="BB168" s="1005"/>
      <c r="BC168" s="1005"/>
      <c r="BD168" s="1005"/>
      <c r="BE168" s="1005"/>
      <c r="BF168" s="1005"/>
      <c r="BG168" s="1005"/>
      <c r="BH168" s="1005"/>
      <c r="BI168" s="1005"/>
      <c r="BJ168" s="1005"/>
      <c r="BK168" s="1005"/>
      <c r="BL168" s="1005"/>
      <c r="BM168" s="1005"/>
      <c r="BN168" s="1005"/>
      <c r="BO168" s="1005"/>
      <c r="BP168" s="1005"/>
      <c r="BQ168" s="1005"/>
      <c r="BR168" s="1005"/>
      <c r="BS168" s="1005"/>
      <c r="BT168" s="1005"/>
      <c r="BU168" s="1005"/>
      <c r="BV168" s="1005"/>
      <c r="BW168" s="1005"/>
      <c r="BX168" s="1005"/>
      <c r="BY168" s="1005"/>
      <c r="BZ168" s="1005"/>
      <c r="CA168" s="1005"/>
      <c r="CB168" s="1005"/>
      <c r="CC168" s="1005"/>
      <c r="CD168" s="1005"/>
      <c r="CE168" s="1005"/>
      <c r="CF168" s="1005"/>
      <c r="CG168" s="1005"/>
      <c r="CH168" s="1005"/>
      <c r="CI168" s="1005"/>
      <c r="CJ168" s="1005"/>
      <c r="CK168" s="1005"/>
      <c r="CL168" s="1005"/>
      <c r="CM168" s="1005"/>
      <c r="CN168" s="1005"/>
      <c r="CO168" s="1005"/>
      <c r="CP168" s="1005"/>
      <c r="CQ168" s="1005"/>
      <c r="CR168" s="1005"/>
      <c r="CS168" s="1005"/>
      <c r="CT168" s="1005"/>
      <c r="CU168" s="1005"/>
      <c r="CV168" s="1005"/>
    </row>
    <row r="169" spans="1:101" s="1001" customFormat="1" outlineLevel="1" x14ac:dyDescent="0.2">
      <c r="A169" s="1008"/>
      <c r="B169" s="997"/>
      <c r="C169" s="998"/>
      <c r="D169" s="999"/>
      <c r="E169" s="1043" t="s">
        <v>832</v>
      </c>
      <c r="F169" s="192">
        <f xml:space="preserve"> 'S&amp;U'!H30</f>
        <v>0</v>
      </c>
      <c r="G169" s="192">
        <f t="shared" ca="1" si="36"/>
        <v>0</v>
      </c>
      <c r="H169" s="1045">
        <f t="shared" ca="1" si="34"/>
        <v>0</v>
      </c>
      <c r="I169" s="1028"/>
      <c r="J169" s="1028"/>
      <c r="K169" s="1028"/>
      <c r="L169" s="1050"/>
      <c r="M169" s="1005"/>
      <c r="N169" s="1005"/>
      <c r="O169" s="1005"/>
      <c r="P169" s="1005"/>
      <c r="Q169" s="1005"/>
      <c r="R169" s="1005"/>
      <c r="S169" s="1005"/>
      <c r="T169" s="1005"/>
      <c r="U169" s="1005"/>
      <c r="V169" s="1005"/>
      <c r="W169" s="1005"/>
      <c r="X169" s="1005"/>
      <c r="Y169" s="1005"/>
      <c r="Z169" s="1005"/>
      <c r="AA169" s="1005"/>
      <c r="AB169" s="1005"/>
      <c r="AC169" s="1005"/>
      <c r="AD169" s="1005"/>
      <c r="AE169" s="1005"/>
      <c r="AF169" s="1005"/>
      <c r="AG169" s="1005"/>
      <c r="AH169" s="1005"/>
      <c r="AI169" s="1005"/>
      <c r="AJ169" s="1005"/>
      <c r="AK169" s="1005"/>
      <c r="AL169" s="1005"/>
      <c r="AM169" s="1005"/>
      <c r="AN169" s="1005"/>
      <c r="AO169" s="1005"/>
      <c r="AP169" s="1005"/>
      <c r="AQ169" s="1005"/>
      <c r="AR169" s="1005"/>
      <c r="AS169" s="1005"/>
      <c r="AT169" s="1005"/>
      <c r="AU169" s="1005"/>
      <c r="AV169" s="1005"/>
      <c r="AW169" s="1005"/>
      <c r="AX169" s="1005"/>
      <c r="AY169" s="1005"/>
      <c r="AZ169" s="1005"/>
      <c r="BA169" s="1005"/>
      <c r="BB169" s="1005"/>
      <c r="BC169" s="1005"/>
      <c r="BD169" s="1005"/>
      <c r="BE169" s="1005"/>
      <c r="BF169" s="1005"/>
      <c r="BG169" s="1005"/>
      <c r="BH169" s="1005"/>
      <c r="BI169" s="1005"/>
      <c r="BJ169" s="1005"/>
      <c r="BK169" s="1005"/>
      <c r="BL169" s="1005"/>
      <c r="BM169" s="1005"/>
      <c r="BN169" s="1005"/>
      <c r="BO169" s="1005"/>
      <c r="BP169" s="1005"/>
      <c r="BQ169" s="1005"/>
      <c r="BR169" s="1005"/>
      <c r="BS169" s="1005"/>
      <c r="BT169" s="1005"/>
      <c r="BU169" s="1005"/>
      <c r="BV169" s="1005"/>
      <c r="BW169" s="1005"/>
      <c r="BX169" s="1005"/>
      <c r="BY169" s="1005"/>
      <c r="BZ169" s="1005"/>
      <c r="CA169" s="1005"/>
      <c r="CB169" s="1005"/>
      <c r="CC169" s="1005"/>
      <c r="CD169" s="1005"/>
      <c r="CE169" s="1005"/>
      <c r="CF169" s="1005"/>
      <c r="CG169" s="1005"/>
      <c r="CH169" s="1005"/>
      <c r="CI169" s="1005"/>
      <c r="CJ169" s="1005"/>
      <c r="CK169" s="1005"/>
      <c r="CL169" s="1005"/>
      <c r="CM169" s="1005"/>
      <c r="CN169" s="1005"/>
      <c r="CO169" s="1005"/>
      <c r="CP169" s="1005"/>
      <c r="CQ169" s="1005"/>
      <c r="CR169" s="1005"/>
      <c r="CS169" s="1005"/>
      <c r="CT169" s="1005"/>
      <c r="CU169" s="1005"/>
      <c r="CV169" s="1005"/>
    </row>
    <row r="170" spans="1:101" s="1001" customFormat="1" outlineLevel="1" x14ac:dyDescent="0.2">
      <c r="A170" s="1008"/>
      <c r="B170" s="997"/>
      <c r="C170" s="998"/>
      <c r="D170" s="999"/>
      <c r="E170" s="1043" t="s">
        <v>1127</v>
      </c>
      <c r="F170" s="192">
        <f xml:space="preserve"> 'S&amp;U'!H34</f>
        <v>86318.253106861201</v>
      </c>
      <c r="G170" s="192">
        <f t="shared" ca="1" si="36"/>
        <v>431591.265534306</v>
      </c>
      <c r="H170" s="1045">
        <f t="shared" ca="1" si="34"/>
        <v>0.19840249798323448</v>
      </c>
      <c r="I170" s="1028"/>
      <c r="J170" s="1028"/>
      <c r="K170" s="1028"/>
      <c r="L170" s="1050"/>
      <c r="M170" s="1005"/>
      <c r="N170" s="1005"/>
      <c r="O170" s="1005"/>
      <c r="P170" s="1005"/>
      <c r="Q170" s="1005"/>
      <c r="R170" s="1005"/>
      <c r="S170" s="1005"/>
      <c r="T170" s="1005"/>
      <c r="U170" s="1005"/>
      <c r="V170" s="1005"/>
      <c r="W170" s="1005"/>
      <c r="X170" s="1005"/>
      <c r="Y170" s="1005"/>
      <c r="Z170" s="1005"/>
      <c r="AA170" s="1005"/>
      <c r="AB170" s="1005"/>
      <c r="AC170" s="1005"/>
      <c r="AD170" s="1005"/>
      <c r="AE170" s="1005"/>
      <c r="AF170" s="1005"/>
      <c r="AG170" s="1005"/>
      <c r="AH170" s="1005"/>
      <c r="AI170" s="1005"/>
      <c r="AJ170" s="1005"/>
      <c r="AK170" s="1005"/>
      <c r="AL170" s="1005"/>
      <c r="AM170" s="1005"/>
      <c r="AN170" s="1005"/>
      <c r="AO170" s="1005"/>
      <c r="AP170" s="1005"/>
      <c r="AQ170" s="1005"/>
      <c r="AR170" s="1005"/>
      <c r="AS170" s="1005"/>
      <c r="AT170" s="1005"/>
      <c r="AU170" s="1005"/>
      <c r="AV170" s="1005"/>
      <c r="AW170" s="1005"/>
      <c r="AX170" s="1005"/>
      <c r="AY170" s="1005"/>
      <c r="AZ170" s="1005"/>
      <c r="BA170" s="1005"/>
      <c r="BB170" s="1005"/>
      <c r="BC170" s="1005"/>
      <c r="BD170" s="1005"/>
      <c r="BE170" s="1005"/>
      <c r="BF170" s="1005"/>
      <c r="BG170" s="1005"/>
      <c r="BH170" s="1005"/>
      <c r="BI170" s="1005"/>
      <c r="BJ170" s="1005"/>
      <c r="BK170" s="1005"/>
      <c r="BL170" s="1005"/>
      <c r="BM170" s="1005"/>
      <c r="BN170" s="1005"/>
      <c r="BO170" s="1005"/>
      <c r="BP170" s="1005"/>
      <c r="BQ170" s="1005"/>
      <c r="BR170" s="1005"/>
      <c r="BS170" s="1005"/>
      <c r="BT170" s="1005"/>
      <c r="BU170" s="1005"/>
      <c r="BV170" s="1005"/>
      <c r="BW170" s="1005"/>
      <c r="BX170" s="1005"/>
      <c r="BY170" s="1005"/>
      <c r="BZ170" s="1005"/>
      <c r="CA170" s="1005"/>
      <c r="CB170" s="1005"/>
      <c r="CC170" s="1005"/>
      <c r="CD170" s="1005"/>
      <c r="CE170" s="1005"/>
      <c r="CF170" s="1005"/>
      <c r="CG170" s="1005"/>
      <c r="CH170" s="1005"/>
      <c r="CI170" s="1005"/>
      <c r="CJ170" s="1005"/>
      <c r="CK170" s="1005"/>
      <c r="CL170" s="1005"/>
      <c r="CM170" s="1005"/>
      <c r="CN170" s="1005"/>
      <c r="CO170" s="1005"/>
      <c r="CP170" s="1005"/>
      <c r="CQ170" s="1005"/>
      <c r="CR170" s="1005"/>
      <c r="CS170" s="1005"/>
      <c r="CT170" s="1005"/>
      <c r="CU170" s="1005"/>
      <c r="CV170" s="1005"/>
    </row>
    <row r="171" spans="1:101" s="1001" customFormat="1" outlineLevel="1" x14ac:dyDescent="0.2">
      <c r="A171" s="1008"/>
      <c r="B171" s="997"/>
      <c r="C171" s="998"/>
      <c r="D171" s="999"/>
      <c r="E171" s="1043" t="s">
        <v>765</v>
      </c>
      <c r="F171" s="192">
        <f xml:space="preserve"> 'S&amp;U'!H60</f>
        <v>0</v>
      </c>
      <c r="G171" s="192">
        <f t="shared" ref="G171" ca="1" si="38" xml:space="preserve"> F171 * FX</f>
        <v>0</v>
      </c>
      <c r="H171" s="1045">
        <f t="shared" ref="H171" ca="1" si="39">F171 / $F$172</f>
        <v>0</v>
      </c>
      <c r="I171" s="1028"/>
      <c r="J171" s="1028"/>
      <c r="K171" s="1028"/>
      <c r="L171" s="1050"/>
      <c r="M171" s="1005"/>
      <c r="N171" s="1005"/>
      <c r="O171" s="1005"/>
      <c r="P171" s="1005"/>
      <c r="Q171" s="1005"/>
      <c r="R171" s="1005"/>
      <c r="S171" s="1005"/>
      <c r="T171" s="1005"/>
      <c r="U171" s="1005"/>
      <c r="V171" s="1005"/>
      <c r="W171" s="1005"/>
      <c r="X171" s="1005"/>
      <c r="Y171" s="1005"/>
      <c r="Z171" s="1005"/>
      <c r="AA171" s="1005"/>
      <c r="AB171" s="1005"/>
      <c r="AC171" s="1005"/>
      <c r="AD171" s="1005"/>
      <c r="AE171" s="1005"/>
      <c r="AF171" s="1005"/>
      <c r="AG171" s="1005"/>
      <c r="AH171" s="1005"/>
      <c r="AI171" s="1005"/>
      <c r="AJ171" s="1005"/>
      <c r="AK171" s="1005"/>
      <c r="AL171" s="1005"/>
      <c r="AM171" s="1005"/>
      <c r="AN171" s="1005"/>
      <c r="AO171" s="1005"/>
      <c r="AP171" s="1005"/>
      <c r="AQ171" s="1005"/>
      <c r="AR171" s="1005"/>
      <c r="AS171" s="1005"/>
      <c r="AT171" s="1005"/>
      <c r="AU171" s="1005"/>
      <c r="AV171" s="1005"/>
      <c r="AW171" s="1005"/>
      <c r="AX171" s="1005"/>
      <c r="AY171" s="1005"/>
      <c r="AZ171" s="1005"/>
      <c r="BA171" s="1005"/>
      <c r="BB171" s="1005"/>
      <c r="BC171" s="1005"/>
      <c r="BD171" s="1005"/>
      <c r="BE171" s="1005"/>
      <c r="BF171" s="1005"/>
      <c r="BG171" s="1005"/>
      <c r="BH171" s="1005"/>
      <c r="BI171" s="1005"/>
      <c r="BJ171" s="1005"/>
      <c r="BK171" s="1005"/>
      <c r="BL171" s="1005"/>
      <c r="BM171" s="1005"/>
      <c r="BN171" s="1005"/>
      <c r="BO171" s="1005"/>
      <c r="BP171" s="1005"/>
      <c r="BQ171" s="1005"/>
      <c r="BR171" s="1005"/>
      <c r="BS171" s="1005"/>
      <c r="BT171" s="1005"/>
      <c r="BU171" s="1005"/>
      <c r="BV171" s="1005"/>
      <c r="BW171" s="1005"/>
      <c r="BX171" s="1005"/>
      <c r="BY171" s="1005"/>
      <c r="BZ171" s="1005"/>
      <c r="CA171" s="1005"/>
      <c r="CB171" s="1005"/>
      <c r="CC171" s="1005"/>
      <c r="CD171" s="1005"/>
      <c r="CE171" s="1005"/>
      <c r="CF171" s="1005"/>
      <c r="CG171" s="1005"/>
      <c r="CH171" s="1005"/>
      <c r="CI171" s="1005"/>
      <c r="CJ171" s="1005"/>
      <c r="CK171" s="1005"/>
      <c r="CL171" s="1005"/>
      <c r="CM171" s="1005"/>
      <c r="CN171" s="1005"/>
      <c r="CO171" s="1005"/>
      <c r="CP171" s="1005"/>
      <c r="CQ171" s="1005"/>
      <c r="CR171" s="1005"/>
      <c r="CS171" s="1005"/>
      <c r="CT171" s="1005"/>
      <c r="CU171" s="1005"/>
      <c r="CV171" s="1005"/>
    </row>
    <row r="172" spans="1:101" s="1001" customFormat="1" outlineLevel="1" x14ac:dyDescent="0.2">
      <c r="A172" s="1008"/>
      <c r="B172" s="997"/>
      <c r="C172" s="998"/>
      <c r="D172" s="999"/>
      <c r="E172" s="1053" t="s">
        <v>815</v>
      </c>
      <c r="F172" s="324">
        <f ca="1" xml:space="preserve"> SUM(F140, F146, F150, F152, F156, F161, F165, F166, F167, F168, F169, F170, F171, F142)</f>
        <v>435066.36249184381</v>
      </c>
      <c r="G172" s="324">
        <f ca="1" xml:space="preserve"> SUM(G140, G146, G150, G152, G156, G161, G165, G166, G167, G168, G169, G170, G171, G142)</f>
        <v>2175331.8124592192</v>
      </c>
      <c r="H172" s="1056">
        <f ca="1">F172 / $F$172</f>
        <v>1</v>
      </c>
      <c r="I172" s="1028"/>
      <c r="J172" s="1028"/>
      <c r="K172" s="1057"/>
      <c r="L172" s="1058"/>
      <c r="M172" s="1005"/>
      <c r="N172" s="1005"/>
      <c r="O172" s="1005"/>
      <c r="P172" s="1005"/>
      <c r="Q172" s="1005"/>
      <c r="R172" s="1005"/>
      <c r="S172" s="1005"/>
      <c r="T172" s="1005"/>
      <c r="U172" s="1005"/>
      <c r="V172" s="1005"/>
      <c r="W172" s="1005"/>
      <c r="X172" s="1005"/>
      <c r="Y172" s="1005"/>
      <c r="Z172" s="1005"/>
      <c r="AA172" s="1005"/>
      <c r="AB172" s="1005"/>
      <c r="AC172" s="1005"/>
      <c r="AD172" s="1005"/>
      <c r="AE172" s="1005"/>
      <c r="AF172" s="1005"/>
      <c r="AG172" s="1005"/>
      <c r="AH172" s="1005"/>
      <c r="AI172" s="1005"/>
      <c r="AJ172" s="1005"/>
      <c r="AK172" s="1005"/>
      <c r="AL172" s="1005"/>
      <c r="AM172" s="1005"/>
      <c r="AN172" s="1005"/>
      <c r="AO172" s="1005"/>
      <c r="AP172" s="1005"/>
      <c r="AQ172" s="1005"/>
      <c r="AR172" s="1005"/>
      <c r="AS172" s="1005"/>
      <c r="AT172" s="1005"/>
      <c r="AU172" s="1005"/>
      <c r="AV172" s="1005"/>
      <c r="AW172" s="1005"/>
      <c r="AX172" s="1005"/>
      <c r="AY172" s="1005"/>
      <c r="AZ172" s="1005"/>
      <c r="BA172" s="1005"/>
      <c r="BB172" s="1005"/>
      <c r="BC172" s="1005"/>
      <c r="BD172" s="1005"/>
      <c r="BE172" s="1005"/>
      <c r="BF172" s="1005"/>
      <c r="BG172" s="1005"/>
      <c r="BH172" s="1005"/>
      <c r="BI172" s="1005"/>
      <c r="BJ172" s="1005"/>
      <c r="BK172" s="1005"/>
      <c r="BL172" s="1005"/>
      <c r="BM172" s="1005"/>
      <c r="BN172" s="1005"/>
      <c r="BO172" s="1005"/>
      <c r="BP172" s="1005"/>
      <c r="BQ172" s="1005"/>
      <c r="BR172" s="1005"/>
      <c r="BS172" s="1005"/>
      <c r="BT172" s="1005"/>
      <c r="BU172" s="1005"/>
      <c r="BV172" s="1005"/>
      <c r="BW172" s="1005"/>
      <c r="BX172" s="1005"/>
      <c r="BY172" s="1005"/>
      <c r="BZ172" s="1005"/>
      <c r="CA172" s="1005"/>
      <c r="CB172" s="1005"/>
      <c r="CC172" s="1005"/>
      <c r="CD172" s="1005"/>
      <c r="CE172" s="1005"/>
      <c r="CF172" s="1005"/>
      <c r="CG172" s="1005"/>
      <c r="CH172" s="1005"/>
      <c r="CI172" s="1005"/>
      <c r="CJ172" s="1005"/>
      <c r="CK172" s="1005"/>
      <c r="CL172" s="1005"/>
      <c r="CM172" s="1005"/>
      <c r="CN172" s="1005"/>
      <c r="CO172" s="1005"/>
      <c r="CP172" s="1005"/>
      <c r="CQ172" s="1005"/>
      <c r="CR172" s="1005"/>
      <c r="CS172" s="1005"/>
      <c r="CT172" s="1005"/>
      <c r="CU172" s="1005"/>
      <c r="CV172" s="1005"/>
    </row>
    <row r="173" spans="1:101" s="1001" customFormat="1" x14ac:dyDescent="0.2">
      <c r="A173" s="1008"/>
      <c r="B173" s="997"/>
      <c r="C173" s="998"/>
      <c r="D173" s="999"/>
      <c r="E173" s="1005"/>
      <c r="F173" s="1050"/>
      <c r="G173" s="1028"/>
      <c r="H173" s="1030"/>
      <c r="I173" s="1030"/>
      <c r="J173" s="1030"/>
      <c r="K173" s="1030"/>
      <c r="L173" s="1030"/>
      <c r="M173" s="1030"/>
      <c r="N173" s="1005"/>
      <c r="O173" s="1005"/>
      <c r="P173" s="1005"/>
      <c r="Q173" s="1005"/>
      <c r="R173" s="1005"/>
      <c r="S173" s="1005"/>
      <c r="T173" s="1005"/>
      <c r="U173" s="1005"/>
      <c r="V173" s="1005"/>
      <c r="W173" s="1005"/>
      <c r="X173" s="1005"/>
      <c r="Y173" s="1005"/>
      <c r="Z173" s="1005"/>
      <c r="AA173" s="1005"/>
      <c r="AB173" s="1005"/>
      <c r="AC173" s="1005"/>
      <c r="AD173" s="1005"/>
      <c r="AE173" s="1005"/>
      <c r="AF173" s="1005"/>
      <c r="AG173" s="1005"/>
      <c r="AH173" s="1005"/>
      <c r="AI173" s="1005"/>
      <c r="AJ173" s="1005"/>
      <c r="AK173" s="1005"/>
      <c r="AL173" s="1005"/>
      <c r="AM173" s="1005"/>
      <c r="AN173" s="1005"/>
      <c r="AO173" s="1005"/>
      <c r="AP173" s="1005"/>
      <c r="AQ173" s="1005"/>
      <c r="AR173" s="1005"/>
      <c r="AS173" s="1005"/>
      <c r="AT173" s="1005"/>
      <c r="AU173" s="1005"/>
      <c r="AV173" s="1005"/>
      <c r="AW173" s="1005"/>
      <c r="AX173" s="1005"/>
      <c r="AY173" s="1005"/>
      <c r="AZ173" s="1005"/>
      <c r="BA173" s="1005"/>
      <c r="BB173" s="1005"/>
      <c r="BC173" s="1005"/>
      <c r="BD173" s="1005"/>
      <c r="BE173" s="1005"/>
      <c r="BF173" s="1005"/>
      <c r="BG173" s="1005"/>
      <c r="BH173" s="1005"/>
      <c r="BI173" s="1005"/>
      <c r="BJ173" s="1005"/>
      <c r="BK173" s="1005"/>
      <c r="BL173" s="1005"/>
      <c r="BM173" s="1005"/>
      <c r="BN173" s="1005"/>
      <c r="BO173" s="1005"/>
      <c r="BP173" s="1005"/>
      <c r="BQ173" s="1005"/>
      <c r="BR173" s="1005"/>
      <c r="BS173" s="1005"/>
      <c r="BT173" s="1005"/>
      <c r="BU173" s="1005"/>
      <c r="BV173" s="1005"/>
      <c r="BW173" s="1005"/>
      <c r="BX173" s="1005"/>
      <c r="BY173" s="1005"/>
      <c r="BZ173" s="1005"/>
      <c r="CA173" s="1005"/>
      <c r="CB173" s="1005"/>
      <c r="CC173" s="1005"/>
      <c r="CD173" s="1005"/>
      <c r="CE173" s="1005"/>
      <c r="CF173" s="1005"/>
      <c r="CG173" s="1005"/>
      <c r="CH173" s="1005"/>
      <c r="CI173" s="1005"/>
      <c r="CJ173" s="1005"/>
      <c r="CK173" s="1005"/>
      <c r="CL173" s="1005"/>
      <c r="CM173" s="1005"/>
      <c r="CN173" s="1005"/>
      <c r="CO173" s="1005"/>
      <c r="CP173" s="1005"/>
      <c r="CQ173" s="1005"/>
      <c r="CR173" s="1005"/>
      <c r="CS173" s="1005"/>
      <c r="CT173" s="1005"/>
      <c r="CU173" s="1005"/>
      <c r="CV173" s="1005"/>
    </row>
    <row r="174" spans="1:101" x14ac:dyDescent="0.2">
      <c r="A174" s="992" t="s">
        <v>62</v>
      </c>
      <c r="E174" s="1059"/>
      <c r="F174" s="1060"/>
      <c r="G174" s="1060"/>
    </row>
    <row r="175" spans="1:101" hidden="1" x14ac:dyDescent="0.2">
      <c r="E175" s="1061"/>
      <c r="F175" s="1060"/>
      <c r="G175" s="1060"/>
    </row>
    <row r="176" spans="1:101" s="984" customFormat="1" hidden="1" x14ac:dyDescent="0.2">
      <c r="A176" s="992"/>
      <c r="B176" s="981"/>
      <c r="C176" s="982"/>
      <c r="D176" s="983"/>
      <c r="E176" s="1062"/>
      <c r="F176" s="1060"/>
      <c r="G176" s="1060"/>
      <c r="CW176" s="986"/>
    </row>
    <row r="177" spans="1:101" s="984" customFormat="1" hidden="1" x14ac:dyDescent="0.2">
      <c r="A177" s="992"/>
      <c r="B177" s="981"/>
      <c r="C177" s="982"/>
      <c r="D177" s="983"/>
      <c r="E177" s="1028"/>
      <c r="F177" s="1060"/>
      <c r="G177" s="1060"/>
      <c r="CW177" s="986"/>
    </row>
    <row r="178" spans="1:101" s="984" customFormat="1" hidden="1" x14ac:dyDescent="0.2">
      <c r="A178" s="992"/>
      <c r="B178" s="981"/>
      <c r="C178" s="982"/>
      <c r="D178" s="983"/>
      <c r="E178" s="1028"/>
      <c r="F178" s="1060"/>
      <c r="G178" s="1060"/>
      <c r="CW178" s="986"/>
    </row>
    <row r="179" spans="1:101" s="984" customFormat="1" hidden="1" x14ac:dyDescent="0.2">
      <c r="A179" s="992"/>
      <c r="B179" s="981"/>
      <c r="C179" s="982"/>
      <c r="D179" s="983"/>
      <c r="E179" s="1061"/>
      <c r="F179" s="1060"/>
      <c r="G179" s="1060"/>
      <c r="CW179" s="986"/>
    </row>
    <row r="180" spans="1:101" s="984" customFormat="1" hidden="1" x14ac:dyDescent="0.2">
      <c r="A180" s="992"/>
      <c r="B180" s="981"/>
      <c r="C180" s="982"/>
      <c r="D180" s="983"/>
      <c r="E180" s="1061"/>
      <c r="F180" s="1060"/>
      <c r="G180" s="1060"/>
      <c r="CW180" s="986"/>
    </row>
    <row r="181" spans="1:101" s="984" customFormat="1" hidden="1" x14ac:dyDescent="0.2">
      <c r="A181" s="992"/>
      <c r="B181" s="981"/>
      <c r="C181" s="982"/>
      <c r="D181" s="983"/>
      <c r="E181" s="1061"/>
      <c r="F181" s="1060"/>
      <c r="G181" s="1060"/>
      <c r="CW181" s="986"/>
    </row>
    <row r="182" spans="1:101" s="984" customFormat="1" hidden="1" x14ac:dyDescent="0.2">
      <c r="A182" s="992"/>
      <c r="B182" s="981"/>
      <c r="C182" s="982"/>
      <c r="D182" s="983"/>
      <c r="E182" s="1061"/>
      <c r="F182" s="1060"/>
      <c r="G182" s="1060"/>
      <c r="CW182" s="986"/>
    </row>
    <row r="183" spans="1:101" s="984" customFormat="1" hidden="1" x14ac:dyDescent="0.2">
      <c r="A183" s="992"/>
      <c r="B183" s="981"/>
      <c r="C183" s="982"/>
      <c r="D183" s="983"/>
      <c r="E183" s="1059"/>
      <c r="F183" s="1060"/>
      <c r="G183" s="1060"/>
      <c r="CW183" s="986"/>
    </row>
    <row r="184" spans="1:101" s="984" customFormat="1" hidden="1" x14ac:dyDescent="0.2">
      <c r="A184" s="992"/>
      <c r="B184" s="981"/>
      <c r="C184" s="982"/>
      <c r="D184" s="983"/>
      <c r="E184" s="1059"/>
      <c r="F184" s="1060"/>
      <c r="G184" s="1060"/>
      <c r="CW184" s="986"/>
    </row>
    <row r="185" spans="1:101" s="984" customFormat="1" hidden="1" x14ac:dyDescent="0.2">
      <c r="A185" s="992"/>
      <c r="B185" s="981"/>
      <c r="C185" s="982"/>
      <c r="D185" s="983"/>
      <c r="E185" s="1061"/>
      <c r="F185" s="1060"/>
      <c r="G185" s="1060"/>
      <c r="CW185" s="986"/>
    </row>
    <row r="186" spans="1:101" s="984" customFormat="1" hidden="1" x14ac:dyDescent="0.2">
      <c r="A186" s="992"/>
      <c r="B186" s="981"/>
      <c r="C186" s="982"/>
      <c r="D186" s="983"/>
      <c r="E186" s="1028"/>
      <c r="F186" s="1060"/>
      <c r="G186" s="1060"/>
      <c r="CW186" s="986"/>
    </row>
    <row r="187" spans="1:101" s="984" customFormat="1" hidden="1" x14ac:dyDescent="0.2">
      <c r="A187" s="992"/>
      <c r="B187" s="981"/>
      <c r="C187" s="982"/>
      <c r="D187" s="983"/>
      <c r="E187" s="1061"/>
      <c r="F187" s="1060"/>
      <c r="G187" s="1060"/>
      <c r="CW187" s="986"/>
    </row>
    <row r="188" spans="1:101" s="984" customFormat="1" hidden="1" x14ac:dyDescent="0.2">
      <c r="A188" s="992"/>
      <c r="B188" s="981"/>
      <c r="C188" s="982"/>
      <c r="D188" s="983"/>
      <c r="E188" s="1061"/>
      <c r="F188" s="1060"/>
      <c r="G188" s="1060"/>
      <c r="CW188" s="986"/>
    </row>
    <row r="189" spans="1:101" s="984" customFormat="1" hidden="1" x14ac:dyDescent="0.2">
      <c r="A189" s="992"/>
      <c r="B189" s="981"/>
      <c r="C189" s="982"/>
      <c r="D189" s="983"/>
      <c r="E189" s="1061"/>
      <c r="F189" s="1060"/>
      <c r="G189" s="1060"/>
      <c r="CW189" s="986"/>
    </row>
    <row r="190" spans="1:101" s="984" customFormat="1" hidden="1" x14ac:dyDescent="0.2">
      <c r="A190" s="992"/>
      <c r="B190" s="981"/>
      <c r="C190" s="982"/>
      <c r="D190" s="983"/>
      <c r="E190" s="1061"/>
      <c r="F190" s="1060"/>
      <c r="G190" s="1060"/>
      <c r="CW190" s="986"/>
    </row>
    <row r="191" spans="1:101" s="984" customFormat="1" hidden="1" x14ac:dyDescent="0.2">
      <c r="A191" s="992"/>
      <c r="B191" s="981"/>
      <c r="C191" s="982"/>
      <c r="D191" s="983"/>
      <c r="E191" s="1061"/>
      <c r="CW191" s="986"/>
    </row>
    <row r="192" spans="1:101" s="984" customFormat="1" hidden="1" x14ac:dyDescent="0.2">
      <c r="A192" s="992"/>
      <c r="B192" s="981"/>
      <c r="C192" s="982"/>
      <c r="D192" s="983"/>
      <c r="E192" s="1063"/>
      <c r="CW192" s="986"/>
    </row>
    <row r="193" spans="1:101" s="984" customFormat="1" hidden="1" x14ac:dyDescent="0.2">
      <c r="A193" s="992"/>
      <c r="B193" s="981"/>
      <c r="C193" s="982"/>
      <c r="D193" s="983"/>
      <c r="E193" s="1063"/>
      <c r="CW193" s="986"/>
    </row>
    <row r="194" spans="1:101" s="984" customFormat="1" hidden="1" x14ac:dyDescent="0.2">
      <c r="A194" s="992"/>
      <c r="B194" s="981"/>
      <c r="C194" s="982"/>
      <c r="D194" s="983"/>
      <c r="E194" s="1064"/>
      <c r="CW194" s="986"/>
    </row>
    <row r="195" spans="1:101" s="984" customFormat="1" hidden="1" x14ac:dyDescent="0.2">
      <c r="A195" s="992"/>
      <c r="B195" s="981"/>
      <c r="C195" s="982"/>
      <c r="D195" s="983"/>
      <c r="E195" s="938"/>
      <c r="CW195" s="986"/>
    </row>
    <row r="196" spans="1:101" s="984" customFormat="1" hidden="1" x14ac:dyDescent="0.2">
      <c r="A196" s="992"/>
      <c r="B196" s="981"/>
      <c r="C196" s="982"/>
      <c r="D196" s="983"/>
      <c r="E196" s="938"/>
      <c r="CW196" s="986"/>
    </row>
    <row r="198" spans="1:101" x14ac:dyDescent="0.2"/>
    <row r="199" spans="1:101" x14ac:dyDescent="0.2"/>
    <row r="200" spans="1:101" x14ac:dyDescent="0.2"/>
    <row r="201" spans="1:101" x14ac:dyDescent="0.2"/>
    <row r="202" spans="1:101" x14ac:dyDescent="0.2"/>
    <row r="203" spans="1:101" x14ac:dyDescent="0.2"/>
    <row r="204" spans="1:101" x14ac:dyDescent="0.2"/>
    <row r="205" spans="1:101" x14ac:dyDescent="0.2"/>
    <row r="206" spans="1:101" x14ac:dyDescent="0.2"/>
    <row r="207" spans="1:101" x14ac:dyDescent="0.2"/>
    <row r="208" spans="1:101" x14ac:dyDescent="0.2"/>
    <row r="209" x14ac:dyDescent="0.2"/>
    <row r="210" x14ac:dyDescent="0.2"/>
    <row r="211" x14ac:dyDescent="0.2"/>
    <row r="212" x14ac:dyDescent="0.2"/>
    <row r="213" x14ac:dyDescent="0.2"/>
    <row r="214" x14ac:dyDescent="0.2"/>
  </sheetData>
  <conditionalFormatting sqref="J4:CV4">
    <cfRule type="cellIs" dxfId="45" priority="4" stopIfTrue="1" operator="equal">
      <formula>"Construction"</formula>
    </cfRule>
    <cfRule type="cellIs" dxfId="44" priority="5" stopIfTrue="1" operator="equal">
      <formula>"Operations"</formula>
    </cfRule>
  </conditionalFormatting>
  <conditionalFormatting sqref="J4:CV4">
    <cfRule type="cellIs" dxfId="43" priority="3" operator="equal">
      <formula>"Fin Close"</formula>
    </cfRule>
  </conditionalFormatting>
  <conditionalFormatting sqref="J4:CV4">
    <cfRule type="cellIs" dxfId="42" priority="1" operator="equal">
      <formula>"PPA ext."</formula>
    </cfRule>
    <cfRule type="cellIs" dxfId="41" priority="2" operator="equal">
      <formula>"Delay"</formula>
    </cfRule>
  </conditionalFormatting>
  <pageMargins left="0.70866141732283472" right="0.70866141732283472" top="0.74803149606299213" bottom="0.74803149606299213" header="0.31496062992125984" footer="0.31496062992125984"/>
  <pageSetup scale="40" orientation="landscape" r:id="rId1"/>
  <headerFooter>
    <oddHeader>&amp;L&amp;"Arial,Bold"&amp;12PROJECT REPDO 2 JEDDAH IPP&amp;C&amp;"Arial,Bold"&amp;12Sheet: &amp;A&amp;R&amp;"Arial,Bold"&amp;12STRICTLY CONFIDENTIAL</oddHeader>
    <oddFooter>&amp;L&amp;12&amp;F (Printed on &amp;D at &amp;T)&amp;R&amp;12Page &amp;P of &amp;N</oddFooter>
  </headerFooter>
  <colBreaks count="2" manualBreakCount="2">
    <brk id="23" max="1289" man="1"/>
    <brk id="92" max="1289" man="1"/>
  </col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9"/>
  <sheetViews>
    <sheetView showGridLines="0" defaultGridColor="0" colorId="22" zoomScale="75" zoomScaleNormal="75" workbookViewId="0">
      <pane xSplit="9" ySplit="5" topLeftCell="J18" activePane="bottomRight" state="frozen"/>
      <selection activeCell="F117" sqref="F117"/>
      <selection pane="topRight" activeCell="F117" sqref="F117"/>
      <selection pane="bottomLeft" activeCell="F117" sqref="F117"/>
      <selection pane="bottomRight" activeCell="F13" sqref="F13"/>
    </sheetView>
  </sheetViews>
  <sheetFormatPr defaultColWidth="0" defaultRowHeight="12.75" x14ac:dyDescent="0.2"/>
  <cols>
    <col min="1" max="1" width="1.28515625" style="79" customWidth="1"/>
    <col min="2" max="2" width="1.28515625" style="33" customWidth="1"/>
    <col min="3" max="3" width="1.28515625" style="30" customWidth="1"/>
    <col min="4" max="4" width="1.28515625" style="60" customWidth="1"/>
    <col min="5" max="5" width="40.5703125" style="32" customWidth="1"/>
    <col min="6" max="6" width="12.5703125" style="32" customWidth="1"/>
    <col min="7" max="8" width="11.5703125" style="32" customWidth="1"/>
    <col min="9" max="9" width="2.5703125" style="32" customWidth="1"/>
    <col min="10" max="16384" width="11.5703125" hidden="1"/>
  </cols>
  <sheetData>
    <row r="1" spans="1:9" ht="26.25" x14ac:dyDescent="0.2">
      <c r="A1" s="24" t="str">
        <f ca="1" xml:space="preserve"> RIGHT(CELL("filename", A1), LEN(CELL("filename", A1)) - SEARCH("]", CELL("filename", A1))) &amp; " - " &amp; InpC!F3</f>
        <v>Check - Base case 1</v>
      </c>
    </row>
    <row r="2" spans="1:9" x14ac:dyDescent="0.2">
      <c r="A2" s="22"/>
      <c r="B2" s="23"/>
      <c r="C2" s="41"/>
      <c r="D2" s="42"/>
      <c r="E2" s="22"/>
      <c r="F2" s="271">
        <f ca="1" xml:space="preserve"> F9</f>
        <v>1</v>
      </c>
      <c r="G2" s="37" t="s">
        <v>23</v>
      </c>
      <c r="H2" s="22"/>
      <c r="I2" s="22"/>
    </row>
    <row r="3" spans="1:9" x14ac:dyDescent="0.2">
      <c r="F3" s="271">
        <f ca="1" xml:space="preserve"> Output!J2</f>
        <v>82</v>
      </c>
      <c r="G3" s="80" t="s">
        <v>25</v>
      </c>
    </row>
    <row r="4" spans="1:9" x14ac:dyDescent="0.2">
      <c r="F4" s="271">
        <f xml:space="preserve"> Check!$F$28</f>
        <v>0</v>
      </c>
      <c r="G4" s="80" t="s">
        <v>24</v>
      </c>
    </row>
    <row r="5" spans="1:9" x14ac:dyDescent="0.2">
      <c r="F5" s="39" t="s">
        <v>19</v>
      </c>
      <c r="G5" s="40" t="s">
        <v>17</v>
      </c>
      <c r="H5" s="79"/>
    </row>
    <row r="7" spans="1:9" x14ac:dyDescent="0.2">
      <c r="A7" s="79" t="s">
        <v>32</v>
      </c>
    </row>
    <row r="9" spans="1:9" x14ac:dyDescent="0.2">
      <c r="E9" s="32" t="s">
        <v>33</v>
      </c>
      <c r="F9" s="271">
        <f ca="1" xml:space="preserve"> SUM(F11:F23)</f>
        <v>1</v>
      </c>
      <c r="G9" s="32" t="s">
        <v>20</v>
      </c>
    </row>
    <row r="11" spans="1:9" s="185" customFormat="1" x14ac:dyDescent="0.2">
      <c r="A11" s="239"/>
      <c r="B11" s="239"/>
      <c r="C11" s="240"/>
      <c r="D11" s="241"/>
      <c r="E11" s="156" t="s">
        <v>34</v>
      </c>
      <c r="F11" s="156" t="s">
        <v>35</v>
      </c>
      <c r="G11" s="156"/>
      <c r="H11" s="156"/>
      <c r="I11" s="156"/>
    </row>
    <row r="13" spans="1:9" x14ac:dyDescent="0.2">
      <c r="E13" s="125" t="str">
        <f xml:space="preserve"> 'FS Semi'!E$136</f>
        <v>Balance sheet check</v>
      </c>
      <c r="F13" s="271">
        <f xml:space="preserve"> 'FS Semi'!F$136</f>
        <v>0</v>
      </c>
      <c r="G13" s="125" t="str">
        <f xml:space="preserve"> 'FS Semi'!G$136</f>
        <v>check</v>
      </c>
    </row>
    <row r="14" spans="1:9" x14ac:dyDescent="0.2">
      <c r="E14" s="125" t="str">
        <f xml:space="preserve"> 'FS Semi_P99'!E$132</f>
        <v>Balance sheet check - P99</v>
      </c>
      <c r="F14" s="271">
        <f ca="1" xml:space="preserve"> 'FS Semi_P99'!F$132</f>
        <v>0</v>
      </c>
      <c r="G14" s="125" t="str">
        <f xml:space="preserve"> 'FS Semi_P99'!G$132</f>
        <v>check</v>
      </c>
    </row>
    <row r="15" spans="1:9" x14ac:dyDescent="0.2">
      <c r="E15" s="125" t="str">
        <f xml:space="preserve"> 'FS Ann'!E$136</f>
        <v>Annual balance sheet check</v>
      </c>
      <c r="F15" s="271">
        <f xml:space="preserve"> 'FS Ann'!F$136</f>
        <v>0</v>
      </c>
      <c r="G15" s="125" t="str">
        <f xml:space="preserve"> 'FS Ann'!G$136</f>
        <v>check</v>
      </c>
    </row>
    <row r="16" spans="1:9" x14ac:dyDescent="0.2">
      <c r="E16" s="125" t="str">
        <f xml:space="preserve"> 'S&amp;U'!E$54</f>
        <v>Sources and uses check</v>
      </c>
      <c r="F16" s="271">
        <f xml:space="preserve"> 'S&amp;U'!F$55</f>
        <v>0</v>
      </c>
      <c r="G16" s="125" t="str">
        <f xml:space="preserve"> 'S&amp;U'!G$54</f>
        <v>check</v>
      </c>
    </row>
    <row r="17" spans="1:9" x14ac:dyDescent="0.2">
      <c r="E17" s="125" t="str">
        <f xml:space="preserve"> Solve!E$84</f>
        <v>Master solve check</v>
      </c>
      <c r="F17" s="271">
        <f xml:space="preserve"> Solve!F$84</f>
        <v>0</v>
      </c>
      <c r="G17" s="125" t="str">
        <f xml:space="preserve"> Solve!G$84</f>
        <v>check</v>
      </c>
    </row>
    <row r="18" spans="1:9" x14ac:dyDescent="0.2">
      <c r="E18" s="125" t="str">
        <f xml:space="preserve"> DSRA!E$90</f>
        <v>DSRA sufficiently funded check</v>
      </c>
      <c r="F18" s="271">
        <f xml:space="preserve"> DSRA!F$91</f>
        <v>0</v>
      </c>
      <c r="G18" s="125" t="str">
        <f xml:space="preserve"> DSRA!G$90</f>
        <v>check</v>
      </c>
    </row>
    <row r="19" spans="1:9" x14ac:dyDescent="0.2">
      <c r="E19" s="125" t="str">
        <f xml:space="preserve"> InpC!E$78</f>
        <v>Annual yield allocation check</v>
      </c>
      <c r="F19" s="271">
        <f xml:space="preserve"> InpC!F$78</f>
        <v>0</v>
      </c>
      <c r="G19" s="125" t="str">
        <f xml:space="preserve"> InpC!G$78</f>
        <v>check</v>
      </c>
    </row>
    <row r="20" spans="1:9" x14ac:dyDescent="0.2">
      <c r="E20" s="125" t="str">
        <f xml:space="preserve"> InpC!E$173</f>
        <v>Senior debt % split check</v>
      </c>
      <c r="F20" s="271">
        <f xml:space="preserve"> InpC!F$173</f>
        <v>0</v>
      </c>
      <c r="G20" s="125" t="str">
        <f xml:space="preserve"> InpC!G$173</f>
        <v>check</v>
      </c>
    </row>
    <row r="21" spans="1:9" x14ac:dyDescent="0.2">
      <c r="E21" s="725" t="str">
        <f xml:space="preserve"> InpC!E$307</f>
        <v>Senior debt T2 tenor &lt; T1 tenor check</v>
      </c>
      <c r="F21" s="271">
        <f xml:space="preserve"> InpC!F$307</f>
        <v>1</v>
      </c>
      <c r="G21" s="125" t="str">
        <f xml:space="preserve"> InpC!G$307</f>
        <v>check</v>
      </c>
    </row>
    <row r="22" spans="1:9" x14ac:dyDescent="0.2">
      <c r="E22" s="125"/>
      <c r="F22" s="125"/>
      <c r="G22" s="125"/>
    </row>
    <row r="23" spans="1:9" s="185" customFormat="1" x14ac:dyDescent="0.2">
      <c r="A23" s="239"/>
      <c r="B23" s="239"/>
      <c r="C23" s="240"/>
      <c r="D23" s="241"/>
      <c r="E23" s="156" t="s">
        <v>34</v>
      </c>
      <c r="F23" s="156" t="s">
        <v>36</v>
      </c>
      <c r="G23" s="156"/>
      <c r="H23" s="156"/>
      <c r="I23" s="156"/>
    </row>
    <row r="26" spans="1:9" x14ac:dyDescent="0.2">
      <c r="A26" s="79" t="s">
        <v>37</v>
      </c>
    </row>
    <row r="28" spans="1:9" x14ac:dyDescent="0.2">
      <c r="E28" s="32" t="s">
        <v>38</v>
      </c>
      <c r="F28" s="271">
        <f xml:space="preserve"> SUM(F30:F39)</f>
        <v>0</v>
      </c>
      <c r="G28" s="32" t="s">
        <v>39</v>
      </c>
    </row>
    <row r="30" spans="1:9" s="185" customFormat="1" x14ac:dyDescent="0.2">
      <c r="A30" s="239"/>
      <c r="B30" s="239"/>
      <c r="C30" s="240"/>
      <c r="D30" s="241"/>
      <c r="E30" s="156" t="s">
        <v>34</v>
      </c>
      <c r="F30" s="156" t="s">
        <v>35</v>
      </c>
      <c r="G30" s="156"/>
      <c r="H30" s="156"/>
      <c r="I30" s="156"/>
    </row>
    <row r="32" spans="1:9" x14ac:dyDescent="0.2">
      <c r="E32" s="125" t="str">
        <f xml:space="preserve"> Debt!E$561</f>
        <v>WCF commitment amount insufficient alert</v>
      </c>
      <c r="F32" s="478">
        <f xml:space="preserve"> Debt!F$561</f>
        <v>0</v>
      </c>
      <c r="G32" s="125" t="str">
        <f xml:space="preserve"> Debt!G$561</f>
        <v>alert</v>
      </c>
    </row>
    <row r="33" spans="1:9" x14ac:dyDescent="0.2">
      <c r="E33" s="125" t="str">
        <f xml:space="preserve"> Debt!E$632</f>
        <v>WCF commitment amount insufficient alert - P99</v>
      </c>
      <c r="F33" s="271">
        <f xml:space="preserve"> Debt!F$632</f>
        <v>0</v>
      </c>
      <c r="G33" s="125" t="str">
        <f xml:space="preserve"> Debt!G$632</f>
        <v>alert</v>
      </c>
    </row>
    <row r="39" spans="1:9" s="244" customFormat="1" x14ac:dyDescent="0.2">
      <c r="A39" s="242"/>
      <c r="B39" s="242"/>
      <c r="C39" s="243"/>
      <c r="D39" s="178"/>
      <c r="E39" s="178" t="s">
        <v>34</v>
      </c>
      <c r="F39" s="178" t="s">
        <v>36</v>
      </c>
      <c r="G39" s="178"/>
      <c r="H39" s="178"/>
      <c r="I39" s="178"/>
    </row>
  </sheetData>
  <conditionalFormatting sqref="F2:F4 F13:F15">
    <cfRule type="cellIs" dxfId="40" priority="37" stopIfTrue="1" operator="notEqual">
      <formula>0</formula>
    </cfRule>
    <cfRule type="cellIs" dxfId="39" priority="38" stopIfTrue="1" operator="equal">
      <formula>""</formula>
    </cfRule>
  </conditionalFormatting>
  <conditionalFormatting sqref="F2:F4 F13:F15">
    <cfRule type="cellIs" dxfId="38" priority="39" stopIfTrue="1" operator="notEqual">
      <formula>0</formula>
    </cfRule>
    <cfRule type="cellIs" dxfId="37" priority="40" stopIfTrue="1" operator="equal">
      <formula>""</formula>
    </cfRule>
  </conditionalFormatting>
  <conditionalFormatting sqref="F9">
    <cfRule type="cellIs" dxfId="36" priority="33" stopIfTrue="1" operator="notEqual">
      <formula>0</formula>
    </cfRule>
    <cfRule type="cellIs" dxfId="35" priority="34" stopIfTrue="1" operator="equal">
      <formula>""</formula>
    </cfRule>
  </conditionalFormatting>
  <conditionalFormatting sqref="F9">
    <cfRule type="cellIs" dxfId="34" priority="35" stopIfTrue="1" operator="notEqual">
      <formula>0</formula>
    </cfRule>
    <cfRule type="cellIs" dxfId="33" priority="36" stopIfTrue="1" operator="equal">
      <formula>""</formula>
    </cfRule>
  </conditionalFormatting>
  <conditionalFormatting sqref="F28">
    <cfRule type="cellIs" dxfId="32" priority="29" stopIfTrue="1" operator="notEqual">
      <formula>0</formula>
    </cfRule>
    <cfRule type="cellIs" dxfId="31" priority="30" stopIfTrue="1" operator="equal">
      <formula>""</formula>
    </cfRule>
  </conditionalFormatting>
  <conditionalFormatting sqref="F28">
    <cfRule type="cellIs" dxfId="30" priority="31" stopIfTrue="1" operator="notEqual">
      <formula>0</formula>
    </cfRule>
    <cfRule type="cellIs" dxfId="29" priority="32" stopIfTrue="1" operator="equal">
      <formula>""</formula>
    </cfRule>
  </conditionalFormatting>
  <conditionalFormatting sqref="F16">
    <cfRule type="cellIs" dxfId="28" priority="17" stopIfTrue="1" operator="notEqual">
      <formula>0</formula>
    </cfRule>
    <cfRule type="cellIs" dxfId="27" priority="18" stopIfTrue="1" operator="equal">
      <formula>""</formula>
    </cfRule>
  </conditionalFormatting>
  <conditionalFormatting sqref="F16">
    <cfRule type="cellIs" dxfId="26" priority="19" stopIfTrue="1" operator="notEqual">
      <formula>0</formula>
    </cfRule>
    <cfRule type="cellIs" dxfId="25" priority="20" stopIfTrue="1" operator="equal">
      <formula>""</formula>
    </cfRule>
  </conditionalFormatting>
  <conditionalFormatting sqref="F17:F18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17:F18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19:F21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19:F21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32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32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33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33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defaultGridColor="0" colorId="8" zoomScale="75" zoomScaleNormal="75" workbookViewId="0">
      <pane xSplit="9" ySplit="5" topLeftCell="J18" activePane="bottomRight" state="frozen"/>
      <selection activeCell="F117" sqref="F117"/>
      <selection pane="topRight" activeCell="F117" sqref="F117"/>
      <selection pane="bottomLeft" activeCell="F117" sqref="F117"/>
      <selection pane="bottomRight" activeCell="H24" sqref="H24"/>
    </sheetView>
  </sheetViews>
  <sheetFormatPr defaultColWidth="0" defaultRowHeight="12.75" x14ac:dyDescent="0.2"/>
  <cols>
    <col min="1" max="2" width="1.28515625" style="15" customWidth="1"/>
    <col min="3" max="3" width="1.28515625" style="21" customWidth="1"/>
    <col min="4" max="4" width="1.28515625" style="48" customWidth="1"/>
    <col min="5" max="5" width="40.5703125" style="12" customWidth="1"/>
    <col min="6" max="6" width="12.5703125" style="12" customWidth="1"/>
    <col min="7" max="8" width="11.5703125" style="12" customWidth="1"/>
    <col min="9" max="9" width="2.5703125" style="9" customWidth="1"/>
    <col min="10" max="100" width="11.5703125" style="12" customWidth="1"/>
    <col min="101" max="192" width="0" hidden="1" customWidth="1"/>
    <col min="193" max="16384" width="11.5703125" hidden="1"/>
  </cols>
  <sheetData>
    <row r="1" spans="1:100" ht="26.25" x14ac:dyDescent="0.2">
      <c r="A1" s="24" t="str">
        <f ca="1" xml:space="preserve"> RIGHT(CELL("filename", A1), LEN(CELL("filename", A1)) - SEARCH("]", CELL("filename", A1))) &amp; " - " &amp; InpC!F3</f>
        <v>Tmp - Base case 1</v>
      </c>
    </row>
    <row r="2" spans="1:100" x14ac:dyDescent="0.2">
      <c r="A2" s="49"/>
      <c r="B2" s="49"/>
      <c r="C2" s="50"/>
      <c r="D2" s="51"/>
      <c r="E2" s="36" t="str">
        <f xml:space="preserve"> Time!E$25</f>
        <v>Model period ending</v>
      </c>
      <c r="F2" s="271">
        <f ca="1" xml:space="preserve"> Check!$F$9</f>
        <v>1</v>
      </c>
      <c r="G2" s="37" t="s">
        <v>23</v>
      </c>
      <c r="H2" s="25"/>
      <c r="I2" s="132"/>
      <c r="J2" s="25">
        <f xml:space="preserve"> Time!J$25</f>
        <v>44742</v>
      </c>
      <c r="K2" s="25">
        <f xml:space="preserve"> Time!K$25</f>
        <v>44926</v>
      </c>
      <c r="L2" s="25">
        <f xml:space="preserve"> Time!L$25</f>
        <v>45107</v>
      </c>
      <c r="M2" s="25">
        <f xml:space="preserve"> Time!M$25</f>
        <v>45291</v>
      </c>
      <c r="N2" s="25">
        <f xml:space="preserve"> Time!N$25</f>
        <v>45473</v>
      </c>
      <c r="O2" s="25">
        <f xml:space="preserve"> Time!O$25</f>
        <v>45657</v>
      </c>
      <c r="P2" s="25">
        <f xml:space="preserve"> Time!P$25</f>
        <v>45838</v>
      </c>
      <c r="Q2" s="25">
        <f xml:space="preserve"> Time!Q$25</f>
        <v>46022</v>
      </c>
      <c r="R2" s="25">
        <f xml:space="preserve"> Time!R$25</f>
        <v>46203</v>
      </c>
      <c r="S2" s="25">
        <f xml:space="preserve"> Time!S$25</f>
        <v>46387</v>
      </c>
      <c r="T2" s="25">
        <f xml:space="preserve"> Time!T$25</f>
        <v>46568</v>
      </c>
      <c r="U2" s="25">
        <f xml:space="preserve"> Time!U$25</f>
        <v>46752</v>
      </c>
      <c r="V2" s="25">
        <f xml:space="preserve"> Time!V$25</f>
        <v>46934</v>
      </c>
      <c r="W2" s="25">
        <f xml:space="preserve"> Time!W$25</f>
        <v>47118</v>
      </c>
      <c r="X2" s="25">
        <f xml:space="preserve"> Time!X$25</f>
        <v>47299</v>
      </c>
      <c r="Y2" s="25">
        <f xml:space="preserve"> Time!Y$25</f>
        <v>47483</v>
      </c>
      <c r="Z2" s="25">
        <f xml:space="preserve"> Time!Z$25</f>
        <v>47664</v>
      </c>
      <c r="AA2" s="25">
        <f xml:space="preserve"> Time!AA$25</f>
        <v>47848</v>
      </c>
      <c r="AB2" s="25">
        <f xml:space="preserve"> Time!AB$25</f>
        <v>48029</v>
      </c>
      <c r="AC2" s="25">
        <f xml:space="preserve"> Time!AC$25</f>
        <v>48213</v>
      </c>
      <c r="AD2" s="25">
        <f xml:space="preserve"> Time!AD$25</f>
        <v>48395</v>
      </c>
      <c r="AE2" s="25">
        <f xml:space="preserve"> Time!AE$25</f>
        <v>48579</v>
      </c>
      <c r="AF2" s="25">
        <f xml:space="preserve"> Time!AF$25</f>
        <v>48760</v>
      </c>
      <c r="AG2" s="25">
        <f xml:space="preserve"> Time!AG$25</f>
        <v>48944</v>
      </c>
      <c r="AH2" s="25">
        <f xml:space="preserve"> Time!AH$25</f>
        <v>49125</v>
      </c>
      <c r="AI2" s="25">
        <f xml:space="preserve"> Time!AI$25</f>
        <v>49309</v>
      </c>
      <c r="AJ2" s="25">
        <f xml:space="preserve"> Time!AJ$25</f>
        <v>49490</v>
      </c>
      <c r="AK2" s="25">
        <f xml:space="preserve"> Time!AK$25</f>
        <v>49674</v>
      </c>
      <c r="AL2" s="25">
        <f xml:space="preserve"> Time!AL$25</f>
        <v>49856</v>
      </c>
      <c r="AM2" s="25">
        <f xml:space="preserve"> Time!AM$25</f>
        <v>50040</v>
      </c>
      <c r="AN2" s="25">
        <f xml:space="preserve"> Time!AN$25</f>
        <v>50221</v>
      </c>
      <c r="AO2" s="25">
        <f xml:space="preserve"> Time!AO$25</f>
        <v>50405</v>
      </c>
      <c r="AP2" s="25">
        <f xml:space="preserve"> Time!AP$25</f>
        <v>50586</v>
      </c>
      <c r="AQ2" s="25">
        <f xml:space="preserve"> Time!AQ$25</f>
        <v>50770</v>
      </c>
      <c r="AR2" s="25">
        <f xml:space="preserve"> Time!AR$25</f>
        <v>50951</v>
      </c>
      <c r="AS2" s="25">
        <f xml:space="preserve"> Time!AS$25</f>
        <v>51135</v>
      </c>
      <c r="AT2" s="25">
        <f xml:space="preserve"> Time!AT$25</f>
        <v>51317</v>
      </c>
      <c r="AU2" s="25">
        <f xml:space="preserve"> Time!AU$25</f>
        <v>51501</v>
      </c>
      <c r="AV2" s="25">
        <f xml:space="preserve"> Time!AV$25</f>
        <v>51682</v>
      </c>
      <c r="AW2" s="25">
        <f xml:space="preserve"> Time!AW$25</f>
        <v>51866</v>
      </c>
      <c r="AX2" s="25">
        <f xml:space="preserve"> Time!AX$25</f>
        <v>52047</v>
      </c>
      <c r="AY2" s="25">
        <f xml:space="preserve"> Time!AY$25</f>
        <v>52231</v>
      </c>
      <c r="AZ2" s="25">
        <f xml:space="preserve"> Time!AZ$25</f>
        <v>52412</v>
      </c>
      <c r="BA2" s="25">
        <f xml:space="preserve"> Time!BA$25</f>
        <v>52596</v>
      </c>
      <c r="BB2" s="25">
        <f xml:space="preserve"> Time!BB$25</f>
        <v>52778</v>
      </c>
      <c r="BC2" s="25">
        <f xml:space="preserve"> Time!BC$25</f>
        <v>52962</v>
      </c>
      <c r="BD2" s="25">
        <f xml:space="preserve"> Time!BD$25</f>
        <v>53143</v>
      </c>
      <c r="BE2" s="25">
        <f xml:space="preserve"> Time!BE$25</f>
        <v>53327</v>
      </c>
      <c r="BF2" s="25">
        <f xml:space="preserve"> Time!BF$25</f>
        <v>53508</v>
      </c>
      <c r="BG2" s="25">
        <f xml:space="preserve"> Time!BG$25</f>
        <v>53692</v>
      </c>
      <c r="BH2" s="25">
        <f xml:space="preserve"> Time!BH$25</f>
        <v>53873</v>
      </c>
      <c r="BI2" s="25">
        <f xml:space="preserve"> Time!BI$25</f>
        <v>54057</v>
      </c>
      <c r="BJ2" s="25">
        <f xml:space="preserve"> Time!BJ$25</f>
        <v>54239</v>
      </c>
      <c r="BK2" s="25">
        <f xml:space="preserve"> Time!BK$25</f>
        <v>54423</v>
      </c>
      <c r="BL2" s="25">
        <f xml:space="preserve"> Time!BL$25</f>
        <v>54604</v>
      </c>
      <c r="BM2" s="25">
        <f xml:space="preserve"> Time!BM$25</f>
        <v>54788</v>
      </c>
      <c r="BN2" s="25">
        <f xml:space="preserve"> Time!BN$25</f>
        <v>54969</v>
      </c>
      <c r="BO2" s="25">
        <f xml:space="preserve"> Time!BO$25</f>
        <v>55153</v>
      </c>
      <c r="BP2" s="25">
        <f xml:space="preserve"> Time!BP$25</f>
        <v>55334</v>
      </c>
      <c r="BQ2" s="25">
        <f xml:space="preserve"> Time!BQ$25</f>
        <v>55518</v>
      </c>
      <c r="BR2" s="25">
        <f xml:space="preserve"> Time!BR$25</f>
        <v>55700</v>
      </c>
      <c r="BS2" s="25">
        <f xml:space="preserve"> Time!BS$25</f>
        <v>55884</v>
      </c>
      <c r="BT2" s="25">
        <f xml:space="preserve"> Time!BT$25</f>
        <v>56065</v>
      </c>
      <c r="BU2" s="25">
        <f xml:space="preserve"> Time!BU$25</f>
        <v>56249</v>
      </c>
      <c r="BV2" s="25">
        <f xml:space="preserve"> Time!BV$25</f>
        <v>56430</v>
      </c>
      <c r="BW2" s="25">
        <f xml:space="preserve"> Time!BW$25</f>
        <v>56614</v>
      </c>
      <c r="BX2" s="25">
        <f xml:space="preserve"> Time!BX$25</f>
        <v>56795</v>
      </c>
      <c r="BY2" s="25">
        <f xml:space="preserve"> Time!BY$25</f>
        <v>56979</v>
      </c>
      <c r="BZ2" s="25">
        <f xml:space="preserve"> Time!BZ$25</f>
        <v>57161</v>
      </c>
      <c r="CA2" s="25">
        <f xml:space="preserve"> Time!CA$25</f>
        <v>57345</v>
      </c>
      <c r="CB2" s="25">
        <f xml:space="preserve"> Time!CB$25</f>
        <v>57526</v>
      </c>
      <c r="CC2" s="25">
        <f xml:space="preserve"> Time!CC$25</f>
        <v>57710</v>
      </c>
      <c r="CD2" s="25">
        <f xml:space="preserve"> Time!CD$25</f>
        <v>57891</v>
      </c>
      <c r="CE2" s="25">
        <f xml:space="preserve"> Time!CE$25</f>
        <v>58075</v>
      </c>
      <c r="CF2" s="25">
        <f xml:space="preserve"> Time!CF$25</f>
        <v>58256</v>
      </c>
      <c r="CG2" s="25">
        <f xml:space="preserve"> Time!CG$25</f>
        <v>58440</v>
      </c>
      <c r="CH2" s="25">
        <f xml:space="preserve"> Time!CH$25</f>
        <v>58622</v>
      </c>
      <c r="CI2" s="25">
        <f xml:space="preserve"> Time!CI$25</f>
        <v>58806</v>
      </c>
      <c r="CJ2" s="25">
        <f xml:space="preserve"> Time!CJ$25</f>
        <v>58987</v>
      </c>
      <c r="CK2" s="25">
        <f xml:space="preserve"> Time!CK$25</f>
        <v>59171</v>
      </c>
      <c r="CL2" s="25">
        <f xml:space="preserve"> Time!CL$25</f>
        <v>59352</v>
      </c>
      <c r="CM2" s="25">
        <f xml:space="preserve"> Time!CM$25</f>
        <v>59536</v>
      </c>
      <c r="CN2" s="25">
        <f xml:space="preserve"> Time!CN$25</f>
        <v>59717</v>
      </c>
      <c r="CO2" s="25">
        <f xml:space="preserve"> Time!CO$25</f>
        <v>59901</v>
      </c>
      <c r="CP2" s="25">
        <f xml:space="preserve"> Time!CP$25</f>
        <v>60083</v>
      </c>
      <c r="CQ2" s="25">
        <f xml:space="preserve"> Time!CQ$25</f>
        <v>60267</v>
      </c>
      <c r="CR2" s="25">
        <f xml:space="preserve"> Time!CR$25</f>
        <v>60448</v>
      </c>
      <c r="CS2" s="25">
        <f xml:space="preserve"> Time!CS$25</f>
        <v>60632</v>
      </c>
      <c r="CT2" s="25">
        <f xml:space="preserve"> Time!CT$25</f>
        <v>60813</v>
      </c>
      <c r="CU2" s="25">
        <f xml:space="preserve"> Time!CU$25</f>
        <v>60997</v>
      </c>
      <c r="CV2" s="25">
        <f xml:space="preserve"> Time!CV$25</f>
        <v>61178</v>
      </c>
    </row>
    <row r="3" spans="1:100" x14ac:dyDescent="0.2">
      <c r="E3" s="17" t="str">
        <f xml:space="preserve"> Time!E$64</f>
        <v>Timeline label</v>
      </c>
      <c r="F3" s="271">
        <f ca="1" xml:space="preserve"> Output!J2</f>
        <v>82</v>
      </c>
      <c r="G3" s="80" t="s">
        <v>25</v>
      </c>
      <c r="H3" s="17"/>
      <c r="I3" s="133"/>
      <c r="J3" s="43" t="str">
        <f xml:space="preserve"> Time!J$64</f>
        <v>Fin Close</v>
      </c>
      <c r="K3" s="43" t="str">
        <f xml:space="preserve"> Time!K$64</f>
        <v>Construction</v>
      </c>
      <c r="L3" s="43" t="str">
        <f xml:space="preserve"> Time!L$64</f>
        <v>Construction</v>
      </c>
      <c r="M3" s="43" t="str">
        <f xml:space="preserve"> Time!M$64</f>
        <v>Construction</v>
      </c>
      <c r="N3" s="43" t="str">
        <f xml:space="preserve"> Time!N$64</f>
        <v>Construction</v>
      </c>
      <c r="O3" s="43" t="str">
        <f xml:space="preserve"> Time!O$64</f>
        <v>Operations</v>
      </c>
      <c r="P3" s="43" t="str">
        <f xml:space="preserve"> Time!P$64</f>
        <v>Operations</v>
      </c>
      <c r="Q3" s="43" t="str">
        <f xml:space="preserve"> Time!Q$64</f>
        <v>Operations</v>
      </c>
      <c r="R3" s="43" t="str">
        <f xml:space="preserve"> Time!R$64</f>
        <v>Operations</v>
      </c>
      <c r="S3" s="43" t="str">
        <f xml:space="preserve"> Time!S$64</f>
        <v>Operations</v>
      </c>
      <c r="T3" s="43" t="str">
        <f xml:space="preserve"> Time!T$64</f>
        <v>Operations</v>
      </c>
      <c r="U3" s="43" t="str">
        <f xml:space="preserve"> Time!U$64</f>
        <v>Operations</v>
      </c>
      <c r="V3" s="43" t="str">
        <f xml:space="preserve"> Time!V$64</f>
        <v>Operations</v>
      </c>
      <c r="W3" s="43" t="str">
        <f xml:space="preserve"> Time!W$64</f>
        <v>Operations</v>
      </c>
      <c r="X3" s="43" t="str">
        <f xml:space="preserve"> Time!X$64</f>
        <v>Operations</v>
      </c>
      <c r="Y3" s="43" t="str">
        <f xml:space="preserve"> Time!Y$64</f>
        <v>Operations</v>
      </c>
      <c r="Z3" s="43" t="str">
        <f xml:space="preserve"> Time!Z$64</f>
        <v>Operations</v>
      </c>
      <c r="AA3" s="43" t="str">
        <f xml:space="preserve"> Time!AA$64</f>
        <v>Operations</v>
      </c>
      <c r="AB3" s="43" t="str">
        <f xml:space="preserve"> Time!AB$64</f>
        <v>Operations</v>
      </c>
      <c r="AC3" s="43" t="str">
        <f xml:space="preserve"> Time!AC$64</f>
        <v>Operations</v>
      </c>
      <c r="AD3" s="43" t="str">
        <f xml:space="preserve"> Time!AD$64</f>
        <v>Operations</v>
      </c>
      <c r="AE3" s="43" t="str">
        <f xml:space="preserve"> Time!AE$64</f>
        <v>Operations</v>
      </c>
      <c r="AF3" s="43" t="str">
        <f xml:space="preserve"> Time!AF$64</f>
        <v>Operations</v>
      </c>
      <c r="AG3" s="43" t="str">
        <f xml:space="preserve"> Time!AG$64</f>
        <v>Operations</v>
      </c>
      <c r="AH3" s="43" t="str">
        <f xml:space="preserve"> Time!AH$64</f>
        <v>Operations</v>
      </c>
      <c r="AI3" s="43" t="str">
        <f xml:space="preserve"> Time!AI$64</f>
        <v>Operations</v>
      </c>
      <c r="AJ3" s="43" t="str">
        <f xml:space="preserve"> Time!AJ$64</f>
        <v>Operations</v>
      </c>
      <c r="AK3" s="43" t="str">
        <f xml:space="preserve"> Time!AK$64</f>
        <v>Operations</v>
      </c>
      <c r="AL3" s="43" t="str">
        <f xml:space="preserve"> Time!AL$64</f>
        <v>Operations</v>
      </c>
      <c r="AM3" s="43" t="str">
        <f xml:space="preserve"> Time!AM$64</f>
        <v>Operations</v>
      </c>
      <c r="AN3" s="43" t="str">
        <f xml:space="preserve"> Time!AN$64</f>
        <v>Operations</v>
      </c>
      <c r="AO3" s="43" t="str">
        <f xml:space="preserve"> Time!AO$64</f>
        <v>Operations</v>
      </c>
      <c r="AP3" s="43" t="str">
        <f xml:space="preserve"> Time!AP$64</f>
        <v>Operations</v>
      </c>
      <c r="AQ3" s="43" t="str">
        <f xml:space="preserve"> Time!AQ$64</f>
        <v>Operations</v>
      </c>
      <c r="AR3" s="43" t="str">
        <f xml:space="preserve"> Time!AR$64</f>
        <v>Operations</v>
      </c>
      <c r="AS3" s="43" t="str">
        <f xml:space="preserve"> Time!AS$64</f>
        <v>Operations</v>
      </c>
      <c r="AT3" s="43" t="str">
        <f xml:space="preserve"> Time!AT$64</f>
        <v>Operations</v>
      </c>
      <c r="AU3" s="43" t="str">
        <f xml:space="preserve"> Time!AU$64</f>
        <v>Operations</v>
      </c>
      <c r="AV3" s="43" t="str">
        <f xml:space="preserve"> Time!AV$64</f>
        <v>Operations</v>
      </c>
      <c r="AW3" s="43" t="str">
        <f xml:space="preserve"> Time!AW$64</f>
        <v>Operations</v>
      </c>
      <c r="AX3" s="43" t="str">
        <f xml:space="preserve"> Time!AX$64</f>
        <v>Operations</v>
      </c>
      <c r="AY3" s="43" t="str">
        <f xml:space="preserve"> Time!AY$64</f>
        <v>Operations</v>
      </c>
      <c r="AZ3" s="43" t="str">
        <f xml:space="preserve"> Time!AZ$64</f>
        <v>Operations</v>
      </c>
      <c r="BA3" s="43" t="str">
        <f xml:space="preserve"> Time!BA$64</f>
        <v>Operations</v>
      </c>
      <c r="BB3" s="43" t="str">
        <f xml:space="preserve"> Time!BB$64</f>
        <v>Operations</v>
      </c>
      <c r="BC3" s="43" t="str">
        <f xml:space="preserve"> Time!BC$64</f>
        <v>Post ops</v>
      </c>
      <c r="BD3" s="43" t="str">
        <f xml:space="preserve"> Time!BD$64</f>
        <v>Post ops</v>
      </c>
      <c r="BE3" s="43" t="str">
        <f xml:space="preserve"> Time!BE$64</f>
        <v>Post ops</v>
      </c>
      <c r="BF3" s="43" t="str">
        <f xml:space="preserve"> Time!BF$64</f>
        <v>Post ops</v>
      </c>
      <c r="BG3" s="43" t="str">
        <f xml:space="preserve"> Time!BG$64</f>
        <v>Post ops</v>
      </c>
      <c r="BH3" s="43" t="str">
        <f xml:space="preserve"> Time!BH$64</f>
        <v>Post ops</v>
      </c>
      <c r="BI3" s="43" t="str">
        <f xml:space="preserve"> Time!BI$64</f>
        <v>Post ops</v>
      </c>
      <c r="BJ3" s="43" t="str">
        <f xml:space="preserve"> Time!BJ$64</f>
        <v>Post ops</v>
      </c>
      <c r="BK3" s="43" t="str">
        <f xml:space="preserve"> Time!BK$64</f>
        <v>Post ops</v>
      </c>
      <c r="BL3" s="43" t="str">
        <f xml:space="preserve"> Time!BL$64</f>
        <v>Post ops</v>
      </c>
      <c r="BM3" s="43" t="str">
        <f xml:space="preserve"> Time!BM$64</f>
        <v>Post ops</v>
      </c>
      <c r="BN3" s="43" t="str">
        <f xml:space="preserve"> Time!BN$64</f>
        <v>Post ops</v>
      </c>
      <c r="BO3" s="43" t="str">
        <f xml:space="preserve"> Time!BO$64</f>
        <v>Post ops</v>
      </c>
      <c r="BP3" s="43" t="str">
        <f xml:space="preserve"> Time!BP$64</f>
        <v>Post ops</v>
      </c>
      <c r="BQ3" s="43" t="str">
        <f xml:space="preserve"> Time!BQ$64</f>
        <v>Post ops</v>
      </c>
      <c r="BR3" s="43" t="str">
        <f xml:space="preserve"> Time!BR$64</f>
        <v>Post ops</v>
      </c>
      <c r="BS3" s="43" t="str">
        <f xml:space="preserve"> Time!BS$64</f>
        <v>Post ops</v>
      </c>
      <c r="BT3" s="43" t="str">
        <f xml:space="preserve"> Time!BT$64</f>
        <v>Post ops</v>
      </c>
      <c r="BU3" s="43" t="str">
        <f xml:space="preserve"> Time!BU$64</f>
        <v>Post ops</v>
      </c>
      <c r="BV3" s="43" t="str">
        <f xml:space="preserve"> Time!BV$64</f>
        <v>Post ops</v>
      </c>
      <c r="BW3" s="43" t="str">
        <f xml:space="preserve"> Time!BW$64</f>
        <v>Post ops</v>
      </c>
      <c r="BX3" s="43" t="str">
        <f xml:space="preserve"> Time!BX$64</f>
        <v>Post ops</v>
      </c>
      <c r="BY3" s="43" t="str">
        <f xml:space="preserve"> Time!BY$64</f>
        <v>Post ops</v>
      </c>
      <c r="BZ3" s="43" t="str">
        <f xml:space="preserve"> Time!BZ$64</f>
        <v>Post ops</v>
      </c>
      <c r="CA3" s="43" t="str">
        <f xml:space="preserve"> Time!CA$64</f>
        <v>Post ops</v>
      </c>
      <c r="CB3" s="43" t="str">
        <f xml:space="preserve"> Time!CB$64</f>
        <v>Post ops</v>
      </c>
      <c r="CC3" s="43" t="str">
        <f xml:space="preserve"> Time!CC$64</f>
        <v>Post ops</v>
      </c>
      <c r="CD3" s="43" t="str">
        <f xml:space="preserve"> Time!CD$64</f>
        <v>Post ops</v>
      </c>
      <c r="CE3" s="43" t="str">
        <f xml:space="preserve"> Time!CE$64</f>
        <v>Post ops</v>
      </c>
      <c r="CF3" s="43" t="str">
        <f xml:space="preserve"> Time!CF$64</f>
        <v>Post ops</v>
      </c>
      <c r="CG3" s="43" t="str">
        <f xml:space="preserve"> Time!CG$64</f>
        <v>Post ops</v>
      </c>
      <c r="CH3" s="43" t="str">
        <f xml:space="preserve"> Time!CH$64</f>
        <v>Post ops</v>
      </c>
      <c r="CI3" s="43" t="str">
        <f xml:space="preserve"> Time!CI$64</f>
        <v>Post ops</v>
      </c>
      <c r="CJ3" s="43" t="str">
        <f xml:space="preserve"> Time!CJ$64</f>
        <v>Post ops</v>
      </c>
      <c r="CK3" s="43" t="str">
        <f xml:space="preserve"> Time!CK$64</f>
        <v>Post ops</v>
      </c>
      <c r="CL3" s="43" t="str">
        <f xml:space="preserve"> Time!CL$64</f>
        <v>Post ops</v>
      </c>
      <c r="CM3" s="43" t="str">
        <f xml:space="preserve"> Time!CM$64</f>
        <v>Post ops</v>
      </c>
      <c r="CN3" s="43" t="str">
        <f xml:space="preserve"> Time!CN$64</f>
        <v>Post ops</v>
      </c>
      <c r="CO3" s="43" t="str">
        <f xml:space="preserve"> Time!CO$64</f>
        <v>Post ops</v>
      </c>
      <c r="CP3" s="43" t="str">
        <f xml:space="preserve"> Time!CP$64</f>
        <v>Post ops</v>
      </c>
      <c r="CQ3" s="43" t="str">
        <f xml:space="preserve"> Time!CQ$64</f>
        <v>Post ops</v>
      </c>
      <c r="CR3" s="43" t="str">
        <f xml:space="preserve"> Time!CR$64</f>
        <v>Post ops</v>
      </c>
      <c r="CS3" s="43" t="str">
        <f xml:space="preserve"> Time!CS$64</f>
        <v>Post ops</v>
      </c>
      <c r="CT3" s="43" t="str">
        <f xml:space="preserve"> Time!CT$64</f>
        <v>Post ops</v>
      </c>
      <c r="CU3" s="43" t="str">
        <f xml:space="preserve"> Time!CU$64</f>
        <v>Post ops</v>
      </c>
      <c r="CV3" s="43" t="str">
        <f xml:space="preserve"> Time!CV$64</f>
        <v>Post ops</v>
      </c>
    </row>
    <row r="4" spans="1:100" x14ac:dyDescent="0.2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2022</v>
      </c>
      <c r="K4" s="196">
        <f xml:space="preserve"> Time!K$39</f>
        <v>2023</v>
      </c>
      <c r="L4" s="196">
        <f xml:space="preserve"> Time!L$39</f>
        <v>2023</v>
      </c>
      <c r="M4" s="196">
        <f xml:space="preserve"> Time!M$39</f>
        <v>2024</v>
      </c>
      <c r="N4" s="196">
        <f xml:space="preserve"> Time!N$39</f>
        <v>2024</v>
      </c>
      <c r="O4" s="196">
        <f xml:space="preserve"> Time!O$39</f>
        <v>2025</v>
      </c>
      <c r="P4" s="196">
        <f xml:space="preserve"> Time!P$39</f>
        <v>2025</v>
      </c>
      <c r="Q4" s="196">
        <f xml:space="preserve"> Time!Q$39</f>
        <v>2026</v>
      </c>
      <c r="R4" s="196">
        <f xml:space="preserve"> Time!R$39</f>
        <v>2026</v>
      </c>
      <c r="S4" s="196">
        <f xml:space="preserve"> Time!S$39</f>
        <v>2027</v>
      </c>
      <c r="T4" s="196">
        <f xml:space="preserve"> Time!T$39</f>
        <v>2027</v>
      </c>
      <c r="U4" s="196">
        <f xml:space="preserve"> Time!U$39</f>
        <v>2028</v>
      </c>
      <c r="V4" s="196">
        <f xml:space="preserve"> Time!V$39</f>
        <v>2028</v>
      </c>
      <c r="W4" s="196">
        <f xml:space="preserve"> Time!W$39</f>
        <v>2029</v>
      </c>
      <c r="X4" s="196">
        <f xml:space="preserve"> Time!X$39</f>
        <v>2029</v>
      </c>
      <c r="Y4" s="196">
        <f xml:space="preserve"> Time!Y$39</f>
        <v>2030</v>
      </c>
      <c r="Z4" s="196">
        <f xml:space="preserve"> Time!Z$39</f>
        <v>2030</v>
      </c>
      <c r="AA4" s="196">
        <f xml:space="preserve"> Time!AA$39</f>
        <v>2031</v>
      </c>
      <c r="AB4" s="196">
        <f xml:space="preserve"> Time!AB$39</f>
        <v>2031</v>
      </c>
      <c r="AC4" s="196">
        <f xml:space="preserve"> Time!AC$39</f>
        <v>2032</v>
      </c>
      <c r="AD4" s="196">
        <f xml:space="preserve"> Time!AD$39</f>
        <v>2032</v>
      </c>
      <c r="AE4" s="196">
        <f xml:space="preserve"> Time!AE$39</f>
        <v>2033</v>
      </c>
      <c r="AF4" s="196">
        <f xml:space="preserve"> Time!AF$39</f>
        <v>2033</v>
      </c>
      <c r="AG4" s="196">
        <f xml:space="preserve"> Time!AG$39</f>
        <v>2034</v>
      </c>
      <c r="AH4" s="196">
        <f xml:space="preserve"> Time!AH$39</f>
        <v>2034</v>
      </c>
      <c r="AI4" s="196">
        <f xml:space="preserve"> Time!AI$39</f>
        <v>2035</v>
      </c>
      <c r="AJ4" s="196">
        <f xml:space="preserve"> Time!AJ$39</f>
        <v>2035</v>
      </c>
      <c r="AK4" s="196">
        <f xml:space="preserve"> Time!AK$39</f>
        <v>2036</v>
      </c>
      <c r="AL4" s="196">
        <f xml:space="preserve"> Time!AL$39</f>
        <v>2036</v>
      </c>
      <c r="AM4" s="196">
        <f xml:space="preserve"> Time!AM$39</f>
        <v>2037</v>
      </c>
      <c r="AN4" s="196">
        <f xml:space="preserve"> Time!AN$39</f>
        <v>2037</v>
      </c>
      <c r="AO4" s="196">
        <f xml:space="preserve"> Time!AO$39</f>
        <v>2038</v>
      </c>
      <c r="AP4" s="196">
        <f xml:space="preserve"> Time!AP$39</f>
        <v>2038</v>
      </c>
      <c r="AQ4" s="196">
        <f xml:space="preserve"> Time!AQ$39</f>
        <v>2039</v>
      </c>
      <c r="AR4" s="196">
        <f xml:space="preserve"> Time!AR$39</f>
        <v>2039</v>
      </c>
      <c r="AS4" s="196">
        <f xml:space="preserve"> Time!AS$39</f>
        <v>2040</v>
      </c>
      <c r="AT4" s="196">
        <f xml:space="preserve"> Time!AT$39</f>
        <v>2040</v>
      </c>
      <c r="AU4" s="196">
        <f xml:space="preserve"> Time!AU$39</f>
        <v>2041</v>
      </c>
      <c r="AV4" s="196">
        <f xml:space="preserve"> Time!AV$39</f>
        <v>2041</v>
      </c>
      <c r="AW4" s="196">
        <f xml:space="preserve"> Time!AW$39</f>
        <v>2042</v>
      </c>
      <c r="AX4" s="196">
        <f xml:space="preserve"> Time!AX$39</f>
        <v>2042</v>
      </c>
      <c r="AY4" s="196">
        <f xml:space="preserve"> Time!AY$39</f>
        <v>2043</v>
      </c>
      <c r="AZ4" s="196">
        <f xml:space="preserve"> Time!AZ$39</f>
        <v>2043</v>
      </c>
      <c r="BA4" s="196">
        <f xml:space="preserve"> Time!BA$39</f>
        <v>2044</v>
      </c>
      <c r="BB4" s="196">
        <f xml:space="preserve"> Time!BB$39</f>
        <v>2044</v>
      </c>
      <c r="BC4" s="196">
        <f xml:space="preserve"> Time!BC$39</f>
        <v>2045</v>
      </c>
      <c r="BD4" s="196">
        <f xml:space="preserve"> Time!BD$39</f>
        <v>2045</v>
      </c>
      <c r="BE4" s="196">
        <f xml:space="preserve"> Time!BE$39</f>
        <v>2046</v>
      </c>
      <c r="BF4" s="196">
        <f xml:space="preserve"> Time!BF$39</f>
        <v>2046</v>
      </c>
      <c r="BG4" s="196">
        <f xml:space="preserve"> Time!BG$39</f>
        <v>2047</v>
      </c>
      <c r="BH4" s="196">
        <f xml:space="preserve"> Time!BH$39</f>
        <v>2047</v>
      </c>
      <c r="BI4" s="196">
        <f xml:space="preserve"> Time!BI$39</f>
        <v>2048</v>
      </c>
      <c r="BJ4" s="196">
        <f xml:space="preserve"> Time!BJ$39</f>
        <v>2048</v>
      </c>
      <c r="BK4" s="196">
        <f xml:space="preserve"> Time!BK$39</f>
        <v>2049</v>
      </c>
      <c r="BL4" s="196">
        <f xml:space="preserve"> Time!BL$39</f>
        <v>2049</v>
      </c>
      <c r="BM4" s="196">
        <f xml:space="preserve"> Time!BM$39</f>
        <v>2050</v>
      </c>
      <c r="BN4" s="196">
        <f xml:space="preserve"> Time!BN$39</f>
        <v>2050</v>
      </c>
      <c r="BO4" s="196">
        <f xml:space="preserve"> Time!BO$39</f>
        <v>2051</v>
      </c>
      <c r="BP4" s="196">
        <f xml:space="preserve"> Time!BP$39</f>
        <v>2051</v>
      </c>
      <c r="BQ4" s="196">
        <f xml:space="preserve"> Time!BQ$39</f>
        <v>2052</v>
      </c>
      <c r="BR4" s="196">
        <f xml:space="preserve"> Time!BR$39</f>
        <v>2052</v>
      </c>
      <c r="BS4" s="196">
        <f xml:space="preserve"> Time!BS$39</f>
        <v>2053</v>
      </c>
      <c r="BT4" s="196">
        <f xml:space="preserve"> Time!BT$39</f>
        <v>2053</v>
      </c>
      <c r="BU4" s="196">
        <f xml:space="preserve"> Time!BU$39</f>
        <v>2054</v>
      </c>
      <c r="BV4" s="196">
        <f xml:space="preserve"> Time!BV$39</f>
        <v>2054</v>
      </c>
      <c r="BW4" s="196">
        <f xml:space="preserve"> Time!BW$39</f>
        <v>2055</v>
      </c>
      <c r="BX4" s="196">
        <f xml:space="preserve"> Time!BX$39</f>
        <v>2055</v>
      </c>
      <c r="BY4" s="196">
        <f xml:space="preserve"> Time!BY$39</f>
        <v>2056</v>
      </c>
      <c r="BZ4" s="196">
        <f xml:space="preserve"> Time!BZ$39</f>
        <v>2056</v>
      </c>
      <c r="CA4" s="196">
        <f xml:space="preserve"> Time!CA$39</f>
        <v>2057</v>
      </c>
      <c r="CB4" s="196">
        <f xml:space="preserve"> Time!CB$39</f>
        <v>2057</v>
      </c>
      <c r="CC4" s="196">
        <f xml:space="preserve"> Time!CC$39</f>
        <v>2058</v>
      </c>
      <c r="CD4" s="196">
        <f xml:space="preserve"> Time!CD$39</f>
        <v>2058</v>
      </c>
      <c r="CE4" s="196">
        <f xml:space="preserve"> Time!CE$39</f>
        <v>2059</v>
      </c>
      <c r="CF4" s="196">
        <f xml:space="preserve"> Time!CF$39</f>
        <v>2059</v>
      </c>
      <c r="CG4" s="196">
        <f xml:space="preserve"> Time!CG$39</f>
        <v>2060</v>
      </c>
      <c r="CH4" s="196">
        <f xml:space="preserve"> Time!CH$39</f>
        <v>2060</v>
      </c>
      <c r="CI4" s="196">
        <f xml:space="preserve"> Time!CI$39</f>
        <v>2061</v>
      </c>
      <c r="CJ4" s="196">
        <f xml:space="preserve"> Time!CJ$39</f>
        <v>2061</v>
      </c>
      <c r="CK4" s="196">
        <f xml:space="preserve"> Time!CK$39</f>
        <v>2062</v>
      </c>
      <c r="CL4" s="196">
        <f xml:space="preserve"> Time!CL$39</f>
        <v>2062</v>
      </c>
      <c r="CM4" s="196">
        <f xml:space="preserve"> Time!CM$39</f>
        <v>2063</v>
      </c>
      <c r="CN4" s="196">
        <f xml:space="preserve"> Time!CN$39</f>
        <v>2063</v>
      </c>
      <c r="CO4" s="196">
        <f xml:space="preserve"> Time!CO$39</f>
        <v>2064</v>
      </c>
      <c r="CP4" s="196">
        <f xml:space="preserve"> Time!CP$39</f>
        <v>2064</v>
      </c>
      <c r="CQ4" s="196">
        <f xml:space="preserve"> Time!CQ$39</f>
        <v>2065</v>
      </c>
      <c r="CR4" s="196">
        <f xml:space="preserve"> Time!CR$39</f>
        <v>2065</v>
      </c>
      <c r="CS4" s="196">
        <f xml:space="preserve"> Time!CS$39</f>
        <v>2066</v>
      </c>
      <c r="CT4" s="196">
        <f xml:space="preserve"> Time!CT$39</f>
        <v>2066</v>
      </c>
      <c r="CU4" s="196">
        <f xml:space="preserve"> Time!CU$39</f>
        <v>2067</v>
      </c>
      <c r="CV4" s="196">
        <f xml:space="preserve"> Time!CV$39</f>
        <v>2067</v>
      </c>
    </row>
    <row r="5" spans="1:100" x14ac:dyDescent="0.2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8" spans="1:100" x14ac:dyDescent="0.2">
      <c r="A8" s="216"/>
      <c r="B8" s="216"/>
      <c r="C8" s="217"/>
      <c r="D8" s="218"/>
      <c r="E8" s="219" t="s">
        <v>7</v>
      </c>
      <c r="F8" s="219"/>
      <c r="G8" s="219" t="str">
        <f xml:space="preserve"> SMU</f>
        <v>$ 000s</v>
      </c>
      <c r="H8" s="219"/>
      <c r="I8" s="220"/>
      <c r="J8" s="219">
        <f t="shared" ref="J8:AO8" si="0" xml:space="preserve"> I11</f>
        <v>0</v>
      </c>
      <c r="K8" s="219">
        <f t="shared" si="0"/>
        <v>0</v>
      </c>
      <c r="L8" s="219">
        <f t="shared" si="0"/>
        <v>0</v>
      </c>
      <c r="M8" s="219">
        <f t="shared" si="0"/>
        <v>0</v>
      </c>
      <c r="N8" s="219">
        <f t="shared" si="0"/>
        <v>0</v>
      </c>
      <c r="O8" s="219">
        <f t="shared" si="0"/>
        <v>0</v>
      </c>
      <c r="P8" s="219">
        <f t="shared" si="0"/>
        <v>0</v>
      </c>
      <c r="Q8" s="219">
        <f t="shared" si="0"/>
        <v>0</v>
      </c>
      <c r="R8" s="219">
        <f t="shared" si="0"/>
        <v>0</v>
      </c>
      <c r="S8" s="219">
        <f t="shared" si="0"/>
        <v>0</v>
      </c>
      <c r="T8" s="219">
        <f t="shared" si="0"/>
        <v>0</v>
      </c>
      <c r="U8" s="219">
        <f t="shared" si="0"/>
        <v>0</v>
      </c>
      <c r="V8" s="219">
        <f t="shared" si="0"/>
        <v>0</v>
      </c>
      <c r="W8" s="219">
        <f t="shared" si="0"/>
        <v>0</v>
      </c>
      <c r="X8" s="219">
        <f t="shared" si="0"/>
        <v>0</v>
      </c>
      <c r="Y8" s="219">
        <f t="shared" si="0"/>
        <v>0</v>
      </c>
      <c r="Z8" s="219">
        <f t="shared" si="0"/>
        <v>0</v>
      </c>
      <c r="AA8" s="219">
        <f t="shared" si="0"/>
        <v>0</v>
      </c>
      <c r="AB8" s="219">
        <f t="shared" si="0"/>
        <v>0</v>
      </c>
      <c r="AC8" s="219">
        <f t="shared" si="0"/>
        <v>0</v>
      </c>
      <c r="AD8" s="219">
        <f t="shared" si="0"/>
        <v>0</v>
      </c>
      <c r="AE8" s="219">
        <f t="shared" si="0"/>
        <v>0</v>
      </c>
      <c r="AF8" s="219">
        <f t="shared" si="0"/>
        <v>0</v>
      </c>
      <c r="AG8" s="219">
        <f t="shared" si="0"/>
        <v>0</v>
      </c>
      <c r="AH8" s="219">
        <f t="shared" si="0"/>
        <v>0</v>
      </c>
      <c r="AI8" s="219">
        <f t="shared" si="0"/>
        <v>0</v>
      </c>
      <c r="AJ8" s="219">
        <f t="shared" si="0"/>
        <v>0</v>
      </c>
      <c r="AK8" s="219">
        <f t="shared" si="0"/>
        <v>0</v>
      </c>
      <c r="AL8" s="219">
        <f t="shared" si="0"/>
        <v>0</v>
      </c>
      <c r="AM8" s="219">
        <f t="shared" si="0"/>
        <v>0</v>
      </c>
      <c r="AN8" s="219">
        <f t="shared" si="0"/>
        <v>0</v>
      </c>
      <c r="AO8" s="219">
        <f t="shared" si="0"/>
        <v>0</v>
      </c>
      <c r="AP8" s="219">
        <f t="shared" ref="AP8:BU8" si="1" xml:space="preserve"> AO11</f>
        <v>0</v>
      </c>
      <c r="AQ8" s="219">
        <f t="shared" si="1"/>
        <v>0</v>
      </c>
      <c r="AR8" s="219">
        <f t="shared" si="1"/>
        <v>0</v>
      </c>
      <c r="AS8" s="219">
        <f t="shared" si="1"/>
        <v>0</v>
      </c>
      <c r="AT8" s="219">
        <f t="shared" si="1"/>
        <v>0</v>
      </c>
      <c r="AU8" s="219">
        <f t="shared" si="1"/>
        <v>0</v>
      </c>
      <c r="AV8" s="219">
        <f t="shared" si="1"/>
        <v>0</v>
      </c>
      <c r="AW8" s="219">
        <f t="shared" si="1"/>
        <v>0</v>
      </c>
      <c r="AX8" s="219">
        <f t="shared" si="1"/>
        <v>0</v>
      </c>
      <c r="AY8" s="219">
        <f t="shared" si="1"/>
        <v>0</v>
      </c>
      <c r="AZ8" s="219">
        <f t="shared" si="1"/>
        <v>0</v>
      </c>
      <c r="BA8" s="219">
        <f t="shared" si="1"/>
        <v>0</v>
      </c>
      <c r="BB8" s="219">
        <f t="shared" si="1"/>
        <v>0</v>
      </c>
      <c r="BC8" s="219">
        <f t="shared" si="1"/>
        <v>0</v>
      </c>
      <c r="BD8" s="219">
        <f t="shared" si="1"/>
        <v>0</v>
      </c>
      <c r="BE8" s="219">
        <f t="shared" si="1"/>
        <v>0</v>
      </c>
      <c r="BF8" s="219">
        <f t="shared" si="1"/>
        <v>0</v>
      </c>
      <c r="BG8" s="219">
        <f t="shared" si="1"/>
        <v>0</v>
      </c>
      <c r="BH8" s="219">
        <f t="shared" si="1"/>
        <v>0</v>
      </c>
      <c r="BI8" s="219">
        <f t="shared" si="1"/>
        <v>0</v>
      </c>
      <c r="BJ8" s="219">
        <f t="shared" si="1"/>
        <v>0</v>
      </c>
      <c r="BK8" s="219">
        <f t="shared" si="1"/>
        <v>0</v>
      </c>
      <c r="BL8" s="219">
        <f t="shared" si="1"/>
        <v>0</v>
      </c>
      <c r="BM8" s="219">
        <f t="shared" si="1"/>
        <v>0</v>
      </c>
      <c r="BN8" s="219">
        <f t="shared" si="1"/>
        <v>0</v>
      </c>
      <c r="BO8" s="219">
        <f t="shared" si="1"/>
        <v>0</v>
      </c>
      <c r="BP8" s="219">
        <f t="shared" si="1"/>
        <v>0</v>
      </c>
      <c r="BQ8" s="219">
        <f t="shared" si="1"/>
        <v>0</v>
      </c>
      <c r="BR8" s="219">
        <f t="shared" si="1"/>
        <v>0</v>
      </c>
      <c r="BS8" s="219">
        <f t="shared" si="1"/>
        <v>0</v>
      </c>
      <c r="BT8" s="219">
        <f t="shared" si="1"/>
        <v>0</v>
      </c>
      <c r="BU8" s="219">
        <f t="shared" si="1"/>
        <v>0</v>
      </c>
      <c r="BV8" s="219">
        <f t="shared" ref="BV8:CV8" si="2" xml:space="preserve"> BU11</f>
        <v>0</v>
      </c>
      <c r="BW8" s="219">
        <f t="shared" si="2"/>
        <v>0</v>
      </c>
      <c r="BX8" s="219">
        <f t="shared" si="2"/>
        <v>0</v>
      </c>
      <c r="BY8" s="219">
        <f t="shared" si="2"/>
        <v>0</v>
      </c>
      <c r="BZ8" s="219">
        <f t="shared" si="2"/>
        <v>0</v>
      </c>
      <c r="CA8" s="219">
        <f t="shared" si="2"/>
        <v>0</v>
      </c>
      <c r="CB8" s="219">
        <f t="shared" si="2"/>
        <v>0</v>
      </c>
      <c r="CC8" s="219">
        <f t="shared" si="2"/>
        <v>0</v>
      </c>
      <c r="CD8" s="219">
        <f t="shared" si="2"/>
        <v>0</v>
      </c>
      <c r="CE8" s="219">
        <f t="shared" si="2"/>
        <v>0</v>
      </c>
      <c r="CF8" s="219">
        <f t="shared" si="2"/>
        <v>0</v>
      </c>
      <c r="CG8" s="219">
        <f t="shared" si="2"/>
        <v>0</v>
      </c>
      <c r="CH8" s="219">
        <f t="shared" si="2"/>
        <v>0</v>
      </c>
      <c r="CI8" s="219">
        <f t="shared" si="2"/>
        <v>0</v>
      </c>
      <c r="CJ8" s="219">
        <f t="shared" si="2"/>
        <v>0</v>
      </c>
      <c r="CK8" s="219">
        <f t="shared" si="2"/>
        <v>0</v>
      </c>
      <c r="CL8" s="219">
        <f t="shared" si="2"/>
        <v>0</v>
      </c>
      <c r="CM8" s="219">
        <f t="shared" si="2"/>
        <v>0</v>
      </c>
      <c r="CN8" s="219">
        <f t="shared" si="2"/>
        <v>0</v>
      </c>
      <c r="CO8" s="219">
        <f t="shared" si="2"/>
        <v>0</v>
      </c>
      <c r="CP8" s="219">
        <f t="shared" si="2"/>
        <v>0</v>
      </c>
      <c r="CQ8" s="219">
        <f t="shared" si="2"/>
        <v>0</v>
      </c>
      <c r="CR8" s="219">
        <f t="shared" si="2"/>
        <v>0</v>
      </c>
      <c r="CS8" s="219">
        <f t="shared" si="2"/>
        <v>0</v>
      </c>
      <c r="CT8" s="219">
        <f t="shared" si="2"/>
        <v>0</v>
      </c>
      <c r="CU8" s="219">
        <f t="shared" si="2"/>
        <v>0</v>
      </c>
      <c r="CV8" s="219">
        <f t="shared" si="2"/>
        <v>0</v>
      </c>
    </row>
    <row r="9" spans="1:100" x14ac:dyDescent="0.2">
      <c r="E9" s="215" t="s">
        <v>91</v>
      </c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  <c r="CI9" s="215"/>
      <c r="CJ9" s="215"/>
      <c r="CK9" s="215"/>
      <c r="CL9" s="215"/>
      <c r="CM9" s="215"/>
      <c r="CN9" s="215"/>
      <c r="CO9" s="215"/>
      <c r="CP9" s="215"/>
      <c r="CQ9" s="215"/>
      <c r="CR9" s="215"/>
      <c r="CS9" s="215"/>
      <c r="CT9" s="215"/>
      <c r="CU9" s="215"/>
      <c r="CV9" s="215"/>
    </row>
    <row r="10" spans="1:100" x14ac:dyDescent="0.2">
      <c r="E10" s="215" t="s">
        <v>92</v>
      </c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215"/>
      <c r="CR10" s="215"/>
      <c r="CS10" s="215"/>
      <c r="CT10" s="215"/>
      <c r="CU10" s="215"/>
      <c r="CV10" s="215"/>
    </row>
    <row r="11" spans="1:100" x14ac:dyDescent="0.2">
      <c r="A11" s="221"/>
      <c r="B11" s="221"/>
      <c r="C11" s="222"/>
      <c r="D11" s="223"/>
      <c r="E11" s="224" t="s">
        <v>8</v>
      </c>
      <c r="F11" s="224"/>
      <c r="G11" s="224" t="str">
        <f xml:space="preserve"> SMU</f>
        <v>$ 000s</v>
      </c>
      <c r="H11" s="224"/>
      <c r="I11" s="225"/>
      <c r="J11" s="224">
        <f t="shared" ref="J11:AO11" si="3" xml:space="preserve"> J8 + J9 - J10</f>
        <v>0</v>
      </c>
      <c r="K11" s="224">
        <f t="shared" si="3"/>
        <v>0</v>
      </c>
      <c r="L11" s="224">
        <f t="shared" si="3"/>
        <v>0</v>
      </c>
      <c r="M11" s="224">
        <f t="shared" si="3"/>
        <v>0</v>
      </c>
      <c r="N11" s="224">
        <f t="shared" si="3"/>
        <v>0</v>
      </c>
      <c r="O11" s="224">
        <f t="shared" si="3"/>
        <v>0</v>
      </c>
      <c r="P11" s="224">
        <f t="shared" si="3"/>
        <v>0</v>
      </c>
      <c r="Q11" s="224">
        <f t="shared" si="3"/>
        <v>0</v>
      </c>
      <c r="R11" s="224">
        <f t="shared" si="3"/>
        <v>0</v>
      </c>
      <c r="S11" s="224">
        <f t="shared" si="3"/>
        <v>0</v>
      </c>
      <c r="T11" s="224">
        <f t="shared" si="3"/>
        <v>0</v>
      </c>
      <c r="U11" s="224">
        <f t="shared" si="3"/>
        <v>0</v>
      </c>
      <c r="V11" s="224">
        <f t="shared" si="3"/>
        <v>0</v>
      </c>
      <c r="W11" s="224">
        <f t="shared" si="3"/>
        <v>0</v>
      </c>
      <c r="X11" s="224">
        <f t="shared" si="3"/>
        <v>0</v>
      </c>
      <c r="Y11" s="224">
        <f t="shared" si="3"/>
        <v>0</v>
      </c>
      <c r="Z11" s="224">
        <f t="shared" si="3"/>
        <v>0</v>
      </c>
      <c r="AA11" s="224">
        <f t="shared" si="3"/>
        <v>0</v>
      </c>
      <c r="AB11" s="224">
        <f t="shared" si="3"/>
        <v>0</v>
      </c>
      <c r="AC11" s="224">
        <f t="shared" si="3"/>
        <v>0</v>
      </c>
      <c r="AD11" s="224">
        <f t="shared" si="3"/>
        <v>0</v>
      </c>
      <c r="AE11" s="224">
        <f t="shared" si="3"/>
        <v>0</v>
      </c>
      <c r="AF11" s="224">
        <f t="shared" si="3"/>
        <v>0</v>
      </c>
      <c r="AG11" s="224">
        <f t="shared" si="3"/>
        <v>0</v>
      </c>
      <c r="AH11" s="224">
        <f t="shared" si="3"/>
        <v>0</v>
      </c>
      <c r="AI11" s="224">
        <f t="shared" si="3"/>
        <v>0</v>
      </c>
      <c r="AJ11" s="224">
        <f t="shared" si="3"/>
        <v>0</v>
      </c>
      <c r="AK11" s="224">
        <f t="shared" si="3"/>
        <v>0</v>
      </c>
      <c r="AL11" s="224">
        <f t="shared" si="3"/>
        <v>0</v>
      </c>
      <c r="AM11" s="224">
        <f t="shared" si="3"/>
        <v>0</v>
      </c>
      <c r="AN11" s="224">
        <f t="shared" si="3"/>
        <v>0</v>
      </c>
      <c r="AO11" s="224">
        <f t="shared" si="3"/>
        <v>0</v>
      </c>
      <c r="AP11" s="224">
        <f t="shared" ref="AP11:BU11" si="4" xml:space="preserve"> AP8 + AP9 - AP10</f>
        <v>0</v>
      </c>
      <c r="AQ11" s="224">
        <f t="shared" si="4"/>
        <v>0</v>
      </c>
      <c r="AR11" s="224">
        <f t="shared" si="4"/>
        <v>0</v>
      </c>
      <c r="AS11" s="224">
        <f t="shared" si="4"/>
        <v>0</v>
      </c>
      <c r="AT11" s="224">
        <f t="shared" si="4"/>
        <v>0</v>
      </c>
      <c r="AU11" s="224">
        <f t="shared" si="4"/>
        <v>0</v>
      </c>
      <c r="AV11" s="224">
        <f t="shared" si="4"/>
        <v>0</v>
      </c>
      <c r="AW11" s="224">
        <f t="shared" si="4"/>
        <v>0</v>
      </c>
      <c r="AX11" s="224">
        <f t="shared" si="4"/>
        <v>0</v>
      </c>
      <c r="AY11" s="224">
        <f t="shared" si="4"/>
        <v>0</v>
      </c>
      <c r="AZ11" s="224">
        <f t="shared" si="4"/>
        <v>0</v>
      </c>
      <c r="BA11" s="224">
        <f t="shared" si="4"/>
        <v>0</v>
      </c>
      <c r="BB11" s="224">
        <f t="shared" si="4"/>
        <v>0</v>
      </c>
      <c r="BC11" s="224">
        <f t="shared" si="4"/>
        <v>0</v>
      </c>
      <c r="BD11" s="224">
        <f t="shared" si="4"/>
        <v>0</v>
      </c>
      <c r="BE11" s="224">
        <f t="shared" si="4"/>
        <v>0</v>
      </c>
      <c r="BF11" s="224">
        <f t="shared" si="4"/>
        <v>0</v>
      </c>
      <c r="BG11" s="224">
        <f t="shared" si="4"/>
        <v>0</v>
      </c>
      <c r="BH11" s="224">
        <f t="shared" si="4"/>
        <v>0</v>
      </c>
      <c r="BI11" s="224">
        <f t="shared" si="4"/>
        <v>0</v>
      </c>
      <c r="BJ11" s="224">
        <f t="shared" si="4"/>
        <v>0</v>
      </c>
      <c r="BK11" s="224">
        <f t="shared" si="4"/>
        <v>0</v>
      </c>
      <c r="BL11" s="224">
        <f t="shared" si="4"/>
        <v>0</v>
      </c>
      <c r="BM11" s="224">
        <f t="shared" si="4"/>
        <v>0</v>
      </c>
      <c r="BN11" s="224">
        <f t="shared" si="4"/>
        <v>0</v>
      </c>
      <c r="BO11" s="224">
        <f t="shared" si="4"/>
        <v>0</v>
      </c>
      <c r="BP11" s="224">
        <f t="shared" si="4"/>
        <v>0</v>
      </c>
      <c r="BQ11" s="224">
        <f t="shared" si="4"/>
        <v>0</v>
      </c>
      <c r="BR11" s="224">
        <f t="shared" si="4"/>
        <v>0</v>
      </c>
      <c r="BS11" s="224">
        <f t="shared" si="4"/>
        <v>0</v>
      </c>
      <c r="BT11" s="224">
        <f t="shared" si="4"/>
        <v>0</v>
      </c>
      <c r="BU11" s="224">
        <f t="shared" si="4"/>
        <v>0</v>
      </c>
      <c r="BV11" s="224">
        <f t="shared" ref="BV11:CV11" si="5" xml:space="preserve"> BV8 + BV9 - BV10</f>
        <v>0</v>
      </c>
      <c r="BW11" s="224">
        <f t="shared" si="5"/>
        <v>0</v>
      </c>
      <c r="BX11" s="224">
        <f t="shared" si="5"/>
        <v>0</v>
      </c>
      <c r="BY11" s="224">
        <f t="shared" si="5"/>
        <v>0</v>
      </c>
      <c r="BZ11" s="224">
        <f t="shared" si="5"/>
        <v>0</v>
      </c>
      <c r="CA11" s="224">
        <f t="shared" si="5"/>
        <v>0</v>
      </c>
      <c r="CB11" s="224">
        <f t="shared" si="5"/>
        <v>0</v>
      </c>
      <c r="CC11" s="224">
        <f t="shared" si="5"/>
        <v>0</v>
      </c>
      <c r="CD11" s="224">
        <f t="shared" si="5"/>
        <v>0</v>
      </c>
      <c r="CE11" s="224">
        <f t="shared" si="5"/>
        <v>0</v>
      </c>
      <c r="CF11" s="224">
        <f t="shared" si="5"/>
        <v>0</v>
      </c>
      <c r="CG11" s="224">
        <f t="shared" si="5"/>
        <v>0</v>
      </c>
      <c r="CH11" s="224">
        <f t="shared" si="5"/>
        <v>0</v>
      </c>
      <c r="CI11" s="224">
        <f t="shared" si="5"/>
        <v>0</v>
      </c>
      <c r="CJ11" s="224">
        <f t="shared" si="5"/>
        <v>0</v>
      </c>
      <c r="CK11" s="224">
        <f t="shared" si="5"/>
        <v>0</v>
      </c>
      <c r="CL11" s="224">
        <f t="shared" si="5"/>
        <v>0</v>
      </c>
      <c r="CM11" s="224">
        <f t="shared" si="5"/>
        <v>0</v>
      </c>
      <c r="CN11" s="224">
        <f t="shared" si="5"/>
        <v>0</v>
      </c>
      <c r="CO11" s="224">
        <f t="shared" si="5"/>
        <v>0</v>
      </c>
      <c r="CP11" s="224">
        <f t="shared" si="5"/>
        <v>0</v>
      </c>
      <c r="CQ11" s="224">
        <f t="shared" si="5"/>
        <v>0</v>
      </c>
      <c r="CR11" s="224">
        <f t="shared" si="5"/>
        <v>0</v>
      </c>
      <c r="CS11" s="224">
        <f t="shared" si="5"/>
        <v>0</v>
      </c>
      <c r="CT11" s="224">
        <f t="shared" si="5"/>
        <v>0</v>
      </c>
      <c r="CU11" s="224">
        <f t="shared" si="5"/>
        <v>0</v>
      </c>
      <c r="CV11" s="224">
        <f t="shared" si="5"/>
        <v>0</v>
      </c>
    </row>
    <row r="14" spans="1:100" x14ac:dyDescent="0.2">
      <c r="A14" s="216"/>
      <c r="B14" s="216"/>
      <c r="C14" s="217"/>
      <c r="D14" s="218"/>
      <c r="E14" s="219" t="s">
        <v>111</v>
      </c>
      <c r="F14" s="295"/>
      <c r="G14" s="219" t="str">
        <f xml:space="preserve"> SMU</f>
        <v>$ 000s</v>
      </c>
      <c r="H14" s="219"/>
      <c r="I14" s="220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</row>
    <row r="15" spans="1:100" x14ac:dyDescent="0.2">
      <c r="E15" s="226" t="str">
        <f xml:space="preserve"> Time!E$81</f>
        <v>End of construction period flag</v>
      </c>
      <c r="F15" s="226">
        <f xml:space="preserve"> Time!F$81</f>
        <v>0</v>
      </c>
      <c r="G15" s="226" t="str">
        <f xml:space="preserve"> Time!G$81</f>
        <v>flag</v>
      </c>
      <c r="H15" s="226">
        <f xml:space="preserve"> Time!H$81</f>
        <v>1</v>
      </c>
      <c r="I15" s="226">
        <f xml:space="preserve"> Time!I$81</f>
        <v>0</v>
      </c>
      <c r="J15" s="226">
        <f xml:space="preserve"> Time!J$81</f>
        <v>0</v>
      </c>
      <c r="K15" s="226">
        <f xml:space="preserve"> Time!K$81</f>
        <v>0</v>
      </c>
      <c r="L15" s="226">
        <f xml:space="preserve"> Time!L$81</f>
        <v>0</v>
      </c>
      <c r="M15" s="226">
        <f xml:space="preserve"> Time!M$81</f>
        <v>0</v>
      </c>
      <c r="N15" s="226">
        <f xml:space="preserve"> Time!N$81</f>
        <v>1</v>
      </c>
      <c r="O15" s="226">
        <f xml:space="preserve"> Time!O$81</f>
        <v>0</v>
      </c>
      <c r="P15" s="226">
        <f xml:space="preserve"> Time!P$81</f>
        <v>0</v>
      </c>
      <c r="Q15" s="226">
        <f xml:space="preserve"> Time!Q$81</f>
        <v>0</v>
      </c>
      <c r="R15" s="226">
        <f xml:space="preserve"> Time!R$81</f>
        <v>0</v>
      </c>
      <c r="S15" s="226">
        <f xml:space="preserve"> Time!S$81</f>
        <v>0</v>
      </c>
      <c r="T15" s="226">
        <f xml:space="preserve"> Time!T$81</f>
        <v>0</v>
      </c>
      <c r="U15" s="226">
        <f xml:space="preserve"> Time!U$81</f>
        <v>0</v>
      </c>
      <c r="V15" s="226">
        <f xml:space="preserve"> Time!V$81</f>
        <v>0</v>
      </c>
      <c r="W15" s="226">
        <f xml:space="preserve"> Time!W$81</f>
        <v>0</v>
      </c>
      <c r="X15" s="226">
        <f xml:space="preserve"> Time!X$81</f>
        <v>0</v>
      </c>
      <c r="Y15" s="226">
        <f xml:space="preserve"> Time!Y$81</f>
        <v>0</v>
      </c>
      <c r="Z15" s="226">
        <f xml:space="preserve"> Time!Z$81</f>
        <v>0</v>
      </c>
      <c r="AA15" s="226">
        <f xml:space="preserve"> Time!AA$81</f>
        <v>0</v>
      </c>
      <c r="AB15" s="226">
        <f xml:space="preserve"> Time!AB$81</f>
        <v>0</v>
      </c>
      <c r="AC15" s="226">
        <f xml:space="preserve"> Time!AC$81</f>
        <v>0</v>
      </c>
      <c r="AD15" s="226">
        <f xml:space="preserve"> Time!AD$81</f>
        <v>0</v>
      </c>
      <c r="AE15" s="226">
        <f xml:space="preserve"> Time!AE$81</f>
        <v>0</v>
      </c>
      <c r="AF15" s="226">
        <f xml:space="preserve"> Time!AF$81</f>
        <v>0</v>
      </c>
      <c r="AG15" s="226">
        <f xml:space="preserve"> Time!AG$81</f>
        <v>0</v>
      </c>
      <c r="AH15" s="226">
        <f xml:space="preserve"> Time!AH$81</f>
        <v>0</v>
      </c>
      <c r="AI15" s="226">
        <f xml:space="preserve"> Time!AI$81</f>
        <v>0</v>
      </c>
      <c r="AJ15" s="226">
        <f xml:space="preserve"> Time!AJ$81</f>
        <v>0</v>
      </c>
      <c r="AK15" s="226">
        <f xml:space="preserve"> Time!AK$81</f>
        <v>0</v>
      </c>
      <c r="AL15" s="226">
        <f xml:space="preserve"> Time!AL$81</f>
        <v>0</v>
      </c>
      <c r="AM15" s="226">
        <f xml:space="preserve"> Time!AM$81</f>
        <v>0</v>
      </c>
      <c r="AN15" s="226">
        <f xml:space="preserve"> Time!AN$81</f>
        <v>0</v>
      </c>
      <c r="AO15" s="226">
        <f xml:space="preserve"> Time!AO$81</f>
        <v>0</v>
      </c>
      <c r="AP15" s="226">
        <f xml:space="preserve"> Time!AP$81</f>
        <v>0</v>
      </c>
      <c r="AQ15" s="226">
        <f xml:space="preserve"> Time!AQ$81</f>
        <v>0</v>
      </c>
      <c r="AR15" s="226">
        <f xml:space="preserve"> Time!AR$81</f>
        <v>0</v>
      </c>
      <c r="AS15" s="226">
        <f xml:space="preserve"> Time!AS$81</f>
        <v>0</v>
      </c>
      <c r="AT15" s="226">
        <f xml:space="preserve"> Time!AT$81</f>
        <v>0</v>
      </c>
      <c r="AU15" s="226">
        <f xml:space="preserve"> Time!AU$81</f>
        <v>0</v>
      </c>
      <c r="AV15" s="226">
        <f xml:space="preserve"> Time!AV$81</f>
        <v>0</v>
      </c>
      <c r="AW15" s="226">
        <f xml:space="preserve"> Time!AW$81</f>
        <v>0</v>
      </c>
      <c r="AX15" s="226">
        <f xml:space="preserve"> Time!AX$81</f>
        <v>0</v>
      </c>
      <c r="AY15" s="226">
        <f xml:space="preserve"> Time!AY$81</f>
        <v>0</v>
      </c>
      <c r="AZ15" s="226">
        <f xml:space="preserve"> Time!AZ$81</f>
        <v>0</v>
      </c>
      <c r="BA15" s="226">
        <f xml:space="preserve"> Time!BA$81</f>
        <v>0</v>
      </c>
      <c r="BB15" s="226">
        <f xml:space="preserve"> Time!BB$81</f>
        <v>0</v>
      </c>
      <c r="BC15" s="226">
        <f xml:space="preserve"> Time!BC$81</f>
        <v>0</v>
      </c>
      <c r="BD15" s="226">
        <f xml:space="preserve"> Time!BD$81</f>
        <v>0</v>
      </c>
      <c r="BE15" s="226">
        <f xml:space="preserve"> Time!BE$81</f>
        <v>0</v>
      </c>
      <c r="BF15" s="226">
        <f xml:space="preserve"> Time!BF$81</f>
        <v>0</v>
      </c>
      <c r="BG15" s="226">
        <f xml:space="preserve"> Time!BG$81</f>
        <v>0</v>
      </c>
      <c r="BH15" s="226">
        <f xml:space="preserve"> Time!BH$81</f>
        <v>0</v>
      </c>
      <c r="BI15" s="226">
        <f xml:space="preserve"> Time!BI$81</f>
        <v>0</v>
      </c>
      <c r="BJ15" s="226">
        <f xml:space="preserve"> Time!BJ$81</f>
        <v>0</v>
      </c>
      <c r="BK15" s="226">
        <f xml:space="preserve"> Time!BK$81</f>
        <v>0</v>
      </c>
      <c r="BL15" s="226">
        <f xml:space="preserve"> Time!BL$81</f>
        <v>0</v>
      </c>
      <c r="BM15" s="226">
        <f xml:space="preserve"> Time!BM$81</f>
        <v>0</v>
      </c>
      <c r="BN15" s="226">
        <f xml:space="preserve"> Time!BN$81</f>
        <v>0</v>
      </c>
      <c r="BO15" s="226">
        <f xml:space="preserve"> Time!BO$81</f>
        <v>0</v>
      </c>
      <c r="BP15" s="226">
        <f xml:space="preserve"> Time!BP$81</f>
        <v>0</v>
      </c>
      <c r="BQ15" s="226">
        <f xml:space="preserve"> Time!BQ$81</f>
        <v>0</v>
      </c>
      <c r="BR15" s="226">
        <f xml:space="preserve"> Time!BR$81</f>
        <v>0</v>
      </c>
      <c r="BS15" s="226">
        <f xml:space="preserve"> Time!BS$81</f>
        <v>0</v>
      </c>
      <c r="BT15" s="226">
        <f xml:space="preserve"> Time!BT$81</f>
        <v>0</v>
      </c>
      <c r="BU15" s="226">
        <f xml:space="preserve"> Time!BU$81</f>
        <v>0</v>
      </c>
      <c r="BV15" s="226">
        <f xml:space="preserve"> Time!BV$81</f>
        <v>0</v>
      </c>
      <c r="BW15" s="226">
        <f xml:space="preserve"> Time!BW$81</f>
        <v>0</v>
      </c>
      <c r="BX15" s="226">
        <f xml:space="preserve"> Time!BX$81</f>
        <v>0</v>
      </c>
      <c r="BY15" s="226">
        <f xml:space="preserve"> Time!BY$81</f>
        <v>0</v>
      </c>
      <c r="BZ15" s="226">
        <f xml:space="preserve"> Time!BZ$81</f>
        <v>0</v>
      </c>
      <c r="CA15" s="226">
        <f xml:space="preserve"> Time!CA$81</f>
        <v>0</v>
      </c>
      <c r="CB15" s="226">
        <f xml:space="preserve"> Time!CB$81</f>
        <v>0</v>
      </c>
      <c r="CC15" s="226">
        <f xml:space="preserve"> Time!CC$81</f>
        <v>0</v>
      </c>
      <c r="CD15" s="226">
        <f xml:space="preserve"> Time!CD$81</f>
        <v>0</v>
      </c>
      <c r="CE15" s="226">
        <f xml:space="preserve"> Time!CE$81</f>
        <v>0</v>
      </c>
      <c r="CF15" s="226">
        <f xml:space="preserve"> Time!CF$81</f>
        <v>0</v>
      </c>
      <c r="CG15" s="226">
        <f xml:space="preserve"> Time!CG$81</f>
        <v>0</v>
      </c>
      <c r="CH15" s="226">
        <f xml:space="preserve"> Time!CH$81</f>
        <v>0</v>
      </c>
      <c r="CI15" s="226">
        <f xml:space="preserve"> Time!CI$81</f>
        <v>0</v>
      </c>
      <c r="CJ15" s="226">
        <f xml:space="preserve"> Time!CJ$81</f>
        <v>0</v>
      </c>
      <c r="CK15" s="226">
        <f xml:space="preserve"> Time!CK$81</f>
        <v>0</v>
      </c>
      <c r="CL15" s="226">
        <f xml:space="preserve"> Time!CL$81</f>
        <v>0</v>
      </c>
      <c r="CM15" s="226">
        <f xml:space="preserve"> Time!CM$81</f>
        <v>0</v>
      </c>
      <c r="CN15" s="226">
        <f xml:space="preserve"> Time!CN$81</f>
        <v>0</v>
      </c>
      <c r="CO15" s="226">
        <f xml:space="preserve"> Time!CO$81</f>
        <v>0</v>
      </c>
      <c r="CP15" s="226">
        <f xml:space="preserve"> Time!CP$81</f>
        <v>0</v>
      </c>
      <c r="CQ15" s="226">
        <f xml:space="preserve"> Time!CQ$81</f>
        <v>0</v>
      </c>
      <c r="CR15" s="226">
        <f xml:space="preserve"> Time!CR$81</f>
        <v>0</v>
      </c>
      <c r="CS15" s="226">
        <f xml:space="preserve"> Time!CS$81</f>
        <v>0</v>
      </c>
      <c r="CT15" s="226">
        <f xml:space="preserve"> Time!CT$81</f>
        <v>0</v>
      </c>
      <c r="CU15" s="226">
        <f xml:space="preserve"> Time!CU$81</f>
        <v>0</v>
      </c>
      <c r="CV15" s="226">
        <f xml:space="preserve"> Time!CV$81</f>
        <v>0</v>
      </c>
    </row>
    <row r="16" spans="1:100" x14ac:dyDescent="0.2">
      <c r="E16" s="214"/>
      <c r="F16" s="214"/>
      <c r="G16" s="214"/>
      <c r="H16" s="214"/>
      <c r="I16" s="38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  <c r="CO16" s="214"/>
      <c r="CP16" s="214"/>
      <c r="CQ16" s="214"/>
      <c r="CR16" s="214"/>
      <c r="CS16" s="214"/>
      <c r="CT16" s="214"/>
      <c r="CU16" s="214"/>
      <c r="CV16" s="214"/>
    </row>
    <row r="17" spans="1:100" x14ac:dyDescent="0.2">
      <c r="A17" s="1085"/>
      <c r="B17" s="1085"/>
      <c r="C17" s="1086"/>
      <c r="D17" s="1087"/>
      <c r="E17" s="1088" t="s">
        <v>839</v>
      </c>
      <c r="F17" s="214"/>
      <c r="G17" s="214" t="str">
        <f xml:space="preserve"> SMU</f>
        <v>$ 000s</v>
      </c>
      <c r="H17" s="214"/>
      <c r="I17" s="38"/>
      <c r="J17" s="214">
        <f t="shared" ref="J17:AO17" si="6">I20</f>
        <v>0</v>
      </c>
      <c r="K17" s="214">
        <f t="shared" si="6"/>
        <v>0</v>
      </c>
      <c r="L17" s="214">
        <f t="shared" si="6"/>
        <v>0</v>
      </c>
      <c r="M17" s="214">
        <f t="shared" si="6"/>
        <v>0</v>
      </c>
      <c r="N17" s="214">
        <f t="shared" si="6"/>
        <v>0</v>
      </c>
      <c r="O17" s="214">
        <f t="shared" si="6"/>
        <v>0</v>
      </c>
      <c r="P17" s="214">
        <f t="shared" si="6"/>
        <v>0</v>
      </c>
      <c r="Q17" s="214">
        <f t="shared" si="6"/>
        <v>0</v>
      </c>
      <c r="R17" s="214">
        <f t="shared" si="6"/>
        <v>0</v>
      </c>
      <c r="S17" s="214">
        <f t="shared" si="6"/>
        <v>0</v>
      </c>
      <c r="T17" s="214">
        <f t="shared" si="6"/>
        <v>0</v>
      </c>
      <c r="U17" s="214">
        <f t="shared" si="6"/>
        <v>0</v>
      </c>
      <c r="V17" s="214">
        <f t="shared" si="6"/>
        <v>0</v>
      </c>
      <c r="W17" s="214">
        <f t="shared" si="6"/>
        <v>0</v>
      </c>
      <c r="X17" s="214">
        <f t="shared" si="6"/>
        <v>0</v>
      </c>
      <c r="Y17" s="214">
        <f t="shared" si="6"/>
        <v>0</v>
      </c>
      <c r="Z17" s="214">
        <f t="shared" si="6"/>
        <v>0</v>
      </c>
      <c r="AA17" s="214">
        <f t="shared" si="6"/>
        <v>0</v>
      </c>
      <c r="AB17" s="214">
        <f t="shared" si="6"/>
        <v>0</v>
      </c>
      <c r="AC17" s="214">
        <f t="shared" si="6"/>
        <v>0</v>
      </c>
      <c r="AD17" s="214">
        <f t="shared" si="6"/>
        <v>0</v>
      </c>
      <c r="AE17" s="214">
        <f t="shared" si="6"/>
        <v>0</v>
      </c>
      <c r="AF17" s="214">
        <f t="shared" si="6"/>
        <v>0</v>
      </c>
      <c r="AG17" s="214">
        <f t="shared" si="6"/>
        <v>0</v>
      </c>
      <c r="AH17" s="214">
        <f t="shared" si="6"/>
        <v>0</v>
      </c>
      <c r="AI17" s="214">
        <f t="shared" si="6"/>
        <v>0</v>
      </c>
      <c r="AJ17" s="214">
        <f t="shared" si="6"/>
        <v>0</v>
      </c>
      <c r="AK17" s="214">
        <f t="shared" si="6"/>
        <v>0</v>
      </c>
      <c r="AL17" s="214">
        <f t="shared" si="6"/>
        <v>0</v>
      </c>
      <c r="AM17" s="214">
        <f t="shared" si="6"/>
        <v>0</v>
      </c>
      <c r="AN17" s="214">
        <f t="shared" si="6"/>
        <v>0</v>
      </c>
      <c r="AO17" s="214">
        <f t="shared" si="6"/>
        <v>0</v>
      </c>
      <c r="AP17" s="214">
        <f t="shared" ref="AP17:BU17" si="7">AO20</f>
        <v>0</v>
      </c>
      <c r="AQ17" s="214">
        <f t="shared" si="7"/>
        <v>0</v>
      </c>
      <c r="AR17" s="214">
        <f t="shared" si="7"/>
        <v>0</v>
      </c>
      <c r="AS17" s="214">
        <f t="shared" si="7"/>
        <v>0</v>
      </c>
      <c r="AT17" s="214">
        <f t="shared" si="7"/>
        <v>0</v>
      </c>
      <c r="AU17" s="214">
        <f t="shared" si="7"/>
        <v>0</v>
      </c>
      <c r="AV17" s="214">
        <f t="shared" si="7"/>
        <v>0</v>
      </c>
      <c r="AW17" s="214">
        <f t="shared" si="7"/>
        <v>0</v>
      </c>
      <c r="AX17" s="214">
        <f t="shared" si="7"/>
        <v>0</v>
      </c>
      <c r="AY17" s="214">
        <f t="shared" si="7"/>
        <v>0</v>
      </c>
      <c r="AZ17" s="214">
        <f t="shared" si="7"/>
        <v>0</v>
      </c>
      <c r="BA17" s="214">
        <f t="shared" si="7"/>
        <v>0</v>
      </c>
      <c r="BB17" s="214">
        <f t="shared" si="7"/>
        <v>0</v>
      </c>
      <c r="BC17" s="214">
        <f t="shared" si="7"/>
        <v>0</v>
      </c>
      <c r="BD17" s="214">
        <f t="shared" si="7"/>
        <v>0</v>
      </c>
      <c r="BE17" s="214">
        <f t="shared" si="7"/>
        <v>0</v>
      </c>
      <c r="BF17" s="214">
        <f t="shared" si="7"/>
        <v>0</v>
      </c>
      <c r="BG17" s="214">
        <f t="shared" si="7"/>
        <v>0</v>
      </c>
      <c r="BH17" s="214">
        <f t="shared" si="7"/>
        <v>0</v>
      </c>
      <c r="BI17" s="214">
        <f t="shared" si="7"/>
        <v>0</v>
      </c>
      <c r="BJ17" s="214">
        <f t="shared" si="7"/>
        <v>0</v>
      </c>
      <c r="BK17" s="214">
        <f t="shared" si="7"/>
        <v>0</v>
      </c>
      <c r="BL17" s="214">
        <f t="shared" si="7"/>
        <v>0</v>
      </c>
      <c r="BM17" s="214">
        <f t="shared" si="7"/>
        <v>0</v>
      </c>
      <c r="BN17" s="214">
        <f t="shared" si="7"/>
        <v>0</v>
      </c>
      <c r="BO17" s="214">
        <f t="shared" si="7"/>
        <v>0</v>
      </c>
      <c r="BP17" s="214">
        <f t="shared" si="7"/>
        <v>0</v>
      </c>
      <c r="BQ17" s="214">
        <f t="shared" si="7"/>
        <v>0</v>
      </c>
      <c r="BR17" s="214">
        <f t="shared" si="7"/>
        <v>0</v>
      </c>
      <c r="BS17" s="214">
        <f t="shared" si="7"/>
        <v>0</v>
      </c>
      <c r="BT17" s="214">
        <f t="shared" si="7"/>
        <v>0</v>
      </c>
      <c r="BU17" s="214">
        <f t="shared" si="7"/>
        <v>0</v>
      </c>
      <c r="BV17" s="214">
        <f t="shared" ref="BV17:CV17" si="8">BU20</f>
        <v>0</v>
      </c>
      <c r="BW17" s="214">
        <f t="shared" si="8"/>
        <v>0</v>
      </c>
      <c r="BX17" s="214">
        <f t="shared" si="8"/>
        <v>0</v>
      </c>
      <c r="BY17" s="214">
        <f t="shared" si="8"/>
        <v>0</v>
      </c>
      <c r="BZ17" s="214">
        <f t="shared" si="8"/>
        <v>0</v>
      </c>
      <c r="CA17" s="214">
        <f t="shared" si="8"/>
        <v>0</v>
      </c>
      <c r="CB17" s="214">
        <f t="shared" si="8"/>
        <v>0</v>
      </c>
      <c r="CC17" s="214">
        <f t="shared" si="8"/>
        <v>0</v>
      </c>
      <c r="CD17" s="214">
        <f t="shared" si="8"/>
        <v>0</v>
      </c>
      <c r="CE17" s="214">
        <f t="shared" si="8"/>
        <v>0</v>
      </c>
      <c r="CF17" s="214">
        <f t="shared" si="8"/>
        <v>0</v>
      </c>
      <c r="CG17" s="214">
        <f t="shared" si="8"/>
        <v>0</v>
      </c>
      <c r="CH17" s="214">
        <f t="shared" si="8"/>
        <v>0</v>
      </c>
      <c r="CI17" s="214">
        <f t="shared" si="8"/>
        <v>0</v>
      </c>
      <c r="CJ17" s="214">
        <f t="shared" si="8"/>
        <v>0</v>
      </c>
      <c r="CK17" s="214">
        <f t="shared" si="8"/>
        <v>0</v>
      </c>
      <c r="CL17" s="214">
        <f t="shared" si="8"/>
        <v>0</v>
      </c>
      <c r="CM17" s="214">
        <f t="shared" si="8"/>
        <v>0</v>
      </c>
      <c r="CN17" s="214">
        <f t="shared" si="8"/>
        <v>0</v>
      </c>
      <c r="CO17" s="214">
        <f t="shared" si="8"/>
        <v>0</v>
      </c>
      <c r="CP17" s="214">
        <f t="shared" si="8"/>
        <v>0</v>
      </c>
      <c r="CQ17" s="214">
        <f t="shared" si="8"/>
        <v>0</v>
      </c>
      <c r="CR17" s="214">
        <f t="shared" si="8"/>
        <v>0</v>
      </c>
      <c r="CS17" s="214">
        <f t="shared" si="8"/>
        <v>0</v>
      </c>
      <c r="CT17" s="214">
        <f t="shared" si="8"/>
        <v>0</v>
      </c>
      <c r="CU17" s="214">
        <f t="shared" si="8"/>
        <v>0</v>
      </c>
      <c r="CV17" s="214">
        <f t="shared" si="8"/>
        <v>0</v>
      </c>
    </row>
    <row r="18" spans="1:100" x14ac:dyDescent="0.2">
      <c r="E18" s="215" t="s">
        <v>91</v>
      </c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  <c r="AV18" s="215"/>
      <c r="AW18" s="215"/>
      <c r="AX18" s="215"/>
      <c r="AY18" s="215"/>
      <c r="AZ18" s="215"/>
      <c r="BA18" s="215"/>
      <c r="BB18" s="215"/>
      <c r="BC18" s="215"/>
      <c r="BD18" s="215"/>
      <c r="BE18" s="215"/>
      <c r="BF18" s="215"/>
      <c r="BG18" s="215"/>
      <c r="BH18" s="215"/>
      <c r="BI18" s="215"/>
      <c r="BJ18" s="215"/>
      <c r="BK18" s="215"/>
      <c r="BL18" s="215"/>
      <c r="BM18" s="215"/>
      <c r="BN18" s="215"/>
      <c r="BO18" s="215"/>
      <c r="BP18" s="215"/>
      <c r="BQ18" s="215"/>
      <c r="BR18" s="215"/>
      <c r="BS18" s="215"/>
      <c r="BT18" s="215"/>
      <c r="BU18" s="215"/>
      <c r="BV18" s="215"/>
      <c r="BW18" s="215"/>
      <c r="BX18" s="215"/>
      <c r="BY18" s="215"/>
      <c r="BZ18" s="215"/>
      <c r="CA18" s="215"/>
      <c r="CB18" s="215"/>
      <c r="CC18" s="215"/>
      <c r="CD18" s="215"/>
      <c r="CE18" s="215"/>
      <c r="CF18" s="215"/>
      <c r="CG18" s="215"/>
      <c r="CH18" s="215"/>
      <c r="CI18" s="215"/>
      <c r="CJ18" s="215"/>
      <c r="CK18" s="215"/>
      <c r="CL18" s="215"/>
      <c r="CM18" s="215"/>
      <c r="CN18" s="215"/>
      <c r="CO18" s="215"/>
      <c r="CP18" s="215"/>
      <c r="CQ18" s="215"/>
      <c r="CR18" s="215"/>
      <c r="CS18" s="215"/>
      <c r="CT18" s="215"/>
      <c r="CU18" s="215"/>
      <c r="CV18" s="215"/>
    </row>
    <row r="19" spans="1:100" x14ac:dyDescent="0.2">
      <c r="E19" s="215" t="s">
        <v>92</v>
      </c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215"/>
      <c r="AN19" s="215"/>
      <c r="AO19" s="215"/>
      <c r="AP19" s="215"/>
      <c r="AQ19" s="215"/>
      <c r="AR19" s="215"/>
      <c r="AS19" s="215"/>
      <c r="AT19" s="215"/>
      <c r="AU19" s="215"/>
      <c r="AV19" s="215"/>
      <c r="AW19" s="215"/>
      <c r="AX19" s="215"/>
      <c r="AY19" s="215"/>
      <c r="AZ19" s="215"/>
      <c r="BA19" s="215"/>
      <c r="BB19" s="215"/>
      <c r="BC19" s="215"/>
      <c r="BD19" s="215"/>
      <c r="BE19" s="215"/>
      <c r="BF19" s="215"/>
      <c r="BG19" s="215"/>
      <c r="BH19" s="215"/>
      <c r="BI19" s="215"/>
      <c r="BJ19" s="215"/>
      <c r="BK19" s="215"/>
      <c r="BL19" s="215"/>
      <c r="BM19" s="215"/>
      <c r="BN19" s="215"/>
      <c r="BO19" s="215"/>
      <c r="BP19" s="215"/>
      <c r="BQ19" s="215"/>
      <c r="BR19" s="215"/>
      <c r="BS19" s="215"/>
      <c r="BT19" s="215"/>
      <c r="BU19" s="215"/>
      <c r="BV19" s="215"/>
      <c r="BW19" s="215"/>
      <c r="BX19" s="215"/>
      <c r="BY19" s="215"/>
      <c r="BZ19" s="215"/>
      <c r="CA19" s="215"/>
      <c r="CB19" s="215"/>
      <c r="CC19" s="215"/>
      <c r="CD19" s="215"/>
      <c r="CE19" s="215"/>
      <c r="CF19" s="215"/>
      <c r="CG19" s="215"/>
      <c r="CH19" s="215"/>
      <c r="CI19" s="215"/>
      <c r="CJ19" s="215"/>
      <c r="CK19" s="215"/>
      <c r="CL19" s="215"/>
      <c r="CM19" s="215"/>
      <c r="CN19" s="215"/>
      <c r="CO19" s="215"/>
      <c r="CP19" s="215"/>
      <c r="CQ19" s="215"/>
      <c r="CR19" s="215"/>
      <c r="CS19" s="215"/>
      <c r="CT19" s="215"/>
      <c r="CU19" s="215"/>
      <c r="CV19" s="215"/>
    </row>
    <row r="20" spans="1:100" x14ac:dyDescent="0.2">
      <c r="A20" s="1090"/>
      <c r="B20" s="1090"/>
      <c r="C20" s="1091"/>
      <c r="D20" s="1092"/>
      <c r="E20" s="1089" t="s">
        <v>840</v>
      </c>
      <c r="F20" s="224"/>
      <c r="G20" s="224" t="str">
        <f xml:space="preserve"> SMU</f>
        <v>$ 000s</v>
      </c>
      <c r="H20" s="224"/>
      <c r="I20" s="225"/>
      <c r="J20" s="224">
        <f t="shared" ref="J20:AO20" si="9" xml:space="preserve"> IF( J15 = 1, $F14, J17 + J18 - J19)</f>
        <v>0</v>
      </c>
      <c r="K20" s="224">
        <f t="shared" si="9"/>
        <v>0</v>
      </c>
      <c r="L20" s="224">
        <f t="shared" si="9"/>
        <v>0</v>
      </c>
      <c r="M20" s="224">
        <f t="shared" si="9"/>
        <v>0</v>
      </c>
      <c r="N20" s="224">
        <f t="shared" si="9"/>
        <v>0</v>
      </c>
      <c r="O20" s="224">
        <f t="shared" si="9"/>
        <v>0</v>
      </c>
      <c r="P20" s="224">
        <f t="shared" si="9"/>
        <v>0</v>
      </c>
      <c r="Q20" s="224">
        <f t="shared" si="9"/>
        <v>0</v>
      </c>
      <c r="R20" s="224">
        <f t="shared" si="9"/>
        <v>0</v>
      </c>
      <c r="S20" s="224">
        <f t="shared" si="9"/>
        <v>0</v>
      </c>
      <c r="T20" s="224">
        <f t="shared" si="9"/>
        <v>0</v>
      </c>
      <c r="U20" s="224">
        <f t="shared" si="9"/>
        <v>0</v>
      </c>
      <c r="V20" s="224">
        <f t="shared" si="9"/>
        <v>0</v>
      </c>
      <c r="W20" s="224">
        <f t="shared" si="9"/>
        <v>0</v>
      </c>
      <c r="X20" s="224">
        <f t="shared" si="9"/>
        <v>0</v>
      </c>
      <c r="Y20" s="224">
        <f t="shared" si="9"/>
        <v>0</v>
      </c>
      <c r="Z20" s="224">
        <f t="shared" si="9"/>
        <v>0</v>
      </c>
      <c r="AA20" s="224">
        <f t="shared" si="9"/>
        <v>0</v>
      </c>
      <c r="AB20" s="224">
        <f t="shared" si="9"/>
        <v>0</v>
      </c>
      <c r="AC20" s="224">
        <f t="shared" si="9"/>
        <v>0</v>
      </c>
      <c r="AD20" s="224">
        <f t="shared" si="9"/>
        <v>0</v>
      </c>
      <c r="AE20" s="224">
        <f t="shared" si="9"/>
        <v>0</v>
      </c>
      <c r="AF20" s="224">
        <f t="shared" si="9"/>
        <v>0</v>
      </c>
      <c r="AG20" s="224">
        <f t="shared" si="9"/>
        <v>0</v>
      </c>
      <c r="AH20" s="224">
        <f t="shared" si="9"/>
        <v>0</v>
      </c>
      <c r="AI20" s="224">
        <f t="shared" si="9"/>
        <v>0</v>
      </c>
      <c r="AJ20" s="224">
        <f t="shared" si="9"/>
        <v>0</v>
      </c>
      <c r="AK20" s="224">
        <f t="shared" si="9"/>
        <v>0</v>
      </c>
      <c r="AL20" s="224">
        <f t="shared" si="9"/>
        <v>0</v>
      </c>
      <c r="AM20" s="224">
        <f t="shared" si="9"/>
        <v>0</v>
      </c>
      <c r="AN20" s="224">
        <f t="shared" si="9"/>
        <v>0</v>
      </c>
      <c r="AO20" s="224">
        <f t="shared" si="9"/>
        <v>0</v>
      </c>
      <c r="AP20" s="224">
        <f t="shared" ref="AP20:BU20" si="10" xml:space="preserve"> IF( AP15 = 1, $F14, AP17 + AP18 - AP19)</f>
        <v>0</v>
      </c>
      <c r="AQ20" s="224">
        <f t="shared" si="10"/>
        <v>0</v>
      </c>
      <c r="AR20" s="224">
        <f t="shared" si="10"/>
        <v>0</v>
      </c>
      <c r="AS20" s="224">
        <f t="shared" si="10"/>
        <v>0</v>
      </c>
      <c r="AT20" s="224">
        <f t="shared" si="10"/>
        <v>0</v>
      </c>
      <c r="AU20" s="224">
        <f t="shared" si="10"/>
        <v>0</v>
      </c>
      <c r="AV20" s="224">
        <f t="shared" si="10"/>
        <v>0</v>
      </c>
      <c r="AW20" s="224">
        <f t="shared" si="10"/>
        <v>0</v>
      </c>
      <c r="AX20" s="224">
        <f t="shared" si="10"/>
        <v>0</v>
      </c>
      <c r="AY20" s="224">
        <f t="shared" si="10"/>
        <v>0</v>
      </c>
      <c r="AZ20" s="224">
        <f t="shared" si="10"/>
        <v>0</v>
      </c>
      <c r="BA20" s="224">
        <f t="shared" si="10"/>
        <v>0</v>
      </c>
      <c r="BB20" s="224">
        <f t="shared" si="10"/>
        <v>0</v>
      </c>
      <c r="BC20" s="224">
        <f t="shared" si="10"/>
        <v>0</v>
      </c>
      <c r="BD20" s="224">
        <f t="shared" si="10"/>
        <v>0</v>
      </c>
      <c r="BE20" s="224">
        <f t="shared" si="10"/>
        <v>0</v>
      </c>
      <c r="BF20" s="224">
        <f t="shared" si="10"/>
        <v>0</v>
      </c>
      <c r="BG20" s="224">
        <f t="shared" si="10"/>
        <v>0</v>
      </c>
      <c r="BH20" s="224">
        <f t="shared" si="10"/>
        <v>0</v>
      </c>
      <c r="BI20" s="224">
        <f t="shared" si="10"/>
        <v>0</v>
      </c>
      <c r="BJ20" s="224">
        <f t="shared" si="10"/>
        <v>0</v>
      </c>
      <c r="BK20" s="224">
        <f t="shared" si="10"/>
        <v>0</v>
      </c>
      <c r="BL20" s="224">
        <f t="shared" si="10"/>
        <v>0</v>
      </c>
      <c r="BM20" s="224">
        <f t="shared" si="10"/>
        <v>0</v>
      </c>
      <c r="BN20" s="224">
        <f t="shared" si="10"/>
        <v>0</v>
      </c>
      <c r="BO20" s="224">
        <f t="shared" si="10"/>
        <v>0</v>
      </c>
      <c r="BP20" s="224">
        <f t="shared" si="10"/>
        <v>0</v>
      </c>
      <c r="BQ20" s="224">
        <f t="shared" si="10"/>
        <v>0</v>
      </c>
      <c r="BR20" s="224">
        <f t="shared" si="10"/>
        <v>0</v>
      </c>
      <c r="BS20" s="224">
        <f t="shared" si="10"/>
        <v>0</v>
      </c>
      <c r="BT20" s="224">
        <f t="shared" si="10"/>
        <v>0</v>
      </c>
      <c r="BU20" s="224">
        <f t="shared" si="10"/>
        <v>0</v>
      </c>
      <c r="BV20" s="224">
        <f t="shared" ref="BV20:CV20" si="11" xml:space="preserve"> IF( BV15 = 1, $F14, BV17 + BV18 - BV19)</f>
        <v>0</v>
      </c>
      <c r="BW20" s="224">
        <f t="shared" si="11"/>
        <v>0</v>
      </c>
      <c r="BX20" s="224">
        <f t="shared" si="11"/>
        <v>0</v>
      </c>
      <c r="BY20" s="224">
        <f t="shared" si="11"/>
        <v>0</v>
      </c>
      <c r="BZ20" s="224">
        <f t="shared" si="11"/>
        <v>0</v>
      </c>
      <c r="CA20" s="224">
        <f t="shared" si="11"/>
        <v>0</v>
      </c>
      <c r="CB20" s="224">
        <f t="shared" si="11"/>
        <v>0</v>
      </c>
      <c r="CC20" s="224">
        <f t="shared" si="11"/>
        <v>0</v>
      </c>
      <c r="CD20" s="224">
        <f t="shared" si="11"/>
        <v>0</v>
      </c>
      <c r="CE20" s="224">
        <f t="shared" si="11"/>
        <v>0</v>
      </c>
      <c r="CF20" s="224">
        <f t="shared" si="11"/>
        <v>0</v>
      </c>
      <c r="CG20" s="224">
        <f t="shared" si="11"/>
        <v>0</v>
      </c>
      <c r="CH20" s="224">
        <f t="shared" si="11"/>
        <v>0</v>
      </c>
      <c r="CI20" s="224">
        <f t="shared" si="11"/>
        <v>0</v>
      </c>
      <c r="CJ20" s="224">
        <f t="shared" si="11"/>
        <v>0</v>
      </c>
      <c r="CK20" s="224">
        <f t="shared" si="11"/>
        <v>0</v>
      </c>
      <c r="CL20" s="224">
        <f t="shared" si="11"/>
        <v>0</v>
      </c>
      <c r="CM20" s="224">
        <f t="shared" si="11"/>
        <v>0</v>
      </c>
      <c r="CN20" s="224">
        <f t="shared" si="11"/>
        <v>0</v>
      </c>
      <c r="CO20" s="224">
        <f t="shared" si="11"/>
        <v>0</v>
      </c>
      <c r="CP20" s="224">
        <f t="shared" si="11"/>
        <v>0</v>
      </c>
      <c r="CQ20" s="224">
        <f t="shared" si="11"/>
        <v>0</v>
      </c>
      <c r="CR20" s="224">
        <f t="shared" si="11"/>
        <v>0</v>
      </c>
      <c r="CS20" s="224">
        <f t="shared" si="11"/>
        <v>0</v>
      </c>
      <c r="CT20" s="224">
        <f t="shared" si="11"/>
        <v>0</v>
      </c>
      <c r="CU20" s="224">
        <f t="shared" si="11"/>
        <v>0</v>
      </c>
      <c r="CV20" s="224">
        <f t="shared" si="11"/>
        <v>0</v>
      </c>
    </row>
    <row r="23" spans="1:100" x14ac:dyDescent="0.2">
      <c r="E23" s="12" t="s">
        <v>9</v>
      </c>
      <c r="G23" s="12" t="str">
        <f xml:space="preserve"> SMU</f>
        <v>$ 000s</v>
      </c>
      <c r="H23" s="12">
        <f xml:space="preserve"> SUM(J23:CV23)</f>
        <v>9100</v>
      </c>
      <c r="J23" s="197">
        <v>100</v>
      </c>
      <c r="K23" s="197">
        <v>100</v>
      </c>
      <c r="L23" s="197">
        <v>100</v>
      </c>
      <c r="M23" s="197">
        <v>100</v>
      </c>
      <c r="N23" s="197">
        <v>100</v>
      </c>
      <c r="O23" s="197">
        <v>100</v>
      </c>
      <c r="P23" s="197">
        <v>100</v>
      </c>
      <c r="Q23" s="197">
        <v>100</v>
      </c>
      <c r="R23" s="197">
        <v>100</v>
      </c>
      <c r="S23" s="197">
        <v>100</v>
      </c>
      <c r="T23" s="197">
        <v>100</v>
      </c>
      <c r="U23" s="197">
        <v>100</v>
      </c>
      <c r="V23" s="197">
        <v>100</v>
      </c>
      <c r="W23" s="197">
        <v>100</v>
      </c>
      <c r="X23" s="197">
        <v>100</v>
      </c>
      <c r="Y23" s="197">
        <v>100</v>
      </c>
      <c r="Z23" s="197">
        <v>100</v>
      </c>
      <c r="AA23" s="197">
        <v>100</v>
      </c>
      <c r="AB23" s="197">
        <v>100</v>
      </c>
      <c r="AC23" s="197">
        <v>100</v>
      </c>
      <c r="AD23" s="197">
        <v>100</v>
      </c>
      <c r="AE23" s="197">
        <v>100</v>
      </c>
      <c r="AF23" s="197">
        <v>100</v>
      </c>
      <c r="AG23" s="197">
        <v>100</v>
      </c>
      <c r="AH23" s="197">
        <v>100</v>
      </c>
      <c r="AI23" s="197">
        <v>100</v>
      </c>
      <c r="AJ23" s="197">
        <v>100</v>
      </c>
      <c r="AK23" s="197">
        <v>100</v>
      </c>
      <c r="AL23" s="197">
        <v>100</v>
      </c>
      <c r="AM23" s="197">
        <v>100</v>
      </c>
      <c r="AN23" s="197">
        <v>100</v>
      </c>
      <c r="AO23" s="197">
        <v>100</v>
      </c>
      <c r="AP23" s="197">
        <v>100</v>
      </c>
      <c r="AQ23" s="197">
        <v>100</v>
      </c>
      <c r="AR23" s="197">
        <v>100</v>
      </c>
      <c r="AS23" s="197">
        <v>100</v>
      </c>
      <c r="AT23" s="197">
        <v>100</v>
      </c>
      <c r="AU23" s="197">
        <v>100</v>
      </c>
      <c r="AV23" s="197">
        <v>100</v>
      </c>
      <c r="AW23" s="197">
        <v>100</v>
      </c>
      <c r="AX23" s="197">
        <v>100</v>
      </c>
      <c r="AY23" s="197">
        <v>100</v>
      </c>
      <c r="AZ23" s="197">
        <v>100</v>
      </c>
      <c r="BA23" s="197">
        <v>100</v>
      </c>
      <c r="BB23" s="197">
        <v>100</v>
      </c>
      <c r="BC23" s="197">
        <v>100</v>
      </c>
      <c r="BD23" s="197">
        <v>100</v>
      </c>
      <c r="BE23" s="197">
        <v>100</v>
      </c>
      <c r="BF23" s="197">
        <v>100</v>
      </c>
      <c r="BG23" s="197">
        <v>100</v>
      </c>
      <c r="BH23" s="197">
        <v>100</v>
      </c>
      <c r="BI23" s="197">
        <v>100</v>
      </c>
      <c r="BJ23" s="197">
        <v>100</v>
      </c>
      <c r="BK23" s="197">
        <v>100</v>
      </c>
      <c r="BL23" s="197">
        <v>100</v>
      </c>
      <c r="BM23" s="197">
        <v>100</v>
      </c>
      <c r="BN23" s="197">
        <v>100</v>
      </c>
      <c r="BO23" s="197">
        <v>100</v>
      </c>
      <c r="BP23" s="197">
        <v>100</v>
      </c>
      <c r="BQ23" s="197">
        <v>100</v>
      </c>
      <c r="BR23" s="197">
        <v>100</v>
      </c>
      <c r="BS23" s="197">
        <v>100</v>
      </c>
      <c r="BT23" s="197">
        <v>100</v>
      </c>
      <c r="BU23" s="197">
        <v>100</v>
      </c>
      <c r="BV23" s="197">
        <v>100</v>
      </c>
      <c r="BW23" s="197">
        <v>100</v>
      </c>
      <c r="BX23" s="197">
        <v>100</v>
      </c>
      <c r="BY23" s="197">
        <v>100</v>
      </c>
      <c r="BZ23" s="197">
        <v>100</v>
      </c>
      <c r="CA23" s="197">
        <v>100</v>
      </c>
      <c r="CB23" s="197">
        <v>100</v>
      </c>
      <c r="CC23" s="197">
        <v>100</v>
      </c>
      <c r="CD23" s="197">
        <v>100</v>
      </c>
      <c r="CE23" s="197">
        <v>100</v>
      </c>
      <c r="CF23" s="197">
        <v>100</v>
      </c>
      <c r="CG23" s="197">
        <v>100</v>
      </c>
      <c r="CH23" s="197">
        <v>100</v>
      </c>
      <c r="CI23" s="197">
        <v>100</v>
      </c>
      <c r="CJ23" s="197">
        <v>100</v>
      </c>
      <c r="CK23" s="197">
        <v>100</v>
      </c>
      <c r="CL23" s="197">
        <v>100</v>
      </c>
      <c r="CM23" s="197">
        <v>100</v>
      </c>
      <c r="CN23" s="197">
        <v>100</v>
      </c>
      <c r="CO23" s="197">
        <v>100</v>
      </c>
      <c r="CP23" s="197">
        <v>100</v>
      </c>
      <c r="CQ23" s="197">
        <v>100</v>
      </c>
      <c r="CR23" s="197">
        <v>100</v>
      </c>
      <c r="CS23" s="197">
        <v>100</v>
      </c>
      <c r="CT23" s="197">
        <v>100</v>
      </c>
      <c r="CU23" s="197">
        <v>100</v>
      </c>
      <c r="CV23" s="197">
        <v>100</v>
      </c>
    </row>
    <row r="24" spans="1:100" x14ac:dyDescent="0.2">
      <c r="A24" s="141"/>
      <c r="B24" s="141"/>
      <c r="C24" s="142"/>
      <c r="D24" s="143"/>
      <c r="E24" s="187" t="str">
        <f xml:space="preserve"> LEFT(E23, LEN(E23) - 4)</f>
        <v>Sign switch line item</v>
      </c>
      <c r="F24" s="187"/>
      <c r="G24" s="187" t="str">
        <f xml:space="preserve"> SMU</f>
        <v>$ 000s</v>
      </c>
      <c r="H24" s="187">
        <f xml:space="preserve"> SUM(J24:CV24)</f>
        <v>-9100</v>
      </c>
      <c r="I24" s="144"/>
      <c r="J24" s="187">
        <f t="shared" ref="J24:AO24" si="12" xml:space="preserve"> -1 * J23</f>
        <v>-100</v>
      </c>
      <c r="K24" s="187">
        <f t="shared" si="12"/>
        <v>-100</v>
      </c>
      <c r="L24" s="187">
        <f t="shared" si="12"/>
        <v>-100</v>
      </c>
      <c r="M24" s="187">
        <f t="shared" si="12"/>
        <v>-100</v>
      </c>
      <c r="N24" s="187">
        <f t="shared" si="12"/>
        <v>-100</v>
      </c>
      <c r="O24" s="187">
        <f t="shared" si="12"/>
        <v>-100</v>
      </c>
      <c r="P24" s="187">
        <f t="shared" si="12"/>
        <v>-100</v>
      </c>
      <c r="Q24" s="187">
        <f t="shared" si="12"/>
        <v>-100</v>
      </c>
      <c r="R24" s="187">
        <f t="shared" si="12"/>
        <v>-100</v>
      </c>
      <c r="S24" s="187">
        <f t="shared" si="12"/>
        <v>-100</v>
      </c>
      <c r="T24" s="187">
        <f t="shared" si="12"/>
        <v>-100</v>
      </c>
      <c r="U24" s="187">
        <f t="shared" si="12"/>
        <v>-100</v>
      </c>
      <c r="V24" s="187">
        <f t="shared" si="12"/>
        <v>-100</v>
      </c>
      <c r="W24" s="187">
        <f t="shared" si="12"/>
        <v>-100</v>
      </c>
      <c r="X24" s="187">
        <f t="shared" si="12"/>
        <v>-100</v>
      </c>
      <c r="Y24" s="187">
        <f t="shared" si="12"/>
        <v>-100</v>
      </c>
      <c r="Z24" s="187">
        <f t="shared" si="12"/>
        <v>-100</v>
      </c>
      <c r="AA24" s="187">
        <f t="shared" si="12"/>
        <v>-100</v>
      </c>
      <c r="AB24" s="187">
        <f t="shared" si="12"/>
        <v>-100</v>
      </c>
      <c r="AC24" s="187">
        <f t="shared" si="12"/>
        <v>-100</v>
      </c>
      <c r="AD24" s="187">
        <f t="shared" si="12"/>
        <v>-100</v>
      </c>
      <c r="AE24" s="187">
        <f t="shared" si="12"/>
        <v>-100</v>
      </c>
      <c r="AF24" s="187">
        <f t="shared" si="12"/>
        <v>-100</v>
      </c>
      <c r="AG24" s="187">
        <f t="shared" si="12"/>
        <v>-100</v>
      </c>
      <c r="AH24" s="187">
        <f t="shared" si="12"/>
        <v>-100</v>
      </c>
      <c r="AI24" s="187">
        <f t="shared" si="12"/>
        <v>-100</v>
      </c>
      <c r="AJ24" s="187">
        <f t="shared" si="12"/>
        <v>-100</v>
      </c>
      <c r="AK24" s="187">
        <f t="shared" si="12"/>
        <v>-100</v>
      </c>
      <c r="AL24" s="187">
        <f t="shared" si="12"/>
        <v>-100</v>
      </c>
      <c r="AM24" s="187">
        <f t="shared" si="12"/>
        <v>-100</v>
      </c>
      <c r="AN24" s="187">
        <f t="shared" si="12"/>
        <v>-100</v>
      </c>
      <c r="AO24" s="187">
        <f t="shared" si="12"/>
        <v>-100</v>
      </c>
      <c r="AP24" s="187">
        <f t="shared" ref="AP24:BU24" si="13" xml:space="preserve"> -1 * AP23</f>
        <v>-100</v>
      </c>
      <c r="AQ24" s="187">
        <f t="shared" si="13"/>
        <v>-100</v>
      </c>
      <c r="AR24" s="187">
        <f t="shared" si="13"/>
        <v>-100</v>
      </c>
      <c r="AS24" s="187">
        <f t="shared" si="13"/>
        <v>-100</v>
      </c>
      <c r="AT24" s="187">
        <f t="shared" si="13"/>
        <v>-100</v>
      </c>
      <c r="AU24" s="187">
        <f t="shared" si="13"/>
        <v>-100</v>
      </c>
      <c r="AV24" s="187">
        <f t="shared" si="13"/>
        <v>-100</v>
      </c>
      <c r="AW24" s="187">
        <f t="shared" si="13"/>
        <v>-100</v>
      </c>
      <c r="AX24" s="187">
        <f t="shared" si="13"/>
        <v>-100</v>
      </c>
      <c r="AY24" s="187">
        <f t="shared" si="13"/>
        <v>-100</v>
      </c>
      <c r="AZ24" s="187">
        <f t="shared" si="13"/>
        <v>-100</v>
      </c>
      <c r="BA24" s="187">
        <f t="shared" si="13"/>
        <v>-100</v>
      </c>
      <c r="BB24" s="187">
        <f t="shared" si="13"/>
        <v>-100</v>
      </c>
      <c r="BC24" s="187">
        <f t="shared" si="13"/>
        <v>-100</v>
      </c>
      <c r="BD24" s="187">
        <f t="shared" si="13"/>
        <v>-100</v>
      </c>
      <c r="BE24" s="187">
        <f t="shared" si="13"/>
        <v>-100</v>
      </c>
      <c r="BF24" s="187">
        <f t="shared" si="13"/>
        <v>-100</v>
      </c>
      <c r="BG24" s="187">
        <f t="shared" si="13"/>
        <v>-100</v>
      </c>
      <c r="BH24" s="187">
        <f t="shared" si="13"/>
        <v>-100</v>
      </c>
      <c r="BI24" s="187">
        <f t="shared" si="13"/>
        <v>-100</v>
      </c>
      <c r="BJ24" s="187">
        <f t="shared" si="13"/>
        <v>-100</v>
      </c>
      <c r="BK24" s="187">
        <f t="shared" si="13"/>
        <v>-100</v>
      </c>
      <c r="BL24" s="187">
        <f t="shared" si="13"/>
        <v>-100</v>
      </c>
      <c r="BM24" s="187">
        <f t="shared" si="13"/>
        <v>-100</v>
      </c>
      <c r="BN24" s="187">
        <f t="shared" si="13"/>
        <v>-100</v>
      </c>
      <c r="BO24" s="187">
        <f t="shared" si="13"/>
        <v>-100</v>
      </c>
      <c r="BP24" s="187">
        <f t="shared" si="13"/>
        <v>-100</v>
      </c>
      <c r="BQ24" s="187">
        <f t="shared" si="13"/>
        <v>-100</v>
      </c>
      <c r="BR24" s="187">
        <f t="shared" si="13"/>
        <v>-100</v>
      </c>
      <c r="BS24" s="187">
        <f t="shared" si="13"/>
        <v>-100</v>
      </c>
      <c r="BT24" s="187">
        <f t="shared" si="13"/>
        <v>-100</v>
      </c>
      <c r="BU24" s="187">
        <f t="shared" si="13"/>
        <v>-100</v>
      </c>
      <c r="BV24" s="187">
        <f t="shared" ref="BV24:CV24" si="14" xml:space="preserve"> -1 * BV23</f>
        <v>-100</v>
      </c>
      <c r="BW24" s="187">
        <f t="shared" si="14"/>
        <v>-100</v>
      </c>
      <c r="BX24" s="187">
        <f t="shared" si="14"/>
        <v>-100</v>
      </c>
      <c r="BY24" s="187">
        <f t="shared" si="14"/>
        <v>-100</v>
      </c>
      <c r="BZ24" s="187">
        <f t="shared" si="14"/>
        <v>-100</v>
      </c>
      <c r="CA24" s="187">
        <f t="shared" si="14"/>
        <v>-100</v>
      </c>
      <c r="CB24" s="187">
        <f t="shared" si="14"/>
        <v>-100</v>
      </c>
      <c r="CC24" s="187">
        <f t="shared" si="14"/>
        <v>-100</v>
      </c>
      <c r="CD24" s="187">
        <f t="shared" si="14"/>
        <v>-100</v>
      </c>
      <c r="CE24" s="187">
        <f t="shared" si="14"/>
        <v>-100</v>
      </c>
      <c r="CF24" s="187">
        <f t="shared" si="14"/>
        <v>-100</v>
      </c>
      <c r="CG24" s="187">
        <f t="shared" si="14"/>
        <v>-100</v>
      </c>
      <c r="CH24" s="187">
        <f t="shared" si="14"/>
        <v>-100</v>
      </c>
      <c r="CI24" s="187">
        <f t="shared" si="14"/>
        <v>-100</v>
      </c>
      <c r="CJ24" s="187">
        <f t="shared" si="14"/>
        <v>-100</v>
      </c>
      <c r="CK24" s="187">
        <f t="shared" si="14"/>
        <v>-100</v>
      </c>
      <c r="CL24" s="187">
        <f t="shared" si="14"/>
        <v>-100</v>
      </c>
      <c r="CM24" s="187">
        <f t="shared" si="14"/>
        <v>-100</v>
      </c>
      <c r="CN24" s="187">
        <f t="shared" si="14"/>
        <v>-100</v>
      </c>
      <c r="CO24" s="187">
        <f t="shared" si="14"/>
        <v>-100</v>
      </c>
      <c r="CP24" s="187">
        <f t="shared" si="14"/>
        <v>-100</v>
      </c>
      <c r="CQ24" s="187">
        <f t="shared" si="14"/>
        <v>-100</v>
      </c>
      <c r="CR24" s="187">
        <f t="shared" si="14"/>
        <v>-100</v>
      </c>
      <c r="CS24" s="187">
        <f t="shared" si="14"/>
        <v>-100</v>
      </c>
      <c r="CT24" s="187">
        <f t="shared" si="14"/>
        <v>-100</v>
      </c>
      <c r="CU24" s="187">
        <f t="shared" si="14"/>
        <v>-100</v>
      </c>
      <c r="CV24" s="187">
        <f t="shared" si="14"/>
        <v>-100</v>
      </c>
    </row>
  </sheetData>
  <conditionalFormatting sqref="J3:CV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CV3">
    <cfRule type="cellIs" dxfId="6" priority="19" operator="equal">
      <formula>"Fin Close"</formula>
    </cfRule>
  </conditionalFormatting>
  <conditionalFormatting sqref="J3:CV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14</vt:i4>
      </vt:variant>
    </vt:vector>
  </HeadingPairs>
  <TitlesOfParts>
    <vt:vector size="41" baseType="lpstr">
      <vt:lpstr>Summary</vt:lpstr>
      <vt:lpstr>Charts</vt:lpstr>
      <vt:lpstr>FS Semi</vt:lpstr>
      <vt:lpstr>FS Semi_P99</vt:lpstr>
      <vt:lpstr>FS Ann</vt:lpstr>
      <vt:lpstr>Output</vt:lpstr>
      <vt:lpstr>S&amp;U</vt:lpstr>
      <vt:lpstr>InpC</vt:lpstr>
      <vt:lpstr>InpS</vt:lpstr>
      <vt:lpstr>Sensitivity</vt:lpstr>
      <vt:lpstr>InpS - m</vt:lpstr>
      <vt:lpstr>ConTime</vt:lpstr>
      <vt:lpstr>ConCost</vt:lpstr>
      <vt:lpstr>ConFin</vt:lpstr>
      <vt:lpstr>Time</vt:lpstr>
      <vt:lpstr>Esc</vt:lpstr>
      <vt:lpstr>Ops</vt:lpstr>
      <vt:lpstr>Acct</vt:lpstr>
      <vt:lpstr>Debt</vt:lpstr>
      <vt:lpstr>Solve</vt:lpstr>
      <vt:lpstr>DSRA</vt:lpstr>
      <vt:lpstr>Equity</vt:lpstr>
      <vt:lpstr>Tax</vt:lpstr>
      <vt:lpstr>Metrics</vt:lpstr>
      <vt:lpstr>Chart data</vt:lpstr>
      <vt:lpstr>Check</vt:lpstr>
      <vt:lpstr>Tmp</vt:lpstr>
      <vt:lpstr>CASE_ACTIVE</vt:lpstr>
      <vt:lpstr>CHK_TOL</vt:lpstr>
      <vt:lpstr>FX</vt:lpstr>
      <vt:lpstr>InputRowTemplate</vt:lpstr>
      <vt:lpstr>MasterSolveCheck</vt:lpstr>
      <vt:lpstr>PCT_TOL</vt:lpstr>
      <vt:lpstr>SMU</vt:lpstr>
      <vt:lpstr>SolveCopy</vt:lpstr>
      <vt:lpstr>SolvePaste</vt:lpstr>
      <vt:lpstr>Thousand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</dc:creator>
  <cp:lastModifiedBy>Eli Adams</cp:lastModifiedBy>
  <cp:lastPrinted>2020-09-23T12:48:43Z</cp:lastPrinted>
  <dcterms:created xsi:type="dcterms:W3CDTF">2004-05-12T17:06:52Z</dcterms:created>
  <dcterms:modified xsi:type="dcterms:W3CDTF">2024-05-03T01:44:18Z</dcterms:modified>
</cp:coreProperties>
</file>